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me" sheetId="1" state="visible" r:id="rId1"/>
    <sheet xmlns:r="http://schemas.openxmlformats.org/officeDocument/2006/relationships" name="Firm Search" sheetId="2" state="visible" r:id="rId2"/>
    <sheet xmlns:r="http://schemas.openxmlformats.org/officeDocument/2006/relationships" name="Rate Check" sheetId="3" state="visible" r:id="rId3"/>
    <sheet xmlns:r="http://schemas.openxmlformats.org/officeDocument/2006/relationships" name="State Search" sheetId="4" state="visible" r:id="rId4"/>
    <sheet xmlns:r="http://schemas.openxmlformats.org/officeDocument/2006/relationships" name="Firms" sheetId="5" state="visible" r:id="rId5"/>
    <sheet xmlns:r="http://schemas.openxmlformats.org/officeDocument/2006/relationships" name="AFA Rates" sheetId="6" state="visible" r:id="rId6"/>
    <sheet xmlns:r="http://schemas.openxmlformats.org/officeDocument/2006/relationships" name="Rate History" sheetId="7" state="visible" r:id="rId7"/>
    <sheet xmlns:r="http://schemas.openxmlformats.org/officeDocument/2006/relationships" name="All Current Rates" sheetId="8" state="visible" r:id="rId8"/>
    <sheet xmlns:r="http://schemas.openxmlformats.org/officeDocument/2006/relationships" name="Do Not Use" sheetId="9" state="visible" r:id="rId9"/>
    <sheet xmlns:r="http://schemas.openxmlformats.org/officeDocument/2006/relationships" name="Summary" sheetId="10" state="visible" r:id="rId10"/>
    <sheet xmlns:r="http://schemas.openxmlformats.org/officeDocument/2006/relationships" name="Lists" sheetId="11" state="visible" r:id="rId11"/>
  </sheets>
  <definedNames>
    <definedName name="AFA_Types">OFFSET(Lists!$H$6,0,0,MAX(1,COUNTA(Lists!$A$5:$A$34)),1)</definedName>
    <definedName name="AFA_Types_All">Lists!$H$6:$H$35</definedName>
    <definedName name="Schedule_List">OFFSET(Lists!$H$5,0,0,1+COUNTA(Lists!$A$5:$A$34),1)</definedName>
    <definedName name="Cyber_List">OFFSET(Lists!$D$5,0,0,MAX(1,COUNTA(Lists!$D$5:$D$19)),1)</definedName>
    <definedName name="Status_List">Lists!$F$5:$F$6</definedName>
    <definedName name="Role_List">Lists!$J$5:$J$12</definedName>
    <definedName name="State_Codes">Lists!$L$5:$L$55</definedName>
    <definedName name="Firm_List">OFFSET(Lists!$O$5,0,0,MAX(1,COUNTA(Firms!$A$5:$A$1004)),1)</definedName>
    <definedName name="Firms_AZ">Lists!$O$5:$O$1004</definedName>
    <definedName name="Review_Months">Lists!$R$5</definedName>
    <definedName name="_xlnm._FilterDatabase" localSheetId="4" hidden="1">'Firms'!$A$4:$T$1004</definedName>
    <definedName name="_xlnm._FilterDatabase" localSheetId="5" hidden="1">'AFA Rates'!$A$4:$O$1004</definedName>
    <definedName name="_xlnm._FilterDatabase" localSheetId="6" hidden="1">'Rate History'!$A$4:$O$2004</definedName>
    <definedName name="_xlnm._FilterDatabase" localSheetId="7" hidden="1">'All Current Rates'!$A$4:$Q$2004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&quot;—&quot;"/>
    <numFmt numFmtId="165" formatCode="mm/dd/yyyy"/>
    <numFmt numFmtId="166" formatCode="+$#,##0;-$#,##0;$0"/>
  </numFmts>
  <fonts count="55">
    <font>
      <name val="Calibri"/>
      <family val="2"/>
      <color theme="1"/>
      <sz val="11"/>
      <scheme val="minor"/>
    </font>
    <font>
      <name val="Arial"/>
      <b val="1"/>
      <strike val="0"/>
      <color rgb="001F3A5F"/>
      <sz val="18"/>
    </font>
    <font>
      <name val="Arial"/>
      <i val="1"/>
      <strike val="0"/>
      <color rgb="006B7280"/>
      <sz val="10"/>
    </font>
    <font>
      <name val="Arial"/>
      <b val="1"/>
      <strike val="0"/>
      <color rgb="00FFFFFF"/>
      <sz val="10"/>
    </font>
    <font>
      <name val="Arial"/>
      <strike val="0"/>
      <color rgb="00222222"/>
      <sz val="10"/>
    </font>
    <font>
      <name val="Arial"/>
      <strike val="0"/>
      <color rgb="004B5563"/>
      <sz val="10"/>
    </font>
    <font>
      <name val="Arial"/>
      <b val="1"/>
      <strike val="0"/>
      <color rgb="00222222"/>
      <sz val="10"/>
    </font>
    <font>
      <name val="Arial"/>
      <b val="1"/>
      <strike val="0"/>
      <color rgb="00222222"/>
      <sz val="11"/>
    </font>
    <font>
      <name val="Arial"/>
      <i val="1"/>
      <strike val="0"/>
      <color rgb="006B7280"/>
      <sz val="9"/>
    </font>
    <font>
      <name val="Arial"/>
      <b val="1"/>
      <strike val="0"/>
      <color rgb="00A23B52"/>
      <sz val="11"/>
    </font>
    <font>
      <name val="Arial"/>
      <b val="1"/>
      <strike val="0"/>
      <color rgb="006B5B95"/>
      <sz val="20"/>
    </font>
    <font>
      <name val="Arial"/>
      <i val="1"/>
      <strike val="0"/>
      <color rgb="006B5B95"/>
      <sz val="10"/>
    </font>
    <font>
      <name val="Arial"/>
      <b val="1"/>
      <strike val="0"/>
      <color rgb="006B5B95"/>
      <sz val="12"/>
    </font>
    <font>
      <name val="Arial"/>
      <b val="1"/>
      <strike val="0"/>
      <color rgb="00333333"/>
      <sz val="13"/>
    </font>
    <font>
      <name val="Arial"/>
      <i val="1"/>
      <strike val="0"/>
      <color rgb="009C8FC4"/>
      <sz val="10"/>
    </font>
    <font>
      <name val="Arial"/>
      <b val="1"/>
      <strike val="0"/>
      <color rgb="006B7280"/>
      <sz val="10"/>
    </font>
    <font>
      <name val="Arial"/>
      <b val="1"/>
      <strike val="0"/>
      <color rgb="001F3A5F"/>
      <sz val="13"/>
    </font>
    <font>
      <name val="Arial"/>
      <i val="1"/>
      <strike val="0"/>
      <color rgb="00A0522D"/>
      <sz val="9"/>
    </font>
    <font>
      <name val="Arial"/>
      <b val="1"/>
      <strike val="0"/>
      <color rgb="00555555"/>
      <sz val="13"/>
    </font>
    <font>
      <name val="Arial"/>
      <b val="1"/>
      <strike val="0"/>
      <color rgb="002E5C8A"/>
      <sz val="11"/>
    </font>
    <font>
      <name val="Arial"/>
      <b val="1"/>
      <strike val="0"/>
      <color rgb="002E5C8A"/>
      <sz val="10"/>
    </font>
    <font>
      <name val="Arial"/>
      <b val="1"/>
      <strike val="0"/>
      <color rgb="002F7D5B"/>
      <sz val="11"/>
    </font>
    <font>
      <name val="Arial"/>
      <b val="1"/>
      <strike val="0"/>
      <color rgb="002F7D5B"/>
      <sz val="9"/>
    </font>
    <font>
      <name val="Arial"/>
      <strike val="0"/>
      <color rgb="00222222"/>
      <sz val="11"/>
    </font>
    <font>
      <name val="Arial"/>
      <b val="1"/>
      <strike val="0"/>
      <color rgb="00A0522D"/>
      <sz val="11"/>
    </font>
    <font>
      <name val="Arial"/>
      <b val="1"/>
      <strike val="0"/>
      <color rgb="00A0522D"/>
      <sz val="9"/>
    </font>
    <font>
      <name val="Arial"/>
      <b val="1"/>
      <strike val="0"/>
      <color rgb="00A0522D"/>
      <sz val="10"/>
    </font>
    <font>
      <name val="Arial"/>
      <i val="1"/>
      <strike val="0"/>
      <color rgb="00A0522D"/>
      <sz val="10"/>
    </font>
    <font>
      <name val="Arial"/>
      <b val="1"/>
      <strike val="0"/>
      <color rgb="008A6D1B"/>
      <sz val="11"/>
    </font>
    <font>
      <name val="Arial"/>
      <b val="1"/>
      <strike val="0"/>
      <color rgb="008A6D1B"/>
      <sz val="9"/>
    </font>
    <font>
      <name val="Arial"/>
      <b val="1"/>
      <strike val="0"/>
      <color rgb="008A6D1B"/>
      <sz val="10"/>
    </font>
    <font>
      <name val="Arial"/>
      <b val="1"/>
      <strike val="0"/>
      <color rgb="002F7D5B"/>
      <sz val="20"/>
    </font>
    <font>
      <name val="Arial"/>
      <i val="1"/>
      <strike val="0"/>
      <color rgb="002F7D5B"/>
      <sz val="10"/>
    </font>
    <font>
      <name val="Arial"/>
      <b val="1"/>
      <strike val="0"/>
      <color rgb="002F7D5B"/>
      <sz val="12"/>
    </font>
    <font>
      <name val="Arial"/>
      <strike val="0"/>
      <color rgb="004B5563"/>
      <sz val="9"/>
    </font>
    <font>
      <name val="Arial"/>
      <b val="1"/>
      <strike val="0"/>
      <color rgb="002E5C8A"/>
      <sz val="20"/>
    </font>
    <font>
      <name val="Arial"/>
      <i val="1"/>
      <strike val="0"/>
      <color rgb="002E5C8A"/>
      <sz val="10"/>
    </font>
    <font>
      <name val="Arial"/>
      <b val="1"/>
      <strike val="0"/>
      <color rgb="002E5C8A"/>
      <sz val="12"/>
    </font>
    <font>
      <name val="Arial"/>
      <b val="1"/>
      <strike val="0"/>
      <color rgb="002E5C8A"/>
      <sz val="9"/>
    </font>
    <font>
      <name val="Arial"/>
      <strike val="0"/>
      <color rgb="00FFFFFF"/>
      <sz val="8"/>
    </font>
    <font>
      <name val="Arial"/>
      <b val="1"/>
      <strike val="0"/>
      <color rgb="001F3A5F"/>
      <sz val="11"/>
    </font>
    <font>
      <name val="Arial"/>
      <b val="1"/>
      <strike val="0"/>
      <color rgb="001F3A5F"/>
      <sz val="10"/>
    </font>
    <font>
      <name val="Arial"/>
      <b val="1"/>
      <strike val="0"/>
      <color rgb="002F7D5B"/>
      <sz val="10"/>
    </font>
    <font>
      <name val="Arial"/>
      <b val="1"/>
      <strike val="0"/>
      <color rgb="002F7D5B"/>
      <sz val="13"/>
    </font>
    <font>
      <name val="Arial"/>
      <b val="1"/>
      <strike val="0"/>
      <color rgb="00A23B52"/>
      <sz val="10"/>
    </font>
    <font>
      <name val="Arial"/>
      <b val="1"/>
      <strike val="0"/>
      <color rgb="00A23B52"/>
      <sz val="13"/>
    </font>
    <font>
      <name val="Arial"/>
      <b val="1"/>
      <strike val="0"/>
      <color rgb="006B5B95"/>
      <sz val="10"/>
    </font>
    <font>
      <name val="Arial"/>
      <b val="1"/>
      <strike val="0"/>
      <color rgb="006B5B95"/>
      <sz val="13"/>
    </font>
    <font>
      <name val="Arial"/>
      <b val="1"/>
      <strike val="0"/>
      <color rgb="008A6D1B"/>
      <sz val="13"/>
    </font>
    <font>
      <name val="Arial"/>
      <b val="1"/>
      <strike val="0"/>
      <color rgb="00A0522D"/>
      <sz val="13"/>
    </font>
    <font>
      <name val="Arial"/>
      <b val="1"/>
      <strike val="0"/>
      <color rgb="002E5C8A"/>
      <sz val="13"/>
    </font>
    <font>
      <name val="Arial"/>
      <b val="1"/>
      <strike val="0"/>
      <color rgb="00FFFFFF"/>
      <sz val="9"/>
    </font>
    <font>
      <name val="Arial"/>
      <b val="1"/>
      <strike val="0"/>
      <color rgb="001F3A5F"/>
      <sz val="22"/>
    </font>
    <font>
      <name val="Arial"/>
      <i val="1"/>
      <strike val="0"/>
      <color rgb="006B7280"/>
      <sz val="11"/>
    </font>
    <font>
      <name val="Arial"/>
      <b val="1"/>
      <strike val="0"/>
      <color rgb="0044546A"/>
      <sz val="10"/>
    </font>
  </fonts>
  <fills count="28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44546A"/>
        <bgColor rgb="0044546A"/>
      </patternFill>
    </fill>
    <fill>
      <patternFill patternType="solid">
        <fgColor rgb="00FFF2B3"/>
        <bgColor rgb="00FFF2B3"/>
      </patternFill>
    </fill>
    <fill>
      <patternFill patternType="solid">
        <fgColor rgb="00EEF1F5"/>
        <bgColor rgb="00EEF1F5"/>
      </patternFill>
    </fill>
    <fill>
      <patternFill patternType="solid">
        <fgColor rgb="007A5C3E"/>
        <bgColor rgb="007A5C3E"/>
      </patternFill>
    </fill>
    <fill>
      <patternFill patternType="solid">
        <fgColor rgb="00A23B52"/>
        <bgColor rgb="00A23B52"/>
      </patternFill>
    </fill>
    <fill>
      <patternFill patternType="solid">
        <fgColor rgb="00E8E1F7"/>
        <bgColor rgb="00E8E1F7"/>
      </patternFill>
    </fill>
    <fill>
      <patternFill patternType="solid">
        <fgColor rgb="00FFFFFF"/>
        <bgColor rgb="00FFFFFF"/>
      </patternFill>
    </fill>
    <fill>
      <patternFill patternType="solid">
        <fgColor rgb="00F3F4F6"/>
        <bgColor rgb="00F3F4F6"/>
      </patternFill>
    </fill>
    <fill>
      <patternFill patternType="solid">
        <fgColor rgb="00DCEBFA"/>
        <bgColor rgb="00DCEBFA"/>
      </patternFill>
    </fill>
    <fill>
      <patternFill patternType="solid">
        <fgColor rgb="00EEF5FD"/>
        <bgColor rgb="00EEF5FD"/>
      </patternFill>
    </fill>
    <fill>
      <patternFill patternType="solid">
        <fgColor rgb="00DDF3E8"/>
        <bgColor rgb="00DDF3E8"/>
      </patternFill>
    </fill>
    <fill>
      <patternFill patternType="solid">
        <fgColor rgb="00EAF8F1"/>
        <bgColor rgb="00EAF8F1"/>
      </patternFill>
    </fill>
    <fill>
      <patternFill patternType="solid">
        <fgColor rgb="00FDE6D6"/>
        <bgColor rgb="00FDE6D6"/>
      </patternFill>
    </fill>
    <fill>
      <patternFill patternType="solid">
        <fgColor rgb="00FEF1E8"/>
        <bgColor rgb="00FEF1E8"/>
      </patternFill>
    </fill>
    <fill>
      <patternFill patternType="solid">
        <fgColor rgb="00FFF6D5"/>
        <bgColor rgb="00FFF6D5"/>
      </patternFill>
    </fill>
    <fill>
      <patternFill patternType="solid">
        <fgColor rgb="00FFF9E6"/>
        <bgColor rgb="00FFF9E6"/>
      </patternFill>
    </fill>
    <fill>
      <patternFill patternType="solid">
        <fgColor rgb="00F7FBF9"/>
        <bgColor rgb="00F7FBF9"/>
      </patternFill>
    </fill>
    <fill>
      <patternFill patternType="solid">
        <fgColor rgb="00FADDE1"/>
        <bgColor rgb="00FADDE1"/>
      </patternFill>
    </fill>
    <fill>
      <patternFill patternType="solid">
        <fgColor rgb="006B5B95"/>
        <bgColor rgb="006B5B95"/>
      </patternFill>
    </fill>
    <fill>
      <patternFill patternType="solid">
        <fgColor rgb="00DCE6F2"/>
        <bgColor rgb="00DCE6F2"/>
      </patternFill>
    </fill>
    <fill>
      <patternFill patternType="solid">
        <fgColor rgb="00DDF0E6"/>
        <bgColor rgb="00DDF0E6"/>
      </patternFill>
    </fill>
    <fill>
      <patternFill patternType="solid">
        <fgColor rgb="00F3EADF"/>
        <bgColor rgb="00F3EADF"/>
      </patternFill>
    </fill>
    <fill>
      <patternFill patternType="solid">
        <fgColor rgb="00E3EAF6"/>
        <bgColor rgb="00E3EAF6"/>
      </patternFill>
    </fill>
    <fill>
      <patternFill patternType="solid">
        <fgColor rgb="00EDEDED"/>
        <bgColor rgb="00EDEDED"/>
      </patternFill>
    </fill>
    <fill>
      <patternFill patternType="solid">
        <fgColor rgb="00FFC7CE"/>
        <bgColor rgb="00FFC7CE"/>
      </patternFill>
    </fill>
  </fills>
  <borders count="10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  <border>
      <left style="medium">
        <color rgb="00B9A7E6"/>
      </left>
      <top style="medium">
        <color rgb="00B9A7E6"/>
      </top>
      <bottom style="medium">
        <color rgb="00B9A7E6"/>
      </bottom>
    </border>
    <border>
      <top style="medium">
        <color rgb="00B9A7E6"/>
      </top>
      <bottom style="medium">
        <color rgb="00B9A7E6"/>
      </bottom>
    </border>
    <border>
      <right style="medium">
        <color rgb="00B9A7E6"/>
      </right>
      <top style="medium">
        <color rgb="00B9A7E6"/>
      </top>
      <bottom style="medium">
        <color rgb="00B9A7E6"/>
      </bottom>
    </border>
    <border>
      <left style="medium">
        <color rgb="008FD1B0"/>
      </left>
      <top style="medium">
        <color rgb="008FD1B0"/>
      </top>
      <bottom style="medium">
        <color rgb="008FD1B0"/>
      </bottom>
    </border>
    <border>
      <top style="medium">
        <color rgb="008FD1B0"/>
      </top>
      <bottom style="medium">
        <color rgb="008FD1B0"/>
      </bottom>
    </border>
    <border>
      <right style="medium">
        <color rgb="008FD1B0"/>
      </right>
      <top style="medium">
        <color rgb="008FD1B0"/>
      </top>
      <bottom style="medium">
        <color rgb="008FD1B0"/>
      </bottom>
    </border>
    <border>
      <left style="medium">
        <color rgb="009CC3E6"/>
      </left>
      <right style="medium">
        <color rgb="009CC3E6"/>
      </right>
      <top style="medium">
        <color rgb="009CC3E6"/>
      </top>
      <bottom style="medium">
        <color rgb="009CC3E6"/>
      </bottom>
    </border>
    <border/>
  </borders>
  <cellStyleXfs count="1">
    <xf numFmtId="0" fontId="0" fillId="0" borderId="0"/>
  </cellStyleXfs>
  <cellXfs count="120">
    <xf numFmtId="0" fontId="0" fillId="0" borderId="0" pivotButton="0" quotePrefix="0" xfId="0"/>
    <xf numFmtId="0" fontId="52" fillId="0" borderId="0" pivotButton="0" quotePrefix="0" xfId="0"/>
    <xf numFmtId="0" fontId="53" fillId="0" borderId="0" pivotButton="0" quotePrefix="0" xfId="0"/>
    <xf numFmtId="0" fontId="40" fillId="0" borderId="0" pivotButton="0" quotePrefix="0" xfId="0"/>
    <xf numFmtId="0" fontId="40" fillId="8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0" fillId="13" borderId="1" applyAlignment="1" pivotButton="0" quotePrefix="0" xfId="0">
      <alignment horizontal="left" vertical="center"/>
    </xf>
    <xf numFmtId="0" fontId="40" fillId="11" borderId="1" applyAlignment="1" pivotButton="0" quotePrefix="0" xfId="0">
      <alignment horizontal="left" vertical="center"/>
    </xf>
    <xf numFmtId="0" fontId="40" fillId="22" borderId="1" applyAlignment="1" pivotButton="0" quotePrefix="0" xfId="0">
      <alignment horizontal="left" vertical="center"/>
    </xf>
    <xf numFmtId="0" fontId="40" fillId="23" borderId="1" applyAlignment="1" pivotButton="0" quotePrefix="0" xfId="0">
      <alignment horizontal="left" vertical="center"/>
    </xf>
    <xf numFmtId="0" fontId="40" fillId="24" borderId="1" applyAlignment="1" pivotButton="0" quotePrefix="0" xfId="0">
      <alignment horizontal="left" vertical="center"/>
    </xf>
    <xf numFmtId="0" fontId="40" fillId="25" borderId="1" applyAlignment="1" pivotButton="0" quotePrefix="0" xfId="0">
      <alignment horizontal="left" vertical="center"/>
    </xf>
    <xf numFmtId="0" fontId="40" fillId="20" borderId="1" applyAlignment="1" pivotButton="0" quotePrefix="0" xfId="0">
      <alignment horizontal="left" vertical="center"/>
    </xf>
    <xf numFmtId="0" fontId="40" fillId="17" borderId="1" applyAlignment="1" pivotButton="0" quotePrefix="0" xfId="0">
      <alignment horizontal="left" vertical="center"/>
    </xf>
    <xf numFmtId="0" fontId="40" fillId="26" borderId="1" applyAlignment="1" pivotButton="0" quotePrefix="0" xfId="0">
      <alignment horizontal="left" vertical="center"/>
    </xf>
    <xf numFmtId="0" fontId="54" fillId="10" borderId="1" applyAlignment="1" pivotButton="0" quotePrefix="0" xfId="0">
      <alignment horizontal="left" vertical="center"/>
    </xf>
    <xf numFmtId="0" fontId="4" fillId="9" borderId="1" pivotButton="0" quotePrefix="0" xfId="0"/>
    <xf numFmtId="0" fontId="4" fillId="0" borderId="1" pivotButton="0" quotePrefix="0" xfId="0"/>
    <xf numFmtId="0" fontId="4" fillId="5" borderId="1" pivotButton="0" quotePrefix="0" xfId="0"/>
    <xf numFmtId="0" fontId="4" fillId="4" borderId="1" pivotButton="0" quotePrefix="0" xfId="0"/>
    <xf numFmtId="0" fontId="4" fillId="17" borderId="1" pivotButton="0" quotePrefix="0" xfId="0"/>
    <xf numFmtId="0" fontId="4" fillId="27" borderId="1" pivotButton="0" quotePrefix="0" xfId="0"/>
    <xf numFmtId="0" fontId="8" fillId="0" borderId="0" pivotButton="0" quotePrefix="0" xfId="0"/>
    <xf numFmtId="0" fontId="10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1" fillId="8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13" fillId="9" borderId="2" applyAlignment="1" applyProtection="1" pivotButton="0" quotePrefix="0" xfId="0">
      <alignment horizontal="left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applyAlignment="1" pivotButton="0" quotePrefix="0" xfId="0">
      <alignment horizontal="left" vertical="center" wrapText="1"/>
    </xf>
    <xf numFmtId="0" fontId="18" fillId="10" borderId="0" applyAlignment="1" pivotButton="0" quotePrefix="0" xfId="0">
      <alignment horizontal="center" vertical="center" wrapText="1"/>
    </xf>
    <xf numFmtId="0" fontId="0" fillId="10" borderId="0" pivotButton="0" quotePrefix="0" xfId="0"/>
    <xf numFmtId="0" fontId="19" fillId="11" borderId="0" pivotButton="0" quotePrefix="0" xfId="0"/>
    <xf numFmtId="0" fontId="0" fillId="11" borderId="0" pivotButton="0" quotePrefix="0" xfId="0"/>
    <xf numFmtId="0" fontId="20" fillId="1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1" fillId="13" borderId="0" pivotButton="0" quotePrefix="0" xfId="0"/>
    <xf numFmtId="0" fontId="0" fillId="13" borderId="0" pivotButton="0" quotePrefix="0" xfId="0"/>
    <xf numFmtId="0" fontId="22" fillId="14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164" fontId="23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24" fillId="15" borderId="0" pivotButton="0" quotePrefix="0" xfId="0"/>
    <xf numFmtId="0" fontId="0" fillId="15" borderId="0" pivotButton="0" quotePrefix="0" xfId="0"/>
    <xf numFmtId="0" fontId="25" fillId="16" borderId="1" applyAlignment="1" pivotButton="0" quotePrefix="0" xfId="0">
      <alignment horizontal="center" vertical="center" wrapText="1"/>
    </xf>
    <xf numFmtId="164" fontId="26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center" vertical="center" wrapText="1"/>
    </xf>
    <xf numFmtId="0" fontId="27" fillId="0" borderId="0" pivotButton="0" quotePrefix="0" xfId="0"/>
    <xf numFmtId="0" fontId="28" fillId="17" borderId="0" pivotButton="0" quotePrefix="0" xfId="0"/>
    <xf numFmtId="0" fontId="0" fillId="17" borderId="0" pivotButton="0" quotePrefix="0" xfId="0"/>
    <xf numFmtId="0" fontId="29" fillId="18" borderId="1" applyAlignment="1" pivotButton="0" quotePrefix="0" xfId="0">
      <alignment horizontal="center" vertical="center" wrapText="1"/>
    </xf>
    <xf numFmtId="164" fontId="30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left" vertical="center"/>
    </xf>
    <xf numFmtId="0" fontId="31" fillId="13" borderId="0" applyAlignment="1" pivotButton="0" quotePrefix="0" xfId="0">
      <alignment horizontal="left" vertical="center"/>
    </xf>
    <xf numFmtId="0" fontId="32" fillId="13" borderId="0" applyAlignment="1" pivotButton="0" quotePrefix="0" xfId="0">
      <alignment horizontal="left" vertical="center" wrapText="1"/>
    </xf>
    <xf numFmtId="0" fontId="33" fillId="0" borderId="0" applyAlignment="1" pivotButton="0" quotePrefix="0" xfId="0">
      <alignment horizontal="left" vertical="center"/>
    </xf>
    <xf numFmtId="0" fontId="13" fillId="9" borderId="5" applyAlignment="1" applyProtection="1" pivotButton="0" quotePrefix="0" xfId="0">
      <alignment horizontal="left" vertical="center"/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22" fillId="13" borderId="1" applyAlignment="1" pivotButton="0" quotePrefix="0" xfId="0">
      <alignment horizontal="center" vertical="center" wrapText="1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165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19" borderId="1" applyAlignment="1" pivotButton="0" quotePrefix="0" xfId="0">
      <alignment horizontal="center" vertical="center" wrapText="1"/>
    </xf>
    <xf numFmtId="166" fontId="4" fillId="19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34" fillId="19" borderId="1" applyAlignment="1" pivotButton="0" quotePrefix="0" xfId="0">
      <alignment horizontal="left" vertical="center" wrapText="1"/>
    </xf>
    <xf numFmtId="0" fontId="21" fillId="13" borderId="0" applyAlignment="1" pivotButton="0" quotePrefix="0" xfId="0">
      <alignment horizontal="center" vertical="center" wrapText="1"/>
    </xf>
    <xf numFmtId="0" fontId="35" fillId="11" borderId="0" applyAlignment="1" pivotButton="0" quotePrefix="0" xfId="0">
      <alignment horizontal="left" vertical="center"/>
    </xf>
    <xf numFmtId="0" fontId="36" fillId="11" borderId="0" applyAlignment="1" pivotButton="0" quotePrefix="0" xfId="0">
      <alignment horizontal="left" vertical="center" wrapText="1"/>
    </xf>
    <xf numFmtId="0" fontId="37" fillId="0" borderId="0" applyAlignment="1" pivotButton="0" quotePrefix="0" xfId="0">
      <alignment horizontal="left" vertical="center"/>
    </xf>
    <xf numFmtId="0" fontId="13" fillId="9" borderId="8" applyAlignment="1" applyProtection="1" pivotButton="0" quotePrefix="0" xfId="0">
      <alignment horizontal="center" vertical="center" wrapText="1"/>
      <protection locked="0" hidden="0"/>
    </xf>
    <xf numFmtId="0" fontId="38" fillId="1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9" fillId="0" borderId="0" pivotButton="0" quotePrefix="0" xfId="0"/>
    <xf numFmtId="0" fontId="3" fillId="9" borderId="9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3" fillId="7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1" fillId="11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 wrapText="1"/>
    </xf>
    <xf numFmtId="0" fontId="42" fillId="13" borderId="1" applyAlignment="1" pivotButton="0" quotePrefix="0" xfId="0">
      <alignment horizontal="left" vertical="center"/>
    </xf>
    <xf numFmtId="0" fontId="43" fillId="1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4" fillId="20" borderId="1" applyAlignment="1" pivotButton="0" quotePrefix="0" xfId="0">
      <alignment horizontal="left" vertical="center"/>
    </xf>
    <xf numFmtId="0" fontId="45" fillId="20" borderId="1" applyAlignment="1" pivotButton="0" quotePrefix="0" xfId="0">
      <alignment horizontal="center" vertical="center" wrapText="1"/>
    </xf>
    <xf numFmtId="0" fontId="46" fillId="8" borderId="1" applyAlignment="1" pivotButton="0" quotePrefix="0" xfId="0">
      <alignment horizontal="left" vertical="center"/>
    </xf>
    <xf numFmtId="0" fontId="47" fillId="8" borderId="1" applyAlignment="1" pivotButton="0" quotePrefix="0" xfId="0">
      <alignment horizontal="center" vertical="center" wrapText="1"/>
    </xf>
    <xf numFmtId="0" fontId="30" fillId="17" borderId="1" applyAlignment="1" pivotButton="0" quotePrefix="0" xfId="0">
      <alignment horizontal="left" vertical="center"/>
    </xf>
    <xf numFmtId="0" fontId="48" fillId="17" borderId="1" applyAlignment="1" pivotButton="0" quotePrefix="0" xfId="0">
      <alignment horizontal="center" vertical="center" wrapText="1"/>
    </xf>
    <xf numFmtId="0" fontId="26" fillId="15" borderId="1" applyAlignment="1" pivotButton="0" quotePrefix="0" xfId="0">
      <alignment horizontal="left" vertical="center"/>
    </xf>
    <xf numFmtId="0" fontId="49" fillId="15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0" fillId="11" borderId="1" applyAlignment="1" pivotButton="0" quotePrefix="0" xfId="0">
      <alignment horizontal="left" vertical="center"/>
    </xf>
    <xf numFmtId="0" fontId="50" fillId="11" borderId="1" applyAlignment="1" pivotButton="0" quotePrefix="0" xfId="0">
      <alignment horizontal="center" vertical="center" wrapText="1"/>
    </xf>
    <xf numFmtId="0" fontId="51" fillId="2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/>
    </xf>
    <xf numFmtId="0" fontId="4" fillId="4" borderId="1" applyProtection="1" pivotButton="0" quotePrefix="0" xfId="0">
      <protection locked="0" hidden="0"/>
    </xf>
    <xf numFmtId="0" fontId="4" fillId="5" borderId="0" pivotButton="0" quotePrefix="0" xfId="0"/>
    <xf numFmtId="0" fontId="5" fillId="0" borderId="1" pivotButton="0" quotePrefix="0" xfId="0"/>
    <xf numFmtId="0" fontId="5" fillId="0" borderId="0" pivotButton="0" quotePrefix="0" xfId="0"/>
    <xf numFmtId="0" fontId="6" fillId="0" borderId="1" pivotButton="0" quotePrefix="0" xfId="0"/>
    <xf numFmtId="0" fontId="7" fillId="4" borderId="1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22">
    <dxf>
      <font>
        <b val="1"/>
        <color rgb="00A23B52"/>
      </font>
      <fill>
        <patternFill patternType="solid">
          <fgColor rgb="00FADDE1"/>
          <bgColor rgb="00FADDE1"/>
        </patternFill>
      </fill>
    </dxf>
    <dxf>
      <font>
        <b val="1"/>
        <color rgb="002F7D5B"/>
      </font>
      <fill>
        <patternFill patternType="solid">
          <fgColor rgb="00DDF3E8"/>
          <bgColor rgb="00DDF3E8"/>
        </patternFill>
      </fill>
    </dxf>
    <dxf>
      <fill>
        <patternFill patternType="solid">
          <fgColor rgb="00FFFAF6"/>
          <bgColor rgb="00FFFAF6"/>
        </patternFill>
      </fill>
      <border>
        <left style="thin">
          <color rgb="00D9DEE7"/>
        </left>
        <right style="thin">
          <color rgb="00D9DEE7"/>
        </right>
        <top style="thin">
          <color rgb="00D9DEE7"/>
        </top>
        <bottom style="thin">
          <color rgb="00D9DEE7"/>
        </bottom>
      </border>
    </dxf>
    <dxf>
      <fill>
        <patternFill patternType="solid">
          <fgColor rgb="00FFFDF5"/>
          <bgColor rgb="00FFFDF5"/>
        </patternFill>
      </fill>
      <border>
        <left style="thin">
          <color rgb="00D9DEE7"/>
        </left>
        <right style="thin">
          <color rgb="00D9DEE7"/>
        </right>
        <top style="thin">
          <color rgb="00D9DEE7"/>
        </top>
        <bottom style="thin">
          <color rgb="00D9DEE7"/>
        </bottom>
      </border>
    </dxf>
    <dxf>
      <font>
        <b val="1"/>
        <color rgb="008A6D1B"/>
      </font>
      <fill>
        <patternFill patternType="solid">
          <fgColor rgb="00FFF6D5"/>
          <bgColor rgb="00FFF6D5"/>
        </patternFill>
      </fill>
    </dxf>
    <dxf>
      <font>
        <b val="1"/>
        <color rgb="002E5C8A"/>
      </font>
      <fill>
        <patternFill patternType="solid">
          <fgColor rgb="00DCEBFA"/>
          <bgColor rgb="00DCEBFA"/>
        </patternFill>
      </fill>
    </dxf>
    <dxf>
      <font>
        <b val="1"/>
        <color rgb="00A0522D"/>
      </font>
      <fill>
        <patternFill patternType="solid">
          <fgColor rgb="00FDE6D6"/>
          <bgColor rgb="00FDE6D6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A23B52"/>
      </font>
    </dxf>
    <dxf>
      <fill>
        <patternFill patternType="solid">
          <fgColor rgb="00F7FAFE"/>
          <bgColor rgb="00F7FAFE"/>
        </patternFill>
      </fill>
      <border>
        <left style="thin">
          <color rgb="00D9DEE7"/>
        </left>
        <right style="thin">
          <color rgb="00D9DEE7"/>
        </right>
        <top style="thin">
          <color rgb="00D9DEE7"/>
        </top>
        <bottom style="thin">
          <color rgb="00D9DEE7"/>
        </bottom>
      </border>
    </dxf>
    <dxf>
      <font>
        <strike val="1"/>
        <color rgb="00A23B52"/>
      </font>
      <fill>
        <patternFill patternType="solid">
          <fgColor rgb="00FADDE1"/>
          <bgColor rgb="00FADDE1"/>
        </patternFill>
      </fill>
    </dxf>
    <dxf>
      <font>
        <color rgb="009CA3AF"/>
      </font>
      <fill>
        <patternFill patternType="solid">
          <fgColor rgb="00FDF0F2"/>
          <bgColor rgb="00FDF0F2"/>
        </patternFill>
      </fill>
    </dxf>
    <dxf>
      <font>
        <i val="1"/>
        <color rgb="00A0522D"/>
      </font>
      <fill>
        <patternFill patternType="solid">
          <fgColor rgb="00FDE6D6"/>
          <bgColor rgb="00FDE6D6"/>
        </patternFill>
      </fill>
    </dxf>
    <dxf>
      <font>
        <b val="1"/>
        <color rgb="006B5B95"/>
      </font>
      <fill>
        <patternFill patternType="solid">
          <fgColor rgb="00E8E1F7"/>
          <bgColor rgb="00E8E1F7"/>
        </patternFill>
      </fill>
    </dxf>
    <dxf>
      <fill>
        <patternFill patternType="solid">
          <fgColor rgb="00F5F7FA"/>
          <bgColor rgb="00F5F7FA"/>
        </patternFill>
      </fill>
    </dxf>
    <dxf>
      <border>
        <left style="thin">
          <color rgb="00D9DEE7"/>
        </left>
        <right style="thin">
          <color rgb="00D9DEE7"/>
        </right>
        <top style="thin">
          <color rgb="00D9DEE7"/>
        </top>
        <bottom style="thin">
          <color rgb="00D9DEE7"/>
        </bottom>
      </border>
    </dxf>
    <dxf>
      <fill>
        <patternFill patternType="solid">
          <fgColor rgb="00FFFAF6"/>
          <bgColor rgb="00FFFAF6"/>
        </patternFill>
      </fill>
    </dxf>
    <dxf>
      <fill>
        <patternFill patternType="solid">
          <fgColor rgb="00FDF0F2"/>
          <bgColor rgb="00FDF0F2"/>
        </patternFill>
      </fill>
      <border>
        <left style="thin">
          <color rgb="00D9DEE7"/>
        </left>
        <right style="thin">
          <color rgb="00D9DEE7"/>
        </right>
        <top style="thin">
          <color rgb="00D9DEE7"/>
        </top>
        <bottom style="thin">
          <color rgb="00D9DEE7"/>
        </bottom>
      </border>
    </dxf>
    <dxf>
      <fill>
        <patternFill patternType="solid">
          <fgColor rgb="00F7F4FD"/>
          <bgColor rgb="00F7F4FD"/>
        </patternFill>
      </fill>
      <border>
        <left style="thin">
          <color rgb="00D9DEE7"/>
        </left>
        <right style="thin">
          <color rgb="00D9DEE7"/>
        </right>
        <top style="thin">
          <color rgb="00D9DEE7"/>
        </top>
        <bottom style="thin">
          <color rgb="00D9DEE7"/>
        </bottom>
      </border>
    </dxf>
    <dxf>
      <fill>
        <patternFill patternType="solid">
          <fgColor rgb="00F2F7FD"/>
          <bgColor rgb="00F2F7FD"/>
        </patternFill>
      </fill>
      <border>
        <left style="thin">
          <color rgb="00D9DEE7"/>
        </left>
        <right style="thin">
          <color rgb="00D9DEE7"/>
        </right>
        <top style="thin">
          <color rgb="00D9DEE7"/>
        </top>
        <bottom style="thin">
          <color rgb="00D9DEE7"/>
        </bottom>
      </border>
    </dxf>
    <dxf>
      <fill>
        <patternFill patternType="solid">
          <fgColor rgb="00FADDE1"/>
          <bgColor rgb="00FADDE1"/>
        </patternFill>
      </fill>
    </dxf>
    <dxf>
      <fill>
        <patternFill patternType="solid">
          <fgColor rgb="00FBFAFE"/>
          <bgColor rgb="00FBFAFE"/>
        </patternFill>
      </fill>
      <border>
        <left style="thin">
          <color rgb="00D9DEE7"/>
        </left>
        <right style="thin">
          <color rgb="00D9DEE7"/>
        </right>
        <top style="thin">
          <color rgb="00D9DEE7"/>
        </top>
        <bottom style="thin">
          <color rgb="00D9DEE7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B2:C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6" customWidth="1" min="3" max="3"/>
  </cols>
  <sheetData>
    <row r="2" ht="40" customHeight="1">
      <c r="B2" s="1" t="inlineStr">
        <is>
          <t>Outside Counsel Rate &amp; Panel Tracker</t>
        </is>
      </c>
    </row>
    <row r="3">
      <c r="B3" s="2" t="inlineStr">
        <is>
          <t>The approved source for agreed firm rates — for approving rate submissions and for compliance review.</t>
        </is>
      </c>
    </row>
    <row r="5">
      <c r="B5" s="3" t="inlineStr">
        <is>
          <t>TABS</t>
        </is>
      </c>
    </row>
    <row r="6" ht="28" customHeight="1">
      <c r="B6" s="4">
        <f>HYPERLINK("#'Firm Search'!A1","Firm Search  ›")</f>
        <v/>
      </c>
      <c r="C6" s="5" t="inlineStr">
        <is>
          <t>Look up one firm: status, states, dates, cyber status, standard rates, every AFA and its rate history.</t>
        </is>
      </c>
    </row>
    <row r="7" ht="28" customHeight="1">
      <c r="B7" s="6">
        <f>HYPERLINK("#'Rate Check'!A1","Rate Check  ›")</f>
        <v/>
      </c>
      <c r="C7" s="5" t="inlineStr">
        <is>
          <t>Approving a rate submission? Enter the lines — each is marked ✓ Approve / ✗ Exceeds against the rate in effect on the date of service.</t>
        </is>
      </c>
    </row>
    <row r="8" ht="28" customHeight="1">
      <c r="B8" s="7">
        <f>HYPERLINK("#'State Search'!A1","State Search  ›")</f>
        <v/>
      </c>
      <c r="C8" s="5" t="inlineStr">
        <is>
          <t>Pick a state → every active firm approved there, with rates.</t>
        </is>
      </c>
    </row>
    <row r="9" ht="28" customHeight="1">
      <c r="B9" s="8">
        <f>HYPERLINK("#'Firms'!A1","Firms  ›")</f>
        <v/>
      </c>
      <c r="C9" s="5" t="inlineStr">
        <is>
          <t>Master list: Status, Approved States, Approved Since, Rates Effective, 8 standard rates, Cyber Status, pause info, Notes.</t>
        </is>
      </c>
    </row>
    <row r="10" ht="28" customHeight="1">
      <c r="B10" s="9">
        <f>HYPERLINK("#'AFA Rates'!A1","AFA Rates  ›")</f>
        <v/>
      </c>
      <c r="C10" s="5" t="inlineStr">
        <is>
          <t>One row per firm per AFA type: Effective / End dates and the AFA rate for every role.</t>
        </is>
      </c>
    </row>
    <row r="11" ht="28" customHeight="1">
      <c r="B11" s="10">
        <f>HYPERLINK("#'Rate History'!A1","Rate History  ›")</f>
        <v/>
      </c>
      <c r="C11" s="5" t="inlineStr">
        <is>
          <t>Superseded rates with From / To dates. Log old rates here before changing them.</t>
        </is>
      </c>
    </row>
    <row r="12" ht="28" customHeight="1">
      <c r="B12" s="11">
        <f>HYPERLINK("#'All Current Rates'!A1","All Current Rates  ›")</f>
        <v/>
      </c>
      <c r="C12" s="5" t="inlineStr">
        <is>
          <t>Compliance view: every agreed rate (standard + AFA) in one filterable table. Automatic.</t>
        </is>
      </c>
    </row>
    <row r="13" ht="28" customHeight="1">
      <c r="B13" s="12">
        <f>HYPERLINK("#'Do Not Use'!A1","Do Not Use  ›")</f>
        <v/>
      </c>
      <c r="C13" s="5" t="inlineStr">
        <is>
          <t>Automatic list of every firm whose Status is “Paused”.</t>
        </is>
      </c>
    </row>
    <row r="14" ht="28" customHeight="1">
      <c r="B14" s="13">
        <f>HYPERLINK("#'Summary'!A1","Summary  ›")</f>
        <v/>
      </c>
      <c r="C14" s="5" t="inlineStr">
        <is>
          <t>Reporting counts: firms, AFAs, rate reviews due, cyber status, coverage by state.</t>
        </is>
      </c>
    </row>
    <row r="15" ht="28" customHeight="1">
      <c r="B15" s="14">
        <f>HYPERLINK("#'Lists'!A1","Lists  ›")</f>
        <v/>
      </c>
      <c r="C15" s="5" t="inlineStr">
        <is>
          <t>Dropdown options (AFA types, cyber statuses) and the rate-review period (default 12 months).</t>
        </is>
      </c>
    </row>
    <row r="17">
      <c r="B17" s="3" t="inlineStr">
        <is>
          <t>HOW TO…</t>
        </is>
      </c>
    </row>
    <row r="18" ht="30" customHeight="1">
      <c r="B18" s="15" t="inlineStr">
        <is>
          <t>Add a firm</t>
        </is>
      </c>
      <c r="C18" s="5" t="inlineStr">
        <is>
          <t>Firms → next empty row. Fill Status, Approved States, Approved Since, Rates Effective, the 8 rates, Cyber Status, Notes.</t>
        </is>
      </c>
    </row>
    <row r="19" ht="30" customHeight="1">
      <c r="B19" s="15" t="inlineStr">
        <is>
          <t>Add an AFA</t>
        </is>
      </c>
      <c r="C19" s="5" t="inlineStr">
        <is>
          <t>AFA Rates → next empty row → pick Firm and AFA Type → Effective Date (End Date optional) → the AFA rates.</t>
        </is>
      </c>
    </row>
    <row r="20" ht="40" customHeight="1">
      <c r="B20" s="15" t="inlineStr">
        <is>
          <t>Change agreed rates</t>
        </is>
      </c>
      <c r="C20" s="5" t="inlineStr">
        <is>
          <t>1) Rate History → new row: Firm, Schedule (Standard or AFA type), the OLD rates, From = old effective date, To = day before the new rates start.  2) Then overwrite the rates and effective date on Firms (or AFA Rates).</t>
        </is>
      </c>
    </row>
    <row r="21" ht="40" customHeight="1">
      <c r="B21" s="15" t="inlineStr">
        <is>
          <t>Approve a submission</t>
        </is>
      </c>
      <c r="C21" s="5" t="inlineStr">
        <is>
          <t>Rate Check → pick the firm → one line per timekeeper (schedule, role, date of service, submitted rate). Clear the white cells when done.</t>
        </is>
      </c>
    </row>
    <row r="22" ht="30" customHeight="1">
      <c r="B22" s="15" t="inlineStr">
        <is>
          <t>Add a new AFA type</t>
        </is>
      </c>
      <c r="C22" s="5" t="inlineStr">
        <is>
          <t>Lists → type it in the next empty yellow cell. It appears in every dropdown, search and summary.</t>
        </is>
      </c>
    </row>
    <row r="23" ht="30" customHeight="1">
      <c r="B23" s="15" t="inlineStr">
        <is>
          <t>Pause / reinstate</t>
        </is>
      </c>
      <c r="C23" s="5" t="inlineStr">
        <is>
          <t>Firms → Status “Paused” (+ Date Paused, Pause Reason). Back to “Active” to reinstate.</t>
        </is>
      </c>
    </row>
    <row r="24" ht="40" customHeight="1">
      <c r="B24" s="15" t="inlineStr">
        <is>
          <t>Locked cells</t>
        </is>
      </c>
      <c r="C24" s="5" t="inlineStr">
        <is>
          <t>Gray / automatic cells are locked so formulas can't be overwritten. To change the structure: Review → Unprotect Sheet (no password). Re-protect afterwards. Filters work while protected; sorting needs the sheet unprotected.</t>
        </is>
      </c>
    </row>
    <row r="25" ht="40" customHeight="1">
      <c r="B25" s="15" t="inlineStr">
        <is>
          <t>Remove sample data</t>
        </is>
      </c>
      <c r="C25" s="5" t="inlineStr">
        <is>
          <t>Firms starting “Sample:” are examples. Clear their cells on Firms, AFA Rates, Rate History and Rate Check before going live.</t>
        </is>
      </c>
    </row>
    <row r="27">
      <c r="B27" s="3" t="inlineStr">
        <is>
          <t>LEGEND</t>
        </is>
      </c>
    </row>
    <row r="28">
      <c r="B28" s="16" t="inlineStr">
        <is>
          <t>White cell</t>
        </is>
      </c>
      <c r="C28" s="17" t="inlineStr">
        <is>
          <t>You type here.</t>
        </is>
      </c>
    </row>
    <row r="29">
      <c r="B29" s="18" t="inlineStr">
        <is>
          <t>Gray cell / slate header</t>
        </is>
      </c>
      <c r="C29" s="17" t="inlineStr">
        <is>
          <t>Automatic — locked.</t>
        </is>
      </c>
    </row>
    <row r="30">
      <c r="B30" s="19" t="inlineStr">
        <is>
          <t>Yellow cell</t>
        </is>
      </c>
      <c r="C30" s="17" t="inlineStr">
        <is>
          <t>Editable options / settings (Lists tab).</t>
        </is>
      </c>
    </row>
    <row r="31">
      <c r="B31" s="20" t="inlineStr">
        <is>
          <t>Review Due</t>
        </is>
      </c>
      <c r="C31" s="17" t="inlineStr">
        <is>
          <t>Rates older than the review period (Lists tab).</t>
        </is>
      </c>
    </row>
    <row r="32">
      <c r="B32" s="21" t="inlineStr">
        <is>
          <t>Red</t>
        </is>
      </c>
      <c r="C32" s="17" t="inlineStr">
        <is>
          <t>Duplicate entry, expired AFA, paused firm, or a Rate History problem.</t>
        </is>
      </c>
    </row>
    <row r="34">
      <c r="B34" s="22" t="inlineStr">
        <is>
          <t>Capacity: 1,000 firms · 1,000 AFA rows · 2,000 Rate History rows · 30 AFA types. Rates are hourly, USD.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B8F0"/>
    <outlinePr summaryBelow="1" summaryRight="1"/>
    <pageSetUpPr fitToPage="1"/>
  </sheetPr>
  <dimension ref="B2:P5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" customWidth="1" min="11" max="11"/>
    <col width="12" customWidth="1" min="12" max="12"/>
    <col width="15" customWidth="1" min="13" max="13"/>
    <col width="3" customWidth="1" min="14" max="14"/>
    <col hidden="1" width="13" customWidth="1" min="15" max="15"/>
    <col hidden="1" width="13" customWidth="1" min="16" max="16"/>
  </cols>
  <sheetData>
    <row r="1" ht="12" customHeight="1"/>
    <row r="2" ht="40" customHeight="1">
      <c r="B2" s="23" t="inlineStr">
        <is>
          <t>🔎  Firm Search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</row>
    <row r="3" ht="30" customHeight="1">
      <c r="B3" s="25" t="inlineStr">
        <is>
          <t>Type a firm name (or part of one) in the box below, or click the box and use the ▼ dropdown.</t>
        </is>
      </c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</row>
    <row r="5" ht="30" customHeight="1">
      <c r="B5" s="26" t="inlineStr">
        <is>
          <t>Search for a firm:</t>
        </is>
      </c>
      <c r="C5" s="27" t="inlineStr">
        <is>
          <t>Brookstone</t>
        </is>
      </c>
      <c r="D5" s="28" t="n"/>
      <c r="E5" s="28" t="n"/>
      <c r="F5" s="28" t="n"/>
      <c r="G5" s="29" t="n"/>
      <c r="H5" s="30" t="inlineStr">
        <is>
          <t>◄ type here</t>
        </is>
      </c>
    </row>
    <row r="7">
      <c r="B7" s="31" t="inlineStr">
        <is>
          <t>Showing results for:</t>
        </is>
      </c>
      <c r="C7" s="32">
        <f>IF($C$5="","",IFERROR(INDEX(Firms!$A$5:$A$1004,MATCH($C$5,Firms!$A$5:$A$1004,0)),IFERROR(INDEX(Firms_AZ,MATCH("*"&amp;$C$5&amp;"*",Firms_AZ,0)),"No matching firm found")))</f>
        <v/>
      </c>
      <c r="G7" s="33">
        <f>IF(OR($C$5="",ISNUMBER(MATCH($C$5,Firms!$A$5:$A$1004,0))),"",IF(COUNTIF(Firms!$A$5:$A$1004,"*"&amp;$C$5&amp;"*")&gt;1,COUNTIF(Firms!$A$5:$A$1004,"*"&amp;$C$5&amp;"*")&amp;" firms match — showing the first A–Z. Be more specific or use ▼.",""))</f>
        <v/>
      </c>
      <c r="O7">
        <f>IFERROR(MATCH($C$7,Firms!$A$5:$A$1004,0),"")</f>
        <v/>
      </c>
    </row>
    <row r="9" ht="30" customHeight="1">
      <c r="B9" s="34">
        <f>IF($O$7="",IF($C$5="","Enter a firm name above to see its details.","No firm matches that search — check spelling."),IF(INDEX(Firms!$B$5:$B$1004,$O$7)="Paused","⛔  DO NOT USE — this firm is PAUSED"&amp;IF(INDEX(Firms!$S$5:$S$1004,$O$7)&lt;&gt;"",": "&amp;INDEX(Firms!$S$5:$S$1004,$O$7),""),"✓  ACTIVE — approved for use"))</f>
        <v/>
      </c>
      <c r="C9" s="35" t="n"/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</row>
    <row r="11">
      <c r="B11" s="36" t="inlineStr">
        <is>
          <t>FIRM PROFILE</t>
        </is>
      </c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</row>
    <row r="12" ht="21" customHeight="1">
      <c r="B12" s="38" t="inlineStr">
        <is>
          <t>Status</t>
        </is>
      </c>
      <c r="C12" s="5">
        <f>IF($O$7="","",INDEX(Firms!$B$5:$B$1004,$O$7)&amp;"")</f>
        <v/>
      </c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</row>
    <row r="13" ht="21" customHeight="1">
      <c r="B13" s="38" t="inlineStr">
        <is>
          <t>Approved States</t>
        </is>
      </c>
      <c r="C13" s="5">
        <f>IF($O$7="","",IF(INDEX(Firms!$C$5:$C$1004,$O$7)="","—",INDEX(Firms!$C$5:$C$1004,$O$7)))</f>
        <v/>
      </c>
      <c r="D13" s="39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</row>
    <row r="14" ht="21" customHeight="1">
      <c r="B14" s="38" t="inlineStr">
        <is>
          <t>Approved Since</t>
        </is>
      </c>
      <c r="C14" s="5">
        <f>IF($O$7="","",IF(INDEX(Firms!$D$5:$D$1004,$O$7)="","—",TEXT(INDEX(Firms!$D$5:$D$1004,$O$7),"mm/dd/yyyy")))</f>
        <v/>
      </c>
      <c r="D14" s="39" t="n"/>
      <c r="E14" s="39" t="n"/>
      <c r="F14" s="39" t="n"/>
      <c r="G14" s="39" t="n"/>
      <c r="H14" s="39" t="n"/>
      <c r="I14" s="39" t="n"/>
      <c r="J14" s="39" t="n"/>
      <c r="K14" s="39" t="n"/>
      <c r="L14" s="39" t="n"/>
      <c r="M14" s="39" t="n"/>
    </row>
    <row r="15" ht="21" customHeight="1">
      <c r="B15" s="38" t="inlineStr">
        <is>
          <t>Standard Rates Effective</t>
        </is>
      </c>
      <c r="C15" s="5">
        <f>IF($O$7="","",IF(INDEX(Firms!$E$5:$E$1004,$O$7)="","—",TEXT(INDEX(Firms!$E$5:$E$1004,$O$7),"mm/dd/yyyy"))&amp;"   ·   "&amp;INDEX(Firms!$O$5:$O$1004,$O$7))</f>
        <v/>
      </c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</row>
    <row r="16" ht="21" customHeight="1">
      <c r="B16" s="38" t="inlineStr">
        <is>
          <t>Cyber Status</t>
        </is>
      </c>
      <c r="C16" s="5">
        <f>IF($O$7="","",IF(INDEX(Firms!$N$5:$N$1004,$O$7)="","—",INDEX(Firms!$N$5:$N$1004,$O$7)))</f>
        <v/>
      </c>
      <c r="D16" s="39" t="n"/>
      <c r="E16" s="39" t="n"/>
      <c r="F16" s="39" t="n"/>
      <c r="G16" s="39" t="n"/>
      <c r="H16" s="39" t="n"/>
      <c r="I16" s="39" t="n"/>
      <c r="J16" s="39" t="n"/>
      <c r="K16" s="39" t="n"/>
      <c r="L16" s="39" t="n"/>
      <c r="M16" s="39" t="n"/>
    </row>
    <row r="17" ht="21" customHeight="1">
      <c r="B17" s="38" t="inlineStr">
        <is>
          <t>AFA on File?</t>
        </is>
      </c>
      <c r="C17" s="5">
        <f>IF($O$7="","",INDEX(Firms!$P$5:$P$1004,$O$7)&amp;IF(INDEX(Firms!$Q$5:$Q$1004,$O$7)&gt;0," — "&amp;INDEX(Firms!$Q$5:$Q$1004,$O$7)&amp;" active AFA(s)",""))</f>
        <v/>
      </c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</row>
    <row r="18" ht="21" customHeight="1">
      <c r="B18" s="38" t="inlineStr">
        <is>
          <t>Paused</t>
        </is>
      </c>
      <c r="C18" s="5">
        <f>IF($O$7="","",IF(INDEX(Firms!$B$5:$B$1004,$O$7)&lt;&gt;"Paused","—",IF(INDEX(Firms!$R$5:$R$1004,$O$7)="","—",TEXT(INDEX(Firms!$R$5:$R$1004,$O$7),"mm/dd/yyyy"))&amp;IF(INDEX(Firms!$S$5:$S$1004,$O$7)&lt;&gt;"","   ·   "&amp;INDEX(Firms!$S$5:$S$1004,$O$7),"")))</f>
        <v/>
      </c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</row>
    <row r="19" ht="21" customHeight="1">
      <c r="B19" s="38" t="inlineStr">
        <is>
          <t>Rate History</t>
        </is>
      </c>
      <c r="C19" s="5">
        <f>IF($O$7="","",COUNTIF('Rate History'!$A$5:$A$2004,$C$7)&amp;" prior rate row(s) on file — shown below")</f>
        <v/>
      </c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</row>
    <row r="20" ht="40" customHeight="1">
      <c r="B20" s="38" t="inlineStr">
        <is>
          <t>Notes</t>
        </is>
      </c>
      <c r="C20" s="5">
        <f>IF($O$7="","",IF(INDEX(Firms!$T$5:$T$1004,$O$7)="","—",INDEX(Firms!$T$5:$T$1004,$O$7)))</f>
        <v/>
      </c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</row>
    <row r="22">
      <c r="B22" s="40" t="inlineStr">
        <is>
          <t>STANDARD HOURLY RATES</t>
        </is>
      </c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</row>
    <row r="23" ht="32" customHeight="1">
      <c r="B23" s="42" t="inlineStr">
        <is>
          <t>Schedule</t>
        </is>
      </c>
      <c r="C23" s="42" t="inlineStr">
        <is>
          <t>Counsel</t>
        </is>
      </c>
      <c r="D23" s="42" t="inlineStr">
        <is>
          <t>Senior Partner</t>
        </is>
      </c>
      <c r="E23" s="42" t="inlineStr">
        <is>
          <t>Junior Partner</t>
        </is>
      </c>
      <c r="F23" s="42" t="inlineStr">
        <is>
          <t>Partner</t>
        </is>
      </c>
      <c r="G23" s="42" t="inlineStr">
        <is>
          <t>Senior Associate</t>
        </is>
      </c>
      <c r="H23" s="42" t="inlineStr">
        <is>
          <t>Junior Associate</t>
        </is>
      </c>
      <c r="I23" s="42" t="inlineStr">
        <is>
          <t>Associate</t>
        </is>
      </c>
      <c r="J23" s="42" t="inlineStr">
        <is>
          <t>Paralegal</t>
        </is>
      </c>
      <c r="K23" s="42" t="inlineStr">
        <is>
          <t>Effective</t>
        </is>
      </c>
      <c r="L23" s="42" t="inlineStr">
        <is>
          <t>Ends</t>
        </is>
      </c>
      <c r="M23" s="42" t="inlineStr">
        <is>
          <t>Status</t>
        </is>
      </c>
    </row>
    <row r="24" ht="24" customHeight="1">
      <c r="B24" s="43">
        <f>IF($O$7="","","Standard")</f>
        <v/>
      </c>
      <c r="C24" s="44">
        <f>IF($O$7="","",IF(INDEX(Firms!$F$5:$F$1004,$O$7)="","—",INDEX(Firms!$F$5:$F$1004,$O$7)))</f>
        <v/>
      </c>
      <c r="D24" s="44">
        <f>IF($O$7="","",IF(INDEX(Firms!$G$5:$G$1004,$O$7)="","—",INDEX(Firms!$G$5:$G$1004,$O$7)))</f>
        <v/>
      </c>
      <c r="E24" s="44">
        <f>IF($O$7="","",IF(INDEX(Firms!$H$5:$H$1004,$O$7)="","—",INDEX(Firms!$H$5:$H$1004,$O$7)))</f>
        <v/>
      </c>
      <c r="F24" s="44">
        <f>IF($O$7="","",IF(INDEX(Firms!$I$5:$I$1004,$O$7)="","—",INDEX(Firms!$I$5:$I$1004,$O$7)))</f>
        <v/>
      </c>
      <c r="G24" s="44">
        <f>IF($O$7="","",IF(INDEX(Firms!$J$5:$J$1004,$O$7)="","—",INDEX(Firms!$J$5:$J$1004,$O$7)))</f>
        <v/>
      </c>
      <c r="H24" s="44">
        <f>IF($O$7="","",IF(INDEX(Firms!$K$5:$K$1004,$O$7)="","—",INDEX(Firms!$K$5:$K$1004,$O$7)))</f>
        <v/>
      </c>
      <c r="I24" s="44">
        <f>IF($O$7="","",IF(INDEX(Firms!$L$5:$L$1004,$O$7)="","—",INDEX(Firms!$L$5:$L$1004,$O$7)))</f>
        <v/>
      </c>
      <c r="J24" s="44">
        <f>IF($O$7="","",IF(INDEX(Firms!$M$5:$M$1004,$O$7)="","—",INDEX(Firms!$M$5:$M$1004,$O$7)))</f>
        <v/>
      </c>
      <c r="K24" s="45">
        <f>IF($O$7="","",IF(INDEX(Firms!$E$5:$E$1004,$O$7)="","—",TEXT(INDEX(Firms!$E$5:$E$1004,$O$7),"mm/dd/yyyy")))</f>
        <v/>
      </c>
      <c r="L24" s="45">
        <f>IF($O$7="","","—")</f>
        <v/>
      </c>
      <c r="M24" s="45">
        <f>IF($O$7="","",INDEX(Firms!$O$5:$O$1004,$O$7))</f>
        <v/>
      </c>
    </row>
    <row r="26">
      <c r="B26" s="46" t="inlineStr">
        <is>
          <t>AFA RATES (Alternative Fee Arrangements)</t>
        </is>
      </c>
      <c r="C26" s="47" t="n"/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</row>
    <row r="27" ht="32" customHeight="1">
      <c r="B27" s="48" t="inlineStr">
        <is>
          <t>AFA Type</t>
        </is>
      </c>
      <c r="C27" s="48" t="inlineStr">
        <is>
          <t>Counsel</t>
        </is>
      </c>
      <c r="D27" s="48" t="inlineStr">
        <is>
          <t>Senior Partner</t>
        </is>
      </c>
      <c r="E27" s="48" t="inlineStr">
        <is>
          <t>Junior Partner</t>
        </is>
      </c>
      <c r="F27" s="48" t="inlineStr">
        <is>
          <t>Partner</t>
        </is>
      </c>
      <c r="G27" s="48" t="inlineStr">
        <is>
          <t>Senior Associate</t>
        </is>
      </c>
      <c r="H27" s="48" t="inlineStr">
        <is>
          <t>Junior Associate</t>
        </is>
      </c>
      <c r="I27" s="48" t="inlineStr">
        <is>
          <t>Associate</t>
        </is>
      </c>
      <c r="J27" s="48" t="inlineStr">
        <is>
          <t>Paralegal</t>
        </is>
      </c>
      <c r="K27" s="48" t="inlineStr">
        <is>
          <t>Effective</t>
        </is>
      </c>
      <c r="L27" s="48" t="inlineStr">
        <is>
          <t>Ends</t>
        </is>
      </c>
      <c r="M27" s="48" t="inlineStr">
        <is>
          <t>Status</t>
        </is>
      </c>
    </row>
    <row r="28">
      <c r="B28" s="49">
        <f>IF($P28="","",INDEX('AFA Rates'!$B$5:$B$1004,$P28)&amp;"")</f>
        <v/>
      </c>
      <c r="C28" s="50">
        <f>IF($P28="","",IF(INDEX('AFA Rates'!$E$5:$E$1004,$P28)="","—",INDEX('AFA Rates'!$E$5:$E$1004,$P28)))</f>
        <v/>
      </c>
      <c r="D28" s="50">
        <f>IF($P28="","",IF(INDEX('AFA Rates'!$F$5:$F$1004,$P28)="","—",INDEX('AFA Rates'!$F$5:$F$1004,$P28)))</f>
        <v/>
      </c>
      <c r="E28" s="50">
        <f>IF($P28="","",IF(INDEX('AFA Rates'!$G$5:$G$1004,$P28)="","—",INDEX('AFA Rates'!$G$5:$G$1004,$P28)))</f>
        <v/>
      </c>
      <c r="F28" s="50">
        <f>IF($P28="","",IF(INDEX('AFA Rates'!$H$5:$H$1004,$P28)="","—",INDEX('AFA Rates'!$H$5:$H$1004,$P28)))</f>
        <v/>
      </c>
      <c r="G28" s="50">
        <f>IF($P28="","",IF(INDEX('AFA Rates'!$I$5:$I$1004,$P28)="","—",INDEX('AFA Rates'!$I$5:$I$1004,$P28)))</f>
        <v/>
      </c>
      <c r="H28" s="50">
        <f>IF($P28="","",IF(INDEX('AFA Rates'!$J$5:$J$1004,$P28)="","—",INDEX('AFA Rates'!$J$5:$J$1004,$P28)))</f>
        <v/>
      </c>
      <c r="I28" s="50">
        <f>IF($P28="","",IF(INDEX('AFA Rates'!$K$5:$K$1004,$P28)="","—",INDEX('AFA Rates'!$K$5:$K$1004,$P28)))</f>
        <v/>
      </c>
      <c r="J28" s="50">
        <f>IF($P28="","",IF(INDEX('AFA Rates'!$L$5:$L$1004,$P28)="","—",INDEX('AFA Rates'!$L$5:$L$1004,$P28)))</f>
        <v/>
      </c>
      <c r="K28" s="50">
        <f>IF($P28="","",IF(INDEX('AFA Rates'!$C$5:$C$1004,$P28)="","—",TEXT(INDEX('AFA Rates'!$C$5:$C$1004,$P28),"mm/dd/yyyy")))</f>
        <v/>
      </c>
      <c r="L28" s="50">
        <f>IF($P28="","",IF(INDEX('AFA Rates'!$D$5:$D$1004,$P28)="","—",TEXT(INDEX('AFA Rates'!$D$5:$D$1004,$P28),"mm/dd/yyyy")))</f>
        <v/>
      </c>
      <c r="M28" s="50">
        <f>IF($P28="","",INDEX('AFA Rates'!$O$5:$O$1004,$P28))</f>
        <v/>
      </c>
      <c r="P28">
        <f>IFERROR(MATCH(1,'AFA Rates'!$Q$5:$Q$1004,0),"")</f>
        <v/>
      </c>
    </row>
    <row r="29">
      <c r="B29" s="49">
        <f>IF($P29="","",INDEX('AFA Rates'!$B$5:$B$1004,$P29)&amp;"")</f>
        <v/>
      </c>
      <c r="C29" s="50">
        <f>IF($P29="","",IF(INDEX('AFA Rates'!$E$5:$E$1004,$P29)="","—",INDEX('AFA Rates'!$E$5:$E$1004,$P29)))</f>
        <v/>
      </c>
      <c r="D29" s="50">
        <f>IF($P29="","",IF(INDEX('AFA Rates'!$F$5:$F$1004,$P29)="","—",INDEX('AFA Rates'!$F$5:$F$1004,$P29)))</f>
        <v/>
      </c>
      <c r="E29" s="50">
        <f>IF($P29="","",IF(INDEX('AFA Rates'!$G$5:$G$1004,$P29)="","—",INDEX('AFA Rates'!$G$5:$G$1004,$P29)))</f>
        <v/>
      </c>
      <c r="F29" s="50">
        <f>IF($P29="","",IF(INDEX('AFA Rates'!$H$5:$H$1004,$P29)="","—",INDEX('AFA Rates'!$H$5:$H$1004,$P29)))</f>
        <v/>
      </c>
      <c r="G29" s="50">
        <f>IF($P29="","",IF(INDEX('AFA Rates'!$I$5:$I$1004,$P29)="","—",INDEX('AFA Rates'!$I$5:$I$1004,$P29)))</f>
        <v/>
      </c>
      <c r="H29" s="50">
        <f>IF($P29="","",IF(INDEX('AFA Rates'!$J$5:$J$1004,$P29)="","—",INDEX('AFA Rates'!$J$5:$J$1004,$P29)))</f>
        <v/>
      </c>
      <c r="I29" s="50">
        <f>IF($P29="","",IF(INDEX('AFA Rates'!$K$5:$K$1004,$P29)="","—",INDEX('AFA Rates'!$K$5:$K$1004,$P29)))</f>
        <v/>
      </c>
      <c r="J29" s="50">
        <f>IF($P29="","",IF(INDEX('AFA Rates'!$L$5:$L$1004,$P29)="","—",INDEX('AFA Rates'!$L$5:$L$1004,$P29)))</f>
        <v/>
      </c>
      <c r="K29" s="50">
        <f>IF($P29="","",IF(INDEX('AFA Rates'!$C$5:$C$1004,$P29)="","—",TEXT(INDEX('AFA Rates'!$C$5:$C$1004,$P29),"mm/dd/yyyy")))</f>
        <v/>
      </c>
      <c r="L29" s="50">
        <f>IF($P29="","",IF(INDEX('AFA Rates'!$D$5:$D$1004,$P29)="","—",TEXT(INDEX('AFA Rates'!$D$5:$D$1004,$P29),"mm/dd/yyyy")))</f>
        <v/>
      </c>
      <c r="M29" s="50">
        <f>IF($P29="","",INDEX('AFA Rates'!$O$5:$O$1004,$P29))</f>
        <v/>
      </c>
      <c r="P29">
        <f>IFERROR(MATCH(2,'AFA Rates'!$Q$5:$Q$1004,0),"")</f>
        <v/>
      </c>
    </row>
    <row r="30">
      <c r="B30" s="49">
        <f>IF($P30="","",INDEX('AFA Rates'!$B$5:$B$1004,$P30)&amp;"")</f>
        <v/>
      </c>
      <c r="C30" s="50">
        <f>IF($P30="","",IF(INDEX('AFA Rates'!$E$5:$E$1004,$P30)="","—",INDEX('AFA Rates'!$E$5:$E$1004,$P30)))</f>
        <v/>
      </c>
      <c r="D30" s="50">
        <f>IF($P30="","",IF(INDEX('AFA Rates'!$F$5:$F$1004,$P30)="","—",INDEX('AFA Rates'!$F$5:$F$1004,$P30)))</f>
        <v/>
      </c>
      <c r="E30" s="50">
        <f>IF($P30="","",IF(INDEX('AFA Rates'!$G$5:$G$1004,$P30)="","—",INDEX('AFA Rates'!$G$5:$G$1004,$P30)))</f>
        <v/>
      </c>
      <c r="F30" s="50">
        <f>IF($P30="","",IF(INDEX('AFA Rates'!$H$5:$H$1004,$P30)="","—",INDEX('AFA Rates'!$H$5:$H$1004,$P30)))</f>
        <v/>
      </c>
      <c r="G30" s="50">
        <f>IF($P30="","",IF(INDEX('AFA Rates'!$I$5:$I$1004,$P30)="","—",INDEX('AFA Rates'!$I$5:$I$1004,$P30)))</f>
        <v/>
      </c>
      <c r="H30" s="50">
        <f>IF($P30="","",IF(INDEX('AFA Rates'!$J$5:$J$1004,$P30)="","—",INDEX('AFA Rates'!$J$5:$J$1004,$P30)))</f>
        <v/>
      </c>
      <c r="I30" s="50">
        <f>IF($P30="","",IF(INDEX('AFA Rates'!$K$5:$K$1004,$P30)="","—",INDEX('AFA Rates'!$K$5:$K$1004,$P30)))</f>
        <v/>
      </c>
      <c r="J30" s="50">
        <f>IF($P30="","",IF(INDEX('AFA Rates'!$L$5:$L$1004,$P30)="","—",INDEX('AFA Rates'!$L$5:$L$1004,$P30)))</f>
        <v/>
      </c>
      <c r="K30" s="50">
        <f>IF($P30="","",IF(INDEX('AFA Rates'!$C$5:$C$1004,$P30)="","—",TEXT(INDEX('AFA Rates'!$C$5:$C$1004,$P30),"mm/dd/yyyy")))</f>
        <v/>
      </c>
      <c r="L30" s="50">
        <f>IF($P30="","",IF(INDEX('AFA Rates'!$D$5:$D$1004,$P30)="","—",TEXT(INDEX('AFA Rates'!$D$5:$D$1004,$P30),"mm/dd/yyyy")))</f>
        <v/>
      </c>
      <c r="M30" s="50">
        <f>IF($P30="","",INDEX('AFA Rates'!$O$5:$O$1004,$P30))</f>
        <v/>
      </c>
      <c r="P30">
        <f>IFERROR(MATCH(3,'AFA Rates'!$Q$5:$Q$1004,0),"")</f>
        <v/>
      </c>
    </row>
    <row r="31">
      <c r="B31" s="49">
        <f>IF($P31="","",INDEX('AFA Rates'!$B$5:$B$1004,$P31)&amp;"")</f>
        <v/>
      </c>
      <c r="C31" s="50">
        <f>IF($P31="","",IF(INDEX('AFA Rates'!$E$5:$E$1004,$P31)="","—",INDEX('AFA Rates'!$E$5:$E$1004,$P31)))</f>
        <v/>
      </c>
      <c r="D31" s="50">
        <f>IF($P31="","",IF(INDEX('AFA Rates'!$F$5:$F$1004,$P31)="","—",INDEX('AFA Rates'!$F$5:$F$1004,$P31)))</f>
        <v/>
      </c>
      <c r="E31" s="50">
        <f>IF($P31="","",IF(INDEX('AFA Rates'!$G$5:$G$1004,$P31)="","—",INDEX('AFA Rates'!$G$5:$G$1004,$P31)))</f>
        <v/>
      </c>
      <c r="F31" s="50">
        <f>IF($P31="","",IF(INDEX('AFA Rates'!$H$5:$H$1004,$P31)="","—",INDEX('AFA Rates'!$H$5:$H$1004,$P31)))</f>
        <v/>
      </c>
      <c r="G31" s="50">
        <f>IF($P31="","",IF(INDEX('AFA Rates'!$I$5:$I$1004,$P31)="","—",INDEX('AFA Rates'!$I$5:$I$1004,$P31)))</f>
        <v/>
      </c>
      <c r="H31" s="50">
        <f>IF($P31="","",IF(INDEX('AFA Rates'!$J$5:$J$1004,$P31)="","—",INDEX('AFA Rates'!$J$5:$J$1004,$P31)))</f>
        <v/>
      </c>
      <c r="I31" s="50">
        <f>IF($P31="","",IF(INDEX('AFA Rates'!$K$5:$K$1004,$P31)="","—",INDEX('AFA Rates'!$K$5:$K$1004,$P31)))</f>
        <v/>
      </c>
      <c r="J31" s="50">
        <f>IF($P31="","",IF(INDEX('AFA Rates'!$L$5:$L$1004,$P31)="","—",INDEX('AFA Rates'!$L$5:$L$1004,$P31)))</f>
        <v/>
      </c>
      <c r="K31" s="50">
        <f>IF($P31="","",IF(INDEX('AFA Rates'!$C$5:$C$1004,$P31)="","—",TEXT(INDEX('AFA Rates'!$C$5:$C$1004,$P31),"mm/dd/yyyy")))</f>
        <v/>
      </c>
      <c r="L31" s="50">
        <f>IF($P31="","",IF(INDEX('AFA Rates'!$D$5:$D$1004,$P31)="","—",TEXT(INDEX('AFA Rates'!$D$5:$D$1004,$P31),"mm/dd/yyyy")))</f>
        <v/>
      </c>
      <c r="M31" s="50">
        <f>IF($P31="","",INDEX('AFA Rates'!$O$5:$O$1004,$P31))</f>
        <v/>
      </c>
      <c r="P31">
        <f>IFERROR(MATCH(4,'AFA Rates'!$Q$5:$Q$1004,0),"")</f>
        <v/>
      </c>
    </row>
    <row r="32">
      <c r="B32" s="49">
        <f>IF($P32="","",INDEX('AFA Rates'!$B$5:$B$1004,$P32)&amp;"")</f>
        <v/>
      </c>
      <c r="C32" s="50">
        <f>IF($P32="","",IF(INDEX('AFA Rates'!$E$5:$E$1004,$P32)="","—",INDEX('AFA Rates'!$E$5:$E$1004,$P32)))</f>
        <v/>
      </c>
      <c r="D32" s="50">
        <f>IF($P32="","",IF(INDEX('AFA Rates'!$F$5:$F$1004,$P32)="","—",INDEX('AFA Rates'!$F$5:$F$1004,$P32)))</f>
        <v/>
      </c>
      <c r="E32" s="50">
        <f>IF($P32="","",IF(INDEX('AFA Rates'!$G$5:$G$1004,$P32)="","—",INDEX('AFA Rates'!$G$5:$G$1004,$P32)))</f>
        <v/>
      </c>
      <c r="F32" s="50">
        <f>IF($P32="","",IF(INDEX('AFA Rates'!$H$5:$H$1004,$P32)="","—",INDEX('AFA Rates'!$H$5:$H$1004,$P32)))</f>
        <v/>
      </c>
      <c r="G32" s="50">
        <f>IF($P32="","",IF(INDEX('AFA Rates'!$I$5:$I$1004,$P32)="","—",INDEX('AFA Rates'!$I$5:$I$1004,$P32)))</f>
        <v/>
      </c>
      <c r="H32" s="50">
        <f>IF($P32="","",IF(INDEX('AFA Rates'!$J$5:$J$1004,$P32)="","—",INDEX('AFA Rates'!$J$5:$J$1004,$P32)))</f>
        <v/>
      </c>
      <c r="I32" s="50">
        <f>IF($P32="","",IF(INDEX('AFA Rates'!$K$5:$K$1004,$P32)="","—",INDEX('AFA Rates'!$K$5:$K$1004,$P32)))</f>
        <v/>
      </c>
      <c r="J32" s="50">
        <f>IF($P32="","",IF(INDEX('AFA Rates'!$L$5:$L$1004,$P32)="","—",INDEX('AFA Rates'!$L$5:$L$1004,$P32)))</f>
        <v/>
      </c>
      <c r="K32" s="50">
        <f>IF($P32="","",IF(INDEX('AFA Rates'!$C$5:$C$1004,$P32)="","—",TEXT(INDEX('AFA Rates'!$C$5:$C$1004,$P32),"mm/dd/yyyy")))</f>
        <v/>
      </c>
      <c r="L32" s="50">
        <f>IF($P32="","",IF(INDEX('AFA Rates'!$D$5:$D$1004,$P32)="","—",TEXT(INDEX('AFA Rates'!$D$5:$D$1004,$P32),"mm/dd/yyyy")))</f>
        <v/>
      </c>
      <c r="M32" s="50">
        <f>IF($P32="","",INDEX('AFA Rates'!$O$5:$O$1004,$P32))</f>
        <v/>
      </c>
      <c r="P32">
        <f>IFERROR(MATCH(5,'AFA Rates'!$Q$5:$Q$1004,0),"")</f>
        <v/>
      </c>
    </row>
    <row r="33">
      <c r="B33" s="49">
        <f>IF($P33="","",INDEX('AFA Rates'!$B$5:$B$1004,$P33)&amp;"")</f>
        <v/>
      </c>
      <c r="C33" s="50">
        <f>IF($P33="","",IF(INDEX('AFA Rates'!$E$5:$E$1004,$P33)="","—",INDEX('AFA Rates'!$E$5:$E$1004,$P33)))</f>
        <v/>
      </c>
      <c r="D33" s="50">
        <f>IF($P33="","",IF(INDEX('AFA Rates'!$F$5:$F$1004,$P33)="","—",INDEX('AFA Rates'!$F$5:$F$1004,$P33)))</f>
        <v/>
      </c>
      <c r="E33" s="50">
        <f>IF($P33="","",IF(INDEX('AFA Rates'!$G$5:$G$1004,$P33)="","—",INDEX('AFA Rates'!$G$5:$G$1004,$P33)))</f>
        <v/>
      </c>
      <c r="F33" s="50">
        <f>IF($P33="","",IF(INDEX('AFA Rates'!$H$5:$H$1004,$P33)="","—",INDEX('AFA Rates'!$H$5:$H$1004,$P33)))</f>
        <v/>
      </c>
      <c r="G33" s="50">
        <f>IF($P33="","",IF(INDEX('AFA Rates'!$I$5:$I$1004,$P33)="","—",INDEX('AFA Rates'!$I$5:$I$1004,$P33)))</f>
        <v/>
      </c>
      <c r="H33" s="50">
        <f>IF($P33="","",IF(INDEX('AFA Rates'!$J$5:$J$1004,$P33)="","—",INDEX('AFA Rates'!$J$5:$J$1004,$P33)))</f>
        <v/>
      </c>
      <c r="I33" s="50">
        <f>IF($P33="","",IF(INDEX('AFA Rates'!$K$5:$K$1004,$P33)="","—",INDEX('AFA Rates'!$K$5:$K$1004,$P33)))</f>
        <v/>
      </c>
      <c r="J33" s="50">
        <f>IF($P33="","",IF(INDEX('AFA Rates'!$L$5:$L$1004,$P33)="","—",INDEX('AFA Rates'!$L$5:$L$1004,$P33)))</f>
        <v/>
      </c>
      <c r="K33" s="50">
        <f>IF($P33="","",IF(INDEX('AFA Rates'!$C$5:$C$1004,$P33)="","—",TEXT(INDEX('AFA Rates'!$C$5:$C$1004,$P33),"mm/dd/yyyy")))</f>
        <v/>
      </c>
      <c r="L33" s="50">
        <f>IF($P33="","",IF(INDEX('AFA Rates'!$D$5:$D$1004,$P33)="","—",TEXT(INDEX('AFA Rates'!$D$5:$D$1004,$P33),"mm/dd/yyyy")))</f>
        <v/>
      </c>
      <c r="M33" s="50">
        <f>IF($P33="","",INDEX('AFA Rates'!$O$5:$O$1004,$P33))</f>
        <v/>
      </c>
      <c r="P33">
        <f>IFERROR(MATCH(6,'AFA Rates'!$Q$5:$Q$1004,0),"")</f>
        <v/>
      </c>
    </row>
    <row r="34">
      <c r="B34" s="49">
        <f>IF($P34="","",INDEX('AFA Rates'!$B$5:$B$1004,$P34)&amp;"")</f>
        <v/>
      </c>
      <c r="C34" s="50">
        <f>IF($P34="","",IF(INDEX('AFA Rates'!$E$5:$E$1004,$P34)="","—",INDEX('AFA Rates'!$E$5:$E$1004,$P34)))</f>
        <v/>
      </c>
      <c r="D34" s="50">
        <f>IF($P34="","",IF(INDEX('AFA Rates'!$F$5:$F$1004,$P34)="","—",INDEX('AFA Rates'!$F$5:$F$1004,$P34)))</f>
        <v/>
      </c>
      <c r="E34" s="50">
        <f>IF($P34="","",IF(INDEX('AFA Rates'!$G$5:$G$1004,$P34)="","—",INDEX('AFA Rates'!$G$5:$G$1004,$P34)))</f>
        <v/>
      </c>
      <c r="F34" s="50">
        <f>IF($P34="","",IF(INDEX('AFA Rates'!$H$5:$H$1004,$P34)="","—",INDEX('AFA Rates'!$H$5:$H$1004,$P34)))</f>
        <v/>
      </c>
      <c r="G34" s="50">
        <f>IF($P34="","",IF(INDEX('AFA Rates'!$I$5:$I$1004,$P34)="","—",INDEX('AFA Rates'!$I$5:$I$1004,$P34)))</f>
        <v/>
      </c>
      <c r="H34" s="50">
        <f>IF($P34="","",IF(INDEX('AFA Rates'!$J$5:$J$1004,$P34)="","—",INDEX('AFA Rates'!$J$5:$J$1004,$P34)))</f>
        <v/>
      </c>
      <c r="I34" s="50">
        <f>IF($P34="","",IF(INDEX('AFA Rates'!$K$5:$K$1004,$P34)="","—",INDEX('AFA Rates'!$K$5:$K$1004,$P34)))</f>
        <v/>
      </c>
      <c r="J34" s="50">
        <f>IF($P34="","",IF(INDEX('AFA Rates'!$L$5:$L$1004,$P34)="","—",INDEX('AFA Rates'!$L$5:$L$1004,$P34)))</f>
        <v/>
      </c>
      <c r="K34" s="50">
        <f>IF($P34="","",IF(INDEX('AFA Rates'!$C$5:$C$1004,$P34)="","—",TEXT(INDEX('AFA Rates'!$C$5:$C$1004,$P34),"mm/dd/yyyy")))</f>
        <v/>
      </c>
      <c r="L34" s="50">
        <f>IF($P34="","",IF(INDEX('AFA Rates'!$D$5:$D$1004,$P34)="","—",TEXT(INDEX('AFA Rates'!$D$5:$D$1004,$P34),"mm/dd/yyyy")))</f>
        <v/>
      </c>
      <c r="M34" s="50">
        <f>IF($P34="","",INDEX('AFA Rates'!$O$5:$O$1004,$P34))</f>
        <v/>
      </c>
      <c r="P34">
        <f>IFERROR(MATCH(7,'AFA Rates'!$Q$5:$Q$1004,0),"")</f>
        <v/>
      </c>
    </row>
    <row r="35">
      <c r="B35" s="49">
        <f>IF($P35="","",INDEX('AFA Rates'!$B$5:$B$1004,$P35)&amp;"")</f>
        <v/>
      </c>
      <c r="C35" s="50">
        <f>IF($P35="","",IF(INDEX('AFA Rates'!$E$5:$E$1004,$P35)="","—",INDEX('AFA Rates'!$E$5:$E$1004,$P35)))</f>
        <v/>
      </c>
      <c r="D35" s="50">
        <f>IF($P35="","",IF(INDEX('AFA Rates'!$F$5:$F$1004,$P35)="","—",INDEX('AFA Rates'!$F$5:$F$1004,$P35)))</f>
        <v/>
      </c>
      <c r="E35" s="50">
        <f>IF($P35="","",IF(INDEX('AFA Rates'!$G$5:$G$1004,$P35)="","—",INDEX('AFA Rates'!$G$5:$G$1004,$P35)))</f>
        <v/>
      </c>
      <c r="F35" s="50">
        <f>IF($P35="","",IF(INDEX('AFA Rates'!$H$5:$H$1004,$P35)="","—",INDEX('AFA Rates'!$H$5:$H$1004,$P35)))</f>
        <v/>
      </c>
      <c r="G35" s="50">
        <f>IF($P35="","",IF(INDEX('AFA Rates'!$I$5:$I$1004,$P35)="","—",INDEX('AFA Rates'!$I$5:$I$1004,$P35)))</f>
        <v/>
      </c>
      <c r="H35" s="50">
        <f>IF($P35="","",IF(INDEX('AFA Rates'!$J$5:$J$1004,$P35)="","—",INDEX('AFA Rates'!$J$5:$J$1004,$P35)))</f>
        <v/>
      </c>
      <c r="I35" s="50">
        <f>IF($P35="","",IF(INDEX('AFA Rates'!$K$5:$K$1004,$P35)="","—",INDEX('AFA Rates'!$K$5:$K$1004,$P35)))</f>
        <v/>
      </c>
      <c r="J35" s="50">
        <f>IF($P35="","",IF(INDEX('AFA Rates'!$L$5:$L$1004,$P35)="","—",INDEX('AFA Rates'!$L$5:$L$1004,$P35)))</f>
        <v/>
      </c>
      <c r="K35" s="50">
        <f>IF($P35="","",IF(INDEX('AFA Rates'!$C$5:$C$1004,$P35)="","—",TEXT(INDEX('AFA Rates'!$C$5:$C$1004,$P35),"mm/dd/yyyy")))</f>
        <v/>
      </c>
      <c r="L35" s="50">
        <f>IF($P35="","",IF(INDEX('AFA Rates'!$D$5:$D$1004,$P35)="","—",TEXT(INDEX('AFA Rates'!$D$5:$D$1004,$P35),"mm/dd/yyyy")))</f>
        <v/>
      </c>
      <c r="M35" s="50">
        <f>IF($P35="","",INDEX('AFA Rates'!$O$5:$O$1004,$P35))</f>
        <v/>
      </c>
      <c r="P35">
        <f>IFERROR(MATCH(8,'AFA Rates'!$Q$5:$Q$1004,0),"")</f>
        <v/>
      </c>
    </row>
    <row r="36">
      <c r="B36" s="49">
        <f>IF($P36="","",INDEX('AFA Rates'!$B$5:$B$1004,$P36)&amp;"")</f>
        <v/>
      </c>
      <c r="C36" s="50">
        <f>IF($P36="","",IF(INDEX('AFA Rates'!$E$5:$E$1004,$P36)="","—",INDEX('AFA Rates'!$E$5:$E$1004,$P36)))</f>
        <v/>
      </c>
      <c r="D36" s="50">
        <f>IF($P36="","",IF(INDEX('AFA Rates'!$F$5:$F$1004,$P36)="","—",INDEX('AFA Rates'!$F$5:$F$1004,$P36)))</f>
        <v/>
      </c>
      <c r="E36" s="50">
        <f>IF($P36="","",IF(INDEX('AFA Rates'!$G$5:$G$1004,$P36)="","—",INDEX('AFA Rates'!$G$5:$G$1004,$P36)))</f>
        <v/>
      </c>
      <c r="F36" s="50">
        <f>IF($P36="","",IF(INDEX('AFA Rates'!$H$5:$H$1004,$P36)="","—",INDEX('AFA Rates'!$H$5:$H$1004,$P36)))</f>
        <v/>
      </c>
      <c r="G36" s="50">
        <f>IF($P36="","",IF(INDEX('AFA Rates'!$I$5:$I$1004,$P36)="","—",INDEX('AFA Rates'!$I$5:$I$1004,$P36)))</f>
        <v/>
      </c>
      <c r="H36" s="50">
        <f>IF($P36="","",IF(INDEX('AFA Rates'!$J$5:$J$1004,$P36)="","—",INDEX('AFA Rates'!$J$5:$J$1004,$P36)))</f>
        <v/>
      </c>
      <c r="I36" s="50">
        <f>IF($P36="","",IF(INDEX('AFA Rates'!$K$5:$K$1004,$P36)="","—",INDEX('AFA Rates'!$K$5:$K$1004,$P36)))</f>
        <v/>
      </c>
      <c r="J36" s="50">
        <f>IF($P36="","",IF(INDEX('AFA Rates'!$L$5:$L$1004,$P36)="","—",INDEX('AFA Rates'!$L$5:$L$1004,$P36)))</f>
        <v/>
      </c>
      <c r="K36" s="50">
        <f>IF($P36="","",IF(INDEX('AFA Rates'!$C$5:$C$1004,$P36)="","—",TEXT(INDEX('AFA Rates'!$C$5:$C$1004,$P36),"mm/dd/yyyy")))</f>
        <v/>
      </c>
      <c r="L36" s="50">
        <f>IF($P36="","",IF(INDEX('AFA Rates'!$D$5:$D$1004,$P36)="","—",TEXT(INDEX('AFA Rates'!$D$5:$D$1004,$P36),"mm/dd/yyyy")))</f>
        <v/>
      </c>
      <c r="M36" s="50">
        <f>IF($P36="","",INDEX('AFA Rates'!$O$5:$O$1004,$P36))</f>
        <v/>
      </c>
      <c r="P36">
        <f>IFERROR(MATCH(9,'AFA Rates'!$Q$5:$Q$1004,0),"")</f>
        <v/>
      </c>
    </row>
    <row r="37">
      <c r="B37" s="49">
        <f>IF($P37="","",INDEX('AFA Rates'!$B$5:$B$1004,$P37)&amp;"")</f>
        <v/>
      </c>
      <c r="C37" s="50">
        <f>IF($P37="","",IF(INDEX('AFA Rates'!$E$5:$E$1004,$P37)="","—",INDEX('AFA Rates'!$E$5:$E$1004,$P37)))</f>
        <v/>
      </c>
      <c r="D37" s="50">
        <f>IF($P37="","",IF(INDEX('AFA Rates'!$F$5:$F$1004,$P37)="","—",INDEX('AFA Rates'!$F$5:$F$1004,$P37)))</f>
        <v/>
      </c>
      <c r="E37" s="50">
        <f>IF($P37="","",IF(INDEX('AFA Rates'!$G$5:$G$1004,$P37)="","—",INDEX('AFA Rates'!$G$5:$G$1004,$P37)))</f>
        <v/>
      </c>
      <c r="F37" s="50">
        <f>IF($P37="","",IF(INDEX('AFA Rates'!$H$5:$H$1004,$P37)="","—",INDEX('AFA Rates'!$H$5:$H$1004,$P37)))</f>
        <v/>
      </c>
      <c r="G37" s="50">
        <f>IF($P37="","",IF(INDEX('AFA Rates'!$I$5:$I$1004,$P37)="","—",INDEX('AFA Rates'!$I$5:$I$1004,$P37)))</f>
        <v/>
      </c>
      <c r="H37" s="50">
        <f>IF($P37="","",IF(INDEX('AFA Rates'!$J$5:$J$1004,$P37)="","—",INDEX('AFA Rates'!$J$5:$J$1004,$P37)))</f>
        <v/>
      </c>
      <c r="I37" s="50">
        <f>IF($P37="","",IF(INDEX('AFA Rates'!$K$5:$K$1004,$P37)="","—",INDEX('AFA Rates'!$K$5:$K$1004,$P37)))</f>
        <v/>
      </c>
      <c r="J37" s="50">
        <f>IF($P37="","",IF(INDEX('AFA Rates'!$L$5:$L$1004,$P37)="","—",INDEX('AFA Rates'!$L$5:$L$1004,$P37)))</f>
        <v/>
      </c>
      <c r="K37" s="50">
        <f>IF($P37="","",IF(INDEX('AFA Rates'!$C$5:$C$1004,$P37)="","—",TEXT(INDEX('AFA Rates'!$C$5:$C$1004,$P37),"mm/dd/yyyy")))</f>
        <v/>
      </c>
      <c r="L37" s="50">
        <f>IF($P37="","",IF(INDEX('AFA Rates'!$D$5:$D$1004,$P37)="","—",TEXT(INDEX('AFA Rates'!$D$5:$D$1004,$P37),"mm/dd/yyyy")))</f>
        <v/>
      </c>
      <c r="M37" s="50">
        <f>IF($P37="","",INDEX('AFA Rates'!$O$5:$O$1004,$P37))</f>
        <v/>
      </c>
      <c r="P37">
        <f>IFERROR(MATCH(10,'AFA Rates'!$Q$5:$Q$1004,0),"")</f>
        <v/>
      </c>
    </row>
    <row r="38">
      <c r="B38" s="49">
        <f>IF($P38="","",INDEX('AFA Rates'!$B$5:$B$1004,$P38)&amp;"")</f>
        <v/>
      </c>
      <c r="C38" s="50">
        <f>IF($P38="","",IF(INDEX('AFA Rates'!$E$5:$E$1004,$P38)="","—",INDEX('AFA Rates'!$E$5:$E$1004,$P38)))</f>
        <v/>
      </c>
      <c r="D38" s="50">
        <f>IF($P38="","",IF(INDEX('AFA Rates'!$F$5:$F$1004,$P38)="","—",INDEX('AFA Rates'!$F$5:$F$1004,$P38)))</f>
        <v/>
      </c>
      <c r="E38" s="50">
        <f>IF($P38="","",IF(INDEX('AFA Rates'!$G$5:$G$1004,$P38)="","—",INDEX('AFA Rates'!$G$5:$G$1004,$P38)))</f>
        <v/>
      </c>
      <c r="F38" s="50">
        <f>IF($P38="","",IF(INDEX('AFA Rates'!$H$5:$H$1004,$P38)="","—",INDEX('AFA Rates'!$H$5:$H$1004,$P38)))</f>
        <v/>
      </c>
      <c r="G38" s="50">
        <f>IF($P38="","",IF(INDEX('AFA Rates'!$I$5:$I$1004,$P38)="","—",INDEX('AFA Rates'!$I$5:$I$1004,$P38)))</f>
        <v/>
      </c>
      <c r="H38" s="50">
        <f>IF($P38="","",IF(INDEX('AFA Rates'!$J$5:$J$1004,$P38)="","—",INDEX('AFA Rates'!$J$5:$J$1004,$P38)))</f>
        <v/>
      </c>
      <c r="I38" s="50">
        <f>IF($P38="","",IF(INDEX('AFA Rates'!$K$5:$K$1004,$P38)="","—",INDEX('AFA Rates'!$K$5:$K$1004,$P38)))</f>
        <v/>
      </c>
      <c r="J38" s="50">
        <f>IF($P38="","",IF(INDEX('AFA Rates'!$L$5:$L$1004,$P38)="","—",INDEX('AFA Rates'!$L$5:$L$1004,$P38)))</f>
        <v/>
      </c>
      <c r="K38" s="50">
        <f>IF($P38="","",IF(INDEX('AFA Rates'!$C$5:$C$1004,$P38)="","—",TEXT(INDEX('AFA Rates'!$C$5:$C$1004,$P38),"mm/dd/yyyy")))</f>
        <v/>
      </c>
      <c r="L38" s="50">
        <f>IF($P38="","",IF(INDEX('AFA Rates'!$D$5:$D$1004,$P38)="","—",TEXT(INDEX('AFA Rates'!$D$5:$D$1004,$P38),"mm/dd/yyyy")))</f>
        <v/>
      </c>
      <c r="M38" s="50">
        <f>IF($P38="","",INDEX('AFA Rates'!$O$5:$O$1004,$P38))</f>
        <v/>
      </c>
      <c r="P38">
        <f>IFERROR(MATCH(11,'AFA Rates'!$Q$5:$Q$1004,0),"")</f>
        <v/>
      </c>
    </row>
    <row r="39">
      <c r="B39" s="49">
        <f>IF($P39="","",INDEX('AFA Rates'!$B$5:$B$1004,$P39)&amp;"")</f>
        <v/>
      </c>
      <c r="C39" s="50">
        <f>IF($P39="","",IF(INDEX('AFA Rates'!$E$5:$E$1004,$P39)="","—",INDEX('AFA Rates'!$E$5:$E$1004,$P39)))</f>
        <v/>
      </c>
      <c r="D39" s="50">
        <f>IF($P39="","",IF(INDEX('AFA Rates'!$F$5:$F$1004,$P39)="","—",INDEX('AFA Rates'!$F$5:$F$1004,$P39)))</f>
        <v/>
      </c>
      <c r="E39" s="50">
        <f>IF($P39="","",IF(INDEX('AFA Rates'!$G$5:$G$1004,$P39)="","—",INDEX('AFA Rates'!$G$5:$G$1004,$P39)))</f>
        <v/>
      </c>
      <c r="F39" s="50">
        <f>IF($P39="","",IF(INDEX('AFA Rates'!$H$5:$H$1004,$P39)="","—",INDEX('AFA Rates'!$H$5:$H$1004,$P39)))</f>
        <v/>
      </c>
      <c r="G39" s="50">
        <f>IF($P39="","",IF(INDEX('AFA Rates'!$I$5:$I$1004,$P39)="","—",INDEX('AFA Rates'!$I$5:$I$1004,$P39)))</f>
        <v/>
      </c>
      <c r="H39" s="50">
        <f>IF($P39="","",IF(INDEX('AFA Rates'!$J$5:$J$1004,$P39)="","—",INDEX('AFA Rates'!$J$5:$J$1004,$P39)))</f>
        <v/>
      </c>
      <c r="I39" s="50">
        <f>IF($P39="","",IF(INDEX('AFA Rates'!$K$5:$K$1004,$P39)="","—",INDEX('AFA Rates'!$K$5:$K$1004,$P39)))</f>
        <v/>
      </c>
      <c r="J39" s="50">
        <f>IF($P39="","",IF(INDEX('AFA Rates'!$L$5:$L$1004,$P39)="","—",INDEX('AFA Rates'!$L$5:$L$1004,$P39)))</f>
        <v/>
      </c>
      <c r="K39" s="50">
        <f>IF($P39="","",IF(INDEX('AFA Rates'!$C$5:$C$1004,$P39)="","—",TEXT(INDEX('AFA Rates'!$C$5:$C$1004,$P39),"mm/dd/yyyy")))</f>
        <v/>
      </c>
      <c r="L39" s="50">
        <f>IF($P39="","",IF(INDEX('AFA Rates'!$D$5:$D$1004,$P39)="","—",TEXT(INDEX('AFA Rates'!$D$5:$D$1004,$P39),"mm/dd/yyyy")))</f>
        <v/>
      </c>
      <c r="M39" s="50">
        <f>IF($P39="","",INDEX('AFA Rates'!$O$5:$O$1004,$P39))</f>
        <v/>
      </c>
      <c r="P39">
        <f>IFERROR(MATCH(12,'AFA Rates'!$Q$5:$Q$1004,0),"")</f>
        <v/>
      </c>
    </row>
    <row r="40">
      <c r="B40" s="51">
        <f>IF($O$7="","",IF(COUNTIF('AFA Rates'!$A$5:$A$1004,$C$7)=0,"No AFA on file for this firm — standard rates apply.",""))</f>
        <v/>
      </c>
    </row>
    <row r="42">
      <c r="B42" s="52" t="inlineStr">
        <is>
          <t>RATE HISTORY (prior agreed rates)</t>
        </is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53" t="n"/>
      <c r="M42" s="53" t="n"/>
    </row>
    <row r="43" ht="32" customHeight="1">
      <c r="B43" s="54" t="inlineStr">
        <is>
          <t>Schedule</t>
        </is>
      </c>
      <c r="C43" s="54" t="inlineStr">
        <is>
          <t>Counsel</t>
        </is>
      </c>
      <c r="D43" s="54" t="inlineStr">
        <is>
          <t>Senior Partner</t>
        </is>
      </c>
      <c r="E43" s="54" t="inlineStr">
        <is>
          <t>Junior Partner</t>
        </is>
      </c>
      <c r="F43" s="54" t="inlineStr">
        <is>
          <t>Partner</t>
        </is>
      </c>
      <c r="G43" s="54" t="inlineStr">
        <is>
          <t>Senior Associate</t>
        </is>
      </c>
      <c r="H43" s="54" t="inlineStr">
        <is>
          <t>Junior Associate</t>
        </is>
      </c>
      <c r="I43" s="54" t="inlineStr">
        <is>
          <t>Associate</t>
        </is>
      </c>
      <c r="J43" s="54" t="inlineStr">
        <is>
          <t>Paralegal</t>
        </is>
      </c>
      <c r="K43" s="54" t="inlineStr">
        <is>
          <t>From</t>
        </is>
      </c>
      <c r="L43" s="54" t="inlineStr">
        <is>
          <t>To</t>
        </is>
      </c>
      <c r="M43" s="54" t="inlineStr">
        <is>
          <t>Reason</t>
        </is>
      </c>
    </row>
    <row r="44">
      <c r="B44" s="55">
        <f>IF($P44="","",IF(INDEX('Rate History'!$B$5:$B$2004,$P44)="","Standard",INDEX('Rate History'!$B$5:$B$2004,$P44)))</f>
        <v/>
      </c>
      <c r="C44" s="50">
        <f>IF($P44="","",IF(INDEX('Rate History'!$E$5:$E$2004,$P44)="","—",INDEX('Rate History'!$E$5:$E$2004,$P44)))</f>
        <v/>
      </c>
      <c r="D44" s="50">
        <f>IF($P44="","",IF(INDEX('Rate History'!$F$5:$F$2004,$P44)="","—",INDEX('Rate History'!$F$5:$F$2004,$P44)))</f>
        <v/>
      </c>
      <c r="E44" s="50">
        <f>IF($P44="","",IF(INDEX('Rate History'!$G$5:$G$2004,$P44)="","—",INDEX('Rate History'!$G$5:$G$2004,$P44)))</f>
        <v/>
      </c>
      <c r="F44" s="50">
        <f>IF($P44="","",IF(INDEX('Rate History'!$H$5:$H$2004,$P44)="","—",INDEX('Rate History'!$H$5:$H$2004,$P44)))</f>
        <v/>
      </c>
      <c r="G44" s="50">
        <f>IF($P44="","",IF(INDEX('Rate History'!$I$5:$I$2004,$P44)="","—",INDEX('Rate History'!$I$5:$I$2004,$P44)))</f>
        <v/>
      </c>
      <c r="H44" s="50">
        <f>IF($P44="","",IF(INDEX('Rate History'!$J$5:$J$2004,$P44)="","—",INDEX('Rate History'!$J$5:$J$2004,$P44)))</f>
        <v/>
      </c>
      <c r="I44" s="50">
        <f>IF($P44="","",IF(INDEX('Rate History'!$K$5:$K$2004,$P44)="","—",INDEX('Rate History'!$K$5:$K$2004,$P44)))</f>
        <v/>
      </c>
      <c r="J44" s="50">
        <f>IF($P44="","",IF(INDEX('Rate History'!$L$5:$L$2004,$P44)="","—",INDEX('Rate History'!$L$5:$L$2004,$P44)))</f>
        <v/>
      </c>
      <c r="K44" s="50">
        <f>IF($P44="","",IF(INDEX('Rate History'!$C$5:$C$2004,$P44)="","—",TEXT(INDEX('Rate History'!$C$5:$C$2004,$P44),"mm/dd/yyyy")))</f>
        <v/>
      </c>
      <c r="L44" s="50">
        <f>IF($P44="","",IF(INDEX('Rate History'!$D$5:$D$2004,$P44)="","—",TEXT(INDEX('Rate History'!$D$5:$D$2004,$P44),"mm/dd/yyyy")))</f>
        <v/>
      </c>
      <c r="M44" s="56">
        <f>IF($P44="","",INDEX('Rate History'!$M$5:$M$2004,$P44)&amp;"")</f>
        <v/>
      </c>
      <c r="P44">
        <f>IFERROR(MATCH(1,'Rate History'!$Q$5:$Q$2004,0),"")</f>
        <v/>
      </c>
    </row>
    <row r="45">
      <c r="B45" s="55">
        <f>IF($P45="","",IF(INDEX('Rate History'!$B$5:$B$2004,$P45)="","Standard",INDEX('Rate History'!$B$5:$B$2004,$P45)))</f>
        <v/>
      </c>
      <c r="C45" s="50">
        <f>IF($P45="","",IF(INDEX('Rate History'!$E$5:$E$2004,$P45)="","—",INDEX('Rate History'!$E$5:$E$2004,$P45)))</f>
        <v/>
      </c>
      <c r="D45" s="50">
        <f>IF($P45="","",IF(INDEX('Rate History'!$F$5:$F$2004,$P45)="","—",INDEX('Rate History'!$F$5:$F$2004,$P45)))</f>
        <v/>
      </c>
      <c r="E45" s="50">
        <f>IF($P45="","",IF(INDEX('Rate History'!$G$5:$G$2004,$P45)="","—",INDEX('Rate History'!$G$5:$G$2004,$P45)))</f>
        <v/>
      </c>
      <c r="F45" s="50">
        <f>IF($P45="","",IF(INDEX('Rate History'!$H$5:$H$2004,$P45)="","—",INDEX('Rate History'!$H$5:$H$2004,$P45)))</f>
        <v/>
      </c>
      <c r="G45" s="50">
        <f>IF($P45="","",IF(INDEX('Rate History'!$I$5:$I$2004,$P45)="","—",INDEX('Rate History'!$I$5:$I$2004,$P45)))</f>
        <v/>
      </c>
      <c r="H45" s="50">
        <f>IF($P45="","",IF(INDEX('Rate History'!$J$5:$J$2004,$P45)="","—",INDEX('Rate History'!$J$5:$J$2004,$P45)))</f>
        <v/>
      </c>
      <c r="I45" s="50">
        <f>IF($P45="","",IF(INDEX('Rate History'!$K$5:$K$2004,$P45)="","—",INDEX('Rate History'!$K$5:$K$2004,$P45)))</f>
        <v/>
      </c>
      <c r="J45" s="50">
        <f>IF($P45="","",IF(INDEX('Rate History'!$L$5:$L$2004,$P45)="","—",INDEX('Rate History'!$L$5:$L$2004,$P45)))</f>
        <v/>
      </c>
      <c r="K45" s="50">
        <f>IF($P45="","",IF(INDEX('Rate History'!$C$5:$C$2004,$P45)="","—",TEXT(INDEX('Rate History'!$C$5:$C$2004,$P45),"mm/dd/yyyy")))</f>
        <v/>
      </c>
      <c r="L45" s="50">
        <f>IF($P45="","",IF(INDEX('Rate History'!$D$5:$D$2004,$P45)="","—",TEXT(INDEX('Rate History'!$D$5:$D$2004,$P45),"mm/dd/yyyy")))</f>
        <v/>
      </c>
      <c r="M45" s="56">
        <f>IF($P45="","",INDEX('Rate History'!$M$5:$M$2004,$P45)&amp;"")</f>
        <v/>
      </c>
      <c r="P45">
        <f>IFERROR(MATCH(2,'Rate History'!$Q$5:$Q$2004,0),"")</f>
        <v/>
      </c>
    </row>
    <row r="46">
      <c r="B46" s="55">
        <f>IF($P46="","",IF(INDEX('Rate History'!$B$5:$B$2004,$P46)="","Standard",INDEX('Rate History'!$B$5:$B$2004,$P46)))</f>
        <v/>
      </c>
      <c r="C46" s="50">
        <f>IF($P46="","",IF(INDEX('Rate History'!$E$5:$E$2004,$P46)="","—",INDEX('Rate History'!$E$5:$E$2004,$P46)))</f>
        <v/>
      </c>
      <c r="D46" s="50">
        <f>IF($P46="","",IF(INDEX('Rate History'!$F$5:$F$2004,$P46)="","—",INDEX('Rate History'!$F$5:$F$2004,$P46)))</f>
        <v/>
      </c>
      <c r="E46" s="50">
        <f>IF($P46="","",IF(INDEX('Rate History'!$G$5:$G$2004,$P46)="","—",INDEX('Rate History'!$G$5:$G$2004,$P46)))</f>
        <v/>
      </c>
      <c r="F46" s="50">
        <f>IF($P46="","",IF(INDEX('Rate History'!$H$5:$H$2004,$P46)="","—",INDEX('Rate History'!$H$5:$H$2004,$P46)))</f>
        <v/>
      </c>
      <c r="G46" s="50">
        <f>IF($P46="","",IF(INDEX('Rate History'!$I$5:$I$2004,$P46)="","—",INDEX('Rate History'!$I$5:$I$2004,$P46)))</f>
        <v/>
      </c>
      <c r="H46" s="50">
        <f>IF($P46="","",IF(INDEX('Rate History'!$J$5:$J$2004,$P46)="","—",INDEX('Rate History'!$J$5:$J$2004,$P46)))</f>
        <v/>
      </c>
      <c r="I46" s="50">
        <f>IF($P46="","",IF(INDEX('Rate History'!$K$5:$K$2004,$P46)="","—",INDEX('Rate History'!$K$5:$K$2004,$P46)))</f>
        <v/>
      </c>
      <c r="J46" s="50">
        <f>IF($P46="","",IF(INDEX('Rate History'!$L$5:$L$2004,$P46)="","—",INDEX('Rate History'!$L$5:$L$2004,$P46)))</f>
        <v/>
      </c>
      <c r="K46" s="50">
        <f>IF($P46="","",IF(INDEX('Rate History'!$C$5:$C$2004,$P46)="","—",TEXT(INDEX('Rate History'!$C$5:$C$2004,$P46),"mm/dd/yyyy")))</f>
        <v/>
      </c>
      <c r="L46" s="50">
        <f>IF($P46="","",IF(INDEX('Rate History'!$D$5:$D$2004,$P46)="","—",TEXT(INDEX('Rate History'!$D$5:$D$2004,$P46),"mm/dd/yyyy")))</f>
        <v/>
      </c>
      <c r="M46" s="56">
        <f>IF($P46="","",INDEX('Rate History'!$M$5:$M$2004,$P46)&amp;"")</f>
        <v/>
      </c>
      <c r="P46">
        <f>IFERROR(MATCH(3,'Rate History'!$Q$5:$Q$2004,0),"")</f>
        <v/>
      </c>
    </row>
    <row r="47">
      <c r="B47" s="55">
        <f>IF($P47="","",IF(INDEX('Rate History'!$B$5:$B$2004,$P47)="","Standard",INDEX('Rate History'!$B$5:$B$2004,$P47)))</f>
        <v/>
      </c>
      <c r="C47" s="50">
        <f>IF($P47="","",IF(INDEX('Rate History'!$E$5:$E$2004,$P47)="","—",INDEX('Rate History'!$E$5:$E$2004,$P47)))</f>
        <v/>
      </c>
      <c r="D47" s="50">
        <f>IF($P47="","",IF(INDEX('Rate History'!$F$5:$F$2004,$P47)="","—",INDEX('Rate History'!$F$5:$F$2004,$P47)))</f>
        <v/>
      </c>
      <c r="E47" s="50">
        <f>IF($P47="","",IF(INDEX('Rate History'!$G$5:$G$2004,$P47)="","—",INDEX('Rate History'!$G$5:$G$2004,$P47)))</f>
        <v/>
      </c>
      <c r="F47" s="50">
        <f>IF($P47="","",IF(INDEX('Rate History'!$H$5:$H$2004,$P47)="","—",INDEX('Rate History'!$H$5:$H$2004,$P47)))</f>
        <v/>
      </c>
      <c r="G47" s="50">
        <f>IF($P47="","",IF(INDEX('Rate History'!$I$5:$I$2004,$P47)="","—",INDEX('Rate History'!$I$5:$I$2004,$P47)))</f>
        <v/>
      </c>
      <c r="H47" s="50">
        <f>IF($P47="","",IF(INDEX('Rate History'!$J$5:$J$2004,$P47)="","—",INDEX('Rate History'!$J$5:$J$2004,$P47)))</f>
        <v/>
      </c>
      <c r="I47" s="50">
        <f>IF($P47="","",IF(INDEX('Rate History'!$K$5:$K$2004,$P47)="","—",INDEX('Rate History'!$K$5:$K$2004,$P47)))</f>
        <v/>
      </c>
      <c r="J47" s="50">
        <f>IF($P47="","",IF(INDEX('Rate History'!$L$5:$L$2004,$P47)="","—",INDEX('Rate History'!$L$5:$L$2004,$P47)))</f>
        <v/>
      </c>
      <c r="K47" s="50">
        <f>IF($P47="","",IF(INDEX('Rate History'!$C$5:$C$2004,$P47)="","—",TEXT(INDEX('Rate History'!$C$5:$C$2004,$P47),"mm/dd/yyyy")))</f>
        <v/>
      </c>
      <c r="L47" s="50">
        <f>IF($P47="","",IF(INDEX('Rate History'!$D$5:$D$2004,$P47)="","—",TEXT(INDEX('Rate History'!$D$5:$D$2004,$P47),"mm/dd/yyyy")))</f>
        <v/>
      </c>
      <c r="M47" s="56">
        <f>IF($P47="","",INDEX('Rate History'!$M$5:$M$2004,$P47)&amp;"")</f>
        <v/>
      </c>
      <c r="P47">
        <f>IFERROR(MATCH(4,'Rate History'!$Q$5:$Q$2004,0),"")</f>
        <v/>
      </c>
    </row>
    <row r="48">
      <c r="B48" s="55">
        <f>IF($P48="","",IF(INDEX('Rate History'!$B$5:$B$2004,$P48)="","Standard",INDEX('Rate History'!$B$5:$B$2004,$P48)))</f>
        <v/>
      </c>
      <c r="C48" s="50">
        <f>IF($P48="","",IF(INDEX('Rate History'!$E$5:$E$2004,$P48)="","—",INDEX('Rate History'!$E$5:$E$2004,$P48)))</f>
        <v/>
      </c>
      <c r="D48" s="50">
        <f>IF($P48="","",IF(INDEX('Rate History'!$F$5:$F$2004,$P48)="","—",INDEX('Rate History'!$F$5:$F$2004,$P48)))</f>
        <v/>
      </c>
      <c r="E48" s="50">
        <f>IF($P48="","",IF(INDEX('Rate History'!$G$5:$G$2004,$P48)="","—",INDEX('Rate History'!$G$5:$G$2004,$P48)))</f>
        <v/>
      </c>
      <c r="F48" s="50">
        <f>IF($P48="","",IF(INDEX('Rate History'!$H$5:$H$2004,$P48)="","—",INDEX('Rate History'!$H$5:$H$2004,$P48)))</f>
        <v/>
      </c>
      <c r="G48" s="50">
        <f>IF($P48="","",IF(INDEX('Rate History'!$I$5:$I$2004,$P48)="","—",INDEX('Rate History'!$I$5:$I$2004,$P48)))</f>
        <v/>
      </c>
      <c r="H48" s="50">
        <f>IF($P48="","",IF(INDEX('Rate History'!$J$5:$J$2004,$P48)="","—",INDEX('Rate History'!$J$5:$J$2004,$P48)))</f>
        <v/>
      </c>
      <c r="I48" s="50">
        <f>IF($P48="","",IF(INDEX('Rate History'!$K$5:$K$2004,$P48)="","—",INDEX('Rate History'!$K$5:$K$2004,$P48)))</f>
        <v/>
      </c>
      <c r="J48" s="50">
        <f>IF($P48="","",IF(INDEX('Rate History'!$L$5:$L$2004,$P48)="","—",INDEX('Rate History'!$L$5:$L$2004,$P48)))</f>
        <v/>
      </c>
      <c r="K48" s="50">
        <f>IF($P48="","",IF(INDEX('Rate History'!$C$5:$C$2004,$P48)="","—",TEXT(INDEX('Rate History'!$C$5:$C$2004,$P48),"mm/dd/yyyy")))</f>
        <v/>
      </c>
      <c r="L48" s="50">
        <f>IF($P48="","",IF(INDEX('Rate History'!$D$5:$D$2004,$P48)="","—",TEXT(INDEX('Rate History'!$D$5:$D$2004,$P48),"mm/dd/yyyy")))</f>
        <v/>
      </c>
      <c r="M48" s="56">
        <f>IF($P48="","",INDEX('Rate History'!$M$5:$M$2004,$P48)&amp;"")</f>
        <v/>
      </c>
      <c r="P48">
        <f>IFERROR(MATCH(5,'Rate History'!$Q$5:$Q$2004,0),"")</f>
        <v/>
      </c>
    </row>
    <row r="49">
      <c r="B49" s="55">
        <f>IF($P49="","",IF(INDEX('Rate History'!$B$5:$B$2004,$P49)="","Standard",INDEX('Rate History'!$B$5:$B$2004,$P49)))</f>
        <v/>
      </c>
      <c r="C49" s="50">
        <f>IF($P49="","",IF(INDEX('Rate History'!$E$5:$E$2004,$P49)="","—",INDEX('Rate History'!$E$5:$E$2004,$P49)))</f>
        <v/>
      </c>
      <c r="D49" s="50">
        <f>IF($P49="","",IF(INDEX('Rate History'!$F$5:$F$2004,$P49)="","—",INDEX('Rate History'!$F$5:$F$2004,$P49)))</f>
        <v/>
      </c>
      <c r="E49" s="50">
        <f>IF($P49="","",IF(INDEX('Rate History'!$G$5:$G$2004,$P49)="","—",INDEX('Rate History'!$G$5:$G$2004,$P49)))</f>
        <v/>
      </c>
      <c r="F49" s="50">
        <f>IF($P49="","",IF(INDEX('Rate History'!$H$5:$H$2004,$P49)="","—",INDEX('Rate History'!$H$5:$H$2004,$P49)))</f>
        <v/>
      </c>
      <c r="G49" s="50">
        <f>IF($P49="","",IF(INDEX('Rate History'!$I$5:$I$2004,$P49)="","—",INDEX('Rate History'!$I$5:$I$2004,$P49)))</f>
        <v/>
      </c>
      <c r="H49" s="50">
        <f>IF($P49="","",IF(INDEX('Rate History'!$J$5:$J$2004,$P49)="","—",INDEX('Rate History'!$J$5:$J$2004,$P49)))</f>
        <v/>
      </c>
      <c r="I49" s="50">
        <f>IF($P49="","",IF(INDEX('Rate History'!$K$5:$K$2004,$P49)="","—",INDEX('Rate History'!$K$5:$K$2004,$P49)))</f>
        <v/>
      </c>
      <c r="J49" s="50">
        <f>IF($P49="","",IF(INDEX('Rate History'!$L$5:$L$2004,$P49)="","—",INDEX('Rate History'!$L$5:$L$2004,$P49)))</f>
        <v/>
      </c>
      <c r="K49" s="50">
        <f>IF($P49="","",IF(INDEX('Rate History'!$C$5:$C$2004,$P49)="","—",TEXT(INDEX('Rate History'!$C$5:$C$2004,$P49),"mm/dd/yyyy")))</f>
        <v/>
      </c>
      <c r="L49" s="50">
        <f>IF($P49="","",IF(INDEX('Rate History'!$D$5:$D$2004,$P49)="","—",TEXT(INDEX('Rate History'!$D$5:$D$2004,$P49),"mm/dd/yyyy")))</f>
        <v/>
      </c>
      <c r="M49" s="56">
        <f>IF($P49="","",INDEX('Rate History'!$M$5:$M$2004,$P49)&amp;"")</f>
        <v/>
      </c>
      <c r="P49">
        <f>IFERROR(MATCH(6,'Rate History'!$Q$5:$Q$2004,0),"")</f>
        <v/>
      </c>
    </row>
    <row r="50">
      <c r="B50" s="55">
        <f>IF($P50="","",IF(INDEX('Rate History'!$B$5:$B$2004,$P50)="","Standard",INDEX('Rate History'!$B$5:$B$2004,$P50)))</f>
        <v/>
      </c>
      <c r="C50" s="50">
        <f>IF($P50="","",IF(INDEX('Rate History'!$E$5:$E$2004,$P50)="","—",INDEX('Rate History'!$E$5:$E$2004,$P50)))</f>
        <v/>
      </c>
      <c r="D50" s="50">
        <f>IF($P50="","",IF(INDEX('Rate History'!$F$5:$F$2004,$P50)="","—",INDEX('Rate History'!$F$5:$F$2004,$P50)))</f>
        <v/>
      </c>
      <c r="E50" s="50">
        <f>IF($P50="","",IF(INDEX('Rate History'!$G$5:$G$2004,$P50)="","—",INDEX('Rate History'!$G$5:$G$2004,$P50)))</f>
        <v/>
      </c>
      <c r="F50" s="50">
        <f>IF($P50="","",IF(INDEX('Rate History'!$H$5:$H$2004,$P50)="","—",INDEX('Rate History'!$H$5:$H$2004,$P50)))</f>
        <v/>
      </c>
      <c r="G50" s="50">
        <f>IF($P50="","",IF(INDEX('Rate History'!$I$5:$I$2004,$P50)="","—",INDEX('Rate History'!$I$5:$I$2004,$P50)))</f>
        <v/>
      </c>
      <c r="H50" s="50">
        <f>IF($P50="","",IF(INDEX('Rate History'!$J$5:$J$2004,$P50)="","—",INDEX('Rate History'!$J$5:$J$2004,$P50)))</f>
        <v/>
      </c>
      <c r="I50" s="50">
        <f>IF($P50="","",IF(INDEX('Rate History'!$K$5:$K$2004,$P50)="","—",INDEX('Rate History'!$K$5:$K$2004,$P50)))</f>
        <v/>
      </c>
      <c r="J50" s="50">
        <f>IF($P50="","",IF(INDEX('Rate History'!$L$5:$L$2004,$P50)="","—",INDEX('Rate History'!$L$5:$L$2004,$P50)))</f>
        <v/>
      </c>
      <c r="K50" s="50">
        <f>IF($P50="","",IF(INDEX('Rate History'!$C$5:$C$2004,$P50)="","—",TEXT(INDEX('Rate History'!$C$5:$C$2004,$P50),"mm/dd/yyyy")))</f>
        <v/>
      </c>
      <c r="L50" s="50">
        <f>IF($P50="","",IF(INDEX('Rate History'!$D$5:$D$2004,$P50)="","—",TEXT(INDEX('Rate History'!$D$5:$D$2004,$P50),"mm/dd/yyyy")))</f>
        <v/>
      </c>
      <c r="M50" s="56">
        <f>IF($P50="","",INDEX('Rate History'!$M$5:$M$2004,$P50)&amp;"")</f>
        <v/>
      </c>
      <c r="P50">
        <f>IFERROR(MATCH(7,'Rate History'!$Q$5:$Q$2004,0),"")</f>
        <v/>
      </c>
    </row>
    <row r="51">
      <c r="B51" s="55">
        <f>IF($P51="","",IF(INDEX('Rate History'!$B$5:$B$2004,$P51)="","Standard",INDEX('Rate History'!$B$5:$B$2004,$P51)))</f>
        <v/>
      </c>
      <c r="C51" s="50">
        <f>IF($P51="","",IF(INDEX('Rate History'!$E$5:$E$2004,$P51)="","—",INDEX('Rate History'!$E$5:$E$2004,$P51)))</f>
        <v/>
      </c>
      <c r="D51" s="50">
        <f>IF($P51="","",IF(INDEX('Rate History'!$F$5:$F$2004,$P51)="","—",INDEX('Rate History'!$F$5:$F$2004,$P51)))</f>
        <v/>
      </c>
      <c r="E51" s="50">
        <f>IF($P51="","",IF(INDEX('Rate History'!$G$5:$G$2004,$P51)="","—",INDEX('Rate History'!$G$5:$G$2004,$P51)))</f>
        <v/>
      </c>
      <c r="F51" s="50">
        <f>IF($P51="","",IF(INDEX('Rate History'!$H$5:$H$2004,$P51)="","—",INDEX('Rate History'!$H$5:$H$2004,$P51)))</f>
        <v/>
      </c>
      <c r="G51" s="50">
        <f>IF($P51="","",IF(INDEX('Rate History'!$I$5:$I$2004,$P51)="","—",INDEX('Rate History'!$I$5:$I$2004,$P51)))</f>
        <v/>
      </c>
      <c r="H51" s="50">
        <f>IF($P51="","",IF(INDEX('Rate History'!$J$5:$J$2004,$P51)="","—",INDEX('Rate History'!$J$5:$J$2004,$P51)))</f>
        <v/>
      </c>
      <c r="I51" s="50">
        <f>IF($P51="","",IF(INDEX('Rate History'!$K$5:$K$2004,$P51)="","—",INDEX('Rate History'!$K$5:$K$2004,$P51)))</f>
        <v/>
      </c>
      <c r="J51" s="50">
        <f>IF($P51="","",IF(INDEX('Rate History'!$L$5:$L$2004,$P51)="","—",INDEX('Rate History'!$L$5:$L$2004,$P51)))</f>
        <v/>
      </c>
      <c r="K51" s="50">
        <f>IF($P51="","",IF(INDEX('Rate History'!$C$5:$C$2004,$P51)="","—",TEXT(INDEX('Rate History'!$C$5:$C$2004,$P51),"mm/dd/yyyy")))</f>
        <v/>
      </c>
      <c r="L51" s="50">
        <f>IF($P51="","",IF(INDEX('Rate History'!$D$5:$D$2004,$P51)="","—",TEXT(INDEX('Rate History'!$D$5:$D$2004,$P51),"mm/dd/yyyy")))</f>
        <v/>
      </c>
      <c r="M51" s="56">
        <f>IF($P51="","",INDEX('Rate History'!$M$5:$M$2004,$P51)&amp;"")</f>
        <v/>
      </c>
      <c r="P51">
        <f>IFERROR(MATCH(8,'Rate History'!$Q$5:$Q$2004,0),"")</f>
        <v/>
      </c>
    </row>
    <row r="52">
      <c r="B52" s="55">
        <f>IF($P52="","",IF(INDEX('Rate History'!$B$5:$B$2004,$P52)="","Standard",INDEX('Rate History'!$B$5:$B$2004,$P52)))</f>
        <v/>
      </c>
      <c r="C52" s="50">
        <f>IF($P52="","",IF(INDEX('Rate History'!$E$5:$E$2004,$P52)="","—",INDEX('Rate History'!$E$5:$E$2004,$P52)))</f>
        <v/>
      </c>
      <c r="D52" s="50">
        <f>IF($P52="","",IF(INDEX('Rate History'!$F$5:$F$2004,$P52)="","—",INDEX('Rate History'!$F$5:$F$2004,$P52)))</f>
        <v/>
      </c>
      <c r="E52" s="50">
        <f>IF($P52="","",IF(INDEX('Rate History'!$G$5:$G$2004,$P52)="","—",INDEX('Rate History'!$G$5:$G$2004,$P52)))</f>
        <v/>
      </c>
      <c r="F52" s="50">
        <f>IF($P52="","",IF(INDEX('Rate History'!$H$5:$H$2004,$P52)="","—",INDEX('Rate History'!$H$5:$H$2004,$P52)))</f>
        <v/>
      </c>
      <c r="G52" s="50">
        <f>IF($P52="","",IF(INDEX('Rate History'!$I$5:$I$2004,$P52)="","—",INDEX('Rate History'!$I$5:$I$2004,$P52)))</f>
        <v/>
      </c>
      <c r="H52" s="50">
        <f>IF($P52="","",IF(INDEX('Rate History'!$J$5:$J$2004,$P52)="","—",INDEX('Rate History'!$J$5:$J$2004,$P52)))</f>
        <v/>
      </c>
      <c r="I52" s="50">
        <f>IF($P52="","",IF(INDEX('Rate History'!$K$5:$K$2004,$P52)="","—",INDEX('Rate History'!$K$5:$K$2004,$P52)))</f>
        <v/>
      </c>
      <c r="J52" s="50">
        <f>IF($P52="","",IF(INDEX('Rate History'!$L$5:$L$2004,$P52)="","—",INDEX('Rate History'!$L$5:$L$2004,$P52)))</f>
        <v/>
      </c>
      <c r="K52" s="50">
        <f>IF($P52="","",IF(INDEX('Rate History'!$C$5:$C$2004,$P52)="","—",TEXT(INDEX('Rate History'!$C$5:$C$2004,$P52),"mm/dd/yyyy")))</f>
        <v/>
      </c>
      <c r="L52" s="50">
        <f>IF($P52="","",IF(INDEX('Rate History'!$D$5:$D$2004,$P52)="","—",TEXT(INDEX('Rate History'!$D$5:$D$2004,$P52),"mm/dd/yyyy")))</f>
        <v/>
      </c>
      <c r="M52" s="56">
        <f>IF($P52="","",INDEX('Rate History'!$M$5:$M$2004,$P52)&amp;"")</f>
        <v/>
      </c>
      <c r="P52">
        <f>IFERROR(MATCH(9,'Rate History'!$Q$5:$Q$2004,0),"")</f>
        <v/>
      </c>
    </row>
    <row r="53">
      <c r="B53" s="55">
        <f>IF($P53="","",IF(INDEX('Rate History'!$B$5:$B$2004,$P53)="","Standard",INDEX('Rate History'!$B$5:$B$2004,$P53)))</f>
        <v/>
      </c>
      <c r="C53" s="50">
        <f>IF($P53="","",IF(INDEX('Rate History'!$E$5:$E$2004,$P53)="","—",INDEX('Rate History'!$E$5:$E$2004,$P53)))</f>
        <v/>
      </c>
      <c r="D53" s="50">
        <f>IF($P53="","",IF(INDEX('Rate History'!$F$5:$F$2004,$P53)="","—",INDEX('Rate History'!$F$5:$F$2004,$P53)))</f>
        <v/>
      </c>
      <c r="E53" s="50">
        <f>IF($P53="","",IF(INDEX('Rate History'!$G$5:$G$2004,$P53)="","—",INDEX('Rate History'!$G$5:$G$2004,$P53)))</f>
        <v/>
      </c>
      <c r="F53" s="50">
        <f>IF($P53="","",IF(INDEX('Rate History'!$H$5:$H$2004,$P53)="","—",INDEX('Rate History'!$H$5:$H$2004,$P53)))</f>
        <v/>
      </c>
      <c r="G53" s="50">
        <f>IF($P53="","",IF(INDEX('Rate History'!$I$5:$I$2004,$P53)="","—",INDEX('Rate History'!$I$5:$I$2004,$P53)))</f>
        <v/>
      </c>
      <c r="H53" s="50">
        <f>IF($P53="","",IF(INDEX('Rate History'!$J$5:$J$2004,$P53)="","—",INDEX('Rate History'!$J$5:$J$2004,$P53)))</f>
        <v/>
      </c>
      <c r="I53" s="50">
        <f>IF($P53="","",IF(INDEX('Rate History'!$K$5:$K$2004,$P53)="","—",INDEX('Rate History'!$K$5:$K$2004,$P53)))</f>
        <v/>
      </c>
      <c r="J53" s="50">
        <f>IF($P53="","",IF(INDEX('Rate History'!$L$5:$L$2004,$P53)="","—",INDEX('Rate History'!$L$5:$L$2004,$P53)))</f>
        <v/>
      </c>
      <c r="K53" s="50">
        <f>IF($P53="","",IF(INDEX('Rate History'!$C$5:$C$2004,$P53)="","—",TEXT(INDEX('Rate History'!$C$5:$C$2004,$P53),"mm/dd/yyyy")))</f>
        <v/>
      </c>
      <c r="L53" s="50">
        <f>IF($P53="","",IF(INDEX('Rate History'!$D$5:$D$2004,$P53)="","—",TEXT(INDEX('Rate History'!$D$5:$D$2004,$P53),"mm/dd/yyyy")))</f>
        <v/>
      </c>
      <c r="M53" s="56">
        <f>IF($P53="","",INDEX('Rate History'!$M$5:$M$2004,$P53)&amp;"")</f>
        <v/>
      </c>
      <c r="P53">
        <f>IFERROR(MATCH(10,'Rate History'!$Q$5:$Q$2004,0),"")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0">
    <mergeCell ref="B2:M2"/>
    <mergeCell ref="B11:M11"/>
    <mergeCell ref="B42:M42"/>
    <mergeCell ref="C15:M15"/>
    <mergeCell ref="C7:F7"/>
    <mergeCell ref="C5:G5"/>
    <mergeCell ref="C14:M14"/>
    <mergeCell ref="C20:M20"/>
    <mergeCell ref="C16:M16"/>
    <mergeCell ref="B40:M40"/>
    <mergeCell ref="B9:M9"/>
    <mergeCell ref="C12:M12"/>
    <mergeCell ref="G7:M7"/>
    <mergeCell ref="B26:M26"/>
    <mergeCell ref="C17:M17"/>
    <mergeCell ref="B3:M3"/>
    <mergeCell ref="B22:M22"/>
    <mergeCell ref="C19:M19"/>
    <mergeCell ref="C13:M13"/>
    <mergeCell ref="C18:M18"/>
  </mergeCells>
  <conditionalFormatting sqref="B9:M9">
    <cfRule type="expression" priority="1" dxfId="0">
      <formula>LEFT($B$9,1)="⛔"</formula>
    </cfRule>
    <cfRule type="expression" priority="2" dxfId="1">
      <formula>LEFT($B$9,1)="✓"</formula>
    </cfRule>
  </conditionalFormatting>
  <conditionalFormatting sqref="B28:M39">
    <cfRule type="expression" priority="3" dxfId="2">
      <formula>$B28&lt;&gt;""</formula>
    </cfRule>
  </conditionalFormatting>
  <conditionalFormatting sqref="B44:M53">
    <cfRule type="expression" priority="4" dxfId="3">
      <formula>$B44&lt;&gt;""</formula>
    </cfRule>
  </conditionalFormatting>
  <conditionalFormatting sqref="M24:M39">
    <cfRule type="cellIs" priority="5" operator="equal" dxfId="1">
      <formula>"Current"</formula>
    </cfRule>
    <cfRule type="cellIs" priority="6" operator="equal" dxfId="1">
      <formula>"Active"</formula>
    </cfRule>
    <cfRule type="cellIs" priority="7" operator="equal" dxfId="4">
      <formula>"Review Due"</formula>
    </cfRule>
    <cfRule type="cellIs" priority="8" operator="equal" dxfId="0">
      <formula>"Expired"</formula>
    </cfRule>
    <cfRule type="cellIs" priority="9" operator="equal" dxfId="0">
      <formula>"Paused"</formula>
    </cfRule>
    <cfRule type="cellIs" priority="10" operator="equal" dxfId="5">
      <formula>"Not yet effective"</formula>
    </cfRule>
    <cfRule type="cellIs" priority="11" operator="equal" dxfId="6">
      <formula>"No date"</formula>
    </cfRule>
    <cfRule type="cellIs" priority="12" operator="equal" dxfId="7">
      <formula>"Not on Firms tab"</formula>
    </cfRule>
  </conditionalFormatting>
  <dataValidations count="1">
    <dataValidation sqref="C5" showDropDown="0" showInputMessage="0" showErrorMessage="0" allowBlank="1" type="list">
      <formula1>=Firm_List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A8DCC0"/>
    <outlinePr summaryBelow="1" summaryRight="1"/>
    <pageSetUpPr fitToPage="1"/>
  </sheetPr>
  <dimension ref="B2:V43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18" customWidth="1" min="4" max="4"/>
    <col width="14" customWidth="1" min="5" max="5"/>
    <col width="13" customWidth="1" min="6" max="6"/>
    <col width="13" customWidth="1" min="7" max="7"/>
    <col width="12" customWidth="1" min="8" max="8"/>
    <col width="22" customWidth="1" min="9" max="9"/>
    <col width="46" customWidth="1" min="10" max="10"/>
    <col width="3" customWidth="1" min="11" max="11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</cols>
  <sheetData>
    <row r="1" ht="12" customHeight="1"/>
    <row r="2" ht="40" customHeight="1">
      <c r="B2" s="57" t="inlineStr">
        <is>
          <t>✅  Rate Check — Approve a Rate Submission</t>
        </is>
      </c>
      <c r="C2" s="41" t="n"/>
      <c r="D2" s="41" t="n"/>
      <c r="E2" s="41" t="n"/>
      <c r="F2" s="41" t="n"/>
      <c r="G2" s="41" t="n"/>
      <c r="H2" s="41" t="n"/>
      <c r="I2" s="41" t="n"/>
      <c r="J2" s="41" t="n"/>
    </row>
    <row r="3" ht="30" customHeight="1">
      <c r="B3" s="58" t="inlineStr">
        <is>
          <t>Pick the firm, then enter one line per timekeeper. Blank Rate Schedule = Standard. Blank Date of Service = today. The agreed rate in effect on that date is pulled automatically (current rates or Rate History).</t>
        </is>
      </c>
      <c r="C3" s="41" t="n"/>
      <c r="D3" s="41" t="n"/>
      <c r="E3" s="41" t="n"/>
      <c r="F3" s="41" t="n"/>
      <c r="G3" s="41" t="n"/>
      <c r="H3" s="41" t="n"/>
      <c r="I3" s="41" t="n"/>
      <c r="J3" s="41" t="n"/>
    </row>
    <row r="5" ht="30" customHeight="1">
      <c r="B5" s="59" t="inlineStr">
        <is>
          <t>Firm:</t>
        </is>
      </c>
      <c r="C5" s="60" t="inlineStr">
        <is>
          <t>Brookstone Legal</t>
        </is>
      </c>
      <c r="D5" s="61" t="n"/>
      <c r="E5" s="62" t="n"/>
      <c r="F5" s="30" t="inlineStr">
        <is>
          <t>◄ type or pick ▼</t>
        </is>
      </c>
    </row>
    <row r="7">
      <c r="B7" s="31" t="inlineStr">
        <is>
          <t>Showing results for:</t>
        </is>
      </c>
      <c r="C7" s="32">
        <f>IF($C$5="","",IFERROR(INDEX(Firms!$A$5:$A$1004,MATCH($C$5,Firms!$A$5:$A$1004,0)),IFERROR(INDEX(Firms_AZ,MATCH("*"&amp;$C$5&amp;"*",Firms_AZ,0)),"No matching firm found")))</f>
        <v/>
      </c>
      <c r="G7" s="33">
        <f>IF(OR($C$5="",ISNUMBER(MATCH($C$5,Firms!$A$5:$A$1004,0))),"",IF(COUNTIF(Firms!$A$5:$A$1004,"*"&amp;$C$5&amp;"*")&gt;1,COUNTIF(Firms!$A$5:$A$1004,"*"&amp;$C$5&amp;"*")&amp;" firms match — showing the first A–Z. Be more specific or use ▼.",""))</f>
        <v/>
      </c>
      <c r="P7">
        <f>IFERROR(MATCH($C$7,Firms!$A$5:$A$1004,0),"")</f>
        <v/>
      </c>
    </row>
    <row r="8" ht="30" customHeight="1">
      <c r="B8" s="34">
        <f>IF($P$7="",IF($C$5="","Pick a firm above.","No firm matches — check spelling."),IF(INDEX(Firms!$B$5:$B$1004,$P$7)="Paused","⛔  FIRM IS PAUSED (Do Not Use) — confirm before approving"&amp;IF(INDEX(Firms!$S$5:$S$1004,$P$7)&lt;&gt;"",": "&amp;INDEX(Firms!$S$5:$S$1004,$P$7),""),"✓  ACTIVE firm"))</f>
        <v/>
      </c>
      <c r="C8" s="35" t="n"/>
      <c r="D8" s="35" t="n"/>
      <c r="E8" s="35" t="n"/>
      <c r="F8" s="35" t="n"/>
      <c r="G8" s="35" t="n"/>
      <c r="H8" s="35" t="n"/>
      <c r="I8" s="35" t="n"/>
      <c r="J8" s="35" t="n"/>
    </row>
    <row r="10" ht="32" customHeight="1">
      <c r="B10" s="42" t="inlineStr">
        <is>
          <t>Timekeeper
(optional)</t>
        </is>
      </c>
      <c r="C10" s="42" t="inlineStr">
        <is>
          <t>Rate Schedule
(blank = Standard)</t>
        </is>
      </c>
      <c r="D10" s="42" t="inlineStr">
        <is>
          <t>Role</t>
        </is>
      </c>
      <c r="E10" s="42" t="inlineStr">
        <is>
          <t>Date of Service
(blank = today)</t>
        </is>
      </c>
      <c r="F10" s="42" t="inlineStr">
        <is>
          <t>Submitted Rate</t>
        </is>
      </c>
      <c r="G10" s="63" t="inlineStr">
        <is>
          <t>Agreed Rate
(auto)</t>
        </is>
      </c>
      <c r="H10" s="63" t="inlineStr">
        <is>
          <t>Difference
(auto)</t>
        </is>
      </c>
      <c r="I10" s="63" t="inlineStr">
        <is>
          <t>Result
(auto)</t>
        </is>
      </c>
      <c r="J10" s="63" t="inlineStr">
        <is>
          <t>Source / Reason (auto)</t>
        </is>
      </c>
    </row>
    <row r="11" ht="20" customHeight="1">
      <c r="B11" s="64" t="inlineStr">
        <is>
          <t>J. Rivera</t>
        </is>
      </c>
      <c r="C11" s="64" t="n"/>
      <c r="D11" s="65" t="inlineStr">
        <is>
          <t>Partner</t>
        </is>
      </c>
      <c r="E11" s="66" t="n"/>
      <c r="F11" s="67" t="n">
        <v>495</v>
      </c>
      <c r="G11" s="68">
        <f>IF(OR(D11="",$P$7=""),"",IF(ISNUMBER($T11),$T11,IF(N($V11)&gt;0,$V11,"")))</f>
        <v/>
      </c>
      <c r="H11" s="69">
        <f>IF(OR(G11="",F11=""),"",F11-G11)</f>
        <v/>
      </c>
      <c r="I11" s="70">
        <f>IF(D11="",IF(F11="","","Pick a role"),IF($P$7="","Pick a firm above",IF(G11="","⚠ No agreed rate",IF(F11="","Enter submitted rate",IF(F11&lt;=G11,"✓ Approve","✗ Exceeds by "&amp;TEXT(F11-G11,"$#,##0"))))))</f>
        <v/>
      </c>
      <c r="J11" s="71">
        <f>IF(OR(D11="",$P$7=""),"",IF(ISNUMBER($T11),IF($P11="Standard","Current standard rates","Current AFA — "&amp;$P11)&amp;" (eff. "&amp;IF(IF($P11="Standard",INDEX(Firms!$E$5:$E$1004,$P$7),INDEX('AFA Rates'!$C$5:$C$1004,$S11))="","no date",TEXT(IF($P11="Standard",INDEX(Firms!$E$5:$E$1004,$P$7),INDEX('AFA Rates'!$C$5:$C$1004,$S11)),"mm/dd/yyyy"))&amp;")",IF(N($V11)&gt;0,"Rate History — "&amp;$P11&amp;" rates in effect on "&amp;TEXT($Q11,"mm/dd/yyyy"),IF(N($U11)&gt;1,"Overlapping Rate History rows — fix on Rate History tab",IF($T11="noafa","No "&amp;$P11&amp;" AFA on file for this firm",IF($T11="expired","AFA ended "&amp;TEXT(INDEX('AFA Rates'!$D$5:$D$1004,$S11),"mm/dd/yyyy")&amp;"; no Rate History row covers "&amp;TEXT($Q11,"mm/dd/yyyy"),IF($T11="before","Date is before current rates; no Rate History row covers "&amp;TEXT($Q11,"mm/dd/yyyy"),"No "&amp;D11&amp;" rate entered for "&amp;$P11)))))))</f>
        <v/>
      </c>
      <c r="P11">
        <f>IF(D11="","",IF(C11="","Standard",C11))</f>
        <v/>
      </c>
      <c r="Q11">
        <f>IF(D11="","",IF(E11="",TODAY(),E11))</f>
        <v/>
      </c>
      <c r="R11">
        <f>IFERROR(MATCH(D11,Role_List,0),"")</f>
        <v/>
      </c>
      <c r="S11">
        <f>IF(OR($P11="",$P11="Standard",$P$7=""),"",IFERROR(MATCH($C$7&amp;"|"&amp;$P11,'AFA Rates'!$P$5:$P$1004,0),""))</f>
        <v/>
      </c>
      <c r="T11">
        <f>IF(OR($R11="",$P$7=""),"",IF($P11="Standard",IF(OR(INDEX(Firms!$E$5:$E$1004,$P$7)="",$Q11&gt;=INDEX(Firms!$E$5:$E$1004,$P$7)),IF(INDEX(Firms!$F$5:$M$1004,$P$7,$R11)="","norate",INDEX(Firms!$F$5:$M$1004,$P$7,$R11)),"before"),IF($S11="","noafa",IF(AND(INDEX('AFA Rates'!$C$5:$C$1004,$S11)&lt;&gt;"",$Q11&lt;INDEX('AFA Rates'!$C$5:$C$1004,$S11)),"before",IF(AND(INDEX('AFA Rates'!$D$5:$D$1004,$S11)&lt;&gt;"",$Q11&gt;INDEX('AFA Rates'!$D$5:$D$1004,$S11)),"expired",IF(INDEX('AFA Rates'!$E$5:$L$1004,$S11,$R11)="","norate",INDEX('AFA Rates'!$E$5:$L$1004,$S11,$R11)))))))</f>
        <v/>
      </c>
      <c r="U11">
        <f>IF(OR($R11="",$P$7=""),"",COUNTIFS('Rate History'!$P$5:$P$2004,$C$7&amp;"|"&amp;$P11,'Rate History'!$C$5:$C$2004,"&lt;="&amp;$Q11,'Rate History'!$D$5:$D$2004,"&gt;="&amp;$Q11))</f>
        <v/>
      </c>
      <c r="V11">
        <f>IF(N($U11)&lt;&gt;1,"",SUMIFS(INDEX('Rate History'!$E$5:$L$2004,0,$R11),'Rate History'!$P$5:$P$2004,$C$7&amp;"|"&amp;$P11,'Rate History'!$C$5:$C$2004,"&lt;="&amp;$Q11,'Rate History'!$D$5:$D$2004,"&gt;="&amp;$Q11))</f>
        <v/>
      </c>
    </row>
    <row r="12" ht="20" customHeight="1">
      <c r="B12" s="64" t="inlineStr">
        <is>
          <t>M. Chen</t>
        </is>
      </c>
      <c r="C12" s="64" t="n"/>
      <c r="D12" s="65" t="inlineStr">
        <is>
          <t>Senior Partner</t>
        </is>
      </c>
      <c r="E12" s="66" t="n"/>
      <c r="F12" s="67" t="n">
        <v>600</v>
      </c>
      <c r="G12" s="68">
        <f>IF(OR(D12="",$P$7=""),"",IF(ISNUMBER($T12),$T12,IF(N($V12)&gt;0,$V12,"")))</f>
        <v/>
      </c>
      <c r="H12" s="69">
        <f>IF(OR(G12="",F12=""),"",F12-G12)</f>
        <v/>
      </c>
      <c r="I12" s="70">
        <f>IF(D12="",IF(F12="","","Pick a role"),IF($P$7="","Pick a firm above",IF(G12="","⚠ No agreed rate",IF(F12="","Enter submitted rate",IF(F12&lt;=G12,"✓ Approve","✗ Exceeds by "&amp;TEXT(F12-G12,"$#,##0"))))))</f>
        <v/>
      </c>
      <c r="J12" s="71">
        <f>IF(OR(D12="",$P$7=""),"",IF(ISNUMBER($T12),IF($P12="Standard","Current standard rates","Current AFA — "&amp;$P12)&amp;" (eff. "&amp;IF(IF($P12="Standard",INDEX(Firms!$E$5:$E$1004,$P$7),INDEX('AFA Rates'!$C$5:$C$1004,$S12))="","no date",TEXT(IF($P12="Standard",INDEX(Firms!$E$5:$E$1004,$P$7),INDEX('AFA Rates'!$C$5:$C$1004,$S12)),"mm/dd/yyyy"))&amp;")",IF(N($V12)&gt;0,"Rate History — "&amp;$P12&amp;" rates in effect on "&amp;TEXT($Q12,"mm/dd/yyyy"),IF(N($U12)&gt;1,"Overlapping Rate History rows — fix on Rate History tab",IF($T12="noafa","No "&amp;$P12&amp;" AFA on file for this firm",IF($T12="expired","AFA ended "&amp;TEXT(INDEX('AFA Rates'!$D$5:$D$1004,$S12),"mm/dd/yyyy")&amp;"; no Rate History row covers "&amp;TEXT($Q12,"mm/dd/yyyy"),IF($T12="before","Date is before current rates; no Rate History row covers "&amp;TEXT($Q12,"mm/dd/yyyy"),"No "&amp;D12&amp;" rate entered for "&amp;$P12)))))))</f>
        <v/>
      </c>
      <c r="P12">
        <f>IF(D12="","",IF(C12="","Standard",C12))</f>
        <v/>
      </c>
      <c r="Q12">
        <f>IF(D12="","",IF(E12="",TODAY(),E12))</f>
        <v/>
      </c>
      <c r="R12">
        <f>IFERROR(MATCH(D12,Role_List,0),"")</f>
        <v/>
      </c>
      <c r="S12">
        <f>IF(OR($P12="",$P12="Standard",$P$7=""),"",IFERROR(MATCH($C$7&amp;"|"&amp;$P12,'AFA Rates'!$P$5:$P$1004,0),""))</f>
        <v/>
      </c>
      <c r="T12">
        <f>IF(OR($R12="",$P$7=""),"",IF($P12="Standard",IF(OR(INDEX(Firms!$E$5:$E$1004,$P$7)="",$Q12&gt;=INDEX(Firms!$E$5:$E$1004,$P$7)),IF(INDEX(Firms!$F$5:$M$1004,$P$7,$R12)="","norate",INDEX(Firms!$F$5:$M$1004,$P$7,$R12)),"before"),IF($S12="","noafa",IF(AND(INDEX('AFA Rates'!$C$5:$C$1004,$S12)&lt;&gt;"",$Q12&lt;INDEX('AFA Rates'!$C$5:$C$1004,$S12)),"before",IF(AND(INDEX('AFA Rates'!$D$5:$D$1004,$S12)&lt;&gt;"",$Q12&gt;INDEX('AFA Rates'!$D$5:$D$1004,$S12)),"expired",IF(INDEX('AFA Rates'!$E$5:$L$1004,$S12,$R12)="","norate",INDEX('AFA Rates'!$E$5:$L$1004,$S12,$R12)))))))</f>
        <v/>
      </c>
      <c r="U12">
        <f>IF(OR($R12="",$P$7=""),"",COUNTIFS('Rate History'!$P$5:$P$2004,$C$7&amp;"|"&amp;$P12,'Rate History'!$C$5:$C$2004,"&lt;="&amp;$Q12,'Rate History'!$D$5:$D$2004,"&gt;="&amp;$Q12))</f>
        <v/>
      </c>
      <c r="V12">
        <f>IF(N($U12)&lt;&gt;1,"",SUMIFS(INDEX('Rate History'!$E$5:$L$2004,0,$R12),'Rate History'!$P$5:$P$2004,$C$7&amp;"|"&amp;$P12,'Rate History'!$C$5:$C$2004,"&lt;="&amp;$Q12,'Rate History'!$D$5:$D$2004,"&gt;="&amp;$Q12))</f>
        <v/>
      </c>
    </row>
    <row r="13" ht="20" customHeight="1">
      <c r="B13" s="64" t="inlineStr">
        <is>
          <t>A. Patel</t>
        </is>
      </c>
      <c r="C13" s="64" t="inlineStr">
        <is>
          <t>Commercial Trucking</t>
        </is>
      </c>
      <c r="D13" s="65" t="inlineStr">
        <is>
          <t>Paralegal</t>
        </is>
      </c>
      <c r="E13" s="66" t="n"/>
      <c r="F13" s="67" t="n">
        <v>135</v>
      </c>
      <c r="G13" s="68">
        <f>IF(OR(D13="",$P$7=""),"",IF(ISNUMBER($T13),$T13,IF(N($V13)&gt;0,$V13,"")))</f>
        <v/>
      </c>
      <c r="H13" s="69">
        <f>IF(OR(G13="",F13=""),"",F13-G13)</f>
        <v/>
      </c>
      <c r="I13" s="70">
        <f>IF(D13="",IF(F13="","","Pick a role"),IF($P$7="","Pick a firm above",IF(G13="","⚠ No agreed rate",IF(F13="","Enter submitted rate",IF(F13&lt;=G13,"✓ Approve","✗ Exceeds by "&amp;TEXT(F13-G13,"$#,##0"))))))</f>
        <v/>
      </c>
      <c r="J13" s="71">
        <f>IF(OR(D13="",$P$7=""),"",IF(ISNUMBER($T13),IF($P13="Standard","Current standard rates","Current AFA — "&amp;$P13)&amp;" (eff. "&amp;IF(IF($P13="Standard",INDEX(Firms!$E$5:$E$1004,$P$7),INDEX('AFA Rates'!$C$5:$C$1004,$S13))="","no date",TEXT(IF($P13="Standard",INDEX(Firms!$E$5:$E$1004,$P$7),INDEX('AFA Rates'!$C$5:$C$1004,$S13)),"mm/dd/yyyy"))&amp;")",IF(N($V13)&gt;0,"Rate History — "&amp;$P13&amp;" rates in effect on "&amp;TEXT($Q13,"mm/dd/yyyy"),IF(N($U13)&gt;1,"Overlapping Rate History rows — fix on Rate History tab",IF($T13="noafa","No "&amp;$P13&amp;" AFA on file for this firm",IF($T13="expired","AFA ended "&amp;TEXT(INDEX('AFA Rates'!$D$5:$D$1004,$S13),"mm/dd/yyyy")&amp;"; no Rate History row covers "&amp;TEXT($Q13,"mm/dd/yyyy"),IF($T13="before","Date is before current rates; no Rate History row covers "&amp;TEXT($Q13,"mm/dd/yyyy"),"No "&amp;D13&amp;" rate entered for "&amp;$P13)))))))</f>
        <v/>
      </c>
      <c r="P13">
        <f>IF(D13="","",IF(C13="","Standard",C13))</f>
        <v/>
      </c>
      <c r="Q13">
        <f>IF(D13="","",IF(E13="",TODAY(),E13))</f>
        <v/>
      </c>
      <c r="R13">
        <f>IFERROR(MATCH(D13,Role_List,0),"")</f>
        <v/>
      </c>
      <c r="S13">
        <f>IF(OR($P13="",$P13="Standard",$P$7=""),"",IFERROR(MATCH($C$7&amp;"|"&amp;$P13,'AFA Rates'!$P$5:$P$1004,0),""))</f>
        <v/>
      </c>
      <c r="T13">
        <f>IF(OR($R13="",$P$7=""),"",IF($P13="Standard",IF(OR(INDEX(Firms!$E$5:$E$1004,$P$7)="",$Q13&gt;=INDEX(Firms!$E$5:$E$1004,$P$7)),IF(INDEX(Firms!$F$5:$M$1004,$P$7,$R13)="","norate",INDEX(Firms!$F$5:$M$1004,$P$7,$R13)),"before"),IF($S13="","noafa",IF(AND(INDEX('AFA Rates'!$C$5:$C$1004,$S13)&lt;&gt;"",$Q13&lt;INDEX('AFA Rates'!$C$5:$C$1004,$S13)),"before",IF(AND(INDEX('AFA Rates'!$D$5:$D$1004,$S13)&lt;&gt;"",$Q13&gt;INDEX('AFA Rates'!$D$5:$D$1004,$S13)),"expired",IF(INDEX('AFA Rates'!$E$5:$L$1004,$S13,$R13)="","norate",INDEX('AFA Rates'!$E$5:$L$1004,$S13,$R13)))))))</f>
        <v/>
      </c>
      <c r="U13">
        <f>IF(OR($R13="",$P$7=""),"",COUNTIFS('Rate History'!$P$5:$P$2004,$C$7&amp;"|"&amp;$P13,'Rate History'!$C$5:$C$2004,"&lt;="&amp;$Q13,'Rate History'!$D$5:$D$2004,"&gt;="&amp;$Q13))</f>
        <v/>
      </c>
      <c r="V13">
        <f>IF(N($U13)&lt;&gt;1,"",SUMIFS(INDEX('Rate History'!$E$5:$L$2004,0,$R13),'Rate History'!$P$5:$P$2004,$C$7&amp;"|"&amp;$P13,'Rate History'!$C$5:$C$2004,"&lt;="&amp;$Q13,'Rate History'!$D$5:$D$2004,"&gt;="&amp;$Q13))</f>
        <v/>
      </c>
    </row>
    <row r="14" ht="20" customHeight="1">
      <c r="B14" s="64" t="inlineStr">
        <is>
          <t>J. Rivera</t>
        </is>
      </c>
      <c r="C14" s="64" t="n"/>
      <c r="D14" s="65" t="inlineStr">
        <is>
          <t>Partner</t>
        </is>
      </c>
      <c r="E14" s="66" t="n">
        <v>45823</v>
      </c>
      <c r="F14" s="67" t="n">
        <v>495</v>
      </c>
      <c r="G14" s="68">
        <f>IF(OR(D14="",$P$7=""),"",IF(ISNUMBER($T14),$T14,IF(N($V14)&gt;0,$V14,"")))</f>
        <v/>
      </c>
      <c r="H14" s="69">
        <f>IF(OR(G14="",F14=""),"",F14-G14)</f>
        <v/>
      </c>
      <c r="I14" s="70">
        <f>IF(D14="",IF(F14="","","Pick a role"),IF($P$7="","Pick a firm above",IF(G14="","⚠ No agreed rate",IF(F14="","Enter submitted rate",IF(F14&lt;=G14,"✓ Approve","✗ Exceeds by "&amp;TEXT(F14-G14,"$#,##0"))))))</f>
        <v/>
      </c>
      <c r="J14" s="71">
        <f>IF(OR(D14="",$P$7=""),"",IF(ISNUMBER($T14),IF($P14="Standard","Current standard rates","Current AFA — "&amp;$P14)&amp;" (eff. "&amp;IF(IF($P14="Standard",INDEX(Firms!$E$5:$E$1004,$P$7),INDEX('AFA Rates'!$C$5:$C$1004,$S14))="","no date",TEXT(IF($P14="Standard",INDEX(Firms!$E$5:$E$1004,$P$7),INDEX('AFA Rates'!$C$5:$C$1004,$S14)),"mm/dd/yyyy"))&amp;")",IF(N($V14)&gt;0,"Rate History — "&amp;$P14&amp;" rates in effect on "&amp;TEXT($Q14,"mm/dd/yyyy"),IF(N($U14)&gt;1,"Overlapping Rate History rows — fix on Rate History tab",IF($T14="noafa","No "&amp;$P14&amp;" AFA on file for this firm",IF($T14="expired","AFA ended "&amp;TEXT(INDEX('AFA Rates'!$D$5:$D$1004,$S14),"mm/dd/yyyy")&amp;"; no Rate History row covers "&amp;TEXT($Q14,"mm/dd/yyyy"),IF($T14="before","Date is before current rates; no Rate History row covers "&amp;TEXT($Q14,"mm/dd/yyyy"),"No "&amp;D14&amp;" rate entered for "&amp;$P14)))))))</f>
        <v/>
      </c>
      <c r="P14">
        <f>IF(D14="","",IF(C14="","Standard",C14))</f>
        <v/>
      </c>
      <c r="Q14">
        <f>IF(D14="","",IF(E14="",TODAY(),E14))</f>
        <v/>
      </c>
      <c r="R14">
        <f>IFERROR(MATCH(D14,Role_List,0),"")</f>
        <v/>
      </c>
      <c r="S14">
        <f>IF(OR($P14="",$P14="Standard",$P$7=""),"",IFERROR(MATCH($C$7&amp;"|"&amp;$P14,'AFA Rates'!$P$5:$P$1004,0),""))</f>
        <v/>
      </c>
      <c r="T14">
        <f>IF(OR($R14="",$P$7=""),"",IF($P14="Standard",IF(OR(INDEX(Firms!$E$5:$E$1004,$P$7)="",$Q14&gt;=INDEX(Firms!$E$5:$E$1004,$P$7)),IF(INDEX(Firms!$F$5:$M$1004,$P$7,$R14)="","norate",INDEX(Firms!$F$5:$M$1004,$P$7,$R14)),"before"),IF($S14="","noafa",IF(AND(INDEX('AFA Rates'!$C$5:$C$1004,$S14)&lt;&gt;"",$Q14&lt;INDEX('AFA Rates'!$C$5:$C$1004,$S14)),"before",IF(AND(INDEX('AFA Rates'!$D$5:$D$1004,$S14)&lt;&gt;"",$Q14&gt;INDEX('AFA Rates'!$D$5:$D$1004,$S14)),"expired",IF(INDEX('AFA Rates'!$E$5:$L$1004,$S14,$R14)="","norate",INDEX('AFA Rates'!$E$5:$L$1004,$S14,$R14)))))))</f>
        <v/>
      </c>
      <c r="U14">
        <f>IF(OR($R14="",$P$7=""),"",COUNTIFS('Rate History'!$P$5:$P$2004,$C$7&amp;"|"&amp;$P14,'Rate History'!$C$5:$C$2004,"&lt;="&amp;$Q14,'Rate History'!$D$5:$D$2004,"&gt;="&amp;$Q14))</f>
        <v/>
      </c>
      <c r="V14">
        <f>IF(N($U14)&lt;&gt;1,"",SUMIFS(INDEX('Rate History'!$E$5:$L$2004,0,$R14),'Rate History'!$P$5:$P$2004,$C$7&amp;"|"&amp;$P14,'Rate History'!$C$5:$C$2004,"&lt;="&amp;$Q14,'Rate History'!$D$5:$D$2004,"&gt;="&amp;$Q14))</f>
        <v/>
      </c>
    </row>
    <row r="15" ht="20" customHeight="1">
      <c r="B15" s="64" t="inlineStr">
        <is>
          <t>K. Osei</t>
        </is>
      </c>
      <c r="C15" s="64" t="inlineStr">
        <is>
          <t>Appellate</t>
        </is>
      </c>
      <c r="D15" s="65" t="inlineStr">
        <is>
          <t>Associate</t>
        </is>
      </c>
      <c r="E15" s="66" t="n"/>
      <c r="F15" s="67" t="n">
        <v>300</v>
      </c>
      <c r="G15" s="68">
        <f>IF(OR(D15="",$P$7=""),"",IF(ISNUMBER($T15),$T15,IF(N($V15)&gt;0,$V15,"")))</f>
        <v/>
      </c>
      <c r="H15" s="69">
        <f>IF(OR(G15="",F15=""),"",F15-G15)</f>
        <v/>
      </c>
      <c r="I15" s="70">
        <f>IF(D15="",IF(F15="","","Pick a role"),IF($P$7="","Pick a firm above",IF(G15="","⚠ No agreed rate",IF(F15="","Enter submitted rate",IF(F15&lt;=G15,"✓ Approve","✗ Exceeds by "&amp;TEXT(F15-G15,"$#,##0"))))))</f>
        <v/>
      </c>
      <c r="J15" s="71">
        <f>IF(OR(D15="",$P$7=""),"",IF(ISNUMBER($T15),IF($P15="Standard","Current standard rates","Current AFA — "&amp;$P15)&amp;" (eff. "&amp;IF(IF($P15="Standard",INDEX(Firms!$E$5:$E$1004,$P$7),INDEX('AFA Rates'!$C$5:$C$1004,$S15))="","no date",TEXT(IF($P15="Standard",INDEX(Firms!$E$5:$E$1004,$P$7),INDEX('AFA Rates'!$C$5:$C$1004,$S15)),"mm/dd/yyyy"))&amp;")",IF(N($V15)&gt;0,"Rate History — "&amp;$P15&amp;" rates in effect on "&amp;TEXT($Q15,"mm/dd/yyyy"),IF(N($U15)&gt;1,"Overlapping Rate History rows — fix on Rate History tab",IF($T15="noafa","No "&amp;$P15&amp;" AFA on file for this firm",IF($T15="expired","AFA ended "&amp;TEXT(INDEX('AFA Rates'!$D$5:$D$1004,$S15),"mm/dd/yyyy")&amp;"; no Rate History row covers "&amp;TEXT($Q15,"mm/dd/yyyy"),IF($T15="before","Date is before current rates; no Rate History row covers "&amp;TEXT($Q15,"mm/dd/yyyy"),"No "&amp;D15&amp;" rate entered for "&amp;$P15)))))))</f>
        <v/>
      </c>
      <c r="P15">
        <f>IF(D15="","",IF(C15="","Standard",C15))</f>
        <v/>
      </c>
      <c r="Q15">
        <f>IF(D15="","",IF(E15="",TODAY(),E15))</f>
        <v/>
      </c>
      <c r="R15">
        <f>IFERROR(MATCH(D15,Role_List,0),"")</f>
        <v/>
      </c>
      <c r="S15">
        <f>IF(OR($P15="",$P15="Standard",$P$7=""),"",IFERROR(MATCH($C$7&amp;"|"&amp;$P15,'AFA Rates'!$P$5:$P$1004,0),""))</f>
        <v/>
      </c>
      <c r="T15">
        <f>IF(OR($R15="",$P$7=""),"",IF($P15="Standard",IF(OR(INDEX(Firms!$E$5:$E$1004,$P$7)="",$Q15&gt;=INDEX(Firms!$E$5:$E$1004,$P$7)),IF(INDEX(Firms!$F$5:$M$1004,$P$7,$R15)="","norate",INDEX(Firms!$F$5:$M$1004,$P$7,$R15)),"before"),IF($S15="","noafa",IF(AND(INDEX('AFA Rates'!$C$5:$C$1004,$S15)&lt;&gt;"",$Q15&lt;INDEX('AFA Rates'!$C$5:$C$1004,$S15)),"before",IF(AND(INDEX('AFA Rates'!$D$5:$D$1004,$S15)&lt;&gt;"",$Q15&gt;INDEX('AFA Rates'!$D$5:$D$1004,$S15)),"expired",IF(INDEX('AFA Rates'!$E$5:$L$1004,$S15,$R15)="","norate",INDEX('AFA Rates'!$E$5:$L$1004,$S15,$R15)))))))</f>
        <v/>
      </c>
      <c r="U15">
        <f>IF(OR($R15="",$P$7=""),"",COUNTIFS('Rate History'!$P$5:$P$2004,$C$7&amp;"|"&amp;$P15,'Rate History'!$C$5:$C$2004,"&lt;="&amp;$Q15,'Rate History'!$D$5:$D$2004,"&gt;="&amp;$Q15))</f>
        <v/>
      </c>
      <c r="V15">
        <f>IF(N($U15)&lt;&gt;1,"",SUMIFS(INDEX('Rate History'!$E$5:$L$2004,0,$R15),'Rate History'!$P$5:$P$2004,$C$7&amp;"|"&amp;$P15,'Rate History'!$C$5:$C$2004,"&lt;="&amp;$Q15,'Rate History'!$D$5:$D$2004,"&gt;="&amp;$Q15))</f>
        <v/>
      </c>
    </row>
    <row r="16" ht="20" customHeight="1">
      <c r="B16" s="64" t="n"/>
      <c r="C16" s="64" t="n"/>
      <c r="D16" s="65" t="n"/>
      <c r="E16" s="66" t="n"/>
      <c r="F16" s="67" t="n"/>
      <c r="G16" s="68">
        <f>IF(OR(D16="",$P$7=""),"",IF(ISNUMBER($T16),$T16,IF(N($V16)&gt;0,$V16,"")))</f>
        <v/>
      </c>
      <c r="H16" s="69">
        <f>IF(OR(G16="",F16=""),"",F16-G16)</f>
        <v/>
      </c>
      <c r="I16" s="70">
        <f>IF(D16="",IF(F16="","","Pick a role"),IF($P$7="","Pick a firm above",IF(G16="","⚠ No agreed rate",IF(F16="","Enter submitted rate",IF(F16&lt;=G16,"✓ Approve","✗ Exceeds by "&amp;TEXT(F16-G16,"$#,##0"))))))</f>
        <v/>
      </c>
      <c r="J16" s="71">
        <f>IF(OR(D16="",$P$7=""),"",IF(ISNUMBER($T16),IF($P16="Standard","Current standard rates","Current AFA — "&amp;$P16)&amp;" (eff. "&amp;IF(IF($P16="Standard",INDEX(Firms!$E$5:$E$1004,$P$7),INDEX('AFA Rates'!$C$5:$C$1004,$S16))="","no date",TEXT(IF($P16="Standard",INDEX(Firms!$E$5:$E$1004,$P$7),INDEX('AFA Rates'!$C$5:$C$1004,$S16)),"mm/dd/yyyy"))&amp;")",IF(N($V16)&gt;0,"Rate History — "&amp;$P16&amp;" rates in effect on "&amp;TEXT($Q16,"mm/dd/yyyy"),IF(N($U16)&gt;1,"Overlapping Rate History rows — fix on Rate History tab",IF($T16="noafa","No "&amp;$P16&amp;" AFA on file for this firm",IF($T16="expired","AFA ended "&amp;TEXT(INDEX('AFA Rates'!$D$5:$D$1004,$S16),"mm/dd/yyyy")&amp;"; no Rate History row covers "&amp;TEXT($Q16,"mm/dd/yyyy"),IF($T16="before","Date is before current rates; no Rate History row covers "&amp;TEXT($Q16,"mm/dd/yyyy"),"No "&amp;D16&amp;" rate entered for "&amp;$P16)))))))</f>
        <v/>
      </c>
      <c r="P16">
        <f>IF(D16="","",IF(C16="","Standard",C16))</f>
        <v/>
      </c>
      <c r="Q16">
        <f>IF(D16="","",IF(E16="",TODAY(),E16))</f>
        <v/>
      </c>
      <c r="R16">
        <f>IFERROR(MATCH(D16,Role_List,0),"")</f>
        <v/>
      </c>
      <c r="S16">
        <f>IF(OR($P16="",$P16="Standard",$P$7=""),"",IFERROR(MATCH($C$7&amp;"|"&amp;$P16,'AFA Rates'!$P$5:$P$1004,0),""))</f>
        <v/>
      </c>
      <c r="T16">
        <f>IF(OR($R16="",$P$7=""),"",IF($P16="Standard",IF(OR(INDEX(Firms!$E$5:$E$1004,$P$7)="",$Q16&gt;=INDEX(Firms!$E$5:$E$1004,$P$7)),IF(INDEX(Firms!$F$5:$M$1004,$P$7,$R16)="","norate",INDEX(Firms!$F$5:$M$1004,$P$7,$R16)),"before"),IF($S16="","noafa",IF(AND(INDEX('AFA Rates'!$C$5:$C$1004,$S16)&lt;&gt;"",$Q16&lt;INDEX('AFA Rates'!$C$5:$C$1004,$S16)),"before",IF(AND(INDEX('AFA Rates'!$D$5:$D$1004,$S16)&lt;&gt;"",$Q16&gt;INDEX('AFA Rates'!$D$5:$D$1004,$S16)),"expired",IF(INDEX('AFA Rates'!$E$5:$L$1004,$S16,$R16)="","norate",INDEX('AFA Rates'!$E$5:$L$1004,$S16,$R16)))))))</f>
        <v/>
      </c>
      <c r="U16">
        <f>IF(OR($R16="",$P$7=""),"",COUNTIFS('Rate History'!$P$5:$P$2004,$C$7&amp;"|"&amp;$P16,'Rate History'!$C$5:$C$2004,"&lt;="&amp;$Q16,'Rate History'!$D$5:$D$2004,"&gt;="&amp;$Q16))</f>
        <v/>
      </c>
      <c r="V16">
        <f>IF(N($U16)&lt;&gt;1,"",SUMIFS(INDEX('Rate History'!$E$5:$L$2004,0,$R16),'Rate History'!$P$5:$P$2004,$C$7&amp;"|"&amp;$P16,'Rate History'!$C$5:$C$2004,"&lt;="&amp;$Q16,'Rate History'!$D$5:$D$2004,"&gt;="&amp;$Q16))</f>
        <v/>
      </c>
    </row>
    <row r="17" ht="20" customHeight="1">
      <c r="B17" s="64" t="n"/>
      <c r="C17" s="64" t="n"/>
      <c r="D17" s="65" t="n"/>
      <c r="E17" s="66" t="n"/>
      <c r="F17" s="67" t="n"/>
      <c r="G17" s="68">
        <f>IF(OR(D17="",$P$7=""),"",IF(ISNUMBER($T17),$T17,IF(N($V17)&gt;0,$V17,"")))</f>
        <v/>
      </c>
      <c r="H17" s="69">
        <f>IF(OR(G17="",F17=""),"",F17-G17)</f>
        <v/>
      </c>
      <c r="I17" s="70">
        <f>IF(D17="",IF(F17="","","Pick a role"),IF($P$7="","Pick a firm above",IF(G17="","⚠ No agreed rate",IF(F17="","Enter submitted rate",IF(F17&lt;=G17,"✓ Approve","✗ Exceeds by "&amp;TEXT(F17-G17,"$#,##0"))))))</f>
        <v/>
      </c>
      <c r="J17" s="71">
        <f>IF(OR(D17="",$P$7=""),"",IF(ISNUMBER($T17),IF($P17="Standard","Current standard rates","Current AFA — "&amp;$P17)&amp;" (eff. "&amp;IF(IF($P17="Standard",INDEX(Firms!$E$5:$E$1004,$P$7),INDEX('AFA Rates'!$C$5:$C$1004,$S17))="","no date",TEXT(IF($P17="Standard",INDEX(Firms!$E$5:$E$1004,$P$7),INDEX('AFA Rates'!$C$5:$C$1004,$S17)),"mm/dd/yyyy"))&amp;")",IF(N($V17)&gt;0,"Rate History — "&amp;$P17&amp;" rates in effect on "&amp;TEXT($Q17,"mm/dd/yyyy"),IF(N($U17)&gt;1,"Overlapping Rate History rows — fix on Rate History tab",IF($T17="noafa","No "&amp;$P17&amp;" AFA on file for this firm",IF($T17="expired","AFA ended "&amp;TEXT(INDEX('AFA Rates'!$D$5:$D$1004,$S17),"mm/dd/yyyy")&amp;"; no Rate History row covers "&amp;TEXT($Q17,"mm/dd/yyyy"),IF($T17="before","Date is before current rates; no Rate History row covers "&amp;TEXT($Q17,"mm/dd/yyyy"),"No "&amp;D17&amp;" rate entered for "&amp;$P17)))))))</f>
        <v/>
      </c>
      <c r="P17">
        <f>IF(D17="","",IF(C17="","Standard",C17))</f>
        <v/>
      </c>
      <c r="Q17">
        <f>IF(D17="","",IF(E17="",TODAY(),E17))</f>
        <v/>
      </c>
      <c r="R17">
        <f>IFERROR(MATCH(D17,Role_List,0),"")</f>
        <v/>
      </c>
      <c r="S17">
        <f>IF(OR($P17="",$P17="Standard",$P$7=""),"",IFERROR(MATCH($C$7&amp;"|"&amp;$P17,'AFA Rates'!$P$5:$P$1004,0),""))</f>
        <v/>
      </c>
      <c r="T17">
        <f>IF(OR($R17="",$P$7=""),"",IF($P17="Standard",IF(OR(INDEX(Firms!$E$5:$E$1004,$P$7)="",$Q17&gt;=INDEX(Firms!$E$5:$E$1004,$P$7)),IF(INDEX(Firms!$F$5:$M$1004,$P$7,$R17)="","norate",INDEX(Firms!$F$5:$M$1004,$P$7,$R17)),"before"),IF($S17="","noafa",IF(AND(INDEX('AFA Rates'!$C$5:$C$1004,$S17)&lt;&gt;"",$Q17&lt;INDEX('AFA Rates'!$C$5:$C$1004,$S17)),"before",IF(AND(INDEX('AFA Rates'!$D$5:$D$1004,$S17)&lt;&gt;"",$Q17&gt;INDEX('AFA Rates'!$D$5:$D$1004,$S17)),"expired",IF(INDEX('AFA Rates'!$E$5:$L$1004,$S17,$R17)="","norate",INDEX('AFA Rates'!$E$5:$L$1004,$S17,$R17)))))))</f>
        <v/>
      </c>
      <c r="U17">
        <f>IF(OR($R17="",$P$7=""),"",COUNTIFS('Rate History'!$P$5:$P$2004,$C$7&amp;"|"&amp;$P17,'Rate History'!$C$5:$C$2004,"&lt;="&amp;$Q17,'Rate History'!$D$5:$D$2004,"&gt;="&amp;$Q17))</f>
        <v/>
      </c>
      <c r="V17">
        <f>IF(N($U17)&lt;&gt;1,"",SUMIFS(INDEX('Rate History'!$E$5:$L$2004,0,$R17),'Rate History'!$P$5:$P$2004,$C$7&amp;"|"&amp;$P17,'Rate History'!$C$5:$C$2004,"&lt;="&amp;$Q17,'Rate History'!$D$5:$D$2004,"&gt;="&amp;$Q17))</f>
        <v/>
      </c>
    </row>
    <row r="18" ht="20" customHeight="1">
      <c r="B18" s="64" t="n"/>
      <c r="C18" s="64" t="n"/>
      <c r="D18" s="65" t="n"/>
      <c r="E18" s="66" t="n"/>
      <c r="F18" s="67" t="n"/>
      <c r="G18" s="68">
        <f>IF(OR(D18="",$P$7=""),"",IF(ISNUMBER($T18),$T18,IF(N($V18)&gt;0,$V18,"")))</f>
        <v/>
      </c>
      <c r="H18" s="69">
        <f>IF(OR(G18="",F18=""),"",F18-G18)</f>
        <v/>
      </c>
      <c r="I18" s="70">
        <f>IF(D18="",IF(F18="","","Pick a role"),IF($P$7="","Pick a firm above",IF(G18="","⚠ No agreed rate",IF(F18="","Enter submitted rate",IF(F18&lt;=G18,"✓ Approve","✗ Exceeds by "&amp;TEXT(F18-G18,"$#,##0"))))))</f>
        <v/>
      </c>
      <c r="J18" s="71">
        <f>IF(OR(D18="",$P$7=""),"",IF(ISNUMBER($T18),IF($P18="Standard","Current standard rates","Current AFA — "&amp;$P18)&amp;" (eff. "&amp;IF(IF($P18="Standard",INDEX(Firms!$E$5:$E$1004,$P$7),INDEX('AFA Rates'!$C$5:$C$1004,$S18))="","no date",TEXT(IF($P18="Standard",INDEX(Firms!$E$5:$E$1004,$P$7),INDEX('AFA Rates'!$C$5:$C$1004,$S18)),"mm/dd/yyyy"))&amp;")",IF(N($V18)&gt;0,"Rate History — "&amp;$P18&amp;" rates in effect on "&amp;TEXT($Q18,"mm/dd/yyyy"),IF(N($U18)&gt;1,"Overlapping Rate History rows — fix on Rate History tab",IF($T18="noafa","No "&amp;$P18&amp;" AFA on file for this firm",IF($T18="expired","AFA ended "&amp;TEXT(INDEX('AFA Rates'!$D$5:$D$1004,$S18),"mm/dd/yyyy")&amp;"; no Rate History row covers "&amp;TEXT($Q18,"mm/dd/yyyy"),IF($T18="before","Date is before current rates; no Rate History row covers "&amp;TEXT($Q18,"mm/dd/yyyy"),"No "&amp;D18&amp;" rate entered for "&amp;$P18)))))))</f>
        <v/>
      </c>
      <c r="P18">
        <f>IF(D18="","",IF(C18="","Standard",C18))</f>
        <v/>
      </c>
      <c r="Q18">
        <f>IF(D18="","",IF(E18="",TODAY(),E18))</f>
        <v/>
      </c>
      <c r="R18">
        <f>IFERROR(MATCH(D18,Role_List,0),"")</f>
        <v/>
      </c>
      <c r="S18">
        <f>IF(OR($P18="",$P18="Standard",$P$7=""),"",IFERROR(MATCH($C$7&amp;"|"&amp;$P18,'AFA Rates'!$P$5:$P$1004,0),""))</f>
        <v/>
      </c>
      <c r="T18">
        <f>IF(OR($R18="",$P$7=""),"",IF($P18="Standard",IF(OR(INDEX(Firms!$E$5:$E$1004,$P$7)="",$Q18&gt;=INDEX(Firms!$E$5:$E$1004,$P$7)),IF(INDEX(Firms!$F$5:$M$1004,$P$7,$R18)="","norate",INDEX(Firms!$F$5:$M$1004,$P$7,$R18)),"before"),IF($S18="","noafa",IF(AND(INDEX('AFA Rates'!$C$5:$C$1004,$S18)&lt;&gt;"",$Q18&lt;INDEX('AFA Rates'!$C$5:$C$1004,$S18)),"before",IF(AND(INDEX('AFA Rates'!$D$5:$D$1004,$S18)&lt;&gt;"",$Q18&gt;INDEX('AFA Rates'!$D$5:$D$1004,$S18)),"expired",IF(INDEX('AFA Rates'!$E$5:$L$1004,$S18,$R18)="","norate",INDEX('AFA Rates'!$E$5:$L$1004,$S18,$R18)))))))</f>
        <v/>
      </c>
      <c r="U18">
        <f>IF(OR($R18="",$P$7=""),"",COUNTIFS('Rate History'!$P$5:$P$2004,$C$7&amp;"|"&amp;$P18,'Rate History'!$C$5:$C$2004,"&lt;="&amp;$Q18,'Rate History'!$D$5:$D$2004,"&gt;="&amp;$Q18))</f>
        <v/>
      </c>
      <c r="V18">
        <f>IF(N($U18)&lt;&gt;1,"",SUMIFS(INDEX('Rate History'!$E$5:$L$2004,0,$R18),'Rate History'!$P$5:$P$2004,$C$7&amp;"|"&amp;$P18,'Rate History'!$C$5:$C$2004,"&lt;="&amp;$Q18,'Rate History'!$D$5:$D$2004,"&gt;="&amp;$Q18))</f>
        <v/>
      </c>
    </row>
    <row r="19" ht="20" customHeight="1">
      <c r="B19" s="64" t="n"/>
      <c r="C19" s="64" t="n"/>
      <c r="D19" s="65" t="n"/>
      <c r="E19" s="66" t="n"/>
      <c r="F19" s="67" t="n"/>
      <c r="G19" s="68">
        <f>IF(OR(D19="",$P$7=""),"",IF(ISNUMBER($T19),$T19,IF(N($V19)&gt;0,$V19,"")))</f>
        <v/>
      </c>
      <c r="H19" s="69">
        <f>IF(OR(G19="",F19=""),"",F19-G19)</f>
        <v/>
      </c>
      <c r="I19" s="70">
        <f>IF(D19="",IF(F19="","","Pick a role"),IF($P$7="","Pick a firm above",IF(G19="","⚠ No agreed rate",IF(F19="","Enter submitted rate",IF(F19&lt;=G19,"✓ Approve","✗ Exceeds by "&amp;TEXT(F19-G19,"$#,##0"))))))</f>
        <v/>
      </c>
      <c r="J19" s="71">
        <f>IF(OR(D19="",$P$7=""),"",IF(ISNUMBER($T19),IF($P19="Standard","Current standard rates","Current AFA — "&amp;$P19)&amp;" (eff. "&amp;IF(IF($P19="Standard",INDEX(Firms!$E$5:$E$1004,$P$7),INDEX('AFA Rates'!$C$5:$C$1004,$S19))="","no date",TEXT(IF($P19="Standard",INDEX(Firms!$E$5:$E$1004,$P$7),INDEX('AFA Rates'!$C$5:$C$1004,$S19)),"mm/dd/yyyy"))&amp;")",IF(N($V19)&gt;0,"Rate History — "&amp;$P19&amp;" rates in effect on "&amp;TEXT($Q19,"mm/dd/yyyy"),IF(N($U19)&gt;1,"Overlapping Rate History rows — fix on Rate History tab",IF($T19="noafa","No "&amp;$P19&amp;" AFA on file for this firm",IF($T19="expired","AFA ended "&amp;TEXT(INDEX('AFA Rates'!$D$5:$D$1004,$S19),"mm/dd/yyyy")&amp;"; no Rate History row covers "&amp;TEXT($Q19,"mm/dd/yyyy"),IF($T19="before","Date is before current rates; no Rate History row covers "&amp;TEXT($Q19,"mm/dd/yyyy"),"No "&amp;D19&amp;" rate entered for "&amp;$P19)))))))</f>
        <v/>
      </c>
      <c r="P19">
        <f>IF(D19="","",IF(C19="","Standard",C19))</f>
        <v/>
      </c>
      <c r="Q19">
        <f>IF(D19="","",IF(E19="",TODAY(),E19))</f>
        <v/>
      </c>
      <c r="R19">
        <f>IFERROR(MATCH(D19,Role_List,0),"")</f>
        <v/>
      </c>
      <c r="S19">
        <f>IF(OR($P19="",$P19="Standard",$P$7=""),"",IFERROR(MATCH($C$7&amp;"|"&amp;$P19,'AFA Rates'!$P$5:$P$1004,0),""))</f>
        <v/>
      </c>
      <c r="T19">
        <f>IF(OR($R19="",$P$7=""),"",IF($P19="Standard",IF(OR(INDEX(Firms!$E$5:$E$1004,$P$7)="",$Q19&gt;=INDEX(Firms!$E$5:$E$1004,$P$7)),IF(INDEX(Firms!$F$5:$M$1004,$P$7,$R19)="","norate",INDEX(Firms!$F$5:$M$1004,$P$7,$R19)),"before"),IF($S19="","noafa",IF(AND(INDEX('AFA Rates'!$C$5:$C$1004,$S19)&lt;&gt;"",$Q19&lt;INDEX('AFA Rates'!$C$5:$C$1004,$S19)),"before",IF(AND(INDEX('AFA Rates'!$D$5:$D$1004,$S19)&lt;&gt;"",$Q19&gt;INDEX('AFA Rates'!$D$5:$D$1004,$S19)),"expired",IF(INDEX('AFA Rates'!$E$5:$L$1004,$S19,$R19)="","norate",INDEX('AFA Rates'!$E$5:$L$1004,$S19,$R19)))))))</f>
        <v/>
      </c>
      <c r="U19">
        <f>IF(OR($R19="",$P$7=""),"",COUNTIFS('Rate History'!$P$5:$P$2004,$C$7&amp;"|"&amp;$P19,'Rate History'!$C$5:$C$2004,"&lt;="&amp;$Q19,'Rate History'!$D$5:$D$2004,"&gt;="&amp;$Q19))</f>
        <v/>
      </c>
      <c r="V19">
        <f>IF(N($U19)&lt;&gt;1,"",SUMIFS(INDEX('Rate History'!$E$5:$L$2004,0,$R19),'Rate History'!$P$5:$P$2004,$C$7&amp;"|"&amp;$P19,'Rate History'!$C$5:$C$2004,"&lt;="&amp;$Q19,'Rate History'!$D$5:$D$2004,"&gt;="&amp;$Q19))</f>
        <v/>
      </c>
    </row>
    <row r="20" ht="20" customHeight="1">
      <c r="B20" s="64" t="n"/>
      <c r="C20" s="64" t="n"/>
      <c r="D20" s="65" t="n"/>
      <c r="E20" s="66" t="n"/>
      <c r="F20" s="67" t="n"/>
      <c r="G20" s="68">
        <f>IF(OR(D20="",$P$7=""),"",IF(ISNUMBER($T20),$T20,IF(N($V20)&gt;0,$V20,"")))</f>
        <v/>
      </c>
      <c r="H20" s="69">
        <f>IF(OR(G20="",F20=""),"",F20-G20)</f>
        <v/>
      </c>
      <c r="I20" s="70">
        <f>IF(D20="",IF(F20="","","Pick a role"),IF($P$7="","Pick a firm above",IF(G20="","⚠ No agreed rate",IF(F20="","Enter submitted rate",IF(F20&lt;=G20,"✓ Approve","✗ Exceeds by "&amp;TEXT(F20-G20,"$#,##0"))))))</f>
        <v/>
      </c>
      <c r="J20" s="71">
        <f>IF(OR(D20="",$P$7=""),"",IF(ISNUMBER($T20),IF($P20="Standard","Current standard rates","Current AFA — "&amp;$P20)&amp;" (eff. "&amp;IF(IF($P20="Standard",INDEX(Firms!$E$5:$E$1004,$P$7),INDEX('AFA Rates'!$C$5:$C$1004,$S20))="","no date",TEXT(IF($P20="Standard",INDEX(Firms!$E$5:$E$1004,$P$7),INDEX('AFA Rates'!$C$5:$C$1004,$S20)),"mm/dd/yyyy"))&amp;")",IF(N($V20)&gt;0,"Rate History — "&amp;$P20&amp;" rates in effect on "&amp;TEXT($Q20,"mm/dd/yyyy"),IF(N($U20)&gt;1,"Overlapping Rate History rows — fix on Rate History tab",IF($T20="noafa","No "&amp;$P20&amp;" AFA on file for this firm",IF($T20="expired","AFA ended "&amp;TEXT(INDEX('AFA Rates'!$D$5:$D$1004,$S20),"mm/dd/yyyy")&amp;"; no Rate History row covers "&amp;TEXT($Q20,"mm/dd/yyyy"),IF($T20="before","Date is before current rates; no Rate History row covers "&amp;TEXT($Q20,"mm/dd/yyyy"),"No "&amp;D20&amp;" rate entered for "&amp;$P20)))))))</f>
        <v/>
      </c>
      <c r="P20">
        <f>IF(D20="","",IF(C20="","Standard",C20))</f>
        <v/>
      </c>
      <c r="Q20">
        <f>IF(D20="","",IF(E20="",TODAY(),E20))</f>
        <v/>
      </c>
      <c r="R20">
        <f>IFERROR(MATCH(D20,Role_List,0),"")</f>
        <v/>
      </c>
      <c r="S20">
        <f>IF(OR($P20="",$P20="Standard",$P$7=""),"",IFERROR(MATCH($C$7&amp;"|"&amp;$P20,'AFA Rates'!$P$5:$P$1004,0),""))</f>
        <v/>
      </c>
      <c r="T20">
        <f>IF(OR($R20="",$P$7=""),"",IF($P20="Standard",IF(OR(INDEX(Firms!$E$5:$E$1004,$P$7)="",$Q20&gt;=INDEX(Firms!$E$5:$E$1004,$P$7)),IF(INDEX(Firms!$F$5:$M$1004,$P$7,$R20)="","norate",INDEX(Firms!$F$5:$M$1004,$P$7,$R20)),"before"),IF($S20="","noafa",IF(AND(INDEX('AFA Rates'!$C$5:$C$1004,$S20)&lt;&gt;"",$Q20&lt;INDEX('AFA Rates'!$C$5:$C$1004,$S20)),"before",IF(AND(INDEX('AFA Rates'!$D$5:$D$1004,$S20)&lt;&gt;"",$Q20&gt;INDEX('AFA Rates'!$D$5:$D$1004,$S20)),"expired",IF(INDEX('AFA Rates'!$E$5:$L$1004,$S20,$R20)="","norate",INDEX('AFA Rates'!$E$5:$L$1004,$S20,$R20)))))))</f>
        <v/>
      </c>
      <c r="U20">
        <f>IF(OR($R20="",$P$7=""),"",COUNTIFS('Rate History'!$P$5:$P$2004,$C$7&amp;"|"&amp;$P20,'Rate History'!$C$5:$C$2004,"&lt;="&amp;$Q20,'Rate History'!$D$5:$D$2004,"&gt;="&amp;$Q20))</f>
        <v/>
      </c>
      <c r="V20">
        <f>IF(N($U20)&lt;&gt;1,"",SUMIFS(INDEX('Rate History'!$E$5:$L$2004,0,$R20),'Rate History'!$P$5:$P$2004,$C$7&amp;"|"&amp;$P20,'Rate History'!$C$5:$C$2004,"&lt;="&amp;$Q20,'Rate History'!$D$5:$D$2004,"&gt;="&amp;$Q20))</f>
        <v/>
      </c>
    </row>
    <row r="21" ht="20" customHeight="1">
      <c r="B21" s="64" t="n"/>
      <c r="C21" s="64" t="n"/>
      <c r="D21" s="65" t="n"/>
      <c r="E21" s="66" t="n"/>
      <c r="F21" s="67" t="n"/>
      <c r="G21" s="68">
        <f>IF(OR(D21="",$P$7=""),"",IF(ISNUMBER($T21),$T21,IF(N($V21)&gt;0,$V21,"")))</f>
        <v/>
      </c>
      <c r="H21" s="69">
        <f>IF(OR(G21="",F21=""),"",F21-G21)</f>
        <v/>
      </c>
      <c r="I21" s="70">
        <f>IF(D21="",IF(F21="","","Pick a role"),IF($P$7="","Pick a firm above",IF(G21="","⚠ No agreed rate",IF(F21="","Enter submitted rate",IF(F21&lt;=G21,"✓ Approve","✗ Exceeds by "&amp;TEXT(F21-G21,"$#,##0"))))))</f>
        <v/>
      </c>
      <c r="J21" s="71">
        <f>IF(OR(D21="",$P$7=""),"",IF(ISNUMBER($T21),IF($P21="Standard","Current standard rates","Current AFA — "&amp;$P21)&amp;" (eff. "&amp;IF(IF($P21="Standard",INDEX(Firms!$E$5:$E$1004,$P$7),INDEX('AFA Rates'!$C$5:$C$1004,$S21))="","no date",TEXT(IF($P21="Standard",INDEX(Firms!$E$5:$E$1004,$P$7),INDEX('AFA Rates'!$C$5:$C$1004,$S21)),"mm/dd/yyyy"))&amp;")",IF(N($V21)&gt;0,"Rate History — "&amp;$P21&amp;" rates in effect on "&amp;TEXT($Q21,"mm/dd/yyyy"),IF(N($U21)&gt;1,"Overlapping Rate History rows — fix on Rate History tab",IF($T21="noafa","No "&amp;$P21&amp;" AFA on file for this firm",IF($T21="expired","AFA ended "&amp;TEXT(INDEX('AFA Rates'!$D$5:$D$1004,$S21),"mm/dd/yyyy")&amp;"; no Rate History row covers "&amp;TEXT($Q21,"mm/dd/yyyy"),IF($T21="before","Date is before current rates; no Rate History row covers "&amp;TEXT($Q21,"mm/dd/yyyy"),"No "&amp;D21&amp;" rate entered for "&amp;$P21)))))))</f>
        <v/>
      </c>
      <c r="P21">
        <f>IF(D21="","",IF(C21="","Standard",C21))</f>
        <v/>
      </c>
      <c r="Q21">
        <f>IF(D21="","",IF(E21="",TODAY(),E21))</f>
        <v/>
      </c>
      <c r="R21">
        <f>IFERROR(MATCH(D21,Role_List,0),"")</f>
        <v/>
      </c>
      <c r="S21">
        <f>IF(OR($P21="",$P21="Standard",$P$7=""),"",IFERROR(MATCH($C$7&amp;"|"&amp;$P21,'AFA Rates'!$P$5:$P$1004,0),""))</f>
        <v/>
      </c>
      <c r="T21">
        <f>IF(OR($R21="",$P$7=""),"",IF($P21="Standard",IF(OR(INDEX(Firms!$E$5:$E$1004,$P$7)="",$Q21&gt;=INDEX(Firms!$E$5:$E$1004,$P$7)),IF(INDEX(Firms!$F$5:$M$1004,$P$7,$R21)="","norate",INDEX(Firms!$F$5:$M$1004,$P$7,$R21)),"before"),IF($S21="","noafa",IF(AND(INDEX('AFA Rates'!$C$5:$C$1004,$S21)&lt;&gt;"",$Q21&lt;INDEX('AFA Rates'!$C$5:$C$1004,$S21)),"before",IF(AND(INDEX('AFA Rates'!$D$5:$D$1004,$S21)&lt;&gt;"",$Q21&gt;INDEX('AFA Rates'!$D$5:$D$1004,$S21)),"expired",IF(INDEX('AFA Rates'!$E$5:$L$1004,$S21,$R21)="","norate",INDEX('AFA Rates'!$E$5:$L$1004,$S21,$R21)))))))</f>
        <v/>
      </c>
      <c r="U21">
        <f>IF(OR($R21="",$P$7=""),"",COUNTIFS('Rate History'!$P$5:$P$2004,$C$7&amp;"|"&amp;$P21,'Rate History'!$C$5:$C$2004,"&lt;="&amp;$Q21,'Rate History'!$D$5:$D$2004,"&gt;="&amp;$Q21))</f>
        <v/>
      </c>
      <c r="V21">
        <f>IF(N($U21)&lt;&gt;1,"",SUMIFS(INDEX('Rate History'!$E$5:$L$2004,0,$R21),'Rate History'!$P$5:$P$2004,$C$7&amp;"|"&amp;$P21,'Rate History'!$C$5:$C$2004,"&lt;="&amp;$Q21,'Rate History'!$D$5:$D$2004,"&gt;="&amp;$Q21))</f>
        <v/>
      </c>
    </row>
    <row r="22" ht="20" customHeight="1">
      <c r="B22" s="64" t="n"/>
      <c r="C22" s="64" t="n"/>
      <c r="D22" s="65" t="n"/>
      <c r="E22" s="66" t="n"/>
      <c r="F22" s="67" t="n"/>
      <c r="G22" s="68">
        <f>IF(OR(D22="",$P$7=""),"",IF(ISNUMBER($T22),$T22,IF(N($V22)&gt;0,$V22,"")))</f>
        <v/>
      </c>
      <c r="H22" s="69">
        <f>IF(OR(G22="",F22=""),"",F22-G22)</f>
        <v/>
      </c>
      <c r="I22" s="70">
        <f>IF(D22="",IF(F22="","","Pick a role"),IF($P$7="","Pick a firm above",IF(G22="","⚠ No agreed rate",IF(F22="","Enter submitted rate",IF(F22&lt;=G22,"✓ Approve","✗ Exceeds by "&amp;TEXT(F22-G22,"$#,##0"))))))</f>
        <v/>
      </c>
      <c r="J22" s="71">
        <f>IF(OR(D22="",$P$7=""),"",IF(ISNUMBER($T22),IF($P22="Standard","Current standard rates","Current AFA — "&amp;$P22)&amp;" (eff. "&amp;IF(IF($P22="Standard",INDEX(Firms!$E$5:$E$1004,$P$7),INDEX('AFA Rates'!$C$5:$C$1004,$S22))="","no date",TEXT(IF($P22="Standard",INDEX(Firms!$E$5:$E$1004,$P$7),INDEX('AFA Rates'!$C$5:$C$1004,$S22)),"mm/dd/yyyy"))&amp;")",IF(N($V22)&gt;0,"Rate History — "&amp;$P22&amp;" rates in effect on "&amp;TEXT($Q22,"mm/dd/yyyy"),IF(N($U22)&gt;1,"Overlapping Rate History rows — fix on Rate History tab",IF($T22="noafa","No "&amp;$P22&amp;" AFA on file for this firm",IF($T22="expired","AFA ended "&amp;TEXT(INDEX('AFA Rates'!$D$5:$D$1004,$S22),"mm/dd/yyyy")&amp;"; no Rate History row covers "&amp;TEXT($Q22,"mm/dd/yyyy"),IF($T22="before","Date is before current rates; no Rate History row covers "&amp;TEXT($Q22,"mm/dd/yyyy"),"No "&amp;D22&amp;" rate entered for "&amp;$P22)))))))</f>
        <v/>
      </c>
      <c r="P22">
        <f>IF(D22="","",IF(C22="","Standard",C22))</f>
        <v/>
      </c>
      <c r="Q22">
        <f>IF(D22="","",IF(E22="",TODAY(),E22))</f>
        <v/>
      </c>
      <c r="R22">
        <f>IFERROR(MATCH(D22,Role_List,0),"")</f>
        <v/>
      </c>
      <c r="S22">
        <f>IF(OR($P22="",$P22="Standard",$P$7=""),"",IFERROR(MATCH($C$7&amp;"|"&amp;$P22,'AFA Rates'!$P$5:$P$1004,0),""))</f>
        <v/>
      </c>
      <c r="T22">
        <f>IF(OR($R22="",$P$7=""),"",IF($P22="Standard",IF(OR(INDEX(Firms!$E$5:$E$1004,$P$7)="",$Q22&gt;=INDEX(Firms!$E$5:$E$1004,$P$7)),IF(INDEX(Firms!$F$5:$M$1004,$P$7,$R22)="","norate",INDEX(Firms!$F$5:$M$1004,$P$7,$R22)),"before"),IF($S22="","noafa",IF(AND(INDEX('AFA Rates'!$C$5:$C$1004,$S22)&lt;&gt;"",$Q22&lt;INDEX('AFA Rates'!$C$5:$C$1004,$S22)),"before",IF(AND(INDEX('AFA Rates'!$D$5:$D$1004,$S22)&lt;&gt;"",$Q22&gt;INDEX('AFA Rates'!$D$5:$D$1004,$S22)),"expired",IF(INDEX('AFA Rates'!$E$5:$L$1004,$S22,$R22)="","norate",INDEX('AFA Rates'!$E$5:$L$1004,$S22,$R22)))))))</f>
        <v/>
      </c>
      <c r="U22">
        <f>IF(OR($R22="",$P$7=""),"",COUNTIFS('Rate History'!$P$5:$P$2004,$C$7&amp;"|"&amp;$P22,'Rate History'!$C$5:$C$2004,"&lt;="&amp;$Q22,'Rate History'!$D$5:$D$2004,"&gt;="&amp;$Q22))</f>
        <v/>
      </c>
      <c r="V22">
        <f>IF(N($U22)&lt;&gt;1,"",SUMIFS(INDEX('Rate History'!$E$5:$L$2004,0,$R22),'Rate History'!$P$5:$P$2004,$C$7&amp;"|"&amp;$P22,'Rate History'!$C$5:$C$2004,"&lt;="&amp;$Q22,'Rate History'!$D$5:$D$2004,"&gt;="&amp;$Q22))</f>
        <v/>
      </c>
    </row>
    <row r="23" ht="20" customHeight="1">
      <c r="B23" s="64" t="n"/>
      <c r="C23" s="64" t="n"/>
      <c r="D23" s="65" t="n"/>
      <c r="E23" s="66" t="n"/>
      <c r="F23" s="67" t="n"/>
      <c r="G23" s="68">
        <f>IF(OR(D23="",$P$7=""),"",IF(ISNUMBER($T23),$T23,IF(N($V23)&gt;0,$V23,"")))</f>
        <v/>
      </c>
      <c r="H23" s="69">
        <f>IF(OR(G23="",F23=""),"",F23-G23)</f>
        <v/>
      </c>
      <c r="I23" s="70">
        <f>IF(D23="",IF(F23="","","Pick a role"),IF($P$7="","Pick a firm above",IF(G23="","⚠ No agreed rate",IF(F23="","Enter submitted rate",IF(F23&lt;=G23,"✓ Approve","✗ Exceeds by "&amp;TEXT(F23-G23,"$#,##0"))))))</f>
        <v/>
      </c>
      <c r="J23" s="71">
        <f>IF(OR(D23="",$P$7=""),"",IF(ISNUMBER($T23),IF($P23="Standard","Current standard rates","Current AFA — "&amp;$P23)&amp;" (eff. "&amp;IF(IF($P23="Standard",INDEX(Firms!$E$5:$E$1004,$P$7),INDEX('AFA Rates'!$C$5:$C$1004,$S23))="","no date",TEXT(IF($P23="Standard",INDEX(Firms!$E$5:$E$1004,$P$7),INDEX('AFA Rates'!$C$5:$C$1004,$S23)),"mm/dd/yyyy"))&amp;")",IF(N($V23)&gt;0,"Rate History — "&amp;$P23&amp;" rates in effect on "&amp;TEXT($Q23,"mm/dd/yyyy"),IF(N($U23)&gt;1,"Overlapping Rate History rows — fix on Rate History tab",IF($T23="noafa","No "&amp;$P23&amp;" AFA on file for this firm",IF($T23="expired","AFA ended "&amp;TEXT(INDEX('AFA Rates'!$D$5:$D$1004,$S23),"mm/dd/yyyy")&amp;"; no Rate History row covers "&amp;TEXT($Q23,"mm/dd/yyyy"),IF($T23="before","Date is before current rates; no Rate History row covers "&amp;TEXT($Q23,"mm/dd/yyyy"),"No "&amp;D23&amp;" rate entered for "&amp;$P23)))))))</f>
        <v/>
      </c>
      <c r="P23">
        <f>IF(D23="","",IF(C23="","Standard",C23))</f>
        <v/>
      </c>
      <c r="Q23">
        <f>IF(D23="","",IF(E23="",TODAY(),E23))</f>
        <v/>
      </c>
      <c r="R23">
        <f>IFERROR(MATCH(D23,Role_List,0),"")</f>
        <v/>
      </c>
      <c r="S23">
        <f>IF(OR($P23="",$P23="Standard",$P$7=""),"",IFERROR(MATCH($C$7&amp;"|"&amp;$P23,'AFA Rates'!$P$5:$P$1004,0),""))</f>
        <v/>
      </c>
      <c r="T23">
        <f>IF(OR($R23="",$P$7=""),"",IF($P23="Standard",IF(OR(INDEX(Firms!$E$5:$E$1004,$P$7)="",$Q23&gt;=INDEX(Firms!$E$5:$E$1004,$P$7)),IF(INDEX(Firms!$F$5:$M$1004,$P$7,$R23)="","norate",INDEX(Firms!$F$5:$M$1004,$P$7,$R23)),"before"),IF($S23="","noafa",IF(AND(INDEX('AFA Rates'!$C$5:$C$1004,$S23)&lt;&gt;"",$Q23&lt;INDEX('AFA Rates'!$C$5:$C$1004,$S23)),"before",IF(AND(INDEX('AFA Rates'!$D$5:$D$1004,$S23)&lt;&gt;"",$Q23&gt;INDEX('AFA Rates'!$D$5:$D$1004,$S23)),"expired",IF(INDEX('AFA Rates'!$E$5:$L$1004,$S23,$R23)="","norate",INDEX('AFA Rates'!$E$5:$L$1004,$S23,$R23)))))))</f>
        <v/>
      </c>
      <c r="U23">
        <f>IF(OR($R23="",$P$7=""),"",COUNTIFS('Rate History'!$P$5:$P$2004,$C$7&amp;"|"&amp;$P23,'Rate History'!$C$5:$C$2004,"&lt;="&amp;$Q23,'Rate History'!$D$5:$D$2004,"&gt;="&amp;$Q23))</f>
        <v/>
      </c>
      <c r="V23">
        <f>IF(N($U23)&lt;&gt;1,"",SUMIFS(INDEX('Rate History'!$E$5:$L$2004,0,$R23),'Rate History'!$P$5:$P$2004,$C$7&amp;"|"&amp;$P23,'Rate History'!$C$5:$C$2004,"&lt;="&amp;$Q23,'Rate History'!$D$5:$D$2004,"&gt;="&amp;$Q23))</f>
        <v/>
      </c>
    </row>
    <row r="24" ht="20" customHeight="1">
      <c r="B24" s="64" t="n"/>
      <c r="C24" s="64" t="n"/>
      <c r="D24" s="65" t="n"/>
      <c r="E24" s="66" t="n"/>
      <c r="F24" s="67" t="n"/>
      <c r="G24" s="68">
        <f>IF(OR(D24="",$P$7=""),"",IF(ISNUMBER($T24),$T24,IF(N($V24)&gt;0,$V24,"")))</f>
        <v/>
      </c>
      <c r="H24" s="69">
        <f>IF(OR(G24="",F24=""),"",F24-G24)</f>
        <v/>
      </c>
      <c r="I24" s="70">
        <f>IF(D24="",IF(F24="","","Pick a role"),IF($P$7="","Pick a firm above",IF(G24="","⚠ No agreed rate",IF(F24="","Enter submitted rate",IF(F24&lt;=G24,"✓ Approve","✗ Exceeds by "&amp;TEXT(F24-G24,"$#,##0"))))))</f>
        <v/>
      </c>
      <c r="J24" s="71">
        <f>IF(OR(D24="",$P$7=""),"",IF(ISNUMBER($T24),IF($P24="Standard","Current standard rates","Current AFA — "&amp;$P24)&amp;" (eff. "&amp;IF(IF($P24="Standard",INDEX(Firms!$E$5:$E$1004,$P$7),INDEX('AFA Rates'!$C$5:$C$1004,$S24))="","no date",TEXT(IF($P24="Standard",INDEX(Firms!$E$5:$E$1004,$P$7),INDEX('AFA Rates'!$C$5:$C$1004,$S24)),"mm/dd/yyyy"))&amp;")",IF(N($V24)&gt;0,"Rate History — "&amp;$P24&amp;" rates in effect on "&amp;TEXT($Q24,"mm/dd/yyyy"),IF(N($U24)&gt;1,"Overlapping Rate History rows — fix on Rate History tab",IF($T24="noafa","No "&amp;$P24&amp;" AFA on file for this firm",IF($T24="expired","AFA ended "&amp;TEXT(INDEX('AFA Rates'!$D$5:$D$1004,$S24),"mm/dd/yyyy")&amp;"; no Rate History row covers "&amp;TEXT($Q24,"mm/dd/yyyy"),IF($T24="before","Date is before current rates; no Rate History row covers "&amp;TEXT($Q24,"mm/dd/yyyy"),"No "&amp;D24&amp;" rate entered for "&amp;$P24)))))))</f>
        <v/>
      </c>
      <c r="P24">
        <f>IF(D24="","",IF(C24="","Standard",C24))</f>
        <v/>
      </c>
      <c r="Q24">
        <f>IF(D24="","",IF(E24="",TODAY(),E24))</f>
        <v/>
      </c>
      <c r="R24">
        <f>IFERROR(MATCH(D24,Role_List,0),"")</f>
        <v/>
      </c>
      <c r="S24">
        <f>IF(OR($P24="",$P24="Standard",$P$7=""),"",IFERROR(MATCH($C$7&amp;"|"&amp;$P24,'AFA Rates'!$P$5:$P$1004,0),""))</f>
        <v/>
      </c>
      <c r="T24">
        <f>IF(OR($R24="",$P$7=""),"",IF($P24="Standard",IF(OR(INDEX(Firms!$E$5:$E$1004,$P$7)="",$Q24&gt;=INDEX(Firms!$E$5:$E$1004,$P$7)),IF(INDEX(Firms!$F$5:$M$1004,$P$7,$R24)="","norate",INDEX(Firms!$F$5:$M$1004,$P$7,$R24)),"before"),IF($S24="","noafa",IF(AND(INDEX('AFA Rates'!$C$5:$C$1004,$S24)&lt;&gt;"",$Q24&lt;INDEX('AFA Rates'!$C$5:$C$1004,$S24)),"before",IF(AND(INDEX('AFA Rates'!$D$5:$D$1004,$S24)&lt;&gt;"",$Q24&gt;INDEX('AFA Rates'!$D$5:$D$1004,$S24)),"expired",IF(INDEX('AFA Rates'!$E$5:$L$1004,$S24,$R24)="","norate",INDEX('AFA Rates'!$E$5:$L$1004,$S24,$R24)))))))</f>
        <v/>
      </c>
      <c r="U24">
        <f>IF(OR($R24="",$P$7=""),"",COUNTIFS('Rate History'!$P$5:$P$2004,$C$7&amp;"|"&amp;$P24,'Rate History'!$C$5:$C$2004,"&lt;="&amp;$Q24,'Rate History'!$D$5:$D$2004,"&gt;="&amp;$Q24))</f>
        <v/>
      </c>
      <c r="V24">
        <f>IF(N($U24)&lt;&gt;1,"",SUMIFS(INDEX('Rate History'!$E$5:$L$2004,0,$R24),'Rate History'!$P$5:$P$2004,$C$7&amp;"|"&amp;$P24,'Rate History'!$C$5:$C$2004,"&lt;="&amp;$Q24,'Rate History'!$D$5:$D$2004,"&gt;="&amp;$Q24))</f>
        <v/>
      </c>
    </row>
    <row r="25" ht="20" customHeight="1">
      <c r="B25" s="64" t="n"/>
      <c r="C25" s="64" t="n"/>
      <c r="D25" s="65" t="n"/>
      <c r="E25" s="66" t="n"/>
      <c r="F25" s="67" t="n"/>
      <c r="G25" s="68">
        <f>IF(OR(D25="",$P$7=""),"",IF(ISNUMBER($T25),$T25,IF(N($V25)&gt;0,$V25,"")))</f>
        <v/>
      </c>
      <c r="H25" s="69">
        <f>IF(OR(G25="",F25=""),"",F25-G25)</f>
        <v/>
      </c>
      <c r="I25" s="70">
        <f>IF(D25="",IF(F25="","","Pick a role"),IF($P$7="","Pick a firm above",IF(G25="","⚠ No agreed rate",IF(F25="","Enter submitted rate",IF(F25&lt;=G25,"✓ Approve","✗ Exceeds by "&amp;TEXT(F25-G25,"$#,##0"))))))</f>
        <v/>
      </c>
      <c r="J25" s="71">
        <f>IF(OR(D25="",$P$7=""),"",IF(ISNUMBER($T25),IF($P25="Standard","Current standard rates","Current AFA — "&amp;$P25)&amp;" (eff. "&amp;IF(IF($P25="Standard",INDEX(Firms!$E$5:$E$1004,$P$7),INDEX('AFA Rates'!$C$5:$C$1004,$S25))="","no date",TEXT(IF($P25="Standard",INDEX(Firms!$E$5:$E$1004,$P$7),INDEX('AFA Rates'!$C$5:$C$1004,$S25)),"mm/dd/yyyy"))&amp;")",IF(N($V25)&gt;0,"Rate History — "&amp;$P25&amp;" rates in effect on "&amp;TEXT($Q25,"mm/dd/yyyy"),IF(N($U25)&gt;1,"Overlapping Rate History rows — fix on Rate History tab",IF($T25="noafa","No "&amp;$P25&amp;" AFA on file for this firm",IF($T25="expired","AFA ended "&amp;TEXT(INDEX('AFA Rates'!$D$5:$D$1004,$S25),"mm/dd/yyyy")&amp;"; no Rate History row covers "&amp;TEXT($Q25,"mm/dd/yyyy"),IF($T25="before","Date is before current rates; no Rate History row covers "&amp;TEXT($Q25,"mm/dd/yyyy"),"No "&amp;D25&amp;" rate entered for "&amp;$P25)))))))</f>
        <v/>
      </c>
      <c r="P25">
        <f>IF(D25="","",IF(C25="","Standard",C25))</f>
        <v/>
      </c>
      <c r="Q25">
        <f>IF(D25="","",IF(E25="",TODAY(),E25))</f>
        <v/>
      </c>
      <c r="R25">
        <f>IFERROR(MATCH(D25,Role_List,0),"")</f>
        <v/>
      </c>
      <c r="S25">
        <f>IF(OR($P25="",$P25="Standard",$P$7=""),"",IFERROR(MATCH($C$7&amp;"|"&amp;$P25,'AFA Rates'!$P$5:$P$1004,0),""))</f>
        <v/>
      </c>
      <c r="T25">
        <f>IF(OR($R25="",$P$7=""),"",IF($P25="Standard",IF(OR(INDEX(Firms!$E$5:$E$1004,$P$7)="",$Q25&gt;=INDEX(Firms!$E$5:$E$1004,$P$7)),IF(INDEX(Firms!$F$5:$M$1004,$P$7,$R25)="","norate",INDEX(Firms!$F$5:$M$1004,$P$7,$R25)),"before"),IF($S25="","noafa",IF(AND(INDEX('AFA Rates'!$C$5:$C$1004,$S25)&lt;&gt;"",$Q25&lt;INDEX('AFA Rates'!$C$5:$C$1004,$S25)),"before",IF(AND(INDEX('AFA Rates'!$D$5:$D$1004,$S25)&lt;&gt;"",$Q25&gt;INDEX('AFA Rates'!$D$5:$D$1004,$S25)),"expired",IF(INDEX('AFA Rates'!$E$5:$L$1004,$S25,$R25)="","norate",INDEX('AFA Rates'!$E$5:$L$1004,$S25,$R25)))))))</f>
        <v/>
      </c>
      <c r="U25">
        <f>IF(OR($R25="",$P$7=""),"",COUNTIFS('Rate History'!$P$5:$P$2004,$C$7&amp;"|"&amp;$P25,'Rate History'!$C$5:$C$2004,"&lt;="&amp;$Q25,'Rate History'!$D$5:$D$2004,"&gt;="&amp;$Q25))</f>
        <v/>
      </c>
      <c r="V25">
        <f>IF(N($U25)&lt;&gt;1,"",SUMIFS(INDEX('Rate History'!$E$5:$L$2004,0,$R25),'Rate History'!$P$5:$P$2004,$C$7&amp;"|"&amp;$P25,'Rate History'!$C$5:$C$2004,"&lt;="&amp;$Q25,'Rate History'!$D$5:$D$2004,"&gt;="&amp;$Q25))</f>
        <v/>
      </c>
    </row>
    <row r="26" ht="20" customHeight="1">
      <c r="B26" s="64" t="n"/>
      <c r="C26" s="64" t="n"/>
      <c r="D26" s="65" t="n"/>
      <c r="E26" s="66" t="n"/>
      <c r="F26" s="67" t="n"/>
      <c r="G26" s="68">
        <f>IF(OR(D26="",$P$7=""),"",IF(ISNUMBER($T26),$T26,IF(N($V26)&gt;0,$V26,"")))</f>
        <v/>
      </c>
      <c r="H26" s="69">
        <f>IF(OR(G26="",F26=""),"",F26-G26)</f>
        <v/>
      </c>
      <c r="I26" s="70">
        <f>IF(D26="",IF(F26="","","Pick a role"),IF($P$7="","Pick a firm above",IF(G26="","⚠ No agreed rate",IF(F26="","Enter submitted rate",IF(F26&lt;=G26,"✓ Approve","✗ Exceeds by "&amp;TEXT(F26-G26,"$#,##0"))))))</f>
        <v/>
      </c>
      <c r="J26" s="71">
        <f>IF(OR(D26="",$P$7=""),"",IF(ISNUMBER($T26),IF($P26="Standard","Current standard rates","Current AFA — "&amp;$P26)&amp;" (eff. "&amp;IF(IF($P26="Standard",INDEX(Firms!$E$5:$E$1004,$P$7),INDEX('AFA Rates'!$C$5:$C$1004,$S26))="","no date",TEXT(IF($P26="Standard",INDEX(Firms!$E$5:$E$1004,$P$7),INDEX('AFA Rates'!$C$5:$C$1004,$S26)),"mm/dd/yyyy"))&amp;")",IF(N($V26)&gt;0,"Rate History — "&amp;$P26&amp;" rates in effect on "&amp;TEXT($Q26,"mm/dd/yyyy"),IF(N($U26)&gt;1,"Overlapping Rate History rows — fix on Rate History tab",IF($T26="noafa","No "&amp;$P26&amp;" AFA on file for this firm",IF($T26="expired","AFA ended "&amp;TEXT(INDEX('AFA Rates'!$D$5:$D$1004,$S26),"mm/dd/yyyy")&amp;"; no Rate History row covers "&amp;TEXT($Q26,"mm/dd/yyyy"),IF($T26="before","Date is before current rates; no Rate History row covers "&amp;TEXT($Q26,"mm/dd/yyyy"),"No "&amp;D26&amp;" rate entered for "&amp;$P26)))))))</f>
        <v/>
      </c>
      <c r="P26">
        <f>IF(D26="","",IF(C26="","Standard",C26))</f>
        <v/>
      </c>
      <c r="Q26">
        <f>IF(D26="","",IF(E26="",TODAY(),E26))</f>
        <v/>
      </c>
      <c r="R26">
        <f>IFERROR(MATCH(D26,Role_List,0),"")</f>
        <v/>
      </c>
      <c r="S26">
        <f>IF(OR($P26="",$P26="Standard",$P$7=""),"",IFERROR(MATCH($C$7&amp;"|"&amp;$P26,'AFA Rates'!$P$5:$P$1004,0),""))</f>
        <v/>
      </c>
      <c r="T26">
        <f>IF(OR($R26="",$P$7=""),"",IF($P26="Standard",IF(OR(INDEX(Firms!$E$5:$E$1004,$P$7)="",$Q26&gt;=INDEX(Firms!$E$5:$E$1004,$P$7)),IF(INDEX(Firms!$F$5:$M$1004,$P$7,$R26)="","norate",INDEX(Firms!$F$5:$M$1004,$P$7,$R26)),"before"),IF($S26="","noafa",IF(AND(INDEX('AFA Rates'!$C$5:$C$1004,$S26)&lt;&gt;"",$Q26&lt;INDEX('AFA Rates'!$C$5:$C$1004,$S26)),"before",IF(AND(INDEX('AFA Rates'!$D$5:$D$1004,$S26)&lt;&gt;"",$Q26&gt;INDEX('AFA Rates'!$D$5:$D$1004,$S26)),"expired",IF(INDEX('AFA Rates'!$E$5:$L$1004,$S26,$R26)="","norate",INDEX('AFA Rates'!$E$5:$L$1004,$S26,$R26)))))))</f>
        <v/>
      </c>
      <c r="U26">
        <f>IF(OR($R26="",$P$7=""),"",COUNTIFS('Rate History'!$P$5:$P$2004,$C$7&amp;"|"&amp;$P26,'Rate History'!$C$5:$C$2004,"&lt;="&amp;$Q26,'Rate History'!$D$5:$D$2004,"&gt;="&amp;$Q26))</f>
        <v/>
      </c>
      <c r="V26">
        <f>IF(N($U26)&lt;&gt;1,"",SUMIFS(INDEX('Rate History'!$E$5:$L$2004,0,$R26),'Rate History'!$P$5:$P$2004,$C$7&amp;"|"&amp;$P26,'Rate History'!$C$5:$C$2004,"&lt;="&amp;$Q26,'Rate History'!$D$5:$D$2004,"&gt;="&amp;$Q26))</f>
        <v/>
      </c>
    </row>
    <row r="27" ht="20" customHeight="1">
      <c r="B27" s="64" t="n"/>
      <c r="C27" s="64" t="n"/>
      <c r="D27" s="65" t="n"/>
      <c r="E27" s="66" t="n"/>
      <c r="F27" s="67" t="n"/>
      <c r="G27" s="68">
        <f>IF(OR(D27="",$P$7=""),"",IF(ISNUMBER($T27),$T27,IF(N($V27)&gt;0,$V27,"")))</f>
        <v/>
      </c>
      <c r="H27" s="69">
        <f>IF(OR(G27="",F27=""),"",F27-G27)</f>
        <v/>
      </c>
      <c r="I27" s="70">
        <f>IF(D27="",IF(F27="","","Pick a role"),IF($P$7="","Pick a firm above",IF(G27="","⚠ No agreed rate",IF(F27="","Enter submitted rate",IF(F27&lt;=G27,"✓ Approve","✗ Exceeds by "&amp;TEXT(F27-G27,"$#,##0"))))))</f>
        <v/>
      </c>
      <c r="J27" s="71">
        <f>IF(OR(D27="",$P$7=""),"",IF(ISNUMBER($T27),IF($P27="Standard","Current standard rates","Current AFA — "&amp;$P27)&amp;" (eff. "&amp;IF(IF($P27="Standard",INDEX(Firms!$E$5:$E$1004,$P$7),INDEX('AFA Rates'!$C$5:$C$1004,$S27))="","no date",TEXT(IF($P27="Standard",INDEX(Firms!$E$5:$E$1004,$P$7),INDEX('AFA Rates'!$C$5:$C$1004,$S27)),"mm/dd/yyyy"))&amp;")",IF(N($V27)&gt;0,"Rate History — "&amp;$P27&amp;" rates in effect on "&amp;TEXT($Q27,"mm/dd/yyyy"),IF(N($U27)&gt;1,"Overlapping Rate History rows — fix on Rate History tab",IF($T27="noafa","No "&amp;$P27&amp;" AFA on file for this firm",IF($T27="expired","AFA ended "&amp;TEXT(INDEX('AFA Rates'!$D$5:$D$1004,$S27),"mm/dd/yyyy")&amp;"; no Rate History row covers "&amp;TEXT($Q27,"mm/dd/yyyy"),IF($T27="before","Date is before current rates; no Rate History row covers "&amp;TEXT($Q27,"mm/dd/yyyy"),"No "&amp;D27&amp;" rate entered for "&amp;$P27)))))))</f>
        <v/>
      </c>
      <c r="P27">
        <f>IF(D27="","",IF(C27="","Standard",C27))</f>
        <v/>
      </c>
      <c r="Q27">
        <f>IF(D27="","",IF(E27="",TODAY(),E27))</f>
        <v/>
      </c>
      <c r="R27">
        <f>IFERROR(MATCH(D27,Role_List,0),"")</f>
        <v/>
      </c>
      <c r="S27">
        <f>IF(OR($P27="",$P27="Standard",$P$7=""),"",IFERROR(MATCH($C$7&amp;"|"&amp;$P27,'AFA Rates'!$P$5:$P$1004,0),""))</f>
        <v/>
      </c>
      <c r="T27">
        <f>IF(OR($R27="",$P$7=""),"",IF($P27="Standard",IF(OR(INDEX(Firms!$E$5:$E$1004,$P$7)="",$Q27&gt;=INDEX(Firms!$E$5:$E$1004,$P$7)),IF(INDEX(Firms!$F$5:$M$1004,$P$7,$R27)="","norate",INDEX(Firms!$F$5:$M$1004,$P$7,$R27)),"before"),IF($S27="","noafa",IF(AND(INDEX('AFA Rates'!$C$5:$C$1004,$S27)&lt;&gt;"",$Q27&lt;INDEX('AFA Rates'!$C$5:$C$1004,$S27)),"before",IF(AND(INDEX('AFA Rates'!$D$5:$D$1004,$S27)&lt;&gt;"",$Q27&gt;INDEX('AFA Rates'!$D$5:$D$1004,$S27)),"expired",IF(INDEX('AFA Rates'!$E$5:$L$1004,$S27,$R27)="","norate",INDEX('AFA Rates'!$E$5:$L$1004,$S27,$R27)))))))</f>
        <v/>
      </c>
      <c r="U27">
        <f>IF(OR($R27="",$P$7=""),"",COUNTIFS('Rate History'!$P$5:$P$2004,$C$7&amp;"|"&amp;$P27,'Rate History'!$C$5:$C$2004,"&lt;="&amp;$Q27,'Rate History'!$D$5:$D$2004,"&gt;="&amp;$Q27))</f>
        <v/>
      </c>
      <c r="V27">
        <f>IF(N($U27)&lt;&gt;1,"",SUMIFS(INDEX('Rate History'!$E$5:$L$2004,0,$R27),'Rate History'!$P$5:$P$2004,$C$7&amp;"|"&amp;$P27,'Rate History'!$C$5:$C$2004,"&lt;="&amp;$Q27,'Rate History'!$D$5:$D$2004,"&gt;="&amp;$Q27))</f>
        <v/>
      </c>
    </row>
    <row r="28" ht="20" customHeight="1">
      <c r="B28" s="64" t="n"/>
      <c r="C28" s="64" t="n"/>
      <c r="D28" s="65" t="n"/>
      <c r="E28" s="66" t="n"/>
      <c r="F28" s="67" t="n"/>
      <c r="G28" s="68">
        <f>IF(OR(D28="",$P$7=""),"",IF(ISNUMBER($T28),$T28,IF(N($V28)&gt;0,$V28,"")))</f>
        <v/>
      </c>
      <c r="H28" s="69">
        <f>IF(OR(G28="",F28=""),"",F28-G28)</f>
        <v/>
      </c>
      <c r="I28" s="70">
        <f>IF(D28="",IF(F28="","","Pick a role"),IF($P$7="","Pick a firm above",IF(G28="","⚠ No agreed rate",IF(F28="","Enter submitted rate",IF(F28&lt;=G28,"✓ Approve","✗ Exceeds by "&amp;TEXT(F28-G28,"$#,##0"))))))</f>
        <v/>
      </c>
      <c r="J28" s="71">
        <f>IF(OR(D28="",$P$7=""),"",IF(ISNUMBER($T28),IF($P28="Standard","Current standard rates","Current AFA — "&amp;$P28)&amp;" (eff. "&amp;IF(IF($P28="Standard",INDEX(Firms!$E$5:$E$1004,$P$7),INDEX('AFA Rates'!$C$5:$C$1004,$S28))="","no date",TEXT(IF($P28="Standard",INDEX(Firms!$E$5:$E$1004,$P$7),INDEX('AFA Rates'!$C$5:$C$1004,$S28)),"mm/dd/yyyy"))&amp;")",IF(N($V28)&gt;0,"Rate History — "&amp;$P28&amp;" rates in effect on "&amp;TEXT($Q28,"mm/dd/yyyy"),IF(N($U28)&gt;1,"Overlapping Rate History rows — fix on Rate History tab",IF($T28="noafa","No "&amp;$P28&amp;" AFA on file for this firm",IF($T28="expired","AFA ended "&amp;TEXT(INDEX('AFA Rates'!$D$5:$D$1004,$S28),"mm/dd/yyyy")&amp;"; no Rate History row covers "&amp;TEXT($Q28,"mm/dd/yyyy"),IF($T28="before","Date is before current rates; no Rate History row covers "&amp;TEXT($Q28,"mm/dd/yyyy"),"No "&amp;D28&amp;" rate entered for "&amp;$P28)))))))</f>
        <v/>
      </c>
      <c r="P28">
        <f>IF(D28="","",IF(C28="","Standard",C28))</f>
        <v/>
      </c>
      <c r="Q28">
        <f>IF(D28="","",IF(E28="",TODAY(),E28))</f>
        <v/>
      </c>
      <c r="R28">
        <f>IFERROR(MATCH(D28,Role_List,0),"")</f>
        <v/>
      </c>
      <c r="S28">
        <f>IF(OR($P28="",$P28="Standard",$P$7=""),"",IFERROR(MATCH($C$7&amp;"|"&amp;$P28,'AFA Rates'!$P$5:$P$1004,0),""))</f>
        <v/>
      </c>
      <c r="T28">
        <f>IF(OR($R28="",$P$7=""),"",IF($P28="Standard",IF(OR(INDEX(Firms!$E$5:$E$1004,$P$7)="",$Q28&gt;=INDEX(Firms!$E$5:$E$1004,$P$7)),IF(INDEX(Firms!$F$5:$M$1004,$P$7,$R28)="","norate",INDEX(Firms!$F$5:$M$1004,$P$7,$R28)),"before"),IF($S28="","noafa",IF(AND(INDEX('AFA Rates'!$C$5:$C$1004,$S28)&lt;&gt;"",$Q28&lt;INDEX('AFA Rates'!$C$5:$C$1004,$S28)),"before",IF(AND(INDEX('AFA Rates'!$D$5:$D$1004,$S28)&lt;&gt;"",$Q28&gt;INDEX('AFA Rates'!$D$5:$D$1004,$S28)),"expired",IF(INDEX('AFA Rates'!$E$5:$L$1004,$S28,$R28)="","norate",INDEX('AFA Rates'!$E$5:$L$1004,$S28,$R28)))))))</f>
        <v/>
      </c>
      <c r="U28">
        <f>IF(OR($R28="",$P$7=""),"",COUNTIFS('Rate History'!$P$5:$P$2004,$C$7&amp;"|"&amp;$P28,'Rate History'!$C$5:$C$2004,"&lt;="&amp;$Q28,'Rate History'!$D$5:$D$2004,"&gt;="&amp;$Q28))</f>
        <v/>
      </c>
      <c r="V28">
        <f>IF(N($U28)&lt;&gt;1,"",SUMIFS(INDEX('Rate History'!$E$5:$L$2004,0,$R28),'Rate History'!$P$5:$P$2004,$C$7&amp;"|"&amp;$P28,'Rate History'!$C$5:$C$2004,"&lt;="&amp;$Q28,'Rate History'!$D$5:$D$2004,"&gt;="&amp;$Q28))</f>
        <v/>
      </c>
    </row>
    <row r="29" ht="20" customHeight="1">
      <c r="B29" s="64" t="n"/>
      <c r="C29" s="64" t="n"/>
      <c r="D29" s="65" t="n"/>
      <c r="E29" s="66" t="n"/>
      <c r="F29" s="67" t="n"/>
      <c r="G29" s="68">
        <f>IF(OR(D29="",$P$7=""),"",IF(ISNUMBER($T29),$T29,IF(N($V29)&gt;0,$V29,"")))</f>
        <v/>
      </c>
      <c r="H29" s="69">
        <f>IF(OR(G29="",F29=""),"",F29-G29)</f>
        <v/>
      </c>
      <c r="I29" s="70">
        <f>IF(D29="",IF(F29="","","Pick a role"),IF($P$7="","Pick a firm above",IF(G29="","⚠ No agreed rate",IF(F29="","Enter submitted rate",IF(F29&lt;=G29,"✓ Approve","✗ Exceeds by "&amp;TEXT(F29-G29,"$#,##0"))))))</f>
        <v/>
      </c>
      <c r="J29" s="71">
        <f>IF(OR(D29="",$P$7=""),"",IF(ISNUMBER($T29),IF($P29="Standard","Current standard rates","Current AFA — "&amp;$P29)&amp;" (eff. "&amp;IF(IF($P29="Standard",INDEX(Firms!$E$5:$E$1004,$P$7),INDEX('AFA Rates'!$C$5:$C$1004,$S29))="","no date",TEXT(IF($P29="Standard",INDEX(Firms!$E$5:$E$1004,$P$7),INDEX('AFA Rates'!$C$5:$C$1004,$S29)),"mm/dd/yyyy"))&amp;")",IF(N($V29)&gt;0,"Rate History — "&amp;$P29&amp;" rates in effect on "&amp;TEXT($Q29,"mm/dd/yyyy"),IF(N($U29)&gt;1,"Overlapping Rate History rows — fix on Rate History tab",IF($T29="noafa","No "&amp;$P29&amp;" AFA on file for this firm",IF($T29="expired","AFA ended "&amp;TEXT(INDEX('AFA Rates'!$D$5:$D$1004,$S29),"mm/dd/yyyy")&amp;"; no Rate History row covers "&amp;TEXT($Q29,"mm/dd/yyyy"),IF($T29="before","Date is before current rates; no Rate History row covers "&amp;TEXT($Q29,"mm/dd/yyyy"),"No "&amp;D29&amp;" rate entered for "&amp;$P29)))))))</f>
        <v/>
      </c>
      <c r="P29">
        <f>IF(D29="","",IF(C29="","Standard",C29))</f>
        <v/>
      </c>
      <c r="Q29">
        <f>IF(D29="","",IF(E29="",TODAY(),E29))</f>
        <v/>
      </c>
      <c r="R29">
        <f>IFERROR(MATCH(D29,Role_List,0),"")</f>
        <v/>
      </c>
      <c r="S29">
        <f>IF(OR($P29="",$P29="Standard",$P$7=""),"",IFERROR(MATCH($C$7&amp;"|"&amp;$P29,'AFA Rates'!$P$5:$P$1004,0),""))</f>
        <v/>
      </c>
      <c r="T29">
        <f>IF(OR($R29="",$P$7=""),"",IF($P29="Standard",IF(OR(INDEX(Firms!$E$5:$E$1004,$P$7)="",$Q29&gt;=INDEX(Firms!$E$5:$E$1004,$P$7)),IF(INDEX(Firms!$F$5:$M$1004,$P$7,$R29)="","norate",INDEX(Firms!$F$5:$M$1004,$P$7,$R29)),"before"),IF($S29="","noafa",IF(AND(INDEX('AFA Rates'!$C$5:$C$1004,$S29)&lt;&gt;"",$Q29&lt;INDEX('AFA Rates'!$C$5:$C$1004,$S29)),"before",IF(AND(INDEX('AFA Rates'!$D$5:$D$1004,$S29)&lt;&gt;"",$Q29&gt;INDEX('AFA Rates'!$D$5:$D$1004,$S29)),"expired",IF(INDEX('AFA Rates'!$E$5:$L$1004,$S29,$R29)="","norate",INDEX('AFA Rates'!$E$5:$L$1004,$S29,$R29)))))))</f>
        <v/>
      </c>
      <c r="U29">
        <f>IF(OR($R29="",$P$7=""),"",COUNTIFS('Rate History'!$P$5:$P$2004,$C$7&amp;"|"&amp;$P29,'Rate History'!$C$5:$C$2004,"&lt;="&amp;$Q29,'Rate History'!$D$5:$D$2004,"&gt;="&amp;$Q29))</f>
        <v/>
      </c>
      <c r="V29">
        <f>IF(N($U29)&lt;&gt;1,"",SUMIFS(INDEX('Rate History'!$E$5:$L$2004,0,$R29),'Rate History'!$P$5:$P$2004,$C$7&amp;"|"&amp;$P29,'Rate History'!$C$5:$C$2004,"&lt;="&amp;$Q29,'Rate History'!$D$5:$D$2004,"&gt;="&amp;$Q29))</f>
        <v/>
      </c>
    </row>
    <row r="30" ht="20" customHeight="1">
      <c r="B30" s="64" t="n"/>
      <c r="C30" s="64" t="n"/>
      <c r="D30" s="65" t="n"/>
      <c r="E30" s="66" t="n"/>
      <c r="F30" s="67" t="n"/>
      <c r="G30" s="68">
        <f>IF(OR(D30="",$P$7=""),"",IF(ISNUMBER($T30),$T30,IF(N($V30)&gt;0,$V30,"")))</f>
        <v/>
      </c>
      <c r="H30" s="69">
        <f>IF(OR(G30="",F30=""),"",F30-G30)</f>
        <v/>
      </c>
      <c r="I30" s="70">
        <f>IF(D30="",IF(F30="","","Pick a role"),IF($P$7="","Pick a firm above",IF(G30="","⚠ No agreed rate",IF(F30="","Enter submitted rate",IF(F30&lt;=G30,"✓ Approve","✗ Exceeds by "&amp;TEXT(F30-G30,"$#,##0"))))))</f>
        <v/>
      </c>
      <c r="J30" s="71">
        <f>IF(OR(D30="",$P$7=""),"",IF(ISNUMBER($T30),IF($P30="Standard","Current standard rates","Current AFA — "&amp;$P30)&amp;" (eff. "&amp;IF(IF($P30="Standard",INDEX(Firms!$E$5:$E$1004,$P$7),INDEX('AFA Rates'!$C$5:$C$1004,$S30))="","no date",TEXT(IF($P30="Standard",INDEX(Firms!$E$5:$E$1004,$P$7),INDEX('AFA Rates'!$C$5:$C$1004,$S30)),"mm/dd/yyyy"))&amp;")",IF(N($V30)&gt;0,"Rate History — "&amp;$P30&amp;" rates in effect on "&amp;TEXT($Q30,"mm/dd/yyyy"),IF(N($U30)&gt;1,"Overlapping Rate History rows — fix on Rate History tab",IF($T30="noafa","No "&amp;$P30&amp;" AFA on file for this firm",IF($T30="expired","AFA ended "&amp;TEXT(INDEX('AFA Rates'!$D$5:$D$1004,$S30),"mm/dd/yyyy")&amp;"; no Rate History row covers "&amp;TEXT($Q30,"mm/dd/yyyy"),IF($T30="before","Date is before current rates; no Rate History row covers "&amp;TEXT($Q30,"mm/dd/yyyy"),"No "&amp;D30&amp;" rate entered for "&amp;$P30)))))))</f>
        <v/>
      </c>
      <c r="P30">
        <f>IF(D30="","",IF(C30="","Standard",C30))</f>
        <v/>
      </c>
      <c r="Q30">
        <f>IF(D30="","",IF(E30="",TODAY(),E30))</f>
        <v/>
      </c>
      <c r="R30">
        <f>IFERROR(MATCH(D30,Role_List,0),"")</f>
        <v/>
      </c>
      <c r="S30">
        <f>IF(OR($P30="",$P30="Standard",$P$7=""),"",IFERROR(MATCH($C$7&amp;"|"&amp;$P30,'AFA Rates'!$P$5:$P$1004,0),""))</f>
        <v/>
      </c>
      <c r="T30">
        <f>IF(OR($R30="",$P$7=""),"",IF($P30="Standard",IF(OR(INDEX(Firms!$E$5:$E$1004,$P$7)="",$Q30&gt;=INDEX(Firms!$E$5:$E$1004,$P$7)),IF(INDEX(Firms!$F$5:$M$1004,$P$7,$R30)="","norate",INDEX(Firms!$F$5:$M$1004,$P$7,$R30)),"before"),IF($S30="","noafa",IF(AND(INDEX('AFA Rates'!$C$5:$C$1004,$S30)&lt;&gt;"",$Q30&lt;INDEX('AFA Rates'!$C$5:$C$1004,$S30)),"before",IF(AND(INDEX('AFA Rates'!$D$5:$D$1004,$S30)&lt;&gt;"",$Q30&gt;INDEX('AFA Rates'!$D$5:$D$1004,$S30)),"expired",IF(INDEX('AFA Rates'!$E$5:$L$1004,$S30,$R30)="","norate",INDEX('AFA Rates'!$E$5:$L$1004,$S30,$R30)))))))</f>
        <v/>
      </c>
      <c r="U30">
        <f>IF(OR($R30="",$P$7=""),"",COUNTIFS('Rate History'!$P$5:$P$2004,$C$7&amp;"|"&amp;$P30,'Rate History'!$C$5:$C$2004,"&lt;="&amp;$Q30,'Rate History'!$D$5:$D$2004,"&gt;="&amp;$Q30))</f>
        <v/>
      </c>
      <c r="V30">
        <f>IF(N($U30)&lt;&gt;1,"",SUMIFS(INDEX('Rate History'!$E$5:$L$2004,0,$R30),'Rate History'!$P$5:$P$2004,$C$7&amp;"|"&amp;$P30,'Rate History'!$C$5:$C$2004,"&lt;="&amp;$Q30,'Rate History'!$D$5:$D$2004,"&gt;="&amp;$Q30))</f>
        <v/>
      </c>
    </row>
    <row r="31" ht="20" customHeight="1">
      <c r="B31" s="64" t="n"/>
      <c r="C31" s="64" t="n"/>
      <c r="D31" s="65" t="n"/>
      <c r="E31" s="66" t="n"/>
      <c r="F31" s="67" t="n"/>
      <c r="G31" s="68">
        <f>IF(OR(D31="",$P$7=""),"",IF(ISNUMBER($T31),$T31,IF(N($V31)&gt;0,$V31,"")))</f>
        <v/>
      </c>
      <c r="H31" s="69">
        <f>IF(OR(G31="",F31=""),"",F31-G31)</f>
        <v/>
      </c>
      <c r="I31" s="70">
        <f>IF(D31="",IF(F31="","","Pick a role"),IF($P$7="","Pick a firm above",IF(G31="","⚠ No agreed rate",IF(F31="","Enter submitted rate",IF(F31&lt;=G31,"✓ Approve","✗ Exceeds by "&amp;TEXT(F31-G31,"$#,##0"))))))</f>
        <v/>
      </c>
      <c r="J31" s="71">
        <f>IF(OR(D31="",$P$7=""),"",IF(ISNUMBER($T31),IF($P31="Standard","Current standard rates","Current AFA — "&amp;$P31)&amp;" (eff. "&amp;IF(IF($P31="Standard",INDEX(Firms!$E$5:$E$1004,$P$7),INDEX('AFA Rates'!$C$5:$C$1004,$S31))="","no date",TEXT(IF($P31="Standard",INDEX(Firms!$E$5:$E$1004,$P$7),INDEX('AFA Rates'!$C$5:$C$1004,$S31)),"mm/dd/yyyy"))&amp;")",IF(N($V31)&gt;0,"Rate History — "&amp;$P31&amp;" rates in effect on "&amp;TEXT($Q31,"mm/dd/yyyy"),IF(N($U31)&gt;1,"Overlapping Rate History rows — fix on Rate History tab",IF($T31="noafa","No "&amp;$P31&amp;" AFA on file for this firm",IF($T31="expired","AFA ended "&amp;TEXT(INDEX('AFA Rates'!$D$5:$D$1004,$S31),"mm/dd/yyyy")&amp;"; no Rate History row covers "&amp;TEXT($Q31,"mm/dd/yyyy"),IF($T31="before","Date is before current rates; no Rate History row covers "&amp;TEXT($Q31,"mm/dd/yyyy"),"No "&amp;D31&amp;" rate entered for "&amp;$P31)))))))</f>
        <v/>
      </c>
      <c r="P31">
        <f>IF(D31="","",IF(C31="","Standard",C31))</f>
        <v/>
      </c>
      <c r="Q31">
        <f>IF(D31="","",IF(E31="",TODAY(),E31))</f>
        <v/>
      </c>
      <c r="R31">
        <f>IFERROR(MATCH(D31,Role_List,0),"")</f>
        <v/>
      </c>
      <c r="S31">
        <f>IF(OR($P31="",$P31="Standard",$P$7=""),"",IFERROR(MATCH($C$7&amp;"|"&amp;$P31,'AFA Rates'!$P$5:$P$1004,0),""))</f>
        <v/>
      </c>
      <c r="T31">
        <f>IF(OR($R31="",$P$7=""),"",IF($P31="Standard",IF(OR(INDEX(Firms!$E$5:$E$1004,$P$7)="",$Q31&gt;=INDEX(Firms!$E$5:$E$1004,$P$7)),IF(INDEX(Firms!$F$5:$M$1004,$P$7,$R31)="","norate",INDEX(Firms!$F$5:$M$1004,$P$7,$R31)),"before"),IF($S31="","noafa",IF(AND(INDEX('AFA Rates'!$C$5:$C$1004,$S31)&lt;&gt;"",$Q31&lt;INDEX('AFA Rates'!$C$5:$C$1004,$S31)),"before",IF(AND(INDEX('AFA Rates'!$D$5:$D$1004,$S31)&lt;&gt;"",$Q31&gt;INDEX('AFA Rates'!$D$5:$D$1004,$S31)),"expired",IF(INDEX('AFA Rates'!$E$5:$L$1004,$S31,$R31)="","norate",INDEX('AFA Rates'!$E$5:$L$1004,$S31,$R31)))))))</f>
        <v/>
      </c>
      <c r="U31">
        <f>IF(OR($R31="",$P$7=""),"",COUNTIFS('Rate History'!$P$5:$P$2004,$C$7&amp;"|"&amp;$P31,'Rate History'!$C$5:$C$2004,"&lt;="&amp;$Q31,'Rate History'!$D$5:$D$2004,"&gt;="&amp;$Q31))</f>
        <v/>
      </c>
      <c r="V31">
        <f>IF(N($U31)&lt;&gt;1,"",SUMIFS(INDEX('Rate History'!$E$5:$L$2004,0,$R31),'Rate History'!$P$5:$P$2004,$C$7&amp;"|"&amp;$P31,'Rate History'!$C$5:$C$2004,"&lt;="&amp;$Q31,'Rate History'!$D$5:$D$2004,"&gt;="&amp;$Q31))</f>
        <v/>
      </c>
    </row>
    <row r="32" ht="20" customHeight="1">
      <c r="B32" s="64" t="n"/>
      <c r="C32" s="64" t="n"/>
      <c r="D32" s="65" t="n"/>
      <c r="E32" s="66" t="n"/>
      <c r="F32" s="67" t="n"/>
      <c r="G32" s="68">
        <f>IF(OR(D32="",$P$7=""),"",IF(ISNUMBER($T32),$T32,IF(N($V32)&gt;0,$V32,"")))</f>
        <v/>
      </c>
      <c r="H32" s="69">
        <f>IF(OR(G32="",F32=""),"",F32-G32)</f>
        <v/>
      </c>
      <c r="I32" s="70">
        <f>IF(D32="",IF(F32="","","Pick a role"),IF($P$7="","Pick a firm above",IF(G32="","⚠ No agreed rate",IF(F32="","Enter submitted rate",IF(F32&lt;=G32,"✓ Approve","✗ Exceeds by "&amp;TEXT(F32-G32,"$#,##0"))))))</f>
        <v/>
      </c>
      <c r="J32" s="71">
        <f>IF(OR(D32="",$P$7=""),"",IF(ISNUMBER($T32),IF($P32="Standard","Current standard rates","Current AFA — "&amp;$P32)&amp;" (eff. "&amp;IF(IF($P32="Standard",INDEX(Firms!$E$5:$E$1004,$P$7),INDEX('AFA Rates'!$C$5:$C$1004,$S32))="","no date",TEXT(IF($P32="Standard",INDEX(Firms!$E$5:$E$1004,$P$7),INDEX('AFA Rates'!$C$5:$C$1004,$S32)),"mm/dd/yyyy"))&amp;")",IF(N($V32)&gt;0,"Rate History — "&amp;$P32&amp;" rates in effect on "&amp;TEXT($Q32,"mm/dd/yyyy"),IF(N($U32)&gt;1,"Overlapping Rate History rows — fix on Rate History tab",IF($T32="noafa","No "&amp;$P32&amp;" AFA on file for this firm",IF($T32="expired","AFA ended "&amp;TEXT(INDEX('AFA Rates'!$D$5:$D$1004,$S32),"mm/dd/yyyy")&amp;"; no Rate History row covers "&amp;TEXT($Q32,"mm/dd/yyyy"),IF($T32="before","Date is before current rates; no Rate History row covers "&amp;TEXT($Q32,"mm/dd/yyyy"),"No "&amp;D32&amp;" rate entered for "&amp;$P32)))))))</f>
        <v/>
      </c>
      <c r="P32">
        <f>IF(D32="","",IF(C32="","Standard",C32))</f>
        <v/>
      </c>
      <c r="Q32">
        <f>IF(D32="","",IF(E32="",TODAY(),E32))</f>
        <v/>
      </c>
      <c r="R32">
        <f>IFERROR(MATCH(D32,Role_List,0),"")</f>
        <v/>
      </c>
      <c r="S32">
        <f>IF(OR($P32="",$P32="Standard",$P$7=""),"",IFERROR(MATCH($C$7&amp;"|"&amp;$P32,'AFA Rates'!$P$5:$P$1004,0),""))</f>
        <v/>
      </c>
      <c r="T32">
        <f>IF(OR($R32="",$P$7=""),"",IF($P32="Standard",IF(OR(INDEX(Firms!$E$5:$E$1004,$P$7)="",$Q32&gt;=INDEX(Firms!$E$5:$E$1004,$P$7)),IF(INDEX(Firms!$F$5:$M$1004,$P$7,$R32)="","norate",INDEX(Firms!$F$5:$M$1004,$P$7,$R32)),"before"),IF($S32="","noafa",IF(AND(INDEX('AFA Rates'!$C$5:$C$1004,$S32)&lt;&gt;"",$Q32&lt;INDEX('AFA Rates'!$C$5:$C$1004,$S32)),"before",IF(AND(INDEX('AFA Rates'!$D$5:$D$1004,$S32)&lt;&gt;"",$Q32&gt;INDEX('AFA Rates'!$D$5:$D$1004,$S32)),"expired",IF(INDEX('AFA Rates'!$E$5:$L$1004,$S32,$R32)="","norate",INDEX('AFA Rates'!$E$5:$L$1004,$S32,$R32)))))))</f>
        <v/>
      </c>
      <c r="U32">
        <f>IF(OR($R32="",$P$7=""),"",COUNTIFS('Rate History'!$P$5:$P$2004,$C$7&amp;"|"&amp;$P32,'Rate History'!$C$5:$C$2004,"&lt;="&amp;$Q32,'Rate History'!$D$5:$D$2004,"&gt;="&amp;$Q32))</f>
        <v/>
      </c>
      <c r="V32">
        <f>IF(N($U32)&lt;&gt;1,"",SUMIFS(INDEX('Rate History'!$E$5:$L$2004,0,$R32),'Rate History'!$P$5:$P$2004,$C$7&amp;"|"&amp;$P32,'Rate History'!$C$5:$C$2004,"&lt;="&amp;$Q32,'Rate History'!$D$5:$D$2004,"&gt;="&amp;$Q32))</f>
        <v/>
      </c>
    </row>
    <row r="33" ht="20" customHeight="1">
      <c r="B33" s="64" t="n"/>
      <c r="C33" s="64" t="n"/>
      <c r="D33" s="65" t="n"/>
      <c r="E33" s="66" t="n"/>
      <c r="F33" s="67" t="n"/>
      <c r="G33" s="68">
        <f>IF(OR(D33="",$P$7=""),"",IF(ISNUMBER($T33),$T33,IF(N($V33)&gt;0,$V33,"")))</f>
        <v/>
      </c>
      <c r="H33" s="69">
        <f>IF(OR(G33="",F33=""),"",F33-G33)</f>
        <v/>
      </c>
      <c r="I33" s="70">
        <f>IF(D33="",IF(F33="","","Pick a role"),IF($P$7="","Pick a firm above",IF(G33="","⚠ No agreed rate",IF(F33="","Enter submitted rate",IF(F33&lt;=G33,"✓ Approve","✗ Exceeds by "&amp;TEXT(F33-G33,"$#,##0"))))))</f>
        <v/>
      </c>
      <c r="J33" s="71">
        <f>IF(OR(D33="",$P$7=""),"",IF(ISNUMBER($T33),IF($P33="Standard","Current standard rates","Current AFA — "&amp;$P33)&amp;" (eff. "&amp;IF(IF($P33="Standard",INDEX(Firms!$E$5:$E$1004,$P$7),INDEX('AFA Rates'!$C$5:$C$1004,$S33))="","no date",TEXT(IF($P33="Standard",INDEX(Firms!$E$5:$E$1004,$P$7),INDEX('AFA Rates'!$C$5:$C$1004,$S33)),"mm/dd/yyyy"))&amp;")",IF(N($V33)&gt;0,"Rate History — "&amp;$P33&amp;" rates in effect on "&amp;TEXT($Q33,"mm/dd/yyyy"),IF(N($U33)&gt;1,"Overlapping Rate History rows — fix on Rate History tab",IF($T33="noafa","No "&amp;$P33&amp;" AFA on file for this firm",IF($T33="expired","AFA ended "&amp;TEXT(INDEX('AFA Rates'!$D$5:$D$1004,$S33),"mm/dd/yyyy")&amp;"; no Rate History row covers "&amp;TEXT($Q33,"mm/dd/yyyy"),IF($T33="before","Date is before current rates; no Rate History row covers "&amp;TEXT($Q33,"mm/dd/yyyy"),"No "&amp;D33&amp;" rate entered for "&amp;$P33)))))))</f>
        <v/>
      </c>
      <c r="P33">
        <f>IF(D33="","",IF(C33="","Standard",C33))</f>
        <v/>
      </c>
      <c r="Q33">
        <f>IF(D33="","",IF(E33="",TODAY(),E33))</f>
        <v/>
      </c>
      <c r="R33">
        <f>IFERROR(MATCH(D33,Role_List,0),"")</f>
        <v/>
      </c>
      <c r="S33">
        <f>IF(OR($P33="",$P33="Standard",$P$7=""),"",IFERROR(MATCH($C$7&amp;"|"&amp;$P33,'AFA Rates'!$P$5:$P$1004,0),""))</f>
        <v/>
      </c>
      <c r="T33">
        <f>IF(OR($R33="",$P$7=""),"",IF($P33="Standard",IF(OR(INDEX(Firms!$E$5:$E$1004,$P$7)="",$Q33&gt;=INDEX(Firms!$E$5:$E$1004,$P$7)),IF(INDEX(Firms!$F$5:$M$1004,$P$7,$R33)="","norate",INDEX(Firms!$F$5:$M$1004,$P$7,$R33)),"before"),IF($S33="","noafa",IF(AND(INDEX('AFA Rates'!$C$5:$C$1004,$S33)&lt;&gt;"",$Q33&lt;INDEX('AFA Rates'!$C$5:$C$1004,$S33)),"before",IF(AND(INDEX('AFA Rates'!$D$5:$D$1004,$S33)&lt;&gt;"",$Q33&gt;INDEX('AFA Rates'!$D$5:$D$1004,$S33)),"expired",IF(INDEX('AFA Rates'!$E$5:$L$1004,$S33,$R33)="","norate",INDEX('AFA Rates'!$E$5:$L$1004,$S33,$R33)))))))</f>
        <v/>
      </c>
      <c r="U33">
        <f>IF(OR($R33="",$P$7=""),"",COUNTIFS('Rate History'!$P$5:$P$2004,$C$7&amp;"|"&amp;$P33,'Rate History'!$C$5:$C$2004,"&lt;="&amp;$Q33,'Rate History'!$D$5:$D$2004,"&gt;="&amp;$Q33))</f>
        <v/>
      </c>
      <c r="V33">
        <f>IF(N($U33)&lt;&gt;1,"",SUMIFS(INDEX('Rate History'!$E$5:$L$2004,0,$R33),'Rate History'!$P$5:$P$2004,$C$7&amp;"|"&amp;$P33,'Rate History'!$C$5:$C$2004,"&lt;="&amp;$Q33,'Rate History'!$D$5:$D$2004,"&gt;="&amp;$Q33))</f>
        <v/>
      </c>
    </row>
    <row r="34" ht="20" customHeight="1">
      <c r="B34" s="64" t="n"/>
      <c r="C34" s="64" t="n"/>
      <c r="D34" s="65" t="n"/>
      <c r="E34" s="66" t="n"/>
      <c r="F34" s="67" t="n"/>
      <c r="G34" s="68">
        <f>IF(OR(D34="",$P$7=""),"",IF(ISNUMBER($T34),$T34,IF(N($V34)&gt;0,$V34,"")))</f>
        <v/>
      </c>
      <c r="H34" s="69">
        <f>IF(OR(G34="",F34=""),"",F34-G34)</f>
        <v/>
      </c>
      <c r="I34" s="70">
        <f>IF(D34="",IF(F34="","","Pick a role"),IF($P$7="","Pick a firm above",IF(G34="","⚠ No agreed rate",IF(F34="","Enter submitted rate",IF(F34&lt;=G34,"✓ Approve","✗ Exceeds by "&amp;TEXT(F34-G34,"$#,##0"))))))</f>
        <v/>
      </c>
      <c r="J34" s="71">
        <f>IF(OR(D34="",$P$7=""),"",IF(ISNUMBER($T34),IF($P34="Standard","Current standard rates","Current AFA — "&amp;$P34)&amp;" (eff. "&amp;IF(IF($P34="Standard",INDEX(Firms!$E$5:$E$1004,$P$7),INDEX('AFA Rates'!$C$5:$C$1004,$S34))="","no date",TEXT(IF($P34="Standard",INDEX(Firms!$E$5:$E$1004,$P$7),INDEX('AFA Rates'!$C$5:$C$1004,$S34)),"mm/dd/yyyy"))&amp;")",IF(N($V34)&gt;0,"Rate History — "&amp;$P34&amp;" rates in effect on "&amp;TEXT($Q34,"mm/dd/yyyy"),IF(N($U34)&gt;1,"Overlapping Rate History rows — fix on Rate History tab",IF($T34="noafa","No "&amp;$P34&amp;" AFA on file for this firm",IF($T34="expired","AFA ended "&amp;TEXT(INDEX('AFA Rates'!$D$5:$D$1004,$S34),"mm/dd/yyyy")&amp;"; no Rate History row covers "&amp;TEXT($Q34,"mm/dd/yyyy"),IF($T34="before","Date is before current rates; no Rate History row covers "&amp;TEXT($Q34,"mm/dd/yyyy"),"No "&amp;D34&amp;" rate entered for "&amp;$P34)))))))</f>
        <v/>
      </c>
      <c r="P34">
        <f>IF(D34="","",IF(C34="","Standard",C34))</f>
        <v/>
      </c>
      <c r="Q34">
        <f>IF(D34="","",IF(E34="",TODAY(),E34))</f>
        <v/>
      </c>
      <c r="R34">
        <f>IFERROR(MATCH(D34,Role_List,0),"")</f>
        <v/>
      </c>
      <c r="S34">
        <f>IF(OR($P34="",$P34="Standard",$P$7=""),"",IFERROR(MATCH($C$7&amp;"|"&amp;$P34,'AFA Rates'!$P$5:$P$1004,0),""))</f>
        <v/>
      </c>
      <c r="T34">
        <f>IF(OR($R34="",$P$7=""),"",IF($P34="Standard",IF(OR(INDEX(Firms!$E$5:$E$1004,$P$7)="",$Q34&gt;=INDEX(Firms!$E$5:$E$1004,$P$7)),IF(INDEX(Firms!$F$5:$M$1004,$P$7,$R34)="","norate",INDEX(Firms!$F$5:$M$1004,$P$7,$R34)),"before"),IF($S34="","noafa",IF(AND(INDEX('AFA Rates'!$C$5:$C$1004,$S34)&lt;&gt;"",$Q34&lt;INDEX('AFA Rates'!$C$5:$C$1004,$S34)),"before",IF(AND(INDEX('AFA Rates'!$D$5:$D$1004,$S34)&lt;&gt;"",$Q34&gt;INDEX('AFA Rates'!$D$5:$D$1004,$S34)),"expired",IF(INDEX('AFA Rates'!$E$5:$L$1004,$S34,$R34)="","norate",INDEX('AFA Rates'!$E$5:$L$1004,$S34,$R34)))))))</f>
        <v/>
      </c>
      <c r="U34">
        <f>IF(OR($R34="",$P$7=""),"",COUNTIFS('Rate History'!$P$5:$P$2004,$C$7&amp;"|"&amp;$P34,'Rate History'!$C$5:$C$2004,"&lt;="&amp;$Q34,'Rate History'!$D$5:$D$2004,"&gt;="&amp;$Q34))</f>
        <v/>
      </c>
      <c r="V34">
        <f>IF(N($U34)&lt;&gt;1,"",SUMIFS(INDEX('Rate History'!$E$5:$L$2004,0,$R34),'Rate History'!$P$5:$P$2004,$C$7&amp;"|"&amp;$P34,'Rate History'!$C$5:$C$2004,"&lt;="&amp;$Q34,'Rate History'!$D$5:$D$2004,"&gt;="&amp;$Q34))</f>
        <v/>
      </c>
    </row>
    <row r="35" ht="20" customHeight="1">
      <c r="B35" s="64" t="n"/>
      <c r="C35" s="64" t="n"/>
      <c r="D35" s="65" t="n"/>
      <c r="E35" s="66" t="n"/>
      <c r="F35" s="67" t="n"/>
      <c r="G35" s="68">
        <f>IF(OR(D35="",$P$7=""),"",IF(ISNUMBER($T35),$T35,IF(N($V35)&gt;0,$V35,"")))</f>
        <v/>
      </c>
      <c r="H35" s="69">
        <f>IF(OR(G35="",F35=""),"",F35-G35)</f>
        <v/>
      </c>
      <c r="I35" s="70">
        <f>IF(D35="",IF(F35="","","Pick a role"),IF($P$7="","Pick a firm above",IF(G35="","⚠ No agreed rate",IF(F35="","Enter submitted rate",IF(F35&lt;=G35,"✓ Approve","✗ Exceeds by "&amp;TEXT(F35-G35,"$#,##0"))))))</f>
        <v/>
      </c>
      <c r="J35" s="71">
        <f>IF(OR(D35="",$P$7=""),"",IF(ISNUMBER($T35),IF($P35="Standard","Current standard rates","Current AFA — "&amp;$P35)&amp;" (eff. "&amp;IF(IF($P35="Standard",INDEX(Firms!$E$5:$E$1004,$P$7),INDEX('AFA Rates'!$C$5:$C$1004,$S35))="","no date",TEXT(IF($P35="Standard",INDEX(Firms!$E$5:$E$1004,$P$7),INDEX('AFA Rates'!$C$5:$C$1004,$S35)),"mm/dd/yyyy"))&amp;")",IF(N($V35)&gt;0,"Rate History — "&amp;$P35&amp;" rates in effect on "&amp;TEXT($Q35,"mm/dd/yyyy"),IF(N($U35)&gt;1,"Overlapping Rate History rows — fix on Rate History tab",IF($T35="noafa","No "&amp;$P35&amp;" AFA on file for this firm",IF($T35="expired","AFA ended "&amp;TEXT(INDEX('AFA Rates'!$D$5:$D$1004,$S35),"mm/dd/yyyy")&amp;"; no Rate History row covers "&amp;TEXT($Q35,"mm/dd/yyyy"),IF($T35="before","Date is before current rates; no Rate History row covers "&amp;TEXT($Q35,"mm/dd/yyyy"),"No "&amp;D35&amp;" rate entered for "&amp;$P35)))))))</f>
        <v/>
      </c>
      <c r="P35">
        <f>IF(D35="","",IF(C35="","Standard",C35))</f>
        <v/>
      </c>
      <c r="Q35">
        <f>IF(D35="","",IF(E35="",TODAY(),E35))</f>
        <v/>
      </c>
      <c r="R35">
        <f>IFERROR(MATCH(D35,Role_List,0),"")</f>
        <v/>
      </c>
      <c r="S35">
        <f>IF(OR($P35="",$P35="Standard",$P$7=""),"",IFERROR(MATCH($C$7&amp;"|"&amp;$P35,'AFA Rates'!$P$5:$P$1004,0),""))</f>
        <v/>
      </c>
      <c r="T35">
        <f>IF(OR($R35="",$P$7=""),"",IF($P35="Standard",IF(OR(INDEX(Firms!$E$5:$E$1004,$P$7)="",$Q35&gt;=INDEX(Firms!$E$5:$E$1004,$P$7)),IF(INDEX(Firms!$F$5:$M$1004,$P$7,$R35)="","norate",INDEX(Firms!$F$5:$M$1004,$P$7,$R35)),"before"),IF($S35="","noafa",IF(AND(INDEX('AFA Rates'!$C$5:$C$1004,$S35)&lt;&gt;"",$Q35&lt;INDEX('AFA Rates'!$C$5:$C$1004,$S35)),"before",IF(AND(INDEX('AFA Rates'!$D$5:$D$1004,$S35)&lt;&gt;"",$Q35&gt;INDEX('AFA Rates'!$D$5:$D$1004,$S35)),"expired",IF(INDEX('AFA Rates'!$E$5:$L$1004,$S35,$R35)="","norate",INDEX('AFA Rates'!$E$5:$L$1004,$S35,$R35)))))))</f>
        <v/>
      </c>
      <c r="U35">
        <f>IF(OR($R35="",$P$7=""),"",COUNTIFS('Rate History'!$P$5:$P$2004,$C$7&amp;"|"&amp;$P35,'Rate History'!$C$5:$C$2004,"&lt;="&amp;$Q35,'Rate History'!$D$5:$D$2004,"&gt;="&amp;$Q35))</f>
        <v/>
      </c>
      <c r="V35">
        <f>IF(N($U35)&lt;&gt;1,"",SUMIFS(INDEX('Rate History'!$E$5:$L$2004,0,$R35),'Rate History'!$P$5:$P$2004,$C$7&amp;"|"&amp;$P35,'Rate History'!$C$5:$C$2004,"&lt;="&amp;$Q35,'Rate History'!$D$5:$D$2004,"&gt;="&amp;$Q35))</f>
        <v/>
      </c>
    </row>
    <row r="36" ht="20" customHeight="1">
      <c r="B36" s="64" t="n"/>
      <c r="C36" s="64" t="n"/>
      <c r="D36" s="65" t="n"/>
      <c r="E36" s="66" t="n"/>
      <c r="F36" s="67" t="n"/>
      <c r="G36" s="68">
        <f>IF(OR(D36="",$P$7=""),"",IF(ISNUMBER($T36),$T36,IF(N($V36)&gt;0,$V36,"")))</f>
        <v/>
      </c>
      <c r="H36" s="69">
        <f>IF(OR(G36="",F36=""),"",F36-G36)</f>
        <v/>
      </c>
      <c r="I36" s="70">
        <f>IF(D36="",IF(F36="","","Pick a role"),IF($P$7="","Pick a firm above",IF(G36="","⚠ No agreed rate",IF(F36="","Enter submitted rate",IF(F36&lt;=G36,"✓ Approve","✗ Exceeds by "&amp;TEXT(F36-G36,"$#,##0"))))))</f>
        <v/>
      </c>
      <c r="J36" s="71">
        <f>IF(OR(D36="",$P$7=""),"",IF(ISNUMBER($T36),IF($P36="Standard","Current standard rates","Current AFA — "&amp;$P36)&amp;" (eff. "&amp;IF(IF($P36="Standard",INDEX(Firms!$E$5:$E$1004,$P$7),INDEX('AFA Rates'!$C$5:$C$1004,$S36))="","no date",TEXT(IF($P36="Standard",INDEX(Firms!$E$5:$E$1004,$P$7),INDEX('AFA Rates'!$C$5:$C$1004,$S36)),"mm/dd/yyyy"))&amp;")",IF(N($V36)&gt;0,"Rate History — "&amp;$P36&amp;" rates in effect on "&amp;TEXT($Q36,"mm/dd/yyyy"),IF(N($U36)&gt;1,"Overlapping Rate History rows — fix on Rate History tab",IF($T36="noafa","No "&amp;$P36&amp;" AFA on file for this firm",IF($T36="expired","AFA ended "&amp;TEXT(INDEX('AFA Rates'!$D$5:$D$1004,$S36),"mm/dd/yyyy")&amp;"; no Rate History row covers "&amp;TEXT($Q36,"mm/dd/yyyy"),IF($T36="before","Date is before current rates; no Rate History row covers "&amp;TEXT($Q36,"mm/dd/yyyy"),"No "&amp;D36&amp;" rate entered for "&amp;$P36)))))))</f>
        <v/>
      </c>
      <c r="P36">
        <f>IF(D36="","",IF(C36="","Standard",C36))</f>
        <v/>
      </c>
      <c r="Q36">
        <f>IF(D36="","",IF(E36="",TODAY(),E36))</f>
        <v/>
      </c>
      <c r="R36">
        <f>IFERROR(MATCH(D36,Role_List,0),"")</f>
        <v/>
      </c>
      <c r="S36">
        <f>IF(OR($P36="",$P36="Standard",$P$7=""),"",IFERROR(MATCH($C$7&amp;"|"&amp;$P36,'AFA Rates'!$P$5:$P$1004,0),""))</f>
        <v/>
      </c>
      <c r="T36">
        <f>IF(OR($R36="",$P$7=""),"",IF($P36="Standard",IF(OR(INDEX(Firms!$E$5:$E$1004,$P$7)="",$Q36&gt;=INDEX(Firms!$E$5:$E$1004,$P$7)),IF(INDEX(Firms!$F$5:$M$1004,$P$7,$R36)="","norate",INDEX(Firms!$F$5:$M$1004,$P$7,$R36)),"before"),IF($S36="","noafa",IF(AND(INDEX('AFA Rates'!$C$5:$C$1004,$S36)&lt;&gt;"",$Q36&lt;INDEX('AFA Rates'!$C$5:$C$1004,$S36)),"before",IF(AND(INDEX('AFA Rates'!$D$5:$D$1004,$S36)&lt;&gt;"",$Q36&gt;INDEX('AFA Rates'!$D$5:$D$1004,$S36)),"expired",IF(INDEX('AFA Rates'!$E$5:$L$1004,$S36,$R36)="","norate",INDEX('AFA Rates'!$E$5:$L$1004,$S36,$R36)))))))</f>
        <v/>
      </c>
      <c r="U36">
        <f>IF(OR($R36="",$P$7=""),"",COUNTIFS('Rate History'!$P$5:$P$2004,$C$7&amp;"|"&amp;$P36,'Rate History'!$C$5:$C$2004,"&lt;="&amp;$Q36,'Rate History'!$D$5:$D$2004,"&gt;="&amp;$Q36))</f>
        <v/>
      </c>
      <c r="V36">
        <f>IF(N($U36)&lt;&gt;1,"",SUMIFS(INDEX('Rate History'!$E$5:$L$2004,0,$R36),'Rate History'!$P$5:$P$2004,$C$7&amp;"|"&amp;$P36,'Rate History'!$C$5:$C$2004,"&lt;="&amp;$Q36,'Rate History'!$D$5:$D$2004,"&gt;="&amp;$Q36))</f>
        <v/>
      </c>
    </row>
    <row r="37" ht="20" customHeight="1">
      <c r="B37" s="64" t="n"/>
      <c r="C37" s="64" t="n"/>
      <c r="D37" s="65" t="n"/>
      <c r="E37" s="66" t="n"/>
      <c r="F37" s="67" t="n"/>
      <c r="G37" s="68">
        <f>IF(OR(D37="",$P$7=""),"",IF(ISNUMBER($T37),$T37,IF(N($V37)&gt;0,$V37,"")))</f>
        <v/>
      </c>
      <c r="H37" s="69">
        <f>IF(OR(G37="",F37=""),"",F37-G37)</f>
        <v/>
      </c>
      <c r="I37" s="70">
        <f>IF(D37="",IF(F37="","","Pick a role"),IF($P$7="","Pick a firm above",IF(G37="","⚠ No agreed rate",IF(F37="","Enter submitted rate",IF(F37&lt;=G37,"✓ Approve","✗ Exceeds by "&amp;TEXT(F37-G37,"$#,##0"))))))</f>
        <v/>
      </c>
      <c r="J37" s="71">
        <f>IF(OR(D37="",$P$7=""),"",IF(ISNUMBER($T37),IF($P37="Standard","Current standard rates","Current AFA — "&amp;$P37)&amp;" (eff. "&amp;IF(IF($P37="Standard",INDEX(Firms!$E$5:$E$1004,$P$7),INDEX('AFA Rates'!$C$5:$C$1004,$S37))="","no date",TEXT(IF($P37="Standard",INDEX(Firms!$E$5:$E$1004,$P$7),INDEX('AFA Rates'!$C$5:$C$1004,$S37)),"mm/dd/yyyy"))&amp;")",IF(N($V37)&gt;0,"Rate History — "&amp;$P37&amp;" rates in effect on "&amp;TEXT($Q37,"mm/dd/yyyy"),IF(N($U37)&gt;1,"Overlapping Rate History rows — fix on Rate History tab",IF($T37="noafa","No "&amp;$P37&amp;" AFA on file for this firm",IF($T37="expired","AFA ended "&amp;TEXT(INDEX('AFA Rates'!$D$5:$D$1004,$S37),"mm/dd/yyyy")&amp;"; no Rate History row covers "&amp;TEXT($Q37,"mm/dd/yyyy"),IF($T37="before","Date is before current rates; no Rate History row covers "&amp;TEXT($Q37,"mm/dd/yyyy"),"No "&amp;D37&amp;" rate entered for "&amp;$P37)))))))</f>
        <v/>
      </c>
      <c r="P37">
        <f>IF(D37="","",IF(C37="","Standard",C37))</f>
        <v/>
      </c>
      <c r="Q37">
        <f>IF(D37="","",IF(E37="",TODAY(),E37))</f>
        <v/>
      </c>
      <c r="R37">
        <f>IFERROR(MATCH(D37,Role_List,0),"")</f>
        <v/>
      </c>
      <c r="S37">
        <f>IF(OR($P37="",$P37="Standard",$P$7=""),"",IFERROR(MATCH($C$7&amp;"|"&amp;$P37,'AFA Rates'!$P$5:$P$1004,0),""))</f>
        <v/>
      </c>
      <c r="T37">
        <f>IF(OR($R37="",$P$7=""),"",IF($P37="Standard",IF(OR(INDEX(Firms!$E$5:$E$1004,$P$7)="",$Q37&gt;=INDEX(Firms!$E$5:$E$1004,$P$7)),IF(INDEX(Firms!$F$5:$M$1004,$P$7,$R37)="","norate",INDEX(Firms!$F$5:$M$1004,$P$7,$R37)),"before"),IF($S37="","noafa",IF(AND(INDEX('AFA Rates'!$C$5:$C$1004,$S37)&lt;&gt;"",$Q37&lt;INDEX('AFA Rates'!$C$5:$C$1004,$S37)),"before",IF(AND(INDEX('AFA Rates'!$D$5:$D$1004,$S37)&lt;&gt;"",$Q37&gt;INDEX('AFA Rates'!$D$5:$D$1004,$S37)),"expired",IF(INDEX('AFA Rates'!$E$5:$L$1004,$S37,$R37)="","norate",INDEX('AFA Rates'!$E$5:$L$1004,$S37,$R37)))))))</f>
        <v/>
      </c>
      <c r="U37">
        <f>IF(OR($R37="",$P$7=""),"",COUNTIFS('Rate History'!$P$5:$P$2004,$C$7&amp;"|"&amp;$P37,'Rate History'!$C$5:$C$2004,"&lt;="&amp;$Q37,'Rate History'!$D$5:$D$2004,"&gt;="&amp;$Q37))</f>
        <v/>
      </c>
      <c r="V37">
        <f>IF(N($U37)&lt;&gt;1,"",SUMIFS(INDEX('Rate History'!$E$5:$L$2004,0,$R37),'Rate History'!$P$5:$P$2004,$C$7&amp;"|"&amp;$P37,'Rate History'!$C$5:$C$2004,"&lt;="&amp;$Q37,'Rate History'!$D$5:$D$2004,"&gt;="&amp;$Q37))</f>
        <v/>
      </c>
    </row>
    <row r="38" ht="20" customHeight="1">
      <c r="B38" s="64" t="n"/>
      <c r="C38" s="64" t="n"/>
      <c r="D38" s="65" t="n"/>
      <c r="E38" s="66" t="n"/>
      <c r="F38" s="67" t="n"/>
      <c r="G38" s="68">
        <f>IF(OR(D38="",$P$7=""),"",IF(ISNUMBER($T38),$T38,IF(N($V38)&gt;0,$V38,"")))</f>
        <v/>
      </c>
      <c r="H38" s="69">
        <f>IF(OR(G38="",F38=""),"",F38-G38)</f>
        <v/>
      </c>
      <c r="I38" s="70">
        <f>IF(D38="",IF(F38="","","Pick a role"),IF($P$7="","Pick a firm above",IF(G38="","⚠ No agreed rate",IF(F38="","Enter submitted rate",IF(F38&lt;=G38,"✓ Approve","✗ Exceeds by "&amp;TEXT(F38-G38,"$#,##0"))))))</f>
        <v/>
      </c>
      <c r="J38" s="71">
        <f>IF(OR(D38="",$P$7=""),"",IF(ISNUMBER($T38),IF($P38="Standard","Current standard rates","Current AFA — "&amp;$P38)&amp;" (eff. "&amp;IF(IF($P38="Standard",INDEX(Firms!$E$5:$E$1004,$P$7),INDEX('AFA Rates'!$C$5:$C$1004,$S38))="","no date",TEXT(IF($P38="Standard",INDEX(Firms!$E$5:$E$1004,$P$7),INDEX('AFA Rates'!$C$5:$C$1004,$S38)),"mm/dd/yyyy"))&amp;")",IF(N($V38)&gt;0,"Rate History — "&amp;$P38&amp;" rates in effect on "&amp;TEXT($Q38,"mm/dd/yyyy"),IF(N($U38)&gt;1,"Overlapping Rate History rows — fix on Rate History tab",IF($T38="noafa","No "&amp;$P38&amp;" AFA on file for this firm",IF($T38="expired","AFA ended "&amp;TEXT(INDEX('AFA Rates'!$D$5:$D$1004,$S38),"mm/dd/yyyy")&amp;"; no Rate History row covers "&amp;TEXT($Q38,"mm/dd/yyyy"),IF($T38="before","Date is before current rates; no Rate History row covers "&amp;TEXT($Q38,"mm/dd/yyyy"),"No "&amp;D38&amp;" rate entered for "&amp;$P38)))))))</f>
        <v/>
      </c>
      <c r="P38">
        <f>IF(D38="","",IF(C38="","Standard",C38))</f>
        <v/>
      </c>
      <c r="Q38">
        <f>IF(D38="","",IF(E38="",TODAY(),E38))</f>
        <v/>
      </c>
      <c r="R38">
        <f>IFERROR(MATCH(D38,Role_List,0),"")</f>
        <v/>
      </c>
      <c r="S38">
        <f>IF(OR($P38="",$P38="Standard",$P$7=""),"",IFERROR(MATCH($C$7&amp;"|"&amp;$P38,'AFA Rates'!$P$5:$P$1004,0),""))</f>
        <v/>
      </c>
      <c r="T38">
        <f>IF(OR($R38="",$P$7=""),"",IF($P38="Standard",IF(OR(INDEX(Firms!$E$5:$E$1004,$P$7)="",$Q38&gt;=INDEX(Firms!$E$5:$E$1004,$P$7)),IF(INDEX(Firms!$F$5:$M$1004,$P$7,$R38)="","norate",INDEX(Firms!$F$5:$M$1004,$P$7,$R38)),"before"),IF($S38="","noafa",IF(AND(INDEX('AFA Rates'!$C$5:$C$1004,$S38)&lt;&gt;"",$Q38&lt;INDEX('AFA Rates'!$C$5:$C$1004,$S38)),"before",IF(AND(INDEX('AFA Rates'!$D$5:$D$1004,$S38)&lt;&gt;"",$Q38&gt;INDEX('AFA Rates'!$D$5:$D$1004,$S38)),"expired",IF(INDEX('AFA Rates'!$E$5:$L$1004,$S38,$R38)="","norate",INDEX('AFA Rates'!$E$5:$L$1004,$S38,$R38)))))))</f>
        <v/>
      </c>
      <c r="U38">
        <f>IF(OR($R38="",$P$7=""),"",COUNTIFS('Rate History'!$P$5:$P$2004,$C$7&amp;"|"&amp;$P38,'Rate History'!$C$5:$C$2004,"&lt;="&amp;$Q38,'Rate History'!$D$5:$D$2004,"&gt;="&amp;$Q38))</f>
        <v/>
      </c>
      <c r="V38">
        <f>IF(N($U38)&lt;&gt;1,"",SUMIFS(INDEX('Rate History'!$E$5:$L$2004,0,$R38),'Rate History'!$P$5:$P$2004,$C$7&amp;"|"&amp;$P38,'Rate History'!$C$5:$C$2004,"&lt;="&amp;$Q38,'Rate History'!$D$5:$D$2004,"&gt;="&amp;$Q38))</f>
        <v/>
      </c>
    </row>
    <row r="39" ht="20" customHeight="1">
      <c r="B39" s="64" t="n"/>
      <c r="C39" s="64" t="n"/>
      <c r="D39" s="65" t="n"/>
      <c r="E39" s="66" t="n"/>
      <c r="F39" s="67" t="n"/>
      <c r="G39" s="68">
        <f>IF(OR(D39="",$P$7=""),"",IF(ISNUMBER($T39),$T39,IF(N($V39)&gt;0,$V39,"")))</f>
        <v/>
      </c>
      <c r="H39" s="69">
        <f>IF(OR(G39="",F39=""),"",F39-G39)</f>
        <v/>
      </c>
      <c r="I39" s="70">
        <f>IF(D39="",IF(F39="","","Pick a role"),IF($P$7="","Pick a firm above",IF(G39="","⚠ No agreed rate",IF(F39="","Enter submitted rate",IF(F39&lt;=G39,"✓ Approve","✗ Exceeds by "&amp;TEXT(F39-G39,"$#,##0"))))))</f>
        <v/>
      </c>
      <c r="J39" s="71">
        <f>IF(OR(D39="",$P$7=""),"",IF(ISNUMBER($T39),IF($P39="Standard","Current standard rates","Current AFA — "&amp;$P39)&amp;" (eff. "&amp;IF(IF($P39="Standard",INDEX(Firms!$E$5:$E$1004,$P$7),INDEX('AFA Rates'!$C$5:$C$1004,$S39))="","no date",TEXT(IF($P39="Standard",INDEX(Firms!$E$5:$E$1004,$P$7),INDEX('AFA Rates'!$C$5:$C$1004,$S39)),"mm/dd/yyyy"))&amp;")",IF(N($V39)&gt;0,"Rate History — "&amp;$P39&amp;" rates in effect on "&amp;TEXT($Q39,"mm/dd/yyyy"),IF(N($U39)&gt;1,"Overlapping Rate History rows — fix on Rate History tab",IF($T39="noafa","No "&amp;$P39&amp;" AFA on file for this firm",IF($T39="expired","AFA ended "&amp;TEXT(INDEX('AFA Rates'!$D$5:$D$1004,$S39),"mm/dd/yyyy")&amp;"; no Rate History row covers "&amp;TEXT($Q39,"mm/dd/yyyy"),IF($T39="before","Date is before current rates; no Rate History row covers "&amp;TEXT($Q39,"mm/dd/yyyy"),"No "&amp;D39&amp;" rate entered for "&amp;$P39)))))))</f>
        <v/>
      </c>
      <c r="P39">
        <f>IF(D39="","",IF(C39="","Standard",C39))</f>
        <v/>
      </c>
      <c r="Q39">
        <f>IF(D39="","",IF(E39="",TODAY(),E39))</f>
        <v/>
      </c>
      <c r="R39">
        <f>IFERROR(MATCH(D39,Role_List,0),"")</f>
        <v/>
      </c>
      <c r="S39">
        <f>IF(OR($P39="",$P39="Standard",$P$7=""),"",IFERROR(MATCH($C$7&amp;"|"&amp;$P39,'AFA Rates'!$P$5:$P$1004,0),""))</f>
        <v/>
      </c>
      <c r="T39">
        <f>IF(OR($R39="",$P$7=""),"",IF($P39="Standard",IF(OR(INDEX(Firms!$E$5:$E$1004,$P$7)="",$Q39&gt;=INDEX(Firms!$E$5:$E$1004,$P$7)),IF(INDEX(Firms!$F$5:$M$1004,$P$7,$R39)="","norate",INDEX(Firms!$F$5:$M$1004,$P$7,$R39)),"before"),IF($S39="","noafa",IF(AND(INDEX('AFA Rates'!$C$5:$C$1004,$S39)&lt;&gt;"",$Q39&lt;INDEX('AFA Rates'!$C$5:$C$1004,$S39)),"before",IF(AND(INDEX('AFA Rates'!$D$5:$D$1004,$S39)&lt;&gt;"",$Q39&gt;INDEX('AFA Rates'!$D$5:$D$1004,$S39)),"expired",IF(INDEX('AFA Rates'!$E$5:$L$1004,$S39,$R39)="","norate",INDEX('AFA Rates'!$E$5:$L$1004,$S39,$R39)))))))</f>
        <v/>
      </c>
      <c r="U39">
        <f>IF(OR($R39="",$P$7=""),"",COUNTIFS('Rate History'!$P$5:$P$2004,$C$7&amp;"|"&amp;$P39,'Rate History'!$C$5:$C$2004,"&lt;="&amp;$Q39,'Rate History'!$D$5:$D$2004,"&gt;="&amp;$Q39))</f>
        <v/>
      </c>
      <c r="V39">
        <f>IF(N($U39)&lt;&gt;1,"",SUMIFS(INDEX('Rate History'!$E$5:$L$2004,0,$R39),'Rate History'!$P$5:$P$2004,$C$7&amp;"|"&amp;$P39,'Rate History'!$C$5:$C$2004,"&lt;="&amp;$Q39,'Rate History'!$D$5:$D$2004,"&gt;="&amp;$Q39))</f>
        <v/>
      </c>
    </row>
    <row r="40" ht="20" customHeight="1">
      <c r="B40" s="64" t="n"/>
      <c r="C40" s="64" t="n"/>
      <c r="D40" s="65" t="n"/>
      <c r="E40" s="66" t="n"/>
      <c r="F40" s="67" t="n"/>
      <c r="G40" s="68">
        <f>IF(OR(D40="",$P$7=""),"",IF(ISNUMBER($T40),$T40,IF(N($V40)&gt;0,$V40,"")))</f>
        <v/>
      </c>
      <c r="H40" s="69">
        <f>IF(OR(G40="",F40=""),"",F40-G40)</f>
        <v/>
      </c>
      <c r="I40" s="70">
        <f>IF(D40="",IF(F40="","","Pick a role"),IF($P$7="","Pick a firm above",IF(G40="","⚠ No agreed rate",IF(F40="","Enter submitted rate",IF(F40&lt;=G40,"✓ Approve","✗ Exceeds by "&amp;TEXT(F40-G40,"$#,##0"))))))</f>
        <v/>
      </c>
      <c r="J40" s="71">
        <f>IF(OR(D40="",$P$7=""),"",IF(ISNUMBER($T40),IF($P40="Standard","Current standard rates","Current AFA — "&amp;$P40)&amp;" (eff. "&amp;IF(IF($P40="Standard",INDEX(Firms!$E$5:$E$1004,$P$7),INDEX('AFA Rates'!$C$5:$C$1004,$S40))="","no date",TEXT(IF($P40="Standard",INDEX(Firms!$E$5:$E$1004,$P$7),INDEX('AFA Rates'!$C$5:$C$1004,$S40)),"mm/dd/yyyy"))&amp;")",IF(N($V40)&gt;0,"Rate History — "&amp;$P40&amp;" rates in effect on "&amp;TEXT($Q40,"mm/dd/yyyy"),IF(N($U40)&gt;1,"Overlapping Rate History rows — fix on Rate History tab",IF($T40="noafa","No "&amp;$P40&amp;" AFA on file for this firm",IF($T40="expired","AFA ended "&amp;TEXT(INDEX('AFA Rates'!$D$5:$D$1004,$S40),"mm/dd/yyyy")&amp;"; no Rate History row covers "&amp;TEXT($Q40,"mm/dd/yyyy"),IF($T40="before","Date is before current rates; no Rate History row covers "&amp;TEXT($Q40,"mm/dd/yyyy"),"No "&amp;D40&amp;" rate entered for "&amp;$P40)))))))</f>
        <v/>
      </c>
      <c r="P40">
        <f>IF(D40="","",IF(C40="","Standard",C40))</f>
        <v/>
      </c>
      <c r="Q40">
        <f>IF(D40="","",IF(E40="",TODAY(),E40))</f>
        <v/>
      </c>
      <c r="R40">
        <f>IFERROR(MATCH(D40,Role_List,0),"")</f>
        <v/>
      </c>
      <c r="S40">
        <f>IF(OR($P40="",$P40="Standard",$P$7=""),"",IFERROR(MATCH($C$7&amp;"|"&amp;$P40,'AFA Rates'!$P$5:$P$1004,0),""))</f>
        <v/>
      </c>
      <c r="T40">
        <f>IF(OR($R40="",$P$7=""),"",IF($P40="Standard",IF(OR(INDEX(Firms!$E$5:$E$1004,$P$7)="",$Q40&gt;=INDEX(Firms!$E$5:$E$1004,$P$7)),IF(INDEX(Firms!$F$5:$M$1004,$P$7,$R40)="","norate",INDEX(Firms!$F$5:$M$1004,$P$7,$R40)),"before"),IF($S40="","noafa",IF(AND(INDEX('AFA Rates'!$C$5:$C$1004,$S40)&lt;&gt;"",$Q40&lt;INDEX('AFA Rates'!$C$5:$C$1004,$S40)),"before",IF(AND(INDEX('AFA Rates'!$D$5:$D$1004,$S40)&lt;&gt;"",$Q40&gt;INDEX('AFA Rates'!$D$5:$D$1004,$S40)),"expired",IF(INDEX('AFA Rates'!$E$5:$L$1004,$S40,$R40)="","norate",INDEX('AFA Rates'!$E$5:$L$1004,$S40,$R40)))))))</f>
        <v/>
      </c>
      <c r="U40">
        <f>IF(OR($R40="",$P$7=""),"",COUNTIFS('Rate History'!$P$5:$P$2004,$C$7&amp;"|"&amp;$P40,'Rate History'!$C$5:$C$2004,"&lt;="&amp;$Q40,'Rate History'!$D$5:$D$2004,"&gt;="&amp;$Q40))</f>
        <v/>
      </c>
      <c r="V40">
        <f>IF(N($U40)&lt;&gt;1,"",SUMIFS(INDEX('Rate History'!$E$5:$L$2004,0,$R40),'Rate History'!$P$5:$P$2004,$C$7&amp;"|"&amp;$P40,'Rate History'!$C$5:$C$2004,"&lt;="&amp;$Q40,'Rate History'!$D$5:$D$2004,"&gt;="&amp;$Q40))</f>
        <v/>
      </c>
    </row>
    <row r="42" ht="26" customHeight="1">
      <c r="B42" s="72">
        <f>"Lines checked: "&amp;COUNTIF(I11:I40,"?*")&amp;"     ✓ Approve: "&amp;COUNTIF(I11:I40,"✓*")&amp;"     ✗ Exceeds: "&amp;COUNTIF(I11:I40,"✗*")&amp;"     ⚠ No agreed rate: "&amp;COUNTIF(I11:I40,"⚠*")</f>
        <v/>
      </c>
      <c r="C42" s="41" t="n"/>
      <c r="D42" s="41" t="n"/>
      <c r="E42" s="41" t="n"/>
      <c r="F42" s="41" t="n"/>
      <c r="G42" s="41" t="n"/>
      <c r="H42" s="41" t="n"/>
      <c r="I42" s="41" t="n"/>
      <c r="J42" s="41" t="n"/>
    </row>
    <row r="43">
      <c r="B43" s="22" t="inlineStr">
        <is>
          <t>Clear the white cells (select → Delete) to start a new submission. Nothing here changes the stored rates.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8">
    <mergeCell ref="B3:J3"/>
    <mergeCell ref="C5:E5"/>
    <mergeCell ref="B42:J42"/>
    <mergeCell ref="C7:F7"/>
    <mergeCell ref="G7:J7"/>
    <mergeCell ref="B8:J8"/>
    <mergeCell ref="B43:J43"/>
    <mergeCell ref="B2:J2"/>
  </mergeCells>
  <conditionalFormatting sqref="B8:J8">
    <cfRule type="expression" priority="1" dxfId="0">
      <formula>LEFT($B$8,1)="⛔"</formula>
    </cfRule>
    <cfRule type="expression" priority="2" dxfId="1">
      <formula>LEFT($B$8,1)="✓"</formula>
    </cfRule>
  </conditionalFormatting>
  <conditionalFormatting sqref="I11:I40">
    <cfRule type="expression" priority="3" dxfId="1">
      <formula>LEFT(I11,1)="✓"</formula>
    </cfRule>
    <cfRule type="expression" priority="4" dxfId="0">
      <formula>LEFT(I11,1)="✗"</formula>
    </cfRule>
    <cfRule type="expression" priority="5" dxfId="4">
      <formula>LEFT(I11,1)="⚠"</formula>
    </cfRule>
  </conditionalFormatting>
  <conditionalFormatting sqref="H11:H40">
    <cfRule type="cellIs" priority="6" operator="greaterThan" dxfId="8">
      <formula>0</formula>
    </cfRule>
  </conditionalFormatting>
  <dataValidations count="5">
    <dataValidation sqref="C5" showDropDown="0" showInputMessage="0" showErrorMessage="0" allowBlank="1" type="list">
      <formula1>=Firm_List</formula1>
    </dataValidation>
    <dataValidation sqref="C11:C40" showDropDown="0" showInputMessage="0" showErrorMessage="0" allowBlank="1" errorTitle="Rate Schedule" error="Pick Standard or an AFA type (or leave blank for Standard)." type="list">
      <formula1>=Schedule_List</formula1>
    </dataValidation>
    <dataValidation sqref="D11:D40" showDropDown="0" showInputMessage="0" showErrorMessage="0" allowBlank="1" errorTitle="Role" error="Pick a role from the list." type="list">
      <formula1>=Role_List</formula1>
    </dataValidation>
    <dataValidation sqref="E11:E40" showDropDown="0" showInputMessage="0" showErrorMessage="0" allowBlank="1" errorTitle="Date of Service" error="Enter a date." type="date" operator="greaterThan">
      <formula1>1</formula1>
    </dataValidation>
    <dataValidation sqref="F11:F40" showDropDown="0" showInputMessage="0" showErrorMessage="0" allowBlank="1" errorTitle="Submitted Rate" error="Enter the hourly rate submitted.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9CC3E6"/>
    <outlinePr summaryBelow="1" summaryRight="1"/>
    <pageSetUpPr fitToPage="1"/>
  </sheetPr>
  <dimension ref="B2:O100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" customWidth="1" min="1" max="1"/>
    <col width="32" customWidth="1" min="2" max="2"/>
    <col width="15" customWidth="1" min="3" max="3"/>
    <col width="13" customWidth="1" min="4" max="4"/>
    <col width="13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3" customWidth="1" min="14" max="14"/>
    <col hidden="1" width="13" customWidth="1" min="15" max="15"/>
  </cols>
  <sheetData>
    <row r="1" ht="12" customHeight="1"/>
    <row r="2" ht="40" customHeight="1">
      <c r="B2" s="73" t="inlineStr">
        <is>
          <t>🗺️  State Search — Who is approved where?</t>
        </is>
      </c>
      <c r="C2" s="37" t="n"/>
      <c r="D2" s="37" t="n"/>
      <c r="E2" s="37" t="n"/>
      <c r="F2" s="37" t="n"/>
      <c r="G2" s="37" t="n"/>
      <c r="H2" s="37" t="n"/>
      <c r="I2" s="37" t="n"/>
      <c r="J2" s="37" t="n"/>
      <c r="K2" s="37" t="n"/>
      <c r="L2" s="37" t="n"/>
      <c r="M2" s="37" t="n"/>
    </row>
    <row r="3" ht="30" customHeight="1">
      <c r="B3" s="74" t="inlineStr">
        <is>
          <t>Pick a 2-letter state code. Lists every ACTIVE firm approved in that state (A–Z), including nationwide (ALL) firms. Paused firms are excluded.</t>
        </is>
      </c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37" t="n"/>
    </row>
    <row r="5" ht="30" customHeight="1">
      <c r="B5" s="75" t="inlineStr">
        <is>
          <t>State:</t>
        </is>
      </c>
      <c r="C5" s="76" t="inlineStr">
        <is>
          <t>TX</t>
        </is>
      </c>
      <c r="D5" s="30" t="inlineStr">
        <is>
          <t>◄ pick ▼</t>
        </is>
      </c>
      <c r="E5" s="75">
        <f>IF($C$5="","",IFERROR(INDEX(Lists!$M$5:$M$55,MATCH($C$5,State_Codes,0)),"")&amp;" — "&amp;COUNT(Firms!$Y$5:$Y$1004)&amp;" active firm(s) approved"&amp;IF(COUNTIFS(Firms!$B$5:$B$1004,"Paused",Firms!$X$5:$X$1004,"*,"&amp;$C$5&amp;",*")&gt;0,"  ·  "&amp;COUNTIFS(Firms!$B$5:$B$1004,"Paused",Firms!$X$5:$X$1004,"*,"&amp;$C$5&amp;",*")&amp;" paused (see Do Not Use)",""))</f>
        <v/>
      </c>
    </row>
    <row r="7">
      <c r="B7" s="36" t="inlineStr">
        <is>
          <t>ACTIVE FIRMS APPROVED IN THIS STATE</t>
        </is>
      </c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</row>
    <row r="8" ht="32" customHeight="1">
      <c r="B8" s="77" t="inlineStr">
        <is>
          <t>Firm</t>
        </is>
      </c>
      <c r="C8" s="77" t="inlineStr">
        <is>
          <t>Cyber Status</t>
        </is>
      </c>
      <c r="D8" s="77" t="inlineStr">
        <is>
          <t>AFA on File?</t>
        </is>
      </c>
      <c r="E8" s="77" t="inlineStr">
        <is>
          <t>Rate Review</t>
        </is>
      </c>
      <c r="F8" s="77" t="inlineStr">
        <is>
          <t>Counsel</t>
        </is>
      </c>
      <c r="G8" s="77" t="inlineStr">
        <is>
          <t>Senior Partner</t>
        </is>
      </c>
      <c r="H8" s="77" t="inlineStr">
        <is>
          <t>Junior Partner</t>
        </is>
      </c>
      <c r="I8" s="77" t="inlineStr">
        <is>
          <t>Partner</t>
        </is>
      </c>
      <c r="J8" s="77" t="inlineStr">
        <is>
          <t>Senior Associate</t>
        </is>
      </c>
      <c r="K8" s="77" t="inlineStr">
        <is>
          <t>Junior Associate</t>
        </is>
      </c>
      <c r="L8" s="77" t="inlineStr">
        <is>
          <t>Associate</t>
        </is>
      </c>
      <c r="M8" s="77" t="inlineStr">
        <is>
          <t>Paralegal</t>
        </is>
      </c>
    </row>
    <row r="9">
      <c r="B9" s="78">
        <f>IF($O9="","",INDEX(Firms!$A$5:$A$1004,$O9))</f>
        <v/>
      </c>
      <c r="C9" s="79">
        <f>IF($O9="","",INDEX(Firms!$N$5:$N$1004,$O9)&amp;"")</f>
        <v/>
      </c>
      <c r="D9" s="79">
        <f>IF($O9="","",INDEX(Firms!$P$5:$P$1004,$O9)&amp;"")</f>
        <v/>
      </c>
      <c r="E9" s="79">
        <f>IF($O9="","",INDEX(Firms!$O$5:$O$1004,$O9)&amp;"")</f>
        <v/>
      </c>
      <c r="F9" s="50">
        <f>IF($O9="","",IF(INDEX(Firms!$F$5:$F$1004,$O9)="","—",INDEX(Firms!$F$5:$F$1004,$O9)))</f>
        <v/>
      </c>
      <c r="G9" s="50">
        <f>IF($O9="","",IF(INDEX(Firms!$G$5:$G$1004,$O9)="","—",INDEX(Firms!$G$5:$G$1004,$O9)))</f>
        <v/>
      </c>
      <c r="H9" s="50">
        <f>IF($O9="","",IF(INDEX(Firms!$H$5:$H$1004,$O9)="","—",INDEX(Firms!$H$5:$H$1004,$O9)))</f>
        <v/>
      </c>
      <c r="I9" s="50">
        <f>IF($O9="","",IF(INDEX(Firms!$I$5:$I$1004,$O9)="","—",INDEX(Firms!$I$5:$I$1004,$O9)))</f>
        <v/>
      </c>
      <c r="J9" s="50">
        <f>IF($O9="","",IF(INDEX(Firms!$J$5:$J$1004,$O9)="","—",INDEX(Firms!$J$5:$J$1004,$O9)))</f>
        <v/>
      </c>
      <c r="K9" s="50">
        <f>IF($O9="","",IF(INDEX(Firms!$K$5:$K$1004,$O9)="","—",INDEX(Firms!$K$5:$K$1004,$O9)))</f>
        <v/>
      </c>
      <c r="L9" s="50">
        <f>IF($O9="","",IF(INDEX(Firms!$L$5:$L$1004,$O9)="","—",INDEX(Firms!$L$5:$L$1004,$O9)))</f>
        <v/>
      </c>
      <c r="M9" s="50">
        <f>IF($O9="","",IF(INDEX(Firms!$M$5:$M$1004,$O9)="","—",INDEX(Firms!$M$5:$M$1004,$O9)))</f>
        <v/>
      </c>
      <c r="O9">
        <f>IFERROR(MATCH(SMALL(Firms!$Y$5:$Y$1004,1),Firms!$W$5:$W$1004,0),"")</f>
        <v/>
      </c>
    </row>
    <row r="10">
      <c r="B10" s="78">
        <f>IF($O10="","",INDEX(Firms!$A$5:$A$1004,$O10))</f>
        <v/>
      </c>
      <c r="C10" s="79">
        <f>IF($O10="","",INDEX(Firms!$N$5:$N$1004,$O10)&amp;"")</f>
        <v/>
      </c>
      <c r="D10" s="79">
        <f>IF($O10="","",INDEX(Firms!$P$5:$P$1004,$O10)&amp;"")</f>
        <v/>
      </c>
      <c r="E10" s="79">
        <f>IF($O10="","",INDEX(Firms!$O$5:$O$1004,$O10)&amp;"")</f>
        <v/>
      </c>
      <c r="F10" s="50">
        <f>IF($O10="","",IF(INDEX(Firms!$F$5:$F$1004,$O10)="","—",INDEX(Firms!$F$5:$F$1004,$O10)))</f>
        <v/>
      </c>
      <c r="G10" s="50">
        <f>IF($O10="","",IF(INDEX(Firms!$G$5:$G$1004,$O10)="","—",INDEX(Firms!$G$5:$G$1004,$O10)))</f>
        <v/>
      </c>
      <c r="H10" s="50">
        <f>IF($O10="","",IF(INDEX(Firms!$H$5:$H$1004,$O10)="","—",INDEX(Firms!$H$5:$H$1004,$O10)))</f>
        <v/>
      </c>
      <c r="I10" s="50">
        <f>IF($O10="","",IF(INDEX(Firms!$I$5:$I$1004,$O10)="","—",INDEX(Firms!$I$5:$I$1004,$O10)))</f>
        <v/>
      </c>
      <c r="J10" s="50">
        <f>IF($O10="","",IF(INDEX(Firms!$J$5:$J$1004,$O10)="","—",INDEX(Firms!$J$5:$J$1004,$O10)))</f>
        <v/>
      </c>
      <c r="K10" s="50">
        <f>IF($O10="","",IF(INDEX(Firms!$K$5:$K$1004,$O10)="","—",INDEX(Firms!$K$5:$K$1004,$O10)))</f>
        <v/>
      </c>
      <c r="L10" s="50">
        <f>IF($O10="","",IF(INDEX(Firms!$L$5:$L$1004,$O10)="","—",INDEX(Firms!$L$5:$L$1004,$O10)))</f>
        <v/>
      </c>
      <c r="M10" s="50">
        <f>IF($O10="","",IF(INDEX(Firms!$M$5:$M$1004,$O10)="","—",INDEX(Firms!$M$5:$M$1004,$O10)))</f>
        <v/>
      </c>
      <c r="O10">
        <f>IFERROR(MATCH(SMALL(Firms!$Y$5:$Y$1004,2),Firms!$W$5:$W$1004,0),"")</f>
        <v/>
      </c>
    </row>
    <row r="11">
      <c r="B11" s="78">
        <f>IF($O11="","",INDEX(Firms!$A$5:$A$1004,$O11))</f>
        <v/>
      </c>
      <c r="C11" s="79">
        <f>IF($O11="","",INDEX(Firms!$N$5:$N$1004,$O11)&amp;"")</f>
        <v/>
      </c>
      <c r="D11" s="79">
        <f>IF($O11="","",INDEX(Firms!$P$5:$P$1004,$O11)&amp;"")</f>
        <v/>
      </c>
      <c r="E11" s="79">
        <f>IF($O11="","",INDEX(Firms!$O$5:$O$1004,$O11)&amp;"")</f>
        <v/>
      </c>
      <c r="F11" s="50">
        <f>IF($O11="","",IF(INDEX(Firms!$F$5:$F$1004,$O11)="","—",INDEX(Firms!$F$5:$F$1004,$O11)))</f>
        <v/>
      </c>
      <c r="G11" s="50">
        <f>IF($O11="","",IF(INDEX(Firms!$G$5:$G$1004,$O11)="","—",INDEX(Firms!$G$5:$G$1004,$O11)))</f>
        <v/>
      </c>
      <c r="H11" s="50">
        <f>IF($O11="","",IF(INDEX(Firms!$H$5:$H$1004,$O11)="","—",INDEX(Firms!$H$5:$H$1004,$O11)))</f>
        <v/>
      </c>
      <c r="I11" s="50">
        <f>IF($O11="","",IF(INDEX(Firms!$I$5:$I$1004,$O11)="","—",INDEX(Firms!$I$5:$I$1004,$O11)))</f>
        <v/>
      </c>
      <c r="J11" s="50">
        <f>IF($O11="","",IF(INDEX(Firms!$J$5:$J$1004,$O11)="","—",INDEX(Firms!$J$5:$J$1004,$O11)))</f>
        <v/>
      </c>
      <c r="K11" s="50">
        <f>IF($O11="","",IF(INDEX(Firms!$K$5:$K$1004,$O11)="","—",INDEX(Firms!$K$5:$K$1004,$O11)))</f>
        <v/>
      </c>
      <c r="L11" s="50">
        <f>IF($O11="","",IF(INDEX(Firms!$L$5:$L$1004,$O11)="","—",INDEX(Firms!$L$5:$L$1004,$O11)))</f>
        <v/>
      </c>
      <c r="M11" s="50">
        <f>IF($O11="","",IF(INDEX(Firms!$M$5:$M$1004,$O11)="","—",INDEX(Firms!$M$5:$M$1004,$O11)))</f>
        <v/>
      </c>
      <c r="O11">
        <f>IFERROR(MATCH(SMALL(Firms!$Y$5:$Y$1004,3),Firms!$W$5:$W$1004,0),"")</f>
        <v/>
      </c>
    </row>
    <row r="12">
      <c r="B12" s="78">
        <f>IF($O12="","",INDEX(Firms!$A$5:$A$1004,$O12))</f>
        <v/>
      </c>
      <c r="C12" s="79">
        <f>IF($O12="","",INDEX(Firms!$N$5:$N$1004,$O12)&amp;"")</f>
        <v/>
      </c>
      <c r="D12" s="79">
        <f>IF($O12="","",INDEX(Firms!$P$5:$P$1004,$O12)&amp;"")</f>
        <v/>
      </c>
      <c r="E12" s="79">
        <f>IF($O12="","",INDEX(Firms!$O$5:$O$1004,$O12)&amp;"")</f>
        <v/>
      </c>
      <c r="F12" s="50">
        <f>IF($O12="","",IF(INDEX(Firms!$F$5:$F$1004,$O12)="","—",INDEX(Firms!$F$5:$F$1004,$O12)))</f>
        <v/>
      </c>
      <c r="G12" s="50">
        <f>IF($O12="","",IF(INDEX(Firms!$G$5:$G$1004,$O12)="","—",INDEX(Firms!$G$5:$G$1004,$O12)))</f>
        <v/>
      </c>
      <c r="H12" s="50">
        <f>IF($O12="","",IF(INDEX(Firms!$H$5:$H$1004,$O12)="","—",INDEX(Firms!$H$5:$H$1004,$O12)))</f>
        <v/>
      </c>
      <c r="I12" s="50">
        <f>IF($O12="","",IF(INDEX(Firms!$I$5:$I$1004,$O12)="","—",INDEX(Firms!$I$5:$I$1004,$O12)))</f>
        <v/>
      </c>
      <c r="J12" s="50">
        <f>IF($O12="","",IF(INDEX(Firms!$J$5:$J$1004,$O12)="","—",INDEX(Firms!$J$5:$J$1004,$O12)))</f>
        <v/>
      </c>
      <c r="K12" s="50">
        <f>IF($O12="","",IF(INDEX(Firms!$K$5:$K$1004,$O12)="","—",INDEX(Firms!$K$5:$K$1004,$O12)))</f>
        <v/>
      </c>
      <c r="L12" s="50">
        <f>IF($O12="","",IF(INDEX(Firms!$L$5:$L$1004,$O12)="","—",INDEX(Firms!$L$5:$L$1004,$O12)))</f>
        <v/>
      </c>
      <c r="M12" s="50">
        <f>IF($O12="","",IF(INDEX(Firms!$M$5:$M$1004,$O12)="","—",INDEX(Firms!$M$5:$M$1004,$O12)))</f>
        <v/>
      </c>
      <c r="O12">
        <f>IFERROR(MATCH(SMALL(Firms!$Y$5:$Y$1004,4),Firms!$W$5:$W$1004,0),"")</f>
        <v/>
      </c>
    </row>
    <row r="13">
      <c r="B13" s="78">
        <f>IF($O13="","",INDEX(Firms!$A$5:$A$1004,$O13))</f>
        <v/>
      </c>
      <c r="C13" s="79">
        <f>IF($O13="","",INDEX(Firms!$N$5:$N$1004,$O13)&amp;"")</f>
        <v/>
      </c>
      <c r="D13" s="79">
        <f>IF($O13="","",INDEX(Firms!$P$5:$P$1004,$O13)&amp;"")</f>
        <v/>
      </c>
      <c r="E13" s="79">
        <f>IF($O13="","",INDEX(Firms!$O$5:$O$1004,$O13)&amp;"")</f>
        <v/>
      </c>
      <c r="F13" s="50">
        <f>IF($O13="","",IF(INDEX(Firms!$F$5:$F$1004,$O13)="","—",INDEX(Firms!$F$5:$F$1004,$O13)))</f>
        <v/>
      </c>
      <c r="G13" s="50">
        <f>IF($O13="","",IF(INDEX(Firms!$G$5:$G$1004,$O13)="","—",INDEX(Firms!$G$5:$G$1004,$O13)))</f>
        <v/>
      </c>
      <c r="H13" s="50">
        <f>IF($O13="","",IF(INDEX(Firms!$H$5:$H$1004,$O13)="","—",INDEX(Firms!$H$5:$H$1004,$O13)))</f>
        <v/>
      </c>
      <c r="I13" s="50">
        <f>IF($O13="","",IF(INDEX(Firms!$I$5:$I$1004,$O13)="","—",INDEX(Firms!$I$5:$I$1004,$O13)))</f>
        <v/>
      </c>
      <c r="J13" s="50">
        <f>IF($O13="","",IF(INDEX(Firms!$J$5:$J$1004,$O13)="","—",INDEX(Firms!$J$5:$J$1004,$O13)))</f>
        <v/>
      </c>
      <c r="K13" s="50">
        <f>IF($O13="","",IF(INDEX(Firms!$K$5:$K$1004,$O13)="","—",INDEX(Firms!$K$5:$K$1004,$O13)))</f>
        <v/>
      </c>
      <c r="L13" s="50">
        <f>IF($O13="","",IF(INDEX(Firms!$L$5:$L$1004,$O13)="","—",INDEX(Firms!$L$5:$L$1004,$O13)))</f>
        <v/>
      </c>
      <c r="M13" s="50">
        <f>IF($O13="","",IF(INDEX(Firms!$M$5:$M$1004,$O13)="","—",INDEX(Firms!$M$5:$M$1004,$O13)))</f>
        <v/>
      </c>
      <c r="O13">
        <f>IFERROR(MATCH(SMALL(Firms!$Y$5:$Y$1004,5),Firms!$W$5:$W$1004,0),"")</f>
        <v/>
      </c>
    </row>
    <row r="14">
      <c r="B14" s="78">
        <f>IF($O14="","",INDEX(Firms!$A$5:$A$1004,$O14))</f>
        <v/>
      </c>
      <c r="C14" s="79">
        <f>IF($O14="","",INDEX(Firms!$N$5:$N$1004,$O14)&amp;"")</f>
        <v/>
      </c>
      <c r="D14" s="79">
        <f>IF($O14="","",INDEX(Firms!$P$5:$P$1004,$O14)&amp;"")</f>
        <v/>
      </c>
      <c r="E14" s="79">
        <f>IF($O14="","",INDEX(Firms!$O$5:$O$1004,$O14)&amp;"")</f>
        <v/>
      </c>
      <c r="F14" s="50">
        <f>IF($O14="","",IF(INDEX(Firms!$F$5:$F$1004,$O14)="","—",INDEX(Firms!$F$5:$F$1004,$O14)))</f>
        <v/>
      </c>
      <c r="G14" s="50">
        <f>IF($O14="","",IF(INDEX(Firms!$G$5:$G$1004,$O14)="","—",INDEX(Firms!$G$5:$G$1004,$O14)))</f>
        <v/>
      </c>
      <c r="H14" s="50">
        <f>IF($O14="","",IF(INDEX(Firms!$H$5:$H$1004,$O14)="","—",INDEX(Firms!$H$5:$H$1004,$O14)))</f>
        <v/>
      </c>
      <c r="I14" s="50">
        <f>IF($O14="","",IF(INDEX(Firms!$I$5:$I$1004,$O14)="","—",INDEX(Firms!$I$5:$I$1004,$O14)))</f>
        <v/>
      </c>
      <c r="J14" s="50">
        <f>IF($O14="","",IF(INDEX(Firms!$J$5:$J$1004,$O14)="","—",INDEX(Firms!$J$5:$J$1004,$O14)))</f>
        <v/>
      </c>
      <c r="K14" s="50">
        <f>IF($O14="","",IF(INDEX(Firms!$K$5:$K$1004,$O14)="","—",INDEX(Firms!$K$5:$K$1004,$O14)))</f>
        <v/>
      </c>
      <c r="L14" s="50">
        <f>IF($O14="","",IF(INDEX(Firms!$L$5:$L$1004,$O14)="","—",INDEX(Firms!$L$5:$L$1004,$O14)))</f>
        <v/>
      </c>
      <c r="M14" s="50">
        <f>IF($O14="","",IF(INDEX(Firms!$M$5:$M$1004,$O14)="","—",INDEX(Firms!$M$5:$M$1004,$O14)))</f>
        <v/>
      </c>
      <c r="O14">
        <f>IFERROR(MATCH(SMALL(Firms!$Y$5:$Y$1004,6),Firms!$W$5:$W$1004,0),"")</f>
        <v/>
      </c>
    </row>
    <row r="15">
      <c r="B15" s="78">
        <f>IF($O15="","",INDEX(Firms!$A$5:$A$1004,$O15))</f>
        <v/>
      </c>
      <c r="C15" s="79">
        <f>IF($O15="","",INDEX(Firms!$N$5:$N$1004,$O15)&amp;"")</f>
        <v/>
      </c>
      <c r="D15" s="79">
        <f>IF($O15="","",INDEX(Firms!$P$5:$P$1004,$O15)&amp;"")</f>
        <v/>
      </c>
      <c r="E15" s="79">
        <f>IF($O15="","",INDEX(Firms!$O$5:$O$1004,$O15)&amp;"")</f>
        <v/>
      </c>
      <c r="F15" s="50">
        <f>IF($O15="","",IF(INDEX(Firms!$F$5:$F$1004,$O15)="","—",INDEX(Firms!$F$5:$F$1004,$O15)))</f>
        <v/>
      </c>
      <c r="G15" s="50">
        <f>IF($O15="","",IF(INDEX(Firms!$G$5:$G$1004,$O15)="","—",INDEX(Firms!$G$5:$G$1004,$O15)))</f>
        <v/>
      </c>
      <c r="H15" s="50">
        <f>IF($O15="","",IF(INDEX(Firms!$H$5:$H$1004,$O15)="","—",INDEX(Firms!$H$5:$H$1004,$O15)))</f>
        <v/>
      </c>
      <c r="I15" s="50">
        <f>IF($O15="","",IF(INDEX(Firms!$I$5:$I$1004,$O15)="","—",INDEX(Firms!$I$5:$I$1004,$O15)))</f>
        <v/>
      </c>
      <c r="J15" s="50">
        <f>IF($O15="","",IF(INDEX(Firms!$J$5:$J$1004,$O15)="","—",INDEX(Firms!$J$5:$J$1004,$O15)))</f>
        <v/>
      </c>
      <c r="K15" s="50">
        <f>IF($O15="","",IF(INDEX(Firms!$K$5:$K$1004,$O15)="","—",INDEX(Firms!$K$5:$K$1004,$O15)))</f>
        <v/>
      </c>
      <c r="L15" s="50">
        <f>IF($O15="","",IF(INDEX(Firms!$L$5:$L$1004,$O15)="","—",INDEX(Firms!$L$5:$L$1004,$O15)))</f>
        <v/>
      </c>
      <c r="M15" s="50">
        <f>IF($O15="","",IF(INDEX(Firms!$M$5:$M$1004,$O15)="","—",INDEX(Firms!$M$5:$M$1004,$O15)))</f>
        <v/>
      </c>
      <c r="O15">
        <f>IFERROR(MATCH(SMALL(Firms!$Y$5:$Y$1004,7),Firms!$W$5:$W$1004,0),"")</f>
        <v/>
      </c>
    </row>
    <row r="16">
      <c r="B16" s="78">
        <f>IF($O16="","",INDEX(Firms!$A$5:$A$1004,$O16))</f>
        <v/>
      </c>
      <c r="C16" s="79">
        <f>IF($O16="","",INDEX(Firms!$N$5:$N$1004,$O16)&amp;"")</f>
        <v/>
      </c>
      <c r="D16" s="79">
        <f>IF($O16="","",INDEX(Firms!$P$5:$P$1004,$O16)&amp;"")</f>
        <v/>
      </c>
      <c r="E16" s="79">
        <f>IF($O16="","",INDEX(Firms!$O$5:$O$1004,$O16)&amp;"")</f>
        <v/>
      </c>
      <c r="F16" s="50">
        <f>IF($O16="","",IF(INDEX(Firms!$F$5:$F$1004,$O16)="","—",INDEX(Firms!$F$5:$F$1004,$O16)))</f>
        <v/>
      </c>
      <c r="G16" s="50">
        <f>IF($O16="","",IF(INDEX(Firms!$G$5:$G$1004,$O16)="","—",INDEX(Firms!$G$5:$G$1004,$O16)))</f>
        <v/>
      </c>
      <c r="H16" s="50">
        <f>IF($O16="","",IF(INDEX(Firms!$H$5:$H$1004,$O16)="","—",INDEX(Firms!$H$5:$H$1004,$O16)))</f>
        <v/>
      </c>
      <c r="I16" s="50">
        <f>IF($O16="","",IF(INDEX(Firms!$I$5:$I$1004,$O16)="","—",INDEX(Firms!$I$5:$I$1004,$O16)))</f>
        <v/>
      </c>
      <c r="J16" s="50">
        <f>IF($O16="","",IF(INDEX(Firms!$J$5:$J$1004,$O16)="","—",INDEX(Firms!$J$5:$J$1004,$O16)))</f>
        <v/>
      </c>
      <c r="K16" s="50">
        <f>IF($O16="","",IF(INDEX(Firms!$K$5:$K$1004,$O16)="","—",INDEX(Firms!$K$5:$K$1004,$O16)))</f>
        <v/>
      </c>
      <c r="L16" s="50">
        <f>IF($O16="","",IF(INDEX(Firms!$L$5:$L$1004,$O16)="","—",INDEX(Firms!$L$5:$L$1004,$O16)))</f>
        <v/>
      </c>
      <c r="M16" s="50">
        <f>IF($O16="","",IF(INDEX(Firms!$M$5:$M$1004,$O16)="","—",INDEX(Firms!$M$5:$M$1004,$O16)))</f>
        <v/>
      </c>
      <c r="O16">
        <f>IFERROR(MATCH(SMALL(Firms!$Y$5:$Y$1004,8),Firms!$W$5:$W$1004,0),"")</f>
        <v/>
      </c>
    </row>
    <row r="17">
      <c r="B17" s="78">
        <f>IF($O17="","",INDEX(Firms!$A$5:$A$1004,$O17))</f>
        <v/>
      </c>
      <c r="C17" s="79">
        <f>IF($O17="","",INDEX(Firms!$N$5:$N$1004,$O17)&amp;"")</f>
        <v/>
      </c>
      <c r="D17" s="79">
        <f>IF($O17="","",INDEX(Firms!$P$5:$P$1004,$O17)&amp;"")</f>
        <v/>
      </c>
      <c r="E17" s="79">
        <f>IF($O17="","",INDEX(Firms!$O$5:$O$1004,$O17)&amp;"")</f>
        <v/>
      </c>
      <c r="F17" s="50">
        <f>IF($O17="","",IF(INDEX(Firms!$F$5:$F$1004,$O17)="","—",INDEX(Firms!$F$5:$F$1004,$O17)))</f>
        <v/>
      </c>
      <c r="G17" s="50">
        <f>IF($O17="","",IF(INDEX(Firms!$G$5:$G$1004,$O17)="","—",INDEX(Firms!$G$5:$G$1004,$O17)))</f>
        <v/>
      </c>
      <c r="H17" s="50">
        <f>IF($O17="","",IF(INDEX(Firms!$H$5:$H$1004,$O17)="","—",INDEX(Firms!$H$5:$H$1004,$O17)))</f>
        <v/>
      </c>
      <c r="I17" s="50">
        <f>IF($O17="","",IF(INDEX(Firms!$I$5:$I$1004,$O17)="","—",INDEX(Firms!$I$5:$I$1004,$O17)))</f>
        <v/>
      </c>
      <c r="J17" s="50">
        <f>IF($O17="","",IF(INDEX(Firms!$J$5:$J$1004,$O17)="","—",INDEX(Firms!$J$5:$J$1004,$O17)))</f>
        <v/>
      </c>
      <c r="K17" s="50">
        <f>IF($O17="","",IF(INDEX(Firms!$K$5:$K$1004,$O17)="","—",INDEX(Firms!$K$5:$K$1004,$O17)))</f>
        <v/>
      </c>
      <c r="L17" s="50">
        <f>IF($O17="","",IF(INDEX(Firms!$L$5:$L$1004,$O17)="","—",INDEX(Firms!$L$5:$L$1004,$O17)))</f>
        <v/>
      </c>
      <c r="M17" s="50">
        <f>IF($O17="","",IF(INDEX(Firms!$M$5:$M$1004,$O17)="","—",INDEX(Firms!$M$5:$M$1004,$O17)))</f>
        <v/>
      </c>
      <c r="O17">
        <f>IFERROR(MATCH(SMALL(Firms!$Y$5:$Y$1004,9),Firms!$W$5:$W$1004,0),"")</f>
        <v/>
      </c>
    </row>
    <row r="18">
      <c r="B18" s="78">
        <f>IF($O18="","",INDEX(Firms!$A$5:$A$1004,$O18))</f>
        <v/>
      </c>
      <c r="C18" s="79">
        <f>IF($O18="","",INDEX(Firms!$N$5:$N$1004,$O18)&amp;"")</f>
        <v/>
      </c>
      <c r="D18" s="79">
        <f>IF($O18="","",INDEX(Firms!$P$5:$P$1004,$O18)&amp;"")</f>
        <v/>
      </c>
      <c r="E18" s="79">
        <f>IF($O18="","",INDEX(Firms!$O$5:$O$1004,$O18)&amp;"")</f>
        <v/>
      </c>
      <c r="F18" s="50">
        <f>IF($O18="","",IF(INDEX(Firms!$F$5:$F$1004,$O18)="","—",INDEX(Firms!$F$5:$F$1004,$O18)))</f>
        <v/>
      </c>
      <c r="G18" s="50">
        <f>IF($O18="","",IF(INDEX(Firms!$G$5:$G$1004,$O18)="","—",INDEX(Firms!$G$5:$G$1004,$O18)))</f>
        <v/>
      </c>
      <c r="H18" s="50">
        <f>IF($O18="","",IF(INDEX(Firms!$H$5:$H$1004,$O18)="","—",INDEX(Firms!$H$5:$H$1004,$O18)))</f>
        <v/>
      </c>
      <c r="I18" s="50">
        <f>IF($O18="","",IF(INDEX(Firms!$I$5:$I$1004,$O18)="","—",INDEX(Firms!$I$5:$I$1004,$O18)))</f>
        <v/>
      </c>
      <c r="J18" s="50">
        <f>IF($O18="","",IF(INDEX(Firms!$J$5:$J$1004,$O18)="","—",INDEX(Firms!$J$5:$J$1004,$O18)))</f>
        <v/>
      </c>
      <c r="K18" s="50">
        <f>IF($O18="","",IF(INDEX(Firms!$K$5:$K$1004,$O18)="","—",INDEX(Firms!$K$5:$K$1004,$O18)))</f>
        <v/>
      </c>
      <c r="L18" s="50">
        <f>IF($O18="","",IF(INDEX(Firms!$L$5:$L$1004,$O18)="","—",INDEX(Firms!$L$5:$L$1004,$O18)))</f>
        <v/>
      </c>
      <c r="M18" s="50">
        <f>IF($O18="","",IF(INDEX(Firms!$M$5:$M$1004,$O18)="","—",INDEX(Firms!$M$5:$M$1004,$O18)))</f>
        <v/>
      </c>
      <c r="O18">
        <f>IFERROR(MATCH(SMALL(Firms!$Y$5:$Y$1004,10),Firms!$W$5:$W$1004,0),"")</f>
        <v/>
      </c>
    </row>
    <row r="19">
      <c r="B19" s="78">
        <f>IF($O19="","",INDEX(Firms!$A$5:$A$1004,$O19))</f>
        <v/>
      </c>
      <c r="C19" s="79">
        <f>IF($O19="","",INDEX(Firms!$N$5:$N$1004,$O19)&amp;"")</f>
        <v/>
      </c>
      <c r="D19" s="79">
        <f>IF($O19="","",INDEX(Firms!$P$5:$P$1004,$O19)&amp;"")</f>
        <v/>
      </c>
      <c r="E19" s="79">
        <f>IF($O19="","",INDEX(Firms!$O$5:$O$1004,$O19)&amp;"")</f>
        <v/>
      </c>
      <c r="F19" s="50">
        <f>IF($O19="","",IF(INDEX(Firms!$F$5:$F$1004,$O19)="","—",INDEX(Firms!$F$5:$F$1004,$O19)))</f>
        <v/>
      </c>
      <c r="G19" s="50">
        <f>IF($O19="","",IF(INDEX(Firms!$G$5:$G$1004,$O19)="","—",INDEX(Firms!$G$5:$G$1004,$O19)))</f>
        <v/>
      </c>
      <c r="H19" s="50">
        <f>IF($O19="","",IF(INDEX(Firms!$H$5:$H$1004,$O19)="","—",INDEX(Firms!$H$5:$H$1004,$O19)))</f>
        <v/>
      </c>
      <c r="I19" s="50">
        <f>IF($O19="","",IF(INDEX(Firms!$I$5:$I$1004,$O19)="","—",INDEX(Firms!$I$5:$I$1004,$O19)))</f>
        <v/>
      </c>
      <c r="J19" s="50">
        <f>IF($O19="","",IF(INDEX(Firms!$J$5:$J$1004,$O19)="","—",INDEX(Firms!$J$5:$J$1004,$O19)))</f>
        <v/>
      </c>
      <c r="K19" s="50">
        <f>IF($O19="","",IF(INDEX(Firms!$K$5:$K$1004,$O19)="","—",INDEX(Firms!$K$5:$K$1004,$O19)))</f>
        <v/>
      </c>
      <c r="L19" s="50">
        <f>IF($O19="","",IF(INDEX(Firms!$L$5:$L$1004,$O19)="","—",INDEX(Firms!$L$5:$L$1004,$O19)))</f>
        <v/>
      </c>
      <c r="M19" s="50">
        <f>IF($O19="","",IF(INDEX(Firms!$M$5:$M$1004,$O19)="","—",INDEX(Firms!$M$5:$M$1004,$O19)))</f>
        <v/>
      </c>
      <c r="O19">
        <f>IFERROR(MATCH(SMALL(Firms!$Y$5:$Y$1004,11),Firms!$W$5:$W$1004,0),"")</f>
        <v/>
      </c>
    </row>
    <row r="20">
      <c r="B20" s="78">
        <f>IF($O20="","",INDEX(Firms!$A$5:$A$1004,$O20))</f>
        <v/>
      </c>
      <c r="C20" s="79">
        <f>IF($O20="","",INDEX(Firms!$N$5:$N$1004,$O20)&amp;"")</f>
        <v/>
      </c>
      <c r="D20" s="79">
        <f>IF($O20="","",INDEX(Firms!$P$5:$P$1004,$O20)&amp;"")</f>
        <v/>
      </c>
      <c r="E20" s="79">
        <f>IF($O20="","",INDEX(Firms!$O$5:$O$1004,$O20)&amp;"")</f>
        <v/>
      </c>
      <c r="F20" s="50">
        <f>IF($O20="","",IF(INDEX(Firms!$F$5:$F$1004,$O20)="","—",INDEX(Firms!$F$5:$F$1004,$O20)))</f>
        <v/>
      </c>
      <c r="G20" s="50">
        <f>IF($O20="","",IF(INDEX(Firms!$G$5:$G$1004,$O20)="","—",INDEX(Firms!$G$5:$G$1004,$O20)))</f>
        <v/>
      </c>
      <c r="H20" s="50">
        <f>IF($O20="","",IF(INDEX(Firms!$H$5:$H$1004,$O20)="","—",INDEX(Firms!$H$5:$H$1004,$O20)))</f>
        <v/>
      </c>
      <c r="I20" s="50">
        <f>IF($O20="","",IF(INDEX(Firms!$I$5:$I$1004,$O20)="","—",INDEX(Firms!$I$5:$I$1004,$O20)))</f>
        <v/>
      </c>
      <c r="J20" s="50">
        <f>IF($O20="","",IF(INDEX(Firms!$J$5:$J$1004,$O20)="","—",INDEX(Firms!$J$5:$J$1004,$O20)))</f>
        <v/>
      </c>
      <c r="K20" s="50">
        <f>IF($O20="","",IF(INDEX(Firms!$K$5:$K$1004,$O20)="","—",INDEX(Firms!$K$5:$K$1004,$O20)))</f>
        <v/>
      </c>
      <c r="L20" s="50">
        <f>IF($O20="","",IF(INDEX(Firms!$L$5:$L$1004,$O20)="","—",INDEX(Firms!$L$5:$L$1004,$O20)))</f>
        <v/>
      </c>
      <c r="M20" s="50">
        <f>IF($O20="","",IF(INDEX(Firms!$M$5:$M$1004,$O20)="","—",INDEX(Firms!$M$5:$M$1004,$O20)))</f>
        <v/>
      </c>
      <c r="O20">
        <f>IFERROR(MATCH(SMALL(Firms!$Y$5:$Y$1004,12),Firms!$W$5:$W$1004,0),"")</f>
        <v/>
      </c>
    </row>
    <row r="21">
      <c r="B21" s="78">
        <f>IF($O21="","",INDEX(Firms!$A$5:$A$1004,$O21))</f>
        <v/>
      </c>
      <c r="C21" s="79">
        <f>IF($O21="","",INDEX(Firms!$N$5:$N$1004,$O21)&amp;"")</f>
        <v/>
      </c>
      <c r="D21" s="79">
        <f>IF($O21="","",INDEX(Firms!$P$5:$P$1004,$O21)&amp;"")</f>
        <v/>
      </c>
      <c r="E21" s="79">
        <f>IF($O21="","",INDEX(Firms!$O$5:$O$1004,$O21)&amp;"")</f>
        <v/>
      </c>
      <c r="F21" s="50">
        <f>IF($O21="","",IF(INDEX(Firms!$F$5:$F$1004,$O21)="","—",INDEX(Firms!$F$5:$F$1004,$O21)))</f>
        <v/>
      </c>
      <c r="G21" s="50">
        <f>IF($O21="","",IF(INDEX(Firms!$G$5:$G$1004,$O21)="","—",INDEX(Firms!$G$5:$G$1004,$O21)))</f>
        <v/>
      </c>
      <c r="H21" s="50">
        <f>IF($O21="","",IF(INDEX(Firms!$H$5:$H$1004,$O21)="","—",INDEX(Firms!$H$5:$H$1004,$O21)))</f>
        <v/>
      </c>
      <c r="I21" s="50">
        <f>IF($O21="","",IF(INDEX(Firms!$I$5:$I$1004,$O21)="","—",INDEX(Firms!$I$5:$I$1004,$O21)))</f>
        <v/>
      </c>
      <c r="J21" s="50">
        <f>IF($O21="","",IF(INDEX(Firms!$J$5:$J$1004,$O21)="","—",INDEX(Firms!$J$5:$J$1004,$O21)))</f>
        <v/>
      </c>
      <c r="K21" s="50">
        <f>IF($O21="","",IF(INDEX(Firms!$K$5:$K$1004,$O21)="","—",INDEX(Firms!$K$5:$K$1004,$O21)))</f>
        <v/>
      </c>
      <c r="L21" s="50">
        <f>IF($O21="","",IF(INDEX(Firms!$L$5:$L$1004,$O21)="","—",INDEX(Firms!$L$5:$L$1004,$O21)))</f>
        <v/>
      </c>
      <c r="M21" s="50">
        <f>IF($O21="","",IF(INDEX(Firms!$M$5:$M$1004,$O21)="","—",INDEX(Firms!$M$5:$M$1004,$O21)))</f>
        <v/>
      </c>
      <c r="O21">
        <f>IFERROR(MATCH(SMALL(Firms!$Y$5:$Y$1004,13),Firms!$W$5:$W$1004,0),"")</f>
        <v/>
      </c>
    </row>
    <row r="22">
      <c r="B22" s="78">
        <f>IF($O22="","",INDEX(Firms!$A$5:$A$1004,$O22))</f>
        <v/>
      </c>
      <c r="C22" s="79">
        <f>IF($O22="","",INDEX(Firms!$N$5:$N$1004,$O22)&amp;"")</f>
        <v/>
      </c>
      <c r="D22" s="79">
        <f>IF($O22="","",INDEX(Firms!$P$5:$P$1004,$O22)&amp;"")</f>
        <v/>
      </c>
      <c r="E22" s="79">
        <f>IF($O22="","",INDEX(Firms!$O$5:$O$1004,$O22)&amp;"")</f>
        <v/>
      </c>
      <c r="F22" s="50">
        <f>IF($O22="","",IF(INDEX(Firms!$F$5:$F$1004,$O22)="","—",INDEX(Firms!$F$5:$F$1004,$O22)))</f>
        <v/>
      </c>
      <c r="G22" s="50">
        <f>IF($O22="","",IF(INDEX(Firms!$G$5:$G$1004,$O22)="","—",INDEX(Firms!$G$5:$G$1004,$O22)))</f>
        <v/>
      </c>
      <c r="H22" s="50">
        <f>IF($O22="","",IF(INDEX(Firms!$H$5:$H$1004,$O22)="","—",INDEX(Firms!$H$5:$H$1004,$O22)))</f>
        <v/>
      </c>
      <c r="I22" s="50">
        <f>IF($O22="","",IF(INDEX(Firms!$I$5:$I$1004,$O22)="","—",INDEX(Firms!$I$5:$I$1004,$O22)))</f>
        <v/>
      </c>
      <c r="J22" s="50">
        <f>IF($O22="","",IF(INDEX(Firms!$J$5:$J$1004,$O22)="","—",INDEX(Firms!$J$5:$J$1004,$O22)))</f>
        <v/>
      </c>
      <c r="K22" s="50">
        <f>IF($O22="","",IF(INDEX(Firms!$K$5:$K$1004,$O22)="","—",INDEX(Firms!$K$5:$K$1004,$O22)))</f>
        <v/>
      </c>
      <c r="L22" s="50">
        <f>IF($O22="","",IF(INDEX(Firms!$L$5:$L$1004,$O22)="","—",INDEX(Firms!$L$5:$L$1004,$O22)))</f>
        <v/>
      </c>
      <c r="M22" s="50">
        <f>IF($O22="","",IF(INDEX(Firms!$M$5:$M$1004,$O22)="","—",INDEX(Firms!$M$5:$M$1004,$O22)))</f>
        <v/>
      </c>
      <c r="O22">
        <f>IFERROR(MATCH(SMALL(Firms!$Y$5:$Y$1004,14),Firms!$W$5:$W$1004,0),"")</f>
        <v/>
      </c>
    </row>
    <row r="23">
      <c r="B23" s="78">
        <f>IF($O23="","",INDEX(Firms!$A$5:$A$1004,$O23))</f>
        <v/>
      </c>
      <c r="C23" s="79">
        <f>IF($O23="","",INDEX(Firms!$N$5:$N$1004,$O23)&amp;"")</f>
        <v/>
      </c>
      <c r="D23" s="79">
        <f>IF($O23="","",INDEX(Firms!$P$5:$P$1004,$O23)&amp;"")</f>
        <v/>
      </c>
      <c r="E23" s="79">
        <f>IF($O23="","",INDEX(Firms!$O$5:$O$1004,$O23)&amp;"")</f>
        <v/>
      </c>
      <c r="F23" s="50">
        <f>IF($O23="","",IF(INDEX(Firms!$F$5:$F$1004,$O23)="","—",INDEX(Firms!$F$5:$F$1004,$O23)))</f>
        <v/>
      </c>
      <c r="G23" s="50">
        <f>IF($O23="","",IF(INDEX(Firms!$G$5:$G$1004,$O23)="","—",INDEX(Firms!$G$5:$G$1004,$O23)))</f>
        <v/>
      </c>
      <c r="H23" s="50">
        <f>IF($O23="","",IF(INDEX(Firms!$H$5:$H$1004,$O23)="","—",INDEX(Firms!$H$5:$H$1004,$O23)))</f>
        <v/>
      </c>
      <c r="I23" s="50">
        <f>IF($O23="","",IF(INDEX(Firms!$I$5:$I$1004,$O23)="","—",INDEX(Firms!$I$5:$I$1004,$O23)))</f>
        <v/>
      </c>
      <c r="J23" s="50">
        <f>IF($O23="","",IF(INDEX(Firms!$J$5:$J$1004,$O23)="","—",INDEX(Firms!$J$5:$J$1004,$O23)))</f>
        <v/>
      </c>
      <c r="K23" s="50">
        <f>IF($O23="","",IF(INDEX(Firms!$K$5:$K$1004,$O23)="","—",INDEX(Firms!$K$5:$K$1004,$O23)))</f>
        <v/>
      </c>
      <c r="L23" s="50">
        <f>IF($O23="","",IF(INDEX(Firms!$L$5:$L$1004,$O23)="","—",INDEX(Firms!$L$5:$L$1004,$O23)))</f>
        <v/>
      </c>
      <c r="M23" s="50">
        <f>IF($O23="","",IF(INDEX(Firms!$M$5:$M$1004,$O23)="","—",INDEX(Firms!$M$5:$M$1004,$O23)))</f>
        <v/>
      </c>
      <c r="O23">
        <f>IFERROR(MATCH(SMALL(Firms!$Y$5:$Y$1004,15),Firms!$W$5:$W$1004,0),"")</f>
        <v/>
      </c>
    </row>
    <row r="24">
      <c r="B24" s="78">
        <f>IF($O24="","",INDEX(Firms!$A$5:$A$1004,$O24))</f>
        <v/>
      </c>
      <c r="C24" s="79">
        <f>IF($O24="","",INDEX(Firms!$N$5:$N$1004,$O24)&amp;"")</f>
        <v/>
      </c>
      <c r="D24" s="79">
        <f>IF($O24="","",INDEX(Firms!$P$5:$P$1004,$O24)&amp;"")</f>
        <v/>
      </c>
      <c r="E24" s="79">
        <f>IF($O24="","",INDEX(Firms!$O$5:$O$1004,$O24)&amp;"")</f>
        <v/>
      </c>
      <c r="F24" s="50">
        <f>IF($O24="","",IF(INDEX(Firms!$F$5:$F$1004,$O24)="","—",INDEX(Firms!$F$5:$F$1004,$O24)))</f>
        <v/>
      </c>
      <c r="G24" s="50">
        <f>IF($O24="","",IF(INDEX(Firms!$G$5:$G$1004,$O24)="","—",INDEX(Firms!$G$5:$G$1004,$O24)))</f>
        <v/>
      </c>
      <c r="H24" s="50">
        <f>IF($O24="","",IF(INDEX(Firms!$H$5:$H$1004,$O24)="","—",INDEX(Firms!$H$5:$H$1004,$O24)))</f>
        <v/>
      </c>
      <c r="I24" s="50">
        <f>IF($O24="","",IF(INDEX(Firms!$I$5:$I$1004,$O24)="","—",INDEX(Firms!$I$5:$I$1004,$O24)))</f>
        <v/>
      </c>
      <c r="J24" s="50">
        <f>IF($O24="","",IF(INDEX(Firms!$J$5:$J$1004,$O24)="","—",INDEX(Firms!$J$5:$J$1004,$O24)))</f>
        <v/>
      </c>
      <c r="K24" s="50">
        <f>IF($O24="","",IF(INDEX(Firms!$K$5:$K$1004,$O24)="","—",INDEX(Firms!$K$5:$K$1004,$O24)))</f>
        <v/>
      </c>
      <c r="L24" s="50">
        <f>IF($O24="","",IF(INDEX(Firms!$L$5:$L$1004,$O24)="","—",INDEX(Firms!$L$5:$L$1004,$O24)))</f>
        <v/>
      </c>
      <c r="M24" s="50">
        <f>IF($O24="","",IF(INDEX(Firms!$M$5:$M$1004,$O24)="","—",INDEX(Firms!$M$5:$M$1004,$O24)))</f>
        <v/>
      </c>
      <c r="O24">
        <f>IFERROR(MATCH(SMALL(Firms!$Y$5:$Y$1004,16),Firms!$W$5:$W$1004,0),"")</f>
        <v/>
      </c>
    </row>
    <row r="25">
      <c r="B25" s="78">
        <f>IF($O25="","",INDEX(Firms!$A$5:$A$1004,$O25))</f>
        <v/>
      </c>
      <c r="C25" s="79">
        <f>IF($O25="","",INDEX(Firms!$N$5:$N$1004,$O25)&amp;"")</f>
        <v/>
      </c>
      <c r="D25" s="79">
        <f>IF($O25="","",INDEX(Firms!$P$5:$P$1004,$O25)&amp;"")</f>
        <v/>
      </c>
      <c r="E25" s="79">
        <f>IF($O25="","",INDEX(Firms!$O$5:$O$1004,$O25)&amp;"")</f>
        <v/>
      </c>
      <c r="F25" s="50">
        <f>IF($O25="","",IF(INDEX(Firms!$F$5:$F$1004,$O25)="","—",INDEX(Firms!$F$5:$F$1004,$O25)))</f>
        <v/>
      </c>
      <c r="G25" s="50">
        <f>IF($O25="","",IF(INDEX(Firms!$G$5:$G$1004,$O25)="","—",INDEX(Firms!$G$5:$G$1004,$O25)))</f>
        <v/>
      </c>
      <c r="H25" s="50">
        <f>IF($O25="","",IF(INDEX(Firms!$H$5:$H$1004,$O25)="","—",INDEX(Firms!$H$5:$H$1004,$O25)))</f>
        <v/>
      </c>
      <c r="I25" s="50">
        <f>IF($O25="","",IF(INDEX(Firms!$I$5:$I$1004,$O25)="","—",INDEX(Firms!$I$5:$I$1004,$O25)))</f>
        <v/>
      </c>
      <c r="J25" s="50">
        <f>IF($O25="","",IF(INDEX(Firms!$J$5:$J$1004,$O25)="","—",INDEX(Firms!$J$5:$J$1004,$O25)))</f>
        <v/>
      </c>
      <c r="K25" s="50">
        <f>IF($O25="","",IF(INDEX(Firms!$K$5:$K$1004,$O25)="","—",INDEX(Firms!$K$5:$K$1004,$O25)))</f>
        <v/>
      </c>
      <c r="L25" s="50">
        <f>IF($O25="","",IF(INDEX(Firms!$L$5:$L$1004,$O25)="","—",INDEX(Firms!$L$5:$L$1004,$O25)))</f>
        <v/>
      </c>
      <c r="M25" s="50">
        <f>IF($O25="","",IF(INDEX(Firms!$M$5:$M$1004,$O25)="","—",INDEX(Firms!$M$5:$M$1004,$O25)))</f>
        <v/>
      </c>
      <c r="O25">
        <f>IFERROR(MATCH(SMALL(Firms!$Y$5:$Y$1004,17),Firms!$W$5:$W$1004,0),"")</f>
        <v/>
      </c>
    </row>
    <row r="26">
      <c r="B26" s="78">
        <f>IF($O26="","",INDEX(Firms!$A$5:$A$1004,$O26))</f>
        <v/>
      </c>
      <c r="C26" s="79">
        <f>IF($O26="","",INDEX(Firms!$N$5:$N$1004,$O26)&amp;"")</f>
        <v/>
      </c>
      <c r="D26" s="79">
        <f>IF($O26="","",INDEX(Firms!$P$5:$P$1004,$O26)&amp;"")</f>
        <v/>
      </c>
      <c r="E26" s="79">
        <f>IF($O26="","",INDEX(Firms!$O$5:$O$1004,$O26)&amp;"")</f>
        <v/>
      </c>
      <c r="F26" s="50">
        <f>IF($O26="","",IF(INDEX(Firms!$F$5:$F$1004,$O26)="","—",INDEX(Firms!$F$5:$F$1004,$O26)))</f>
        <v/>
      </c>
      <c r="G26" s="50">
        <f>IF($O26="","",IF(INDEX(Firms!$G$5:$G$1004,$O26)="","—",INDEX(Firms!$G$5:$G$1004,$O26)))</f>
        <v/>
      </c>
      <c r="H26" s="50">
        <f>IF($O26="","",IF(INDEX(Firms!$H$5:$H$1004,$O26)="","—",INDEX(Firms!$H$5:$H$1004,$O26)))</f>
        <v/>
      </c>
      <c r="I26" s="50">
        <f>IF($O26="","",IF(INDEX(Firms!$I$5:$I$1004,$O26)="","—",INDEX(Firms!$I$5:$I$1004,$O26)))</f>
        <v/>
      </c>
      <c r="J26" s="50">
        <f>IF($O26="","",IF(INDEX(Firms!$J$5:$J$1004,$O26)="","—",INDEX(Firms!$J$5:$J$1004,$O26)))</f>
        <v/>
      </c>
      <c r="K26" s="50">
        <f>IF($O26="","",IF(INDEX(Firms!$K$5:$K$1004,$O26)="","—",INDEX(Firms!$K$5:$K$1004,$O26)))</f>
        <v/>
      </c>
      <c r="L26" s="50">
        <f>IF($O26="","",IF(INDEX(Firms!$L$5:$L$1004,$O26)="","—",INDEX(Firms!$L$5:$L$1004,$O26)))</f>
        <v/>
      </c>
      <c r="M26" s="50">
        <f>IF($O26="","",IF(INDEX(Firms!$M$5:$M$1004,$O26)="","—",INDEX(Firms!$M$5:$M$1004,$O26)))</f>
        <v/>
      </c>
      <c r="O26">
        <f>IFERROR(MATCH(SMALL(Firms!$Y$5:$Y$1004,18),Firms!$W$5:$W$1004,0),"")</f>
        <v/>
      </c>
    </row>
    <row r="27">
      <c r="B27" s="78">
        <f>IF($O27="","",INDEX(Firms!$A$5:$A$1004,$O27))</f>
        <v/>
      </c>
      <c r="C27" s="79">
        <f>IF($O27="","",INDEX(Firms!$N$5:$N$1004,$O27)&amp;"")</f>
        <v/>
      </c>
      <c r="D27" s="79">
        <f>IF($O27="","",INDEX(Firms!$P$5:$P$1004,$O27)&amp;"")</f>
        <v/>
      </c>
      <c r="E27" s="79">
        <f>IF($O27="","",INDEX(Firms!$O$5:$O$1004,$O27)&amp;"")</f>
        <v/>
      </c>
      <c r="F27" s="50">
        <f>IF($O27="","",IF(INDEX(Firms!$F$5:$F$1004,$O27)="","—",INDEX(Firms!$F$5:$F$1004,$O27)))</f>
        <v/>
      </c>
      <c r="G27" s="50">
        <f>IF($O27="","",IF(INDEX(Firms!$G$5:$G$1004,$O27)="","—",INDEX(Firms!$G$5:$G$1004,$O27)))</f>
        <v/>
      </c>
      <c r="H27" s="50">
        <f>IF($O27="","",IF(INDEX(Firms!$H$5:$H$1004,$O27)="","—",INDEX(Firms!$H$5:$H$1004,$O27)))</f>
        <v/>
      </c>
      <c r="I27" s="50">
        <f>IF($O27="","",IF(INDEX(Firms!$I$5:$I$1004,$O27)="","—",INDEX(Firms!$I$5:$I$1004,$O27)))</f>
        <v/>
      </c>
      <c r="J27" s="50">
        <f>IF($O27="","",IF(INDEX(Firms!$J$5:$J$1004,$O27)="","—",INDEX(Firms!$J$5:$J$1004,$O27)))</f>
        <v/>
      </c>
      <c r="K27" s="50">
        <f>IF($O27="","",IF(INDEX(Firms!$K$5:$K$1004,$O27)="","—",INDEX(Firms!$K$5:$K$1004,$O27)))</f>
        <v/>
      </c>
      <c r="L27" s="50">
        <f>IF($O27="","",IF(INDEX(Firms!$L$5:$L$1004,$O27)="","—",INDEX(Firms!$L$5:$L$1004,$O27)))</f>
        <v/>
      </c>
      <c r="M27" s="50">
        <f>IF($O27="","",IF(INDEX(Firms!$M$5:$M$1004,$O27)="","—",INDEX(Firms!$M$5:$M$1004,$O27)))</f>
        <v/>
      </c>
      <c r="O27">
        <f>IFERROR(MATCH(SMALL(Firms!$Y$5:$Y$1004,19),Firms!$W$5:$W$1004,0),"")</f>
        <v/>
      </c>
    </row>
    <row r="28">
      <c r="B28" s="78">
        <f>IF($O28="","",INDEX(Firms!$A$5:$A$1004,$O28))</f>
        <v/>
      </c>
      <c r="C28" s="79">
        <f>IF($O28="","",INDEX(Firms!$N$5:$N$1004,$O28)&amp;"")</f>
        <v/>
      </c>
      <c r="D28" s="79">
        <f>IF($O28="","",INDEX(Firms!$P$5:$P$1004,$O28)&amp;"")</f>
        <v/>
      </c>
      <c r="E28" s="79">
        <f>IF($O28="","",INDEX(Firms!$O$5:$O$1004,$O28)&amp;"")</f>
        <v/>
      </c>
      <c r="F28" s="50">
        <f>IF($O28="","",IF(INDEX(Firms!$F$5:$F$1004,$O28)="","—",INDEX(Firms!$F$5:$F$1004,$O28)))</f>
        <v/>
      </c>
      <c r="G28" s="50">
        <f>IF($O28="","",IF(INDEX(Firms!$G$5:$G$1004,$O28)="","—",INDEX(Firms!$G$5:$G$1004,$O28)))</f>
        <v/>
      </c>
      <c r="H28" s="50">
        <f>IF($O28="","",IF(INDEX(Firms!$H$5:$H$1004,$O28)="","—",INDEX(Firms!$H$5:$H$1004,$O28)))</f>
        <v/>
      </c>
      <c r="I28" s="50">
        <f>IF($O28="","",IF(INDEX(Firms!$I$5:$I$1004,$O28)="","—",INDEX(Firms!$I$5:$I$1004,$O28)))</f>
        <v/>
      </c>
      <c r="J28" s="50">
        <f>IF($O28="","",IF(INDEX(Firms!$J$5:$J$1004,$O28)="","—",INDEX(Firms!$J$5:$J$1004,$O28)))</f>
        <v/>
      </c>
      <c r="K28" s="50">
        <f>IF($O28="","",IF(INDEX(Firms!$K$5:$K$1004,$O28)="","—",INDEX(Firms!$K$5:$K$1004,$O28)))</f>
        <v/>
      </c>
      <c r="L28" s="50">
        <f>IF($O28="","",IF(INDEX(Firms!$L$5:$L$1004,$O28)="","—",INDEX(Firms!$L$5:$L$1004,$O28)))</f>
        <v/>
      </c>
      <c r="M28" s="50">
        <f>IF($O28="","",IF(INDEX(Firms!$M$5:$M$1004,$O28)="","—",INDEX(Firms!$M$5:$M$1004,$O28)))</f>
        <v/>
      </c>
      <c r="O28">
        <f>IFERROR(MATCH(SMALL(Firms!$Y$5:$Y$1004,20),Firms!$W$5:$W$1004,0),"")</f>
        <v/>
      </c>
    </row>
    <row r="29">
      <c r="B29" s="78">
        <f>IF($O29="","",INDEX(Firms!$A$5:$A$1004,$O29))</f>
        <v/>
      </c>
      <c r="C29" s="79">
        <f>IF($O29="","",INDEX(Firms!$N$5:$N$1004,$O29)&amp;"")</f>
        <v/>
      </c>
      <c r="D29" s="79">
        <f>IF($O29="","",INDEX(Firms!$P$5:$P$1004,$O29)&amp;"")</f>
        <v/>
      </c>
      <c r="E29" s="79">
        <f>IF($O29="","",INDEX(Firms!$O$5:$O$1004,$O29)&amp;"")</f>
        <v/>
      </c>
      <c r="F29" s="50">
        <f>IF($O29="","",IF(INDEX(Firms!$F$5:$F$1004,$O29)="","—",INDEX(Firms!$F$5:$F$1004,$O29)))</f>
        <v/>
      </c>
      <c r="G29" s="50">
        <f>IF($O29="","",IF(INDEX(Firms!$G$5:$G$1004,$O29)="","—",INDEX(Firms!$G$5:$G$1004,$O29)))</f>
        <v/>
      </c>
      <c r="H29" s="50">
        <f>IF($O29="","",IF(INDEX(Firms!$H$5:$H$1004,$O29)="","—",INDEX(Firms!$H$5:$H$1004,$O29)))</f>
        <v/>
      </c>
      <c r="I29" s="50">
        <f>IF($O29="","",IF(INDEX(Firms!$I$5:$I$1004,$O29)="","—",INDEX(Firms!$I$5:$I$1004,$O29)))</f>
        <v/>
      </c>
      <c r="J29" s="50">
        <f>IF($O29="","",IF(INDEX(Firms!$J$5:$J$1004,$O29)="","—",INDEX(Firms!$J$5:$J$1004,$O29)))</f>
        <v/>
      </c>
      <c r="K29" s="50">
        <f>IF($O29="","",IF(INDEX(Firms!$K$5:$K$1004,$O29)="","—",INDEX(Firms!$K$5:$K$1004,$O29)))</f>
        <v/>
      </c>
      <c r="L29" s="50">
        <f>IF($O29="","",IF(INDEX(Firms!$L$5:$L$1004,$O29)="","—",INDEX(Firms!$L$5:$L$1004,$O29)))</f>
        <v/>
      </c>
      <c r="M29" s="50">
        <f>IF($O29="","",IF(INDEX(Firms!$M$5:$M$1004,$O29)="","—",INDEX(Firms!$M$5:$M$1004,$O29)))</f>
        <v/>
      </c>
      <c r="O29">
        <f>IFERROR(MATCH(SMALL(Firms!$Y$5:$Y$1004,21),Firms!$W$5:$W$1004,0),"")</f>
        <v/>
      </c>
    </row>
    <row r="30">
      <c r="B30" s="78">
        <f>IF($O30="","",INDEX(Firms!$A$5:$A$1004,$O30))</f>
        <v/>
      </c>
      <c r="C30" s="79">
        <f>IF($O30="","",INDEX(Firms!$N$5:$N$1004,$O30)&amp;"")</f>
        <v/>
      </c>
      <c r="D30" s="79">
        <f>IF($O30="","",INDEX(Firms!$P$5:$P$1004,$O30)&amp;"")</f>
        <v/>
      </c>
      <c r="E30" s="79">
        <f>IF($O30="","",INDEX(Firms!$O$5:$O$1004,$O30)&amp;"")</f>
        <v/>
      </c>
      <c r="F30" s="50">
        <f>IF($O30="","",IF(INDEX(Firms!$F$5:$F$1004,$O30)="","—",INDEX(Firms!$F$5:$F$1004,$O30)))</f>
        <v/>
      </c>
      <c r="G30" s="50">
        <f>IF($O30="","",IF(INDEX(Firms!$G$5:$G$1004,$O30)="","—",INDEX(Firms!$G$5:$G$1004,$O30)))</f>
        <v/>
      </c>
      <c r="H30" s="50">
        <f>IF($O30="","",IF(INDEX(Firms!$H$5:$H$1004,$O30)="","—",INDEX(Firms!$H$5:$H$1004,$O30)))</f>
        <v/>
      </c>
      <c r="I30" s="50">
        <f>IF($O30="","",IF(INDEX(Firms!$I$5:$I$1004,$O30)="","—",INDEX(Firms!$I$5:$I$1004,$O30)))</f>
        <v/>
      </c>
      <c r="J30" s="50">
        <f>IF($O30="","",IF(INDEX(Firms!$J$5:$J$1004,$O30)="","—",INDEX(Firms!$J$5:$J$1004,$O30)))</f>
        <v/>
      </c>
      <c r="K30" s="50">
        <f>IF($O30="","",IF(INDEX(Firms!$K$5:$K$1004,$O30)="","—",INDEX(Firms!$K$5:$K$1004,$O30)))</f>
        <v/>
      </c>
      <c r="L30" s="50">
        <f>IF($O30="","",IF(INDEX(Firms!$L$5:$L$1004,$O30)="","—",INDEX(Firms!$L$5:$L$1004,$O30)))</f>
        <v/>
      </c>
      <c r="M30" s="50">
        <f>IF($O30="","",IF(INDEX(Firms!$M$5:$M$1004,$O30)="","—",INDEX(Firms!$M$5:$M$1004,$O30)))</f>
        <v/>
      </c>
      <c r="O30">
        <f>IFERROR(MATCH(SMALL(Firms!$Y$5:$Y$1004,22),Firms!$W$5:$W$1004,0),"")</f>
        <v/>
      </c>
    </row>
    <row r="31">
      <c r="B31" s="78">
        <f>IF($O31="","",INDEX(Firms!$A$5:$A$1004,$O31))</f>
        <v/>
      </c>
      <c r="C31" s="79">
        <f>IF($O31="","",INDEX(Firms!$N$5:$N$1004,$O31)&amp;"")</f>
        <v/>
      </c>
      <c r="D31" s="79">
        <f>IF($O31="","",INDEX(Firms!$P$5:$P$1004,$O31)&amp;"")</f>
        <v/>
      </c>
      <c r="E31" s="79">
        <f>IF($O31="","",INDEX(Firms!$O$5:$O$1004,$O31)&amp;"")</f>
        <v/>
      </c>
      <c r="F31" s="50">
        <f>IF($O31="","",IF(INDEX(Firms!$F$5:$F$1004,$O31)="","—",INDEX(Firms!$F$5:$F$1004,$O31)))</f>
        <v/>
      </c>
      <c r="G31" s="50">
        <f>IF($O31="","",IF(INDEX(Firms!$G$5:$G$1004,$O31)="","—",INDEX(Firms!$G$5:$G$1004,$O31)))</f>
        <v/>
      </c>
      <c r="H31" s="50">
        <f>IF($O31="","",IF(INDEX(Firms!$H$5:$H$1004,$O31)="","—",INDEX(Firms!$H$5:$H$1004,$O31)))</f>
        <v/>
      </c>
      <c r="I31" s="50">
        <f>IF($O31="","",IF(INDEX(Firms!$I$5:$I$1004,$O31)="","—",INDEX(Firms!$I$5:$I$1004,$O31)))</f>
        <v/>
      </c>
      <c r="J31" s="50">
        <f>IF($O31="","",IF(INDEX(Firms!$J$5:$J$1004,$O31)="","—",INDEX(Firms!$J$5:$J$1004,$O31)))</f>
        <v/>
      </c>
      <c r="K31" s="50">
        <f>IF($O31="","",IF(INDEX(Firms!$K$5:$K$1004,$O31)="","—",INDEX(Firms!$K$5:$K$1004,$O31)))</f>
        <v/>
      </c>
      <c r="L31" s="50">
        <f>IF($O31="","",IF(INDEX(Firms!$L$5:$L$1004,$O31)="","—",INDEX(Firms!$L$5:$L$1004,$O31)))</f>
        <v/>
      </c>
      <c r="M31" s="50">
        <f>IF($O31="","",IF(INDEX(Firms!$M$5:$M$1004,$O31)="","—",INDEX(Firms!$M$5:$M$1004,$O31)))</f>
        <v/>
      </c>
      <c r="O31">
        <f>IFERROR(MATCH(SMALL(Firms!$Y$5:$Y$1004,23),Firms!$W$5:$W$1004,0),"")</f>
        <v/>
      </c>
    </row>
    <row r="32">
      <c r="B32" s="78">
        <f>IF($O32="","",INDEX(Firms!$A$5:$A$1004,$O32))</f>
        <v/>
      </c>
      <c r="C32" s="79">
        <f>IF($O32="","",INDEX(Firms!$N$5:$N$1004,$O32)&amp;"")</f>
        <v/>
      </c>
      <c r="D32" s="79">
        <f>IF($O32="","",INDEX(Firms!$P$5:$P$1004,$O32)&amp;"")</f>
        <v/>
      </c>
      <c r="E32" s="79">
        <f>IF($O32="","",INDEX(Firms!$O$5:$O$1004,$O32)&amp;"")</f>
        <v/>
      </c>
      <c r="F32" s="50">
        <f>IF($O32="","",IF(INDEX(Firms!$F$5:$F$1004,$O32)="","—",INDEX(Firms!$F$5:$F$1004,$O32)))</f>
        <v/>
      </c>
      <c r="G32" s="50">
        <f>IF($O32="","",IF(INDEX(Firms!$G$5:$G$1004,$O32)="","—",INDEX(Firms!$G$5:$G$1004,$O32)))</f>
        <v/>
      </c>
      <c r="H32" s="50">
        <f>IF($O32="","",IF(INDEX(Firms!$H$5:$H$1004,$O32)="","—",INDEX(Firms!$H$5:$H$1004,$O32)))</f>
        <v/>
      </c>
      <c r="I32" s="50">
        <f>IF($O32="","",IF(INDEX(Firms!$I$5:$I$1004,$O32)="","—",INDEX(Firms!$I$5:$I$1004,$O32)))</f>
        <v/>
      </c>
      <c r="J32" s="50">
        <f>IF($O32="","",IF(INDEX(Firms!$J$5:$J$1004,$O32)="","—",INDEX(Firms!$J$5:$J$1004,$O32)))</f>
        <v/>
      </c>
      <c r="K32" s="50">
        <f>IF($O32="","",IF(INDEX(Firms!$K$5:$K$1004,$O32)="","—",INDEX(Firms!$K$5:$K$1004,$O32)))</f>
        <v/>
      </c>
      <c r="L32" s="50">
        <f>IF($O32="","",IF(INDEX(Firms!$L$5:$L$1004,$O32)="","—",INDEX(Firms!$L$5:$L$1004,$O32)))</f>
        <v/>
      </c>
      <c r="M32" s="50">
        <f>IF($O32="","",IF(INDEX(Firms!$M$5:$M$1004,$O32)="","—",INDEX(Firms!$M$5:$M$1004,$O32)))</f>
        <v/>
      </c>
      <c r="O32">
        <f>IFERROR(MATCH(SMALL(Firms!$Y$5:$Y$1004,24),Firms!$W$5:$W$1004,0),"")</f>
        <v/>
      </c>
    </row>
    <row r="33">
      <c r="B33" s="78">
        <f>IF($O33="","",INDEX(Firms!$A$5:$A$1004,$O33))</f>
        <v/>
      </c>
      <c r="C33" s="79">
        <f>IF($O33="","",INDEX(Firms!$N$5:$N$1004,$O33)&amp;"")</f>
        <v/>
      </c>
      <c r="D33" s="79">
        <f>IF($O33="","",INDEX(Firms!$P$5:$P$1004,$O33)&amp;"")</f>
        <v/>
      </c>
      <c r="E33" s="79">
        <f>IF($O33="","",INDEX(Firms!$O$5:$O$1004,$O33)&amp;"")</f>
        <v/>
      </c>
      <c r="F33" s="50">
        <f>IF($O33="","",IF(INDEX(Firms!$F$5:$F$1004,$O33)="","—",INDEX(Firms!$F$5:$F$1004,$O33)))</f>
        <v/>
      </c>
      <c r="G33" s="50">
        <f>IF($O33="","",IF(INDEX(Firms!$G$5:$G$1004,$O33)="","—",INDEX(Firms!$G$5:$G$1004,$O33)))</f>
        <v/>
      </c>
      <c r="H33" s="50">
        <f>IF($O33="","",IF(INDEX(Firms!$H$5:$H$1004,$O33)="","—",INDEX(Firms!$H$5:$H$1004,$O33)))</f>
        <v/>
      </c>
      <c r="I33" s="50">
        <f>IF($O33="","",IF(INDEX(Firms!$I$5:$I$1004,$O33)="","—",INDEX(Firms!$I$5:$I$1004,$O33)))</f>
        <v/>
      </c>
      <c r="J33" s="50">
        <f>IF($O33="","",IF(INDEX(Firms!$J$5:$J$1004,$O33)="","—",INDEX(Firms!$J$5:$J$1004,$O33)))</f>
        <v/>
      </c>
      <c r="K33" s="50">
        <f>IF($O33="","",IF(INDEX(Firms!$K$5:$K$1004,$O33)="","—",INDEX(Firms!$K$5:$K$1004,$O33)))</f>
        <v/>
      </c>
      <c r="L33" s="50">
        <f>IF($O33="","",IF(INDEX(Firms!$L$5:$L$1004,$O33)="","—",INDEX(Firms!$L$5:$L$1004,$O33)))</f>
        <v/>
      </c>
      <c r="M33" s="50">
        <f>IF($O33="","",IF(INDEX(Firms!$M$5:$M$1004,$O33)="","—",INDEX(Firms!$M$5:$M$1004,$O33)))</f>
        <v/>
      </c>
      <c r="O33">
        <f>IFERROR(MATCH(SMALL(Firms!$Y$5:$Y$1004,25),Firms!$W$5:$W$1004,0),"")</f>
        <v/>
      </c>
    </row>
    <row r="34">
      <c r="B34" s="78">
        <f>IF($O34="","",INDEX(Firms!$A$5:$A$1004,$O34))</f>
        <v/>
      </c>
      <c r="C34" s="79">
        <f>IF($O34="","",INDEX(Firms!$N$5:$N$1004,$O34)&amp;"")</f>
        <v/>
      </c>
      <c r="D34" s="79">
        <f>IF($O34="","",INDEX(Firms!$P$5:$P$1004,$O34)&amp;"")</f>
        <v/>
      </c>
      <c r="E34" s="79">
        <f>IF($O34="","",INDEX(Firms!$O$5:$O$1004,$O34)&amp;"")</f>
        <v/>
      </c>
      <c r="F34" s="50">
        <f>IF($O34="","",IF(INDEX(Firms!$F$5:$F$1004,$O34)="","—",INDEX(Firms!$F$5:$F$1004,$O34)))</f>
        <v/>
      </c>
      <c r="G34" s="50">
        <f>IF($O34="","",IF(INDEX(Firms!$G$5:$G$1004,$O34)="","—",INDEX(Firms!$G$5:$G$1004,$O34)))</f>
        <v/>
      </c>
      <c r="H34" s="50">
        <f>IF($O34="","",IF(INDEX(Firms!$H$5:$H$1004,$O34)="","—",INDEX(Firms!$H$5:$H$1004,$O34)))</f>
        <v/>
      </c>
      <c r="I34" s="50">
        <f>IF($O34="","",IF(INDEX(Firms!$I$5:$I$1004,$O34)="","—",INDEX(Firms!$I$5:$I$1004,$O34)))</f>
        <v/>
      </c>
      <c r="J34" s="50">
        <f>IF($O34="","",IF(INDEX(Firms!$J$5:$J$1004,$O34)="","—",INDEX(Firms!$J$5:$J$1004,$O34)))</f>
        <v/>
      </c>
      <c r="K34" s="50">
        <f>IF($O34="","",IF(INDEX(Firms!$K$5:$K$1004,$O34)="","—",INDEX(Firms!$K$5:$K$1004,$O34)))</f>
        <v/>
      </c>
      <c r="L34" s="50">
        <f>IF($O34="","",IF(INDEX(Firms!$L$5:$L$1004,$O34)="","—",INDEX(Firms!$L$5:$L$1004,$O34)))</f>
        <v/>
      </c>
      <c r="M34" s="50">
        <f>IF($O34="","",IF(INDEX(Firms!$M$5:$M$1004,$O34)="","—",INDEX(Firms!$M$5:$M$1004,$O34)))</f>
        <v/>
      </c>
      <c r="O34">
        <f>IFERROR(MATCH(SMALL(Firms!$Y$5:$Y$1004,26),Firms!$W$5:$W$1004,0),"")</f>
        <v/>
      </c>
    </row>
    <row r="35">
      <c r="B35" s="78">
        <f>IF($O35="","",INDEX(Firms!$A$5:$A$1004,$O35))</f>
        <v/>
      </c>
      <c r="C35" s="79">
        <f>IF($O35="","",INDEX(Firms!$N$5:$N$1004,$O35)&amp;"")</f>
        <v/>
      </c>
      <c r="D35" s="79">
        <f>IF($O35="","",INDEX(Firms!$P$5:$P$1004,$O35)&amp;"")</f>
        <v/>
      </c>
      <c r="E35" s="79">
        <f>IF($O35="","",INDEX(Firms!$O$5:$O$1004,$O35)&amp;"")</f>
        <v/>
      </c>
      <c r="F35" s="50">
        <f>IF($O35="","",IF(INDEX(Firms!$F$5:$F$1004,$O35)="","—",INDEX(Firms!$F$5:$F$1004,$O35)))</f>
        <v/>
      </c>
      <c r="G35" s="50">
        <f>IF($O35="","",IF(INDEX(Firms!$G$5:$G$1004,$O35)="","—",INDEX(Firms!$G$5:$G$1004,$O35)))</f>
        <v/>
      </c>
      <c r="H35" s="50">
        <f>IF($O35="","",IF(INDEX(Firms!$H$5:$H$1004,$O35)="","—",INDEX(Firms!$H$5:$H$1004,$O35)))</f>
        <v/>
      </c>
      <c r="I35" s="50">
        <f>IF($O35="","",IF(INDEX(Firms!$I$5:$I$1004,$O35)="","—",INDEX(Firms!$I$5:$I$1004,$O35)))</f>
        <v/>
      </c>
      <c r="J35" s="50">
        <f>IF($O35="","",IF(INDEX(Firms!$J$5:$J$1004,$O35)="","—",INDEX(Firms!$J$5:$J$1004,$O35)))</f>
        <v/>
      </c>
      <c r="K35" s="50">
        <f>IF($O35="","",IF(INDEX(Firms!$K$5:$K$1004,$O35)="","—",INDEX(Firms!$K$5:$K$1004,$O35)))</f>
        <v/>
      </c>
      <c r="L35" s="50">
        <f>IF($O35="","",IF(INDEX(Firms!$L$5:$L$1004,$O35)="","—",INDEX(Firms!$L$5:$L$1004,$O35)))</f>
        <v/>
      </c>
      <c r="M35" s="50">
        <f>IF($O35="","",IF(INDEX(Firms!$M$5:$M$1004,$O35)="","—",INDEX(Firms!$M$5:$M$1004,$O35)))</f>
        <v/>
      </c>
      <c r="O35">
        <f>IFERROR(MATCH(SMALL(Firms!$Y$5:$Y$1004,27),Firms!$W$5:$W$1004,0),"")</f>
        <v/>
      </c>
    </row>
    <row r="36">
      <c r="B36" s="78">
        <f>IF($O36="","",INDEX(Firms!$A$5:$A$1004,$O36))</f>
        <v/>
      </c>
      <c r="C36" s="79">
        <f>IF($O36="","",INDEX(Firms!$N$5:$N$1004,$O36)&amp;"")</f>
        <v/>
      </c>
      <c r="D36" s="79">
        <f>IF($O36="","",INDEX(Firms!$P$5:$P$1004,$O36)&amp;"")</f>
        <v/>
      </c>
      <c r="E36" s="79">
        <f>IF($O36="","",INDEX(Firms!$O$5:$O$1004,$O36)&amp;"")</f>
        <v/>
      </c>
      <c r="F36" s="50">
        <f>IF($O36="","",IF(INDEX(Firms!$F$5:$F$1004,$O36)="","—",INDEX(Firms!$F$5:$F$1004,$O36)))</f>
        <v/>
      </c>
      <c r="G36" s="50">
        <f>IF($O36="","",IF(INDEX(Firms!$G$5:$G$1004,$O36)="","—",INDEX(Firms!$G$5:$G$1004,$O36)))</f>
        <v/>
      </c>
      <c r="H36" s="50">
        <f>IF($O36="","",IF(INDEX(Firms!$H$5:$H$1004,$O36)="","—",INDEX(Firms!$H$5:$H$1004,$O36)))</f>
        <v/>
      </c>
      <c r="I36" s="50">
        <f>IF($O36="","",IF(INDEX(Firms!$I$5:$I$1004,$O36)="","—",INDEX(Firms!$I$5:$I$1004,$O36)))</f>
        <v/>
      </c>
      <c r="J36" s="50">
        <f>IF($O36="","",IF(INDEX(Firms!$J$5:$J$1004,$O36)="","—",INDEX(Firms!$J$5:$J$1004,$O36)))</f>
        <v/>
      </c>
      <c r="K36" s="50">
        <f>IF($O36="","",IF(INDEX(Firms!$K$5:$K$1004,$O36)="","—",INDEX(Firms!$K$5:$K$1004,$O36)))</f>
        <v/>
      </c>
      <c r="L36" s="50">
        <f>IF($O36="","",IF(INDEX(Firms!$L$5:$L$1004,$O36)="","—",INDEX(Firms!$L$5:$L$1004,$O36)))</f>
        <v/>
      </c>
      <c r="M36" s="50">
        <f>IF($O36="","",IF(INDEX(Firms!$M$5:$M$1004,$O36)="","—",INDEX(Firms!$M$5:$M$1004,$O36)))</f>
        <v/>
      </c>
      <c r="O36">
        <f>IFERROR(MATCH(SMALL(Firms!$Y$5:$Y$1004,28),Firms!$W$5:$W$1004,0),"")</f>
        <v/>
      </c>
    </row>
    <row r="37">
      <c r="B37" s="78">
        <f>IF($O37="","",INDEX(Firms!$A$5:$A$1004,$O37))</f>
        <v/>
      </c>
      <c r="C37" s="79">
        <f>IF($O37="","",INDEX(Firms!$N$5:$N$1004,$O37)&amp;"")</f>
        <v/>
      </c>
      <c r="D37" s="79">
        <f>IF($O37="","",INDEX(Firms!$P$5:$P$1004,$O37)&amp;"")</f>
        <v/>
      </c>
      <c r="E37" s="79">
        <f>IF($O37="","",INDEX(Firms!$O$5:$O$1004,$O37)&amp;"")</f>
        <v/>
      </c>
      <c r="F37" s="50">
        <f>IF($O37="","",IF(INDEX(Firms!$F$5:$F$1004,$O37)="","—",INDEX(Firms!$F$5:$F$1004,$O37)))</f>
        <v/>
      </c>
      <c r="G37" s="50">
        <f>IF($O37="","",IF(INDEX(Firms!$G$5:$G$1004,$O37)="","—",INDEX(Firms!$G$5:$G$1004,$O37)))</f>
        <v/>
      </c>
      <c r="H37" s="50">
        <f>IF($O37="","",IF(INDEX(Firms!$H$5:$H$1004,$O37)="","—",INDEX(Firms!$H$5:$H$1004,$O37)))</f>
        <v/>
      </c>
      <c r="I37" s="50">
        <f>IF($O37="","",IF(INDEX(Firms!$I$5:$I$1004,$O37)="","—",INDEX(Firms!$I$5:$I$1004,$O37)))</f>
        <v/>
      </c>
      <c r="J37" s="50">
        <f>IF($O37="","",IF(INDEX(Firms!$J$5:$J$1004,$O37)="","—",INDEX(Firms!$J$5:$J$1004,$O37)))</f>
        <v/>
      </c>
      <c r="K37" s="50">
        <f>IF($O37="","",IF(INDEX(Firms!$K$5:$K$1004,$O37)="","—",INDEX(Firms!$K$5:$K$1004,$O37)))</f>
        <v/>
      </c>
      <c r="L37" s="50">
        <f>IF($O37="","",IF(INDEX(Firms!$L$5:$L$1004,$O37)="","—",INDEX(Firms!$L$5:$L$1004,$O37)))</f>
        <v/>
      </c>
      <c r="M37" s="50">
        <f>IF($O37="","",IF(INDEX(Firms!$M$5:$M$1004,$O37)="","—",INDEX(Firms!$M$5:$M$1004,$O37)))</f>
        <v/>
      </c>
      <c r="O37">
        <f>IFERROR(MATCH(SMALL(Firms!$Y$5:$Y$1004,29),Firms!$W$5:$W$1004,0),"")</f>
        <v/>
      </c>
    </row>
    <row r="38">
      <c r="B38" s="78">
        <f>IF($O38="","",INDEX(Firms!$A$5:$A$1004,$O38))</f>
        <v/>
      </c>
      <c r="C38" s="79">
        <f>IF($O38="","",INDEX(Firms!$N$5:$N$1004,$O38)&amp;"")</f>
        <v/>
      </c>
      <c r="D38" s="79">
        <f>IF($O38="","",INDEX(Firms!$P$5:$P$1004,$O38)&amp;"")</f>
        <v/>
      </c>
      <c r="E38" s="79">
        <f>IF($O38="","",INDEX(Firms!$O$5:$O$1004,$O38)&amp;"")</f>
        <v/>
      </c>
      <c r="F38" s="50">
        <f>IF($O38="","",IF(INDEX(Firms!$F$5:$F$1004,$O38)="","—",INDEX(Firms!$F$5:$F$1004,$O38)))</f>
        <v/>
      </c>
      <c r="G38" s="50">
        <f>IF($O38="","",IF(INDEX(Firms!$G$5:$G$1004,$O38)="","—",INDEX(Firms!$G$5:$G$1004,$O38)))</f>
        <v/>
      </c>
      <c r="H38" s="50">
        <f>IF($O38="","",IF(INDEX(Firms!$H$5:$H$1004,$O38)="","—",INDEX(Firms!$H$5:$H$1004,$O38)))</f>
        <v/>
      </c>
      <c r="I38" s="50">
        <f>IF($O38="","",IF(INDEX(Firms!$I$5:$I$1004,$O38)="","—",INDEX(Firms!$I$5:$I$1004,$O38)))</f>
        <v/>
      </c>
      <c r="J38" s="50">
        <f>IF($O38="","",IF(INDEX(Firms!$J$5:$J$1004,$O38)="","—",INDEX(Firms!$J$5:$J$1004,$O38)))</f>
        <v/>
      </c>
      <c r="K38" s="50">
        <f>IF($O38="","",IF(INDEX(Firms!$K$5:$K$1004,$O38)="","—",INDEX(Firms!$K$5:$K$1004,$O38)))</f>
        <v/>
      </c>
      <c r="L38" s="50">
        <f>IF($O38="","",IF(INDEX(Firms!$L$5:$L$1004,$O38)="","—",INDEX(Firms!$L$5:$L$1004,$O38)))</f>
        <v/>
      </c>
      <c r="M38" s="50">
        <f>IF($O38="","",IF(INDEX(Firms!$M$5:$M$1004,$O38)="","—",INDEX(Firms!$M$5:$M$1004,$O38)))</f>
        <v/>
      </c>
      <c r="O38">
        <f>IFERROR(MATCH(SMALL(Firms!$Y$5:$Y$1004,30),Firms!$W$5:$W$1004,0),"")</f>
        <v/>
      </c>
    </row>
    <row r="39">
      <c r="B39" s="78">
        <f>IF($O39="","",INDEX(Firms!$A$5:$A$1004,$O39))</f>
        <v/>
      </c>
      <c r="C39" s="79">
        <f>IF($O39="","",INDEX(Firms!$N$5:$N$1004,$O39)&amp;"")</f>
        <v/>
      </c>
      <c r="D39" s="79">
        <f>IF($O39="","",INDEX(Firms!$P$5:$P$1004,$O39)&amp;"")</f>
        <v/>
      </c>
      <c r="E39" s="79">
        <f>IF($O39="","",INDEX(Firms!$O$5:$O$1004,$O39)&amp;"")</f>
        <v/>
      </c>
      <c r="F39" s="50">
        <f>IF($O39="","",IF(INDEX(Firms!$F$5:$F$1004,$O39)="","—",INDEX(Firms!$F$5:$F$1004,$O39)))</f>
        <v/>
      </c>
      <c r="G39" s="50">
        <f>IF($O39="","",IF(INDEX(Firms!$G$5:$G$1004,$O39)="","—",INDEX(Firms!$G$5:$G$1004,$O39)))</f>
        <v/>
      </c>
      <c r="H39" s="50">
        <f>IF($O39="","",IF(INDEX(Firms!$H$5:$H$1004,$O39)="","—",INDEX(Firms!$H$5:$H$1004,$O39)))</f>
        <v/>
      </c>
      <c r="I39" s="50">
        <f>IF($O39="","",IF(INDEX(Firms!$I$5:$I$1004,$O39)="","—",INDEX(Firms!$I$5:$I$1004,$O39)))</f>
        <v/>
      </c>
      <c r="J39" s="50">
        <f>IF($O39="","",IF(INDEX(Firms!$J$5:$J$1004,$O39)="","—",INDEX(Firms!$J$5:$J$1004,$O39)))</f>
        <v/>
      </c>
      <c r="K39" s="50">
        <f>IF($O39="","",IF(INDEX(Firms!$K$5:$K$1004,$O39)="","—",INDEX(Firms!$K$5:$K$1004,$O39)))</f>
        <v/>
      </c>
      <c r="L39" s="50">
        <f>IF($O39="","",IF(INDEX(Firms!$L$5:$L$1004,$O39)="","—",INDEX(Firms!$L$5:$L$1004,$O39)))</f>
        <v/>
      </c>
      <c r="M39" s="50">
        <f>IF($O39="","",IF(INDEX(Firms!$M$5:$M$1004,$O39)="","—",INDEX(Firms!$M$5:$M$1004,$O39)))</f>
        <v/>
      </c>
      <c r="O39">
        <f>IFERROR(MATCH(SMALL(Firms!$Y$5:$Y$1004,31),Firms!$W$5:$W$1004,0),"")</f>
        <v/>
      </c>
    </row>
    <row r="40">
      <c r="B40" s="78">
        <f>IF($O40="","",INDEX(Firms!$A$5:$A$1004,$O40))</f>
        <v/>
      </c>
      <c r="C40" s="79">
        <f>IF($O40="","",INDEX(Firms!$N$5:$N$1004,$O40)&amp;"")</f>
        <v/>
      </c>
      <c r="D40" s="79">
        <f>IF($O40="","",INDEX(Firms!$P$5:$P$1004,$O40)&amp;"")</f>
        <v/>
      </c>
      <c r="E40" s="79">
        <f>IF($O40="","",INDEX(Firms!$O$5:$O$1004,$O40)&amp;"")</f>
        <v/>
      </c>
      <c r="F40" s="50">
        <f>IF($O40="","",IF(INDEX(Firms!$F$5:$F$1004,$O40)="","—",INDEX(Firms!$F$5:$F$1004,$O40)))</f>
        <v/>
      </c>
      <c r="G40" s="50">
        <f>IF($O40="","",IF(INDEX(Firms!$G$5:$G$1004,$O40)="","—",INDEX(Firms!$G$5:$G$1004,$O40)))</f>
        <v/>
      </c>
      <c r="H40" s="50">
        <f>IF($O40="","",IF(INDEX(Firms!$H$5:$H$1004,$O40)="","—",INDEX(Firms!$H$5:$H$1004,$O40)))</f>
        <v/>
      </c>
      <c r="I40" s="50">
        <f>IF($O40="","",IF(INDEX(Firms!$I$5:$I$1004,$O40)="","—",INDEX(Firms!$I$5:$I$1004,$O40)))</f>
        <v/>
      </c>
      <c r="J40" s="50">
        <f>IF($O40="","",IF(INDEX(Firms!$J$5:$J$1004,$O40)="","—",INDEX(Firms!$J$5:$J$1004,$O40)))</f>
        <v/>
      </c>
      <c r="K40" s="50">
        <f>IF($O40="","",IF(INDEX(Firms!$K$5:$K$1004,$O40)="","—",INDEX(Firms!$K$5:$K$1004,$O40)))</f>
        <v/>
      </c>
      <c r="L40" s="50">
        <f>IF($O40="","",IF(INDEX(Firms!$L$5:$L$1004,$O40)="","—",INDEX(Firms!$L$5:$L$1004,$O40)))</f>
        <v/>
      </c>
      <c r="M40" s="50">
        <f>IF($O40="","",IF(INDEX(Firms!$M$5:$M$1004,$O40)="","—",INDEX(Firms!$M$5:$M$1004,$O40)))</f>
        <v/>
      </c>
      <c r="O40">
        <f>IFERROR(MATCH(SMALL(Firms!$Y$5:$Y$1004,32),Firms!$W$5:$W$1004,0),"")</f>
        <v/>
      </c>
    </row>
    <row r="41">
      <c r="B41" s="78">
        <f>IF($O41="","",INDEX(Firms!$A$5:$A$1004,$O41))</f>
        <v/>
      </c>
      <c r="C41" s="79">
        <f>IF($O41="","",INDEX(Firms!$N$5:$N$1004,$O41)&amp;"")</f>
        <v/>
      </c>
      <c r="D41" s="79">
        <f>IF($O41="","",INDEX(Firms!$P$5:$P$1004,$O41)&amp;"")</f>
        <v/>
      </c>
      <c r="E41" s="79">
        <f>IF($O41="","",INDEX(Firms!$O$5:$O$1004,$O41)&amp;"")</f>
        <v/>
      </c>
      <c r="F41" s="50">
        <f>IF($O41="","",IF(INDEX(Firms!$F$5:$F$1004,$O41)="","—",INDEX(Firms!$F$5:$F$1004,$O41)))</f>
        <v/>
      </c>
      <c r="G41" s="50">
        <f>IF($O41="","",IF(INDEX(Firms!$G$5:$G$1004,$O41)="","—",INDEX(Firms!$G$5:$G$1004,$O41)))</f>
        <v/>
      </c>
      <c r="H41" s="50">
        <f>IF($O41="","",IF(INDEX(Firms!$H$5:$H$1004,$O41)="","—",INDEX(Firms!$H$5:$H$1004,$O41)))</f>
        <v/>
      </c>
      <c r="I41" s="50">
        <f>IF($O41="","",IF(INDEX(Firms!$I$5:$I$1004,$O41)="","—",INDEX(Firms!$I$5:$I$1004,$O41)))</f>
        <v/>
      </c>
      <c r="J41" s="50">
        <f>IF($O41="","",IF(INDEX(Firms!$J$5:$J$1004,$O41)="","—",INDEX(Firms!$J$5:$J$1004,$O41)))</f>
        <v/>
      </c>
      <c r="K41" s="50">
        <f>IF($O41="","",IF(INDEX(Firms!$K$5:$K$1004,$O41)="","—",INDEX(Firms!$K$5:$K$1004,$O41)))</f>
        <v/>
      </c>
      <c r="L41" s="50">
        <f>IF($O41="","",IF(INDEX(Firms!$L$5:$L$1004,$O41)="","—",INDEX(Firms!$L$5:$L$1004,$O41)))</f>
        <v/>
      </c>
      <c r="M41" s="50">
        <f>IF($O41="","",IF(INDEX(Firms!$M$5:$M$1004,$O41)="","—",INDEX(Firms!$M$5:$M$1004,$O41)))</f>
        <v/>
      </c>
      <c r="O41">
        <f>IFERROR(MATCH(SMALL(Firms!$Y$5:$Y$1004,33),Firms!$W$5:$W$1004,0),"")</f>
        <v/>
      </c>
    </row>
    <row r="42">
      <c r="B42" s="78">
        <f>IF($O42="","",INDEX(Firms!$A$5:$A$1004,$O42))</f>
        <v/>
      </c>
      <c r="C42" s="79">
        <f>IF($O42="","",INDEX(Firms!$N$5:$N$1004,$O42)&amp;"")</f>
        <v/>
      </c>
      <c r="D42" s="79">
        <f>IF($O42="","",INDEX(Firms!$P$5:$P$1004,$O42)&amp;"")</f>
        <v/>
      </c>
      <c r="E42" s="79">
        <f>IF($O42="","",INDEX(Firms!$O$5:$O$1004,$O42)&amp;"")</f>
        <v/>
      </c>
      <c r="F42" s="50">
        <f>IF($O42="","",IF(INDEX(Firms!$F$5:$F$1004,$O42)="","—",INDEX(Firms!$F$5:$F$1004,$O42)))</f>
        <v/>
      </c>
      <c r="G42" s="50">
        <f>IF($O42="","",IF(INDEX(Firms!$G$5:$G$1004,$O42)="","—",INDEX(Firms!$G$5:$G$1004,$O42)))</f>
        <v/>
      </c>
      <c r="H42" s="50">
        <f>IF($O42="","",IF(INDEX(Firms!$H$5:$H$1004,$O42)="","—",INDEX(Firms!$H$5:$H$1004,$O42)))</f>
        <v/>
      </c>
      <c r="I42" s="50">
        <f>IF($O42="","",IF(INDEX(Firms!$I$5:$I$1004,$O42)="","—",INDEX(Firms!$I$5:$I$1004,$O42)))</f>
        <v/>
      </c>
      <c r="J42" s="50">
        <f>IF($O42="","",IF(INDEX(Firms!$J$5:$J$1004,$O42)="","—",INDEX(Firms!$J$5:$J$1004,$O42)))</f>
        <v/>
      </c>
      <c r="K42" s="50">
        <f>IF($O42="","",IF(INDEX(Firms!$K$5:$K$1004,$O42)="","—",INDEX(Firms!$K$5:$K$1004,$O42)))</f>
        <v/>
      </c>
      <c r="L42" s="50">
        <f>IF($O42="","",IF(INDEX(Firms!$L$5:$L$1004,$O42)="","—",INDEX(Firms!$L$5:$L$1004,$O42)))</f>
        <v/>
      </c>
      <c r="M42" s="50">
        <f>IF($O42="","",IF(INDEX(Firms!$M$5:$M$1004,$O42)="","—",INDEX(Firms!$M$5:$M$1004,$O42)))</f>
        <v/>
      </c>
      <c r="O42">
        <f>IFERROR(MATCH(SMALL(Firms!$Y$5:$Y$1004,34),Firms!$W$5:$W$1004,0),"")</f>
        <v/>
      </c>
    </row>
    <row r="43">
      <c r="B43" s="78">
        <f>IF($O43="","",INDEX(Firms!$A$5:$A$1004,$O43))</f>
        <v/>
      </c>
      <c r="C43" s="79">
        <f>IF($O43="","",INDEX(Firms!$N$5:$N$1004,$O43)&amp;"")</f>
        <v/>
      </c>
      <c r="D43" s="79">
        <f>IF($O43="","",INDEX(Firms!$P$5:$P$1004,$O43)&amp;"")</f>
        <v/>
      </c>
      <c r="E43" s="79">
        <f>IF($O43="","",INDEX(Firms!$O$5:$O$1004,$O43)&amp;"")</f>
        <v/>
      </c>
      <c r="F43" s="50">
        <f>IF($O43="","",IF(INDEX(Firms!$F$5:$F$1004,$O43)="","—",INDEX(Firms!$F$5:$F$1004,$O43)))</f>
        <v/>
      </c>
      <c r="G43" s="50">
        <f>IF($O43="","",IF(INDEX(Firms!$G$5:$G$1004,$O43)="","—",INDEX(Firms!$G$5:$G$1004,$O43)))</f>
        <v/>
      </c>
      <c r="H43" s="50">
        <f>IF($O43="","",IF(INDEX(Firms!$H$5:$H$1004,$O43)="","—",INDEX(Firms!$H$5:$H$1004,$O43)))</f>
        <v/>
      </c>
      <c r="I43" s="50">
        <f>IF($O43="","",IF(INDEX(Firms!$I$5:$I$1004,$O43)="","—",INDEX(Firms!$I$5:$I$1004,$O43)))</f>
        <v/>
      </c>
      <c r="J43" s="50">
        <f>IF($O43="","",IF(INDEX(Firms!$J$5:$J$1004,$O43)="","—",INDEX(Firms!$J$5:$J$1004,$O43)))</f>
        <v/>
      </c>
      <c r="K43" s="50">
        <f>IF($O43="","",IF(INDEX(Firms!$K$5:$K$1004,$O43)="","—",INDEX(Firms!$K$5:$K$1004,$O43)))</f>
        <v/>
      </c>
      <c r="L43" s="50">
        <f>IF($O43="","",IF(INDEX(Firms!$L$5:$L$1004,$O43)="","—",INDEX(Firms!$L$5:$L$1004,$O43)))</f>
        <v/>
      </c>
      <c r="M43" s="50">
        <f>IF($O43="","",IF(INDEX(Firms!$M$5:$M$1004,$O43)="","—",INDEX(Firms!$M$5:$M$1004,$O43)))</f>
        <v/>
      </c>
      <c r="O43">
        <f>IFERROR(MATCH(SMALL(Firms!$Y$5:$Y$1004,35),Firms!$W$5:$W$1004,0),"")</f>
        <v/>
      </c>
    </row>
    <row r="44">
      <c r="B44" s="78">
        <f>IF($O44="","",INDEX(Firms!$A$5:$A$1004,$O44))</f>
        <v/>
      </c>
      <c r="C44" s="79">
        <f>IF($O44="","",INDEX(Firms!$N$5:$N$1004,$O44)&amp;"")</f>
        <v/>
      </c>
      <c r="D44" s="79">
        <f>IF($O44="","",INDEX(Firms!$P$5:$P$1004,$O44)&amp;"")</f>
        <v/>
      </c>
      <c r="E44" s="79">
        <f>IF($O44="","",INDEX(Firms!$O$5:$O$1004,$O44)&amp;"")</f>
        <v/>
      </c>
      <c r="F44" s="50">
        <f>IF($O44="","",IF(INDEX(Firms!$F$5:$F$1004,$O44)="","—",INDEX(Firms!$F$5:$F$1004,$O44)))</f>
        <v/>
      </c>
      <c r="G44" s="50">
        <f>IF($O44="","",IF(INDEX(Firms!$G$5:$G$1004,$O44)="","—",INDEX(Firms!$G$5:$G$1004,$O44)))</f>
        <v/>
      </c>
      <c r="H44" s="50">
        <f>IF($O44="","",IF(INDEX(Firms!$H$5:$H$1004,$O44)="","—",INDEX(Firms!$H$5:$H$1004,$O44)))</f>
        <v/>
      </c>
      <c r="I44" s="50">
        <f>IF($O44="","",IF(INDEX(Firms!$I$5:$I$1004,$O44)="","—",INDEX(Firms!$I$5:$I$1004,$O44)))</f>
        <v/>
      </c>
      <c r="J44" s="50">
        <f>IF($O44="","",IF(INDEX(Firms!$J$5:$J$1004,$O44)="","—",INDEX(Firms!$J$5:$J$1004,$O44)))</f>
        <v/>
      </c>
      <c r="K44" s="50">
        <f>IF($O44="","",IF(INDEX(Firms!$K$5:$K$1004,$O44)="","—",INDEX(Firms!$K$5:$K$1004,$O44)))</f>
        <v/>
      </c>
      <c r="L44" s="50">
        <f>IF($O44="","",IF(INDEX(Firms!$L$5:$L$1004,$O44)="","—",INDEX(Firms!$L$5:$L$1004,$O44)))</f>
        <v/>
      </c>
      <c r="M44" s="50">
        <f>IF($O44="","",IF(INDEX(Firms!$M$5:$M$1004,$O44)="","—",INDEX(Firms!$M$5:$M$1004,$O44)))</f>
        <v/>
      </c>
      <c r="O44">
        <f>IFERROR(MATCH(SMALL(Firms!$Y$5:$Y$1004,36),Firms!$W$5:$W$1004,0),"")</f>
        <v/>
      </c>
    </row>
    <row r="45">
      <c r="B45" s="78">
        <f>IF($O45="","",INDEX(Firms!$A$5:$A$1004,$O45))</f>
        <v/>
      </c>
      <c r="C45" s="79">
        <f>IF($O45="","",INDEX(Firms!$N$5:$N$1004,$O45)&amp;"")</f>
        <v/>
      </c>
      <c r="D45" s="79">
        <f>IF($O45="","",INDEX(Firms!$P$5:$P$1004,$O45)&amp;"")</f>
        <v/>
      </c>
      <c r="E45" s="79">
        <f>IF($O45="","",INDEX(Firms!$O$5:$O$1004,$O45)&amp;"")</f>
        <v/>
      </c>
      <c r="F45" s="50">
        <f>IF($O45="","",IF(INDEX(Firms!$F$5:$F$1004,$O45)="","—",INDEX(Firms!$F$5:$F$1004,$O45)))</f>
        <v/>
      </c>
      <c r="G45" s="50">
        <f>IF($O45="","",IF(INDEX(Firms!$G$5:$G$1004,$O45)="","—",INDEX(Firms!$G$5:$G$1004,$O45)))</f>
        <v/>
      </c>
      <c r="H45" s="50">
        <f>IF($O45="","",IF(INDEX(Firms!$H$5:$H$1004,$O45)="","—",INDEX(Firms!$H$5:$H$1004,$O45)))</f>
        <v/>
      </c>
      <c r="I45" s="50">
        <f>IF($O45="","",IF(INDEX(Firms!$I$5:$I$1004,$O45)="","—",INDEX(Firms!$I$5:$I$1004,$O45)))</f>
        <v/>
      </c>
      <c r="J45" s="50">
        <f>IF($O45="","",IF(INDEX(Firms!$J$5:$J$1004,$O45)="","—",INDEX(Firms!$J$5:$J$1004,$O45)))</f>
        <v/>
      </c>
      <c r="K45" s="50">
        <f>IF($O45="","",IF(INDEX(Firms!$K$5:$K$1004,$O45)="","—",INDEX(Firms!$K$5:$K$1004,$O45)))</f>
        <v/>
      </c>
      <c r="L45" s="50">
        <f>IF($O45="","",IF(INDEX(Firms!$L$5:$L$1004,$O45)="","—",INDEX(Firms!$L$5:$L$1004,$O45)))</f>
        <v/>
      </c>
      <c r="M45" s="50">
        <f>IF($O45="","",IF(INDEX(Firms!$M$5:$M$1004,$O45)="","—",INDEX(Firms!$M$5:$M$1004,$O45)))</f>
        <v/>
      </c>
      <c r="O45">
        <f>IFERROR(MATCH(SMALL(Firms!$Y$5:$Y$1004,37),Firms!$W$5:$W$1004,0),"")</f>
        <v/>
      </c>
    </row>
    <row r="46">
      <c r="B46" s="78">
        <f>IF($O46="","",INDEX(Firms!$A$5:$A$1004,$O46))</f>
        <v/>
      </c>
      <c r="C46" s="79">
        <f>IF($O46="","",INDEX(Firms!$N$5:$N$1004,$O46)&amp;"")</f>
        <v/>
      </c>
      <c r="D46" s="79">
        <f>IF($O46="","",INDEX(Firms!$P$5:$P$1004,$O46)&amp;"")</f>
        <v/>
      </c>
      <c r="E46" s="79">
        <f>IF($O46="","",INDEX(Firms!$O$5:$O$1004,$O46)&amp;"")</f>
        <v/>
      </c>
      <c r="F46" s="50">
        <f>IF($O46="","",IF(INDEX(Firms!$F$5:$F$1004,$O46)="","—",INDEX(Firms!$F$5:$F$1004,$O46)))</f>
        <v/>
      </c>
      <c r="G46" s="50">
        <f>IF($O46="","",IF(INDEX(Firms!$G$5:$G$1004,$O46)="","—",INDEX(Firms!$G$5:$G$1004,$O46)))</f>
        <v/>
      </c>
      <c r="H46" s="50">
        <f>IF($O46="","",IF(INDEX(Firms!$H$5:$H$1004,$O46)="","—",INDEX(Firms!$H$5:$H$1004,$O46)))</f>
        <v/>
      </c>
      <c r="I46" s="50">
        <f>IF($O46="","",IF(INDEX(Firms!$I$5:$I$1004,$O46)="","—",INDEX(Firms!$I$5:$I$1004,$O46)))</f>
        <v/>
      </c>
      <c r="J46" s="50">
        <f>IF($O46="","",IF(INDEX(Firms!$J$5:$J$1004,$O46)="","—",INDEX(Firms!$J$5:$J$1004,$O46)))</f>
        <v/>
      </c>
      <c r="K46" s="50">
        <f>IF($O46="","",IF(INDEX(Firms!$K$5:$K$1004,$O46)="","—",INDEX(Firms!$K$5:$K$1004,$O46)))</f>
        <v/>
      </c>
      <c r="L46" s="50">
        <f>IF($O46="","",IF(INDEX(Firms!$L$5:$L$1004,$O46)="","—",INDEX(Firms!$L$5:$L$1004,$O46)))</f>
        <v/>
      </c>
      <c r="M46" s="50">
        <f>IF($O46="","",IF(INDEX(Firms!$M$5:$M$1004,$O46)="","—",INDEX(Firms!$M$5:$M$1004,$O46)))</f>
        <v/>
      </c>
      <c r="O46">
        <f>IFERROR(MATCH(SMALL(Firms!$Y$5:$Y$1004,38),Firms!$W$5:$W$1004,0),"")</f>
        <v/>
      </c>
    </row>
    <row r="47">
      <c r="B47" s="78">
        <f>IF($O47="","",INDEX(Firms!$A$5:$A$1004,$O47))</f>
        <v/>
      </c>
      <c r="C47" s="79">
        <f>IF($O47="","",INDEX(Firms!$N$5:$N$1004,$O47)&amp;"")</f>
        <v/>
      </c>
      <c r="D47" s="79">
        <f>IF($O47="","",INDEX(Firms!$P$5:$P$1004,$O47)&amp;"")</f>
        <v/>
      </c>
      <c r="E47" s="79">
        <f>IF($O47="","",INDEX(Firms!$O$5:$O$1004,$O47)&amp;"")</f>
        <v/>
      </c>
      <c r="F47" s="50">
        <f>IF($O47="","",IF(INDEX(Firms!$F$5:$F$1004,$O47)="","—",INDEX(Firms!$F$5:$F$1004,$O47)))</f>
        <v/>
      </c>
      <c r="G47" s="50">
        <f>IF($O47="","",IF(INDEX(Firms!$G$5:$G$1004,$O47)="","—",INDEX(Firms!$G$5:$G$1004,$O47)))</f>
        <v/>
      </c>
      <c r="H47" s="50">
        <f>IF($O47="","",IF(INDEX(Firms!$H$5:$H$1004,$O47)="","—",INDEX(Firms!$H$5:$H$1004,$O47)))</f>
        <v/>
      </c>
      <c r="I47" s="50">
        <f>IF($O47="","",IF(INDEX(Firms!$I$5:$I$1004,$O47)="","—",INDEX(Firms!$I$5:$I$1004,$O47)))</f>
        <v/>
      </c>
      <c r="J47" s="50">
        <f>IF($O47="","",IF(INDEX(Firms!$J$5:$J$1004,$O47)="","—",INDEX(Firms!$J$5:$J$1004,$O47)))</f>
        <v/>
      </c>
      <c r="K47" s="50">
        <f>IF($O47="","",IF(INDEX(Firms!$K$5:$K$1004,$O47)="","—",INDEX(Firms!$K$5:$K$1004,$O47)))</f>
        <v/>
      </c>
      <c r="L47" s="50">
        <f>IF($O47="","",IF(INDEX(Firms!$L$5:$L$1004,$O47)="","—",INDEX(Firms!$L$5:$L$1004,$O47)))</f>
        <v/>
      </c>
      <c r="M47" s="50">
        <f>IF($O47="","",IF(INDEX(Firms!$M$5:$M$1004,$O47)="","—",INDEX(Firms!$M$5:$M$1004,$O47)))</f>
        <v/>
      </c>
      <c r="O47">
        <f>IFERROR(MATCH(SMALL(Firms!$Y$5:$Y$1004,39),Firms!$W$5:$W$1004,0),"")</f>
        <v/>
      </c>
    </row>
    <row r="48">
      <c r="B48" s="78">
        <f>IF($O48="","",INDEX(Firms!$A$5:$A$1004,$O48))</f>
        <v/>
      </c>
      <c r="C48" s="79">
        <f>IF($O48="","",INDEX(Firms!$N$5:$N$1004,$O48)&amp;"")</f>
        <v/>
      </c>
      <c r="D48" s="79">
        <f>IF($O48="","",INDEX(Firms!$P$5:$P$1004,$O48)&amp;"")</f>
        <v/>
      </c>
      <c r="E48" s="79">
        <f>IF($O48="","",INDEX(Firms!$O$5:$O$1004,$O48)&amp;"")</f>
        <v/>
      </c>
      <c r="F48" s="50">
        <f>IF($O48="","",IF(INDEX(Firms!$F$5:$F$1004,$O48)="","—",INDEX(Firms!$F$5:$F$1004,$O48)))</f>
        <v/>
      </c>
      <c r="G48" s="50">
        <f>IF($O48="","",IF(INDEX(Firms!$G$5:$G$1004,$O48)="","—",INDEX(Firms!$G$5:$G$1004,$O48)))</f>
        <v/>
      </c>
      <c r="H48" s="50">
        <f>IF($O48="","",IF(INDEX(Firms!$H$5:$H$1004,$O48)="","—",INDEX(Firms!$H$5:$H$1004,$O48)))</f>
        <v/>
      </c>
      <c r="I48" s="50">
        <f>IF($O48="","",IF(INDEX(Firms!$I$5:$I$1004,$O48)="","—",INDEX(Firms!$I$5:$I$1004,$O48)))</f>
        <v/>
      </c>
      <c r="J48" s="50">
        <f>IF($O48="","",IF(INDEX(Firms!$J$5:$J$1004,$O48)="","—",INDEX(Firms!$J$5:$J$1004,$O48)))</f>
        <v/>
      </c>
      <c r="K48" s="50">
        <f>IF($O48="","",IF(INDEX(Firms!$K$5:$K$1004,$O48)="","—",INDEX(Firms!$K$5:$K$1004,$O48)))</f>
        <v/>
      </c>
      <c r="L48" s="50">
        <f>IF($O48="","",IF(INDEX(Firms!$L$5:$L$1004,$O48)="","—",INDEX(Firms!$L$5:$L$1004,$O48)))</f>
        <v/>
      </c>
      <c r="M48" s="50">
        <f>IF($O48="","",IF(INDEX(Firms!$M$5:$M$1004,$O48)="","—",INDEX(Firms!$M$5:$M$1004,$O48)))</f>
        <v/>
      </c>
      <c r="O48">
        <f>IFERROR(MATCH(SMALL(Firms!$Y$5:$Y$1004,40),Firms!$W$5:$W$1004,0),"")</f>
        <v/>
      </c>
    </row>
    <row r="49">
      <c r="B49" s="78">
        <f>IF($O49="","",INDEX(Firms!$A$5:$A$1004,$O49))</f>
        <v/>
      </c>
      <c r="C49" s="79">
        <f>IF($O49="","",INDEX(Firms!$N$5:$N$1004,$O49)&amp;"")</f>
        <v/>
      </c>
      <c r="D49" s="79">
        <f>IF($O49="","",INDEX(Firms!$P$5:$P$1004,$O49)&amp;"")</f>
        <v/>
      </c>
      <c r="E49" s="79">
        <f>IF($O49="","",INDEX(Firms!$O$5:$O$1004,$O49)&amp;"")</f>
        <v/>
      </c>
      <c r="F49" s="50">
        <f>IF($O49="","",IF(INDEX(Firms!$F$5:$F$1004,$O49)="","—",INDEX(Firms!$F$5:$F$1004,$O49)))</f>
        <v/>
      </c>
      <c r="G49" s="50">
        <f>IF($O49="","",IF(INDEX(Firms!$G$5:$G$1004,$O49)="","—",INDEX(Firms!$G$5:$G$1004,$O49)))</f>
        <v/>
      </c>
      <c r="H49" s="50">
        <f>IF($O49="","",IF(INDEX(Firms!$H$5:$H$1004,$O49)="","—",INDEX(Firms!$H$5:$H$1004,$O49)))</f>
        <v/>
      </c>
      <c r="I49" s="50">
        <f>IF($O49="","",IF(INDEX(Firms!$I$5:$I$1004,$O49)="","—",INDEX(Firms!$I$5:$I$1004,$O49)))</f>
        <v/>
      </c>
      <c r="J49" s="50">
        <f>IF($O49="","",IF(INDEX(Firms!$J$5:$J$1004,$O49)="","—",INDEX(Firms!$J$5:$J$1004,$O49)))</f>
        <v/>
      </c>
      <c r="K49" s="50">
        <f>IF($O49="","",IF(INDEX(Firms!$K$5:$K$1004,$O49)="","—",INDEX(Firms!$K$5:$K$1004,$O49)))</f>
        <v/>
      </c>
      <c r="L49" s="50">
        <f>IF($O49="","",IF(INDEX(Firms!$L$5:$L$1004,$O49)="","—",INDEX(Firms!$L$5:$L$1004,$O49)))</f>
        <v/>
      </c>
      <c r="M49" s="50">
        <f>IF($O49="","",IF(INDEX(Firms!$M$5:$M$1004,$O49)="","—",INDEX(Firms!$M$5:$M$1004,$O49)))</f>
        <v/>
      </c>
      <c r="O49">
        <f>IFERROR(MATCH(SMALL(Firms!$Y$5:$Y$1004,41),Firms!$W$5:$W$1004,0),"")</f>
        <v/>
      </c>
    </row>
    <row r="50">
      <c r="B50" s="78">
        <f>IF($O50="","",INDEX(Firms!$A$5:$A$1004,$O50))</f>
        <v/>
      </c>
      <c r="C50" s="79">
        <f>IF($O50="","",INDEX(Firms!$N$5:$N$1004,$O50)&amp;"")</f>
        <v/>
      </c>
      <c r="D50" s="79">
        <f>IF($O50="","",INDEX(Firms!$P$5:$P$1004,$O50)&amp;"")</f>
        <v/>
      </c>
      <c r="E50" s="79">
        <f>IF($O50="","",INDEX(Firms!$O$5:$O$1004,$O50)&amp;"")</f>
        <v/>
      </c>
      <c r="F50" s="50">
        <f>IF($O50="","",IF(INDEX(Firms!$F$5:$F$1004,$O50)="","—",INDEX(Firms!$F$5:$F$1004,$O50)))</f>
        <v/>
      </c>
      <c r="G50" s="50">
        <f>IF($O50="","",IF(INDEX(Firms!$G$5:$G$1004,$O50)="","—",INDEX(Firms!$G$5:$G$1004,$O50)))</f>
        <v/>
      </c>
      <c r="H50" s="50">
        <f>IF($O50="","",IF(INDEX(Firms!$H$5:$H$1004,$O50)="","—",INDEX(Firms!$H$5:$H$1004,$O50)))</f>
        <v/>
      </c>
      <c r="I50" s="50">
        <f>IF($O50="","",IF(INDEX(Firms!$I$5:$I$1004,$O50)="","—",INDEX(Firms!$I$5:$I$1004,$O50)))</f>
        <v/>
      </c>
      <c r="J50" s="50">
        <f>IF($O50="","",IF(INDEX(Firms!$J$5:$J$1004,$O50)="","—",INDEX(Firms!$J$5:$J$1004,$O50)))</f>
        <v/>
      </c>
      <c r="K50" s="50">
        <f>IF($O50="","",IF(INDEX(Firms!$K$5:$K$1004,$O50)="","—",INDEX(Firms!$K$5:$K$1004,$O50)))</f>
        <v/>
      </c>
      <c r="L50" s="50">
        <f>IF($O50="","",IF(INDEX(Firms!$L$5:$L$1004,$O50)="","—",INDEX(Firms!$L$5:$L$1004,$O50)))</f>
        <v/>
      </c>
      <c r="M50" s="50">
        <f>IF($O50="","",IF(INDEX(Firms!$M$5:$M$1004,$O50)="","—",INDEX(Firms!$M$5:$M$1004,$O50)))</f>
        <v/>
      </c>
      <c r="O50">
        <f>IFERROR(MATCH(SMALL(Firms!$Y$5:$Y$1004,42),Firms!$W$5:$W$1004,0),"")</f>
        <v/>
      </c>
    </row>
    <row r="51">
      <c r="B51" s="78">
        <f>IF($O51="","",INDEX(Firms!$A$5:$A$1004,$O51))</f>
        <v/>
      </c>
      <c r="C51" s="79">
        <f>IF($O51="","",INDEX(Firms!$N$5:$N$1004,$O51)&amp;"")</f>
        <v/>
      </c>
      <c r="D51" s="79">
        <f>IF($O51="","",INDEX(Firms!$P$5:$P$1004,$O51)&amp;"")</f>
        <v/>
      </c>
      <c r="E51" s="79">
        <f>IF($O51="","",INDEX(Firms!$O$5:$O$1004,$O51)&amp;"")</f>
        <v/>
      </c>
      <c r="F51" s="50">
        <f>IF($O51="","",IF(INDEX(Firms!$F$5:$F$1004,$O51)="","—",INDEX(Firms!$F$5:$F$1004,$O51)))</f>
        <v/>
      </c>
      <c r="G51" s="50">
        <f>IF($O51="","",IF(INDEX(Firms!$G$5:$G$1004,$O51)="","—",INDEX(Firms!$G$5:$G$1004,$O51)))</f>
        <v/>
      </c>
      <c r="H51" s="50">
        <f>IF($O51="","",IF(INDEX(Firms!$H$5:$H$1004,$O51)="","—",INDEX(Firms!$H$5:$H$1004,$O51)))</f>
        <v/>
      </c>
      <c r="I51" s="50">
        <f>IF($O51="","",IF(INDEX(Firms!$I$5:$I$1004,$O51)="","—",INDEX(Firms!$I$5:$I$1004,$O51)))</f>
        <v/>
      </c>
      <c r="J51" s="50">
        <f>IF($O51="","",IF(INDEX(Firms!$J$5:$J$1004,$O51)="","—",INDEX(Firms!$J$5:$J$1004,$O51)))</f>
        <v/>
      </c>
      <c r="K51" s="50">
        <f>IF($O51="","",IF(INDEX(Firms!$K$5:$K$1004,$O51)="","—",INDEX(Firms!$K$5:$K$1004,$O51)))</f>
        <v/>
      </c>
      <c r="L51" s="50">
        <f>IF($O51="","",IF(INDEX(Firms!$L$5:$L$1004,$O51)="","—",INDEX(Firms!$L$5:$L$1004,$O51)))</f>
        <v/>
      </c>
      <c r="M51" s="50">
        <f>IF($O51="","",IF(INDEX(Firms!$M$5:$M$1004,$O51)="","—",INDEX(Firms!$M$5:$M$1004,$O51)))</f>
        <v/>
      </c>
      <c r="O51">
        <f>IFERROR(MATCH(SMALL(Firms!$Y$5:$Y$1004,43),Firms!$W$5:$W$1004,0),"")</f>
        <v/>
      </c>
    </row>
    <row r="52">
      <c r="B52" s="78">
        <f>IF($O52="","",INDEX(Firms!$A$5:$A$1004,$O52))</f>
        <v/>
      </c>
      <c r="C52" s="79">
        <f>IF($O52="","",INDEX(Firms!$N$5:$N$1004,$O52)&amp;"")</f>
        <v/>
      </c>
      <c r="D52" s="79">
        <f>IF($O52="","",INDEX(Firms!$P$5:$P$1004,$O52)&amp;"")</f>
        <v/>
      </c>
      <c r="E52" s="79">
        <f>IF($O52="","",INDEX(Firms!$O$5:$O$1004,$O52)&amp;"")</f>
        <v/>
      </c>
      <c r="F52" s="50">
        <f>IF($O52="","",IF(INDEX(Firms!$F$5:$F$1004,$O52)="","—",INDEX(Firms!$F$5:$F$1004,$O52)))</f>
        <v/>
      </c>
      <c r="G52" s="50">
        <f>IF($O52="","",IF(INDEX(Firms!$G$5:$G$1004,$O52)="","—",INDEX(Firms!$G$5:$G$1004,$O52)))</f>
        <v/>
      </c>
      <c r="H52" s="50">
        <f>IF($O52="","",IF(INDEX(Firms!$H$5:$H$1004,$O52)="","—",INDEX(Firms!$H$5:$H$1004,$O52)))</f>
        <v/>
      </c>
      <c r="I52" s="50">
        <f>IF($O52="","",IF(INDEX(Firms!$I$5:$I$1004,$O52)="","—",INDEX(Firms!$I$5:$I$1004,$O52)))</f>
        <v/>
      </c>
      <c r="J52" s="50">
        <f>IF($O52="","",IF(INDEX(Firms!$J$5:$J$1004,$O52)="","—",INDEX(Firms!$J$5:$J$1004,$O52)))</f>
        <v/>
      </c>
      <c r="K52" s="50">
        <f>IF($O52="","",IF(INDEX(Firms!$K$5:$K$1004,$O52)="","—",INDEX(Firms!$K$5:$K$1004,$O52)))</f>
        <v/>
      </c>
      <c r="L52" s="50">
        <f>IF($O52="","",IF(INDEX(Firms!$L$5:$L$1004,$O52)="","—",INDEX(Firms!$L$5:$L$1004,$O52)))</f>
        <v/>
      </c>
      <c r="M52" s="50">
        <f>IF($O52="","",IF(INDEX(Firms!$M$5:$M$1004,$O52)="","—",INDEX(Firms!$M$5:$M$1004,$O52)))</f>
        <v/>
      </c>
      <c r="O52">
        <f>IFERROR(MATCH(SMALL(Firms!$Y$5:$Y$1004,44),Firms!$W$5:$W$1004,0),"")</f>
        <v/>
      </c>
    </row>
    <row r="53">
      <c r="B53" s="78">
        <f>IF($O53="","",INDEX(Firms!$A$5:$A$1004,$O53))</f>
        <v/>
      </c>
      <c r="C53" s="79">
        <f>IF($O53="","",INDEX(Firms!$N$5:$N$1004,$O53)&amp;"")</f>
        <v/>
      </c>
      <c r="D53" s="79">
        <f>IF($O53="","",INDEX(Firms!$P$5:$P$1004,$O53)&amp;"")</f>
        <v/>
      </c>
      <c r="E53" s="79">
        <f>IF($O53="","",INDEX(Firms!$O$5:$O$1004,$O53)&amp;"")</f>
        <v/>
      </c>
      <c r="F53" s="50">
        <f>IF($O53="","",IF(INDEX(Firms!$F$5:$F$1004,$O53)="","—",INDEX(Firms!$F$5:$F$1004,$O53)))</f>
        <v/>
      </c>
      <c r="G53" s="50">
        <f>IF($O53="","",IF(INDEX(Firms!$G$5:$G$1004,$O53)="","—",INDEX(Firms!$G$5:$G$1004,$O53)))</f>
        <v/>
      </c>
      <c r="H53" s="50">
        <f>IF($O53="","",IF(INDEX(Firms!$H$5:$H$1004,$O53)="","—",INDEX(Firms!$H$5:$H$1004,$O53)))</f>
        <v/>
      </c>
      <c r="I53" s="50">
        <f>IF($O53="","",IF(INDEX(Firms!$I$5:$I$1004,$O53)="","—",INDEX(Firms!$I$5:$I$1004,$O53)))</f>
        <v/>
      </c>
      <c r="J53" s="50">
        <f>IF($O53="","",IF(INDEX(Firms!$J$5:$J$1004,$O53)="","—",INDEX(Firms!$J$5:$J$1004,$O53)))</f>
        <v/>
      </c>
      <c r="K53" s="50">
        <f>IF($O53="","",IF(INDEX(Firms!$K$5:$K$1004,$O53)="","—",INDEX(Firms!$K$5:$K$1004,$O53)))</f>
        <v/>
      </c>
      <c r="L53" s="50">
        <f>IF($O53="","",IF(INDEX(Firms!$L$5:$L$1004,$O53)="","—",INDEX(Firms!$L$5:$L$1004,$O53)))</f>
        <v/>
      </c>
      <c r="M53" s="50">
        <f>IF($O53="","",IF(INDEX(Firms!$M$5:$M$1004,$O53)="","—",INDEX(Firms!$M$5:$M$1004,$O53)))</f>
        <v/>
      </c>
      <c r="O53">
        <f>IFERROR(MATCH(SMALL(Firms!$Y$5:$Y$1004,45),Firms!$W$5:$W$1004,0),"")</f>
        <v/>
      </c>
    </row>
    <row r="54">
      <c r="B54" s="78">
        <f>IF($O54="","",INDEX(Firms!$A$5:$A$1004,$O54))</f>
        <v/>
      </c>
      <c r="C54" s="79">
        <f>IF($O54="","",INDEX(Firms!$N$5:$N$1004,$O54)&amp;"")</f>
        <v/>
      </c>
      <c r="D54" s="79">
        <f>IF($O54="","",INDEX(Firms!$P$5:$P$1004,$O54)&amp;"")</f>
        <v/>
      </c>
      <c r="E54" s="79">
        <f>IF($O54="","",INDEX(Firms!$O$5:$O$1004,$O54)&amp;"")</f>
        <v/>
      </c>
      <c r="F54" s="50">
        <f>IF($O54="","",IF(INDEX(Firms!$F$5:$F$1004,$O54)="","—",INDEX(Firms!$F$5:$F$1004,$O54)))</f>
        <v/>
      </c>
      <c r="G54" s="50">
        <f>IF($O54="","",IF(INDEX(Firms!$G$5:$G$1004,$O54)="","—",INDEX(Firms!$G$5:$G$1004,$O54)))</f>
        <v/>
      </c>
      <c r="H54" s="50">
        <f>IF($O54="","",IF(INDEX(Firms!$H$5:$H$1004,$O54)="","—",INDEX(Firms!$H$5:$H$1004,$O54)))</f>
        <v/>
      </c>
      <c r="I54" s="50">
        <f>IF($O54="","",IF(INDEX(Firms!$I$5:$I$1004,$O54)="","—",INDEX(Firms!$I$5:$I$1004,$O54)))</f>
        <v/>
      </c>
      <c r="J54" s="50">
        <f>IF($O54="","",IF(INDEX(Firms!$J$5:$J$1004,$O54)="","—",INDEX(Firms!$J$5:$J$1004,$O54)))</f>
        <v/>
      </c>
      <c r="K54" s="50">
        <f>IF($O54="","",IF(INDEX(Firms!$K$5:$K$1004,$O54)="","—",INDEX(Firms!$K$5:$K$1004,$O54)))</f>
        <v/>
      </c>
      <c r="L54" s="50">
        <f>IF($O54="","",IF(INDEX(Firms!$L$5:$L$1004,$O54)="","—",INDEX(Firms!$L$5:$L$1004,$O54)))</f>
        <v/>
      </c>
      <c r="M54" s="50">
        <f>IF($O54="","",IF(INDEX(Firms!$M$5:$M$1004,$O54)="","—",INDEX(Firms!$M$5:$M$1004,$O54)))</f>
        <v/>
      </c>
      <c r="O54">
        <f>IFERROR(MATCH(SMALL(Firms!$Y$5:$Y$1004,46),Firms!$W$5:$W$1004,0),"")</f>
        <v/>
      </c>
    </row>
    <row r="55">
      <c r="B55" s="78">
        <f>IF($O55="","",INDEX(Firms!$A$5:$A$1004,$O55))</f>
        <v/>
      </c>
      <c r="C55" s="79">
        <f>IF($O55="","",INDEX(Firms!$N$5:$N$1004,$O55)&amp;"")</f>
        <v/>
      </c>
      <c r="D55" s="79">
        <f>IF($O55="","",INDEX(Firms!$P$5:$P$1004,$O55)&amp;"")</f>
        <v/>
      </c>
      <c r="E55" s="79">
        <f>IF($O55="","",INDEX(Firms!$O$5:$O$1004,$O55)&amp;"")</f>
        <v/>
      </c>
      <c r="F55" s="50">
        <f>IF($O55="","",IF(INDEX(Firms!$F$5:$F$1004,$O55)="","—",INDEX(Firms!$F$5:$F$1004,$O55)))</f>
        <v/>
      </c>
      <c r="G55" s="50">
        <f>IF($O55="","",IF(INDEX(Firms!$G$5:$G$1004,$O55)="","—",INDEX(Firms!$G$5:$G$1004,$O55)))</f>
        <v/>
      </c>
      <c r="H55" s="50">
        <f>IF($O55="","",IF(INDEX(Firms!$H$5:$H$1004,$O55)="","—",INDEX(Firms!$H$5:$H$1004,$O55)))</f>
        <v/>
      </c>
      <c r="I55" s="50">
        <f>IF($O55="","",IF(INDEX(Firms!$I$5:$I$1004,$O55)="","—",INDEX(Firms!$I$5:$I$1004,$O55)))</f>
        <v/>
      </c>
      <c r="J55" s="50">
        <f>IF($O55="","",IF(INDEX(Firms!$J$5:$J$1004,$O55)="","—",INDEX(Firms!$J$5:$J$1004,$O55)))</f>
        <v/>
      </c>
      <c r="K55" s="50">
        <f>IF($O55="","",IF(INDEX(Firms!$K$5:$K$1004,$O55)="","—",INDEX(Firms!$K$5:$K$1004,$O55)))</f>
        <v/>
      </c>
      <c r="L55" s="50">
        <f>IF($O55="","",IF(INDEX(Firms!$L$5:$L$1004,$O55)="","—",INDEX(Firms!$L$5:$L$1004,$O55)))</f>
        <v/>
      </c>
      <c r="M55" s="50">
        <f>IF($O55="","",IF(INDEX(Firms!$M$5:$M$1004,$O55)="","—",INDEX(Firms!$M$5:$M$1004,$O55)))</f>
        <v/>
      </c>
      <c r="O55">
        <f>IFERROR(MATCH(SMALL(Firms!$Y$5:$Y$1004,47),Firms!$W$5:$W$1004,0),"")</f>
        <v/>
      </c>
    </row>
    <row r="56">
      <c r="B56" s="78">
        <f>IF($O56="","",INDEX(Firms!$A$5:$A$1004,$O56))</f>
        <v/>
      </c>
      <c r="C56" s="79">
        <f>IF($O56="","",INDEX(Firms!$N$5:$N$1004,$O56)&amp;"")</f>
        <v/>
      </c>
      <c r="D56" s="79">
        <f>IF($O56="","",INDEX(Firms!$P$5:$P$1004,$O56)&amp;"")</f>
        <v/>
      </c>
      <c r="E56" s="79">
        <f>IF($O56="","",INDEX(Firms!$O$5:$O$1004,$O56)&amp;"")</f>
        <v/>
      </c>
      <c r="F56" s="50">
        <f>IF($O56="","",IF(INDEX(Firms!$F$5:$F$1004,$O56)="","—",INDEX(Firms!$F$5:$F$1004,$O56)))</f>
        <v/>
      </c>
      <c r="G56" s="50">
        <f>IF($O56="","",IF(INDEX(Firms!$G$5:$G$1004,$O56)="","—",INDEX(Firms!$G$5:$G$1004,$O56)))</f>
        <v/>
      </c>
      <c r="H56" s="50">
        <f>IF($O56="","",IF(INDEX(Firms!$H$5:$H$1004,$O56)="","—",INDEX(Firms!$H$5:$H$1004,$O56)))</f>
        <v/>
      </c>
      <c r="I56" s="50">
        <f>IF($O56="","",IF(INDEX(Firms!$I$5:$I$1004,$O56)="","—",INDEX(Firms!$I$5:$I$1004,$O56)))</f>
        <v/>
      </c>
      <c r="J56" s="50">
        <f>IF($O56="","",IF(INDEX(Firms!$J$5:$J$1004,$O56)="","—",INDEX(Firms!$J$5:$J$1004,$O56)))</f>
        <v/>
      </c>
      <c r="K56" s="50">
        <f>IF($O56="","",IF(INDEX(Firms!$K$5:$K$1004,$O56)="","—",INDEX(Firms!$K$5:$K$1004,$O56)))</f>
        <v/>
      </c>
      <c r="L56" s="50">
        <f>IF($O56="","",IF(INDEX(Firms!$L$5:$L$1004,$O56)="","—",INDEX(Firms!$L$5:$L$1004,$O56)))</f>
        <v/>
      </c>
      <c r="M56" s="50">
        <f>IF($O56="","",IF(INDEX(Firms!$M$5:$M$1004,$O56)="","—",INDEX(Firms!$M$5:$M$1004,$O56)))</f>
        <v/>
      </c>
      <c r="O56">
        <f>IFERROR(MATCH(SMALL(Firms!$Y$5:$Y$1004,48),Firms!$W$5:$W$1004,0),"")</f>
        <v/>
      </c>
    </row>
    <row r="57">
      <c r="B57" s="78">
        <f>IF($O57="","",INDEX(Firms!$A$5:$A$1004,$O57))</f>
        <v/>
      </c>
      <c r="C57" s="79">
        <f>IF($O57="","",INDEX(Firms!$N$5:$N$1004,$O57)&amp;"")</f>
        <v/>
      </c>
      <c r="D57" s="79">
        <f>IF($O57="","",INDEX(Firms!$P$5:$P$1004,$O57)&amp;"")</f>
        <v/>
      </c>
      <c r="E57" s="79">
        <f>IF($O57="","",INDEX(Firms!$O$5:$O$1004,$O57)&amp;"")</f>
        <v/>
      </c>
      <c r="F57" s="50">
        <f>IF($O57="","",IF(INDEX(Firms!$F$5:$F$1004,$O57)="","—",INDEX(Firms!$F$5:$F$1004,$O57)))</f>
        <v/>
      </c>
      <c r="G57" s="50">
        <f>IF($O57="","",IF(INDEX(Firms!$G$5:$G$1004,$O57)="","—",INDEX(Firms!$G$5:$G$1004,$O57)))</f>
        <v/>
      </c>
      <c r="H57" s="50">
        <f>IF($O57="","",IF(INDEX(Firms!$H$5:$H$1004,$O57)="","—",INDEX(Firms!$H$5:$H$1004,$O57)))</f>
        <v/>
      </c>
      <c r="I57" s="50">
        <f>IF($O57="","",IF(INDEX(Firms!$I$5:$I$1004,$O57)="","—",INDEX(Firms!$I$5:$I$1004,$O57)))</f>
        <v/>
      </c>
      <c r="J57" s="50">
        <f>IF($O57="","",IF(INDEX(Firms!$J$5:$J$1004,$O57)="","—",INDEX(Firms!$J$5:$J$1004,$O57)))</f>
        <v/>
      </c>
      <c r="K57" s="50">
        <f>IF($O57="","",IF(INDEX(Firms!$K$5:$K$1004,$O57)="","—",INDEX(Firms!$K$5:$K$1004,$O57)))</f>
        <v/>
      </c>
      <c r="L57" s="50">
        <f>IF($O57="","",IF(INDEX(Firms!$L$5:$L$1004,$O57)="","—",INDEX(Firms!$L$5:$L$1004,$O57)))</f>
        <v/>
      </c>
      <c r="M57" s="50">
        <f>IF($O57="","",IF(INDEX(Firms!$M$5:$M$1004,$O57)="","—",INDEX(Firms!$M$5:$M$1004,$O57)))</f>
        <v/>
      </c>
      <c r="O57">
        <f>IFERROR(MATCH(SMALL(Firms!$Y$5:$Y$1004,49),Firms!$W$5:$W$1004,0),"")</f>
        <v/>
      </c>
    </row>
    <row r="58">
      <c r="B58" s="78">
        <f>IF($O58="","",INDEX(Firms!$A$5:$A$1004,$O58))</f>
        <v/>
      </c>
      <c r="C58" s="79">
        <f>IF($O58="","",INDEX(Firms!$N$5:$N$1004,$O58)&amp;"")</f>
        <v/>
      </c>
      <c r="D58" s="79">
        <f>IF($O58="","",INDEX(Firms!$P$5:$P$1004,$O58)&amp;"")</f>
        <v/>
      </c>
      <c r="E58" s="79">
        <f>IF($O58="","",INDEX(Firms!$O$5:$O$1004,$O58)&amp;"")</f>
        <v/>
      </c>
      <c r="F58" s="50">
        <f>IF($O58="","",IF(INDEX(Firms!$F$5:$F$1004,$O58)="","—",INDEX(Firms!$F$5:$F$1004,$O58)))</f>
        <v/>
      </c>
      <c r="G58" s="50">
        <f>IF($O58="","",IF(INDEX(Firms!$G$5:$G$1004,$O58)="","—",INDEX(Firms!$G$5:$G$1004,$O58)))</f>
        <v/>
      </c>
      <c r="H58" s="50">
        <f>IF($O58="","",IF(INDEX(Firms!$H$5:$H$1004,$O58)="","—",INDEX(Firms!$H$5:$H$1004,$O58)))</f>
        <v/>
      </c>
      <c r="I58" s="50">
        <f>IF($O58="","",IF(INDEX(Firms!$I$5:$I$1004,$O58)="","—",INDEX(Firms!$I$5:$I$1004,$O58)))</f>
        <v/>
      </c>
      <c r="J58" s="50">
        <f>IF($O58="","",IF(INDEX(Firms!$J$5:$J$1004,$O58)="","—",INDEX(Firms!$J$5:$J$1004,$O58)))</f>
        <v/>
      </c>
      <c r="K58" s="50">
        <f>IF($O58="","",IF(INDEX(Firms!$K$5:$K$1004,$O58)="","—",INDEX(Firms!$K$5:$K$1004,$O58)))</f>
        <v/>
      </c>
      <c r="L58" s="50">
        <f>IF($O58="","",IF(INDEX(Firms!$L$5:$L$1004,$O58)="","—",INDEX(Firms!$L$5:$L$1004,$O58)))</f>
        <v/>
      </c>
      <c r="M58" s="50">
        <f>IF($O58="","",IF(INDEX(Firms!$M$5:$M$1004,$O58)="","—",INDEX(Firms!$M$5:$M$1004,$O58)))</f>
        <v/>
      </c>
      <c r="O58">
        <f>IFERROR(MATCH(SMALL(Firms!$Y$5:$Y$1004,50),Firms!$W$5:$W$1004,0),"")</f>
        <v/>
      </c>
    </row>
    <row r="59">
      <c r="B59" s="78">
        <f>IF($O59="","",INDEX(Firms!$A$5:$A$1004,$O59))</f>
        <v/>
      </c>
      <c r="C59" s="79">
        <f>IF($O59="","",INDEX(Firms!$N$5:$N$1004,$O59)&amp;"")</f>
        <v/>
      </c>
      <c r="D59" s="79">
        <f>IF($O59="","",INDEX(Firms!$P$5:$P$1004,$O59)&amp;"")</f>
        <v/>
      </c>
      <c r="E59" s="79">
        <f>IF($O59="","",INDEX(Firms!$O$5:$O$1004,$O59)&amp;"")</f>
        <v/>
      </c>
      <c r="F59" s="50">
        <f>IF($O59="","",IF(INDEX(Firms!$F$5:$F$1004,$O59)="","—",INDEX(Firms!$F$5:$F$1004,$O59)))</f>
        <v/>
      </c>
      <c r="G59" s="50">
        <f>IF($O59="","",IF(INDEX(Firms!$G$5:$G$1004,$O59)="","—",INDEX(Firms!$G$5:$G$1004,$O59)))</f>
        <v/>
      </c>
      <c r="H59" s="50">
        <f>IF($O59="","",IF(INDEX(Firms!$H$5:$H$1004,$O59)="","—",INDEX(Firms!$H$5:$H$1004,$O59)))</f>
        <v/>
      </c>
      <c r="I59" s="50">
        <f>IF($O59="","",IF(INDEX(Firms!$I$5:$I$1004,$O59)="","—",INDEX(Firms!$I$5:$I$1004,$O59)))</f>
        <v/>
      </c>
      <c r="J59" s="50">
        <f>IF($O59="","",IF(INDEX(Firms!$J$5:$J$1004,$O59)="","—",INDEX(Firms!$J$5:$J$1004,$O59)))</f>
        <v/>
      </c>
      <c r="K59" s="50">
        <f>IF($O59="","",IF(INDEX(Firms!$K$5:$K$1004,$O59)="","—",INDEX(Firms!$K$5:$K$1004,$O59)))</f>
        <v/>
      </c>
      <c r="L59" s="50">
        <f>IF($O59="","",IF(INDEX(Firms!$L$5:$L$1004,$O59)="","—",INDEX(Firms!$L$5:$L$1004,$O59)))</f>
        <v/>
      </c>
      <c r="M59" s="50">
        <f>IF($O59="","",IF(INDEX(Firms!$M$5:$M$1004,$O59)="","—",INDEX(Firms!$M$5:$M$1004,$O59)))</f>
        <v/>
      </c>
      <c r="O59">
        <f>IFERROR(MATCH(SMALL(Firms!$Y$5:$Y$1004,51),Firms!$W$5:$W$1004,0),"")</f>
        <v/>
      </c>
    </row>
    <row r="60">
      <c r="B60" s="78">
        <f>IF($O60="","",INDEX(Firms!$A$5:$A$1004,$O60))</f>
        <v/>
      </c>
      <c r="C60" s="79">
        <f>IF($O60="","",INDEX(Firms!$N$5:$N$1004,$O60)&amp;"")</f>
        <v/>
      </c>
      <c r="D60" s="79">
        <f>IF($O60="","",INDEX(Firms!$P$5:$P$1004,$O60)&amp;"")</f>
        <v/>
      </c>
      <c r="E60" s="79">
        <f>IF($O60="","",INDEX(Firms!$O$5:$O$1004,$O60)&amp;"")</f>
        <v/>
      </c>
      <c r="F60" s="50">
        <f>IF($O60="","",IF(INDEX(Firms!$F$5:$F$1004,$O60)="","—",INDEX(Firms!$F$5:$F$1004,$O60)))</f>
        <v/>
      </c>
      <c r="G60" s="50">
        <f>IF($O60="","",IF(INDEX(Firms!$G$5:$G$1004,$O60)="","—",INDEX(Firms!$G$5:$G$1004,$O60)))</f>
        <v/>
      </c>
      <c r="H60" s="50">
        <f>IF($O60="","",IF(INDEX(Firms!$H$5:$H$1004,$O60)="","—",INDEX(Firms!$H$5:$H$1004,$O60)))</f>
        <v/>
      </c>
      <c r="I60" s="50">
        <f>IF($O60="","",IF(INDEX(Firms!$I$5:$I$1004,$O60)="","—",INDEX(Firms!$I$5:$I$1004,$O60)))</f>
        <v/>
      </c>
      <c r="J60" s="50">
        <f>IF($O60="","",IF(INDEX(Firms!$J$5:$J$1004,$O60)="","—",INDEX(Firms!$J$5:$J$1004,$O60)))</f>
        <v/>
      </c>
      <c r="K60" s="50">
        <f>IF($O60="","",IF(INDEX(Firms!$K$5:$K$1004,$O60)="","—",INDEX(Firms!$K$5:$K$1004,$O60)))</f>
        <v/>
      </c>
      <c r="L60" s="50">
        <f>IF($O60="","",IF(INDEX(Firms!$L$5:$L$1004,$O60)="","—",INDEX(Firms!$L$5:$L$1004,$O60)))</f>
        <v/>
      </c>
      <c r="M60" s="50">
        <f>IF($O60="","",IF(INDEX(Firms!$M$5:$M$1004,$O60)="","—",INDEX(Firms!$M$5:$M$1004,$O60)))</f>
        <v/>
      </c>
      <c r="O60">
        <f>IFERROR(MATCH(SMALL(Firms!$Y$5:$Y$1004,52),Firms!$W$5:$W$1004,0),"")</f>
        <v/>
      </c>
    </row>
    <row r="61">
      <c r="B61" s="78">
        <f>IF($O61="","",INDEX(Firms!$A$5:$A$1004,$O61))</f>
        <v/>
      </c>
      <c r="C61" s="79">
        <f>IF($O61="","",INDEX(Firms!$N$5:$N$1004,$O61)&amp;"")</f>
        <v/>
      </c>
      <c r="D61" s="79">
        <f>IF($O61="","",INDEX(Firms!$P$5:$P$1004,$O61)&amp;"")</f>
        <v/>
      </c>
      <c r="E61" s="79">
        <f>IF($O61="","",INDEX(Firms!$O$5:$O$1004,$O61)&amp;"")</f>
        <v/>
      </c>
      <c r="F61" s="50">
        <f>IF($O61="","",IF(INDEX(Firms!$F$5:$F$1004,$O61)="","—",INDEX(Firms!$F$5:$F$1004,$O61)))</f>
        <v/>
      </c>
      <c r="G61" s="50">
        <f>IF($O61="","",IF(INDEX(Firms!$G$5:$G$1004,$O61)="","—",INDEX(Firms!$G$5:$G$1004,$O61)))</f>
        <v/>
      </c>
      <c r="H61" s="50">
        <f>IF($O61="","",IF(INDEX(Firms!$H$5:$H$1004,$O61)="","—",INDEX(Firms!$H$5:$H$1004,$O61)))</f>
        <v/>
      </c>
      <c r="I61" s="50">
        <f>IF($O61="","",IF(INDEX(Firms!$I$5:$I$1004,$O61)="","—",INDEX(Firms!$I$5:$I$1004,$O61)))</f>
        <v/>
      </c>
      <c r="J61" s="50">
        <f>IF($O61="","",IF(INDEX(Firms!$J$5:$J$1004,$O61)="","—",INDEX(Firms!$J$5:$J$1004,$O61)))</f>
        <v/>
      </c>
      <c r="K61" s="50">
        <f>IF($O61="","",IF(INDEX(Firms!$K$5:$K$1004,$O61)="","—",INDEX(Firms!$K$5:$K$1004,$O61)))</f>
        <v/>
      </c>
      <c r="L61" s="50">
        <f>IF($O61="","",IF(INDEX(Firms!$L$5:$L$1004,$O61)="","—",INDEX(Firms!$L$5:$L$1004,$O61)))</f>
        <v/>
      </c>
      <c r="M61" s="50">
        <f>IF($O61="","",IF(INDEX(Firms!$M$5:$M$1004,$O61)="","—",INDEX(Firms!$M$5:$M$1004,$O61)))</f>
        <v/>
      </c>
      <c r="O61">
        <f>IFERROR(MATCH(SMALL(Firms!$Y$5:$Y$1004,53),Firms!$W$5:$W$1004,0),"")</f>
        <v/>
      </c>
    </row>
    <row r="62">
      <c r="B62" s="78">
        <f>IF($O62="","",INDEX(Firms!$A$5:$A$1004,$O62))</f>
        <v/>
      </c>
      <c r="C62" s="79">
        <f>IF($O62="","",INDEX(Firms!$N$5:$N$1004,$O62)&amp;"")</f>
        <v/>
      </c>
      <c r="D62" s="79">
        <f>IF($O62="","",INDEX(Firms!$P$5:$P$1004,$O62)&amp;"")</f>
        <v/>
      </c>
      <c r="E62" s="79">
        <f>IF($O62="","",INDEX(Firms!$O$5:$O$1004,$O62)&amp;"")</f>
        <v/>
      </c>
      <c r="F62" s="50">
        <f>IF($O62="","",IF(INDEX(Firms!$F$5:$F$1004,$O62)="","—",INDEX(Firms!$F$5:$F$1004,$O62)))</f>
        <v/>
      </c>
      <c r="G62" s="50">
        <f>IF($O62="","",IF(INDEX(Firms!$G$5:$G$1004,$O62)="","—",INDEX(Firms!$G$5:$G$1004,$O62)))</f>
        <v/>
      </c>
      <c r="H62" s="50">
        <f>IF($O62="","",IF(INDEX(Firms!$H$5:$H$1004,$O62)="","—",INDEX(Firms!$H$5:$H$1004,$O62)))</f>
        <v/>
      </c>
      <c r="I62" s="50">
        <f>IF($O62="","",IF(INDEX(Firms!$I$5:$I$1004,$O62)="","—",INDEX(Firms!$I$5:$I$1004,$O62)))</f>
        <v/>
      </c>
      <c r="J62" s="50">
        <f>IF($O62="","",IF(INDEX(Firms!$J$5:$J$1004,$O62)="","—",INDEX(Firms!$J$5:$J$1004,$O62)))</f>
        <v/>
      </c>
      <c r="K62" s="50">
        <f>IF($O62="","",IF(INDEX(Firms!$K$5:$K$1004,$O62)="","—",INDEX(Firms!$K$5:$K$1004,$O62)))</f>
        <v/>
      </c>
      <c r="L62" s="50">
        <f>IF($O62="","",IF(INDEX(Firms!$L$5:$L$1004,$O62)="","—",INDEX(Firms!$L$5:$L$1004,$O62)))</f>
        <v/>
      </c>
      <c r="M62" s="50">
        <f>IF($O62="","",IF(INDEX(Firms!$M$5:$M$1004,$O62)="","—",INDEX(Firms!$M$5:$M$1004,$O62)))</f>
        <v/>
      </c>
      <c r="O62">
        <f>IFERROR(MATCH(SMALL(Firms!$Y$5:$Y$1004,54),Firms!$W$5:$W$1004,0),"")</f>
        <v/>
      </c>
    </row>
    <row r="63">
      <c r="B63" s="78">
        <f>IF($O63="","",INDEX(Firms!$A$5:$A$1004,$O63))</f>
        <v/>
      </c>
      <c r="C63" s="79">
        <f>IF($O63="","",INDEX(Firms!$N$5:$N$1004,$O63)&amp;"")</f>
        <v/>
      </c>
      <c r="D63" s="79">
        <f>IF($O63="","",INDEX(Firms!$P$5:$P$1004,$O63)&amp;"")</f>
        <v/>
      </c>
      <c r="E63" s="79">
        <f>IF($O63="","",INDEX(Firms!$O$5:$O$1004,$O63)&amp;"")</f>
        <v/>
      </c>
      <c r="F63" s="50">
        <f>IF($O63="","",IF(INDEX(Firms!$F$5:$F$1004,$O63)="","—",INDEX(Firms!$F$5:$F$1004,$O63)))</f>
        <v/>
      </c>
      <c r="G63" s="50">
        <f>IF($O63="","",IF(INDEX(Firms!$G$5:$G$1004,$O63)="","—",INDEX(Firms!$G$5:$G$1004,$O63)))</f>
        <v/>
      </c>
      <c r="H63" s="50">
        <f>IF($O63="","",IF(INDEX(Firms!$H$5:$H$1004,$O63)="","—",INDEX(Firms!$H$5:$H$1004,$O63)))</f>
        <v/>
      </c>
      <c r="I63" s="50">
        <f>IF($O63="","",IF(INDEX(Firms!$I$5:$I$1004,$O63)="","—",INDEX(Firms!$I$5:$I$1004,$O63)))</f>
        <v/>
      </c>
      <c r="J63" s="50">
        <f>IF($O63="","",IF(INDEX(Firms!$J$5:$J$1004,$O63)="","—",INDEX(Firms!$J$5:$J$1004,$O63)))</f>
        <v/>
      </c>
      <c r="K63" s="50">
        <f>IF($O63="","",IF(INDEX(Firms!$K$5:$K$1004,$O63)="","—",INDEX(Firms!$K$5:$K$1004,$O63)))</f>
        <v/>
      </c>
      <c r="L63" s="50">
        <f>IF($O63="","",IF(INDEX(Firms!$L$5:$L$1004,$O63)="","—",INDEX(Firms!$L$5:$L$1004,$O63)))</f>
        <v/>
      </c>
      <c r="M63" s="50">
        <f>IF($O63="","",IF(INDEX(Firms!$M$5:$M$1004,$O63)="","—",INDEX(Firms!$M$5:$M$1004,$O63)))</f>
        <v/>
      </c>
      <c r="O63">
        <f>IFERROR(MATCH(SMALL(Firms!$Y$5:$Y$1004,55),Firms!$W$5:$W$1004,0),"")</f>
        <v/>
      </c>
    </row>
    <row r="64">
      <c r="B64" s="78">
        <f>IF($O64="","",INDEX(Firms!$A$5:$A$1004,$O64))</f>
        <v/>
      </c>
      <c r="C64" s="79">
        <f>IF($O64="","",INDEX(Firms!$N$5:$N$1004,$O64)&amp;"")</f>
        <v/>
      </c>
      <c r="D64" s="79">
        <f>IF($O64="","",INDEX(Firms!$P$5:$P$1004,$O64)&amp;"")</f>
        <v/>
      </c>
      <c r="E64" s="79">
        <f>IF($O64="","",INDEX(Firms!$O$5:$O$1004,$O64)&amp;"")</f>
        <v/>
      </c>
      <c r="F64" s="50">
        <f>IF($O64="","",IF(INDEX(Firms!$F$5:$F$1004,$O64)="","—",INDEX(Firms!$F$5:$F$1004,$O64)))</f>
        <v/>
      </c>
      <c r="G64" s="50">
        <f>IF($O64="","",IF(INDEX(Firms!$G$5:$G$1004,$O64)="","—",INDEX(Firms!$G$5:$G$1004,$O64)))</f>
        <v/>
      </c>
      <c r="H64" s="50">
        <f>IF($O64="","",IF(INDEX(Firms!$H$5:$H$1004,$O64)="","—",INDEX(Firms!$H$5:$H$1004,$O64)))</f>
        <v/>
      </c>
      <c r="I64" s="50">
        <f>IF($O64="","",IF(INDEX(Firms!$I$5:$I$1004,$O64)="","—",INDEX(Firms!$I$5:$I$1004,$O64)))</f>
        <v/>
      </c>
      <c r="J64" s="50">
        <f>IF($O64="","",IF(INDEX(Firms!$J$5:$J$1004,$O64)="","—",INDEX(Firms!$J$5:$J$1004,$O64)))</f>
        <v/>
      </c>
      <c r="K64" s="50">
        <f>IF($O64="","",IF(INDEX(Firms!$K$5:$K$1004,$O64)="","—",INDEX(Firms!$K$5:$K$1004,$O64)))</f>
        <v/>
      </c>
      <c r="L64" s="50">
        <f>IF($O64="","",IF(INDEX(Firms!$L$5:$L$1004,$O64)="","—",INDEX(Firms!$L$5:$L$1004,$O64)))</f>
        <v/>
      </c>
      <c r="M64" s="50">
        <f>IF($O64="","",IF(INDEX(Firms!$M$5:$M$1004,$O64)="","—",INDEX(Firms!$M$5:$M$1004,$O64)))</f>
        <v/>
      </c>
      <c r="O64">
        <f>IFERROR(MATCH(SMALL(Firms!$Y$5:$Y$1004,56),Firms!$W$5:$W$1004,0),"")</f>
        <v/>
      </c>
    </row>
    <row r="65">
      <c r="B65" s="78">
        <f>IF($O65="","",INDEX(Firms!$A$5:$A$1004,$O65))</f>
        <v/>
      </c>
      <c r="C65" s="79">
        <f>IF($O65="","",INDEX(Firms!$N$5:$N$1004,$O65)&amp;"")</f>
        <v/>
      </c>
      <c r="D65" s="79">
        <f>IF($O65="","",INDEX(Firms!$P$5:$P$1004,$O65)&amp;"")</f>
        <v/>
      </c>
      <c r="E65" s="79">
        <f>IF($O65="","",INDEX(Firms!$O$5:$O$1004,$O65)&amp;"")</f>
        <v/>
      </c>
      <c r="F65" s="50">
        <f>IF($O65="","",IF(INDEX(Firms!$F$5:$F$1004,$O65)="","—",INDEX(Firms!$F$5:$F$1004,$O65)))</f>
        <v/>
      </c>
      <c r="G65" s="50">
        <f>IF($O65="","",IF(INDEX(Firms!$G$5:$G$1004,$O65)="","—",INDEX(Firms!$G$5:$G$1004,$O65)))</f>
        <v/>
      </c>
      <c r="H65" s="50">
        <f>IF($O65="","",IF(INDEX(Firms!$H$5:$H$1004,$O65)="","—",INDEX(Firms!$H$5:$H$1004,$O65)))</f>
        <v/>
      </c>
      <c r="I65" s="50">
        <f>IF($O65="","",IF(INDEX(Firms!$I$5:$I$1004,$O65)="","—",INDEX(Firms!$I$5:$I$1004,$O65)))</f>
        <v/>
      </c>
      <c r="J65" s="50">
        <f>IF($O65="","",IF(INDEX(Firms!$J$5:$J$1004,$O65)="","—",INDEX(Firms!$J$5:$J$1004,$O65)))</f>
        <v/>
      </c>
      <c r="K65" s="50">
        <f>IF($O65="","",IF(INDEX(Firms!$K$5:$K$1004,$O65)="","—",INDEX(Firms!$K$5:$K$1004,$O65)))</f>
        <v/>
      </c>
      <c r="L65" s="50">
        <f>IF($O65="","",IF(INDEX(Firms!$L$5:$L$1004,$O65)="","—",INDEX(Firms!$L$5:$L$1004,$O65)))</f>
        <v/>
      </c>
      <c r="M65" s="50">
        <f>IF($O65="","",IF(INDEX(Firms!$M$5:$M$1004,$O65)="","—",INDEX(Firms!$M$5:$M$1004,$O65)))</f>
        <v/>
      </c>
      <c r="O65">
        <f>IFERROR(MATCH(SMALL(Firms!$Y$5:$Y$1004,57),Firms!$W$5:$W$1004,0),"")</f>
        <v/>
      </c>
    </row>
    <row r="66">
      <c r="B66" s="78">
        <f>IF($O66="","",INDEX(Firms!$A$5:$A$1004,$O66))</f>
        <v/>
      </c>
      <c r="C66" s="79">
        <f>IF($O66="","",INDEX(Firms!$N$5:$N$1004,$O66)&amp;"")</f>
        <v/>
      </c>
      <c r="D66" s="79">
        <f>IF($O66="","",INDEX(Firms!$P$5:$P$1004,$O66)&amp;"")</f>
        <v/>
      </c>
      <c r="E66" s="79">
        <f>IF($O66="","",INDEX(Firms!$O$5:$O$1004,$O66)&amp;"")</f>
        <v/>
      </c>
      <c r="F66" s="50">
        <f>IF($O66="","",IF(INDEX(Firms!$F$5:$F$1004,$O66)="","—",INDEX(Firms!$F$5:$F$1004,$O66)))</f>
        <v/>
      </c>
      <c r="G66" s="50">
        <f>IF($O66="","",IF(INDEX(Firms!$G$5:$G$1004,$O66)="","—",INDEX(Firms!$G$5:$G$1004,$O66)))</f>
        <v/>
      </c>
      <c r="H66" s="50">
        <f>IF($O66="","",IF(INDEX(Firms!$H$5:$H$1004,$O66)="","—",INDEX(Firms!$H$5:$H$1004,$O66)))</f>
        <v/>
      </c>
      <c r="I66" s="50">
        <f>IF($O66="","",IF(INDEX(Firms!$I$5:$I$1004,$O66)="","—",INDEX(Firms!$I$5:$I$1004,$O66)))</f>
        <v/>
      </c>
      <c r="J66" s="50">
        <f>IF($O66="","",IF(INDEX(Firms!$J$5:$J$1004,$O66)="","—",INDEX(Firms!$J$5:$J$1004,$O66)))</f>
        <v/>
      </c>
      <c r="K66" s="50">
        <f>IF($O66="","",IF(INDEX(Firms!$K$5:$K$1004,$O66)="","—",INDEX(Firms!$K$5:$K$1004,$O66)))</f>
        <v/>
      </c>
      <c r="L66" s="50">
        <f>IF($O66="","",IF(INDEX(Firms!$L$5:$L$1004,$O66)="","—",INDEX(Firms!$L$5:$L$1004,$O66)))</f>
        <v/>
      </c>
      <c r="M66" s="50">
        <f>IF($O66="","",IF(INDEX(Firms!$M$5:$M$1004,$O66)="","—",INDEX(Firms!$M$5:$M$1004,$O66)))</f>
        <v/>
      </c>
      <c r="O66">
        <f>IFERROR(MATCH(SMALL(Firms!$Y$5:$Y$1004,58),Firms!$W$5:$W$1004,0),"")</f>
        <v/>
      </c>
    </row>
    <row r="67">
      <c r="B67" s="78">
        <f>IF($O67="","",INDEX(Firms!$A$5:$A$1004,$O67))</f>
        <v/>
      </c>
      <c r="C67" s="79">
        <f>IF($O67="","",INDEX(Firms!$N$5:$N$1004,$O67)&amp;"")</f>
        <v/>
      </c>
      <c r="D67" s="79">
        <f>IF($O67="","",INDEX(Firms!$P$5:$P$1004,$O67)&amp;"")</f>
        <v/>
      </c>
      <c r="E67" s="79">
        <f>IF($O67="","",INDEX(Firms!$O$5:$O$1004,$O67)&amp;"")</f>
        <v/>
      </c>
      <c r="F67" s="50">
        <f>IF($O67="","",IF(INDEX(Firms!$F$5:$F$1004,$O67)="","—",INDEX(Firms!$F$5:$F$1004,$O67)))</f>
        <v/>
      </c>
      <c r="G67" s="50">
        <f>IF($O67="","",IF(INDEX(Firms!$G$5:$G$1004,$O67)="","—",INDEX(Firms!$G$5:$G$1004,$O67)))</f>
        <v/>
      </c>
      <c r="H67" s="50">
        <f>IF($O67="","",IF(INDEX(Firms!$H$5:$H$1004,$O67)="","—",INDEX(Firms!$H$5:$H$1004,$O67)))</f>
        <v/>
      </c>
      <c r="I67" s="50">
        <f>IF($O67="","",IF(INDEX(Firms!$I$5:$I$1004,$O67)="","—",INDEX(Firms!$I$5:$I$1004,$O67)))</f>
        <v/>
      </c>
      <c r="J67" s="50">
        <f>IF($O67="","",IF(INDEX(Firms!$J$5:$J$1004,$O67)="","—",INDEX(Firms!$J$5:$J$1004,$O67)))</f>
        <v/>
      </c>
      <c r="K67" s="50">
        <f>IF($O67="","",IF(INDEX(Firms!$K$5:$K$1004,$O67)="","—",INDEX(Firms!$K$5:$K$1004,$O67)))</f>
        <v/>
      </c>
      <c r="L67" s="50">
        <f>IF($O67="","",IF(INDEX(Firms!$L$5:$L$1004,$O67)="","—",INDEX(Firms!$L$5:$L$1004,$O67)))</f>
        <v/>
      </c>
      <c r="M67" s="50">
        <f>IF($O67="","",IF(INDEX(Firms!$M$5:$M$1004,$O67)="","—",INDEX(Firms!$M$5:$M$1004,$O67)))</f>
        <v/>
      </c>
      <c r="O67">
        <f>IFERROR(MATCH(SMALL(Firms!$Y$5:$Y$1004,59),Firms!$W$5:$W$1004,0),"")</f>
        <v/>
      </c>
    </row>
    <row r="68">
      <c r="B68" s="78">
        <f>IF($O68="","",INDEX(Firms!$A$5:$A$1004,$O68))</f>
        <v/>
      </c>
      <c r="C68" s="79">
        <f>IF($O68="","",INDEX(Firms!$N$5:$N$1004,$O68)&amp;"")</f>
        <v/>
      </c>
      <c r="D68" s="79">
        <f>IF($O68="","",INDEX(Firms!$P$5:$P$1004,$O68)&amp;"")</f>
        <v/>
      </c>
      <c r="E68" s="79">
        <f>IF($O68="","",INDEX(Firms!$O$5:$O$1004,$O68)&amp;"")</f>
        <v/>
      </c>
      <c r="F68" s="50">
        <f>IF($O68="","",IF(INDEX(Firms!$F$5:$F$1004,$O68)="","—",INDEX(Firms!$F$5:$F$1004,$O68)))</f>
        <v/>
      </c>
      <c r="G68" s="50">
        <f>IF($O68="","",IF(INDEX(Firms!$G$5:$G$1004,$O68)="","—",INDEX(Firms!$G$5:$G$1004,$O68)))</f>
        <v/>
      </c>
      <c r="H68" s="50">
        <f>IF($O68="","",IF(INDEX(Firms!$H$5:$H$1004,$O68)="","—",INDEX(Firms!$H$5:$H$1004,$O68)))</f>
        <v/>
      </c>
      <c r="I68" s="50">
        <f>IF($O68="","",IF(INDEX(Firms!$I$5:$I$1004,$O68)="","—",INDEX(Firms!$I$5:$I$1004,$O68)))</f>
        <v/>
      </c>
      <c r="J68" s="50">
        <f>IF($O68="","",IF(INDEX(Firms!$J$5:$J$1004,$O68)="","—",INDEX(Firms!$J$5:$J$1004,$O68)))</f>
        <v/>
      </c>
      <c r="K68" s="50">
        <f>IF($O68="","",IF(INDEX(Firms!$K$5:$K$1004,$O68)="","—",INDEX(Firms!$K$5:$K$1004,$O68)))</f>
        <v/>
      </c>
      <c r="L68" s="50">
        <f>IF($O68="","",IF(INDEX(Firms!$L$5:$L$1004,$O68)="","—",INDEX(Firms!$L$5:$L$1004,$O68)))</f>
        <v/>
      </c>
      <c r="M68" s="50">
        <f>IF($O68="","",IF(INDEX(Firms!$M$5:$M$1004,$O68)="","—",INDEX(Firms!$M$5:$M$1004,$O68)))</f>
        <v/>
      </c>
      <c r="O68">
        <f>IFERROR(MATCH(SMALL(Firms!$Y$5:$Y$1004,60),Firms!$W$5:$W$1004,0),"")</f>
        <v/>
      </c>
    </row>
    <row r="69">
      <c r="B69" s="78">
        <f>IF($O69="","",INDEX(Firms!$A$5:$A$1004,$O69))</f>
        <v/>
      </c>
      <c r="C69" s="79">
        <f>IF($O69="","",INDEX(Firms!$N$5:$N$1004,$O69)&amp;"")</f>
        <v/>
      </c>
      <c r="D69" s="79">
        <f>IF($O69="","",INDEX(Firms!$P$5:$P$1004,$O69)&amp;"")</f>
        <v/>
      </c>
      <c r="E69" s="79">
        <f>IF($O69="","",INDEX(Firms!$O$5:$O$1004,$O69)&amp;"")</f>
        <v/>
      </c>
      <c r="F69" s="50">
        <f>IF($O69="","",IF(INDEX(Firms!$F$5:$F$1004,$O69)="","—",INDEX(Firms!$F$5:$F$1004,$O69)))</f>
        <v/>
      </c>
      <c r="G69" s="50">
        <f>IF($O69="","",IF(INDEX(Firms!$G$5:$G$1004,$O69)="","—",INDEX(Firms!$G$5:$G$1004,$O69)))</f>
        <v/>
      </c>
      <c r="H69" s="50">
        <f>IF($O69="","",IF(INDEX(Firms!$H$5:$H$1004,$O69)="","—",INDEX(Firms!$H$5:$H$1004,$O69)))</f>
        <v/>
      </c>
      <c r="I69" s="50">
        <f>IF($O69="","",IF(INDEX(Firms!$I$5:$I$1004,$O69)="","—",INDEX(Firms!$I$5:$I$1004,$O69)))</f>
        <v/>
      </c>
      <c r="J69" s="50">
        <f>IF($O69="","",IF(INDEX(Firms!$J$5:$J$1004,$O69)="","—",INDEX(Firms!$J$5:$J$1004,$O69)))</f>
        <v/>
      </c>
      <c r="K69" s="50">
        <f>IF($O69="","",IF(INDEX(Firms!$K$5:$K$1004,$O69)="","—",INDEX(Firms!$K$5:$K$1004,$O69)))</f>
        <v/>
      </c>
      <c r="L69" s="50">
        <f>IF($O69="","",IF(INDEX(Firms!$L$5:$L$1004,$O69)="","—",INDEX(Firms!$L$5:$L$1004,$O69)))</f>
        <v/>
      </c>
      <c r="M69" s="50">
        <f>IF($O69="","",IF(INDEX(Firms!$M$5:$M$1004,$O69)="","—",INDEX(Firms!$M$5:$M$1004,$O69)))</f>
        <v/>
      </c>
      <c r="O69">
        <f>IFERROR(MATCH(SMALL(Firms!$Y$5:$Y$1004,61),Firms!$W$5:$W$1004,0),"")</f>
        <v/>
      </c>
    </row>
    <row r="70">
      <c r="B70" s="78">
        <f>IF($O70="","",INDEX(Firms!$A$5:$A$1004,$O70))</f>
        <v/>
      </c>
      <c r="C70" s="79">
        <f>IF($O70="","",INDEX(Firms!$N$5:$N$1004,$O70)&amp;"")</f>
        <v/>
      </c>
      <c r="D70" s="79">
        <f>IF($O70="","",INDEX(Firms!$P$5:$P$1004,$O70)&amp;"")</f>
        <v/>
      </c>
      <c r="E70" s="79">
        <f>IF($O70="","",INDEX(Firms!$O$5:$O$1004,$O70)&amp;"")</f>
        <v/>
      </c>
      <c r="F70" s="50">
        <f>IF($O70="","",IF(INDEX(Firms!$F$5:$F$1004,$O70)="","—",INDEX(Firms!$F$5:$F$1004,$O70)))</f>
        <v/>
      </c>
      <c r="G70" s="50">
        <f>IF($O70="","",IF(INDEX(Firms!$G$5:$G$1004,$O70)="","—",INDEX(Firms!$G$5:$G$1004,$O70)))</f>
        <v/>
      </c>
      <c r="H70" s="50">
        <f>IF($O70="","",IF(INDEX(Firms!$H$5:$H$1004,$O70)="","—",INDEX(Firms!$H$5:$H$1004,$O70)))</f>
        <v/>
      </c>
      <c r="I70" s="50">
        <f>IF($O70="","",IF(INDEX(Firms!$I$5:$I$1004,$O70)="","—",INDEX(Firms!$I$5:$I$1004,$O70)))</f>
        <v/>
      </c>
      <c r="J70" s="50">
        <f>IF($O70="","",IF(INDEX(Firms!$J$5:$J$1004,$O70)="","—",INDEX(Firms!$J$5:$J$1004,$O70)))</f>
        <v/>
      </c>
      <c r="K70" s="50">
        <f>IF($O70="","",IF(INDEX(Firms!$K$5:$K$1004,$O70)="","—",INDEX(Firms!$K$5:$K$1004,$O70)))</f>
        <v/>
      </c>
      <c r="L70" s="50">
        <f>IF($O70="","",IF(INDEX(Firms!$L$5:$L$1004,$O70)="","—",INDEX(Firms!$L$5:$L$1004,$O70)))</f>
        <v/>
      </c>
      <c r="M70" s="50">
        <f>IF($O70="","",IF(INDEX(Firms!$M$5:$M$1004,$O70)="","—",INDEX(Firms!$M$5:$M$1004,$O70)))</f>
        <v/>
      </c>
      <c r="O70">
        <f>IFERROR(MATCH(SMALL(Firms!$Y$5:$Y$1004,62),Firms!$W$5:$W$1004,0),"")</f>
        <v/>
      </c>
    </row>
    <row r="71">
      <c r="B71" s="78">
        <f>IF($O71="","",INDEX(Firms!$A$5:$A$1004,$O71))</f>
        <v/>
      </c>
      <c r="C71" s="79">
        <f>IF($O71="","",INDEX(Firms!$N$5:$N$1004,$O71)&amp;"")</f>
        <v/>
      </c>
      <c r="D71" s="79">
        <f>IF($O71="","",INDEX(Firms!$P$5:$P$1004,$O71)&amp;"")</f>
        <v/>
      </c>
      <c r="E71" s="79">
        <f>IF($O71="","",INDEX(Firms!$O$5:$O$1004,$O71)&amp;"")</f>
        <v/>
      </c>
      <c r="F71" s="50">
        <f>IF($O71="","",IF(INDEX(Firms!$F$5:$F$1004,$O71)="","—",INDEX(Firms!$F$5:$F$1004,$O71)))</f>
        <v/>
      </c>
      <c r="G71" s="50">
        <f>IF($O71="","",IF(INDEX(Firms!$G$5:$G$1004,$O71)="","—",INDEX(Firms!$G$5:$G$1004,$O71)))</f>
        <v/>
      </c>
      <c r="H71" s="50">
        <f>IF($O71="","",IF(INDEX(Firms!$H$5:$H$1004,$O71)="","—",INDEX(Firms!$H$5:$H$1004,$O71)))</f>
        <v/>
      </c>
      <c r="I71" s="50">
        <f>IF($O71="","",IF(INDEX(Firms!$I$5:$I$1004,$O71)="","—",INDEX(Firms!$I$5:$I$1004,$O71)))</f>
        <v/>
      </c>
      <c r="J71" s="50">
        <f>IF($O71="","",IF(INDEX(Firms!$J$5:$J$1004,$O71)="","—",INDEX(Firms!$J$5:$J$1004,$O71)))</f>
        <v/>
      </c>
      <c r="K71" s="50">
        <f>IF($O71="","",IF(INDEX(Firms!$K$5:$K$1004,$O71)="","—",INDEX(Firms!$K$5:$K$1004,$O71)))</f>
        <v/>
      </c>
      <c r="L71" s="50">
        <f>IF($O71="","",IF(INDEX(Firms!$L$5:$L$1004,$O71)="","—",INDEX(Firms!$L$5:$L$1004,$O71)))</f>
        <v/>
      </c>
      <c r="M71" s="50">
        <f>IF($O71="","",IF(INDEX(Firms!$M$5:$M$1004,$O71)="","—",INDEX(Firms!$M$5:$M$1004,$O71)))</f>
        <v/>
      </c>
      <c r="O71">
        <f>IFERROR(MATCH(SMALL(Firms!$Y$5:$Y$1004,63),Firms!$W$5:$W$1004,0),"")</f>
        <v/>
      </c>
    </row>
    <row r="72">
      <c r="B72" s="78">
        <f>IF($O72="","",INDEX(Firms!$A$5:$A$1004,$O72))</f>
        <v/>
      </c>
      <c r="C72" s="79">
        <f>IF($O72="","",INDEX(Firms!$N$5:$N$1004,$O72)&amp;"")</f>
        <v/>
      </c>
      <c r="D72" s="79">
        <f>IF($O72="","",INDEX(Firms!$P$5:$P$1004,$O72)&amp;"")</f>
        <v/>
      </c>
      <c r="E72" s="79">
        <f>IF($O72="","",INDEX(Firms!$O$5:$O$1004,$O72)&amp;"")</f>
        <v/>
      </c>
      <c r="F72" s="50">
        <f>IF($O72="","",IF(INDEX(Firms!$F$5:$F$1004,$O72)="","—",INDEX(Firms!$F$5:$F$1004,$O72)))</f>
        <v/>
      </c>
      <c r="G72" s="50">
        <f>IF($O72="","",IF(INDEX(Firms!$G$5:$G$1004,$O72)="","—",INDEX(Firms!$G$5:$G$1004,$O72)))</f>
        <v/>
      </c>
      <c r="H72" s="50">
        <f>IF($O72="","",IF(INDEX(Firms!$H$5:$H$1004,$O72)="","—",INDEX(Firms!$H$5:$H$1004,$O72)))</f>
        <v/>
      </c>
      <c r="I72" s="50">
        <f>IF($O72="","",IF(INDEX(Firms!$I$5:$I$1004,$O72)="","—",INDEX(Firms!$I$5:$I$1004,$O72)))</f>
        <v/>
      </c>
      <c r="J72" s="50">
        <f>IF($O72="","",IF(INDEX(Firms!$J$5:$J$1004,$O72)="","—",INDEX(Firms!$J$5:$J$1004,$O72)))</f>
        <v/>
      </c>
      <c r="K72" s="50">
        <f>IF($O72="","",IF(INDEX(Firms!$K$5:$K$1004,$O72)="","—",INDEX(Firms!$K$5:$K$1004,$O72)))</f>
        <v/>
      </c>
      <c r="L72" s="50">
        <f>IF($O72="","",IF(INDEX(Firms!$L$5:$L$1004,$O72)="","—",INDEX(Firms!$L$5:$L$1004,$O72)))</f>
        <v/>
      </c>
      <c r="M72" s="50">
        <f>IF($O72="","",IF(INDEX(Firms!$M$5:$M$1004,$O72)="","—",INDEX(Firms!$M$5:$M$1004,$O72)))</f>
        <v/>
      </c>
      <c r="O72">
        <f>IFERROR(MATCH(SMALL(Firms!$Y$5:$Y$1004,64),Firms!$W$5:$W$1004,0),"")</f>
        <v/>
      </c>
    </row>
    <row r="73">
      <c r="B73" s="78">
        <f>IF($O73="","",INDEX(Firms!$A$5:$A$1004,$O73))</f>
        <v/>
      </c>
      <c r="C73" s="79">
        <f>IF($O73="","",INDEX(Firms!$N$5:$N$1004,$O73)&amp;"")</f>
        <v/>
      </c>
      <c r="D73" s="79">
        <f>IF($O73="","",INDEX(Firms!$P$5:$P$1004,$O73)&amp;"")</f>
        <v/>
      </c>
      <c r="E73" s="79">
        <f>IF($O73="","",INDEX(Firms!$O$5:$O$1004,$O73)&amp;"")</f>
        <v/>
      </c>
      <c r="F73" s="50">
        <f>IF($O73="","",IF(INDEX(Firms!$F$5:$F$1004,$O73)="","—",INDEX(Firms!$F$5:$F$1004,$O73)))</f>
        <v/>
      </c>
      <c r="G73" s="50">
        <f>IF($O73="","",IF(INDEX(Firms!$G$5:$G$1004,$O73)="","—",INDEX(Firms!$G$5:$G$1004,$O73)))</f>
        <v/>
      </c>
      <c r="H73" s="50">
        <f>IF($O73="","",IF(INDEX(Firms!$H$5:$H$1004,$O73)="","—",INDEX(Firms!$H$5:$H$1004,$O73)))</f>
        <v/>
      </c>
      <c r="I73" s="50">
        <f>IF($O73="","",IF(INDEX(Firms!$I$5:$I$1004,$O73)="","—",INDEX(Firms!$I$5:$I$1004,$O73)))</f>
        <v/>
      </c>
      <c r="J73" s="50">
        <f>IF($O73="","",IF(INDEX(Firms!$J$5:$J$1004,$O73)="","—",INDEX(Firms!$J$5:$J$1004,$O73)))</f>
        <v/>
      </c>
      <c r="K73" s="50">
        <f>IF($O73="","",IF(INDEX(Firms!$K$5:$K$1004,$O73)="","—",INDEX(Firms!$K$5:$K$1004,$O73)))</f>
        <v/>
      </c>
      <c r="L73" s="50">
        <f>IF($O73="","",IF(INDEX(Firms!$L$5:$L$1004,$O73)="","—",INDEX(Firms!$L$5:$L$1004,$O73)))</f>
        <v/>
      </c>
      <c r="M73" s="50">
        <f>IF($O73="","",IF(INDEX(Firms!$M$5:$M$1004,$O73)="","—",INDEX(Firms!$M$5:$M$1004,$O73)))</f>
        <v/>
      </c>
      <c r="O73">
        <f>IFERROR(MATCH(SMALL(Firms!$Y$5:$Y$1004,65),Firms!$W$5:$W$1004,0),"")</f>
        <v/>
      </c>
    </row>
    <row r="74">
      <c r="B74" s="78">
        <f>IF($O74="","",INDEX(Firms!$A$5:$A$1004,$O74))</f>
        <v/>
      </c>
      <c r="C74" s="79">
        <f>IF($O74="","",INDEX(Firms!$N$5:$N$1004,$O74)&amp;"")</f>
        <v/>
      </c>
      <c r="D74" s="79">
        <f>IF($O74="","",INDEX(Firms!$P$5:$P$1004,$O74)&amp;"")</f>
        <v/>
      </c>
      <c r="E74" s="79">
        <f>IF($O74="","",INDEX(Firms!$O$5:$O$1004,$O74)&amp;"")</f>
        <v/>
      </c>
      <c r="F74" s="50">
        <f>IF($O74="","",IF(INDEX(Firms!$F$5:$F$1004,$O74)="","—",INDEX(Firms!$F$5:$F$1004,$O74)))</f>
        <v/>
      </c>
      <c r="G74" s="50">
        <f>IF($O74="","",IF(INDEX(Firms!$G$5:$G$1004,$O74)="","—",INDEX(Firms!$G$5:$G$1004,$O74)))</f>
        <v/>
      </c>
      <c r="H74" s="50">
        <f>IF($O74="","",IF(INDEX(Firms!$H$5:$H$1004,$O74)="","—",INDEX(Firms!$H$5:$H$1004,$O74)))</f>
        <v/>
      </c>
      <c r="I74" s="50">
        <f>IF($O74="","",IF(INDEX(Firms!$I$5:$I$1004,$O74)="","—",INDEX(Firms!$I$5:$I$1004,$O74)))</f>
        <v/>
      </c>
      <c r="J74" s="50">
        <f>IF($O74="","",IF(INDEX(Firms!$J$5:$J$1004,$O74)="","—",INDEX(Firms!$J$5:$J$1004,$O74)))</f>
        <v/>
      </c>
      <c r="K74" s="50">
        <f>IF($O74="","",IF(INDEX(Firms!$K$5:$K$1004,$O74)="","—",INDEX(Firms!$K$5:$K$1004,$O74)))</f>
        <v/>
      </c>
      <c r="L74" s="50">
        <f>IF($O74="","",IF(INDEX(Firms!$L$5:$L$1004,$O74)="","—",INDEX(Firms!$L$5:$L$1004,$O74)))</f>
        <v/>
      </c>
      <c r="M74" s="50">
        <f>IF($O74="","",IF(INDEX(Firms!$M$5:$M$1004,$O74)="","—",INDEX(Firms!$M$5:$M$1004,$O74)))</f>
        <v/>
      </c>
      <c r="O74">
        <f>IFERROR(MATCH(SMALL(Firms!$Y$5:$Y$1004,66),Firms!$W$5:$W$1004,0),"")</f>
        <v/>
      </c>
    </row>
    <row r="75">
      <c r="B75" s="78">
        <f>IF($O75="","",INDEX(Firms!$A$5:$A$1004,$O75))</f>
        <v/>
      </c>
      <c r="C75" s="79">
        <f>IF($O75="","",INDEX(Firms!$N$5:$N$1004,$O75)&amp;"")</f>
        <v/>
      </c>
      <c r="D75" s="79">
        <f>IF($O75="","",INDEX(Firms!$P$5:$P$1004,$O75)&amp;"")</f>
        <v/>
      </c>
      <c r="E75" s="79">
        <f>IF($O75="","",INDEX(Firms!$O$5:$O$1004,$O75)&amp;"")</f>
        <v/>
      </c>
      <c r="F75" s="50">
        <f>IF($O75="","",IF(INDEX(Firms!$F$5:$F$1004,$O75)="","—",INDEX(Firms!$F$5:$F$1004,$O75)))</f>
        <v/>
      </c>
      <c r="G75" s="50">
        <f>IF($O75="","",IF(INDEX(Firms!$G$5:$G$1004,$O75)="","—",INDEX(Firms!$G$5:$G$1004,$O75)))</f>
        <v/>
      </c>
      <c r="H75" s="50">
        <f>IF($O75="","",IF(INDEX(Firms!$H$5:$H$1004,$O75)="","—",INDEX(Firms!$H$5:$H$1004,$O75)))</f>
        <v/>
      </c>
      <c r="I75" s="50">
        <f>IF($O75="","",IF(INDEX(Firms!$I$5:$I$1004,$O75)="","—",INDEX(Firms!$I$5:$I$1004,$O75)))</f>
        <v/>
      </c>
      <c r="J75" s="50">
        <f>IF($O75="","",IF(INDEX(Firms!$J$5:$J$1004,$O75)="","—",INDEX(Firms!$J$5:$J$1004,$O75)))</f>
        <v/>
      </c>
      <c r="K75" s="50">
        <f>IF($O75="","",IF(INDEX(Firms!$K$5:$K$1004,$O75)="","—",INDEX(Firms!$K$5:$K$1004,$O75)))</f>
        <v/>
      </c>
      <c r="L75" s="50">
        <f>IF($O75="","",IF(INDEX(Firms!$L$5:$L$1004,$O75)="","—",INDEX(Firms!$L$5:$L$1004,$O75)))</f>
        <v/>
      </c>
      <c r="M75" s="50">
        <f>IF($O75="","",IF(INDEX(Firms!$M$5:$M$1004,$O75)="","—",INDEX(Firms!$M$5:$M$1004,$O75)))</f>
        <v/>
      </c>
      <c r="O75">
        <f>IFERROR(MATCH(SMALL(Firms!$Y$5:$Y$1004,67),Firms!$W$5:$W$1004,0),"")</f>
        <v/>
      </c>
    </row>
    <row r="76">
      <c r="B76" s="78">
        <f>IF($O76="","",INDEX(Firms!$A$5:$A$1004,$O76))</f>
        <v/>
      </c>
      <c r="C76" s="79">
        <f>IF($O76="","",INDEX(Firms!$N$5:$N$1004,$O76)&amp;"")</f>
        <v/>
      </c>
      <c r="D76" s="79">
        <f>IF($O76="","",INDEX(Firms!$P$5:$P$1004,$O76)&amp;"")</f>
        <v/>
      </c>
      <c r="E76" s="79">
        <f>IF($O76="","",INDEX(Firms!$O$5:$O$1004,$O76)&amp;"")</f>
        <v/>
      </c>
      <c r="F76" s="50">
        <f>IF($O76="","",IF(INDEX(Firms!$F$5:$F$1004,$O76)="","—",INDEX(Firms!$F$5:$F$1004,$O76)))</f>
        <v/>
      </c>
      <c r="G76" s="50">
        <f>IF($O76="","",IF(INDEX(Firms!$G$5:$G$1004,$O76)="","—",INDEX(Firms!$G$5:$G$1004,$O76)))</f>
        <v/>
      </c>
      <c r="H76" s="50">
        <f>IF($O76="","",IF(INDEX(Firms!$H$5:$H$1004,$O76)="","—",INDEX(Firms!$H$5:$H$1004,$O76)))</f>
        <v/>
      </c>
      <c r="I76" s="50">
        <f>IF($O76="","",IF(INDEX(Firms!$I$5:$I$1004,$O76)="","—",INDEX(Firms!$I$5:$I$1004,$O76)))</f>
        <v/>
      </c>
      <c r="J76" s="50">
        <f>IF($O76="","",IF(INDEX(Firms!$J$5:$J$1004,$O76)="","—",INDEX(Firms!$J$5:$J$1004,$O76)))</f>
        <v/>
      </c>
      <c r="K76" s="50">
        <f>IF($O76="","",IF(INDEX(Firms!$K$5:$K$1004,$O76)="","—",INDEX(Firms!$K$5:$K$1004,$O76)))</f>
        <v/>
      </c>
      <c r="L76" s="50">
        <f>IF($O76="","",IF(INDEX(Firms!$L$5:$L$1004,$O76)="","—",INDEX(Firms!$L$5:$L$1004,$O76)))</f>
        <v/>
      </c>
      <c r="M76" s="50">
        <f>IF($O76="","",IF(INDEX(Firms!$M$5:$M$1004,$O76)="","—",INDEX(Firms!$M$5:$M$1004,$O76)))</f>
        <v/>
      </c>
      <c r="O76">
        <f>IFERROR(MATCH(SMALL(Firms!$Y$5:$Y$1004,68),Firms!$W$5:$W$1004,0),"")</f>
        <v/>
      </c>
    </row>
    <row r="77">
      <c r="B77" s="78">
        <f>IF($O77="","",INDEX(Firms!$A$5:$A$1004,$O77))</f>
        <v/>
      </c>
      <c r="C77" s="79">
        <f>IF($O77="","",INDEX(Firms!$N$5:$N$1004,$O77)&amp;"")</f>
        <v/>
      </c>
      <c r="D77" s="79">
        <f>IF($O77="","",INDEX(Firms!$P$5:$P$1004,$O77)&amp;"")</f>
        <v/>
      </c>
      <c r="E77" s="79">
        <f>IF($O77="","",INDEX(Firms!$O$5:$O$1004,$O77)&amp;"")</f>
        <v/>
      </c>
      <c r="F77" s="50">
        <f>IF($O77="","",IF(INDEX(Firms!$F$5:$F$1004,$O77)="","—",INDEX(Firms!$F$5:$F$1004,$O77)))</f>
        <v/>
      </c>
      <c r="G77" s="50">
        <f>IF($O77="","",IF(INDEX(Firms!$G$5:$G$1004,$O77)="","—",INDEX(Firms!$G$5:$G$1004,$O77)))</f>
        <v/>
      </c>
      <c r="H77" s="50">
        <f>IF($O77="","",IF(INDEX(Firms!$H$5:$H$1004,$O77)="","—",INDEX(Firms!$H$5:$H$1004,$O77)))</f>
        <v/>
      </c>
      <c r="I77" s="50">
        <f>IF($O77="","",IF(INDEX(Firms!$I$5:$I$1004,$O77)="","—",INDEX(Firms!$I$5:$I$1004,$O77)))</f>
        <v/>
      </c>
      <c r="J77" s="50">
        <f>IF($O77="","",IF(INDEX(Firms!$J$5:$J$1004,$O77)="","—",INDEX(Firms!$J$5:$J$1004,$O77)))</f>
        <v/>
      </c>
      <c r="K77" s="50">
        <f>IF($O77="","",IF(INDEX(Firms!$K$5:$K$1004,$O77)="","—",INDEX(Firms!$K$5:$K$1004,$O77)))</f>
        <v/>
      </c>
      <c r="L77" s="50">
        <f>IF($O77="","",IF(INDEX(Firms!$L$5:$L$1004,$O77)="","—",INDEX(Firms!$L$5:$L$1004,$O77)))</f>
        <v/>
      </c>
      <c r="M77" s="50">
        <f>IF($O77="","",IF(INDEX(Firms!$M$5:$M$1004,$O77)="","—",INDEX(Firms!$M$5:$M$1004,$O77)))</f>
        <v/>
      </c>
      <c r="O77">
        <f>IFERROR(MATCH(SMALL(Firms!$Y$5:$Y$1004,69),Firms!$W$5:$W$1004,0),"")</f>
        <v/>
      </c>
    </row>
    <row r="78">
      <c r="B78" s="78">
        <f>IF($O78="","",INDEX(Firms!$A$5:$A$1004,$O78))</f>
        <v/>
      </c>
      <c r="C78" s="79">
        <f>IF($O78="","",INDEX(Firms!$N$5:$N$1004,$O78)&amp;"")</f>
        <v/>
      </c>
      <c r="D78" s="79">
        <f>IF($O78="","",INDEX(Firms!$P$5:$P$1004,$O78)&amp;"")</f>
        <v/>
      </c>
      <c r="E78" s="79">
        <f>IF($O78="","",INDEX(Firms!$O$5:$O$1004,$O78)&amp;"")</f>
        <v/>
      </c>
      <c r="F78" s="50">
        <f>IF($O78="","",IF(INDEX(Firms!$F$5:$F$1004,$O78)="","—",INDEX(Firms!$F$5:$F$1004,$O78)))</f>
        <v/>
      </c>
      <c r="G78" s="50">
        <f>IF($O78="","",IF(INDEX(Firms!$G$5:$G$1004,$O78)="","—",INDEX(Firms!$G$5:$G$1004,$O78)))</f>
        <v/>
      </c>
      <c r="H78" s="50">
        <f>IF($O78="","",IF(INDEX(Firms!$H$5:$H$1004,$O78)="","—",INDEX(Firms!$H$5:$H$1004,$O78)))</f>
        <v/>
      </c>
      <c r="I78" s="50">
        <f>IF($O78="","",IF(INDEX(Firms!$I$5:$I$1004,$O78)="","—",INDEX(Firms!$I$5:$I$1004,$O78)))</f>
        <v/>
      </c>
      <c r="J78" s="50">
        <f>IF($O78="","",IF(INDEX(Firms!$J$5:$J$1004,$O78)="","—",INDEX(Firms!$J$5:$J$1004,$O78)))</f>
        <v/>
      </c>
      <c r="K78" s="50">
        <f>IF($O78="","",IF(INDEX(Firms!$K$5:$K$1004,$O78)="","—",INDEX(Firms!$K$5:$K$1004,$O78)))</f>
        <v/>
      </c>
      <c r="L78" s="50">
        <f>IF($O78="","",IF(INDEX(Firms!$L$5:$L$1004,$O78)="","—",INDEX(Firms!$L$5:$L$1004,$O78)))</f>
        <v/>
      </c>
      <c r="M78" s="50">
        <f>IF($O78="","",IF(INDEX(Firms!$M$5:$M$1004,$O78)="","—",INDEX(Firms!$M$5:$M$1004,$O78)))</f>
        <v/>
      </c>
      <c r="O78">
        <f>IFERROR(MATCH(SMALL(Firms!$Y$5:$Y$1004,70),Firms!$W$5:$W$1004,0),"")</f>
        <v/>
      </c>
    </row>
    <row r="79">
      <c r="B79" s="78">
        <f>IF($O79="","",INDEX(Firms!$A$5:$A$1004,$O79))</f>
        <v/>
      </c>
      <c r="C79" s="79">
        <f>IF($O79="","",INDEX(Firms!$N$5:$N$1004,$O79)&amp;"")</f>
        <v/>
      </c>
      <c r="D79" s="79">
        <f>IF($O79="","",INDEX(Firms!$P$5:$P$1004,$O79)&amp;"")</f>
        <v/>
      </c>
      <c r="E79" s="79">
        <f>IF($O79="","",INDEX(Firms!$O$5:$O$1004,$O79)&amp;"")</f>
        <v/>
      </c>
      <c r="F79" s="50">
        <f>IF($O79="","",IF(INDEX(Firms!$F$5:$F$1004,$O79)="","—",INDEX(Firms!$F$5:$F$1004,$O79)))</f>
        <v/>
      </c>
      <c r="G79" s="50">
        <f>IF($O79="","",IF(INDEX(Firms!$G$5:$G$1004,$O79)="","—",INDEX(Firms!$G$5:$G$1004,$O79)))</f>
        <v/>
      </c>
      <c r="H79" s="50">
        <f>IF($O79="","",IF(INDEX(Firms!$H$5:$H$1004,$O79)="","—",INDEX(Firms!$H$5:$H$1004,$O79)))</f>
        <v/>
      </c>
      <c r="I79" s="50">
        <f>IF($O79="","",IF(INDEX(Firms!$I$5:$I$1004,$O79)="","—",INDEX(Firms!$I$5:$I$1004,$O79)))</f>
        <v/>
      </c>
      <c r="J79" s="50">
        <f>IF($O79="","",IF(INDEX(Firms!$J$5:$J$1004,$O79)="","—",INDEX(Firms!$J$5:$J$1004,$O79)))</f>
        <v/>
      </c>
      <c r="K79" s="50">
        <f>IF($O79="","",IF(INDEX(Firms!$K$5:$K$1004,$O79)="","—",INDEX(Firms!$K$5:$K$1004,$O79)))</f>
        <v/>
      </c>
      <c r="L79" s="50">
        <f>IF($O79="","",IF(INDEX(Firms!$L$5:$L$1004,$O79)="","—",INDEX(Firms!$L$5:$L$1004,$O79)))</f>
        <v/>
      </c>
      <c r="M79" s="50">
        <f>IF($O79="","",IF(INDEX(Firms!$M$5:$M$1004,$O79)="","—",INDEX(Firms!$M$5:$M$1004,$O79)))</f>
        <v/>
      </c>
      <c r="O79">
        <f>IFERROR(MATCH(SMALL(Firms!$Y$5:$Y$1004,71),Firms!$W$5:$W$1004,0),"")</f>
        <v/>
      </c>
    </row>
    <row r="80">
      <c r="B80" s="78">
        <f>IF($O80="","",INDEX(Firms!$A$5:$A$1004,$O80))</f>
        <v/>
      </c>
      <c r="C80" s="79">
        <f>IF($O80="","",INDEX(Firms!$N$5:$N$1004,$O80)&amp;"")</f>
        <v/>
      </c>
      <c r="D80" s="79">
        <f>IF($O80="","",INDEX(Firms!$P$5:$P$1004,$O80)&amp;"")</f>
        <v/>
      </c>
      <c r="E80" s="79">
        <f>IF($O80="","",INDEX(Firms!$O$5:$O$1004,$O80)&amp;"")</f>
        <v/>
      </c>
      <c r="F80" s="50">
        <f>IF($O80="","",IF(INDEX(Firms!$F$5:$F$1004,$O80)="","—",INDEX(Firms!$F$5:$F$1004,$O80)))</f>
        <v/>
      </c>
      <c r="G80" s="50">
        <f>IF($O80="","",IF(INDEX(Firms!$G$5:$G$1004,$O80)="","—",INDEX(Firms!$G$5:$G$1004,$O80)))</f>
        <v/>
      </c>
      <c r="H80" s="50">
        <f>IF($O80="","",IF(INDEX(Firms!$H$5:$H$1004,$O80)="","—",INDEX(Firms!$H$5:$H$1004,$O80)))</f>
        <v/>
      </c>
      <c r="I80" s="50">
        <f>IF($O80="","",IF(INDEX(Firms!$I$5:$I$1004,$O80)="","—",INDEX(Firms!$I$5:$I$1004,$O80)))</f>
        <v/>
      </c>
      <c r="J80" s="50">
        <f>IF($O80="","",IF(INDEX(Firms!$J$5:$J$1004,$O80)="","—",INDEX(Firms!$J$5:$J$1004,$O80)))</f>
        <v/>
      </c>
      <c r="K80" s="50">
        <f>IF($O80="","",IF(INDEX(Firms!$K$5:$K$1004,$O80)="","—",INDEX(Firms!$K$5:$K$1004,$O80)))</f>
        <v/>
      </c>
      <c r="L80" s="50">
        <f>IF($O80="","",IF(INDEX(Firms!$L$5:$L$1004,$O80)="","—",INDEX(Firms!$L$5:$L$1004,$O80)))</f>
        <v/>
      </c>
      <c r="M80" s="50">
        <f>IF($O80="","",IF(INDEX(Firms!$M$5:$M$1004,$O80)="","—",INDEX(Firms!$M$5:$M$1004,$O80)))</f>
        <v/>
      </c>
      <c r="O80">
        <f>IFERROR(MATCH(SMALL(Firms!$Y$5:$Y$1004,72),Firms!$W$5:$W$1004,0),"")</f>
        <v/>
      </c>
    </row>
    <row r="81">
      <c r="B81" s="78">
        <f>IF($O81="","",INDEX(Firms!$A$5:$A$1004,$O81))</f>
        <v/>
      </c>
      <c r="C81" s="79">
        <f>IF($O81="","",INDEX(Firms!$N$5:$N$1004,$O81)&amp;"")</f>
        <v/>
      </c>
      <c r="D81" s="79">
        <f>IF($O81="","",INDEX(Firms!$P$5:$P$1004,$O81)&amp;"")</f>
        <v/>
      </c>
      <c r="E81" s="79">
        <f>IF($O81="","",INDEX(Firms!$O$5:$O$1004,$O81)&amp;"")</f>
        <v/>
      </c>
      <c r="F81" s="50">
        <f>IF($O81="","",IF(INDEX(Firms!$F$5:$F$1004,$O81)="","—",INDEX(Firms!$F$5:$F$1004,$O81)))</f>
        <v/>
      </c>
      <c r="G81" s="50">
        <f>IF($O81="","",IF(INDEX(Firms!$G$5:$G$1004,$O81)="","—",INDEX(Firms!$G$5:$G$1004,$O81)))</f>
        <v/>
      </c>
      <c r="H81" s="50">
        <f>IF($O81="","",IF(INDEX(Firms!$H$5:$H$1004,$O81)="","—",INDEX(Firms!$H$5:$H$1004,$O81)))</f>
        <v/>
      </c>
      <c r="I81" s="50">
        <f>IF($O81="","",IF(INDEX(Firms!$I$5:$I$1004,$O81)="","—",INDEX(Firms!$I$5:$I$1004,$O81)))</f>
        <v/>
      </c>
      <c r="J81" s="50">
        <f>IF($O81="","",IF(INDEX(Firms!$J$5:$J$1004,$O81)="","—",INDEX(Firms!$J$5:$J$1004,$O81)))</f>
        <v/>
      </c>
      <c r="K81" s="50">
        <f>IF($O81="","",IF(INDEX(Firms!$K$5:$K$1004,$O81)="","—",INDEX(Firms!$K$5:$K$1004,$O81)))</f>
        <v/>
      </c>
      <c r="L81" s="50">
        <f>IF($O81="","",IF(INDEX(Firms!$L$5:$L$1004,$O81)="","—",INDEX(Firms!$L$5:$L$1004,$O81)))</f>
        <v/>
      </c>
      <c r="M81" s="50">
        <f>IF($O81="","",IF(INDEX(Firms!$M$5:$M$1004,$O81)="","—",INDEX(Firms!$M$5:$M$1004,$O81)))</f>
        <v/>
      </c>
      <c r="O81">
        <f>IFERROR(MATCH(SMALL(Firms!$Y$5:$Y$1004,73),Firms!$W$5:$W$1004,0),"")</f>
        <v/>
      </c>
    </row>
    <row r="82">
      <c r="B82" s="78">
        <f>IF($O82="","",INDEX(Firms!$A$5:$A$1004,$O82))</f>
        <v/>
      </c>
      <c r="C82" s="79">
        <f>IF($O82="","",INDEX(Firms!$N$5:$N$1004,$O82)&amp;"")</f>
        <v/>
      </c>
      <c r="D82" s="79">
        <f>IF($O82="","",INDEX(Firms!$P$5:$P$1004,$O82)&amp;"")</f>
        <v/>
      </c>
      <c r="E82" s="79">
        <f>IF($O82="","",INDEX(Firms!$O$5:$O$1004,$O82)&amp;"")</f>
        <v/>
      </c>
      <c r="F82" s="50">
        <f>IF($O82="","",IF(INDEX(Firms!$F$5:$F$1004,$O82)="","—",INDEX(Firms!$F$5:$F$1004,$O82)))</f>
        <v/>
      </c>
      <c r="G82" s="50">
        <f>IF($O82="","",IF(INDEX(Firms!$G$5:$G$1004,$O82)="","—",INDEX(Firms!$G$5:$G$1004,$O82)))</f>
        <v/>
      </c>
      <c r="H82" s="50">
        <f>IF($O82="","",IF(INDEX(Firms!$H$5:$H$1004,$O82)="","—",INDEX(Firms!$H$5:$H$1004,$O82)))</f>
        <v/>
      </c>
      <c r="I82" s="50">
        <f>IF($O82="","",IF(INDEX(Firms!$I$5:$I$1004,$O82)="","—",INDEX(Firms!$I$5:$I$1004,$O82)))</f>
        <v/>
      </c>
      <c r="J82" s="50">
        <f>IF($O82="","",IF(INDEX(Firms!$J$5:$J$1004,$O82)="","—",INDEX(Firms!$J$5:$J$1004,$O82)))</f>
        <v/>
      </c>
      <c r="K82" s="50">
        <f>IF($O82="","",IF(INDEX(Firms!$K$5:$K$1004,$O82)="","—",INDEX(Firms!$K$5:$K$1004,$O82)))</f>
        <v/>
      </c>
      <c r="L82" s="50">
        <f>IF($O82="","",IF(INDEX(Firms!$L$5:$L$1004,$O82)="","—",INDEX(Firms!$L$5:$L$1004,$O82)))</f>
        <v/>
      </c>
      <c r="M82" s="50">
        <f>IF($O82="","",IF(INDEX(Firms!$M$5:$M$1004,$O82)="","—",INDEX(Firms!$M$5:$M$1004,$O82)))</f>
        <v/>
      </c>
      <c r="O82">
        <f>IFERROR(MATCH(SMALL(Firms!$Y$5:$Y$1004,74),Firms!$W$5:$W$1004,0),"")</f>
        <v/>
      </c>
    </row>
    <row r="83">
      <c r="B83" s="78">
        <f>IF($O83="","",INDEX(Firms!$A$5:$A$1004,$O83))</f>
        <v/>
      </c>
      <c r="C83" s="79">
        <f>IF($O83="","",INDEX(Firms!$N$5:$N$1004,$O83)&amp;"")</f>
        <v/>
      </c>
      <c r="D83" s="79">
        <f>IF($O83="","",INDEX(Firms!$P$5:$P$1004,$O83)&amp;"")</f>
        <v/>
      </c>
      <c r="E83" s="79">
        <f>IF($O83="","",INDEX(Firms!$O$5:$O$1004,$O83)&amp;"")</f>
        <v/>
      </c>
      <c r="F83" s="50">
        <f>IF($O83="","",IF(INDEX(Firms!$F$5:$F$1004,$O83)="","—",INDEX(Firms!$F$5:$F$1004,$O83)))</f>
        <v/>
      </c>
      <c r="G83" s="50">
        <f>IF($O83="","",IF(INDEX(Firms!$G$5:$G$1004,$O83)="","—",INDEX(Firms!$G$5:$G$1004,$O83)))</f>
        <v/>
      </c>
      <c r="H83" s="50">
        <f>IF($O83="","",IF(INDEX(Firms!$H$5:$H$1004,$O83)="","—",INDEX(Firms!$H$5:$H$1004,$O83)))</f>
        <v/>
      </c>
      <c r="I83" s="50">
        <f>IF($O83="","",IF(INDEX(Firms!$I$5:$I$1004,$O83)="","—",INDEX(Firms!$I$5:$I$1004,$O83)))</f>
        <v/>
      </c>
      <c r="J83" s="50">
        <f>IF($O83="","",IF(INDEX(Firms!$J$5:$J$1004,$O83)="","—",INDEX(Firms!$J$5:$J$1004,$O83)))</f>
        <v/>
      </c>
      <c r="K83" s="50">
        <f>IF($O83="","",IF(INDEX(Firms!$K$5:$K$1004,$O83)="","—",INDEX(Firms!$K$5:$K$1004,$O83)))</f>
        <v/>
      </c>
      <c r="L83" s="50">
        <f>IF($O83="","",IF(INDEX(Firms!$L$5:$L$1004,$O83)="","—",INDEX(Firms!$L$5:$L$1004,$O83)))</f>
        <v/>
      </c>
      <c r="M83" s="50">
        <f>IF($O83="","",IF(INDEX(Firms!$M$5:$M$1004,$O83)="","—",INDEX(Firms!$M$5:$M$1004,$O83)))</f>
        <v/>
      </c>
      <c r="O83">
        <f>IFERROR(MATCH(SMALL(Firms!$Y$5:$Y$1004,75),Firms!$W$5:$W$1004,0),"")</f>
        <v/>
      </c>
    </row>
    <row r="84">
      <c r="B84" s="78">
        <f>IF($O84="","",INDEX(Firms!$A$5:$A$1004,$O84))</f>
        <v/>
      </c>
      <c r="C84" s="79">
        <f>IF($O84="","",INDEX(Firms!$N$5:$N$1004,$O84)&amp;"")</f>
        <v/>
      </c>
      <c r="D84" s="79">
        <f>IF($O84="","",INDEX(Firms!$P$5:$P$1004,$O84)&amp;"")</f>
        <v/>
      </c>
      <c r="E84" s="79">
        <f>IF($O84="","",INDEX(Firms!$O$5:$O$1004,$O84)&amp;"")</f>
        <v/>
      </c>
      <c r="F84" s="50">
        <f>IF($O84="","",IF(INDEX(Firms!$F$5:$F$1004,$O84)="","—",INDEX(Firms!$F$5:$F$1004,$O84)))</f>
        <v/>
      </c>
      <c r="G84" s="50">
        <f>IF($O84="","",IF(INDEX(Firms!$G$5:$G$1004,$O84)="","—",INDEX(Firms!$G$5:$G$1004,$O84)))</f>
        <v/>
      </c>
      <c r="H84" s="50">
        <f>IF($O84="","",IF(INDEX(Firms!$H$5:$H$1004,$O84)="","—",INDEX(Firms!$H$5:$H$1004,$O84)))</f>
        <v/>
      </c>
      <c r="I84" s="50">
        <f>IF($O84="","",IF(INDEX(Firms!$I$5:$I$1004,$O84)="","—",INDEX(Firms!$I$5:$I$1004,$O84)))</f>
        <v/>
      </c>
      <c r="J84" s="50">
        <f>IF($O84="","",IF(INDEX(Firms!$J$5:$J$1004,$O84)="","—",INDEX(Firms!$J$5:$J$1004,$O84)))</f>
        <v/>
      </c>
      <c r="K84" s="50">
        <f>IF($O84="","",IF(INDEX(Firms!$K$5:$K$1004,$O84)="","—",INDEX(Firms!$K$5:$K$1004,$O84)))</f>
        <v/>
      </c>
      <c r="L84" s="50">
        <f>IF($O84="","",IF(INDEX(Firms!$L$5:$L$1004,$O84)="","—",INDEX(Firms!$L$5:$L$1004,$O84)))</f>
        <v/>
      </c>
      <c r="M84" s="50">
        <f>IF($O84="","",IF(INDEX(Firms!$M$5:$M$1004,$O84)="","—",INDEX(Firms!$M$5:$M$1004,$O84)))</f>
        <v/>
      </c>
      <c r="O84">
        <f>IFERROR(MATCH(SMALL(Firms!$Y$5:$Y$1004,76),Firms!$W$5:$W$1004,0),"")</f>
        <v/>
      </c>
    </row>
    <row r="85">
      <c r="B85" s="78">
        <f>IF($O85="","",INDEX(Firms!$A$5:$A$1004,$O85))</f>
        <v/>
      </c>
      <c r="C85" s="79">
        <f>IF($O85="","",INDEX(Firms!$N$5:$N$1004,$O85)&amp;"")</f>
        <v/>
      </c>
      <c r="D85" s="79">
        <f>IF($O85="","",INDEX(Firms!$P$5:$P$1004,$O85)&amp;"")</f>
        <v/>
      </c>
      <c r="E85" s="79">
        <f>IF($O85="","",INDEX(Firms!$O$5:$O$1004,$O85)&amp;"")</f>
        <v/>
      </c>
      <c r="F85" s="50">
        <f>IF($O85="","",IF(INDEX(Firms!$F$5:$F$1004,$O85)="","—",INDEX(Firms!$F$5:$F$1004,$O85)))</f>
        <v/>
      </c>
      <c r="G85" s="50">
        <f>IF($O85="","",IF(INDEX(Firms!$G$5:$G$1004,$O85)="","—",INDEX(Firms!$G$5:$G$1004,$O85)))</f>
        <v/>
      </c>
      <c r="H85" s="50">
        <f>IF($O85="","",IF(INDEX(Firms!$H$5:$H$1004,$O85)="","—",INDEX(Firms!$H$5:$H$1004,$O85)))</f>
        <v/>
      </c>
      <c r="I85" s="50">
        <f>IF($O85="","",IF(INDEX(Firms!$I$5:$I$1004,$O85)="","—",INDEX(Firms!$I$5:$I$1004,$O85)))</f>
        <v/>
      </c>
      <c r="J85" s="50">
        <f>IF($O85="","",IF(INDEX(Firms!$J$5:$J$1004,$O85)="","—",INDEX(Firms!$J$5:$J$1004,$O85)))</f>
        <v/>
      </c>
      <c r="K85" s="50">
        <f>IF($O85="","",IF(INDEX(Firms!$K$5:$K$1004,$O85)="","—",INDEX(Firms!$K$5:$K$1004,$O85)))</f>
        <v/>
      </c>
      <c r="L85" s="50">
        <f>IF($O85="","",IF(INDEX(Firms!$L$5:$L$1004,$O85)="","—",INDEX(Firms!$L$5:$L$1004,$O85)))</f>
        <v/>
      </c>
      <c r="M85" s="50">
        <f>IF($O85="","",IF(INDEX(Firms!$M$5:$M$1004,$O85)="","—",INDEX(Firms!$M$5:$M$1004,$O85)))</f>
        <v/>
      </c>
      <c r="O85">
        <f>IFERROR(MATCH(SMALL(Firms!$Y$5:$Y$1004,77),Firms!$W$5:$W$1004,0),"")</f>
        <v/>
      </c>
    </row>
    <row r="86">
      <c r="B86" s="78">
        <f>IF($O86="","",INDEX(Firms!$A$5:$A$1004,$O86))</f>
        <v/>
      </c>
      <c r="C86" s="79">
        <f>IF($O86="","",INDEX(Firms!$N$5:$N$1004,$O86)&amp;"")</f>
        <v/>
      </c>
      <c r="D86" s="79">
        <f>IF($O86="","",INDEX(Firms!$P$5:$P$1004,$O86)&amp;"")</f>
        <v/>
      </c>
      <c r="E86" s="79">
        <f>IF($O86="","",INDEX(Firms!$O$5:$O$1004,$O86)&amp;"")</f>
        <v/>
      </c>
      <c r="F86" s="50">
        <f>IF($O86="","",IF(INDEX(Firms!$F$5:$F$1004,$O86)="","—",INDEX(Firms!$F$5:$F$1004,$O86)))</f>
        <v/>
      </c>
      <c r="G86" s="50">
        <f>IF($O86="","",IF(INDEX(Firms!$G$5:$G$1004,$O86)="","—",INDEX(Firms!$G$5:$G$1004,$O86)))</f>
        <v/>
      </c>
      <c r="H86" s="50">
        <f>IF($O86="","",IF(INDEX(Firms!$H$5:$H$1004,$O86)="","—",INDEX(Firms!$H$5:$H$1004,$O86)))</f>
        <v/>
      </c>
      <c r="I86" s="50">
        <f>IF($O86="","",IF(INDEX(Firms!$I$5:$I$1004,$O86)="","—",INDEX(Firms!$I$5:$I$1004,$O86)))</f>
        <v/>
      </c>
      <c r="J86" s="50">
        <f>IF($O86="","",IF(INDEX(Firms!$J$5:$J$1004,$O86)="","—",INDEX(Firms!$J$5:$J$1004,$O86)))</f>
        <v/>
      </c>
      <c r="K86" s="50">
        <f>IF($O86="","",IF(INDEX(Firms!$K$5:$K$1004,$O86)="","—",INDEX(Firms!$K$5:$K$1004,$O86)))</f>
        <v/>
      </c>
      <c r="L86" s="50">
        <f>IF($O86="","",IF(INDEX(Firms!$L$5:$L$1004,$O86)="","—",INDEX(Firms!$L$5:$L$1004,$O86)))</f>
        <v/>
      </c>
      <c r="M86" s="50">
        <f>IF($O86="","",IF(INDEX(Firms!$M$5:$M$1004,$O86)="","—",INDEX(Firms!$M$5:$M$1004,$O86)))</f>
        <v/>
      </c>
      <c r="O86">
        <f>IFERROR(MATCH(SMALL(Firms!$Y$5:$Y$1004,78),Firms!$W$5:$W$1004,0),"")</f>
        <v/>
      </c>
    </row>
    <row r="87">
      <c r="B87" s="78">
        <f>IF($O87="","",INDEX(Firms!$A$5:$A$1004,$O87))</f>
        <v/>
      </c>
      <c r="C87" s="79">
        <f>IF($O87="","",INDEX(Firms!$N$5:$N$1004,$O87)&amp;"")</f>
        <v/>
      </c>
      <c r="D87" s="79">
        <f>IF($O87="","",INDEX(Firms!$P$5:$P$1004,$O87)&amp;"")</f>
        <v/>
      </c>
      <c r="E87" s="79">
        <f>IF($O87="","",INDEX(Firms!$O$5:$O$1004,$O87)&amp;"")</f>
        <v/>
      </c>
      <c r="F87" s="50">
        <f>IF($O87="","",IF(INDEX(Firms!$F$5:$F$1004,$O87)="","—",INDEX(Firms!$F$5:$F$1004,$O87)))</f>
        <v/>
      </c>
      <c r="G87" s="50">
        <f>IF($O87="","",IF(INDEX(Firms!$G$5:$G$1004,$O87)="","—",INDEX(Firms!$G$5:$G$1004,$O87)))</f>
        <v/>
      </c>
      <c r="H87" s="50">
        <f>IF($O87="","",IF(INDEX(Firms!$H$5:$H$1004,$O87)="","—",INDEX(Firms!$H$5:$H$1004,$O87)))</f>
        <v/>
      </c>
      <c r="I87" s="50">
        <f>IF($O87="","",IF(INDEX(Firms!$I$5:$I$1004,$O87)="","—",INDEX(Firms!$I$5:$I$1004,$O87)))</f>
        <v/>
      </c>
      <c r="J87" s="50">
        <f>IF($O87="","",IF(INDEX(Firms!$J$5:$J$1004,$O87)="","—",INDEX(Firms!$J$5:$J$1004,$O87)))</f>
        <v/>
      </c>
      <c r="K87" s="50">
        <f>IF($O87="","",IF(INDEX(Firms!$K$5:$K$1004,$O87)="","—",INDEX(Firms!$K$5:$K$1004,$O87)))</f>
        <v/>
      </c>
      <c r="L87" s="50">
        <f>IF($O87="","",IF(INDEX(Firms!$L$5:$L$1004,$O87)="","—",INDEX(Firms!$L$5:$L$1004,$O87)))</f>
        <v/>
      </c>
      <c r="M87" s="50">
        <f>IF($O87="","",IF(INDEX(Firms!$M$5:$M$1004,$O87)="","—",INDEX(Firms!$M$5:$M$1004,$O87)))</f>
        <v/>
      </c>
      <c r="O87">
        <f>IFERROR(MATCH(SMALL(Firms!$Y$5:$Y$1004,79),Firms!$W$5:$W$1004,0),"")</f>
        <v/>
      </c>
    </row>
    <row r="88">
      <c r="B88" s="78">
        <f>IF($O88="","",INDEX(Firms!$A$5:$A$1004,$O88))</f>
        <v/>
      </c>
      <c r="C88" s="79">
        <f>IF($O88="","",INDEX(Firms!$N$5:$N$1004,$O88)&amp;"")</f>
        <v/>
      </c>
      <c r="D88" s="79">
        <f>IF($O88="","",INDEX(Firms!$P$5:$P$1004,$O88)&amp;"")</f>
        <v/>
      </c>
      <c r="E88" s="79">
        <f>IF($O88="","",INDEX(Firms!$O$5:$O$1004,$O88)&amp;"")</f>
        <v/>
      </c>
      <c r="F88" s="50">
        <f>IF($O88="","",IF(INDEX(Firms!$F$5:$F$1004,$O88)="","—",INDEX(Firms!$F$5:$F$1004,$O88)))</f>
        <v/>
      </c>
      <c r="G88" s="50">
        <f>IF($O88="","",IF(INDEX(Firms!$G$5:$G$1004,$O88)="","—",INDEX(Firms!$G$5:$G$1004,$O88)))</f>
        <v/>
      </c>
      <c r="H88" s="50">
        <f>IF($O88="","",IF(INDEX(Firms!$H$5:$H$1004,$O88)="","—",INDEX(Firms!$H$5:$H$1004,$O88)))</f>
        <v/>
      </c>
      <c r="I88" s="50">
        <f>IF($O88="","",IF(INDEX(Firms!$I$5:$I$1004,$O88)="","—",INDEX(Firms!$I$5:$I$1004,$O88)))</f>
        <v/>
      </c>
      <c r="J88" s="50">
        <f>IF($O88="","",IF(INDEX(Firms!$J$5:$J$1004,$O88)="","—",INDEX(Firms!$J$5:$J$1004,$O88)))</f>
        <v/>
      </c>
      <c r="K88" s="50">
        <f>IF($O88="","",IF(INDEX(Firms!$K$5:$K$1004,$O88)="","—",INDEX(Firms!$K$5:$K$1004,$O88)))</f>
        <v/>
      </c>
      <c r="L88" s="50">
        <f>IF($O88="","",IF(INDEX(Firms!$L$5:$L$1004,$O88)="","—",INDEX(Firms!$L$5:$L$1004,$O88)))</f>
        <v/>
      </c>
      <c r="M88" s="50">
        <f>IF($O88="","",IF(INDEX(Firms!$M$5:$M$1004,$O88)="","—",INDEX(Firms!$M$5:$M$1004,$O88)))</f>
        <v/>
      </c>
      <c r="O88">
        <f>IFERROR(MATCH(SMALL(Firms!$Y$5:$Y$1004,80),Firms!$W$5:$W$1004,0),"")</f>
        <v/>
      </c>
    </row>
    <row r="89">
      <c r="B89" s="78">
        <f>IF($O89="","",INDEX(Firms!$A$5:$A$1004,$O89))</f>
        <v/>
      </c>
      <c r="C89" s="79">
        <f>IF($O89="","",INDEX(Firms!$N$5:$N$1004,$O89)&amp;"")</f>
        <v/>
      </c>
      <c r="D89" s="79">
        <f>IF($O89="","",INDEX(Firms!$P$5:$P$1004,$O89)&amp;"")</f>
        <v/>
      </c>
      <c r="E89" s="79">
        <f>IF($O89="","",INDEX(Firms!$O$5:$O$1004,$O89)&amp;"")</f>
        <v/>
      </c>
      <c r="F89" s="50">
        <f>IF($O89="","",IF(INDEX(Firms!$F$5:$F$1004,$O89)="","—",INDEX(Firms!$F$5:$F$1004,$O89)))</f>
        <v/>
      </c>
      <c r="G89" s="50">
        <f>IF($O89="","",IF(INDEX(Firms!$G$5:$G$1004,$O89)="","—",INDEX(Firms!$G$5:$G$1004,$O89)))</f>
        <v/>
      </c>
      <c r="H89" s="50">
        <f>IF($O89="","",IF(INDEX(Firms!$H$5:$H$1004,$O89)="","—",INDEX(Firms!$H$5:$H$1004,$O89)))</f>
        <v/>
      </c>
      <c r="I89" s="50">
        <f>IF($O89="","",IF(INDEX(Firms!$I$5:$I$1004,$O89)="","—",INDEX(Firms!$I$5:$I$1004,$O89)))</f>
        <v/>
      </c>
      <c r="J89" s="50">
        <f>IF($O89="","",IF(INDEX(Firms!$J$5:$J$1004,$O89)="","—",INDEX(Firms!$J$5:$J$1004,$O89)))</f>
        <v/>
      </c>
      <c r="K89" s="50">
        <f>IF($O89="","",IF(INDEX(Firms!$K$5:$K$1004,$O89)="","—",INDEX(Firms!$K$5:$K$1004,$O89)))</f>
        <v/>
      </c>
      <c r="L89" s="50">
        <f>IF($O89="","",IF(INDEX(Firms!$L$5:$L$1004,$O89)="","—",INDEX(Firms!$L$5:$L$1004,$O89)))</f>
        <v/>
      </c>
      <c r="M89" s="50">
        <f>IF($O89="","",IF(INDEX(Firms!$M$5:$M$1004,$O89)="","—",INDEX(Firms!$M$5:$M$1004,$O89)))</f>
        <v/>
      </c>
      <c r="O89">
        <f>IFERROR(MATCH(SMALL(Firms!$Y$5:$Y$1004,81),Firms!$W$5:$W$1004,0),"")</f>
        <v/>
      </c>
    </row>
    <row r="90">
      <c r="B90" s="78">
        <f>IF($O90="","",INDEX(Firms!$A$5:$A$1004,$O90))</f>
        <v/>
      </c>
      <c r="C90" s="79">
        <f>IF($O90="","",INDEX(Firms!$N$5:$N$1004,$O90)&amp;"")</f>
        <v/>
      </c>
      <c r="D90" s="79">
        <f>IF($O90="","",INDEX(Firms!$P$5:$P$1004,$O90)&amp;"")</f>
        <v/>
      </c>
      <c r="E90" s="79">
        <f>IF($O90="","",INDEX(Firms!$O$5:$O$1004,$O90)&amp;"")</f>
        <v/>
      </c>
      <c r="F90" s="50">
        <f>IF($O90="","",IF(INDEX(Firms!$F$5:$F$1004,$O90)="","—",INDEX(Firms!$F$5:$F$1004,$O90)))</f>
        <v/>
      </c>
      <c r="G90" s="50">
        <f>IF($O90="","",IF(INDEX(Firms!$G$5:$G$1004,$O90)="","—",INDEX(Firms!$G$5:$G$1004,$O90)))</f>
        <v/>
      </c>
      <c r="H90" s="50">
        <f>IF($O90="","",IF(INDEX(Firms!$H$5:$H$1004,$O90)="","—",INDEX(Firms!$H$5:$H$1004,$O90)))</f>
        <v/>
      </c>
      <c r="I90" s="50">
        <f>IF($O90="","",IF(INDEX(Firms!$I$5:$I$1004,$O90)="","—",INDEX(Firms!$I$5:$I$1004,$O90)))</f>
        <v/>
      </c>
      <c r="J90" s="50">
        <f>IF($O90="","",IF(INDEX(Firms!$J$5:$J$1004,$O90)="","—",INDEX(Firms!$J$5:$J$1004,$O90)))</f>
        <v/>
      </c>
      <c r="K90" s="50">
        <f>IF($O90="","",IF(INDEX(Firms!$K$5:$K$1004,$O90)="","—",INDEX(Firms!$K$5:$K$1004,$O90)))</f>
        <v/>
      </c>
      <c r="L90" s="50">
        <f>IF($O90="","",IF(INDEX(Firms!$L$5:$L$1004,$O90)="","—",INDEX(Firms!$L$5:$L$1004,$O90)))</f>
        <v/>
      </c>
      <c r="M90" s="50">
        <f>IF($O90="","",IF(INDEX(Firms!$M$5:$M$1004,$O90)="","—",INDEX(Firms!$M$5:$M$1004,$O90)))</f>
        <v/>
      </c>
      <c r="O90">
        <f>IFERROR(MATCH(SMALL(Firms!$Y$5:$Y$1004,82),Firms!$W$5:$W$1004,0),"")</f>
        <v/>
      </c>
    </row>
    <row r="91">
      <c r="B91" s="78">
        <f>IF($O91="","",INDEX(Firms!$A$5:$A$1004,$O91))</f>
        <v/>
      </c>
      <c r="C91" s="79">
        <f>IF($O91="","",INDEX(Firms!$N$5:$N$1004,$O91)&amp;"")</f>
        <v/>
      </c>
      <c r="D91" s="79">
        <f>IF($O91="","",INDEX(Firms!$P$5:$P$1004,$O91)&amp;"")</f>
        <v/>
      </c>
      <c r="E91" s="79">
        <f>IF($O91="","",INDEX(Firms!$O$5:$O$1004,$O91)&amp;"")</f>
        <v/>
      </c>
      <c r="F91" s="50">
        <f>IF($O91="","",IF(INDEX(Firms!$F$5:$F$1004,$O91)="","—",INDEX(Firms!$F$5:$F$1004,$O91)))</f>
        <v/>
      </c>
      <c r="G91" s="50">
        <f>IF($O91="","",IF(INDEX(Firms!$G$5:$G$1004,$O91)="","—",INDEX(Firms!$G$5:$G$1004,$O91)))</f>
        <v/>
      </c>
      <c r="H91" s="50">
        <f>IF($O91="","",IF(INDEX(Firms!$H$5:$H$1004,$O91)="","—",INDEX(Firms!$H$5:$H$1004,$O91)))</f>
        <v/>
      </c>
      <c r="I91" s="50">
        <f>IF($O91="","",IF(INDEX(Firms!$I$5:$I$1004,$O91)="","—",INDEX(Firms!$I$5:$I$1004,$O91)))</f>
        <v/>
      </c>
      <c r="J91" s="50">
        <f>IF($O91="","",IF(INDEX(Firms!$J$5:$J$1004,$O91)="","—",INDEX(Firms!$J$5:$J$1004,$O91)))</f>
        <v/>
      </c>
      <c r="K91" s="50">
        <f>IF($O91="","",IF(INDEX(Firms!$K$5:$K$1004,$O91)="","—",INDEX(Firms!$K$5:$K$1004,$O91)))</f>
        <v/>
      </c>
      <c r="L91" s="50">
        <f>IF($O91="","",IF(INDEX(Firms!$L$5:$L$1004,$O91)="","—",INDEX(Firms!$L$5:$L$1004,$O91)))</f>
        <v/>
      </c>
      <c r="M91" s="50">
        <f>IF($O91="","",IF(INDEX(Firms!$M$5:$M$1004,$O91)="","—",INDEX(Firms!$M$5:$M$1004,$O91)))</f>
        <v/>
      </c>
      <c r="O91">
        <f>IFERROR(MATCH(SMALL(Firms!$Y$5:$Y$1004,83),Firms!$W$5:$W$1004,0),"")</f>
        <v/>
      </c>
    </row>
    <row r="92">
      <c r="B92" s="78">
        <f>IF($O92="","",INDEX(Firms!$A$5:$A$1004,$O92))</f>
        <v/>
      </c>
      <c r="C92" s="79">
        <f>IF($O92="","",INDEX(Firms!$N$5:$N$1004,$O92)&amp;"")</f>
        <v/>
      </c>
      <c r="D92" s="79">
        <f>IF($O92="","",INDEX(Firms!$P$5:$P$1004,$O92)&amp;"")</f>
        <v/>
      </c>
      <c r="E92" s="79">
        <f>IF($O92="","",INDEX(Firms!$O$5:$O$1004,$O92)&amp;"")</f>
        <v/>
      </c>
      <c r="F92" s="50">
        <f>IF($O92="","",IF(INDEX(Firms!$F$5:$F$1004,$O92)="","—",INDEX(Firms!$F$5:$F$1004,$O92)))</f>
        <v/>
      </c>
      <c r="G92" s="50">
        <f>IF($O92="","",IF(INDEX(Firms!$G$5:$G$1004,$O92)="","—",INDEX(Firms!$G$5:$G$1004,$O92)))</f>
        <v/>
      </c>
      <c r="H92" s="50">
        <f>IF($O92="","",IF(INDEX(Firms!$H$5:$H$1004,$O92)="","—",INDEX(Firms!$H$5:$H$1004,$O92)))</f>
        <v/>
      </c>
      <c r="I92" s="50">
        <f>IF($O92="","",IF(INDEX(Firms!$I$5:$I$1004,$O92)="","—",INDEX(Firms!$I$5:$I$1004,$O92)))</f>
        <v/>
      </c>
      <c r="J92" s="50">
        <f>IF($O92="","",IF(INDEX(Firms!$J$5:$J$1004,$O92)="","—",INDEX(Firms!$J$5:$J$1004,$O92)))</f>
        <v/>
      </c>
      <c r="K92" s="50">
        <f>IF($O92="","",IF(INDEX(Firms!$K$5:$K$1004,$O92)="","—",INDEX(Firms!$K$5:$K$1004,$O92)))</f>
        <v/>
      </c>
      <c r="L92" s="50">
        <f>IF($O92="","",IF(INDEX(Firms!$L$5:$L$1004,$O92)="","—",INDEX(Firms!$L$5:$L$1004,$O92)))</f>
        <v/>
      </c>
      <c r="M92" s="50">
        <f>IF($O92="","",IF(INDEX(Firms!$M$5:$M$1004,$O92)="","—",INDEX(Firms!$M$5:$M$1004,$O92)))</f>
        <v/>
      </c>
      <c r="O92">
        <f>IFERROR(MATCH(SMALL(Firms!$Y$5:$Y$1004,84),Firms!$W$5:$W$1004,0),"")</f>
        <v/>
      </c>
    </row>
    <row r="93">
      <c r="B93" s="78">
        <f>IF($O93="","",INDEX(Firms!$A$5:$A$1004,$O93))</f>
        <v/>
      </c>
      <c r="C93" s="79">
        <f>IF($O93="","",INDEX(Firms!$N$5:$N$1004,$O93)&amp;"")</f>
        <v/>
      </c>
      <c r="D93" s="79">
        <f>IF($O93="","",INDEX(Firms!$P$5:$P$1004,$O93)&amp;"")</f>
        <v/>
      </c>
      <c r="E93" s="79">
        <f>IF($O93="","",INDEX(Firms!$O$5:$O$1004,$O93)&amp;"")</f>
        <v/>
      </c>
      <c r="F93" s="50">
        <f>IF($O93="","",IF(INDEX(Firms!$F$5:$F$1004,$O93)="","—",INDEX(Firms!$F$5:$F$1004,$O93)))</f>
        <v/>
      </c>
      <c r="G93" s="50">
        <f>IF($O93="","",IF(INDEX(Firms!$G$5:$G$1004,$O93)="","—",INDEX(Firms!$G$5:$G$1004,$O93)))</f>
        <v/>
      </c>
      <c r="H93" s="50">
        <f>IF($O93="","",IF(INDEX(Firms!$H$5:$H$1004,$O93)="","—",INDEX(Firms!$H$5:$H$1004,$O93)))</f>
        <v/>
      </c>
      <c r="I93" s="50">
        <f>IF($O93="","",IF(INDEX(Firms!$I$5:$I$1004,$O93)="","—",INDEX(Firms!$I$5:$I$1004,$O93)))</f>
        <v/>
      </c>
      <c r="J93" s="50">
        <f>IF($O93="","",IF(INDEX(Firms!$J$5:$J$1004,$O93)="","—",INDEX(Firms!$J$5:$J$1004,$O93)))</f>
        <v/>
      </c>
      <c r="K93" s="50">
        <f>IF($O93="","",IF(INDEX(Firms!$K$5:$K$1004,$O93)="","—",INDEX(Firms!$K$5:$K$1004,$O93)))</f>
        <v/>
      </c>
      <c r="L93" s="50">
        <f>IF($O93="","",IF(INDEX(Firms!$L$5:$L$1004,$O93)="","—",INDEX(Firms!$L$5:$L$1004,$O93)))</f>
        <v/>
      </c>
      <c r="M93" s="50">
        <f>IF($O93="","",IF(INDEX(Firms!$M$5:$M$1004,$O93)="","—",INDEX(Firms!$M$5:$M$1004,$O93)))</f>
        <v/>
      </c>
      <c r="O93">
        <f>IFERROR(MATCH(SMALL(Firms!$Y$5:$Y$1004,85),Firms!$W$5:$W$1004,0),"")</f>
        <v/>
      </c>
    </row>
    <row r="94">
      <c r="B94" s="78">
        <f>IF($O94="","",INDEX(Firms!$A$5:$A$1004,$O94))</f>
        <v/>
      </c>
      <c r="C94" s="79">
        <f>IF($O94="","",INDEX(Firms!$N$5:$N$1004,$O94)&amp;"")</f>
        <v/>
      </c>
      <c r="D94" s="79">
        <f>IF($O94="","",INDEX(Firms!$P$5:$P$1004,$O94)&amp;"")</f>
        <v/>
      </c>
      <c r="E94" s="79">
        <f>IF($O94="","",INDEX(Firms!$O$5:$O$1004,$O94)&amp;"")</f>
        <v/>
      </c>
      <c r="F94" s="50">
        <f>IF($O94="","",IF(INDEX(Firms!$F$5:$F$1004,$O94)="","—",INDEX(Firms!$F$5:$F$1004,$O94)))</f>
        <v/>
      </c>
      <c r="G94" s="50">
        <f>IF($O94="","",IF(INDEX(Firms!$G$5:$G$1004,$O94)="","—",INDEX(Firms!$G$5:$G$1004,$O94)))</f>
        <v/>
      </c>
      <c r="H94" s="50">
        <f>IF($O94="","",IF(INDEX(Firms!$H$5:$H$1004,$O94)="","—",INDEX(Firms!$H$5:$H$1004,$O94)))</f>
        <v/>
      </c>
      <c r="I94" s="50">
        <f>IF($O94="","",IF(INDEX(Firms!$I$5:$I$1004,$O94)="","—",INDEX(Firms!$I$5:$I$1004,$O94)))</f>
        <v/>
      </c>
      <c r="J94" s="50">
        <f>IF($O94="","",IF(INDEX(Firms!$J$5:$J$1004,$O94)="","—",INDEX(Firms!$J$5:$J$1004,$O94)))</f>
        <v/>
      </c>
      <c r="K94" s="50">
        <f>IF($O94="","",IF(INDEX(Firms!$K$5:$K$1004,$O94)="","—",INDEX(Firms!$K$5:$K$1004,$O94)))</f>
        <v/>
      </c>
      <c r="L94" s="50">
        <f>IF($O94="","",IF(INDEX(Firms!$L$5:$L$1004,$O94)="","—",INDEX(Firms!$L$5:$L$1004,$O94)))</f>
        <v/>
      </c>
      <c r="M94" s="50">
        <f>IF($O94="","",IF(INDEX(Firms!$M$5:$M$1004,$O94)="","—",INDEX(Firms!$M$5:$M$1004,$O94)))</f>
        <v/>
      </c>
      <c r="O94">
        <f>IFERROR(MATCH(SMALL(Firms!$Y$5:$Y$1004,86),Firms!$W$5:$W$1004,0),"")</f>
        <v/>
      </c>
    </row>
    <row r="95">
      <c r="B95" s="78">
        <f>IF($O95="","",INDEX(Firms!$A$5:$A$1004,$O95))</f>
        <v/>
      </c>
      <c r="C95" s="79">
        <f>IF($O95="","",INDEX(Firms!$N$5:$N$1004,$O95)&amp;"")</f>
        <v/>
      </c>
      <c r="D95" s="79">
        <f>IF($O95="","",INDEX(Firms!$P$5:$P$1004,$O95)&amp;"")</f>
        <v/>
      </c>
      <c r="E95" s="79">
        <f>IF($O95="","",INDEX(Firms!$O$5:$O$1004,$O95)&amp;"")</f>
        <v/>
      </c>
      <c r="F95" s="50">
        <f>IF($O95="","",IF(INDEX(Firms!$F$5:$F$1004,$O95)="","—",INDEX(Firms!$F$5:$F$1004,$O95)))</f>
        <v/>
      </c>
      <c r="G95" s="50">
        <f>IF($O95="","",IF(INDEX(Firms!$G$5:$G$1004,$O95)="","—",INDEX(Firms!$G$5:$G$1004,$O95)))</f>
        <v/>
      </c>
      <c r="H95" s="50">
        <f>IF($O95="","",IF(INDEX(Firms!$H$5:$H$1004,$O95)="","—",INDEX(Firms!$H$5:$H$1004,$O95)))</f>
        <v/>
      </c>
      <c r="I95" s="50">
        <f>IF($O95="","",IF(INDEX(Firms!$I$5:$I$1004,$O95)="","—",INDEX(Firms!$I$5:$I$1004,$O95)))</f>
        <v/>
      </c>
      <c r="J95" s="50">
        <f>IF($O95="","",IF(INDEX(Firms!$J$5:$J$1004,$O95)="","—",INDEX(Firms!$J$5:$J$1004,$O95)))</f>
        <v/>
      </c>
      <c r="K95" s="50">
        <f>IF($O95="","",IF(INDEX(Firms!$K$5:$K$1004,$O95)="","—",INDEX(Firms!$K$5:$K$1004,$O95)))</f>
        <v/>
      </c>
      <c r="L95" s="50">
        <f>IF($O95="","",IF(INDEX(Firms!$L$5:$L$1004,$O95)="","—",INDEX(Firms!$L$5:$L$1004,$O95)))</f>
        <v/>
      </c>
      <c r="M95" s="50">
        <f>IF($O95="","",IF(INDEX(Firms!$M$5:$M$1004,$O95)="","—",INDEX(Firms!$M$5:$M$1004,$O95)))</f>
        <v/>
      </c>
      <c r="O95">
        <f>IFERROR(MATCH(SMALL(Firms!$Y$5:$Y$1004,87),Firms!$W$5:$W$1004,0),"")</f>
        <v/>
      </c>
    </row>
    <row r="96">
      <c r="B96" s="78">
        <f>IF($O96="","",INDEX(Firms!$A$5:$A$1004,$O96))</f>
        <v/>
      </c>
      <c r="C96" s="79">
        <f>IF($O96="","",INDEX(Firms!$N$5:$N$1004,$O96)&amp;"")</f>
        <v/>
      </c>
      <c r="D96" s="79">
        <f>IF($O96="","",INDEX(Firms!$P$5:$P$1004,$O96)&amp;"")</f>
        <v/>
      </c>
      <c r="E96" s="79">
        <f>IF($O96="","",INDEX(Firms!$O$5:$O$1004,$O96)&amp;"")</f>
        <v/>
      </c>
      <c r="F96" s="50">
        <f>IF($O96="","",IF(INDEX(Firms!$F$5:$F$1004,$O96)="","—",INDEX(Firms!$F$5:$F$1004,$O96)))</f>
        <v/>
      </c>
      <c r="G96" s="50">
        <f>IF($O96="","",IF(INDEX(Firms!$G$5:$G$1004,$O96)="","—",INDEX(Firms!$G$5:$G$1004,$O96)))</f>
        <v/>
      </c>
      <c r="H96" s="50">
        <f>IF($O96="","",IF(INDEX(Firms!$H$5:$H$1004,$O96)="","—",INDEX(Firms!$H$5:$H$1004,$O96)))</f>
        <v/>
      </c>
      <c r="I96" s="50">
        <f>IF($O96="","",IF(INDEX(Firms!$I$5:$I$1004,$O96)="","—",INDEX(Firms!$I$5:$I$1004,$O96)))</f>
        <v/>
      </c>
      <c r="J96" s="50">
        <f>IF($O96="","",IF(INDEX(Firms!$J$5:$J$1004,$O96)="","—",INDEX(Firms!$J$5:$J$1004,$O96)))</f>
        <v/>
      </c>
      <c r="K96" s="50">
        <f>IF($O96="","",IF(INDEX(Firms!$K$5:$K$1004,$O96)="","—",INDEX(Firms!$K$5:$K$1004,$O96)))</f>
        <v/>
      </c>
      <c r="L96" s="50">
        <f>IF($O96="","",IF(INDEX(Firms!$L$5:$L$1004,$O96)="","—",INDEX(Firms!$L$5:$L$1004,$O96)))</f>
        <v/>
      </c>
      <c r="M96" s="50">
        <f>IF($O96="","",IF(INDEX(Firms!$M$5:$M$1004,$O96)="","—",INDEX(Firms!$M$5:$M$1004,$O96)))</f>
        <v/>
      </c>
      <c r="O96">
        <f>IFERROR(MATCH(SMALL(Firms!$Y$5:$Y$1004,88),Firms!$W$5:$W$1004,0),"")</f>
        <v/>
      </c>
    </row>
    <row r="97">
      <c r="B97" s="78">
        <f>IF($O97="","",INDEX(Firms!$A$5:$A$1004,$O97))</f>
        <v/>
      </c>
      <c r="C97" s="79">
        <f>IF($O97="","",INDEX(Firms!$N$5:$N$1004,$O97)&amp;"")</f>
        <v/>
      </c>
      <c r="D97" s="79">
        <f>IF($O97="","",INDEX(Firms!$P$5:$P$1004,$O97)&amp;"")</f>
        <v/>
      </c>
      <c r="E97" s="79">
        <f>IF($O97="","",INDEX(Firms!$O$5:$O$1004,$O97)&amp;"")</f>
        <v/>
      </c>
      <c r="F97" s="50">
        <f>IF($O97="","",IF(INDEX(Firms!$F$5:$F$1004,$O97)="","—",INDEX(Firms!$F$5:$F$1004,$O97)))</f>
        <v/>
      </c>
      <c r="G97" s="50">
        <f>IF($O97="","",IF(INDEX(Firms!$G$5:$G$1004,$O97)="","—",INDEX(Firms!$G$5:$G$1004,$O97)))</f>
        <v/>
      </c>
      <c r="H97" s="50">
        <f>IF($O97="","",IF(INDEX(Firms!$H$5:$H$1004,$O97)="","—",INDEX(Firms!$H$5:$H$1004,$O97)))</f>
        <v/>
      </c>
      <c r="I97" s="50">
        <f>IF($O97="","",IF(INDEX(Firms!$I$5:$I$1004,$O97)="","—",INDEX(Firms!$I$5:$I$1004,$O97)))</f>
        <v/>
      </c>
      <c r="J97" s="50">
        <f>IF($O97="","",IF(INDEX(Firms!$J$5:$J$1004,$O97)="","—",INDEX(Firms!$J$5:$J$1004,$O97)))</f>
        <v/>
      </c>
      <c r="K97" s="50">
        <f>IF($O97="","",IF(INDEX(Firms!$K$5:$K$1004,$O97)="","—",INDEX(Firms!$K$5:$K$1004,$O97)))</f>
        <v/>
      </c>
      <c r="L97" s="50">
        <f>IF($O97="","",IF(INDEX(Firms!$L$5:$L$1004,$O97)="","—",INDEX(Firms!$L$5:$L$1004,$O97)))</f>
        <v/>
      </c>
      <c r="M97" s="50">
        <f>IF($O97="","",IF(INDEX(Firms!$M$5:$M$1004,$O97)="","—",INDEX(Firms!$M$5:$M$1004,$O97)))</f>
        <v/>
      </c>
      <c r="O97">
        <f>IFERROR(MATCH(SMALL(Firms!$Y$5:$Y$1004,89),Firms!$W$5:$W$1004,0),"")</f>
        <v/>
      </c>
    </row>
    <row r="98">
      <c r="B98" s="78">
        <f>IF($O98="","",INDEX(Firms!$A$5:$A$1004,$O98))</f>
        <v/>
      </c>
      <c r="C98" s="79">
        <f>IF($O98="","",INDEX(Firms!$N$5:$N$1004,$O98)&amp;"")</f>
        <v/>
      </c>
      <c r="D98" s="79">
        <f>IF($O98="","",INDEX(Firms!$P$5:$P$1004,$O98)&amp;"")</f>
        <v/>
      </c>
      <c r="E98" s="79">
        <f>IF($O98="","",INDEX(Firms!$O$5:$O$1004,$O98)&amp;"")</f>
        <v/>
      </c>
      <c r="F98" s="50">
        <f>IF($O98="","",IF(INDEX(Firms!$F$5:$F$1004,$O98)="","—",INDEX(Firms!$F$5:$F$1004,$O98)))</f>
        <v/>
      </c>
      <c r="G98" s="50">
        <f>IF($O98="","",IF(INDEX(Firms!$G$5:$G$1004,$O98)="","—",INDEX(Firms!$G$5:$G$1004,$O98)))</f>
        <v/>
      </c>
      <c r="H98" s="50">
        <f>IF($O98="","",IF(INDEX(Firms!$H$5:$H$1004,$O98)="","—",INDEX(Firms!$H$5:$H$1004,$O98)))</f>
        <v/>
      </c>
      <c r="I98" s="50">
        <f>IF($O98="","",IF(INDEX(Firms!$I$5:$I$1004,$O98)="","—",INDEX(Firms!$I$5:$I$1004,$O98)))</f>
        <v/>
      </c>
      <c r="J98" s="50">
        <f>IF($O98="","",IF(INDEX(Firms!$J$5:$J$1004,$O98)="","—",INDEX(Firms!$J$5:$J$1004,$O98)))</f>
        <v/>
      </c>
      <c r="K98" s="50">
        <f>IF($O98="","",IF(INDEX(Firms!$K$5:$K$1004,$O98)="","—",INDEX(Firms!$K$5:$K$1004,$O98)))</f>
        <v/>
      </c>
      <c r="L98" s="50">
        <f>IF($O98="","",IF(INDEX(Firms!$L$5:$L$1004,$O98)="","—",INDEX(Firms!$L$5:$L$1004,$O98)))</f>
        <v/>
      </c>
      <c r="M98" s="50">
        <f>IF($O98="","",IF(INDEX(Firms!$M$5:$M$1004,$O98)="","—",INDEX(Firms!$M$5:$M$1004,$O98)))</f>
        <v/>
      </c>
      <c r="O98">
        <f>IFERROR(MATCH(SMALL(Firms!$Y$5:$Y$1004,90),Firms!$W$5:$W$1004,0),"")</f>
        <v/>
      </c>
    </row>
    <row r="99">
      <c r="B99" s="78">
        <f>IF($O99="","",INDEX(Firms!$A$5:$A$1004,$O99))</f>
        <v/>
      </c>
      <c r="C99" s="79">
        <f>IF($O99="","",INDEX(Firms!$N$5:$N$1004,$O99)&amp;"")</f>
        <v/>
      </c>
      <c r="D99" s="79">
        <f>IF($O99="","",INDEX(Firms!$P$5:$P$1004,$O99)&amp;"")</f>
        <v/>
      </c>
      <c r="E99" s="79">
        <f>IF($O99="","",INDEX(Firms!$O$5:$O$1004,$O99)&amp;"")</f>
        <v/>
      </c>
      <c r="F99" s="50">
        <f>IF($O99="","",IF(INDEX(Firms!$F$5:$F$1004,$O99)="","—",INDEX(Firms!$F$5:$F$1004,$O99)))</f>
        <v/>
      </c>
      <c r="G99" s="50">
        <f>IF($O99="","",IF(INDEX(Firms!$G$5:$G$1004,$O99)="","—",INDEX(Firms!$G$5:$G$1004,$O99)))</f>
        <v/>
      </c>
      <c r="H99" s="50">
        <f>IF($O99="","",IF(INDEX(Firms!$H$5:$H$1004,$O99)="","—",INDEX(Firms!$H$5:$H$1004,$O99)))</f>
        <v/>
      </c>
      <c r="I99" s="50">
        <f>IF($O99="","",IF(INDEX(Firms!$I$5:$I$1004,$O99)="","—",INDEX(Firms!$I$5:$I$1004,$O99)))</f>
        <v/>
      </c>
      <c r="J99" s="50">
        <f>IF($O99="","",IF(INDEX(Firms!$J$5:$J$1004,$O99)="","—",INDEX(Firms!$J$5:$J$1004,$O99)))</f>
        <v/>
      </c>
      <c r="K99" s="50">
        <f>IF($O99="","",IF(INDEX(Firms!$K$5:$K$1004,$O99)="","—",INDEX(Firms!$K$5:$K$1004,$O99)))</f>
        <v/>
      </c>
      <c r="L99" s="50">
        <f>IF($O99="","",IF(INDEX(Firms!$L$5:$L$1004,$O99)="","—",INDEX(Firms!$L$5:$L$1004,$O99)))</f>
        <v/>
      </c>
      <c r="M99" s="50">
        <f>IF($O99="","",IF(INDEX(Firms!$M$5:$M$1004,$O99)="","—",INDEX(Firms!$M$5:$M$1004,$O99)))</f>
        <v/>
      </c>
      <c r="O99">
        <f>IFERROR(MATCH(SMALL(Firms!$Y$5:$Y$1004,91),Firms!$W$5:$W$1004,0),"")</f>
        <v/>
      </c>
    </row>
    <row r="100">
      <c r="B100" s="78">
        <f>IF($O100="","",INDEX(Firms!$A$5:$A$1004,$O100))</f>
        <v/>
      </c>
      <c r="C100" s="79">
        <f>IF($O100="","",INDEX(Firms!$N$5:$N$1004,$O100)&amp;"")</f>
        <v/>
      </c>
      <c r="D100" s="79">
        <f>IF($O100="","",INDEX(Firms!$P$5:$P$1004,$O100)&amp;"")</f>
        <v/>
      </c>
      <c r="E100" s="79">
        <f>IF($O100="","",INDEX(Firms!$O$5:$O$1004,$O100)&amp;"")</f>
        <v/>
      </c>
      <c r="F100" s="50">
        <f>IF($O100="","",IF(INDEX(Firms!$F$5:$F$1004,$O100)="","—",INDEX(Firms!$F$5:$F$1004,$O100)))</f>
        <v/>
      </c>
      <c r="G100" s="50">
        <f>IF($O100="","",IF(INDEX(Firms!$G$5:$G$1004,$O100)="","—",INDEX(Firms!$G$5:$G$1004,$O100)))</f>
        <v/>
      </c>
      <c r="H100" s="50">
        <f>IF($O100="","",IF(INDEX(Firms!$H$5:$H$1004,$O100)="","—",INDEX(Firms!$H$5:$H$1004,$O100)))</f>
        <v/>
      </c>
      <c r="I100" s="50">
        <f>IF($O100="","",IF(INDEX(Firms!$I$5:$I$1004,$O100)="","—",INDEX(Firms!$I$5:$I$1004,$O100)))</f>
        <v/>
      </c>
      <c r="J100" s="50">
        <f>IF($O100="","",IF(INDEX(Firms!$J$5:$J$1004,$O100)="","—",INDEX(Firms!$J$5:$J$1004,$O100)))</f>
        <v/>
      </c>
      <c r="K100" s="50">
        <f>IF($O100="","",IF(INDEX(Firms!$K$5:$K$1004,$O100)="","—",INDEX(Firms!$K$5:$K$1004,$O100)))</f>
        <v/>
      </c>
      <c r="L100" s="50">
        <f>IF($O100="","",IF(INDEX(Firms!$L$5:$L$1004,$O100)="","—",INDEX(Firms!$L$5:$L$1004,$O100)))</f>
        <v/>
      </c>
      <c r="M100" s="50">
        <f>IF($O100="","",IF(INDEX(Firms!$M$5:$M$1004,$O100)="","—",INDEX(Firms!$M$5:$M$1004,$O100)))</f>
        <v/>
      </c>
      <c r="O100">
        <f>IFERROR(MATCH(SMALL(Firms!$Y$5:$Y$1004,92),Firms!$W$5:$W$1004,0),"")</f>
        <v/>
      </c>
    </row>
    <row r="101">
      <c r="B101" s="78">
        <f>IF($O101="","",INDEX(Firms!$A$5:$A$1004,$O101))</f>
        <v/>
      </c>
      <c r="C101" s="79">
        <f>IF($O101="","",INDEX(Firms!$N$5:$N$1004,$O101)&amp;"")</f>
        <v/>
      </c>
      <c r="D101" s="79">
        <f>IF($O101="","",INDEX(Firms!$P$5:$P$1004,$O101)&amp;"")</f>
        <v/>
      </c>
      <c r="E101" s="79">
        <f>IF($O101="","",INDEX(Firms!$O$5:$O$1004,$O101)&amp;"")</f>
        <v/>
      </c>
      <c r="F101" s="50">
        <f>IF($O101="","",IF(INDEX(Firms!$F$5:$F$1004,$O101)="","—",INDEX(Firms!$F$5:$F$1004,$O101)))</f>
        <v/>
      </c>
      <c r="G101" s="50">
        <f>IF($O101="","",IF(INDEX(Firms!$G$5:$G$1004,$O101)="","—",INDEX(Firms!$G$5:$G$1004,$O101)))</f>
        <v/>
      </c>
      <c r="H101" s="50">
        <f>IF($O101="","",IF(INDEX(Firms!$H$5:$H$1004,$O101)="","—",INDEX(Firms!$H$5:$H$1004,$O101)))</f>
        <v/>
      </c>
      <c r="I101" s="50">
        <f>IF($O101="","",IF(INDEX(Firms!$I$5:$I$1004,$O101)="","—",INDEX(Firms!$I$5:$I$1004,$O101)))</f>
        <v/>
      </c>
      <c r="J101" s="50">
        <f>IF($O101="","",IF(INDEX(Firms!$J$5:$J$1004,$O101)="","—",INDEX(Firms!$J$5:$J$1004,$O101)))</f>
        <v/>
      </c>
      <c r="K101" s="50">
        <f>IF($O101="","",IF(INDEX(Firms!$K$5:$K$1004,$O101)="","—",INDEX(Firms!$K$5:$K$1004,$O101)))</f>
        <v/>
      </c>
      <c r="L101" s="50">
        <f>IF($O101="","",IF(INDEX(Firms!$L$5:$L$1004,$O101)="","—",INDEX(Firms!$L$5:$L$1004,$O101)))</f>
        <v/>
      </c>
      <c r="M101" s="50">
        <f>IF($O101="","",IF(INDEX(Firms!$M$5:$M$1004,$O101)="","—",INDEX(Firms!$M$5:$M$1004,$O101)))</f>
        <v/>
      </c>
      <c r="O101">
        <f>IFERROR(MATCH(SMALL(Firms!$Y$5:$Y$1004,93),Firms!$W$5:$W$1004,0),"")</f>
        <v/>
      </c>
    </row>
    <row r="102">
      <c r="B102" s="78">
        <f>IF($O102="","",INDEX(Firms!$A$5:$A$1004,$O102))</f>
        <v/>
      </c>
      <c r="C102" s="79">
        <f>IF($O102="","",INDEX(Firms!$N$5:$N$1004,$O102)&amp;"")</f>
        <v/>
      </c>
      <c r="D102" s="79">
        <f>IF($O102="","",INDEX(Firms!$P$5:$P$1004,$O102)&amp;"")</f>
        <v/>
      </c>
      <c r="E102" s="79">
        <f>IF($O102="","",INDEX(Firms!$O$5:$O$1004,$O102)&amp;"")</f>
        <v/>
      </c>
      <c r="F102" s="50">
        <f>IF($O102="","",IF(INDEX(Firms!$F$5:$F$1004,$O102)="","—",INDEX(Firms!$F$5:$F$1004,$O102)))</f>
        <v/>
      </c>
      <c r="G102" s="50">
        <f>IF($O102="","",IF(INDEX(Firms!$G$5:$G$1004,$O102)="","—",INDEX(Firms!$G$5:$G$1004,$O102)))</f>
        <v/>
      </c>
      <c r="H102" s="50">
        <f>IF($O102="","",IF(INDEX(Firms!$H$5:$H$1004,$O102)="","—",INDEX(Firms!$H$5:$H$1004,$O102)))</f>
        <v/>
      </c>
      <c r="I102" s="50">
        <f>IF($O102="","",IF(INDEX(Firms!$I$5:$I$1004,$O102)="","—",INDEX(Firms!$I$5:$I$1004,$O102)))</f>
        <v/>
      </c>
      <c r="J102" s="50">
        <f>IF($O102="","",IF(INDEX(Firms!$J$5:$J$1004,$O102)="","—",INDEX(Firms!$J$5:$J$1004,$O102)))</f>
        <v/>
      </c>
      <c r="K102" s="50">
        <f>IF($O102="","",IF(INDEX(Firms!$K$5:$K$1004,$O102)="","—",INDEX(Firms!$K$5:$K$1004,$O102)))</f>
        <v/>
      </c>
      <c r="L102" s="50">
        <f>IF($O102="","",IF(INDEX(Firms!$L$5:$L$1004,$O102)="","—",INDEX(Firms!$L$5:$L$1004,$O102)))</f>
        <v/>
      </c>
      <c r="M102" s="50">
        <f>IF($O102="","",IF(INDEX(Firms!$M$5:$M$1004,$O102)="","—",INDEX(Firms!$M$5:$M$1004,$O102)))</f>
        <v/>
      </c>
      <c r="O102">
        <f>IFERROR(MATCH(SMALL(Firms!$Y$5:$Y$1004,94),Firms!$W$5:$W$1004,0),"")</f>
        <v/>
      </c>
    </row>
    <row r="103">
      <c r="B103" s="78">
        <f>IF($O103="","",INDEX(Firms!$A$5:$A$1004,$O103))</f>
        <v/>
      </c>
      <c r="C103" s="79">
        <f>IF($O103="","",INDEX(Firms!$N$5:$N$1004,$O103)&amp;"")</f>
        <v/>
      </c>
      <c r="D103" s="79">
        <f>IF($O103="","",INDEX(Firms!$P$5:$P$1004,$O103)&amp;"")</f>
        <v/>
      </c>
      <c r="E103" s="79">
        <f>IF($O103="","",INDEX(Firms!$O$5:$O$1004,$O103)&amp;"")</f>
        <v/>
      </c>
      <c r="F103" s="50">
        <f>IF($O103="","",IF(INDEX(Firms!$F$5:$F$1004,$O103)="","—",INDEX(Firms!$F$5:$F$1004,$O103)))</f>
        <v/>
      </c>
      <c r="G103" s="50">
        <f>IF($O103="","",IF(INDEX(Firms!$G$5:$G$1004,$O103)="","—",INDEX(Firms!$G$5:$G$1004,$O103)))</f>
        <v/>
      </c>
      <c r="H103" s="50">
        <f>IF($O103="","",IF(INDEX(Firms!$H$5:$H$1004,$O103)="","—",INDEX(Firms!$H$5:$H$1004,$O103)))</f>
        <v/>
      </c>
      <c r="I103" s="50">
        <f>IF($O103="","",IF(INDEX(Firms!$I$5:$I$1004,$O103)="","—",INDEX(Firms!$I$5:$I$1004,$O103)))</f>
        <v/>
      </c>
      <c r="J103" s="50">
        <f>IF($O103="","",IF(INDEX(Firms!$J$5:$J$1004,$O103)="","—",INDEX(Firms!$J$5:$J$1004,$O103)))</f>
        <v/>
      </c>
      <c r="K103" s="50">
        <f>IF($O103="","",IF(INDEX(Firms!$K$5:$K$1004,$O103)="","—",INDEX(Firms!$K$5:$K$1004,$O103)))</f>
        <v/>
      </c>
      <c r="L103" s="50">
        <f>IF($O103="","",IF(INDEX(Firms!$L$5:$L$1004,$O103)="","—",INDEX(Firms!$L$5:$L$1004,$O103)))</f>
        <v/>
      </c>
      <c r="M103" s="50">
        <f>IF($O103="","",IF(INDEX(Firms!$M$5:$M$1004,$O103)="","—",INDEX(Firms!$M$5:$M$1004,$O103)))</f>
        <v/>
      </c>
      <c r="O103">
        <f>IFERROR(MATCH(SMALL(Firms!$Y$5:$Y$1004,95),Firms!$W$5:$W$1004,0),"")</f>
        <v/>
      </c>
    </row>
    <row r="104">
      <c r="B104" s="78">
        <f>IF($O104="","",INDEX(Firms!$A$5:$A$1004,$O104))</f>
        <v/>
      </c>
      <c r="C104" s="79">
        <f>IF($O104="","",INDEX(Firms!$N$5:$N$1004,$O104)&amp;"")</f>
        <v/>
      </c>
      <c r="D104" s="79">
        <f>IF($O104="","",INDEX(Firms!$P$5:$P$1004,$O104)&amp;"")</f>
        <v/>
      </c>
      <c r="E104" s="79">
        <f>IF($O104="","",INDEX(Firms!$O$5:$O$1004,$O104)&amp;"")</f>
        <v/>
      </c>
      <c r="F104" s="50">
        <f>IF($O104="","",IF(INDEX(Firms!$F$5:$F$1004,$O104)="","—",INDEX(Firms!$F$5:$F$1004,$O104)))</f>
        <v/>
      </c>
      <c r="G104" s="50">
        <f>IF($O104="","",IF(INDEX(Firms!$G$5:$G$1004,$O104)="","—",INDEX(Firms!$G$5:$G$1004,$O104)))</f>
        <v/>
      </c>
      <c r="H104" s="50">
        <f>IF($O104="","",IF(INDEX(Firms!$H$5:$H$1004,$O104)="","—",INDEX(Firms!$H$5:$H$1004,$O104)))</f>
        <v/>
      </c>
      <c r="I104" s="50">
        <f>IF($O104="","",IF(INDEX(Firms!$I$5:$I$1004,$O104)="","—",INDEX(Firms!$I$5:$I$1004,$O104)))</f>
        <v/>
      </c>
      <c r="J104" s="50">
        <f>IF($O104="","",IF(INDEX(Firms!$J$5:$J$1004,$O104)="","—",INDEX(Firms!$J$5:$J$1004,$O104)))</f>
        <v/>
      </c>
      <c r="K104" s="50">
        <f>IF($O104="","",IF(INDEX(Firms!$K$5:$K$1004,$O104)="","—",INDEX(Firms!$K$5:$K$1004,$O104)))</f>
        <v/>
      </c>
      <c r="L104" s="50">
        <f>IF($O104="","",IF(INDEX(Firms!$L$5:$L$1004,$O104)="","—",INDEX(Firms!$L$5:$L$1004,$O104)))</f>
        <v/>
      </c>
      <c r="M104" s="50">
        <f>IF($O104="","",IF(INDEX(Firms!$M$5:$M$1004,$O104)="","—",INDEX(Firms!$M$5:$M$1004,$O104)))</f>
        <v/>
      </c>
      <c r="O104">
        <f>IFERROR(MATCH(SMALL(Firms!$Y$5:$Y$1004,96),Firms!$W$5:$W$1004,0),"")</f>
        <v/>
      </c>
    </row>
    <row r="105">
      <c r="B105" s="78">
        <f>IF($O105="","",INDEX(Firms!$A$5:$A$1004,$O105))</f>
        <v/>
      </c>
      <c r="C105" s="79">
        <f>IF($O105="","",INDEX(Firms!$N$5:$N$1004,$O105)&amp;"")</f>
        <v/>
      </c>
      <c r="D105" s="79">
        <f>IF($O105="","",INDEX(Firms!$P$5:$P$1004,$O105)&amp;"")</f>
        <v/>
      </c>
      <c r="E105" s="79">
        <f>IF($O105="","",INDEX(Firms!$O$5:$O$1004,$O105)&amp;"")</f>
        <v/>
      </c>
      <c r="F105" s="50">
        <f>IF($O105="","",IF(INDEX(Firms!$F$5:$F$1004,$O105)="","—",INDEX(Firms!$F$5:$F$1004,$O105)))</f>
        <v/>
      </c>
      <c r="G105" s="50">
        <f>IF($O105="","",IF(INDEX(Firms!$G$5:$G$1004,$O105)="","—",INDEX(Firms!$G$5:$G$1004,$O105)))</f>
        <v/>
      </c>
      <c r="H105" s="50">
        <f>IF($O105="","",IF(INDEX(Firms!$H$5:$H$1004,$O105)="","—",INDEX(Firms!$H$5:$H$1004,$O105)))</f>
        <v/>
      </c>
      <c r="I105" s="50">
        <f>IF($O105="","",IF(INDEX(Firms!$I$5:$I$1004,$O105)="","—",INDEX(Firms!$I$5:$I$1004,$O105)))</f>
        <v/>
      </c>
      <c r="J105" s="50">
        <f>IF($O105="","",IF(INDEX(Firms!$J$5:$J$1004,$O105)="","—",INDEX(Firms!$J$5:$J$1004,$O105)))</f>
        <v/>
      </c>
      <c r="K105" s="50">
        <f>IF($O105="","",IF(INDEX(Firms!$K$5:$K$1004,$O105)="","—",INDEX(Firms!$K$5:$K$1004,$O105)))</f>
        <v/>
      </c>
      <c r="L105" s="50">
        <f>IF($O105="","",IF(INDEX(Firms!$L$5:$L$1004,$O105)="","—",INDEX(Firms!$L$5:$L$1004,$O105)))</f>
        <v/>
      </c>
      <c r="M105" s="50">
        <f>IF($O105="","",IF(INDEX(Firms!$M$5:$M$1004,$O105)="","—",INDEX(Firms!$M$5:$M$1004,$O105)))</f>
        <v/>
      </c>
      <c r="O105">
        <f>IFERROR(MATCH(SMALL(Firms!$Y$5:$Y$1004,97),Firms!$W$5:$W$1004,0),"")</f>
        <v/>
      </c>
    </row>
    <row r="106">
      <c r="B106" s="78">
        <f>IF($O106="","",INDEX(Firms!$A$5:$A$1004,$O106))</f>
        <v/>
      </c>
      <c r="C106" s="79">
        <f>IF($O106="","",INDEX(Firms!$N$5:$N$1004,$O106)&amp;"")</f>
        <v/>
      </c>
      <c r="D106" s="79">
        <f>IF($O106="","",INDEX(Firms!$P$5:$P$1004,$O106)&amp;"")</f>
        <v/>
      </c>
      <c r="E106" s="79">
        <f>IF($O106="","",INDEX(Firms!$O$5:$O$1004,$O106)&amp;"")</f>
        <v/>
      </c>
      <c r="F106" s="50">
        <f>IF($O106="","",IF(INDEX(Firms!$F$5:$F$1004,$O106)="","—",INDEX(Firms!$F$5:$F$1004,$O106)))</f>
        <v/>
      </c>
      <c r="G106" s="50">
        <f>IF($O106="","",IF(INDEX(Firms!$G$5:$G$1004,$O106)="","—",INDEX(Firms!$G$5:$G$1004,$O106)))</f>
        <v/>
      </c>
      <c r="H106" s="50">
        <f>IF($O106="","",IF(INDEX(Firms!$H$5:$H$1004,$O106)="","—",INDEX(Firms!$H$5:$H$1004,$O106)))</f>
        <v/>
      </c>
      <c r="I106" s="50">
        <f>IF($O106="","",IF(INDEX(Firms!$I$5:$I$1004,$O106)="","—",INDEX(Firms!$I$5:$I$1004,$O106)))</f>
        <v/>
      </c>
      <c r="J106" s="50">
        <f>IF($O106="","",IF(INDEX(Firms!$J$5:$J$1004,$O106)="","—",INDEX(Firms!$J$5:$J$1004,$O106)))</f>
        <v/>
      </c>
      <c r="K106" s="50">
        <f>IF($O106="","",IF(INDEX(Firms!$K$5:$K$1004,$O106)="","—",INDEX(Firms!$K$5:$K$1004,$O106)))</f>
        <v/>
      </c>
      <c r="L106" s="50">
        <f>IF($O106="","",IF(INDEX(Firms!$L$5:$L$1004,$O106)="","—",INDEX(Firms!$L$5:$L$1004,$O106)))</f>
        <v/>
      </c>
      <c r="M106" s="50">
        <f>IF($O106="","",IF(INDEX(Firms!$M$5:$M$1004,$O106)="","—",INDEX(Firms!$M$5:$M$1004,$O106)))</f>
        <v/>
      </c>
      <c r="O106">
        <f>IFERROR(MATCH(SMALL(Firms!$Y$5:$Y$1004,98),Firms!$W$5:$W$1004,0),"")</f>
        <v/>
      </c>
    </row>
    <row r="107">
      <c r="B107" s="78">
        <f>IF($O107="","",INDEX(Firms!$A$5:$A$1004,$O107))</f>
        <v/>
      </c>
      <c r="C107" s="79">
        <f>IF($O107="","",INDEX(Firms!$N$5:$N$1004,$O107)&amp;"")</f>
        <v/>
      </c>
      <c r="D107" s="79">
        <f>IF($O107="","",INDEX(Firms!$P$5:$P$1004,$O107)&amp;"")</f>
        <v/>
      </c>
      <c r="E107" s="79">
        <f>IF($O107="","",INDEX(Firms!$O$5:$O$1004,$O107)&amp;"")</f>
        <v/>
      </c>
      <c r="F107" s="50">
        <f>IF($O107="","",IF(INDEX(Firms!$F$5:$F$1004,$O107)="","—",INDEX(Firms!$F$5:$F$1004,$O107)))</f>
        <v/>
      </c>
      <c r="G107" s="50">
        <f>IF($O107="","",IF(INDEX(Firms!$G$5:$G$1004,$O107)="","—",INDEX(Firms!$G$5:$G$1004,$O107)))</f>
        <v/>
      </c>
      <c r="H107" s="50">
        <f>IF($O107="","",IF(INDEX(Firms!$H$5:$H$1004,$O107)="","—",INDEX(Firms!$H$5:$H$1004,$O107)))</f>
        <v/>
      </c>
      <c r="I107" s="50">
        <f>IF($O107="","",IF(INDEX(Firms!$I$5:$I$1004,$O107)="","—",INDEX(Firms!$I$5:$I$1004,$O107)))</f>
        <v/>
      </c>
      <c r="J107" s="50">
        <f>IF($O107="","",IF(INDEX(Firms!$J$5:$J$1004,$O107)="","—",INDEX(Firms!$J$5:$J$1004,$O107)))</f>
        <v/>
      </c>
      <c r="K107" s="50">
        <f>IF($O107="","",IF(INDEX(Firms!$K$5:$K$1004,$O107)="","—",INDEX(Firms!$K$5:$K$1004,$O107)))</f>
        <v/>
      </c>
      <c r="L107" s="50">
        <f>IF($O107="","",IF(INDEX(Firms!$L$5:$L$1004,$O107)="","—",INDEX(Firms!$L$5:$L$1004,$O107)))</f>
        <v/>
      </c>
      <c r="M107" s="50">
        <f>IF($O107="","",IF(INDEX(Firms!$M$5:$M$1004,$O107)="","—",INDEX(Firms!$M$5:$M$1004,$O107)))</f>
        <v/>
      </c>
      <c r="O107">
        <f>IFERROR(MATCH(SMALL(Firms!$Y$5:$Y$1004,99),Firms!$W$5:$W$1004,0),"")</f>
        <v/>
      </c>
    </row>
    <row r="108">
      <c r="B108" s="78">
        <f>IF($O108="","",INDEX(Firms!$A$5:$A$1004,$O108))</f>
        <v/>
      </c>
      <c r="C108" s="79">
        <f>IF($O108="","",INDEX(Firms!$N$5:$N$1004,$O108)&amp;"")</f>
        <v/>
      </c>
      <c r="D108" s="79">
        <f>IF($O108="","",INDEX(Firms!$P$5:$P$1004,$O108)&amp;"")</f>
        <v/>
      </c>
      <c r="E108" s="79">
        <f>IF($O108="","",INDEX(Firms!$O$5:$O$1004,$O108)&amp;"")</f>
        <v/>
      </c>
      <c r="F108" s="50">
        <f>IF($O108="","",IF(INDEX(Firms!$F$5:$F$1004,$O108)="","—",INDEX(Firms!$F$5:$F$1004,$O108)))</f>
        <v/>
      </c>
      <c r="G108" s="50">
        <f>IF($O108="","",IF(INDEX(Firms!$G$5:$G$1004,$O108)="","—",INDEX(Firms!$G$5:$G$1004,$O108)))</f>
        <v/>
      </c>
      <c r="H108" s="50">
        <f>IF($O108="","",IF(INDEX(Firms!$H$5:$H$1004,$O108)="","—",INDEX(Firms!$H$5:$H$1004,$O108)))</f>
        <v/>
      </c>
      <c r="I108" s="50">
        <f>IF($O108="","",IF(INDEX(Firms!$I$5:$I$1004,$O108)="","—",INDEX(Firms!$I$5:$I$1004,$O108)))</f>
        <v/>
      </c>
      <c r="J108" s="50">
        <f>IF($O108="","",IF(INDEX(Firms!$J$5:$J$1004,$O108)="","—",INDEX(Firms!$J$5:$J$1004,$O108)))</f>
        <v/>
      </c>
      <c r="K108" s="50">
        <f>IF($O108="","",IF(INDEX(Firms!$K$5:$K$1004,$O108)="","—",INDEX(Firms!$K$5:$K$1004,$O108)))</f>
        <v/>
      </c>
      <c r="L108" s="50">
        <f>IF($O108="","",IF(INDEX(Firms!$L$5:$L$1004,$O108)="","—",INDEX(Firms!$L$5:$L$1004,$O108)))</f>
        <v/>
      </c>
      <c r="M108" s="50">
        <f>IF($O108="","",IF(INDEX(Firms!$M$5:$M$1004,$O108)="","—",INDEX(Firms!$M$5:$M$1004,$O108)))</f>
        <v/>
      </c>
      <c r="O108">
        <f>IFERROR(MATCH(SMALL(Firms!$Y$5:$Y$1004,100),Firms!$W$5:$W$1004,0),"")</f>
        <v/>
      </c>
    </row>
    <row r="109">
      <c r="B109" s="78">
        <f>IF($O109="","",INDEX(Firms!$A$5:$A$1004,$O109))</f>
        <v/>
      </c>
      <c r="C109" s="79">
        <f>IF($O109="","",INDEX(Firms!$N$5:$N$1004,$O109)&amp;"")</f>
        <v/>
      </c>
      <c r="D109" s="79">
        <f>IF($O109="","",INDEX(Firms!$P$5:$P$1004,$O109)&amp;"")</f>
        <v/>
      </c>
      <c r="E109" s="79">
        <f>IF($O109="","",INDEX(Firms!$O$5:$O$1004,$O109)&amp;"")</f>
        <v/>
      </c>
      <c r="F109" s="50">
        <f>IF($O109="","",IF(INDEX(Firms!$F$5:$F$1004,$O109)="","—",INDEX(Firms!$F$5:$F$1004,$O109)))</f>
        <v/>
      </c>
      <c r="G109" s="50">
        <f>IF($O109="","",IF(INDEX(Firms!$G$5:$G$1004,$O109)="","—",INDEX(Firms!$G$5:$G$1004,$O109)))</f>
        <v/>
      </c>
      <c r="H109" s="50">
        <f>IF($O109="","",IF(INDEX(Firms!$H$5:$H$1004,$O109)="","—",INDEX(Firms!$H$5:$H$1004,$O109)))</f>
        <v/>
      </c>
      <c r="I109" s="50">
        <f>IF($O109="","",IF(INDEX(Firms!$I$5:$I$1004,$O109)="","—",INDEX(Firms!$I$5:$I$1004,$O109)))</f>
        <v/>
      </c>
      <c r="J109" s="50">
        <f>IF($O109="","",IF(INDEX(Firms!$J$5:$J$1004,$O109)="","—",INDEX(Firms!$J$5:$J$1004,$O109)))</f>
        <v/>
      </c>
      <c r="K109" s="50">
        <f>IF($O109="","",IF(INDEX(Firms!$K$5:$K$1004,$O109)="","—",INDEX(Firms!$K$5:$K$1004,$O109)))</f>
        <v/>
      </c>
      <c r="L109" s="50">
        <f>IF($O109="","",IF(INDEX(Firms!$L$5:$L$1004,$O109)="","—",INDEX(Firms!$L$5:$L$1004,$O109)))</f>
        <v/>
      </c>
      <c r="M109" s="50">
        <f>IF($O109="","",IF(INDEX(Firms!$M$5:$M$1004,$O109)="","—",INDEX(Firms!$M$5:$M$1004,$O109)))</f>
        <v/>
      </c>
      <c r="O109">
        <f>IFERROR(MATCH(SMALL(Firms!$Y$5:$Y$1004,101),Firms!$W$5:$W$1004,0),"")</f>
        <v/>
      </c>
    </row>
    <row r="110">
      <c r="B110" s="78">
        <f>IF($O110="","",INDEX(Firms!$A$5:$A$1004,$O110))</f>
        <v/>
      </c>
      <c r="C110" s="79">
        <f>IF($O110="","",INDEX(Firms!$N$5:$N$1004,$O110)&amp;"")</f>
        <v/>
      </c>
      <c r="D110" s="79">
        <f>IF($O110="","",INDEX(Firms!$P$5:$P$1004,$O110)&amp;"")</f>
        <v/>
      </c>
      <c r="E110" s="79">
        <f>IF($O110="","",INDEX(Firms!$O$5:$O$1004,$O110)&amp;"")</f>
        <v/>
      </c>
      <c r="F110" s="50">
        <f>IF($O110="","",IF(INDEX(Firms!$F$5:$F$1004,$O110)="","—",INDEX(Firms!$F$5:$F$1004,$O110)))</f>
        <v/>
      </c>
      <c r="G110" s="50">
        <f>IF($O110="","",IF(INDEX(Firms!$G$5:$G$1004,$O110)="","—",INDEX(Firms!$G$5:$G$1004,$O110)))</f>
        <v/>
      </c>
      <c r="H110" s="50">
        <f>IF($O110="","",IF(INDEX(Firms!$H$5:$H$1004,$O110)="","—",INDEX(Firms!$H$5:$H$1004,$O110)))</f>
        <v/>
      </c>
      <c r="I110" s="50">
        <f>IF($O110="","",IF(INDEX(Firms!$I$5:$I$1004,$O110)="","—",INDEX(Firms!$I$5:$I$1004,$O110)))</f>
        <v/>
      </c>
      <c r="J110" s="50">
        <f>IF($O110="","",IF(INDEX(Firms!$J$5:$J$1004,$O110)="","—",INDEX(Firms!$J$5:$J$1004,$O110)))</f>
        <v/>
      </c>
      <c r="K110" s="50">
        <f>IF($O110="","",IF(INDEX(Firms!$K$5:$K$1004,$O110)="","—",INDEX(Firms!$K$5:$K$1004,$O110)))</f>
        <v/>
      </c>
      <c r="L110" s="50">
        <f>IF($O110="","",IF(INDEX(Firms!$L$5:$L$1004,$O110)="","—",INDEX(Firms!$L$5:$L$1004,$O110)))</f>
        <v/>
      </c>
      <c r="M110" s="50">
        <f>IF($O110="","",IF(INDEX(Firms!$M$5:$M$1004,$O110)="","—",INDEX(Firms!$M$5:$M$1004,$O110)))</f>
        <v/>
      </c>
      <c r="O110">
        <f>IFERROR(MATCH(SMALL(Firms!$Y$5:$Y$1004,102),Firms!$W$5:$W$1004,0),"")</f>
        <v/>
      </c>
    </row>
    <row r="111">
      <c r="B111" s="78">
        <f>IF($O111="","",INDEX(Firms!$A$5:$A$1004,$O111))</f>
        <v/>
      </c>
      <c r="C111" s="79">
        <f>IF($O111="","",INDEX(Firms!$N$5:$N$1004,$O111)&amp;"")</f>
        <v/>
      </c>
      <c r="D111" s="79">
        <f>IF($O111="","",INDEX(Firms!$P$5:$P$1004,$O111)&amp;"")</f>
        <v/>
      </c>
      <c r="E111" s="79">
        <f>IF($O111="","",INDEX(Firms!$O$5:$O$1004,$O111)&amp;"")</f>
        <v/>
      </c>
      <c r="F111" s="50">
        <f>IF($O111="","",IF(INDEX(Firms!$F$5:$F$1004,$O111)="","—",INDEX(Firms!$F$5:$F$1004,$O111)))</f>
        <v/>
      </c>
      <c r="G111" s="50">
        <f>IF($O111="","",IF(INDEX(Firms!$G$5:$G$1004,$O111)="","—",INDEX(Firms!$G$5:$G$1004,$O111)))</f>
        <v/>
      </c>
      <c r="H111" s="50">
        <f>IF($O111="","",IF(INDEX(Firms!$H$5:$H$1004,$O111)="","—",INDEX(Firms!$H$5:$H$1004,$O111)))</f>
        <v/>
      </c>
      <c r="I111" s="50">
        <f>IF($O111="","",IF(INDEX(Firms!$I$5:$I$1004,$O111)="","—",INDEX(Firms!$I$5:$I$1004,$O111)))</f>
        <v/>
      </c>
      <c r="J111" s="50">
        <f>IF($O111="","",IF(INDEX(Firms!$J$5:$J$1004,$O111)="","—",INDEX(Firms!$J$5:$J$1004,$O111)))</f>
        <v/>
      </c>
      <c r="K111" s="50">
        <f>IF($O111="","",IF(INDEX(Firms!$K$5:$K$1004,$O111)="","—",INDEX(Firms!$K$5:$K$1004,$O111)))</f>
        <v/>
      </c>
      <c r="L111" s="50">
        <f>IF($O111="","",IF(INDEX(Firms!$L$5:$L$1004,$O111)="","—",INDEX(Firms!$L$5:$L$1004,$O111)))</f>
        <v/>
      </c>
      <c r="M111" s="50">
        <f>IF($O111="","",IF(INDEX(Firms!$M$5:$M$1004,$O111)="","—",INDEX(Firms!$M$5:$M$1004,$O111)))</f>
        <v/>
      </c>
      <c r="O111">
        <f>IFERROR(MATCH(SMALL(Firms!$Y$5:$Y$1004,103),Firms!$W$5:$W$1004,0),"")</f>
        <v/>
      </c>
    </row>
    <row r="112">
      <c r="B112" s="78">
        <f>IF($O112="","",INDEX(Firms!$A$5:$A$1004,$O112))</f>
        <v/>
      </c>
      <c r="C112" s="79">
        <f>IF($O112="","",INDEX(Firms!$N$5:$N$1004,$O112)&amp;"")</f>
        <v/>
      </c>
      <c r="D112" s="79">
        <f>IF($O112="","",INDEX(Firms!$P$5:$P$1004,$O112)&amp;"")</f>
        <v/>
      </c>
      <c r="E112" s="79">
        <f>IF($O112="","",INDEX(Firms!$O$5:$O$1004,$O112)&amp;"")</f>
        <v/>
      </c>
      <c r="F112" s="50">
        <f>IF($O112="","",IF(INDEX(Firms!$F$5:$F$1004,$O112)="","—",INDEX(Firms!$F$5:$F$1004,$O112)))</f>
        <v/>
      </c>
      <c r="G112" s="50">
        <f>IF($O112="","",IF(INDEX(Firms!$G$5:$G$1004,$O112)="","—",INDEX(Firms!$G$5:$G$1004,$O112)))</f>
        <v/>
      </c>
      <c r="H112" s="50">
        <f>IF($O112="","",IF(INDEX(Firms!$H$5:$H$1004,$O112)="","—",INDEX(Firms!$H$5:$H$1004,$O112)))</f>
        <v/>
      </c>
      <c r="I112" s="50">
        <f>IF($O112="","",IF(INDEX(Firms!$I$5:$I$1004,$O112)="","—",INDEX(Firms!$I$5:$I$1004,$O112)))</f>
        <v/>
      </c>
      <c r="J112" s="50">
        <f>IF($O112="","",IF(INDEX(Firms!$J$5:$J$1004,$O112)="","—",INDEX(Firms!$J$5:$J$1004,$O112)))</f>
        <v/>
      </c>
      <c r="K112" s="50">
        <f>IF($O112="","",IF(INDEX(Firms!$K$5:$K$1004,$O112)="","—",INDEX(Firms!$K$5:$K$1004,$O112)))</f>
        <v/>
      </c>
      <c r="L112" s="50">
        <f>IF($O112="","",IF(INDEX(Firms!$L$5:$L$1004,$O112)="","—",INDEX(Firms!$L$5:$L$1004,$O112)))</f>
        <v/>
      </c>
      <c r="M112" s="50">
        <f>IF($O112="","",IF(INDEX(Firms!$M$5:$M$1004,$O112)="","—",INDEX(Firms!$M$5:$M$1004,$O112)))</f>
        <v/>
      </c>
      <c r="O112">
        <f>IFERROR(MATCH(SMALL(Firms!$Y$5:$Y$1004,104),Firms!$W$5:$W$1004,0),"")</f>
        <v/>
      </c>
    </row>
    <row r="113">
      <c r="B113" s="78">
        <f>IF($O113="","",INDEX(Firms!$A$5:$A$1004,$O113))</f>
        <v/>
      </c>
      <c r="C113" s="79">
        <f>IF($O113="","",INDEX(Firms!$N$5:$N$1004,$O113)&amp;"")</f>
        <v/>
      </c>
      <c r="D113" s="79">
        <f>IF($O113="","",INDEX(Firms!$P$5:$P$1004,$O113)&amp;"")</f>
        <v/>
      </c>
      <c r="E113" s="79">
        <f>IF($O113="","",INDEX(Firms!$O$5:$O$1004,$O113)&amp;"")</f>
        <v/>
      </c>
      <c r="F113" s="50">
        <f>IF($O113="","",IF(INDEX(Firms!$F$5:$F$1004,$O113)="","—",INDEX(Firms!$F$5:$F$1004,$O113)))</f>
        <v/>
      </c>
      <c r="G113" s="50">
        <f>IF($O113="","",IF(INDEX(Firms!$G$5:$G$1004,$O113)="","—",INDEX(Firms!$G$5:$G$1004,$O113)))</f>
        <v/>
      </c>
      <c r="H113" s="50">
        <f>IF($O113="","",IF(INDEX(Firms!$H$5:$H$1004,$O113)="","—",INDEX(Firms!$H$5:$H$1004,$O113)))</f>
        <v/>
      </c>
      <c r="I113" s="50">
        <f>IF($O113="","",IF(INDEX(Firms!$I$5:$I$1004,$O113)="","—",INDEX(Firms!$I$5:$I$1004,$O113)))</f>
        <v/>
      </c>
      <c r="J113" s="50">
        <f>IF($O113="","",IF(INDEX(Firms!$J$5:$J$1004,$O113)="","—",INDEX(Firms!$J$5:$J$1004,$O113)))</f>
        <v/>
      </c>
      <c r="K113" s="50">
        <f>IF($O113="","",IF(INDEX(Firms!$K$5:$K$1004,$O113)="","—",INDEX(Firms!$K$5:$K$1004,$O113)))</f>
        <v/>
      </c>
      <c r="L113" s="50">
        <f>IF($O113="","",IF(INDEX(Firms!$L$5:$L$1004,$O113)="","—",INDEX(Firms!$L$5:$L$1004,$O113)))</f>
        <v/>
      </c>
      <c r="M113" s="50">
        <f>IF($O113="","",IF(INDEX(Firms!$M$5:$M$1004,$O113)="","—",INDEX(Firms!$M$5:$M$1004,$O113)))</f>
        <v/>
      </c>
      <c r="O113">
        <f>IFERROR(MATCH(SMALL(Firms!$Y$5:$Y$1004,105),Firms!$W$5:$W$1004,0),"")</f>
        <v/>
      </c>
    </row>
    <row r="114">
      <c r="B114" s="78">
        <f>IF($O114="","",INDEX(Firms!$A$5:$A$1004,$O114))</f>
        <v/>
      </c>
      <c r="C114" s="79">
        <f>IF($O114="","",INDEX(Firms!$N$5:$N$1004,$O114)&amp;"")</f>
        <v/>
      </c>
      <c r="D114" s="79">
        <f>IF($O114="","",INDEX(Firms!$P$5:$P$1004,$O114)&amp;"")</f>
        <v/>
      </c>
      <c r="E114" s="79">
        <f>IF($O114="","",INDEX(Firms!$O$5:$O$1004,$O114)&amp;"")</f>
        <v/>
      </c>
      <c r="F114" s="50">
        <f>IF($O114="","",IF(INDEX(Firms!$F$5:$F$1004,$O114)="","—",INDEX(Firms!$F$5:$F$1004,$O114)))</f>
        <v/>
      </c>
      <c r="G114" s="50">
        <f>IF($O114="","",IF(INDEX(Firms!$G$5:$G$1004,$O114)="","—",INDEX(Firms!$G$5:$G$1004,$O114)))</f>
        <v/>
      </c>
      <c r="H114" s="50">
        <f>IF($O114="","",IF(INDEX(Firms!$H$5:$H$1004,$O114)="","—",INDEX(Firms!$H$5:$H$1004,$O114)))</f>
        <v/>
      </c>
      <c r="I114" s="50">
        <f>IF($O114="","",IF(INDEX(Firms!$I$5:$I$1004,$O114)="","—",INDEX(Firms!$I$5:$I$1004,$O114)))</f>
        <v/>
      </c>
      <c r="J114" s="50">
        <f>IF($O114="","",IF(INDEX(Firms!$J$5:$J$1004,$O114)="","—",INDEX(Firms!$J$5:$J$1004,$O114)))</f>
        <v/>
      </c>
      <c r="K114" s="50">
        <f>IF($O114="","",IF(INDEX(Firms!$K$5:$K$1004,$O114)="","—",INDEX(Firms!$K$5:$K$1004,$O114)))</f>
        <v/>
      </c>
      <c r="L114" s="50">
        <f>IF($O114="","",IF(INDEX(Firms!$L$5:$L$1004,$O114)="","—",INDEX(Firms!$L$5:$L$1004,$O114)))</f>
        <v/>
      </c>
      <c r="M114" s="50">
        <f>IF($O114="","",IF(INDEX(Firms!$M$5:$M$1004,$O114)="","—",INDEX(Firms!$M$5:$M$1004,$O114)))</f>
        <v/>
      </c>
      <c r="O114">
        <f>IFERROR(MATCH(SMALL(Firms!$Y$5:$Y$1004,106),Firms!$W$5:$W$1004,0),"")</f>
        <v/>
      </c>
    </row>
    <row r="115">
      <c r="B115" s="78">
        <f>IF($O115="","",INDEX(Firms!$A$5:$A$1004,$O115))</f>
        <v/>
      </c>
      <c r="C115" s="79">
        <f>IF($O115="","",INDEX(Firms!$N$5:$N$1004,$O115)&amp;"")</f>
        <v/>
      </c>
      <c r="D115" s="79">
        <f>IF($O115="","",INDEX(Firms!$P$5:$P$1004,$O115)&amp;"")</f>
        <v/>
      </c>
      <c r="E115" s="79">
        <f>IF($O115="","",INDEX(Firms!$O$5:$O$1004,$O115)&amp;"")</f>
        <v/>
      </c>
      <c r="F115" s="50">
        <f>IF($O115="","",IF(INDEX(Firms!$F$5:$F$1004,$O115)="","—",INDEX(Firms!$F$5:$F$1004,$O115)))</f>
        <v/>
      </c>
      <c r="G115" s="50">
        <f>IF($O115="","",IF(INDEX(Firms!$G$5:$G$1004,$O115)="","—",INDEX(Firms!$G$5:$G$1004,$O115)))</f>
        <v/>
      </c>
      <c r="H115" s="50">
        <f>IF($O115="","",IF(INDEX(Firms!$H$5:$H$1004,$O115)="","—",INDEX(Firms!$H$5:$H$1004,$O115)))</f>
        <v/>
      </c>
      <c r="I115" s="50">
        <f>IF($O115="","",IF(INDEX(Firms!$I$5:$I$1004,$O115)="","—",INDEX(Firms!$I$5:$I$1004,$O115)))</f>
        <v/>
      </c>
      <c r="J115" s="50">
        <f>IF($O115="","",IF(INDEX(Firms!$J$5:$J$1004,$O115)="","—",INDEX(Firms!$J$5:$J$1004,$O115)))</f>
        <v/>
      </c>
      <c r="K115" s="50">
        <f>IF($O115="","",IF(INDEX(Firms!$K$5:$K$1004,$O115)="","—",INDEX(Firms!$K$5:$K$1004,$O115)))</f>
        <v/>
      </c>
      <c r="L115" s="50">
        <f>IF($O115="","",IF(INDEX(Firms!$L$5:$L$1004,$O115)="","—",INDEX(Firms!$L$5:$L$1004,$O115)))</f>
        <v/>
      </c>
      <c r="M115" s="50">
        <f>IF($O115="","",IF(INDEX(Firms!$M$5:$M$1004,$O115)="","—",INDEX(Firms!$M$5:$M$1004,$O115)))</f>
        <v/>
      </c>
      <c r="O115">
        <f>IFERROR(MATCH(SMALL(Firms!$Y$5:$Y$1004,107),Firms!$W$5:$W$1004,0),"")</f>
        <v/>
      </c>
    </row>
    <row r="116">
      <c r="B116" s="78">
        <f>IF($O116="","",INDEX(Firms!$A$5:$A$1004,$O116))</f>
        <v/>
      </c>
      <c r="C116" s="79">
        <f>IF($O116="","",INDEX(Firms!$N$5:$N$1004,$O116)&amp;"")</f>
        <v/>
      </c>
      <c r="D116" s="79">
        <f>IF($O116="","",INDEX(Firms!$P$5:$P$1004,$O116)&amp;"")</f>
        <v/>
      </c>
      <c r="E116" s="79">
        <f>IF($O116="","",INDEX(Firms!$O$5:$O$1004,$O116)&amp;"")</f>
        <v/>
      </c>
      <c r="F116" s="50">
        <f>IF($O116="","",IF(INDEX(Firms!$F$5:$F$1004,$O116)="","—",INDEX(Firms!$F$5:$F$1004,$O116)))</f>
        <v/>
      </c>
      <c r="G116" s="50">
        <f>IF($O116="","",IF(INDEX(Firms!$G$5:$G$1004,$O116)="","—",INDEX(Firms!$G$5:$G$1004,$O116)))</f>
        <v/>
      </c>
      <c r="H116" s="50">
        <f>IF($O116="","",IF(INDEX(Firms!$H$5:$H$1004,$O116)="","—",INDEX(Firms!$H$5:$H$1004,$O116)))</f>
        <v/>
      </c>
      <c r="I116" s="50">
        <f>IF($O116="","",IF(INDEX(Firms!$I$5:$I$1004,$O116)="","—",INDEX(Firms!$I$5:$I$1004,$O116)))</f>
        <v/>
      </c>
      <c r="J116" s="50">
        <f>IF($O116="","",IF(INDEX(Firms!$J$5:$J$1004,$O116)="","—",INDEX(Firms!$J$5:$J$1004,$O116)))</f>
        <v/>
      </c>
      <c r="K116" s="50">
        <f>IF($O116="","",IF(INDEX(Firms!$K$5:$K$1004,$O116)="","—",INDEX(Firms!$K$5:$K$1004,$O116)))</f>
        <v/>
      </c>
      <c r="L116" s="50">
        <f>IF($O116="","",IF(INDEX(Firms!$L$5:$L$1004,$O116)="","—",INDEX(Firms!$L$5:$L$1004,$O116)))</f>
        <v/>
      </c>
      <c r="M116" s="50">
        <f>IF($O116="","",IF(INDEX(Firms!$M$5:$M$1004,$O116)="","—",INDEX(Firms!$M$5:$M$1004,$O116)))</f>
        <v/>
      </c>
      <c r="O116">
        <f>IFERROR(MATCH(SMALL(Firms!$Y$5:$Y$1004,108),Firms!$W$5:$W$1004,0),"")</f>
        <v/>
      </c>
    </row>
    <row r="117">
      <c r="B117" s="78">
        <f>IF($O117="","",INDEX(Firms!$A$5:$A$1004,$O117))</f>
        <v/>
      </c>
      <c r="C117" s="79">
        <f>IF($O117="","",INDEX(Firms!$N$5:$N$1004,$O117)&amp;"")</f>
        <v/>
      </c>
      <c r="D117" s="79">
        <f>IF($O117="","",INDEX(Firms!$P$5:$P$1004,$O117)&amp;"")</f>
        <v/>
      </c>
      <c r="E117" s="79">
        <f>IF($O117="","",INDEX(Firms!$O$5:$O$1004,$O117)&amp;"")</f>
        <v/>
      </c>
      <c r="F117" s="50">
        <f>IF($O117="","",IF(INDEX(Firms!$F$5:$F$1004,$O117)="","—",INDEX(Firms!$F$5:$F$1004,$O117)))</f>
        <v/>
      </c>
      <c r="G117" s="50">
        <f>IF($O117="","",IF(INDEX(Firms!$G$5:$G$1004,$O117)="","—",INDEX(Firms!$G$5:$G$1004,$O117)))</f>
        <v/>
      </c>
      <c r="H117" s="50">
        <f>IF($O117="","",IF(INDEX(Firms!$H$5:$H$1004,$O117)="","—",INDEX(Firms!$H$5:$H$1004,$O117)))</f>
        <v/>
      </c>
      <c r="I117" s="50">
        <f>IF($O117="","",IF(INDEX(Firms!$I$5:$I$1004,$O117)="","—",INDEX(Firms!$I$5:$I$1004,$O117)))</f>
        <v/>
      </c>
      <c r="J117" s="50">
        <f>IF($O117="","",IF(INDEX(Firms!$J$5:$J$1004,$O117)="","—",INDEX(Firms!$J$5:$J$1004,$O117)))</f>
        <v/>
      </c>
      <c r="K117" s="50">
        <f>IF($O117="","",IF(INDEX(Firms!$K$5:$K$1004,$O117)="","—",INDEX(Firms!$K$5:$K$1004,$O117)))</f>
        <v/>
      </c>
      <c r="L117" s="50">
        <f>IF($O117="","",IF(INDEX(Firms!$L$5:$L$1004,$O117)="","—",INDEX(Firms!$L$5:$L$1004,$O117)))</f>
        <v/>
      </c>
      <c r="M117" s="50">
        <f>IF($O117="","",IF(INDEX(Firms!$M$5:$M$1004,$O117)="","—",INDEX(Firms!$M$5:$M$1004,$O117)))</f>
        <v/>
      </c>
      <c r="O117">
        <f>IFERROR(MATCH(SMALL(Firms!$Y$5:$Y$1004,109),Firms!$W$5:$W$1004,0),"")</f>
        <v/>
      </c>
    </row>
    <row r="118">
      <c r="B118" s="78">
        <f>IF($O118="","",INDEX(Firms!$A$5:$A$1004,$O118))</f>
        <v/>
      </c>
      <c r="C118" s="79">
        <f>IF($O118="","",INDEX(Firms!$N$5:$N$1004,$O118)&amp;"")</f>
        <v/>
      </c>
      <c r="D118" s="79">
        <f>IF($O118="","",INDEX(Firms!$P$5:$P$1004,$O118)&amp;"")</f>
        <v/>
      </c>
      <c r="E118" s="79">
        <f>IF($O118="","",INDEX(Firms!$O$5:$O$1004,$O118)&amp;"")</f>
        <v/>
      </c>
      <c r="F118" s="50">
        <f>IF($O118="","",IF(INDEX(Firms!$F$5:$F$1004,$O118)="","—",INDEX(Firms!$F$5:$F$1004,$O118)))</f>
        <v/>
      </c>
      <c r="G118" s="50">
        <f>IF($O118="","",IF(INDEX(Firms!$G$5:$G$1004,$O118)="","—",INDEX(Firms!$G$5:$G$1004,$O118)))</f>
        <v/>
      </c>
      <c r="H118" s="50">
        <f>IF($O118="","",IF(INDEX(Firms!$H$5:$H$1004,$O118)="","—",INDEX(Firms!$H$5:$H$1004,$O118)))</f>
        <v/>
      </c>
      <c r="I118" s="50">
        <f>IF($O118="","",IF(INDEX(Firms!$I$5:$I$1004,$O118)="","—",INDEX(Firms!$I$5:$I$1004,$O118)))</f>
        <v/>
      </c>
      <c r="J118" s="50">
        <f>IF($O118="","",IF(INDEX(Firms!$J$5:$J$1004,$O118)="","—",INDEX(Firms!$J$5:$J$1004,$O118)))</f>
        <v/>
      </c>
      <c r="K118" s="50">
        <f>IF($O118="","",IF(INDEX(Firms!$K$5:$K$1004,$O118)="","—",INDEX(Firms!$K$5:$K$1004,$O118)))</f>
        <v/>
      </c>
      <c r="L118" s="50">
        <f>IF($O118="","",IF(INDEX(Firms!$L$5:$L$1004,$O118)="","—",INDEX(Firms!$L$5:$L$1004,$O118)))</f>
        <v/>
      </c>
      <c r="M118" s="50">
        <f>IF($O118="","",IF(INDEX(Firms!$M$5:$M$1004,$O118)="","—",INDEX(Firms!$M$5:$M$1004,$O118)))</f>
        <v/>
      </c>
      <c r="O118">
        <f>IFERROR(MATCH(SMALL(Firms!$Y$5:$Y$1004,110),Firms!$W$5:$W$1004,0),"")</f>
        <v/>
      </c>
    </row>
    <row r="119">
      <c r="B119" s="78">
        <f>IF($O119="","",INDEX(Firms!$A$5:$A$1004,$O119))</f>
        <v/>
      </c>
      <c r="C119" s="79">
        <f>IF($O119="","",INDEX(Firms!$N$5:$N$1004,$O119)&amp;"")</f>
        <v/>
      </c>
      <c r="D119" s="79">
        <f>IF($O119="","",INDEX(Firms!$P$5:$P$1004,$O119)&amp;"")</f>
        <v/>
      </c>
      <c r="E119" s="79">
        <f>IF($O119="","",INDEX(Firms!$O$5:$O$1004,$O119)&amp;"")</f>
        <v/>
      </c>
      <c r="F119" s="50">
        <f>IF($O119="","",IF(INDEX(Firms!$F$5:$F$1004,$O119)="","—",INDEX(Firms!$F$5:$F$1004,$O119)))</f>
        <v/>
      </c>
      <c r="G119" s="50">
        <f>IF($O119="","",IF(INDEX(Firms!$G$5:$G$1004,$O119)="","—",INDEX(Firms!$G$5:$G$1004,$O119)))</f>
        <v/>
      </c>
      <c r="H119" s="50">
        <f>IF($O119="","",IF(INDEX(Firms!$H$5:$H$1004,$O119)="","—",INDEX(Firms!$H$5:$H$1004,$O119)))</f>
        <v/>
      </c>
      <c r="I119" s="50">
        <f>IF($O119="","",IF(INDEX(Firms!$I$5:$I$1004,$O119)="","—",INDEX(Firms!$I$5:$I$1004,$O119)))</f>
        <v/>
      </c>
      <c r="J119" s="50">
        <f>IF($O119="","",IF(INDEX(Firms!$J$5:$J$1004,$O119)="","—",INDEX(Firms!$J$5:$J$1004,$O119)))</f>
        <v/>
      </c>
      <c r="K119" s="50">
        <f>IF($O119="","",IF(INDEX(Firms!$K$5:$K$1004,$O119)="","—",INDEX(Firms!$K$5:$K$1004,$O119)))</f>
        <v/>
      </c>
      <c r="L119" s="50">
        <f>IF($O119="","",IF(INDEX(Firms!$L$5:$L$1004,$O119)="","—",INDEX(Firms!$L$5:$L$1004,$O119)))</f>
        <v/>
      </c>
      <c r="M119" s="50">
        <f>IF($O119="","",IF(INDEX(Firms!$M$5:$M$1004,$O119)="","—",INDEX(Firms!$M$5:$M$1004,$O119)))</f>
        <v/>
      </c>
      <c r="O119">
        <f>IFERROR(MATCH(SMALL(Firms!$Y$5:$Y$1004,111),Firms!$W$5:$W$1004,0),"")</f>
        <v/>
      </c>
    </row>
    <row r="120">
      <c r="B120" s="78">
        <f>IF($O120="","",INDEX(Firms!$A$5:$A$1004,$O120))</f>
        <v/>
      </c>
      <c r="C120" s="79">
        <f>IF($O120="","",INDEX(Firms!$N$5:$N$1004,$O120)&amp;"")</f>
        <v/>
      </c>
      <c r="D120" s="79">
        <f>IF($O120="","",INDEX(Firms!$P$5:$P$1004,$O120)&amp;"")</f>
        <v/>
      </c>
      <c r="E120" s="79">
        <f>IF($O120="","",INDEX(Firms!$O$5:$O$1004,$O120)&amp;"")</f>
        <v/>
      </c>
      <c r="F120" s="50">
        <f>IF($O120="","",IF(INDEX(Firms!$F$5:$F$1004,$O120)="","—",INDEX(Firms!$F$5:$F$1004,$O120)))</f>
        <v/>
      </c>
      <c r="G120" s="50">
        <f>IF($O120="","",IF(INDEX(Firms!$G$5:$G$1004,$O120)="","—",INDEX(Firms!$G$5:$G$1004,$O120)))</f>
        <v/>
      </c>
      <c r="H120" s="50">
        <f>IF($O120="","",IF(INDEX(Firms!$H$5:$H$1004,$O120)="","—",INDEX(Firms!$H$5:$H$1004,$O120)))</f>
        <v/>
      </c>
      <c r="I120" s="50">
        <f>IF($O120="","",IF(INDEX(Firms!$I$5:$I$1004,$O120)="","—",INDEX(Firms!$I$5:$I$1004,$O120)))</f>
        <v/>
      </c>
      <c r="J120" s="50">
        <f>IF($O120="","",IF(INDEX(Firms!$J$5:$J$1004,$O120)="","—",INDEX(Firms!$J$5:$J$1004,$O120)))</f>
        <v/>
      </c>
      <c r="K120" s="50">
        <f>IF($O120="","",IF(INDEX(Firms!$K$5:$K$1004,$O120)="","—",INDEX(Firms!$K$5:$K$1004,$O120)))</f>
        <v/>
      </c>
      <c r="L120" s="50">
        <f>IF($O120="","",IF(INDEX(Firms!$L$5:$L$1004,$O120)="","—",INDEX(Firms!$L$5:$L$1004,$O120)))</f>
        <v/>
      </c>
      <c r="M120" s="50">
        <f>IF($O120="","",IF(INDEX(Firms!$M$5:$M$1004,$O120)="","—",INDEX(Firms!$M$5:$M$1004,$O120)))</f>
        <v/>
      </c>
      <c r="O120">
        <f>IFERROR(MATCH(SMALL(Firms!$Y$5:$Y$1004,112),Firms!$W$5:$W$1004,0),"")</f>
        <v/>
      </c>
    </row>
    <row r="121">
      <c r="B121" s="78">
        <f>IF($O121="","",INDEX(Firms!$A$5:$A$1004,$O121))</f>
        <v/>
      </c>
      <c r="C121" s="79">
        <f>IF($O121="","",INDEX(Firms!$N$5:$N$1004,$O121)&amp;"")</f>
        <v/>
      </c>
      <c r="D121" s="79">
        <f>IF($O121="","",INDEX(Firms!$P$5:$P$1004,$O121)&amp;"")</f>
        <v/>
      </c>
      <c r="E121" s="79">
        <f>IF($O121="","",INDEX(Firms!$O$5:$O$1004,$O121)&amp;"")</f>
        <v/>
      </c>
      <c r="F121" s="50">
        <f>IF($O121="","",IF(INDEX(Firms!$F$5:$F$1004,$O121)="","—",INDEX(Firms!$F$5:$F$1004,$O121)))</f>
        <v/>
      </c>
      <c r="G121" s="50">
        <f>IF($O121="","",IF(INDEX(Firms!$G$5:$G$1004,$O121)="","—",INDEX(Firms!$G$5:$G$1004,$O121)))</f>
        <v/>
      </c>
      <c r="H121" s="50">
        <f>IF($O121="","",IF(INDEX(Firms!$H$5:$H$1004,$O121)="","—",INDEX(Firms!$H$5:$H$1004,$O121)))</f>
        <v/>
      </c>
      <c r="I121" s="50">
        <f>IF($O121="","",IF(INDEX(Firms!$I$5:$I$1004,$O121)="","—",INDEX(Firms!$I$5:$I$1004,$O121)))</f>
        <v/>
      </c>
      <c r="J121" s="50">
        <f>IF($O121="","",IF(INDEX(Firms!$J$5:$J$1004,$O121)="","—",INDEX(Firms!$J$5:$J$1004,$O121)))</f>
        <v/>
      </c>
      <c r="K121" s="50">
        <f>IF($O121="","",IF(INDEX(Firms!$K$5:$K$1004,$O121)="","—",INDEX(Firms!$K$5:$K$1004,$O121)))</f>
        <v/>
      </c>
      <c r="L121" s="50">
        <f>IF($O121="","",IF(INDEX(Firms!$L$5:$L$1004,$O121)="","—",INDEX(Firms!$L$5:$L$1004,$O121)))</f>
        <v/>
      </c>
      <c r="M121" s="50">
        <f>IF($O121="","",IF(INDEX(Firms!$M$5:$M$1004,$O121)="","—",INDEX(Firms!$M$5:$M$1004,$O121)))</f>
        <v/>
      </c>
      <c r="O121">
        <f>IFERROR(MATCH(SMALL(Firms!$Y$5:$Y$1004,113),Firms!$W$5:$W$1004,0),"")</f>
        <v/>
      </c>
    </row>
    <row r="122">
      <c r="B122" s="78">
        <f>IF($O122="","",INDEX(Firms!$A$5:$A$1004,$O122))</f>
        <v/>
      </c>
      <c r="C122" s="79">
        <f>IF($O122="","",INDEX(Firms!$N$5:$N$1004,$O122)&amp;"")</f>
        <v/>
      </c>
      <c r="D122" s="79">
        <f>IF($O122="","",INDEX(Firms!$P$5:$P$1004,$O122)&amp;"")</f>
        <v/>
      </c>
      <c r="E122" s="79">
        <f>IF($O122="","",INDEX(Firms!$O$5:$O$1004,$O122)&amp;"")</f>
        <v/>
      </c>
      <c r="F122" s="50">
        <f>IF($O122="","",IF(INDEX(Firms!$F$5:$F$1004,$O122)="","—",INDEX(Firms!$F$5:$F$1004,$O122)))</f>
        <v/>
      </c>
      <c r="G122" s="50">
        <f>IF($O122="","",IF(INDEX(Firms!$G$5:$G$1004,$O122)="","—",INDEX(Firms!$G$5:$G$1004,$O122)))</f>
        <v/>
      </c>
      <c r="H122" s="50">
        <f>IF($O122="","",IF(INDEX(Firms!$H$5:$H$1004,$O122)="","—",INDEX(Firms!$H$5:$H$1004,$O122)))</f>
        <v/>
      </c>
      <c r="I122" s="50">
        <f>IF($O122="","",IF(INDEX(Firms!$I$5:$I$1004,$O122)="","—",INDEX(Firms!$I$5:$I$1004,$O122)))</f>
        <v/>
      </c>
      <c r="J122" s="50">
        <f>IF($O122="","",IF(INDEX(Firms!$J$5:$J$1004,$O122)="","—",INDEX(Firms!$J$5:$J$1004,$O122)))</f>
        <v/>
      </c>
      <c r="K122" s="50">
        <f>IF($O122="","",IF(INDEX(Firms!$K$5:$K$1004,$O122)="","—",INDEX(Firms!$K$5:$K$1004,$O122)))</f>
        <v/>
      </c>
      <c r="L122" s="50">
        <f>IF($O122="","",IF(INDEX(Firms!$L$5:$L$1004,$O122)="","—",INDEX(Firms!$L$5:$L$1004,$O122)))</f>
        <v/>
      </c>
      <c r="M122" s="50">
        <f>IF($O122="","",IF(INDEX(Firms!$M$5:$M$1004,$O122)="","—",INDEX(Firms!$M$5:$M$1004,$O122)))</f>
        <v/>
      </c>
      <c r="O122">
        <f>IFERROR(MATCH(SMALL(Firms!$Y$5:$Y$1004,114),Firms!$W$5:$W$1004,0),"")</f>
        <v/>
      </c>
    </row>
    <row r="123">
      <c r="B123" s="78">
        <f>IF($O123="","",INDEX(Firms!$A$5:$A$1004,$O123))</f>
        <v/>
      </c>
      <c r="C123" s="79">
        <f>IF($O123="","",INDEX(Firms!$N$5:$N$1004,$O123)&amp;"")</f>
        <v/>
      </c>
      <c r="D123" s="79">
        <f>IF($O123="","",INDEX(Firms!$P$5:$P$1004,$O123)&amp;"")</f>
        <v/>
      </c>
      <c r="E123" s="79">
        <f>IF($O123="","",INDEX(Firms!$O$5:$O$1004,$O123)&amp;"")</f>
        <v/>
      </c>
      <c r="F123" s="50">
        <f>IF($O123="","",IF(INDEX(Firms!$F$5:$F$1004,$O123)="","—",INDEX(Firms!$F$5:$F$1004,$O123)))</f>
        <v/>
      </c>
      <c r="G123" s="50">
        <f>IF($O123="","",IF(INDEX(Firms!$G$5:$G$1004,$O123)="","—",INDEX(Firms!$G$5:$G$1004,$O123)))</f>
        <v/>
      </c>
      <c r="H123" s="50">
        <f>IF($O123="","",IF(INDEX(Firms!$H$5:$H$1004,$O123)="","—",INDEX(Firms!$H$5:$H$1004,$O123)))</f>
        <v/>
      </c>
      <c r="I123" s="50">
        <f>IF($O123="","",IF(INDEX(Firms!$I$5:$I$1004,$O123)="","—",INDEX(Firms!$I$5:$I$1004,$O123)))</f>
        <v/>
      </c>
      <c r="J123" s="50">
        <f>IF($O123="","",IF(INDEX(Firms!$J$5:$J$1004,$O123)="","—",INDEX(Firms!$J$5:$J$1004,$O123)))</f>
        <v/>
      </c>
      <c r="K123" s="50">
        <f>IF($O123="","",IF(INDEX(Firms!$K$5:$K$1004,$O123)="","—",INDEX(Firms!$K$5:$K$1004,$O123)))</f>
        <v/>
      </c>
      <c r="L123" s="50">
        <f>IF($O123="","",IF(INDEX(Firms!$L$5:$L$1004,$O123)="","—",INDEX(Firms!$L$5:$L$1004,$O123)))</f>
        <v/>
      </c>
      <c r="M123" s="50">
        <f>IF($O123="","",IF(INDEX(Firms!$M$5:$M$1004,$O123)="","—",INDEX(Firms!$M$5:$M$1004,$O123)))</f>
        <v/>
      </c>
      <c r="O123">
        <f>IFERROR(MATCH(SMALL(Firms!$Y$5:$Y$1004,115),Firms!$W$5:$W$1004,0),"")</f>
        <v/>
      </c>
    </row>
    <row r="124">
      <c r="B124" s="78">
        <f>IF($O124="","",INDEX(Firms!$A$5:$A$1004,$O124))</f>
        <v/>
      </c>
      <c r="C124" s="79">
        <f>IF($O124="","",INDEX(Firms!$N$5:$N$1004,$O124)&amp;"")</f>
        <v/>
      </c>
      <c r="D124" s="79">
        <f>IF($O124="","",INDEX(Firms!$P$5:$P$1004,$O124)&amp;"")</f>
        <v/>
      </c>
      <c r="E124" s="79">
        <f>IF($O124="","",INDEX(Firms!$O$5:$O$1004,$O124)&amp;"")</f>
        <v/>
      </c>
      <c r="F124" s="50">
        <f>IF($O124="","",IF(INDEX(Firms!$F$5:$F$1004,$O124)="","—",INDEX(Firms!$F$5:$F$1004,$O124)))</f>
        <v/>
      </c>
      <c r="G124" s="50">
        <f>IF($O124="","",IF(INDEX(Firms!$G$5:$G$1004,$O124)="","—",INDEX(Firms!$G$5:$G$1004,$O124)))</f>
        <v/>
      </c>
      <c r="H124" s="50">
        <f>IF($O124="","",IF(INDEX(Firms!$H$5:$H$1004,$O124)="","—",INDEX(Firms!$H$5:$H$1004,$O124)))</f>
        <v/>
      </c>
      <c r="I124" s="50">
        <f>IF($O124="","",IF(INDEX(Firms!$I$5:$I$1004,$O124)="","—",INDEX(Firms!$I$5:$I$1004,$O124)))</f>
        <v/>
      </c>
      <c r="J124" s="50">
        <f>IF($O124="","",IF(INDEX(Firms!$J$5:$J$1004,$O124)="","—",INDEX(Firms!$J$5:$J$1004,$O124)))</f>
        <v/>
      </c>
      <c r="K124" s="50">
        <f>IF($O124="","",IF(INDEX(Firms!$K$5:$K$1004,$O124)="","—",INDEX(Firms!$K$5:$K$1004,$O124)))</f>
        <v/>
      </c>
      <c r="L124" s="50">
        <f>IF($O124="","",IF(INDEX(Firms!$L$5:$L$1004,$O124)="","—",INDEX(Firms!$L$5:$L$1004,$O124)))</f>
        <v/>
      </c>
      <c r="M124" s="50">
        <f>IF($O124="","",IF(INDEX(Firms!$M$5:$M$1004,$O124)="","—",INDEX(Firms!$M$5:$M$1004,$O124)))</f>
        <v/>
      </c>
      <c r="O124">
        <f>IFERROR(MATCH(SMALL(Firms!$Y$5:$Y$1004,116),Firms!$W$5:$W$1004,0),"")</f>
        <v/>
      </c>
    </row>
    <row r="125">
      <c r="B125" s="78">
        <f>IF($O125="","",INDEX(Firms!$A$5:$A$1004,$O125))</f>
        <v/>
      </c>
      <c r="C125" s="79">
        <f>IF($O125="","",INDEX(Firms!$N$5:$N$1004,$O125)&amp;"")</f>
        <v/>
      </c>
      <c r="D125" s="79">
        <f>IF($O125="","",INDEX(Firms!$P$5:$P$1004,$O125)&amp;"")</f>
        <v/>
      </c>
      <c r="E125" s="79">
        <f>IF($O125="","",INDEX(Firms!$O$5:$O$1004,$O125)&amp;"")</f>
        <v/>
      </c>
      <c r="F125" s="50">
        <f>IF($O125="","",IF(INDEX(Firms!$F$5:$F$1004,$O125)="","—",INDEX(Firms!$F$5:$F$1004,$O125)))</f>
        <v/>
      </c>
      <c r="G125" s="50">
        <f>IF($O125="","",IF(INDEX(Firms!$G$5:$G$1004,$O125)="","—",INDEX(Firms!$G$5:$G$1004,$O125)))</f>
        <v/>
      </c>
      <c r="H125" s="50">
        <f>IF($O125="","",IF(INDEX(Firms!$H$5:$H$1004,$O125)="","—",INDEX(Firms!$H$5:$H$1004,$O125)))</f>
        <v/>
      </c>
      <c r="I125" s="50">
        <f>IF($O125="","",IF(INDEX(Firms!$I$5:$I$1004,$O125)="","—",INDEX(Firms!$I$5:$I$1004,$O125)))</f>
        <v/>
      </c>
      <c r="J125" s="50">
        <f>IF($O125="","",IF(INDEX(Firms!$J$5:$J$1004,$O125)="","—",INDEX(Firms!$J$5:$J$1004,$O125)))</f>
        <v/>
      </c>
      <c r="K125" s="50">
        <f>IF($O125="","",IF(INDEX(Firms!$K$5:$K$1004,$O125)="","—",INDEX(Firms!$K$5:$K$1004,$O125)))</f>
        <v/>
      </c>
      <c r="L125" s="50">
        <f>IF($O125="","",IF(INDEX(Firms!$L$5:$L$1004,$O125)="","—",INDEX(Firms!$L$5:$L$1004,$O125)))</f>
        <v/>
      </c>
      <c r="M125" s="50">
        <f>IF($O125="","",IF(INDEX(Firms!$M$5:$M$1004,$O125)="","—",INDEX(Firms!$M$5:$M$1004,$O125)))</f>
        <v/>
      </c>
      <c r="O125">
        <f>IFERROR(MATCH(SMALL(Firms!$Y$5:$Y$1004,117),Firms!$W$5:$W$1004,0),"")</f>
        <v/>
      </c>
    </row>
    <row r="126">
      <c r="B126" s="78">
        <f>IF($O126="","",INDEX(Firms!$A$5:$A$1004,$O126))</f>
        <v/>
      </c>
      <c r="C126" s="79">
        <f>IF($O126="","",INDEX(Firms!$N$5:$N$1004,$O126)&amp;"")</f>
        <v/>
      </c>
      <c r="D126" s="79">
        <f>IF($O126="","",INDEX(Firms!$P$5:$P$1004,$O126)&amp;"")</f>
        <v/>
      </c>
      <c r="E126" s="79">
        <f>IF($O126="","",INDEX(Firms!$O$5:$O$1004,$O126)&amp;"")</f>
        <v/>
      </c>
      <c r="F126" s="50">
        <f>IF($O126="","",IF(INDEX(Firms!$F$5:$F$1004,$O126)="","—",INDEX(Firms!$F$5:$F$1004,$O126)))</f>
        <v/>
      </c>
      <c r="G126" s="50">
        <f>IF($O126="","",IF(INDEX(Firms!$G$5:$G$1004,$O126)="","—",INDEX(Firms!$G$5:$G$1004,$O126)))</f>
        <v/>
      </c>
      <c r="H126" s="50">
        <f>IF($O126="","",IF(INDEX(Firms!$H$5:$H$1004,$O126)="","—",INDEX(Firms!$H$5:$H$1004,$O126)))</f>
        <v/>
      </c>
      <c r="I126" s="50">
        <f>IF($O126="","",IF(INDEX(Firms!$I$5:$I$1004,$O126)="","—",INDEX(Firms!$I$5:$I$1004,$O126)))</f>
        <v/>
      </c>
      <c r="J126" s="50">
        <f>IF($O126="","",IF(INDEX(Firms!$J$5:$J$1004,$O126)="","—",INDEX(Firms!$J$5:$J$1004,$O126)))</f>
        <v/>
      </c>
      <c r="K126" s="50">
        <f>IF($O126="","",IF(INDEX(Firms!$K$5:$K$1004,$O126)="","—",INDEX(Firms!$K$5:$K$1004,$O126)))</f>
        <v/>
      </c>
      <c r="L126" s="50">
        <f>IF($O126="","",IF(INDEX(Firms!$L$5:$L$1004,$O126)="","—",INDEX(Firms!$L$5:$L$1004,$O126)))</f>
        <v/>
      </c>
      <c r="M126" s="50">
        <f>IF($O126="","",IF(INDEX(Firms!$M$5:$M$1004,$O126)="","—",INDEX(Firms!$M$5:$M$1004,$O126)))</f>
        <v/>
      </c>
      <c r="O126">
        <f>IFERROR(MATCH(SMALL(Firms!$Y$5:$Y$1004,118),Firms!$W$5:$W$1004,0),"")</f>
        <v/>
      </c>
    </row>
    <row r="127">
      <c r="B127" s="78">
        <f>IF($O127="","",INDEX(Firms!$A$5:$A$1004,$O127))</f>
        <v/>
      </c>
      <c r="C127" s="79">
        <f>IF($O127="","",INDEX(Firms!$N$5:$N$1004,$O127)&amp;"")</f>
        <v/>
      </c>
      <c r="D127" s="79">
        <f>IF($O127="","",INDEX(Firms!$P$5:$P$1004,$O127)&amp;"")</f>
        <v/>
      </c>
      <c r="E127" s="79">
        <f>IF($O127="","",INDEX(Firms!$O$5:$O$1004,$O127)&amp;"")</f>
        <v/>
      </c>
      <c r="F127" s="50">
        <f>IF($O127="","",IF(INDEX(Firms!$F$5:$F$1004,$O127)="","—",INDEX(Firms!$F$5:$F$1004,$O127)))</f>
        <v/>
      </c>
      <c r="G127" s="50">
        <f>IF($O127="","",IF(INDEX(Firms!$G$5:$G$1004,$O127)="","—",INDEX(Firms!$G$5:$G$1004,$O127)))</f>
        <v/>
      </c>
      <c r="H127" s="50">
        <f>IF($O127="","",IF(INDEX(Firms!$H$5:$H$1004,$O127)="","—",INDEX(Firms!$H$5:$H$1004,$O127)))</f>
        <v/>
      </c>
      <c r="I127" s="50">
        <f>IF($O127="","",IF(INDEX(Firms!$I$5:$I$1004,$O127)="","—",INDEX(Firms!$I$5:$I$1004,$O127)))</f>
        <v/>
      </c>
      <c r="J127" s="50">
        <f>IF($O127="","",IF(INDEX(Firms!$J$5:$J$1004,$O127)="","—",INDEX(Firms!$J$5:$J$1004,$O127)))</f>
        <v/>
      </c>
      <c r="K127" s="50">
        <f>IF($O127="","",IF(INDEX(Firms!$K$5:$K$1004,$O127)="","—",INDEX(Firms!$K$5:$K$1004,$O127)))</f>
        <v/>
      </c>
      <c r="L127" s="50">
        <f>IF($O127="","",IF(INDEX(Firms!$L$5:$L$1004,$O127)="","—",INDEX(Firms!$L$5:$L$1004,$O127)))</f>
        <v/>
      </c>
      <c r="M127" s="50">
        <f>IF($O127="","",IF(INDEX(Firms!$M$5:$M$1004,$O127)="","—",INDEX(Firms!$M$5:$M$1004,$O127)))</f>
        <v/>
      </c>
      <c r="O127">
        <f>IFERROR(MATCH(SMALL(Firms!$Y$5:$Y$1004,119),Firms!$W$5:$W$1004,0),"")</f>
        <v/>
      </c>
    </row>
    <row r="128">
      <c r="B128" s="78">
        <f>IF($O128="","",INDEX(Firms!$A$5:$A$1004,$O128))</f>
        <v/>
      </c>
      <c r="C128" s="79">
        <f>IF($O128="","",INDEX(Firms!$N$5:$N$1004,$O128)&amp;"")</f>
        <v/>
      </c>
      <c r="D128" s="79">
        <f>IF($O128="","",INDEX(Firms!$P$5:$P$1004,$O128)&amp;"")</f>
        <v/>
      </c>
      <c r="E128" s="79">
        <f>IF($O128="","",INDEX(Firms!$O$5:$O$1004,$O128)&amp;"")</f>
        <v/>
      </c>
      <c r="F128" s="50">
        <f>IF($O128="","",IF(INDEX(Firms!$F$5:$F$1004,$O128)="","—",INDEX(Firms!$F$5:$F$1004,$O128)))</f>
        <v/>
      </c>
      <c r="G128" s="50">
        <f>IF($O128="","",IF(INDEX(Firms!$G$5:$G$1004,$O128)="","—",INDEX(Firms!$G$5:$G$1004,$O128)))</f>
        <v/>
      </c>
      <c r="H128" s="50">
        <f>IF($O128="","",IF(INDEX(Firms!$H$5:$H$1004,$O128)="","—",INDEX(Firms!$H$5:$H$1004,$O128)))</f>
        <v/>
      </c>
      <c r="I128" s="50">
        <f>IF($O128="","",IF(INDEX(Firms!$I$5:$I$1004,$O128)="","—",INDEX(Firms!$I$5:$I$1004,$O128)))</f>
        <v/>
      </c>
      <c r="J128" s="50">
        <f>IF($O128="","",IF(INDEX(Firms!$J$5:$J$1004,$O128)="","—",INDEX(Firms!$J$5:$J$1004,$O128)))</f>
        <v/>
      </c>
      <c r="K128" s="50">
        <f>IF($O128="","",IF(INDEX(Firms!$K$5:$K$1004,$O128)="","—",INDEX(Firms!$K$5:$K$1004,$O128)))</f>
        <v/>
      </c>
      <c r="L128" s="50">
        <f>IF($O128="","",IF(INDEX(Firms!$L$5:$L$1004,$O128)="","—",INDEX(Firms!$L$5:$L$1004,$O128)))</f>
        <v/>
      </c>
      <c r="M128" s="50">
        <f>IF($O128="","",IF(INDEX(Firms!$M$5:$M$1004,$O128)="","—",INDEX(Firms!$M$5:$M$1004,$O128)))</f>
        <v/>
      </c>
      <c r="O128">
        <f>IFERROR(MATCH(SMALL(Firms!$Y$5:$Y$1004,120),Firms!$W$5:$W$1004,0),"")</f>
        <v/>
      </c>
    </row>
    <row r="129">
      <c r="B129" s="78">
        <f>IF($O129="","",INDEX(Firms!$A$5:$A$1004,$O129))</f>
        <v/>
      </c>
      <c r="C129" s="79">
        <f>IF($O129="","",INDEX(Firms!$N$5:$N$1004,$O129)&amp;"")</f>
        <v/>
      </c>
      <c r="D129" s="79">
        <f>IF($O129="","",INDEX(Firms!$P$5:$P$1004,$O129)&amp;"")</f>
        <v/>
      </c>
      <c r="E129" s="79">
        <f>IF($O129="","",INDEX(Firms!$O$5:$O$1004,$O129)&amp;"")</f>
        <v/>
      </c>
      <c r="F129" s="50">
        <f>IF($O129="","",IF(INDEX(Firms!$F$5:$F$1004,$O129)="","—",INDEX(Firms!$F$5:$F$1004,$O129)))</f>
        <v/>
      </c>
      <c r="G129" s="50">
        <f>IF($O129="","",IF(INDEX(Firms!$G$5:$G$1004,$O129)="","—",INDEX(Firms!$G$5:$G$1004,$O129)))</f>
        <v/>
      </c>
      <c r="H129" s="50">
        <f>IF($O129="","",IF(INDEX(Firms!$H$5:$H$1004,$O129)="","—",INDEX(Firms!$H$5:$H$1004,$O129)))</f>
        <v/>
      </c>
      <c r="I129" s="50">
        <f>IF($O129="","",IF(INDEX(Firms!$I$5:$I$1004,$O129)="","—",INDEX(Firms!$I$5:$I$1004,$O129)))</f>
        <v/>
      </c>
      <c r="J129" s="50">
        <f>IF($O129="","",IF(INDEX(Firms!$J$5:$J$1004,$O129)="","—",INDEX(Firms!$J$5:$J$1004,$O129)))</f>
        <v/>
      </c>
      <c r="K129" s="50">
        <f>IF($O129="","",IF(INDEX(Firms!$K$5:$K$1004,$O129)="","—",INDEX(Firms!$K$5:$K$1004,$O129)))</f>
        <v/>
      </c>
      <c r="L129" s="50">
        <f>IF($O129="","",IF(INDEX(Firms!$L$5:$L$1004,$O129)="","—",INDEX(Firms!$L$5:$L$1004,$O129)))</f>
        <v/>
      </c>
      <c r="M129" s="50">
        <f>IF($O129="","",IF(INDEX(Firms!$M$5:$M$1004,$O129)="","—",INDEX(Firms!$M$5:$M$1004,$O129)))</f>
        <v/>
      </c>
      <c r="O129">
        <f>IFERROR(MATCH(SMALL(Firms!$Y$5:$Y$1004,121),Firms!$W$5:$W$1004,0),"")</f>
        <v/>
      </c>
    </row>
    <row r="130">
      <c r="B130" s="78">
        <f>IF($O130="","",INDEX(Firms!$A$5:$A$1004,$O130))</f>
        <v/>
      </c>
      <c r="C130" s="79">
        <f>IF($O130="","",INDEX(Firms!$N$5:$N$1004,$O130)&amp;"")</f>
        <v/>
      </c>
      <c r="D130" s="79">
        <f>IF($O130="","",INDEX(Firms!$P$5:$P$1004,$O130)&amp;"")</f>
        <v/>
      </c>
      <c r="E130" s="79">
        <f>IF($O130="","",INDEX(Firms!$O$5:$O$1004,$O130)&amp;"")</f>
        <v/>
      </c>
      <c r="F130" s="50">
        <f>IF($O130="","",IF(INDEX(Firms!$F$5:$F$1004,$O130)="","—",INDEX(Firms!$F$5:$F$1004,$O130)))</f>
        <v/>
      </c>
      <c r="G130" s="50">
        <f>IF($O130="","",IF(INDEX(Firms!$G$5:$G$1004,$O130)="","—",INDEX(Firms!$G$5:$G$1004,$O130)))</f>
        <v/>
      </c>
      <c r="H130" s="50">
        <f>IF($O130="","",IF(INDEX(Firms!$H$5:$H$1004,$O130)="","—",INDEX(Firms!$H$5:$H$1004,$O130)))</f>
        <v/>
      </c>
      <c r="I130" s="50">
        <f>IF($O130="","",IF(INDEX(Firms!$I$5:$I$1004,$O130)="","—",INDEX(Firms!$I$5:$I$1004,$O130)))</f>
        <v/>
      </c>
      <c r="J130" s="50">
        <f>IF($O130="","",IF(INDEX(Firms!$J$5:$J$1004,$O130)="","—",INDEX(Firms!$J$5:$J$1004,$O130)))</f>
        <v/>
      </c>
      <c r="K130" s="50">
        <f>IF($O130="","",IF(INDEX(Firms!$K$5:$K$1004,$O130)="","—",INDEX(Firms!$K$5:$K$1004,$O130)))</f>
        <v/>
      </c>
      <c r="L130" s="50">
        <f>IF($O130="","",IF(INDEX(Firms!$L$5:$L$1004,$O130)="","—",INDEX(Firms!$L$5:$L$1004,$O130)))</f>
        <v/>
      </c>
      <c r="M130" s="50">
        <f>IF($O130="","",IF(INDEX(Firms!$M$5:$M$1004,$O130)="","—",INDEX(Firms!$M$5:$M$1004,$O130)))</f>
        <v/>
      </c>
      <c r="O130">
        <f>IFERROR(MATCH(SMALL(Firms!$Y$5:$Y$1004,122),Firms!$W$5:$W$1004,0),"")</f>
        <v/>
      </c>
    </row>
    <row r="131">
      <c r="B131" s="78">
        <f>IF($O131="","",INDEX(Firms!$A$5:$A$1004,$O131))</f>
        <v/>
      </c>
      <c r="C131" s="79">
        <f>IF($O131="","",INDEX(Firms!$N$5:$N$1004,$O131)&amp;"")</f>
        <v/>
      </c>
      <c r="D131" s="79">
        <f>IF($O131="","",INDEX(Firms!$P$5:$P$1004,$O131)&amp;"")</f>
        <v/>
      </c>
      <c r="E131" s="79">
        <f>IF($O131="","",INDEX(Firms!$O$5:$O$1004,$O131)&amp;"")</f>
        <v/>
      </c>
      <c r="F131" s="50">
        <f>IF($O131="","",IF(INDEX(Firms!$F$5:$F$1004,$O131)="","—",INDEX(Firms!$F$5:$F$1004,$O131)))</f>
        <v/>
      </c>
      <c r="G131" s="50">
        <f>IF($O131="","",IF(INDEX(Firms!$G$5:$G$1004,$O131)="","—",INDEX(Firms!$G$5:$G$1004,$O131)))</f>
        <v/>
      </c>
      <c r="H131" s="50">
        <f>IF($O131="","",IF(INDEX(Firms!$H$5:$H$1004,$O131)="","—",INDEX(Firms!$H$5:$H$1004,$O131)))</f>
        <v/>
      </c>
      <c r="I131" s="50">
        <f>IF($O131="","",IF(INDEX(Firms!$I$5:$I$1004,$O131)="","—",INDEX(Firms!$I$5:$I$1004,$O131)))</f>
        <v/>
      </c>
      <c r="J131" s="50">
        <f>IF($O131="","",IF(INDEX(Firms!$J$5:$J$1004,$O131)="","—",INDEX(Firms!$J$5:$J$1004,$O131)))</f>
        <v/>
      </c>
      <c r="K131" s="50">
        <f>IF($O131="","",IF(INDEX(Firms!$K$5:$K$1004,$O131)="","—",INDEX(Firms!$K$5:$K$1004,$O131)))</f>
        <v/>
      </c>
      <c r="L131" s="50">
        <f>IF($O131="","",IF(INDEX(Firms!$L$5:$L$1004,$O131)="","—",INDEX(Firms!$L$5:$L$1004,$O131)))</f>
        <v/>
      </c>
      <c r="M131" s="50">
        <f>IF($O131="","",IF(INDEX(Firms!$M$5:$M$1004,$O131)="","—",INDEX(Firms!$M$5:$M$1004,$O131)))</f>
        <v/>
      </c>
      <c r="O131">
        <f>IFERROR(MATCH(SMALL(Firms!$Y$5:$Y$1004,123),Firms!$W$5:$W$1004,0),"")</f>
        <v/>
      </c>
    </row>
    <row r="132">
      <c r="B132" s="78">
        <f>IF($O132="","",INDEX(Firms!$A$5:$A$1004,$O132))</f>
        <v/>
      </c>
      <c r="C132" s="79">
        <f>IF($O132="","",INDEX(Firms!$N$5:$N$1004,$O132)&amp;"")</f>
        <v/>
      </c>
      <c r="D132" s="79">
        <f>IF($O132="","",INDEX(Firms!$P$5:$P$1004,$O132)&amp;"")</f>
        <v/>
      </c>
      <c r="E132" s="79">
        <f>IF($O132="","",INDEX(Firms!$O$5:$O$1004,$O132)&amp;"")</f>
        <v/>
      </c>
      <c r="F132" s="50">
        <f>IF($O132="","",IF(INDEX(Firms!$F$5:$F$1004,$O132)="","—",INDEX(Firms!$F$5:$F$1004,$O132)))</f>
        <v/>
      </c>
      <c r="G132" s="50">
        <f>IF($O132="","",IF(INDEX(Firms!$G$5:$G$1004,$O132)="","—",INDEX(Firms!$G$5:$G$1004,$O132)))</f>
        <v/>
      </c>
      <c r="H132" s="50">
        <f>IF($O132="","",IF(INDEX(Firms!$H$5:$H$1004,$O132)="","—",INDEX(Firms!$H$5:$H$1004,$O132)))</f>
        <v/>
      </c>
      <c r="I132" s="50">
        <f>IF($O132="","",IF(INDEX(Firms!$I$5:$I$1004,$O132)="","—",INDEX(Firms!$I$5:$I$1004,$O132)))</f>
        <v/>
      </c>
      <c r="J132" s="50">
        <f>IF($O132="","",IF(INDEX(Firms!$J$5:$J$1004,$O132)="","—",INDEX(Firms!$J$5:$J$1004,$O132)))</f>
        <v/>
      </c>
      <c r="K132" s="50">
        <f>IF($O132="","",IF(INDEX(Firms!$K$5:$K$1004,$O132)="","—",INDEX(Firms!$K$5:$K$1004,$O132)))</f>
        <v/>
      </c>
      <c r="L132" s="50">
        <f>IF($O132="","",IF(INDEX(Firms!$L$5:$L$1004,$O132)="","—",INDEX(Firms!$L$5:$L$1004,$O132)))</f>
        <v/>
      </c>
      <c r="M132" s="50">
        <f>IF($O132="","",IF(INDEX(Firms!$M$5:$M$1004,$O132)="","—",INDEX(Firms!$M$5:$M$1004,$O132)))</f>
        <v/>
      </c>
      <c r="O132">
        <f>IFERROR(MATCH(SMALL(Firms!$Y$5:$Y$1004,124),Firms!$W$5:$W$1004,0),"")</f>
        <v/>
      </c>
    </row>
    <row r="133">
      <c r="B133" s="78">
        <f>IF($O133="","",INDEX(Firms!$A$5:$A$1004,$O133))</f>
        <v/>
      </c>
      <c r="C133" s="79">
        <f>IF($O133="","",INDEX(Firms!$N$5:$N$1004,$O133)&amp;"")</f>
        <v/>
      </c>
      <c r="D133" s="79">
        <f>IF($O133="","",INDEX(Firms!$P$5:$P$1004,$O133)&amp;"")</f>
        <v/>
      </c>
      <c r="E133" s="79">
        <f>IF($O133="","",INDEX(Firms!$O$5:$O$1004,$O133)&amp;"")</f>
        <v/>
      </c>
      <c r="F133" s="50">
        <f>IF($O133="","",IF(INDEX(Firms!$F$5:$F$1004,$O133)="","—",INDEX(Firms!$F$5:$F$1004,$O133)))</f>
        <v/>
      </c>
      <c r="G133" s="50">
        <f>IF($O133="","",IF(INDEX(Firms!$G$5:$G$1004,$O133)="","—",INDEX(Firms!$G$5:$G$1004,$O133)))</f>
        <v/>
      </c>
      <c r="H133" s="50">
        <f>IF($O133="","",IF(INDEX(Firms!$H$5:$H$1004,$O133)="","—",INDEX(Firms!$H$5:$H$1004,$O133)))</f>
        <v/>
      </c>
      <c r="I133" s="50">
        <f>IF($O133="","",IF(INDEX(Firms!$I$5:$I$1004,$O133)="","—",INDEX(Firms!$I$5:$I$1004,$O133)))</f>
        <v/>
      </c>
      <c r="J133" s="50">
        <f>IF($O133="","",IF(INDEX(Firms!$J$5:$J$1004,$O133)="","—",INDEX(Firms!$J$5:$J$1004,$O133)))</f>
        <v/>
      </c>
      <c r="K133" s="50">
        <f>IF($O133="","",IF(INDEX(Firms!$K$5:$K$1004,$O133)="","—",INDEX(Firms!$K$5:$K$1004,$O133)))</f>
        <v/>
      </c>
      <c r="L133" s="50">
        <f>IF($O133="","",IF(INDEX(Firms!$L$5:$L$1004,$O133)="","—",INDEX(Firms!$L$5:$L$1004,$O133)))</f>
        <v/>
      </c>
      <c r="M133" s="50">
        <f>IF($O133="","",IF(INDEX(Firms!$M$5:$M$1004,$O133)="","—",INDEX(Firms!$M$5:$M$1004,$O133)))</f>
        <v/>
      </c>
      <c r="O133">
        <f>IFERROR(MATCH(SMALL(Firms!$Y$5:$Y$1004,125),Firms!$W$5:$W$1004,0),"")</f>
        <v/>
      </c>
    </row>
    <row r="134">
      <c r="B134" s="78">
        <f>IF($O134="","",INDEX(Firms!$A$5:$A$1004,$O134))</f>
        <v/>
      </c>
      <c r="C134" s="79">
        <f>IF($O134="","",INDEX(Firms!$N$5:$N$1004,$O134)&amp;"")</f>
        <v/>
      </c>
      <c r="D134" s="79">
        <f>IF($O134="","",INDEX(Firms!$P$5:$P$1004,$O134)&amp;"")</f>
        <v/>
      </c>
      <c r="E134" s="79">
        <f>IF($O134="","",INDEX(Firms!$O$5:$O$1004,$O134)&amp;"")</f>
        <v/>
      </c>
      <c r="F134" s="50">
        <f>IF($O134="","",IF(INDEX(Firms!$F$5:$F$1004,$O134)="","—",INDEX(Firms!$F$5:$F$1004,$O134)))</f>
        <v/>
      </c>
      <c r="G134" s="50">
        <f>IF($O134="","",IF(INDEX(Firms!$G$5:$G$1004,$O134)="","—",INDEX(Firms!$G$5:$G$1004,$O134)))</f>
        <v/>
      </c>
      <c r="H134" s="50">
        <f>IF($O134="","",IF(INDEX(Firms!$H$5:$H$1004,$O134)="","—",INDEX(Firms!$H$5:$H$1004,$O134)))</f>
        <v/>
      </c>
      <c r="I134" s="50">
        <f>IF($O134="","",IF(INDEX(Firms!$I$5:$I$1004,$O134)="","—",INDEX(Firms!$I$5:$I$1004,$O134)))</f>
        <v/>
      </c>
      <c r="J134" s="50">
        <f>IF($O134="","",IF(INDEX(Firms!$J$5:$J$1004,$O134)="","—",INDEX(Firms!$J$5:$J$1004,$O134)))</f>
        <v/>
      </c>
      <c r="K134" s="50">
        <f>IF($O134="","",IF(INDEX(Firms!$K$5:$K$1004,$O134)="","—",INDEX(Firms!$K$5:$K$1004,$O134)))</f>
        <v/>
      </c>
      <c r="L134" s="50">
        <f>IF($O134="","",IF(INDEX(Firms!$L$5:$L$1004,$O134)="","—",INDEX(Firms!$L$5:$L$1004,$O134)))</f>
        <v/>
      </c>
      <c r="M134" s="50">
        <f>IF($O134="","",IF(INDEX(Firms!$M$5:$M$1004,$O134)="","—",INDEX(Firms!$M$5:$M$1004,$O134)))</f>
        <v/>
      </c>
      <c r="O134">
        <f>IFERROR(MATCH(SMALL(Firms!$Y$5:$Y$1004,126),Firms!$W$5:$W$1004,0),"")</f>
        <v/>
      </c>
    </row>
    <row r="135">
      <c r="B135" s="78">
        <f>IF($O135="","",INDEX(Firms!$A$5:$A$1004,$O135))</f>
        <v/>
      </c>
      <c r="C135" s="79">
        <f>IF($O135="","",INDEX(Firms!$N$5:$N$1004,$O135)&amp;"")</f>
        <v/>
      </c>
      <c r="D135" s="79">
        <f>IF($O135="","",INDEX(Firms!$P$5:$P$1004,$O135)&amp;"")</f>
        <v/>
      </c>
      <c r="E135" s="79">
        <f>IF($O135="","",INDEX(Firms!$O$5:$O$1004,$O135)&amp;"")</f>
        <v/>
      </c>
      <c r="F135" s="50">
        <f>IF($O135="","",IF(INDEX(Firms!$F$5:$F$1004,$O135)="","—",INDEX(Firms!$F$5:$F$1004,$O135)))</f>
        <v/>
      </c>
      <c r="G135" s="50">
        <f>IF($O135="","",IF(INDEX(Firms!$G$5:$G$1004,$O135)="","—",INDEX(Firms!$G$5:$G$1004,$O135)))</f>
        <v/>
      </c>
      <c r="H135" s="50">
        <f>IF($O135="","",IF(INDEX(Firms!$H$5:$H$1004,$O135)="","—",INDEX(Firms!$H$5:$H$1004,$O135)))</f>
        <v/>
      </c>
      <c r="I135" s="50">
        <f>IF($O135="","",IF(INDEX(Firms!$I$5:$I$1004,$O135)="","—",INDEX(Firms!$I$5:$I$1004,$O135)))</f>
        <v/>
      </c>
      <c r="J135" s="50">
        <f>IF($O135="","",IF(INDEX(Firms!$J$5:$J$1004,$O135)="","—",INDEX(Firms!$J$5:$J$1004,$O135)))</f>
        <v/>
      </c>
      <c r="K135" s="50">
        <f>IF($O135="","",IF(INDEX(Firms!$K$5:$K$1004,$O135)="","—",INDEX(Firms!$K$5:$K$1004,$O135)))</f>
        <v/>
      </c>
      <c r="L135" s="50">
        <f>IF($O135="","",IF(INDEX(Firms!$L$5:$L$1004,$O135)="","—",INDEX(Firms!$L$5:$L$1004,$O135)))</f>
        <v/>
      </c>
      <c r="M135" s="50">
        <f>IF($O135="","",IF(INDEX(Firms!$M$5:$M$1004,$O135)="","—",INDEX(Firms!$M$5:$M$1004,$O135)))</f>
        <v/>
      </c>
      <c r="O135">
        <f>IFERROR(MATCH(SMALL(Firms!$Y$5:$Y$1004,127),Firms!$W$5:$W$1004,0),"")</f>
        <v/>
      </c>
    </row>
    <row r="136">
      <c r="B136" s="78">
        <f>IF($O136="","",INDEX(Firms!$A$5:$A$1004,$O136))</f>
        <v/>
      </c>
      <c r="C136" s="79">
        <f>IF($O136="","",INDEX(Firms!$N$5:$N$1004,$O136)&amp;"")</f>
        <v/>
      </c>
      <c r="D136" s="79">
        <f>IF($O136="","",INDEX(Firms!$P$5:$P$1004,$O136)&amp;"")</f>
        <v/>
      </c>
      <c r="E136" s="79">
        <f>IF($O136="","",INDEX(Firms!$O$5:$O$1004,$O136)&amp;"")</f>
        <v/>
      </c>
      <c r="F136" s="50">
        <f>IF($O136="","",IF(INDEX(Firms!$F$5:$F$1004,$O136)="","—",INDEX(Firms!$F$5:$F$1004,$O136)))</f>
        <v/>
      </c>
      <c r="G136" s="50">
        <f>IF($O136="","",IF(INDEX(Firms!$G$5:$G$1004,$O136)="","—",INDEX(Firms!$G$5:$G$1004,$O136)))</f>
        <v/>
      </c>
      <c r="H136" s="50">
        <f>IF($O136="","",IF(INDEX(Firms!$H$5:$H$1004,$O136)="","—",INDEX(Firms!$H$5:$H$1004,$O136)))</f>
        <v/>
      </c>
      <c r="I136" s="50">
        <f>IF($O136="","",IF(INDEX(Firms!$I$5:$I$1004,$O136)="","—",INDEX(Firms!$I$5:$I$1004,$O136)))</f>
        <v/>
      </c>
      <c r="J136" s="50">
        <f>IF($O136="","",IF(INDEX(Firms!$J$5:$J$1004,$O136)="","—",INDEX(Firms!$J$5:$J$1004,$O136)))</f>
        <v/>
      </c>
      <c r="K136" s="50">
        <f>IF($O136="","",IF(INDEX(Firms!$K$5:$K$1004,$O136)="","—",INDEX(Firms!$K$5:$K$1004,$O136)))</f>
        <v/>
      </c>
      <c r="L136" s="50">
        <f>IF($O136="","",IF(INDEX(Firms!$L$5:$L$1004,$O136)="","—",INDEX(Firms!$L$5:$L$1004,$O136)))</f>
        <v/>
      </c>
      <c r="M136" s="50">
        <f>IF($O136="","",IF(INDEX(Firms!$M$5:$M$1004,$O136)="","—",INDEX(Firms!$M$5:$M$1004,$O136)))</f>
        <v/>
      </c>
      <c r="O136">
        <f>IFERROR(MATCH(SMALL(Firms!$Y$5:$Y$1004,128),Firms!$W$5:$W$1004,0),"")</f>
        <v/>
      </c>
    </row>
    <row r="137">
      <c r="B137" s="78">
        <f>IF($O137="","",INDEX(Firms!$A$5:$A$1004,$O137))</f>
        <v/>
      </c>
      <c r="C137" s="79">
        <f>IF($O137="","",INDEX(Firms!$N$5:$N$1004,$O137)&amp;"")</f>
        <v/>
      </c>
      <c r="D137" s="79">
        <f>IF($O137="","",INDEX(Firms!$P$5:$P$1004,$O137)&amp;"")</f>
        <v/>
      </c>
      <c r="E137" s="79">
        <f>IF($O137="","",INDEX(Firms!$O$5:$O$1004,$O137)&amp;"")</f>
        <v/>
      </c>
      <c r="F137" s="50">
        <f>IF($O137="","",IF(INDEX(Firms!$F$5:$F$1004,$O137)="","—",INDEX(Firms!$F$5:$F$1004,$O137)))</f>
        <v/>
      </c>
      <c r="G137" s="50">
        <f>IF($O137="","",IF(INDEX(Firms!$G$5:$G$1004,$O137)="","—",INDEX(Firms!$G$5:$G$1004,$O137)))</f>
        <v/>
      </c>
      <c r="H137" s="50">
        <f>IF($O137="","",IF(INDEX(Firms!$H$5:$H$1004,$O137)="","—",INDEX(Firms!$H$5:$H$1004,$O137)))</f>
        <v/>
      </c>
      <c r="I137" s="50">
        <f>IF($O137="","",IF(INDEX(Firms!$I$5:$I$1004,$O137)="","—",INDEX(Firms!$I$5:$I$1004,$O137)))</f>
        <v/>
      </c>
      <c r="J137" s="50">
        <f>IF($O137="","",IF(INDEX(Firms!$J$5:$J$1004,$O137)="","—",INDEX(Firms!$J$5:$J$1004,$O137)))</f>
        <v/>
      </c>
      <c r="K137" s="50">
        <f>IF($O137="","",IF(INDEX(Firms!$K$5:$K$1004,$O137)="","—",INDEX(Firms!$K$5:$K$1004,$O137)))</f>
        <v/>
      </c>
      <c r="L137" s="50">
        <f>IF($O137="","",IF(INDEX(Firms!$L$5:$L$1004,$O137)="","—",INDEX(Firms!$L$5:$L$1004,$O137)))</f>
        <v/>
      </c>
      <c r="M137" s="50">
        <f>IF($O137="","",IF(INDEX(Firms!$M$5:$M$1004,$O137)="","—",INDEX(Firms!$M$5:$M$1004,$O137)))</f>
        <v/>
      </c>
      <c r="O137">
        <f>IFERROR(MATCH(SMALL(Firms!$Y$5:$Y$1004,129),Firms!$W$5:$W$1004,0),"")</f>
        <v/>
      </c>
    </row>
    <row r="138">
      <c r="B138" s="78">
        <f>IF($O138="","",INDEX(Firms!$A$5:$A$1004,$O138))</f>
        <v/>
      </c>
      <c r="C138" s="79">
        <f>IF($O138="","",INDEX(Firms!$N$5:$N$1004,$O138)&amp;"")</f>
        <v/>
      </c>
      <c r="D138" s="79">
        <f>IF($O138="","",INDEX(Firms!$P$5:$P$1004,$O138)&amp;"")</f>
        <v/>
      </c>
      <c r="E138" s="79">
        <f>IF($O138="","",INDEX(Firms!$O$5:$O$1004,$O138)&amp;"")</f>
        <v/>
      </c>
      <c r="F138" s="50">
        <f>IF($O138="","",IF(INDEX(Firms!$F$5:$F$1004,$O138)="","—",INDEX(Firms!$F$5:$F$1004,$O138)))</f>
        <v/>
      </c>
      <c r="G138" s="50">
        <f>IF($O138="","",IF(INDEX(Firms!$G$5:$G$1004,$O138)="","—",INDEX(Firms!$G$5:$G$1004,$O138)))</f>
        <v/>
      </c>
      <c r="H138" s="50">
        <f>IF($O138="","",IF(INDEX(Firms!$H$5:$H$1004,$O138)="","—",INDEX(Firms!$H$5:$H$1004,$O138)))</f>
        <v/>
      </c>
      <c r="I138" s="50">
        <f>IF($O138="","",IF(INDEX(Firms!$I$5:$I$1004,$O138)="","—",INDEX(Firms!$I$5:$I$1004,$O138)))</f>
        <v/>
      </c>
      <c r="J138" s="50">
        <f>IF($O138="","",IF(INDEX(Firms!$J$5:$J$1004,$O138)="","—",INDEX(Firms!$J$5:$J$1004,$O138)))</f>
        <v/>
      </c>
      <c r="K138" s="50">
        <f>IF($O138="","",IF(INDEX(Firms!$K$5:$K$1004,$O138)="","—",INDEX(Firms!$K$5:$K$1004,$O138)))</f>
        <v/>
      </c>
      <c r="L138" s="50">
        <f>IF($O138="","",IF(INDEX(Firms!$L$5:$L$1004,$O138)="","—",INDEX(Firms!$L$5:$L$1004,$O138)))</f>
        <v/>
      </c>
      <c r="M138" s="50">
        <f>IF($O138="","",IF(INDEX(Firms!$M$5:$M$1004,$O138)="","—",INDEX(Firms!$M$5:$M$1004,$O138)))</f>
        <v/>
      </c>
      <c r="O138">
        <f>IFERROR(MATCH(SMALL(Firms!$Y$5:$Y$1004,130),Firms!$W$5:$W$1004,0),"")</f>
        <v/>
      </c>
    </row>
    <row r="139">
      <c r="B139" s="78">
        <f>IF($O139="","",INDEX(Firms!$A$5:$A$1004,$O139))</f>
        <v/>
      </c>
      <c r="C139" s="79">
        <f>IF($O139="","",INDEX(Firms!$N$5:$N$1004,$O139)&amp;"")</f>
        <v/>
      </c>
      <c r="D139" s="79">
        <f>IF($O139="","",INDEX(Firms!$P$5:$P$1004,$O139)&amp;"")</f>
        <v/>
      </c>
      <c r="E139" s="79">
        <f>IF($O139="","",INDEX(Firms!$O$5:$O$1004,$O139)&amp;"")</f>
        <v/>
      </c>
      <c r="F139" s="50">
        <f>IF($O139="","",IF(INDEX(Firms!$F$5:$F$1004,$O139)="","—",INDEX(Firms!$F$5:$F$1004,$O139)))</f>
        <v/>
      </c>
      <c r="G139" s="50">
        <f>IF($O139="","",IF(INDEX(Firms!$G$5:$G$1004,$O139)="","—",INDEX(Firms!$G$5:$G$1004,$O139)))</f>
        <v/>
      </c>
      <c r="H139" s="50">
        <f>IF($O139="","",IF(INDEX(Firms!$H$5:$H$1004,$O139)="","—",INDEX(Firms!$H$5:$H$1004,$O139)))</f>
        <v/>
      </c>
      <c r="I139" s="50">
        <f>IF($O139="","",IF(INDEX(Firms!$I$5:$I$1004,$O139)="","—",INDEX(Firms!$I$5:$I$1004,$O139)))</f>
        <v/>
      </c>
      <c r="J139" s="50">
        <f>IF($O139="","",IF(INDEX(Firms!$J$5:$J$1004,$O139)="","—",INDEX(Firms!$J$5:$J$1004,$O139)))</f>
        <v/>
      </c>
      <c r="K139" s="50">
        <f>IF($O139="","",IF(INDEX(Firms!$K$5:$K$1004,$O139)="","—",INDEX(Firms!$K$5:$K$1004,$O139)))</f>
        <v/>
      </c>
      <c r="L139" s="50">
        <f>IF($O139="","",IF(INDEX(Firms!$L$5:$L$1004,$O139)="","—",INDEX(Firms!$L$5:$L$1004,$O139)))</f>
        <v/>
      </c>
      <c r="M139" s="50">
        <f>IF($O139="","",IF(INDEX(Firms!$M$5:$M$1004,$O139)="","—",INDEX(Firms!$M$5:$M$1004,$O139)))</f>
        <v/>
      </c>
      <c r="O139">
        <f>IFERROR(MATCH(SMALL(Firms!$Y$5:$Y$1004,131),Firms!$W$5:$W$1004,0),"")</f>
        <v/>
      </c>
    </row>
    <row r="140">
      <c r="B140" s="78">
        <f>IF($O140="","",INDEX(Firms!$A$5:$A$1004,$O140))</f>
        <v/>
      </c>
      <c r="C140" s="79">
        <f>IF($O140="","",INDEX(Firms!$N$5:$N$1004,$O140)&amp;"")</f>
        <v/>
      </c>
      <c r="D140" s="79">
        <f>IF($O140="","",INDEX(Firms!$P$5:$P$1004,$O140)&amp;"")</f>
        <v/>
      </c>
      <c r="E140" s="79">
        <f>IF($O140="","",INDEX(Firms!$O$5:$O$1004,$O140)&amp;"")</f>
        <v/>
      </c>
      <c r="F140" s="50">
        <f>IF($O140="","",IF(INDEX(Firms!$F$5:$F$1004,$O140)="","—",INDEX(Firms!$F$5:$F$1004,$O140)))</f>
        <v/>
      </c>
      <c r="G140" s="50">
        <f>IF($O140="","",IF(INDEX(Firms!$G$5:$G$1004,$O140)="","—",INDEX(Firms!$G$5:$G$1004,$O140)))</f>
        <v/>
      </c>
      <c r="H140" s="50">
        <f>IF($O140="","",IF(INDEX(Firms!$H$5:$H$1004,$O140)="","—",INDEX(Firms!$H$5:$H$1004,$O140)))</f>
        <v/>
      </c>
      <c r="I140" s="50">
        <f>IF($O140="","",IF(INDEX(Firms!$I$5:$I$1004,$O140)="","—",INDEX(Firms!$I$5:$I$1004,$O140)))</f>
        <v/>
      </c>
      <c r="J140" s="50">
        <f>IF($O140="","",IF(INDEX(Firms!$J$5:$J$1004,$O140)="","—",INDEX(Firms!$J$5:$J$1004,$O140)))</f>
        <v/>
      </c>
      <c r="K140" s="50">
        <f>IF($O140="","",IF(INDEX(Firms!$K$5:$K$1004,$O140)="","—",INDEX(Firms!$K$5:$K$1004,$O140)))</f>
        <v/>
      </c>
      <c r="L140" s="50">
        <f>IF($O140="","",IF(INDEX(Firms!$L$5:$L$1004,$O140)="","—",INDEX(Firms!$L$5:$L$1004,$O140)))</f>
        <v/>
      </c>
      <c r="M140" s="50">
        <f>IF($O140="","",IF(INDEX(Firms!$M$5:$M$1004,$O140)="","—",INDEX(Firms!$M$5:$M$1004,$O140)))</f>
        <v/>
      </c>
      <c r="O140">
        <f>IFERROR(MATCH(SMALL(Firms!$Y$5:$Y$1004,132),Firms!$W$5:$W$1004,0),"")</f>
        <v/>
      </c>
    </row>
    <row r="141">
      <c r="B141" s="78">
        <f>IF($O141="","",INDEX(Firms!$A$5:$A$1004,$O141))</f>
        <v/>
      </c>
      <c r="C141" s="79">
        <f>IF($O141="","",INDEX(Firms!$N$5:$N$1004,$O141)&amp;"")</f>
        <v/>
      </c>
      <c r="D141" s="79">
        <f>IF($O141="","",INDEX(Firms!$P$5:$P$1004,$O141)&amp;"")</f>
        <v/>
      </c>
      <c r="E141" s="79">
        <f>IF($O141="","",INDEX(Firms!$O$5:$O$1004,$O141)&amp;"")</f>
        <v/>
      </c>
      <c r="F141" s="50">
        <f>IF($O141="","",IF(INDEX(Firms!$F$5:$F$1004,$O141)="","—",INDEX(Firms!$F$5:$F$1004,$O141)))</f>
        <v/>
      </c>
      <c r="G141" s="50">
        <f>IF($O141="","",IF(INDEX(Firms!$G$5:$G$1004,$O141)="","—",INDEX(Firms!$G$5:$G$1004,$O141)))</f>
        <v/>
      </c>
      <c r="H141" s="50">
        <f>IF($O141="","",IF(INDEX(Firms!$H$5:$H$1004,$O141)="","—",INDEX(Firms!$H$5:$H$1004,$O141)))</f>
        <v/>
      </c>
      <c r="I141" s="50">
        <f>IF($O141="","",IF(INDEX(Firms!$I$5:$I$1004,$O141)="","—",INDEX(Firms!$I$5:$I$1004,$O141)))</f>
        <v/>
      </c>
      <c r="J141" s="50">
        <f>IF($O141="","",IF(INDEX(Firms!$J$5:$J$1004,$O141)="","—",INDEX(Firms!$J$5:$J$1004,$O141)))</f>
        <v/>
      </c>
      <c r="K141" s="50">
        <f>IF($O141="","",IF(INDEX(Firms!$K$5:$K$1004,$O141)="","—",INDEX(Firms!$K$5:$K$1004,$O141)))</f>
        <v/>
      </c>
      <c r="L141" s="50">
        <f>IF($O141="","",IF(INDEX(Firms!$L$5:$L$1004,$O141)="","—",INDEX(Firms!$L$5:$L$1004,$O141)))</f>
        <v/>
      </c>
      <c r="M141" s="50">
        <f>IF($O141="","",IF(INDEX(Firms!$M$5:$M$1004,$O141)="","—",INDEX(Firms!$M$5:$M$1004,$O141)))</f>
        <v/>
      </c>
      <c r="O141">
        <f>IFERROR(MATCH(SMALL(Firms!$Y$5:$Y$1004,133),Firms!$W$5:$W$1004,0),"")</f>
        <v/>
      </c>
    </row>
    <row r="142">
      <c r="B142" s="78">
        <f>IF($O142="","",INDEX(Firms!$A$5:$A$1004,$O142))</f>
        <v/>
      </c>
      <c r="C142" s="79">
        <f>IF($O142="","",INDEX(Firms!$N$5:$N$1004,$O142)&amp;"")</f>
        <v/>
      </c>
      <c r="D142" s="79">
        <f>IF($O142="","",INDEX(Firms!$P$5:$P$1004,$O142)&amp;"")</f>
        <v/>
      </c>
      <c r="E142" s="79">
        <f>IF($O142="","",INDEX(Firms!$O$5:$O$1004,$O142)&amp;"")</f>
        <v/>
      </c>
      <c r="F142" s="50">
        <f>IF($O142="","",IF(INDEX(Firms!$F$5:$F$1004,$O142)="","—",INDEX(Firms!$F$5:$F$1004,$O142)))</f>
        <v/>
      </c>
      <c r="G142" s="50">
        <f>IF($O142="","",IF(INDEX(Firms!$G$5:$G$1004,$O142)="","—",INDEX(Firms!$G$5:$G$1004,$O142)))</f>
        <v/>
      </c>
      <c r="H142" s="50">
        <f>IF($O142="","",IF(INDEX(Firms!$H$5:$H$1004,$O142)="","—",INDEX(Firms!$H$5:$H$1004,$O142)))</f>
        <v/>
      </c>
      <c r="I142" s="50">
        <f>IF($O142="","",IF(INDEX(Firms!$I$5:$I$1004,$O142)="","—",INDEX(Firms!$I$5:$I$1004,$O142)))</f>
        <v/>
      </c>
      <c r="J142" s="50">
        <f>IF($O142="","",IF(INDEX(Firms!$J$5:$J$1004,$O142)="","—",INDEX(Firms!$J$5:$J$1004,$O142)))</f>
        <v/>
      </c>
      <c r="K142" s="50">
        <f>IF($O142="","",IF(INDEX(Firms!$K$5:$K$1004,$O142)="","—",INDEX(Firms!$K$5:$K$1004,$O142)))</f>
        <v/>
      </c>
      <c r="L142" s="50">
        <f>IF($O142="","",IF(INDEX(Firms!$L$5:$L$1004,$O142)="","—",INDEX(Firms!$L$5:$L$1004,$O142)))</f>
        <v/>
      </c>
      <c r="M142" s="50">
        <f>IF($O142="","",IF(INDEX(Firms!$M$5:$M$1004,$O142)="","—",INDEX(Firms!$M$5:$M$1004,$O142)))</f>
        <v/>
      </c>
      <c r="O142">
        <f>IFERROR(MATCH(SMALL(Firms!$Y$5:$Y$1004,134),Firms!$W$5:$W$1004,0),"")</f>
        <v/>
      </c>
    </row>
    <row r="143">
      <c r="B143" s="78">
        <f>IF($O143="","",INDEX(Firms!$A$5:$A$1004,$O143))</f>
        <v/>
      </c>
      <c r="C143" s="79">
        <f>IF($O143="","",INDEX(Firms!$N$5:$N$1004,$O143)&amp;"")</f>
        <v/>
      </c>
      <c r="D143" s="79">
        <f>IF($O143="","",INDEX(Firms!$P$5:$P$1004,$O143)&amp;"")</f>
        <v/>
      </c>
      <c r="E143" s="79">
        <f>IF($O143="","",INDEX(Firms!$O$5:$O$1004,$O143)&amp;"")</f>
        <v/>
      </c>
      <c r="F143" s="50">
        <f>IF($O143="","",IF(INDEX(Firms!$F$5:$F$1004,$O143)="","—",INDEX(Firms!$F$5:$F$1004,$O143)))</f>
        <v/>
      </c>
      <c r="G143" s="50">
        <f>IF($O143="","",IF(INDEX(Firms!$G$5:$G$1004,$O143)="","—",INDEX(Firms!$G$5:$G$1004,$O143)))</f>
        <v/>
      </c>
      <c r="H143" s="50">
        <f>IF($O143="","",IF(INDEX(Firms!$H$5:$H$1004,$O143)="","—",INDEX(Firms!$H$5:$H$1004,$O143)))</f>
        <v/>
      </c>
      <c r="I143" s="50">
        <f>IF($O143="","",IF(INDEX(Firms!$I$5:$I$1004,$O143)="","—",INDEX(Firms!$I$5:$I$1004,$O143)))</f>
        <v/>
      </c>
      <c r="J143" s="50">
        <f>IF($O143="","",IF(INDEX(Firms!$J$5:$J$1004,$O143)="","—",INDEX(Firms!$J$5:$J$1004,$O143)))</f>
        <v/>
      </c>
      <c r="K143" s="50">
        <f>IF($O143="","",IF(INDEX(Firms!$K$5:$K$1004,$O143)="","—",INDEX(Firms!$K$5:$K$1004,$O143)))</f>
        <v/>
      </c>
      <c r="L143" s="50">
        <f>IF($O143="","",IF(INDEX(Firms!$L$5:$L$1004,$O143)="","—",INDEX(Firms!$L$5:$L$1004,$O143)))</f>
        <v/>
      </c>
      <c r="M143" s="50">
        <f>IF($O143="","",IF(INDEX(Firms!$M$5:$M$1004,$O143)="","—",INDEX(Firms!$M$5:$M$1004,$O143)))</f>
        <v/>
      </c>
      <c r="O143">
        <f>IFERROR(MATCH(SMALL(Firms!$Y$5:$Y$1004,135),Firms!$W$5:$W$1004,0),"")</f>
        <v/>
      </c>
    </row>
    <row r="144">
      <c r="B144" s="78">
        <f>IF($O144="","",INDEX(Firms!$A$5:$A$1004,$O144))</f>
        <v/>
      </c>
      <c r="C144" s="79">
        <f>IF($O144="","",INDEX(Firms!$N$5:$N$1004,$O144)&amp;"")</f>
        <v/>
      </c>
      <c r="D144" s="79">
        <f>IF($O144="","",INDEX(Firms!$P$5:$P$1004,$O144)&amp;"")</f>
        <v/>
      </c>
      <c r="E144" s="79">
        <f>IF($O144="","",INDEX(Firms!$O$5:$O$1004,$O144)&amp;"")</f>
        <v/>
      </c>
      <c r="F144" s="50">
        <f>IF($O144="","",IF(INDEX(Firms!$F$5:$F$1004,$O144)="","—",INDEX(Firms!$F$5:$F$1004,$O144)))</f>
        <v/>
      </c>
      <c r="G144" s="50">
        <f>IF($O144="","",IF(INDEX(Firms!$G$5:$G$1004,$O144)="","—",INDEX(Firms!$G$5:$G$1004,$O144)))</f>
        <v/>
      </c>
      <c r="H144" s="50">
        <f>IF($O144="","",IF(INDEX(Firms!$H$5:$H$1004,$O144)="","—",INDEX(Firms!$H$5:$H$1004,$O144)))</f>
        <v/>
      </c>
      <c r="I144" s="50">
        <f>IF($O144="","",IF(INDEX(Firms!$I$5:$I$1004,$O144)="","—",INDEX(Firms!$I$5:$I$1004,$O144)))</f>
        <v/>
      </c>
      <c r="J144" s="50">
        <f>IF($O144="","",IF(INDEX(Firms!$J$5:$J$1004,$O144)="","—",INDEX(Firms!$J$5:$J$1004,$O144)))</f>
        <v/>
      </c>
      <c r="K144" s="50">
        <f>IF($O144="","",IF(INDEX(Firms!$K$5:$K$1004,$O144)="","—",INDEX(Firms!$K$5:$K$1004,$O144)))</f>
        <v/>
      </c>
      <c r="L144" s="50">
        <f>IF($O144="","",IF(INDEX(Firms!$L$5:$L$1004,$O144)="","—",INDEX(Firms!$L$5:$L$1004,$O144)))</f>
        <v/>
      </c>
      <c r="M144" s="50">
        <f>IF($O144="","",IF(INDEX(Firms!$M$5:$M$1004,$O144)="","—",INDEX(Firms!$M$5:$M$1004,$O144)))</f>
        <v/>
      </c>
      <c r="O144">
        <f>IFERROR(MATCH(SMALL(Firms!$Y$5:$Y$1004,136),Firms!$W$5:$W$1004,0),"")</f>
        <v/>
      </c>
    </row>
    <row r="145">
      <c r="B145" s="78">
        <f>IF($O145="","",INDEX(Firms!$A$5:$A$1004,$O145))</f>
        <v/>
      </c>
      <c r="C145" s="79">
        <f>IF($O145="","",INDEX(Firms!$N$5:$N$1004,$O145)&amp;"")</f>
        <v/>
      </c>
      <c r="D145" s="79">
        <f>IF($O145="","",INDEX(Firms!$P$5:$P$1004,$O145)&amp;"")</f>
        <v/>
      </c>
      <c r="E145" s="79">
        <f>IF($O145="","",INDEX(Firms!$O$5:$O$1004,$O145)&amp;"")</f>
        <v/>
      </c>
      <c r="F145" s="50">
        <f>IF($O145="","",IF(INDEX(Firms!$F$5:$F$1004,$O145)="","—",INDEX(Firms!$F$5:$F$1004,$O145)))</f>
        <v/>
      </c>
      <c r="G145" s="50">
        <f>IF($O145="","",IF(INDEX(Firms!$G$5:$G$1004,$O145)="","—",INDEX(Firms!$G$5:$G$1004,$O145)))</f>
        <v/>
      </c>
      <c r="H145" s="50">
        <f>IF($O145="","",IF(INDEX(Firms!$H$5:$H$1004,$O145)="","—",INDEX(Firms!$H$5:$H$1004,$O145)))</f>
        <v/>
      </c>
      <c r="I145" s="50">
        <f>IF($O145="","",IF(INDEX(Firms!$I$5:$I$1004,$O145)="","—",INDEX(Firms!$I$5:$I$1004,$O145)))</f>
        <v/>
      </c>
      <c r="J145" s="50">
        <f>IF($O145="","",IF(INDEX(Firms!$J$5:$J$1004,$O145)="","—",INDEX(Firms!$J$5:$J$1004,$O145)))</f>
        <v/>
      </c>
      <c r="K145" s="50">
        <f>IF($O145="","",IF(INDEX(Firms!$K$5:$K$1004,$O145)="","—",INDEX(Firms!$K$5:$K$1004,$O145)))</f>
        <v/>
      </c>
      <c r="L145" s="50">
        <f>IF($O145="","",IF(INDEX(Firms!$L$5:$L$1004,$O145)="","—",INDEX(Firms!$L$5:$L$1004,$O145)))</f>
        <v/>
      </c>
      <c r="M145" s="50">
        <f>IF($O145="","",IF(INDEX(Firms!$M$5:$M$1004,$O145)="","—",INDEX(Firms!$M$5:$M$1004,$O145)))</f>
        <v/>
      </c>
      <c r="O145">
        <f>IFERROR(MATCH(SMALL(Firms!$Y$5:$Y$1004,137),Firms!$W$5:$W$1004,0),"")</f>
        <v/>
      </c>
    </row>
    <row r="146">
      <c r="B146" s="78">
        <f>IF($O146="","",INDEX(Firms!$A$5:$A$1004,$O146))</f>
        <v/>
      </c>
      <c r="C146" s="79">
        <f>IF($O146="","",INDEX(Firms!$N$5:$N$1004,$O146)&amp;"")</f>
        <v/>
      </c>
      <c r="D146" s="79">
        <f>IF($O146="","",INDEX(Firms!$P$5:$P$1004,$O146)&amp;"")</f>
        <v/>
      </c>
      <c r="E146" s="79">
        <f>IF($O146="","",INDEX(Firms!$O$5:$O$1004,$O146)&amp;"")</f>
        <v/>
      </c>
      <c r="F146" s="50">
        <f>IF($O146="","",IF(INDEX(Firms!$F$5:$F$1004,$O146)="","—",INDEX(Firms!$F$5:$F$1004,$O146)))</f>
        <v/>
      </c>
      <c r="G146" s="50">
        <f>IF($O146="","",IF(INDEX(Firms!$G$5:$G$1004,$O146)="","—",INDEX(Firms!$G$5:$G$1004,$O146)))</f>
        <v/>
      </c>
      <c r="H146" s="50">
        <f>IF($O146="","",IF(INDEX(Firms!$H$5:$H$1004,$O146)="","—",INDEX(Firms!$H$5:$H$1004,$O146)))</f>
        <v/>
      </c>
      <c r="I146" s="50">
        <f>IF($O146="","",IF(INDEX(Firms!$I$5:$I$1004,$O146)="","—",INDEX(Firms!$I$5:$I$1004,$O146)))</f>
        <v/>
      </c>
      <c r="J146" s="50">
        <f>IF($O146="","",IF(INDEX(Firms!$J$5:$J$1004,$O146)="","—",INDEX(Firms!$J$5:$J$1004,$O146)))</f>
        <v/>
      </c>
      <c r="K146" s="50">
        <f>IF($O146="","",IF(INDEX(Firms!$K$5:$K$1004,$O146)="","—",INDEX(Firms!$K$5:$K$1004,$O146)))</f>
        <v/>
      </c>
      <c r="L146" s="50">
        <f>IF($O146="","",IF(INDEX(Firms!$L$5:$L$1004,$O146)="","—",INDEX(Firms!$L$5:$L$1004,$O146)))</f>
        <v/>
      </c>
      <c r="M146" s="50">
        <f>IF($O146="","",IF(INDEX(Firms!$M$5:$M$1004,$O146)="","—",INDEX(Firms!$M$5:$M$1004,$O146)))</f>
        <v/>
      </c>
      <c r="O146">
        <f>IFERROR(MATCH(SMALL(Firms!$Y$5:$Y$1004,138),Firms!$W$5:$W$1004,0),"")</f>
        <v/>
      </c>
    </row>
    <row r="147">
      <c r="B147" s="78">
        <f>IF($O147="","",INDEX(Firms!$A$5:$A$1004,$O147))</f>
        <v/>
      </c>
      <c r="C147" s="79">
        <f>IF($O147="","",INDEX(Firms!$N$5:$N$1004,$O147)&amp;"")</f>
        <v/>
      </c>
      <c r="D147" s="79">
        <f>IF($O147="","",INDEX(Firms!$P$5:$P$1004,$O147)&amp;"")</f>
        <v/>
      </c>
      <c r="E147" s="79">
        <f>IF($O147="","",INDEX(Firms!$O$5:$O$1004,$O147)&amp;"")</f>
        <v/>
      </c>
      <c r="F147" s="50">
        <f>IF($O147="","",IF(INDEX(Firms!$F$5:$F$1004,$O147)="","—",INDEX(Firms!$F$5:$F$1004,$O147)))</f>
        <v/>
      </c>
      <c r="G147" s="50">
        <f>IF($O147="","",IF(INDEX(Firms!$G$5:$G$1004,$O147)="","—",INDEX(Firms!$G$5:$G$1004,$O147)))</f>
        <v/>
      </c>
      <c r="H147" s="50">
        <f>IF($O147="","",IF(INDEX(Firms!$H$5:$H$1004,$O147)="","—",INDEX(Firms!$H$5:$H$1004,$O147)))</f>
        <v/>
      </c>
      <c r="I147" s="50">
        <f>IF($O147="","",IF(INDEX(Firms!$I$5:$I$1004,$O147)="","—",INDEX(Firms!$I$5:$I$1004,$O147)))</f>
        <v/>
      </c>
      <c r="J147" s="50">
        <f>IF($O147="","",IF(INDEX(Firms!$J$5:$J$1004,$O147)="","—",INDEX(Firms!$J$5:$J$1004,$O147)))</f>
        <v/>
      </c>
      <c r="K147" s="50">
        <f>IF($O147="","",IF(INDEX(Firms!$K$5:$K$1004,$O147)="","—",INDEX(Firms!$K$5:$K$1004,$O147)))</f>
        <v/>
      </c>
      <c r="L147" s="50">
        <f>IF($O147="","",IF(INDEX(Firms!$L$5:$L$1004,$O147)="","—",INDEX(Firms!$L$5:$L$1004,$O147)))</f>
        <v/>
      </c>
      <c r="M147" s="50">
        <f>IF($O147="","",IF(INDEX(Firms!$M$5:$M$1004,$O147)="","—",INDEX(Firms!$M$5:$M$1004,$O147)))</f>
        <v/>
      </c>
      <c r="O147">
        <f>IFERROR(MATCH(SMALL(Firms!$Y$5:$Y$1004,139),Firms!$W$5:$W$1004,0),"")</f>
        <v/>
      </c>
    </row>
    <row r="148">
      <c r="B148" s="78">
        <f>IF($O148="","",INDEX(Firms!$A$5:$A$1004,$O148))</f>
        <v/>
      </c>
      <c r="C148" s="79">
        <f>IF($O148="","",INDEX(Firms!$N$5:$N$1004,$O148)&amp;"")</f>
        <v/>
      </c>
      <c r="D148" s="79">
        <f>IF($O148="","",INDEX(Firms!$P$5:$P$1004,$O148)&amp;"")</f>
        <v/>
      </c>
      <c r="E148" s="79">
        <f>IF($O148="","",INDEX(Firms!$O$5:$O$1004,$O148)&amp;"")</f>
        <v/>
      </c>
      <c r="F148" s="50">
        <f>IF($O148="","",IF(INDEX(Firms!$F$5:$F$1004,$O148)="","—",INDEX(Firms!$F$5:$F$1004,$O148)))</f>
        <v/>
      </c>
      <c r="G148" s="50">
        <f>IF($O148="","",IF(INDEX(Firms!$G$5:$G$1004,$O148)="","—",INDEX(Firms!$G$5:$G$1004,$O148)))</f>
        <v/>
      </c>
      <c r="H148" s="50">
        <f>IF($O148="","",IF(INDEX(Firms!$H$5:$H$1004,$O148)="","—",INDEX(Firms!$H$5:$H$1004,$O148)))</f>
        <v/>
      </c>
      <c r="I148" s="50">
        <f>IF($O148="","",IF(INDEX(Firms!$I$5:$I$1004,$O148)="","—",INDEX(Firms!$I$5:$I$1004,$O148)))</f>
        <v/>
      </c>
      <c r="J148" s="50">
        <f>IF($O148="","",IF(INDEX(Firms!$J$5:$J$1004,$O148)="","—",INDEX(Firms!$J$5:$J$1004,$O148)))</f>
        <v/>
      </c>
      <c r="K148" s="50">
        <f>IF($O148="","",IF(INDEX(Firms!$K$5:$K$1004,$O148)="","—",INDEX(Firms!$K$5:$K$1004,$O148)))</f>
        <v/>
      </c>
      <c r="L148" s="50">
        <f>IF($O148="","",IF(INDEX(Firms!$L$5:$L$1004,$O148)="","—",INDEX(Firms!$L$5:$L$1004,$O148)))</f>
        <v/>
      </c>
      <c r="M148" s="50">
        <f>IF($O148="","",IF(INDEX(Firms!$M$5:$M$1004,$O148)="","—",INDEX(Firms!$M$5:$M$1004,$O148)))</f>
        <v/>
      </c>
      <c r="O148">
        <f>IFERROR(MATCH(SMALL(Firms!$Y$5:$Y$1004,140),Firms!$W$5:$W$1004,0),"")</f>
        <v/>
      </c>
    </row>
    <row r="149">
      <c r="B149" s="78">
        <f>IF($O149="","",INDEX(Firms!$A$5:$A$1004,$O149))</f>
        <v/>
      </c>
      <c r="C149" s="79">
        <f>IF($O149="","",INDEX(Firms!$N$5:$N$1004,$O149)&amp;"")</f>
        <v/>
      </c>
      <c r="D149" s="79">
        <f>IF($O149="","",INDEX(Firms!$P$5:$P$1004,$O149)&amp;"")</f>
        <v/>
      </c>
      <c r="E149" s="79">
        <f>IF($O149="","",INDEX(Firms!$O$5:$O$1004,$O149)&amp;"")</f>
        <v/>
      </c>
      <c r="F149" s="50">
        <f>IF($O149="","",IF(INDEX(Firms!$F$5:$F$1004,$O149)="","—",INDEX(Firms!$F$5:$F$1004,$O149)))</f>
        <v/>
      </c>
      <c r="G149" s="50">
        <f>IF($O149="","",IF(INDEX(Firms!$G$5:$G$1004,$O149)="","—",INDEX(Firms!$G$5:$G$1004,$O149)))</f>
        <v/>
      </c>
      <c r="H149" s="50">
        <f>IF($O149="","",IF(INDEX(Firms!$H$5:$H$1004,$O149)="","—",INDEX(Firms!$H$5:$H$1004,$O149)))</f>
        <v/>
      </c>
      <c r="I149" s="50">
        <f>IF($O149="","",IF(INDEX(Firms!$I$5:$I$1004,$O149)="","—",INDEX(Firms!$I$5:$I$1004,$O149)))</f>
        <v/>
      </c>
      <c r="J149" s="50">
        <f>IF($O149="","",IF(INDEX(Firms!$J$5:$J$1004,$O149)="","—",INDEX(Firms!$J$5:$J$1004,$O149)))</f>
        <v/>
      </c>
      <c r="K149" s="50">
        <f>IF($O149="","",IF(INDEX(Firms!$K$5:$K$1004,$O149)="","—",INDEX(Firms!$K$5:$K$1004,$O149)))</f>
        <v/>
      </c>
      <c r="L149" s="50">
        <f>IF($O149="","",IF(INDEX(Firms!$L$5:$L$1004,$O149)="","—",INDEX(Firms!$L$5:$L$1004,$O149)))</f>
        <v/>
      </c>
      <c r="M149" s="50">
        <f>IF($O149="","",IF(INDEX(Firms!$M$5:$M$1004,$O149)="","—",INDEX(Firms!$M$5:$M$1004,$O149)))</f>
        <v/>
      </c>
      <c r="O149">
        <f>IFERROR(MATCH(SMALL(Firms!$Y$5:$Y$1004,141),Firms!$W$5:$W$1004,0),"")</f>
        <v/>
      </c>
    </row>
    <row r="150">
      <c r="B150" s="78">
        <f>IF($O150="","",INDEX(Firms!$A$5:$A$1004,$O150))</f>
        <v/>
      </c>
      <c r="C150" s="79">
        <f>IF($O150="","",INDEX(Firms!$N$5:$N$1004,$O150)&amp;"")</f>
        <v/>
      </c>
      <c r="D150" s="79">
        <f>IF($O150="","",INDEX(Firms!$P$5:$P$1004,$O150)&amp;"")</f>
        <v/>
      </c>
      <c r="E150" s="79">
        <f>IF($O150="","",INDEX(Firms!$O$5:$O$1004,$O150)&amp;"")</f>
        <v/>
      </c>
      <c r="F150" s="50">
        <f>IF($O150="","",IF(INDEX(Firms!$F$5:$F$1004,$O150)="","—",INDEX(Firms!$F$5:$F$1004,$O150)))</f>
        <v/>
      </c>
      <c r="G150" s="50">
        <f>IF($O150="","",IF(INDEX(Firms!$G$5:$G$1004,$O150)="","—",INDEX(Firms!$G$5:$G$1004,$O150)))</f>
        <v/>
      </c>
      <c r="H150" s="50">
        <f>IF($O150="","",IF(INDEX(Firms!$H$5:$H$1004,$O150)="","—",INDEX(Firms!$H$5:$H$1004,$O150)))</f>
        <v/>
      </c>
      <c r="I150" s="50">
        <f>IF($O150="","",IF(INDEX(Firms!$I$5:$I$1004,$O150)="","—",INDEX(Firms!$I$5:$I$1004,$O150)))</f>
        <v/>
      </c>
      <c r="J150" s="50">
        <f>IF($O150="","",IF(INDEX(Firms!$J$5:$J$1004,$O150)="","—",INDEX(Firms!$J$5:$J$1004,$O150)))</f>
        <v/>
      </c>
      <c r="K150" s="50">
        <f>IF($O150="","",IF(INDEX(Firms!$K$5:$K$1004,$O150)="","—",INDEX(Firms!$K$5:$K$1004,$O150)))</f>
        <v/>
      </c>
      <c r="L150" s="50">
        <f>IF($O150="","",IF(INDEX(Firms!$L$5:$L$1004,$O150)="","—",INDEX(Firms!$L$5:$L$1004,$O150)))</f>
        <v/>
      </c>
      <c r="M150" s="50">
        <f>IF($O150="","",IF(INDEX(Firms!$M$5:$M$1004,$O150)="","—",INDEX(Firms!$M$5:$M$1004,$O150)))</f>
        <v/>
      </c>
      <c r="O150">
        <f>IFERROR(MATCH(SMALL(Firms!$Y$5:$Y$1004,142),Firms!$W$5:$W$1004,0),"")</f>
        <v/>
      </c>
    </row>
    <row r="151">
      <c r="B151" s="78">
        <f>IF($O151="","",INDEX(Firms!$A$5:$A$1004,$O151))</f>
        <v/>
      </c>
      <c r="C151" s="79">
        <f>IF($O151="","",INDEX(Firms!$N$5:$N$1004,$O151)&amp;"")</f>
        <v/>
      </c>
      <c r="D151" s="79">
        <f>IF($O151="","",INDEX(Firms!$P$5:$P$1004,$O151)&amp;"")</f>
        <v/>
      </c>
      <c r="E151" s="79">
        <f>IF($O151="","",INDEX(Firms!$O$5:$O$1004,$O151)&amp;"")</f>
        <v/>
      </c>
      <c r="F151" s="50">
        <f>IF($O151="","",IF(INDEX(Firms!$F$5:$F$1004,$O151)="","—",INDEX(Firms!$F$5:$F$1004,$O151)))</f>
        <v/>
      </c>
      <c r="G151" s="50">
        <f>IF($O151="","",IF(INDEX(Firms!$G$5:$G$1004,$O151)="","—",INDEX(Firms!$G$5:$G$1004,$O151)))</f>
        <v/>
      </c>
      <c r="H151" s="50">
        <f>IF($O151="","",IF(INDEX(Firms!$H$5:$H$1004,$O151)="","—",INDEX(Firms!$H$5:$H$1004,$O151)))</f>
        <v/>
      </c>
      <c r="I151" s="50">
        <f>IF($O151="","",IF(INDEX(Firms!$I$5:$I$1004,$O151)="","—",INDEX(Firms!$I$5:$I$1004,$O151)))</f>
        <v/>
      </c>
      <c r="J151" s="50">
        <f>IF($O151="","",IF(INDEX(Firms!$J$5:$J$1004,$O151)="","—",INDEX(Firms!$J$5:$J$1004,$O151)))</f>
        <v/>
      </c>
      <c r="K151" s="50">
        <f>IF($O151="","",IF(INDEX(Firms!$K$5:$K$1004,$O151)="","—",INDEX(Firms!$K$5:$K$1004,$O151)))</f>
        <v/>
      </c>
      <c r="L151" s="50">
        <f>IF($O151="","",IF(INDEX(Firms!$L$5:$L$1004,$O151)="","—",INDEX(Firms!$L$5:$L$1004,$O151)))</f>
        <v/>
      </c>
      <c r="M151" s="50">
        <f>IF($O151="","",IF(INDEX(Firms!$M$5:$M$1004,$O151)="","—",INDEX(Firms!$M$5:$M$1004,$O151)))</f>
        <v/>
      </c>
      <c r="O151">
        <f>IFERROR(MATCH(SMALL(Firms!$Y$5:$Y$1004,143),Firms!$W$5:$W$1004,0),"")</f>
        <v/>
      </c>
    </row>
    <row r="152">
      <c r="B152" s="78">
        <f>IF($O152="","",INDEX(Firms!$A$5:$A$1004,$O152))</f>
        <v/>
      </c>
      <c r="C152" s="79">
        <f>IF($O152="","",INDEX(Firms!$N$5:$N$1004,$O152)&amp;"")</f>
        <v/>
      </c>
      <c r="D152" s="79">
        <f>IF($O152="","",INDEX(Firms!$P$5:$P$1004,$O152)&amp;"")</f>
        <v/>
      </c>
      <c r="E152" s="79">
        <f>IF($O152="","",INDEX(Firms!$O$5:$O$1004,$O152)&amp;"")</f>
        <v/>
      </c>
      <c r="F152" s="50">
        <f>IF($O152="","",IF(INDEX(Firms!$F$5:$F$1004,$O152)="","—",INDEX(Firms!$F$5:$F$1004,$O152)))</f>
        <v/>
      </c>
      <c r="G152" s="50">
        <f>IF($O152="","",IF(INDEX(Firms!$G$5:$G$1004,$O152)="","—",INDEX(Firms!$G$5:$G$1004,$O152)))</f>
        <v/>
      </c>
      <c r="H152" s="50">
        <f>IF($O152="","",IF(INDEX(Firms!$H$5:$H$1004,$O152)="","—",INDEX(Firms!$H$5:$H$1004,$O152)))</f>
        <v/>
      </c>
      <c r="I152" s="50">
        <f>IF($O152="","",IF(INDEX(Firms!$I$5:$I$1004,$O152)="","—",INDEX(Firms!$I$5:$I$1004,$O152)))</f>
        <v/>
      </c>
      <c r="J152" s="50">
        <f>IF($O152="","",IF(INDEX(Firms!$J$5:$J$1004,$O152)="","—",INDEX(Firms!$J$5:$J$1004,$O152)))</f>
        <v/>
      </c>
      <c r="K152" s="50">
        <f>IF($O152="","",IF(INDEX(Firms!$K$5:$K$1004,$O152)="","—",INDEX(Firms!$K$5:$K$1004,$O152)))</f>
        <v/>
      </c>
      <c r="L152" s="50">
        <f>IF($O152="","",IF(INDEX(Firms!$L$5:$L$1004,$O152)="","—",INDEX(Firms!$L$5:$L$1004,$O152)))</f>
        <v/>
      </c>
      <c r="M152" s="50">
        <f>IF($O152="","",IF(INDEX(Firms!$M$5:$M$1004,$O152)="","—",INDEX(Firms!$M$5:$M$1004,$O152)))</f>
        <v/>
      </c>
      <c r="O152">
        <f>IFERROR(MATCH(SMALL(Firms!$Y$5:$Y$1004,144),Firms!$W$5:$W$1004,0),"")</f>
        <v/>
      </c>
    </row>
    <row r="153">
      <c r="B153" s="78">
        <f>IF($O153="","",INDEX(Firms!$A$5:$A$1004,$O153))</f>
        <v/>
      </c>
      <c r="C153" s="79">
        <f>IF($O153="","",INDEX(Firms!$N$5:$N$1004,$O153)&amp;"")</f>
        <v/>
      </c>
      <c r="D153" s="79">
        <f>IF($O153="","",INDEX(Firms!$P$5:$P$1004,$O153)&amp;"")</f>
        <v/>
      </c>
      <c r="E153" s="79">
        <f>IF($O153="","",INDEX(Firms!$O$5:$O$1004,$O153)&amp;"")</f>
        <v/>
      </c>
      <c r="F153" s="50">
        <f>IF($O153="","",IF(INDEX(Firms!$F$5:$F$1004,$O153)="","—",INDEX(Firms!$F$5:$F$1004,$O153)))</f>
        <v/>
      </c>
      <c r="G153" s="50">
        <f>IF($O153="","",IF(INDEX(Firms!$G$5:$G$1004,$O153)="","—",INDEX(Firms!$G$5:$G$1004,$O153)))</f>
        <v/>
      </c>
      <c r="H153" s="50">
        <f>IF($O153="","",IF(INDEX(Firms!$H$5:$H$1004,$O153)="","—",INDEX(Firms!$H$5:$H$1004,$O153)))</f>
        <v/>
      </c>
      <c r="I153" s="50">
        <f>IF($O153="","",IF(INDEX(Firms!$I$5:$I$1004,$O153)="","—",INDEX(Firms!$I$5:$I$1004,$O153)))</f>
        <v/>
      </c>
      <c r="J153" s="50">
        <f>IF($O153="","",IF(INDEX(Firms!$J$5:$J$1004,$O153)="","—",INDEX(Firms!$J$5:$J$1004,$O153)))</f>
        <v/>
      </c>
      <c r="K153" s="50">
        <f>IF($O153="","",IF(INDEX(Firms!$K$5:$K$1004,$O153)="","—",INDEX(Firms!$K$5:$K$1004,$O153)))</f>
        <v/>
      </c>
      <c r="L153" s="50">
        <f>IF($O153="","",IF(INDEX(Firms!$L$5:$L$1004,$O153)="","—",INDEX(Firms!$L$5:$L$1004,$O153)))</f>
        <v/>
      </c>
      <c r="M153" s="50">
        <f>IF($O153="","",IF(INDEX(Firms!$M$5:$M$1004,$O153)="","—",INDEX(Firms!$M$5:$M$1004,$O153)))</f>
        <v/>
      </c>
      <c r="O153">
        <f>IFERROR(MATCH(SMALL(Firms!$Y$5:$Y$1004,145),Firms!$W$5:$W$1004,0),"")</f>
        <v/>
      </c>
    </row>
    <row r="154">
      <c r="B154" s="78">
        <f>IF($O154="","",INDEX(Firms!$A$5:$A$1004,$O154))</f>
        <v/>
      </c>
      <c r="C154" s="79">
        <f>IF($O154="","",INDEX(Firms!$N$5:$N$1004,$O154)&amp;"")</f>
        <v/>
      </c>
      <c r="D154" s="79">
        <f>IF($O154="","",INDEX(Firms!$P$5:$P$1004,$O154)&amp;"")</f>
        <v/>
      </c>
      <c r="E154" s="79">
        <f>IF($O154="","",INDEX(Firms!$O$5:$O$1004,$O154)&amp;"")</f>
        <v/>
      </c>
      <c r="F154" s="50">
        <f>IF($O154="","",IF(INDEX(Firms!$F$5:$F$1004,$O154)="","—",INDEX(Firms!$F$5:$F$1004,$O154)))</f>
        <v/>
      </c>
      <c r="G154" s="50">
        <f>IF($O154="","",IF(INDEX(Firms!$G$5:$G$1004,$O154)="","—",INDEX(Firms!$G$5:$G$1004,$O154)))</f>
        <v/>
      </c>
      <c r="H154" s="50">
        <f>IF($O154="","",IF(INDEX(Firms!$H$5:$H$1004,$O154)="","—",INDEX(Firms!$H$5:$H$1004,$O154)))</f>
        <v/>
      </c>
      <c r="I154" s="50">
        <f>IF($O154="","",IF(INDEX(Firms!$I$5:$I$1004,$O154)="","—",INDEX(Firms!$I$5:$I$1004,$O154)))</f>
        <v/>
      </c>
      <c r="J154" s="50">
        <f>IF($O154="","",IF(INDEX(Firms!$J$5:$J$1004,$O154)="","—",INDEX(Firms!$J$5:$J$1004,$O154)))</f>
        <v/>
      </c>
      <c r="K154" s="50">
        <f>IF($O154="","",IF(INDEX(Firms!$K$5:$K$1004,$O154)="","—",INDEX(Firms!$K$5:$K$1004,$O154)))</f>
        <v/>
      </c>
      <c r="L154" s="50">
        <f>IF($O154="","",IF(INDEX(Firms!$L$5:$L$1004,$O154)="","—",INDEX(Firms!$L$5:$L$1004,$O154)))</f>
        <v/>
      </c>
      <c r="M154" s="50">
        <f>IF($O154="","",IF(INDEX(Firms!$M$5:$M$1004,$O154)="","—",INDEX(Firms!$M$5:$M$1004,$O154)))</f>
        <v/>
      </c>
      <c r="O154">
        <f>IFERROR(MATCH(SMALL(Firms!$Y$5:$Y$1004,146),Firms!$W$5:$W$1004,0),"")</f>
        <v/>
      </c>
    </row>
    <row r="155">
      <c r="B155" s="78">
        <f>IF($O155="","",INDEX(Firms!$A$5:$A$1004,$O155))</f>
        <v/>
      </c>
      <c r="C155" s="79">
        <f>IF($O155="","",INDEX(Firms!$N$5:$N$1004,$O155)&amp;"")</f>
        <v/>
      </c>
      <c r="D155" s="79">
        <f>IF($O155="","",INDEX(Firms!$P$5:$P$1004,$O155)&amp;"")</f>
        <v/>
      </c>
      <c r="E155" s="79">
        <f>IF($O155="","",INDEX(Firms!$O$5:$O$1004,$O155)&amp;"")</f>
        <v/>
      </c>
      <c r="F155" s="50">
        <f>IF($O155="","",IF(INDEX(Firms!$F$5:$F$1004,$O155)="","—",INDEX(Firms!$F$5:$F$1004,$O155)))</f>
        <v/>
      </c>
      <c r="G155" s="50">
        <f>IF($O155="","",IF(INDEX(Firms!$G$5:$G$1004,$O155)="","—",INDEX(Firms!$G$5:$G$1004,$O155)))</f>
        <v/>
      </c>
      <c r="H155" s="50">
        <f>IF($O155="","",IF(INDEX(Firms!$H$5:$H$1004,$O155)="","—",INDEX(Firms!$H$5:$H$1004,$O155)))</f>
        <v/>
      </c>
      <c r="I155" s="50">
        <f>IF($O155="","",IF(INDEX(Firms!$I$5:$I$1004,$O155)="","—",INDEX(Firms!$I$5:$I$1004,$O155)))</f>
        <v/>
      </c>
      <c r="J155" s="50">
        <f>IF($O155="","",IF(INDEX(Firms!$J$5:$J$1004,$O155)="","—",INDEX(Firms!$J$5:$J$1004,$O155)))</f>
        <v/>
      </c>
      <c r="K155" s="50">
        <f>IF($O155="","",IF(INDEX(Firms!$K$5:$K$1004,$O155)="","—",INDEX(Firms!$K$5:$K$1004,$O155)))</f>
        <v/>
      </c>
      <c r="L155" s="50">
        <f>IF($O155="","",IF(INDEX(Firms!$L$5:$L$1004,$O155)="","—",INDEX(Firms!$L$5:$L$1004,$O155)))</f>
        <v/>
      </c>
      <c r="M155" s="50">
        <f>IF($O155="","",IF(INDEX(Firms!$M$5:$M$1004,$O155)="","—",INDEX(Firms!$M$5:$M$1004,$O155)))</f>
        <v/>
      </c>
      <c r="O155">
        <f>IFERROR(MATCH(SMALL(Firms!$Y$5:$Y$1004,147),Firms!$W$5:$W$1004,0),"")</f>
        <v/>
      </c>
    </row>
    <row r="156">
      <c r="B156" s="78">
        <f>IF($O156="","",INDEX(Firms!$A$5:$A$1004,$O156))</f>
        <v/>
      </c>
      <c r="C156" s="79">
        <f>IF($O156="","",INDEX(Firms!$N$5:$N$1004,$O156)&amp;"")</f>
        <v/>
      </c>
      <c r="D156" s="79">
        <f>IF($O156="","",INDEX(Firms!$P$5:$P$1004,$O156)&amp;"")</f>
        <v/>
      </c>
      <c r="E156" s="79">
        <f>IF($O156="","",INDEX(Firms!$O$5:$O$1004,$O156)&amp;"")</f>
        <v/>
      </c>
      <c r="F156" s="50">
        <f>IF($O156="","",IF(INDEX(Firms!$F$5:$F$1004,$O156)="","—",INDEX(Firms!$F$5:$F$1004,$O156)))</f>
        <v/>
      </c>
      <c r="G156" s="50">
        <f>IF($O156="","",IF(INDEX(Firms!$G$5:$G$1004,$O156)="","—",INDEX(Firms!$G$5:$G$1004,$O156)))</f>
        <v/>
      </c>
      <c r="H156" s="50">
        <f>IF($O156="","",IF(INDEX(Firms!$H$5:$H$1004,$O156)="","—",INDEX(Firms!$H$5:$H$1004,$O156)))</f>
        <v/>
      </c>
      <c r="I156" s="50">
        <f>IF($O156="","",IF(INDEX(Firms!$I$5:$I$1004,$O156)="","—",INDEX(Firms!$I$5:$I$1004,$O156)))</f>
        <v/>
      </c>
      <c r="J156" s="50">
        <f>IF($O156="","",IF(INDEX(Firms!$J$5:$J$1004,$O156)="","—",INDEX(Firms!$J$5:$J$1004,$O156)))</f>
        <v/>
      </c>
      <c r="K156" s="50">
        <f>IF($O156="","",IF(INDEX(Firms!$K$5:$K$1004,$O156)="","—",INDEX(Firms!$K$5:$K$1004,$O156)))</f>
        <v/>
      </c>
      <c r="L156" s="50">
        <f>IF($O156="","",IF(INDEX(Firms!$L$5:$L$1004,$O156)="","—",INDEX(Firms!$L$5:$L$1004,$O156)))</f>
        <v/>
      </c>
      <c r="M156" s="50">
        <f>IF($O156="","",IF(INDEX(Firms!$M$5:$M$1004,$O156)="","—",INDEX(Firms!$M$5:$M$1004,$O156)))</f>
        <v/>
      </c>
      <c r="O156">
        <f>IFERROR(MATCH(SMALL(Firms!$Y$5:$Y$1004,148),Firms!$W$5:$W$1004,0),"")</f>
        <v/>
      </c>
    </row>
    <row r="157">
      <c r="B157" s="78">
        <f>IF($O157="","",INDEX(Firms!$A$5:$A$1004,$O157))</f>
        <v/>
      </c>
      <c r="C157" s="79">
        <f>IF($O157="","",INDEX(Firms!$N$5:$N$1004,$O157)&amp;"")</f>
        <v/>
      </c>
      <c r="D157" s="79">
        <f>IF($O157="","",INDEX(Firms!$P$5:$P$1004,$O157)&amp;"")</f>
        <v/>
      </c>
      <c r="E157" s="79">
        <f>IF($O157="","",INDEX(Firms!$O$5:$O$1004,$O157)&amp;"")</f>
        <v/>
      </c>
      <c r="F157" s="50">
        <f>IF($O157="","",IF(INDEX(Firms!$F$5:$F$1004,$O157)="","—",INDEX(Firms!$F$5:$F$1004,$O157)))</f>
        <v/>
      </c>
      <c r="G157" s="50">
        <f>IF($O157="","",IF(INDEX(Firms!$G$5:$G$1004,$O157)="","—",INDEX(Firms!$G$5:$G$1004,$O157)))</f>
        <v/>
      </c>
      <c r="H157" s="50">
        <f>IF($O157="","",IF(INDEX(Firms!$H$5:$H$1004,$O157)="","—",INDEX(Firms!$H$5:$H$1004,$O157)))</f>
        <v/>
      </c>
      <c r="I157" s="50">
        <f>IF($O157="","",IF(INDEX(Firms!$I$5:$I$1004,$O157)="","—",INDEX(Firms!$I$5:$I$1004,$O157)))</f>
        <v/>
      </c>
      <c r="J157" s="50">
        <f>IF($O157="","",IF(INDEX(Firms!$J$5:$J$1004,$O157)="","—",INDEX(Firms!$J$5:$J$1004,$O157)))</f>
        <v/>
      </c>
      <c r="K157" s="50">
        <f>IF($O157="","",IF(INDEX(Firms!$K$5:$K$1004,$O157)="","—",INDEX(Firms!$K$5:$K$1004,$O157)))</f>
        <v/>
      </c>
      <c r="L157" s="50">
        <f>IF($O157="","",IF(INDEX(Firms!$L$5:$L$1004,$O157)="","—",INDEX(Firms!$L$5:$L$1004,$O157)))</f>
        <v/>
      </c>
      <c r="M157" s="50">
        <f>IF($O157="","",IF(INDEX(Firms!$M$5:$M$1004,$O157)="","—",INDEX(Firms!$M$5:$M$1004,$O157)))</f>
        <v/>
      </c>
      <c r="O157">
        <f>IFERROR(MATCH(SMALL(Firms!$Y$5:$Y$1004,149),Firms!$W$5:$W$1004,0),"")</f>
        <v/>
      </c>
    </row>
    <row r="158">
      <c r="B158" s="78">
        <f>IF($O158="","",INDEX(Firms!$A$5:$A$1004,$O158))</f>
        <v/>
      </c>
      <c r="C158" s="79">
        <f>IF($O158="","",INDEX(Firms!$N$5:$N$1004,$O158)&amp;"")</f>
        <v/>
      </c>
      <c r="D158" s="79">
        <f>IF($O158="","",INDEX(Firms!$P$5:$P$1004,$O158)&amp;"")</f>
        <v/>
      </c>
      <c r="E158" s="79">
        <f>IF($O158="","",INDEX(Firms!$O$5:$O$1004,$O158)&amp;"")</f>
        <v/>
      </c>
      <c r="F158" s="50">
        <f>IF($O158="","",IF(INDEX(Firms!$F$5:$F$1004,$O158)="","—",INDEX(Firms!$F$5:$F$1004,$O158)))</f>
        <v/>
      </c>
      <c r="G158" s="50">
        <f>IF($O158="","",IF(INDEX(Firms!$G$5:$G$1004,$O158)="","—",INDEX(Firms!$G$5:$G$1004,$O158)))</f>
        <v/>
      </c>
      <c r="H158" s="50">
        <f>IF($O158="","",IF(INDEX(Firms!$H$5:$H$1004,$O158)="","—",INDEX(Firms!$H$5:$H$1004,$O158)))</f>
        <v/>
      </c>
      <c r="I158" s="50">
        <f>IF($O158="","",IF(INDEX(Firms!$I$5:$I$1004,$O158)="","—",INDEX(Firms!$I$5:$I$1004,$O158)))</f>
        <v/>
      </c>
      <c r="J158" s="50">
        <f>IF($O158="","",IF(INDEX(Firms!$J$5:$J$1004,$O158)="","—",INDEX(Firms!$J$5:$J$1004,$O158)))</f>
        <v/>
      </c>
      <c r="K158" s="50">
        <f>IF($O158="","",IF(INDEX(Firms!$K$5:$K$1004,$O158)="","—",INDEX(Firms!$K$5:$K$1004,$O158)))</f>
        <v/>
      </c>
      <c r="L158" s="50">
        <f>IF($O158="","",IF(INDEX(Firms!$L$5:$L$1004,$O158)="","—",INDEX(Firms!$L$5:$L$1004,$O158)))</f>
        <v/>
      </c>
      <c r="M158" s="50">
        <f>IF($O158="","",IF(INDEX(Firms!$M$5:$M$1004,$O158)="","—",INDEX(Firms!$M$5:$M$1004,$O158)))</f>
        <v/>
      </c>
      <c r="O158">
        <f>IFERROR(MATCH(SMALL(Firms!$Y$5:$Y$1004,150),Firms!$W$5:$W$1004,0),"")</f>
        <v/>
      </c>
    </row>
    <row r="159">
      <c r="B159" s="78">
        <f>IF($O159="","",INDEX(Firms!$A$5:$A$1004,$O159))</f>
        <v/>
      </c>
      <c r="C159" s="79">
        <f>IF($O159="","",INDEX(Firms!$N$5:$N$1004,$O159)&amp;"")</f>
        <v/>
      </c>
      <c r="D159" s="79">
        <f>IF($O159="","",INDEX(Firms!$P$5:$P$1004,$O159)&amp;"")</f>
        <v/>
      </c>
      <c r="E159" s="79">
        <f>IF($O159="","",INDEX(Firms!$O$5:$O$1004,$O159)&amp;"")</f>
        <v/>
      </c>
      <c r="F159" s="50">
        <f>IF($O159="","",IF(INDEX(Firms!$F$5:$F$1004,$O159)="","—",INDEX(Firms!$F$5:$F$1004,$O159)))</f>
        <v/>
      </c>
      <c r="G159" s="50">
        <f>IF($O159="","",IF(INDEX(Firms!$G$5:$G$1004,$O159)="","—",INDEX(Firms!$G$5:$G$1004,$O159)))</f>
        <v/>
      </c>
      <c r="H159" s="50">
        <f>IF($O159="","",IF(INDEX(Firms!$H$5:$H$1004,$O159)="","—",INDEX(Firms!$H$5:$H$1004,$O159)))</f>
        <v/>
      </c>
      <c r="I159" s="50">
        <f>IF($O159="","",IF(INDEX(Firms!$I$5:$I$1004,$O159)="","—",INDEX(Firms!$I$5:$I$1004,$O159)))</f>
        <v/>
      </c>
      <c r="J159" s="50">
        <f>IF($O159="","",IF(INDEX(Firms!$J$5:$J$1004,$O159)="","—",INDEX(Firms!$J$5:$J$1004,$O159)))</f>
        <v/>
      </c>
      <c r="K159" s="50">
        <f>IF($O159="","",IF(INDEX(Firms!$K$5:$K$1004,$O159)="","—",INDEX(Firms!$K$5:$K$1004,$O159)))</f>
        <v/>
      </c>
      <c r="L159" s="50">
        <f>IF($O159="","",IF(INDEX(Firms!$L$5:$L$1004,$O159)="","—",INDEX(Firms!$L$5:$L$1004,$O159)))</f>
        <v/>
      </c>
      <c r="M159" s="50">
        <f>IF($O159="","",IF(INDEX(Firms!$M$5:$M$1004,$O159)="","—",INDEX(Firms!$M$5:$M$1004,$O159)))</f>
        <v/>
      </c>
      <c r="O159">
        <f>IFERROR(MATCH(SMALL(Firms!$Y$5:$Y$1004,151),Firms!$W$5:$W$1004,0),"")</f>
        <v/>
      </c>
    </row>
    <row r="160">
      <c r="B160" s="78">
        <f>IF($O160="","",INDEX(Firms!$A$5:$A$1004,$O160))</f>
        <v/>
      </c>
      <c r="C160" s="79">
        <f>IF($O160="","",INDEX(Firms!$N$5:$N$1004,$O160)&amp;"")</f>
        <v/>
      </c>
      <c r="D160" s="79">
        <f>IF($O160="","",INDEX(Firms!$P$5:$P$1004,$O160)&amp;"")</f>
        <v/>
      </c>
      <c r="E160" s="79">
        <f>IF($O160="","",INDEX(Firms!$O$5:$O$1004,$O160)&amp;"")</f>
        <v/>
      </c>
      <c r="F160" s="50">
        <f>IF($O160="","",IF(INDEX(Firms!$F$5:$F$1004,$O160)="","—",INDEX(Firms!$F$5:$F$1004,$O160)))</f>
        <v/>
      </c>
      <c r="G160" s="50">
        <f>IF($O160="","",IF(INDEX(Firms!$G$5:$G$1004,$O160)="","—",INDEX(Firms!$G$5:$G$1004,$O160)))</f>
        <v/>
      </c>
      <c r="H160" s="50">
        <f>IF($O160="","",IF(INDEX(Firms!$H$5:$H$1004,$O160)="","—",INDEX(Firms!$H$5:$H$1004,$O160)))</f>
        <v/>
      </c>
      <c r="I160" s="50">
        <f>IF($O160="","",IF(INDEX(Firms!$I$5:$I$1004,$O160)="","—",INDEX(Firms!$I$5:$I$1004,$O160)))</f>
        <v/>
      </c>
      <c r="J160" s="50">
        <f>IF($O160="","",IF(INDEX(Firms!$J$5:$J$1004,$O160)="","—",INDEX(Firms!$J$5:$J$1004,$O160)))</f>
        <v/>
      </c>
      <c r="K160" s="50">
        <f>IF($O160="","",IF(INDEX(Firms!$K$5:$K$1004,$O160)="","—",INDEX(Firms!$K$5:$K$1004,$O160)))</f>
        <v/>
      </c>
      <c r="L160" s="50">
        <f>IF($O160="","",IF(INDEX(Firms!$L$5:$L$1004,$O160)="","—",INDEX(Firms!$L$5:$L$1004,$O160)))</f>
        <v/>
      </c>
      <c r="M160" s="50">
        <f>IF($O160="","",IF(INDEX(Firms!$M$5:$M$1004,$O160)="","—",INDEX(Firms!$M$5:$M$1004,$O160)))</f>
        <v/>
      </c>
      <c r="O160">
        <f>IFERROR(MATCH(SMALL(Firms!$Y$5:$Y$1004,152),Firms!$W$5:$W$1004,0),"")</f>
        <v/>
      </c>
    </row>
    <row r="161">
      <c r="B161" s="78">
        <f>IF($O161="","",INDEX(Firms!$A$5:$A$1004,$O161))</f>
        <v/>
      </c>
      <c r="C161" s="79">
        <f>IF($O161="","",INDEX(Firms!$N$5:$N$1004,$O161)&amp;"")</f>
        <v/>
      </c>
      <c r="D161" s="79">
        <f>IF($O161="","",INDEX(Firms!$P$5:$P$1004,$O161)&amp;"")</f>
        <v/>
      </c>
      <c r="E161" s="79">
        <f>IF($O161="","",INDEX(Firms!$O$5:$O$1004,$O161)&amp;"")</f>
        <v/>
      </c>
      <c r="F161" s="50">
        <f>IF($O161="","",IF(INDEX(Firms!$F$5:$F$1004,$O161)="","—",INDEX(Firms!$F$5:$F$1004,$O161)))</f>
        <v/>
      </c>
      <c r="G161" s="50">
        <f>IF($O161="","",IF(INDEX(Firms!$G$5:$G$1004,$O161)="","—",INDEX(Firms!$G$5:$G$1004,$O161)))</f>
        <v/>
      </c>
      <c r="H161" s="50">
        <f>IF($O161="","",IF(INDEX(Firms!$H$5:$H$1004,$O161)="","—",INDEX(Firms!$H$5:$H$1004,$O161)))</f>
        <v/>
      </c>
      <c r="I161" s="50">
        <f>IF($O161="","",IF(INDEX(Firms!$I$5:$I$1004,$O161)="","—",INDEX(Firms!$I$5:$I$1004,$O161)))</f>
        <v/>
      </c>
      <c r="J161" s="50">
        <f>IF($O161="","",IF(INDEX(Firms!$J$5:$J$1004,$O161)="","—",INDEX(Firms!$J$5:$J$1004,$O161)))</f>
        <v/>
      </c>
      <c r="K161" s="50">
        <f>IF($O161="","",IF(INDEX(Firms!$K$5:$K$1004,$O161)="","—",INDEX(Firms!$K$5:$K$1004,$O161)))</f>
        <v/>
      </c>
      <c r="L161" s="50">
        <f>IF($O161="","",IF(INDEX(Firms!$L$5:$L$1004,$O161)="","—",INDEX(Firms!$L$5:$L$1004,$O161)))</f>
        <v/>
      </c>
      <c r="M161" s="50">
        <f>IF($O161="","",IF(INDEX(Firms!$M$5:$M$1004,$O161)="","—",INDEX(Firms!$M$5:$M$1004,$O161)))</f>
        <v/>
      </c>
      <c r="O161">
        <f>IFERROR(MATCH(SMALL(Firms!$Y$5:$Y$1004,153),Firms!$W$5:$W$1004,0),"")</f>
        <v/>
      </c>
    </row>
    <row r="162">
      <c r="B162" s="78">
        <f>IF($O162="","",INDEX(Firms!$A$5:$A$1004,$O162))</f>
        <v/>
      </c>
      <c r="C162" s="79">
        <f>IF($O162="","",INDEX(Firms!$N$5:$N$1004,$O162)&amp;"")</f>
        <v/>
      </c>
      <c r="D162" s="79">
        <f>IF($O162="","",INDEX(Firms!$P$5:$P$1004,$O162)&amp;"")</f>
        <v/>
      </c>
      <c r="E162" s="79">
        <f>IF($O162="","",INDEX(Firms!$O$5:$O$1004,$O162)&amp;"")</f>
        <v/>
      </c>
      <c r="F162" s="50">
        <f>IF($O162="","",IF(INDEX(Firms!$F$5:$F$1004,$O162)="","—",INDEX(Firms!$F$5:$F$1004,$O162)))</f>
        <v/>
      </c>
      <c r="G162" s="50">
        <f>IF($O162="","",IF(INDEX(Firms!$G$5:$G$1004,$O162)="","—",INDEX(Firms!$G$5:$G$1004,$O162)))</f>
        <v/>
      </c>
      <c r="H162" s="50">
        <f>IF($O162="","",IF(INDEX(Firms!$H$5:$H$1004,$O162)="","—",INDEX(Firms!$H$5:$H$1004,$O162)))</f>
        <v/>
      </c>
      <c r="I162" s="50">
        <f>IF($O162="","",IF(INDEX(Firms!$I$5:$I$1004,$O162)="","—",INDEX(Firms!$I$5:$I$1004,$O162)))</f>
        <v/>
      </c>
      <c r="J162" s="50">
        <f>IF($O162="","",IF(INDEX(Firms!$J$5:$J$1004,$O162)="","—",INDEX(Firms!$J$5:$J$1004,$O162)))</f>
        <v/>
      </c>
      <c r="K162" s="50">
        <f>IF($O162="","",IF(INDEX(Firms!$K$5:$K$1004,$O162)="","—",INDEX(Firms!$K$5:$K$1004,$O162)))</f>
        <v/>
      </c>
      <c r="L162" s="50">
        <f>IF($O162="","",IF(INDEX(Firms!$L$5:$L$1004,$O162)="","—",INDEX(Firms!$L$5:$L$1004,$O162)))</f>
        <v/>
      </c>
      <c r="M162" s="50">
        <f>IF($O162="","",IF(INDEX(Firms!$M$5:$M$1004,$O162)="","—",INDEX(Firms!$M$5:$M$1004,$O162)))</f>
        <v/>
      </c>
      <c r="O162">
        <f>IFERROR(MATCH(SMALL(Firms!$Y$5:$Y$1004,154),Firms!$W$5:$W$1004,0),"")</f>
        <v/>
      </c>
    </row>
    <row r="163">
      <c r="B163" s="78">
        <f>IF($O163="","",INDEX(Firms!$A$5:$A$1004,$O163))</f>
        <v/>
      </c>
      <c r="C163" s="79">
        <f>IF($O163="","",INDEX(Firms!$N$5:$N$1004,$O163)&amp;"")</f>
        <v/>
      </c>
      <c r="D163" s="79">
        <f>IF($O163="","",INDEX(Firms!$P$5:$P$1004,$O163)&amp;"")</f>
        <v/>
      </c>
      <c r="E163" s="79">
        <f>IF($O163="","",INDEX(Firms!$O$5:$O$1004,$O163)&amp;"")</f>
        <v/>
      </c>
      <c r="F163" s="50">
        <f>IF($O163="","",IF(INDEX(Firms!$F$5:$F$1004,$O163)="","—",INDEX(Firms!$F$5:$F$1004,$O163)))</f>
        <v/>
      </c>
      <c r="G163" s="50">
        <f>IF($O163="","",IF(INDEX(Firms!$G$5:$G$1004,$O163)="","—",INDEX(Firms!$G$5:$G$1004,$O163)))</f>
        <v/>
      </c>
      <c r="H163" s="50">
        <f>IF($O163="","",IF(INDEX(Firms!$H$5:$H$1004,$O163)="","—",INDEX(Firms!$H$5:$H$1004,$O163)))</f>
        <v/>
      </c>
      <c r="I163" s="50">
        <f>IF($O163="","",IF(INDEX(Firms!$I$5:$I$1004,$O163)="","—",INDEX(Firms!$I$5:$I$1004,$O163)))</f>
        <v/>
      </c>
      <c r="J163" s="50">
        <f>IF($O163="","",IF(INDEX(Firms!$J$5:$J$1004,$O163)="","—",INDEX(Firms!$J$5:$J$1004,$O163)))</f>
        <v/>
      </c>
      <c r="K163" s="50">
        <f>IF($O163="","",IF(INDEX(Firms!$K$5:$K$1004,$O163)="","—",INDEX(Firms!$K$5:$K$1004,$O163)))</f>
        <v/>
      </c>
      <c r="L163" s="50">
        <f>IF($O163="","",IF(INDEX(Firms!$L$5:$L$1004,$O163)="","—",INDEX(Firms!$L$5:$L$1004,$O163)))</f>
        <v/>
      </c>
      <c r="M163" s="50">
        <f>IF($O163="","",IF(INDEX(Firms!$M$5:$M$1004,$O163)="","—",INDEX(Firms!$M$5:$M$1004,$O163)))</f>
        <v/>
      </c>
      <c r="O163">
        <f>IFERROR(MATCH(SMALL(Firms!$Y$5:$Y$1004,155),Firms!$W$5:$W$1004,0),"")</f>
        <v/>
      </c>
    </row>
    <row r="164">
      <c r="B164" s="78">
        <f>IF($O164="","",INDEX(Firms!$A$5:$A$1004,$O164))</f>
        <v/>
      </c>
      <c r="C164" s="79">
        <f>IF($O164="","",INDEX(Firms!$N$5:$N$1004,$O164)&amp;"")</f>
        <v/>
      </c>
      <c r="D164" s="79">
        <f>IF($O164="","",INDEX(Firms!$P$5:$P$1004,$O164)&amp;"")</f>
        <v/>
      </c>
      <c r="E164" s="79">
        <f>IF($O164="","",INDEX(Firms!$O$5:$O$1004,$O164)&amp;"")</f>
        <v/>
      </c>
      <c r="F164" s="50">
        <f>IF($O164="","",IF(INDEX(Firms!$F$5:$F$1004,$O164)="","—",INDEX(Firms!$F$5:$F$1004,$O164)))</f>
        <v/>
      </c>
      <c r="G164" s="50">
        <f>IF($O164="","",IF(INDEX(Firms!$G$5:$G$1004,$O164)="","—",INDEX(Firms!$G$5:$G$1004,$O164)))</f>
        <v/>
      </c>
      <c r="H164" s="50">
        <f>IF($O164="","",IF(INDEX(Firms!$H$5:$H$1004,$O164)="","—",INDEX(Firms!$H$5:$H$1004,$O164)))</f>
        <v/>
      </c>
      <c r="I164" s="50">
        <f>IF($O164="","",IF(INDEX(Firms!$I$5:$I$1004,$O164)="","—",INDEX(Firms!$I$5:$I$1004,$O164)))</f>
        <v/>
      </c>
      <c r="J164" s="50">
        <f>IF($O164="","",IF(INDEX(Firms!$J$5:$J$1004,$O164)="","—",INDEX(Firms!$J$5:$J$1004,$O164)))</f>
        <v/>
      </c>
      <c r="K164" s="50">
        <f>IF($O164="","",IF(INDEX(Firms!$K$5:$K$1004,$O164)="","—",INDEX(Firms!$K$5:$K$1004,$O164)))</f>
        <v/>
      </c>
      <c r="L164" s="50">
        <f>IF($O164="","",IF(INDEX(Firms!$L$5:$L$1004,$O164)="","—",INDEX(Firms!$L$5:$L$1004,$O164)))</f>
        <v/>
      </c>
      <c r="M164" s="50">
        <f>IF($O164="","",IF(INDEX(Firms!$M$5:$M$1004,$O164)="","—",INDEX(Firms!$M$5:$M$1004,$O164)))</f>
        <v/>
      </c>
      <c r="O164">
        <f>IFERROR(MATCH(SMALL(Firms!$Y$5:$Y$1004,156),Firms!$W$5:$W$1004,0),"")</f>
        <v/>
      </c>
    </row>
    <row r="165">
      <c r="B165" s="78">
        <f>IF($O165="","",INDEX(Firms!$A$5:$A$1004,$O165))</f>
        <v/>
      </c>
      <c r="C165" s="79">
        <f>IF($O165="","",INDEX(Firms!$N$5:$N$1004,$O165)&amp;"")</f>
        <v/>
      </c>
      <c r="D165" s="79">
        <f>IF($O165="","",INDEX(Firms!$P$5:$P$1004,$O165)&amp;"")</f>
        <v/>
      </c>
      <c r="E165" s="79">
        <f>IF($O165="","",INDEX(Firms!$O$5:$O$1004,$O165)&amp;"")</f>
        <v/>
      </c>
      <c r="F165" s="50">
        <f>IF($O165="","",IF(INDEX(Firms!$F$5:$F$1004,$O165)="","—",INDEX(Firms!$F$5:$F$1004,$O165)))</f>
        <v/>
      </c>
      <c r="G165" s="50">
        <f>IF($O165="","",IF(INDEX(Firms!$G$5:$G$1004,$O165)="","—",INDEX(Firms!$G$5:$G$1004,$O165)))</f>
        <v/>
      </c>
      <c r="H165" s="50">
        <f>IF($O165="","",IF(INDEX(Firms!$H$5:$H$1004,$O165)="","—",INDEX(Firms!$H$5:$H$1004,$O165)))</f>
        <v/>
      </c>
      <c r="I165" s="50">
        <f>IF($O165="","",IF(INDEX(Firms!$I$5:$I$1004,$O165)="","—",INDEX(Firms!$I$5:$I$1004,$O165)))</f>
        <v/>
      </c>
      <c r="J165" s="50">
        <f>IF($O165="","",IF(INDEX(Firms!$J$5:$J$1004,$O165)="","—",INDEX(Firms!$J$5:$J$1004,$O165)))</f>
        <v/>
      </c>
      <c r="K165" s="50">
        <f>IF($O165="","",IF(INDEX(Firms!$K$5:$K$1004,$O165)="","—",INDEX(Firms!$K$5:$K$1004,$O165)))</f>
        <v/>
      </c>
      <c r="L165" s="50">
        <f>IF($O165="","",IF(INDEX(Firms!$L$5:$L$1004,$O165)="","—",INDEX(Firms!$L$5:$L$1004,$O165)))</f>
        <v/>
      </c>
      <c r="M165" s="50">
        <f>IF($O165="","",IF(INDEX(Firms!$M$5:$M$1004,$O165)="","—",INDEX(Firms!$M$5:$M$1004,$O165)))</f>
        <v/>
      </c>
      <c r="O165">
        <f>IFERROR(MATCH(SMALL(Firms!$Y$5:$Y$1004,157),Firms!$W$5:$W$1004,0),"")</f>
        <v/>
      </c>
    </row>
    <row r="166">
      <c r="B166" s="78">
        <f>IF($O166="","",INDEX(Firms!$A$5:$A$1004,$O166))</f>
        <v/>
      </c>
      <c r="C166" s="79">
        <f>IF($O166="","",INDEX(Firms!$N$5:$N$1004,$O166)&amp;"")</f>
        <v/>
      </c>
      <c r="D166" s="79">
        <f>IF($O166="","",INDEX(Firms!$P$5:$P$1004,$O166)&amp;"")</f>
        <v/>
      </c>
      <c r="E166" s="79">
        <f>IF($O166="","",INDEX(Firms!$O$5:$O$1004,$O166)&amp;"")</f>
        <v/>
      </c>
      <c r="F166" s="50">
        <f>IF($O166="","",IF(INDEX(Firms!$F$5:$F$1004,$O166)="","—",INDEX(Firms!$F$5:$F$1004,$O166)))</f>
        <v/>
      </c>
      <c r="G166" s="50">
        <f>IF($O166="","",IF(INDEX(Firms!$G$5:$G$1004,$O166)="","—",INDEX(Firms!$G$5:$G$1004,$O166)))</f>
        <v/>
      </c>
      <c r="H166" s="50">
        <f>IF($O166="","",IF(INDEX(Firms!$H$5:$H$1004,$O166)="","—",INDEX(Firms!$H$5:$H$1004,$O166)))</f>
        <v/>
      </c>
      <c r="I166" s="50">
        <f>IF($O166="","",IF(INDEX(Firms!$I$5:$I$1004,$O166)="","—",INDEX(Firms!$I$5:$I$1004,$O166)))</f>
        <v/>
      </c>
      <c r="J166" s="50">
        <f>IF($O166="","",IF(INDEX(Firms!$J$5:$J$1004,$O166)="","—",INDEX(Firms!$J$5:$J$1004,$O166)))</f>
        <v/>
      </c>
      <c r="K166" s="50">
        <f>IF($O166="","",IF(INDEX(Firms!$K$5:$K$1004,$O166)="","—",INDEX(Firms!$K$5:$K$1004,$O166)))</f>
        <v/>
      </c>
      <c r="L166" s="50">
        <f>IF($O166="","",IF(INDEX(Firms!$L$5:$L$1004,$O166)="","—",INDEX(Firms!$L$5:$L$1004,$O166)))</f>
        <v/>
      </c>
      <c r="M166" s="50">
        <f>IF($O166="","",IF(INDEX(Firms!$M$5:$M$1004,$O166)="","—",INDEX(Firms!$M$5:$M$1004,$O166)))</f>
        <v/>
      </c>
      <c r="O166">
        <f>IFERROR(MATCH(SMALL(Firms!$Y$5:$Y$1004,158),Firms!$W$5:$W$1004,0),"")</f>
        <v/>
      </c>
    </row>
    <row r="167">
      <c r="B167" s="78">
        <f>IF($O167="","",INDEX(Firms!$A$5:$A$1004,$O167))</f>
        <v/>
      </c>
      <c r="C167" s="79">
        <f>IF($O167="","",INDEX(Firms!$N$5:$N$1004,$O167)&amp;"")</f>
        <v/>
      </c>
      <c r="D167" s="79">
        <f>IF($O167="","",INDEX(Firms!$P$5:$P$1004,$O167)&amp;"")</f>
        <v/>
      </c>
      <c r="E167" s="79">
        <f>IF($O167="","",INDEX(Firms!$O$5:$O$1004,$O167)&amp;"")</f>
        <v/>
      </c>
      <c r="F167" s="50">
        <f>IF($O167="","",IF(INDEX(Firms!$F$5:$F$1004,$O167)="","—",INDEX(Firms!$F$5:$F$1004,$O167)))</f>
        <v/>
      </c>
      <c r="G167" s="50">
        <f>IF($O167="","",IF(INDEX(Firms!$G$5:$G$1004,$O167)="","—",INDEX(Firms!$G$5:$G$1004,$O167)))</f>
        <v/>
      </c>
      <c r="H167" s="50">
        <f>IF($O167="","",IF(INDEX(Firms!$H$5:$H$1004,$O167)="","—",INDEX(Firms!$H$5:$H$1004,$O167)))</f>
        <v/>
      </c>
      <c r="I167" s="50">
        <f>IF($O167="","",IF(INDEX(Firms!$I$5:$I$1004,$O167)="","—",INDEX(Firms!$I$5:$I$1004,$O167)))</f>
        <v/>
      </c>
      <c r="J167" s="50">
        <f>IF($O167="","",IF(INDEX(Firms!$J$5:$J$1004,$O167)="","—",INDEX(Firms!$J$5:$J$1004,$O167)))</f>
        <v/>
      </c>
      <c r="K167" s="50">
        <f>IF($O167="","",IF(INDEX(Firms!$K$5:$K$1004,$O167)="","—",INDEX(Firms!$K$5:$K$1004,$O167)))</f>
        <v/>
      </c>
      <c r="L167" s="50">
        <f>IF($O167="","",IF(INDEX(Firms!$L$5:$L$1004,$O167)="","—",INDEX(Firms!$L$5:$L$1004,$O167)))</f>
        <v/>
      </c>
      <c r="M167" s="50">
        <f>IF($O167="","",IF(INDEX(Firms!$M$5:$M$1004,$O167)="","—",INDEX(Firms!$M$5:$M$1004,$O167)))</f>
        <v/>
      </c>
      <c r="O167">
        <f>IFERROR(MATCH(SMALL(Firms!$Y$5:$Y$1004,159),Firms!$W$5:$W$1004,0),"")</f>
        <v/>
      </c>
    </row>
    <row r="168">
      <c r="B168" s="78">
        <f>IF($O168="","",INDEX(Firms!$A$5:$A$1004,$O168))</f>
        <v/>
      </c>
      <c r="C168" s="79">
        <f>IF($O168="","",INDEX(Firms!$N$5:$N$1004,$O168)&amp;"")</f>
        <v/>
      </c>
      <c r="D168" s="79">
        <f>IF($O168="","",INDEX(Firms!$P$5:$P$1004,$O168)&amp;"")</f>
        <v/>
      </c>
      <c r="E168" s="79">
        <f>IF($O168="","",INDEX(Firms!$O$5:$O$1004,$O168)&amp;"")</f>
        <v/>
      </c>
      <c r="F168" s="50">
        <f>IF($O168="","",IF(INDEX(Firms!$F$5:$F$1004,$O168)="","—",INDEX(Firms!$F$5:$F$1004,$O168)))</f>
        <v/>
      </c>
      <c r="G168" s="50">
        <f>IF($O168="","",IF(INDEX(Firms!$G$5:$G$1004,$O168)="","—",INDEX(Firms!$G$5:$G$1004,$O168)))</f>
        <v/>
      </c>
      <c r="H168" s="50">
        <f>IF($O168="","",IF(INDEX(Firms!$H$5:$H$1004,$O168)="","—",INDEX(Firms!$H$5:$H$1004,$O168)))</f>
        <v/>
      </c>
      <c r="I168" s="50">
        <f>IF($O168="","",IF(INDEX(Firms!$I$5:$I$1004,$O168)="","—",INDEX(Firms!$I$5:$I$1004,$O168)))</f>
        <v/>
      </c>
      <c r="J168" s="50">
        <f>IF($O168="","",IF(INDEX(Firms!$J$5:$J$1004,$O168)="","—",INDEX(Firms!$J$5:$J$1004,$O168)))</f>
        <v/>
      </c>
      <c r="K168" s="50">
        <f>IF($O168="","",IF(INDEX(Firms!$K$5:$K$1004,$O168)="","—",INDEX(Firms!$K$5:$K$1004,$O168)))</f>
        <v/>
      </c>
      <c r="L168" s="50">
        <f>IF($O168="","",IF(INDEX(Firms!$L$5:$L$1004,$O168)="","—",INDEX(Firms!$L$5:$L$1004,$O168)))</f>
        <v/>
      </c>
      <c r="M168" s="50">
        <f>IF($O168="","",IF(INDEX(Firms!$M$5:$M$1004,$O168)="","—",INDEX(Firms!$M$5:$M$1004,$O168)))</f>
        <v/>
      </c>
      <c r="O168">
        <f>IFERROR(MATCH(SMALL(Firms!$Y$5:$Y$1004,160),Firms!$W$5:$W$1004,0),"")</f>
        <v/>
      </c>
    </row>
    <row r="169">
      <c r="B169" s="78">
        <f>IF($O169="","",INDEX(Firms!$A$5:$A$1004,$O169))</f>
        <v/>
      </c>
      <c r="C169" s="79">
        <f>IF($O169="","",INDEX(Firms!$N$5:$N$1004,$O169)&amp;"")</f>
        <v/>
      </c>
      <c r="D169" s="79">
        <f>IF($O169="","",INDEX(Firms!$P$5:$P$1004,$O169)&amp;"")</f>
        <v/>
      </c>
      <c r="E169" s="79">
        <f>IF($O169="","",INDEX(Firms!$O$5:$O$1004,$O169)&amp;"")</f>
        <v/>
      </c>
      <c r="F169" s="50">
        <f>IF($O169="","",IF(INDEX(Firms!$F$5:$F$1004,$O169)="","—",INDEX(Firms!$F$5:$F$1004,$O169)))</f>
        <v/>
      </c>
      <c r="G169" s="50">
        <f>IF($O169="","",IF(INDEX(Firms!$G$5:$G$1004,$O169)="","—",INDEX(Firms!$G$5:$G$1004,$O169)))</f>
        <v/>
      </c>
      <c r="H169" s="50">
        <f>IF($O169="","",IF(INDEX(Firms!$H$5:$H$1004,$O169)="","—",INDEX(Firms!$H$5:$H$1004,$O169)))</f>
        <v/>
      </c>
      <c r="I169" s="50">
        <f>IF($O169="","",IF(INDEX(Firms!$I$5:$I$1004,$O169)="","—",INDEX(Firms!$I$5:$I$1004,$O169)))</f>
        <v/>
      </c>
      <c r="J169" s="50">
        <f>IF($O169="","",IF(INDEX(Firms!$J$5:$J$1004,$O169)="","—",INDEX(Firms!$J$5:$J$1004,$O169)))</f>
        <v/>
      </c>
      <c r="K169" s="50">
        <f>IF($O169="","",IF(INDEX(Firms!$K$5:$K$1004,$O169)="","—",INDEX(Firms!$K$5:$K$1004,$O169)))</f>
        <v/>
      </c>
      <c r="L169" s="50">
        <f>IF($O169="","",IF(INDEX(Firms!$L$5:$L$1004,$O169)="","—",INDEX(Firms!$L$5:$L$1004,$O169)))</f>
        <v/>
      </c>
      <c r="M169" s="50">
        <f>IF($O169="","",IF(INDEX(Firms!$M$5:$M$1004,$O169)="","—",INDEX(Firms!$M$5:$M$1004,$O169)))</f>
        <v/>
      </c>
      <c r="O169">
        <f>IFERROR(MATCH(SMALL(Firms!$Y$5:$Y$1004,161),Firms!$W$5:$W$1004,0),"")</f>
        <v/>
      </c>
    </row>
    <row r="170">
      <c r="B170" s="78">
        <f>IF($O170="","",INDEX(Firms!$A$5:$A$1004,$O170))</f>
        <v/>
      </c>
      <c r="C170" s="79">
        <f>IF($O170="","",INDEX(Firms!$N$5:$N$1004,$O170)&amp;"")</f>
        <v/>
      </c>
      <c r="D170" s="79">
        <f>IF($O170="","",INDEX(Firms!$P$5:$P$1004,$O170)&amp;"")</f>
        <v/>
      </c>
      <c r="E170" s="79">
        <f>IF($O170="","",INDEX(Firms!$O$5:$O$1004,$O170)&amp;"")</f>
        <v/>
      </c>
      <c r="F170" s="50">
        <f>IF($O170="","",IF(INDEX(Firms!$F$5:$F$1004,$O170)="","—",INDEX(Firms!$F$5:$F$1004,$O170)))</f>
        <v/>
      </c>
      <c r="G170" s="50">
        <f>IF($O170="","",IF(INDEX(Firms!$G$5:$G$1004,$O170)="","—",INDEX(Firms!$G$5:$G$1004,$O170)))</f>
        <v/>
      </c>
      <c r="H170" s="50">
        <f>IF($O170="","",IF(INDEX(Firms!$H$5:$H$1004,$O170)="","—",INDEX(Firms!$H$5:$H$1004,$O170)))</f>
        <v/>
      </c>
      <c r="I170" s="50">
        <f>IF($O170="","",IF(INDEX(Firms!$I$5:$I$1004,$O170)="","—",INDEX(Firms!$I$5:$I$1004,$O170)))</f>
        <v/>
      </c>
      <c r="J170" s="50">
        <f>IF($O170="","",IF(INDEX(Firms!$J$5:$J$1004,$O170)="","—",INDEX(Firms!$J$5:$J$1004,$O170)))</f>
        <v/>
      </c>
      <c r="K170" s="50">
        <f>IF($O170="","",IF(INDEX(Firms!$K$5:$K$1004,$O170)="","—",INDEX(Firms!$K$5:$K$1004,$O170)))</f>
        <v/>
      </c>
      <c r="L170" s="50">
        <f>IF($O170="","",IF(INDEX(Firms!$L$5:$L$1004,$O170)="","—",INDEX(Firms!$L$5:$L$1004,$O170)))</f>
        <v/>
      </c>
      <c r="M170" s="50">
        <f>IF($O170="","",IF(INDEX(Firms!$M$5:$M$1004,$O170)="","—",INDEX(Firms!$M$5:$M$1004,$O170)))</f>
        <v/>
      </c>
      <c r="O170">
        <f>IFERROR(MATCH(SMALL(Firms!$Y$5:$Y$1004,162),Firms!$W$5:$W$1004,0),"")</f>
        <v/>
      </c>
    </row>
    <row r="171">
      <c r="B171" s="78">
        <f>IF($O171="","",INDEX(Firms!$A$5:$A$1004,$O171))</f>
        <v/>
      </c>
      <c r="C171" s="79">
        <f>IF($O171="","",INDEX(Firms!$N$5:$N$1004,$O171)&amp;"")</f>
        <v/>
      </c>
      <c r="D171" s="79">
        <f>IF($O171="","",INDEX(Firms!$P$5:$P$1004,$O171)&amp;"")</f>
        <v/>
      </c>
      <c r="E171" s="79">
        <f>IF($O171="","",INDEX(Firms!$O$5:$O$1004,$O171)&amp;"")</f>
        <v/>
      </c>
      <c r="F171" s="50">
        <f>IF($O171="","",IF(INDEX(Firms!$F$5:$F$1004,$O171)="","—",INDEX(Firms!$F$5:$F$1004,$O171)))</f>
        <v/>
      </c>
      <c r="G171" s="50">
        <f>IF($O171="","",IF(INDEX(Firms!$G$5:$G$1004,$O171)="","—",INDEX(Firms!$G$5:$G$1004,$O171)))</f>
        <v/>
      </c>
      <c r="H171" s="50">
        <f>IF($O171="","",IF(INDEX(Firms!$H$5:$H$1004,$O171)="","—",INDEX(Firms!$H$5:$H$1004,$O171)))</f>
        <v/>
      </c>
      <c r="I171" s="50">
        <f>IF($O171="","",IF(INDEX(Firms!$I$5:$I$1004,$O171)="","—",INDEX(Firms!$I$5:$I$1004,$O171)))</f>
        <v/>
      </c>
      <c r="J171" s="50">
        <f>IF($O171="","",IF(INDEX(Firms!$J$5:$J$1004,$O171)="","—",INDEX(Firms!$J$5:$J$1004,$O171)))</f>
        <v/>
      </c>
      <c r="K171" s="50">
        <f>IF($O171="","",IF(INDEX(Firms!$K$5:$K$1004,$O171)="","—",INDEX(Firms!$K$5:$K$1004,$O171)))</f>
        <v/>
      </c>
      <c r="L171" s="50">
        <f>IF($O171="","",IF(INDEX(Firms!$L$5:$L$1004,$O171)="","—",INDEX(Firms!$L$5:$L$1004,$O171)))</f>
        <v/>
      </c>
      <c r="M171" s="50">
        <f>IF($O171="","",IF(INDEX(Firms!$M$5:$M$1004,$O171)="","—",INDEX(Firms!$M$5:$M$1004,$O171)))</f>
        <v/>
      </c>
      <c r="O171">
        <f>IFERROR(MATCH(SMALL(Firms!$Y$5:$Y$1004,163),Firms!$W$5:$W$1004,0),"")</f>
        <v/>
      </c>
    </row>
    <row r="172">
      <c r="B172" s="78">
        <f>IF($O172="","",INDEX(Firms!$A$5:$A$1004,$O172))</f>
        <v/>
      </c>
      <c r="C172" s="79">
        <f>IF($O172="","",INDEX(Firms!$N$5:$N$1004,$O172)&amp;"")</f>
        <v/>
      </c>
      <c r="D172" s="79">
        <f>IF($O172="","",INDEX(Firms!$P$5:$P$1004,$O172)&amp;"")</f>
        <v/>
      </c>
      <c r="E172" s="79">
        <f>IF($O172="","",INDEX(Firms!$O$5:$O$1004,$O172)&amp;"")</f>
        <v/>
      </c>
      <c r="F172" s="50">
        <f>IF($O172="","",IF(INDEX(Firms!$F$5:$F$1004,$O172)="","—",INDEX(Firms!$F$5:$F$1004,$O172)))</f>
        <v/>
      </c>
      <c r="G172" s="50">
        <f>IF($O172="","",IF(INDEX(Firms!$G$5:$G$1004,$O172)="","—",INDEX(Firms!$G$5:$G$1004,$O172)))</f>
        <v/>
      </c>
      <c r="H172" s="50">
        <f>IF($O172="","",IF(INDEX(Firms!$H$5:$H$1004,$O172)="","—",INDEX(Firms!$H$5:$H$1004,$O172)))</f>
        <v/>
      </c>
      <c r="I172" s="50">
        <f>IF($O172="","",IF(INDEX(Firms!$I$5:$I$1004,$O172)="","—",INDEX(Firms!$I$5:$I$1004,$O172)))</f>
        <v/>
      </c>
      <c r="J172" s="50">
        <f>IF($O172="","",IF(INDEX(Firms!$J$5:$J$1004,$O172)="","—",INDEX(Firms!$J$5:$J$1004,$O172)))</f>
        <v/>
      </c>
      <c r="K172" s="50">
        <f>IF($O172="","",IF(INDEX(Firms!$K$5:$K$1004,$O172)="","—",INDEX(Firms!$K$5:$K$1004,$O172)))</f>
        <v/>
      </c>
      <c r="L172" s="50">
        <f>IF($O172="","",IF(INDEX(Firms!$L$5:$L$1004,$O172)="","—",INDEX(Firms!$L$5:$L$1004,$O172)))</f>
        <v/>
      </c>
      <c r="M172" s="50">
        <f>IF($O172="","",IF(INDEX(Firms!$M$5:$M$1004,$O172)="","—",INDEX(Firms!$M$5:$M$1004,$O172)))</f>
        <v/>
      </c>
      <c r="O172">
        <f>IFERROR(MATCH(SMALL(Firms!$Y$5:$Y$1004,164),Firms!$W$5:$W$1004,0),"")</f>
        <v/>
      </c>
    </row>
    <row r="173">
      <c r="B173" s="78">
        <f>IF($O173="","",INDEX(Firms!$A$5:$A$1004,$O173))</f>
        <v/>
      </c>
      <c r="C173" s="79">
        <f>IF($O173="","",INDEX(Firms!$N$5:$N$1004,$O173)&amp;"")</f>
        <v/>
      </c>
      <c r="D173" s="79">
        <f>IF($O173="","",INDEX(Firms!$P$5:$P$1004,$O173)&amp;"")</f>
        <v/>
      </c>
      <c r="E173" s="79">
        <f>IF($O173="","",INDEX(Firms!$O$5:$O$1004,$O173)&amp;"")</f>
        <v/>
      </c>
      <c r="F173" s="50">
        <f>IF($O173="","",IF(INDEX(Firms!$F$5:$F$1004,$O173)="","—",INDEX(Firms!$F$5:$F$1004,$O173)))</f>
        <v/>
      </c>
      <c r="G173" s="50">
        <f>IF($O173="","",IF(INDEX(Firms!$G$5:$G$1004,$O173)="","—",INDEX(Firms!$G$5:$G$1004,$O173)))</f>
        <v/>
      </c>
      <c r="H173" s="50">
        <f>IF($O173="","",IF(INDEX(Firms!$H$5:$H$1004,$O173)="","—",INDEX(Firms!$H$5:$H$1004,$O173)))</f>
        <v/>
      </c>
      <c r="I173" s="50">
        <f>IF($O173="","",IF(INDEX(Firms!$I$5:$I$1004,$O173)="","—",INDEX(Firms!$I$5:$I$1004,$O173)))</f>
        <v/>
      </c>
      <c r="J173" s="50">
        <f>IF($O173="","",IF(INDEX(Firms!$J$5:$J$1004,$O173)="","—",INDEX(Firms!$J$5:$J$1004,$O173)))</f>
        <v/>
      </c>
      <c r="K173" s="50">
        <f>IF($O173="","",IF(INDEX(Firms!$K$5:$K$1004,$O173)="","—",INDEX(Firms!$K$5:$K$1004,$O173)))</f>
        <v/>
      </c>
      <c r="L173" s="50">
        <f>IF($O173="","",IF(INDEX(Firms!$L$5:$L$1004,$O173)="","—",INDEX(Firms!$L$5:$L$1004,$O173)))</f>
        <v/>
      </c>
      <c r="M173" s="50">
        <f>IF($O173="","",IF(INDEX(Firms!$M$5:$M$1004,$O173)="","—",INDEX(Firms!$M$5:$M$1004,$O173)))</f>
        <v/>
      </c>
      <c r="O173">
        <f>IFERROR(MATCH(SMALL(Firms!$Y$5:$Y$1004,165),Firms!$W$5:$W$1004,0),"")</f>
        <v/>
      </c>
    </row>
    <row r="174">
      <c r="B174" s="78">
        <f>IF($O174="","",INDEX(Firms!$A$5:$A$1004,$O174))</f>
        <v/>
      </c>
      <c r="C174" s="79">
        <f>IF($O174="","",INDEX(Firms!$N$5:$N$1004,$O174)&amp;"")</f>
        <v/>
      </c>
      <c r="D174" s="79">
        <f>IF($O174="","",INDEX(Firms!$P$5:$P$1004,$O174)&amp;"")</f>
        <v/>
      </c>
      <c r="E174" s="79">
        <f>IF($O174="","",INDEX(Firms!$O$5:$O$1004,$O174)&amp;"")</f>
        <v/>
      </c>
      <c r="F174" s="50">
        <f>IF($O174="","",IF(INDEX(Firms!$F$5:$F$1004,$O174)="","—",INDEX(Firms!$F$5:$F$1004,$O174)))</f>
        <v/>
      </c>
      <c r="G174" s="50">
        <f>IF($O174="","",IF(INDEX(Firms!$G$5:$G$1004,$O174)="","—",INDEX(Firms!$G$5:$G$1004,$O174)))</f>
        <v/>
      </c>
      <c r="H174" s="50">
        <f>IF($O174="","",IF(INDEX(Firms!$H$5:$H$1004,$O174)="","—",INDEX(Firms!$H$5:$H$1004,$O174)))</f>
        <v/>
      </c>
      <c r="I174" s="50">
        <f>IF($O174="","",IF(INDEX(Firms!$I$5:$I$1004,$O174)="","—",INDEX(Firms!$I$5:$I$1004,$O174)))</f>
        <v/>
      </c>
      <c r="J174" s="50">
        <f>IF($O174="","",IF(INDEX(Firms!$J$5:$J$1004,$O174)="","—",INDEX(Firms!$J$5:$J$1004,$O174)))</f>
        <v/>
      </c>
      <c r="K174" s="50">
        <f>IF($O174="","",IF(INDEX(Firms!$K$5:$K$1004,$O174)="","—",INDEX(Firms!$K$5:$K$1004,$O174)))</f>
        <v/>
      </c>
      <c r="L174" s="50">
        <f>IF($O174="","",IF(INDEX(Firms!$L$5:$L$1004,$O174)="","—",INDEX(Firms!$L$5:$L$1004,$O174)))</f>
        <v/>
      </c>
      <c r="M174" s="50">
        <f>IF($O174="","",IF(INDEX(Firms!$M$5:$M$1004,$O174)="","—",INDEX(Firms!$M$5:$M$1004,$O174)))</f>
        <v/>
      </c>
      <c r="O174">
        <f>IFERROR(MATCH(SMALL(Firms!$Y$5:$Y$1004,166),Firms!$W$5:$W$1004,0),"")</f>
        <v/>
      </c>
    </row>
    <row r="175">
      <c r="B175" s="78">
        <f>IF($O175="","",INDEX(Firms!$A$5:$A$1004,$O175))</f>
        <v/>
      </c>
      <c r="C175" s="79">
        <f>IF($O175="","",INDEX(Firms!$N$5:$N$1004,$O175)&amp;"")</f>
        <v/>
      </c>
      <c r="D175" s="79">
        <f>IF($O175="","",INDEX(Firms!$P$5:$P$1004,$O175)&amp;"")</f>
        <v/>
      </c>
      <c r="E175" s="79">
        <f>IF($O175="","",INDEX(Firms!$O$5:$O$1004,$O175)&amp;"")</f>
        <v/>
      </c>
      <c r="F175" s="50">
        <f>IF($O175="","",IF(INDEX(Firms!$F$5:$F$1004,$O175)="","—",INDEX(Firms!$F$5:$F$1004,$O175)))</f>
        <v/>
      </c>
      <c r="G175" s="50">
        <f>IF($O175="","",IF(INDEX(Firms!$G$5:$G$1004,$O175)="","—",INDEX(Firms!$G$5:$G$1004,$O175)))</f>
        <v/>
      </c>
      <c r="H175" s="50">
        <f>IF($O175="","",IF(INDEX(Firms!$H$5:$H$1004,$O175)="","—",INDEX(Firms!$H$5:$H$1004,$O175)))</f>
        <v/>
      </c>
      <c r="I175" s="50">
        <f>IF($O175="","",IF(INDEX(Firms!$I$5:$I$1004,$O175)="","—",INDEX(Firms!$I$5:$I$1004,$O175)))</f>
        <v/>
      </c>
      <c r="J175" s="50">
        <f>IF($O175="","",IF(INDEX(Firms!$J$5:$J$1004,$O175)="","—",INDEX(Firms!$J$5:$J$1004,$O175)))</f>
        <v/>
      </c>
      <c r="K175" s="50">
        <f>IF($O175="","",IF(INDEX(Firms!$K$5:$K$1004,$O175)="","—",INDEX(Firms!$K$5:$K$1004,$O175)))</f>
        <v/>
      </c>
      <c r="L175" s="50">
        <f>IF($O175="","",IF(INDEX(Firms!$L$5:$L$1004,$O175)="","—",INDEX(Firms!$L$5:$L$1004,$O175)))</f>
        <v/>
      </c>
      <c r="M175" s="50">
        <f>IF($O175="","",IF(INDEX(Firms!$M$5:$M$1004,$O175)="","—",INDEX(Firms!$M$5:$M$1004,$O175)))</f>
        <v/>
      </c>
      <c r="O175">
        <f>IFERROR(MATCH(SMALL(Firms!$Y$5:$Y$1004,167),Firms!$W$5:$W$1004,0),"")</f>
        <v/>
      </c>
    </row>
    <row r="176">
      <c r="B176" s="78">
        <f>IF($O176="","",INDEX(Firms!$A$5:$A$1004,$O176))</f>
        <v/>
      </c>
      <c r="C176" s="79">
        <f>IF($O176="","",INDEX(Firms!$N$5:$N$1004,$O176)&amp;"")</f>
        <v/>
      </c>
      <c r="D176" s="79">
        <f>IF($O176="","",INDEX(Firms!$P$5:$P$1004,$O176)&amp;"")</f>
        <v/>
      </c>
      <c r="E176" s="79">
        <f>IF($O176="","",INDEX(Firms!$O$5:$O$1004,$O176)&amp;"")</f>
        <v/>
      </c>
      <c r="F176" s="50">
        <f>IF($O176="","",IF(INDEX(Firms!$F$5:$F$1004,$O176)="","—",INDEX(Firms!$F$5:$F$1004,$O176)))</f>
        <v/>
      </c>
      <c r="G176" s="50">
        <f>IF($O176="","",IF(INDEX(Firms!$G$5:$G$1004,$O176)="","—",INDEX(Firms!$G$5:$G$1004,$O176)))</f>
        <v/>
      </c>
      <c r="H176" s="50">
        <f>IF($O176="","",IF(INDEX(Firms!$H$5:$H$1004,$O176)="","—",INDEX(Firms!$H$5:$H$1004,$O176)))</f>
        <v/>
      </c>
      <c r="I176" s="50">
        <f>IF($O176="","",IF(INDEX(Firms!$I$5:$I$1004,$O176)="","—",INDEX(Firms!$I$5:$I$1004,$O176)))</f>
        <v/>
      </c>
      <c r="J176" s="50">
        <f>IF($O176="","",IF(INDEX(Firms!$J$5:$J$1004,$O176)="","—",INDEX(Firms!$J$5:$J$1004,$O176)))</f>
        <v/>
      </c>
      <c r="K176" s="50">
        <f>IF($O176="","",IF(INDEX(Firms!$K$5:$K$1004,$O176)="","—",INDEX(Firms!$K$5:$K$1004,$O176)))</f>
        <v/>
      </c>
      <c r="L176" s="50">
        <f>IF($O176="","",IF(INDEX(Firms!$L$5:$L$1004,$O176)="","—",INDEX(Firms!$L$5:$L$1004,$O176)))</f>
        <v/>
      </c>
      <c r="M176" s="50">
        <f>IF($O176="","",IF(INDEX(Firms!$M$5:$M$1004,$O176)="","—",INDEX(Firms!$M$5:$M$1004,$O176)))</f>
        <v/>
      </c>
      <c r="O176">
        <f>IFERROR(MATCH(SMALL(Firms!$Y$5:$Y$1004,168),Firms!$W$5:$W$1004,0),"")</f>
        <v/>
      </c>
    </row>
    <row r="177">
      <c r="B177" s="78">
        <f>IF($O177="","",INDEX(Firms!$A$5:$A$1004,$O177))</f>
        <v/>
      </c>
      <c r="C177" s="79">
        <f>IF($O177="","",INDEX(Firms!$N$5:$N$1004,$O177)&amp;"")</f>
        <v/>
      </c>
      <c r="D177" s="79">
        <f>IF($O177="","",INDEX(Firms!$P$5:$P$1004,$O177)&amp;"")</f>
        <v/>
      </c>
      <c r="E177" s="79">
        <f>IF($O177="","",INDEX(Firms!$O$5:$O$1004,$O177)&amp;"")</f>
        <v/>
      </c>
      <c r="F177" s="50">
        <f>IF($O177="","",IF(INDEX(Firms!$F$5:$F$1004,$O177)="","—",INDEX(Firms!$F$5:$F$1004,$O177)))</f>
        <v/>
      </c>
      <c r="G177" s="50">
        <f>IF($O177="","",IF(INDEX(Firms!$G$5:$G$1004,$O177)="","—",INDEX(Firms!$G$5:$G$1004,$O177)))</f>
        <v/>
      </c>
      <c r="H177" s="50">
        <f>IF($O177="","",IF(INDEX(Firms!$H$5:$H$1004,$O177)="","—",INDEX(Firms!$H$5:$H$1004,$O177)))</f>
        <v/>
      </c>
      <c r="I177" s="50">
        <f>IF($O177="","",IF(INDEX(Firms!$I$5:$I$1004,$O177)="","—",INDEX(Firms!$I$5:$I$1004,$O177)))</f>
        <v/>
      </c>
      <c r="J177" s="50">
        <f>IF($O177="","",IF(INDEX(Firms!$J$5:$J$1004,$O177)="","—",INDEX(Firms!$J$5:$J$1004,$O177)))</f>
        <v/>
      </c>
      <c r="K177" s="50">
        <f>IF($O177="","",IF(INDEX(Firms!$K$5:$K$1004,$O177)="","—",INDEX(Firms!$K$5:$K$1004,$O177)))</f>
        <v/>
      </c>
      <c r="L177" s="50">
        <f>IF($O177="","",IF(INDEX(Firms!$L$5:$L$1004,$O177)="","—",INDEX(Firms!$L$5:$L$1004,$O177)))</f>
        <v/>
      </c>
      <c r="M177" s="50">
        <f>IF($O177="","",IF(INDEX(Firms!$M$5:$M$1004,$O177)="","—",INDEX(Firms!$M$5:$M$1004,$O177)))</f>
        <v/>
      </c>
      <c r="O177">
        <f>IFERROR(MATCH(SMALL(Firms!$Y$5:$Y$1004,169),Firms!$W$5:$W$1004,0),"")</f>
        <v/>
      </c>
    </row>
    <row r="178">
      <c r="B178" s="78">
        <f>IF($O178="","",INDEX(Firms!$A$5:$A$1004,$O178))</f>
        <v/>
      </c>
      <c r="C178" s="79">
        <f>IF($O178="","",INDEX(Firms!$N$5:$N$1004,$O178)&amp;"")</f>
        <v/>
      </c>
      <c r="D178" s="79">
        <f>IF($O178="","",INDEX(Firms!$P$5:$P$1004,$O178)&amp;"")</f>
        <v/>
      </c>
      <c r="E178" s="79">
        <f>IF($O178="","",INDEX(Firms!$O$5:$O$1004,$O178)&amp;"")</f>
        <v/>
      </c>
      <c r="F178" s="50">
        <f>IF($O178="","",IF(INDEX(Firms!$F$5:$F$1004,$O178)="","—",INDEX(Firms!$F$5:$F$1004,$O178)))</f>
        <v/>
      </c>
      <c r="G178" s="50">
        <f>IF($O178="","",IF(INDEX(Firms!$G$5:$G$1004,$O178)="","—",INDEX(Firms!$G$5:$G$1004,$O178)))</f>
        <v/>
      </c>
      <c r="H178" s="50">
        <f>IF($O178="","",IF(INDEX(Firms!$H$5:$H$1004,$O178)="","—",INDEX(Firms!$H$5:$H$1004,$O178)))</f>
        <v/>
      </c>
      <c r="I178" s="50">
        <f>IF($O178="","",IF(INDEX(Firms!$I$5:$I$1004,$O178)="","—",INDEX(Firms!$I$5:$I$1004,$O178)))</f>
        <v/>
      </c>
      <c r="J178" s="50">
        <f>IF($O178="","",IF(INDEX(Firms!$J$5:$J$1004,$O178)="","—",INDEX(Firms!$J$5:$J$1004,$O178)))</f>
        <v/>
      </c>
      <c r="K178" s="50">
        <f>IF($O178="","",IF(INDEX(Firms!$K$5:$K$1004,$O178)="","—",INDEX(Firms!$K$5:$K$1004,$O178)))</f>
        <v/>
      </c>
      <c r="L178" s="50">
        <f>IF($O178="","",IF(INDEX(Firms!$L$5:$L$1004,$O178)="","—",INDEX(Firms!$L$5:$L$1004,$O178)))</f>
        <v/>
      </c>
      <c r="M178" s="50">
        <f>IF($O178="","",IF(INDEX(Firms!$M$5:$M$1004,$O178)="","—",INDEX(Firms!$M$5:$M$1004,$O178)))</f>
        <v/>
      </c>
      <c r="O178">
        <f>IFERROR(MATCH(SMALL(Firms!$Y$5:$Y$1004,170),Firms!$W$5:$W$1004,0),"")</f>
        <v/>
      </c>
    </row>
    <row r="179">
      <c r="B179" s="78">
        <f>IF($O179="","",INDEX(Firms!$A$5:$A$1004,$O179))</f>
        <v/>
      </c>
      <c r="C179" s="79">
        <f>IF($O179="","",INDEX(Firms!$N$5:$N$1004,$O179)&amp;"")</f>
        <v/>
      </c>
      <c r="D179" s="79">
        <f>IF($O179="","",INDEX(Firms!$P$5:$P$1004,$O179)&amp;"")</f>
        <v/>
      </c>
      <c r="E179" s="79">
        <f>IF($O179="","",INDEX(Firms!$O$5:$O$1004,$O179)&amp;"")</f>
        <v/>
      </c>
      <c r="F179" s="50">
        <f>IF($O179="","",IF(INDEX(Firms!$F$5:$F$1004,$O179)="","—",INDEX(Firms!$F$5:$F$1004,$O179)))</f>
        <v/>
      </c>
      <c r="G179" s="50">
        <f>IF($O179="","",IF(INDEX(Firms!$G$5:$G$1004,$O179)="","—",INDEX(Firms!$G$5:$G$1004,$O179)))</f>
        <v/>
      </c>
      <c r="H179" s="50">
        <f>IF($O179="","",IF(INDEX(Firms!$H$5:$H$1004,$O179)="","—",INDEX(Firms!$H$5:$H$1004,$O179)))</f>
        <v/>
      </c>
      <c r="I179" s="50">
        <f>IF($O179="","",IF(INDEX(Firms!$I$5:$I$1004,$O179)="","—",INDEX(Firms!$I$5:$I$1004,$O179)))</f>
        <v/>
      </c>
      <c r="J179" s="50">
        <f>IF($O179="","",IF(INDEX(Firms!$J$5:$J$1004,$O179)="","—",INDEX(Firms!$J$5:$J$1004,$O179)))</f>
        <v/>
      </c>
      <c r="K179" s="50">
        <f>IF($O179="","",IF(INDEX(Firms!$K$5:$K$1004,$O179)="","—",INDEX(Firms!$K$5:$K$1004,$O179)))</f>
        <v/>
      </c>
      <c r="L179" s="50">
        <f>IF($O179="","",IF(INDEX(Firms!$L$5:$L$1004,$O179)="","—",INDEX(Firms!$L$5:$L$1004,$O179)))</f>
        <v/>
      </c>
      <c r="M179" s="50">
        <f>IF($O179="","",IF(INDEX(Firms!$M$5:$M$1004,$O179)="","—",INDEX(Firms!$M$5:$M$1004,$O179)))</f>
        <v/>
      </c>
      <c r="O179">
        <f>IFERROR(MATCH(SMALL(Firms!$Y$5:$Y$1004,171),Firms!$W$5:$W$1004,0),"")</f>
        <v/>
      </c>
    </row>
    <row r="180">
      <c r="B180" s="78">
        <f>IF($O180="","",INDEX(Firms!$A$5:$A$1004,$O180))</f>
        <v/>
      </c>
      <c r="C180" s="79">
        <f>IF($O180="","",INDEX(Firms!$N$5:$N$1004,$O180)&amp;"")</f>
        <v/>
      </c>
      <c r="D180" s="79">
        <f>IF($O180="","",INDEX(Firms!$P$5:$P$1004,$O180)&amp;"")</f>
        <v/>
      </c>
      <c r="E180" s="79">
        <f>IF($O180="","",INDEX(Firms!$O$5:$O$1004,$O180)&amp;"")</f>
        <v/>
      </c>
      <c r="F180" s="50">
        <f>IF($O180="","",IF(INDEX(Firms!$F$5:$F$1004,$O180)="","—",INDEX(Firms!$F$5:$F$1004,$O180)))</f>
        <v/>
      </c>
      <c r="G180" s="50">
        <f>IF($O180="","",IF(INDEX(Firms!$G$5:$G$1004,$O180)="","—",INDEX(Firms!$G$5:$G$1004,$O180)))</f>
        <v/>
      </c>
      <c r="H180" s="50">
        <f>IF($O180="","",IF(INDEX(Firms!$H$5:$H$1004,$O180)="","—",INDEX(Firms!$H$5:$H$1004,$O180)))</f>
        <v/>
      </c>
      <c r="I180" s="50">
        <f>IF($O180="","",IF(INDEX(Firms!$I$5:$I$1004,$O180)="","—",INDEX(Firms!$I$5:$I$1004,$O180)))</f>
        <v/>
      </c>
      <c r="J180" s="50">
        <f>IF($O180="","",IF(INDEX(Firms!$J$5:$J$1004,$O180)="","—",INDEX(Firms!$J$5:$J$1004,$O180)))</f>
        <v/>
      </c>
      <c r="K180" s="50">
        <f>IF($O180="","",IF(INDEX(Firms!$K$5:$K$1004,$O180)="","—",INDEX(Firms!$K$5:$K$1004,$O180)))</f>
        <v/>
      </c>
      <c r="L180" s="50">
        <f>IF($O180="","",IF(INDEX(Firms!$L$5:$L$1004,$O180)="","—",INDEX(Firms!$L$5:$L$1004,$O180)))</f>
        <v/>
      </c>
      <c r="M180" s="50">
        <f>IF($O180="","",IF(INDEX(Firms!$M$5:$M$1004,$O180)="","—",INDEX(Firms!$M$5:$M$1004,$O180)))</f>
        <v/>
      </c>
      <c r="O180">
        <f>IFERROR(MATCH(SMALL(Firms!$Y$5:$Y$1004,172),Firms!$W$5:$W$1004,0),"")</f>
        <v/>
      </c>
    </row>
    <row r="181">
      <c r="B181" s="78">
        <f>IF($O181="","",INDEX(Firms!$A$5:$A$1004,$O181))</f>
        <v/>
      </c>
      <c r="C181" s="79">
        <f>IF($O181="","",INDEX(Firms!$N$5:$N$1004,$O181)&amp;"")</f>
        <v/>
      </c>
      <c r="D181" s="79">
        <f>IF($O181="","",INDEX(Firms!$P$5:$P$1004,$O181)&amp;"")</f>
        <v/>
      </c>
      <c r="E181" s="79">
        <f>IF($O181="","",INDEX(Firms!$O$5:$O$1004,$O181)&amp;"")</f>
        <v/>
      </c>
      <c r="F181" s="50">
        <f>IF($O181="","",IF(INDEX(Firms!$F$5:$F$1004,$O181)="","—",INDEX(Firms!$F$5:$F$1004,$O181)))</f>
        <v/>
      </c>
      <c r="G181" s="50">
        <f>IF($O181="","",IF(INDEX(Firms!$G$5:$G$1004,$O181)="","—",INDEX(Firms!$G$5:$G$1004,$O181)))</f>
        <v/>
      </c>
      <c r="H181" s="50">
        <f>IF($O181="","",IF(INDEX(Firms!$H$5:$H$1004,$O181)="","—",INDEX(Firms!$H$5:$H$1004,$O181)))</f>
        <v/>
      </c>
      <c r="I181" s="50">
        <f>IF($O181="","",IF(INDEX(Firms!$I$5:$I$1004,$O181)="","—",INDEX(Firms!$I$5:$I$1004,$O181)))</f>
        <v/>
      </c>
      <c r="J181" s="50">
        <f>IF($O181="","",IF(INDEX(Firms!$J$5:$J$1004,$O181)="","—",INDEX(Firms!$J$5:$J$1004,$O181)))</f>
        <v/>
      </c>
      <c r="K181" s="50">
        <f>IF($O181="","",IF(INDEX(Firms!$K$5:$K$1004,$O181)="","—",INDEX(Firms!$K$5:$K$1004,$O181)))</f>
        <v/>
      </c>
      <c r="L181" s="50">
        <f>IF($O181="","",IF(INDEX(Firms!$L$5:$L$1004,$O181)="","—",INDEX(Firms!$L$5:$L$1004,$O181)))</f>
        <v/>
      </c>
      <c r="M181" s="50">
        <f>IF($O181="","",IF(INDEX(Firms!$M$5:$M$1004,$O181)="","—",INDEX(Firms!$M$5:$M$1004,$O181)))</f>
        <v/>
      </c>
      <c r="O181">
        <f>IFERROR(MATCH(SMALL(Firms!$Y$5:$Y$1004,173),Firms!$W$5:$W$1004,0),"")</f>
        <v/>
      </c>
    </row>
    <row r="182">
      <c r="B182" s="78">
        <f>IF($O182="","",INDEX(Firms!$A$5:$A$1004,$O182))</f>
        <v/>
      </c>
      <c r="C182" s="79">
        <f>IF($O182="","",INDEX(Firms!$N$5:$N$1004,$O182)&amp;"")</f>
        <v/>
      </c>
      <c r="D182" s="79">
        <f>IF($O182="","",INDEX(Firms!$P$5:$P$1004,$O182)&amp;"")</f>
        <v/>
      </c>
      <c r="E182" s="79">
        <f>IF($O182="","",INDEX(Firms!$O$5:$O$1004,$O182)&amp;"")</f>
        <v/>
      </c>
      <c r="F182" s="50">
        <f>IF($O182="","",IF(INDEX(Firms!$F$5:$F$1004,$O182)="","—",INDEX(Firms!$F$5:$F$1004,$O182)))</f>
        <v/>
      </c>
      <c r="G182" s="50">
        <f>IF($O182="","",IF(INDEX(Firms!$G$5:$G$1004,$O182)="","—",INDEX(Firms!$G$5:$G$1004,$O182)))</f>
        <v/>
      </c>
      <c r="H182" s="50">
        <f>IF($O182="","",IF(INDEX(Firms!$H$5:$H$1004,$O182)="","—",INDEX(Firms!$H$5:$H$1004,$O182)))</f>
        <v/>
      </c>
      <c r="I182" s="50">
        <f>IF($O182="","",IF(INDEX(Firms!$I$5:$I$1004,$O182)="","—",INDEX(Firms!$I$5:$I$1004,$O182)))</f>
        <v/>
      </c>
      <c r="J182" s="50">
        <f>IF($O182="","",IF(INDEX(Firms!$J$5:$J$1004,$O182)="","—",INDEX(Firms!$J$5:$J$1004,$O182)))</f>
        <v/>
      </c>
      <c r="K182" s="50">
        <f>IF($O182="","",IF(INDEX(Firms!$K$5:$K$1004,$O182)="","—",INDEX(Firms!$K$5:$K$1004,$O182)))</f>
        <v/>
      </c>
      <c r="L182" s="50">
        <f>IF($O182="","",IF(INDEX(Firms!$L$5:$L$1004,$O182)="","—",INDEX(Firms!$L$5:$L$1004,$O182)))</f>
        <v/>
      </c>
      <c r="M182" s="50">
        <f>IF($O182="","",IF(INDEX(Firms!$M$5:$M$1004,$O182)="","—",INDEX(Firms!$M$5:$M$1004,$O182)))</f>
        <v/>
      </c>
      <c r="O182">
        <f>IFERROR(MATCH(SMALL(Firms!$Y$5:$Y$1004,174),Firms!$W$5:$W$1004,0),"")</f>
        <v/>
      </c>
    </row>
    <row r="183">
      <c r="B183" s="78">
        <f>IF($O183="","",INDEX(Firms!$A$5:$A$1004,$O183))</f>
        <v/>
      </c>
      <c r="C183" s="79">
        <f>IF($O183="","",INDEX(Firms!$N$5:$N$1004,$O183)&amp;"")</f>
        <v/>
      </c>
      <c r="D183" s="79">
        <f>IF($O183="","",INDEX(Firms!$P$5:$P$1004,$O183)&amp;"")</f>
        <v/>
      </c>
      <c r="E183" s="79">
        <f>IF($O183="","",INDEX(Firms!$O$5:$O$1004,$O183)&amp;"")</f>
        <v/>
      </c>
      <c r="F183" s="50">
        <f>IF($O183="","",IF(INDEX(Firms!$F$5:$F$1004,$O183)="","—",INDEX(Firms!$F$5:$F$1004,$O183)))</f>
        <v/>
      </c>
      <c r="G183" s="50">
        <f>IF($O183="","",IF(INDEX(Firms!$G$5:$G$1004,$O183)="","—",INDEX(Firms!$G$5:$G$1004,$O183)))</f>
        <v/>
      </c>
      <c r="H183" s="50">
        <f>IF($O183="","",IF(INDEX(Firms!$H$5:$H$1004,$O183)="","—",INDEX(Firms!$H$5:$H$1004,$O183)))</f>
        <v/>
      </c>
      <c r="I183" s="50">
        <f>IF($O183="","",IF(INDEX(Firms!$I$5:$I$1004,$O183)="","—",INDEX(Firms!$I$5:$I$1004,$O183)))</f>
        <v/>
      </c>
      <c r="J183" s="50">
        <f>IF($O183="","",IF(INDEX(Firms!$J$5:$J$1004,$O183)="","—",INDEX(Firms!$J$5:$J$1004,$O183)))</f>
        <v/>
      </c>
      <c r="K183" s="50">
        <f>IF($O183="","",IF(INDEX(Firms!$K$5:$K$1004,$O183)="","—",INDEX(Firms!$K$5:$K$1004,$O183)))</f>
        <v/>
      </c>
      <c r="L183" s="50">
        <f>IF($O183="","",IF(INDEX(Firms!$L$5:$L$1004,$O183)="","—",INDEX(Firms!$L$5:$L$1004,$O183)))</f>
        <v/>
      </c>
      <c r="M183" s="50">
        <f>IF($O183="","",IF(INDEX(Firms!$M$5:$M$1004,$O183)="","—",INDEX(Firms!$M$5:$M$1004,$O183)))</f>
        <v/>
      </c>
      <c r="O183">
        <f>IFERROR(MATCH(SMALL(Firms!$Y$5:$Y$1004,175),Firms!$W$5:$W$1004,0),"")</f>
        <v/>
      </c>
    </row>
    <row r="184">
      <c r="B184" s="78">
        <f>IF($O184="","",INDEX(Firms!$A$5:$A$1004,$O184))</f>
        <v/>
      </c>
      <c r="C184" s="79">
        <f>IF($O184="","",INDEX(Firms!$N$5:$N$1004,$O184)&amp;"")</f>
        <v/>
      </c>
      <c r="D184" s="79">
        <f>IF($O184="","",INDEX(Firms!$P$5:$P$1004,$O184)&amp;"")</f>
        <v/>
      </c>
      <c r="E184" s="79">
        <f>IF($O184="","",INDEX(Firms!$O$5:$O$1004,$O184)&amp;"")</f>
        <v/>
      </c>
      <c r="F184" s="50">
        <f>IF($O184="","",IF(INDEX(Firms!$F$5:$F$1004,$O184)="","—",INDEX(Firms!$F$5:$F$1004,$O184)))</f>
        <v/>
      </c>
      <c r="G184" s="50">
        <f>IF($O184="","",IF(INDEX(Firms!$G$5:$G$1004,$O184)="","—",INDEX(Firms!$G$5:$G$1004,$O184)))</f>
        <v/>
      </c>
      <c r="H184" s="50">
        <f>IF($O184="","",IF(INDEX(Firms!$H$5:$H$1004,$O184)="","—",INDEX(Firms!$H$5:$H$1004,$O184)))</f>
        <v/>
      </c>
      <c r="I184" s="50">
        <f>IF($O184="","",IF(INDEX(Firms!$I$5:$I$1004,$O184)="","—",INDEX(Firms!$I$5:$I$1004,$O184)))</f>
        <v/>
      </c>
      <c r="J184" s="50">
        <f>IF($O184="","",IF(INDEX(Firms!$J$5:$J$1004,$O184)="","—",INDEX(Firms!$J$5:$J$1004,$O184)))</f>
        <v/>
      </c>
      <c r="K184" s="50">
        <f>IF($O184="","",IF(INDEX(Firms!$K$5:$K$1004,$O184)="","—",INDEX(Firms!$K$5:$K$1004,$O184)))</f>
        <v/>
      </c>
      <c r="L184" s="50">
        <f>IF($O184="","",IF(INDEX(Firms!$L$5:$L$1004,$O184)="","—",INDEX(Firms!$L$5:$L$1004,$O184)))</f>
        <v/>
      </c>
      <c r="M184" s="50">
        <f>IF($O184="","",IF(INDEX(Firms!$M$5:$M$1004,$O184)="","—",INDEX(Firms!$M$5:$M$1004,$O184)))</f>
        <v/>
      </c>
      <c r="O184">
        <f>IFERROR(MATCH(SMALL(Firms!$Y$5:$Y$1004,176),Firms!$W$5:$W$1004,0),"")</f>
        <v/>
      </c>
    </row>
    <row r="185">
      <c r="B185" s="78">
        <f>IF($O185="","",INDEX(Firms!$A$5:$A$1004,$O185))</f>
        <v/>
      </c>
      <c r="C185" s="79">
        <f>IF($O185="","",INDEX(Firms!$N$5:$N$1004,$O185)&amp;"")</f>
        <v/>
      </c>
      <c r="D185" s="79">
        <f>IF($O185="","",INDEX(Firms!$P$5:$P$1004,$O185)&amp;"")</f>
        <v/>
      </c>
      <c r="E185" s="79">
        <f>IF($O185="","",INDEX(Firms!$O$5:$O$1004,$O185)&amp;"")</f>
        <v/>
      </c>
      <c r="F185" s="50">
        <f>IF($O185="","",IF(INDEX(Firms!$F$5:$F$1004,$O185)="","—",INDEX(Firms!$F$5:$F$1004,$O185)))</f>
        <v/>
      </c>
      <c r="G185" s="50">
        <f>IF($O185="","",IF(INDEX(Firms!$G$5:$G$1004,$O185)="","—",INDEX(Firms!$G$5:$G$1004,$O185)))</f>
        <v/>
      </c>
      <c r="H185" s="50">
        <f>IF($O185="","",IF(INDEX(Firms!$H$5:$H$1004,$O185)="","—",INDEX(Firms!$H$5:$H$1004,$O185)))</f>
        <v/>
      </c>
      <c r="I185" s="50">
        <f>IF($O185="","",IF(INDEX(Firms!$I$5:$I$1004,$O185)="","—",INDEX(Firms!$I$5:$I$1004,$O185)))</f>
        <v/>
      </c>
      <c r="J185" s="50">
        <f>IF($O185="","",IF(INDEX(Firms!$J$5:$J$1004,$O185)="","—",INDEX(Firms!$J$5:$J$1004,$O185)))</f>
        <v/>
      </c>
      <c r="K185" s="50">
        <f>IF($O185="","",IF(INDEX(Firms!$K$5:$K$1004,$O185)="","—",INDEX(Firms!$K$5:$K$1004,$O185)))</f>
        <v/>
      </c>
      <c r="L185" s="50">
        <f>IF($O185="","",IF(INDEX(Firms!$L$5:$L$1004,$O185)="","—",INDEX(Firms!$L$5:$L$1004,$O185)))</f>
        <v/>
      </c>
      <c r="M185" s="50">
        <f>IF($O185="","",IF(INDEX(Firms!$M$5:$M$1004,$O185)="","—",INDEX(Firms!$M$5:$M$1004,$O185)))</f>
        <v/>
      </c>
      <c r="O185">
        <f>IFERROR(MATCH(SMALL(Firms!$Y$5:$Y$1004,177),Firms!$W$5:$W$1004,0),"")</f>
        <v/>
      </c>
    </row>
    <row r="186">
      <c r="B186" s="78">
        <f>IF($O186="","",INDEX(Firms!$A$5:$A$1004,$O186))</f>
        <v/>
      </c>
      <c r="C186" s="79">
        <f>IF($O186="","",INDEX(Firms!$N$5:$N$1004,$O186)&amp;"")</f>
        <v/>
      </c>
      <c r="D186" s="79">
        <f>IF($O186="","",INDEX(Firms!$P$5:$P$1004,$O186)&amp;"")</f>
        <v/>
      </c>
      <c r="E186" s="79">
        <f>IF($O186="","",INDEX(Firms!$O$5:$O$1004,$O186)&amp;"")</f>
        <v/>
      </c>
      <c r="F186" s="50">
        <f>IF($O186="","",IF(INDEX(Firms!$F$5:$F$1004,$O186)="","—",INDEX(Firms!$F$5:$F$1004,$O186)))</f>
        <v/>
      </c>
      <c r="G186" s="50">
        <f>IF($O186="","",IF(INDEX(Firms!$G$5:$G$1004,$O186)="","—",INDEX(Firms!$G$5:$G$1004,$O186)))</f>
        <v/>
      </c>
      <c r="H186" s="50">
        <f>IF($O186="","",IF(INDEX(Firms!$H$5:$H$1004,$O186)="","—",INDEX(Firms!$H$5:$H$1004,$O186)))</f>
        <v/>
      </c>
      <c r="I186" s="50">
        <f>IF($O186="","",IF(INDEX(Firms!$I$5:$I$1004,$O186)="","—",INDEX(Firms!$I$5:$I$1004,$O186)))</f>
        <v/>
      </c>
      <c r="J186" s="50">
        <f>IF($O186="","",IF(INDEX(Firms!$J$5:$J$1004,$O186)="","—",INDEX(Firms!$J$5:$J$1004,$O186)))</f>
        <v/>
      </c>
      <c r="K186" s="50">
        <f>IF($O186="","",IF(INDEX(Firms!$K$5:$K$1004,$O186)="","—",INDEX(Firms!$K$5:$K$1004,$O186)))</f>
        <v/>
      </c>
      <c r="L186" s="50">
        <f>IF($O186="","",IF(INDEX(Firms!$L$5:$L$1004,$O186)="","—",INDEX(Firms!$L$5:$L$1004,$O186)))</f>
        <v/>
      </c>
      <c r="M186" s="50">
        <f>IF($O186="","",IF(INDEX(Firms!$M$5:$M$1004,$O186)="","—",INDEX(Firms!$M$5:$M$1004,$O186)))</f>
        <v/>
      </c>
      <c r="O186">
        <f>IFERROR(MATCH(SMALL(Firms!$Y$5:$Y$1004,178),Firms!$W$5:$W$1004,0),"")</f>
        <v/>
      </c>
    </row>
    <row r="187">
      <c r="B187" s="78">
        <f>IF($O187="","",INDEX(Firms!$A$5:$A$1004,$O187))</f>
        <v/>
      </c>
      <c r="C187" s="79">
        <f>IF($O187="","",INDEX(Firms!$N$5:$N$1004,$O187)&amp;"")</f>
        <v/>
      </c>
      <c r="D187" s="79">
        <f>IF($O187="","",INDEX(Firms!$P$5:$P$1004,$O187)&amp;"")</f>
        <v/>
      </c>
      <c r="E187" s="79">
        <f>IF($O187="","",INDEX(Firms!$O$5:$O$1004,$O187)&amp;"")</f>
        <v/>
      </c>
      <c r="F187" s="50">
        <f>IF($O187="","",IF(INDEX(Firms!$F$5:$F$1004,$O187)="","—",INDEX(Firms!$F$5:$F$1004,$O187)))</f>
        <v/>
      </c>
      <c r="G187" s="50">
        <f>IF($O187="","",IF(INDEX(Firms!$G$5:$G$1004,$O187)="","—",INDEX(Firms!$G$5:$G$1004,$O187)))</f>
        <v/>
      </c>
      <c r="H187" s="50">
        <f>IF($O187="","",IF(INDEX(Firms!$H$5:$H$1004,$O187)="","—",INDEX(Firms!$H$5:$H$1004,$O187)))</f>
        <v/>
      </c>
      <c r="I187" s="50">
        <f>IF($O187="","",IF(INDEX(Firms!$I$5:$I$1004,$O187)="","—",INDEX(Firms!$I$5:$I$1004,$O187)))</f>
        <v/>
      </c>
      <c r="J187" s="50">
        <f>IF($O187="","",IF(INDEX(Firms!$J$5:$J$1004,$O187)="","—",INDEX(Firms!$J$5:$J$1004,$O187)))</f>
        <v/>
      </c>
      <c r="K187" s="50">
        <f>IF($O187="","",IF(INDEX(Firms!$K$5:$K$1004,$O187)="","—",INDEX(Firms!$K$5:$K$1004,$O187)))</f>
        <v/>
      </c>
      <c r="L187" s="50">
        <f>IF($O187="","",IF(INDEX(Firms!$L$5:$L$1004,$O187)="","—",INDEX(Firms!$L$5:$L$1004,$O187)))</f>
        <v/>
      </c>
      <c r="M187" s="50">
        <f>IF($O187="","",IF(INDEX(Firms!$M$5:$M$1004,$O187)="","—",INDEX(Firms!$M$5:$M$1004,$O187)))</f>
        <v/>
      </c>
      <c r="O187">
        <f>IFERROR(MATCH(SMALL(Firms!$Y$5:$Y$1004,179),Firms!$W$5:$W$1004,0),"")</f>
        <v/>
      </c>
    </row>
    <row r="188">
      <c r="B188" s="78">
        <f>IF($O188="","",INDEX(Firms!$A$5:$A$1004,$O188))</f>
        <v/>
      </c>
      <c r="C188" s="79">
        <f>IF($O188="","",INDEX(Firms!$N$5:$N$1004,$O188)&amp;"")</f>
        <v/>
      </c>
      <c r="D188" s="79">
        <f>IF($O188="","",INDEX(Firms!$P$5:$P$1004,$O188)&amp;"")</f>
        <v/>
      </c>
      <c r="E188" s="79">
        <f>IF($O188="","",INDEX(Firms!$O$5:$O$1004,$O188)&amp;"")</f>
        <v/>
      </c>
      <c r="F188" s="50">
        <f>IF($O188="","",IF(INDEX(Firms!$F$5:$F$1004,$O188)="","—",INDEX(Firms!$F$5:$F$1004,$O188)))</f>
        <v/>
      </c>
      <c r="G188" s="50">
        <f>IF($O188="","",IF(INDEX(Firms!$G$5:$G$1004,$O188)="","—",INDEX(Firms!$G$5:$G$1004,$O188)))</f>
        <v/>
      </c>
      <c r="H188" s="50">
        <f>IF($O188="","",IF(INDEX(Firms!$H$5:$H$1004,$O188)="","—",INDEX(Firms!$H$5:$H$1004,$O188)))</f>
        <v/>
      </c>
      <c r="I188" s="50">
        <f>IF($O188="","",IF(INDEX(Firms!$I$5:$I$1004,$O188)="","—",INDEX(Firms!$I$5:$I$1004,$O188)))</f>
        <v/>
      </c>
      <c r="J188" s="50">
        <f>IF($O188="","",IF(INDEX(Firms!$J$5:$J$1004,$O188)="","—",INDEX(Firms!$J$5:$J$1004,$O188)))</f>
        <v/>
      </c>
      <c r="K188" s="50">
        <f>IF($O188="","",IF(INDEX(Firms!$K$5:$K$1004,$O188)="","—",INDEX(Firms!$K$5:$K$1004,$O188)))</f>
        <v/>
      </c>
      <c r="L188" s="50">
        <f>IF($O188="","",IF(INDEX(Firms!$L$5:$L$1004,$O188)="","—",INDEX(Firms!$L$5:$L$1004,$O188)))</f>
        <v/>
      </c>
      <c r="M188" s="50">
        <f>IF($O188="","",IF(INDEX(Firms!$M$5:$M$1004,$O188)="","—",INDEX(Firms!$M$5:$M$1004,$O188)))</f>
        <v/>
      </c>
      <c r="O188">
        <f>IFERROR(MATCH(SMALL(Firms!$Y$5:$Y$1004,180),Firms!$W$5:$W$1004,0),"")</f>
        <v/>
      </c>
    </row>
    <row r="189">
      <c r="B189" s="78">
        <f>IF($O189="","",INDEX(Firms!$A$5:$A$1004,$O189))</f>
        <v/>
      </c>
      <c r="C189" s="79">
        <f>IF($O189="","",INDEX(Firms!$N$5:$N$1004,$O189)&amp;"")</f>
        <v/>
      </c>
      <c r="D189" s="79">
        <f>IF($O189="","",INDEX(Firms!$P$5:$P$1004,$O189)&amp;"")</f>
        <v/>
      </c>
      <c r="E189" s="79">
        <f>IF($O189="","",INDEX(Firms!$O$5:$O$1004,$O189)&amp;"")</f>
        <v/>
      </c>
      <c r="F189" s="50">
        <f>IF($O189="","",IF(INDEX(Firms!$F$5:$F$1004,$O189)="","—",INDEX(Firms!$F$5:$F$1004,$O189)))</f>
        <v/>
      </c>
      <c r="G189" s="50">
        <f>IF($O189="","",IF(INDEX(Firms!$G$5:$G$1004,$O189)="","—",INDEX(Firms!$G$5:$G$1004,$O189)))</f>
        <v/>
      </c>
      <c r="H189" s="50">
        <f>IF($O189="","",IF(INDEX(Firms!$H$5:$H$1004,$O189)="","—",INDEX(Firms!$H$5:$H$1004,$O189)))</f>
        <v/>
      </c>
      <c r="I189" s="50">
        <f>IF($O189="","",IF(INDEX(Firms!$I$5:$I$1004,$O189)="","—",INDEX(Firms!$I$5:$I$1004,$O189)))</f>
        <v/>
      </c>
      <c r="J189" s="50">
        <f>IF($O189="","",IF(INDEX(Firms!$J$5:$J$1004,$O189)="","—",INDEX(Firms!$J$5:$J$1004,$O189)))</f>
        <v/>
      </c>
      <c r="K189" s="50">
        <f>IF($O189="","",IF(INDEX(Firms!$K$5:$K$1004,$O189)="","—",INDEX(Firms!$K$5:$K$1004,$O189)))</f>
        <v/>
      </c>
      <c r="L189" s="50">
        <f>IF($O189="","",IF(INDEX(Firms!$L$5:$L$1004,$O189)="","—",INDEX(Firms!$L$5:$L$1004,$O189)))</f>
        <v/>
      </c>
      <c r="M189" s="50">
        <f>IF($O189="","",IF(INDEX(Firms!$M$5:$M$1004,$O189)="","—",INDEX(Firms!$M$5:$M$1004,$O189)))</f>
        <v/>
      </c>
      <c r="O189">
        <f>IFERROR(MATCH(SMALL(Firms!$Y$5:$Y$1004,181),Firms!$W$5:$W$1004,0),"")</f>
        <v/>
      </c>
    </row>
    <row r="190">
      <c r="B190" s="78">
        <f>IF($O190="","",INDEX(Firms!$A$5:$A$1004,$O190))</f>
        <v/>
      </c>
      <c r="C190" s="79">
        <f>IF($O190="","",INDEX(Firms!$N$5:$N$1004,$O190)&amp;"")</f>
        <v/>
      </c>
      <c r="D190" s="79">
        <f>IF($O190="","",INDEX(Firms!$P$5:$P$1004,$O190)&amp;"")</f>
        <v/>
      </c>
      <c r="E190" s="79">
        <f>IF($O190="","",INDEX(Firms!$O$5:$O$1004,$O190)&amp;"")</f>
        <v/>
      </c>
      <c r="F190" s="50">
        <f>IF($O190="","",IF(INDEX(Firms!$F$5:$F$1004,$O190)="","—",INDEX(Firms!$F$5:$F$1004,$O190)))</f>
        <v/>
      </c>
      <c r="G190" s="50">
        <f>IF($O190="","",IF(INDEX(Firms!$G$5:$G$1004,$O190)="","—",INDEX(Firms!$G$5:$G$1004,$O190)))</f>
        <v/>
      </c>
      <c r="H190" s="50">
        <f>IF($O190="","",IF(INDEX(Firms!$H$5:$H$1004,$O190)="","—",INDEX(Firms!$H$5:$H$1004,$O190)))</f>
        <v/>
      </c>
      <c r="I190" s="50">
        <f>IF($O190="","",IF(INDEX(Firms!$I$5:$I$1004,$O190)="","—",INDEX(Firms!$I$5:$I$1004,$O190)))</f>
        <v/>
      </c>
      <c r="J190" s="50">
        <f>IF($O190="","",IF(INDEX(Firms!$J$5:$J$1004,$O190)="","—",INDEX(Firms!$J$5:$J$1004,$O190)))</f>
        <v/>
      </c>
      <c r="K190" s="50">
        <f>IF($O190="","",IF(INDEX(Firms!$K$5:$K$1004,$O190)="","—",INDEX(Firms!$K$5:$K$1004,$O190)))</f>
        <v/>
      </c>
      <c r="L190" s="50">
        <f>IF($O190="","",IF(INDEX(Firms!$L$5:$L$1004,$O190)="","—",INDEX(Firms!$L$5:$L$1004,$O190)))</f>
        <v/>
      </c>
      <c r="M190" s="50">
        <f>IF($O190="","",IF(INDEX(Firms!$M$5:$M$1004,$O190)="","—",INDEX(Firms!$M$5:$M$1004,$O190)))</f>
        <v/>
      </c>
      <c r="O190">
        <f>IFERROR(MATCH(SMALL(Firms!$Y$5:$Y$1004,182),Firms!$W$5:$W$1004,0),"")</f>
        <v/>
      </c>
    </row>
    <row r="191">
      <c r="B191" s="78">
        <f>IF($O191="","",INDEX(Firms!$A$5:$A$1004,$O191))</f>
        <v/>
      </c>
      <c r="C191" s="79">
        <f>IF($O191="","",INDEX(Firms!$N$5:$N$1004,$O191)&amp;"")</f>
        <v/>
      </c>
      <c r="D191" s="79">
        <f>IF($O191="","",INDEX(Firms!$P$5:$P$1004,$O191)&amp;"")</f>
        <v/>
      </c>
      <c r="E191" s="79">
        <f>IF($O191="","",INDEX(Firms!$O$5:$O$1004,$O191)&amp;"")</f>
        <v/>
      </c>
      <c r="F191" s="50">
        <f>IF($O191="","",IF(INDEX(Firms!$F$5:$F$1004,$O191)="","—",INDEX(Firms!$F$5:$F$1004,$O191)))</f>
        <v/>
      </c>
      <c r="G191" s="50">
        <f>IF($O191="","",IF(INDEX(Firms!$G$5:$G$1004,$O191)="","—",INDEX(Firms!$G$5:$G$1004,$O191)))</f>
        <v/>
      </c>
      <c r="H191" s="50">
        <f>IF($O191="","",IF(INDEX(Firms!$H$5:$H$1004,$O191)="","—",INDEX(Firms!$H$5:$H$1004,$O191)))</f>
        <v/>
      </c>
      <c r="I191" s="50">
        <f>IF($O191="","",IF(INDEX(Firms!$I$5:$I$1004,$O191)="","—",INDEX(Firms!$I$5:$I$1004,$O191)))</f>
        <v/>
      </c>
      <c r="J191" s="50">
        <f>IF($O191="","",IF(INDEX(Firms!$J$5:$J$1004,$O191)="","—",INDEX(Firms!$J$5:$J$1004,$O191)))</f>
        <v/>
      </c>
      <c r="K191" s="50">
        <f>IF($O191="","",IF(INDEX(Firms!$K$5:$K$1004,$O191)="","—",INDEX(Firms!$K$5:$K$1004,$O191)))</f>
        <v/>
      </c>
      <c r="L191" s="50">
        <f>IF($O191="","",IF(INDEX(Firms!$L$5:$L$1004,$O191)="","—",INDEX(Firms!$L$5:$L$1004,$O191)))</f>
        <v/>
      </c>
      <c r="M191" s="50">
        <f>IF($O191="","",IF(INDEX(Firms!$M$5:$M$1004,$O191)="","—",INDEX(Firms!$M$5:$M$1004,$O191)))</f>
        <v/>
      </c>
      <c r="O191">
        <f>IFERROR(MATCH(SMALL(Firms!$Y$5:$Y$1004,183),Firms!$W$5:$W$1004,0),"")</f>
        <v/>
      </c>
    </row>
    <row r="192">
      <c r="B192" s="78">
        <f>IF($O192="","",INDEX(Firms!$A$5:$A$1004,$O192))</f>
        <v/>
      </c>
      <c r="C192" s="79">
        <f>IF($O192="","",INDEX(Firms!$N$5:$N$1004,$O192)&amp;"")</f>
        <v/>
      </c>
      <c r="D192" s="79">
        <f>IF($O192="","",INDEX(Firms!$P$5:$P$1004,$O192)&amp;"")</f>
        <v/>
      </c>
      <c r="E192" s="79">
        <f>IF($O192="","",INDEX(Firms!$O$5:$O$1004,$O192)&amp;"")</f>
        <v/>
      </c>
      <c r="F192" s="50">
        <f>IF($O192="","",IF(INDEX(Firms!$F$5:$F$1004,$O192)="","—",INDEX(Firms!$F$5:$F$1004,$O192)))</f>
        <v/>
      </c>
      <c r="G192" s="50">
        <f>IF($O192="","",IF(INDEX(Firms!$G$5:$G$1004,$O192)="","—",INDEX(Firms!$G$5:$G$1004,$O192)))</f>
        <v/>
      </c>
      <c r="H192" s="50">
        <f>IF($O192="","",IF(INDEX(Firms!$H$5:$H$1004,$O192)="","—",INDEX(Firms!$H$5:$H$1004,$O192)))</f>
        <v/>
      </c>
      <c r="I192" s="50">
        <f>IF($O192="","",IF(INDEX(Firms!$I$5:$I$1004,$O192)="","—",INDEX(Firms!$I$5:$I$1004,$O192)))</f>
        <v/>
      </c>
      <c r="J192" s="50">
        <f>IF($O192="","",IF(INDEX(Firms!$J$5:$J$1004,$O192)="","—",INDEX(Firms!$J$5:$J$1004,$O192)))</f>
        <v/>
      </c>
      <c r="K192" s="50">
        <f>IF($O192="","",IF(INDEX(Firms!$K$5:$K$1004,$O192)="","—",INDEX(Firms!$K$5:$K$1004,$O192)))</f>
        <v/>
      </c>
      <c r="L192" s="50">
        <f>IF($O192="","",IF(INDEX(Firms!$L$5:$L$1004,$O192)="","—",INDEX(Firms!$L$5:$L$1004,$O192)))</f>
        <v/>
      </c>
      <c r="M192" s="50">
        <f>IF($O192="","",IF(INDEX(Firms!$M$5:$M$1004,$O192)="","—",INDEX(Firms!$M$5:$M$1004,$O192)))</f>
        <v/>
      </c>
      <c r="O192">
        <f>IFERROR(MATCH(SMALL(Firms!$Y$5:$Y$1004,184),Firms!$W$5:$W$1004,0),"")</f>
        <v/>
      </c>
    </row>
    <row r="193">
      <c r="B193" s="78">
        <f>IF($O193="","",INDEX(Firms!$A$5:$A$1004,$O193))</f>
        <v/>
      </c>
      <c r="C193" s="79">
        <f>IF($O193="","",INDEX(Firms!$N$5:$N$1004,$O193)&amp;"")</f>
        <v/>
      </c>
      <c r="D193" s="79">
        <f>IF($O193="","",INDEX(Firms!$P$5:$P$1004,$O193)&amp;"")</f>
        <v/>
      </c>
      <c r="E193" s="79">
        <f>IF($O193="","",INDEX(Firms!$O$5:$O$1004,$O193)&amp;"")</f>
        <v/>
      </c>
      <c r="F193" s="50">
        <f>IF($O193="","",IF(INDEX(Firms!$F$5:$F$1004,$O193)="","—",INDEX(Firms!$F$5:$F$1004,$O193)))</f>
        <v/>
      </c>
      <c r="G193" s="50">
        <f>IF($O193="","",IF(INDEX(Firms!$G$5:$G$1004,$O193)="","—",INDEX(Firms!$G$5:$G$1004,$O193)))</f>
        <v/>
      </c>
      <c r="H193" s="50">
        <f>IF($O193="","",IF(INDEX(Firms!$H$5:$H$1004,$O193)="","—",INDEX(Firms!$H$5:$H$1004,$O193)))</f>
        <v/>
      </c>
      <c r="I193" s="50">
        <f>IF($O193="","",IF(INDEX(Firms!$I$5:$I$1004,$O193)="","—",INDEX(Firms!$I$5:$I$1004,$O193)))</f>
        <v/>
      </c>
      <c r="J193" s="50">
        <f>IF($O193="","",IF(INDEX(Firms!$J$5:$J$1004,$O193)="","—",INDEX(Firms!$J$5:$J$1004,$O193)))</f>
        <v/>
      </c>
      <c r="K193" s="50">
        <f>IF($O193="","",IF(INDEX(Firms!$K$5:$K$1004,$O193)="","—",INDEX(Firms!$K$5:$K$1004,$O193)))</f>
        <v/>
      </c>
      <c r="L193" s="50">
        <f>IF($O193="","",IF(INDEX(Firms!$L$5:$L$1004,$O193)="","—",INDEX(Firms!$L$5:$L$1004,$O193)))</f>
        <v/>
      </c>
      <c r="M193" s="50">
        <f>IF($O193="","",IF(INDEX(Firms!$M$5:$M$1004,$O193)="","—",INDEX(Firms!$M$5:$M$1004,$O193)))</f>
        <v/>
      </c>
      <c r="O193">
        <f>IFERROR(MATCH(SMALL(Firms!$Y$5:$Y$1004,185),Firms!$W$5:$W$1004,0),"")</f>
        <v/>
      </c>
    </row>
    <row r="194">
      <c r="B194" s="78">
        <f>IF($O194="","",INDEX(Firms!$A$5:$A$1004,$O194))</f>
        <v/>
      </c>
      <c r="C194" s="79">
        <f>IF($O194="","",INDEX(Firms!$N$5:$N$1004,$O194)&amp;"")</f>
        <v/>
      </c>
      <c r="D194" s="79">
        <f>IF($O194="","",INDEX(Firms!$P$5:$P$1004,$O194)&amp;"")</f>
        <v/>
      </c>
      <c r="E194" s="79">
        <f>IF($O194="","",INDEX(Firms!$O$5:$O$1004,$O194)&amp;"")</f>
        <v/>
      </c>
      <c r="F194" s="50">
        <f>IF($O194="","",IF(INDEX(Firms!$F$5:$F$1004,$O194)="","—",INDEX(Firms!$F$5:$F$1004,$O194)))</f>
        <v/>
      </c>
      <c r="G194" s="50">
        <f>IF($O194="","",IF(INDEX(Firms!$G$5:$G$1004,$O194)="","—",INDEX(Firms!$G$5:$G$1004,$O194)))</f>
        <v/>
      </c>
      <c r="H194" s="50">
        <f>IF($O194="","",IF(INDEX(Firms!$H$5:$H$1004,$O194)="","—",INDEX(Firms!$H$5:$H$1004,$O194)))</f>
        <v/>
      </c>
      <c r="I194" s="50">
        <f>IF($O194="","",IF(INDEX(Firms!$I$5:$I$1004,$O194)="","—",INDEX(Firms!$I$5:$I$1004,$O194)))</f>
        <v/>
      </c>
      <c r="J194" s="50">
        <f>IF($O194="","",IF(INDEX(Firms!$J$5:$J$1004,$O194)="","—",INDEX(Firms!$J$5:$J$1004,$O194)))</f>
        <v/>
      </c>
      <c r="K194" s="50">
        <f>IF($O194="","",IF(INDEX(Firms!$K$5:$K$1004,$O194)="","—",INDEX(Firms!$K$5:$K$1004,$O194)))</f>
        <v/>
      </c>
      <c r="L194" s="50">
        <f>IF($O194="","",IF(INDEX(Firms!$L$5:$L$1004,$O194)="","—",INDEX(Firms!$L$5:$L$1004,$O194)))</f>
        <v/>
      </c>
      <c r="M194" s="50">
        <f>IF($O194="","",IF(INDEX(Firms!$M$5:$M$1004,$O194)="","—",INDEX(Firms!$M$5:$M$1004,$O194)))</f>
        <v/>
      </c>
      <c r="O194">
        <f>IFERROR(MATCH(SMALL(Firms!$Y$5:$Y$1004,186),Firms!$W$5:$W$1004,0),"")</f>
        <v/>
      </c>
    </row>
    <row r="195">
      <c r="B195" s="78">
        <f>IF($O195="","",INDEX(Firms!$A$5:$A$1004,$O195))</f>
        <v/>
      </c>
      <c r="C195" s="79">
        <f>IF($O195="","",INDEX(Firms!$N$5:$N$1004,$O195)&amp;"")</f>
        <v/>
      </c>
      <c r="D195" s="79">
        <f>IF($O195="","",INDEX(Firms!$P$5:$P$1004,$O195)&amp;"")</f>
        <v/>
      </c>
      <c r="E195" s="79">
        <f>IF($O195="","",INDEX(Firms!$O$5:$O$1004,$O195)&amp;"")</f>
        <v/>
      </c>
      <c r="F195" s="50">
        <f>IF($O195="","",IF(INDEX(Firms!$F$5:$F$1004,$O195)="","—",INDEX(Firms!$F$5:$F$1004,$O195)))</f>
        <v/>
      </c>
      <c r="G195" s="50">
        <f>IF($O195="","",IF(INDEX(Firms!$G$5:$G$1004,$O195)="","—",INDEX(Firms!$G$5:$G$1004,$O195)))</f>
        <v/>
      </c>
      <c r="H195" s="50">
        <f>IF($O195="","",IF(INDEX(Firms!$H$5:$H$1004,$O195)="","—",INDEX(Firms!$H$5:$H$1004,$O195)))</f>
        <v/>
      </c>
      <c r="I195" s="50">
        <f>IF($O195="","",IF(INDEX(Firms!$I$5:$I$1004,$O195)="","—",INDEX(Firms!$I$5:$I$1004,$O195)))</f>
        <v/>
      </c>
      <c r="J195" s="50">
        <f>IF($O195="","",IF(INDEX(Firms!$J$5:$J$1004,$O195)="","—",INDEX(Firms!$J$5:$J$1004,$O195)))</f>
        <v/>
      </c>
      <c r="K195" s="50">
        <f>IF($O195="","",IF(INDEX(Firms!$K$5:$K$1004,$O195)="","—",INDEX(Firms!$K$5:$K$1004,$O195)))</f>
        <v/>
      </c>
      <c r="L195" s="50">
        <f>IF($O195="","",IF(INDEX(Firms!$L$5:$L$1004,$O195)="","—",INDEX(Firms!$L$5:$L$1004,$O195)))</f>
        <v/>
      </c>
      <c r="M195" s="50">
        <f>IF($O195="","",IF(INDEX(Firms!$M$5:$M$1004,$O195)="","—",INDEX(Firms!$M$5:$M$1004,$O195)))</f>
        <v/>
      </c>
      <c r="O195">
        <f>IFERROR(MATCH(SMALL(Firms!$Y$5:$Y$1004,187),Firms!$W$5:$W$1004,0),"")</f>
        <v/>
      </c>
    </row>
    <row r="196">
      <c r="B196" s="78">
        <f>IF($O196="","",INDEX(Firms!$A$5:$A$1004,$O196))</f>
        <v/>
      </c>
      <c r="C196" s="79">
        <f>IF($O196="","",INDEX(Firms!$N$5:$N$1004,$O196)&amp;"")</f>
        <v/>
      </c>
      <c r="D196" s="79">
        <f>IF($O196="","",INDEX(Firms!$P$5:$P$1004,$O196)&amp;"")</f>
        <v/>
      </c>
      <c r="E196" s="79">
        <f>IF($O196="","",INDEX(Firms!$O$5:$O$1004,$O196)&amp;"")</f>
        <v/>
      </c>
      <c r="F196" s="50">
        <f>IF($O196="","",IF(INDEX(Firms!$F$5:$F$1004,$O196)="","—",INDEX(Firms!$F$5:$F$1004,$O196)))</f>
        <v/>
      </c>
      <c r="G196" s="50">
        <f>IF($O196="","",IF(INDEX(Firms!$G$5:$G$1004,$O196)="","—",INDEX(Firms!$G$5:$G$1004,$O196)))</f>
        <v/>
      </c>
      <c r="H196" s="50">
        <f>IF($O196="","",IF(INDEX(Firms!$H$5:$H$1004,$O196)="","—",INDEX(Firms!$H$5:$H$1004,$O196)))</f>
        <v/>
      </c>
      <c r="I196" s="50">
        <f>IF($O196="","",IF(INDEX(Firms!$I$5:$I$1004,$O196)="","—",INDEX(Firms!$I$5:$I$1004,$O196)))</f>
        <v/>
      </c>
      <c r="J196" s="50">
        <f>IF($O196="","",IF(INDEX(Firms!$J$5:$J$1004,$O196)="","—",INDEX(Firms!$J$5:$J$1004,$O196)))</f>
        <v/>
      </c>
      <c r="K196" s="50">
        <f>IF($O196="","",IF(INDEX(Firms!$K$5:$K$1004,$O196)="","—",INDEX(Firms!$K$5:$K$1004,$O196)))</f>
        <v/>
      </c>
      <c r="L196" s="50">
        <f>IF($O196="","",IF(INDEX(Firms!$L$5:$L$1004,$O196)="","—",INDEX(Firms!$L$5:$L$1004,$O196)))</f>
        <v/>
      </c>
      <c r="M196" s="50">
        <f>IF($O196="","",IF(INDEX(Firms!$M$5:$M$1004,$O196)="","—",INDEX(Firms!$M$5:$M$1004,$O196)))</f>
        <v/>
      </c>
      <c r="O196">
        <f>IFERROR(MATCH(SMALL(Firms!$Y$5:$Y$1004,188),Firms!$W$5:$W$1004,0),"")</f>
        <v/>
      </c>
    </row>
    <row r="197">
      <c r="B197" s="78">
        <f>IF($O197="","",INDEX(Firms!$A$5:$A$1004,$O197))</f>
        <v/>
      </c>
      <c r="C197" s="79">
        <f>IF($O197="","",INDEX(Firms!$N$5:$N$1004,$O197)&amp;"")</f>
        <v/>
      </c>
      <c r="D197" s="79">
        <f>IF($O197="","",INDEX(Firms!$P$5:$P$1004,$O197)&amp;"")</f>
        <v/>
      </c>
      <c r="E197" s="79">
        <f>IF($O197="","",INDEX(Firms!$O$5:$O$1004,$O197)&amp;"")</f>
        <v/>
      </c>
      <c r="F197" s="50">
        <f>IF($O197="","",IF(INDEX(Firms!$F$5:$F$1004,$O197)="","—",INDEX(Firms!$F$5:$F$1004,$O197)))</f>
        <v/>
      </c>
      <c r="G197" s="50">
        <f>IF($O197="","",IF(INDEX(Firms!$G$5:$G$1004,$O197)="","—",INDEX(Firms!$G$5:$G$1004,$O197)))</f>
        <v/>
      </c>
      <c r="H197" s="50">
        <f>IF($O197="","",IF(INDEX(Firms!$H$5:$H$1004,$O197)="","—",INDEX(Firms!$H$5:$H$1004,$O197)))</f>
        <v/>
      </c>
      <c r="I197" s="50">
        <f>IF($O197="","",IF(INDEX(Firms!$I$5:$I$1004,$O197)="","—",INDEX(Firms!$I$5:$I$1004,$O197)))</f>
        <v/>
      </c>
      <c r="J197" s="50">
        <f>IF($O197="","",IF(INDEX(Firms!$J$5:$J$1004,$O197)="","—",INDEX(Firms!$J$5:$J$1004,$O197)))</f>
        <v/>
      </c>
      <c r="K197" s="50">
        <f>IF($O197="","",IF(INDEX(Firms!$K$5:$K$1004,$O197)="","—",INDEX(Firms!$K$5:$K$1004,$O197)))</f>
        <v/>
      </c>
      <c r="L197" s="50">
        <f>IF($O197="","",IF(INDEX(Firms!$L$5:$L$1004,$O197)="","—",INDEX(Firms!$L$5:$L$1004,$O197)))</f>
        <v/>
      </c>
      <c r="M197" s="50">
        <f>IF($O197="","",IF(INDEX(Firms!$M$5:$M$1004,$O197)="","—",INDEX(Firms!$M$5:$M$1004,$O197)))</f>
        <v/>
      </c>
      <c r="O197">
        <f>IFERROR(MATCH(SMALL(Firms!$Y$5:$Y$1004,189),Firms!$W$5:$W$1004,0),"")</f>
        <v/>
      </c>
    </row>
    <row r="198">
      <c r="B198" s="78">
        <f>IF($O198="","",INDEX(Firms!$A$5:$A$1004,$O198))</f>
        <v/>
      </c>
      <c r="C198" s="79">
        <f>IF($O198="","",INDEX(Firms!$N$5:$N$1004,$O198)&amp;"")</f>
        <v/>
      </c>
      <c r="D198" s="79">
        <f>IF($O198="","",INDEX(Firms!$P$5:$P$1004,$O198)&amp;"")</f>
        <v/>
      </c>
      <c r="E198" s="79">
        <f>IF($O198="","",INDEX(Firms!$O$5:$O$1004,$O198)&amp;"")</f>
        <v/>
      </c>
      <c r="F198" s="50">
        <f>IF($O198="","",IF(INDEX(Firms!$F$5:$F$1004,$O198)="","—",INDEX(Firms!$F$5:$F$1004,$O198)))</f>
        <v/>
      </c>
      <c r="G198" s="50">
        <f>IF($O198="","",IF(INDEX(Firms!$G$5:$G$1004,$O198)="","—",INDEX(Firms!$G$5:$G$1004,$O198)))</f>
        <v/>
      </c>
      <c r="H198" s="50">
        <f>IF($O198="","",IF(INDEX(Firms!$H$5:$H$1004,$O198)="","—",INDEX(Firms!$H$5:$H$1004,$O198)))</f>
        <v/>
      </c>
      <c r="I198" s="50">
        <f>IF($O198="","",IF(INDEX(Firms!$I$5:$I$1004,$O198)="","—",INDEX(Firms!$I$5:$I$1004,$O198)))</f>
        <v/>
      </c>
      <c r="J198" s="50">
        <f>IF($O198="","",IF(INDEX(Firms!$J$5:$J$1004,$O198)="","—",INDEX(Firms!$J$5:$J$1004,$O198)))</f>
        <v/>
      </c>
      <c r="K198" s="50">
        <f>IF($O198="","",IF(INDEX(Firms!$K$5:$K$1004,$O198)="","—",INDEX(Firms!$K$5:$K$1004,$O198)))</f>
        <v/>
      </c>
      <c r="L198" s="50">
        <f>IF($O198="","",IF(INDEX(Firms!$L$5:$L$1004,$O198)="","—",INDEX(Firms!$L$5:$L$1004,$O198)))</f>
        <v/>
      </c>
      <c r="M198" s="50">
        <f>IF($O198="","",IF(INDEX(Firms!$M$5:$M$1004,$O198)="","—",INDEX(Firms!$M$5:$M$1004,$O198)))</f>
        <v/>
      </c>
      <c r="O198">
        <f>IFERROR(MATCH(SMALL(Firms!$Y$5:$Y$1004,190),Firms!$W$5:$W$1004,0),"")</f>
        <v/>
      </c>
    </row>
    <row r="199">
      <c r="B199" s="78">
        <f>IF($O199="","",INDEX(Firms!$A$5:$A$1004,$O199))</f>
        <v/>
      </c>
      <c r="C199" s="79">
        <f>IF($O199="","",INDEX(Firms!$N$5:$N$1004,$O199)&amp;"")</f>
        <v/>
      </c>
      <c r="D199" s="79">
        <f>IF($O199="","",INDEX(Firms!$P$5:$P$1004,$O199)&amp;"")</f>
        <v/>
      </c>
      <c r="E199" s="79">
        <f>IF($O199="","",INDEX(Firms!$O$5:$O$1004,$O199)&amp;"")</f>
        <v/>
      </c>
      <c r="F199" s="50">
        <f>IF($O199="","",IF(INDEX(Firms!$F$5:$F$1004,$O199)="","—",INDEX(Firms!$F$5:$F$1004,$O199)))</f>
        <v/>
      </c>
      <c r="G199" s="50">
        <f>IF($O199="","",IF(INDEX(Firms!$G$5:$G$1004,$O199)="","—",INDEX(Firms!$G$5:$G$1004,$O199)))</f>
        <v/>
      </c>
      <c r="H199" s="50">
        <f>IF($O199="","",IF(INDEX(Firms!$H$5:$H$1004,$O199)="","—",INDEX(Firms!$H$5:$H$1004,$O199)))</f>
        <v/>
      </c>
      <c r="I199" s="50">
        <f>IF($O199="","",IF(INDEX(Firms!$I$5:$I$1004,$O199)="","—",INDEX(Firms!$I$5:$I$1004,$O199)))</f>
        <v/>
      </c>
      <c r="J199" s="50">
        <f>IF($O199="","",IF(INDEX(Firms!$J$5:$J$1004,$O199)="","—",INDEX(Firms!$J$5:$J$1004,$O199)))</f>
        <v/>
      </c>
      <c r="K199" s="50">
        <f>IF($O199="","",IF(INDEX(Firms!$K$5:$K$1004,$O199)="","—",INDEX(Firms!$K$5:$K$1004,$O199)))</f>
        <v/>
      </c>
      <c r="L199" s="50">
        <f>IF($O199="","",IF(INDEX(Firms!$L$5:$L$1004,$O199)="","—",INDEX(Firms!$L$5:$L$1004,$O199)))</f>
        <v/>
      </c>
      <c r="M199" s="50">
        <f>IF($O199="","",IF(INDEX(Firms!$M$5:$M$1004,$O199)="","—",INDEX(Firms!$M$5:$M$1004,$O199)))</f>
        <v/>
      </c>
      <c r="O199">
        <f>IFERROR(MATCH(SMALL(Firms!$Y$5:$Y$1004,191),Firms!$W$5:$W$1004,0),"")</f>
        <v/>
      </c>
    </row>
    <row r="200">
      <c r="B200" s="78">
        <f>IF($O200="","",INDEX(Firms!$A$5:$A$1004,$O200))</f>
        <v/>
      </c>
      <c r="C200" s="79">
        <f>IF($O200="","",INDEX(Firms!$N$5:$N$1004,$O200)&amp;"")</f>
        <v/>
      </c>
      <c r="D200" s="79">
        <f>IF($O200="","",INDEX(Firms!$P$5:$P$1004,$O200)&amp;"")</f>
        <v/>
      </c>
      <c r="E200" s="79">
        <f>IF($O200="","",INDEX(Firms!$O$5:$O$1004,$O200)&amp;"")</f>
        <v/>
      </c>
      <c r="F200" s="50">
        <f>IF($O200="","",IF(INDEX(Firms!$F$5:$F$1004,$O200)="","—",INDEX(Firms!$F$5:$F$1004,$O200)))</f>
        <v/>
      </c>
      <c r="G200" s="50">
        <f>IF($O200="","",IF(INDEX(Firms!$G$5:$G$1004,$O200)="","—",INDEX(Firms!$G$5:$G$1004,$O200)))</f>
        <v/>
      </c>
      <c r="H200" s="50">
        <f>IF($O200="","",IF(INDEX(Firms!$H$5:$H$1004,$O200)="","—",INDEX(Firms!$H$5:$H$1004,$O200)))</f>
        <v/>
      </c>
      <c r="I200" s="50">
        <f>IF($O200="","",IF(INDEX(Firms!$I$5:$I$1004,$O200)="","—",INDEX(Firms!$I$5:$I$1004,$O200)))</f>
        <v/>
      </c>
      <c r="J200" s="50">
        <f>IF($O200="","",IF(INDEX(Firms!$J$5:$J$1004,$O200)="","—",INDEX(Firms!$J$5:$J$1004,$O200)))</f>
        <v/>
      </c>
      <c r="K200" s="50">
        <f>IF($O200="","",IF(INDEX(Firms!$K$5:$K$1004,$O200)="","—",INDEX(Firms!$K$5:$K$1004,$O200)))</f>
        <v/>
      </c>
      <c r="L200" s="50">
        <f>IF($O200="","",IF(INDEX(Firms!$L$5:$L$1004,$O200)="","—",INDEX(Firms!$L$5:$L$1004,$O200)))</f>
        <v/>
      </c>
      <c r="M200" s="50">
        <f>IF($O200="","",IF(INDEX(Firms!$M$5:$M$1004,$O200)="","—",INDEX(Firms!$M$5:$M$1004,$O200)))</f>
        <v/>
      </c>
      <c r="O200">
        <f>IFERROR(MATCH(SMALL(Firms!$Y$5:$Y$1004,192),Firms!$W$5:$W$1004,0),"")</f>
        <v/>
      </c>
    </row>
    <row r="201">
      <c r="B201" s="78">
        <f>IF($O201="","",INDEX(Firms!$A$5:$A$1004,$O201))</f>
        <v/>
      </c>
      <c r="C201" s="79">
        <f>IF($O201="","",INDEX(Firms!$N$5:$N$1004,$O201)&amp;"")</f>
        <v/>
      </c>
      <c r="D201" s="79">
        <f>IF($O201="","",INDEX(Firms!$P$5:$P$1004,$O201)&amp;"")</f>
        <v/>
      </c>
      <c r="E201" s="79">
        <f>IF($O201="","",INDEX(Firms!$O$5:$O$1004,$O201)&amp;"")</f>
        <v/>
      </c>
      <c r="F201" s="50">
        <f>IF($O201="","",IF(INDEX(Firms!$F$5:$F$1004,$O201)="","—",INDEX(Firms!$F$5:$F$1004,$O201)))</f>
        <v/>
      </c>
      <c r="G201" s="50">
        <f>IF($O201="","",IF(INDEX(Firms!$G$5:$G$1004,$O201)="","—",INDEX(Firms!$G$5:$G$1004,$O201)))</f>
        <v/>
      </c>
      <c r="H201" s="50">
        <f>IF($O201="","",IF(INDEX(Firms!$H$5:$H$1004,$O201)="","—",INDEX(Firms!$H$5:$H$1004,$O201)))</f>
        <v/>
      </c>
      <c r="I201" s="50">
        <f>IF($O201="","",IF(INDEX(Firms!$I$5:$I$1004,$O201)="","—",INDEX(Firms!$I$5:$I$1004,$O201)))</f>
        <v/>
      </c>
      <c r="J201" s="50">
        <f>IF($O201="","",IF(INDEX(Firms!$J$5:$J$1004,$O201)="","—",INDEX(Firms!$J$5:$J$1004,$O201)))</f>
        <v/>
      </c>
      <c r="K201" s="50">
        <f>IF($O201="","",IF(INDEX(Firms!$K$5:$K$1004,$O201)="","—",INDEX(Firms!$K$5:$K$1004,$O201)))</f>
        <v/>
      </c>
      <c r="L201" s="50">
        <f>IF($O201="","",IF(INDEX(Firms!$L$5:$L$1004,$O201)="","—",INDEX(Firms!$L$5:$L$1004,$O201)))</f>
        <v/>
      </c>
      <c r="M201" s="50">
        <f>IF($O201="","",IF(INDEX(Firms!$M$5:$M$1004,$O201)="","—",INDEX(Firms!$M$5:$M$1004,$O201)))</f>
        <v/>
      </c>
      <c r="O201">
        <f>IFERROR(MATCH(SMALL(Firms!$Y$5:$Y$1004,193),Firms!$W$5:$W$1004,0),"")</f>
        <v/>
      </c>
    </row>
    <row r="202">
      <c r="B202" s="78">
        <f>IF($O202="","",INDEX(Firms!$A$5:$A$1004,$O202))</f>
        <v/>
      </c>
      <c r="C202" s="79">
        <f>IF($O202="","",INDEX(Firms!$N$5:$N$1004,$O202)&amp;"")</f>
        <v/>
      </c>
      <c r="D202" s="79">
        <f>IF($O202="","",INDEX(Firms!$P$5:$P$1004,$O202)&amp;"")</f>
        <v/>
      </c>
      <c r="E202" s="79">
        <f>IF($O202="","",INDEX(Firms!$O$5:$O$1004,$O202)&amp;"")</f>
        <v/>
      </c>
      <c r="F202" s="50">
        <f>IF($O202="","",IF(INDEX(Firms!$F$5:$F$1004,$O202)="","—",INDEX(Firms!$F$5:$F$1004,$O202)))</f>
        <v/>
      </c>
      <c r="G202" s="50">
        <f>IF($O202="","",IF(INDEX(Firms!$G$5:$G$1004,$O202)="","—",INDEX(Firms!$G$5:$G$1004,$O202)))</f>
        <v/>
      </c>
      <c r="H202" s="50">
        <f>IF($O202="","",IF(INDEX(Firms!$H$5:$H$1004,$O202)="","—",INDEX(Firms!$H$5:$H$1004,$O202)))</f>
        <v/>
      </c>
      <c r="I202" s="50">
        <f>IF($O202="","",IF(INDEX(Firms!$I$5:$I$1004,$O202)="","—",INDEX(Firms!$I$5:$I$1004,$O202)))</f>
        <v/>
      </c>
      <c r="J202" s="50">
        <f>IF($O202="","",IF(INDEX(Firms!$J$5:$J$1004,$O202)="","—",INDEX(Firms!$J$5:$J$1004,$O202)))</f>
        <v/>
      </c>
      <c r="K202" s="50">
        <f>IF($O202="","",IF(INDEX(Firms!$K$5:$K$1004,$O202)="","—",INDEX(Firms!$K$5:$K$1004,$O202)))</f>
        <v/>
      </c>
      <c r="L202" s="50">
        <f>IF($O202="","",IF(INDEX(Firms!$L$5:$L$1004,$O202)="","—",INDEX(Firms!$L$5:$L$1004,$O202)))</f>
        <v/>
      </c>
      <c r="M202" s="50">
        <f>IF($O202="","",IF(INDEX(Firms!$M$5:$M$1004,$O202)="","—",INDEX(Firms!$M$5:$M$1004,$O202)))</f>
        <v/>
      </c>
      <c r="O202">
        <f>IFERROR(MATCH(SMALL(Firms!$Y$5:$Y$1004,194),Firms!$W$5:$W$1004,0),"")</f>
        <v/>
      </c>
    </row>
    <row r="203">
      <c r="B203" s="78">
        <f>IF($O203="","",INDEX(Firms!$A$5:$A$1004,$O203))</f>
        <v/>
      </c>
      <c r="C203" s="79">
        <f>IF($O203="","",INDEX(Firms!$N$5:$N$1004,$O203)&amp;"")</f>
        <v/>
      </c>
      <c r="D203" s="79">
        <f>IF($O203="","",INDEX(Firms!$P$5:$P$1004,$O203)&amp;"")</f>
        <v/>
      </c>
      <c r="E203" s="79">
        <f>IF($O203="","",INDEX(Firms!$O$5:$O$1004,$O203)&amp;"")</f>
        <v/>
      </c>
      <c r="F203" s="50">
        <f>IF($O203="","",IF(INDEX(Firms!$F$5:$F$1004,$O203)="","—",INDEX(Firms!$F$5:$F$1004,$O203)))</f>
        <v/>
      </c>
      <c r="G203" s="50">
        <f>IF($O203="","",IF(INDEX(Firms!$G$5:$G$1004,$O203)="","—",INDEX(Firms!$G$5:$G$1004,$O203)))</f>
        <v/>
      </c>
      <c r="H203" s="50">
        <f>IF($O203="","",IF(INDEX(Firms!$H$5:$H$1004,$O203)="","—",INDEX(Firms!$H$5:$H$1004,$O203)))</f>
        <v/>
      </c>
      <c r="I203" s="50">
        <f>IF($O203="","",IF(INDEX(Firms!$I$5:$I$1004,$O203)="","—",INDEX(Firms!$I$5:$I$1004,$O203)))</f>
        <v/>
      </c>
      <c r="J203" s="50">
        <f>IF($O203="","",IF(INDEX(Firms!$J$5:$J$1004,$O203)="","—",INDEX(Firms!$J$5:$J$1004,$O203)))</f>
        <v/>
      </c>
      <c r="K203" s="50">
        <f>IF($O203="","",IF(INDEX(Firms!$K$5:$K$1004,$O203)="","—",INDEX(Firms!$K$5:$K$1004,$O203)))</f>
        <v/>
      </c>
      <c r="L203" s="50">
        <f>IF($O203="","",IF(INDEX(Firms!$L$5:$L$1004,$O203)="","—",INDEX(Firms!$L$5:$L$1004,$O203)))</f>
        <v/>
      </c>
      <c r="M203" s="50">
        <f>IF($O203="","",IF(INDEX(Firms!$M$5:$M$1004,$O203)="","—",INDEX(Firms!$M$5:$M$1004,$O203)))</f>
        <v/>
      </c>
      <c r="O203">
        <f>IFERROR(MATCH(SMALL(Firms!$Y$5:$Y$1004,195),Firms!$W$5:$W$1004,0),"")</f>
        <v/>
      </c>
    </row>
    <row r="204">
      <c r="B204" s="78">
        <f>IF($O204="","",INDEX(Firms!$A$5:$A$1004,$O204))</f>
        <v/>
      </c>
      <c r="C204" s="79">
        <f>IF($O204="","",INDEX(Firms!$N$5:$N$1004,$O204)&amp;"")</f>
        <v/>
      </c>
      <c r="D204" s="79">
        <f>IF($O204="","",INDEX(Firms!$P$5:$P$1004,$O204)&amp;"")</f>
        <v/>
      </c>
      <c r="E204" s="79">
        <f>IF($O204="","",INDEX(Firms!$O$5:$O$1004,$O204)&amp;"")</f>
        <v/>
      </c>
      <c r="F204" s="50">
        <f>IF($O204="","",IF(INDEX(Firms!$F$5:$F$1004,$O204)="","—",INDEX(Firms!$F$5:$F$1004,$O204)))</f>
        <v/>
      </c>
      <c r="G204" s="50">
        <f>IF($O204="","",IF(INDEX(Firms!$G$5:$G$1004,$O204)="","—",INDEX(Firms!$G$5:$G$1004,$O204)))</f>
        <v/>
      </c>
      <c r="H204" s="50">
        <f>IF($O204="","",IF(INDEX(Firms!$H$5:$H$1004,$O204)="","—",INDEX(Firms!$H$5:$H$1004,$O204)))</f>
        <v/>
      </c>
      <c r="I204" s="50">
        <f>IF($O204="","",IF(INDEX(Firms!$I$5:$I$1004,$O204)="","—",INDEX(Firms!$I$5:$I$1004,$O204)))</f>
        <v/>
      </c>
      <c r="J204" s="50">
        <f>IF($O204="","",IF(INDEX(Firms!$J$5:$J$1004,$O204)="","—",INDEX(Firms!$J$5:$J$1004,$O204)))</f>
        <v/>
      </c>
      <c r="K204" s="50">
        <f>IF($O204="","",IF(INDEX(Firms!$K$5:$K$1004,$O204)="","—",INDEX(Firms!$K$5:$K$1004,$O204)))</f>
        <v/>
      </c>
      <c r="L204" s="50">
        <f>IF($O204="","",IF(INDEX(Firms!$L$5:$L$1004,$O204)="","—",INDEX(Firms!$L$5:$L$1004,$O204)))</f>
        <v/>
      </c>
      <c r="M204" s="50">
        <f>IF($O204="","",IF(INDEX(Firms!$M$5:$M$1004,$O204)="","—",INDEX(Firms!$M$5:$M$1004,$O204)))</f>
        <v/>
      </c>
      <c r="O204">
        <f>IFERROR(MATCH(SMALL(Firms!$Y$5:$Y$1004,196),Firms!$W$5:$W$1004,0),"")</f>
        <v/>
      </c>
    </row>
    <row r="205">
      <c r="B205" s="78">
        <f>IF($O205="","",INDEX(Firms!$A$5:$A$1004,$O205))</f>
        <v/>
      </c>
      <c r="C205" s="79">
        <f>IF($O205="","",INDEX(Firms!$N$5:$N$1004,$O205)&amp;"")</f>
        <v/>
      </c>
      <c r="D205" s="79">
        <f>IF($O205="","",INDEX(Firms!$P$5:$P$1004,$O205)&amp;"")</f>
        <v/>
      </c>
      <c r="E205" s="79">
        <f>IF($O205="","",INDEX(Firms!$O$5:$O$1004,$O205)&amp;"")</f>
        <v/>
      </c>
      <c r="F205" s="50">
        <f>IF($O205="","",IF(INDEX(Firms!$F$5:$F$1004,$O205)="","—",INDEX(Firms!$F$5:$F$1004,$O205)))</f>
        <v/>
      </c>
      <c r="G205" s="50">
        <f>IF($O205="","",IF(INDEX(Firms!$G$5:$G$1004,$O205)="","—",INDEX(Firms!$G$5:$G$1004,$O205)))</f>
        <v/>
      </c>
      <c r="H205" s="50">
        <f>IF($O205="","",IF(INDEX(Firms!$H$5:$H$1004,$O205)="","—",INDEX(Firms!$H$5:$H$1004,$O205)))</f>
        <v/>
      </c>
      <c r="I205" s="50">
        <f>IF($O205="","",IF(INDEX(Firms!$I$5:$I$1004,$O205)="","—",INDEX(Firms!$I$5:$I$1004,$O205)))</f>
        <v/>
      </c>
      <c r="J205" s="50">
        <f>IF($O205="","",IF(INDEX(Firms!$J$5:$J$1004,$O205)="","—",INDEX(Firms!$J$5:$J$1004,$O205)))</f>
        <v/>
      </c>
      <c r="K205" s="50">
        <f>IF($O205="","",IF(INDEX(Firms!$K$5:$K$1004,$O205)="","—",INDEX(Firms!$K$5:$K$1004,$O205)))</f>
        <v/>
      </c>
      <c r="L205" s="50">
        <f>IF($O205="","",IF(INDEX(Firms!$L$5:$L$1004,$O205)="","—",INDEX(Firms!$L$5:$L$1004,$O205)))</f>
        <v/>
      </c>
      <c r="M205" s="50">
        <f>IF($O205="","",IF(INDEX(Firms!$M$5:$M$1004,$O205)="","—",INDEX(Firms!$M$5:$M$1004,$O205)))</f>
        <v/>
      </c>
      <c r="O205">
        <f>IFERROR(MATCH(SMALL(Firms!$Y$5:$Y$1004,197),Firms!$W$5:$W$1004,0),"")</f>
        <v/>
      </c>
    </row>
    <row r="206">
      <c r="B206" s="78">
        <f>IF($O206="","",INDEX(Firms!$A$5:$A$1004,$O206))</f>
        <v/>
      </c>
      <c r="C206" s="79">
        <f>IF($O206="","",INDEX(Firms!$N$5:$N$1004,$O206)&amp;"")</f>
        <v/>
      </c>
      <c r="D206" s="79">
        <f>IF($O206="","",INDEX(Firms!$P$5:$P$1004,$O206)&amp;"")</f>
        <v/>
      </c>
      <c r="E206" s="79">
        <f>IF($O206="","",INDEX(Firms!$O$5:$O$1004,$O206)&amp;"")</f>
        <v/>
      </c>
      <c r="F206" s="50">
        <f>IF($O206="","",IF(INDEX(Firms!$F$5:$F$1004,$O206)="","—",INDEX(Firms!$F$5:$F$1004,$O206)))</f>
        <v/>
      </c>
      <c r="G206" s="50">
        <f>IF($O206="","",IF(INDEX(Firms!$G$5:$G$1004,$O206)="","—",INDEX(Firms!$G$5:$G$1004,$O206)))</f>
        <v/>
      </c>
      <c r="H206" s="50">
        <f>IF($O206="","",IF(INDEX(Firms!$H$5:$H$1004,$O206)="","—",INDEX(Firms!$H$5:$H$1004,$O206)))</f>
        <v/>
      </c>
      <c r="I206" s="50">
        <f>IF($O206="","",IF(INDEX(Firms!$I$5:$I$1004,$O206)="","—",INDEX(Firms!$I$5:$I$1004,$O206)))</f>
        <v/>
      </c>
      <c r="J206" s="50">
        <f>IF($O206="","",IF(INDEX(Firms!$J$5:$J$1004,$O206)="","—",INDEX(Firms!$J$5:$J$1004,$O206)))</f>
        <v/>
      </c>
      <c r="K206" s="50">
        <f>IF($O206="","",IF(INDEX(Firms!$K$5:$K$1004,$O206)="","—",INDEX(Firms!$K$5:$K$1004,$O206)))</f>
        <v/>
      </c>
      <c r="L206" s="50">
        <f>IF($O206="","",IF(INDEX(Firms!$L$5:$L$1004,$O206)="","—",INDEX(Firms!$L$5:$L$1004,$O206)))</f>
        <v/>
      </c>
      <c r="M206" s="50">
        <f>IF($O206="","",IF(INDEX(Firms!$M$5:$M$1004,$O206)="","—",INDEX(Firms!$M$5:$M$1004,$O206)))</f>
        <v/>
      </c>
      <c r="O206">
        <f>IFERROR(MATCH(SMALL(Firms!$Y$5:$Y$1004,198),Firms!$W$5:$W$1004,0),"")</f>
        <v/>
      </c>
    </row>
    <row r="207">
      <c r="B207" s="78">
        <f>IF($O207="","",INDEX(Firms!$A$5:$A$1004,$O207))</f>
        <v/>
      </c>
      <c r="C207" s="79">
        <f>IF($O207="","",INDEX(Firms!$N$5:$N$1004,$O207)&amp;"")</f>
        <v/>
      </c>
      <c r="D207" s="79">
        <f>IF($O207="","",INDEX(Firms!$P$5:$P$1004,$O207)&amp;"")</f>
        <v/>
      </c>
      <c r="E207" s="79">
        <f>IF($O207="","",INDEX(Firms!$O$5:$O$1004,$O207)&amp;"")</f>
        <v/>
      </c>
      <c r="F207" s="50">
        <f>IF($O207="","",IF(INDEX(Firms!$F$5:$F$1004,$O207)="","—",INDEX(Firms!$F$5:$F$1004,$O207)))</f>
        <v/>
      </c>
      <c r="G207" s="50">
        <f>IF($O207="","",IF(INDEX(Firms!$G$5:$G$1004,$O207)="","—",INDEX(Firms!$G$5:$G$1004,$O207)))</f>
        <v/>
      </c>
      <c r="H207" s="50">
        <f>IF($O207="","",IF(INDEX(Firms!$H$5:$H$1004,$O207)="","—",INDEX(Firms!$H$5:$H$1004,$O207)))</f>
        <v/>
      </c>
      <c r="I207" s="50">
        <f>IF($O207="","",IF(INDEX(Firms!$I$5:$I$1004,$O207)="","—",INDEX(Firms!$I$5:$I$1004,$O207)))</f>
        <v/>
      </c>
      <c r="J207" s="50">
        <f>IF($O207="","",IF(INDEX(Firms!$J$5:$J$1004,$O207)="","—",INDEX(Firms!$J$5:$J$1004,$O207)))</f>
        <v/>
      </c>
      <c r="K207" s="50">
        <f>IF($O207="","",IF(INDEX(Firms!$K$5:$K$1004,$O207)="","—",INDEX(Firms!$K$5:$K$1004,$O207)))</f>
        <v/>
      </c>
      <c r="L207" s="50">
        <f>IF($O207="","",IF(INDEX(Firms!$L$5:$L$1004,$O207)="","—",INDEX(Firms!$L$5:$L$1004,$O207)))</f>
        <v/>
      </c>
      <c r="M207" s="50">
        <f>IF($O207="","",IF(INDEX(Firms!$M$5:$M$1004,$O207)="","—",INDEX(Firms!$M$5:$M$1004,$O207)))</f>
        <v/>
      </c>
      <c r="O207">
        <f>IFERROR(MATCH(SMALL(Firms!$Y$5:$Y$1004,199),Firms!$W$5:$W$1004,0),"")</f>
        <v/>
      </c>
    </row>
    <row r="208">
      <c r="B208" s="78">
        <f>IF($O208="","",INDEX(Firms!$A$5:$A$1004,$O208))</f>
        <v/>
      </c>
      <c r="C208" s="79">
        <f>IF($O208="","",INDEX(Firms!$N$5:$N$1004,$O208)&amp;"")</f>
        <v/>
      </c>
      <c r="D208" s="79">
        <f>IF($O208="","",INDEX(Firms!$P$5:$P$1004,$O208)&amp;"")</f>
        <v/>
      </c>
      <c r="E208" s="79">
        <f>IF($O208="","",INDEX(Firms!$O$5:$O$1004,$O208)&amp;"")</f>
        <v/>
      </c>
      <c r="F208" s="50">
        <f>IF($O208="","",IF(INDEX(Firms!$F$5:$F$1004,$O208)="","—",INDEX(Firms!$F$5:$F$1004,$O208)))</f>
        <v/>
      </c>
      <c r="G208" s="50">
        <f>IF($O208="","",IF(INDEX(Firms!$G$5:$G$1004,$O208)="","—",INDEX(Firms!$G$5:$G$1004,$O208)))</f>
        <v/>
      </c>
      <c r="H208" s="50">
        <f>IF($O208="","",IF(INDEX(Firms!$H$5:$H$1004,$O208)="","—",INDEX(Firms!$H$5:$H$1004,$O208)))</f>
        <v/>
      </c>
      <c r="I208" s="50">
        <f>IF($O208="","",IF(INDEX(Firms!$I$5:$I$1004,$O208)="","—",INDEX(Firms!$I$5:$I$1004,$O208)))</f>
        <v/>
      </c>
      <c r="J208" s="50">
        <f>IF($O208="","",IF(INDEX(Firms!$J$5:$J$1004,$O208)="","—",INDEX(Firms!$J$5:$J$1004,$O208)))</f>
        <v/>
      </c>
      <c r="K208" s="50">
        <f>IF($O208="","",IF(INDEX(Firms!$K$5:$K$1004,$O208)="","—",INDEX(Firms!$K$5:$K$1004,$O208)))</f>
        <v/>
      </c>
      <c r="L208" s="50">
        <f>IF($O208="","",IF(INDEX(Firms!$L$5:$L$1004,$O208)="","—",INDEX(Firms!$L$5:$L$1004,$O208)))</f>
        <v/>
      </c>
      <c r="M208" s="50">
        <f>IF($O208="","",IF(INDEX(Firms!$M$5:$M$1004,$O208)="","—",INDEX(Firms!$M$5:$M$1004,$O208)))</f>
        <v/>
      </c>
      <c r="O208">
        <f>IFERROR(MATCH(SMALL(Firms!$Y$5:$Y$1004,200),Firms!$W$5:$W$1004,0),"")</f>
        <v/>
      </c>
    </row>
    <row r="209">
      <c r="B209" s="78">
        <f>IF($O209="","",INDEX(Firms!$A$5:$A$1004,$O209))</f>
        <v/>
      </c>
      <c r="C209" s="79">
        <f>IF($O209="","",INDEX(Firms!$N$5:$N$1004,$O209)&amp;"")</f>
        <v/>
      </c>
      <c r="D209" s="79">
        <f>IF($O209="","",INDEX(Firms!$P$5:$P$1004,$O209)&amp;"")</f>
        <v/>
      </c>
      <c r="E209" s="79">
        <f>IF($O209="","",INDEX(Firms!$O$5:$O$1004,$O209)&amp;"")</f>
        <v/>
      </c>
      <c r="F209" s="50">
        <f>IF($O209="","",IF(INDEX(Firms!$F$5:$F$1004,$O209)="","—",INDEX(Firms!$F$5:$F$1004,$O209)))</f>
        <v/>
      </c>
      <c r="G209" s="50">
        <f>IF($O209="","",IF(INDEX(Firms!$G$5:$G$1004,$O209)="","—",INDEX(Firms!$G$5:$G$1004,$O209)))</f>
        <v/>
      </c>
      <c r="H209" s="50">
        <f>IF($O209="","",IF(INDEX(Firms!$H$5:$H$1004,$O209)="","—",INDEX(Firms!$H$5:$H$1004,$O209)))</f>
        <v/>
      </c>
      <c r="I209" s="50">
        <f>IF($O209="","",IF(INDEX(Firms!$I$5:$I$1004,$O209)="","—",INDEX(Firms!$I$5:$I$1004,$O209)))</f>
        <v/>
      </c>
      <c r="J209" s="50">
        <f>IF($O209="","",IF(INDEX(Firms!$J$5:$J$1004,$O209)="","—",INDEX(Firms!$J$5:$J$1004,$O209)))</f>
        <v/>
      </c>
      <c r="K209" s="50">
        <f>IF($O209="","",IF(INDEX(Firms!$K$5:$K$1004,$O209)="","—",INDEX(Firms!$K$5:$K$1004,$O209)))</f>
        <v/>
      </c>
      <c r="L209" s="50">
        <f>IF($O209="","",IF(INDEX(Firms!$L$5:$L$1004,$O209)="","—",INDEX(Firms!$L$5:$L$1004,$O209)))</f>
        <v/>
      </c>
      <c r="M209" s="50">
        <f>IF($O209="","",IF(INDEX(Firms!$M$5:$M$1004,$O209)="","—",INDEX(Firms!$M$5:$M$1004,$O209)))</f>
        <v/>
      </c>
      <c r="O209">
        <f>IFERROR(MATCH(SMALL(Firms!$Y$5:$Y$1004,201),Firms!$W$5:$W$1004,0),"")</f>
        <v/>
      </c>
    </row>
    <row r="210">
      <c r="B210" s="78">
        <f>IF($O210="","",INDEX(Firms!$A$5:$A$1004,$O210))</f>
        <v/>
      </c>
      <c r="C210" s="79">
        <f>IF($O210="","",INDEX(Firms!$N$5:$N$1004,$O210)&amp;"")</f>
        <v/>
      </c>
      <c r="D210" s="79">
        <f>IF($O210="","",INDEX(Firms!$P$5:$P$1004,$O210)&amp;"")</f>
        <v/>
      </c>
      <c r="E210" s="79">
        <f>IF($O210="","",INDEX(Firms!$O$5:$O$1004,$O210)&amp;"")</f>
        <v/>
      </c>
      <c r="F210" s="50">
        <f>IF($O210="","",IF(INDEX(Firms!$F$5:$F$1004,$O210)="","—",INDEX(Firms!$F$5:$F$1004,$O210)))</f>
        <v/>
      </c>
      <c r="G210" s="50">
        <f>IF($O210="","",IF(INDEX(Firms!$G$5:$G$1004,$O210)="","—",INDEX(Firms!$G$5:$G$1004,$O210)))</f>
        <v/>
      </c>
      <c r="H210" s="50">
        <f>IF($O210="","",IF(INDEX(Firms!$H$5:$H$1004,$O210)="","—",INDEX(Firms!$H$5:$H$1004,$O210)))</f>
        <v/>
      </c>
      <c r="I210" s="50">
        <f>IF($O210="","",IF(INDEX(Firms!$I$5:$I$1004,$O210)="","—",INDEX(Firms!$I$5:$I$1004,$O210)))</f>
        <v/>
      </c>
      <c r="J210" s="50">
        <f>IF($O210="","",IF(INDEX(Firms!$J$5:$J$1004,$O210)="","—",INDEX(Firms!$J$5:$J$1004,$O210)))</f>
        <v/>
      </c>
      <c r="K210" s="50">
        <f>IF($O210="","",IF(INDEX(Firms!$K$5:$K$1004,$O210)="","—",INDEX(Firms!$K$5:$K$1004,$O210)))</f>
        <v/>
      </c>
      <c r="L210" s="50">
        <f>IF($O210="","",IF(INDEX(Firms!$L$5:$L$1004,$O210)="","—",INDEX(Firms!$L$5:$L$1004,$O210)))</f>
        <v/>
      </c>
      <c r="M210" s="50">
        <f>IF($O210="","",IF(INDEX(Firms!$M$5:$M$1004,$O210)="","—",INDEX(Firms!$M$5:$M$1004,$O210)))</f>
        <v/>
      </c>
      <c r="O210">
        <f>IFERROR(MATCH(SMALL(Firms!$Y$5:$Y$1004,202),Firms!$W$5:$W$1004,0),"")</f>
        <v/>
      </c>
    </row>
    <row r="211">
      <c r="B211" s="78">
        <f>IF($O211="","",INDEX(Firms!$A$5:$A$1004,$O211))</f>
        <v/>
      </c>
      <c r="C211" s="79">
        <f>IF($O211="","",INDEX(Firms!$N$5:$N$1004,$O211)&amp;"")</f>
        <v/>
      </c>
      <c r="D211" s="79">
        <f>IF($O211="","",INDEX(Firms!$P$5:$P$1004,$O211)&amp;"")</f>
        <v/>
      </c>
      <c r="E211" s="79">
        <f>IF($O211="","",INDEX(Firms!$O$5:$O$1004,$O211)&amp;"")</f>
        <v/>
      </c>
      <c r="F211" s="50">
        <f>IF($O211="","",IF(INDEX(Firms!$F$5:$F$1004,$O211)="","—",INDEX(Firms!$F$5:$F$1004,$O211)))</f>
        <v/>
      </c>
      <c r="G211" s="50">
        <f>IF($O211="","",IF(INDEX(Firms!$G$5:$G$1004,$O211)="","—",INDEX(Firms!$G$5:$G$1004,$O211)))</f>
        <v/>
      </c>
      <c r="H211" s="50">
        <f>IF($O211="","",IF(INDEX(Firms!$H$5:$H$1004,$O211)="","—",INDEX(Firms!$H$5:$H$1004,$O211)))</f>
        <v/>
      </c>
      <c r="I211" s="50">
        <f>IF($O211="","",IF(INDEX(Firms!$I$5:$I$1004,$O211)="","—",INDEX(Firms!$I$5:$I$1004,$O211)))</f>
        <v/>
      </c>
      <c r="J211" s="50">
        <f>IF($O211="","",IF(INDEX(Firms!$J$5:$J$1004,$O211)="","—",INDEX(Firms!$J$5:$J$1004,$O211)))</f>
        <v/>
      </c>
      <c r="K211" s="50">
        <f>IF($O211="","",IF(INDEX(Firms!$K$5:$K$1004,$O211)="","—",INDEX(Firms!$K$5:$K$1004,$O211)))</f>
        <v/>
      </c>
      <c r="L211" s="50">
        <f>IF($O211="","",IF(INDEX(Firms!$L$5:$L$1004,$O211)="","—",INDEX(Firms!$L$5:$L$1004,$O211)))</f>
        <v/>
      </c>
      <c r="M211" s="50">
        <f>IF($O211="","",IF(INDEX(Firms!$M$5:$M$1004,$O211)="","—",INDEX(Firms!$M$5:$M$1004,$O211)))</f>
        <v/>
      </c>
      <c r="O211">
        <f>IFERROR(MATCH(SMALL(Firms!$Y$5:$Y$1004,203),Firms!$W$5:$W$1004,0),"")</f>
        <v/>
      </c>
    </row>
    <row r="212">
      <c r="B212" s="78">
        <f>IF($O212="","",INDEX(Firms!$A$5:$A$1004,$O212))</f>
        <v/>
      </c>
      <c r="C212" s="79">
        <f>IF($O212="","",INDEX(Firms!$N$5:$N$1004,$O212)&amp;"")</f>
        <v/>
      </c>
      <c r="D212" s="79">
        <f>IF($O212="","",INDEX(Firms!$P$5:$P$1004,$O212)&amp;"")</f>
        <v/>
      </c>
      <c r="E212" s="79">
        <f>IF($O212="","",INDEX(Firms!$O$5:$O$1004,$O212)&amp;"")</f>
        <v/>
      </c>
      <c r="F212" s="50">
        <f>IF($O212="","",IF(INDEX(Firms!$F$5:$F$1004,$O212)="","—",INDEX(Firms!$F$5:$F$1004,$O212)))</f>
        <v/>
      </c>
      <c r="G212" s="50">
        <f>IF($O212="","",IF(INDEX(Firms!$G$5:$G$1004,$O212)="","—",INDEX(Firms!$G$5:$G$1004,$O212)))</f>
        <v/>
      </c>
      <c r="H212" s="50">
        <f>IF($O212="","",IF(INDEX(Firms!$H$5:$H$1004,$O212)="","—",INDEX(Firms!$H$5:$H$1004,$O212)))</f>
        <v/>
      </c>
      <c r="I212" s="50">
        <f>IF($O212="","",IF(INDEX(Firms!$I$5:$I$1004,$O212)="","—",INDEX(Firms!$I$5:$I$1004,$O212)))</f>
        <v/>
      </c>
      <c r="J212" s="50">
        <f>IF($O212="","",IF(INDEX(Firms!$J$5:$J$1004,$O212)="","—",INDEX(Firms!$J$5:$J$1004,$O212)))</f>
        <v/>
      </c>
      <c r="K212" s="50">
        <f>IF($O212="","",IF(INDEX(Firms!$K$5:$K$1004,$O212)="","—",INDEX(Firms!$K$5:$K$1004,$O212)))</f>
        <v/>
      </c>
      <c r="L212" s="50">
        <f>IF($O212="","",IF(INDEX(Firms!$L$5:$L$1004,$O212)="","—",INDEX(Firms!$L$5:$L$1004,$O212)))</f>
        <v/>
      </c>
      <c r="M212" s="50">
        <f>IF($O212="","",IF(INDEX(Firms!$M$5:$M$1004,$O212)="","—",INDEX(Firms!$M$5:$M$1004,$O212)))</f>
        <v/>
      </c>
      <c r="O212">
        <f>IFERROR(MATCH(SMALL(Firms!$Y$5:$Y$1004,204),Firms!$W$5:$W$1004,0),"")</f>
        <v/>
      </c>
    </row>
    <row r="213">
      <c r="B213" s="78">
        <f>IF($O213="","",INDEX(Firms!$A$5:$A$1004,$O213))</f>
        <v/>
      </c>
      <c r="C213" s="79">
        <f>IF($O213="","",INDEX(Firms!$N$5:$N$1004,$O213)&amp;"")</f>
        <v/>
      </c>
      <c r="D213" s="79">
        <f>IF($O213="","",INDEX(Firms!$P$5:$P$1004,$O213)&amp;"")</f>
        <v/>
      </c>
      <c r="E213" s="79">
        <f>IF($O213="","",INDEX(Firms!$O$5:$O$1004,$O213)&amp;"")</f>
        <v/>
      </c>
      <c r="F213" s="50">
        <f>IF($O213="","",IF(INDEX(Firms!$F$5:$F$1004,$O213)="","—",INDEX(Firms!$F$5:$F$1004,$O213)))</f>
        <v/>
      </c>
      <c r="G213" s="50">
        <f>IF($O213="","",IF(INDEX(Firms!$G$5:$G$1004,$O213)="","—",INDEX(Firms!$G$5:$G$1004,$O213)))</f>
        <v/>
      </c>
      <c r="H213" s="50">
        <f>IF($O213="","",IF(INDEX(Firms!$H$5:$H$1004,$O213)="","—",INDEX(Firms!$H$5:$H$1004,$O213)))</f>
        <v/>
      </c>
      <c r="I213" s="50">
        <f>IF($O213="","",IF(INDEX(Firms!$I$5:$I$1004,$O213)="","—",INDEX(Firms!$I$5:$I$1004,$O213)))</f>
        <v/>
      </c>
      <c r="J213" s="50">
        <f>IF($O213="","",IF(INDEX(Firms!$J$5:$J$1004,$O213)="","—",INDEX(Firms!$J$5:$J$1004,$O213)))</f>
        <v/>
      </c>
      <c r="K213" s="50">
        <f>IF($O213="","",IF(INDEX(Firms!$K$5:$K$1004,$O213)="","—",INDEX(Firms!$K$5:$K$1004,$O213)))</f>
        <v/>
      </c>
      <c r="L213" s="50">
        <f>IF($O213="","",IF(INDEX(Firms!$L$5:$L$1004,$O213)="","—",INDEX(Firms!$L$5:$L$1004,$O213)))</f>
        <v/>
      </c>
      <c r="M213" s="50">
        <f>IF($O213="","",IF(INDEX(Firms!$M$5:$M$1004,$O213)="","—",INDEX(Firms!$M$5:$M$1004,$O213)))</f>
        <v/>
      </c>
      <c r="O213">
        <f>IFERROR(MATCH(SMALL(Firms!$Y$5:$Y$1004,205),Firms!$W$5:$W$1004,0),"")</f>
        <v/>
      </c>
    </row>
    <row r="214">
      <c r="B214" s="78">
        <f>IF($O214="","",INDEX(Firms!$A$5:$A$1004,$O214))</f>
        <v/>
      </c>
      <c r="C214" s="79">
        <f>IF($O214="","",INDEX(Firms!$N$5:$N$1004,$O214)&amp;"")</f>
        <v/>
      </c>
      <c r="D214" s="79">
        <f>IF($O214="","",INDEX(Firms!$P$5:$P$1004,$O214)&amp;"")</f>
        <v/>
      </c>
      <c r="E214" s="79">
        <f>IF($O214="","",INDEX(Firms!$O$5:$O$1004,$O214)&amp;"")</f>
        <v/>
      </c>
      <c r="F214" s="50">
        <f>IF($O214="","",IF(INDEX(Firms!$F$5:$F$1004,$O214)="","—",INDEX(Firms!$F$5:$F$1004,$O214)))</f>
        <v/>
      </c>
      <c r="G214" s="50">
        <f>IF($O214="","",IF(INDEX(Firms!$G$5:$G$1004,$O214)="","—",INDEX(Firms!$G$5:$G$1004,$O214)))</f>
        <v/>
      </c>
      <c r="H214" s="50">
        <f>IF($O214="","",IF(INDEX(Firms!$H$5:$H$1004,$O214)="","—",INDEX(Firms!$H$5:$H$1004,$O214)))</f>
        <v/>
      </c>
      <c r="I214" s="50">
        <f>IF($O214="","",IF(INDEX(Firms!$I$5:$I$1004,$O214)="","—",INDEX(Firms!$I$5:$I$1004,$O214)))</f>
        <v/>
      </c>
      <c r="J214" s="50">
        <f>IF($O214="","",IF(INDEX(Firms!$J$5:$J$1004,$O214)="","—",INDEX(Firms!$J$5:$J$1004,$O214)))</f>
        <v/>
      </c>
      <c r="K214" s="50">
        <f>IF($O214="","",IF(INDEX(Firms!$K$5:$K$1004,$O214)="","—",INDEX(Firms!$K$5:$K$1004,$O214)))</f>
        <v/>
      </c>
      <c r="L214" s="50">
        <f>IF($O214="","",IF(INDEX(Firms!$L$5:$L$1004,$O214)="","—",INDEX(Firms!$L$5:$L$1004,$O214)))</f>
        <v/>
      </c>
      <c r="M214" s="50">
        <f>IF($O214="","",IF(INDEX(Firms!$M$5:$M$1004,$O214)="","—",INDEX(Firms!$M$5:$M$1004,$O214)))</f>
        <v/>
      </c>
      <c r="O214">
        <f>IFERROR(MATCH(SMALL(Firms!$Y$5:$Y$1004,206),Firms!$W$5:$W$1004,0),"")</f>
        <v/>
      </c>
    </row>
    <row r="215">
      <c r="B215" s="78">
        <f>IF($O215="","",INDEX(Firms!$A$5:$A$1004,$O215))</f>
        <v/>
      </c>
      <c r="C215" s="79">
        <f>IF($O215="","",INDEX(Firms!$N$5:$N$1004,$O215)&amp;"")</f>
        <v/>
      </c>
      <c r="D215" s="79">
        <f>IF($O215="","",INDEX(Firms!$P$5:$P$1004,$O215)&amp;"")</f>
        <v/>
      </c>
      <c r="E215" s="79">
        <f>IF($O215="","",INDEX(Firms!$O$5:$O$1004,$O215)&amp;"")</f>
        <v/>
      </c>
      <c r="F215" s="50">
        <f>IF($O215="","",IF(INDEX(Firms!$F$5:$F$1004,$O215)="","—",INDEX(Firms!$F$5:$F$1004,$O215)))</f>
        <v/>
      </c>
      <c r="G215" s="50">
        <f>IF($O215="","",IF(INDEX(Firms!$G$5:$G$1004,$O215)="","—",INDEX(Firms!$G$5:$G$1004,$O215)))</f>
        <v/>
      </c>
      <c r="H215" s="50">
        <f>IF($O215="","",IF(INDEX(Firms!$H$5:$H$1004,$O215)="","—",INDEX(Firms!$H$5:$H$1004,$O215)))</f>
        <v/>
      </c>
      <c r="I215" s="50">
        <f>IF($O215="","",IF(INDEX(Firms!$I$5:$I$1004,$O215)="","—",INDEX(Firms!$I$5:$I$1004,$O215)))</f>
        <v/>
      </c>
      <c r="J215" s="50">
        <f>IF($O215="","",IF(INDEX(Firms!$J$5:$J$1004,$O215)="","—",INDEX(Firms!$J$5:$J$1004,$O215)))</f>
        <v/>
      </c>
      <c r="K215" s="50">
        <f>IF($O215="","",IF(INDEX(Firms!$K$5:$K$1004,$O215)="","—",INDEX(Firms!$K$5:$K$1004,$O215)))</f>
        <v/>
      </c>
      <c r="L215" s="50">
        <f>IF($O215="","",IF(INDEX(Firms!$L$5:$L$1004,$O215)="","—",INDEX(Firms!$L$5:$L$1004,$O215)))</f>
        <v/>
      </c>
      <c r="M215" s="50">
        <f>IF($O215="","",IF(INDEX(Firms!$M$5:$M$1004,$O215)="","—",INDEX(Firms!$M$5:$M$1004,$O215)))</f>
        <v/>
      </c>
      <c r="O215">
        <f>IFERROR(MATCH(SMALL(Firms!$Y$5:$Y$1004,207),Firms!$W$5:$W$1004,0),"")</f>
        <v/>
      </c>
    </row>
    <row r="216">
      <c r="B216" s="78">
        <f>IF($O216="","",INDEX(Firms!$A$5:$A$1004,$O216))</f>
        <v/>
      </c>
      <c r="C216" s="79">
        <f>IF($O216="","",INDEX(Firms!$N$5:$N$1004,$O216)&amp;"")</f>
        <v/>
      </c>
      <c r="D216" s="79">
        <f>IF($O216="","",INDEX(Firms!$P$5:$P$1004,$O216)&amp;"")</f>
        <v/>
      </c>
      <c r="E216" s="79">
        <f>IF($O216="","",INDEX(Firms!$O$5:$O$1004,$O216)&amp;"")</f>
        <v/>
      </c>
      <c r="F216" s="50">
        <f>IF($O216="","",IF(INDEX(Firms!$F$5:$F$1004,$O216)="","—",INDEX(Firms!$F$5:$F$1004,$O216)))</f>
        <v/>
      </c>
      <c r="G216" s="50">
        <f>IF($O216="","",IF(INDEX(Firms!$G$5:$G$1004,$O216)="","—",INDEX(Firms!$G$5:$G$1004,$O216)))</f>
        <v/>
      </c>
      <c r="H216" s="50">
        <f>IF($O216="","",IF(INDEX(Firms!$H$5:$H$1004,$O216)="","—",INDEX(Firms!$H$5:$H$1004,$O216)))</f>
        <v/>
      </c>
      <c r="I216" s="50">
        <f>IF($O216="","",IF(INDEX(Firms!$I$5:$I$1004,$O216)="","—",INDEX(Firms!$I$5:$I$1004,$O216)))</f>
        <v/>
      </c>
      <c r="J216" s="50">
        <f>IF($O216="","",IF(INDEX(Firms!$J$5:$J$1004,$O216)="","—",INDEX(Firms!$J$5:$J$1004,$O216)))</f>
        <v/>
      </c>
      <c r="K216" s="50">
        <f>IF($O216="","",IF(INDEX(Firms!$K$5:$K$1004,$O216)="","—",INDEX(Firms!$K$5:$K$1004,$O216)))</f>
        <v/>
      </c>
      <c r="L216" s="50">
        <f>IF($O216="","",IF(INDEX(Firms!$L$5:$L$1004,$O216)="","—",INDEX(Firms!$L$5:$L$1004,$O216)))</f>
        <v/>
      </c>
      <c r="M216" s="50">
        <f>IF($O216="","",IF(INDEX(Firms!$M$5:$M$1004,$O216)="","—",INDEX(Firms!$M$5:$M$1004,$O216)))</f>
        <v/>
      </c>
      <c r="O216">
        <f>IFERROR(MATCH(SMALL(Firms!$Y$5:$Y$1004,208),Firms!$W$5:$W$1004,0),"")</f>
        <v/>
      </c>
    </row>
    <row r="217">
      <c r="B217" s="78">
        <f>IF($O217="","",INDEX(Firms!$A$5:$A$1004,$O217))</f>
        <v/>
      </c>
      <c r="C217" s="79">
        <f>IF($O217="","",INDEX(Firms!$N$5:$N$1004,$O217)&amp;"")</f>
        <v/>
      </c>
      <c r="D217" s="79">
        <f>IF($O217="","",INDEX(Firms!$P$5:$P$1004,$O217)&amp;"")</f>
        <v/>
      </c>
      <c r="E217" s="79">
        <f>IF($O217="","",INDEX(Firms!$O$5:$O$1004,$O217)&amp;"")</f>
        <v/>
      </c>
      <c r="F217" s="50">
        <f>IF($O217="","",IF(INDEX(Firms!$F$5:$F$1004,$O217)="","—",INDEX(Firms!$F$5:$F$1004,$O217)))</f>
        <v/>
      </c>
      <c r="G217" s="50">
        <f>IF($O217="","",IF(INDEX(Firms!$G$5:$G$1004,$O217)="","—",INDEX(Firms!$G$5:$G$1004,$O217)))</f>
        <v/>
      </c>
      <c r="H217" s="50">
        <f>IF($O217="","",IF(INDEX(Firms!$H$5:$H$1004,$O217)="","—",INDEX(Firms!$H$5:$H$1004,$O217)))</f>
        <v/>
      </c>
      <c r="I217" s="50">
        <f>IF($O217="","",IF(INDEX(Firms!$I$5:$I$1004,$O217)="","—",INDEX(Firms!$I$5:$I$1004,$O217)))</f>
        <v/>
      </c>
      <c r="J217" s="50">
        <f>IF($O217="","",IF(INDEX(Firms!$J$5:$J$1004,$O217)="","—",INDEX(Firms!$J$5:$J$1004,$O217)))</f>
        <v/>
      </c>
      <c r="K217" s="50">
        <f>IF($O217="","",IF(INDEX(Firms!$K$5:$K$1004,$O217)="","—",INDEX(Firms!$K$5:$K$1004,$O217)))</f>
        <v/>
      </c>
      <c r="L217" s="50">
        <f>IF($O217="","",IF(INDEX(Firms!$L$5:$L$1004,$O217)="","—",INDEX(Firms!$L$5:$L$1004,$O217)))</f>
        <v/>
      </c>
      <c r="M217" s="50">
        <f>IF($O217="","",IF(INDEX(Firms!$M$5:$M$1004,$O217)="","—",INDEX(Firms!$M$5:$M$1004,$O217)))</f>
        <v/>
      </c>
      <c r="O217">
        <f>IFERROR(MATCH(SMALL(Firms!$Y$5:$Y$1004,209),Firms!$W$5:$W$1004,0),"")</f>
        <v/>
      </c>
    </row>
    <row r="218">
      <c r="B218" s="78">
        <f>IF($O218="","",INDEX(Firms!$A$5:$A$1004,$O218))</f>
        <v/>
      </c>
      <c r="C218" s="79">
        <f>IF($O218="","",INDEX(Firms!$N$5:$N$1004,$O218)&amp;"")</f>
        <v/>
      </c>
      <c r="D218" s="79">
        <f>IF($O218="","",INDEX(Firms!$P$5:$P$1004,$O218)&amp;"")</f>
        <v/>
      </c>
      <c r="E218" s="79">
        <f>IF($O218="","",INDEX(Firms!$O$5:$O$1004,$O218)&amp;"")</f>
        <v/>
      </c>
      <c r="F218" s="50">
        <f>IF($O218="","",IF(INDEX(Firms!$F$5:$F$1004,$O218)="","—",INDEX(Firms!$F$5:$F$1004,$O218)))</f>
        <v/>
      </c>
      <c r="G218" s="50">
        <f>IF($O218="","",IF(INDEX(Firms!$G$5:$G$1004,$O218)="","—",INDEX(Firms!$G$5:$G$1004,$O218)))</f>
        <v/>
      </c>
      <c r="H218" s="50">
        <f>IF($O218="","",IF(INDEX(Firms!$H$5:$H$1004,$O218)="","—",INDEX(Firms!$H$5:$H$1004,$O218)))</f>
        <v/>
      </c>
      <c r="I218" s="50">
        <f>IF($O218="","",IF(INDEX(Firms!$I$5:$I$1004,$O218)="","—",INDEX(Firms!$I$5:$I$1004,$O218)))</f>
        <v/>
      </c>
      <c r="J218" s="50">
        <f>IF($O218="","",IF(INDEX(Firms!$J$5:$J$1004,$O218)="","—",INDEX(Firms!$J$5:$J$1004,$O218)))</f>
        <v/>
      </c>
      <c r="K218" s="50">
        <f>IF($O218="","",IF(INDEX(Firms!$K$5:$K$1004,$O218)="","—",INDEX(Firms!$K$5:$K$1004,$O218)))</f>
        <v/>
      </c>
      <c r="L218" s="50">
        <f>IF($O218="","",IF(INDEX(Firms!$L$5:$L$1004,$O218)="","—",INDEX(Firms!$L$5:$L$1004,$O218)))</f>
        <v/>
      </c>
      <c r="M218" s="50">
        <f>IF($O218="","",IF(INDEX(Firms!$M$5:$M$1004,$O218)="","—",INDEX(Firms!$M$5:$M$1004,$O218)))</f>
        <v/>
      </c>
      <c r="O218">
        <f>IFERROR(MATCH(SMALL(Firms!$Y$5:$Y$1004,210),Firms!$W$5:$W$1004,0),"")</f>
        <v/>
      </c>
    </row>
    <row r="219">
      <c r="B219" s="78">
        <f>IF($O219="","",INDEX(Firms!$A$5:$A$1004,$O219))</f>
        <v/>
      </c>
      <c r="C219" s="79">
        <f>IF($O219="","",INDEX(Firms!$N$5:$N$1004,$O219)&amp;"")</f>
        <v/>
      </c>
      <c r="D219" s="79">
        <f>IF($O219="","",INDEX(Firms!$P$5:$P$1004,$O219)&amp;"")</f>
        <v/>
      </c>
      <c r="E219" s="79">
        <f>IF($O219="","",INDEX(Firms!$O$5:$O$1004,$O219)&amp;"")</f>
        <v/>
      </c>
      <c r="F219" s="50">
        <f>IF($O219="","",IF(INDEX(Firms!$F$5:$F$1004,$O219)="","—",INDEX(Firms!$F$5:$F$1004,$O219)))</f>
        <v/>
      </c>
      <c r="G219" s="50">
        <f>IF($O219="","",IF(INDEX(Firms!$G$5:$G$1004,$O219)="","—",INDEX(Firms!$G$5:$G$1004,$O219)))</f>
        <v/>
      </c>
      <c r="H219" s="50">
        <f>IF($O219="","",IF(INDEX(Firms!$H$5:$H$1004,$O219)="","—",INDEX(Firms!$H$5:$H$1004,$O219)))</f>
        <v/>
      </c>
      <c r="I219" s="50">
        <f>IF($O219="","",IF(INDEX(Firms!$I$5:$I$1004,$O219)="","—",INDEX(Firms!$I$5:$I$1004,$O219)))</f>
        <v/>
      </c>
      <c r="J219" s="50">
        <f>IF($O219="","",IF(INDEX(Firms!$J$5:$J$1004,$O219)="","—",INDEX(Firms!$J$5:$J$1004,$O219)))</f>
        <v/>
      </c>
      <c r="K219" s="50">
        <f>IF($O219="","",IF(INDEX(Firms!$K$5:$K$1004,$O219)="","—",INDEX(Firms!$K$5:$K$1004,$O219)))</f>
        <v/>
      </c>
      <c r="L219" s="50">
        <f>IF($O219="","",IF(INDEX(Firms!$L$5:$L$1004,$O219)="","—",INDEX(Firms!$L$5:$L$1004,$O219)))</f>
        <v/>
      </c>
      <c r="M219" s="50">
        <f>IF($O219="","",IF(INDEX(Firms!$M$5:$M$1004,$O219)="","—",INDEX(Firms!$M$5:$M$1004,$O219)))</f>
        <v/>
      </c>
      <c r="O219">
        <f>IFERROR(MATCH(SMALL(Firms!$Y$5:$Y$1004,211),Firms!$W$5:$W$1004,0),"")</f>
        <v/>
      </c>
    </row>
    <row r="220">
      <c r="B220" s="78">
        <f>IF($O220="","",INDEX(Firms!$A$5:$A$1004,$O220))</f>
        <v/>
      </c>
      <c r="C220" s="79">
        <f>IF($O220="","",INDEX(Firms!$N$5:$N$1004,$O220)&amp;"")</f>
        <v/>
      </c>
      <c r="D220" s="79">
        <f>IF($O220="","",INDEX(Firms!$P$5:$P$1004,$O220)&amp;"")</f>
        <v/>
      </c>
      <c r="E220" s="79">
        <f>IF($O220="","",INDEX(Firms!$O$5:$O$1004,$O220)&amp;"")</f>
        <v/>
      </c>
      <c r="F220" s="50">
        <f>IF($O220="","",IF(INDEX(Firms!$F$5:$F$1004,$O220)="","—",INDEX(Firms!$F$5:$F$1004,$O220)))</f>
        <v/>
      </c>
      <c r="G220" s="50">
        <f>IF($O220="","",IF(INDEX(Firms!$G$5:$G$1004,$O220)="","—",INDEX(Firms!$G$5:$G$1004,$O220)))</f>
        <v/>
      </c>
      <c r="H220" s="50">
        <f>IF($O220="","",IF(INDEX(Firms!$H$5:$H$1004,$O220)="","—",INDEX(Firms!$H$5:$H$1004,$O220)))</f>
        <v/>
      </c>
      <c r="I220" s="50">
        <f>IF($O220="","",IF(INDEX(Firms!$I$5:$I$1004,$O220)="","—",INDEX(Firms!$I$5:$I$1004,$O220)))</f>
        <v/>
      </c>
      <c r="J220" s="50">
        <f>IF($O220="","",IF(INDEX(Firms!$J$5:$J$1004,$O220)="","—",INDEX(Firms!$J$5:$J$1004,$O220)))</f>
        <v/>
      </c>
      <c r="K220" s="50">
        <f>IF($O220="","",IF(INDEX(Firms!$K$5:$K$1004,$O220)="","—",INDEX(Firms!$K$5:$K$1004,$O220)))</f>
        <v/>
      </c>
      <c r="L220" s="50">
        <f>IF($O220="","",IF(INDEX(Firms!$L$5:$L$1004,$O220)="","—",INDEX(Firms!$L$5:$L$1004,$O220)))</f>
        <v/>
      </c>
      <c r="M220" s="50">
        <f>IF($O220="","",IF(INDEX(Firms!$M$5:$M$1004,$O220)="","—",INDEX(Firms!$M$5:$M$1004,$O220)))</f>
        <v/>
      </c>
      <c r="O220">
        <f>IFERROR(MATCH(SMALL(Firms!$Y$5:$Y$1004,212),Firms!$W$5:$W$1004,0),"")</f>
        <v/>
      </c>
    </row>
    <row r="221">
      <c r="B221" s="78">
        <f>IF($O221="","",INDEX(Firms!$A$5:$A$1004,$O221))</f>
        <v/>
      </c>
      <c r="C221" s="79">
        <f>IF($O221="","",INDEX(Firms!$N$5:$N$1004,$O221)&amp;"")</f>
        <v/>
      </c>
      <c r="D221" s="79">
        <f>IF($O221="","",INDEX(Firms!$P$5:$P$1004,$O221)&amp;"")</f>
        <v/>
      </c>
      <c r="E221" s="79">
        <f>IF($O221="","",INDEX(Firms!$O$5:$O$1004,$O221)&amp;"")</f>
        <v/>
      </c>
      <c r="F221" s="50">
        <f>IF($O221="","",IF(INDEX(Firms!$F$5:$F$1004,$O221)="","—",INDEX(Firms!$F$5:$F$1004,$O221)))</f>
        <v/>
      </c>
      <c r="G221" s="50">
        <f>IF($O221="","",IF(INDEX(Firms!$G$5:$G$1004,$O221)="","—",INDEX(Firms!$G$5:$G$1004,$O221)))</f>
        <v/>
      </c>
      <c r="H221" s="50">
        <f>IF($O221="","",IF(INDEX(Firms!$H$5:$H$1004,$O221)="","—",INDEX(Firms!$H$5:$H$1004,$O221)))</f>
        <v/>
      </c>
      <c r="I221" s="50">
        <f>IF($O221="","",IF(INDEX(Firms!$I$5:$I$1004,$O221)="","—",INDEX(Firms!$I$5:$I$1004,$O221)))</f>
        <v/>
      </c>
      <c r="J221" s="50">
        <f>IF($O221="","",IF(INDEX(Firms!$J$5:$J$1004,$O221)="","—",INDEX(Firms!$J$5:$J$1004,$O221)))</f>
        <v/>
      </c>
      <c r="K221" s="50">
        <f>IF($O221="","",IF(INDEX(Firms!$K$5:$K$1004,$O221)="","—",INDEX(Firms!$K$5:$K$1004,$O221)))</f>
        <v/>
      </c>
      <c r="L221" s="50">
        <f>IF($O221="","",IF(INDEX(Firms!$L$5:$L$1004,$O221)="","—",INDEX(Firms!$L$5:$L$1004,$O221)))</f>
        <v/>
      </c>
      <c r="M221" s="50">
        <f>IF($O221="","",IF(INDEX(Firms!$M$5:$M$1004,$O221)="","—",INDEX(Firms!$M$5:$M$1004,$O221)))</f>
        <v/>
      </c>
      <c r="O221">
        <f>IFERROR(MATCH(SMALL(Firms!$Y$5:$Y$1004,213),Firms!$W$5:$W$1004,0),"")</f>
        <v/>
      </c>
    </row>
    <row r="222">
      <c r="B222" s="78">
        <f>IF($O222="","",INDEX(Firms!$A$5:$A$1004,$O222))</f>
        <v/>
      </c>
      <c r="C222" s="79">
        <f>IF($O222="","",INDEX(Firms!$N$5:$N$1004,$O222)&amp;"")</f>
        <v/>
      </c>
      <c r="D222" s="79">
        <f>IF($O222="","",INDEX(Firms!$P$5:$P$1004,$O222)&amp;"")</f>
        <v/>
      </c>
      <c r="E222" s="79">
        <f>IF($O222="","",INDEX(Firms!$O$5:$O$1004,$O222)&amp;"")</f>
        <v/>
      </c>
      <c r="F222" s="50">
        <f>IF($O222="","",IF(INDEX(Firms!$F$5:$F$1004,$O222)="","—",INDEX(Firms!$F$5:$F$1004,$O222)))</f>
        <v/>
      </c>
      <c r="G222" s="50">
        <f>IF($O222="","",IF(INDEX(Firms!$G$5:$G$1004,$O222)="","—",INDEX(Firms!$G$5:$G$1004,$O222)))</f>
        <v/>
      </c>
      <c r="H222" s="50">
        <f>IF($O222="","",IF(INDEX(Firms!$H$5:$H$1004,$O222)="","—",INDEX(Firms!$H$5:$H$1004,$O222)))</f>
        <v/>
      </c>
      <c r="I222" s="50">
        <f>IF($O222="","",IF(INDEX(Firms!$I$5:$I$1004,$O222)="","—",INDEX(Firms!$I$5:$I$1004,$O222)))</f>
        <v/>
      </c>
      <c r="J222" s="50">
        <f>IF($O222="","",IF(INDEX(Firms!$J$5:$J$1004,$O222)="","—",INDEX(Firms!$J$5:$J$1004,$O222)))</f>
        <v/>
      </c>
      <c r="K222" s="50">
        <f>IF($O222="","",IF(INDEX(Firms!$K$5:$K$1004,$O222)="","—",INDEX(Firms!$K$5:$K$1004,$O222)))</f>
        <v/>
      </c>
      <c r="L222" s="50">
        <f>IF($O222="","",IF(INDEX(Firms!$L$5:$L$1004,$O222)="","—",INDEX(Firms!$L$5:$L$1004,$O222)))</f>
        <v/>
      </c>
      <c r="M222" s="50">
        <f>IF($O222="","",IF(INDEX(Firms!$M$5:$M$1004,$O222)="","—",INDEX(Firms!$M$5:$M$1004,$O222)))</f>
        <v/>
      </c>
      <c r="O222">
        <f>IFERROR(MATCH(SMALL(Firms!$Y$5:$Y$1004,214),Firms!$W$5:$W$1004,0),"")</f>
        <v/>
      </c>
    </row>
    <row r="223">
      <c r="B223" s="78">
        <f>IF($O223="","",INDEX(Firms!$A$5:$A$1004,$O223))</f>
        <v/>
      </c>
      <c r="C223" s="79">
        <f>IF($O223="","",INDEX(Firms!$N$5:$N$1004,$O223)&amp;"")</f>
        <v/>
      </c>
      <c r="D223" s="79">
        <f>IF($O223="","",INDEX(Firms!$P$5:$P$1004,$O223)&amp;"")</f>
        <v/>
      </c>
      <c r="E223" s="79">
        <f>IF($O223="","",INDEX(Firms!$O$5:$O$1004,$O223)&amp;"")</f>
        <v/>
      </c>
      <c r="F223" s="50">
        <f>IF($O223="","",IF(INDEX(Firms!$F$5:$F$1004,$O223)="","—",INDEX(Firms!$F$5:$F$1004,$O223)))</f>
        <v/>
      </c>
      <c r="G223" s="50">
        <f>IF($O223="","",IF(INDEX(Firms!$G$5:$G$1004,$O223)="","—",INDEX(Firms!$G$5:$G$1004,$O223)))</f>
        <v/>
      </c>
      <c r="H223" s="50">
        <f>IF($O223="","",IF(INDEX(Firms!$H$5:$H$1004,$O223)="","—",INDEX(Firms!$H$5:$H$1004,$O223)))</f>
        <v/>
      </c>
      <c r="I223" s="50">
        <f>IF($O223="","",IF(INDEX(Firms!$I$5:$I$1004,$O223)="","—",INDEX(Firms!$I$5:$I$1004,$O223)))</f>
        <v/>
      </c>
      <c r="J223" s="50">
        <f>IF($O223="","",IF(INDEX(Firms!$J$5:$J$1004,$O223)="","—",INDEX(Firms!$J$5:$J$1004,$O223)))</f>
        <v/>
      </c>
      <c r="K223" s="50">
        <f>IF($O223="","",IF(INDEX(Firms!$K$5:$K$1004,$O223)="","—",INDEX(Firms!$K$5:$K$1004,$O223)))</f>
        <v/>
      </c>
      <c r="L223" s="50">
        <f>IF($O223="","",IF(INDEX(Firms!$L$5:$L$1004,$O223)="","—",INDEX(Firms!$L$5:$L$1004,$O223)))</f>
        <v/>
      </c>
      <c r="M223" s="50">
        <f>IF($O223="","",IF(INDEX(Firms!$M$5:$M$1004,$O223)="","—",INDEX(Firms!$M$5:$M$1004,$O223)))</f>
        <v/>
      </c>
      <c r="O223">
        <f>IFERROR(MATCH(SMALL(Firms!$Y$5:$Y$1004,215),Firms!$W$5:$W$1004,0),"")</f>
        <v/>
      </c>
    </row>
    <row r="224">
      <c r="B224" s="78">
        <f>IF($O224="","",INDEX(Firms!$A$5:$A$1004,$O224))</f>
        <v/>
      </c>
      <c r="C224" s="79">
        <f>IF($O224="","",INDEX(Firms!$N$5:$N$1004,$O224)&amp;"")</f>
        <v/>
      </c>
      <c r="D224" s="79">
        <f>IF($O224="","",INDEX(Firms!$P$5:$P$1004,$O224)&amp;"")</f>
        <v/>
      </c>
      <c r="E224" s="79">
        <f>IF($O224="","",INDEX(Firms!$O$5:$O$1004,$O224)&amp;"")</f>
        <v/>
      </c>
      <c r="F224" s="50">
        <f>IF($O224="","",IF(INDEX(Firms!$F$5:$F$1004,$O224)="","—",INDEX(Firms!$F$5:$F$1004,$O224)))</f>
        <v/>
      </c>
      <c r="G224" s="50">
        <f>IF($O224="","",IF(INDEX(Firms!$G$5:$G$1004,$O224)="","—",INDEX(Firms!$G$5:$G$1004,$O224)))</f>
        <v/>
      </c>
      <c r="H224" s="50">
        <f>IF($O224="","",IF(INDEX(Firms!$H$5:$H$1004,$O224)="","—",INDEX(Firms!$H$5:$H$1004,$O224)))</f>
        <v/>
      </c>
      <c r="I224" s="50">
        <f>IF($O224="","",IF(INDEX(Firms!$I$5:$I$1004,$O224)="","—",INDEX(Firms!$I$5:$I$1004,$O224)))</f>
        <v/>
      </c>
      <c r="J224" s="50">
        <f>IF($O224="","",IF(INDEX(Firms!$J$5:$J$1004,$O224)="","—",INDEX(Firms!$J$5:$J$1004,$O224)))</f>
        <v/>
      </c>
      <c r="K224" s="50">
        <f>IF($O224="","",IF(INDEX(Firms!$K$5:$K$1004,$O224)="","—",INDEX(Firms!$K$5:$K$1004,$O224)))</f>
        <v/>
      </c>
      <c r="L224" s="50">
        <f>IF($O224="","",IF(INDEX(Firms!$L$5:$L$1004,$O224)="","—",INDEX(Firms!$L$5:$L$1004,$O224)))</f>
        <v/>
      </c>
      <c r="M224" s="50">
        <f>IF($O224="","",IF(INDEX(Firms!$M$5:$M$1004,$O224)="","—",INDEX(Firms!$M$5:$M$1004,$O224)))</f>
        <v/>
      </c>
      <c r="O224">
        <f>IFERROR(MATCH(SMALL(Firms!$Y$5:$Y$1004,216),Firms!$W$5:$W$1004,0),"")</f>
        <v/>
      </c>
    </row>
    <row r="225">
      <c r="B225" s="78">
        <f>IF($O225="","",INDEX(Firms!$A$5:$A$1004,$O225))</f>
        <v/>
      </c>
      <c r="C225" s="79">
        <f>IF($O225="","",INDEX(Firms!$N$5:$N$1004,$O225)&amp;"")</f>
        <v/>
      </c>
      <c r="D225" s="79">
        <f>IF($O225="","",INDEX(Firms!$P$5:$P$1004,$O225)&amp;"")</f>
        <v/>
      </c>
      <c r="E225" s="79">
        <f>IF($O225="","",INDEX(Firms!$O$5:$O$1004,$O225)&amp;"")</f>
        <v/>
      </c>
      <c r="F225" s="50">
        <f>IF($O225="","",IF(INDEX(Firms!$F$5:$F$1004,$O225)="","—",INDEX(Firms!$F$5:$F$1004,$O225)))</f>
        <v/>
      </c>
      <c r="G225" s="50">
        <f>IF($O225="","",IF(INDEX(Firms!$G$5:$G$1004,$O225)="","—",INDEX(Firms!$G$5:$G$1004,$O225)))</f>
        <v/>
      </c>
      <c r="H225" s="50">
        <f>IF($O225="","",IF(INDEX(Firms!$H$5:$H$1004,$O225)="","—",INDEX(Firms!$H$5:$H$1004,$O225)))</f>
        <v/>
      </c>
      <c r="I225" s="50">
        <f>IF($O225="","",IF(INDEX(Firms!$I$5:$I$1004,$O225)="","—",INDEX(Firms!$I$5:$I$1004,$O225)))</f>
        <v/>
      </c>
      <c r="J225" s="50">
        <f>IF($O225="","",IF(INDEX(Firms!$J$5:$J$1004,$O225)="","—",INDEX(Firms!$J$5:$J$1004,$O225)))</f>
        <v/>
      </c>
      <c r="K225" s="50">
        <f>IF($O225="","",IF(INDEX(Firms!$K$5:$K$1004,$O225)="","—",INDEX(Firms!$K$5:$K$1004,$O225)))</f>
        <v/>
      </c>
      <c r="L225" s="50">
        <f>IF($O225="","",IF(INDEX(Firms!$L$5:$L$1004,$O225)="","—",INDEX(Firms!$L$5:$L$1004,$O225)))</f>
        <v/>
      </c>
      <c r="M225" s="50">
        <f>IF($O225="","",IF(INDEX(Firms!$M$5:$M$1004,$O225)="","—",INDEX(Firms!$M$5:$M$1004,$O225)))</f>
        <v/>
      </c>
      <c r="O225">
        <f>IFERROR(MATCH(SMALL(Firms!$Y$5:$Y$1004,217),Firms!$W$5:$W$1004,0),"")</f>
        <v/>
      </c>
    </row>
    <row r="226">
      <c r="B226" s="78">
        <f>IF($O226="","",INDEX(Firms!$A$5:$A$1004,$O226))</f>
        <v/>
      </c>
      <c r="C226" s="79">
        <f>IF($O226="","",INDEX(Firms!$N$5:$N$1004,$O226)&amp;"")</f>
        <v/>
      </c>
      <c r="D226" s="79">
        <f>IF($O226="","",INDEX(Firms!$P$5:$P$1004,$O226)&amp;"")</f>
        <v/>
      </c>
      <c r="E226" s="79">
        <f>IF($O226="","",INDEX(Firms!$O$5:$O$1004,$O226)&amp;"")</f>
        <v/>
      </c>
      <c r="F226" s="50">
        <f>IF($O226="","",IF(INDEX(Firms!$F$5:$F$1004,$O226)="","—",INDEX(Firms!$F$5:$F$1004,$O226)))</f>
        <v/>
      </c>
      <c r="G226" s="50">
        <f>IF($O226="","",IF(INDEX(Firms!$G$5:$G$1004,$O226)="","—",INDEX(Firms!$G$5:$G$1004,$O226)))</f>
        <v/>
      </c>
      <c r="H226" s="50">
        <f>IF($O226="","",IF(INDEX(Firms!$H$5:$H$1004,$O226)="","—",INDEX(Firms!$H$5:$H$1004,$O226)))</f>
        <v/>
      </c>
      <c r="I226" s="50">
        <f>IF($O226="","",IF(INDEX(Firms!$I$5:$I$1004,$O226)="","—",INDEX(Firms!$I$5:$I$1004,$O226)))</f>
        <v/>
      </c>
      <c r="J226" s="50">
        <f>IF($O226="","",IF(INDEX(Firms!$J$5:$J$1004,$O226)="","—",INDEX(Firms!$J$5:$J$1004,$O226)))</f>
        <v/>
      </c>
      <c r="K226" s="50">
        <f>IF($O226="","",IF(INDEX(Firms!$K$5:$K$1004,$O226)="","—",INDEX(Firms!$K$5:$K$1004,$O226)))</f>
        <v/>
      </c>
      <c r="L226" s="50">
        <f>IF($O226="","",IF(INDEX(Firms!$L$5:$L$1004,$O226)="","—",INDEX(Firms!$L$5:$L$1004,$O226)))</f>
        <v/>
      </c>
      <c r="M226" s="50">
        <f>IF($O226="","",IF(INDEX(Firms!$M$5:$M$1004,$O226)="","—",INDEX(Firms!$M$5:$M$1004,$O226)))</f>
        <v/>
      </c>
      <c r="O226">
        <f>IFERROR(MATCH(SMALL(Firms!$Y$5:$Y$1004,218),Firms!$W$5:$W$1004,0),"")</f>
        <v/>
      </c>
    </row>
    <row r="227">
      <c r="B227" s="78">
        <f>IF($O227="","",INDEX(Firms!$A$5:$A$1004,$O227))</f>
        <v/>
      </c>
      <c r="C227" s="79">
        <f>IF($O227="","",INDEX(Firms!$N$5:$N$1004,$O227)&amp;"")</f>
        <v/>
      </c>
      <c r="D227" s="79">
        <f>IF($O227="","",INDEX(Firms!$P$5:$P$1004,$O227)&amp;"")</f>
        <v/>
      </c>
      <c r="E227" s="79">
        <f>IF($O227="","",INDEX(Firms!$O$5:$O$1004,$O227)&amp;"")</f>
        <v/>
      </c>
      <c r="F227" s="50">
        <f>IF($O227="","",IF(INDEX(Firms!$F$5:$F$1004,$O227)="","—",INDEX(Firms!$F$5:$F$1004,$O227)))</f>
        <v/>
      </c>
      <c r="G227" s="50">
        <f>IF($O227="","",IF(INDEX(Firms!$G$5:$G$1004,$O227)="","—",INDEX(Firms!$G$5:$G$1004,$O227)))</f>
        <v/>
      </c>
      <c r="H227" s="50">
        <f>IF($O227="","",IF(INDEX(Firms!$H$5:$H$1004,$O227)="","—",INDEX(Firms!$H$5:$H$1004,$O227)))</f>
        <v/>
      </c>
      <c r="I227" s="50">
        <f>IF($O227="","",IF(INDEX(Firms!$I$5:$I$1004,$O227)="","—",INDEX(Firms!$I$5:$I$1004,$O227)))</f>
        <v/>
      </c>
      <c r="J227" s="50">
        <f>IF($O227="","",IF(INDEX(Firms!$J$5:$J$1004,$O227)="","—",INDEX(Firms!$J$5:$J$1004,$O227)))</f>
        <v/>
      </c>
      <c r="K227" s="50">
        <f>IF($O227="","",IF(INDEX(Firms!$K$5:$K$1004,$O227)="","—",INDEX(Firms!$K$5:$K$1004,$O227)))</f>
        <v/>
      </c>
      <c r="L227" s="50">
        <f>IF($O227="","",IF(INDEX(Firms!$L$5:$L$1004,$O227)="","—",INDEX(Firms!$L$5:$L$1004,$O227)))</f>
        <v/>
      </c>
      <c r="M227" s="50">
        <f>IF($O227="","",IF(INDEX(Firms!$M$5:$M$1004,$O227)="","—",INDEX(Firms!$M$5:$M$1004,$O227)))</f>
        <v/>
      </c>
      <c r="O227">
        <f>IFERROR(MATCH(SMALL(Firms!$Y$5:$Y$1004,219),Firms!$W$5:$W$1004,0),"")</f>
        <v/>
      </c>
    </row>
    <row r="228">
      <c r="B228" s="78">
        <f>IF($O228="","",INDEX(Firms!$A$5:$A$1004,$O228))</f>
        <v/>
      </c>
      <c r="C228" s="79">
        <f>IF($O228="","",INDEX(Firms!$N$5:$N$1004,$O228)&amp;"")</f>
        <v/>
      </c>
      <c r="D228" s="79">
        <f>IF($O228="","",INDEX(Firms!$P$5:$P$1004,$O228)&amp;"")</f>
        <v/>
      </c>
      <c r="E228" s="79">
        <f>IF($O228="","",INDEX(Firms!$O$5:$O$1004,$O228)&amp;"")</f>
        <v/>
      </c>
      <c r="F228" s="50">
        <f>IF($O228="","",IF(INDEX(Firms!$F$5:$F$1004,$O228)="","—",INDEX(Firms!$F$5:$F$1004,$O228)))</f>
        <v/>
      </c>
      <c r="G228" s="50">
        <f>IF($O228="","",IF(INDEX(Firms!$G$5:$G$1004,$O228)="","—",INDEX(Firms!$G$5:$G$1004,$O228)))</f>
        <v/>
      </c>
      <c r="H228" s="50">
        <f>IF($O228="","",IF(INDEX(Firms!$H$5:$H$1004,$O228)="","—",INDEX(Firms!$H$5:$H$1004,$O228)))</f>
        <v/>
      </c>
      <c r="I228" s="50">
        <f>IF($O228="","",IF(INDEX(Firms!$I$5:$I$1004,$O228)="","—",INDEX(Firms!$I$5:$I$1004,$O228)))</f>
        <v/>
      </c>
      <c r="J228" s="50">
        <f>IF($O228="","",IF(INDEX(Firms!$J$5:$J$1004,$O228)="","—",INDEX(Firms!$J$5:$J$1004,$O228)))</f>
        <v/>
      </c>
      <c r="K228" s="50">
        <f>IF($O228="","",IF(INDEX(Firms!$K$5:$K$1004,$O228)="","—",INDEX(Firms!$K$5:$K$1004,$O228)))</f>
        <v/>
      </c>
      <c r="L228" s="50">
        <f>IF($O228="","",IF(INDEX(Firms!$L$5:$L$1004,$O228)="","—",INDEX(Firms!$L$5:$L$1004,$O228)))</f>
        <v/>
      </c>
      <c r="M228" s="50">
        <f>IF($O228="","",IF(INDEX(Firms!$M$5:$M$1004,$O228)="","—",INDEX(Firms!$M$5:$M$1004,$O228)))</f>
        <v/>
      </c>
      <c r="O228">
        <f>IFERROR(MATCH(SMALL(Firms!$Y$5:$Y$1004,220),Firms!$W$5:$W$1004,0),"")</f>
        <v/>
      </c>
    </row>
    <row r="229">
      <c r="B229" s="78">
        <f>IF($O229="","",INDEX(Firms!$A$5:$A$1004,$O229))</f>
        <v/>
      </c>
      <c r="C229" s="79">
        <f>IF($O229="","",INDEX(Firms!$N$5:$N$1004,$O229)&amp;"")</f>
        <v/>
      </c>
      <c r="D229" s="79">
        <f>IF($O229="","",INDEX(Firms!$P$5:$P$1004,$O229)&amp;"")</f>
        <v/>
      </c>
      <c r="E229" s="79">
        <f>IF($O229="","",INDEX(Firms!$O$5:$O$1004,$O229)&amp;"")</f>
        <v/>
      </c>
      <c r="F229" s="50">
        <f>IF($O229="","",IF(INDEX(Firms!$F$5:$F$1004,$O229)="","—",INDEX(Firms!$F$5:$F$1004,$O229)))</f>
        <v/>
      </c>
      <c r="G229" s="50">
        <f>IF($O229="","",IF(INDEX(Firms!$G$5:$G$1004,$O229)="","—",INDEX(Firms!$G$5:$G$1004,$O229)))</f>
        <v/>
      </c>
      <c r="H229" s="50">
        <f>IF($O229="","",IF(INDEX(Firms!$H$5:$H$1004,$O229)="","—",INDEX(Firms!$H$5:$H$1004,$O229)))</f>
        <v/>
      </c>
      <c r="I229" s="50">
        <f>IF($O229="","",IF(INDEX(Firms!$I$5:$I$1004,$O229)="","—",INDEX(Firms!$I$5:$I$1004,$O229)))</f>
        <v/>
      </c>
      <c r="J229" s="50">
        <f>IF($O229="","",IF(INDEX(Firms!$J$5:$J$1004,$O229)="","—",INDEX(Firms!$J$5:$J$1004,$O229)))</f>
        <v/>
      </c>
      <c r="K229" s="50">
        <f>IF($O229="","",IF(INDEX(Firms!$K$5:$K$1004,$O229)="","—",INDEX(Firms!$K$5:$K$1004,$O229)))</f>
        <v/>
      </c>
      <c r="L229" s="50">
        <f>IF($O229="","",IF(INDEX(Firms!$L$5:$L$1004,$O229)="","—",INDEX(Firms!$L$5:$L$1004,$O229)))</f>
        <v/>
      </c>
      <c r="M229" s="50">
        <f>IF($O229="","",IF(INDEX(Firms!$M$5:$M$1004,$O229)="","—",INDEX(Firms!$M$5:$M$1004,$O229)))</f>
        <v/>
      </c>
      <c r="O229">
        <f>IFERROR(MATCH(SMALL(Firms!$Y$5:$Y$1004,221),Firms!$W$5:$W$1004,0),"")</f>
        <v/>
      </c>
    </row>
    <row r="230">
      <c r="B230" s="78">
        <f>IF($O230="","",INDEX(Firms!$A$5:$A$1004,$O230))</f>
        <v/>
      </c>
      <c r="C230" s="79">
        <f>IF($O230="","",INDEX(Firms!$N$5:$N$1004,$O230)&amp;"")</f>
        <v/>
      </c>
      <c r="D230" s="79">
        <f>IF($O230="","",INDEX(Firms!$P$5:$P$1004,$O230)&amp;"")</f>
        <v/>
      </c>
      <c r="E230" s="79">
        <f>IF($O230="","",INDEX(Firms!$O$5:$O$1004,$O230)&amp;"")</f>
        <v/>
      </c>
      <c r="F230" s="50">
        <f>IF($O230="","",IF(INDEX(Firms!$F$5:$F$1004,$O230)="","—",INDEX(Firms!$F$5:$F$1004,$O230)))</f>
        <v/>
      </c>
      <c r="G230" s="50">
        <f>IF($O230="","",IF(INDEX(Firms!$G$5:$G$1004,$O230)="","—",INDEX(Firms!$G$5:$G$1004,$O230)))</f>
        <v/>
      </c>
      <c r="H230" s="50">
        <f>IF($O230="","",IF(INDEX(Firms!$H$5:$H$1004,$O230)="","—",INDEX(Firms!$H$5:$H$1004,$O230)))</f>
        <v/>
      </c>
      <c r="I230" s="50">
        <f>IF($O230="","",IF(INDEX(Firms!$I$5:$I$1004,$O230)="","—",INDEX(Firms!$I$5:$I$1004,$O230)))</f>
        <v/>
      </c>
      <c r="J230" s="50">
        <f>IF($O230="","",IF(INDEX(Firms!$J$5:$J$1004,$O230)="","—",INDEX(Firms!$J$5:$J$1004,$O230)))</f>
        <v/>
      </c>
      <c r="K230" s="50">
        <f>IF($O230="","",IF(INDEX(Firms!$K$5:$K$1004,$O230)="","—",INDEX(Firms!$K$5:$K$1004,$O230)))</f>
        <v/>
      </c>
      <c r="L230" s="50">
        <f>IF($O230="","",IF(INDEX(Firms!$L$5:$L$1004,$O230)="","—",INDEX(Firms!$L$5:$L$1004,$O230)))</f>
        <v/>
      </c>
      <c r="M230" s="50">
        <f>IF($O230="","",IF(INDEX(Firms!$M$5:$M$1004,$O230)="","—",INDEX(Firms!$M$5:$M$1004,$O230)))</f>
        <v/>
      </c>
      <c r="O230">
        <f>IFERROR(MATCH(SMALL(Firms!$Y$5:$Y$1004,222),Firms!$W$5:$W$1004,0),"")</f>
        <v/>
      </c>
    </row>
    <row r="231">
      <c r="B231" s="78">
        <f>IF($O231="","",INDEX(Firms!$A$5:$A$1004,$O231))</f>
        <v/>
      </c>
      <c r="C231" s="79">
        <f>IF($O231="","",INDEX(Firms!$N$5:$N$1004,$O231)&amp;"")</f>
        <v/>
      </c>
      <c r="D231" s="79">
        <f>IF($O231="","",INDEX(Firms!$P$5:$P$1004,$O231)&amp;"")</f>
        <v/>
      </c>
      <c r="E231" s="79">
        <f>IF($O231="","",INDEX(Firms!$O$5:$O$1004,$O231)&amp;"")</f>
        <v/>
      </c>
      <c r="F231" s="50">
        <f>IF($O231="","",IF(INDEX(Firms!$F$5:$F$1004,$O231)="","—",INDEX(Firms!$F$5:$F$1004,$O231)))</f>
        <v/>
      </c>
      <c r="G231" s="50">
        <f>IF($O231="","",IF(INDEX(Firms!$G$5:$G$1004,$O231)="","—",INDEX(Firms!$G$5:$G$1004,$O231)))</f>
        <v/>
      </c>
      <c r="H231" s="50">
        <f>IF($O231="","",IF(INDEX(Firms!$H$5:$H$1004,$O231)="","—",INDEX(Firms!$H$5:$H$1004,$O231)))</f>
        <v/>
      </c>
      <c r="I231" s="50">
        <f>IF($O231="","",IF(INDEX(Firms!$I$5:$I$1004,$O231)="","—",INDEX(Firms!$I$5:$I$1004,$O231)))</f>
        <v/>
      </c>
      <c r="J231" s="50">
        <f>IF($O231="","",IF(INDEX(Firms!$J$5:$J$1004,$O231)="","—",INDEX(Firms!$J$5:$J$1004,$O231)))</f>
        <v/>
      </c>
      <c r="K231" s="50">
        <f>IF($O231="","",IF(INDEX(Firms!$K$5:$K$1004,$O231)="","—",INDEX(Firms!$K$5:$K$1004,$O231)))</f>
        <v/>
      </c>
      <c r="L231" s="50">
        <f>IF($O231="","",IF(INDEX(Firms!$L$5:$L$1004,$O231)="","—",INDEX(Firms!$L$5:$L$1004,$O231)))</f>
        <v/>
      </c>
      <c r="M231" s="50">
        <f>IF($O231="","",IF(INDEX(Firms!$M$5:$M$1004,$O231)="","—",INDEX(Firms!$M$5:$M$1004,$O231)))</f>
        <v/>
      </c>
      <c r="O231">
        <f>IFERROR(MATCH(SMALL(Firms!$Y$5:$Y$1004,223),Firms!$W$5:$W$1004,0),"")</f>
        <v/>
      </c>
    </row>
    <row r="232">
      <c r="B232" s="78">
        <f>IF($O232="","",INDEX(Firms!$A$5:$A$1004,$O232))</f>
        <v/>
      </c>
      <c r="C232" s="79">
        <f>IF($O232="","",INDEX(Firms!$N$5:$N$1004,$O232)&amp;"")</f>
        <v/>
      </c>
      <c r="D232" s="79">
        <f>IF($O232="","",INDEX(Firms!$P$5:$P$1004,$O232)&amp;"")</f>
        <v/>
      </c>
      <c r="E232" s="79">
        <f>IF($O232="","",INDEX(Firms!$O$5:$O$1004,$O232)&amp;"")</f>
        <v/>
      </c>
      <c r="F232" s="50">
        <f>IF($O232="","",IF(INDEX(Firms!$F$5:$F$1004,$O232)="","—",INDEX(Firms!$F$5:$F$1004,$O232)))</f>
        <v/>
      </c>
      <c r="G232" s="50">
        <f>IF($O232="","",IF(INDEX(Firms!$G$5:$G$1004,$O232)="","—",INDEX(Firms!$G$5:$G$1004,$O232)))</f>
        <v/>
      </c>
      <c r="H232" s="50">
        <f>IF($O232="","",IF(INDEX(Firms!$H$5:$H$1004,$O232)="","—",INDEX(Firms!$H$5:$H$1004,$O232)))</f>
        <v/>
      </c>
      <c r="I232" s="50">
        <f>IF($O232="","",IF(INDEX(Firms!$I$5:$I$1004,$O232)="","—",INDEX(Firms!$I$5:$I$1004,$O232)))</f>
        <v/>
      </c>
      <c r="J232" s="50">
        <f>IF($O232="","",IF(INDEX(Firms!$J$5:$J$1004,$O232)="","—",INDEX(Firms!$J$5:$J$1004,$O232)))</f>
        <v/>
      </c>
      <c r="K232" s="50">
        <f>IF($O232="","",IF(INDEX(Firms!$K$5:$K$1004,$O232)="","—",INDEX(Firms!$K$5:$K$1004,$O232)))</f>
        <v/>
      </c>
      <c r="L232" s="50">
        <f>IF($O232="","",IF(INDEX(Firms!$L$5:$L$1004,$O232)="","—",INDEX(Firms!$L$5:$L$1004,$O232)))</f>
        <v/>
      </c>
      <c r="M232" s="50">
        <f>IF($O232="","",IF(INDEX(Firms!$M$5:$M$1004,$O232)="","—",INDEX(Firms!$M$5:$M$1004,$O232)))</f>
        <v/>
      </c>
      <c r="O232">
        <f>IFERROR(MATCH(SMALL(Firms!$Y$5:$Y$1004,224),Firms!$W$5:$W$1004,0),"")</f>
        <v/>
      </c>
    </row>
    <row r="233">
      <c r="B233" s="78">
        <f>IF($O233="","",INDEX(Firms!$A$5:$A$1004,$O233))</f>
        <v/>
      </c>
      <c r="C233" s="79">
        <f>IF($O233="","",INDEX(Firms!$N$5:$N$1004,$O233)&amp;"")</f>
        <v/>
      </c>
      <c r="D233" s="79">
        <f>IF($O233="","",INDEX(Firms!$P$5:$P$1004,$O233)&amp;"")</f>
        <v/>
      </c>
      <c r="E233" s="79">
        <f>IF($O233="","",INDEX(Firms!$O$5:$O$1004,$O233)&amp;"")</f>
        <v/>
      </c>
      <c r="F233" s="50">
        <f>IF($O233="","",IF(INDEX(Firms!$F$5:$F$1004,$O233)="","—",INDEX(Firms!$F$5:$F$1004,$O233)))</f>
        <v/>
      </c>
      <c r="G233" s="50">
        <f>IF($O233="","",IF(INDEX(Firms!$G$5:$G$1004,$O233)="","—",INDEX(Firms!$G$5:$G$1004,$O233)))</f>
        <v/>
      </c>
      <c r="H233" s="50">
        <f>IF($O233="","",IF(INDEX(Firms!$H$5:$H$1004,$O233)="","—",INDEX(Firms!$H$5:$H$1004,$O233)))</f>
        <v/>
      </c>
      <c r="I233" s="50">
        <f>IF($O233="","",IF(INDEX(Firms!$I$5:$I$1004,$O233)="","—",INDEX(Firms!$I$5:$I$1004,$O233)))</f>
        <v/>
      </c>
      <c r="J233" s="50">
        <f>IF($O233="","",IF(INDEX(Firms!$J$5:$J$1004,$O233)="","—",INDEX(Firms!$J$5:$J$1004,$O233)))</f>
        <v/>
      </c>
      <c r="K233" s="50">
        <f>IF($O233="","",IF(INDEX(Firms!$K$5:$K$1004,$O233)="","—",INDEX(Firms!$K$5:$K$1004,$O233)))</f>
        <v/>
      </c>
      <c r="L233" s="50">
        <f>IF($O233="","",IF(INDEX(Firms!$L$5:$L$1004,$O233)="","—",INDEX(Firms!$L$5:$L$1004,$O233)))</f>
        <v/>
      </c>
      <c r="M233" s="50">
        <f>IF($O233="","",IF(INDEX(Firms!$M$5:$M$1004,$O233)="","—",INDEX(Firms!$M$5:$M$1004,$O233)))</f>
        <v/>
      </c>
      <c r="O233">
        <f>IFERROR(MATCH(SMALL(Firms!$Y$5:$Y$1004,225),Firms!$W$5:$W$1004,0),"")</f>
        <v/>
      </c>
    </row>
    <row r="234">
      <c r="B234" s="78">
        <f>IF($O234="","",INDEX(Firms!$A$5:$A$1004,$O234))</f>
        <v/>
      </c>
      <c r="C234" s="79">
        <f>IF($O234="","",INDEX(Firms!$N$5:$N$1004,$O234)&amp;"")</f>
        <v/>
      </c>
      <c r="D234" s="79">
        <f>IF($O234="","",INDEX(Firms!$P$5:$P$1004,$O234)&amp;"")</f>
        <v/>
      </c>
      <c r="E234" s="79">
        <f>IF($O234="","",INDEX(Firms!$O$5:$O$1004,$O234)&amp;"")</f>
        <v/>
      </c>
      <c r="F234" s="50">
        <f>IF($O234="","",IF(INDEX(Firms!$F$5:$F$1004,$O234)="","—",INDEX(Firms!$F$5:$F$1004,$O234)))</f>
        <v/>
      </c>
      <c r="G234" s="50">
        <f>IF($O234="","",IF(INDEX(Firms!$G$5:$G$1004,$O234)="","—",INDEX(Firms!$G$5:$G$1004,$O234)))</f>
        <v/>
      </c>
      <c r="H234" s="50">
        <f>IF($O234="","",IF(INDEX(Firms!$H$5:$H$1004,$O234)="","—",INDEX(Firms!$H$5:$H$1004,$O234)))</f>
        <v/>
      </c>
      <c r="I234" s="50">
        <f>IF($O234="","",IF(INDEX(Firms!$I$5:$I$1004,$O234)="","—",INDEX(Firms!$I$5:$I$1004,$O234)))</f>
        <v/>
      </c>
      <c r="J234" s="50">
        <f>IF($O234="","",IF(INDEX(Firms!$J$5:$J$1004,$O234)="","—",INDEX(Firms!$J$5:$J$1004,$O234)))</f>
        <v/>
      </c>
      <c r="K234" s="50">
        <f>IF($O234="","",IF(INDEX(Firms!$K$5:$K$1004,$O234)="","—",INDEX(Firms!$K$5:$K$1004,$O234)))</f>
        <v/>
      </c>
      <c r="L234" s="50">
        <f>IF($O234="","",IF(INDEX(Firms!$L$5:$L$1004,$O234)="","—",INDEX(Firms!$L$5:$L$1004,$O234)))</f>
        <v/>
      </c>
      <c r="M234" s="50">
        <f>IF($O234="","",IF(INDEX(Firms!$M$5:$M$1004,$O234)="","—",INDEX(Firms!$M$5:$M$1004,$O234)))</f>
        <v/>
      </c>
      <c r="O234">
        <f>IFERROR(MATCH(SMALL(Firms!$Y$5:$Y$1004,226),Firms!$W$5:$W$1004,0),"")</f>
        <v/>
      </c>
    </row>
    <row r="235">
      <c r="B235" s="78">
        <f>IF($O235="","",INDEX(Firms!$A$5:$A$1004,$O235))</f>
        <v/>
      </c>
      <c r="C235" s="79">
        <f>IF($O235="","",INDEX(Firms!$N$5:$N$1004,$O235)&amp;"")</f>
        <v/>
      </c>
      <c r="D235" s="79">
        <f>IF($O235="","",INDEX(Firms!$P$5:$P$1004,$O235)&amp;"")</f>
        <v/>
      </c>
      <c r="E235" s="79">
        <f>IF($O235="","",INDEX(Firms!$O$5:$O$1004,$O235)&amp;"")</f>
        <v/>
      </c>
      <c r="F235" s="50">
        <f>IF($O235="","",IF(INDEX(Firms!$F$5:$F$1004,$O235)="","—",INDEX(Firms!$F$5:$F$1004,$O235)))</f>
        <v/>
      </c>
      <c r="G235" s="50">
        <f>IF($O235="","",IF(INDEX(Firms!$G$5:$G$1004,$O235)="","—",INDEX(Firms!$G$5:$G$1004,$O235)))</f>
        <v/>
      </c>
      <c r="H235" s="50">
        <f>IF($O235="","",IF(INDEX(Firms!$H$5:$H$1004,$O235)="","—",INDEX(Firms!$H$5:$H$1004,$O235)))</f>
        <v/>
      </c>
      <c r="I235" s="50">
        <f>IF($O235="","",IF(INDEX(Firms!$I$5:$I$1004,$O235)="","—",INDEX(Firms!$I$5:$I$1004,$O235)))</f>
        <v/>
      </c>
      <c r="J235" s="50">
        <f>IF($O235="","",IF(INDEX(Firms!$J$5:$J$1004,$O235)="","—",INDEX(Firms!$J$5:$J$1004,$O235)))</f>
        <v/>
      </c>
      <c r="K235" s="50">
        <f>IF($O235="","",IF(INDEX(Firms!$K$5:$K$1004,$O235)="","—",INDEX(Firms!$K$5:$K$1004,$O235)))</f>
        <v/>
      </c>
      <c r="L235" s="50">
        <f>IF($O235="","",IF(INDEX(Firms!$L$5:$L$1004,$O235)="","—",INDEX(Firms!$L$5:$L$1004,$O235)))</f>
        <v/>
      </c>
      <c r="M235" s="50">
        <f>IF($O235="","",IF(INDEX(Firms!$M$5:$M$1004,$O235)="","—",INDEX(Firms!$M$5:$M$1004,$O235)))</f>
        <v/>
      </c>
      <c r="O235">
        <f>IFERROR(MATCH(SMALL(Firms!$Y$5:$Y$1004,227),Firms!$W$5:$W$1004,0),"")</f>
        <v/>
      </c>
    </row>
    <row r="236">
      <c r="B236" s="78">
        <f>IF($O236="","",INDEX(Firms!$A$5:$A$1004,$O236))</f>
        <v/>
      </c>
      <c r="C236" s="79">
        <f>IF($O236="","",INDEX(Firms!$N$5:$N$1004,$O236)&amp;"")</f>
        <v/>
      </c>
      <c r="D236" s="79">
        <f>IF($O236="","",INDEX(Firms!$P$5:$P$1004,$O236)&amp;"")</f>
        <v/>
      </c>
      <c r="E236" s="79">
        <f>IF($O236="","",INDEX(Firms!$O$5:$O$1004,$O236)&amp;"")</f>
        <v/>
      </c>
      <c r="F236" s="50">
        <f>IF($O236="","",IF(INDEX(Firms!$F$5:$F$1004,$O236)="","—",INDEX(Firms!$F$5:$F$1004,$O236)))</f>
        <v/>
      </c>
      <c r="G236" s="50">
        <f>IF($O236="","",IF(INDEX(Firms!$G$5:$G$1004,$O236)="","—",INDEX(Firms!$G$5:$G$1004,$O236)))</f>
        <v/>
      </c>
      <c r="H236" s="50">
        <f>IF($O236="","",IF(INDEX(Firms!$H$5:$H$1004,$O236)="","—",INDEX(Firms!$H$5:$H$1004,$O236)))</f>
        <v/>
      </c>
      <c r="I236" s="50">
        <f>IF($O236="","",IF(INDEX(Firms!$I$5:$I$1004,$O236)="","—",INDEX(Firms!$I$5:$I$1004,$O236)))</f>
        <v/>
      </c>
      <c r="J236" s="50">
        <f>IF($O236="","",IF(INDEX(Firms!$J$5:$J$1004,$O236)="","—",INDEX(Firms!$J$5:$J$1004,$O236)))</f>
        <v/>
      </c>
      <c r="K236" s="50">
        <f>IF($O236="","",IF(INDEX(Firms!$K$5:$K$1004,$O236)="","—",INDEX(Firms!$K$5:$K$1004,$O236)))</f>
        <v/>
      </c>
      <c r="L236" s="50">
        <f>IF($O236="","",IF(INDEX(Firms!$L$5:$L$1004,$O236)="","—",INDEX(Firms!$L$5:$L$1004,$O236)))</f>
        <v/>
      </c>
      <c r="M236" s="50">
        <f>IF($O236="","",IF(INDEX(Firms!$M$5:$M$1004,$O236)="","—",INDEX(Firms!$M$5:$M$1004,$O236)))</f>
        <v/>
      </c>
      <c r="O236">
        <f>IFERROR(MATCH(SMALL(Firms!$Y$5:$Y$1004,228),Firms!$W$5:$W$1004,0),"")</f>
        <v/>
      </c>
    </row>
    <row r="237">
      <c r="B237" s="78">
        <f>IF($O237="","",INDEX(Firms!$A$5:$A$1004,$O237))</f>
        <v/>
      </c>
      <c r="C237" s="79">
        <f>IF($O237="","",INDEX(Firms!$N$5:$N$1004,$O237)&amp;"")</f>
        <v/>
      </c>
      <c r="D237" s="79">
        <f>IF($O237="","",INDEX(Firms!$P$5:$P$1004,$O237)&amp;"")</f>
        <v/>
      </c>
      <c r="E237" s="79">
        <f>IF($O237="","",INDEX(Firms!$O$5:$O$1004,$O237)&amp;"")</f>
        <v/>
      </c>
      <c r="F237" s="50">
        <f>IF($O237="","",IF(INDEX(Firms!$F$5:$F$1004,$O237)="","—",INDEX(Firms!$F$5:$F$1004,$O237)))</f>
        <v/>
      </c>
      <c r="G237" s="50">
        <f>IF($O237="","",IF(INDEX(Firms!$G$5:$G$1004,$O237)="","—",INDEX(Firms!$G$5:$G$1004,$O237)))</f>
        <v/>
      </c>
      <c r="H237" s="50">
        <f>IF($O237="","",IF(INDEX(Firms!$H$5:$H$1004,$O237)="","—",INDEX(Firms!$H$5:$H$1004,$O237)))</f>
        <v/>
      </c>
      <c r="I237" s="50">
        <f>IF($O237="","",IF(INDEX(Firms!$I$5:$I$1004,$O237)="","—",INDEX(Firms!$I$5:$I$1004,$O237)))</f>
        <v/>
      </c>
      <c r="J237" s="50">
        <f>IF($O237="","",IF(INDEX(Firms!$J$5:$J$1004,$O237)="","—",INDEX(Firms!$J$5:$J$1004,$O237)))</f>
        <v/>
      </c>
      <c r="K237" s="50">
        <f>IF($O237="","",IF(INDEX(Firms!$K$5:$K$1004,$O237)="","—",INDEX(Firms!$K$5:$K$1004,$O237)))</f>
        <v/>
      </c>
      <c r="L237" s="50">
        <f>IF($O237="","",IF(INDEX(Firms!$L$5:$L$1004,$O237)="","—",INDEX(Firms!$L$5:$L$1004,$O237)))</f>
        <v/>
      </c>
      <c r="M237" s="50">
        <f>IF($O237="","",IF(INDEX(Firms!$M$5:$M$1004,$O237)="","—",INDEX(Firms!$M$5:$M$1004,$O237)))</f>
        <v/>
      </c>
      <c r="O237">
        <f>IFERROR(MATCH(SMALL(Firms!$Y$5:$Y$1004,229),Firms!$W$5:$W$1004,0),"")</f>
        <v/>
      </c>
    </row>
    <row r="238">
      <c r="B238" s="78">
        <f>IF($O238="","",INDEX(Firms!$A$5:$A$1004,$O238))</f>
        <v/>
      </c>
      <c r="C238" s="79">
        <f>IF($O238="","",INDEX(Firms!$N$5:$N$1004,$O238)&amp;"")</f>
        <v/>
      </c>
      <c r="D238" s="79">
        <f>IF($O238="","",INDEX(Firms!$P$5:$P$1004,$O238)&amp;"")</f>
        <v/>
      </c>
      <c r="E238" s="79">
        <f>IF($O238="","",INDEX(Firms!$O$5:$O$1004,$O238)&amp;"")</f>
        <v/>
      </c>
      <c r="F238" s="50">
        <f>IF($O238="","",IF(INDEX(Firms!$F$5:$F$1004,$O238)="","—",INDEX(Firms!$F$5:$F$1004,$O238)))</f>
        <v/>
      </c>
      <c r="G238" s="50">
        <f>IF($O238="","",IF(INDEX(Firms!$G$5:$G$1004,$O238)="","—",INDEX(Firms!$G$5:$G$1004,$O238)))</f>
        <v/>
      </c>
      <c r="H238" s="50">
        <f>IF($O238="","",IF(INDEX(Firms!$H$5:$H$1004,$O238)="","—",INDEX(Firms!$H$5:$H$1004,$O238)))</f>
        <v/>
      </c>
      <c r="I238" s="50">
        <f>IF($O238="","",IF(INDEX(Firms!$I$5:$I$1004,$O238)="","—",INDEX(Firms!$I$5:$I$1004,$O238)))</f>
        <v/>
      </c>
      <c r="J238" s="50">
        <f>IF($O238="","",IF(INDEX(Firms!$J$5:$J$1004,$O238)="","—",INDEX(Firms!$J$5:$J$1004,$O238)))</f>
        <v/>
      </c>
      <c r="K238" s="50">
        <f>IF($O238="","",IF(INDEX(Firms!$K$5:$K$1004,$O238)="","—",INDEX(Firms!$K$5:$K$1004,$O238)))</f>
        <v/>
      </c>
      <c r="L238" s="50">
        <f>IF($O238="","",IF(INDEX(Firms!$L$5:$L$1004,$O238)="","—",INDEX(Firms!$L$5:$L$1004,$O238)))</f>
        <v/>
      </c>
      <c r="M238" s="50">
        <f>IF($O238="","",IF(INDEX(Firms!$M$5:$M$1004,$O238)="","—",INDEX(Firms!$M$5:$M$1004,$O238)))</f>
        <v/>
      </c>
      <c r="O238">
        <f>IFERROR(MATCH(SMALL(Firms!$Y$5:$Y$1004,230),Firms!$W$5:$W$1004,0),"")</f>
        <v/>
      </c>
    </row>
    <row r="239">
      <c r="B239" s="78">
        <f>IF($O239="","",INDEX(Firms!$A$5:$A$1004,$O239))</f>
        <v/>
      </c>
      <c r="C239" s="79">
        <f>IF($O239="","",INDEX(Firms!$N$5:$N$1004,$O239)&amp;"")</f>
        <v/>
      </c>
      <c r="D239" s="79">
        <f>IF($O239="","",INDEX(Firms!$P$5:$P$1004,$O239)&amp;"")</f>
        <v/>
      </c>
      <c r="E239" s="79">
        <f>IF($O239="","",INDEX(Firms!$O$5:$O$1004,$O239)&amp;"")</f>
        <v/>
      </c>
      <c r="F239" s="50">
        <f>IF($O239="","",IF(INDEX(Firms!$F$5:$F$1004,$O239)="","—",INDEX(Firms!$F$5:$F$1004,$O239)))</f>
        <v/>
      </c>
      <c r="G239" s="50">
        <f>IF($O239="","",IF(INDEX(Firms!$G$5:$G$1004,$O239)="","—",INDEX(Firms!$G$5:$G$1004,$O239)))</f>
        <v/>
      </c>
      <c r="H239" s="50">
        <f>IF($O239="","",IF(INDEX(Firms!$H$5:$H$1004,$O239)="","—",INDEX(Firms!$H$5:$H$1004,$O239)))</f>
        <v/>
      </c>
      <c r="I239" s="50">
        <f>IF($O239="","",IF(INDEX(Firms!$I$5:$I$1004,$O239)="","—",INDEX(Firms!$I$5:$I$1004,$O239)))</f>
        <v/>
      </c>
      <c r="J239" s="50">
        <f>IF($O239="","",IF(INDEX(Firms!$J$5:$J$1004,$O239)="","—",INDEX(Firms!$J$5:$J$1004,$O239)))</f>
        <v/>
      </c>
      <c r="K239" s="50">
        <f>IF($O239="","",IF(INDEX(Firms!$K$5:$K$1004,$O239)="","—",INDEX(Firms!$K$5:$K$1004,$O239)))</f>
        <v/>
      </c>
      <c r="L239" s="50">
        <f>IF($O239="","",IF(INDEX(Firms!$L$5:$L$1004,$O239)="","—",INDEX(Firms!$L$5:$L$1004,$O239)))</f>
        <v/>
      </c>
      <c r="M239" s="50">
        <f>IF($O239="","",IF(INDEX(Firms!$M$5:$M$1004,$O239)="","—",INDEX(Firms!$M$5:$M$1004,$O239)))</f>
        <v/>
      </c>
      <c r="O239">
        <f>IFERROR(MATCH(SMALL(Firms!$Y$5:$Y$1004,231),Firms!$W$5:$W$1004,0),"")</f>
        <v/>
      </c>
    </row>
    <row r="240">
      <c r="B240" s="78">
        <f>IF($O240="","",INDEX(Firms!$A$5:$A$1004,$O240))</f>
        <v/>
      </c>
      <c r="C240" s="79">
        <f>IF($O240="","",INDEX(Firms!$N$5:$N$1004,$O240)&amp;"")</f>
        <v/>
      </c>
      <c r="D240" s="79">
        <f>IF($O240="","",INDEX(Firms!$P$5:$P$1004,$O240)&amp;"")</f>
        <v/>
      </c>
      <c r="E240" s="79">
        <f>IF($O240="","",INDEX(Firms!$O$5:$O$1004,$O240)&amp;"")</f>
        <v/>
      </c>
      <c r="F240" s="50">
        <f>IF($O240="","",IF(INDEX(Firms!$F$5:$F$1004,$O240)="","—",INDEX(Firms!$F$5:$F$1004,$O240)))</f>
        <v/>
      </c>
      <c r="G240" s="50">
        <f>IF($O240="","",IF(INDEX(Firms!$G$5:$G$1004,$O240)="","—",INDEX(Firms!$G$5:$G$1004,$O240)))</f>
        <v/>
      </c>
      <c r="H240" s="50">
        <f>IF($O240="","",IF(INDEX(Firms!$H$5:$H$1004,$O240)="","—",INDEX(Firms!$H$5:$H$1004,$O240)))</f>
        <v/>
      </c>
      <c r="I240" s="50">
        <f>IF($O240="","",IF(INDEX(Firms!$I$5:$I$1004,$O240)="","—",INDEX(Firms!$I$5:$I$1004,$O240)))</f>
        <v/>
      </c>
      <c r="J240" s="50">
        <f>IF($O240="","",IF(INDEX(Firms!$J$5:$J$1004,$O240)="","—",INDEX(Firms!$J$5:$J$1004,$O240)))</f>
        <v/>
      </c>
      <c r="K240" s="50">
        <f>IF($O240="","",IF(INDEX(Firms!$K$5:$K$1004,$O240)="","—",INDEX(Firms!$K$5:$K$1004,$O240)))</f>
        <v/>
      </c>
      <c r="L240" s="50">
        <f>IF($O240="","",IF(INDEX(Firms!$L$5:$L$1004,$O240)="","—",INDEX(Firms!$L$5:$L$1004,$O240)))</f>
        <v/>
      </c>
      <c r="M240" s="50">
        <f>IF($O240="","",IF(INDEX(Firms!$M$5:$M$1004,$O240)="","—",INDEX(Firms!$M$5:$M$1004,$O240)))</f>
        <v/>
      </c>
      <c r="O240">
        <f>IFERROR(MATCH(SMALL(Firms!$Y$5:$Y$1004,232),Firms!$W$5:$W$1004,0),"")</f>
        <v/>
      </c>
    </row>
    <row r="241">
      <c r="B241" s="78">
        <f>IF($O241="","",INDEX(Firms!$A$5:$A$1004,$O241))</f>
        <v/>
      </c>
      <c r="C241" s="79">
        <f>IF($O241="","",INDEX(Firms!$N$5:$N$1004,$O241)&amp;"")</f>
        <v/>
      </c>
      <c r="D241" s="79">
        <f>IF($O241="","",INDEX(Firms!$P$5:$P$1004,$O241)&amp;"")</f>
        <v/>
      </c>
      <c r="E241" s="79">
        <f>IF($O241="","",INDEX(Firms!$O$5:$O$1004,$O241)&amp;"")</f>
        <v/>
      </c>
      <c r="F241" s="50">
        <f>IF($O241="","",IF(INDEX(Firms!$F$5:$F$1004,$O241)="","—",INDEX(Firms!$F$5:$F$1004,$O241)))</f>
        <v/>
      </c>
      <c r="G241" s="50">
        <f>IF($O241="","",IF(INDEX(Firms!$G$5:$G$1004,$O241)="","—",INDEX(Firms!$G$5:$G$1004,$O241)))</f>
        <v/>
      </c>
      <c r="H241" s="50">
        <f>IF($O241="","",IF(INDEX(Firms!$H$5:$H$1004,$O241)="","—",INDEX(Firms!$H$5:$H$1004,$O241)))</f>
        <v/>
      </c>
      <c r="I241" s="50">
        <f>IF($O241="","",IF(INDEX(Firms!$I$5:$I$1004,$O241)="","—",INDEX(Firms!$I$5:$I$1004,$O241)))</f>
        <v/>
      </c>
      <c r="J241" s="50">
        <f>IF($O241="","",IF(INDEX(Firms!$J$5:$J$1004,$O241)="","—",INDEX(Firms!$J$5:$J$1004,$O241)))</f>
        <v/>
      </c>
      <c r="K241" s="50">
        <f>IF($O241="","",IF(INDEX(Firms!$K$5:$K$1004,$O241)="","—",INDEX(Firms!$K$5:$K$1004,$O241)))</f>
        <v/>
      </c>
      <c r="L241" s="50">
        <f>IF($O241="","",IF(INDEX(Firms!$L$5:$L$1004,$O241)="","—",INDEX(Firms!$L$5:$L$1004,$O241)))</f>
        <v/>
      </c>
      <c r="M241" s="50">
        <f>IF($O241="","",IF(INDEX(Firms!$M$5:$M$1004,$O241)="","—",INDEX(Firms!$M$5:$M$1004,$O241)))</f>
        <v/>
      </c>
      <c r="O241">
        <f>IFERROR(MATCH(SMALL(Firms!$Y$5:$Y$1004,233),Firms!$W$5:$W$1004,0),"")</f>
        <v/>
      </c>
    </row>
    <row r="242">
      <c r="B242" s="78">
        <f>IF($O242="","",INDEX(Firms!$A$5:$A$1004,$O242))</f>
        <v/>
      </c>
      <c r="C242" s="79">
        <f>IF($O242="","",INDEX(Firms!$N$5:$N$1004,$O242)&amp;"")</f>
        <v/>
      </c>
      <c r="D242" s="79">
        <f>IF($O242="","",INDEX(Firms!$P$5:$P$1004,$O242)&amp;"")</f>
        <v/>
      </c>
      <c r="E242" s="79">
        <f>IF($O242="","",INDEX(Firms!$O$5:$O$1004,$O242)&amp;"")</f>
        <v/>
      </c>
      <c r="F242" s="50">
        <f>IF($O242="","",IF(INDEX(Firms!$F$5:$F$1004,$O242)="","—",INDEX(Firms!$F$5:$F$1004,$O242)))</f>
        <v/>
      </c>
      <c r="G242" s="50">
        <f>IF($O242="","",IF(INDEX(Firms!$G$5:$G$1004,$O242)="","—",INDEX(Firms!$G$5:$G$1004,$O242)))</f>
        <v/>
      </c>
      <c r="H242" s="50">
        <f>IF($O242="","",IF(INDEX(Firms!$H$5:$H$1004,$O242)="","—",INDEX(Firms!$H$5:$H$1004,$O242)))</f>
        <v/>
      </c>
      <c r="I242" s="50">
        <f>IF($O242="","",IF(INDEX(Firms!$I$5:$I$1004,$O242)="","—",INDEX(Firms!$I$5:$I$1004,$O242)))</f>
        <v/>
      </c>
      <c r="J242" s="50">
        <f>IF($O242="","",IF(INDEX(Firms!$J$5:$J$1004,$O242)="","—",INDEX(Firms!$J$5:$J$1004,$O242)))</f>
        <v/>
      </c>
      <c r="K242" s="50">
        <f>IF($O242="","",IF(INDEX(Firms!$K$5:$K$1004,$O242)="","—",INDEX(Firms!$K$5:$K$1004,$O242)))</f>
        <v/>
      </c>
      <c r="L242" s="50">
        <f>IF($O242="","",IF(INDEX(Firms!$L$5:$L$1004,$O242)="","—",INDEX(Firms!$L$5:$L$1004,$O242)))</f>
        <v/>
      </c>
      <c r="M242" s="50">
        <f>IF($O242="","",IF(INDEX(Firms!$M$5:$M$1004,$O242)="","—",INDEX(Firms!$M$5:$M$1004,$O242)))</f>
        <v/>
      </c>
      <c r="O242">
        <f>IFERROR(MATCH(SMALL(Firms!$Y$5:$Y$1004,234),Firms!$W$5:$W$1004,0),"")</f>
        <v/>
      </c>
    </row>
    <row r="243">
      <c r="B243" s="78">
        <f>IF($O243="","",INDEX(Firms!$A$5:$A$1004,$O243))</f>
        <v/>
      </c>
      <c r="C243" s="79">
        <f>IF($O243="","",INDEX(Firms!$N$5:$N$1004,$O243)&amp;"")</f>
        <v/>
      </c>
      <c r="D243" s="79">
        <f>IF($O243="","",INDEX(Firms!$P$5:$P$1004,$O243)&amp;"")</f>
        <v/>
      </c>
      <c r="E243" s="79">
        <f>IF($O243="","",INDEX(Firms!$O$5:$O$1004,$O243)&amp;"")</f>
        <v/>
      </c>
      <c r="F243" s="50">
        <f>IF($O243="","",IF(INDEX(Firms!$F$5:$F$1004,$O243)="","—",INDEX(Firms!$F$5:$F$1004,$O243)))</f>
        <v/>
      </c>
      <c r="G243" s="50">
        <f>IF($O243="","",IF(INDEX(Firms!$G$5:$G$1004,$O243)="","—",INDEX(Firms!$G$5:$G$1004,$O243)))</f>
        <v/>
      </c>
      <c r="H243" s="50">
        <f>IF($O243="","",IF(INDEX(Firms!$H$5:$H$1004,$O243)="","—",INDEX(Firms!$H$5:$H$1004,$O243)))</f>
        <v/>
      </c>
      <c r="I243" s="50">
        <f>IF($O243="","",IF(INDEX(Firms!$I$5:$I$1004,$O243)="","—",INDEX(Firms!$I$5:$I$1004,$O243)))</f>
        <v/>
      </c>
      <c r="J243" s="50">
        <f>IF($O243="","",IF(INDEX(Firms!$J$5:$J$1004,$O243)="","—",INDEX(Firms!$J$5:$J$1004,$O243)))</f>
        <v/>
      </c>
      <c r="K243" s="50">
        <f>IF($O243="","",IF(INDEX(Firms!$K$5:$K$1004,$O243)="","—",INDEX(Firms!$K$5:$K$1004,$O243)))</f>
        <v/>
      </c>
      <c r="L243" s="50">
        <f>IF($O243="","",IF(INDEX(Firms!$L$5:$L$1004,$O243)="","—",INDEX(Firms!$L$5:$L$1004,$O243)))</f>
        <v/>
      </c>
      <c r="M243" s="50">
        <f>IF($O243="","",IF(INDEX(Firms!$M$5:$M$1004,$O243)="","—",INDEX(Firms!$M$5:$M$1004,$O243)))</f>
        <v/>
      </c>
      <c r="O243">
        <f>IFERROR(MATCH(SMALL(Firms!$Y$5:$Y$1004,235),Firms!$W$5:$W$1004,0),"")</f>
        <v/>
      </c>
    </row>
    <row r="244">
      <c r="B244" s="78">
        <f>IF($O244="","",INDEX(Firms!$A$5:$A$1004,$O244))</f>
        <v/>
      </c>
      <c r="C244" s="79">
        <f>IF($O244="","",INDEX(Firms!$N$5:$N$1004,$O244)&amp;"")</f>
        <v/>
      </c>
      <c r="D244" s="79">
        <f>IF($O244="","",INDEX(Firms!$P$5:$P$1004,$O244)&amp;"")</f>
        <v/>
      </c>
      <c r="E244" s="79">
        <f>IF($O244="","",INDEX(Firms!$O$5:$O$1004,$O244)&amp;"")</f>
        <v/>
      </c>
      <c r="F244" s="50">
        <f>IF($O244="","",IF(INDEX(Firms!$F$5:$F$1004,$O244)="","—",INDEX(Firms!$F$5:$F$1004,$O244)))</f>
        <v/>
      </c>
      <c r="G244" s="50">
        <f>IF($O244="","",IF(INDEX(Firms!$G$5:$G$1004,$O244)="","—",INDEX(Firms!$G$5:$G$1004,$O244)))</f>
        <v/>
      </c>
      <c r="H244" s="50">
        <f>IF($O244="","",IF(INDEX(Firms!$H$5:$H$1004,$O244)="","—",INDEX(Firms!$H$5:$H$1004,$O244)))</f>
        <v/>
      </c>
      <c r="I244" s="50">
        <f>IF($O244="","",IF(INDEX(Firms!$I$5:$I$1004,$O244)="","—",INDEX(Firms!$I$5:$I$1004,$O244)))</f>
        <v/>
      </c>
      <c r="J244" s="50">
        <f>IF($O244="","",IF(INDEX(Firms!$J$5:$J$1004,$O244)="","—",INDEX(Firms!$J$5:$J$1004,$O244)))</f>
        <v/>
      </c>
      <c r="K244" s="50">
        <f>IF($O244="","",IF(INDEX(Firms!$K$5:$K$1004,$O244)="","—",INDEX(Firms!$K$5:$K$1004,$O244)))</f>
        <v/>
      </c>
      <c r="L244" s="50">
        <f>IF($O244="","",IF(INDEX(Firms!$L$5:$L$1004,$O244)="","—",INDEX(Firms!$L$5:$L$1004,$O244)))</f>
        <v/>
      </c>
      <c r="M244" s="50">
        <f>IF($O244="","",IF(INDEX(Firms!$M$5:$M$1004,$O244)="","—",INDEX(Firms!$M$5:$M$1004,$O244)))</f>
        <v/>
      </c>
      <c r="O244">
        <f>IFERROR(MATCH(SMALL(Firms!$Y$5:$Y$1004,236),Firms!$W$5:$W$1004,0),"")</f>
        <v/>
      </c>
    </row>
    <row r="245">
      <c r="B245" s="78">
        <f>IF($O245="","",INDEX(Firms!$A$5:$A$1004,$O245))</f>
        <v/>
      </c>
      <c r="C245" s="79">
        <f>IF($O245="","",INDEX(Firms!$N$5:$N$1004,$O245)&amp;"")</f>
        <v/>
      </c>
      <c r="D245" s="79">
        <f>IF($O245="","",INDEX(Firms!$P$5:$P$1004,$O245)&amp;"")</f>
        <v/>
      </c>
      <c r="E245" s="79">
        <f>IF($O245="","",INDEX(Firms!$O$5:$O$1004,$O245)&amp;"")</f>
        <v/>
      </c>
      <c r="F245" s="50">
        <f>IF($O245="","",IF(INDEX(Firms!$F$5:$F$1004,$O245)="","—",INDEX(Firms!$F$5:$F$1004,$O245)))</f>
        <v/>
      </c>
      <c r="G245" s="50">
        <f>IF($O245="","",IF(INDEX(Firms!$G$5:$G$1004,$O245)="","—",INDEX(Firms!$G$5:$G$1004,$O245)))</f>
        <v/>
      </c>
      <c r="H245" s="50">
        <f>IF($O245="","",IF(INDEX(Firms!$H$5:$H$1004,$O245)="","—",INDEX(Firms!$H$5:$H$1004,$O245)))</f>
        <v/>
      </c>
      <c r="I245" s="50">
        <f>IF($O245="","",IF(INDEX(Firms!$I$5:$I$1004,$O245)="","—",INDEX(Firms!$I$5:$I$1004,$O245)))</f>
        <v/>
      </c>
      <c r="J245" s="50">
        <f>IF($O245="","",IF(INDEX(Firms!$J$5:$J$1004,$O245)="","—",INDEX(Firms!$J$5:$J$1004,$O245)))</f>
        <v/>
      </c>
      <c r="K245" s="50">
        <f>IF($O245="","",IF(INDEX(Firms!$K$5:$K$1004,$O245)="","—",INDEX(Firms!$K$5:$K$1004,$O245)))</f>
        <v/>
      </c>
      <c r="L245" s="50">
        <f>IF($O245="","",IF(INDEX(Firms!$L$5:$L$1004,$O245)="","—",INDEX(Firms!$L$5:$L$1004,$O245)))</f>
        <v/>
      </c>
      <c r="M245" s="50">
        <f>IF($O245="","",IF(INDEX(Firms!$M$5:$M$1004,$O245)="","—",INDEX(Firms!$M$5:$M$1004,$O245)))</f>
        <v/>
      </c>
      <c r="O245">
        <f>IFERROR(MATCH(SMALL(Firms!$Y$5:$Y$1004,237),Firms!$W$5:$W$1004,0),"")</f>
        <v/>
      </c>
    </row>
    <row r="246">
      <c r="B246" s="78">
        <f>IF($O246="","",INDEX(Firms!$A$5:$A$1004,$O246))</f>
        <v/>
      </c>
      <c r="C246" s="79">
        <f>IF($O246="","",INDEX(Firms!$N$5:$N$1004,$O246)&amp;"")</f>
        <v/>
      </c>
      <c r="D246" s="79">
        <f>IF($O246="","",INDEX(Firms!$P$5:$P$1004,$O246)&amp;"")</f>
        <v/>
      </c>
      <c r="E246" s="79">
        <f>IF($O246="","",INDEX(Firms!$O$5:$O$1004,$O246)&amp;"")</f>
        <v/>
      </c>
      <c r="F246" s="50">
        <f>IF($O246="","",IF(INDEX(Firms!$F$5:$F$1004,$O246)="","—",INDEX(Firms!$F$5:$F$1004,$O246)))</f>
        <v/>
      </c>
      <c r="G246" s="50">
        <f>IF($O246="","",IF(INDEX(Firms!$G$5:$G$1004,$O246)="","—",INDEX(Firms!$G$5:$G$1004,$O246)))</f>
        <v/>
      </c>
      <c r="H246" s="50">
        <f>IF($O246="","",IF(INDEX(Firms!$H$5:$H$1004,$O246)="","—",INDEX(Firms!$H$5:$H$1004,$O246)))</f>
        <v/>
      </c>
      <c r="I246" s="50">
        <f>IF($O246="","",IF(INDEX(Firms!$I$5:$I$1004,$O246)="","—",INDEX(Firms!$I$5:$I$1004,$O246)))</f>
        <v/>
      </c>
      <c r="J246" s="50">
        <f>IF($O246="","",IF(INDEX(Firms!$J$5:$J$1004,$O246)="","—",INDEX(Firms!$J$5:$J$1004,$O246)))</f>
        <v/>
      </c>
      <c r="K246" s="50">
        <f>IF($O246="","",IF(INDEX(Firms!$K$5:$K$1004,$O246)="","—",INDEX(Firms!$K$5:$K$1004,$O246)))</f>
        <v/>
      </c>
      <c r="L246" s="50">
        <f>IF($O246="","",IF(INDEX(Firms!$L$5:$L$1004,$O246)="","—",INDEX(Firms!$L$5:$L$1004,$O246)))</f>
        <v/>
      </c>
      <c r="M246" s="50">
        <f>IF($O246="","",IF(INDEX(Firms!$M$5:$M$1004,$O246)="","—",INDEX(Firms!$M$5:$M$1004,$O246)))</f>
        <v/>
      </c>
      <c r="O246">
        <f>IFERROR(MATCH(SMALL(Firms!$Y$5:$Y$1004,238),Firms!$W$5:$W$1004,0),"")</f>
        <v/>
      </c>
    </row>
    <row r="247">
      <c r="B247" s="78">
        <f>IF($O247="","",INDEX(Firms!$A$5:$A$1004,$O247))</f>
        <v/>
      </c>
      <c r="C247" s="79">
        <f>IF($O247="","",INDEX(Firms!$N$5:$N$1004,$O247)&amp;"")</f>
        <v/>
      </c>
      <c r="D247" s="79">
        <f>IF($O247="","",INDEX(Firms!$P$5:$P$1004,$O247)&amp;"")</f>
        <v/>
      </c>
      <c r="E247" s="79">
        <f>IF($O247="","",INDEX(Firms!$O$5:$O$1004,$O247)&amp;"")</f>
        <v/>
      </c>
      <c r="F247" s="50">
        <f>IF($O247="","",IF(INDEX(Firms!$F$5:$F$1004,$O247)="","—",INDEX(Firms!$F$5:$F$1004,$O247)))</f>
        <v/>
      </c>
      <c r="G247" s="50">
        <f>IF($O247="","",IF(INDEX(Firms!$G$5:$G$1004,$O247)="","—",INDEX(Firms!$G$5:$G$1004,$O247)))</f>
        <v/>
      </c>
      <c r="H247" s="50">
        <f>IF($O247="","",IF(INDEX(Firms!$H$5:$H$1004,$O247)="","—",INDEX(Firms!$H$5:$H$1004,$O247)))</f>
        <v/>
      </c>
      <c r="I247" s="50">
        <f>IF($O247="","",IF(INDEX(Firms!$I$5:$I$1004,$O247)="","—",INDEX(Firms!$I$5:$I$1004,$O247)))</f>
        <v/>
      </c>
      <c r="J247" s="50">
        <f>IF($O247="","",IF(INDEX(Firms!$J$5:$J$1004,$O247)="","—",INDEX(Firms!$J$5:$J$1004,$O247)))</f>
        <v/>
      </c>
      <c r="K247" s="50">
        <f>IF($O247="","",IF(INDEX(Firms!$K$5:$K$1004,$O247)="","—",INDEX(Firms!$K$5:$K$1004,$O247)))</f>
        <v/>
      </c>
      <c r="L247" s="50">
        <f>IF($O247="","",IF(INDEX(Firms!$L$5:$L$1004,$O247)="","—",INDEX(Firms!$L$5:$L$1004,$O247)))</f>
        <v/>
      </c>
      <c r="M247" s="50">
        <f>IF($O247="","",IF(INDEX(Firms!$M$5:$M$1004,$O247)="","—",INDEX(Firms!$M$5:$M$1004,$O247)))</f>
        <v/>
      </c>
      <c r="O247">
        <f>IFERROR(MATCH(SMALL(Firms!$Y$5:$Y$1004,239),Firms!$W$5:$W$1004,0),"")</f>
        <v/>
      </c>
    </row>
    <row r="248">
      <c r="B248" s="78">
        <f>IF($O248="","",INDEX(Firms!$A$5:$A$1004,$O248))</f>
        <v/>
      </c>
      <c r="C248" s="79">
        <f>IF($O248="","",INDEX(Firms!$N$5:$N$1004,$O248)&amp;"")</f>
        <v/>
      </c>
      <c r="D248" s="79">
        <f>IF($O248="","",INDEX(Firms!$P$5:$P$1004,$O248)&amp;"")</f>
        <v/>
      </c>
      <c r="E248" s="79">
        <f>IF($O248="","",INDEX(Firms!$O$5:$O$1004,$O248)&amp;"")</f>
        <v/>
      </c>
      <c r="F248" s="50">
        <f>IF($O248="","",IF(INDEX(Firms!$F$5:$F$1004,$O248)="","—",INDEX(Firms!$F$5:$F$1004,$O248)))</f>
        <v/>
      </c>
      <c r="G248" s="50">
        <f>IF($O248="","",IF(INDEX(Firms!$G$5:$G$1004,$O248)="","—",INDEX(Firms!$G$5:$G$1004,$O248)))</f>
        <v/>
      </c>
      <c r="H248" s="50">
        <f>IF($O248="","",IF(INDEX(Firms!$H$5:$H$1004,$O248)="","—",INDEX(Firms!$H$5:$H$1004,$O248)))</f>
        <v/>
      </c>
      <c r="I248" s="50">
        <f>IF($O248="","",IF(INDEX(Firms!$I$5:$I$1004,$O248)="","—",INDEX(Firms!$I$5:$I$1004,$O248)))</f>
        <v/>
      </c>
      <c r="J248" s="50">
        <f>IF($O248="","",IF(INDEX(Firms!$J$5:$J$1004,$O248)="","—",INDEX(Firms!$J$5:$J$1004,$O248)))</f>
        <v/>
      </c>
      <c r="K248" s="50">
        <f>IF($O248="","",IF(INDEX(Firms!$K$5:$K$1004,$O248)="","—",INDEX(Firms!$K$5:$K$1004,$O248)))</f>
        <v/>
      </c>
      <c r="L248" s="50">
        <f>IF($O248="","",IF(INDEX(Firms!$L$5:$L$1004,$O248)="","—",INDEX(Firms!$L$5:$L$1004,$O248)))</f>
        <v/>
      </c>
      <c r="M248" s="50">
        <f>IF($O248="","",IF(INDEX(Firms!$M$5:$M$1004,$O248)="","—",INDEX(Firms!$M$5:$M$1004,$O248)))</f>
        <v/>
      </c>
      <c r="O248">
        <f>IFERROR(MATCH(SMALL(Firms!$Y$5:$Y$1004,240),Firms!$W$5:$W$1004,0),"")</f>
        <v/>
      </c>
    </row>
    <row r="249">
      <c r="B249" s="78">
        <f>IF($O249="","",INDEX(Firms!$A$5:$A$1004,$O249))</f>
        <v/>
      </c>
      <c r="C249" s="79">
        <f>IF($O249="","",INDEX(Firms!$N$5:$N$1004,$O249)&amp;"")</f>
        <v/>
      </c>
      <c r="D249" s="79">
        <f>IF($O249="","",INDEX(Firms!$P$5:$P$1004,$O249)&amp;"")</f>
        <v/>
      </c>
      <c r="E249" s="79">
        <f>IF($O249="","",INDEX(Firms!$O$5:$O$1004,$O249)&amp;"")</f>
        <v/>
      </c>
      <c r="F249" s="50">
        <f>IF($O249="","",IF(INDEX(Firms!$F$5:$F$1004,$O249)="","—",INDEX(Firms!$F$5:$F$1004,$O249)))</f>
        <v/>
      </c>
      <c r="G249" s="50">
        <f>IF($O249="","",IF(INDEX(Firms!$G$5:$G$1004,$O249)="","—",INDEX(Firms!$G$5:$G$1004,$O249)))</f>
        <v/>
      </c>
      <c r="H249" s="50">
        <f>IF($O249="","",IF(INDEX(Firms!$H$5:$H$1004,$O249)="","—",INDEX(Firms!$H$5:$H$1004,$O249)))</f>
        <v/>
      </c>
      <c r="I249" s="50">
        <f>IF($O249="","",IF(INDEX(Firms!$I$5:$I$1004,$O249)="","—",INDEX(Firms!$I$5:$I$1004,$O249)))</f>
        <v/>
      </c>
      <c r="J249" s="50">
        <f>IF($O249="","",IF(INDEX(Firms!$J$5:$J$1004,$O249)="","—",INDEX(Firms!$J$5:$J$1004,$O249)))</f>
        <v/>
      </c>
      <c r="K249" s="50">
        <f>IF($O249="","",IF(INDEX(Firms!$K$5:$K$1004,$O249)="","—",INDEX(Firms!$K$5:$K$1004,$O249)))</f>
        <v/>
      </c>
      <c r="L249" s="50">
        <f>IF($O249="","",IF(INDEX(Firms!$L$5:$L$1004,$O249)="","—",INDEX(Firms!$L$5:$L$1004,$O249)))</f>
        <v/>
      </c>
      <c r="M249" s="50">
        <f>IF($O249="","",IF(INDEX(Firms!$M$5:$M$1004,$O249)="","—",INDEX(Firms!$M$5:$M$1004,$O249)))</f>
        <v/>
      </c>
      <c r="O249">
        <f>IFERROR(MATCH(SMALL(Firms!$Y$5:$Y$1004,241),Firms!$W$5:$W$1004,0),"")</f>
        <v/>
      </c>
    </row>
    <row r="250">
      <c r="B250" s="78">
        <f>IF($O250="","",INDEX(Firms!$A$5:$A$1004,$O250))</f>
        <v/>
      </c>
      <c r="C250" s="79">
        <f>IF($O250="","",INDEX(Firms!$N$5:$N$1004,$O250)&amp;"")</f>
        <v/>
      </c>
      <c r="D250" s="79">
        <f>IF($O250="","",INDEX(Firms!$P$5:$P$1004,$O250)&amp;"")</f>
        <v/>
      </c>
      <c r="E250" s="79">
        <f>IF($O250="","",INDEX(Firms!$O$5:$O$1004,$O250)&amp;"")</f>
        <v/>
      </c>
      <c r="F250" s="50">
        <f>IF($O250="","",IF(INDEX(Firms!$F$5:$F$1004,$O250)="","—",INDEX(Firms!$F$5:$F$1004,$O250)))</f>
        <v/>
      </c>
      <c r="G250" s="50">
        <f>IF($O250="","",IF(INDEX(Firms!$G$5:$G$1004,$O250)="","—",INDEX(Firms!$G$5:$G$1004,$O250)))</f>
        <v/>
      </c>
      <c r="H250" s="50">
        <f>IF($O250="","",IF(INDEX(Firms!$H$5:$H$1004,$O250)="","—",INDEX(Firms!$H$5:$H$1004,$O250)))</f>
        <v/>
      </c>
      <c r="I250" s="50">
        <f>IF($O250="","",IF(INDEX(Firms!$I$5:$I$1004,$O250)="","—",INDEX(Firms!$I$5:$I$1004,$O250)))</f>
        <v/>
      </c>
      <c r="J250" s="50">
        <f>IF($O250="","",IF(INDEX(Firms!$J$5:$J$1004,$O250)="","—",INDEX(Firms!$J$5:$J$1004,$O250)))</f>
        <v/>
      </c>
      <c r="K250" s="50">
        <f>IF($O250="","",IF(INDEX(Firms!$K$5:$K$1004,$O250)="","—",INDEX(Firms!$K$5:$K$1004,$O250)))</f>
        <v/>
      </c>
      <c r="L250" s="50">
        <f>IF($O250="","",IF(INDEX(Firms!$L$5:$L$1004,$O250)="","—",INDEX(Firms!$L$5:$L$1004,$O250)))</f>
        <v/>
      </c>
      <c r="M250" s="50">
        <f>IF($O250="","",IF(INDEX(Firms!$M$5:$M$1004,$O250)="","—",INDEX(Firms!$M$5:$M$1004,$O250)))</f>
        <v/>
      </c>
      <c r="O250">
        <f>IFERROR(MATCH(SMALL(Firms!$Y$5:$Y$1004,242),Firms!$W$5:$W$1004,0),"")</f>
        <v/>
      </c>
    </row>
    <row r="251">
      <c r="B251" s="78">
        <f>IF($O251="","",INDEX(Firms!$A$5:$A$1004,$O251))</f>
        <v/>
      </c>
      <c r="C251" s="79">
        <f>IF($O251="","",INDEX(Firms!$N$5:$N$1004,$O251)&amp;"")</f>
        <v/>
      </c>
      <c r="D251" s="79">
        <f>IF($O251="","",INDEX(Firms!$P$5:$P$1004,$O251)&amp;"")</f>
        <v/>
      </c>
      <c r="E251" s="79">
        <f>IF($O251="","",INDEX(Firms!$O$5:$O$1004,$O251)&amp;"")</f>
        <v/>
      </c>
      <c r="F251" s="50">
        <f>IF($O251="","",IF(INDEX(Firms!$F$5:$F$1004,$O251)="","—",INDEX(Firms!$F$5:$F$1004,$O251)))</f>
        <v/>
      </c>
      <c r="G251" s="50">
        <f>IF($O251="","",IF(INDEX(Firms!$G$5:$G$1004,$O251)="","—",INDEX(Firms!$G$5:$G$1004,$O251)))</f>
        <v/>
      </c>
      <c r="H251" s="50">
        <f>IF($O251="","",IF(INDEX(Firms!$H$5:$H$1004,$O251)="","—",INDEX(Firms!$H$5:$H$1004,$O251)))</f>
        <v/>
      </c>
      <c r="I251" s="50">
        <f>IF($O251="","",IF(INDEX(Firms!$I$5:$I$1004,$O251)="","—",INDEX(Firms!$I$5:$I$1004,$O251)))</f>
        <v/>
      </c>
      <c r="J251" s="50">
        <f>IF($O251="","",IF(INDEX(Firms!$J$5:$J$1004,$O251)="","—",INDEX(Firms!$J$5:$J$1004,$O251)))</f>
        <v/>
      </c>
      <c r="K251" s="50">
        <f>IF($O251="","",IF(INDEX(Firms!$K$5:$K$1004,$O251)="","—",INDEX(Firms!$K$5:$K$1004,$O251)))</f>
        <v/>
      </c>
      <c r="L251" s="50">
        <f>IF($O251="","",IF(INDEX(Firms!$L$5:$L$1004,$O251)="","—",INDEX(Firms!$L$5:$L$1004,$O251)))</f>
        <v/>
      </c>
      <c r="M251" s="50">
        <f>IF($O251="","",IF(INDEX(Firms!$M$5:$M$1004,$O251)="","—",INDEX(Firms!$M$5:$M$1004,$O251)))</f>
        <v/>
      </c>
      <c r="O251">
        <f>IFERROR(MATCH(SMALL(Firms!$Y$5:$Y$1004,243),Firms!$W$5:$W$1004,0),"")</f>
        <v/>
      </c>
    </row>
    <row r="252">
      <c r="B252" s="78">
        <f>IF($O252="","",INDEX(Firms!$A$5:$A$1004,$O252))</f>
        <v/>
      </c>
      <c r="C252" s="79">
        <f>IF($O252="","",INDEX(Firms!$N$5:$N$1004,$O252)&amp;"")</f>
        <v/>
      </c>
      <c r="D252" s="79">
        <f>IF($O252="","",INDEX(Firms!$P$5:$P$1004,$O252)&amp;"")</f>
        <v/>
      </c>
      <c r="E252" s="79">
        <f>IF($O252="","",INDEX(Firms!$O$5:$O$1004,$O252)&amp;"")</f>
        <v/>
      </c>
      <c r="F252" s="50">
        <f>IF($O252="","",IF(INDEX(Firms!$F$5:$F$1004,$O252)="","—",INDEX(Firms!$F$5:$F$1004,$O252)))</f>
        <v/>
      </c>
      <c r="G252" s="50">
        <f>IF($O252="","",IF(INDEX(Firms!$G$5:$G$1004,$O252)="","—",INDEX(Firms!$G$5:$G$1004,$O252)))</f>
        <v/>
      </c>
      <c r="H252" s="50">
        <f>IF($O252="","",IF(INDEX(Firms!$H$5:$H$1004,$O252)="","—",INDEX(Firms!$H$5:$H$1004,$O252)))</f>
        <v/>
      </c>
      <c r="I252" s="50">
        <f>IF($O252="","",IF(INDEX(Firms!$I$5:$I$1004,$O252)="","—",INDEX(Firms!$I$5:$I$1004,$O252)))</f>
        <v/>
      </c>
      <c r="J252" s="50">
        <f>IF($O252="","",IF(INDEX(Firms!$J$5:$J$1004,$O252)="","—",INDEX(Firms!$J$5:$J$1004,$O252)))</f>
        <v/>
      </c>
      <c r="K252" s="50">
        <f>IF($O252="","",IF(INDEX(Firms!$K$5:$K$1004,$O252)="","—",INDEX(Firms!$K$5:$K$1004,$O252)))</f>
        <v/>
      </c>
      <c r="L252" s="50">
        <f>IF($O252="","",IF(INDEX(Firms!$L$5:$L$1004,$O252)="","—",INDEX(Firms!$L$5:$L$1004,$O252)))</f>
        <v/>
      </c>
      <c r="M252" s="50">
        <f>IF($O252="","",IF(INDEX(Firms!$M$5:$M$1004,$O252)="","—",INDEX(Firms!$M$5:$M$1004,$O252)))</f>
        <v/>
      </c>
      <c r="O252">
        <f>IFERROR(MATCH(SMALL(Firms!$Y$5:$Y$1004,244),Firms!$W$5:$W$1004,0),"")</f>
        <v/>
      </c>
    </row>
    <row r="253">
      <c r="B253" s="78">
        <f>IF($O253="","",INDEX(Firms!$A$5:$A$1004,$O253))</f>
        <v/>
      </c>
      <c r="C253" s="79">
        <f>IF($O253="","",INDEX(Firms!$N$5:$N$1004,$O253)&amp;"")</f>
        <v/>
      </c>
      <c r="D253" s="79">
        <f>IF($O253="","",INDEX(Firms!$P$5:$P$1004,$O253)&amp;"")</f>
        <v/>
      </c>
      <c r="E253" s="79">
        <f>IF($O253="","",INDEX(Firms!$O$5:$O$1004,$O253)&amp;"")</f>
        <v/>
      </c>
      <c r="F253" s="50">
        <f>IF($O253="","",IF(INDEX(Firms!$F$5:$F$1004,$O253)="","—",INDEX(Firms!$F$5:$F$1004,$O253)))</f>
        <v/>
      </c>
      <c r="G253" s="50">
        <f>IF($O253="","",IF(INDEX(Firms!$G$5:$G$1004,$O253)="","—",INDEX(Firms!$G$5:$G$1004,$O253)))</f>
        <v/>
      </c>
      <c r="H253" s="50">
        <f>IF($O253="","",IF(INDEX(Firms!$H$5:$H$1004,$O253)="","—",INDEX(Firms!$H$5:$H$1004,$O253)))</f>
        <v/>
      </c>
      <c r="I253" s="50">
        <f>IF($O253="","",IF(INDEX(Firms!$I$5:$I$1004,$O253)="","—",INDEX(Firms!$I$5:$I$1004,$O253)))</f>
        <v/>
      </c>
      <c r="J253" s="50">
        <f>IF($O253="","",IF(INDEX(Firms!$J$5:$J$1004,$O253)="","—",INDEX(Firms!$J$5:$J$1004,$O253)))</f>
        <v/>
      </c>
      <c r="K253" s="50">
        <f>IF($O253="","",IF(INDEX(Firms!$K$5:$K$1004,$O253)="","—",INDEX(Firms!$K$5:$K$1004,$O253)))</f>
        <v/>
      </c>
      <c r="L253" s="50">
        <f>IF($O253="","",IF(INDEX(Firms!$L$5:$L$1004,$O253)="","—",INDEX(Firms!$L$5:$L$1004,$O253)))</f>
        <v/>
      </c>
      <c r="M253" s="50">
        <f>IF($O253="","",IF(INDEX(Firms!$M$5:$M$1004,$O253)="","—",INDEX(Firms!$M$5:$M$1004,$O253)))</f>
        <v/>
      </c>
      <c r="O253">
        <f>IFERROR(MATCH(SMALL(Firms!$Y$5:$Y$1004,245),Firms!$W$5:$W$1004,0),"")</f>
        <v/>
      </c>
    </row>
    <row r="254">
      <c r="B254" s="78">
        <f>IF($O254="","",INDEX(Firms!$A$5:$A$1004,$O254))</f>
        <v/>
      </c>
      <c r="C254" s="79">
        <f>IF($O254="","",INDEX(Firms!$N$5:$N$1004,$O254)&amp;"")</f>
        <v/>
      </c>
      <c r="D254" s="79">
        <f>IF($O254="","",INDEX(Firms!$P$5:$P$1004,$O254)&amp;"")</f>
        <v/>
      </c>
      <c r="E254" s="79">
        <f>IF($O254="","",INDEX(Firms!$O$5:$O$1004,$O254)&amp;"")</f>
        <v/>
      </c>
      <c r="F254" s="50">
        <f>IF($O254="","",IF(INDEX(Firms!$F$5:$F$1004,$O254)="","—",INDEX(Firms!$F$5:$F$1004,$O254)))</f>
        <v/>
      </c>
      <c r="G254" s="50">
        <f>IF($O254="","",IF(INDEX(Firms!$G$5:$G$1004,$O254)="","—",INDEX(Firms!$G$5:$G$1004,$O254)))</f>
        <v/>
      </c>
      <c r="H254" s="50">
        <f>IF($O254="","",IF(INDEX(Firms!$H$5:$H$1004,$O254)="","—",INDEX(Firms!$H$5:$H$1004,$O254)))</f>
        <v/>
      </c>
      <c r="I254" s="50">
        <f>IF($O254="","",IF(INDEX(Firms!$I$5:$I$1004,$O254)="","—",INDEX(Firms!$I$5:$I$1004,$O254)))</f>
        <v/>
      </c>
      <c r="J254" s="50">
        <f>IF($O254="","",IF(INDEX(Firms!$J$5:$J$1004,$O254)="","—",INDEX(Firms!$J$5:$J$1004,$O254)))</f>
        <v/>
      </c>
      <c r="K254" s="50">
        <f>IF($O254="","",IF(INDEX(Firms!$K$5:$K$1004,$O254)="","—",INDEX(Firms!$K$5:$K$1004,$O254)))</f>
        <v/>
      </c>
      <c r="L254" s="50">
        <f>IF($O254="","",IF(INDEX(Firms!$L$5:$L$1004,$O254)="","—",INDEX(Firms!$L$5:$L$1004,$O254)))</f>
        <v/>
      </c>
      <c r="M254" s="50">
        <f>IF($O254="","",IF(INDEX(Firms!$M$5:$M$1004,$O254)="","—",INDEX(Firms!$M$5:$M$1004,$O254)))</f>
        <v/>
      </c>
      <c r="O254">
        <f>IFERROR(MATCH(SMALL(Firms!$Y$5:$Y$1004,246),Firms!$W$5:$W$1004,0),"")</f>
        <v/>
      </c>
    </row>
    <row r="255">
      <c r="B255" s="78">
        <f>IF($O255="","",INDEX(Firms!$A$5:$A$1004,$O255))</f>
        <v/>
      </c>
      <c r="C255" s="79">
        <f>IF($O255="","",INDEX(Firms!$N$5:$N$1004,$O255)&amp;"")</f>
        <v/>
      </c>
      <c r="D255" s="79">
        <f>IF($O255="","",INDEX(Firms!$P$5:$P$1004,$O255)&amp;"")</f>
        <v/>
      </c>
      <c r="E255" s="79">
        <f>IF($O255="","",INDEX(Firms!$O$5:$O$1004,$O255)&amp;"")</f>
        <v/>
      </c>
      <c r="F255" s="50">
        <f>IF($O255="","",IF(INDEX(Firms!$F$5:$F$1004,$O255)="","—",INDEX(Firms!$F$5:$F$1004,$O255)))</f>
        <v/>
      </c>
      <c r="G255" s="50">
        <f>IF($O255="","",IF(INDEX(Firms!$G$5:$G$1004,$O255)="","—",INDEX(Firms!$G$5:$G$1004,$O255)))</f>
        <v/>
      </c>
      <c r="H255" s="50">
        <f>IF($O255="","",IF(INDEX(Firms!$H$5:$H$1004,$O255)="","—",INDEX(Firms!$H$5:$H$1004,$O255)))</f>
        <v/>
      </c>
      <c r="I255" s="50">
        <f>IF($O255="","",IF(INDEX(Firms!$I$5:$I$1004,$O255)="","—",INDEX(Firms!$I$5:$I$1004,$O255)))</f>
        <v/>
      </c>
      <c r="J255" s="50">
        <f>IF($O255="","",IF(INDEX(Firms!$J$5:$J$1004,$O255)="","—",INDEX(Firms!$J$5:$J$1004,$O255)))</f>
        <v/>
      </c>
      <c r="K255" s="50">
        <f>IF($O255="","",IF(INDEX(Firms!$K$5:$K$1004,$O255)="","—",INDEX(Firms!$K$5:$K$1004,$O255)))</f>
        <v/>
      </c>
      <c r="L255" s="50">
        <f>IF($O255="","",IF(INDEX(Firms!$L$5:$L$1004,$O255)="","—",INDEX(Firms!$L$5:$L$1004,$O255)))</f>
        <v/>
      </c>
      <c r="M255" s="50">
        <f>IF($O255="","",IF(INDEX(Firms!$M$5:$M$1004,$O255)="","—",INDEX(Firms!$M$5:$M$1004,$O255)))</f>
        <v/>
      </c>
      <c r="O255">
        <f>IFERROR(MATCH(SMALL(Firms!$Y$5:$Y$1004,247),Firms!$W$5:$W$1004,0),"")</f>
        <v/>
      </c>
    </row>
    <row r="256">
      <c r="B256" s="78">
        <f>IF($O256="","",INDEX(Firms!$A$5:$A$1004,$O256))</f>
        <v/>
      </c>
      <c r="C256" s="79">
        <f>IF($O256="","",INDEX(Firms!$N$5:$N$1004,$O256)&amp;"")</f>
        <v/>
      </c>
      <c r="D256" s="79">
        <f>IF($O256="","",INDEX(Firms!$P$5:$P$1004,$O256)&amp;"")</f>
        <v/>
      </c>
      <c r="E256" s="79">
        <f>IF($O256="","",INDEX(Firms!$O$5:$O$1004,$O256)&amp;"")</f>
        <v/>
      </c>
      <c r="F256" s="50">
        <f>IF($O256="","",IF(INDEX(Firms!$F$5:$F$1004,$O256)="","—",INDEX(Firms!$F$5:$F$1004,$O256)))</f>
        <v/>
      </c>
      <c r="G256" s="50">
        <f>IF($O256="","",IF(INDEX(Firms!$G$5:$G$1004,$O256)="","—",INDEX(Firms!$G$5:$G$1004,$O256)))</f>
        <v/>
      </c>
      <c r="H256" s="50">
        <f>IF($O256="","",IF(INDEX(Firms!$H$5:$H$1004,$O256)="","—",INDEX(Firms!$H$5:$H$1004,$O256)))</f>
        <v/>
      </c>
      <c r="I256" s="50">
        <f>IF($O256="","",IF(INDEX(Firms!$I$5:$I$1004,$O256)="","—",INDEX(Firms!$I$5:$I$1004,$O256)))</f>
        <v/>
      </c>
      <c r="J256" s="50">
        <f>IF($O256="","",IF(INDEX(Firms!$J$5:$J$1004,$O256)="","—",INDEX(Firms!$J$5:$J$1004,$O256)))</f>
        <v/>
      </c>
      <c r="K256" s="50">
        <f>IF($O256="","",IF(INDEX(Firms!$K$5:$K$1004,$O256)="","—",INDEX(Firms!$K$5:$K$1004,$O256)))</f>
        <v/>
      </c>
      <c r="L256" s="50">
        <f>IF($O256="","",IF(INDEX(Firms!$L$5:$L$1004,$O256)="","—",INDEX(Firms!$L$5:$L$1004,$O256)))</f>
        <v/>
      </c>
      <c r="M256" s="50">
        <f>IF($O256="","",IF(INDEX(Firms!$M$5:$M$1004,$O256)="","—",INDEX(Firms!$M$5:$M$1004,$O256)))</f>
        <v/>
      </c>
      <c r="O256">
        <f>IFERROR(MATCH(SMALL(Firms!$Y$5:$Y$1004,248),Firms!$W$5:$W$1004,0),"")</f>
        <v/>
      </c>
    </row>
    <row r="257">
      <c r="B257" s="78">
        <f>IF($O257="","",INDEX(Firms!$A$5:$A$1004,$O257))</f>
        <v/>
      </c>
      <c r="C257" s="79">
        <f>IF($O257="","",INDEX(Firms!$N$5:$N$1004,$O257)&amp;"")</f>
        <v/>
      </c>
      <c r="D257" s="79">
        <f>IF($O257="","",INDEX(Firms!$P$5:$P$1004,$O257)&amp;"")</f>
        <v/>
      </c>
      <c r="E257" s="79">
        <f>IF($O257="","",INDEX(Firms!$O$5:$O$1004,$O257)&amp;"")</f>
        <v/>
      </c>
      <c r="F257" s="50">
        <f>IF($O257="","",IF(INDEX(Firms!$F$5:$F$1004,$O257)="","—",INDEX(Firms!$F$5:$F$1004,$O257)))</f>
        <v/>
      </c>
      <c r="G257" s="50">
        <f>IF($O257="","",IF(INDEX(Firms!$G$5:$G$1004,$O257)="","—",INDEX(Firms!$G$5:$G$1004,$O257)))</f>
        <v/>
      </c>
      <c r="H257" s="50">
        <f>IF($O257="","",IF(INDEX(Firms!$H$5:$H$1004,$O257)="","—",INDEX(Firms!$H$5:$H$1004,$O257)))</f>
        <v/>
      </c>
      <c r="I257" s="50">
        <f>IF($O257="","",IF(INDEX(Firms!$I$5:$I$1004,$O257)="","—",INDEX(Firms!$I$5:$I$1004,$O257)))</f>
        <v/>
      </c>
      <c r="J257" s="50">
        <f>IF($O257="","",IF(INDEX(Firms!$J$5:$J$1004,$O257)="","—",INDEX(Firms!$J$5:$J$1004,$O257)))</f>
        <v/>
      </c>
      <c r="K257" s="50">
        <f>IF($O257="","",IF(INDEX(Firms!$K$5:$K$1004,$O257)="","—",INDEX(Firms!$K$5:$K$1004,$O257)))</f>
        <v/>
      </c>
      <c r="L257" s="50">
        <f>IF($O257="","",IF(INDEX(Firms!$L$5:$L$1004,$O257)="","—",INDEX(Firms!$L$5:$L$1004,$O257)))</f>
        <v/>
      </c>
      <c r="M257" s="50">
        <f>IF($O257="","",IF(INDEX(Firms!$M$5:$M$1004,$O257)="","—",INDEX(Firms!$M$5:$M$1004,$O257)))</f>
        <v/>
      </c>
      <c r="O257">
        <f>IFERROR(MATCH(SMALL(Firms!$Y$5:$Y$1004,249),Firms!$W$5:$W$1004,0),"")</f>
        <v/>
      </c>
    </row>
    <row r="258">
      <c r="B258" s="78">
        <f>IF($O258="","",INDEX(Firms!$A$5:$A$1004,$O258))</f>
        <v/>
      </c>
      <c r="C258" s="79">
        <f>IF($O258="","",INDEX(Firms!$N$5:$N$1004,$O258)&amp;"")</f>
        <v/>
      </c>
      <c r="D258" s="79">
        <f>IF($O258="","",INDEX(Firms!$P$5:$P$1004,$O258)&amp;"")</f>
        <v/>
      </c>
      <c r="E258" s="79">
        <f>IF($O258="","",INDEX(Firms!$O$5:$O$1004,$O258)&amp;"")</f>
        <v/>
      </c>
      <c r="F258" s="50">
        <f>IF($O258="","",IF(INDEX(Firms!$F$5:$F$1004,$O258)="","—",INDEX(Firms!$F$5:$F$1004,$O258)))</f>
        <v/>
      </c>
      <c r="G258" s="50">
        <f>IF($O258="","",IF(INDEX(Firms!$G$5:$G$1004,$O258)="","—",INDEX(Firms!$G$5:$G$1004,$O258)))</f>
        <v/>
      </c>
      <c r="H258" s="50">
        <f>IF($O258="","",IF(INDEX(Firms!$H$5:$H$1004,$O258)="","—",INDEX(Firms!$H$5:$H$1004,$O258)))</f>
        <v/>
      </c>
      <c r="I258" s="50">
        <f>IF($O258="","",IF(INDEX(Firms!$I$5:$I$1004,$O258)="","—",INDEX(Firms!$I$5:$I$1004,$O258)))</f>
        <v/>
      </c>
      <c r="J258" s="50">
        <f>IF($O258="","",IF(INDEX(Firms!$J$5:$J$1004,$O258)="","—",INDEX(Firms!$J$5:$J$1004,$O258)))</f>
        <v/>
      </c>
      <c r="K258" s="50">
        <f>IF($O258="","",IF(INDEX(Firms!$K$5:$K$1004,$O258)="","—",INDEX(Firms!$K$5:$K$1004,$O258)))</f>
        <v/>
      </c>
      <c r="L258" s="50">
        <f>IF($O258="","",IF(INDEX(Firms!$L$5:$L$1004,$O258)="","—",INDEX(Firms!$L$5:$L$1004,$O258)))</f>
        <v/>
      </c>
      <c r="M258" s="50">
        <f>IF($O258="","",IF(INDEX(Firms!$M$5:$M$1004,$O258)="","—",INDEX(Firms!$M$5:$M$1004,$O258)))</f>
        <v/>
      </c>
      <c r="O258">
        <f>IFERROR(MATCH(SMALL(Firms!$Y$5:$Y$1004,250),Firms!$W$5:$W$1004,0),"")</f>
        <v/>
      </c>
    </row>
    <row r="259">
      <c r="B259" s="78">
        <f>IF($O259="","",INDEX(Firms!$A$5:$A$1004,$O259))</f>
        <v/>
      </c>
      <c r="C259" s="79">
        <f>IF($O259="","",INDEX(Firms!$N$5:$N$1004,$O259)&amp;"")</f>
        <v/>
      </c>
      <c r="D259" s="79">
        <f>IF($O259="","",INDEX(Firms!$P$5:$P$1004,$O259)&amp;"")</f>
        <v/>
      </c>
      <c r="E259" s="79">
        <f>IF($O259="","",INDEX(Firms!$O$5:$O$1004,$O259)&amp;"")</f>
        <v/>
      </c>
      <c r="F259" s="50">
        <f>IF($O259="","",IF(INDEX(Firms!$F$5:$F$1004,$O259)="","—",INDEX(Firms!$F$5:$F$1004,$O259)))</f>
        <v/>
      </c>
      <c r="G259" s="50">
        <f>IF($O259="","",IF(INDEX(Firms!$G$5:$G$1004,$O259)="","—",INDEX(Firms!$G$5:$G$1004,$O259)))</f>
        <v/>
      </c>
      <c r="H259" s="50">
        <f>IF($O259="","",IF(INDEX(Firms!$H$5:$H$1004,$O259)="","—",INDEX(Firms!$H$5:$H$1004,$O259)))</f>
        <v/>
      </c>
      <c r="I259" s="50">
        <f>IF($O259="","",IF(INDEX(Firms!$I$5:$I$1004,$O259)="","—",INDEX(Firms!$I$5:$I$1004,$O259)))</f>
        <v/>
      </c>
      <c r="J259" s="50">
        <f>IF($O259="","",IF(INDEX(Firms!$J$5:$J$1004,$O259)="","—",INDEX(Firms!$J$5:$J$1004,$O259)))</f>
        <v/>
      </c>
      <c r="K259" s="50">
        <f>IF($O259="","",IF(INDEX(Firms!$K$5:$K$1004,$O259)="","—",INDEX(Firms!$K$5:$K$1004,$O259)))</f>
        <v/>
      </c>
      <c r="L259" s="50">
        <f>IF($O259="","",IF(INDEX(Firms!$L$5:$L$1004,$O259)="","—",INDEX(Firms!$L$5:$L$1004,$O259)))</f>
        <v/>
      </c>
      <c r="M259" s="50">
        <f>IF($O259="","",IF(INDEX(Firms!$M$5:$M$1004,$O259)="","—",INDEX(Firms!$M$5:$M$1004,$O259)))</f>
        <v/>
      </c>
      <c r="O259">
        <f>IFERROR(MATCH(SMALL(Firms!$Y$5:$Y$1004,251),Firms!$W$5:$W$1004,0),"")</f>
        <v/>
      </c>
    </row>
    <row r="260">
      <c r="B260" s="78">
        <f>IF($O260="","",INDEX(Firms!$A$5:$A$1004,$O260))</f>
        <v/>
      </c>
      <c r="C260" s="79">
        <f>IF($O260="","",INDEX(Firms!$N$5:$N$1004,$O260)&amp;"")</f>
        <v/>
      </c>
      <c r="D260" s="79">
        <f>IF($O260="","",INDEX(Firms!$P$5:$P$1004,$O260)&amp;"")</f>
        <v/>
      </c>
      <c r="E260" s="79">
        <f>IF($O260="","",INDEX(Firms!$O$5:$O$1004,$O260)&amp;"")</f>
        <v/>
      </c>
      <c r="F260" s="50">
        <f>IF($O260="","",IF(INDEX(Firms!$F$5:$F$1004,$O260)="","—",INDEX(Firms!$F$5:$F$1004,$O260)))</f>
        <v/>
      </c>
      <c r="G260" s="50">
        <f>IF($O260="","",IF(INDEX(Firms!$G$5:$G$1004,$O260)="","—",INDEX(Firms!$G$5:$G$1004,$O260)))</f>
        <v/>
      </c>
      <c r="H260" s="50">
        <f>IF($O260="","",IF(INDEX(Firms!$H$5:$H$1004,$O260)="","—",INDEX(Firms!$H$5:$H$1004,$O260)))</f>
        <v/>
      </c>
      <c r="I260" s="50">
        <f>IF($O260="","",IF(INDEX(Firms!$I$5:$I$1004,$O260)="","—",INDEX(Firms!$I$5:$I$1004,$O260)))</f>
        <v/>
      </c>
      <c r="J260" s="50">
        <f>IF($O260="","",IF(INDEX(Firms!$J$5:$J$1004,$O260)="","—",INDEX(Firms!$J$5:$J$1004,$O260)))</f>
        <v/>
      </c>
      <c r="K260" s="50">
        <f>IF($O260="","",IF(INDEX(Firms!$K$5:$K$1004,$O260)="","—",INDEX(Firms!$K$5:$K$1004,$O260)))</f>
        <v/>
      </c>
      <c r="L260" s="50">
        <f>IF($O260="","",IF(INDEX(Firms!$L$5:$L$1004,$O260)="","—",INDEX(Firms!$L$5:$L$1004,$O260)))</f>
        <v/>
      </c>
      <c r="M260" s="50">
        <f>IF($O260="","",IF(INDEX(Firms!$M$5:$M$1004,$O260)="","—",INDEX(Firms!$M$5:$M$1004,$O260)))</f>
        <v/>
      </c>
      <c r="O260">
        <f>IFERROR(MATCH(SMALL(Firms!$Y$5:$Y$1004,252),Firms!$W$5:$W$1004,0),"")</f>
        <v/>
      </c>
    </row>
    <row r="261">
      <c r="B261" s="78">
        <f>IF($O261="","",INDEX(Firms!$A$5:$A$1004,$O261))</f>
        <v/>
      </c>
      <c r="C261" s="79">
        <f>IF($O261="","",INDEX(Firms!$N$5:$N$1004,$O261)&amp;"")</f>
        <v/>
      </c>
      <c r="D261" s="79">
        <f>IF($O261="","",INDEX(Firms!$P$5:$P$1004,$O261)&amp;"")</f>
        <v/>
      </c>
      <c r="E261" s="79">
        <f>IF($O261="","",INDEX(Firms!$O$5:$O$1004,$O261)&amp;"")</f>
        <v/>
      </c>
      <c r="F261" s="50">
        <f>IF($O261="","",IF(INDEX(Firms!$F$5:$F$1004,$O261)="","—",INDEX(Firms!$F$5:$F$1004,$O261)))</f>
        <v/>
      </c>
      <c r="G261" s="50">
        <f>IF($O261="","",IF(INDEX(Firms!$G$5:$G$1004,$O261)="","—",INDEX(Firms!$G$5:$G$1004,$O261)))</f>
        <v/>
      </c>
      <c r="H261" s="50">
        <f>IF($O261="","",IF(INDEX(Firms!$H$5:$H$1004,$O261)="","—",INDEX(Firms!$H$5:$H$1004,$O261)))</f>
        <v/>
      </c>
      <c r="I261" s="50">
        <f>IF($O261="","",IF(INDEX(Firms!$I$5:$I$1004,$O261)="","—",INDEX(Firms!$I$5:$I$1004,$O261)))</f>
        <v/>
      </c>
      <c r="J261" s="50">
        <f>IF($O261="","",IF(INDEX(Firms!$J$5:$J$1004,$O261)="","—",INDEX(Firms!$J$5:$J$1004,$O261)))</f>
        <v/>
      </c>
      <c r="K261" s="50">
        <f>IF($O261="","",IF(INDEX(Firms!$K$5:$K$1004,$O261)="","—",INDEX(Firms!$K$5:$K$1004,$O261)))</f>
        <v/>
      </c>
      <c r="L261" s="50">
        <f>IF($O261="","",IF(INDEX(Firms!$L$5:$L$1004,$O261)="","—",INDEX(Firms!$L$5:$L$1004,$O261)))</f>
        <v/>
      </c>
      <c r="M261" s="50">
        <f>IF($O261="","",IF(INDEX(Firms!$M$5:$M$1004,$O261)="","—",INDEX(Firms!$M$5:$M$1004,$O261)))</f>
        <v/>
      </c>
      <c r="O261">
        <f>IFERROR(MATCH(SMALL(Firms!$Y$5:$Y$1004,253),Firms!$W$5:$W$1004,0),"")</f>
        <v/>
      </c>
    </row>
    <row r="262">
      <c r="B262" s="78">
        <f>IF($O262="","",INDEX(Firms!$A$5:$A$1004,$O262))</f>
        <v/>
      </c>
      <c r="C262" s="79">
        <f>IF($O262="","",INDEX(Firms!$N$5:$N$1004,$O262)&amp;"")</f>
        <v/>
      </c>
      <c r="D262" s="79">
        <f>IF($O262="","",INDEX(Firms!$P$5:$P$1004,$O262)&amp;"")</f>
        <v/>
      </c>
      <c r="E262" s="79">
        <f>IF($O262="","",INDEX(Firms!$O$5:$O$1004,$O262)&amp;"")</f>
        <v/>
      </c>
      <c r="F262" s="50">
        <f>IF($O262="","",IF(INDEX(Firms!$F$5:$F$1004,$O262)="","—",INDEX(Firms!$F$5:$F$1004,$O262)))</f>
        <v/>
      </c>
      <c r="G262" s="50">
        <f>IF($O262="","",IF(INDEX(Firms!$G$5:$G$1004,$O262)="","—",INDEX(Firms!$G$5:$G$1004,$O262)))</f>
        <v/>
      </c>
      <c r="H262" s="50">
        <f>IF($O262="","",IF(INDEX(Firms!$H$5:$H$1004,$O262)="","—",INDEX(Firms!$H$5:$H$1004,$O262)))</f>
        <v/>
      </c>
      <c r="I262" s="50">
        <f>IF($O262="","",IF(INDEX(Firms!$I$5:$I$1004,$O262)="","—",INDEX(Firms!$I$5:$I$1004,$O262)))</f>
        <v/>
      </c>
      <c r="J262" s="50">
        <f>IF($O262="","",IF(INDEX(Firms!$J$5:$J$1004,$O262)="","—",INDEX(Firms!$J$5:$J$1004,$O262)))</f>
        <v/>
      </c>
      <c r="K262" s="50">
        <f>IF($O262="","",IF(INDEX(Firms!$K$5:$K$1004,$O262)="","—",INDEX(Firms!$K$5:$K$1004,$O262)))</f>
        <v/>
      </c>
      <c r="L262" s="50">
        <f>IF($O262="","",IF(INDEX(Firms!$L$5:$L$1004,$O262)="","—",INDEX(Firms!$L$5:$L$1004,$O262)))</f>
        <v/>
      </c>
      <c r="M262" s="50">
        <f>IF($O262="","",IF(INDEX(Firms!$M$5:$M$1004,$O262)="","—",INDEX(Firms!$M$5:$M$1004,$O262)))</f>
        <v/>
      </c>
      <c r="O262">
        <f>IFERROR(MATCH(SMALL(Firms!$Y$5:$Y$1004,254),Firms!$W$5:$W$1004,0),"")</f>
        <v/>
      </c>
    </row>
    <row r="263">
      <c r="B263" s="78">
        <f>IF($O263="","",INDEX(Firms!$A$5:$A$1004,$O263))</f>
        <v/>
      </c>
      <c r="C263" s="79">
        <f>IF($O263="","",INDEX(Firms!$N$5:$N$1004,$O263)&amp;"")</f>
        <v/>
      </c>
      <c r="D263" s="79">
        <f>IF($O263="","",INDEX(Firms!$P$5:$P$1004,$O263)&amp;"")</f>
        <v/>
      </c>
      <c r="E263" s="79">
        <f>IF($O263="","",INDEX(Firms!$O$5:$O$1004,$O263)&amp;"")</f>
        <v/>
      </c>
      <c r="F263" s="50">
        <f>IF($O263="","",IF(INDEX(Firms!$F$5:$F$1004,$O263)="","—",INDEX(Firms!$F$5:$F$1004,$O263)))</f>
        <v/>
      </c>
      <c r="G263" s="50">
        <f>IF($O263="","",IF(INDEX(Firms!$G$5:$G$1004,$O263)="","—",INDEX(Firms!$G$5:$G$1004,$O263)))</f>
        <v/>
      </c>
      <c r="H263" s="50">
        <f>IF($O263="","",IF(INDEX(Firms!$H$5:$H$1004,$O263)="","—",INDEX(Firms!$H$5:$H$1004,$O263)))</f>
        <v/>
      </c>
      <c r="I263" s="50">
        <f>IF($O263="","",IF(INDEX(Firms!$I$5:$I$1004,$O263)="","—",INDEX(Firms!$I$5:$I$1004,$O263)))</f>
        <v/>
      </c>
      <c r="J263" s="50">
        <f>IF($O263="","",IF(INDEX(Firms!$J$5:$J$1004,$O263)="","—",INDEX(Firms!$J$5:$J$1004,$O263)))</f>
        <v/>
      </c>
      <c r="K263" s="50">
        <f>IF($O263="","",IF(INDEX(Firms!$K$5:$K$1004,$O263)="","—",INDEX(Firms!$K$5:$K$1004,$O263)))</f>
        <v/>
      </c>
      <c r="L263" s="50">
        <f>IF($O263="","",IF(INDEX(Firms!$L$5:$L$1004,$O263)="","—",INDEX(Firms!$L$5:$L$1004,$O263)))</f>
        <v/>
      </c>
      <c r="M263" s="50">
        <f>IF($O263="","",IF(INDEX(Firms!$M$5:$M$1004,$O263)="","—",INDEX(Firms!$M$5:$M$1004,$O263)))</f>
        <v/>
      </c>
      <c r="O263">
        <f>IFERROR(MATCH(SMALL(Firms!$Y$5:$Y$1004,255),Firms!$W$5:$W$1004,0),"")</f>
        <v/>
      </c>
    </row>
    <row r="264">
      <c r="B264" s="78">
        <f>IF($O264="","",INDEX(Firms!$A$5:$A$1004,$O264))</f>
        <v/>
      </c>
      <c r="C264" s="79">
        <f>IF($O264="","",INDEX(Firms!$N$5:$N$1004,$O264)&amp;"")</f>
        <v/>
      </c>
      <c r="D264" s="79">
        <f>IF($O264="","",INDEX(Firms!$P$5:$P$1004,$O264)&amp;"")</f>
        <v/>
      </c>
      <c r="E264" s="79">
        <f>IF($O264="","",INDEX(Firms!$O$5:$O$1004,$O264)&amp;"")</f>
        <v/>
      </c>
      <c r="F264" s="50">
        <f>IF($O264="","",IF(INDEX(Firms!$F$5:$F$1004,$O264)="","—",INDEX(Firms!$F$5:$F$1004,$O264)))</f>
        <v/>
      </c>
      <c r="G264" s="50">
        <f>IF($O264="","",IF(INDEX(Firms!$G$5:$G$1004,$O264)="","—",INDEX(Firms!$G$5:$G$1004,$O264)))</f>
        <v/>
      </c>
      <c r="H264" s="50">
        <f>IF($O264="","",IF(INDEX(Firms!$H$5:$H$1004,$O264)="","—",INDEX(Firms!$H$5:$H$1004,$O264)))</f>
        <v/>
      </c>
      <c r="I264" s="50">
        <f>IF($O264="","",IF(INDEX(Firms!$I$5:$I$1004,$O264)="","—",INDEX(Firms!$I$5:$I$1004,$O264)))</f>
        <v/>
      </c>
      <c r="J264" s="50">
        <f>IF($O264="","",IF(INDEX(Firms!$J$5:$J$1004,$O264)="","—",INDEX(Firms!$J$5:$J$1004,$O264)))</f>
        <v/>
      </c>
      <c r="K264" s="50">
        <f>IF($O264="","",IF(INDEX(Firms!$K$5:$K$1004,$O264)="","—",INDEX(Firms!$K$5:$K$1004,$O264)))</f>
        <v/>
      </c>
      <c r="L264" s="50">
        <f>IF($O264="","",IF(INDEX(Firms!$L$5:$L$1004,$O264)="","—",INDEX(Firms!$L$5:$L$1004,$O264)))</f>
        <v/>
      </c>
      <c r="M264" s="50">
        <f>IF($O264="","",IF(INDEX(Firms!$M$5:$M$1004,$O264)="","—",INDEX(Firms!$M$5:$M$1004,$O264)))</f>
        <v/>
      </c>
      <c r="O264">
        <f>IFERROR(MATCH(SMALL(Firms!$Y$5:$Y$1004,256),Firms!$W$5:$W$1004,0),"")</f>
        <v/>
      </c>
    </row>
    <row r="265">
      <c r="B265" s="78">
        <f>IF($O265="","",INDEX(Firms!$A$5:$A$1004,$O265))</f>
        <v/>
      </c>
      <c r="C265" s="79">
        <f>IF($O265="","",INDEX(Firms!$N$5:$N$1004,$O265)&amp;"")</f>
        <v/>
      </c>
      <c r="D265" s="79">
        <f>IF($O265="","",INDEX(Firms!$P$5:$P$1004,$O265)&amp;"")</f>
        <v/>
      </c>
      <c r="E265" s="79">
        <f>IF($O265="","",INDEX(Firms!$O$5:$O$1004,$O265)&amp;"")</f>
        <v/>
      </c>
      <c r="F265" s="50">
        <f>IF($O265="","",IF(INDEX(Firms!$F$5:$F$1004,$O265)="","—",INDEX(Firms!$F$5:$F$1004,$O265)))</f>
        <v/>
      </c>
      <c r="G265" s="50">
        <f>IF($O265="","",IF(INDEX(Firms!$G$5:$G$1004,$O265)="","—",INDEX(Firms!$G$5:$G$1004,$O265)))</f>
        <v/>
      </c>
      <c r="H265" s="50">
        <f>IF($O265="","",IF(INDEX(Firms!$H$5:$H$1004,$O265)="","—",INDEX(Firms!$H$5:$H$1004,$O265)))</f>
        <v/>
      </c>
      <c r="I265" s="50">
        <f>IF($O265="","",IF(INDEX(Firms!$I$5:$I$1004,$O265)="","—",INDEX(Firms!$I$5:$I$1004,$O265)))</f>
        <v/>
      </c>
      <c r="J265" s="50">
        <f>IF($O265="","",IF(INDEX(Firms!$J$5:$J$1004,$O265)="","—",INDEX(Firms!$J$5:$J$1004,$O265)))</f>
        <v/>
      </c>
      <c r="K265" s="50">
        <f>IF($O265="","",IF(INDEX(Firms!$K$5:$K$1004,$O265)="","—",INDEX(Firms!$K$5:$K$1004,$O265)))</f>
        <v/>
      </c>
      <c r="L265" s="50">
        <f>IF($O265="","",IF(INDEX(Firms!$L$5:$L$1004,$O265)="","—",INDEX(Firms!$L$5:$L$1004,$O265)))</f>
        <v/>
      </c>
      <c r="M265" s="50">
        <f>IF($O265="","",IF(INDEX(Firms!$M$5:$M$1004,$O265)="","—",INDEX(Firms!$M$5:$M$1004,$O265)))</f>
        <v/>
      </c>
      <c r="O265">
        <f>IFERROR(MATCH(SMALL(Firms!$Y$5:$Y$1004,257),Firms!$W$5:$W$1004,0),"")</f>
        <v/>
      </c>
    </row>
    <row r="266">
      <c r="B266" s="78">
        <f>IF($O266="","",INDEX(Firms!$A$5:$A$1004,$O266))</f>
        <v/>
      </c>
      <c r="C266" s="79">
        <f>IF($O266="","",INDEX(Firms!$N$5:$N$1004,$O266)&amp;"")</f>
        <v/>
      </c>
      <c r="D266" s="79">
        <f>IF($O266="","",INDEX(Firms!$P$5:$P$1004,$O266)&amp;"")</f>
        <v/>
      </c>
      <c r="E266" s="79">
        <f>IF($O266="","",INDEX(Firms!$O$5:$O$1004,$O266)&amp;"")</f>
        <v/>
      </c>
      <c r="F266" s="50">
        <f>IF($O266="","",IF(INDEX(Firms!$F$5:$F$1004,$O266)="","—",INDEX(Firms!$F$5:$F$1004,$O266)))</f>
        <v/>
      </c>
      <c r="G266" s="50">
        <f>IF($O266="","",IF(INDEX(Firms!$G$5:$G$1004,$O266)="","—",INDEX(Firms!$G$5:$G$1004,$O266)))</f>
        <v/>
      </c>
      <c r="H266" s="50">
        <f>IF($O266="","",IF(INDEX(Firms!$H$5:$H$1004,$O266)="","—",INDEX(Firms!$H$5:$H$1004,$O266)))</f>
        <v/>
      </c>
      <c r="I266" s="50">
        <f>IF($O266="","",IF(INDEX(Firms!$I$5:$I$1004,$O266)="","—",INDEX(Firms!$I$5:$I$1004,$O266)))</f>
        <v/>
      </c>
      <c r="J266" s="50">
        <f>IF($O266="","",IF(INDEX(Firms!$J$5:$J$1004,$O266)="","—",INDEX(Firms!$J$5:$J$1004,$O266)))</f>
        <v/>
      </c>
      <c r="K266" s="50">
        <f>IF($O266="","",IF(INDEX(Firms!$K$5:$K$1004,$O266)="","—",INDEX(Firms!$K$5:$K$1004,$O266)))</f>
        <v/>
      </c>
      <c r="L266" s="50">
        <f>IF($O266="","",IF(INDEX(Firms!$L$5:$L$1004,$O266)="","—",INDEX(Firms!$L$5:$L$1004,$O266)))</f>
        <v/>
      </c>
      <c r="M266" s="50">
        <f>IF($O266="","",IF(INDEX(Firms!$M$5:$M$1004,$O266)="","—",INDEX(Firms!$M$5:$M$1004,$O266)))</f>
        <v/>
      </c>
      <c r="O266">
        <f>IFERROR(MATCH(SMALL(Firms!$Y$5:$Y$1004,258),Firms!$W$5:$W$1004,0),"")</f>
        <v/>
      </c>
    </row>
    <row r="267">
      <c r="B267" s="78">
        <f>IF($O267="","",INDEX(Firms!$A$5:$A$1004,$O267))</f>
        <v/>
      </c>
      <c r="C267" s="79">
        <f>IF($O267="","",INDEX(Firms!$N$5:$N$1004,$O267)&amp;"")</f>
        <v/>
      </c>
      <c r="D267" s="79">
        <f>IF($O267="","",INDEX(Firms!$P$5:$P$1004,$O267)&amp;"")</f>
        <v/>
      </c>
      <c r="E267" s="79">
        <f>IF($O267="","",INDEX(Firms!$O$5:$O$1004,$O267)&amp;"")</f>
        <v/>
      </c>
      <c r="F267" s="50">
        <f>IF($O267="","",IF(INDEX(Firms!$F$5:$F$1004,$O267)="","—",INDEX(Firms!$F$5:$F$1004,$O267)))</f>
        <v/>
      </c>
      <c r="G267" s="50">
        <f>IF($O267="","",IF(INDEX(Firms!$G$5:$G$1004,$O267)="","—",INDEX(Firms!$G$5:$G$1004,$O267)))</f>
        <v/>
      </c>
      <c r="H267" s="50">
        <f>IF($O267="","",IF(INDEX(Firms!$H$5:$H$1004,$O267)="","—",INDEX(Firms!$H$5:$H$1004,$O267)))</f>
        <v/>
      </c>
      <c r="I267" s="50">
        <f>IF($O267="","",IF(INDEX(Firms!$I$5:$I$1004,$O267)="","—",INDEX(Firms!$I$5:$I$1004,$O267)))</f>
        <v/>
      </c>
      <c r="J267" s="50">
        <f>IF($O267="","",IF(INDEX(Firms!$J$5:$J$1004,$O267)="","—",INDEX(Firms!$J$5:$J$1004,$O267)))</f>
        <v/>
      </c>
      <c r="K267" s="50">
        <f>IF($O267="","",IF(INDEX(Firms!$K$5:$K$1004,$O267)="","—",INDEX(Firms!$K$5:$K$1004,$O267)))</f>
        <v/>
      </c>
      <c r="L267" s="50">
        <f>IF($O267="","",IF(INDEX(Firms!$L$5:$L$1004,$O267)="","—",INDEX(Firms!$L$5:$L$1004,$O267)))</f>
        <v/>
      </c>
      <c r="M267" s="50">
        <f>IF($O267="","",IF(INDEX(Firms!$M$5:$M$1004,$O267)="","—",INDEX(Firms!$M$5:$M$1004,$O267)))</f>
        <v/>
      </c>
      <c r="O267">
        <f>IFERROR(MATCH(SMALL(Firms!$Y$5:$Y$1004,259),Firms!$W$5:$W$1004,0),"")</f>
        <v/>
      </c>
    </row>
    <row r="268">
      <c r="B268" s="78">
        <f>IF($O268="","",INDEX(Firms!$A$5:$A$1004,$O268))</f>
        <v/>
      </c>
      <c r="C268" s="79">
        <f>IF($O268="","",INDEX(Firms!$N$5:$N$1004,$O268)&amp;"")</f>
        <v/>
      </c>
      <c r="D268" s="79">
        <f>IF($O268="","",INDEX(Firms!$P$5:$P$1004,$O268)&amp;"")</f>
        <v/>
      </c>
      <c r="E268" s="79">
        <f>IF($O268="","",INDEX(Firms!$O$5:$O$1004,$O268)&amp;"")</f>
        <v/>
      </c>
      <c r="F268" s="50">
        <f>IF($O268="","",IF(INDEX(Firms!$F$5:$F$1004,$O268)="","—",INDEX(Firms!$F$5:$F$1004,$O268)))</f>
        <v/>
      </c>
      <c r="G268" s="50">
        <f>IF($O268="","",IF(INDEX(Firms!$G$5:$G$1004,$O268)="","—",INDEX(Firms!$G$5:$G$1004,$O268)))</f>
        <v/>
      </c>
      <c r="H268" s="50">
        <f>IF($O268="","",IF(INDEX(Firms!$H$5:$H$1004,$O268)="","—",INDEX(Firms!$H$5:$H$1004,$O268)))</f>
        <v/>
      </c>
      <c r="I268" s="50">
        <f>IF($O268="","",IF(INDEX(Firms!$I$5:$I$1004,$O268)="","—",INDEX(Firms!$I$5:$I$1004,$O268)))</f>
        <v/>
      </c>
      <c r="J268" s="50">
        <f>IF($O268="","",IF(INDEX(Firms!$J$5:$J$1004,$O268)="","—",INDEX(Firms!$J$5:$J$1004,$O268)))</f>
        <v/>
      </c>
      <c r="K268" s="50">
        <f>IF($O268="","",IF(INDEX(Firms!$K$5:$K$1004,$O268)="","—",INDEX(Firms!$K$5:$K$1004,$O268)))</f>
        <v/>
      </c>
      <c r="L268" s="50">
        <f>IF($O268="","",IF(INDEX(Firms!$L$5:$L$1004,$O268)="","—",INDEX(Firms!$L$5:$L$1004,$O268)))</f>
        <v/>
      </c>
      <c r="M268" s="50">
        <f>IF($O268="","",IF(INDEX(Firms!$M$5:$M$1004,$O268)="","—",INDEX(Firms!$M$5:$M$1004,$O268)))</f>
        <v/>
      </c>
      <c r="O268">
        <f>IFERROR(MATCH(SMALL(Firms!$Y$5:$Y$1004,260),Firms!$W$5:$W$1004,0),"")</f>
        <v/>
      </c>
    </row>
    <row r="269">
      <c r="B269" s="78">
        <f>IF($O269="","",INDEX(Firms!$A$5:$A$1004,$O269))</f>
        <v/>
      </c>
      <c r="C269" s="79">
        <f>IF($O269="","",INDEX(Firms!$N$5:$N$1004,$O269)&amp;"")</f>
        <v/>
      </c>
      <c r="D269" s="79">
        <f>IF($O269="","",INDEX(Firms!$P$5:$P$1004,$O269)&amp;"")</f>
        <v/>
      </c>
      <c r="E269" s="79">
        <f>IF($O269="","",INDEX(Firms!$O$5:$O$1004,$O269)&amp;"")</f>
        <v/>
      </c>
      <c r="F269" s="50">
        <f>IF($O269="","",IF(INDEX(Firms!$F$5:$F$1004,$O269)="","—",INDEX(Firms!$F$5:$F$1004,$O269)))</f>
        <v/>
      </c>
      <c r="G269" s="50">
        <f>IF($O269="","",IF(INDEX(Firms!$G$5:$G$1004,$O269)="","—",INDEX(Firms!$G$5:$G$1004,$O269)))</f>
        <v/>
      </c>
      <c r="H269" s="50">
        <f>IF($O269="","",IF(INDEX(Firms!$H$5:$H$1004,$O269)="","—",INDEX(Firms!$H$5:$H$1004,$O269)))</f>
        <v/>
      </c>
      <c r="I269" s="50">
        <f>IF($O269="","",IF(INDEX(Firms!$I$5:$I$1004,$O269)="","—",INDEX(Firms!$I$5:$I$1004,$O269)))</f>
        <v/>
      </c>
      <c r="J269" s="50">
        <f>IF($O269="","",IF(INDEX(Firms!$J$5:$J$1004,$O269)="","—",INDEX(Firms!$J$5:$J$1004,$O269)))</f>
        <v/>
      </c>
      <c r="K269" s="50">
        <f>IF($O269="","",IF(INDEX(Firms!$K$5:$K$1004,$O269)="","—",INDEX(Firms!$K$5:$K$1004,$O269)))</f>
        <v/>
      </c>
      <c r="L269" s="50">
        <f>IF($O269="","",IF(INDEX(Firms!$L$5:$L$1004,$O269)="","—",INDEX(Firms!$L$5:$L$1004,$O269)))</f>
        <v/>
      </c>
      <c r="M269" s="50">
        <f>IF($O269="","",IF(INDEX(Firms!$M$5:$M$1004,$O269)="","—",INDEX(Firms!$M$5:$M$1004,$O269)))</f>
        <v/>
      </c>
      <c r="O269">
        <f>IFERROR(MATCH(SMALL(Firms!$Y$5:$Y$1004,261),Firms!$W$5:$W$1004,0),"")</f>
        <v/>
      </c>
    </row>
    <row r="270">
      <c r="B270" s="78">
        <f>IF($O270="","",INDEX(Firms!$A$5:$A$1004,$O270))</f>
        <v/>
      </c>
      <c r="C270" s="79">
        <f>IF($O270="","",INDEX(Firms!$N$5:$N$1004,$O270)&amp;"")</f>
        <v/>
      </c>
      <c r="D270" s="79">
        <f>IF($O270="","",INDEX(Firms!$P$5:$P$1004,$O270)&amp;"")</f>
        <v/>
      </c>
      <c r="E270" s="79">
        <f>IF($O270="","",INDEX(Firms!$O$5:$O$1004,$O270)&amp;"")</f>
        <v/>
      </c>
      <c r="F270" s="50">
        <f>IF($O270="","",IF(INDEX(Firms!$F$5:$F$1004,$O270)="","—",INDEX(Firms!$F$5:$F$1004,$O270)))</f>
        <v/>
      </c>
      <c r="G270" s="50">
        <f>IF($O270="","",IF(INDEX(Firms!$G$5:$G$1004,$O270)="","—",INDEX(Firms!$G$5:$G$1004,$O270)))</f>
        <v/>
      </c>
      <c r="H270" s="50">
        <f>IF($O270="","",IF(INDEX(Firms!$H$5:$H$1004,$O270)="","—",INDEX(Firms!$H$5:$H$1004,$O270)))</f>
        <v/>
      </c>
      <c r="I270" s="50">
        <f>IF($O270="","",IF(INDEX(Firms!$I$5:$I$1004,$O270)="","—",INDEX(Firms!$I$5:$I$1004,$O270)))</f>
        <v/>
      </c>
      <c r="J270" s="50">
        <f>IF($O270="","",IF(INDEX(Firms!$J$5:$J$1004,$O270)="","—",INDEX(Firms!$J$5:$J$1004,$O270)))</f>
        <v/>
      </c>
      <c r="K270" s="50">
        <f>IF($O270="","",IF(INDEX(Firms!$K$5:$K$1004,$O270)="","—",INDEX(Firms!$K$5:$K$1004,$O270)))</f>
        <v/>
      </c>
      <c r="L270" s="50">
        <f>IF($O270="","",IF(INDEX(Firms!$L$5:$L$1004,$O270)="","—",INDEX(Firms!$L$5:$L$1004,$O270)))</f>
        <v/>
      </c>
      <c r="M270" s="50">
        <f>IF($O270="","",IF(INDEX(Firms!$M$5:$M$1004,$O270)="","—",INDEX(Firms!$M$5:$M$1004,$O270)))</f>
        <v/>
      </c>
      <c r="O270">
        <f>IFERROR(MATCH(SMALL(Firms!$Y$5:$Y$1004,262),Firms!$W$5:$W$1004,0),"")</f>
        <v/>
      </c>
    </row>
    <row r="271">
      <c r="B271" s="78">
        <f>IF($O271="","",INDEX(Firms!$A$5:$A$1004,$O271))</f>
        <v/>
      </c>
      <c r="C271" s="79">
        <f>IF($O271="","",INDEX(Firms!$N$5:$N$1004,$O271)&amp;"")</f>
        <v/>
      </c>
      <c r="D271" s="79">
        <f>IF($O271="","",INDEX(Firms!$P$5:$P$1004,$O271)&amp;"")</f>
        <v/>
      </c>
      <c r="E271" s="79">
        <f>IF($O271="","",INDEX(Firms!$O$5:$O$1004,$O271)&amp;"")</f>
        <v/>
      </c>
      <c r="F271" s="50">
        <f>IF($O271="","",IF(INDEX(Firms!$F$5:$F$1004,$O271)="","—",INDEX(Firms!$F$5:$F$1004,$O271)))</f>
        <v/>
      </c>
      <c r="G271" s="50">
        <f>IF($O271="","",IF(INDEX(Firms!$G$5:$G$1004,$O271)="","—",INDEX(Firms!$G$5:$G$1004,$O271)))</f>
        <v/>
      </c>
      <c r="H271" s="50">
        <f>IF($O271="","",IF(INDEX(Firms!$H$5:$H$1004,$O271)="","—",INDEX(Firms!$H$5:$H$1004,$O271)))</f>
        <v/>
      </c>
      <c r="I271" s="50">
        <f>IF($O271="","",IF(INDEX(Firms!$I$5:$I$1004,$O271)="","—",INDEX(Firms!$I$5:$I$1004,$O271)))</f>
        <v/>
      </c>
      <c r="J271" s="50">
        <f>IF($O271="","",IF(INDEX(Firms!$J$5:$J$1004,$O271)="","—",INDEX(Firms!$J$5:$J$1004,$O271)))</f>
        <v/>
      </c>
      <c r="K271" s="50">
        <f>IF($O271="","",IF(INDEX(Firms!$K$5:$K$1004,$O271)="","—",INDEX(Firms!$K$5:$K$1004,$O271)))</f>
        <v/>
      </c>
      <c r="L271" s="50">
        <f>IF($O271="","",IF(INDEX(Firms!$L$5:$L$1004,$O271)="","—",INDEX(Firms!$L$5:$L$1004,$O271)))</f>
        <v/>
      </c>
      <c r="M271" s="50">
        <f>IF($O271="","",IF(INDEX(Firms!$M$5:$M$1004,$O271)="","—",INDEX(Firms!$M$5:$M$1004,$O271)))</f>
        <v/>
      </c>
      <c r="O271">
        <f>IFERROR(MATCH(SMALL(Firms!$Y$5:$Y$1004,263),Firms!$W$5:$W$1004,0),"")</f>
        <v/>
      </c>
    </row>
    <row r="272">
      <c r="B272" s="78">
        <f>IF($O272="","",INDEX(Firms!$A$5:$A$1004,$O272))</f>
        <v/>
      </c>
      <c r="C272" s="79">
        <f>IF($O272="","",INDEX(Firms!$N$5:$N$1004,$O272)&amp;"")</f>
        <v/>
      </c>
      <c r="D272" s="79">
        <f>IF($O272="","",INDEX(Firms!$P$5:$P$1004,$O272)&amp;"")</f>
        <v/>
      </c>
      <c r="E272" s="79">
        <f>IF($O272="","",INDEX(Firms!$O$5:$O$1004,$O272)&amp;"")</f>
        <v/>
      </c>
      <c r="F272" s="50">
        <f>IF($O272="","",IF(INDEX(Firms!$F$5:$F$1004,$O272)="","—",INDEX(Firms!$F$5:$F$1004,$O272)))</f>
        <v/>
      </c>
      <c r="G272" s="50">
        <f>IF($O272="","",IF(INDEX(Firms!$G$5:$G$1004,$O272)="","—",INDEX(Firms!$G$5:$G$1004,$O272)))</f>
        <v/>
      </c>
      <c r="H272" s="50">
        <f>IF($O272="","",IF(INDEX(Firms!$H$5:$H$1004,$O272)="","—",INDEX(Firms!$H$5:$H$1004,$O272)))</f>
        <v/>
      </c>
      <c r="I272" s="50">
        <f>IF($O272="","",IF(INDEX(Firms!$I$5:$I$1004,$O272)="","—",INDEX(Firms!$I$5:$I$1004,$O272)))</f>
        <v/>
      </c>
      <c r="J272" s="50">
        <f>IF($O272="","",IF(INDEX(Firms!$J$5:$J$1004,$O272)="","—",INDEX(Firms!$J$5:$J$1004,$O272)))</f>
        <v/>
      </c>
      <c r="K272" s="50">
        <f>IF($O272="","",IF(INDEX(Firms!$K$5:$K$1004,$O272)="","—",INDEX(Firms!$K$5:$K$1004,$O272)))</f>
        <v/>
      </c>
      <c r="L272" s="50">
        <f>IF($O272="","",IF(INDEX(Firms!$L$5:$L$1004,$O272)="","—",INDEX(Firms!$L$5:$L$1004,$O272)))</f>
        <v/>
      </c>
      <c r="M272" s="50">
        <f>IF($O272="","",IF(INDEX(Firms!$M$5:$M$1004,$O272)="","—",INDEX(Firms!$M$5:$M$1004,$O272)))</f>
        <v/>
      </c>
      <c r="O272">
        <f>IFERROR(MATCH(SMALL(Firms!$Y$5:$Y$1004,264),Firms!$W$5:$W$1004,0),"")</f>
        <v/>
      </c>
    </row>
    <row r="273">
      <c r="B273" s="78">
        <f>IF($O273="","",INDEX(Firms!$A$5:$A$1004,$O273))</f>
        <v/>
      </c>
      <c r="C273" s="79">
        <f>IF($O273="","",INDEX(Firms!$N$5:$N$1004,$O273)&amp;"")</f>
        <v/>
      </c>
      <c r="D273" s="79">
        <f>IF($O273="","",INDEX(Firms!$P$5:$P$1004,$O273)&amp;"")</f>
        <v/>
      </c>
      <c r="E273" s="79">
        <f>IF($O273="","",INDEX(Firms!$O$5:$O$1004,$O273)&amp;"")</f>
        <v/>
      </c>
      <c r="F273" s="50">
        <f>IF($O273="","",IF(INDEX(Firms!$F$5:$F$1004,$O273)="","—",INDEX(Firms!$F$5:$F$1004,$O273)))</f>
        <v/>
      </c>
      <c r="G273" s="50">
        <f>IF($O273="","",IF(INDEX(Firms!$G$5:$G$1004,$O273)="","—",INDEX(Firms!$G$5:$G$1004,$O273)))</f>
        <v/>
      </c>
      <c r="H273" s="50">
        <f>IF($O273="","",IF(INDEX(Firms!$H$5:$H$1004,$O273)="","—",INDEX(Firms!$H$5:$H$1004,$O273)))</f>
        <v/>
      </c>
      <c r="I273" s="50">
        <f>IF($O273="","",IF(INDEX(Firms!$I$5:$I$1004,$O273)="","—",INDEX(Firms!$I$5:$I$1004,$O273)))</f>
        <v/>
      </c>
      <c r="J273" s="50">
        <f>IF($O273="","",IF(INDEX(Firms!$J$5:$J$1004,$O273)="","—",INDEX(Firms!$J$5:$J$1004,$O273)))</f>
        <v/>
      </c>
      <c r="K273" s="50">
        <f>IF($O273="","",IF(INDEX(Firms!$K$5:$K$1004,$O273)="","—",INDEX(Firms!$K$5:$K$1004,$O273)))</f>
        <v/>
      </c>
      <c r="L273" s="50">
        <f>IF($O273="","",IF(INDEX(Firms!$L$5:$L$1004,$O273)="","—",INDEX(Firms!$L$5:$L$1004,$O273)))</f>
        <v/>
      </c>
      <c r="M273" s="50">
        <f>IF($O273="","",IF(INDEX(Firms!$M$5:$M$1004,$O273)="","—",INDEX(Firms!$M$5:$M$1004,$O273)))</f>
        <v/>
      </c>
      <c r="O273">
        <f>IFERROR(MATCH(SMALL(Firms!$Y$5:$Y$1004,265),Firms!$W$5:$W$1004,0),"")</f>
        <v/>
      </c>
    </row>
    <row r="274">
      <c r="B274" s="78">
        <f>IF($O274="","",INDEX(Firms!$A$5:$A$1004,$O274))</f>
        <v/>
      </c>
      <c r="C274" s="79">
        <f>IF($O274="","",INDEX(Firms!$N$5:$N$1004,$O274)&amp;"")</f>
        <v/>
      </c>
      <c r="D274" s="79">
        <f>IF($O274="","",INDEX(Firms!$P$5:$P$1004,$O274)&amp;"")</f>
        <v/>
      </c>
      <c r="E274" s="79">
        <f>IF($O274="","",INDEX(Firms!$O$5:$O$1004,$O274)&amp;"")</f>
        <v/>
      </c>
      <c r="F274" s="50">
        <f>IF($O274="","",IF(INDEX(Firms!$F$5:$F$1004,$O274)="","—",INDEX(Firms!$F$5:$F$1004,$O274)))</f>
        <v/>
      </c>
      <c r="G274" s="50">
        <f>IF($O274="","",IF(INDEX(Firms!$G$5:$G$1004,$O274)="","—",INDEX(Firms!$G$5:$G$1004,$O274)))</f>
        <v/>
      </c>
      <c r="H274" s="50">
        <f>IF($O274="","",IF(INDEX(Firms!$H$5:$H$1004,$O274)="","—",INDEX(Firms!$H$5:$H$1004,$O274)))</f>
        <v/>
      </c>
      <c r="I274" s="50">
        <f>IF($O274="","",IF(INDEX(Firms!$I$5:$I$1004,$O274)="","—",INDEX(Firms!$I$5:$I$1004,$O274)))</f>
        <v/>
      </c>
      <c r="J274" s="50">
        <f>IF($O274="","",IF(INDEX(Firms!$J$5:$J$1004,$O274)="","—",INDEX(Firms!$J$5:$J$1004,$O274)))</f>
        <v/>
      </c>
      <c r="K274" s="50">
        <f>IF($O274="","",IF(INDEX(Firms!$K$5:$K$1004,$O274)="","—",INDEX(Firms!$K$5:$K$1004,$O274)))</f>
        <v/>
      </c>
      <c r="L274" s="50">
        <f>IF($O274="","",IF(INDEX(Firms!$L$5:$L$1004,$O274)="","—",INDEX(Firms!$L$5:$L$1004,$O274)))</f>
        <v/>
      </c>
      <c r="M274" s="50">
        <f>IF($O274="","",IF(INDEX(Firms!$M$5:$M$1004,$O274)="","—",INDEX(Firms!$M$5:$M$1004,$O274)))</f>
        <v/>
      </c>
      <c r="O274">
        <f>IFERROR(MATCH(SMALL(Firms!$Y$5:$Y$1004,266),Firms!$W$5:$W$1004,0),"")</f>
        <v/>
      </c>
    </row>
    <row r="275">
      <c r="B275" s="78">
        <f>IF($O275="","",INDEX(Firms!$A$5:$A$1004,$O275))</f>
        <v/>
      </c>
      <c r="C275" s="79">
        <f>IF($O275="","",INDEX(Firms!$N$5:$N$1004,$O275)&amp;"")</f>
        <v/>
      </c>
      <c r="D275" s="79">
        <f>IF($O275="","",INDEX(Firms!$P$5:$P$1004,$O275)&amp;"")</f>
        <v/>
      </c>
      <c r="E275" s="79">
        <f>IF($O275="","",INDEX(Firms!$O$5:$O$1004,$O275)&amp;"")</f>
        <v/>
      </c>
      <c r="F275" s="50">
        <f>IF($O275="","",IF(INDEX(Firms!$F$5:$F$1004,$O275)="","—",INDEX(Firms!$F$5:$F$1004,$O275)))</f>
        <v/>
      </c>
      <c r="G275" s="50">
        <f>IF($O275="","",IF(INDEX(Firms!$G$5:$G$1004,$O275)="","—",INDEX(Firms!$G$5:$G$1004,$O275)))</f>
        <v/>
      </c>
      <c r="H275" s="50">
        <f>IF($O275="","",IF(INDEX(Firms!$H$5:$H$1004,$O275)="","—",INDEX(Firms!$H$5:$H$1004,$O275)))</f>
        <v/>
      </c>
      <c r="I275" s="50">
        <f>IF($O275="","",IF(INDEX(Firms!$I$5:$I$1004,$O275)="","—",INDEX(Firms!$I$5:$I$1004,$O275)))</f>
        <v/>
      </c>
      <c r="J275" s="50">
        <f>IF($O275="","",IF(INDEX(Firms!$J$5:$J$1004,$O275)="","—",INDEX(Firms!$J$5:$J$1004,$O275)))</f>
        <v/>
      </c>
      <c r="K275" s="50">
        <f>IF($O275="","",IF(INDEX(Firms!$K$5:$K$1004,$O275)="","—",INDEX(Firms!$K$5:$K$1004,$O275)))</f>
        <v/>
      </c>
      <c r="L275" s="50">
        <f>IF($O275="","",IF(INDEX(Firms!$L$5:$L$1004,$O275)="","—",INDEX(Firms!$L$5:$L$1004,$O275)))</f>
        <v/>
      </c>
      <c r="M275" s="50">
        <f>IF($O275="","",IF(INDEX(Firms!$M$5:$M$1004,$O275)="","—",INDEX(Firms!$M$5:$M$1004,$O275)))</f>
        <v/>
      </c>
      <c r="O275">
        <f>IFERROR(MATCH(SMALL(Firms!$Y$5:$Y$1004,267),Firms!$W$5:$W$1004,0),"")</f>
        <v/>
      </c>
    </row>
    <row r="276">
      <c r="B276" s="78">
        <f>IF($O276="","",INDEX(Firms!$A$5:$A$1004,$O276))</f>
        <v/>
      </c>
      <c r="C276" s="79">
        <f>IF($O276="","",INDEX(Firms!$N$5:$N$1004,$O276)&amp;"")</f>
        <v/>
      </c>
      <c r="D276" s="79">
        <f>IF($O276="","",INDEX(Firms!$P$5:$P$1004,$O276)&amp;"")</f>
        <v/>
      </c>
      <c r="E276" s="79">
        <f>IF($O276="","",INDEX(Firms!$O$5:$O$1004,$O276)&amp;"")</f>
        <v/>
      </c>
      <c r="F276" s="50">
        <f>IF($O276="","",IF(INDEX(Firms!$F$5:$F$1004,$O276)="","—",INDEX(Firms!$F$5:$F$1004,$O276)))</f>
        <v/>
      </c>
      <c r="G276" s="50">
        <f>IF($O276="","",IF(INDEX(Firms!$G$5:$G$1004,$O276)="","—",INDEX(Firms!$G$5:$G$1004,$O276)))</f>
        <v/>
      </c>
      <c r="H276" s="50">
        <f>IF($O276="","",IF(INDEX(Firms!$H$5:$H$1004,$O276)="","—",INDEX(Firms!$H$5:$H$1004,$O276)))</f>
        <v/>
      </c>
      <c r="I276" s="50">
        <f>IF($O276="","",IF(INDEX(Firms!$I$5:$I$1004,$O276)="","—",INDEX(Firms!$I$5:$I$1004,$O276)))</f>
        <v/>
      </c>
      <c r="J276" s="50">
        <f>IF($O276="","",IF(INDEX(Firms!$J$5:$J$1004,$O276)="","—",INDEX(Firms!$J$5:$J$1004,$O276)))</f>
        <v/>
      </c>
      <c r="K276" s="50">
        <f>IF($O276="","",IF(INDEX(Firms!$K$5:$K$1004,$O276)="","—",INDEX(Firms!$K$5:$K$1004,$O276)))</f>
        <v/>
      </c>
      <c r="L276" s="50">
        <f>IF($O276="","",IF(INDEX(Firms!$L$5:$L$1004,$O276)="","—",INDEX(Firms!$L$5:$L$1004,$O276)))</f>
        <v/>
      </c>
      <c r="M276" s="50">
        <f>IF($O276="","",IF(INDEX(Firms!$M$5:$M$1004,$O276)="","—",INDEX(Firms!$M$5:$M$1004,$O276)))</f>
        <v/>
      </c>
      <c r="O276">
        <f>IFERROR(MATCH(SMALL(Firms!$Y$5:$Y$1004,268),Firms!$W$5:$W$1004,0),"")</f>
        <v/>
      </c>
    </row>
    <row r="277">
      <c r="B277" s="78">
        <f>IF($O277="","",INDEX(Firms!$A$5:$A$1004,$O277))</f>
        <v/>
      </c>
      <c r="C277" s="79">
        <f>IF($O277="","",INDEX(Firms!$N$5:$N$1004,$O277)&amp;"")</f>
        <v/>
      </c>
      <c r="D277" s="79">
        <f>IF($O277="","",INDEX(Firms!$P$5:$P$1004,$O277)&amp;"")</f>
        <v/>
      </c>
      <c r="E277" s="79">
        <f>IF($O277="","",INDEX(Firms!$O$5:$O$1004,$O277)&amp;"")</f>
        <v/>
      </c>
      <c r="F277" s="50">
        <f>IF($O277="","",IF(INDEX(Firms!$F$5:$F$1004,$O277)="","—",INDEX(Firms!$F$5:$F$1004,$O277)))</f>
        <v/>
      </c>
      <c r="G277" s="50">
        <f>IF($O277="","",IF(INDEX(Firms!$G$5:$G$1004,$O277)="","—",INDEX(Firms!$G$5:$G$1004,$O277)))</f>
        <v/>
      </c>
      <c r="H277" s="50">
        <f>IF($O277="","",IF(INDEX(Firms!$H$5:$H$1004,$O277)="","—",INDEX(Firms!$H$5:$H$1004,$O277)))</f>
        <v/>
      </c>
      <c r="I277" s="50">
        <f>IF($O277="","",IF(INDEX(Firms!$I$5:$I$1004,$O277)="","—",INDEX(Firms!$I$5:$I$1004,$O277)))</f>
        <v/>
      </c>
      <c r="J277" s="50">
        <f>IF($O277="","",IF(INDEX(Firms!$J$5:$J$1004,$O277)="","—",INDEX(Firms!$J$5:$J$1004,$O277)))</f>
        <v/>
      </c>
      <c r="K277" s="50">
        <f>IF($O277="","",IF(INDEX(Firms!$K$5:$K$1004,$O277)="","—",INDEX(Firms!$K$5:$K$1004,$O277)))</f>
        <v/>
      </c>
      <c r="L277" s="50">
        <f>IF($O277="","",IF(INDEX(Firms!$L$5:$L$1004,$O277)="","—",INDEX(Firms!$L$5:$L$1004,$O277)))</f>
        <v/>
      </c>
      <c r="M277" s="50">
        <f>IF($O277="","",IF(INDEX(Firms!$M$5:$M$1004,$O277)="","—",INDEX(Firms!$M$5:$M$1004,$O277)))</f>
        <v/>
      </c>
      <c r="O277">
        <f>IFERROR(MATCH(SMALL(Firms!$Y$5:$Y$1004,269),Firms!$W$5:$W$1004,0),"")</f>
        <v/>
      </c>
    </row>
    <row r="278">
      <c r="B278" s="78">
        <f>IF($O278="","",INDEX(Firms!$A$5:$A$1004,$O278))</f>
        <v/>
      </c>
      <c r="C278" s="79">
        <f>IF($O278="","",INDEX(Firms!$N$5:$N$1004,$O278)&amp;"")</f>
        <v/>
      </c>
      <c r="D278" s="79">
        <f>IF($O278="","",INDEX(Firms!$P$5:$P$1004,$O278)&amp;"")</f>
        <v/>
      </c>
      <c r="E278" s="79">
        <f>IF($O278="","",INDEX(Firms!$O$5:$O$1004,$O278)&amp;"")</f>
        <v/>
      </c>
      <c r="F278" s="50">
        <f>IF($O278="","",IF(INDEX(Firms!$F$5:$F$1004,$O278)="","—",INDEX(Firms!$F$5:$F$1004,$O278)))</f>
        <v/>
      </c>
      <c r="G278" s="50">
        <f>IF($O278="","",IF(INDEX(Firms!$G$5:$G$1004,$O278)="","—",INDEX(Firms!$G$5:$G$1004,$O278)))</f>
        <v/>
      </c>
      <c r="H278" s="50">
        <f>IF($O278="","",IF(INDEX(Firms!$H$5:$H$1004,$O278)="","—",INDEX(Firms!$H$5:$H$1004,$O278)))</f>
        <v/>
      </c>
      <c r="I278" s="50">
        <f>IF($O278="","",IF(INDEX(Firms!$I$5:$I$1004,$O278)="","—",INDEX(Firms!$I$5:$I$1004,$O278)))</f>
        <v/>
      </c>
      <c r="J278" s="50">
        <f>IF($O278="","",IF(INDEX(Firms!$J$5:$J$1004,$O278)="","—",INDEX(Firms!$J$5:$J$1004,$O278)))</f>
        <v/>
      </c>
      <c r="K278" s="50">
        <f>IF($O278="","",IF(INDEX(Firms!$K$5:$K$1004,$O278)="","—",INDEX(Firms!$K$5:$K$1004,$O278)))</f>
        <v/>
      </c>
      <c r="L278" s="50">
        <f>IF($O278="","",IF(INDEX(Firms!$L$5:$L$1004,$O278)="","—",INDEX(Firms!$L$5:$L$1004,$O278)))</f>
        <v/>
      </c>
      <c r="M278" s="50">
        <f>IF($O278="","",IF(INDEX(Firms!$M$5:$M$1004,$O278)="","—",INDEX(Firms!$M$5:$M$1004,$O278)))</f>
        <v/>
      </c>
      <c r="O278">
        <f>IFERROR(MATCH(SMALL(Firms!$Y$5:$Y$1004,270),Firms!$W$5:$W$1004,0),"")</f>
        <v/>
      </c>
    </row>
    <row r="279">
      <c r="B279" s="78">
        <f>IF($O279="","",INDEX(Firms!$A$5:$A$1004,$O279))</f>
        <v/>
      </c>
      <c r="C279" s="79">
        <f>IF($O279="","",INDEX(Firms!$N$5:$N$1004,$O279)&amp;"")</f>
        <v/>
      </c>
      <c r="D279" s="79">
        <f>IF($O279="","",INDEX(Firms!$P$5:$P$1004,$O279)&amp;"")</f>
        <v/>
      </c>
      <c r="E279" s="79">
        <f>IF($O279="","",INDEX(Firms!$O$5:$O$1004,$O279)&amp;"")</f>
        <v/>
      </c>
      <c r="F279" s="50">
        <f>IF($O279="","",IF(INDEX(Firms!$F$5:$F$1004,$O279)="","—",INDEX(Firms!$F$5:$F$1004,$O279)))</f>
        <v/>
      </c>
      <c r="G279" s="50">
        <f>IF($O279="","",IF(INDEX(Firms!$G$5:$G$1004,$O279)="","—",INDEX(Firms!$G$5:$G$1004,$O279)))</f>
        <v/>
      </c>
      <c r="H279" s="50">
        <f>IF($O279="","",IF(INDEX(Firms!$H$5:$H$1004,$O279)="","—",INDEX(Firms!$H$5:$H$1004,$O279)))</f>
        <v/>
      </c>
      <c r="I279" s="50">
        <f>IF($O279="","",IF(INDEX(Firms!$I$5:$I$1004,$O279)="","—",INDEX(Firms!$I$5:$I$1004,$O279)))</f>
        <v/>
      </c>
      <c r="J279" s="50">
        <f>IF($O279="","",IF(INDEX(Firms!$J$5:$J$1004,$O279)="","—",INDEX(Firms!$J$5:$J$1004,$O279)))</f>
        <v/>
      </c>
      <c r="K279" s="50">
        <f>IF($O279="","",IF(INDEX(Firms!$K$5:$K$1004,$O279)="","—",INDEX(Firms!$K$5:$K$1004,$O279)))</f>
        <v/>
      </c>
      <c r="L279" s="50">
        <f>IF($O279="","",IF(INDEX(Firms!$L$5:$L$1004,$O279)="","—",INDEX(Firms!$L$5:$L$1004,$O279)))</f>
        <v/>
      </c>
      <c r="M279" s="50">
        <f>IF($O279="","",IF(INDEX(Firms!$M$5:$M$1004,$O279)="","—",INDEX(Firms!$M$5:$M$1004,$O279)))</f>
        <v/>
      </c>
      <c r="O279">
        <f>IFERROR(MATCH(SMALL(Firms!$Y$5:$Y$1004,271),Firms!$W$5:$W$1004,0),"")</f>
        <v/>
      </c>
    </row>
    <row r="280">
      <c r="B280" s="78">
        <f>IF($O280="","",INDEX(Firms!$A$5:$A$1004,$O280))</f>
        <v/>
      </c>
      <c r="C280" s="79">
        <f>IF($O280="","",INDEX(Firms!$N$5:$N$1004,$O280)&amp;"")</f>
        <v/>
      </c>
      <c r="D280" s="79">
        <f>IF($O280="","",INDEX(Firms!$P$5:$P$1004,$O280)&amp;"")</f>
        <v/>
      </c>
      <c r="E280" s="79">
        <f>IF($O280="","",INDEX(Firms!$O$5:$O$1004,$O280)&amp;"")</f>
        <v/>
      </c>
      <c r="F280" s="50">
        <f>IF($O280="","",IF(INDEX(Firms!$F$5:$F$1004,$O280)="","—",INDEX(Firms!$F$5:$F$1004,$O280)))</f>
        <v/>
      </c>
      <c r="G280" s="50">
        <f>IF($O280="","",IF(INDEX(Firms!$G$5:$G$1004,$O280)="","—",INDEX(Firms!$G$5:$G$1004,$O280)))</f>
        <v/>
      </c>
      <c r="H280" s="50">
        <f>IF($O280="","",IF(INDEX(Firms!$H$5:$H$1004,$O280)="","—",INDEX(Firms!$H$5:$H$1004,$O280)))</f>
        <v/>
      </c>
      <c r="I280" s="50">
        <f>IF($O280="","",IF(INDEX(Firms!$I$5:$I$1004,$O280)="","—",INDEX(Firms!$I$5:$I$1004,$O280)))</f>
        <v/>
      </c>
      <c r="J280" s="50">
        <f>IF($O280="","",IF(INDEX(Firms!$J$5:$J$1004,$O280)="","—",INDEX(Firms!$J$5:$J$1004,$O280)))</f>
        <v/>
      </c>
      <c r="K280" s="50">
        <f>IF($O280="","",IF(INDEX(Firms!$K$5:$K$1004,$O280)="","—",INDEX(Firms!$K$5:$K$1004,$O280)))</f>
        <v/>
      </c>
      <c r="L280" s="50">
        <f>IF($O280="","",IF(INDEX(Firms!$L$5:$L$1004,$O280)="","—",INDEX(Firms!$L$5:$L$1004,$O280)))</f>
        <v/>
      </c>
      <c r="M280" s="50">
        <f>IF($O280="","",IF(INDEX(Firms!$M$5:$M$1004,$O280)="","—",INDEX(Firms!$M$5:$M$1004,$O280)))</f>
        <v/>
      </c>
      <c r="O280">
        <f>IFERROR(MATCH(SMALL(Firms!$Y$5:$Y$1004,272),Firms!$W$5:$W$1004,0),"")</f>
        <v/>
      </c>
    </row>
    <row r="281">
      <c r="B281" s="78">
        <f>IF($O281="","",INDEX(Firms!$A$5:$A$1004,$O281))</f>
        <v/>
      </c>
      <c r="C281" s="79">
        <f>IF($O281="","",INDEX(Firms!$N$5:$N$1004,$O281)&amp;"")</f>
        <v/>
      </c>
      <c r="D281" s="79">
        <f>IF($O281="","",INDEX(Firms!$P$5:$P$1004,$O281)&amp;"")</f>
        <v/>
      </c>
      <c r="E281" s="79">
        <f>IF($O281="","",INDEX(Firms!$O$5:$O$1004,$O281)&amp;"")</f>
        <v/>
      </c>
      <c r="F281" s="50">
        <f>IF($O281="","",IF(INDEX(Firms!$F$5:$F$1004,$O281)="","—",INDEX(Firms!$F$5:$F$1004,$O281)))</f>
        <v/>
      </c>
      <c r="G281" s="50">
        <f>IF($O281="","",IF(INDEX(Firms!$G$5:$G$1004,$O281)="","—",INDEX(Firms!$G$5:$G$1004,$O281)))</f>
        <v/>
      </c>
      <c r="H281" s="50">
        <f>IF($O281="","",IF(INDEX(Firms!$H$5:$H$1004,$O281)="","—",INDEX(Firms!$H$5:$H$1004,$O281)))</f>
        <v/>
      </c>
      <c r="I281" s="50">
        <f>IF($O281="","",IF(INDEX(Firms!$I$5:$I$1004,$O281)="","—",INDEX(Firms!$I$5:$I$1004,$O281)))</f>
        <v/>
      </c>
      <c r="J281" s="50">
        <f>IF($O281="","",IF(INDEX(Firms!$J$5:$J$1004,$O281)="","—",INDEX(Firms!$J$5:$J$1004,$O281)))</f>
        <v/>
      </c>
      <c r="K281" s="50">
        <f>IF($O281="","",IF(INDEX(Firms!$K$5:$K$1004,$O281)="","—",INDEX(Firms!$K$5:$K$1004,$O281)))</f>
        <v/>
      </c>
      <c r="L281" s="50">
        <f>IF($O281="","",IF(INDEX(Firms!$L$5:$L$1004,$O281)="","—",INDEX(Firms!$L$5:$L$1004,$O281)))</f>
        <v/>
      </c>
      <c r="M281" s="50">
        <f>IF($O281="","",IF(INDEX(Firms!$M$5:$M$1004,$O281)="","—",INDEX(Firms!$M$5:$M$1004,$O281)))</f>
        <v/>
      </c>
      <c r="O281">
        <f>IFERROR(MATCH(SMALL(Firms!$Y$5:$Y$1004,273),Firms!$W$5:$W$1004,0),"")</f>
        <v/>
      </c>
    </row>
    <row r="282">
      <c r="B282" s="78">
        <f>IF($O282="","",INDEX(Firms!$A$5:$A$1004,$O282))</f>
        <v/>
      </c>
      <c r="C282" s="79">
        <f>IF($O282="","",INDEX(Firms!$N$5:$N$1004,$O282)&amp;"")</f>
        <v/>
      </c>
      <c r="D282" s="79">
        <f>IF($O282="","",INDEX(Firms!$P$5:$P$1004,$O282)&amp;"")</f>
        <v/>
      </c>
      <c r="E282" s="79">
        <f>IF($O282="","",INDEX(Firms!$O$5:$O$1004,$O282)&amp;"")</f>
        <v/>
      </c>
      <c r="F282" s="50">
        <f>IF($O282="","",IF(INDEX(Firms!$F$5:$F$1004,$O282)="","—",INDEX(Firms!$F$5:$F$1004,$O282)))</f>
        <v/>
      </c>
      <c r="G282" s="50">
        <f>IF($O282="","",IF(INDEX(Firms!$G$5:$G$1004,$O282)="","—",INDEX(Firms!$G$5:$G$1004,$O282)))</f>
        <v/>
      </c>
      <c r="H282" s="50">
        <f>IF($O282="","",IF(INDEX(Firms!$H$5:$H$1004,$O282)="","—",INDEX(Firms!$H$5:$H$1004,$O282)))</f>
        <v/>
      </c>
      <c r="I282" s="50">
        <f>IF($O282="","",IF(INDEX(Firms!$I$5:$I$1004,$O282)="","—",INDEX(Firms!$I$5:$I$1004,$O282)))</f>
        <v/>
      </c>
      <c r="J282" s="50">
        <f>IF($O282="","",IF(INDEX(Firms!$J$5:$J$1004,$O282)="","—",INDEX(Firms!$J$5:$J$1004,$O282)))</f>
        <v/>
      </c>
      <c r="K282" s="50">
        <f>IF($O282="","",IF(INDEX(Firms!$K$5:$K$1004,$O282)="","—",INDEX(Firms!$K$5:$K$1004,$O282)))</f>
        <v/>
      </c>
      <c r="L282" s="50">
        <f>IF($O282="","",IF(INDEX(Firms!$L$5:$L$1004,$O282)="","—",INDEX(Firms!$L$5:$L$1004,$O282)))</f>
        <v/>
      </c>
      <c r="M282" s="50">
        <f>IF($O282="","",IF(INDEX(Firms!$M$5:$M$1004,$O282)="","—",INDEX(Firms!$M$5:$M$1004,$O282)))</f>
        <v/>
      </c>
      <c r="O282">
        <f>IFERROR(MATCH(SMALL(Firms!$Y$5:$Y$1004,274),Firms!$W$5:$W$1004,0),"")</f>
        <v/>
      </c>
    </row>
    <row r="283">
      <c r="B283" s="78">
        <f>IF($O283="","",INDEX(Firms!$A$5:$A$1004,$O283))</f>
        <v/>
      </c>
      <c r="C283" s="79">
        <f>IF($O283="","",INDEX(Firms!$N$5:$N$1004,$O283)&amp;"")</f>
        <v/>
      </c>
      <c r="D283" s="79">
        <f>IF($O283="","",INDEX(Firms!$P$5:$P$1004,$O283)&amp;"")</f>
        <v/>
      </c>
      <c r="E283" s="79">
        <f>IF($O283="","",INDEX(Firms!$O$5:$O$1004,$O283)&amp;"")</f>
        <v/>
      </c>
      <c r="F283" s="50">
        <f>IF($O283="","",IF(INDEX(Firms!$F$5:$F$1004,$O283)="","—",INDEX(Firms!$F$5:$F$1004,$O283)))</f>
        <v/>
      </c>
      <c r="G283" s="50">
        <f>IF($O283="","",IF(INDEX(Firms!$G$5:$G$1004,$O283)="","—",INDEX(Firms!$G$5:$G$1004,$O283)))</f>
        <v/>
      </c>
      <c r="H283" s="50">
        <f>IF($O283="","",IF(INDEX(Firms!$H$5:$H$1004,$O283)="","—",INDEX(Firms!$H$5:$H$1004,$O283)))</f>
        <v/>
      </c>
      <c r="I283" s="50">
        <f>IF($O283="","",IF(INDEX(Firms!$I$5:$I$1004,$O283)="","—",INDEX(Firms!$I$5:$I$1004,$O283)))</f>
        <v/>
      </c>
      <c r="J283" s="50">
        <f>IF($O283="","",IF(INDEX(Firms!$J$5:$J$1004,$O283)="","—",INDEX(Firms!$J$5:$J$1004,$O283)))</f>
        <v/>
      </c>
      <c r="K283" s="50">
        <f>IF($O283="","",IF(INDEX(Firms!$K$5:$K$1004,$O283)="","—",INDEX(Firms!$K$5:$K$1004,$O283)))</f>
        <v/>
      </c>
      <c r="L283" s="50">
        <f>IF($O283="","",IF(INDEX(Firms!$L$5:$L$1004,$O283)="","—",INDEX(Firms!$L$5:$L$1004,$O283)))</f>
        <v/>
      </c>
      <c r="M283" s="50">
        <f>IF($O283="","",IF(INDEX(Firms!$M$5:$M$1004,$O283)="","—",INDEX(Firms!$M$5:$M$1004,$O283)))</f>
        <v/>
      </c>
      <c r="O283">
        <f>IFERROR(MATCH(SMALL(Firms!$Y$5:$Y$1004,275),Firms!$W$5:$W$1004,0),"")</f>
        <v/>
      </c>
    </row>
    <row r="284">
      <c r="B284" s="78">
        <f>IF($O284="","",INDEX(Firms!$A$5:$A$1004,$O284))</f>
        <v/>
      </c>
      <c r="C284" s="79">
        <f>IF($O284="","",INDEX(Firms!$N$5:$N$1004,$O284)&amp;"")</f>
        <v/>
      </c>
      <c r="D284" s="79">
        <f>IF($O284="","",INDEX(Firms!$P$5:$P$1004,$O284)&amp;"")</f>
        <v/>
      </c>
      <c r="E284" s="79">
        <f>IF($O284="","",INDEX(Firms!$O$5:$O$1004,$O284)&amp;"")</f>
        <v/>
      </c>
      <c r="F284" s="50">
        <f>IF($O284="","",IF(INDEX(Firms!$F$5:$F$1004,$O284)="","—",INDEX(Firms!$F$5:$F$1004,$O284)))</f>
        <v/>
      </c>
      <c r="G284" s="50">
        <f>IF($O284="","",IF(INDEX(Firms!$G$5:$G$1004,$O284)="","—",INDEX(Firms!$G$5:$G$1004,$O284)))</f>
        <v/>
      </c>
      <c r="H284" s="50">
        <f>IF($O284="","",IF(INDEX(Firms!$H$5:$H$1004,$O284)="","—",INDEX(Firms!$H$5:$H$1004,$O284)))</f>
        <v/>
      </c>
      <c r="I284" s="50">
        <f>IF($O284="","",IF(INDEX(Firms!$I$5:$I$1004,$O284)="","—",INDEX(Firms!$I$5:$I$1004,$O284)))</f>
        <v/>
      </c>
      <c r="J284" s="50">
        <f>IF($O284="","",IF(INDEX(Firms!$J$5:$J$1004,$O284)="","—",INDEX(Firms!$J$5:$J$1004,$O284)))</f>
        <v/>
      </c>
      <c r="K284" s="50">
        <f>IF($O284="","",IF(INDEX(Firms!$K$5:$K$1004,$O284)="","—",INDEX(Firms!$K$5:$K$1004,$O284)))</f>
        <v/>
      </c>
      <c r="L284" s="50">
        <f>IF($O284="","",IF(INDEX(Firms!$L$5:$L$1004,$O284)="","—",INDEX(Firms!$L$5:$L$1004,$O284)))</f>
        <v/>
      </c>
      <c r="M284" s="50">
        <f>IF($O284="","",IF(INDEX(Firms!$M$5:$M$1004,$O284)="","—",INDEX(Firms!$M$5:$M$1004,$O284)))</f>
        <v/>
      </c>
      <c r="O284">
        <f>IFERROR(MATCH(SMALL(Firms!$Y$5:$Y$1004,276),Firms!$W$5:$W$1004,0),"")</f>
        <v/>
      </c>
    </row>
    <row r="285">
      <c r="B285" s="78">
        <f>IF($O285="","",INDEX(Firms!$A$5:$A$1004,$O285))</f>
        <v/>
      </c>
      <c r="C285" s="79">
        <f>IF($O285="","",INDEX(Firms!$N$5:$N$1004,$O285)&amp;"")</f>
        <v/>
      </c>
      <c r="D285" s="79">
        <f>IF($O285="","",INDEX(Firms!$P$5:$P$1004,$O285)&amp;"")</f>
        <v/>
      </c>
      <c r="E285" s="79">
        <f>IF($O285="","",INDEX(Firms!$O$5:$O$1004,$O285)&amp;"")</f>
        <v/>
      </c>
      <c r="F285" s="50">
        <f>IF($O285="","",IF(INDEX(Firms!$F$5:$F$1004,$O285)="","—",INDEX(Firms!$F$5:$F$1004,$O285)))</f>
        <v/>
      </c>
      <c r="G285" s="50">
        <f>IF($O285="","",IF(INDEX(Firms!$G$5:$G$1004,$O285)="","—",INDEX(Firms!$G$5:$G$1004,$O285)))</f>
        <v/>
      </c>
      <c r="H285" s="50">
        <f>IF($O285="","",IF(INDEX(Firms!$H$5:$H$1004,$O285)="","—",INDEX(Firms!$H$5:$H$1004,$O285)))</f>
        <v/>
      </c>
      <c r="I285" s="50">
        <f>IF($O285="","",IF(INDEX(Firms!$I$5:$I$1004,$O285)="","—",INDEX(Firms!$I$5:$I$1004,$O285)))</f>
        <v/>
      </c>
      <c r="J285" s="50">
        <f>IF($O285="","",IF(INDEX(Firms!$J$5:$J$1004,$O285)="","—",INDEX(Firms!$J$5:$J$1004,$O285)))</f>
        <v/>
      </c>
      <c r="K285" s="50">
        <f>IF($O285="","",IF(INDEX(Firms!$K$5:$K$1004,$O285)="","—",INDEX(Firms!$K$5:$K$1004,$O285)))</f>
        <v/>
      </c>
      <c r="L285" s="50">
        <f>IF($O285="","",IF(INDEX(Firms!$L$5:$L$1004,$O285)="","—",INDEX(Firms!$L$5:$L$1004,$O285)))</f>
        <v/>
      </c>
      <c r="M285" s="50">
        <f>IF($O285="","",IF(INDEX(Firms!$M$5:$M$1004,$O285)="","—",INDEX(Firms!$M$5:$M$1004,$O285)))</f>
        <v/>
      </c>
      <c r="O285">
        <f>IFERROR(MATCH(SMALL(Firms!$Y$5:$Y$1004,277),Firms!$W$5:$W$1004,0),"")</f>
        <v/>
      </c>
    </row>
    <row r="286">
      <c r="B286" s="78">
        <f>IF($O286="","",INDEX(Firms!$A$5:$A$1004,$O286))</f>
        <v/>
      </c>
      <c r="C286" s="79">
        <f>IF($O286="","",INDEX(Firms!$N$5:$N$1004,$O286)&amp;"")</f>
        <v/>
      </c>
      <c r="D286" s="79">
        <f>IF($O286="","",INDEX(Firms!$P$5:$P$1004,$O286)&amp;"")</f>
        <v/>
      </c>
      <c r="E286" s="79">
        <f>IF($O286="","",INDEX(Firms!$O$5:$O$1004,$O286)&amp;"")</f>
        <v/>
      </c>
      <c r="F286" s="50">
        <f>IF($O286="","",IF(INDEX(Firms!$F$5:$F$1004,$O286)="","—",INDEX(Firms!$F$5:$F$1004,$O286)))</f>
        <v/>
      </c>
      <c r="G286" s="50">
        <f>IF($O286="","",IF(INDEX(Firms!$G$5:$G$1004,$O286)="","—",INDEX(Firms!$G$5:$G$1004,$O286)))</f>
        <v/>
      </c>
      <c r="H286" s="50">
        <f>IF($O286="","",IF(INDEX(Firms!$H$5:$H$1004,$O286)="","—",INDEX(Firms!$H$5:$H$1004,$O286)))</f>
        <v/>
      </c>
      <c r="I286" s="50">
        <f>IF($O286="","",IF(INDEX(Firms!$I$5:$I$1004,$O286)="","—",INDEX(Firms!$I$5:$I$1004,$O286)))</f>
        <v/>
      </c>
      <c r="J286" s="50">
        <f>IF($O286="","",IF(INDEX(Firms!$J$5:$J$1004,$O286)="","—",INDEX(Firms!$J$5:$J$1004,$O286)))</f>
        <v/>
      </c>
      <c r="K286" s="50">
        <f>IF($O286="","",IF(INDEX(Firms!$K$5:$K$1004,$O286)="","—",INDEX(Firms!$K$5:$K$1004,$O286)))</f>
        <v/>
      </c>
      <c r="L286" s="50">
        <f>IF($O286="","",IF(INDEX(Firms!$L$5:$L$1004,$O286)="","—",INDEX(Firms!$L$5:$L$1004,$O286)))</f>
        <v/>
      </c>
      <c r="M286" s="50">
        <f>IF($O286="","",IF(INDEX(Firms!$M$5:$M$1004,$O286)="","—",INDEX(Firms!$M$5:$M$1004,$O286)))</f>
        <v/>
      </c>
      <c r="O286">
        <f>IFERROR(MATCH(SMALL(Firms!$Y$5:$Y$1004,278),Firms!$W$5:$W$1004,0),"")</f>
        <v/>
      </c>
    </row>
    <row r="287">
      <c r="B287" s="78">
        <f>IF($O287="","",INDEX(Firms!$A$5:$A$1004,$O287))</f>
        <v/>
      </c>
      <c r="C287" s="79">
        <f>IF($O287="","",INDEX(Firms!$N$5:$N$1004,$O287)&amp;"")</f>
        <v/>
      </c>
      <c r="D287" s="79">
        <f>IF($O287="","",INDEX(Firms!$P$5:$P$1004,$O287)&amp;"")</f>
        <v/>
      </c>
      <c r="E287" s="79">
        <f>IF($O287="","",INDEX(Firms!$O$5:$O$1004,$O287)&amp;"")</f>
        <v/>
      </c>
      <c r="F287" s="50">
        <f>IF($O287="","",IF(INDEX(Firms!$F$5:$F$1004,$O287)="","—",INDEX(Firms!$F$5:$F$1004,$O287)))</f>
        <v/>
      </c>
      <c r="G287" s="50">
        <f>IF($O287="","",IF(INDEX(Firms!$G$5:$G$1004,$O287)="","—",INDEX(Firms!$G$5:$G$1004,$O287)))</f>
        <v/>
      </c>
      <c r="H287" s="50">
        <f>IF($O287="","",IF(INDEX(Firms!$H$5:$H$1004,$O287)="","—",INDEX(Firms!$H$5:$H$1004,$O287)))</f>
        <v/>
      </c>
      <c r="I287" s="50">
        <f>IF($O287="","",IF(INDEX(Firms!$I$5:$I$1004,$O287)="","—",INDEX(Firms!$I$5:$I$1004,$O287)))</f>
        <v/>
      </c>
      <c r="J287" s="50">
        <f>IF($O287="","",IF(INDEX(Firms!$J$5:$J$1004,$O287)="","—",INDEX(Firms!$J$5:$J$1004,$O287)))</f>
        <v/>
      </c>
      <c r="K287" s="50">
        <f>IF($O287="","",IF(INDEX(Firms!$K$5:$K$1004,$O287)="","—",INDEX(Firms!$K$5:$K$1004,$O287)))</f>
        <v/>
      </c>
      <c r="L287" s="50">
        <f>IF($O287="","",IF(INDEX(Firms!$L$5:$L$1004,$O287)="","—",INDEX(Firms!$L$5:$L$1004,$O287)))</f>
        <v/>
      </c>
      <c r="M287" s="50">
        <f>IF($O287="","",IF(INDEX(Firms!$M$5:$M$1004,$O287)="","—",INDEX(Firms!$M$5:$M$1004,$O287)))</f>
        <v/>
      </c>
      <c r="O287">
        <f>IFERROR(MATCH(SMALL(Firms!$Y$5:$Y$1004,279),Firms!$W$5:$W$1004,0),"")</f>
        <v/>
      </c>
    </row>
    <row r="288">
      <c r="B288" s="78">
        <f>IF($O288="","",INDEX(Firms!$A$5:$A$1004,$O288))</f>
        <v/>
      </c>
      <c r="C288" s="79">
        <f>IF($O288="","",INDEX(Firms!$N$5:$N$1004,$O288)&amp;"")</f>
        <v/>
      </c>
      <c r="D288" s="79">
        <f>IF($O288="","",INDEX(Firms!$P$5:$P$1004,$O288)&amp;"")</f>
        <v/>
      </c>
      <c r="E288" s="79">
        <f>IF($O288="","",INDEX(Firms!$O$5:$O$1004,$O288)&amp;"")</f>
        <v/>
      </c>
      <c r="F288" s="50">
        <f>IF($O288="","",IF(INDEX(Firms!$F$5:$F$1004,$O288)="","—",INDEX(Firms!$F$5:$F$1004,$O288)))</f>
        <v/>
      </c>
      <c r="G288" s="50">
        <f>IF($O288="","",IF(INDEX(Firms!$G$5:$G$1004,$O288)="","—",INDEX(Firms!$G$5:$G$1004,$O288)))</f>
        <v/>
      </c>
      <c r="H288" s="50">
        <f>IF($O288="","",IF(INDEX(Firms!$H$5:$H$1004,$O288)="","—",INDEX(Firms!$H$5:$H$1004,$O288)))</f>
        <v/>
      </c>
      <c r="I288" s="50">
        <f>IF($O288="","",IF(INDEX(Firms!$I$5:$I$1004,$O288)="","—",INDEX(Firms!$I$5:$I$1004,$O288)))</f>
        <v/>
      </c>
      <c r="J288" s="50">
        <f>IF($O288="","",IF(INDEX(Firms!$J$5:$J$1004,$O288)="","—",INDEX(Firms!$J$5:$J$1004,$O288)))</f>
        <v/>
      </c>
      <c r="K288" s="50">
        <f>IF($O288="","",IF(INDEX(Firms!$K$5:$K$1004,$O288)="","—",INDEX(Firms!$K$5:$K$1004,$O288)))</f>
        <v/>
      </c>
      <c r="L288" s="50">
        <f>IF($O288="","",IF(INDEX(Firms!$L$5:$L$1004,$O288)="","—",INDEX(Firms!$L$5:$L$1004,$O288)))</f>
        <v/>
      </c>
      <c r="M288" s="50">
        <f>IF($O288="","",IF(INDEX(Firms!$M$5:$M$1004,$O288)="","—",INDEX(Firms!$M$5:$M$1004,$O288)))</f>
        <v/>
      </c>
      <c r="O288">
        <f>IFERROR(MATCH(SMALL(Firms!$Y$5:$Y$1004,280),Firms!$W$5:$W$1004,0),"")</f>
        <v/>
      </c>
    </row>
    <row r="289">
      <c r="B289" s="78">
        <f>IF($O289="","",INDEX(Firms!$A$5:$A$1004,$O289))</f>
        <v/>
      </c>
      <c r="C289" s="79">
        <f>IF($O289="","",INDEX(Firms!$N$5:$N$1004,$O289)&amp;"")</f>
        <v/>
      </c>
      <c r="D289" s="79">
        <f>IF($O289="","",INDEX(Firms!$P$5:$P$1004,$O289)&amp;"")</f>
        <v/>
      </c>
      <c r="E289" s="79">
        <f>IF($O289="","",INDEX(Firms!$O$5:$O$1004,$O289)&amp;"")</f>
        <v/>
      </c>
      <c r="F289" s="50">
        <f>IF($O289="","",IF(INDEX(Firms!$F$5:$F$1004,$O289)="","—",INDEX(Firms!$F$5:$F$1004,$O289)))</f>
        <v/>
      </c>
      <c r="G289" s="50">
        <f>IF($O289="","",IF(INDEX(Firms!$G$5:$G$1004,$O289)="","—",INDEX(Firms!$G$5:$G$1004,$O289)))</f>
        <v/>
      </c>
      <c r="H289" s="50">
        <f>IF($O289="","",IF(INDEX(Firms!$H$5:$H$1004,$O289)="","—",INDEX(Firms!$H$5:$H$1004,$O289)))</f>
        <v/>
      </c>
      <c r="I289" s="50">
        <f>IF($O289="","",IF(INDEX(Firms!$I$5:$I$1004,$O289)="","—",INDEX(Firms!$I$5:$I$1004,$O289)))</f>
        <v/>
      </c>
      <c r="J289" s="50">
        <f>IF($O289="","",IF(INDEX(Firms!$J$5:$J$1004,$O289)="","—",INDEX(Firms!$J$5:$J$1004,$O289)))</f>
        <v/>
      </c>
      <c r="K289" s="50">
        <f>IF($O289="","",IF(INDEX(Firms!$K$5:$K$1004,$O289)="","—",INDEX(Firms!$K$5:$K$1004,$O289)))</f>
        <v/>
      </c>
      <c r="L289" s="50">
        <f>IF($O289="","",IF(INDEX(Firms!$L$5:$L$1004,$O289)="","—",INDEX(Firms!$L$5:$L$1004,$O289)))</f>
        <v/>
      </c>
      <c r="M289" s="50">
        <f>IF($O289="","",IF(INDEX(Firms!$M$5:$M$1004,$O289)="","—",INDEX(Firms!$M$5:$M$1004,$O289)))</f>
        <v/>
      </c>
      <c r="O289">
        <f>IFERROR(MATCH(SMALL(Firms!$Y$5:$Y$1004,281),Firms!$W$5:$W$1004,0),"")</f>
        <v/>
      </c>
    </row>
    <row r="290">
      <c r="B290" s="78">
        <f>IF($O290="","",INDEX(Firms!$A$5:$A$1004,$O290))</f>
        <v/>
      </c>
      <c r="C290" s="79">
        <f>IF($O290="","",INDEX(Firms!$N$5:$N$1004,$O290)&amp;"")</f>
        <v/>
      </c>
      <c r="D290" s="79">
        <f>IF($O290="","",INDEX(Firms!$P$5:$P$1004,$O290)&amp;"")</f>
        <v/>
      </c>
      <c r="E290" s="79">
        <f>IF($O290="","",INDEX(Firms!$O$5:$O$1004,$O290)&amp;"")</f>
        <v/>
      </c>
      <c r="F290" s="50">
        <f>IF($O290="","",IF(INDEX(Firms!$F$5:$F$1004,$O290)="","—",INDEX(Firms!$F$5:$F$1004,$O290)))</f>
        <v/>
      </c>
      <c r="G290" s="50">
        <f>IF($O290="","",IF(INDEX(Firms!$G$5:$G$1004,$O290)="","—",INDEX(Firms!$G$5:$G$1004,$O290)))</f>
        <v/>
      </c>
      <c r="H290" s="50">
        <f>IF($O290="","",IF(INDEX(Firms!$H$5:$H$1004,$O290)="","—",INDEX(Firms!$H$5:$H$1004,$O290)))</f>
        <v/>
      </c>
      <c r="I290" s="50">
        <f>IF($O290="","",IF(INDEX(Firms!$I$5:$I$1004,$O290)="","—",INDEX(Firms!$I$5:$I$1004,$O290)))</f>
        <v/>
      </c>
      <c r="J290" s="50">
        <f>IF($O290="","",IF(INDEX(Firms!$J$5:$J$1004,$O290)="","—",INDEX(Firms!$J$5:$J$1004,$O290)))</f>
        <v/>
      </c>
      <c r="K290" s="50">
        <f>IF($O290="","",IF(INDEX(Firms!$K$5:$K$1004,$O290)="","—",INDEX(Firms!$K$5:$K$1004,$O290)))</f>
        <v/>
      </c>
      <c r="L290" s="50">
        <f>IF($O290="","",IF(INDEX(Firms!$L$5:$L$1004,$O290)="","—",INDEX(Firms!$L$5:$L$1004,$O290)))</f>
        <v/>
      </c>
      <c r="M290" s="50">
        <f>IF($O290="","",IF(INDEX(Firms!$M$5:$M$1004,$O290)="","—",INDEX(Firms!$M$5:$M$1004,$O290)))</f>
        <v/>
      </c>
      <c r="O290">
        <f>IFERROR(MATCH(SMALL(Firms!$Y$5:$Y$1004,282),Firms!$W$5:$W$1004,0),"")</f>
        <v/>
      </c>
    </row>
    <row r="291">
      <c r="B291" s="78">
        <f>IF($O291="","",INDEX(Firms!$A$5:$A$1004,$O291))</f>
        <v/>
      </c>
      <c r="C291" s="79">
        <f>IF($O291="","",INDEX(Firms!$N$5:$N$1004,$O291)&amp;"")</f>
        <v/>
      </c>
      <c r="D291" s="79">
        <f>IF($O291="","",INDEX(Firms!$P$5:$P$1004,$O291)&amp;"")</f>
        <v/>
      </c>
      <c r="E291" s="79">
        <f>IF($O291="","",INDEX(Firms!$O$5:$O$1004,$O291)&amp;"")</f>
        <v/>
      </c>
      <c r="F291" s="50">
        <f>IF($O291="","",IF(INDEX(Firms!$F$5:$F$1004,$O291)="","—",INDEX(Firms!$F$5:$F$1004,$O291)))</f>
        <v/>
      </c>
      <c r="G291" s="50">
        <f>IF($O291="","",IF(INDEX(Firms!$G$5:$G$1004,$O291)="","—",INDEX(Firms!$G$5:$G$1004,$O291)))</f>
        <v/>
      </c>
      <c r="H291" s="50">
        <f>IF($O291="","",IF(INDEX(Firms!$H$5:$H$1004,$O291)="","—",INDEX(Firms!$H$5:$H$1004,$O291)))</f>
        <v/>
      </c>
      <c r="I291" s="50">
        <f>IF($O291="","",IF(INDEX(Firms!$I$5:$I$1004,$O291)="","—",INDEX(Firms!$I$5:$I$1004,$O291)))</f>
        <v/>
      </c>
      <c r="J291" s="50">
        <f>IF($O291="","",IF(INDEX(Firms!$J$5:$J$1004,$O291)="","—",INDEX(Firms!$J$5:$J$1004,$O291)))</f>
        <v/>
      </c>
      <c r="K291" s="50">
        <f>IF($O291="","",IF(INDEX(Firms!$K$5:$K$1004,$O291)="","—",INDEX(Firms!$K$5:$K$1004,$O291)))</f>
        <v/>
      </c>
      <c r="L291" s="50">
        <f>IF($O291="","",IF(INDEX(Firms!$L$5:$L$1004,$O291)="","—",INDEX(Firms!$L$5:$L$1004,$O291)))</f>
        <v/>
      </c>
      <c r="M291" s="50">
        <f>IF($O291="","",IF(INDEX(Firms!$M$5:$M$1004,$O291)="","—",INDEX(Firms!$M$5:$M$1004,$O291)))</f>
        <v/>
      </c>
      <c r="O291">
        <f>IFERROR(MATCH(SMALL(Firms!$Y$5:$Y$1004,283),Firms!$W$5:$W$1004,0),"")</f>
        <v/>
      </c>
    </row>
    <row r="292">
      <c r="B292" s="78">
        <f>IF($O292="","",INDEX(Firms!$A$5:$A$1004,$O292))</f>
        <v/>
      </c>
      <c r="C292" s="79">
        <f>IF($O292="","",INDEX(Firms!$N$5:$N$1004,$O292)&amp;"")</f>
        <v/>
      </c>
      <c r="D292" s="79">
        <f>IF($O292="","",INDEX(Firms!$P$5:$P$1004,$O292)&amp;"")</f>
        <v/>
      </c>
      <c r="E292" s="79">
        <f>IF($O292="","",INDEX(Firms!$O$5:$O$1004,$O292)&amp;"")</f>
        <v/>
      </c>
      <c r="F292" s="50">
        <f>IF($O292="","",IF(INDEX(Firms!$F$5:$F$1004,$O292)="","—",INDEX(Firms!$F$5:$F$1004,$O292)))</f>
        <v/>
      </c>
      <c r="G292" s="50">
        <f>IF($O292="","",IF(INDEX(Firms!$G$5:$G$1004,$O292)="","—",INDEX(Firms!$G$5:$G$1004,$O292)))</f>
        <v/>
      </c>
      <c r="H292" s="50">
        <f>IF($O292="","",IF(INDEX(Firms!$H$5:$H$1004,$O292)="","—",INDEX(Firms!$H$5:$H$1004,$O292)))</f>
        <v/>
      </c>
      <c r="I292" s="50">
        <f>IF($O292="","",IF(INDEX(Firms!$I$5:$I$1004,$O292)="","—",INDEX(Firms!$I$5:$I$1004,$O292)))</f>
        <v/>
      </c>
      <c r="J292" s="50">
        <f>IF($O292="","",IF(INDEX(Firms!$J$5:$J$1004,$O292)="","—",INDEX(Firms!$J$5:$J$1004,$O292)))</f>
        <v/>
      </c>
      <c r="K292" s="50">
        <f>IF($O292="","",IF(INDEX(Firms!$K$5:$K$1004,$O292)="","—",INDEX(Firms!$K$5:$K$1004,$O292)))</f>
        <v/>
      </c>
      <c r="L292" s="50">
        <f>IF($O292="","",IF(INDEX(Firms!$L$5:$L$1004,$O292)="","—",INDEX(Firms!$L$5:$L$1004,$O292)))</f>
        <v/>
      </c>
      <c r="M292" s="50">
        <f>IF($O292="","",IF(INDEX(Firms!$M$5:$M$1004,$O292)="","—",INDEX(Firms!$M$5:$M$1004,$O292)))</f>
        <v/>
      </c>
      <c r="O292">
        <f>IFERROR(MATCH(SMALL(Firms!$Y$5:$Y$1004,284),Firms!$W$5:$W$1004,0),"")</f>
        <v/>
      </c>
    </row>
    <row r="293">
      <c r="B293" s="78">
        <f>IF($O293="","",INDEX(Firms!$A$5:$A$1004,$O293))</f>
        <v/>
      </c>
      <c r="C293" s="79">
        <f>IF($O293="","",INDEX(Firms!$N$5:$N$1004,$O293)&amp;"")</f>
        <v/>
      </c>
      <c r="D293" s="79">
        <f>IF($O293="","",INDEX(Firms!$P$5:$P$1004,$O293)&amp;"")</f>
        <v/>
      </c>
      <c r="E293" s="79">
        <f>IF($O293="","",INDEX(Firms!$O$5:$O$1004,$O293)&amp;"")</f>
        <v/>
      </c>
      <c r="F293" s="50">
        <f>IF($O293="","",IF(INDEX(Firms!$F$5:$F$1004,$O293)="","—",INDEX(Firms!$F$5:$F$1004,$O293)))</f>
        <v/>
      </c>
      <c r="G293" s="50">
        <f>IF($O293="","",IF(INDEX(Firms!$G$5:$G$1004,$O293)="","—",INDEX(Firms!$G$5:$G$1004,$O293)))</f>
        <v/>
      </c>
      <c r="H293" s="50">
        <f>IF($O293="","",IF(INDEX(Firms!$H$5:$H$1004,$O293)="","—",INDEX(Firms!$H$5:$H$1004,$O293)))</f>
        <v/>
      </c>
      <c r="I293" s="50">
        <f>IF($O293="","",IF(INDEX(Firms!$I$5:$I$1004,$O293)="","—",INDEX(Firms!$I$5:$I$1004,$O293)))</f>
        <v/>
      </c>
      <c r="J293" s="50">
        <f>IF($O293="","",IF(INDEX(Firms!$J$5:$J$1004,$O293)="","—",INDEX(Firms!$J$5:$J$1004,$O293)))</f>
        <v/>
      </c>
      <c r="K293" s="50">
        <f>IF($O293="","",IF(INDEX(Firms!$K$5:$K$1004,$O293)="","—",INDEX(Firms!$K$5:$K$1004,$O293)))</f>
        <v/>
      </c>
      <c r="L293" s="50">
        <f>IF($O293="","",IF(INDEX(Firms!$L$5:$L$1004,$O293)="","—",INDEX(Firms!$L$5:$L$1004,$O293)))</f>
        <v/>
      </c>
      <c r="M293" s="50">
        <f>IF($O293="","",IF(INDEX(Firms!$M$5:$M$1004,$O293)="","—",INDEX(Firms!$M$5:$M$1004,$O293)))</f>
        <v/>
      </c>
      <c r="O293">
        <f>IFERROR(MATCH(SMALL(Firms!$Y$5:$Y$1004,285),Firms!$W$5:$W$1004,0),"")</f>
        <v/>
      </c>
    </row>
    <row r="294">
      <c r="B294" s="78">
        <f>IF($O294="","",INDEX(Firms!$A$5:$A$1004,$O294))</f>
        <v/>
      </c>
      <c r="C294" s="79">
        <f>IF($O294="","",INDEX(Firms!$N$5:$N$1004,$O294)&amp;"")</f>
        <v/>
      </c>
      <c r="D294" s="79">
        <f>IF($O294="","",INDEX(Firms!$P$5:$P$1004,$O294)&amp;"")</f>
        <v/>
      </c>
      <c r="E294" s="79">
        <f>IF($O294="","",INDEX(Firms!$O$5:$O$1004,$O294)&amp;"")</f>
        <v/>
      </c>
      <c r="F294" s="50">
        <f>IF($O294="","",IF(INDEX(Firms!$F$5:$F$1004,$O294)="","—",INDEX(Firms!$F$5:$F$1004,$O294)))</f>
        <v/>
      </c>
      <c r="G294" s="50">
        <f>IF($O294="","",IF(INDEX(Firms!$G$5:$G$1004,$O294)="","—",INDEX(Firms!$G$5:$G$1004,$O294)))</f>
        <v/>
      </c>
      <c r="H294" s="50">
        <f>IF($O294="","",IF(INDEX(Firms!$H$5:$H$1004,$O294)="","—",INDEX(Firms!$H$5:$H$1004,$O294)))</f>
        <v/>
      </c>
      <c r="I294" s="50">
        <f>IF($O294="","",IF(INDEX(Firms!$I$5:$I$1004,$O294)="","—",INDEX(Firms!$I$5:$I$1004,$O294)))</f>
        <v/>
      </c>
      <c r="J294" s="50">
        <f>IF($O294="","",IF(INDEX(Firms!$J$5:$J$1004,$O294)="","—",INDEX(Firms!$J$5:$J$1004,$O294)))</f>
        <v/>
      </c>
      <c r="K294" s="50">
        <f>IF($O294="","",IF(INDEX(Firms!$K$5:$K$1004,$O294)="","—",INDEX(Firms!$K$5:$K$1004,$O294)))</f>
        <v/>
      </c>
      <c r="L294" s="50">
        <f>IF($O294="","",IF(INDEX(Firms!$L$5:$L$1004,$O294)="","—",INDEX(Firms!$L$5:$L$1004,$O294)))</f>
        <v/>
      </c>
      <c r="M294" s="50">
        <f>IF($O294="","",IF(INDEX(Firms!$M$5:$M$1004,$O294)="","—",INDEX(Firms!$M$5:$M$1004,$O294)))</f>
        <v/>
      </c>
      <c r="O294">
        <f>IFERROR(MATCH(SMALL(Firms!$Y$5:$Y$1004,286),Firms!$W$5:$W$1004,0),"")</f>
        <v/>
      </c>
    </row>
    <row r="295">
      <c r="B295" s="78">
        <f>IF($O295="","",INDEX(Firms!$A$5:$A$1004,$O295))</f>
        <v/>
      </c>
      <c r="C295" s="79">
        <f>IF($O295="","",INDEX(Firms!$N$5:$N$1004,$O295)&amp;"")</f>
        <v/>
      </c>
      <c r="D295" s="79">
        <f>IF($O295="","",INDEX(Firms!$P$5:$P$1004,$O295)&amp;"")</f>
        <v/>
      </c>
      <c r="E295" s="79">
        <f>IF($O295="","",INDEX(Firms!$O$5:$O$1004,$O295)&amp;"")</f>
        <v/>
      </c>
      <c r="F295" s="50">
        <f>IF($O295="","",IF(INDEX(Firms!$F$5:$F$1004,$O295)="","—",INDEX(Firms!$F$5:$F$1004,$O295)))</f>
        <v/>
      </c>
      <c r="G295" s="50">
        <f>IF($O295="","",IF(INDEX(Firms!$G$5:$G$1004,$O295)="","—",INDEX(Firms!$G$5:$G$1004,$O295)))</f>
        <v/>
      </c>
      <c r="H295" s="50">
        <f>IF($O295="","",IF(INDEX(Firms!$H$5:$H$1004,$O295)="","—",INDEX(Firms!$H$5:$H$1004,$O295)))</f>
        <v/>
      </c>
      <c r="I295" s="50">
        <f>IF($O295="","",IF(INDEX(Firms!$I$5:$I$1004,$O295)="","—",INDEX(Firms!$I$5:$I$1004,$O295)))</f>
        <v/>
      </c>
      <c r="J295" s="50">
        <f>IF($O295="","",IF(INDEX(Firms!$J$5:$J$1004,$O295)="","—",INDEX(Firms!$J$5:$J$1004,$O295)))</f>
        <v/>
      </c>
      <c r="K295" s="50">
        <f>IF($O295="","",IF(INDEX(Firms!$K$5:$K$1004,$O295)="","—",INDEX(Firms!$K$5:$K$1004,$O295)))</f>
        <v/>
      </c>
      <c r="L295" s="50">
        <f>IF($O295="","",IF(INDEX(Firms!$L$5:$L$1004,$O295)="","—",INDEX(Firms!$L$5:$L$1004,$O295)))</f>
        <v/>
      </c>
      <c r="M295" s="50">
        <f>IF($O295="","",IF(INDEX(Firms!$M$5:$M$1004,$O295)="","—",INDEX(Firms!$M$5:$M$1004,$O295)))</f>
        <v/>
      </c>
      <c r="O295">
        <f>IFERROR(MATCH(SMALL(Firms!$Y$5:$Y$1004,287),Firms!$W$5:$W$1004,0),"")</f>
        <v/>
      </c>
    </row>
    <row r="296">
      <c r="B296" s="78">
        <f>IF($O296="","",INDEX(Firms!$A$5:$A$1004,$O296))</f>
        <v/>
      </c>
      <c r="C296" s="79">
        <f>IF($O296="","",INDEX(Firms!$N$5:$N$1004,$O296)&amp;"")</f>
        <v/>
      </c>
      <c r="D296" s="79">
        <f>IF($O296="","",INDEX(Firms!$P$5:$P$1004,$O296)&amp;"")</f>
        <v/>
      </c>
      <c r="E296" s="79">
        <f>IF($O296="","",INDEX(Firms!$O$5:$O$1004,$O296)&amp;"")</f>
        <v/>
      </c>
      <c r="F296" s="50">
        <f>IF($O296="","",IF(INDEX(Firms!$F$5:$F$1004,$O296)="","—",INDEX(Firms!$F$5:$F$1004,$O296)))</f>
        <v/>
      </c>
      <c r="G296" s="50">
        <f>IF($O296="","",IF(INDEX(Firms!$G$5:$G$1004,$O296)="","—",INDEX(Firms!$G$5:$G$1004,$O296)))</f>
        <v/>
      </c>
      <c r="H296" s="50">
        <f>IF($O296="","",IF(INDEX(Firms!$H$5:$H$1004,$O296)="","—",INDEX(Firms!$H$5:$H$1004,$O296)))</f>
        <v/>
      </c>
      <c r="I296" s="50">
        <f>IF($O296="","",IF(INDEX(Firms!$I$5:$I$1004,$O296)="","—",INDEX(Firms!$I$5:$I$1004,$O296)))</f>
        <v/>
      </c>
      <c r="J296" s="50">
        <f>IF($O296="","",IF(INDEX(Firms!$J$5:$J$1004,$O296)="","—",INDEX(Firms!$J$5:$J$1004,$O296)))</f>
        <v/>
      </c>
      <c r="K296" s="50">
        <f>IF($O296="","",IF(INDEX(Firms!$K$5:$K$1004,$O296)="","—",INDEX(Firms!$K$5:$K$1004,$O296)))</f>
        <v/>
      </c>
      <c r="L296" s="50">
        <f>IF($O296="","",IF(INDEX(Firms!$L$5:$L$1004,$O296)="","—",INDEX(Firms!$L$5:$L$1004,$O296)))</f>
        <v/>
      </c>
      <c r="M296" s="50">
        <f>IF($O296="","",IF(INDEX(Firms!$M$5:$M$1004,$O296)="","—",INDEX(Firms!$M$5:$M$1004,$O296)))</f>
        <v/>
      </c>
      <c r="O296">
        <f>IFERROR(MATCH(SMALL(Firms!$Y$5:$Y$1004,288),Firms!$W$5:$W$1004,0),"")</f>
        <v/>
      </c>
    </row>
    <row r="297">
      <c r="B297" s="78">
        <f>IF($O297="","",INDEX(Firms!$A$5:$A$1004,$O297))</f>
        <v/>
      </c>
      <c r="C297" s="79">
        <f>IF($O297="","",INDEX(Firms!$N$5:$N$1004,$O297)&amp;"")</f>
        <v/>
      </c>
      <c r="D297" s="79">
        <f>IF($O297="","",INDEX(Firms!$P$5:$P$1004,$O297)&amp;"")</f>
        <v/>
      </c>
      <c r="E297" s="79">
        <f>IF($O297="","",INDEX(Firms!$O$5:$O$1004,$O297)&amp;"")</f>
        <v/>
      </c>
      <c r="F297" s="50">
        <f>IF($O297="","",IF(INDEX(Firms!$F$5:$F$1004,$O297)="","—",INDEX(Firms!$F$5:$F$1004,$O297)))</f>
        <v/>
      </c>
      <c r="G297" s="50">
        <f>IF($O297="","",IF(INDEX(Firms!$G$5:$G$1004,$O297)="","—",INDEX(Firms!$G$5:$G$1004,$O297)))</f>
        <v/>
      </c>
      <c r="H297" s="50">
        <f>IF($O297="","",IF(INDEX(Firms!$H$5:$H$1004,$O297)="","—",INDEX(Firms!$H$5:$H$1004,$O297)))</f>
        <v/>
      </c>
      <c r="I297" s="50">
        <f>IF($O297="","",IF(INDEX(Firms!$I$5:$I$1004,$O297)="","—",INDEX(Firms!$I$5:$I$1004,$O297)))</f>
        <v/>
      </c>
      <c r="J297" s="50">
        <f>IF($O297="","",IF(INDEX(Firms!$J$5:$J$1004,$O297)="","—",INDEX(Firms!$J$5:$J$1004,$O297)))</f>
        <v/>
      </c>
      <c r="K297" s="50">
        <f>IF($O297="","",IF(INDEX(Firms!$K$5:$K$1004,$O297)="","—",INDEX(Firms!$K$5:$K$1004,$O297)))</f>
        <v/>
      </c>
      <c r="L297" s="50">
        <f>IF($O297="","",IF(INDEX(Firms!$L$5:$L$1004,$O297)="","—",INDEX(Firms!$L$5:$L$1004,$O297)))</f>
        <v/>
      </c>
      <c r="M297" s="50">
        <f>IF($O297="","",IF(INDEX(Firms!$M$5:$M$1004,$O297)="","—",INDEX(Firms!$M$5:$M$1004,$O297)))</f>
        <v/>
      </c>
      <c r="O297">
        <f>IFERROR(MATCH(SMALL(Firms!$Y$5:$Y$1004,289),Firms!$W$5:$W$1004,0),"")</f>
        <v/>
      </c>
    </row>
    <row r="298">
      <c r="B298" s="78">
        <f>IF($O298="","",INDEX(Firms!$A$5:$A$1004,$O298))</f>
        <v/>
      </c>
      <c r="C298" s="79">
        <f>IF($O298="","",INDEX(Firms!$N$5:$N$1004,$O298)&amp;"")</f>
        <v/>
      </c>
      <c r="D298" s="79">
        <f>IF($O298="","",INDEX(Firms!$P$5:$P$1004,$O298)&amp;"")</f>
        <v/>
      </c>
      <c r="E298" s="79">
        <f>IF($O298="","",INDEX(Firms!$O$5:$O$1004,$O298)&amp;"")</f>
        <v/>
      </c>
      <c r="F298" s="50">
        <f>IF($O298="","",IF(INDEX(Firms!$F$5:$F$1004,$O298)="","—",INDEX(Firms!$F$5:$F$1004,$O298)))</f>
        <v/>
      </c>
      <c r="G298" s="50">
        <f>IF($O298="","",IF(INDEX(Firms!$G$5:$G$1004,$O298)="","—",INDEX(Firms!$G$5:$G$1004,$O298)))</f>
        <v/>
      </c>
      <c r="H298" s="50">
        <f>IF($O298="","",IF(INDEX(Firms!$H$5:$H$1004,$O298)="","—",INDEX(Firms!$H$5:$H$1004,$O298)))</f>
        <v/>
      </c>
      <c r="I298" s="50">
        <f>IF($O298="","",IF(INDEX(Firms!$I$5:$I$1004,$O298)="","—",INDEX(Firms!$I$5:$I$1004,$O298)))</f>
        <v/>
      </c>
      <c r="J298" s="50">
        <f>IF($O298="","",IF(INDEX(Firms!$J$5:$J$1004,$O298)="","—",INDEX(Firms!$J$5:$J$1004,$O298)))</f>
        <v/>
      </c>
      <c r="K298" s="50">
        <f>IF($O298="","",IF(INDEX(Firms!$K$5:$K$1004,$O298)="","—",INDEX(Firms!$K$5:$K$1004,$O298)))</f>
        <v/>
      </c>
      <c r="L298" s="50">
        <f>IF($O298="","",IF(INDEX(Firms!$L$5:$L$1004,$O298)="","—",INDEX(Firms!$L$5:$L$1004,$O298)))</f>
        <v/>
      </c>
      <c r="M298" s="50">
        <f>IF($O298="","",IF(INDEX(Firms!$M$5:$M$1004,$O298)="","—",INDEX(Firms!$M$5:$M$1004,$O298)))</f>
        <v/>
      </c>
      <c r="O298">
        <f>IFERROR(MATCH(SMALL(Firms!$Y$5:$Y$1004,290),Firms!$W$5:$W$1004,0),"")</f>
        <v/>
      </c>
    </row>
    <row r="299">
      <c r="B299" s="78">
        <f>IF($O299="","",INDEX(Firms!$A$5:$A$1004,$O299))</f>
        <v/>
      </c>
      <c r="C299" s="79">
        <f>IF($O299="","",INDEX(Firms!$N$5:$N$1004,$O299)&amp;"")</f>
        <v/>
      </c>
      <c r="D299" s="79">
        <f>IF($O299="","",INDEX(Firms!$P$5:$P$1004,$O299)&amp;"")</f>
        <v/>
      </c>
      <c r="E299" s="79">
        <f>IF($O299="","",INDEX(Firms!$O$5:$O$1004,$O299)&amp;"")</f>
        <v/>
      </c>
      <c r="F299" s="50">
        <f>IF($O299="","",IF(INDEX(Firms!$F$5:$F$1004,$O299)="","—",INDEX(Firms!$F$5:$F$1004,$O299)))</f>
        <v/>
      </c>
      <c r="G299" s="50">
        <f>IF($O299="","",IF(INDEX(Firms!$G$5:$G$1004,$O299)="","—",INDEX(Firms!$G$5:$G$1004,$O299)))</f>
        <v/>
      </c>
      <c r="H299" s="50">
        <f>IF($O299="","",IF(INDEX(Firms!$H$5:$H$1004,$O299)="","—",INDEX(Firms!$H$5:$H$1004,$O299)))</f>
        <v/>
      </c>
      <c r="I299" s="50">
        <f>IF($O299="","",IF(INDEX(Firms!$I$5:$I$1004,$O299)="","—",INDEX(Firms!$I$5:$I$1004,$O299)))</f>
        <v/>
      </c>
      <c r="J299" s="50">
        <f>IF($O299="","",IF(INDEX(Firms!$J$5:$J$1004,$O299)="","—",INDEX(Firms!$J$5:$J$1004,$O299)))</f>
        <v/>
      </c>
      <c r="K299" s="50">
        <f>IF($O299="","",IF(INDEX(Firms!$K$5:$K$1004,$O299)="","—",INDEX(Firms!$K$5:$K$1004,$O299)))</f>
        <v/>
      </c>
      <c r="L299" s="50">
        <f>IF($O299="","",IF(INDEX(Firms!$L$5:$L$1004,$O299)="","—",INDEX(Firms!$L$5:$L$1004,$O299)))</f>
        <v/>
      </c>
      <c r="M299" s="50">
        <f>IF($O299="","",IF(INDEX(Firms!$M$5:$M$1004,$O299)="","—",INDEX(Firms!$M$5:$M$1004,$O299)))</f>
        <v/>
      </c>
      <c r="O299">
        <f>IFERROR(MATCH(SMALL(Firms!$Y$5:$Y$1004,291),Firms!$W$5:$W$1004,0),"")</f>
        <v/>
      </c>
    </row>
    <row r="300">
      <c r="B300" s="78">
        <f>IF($O300="","",INDEX(Firms!$A$5:$A$1004,$O300))</f>
        <v/>
      </c>
      <c r="C300" s="79">
        <f>IF($O300="","",INDEX(Firms!$N$5:$N$1004,$O300)&amp;"")</f>
        <v/>
      </c>
      <c r="D300" s="79">
        <f>IF($O300="","",INDEX(Firms!$P$5:$P$1004,$O300)&amp;"")</f>
        <v/>
      </c>
      <c r="E300" s="79">
        <f>IF($O300="","",INDEX(Firms!$O$5:$O$1004,$O300)&amp;"")</f>
        <v/>
      </c>
      <c r="F300" s="50">
        <f>IF($O300="","",IF(INDEX(Firms!$F$5:$F$1004,$O300)="","—",INDEX(Firms!$F$5:$F$1004,$O300)))</f>
        <v/>
      </c>
      <c r="G300" s="50">
        <f>IF($O300="","",IF(INDEX(Firms!$G$5:$G$1004,$O300)="","—",INDEX(Firms!$G$5:$G$1004,$O300)))</f>
        <v/>
      </c>
      <c r="H300" s="50">
        <f>IF($O300="","",IF(INDEX(Firms!$H$5:$H$1004,$O300)="","—",INDEX(Firms!$H$5:$H$1004,$O300)))</f>
        <v/>
      </c>
      <c r="I300" s="50">
        <f>IF($O300="","",IF(INDEX(Firms!$I$5:$I$1004,$O300)="","—",INDEX(Firms!$I$5:$I$1004,$O300)))</f>
        <v/>
      </c>
      <c r="J300" s="50">
        <f>IF($O300="","",IF(INDEX(Firms!$J$5:$J$1004,$O300)="","—",INDEX(Firms!$J$5:$J$1004,$O300)))</f>
        <v/>
      </c>
      <c r="K300" s="50">
        <f>IF($O300="","",IF(INDEX(Firms!$K$5:$K$1004,$O300)="","—",INDEX(Firms!$K$5:$K$1004,$O300)))</f>
        <v/>
      </c>
      <c r="L300" s="50">
        <f>IF($O300="","",IF(INDEX(Firms!$L$5:$L$1004,$O300)="","—",INDEX(Firms!$L$5:$L$1004,$O300)))</f>
        <v/>
      </c>
      <c r="M300" s="50">
        <f>IF($O300="","",IF(INDEX(Firms!$M$5:$M$1004,$O300)="","—",INDEX(Firms!$M$5:$M$1004,$O300)))</f>
        <v/>
      </c>
      <c r="O300">
        <f>IFERROR(MATCH(SMALL(Firms!$Y$5:$Y$1004,292),Firms!$W$5:$W$1004,0),"")</f>
        <v/>
      </c>
    </row>
    <row r="301">
      <c r="B301" s="78">
        <f>IF($O301="","",INDEX(Firms!$A$5:$A$1004,$O301))</f>
        <v/>
      </c>
      <c r="C301" s="79">
        <f>IF($O301="","",INDEX(Firms!$N$5:$N$1004,$O301)&amp;"")</f>
        <v/>
      </c>
      <c r="D301" s="79">
        <f>IF($O301="","",INDEX(Firms!$P$5:$P$1004,$O301)&amp;"")</f>
        <v/>
      </c>
      <c r="E301" s="79">
        <f>IF($O301="","",INDEX(Firms!$O$5:$O$1004,$O301)&amp;"")</f>
        <v/>
      </c>
      <c r="F301" s="50">
        <f>IF($O301="","",IF(INDEX(Firms!$F$5:$F$1004,$O301)="","—",INDEX(Firms!$F$5:$F$1004,$O301)))</f>
        <v/>
      </c>
      <c r="G301" s="50">
        <f>IF($O301="","",IF(INDEX(Firms!$G$5:$G$1004,$O301)="","—",INDEX(Firms!$G$5:$G$1004,$O301)))</f>
        <v/>
      </c>
      <c r="H301" s="50">
        <f>IF($O301="","",IF(INDEX(Firms!$H$5:$H$1004,$O301)="","—",INDEX(Firms!$H$5:$H$1004,$O301)))</f>
        <v/>
      </c>
      <c r="I301" s="50">
        <f>IF($O301="","",IF(INDEX(Firms!$I$5:$I$1004,$O301)="","—",INDEX(Firms!$I$5:$I$1004,$O301)))</f>
        <v/>
      </c>
      <c r="J301" s="50">
        <f>IF($O301="","",IF(INDEX(Firms!$J$5:$J$1004,$O301)="","—",INDEX(Firms!$J$5:$J$1004,$O301)))</f>
        <v/>
      </c>
      <c r="K301" s="50">
        <f>IF($O301="","",IF(INDEX(Firms!$K$5:$K$1004,$O301)="","—",INDEX(Firms!$K$5:$K$1004,$O301)))</f>
        <v/>
      </c>
      <c r="L301" s="50">
        <f>IF($O301="","",IF(INDEX(Firms!$L$5:$L$1004,$O301)="","—",INDEX(Firms!$L$5:$L$1004,$O301)))</f>
        <v/>
      </c>
      <c r="M301" s="50">
        <f>IF($O301="","",IF(INDEX(Firms!$M$5:$M$1004,$O301)="","—",INDEX(Firms!$M$5:$M$1004,$O301)))</f>
        <v/>
      </c>
      <c r="O301">
        <f>IFERROR(MATCH(SMALL(Firms!$Y$5:$Y$1004,293),Firms!$W$5:$W$1004,0),"")</f>
        <v/>
      </c>
    </row>
    <row r="302">
      <c r="B302" s="78">
        <f>IF($O302="","",INDEX(Firms!$A$5:$A$1004,$O302))</f>
        <v/>
      </c>
      <c r="C302" s="79">
        <f>IF($O302="","",INDEX(Firms!$N$5:$N$1004,$O302)&amp;"")</f>
        <v/>
      </c>
      <c r="D302" s="79">
        <f>IF($O302="","",INDEX(Firms!$P$5:$P$1004,$O302)&amp;"")</f>
        <v/>
      </c>
      <c r="E302" s="79">
        <f>IF($O302="","",INDEX(Firms!$O$5:$O$1004,$O302)&amp;"")</f>
        <v/>
      </c>
      <c r="F302" s="50">
        <f>IF($O302="","",IF(INDEX(Firms!$F$5:$F$1004,$O302)="","—",INDEX(Firms!$F$5:$F$1004,$O302)))</f>
        <v/>
      </c>
      <c r="G302" s="50">
        <f>IF($O302="","",IF(INDEX(Firms!$G$5:$G$1004,$O302)="","—",INDEX(Firms!$G$5:$G$1004,$O302)))</f>
        <v/>
      </c>
      <c r="H302" s="50">
        <f>IF($O302="","",IF(INDEX(Firms!$H$5:$H$1004,$O302)="","—",INDEX(Firms!$H$5:$H$1004,$O302)))</f>
        <v/>
      </c>
      <c r="I302" s="50">
        <f>IF($O302="","",IF(INDEX(Firms!$I$5:$I$1004,$O302)="","—",INDEX(Firms!$I$5:$I$1004,$O302)))</f>
        <v/>
      </c>
      <c r="J302" s="50">
        <f>IF($O302="","",IF(INDEX(Firms!$J$5:$J$1004,$O302)="","—",INDEX(Firms!$J$5:$J$1004,$O302)))</f>
        <v/>
      </c>
      <c r="K302" s="50">
        <f>IF($O302="","",IF(INDEX(Firms!$K$5:$K$1004,$O302)="","—",INDEX(Firms!$K$5:$K$1004,$O302)))</f>
        <v/>
      </c>
      <c r="L302" s="50">
        <f>IF($O302="","",IF(INDEX(Firms!$L$5:$L$1004,$O302)="","—",INDEX(Firms!$L$5:$L$1004,$O302)))</f>
        <v/>
      </c>
      <c r="M302" s="50">
        <f>IF($O302="","",IF(INDEX(Firms!$M$5:$M$1004,$O302)="","—",INDEX(Firms!$M$5:$M$1004,$O302)))</f>
        <v/>
      </c>
      <c r="O302">
        <f>IFERROR(MATCH(SMALL(Firms!$Y$5:$Y$1004,294),Firms!$W$5:$W$1004,0),"")</f>
        <v/>
      </c>
    </row>
    <row r="303">
      <c r="B303" s="78">
        <f>IF($O303="","",INDEX(Firms!$A$5:$A$1004,$O303))</f>
        <v/>
      </c>
      <c r="C303" s="79">
        <f>IF($O303="","",INDEX(Firms!$N$5:$N$1004,$O303)&amp;"")</f>
        <v/>
      </c>
      <c r="D303" s="79">
        <f>IF($O303="","",INDEX(Firms!$P$5:$P$1004,$O303)&amp;"")</f>
        <v/>
      </c>
      <c r="E303" s="79">
        <f>IF($O303="","",INDEX(Firms!$O$5:$O$1004,$O303)&amp;"")</f>
        <v/>
      </c>
      <c r="F303" s="50">
        <f>IF($O303="","",IF(INDEX(Firms!$F$5:$F$1004,$O303)="","—",INDEX(Firms!$F$5:$F$1004,$O303)))</f>
        <v/>
      </c>
      <c r="G303" s="50">
        <f>IF($O303="","",IF(INDEX(Firms!$G$5:$G$1004,$O303)="","—",INDEX(Firms!$G$5:$G$1004,$O303)))</f>
        <v/>
      </c>
      <c r="H303" s="50">
        <f>IF($O303="","",IF(INDEX(Firms!$H$5:$H$1004,$O303)="","—",INDEX(Firms!$H$5:$H$1004,$O303)))</f>
        <v/>
      </c>
      <c r="I303" s="50">
        <f>IF($O303="","",IF(INDEX(Firms!$I$5:$I$1004,$O303)="","—",INDEX(Firms!$I$5:$I$1004,$O303)))</f>
        <v/>
      </c>
      <c r="J303" s="50">
        <f>IF($O303="","",IF(INDEX(Firms!$J$5:$J$1004,$O303)="","—",INDEX(Firms!$J$5:$J$1004,$O303)))</f>
        <v/>
      </c>
      <c r="K303" s="50">
        <f>IF($O303="","",IF(INDEX(Firms!$K$5:$K$1004,$O303)="","—",INDEX(Firms!$K$5:$K$1004,$O303)))</f>
        <v/>
      </c>
      <c r="L303" s="50">
        <f>IF($O303="","",IF(INDEX(Firms!$L$5:$L$1004,$O303)="","—",INDEX(Firms!$L$5:$L$1004,$O303)))</f>
        <v/>
      </c>
      <c r="M303" s="50">
        <f>IF($O303="","",IF(INDEX(Firms!$M$5:$M$1004,$O303)="","—",INDEX(Firms!$M$5:$M$1004,$O303)))</f>
        <v/>
      </c>
      <c r="O303">
        <f>IFERROR(MATCH(SMALL(Firms!$Y$5:$Y$1004,295),Firms!$W$5:$W$1004,0),"")</f>
        <v/>
      </c>
    </row>
    <row r="304">
      <c r="B304" s="78">
        <f>IF($O304="","",INDEX(Firms!$A$5:$A$1004,$O304))</f>
        <v/>
      </c>
      <c r="C304" s="79">
        <f>IF($O304="","",INDEX(Firms!$N$5:$N$1004,$O304)&amp;"")</f>
        <v/>
      </c>
      <c r="D304" s="79">
        <f>IF($O304="","",INDEX(Firms!$P$5:$P$1004,$O304)&amp;"")</f>
        <v/>
      </c>
      <c r="E304" s="79">
        <f>IF($O304="","",INDEX(Firms!$O$5:$O$1004,$O304)&amp;"")</f>
        <v/>
      </c>
      <c r="F304" s="50">
        <f>IF($O304="","",IF(INDEX(Firms!$F$5:$F$1004,$O304)="","—",INDEX(Firms!$F$5:$F$1004,$O304)))</f>
        <v/>
      </c>
      <c r="G304" s="50">
        <f>IF($O304="","",IF(INDEX(Firms!$G$5:$G$1004,$O304)="","—",INDEX(Firms!$G$5:$G$1004,$O304)))</f>
        <v/>
      </c>
      <c r="H304" s="50">
        <f>IF($O304="","",IF(INDEX(Firms!$H$5:$H$1004,$O304)="","—",INDEX(Firms!$H$5:$H$1004,$O304)))</f>
        <v/>
      </c>
      <c r="I304" s="50">
        <f>IF($O304="","",IF(INDEX(Firms!$I$5:$I$1004,$O304)="","—",INDEX(Firms!$I$5:$I$1004,$O304)))</f>
        <v/>
      </c>
      <c r="J304" s="50">
        <f>IF($O304="","",IF(INDEX(Firms!$J$5:$J$1004,$O304)="","—",INDEX(Firms!$J$5:$J$1004,$O304)))</f>
        <v/>
      </c>
      <c r="K304" s="50">
        <f>IF($O304="","",IF(INDEX(Firms!$K$5:$K$1004,$O304)="","—",INDEX(Firms!$K$5:$K$1004,$O304)))</f>
        <v/>
      </c>
      <c r="L304" s="50">
        <f>IF($O304="","",IF(INDEX(Firms!$L$5:$L$1004,$O304)="","—",INDEX(Firms!$L$5:$L$1004,$O304)))</f>
        <v/>
      </c>
      <c r="M304" s="50">
        <f>IF($O304="","",IF(INDEX(Firms!$M$5:$M$1004,$O304)="","—",INDEX(Firms!$M$5:$M$1004,$O304)))</f>
        <v/>
      </c>
      <c r="O304">
        <f>IFERROR(MATCH(SMALL(Firms!$Y$5:$Y$1004,296),Firms!$W$5:$W$1004,0),"")</f>
        <v/>
      </c>
    </row>
    <row r="305">
      <c r="B305" s="78">
        <f>IF($O305="","",INDEX(Firms!$A$5:$A$1004,$O305))</f>
        <v/>
      </c>
      <c r="C305" s="79">
        <f>IF($O305="","",INDEX(Firms!$N$5:$N$1004,$O305)&amp;"")</f>
        <v/>
      </c>
      <c r="D305" s="79">
        <f>IF($O305="","",INDEX(Firms!$P$5:$P$1004,$O305)&amp;"")</f>
        <v/>
      </c>
      <c r="E305" s="79">
        <f>IF($O305="","",INDEX(Firms!$O$5:$O$1004,$O305)&amp;"")</f>
        <v/>
      </c>
      <c r="F305" s="50">
        <f>IF($O305="","",IF(INDEX(Firms!$F$5:$F$1004,$O305)="","—",INDEX(Firms!$F$5:$F$1004,$O305)))</f>
        <v/>
      </c>
      <c r="G305" s="50">
        <f>IF($O305="","",IF(INDEX(Firms!$G$5:$G$1004,$O305)="","—",INDEX(Firms!$G$5:$G$1004,$O305)))</f>
        <v/>
      </c>
      <c r="H305" s="50">
        <f>IF($O305="","",IF(INDEX(Firms!$H$5:$H$1004,$O305)="","—",INDEX(Firms!$H$5:$H$1004,$O305)))</f>
        <v/>
      </c>
      <c r="I305" s="50">
        <f>IF($O305="","",IF(INDEX(Firms!$I$5:$I$1004,$O305)="","—",INDEX(Firms!$I$5:$I$1004,$O305)))</f>
        <v/>
      </c>
      <c r="J305" s="50">
        <f>IF($O305="","",IF(INDEX(Firms!$J$5:$J$1004,$O305)="","—",INDEX(Firms!$J$5:$J$1004,$O305)))</f>
        <v/>
      </c>
      <c r="K305" s="50">
        <f>IF($O305="","",IF(INDEX(Firms!$K$5:$K$1004,$O305)="","—",INDEX(Firms!$K$5:$K$1004,$O305)))</f>
        <v/>
      </c>
      <c r="L305" s="50">
        <f>IF($O305="","",IF(INDEX(Firms!$L$5:$L$1004,$O305)="","—",INDEX(Firms!$L$5:$L$1004,$O305)))</f>
        <v/>
      </c>
      <c r="M305" s="50">
        <f>IF($O305="","",IF(INDEX(Firms!$M$5:$M$1004,$O305)="","—",INDEX(Firms!$M$5:$M$1004,$O305)))</f>
        <v/>
      </c>
      <c r="O305">
        <f>IFERROR(MATCH(SMALL(Firms!$Y$5:$Y$1004,297),Firms!$W$5:$W$1004,0),"")</f>
        <v/>
      </c>
    </row>
    <row r="306">
      <c r="B306" s="78">
        <f>IF($O306="","",INDEX(Firms!$A$5:$A$1004,$O306))</f>
        <v/>
      </c>
      <c r="C306" s="79">
        <f>IF($O306="","",INDEX(Firms!$N$5:$N$1004,$O306)&amp;"")</f>
        <v/>
      </c>
      <c r="D306" s="79">
        <f>IF($O306="","",INDEX(Firms!$P$5:$P$1004,$O306)&amp;"")</f>
        <v/>
      </c>
      <c r="E306" s="79">
        <f>IF($O306="","",INDEX(Firms!$O$5:$O$1004,$O306)&amp;"")</f>
        <v/>
      </c>
      <c r="F306" s="50">
        <f>IF($O306="","",IF(INDEX(Firms!$F$5:$F$1004,$O306)="","—",INDEX(Firms!$F$5:$F$1004,$O306)))</f>
        <v/>
      </c>
      <c r="G306" s="50">
        <f>IF($O306="","",IF(INDEX(Firms!$G$5:$G$1004,$O306)="","—",INDEX(Firms!$G$5:$G$1004,$O306)))</f>
        <v/>
      </c>
      <c r="H306" s="50">
        <f>IF($O306="","",IF(INDEX(Firms!$H$5:$H$1004,$O306)="","—",INDEX(Firms!$H$5:$H$1004,$O306)))</f>
        <v/>
      </c>
      <c r="I306" s="50">
        <f>IF($O306="","",IF(INDEX(Firms!$I$5:$I$1004,$O306)="","—",INDEX(Firms!$I$5:$I$1004,$O306)))</f>
        <v/>
      </c>
      <c r="J306" s="50">
        <f>IF($O306="","",IF(INDEX(Firms!$J$5:$J$1004,$O306)="","—",INDEX(Firms!$J$5:$J$1004,$O306)))</f>
        <v/>
      </c>
      <c r="K306" s="50">
        <f>IF($O306="","",IF(INDEX(Firms!$K$5:$K$1004,$O306)="","—",INDEX(Firms!$K$5:$K$1004,$O306)))</f>
        <v/>
      </c>
      <c r="L306" s="50">
        <f>IF($O306="","",IF(INDEX(Firms!$L$5:$L$1004,$O306)="","—",INDEX(Firms!$L$5:$L$1004,$O306)))</f>
        <v/>
      </c>
      <c r="M306" s="50">
        <f>IF($O306="","",IF(INDEX(Firms!$M$5:$M$1004,$O306)="","—",INDEX(Firms!$M$5:$M$1004,$O306)))</f>
        <v/>
      </c>
      <c r="O306">
        <f>IFERROR(MATCH(SMALL(Firms!$Y$5:$Y$1004,298),Firms!$W$5:$W$1004,0),"")</f>
        <v/>
      </c>
    </row>
    <row r="307">
      <c r="B307" s="78">
        <f>IF($O307="","",INDEX(Firms!$A$5:$A$1004,$O307))</f>
        <v/>
      </c>
      <c r="C307" s="79">
        <f>IF($O307="","",INDEX(Firms!$N$5:$N$1004,$O307)&amp;"")</f>
        <v/>
      </c>
      <c r="D307" s="79">
        <f>IF($O307="","",INDEX(Firms!$P$5:$P$1004,$O307)&amp;"")</f>
        <v/>
      </c>
      <c r="E307" s="79">
        <f>IF($O307="","",INDEX(Firms!$O$5:$O$1004,$O307)&amp;"")</f>
        <v/>
      </c>
      <c r="F307" s="50">
        <f>IF($O307="","",IF(INDEX(Firms!$F$5:$F$1004,$O307)="","—",INDEX(Firms!$F$5:$F$1004,$O307)))</f>
        <v/>
      </c>
      <c r="G307" s="50">
        <f>IF($O307="","",IF(INDEX(Firms!$G$5:$G$1004,$O307)="","—",INDEX(Firms!$G$5:$G$1004,$O307)))</f>
        <v/>
      </c>
      <c r="H307" s="50">
        <f>IF($O307="","",IF(INDEX(Firms!$H$5:$H$1004,$O307)="","—",INDEX(Firms!$H$5:$H$1004,$O307)))</f>
        <v/>
      </c>
      <c r="I307" s="50">
        <f>IF($O307="","",IF(INDEX(Firms!$I$5:$I$1004,$O307)="","—",INDEX(Firms!$I$5:$I$1004,$O307)))</f>
        <v/>
      </c>
      <c r="J307" s="50">
        <f>IF($O307="","",IF(INDEX(Firms!$J$5:$J$1004,$O307)="","—",INDEX(Firms!$J$5:$J$1004,$O307)))</f>
        <v/>
      </c>
      <c r="K307" s="50">
        <f>IF($O307="","",IF(INDEX(Firms!$K$5:$K$1004,$O307)="","—",INDEX(Firms!$K$5:$K$1004,$O307)))</f>
        <v/>
      </c>
      <c r="L307" s="50">
        <f>IF($O307="","",IF(INDEX(Firms!$L$5:$L$1004,$O307)="","—",INDEX(Firms!$L$5:$L$1004,$O307)))</f>
        <v/>
      </c>
      <c r="M307" s="50">
        <f>IF($O307="","",IF(INDEX(Firms!$M$5:$M$1004,$O307)="","—",INDEX(Firms!$M$5:$M$1004,$O307)))</f>
        <v/>
      </c>
      <c r="O307">
        <f>IFERROR(MATCH(SMALL(Firms!$Y$5:$Y$1004,299),Firms!$W$5:$W$1004,0),"")</f>
        <v/>
      </c>
    </row>
    <row r="308">
      <c r="B308" s="78">
        <f>IF($O308="","",INDEX(Firms!$A$5:$A$1004,$O308))</f>
        <v/>
      </c>
      <c r="C308" s="79">
        <f>IF($O308="","",INDEX(Firms!$N$5:$N$1004,$O308)&amp;"")</f>
        <v/>
      </c>
      <c r="D308" s="79">
        <f>IF($O308="","",INDEX(Firms!$P$5:$P$1004,$O308)&amp;"")</f>
        <v/>
      </c>
      <c r="E308" s="79">
        <f>IF($O308="","",INDEX(Firms!$O$5:$O$1004,$O308)&amp;"")</f>
        <v/>
      </c>
      <c r="F308" s="50">
        <f>IF($O308="","",IF(INDEX(Firms!$F$5:$F$1004,$O308)="","—",INDEX(Firms!$F$5:$F$1004,$O308)))</f>
        <v/>
      </c>
      <c r="G308" s="50">
        <f>IF($O308="","",IF(INDEX(Firms!$G$5:$G$1004,$O308)="","—",INDEX(Firms!$G$5:$G$1004,$O308)))</f>
        <v/>
      </c>
      <c r="H308" s="50">
        <f>IF($O308="","",IF(INDEX(Firms!$H$5:$H$1004,$O308)="","—",INDEX(Firms!$H$5:$H$1004,$O308)))</f>
        <v/>
      </c>
      <c r="I308" s="50">
        <f>IF($O308="","",IF(INDEX(Firms!$I$5:$I$1004,$O308)="","—",INDEX(Firms!$I$5:$I$1004,$O308)))</f>
        <v/>
      </c>
      <c r="J308" s="50">
        <f>IF($O308="","",IF(INDEX(Firms!$J$5:$J$1004,$O308)="","—",INDEX(Firms!$J$5:$J$1004,$O308)))</f>
        <v/>
      </c>
      <c r="K308" s="50">
        <f>IF($O308="","",IF(INDEX(Firms!$K$5:$K$1004,$O308)="","—",INDEX(Firms!$K$5:$K$1004,$O308)))</f>
        <v/>
      </c>
      <c r="L308" s="50">
        <f>IF($O308="","",IF(INDEX(Firms!$L$5:$L$1004,$O308)="","—",INDEX(Firms!$L$5:$L$1004,$O308)))</f>
        <v/>
      </c>
      <c r="M308" s="50">
        <f>IF($O308="","",IF(INDEX(Firms!$M$5:$M$1004,$O308)="","—",INDEX(Firms!$M$5:$M$1004,$O308)))</f>
        <v/>
      </c>
      <c r="O308">
        <f>IFERROR(MATCH(SMALL(Firms!$Y$5:$Y$1004,300),Firms!$W$5:$W$1004,0),"")</f>
        <v/>
      </c>
    </row>
    <row r="309">
      <c r="B309" s="78">
        <f>IF($O309="","",INDEX(Firms!$A$5:$A$1004,$O309))</f>
        <v/>
      </c>
      <c r="C309" s="79">
        <f>IF($O309="","",INDEX(Firms!$N$5:$N$1004,$O309)&amp;"")</f>
        <v/>
      </c>
      <c r="D309" s="79">
        <f>IF($O309="","",INDEX(Firms!$P$5:$P$1004,$O309)&amp;"")</f>
        <v/>
      </c>
      <c r="E309" s="79">
        <f>IF($O309="","",INDEX(Firms!$O$5:$O$1004,$O309)&amp;"")</f>
        <v/>
      </c>
      <c r="F309" s="50">
        <f>IF($O309="","",IF(INDEX(Firms!$F$5:$F$1004,$O309)="","—",INDEX(Firms!$F$5:$F$1004,$O309)))</f>
        <v/>
      </c>
      <c r="G309" s="50">
        <f>IF($O309="","",IF(INDEX(Firms!$G$5:$G$1004,$O309)="","—",INDEX(Firms!$G$5:$G$1004,$O309)))</f>
        <v/>
      </c>
      <c r="H309" s="50">
        <f>IF($O309="","",IF(INDEX(Firms!$H$5:$H$1004,$O309)="","—",INDEX(Firms!$H$5:$H$1004,$O309)))</f>
        <v/>
      </c>
      <c r="I309" s="50">
        <f>IF($O309="","",IF(INDEX(Firms!$I$5:$I$1004,$O309)="","—",INDEX(Firms!$I$5:$I$1004,$O309)))</f>
        <v/>
      </c>
      <c r="J309" s="50">
        <f>IF($O309="","",IF(INDEX(Firms!$J$5:$J$1004,$O309)="","—",INDEX(Firms!$J$5:$J$1004,$O309)))</f>
        <v/>
      </c>
      <c r="K309" s="50">
        <f>IF($O309="","",IF(INDEX(Firms!$K$5:$K$1004,$O309)="","—",INDEX(Firms!$K$5:$K$1004,$O309)))</f>
        <v/>
      </c>
      <c r="L309" s="50">
        <f>IF($O309="","",IF(INDEX(Firms!$L$5:$L$1004,$O309)="","—",INDEX(Firms!$L$5:$L$1004,$O309)))</f>
        <v/>
      </c>
      <c r="M309" s="50">
        <f>IF($O309="","",IF(INDEX(Firms!$M$5:$M$1004,$O309)="","—",INDEX(Firms!$M$5:$M$1004,$O309)))</f>
        <v/>
      </c>
      <c r="O309">
        <f>IFERROR(MATCH(SMALL(Firms!$Y$5:$Y$1004,301),Firms!$W$5:$W$1004,0),"")</f>
        <v/>
      </c>
    </row>
    <row r="310">
      <c r="B310" s="78">
        <f>IF($O310="","",INDEX(Firms!$A$5:$A$1004,$O310))</f>
        <v/>
      </c>
      <c r="C310" s="79">
        <f>IF($O310="","",INDEX(Firms!$N$5:$N$1004,$O310)&amp;"")</f>
        <v/>
      </c>
      <c r="D310" s="79">
        <f>IF($O310="","",INDEX(Firms!$P$5:$P$1004,$O310)&amp;"")</f>
        <v/>
      </c>
      <c r="E310" s="79">
        <f>IF($O310="","",INDEX(Firms!$O$5:$O$1004,$O310)&amp;"")</f>
        <v/>
      </c>
      <c r="F310" s="50">
        <f>IF($O310="","",IF(INDEX(Firms!$F$5:$F$1004,$O310)="","—",INDEX(Firms!$F$5:$F$1004,$O310)))</f>
        <v/>
      </c>
      <c r="G310" s="50">
        <f>IF($O310="","",IF(INDEX(Firms!$G$5:$G$1004,$O310)="","—",INDEX(Firms!$G$5:$G$1004,$O310)))</f>
        <v/>
      </c>
      <c r="H310" s="50">
        <f>IF($O310="","",IF(INDEX(Firms!$H$5:$H$1004,$O310)="","—",INDEX(Firms!$H$5:$H$1004,$O310)))</f>
        <v/>
      </c>
      <c r="I310" s="50">
        <f>IF($O310="","",IF(INDEX(Firms!$I$5:$I$1004,$O310)="","—",INDEX(Firms!$I$5:$I$1004,$O310)))</f>
        <v/>
      </c>
      <c r="J310" s="50">
        <f>IF($O310="","",IF(INDEX(Firms!$J$5:$J$1004,$O310)="","—",INDEX(Firms!$J$5:$J$1004,$O310)))</f>
        <v/>
      </c>
      <c r="K310" s="50">
        <f>IF($O310="","",IF(INDEX(Firms!$K$5:$K$1004,$O310)="","—",INDEX(Firms!$K$5:$K$1004,$O310)))</f>
        <v/>
      </c>
      <c r="L310" s="50">
        <f>IF($O310="","",IF(INDEX(Firms!$L$5:$L$1004,$O310)="","—",INDEX(Firms!$L$5:$L$1004,$O310)))</f>
        <v/>
      </c>
      <c r="M310" s="50">
        <f>IF($O310="","",IF(INDEX(Firms!$M$5:$M$1004,$O310)="","—",INDEX(Firms!$M$5:$M$1004,$O310)))</f>
        <v/>
      </c>
      <c r="O310">
        <f>IFERROR(MATCH(SMALL(Firms!$Y$5:$Y$1004,302),Firms!$W$5:$W$1004,0),"")</f>
        <v/>
      </c>
    </row>
    <row r="311">
      <c r="B311" s="78">
        <f>IF($O311="","",INDEX(Firms!$A$5:$A$1004,$O311))</f>
        <v/>
      </c>
      <c r="C311" s="79">
        <f>IF($O311="","",INDEX(Firms!$N$5:$N$1004,$O311)&amp;"")</f>
        <v/>
      </c>
      <c r="D311" s="79">
        <f>IF($O311="","",INDEX(Firms!$P$5:$P$1004,$O311)&amp;"")</f>
        <v/>
      </c>
      <c r="E311" s="79">
        <f>IF($O311="","",INDEX(Firms!$O$5:$O$1004,$O311)&amp;"")</f>
        <v/>
      </c>
      <c r="F311" s="50">
        <f>IF($O311="","",IF(INDEX(Firms!$F$5:$F$1004,$O311)="","—",INDEX(Firms!$F$5:$F$1004,$O311)))</f>
        <v/>
      </c>
      <c r="G311" s="50">
        <f>IF($O311="","",IF(INDEX(Firms!$G$5:$G$1004,$O311)="","—",INDEX(Firms!$G$5:$G$1004,$O311)))</f>
        <v/>
      </c>
      <c r="H311" s="50">
        <f>IF($O311="","",IF(INDEX(Firms!$H$5:$H$1004,$O311)="","—",INDEX(Firms!$H$5:$H$1004,$O311)))</f>
        <v/>
      </c>
      <c r="I311" s="50">
        <f>IF($O311="","",IF(INDEX(Firms!$I$5:$I$1004,$O311)="","—",INDEX(Firms!$I$5:$I$1004,$O311)))</f>
        <v/>
      </c>
      <c r="J311" s="50">
        <f>IF($O311="","",IF(INDEX(Firms!$J$5:$J$1004,$O311)="","—",INDEX(Firms!$J$5:$J$1004,$O311)))</f>
        <v/>
      </c>
      <c r="K311" s="50">
        <f>IF($O311="","",IF(INDEX(Firms!$K$5:$K$1004,$O311)="","—",INDEX(Firms!$K$5:$K$1004,$O311)))</f>
        <v/>
      </c>
      <c r="L311" s="50">
        <f>IF($O311="","",IF(INDEX(Firms!$L$5:$L$1004,$O311)="","—",INDEX(Firms!$L$5:$L$1004,$O311)))</f>
        <v/>
      </c>
      <c r="M311" s="50">
        <f>IF($O311="","",IF(INDEX(Firms!$M$5:$M$1004,$O311)="","—",INDEX(Firms!$M$5:$M$1004,$O311)))</f>
        <v/>
      </c>
      <c r="O311">
        <f>IFERROR(MATCH(SMALL(Firms!$Y$5:$Y$1004,303),Firms!$W$5:$W$1004,0),"")</f>
        <v/>
      </c>
    </row>
    <row r="312">
      <c r="B312" s="78">
        <f>IF($O312="","",INDEX(Firms!$A$5:$A$1004,$O312))</f>
        <v/>
      </c>
      <c r="C312" s="79">
        <f>IF($O312="","",INDEX(Firms!$N$5:$N$1004,$O312)&amp;"")</f>
        <v/>
      </c>
      <c r="D312" s="79">
        <f>IF($O312="","",INDEX(Firms!$P$5:$P$1004,$O312)&amp;"")</f>
        <v/>
      </c>
      <c r="E312" s="79">
        <f>IF($O312="","",INDEX(Firms!$O$5:$O$1004,$O312)&amp;"")</f>
        <v/>
      </c>
      <c r="F312" s="50">
        <f>IF($O312="","",IF(INDEX(Firms!$F$5:$F$1004,$O312)="","—",INDEX(Firms!$F$5:$F$1004,$O312)))</f>
        <v/>
      </c>
      <c r="G312" s="50">
        <f>IF($O312="","",IF(INDEX(Firms!$G$5:$G$1004,$O312)="","—",INDEX(Firms!$G$5:$G$1004,$O312)))</f>
        <v/>
      </c>
      <c r="H312" s="50">
        <f>IF($O312="","",IF(INDEX(Firms!$H$5:$H$1004,$O312)="","—",INDEX(Firms!$H$5:$H$1004,$O312)))</f>
        <v/>
      </c>
      <c r="I312" s="50">
        <f>IF($O312="","",IF(INDEX(Firms!$I$5:$I$1004,$O312)="","—",INDEX(Firms!$I$5:$I$1004,$O312)))</f>
        <v/>
      </c>
      <c r="J312" s="50">
        <f>IF($O312="","",IF(INDEX(Firms!$J$5:$J$1004,$O312)="","—",INDEX(Firms!$J$5:$J$1004,$O312)))</f>
        <v/>
      </c>
      <c r="K312" s="50">
        <f>IF($O312="","",IF(INDEX(Firms!$K$5:$K$1004,$O312)="","—",INDEX(Firms!$K$5:$K$1004,$O312)))</f>
        <v/>
      </c>
      <c r="L312" s="50">
        <f>IF($O312="","",IF(INDEX(Firms!$L$5:$L$1004,$O312)="","—",INDEX(Firms!$L$5:$L$1004,$O312)))</f>
        <v/>
      </c>
      <c r="M312" s="50">
        <f>IF($O312="","",IF(INDEX(Firms!$M$5:$M$1004,$O312)="","—",INDEX(Firms!$M$5:$M$1004,$O312)))</f>
        <v/>
      </c>
      <c r="O312">
        <f>IFERROR(MATCH(SMALL(Firms!$Y$5:$Y$1004,304),Firms!$W$5:$W$1004,0),"")</f>
        <v/>
      </c>
    </row>
    <row r="313">
      <c r="B313" s="78">
        <f>IF($O313="","",INDEX(Firms!$A$5:$A$1004,$O313))</f>
        <v/>
      </c>
      <c r="C313" s="79">
        <f>IF($O313="","",INDEX(Firms!$N$5:$N$1004,$O313)&amp;"")</f>
        <v/>
      </c>
      <c r="D313" s="79">
        <f>IF($O313="","",INDEX(Firms!$P$5:$P$1004,$O313)&amp;"")</f>
        <v/>
      </c>
      <c r="E313" s="79">
        <f>IF($O313="","",INDEX(Firms!$O$5:$O$1004,$O313)&amp;"")</f>
        <v/>
      </c>
      <c r="F313" s="50">
        <f>IF($O313="","",IF(INDEX(Firms!$F$5:$F$1004,$O313)="","—",INDEX(Firms!$F$5:$F$1004,$O313)))</f>
        <v/>
      </c>
      <c r="G313" s="50">
        <f>IF($O313="","",IF(INDEX(Firms!$G$5:$G$1004,$O313)="","—",INDEX(Firms!$G$5:$G$1004,$O313)))</f>
        <v/>
      </c>
      <c r="H313" s="50">
        <f>IF($O313="","",IF(INDEX(Firms!$H$5:$H$1004,$O313)="","—",INDEX(Firms!$H$5:$H$1004,$O313)))</f>
        <v/>
      </c>
      <c r="I313" s="50">
        <f>IF($O313="","",IF(INDEX(Firms!$I$5:$I$1004,$O313)="","—",INDEX(Firms!$I$5:$I$1004,$O313)))</f>
        <v/>
      </c>
      <c r="J313" s="50">
        <f>IF($O313="","",IF(INDEX(Firms!$J$5:$J$1004,$O313)="","—",INDEX(Firms!$J$5:$J$1004,$O313)))</f>
        <v/>
      </c>
      <c r="K313" s="50">
        <f>IF($O313="","",IF(INDEX(Firms!$K$5:$K$1004,$O313)="","—",INDEX(Firms!$K$5:$K$1004,$O313)))</f>
        <v/>
      </c>
      <c r="L313" s="50">
        <f>IF($O313="","",IF(INDEX(Firms!$L$5:$L$1004,$O313)="","—",INDEX(Firms!$L$5:$L$1004,$O313)))</f>
        <v/>
      </c>
      <c r="M313" s="50">
        <f>IF($O313="","",IF(INDEX(Firms!$M$5:$M$1004,$O313)="","—",INDEX(Firms!$M$5:$M$1004,$O313)))</f>
        <v/>
      </c>
      <c r="O313">
        <f>IFERROR(MATCH(SMALL(Firms!$Y$5:$Y$1004,305),Firms!$W$5:$W$1004,0),"")</f>
        <v/>
      </c>
    </row>
    <row r="314">
      <c r="B314" s="78">
        <f>IF($O314="","",INDEX(Firms!$A$5:$A$1004,$O314))</f>
        <v/>
      </c>
      <c r="C314" s="79">
        <f>IF($O314="","",INDEX(Firms!$N$5:$N$1004,$O314)&amp;"")</f>
        <v/>
      </c>
      <c r="D314" s="79">
        <f>IF($O314="","",INDEX(Firms!$P$5:$P$1004,$O314)&amp;"")</f>
        <v/>
      </c>
      <c r="E314" s="79">
        <f>IF($O314="","",INDEX(Firms!$O$5:$O$1004,$O314)&amp;"")</f>
        <v/>
      </c>
      <c r="F314" s="50">
        <f>IF($O314="","",IF(INDEX(Firms!$F$5:$F$1004,$O314)="","—",INDEX(Firms!$F$5:$F$1004,$O314)))</f>
        <v/>
      </c>
      <c r="G314" s="50">
        <f>IF($O314="","",IF(INDEX(Firms!$G$5:$G$1004,$O314)="","—",INDEX(Firms!$G$5:$G$1004,$O314)))</f>
        <v/>
      </c>
      <c r="H314" s="50">
        <f>IF($O314="","",IF(INDEX(Firms!$H$5:$H$1004,$O314)="","—",INDEX(Firms!$H$5:$H$1004,$O314)))</f>
        <v/>
      </c>
      <c r="I314" s="50">
        <f>IF($O314="","",IF(INDEX(Firms!$I$5:$I$1004,$O314)="","—",INDEX(Firms!$I$5:$I$1004,$O314)))</f>
        <v/>
      </c>
      <c r="J314" s="50">
        <f>IF($O314="","",IF(INDEX(Firms!$J$5:$J$1004,$O314)="","—",INDEX(Firms!$J$5:$J$1004,$O314)))</f>
        <v/>
      </c>
      <c r="K314" s="50">
        <f>IF($O314="","",IF(INDEX(Firms!$K$5:$K$1004,$O314)="","—",INDEX(Firms!$K$5:$K$1004,$O314)))</f>
        <v/>
      </c>
      <c r="L314" s="50">
        <f>IF($O314="","",IF(INDEX(Firms!$L$5:$L$1004,$O314)="","—",INDEX(Firms!$L$5:$L$1004,$O314)))</f>
        <v/>
      </c>
      <c r="M314" s="50">
        <f>IF($O314="","",IF(INDEX(Firms!$M$5:$M$1004,$O314)="","—",INDEX(Firms!$M$5:$M$1004,$O314)))</f>
        <v/>
      </c>
      <c r="O314">
        <f>IFERROR(MATCH(SMALL(Firms!$Y$5:$Y$1004,306),Firms!$W$5:$W$1004,0),"")</f>
        <v/>
      </c>
    </row>
    <row r="315">
      <c r="B315" s="78">
        <f>IF($O315="","",INDEX(Firms!$A$5:$A$1004,$O315))</f>
        <v/>
      </c>
      <c r="C315" s="79">
        <f>IF($O315="","",INDEX(Firms!$N$5:$N$1004,$O315)&amp;"")</f>
        <v/>
      </c>
      <c r="D315" s="79">
        <f>IF($O315="","",INDEX(Firms!$P$5:$P$1004,$O315)&amp;"")</f>
        <v/>
      </c>
      <c r="E315" s="79">
        <f>IF($O315="","",INDEX(Firms!$O$5:$O$1004,$O315)&amp;"")</f>
        <v/>
      </c>
      <c r="F315" s="50">
        <f>IF($O315="","",IF(INDEX(Firms!$F$5:$F$1004,$O315)="","—",INDEX(Firms!$F$5:$F$1004,$O315)))</f>
        <v/>
      </c>
      <c r="G315" s="50">
        <f>IF($O315="","",IF(INDEX(Firms!$G$5:$G$1004,$O315)="","—",INDEX(Firms!$G$5:$G$1004,$O315)))</f>
        <v/>
      </c>
      <c r="H315" s="50">
        <f>IF($O315="","",IF(INDEX(Firms!$H$5:$H$1004,$O315)="","—",INDEX(Firms!$H$5:$H$1004,$O315)))</f>
        <v/>
      </c>
      <c r="I315" s="50">
        <f>IF($O315="","",IF(INDEX(Firms!$I$5:$I$1004,$O315)="","—",INDEX(Firms!$I$5:$I$1004,$O315)))</f>
        <v/>
      </c>
      <c r="J315" s="50">
        <f>IF($O315="","",IF(INDEX(Firms!$J$5:$J$1004,$O315)="","—",INDEX(Firms!$J$5:$J$1004,$O315)))</f>
        <v/>
      </c>
      <c r="K315" s="50">
        <f>IF($O315="","",IF(INDEX(Firms!$K$5:$K$1004,$O315)="","—",INDEX(Firms!$K$5:$K$1004,$O315)))</f>
        <v/>
      </c>
      <c r="L315" s="50">
        <f>IF($O315="","",IF(INDEX(Firms!$L$5:$L$1004,$O315)="","—",INDEX(Firms!$L$5:$L$1004,$O315)))</f>
        <v/>
      </c>
      <c r="M315" s="50">
        <f>IF($O315="","",IF(INDEX(Firms!$M$5:$M$1004,$O315)="","—",INDEX(Firms!$M$5:$M$1004,$O315)))</f>
        <v/>
      </c>
      <c r="O315">
        <f>IFERROR(MATCH(SMALL(Firms!$Y$5:$Y$1004,307),Firms!$W$5:$W$1004,0),"")</f>
        <v/>
      </c>
    </row>
    <row r="316">
      <c r="B316" s="78">
        <f>IF($O316="","",INDEX(Firms!$A$5:$A$1004,$O316))</f>
        <v/>
      </c>
      <c r="C316" s="79">
        <f>IF($O316="","",INDEX(Firms!$N$5:$N$1004,$O316)&amp;"")</f>
        <v/>
      </c>
      <c r="D316" s="79">
        <f>IF($O316="","",INDEX(Firms!$P$5:$P$1004,$O316)&amp;"")</f>
        <v/>
      </c>
      <c r="E316" s="79">
        <f>IF($O316="","",INDEX(Firms!$O$5:$O$1004,$O316)&amp;"")</f>
        <v/>
      </c>
      <c r="F316" s="50">
        <f>IF($O316="","",IF(INDEX(Firms!$F$5:$F$1004,$O316)="","—",INDEX(Firms!$F$5:$F$1004,$O316)))</f>
        <v/>
      </c>
      <c r="G316" s="50">
        <f>IF($O316="","",IF(INDEX(Firms!$G$5:$G$1004,$O316)="","—",INDEX(Firms!$G$5:$G$1004,$O316)))</f>
        <v/>
      </c>
      <c r="H316" s="50">
        <f>IF($O316="","",IF(INDEX(Firms!$H$5:$H$1004,$O316)="","—",INDEX(Firms!$H$5:$H$1004,$O316)))</f>
        <v/>
      </c>
      <c r="I316" s="50">
        <f>IF($O316="","",IF(INDEX(Firms!$I$5:$I$1004,$O316)="","—",INDEX(Firms!$I$5:$I$1004,$O316)))</f>
        <v/>
      </c>
      <c r="J316" s="50">
        <f>IF($O316="","",IF(INDEX(Firms!$J$5:$J$1004,$O316)="","—",INDEX(Firms!$J$5:$J$1004,$O316)))</f>
        <v/>
      </c>
      <c r="K316" s="50">
        <f>IF($O316="","",IF(INDEX(Firms!$K$5:$K$1004,$O316)="","—",INDEX(Firms!$K$5:$K$1004,$O316)))</f>
        <v/>
      </c>
      <c r="L316" s="50">
        <f>IF($O316="","",IF(INDEX(Firms!$L$5:$L$1004,$O316)="","—",INDEX(Firms!$L$5:$L$1004,$O316)))</f>
        <v/>
      </c>
      <c r="M316" s="50">
        <f>IF($O316="","",IF(INDEX(Firms!$M$5:$M$1004,$O316)="","—",INDEX(Firms!$M$5:$M$1004,$O316)))</f>
        <v/>
      </c>
      <c r="O316">
        <f>IFERROR(MATCH(SMALL(Firms!$Y$5:$Y$1004,308),Firms!$W$5:$W$1004,0),"")</f>
        <v/>
      </c>
    </row>
    <row r="317">
      <c r="B317" s="78">
        <f>IF($O317="","",INDEX(Firms!$A$5:$A$1004,$O317))</f>
        <v/>
      </c>
      <c r="C317" s="79">
        <f>IF($O317="","",INDEX(Firms!$N$5:$N$1004,$O317)&amp;"")</f>
        <v/>
      </c>
      <c r="D317" s="79">
        <f>IF($O317="","",INDEX(Firms!$P$5:$P$1004,$O317)&amp;"")</f>
        <v/>
      </c>
      <c r="E317" s="79">
        <f>IF($O317="","",INDEX(Firms!$O$5:$O$1004,$O317)&amp;"")</f>
        <v/>
      </c>
      <c r="F317" s="50">
        <f>IF($O317="","",IF(INDEX(Firms!$F$5:$F$1004,$O317)="","—",INDEX(Firms!$F$5:$F$1004,$O317)))</f>
        <v/>
      </c>
      <c r="G317" s="50">
        <f>IF($O317="","",IF(INDEX(Firms!$G$5:$G$1004,$O317)="","—",INDEX(Firms!$G$5:$G$1004,$O317)))</f>
        <v/>
      </c>
      <c r="H317" s="50">
        <f>IF($O317="","",IF(INDEX(Firms!$H$5:$H$1004,$O317)="","—",INDEX(Firms!$H$5:$H$1004,$O317)))</f>
        <v/>
      </c>
      <c r="I317" s="50">
        <f>IF($O317="","",IF(INDEX(Firms!$I$5:$I$1004,$O317)="","—",INDEX(Firms!$I$5:$I$1004,$O317)))</f>
        <v/>
      </c>
      <c r="J317" s="50">
        <f>IF($O317="","",IF(INDEX(Firms!$J$5:$J$1004,$O317)="","—",INDEX(Firms!$J$5:$J$1004,$O317)))</f>
        <v/>
      </c>
      <c r="K317" s="50">
        <f>IF($O317="","",IF(INDEX(Firms!$K$5:$K$1004,$O317)="","—",INDEX(Firms!$K$5:$K$1004,$O317)))</f>
        <v/>
      </c>
      <c r="L317" s="50">
        <f>IF($O317="","",IF(INDEX(Firms!$L$5:$L$1004,$O317)="","—",INDEX(Firms!$L$5:$L$1004,$O317)))</f>
        <v/>
      </c>
      <c r="M317" s="50">
        <f>IF($O317="","",IF(INDEX(Firms!$M$5:$M$1004,$O317)="","—",INDEX(Firms!$M$5:$M$1004,$O317)))</f>
        <v/>
      </c>
      <c r="O317">
        <f>IFERROR(MATCH(SMALL(Firms!$Y$5:$Y$1004,309),Firms!$W$5:$W$1004,0),"")</f>
        <v/>
      </c>
    </row>
    <row r="318">
      <c r="B318" s="78">
        <f>IF($O318="","",INDEX(Firms!$A$5:$A$1004,$O318))</f>
        <v/>
      </c>
      <c r="C318" s="79">
        <f>IF($O318="","",INDEX(Firms!$N$5:$N$1004,$O318)&amp;"")</f>
        <v/>
      </c>
      <c r="D318" s="79">
        <f>IF($O318="","",INDEX(Firms!$P$5:$P$1004,$O318)&amp;"")</f>
        <v/>
      </c>
      <c r="E318" s="79">
        <f>IF($O318="","",INDEX(Firms!$O$5:$O$1004,$O318)&amp;"")</f>
        <v/>
      </c>
      <c r="F318" s="50">
        <f>IF($O318="","",IF(INDEX(Firms!$F$5:$F$1004,$O318)="","—",INDEX(Firms!$F$5:$F$1004,$O318)))</f>
        <v/>
      </c>
      <c r="G318" s="50">
        <f>IF($O318="","",IF(INDEX(Firms!$G$5:$G$1004,$O318)="","—",INDEX(Firms!$G$5:$G$1004,$O318)))</f>
        <v/>
      </c>
      <c r="H318" s="50">
        <f>IF($O318="","",IF(INDEX(Firms!$H$5:$H$1004,$O318)="","—",INDEX(Firms!$H$5:$H$1004,$O318)))</f>
        <v/>
      </c>
      <c r="I318" s="50">
        <f>IF($O318="","",IF(INDEX(Firms!$I$5:$I$1004,$O318)="","—",INDEX(Firms!$I$5:$I$1004,$O318)))</f>
        <v/>
      </c>
      <c r="J318" s="50">
        <f>IF($O318="","",IF(INDEX(Firms!$J$5:$J$1004,$O318)="","—",INDEX(Firms!$J$5:$J$1004,$O318)))</f>
        <v/>
      </c>
      <c r="K318" s="50">
        <f>IF($O318="","",IF(INDEX(Firms!$K$5:$K$1004,$O318)="","—",INDEX(Firms!$K$5:$K$1004,$O318)))</f>
        <v/>
      </c>
      <c r="L318" s="50">
        <f>IF($O318="","",IF(INDEX(Firms!$L$5:$L$1004,$O318)="","—",INDEX(Firms!$L$5:$L$1004,$O318)))</f>
        <v/>
      </c>
      <c r="M318" s="50">
        <f>IF($O318="","",IF(INDEX(Firms!$M$5:$M$1004,$O318)="","—",INDEX(Firms!$M$5:$M$1004,$O318)))</f>
        <v/>
      </c>
      <c r="O318">
        <f>IFERROR(MATCH(SMALL(Firms!$Y$5:$Y$1004,310),Firms!$W$5:$W$1004,0),"")</f>
        <v/>
      </c>
    </row>
    <row r="319">
      <c r="B319" s="78">
        <f>IF($O319="","",INDEX(Firms!$A$5:$A$1004,$O319))</f>
        <v/>
      </c>
      <c r="C319" s="79">
        <f>IF($O319="","",INDEX(Firms!$N$5:$N$1004,$O319)&amp;"")</f>
        <v/>
      </c>
      <c r="D319" s="79">
        <f>IF($O319="","",INDEX(Firms!$P$5:$P$1004,$O319)&amp;"")</f>
        <v/>
      </c>
      <c r="E319" s="79">
        <f>IF($O319="","",INDEX(Firms!$O$5:$O$1004,$O319)&amp;"")</f>
        <v/>
      </c>
      <c r="F319" s="50">
        <f>IF($O319="","",IF(INDEX(Firms!$F$5:$F$1004,$O319)="","—",INDEX(Firms!$F$5:$F$1004,$O319)))</f>
        <v/>
      </c>
      <c r="G319" s="50">
        <f>IF($O319="","",IF(INDEX(Firms!$G$5:$G$1004,$O319)="","—",INDEX(Firms!$G$5:$G$1004,$O319)))</f>
        <v/>
      </c>
      <c r="H319" s="50">
        <f>IF($O319="","",IF(INDEX(Firms!$H$5:$H$1004,$O319)="","—",INDEX(Firms!$H$5:$H$1004,$O319)))</f>
        <v/>
      </c>
      <c r="I319" s="50">
        <f>IF($O319="","",IF(INDEX(Firms!$I$5:$I$1004,$O319)="","—",INDEX(Firms!$I$5:$I$1004,$O319)))</f>
        <v/>
      </c>
      <c r="J319" s="50">
        <f>IF($O319="","",IF(INDEX(Firms!$J$5:$J$1004,$O319)="","—",INDEX(Firms!$J$5:$J$1004,$O319)))</f>
        <v/>
      </c>
      <c r="K319" s="50">
        <f>IF($O319="","",IF(INDEX(Firms!$K$5:$K$1004,$O319)="","—",INDEX(Firms!$K$5:$K$1004,$O319)))</f>
        <v/>
      </c>
      <c r="L319" s="50">
        <f>IF($O319="","",IF(INDEX(Firms!$L$5:$L$1004,$O319)="","—",INDEX(Firms!$L$5:$L$1004,$O319)))</f>
        <v/>
      </c>
      <c r="M319" s="50">
        <f>IF($O319="","",IF(INDEX(Firms!$M$5:$M$1004,$O319)="","—",INDEX(Firms!$M$5:$M$1004,$O319)))</f>
        <v/>
      </c>
      <c r="O319">
        <f>IFERROR(MATCH(SMALL(Firms!$Y$5:$Y$1004,311),Firms!$W$5:$W$1004,0),"")</f>
        <v/>
      </c>
    </row>
    <row r="320">
      <c r="B320" s="78">
        <f>IF($O320="","",INDEX(Firms!$A$5:$A$1004,$O320))</f>
        <v/>
      </c>
      <c r="C320" s="79">
        <f>IF($O320="","",INDEX(Firms!$N$5:$N$1004,$O320)&amp;"")</f>
        <v/>
      </c>
      <c r="D320" s="79">
        <f>IF($O320="","",INDEX(Firms!$P$5:$P$1004,$O320)&amp;"")</f>
        <v/>
      </c>
      <c r="E320" s="79">
        <f>IF($O320="","",INDEX(Firms!$O$5:$O$1004,$O320)&amp;"")</f>
        <v/>
      </c>
      <c r="F320" s="50">
        <f>IF($O320="","",IF(INDEX(Firms!$F$5:$F$1004,$O320)="","—",INDEX(Firms!$F$5:$F$1004,$O320)))</f>
        <v/>
      </c>
      <c r="G320" s="50">
        <f>IF($O320="","",IF(INDEX(Firms!$G$5:$G$1004,$O320)="","—",INDEX(Firms!$G$5:$G$1004,$O320)))</f>
        <v/>
      </c>
      <c r="H320" s="50">
        <f>IF($O320="","",IF(INDEX(Firms!$H$5:$H$1004,$O320)="","—",INDEX(Firms!$H$5:$H$1004,$O320)))</f>
        <v/>
      </c>
      <c r="I320" s="50">
        <f>IF($O320="","",IF(INDEX(Firms!$I$5:$I$1004,$O320)="","—",INDEX(Firms!$I$5:$I$1004,$O320)))</f>
        <v/>
      </c>
      <c r="J320" s="50">
        <f>IF($O320="","",IF(INDEX(Firms!$J$5:$J$1004,$O320)="","—",INDEX(Firms!$J$5:$J$1004,$O320)))</f>
        <v/>
      </c>
      <c r="K320" s="50">
        <f>IF($O320="","",IF(INDEX(Firms!$K$5:$K$1004,$O320)="","—",INDEX(Firms!$K$5:$K$1004,$O320)))</f>
        <v/>
      </c>
      <c r="L320" s="50">
        <f>IF($O320="","",IF(INDEX(Firms!$L$5:$L$1004,$O320)="","—",INDEX(Firms!$L$5:$L$1004,$O320)))</f>
        <v/>
      </c>
      <c r="M320" s="50">
        <f>IF($O320="","",IF(INDEX(Firms!$M$5:$M$1004,$O320)="","—",INDEX(Firms!$M$5:$M$1004,$O320)))</f>
        <v/>
      </c>
      <c r="O320">
        <f>IFERROR(MATCH(SMALL(Firms!$Y$5:$Y$1004,312),Firms!$W$5:$W$1004,0),"")</f>
        <v/>
      </c>
    </row>
    <row r="321">
      <c r="B321" s="78">
        <f>IF($O321="","",INDEX(Firms!$A$5:$A$1004,$O321))</f>
        <v/>
      </c>
      <c r="C321" s="79">
        <f>IF($O321="","",INDEX(Firms!$N$5:$N$1004,$O321)&amp;"")</f>
        <v/>
      </c>
      <c r="D321" s="79">
        <f>IF($O321="","",INDEX(Firms!$P$5:$P$1004,$O321)&amp;"")</f>
        <v/>
      </c>
      <c r="E321" s="79">
        <f>IF($O321="","",INDEX(Firms!$O$5:$O$1004,$O321)&amp;"")</f>
        <v/>
      </c>
      <c r="F321" s="50">
        <f>IF($O321="","",IF(INDEX(Firms!$F$5:$F$1004,$O321)="","—",INDEX(Firms!$F$5:$F$1004,$O321)))</f>
        <v/>
      </c>
      <c r="G321" s="50">
        <f>IF($O321="","",IF(INDEX(Firms!$G$5:$G$1004,$O321)="","—",INDEX(Firms!$G$5:$G$1004,$O321)))</f>
        <v/>
      </c>
      <c r="H321" s="50">
        <f>IF($O321="","",IF(INDEX(Firms!$H$5:$H$1004,$O321)="","—",INDEX(Firms!$H$5:$H$1004,$O321)))</f>
        <v/>
      </c>
      <c r="I321" s="50">
        <f>IF($O321="","",IF(INDEX(Firms!$I$5:$I$1004,$O321)="","—",INDEX(Firms!$I$5:$I$1004,$O321)))</f>
        <v/>
      </c>
      <c r="J321" s="50">
        <f>IF($O321="","",IF(INDEX(Firms!$J$5:$J$1004,$O321)="","—",INDEX(Firms!$J$5:$J$1004,$O321)))</f>
        <v/>
      </c>
      <c r="K321" s="50">
        <f>IF($O321="","",IF(INDEX(Firms!$K$5:$K$1004,$O321)="","—",INDEX(Firms!$K$5:$K$1004,$O321)))</f>
        <v/>
      </c>
      <c r="L321" s="50">
        <f>IF($O321="","",IF(INDEX(Firms!$L$5:$L$1004,$O321)="","—",INDEX(Firms!$L$5:$L$1004,$O321)))</f>
        <v/>
      </c>
      <c r="M321" s="50">
        <f>IF($O321="","",IF(INDEX(Firms!$M$5:$M$1004,$O321)="","—",INDEX(Firms!$M$5:$M$1004,$O321)))</f>
        <v/>
      </c>
      <c r="O321">
        <f>IFERROR(MATCH(SMALL(Firms!$Y$5:$Y$1004,313),Firms!$W$5:$W$1004,0),"")</f>
        <v/>
      </c>
    </row>
    <row r="322">
      <c r="B322" s="78">
        <f>IF($O322="","",INDEX(Firms!$A$5:$A$1004,$O322))</f>
        <v/>
      </c>
      <c r="C322" s="79">
        <f>IF($O322="","",INDEX(Firms!$N$5:$N$1004,$O322)&amp;"")</f>
        <v/>
      </c>
      <c r="D322" s="79">
        <f>IF($O322="","",INDEX(Firms!$P$5:$P$1004,$O322)&amp;"")</f>
        <v/>
      </c>
      <c r="E322" s="79">
        <f>IF($O322="","",INDEX(Firms!$O$5:$O$1004,$O322)&amp;"")</f>
        <v/>
      </c>
      <c r="F322" s="50">
        <f>IF($O322="","",IF(INDEX(Firms!$F$5:$F$1004,$O322)="","—",INDEX(Firms!$F$5:$F$1004,$O322)))</f>
        <v/>
      </c>
      <c r="G322" s="50">
        <f>IF($O322="","",IF(INDEX(Firms!$G$5:$G$1004,$O322)="","—",INDEX(Firms!$G$5:$G$1004,$O322)))</f>
        <v/>
      </c>
      <c r="H322" s="50">
        <f>IF($O322="","",IF(INDEX(Firms!$H$5:$H$1004,$O322)="","—",INDEX(Firms!$H$5:$H$1004,$O322)))</f>
        <v/>
      </c>
      <c r="I322" s="50">
        <f>IF($O322="","",IF(INDEX(Firms!$I$5:$I$1004,$O322)="","—",INDEX(Firms!$I$5:$I$1004,$O322)))</f>
        <v/>
      </c>
      <c r="J322" s="50">
        <f>IF($O322="","",IF(INDEX(Firms!$J$5:$J$1004,$O322)="","—",INDEX(Firms!$J$5:$J$1004,$O322)))</f>
        <v/>
      </c>
      <c r="K322" s="50">
        <f>IF($O322="","",IF(INDEX(Firms!$K$5:$K$1004,$O322)="","—",INDEX(Firms!$K$5:$K$1004,$O322)))</f>
        <v/>
      </c>
      <c r="L322" s="50">
        <f>IF($O322="","",IF(INDEX(Firms!$L$5:$L$1004,$O322)="","—",INDEX(Firms!$L$5:$L$1004,$O322)))</f>
        <v/>
      </c>
      <c r="M322" s="50">
        <f>IF($O322="","",IF(INDEX(Firms!$M$5:$M$1004,$O322)="","—",INDEX(Firms!$M$5:$M$1004,$O322)))</f>
        <v/>
      </c>
      <c r="O322">
        <f>IFERROR(MATCH(SMALL(Firms!$Y$5:$Y$1004,314),Firms!$W$5:$W$1004,0),"")</f>
        <v/>
      </c>
    </row>
    <row r="323">
      <c r="B323" s="78">
        <f>IF($O323="","",INDEX(Firms!$A$5:$A$1004,$O323))</f>
        <v/>
      </c>
      <c r="C323" s="79">
        <f>IF($O323="","",INDEX(Firms!$N$5:$N$1004,$O323)&amp;"")</f>
        <v/>
      </c>
      <c r="D323" s="79">
        <f>IF($O323="","",INDEX(Firms!$P$5:$P$1004,$O323)&amp;"")</f>
        <v/>
      </c>
      <c r="E323" s="79">
        <f>IF($O323="","",INDEX(Firms!$O$5:$O$1004,$O323)&amp;"")</f>
        <v/>
      </c>
      <c r="F323" s="50">
        <f>IF($O323="","",IF(INDEX(Firms!$F$5:$F$1004,$O323)="","—",INDEX(Firms!$F$5:$F$1004,$O323)))</f>
        <v/>
      </c>
      <c r="G323" s="50">
        <f>IF($O323="","",IF(INDEX(Firms!$G$5:$G$1004,$O323)="","—",INDEX(Firms!$G$5:$G$1004,$O323)))</f>
        <v/>
      </c>
      <c r="H323" s="50">
        <f>IF($O323="","",IF(INDEX(Firms!$H$5:$H$1004,$O323)="","—",INDEX(Firms!$H$5:$H$1004,$O323)))</f>
        <v/>
      </c>
      <c r="I323" s="50">
        <f>IF($O323="","",IF(INDEX(Firms!$I$5:$I$1004,$O323)="","—",INDEX(Firms!$I$5:$I$1004,$O323)))</f>
        <v/>
      </c>
      <c r="J323" s="50">
        <f>IF($O323="","",IF(INDEX(Firms!$J$5:$J$1004,$O323)="","—",INDEX(Firms!$J$5:$J$1004,$O323)))</f>
        <v/>
      </c>
      <c r="K323" s="50">
        <f>IF($O323="","",IF(INDEX(Firms!$K$5:$K$1004,$O323)="","—",INDEX(Firms!$K$5:$K$1004,$O323)))</f>
        <v/>
      </c>
      <c r="L323" s="50">
        <f>IF($O323="","",IF(INDEX(Firms!$L$5:$L$1004,$O323)="","—",INDEX(Firms!$L$5:$L$1004,$O323)))</f>
        <v/>
      </c>
      <c r="M323" s="50">
        <f>IF($O323="","",IF(INDEX(Firms!$M$5:$M$1004,$O323)="","—",INDEX(Firms!$M$5:$M$1004,$O323)))</f>
        <v/>
      </c>
      <c r="O323">
        <f>IFERROR(MATCH(SMALL(Firms!$Y$5:$Y$1004,315),Firms!$W$5:$W$1004,0),"")</f>
        <v/>
      </c>
    </row>
    <row r="324">
      <c r="B324" s="78">
        <f>IF($O324="","",INDEX(Firms!$A$5:$A$1004,$O324))</f>
        <v/>
      </c>
      <c r="C324" s="79">
        <f>IF($O324="","",INDEX(Firms!$N$5:$N$1004,$O324)&amp;"")</f>
        <v/>
      </c>
      <c r="D324" s="79">
        <f>IF($O324="","",INDEX(Firms!$P$5:$P$1004,$O324)&amp;"")</f>
        <v/>
      </c>
      <c r="E324" s="79">
        <f>IF($O324="","",INDEX(Firms!$O$5:$O$1004,$O324)&amp;"")</f>
        <v/>
      </c>
      <c r="F324" s="50">
        <f>IF($O324="","",IF(INDEX(Firms!$F$5:$F$1004,$O324)="","—",INDEX(Firms!$F$5:$F$1004,$O324)))</f>
        <v/>
      </c>
      <c r="G324" s="50">
        <f>IF($O324="","",IF(INDEX(Firms!$G$5:$G$1004,$O324)="","—",INDEX(Firms!$G$5:$G$1004,$O324)))</f>
        <v/>
      </c>
      <c r="H324" s="50">
        <f>IF($O324="","",IF(INDEX(Firms!$H$5:$H$1004,$O324)="","—",INDEX(Firms!$H$5:$H$1004,$O324)))</f>
        <v/>
      </c>
      <c r="I324" s="50">
        <f>IF($O324="","",IF(INDEX(Firms!$I$5:$I$1004,$O324)="","—",INDEX(Firms!$I$5:$I$1004,$O324)))</f>
        <v/>
      </c>
      <c r="J324" s="50">
        <f>IF($O324="","",IF(INDEX(Firms!$J$5:$J$1004,$O324)="","—",INDEX(Firms!$J$5:$J$1004,$O324)))</f>
        <v/>
      </c>
      <c r="K324" s="50">
        <f>IF($O324="","",IF(INDEX(Firms!$K$5:$K$1004,$O324)="","—",INDEX(Firms!$K$5:$K$1004,$O324)))</f>
        <v/>
      </c>
      <c r="L324" s="50">
        <f>IF($O324="","",IF(INDEX(Firms!$L$5:$L$1004,$O324)="","—",INDEX(Firms!$L$5:$L$1004,$O324)))</f>
        <v/>
      </c>
      <c r="M324" s="50">
        <f>IF($O324="","",IF(INDEX(Firms!$M$5:$M$1004,$O324)="","—",INDEX(Firms!$M$5:$M$1004,$O324)))</f>
        <v/>
      </c>
      <c r="O324">
        <f>IFERROR(MATCH(SMALL(Firms!$Y$5:$Y$1004,316),Firms!$W$5:$W$1004,0),"")</f>
        <v/>
      </c>
    </row>
    <row r="325">
      <c r="B325" s="78">
        <f>IF($O325="","",INDEX(Firms!$A$5:$A$1004,$O325))</f>
        <v/>
      </c>
      <c r="C325" s="79">
        <f>IF($O325="","",INDEX(Firms!$N$5:$N$1004,$O325)&amp;"")</f>
        <v/>
      </c>
      <c r="D325" s="79">
        <f>IF($O325="","",INDEX(Firms!$P$5:$P$1004,$O325)&amp;"")</f>
        <v/>
      </c>
      <c r="E325" s="79">
        <f>IF($O325="","",INDEX(Firms!$O$5:$O$1004,$O325)&amp;"")</f>
        <v/>
      </c>
      <c r="F325" s="50">
        <f>IF($O325="","",IF(INDEX(Firms!$F$5:$F$1004,$O325)="","—",INDEX(Firms!$F$5:$F$1004,$O325)))</f>
        <v/>
      </c>
      <c r="G325" s="50">
        <f>IF($O325="","",IF(INDEX(Firms!$G$5:$G$1004,$O325)="","—",INDEX(Firms!$G$5:$G$1004,$O325)))</f>
        <v/>
      </c>
      <c r="H325" s="50">
        <f>IF($O325="","",IF(INDEX(Firms!$H$5:$H$1004,$O325)="","—",INDEX(Firms!$H$5:$H$1004,$O325)))</f>
        <v/>
      </c>
      <c r="I325" s="50">
        <f>IF($O325="","",IF(INDEX(Firms!$I$5:$I$1004,$O325)="","—",INDEX(Firms!$I$5:$I$1004,$O325)))</f>
        <v/>
      </c>
      <c r="J325" s="50">
        <f>IF($O325="","",IF(INDEX(Firms!$J$5:$J$1004,$O325)="","—",INDEX(Firms!$J$5:$J$1004,$O325)))</f>
        <v/>
      </c>
      <c r="K325" s="50">
        <f>IF($O325="","",IF(INDEX(Firms!$K$5:$K$1004,$O325)="","—",INDEX(Firms!$K$5:$K$1004,$O325)))</f>
        <v/>
      </c>
      <c r="L325" s="50">
        <f>IF($O325="","",IF(INDEX(Firms!$L$5:$L$1004,$O325)="","—",INDEX(Firms!$L$5:$L$1004,$O325)))</f>
        <v/>
      </c>
      <c r="M325" s="50">
        <f>IF($O325="","",IF(INDEX(Firms!$M$5:$M$1004,$O325)="","—",INDEX(Firms!$M$5:$M$1004,$O325)))</f>
        <v/>
      </c>
      <c r="O325">
        <f>IFERROR(MATCH(SMALL(Firms!$Y$5:$Y$1004,317),Firms!$W$5:$W$1004,0),"")</f>
        <v/>
      </c>
    </row>
    <row r="326">
      <c r="B326" s="78">
        <f>IF($O326="","",INDEX(Firms!$A$5:$A$1004,$O326))</f>
        <v/>
      </c>
      <c r="C326" s="79">
        <f>IF($O326="","",INDEX(Firms!$N$5:$N$1004,$O326)&amp;"")</f>
        <v/>
      </c>
      <c r="D326" s="79">
        <f>IF($O326="","",INDEX(Firms!$P$5:$P$1004,$O326)&amp;"")</f>
        <v/>
      </c>
      <c r="E326" s="79">
        <f>IF($O326="","",INDEX(Firms!$O$5:$O$1004,$O326)&amp;"")</f>
        <v/>
      </c>
      <c r="F326" s="50">
        <f>IF($O326="","",IF(INDEX(Firms!$F$5:$F$1004,$O326)="","—",INDEX(Firms!$F$5:$F$1004,$O326)))</f>
        <v/>
      </c>
      <c r="G326" s="50">
        <f>IF($O326="","",IF(INDEX(Firms!$G$5:$G$1004,$O326)="","—",INDEX(Firms!$G$5:$G$1004,$O326)))</f>
        <v/>
      </c>
      <c r="H326" s="50">
        <f>IF($O326="","",IF(INDEX(Firms!$H$5:$H$1004,$O326)="","—",INDEX(Firms!$H$5:$H$1004,$O326)))</f>
        <v/>
      </c>
      <c r="I326" s="50">
        <f>IF($O326="","",IF(INDEX(Firms!$I$5:$I$1004,$O326)="","—",INDEX(Firms!$I$5:$I$1004,$O326)))</f>
        <v/>
      </c>
      <c r="J326" s="50">
        <f>IF($O326="","",IF(INDEX(Firms!$J$5:$J$1004,$O326)="","—",INDEX(Firms!$J$5:$J$1004,$O326)))</f>
        <v/>
      </c>
      <c r="K326" s="50">
        <f>IF($O326="","",IF(INDEX(Firms!$K$5:$K$1004,$O326)="","—",INDEX(Firms!$K$5:$K$1004,$O326)))</f>
        <v/>
      </c>
      <c r="L326" s="50">
        <f>IF($O326="","",IF(INDEX(Firms!$L$5:$L$1004,$O326)="","—",INDEX(Firms!$L$5:$L$1004,$O326)))</f>
        <v/>
      </c>
      <c r="M326" s="50">
        <f>IF($O326="","",IF(INDEX(Firms!$M$5:$M$1004,$O326)="","—",INDEX(Firms!$M$5:$M$1004,$O326)))</f>
        <v/>
      </c>
      <c r="O326">
        <f>IFERROR(MATCH(SMALL(Firms!$Y$5:$Y$1004,318),Firms!$W$5:$W$1004,0),"")</f>
        <v/>
      </c>
    </row>
    <row r="327">
      <c r="B327" s="78">
        <f>IF($O327="","",INDEX(Firms!$A$5:$A$1004,$O327))</f>
        <v/>
      </c>
      <c r="C327" s="79">
        <f>IF($O327="","",INDEX(Firms!$N$5:$N$1004,$O327)&amp;"")</f>
        <v/>
      </c>
      <c r="D327" s="79">
        <f>IF($O327="","",INDEX(Firms!$P$5:$P$1004,$O327)&amp;"")</f>
        <v/>
      </c>
      <c r="E327" s="79">
        <f>IF($O327="","",INDEX(Firms!$O$5:$O$1004,$O327)&amp;"")</f>
        <v/>
      </c>
      <c r="F327" s="50">
        <f>IF($O327="","",IF(INDEX(Firms!$F$5:$F$1004,$O327)="","—",INDEX(Firms!$F$5:$F$1004,$O327)))</f>
        <v/>
      </c>
      <c r="G327" s="50">
        <f>IF($O327="","",IF(INDEX(Firms!$G$5:$G$1004,$O327)="","—",INDEX(Firms!$G$5:$G$1004,$O327)))</f>
        <v/>
      </c>
      <c r="H327" s="50">
        <f>IF($O327="","",IF(INDEX(Firms!$H$5:$H$1004,$O327)="","—",INDEX(Firms!$H$5:$H$1004,$O327)))</f>
        <v/>
      </c>
      <c r="I327" s="50">
        <f>IF($O327="","",IF(INDEX(Firms!$I$5:$I$1004,$O327)="","—",INDEX(Firms!$I$5:$I$1004,$O327)))</f>
        <v/>
      </c>
      <c r="J327" s="50">
        <f>IF($O327="","",IF(INDEX(Firms!$J$5:$J$1004,$O327)="","—",INDEX(Firms!$J$5:$J$1004,$O327)))</f>
        <v/>
      </c>
      <c r="K327" s="50">
        <f>IF($O327="","",IF(INDEX(Firms!$K$5:$K$1004,$O327)="","—",INDEX(Firms!$K$5:$K$1004,$O327)))</f>
        <v/>
      </c>
      <c r="L327" s="50">
        <f>IF($O327="","",IF(INDEX(Firms!$L$5:$L$1004,$O327)="","—",INDEX(Firms!$L$5:$L$1004,$O327)))</f>
        <v/>
      </c>
      <c r="M327" s="50">
        <f>IF($O327="","",IF(INDEX(Firms!$M$5:$M$1004,$O327)="","—",INDEX(Firms!$M$5:$M$1004,$O327)))</f>
        <v/>
      </c>
      <c r="O327">
        <f>IFERROR(MATCH(SMALL(Firms!$Y$5:$Y$1004,319),Firms!$W$5:$W$1004,0),"")</f>
        <v/>
      </c>
    </row>
    <row r="328">
      <c r="B328" s="78">
        <f>IF($O328="","",INDEX(Firms!$A$5:$A$1004,$O328))</f>
        <v/>
      </c>
      <c r="C328" s="79">
        <f>IF($O328="","",INDEX(Firms!$N$5:$N$1004,$O328)&amp;"")</f>
        <v/>
      </c>
      <c r="D328" s="79">
        <f>IF($O328="","",INDEX(Firms!$P$5:$P$1004,$O328)&amp;"")</f>
        <v/>
      </c>
      <c r="E328" s="79">
        <f>IF($O328="","",INDEX(Firms!$O$5:$O$1004,$O328)&amp;"")</f>
        <v/>
      </c>
      <c r="F328" s="50">
        <f>IF($O328="","",IF(INDEX(Firms!$F$5:$F$1004,$O328)="","—",INDEX(Firms!$F$5:$F$1004,$O328)))</f>
        <v/>
      </c>
      <c r="G328" s="50">
        <f>IF($O328="","",IF(INDEX(Firms!$G$5:$G$1004,$O328)="","—",INDEX(Firms!$G$5:$G$1004,$O328)))</f>
        <v/>
      </c>
      <c r="H328" s="50">
        <f>IF($O328="","",IF(INDEX(Firms!$H$5:$H$1004,$O328)="","—",INDEX(Firms!$H$5:$H$1004,$O328)))</f>
        <v/>
      </c>
      <c r="I328" s="50">
        <f>IF($O328="","",IF(INDEX(Firms!$I$5:$I$1004,$O328)="","—",INDEX(Firms!$I$5:$I$1004,$O328)))</f>
        <v/>
      </c>
      <c r="J328" s="50">
        <f>IF($O328="","",IF(INDEX(Firms!$J$5:$J$1004,$O328)="","—",INDEX(Firms!$J$5:$J$1004,$O328)))</f>
        <v/>
      </c>
      <c r="K328" s="50">
        <f>IF($O328="","",IF(INDEX(Firms!$K$5:$K$1004,$O328)="","—",INDEX(Firms!$K$5:$K$1004,$O328)))</f>
        <v/>
      </c>
      <c r="L328" s="50">
        <f>IF($O328="","",IF(INDEX(Firms!$L$5:$L$1004,$O328)="","—",INDEX(Firms!$L$5:$L$1004,$O328)))</f>
        <v/>
      </c>
      <c r="M328" s="50">
        <f>IF($O328="","",IF(INDEX(Firms!$M$5:$M$1004,$O328)="","—",INDEX(Firms!$M$5:$M$1004,$O328)))</f>
        <v/>
      </c>
      <c r="O328">
        <f>IFERROR(MATCH(SMALL(Firms!$Y$5:$Y$1004,320),Firms!$W$5:$W$1004,0),"")</f>
        <v/>
      </c>
    </row>
    <row r="329">
      <c r="B329" s="78">
        <f>IF($O329="","",INDEX(Firms!$A$5:$A$1004,$O329))</f>
        <v/>
      </c>
      <c r="C329" s="79">
        <f>IF($O329="","",INDEX(Firms!$N$5:$N$1004,$O329)&amp;"")</f>
        <v/>
      </c>
      <c r="D329" s="79">
        <f>IF($O329="","",INDEX(Firms!$P$5:$P$1004,$O329)&amp;"")</f>
        <v/>
      </c>
      <c r="E329" s="79">
        <f>IF($O329="","",INDEX(Firms!$O$5:$O$1004,$O329)&amp;"")</f>
        <v/>
      </c>
      <c r="F329" s="50">
        <f>IF($O329="","",IF(INDEX(Firms!$F$5:$F$1004,$O329)="","—",INDEX(Firms!$F$5:$F$1004,$O329)))</f>
        <v/>
      </c>
      <c r="G329" s="50">
        <f>IF($O329="","",IF(INDEX(Firms!$G$5:$G$1004,$O329)="","—",INDEX(Firms!$G$5:$G$1004,$O329)))</f>
        <v/>
      </c>
      <c r="H329" s="50">
        <f>IF($O329="","",IF(INDEX(Firms!$H$5:$H$1004,$O329)="","—",INDEX(Firms!$H$5:$H$1004,$O329)))</f>
        <v/>
      </c>
      <c r="I329" s="50">
        <f>IF($O329="","",IF(INDEX(Firms!$I$5:$I$1004,$O329)="","—",INDEX(Firms!$I$5:$I$1004,$O329)))</f>
        <v/>
      </c>
      <c r="J329" s="50">
        <f>IF($O329="","",IF(INDEX(Firms!$J$5:$J$1004,$O329)="","—",INDEX(Firms!$J$5:$J$1004,$O329)))</f>
        <v/>
      </c>
      <c r="K329" s="50">
        <f>IF($O329="","",IF(INDEX(Firms!$K$5:$K$1004,$O329)="","—",INDEX(Firms!$K$5:$K$1004,$O329)))</f>
        <v/>
      </c>
      <c r="L329" s="50">
        <f>IF($O329="","",IF(INDEX(Firms!$L$5:$L$1004,$O329)="","—",INDEX(Firms!$L$5:$L$1004,$O329)))</f>
        <v/>
      </c>
      <c r="M329" s="50">
        <f>IF($O329="","",IF(INDEX(Firms!$M$5:$M$1004,$O329)="","—",INDEX(Firms!$M$5:$M$1004,$O329)))</f>
        <v/>
      </c>
      <c r="O329">
        <f>IFERROR(MATCH(SMALL(Firms!$Y$5:$Y$1004,321),Firms!$W$5:$W$1004,0),"")</f>
        <v/>
      </c>
    </row>
    <row r="330">
      <c r="B330" s="78">
        <f>IF($O330="","",INDEX(Firms!$A$5:$A$1004,$O330))</f>
        <v/>
      </c>
      <c r="C330" s="79">
        <f>IF($O330="","",INDEX(Firms!$N$5:$N$1004,$O330)&amp;"")</f>
        <v/>
      </c>
      <c r="D330" s="79">
        <f>IF($O330="","",INDEX(Firms!$P$5:$P$1004,$O330)&amp;"")</f>
        <v/>
      </c>
      <c r="E330" s="79">
        <f>IF($O330="","",INDEX(Firms!$O$5:$O$1004,$O330)&amp;"")</f>
        <v/>
      </c>
      <c r="F330" s="50">
        <f>IF($O330="","",IF(INDEX(Firms!$F$5:$F$1004,$O330)="","—",INDEX(Firms!$F$5:$F$1004,$O330)))</f>
        <v/>
      </c>
      <c r="G330" s="50">
        <f>IF($O330="","",IF(INDEX(Firms!$G$5:$G$1004,$O330)="","—",INDEX(Firms!$G$5:$G$1004,$O330)))</f>
        <v/>
      </c>
      <c r="H330" s="50">
        <f>IF($O330="","",IF(INDEX(Firms!$H$5:$H$1004,$O330)="","—",INDEX(Firms!$H$5:$H$1004,$O330)))</f>
        <v/>
      </c>
      <c r="I330" s="50">
        <f>IF($O330="","",IF(INDEX(Firms!$I$5:$I$1004,$O330)="","—",INDEX(Firms!$I$5:$I$1004,$O330)))</f>
        <v/>
      </c>
      <c r="J330" s="50">
        <f>IF($O330="","",IF(INDEX(Firms!$J$5:$J$1004,$O330)="","—",INDEX(Firms!$J$5:$J$1004,$O330)))</f>
        <v/>
      </c>
      <c r="K330" s="50">
        <f>IF($O330="","",IF(INDEX(Firms!$K$5:$K$1004,$O330)="","—",INDEX(Firms!$K$5:$K$1004,$O330)))</f>
        <v/>
      </c>
      <c r="L330" s="50">
        <f>IF($O330="","",IF(INDEX(Firms!$L$5:$L$1004,$O330)="","—",INDEX(Firms!$L$5:$L$1004,$O330)))</f>
        <v/>
      </c>
      <c r="M330" s="50">
        <f>IF($O330="","",IF(INDEX(Firms!$M$5:$M$1004,$O330)="","—",INDEX(Firms!$M$5:$M$1004,$O330)))</f>
        <v/>
      </c>
      <c r="O330">
        <f>IFERROR(MATCH(SMALL(Firms!$Y$5:$Y$1004,322),Firms!$W$5:$W$1004,0),"")</f>
        <v/>
      </c>
    </row>
    <row r="331">
      <c r="B331" s="78">
        <f>IF($O331="","",INDEX(Firms!$A$5:$A$1004,$O331))</f>
        <v/>
      </c>
      <c r="C331" s="79">
        <f>IF($O331="","",INDEX(Firms!$N$5:$N$1004,$O331)&amp;"")</f>
        <v/>
      </c>
      <c r="D331" s="79">
        <f>IF($O331="","",INDEX(Firms!$P$5:$P$1004,$O331)&amp;"")</f>
        <v/>
      </c>
      <c r="E331" s="79">
        <f>IF($O331="","",INDEX(Firms!$O$5:$O$1004,$O331)&amp;"")</f>
        <v/>
      </c>
      <c r="F331" s="50">
        <f>IF($O331="","",IF(INDEX(Firms!$F$5:$F$1004,$O331)="","—",INDEX(Firms!$F$5:$F$1004,$O331)))</f>
        <v/>
      </c>
      <c r="G331" s="50">
        <f>IF($O331="","",IF(INDEX(Firms!$G$5:$G$1004,$O331)="","—",INDEX(Firms!$G$5:$G$1004,$O331)))</f>
        <v/>
      </c>
      <c r="H331" s="50">
        <f>IF($O331="","",IF(INDEX(Firms!$H$5:$H$1004,$O331)="","—",INDEX(Firms!$H$5:$H$1004,$O331)))</f>
        <v/>
      </c>
      <c r="I331" s="50">
        <f>IF($O331="","",IF(INDEX(Firms!$I$5:$I$1004,$O331)="","—",INDEX(Firms!$I$5:$I$1004,$O331)))</f>
        <v/>
      </c>
      <c r="J331" s="50">
        <f>IF($O331="","",IF(INDEX(Firms!$J$5:$J$1004,$O331)="","—",INDEX(Firms!$J$5:$J$1004,$O331)))</f>
        <v/>
      </c>
      <c r="K331" s="50">
        <f>IF($O331="","",IF(INDEX(Firms!$K$5:$K$1004,$O331)="","—",INDEX(Firms!$K$5:$K$1004,$O331)))</f>
        <v/>
      </c>
      <c r="L331" s="50">
        <f>IF($O331="","",IF(INDEX(Firms!$L$5:$L$1004,$O331)="","—",INDEX(Firms!$L$5:$L$1004,$O331)))</f>
        <v/>
      </c>
      <c r="M331" s="50">
        <f>IF($O331="","",IF(INDEX(Firms!$M$5:$M$1004,$O331)="","—",INDEX(Firms!$M$5:$M$1004,$O331)))</f>
        <v/>
      </c>
      <c r="O331">
        <f>IFERROR(MATCH(SMALL(Firms!$Y$5:$Y$1004,323),Firms!$W$5:$W$1004,0),"")</f>
        <v/>
      </c>
    </row>
    <row r="332">
      <c r="B332" s="78">
        <f>IF($O332="","",INDEX(Firms!$A$5:$A$1004,$O332))</f>
        <v/>
      </c>
      <c r="C332" s="79">
        <f>IF($O332="","",INDEX(Firms!$N$5:$N$1004,$O332)&amp;"")</f>
        <v/>
      </c>
      <c r="D332" s="79">
        <f>IF($O332="","",INDEX(Firms!$P$5:$P$1004,$O332)&amp;"")</f>
        <v/>
      </c>
      <c r="E332" s="79">
        <f>IF($O332="","",INDEX(Firms!$O$5:$O$1004,$O332)&amp;"")</f>
        <v/>
      </c>
      <c r="F332" s="50">
        <f>IF($O332="","",IF(INDEX(Firms!$F$5:$F$1004,$O332)="","—",INDEX(Firms!$F$5:$F$1004,$O332)))</f>
        <v/>
      </c>
      <c r="G332" s="50">
        <f>IF($O332="","",IF(INDEX(Firms!$G$5:$G$1004,$O332)="","—",INDEX(Firms!$G$5:$G$1004,$O332)))</f>
        <v/>
      </c>
      <c r="H332" s="50">
        <f>IF($O332="","",IF(INDEX(Firms!$H$5:$H$1004,$O332)="","—",INDEX(Firms!$H$5:$H$1004,$O332)))</f>
        <v/>
      </c>
      <c r="I332" s="50">
        <f>IF($O332="","",IF(INDEX(Firms!$I$5:$I$1004,$O332)="","—",INDEX(Firms!$I$5:$I$1004,$O332)))</f>
        <v/>
      </c>
      <c r="J332" s="50">
        <f>IF($O332="","",IF(INDEX(Firms!$J$5:$J$1004,$O332)="","—",INDEX(Firms!$J$5:$J$1004,$O332)))</f>
        <v/>
      </c>
      <c r="K332" s="50">
        <f>IF($O332="","",IF(INDEX(Firms!$K$5:$K$1004,$O332)="","—",INDEX(Firms!$K$5:$K$1004,$O332)))</f>
        <v/>
      </c>
      <c r="L332" s="50">
        <f>IF($O332="","",IF(INDEX(Firms!$L$5:$L$1004,$O332)="","—",INDEX(Firms!$L$5:$L$1004,$O332)))</f>
        <v/>
      </c>
      <c r="M332" s="50">
        <f>IF($O332="","",IF(INDEX(Firms!$M$5:$M$1004,$O332)="","—",INDEX(Firms!$M$5:$M$1004,$O332)))</f>
        <v/>
      </c>
      <c r="O332">
        <f>IFERROR(MATCH(SMALL(Firms!$Y$5:$Y$1004,324),Firms!$W$5:$W$1004,0),"")</f>
        <v/>
      </c>
    </row>
    <row r="333">
      <c r="B333" s="78">
        <f>IF($O333="","",INDEX(Firms!$A$5:$A$1004,$O333))</f>
        <v/>
      </c>
      <c r="C333" s="79">
        <f>IF($O333="","",INDEX(Firms!$N$5:$N$1004,$O333)&amp;"")</f>
        <v/>
      </c>
      <c r="D333" s="79">
        <f>IF($O333="","",INDEX(Firms!$P$5:$P$1004,$O333)&amp;"")</f>
        <v/>
      </c>
      <c r="E333" s="79">
        <f>IF($O333="","",INDEX(Firms!$O$5:$O$1004,$O333)&amp;"")</f>
        <v/>
      </c>
      <c r="F333" s="50">
        <f>IF($O333="","",IF(INDEX(Firms!$F$5:$F$1004,$O333)="","—",INDEX(Firms!$F$5:$F$1004,$O333)))</f>
        <v/>
      </c>
      <c r="G333" s="50">
        <f>IF($O333="","",IF(INDEX(Firms!$G$5:$G$1004,$O333)="","—",INDEX(Firms!$G$5:$G$1004,$O333)))</f>
        <v/>
      </c>
      <c r="H333" s="50">
        <f>IF($O333="","",IF(INDEX(Firms!$H$5:$H$1004,$O333)="","—",INDEX(Firms!$H$5:$H$1004,$O333)))</f>
        <v/>
      </c>
      <c r="I333" s="50">
        <f>IF($O333="","",IF(INDEX(Firms!$I$5:$I$1004,$O333)="","—",INDEX(Firms!$I$5:$I$1004,$O333)))</f>
        <v/>
      </c>
      <c r="J333" s="50">
        <f>IF($O333="","",IF(INDEX(Firms!$J$5:$J$1004,$O333)="","—",INDEX(Firms!$J$5:$J$1004,$O333)))</f>
        <v/>
      </c>
      <c r="K333" s="50">
        <f>IF($O333="","",IF(INDEX(Firms!$K$5:$K$1004,$O333)="","—",INDEX(Firms!$K$5:$K$1004,$O333)))</f>
        <v/>
      </c>
      <c r="L333" s="50">
        <f>IF($O333="","",IF(INDEX(Firms!$L$5:$L$1004,$O333)="","—",INDEX(Firms!$L$5:$L$1004,$O333)))</f>
        <v/>
      </c>
      <c r="M333" s="50">
        <f>IF($O333="","",IF(INDEX(Firms!$M$5:$M$1004,$O333)="","—",INDEX(Firms!$M$5:$M$1004,$O333)))</f>
        <v/>
      </c>
      <c r="O333">
        <f>IFERROR(MATCH(SMALL(Firms!$Y$5:$Y$1004,325),Firms!$W$5:$W$1004,0),"")</f>
        <v/>
      </c>
    </row>
    <row r="334">
      <c r="B334" s="78">
        <f>IF($O334="","",INDEX(Firms!$A$5:$A$1004,$O334))</f>
        <v/>
      </c>
      <c r="C334" s="79">
        <f>IF($O334="","",INDEX(Firms!$N$5:$N$1004,$O334)&amp;"")</f>
        <v/>
      </c>
      <c r="D334" s="79">
        <f>IF($O334="","",INDEX(Firms!$P$5:$P$1004,$O334)&amp;"")</f>
        <v/>
      </c>
      <c r="E334" s="79">
        <f>IF($O334="","",INDEX(Firms!$O$5:$O$1004,$O334)&amp;"")</f>
        <v/>
      </c>
      <c r="F334" s="50">
        <f>IF($O334="","",IF(INDEX(Firms!$F$5:$F$1004,$O334)="","—",INDEX(Firms!$F$5:$F$1004,$O334)))</f>
        <v/>
      </c>
      <c r="G334" s="50">
        <f>IF($O334="","",IF(INDEX(Firms!$G$5:$G$1004,$O334)="","—",INDEX(Firms!$G$5:$G$1004,$O334)))</f>
        <v/>
      </c>
      <c r="H334" s="50">
        <f>IF($O334="","",IF(INDEX(Firms!$H$5:$H$1004,$O334)="","—",INDEX(Firms!$H$5:$H$1004,$O334)))</f>
        <v/>
      </c>
      <c r="I334" s="50">
        <f>IF($O334="","",IF(INDEX(Firms!$I$5:$I$1004,$O334)="","—",INDEX(Firms!$I$5:$I$1004,$O334)))</f>
        <v/>
      </c>
      <c r="J334" s="50">
        <f>IF($O334="","",IF(INDEX(Firms!$J$5:$J$1004,$O334)="","—",INDEX(Firms!$J$5:$J$1004,$O334)))</f>
        <v/>
      </c>
      <c r="K334" s="50">
        <f>IF($O334="","",IF(INDEX(Firms!$K$5:$K$1004,$O334)="","—",INDEX(Firms!$K$5:$K$1004,$O334)))</f>
        <v/>
      </c>
      <c r="L334" s="50">
        <f>IF($O334="","",IF(INDEX(Firms!$L$5:$L$1004,$O334)="","—",INDEX(Firms!$L$5:$L$1004,$O334)))</f>
        <v/>
      </c>
      <c r="M334" s="50">
        <f>IF($O334="","",IF(INDEX(Firms!$M$5:$M$1004,$O334)="","—",INDEX(Firms!$M$5:$M$1004,$O334)))</f>
        <v/>
      </c>
      <c r="O334">
        <f>IFERROR(MATCH(SMALL(Firms!$Y$5:$Y$1004,326),Firms!$W$5:$W$1004,0),"")</f>
        <v/>
      </c>
    </row>
    <row r="335">
      <c r="B335" s="78">
        <f>IF($O335="","",INDEX(Firms!$A$5:$A$1004,$O335))</f>
        <v/>
      </c>
      <c r="C335" s="79">
        <f>IF($O335="","",INDEX(Firms!$N$5:$N$1004,$O335)&amp;"")</f>
        <v/>
      </c>
      <c r="D335" s="79">
        <f>IF($O335="","",INDEX(Firms!$P$5:$P$1004,$O335)&amp;"")</f>
        <v/>
      </c>
      <c r="E335" s="79">
        <f>IF($O335="","",INDEX(Firms!$O$5:$O$1004,$O335)&amp;"")</f>
        <v/>
      </c>
      <c r="F335" s="50">
        <f>IF($O335="","",IF(INDEX(Firms!$F$5:$F$1004,$O335)="","—",INDEX(Firms!$F$5:$F$1004,$O335)))</f>
        <v/>
      </c>
      <c r="G335" s="50">
        <f>IF($O335="","",IF(INDEX(Firms!$G$5:$G$1004,$O335)="","—",INDEX(Firms!$G$5:$G$1004,$O335)))</f>
        <v/>
      </c>
      <c r="H335" s="50">
        <f>IF($O335="","",IF(INDEX(Firms!$H$5:$H$1004,$O335)="","—",INDEX(Firms!$H$5:$H$1004,$O335)))</f>
        <v/>
      </c>
      <c r="I335" s="50">
        <f>IF($O335="","",IF(INDEX(Firms!$I$5:$I$1004,$O335)="","—",INDEX(Firms!$I$5:$I$1004,$O335)))</f>
        <v/>
      </c>
      <c r="J335" s="50">
        <f>IF($O335="","",IF(INDEX(Firms!$J$5:$J$1004,$O335)="","—",INDEX(Firms!$J$5:$J$1004,$O335)))</f>
        <v/>
      </c>
      <c r="K335" s="50">
        <f>IF($O335="","",IF(INDEX(Firms!$K$5:$K$1004,$O335)="","—",INDEX(Firms!$K$5:$K$1004,$O335)))</f>
        <v/>
      </c>
      <c r="L335" s="50">
        <f>IF($O335="","",IF(INDEX(Firms!$L$5:$L$1004,$O335)="","—",INDEX(Firms!$L$5:$L$1004,$O335)))</f>
        <v/>
      </c>
      <c r="M335" s="50">
        <f>IF($O335="","",IF(INDEX(Firms!$M$5:$M$1004,$O335)="","—",INDEX(Firms!$M$5:$M$1004,$O335)))</f>
        <v/>
      </c>
      <c r="O335">
        <f>IFERROR(MATCH(SMALL(Firms!$Y$5:$Y$1004,327),Firms!$W$5:$W$1004,0),"")</f>
        <v/>
      </c>
    </row>
    <row r="336">
      <c r="B336" s="78">
        <f>IF($O336="","",INDEX(Firms!$A$5:$A$1004,$O336))</f>
        <v/>
      </c>
      <c r="C336" s="79">
        <f>IF($O336="","",INDEX(Firms!$N$5:$N$1004,$O336)&amp;"")</f>
        <v/>
      </c>
      <c r="D336" s="79">
        <f>IF($O336="","",INDEX(Firms!$P$5:$P$1004,$O336)&amp;"")</f>
        <v/>
      </c>
      <c r="E336" s="79">
        <f>IF($O336="","",INDEX(Firms!$O$5:$O$1004,$O336)&amp;"")</f>
        <v/>
      </c>
      <c r="F336" s="50">
        <f>IF($O336="","",IF(INDEX(Firms!$F$5:$F$1004,$O336)="","—",INDEX(Firms!$F$5:$F$1004,$O336)))</f>
        <v/>
      </c>
      <c r="G336" s="50">
        <f>IF($O336="","",IF(INDEX(Firms!$G$5:$G$1004,$O336)="","—",INDEX(Firms!$G$5:$G$1004,$O336)))</f>
        <v/>
      </c>
      <c r="H336" s="50">
        <f>IF($O336="","",IF(INDEX(Firms!$H$5:$H$1004,$O336)="","—",INDEX(Firms!$H$5:$H$1004,$O336)))</f>
        <v/>
      </c>
      <c r="I336" s="50">
        <f>IF($O336="","",IF(INDEX(Firms!$I$5:$I$1004,$O336)="","—",INDEX(Firms!$I$5:$I$1004,$O336)))</f>
        <v/>
      </c>
      <c r="J336" s="50">
        <f>IF($O336="","",IF(INDEX(Firms!$J$5:$J$1004,$O336)="","—",INDEX(Firms!$J$5:$J$1004,$O336)))</f>
        <v/>
      </c>
      <c r="K336" s="50">
        <f>IF($O336="","",IF(INDEX(Firms!$K$5:$K$1004,$O336)="","—",INDEX(Firms!$K$5:$K$1004,$O336)))</f>
        <v/>
      </c>
      <c r="L336" s="50">
        <f>IF($O336="","",IF(INDEX(Firms!$L$5:$L$1004,$O336)="","—",INDEX(Firms!$L$5:$L$1004,$O336)))</f>
        <v/>
      </c>
      <c r="M336" s="50">
        <f>IF($O336="","",IF(INDEX(Firms!$M$5:$M$1004,$O336)="","—",INDEX(Firms!$M$5:$M$1004,$O336)))</f>
        <v/>
      </c>
      <c r="O336">
        <f>IFERROR(MATCH(SMALL(Firms!$Y$5:$Y$1004,328),Firms!$W$5:$W$1004,0),"")</f>
        <v/>
      </c>
    </row>
    <row r="337">
      <c r="B337" s="78">
        <f>IF($O337="","",INDEX(Firms!$A$5:$A$1004,$O337))</f>
        <v/>
      </c>
      <c r="C337" s="79">
        <f>IF($O337="","",INDEX(Firms!$N$5:$N$1004,$O337)&amp;"")</f>
        <v/>
      </c>
      <c r="D337" s="79">
        <f>IF($O337="","",INDEX(Firms!$P$5:$P$1004,$O337)&amp;"")</f>
        <v/>
      </c>
      <c r="E337" s="79">
        <f>IF($O337="","",INDEX(Firms!$O$5:$O$1004,$O337)&amp;"")</f>
        <v/>
      </c>
      <c r="F337" s="50">
        <f>IF($O337="","",IF(INDEX(Firms!$F$5:$F$1004,$O337)="","—",INDEX(Firms!$F$5:$F$1004,$O337)))</f>
        <v/>
      </c>
      <c r="G337" s="50">
        <f>IF($O337="","",IF(INDEX(Firms!$G$5:$G$1004,$O337)="","—",INDEX(Firms!$G$5:$G$1004,$O337)))</f>
        <v/>
      </c>
      <c r="H337" s="50">
        <f>IF($O337="","",IF(INDEX(Firms!$H$5:$H$1004,$O337)="","—",INDEX(Firms!$H$5:$H$1004,$O337)))</f>
        <v/>
      </c>
      <c r="I337" s="50">
        <f>IF($O337="","",IF(INDEX(Firms!$I$5:$I$1004,$O337)="","—",INDEX(Firms!$I$5:$I$1004,$O337)))</f>
        <v/>
      </c>
      <c r="J337" s="50">
        <f>IF($O337="","",IF(INDEX(Firms!$J$5:$J$1004,$O337)="","—",INDEX(Firms!$J$5:$J$1004,$O337)))</f>
        <v/>
      </c>
      <c r="K337" s="50">
        <f>IF($O337="","",IF(INDEX(Firms!$K$5:$K$1004,$O337)="","—",INDEX(Firms!$K$5:$K$1004,$O337)))</f>
        <v/>
      </c>
      <c r="L337" s="50">
        <f>IF($O337="","",IF(INDEX(Firms!$L$5:$L$1004,$O337)="","—",INDEX(Firms!$L$5:$L$1004,$O337)))</f>
        <v/>
      </c>
      <c r="M337" s="50">
        <f>IF($O337="","",IF(INDEX(Firms!$M$5:$M$1004,$O337)="","—",INDEX(Firms!$M$5:$M$1004,$O337)))</f>
        <v/>
      </c>
      <c r="O337">
        <f>IFERROR(MATCH(SMALL(Firms!$Y$5:$Y$1004,329),Firms!$W$5:$W$1004,0),"")</f>
        <v/>
      </c>
    </row>
    <row r="338">
      <c r="B338" s="78">
        <f>IF($O338="","",INDEX(Firms!$A$5:$A$1004,$O338))</f>
        <v/>
      </c>
      <c r="C338" s="79">
        <f>IF($O338="","",INDEX(Firms!$N$5:$N$1004,$O338)&amp;"")</f>
        <v/>
      </c>
      <c r="D338" s="79">
        <f>IF($O338="","",INDEX(Firms!$P$5:$P$1004,$O338)&amp;"")</f>
        <v/>
      </c>
      <c r="E338" s="79">
        <f>IF($O338="","",INDEX(Firms!$O$5:$O$1004,$O338)&amp;"")</f>
        <v/>
      </c>
      <c r="F338" s="50">
        <f>IF($O338="","",IF(INDEX(Firms!$F$5:$F$1004,$O338)="","—",INDEX(Firms!$F$5:$F$1004,$O338)))</f>
        <v/>
      </c>
      <c r="G338" s="50">
        <f>IF($O338="","",IF(INDEX(Firms!$G$5:$G$1004,$O338)="","—",INDEX(Firms!$G$5:$G$1004,$O338)))</f>
        <v/>
      </c>
      <c r="H338" s="50">
        <f>IF($O338="","",IF(INDEX(Firms!$H$5:$H$1004,$O338)="","—",INDEX(Firms!$H$5:$H$1004,$O338)))</f>
        <v/>
      </c>
      <c r="I338" s="50">
        <f>IF($O338="","",IF(INDEX(Firms!$I$5:$I$1004,$O338)="","—",INDEX(Firms!$I$5:$I$1004,$O338)))</f>
        <v/>
      </c>
      <c r="J338" s="50">
        <f>IF($O338="","",IF(INDEX(Firms!$J$5:$J$1004,$O338)="","—",INDEX(Firms!$J$5:$J$1004,$O338)))</f>
        <v/>
      </c>
      <c r="K338" s="50">
        <f>IF($O338="","",IF(INDEX(Firms!$K$5:$K$1004,$O338)="","—",INDEX(Firms!$K$5:$K$1004,$O338)))</f>
        <v/>
      </c>
      <c r="L338" s="50">
        <f>IF($O338="","",IF(INDEX(Firms!$L$5:$L$1004,$O338)="","—",INDEX(Firms!$L$5:$L$1004,$O338)))</f>
        <v/>
      </c>
      <c r="M338" s="50">
        <f>IF($O338="","",IF(INDEX(Firms!$M$5:$M$1004,$O338)="","—",INDEX(Firms!$M$5:$M$1004,$O338)))</f>
        <v/>
      </c>
      <c r="O338">
        <f>IFERROR(MATCH(SMALL(Firms!$Y$5:$Y$1004,330),Firms!$W$5:$W$1004,0),"")</f>
        <v/>
      </c>
    </row>
    <row r="339">
      <c r="B339" s="78">
        <f>IF($O339="","",INDEX(Firms!$A$5:$A$1004,$O339))</f>
        <v/>
      </c>
      <c r="C339" s="79">
        <f>IF($O339="","",INDEX(Firms!$N$5:$N$1004,$O339)&amp;"")</f>
        <v/>
      </c>
      <c r="D339" s="79">
        <f>IF($O339="","",INDEX(Firms!$P$5:$P$1004,$O339)&amp;"")</f>
        <v/>
      </c>
      <c r="E339" s="79">
        <f>IF($O339="","",INDEX(Firms!$O$5:$O$1004,$O339)&amp;"")</f>
        <v/>
      </c>
      <c r="F339" s="50">
        <f>IF($O339="","",IF(INDEX(Firms!$F$5:$F$1004,$O339)="","—",INDEX(Firms!$F$5:$F$1004,$O339)))</f>
        <v/>
      </c>
      <c r="G339" s="50">
        <f>IF($O339="","",IF(INDEX(Firms!$G$5:$G$1004,$O339)="","—",INDEX(Firms!$G$5:$G$1004,$O339)))</f>
        <v/>
      </c>
      <c r="H339" s="50">
        <f>IF($O339="","",IF(INDEX(Firms!$H$5:$H$1004,$O339)="","—",INDEX(Firms!$H$5:$H$1004,$O339)))</f>
        <v/>
      </c>
      <c r="I339" s="50">
        <f>IF($O339="","",IF(INDEX(Firms!$I$5:$I$1004,$O339)="","—",INDEX(Firms!$I$5:$I$1004,$O339)))</f>
        <v/>
      </c>
      <c r="J339" s="50">
        <f>IF($O339="","",IF(INDEX(Firms!$J$5:$J$1004,$O339)="","—",INDEX(Firms!$J$5:$J$1004,$O339)))</f>
        <v/>
      </c>
      <c r="K339" s="50">
        <f>IF($O339="","",IF(INDEX(Firms!$K$5:$K$1004,$O339)="","—",INDEX(Firms!$K$5:$K$1004,$O339)))</f>
        <v/>
      </c>
      <c r="L339" s="50">
        <f>IF($O339="","",IF(INDEX(Firms!$L$5:$L$1004,$O339)="","—",INDEX(Firms!$L$5:$L$1004,$O339)))</f>
        <v/>
      </c>
      <c r="M339" s="50">
        <f>IF($O339="","",IF(INDEX(Firms!$M$5:$M$1004,$O339)="","—",INDEX(Firms!$M$5:$M$1004,$O339)))</f>
        <v/>
      </c>
      <c r="O339">
        <f>IFERROR(MATCH(SMALL(Firms!$Y$5:$Y$1004,331),Firms!$W$5:$W$1004,0),"")</f>
        <v/>
      </c>
    </row>
    <row r="340">
      <c r="B340" s="78">
        <f>IF($O340="","",INDEX(Firms!$A$5:$A$1004,$O340))</f>
        <v/>
      </c>
      <c r="C340" s="79">
        <f>IF($O340="","",INDEX(Firms!$N$5:$N$1004,$O340)&amp;"")</f>
        <v/>
      </c>
      <c r="D340" s="79">
        <f>IF($O340="","",INDEX(Firms!$P$5:$P$1004,$O340)&amp;"")</f>
        <v/>
      </c>
      <c r="E340" s="79">
        <f>IF($O340="","",INDEX(Firms!$O$5:$O$1004,$O340)&amp;"")</f>
        <v/>
      </c>
      <c r="F340" s="50">
        <f>IF($O340="","",IF(INDEX(Firms!$F$5:$F$1004,$O340)="","—",INDEX(Firms!$F$5:$F$1004,$O340)))</f>
        <v/>
      </c>
      <c r="G340" s="50">
        <f>IF($O340="","",IF(INDEX(Firms!$G$5:$G$1004,$O340)="","—",INDEX(Firms!$G$5:$G$1004,$O340)))</f>
        <v/>
      </c>
      <c r="H340" s="50">
        <f>IF($O340="","",IF(INDEX(Firms!$H$5:$H$1004,$O340)="","—",INDEX(Firms!$H$5:$H$1004,$O340)))</f>
        <v/>
      </c>
      <c r="I340" s="50">
        <f>IF($O340="","",IF(INDEX(Firms!$I$5:$I$1004,$O340)="","—",INDEX(Firms!$I$5:$I$1004,$O340)))</f>
        <v/>
      </c>
      <c r="J340" s="50">
        <f>IF($O340="","",IF(INDEX(Firms!$J$5:$J$1004,$O340)="","—",INDEX(Firms!$J$5:$J$1004,$O340)))</f>
        <v/>
      </c>
      <c r="K340" s="50">
        <f>IF($O340="","",IF(INDEX(Firms!$K$5:$K$1004,$O340)="","—",INDEX(Firms!$K$5:$K$1004,$O340)))</f>
        <v/>
      </c>
      <c r="L340" s="50">
        <f>IF($O340="","",IF(INDEX(Firms!$L$5:$L$1004,$O340)="","—",INDEX(Firms!$L$5:$L$1004,$O340)))</f>
        <v/>
      </c>
      <c r="M340" s="50">
        <f>IF($O340="","",IF(INDEX(Firms!$M$5:$M$1004,$O340)="","—",INDEX(Firms!$M$5:$M$1004,$O340)))</f>
        <v/>
      </c>
      <c r="O340">
        <f>IFERROR(MATCH(SMALL(Firms!$Y$5:$Y$1004,332),Firms!$W$5:$W$1004,0),"")</f>
        <v/>
      </c>
    </row>
    <row r="341">
      <c r="B341" s="78">
        <f>IF($O341="","",INDEX(Firms!$A$5:$A$1004,$O341))</f>
        <v/>
      </c>
      <c r="C341" s="79">
        <f>IF($O341="","",INDEX(Firms!$N$5:$N$1004,$O341)&amp;"")</f>
        <v/>
      </c>
      <c r="D341" s="79">
        <f>IF($O341="","",INDEX(Firms!$P$5:$P$1004,$O341)&amp;"")</f>
        <v/>
      </c>
      <c r="E341" s="79">
        <f>IF($O341="","",INDEX(Firms!$O$5:$O$1004,$O341)&amp;"")</f>
        <v/>
      </c>
      <c r="F341" s="50">
        <f>IF($O341="","",IF(INDEX(Firms!$F$5:$F$1004,$O341)="","—",INDEX(Firms!$F$5:$F$1004,$O341)))</f>
        <v/>
      </c>
      <c r="G341" s="50">
        <f>IF($O341="","",IF(INDEX(Firms!$G$5:$G$1004,$O341)="","—",INDEX(Firms!$G$5:$G$1004,$O341)))</f>
        <v/>
      </c>
      <c r="H341" s="50">
        <f>IF($O341="","",IF(INDEX(Firms!$H$5:$H$1004,$O341)="","—",INDEX(Firms!$H$5:$H$1004,$O341)))</f>
        <v/>
      </c>
      <c r="I341" s="50">
        <f>IF($O341="","",IF(INDEX(Firms!$I$5:$I$1004,$O341)="","—",INDEX(Firms!$I$5:$I$1004,$O341)))</f>
        <v/>
      </c>
      <c r="J341" s="50">
        <f>IF($O341="","",IF(INDEX(Firms!$J$5:$J$1004,$O341)="","—",INDEX(Firms!$J$5:$J$1004,$O341)))</f>
        <v/>
      </c>
      <c r="K341" s="50">
        <f>IF($O341="","",IF(INDEX(Firms!$K$5:$K$1004,$O341)="","—",INDEX(Firms!$K$5:$K$1004,$O341)))</f>
        <v/>
      </c>
      <c r="L341" s="50">
        <f>IF($O341="","",IF(INDEX(Firms!$L$5:$L$1004,$O341)="","—",INDEX(Firms!$L$5:$L$1004,$O341)))</f>
        <v/>
      </c>
      <c r="M341" s="50">
        <f>IF($O341="","",IF(INDEX(Firms!$M$5:$M$1004,$O341)="","—",INDEX(Firms!$M$5:$M$1004,$O341)))</f>
        <v/>
      </c>
      <c r="O341">
        <f>IFERROR(MATCH(SMALL(Firms!$Y$5:$Y$1004,333),Firms!$W$5:$W$1004,0),"")</f>
        <v/>
      </c>
    </row>
    <row r="342">
      <c r="B342" s="78">
        <f>IF($O342="","",INDEX(Firms!$A$5:$A$1004,$O342))</f>
        <v/>
      </c>
      <c r="C342" s="79">
        <f>IF($O342="","",INDEX(Firms!$N$5:$N$1004,$O342)&amp;"")</f>
        <v/>
      </c>
      <c r="D342" s="79">
        <f>IF($O342="","",INDEX(Firms!$P$5:$P$1004,$O342)&amp;"")</f>
        <v/>
      </c>
      <c r="E342" s="79">
        <f>IF($O342="","",INDEX(Firms!$O$5:$O$1004,$O342)&amp;"")</f>
        <v/>
      </c>
      <c r="F342" s="50">
        <f>IF($O342="","",IF(INDEX(Firms!$F$5:$F$1004,$O342)="","—",INDEX(Firms!$F$5:$F$1004,$O342)))</f>
        <v/>
      </c>
      <c r="G342" s="50">
        <f>IF($O342="","",IF(INDEX(Firms!$G$5:$G$1004,$O342)="","—",INDEX(Firms!$G$5:$G$1004,$O342)))</f>
        <v/>
      </c>
      <c r="H342" s="50">
        <f>IF($O342="","",IF(INDEX(Firms!$H$5:$H$1004,$O342)="","—",INDEX(Firms!$H$5:$H$1004,$O342)))</f>
        <v/>
      </c>
      <c r="I342" s="50">
        <f>IF($O342="","",IF(INDEX(Firms!$I$5:$I$1004,$O342)="","—",INDEX(Firms!$I$5:$I$1004,$O342)))</f>
        <v/>
      </c>
      <c r="J342" s="50">
        <f>IF($O342="","",IF(INDEX(Firms!$J$5:$J$1004,$O342)="","—",INDEX(Firms!$J$5:$J$1004,$O342)))</f>
        <v/>
      </c>
      <c r="K342" s="50">
        <f>IF($O342="","",IF(INDEX(Firms!$K$5:$K$1004,$O342)="","—",INDEX(Firms!$K$5:$K$1004,$O342)))</f>
        <v/>
      </c>
      <c r="L342" s="50">
        <f>IF($O342="","",IF(INDEX(Firms!$L$5:$L$1004,$O342)="","—",INDEX(Firms!$L$5:$L$1004,$O342)))</f>
        <v/>
      </c>
      <c r="M342" s="50">
        <f>IF($O342="","",IF(INDEX(Firms!$M$5:$M$1004,$O342)="","—",INDEX(Firms!$M$5:$M$1004,$O342)))</f>
        <v/>
      </c>
      <c r="O342">
        <f>IFERROR(MATCH(SMALL(Firms!$Y$5:$Y$1004,334),Firms!$W$5:$W$1004,0),"")</f>
        <v/>
      </c>
    </row>
    <row r="343">
      <c r="B343" s="78">
        <f>IF($O343="","",INDEX(Firms!$A$5:$A$1004,$O343))</f>
        <v/>
      </c>
      <c r="C343" s="79">
        <f>IF($O343="","",INDEX(Firms!$N$5:$N$1004,$O343)&amp;"")</f>
        <v/>
      </c>
      <c r="D343" s="79">
        <f>IF($O343="","",INDEX(Firms!$P$5:$P$1004,$O343)&amp;"")</f>
        <v/>
      </c>
      <c r="E343" s="79">
        <f>IF($O343="","",INDEX(Firms!$O$5:$O$1004,$O343)&amp;"")</f>
        <v/>
      </c>
      <c r="F343" s="50">
        <f>IF($O343="","",IF(INDEX(Firms!$F$5:$F$1004,$O343)="","—",INDEX(Firms!$F$5:$F$1004,$O343)))</f>
        <v/>
      </c>
      <c r="G343" s="50">
        <f>IF($O343="","",IF(INDEX(Firms!$G$5:$G$1004,$O343)="","—",INDEX(Firms!$G$5:$G$1004,$O343)))</f>
        <v/>
      </c>
      <c r="H343" s="50">
        <f>IF($O343="","",IF(INDEX(Firms!$H$5:$H$1004,$O343)="","—",INDEX(Firms!$H$5:$H$1004,$O343)))</f>
        <v/>
      </c>
      <c r="I343" s="50">
        <f>IF($O343="","",IF(INDEX(Firms!$I$5:$I$1004,$O343)="","—",INDEX(Firms!$I$5:$I$1004,$O343)))</f>
        <v/>
      </c>
      <c r="J343" s="50">
        <f>IF($O343="","",IF(INDEX(Firms!$J$5:$J$1004,$O343)="","—",INDEX(Firms!$J$5:$J$1004,$O343)))</f>
        <v/>
      </c>
      <c r="K343" s="50">
        <f>IF($O343="","",IF(INDEX(Firms!$K$5:$K$1004,$O343)="","—",INDEX(Firms!$K$5:$K$1004,$O343)))</f>
        <v/>
      </c>
      <c r="L343" s="50">
        <f>IF($O343="","",IF(INDEX(Firms!$L$5:$L$1004,$O343)="","—",INDEX(Firms!$L$5:$L$1004,$O343)))</f>
        <v/>
      </c>
      <c r="M343" s="50">
        <f>IF($O343="","",IF(INDEX(Firms!$M$5:$M$1004,$O343)="","—",INDEX(Firms!$M$5:$M$1004,$O343)))</f>
        <v/>
      </c>
      <c r="O343">
        <f>IFERROR(MATCH(SMALL(Firms!$Y$5:$Y$1004,335),Firms!$W$5:$W$1004,0),"")</f>
        <v/>
      </c>
    </row>
    <row r="344">
      <c r="B344" s="78">
        <f>IF($O344="","",INDEX(Firms!$A$5:$A$1004,$O344))</f>
        <v/>
      </c>
      <c r="C344" s="79">
        <f>IF($O344="","",INDEX(Firms!$N$5:$N$1004,$O344)&amp;"")</f>
        <v/>
      </c>
      <c r="D344" s="79">
        <f>IF($O344="","",INDEX(Firms!$P$5:$P$1004,$O344)&amp;"")</f>
        <v/>
      </c>
      <c r="E344" s="79">
        <f>IF($O344="","",INDEX(Firms!$O$5:$O$1004,$O344)&amp;"")</f>
        <v/>
      </c>
      <c r="F344" s="50">
        <f>IF($O344="","",IF(INDEX(Firms!$F$5:$F$1004,$O344)="","—",INDEX(Firms!$F$5:$F$1004,$O344)))</f>
        <v/>
      </c>
      <c r="G344" s="50">
        <f>IF($O344="","",IF(INDEX(Firms!$G$5:$G$1004,$O344)="","—",INDEX(Firms!$G$5:$G$1004,$O344)))</f>
        <v/>
      </c>
      <c r="H344" s="50">
        <f>IF($O344="","",IF(INDEX(Firms!$H$5:$H$1004,$O344)="","—",INDEX(Firms!$H$5:$H$1004,$O344)))</f>
        <v/>
      </c>
      <c r="I344" s="50">
        <f>IF($O344="","",IF(INDEX(Firms!$I$5:$I$1004,$O344)="","—",INDEX(Firms!$I$5:$I$1004,$O344)))</f>
        <v/>
      </c>
      <c r="J344" s="50">
        <f>IF($O344="","",IF(INDEX(Firms!$J$5:$J$1004,$O344)="","—",INDEX(Firms!$J$5:$J$1004,$O344)))</f>
        <v/>
      </c>
      <c r="K344" s="50">
        <f>IF($O344="","",IF(INDEX(Firms!$K$5:$K$1004,$O344)="","—",INDEX(Firms!$K$5:$K$1004,$O344)))</f>
        <v/>
      </c>
      <c r="L344" s="50">
        <f>IF($O344="","",IF(INDEX(Firms!$L$5:$L$1004,$O344)="","—",INDEX(Firms!$L$5:$L$1004,$O344)))</f>
        <v/>
      </c>
      <c r="M344" s="50">
        <f>IF($O344="","",IF(INDEX(Firms!$M$5:$M$1004,$O344)="","—",INDEX(Firms!$M$5:$M$1004,$O344)))</f>
        <v/>
      </c>
      <c r="O344">
        <f>IFERROR(MATCH(SMALL(Firms!$Y$5:$Y$1004,336),Firms!$W$5:$W$1004,0),"")</f>
        <v/>
      </c>
    </row>
    <row r="345">
      <c r="B345" s="78">
        <f>IF($O345="","",INDEX(Firms!$A$5:$A$1004,$O345))</f>
        <v/>
      </c>
      <c r="C345" s="79">
        <f>IF($O345="","",INDEX(Firms!$N$5:$N$1004,$O345)&amp;"")</f>
        <v/>
      </c>
      <c r="D345" s="79">
        <f>IF($O345="","",INDEX(Firms!$P$5:$P$1004,$O345)&amp;"")</f>
        <v/>
      </c>
      <c r="E345" s="79">
        <f>IF($O345="","",INDEX(Firms!$O$5:$O$1004,$O345)&amp;"")</f>
        <v/>
      </c>
      <c r="F345" s="50">
        <f>IF($O345="","",IF(INDEX(Firms!$F$5:$F$1004,$O345)="","—",INDEX(Firms!$F$5:$F$1004,$O345)))</f>
        <v/>
      </c>
      <c r="G345" s="50">
        <f>IF($O345="","",IF(INDEX(Firms!$G$5:$G$1004,$O345)="","—",INDEX(Firms!$G$5:$G$1004,$O345)))</f>
        <v/>
      </c>
      <c r="H345" s="50">
        <f>IF($O345="","",IF(INDEX(Firms!$H$5:$H$1004,$O345)="","—",INDEX(Firms!$H$5:$H$1004,$O345)))</f>
        <v/>
      </c>
      <c r="I345" s="50">
        <f>IF($O345="","",IF(INDEX(Firms!$I$5:$I$1004,$O345)="","—",INDEX(Firms!$I$5:$I$1004,$O345)))</f>
        <v/>
      </c>
      <c r="J345" s="50">
        <f>IF($O345="","",IF(INDEX(Firms!$J$5:$J$1004,$O345)="","—",INDEX(Firms!$J$5:$J$1004,$O345)))</f>
        <v/>
      </c>
      <c r="K345" s="50">
        <f>IF($O345="","",IF(INDEX(Firms!$K$5:$K$1004,$O345)="","—",INDEX(Firms!$K$5:$K$1004,$O345)))</f>
        <v/>
      </c>
      <c r="L345" s="50">
        <f>IF($O345="","",IF(INDEX(Firms!$L$5:$L$1004,$O345)="","—",INDEX(Firms!$L$5:$L$1004,$O345)))</f>
        <v/>
      </c>
      <c r="M345" s="50">
        <f>IF($O345="","",IF(INDEX(Firms!$M$5:$M$1004,$O345)="","—",INDEX(Firms!$M$5:$M$1004,$O345)))</f>
        <v/>
      </c>
      <c r="O345">
        <f>IFERROR(MATCH(SMALL(Firms!$Y$5:$Y$1004,337),Firms!$W$5:$W$1004,0),"")</f>
        <v/>
      </c>
    </row>
    <row r="346">
      <c r="B346" s="78">
        <f>IF($O346="","",INDEX(Firms!$A$5:$A$1004,$O346))</f>
        <v/>
      </c>
      <c r="C346" s="79">
        <f>IF($O346="","",INDEX(Firms!$N$5:$N$1004,$O346)&amp;"")</f>
        <v/>
      </c>
      <c r="D346" s="79">
        <f>IF($O346="","",INDEX(Firms!$P$5:$P$1004,$O346)&amp;"")</f>
        <v/>
      </c>
      <c r="E346" s="79">
        <f>IF($O346="","",INDEX(Firms!$O$5:$O$1004,$O346)&amp;"")</f>
        <v/>
      </c>
      <c r="F346" s="50">
        <f>IF($O346="","",IF(INDEX(Firms!$F$5:$F$1004,$O346)="","—",INDEX(Firms!$F$5:$F$1004,$O346)))</f>
        <v/>
      </c>
      <c r="G346" s="50">
        <f>IF($O346="","",IF(INDEX(Firms!$G$5:$G$1004,$O346)="","—",INDEX(Firms!$G$5:$G$1004,$O346)))</f>
        <v/>
      </c>
      <c r="H346" s="50">
        <f>IF($O346="","",IF(INDEX(Firms!$H$5:$H$1004,$O346)="","—",INDEX(Firms!$H$5:$H$1004,$O346)))</f>
        <v/>
      </c>
      <c r="I346" s="50">
        <f>IF($O346="","",IF(INDEX(Firms!$I$5:$I$1004,$O346)="","—",INDEX(Firms!$I$5:$I$1004,$O346)))</f>
        <v/>
      </c>
      <c r="J346" s="50">
        <f>IF($O346="","",IF(INDEX(Firms!$J$5:$J$1004,$O346)="","—",INDEX(Firms!$J$5:$J$1004,$O346)))</f>
        <v/>
      </c>
      <c r="K346" s="50">
        <f>IF($O346="","",IF(INDEX(Firms!$K$5:$K$1004,$O346)="","—",INDEX(Firms!$K$5:$K$1004,$O346)))</f>
        <v/>
      </c>
      <c r="L346" s="50">
        <f>IF($O346="","",IF(INDEX(Firms!$L$5:$L$1004,$O346)="","—",INDEX(Firms!$L$5:$L$1004,$O346)))</f>
        <v/>
      </c>
      <c r="M346" s="50">
        <f>IF($O346="","",IF(INDEX(Firms!$M$5:$M$1004,$O346)="","—",INDEX(Firms!$M$5:$M$1004,$O346)))</f>
        <v/>
      </c>
      <c r="O346">
        <f>IFERROR(MATCH(SMALL(Firms!$Y$5:$Y$1004,338),Firms!$W$5:$W$1004,0),"")</f>
        <v/>
      </c>
    </row>
    <row r="347">
      <c r="B347" s="78">
        <f>IF($O347="","",INDEX(Firms!$A$5:$A$1004,$O347))</f>
        <v/>
      </c>
      <c r="C347" s="79">
        <f>IF($O347="","",INDEX(Firms!$N$5:$N$1004,$O347)&amp;"")</f>
        <v/>
      </c>
      <c r="D347" s="79">
        <f>IF($O347="","",INDEX(Firms!$P$5:$P$1004,$O347)&amp;"")</f>
        <v/>
      </c>
      <c r="E347" s="79">
        <f>IF($O347="","",INDEX(Firms!$O$5:$O$1004,$O347)&amp;"")</f>
        <v/>
      </c>
      <c r="F347" s="50">
        <f>IF($O347="","",IF(INDEX(Firms!$F$5:$F$1004,$O347)="","—",INDEX(Firms!$F$5:$F$1004,$O347)))</f>
        <v/>
      </c>
      <c r="G347" s="50">
        <f>IF($O347="","",IF(INDEX(Firms!$G$5:$G$1004,$O347)="","—",INDEX(Firms!$G$5:$G$1004,$O347)))</f>
        <v/>
      </c>
      <c r="H347" s="50">
        <f>IF($O347="","",IF(INDEX(Firms!$H$5:$H$1004,$O347)="","—",INDEX(Firms!$H$5:$H$1004,$O347)))</f>
        <v/>
      </c>
      <c r="I347" s="50">
        <f>IF($O347="","",IF(INDEX(Firms!$I$5:$I$1004,$O347)="","—",INDEX(Firms!$I$5:$I$1004,$O347)))</f>
        <v/>
      </c>
      <c r="J347" s="50">
        <f>IF($O347="","",IF(INDEX(Firms!$J$5:$J$1004,$O347)="","—",INDEX(Firms!$J$5:$J$1004,$O347)))</f>
        <v/>
      </c>
      <c r="K347" s="50">
        <f>IF($O347="","",IF(INDEX(Firms!$K$5:$K$1004,$O347)="","—",INDEX(Firms!$K$5:$K$1004,$O347)))</f>
        <v/>
      </c>
      <c r="L347" s="50">
        <f>IF($O347="","",IF(INDEX(Firms!$L$5:$L$1004,$O347)="","—",INDEX(Firms!$L$5:$L$1004,$O347)))</f>
        <v/>
      </c>
      <c r="M347" s="50">
        <f>IF($O347="","",IF(INDEX(Firms!$M$5:$M$1004,$O347)="","—",INDEX(Firms!$M$5:$M$1004,$O347)))</f>
        <v/>
      </c>
      <c r="O347">
        <f>IFERROR(MATCH(SMALL(Firms!$Y$5:$Y$1004,339),Firms!$W$5:$W$1004,0),"")</f>
        <v/>
      </c>
    </row>
    <row r="348">
      <c r="B348" s="78">
        <f>IF($O348="","",INDEX(Firms!$A$5:$A$1004,$O348))</f>
        <v/>
      </c>
      <c r="C348" s="79">
        <f>IF($O348="","",INDEX(Firms!$N$5:$N$1004,$O348)&amp;"")</f>
        <v/>
      </c>
      <c r="D348" s="79">
        <f>IF($O348="","",INDEX(Firms!$P$5:$P$1004,$O348)&amp;"")</f>
        <v/>
      </c>
      <c r="E348" s="79">
        <f>IF($O348="","",INDEX(Firms!$O$5:$O$1004,$O348)&amp;"")</f>
        <v/>
      </c>
      <c r="F348" s="50">
        <f>IF($O348="","",IF(INDEX(Firms!$F$5:$F$1004,$O348)="","—",INDEX(Firms!$F$5:$F$1004,$O348)))</f>
        <v/>
      </c>
      <c r="G348" s="50">
        <f>IF($O348="","",IF(INDEX(Firms!$G$5:$G$1004,$O348)="","—",INDEX(Firms!$G$5:$G$1004,$O348)))</f>
        <v/>
      </c>
      <c r="H348" s="50">
        <f>IF($O348="","",IF(INDEX(Firms!$H$5:$H$1004,$O348)="","—",INDEX(Firms!$H$5:$H$1004,$O348)))</f>
        <v/>
      </c>
      <c r="I348" s="50">
        <f>IF($O348="","",IF(INDEX(Firms!$I$5:$I$1004,$O348)="","—",INDEX(Firms!$I$5:$I$1004,$O348)))</f>
        <v/>
      </c>
      <c r="J348" s="50">
        <f>IF($O348="","",IF(INDEX(Firms!$J$5:$J$1004,$O348)="","—",INDEX(Firms!$J$5:$J$1004,$O348)))</f>
        <v/>
      </c>
      <c r="K348" s="50">
        <f>IF($O348="","",IF(INDEX(Firms!$K$5:$K$1004,$O348)="","—",INDEX(Firms!$K$5:$K$1004,$O348)))</f>
        <v/>
      </c>
      <c r="L348" s="50">
        <f>IF($O348="","",IF(INDEX(Firms!$L$5:$L$1004,$O348)="","—",INDEX(Firms!$L$5:$L$1004,$O348)))</f>
        <v/>
      </c>
      <c r="M348" s="50">
        <f>IF($O348="","",IF(INDEX(Firms!$M$5:$M$1004,$O348)="","—",INDEX(Firms!$M$5:$M$1004,$O348)))</f>
        <v/>
      </c>
      <c r="O348">
        <f>IFERROR(MATCH(SMALL(Firms!$Y$5:$Y$1004,340),Firms!$W$5:$W$1004,0),"")</f>
        <v/>
      </c>
    </row>
    <row r="349">
      <c r="B349" s="78">
        <f>IF($O349="","",INDEX(Firms!$A$5:$A$1004,$O349))</f>
        <v/>
      </c>
      <c r="C349" s="79">
        <f>IF($O349="","",INDEX(Firms!$N$5:$N$1004,$O349)&amp;"")</f>
        <v/>
      </c>
      <c r="D349" s="79">
        <f>IF($O349="","",INDEX(Firms!$P$5:$P$1004,$O349)&amp;"")</f>
        <v/>
      </c>
      <c r="E349" s="79">
        <f>IF($O349="","",INDEX(Firms!$O$5:$O$1004,$O349)&amp;"")</f>
        <v/>
      </c>
      <c r="F349" s="50">
        <f>IF($O349="","",IF(INDEX(Firms!$F$5:$F$1004,$O349)="","—",INDEX(Firms!$F$5:$F$1004,$O349)))</f>
        <v/>
      </c>
      <c r="G349" s="50">
        <f>IF($O349="","",IF(INDEX(Firms!$G$5:$G$1004,$O349)="","—",INDEX(Firms!$G$5:$G$1004,$O349)))</f>
        <v/>
      </c>
      <c r="H349" s="50">
        <f>IF($O349="","",IF(INDEX(Firms!$H$5:$H$1004,$O349)="","—",INDEX(Firms!$H$5:$H$1004,$O349)))</f>
        <v/>
      </c>
      <c r="I349" s="50">
        <f>IF($O349="","",IF(INDEX(Firms!$I$5:$I$1004,$O349)="","—",INDEX(Firms!$I$5:$I$1004,$O349)))</f>
        <v/>
      </c>
      <c r="J349" s="50">
        <f>IF($O349="","",IF(INDEX(Firms!$J$5:$J$1004,$O349)="","—",INDEX(Firms!$J$5:$J$1004,$O349)))</f>
        <v/>
      </c>
      <c r="K349" s="50">
        <f>IF($O349="","",IF(INDEX(Firms!$K$5:$K$1004,$O349)="","—",INDEX(Firms!$K$5:$K$1004,$O349)))</f>
        <v/>
      </c>
      <c r="L349" s="50">
        <f>IF($O349="","",IF(INDEX(Firms!$L$5:$L$1004,$O349)="","—",INDEX(Firms!$L$5:$L$1004,$O349)))</f>
        <v/>
      </c>
      <c r="M349" s="50">
        <f>IF($O349="","",IF(INDEX(Firms!$M$5:$M$1004,$O349)="","—",INDEX(Firms!$M$5:$M$1004,$O349)))</f>
        <v/>
      </c>
      <c r="O349">
        <f>IFERROR(MATCH(SMALL(Firms!$Y$5:$Y$1004,341),Firms!$W$5:$W$1004,0),"")</f>
        <v/>
      </c>
    </row>
    <row r="350">
      <c r="B350" s="78">
        <f>IF($O350="","",INDEX(Firms!$A$5:$A$1004,$O350))</f>
        <v/>
      </c>
      <c r="C350" s="79">
        <f>IF($O350="","",INDEX(Firms!$N$5:$N$1004,$O350)&amp;"")</f>
        <v/>
      </c>
      <c r="D350" s="79">
        <f>IF($O350="","",INDEX(Firms!$P$5:$P$1004,$O350)&amp;"")</f>
        <v/>
      </c>
      <c r="E350" s="79">
        <f>IF($O350="","",INDEX(Firms!$O$5:$O$1004,$O350)&amp;"")</f>
        <v/>
      </c>
      <c r="F350" s="50">
        <f>IF($O350="","",IF(INDEX(Firms!$F$5:$F$1004,$O350)="","—",INDEX(Firms!$F$5:$F$1004,$O350)))</f>
        <v/>
      </c>
      <c r="G350" s="50">
        <f>IF($O350="","",IF(INDEX(Firms!$G$5:$G$1004,$O350)="","—",INDEX(Firms!$G$5:$G$1004,$O350)))</f>
        <v/>
      </c>
      <c r="H350" s="50">
        <f>IF($O350="","",IF(INDEX(Firms!$H$5:$H$1004,$O350)="","—",INDEX(Firms!$H$5:$H$1004,$O350)))</f>
        <v/>
      </c>
      <c r="I350" s="50">
        <f>IF($O350="","",IF(INDEX(Firms!$I$5:$I$1004,$O350)="","—",INDEX(Firms!$I$5:$I$1004,$O350)))</f>
        <v/>
      </c>
      <c r="J350" s="50">
        <f>IF($O350="","",IF(INDEX(Firms!$J$5:$J$1004,$O350)="","—",INDEX(Firms!$J$5:$J$1004,$O350)))</f>
        <v/>
      </c>
      <c r="K350" s="50">
        <f>IF($O350="","",IF(INDEX(Firms!$K$5:$K$1004,$O350)="","—",INDEX(Firms!$K$5:$K$1004,$O350)))</f>
        <v/>
      </c>
      <c r="L350" s="50">
        <f>IF($O350="","",IF(INDEX(Firms!$L$5:$L$1004,$O350)="","—",INDEX(Firms!$L$5:$L$1004,$O350)))</f>
        <v/>
      </c>
      <c r="M350" s="50">
        <f>IF($O350="","",IF(INDEX(Firms!$M$5:$M$1004,$O350)="","—",INDEX(Firms!$M$5:$M$1004,$O350)))</f>
        <v/>
      </c>
      <c r="O350">
        <f>IFERROR(MATCH(SMALL(Firms!$Y$5:$Y$1004,342),Firms!$W$5:$W$1004,0),"")</f>
        <v/>
      </c>
    </row>
    <row r="351">
      <c r="B351" s="78">
        <f>IF($O351="","",INDEX(Firms!$A$5:$A$1004,$O351))</f>
        <v/>
      </c>
      <c r="C351" s="79">
        <f>IF($O351="","",INDEX(Firms!$N$5:$N$1004,$O351)&amp;"")</f>
        <v/>
      </c>
      <c r="D351" s="79">
        <f>IF($O351="","",INDEX(Firms!$P$5:$P$1004,$O351)&amp;"")</f>
        <v/>
      </c>
      <c r="E351" s="79">
        <f>IF($O351="","",INDEX(Firms!$O$5:$O$1004,$O351)&amp;"")</f>
        <v/>
      </c>
      <c r="F351" s="50">
        <f>IF($O351="","",IF(INDEX(Firms!$F$5:$F$1004,$O351)="","—",INDEX(Firms!$F$5:$F$1004,$O351)))</f>
        <v/>
      </c>
      <c r="G351" s="50">
        <f>IF($O351="","",IF(INDEX(Firms!$G$5:$G$1004,$O351)="","—",INDEX(Firms!$G$5:$G$1004,$O351)))</f>
        <v/>
      </c>
      <c r="H351" s="50">
        <f>IF($O351="","",IF(INDEX(Firms!$H$5:$H$1004,$O351)="","—",INDEX(Firms!$H$5:$H$1004,$O351)))</f>
        <v/>
      </c>
      <c r="I351" s="50">
        <f>IF($O351="","",IF(INDEX(Firms!$I$5:$I$1004,$O351)="","—",INDEX(Firms!$I$5:$I$1004,$O351)))</f>
        <v/>
      </c>
      <c r="J351" s="50">
        <f>IF($O351="","",IF(INDEX(Firms!$J$5:$J$1004,$O351)="","—",INDEX(Firms!$J$5:$J$1004,$O351)))</f>
        <v/>
      </c>
      <c r="K351" s="50">
        <f>IF($O351="","",IF(INDEX(Firms!$K$5:$K$1004,$O351)="","—",INDEX(Firms!$K$5:$K$1004,$O351)))</f>
        <v/>
      </c>
      <c r="L351" s="50">
        <f>IF($O351="","",IF(INDEX(Firms!$L$5:$L$1004,$O351)="","—",INDEX(Firms!$L$5:$L$1004,$O351)))</f>
        <v/>
      </c>
      <c r="M351" s="50">
        <f>IF($O351="","",IF(INDEX(Firms!$M$5:$M$1004,$O351)="","—",INDEX(Firms!$M$5:$M$1004,$O351)))</f>
        <v/>
      </c>
      <c r="O351">
        <f>IFERROR(MATCH(SMALL(Firms!$Y$5:$Y$1004,343),Firms!$W$5:$W$1004,0),"")</f>
        <v/>
      </c>
    </row>
    <row r="352">
      <c r="B352" s="78">
        <f>IF($O352="","",INDEX(Firms!$A$5:$A$1004,$O352))</f>
        <v/>
      </c>
      <c r="C352" s="79">
        <f>IF($O352="","",INDEX(Firms!$N$5:$N$1004,$O352)&amp;"")</f>
        <v/>
      </c>
      <c r="D352" s="79">
        <f>IF($O352="","",INDEX(Firms!$P$5:$P$1004,$O352)&amp;"")</f>
        <v/>
      </c>
      <c r="E352" s="79">
        <f>IF($O352="","",INDEX(Firms!$O$5:$O$1004,$O352)&amp;"")</f>
        <v/>
      </c>
      <c r="F352" s="50">
        <f>IF($O352="","",IF(INDEX(Firms!$F$5:$F$1004,$O352)="","—",INDEX(Firms!$F$5:$F$1004,$O352)))</f>
        <v/>
      </c>
      <c r="G352" s="50">
        <f>IF($O352="","",IF(INDEX(Firms!$G$5:$G$1004,$O352)="","—",INDEX(Firms!$G$5:$G$1004,$O352)))</f>
        <v/>
      </c>
      <c r="H352" s="50">
        <f>IF($O352="","",IF(INDEX(Firms!$H$5:$H$1004,$O352)="","—",INDEX(Firms!$H$5:$H$1004,$O352)))</f>
        <v/>
      </c>
      <c r="I352" s="50">
        <f>IF($O352="","",IF(INDEX(Firms!$I$5:$I$1004,$O352)="","—",INDEX(Firms!$I$5:$I$1004,$O352)))</f>
        <v/>
      </c>
      <c r="J352" s="50">
        <f>IF($O352="","",IF(INDEX(Firms!$J$5:$J$1004,$O352)="","—",INDEX(Firms!$J$5:$J$1004,$O352)))</f>
        <v/>
      </c>
      <c r="K352" s="50">
        <f>IF($O352="","",IF(INDEX(Firms!$K$5:$K$1004,$O352)="","—",INDEX(Firms!$K$5:$K$1004,$O352)))</f>
        <v/>
      </c>
      <c r="L352" s="50">
        <f>IF($O352="","",IF(INDEX(Firms!$L$5:$L$1004,$O352)="","—",INDEX(Firms!$L$5:$L$1004,$O352)))</f>
        <v/>
      </c>
      <c r="M352" s="50">
        <f>IF($O352="","",IF(INDEX(Firms!$M$5:$M$1004,$O352)="","—",INDEX(Firms!$M$5:$M$1004,$O352)))</f>
        <v/>
      </c>
      <c r="O352">
        <f>IFERROR(MATCH(SMALL(Firms!$Y$5:$Y$1004,344),Firms!$W$5:$W$1004,0),"")</f>
        <v/>
      </c>
    </row>
    <row r="353">
      <c r="B353" s="78">
        <f>IF($O353="","",INDEX(Firms!$A$5:$A$1004,$O353))</f>
        <v/>
      </c>
      <c r="C353" s="79">
        <f>IF($O353="","",INDEX(Firms!$N$5:$N$1004,$O353)&amp;"")</f>
        <v/>
      </c>
      <c r="D353" s="79">
        <f>IF($O353="","",INDEX(Firms!$P$5:$P$1004,$O353)&amp;"")</f>
        <v/>
      </c>
      <c r="E353" s="79">
        <f>IF($O353="","",INDEX(Firms!$O$5:$O$1004,$O353)&amp;"")</f>
        <v/>
      </c>
      <c r="F353" s="50">
        <f>IF($O353="","",IF(INDEX(Firms!$F$5:$F$1004,$O353)="","—",INDEX(Firms!$F$5:$F$1004,$O353)))</f>
        <v/>
      </c>
      <c r="G353" s="50">
        <f>IF($O353="","",IF(INDEX(Firms!$G$5:$G$1004,$O353)="","—",INDEX(Firms!$G$5:$G$1004,$O353)))</f>
        <v/>
      </c>
      <c r="H353" s="50">
        <f>IF($O353="","",IF(INDEX(Firms!$H$5:$H$1004,$O353)="","—",INDEX(Firms!$H$5:$H$1004,$O353)))</f>
        <v/>
      </c>
      <c r="I353" s="50">
        <f>IF($O353="","",IF(INDEX(Firms!$I$5:$I$1004,$O353)="","—",INDEX(Firms!$I$5:$I$1004,$O353)))</f>
        <v/>
      </c>
      <c r="J353" s="50">
        <f>IF($O353="","",IF(INDEX(Firms!$J$5:$J$1004,$O353)="","—",INDEX(Firms!$J$5:$J$1004,$O353)))</f>
        <v/>
      </c>
      <c r="K353" s="50">
        <f>IF($O353="","",IF(INDEX(Firms!$K$5:$K$1004,$O353)="","—",INDEX(Firms!$K$5:$K$1004,$O353)))</f>
        <v/>
      </c>
      <c r="L353" s="50">
        <f>IF($O353="","",IF(INDEX(Firms!$L$5:$L$1004,$O353)="","—",INDEX(Firms!$L$5:$L$1004,$O353)))</f>
        <v/>
      </c>
      <c r="M353" s="50">
        <f>IF($O353="","",IF(INDEX(Firms!$M$5:$M$1004,$O353)="","—",INDEX(Firms!$M$5:$M$1004,$O353)))</f>
        <v/>
      </c>
      <c r="O353">
        <f>IFERROR(MATCH(SMALL(Firms!$Y$5:$Y$1004,345),Firms!$W$5:$W$1004,0),"")</f>
        <v/>
      </c>
    </row>
    <row r="354">
      <c r="B354" s="78">
        <f>IF($O354="","",INDEX(Firms!$A$5:$A$1004,$O354))</f>
        <v/>
      </c>
      <c r="C354" s="79">
        <f>IF($O354="","",INDEX(Firms!$N$5:$N$1004,$O354)&amp;"")</f>
        <v/>
      </c>
      <c r="D354" s="79">
        <f>IF($O354="","",INDEX(Firms!$P$5:$P$1004,$O354)&amp;"")</f>
        <v/>
      </c>
      <c r="E354" s="79">
        <f>IF($O354="","",INDEX(Firms!$O$5:$O$1004,$O354)&amp;"")</f>
        <v/>
      </c>
      <c r="F354" s="50">
        <f>IF($O354="","",IF(INDEX(Firms!$F$5:$F$1004,$O354)="","—",INDEX(Firms!$F$5:$F$1004,$O354)))</f>
        <v/>
      </c>
      <c r="G354" s="50">
        <f>IF($O354="","",IF(INDEX(Firms!$G$5:$G$1004,$O354)="","—",INDEX(Firms!$G$5:$G$1004,$O354)))</f>
        <v/>
      </c>
      <c r="H354" s="50">
        <f>IF($O354="","",IF(INDEX(Firms!$H$5:$H$1004,$O354)="","—",INDEX(Firms!$H$5:$H$1004,$O354)))</f>
        <v/>
      </c>
      <c r="I354" s="50">
        <f>IF($O354="","",IF(INDEX(Firms!$I$5:$I$1004,$O354)="","—",INDEX(Firms!$I$5:$I$1004,$O354)))</f>
        <v/>
      </c>
      <c r="J354" s="50">
        <f>IF($O354="","",IF(INDEX(Firms!$J$5:$J$1004,$O354)="","—",INDEX(Firms!$J$5:$J$1004,$O354)))</f>
        <v/>
      </c>
      <c r="K354" s="50">
        <f>IF($O354="","",IF(INDEX(Firms!$K$5:$K$1004,$O354)="","—",INDEX(Firms!$K$5:$K$1004,$O354)))</f>
        <v/>
      </c>
      <c r="L354" s="50">
        <f>IF($O354="","",IF(INDEX(Firms!$L$5:$L$1004,$O354)="","—",INDEX(Firms!$L$5:$L$1004,$O354)))</f>
        <v/>
      </c>
      <c r="M354" s="50">
        <f>IF($O354="","",IF(INDEX(Firms!$M$5:$M$1004,$O354)="","—",INDEX(Firms!$M$5:$M$1004,$O354)))</f>
        <v/>
      </c>
      <c r="O354">
        <f>IFERROR(MATCH(SMALL(Firms!$Y$5:$Y$1004,346),Firms!$W$5:$W$1004,0),"")</f>
        <v/>
      </c>
    </row>
    <row r="355">
      <c r="B355" s="78">
        <f>IF($O355="","",INDEX(Firms!$A$5:$A$1004,$O355))</f>
        <v/>
      </c>
      <c r="C355" s="79">
        <f>IF($O355="","",INDEX(Firms!$N$5:$N$1004,$O355)&amp;"")</f>
        <v/>
      </c>
      <c r="D355" s="79">
        <f>IF($O355="","",INDEX(Firms!$P$5:$P$1004,$O355)&amp;"")</f>
        <v/>
      </c>
      <c r="E355" s="79">
        <f>IF($O355="","",INDEX(Firms!$O$5:$O$1004,$O355)&amp;"")</f>
        <v/>
      </c>
      <c r="F355" s="50">
        <f>IF($O355="","",IF(INDEX(Firms!$F$5:$F$1004,$O355)="","—",INDEX(Firms!$F$5:$F$1004,$O355)))</f>
        <v/>
      </c>
      <c r="G355" s="50">
        <f>IF($O355="","",IF(INDEX(Firms!$G$5:$G$1004,$O355)="","—",INDEX(Firms!$G$5:$G$1004,$O355)))</f>
        <v/>
      </c>
      <c r="H355" s="50">
        <f>IF($O355="","",IF(INDEX(Firms!$H$5:$H$1004,$O355)="","—",INDEX(Firms!$H$5:$H$1004,$O355)))</f>
        <v/>
      </c>
      <c r="I355" s="50">
        <f>IF($O355="","",IF(INDEX(Firms!$I$5:$I$1004,$O355)="","—",INDEX(Firms!$I$5:$I$1004,$O355)))</f>
        <v/>
      </c>
      <c r="J355" s="50">
        <f>IF($O355="","",IF(INDEX(Firms!$J$5:$J$1004,$O355)="","—",INDEX(Firms!$J$5:$J$1004,$O355)))</f>
        <v/>
      </c>
      <c r="K355" s="50">
        <f>IF($O355="","",IF(INDEX(Firms!$K$5:$K$1004,$O355)="","—",INDEX(Firms!$K$5:$K$1004,$O355)))</f>
        <v/>
      </c>
      <c r="L355" s="50">
        <f>IF($O355="","",IF(INDEX(Firms!$L$5:$L$1004,$O355)="","—",INDEX(Firms!$L$5:$L$1004,$O355)))</f>
        <v/>
      </c>
      <c r="M355" s="50">
        <f>IF($O355="","",IF(INDEX(Firms!$M$5:$M$1004,$O355)="","—",INDEX(Firms!$M$5:$M$1004,$O355)))</f>
        <v/>
      </c>
      <c r="O355">
        <f>IFERROR(MATCH(SMALL(Firms!$Y$5:$Y$1004,347),Firms!$W$5:$W$1004,0),"")</f>
        <v/>
      </c>
    </row>
    <row r="356">
      <c r="B356" s="78">
        <f>IF($O356="","",INDEX(Firms!$A$5:$A$1004,$O356))</f>
        <v/>
      </c>
      <c r="C356" s="79">
        <f>IF($O356="","",INDEX(Firms!$N$5:$N$1004,$O356)&amp;"")</f>
        <v/>
      </c>
      <c r="D356" s="79">
        <f>IF($O356="","",INDEX(Firms!$P$5:$P$1004,$O356)&amp;"")</f>
        <v/>
      </c>
      <c r="E356" s="79">
        <f>IF($O356="","",INDEX(Firms!$O$5:$O$1004,$O356)&amp;"")</f>
        <v/>
      </c>
      <c r="F356" s="50">
        <f>IF($O356="","",IF(INDEX(Firms!$F$5:$F$1004,$O356)="","—",INDEX(Firms!$F$5:$F$1004,$O356)))</f>
        <v/>
      </c>
      <c r="G356" s="50">
        <f>IF($O356="","",IF(INDEX(Firms!$G$5:$G$1004,$O356)="","—",INDEX(Firms!$G$5:$G$1004,$O356)))</f>
        <v/>
      </c>
      <c r="H356" s="50">
        <f>IF($O356="","",IF(INDEX(Firms!$H$5:$H$1004,$O356)="","—",INDEX(Firms!$H$5:$H$1004,$O356)))</f>
        <v/>
      </c>
      <c r="I356" s="50">
        <f>IF($O356="","",IF(INDEX(Firms!$I$5:$I$1004,$O356)="","—",INDEX(Firms!$I$5:$I$1004,$O356)))</f>
        <v/>
      </c>
      <c r="J356" s="50">
        <f>IF($O356="","",IF(INDEX(Firms!$J$5:$J$1004,$O356)="","—",INDEX(Firms!$J$5:$J$1004,$O356)))</f>
        <v/>
      </c>
      <c r="K356" s="50">
        <f>IF($O356="","",IF(INDEX(Firms!$K$5:$K$1004,$O356)="","—",INDEX(Firms!$K$5:$K$1004,$O356)))</f>
        <v/>
      </c>
      <c r="L356" s="50">
        <f>IF($O356="","",IF(INDEX(Firms!$L$5:$L$1004,$O356)="","—",INDEX(Firms!$L$5:$L$1004,$O356)))</f>
        <v/>
      </c>
      <c r="M356" s="50">
        <f>IF($O356="","",IF(INDEX(Firms!$M$5:$M$1004,$O356)="","—",INDEX(Firms!$M$5:$M$1004,$O356)))</f>
        <v/>
      </c>
      <c r="O356">
        <f>IFERROR(MATCH(SMALL(Firms!$Y$5:$Y$1004,348),Firms!$W$5:$W$1004,0),"")</f>
        <v/>
      </c>
    </row>
    <row r="357">
      <c r="B357" s="78">
        <f>IF($O357="","",INDEX(Firms!$A$5:$A$1004,$O357))</f>
        <v/>
      </c>
      <c r="C357" s="79">
        <f>IF($O357="","",INDEX(Firms!$N$5:$N$1004,$O357)&amp;"")</f>
        <v/>
      </c>
      <c r="D357" s="79">
        <f>IF($O357="","",INDEX(Firms!$P$5:$P$1004,$O357)&amp;"")</f>
        <v/>
      </c>
      <c r="E357" s="79">
        <f>IF($O357="","",INDEX(Firms!$O$5:$O$1004,$O357)&amp;"")</f>
        <v/>
      </c>
      <c r="F357" s="50">
        <f>IF($O357="","",IF(INDEX(Firms!$F$5:$F$1004,$O357)="","—",INDEX(Firms!$F$5:$F$1004,$O357)))</f>
        <v/>
      </c>
      <c r="G357" s="50">
        <f>IF($O357="","",IF(INDEX(Firms!$G$5:$G$1004,$O357)="","—",INDEX(Firms!$G$5:$G$1004,$O357)))</f>
        <v/>
      </c>
      <c r="H357" s="50">
        <f>IF($O357="","",IF(INDEX(Firms!$H$5:$H$1004,$O357)="","—",INDEX(Firms!$H$5:$H$1004,$O357)))</f>
        <v/>
      </c>
      <c r="I357" s="50">
        <f>IF($O357="","",IF(INDEX(Firms!$I$5:$I$1004,$O357)="","—",INDEX(Firms!$I$5:$I$1004,$O357)))</f>
        <v/>
      </c>
      <c r="J357" s="50">
        <f>IF($O357="","",IF(INDEX(Firms!$J$5:$J$1004,$O357)="","—",INDEX(Firms!$J$5:$J$1004,$O357)))</f>
        <v/>
      </c>
      <c r="K357" s="50">
        <f>IF($O357="","",IF(INDEX(Firms!$K$5:$K$1004,$O357)="","—",INDEX(Firms!$K$5:$K$1004,$O357)))</f>
        <v/>
      </c>
      <c r="L357" s="50">
        <f>IF($O357="","",IF(INDEX(Firms!$L$5:$L$1004,$O357)="","—",INDEX(Firms!$L$5:$L$1004,$O357)))</f>
        <v/>
      </c>
      <c r="M357" s="50">
        <f>IF($O357="","",IF(INDEX(Firms!$M$5:$M$1004,$O357)="","—",INDEX(Firms!$M$5:$M$1004,$O357)))</f>
        <v/>
      </c>
      <c r="O357">
        <f>IFERROR(MATCH(SMALL(Firms!$Y$5:$Y$1004,349),Firms!$W$5:$W$1004,0),"")</f>
        <v/>
      </c>
    </row>
    <row r="358">
      <c r="B358" s="78">
        <f>IF($O358="","",INDEX(Firms!$A$5:$A$1004,$O358))</f>
        <v/>
      </c>
      <c r="C358" s="79">
        <f>IF($O358="","",INDEX(Firms!$N$5:$N$1004,$O358)&amp;"")</f>
        <v/>
      </c>
      <c r="D358" s="79">
        <f>IF($O358="","",INDEX(Firms!$P$5:$P$1004,$O358)&amp;"")</f>
        <v/>
      </c>
      <c r="E358" s="79">
        <f>IF($O358="","",INDEX(Firms!$O$5:$O$1004,$O358)&amp;"")</f>
        <v/>
      </c>
      <c r="F358" s="50">
        <f>IF($O358="","",IF(INDEX(Firms!$F$5:$F$1004,$O358)="","—",INDEX(Firms!$F$5:$F$1004,$O358)))</f>
        <v/>
      </c>
      <c r="G358" s="50">
        <f>IF($O358="","",IF(INDEX(Firms!$G$5:$G$1004,$O358)="","—",INDEX(Firms!$G$5:$G$1004,$O358)))</f>
        <v/>
      </c>
      <c r="H358" s="50">
        <f>IF($O358="","",IF(INDEX(Firms!$H$5:$H$1004,$O358)="","—",INDEX(Firms!$H$5:$H$1004,$O358)))</f>
        <v/>
      </c>
      <c r="I358" s="50">
        <f>IF($O358="","",IF(INDEX(Firms!$I$5:$I$1004,$O358)="","—",INDEX(Firms!$I$5:$I$1004,$O358)))</f>
        <v/>
      </c>
      <c r="J358" s="50">
        <f>IF($O358="","",IF(INDEX(Firms!$J$5:$J$1004,$O358)="","—",INDEX(Firms!$J$5:$J$1004,$O358)))</f>
        <v/>
      </c>
      <c r="K358" s="50">
        <f>IF($O358="","",IF(INDEX(Firms!$K$5:$K$1004,$O358)="","—",INDEX(Firms!$K$5:$K$1004,$O358)))</f>
        <v/>
      </c>
      <c r="L358" s="50">
        <f>IF($O358="","",IF(INDEX(Firms!$L$5:$L$1004,$O358)="","—",INDEX(Firms!$L$5:$L$1004,$O358)))</f>
        <v/>
      </c>
      <c r="M358" s="50">
        <f>IF($O358="","",IF(INDEX(Firms!$M$5:$M$1004,$O358)="","—",INDEX(Firms!$M$5:$M$1004,$O358)))</f>
        <v/>
      </c>
      <c r="O358">
        <f>IFERROR(MATCH(SMALL(Firms!$Y$5:$Y$1004,350),Firms!$W$5:$W$1004,0),"")</f>
        <v/>
      </c>
    </row>
    <row r="359">
      <c r="B359" s="78">
        <f>IF($O359="","",INDEX(Firms!$A$5:$A$1004,$O359))</f>
        <v/>
      </c>
      <c r="C359" s="79">
        <f>IF($O359="","",INDEX(Firms!$N$5:$N$1004,$O359)&amp;"")</f>
        <v/>
      </c>
      <c r="D359" s="79">
        <f>IF($O359="","",INDEX(Firms!$P$5:$P$1004,$O359)&amp;"")</f>
        <v/>
      </c>
      <c r="E359" s="79">
        <f>IF($O359="","",INDEX(Firms!$O$5:$O$1004,$O359)&amp;"")</f>
        <v/>
      </c>
      <c r="F359" s="50">
        <f>IF($O359="","",IF(INDEX(Firms!$F$5:$F$1004,$O359)="","—",INDEX(Firms!$F$5:$F$1004,$O359)))</f>
        <v/>
      </c>
      <c r="G359" s="50">
        <f>IF($O359="","",IF(INDEX(Firms!$G$5:$G$1004,$O359)="","—",INDEX(Firms!$G$5:$G$1004,$O359)))</f>
        <v/>
      </c>
      <c r="H359" s="50">
        <f>IF($O359="","",IF(INDEX(Firms!$H$5:$H$1004,$O359)="","—",INDEX(Firms!$H$5:$H$1004,$O359)))</f>
        <v/>
      </c>
      <c r="I359" s="50">
        <f>IF($O359="","",IF(INDEX(Firms!$I$5:$I$1004,$O359)="","—",INDEX(Firms!$I$5:$I$1004,$O359)))</f>
        <v/>
      </c>
      <c r="J359" s="50">
        <f>IF($O359="","",IF(INDEX(Firms!$J$5:$J$1004,$O359)="","—",INDEX(Firms!$J$5:$J$1004,$O359)))</f>
        <v/>
      </c>
      <c r="K359" s="50">
        <f>IF($O359="","",IF(INDEX(Firms!$K$5:$K$1004,$O359)="","—",INDEX(Firms!$K$5:$K$1004,$O359)))</f>
        <v/>
      </c>
      <c r="L359" s="50">
        <f>IF($O359="","",IF(INDEX(Firms!$L$5:$L$1004,$O359)="","—",INDEX(Firms!$L$5:$L$1004,$O359)))</f>
        <v/>
      </c>
      <c r="M359" s="50">
        <f>IF($O359="","",IF(INDEX(Firms!$M$5:$M$1004,$O359)="","—",INDEX(Firms!$M$5:$M$1004,$O359)))</f>
        <v/>
      </c>
      <c r="O359">
        <f>IFERROR(MATCH(SMALL(Firms!$Y$5:$Y$1004,351),Firms!$W$5:$W$1004,0),"")</f>
        <v/>
      </c>
    </row>
    <row r="360">
      <c r="B360" s="78">
        <f>IF($O360="","",INDEX(Firms!$A$5:$A$1004,$O360))</f>
        <v/>
      </c>
      <c r="C360" s="79">
        <f>IF($O360="","",INDEX(Firms!$N$5:$N$1004,$O360)&amp;"")</f>
        <v/>
      </c>
      <c r="D360" s="79">
        <f>IF($O360="","",INDEX(Firms!$P$5:$P$1004,$O360)&amp;"")</f>
        <v/>
      </c>
      <c r="E360" s="79">
        <f>IF($O360="","",INDEX(Firms!$O$5:$O$1004,$O360)&amp;"")</f>
        <v/>
      </c>
      <c r="F360" s="50">
        <f>IF($O360="","",IF(INDEX(Firms!$F$5:$F$1004,$O360)="","—",INDEX(Firms!$F$5:$F$1004,$O360)))</f>
        <v/>
      </c>
      <c r="G360" s="50">
        <f>IF($O360="","",IF(INDEX(Firms!$G$5:$G$1004,$O360)="","—",INDEX(Firms!$G$5:$G$1004,$O360)))</f>
        <v/>
      </c>
      <c r="H360" s="50">
        <f>IF($O360="","",IF(INDEX(Firms!$H$5:$H$1004,$O360)="","—",INDEX(Firms!$H$5:$H$1004,$O360)))</f>
        <v/>
      </c>
      <c r="I360" s="50">
        <f>IF($O360="","",IF(INDEX(Firms!$I$5:$I$1004,$O360)="","—",INDEX(Firms!$I$5:$I$1004,$O360)))</f>
        <v/>
      </c>
      <c r="J360" s="50">
        <f>IF($O360="","",IF(INDEX(Firms!$J$5:$J$1004,$O360)="","—",INDEX(Firms!$J$5:$J$1004,$O360)))</f>
        <v/>
      </c>
      <c r="K360" s="50">
        <f>IF($O360="","",IF(INDEX(Firms!$K$5:$K$1004,$O360)="","—",INDEX(Firms!$K$5:$K$1004,$O360)))</f>
        <v/>
      </c>
      <c r="L360" s="50">
        <f>IF($O360="","",IF(INDEX(Firms!$L$5:$L$1004,$O360)="","—",INDEX(Firms!$L$5:$L$1004,$O360)))</f>
        <v/>
      </c>
      <c r="M360" s="50">
        <f>IF($O360="","",IF(INDEX(Firms!$M$5:$M$1004,$O360)="","—",INDEX(Firms!$M$5:$M$1004,$O360)))</f>
        <v/>
      </c>
      <c r="O360">
        <f>IFERROR(MATCH(SMALL(Firms!$Y$5:$Y$1004,352),Firms!$W$5:$W$1004,0),"")</f>
        <v/>
      </c>
    </row>
    <row r="361">
      <c r="B361" s="78">
        <f>IF($O361="","",INDEX(Firms!$A$5:$A$1004,$O361))</f>
        <v/>
      </c>
      <c r="C361" s="79">
        <f>IF($O361="","",INDEX(Firms!$N$5:$N$1004,$O361)&amp;"")</f>
        <v/>
      </c>
      <c r="D361" s="79">
        <f>IF($O361="","",INDEX(Firms!$P$5:$P$1004,$O361)&amp;"")</f>
        <v/>
      </c>
      <c r="E361" s="79">
        <f>IF($O361="","",INDEX(Firms!$O$5:$O$1004,$O361)&amp;"")</f>
        <v/>
      </c>
      <c r="F361" s="50">
        <f>IF($O361="","",IF(INDEX(Firms!$F$5:$F$1004,$O361)="","—",INDEX(Firms!$F$5:$F$1004,$O361)))</f>
        <v/>
      </c>
      <c r="G361" s="50">
        <f>IF($O361="","",IF(INDEX(Firms!$G$5:$G$1004,$O361)="","—",INDEX(Firms!$G$5:$G$1004,$O361)))</f>
        <v/>
      </c>
      <c r="H361" s="50">
        <f>IF($O361="","",IF(INDEX(Firms!$H$5:$H$1004,$O361)="","—",INDEX(Firms!$H$5:$H$1004,$O361)))</f>
        <v/>
      </c>
      <c r="I361" s="50">
        <f>IF($O361="","",IF(INDEX(Firms!$I$5:$I$1004,$O361)="","—",INDEX(Firms!$I$5:$I$1004,$O361)))</f>
        <v/>
      </c>
      <c r="J361" s="50">
        <f>IF($O361="","",IF(INDEX(Firms!$J$5:$J$1004,$O361)="","—",INDEX(Firms!$J$5:$J$1004,$O361)))</f>
        <v/>
      </c>
      <c r="K361" s="50">
        <f>IF($O361="","",IF(INDEX(Firms!$K$5:$K$1004,$O361)="","—",INDEX(Firms!$K$5:$K$1004,$O361)))</f>
        <v/>
      </c>
      <c r="L361" s="50">
        <f>IF($O361="","",IF(INDEX(Firms!$L$5:$L$1004,$O361)="","—",INDEX(Firms!$L$5:$L$1004,$O361)))</f>
        <v/>
      </c>
      <c r="M361" s="50">
        <f>IF($O361="","",IF(INDEX(Firms!$M$5:$M$1004,$O361)="","—",INDEX(Firms!$M$5:$M$1004,$O361)))</f>
        <v/>
      </c>
      <c r="O361">
        <f>IFERROR(MATCH(SMALL(Firms!$Y$5:$Y$1004,353),Firms!$W$5:$W$1004,0),"")</f>
        <v/>
      </c>
    </row>
    <row r="362">
      <c r="B362" s="78">
        <f>IF($O362="","",INDEX(Firms!$A$5:$A$1004,$O362))</f>
        <v/>
      </c>
      <c r="C362" s="79">
        <f>IF($O362="","",INDEX(Firms!$N$5:$N$1004,$O362)&amp;"")</f>
        <v/>
      </c>
      <c r="D362" s="79">
        <f>IF($O362="","",INDEX(Firms!$P$5:$P$1004,$O362)&amp;"")</f>
        <v/>
      </c>
      <c r="E362" s="79">
        <f>IF($O362="","",INDEX(Firms!$O$5:$O$1004,$O362)&amp;"")</f>
        <v/>
      </c>
      <c r="F362" s="50">
        <f>IF($O362="","",IF(INDEX(Firms!$F$5:$F$1004,$O362)="","—",INDEX(Firms!$F$5:$F$1004,$O362)))</f>
        <v/>
      </c>
      <c r="G362" s="50">
        <f>IF($O362="","",IF(INDEX(Firms!$G$5:$G$1004,$O362)="","—",INDEX(Firms!$G$5:$G$1004,$O362)))</f>
        <v/>
      </c>
      <c r="H362" s="50">
        <f>IF($O362="","",IF(INDEX(Firms!$H$5:$H$1004,$O362)="","—",INDEX(Firms!$H$5:$H$1004,$O362)))</f>
        <v/>
      </c>
      <c r="I362" s="50">
        <f>IF($O362="","",IF(INDEX(Firms!$I$5:$I$1004,$O362)="","—",INDEX(Firms!$I$5:$I$1004,$O362)))</f>
        <v/>
      </c>
      <c r="J362" s="50">
        <f>IF($O362="","",IF(INDEX(Firms!$J$5:$J$1004,$O362)="","—",INDEX(Firms!$J$5:$J$1004,$O362)))</f>
        <v/>
      </c>
      <c r="K362" s="50">
        <f>IF($O362="","",IF(INDEX(Firms!$K$5:$K$1004,$O362)="","—",INDEX(Firms!$K$5:$K$1004,$O362)))</f>
        <v/>
      </c>
      <c r="L362" s="50">
        <f>IF($O362="","",IF(INDEX(Firms!$L$5:$L$1004,$O362)="","—",INDEX(Firms!$L$5:$L$1004,$O362)))</f>
        <v/>
      </c>
      <c r="M362" s="50">
        <f>IF($O362="","",IF(INDEX(Firms!$M$5:$M$1004,$O362)="","—",INDEX(Firms!$M$5:$M$1004,$O362)))</f>
        <v/>
      </c>
      <c r="O362">
        <f>IFERROR(MATCH(SMALL(Firms!$Y$5:$Y$1004,354),Firms!$W$5:$W$1004,0),"")</f>
        <v/>
      </c>
    </row>
    <row r="363">
      <c r="B363" s="78">
        <f>IF($O363="","",INDEX(Firms!$A$5:$A$1004,$O363))</f>
        <v/>
      </c>
      <c r="C363" s="79">
        <f>IF($O363="","",INDEX(Firms!$N$5:$N$1004,$O363)&amp;"")</f>
        <v/>
      </c>
      <c r="D363" s="79">
        <f>IF($O363="","",INDEX(Firms!$P$5:$P$1004,$O363)&amp;"")</f>
        <v/>
      </c>
      <c r="E363" s="79">
        <f>IF($O363="","",INDEX(Firms!$O$5:$O$1004,$O363)&amp;"")</f>
        <v/>
      </c>
      <c r="F363" s="50">
        <f>IF($O363="","",IF(INDEX(Firms!$F$5:$F$1004,$O363)="","—",INDEX(Firms!$F$5:$F$1004,$O363)))</f>
        <v/>
      </c>
      <c r="G363" s="50">
        <f>IF($O363="","",IF(INDEX(Firms!$G$5:$G$1004,$O363)="","—",INDEX(Firms!$G$5:$G$1004,$O363)))</f>
        <v/>
      </c>
      <c r="H363" s="50">
        <f>IF($O363="","",IF(INDEX(Firms!$H$5:$H$1004,$O363)="","—",INDEX(Firms!$H$5:$H$1004,$O363)))</f>
        <v/>
      </c>
      <c r="I363" s="50">
        <f>IF($O363="","",IF(INDEX(Firms!$I$5:$I$1004,$O363)="","—",INDEX(Firms!$I$5:$I$1004,$O363)))</f>
        <v/>
      </c>
      <c r="J363" s="50">
        <f>IF($O363="","",IF(INDEX(Firms!$J$5:$J$1004,$O363)="","—",INDEX(Firms!$J$5:$J$1004,$O363)))</f>
        <v/>
      </c>
      <c r="K363" s="50">
        <f>IF($O363="","",IF(INDEX(Firms!$K$5:$K$1004,$O363)="","—",INDEX(Firms!$K$5:$K$1004,$O363)))</f>
        <v/>
      </c>
      <c r="L363" s="50">
        <f>IF($O363="","",IF(INDEX(Firms!$L$5:$L$1004,$O363)="","—",INDEX(Firms!$L$5:$L$1004,$O363)))</f>
        <v/>
      </c>
      <c r="M363" s="50">
        <f>IF($O363="","",IF(INDEX(Firms!$M$5:$M$1004,$O363)="","—",INDEX(Firms!$M$5:$M$1004,$O363)))</f>
        <v/>
      </c>
      <c r="O363">
        <f>IFERROR(MATCH(SMALL(Firms!$Y$5:$Y$1004,355),Firms!$W$5:$W$1004,0),"")</f>
        <v/>
      </c>
    </row>
    <row r="364">
      <c r="B364" s="78">
        <f>IF($O364="","",INDEX(Firms!$A$5:$A$1004,$O364))</f>
        <v/>
      </c>
      <c r="C364" s="79">
        <f>IF($O364="","",INDEX(Firms!$N$5:$N$1004,$O364)&amp;"")</f>
        <v/>
      </c>
      <c r="D364" s="79">
        <f>IF($O364="","",INDEX(Firms!$P$5:$P$1004,$O364)&amp;"")</f>
        <v/>
      </c>
      <c r="E364" s="79">
        <f>IF($O364="","",INDEX(Firms!$O$5:$O$1004,$O364)&amp;"")</f>
        <v/>
      </c>
      <c r="F364" s="50">
        <f>IF($O364="","",IF(INDEX(Firms!$F$5:$F$1004,$O364)="","—",INDEX(Firms!$F$5:$F$1004,$O364)))</f>
        <v/>
      </c>
      <c r="G364" s="50">
        <f>IF($O364="","",IF(INDEX(Firms!$G$5:$G$1004,$O364)="","—",INDEX(Firms!$G$5:$G$1004,$O364)))</f>
        <v/>
      </c>
      <c r="H364" s="50">
        <f>IF($O364="","",IF(INDEX(Firms!$H$5:$H$1004,$O364)="","—",INDEX(Firms!$H$5:$H$1004,$O364)))</f>
        <v/>
      </c>
      <c r="I364" s="50">
        <f>IF($O364="","",IF(INDEX(Firms!$I$5:$I$1004,$O364)="","—",INDEX(Firms!$I$5:$I$1004,$O364)))</f>
        <v/>
      </c>
      <c r="J364" s="50">
        <f>IF($O364="","",IF(INDEX(Firms!$J$5:$J$1004,$O364)="","—",INDEX(Firms!$J$5:$J$1004,$O364)))</f>
        <v/>
      </c>
      <c r="K364" s="50">
        <f>IF($O364="","",IF(INDEX(Firms!$K$5:$K$1004,$O364)="","—",INDEX(Firms!$K$5:$K$1004,$O364)))</f>
        <v/>
      </c>
      <c r="L364" s="50">
        <f>IF($O364="","",IF(INDEX(Firms!$L$5:$L$1004,$O364)="","—",INDEX(Firms!$L$5:$L$1004,$O364)))</f>
        <v/>
      </c>
      <c r="M364" s="50">
        <f>IF($O364="","",IF(INDEX(Firms!$M$5:$M$1004,$O364)="","—",INDEX(Firms!$M$5:$M$1004,$O364)))</f>
        <v/>
      </c>
      <c r="O364">
        <f>IFERROR(MATCH(SMALL(Firms!$Y$5:$Y$1004,356),Firms!$W$5:$W$1004,0),"")</f>
        <v/>
      </c>
    </row>
    <row r="365">
      <c r="B365" s="78">
        <f>IF($O365="","",INDEX(Firms!$A$5:$A$1004,$O365))</f>
        <v/>
      </c>
      <c r="C365" s="79">
        <f>IF($O365="","",INDEX(Firms!$N$5:$N$1004,$O365)&amp;"")</f>
        <v/>
      </c>
      <c r="D365" s="79">
        <f>IF($O365="","",INDEX(Firms!$P$5:$P$1004,$O365)&amp;"")</f>
        <v/>
      </c>
      <c r="E365" s="79">
        <f>IF($O365="","",INDEX(Firms!$O$5:$O$1004,$O365)&amp;"")</f>
        <v/>
      </c>
      <c r="F365" s="50">
        <f>IF($O365="","",IF(INDEX(Firms!$F$5:$F$1004,$O365)="","—",INDEX(Firms!$F$5:$F$1004,$O365)))</f>
        <v/>
      </c>
      <c r="G365" s="50">
        <f>IF($O365="","",IF(INDEX(Firms!$G$5:$G$1004,$O365)="","—",INDEX(Firms!$G$5:$G$1004,$O365)))</f>
        <v/>
      </c>
      <c r="H365" s="50">
        <f>IF($O365="","",IF(INDEX(Firms!$H$5:$H$1004,$O365)="","—",INDEX(Firms!$H$5:$H$1004,$O365)))</f>
        <v/>
      </c>
      <c r="I365" s="50">
        <f>IF($O365="","",IF(INDEX(Firms!$I$5:$I$1004,$O365)="","—",INDEX(Firms!$I$5:$I$1004,$O365)))</f>
        <v/>
      </c>
      <c r="J365" s="50">
        <f>IF($O365="","",IF(INDEX(Firms!$J$5:$J$1004,$O365)="","—",INDEX(Firms!$J$5:$J$1004,$O365)))</f>
        <v/>
      </c>
      <c r="K365" s="50">
        <f>IF($O365="","",IF(INDEX(Firms!$K$5:$K$1004,$O365)="","—",INDEX(Firms!$K$5:$K$1004,$O365)))</f>
        <v/>
      </c>
      <c r="L365" s="50">
        <f>IF($O365="","",IF(INDEX(Firms!$L$5:$L$1004,$O365)="","—",INDEX(Firms!$L$5:$L$1004,$O365)))</f>
        <v/>
      </c>
      <c r="M365" s="50">
        <f>IF($O365="","",IF(INDEX(Firms!$M$5:$M$1004,$O365)="","—",INDEX(Firms!$M$5:$M$1004,$O365)))</f>
        <v/>
      </c>
      <c r="O365">
        <f>IFERROR(MATCH(SMALL(Firms!$Y$5:$Y$1004,357),Firms!$W$5:$W$1004,0),"")</f>
        <v/>
      </c>
    </row>
    <row r="366">
      <c r="B366" s="78">
        <f>IF($O366="","",INDEX(Firms!$A$5:$A$1004,$O366))</f>
        <v/>
      </c>
      <c r="C366" s="79">
        <f>IF($O366="","",INDEX(Firms!$N$5:$N$1004,$O366)&amp;"")</f>
        <v/>
      </c>
      <c r="D366" s="79">
        <f>IF($O366="","",INDEX(Firms!$P$5:$P$1004,$O366)&amp;"")</f>
        <v/>
      </c>
      <c r="E366" s="79">
        <f>IF($O366="","",INDEX(Firms!$O$5:$O$1004,$O366)&amp;"")</f>
        <v/>
      </c>
      <c r="F366" s="50">
        <f>IF($O366="","",IF(INDEX(Firms!$F$5:$F$1004,$O366)="","—",INDEX(Firms!$F$5:$F$1004,$O366)))</f>
        <v/>
      </c>
      <c r="G366" s="50">
        <f>IF($O366="","",IF(INDEX(Firms!$G$5:$G$1004,$O366)="","—",INDEX(Firms!$G$5:$G$1004,$O366)))</f>
        <v/>
      </c>
      <c r="H366" s="50">
        <f>IF($O366="","",IF(INDEX(Firms!$H$5:$H$1004,$O366)="","—",INDEX(Firms!$H$5:$H$1004,$O366)))</f>
        <v/>
      </c>
      <c r="I366" s="50">
        <f>IF($O366="","",IF(INDEX(Firms!$I$5:$I$1004,$O366)="","—",INDEX(Firms!$I$5:$I$1004,$O366)))</f>
        <v/>
      </c>
      <c r="J366" s="50">
        <f>IF($O366="","",IF(INDEX(Firms!$J$5:$J$1004,$O366)="","—",INDEX(Firms!$J$5:$J$1004,$O366)))</f>
        <v/>
      </c>
      <c r="K366" s="50">
        <f>IF($O366="","",IF(INDEX(Firms!$K$5:$K$1004,$O366)="","—",INDEX(Firms!$K$5:$K$1004,$O366)))</f>
        <v/>
      </c>
      <c r="L366" s="50">
        <f>IF($O366="","",IF(INDEX(Firms!$L$5:$L$1004,$O366)="","—",INDEX(Firms!$L$5:$L$1004,$O366)))</f>
        <v/>
      </c>
      <c r="M366" s="50">
        <f>IF($O366="","",IF(INDEX(Firms!$M$5:$M$1004,$O366)="","—",INDEX(Firms!$M$5:$M$1004,$O366)))</f>
        <v/>
      </c>
      <c r="O366">
        <f>IFERROR(MATCH(SMALL(Firms!$Y$5:$Y$1004,358),Firms!$W$5:$W$1004,0),"")</f>
        <v/>
      </c>
    </row>
    <row r="367">
      <c r="B367" s="78">
        <f>IF($O367="","",INDEX(Firms!$A$5:$A$1004,$O367))</f>
        <v/>
      </c>
      <c r="C367" s="79">
        <f>IF($O367="","",INDEX(Firms!$N$5:$N$1004,$O367)&amp;"")</f>
        <v/>
      </c>
      <c r="D367" s="79">
        <f>IF($O367="","",INDEX(Firms!$P$5:$P$1004,$O367)&amp;"")</f>
        <v/>
      </c>
      <c r="E367" s="79">
        <f>IF($O367="","",INDEX(Firms!$O$5:$O$1004,$O367)&amp;"")</f>
        <v/>
      </c>
      <c r="F367" s="50">
        <f>IF($O367="","",IF(INDEX(Firms!$F$5:$F$1004,$O367)="","—",INDEX(Firms!$F$5:$F$1004,$O367)))</f>
        <v/>
      </c>
      <c r="G367" s="50">
        <f>IF($O367="","",IF(INDEX(Firms!$G$5:$G$1004,$O367)="","—",INDEX(Firms!$G$5:$G$1004,$O367)))</f>
        <v/>
      </c>
      <c r="H367" s="50">
        <f>IF($O367="","",IF(INDEX(Firms!$H$5:$H$1004,$O367)="","—",INDEX(Firms!$H$5:$H$1004,$O367)))</f>
        <v/>
      </c>
      <c r="I367" s="50">
        <f>IF($O367="","",IF(INDEX(Firms!$I$5:$I$1004,$O367)="","—",INDEX(Firms!$I$5:$I$1004,$O367)))</f>
        <v/>
      </c>
      <c r="J367" s="50">
        <f>IF($O367="","",IF(INDEX(Firms!$J$5:$J$1004,$O367)="","—",INDEX(Firms!$J$5:$J$1004,$O367)))</f>
        <v/>
      </c>
      <c r="K367" s="50">
        <f>IF($O367="","",IF(INDEX(Firms!$K$5:$K$1004,$O367)="","—",INDEX(Firms!$K$5:$K$1004,$O367)))</f>
        <v/>
      </c>
      <c r="L367" s="50">
        <f>IF($O367="","",IF(INDEX(Firms!$L$5:$L$1004,$O367)="","—",INDEX(Firms!$L$5:$L$1004,$O367)))</f>
        <v/>
      </c>
      <c r="M367" s="50">
        <f>IF($O367="","",IF(INDEX(Firms!$M$5:$M$1004,$O367)="","—",INDEX(Firms!$M$5:$M$1004,$O367)))</f>
        <v/>
      </c>
      <c r="O367">
        <f>IFERROR(MATCH(SMALL(Firms!$Y$5:$Y$1004,359),Firms!$W$5:$W$1004,0),"")</f>
        <v/>
      </c>
    </row>
    <row r="368">
      <c r="B368" s="78">
        <f>IF($O368="","",INDEX(Firms!$A$5:$A$1004,$O368))</f>
        <v/>
      </c>
      <c r="C368" s="79">
        <f>IF($O368="","",INDEX(Firms!$N$5:$N$1004,$O368)&amp;"")</f>
        <v/>
      </c>
      <c r="D368" s="79">
        <f>IF($O368="","",INDEX(Firms!$P$5:$P$1004,$O368)&amp;"")</f>
        <v/>
      </c>
      <c r="E368" s="79">
        <f>IF($O368="","",INDEX(Firms!$O$5:$O$1004,$O368)&amp;"")</f>
        <v/>
      </c>
      <c r="F368" s="50">
        <f>IF($O368="","",IF(INDEX(Firms!$F$5:$F$1004,$O368)="","—",INDEX(Firms!$F$5:$F$1004,$O368)))</f>
        <v/>
      </c>
      <c r="G368" s="50">
        <f>IF($O368="","",IF(INDEX(Firms!$G$5:$G$1004,$O368)="","—",INDEX(Firms!$G$5:$G$1004,$O368)))</f>
        <v/>
      </c>
      <c r="H368" s="50">
        <f>IF($O368="","",IF(INDEX(Firms!$H$5:$H$1004,$O368)="","—",INDEX(Firms!$H$5:$H$1004,$O368)))</f>
        <v/>
      </c>
      <c r="I368" s="50">
        <f>IF($O368="","",IF(INDEX(Firms!$I$5:$I$1004,$O368)="","—",INDEX(Firms!$I$5:$I$1004,$O368)))</f>
        <v/>
      </c>
      <c r="J368" s="50">
        <f>IF($O368="","",IF(INDEX(Firms!$J$5:$J$1004,$O368)="","—",INDEX(Firms!$J$5:$J$1004,$O368)))</f>
        <v/>
      </c>
      <c r="K368" s="50">
        <f>IF($O368="","",IF(INDEX(Firms!$K$5:$K$1004,$O368)="","—",INDEX(Firms!$K$5:$K$1004,$O368)))</f>
        <v/>
      </c>
      <c r="L368" s="50">
        <f>IF($O368="","",IF(INDEX(Firms!$L$5:$L$1004,$O368)="","—",INDEX(Firms!$L$5:$L$1004,$O368)))</f>
        <v/>
      </c>
      <c r="M368" s="50">
        <f>IF($O368="","",IF(INDEX(Firms!$M$5:$M$1004,$O368)="","—",INDEX(Firms!$M$5:$M$1004,$O368)))</f>
        <v/>
      </c>
      <c r="O368">
        <f>IFERROR(MATCH(SMALL(Firms!$Y$5:$Y$1004,360),Firms!$W$5:$W$1004,0),"")</f>
        <v/>
      </c>
    </row>
    <row r="369">
      <c r="B369" s="78">
        <f>IF($O369="","",INDEX(Firms!$A$5:$A$1004,$O369))</f>
        <v/>
      </c>
      <c r="C369" s="79">
        <f>IF($O369="","",INDEX(Firms!$N$5:$N$1004,$O369)&amp;"")</f>
        <v/>
      </c>
      <c r="D369" s="79">
        <f>IF($O369="","",INDEX(Firms!$P$5:$P$1004,$O369)&amp;"")</f>
        <v/>
      </c>
      <c r="E369" s="79">
        <f>IF($O369="","",INDEX(Firms!$O$5:$O$1004,$O369)&amp;"")</f>
        <v/>
      </c>
      <c r="F369" s="50">
        <f>IF($O369="","",IF(INDEX(Firms!$F$5:$F$1004,$O369)="","—",INDEX(Firms!$F$5:$F$1004,$O369)))</f>
        <v/>
      </c>
      <c r="G369" s="50">
        <f>IF($O369="","",IF(INDEX(Firms!$G$5:$G$1004,$O369)="","—",INDEX(Firms!$G$5:$G$1004,$O369)))</f>
        <v/>
      </c>
      <c r="H369" s="50">
        <f>IF($O369="","",IF(INDEX(Firms!$H$5:$H$1004,$O369)="","—",INDEX(Firms!$H$5:$H$1004,$O369)))</f>
        <v/>
      </c>
      <c r="I369" s="50">
        <f>IF($O369="","",IF(INDEX(Firms!$I$5:$I$1004,$O369)="","—",INDEX(Firms!$I$5:$I$1004,$O369)))</f>
        <v/>
      </c>
      <c r="J369" s="50">
        <f>IF($O369="","",IF(INDEX(Firms!$J$5:$J$1004,$O369)="","—",INDEX(Firms!$J$5:$J$1004,$O369)))</f>
        <v/>
      </c>
      <c r="K369" s="50">
        <f>IF($O369="","",IF(INDEX(Firms!$K$5:$K$1004,$O369)="","—",INDEX(Firms!$K$5:$K$1004,$O369)))</f>
        <v/>
      </c>
      <c r="L369" s="50">
        <f>IF($O369="","",IF(INDEX(Firms!$L$5:$L$1004,$O369)="","—",INDEX(Firms!$L$5:$L$1004,$O369)))</f>
        <v/>
      </c>
      <c r="M369" s="50">
        <f>IF($O369="","",IF(INDEX(Firms!$M$5:$M$1004,$O369)="","—",INDEX(Firms!$M$5:$M$1004,$O369)))</f>
        <v/>
      </c>
      <c r="O369">
        <f>IFERROR(MATCH(SMALL(Firms!$Y$5:$Y$1004,361),Firms!$W$5:$W$1004,0),"")</f>
        <v/>
      </c>
    </row>
    <row r="370">
      <c r="B370" s="78">
        <f>IF($O370="","",INDEX(Firms!$A$5:$A$1004,$O370))</f>
        <v/>
      </c>
      <c r="C370" s="79">
        <f>IF($O370="","",INDEX(Firms!$N$5:$N$1004,$O370)&amp;"")</f>
        <v/>
      </c>
      <c r="D370" s="79">
        <f>IF($O370="","",INDEX(Firms!$P$5:$P$1004,$O370)&amp;"")</f>
        <v/>
      </c>
      <c r="E370" s="79">
        <f>IF($O370="","",INDEX(Firms!$O$5:$O$1004,$O370)&amp;"")</f>
        <v/>
      </c>
      <c r="F370" s="50">
        <f>IF($O370="","",IF(INDEX(Firms!$F$5:$F$1004,$O370)="","—",INDEX(Firms!$F$5:$F$1004,$O370)))</f>
        <v/>
      </c>
      <c r="G370" s="50">
        <f>IF($O370="","",IF(INDEX(Firms!$G$5:$G$1004,$O370)="","—",INDEX(Firms!$G$5:$G$1004,$O370)))</f>
        <v/>
      </c>
      <c r="H370" s="50">
        <f>IF($O370="","",IF(INDEX(Firms!$H$5:$H$1004,$O370)="","—",INDEX(Firms!$H$5:$H$1004,$O370)))</f>
        <v/>
      </c>
      <c r="I370" s="50">
        <f>IF($O370="","",IF(INDEX(Firms!$I$5:$I$1004,$O370)="","—",INDEX(Firms!$I$5:$I$1004,$O370)))</f>
        <v/>
      </c>
      <c r="J370" s="50">
        <f>IF($O370="","",IF(INDEX(Firms!$J$5:$J$1004,$O370)="","—",INDEX(Firms!$J$5:$J$1004,$O370)))</f>
        <v/>
      </c>
      <c r="K370" s="50">
        <f>IF($O370="","",IF(INDEX(Firms!$K$5:$K$1004,$O370)="","—",INDEX(Firms!$K$5:$K$1004,$O370)))</f>
        <v/>
      </c>
      <c r="L370" s="50">
        <f>IF($O370="","",IF(INDEX(Firms!$L$5:$L$1004,$O370)="","—",INDEX(Firms!$L$5:$L$1004,$O370)))</f>
        <v/>
      </c>
      <c r="M370" s="50">
        <f>IF($O370="","",IF(INDEX(Firms!$M$5:$M$1004,$O370)="","—",INDEX(Firms!$M$5:$M$1004,$O370)))</f>
        <v/>
      </c>
      <c r="O370">
        <f>IFERROR(MATCH(SMALL(Firms!$Y$5:$Y$1004,362),Firms!$W$5:$W$1004,0),"")</f>
        <v/>
      </c>
    </row>
    <row r="371">
      <c r="B371" s="78">
        <f>IF($O371="","",INDEX(Firms!$A$5:$A$1004,$O371))</f>
        <v/>
      </c>
      <c r="C371" s="79">
        <f>IF($O371="","",INDEX(Firms!$N$5:$N$1004,$O371)&amp;"")</f>
        <v/>
      </c>
      <c r="D371" s="79">
        <f>IF($O371="","",INDEX(Firms!$P$5:$P$1004,$O371)&amp;"")</f>
        <v/>
      </c>
      <c r="E371" s="79">
        <f>IF($O371="","",INDEX(Firms!$O$5:$O$1004,$O371)&amp;"")</f>
        <v/>
      </c>
      <c r="F371" s="50">
        <f>IF($O371="","",IF(INDEX(Firms!$F$5:$F$1004,$O371)="","—",INDEX(Firms!$F$5:$F$1004,$O371)))</f>
        <v/>
      </c>
      <c r="G371" s="50">
        <f>IF($O371="","",IF(INDEX(Firms!$G$5:$G$1004,$O371)="","—",INDEX(Firms!$G$5:$G$1004,$O371)))</f>
        <v/>
      </c>
      <c r="H371" s="50">
        <f>IF($O371="","",IF(INDEX(Firms!$H$5:$H$1004,$O371)="","—",INDEX(Firms!$H$5:$H$1004,$O371)))</f>
        <v/>
      </c>
      <c r="I371" s="50">
        <f>IF($O371="","",IF(INDEX(Firms!$I$5:$I$1004,$O371)="","—",INDEX(Firms!$I$5:$I$1004,$O371)))</f>
        <v/>
      </c>
      <c r="J371" s="50">
        <f>IF($O371="","",IF(INDEX(Firms!$J$5:$J$1004,$O371)="","—",INDEX(Firms!$J$5:$J$1004,$O371)))</f>
        <v/>
      </c>
      <c r="K371" s="50">
        <f>IF($O371="","",IF(INDEX(Firms!$K$5:$K$1004,$O371)="","—",INDEX(Firms!$K$5:$K$1004,$O371)))</f>
        <v/>
      </c>
      <c r="L371" s="50">
        <f>IF($O371="","",IF(INDEX(Firms!$L$5:$L$1004,$O371)="","—",INDEX(Firms!$L$5:$L$1004,$O371)))</f>
        <v/>
      </c>
      <c r="M371" s="50">
        <f>IF($O371="","",IF(INDEX(Firms!$M$5:$M$1004,$O371)="","—",INDEX(Firms!$M$5:$M$1004,$O371)))</f>
        <v/>
      </c>
      <c r="O371">
        <f>IFERROR(MATCH(SMALL(Firms!$Y$5:$Y$1004,363),Firms!$W$5:$W$1004,0),"")</f>
        <v/>
      </c>
    </row>
    <row r="372">
      <c r="B372" s="78">
        <f>IF($O372="","",INDEX(Firms!$A$5:$A$1004,$O372))</f>
        <v/>
      </c>
      <c r="C372" s="79">
        <f>IF($O372="","",INDEX(Firms!$N$5:$N$1004,$O372)&amp;"")</f>
        <v/>
      </c>
      <c r="D372" s="79">
        <f>IF($O372="","",INDEX(Firms!$P$5:$P$1004,$O372)&amp;"")</f>
        <v/>
      </c>
      <c r="E372" s="79">
        <f>IF($O372="","",INDEX(Firms!$O$5:$O$1004,$O372)&amp;"")</f>
        <v/>
      </c>
      <c r="F372" s="50">
        <f>IF($O372="","",IF(INDEX(Firms!$F$5:$F$1004,$O372)="","—",INDEX(Firms!$F$5:$F$1004,$O372)))</f>
        <v/>
      </c>
      <c r="G372" s="50">
        <f>IF($O372="","",IF(INDEX(Firms!$G$5:$G$1004,$O372)="","—",INDEX(Firms!$G$5:$G$1004,$O372)))</f>
        <v/>
      </c>
      <c r="H372" s="50">
        <f>IF($O372="","",IF(INDEX(Firms!$H$5:$H$1004,$O372)="","—",INDEX(Firms!$H$5:$H$1004,$O372)))</f>
        <v/>
      </c>
      <c r="I372" s="50">
        <f>IF($O372="","",IF(INDEX(Firms!$I$5:$I$1004,$O372)="","—",INDEX(Firms!$I$5:$I$1004,$O372)))</f>
        <v/>
      </c>
      <c r="J372" s="50">
        <f>IF($O372="","",IF(INDEX(Firms!$J$5:$J$1004,$O372)="","—",INDEX(Firms!$J$5:$J$1004,$O372)))</f>
        <v/>
      </c>
      <c r="K372" s="50">
        <f>IF($O372="","",IF(INDEX(Firms!$K$5:$K$1004,$O372)="","—",INDEX(Firms!$K$5:$K$1004,$O372)))</f>
        <v/>
      </c>
      <c r="L372" s="50">
        <f>IF($O372="","",IF(INDEX(Firms!$L$5:$L$1004,$O372)="","—",INDEX(Firms!$L$5:$L$1004,$O372)))</f>
        <v/>
      </c>
      <c r="M372" s="50">
        <f>IF($O372="","",IF(INDEX(Firms!$M$5:$M$1004,$O372)="","—",INDEX(Firms!$M$5:$M$1004,$O372)))</f>
        <v/>
      </c>
      <c r="O372">
        <f>IFERROR(MATCH(SMALL(Firms!$Y$5:$Y$1004,364),Firms!$W$5:$W$1004,0),"")</f>
        <v/>
      </c>
    </row>
    <row r="373">
      <c r="B373" s="78">
        <f>IF($O373="","",INDEX(Firms!$A$5:$A$1004,$O373))</f>
        <v/>
      </c>
      <c r="C373" s="79">
        <f>IF($O373="","",INDEX(Firms!$N$5:$N$1004,$O373)&amp;"")</f>
        <v/>
      </c>
      <c r="D373" s="79">
        <f>IF($O373="","",INDEX(Firms!$P$5:$P$1004,$O373)&amp;"")</f>
        <v/>
      </c>
      <c r="E373" s="79">
        <f>IF($O373="","",INDEX(Firms!$O$5:$O$1004,$O373)&amp;"")</f>
        <v/>
      </c>
      <c r="F373" s="50">
        <f>IF($O373="","",IF(INDEX(Firms!$F$5:$F$1004,$O373)="","—",INDEX(Firms!$F$5:$F$1004,$O373)))</f>
        <v/>
      </c>
      <c r="G373" s="50">
        <f>IF($O373="","",IF(INDEX(Firms!$G$5:$G$1004,$O373)="","—",INDEX(Firms!$G$5:$G$1004,$O373)))</f>
        <v/>
      </c>
      <c r="H373" s="50">
        <f>IF($O373="","",IF(INDEX(Firms!$H$5:$H$1004,$O373)="","—",INDEX(Firms!$H$5:$H$1004,$O373)))</f>
        <v/>
      </c>
      <c r="I373" s="50">
        <f>IF($O373="","",IF(INDEX(Firms!$I$5:$I$1004,$O373)="","—",INDEX(Firms!$I$5:$I$1004,$O373)))</f>
        <v/>
      </c>
      <c r="J373" s="50">
        <f>IF($O373="","",IF(INDEX(Firms!$J$5:$J$1004,$O373)="","—",INDEX(Firms!$J$5:$J$1004,$O373)))</f>
        <v/>
      </c>
      <c r="K373" s="50">
        <f>IF($O373="","",IF(INDEX(Firms!$K$5:$K$1004,$O373)="","—",INDEX(Firms!$K$5:$K$1004,$O373)))</f>
        <v/>
      </c>
      <c r="L373" s="50">
        <f>IF($O373="","",IF(INDEX(Firms!$L$5:$L$1004,$O373)="","—",INDEX(Firms!$L$5:$L$1004,$O373)))</f>
        <v/>
      </c>
      <c r="M373" s="50">
        <f>IF($O373="","",IF(INDEX(Firms!$M$5:$M$1004,$O373)="","—",INDEX(Firms!$M$5:$M$1004,$O373)))</f>
        <v/>
      </c>
      <c r="O373">
        <f>IFERROR(MATCH(SMALL(Firms!$Y$5:$Y$1004,365),Firms!$W$5:$W$1004,0),"")</f>
        <v/>
      </c>
    </row>
    <row r="374">
      <c r="B374" s="78">
        <f>IF($O374="","",INDEX(Firms!$A$5:$A$1004,$O374))</f>
        <v/>
      </c>
      <c r="C374" s="79">
        <f>IF($O374="","",INDEX(Firms!$N$5:$N$1004,$O374)&amp;"")</f>
        <v/>
      </c>
      <c r="D374" s="79">
        <f>IF($O374="","",INDEX(Firms!$P$5:$P$1004,$O374)&amp;"")</f>
        <v/>
      </c>
      <c r="E374" s="79">
        <f>IF($O374="","",INDEX(Firms!$O$5:$O$1004,$O374)&amp;"")</f>
        <v/>
      </c>
      <c r="F374" s="50">
        <f>IF($O374="","",IF(INDEX(Firms!$F$5:$F$1004,$O374)="","—",INDEX(Firms!$F$5:$F$1004,$O374)))</f>
        <v/>
      </c>
      <c r="G374" s="50">
        <f>IF($O374="","",IF(INDEX(Firms!$G$5:$G$1004,$O374)="","—",INDEX(Firms!$G$5:$G$1004,$O374)))</f>
        <v/>
      </c>
      <c r="H374" s="50">
        <f>IF($O374="","",IF(INDEX(Firms!$H$5:$H$1004,$O374)="","—",INDEX(Firms!$H$5:$H$1004,$O374)))</f>
        <v/>
      </c>
      <c r="I374" s="50">
        <f>IF($O374="","",IF(INDEX(Firms!$I$5:$I$1004,$O374)="","—",INDEX(Firms!$I$5:$I$1004,$O374)))</f>
        <v/>
      </c>
      <c r="J374" s="50">
        <f>IF($O374="","",IF(INDEX(Firms!$J$5:$J$1004,$O374)="","—",INDEX(Firms!$J$5:$J$1004,$O374)))</f>
        <v/>
      </c>
      <c r="K374" s="50">
        <f>IF($O374="","",IF(INDEX(Firms!$K$5:$K$1004,$O374)="","—",INDEX(Firms!$K$5:$K$1004,$O374)))</f>
        <v/>
      </c>
      <c r="L374" s="50">
        <f>IF($O374="","",IF(INDEX(Firms!$L$5:$L$1004,$O374)="","—",INDEX(Firms!$L$5:$L$1004,$O374)))</f>
        <v/>
      </c>
      <c r="M374" s="50">
        <f>IF($O374="","",IF(INDEX(Firms!$M$5:$M$1004,$O374)="","—",INDEX(Firms!$M$5:$M$1004,$O374)))</f>
        <v/>
      </c>
      <c r="O374">
        <f>IFERROR(MATCH(SMALL(Firms!$Y$5:$Y$1004,366),Firms!$W$5:$W$1004,0),"")</f>
        <v/>
      </c>
    </row>
    <row r="375">
      <c r="B375" s="78">
        <f>IF($O375="","",INDEX(Firms!$A$5:$A$1004,$O375))</f>
        <v/>
      </c>
      <c r="C375" s="79">
        <f>IF($O375="","",INDEX(Firms!$N$5:$N$1004,$O375)&amp;"")</f>
        <v/>
      </c>
      <c r="D375" s="79">
        <f>IF($O375="","",INDEX(Firms!$P$5:$P$1004,$O375)&amp;"")</f>
        <v/>
      </c>
      <c r="E375" s="79">
        <f>IF($O375="","",INDEX(Firms!$O$5:$O$1004,$O375)&amp;"")</f>
        <v/>
      </c>
      <c r="F375" s="50">
        <f>IF($O375="","",IF(INDEX(Firms!$F$5:$F$1004,$O375)="","—",INDEX(Firms!$F$5:$F$1004,$O375)))</f>
        <v/>
      </c>
      <c r="G375" s="50">
        <f>IF($O375="","",IF(INDEX(Firms!$G$5:$G$1004,$O375)="","—",INDEX(Firms!$G$5:$G$1004,$O375)))</f>
        <v/>
      </c>
      <c r="H375" s="50">
        <f>IF($O375="","",IF(INDEX(Firms!$H$5:$H$1004,$O375)="","—",INDEX(Firms!$H$5:$H$1004,$O375)))</f>
        <v/>
      </c>
      <c r="I375" s="50">
        <f>IF($O375="","",IF(INDEX(Firms!$I$5:$I$1004,$O375)="","—",INDEX(Firms!$I$5:$I$1004,$O375)))</f>
        <v/>
      </c>
      <c r="J375" s="50">
        <f>IF($O375="","",IF(INDEX(Firms!$J$5:$J$1004,$O375)="","—",INDEX(Firms!$J$5:$J$1004,$O375)))</f>
        <v/>
      </c>
      <c r="K375" s="50">
        <f>IF($O375="","",IF(INDEX(Firms!$K$5:$K$1004,$O375)="","—",INDEX(Firms!$K$5:$K$1004,$O375)))</f>
        <v/>
      </c>
      <c r="L375" s="50">
        <f>IF($O375="","",IF(INDEX(Firms!$L$5:$L$1004,$O375)="","—",INDEX(Firms!$L$5:$L$1004,$O375)))</f>
        <v/>
      </c>
      <c r="M375" s="50">
        <f>IF($O375="","",IF(INDEX(Firms!$M$5:$M$1004,$O375)="","—",INDEX(Firms!$M$5:$M$1004,$O375)))</f>
        <v/>
      </c>
      <c r="O375">
        <f>IFERROR(MATCH(SMALL(Firms!$Y$5:$Y$1004,367),Firms!$W$5:$W$1004,0),"")</f>
        <v/>
      </c>
    </row>
    <row r="376">
      <c r="B376" s="78">
        <f>IF($O376="","",INDEX(Firms!$A$5:$A$1004,$O376))</f>
        <v/>
      </c>
      <c r="C376" s="79">
        <f>IF($O376="","",INDEX(Firms!$N$5:$N$1004,$O376)&amp;"")</f>
        <v/>
      </c>
      <c r="D376" s="79">
        <f>IF($O376="","",INDEX(Firms!$P$5:$P$1004,$O376)&amp;"")</f>
        <v/>
      </c>
      <c r="E376" s="79">
        <f>IF($O376="","",INDEX(Firms!$O$5:$O$1004,$O376)&amp;"")</f>
        <v/>
      </c>
      <c r="F376" s="50">
        <f>IF($O376="","",IF(INDEX(Firms!$F$5:$F$1004,$O376)="","—",INDEX(Firms!$F$5:$F$1004,$O376)))</f>
        <v/>
      </c>
      <c r="G376" s="50">
        <f>IF($O376="","",IF(INDEX(Firms!$G$5:$G$1004,$O376)="","—",INDEX(Firms!$G$5:$G$1004,$O376)))</f>
        <v/>
      </c>
      <c r="H376" s="50">
        <f>IF($O376="","",IF(INDEX(Firms!$H$5:$H$1004,$O376)="","—",INDEX(Firms!$H$5:$H$1004,$O376)))</f>
        <v/>
      </c>
      <c r="I376" s="50">
        <f>IF($O376="","",IF(INDEX(Firms!$I$5:$I$1004,$O376)="","—",INDEX(Firms!$I$5:$I$1004,$O376)))</f>
        <v/>
      </c>
      <c r="J376" s="50">
        <f>IF($O376="","",IF(INDEX(Firms!$J$5:$J$1004,$O376)="","—",INDEX(Firms!$J$5:$J$1004,$O376)))</f>
        <v/>
      </c>
      <c r="K376" s="50">
        <f>IF($O376="","",IF(INDEX(Firms!$K$5:$K$1004,$O376)="","—",INDEX(Firms!$K$5:$K$1004,$O376)))</f>
        <v/>
      </c>
      <c r="L376" s="50">
        <f>IF($O376="","",IF(INDEX(Firms!$L$5:$L$1004,$O376)="","—",INDEX(Firms!$L$5:$L$1004,$O376)))</f>
        <v/>
      </c>
      <c r="M376" s="50">
        <f>IF($O376="","",IF(INDEX(Firms!$M$5:$M$1004,$O376)="","—",INDEX(Firms!$M$5:$M$1004,$O376)))</f>
        <v/>
      </c>
      <c r="O376">
        <f>IFERROR(MATCH(SMALL(Firms!$Y$5:$Y$1004,368),Firms!$W$5:$W$1004,0),"")</f>
        <v/>
      </c>
    </row>
    <row r="377">
      <c r="B377" s="78">
        <f>IF($O377="","",INDEX(Firms!$A$5:$A$1004,$O377))</f>
        <v/>
      </c>
      <c r="C377" s="79">
        <f>IF($O377="","",INDEX(Firms!$N$5:$N$1004,$O377)&amp;"")</f>
        <v/>
      </c>
      <c r="D377" s="79">
        <f>IF($O377="","",INDEX(Firms!$P$5:$P$1004,$O377)&amp;"")</f>
        <v/>
      </c>
      <c r="E377" s="79">
        <f>IF($O377="","",INDEX(Firms!$O$5:$O$1004,$O377)&amp;"")</f>
        <v/>
      </c>
      <c r="F377" s="50">
        <f>IF($O377="","",IF(INDEX(Firms!$F$5:$F$1004,$O377)="","—",INDEX(Firms!$F$5:$F$1004,$O377)))</f>
        <v/>
      </c>
      <c r="G377" s="50">
        <f>IF($O377="","",IF(INDEX(Firms!$G$5:$G$1004,$O377)="","—",INDEX(Firms!$G$5:$G$1004,$O377)))</f>
        <v/>
      </c>
      <c r="H377" s="50">
        <f>IF($O377="","",IF(INDEX(Firms!$H$5:$H$1004,$O377)="","—",INDEX(Firms!$H$5:$H$1004,$O377)))</f>
        <v/>
      </c>
      <c r="I377" s="50">
        <f>IF($O377="","",IF(INDEX(Firms!$I$5:$I$1004,$O377)="","—",INDEX(Firms!$I$5:$I$1004,$O377)))</f>
        <v/>
      </c>
      <c r="J377" s="50">
        <f>IF($O377="","",IF(INDEX(Firms!$J$5:$J$1004,$O377)="","—",INDEX(Firms!$J$5:$J$1004,$O377)))</f>
        <v/>
      </c>
      <c r="K377" s="50">
        <f>IF($O377="","",IF(INDEX(Firms!$K$5:$K$1004,$O377)="","—",INDEX(Firms!$K$5:$K$1004,$O377)))</f>
        <v/>
      </c>
      <c r="L377" s="50">
        <f>IF($O377="","",IF(INDEX(Firms!$L$5:$L$1004,$O377)="","—",INDEX(Firms!$L$5:$L$1004,$O377)))</f>
        <v/>
      </c>
      <c r="M377" s="50">
        <f>IF($O377="","",IF(INDEX(Firms!$M$5:$M$1004,$O377)="","—",INDEX(Firms!$M$5:$M$1004,$O377)))</f>
        <v/>
      </c>
      <c r="O377">
        <f>IFERROR(MATCH(SMALL(Firms!$Y$5:$Y$1004,369),Firms!$W$5:$W$1004,0),"")</f>
        <v/>
      </c>
    </row>
    <row r="378">
      <c r="B378" s="78">
        <f>IF($O378="","",INDEX(Firms!$A$5:$A$1004,$O378))</f>
        <v/>
      </c>
      <c r="C378" s="79">
        <f>IF($O378="","",INDEX(Firms!$N$5:$N$1004,$O378)&amp;"")</f>
        <v/>
      </c>
      <c r="D378" s="79">
        <f>IF($O378="","",INDEX(Firms!$P$5:$P$1004,$O378)&amp;"")</f>
        <v/>
      </c>
      <c r="E378" s="79">
        <f>IF($O378="","",INDEX(Firms!$O$5:$O$1004,$O378)&amp;"")</f>
        <v/>
      </c>
      <c r="F378" s="50">
        <f>IF($O378="","",IF(INDEX(Firms!$F$5:$F$1004,$O378)="","—",INDEX(Firms!$F$5:$F$1004,$O378)))</f>
        <v/>
      </c>
      <c r="G378" s="50">
        <f>IF($O378="","",IF(INDEX(Firms!$G$5:$G$1004,$O378)="","—",INDEX(Firms!$G$5:$G$1004,$O378)))</f>
        <v/>
      </c>
      <c r="H378" s="50">
        <f>IF($O378="","",IF(INDEX(Firms!$H$5:$H$1004,$O378)="","—",INDEX(Firms!$H$5:$H$1004,$O378)))</f>
        <v/>
      </c>
      <c r="I378" s="50">
        <f>IF($O378="","",IF(INDEX(Firms!$I$5:$I$1004,$O378)="","—",INDEX(Firms!$I$5:$I$1004,$O378)))</f>
        <v/>
      </c>
      <c r="J378" s="50">
        <f>IF($O378="","",IF(INDEX(Firms!$J$5:$J$1004,$O378)="","—",INDEX(Firms!$J$5:$J$1004,$O378)))</f>
        <v/>
      </c>
      <c r="K378" s="50">
        <f>IF($O378="","",IF(INDEX(Firms!$K$5:$K$1004,$O378)="","—",INDEX(Firms!$K$5:$K$1004,$O378)))</f>
        <v/>
      </c>
      <c r="L378" s="50">
        <f>IF($O378="","",IF(INDEX(Firms!$L$5:$L$1004,$O378)="","—",INDEX(Firms!$L$5:$L$1004,$O378)))</f>
        <v/>
      </c>
      <c r="M378" s="50">
        <f>IF($O378="","",IF(INDEX(Firms!$M$5:$M$1004,$O378)="","—",INDEX(Firms!$M$5:$M$1004,$O378)))</f>
        <v/>
      </c>
      <c r="O378">
        <f>IFERROR(MATCH(SMALL(Firms!$Y$5:$Y$1004,370),Firms!$W$5:$W$1004,0),"")</f>
        <v/>
      </c>
    </row>
    <row r="379">
      <c r="B379" s="78">
        <f>IF($O379="","",INDEX(Firms!$A$5:$A$1004,$O379))</f>
        <v/>
      </c>
      <c r="C379" s="79">
        <f>IF($O379="","",INDEX(Firms!$N$5:$N$1004,$O379)&amp;"")</f>
        <v/>
      </c>
      <c r="D379" s="79">
        <f>IF($O379="","",INDEX(Firms!$P$5:$P$1004,$O379)&amp;"")</f>
        <v/>
      </c>
      <c r="E379" s="79">
        <f>IF($O379="","",INDEX(Firms!$O$5:$O$1004,$O379)&amp;"")</f>
        <v/>
      </c>
      <c r="F379" s="50">
        <f>IF($O379="","",IF(INDEX(Firms!$F$5:$F$1004,$O379)="","—",INDEX(Firms!$F$5:$F$1004,$O379)))</f>
        <v/>
      </c>
      <c r="G379" s="50">
        <f>IF($O379="","",IF(INDEX(Firms!$G$5:$G$1004,$O379)="","—",INDEX(Firms!$G$5:$G$1004,$O379)))</f>
        <v/>
      </c>
      <c r="H379" s="50">
        <f>IF($O379="","",IF(INDEX(Firms!$H$5:$H$1004,$O379)="","—",INDEX(Firms!$H$5:$H$1004,$O379)))</f>
        <v/>
      </c>
      <c r="I379" s="50">
        <f>IF($O379="","",IF(INDEX(Firms!$I$5:$I$1004,$O379)="","—",INDEX(Firms!$I$5:$I$1004,$O379)))</f>
        <v/>
      </c>
      <c r="J379" s="50">
        <f>IF($O379="","",IF(INDEX(Firms!$J$5:$J$1004,$O379)="","—",INDEX(Firms!$J$5:$J$1004,$O379)))</f>
        <v/>
      </c>
      <c r="K379" s="50">
        <f>IF($O379="","",IF(INDEX(Firms!$K$5:$K$1004,$O379)="","—",INDEX(Firms!$K$5:$K$1004,$O379)))</f>
        <v/>
      </c>
      <c r="L379" s="50">
        <f>IF($O379="","",IF(INDEX(Firms!$L$5:$L$1004,$O379)="","—",INDEX(Firms!$L$5:$L$1004,$O379)))</f>
        <v/>
      </c>
      <c r="M379" s="50">
        <f>IF($O379="","",IF(INDEX(Firms!$M$5:$M$1004,$O379)="","—",INDEX(Firms!$M$5:$M$1004,$O379)))</f>
        <v/>
      </c>
      <c r="O379">
        <f>IFERROR(MATCH(SMALL(Firms!$Y$5:$Y$1004,371),Firms!$W$5:$W$1004,0),"")</f>
        <v/>
      </c>
    </row>
    <row r="380">
      <c r="B380" s="78">
        <f>IF($O380="","",INDEX(Firms!$A$5:$A$1004,$O380))</f>
        <v/>
      </c>
      <c r="C380" s="79">
        <f>IF($O380="","",INDEX(Firms!$N$5:$N$1004,$O380)&amp;"")</f>
        <v/>
      </c>
      <c r="D380" s="79">
        <f>IF($O380="","",INDEX(Firms!$P$5:$P$1004,$O380)&amp;"")</f>
        <v/>
      </c>
      <c r="E380" s="79">
        <f>IF($O380="","",INDEX(Firms!$O$5:$O$1004,$O380)&amp;"")</f>
        <v/>
      </c>
      <c r="F380" s="50">
        <f>IF($O380="","",IF(INDEX(Firms!$F$5:$F$1004,$O380)="","—",INDEX(Firms!$F$5:$F$1004,$O380)))</f>
        <v/>
      </c>
      <c r="G380" s="50">
        <f>IF($O380="","",IF(INDEX(Firms!$G$5:$G$1004,$O380)="","—",INDEX(Firms!$G$5:$G$1004,$O380)))</f>
        <v/>
      </c>
      <c r="H380" s="50">
        <f>IF($O380="","",IF(INDEX(Firms!$H$5:$H$1004,$O380)="","—",INDEX(Firms!$H$5:$H$1004,$O380)))</f>
        <v/>
      </c>
      <c r="I380" s="50">
        <f>IF($O380="","",IF(INDEX(Firms!$I$5:$I$1004,$O380)="","—",INDEX(Firms!$I$5:$I$1004,$O380)))</f>
        <v/>
      </c>
      <c r="J380" s="50">
        <f>IF($O380="","",IF(INDEX(Firms!$J$5:$J$1004,$O380)="","—",INDEX(Firms!$J$5:$J$1004,$O380)))</f>
        <v/>
      </c>
      <c r="K380" s="50">
        <f>IF($O380="","",IF(INDEX(Firms!$K$5:$K$1004,$O380)="","—",INDEX(Firms!$K$5:$K$1004,$O380)))</f>
        <v/>
      </c>
      <c r="L380" s="50">
        <f>IF($O380="","",IF(INDEX(Firms!$L$5:$L$1004,$O380)="","—",INDEX(Firms!$L$5:$L$1004,$O380)))</f>
        <v/>
      </c>
      <c r="M380" s="50">
        <f>IF($O380="","",IF(INDEX(Firms!$M$5:$M$1004,$O380)="","—",INDEX(Firms!$M$5:$M$1004,$O380)))</f>
        <v/>
      </c>
      <c r="O380">
        <f>IFERROR(MATCH(SMALL(Firms!$Y$5:$Y$1004,372),Firms!$W$5:$W$1004,0),"")</f>
        <v/>
      </c>
    </row>
    <row r="381">
      <c r="B381" s="78">
        <f>IF($O381="","",INDEX(Firms!$A$5:$A$1004,$O381))</f>
        <v/>
      </c>
      <c r="C381" s="79">
        <f>IF($O381="","",INDEX(Firms!$N$5:$N$1004,$O381)&amp;"")</f>
        <v/>
      </c>
      <c r="D381" s="79">
        <f>IF($O381="","",INDEX(Firms!$P$5:$P$1004,$O381)&amp;"")</f>
        <v/>
      </c>
      <c r="E381" s="79">
        <f>IF($O381="","",INDEX(Firms!$O$5:$O$1004,$O381)&amp;"")</f>
        <v/>
      </c>
      <c r="F381" s="50">
        <f>IF($O381="","",IF(INDEX(Firms!$F$5:$F$1004,$O381)="","—",INDEX(Firms!$F$5:$F$1004,$O381)))</f>
        <v/>
      </c>
      <c r="G381" s="50">
        <f>IF($O381="","",IF(INDEX(Firms!$G$5:$G$1004,$O381)="","—",INDEX(Firms!$G$5:$G$1004,$O381)))</f>
        <v/>
      </c>
      <c r="H381" s="50">
        <f>IF($O381="","",IF(INDEX(Firms!$H$5:$H$1004,$O381)="","—",INDEX(Firms!$H$5:$H$1004,$O381)))</f>
        <v/>
      </c>
      <c r="I381" s="50">
        <f>IF($O381="","",IF(INDEX(Firms!$I$5:$I$1004,$O381)="","—",INDEX(Firms!$I$5:$I$1004,$O381)))</f>
        <v/>
      </c>
      <c r="J381" s="50">
        <f>IF($O381="","",IF(INDEX(Firms!$J$5:$J$1004,$O381)="","—",INDEX(Firms!$J$5:$J$1004,$O381)))</f>
        <v/>
      </c>
      <c r="K381" s="50">
        <f>IF($O381="","",IF(INDEX(Firms!$K$5:$K$1004,$O381)="","—",INDEX(Firms!$K$5:$K$1004,$O381)))</f>
        <v/>
      </c>
      <c r="L381" s="50">
        <f>IF($O381="","",IF(INDEX(Firms!$L$5:$L$1004,$O381)="","—",INDEX(Firms!$L$5:$L$1004,$O381)))</f>
        <v/>
      </c>
      <c r="M381" s="50">
        <f>IF($O381="","",IF(INDEX(Firms!$M$5:$M$1004,$O381)="","—",INDEX(Firms!$M$5:$M$1004,$O381)))</f>
        <v/>
      </c>
      <c r="O381">
        <f>IFERROR(MATCH(SMALL(Firms!$Y$5:$Y$1004,373),Firms!$W$5:$W$1004,0),"")</f>
        <v/>
      </c>
    </row>
    <row r="382">
      <c r="B382" s="78">
        <f>IF($O382="","",INDEX(Firms!$A$5:$A$1004,$O382))</f>
        <v/>
      </c>
      <c r="C382" s="79">
        <f>IF($O382="","",INDEX(Firms!$N$5:$N$1004,$O382)&amp;"")</f>
        <v/>
      </c>
      <c r="D382" s="79">
        <f>IF($O382="","",INDEX(Firms!$P$5:$P$1004,$O382)&amp;"")</f>
        <v/>
      </c>
      <c r="E382" s="79">
        <f>IF($O382="","",INDEX(Firms!$O$5:$O$1004,$O382)&amp;"")</f>
        <v/>
      </c>
      <c r="F382" s="50">
        <f>IF($O382="","",IF(INDEX(Firms!$F$5:$F$1004,$O382)="","—",INDEX(Firms!$F$5:$F$1004,$O382)))</f>
        <v/>
      </c>
      <c r="G382" s="50">
        <f>IF($O382="","",IF(INDEX(Firms!$G$5:$G$1004,$O382)="","—",INDEX(Firms!$G$5:$G$1004,$O382)))</f>
        <v/>
      </c>
      <c r="H382" s="50">
        <f>IF($O382="","",IF(INDEX(Firms!$H$5:$H$1004,$O382)="","—",INDEX(Firms!$H$5:$H$1004,$O382)))</f>
        <v/>
      </c>
      <c r="I382" s="50">
        <f>IF($O382="","",IF(INDEX(Firms!$I$5:$I$1004,$O382)="","—",INDEX(Firms!$I$5:$I$1004,$O382)))</f>
        <v/>
      </c>
      <c r="J382" s="50">
        <f>IF($O382="","",IF(INDEX(Firms!$J$5:$J$1004,$O382)="","—",INDEX(Firms!$J$5:$J$1004,$O382)))</f>
        <v/>
      </c>
      <c r="K382" s="50">
        <f>IF($O382="","",IF(INDEX(Firms!$K$5:$K$1004,$O382)="","—",INDEX(Firms!$K$5:$K$1004,$O382)))</f>
        <v/>
      </c>
      <c r="L382" s="50">
        <f>IF($O382="","",IF(INDEX(Firms!$L$5:$L$1004,$O382)="","—",INDEX(Firms!$L$5:$L$1004,$O382)))</f>
        <v/>
      </c>
      <c r="M382" s="50">
        <f>IF($O382="","",IF(INDEX(Firms!$M$5:$M$1004,$O382)="","—",INDEX(Firms!$M$5:$M$1004,$O382)))</f>
        <v/>
      </c>
      <c r="O382">
        <f>IFERROR(MATCH(SMALL(Firms!$Y$5:$Y$1004,374),Firms!$W$5:$W$1004,0),"")</f>
        <v/>
      </c>
    </row>
    <row r="383">
      <c r="B383" s="78">
        <f>IF($O383="","",INDEX(Firms!$A$5:$A$1004,$O383))</f>
        <v/>
      </c>
      <c r="C383" s="79">
        <f>IF($O383="","",INDEX(Firms!$N$5:$N$1004,$O383)&amp;"")</f>
        <v/>
      </c>
      <c r="D383" s="79">
        <f>IF($O383="","",INDEX(Firms!$P$5:$P$1004,$O383)&amp;"")</f>
        <v/>
      </c>
      <c r="E383" s="79">
        <f>IF($O383="","",INDEX(Firms!$O$5:$O$1004,$O383)&amp;"")</f>
        <v/>
      </c>
      <c r="F383" s="50">
        <f>IF($O383="","",IF(INDEX(Firms!$F$5:$F$1004,$O383)="","—",INDEX(Firms!$F$5:$F$1004,$O383)))</f>
        <v/>
      </c>
      <c r="G383" s="50">
        <f>IF($O383="","",IF(INDEX(Firms!$G$5:$G$1004,$O383)="","—",INDEX(Firms!$G$5:$G$1004,$O383)))</f>
        <v/>
      </c>
      <c r="H383" s="50">
        <f>IF($O383="","",IF(INDEX(Firms!$H$5:$H$1004,$O383)="","—",INDEX(Firms!$H$5:$H$1004,$O383)))</f>
        <v/>
      </c>
      <c r="I383" s="50">
        <f>IF($O383="","",IF(INDEX(Firms!$I$5:$I$1004,$O383)="","—",INDEX(Firms!$I$5:$I$1004,$O383)))</f>
        <v/>
      </c>
      <c r="J383" s="50">
        <f>IF($O383="","",IF(INDEX(Firms!$J$5:$J$1004,$O383)="","—",INDEX(Firms!$J$5:$J$1004,$O383)))</f>
        <v/>
      </c>
      <c r="K383" s="50">
        <f>IF($O383="","",IF(INDEX(Firms!$K$5:$K$1004,$O383)="","—",INDEX(Firms!$K$5:$K$1004,$O383)))</f>
        <v/>
      </c>
      <c r="L383" s="50">
        <f>IF($O383="","",IF(INDEX(Firms!$L$5:$L$1004,$O383)="","—",INDEX(Firms!$L$5:$L$1004,$O383)))</f>
        <v/>
      </c>
      <c r="M383" s="50">
        <f>IF($O383="","",IF(INDEX(Firms!$M$5:$M$1004,$O383)="","—",INDEX(Firms!$M$5:$M$1004,$O383)))</f>
        <v/>
      </c>
      <c r="O383">
        <f>IFERROR(MATCH(SMALL(Firms!$Y$5:$Y$1004,375),Firms!$W$5:$W$1004,0),"")</f>
        <v/>
      </c>
    </row>
    <row r="384">
      <c r="B384" s="78">
        <f>IF($O384="","",INDEX(Firms!$A$5:$A$1004,$O384))</f>
        <v/>
      </c>
      <c r="C384" s="79">
        <f>IF($O384="","",INDEX(Firms!$N$5:$N$1004,$O384)&amp;"")</f>
        <v/>
      </c>
      <c r="D384" s="79">
        <f>IF($O384="","",INDEX(Firms!$P$5:$P$1004,$O384)&amp;"")</f>
        <v/>
      </c>
      <c r="E384" s="79">
        <f>IF($O384="","",INDEX(Firms!$O$5:$O$1004,$O384)&amp;"")</f>
        <v/>
      </c>
      <c r="F384" s="50">
        <f>IF($O384="","",IF(INDEX(Firms!$F$5:$F$1004,$O384)="","—",INDEX(Firms!$F$5:$F$1004,$O384)))</f>
        <v/>
      </c>
      <c r="G384" s="50">
        <f>IF($O384="","",IF(INDEX(Firms!$G$5:$G$1004,$O384)="","—",INDEX(Firms!$G$5:$G$1004,$O384)))</f>
        <v/>
      </c>
      <c r="H384" s="50">
        <f>IF($O384="","",IF(INDEX(Firms!$H$5:$H$1004,$O384)="","—",INDEX(Firms!$H$5:$H$1004,$O384)))</f>
        <v/>
      </c>
      <c r="I384" s="50">
        <f>IF($O384="","",IF(INDEX(Firms!$I$5:$I$1004,$O384)="","—",INDEX(Firms!$I$5:$I$1004,$O384)))</f>
        <v/>
      </c>
      <c r="J384" s="50">
        <f>IF($O384="","",IF(INDEX(Firms!$J$5:$J$1004,$O384)="","—",INDEX(Firms!$J$5:$J$1004,$O384)))</f>
        <v/>
      </c>
      <c r="K384" s="50">
        <f>IF($O384="","",IF(INDEX(Firms!$K$5:$K$1004,$O384)="","—",INDEX(Firms!$K$5:$K$1004,$O384)))</f>
        <v/>
      </c>
      <c r="L384" s="50">
        <f>IF($O384="","",IF(INDEX(Firms!$L$5:$L$1004,$O384)="","—",INDEX(Firms!$L$5:$L$1004,$O384)))</f>
        <v/>
      </c>
      <c r="M384" s="50">
        <f>IF($O384="","",IF(INDEX(Firms!$M$5:$M$1004,$O384)="","—",INDEX(Firms!$M$5:$M$1004,$O384)))</f>
        <v/>
      </c>
      <c r="O384">
        <f>IFERROR(MATCH(SMALL(Firms!$Y$5:$Y$1004,376),Firms!$W$5:$W$1004,0),"")</f>
        <v/>
      </c>
    </row>
    <row r="385">
      <c r="B385" s="78">
        <f>IF($O385="","",INDEX(Firms!$A$5:$A$1004,$O385))</f>
        <v/>
      </c>
      <c r="C385" s="79">
        <f>IF($O385="","",INDEX(Firms!$N$5:$N$1004,$O385)&amp;"")</f>
        <v/>
      </c>
      <c r="D385" s="79">
        <f>IF($O385="","",INDEX(Firms!$P$5:$P$1004,$O385)&amp;"")</f>
        <v/>
      </c>
      <c r="E385" s="79">
        <f>IF($O385="","",INDEX(Firms!$O$5:$O$1004,$O385)&amp;"")</f>
        <v/>
      </c>
      <c r="F385" s="50">
        <f>IF($O385="","",IF(INDEX(Firms!$F$5:$F$1004,$O385)="","—",INDEX(Firms!$F$5:$F$1004,$O385)))</f>
        <v/>
      </c>
      <c r="G385" s="50">
        <f>IF($O385="","",IF(INDEX(Firms!$G$5:$G$1004,$O385)="","—",INDEX(Firms!$G$5:$G$1004,$O385)))</f>
        <v/>
      </c>
      <c r="H385" s="50">
        <f>IF($O385="","",IF(INDEX(Firms!$H$5:$H$1004,$O385)="","—",INDEX(Firms!$H$5:$H$1004,$O385)))</f>
        <v/>
      </c>
      <c r="I385" s="50">
        <f>IF($O385="","",IF(INDEX(Firms!$I$5:$I$1004,$O385)="","—",INDEX(Firms!$I$5:$I$1004,$O385)))</f>
        <v/>
      </c>
      <c r="J385" s="50">
        <f>IF($O385="","",IF(INDEX(Firms!$J$5:$J$1004,$O385)="","—",INDEX(Firms!$J$5:$J$1004,$O385)))</f>
        <v/>
      </c>
      <c r="K385" s="50">
        <f>IF($O385="","",IF(INDEX(Firms!$K$5:$K$1004,$O385)="","—",INDEX(Firms!$K$5:$K$1004,$O385)))</f>
        <v/>
      </c>
      <c r="L385" s="50">
        <f>IF($O385="","",IF(INDEX(Firms!$L$5:$L$1004,$O385)="","—",INDEX(Firms!$L$5:$L$1004,$O385)))</f>
        <v/>
      </c>
      <c r="M385" s="50">
        <f>IF($O385="","",IF(INDEX(Firms!$M$5:$M$1004,$O385)="","—",INDEX(Firms!$M$5:$M$1004,$O385)))</f>
        <v/>
      </c>
      <c r="O385">
        <f>IFERROR(MATCH(SMALL(Firms!$Y$5:$Y$1004,377),Firms!$W$5:$W$1004,0),"")</f>
        <v/>
      </c>
    </row>
    <row r="386">
      <c r="B386" s="78">
        <f>IF($O386="","",INDEX(Firms!$A$5:$A$1004,$O386))</f>
        <v/>
      </c>
      <c r="C386" s="79">
        <f>IF($O386="","",INDEX(Firms!$N$5:$N$1004,$O386)&amp;"")</f>
        <v/>
      </c>
      <c r="D386" s="79">
        <f>IF($O386="","",INDEX(Firms!$P$5:$P$1004,$O386)&amp;"")</f>
        <v/>
      </c>
      <c r="E386" s="79">
        <f>IF($O386="","",INDEX(Firms!$O$5:$O$1004,$O386)&amp;"")</f>
        <v/>
      </c>
      <c r="F386" s="50">
        <f>IF($O386="","",IF(INDEX(Firms!$F$5:$F$1004,$O386)="","—",INDEX(Firms!$F$5:$F$1004,$O386)))</f>
        <v/>
      </c>
      <c r="G386" s="50">
        <f>IF($O386="","",IF(INDEX(Firms!$G$5:$G$1004,$O386)="","—",INDEX(Firms!$G$5:$G$1004,$O386)))</f>
        <v/>
      </c>
      <c r="H386" s="50">
        <f>IF($O386="","",IF(INDEX(Firms!$H$5:$H$1004,$O386)="","—",INDEX(Firms!$H$5:$H$1004,$O386)))</f>
        <v/>
      </c>
      <c r="I386" s="50">
        <f>IF($O386="","",IF(INDEX(Firms!$I$5:$I$1004,$O386)="","—",INDEX(Firms!$I$5:$I$1004,$O386)))</f>
        <v/>
      </c>
      <c r="J386" s="50">
        <f>IF($O386="","",IF(INDEX(Firms!$J$5:$J$1004,$O386)="","—",INDEX(Firms!$J$5:$J$1004,$O386)))</f>
        <v/>
      </c>
      <c r="K386" s="50">
        <f>IF($O386="","",IF(INDEX(Firms!$K$5:$K$1004,$O386)="","—",INDEX(Firms!$K$5:$K$1004,$O386)))</f>
        <v/>
      </c>
      <c r="L386" s="50">
        <f>IF($O386="","",IF(INDEX(Firms!$L$5:$L$1004,$O386)="","—",INDEX(Firms!$L$5:$L$1004,$O386)))</f>
        <v/>
      </c>
      <c r="M386" s="50">
        <f>IF($O386="","",IF(INDEX(Firms!$M$5:$M$1004,$O386)="","—",INDEX(Firms!$M$5:$M$1004,$O386)))</f>
        <v/>
      </c>
      <c r="O386">
        <f>IFERROR(MATCH(SMALL(Firms!$Y$5:$Y$1004,378),Firms!$W$5:$W$1004,0),"")</f>
        <v/>
      </c>
    </row>
    <row r="387">
      <c r="B387" s="78">
        <f>IF($O387="","",INDEX(Firms!$A$5:$A$1004,$O387))</f>
        <v/>
      </c>
      <c r="C387" s="79">
        <f>IF($O387="","",INDEX(Firms!$N$5:$N$1004,$O387)&amp;"")</f>
        <v/>
      </c>
      <c r="D387" s="79">
        <f>IF($O387="","",INDEX(Firms!$P$5:$P$1004,$O387)&amp;"")</f>
        <v/>
      </c>
      <c r="E387" s="79">
        <f>IF($O387="","",INDEX(Firms!$O$5:$O$1004,$O387)&amp;"")</f>
        <v/>
      </c>
      <c r="F387" s="50">
        <f>IF($O387="","",IF(INDEX(Firms!$F$5:$F$1004,$O387)="","—",INDEX(Firms!$F$5:$F$1004,$O387)))</f>
        <v/>
      </c>
      <c r="G387" s="50">
        <f>IF($O387="","",IF(INDEX(Firms!$G$5:$G$1004,$O387)="","—",INDEX(Firms!$G$5:$G$1004,$O387)))</f>
        <v/>
      </c>
      <c r="H387" s="50">
        <f>IF($O387="","",IF(INDEX(Firms!$H$5:$H$1004,$O387)="","—",INDEX(Firms!$H$5:$H$1004,$O387)))</f>
        <v/>
      </c>
      <c r="I387" s="50">
        <f>IF($O387="","",IF(INDEX(Firms!$I$5:$I$1004,$O387)="","—",INDEX(Firms!$I$5:$I$1004,$O387)))</f>
        <v/>
      </c>
      <c r="J387" s="50">
        <f>IF($O387="","",IF(INDEX(Firms!$J$5:$J$1004,$O387)="","—",INDEX(Firms!$J$5:$J$1004,$O387)))</f>
        <v/>
      </c>
      <c r="K387" s="50">
        <f>IF($O387="","",IF(INDEX(Firms!$K$5:$K$1004,$O387)="","—",INDEX(Firms!$K$5:$K$1004,$O387)))</f>
        <v/>
      </c>
      <c r="L387" s="50">
        <f>IF($O387="","",IF(INDEX(Firms!$L$5:$L$1004,$O387)="","—",INDEX(Firms!$L$5:$L$1004,$O387)))</f>
        <v/>
      </c>
      <c r="M387" s="50">
        <f>IF($O387="","",IF(INDEX(Firms!$M$5:$M$1004,$O387)="","—",INDEX(Firms!$M$5:$M$1004,$O387)))</f>
        <v/>
      </c>
      <c r="O387">
        <f>IFERROR(MATCH(SMALL(Firms!$Y$5:$Y$1004,379),Firms!$W$5:$W$1004,0),"")</f>
        <v/>
      </c>
    </row>
    <row r="388">
      <c r="B388" s="78">
        <f>IF($O388="","",INDEX(Firms!$A$5:$A$1004,$O388))</f>
        <v/>
      </c>
      <c r="C388" s="79">
        <f>IF($O388="","",INDEX(Firms!$N$5:$N$1004,$O388)&amp;"")</f>
        <v/>
      </c>
      <c r="D388" s="79">
        <f>IF($O388="","",INDEX(Firms!$P$5:$P$1004,$O388)&amp;"")</f>
        <v/>
      </c>
      <c r="E388" s="79">
        <f>IF($O388="","",INDEX(Firms!$O$5:$O$1004,$O388)&amp;"")</f>
        <v/>
      </c>
      <c r="F388" s="50">
        <f>IF($O388="","",IF(INDEX(Firms!$F$5:$F$1004,$O388)="","—",INDEX(Firms!$F$5:$F$1004,$O388)))</f>
        <v/>
      </c>
      <c r="G388" s="50">
        <f>IF($O388="","",IF(INDEX(Firms!$G$5:$G$1004,$O388)="","—",INDEX(Firms!$G$5:$G$1004,$O388)))</f>
        <v/>
      </c>
      <c r="H388" s="50">
        <f>IF($O388="","",IF(INDEX(Firms!$H$5:$H$1004,$O388)="","—",INDEX(Firms!$H$5:$H$1004,$O388)))</f>
        <v/>
      </c>
      <c r="I388" s="50">
        <f>IF($O388="","",IF(INDEX(Firms!$I$5:$I$1004,$O388)="","—",INDEX(Firms!$I$5:$I$1004,$O388)))</f>
        <v/>
      </c>
      <c r="J388" s="50">
        <f>IF($O388="","",IF(INDEX(Firms!$J$5:$J$1004,$O388)="","—",INDEX(Firms!$J$5:$J$1004,$O388)))</f>
        <v/>
      </c>
      <c r="K388" s="50">
        <f>IF($O388="","",IF(INDEX(Firms!$K$5:$K$1004,$O388)="","—",INDEX(Firms!$K$5:$K$1004,$O388)))</f>
        <v/>
      </c>
      <c r="L388" s="50">
        <f>IF($O388="","",IF(INDEX(Firms!$L$5:$L$1004,$O388)="","—",INDEX(Firms!$L$5:$L$1004,$O388)))</f>
        <v/>
      </c>
      <c r="M388" s="50">
        <f>IF($O388="","",IF(INDEX(Firms!$M$5:$M$1004,$O388)="","—",INDEX(Firms!$M$5:$M$1004,$O388)))</f>
        <v/>
      </c>
      <c r="O388">
        <f>IFERROR(MATCH(SMALL(Firms!$Y$5:$Y$1004,380),Firms!$W$5:$W$1004,0),"")</f>
        <v/>
      </c>
    </row>
    <row r="389">
      <c r="B389" s="78">
        <f>IF($O389="","",INDEX(Firms!$A$5:$A$1004,$O389))</f>
        <v/>
      </c>
      <c r="C389" s="79">
        <f>IF($O389="","",INDEX(Firms!$N$5:$N$1004,$O389)&amp;"")</f>
        <v/>
      </c>
      <c r="D389" s="79">
        <f>IF($O389="","",INDEX(Firms!$P$5:$P$1004,$O389)&amp;"")</f>
        <v/>
      </c>
      <c r="E389" s="79">
        <f>IF($O389="","",INDEX(Firms!$O$5:$O$1004,$O389)&amp;"")</f>
        <v/>
      </c>
      <c r="F389" s="50">
        <f>IF($O389="","",IF(INDEX(Firms!$F$5:$F$1004,$O389)="","—",INDEX(Firms!$F$5:$F$1004,$O389)))</f>
        <v/>
      </c>
      <c r="G389" s="50">
        <f>IF($O389="","",IF(INDEX(Firms!$G$5:$G$1004,$O389)="","—",INDEX(Firms!$G$5:$G$1004,$O389)))</f>
        <v/>
      </c>
      <c r="H389" s="50">
        <f>IF($O389="","",IF(INDEX(Firms!$H$5:$H$1004,$O389)="","—",INDEX(Firms!$H$5:$H$1004,$O389)))</f>
        <v/>
      </c>
      <c r="I389" s="50">
        <f>IF($O389="","",IF(INDEX(Firms!$I$5:$I$1004,$O389)="","—",INDEX(Firms!$I$5:$I$1004,$O389)))</f>
        <v/>
      </c>
      <c r="J389" s="50">
        <f>IF($O389="","",IF(INDEX(Firms!$J$5:$J$1004,$O389)="","—",INDEX(Firms!$J$5:$J$1004,$O389)))</f>
        <v/>
      </c>
      <c r="K389" s="50">
        <f>IF($O389="","",IF(INDEX(Firms!$K$5:$K$1004,$O389)="","—",INDEX(Firms!$K$5:$K$1004,$O389)))</f>
        <v/>
      </c>
      <c r="L389" s="50">
        <f>IF($O389="","",IF(INDEX(Firms!$L$5:$L$1004,$O389)="","—",INDEX(Firms!$L$5:$L$1004,$O389)))</f>
        <v/>
      </c>
      <c r="M389" s="50">
        <f>IF($O389="","",IF(INDEX(Firms!$M$5:$M$1004,$O389)="","—",INDEX(Firms!$M$5:$M$1004,$O389)))</f>
        <v/>
      </c>
      <c r="O389">
        <f>IFERROR(MATCH(SMALL(Firms!$Y$5:$Y$1004,381),Firms!$W$5:$W$1004,0),"")</f>
        <v/>
      </c>
    </row>
    <row r="390">
      <c r="B390" s="78">
        <f>IF($O390="","",INDEX(Firms!$A$5:$A$1004,$O390))</f>
        <v/>
      </c>
      <c r="C390" s="79">
        <f>IF($O390="","",INDEX(Firms!$N$5:$N$1004,$O390)&amp;"")</f>
        <v/>
      </c>
      <c r="D390" s="79">
        <f>IF($O390="","",INDEX(Firms!$P$5:$P$1004,$O390)&amp;"")</f>
        <v/>
      </c>
      <c r="E390" s="79">
        <f>IF($O390="","",INDEX(Firms!$O$5:$O$1004,$O390)&amp;"")</f>
        <v/>
      </c>
      <c r="F390" s="50">
        <f>IF($O390="","",IF(INDEX(Firms!$F$5:$F$1004,$O390)="","—",INDEX(Firms!$F$5:$F$1004,$O390)))</f>
        <v/>
      </c>
      <c r="G390" s="50">
        <f>IF($O390="","",IF(INDEX(Firms!$G$5:$G$1004,$O390)="","—",INDEX(Firms!$G$5:$G$1004,$O390)))</f>
        <v/>
      </c>
      <c r="H390" s="50">
        <f>IF($O390="","",IF(INDEX(Firms!$H$5:$H$1004,$O390)="","—",INDEX(Firms!$H$5:$H$1004,$O390)))</f>
        <v/>
      </c>
      <c r="I390" s="50">
        <f>IF($O390="","",IF(INDEX(Firms!$I$5:$I$1004,$O390)="","—",INDEX(Firms!$I$5:$I$1004,$O390)))</f>
        <v/>
      </c>
      <c r="J390" s="50">
        <f>IF($O390="","",IF(INDEX(Firms!$J$5:$J$1004,$O390)="","—",INDEX(Firms!$J$5:$J$1004,$O390)))</f>
        <v/>
      </c>
      <c r="K390" s="50">
        <f>IF($O390="","",IF(INDEX(Firms!$K$5:$K$1004,$O390)="","—",INDEX(Firms!$K$5:$K$1004,$O390)))</f>
        <v/>
      </c>
      <c r="L390" s="50">
        <f>IF($O390="","",IF(INDEX(Firms!$L$5:$L$1004,$O390)="","—",INDEX(Firms!$L$5:$L$1004,$O390)))</f>
        <v/>
      </c>
      <c r="M390" s="50">
        <f>IF($O390="","",IF(INDEX(Firms!$M$5:$M$1004,$O390)="","—",INDEX(Firms!$M$5:$M$1004,$O390)))</f>
        <v/>
      </c>
      <c r="O390">
        <f>IFERROR(MATCH(SMALL(Firms!$Y$5:$Y$1004,382),Firms!$W$5:$W$1004,0),"")</f>
        <v/>
      </c>
    </row>
    <row r="391">
      <c r="B391" s="78">
        <f>IF($O391="","",INDEX(Firms!$A$5:$A$1004,$O391))</f>
        <v/>
      </c>
      <c r="C391" s="79">
        <f>IF($O391="","",INDEX(Firms!$N$5:$N$1004,$O391)&amp;"")</f>
        <v/>
      </c>
      <c r="D391" s="79">
        <f>IF($O391="","",INDEX(Firms!$P$5:$P$1004,$O391)&amp;"")</f>
        <v/>
      </c>
      <c r="E391" s="79">
        <f>IF($O391="","",INDEX(Firms!$O$5:$O$1004,$O391)&amp;"")</f>
        <v/>
      </c>
      <c r="F391" s="50">
        <f>IF($O391="","",IF(INDEX(Firms!$F$5:$F$1004,$O391)="","—",INDEX(Firms!$F$5:$F$1004,$O391)))</f>
        <v/>
      </c>
      <c r="G391" s="50">
        <f>IF($O391="","",IF(INDEX(Firms!$G$5:$G$1004,$O391)="","—",INDEX(Firms!$G$5:$G$1004,$O391)))</f>
        <v/>
      </c>
      <c r="H391" s="50">
        <f>IF($O391="","",IF(INDEX(Firms!$H$5:$H$1004,$O391)="","—",INDEX(Firms!$H$5:$H$1004,$O391)))</f>
        <v/>
      </c>
      <c r="I391" s="50">
        <f>IF($O391="","",IF(INDEX(Firms!$I$5:$I$1004,$O391)="","—",INDEX(Firms!$I$5:$I$1004,$O391)))</f>
        <v/>
      </c>
      <c r="J391" s="50">
        <f>IF($O391="","",IF(INDEX(Firms!$J$5:$J$1004,$O391)="","—",INDEX(Firms!$J$5:$J$1004,$O391)))</f>
        <v/>
      </c>
      <c r="K391" s="50">
        <f>IF($O391="","",IF(INDEX(Firms!$K$5:$K$1004,$O391)="","—",INDEX(Firms!$K$5:$K$1004,$O391)))</f>
        <v/>
      </c>
      <c r="L391" s="50">
        <f>IF($O391="","",IF(INDEX(Firms!$L$5:$L$1004,$O391)="","—",INDEX(Firms!$L$5:$L$1004,$O391)))</f>
        <v/>
      </c>
      <c r="M391" s="50">
        <f>IF($O391="","",IF(INDEX(Firms!$M$5:$M$1004,$O391)="","—",INDEX(Firms!$M$5:$M$1004,$O391)))</f>
        <v/>
      </c>
      <c r="O391">
        <f>IFERROR(MATCH(SMALL(Firms!$Y$5:$Y$1004,383),Firms!$W$5:$W$1004,0),"")</f>
        <v/>
      </c>
    </row>
    <row r="392">
      <c r="B392" s="78">
        <f>IF($O392="","",INDEX(Firms!$A$5:$A$1004,$O392))</f>
        <v/>
      </c>
      <c r="C392" s="79">
        <f>IF($O392="","",INDEX(Firms!$N$5:$N$1004,$O392)&amp;"")</f>
        <v/>
      </c>
      <c r="D392" s="79">
        <f>IF($O392="","",INDEX(Firms!$P$5:$P$1004,$O392)&amp;"")</f>
        <v/>
      </c>
      <c r="E392" s="79">
        <f>IF($O392="","",INDEX(Firms!$O$5:$O$1004,$O392)&amp;"")</f>
        <v/>
      </c>
      <c r="F392" s="50">
        <f>IF($O392="","",IF(INDEX(Firms!$F$5:$F$1004,$O392)="","—",INDEX(Firms!$F$5:$F$1004,$O392)))</f>
        <v/>
      </c>
      <c r="G392" s="50">
        <f>IF($O392="","",IF(INDEX(Firms!$G$5:$G$1004,$O392)="","—",INDEX(Firms!$G$5:$G$1004,$O392)))</f>
        <v/>
      </c>
      <c r="H392" s="50">
        <f>IF($O392="","",IF(INDEX(Firms!$H$5:$H$1004,$O392)="","—",INDEX(Firms!$H$5:$H$1004,$O392)))</f>
        <v/>
      </c>
      <c r="I392" s="50">
        <f>IF($O392="","",IF(INDEX(Firms!$I$5:$I$1004,$O392)="","—",INDEX(Firms!$I$5:$I$1004,$O392)))</f>
        <v/>
      </c>
      <c r="J392" s="50">
        <f>IF($O392="","",IF(INDEX(Firms!$J$5:$J$1004,$O392)="","—",INDEX(Firms!$J$5:$J$1004,$O392)))</f>
        <v/>
      </c>
      <c r="K392" s="50">
        <f>IF($O392="","",IF(INDEX(Firms!$K$5:$K$1004,$O392)="","—",INDEX(Firms!$K$5:$K$1004,$O392)))</f>
        <v/>
      </c>
      <c r="L392" s="50">
        <f>IF($O392="","",IF(INDEX(Firms!$L$5:$L$1004,$O392)="","—",INDEX(Firms!$L$5:$L$1004,$O392)))</f>
        <v/>
      </c>
      <c r="M392" s="50">
        <f>IF($O392="","",IF(INDEX(Firms!$M$5:$M$1004,$O392)="","—",INDEX(Firms!$M$5:$M$1004,$O392)))</f>
        <v/>
      </c>
      <c r="O392">
        <f>IFERROR(MATCH(SMALL(Firms!$Y$5:$Y$1004,384),Firms!$W$5:$W$1004,0),"")</f>
        <v/>
      </c>
    </row>
    <row r="393">
      <c r="B393" s="78">
        <f>IF($O393="","",INDEX(Firms!$A$5:$A$1004,$O393))</f>
        <v/>
      </c>
      <c r="C393" s="79">
        <f>IF($O393="","",INDEX(Firms!$N$5:$N$1004,$O393)&amp;"")</f>
        <v/>
      </c>
      <c r="D393" s="79">
        <f>IF($O393="","",INDEX(Firms!$P$5:$P$1004,$O393)&amp;"")</f>
        <v/>
      </c>
      <c r="E393" s="79">
        <f>IF($O393="","",INDEX(Firms!$O$5:$O$1004,$O393)&amp;"")</f>
        <v/>
      </c>
      <c r="F393" s="50">
        <f>IF($O393="","",IF(INDEX(Firms!$F$5:$F$1004,$O393)="","—",INDEX(Firms!$F$5:$F$1004,$O393)))</f>
        <v/>
      </c>
      <c r="G393" s="50">
        <f>IF($O393="","",IF(INDEX(Firms!$G$5:$G$1004,$O393)="","—",INDEX(Firms!$G$5:$G$1004,$O393)))</f>
        <v/>
      </c>
      <c r="H393" s="50">
        <f>IF($O393="","",IF(INDEX(Firms!$H$5:$H$1004,$O393)="","—",INDEX(Firms!$H$5:$H$1004,$O393)))</f>
        <v/>
      </c>
      <c r="I393" s="50">
        <f>IF($O393="","",IF(INDEX(Firms!$I$5:$I$1004,$O393)="","—",INDEX(Firms!$I$5:$I$1004,$O393)))</f>
        <v/>
      </c>
      <c r="J393" s="50">
        <f>IF($O393="","",IF(INDEX(Firms!$J$5:$J$1004,$O393)="","—",INDEX(Firms!$J$5:$J$1004,$O393)))</f>
        <v/>
      </c>
      <c r="K393" s="50">
        <f>IF($O393="","",IF(INDEX(Firms!$K$5:$K$1004,$O393)="","—",INDEX(Firms!$K$5:$K$1004,$O393)))</f>
        <v/>
      </c>
      <c r="L393" s="50">
        <f>IF($O393="","",IF(INDEX(Firms!$L$5:$L$1004,$O393)="","—",INDEX(Firms!$L$5:$L$1004,$O393)))</f>
        <v/>
      </c>
      <c r="M393" s="50">
        <f>IF($O393="","",IF(INDEX(Firms!$M$5:$M$1004,$O393)="","—",INDEX(Firms!$M$5:$M$1004,$O393)))</f>
        <v/>
      </c>
      <c r="O393">
        <f>IFERROR(MATCH(SMALL(Firms!$Y$5:$Y$1004,385),Firms!$W$5:$W$1004,0),"")</f>
        <v/>
      </c>
    </row>
    <row r="394">
      <c r="B394" s="78">
        <f>IF($O394="","",INDEX(Firms!$A$5:$A$1004,$O394))</f>
        <v/>
      </c>
      <c r="C394" s="79">
        <f>IF($O394="","",INDEX(Firms!$N$5:$N$1004,$O394)&amp;"")</f>
        <v/>
      </c>
      <c r="D394" s="79">
        <f>IF($O394="","",INDEX(Firms!$P$5:$P$1004,$O394)&amp;"")</f>
        <v/>
      </c>
      <c r="E394" s="79">
        <f>IF($O394="","",INDEX(Firms!$O$5:$O$1004,$O394)&amp;"")</f>
        <v/>
      </c>
      <c r="F394" s="50">
        <f>IF($O394="","",IF(INDEX(Firms!$F$5:$F$1004,$O394)="","—",INDEX(Firms!$F$5:$F$1004,$O394)))</f>
        <v/>
      </c>
      <c r="G394" s="50">
        <f>IF($O394="","",IF(INDEX(Firms!$G$5:$G$1004,$O394)="","—",INDEX(Firms!$G$5:$G$1004,$O394)))</f>
        <v/>
      </c>
      <c r="H394" s="50">
        <f>IF($O394="","",IF(INDEX(Firms!$H$5:$H$1004,$O394)="","—",INDEX(Firms!$H$5:$H$1004,$O394)))</f>
        <v/>
      </c>
      <c r="I394" s="50">
        <f>IF($O394="","",IF(INDEX(Firms!$I$5:$I$1004,$O394)="","—",INDEX(Firms!$I$5:$I$1004,$O394)))</f>
        <v/>
      </c>
      <c r="J394" s="50">
        <f>IF($O394="","",IF(INDEX(Firms!$J$5:$J$1004,$O394)="","—",INDEX(Firms!$J$5:$J$1004,$O394)))</f>
        <v/>
      </c>
      <c r="K394" s="50">
        <f>IF($O394="","",IF(INDEX(Firms!$K$5:$K$1004,$O394)="","—",INDEX(Firms!$K$5:$K$1004,$O394)))</f>
        <v/>
      </c>
      <c r="L394" s="50">
        <f>IF($O394="","",IF(INDEX(Firms!$L$5:$L$1004,$O394)="","—",INDEX(Firms!$L$5:$L$1004,$O394)))</f>
        <v/>
      </c>
      <c r="M394" s="50">
        <f>IF($O394="","",IF(INDEX(Firms!$M$5:$M$1004,$O394)="","—",INDEX(Firms!$M$5:$M$1004,$O394)))</f>
        <v/>
      </c>
      <c r="O394">
        <f>IFERROR(MATCH(SMALL(Firms!$Y$5:$Y$1004,386),Firms!$W$5:$W$1004,0),"")</f>
        <v/>
      </c>
    </row>
    <row r="395">
      <c r="B395" s="78">
        <f>IF($O395="","",INDEX(Firms!$A$5:$A$1004,$O395))</f>
        <v/>
      </c>
      <c r="C395" s="79">
        <f>IF($O395="","",INDEX(Firms!$N$5:$N$1004,$O395)&amp;"")</f>
        <v/>
      </c>
      <c r="D395" s="79">
        <f>IF($O395="","",INDEX(Firms!$P$5:$P$1004,$O395)&amp;"")</f>
        <v/>
      </c>
      <c r="E395" s="79">
        <f>IF($O395="","",INDEX(Firms!$O$5:$O$1004,$O395)&amp;"")</f>
        <v/>
      </c>
      <c r="F395" s="50">
        <f>IF($O395="","",IF(INDEX(Firms!$F$5:$F$1004,$O395)="","—",INDEX(Firms!$F$5:$F$1004,$O395)))</f>
        <v/>
      </c>
      <c r="G395" s="50">
        <f>IF($O395="","",IF(INDEX(Firms!$G$5:$G$1004,$O395)="","—",INDEX(Firms!$G$5:$G$1004,$O395)))</f>
        <v/>
      </c>
      <c r="H395" s="50">
        <f>IF($O395="","",IF(INDEX(Firms!$H$5:$H$1004,$O395)="","—",INDEX(Firms!$H$5:$H$1004,$O395)))</f>
        <v/>
      </c>
      <c r="I395" s="50">
        <f>IF($O395="","",IF(INDEX(Firms!$I$5:$I$1004,$O395)="","—",INDEX(Firms!$I$5:$I$1004,$O395)))</f>
        <v/>
      </c>
      <c r="J395" s="50">
        <f>IF($O395="","",IF(INDEX(Firms!$J$5:$J$1004,$O395)="","—",INDEX(Firms!$J$5:$J$1004,$O395)))</f>
        <v/>
      </c>
      <c r="K395" s="50">
        <f>IF($O395="","",IF(INDEX(Firms!$K$5:$K$1004,$O395)="","—",INDEX(Firms!$K$5:$K$1004,$O395)))</f>
        <v/>
      </c>
      <c r="L395" s="50">
        <f>IF($O395="","",IF(INDEX(Firms!$L$5:$L$1004,$O395)="","—",INDEX(Firms!$L$5:$L$1004,$O395)))</f>
        <v/>
      </c>
      <c r="M395" s="50">
        <f>IF($O395="","",IF(INDEX(Firms!$M$5:$M$1004,$O395)="","—",INDEX(Firms!$M$5:$M$1004,$O395)))</f>
        <v/>
      </c>
      <c r="O395">
        <f>IFERROR(MATCH(SMALL(Firms!$Y$5:$Y$1004,387),Firms!$W$5:$W$1004,0),"")</f>
        <v/>
      </c>
    </row>
    <row r="396">
      <c r="B396" s="78">
        <f>IF($O396="","",INDEX(Firms!$A$5:$A$1004,$O396))</f>
        <v/>
      </c>
      <c r="C396" s="79">
        <f>IF($O396="","",INDEX(Firms!$N$5:$N$1004,$O396)&amp;"")</f>
        <v/>
      </c>
      <c r="D396" s="79">
        <f>IF($O396="","",INDEX(Firms!$P$5:$P$1004,$O396)&amp;"")</f>
        <v/>
      </c>
      <c r="E396" s="79">
        <f>IF($O396="","",INDEX(Firms!$O$5:$O$1004,$O396)&amp;"")</f>
        <v/>
      </c>
      <c r="F396" s="50">
        <f>IF($O396="","",IF(INDEX(Firms!$F$5:$F$1004,$O396)="","—",INDEX(Firms!$F$5:$F$1004,$O396)))</f>
        <v/>
      </c>
      <c r="G396" s="50">
        <f>IF($O396="","",IF(INDEX(Firms!$G$5:$G$1004,$O396)="","—",INDEX(Firms!$G$5:$G$1004,$O396)))</f>
        <v/>
      </c>
      <c r="H396" s="50">
        <f>IF($O396="","",IF(INDEX(Firms!$H$5:$H$1004,$O396)="","—",INDEX(Firms!$H$5:$H$1004,$O396)))</f>
        <v/>
      </c>
      <c r="I396" s="50">
        <f>IF($O396="","",IF(INDEX(Firms!$I$5:$I$1004,$O396)="","—",INDEX(Firms!$I$5:$I$1004,$O396)))</f>
        <v/>
      </c>
      <c r="J396" s="50">
        <f>IF($O396="","",IF(INDEX(Firms!$J$5:$J$1004,$O396)="","—",INDEX(Firms!$J$5:$J$1004,$O396)))</f>
        <v/>
      </c>
      <c r="K396" s="50">
        <f>IF($O396="","",IF(INDEX(Firms!$K$5:$K$1004,$O396)="","—",INDEX(Firms!$K$5:$K$1004,$O396)))</f>
        <v/>
      </c>
      <c r="L396" s="50">
        <f>IF($O396="","",IF(INDEX(Firms!$L$5:$L$1004,$O396)="","—",INDEX(Firms!$L$5:$L$1004,$O396)))</f>
        <v/>
      </c>
      <c r="M396" s="50">
        <f>IF($O396="","",IF(INDEX(Firms!$M$5:$M$1004,$O396)="","—",INDEX(Firms!$M$5:$M$1004,$O396)))</f>
        <v/>
      </c>
      <c r="O396">
        <f>IFERROR(MATCH(SMALL(Firms!$Y$5:$Y$1004,388),Firms!$W$5:$W$1004,0),"")</f>
        <v/>
      </c>
    </row>
    <row r="397">
      <c r="B397" s="78">
        <f>IF($O397="","",INDEX(Firms!$A$5:$A$1004,$O397))</f>
        <v/>
      </c>
      <c r="C397" s="79">
        <f>IF($O397="","",INDEX(Firms!$N$5:$N$1004,$O397)&amp;"")</f>
        <v/>
      </c>
      <c r="D397" s="79">
        <f>IF($O397="","",INDEX(Firms!$P$5:$P$1004,$O397)&amp;"")</f>
        <v/>
      </c>
      <c r="E397" s="79">
        <f>IF($O397="","",INDEX(Firms!$O$5:$O$1004,$O397)&amp;"")</f>
        <v/>
      </c>
      <c r="F397" s="50">
        <f>IF($O397="","",IF(INDEX(Firms!$F$5:$F$1004,$O397)="","—",INDEX(Firms!$F$5:$F$1004,$O397)))</f>
        <v/>
      </c>
      <c r="G397" s="50">
        <f>IF($O397="","",IF(INDEX(Firms!$G$5:$G$1004,$O397)="","—",INDEX(Firms!$G$5:$G$1004,$O397)))</f>
        <v/>
      </c>
      <c r="H397" s="50">
        <f>IF($O397="","",IF(INDEX(Firms!$H$5:$H$1004,$O397)="","—",INDEX(Firms!$H$5:$H$1004,$O397)))</f>
        <v/>
      </c>
      <c r="I397" s="50">
        <f>IF($O397="","",IF(INDEX(Firms!$I$5:$I$1004,$O397)="","—",INDEX(Firms!$I$5:$I$1004,$O397)))</f>
        <v/>
      </c>
      <c r="J397" s="50">
        <f>IF($O397="","",IF(INDEX(Firms!$J$5:$J$1004,$O397)="","—",INDEX(Firms!$J$5:$J$1004,$O397)))</f>
        <v/>
      </c>
      <c r="K397" s="50">
        <f>IF($O397="","",IF(INDEX(Firms!$K$5:$K$1004,$O397)="","—",INDEX(Firms!$K$5:$K$1004,$O397)))</f>
        <v/>
      </c>
      <c r="L397" s="50">
        <f>IF($O397="","",IF(INDEX(Firms!$L$5:$L$1004,$O397)="","—",INDEX(Firms!$L$5:$L$1004,$O397)))</f>
        <v/>
      </c>
      <c r="M397" s="50">
        <f>IF($O397="","",IF(INDEX(Firms!$M$5:$M$1004,$O397)="","—",INDEX(Firms!$M$5:$M$1004,$O397)))</f>
        <v/>
      </c>
      <c r="O397">
        <f>IFERROR(MATCH(SMALL(Firms!$Y$5:$Y$1004,389),Firms!$W$5:$W$1004,0),"")</f>
        <v/>
      </c>
    </row>
    <row r="398">
      <c r="B398" s="78">
        <f>IF($O398="","",INDEX(Firms!$A$5:$A$1004,$O398))</f>
        <v/>
      </c>
      <c r="C398" s="79">
        <f>IF($O398="","",INDEX(Firms!$N$5:$N$1004,$O398)&amp;"")</f>
        <v/>
      </c>
      <c r="D398" s="79">
        <f>IF($O398="","",INDEX(Firms!$P$5:$P$1004,$O398)&amp;"")</f>
        <v/>
      </c>
      <c r="E398" s="79">
        <f>IF($O398="","",INDEX(Firms!$O$5:$O$1004,$O398)&amp;"")</f>
        <v/>
      </c>
      <c r="F398" s="50">
        <f>IF($O398="","",IF(INDEX(Firms!$F$5:$F$1004,$O398)="","—",INDEX(Firms!$F$5:$F$1004,$O398)))</f>
        <v/>
      </c>
      <c r="G398" s="50">
        <f>IF($O398="","",IF(INDEX(Firms!$G$5:$G$1004,$O398)="","—",INDEX(Firms!$G$5:$G$1004,$O398)))</f>
        <v/>
      </c>
      <c r="H398" s="50">
        <f>IF($O398="","",IF(INDEX(Firms!$H$5:$H$1004,$O398)="","—",INDEX(Firms!$H$5:$H$1004,$O398)))</f>
        <v/>
      </c>
      <c r="I398" s="50">
        <f>IF($O398="","",IF(INDEX(Firms!$I$5:$I$1004,$O398)="","—",INDEX(Firms!$I$5:$I$1004,$O398)))</f>
        <v/>
      </c>
      <c r="J398" s="50">
        <f>IF($O398="","",IF(INDEX(Firms!$J$5:$J$1004,$O398)="","—",INDEX(Firms!$J$5:$J$1004,$O398)))</f>
        <v/>
      </c>
      <c r="K398" s="50">
        <f>IF($O398="","",IF(INDEX(Firms!$K$5:$K$1004,$O398)="","—",INDEX(Firms!$K$5:$K$1004,$O398)))</f>
        <v/>
      </c>
      <c r="L398" s="50">
        <f>IF($O398="","",IF(INDEX(Firms!$L$5:$L$1004,$O398)="","—",INDEX(Firms!$L$5:$L$1004,$O398)))</f>
        <v/>
      </c>
      <c r="M398" s="50">
        <f>IF($O398="","",IF(INDEX(Firms!$M$5:$M$1004,$O398)="","—",INDEX(Firms!$M$5:$M$1004,$O398)))</f>
        <v/>
      </c>
      <c r="O398">
        <f>IFERROR(MATCH(SMALL(Firms!$Y$5:$Y$1004,390),Firms!$W$5:$W$1004,0),"")</f>
        <v/>
      </c>
    </row>
    <row r="399">
      <c r="B399" s="78">
        <f>IF($O399="","",INDEX(Firms!$A$5:$A$1004,$O399))</f>
        <v/>
      </c>
      <c r="C399" s="79">
        <f>IF($O399="","",INDEX(Firms!$N$5:$N$1004,$O399)&amp;"")</f>
        <v/>
      </c>
      <c r="D399" s="79">
        <f>IF($O399="","",INDEX(Firms!$P$5:$P$1004,$O399)&amp;"")</f>
        <v/>
      </c>
      <c r="E399" s="79">
        <f>IF($O399="","",INDEX(Firms!$O$5:$O$1004,$O399)&amp;"")</f>
        <v/>
      </c>
      <c r="F399" s="50">
        <f>IF($O399="","",IF(INDEX(Firms!$F$5:$F$1004,$O399)="","—",INDEX(Firms!$F$5:$F$1004,$O399)))</f>
        <v/>
      </c>
      <c r="G399" s="50">
        <f>IF($O399="","",IF(INDEX(Firms!$G$5:$G$1004,$O399)="","—",INDEX(Firms!$G$5:$G$1004,$O399)))</f>
        <v/>
      </c>
      <c r="H399" s="50">
        <f>IF($O399="","",IF(INDEX(Firms!$H$5:$H$1004,$O399)="","—",INDEX(Firms!$H$5:$H$1004,$O399)))</f>
        <v/>
      </c>
      <c r="I399" s="50">
        <f>IF($O399="","",IF(INDEX(Firms!$I$5:$I$1004,$O399)="","—",INDEX(Firms!$I$5:$I$1004,$O399)))</f>
        <v/>
      </c>
      <c r="J399" s="50">
        <f>IF($O399="","",IF(INDEX(Firms!$J$5:$J$1004,$O399)="","—",INDEX(Firms!$J$5:$J$1004,$O399)))</f>
        <v/>
      </c>
      <c r="K399" s="50">
        <f>IF($O399="","",IF(INDEX(Firms!$K$5:$K$1004,$O399)="","—",INDEX(Firms!$K$5:$K$1004,$O399)))</f>
        <v/>
      </c>
      <c r="L399" s="50">
        <f>IF($O399="","",IF(INDEX(Firms!$L$5:$L$1004,$O399)="","—",INDEX(Firms!$L$5:$L$1004,$O399)))</f>
        <v/>
      </c>
      <c r="M399" s="50">
        <f>IF($O399="","",IF(INDEX(Firms!$M$5:$M$1004,$O399)="","—",INDEX(Firms!$M$5:$M$1004,$O399)))</f>
        <v/>
      </c>
      <c r="O399">
        <f>IFERROR(MATCH(SMALL(Firms!$Y$5:$Y$1004,391),Firms!$W$5:$W$1004,0),"")</f>
        <v/>
      </c>
    </row>
    <row r="400">
      <c r="B400" s="78">
        <f>IF($O400="","",INDEX(Firms!$A$5:$A$1004,$O400))</f>
        <v/>
      </c>
      <c r="C400" s="79">
        <f>IF($O400="","",INDEX(Firms!$N$5:$N$1004,$O400)&amp;"")</f>
        <v/>
      </c>
      <c r="D400" s="79">
        <f>IF($O400="","",INDEX(Firms!$P$5:$P$1004,$O400)&amp;"")</f>
        <v/>
      </c>
      <c r="E400" s="79">
        <f>IF($O400="","",INDEX(Firms!$O$5:$O$1004,$O400)&amp;"")</f>
        <v/>
      </c>
      <c r="F400" s="50">
        <f>IF($O400="","",IF(INDEX(Firms!$F$5:$F$1004,$O400)="","—",INDEX(Firms!$F$5:$F$1004,$O400)))</f>
        <v/>
      </c>
      <c r="G400" s="50">
        <f>IF($O400="","",IF(INDEX(Firms!$G$5:$G$1004,$O400)="","—",INDEX(Firms!$G$5:$G$1004,$O400)))</f>
        <v/>
      </c>
      <c r="H400" s="50">
        <f>IF($O400="","",IF(INDEX(Firms!$H$5:$H$1004,$O400)="","—",INDEX(Firms!$H$5:$H$1004,$O400)))</f>
        <v/>
      </c>
      <c r="I400" s="50">
        <f>IF($O400="","",IF(INDEX(Firms!$I$5:$I$1004,$O400)="","—",INDEX(Firms!$I$5:$I$1004,$O400)))</f>
        <v/>
      </c>
      <c r="J400" s="50">
        <f>IF($O400="","",IF(INDEX(Firms!$J$5:$J$1004,$O400)="","—",INDEX(Firms!$J$5:$J$1004,$O400)))</f>
        <v/>
      </c>
      <c r="K400" s="50">
        <f>IF($O400="","",IF(INDEX(Firms!$K$5:$K$1004,$O400)="","—",INDEX(Firms!$K$5:$K$1004,$O400)))</f>
        <v/>
      </c>
      <c r="L400" s="50">
        <f>IF($O400="","",IF(INDEX(Firms!$L$5:$L$1004,$O400)="","—",INDEX(Firms!$L$5:$L$1004,$O400)))</f>
        <v/>
      </c>
      <c r="M400" s="50">
        <f>IF($O400="","",IF(INDEX(Firms!$M$5:$M$1004,$O400)="","—",INDEX(Firms!$M$5:$M$1004,$O400)))</f>
        <v/>
      </c>
      <c r="O400">
        <f>IFERROR(MATCH(SMALL(Firms!$Y$5:$Y$1004,392),Firms!$W$5:$W$1004,0),"")</f>
        <v/>
      </c>
    </row>
    <row r="401">
      <c r="B401" s="78">
        <f>IF($O401="","",INDEX(Firms!$A$5:$A$1004,$O401))</f>
        <v/>
      </c>
      <c r="C401" s="79">
        <f>IF($O401="","",INDEX(Firms!$N$5:$N$1004,$O401)&amp;"")</f>
        <v/>
      </c>
      <c r="D401" s="79">
        <f>IF($O401="","",INDEX(Firms!$P$5:$P$1004,$O401)&amp;"")</f>
        <v/>
      </c>
      <c r="E401" s="79">
        <f>IF($O401="","",INDEX(Firms!$O$5:$O$1004,$O401)&amp;"")</f>
        <v/>
      </c>
      <c r="F401" s="50">
        <f>IF($O401="","",IF(INDEX(Firms!$F$5:$F$1004,$O401)="","—",INDEX(Firms!$F$5:$F$1004,$O401)))</f>
        <v/>
      </c>
      <c r="G401" s="50">
        <f>IF($O401="","",IF(INDEX(Firms!$G$5:$G$1004,$O401)="","—",INDEX(Firms!$G$5:$G$1004,$O401)))</f>
        <v/>
      </c>
      <c r="H401" s="50">
        <f>IF($O401="","",IF(INDEX(Firms!$H$5:$H$1004,$O401)="","—",INDEX(Firms!$H$5:$H$1004,$O401)))</f>
        <v/>
      </c>
      <c r="I401" s="50">
        <f>IF($O401="","",IF(INDEX(Firms!$I$5:$I$1004,$O401)="","—",INDEX(Firms!$I$5:$I$1004,$O401)))</f>
        <v/>
      </c>
      <c r="J401" s="50">
        <f>IF($O401="","",IF(INDEX(Firms!$J$5:$J$1004,$O401)="","—",INDEX(Firms!$J$5:$J$1004,$O401)))</f>
        <v/>
      </c>
      <c r="K401" s="50">
        <f>IF($O401="","",IF(INDEX(Firms!$K$5:$K$1004,$O401)="","—",INDEX(Firms!$K$5:$K$1004,$O401)))</f>
        <v/>
      </c>
      <c r="L401" s="50">
        <f>IF($O401="","",IF(INDEX(Firms!$L$5:$L$1004,$O401)="","—",INDEX(Firms!$L$5:$L$1004,$O401)))</f>
        <v/>
      </c>
      <c r="M401" s="50">
        <f>IF($O401="","",IF(INDEX(Firms!$M$5:$M$1004,$O401)="","—",INDEX(Firms!$M$5:$M$1004,$O401)))</f>
        <v/>
      </c>
      <c r="O401">
        <f>IFERROR(MATCH(SMALL(Firms!$Y$5:$Y$1004,393),Firms!$W$5:$W$1004,0),"")</f>
        <v/>
      </c>
    </row>
    <row r="402">
      <c r="B402" s="78">
        <f>IF($O402="","",INDEX(Firms!$A$5:$A$1004,$O402))</f>
        <v/>
      </c>
      <c r="C402" s="79">
        <f>IF($O402="","",INDEX(Firms!$N$5:$N$1004,$O402)&amp;"")</f>
        <v/>
      </c>
      <c r="D402" s="79">
        <f>IF($O402="","",INDEX(Firms!$P$5:$P$1004,$O402)&amp;"")</f>
        <v/>
      </c>
      <c r="E402" s="79">
        <f>IF($O402="","",INDEX(Firms!$O$5:$O$1004,$O402)&amp;"")</f>
        <v/>
      </c>
      <c r="F402" s="50">
        <f>IF($O402="","",IF(INDEX(Firms!$F$5:$F$1004,$O402)="","—",INDEX(Firms!$F$5:$F$1004,$O402)))</f>
        <v/>
      </c>
      <c r="G402" s="50">
        <f>IF($O402="","",IF(INDEX(Firms!$G$5:$G$1004,$O402)="","—",INDEX(Firms!$G$5:$G$1004,$O402)))</f>
        <v/>
      </c>
      <c r="H402" s="50">
        <f>IF($O402="","",IF(INDEX(Firms!$H$5:$H$1004,$O402)="","—",INDEX(Firms!$H$5:$H$1004,$O402)))</f>
        <v/>
      </c>
      <c r="I402" s="50">
        <f>IF($O402="","",IF(INDEX(Firms!$I$5:$I$1004,$O402)="","—",INDEX(Firms!$I$5:$I$1004,$O402)))</f>
        <v/>
      </c>
      <c r="J402" s="50">
        <f>IF($O402="","",IF(INDEX(Firms!$J$5:$J$1004,$O402)="","—",INDEX(Firms!$J$5:$J$1004,$O402)))</f>
        <v/>
      </c>
      <c r="K402" s="50">
        <f>IF($O402="","",IF(INDEX(Firms!$K$5:$K$1004,$O402)="","—",INDEX(Firms!$K$5:$K$1004,$O402)))</f>
        <v/>
      </c>
      <c r="L402" s="50">
        <f>IF($O402="","",IF(INDEX(Firms!$L$5:$L$1004,$O402)="","—",INDEX(Firms!$L$5:$L$1004,$O402)))</f>
        <v/>
      </c>
      <c r="M402" s="50">
        <f>IF($O402="","",IF(INDEX(Firms!$M$5:$M$1004,$O402)="","—",INDEX(Firms!$M$5:$M$1004,$O402)))</f>
        <v/>
      </c>
      <c r="O402">
        <f>IFERROR(MATCH(SMALL(Firms!$Y$5:$Y$1004,394),Firms!$W$5:$W$1004,0),"")</f>
        <v/>
      </c>
    </row>
    <row r="403">
      <c r="B403" s="78">
        <f>IF($O403="","",INDEX(Firms!$A$5:$A$1004,$O403))</f>
        <v/>
      </c>
      <c r="C403" s="79">
        <f>IF($O403="","",INDEX(Firms!$N$5:$N$1004,$O403)&amp;"")</f>
        <v/>
      </c>
      <c r="D403" s="79">
        <f>IF($O403="","",INDEX(Firms!$P$5:$P$1004,$O403)&amp;"")</f>
        <v/>
      </c>
      <c r="E403" s="79">
        <f>IF($O403="","",INDEX(Firms!$O$5:$O$1004,$O403)&amp;"")</f>
        <v/>
      </c>
      <c r="F403" s="50">
        <f>IF($O403="","",IF(INDEX(Firms!$F$5:$F$1004,$O403)="","—",INDEX(Firms!$F$5:$F$1004,$O403)))</f>
        <v/>
      </c>
      <c r="G403" s="50">
        <f>IF($O403="","",IF(INDEX(Firms!$G$5:$G$1004,$O403)="","—",INDEX(Firms!$G$5:$G$1004,$O403)))</f>
        <v/>
      </c>
      <c r="H403" s="50">
        <f>IF($O403="","",IF(INDEX(Firms!$H$5:$H$1004,$O403)="","—",INDEX(Firms!$H$5:$H$1004,$O403)))</f>
        <v/>
      </c>
      <c r="I403" s="50">
        <f>IF($O403="","",IF(INDEX(Firms!$I$5:$I$1004,$O403)="","—",INDEX(Firms!$I$5:$I$1004,$O403)))</f>
        <v/>
      </c>
      <c r="J403" s="50">
        <f>IF($O403="","",IF(INDEX(Firms!$J$5:$J$1004,$O403)="","—",INDEX(Firms!$J$5:$J$1004,$O403)))</f>
        <v/>
      </c>
      <c r="K403" s="50">
        <f>IF($O403="","",IF(INDEX(Firms!$K$5:$K$1004,$O403)="","—",INDEX(Firms!$K$5:$K$1004,$O403)))</f>
        <v/>
      </c>
      <c r="L403" s="50">
        <f>IF($O403="","",IF(INDEX(Firms!$L$5:$L$1004,$O403)="","—",INDEX(Firms!$L$5:$L$1004,$O403)))</f>
        <v/>
      </c>
      <c r="M403" s="50">
        <f>IF($O403="","",IF(INDEX(Firms!$M$5:$M$1004,$O403)="","—",INDEX(Firms!$M$5:$M$1004,$O403)))</f>
        <v/>
      </c>
      <c r="O403">
        <f>IFERROR(MATCH(SMALL(Firms!$Y$5:$Y$1004,395),Firms!$W$5:$W$1004,0),"")</f>
        <v/>
      </c>
    </row>
    <row r="404">
      <c r="B404" s="78">
        <f>IF($O404="","",INDEX(Firms!$A$5:$A$1004,$O404))</f>
        <v/>
      </c>
      <c r="C404" s="79">
        <f>IF($O404="","",INDEX(Firms!$N$5:$N$1004,$O404)&amp;"")</f>
        <v/>
      </c>
      <c r="D404" s="79">
        <f>IF($O404="","",INDEX(Firms!$P$5:$P$1004,$O404)&amp;"")</f>
        <v/>
      </c>
      <c r="E404" s="79">
        <f>IF($O404="","",INDEX(Firms!$O$5:$O$1004,$O404)&amp;"")</f>
        <v/>
      </c>
      <c r="F404" s="50">
        <f>IF($O404="","",IF(INDEX(Firms!$F$5:$F$1004,$O404)="","—",INDEX(Firms!$F$5:$F$1004,$O404)))</f>
        <v/>
      </c>
      <c r="G404" s="50">
        <f>IF($O404="","",IF(INDEX(Firms!$G$5:$G$1004,$O404)="","—",INDEX(Firms!$G$5:$G$1004,$O404)))</f>
        <v/>
      </c>
      <c r="H404" s="50">
        <f>IF($O404="","",IF(INDEX(Firms!$H$5:$H$1004,$O404)="","—",INDEX(Firms!$H$5:$H$1004,$O404)))</f>
        <v/>
      </c>
      <c r="I404" s="50">
        <f>IF($O404="","",IF(INDEX(Firms!$I$5:$I$1004,$O404)="","—",INDEX(Firms!$I$5:$I$1004,$O404)))</f>
        <v/>
      </c>
      <c r="J404" s="50">
        <f>IF($O404="","",IF(INDEX(Firms!$J$5:$J$1004,$O404)="","—",INDEX(Firms!$J$5:$J$1004,$O404)))</f>
        <v/>
      </c>
      <c r="K404" s="50">
        <f>IF($O404="","",IF(INDEX(Firms!$K$5:$K$1004,$O404)="","—",INDEX(Firms!$K$5:$K$1004,$O404)))</f>
        <v/>
      </c>
      <c r="L404" s="50">
        <f>IF($O404="","",IF(INDEX(Firms!$L$5:$L$1004,$O404)="","—",INDEX(Firms!$L$5:$L$1004,$O404)))</f>
        <v/>
      </c>
      <c r="M404" s="50">
        <f>IF($O404="","",IF(INDEX(Firms!$M$5:$M$1004,$O404)="","—",INDEX(Firms!$M$5:$M$1004,$O404)))</f>
        <v/>
      </c>
      <c r="O404">
        <f>IFERROR(MATCH(SMALL(Firms!$Y$5:$Y$1004,396),Firms!$W$5:$W$1004,0),"")</f>
        <v/>
      </c>
    </row>
    <row r="405">
      <c r="B405" s="78">
        <f>IF($O405="","",INDEX(Firms!$A$5:$A$1004,$O405))</f>
        <v/>
      </c>
      <c r="C405" s="79">
        <f>IF($O405="","",INDEX(Firms!$N$5:$N$1004,$O405)&amp;"")</f>
        <v/>
      </c>
      <c r="D405" s="79">
        <f>IF($O405="","",INDEX(Firms!$P$5:$P$1004,$O405)&amp;"")</f>
        <v/>
      </c>
      <c r="E405" s="79">
        <f>IF($O405="","",INDEX(Firms!$O$5:$O$1004,$O405)&amp;"")</f>
        <v/>
      </c>
      <c r="F405" s="50">
        <f>IF($O405="","",IF(INDEX(Firms!$F$5:$F$1004,$O405)="","—",INDEX(Firms!$F$5:$F$1004,$O405)))</f>
        <v/>
      </c>
      <c r="G405" s="50">
        <f>IF($O405="","",IF(INDEX(Firms!$G$5:$G$1004,$O405)="","—",INDEX(Firms!$G$5:$G$1004,$O405)))</f>
        <v/>
      </c>
      <c r="H405" s="50">
        <f>IF($O405="","",IF(INDEX(Firms!$H$5:$H$1004,$O405)="","—",INDEX(Firms!$H$5:$H$1004,$O405)))</f>
        <v/>
      </c>
      <c r="I405" s="50">
        <f>IF($O405="","",IF(INDEX(Firms!$I$5:$I$1004,$O405)="","—",INDEX(Firms!$I$5:$I$1004,$O405)))</f>
        <v/>
      </c>
      <c r="J405" s="50">
        <f>IF($O405="","",IF(INDEX(Firms!$J$5:$J$1004,$O405)="","—",INDEX(Firms!$J$5:$J$1004,$O405)))</f>
        <v/>
      </c>
      <c r="K405" s="50">
        <f>IF($O405="","",IF(INDEX(Firms!$K$5:$K$1004,$O405)="","—",INDEX(Firms!$K$5:$K$1004,$O405)))</f>
        <v/>
      </c>
      <c r="L405" s="50">
        <f>IF($O405="","",IF(INDEX(Firms!$L$5:$L$1004,$O405)="","—",INDEX(Firms!$L$5:$L$1004,$O405)))</f>
        <v/>
      </c>
      <c r="M405" s="50">
        <f>IF($O405="","",IF(INDEX(Firms!$M$5:$M$1004,$O405)="","—",INDEX(Firms!$M$5:$M$1004,$O405)))</f>
        <v/>
      </c>
      <c r="O405">
        <f>IFERROR(MATCH(SMALL(Firms!$Y$5:$Y$1004,397),Firms!$W$5:$W$1004,0),"")</f>
        <v/>
      </c>
    </row>
    <row r="406">
      <c r="B406" s="78">
        <f>IF($O406="","",INDEX(Firms!$A$5:$A$1004,$O406))</f>
        <v/>
      </c>
      <c r="C406" s="79">
        <f>IF($O406="","",INDEX(Firms!$N$5:$N$1004,$O406)&amp;"")</f>
        <v/>
      </c>
      <c r="D406" s="79">
        <f>IF($O406="","",INDEX(Firms!$P$5:$P$1004,$O406)&amp;"")</f>
        <v/>
      </c>
      <c r="E406" s="79">
        <f>IF($O406="","",INDEX(Firms!$O$5:$O$1004,$O406)&amp;"")</f>
        <v/>
      </c>
      <c r="F406" s="50">
        <f>IF($O406="","",IF(INDEX(Firms!$F$5:$F$1004,$O406)="","—",INDEX(Firms!$F$5:$F$1004,$O406)))</f>
        <v/>
      </c>
      <c r="G406" s="50">
        <f>IF($O406="","",IF(INDEX(Firms!$G$5:$G$1004,$O406)="","—",INDEX(Firms!$G$5:$G$1004,$O406)))</f>
        <v/>
      </c>
      <c r="H406" s="50">
        <f>IF($O406="","",IF(INDEX(Firms!$H$5:$H$1004,$O406)="","—",INDEX(Firms!$H$5:$H$1004,$O406)))</f>
        <v/>
      </c>
      <c r="I406" s="50">
        <f>IF($O406="","",IF(INDEX(Firms!$I$5:$I$1004,$O406)="","—",INDEX(Firms!$I$5:$I$1004,$O406)))</f>
        <v/>
      </c>
      <c r="J406" s="50">
        <f>IF($O406="","",IF(INDEX(Firms!$J$5:$J$1004,$O406)="","—",INDEX(Firms!$J$5:$J$1004,$O406)))</f>
        <v/>
      </c>
      <c r="K406" s="50">
        <f>IF($O406="","",IF(INDEX(Firms!$K$5:$K$1004,$O406)="","—",INDEX(Firms!$K$5:$K$1004,$O406)))</f>
        <v/>
      </c>
      <c r="L406" s="50">
        <f>IF($O406="","",IF(INDEX(Firms!$L$5:$L$1004,$O406)="","—",INDEX(Firms!$L$5:$L$1004,$O406)))</f>
        <v/>
      </c>
      <c r="M406" s="50">
        <f>IF($O406="","",IF(INDEX(Firms!$M$5:$M$1004,$O406)="","—",INDEX(Firms!$M$5:$M$1004,$O406)))</f>
        <v/>
      </c>
      <c r="O406">
        <f>IFERROR(MATCH(SMALL(Firms!$Y$5:$Y$1004,398),Firms!$W$5:$W$1004,0),"")</f>
        <v/>
      </c>
    </row>
    <row r="407">
      <c r="B407" s="78">
        <f>IF($O407="","",INDEX(Firms!$A$5:$A$1004,$O407))</f>
        <v/>
      </c>
      <c r="C407" s="79">
        <f>IF($O407="","",INDEX(Firms!$N$5:$N$1004,$O407)&amp;"")</f>
        <v/>
      </c>
      <c r="D407" s="79">
        <f>IF($O407="","",INDEX(Firms!$P$5:$P$1004,$O407)&amp;"")</f>
        <v/>
      </c>
      <c r="E407" s="79">
        <f>IF($O407="","",INDEX(Firms!$O$5:$O$1004,$O407)&amp;"")</f>
        <v/>
      </c>
      <c r="F407" s="50">
        <f>IF($O407="","",IF(INDEX(Firms!$F$5:$F$1004,$O407)="","—",INDEX(Firms!$F$5:$F$1004,$O407)))</f>
        <v/>
      </c>
      <c r="G407" s="50">
        <f>IF($O407="","",IF(INDEX(Firms!$G$5:$G$1004,$O407)="","—",INDEX(Firms!$G$5:$G$1004,$O407)))</f>
        <v/>
      </c>
      <c r="H407" s="50">
        <f>IF($O407="","",IF(INDEX(Firms!$H$5:$H$1004,$O407)="","—",INDEX(Firms!$H$5:$H$1004,$O407)))</f>
        <v/>
      </c>
      <c r="I407" s="50">
        <f>IF($O407="","",IF(INDEX(Firms!$I$5:$I$1004,$O407)="","—",INDEX(Firms!$I$5:$I$1004,$O407)))</f>
        <v/>
      </c>
      <c r="J407" s="50">
        <f>IF($O407="","",IF(INDEX(Firms!$J$5:$J$1004,$O407)="","—",INDEX(Firms!$J$5:$J$1004,$O407)))</f>
        <v/>
      </c>
      <c r="K407" s="50">
        <f>IF($O407="","",IF(INDEX(Firms!$K$5:$K$1004,$O407)="","—",INDEX(Firms!$K$5:$K$1004,$O407)))</f>
        <v/>
      </c>
      <c r="L407" s="50">
        <f>IF($O407="","",IF(INDEX(Firms!$L$5:$L$1004,$O407)="","—",INDEX(Firms!$L$5:$L$1004,$O407)))</f>
        <v/>
      </c>
      <c r="M407" s="50">
        <f>IF($O407="","",IF(INDEX(Firms!$M$5:$M$1004,$O407)="","—",INDEX(Firms!$M$5:$M$1004,$O407)))</f>
        <v/>
      </c>
      <c r="O407">
        <f>IFERROR(MATCH(SMALL(Firms!$Y$5:$Y$1004,399),Firms!$W$5:$W$1004,0),"")</f>
        <v/>
      </c>
    </row>
    <row r="408">
      <c r="B408" s="78">
        <f>IF($O408="","",INDEX(Firms!$A$5:$A$1004,$O408))</f>
        <v/>
      </c>
      <c r="C408" s="79">
        <f>IF($O408="","",INDEX(Firms!$N$5:$N$1004,$O408)&amp;"")</f>
        <v/>
      </c>
      <c r="D408" s="79">
        <f>IF($O408="","",INDEX(Firms!$P$5:$P$1004,$O408)&amp;"")</f>
        <v/>
      </c>
      <c r="E408" s="79">
        <f>IF($O408="","",INDEX(Firms!$O$5:$O$1004,$O408)&amp;"")</f>
        <v/>
      </c>
      <c r="F408" s="50">
        <f>IF($O408="","",IF(INDEX(Firms!$F$5:$F$1004,$O408)="","—",INDEX(Firms!$F$5:$F$1004,$O408)))</f>
        <v/>
      </c>
      <c r="G408" s="50">
        <f>IF($O408="","",IF(INDEX(Firms!$G$5:$G$1004,$O408)="","—",INDEX(Firms!$G$5:$G$1004,$O408)))</f>
        <v/>
      </c>
      <c r="H408" s="50">
        <f>IF($O408="","",IF(INDEX(Firms!$H$5:$H$1004,$O408)="","—",INDEX(Firms!$H$5:$H$1004,$O408)))</f>
        <v/>
      </c>
      <c r="I408" s="50">
        <f>IF($O408="","",IF(INDEX(Firms!$I$5:$I$1004,$O408)="","—",INDEX(Firms!$I$5:$I$1004,$O408)))</f>
        <v/>
      </c>
      <c r="J408" s="50">
        <f>IF($O408="","",IF(INDEX(Firms!$J$5:$J$1004,$O408)="","—",INDEX(Firms!$J$5:$J$1004,$O408)))</f>
        <v/>
      </c>
      <c r="K408" s="50">
        <f>IF($O408="","",IF(INDEX(Firms!$K$5:$K$1004,$O408)="","—",INDEX(Firms!$K$5:$K$1004,$O408)))</f>
        <v/>
      </c>
      <c r="L408" s="50">
        <f>IF($O408="","",IF(INDEX(Firms!$L$5:$L$1004,$O408)="","—",INDEX(Firms!$L$5:$L$1004,$O408)))</f>
        <v/>
      </c>
      <c r="M408" s="50">
        <f>IF($O408="","",IF(INDEX(Firms!$M$5:$M$1004,$O408)="","—",INDEX(Firms!$M$5:$M$1004,$O408)))</f>
        <v/>
      </c>
      <c r="O408">
        <f>IFERROR(MATCH(SMALL(Firms!$Y$5:$Y$1004,400),Firms!$W$5:$W$1004,0),"")</f>
        <v/>
      </c>
    </row>
    <row r="409">
      <c r="B409" s="78">
        <f>IF($O409="","",INDEX(Firms!$A$5:$A$1004,$O409))</f>
        <v/>
      </c>
      <c r="C409" s="79">
        <f>IF($O409="","",INDEX(Firms!$N$5:$N$1004,$O409)&amp;"")</f>
        <v/>
      </c>
      <c r="D409" s="79">
        <f>IF($O409="","",INDEX(Firms!$P$5:$P$1004,$O409)&amp;"")</f>
        <v/>
      </c>
      <c r="E409" s="79">
        <f>IF($O409="","",INDEX(Firms!$O$5:$O$1004,$O409)&amp;"")</f>
        <v/>
      </c>
      <c r="F409" s="50">
        <f>IF($O409="","",IF(INDEX(Firms!$F$5:$F$1004,$O409)="","—",INDEX(Firms!$F$5:$F$1004,$O409)))</f>
        <v/>
      </c>
      <c r="G409" s="50">
        <f>IF($O409="","",IF(INDEX(Firms!$G$5:$G$1004,$O409)="","—",INDEX(Firms!$G$5:$G$1004,$O409)))</f>
        <v/>
      </c>
      <c r="H409" s="50">
        <f>IF($O409="","",IF(INDEX(Firms!$H$5:$H$1004,$O409)="","—",INDEX(Firms!$H$5:$H$1004,$O409)))</f>
        <v/>
      </c>
      <c r="I409" s="50">
        <f>IF($O409="","",IF(INDEX(Firms!$I$5:$I$1004,$O409)="","—",INDEX(Firms!$I$5:$I$1004,$O409)))</f>
        <v/>
      </c>
      <c r="J409" s="50">
        <f>IF($O409="","",IF(INDEX(Firms!$J$5:$J$1004,$O409)="","—",INDEX(Firms!$J$5:$J$1004,$O409)))</f>
        <v/>
      </c>
      <c r="K409" s="50">
        <f>IF($O409="","",IF(INDEX(Firms!$K$5:$K$1004,$O409)="","—",INDEX(Firms!$K$5:$K$1004,$O409)))</f>
        <v/>
      </c>
      <c r="L409" s="50">
        <f>IF($O409="","",IF(INDEX(Firms!$L$5:$L$1004,$O409)="","—",INDEX(Firms!$L$5:$L$1004,$O409)))</f>
        <v/>
      </c>
      <c r="M409" s="50">
        <f>IF($O409="","",IF(INDEX(Firms!$M$5:$M$1004,$O409)="","—",INDEX(Firms!$M$5:$M$1004,$O409)))</f>
        <v/>
      </c>
      <c r="O409">
        <f>IFERROR(MATCH(SMALL(Firms!$Y$5:$Y$1004,401),Firms!$W$5:$W$1004,0),"")</f>
        <v/>
      </c>
    </row>
    <row r="410">
      <c r="B410" s="78">
        <f>IF($O410="","",INDEX(Firms!$A$5:$A$1004,$O410))</f>
        <v/>
      </c>
      <c r="C410" s="79">
        <f>IF($O410="","",INDEX(Firms!$N$5:$N$1004,$O410)&amp;"")</f>
        <v/>
      </c>
      <c r="D410" s="79">
        <f>IF($O410="","",INDEX(Firms!$P$5:$P$1004,$O410)&amp;"")</f>
        <v/>
      </c>
      <c r="E410" s="79">
        <f>IF($O410="","",INDEX(Firms!$O$5:$O$1004,$O410)&amp;"")</f>
        <v/>
      </c>
      <c r="F410" s="50">
        <f>IF($O410="","",IF(INDEX(Firms!$F$5:$F$1004,$O410)="","—",INDEX(Firms!$F$5:$F$1004,$O410)))</f>
        <v/>
      </c>
      <c r="G410" s="50">
        <f>IF($O410="","",IF(INDEX(Firms!$G$5:$G$1004,$O410)="","—",INDEX(Firms!$G$5:$G$1004,$O410)))</f>
        <v/>
      </c>
      <c r="H410" s="50">
        <f>IF($O410="","",IF(INDEX(Firms!$H$5:$H$1004,$O410)="","—",INDEX(Firms!$H$5:$H$1004,$O410)))</f>
        <v/>
      </c>
      <c r="I410" s="50">
        <f>IF($O410="","",IF(INDEX(Firms!$I$5:$I$1004,$O410)="","—",INDEX(Firms!$I$5:$I$1004,$O410)))</f>
        <v/>
      </c>
      <c r="J410" s="50">
        <f>IF($O410="","",IF(INDEX(Firms!$J$5:$J$1004,$O410)="","—",INDEX(Firms!$J$5:$J$1004,$O410)))</f>
        <v/>
      </c>
      <c r="K410" s="50">
        <f>IF($O410="","",IF(INDEX(Firms!$K$5:$K$1004,$O410)="","—",INDEX(Firms!$K$5:$K$1004,$O410)))</f>
        <v/>
      </c>
      <c r="L410" s="50">
        <f>IF($O410="","",IF(INDEX(Firms!$L$5:$L$1004,$O410)="","—",INDEX(Firms!$L$5:$L$1004,$O410)))</f>
        <v/>
      </c>
      <c r="M410" s="50">
        <f>IF($O410="","",IF(INDEX(Firms!$M$5:$M$1004,$O410)="","—",INDEX(Firms!$M$5:$M$1004,$O410)))</f>
        <v/>
      </c>
      <c r="O410">
        <f>IFERROR(MATCH(SMALL(Firms!$Y$5:$Y$1004,402),Firms!$W$5:$W$1004,0),"")</f>
        <v/>
      </c>
    </row>
    <row r="411">
      <c r="B411" s="78">
        <f>IF($O411="","",INDEX(Firms!$A$5:$A$1004,$O411))</f>
        <v/>
      </c>
      <c r="C411" s="79">
        <f>IF($O411="","",INDEX(Firms!$N$5:$N$1004,$O411)&amp;"")</f>
        <v/>
      </c>
      <c r="D411" s="79">
        <f>IF($O411="","",INDEX(Firms!$P$5:$P$1004,$O411)&amp;"")</f>
        <v/>
      </c>
      <c r="E411" s="79">
        <f>IF($O411="","",INDEX(Firms!$O$5:$O$1004,$O411)&amp;"")</f>
        <v/>
      </c>
      <c r="F411" s="50">
        <f>IF($O411="","",IF(INDEX(Firms!$F$5:$F$1004,$O411)="","—",INDEX(Firms!$F$5:$F$1004,$O411)))</f>
        <v/>
      </c>
      <c r="G411" s="50">
        <f>IF($O411="","",IF(INDEX(Firms!$G$5:$G$1004,$O411)="","—",INDEX(Firms!$G$5:$G$1004,$O411)))</f>
        <v/>
      </c>
      <c r="H411" s="50">
        <f>IF($O411="","",IF(INDEX(Firms!$H$5:$H$1004,$O411)="","—",INDEX(Firms!$H$5:$H$1004,$O411)))</f>
        <v/>
      </c>
      <c r="I411" s="50">
        <f>IF($O411="","",IF(INDEX(Firms!$I$5:$I$1004,$O411)="","—",INDEX(Firms!$I$5:$I$1004,$O411)))</f>
        <v/>
      </c>
      <c r="J411" s="50">
        <f>IF($O411="","",IF(INDEX(Firms!$J$5:$J$1004,$O411)="","—",INDEX(Firms!$J$5:$J$1004,$O411)))</f>
        <v/>
      </c>
      <c r="K411" s="50">
        <f>IF($O411="","",IF(INDEX(Firms!$K$5:$K$1004,$O411)="","—",INDEX(Firms!$K$5:$K$1004,$O411)))</f>
        <v/>
      </c>
      <c r="L411" s="50">
        <f>IF($O411="","",IF(INDEX(Firms!$L$5:$L$1004,$O411)="","—",INDEX(Firms!$L$5:$L$1004,$O411)))</f>
        <v/>
      </c>
      <c r="M411" s="50">
        <f>IF($O411="","",IF(INDEX(Firms!$M$5:$M$1004,$O411)="","—",INDEX(Firms!$M$5:$M$1004,$O411)))</f>
        <v/>
      </c>
      <c r="O411">
        <f>IFERROR(MATCH(SMALL(Firms!$Y$5:$Y$1004,403),Firms!$W$5:$W$1004,0),"")</f>
        <v/>
      </c>
    </row>
    <row r="412">
      <c r="B412" s="78">
        <f>IF($O412="","",INDEX(Firms!$A$5:$A$1004,$O412))</f>
        <v/>
      </c>
      <c r="C412" s="79">
        <f>IF($O412="","",INDEX(Firms!$N$5:$N$1004,$O412)&amp;"")</f>
        <v/>
      </c>
      <c r="D412" s="79">
        <f>IF($O412="","",INDEX(Firms!$P$5:$P$1004,$O412)&amp;"")</f>
        <v/>
      </c>
      <c r="E412" s="79">
        <f>IF($O412="","",INDEX(Firms!$O$5:$O$1004,$O412)&amp;"")</f>
        <v/>
      </c>
      <c r="F412" s="50">
        <f>IF($O412="","",IF(INDEX(Firms!$F$5:$F$1004,$O412)="","—",INDEX(Firms!$F$5:$F$1004,$O412)))</f>
        <v/>
      </c>
      <c r="G412" s="50">
        <f>IF($O412="","",IF(INDEX(Firms!$G$5:$G$1004,$O412)="","—",INDEX(Firms!$G$5:$G$1004,$O412)))</f>
        <v/>
      </c>
      <c r="H412" s="50">
        <f>IF($O412="","",IF(INDEX(Firms!$H$5:$H$1004,$O412)="","—",INDEX(Firms!$H$5:$H$1004,$O412)))</f>
        <v/>
      </c>
      <c r="I412" s="50">
        <f>IF($O412="","",IF(INDEX(Firms!$I$5:$I$1004,$O412)="","—",INDEX(Firms!$I$5:$I$1004,$O412)))</f>
        <v/>
      </c>
      <c r="J412" s="50">
        <f>IF($O412="","",IF(INDEX(Firms!$J$5:$J$1004,$O412)="","—",INDEX(Firms!$J$5:$J$1004,$O412)))</f>
        <v/>
      </c>
      <c r="K412" s="50">
        <f>IF($O412="","",IF(INDEX(Firms!$K$5:$K$1004,$O412)="","—",INDEX(Firms!$K$5:$K$1004,$O412)))</f>
        <v/>
      </c>
      <c r="L412" s="50">
        <f>IF($O412="","",IF(INDEX(Firms!$L$5:$L$1004,$O412)="","—",INDEX(Firms!$L$5:$L$1004,$O412)))</f>
        <v/>
      </c>
      <c r="M412" s="50">
        <f>IF($O412="","",IF(INDEX(Firms!$M$5:$M$1004,$O412)="","—",INDEX(Firms!$M$5:$M$1004,$O412)))</f>
        <v/>
      </c>
      <c r="O412">
        <f>IFERROR(MATCH(SMALL(Firms!$Y$5:$Y$1004,404),Firms!$W$5:$W$1004,0),"")</f>
        <v/>
      </c>
    </row>
    <row r="413">
      <c r="B413" s="78">
        <f>IF($O413="","",INDEX(Firms!$A$5:$A$1004,$O413))</f>
        <v/>
      </c>
      <c r="C413" s="79">
        <f>IF($O413="","",INDEX(Firms!$N$5:$N$1004,$O413)&amp;"")</f>
        <v/>
      </c>
      <c r="D413" s="79">
        <f>IF($O413="","",INDEX(Firms!$P$5:$P$1004,$O413)&amp;"")</f>
        <v/>
      </c>
      <c r="E413" s="79">
        <f>IF($O413="","",INDEX(Firms!$O$5:$O$1004,$O413)&amp;"")</f>
        <v/>
      </c>
      <c r="F413" s="50">
        <f>IF($O413="","",IF(INDEX(Firms!$F$5:$F$1004,$O413)="","—",INDEX(Firms!$F$5:$F$1004,$O413)))</f>
        <v/>
      </c>
      <c r="G413" s="50">
        <f>IF($O413="","",IF(INDEX(Firms!$G$5:$G$1004,$O413)="","—",INDEX(Firms!$G$5:$G$1004,$O413)))</f>
        <v/>
      </c>
      <c r="H413" s="50">
        <f>IF($O413="","",IF(INDEX(Firms!$H$5:$H$1004,$O413)="","—",INDEX(Firms!$H$5:$H$1004,$O413)))</f>
        <v/>
      </c>
      <c r="I413" s="50">
        <f>IF($O413="","",IF(INDEX(Firms!$I$5:$I$1004,$O413)="","—",INDEX(Firms!$I$5:$I$1004,$O413)))</f>
        <v/>
      </c>
      <c r="J413" s="50">
        <f>IF($O413="","",IF(INDEX(Firms!$J$5:$J$1004,$O413)="","—",INDEX(Firms!$J$5:$J$1004,$O413)))</f>
        <v/>
      </c>
      <c r="K413" s="50">
        <f>IF($O413="","",IF(INDEX(Firms!$K$5:$K$1004,$O413)="","—",INDEX(Firms!$K$5:$K$1004,$O413)))</f>
        <v/>
      </c>
      <c r="L413" s="50">
        <f>IF($O413="","",IF(INDEX(Firms!$L$5:$L$1004,$O413)="","—",INDEX(Firms!$L$5:$L$1004,$O413)))</f>
        <v/>
      </c>
      <c r="M413" s="50">
        <f>IF($O413="","",IF(INDEX(Firms!$M$5:$M$1004,$O413)="","—",INDEX(Firms!$M$5:$M$1004,$O413)))</f>
        <v/>
      </c>
      <c r="O413">
        <f>IFERROR(MATCH(SMALL(Firms!$Y$5:$Y$1004,405),Firms!$W$5:$W$1004,0),"")</f>
        <v/>
      </c>
    </row>
    <row r="414">
      <c r="B414" s="78">
        <f>IF($O414="","",INDEX(Firms!$A$5:$A$1004,$O414))</f>
        <v/>
      </c>
      <c r="C414" s="79">
        <f>IF($O414="","",INDEX(Firms!$N$5:$N$1004,$O414)&amp;"")</f>
        <v/>
      </c>
      <c r="D414" s="79">
        <f>IF($O414="","",INDEX(Firms!$P$5:$P$1004,$O414)&amp;"")</f>
        <v/>
      </c>
      <c r="E414" s="79">
        <f>IF($O414="","",INDEX(Firms!$O$5:$O$1004,$O414)&amp;"")</f>
        <v/>
      </c>
      <c r="F414" s="50">
        <f>IF($O414="","",IF(INDEX(Firms!$F$5:$F$1004,$O414)="","—",INDEX(Firms!$F$5:$F$1004,$O414)))</f>
        <v/>
      </c>
      <c r="G414" s="50">
        <f>IF($O414="","",IF(INDEX(Firms!$G$5:$G$1004,$O414)="","—",INDEX(Firms!$G$5:$G$1004,$O414)))</f>
        <v/>
      </c>
      <c r="H414" s="50">
        <f>IF($O414="","",IF(INDEX(Firms!$H$5:$H$1004,$O414)="","—",INDEX(Firms!$H$5:$H$1004,$O414)))</f>
        <v/>
      </c>
      <c r="I414" s="50">
        <f>IF($O414="","",IF(INDEX(Firms!$I$5:$I$1004,$O414)="","—",INDEX(Firms!$I$5:$I$1004,$O414)))</f>
        <v/>
      </c>
      <c r="J414" s="50">
        <f>IF($O414="","",IF(INDEX(Firms!$J$5:$J$1004,$O414)="","—",INDEX(Firms!$J$5:$J$1004,$O414)))</f>
        <v/>
      </c>
      <c r="K414" s="50">
        <f>IF($O414="","",IF(INDEX(Firms!$K$5:$K$1004,$O414)="","—",INDEX(Firms!$K$5:$K$1004,$O414)))</f>
        <v/>
      </c>
      <c r="L414" s="50">
        <f>IF($O414="","",IF(INDEX(Firms!$L$5:$L$1004,$O414)="","—",INDEX(Firms!$L$5:$L$1004,$O414)))</f>
        <v/>
      </c>
      <c r="M414" s="50">
        <f>IF($O414="","",IF(INDEX(Firms!$M$5:$M$1004,$O414)="","—",INDEX(Firms!$M$5:$M$1004,$O414)))</f>
        <v/>
      </c>
      <c r="O414">
        <f>IFERROR(MATCH(SMALL(Firms!$Y$5:$Y$1004,406),Firms!$W$5:$W$1004,0),"")</f>
        <v/>
      </c>
    </row>
    <row r="415">
      <c r="B415" s="78">
        <f>IF($O415="","",INDEX(Firms!$A$5:$A$1004,$O415))</f>
        <v/>
      </c>
      <c r="C415" s="79">
        <f>IF($O415="","",INDEX(Firms!$N$5:$N$1004,$O415)&amp;"")</f>
        <v/>
      </c>
      <c r="D415" s="79">
        <f>IF($O415="","",INDEX(Firms!$P$5:$P$1004,$O415)&amp;"")</f>
        <v/>
      </c>
      <c r="E415" s="79">
        <f>IF($O415="","",INDEX(Firms!$O$5:$O$1004,$O415)&amp;"")</f>
        <v/>
      </c>
      <c r="F415" s="50">
        <f>IF($O415="","",IF(INDEX(Firms!$F$5:$F$1004,$O415)="","—",INDEX(Firms!$F$5:$F$1004,$O415)))</f>
        <v/>
      </c>
      <c r="G415" s="50">
        <f>IF($O415="","",IF(INDEX(Firms!$G$5:$G$1004,$O415)="","—",INDEX(Firms!$G$5:$G$1004,$O415)))</f>
        <v/>
      </c>
      <c r="H415" s="50">
        <f>IF($O415="","",IF(INDEX(Firms!$H$5:$H$1004,$O415)="","—",INDEX(Firms!$H$5:$H$1004,$O415)))</f>
        <v/>
      </c>
      <c r="I415" s="50">
        <f>IF($O415="","",IF(INDEX(Firms!$I$5:$I$1004,$O415)="","—",INDEX(Firms!$I$5:$I$1004,$O415)))</f>
        <v/>
      </c>
      <c r="J415" s="50">
        <f>IF($O415="","",IF(INDEX(Firms!$J$5:$J$1004,$O415)="","—",INDEX(Firms!$J$5:$J$1004,$O415)))</f>
        <v/>
      </c>
      <c r="K415" s="50">
        <f>IF($O415="","",IF(INDEX(Firms!$K$5:$K$1004,$O415)="","—",INDEX(Firms!$K$5:$K$1004,$O415)))</f>
        <v/>
      </c>
      <c r="L415" s="50">
        <f>IF($O415="","",IF(INDEX(Firms!$L$5:$L$1004,$O415)="","—",INDEX(Firms!$L$5:$L$1004,$O415)))</f>
        <v/>
      </c>
      <c r="M415" s="50">
        <f>IF($O415="","",IF(INDEX(Firms!$M$5:$M$1004,$O415)="","—",INDEX(Firms!$M$5:$M$1004,$O415)))</f>
        <v/>
      </c>
      <c r="O415">
        <f>IFERROR(MATCH(SMALL(Firms!$Y$5:$Y$1004,407),Firms!$W$5:$W$1004,0),"")</f>
        <v/>
      </c>
    </row>
    <row r="416">
      <c r="B416" s="78">
        <f>IF($O416="","",INDEX(Firms!$A$5:$A$1004,$O416))</f>
        <v/>
      </c>
      <c r="C416" s="79">
        <f>IF($O416="","",INDEX(Firms!$N$5:$N$1004,$O416)&amp;"")</f>
        <v/>
      </c>
      <c r="D416" s="79">
        <f>IF($O416="","",INDEX(Firms!$P$5:$P$1004,$O416)&amp;"")</f>
        <v/>
      </c>
      <c r="E416" s="79">
        <f>IF($O416="","",INDEX(Firms!$O$5:$O$1004,$O416)&amp;"")</f>
        <v/>
      </c>
      <c r="F416" s="50">
        <f>IF($O416="","",IF(INDEX(Firms!$F$5:$F$1004,$O416)="","—",INDEX(Firms!$F$5:$F$1004,$O416)))</f>
        <v/>
      </c>
      <c r="G416" s="50">
        <f>IF($O416="","",IF(INDEX(Firms!$G$5:$G$1004,$O416)="","—",INDEX(Firms!$G$5:$G$1004,$O416)))</f>
        <v/>
      </c>
      <c r="H416" s="50">
        <f>IF($O416="","",IF(INDEX(Firms!$H$5:$H$1004,$O416)="","—",INDEX(Firms!$H$5:$H$1004,$O416)))</f>
        <v/>
      </c>
      <c r="I416" s="50">
        <f>IF($O416="","",IF(INDEX(Firms!$I$5:$I$1004,$O416)="","—",INDEX(Firms!$I$5:$I$1004,$O416)))</f>
        <v/>
      </c>
      <c r="J416" s="50">
        <f>IF($O416="","",IF(INDEX(Firms!$J$5:$J$1004,$O416)="","—",INDEX(Firms!$J$5:$J$1004,$O416)))</f>
        <v/>
      </c>
      <c r="K416" s="50">
        <f>IF($O416="","",IF(INDEX(Firms!$K$5:$K$1004,$O416)="","—",INDEX(Firms!$K$5:$K$1004,$O416)))</f>
        <v/>
      </c>
      <c r="L416" s="50">
        <f>IF($O416="","",IF(INDEX(Firms!$L$5:$L$1004,$O416)="","—",INDEX(Firms!$L$5:$L$1004,$O416)))</f>
        <v/>
      </c>
      <c r="M416" s="50">
        <f>IF($O416="","",IF(INDEX(Firms!$M$5:$M$1004,$O416)="","—",INDEX(Firms!$M$5:$M$1004,$O416)))</f>
        <v/>
      </c>
      <c r="O416">
        <f>IFERROR(MATCH(SMALL(Firms!$Y$5:$Y$1004,408),Firms!$W$5:$W$1004,0),"")</f>
        <v/>
      </c>
    </row>
    <row r="417">
      <c r="B417" s="78">
        <f>IF($O417="","",INDEX(Firms!$A$5:$A$1004,$O417))</f>
        <v/>
      </c>
      <c r="C417" s="79">
        <f>IF($O417="","",INDEX(Firms!$N$5:$N$1004,$O417)&amp;"")</f>
        <v/>
      </c>
      <c r="D417" s="79">
        <f>IF($O417="","",INDEX(Firms!$P$5:$P$1004,$O417)&amp;"")</f>
        <v/>
      </c>
      <c r="E417" s="79">
        <f>IF($O417="","",INDEX(Firms!$O$5:$O$1004,$O417)&amp;"")</f>
        <v/>
      </c>
      <c r="F417" s="50">
        <f>IF($O417="","",IF(INDEX(Firms!$F$5:$F$1004,$O417)="","—",INDEX(Firms!$F$5:$F$1004,$O417)))</f>
        <v/>
      </c>
      <c r="G417" s="50">
        <f>IF($O417="","",IF(INDEX(Firms!$G$5:$G$1004,$O417)="","—",INDEX(Firms!$G$5:$G$1004,$O417)))</f>
        <v/>
      </c>
      <c r="H417" s="50">
        <f>IF($O417="","",IF(INDEX(Firms!$H$5:$H$1004,$O417)="","—",INDEX(Firms!$H$5:$H$1004,$O417)))</f>
        <v/>
      </c>
      <c r="I417" s="50">
        <f>IF($O417="","",IF(INDEX(Firms!$I$5:$I$1004,$O417)="","—",INDEX(Firms!$I$5:$I$1004,$O417)))</f>
        <v/>
      </c>
      <c r="J417" s="50">
        <f>IF($O417="","",IF(INDEX(Firms!$J$5:$J$1004,$O417)="","—",INDEX(Firms!$J$5:$J$1004,$O417)))</f>
        <v/>
      </c>
      <c r="K417" s="50">
        <f>IF($O417="","",IF(INDEX(Firms!$K$5:$K$1004,$O417)="","—",INDEX(Firms!$K$5:$K$1004,$O417)))</f>
        <v/>
      </c>
      <c r="L417" s="50">
        <f>IF($O417="","",IF(INDEX(Firms!$L$5:$L$1004,$O417)="","—",INDEX(Firms!$L$5:$L$1004,$O417)))</f>
        <v/>
      </c>
      <c r="M417" s="50">
        <f>IF($O417="","",IF(INDEX(Firms!$M$5:$M$1004,$O417)="","—",INDEX(Firms!$M$5:$M$1004,$O417)))</f>
        <v/>
      </c>
      <c r="O417">
        <f>IFERROR(MATCH(SMALL(Firms!$Y$5:$Y$1004,409),Firms!$W$5:$W$1004,0),"")</f>
        <v/>
      </c>
    </row>
    <row r="418">
      <c r="B418" s="78">
        <f>IF($O418="","",INDEX(Firms!$A$5:$A$1004,$O418))</f>
        <v/>
      </c>
      <c r="C418" s="79">
        <f>IF($O418="","",INDEX(Firms!$N$5:$N$1004,$O418)&amp;"")</f>
        <v/>
      </c>
      <c r="D418" s="79">
        <f>IF($O418="","",INDEX(Firms!$P$5:$P$1004,$O418)&amp;"")</f>
        <v/>
      </c>
      <c r="E418" s="79">
        <f>IF($O418="","",INDEX(Firms!$O$5:$O$1004,$O418)&amp;"")</f>
        <v/>
      </c>
      <c r="F418" s="50">
        <f>IF($O418="","",IF(INDEX(Firms!$F$5:$F$1004,$O418)="","—",INDEX(Firms!$F$5:$F$1004,$O418)))</f>
        <v/>
      </c>
      <c r="G418" s="50">
        <f>IF($O418="","",IF(INDEX(Firms!$G$5:$G$1004,$O418)="","—",INDEX(Firms!$G$5:$G$1004,$O418)))</f>
        <v/>
      </c>
      <c r="H418" s="50">
        <f>IF($O418="","",IF(INDEX(Firms!$H$5:$H$1004,$O418)="","—",INDEX(Firms!$H$5:$H$1004,$O418)))</f>
        <v/>
      </c>
      <c r="I418" s="50">
        <f>IF($O418="","",IF(INDEX(Firms!$I$5:$I$1004,$O418)="","—",INDEX(Firms!$I$5:$I$1004,$O418)))</f>
        <v/>
      </c>
      <c r="J418" s="50">
        <f>IF($O418="","",IF(INDEX(Firms!$J$5:$J$1004,$O418)="","—",INDEX(Firms!$J$5:$J$1004,$O418)))</f>
        <v/>
      </c>
      <c r="K418" s="50">
        <f>IF($O418="","",IF(INDEX(Firms!$K$5:$K$1004,$O418)="","—",INDEX(Firms!$K$5:$K$1004,$O418)))</f>
        <v/>
      </c>
      <c r="L418" s="50">
        <f>IF($O418="","",IF(INDEX(Firms!$L$5:$L$1004,$O418)="","—",INDEX(Firms!$L$5:$L$1004,$O418)))</f>
        <v/>
      </c>
      <c r="M418" s="50">
        <f>IF($O418="","",IF(INDEX(Firms!$M$5:$M$1004,$O418)="","—",INDEX(Firms!$M$5:$M$1004,$O418)))</f>
        <v/>
      </c>
      <c r="O418">
        <f>IFERROR(MATCH(SMALL(Firms!$Y$5:$Y$1004,410),Firms!$W$5:$W$1004,0),"")</f>
        <v/>
      </c>
    </row>
    <row r="419">
      <c r="B419" s="78">
        <f>IF($O419="","",INDEX(Firms!$A$5:$A$1004,$O419))</f>
        <v/>
      </c>
      <c r="C419" s="79">
        <f>IF($O419="","",INDEX(Firms!$N$5:$N$1004,$O419)&amp;"")</f>
        <v/>
      </c>
      <c r="D419" s="79">
        <f>IF($O419="","",INDEX(Firms!$P$5:$P$1004,$O419)&amp;"")</f>
        <v/>
      </c>
      <c r="E419" s="79">
        <f>IF($O419="","",INDEX(Firms!$O$5:$O$1004,$O419)&amp;"")</f>
        <v/>
      </c>
      <c r="F419" s="50">
        <f>IF($O419="","",IF(INDEX(Firms!$F$5:$F$1004,$O419)="","—",INDEX(Firms!$F$5:$F$1004,$O419)))</f>
        <v/>
      </c>
      <c r="G419" s="50">
        <f>IF($O419="","",IF(INDEX(Firms!$G$5:$G$1004,$O419)="","—",INDEX(Firms!$G$5:$G$1004,$O419)))</f>
        <v/>
      </c>
      <c r="H419" s="50">
        <f>IF($O419="","",IF(INDEX(Firms!$H$5:$H$1004,$O419)="","—",INDEX(Firms!$H$5:$H$1004,$O419)))</f>
        <v/>
      </c>
      <c r="I419" s="50">
        <f>IF($O419="","",IF(INDEX(Firms!$I$5:$I$1004,$O419)="","—",INDEX(Firms!$I$5:$I$1004,$O419)))</f>
        <v/>
      </c>
      <c r="J419" s="50">
        <f>IF($O419="","",IF(INDEX(Firms!$J$5:$J$1004,$O419)="","—",INDEX(Firms!$J$5:$J$1004,$O419)))</f>
        <v/>
      </c>
      <c r="K419" s="50">
        <f>IF($O419="","",IF(INDEX(Firms!$K$5:$K$1004,$O419)="","—",INDEX(Firms!$K$5:$K$1004,$O419)))</f>
        <v/>
      </c>
      <c r="L419" s="50">
        <f>IF($O419="","",IF(INDEX(Firms!$L$5:$L$1004,$O419)="","—",INDEX(Firms!$L$5:$L$1004,$O419)))</f>
        <v/>
      </c>
      <c r="M419" s="50">
        <f>IF($O419="","",IF(INDEX(Firms!$M$5:$M$1004,$O419)="","—",INDEX(Firms!$M$5:$M$1004,$O419)))</f>
        <v/>
      </c>
      <c r="O419">
        <f>IFERROR(MATCH(SMALL(Firms!$Y$5:$Y$1004,411),Firms!$W$5:$W$1004,0),"")</f>
        <v/>
      </c>
    </row>
    <row r="420">
      <c r="B420" s="78">
        <f>IF($O420="","",INDEX(Firms!$A$5:$A$1004,$O420))</f>
        <v/>
      </c>
      <c r="C420" s="79">
        <f>IF($O420="","",INDEX(Firms!$N$5:$N$1004,$O420)&amp;"")</f>
        <v/>
      </c>
      <c r="D420" s="79">
        <f>IF($O420="","",INDEX(Firms!$P$5:$P$1004,$O420)&amp;"")</f>
        <v/>
      </c>
      <c r="E420" s="79">
        <f>IF($O420="","",INDEX(Firms!$O$5:$O$1004,$O420)&amp;"")</f>
        <v/>
      </c>
      <c r="F420" s="50">
        <f>IF($O420="","",IF(INDEX(Firms!$F$5:$F$1004,$O420)="","—",INDEX(Firms!$F$5:$F$1004,$O420)))</f>
        <v/>
      </c>
      <c r="G420" s="50">
        <f>IF($O420="","",IF(INDEX(Firms!$G$5:$G$1004,$O420)="","—",INDEX(Firms!$G$5:$G$1004,$O420)))</f>
        <v/>
      </c>
      <c r="H420" s="50">
        <f>IF($O420="","",IF(INDEX(Firms!$H$5:$H$1004,$O420)="","—",INDEX(Firms!$H$5:$H$1004,$O420)))</f>
        <v/>
      </c>
      <c r="I420" s="50">
        <f>IF($O420="","",IF(INDEX(Firms!$I$5:$I$1004,$O420)="","—",INDEX(Firms!$I$5:$I$1004,$O420)))</f>
        <v/>
      </c>
      <c r="J420" s="50">
        <f>IF($O420="","",IF(INDEX(Firms!$J$5:$J$1004,$O420)="","—",INDEX(Firms!$J$5:$J$1004,$O420)))</f>
        <v/>
      </c>
      <c r="K420" s="50">
        <f>IF($O420="","",IF(INDEX(Firms!$K$5:$K$1004,$O420)="","—",INDEX(Firms!$K$5:$K$1004,$O420)))</f>
        <v/>
      </c>
      <c r="L420" s="50">
        <f>IF($O420="","",IF(INDEX(Firms!$L$5:$L$1004,$O420)="","—",INDEX(Firms!$L$5:$L$1004,$O420)))</f>
        <v/>
      </c>
      <c r="M420" s="50">
        <f>IF($O420="","",IF(INDEX(Firms!$M$5:$M$1004,$O420)="","—",INDEX(Firms!$M$5:$M$1004,$O420)))</f>
        <v/>
      </c>
      <c r="O420">
        <f>IFERROR(MATCH(SMALL(Firms!$Y$5:$Y$1004,412),Firms!$W$5:$W$1004,0),"")</f>
        <v/>
      </c>
    </row>
    <row r="421">
      <c r="B421" s="78">
        <f>IF($O421="","",INDEX(Firms!$A$5:$A$1004,$O421))</f>
        <v/>
      </c>
      <c r="C421" s="79">
        <f>IF($O421="","",INDEX(Firms!$N$5:$N$1004,$O421)&amp;"")</f>
        <v/>
      </c>
      <c r="D421" s="79">
        <f>IF($O421="","",INDEX(Firms!$P$5:$P$1004,$O421)&amp;"")</f>
        <v/>
      </c>
      <c r="E421" s="79">
        <f>IF($O421="","",INDEX(Firms!$O$5:$O$1004,$O421)&amp;"")</f>
        <v/>
      </c>
      <c r="F421" s="50">
        <f>IF($O421="","",IF(INDEX(Firms!$F$5:$F$1004,$O421)="","—",INDEX(Firms!$F$5:$F$1004,$O421)))</f>
        <v/>
      </c>
      <c r="G421" s="50">
        <f>IF($O421="","",IF(INDEX(Firms!$G$5:$G$1004,$O421)="","—",INDEX(Firms!$G$5:$G$1004,$O421)))</f>
        <v/>
      </c>
      <c r="H421" s="50">
        <f>IF($O421="","",IF(INDEX(Firms!$H$5:$H$1004,$O421)="","—",INDEX(Firms!$H$5:$H$1004,$O421)))</f>
        <v/>
      </c>
      <c r="I421" s="50">
        <f>IF($O421="","",IF(INDEX(Firms!$I$5:$I$1004,$O421)="","—",INDEX(Firms!$I$5:$I$1004,$O421)))</f>
        <v/>
      </c>
      <c r="J421" s="50">
        <f>IF($O421="","",IF(INDEX(Firms!$J$5:$J$1004,$O421)="","—",INDEX(Firms!$J$5:$J$1004,$O421)))</f>
        <v/>
      </c>
      <c r="K421" s="50">
        <f>IF($O421="","",IF(INDEX(Firms!$K$5:$K$1004,$O421)="","—",INDEX(Firms!$K$5:$K$1004,$O421)))</f>
        <v/>
      </c>
      <c r="L421" s="50">
        <f>IF($O421="","",IF(INDEX(Firms!$L$5:$L$1004,$O421)="","—",INDEX(Firms!$L$5:$L$1004,$O421)))</f>
        <v/>
      </c>
      <c r="M421" s="50">
        <f>IF($O421="","",IF(INDEX(Firms!$M$5:$M$1004,$O421)="","—",INDEX(Firms!$M$5:$M$1004,$O421)))</f>
        <v/>
      </c>
      <c r="O421">
        <f>IFERROR(MATCH(SMALL(Firms!$Y$5:$Y$1004,413),Firms!$W$5:$W$1004,0),"")</f>
        <v/>
      </c>
    </row>
    <row r="422">
      <c r="B422" s="78">
        <f>IF($O422="","",INDEX(Firms!$A$5:$A$1004,$O422))</f>
        <v/>
      </c>
      <c r="C422" s="79">
        <f>IF($O422="","",INDEX(Firms!$N$5:$N$1004,$O422)&amp;"")</f>
        <v/>
      </c>
      <c r="D422" s="79">
        <f>IF($O422="","",INDEX(Firms!$P$5:$P$1004,$O422)&amp;"")</f>
        <v/>
      </c>
      <c r="E422" s="79">
        <f>IF($O422="","",INDEX(Firms!$O$5:$O$1004,$O422)&amp;"")</f>
        <v/>
      </c>
      <c r="F422" s="50">
        <f>IF($O422="","",IF(INDEX(Firms!$F$5:$F$1004,$O422)="","—",INDEX(Firms!$F$5:$F$1004,$O422)))</f>
        <v/>
      </c>
      <c r="G422" s="50">
        <f>IF($O422="","",IF(INDEX(Firms!$G$5:$G$1004,$O422)="","—",INDEX(Firms!$G$5:$G$1004,$O422)))</f>
        <v/>
      </c>
      <c r="H422" s="50">
        <f>IF($O422="","",IF(INDEX(Firms!$H$5:$H$1004,$O422)="","—",INDEX(Firms!$H$5:$H$1004,$O422)))</f>
        <v/>
      </c>
      <c r="I422" s="50">
        <f>IF($O422="","",IF(INDEX(Firms!$I$5:$I$1004,$O422)="","—",INDEX(Firms!$I$5:$I$1004,$O422)))</f>
        <v/>
      </c>
      <c r="J422" s="50">
        <f>IF($O422="","",IF(INDEX(Firms!$J$5:$J$1004,$O422)="","—",INDEX(Firms!$J$5:$J$1004,$O422)))</f>
        <v/>
      </c>
      <c r="K422" s="50">
        <f>IF($O422="","",IF(INDEX(Firms!$K$5:$K$1004,$O422)="","—",INDEX(Firms!$K$5:$K$1004,$O422)))</f>
        <v/>
      </c>
      <c r="L422" s="50">
        <f>IF($O422="","",IF(INDEX(Firms!$L$5:$L$1004,$O422)="","—",INDEX(Firms!$L$5:$L$1004,$O422)))</f>
        <v/>
      </c>
      <c r="M422" s="50">
        <f>IF($O422="","",IF(INDEX(Firms!$M$5:$M$1004,$O422)="","—",INDEX(Firms!$M$5:$M$1004,$O422)))</f>
        <v/>
      </c>
      <c r="O422">
        <f>IFERROR(MATCH(SMALL(Firms!$Y$5:$Y$1004,414),Firms!$W$5:$W$1004,0),"")</f>
        <v/>
      </c>
    </row>
    <row r="423">
      <c r="B423" s="78">
        <f>IF($O423="","",INDEX(Firms!$A$5:$A$1004,$O423))</f>
        <v/>
      </c>
      <c r="C423" s="79">
        <f>IF($O423="","",INDEX(Firms!$N$5:$N$1004,$O423)&amp;"")</f>
        <v/>
      </c>
      <c r="D423" s="79">
        <f>IF($O423="","",INDEX(Firms!$P$5:$P$1004,$O423)&amp;"")</f>
        <v/>
      </c>
      <c r="E423" s="79">
        <f>IF($O423="","",INDEX(Firms!$O$5:$O$1004,$O423)&amp;"")</f>
        <v/>
      </c>
      <c r="F423" s="50">
        <f>IF($O423="","",IF(INDEX(Firms!$F$5:$F$1004,$O423)="","—",INDEX(Firms!$F$5:$F$1004,$O423)))</f>
        <v/>
      </c>
      <c r="G423" s="50">
        <f>IF($O423="","",IF(INDEX(Firms!$G$5:$G$1004,$O423)="","—",INDEX(Firms!$G$5:$G$1004,$O423)))</f>
        <v/>
      </c>
      <c r="H423" s="50">
        <f>IF($O423="","",IF(INDEX(Firms!$H$5:$H$1004,$O423)="","—",INDEX(Firms!$H$5:$H$1004,$O423)))</f>
        <v/>
      </c>
      <c r="I423" s="50">
        <f>IF($O423="","",IF(INDEX(Firms!$I$5:$I$1004,$O423)="","—",INDEX(Firms!$I$5:$I$1004,$O423)))</f>
        <v/>
      </c>
      <c r="J423" s="50">
        <f>IF($O423="","",IF(INDEX(Firms!$J$5:$J$1004,$O423)="","—",INDEX(Firms!$J$5:$J$1004,$O423)))</f>
        <v/>
      </c>
      <c r="K423" s="50">
        <f>IF($O423="","",IF(INDEX(Firms!$K$5:$K$1004,$O423)="","—",INDEX(Firms!$K$5:$K$1004,$O423)))</f>
        <v/>
      </c>
      <c r="L423" s="50">
        <f>IF($O423="","",IF(INDEX(Firms!$L$5:$L$1004,$O423)="","—",INDEX(Firms!$L$5:$L$1004,$O423)))</f>
        <v/>
      </c>
      <c r="M423" s="50">
        <f>IF($O423="","",IF(INDEX(Firms!$M$5:$M$1004,$O423)="","—",INDEX(Firms!$M$5:$M$1004,$O423)))</f>
        <v/>
      </c>
      <c r="O423">
        <f>IFERROR(MATCH(SMALL(Firms!$Y$5:$Y$1004,415),Firms!$W$5:$W$1004,0),"")</f>
        <v/>
      </c>
    </row>
    <row r="424">
      <c r="B424" s="78">
        <f>IF($O424="","",INDEX(Firms!$A$5:$A$1004,$O424))</f>
        <v/>
      </c>
      <c r="C424" s="79">
        <f>IF($O424="","",INDEX(Firms!$N$5:$N$1004,$O424)&amp;"")</f>
        <v/>
      </c>
      <c r="D424" s="79">
        <f>IF($O424="","",INDEX(Firms!$P$5:$P$1004,$O424)&amp;"")</f>
        <v/>
      </c>
      <c r="E424" s="79">
        <f>IF($O424="","",INDEX(Firms!$O$5:$O$1004,$O424)&amp;"")</f>
        <v/>
      </c>
      <c r="F424" s="50">
        <f>IF($O424="","",IF(INDEX(Firms!$F$5:$F$1004,$O424)="","—",INDEX(Firms!$F$5:$F$1004,$O424)))</f>
        <v/>
      </c>
      <c r="G424" s="50">
        <f>IF($O424="","",IF(INDEX(Firms!$G$5:$G$1004,$O424)="","—",INDEX(Firms!$G$5:$G$1004,$O424)))</f>
        <v/>
      </c>
      <c r="H424" s="50">
        <f>IF($O424="","",IF(INDEX(Firms!$H$5:$H$1004,$O424)="","—",INDEX(Firms!$H$5:$H$1004,$O424)))</f>
        <v/>
      </c>
      <c r="I424" s="50">
        <f>IF($O424="","",IF(INDEX(Firms!$I$5:$I$1004,$O424)="","—",INDEX(Firms!$I$5:$I$1004,$O424)))</f>
        <v/>
      </c>
      <c r="J424" s="50">
        <f>IF($O424="","",IF(INDEX(Firms!$J$5:$J$1004,$O424)="","—",INDEX(Firms!$J$5:$J$1004,$O424)))</f>
        <v/>
      </c>
      <c r="K424" s="50">
        <f>IF($O424="","",IF(INDEX(Firms!$K$5:$K$1004,$O424)="","—",INDEX(Firms!$K$5:$K$1004,$O424)))</f>
        <v/>
      </c>
      <c r="L424" s="50">
        <f>IF($O424="","",IF(INDEX(Firms!$L$5:$L$1004,$O424)="","—",INDEX(Firms!$L$5:$L$1004,$O424)))</f>
        <v/>
      </c>
      <c r="M424" s="50">
        <f>IF($O424="","",IF(INDEX(Firms!$M$5:$M$1004,$O424)="","—",INDEX(Firms!$M$5:$M$1004,$O424)))</f>
        <v/>
      </c>
      <c r="O424">
        <f>IFERROR(MATCH(SMALL(Firms!$Y$5:$Y$1004,416),Firms!$W$5:$W$1004,0),"")</f>
        <v/>
      </c>
    </row>
    <row r="425">
      <c r="B425" s="78">
        <f>IF($O425="","",INDEX(Firms!$A$5:$A$1004,$O425))</f>
        <v/>
      </c>
      <c r="C425" s="79">
        <f>IF($O425="","",INDEX(Firms!$N$5:$N$1004,$O425)&amp;"")</f>
        <v/>
      </c>
      <c r="D425" s="79">
        <f>IF($O425="","",INDEX(Firms!$P$5:$P$1004,$O425)&amp;"")</f>
        <v/>
      </c>
      <c r="E425" s="79">
        <f>IF($O425="","",INDEX(Firms!$O$5:$O$1004,$O425)&amp;"")</f>
        <v/>
      </c>
      <c r="F425" s="50">
        <f>IF($O425="","",IF(INDEX(Firms!$F$5:$F$1004,$O425)="","—",INDEX(Firms!$F$5:$F$1004,$O425)))</f>
        <v/>
      </c>
      <c r="G425" s="50">
        <f>IF($O425="","",IF(INDEX(Firms!$G$5:$G$1004,$O425)="","—",INDEX(Firms!$G$5:$G$1004,$O425)))</f>
        <v/>
      </c>
      <c r="H425" s="50">
        <f>IF($O425="","",IF(INDEX(Firms!$H$5:$H$1004,$O425)="","—",INDEX(Firms!$H$5:$H$1004,$O425)))</f>
        <v/>
      </c>
      <c r="I425" s="50">
        <f>IF($O425="","",IF(INDEX(Firms!$I$5:$I$1004,$O425)="","—",INDEX(Firms!$I$5:$I$1004,$O425)))</f>
        <v/>
      </c>
      <c r="J425" s="50">
        <f>IF($O425="","",IF(INDEX(Firms!$J$5:$J$1004,$O425)="","—",INDEX(Firms!$J$5:$J$1004,$O425)))</f>
        <v/>
      </c>
      <c r="K425" s="50">
        <f>IF($O425="","",IF(INDEX(Firms!$K$5:$K$1004,$O425)="","—",INDEX(Firms!$K$5:$K$1004,$O425)))</f>
        <v/>
      </c>
      <c r="L425" s="50">
        <f>IF($O425="","",IF(INDEX(Firms!$L$5:$L$1004,$O425)="","—",INDEX(Firms!$L$5:$L$1004,$O425)))</f>
        <v/>
      </c>
      <c r="M425" s="50">
        <f>IF($O425="","",IF(INDEX(Firms!$M$5:$M$1004,$O425)="","—",INDEX(Firms!$M$5:$M$1004,$O425)))</f>
        <v/>
      </c>
      <c r="O425">
        <f>IFERROR(MATCH(SMALL(Firms!$Y$5:$Y$1004,417),Firms!$W$5:$W$1004,0),"")</f>
        <v/>
      </c>
    </row>
    <row r="426">
      <c r="B426" s="78">
        <f>IF($O426="","",INDEX(Firms!$A$5:$A$1004,$O426))</f>
        <v/>
      </c>
      <c r="C426" s="79">
        <f>IF($O426="","",INDEX(Firms!$N$5:$N$1004,$O426)&amp;"")</f>
        <v/>
      </c>
      <c r="D426" s="79">
        <f>IF($O426="","",INDEX(Firms!$P$5:$P$1004,$O426)&amp;"")</f>
        <v/>
      </c>
      <c r="E426" s="79">
        <f>IF($O426="","",INDEX(Firms!$O$5:$O$1004,$O426)&amp;"")</f>
        <v/>
      </c>
      <c r="F426" s="50">
        <f>IF($O426="","",IF(INDEX(Firms!$F$5:$F$1004,$O426)="","—",INDEX(Firms!$F$5:$F$1004,$O426)))</f>
        <v/>
      </c>
      <c r="G426" s="50">
        <f>IF($O426="","",IF(INDEX(Firms!$G$5:$G$1004,$O426)="","—",INDEX(Firms!$G$5:$G$1004,$O426)))</f>
        <v/>
      </c>
      <c r="H426" s="50">
        <f>IF($O426="","",IF(INDEX(Firms!$H$5:$H$1004,$O426)="","—",INDEX(Firms!$H$5:$H$1004,$O426)))</f>
        <v/>
      </c>
      <c r="I426" s="50">
        <f>IF($O426="","",IF(INDEX(Firms!$I$5:$I$1004,$O426)="","—",INDEX(Firms!$I$5:$I$1004,$O426)))</f>
        <v/>
      </c>
      <c r="J426" s="50">
        <f>IF($O426="","",IF(INDEX(Firms!$J$5:$J$1004,$O426)="","—",INDEX(Firms!$J$5:$J$1004,$O426)))</f>
        <v/>
      </c>
      <c r="K426" s="50">
        <f>IF($O426="","",IF(INDEX(Firms!$K$5:$K$1004,$O426)="","—",INDEX(Firms!$K$5:$K$1004,$O426)))</f>
        <v/>
      </c>
      <c r="L426" s="50">
        <f>IF($O426="","",IF(INDEX(Firms!$L$5:$L$1004,$O426)="","—",INDEX(Firms!$L$5:$L$1004,$O426)))</f>
        <v/>
      </c>
      <c r="M426" s="50">
        <f>IF($O426="","",IF(INDEX(Firms!$M$5:$M$1004,$O426)="","—",INDEX(Firms!$M$5:$M$1004,$O426)))</f>
        <v/>
      </c>
      <c r="O426">
        <f>IFERROR(MATCH(SMALL(Firms!$Y$5:$Y$1004,418),Firms!$W$5:$W$1004,0),"")</f>
        <v/>
      </c>
    </row>
    <row r="427">
      <c r="B427" s="78">
        <f>IF($O427="","",INDEX(Firms!$A$5:$A$1004,$O427))</f>
        <v/>
      </c>
      <c r="C427" s="79">
        <f>IF($O427="","",INDEX(Firms!$N$5:$N$1004,$O427)&amp;"")</f>
        <v/>
      </c>
      <c r="D427" s="79">
        <f>IF($O427="","",INDEX(Firms!$P$5:$P$1004,$O427)&amp;"")</f>
        <v/>
      </c>
      <c r="E427" s="79">
        <f>IF($O427="","",INDEX(Firms!$O$5:$O$1004,$O427)&amp;"")</f>
        <v/>
      </c>
      <c r="F427" s="50">
        <f>IF($O427="","",IF(INDEX(Firms!$F$5:$F$1004,$O427)="","—",INDEX(Firms!$F$5:$F$1004,$O427)))</f>
        <v/>
      </c>
      <c r="G427" s="50">
        <f>IF($O427="","",IF(INDEX(Firms!$G$5:$G$1004,$O427)="","—",INDEX(Firms!$G$5:$G$1004,$O427)))</f>
        <v/>
      </c>
      <c r="H427" s="50">
        <f>IF($O427="","",IF(INDEX(Firms!$H$5:$H$1004,$O427)="","—",INDEX(Firms!$H$5:$H$1004,$O427)))</f>
        <v/>
      </c>
      <c r="I427" s="50">
        <f>IF($O427="","",IF(INDEX(Firms!$I$5:$I$1004,$O427)="","—",INDEX(Firms!$I$5:$I$1004,$O427)))</f>
        <v/>
      </c>
      <c r="J427" s="50">
        <f>IF($O427="","",IF(INDEX(Firms!$J$5:$J$1004,$O427)="","—",INDEX(Firms!$J$5:$J$1004,$O427)))</f>
        <v/>
      </c>
      <c r="K427" s="50">
        <f>IF($O427="","",IF(INDEX(Firms!$K$5:$K$1004,$O427)="","—",INDEX(Firms!$K$5:$K$1004,$O427)))</f>
        <v/>
      </c>
      <c r="L427" s="50">
        <f>IF($O427="","",IF(INDEX(Firms!$L$5:$L$1004,$O427)="","—",INDEX(Firms!$L$5:$L$1004,$O427)))</f>
        <v/>
      </c>
      <c r="M427" s="50">
        <f>IF($O427="","",IF(INDEX(Firms!$M$5:$M$1004,$O427)="","—",INDEX(Firms!$M$5:$M$1004,$O427)))</f>
        <v/>
      </c>
      <c r="O427">
        <f>IFERROR(MATCH(SMALL(Firms!$Y$5:$Y$1004,419),Firms!$W$5:$W$1004,0),"")</f>
        <v/>
      </c>
    </row>
    <row r="428">
      <c r="B428" s="78">
        <f>IF($O428="","",INDEX(Firms!$A$5:$A$1004,$O428))</f>
        <v/>
      </c>
      <c r="C428" s="79">
        <f>IF($O428="","",INDEX(Firms!$N$5:$N$1004,$O428)&amp;"")</f>
        <v/>
      </c>
      <c r="D428" s="79">
        <f>IF($O428="","",INDEX(Firms!$P$5:$P$1004,$O428)&amp;"")</f>
        <v/>
      </c>
      <c r="E428" s="79">
        <f>IF($O428="","",INDEX(Firms!$O$5:$O$1004,$O428)&amp;"")</f>
        <v/>
      </c>
      <c r="F428" s="50">
        <f>IF($O428="","",IF(INDEX(Firms!$F$5:$F$1004,$O428)="","—",INDEX(Firms!$F$5:$F$1004,$O428)))</f>
        <v/>
      </c>
      <c r="G428" s="50">
        <f>IF($O428="","",IF(INDEX(Firms!$G$5:$G$1004,$O428)="","—",INDEX(Firms!$G$5:$G$1004,$O428)))</f>
        <v/>
      </c>
      <c r="H428" s="50">
        <f>IF($O428="","",IF(INDEX(Firms!$H$5:$H$1004,$O428)="","—",INDEX(Firms!$H$5:$H$1004,$O428)))</f>
        <v/>
      </c>
      <c r="I428" s="50">
        <f>IF($O428="","",IF(INDEX(Firms!$I$5:$I$1004,$O428)="","—",INDEX(Firms!$I$5:$I$1004,$O428)))</f>
        <v/>
      </c>
      <c r="J428" s="50">
        <f>IF($O428="","",IF(INDEX(Firms!$J$5:$J$1004,$O428)="","—",INDEX(Firms!$J$5:$J$1004,$O428)))</f>
        <v/>
      </c>
      <c r="K428" s="50">
        <f>IF($O428="","",IF(INDEX(Firms!$K$5:$K$1004,$O428)="","—",INDEX(Firms!$K$5:$K$1004,$O428)))</f>
        <v/>
      </c>
      <c r="L428" s="50">
        <f>IF($O428="","",IF(INDEX(Firms!$L$5:$L$1004,$O428)="","—",INDEX(Firms!$L$5:$L$1004,$O428)))</f>
        <v/>
      </c>
      <c r="M428" s="50">
        <f>IF($O428="","",IF(INDEX(Firms!$M$5:$M$1004,$O428)="","—",INDEX(Firms!$M$5:$M$1004,$O428)))</f>
        <v/>
      </c>
      <c r="O428">
        <f>IFERROR(MATCH(SMALL(Firms!$Y$5:$Y$1004,420),Firms!$W$5:$W$1004,0),"")</f>
        <v/>
      </c>
    </row>
    <row r="429">
      <c r="B429" s="78">
        <f>IF($O429="","",INDEX(Firms!$A$5:$A$1004,$O429))</f>
        <v/>
      </c>
      <c r="C429" s="79">
        <f>IF($O429="","",INDEX(Firms!$N$5:$N$1004,$O429)&amp;"")</f>
        <v/>
      </c>
      <c r="D429" s="79">
        <f>IF($O429="","",INDEX(Firms!$P$5:$P$1004,$O429)&amp;"")</f>
        <v/>
      </c>
      <c r="E429" s="79">
        <f>IF($O429="","",INDEX(Firms!$O$5:$O$1004,$O429)&amp;"")</f>
        <v/>
      </c>
      <c r="F429" s="50">
        <f>IF($O429="","",IF(INDEX(Firms!$F$5:$F$1004,$O429)="","—",INDEX(Firms!$F$5:$F$1004,$O429)))</f>
        <v/>
      </c>
      <c r="G429" s="50">
        <f>IF($O429="","",IF(INDEX(Firms!$G$5:$G$1004,$O429)="","—",INDEX(Firms!$G$5:$G$1004,$O429)))</f>
        <v/>
      </c>
      <c r="H429" s="50">
        <f>IF($O429="","",IF(INDEX(Firms!$H$5:$H$1004,$O429)="","—",INDEX(Firms!$H$5:$H$1004,$O429)))</f>
        <v/>
      </c>
      <c r="I429" s="50">
        <f>IF($O429="","",IF(INDEX(Firms!$I$5:$I$1004,$O429)="","—",INDEX(Firms!$I$5:$I$1004,$O429)))</f>
        <v/>
      </c>
      <c r="J429" s="50">
        <f>IF($O429="","",IF(INDEX(Firms!$J$5:$J$1004,$O429)="","—",INDEX(Firms!$J$5:$J$1004,$O429)))</f>
        <v/>
      </c>
      <c r="K429" s="50">
        <f>IF($O429="","",IF(INDEX(Firms!$K$5:$K$1004,$O429)="","—",INDEX(Firms!$K$5:$K$1004,$O429)))</f>
        <v/>
      </c>
      <c r="L429" s="50">
        <f>IF($O429="","",IF(INDEX(Firms!$L$5:$L$1004,$O429)="","—",INDEX(Firms!$L$5:$L$1004,$O429)))</f>
        <v/>
      </c>
      <c r="M429" s="50">
        <f>IF($O429="","",IF(INDEX(Firms!$M$5:$M$1004,$O429)="","—",INDEX(Firms!$M$5:$M$1004,$O429)))</f>
        <v/>
      </c>
      <c r="O429">
        <f>IFERROR(MATCH(SMALL(Firms!$Y$5:$Y$1004,421),Firms!$W$5:$W$1004,0),"")</f>
        <v/>
      </c>
    </row>
    <row r="430">
      <c r="B430" s="78">
        <f>IF($O430="","",INDEX(Firms!$A$5:$A$1004,$O430))</f>
        <v/>
      </c>
      <c r="C430" s="79">
        <f>IF($O430="","",INDEX(Firms!$N$5:$N$1004,$O430)&amp;"")</f>
        <v/>
      </c>
      <c r="D430" s="79">
        <f>IF($O430="","",INDEX(Firms!$P$5:$P$1004,$O430)&amp;"")</f>
        <v/>
      </c>
      <c r="E430" s="79">
        <f>IF($O430="","",INDEX(Firms!$O$5:$O$1004,$O430)&amp;"")</f>
        <v/>
      </c>
      <c r="F430" s="50">
        <f>IF($O430="","",IF(INDEX(Firms!$F$5:$F$1004,$O430)="","—",INDEX(Firms!$F$5:$F$1004,$O430)))</f>
        <v/>
      </c>
      <c r="G430" s="50">
        <f>IF($O430="","",IF(INDEX(Firms!$G$5:$G$1004,$O430)="","—",INDEX(Firms!$G$5:$G$1004,$O430)))</f>
        <v/>
      </c>
      <c r="H430" s="50">
        <f>IF($O430="","",IF(INDEX(Firms!$H$5:$H$1004,$O430)="","—",INDEX(Firms!$H$5:$H$1004,$O430)))</f>
        <v/>
      </c>
      <c r="I430" s="50">
        <f>IF($O430="","",IF(INDEX(Firms!$I$5:$I$1004,$O430)="","—",INDEX(Firms!$I$5:$I$1004,$O430)))</f>
        <v/>
      </c>
      <c r="J430" s="50">
        <f>IF($O430="","",IF(INDEX(Firms!$J$5:$J$1004,$O430)="","—",INDEX(Firms!$J$5:$J$1004,$O430)))</f>
        <v/>
      </c>
      <c r="K430" s="50">
        <f>IF($O430="","",IF(INDEX(Firms!$K$5:$K$1004,$O430)="","—",INDEX(Firms!$K$5:$K$1004,$O430)))</f>
        <v/>
      </c>
      <c r="L430" s="50">
        <f>IF($O430="","",IF(INDEX(Firms!$L$5:$L$1004,$O430)="","—",INDEX(Firms!$L$5:$L$1004,$O430)))</f>
        <v/>
      </c>
      <c r="M430" s="50">
        <f>IF($O430="","",IF(INDEX(Firms!$M$5:$M$1004,$O430)="","—",INDEX(Firms!$M$5:$M$1004,$O430)))</f>
        <v/>
      </c>
      <c r="O430">
        <f>IFERROR(MATCH(SMALL(Firms!$Y$5:$Y$1004,422),Firms!$W$5:$W$1004,0),"")</f>
        <v/>
      </c>
    </row>
    <row r="431">
      <c r="B431" s="78">
        <f>IF($O431="","",INDEX(Firms!$A$5:$A$1004,$O431))</f>
        <v/>
      </c>
      <c r="C431" s="79">
        <f>IF($O431="","",INDEX(Firms!$N$5:$N$1004,$O431)&amp;"")</f>
        <v/>
      </c>
      <c r="D431" s="79">
        <f>IF($O431="","",INDEX(Firms!$P$5:$P$1004,$O431)&amp;"")</f>
        <v/>
      </c>
      <c r="E431" s="79">
        <f>IF($O431="","",INDEX(Firms!$O$5:$O$1004,$O431)&amp;"")</f>
        <v/>
      </c>
      <c r="F431" s="50">
        <f>IF($O431="","",IF(INDEX(Firms!$F$5:$F$1004,$O431)="","—",INDEX(Firms!$F$5:$F$1004,$O431)))</f>
        <v/>
      </c>
      <c r="G431" s="50">
        <f>IF($O431="","",IF(INDEX(Firms!$G$5:$G$1004,$O431)="","—",INDEX(Firms!$G$5:$G$1004,$O431)))</f>
        <v/>
      </c>
      <c r="H431" s="50">
        <f>IF($O431="","",IF(INDEX(Firms!$H$5:$H$1004,$O431)="","—",INDEX(Firms!$H$5:$H$1004,$O431)))</f>
        <v/>
      </c>
      <c r="I431" s="50">
        <f>IF($O431="","",IF(INDEX(Firms!$I$5:$I$1004,$O431)="","—",INDEX(Firms!$I$5:$I$1004,$O431)))</f>
        <v/>
      </c>
      <c r="J431" s="50">
        <f>IF($O431="","",IF(INDEX(Firms!$J$5:$J$1004,$O431)="","—",INDEX(Firms!$J$5:$J$1004,$O431)))</f>
        <v/>
      </c>
      <c r="K431" s="50">
        <f>IF($O431="","",IF(INDEX(Firms!$K$5:$K$1004,$O431)="","—",INDEX(Firms!$K$5:$K$1004,$O431)))</f>
        <v/>
      </c>
      <c r="L431" s="50">
        <f>IF($O431="","",IF(INDEX(Firms!$L$5:$L$1004,$O431)="","—",INDEX(Firms!$L$5:$L$1004,$O431)))</f>
        <v/>
      </c>
      <c r="M431" s="50">
        <f>IF($O431="","",IF(INDEX(Firms!$M$5:$M$1004,$O431)="","—",INDEX(Firms!$M$5:$M$1004,$O431)))</f>
        <v/>
      </c>
      <c r="O431">
        <f>IFERROR(MATCH(SMALL(Firms!$Y$5:$Y$1004,423),Firms!$W$5:$W$1004,0),"")</f>
        <v/>
      </c>
    </row>
    <row r="432">
      <c r="B432" s="78">
        <f>IF($O432="","",INDEX(Firms!$A$5:$A$1004,$O432))</f>
        <v/>
      </c>
      <c r="C432" s="79">
        <f>IF($O432="","",INDEX(Firms!$N$5:$N$1004,$O432)&amp;"")</f>
        <v/>
      </c>
      <c r="D432" s="79">
        <f>IF($O432="","",INDEX(Firms!$P$5:$P$1004,$O432)&amp;"")</f>
        <v/>
      </c>
      <c r="E432" s="79">
        <f>IF($O432="","",INDEX(Firms!$O$5:$O$1004,$O432)&amp;"")</f>
        <v/>
      </c>
      <c r="F432" s="50">
        <f>IF($O432="","",IF(INDEX(Firms!$F$5:$F$1004,$O432)="","—",INDEX(Firms!$F$5:$F$1004,$O432)))</f>
        <v/>
      </c>
      <c r="G432" s="50">
        <f>IF($O432="","",IF(INDEX(Firms!$G$5:$G$1004,$O432)="","—",INDEX(Firms!$G$5:$G$1004,$O432)))</f>
        <v/>
      </c>
      <c r="H432" s="50">
        <f>IF($O432="","",IF(INDEX(Firms!$H$5:$H$1004,$O432)="","—",INDEX(Firms!$H$5:$H$1004,$O432)))</f>
        <v/>
      </c>
      <c r="I432" s="50">
        <f>IF($O432="","",IF(INDEX(Firms!$I$5:$I$1004,$O432)="","—",INDEX(Firms!$I$5:$I$1004,$O432)))</f>
        <v/>
      </c>
      <c r="J432" s="50">
        <f>IF($O432="","",IF(INDEX(Firms!$J$5:$J$1004,$O432)="","—",INDEX(Firms!$J$5:$J$1004,$O432)))</f>
        <v/>
      </c>
      <c r="K432" s="50">
        <f>IF($O432="","",IF(INDEX(Firms!$K$5:$K$1004,$O432)="","—",INDEX(Firms!$K$5:$K$1004,$O432)))</f>
        <v/>
      </c>
      <c r="L432" s="50">
        <f>IF($O432="","",IF(INDEX(Firms!$L$5:$L$1004,$O432)="","—",INDEX(Firms!$L$5:$L$1004,$O432)))</f>
        <v/>
      </c>
      <c r="M432" s="50">
        <f>IF($O432="","",IF(INDEX(Firms!$M$5:$M$1004,$O432)="","—",INDEX(Firms!$M$5:$M$1004,$O432)))</f>
        <v/>
      </c>
      <c r="O432">
        <f>IFERROR(MATCH(SMALL(Firms!$Y$5:$Y$1004,424),Firms!$W$5:$W$1004,0),"")</f>
        <v/>
      </c>
    </row>
    <row r="433">
      <c r="B433" s="78">
        <f>IF($O433="","",INDEX(Firms!$A$5:$A$1004,$O433))</f>
        <v/>
      </c>
      <c r="C433" s="79">
        <f>IF($O433="","",INDEX(Firms!$N$5:$N$1004,$O433)&amp;"")</f>
        <v/>
      </c>
      <c r="D433" s="79">
        <f>IF($O433="","",INDEX(Firms!$P$5:$P$1004,$O433)&amp;"")</f>
        <v/>
      </c>
      <c r="E433" s="79">
        <f>IF($O433="","",INDEX(Firms!$O$5:$O$1004,$O433)&amp;"")</f>
        <v/>
      </c>
      <c r="F433" s="50">
        <f>IF($O433="","",IF(INDEX(Firms!$F$5:$F$1004,$O433)="","—",INDEX(Firms!$F$5:$F$1004,$O433)))</f>
        <v/>
      </c>
      <c r="G433" s="50">
        <f>IF($O433="","",IF(INDEX(Firms!$G$5:$G$1004,$O433)="","—",INDEX(Firms!$G$5:$G$1004,$O433)))</f>
        <v/>
      </c>
      <c r="H433" s="50">
        <f>IF($O433="","",IF(INDEX(Firms!$H$5:$H$1004,$O433)="","—",INDEX(Firms!$H$5:$H$1004,$O433)))</f>
        <v/>
      </c>
      <c r="I433" s="50">
        <f>IF($O433="","",IF(INDEX(Firms!$I$5:$I$1004,$O433)="","—",INDEX(Firms!$I$5:$I$1004,$O433)))</f>
        <v/>
      </c>
      <c r="J433" s="50">
        <f>IF($O433="","",IF(INDEX(Firms!$J$5:$J$1004,$O433)="","—",INDEX(Firms!$J$5:$J$1004,$O433)))</f>
        <v/>
      </c>
      <c r="K433" s="50">
        <f>IF($O433="","",IF(INDEX(Firms!$K$5:$K$1004,$O433)="","—",INDEX(Firms!$K$5:$K$1004,$O433)))</f>
        <v/>
      </c>
      <c r="L433" s="50">
        <f>IF($O433="","",IF(INDEX(Firms!$L$5:$L$1004,$O433)="","—",INDEX(Firms!$L$5:$L$1004,$O433)))</f>
        <v/>
      </c>
      <c r="M433" s="50">
        <f>IF($O433="","",IF(INDEX(Firms!$M$5:$M$1004,$O433)="","—",INDEX(Firms!$M$5:$M$1004,$O433)))</f>
        <v/>
      </c>
      <c r="O433">
        <f>IFERROR(MATCH(SMALL(Firms!$Y$5:$Y$1004,425),Firms!$W$5:$W$1004,0),"")</f>
        <v/>
      </c>
    </row>
    <row r="434">
      <c r="B434" s="78">
        <f>IF($O434="","",INDEX(Firms!$A$5:$A$1004,$O434))</f>
        <v/>
      </c>
      <c r="C434" s="79">
        <f>IF($O434="","",INDEX(Firms!$N$5:$N$1004,$O434)&amp;"")</f>
        <v/>
      </c>
      <c r="D434" s="79">
        <f>IF($O434="","",INDEX(Firms!$P$5:$P$1004,$O434)&amp;"")</f>
        <v/>
      </c>
      <c r="E434" s="79">
        <f>IF($O434="","",INDEX(Firms!$O$5:$O$1004,$O434)&amp;"")</f>
        <v/>
      </c>
      <c r="F434" s="50">
        <f>IF($O434="","",IF(INDEX(Firms!$F$5:$F$1004,$O434)="","—",INDEX(Firms!$F$5:$F$1004,$O434)))</f>
        <v/>
      </c>
      <c r="G434" s="50">
        <f>IF($O434="","",IF(INDEX(Firms!$G$5:$G$1004,$O434)="","—",INDEX(Firms!$G$5:$G$1004,$O434)))</f>
        <v/>
      </c>
      <c r="H434" s="50">
        <f>IF($O434="","",IF(INDEX(Firms!$H$5:$H$1004,$O434)="","—",INDEX(Firms!$H$5:$H$1004,$O434)))</f>
        <v/>
      </c>
      <c r="I434" s="50">
        <f>IF($O434="","",IF(INDEX(Firms!$I$5:$I$1004,$O434)="","—",INDEX(Firms!$I$5:$I$1004,$O434)))</f>
        <v/>
      </c>
      <c r="J434" s="50">
        <f>IF($O434="","",IF(INDEX(Firms!$J$5:$J$1004,$O434)="","—",INDEX(Firms!$J$5:$J$1004,$O434)))</f>
        <v/>
      </c>
      <c r="K434" s="50">
        <f>IF($O434="","",IF(INDEX(Firms!$K$5:$K$1004,$O434)="","—",INDEX(Firms!$K$5:$K$1004,$O434)))</f>
        <v/>
      </c>
      <c r="L434" s="50">
        <f>IF($O434="","",IF(INDEX(Firms!$L$5:$L$1004,$O434)="","—",INDEX(Firms!$L$5:$L$1004,$O434)))</f>
        <v/>
      </c>
      <c r="M434" s="50">
        <f>IF($O434="","",IF(INDEX(Firms!$M$5:$M$1004,$O434)="","—",INDEX(Firms!$M$5:$M$1004,$O434)))</f>
        <v/>
      </c>
      <c r="O434">
        <f>IFERROR(MATCH(SMALL(Firms!$Y$5:$Y$1004,426),Firms!$W$5:$W$1004,0),"")</f>
        <v/>
      </c>
    </row>
    <row r="435">
      <c r="B435" s="78">
        <f>IF($O435="","",INDEX(Firms!$A$5:$A$1004,$O435))</f>
        <v/>
      </c>
      <c r="C435" s="79">
        <f>IF($O435="","",INDEX(Firms!$N$5:$N$1004,$O435)&amp;"")</f>
        <v/>
      </c>
      <c r="D435" s="79">
        <f>IF($O435="","",INDEX(Firms!$P$5:$P$1004,$O435)&amp;"")</f>
        <v/>
      </c>
      <c r="E435" s="79">
        <f>IF($O435="","",INDEX(Firms!$O$5:$O$1004,$O435)&amp;"")</f>
        <v/>
      </c>
      <c r="F435" s="50">
        <f>IF($O435="","",IF(INDEX(Firms!$F$5:$F$1004,$O435)="","—",INDEX(Firms!$F$5:$F$1004,$O435)))</f>
        <v/>
      </c>
      <c r="G435" s="50">
        <f>IF($O435="","",IF(INDEX(Firms!$G$5:$G$1004,$O435)="","—",INDEX(Firms!$G$5:$G$1004,$O435)))</f>
        <v/>
      </c>
      <c r="H435" s="50">
        <f>IF($O435="","",IF(INDEX(Firms!$H$5:$H$1004,$O435)="","—",INDEX(Firms!$H$5:$H$1004,$O435)))</f>
        <v/>
      </c>
      <c r="I435" s="50">
        <f>IF($O435="","",IF(INDEX(Firms!$I$5:$I$1004,$O435)="","—",INDEX(Firms!$I$5:$I$1004,$O435)))</f>
        <v/>
      </c>
      <c r="J435" s="50">
        <f>IF($O435="","",IF(INDEX(Firms!$J$5:$J$1004,$O435)="","—",INDEX(Firms!$J$5:$J$1004,$O435)))</f>
        <v/>
      </c>
      <c r="K435" s="50">
        <f>IF($O435="","",IF(INDEX(Firms!$K$5:$K$1004,$O435)="","—",INDEX(Firms!$K$5:$K$1004,$O435)))</f>
        <v/>
      </c>
      <c r="L435" s="50">
        <f>IF($O435="","",IF(INDEX(Firms!$L$5:$L$1004,$O435)="","—",INDEX(Firms!$L$5:$L$1004,$O435)))</f>
        <v/>
      </c>
      <c r="M435" s="50">
        <f>IF($O435="","",IF(INDEX(Firms!$M$5:$M$1004,$O435)="","—",INDEX(Firms!$M$5:$M$1004,$O435)))</f>
        <v/>
      </c>
      <c r="O435">
        <f>IFERROR(MATCH(SMALL(Firms!$Y$5:$Y$1004,427),Firms!$W$5:$W$1004,0),"")</f>
        <v/>
      </c>
    </row>
    <row r="436">
      <c r="B436" s="78">
        <f>IF($O436="","",INDEX(Firms!$A$5:$A$1004,$O436))</f>
        <v/>
      </c>
      <c r="C436" s="79">
        <f>IF($O436="","",INDEX(Firms!$N$5:$N$1004,$O436)&amp;"")</f>
        <v/>
      </c>
      <c r="D436" s="79">
        <f>IF($O436="","",INDEX(Firms!$P$5:$P$1004,$O436)&amp;"")</f>
        <v/>
      </c>
      <c r="E436" s="79">
        <f>IF($O436="","",INDEX(Firms!$O$5:$O$1004,$O436)&amp;"")</f>
        <v/>
      </c>
      <c r="F436" s="50">
        <f>IF($O436="","",IF(INDEX(Firms!$F$5:$F$1004,$O436)="","—",INDEX(Firms!$F$5:$F$1004,$O436)))</f>
        <v/>
      </c>
      <c r="G436" s="50">
        <f>IF($O436="","",IF(INDEX(Firms!$G$5:$G$1004,$O436)="","—",INDEX(Firms!$G$5:$G$1004,$O436)))</f>
        <v/>
      </c>
      <c r="H436" s="50">
        <f>IF($O436="","",IF(INDEX(Firms!$H$5:$H$1004,$O436)="","—",INDEX(Firms!$H$5:$H$1004,$O436)))</f>
        <v/>
      </c>
      <c r="I436" s="50">
        <f>IF($O436="","",IF(INDEX(Firms!$I$5:$I$1004,$O436)="","—",INDEX(Firms!$I$5:$I$1004,$O436)))</f>
        <v/>
      </c>
      <c r="J436" s="50">
        <f>IF($O436="","",IF(INDEX(Firms!$J$5:$J$1004,$O436)="","—",INDEX(Firms!$J$5:$J$1004,$O436)))</f>
        <v/>
      </c>
      <c r="K436" s="50">
        <f>IF($O436="","",IF(INDEX(Firms!$K$5:$K$1004,$O436)="","—",INDEX(Firms!$K$5:$K$1004,$O436)))</f>
        <v/>
      </c>
      <c r="L436" s="50">
        <f>IF($O436="","",IF(INDEX(Firms!$L$5:$L$1004,$O436)="","—",INDEX(Firms!$L$5:$L$1004,$O436)))</f>
        <v/>
      </c>
      <c r="M436" s="50">
        <f>IF($O436="","",IF(INDEX(Firms!$M$5:$M$1004,$O436)="","—",INDEX(Firms!$M$5:$M$1004,$O436)))</f>
        <v/>
      </c>
      <c r="O436">
        <f>IFERROR(MATCH(SMALL(Firms!$Y$5:$Y$1004,428),Firms!$W$5:$W$1004,0),"")</f>
        <v/>
      </c>
    </row>
    <row r="437">
      <c r="B437" s="78">
        <f>IF($O437="","",INDEX(Firms!$A$5:$A$1004,$O437))</f>
        <v/>
      </c>
      <c r="C437" s="79">
        <f>IF($O437="","",INDEX(Firms!$N$5:$N$1004,$O437)&amp;"")</f>
        <v/>
      </c>
      <c r="D437" s="79">
        <f>IF($O437="","",INDEX(Firms!$P$5:$P$1004,$O437)&amp;"")</f>
        <v/>
      </c>
      <c r="E437" s="79">
        <f>IF($O437="","",INDEX(Firms!$O$5:$O$1004,$O437)&amp;"")</f>
        <v/>
      </c>
      <c r="F437" s="50">
        <f>IF($O437="","",IF(INDEX(Firms!$F$5:$F$1004,$O437)="","—",INDEX(Firms!$F$5:$F$1004,$O437)))</f>
        <v/>
      </c>
      <c r="G437" s="50">
        <f>IF($O437="","",IF(INDEX(Firms!$G$5:$G$1004,$O437)="","—",INDEX(Firms!$G$5:$G$1004,$O437)))</f>
        <v/>
      </c>
      <c r="H437" s="50">
        <f>IF($O437="","",IF(INDEX(Firms!$H$5:$H$1004,$O437)="","—",INDEX(Firms!$H$5:$H$1004,$O437)))</f>
        <v/>
      </c>
      <c r="I437" s="50">
        <f>IF($O437="","",IF(INDEX(Firms!$I$5:$I$1004,$O437)="","—",INDEX(Firms!$I$5:$I$1004,$O437)))</f>
        <v/>
      </c>
      <c r="J437" s="50">
        <f>IF($O437="","",IF(INDEX(Firms!$J$5:$J$1004,$O437)="","—",INDEX(Firms!$J$5:$J$1004,$O437)))</f>
        <v/>
      </c>
      <c r="K437" s="50">
        <f>IF($O437="","",IF(INDEX(Firms!$K$5:$K$1004,$O437)="","—",INDEX(Firms!$K$5:$K$1004,$O437)))</f>
        <v/>
      </c>
      <c r="L437" s="50">
        <f>IF($O437="","",IF(INDEX(Firms!$L$5:$L$1004,$O437)="","—",INDEX(Firms!$L$5:$L$1004,$O437)))</f>
        <v/>
      </c>
      <c r="M437" s="50">
        <f>IF($O437="","",IF(INDEX(Firms!$M$5:$M$1004,$O437)="","—",INDEX(Firms!$M$5:$M$1004,$O437)))</f>
        <v/>
      </c>
      <c r="O437">
        <f>IFERROR(MATCH(SMALL(Firms!$Y$5:$Y$1004,429),Firms!$W$5:$W$1004,0),"")</f>
        <v/>
      </c>
    </row>
    <row r="438">
      <c r="B438" s="78">
        <f>IF($O438="","",INDEX(Firms!$A$5:$A$1004,$O438))</f>
        <v/>
      </c>
      <c r="C438" s="79">
        <f>IF($O438="","",INDEX(Firms!$N$5:$N$1004,$O438)&amp;"")</f>
        <v/>
      </c>
      <c r="D438" s="79">
        <f>IF($O438="","",INDEX(Firms!$P$5:$P$1004,$O438)&amp;"")</f>
        <v/>
      </c>
      <c r="E438" s="79">
        <f>IF($O438="","",INDEX(Firms!$O$5:$O$1004,$O438)&amp;"")</f>
        <v/>
      </c>
      <c r="F438" s="50">
        <f>IF($O438="","",IF(INDEX(Firms!$F$5:$F$1004,$O438)="","—",INDEX(Firms!$F$5:$F$1004,$O438)))</f>
        <v/>
      </c>
      <c r="G438" s="50">
        <f>IF($O438="","",IF(INDEX(Firms!$G$5:$G$1004,$O438)="","—",INDEX(Firms!$G$5:$G$1004,$O438)))</f>
        <v/>
      </c>
      <c r="H438" s="50">
        <f>IF($O438="","",IF(INDEX(Firms!$H$5:$H$1004,$O438)="","—",INDEX(Firms!$H$5:$H$1004,$O438)))</f>
        <v/>
      </c>
      <c r="I438" s="50">
        <f>IF($O438="","",IF(INDEX(Firms!$I$5:$I$1004,$O438)="","—",INDEX(Firms!$I$5:$I$1004,$O438)))</f>
        <v/>
      </c>
      <c r="J438" s="50">
        <f>IF($O438="","",IF(INDEX(Firms!$J$5:$J$1004,$O438)="","—",INDEX(Firms!$J$5:$J$1004,$O438)))</f>
        <v/>
      </c>
      <c r="K438" s="50">
        <f>IF($O438="","",IF(INDEX(Firms!$K$5:$K$1004,$O438)="","—",INDEX(Firms!$K$5:$K$1004,$O438)))</f>
        <v/>
      </c>
      <c r="L438" s="50">
        <f>IF($O438="","",IF(INDEX(Firms!$L$5:$L$1004,$O438)="","—",INDEX(Firms!$L$5:$L$1004,$O438)))</f>
        <v/>
      </c>
      <c r="M438" s="50">
        <f>IF($O438="","",IF(INDEX(Firms!$M$5:$M$1004,$O438)="","—",INDEX(Firms!$M$5:$M$1004,$O438)))</f>
        <v/>
      </c>
      <c r="O438">
        <f>IFERROR(MATCH(SMALL(Firms!$Y$5:$Y$1004,430),Firms!$W$5:$W$1004,0),"")</f>
        <v/>
      </c>
    </row>
    <row r="439">
      <c r="B439" s="78">
        <f>IF($O439="","",INDEX(Firms!$A$5:$A$1004,$O439))</f>
        <v/>
      </c>
      <c r="C439" s="79">
        <f>IF($O439="","",INDEX(Firms!$N$5:$N$1004,$O439)&amp;"")</f>
        <v/>
      </c>
      <c r="D439" s="79">
        <f>IF($O439="","",INDEX(Firms!$P$5:$P$1004,$O439)&amp;"")</f>
        <v/>
      </c>
      <c r="E439" s="79">
        <f>IF($O439="","",INDEX(Firms!$O$5:$O$1004,$O439)&amp;"")</f>
        <v/>
      </c>
      <c r="F439" s="50">
        <f>IF($O439="","",IF(INDEX(Firms!$F$5:$F$1004,$O439)="","—",INDEX(Firms!$F$5:$F$1004,$O439)))</f>
        <v/>
      </c>
      <c r="G439" s="50">
        <f>IF($O439="","",IF(INDEX(Firms!$G$5:$G$1004,$O439)="","—",INDEX(Firms!$G$5:$G$1004,$O439)))</f>
        <v/>
      </c>
      <c r="H439" s="50">
        <f>IF($O439="","",IF(INDEX(Firms!$H$5:$H$1004,$O439)="","—",INDEX(Firms!$H$5:$H$1004,$O439)))</f>
        <v/>
      </c>
      <c r="I439" s="50">
        <f>IF($O439="","",IF(INDEX(Firms!$I$5:$I$1004,$O439)="","—",INDEX(Firms!$I$5:$I$1004,$O439)))</f>
        <v/>
      </c>
      <c r="J439" s="50">
        <f>IF($O439="","",IF(INDEX(Firms!$J$5:$J$1004,$O439)="","—",INDEX(Firms!$J$5:$J$1004,$O439)))</f>
        <v/>
      </c>
      <c r="K439" s="50">
        <f>IF($O439="","",IF(INDEX(Firms!$K$5:$K$1004,$O439)="","—",INDEX(Firms!$K$5:$K$1004,$O439)))</f>
        <v/>
      </c>
      <c r="L439" s="50">
        <f>IF($O439="","",IF(INDEX(Firms!$L$5:$L$1004,$O439)="","—",INDEX(Firms!$L$5:$L$1004,$O439)))</f>
        <v/>
      </c>
      <c r="M439" s="50">
        <f>IF($O439="","",IF(INDEX(Firms!$M$5:$M$1004,$O439)="","—",INDEX(Firms!$M$5:$M$1004,$O439)))</f>
        <v/>
      </c>
      <c r="O439">
        <f>IFERROR(MATCH(SMALL(Firms!$Y$5:$Y$1004,431),Firms!$W$5:$W$1004,0),"")</f>
        <v/>
      </c>
    </row>
    <row r="440">
      <c r="B440" s="78">
        <f>IF($O440="","",INDEX(Firms!$A$5:$A$1004,$O440))</f>
        <v/>
      </c>
      <c r="C440" s="79">
        <f>IF($O440="","",INDEX(Firms!$N$5:$N$1004,$O440)&amp;"")</f>
        <v/>
      </c>
      <c r="D440" s="79">
        <f>IF($O440="","",INDEX(Firms!$P$5:$P$1004,$O440)&amp;"")</f>
        <v/>
      </c>
      <c r="E440" s="79">
        <f>IF($O440="","",INDEX(Firms!$O$5:$O$1004,$O440)&amp;"")</f>
        <v/>
      </c>
      <c r="F440" s="50">
        <f>IF($O440="","",IF(INDEX(Firms!$F$5:$F$1004,$O440)="","—",INDEX(Firms!$F$5:$F$1004,$O440)))</f>
        <v/>
      </c>
      <c r="G440" s="50">
        <f>IF($O440="","",IF(INDEX(Firms!$G$5:$G$1004,$O440)="","—",INDEX(Firms!$G$5:$G$1004,$O440)))</f>
        <v/>
      </c>
      <c r="H440" s="50">
        <f>IF($O440="","",IF(INDEX(Firms!$H$5:$H$1004,$O440)="","—",INDEX(Firms!$H$5:$H$1004,$O440)))</f>
        <v/>
      </c>
      <c r="I440" s="50">
        <f>IF($O440="","",IF(INDEX(Firms!$I$5:$I$1004,$O440)="","—",INDEX(Firms!$I$5:$I$1004,$O440)))</f>
        <v/>
      </c>
      <c r="J440" s="50">
        <f>IF($O440="","",IF(INDEX(Firms!$J$5:$J$1004,$O440)="","—",INDEX(Firms!$J$5:$J$1004,$O440)))</f>
        <v/>
      </c>
      <c r="K440" s="50">
        <f>IF($O440="","",IF(INDEX(Firms!$K$5:$K$1004,$O440)="","—",INDEX(Firms!$K$5:$K$1004,$O440)))</f>
        <v/>
      </c>
      <c r="L440" s="50">
        <f>IF($O440="","",IF(INDEX(Firms!$L$5:$L$1004,$O440)="","—",INDEX(Firms!$L$5:$L$1004,$O440)))</f>
        <v/>
      </c>
      <c r="M440" s="50">
        <f>IF($O440="","",IF(INDEX(Firms!$M$5:$M$1004,$O440)="","—",INDEX(Firms!$M$5:$M$1004,$O440)))</f>
        <v/>
      </c>
      <c r="O440">
        <f>IFERROR(MATCH(SMALL(Firms!$Y$5:$Y$1004,432),Firms!$W$5:$W$1004,0),"")</f>
        <v/>
      </c>
    </row>
    <row r="441">
      <c r="B441" s="78">
        <f>IF($O441="","",INDEX(Firms!$A$5:$A$1004,$O441))</f>
        <v/>
      </c>
      <c r="C441" s="79">
        <f>IF($O441="","",INDEX(Firms!$N$5:$N$1004,$O441)&amp;"")</f>
        <v/>
      </c>
      <c r="D441" s="79">
        <f>IF($O441="","",INDEX(Firms!$P$5:$P$1004,$O441)&amp;"")</f>
        <v/>
      </c>
      <c r="E441" s="79">
        <f>IF($O441="","",INDEX(Firms!$O$5:$O$1004,$O441)&amp;"")</f>
        <v/>
      </c>
      <c r="F441" s="50">
        <f>IF($O441="","",IF(INDEX(Firms!$F$5:$F$1004,$O441)="","—",INDEX(Firms!$F$5:$F$1004,$O441)))</f>
        <v/>
      </c>
      <c r="G441" s="50">
        <f>IF($O441="","",IF(INDEX(Firms!$G$5:$G$1004,$O441)="","—",INDEX(Firms!$G$5:$G$1004,$O441)))</f>
        <v/>
      </c>
      <c r="H441" s="50">
        <f>IF($O441="","",IF(INDEX(Firms!$H$5:$H$1004,$O441)="","—",INDEX(Firms!$H$5:$H$1004,$O441)))</f>
        <v/>
      </c>
      <c r="I441" s="50">
        <f>IF($O441="","",IF(INDEX(Firms!$I$5:$I$1004,$O441)="","—",INDEX(Firms!$I$5:$I$1004,$O441)))</f>
        <v/>
      </c>
      <c r="J441" s="50">
        <f>IF($O441="","",IF(INDEX(Firms!$J$5:$J$1004,$O441)="","—",INDEX(Firms!$J$5:$J$1004,$O441)))</f>
        <v/>
      </c>
      <c r="K441" s="50">
        <f>IF($O441="","",IF(INDEX(Firms!$K$5:$K$1004,$O441)="","—",INDEX(Firms!$K$5:$K$1004,$O441)))</f>
        <v/>
      </c>
      <c r="L441" s="50">
        <f>IF($O441="","",IF(INDEX(Firms!$L$5:$L$1004,$O441)="","—",INDEX(Firms!$L$5:$L$1004,$O441)))</f>
        <v/>
      </c>
      <c r="M441" s="50">
        <f>IF($O441="","",IF(INDEX(Firms!$M$5:$M$1004,$O441)="","—",INDEX(Firms!$M$5:$M$1004,$O441)))</f>
        <v/>
      </c>
      <c r="O441">
        <f>IFERROR(MATCH(SMALL(Firms!$Y$5:$Y$1004,433),Firms!$W$5:$W$1004,0),"")</f>
        <v/>
      </c>
    </row>
    <row r="442">
      <c r="B442" s="78">
        <f>IF($O442="","",INDEX(Firms!$A$5:$A$1004,$O442))</f>
        <v/>
      </c>
      <c r="C442" s="79">
        <f>IF($O442="","",INDEX(Firms!$N$5:$N$1004,$O442)&amp;"")</f>
        <v/>
      </c>
      <c r="D442" s="79">
        <f>IF($O442="","",INDEX(Firms!$P$5:$P$1004,$O442)&amp;"")</f>
        <v/>
      </c>
      <c r="E442" s="79">
        <f>IF($O442="","",INDEX(Firms!$O$5:$O$1004,$O442)&amp;"")</f>
        <v/>
      </c>
      <c r="F442" s="50">
        <f>IF($O442="","",IF(INDEX(Firms!$F$5:$F$1004,$O442)="","—",INDEX(Firms!$F$5:$F$1004,$O442)))</f>
        <v/>
      </c>
      <c r="G442" s="50">
        <f>IF($O442="","",IF(INDEX(Firms!$G$5:$G$1004,$O442)="","—",INDEX(Firms!$G$5:$G$1004,$O442)))</f>
        <v/>
      </c>
      <c r="H442" s="50">
        <f>IF($O442="","",IF(INDEX(Firms!$H$5:$H$1004,$O442)="","—",INDEX(Firms!$H$5:$H$1004,$O442)))</f>
        <v/>
      </c>
      <c r="I442" s="50">
        <f>IF($O442="","",IF(INDEX(Firms!$I$5:$I$1004,$O442)="","—",INDEX(Firms!$I$5:$I$1004,$O442)))</f>
        <v/>
      </c>
      <c r="J442" s="50">
        <f>IF($O442="","",IF(INDEX(Firms!$J$5:$J$1004,$O442)="","—",INDEX(Firms!$J$5:$J$1004,$O442)))</f>
        <v/>
      </c>
      <c r="K442" s="50">
        <f>IF($O442="","",IF(INDEX(Firms!$K$5:$K$1004,$O442)="","—",INDEX(Firms!$K$5:$K$1004,$O442)))</f>
        <v/>
      </c>
      <c r="L442" s="50">
        <f>IF($O442="","",IF(INDEX(Firms!$L$5:$L$1004,$O442)="","—",INDEX(Firms!$L$5:$L$1004,$O442)))</f>
        <v/>
      </c>
      <c r="M442" s="50">
        <f>IF($O442="","",IF(INDEX(Firms!$M$5:$M$1004,$O442)="","—",INDEX(Firms!$M$5:$M$1004,$O442)))</f>
        <v/>
      </c>
      <c r="O442">
        <f>IFERROR(MATCH(SMALL(Firms!$Y$5:$Y$1004,434),Firms!$W$5:$W$1004,0),"")</f>
        <v/>
      </c>
    </row>
    <row r="443">
      <c r="B443" s="78">
        <f>IF($O443="","",INDEX(Firms!$A$5:$A$1004,$O443))</f>
        <v/>
      </c>
      <c r="C443" s="79">
        <f>IF($O443="","",INDEX(Firms!$N$5:$N$1004,$O443)&amp;"")</f>
        <v/>
      </c>
      <c r="D443" s="79">
        <f>IF($O443="","",INDEX(Firms!$P$5:$P$1004,$O443)&amp;"")</f>
        <v/>
      </c>
      <c r="E443" s="79">
        <f>IF($O443="","",INDEX(Firms!$O$5:$O$1004,$O443)&amp;"")</f>
        <v/>
      </c>
      <c r="F443" s="50">
        <f>IF($O443="","",IF(INDEX(Firms!$F$5:$F$1004,$O443)="","—",INDEX(Firms!$F$5:$F$1004,$O443)))</f>
        <v/>
      </c>
      <c r="G443" s="50">
        <f>IF($O443="","",IF(INDEX(Firms!$G$5:$G$1004,$O443)="","—",INDEX(Firms!$G$5:$G$1004,$O443)))</f>
        <v/>
      </c>
      <c r="H443" s="50">
        <f>IF($O443="","",IF(INDEX(Firms!$H$5:$H$1004,$O443)="","—",INDEX(Firms!$H$5:$H$1004,$O443)))</f>
        <v/>
      </c>
      <c r="I443" s="50">
        <f>IF($O443="","",IF(INDEX(Firms!$I$5:$I$1004,$O443)="","—",INDEX(Firms!$I$5:$I$1004,$O443)))</f>
        <v/>
      </c>
      <c r="J443" s="50">
        <f>IF($O443="","",IF(INDEX(Firms!$J$5:$J$1004,$O443)="","—",INDEX(Firms!$J$5:$J$1004,$O443)))</f>
        <v/>
      </c>
      <c r="K443" s="50">
        <f>IF($O443="","",IF(INDEX(Firms!$K$5:$K$1004,$O443)="","—",INDEX(Firms!$K$5:$K$1004,$O443)))</f>
        <v/>
      </c>
      <c r="L443" s="50">
        <f>IF($O443="","",IF(INDEX(Firms!$L$5:$L$1004,$O443)="","—",INDEX(Firms!$L$5:$L$1004,$O443)))</f>
        <v/>
      </c>
      <c r="M443" s="50">
        <f>IF($O443="","",IF(INDEX(Firms!$M$5:$M$1004,$O443)="","—",INDEX(Firms!$M$5:$M$1004,$O443)))</f>
        <v/>
      </c>
      <c r="O443">
        <f>IFERROR(MATCH(SMALL(Firms!$Y$5:$Y$1004,435),Firms!$W$5:$W$1004,0),"")</f>
        <v/>
      </c>
    </row>
    <row r="444">
      <c r="B444" s="78">
        <f>IF($O444="","",INDEX(Firms!$A$5:$A$1004,$O444))</f>
        <v/>
      </c>
      <c r="C444" s="79">
        <f>IF($O444="","",INDEX(Firms!$N$5:$N$1004,$O444)&amp;"")</f>
        <v/>
      </c>
      <c r="D444" s="79">
        <f>IF($O444="","",INDEX(Firms!$P$5:$P$1004,$O444)&amp;"")</f>
        <v/>
      </c>
      <c r="E444" s="79">
        <f>IF($O444="","",INDEX(Firms!$O$5:$O$1004,$O444)&amp;"")</f>
        <v/>
      </c>
      <c r="F444" s="50">
        <f>IF($O444="","",IF(INDEX(Firms!$F$5:$F$1004,$O444)="","—",INDEX(Firms!$F$5:$F$1004,$O444)))</f>
        <v/>
      </c>
      <c r="G444" s="50">
        <f>IF($O444="","",IF(INDEX(Firms!$G$5:$G$1004,$O444)="","—",INDEX(Firms!$G$5:$G$1004,$O444)))</f>
        <v/>
      </c>
      <c r="H444" s="50">
        <f>IF($O444="","",IF(INDEX(Firms!$H$5:$H$1004,$O444)="","—",INDEX(Firms!$H$5:$H$1004,$O444)))</f>
        <v/>
      </c>
      <c r="I444" s="50">
        <f>IF($O444="","",IF(INDEX(Firms!$I$5:$I$1004,$O444)="","—",INDEX(Firms!$I$5:$I$1004,$O444)))</f>
        <v/>
      </c>
      <c r="J444" s="50">
        <f>IF($O444="","",IF(INDEX(Firms!$J$5:$J$1004,$O444)="","—",INDEX(Firms!$J$5:$J$1004,$O444)))</f>
        <v/>
      </c>
      <c r="K444" s="50">
        <f>IF($O444="","",IF(INDEX(Firms!$K$5:$K$1004,$O444)="","—",INDEX(Firms!$K$5:$K$1004,$O444)))</f>
        <v/>
      </c>
      <c r="L444" s="50">
        <f>IF($O444="","",IF(INDEX(Firms!$L$5:$L$1004,$O444)="","—",INDEX(Firms!$L$5:$L$1004,$O444)))</f>
        <v/>
      </c>
      <c r="M444" s="50">
        <f>IF($O444="","",IF(INDEX(Firms!$M$5:$M$1004,$O444)="","—",INDEX(Firms!$M$5:$M$1004,$O444)))</f>
        <v/>
      </c>
      <c r="O444">
        <f>IFERROR(MATCH(SMALL(Firms!$Y$5:$Y$1004,436),Firms!$W$5:$W$1004,0),"")</f>
        <v/>
      </c>
    </row>
    <row r="445">
      <c r="B445" s="78">
        <f>IF($O445="","",INDEX(Firms!$A$5:$A$1004,$O445))</f>
        <v/>
      </c>
      <c r="C445" s="79">
        <f>IF($O445="","",INDEX(Firms!$N$5:$N$1004,$O445)&amp;"")</f>
        <v/>
      </c>
      <c r="D445" s="79">
        <f>IF($O445="","",INDEX(Firms!$P$5:$P$1004,$O445)&amp;"")</f>
        <v/>
      </c>
      <c r="E445" s="79">
        <f>IF($O445="","",INDEX(Firms!$O$5:$O$1004,$O445)&amp;"")</f>
        <v/>
      </c>
      <c r="F445" s="50">
        <f>IF($O445="","",IF(INDEX(Firms!$F$5:$F$1004,$O445)="","—",INDEX(Firms!$F$5:$F$1004,$O445)))</f>
        <v/>
      </c>
      <c r="G445" s="50">
        <f>IF($O445="","",IF(INDEX(Firms!$G$5:$G$1004,$O445)="","—",INDEX(Firms!$G$5:$G$1004,$O445)))</f>
        <v/>
      </c>
      <c r="H445" s="50">
        <f>IF($O445="","",IF(INDEX(Firms!$H$5:$H$1004,$O445)="","—",INDEX(Firms!$H$5:$H$1004,$O445)))</f>
        <v/>
      </c>
      <c r="I445" s="50">
        <f>IF($O445="","",IF(INDEX(Firms!$I$5:$I$1004,$O445)="","—",INDEX(Firms!$I$5:$I$1004,$O445)))</f>
        <v/>
      </c>
      <c r="J445" s="50">
        <f>IF($O445="","",IF(INDEX(Firms!$J$5:$J$1004,$O445)="","—",INDEX(Firms!$J$5:$J$1004,$O445)))</f>
        <v/>
      </c>
      <c r="K445" s="50">
        <f>IF($O445="","",IF(INDEX(Firms!$K$5:$K$1004,$O445)="","—",INDEX(Firms!$K$5:$K$1004,$O445)))</f>
        <v/>
      </c>
      <c r="L445" s="50">
        <f>IF($O445="","",IF(INDEX(Firms!$L$5:$L$1004,$O445)="","—",INDEX(Firms!$L$5:$L$1004,$O445)))</f>
        <v/>
      </c>
      <c r="M445" s="50">
        <f>IF($O445="","",IF(INDEX(Firms!$M$5:$M$1004,$O445)="","—",INDEX(Firms!$M$5:$M$1004,$O445)))</f>
        <v/>
      </c>
      <c r="O445">
        <f>IFERROR(MATCH(SMALL(Firms!$Y$5:$Y$1004,437),Firms!$W$5:$W$1004,0),"")</f>
        <v/>
      </c>
    </row>
    <row r="446">
      <c r="B446" s="78">
        <f>IF($O446="","",INDEX(Firms!$A$5:$A$1004,$O446))</f>
        <v/>
      </c>
      <c r="C446" s="79">
        <f>IF($O446="","",INDEX(Firms!$N$5:$N$1004,$O446)&amp;"")</f>
        <v/>
      </c>
      <c r="D446" s="79">
        <f>IF($O446="","",INDEX(Firms!$P$5:$P$1004,$O446)&amp;"")</f>
        <v/>
      </c>
      <c r="E446" s="79">
        <f>IF($O446="","",INDEX(Firms!$O$5:$O$1004,$O446)&amp;"")</f>
        <v/>
      </c>
      <c r="F446" s="50">
        <f>IF($O446="","",IF(INDEX(Firms!$F$5:$F$1004,$O446)="","—",INDEX(Firms!$F$5:$F$1004,$O446)))</f>
        <v/>
      </c>
      <c r="G446" s="50">
        <f>IF($O446="","",IF(INDEX(Firms!$G$5:$G$1004,$O446)="","—",INDEX(Firms!$G$5:$G$1004,$O446)))</f>
        <v/>
      </c>
      <c r="H446" s="50">
        <f>IF($O446="","",IF(INDEX(Firms!$H$5:$H$1004,$O446)="","—",INDEX(Firms!$H$5:$H$1004,$O446)))</f>
        <v/>
      </c>
      <c r="I446" s="50">
        <f>IF($O446="","",IF(INDEX(Firms!$I$5:$I$1004,$O446)="","—",INDEX(Firms!$I$5:$I$1004,$O446)))</f>
        <v/>
      </c>
      <c r="J446" s="50">
        <f>IF($O446="","",IF(INDEX(Firms!$J$5:$J$1004,$O446)="","—",INDEX(Firms!$J$5:$J$1004,$O446)))</f>
        <v/>
      </c>
      <c r="K446" s="50">
        <f>IF($O446="","",IF(INDEX(Firms!$K$5:$K$1004,$O446)="","—",INDEX(Firms!$K$5:$K$1004,$O446)))</f>
        <v/>
      </c>
      <c r="L446" s="50">
        <f>IF($O446="","",IF(INDEX(Firms!$L$5:$L$1004,$O446)="","—",INDEX(Firms!$L$5:$L$1004,$O446)))</f>
        <v/>
      </c>
      <c r="M446" s="50">
        <f>IF($O446="","",IF(INDEX(Firms!$M$5:$M$1004,$O446)="","—",INDEX(Firms!$M$5:$M$1004,$O446)))</f>
        <v/>
      </c>
      <c r="O446">
        <f>IFERROR(MATCH(SMALL(Firms!$Y$5:$Y$1004,438),Firms!$W$5:$W$1004,0),"")</f>
        <v/>
      </c>
    </row>
    <row r="447">
      <c r="B447" s="78">
        <f>IF($O447="","",INDEX(Firms!$A$5:$A$1004,$O447))</f>
        <v/>
      </c>
      <c r="C447" s="79">
        <f>IF($O447="","",INDEX(Firms!$N$5:$N$1004,$O447)&amp;"")</f>
        <v/>
      </c>
      <c r="D447" s="79">
        <f>IF($O447="","",INDEX(Firms!$P$5:$P$1004,$O447)&amp;"")</f>
        <v/>
      </c>
      <c r="E447" s="79">
        <f>IF($O447="","",INDEX(Firms!$O$5:$O$1004,$O447)&amp;"")</f>
        <v/>
      </c>
      <c r="F447" s="50">
        <f>IF($O447="","",IF(INDEX(Firms!$F$5:$F$1004,$O447)="","—",INDEX(Firms!$F$5:$F$1004,$O447)))</f>
        <v/>
      </c>
      <c r="G447" s="50">
        <f>IF($O447="","",IF(INDEX(Firms!$G$5:$G$1004,$O447)="","—",INDEX(Firms!$G$5:$G$1004,$O447)))</f>
        <v/>
      </c>
      <c r="H447" s="50">
        <f>IF($O447="","",IF(INDEX(Firms!$H$5:$H$1004,$O447)="","—",INDEX(Firms!$H$5:$H$1004,$O447)))</f>
        <v/>
      </c>
      <c r="I447" s="50">
        <f>IF($O447="","",IF(INDEX(Firms!$I$5:$I$1004,$O447)="","—",INDEX(Firms!$I$5:$I$1004,$O447)))</f>
        <v/>
      </c>
      <c r="J447" s="50">
        <f>IF($O447="","",IF(INDEX(Firms!$J$5:$J$1004,$O447)="","—",INDEX(Firms!$J$5:$J$1004,$O447)))</f>
        <v/>
      </c>
      <c r="K447" s="50">
        <f>IF($O447="","",IF(INDEX(Firms!$K$5:$K$1004,$O447)="","—",INDEX(Firms!$K$5:$K$1004,$O447)))</f>
        <v/>
      </c>
      <c r="L447" s="50">
        <f>IF($O447="","",IF(INDEX(Firms!$L$5:$L$1004,$O447)="","—",INDEX(Firms!$L$5:$L$1004,$O447)))</f>
        <v/>
      </c>
      <c r="M447" s="50">
        <f>IF($O447="","",IF(INDEX(Firms!$M$5:$M$1004,$O447)="","—",INDEX(Firms!$M$5:$M$1004,$O447)))</f>
        <v/>
      </c>
      <c r="O447">
        <f>IFERROR(MATCH(SMALL(Firms!$Y$5:$Y$1004,439),Firms!$W$5:$W$1004,0),"")</f>
        <v/>
      </c>
    </row>
    <row r="448">
      <c r="B448" s="78">
        <f>IF($O448="","",INDEX(Firms!$A$5:$A$1004,$O448))</f>
        <v/>
      </c>
      <c r="C448" s="79">
        <f>IF($O448="","",INDEX(Firms!$N$5:$N$1004,$O448)&amp;"")</f>
        <v/>
      </c>
      <c r="D448" s="79">
        <f>IF($O448="","",INDEX(Firms!$P$5:$P$1004,$O448)&amp;"")</f>
        <v/>
      </c>
      <c r="E448" s="79">
        <f>IF($O448="","",INDEX(Firms!$O$5:$O$1004,$O448)&amp;"")</f>
        <v/>
      </c>
      <c r="F448" s="50">
        <f>IF($O448="","",IF(INDEX(Firms!$F$5:$F$1004,$O448)="","—",INDEX(Firms!$F$5:$F$1004,$O448)))</f>
        <v/>
      </c>
      <c r="G448" s="50">
        <f>IF($O448="","",IF(INDEX(Firms!$G$5:$G$1004,$O448)="","—",INDEX(Firms!$G$5:$G$1004,$O448)))</f>
        <v/>
      </c>
      <c r="H448" s="50">
        <f>IF($O448="","",IF(INDEX(Firms!$H$5:$H$1004,$O448)="","—",INDEX(Firms!$H$5:$H$1004,$O448)))</f>
        <v/>
      </c>
      <c r="I448" s="50">
        <f>IF($O448="","",IF(INDEX(Firms!$I$5:$I$1004,$O448)="","—",INDEX(Firms!$I$5:$I$1004,$O448)))</f>
        <v/>
      </c>
      <c r="J448" s="50">
        <f>IF($O448="","",IF(INDEX(Firms!$J$5:$J$1004,$O448)="","—",INDEX(Firms!$J$5:$J$1004,$O448)))</f>
        <v/>
      </c>
      <c r="K448" s="50">
        <f>IF($O448="","",IF(INDEX(Firms!$K$5:$K$1004,$O448)="","—",INDEX(Firms!$K$5:$K$1004,$O448)))</f>
        <v/>
      </c>
      <c r="L448" s="50">
        <f>IF($O448="","",IF(INDEX(Firms!$L$5:$L$1004,$O448)="","—",INDEX(Firms!$L$5:$L$1004,$O448)))</f>
        <v/>
      </c>
      <c r="M448" s="50">
        <f>IF($O448="","",IF(INDEX(Firms!$M$5:$M$1004,$O448)="","—",INDEX(Firms!$M$5:$M$1004,$O448)))</f>
        <v/>
      </c>
      <c r="O448">
        <f>IFERROR(MATCH(SMALL(Firms!$Y$5:$Y$1004,440),Firms!$W$5:$W$1004,0),"")</f>
        <v/>
      </c>
    </row>
    <row r="449">
      <c r="B449" s="78">
        <f>IF($O449="","",INDEX(Firms!$A$5:$A$1004,$O449))</f>
        <v/>
      </c>
      <c r="C449" s="79">
        <f>IF($O449="","",INDEX(Firms!$N$5:$N$1004,$O449)&amp;"")</f>
        <v/>
      </c>
      <c r="D449" s="79">
        <f>IF($O449="","",INDEX(Firms!$P$5:$P$1004,$O449)&amp;"")</f>
        <v/>
      </c>
      <c r="E449" s="79">
        <f>IF($O449="","",INDEX(Firms!$O$5:$O$1004,$O449)&amp;"")</f>
        <v/>
      </c>
      <c r="F449" s="50">
        <f>IF($O449="","",IF(INDEX(Firms!$F$5:$F$1004,$O449)="","—",INDEX(Firms!$F$5:$F$1004,$O449)))</f>
        <v/>
      </c>
      <c r="G449" s="50">
        <f>IF($O449="","",IF(INDEX(Firms!$G$5:$G$1004,$O449)="","—",INDEX(Firms!$G$5:$G$1004,$O449)))</f>
        <v/>
      </c>
      <c r="H449" s="50">
        <f>IF($O449="","",IF(INDEX(Firms!$H$5:$H$1004,$O449)="","—",INDEX(Firms!$H$5:$H$1004,$O449)))</f>
        <v/>
      </c>
      <c r="I449" s="50">
        <f>IF($O449="","",IF(INDEX(Firms!$I$5:$I$1004,$O449)="","—",INDEX(Firms!$I$5:$I$1004,$O449)))</f>
        <v/>
      </c>
      <c r="J449" s="50">
        <f>IF($O449="","",IF(INDEX(Firms!$J$5:$J$1004,$O449)="","—",INDEX(Firms!$J$5:$J$1004,$O449)))</f>
        <v/>
      </c>
      <c r="K449" s="50">
        <f>IF($O449="","",IF(INDEX(Firms!$K$5:$K$1004,$O449)="","—",INDEX(Firms!$K$5:$K$1004,$O449)))</f>
        <v/>
      </c>
      <c r="L449" s="50">
        <f>IF($O449="","",IF(INDEX(Firms!$L$5:$L$1004,$O449)="","—",INDEX(Firms!$L$5:$L$1004,$O449)))</f>
        <v/>
      </c>
      <c r="M449" s="50">
        <f>IF($O449="","",IF(INDEX(Firms!$M$5:$M$1004,$O449)="","—",INDEX(Firms!$M$5:$M$1004,$O449)))</f>
        <v/>
      </c>
      <c r="O449">
        <f>IFERROR(MATCH(SMALL(Firms!$Y$5:$Y$1004,441),Firms!$W$5:$W$1004,0),"")</f>
        <v/>
      </c>
    </row>
    <row r="450">
      <c r="B450" s="78">
        <f>IF($O450="","",INDEX(Firms!$A$5:$A$1004,$O450))</f>
        <v/>
      </c>
      <c r="C450" s="79">
        <f>IF($O450="","",INDEX(Firms!$N$5:$N$1004,$O450)&amp;"")</f>
        <v/>
      </c>
      <c r="D450" s="79">
        <f>IF($O450="","",INDEX(Firms!$P$5:$P$1004,$O450)&amp;"")</f>
        <v/>
      </c>
      <c r="E450" s="79">
        <f>IF($O450="","",INDEX(Firms!$O$5:$O$1004,$O450)&amp;"")</f>
        <v/>
      </c>
      <c r="F450" s="50">
        <f>IF($O450="","",IF(INDEX(Firms!$F$5:$F$1004,$O450)="","—",INDEX(Firms!$F$5:$F$1004,$O450)))</f>
        <v/>
      </c>
      <c r="G450" s="50">
        <f>IF($O450="","",IF(INDEX(Firms!$G$5:$G$1004,$O450)="","—",INDEX(Firms!$G$5:$G$1004,$O450)))</f>
        <v/>
      </c>
      <c r="H450" s="50">
        <f>IF($O450="","",IF(INDEX(Firms!$H$5:$H$1004,$O450)="","—",INDEX(Firms!$H$5:$H$1004,$O450)))</f>
        <v/>
      </c>
      <c r="I450" s="50">
        <f>IF($O450="","",IF(INDEX(Firms!$I$5:$I$1004,$O450)="","—",INDEX(Firms!$I$5:$I$1004,$O450)))</f>
        <v/>
      </c>
      <c r="J450" s="50">
        <f>IF($O450="","",IF(INDEX(Firms!$J$5:$J$1004,$O450)="","—",INDEX(Firms!$J$5:$J$1004,$O450)))</f>
        <v/>
      </c>
      <c r="K450" s="50">
        <f>IF($O450="","",IF(INDEX(Firms!$K$5:$K$1004,$O450)="","—",INDEX(Firms!$K$5:$K$1004,$O450)))</f>
        <v/>
      </c>
      <c r="L450" s="50">
        <f>IF($O450="","",IF(INDEX(Firms!$L$5:$L$1004,$O450)="","—",INDEX(Firms!$L$5:$L$1004,$O450)))</f>
        <v/>
      </c>
      <c r="M450" s="50">
        <f>IF($O450="","",IF(INDEX(Firms!$M$5:$M$1004,$O450)="","—",INDEX(Firms!$M$5:$M$1004,$O450)))</f>
        <v/>
      </c>
      <c r="O450">
        <f>IFERROR(MATCH(SMALL(Firms!$Y$5:$Y$1004,442),Firms!$W$5:$W$1004,0),"")</f>
        <v/>
      </c>
    </row>
    <row r="451">
      <c r="B451" s="78">
        <f>IF($O451="","",INDEX(Firms!$A$5:$A$1004,$O451))</f>
        <v/>
      </c>
      <c r="C451" s="79">
        <f>IF($O451="","",INDEX(Firms!$N$5:$N$1004,$O451)&amp;"")</f>
        <v/>
      </c>
      <c r="D451" s="79">
        <f>IF($O451="","",INDEX(Firms!$P$5:$P$1004,$O451)&amp;"")</f>
        <v/>
      </c>
      <c r="E451" s="79">
        <f>IF($O451="","",INDEX(Firms!$O$5:$O$1004,$O451)&amp;"")</f>
        <v/>
      </c>
      <c r="F451" s="50">
        <f>IF($O451="","",IF(INDEX(Firms!$F$5:$F$1004,$O451)="","—",INDEX(Firms!$F$5:$F$1004,$O451)))</f>
        <v/>
      </c>
      <c r="G451" s="50">
        <f>IF($O451="","",IF(INDEX(Firms!$G$5:$G$1004,$O451)="","—",INDEX(Firms!$G$5:$G$1004,$O451)))</f>
        <v/>
      </c>
      <c r="H451" s="50">
        <f>IF($O451="","",IF(INDEX(Firms!$H$5:$H$1004,$O451)="","—",INDEX(Firms!$H$5:$H$1004,$O451)))</f>
        <v/>
      </c>
      <c r="I451" s="50">
        <f>IF($O451="","",IF(INDEX(Firms!$I$5:$I$1004,$O451)="","—",INDEX(Firms!$I$5:$I$1004,$O451)))</f>
        <v/>
      </c>
      <c r="J451" s="50">
        <f>IF($O451="","",IF(INDEX(Firms!$J$5:$J$1004,$O451)="","—",INDEX(Firms!$J$5:$J$1004,$O451)))</f>
        <v/>
      </c>
      <c r="K451" s="50">
        <f>IF($O451="","",IF(INDEX(Firms!$K$5:$K$1004,$O451)="","—",INDEX(Firms!$K$5:$K$1004,$O451)))</f>
        <v/>
      </c>
      <c r="L451" s="50">
        <f>IF($O451="","",IF(INDEX(Firms!$L$5:$L$1004,$O451)="","—",INDEX(Firms!$L$5:$L$1004,$O451)))</f>
        <v/>
      </c>
      <c r="M451" s="50">
        <f>IF($O451="","",IF(INDEX(Firms!$M$5:$M$1004,$O451)="","—",INDEX(Firms!$M$5:$M$1004,$O451)))</f>
        <v/>
      </c>
      <c r="O451">
        <f>IFERROR(MATCH(SMALL(Firms!$Y$5:$Y$1004,443),Firms!$W$5:$W$1004,0),"")</f>
        <v/>
      </c>
    </row>
    <row r="452">
      <c r="B452" s="78">
        <f>IF($O452="","",INDEX(Firms!$A$5:$A$1004,$O452))</f>
        <v/>
      </c>
      <c r="C452" s="79">
        <f>IF($O452="","",INDEX(Firms!$N$5:$N$1004,$O452)&amp;"")</f>
        <v/>
      </c>
      <c r="D452" s="79">
        <f>IF($O452="","",INDEX(Firms!$P$5:$P$1004,$O452)&amp;"")</f>
        <v/>
      </c>
      <c r="E452" s="79">
        <f>IF($O452="","",INDEX(Firms!$O$5:$O$1004,$O452)&amp;"")</f>
        <v/>
      </c>
      <c r="F452" s="50">
        <f>IF($O452="","",IF(INDEX(Firms!$F$5:$F$1004,$O452)="","—",INDEX(Firms!$F$5:$F$1004,$O452)))</f>
        <v/>
      </c>
      <c r="G452" s="50">
        <f>IF($O452="","",IF(INDEX(Firms!$G$5:$G$1004,$O452)="","—",INDEX(Firms!$G$5:$G$1004,$O452)))</f>
        <v/>
      </c>
      <c r="H452" s="50">
        <f>IF($O452="","",IF(INDEX(Firms!$H$5:$H$1004,$O452)="","—",INDEX(Firms!$H$5:$H$1004,$O452)))</f>
        <v/>
      </c>
      <c r="I452" s="50">
        <f>IF($O452="","",IF(INDEX(Firms!$I$5:$I$1004,$O452)="","—",INDEX(Firms!$I$5:$I$1004,$O452)))</f>
        <v/>
      </c>
      <c r="J452" s="50">
        <f>IF($O452="","",IF(INDEX(Firms!$J$5:$J$1004,$O452)="","—",INDEX(Firms!$J$5:$J$1004,$O452)))</f>
        <v/>
      </c>
      <c r="K452" s="50">
        <f>IF($O452="","",IF(INDEX(Firms!$K$5:$K$1004,$O452)="","—",INDEX(Firms!$K$5:$K$1004,$O452)))</f>
        <v/>
      </c>
      <c r="L452" s="50">
        <f>IF($O452="","",IF(INDEX(Firms!$L$5:$L$1004,$O452)="","—",INDEX(Firms!$L$5:$L$1004,$O452)))</f>
        <v/>
      </c>
      <c r="M452" s="50">
        <f>IF($O452="","",IF(INDEX(Firms!$M$5:$M$1004,$O452)="","—",INDEX(Firms!$M$5:$M$1004,$O452)))</f>
        <v/>
      </c>
      <c r="O452">
        <f>IFERROR(MATCH(SMALL(Firms!$Y$5:$Y$1004,444),Firms!$W$5:$W$1004,0),"")</f>
        <v/>
      </c>
    </row>
    <row r="453">
      <c r="B453" s="78">
        <f>IF($O453="","",INDEX(Firms!$A$5:$A$1004,$O453))</f>
        <v/>
      </c>
      <c r="C453" s="79">
        <f>IF($O453="","",INDEX(Firms!$N$5:$N$1004,$O453)&amp;"")</f>
        <v/>
      </c>
      <c r="D453" s="79">
        <f>IF($O453="","",INDEX(Firms!$P$5:$P$1004,$O453)&amp;"")</f>
        <v/>
      </c>
      <c r="E453" s="79">
        <f>IF($O453="","",INDEX(Firms!$O$5:$O$1004,$O453)&amp;"")</f>
        <v/>
      </c>
      <c r="F453" s="50">
        <f>IF($O453="","",IF(INDEX(Firms!$F$5:$F$1004,$O453)="","—",INDEX(Firms!$F$5:$F$1004,$O453)))</f>
        <v/>
      </c>
      <c r="G453" s="50">
        <f>IF($O453="","",IF(INDEX(Firms!$G$5:$G$1004,$O453)="","—",INDEX(Firms!$G$5:$G$1004,$O453)))</f>
        <v/>
      </c>
      <c r="H453" s="50">
        <f>IF($O453="","",IF(INDEX(Firms!$H$5:$H$1004,$O453)="","—",INDEX(Firms!$H$5:$H$1004,$O453)))</f>
        <v/>
      </c>
      <c r="I453" s="50">
        <f>IF($O453="","",IF(INDEX(Firms!$I$5:$I$1004,$O453)="","—",INDEX(Firms!$I$5:$I$1004,$O453)))</f>
        <v/>
      </c>
      <c r="J453" s="50">
        <f>IF($O453="","",IF(INDEX(Firms!$J$5:$J$1004,$O453)="","—",INDEX(Firms!$J$5:$J$1004,$O453)))</f>
        <v/>
      </c>
      <c r="K453" s="50">
        <f>IF($O453="","",IF(INDEX(Firms!$K$5:$K$1004,$O453)="","—",INDEX(Firms!$K$5:$K$1004,$O453)))</f>
        <v/>
      </c>
      <c r="L453" s="50">
        <f>IF($O453="","",IF(INDEX(Firms!$L$5:$L$1004,$O453)="","—",INDEX(Firms!$L$5:$L$1004,$O453)))</f>
        <v/>
      </c>
      <c r="M453" s="50">
        <f>IF($O453="","",IF(INDEX(Firms!$M$5:$M$1004,$O453)="","—",INDEX(Firms!$M$5:$M$1004,$O453)))</f>
        <v/>
      </c>
      <c r="O453">
        <f>IFERROR(MATCH(SMALL(Firms!$Y$5:$Y$1004,445),Firms!$W$5:$W$1004,0),"")</f>
        <v/>
      </c>
    </row>
    <row r="454">
      <c r="B454" s="78">
        <f>IF($O454="","",INDEX(Firms!$A$5:$A$1004,$O454))</f>
        <v/>
      </c>
      <c r="C454" s="79">
        <f>IF($O454="","",INDEX(Firms!$N$5:$N$1004,$O454)&amp;"")</f>
        <v/>
      </c>
      <c r="D454" s="79">
        <f>IF($O454="","",INDEX(Firms!$P$5:$P$1004,$O454)&amp;"")</f>
        <v/>
      </c>
      <c r="E454" s="79">
        <f>IF($O454="","",INDEX(Firms!$O$5:$O$1004,$O454)&amp;"")</f>
        <v/>
      </c>
      <c r="F454" s="50">
        <f>IF($O454="","",IF(INDEX(Firms!$F$5:$F$1004,$O454)="","—",INDEX(Firms!$F$5:$F$1004,$O454)))</f>
        <v/>
      </c>
      <c r="G454" s="50">
        <f>IF($O454="","",IF(INDEX(Firms!$G$5:$G$1004,$O454)="","—",INDEX(Firms!$G$5:$G$1004,$O454)))</f>
        <v/>
      </c>
      <c r="H454" s="50">
        <f>IF($O454="","",IF(INDEX(Firms!$H$5:$H$1004,$O454)="","—",INDEX(Firms!$H$5:$H$1004,$O454)))</f>
        <v/>
      </c>
      <c r="I454" s="50">
        <f>IF($O454="","",IF(INDEX(Firms!$I$5:$I$1004,$O454)="","—",INDEX(Firms!$I$5:$I$1004,$O454)))</f>
        <v/>
      </c>
      <c r="J454" s="50">
        <f>IF($O454="","",IF(INDEX(Firms!$J$5:$J$1004,$O454)="","—",INDEX(Firms!$J$5:$J$1004,$O454)))</f>
        <v/>
      </c>
      <c r="K454" s="50">
        <f>IF($O454="","",IF(INDEX(Firms!$K$5:$K$1004,$O454)="","—",INDEX(Firms!$K$5:$K$1004,$O454)))</f>
        <v/>
      </c>
      <c r="L454" s="50">
        <f>IF($O454="","",IF(INDEX(Firms!$L$5:$L$1004,$O454)="","—",INDEX(Firms!$L$5:$L$1004,$O454)))</f>
        <v/>
      </c>
      <c r="M454" s="50">
        <f>IF($O454="","",IF(INDEX(Firms!$M$5:$M$1004,$O454)="","—",INDEX(Firms!$M$5:$M$1004,$O454)))</f>
        <v/>
      </c>
      <c r="O454">
        <f>IFERROR(MATCH(SMALL(Firms!$Y$5:$Y$1004,446),Firms!$W$5:$W$1004,0),"")</f>
        <v/>
      </c>
    </row>
    <row r="455">
      <c r="B455" s="78">
        <f>IF($O455="","",INDEX(Firms!$A$5:$A$1004,$O455))</f>
        <v/>
      </c>
      <c r="C455" s="79">
        <f>IF($O455="","",INDEX(Firms!$N$5:$N$1004,$O455)&amp;"")</f>
        <v/>
      </c>
      <c r="D455" s="79">
        <f>IF($O455="","",INDEX(Firms!$P$5:$P$1004,$O455)&amp;"")</f>
        <v/>
      </c>
      <c r="E455" s="79">
        <f>IF($O455="","",INDEX(Firms!$O$5:$O$1004,$O455)&amp;"")</f>
        <v/>
      </c>
      <c r="F455" s="50">
        <f>IF($O455="","",IF(INDEX(Firms!$F$5:$F$1004,$O455)="","—",INDEX(Firms!$F$5:$F$1004,$O455)))</f>
        <v/>
      </c>
      <c r="G455" s="50">
        <f>IF($O455="","",IF(INDEX(Firms!$G$5:$G$1004,$O455)="","—",INDEX(Firms!$G$5:$G$1004,$O455)))</f>
        <v/>
      </c>
      <c r="H455" s="50">
        <f>IF($O455="","",IF(INDEX(Firms!$H$5:$H$1004,$O455)="","—",INDEX(Firms!$H$5:$H$1004,$O455)))</f>
        <v/>
      </c>
      <c r="I455" s="50">
        <f>IF($O455="","",IF(INDEX(Firms!$I$5:$I$1004,$O455)="","—",INDEX(Firms!$I$5:$I$1004,$O455)))</f>
        <v/>
      </c>
      <c r="J455" s="50">
        <f>IF($O455="","",IF(INDEX(Firms!$J$5:$J$1004,$O455)="","—",INDEX(Firms!$J$5:$J$1004,$O455)))</f>
        <v/>
      </c>
      <c r="K455" s="50">
        <f>IF($O455="","",IF(INDEX(Firms!$K$5:$K$1004,$O455)="","—",INDEX(Firms!$K$5:$K$1004,$O455)))</f>
        <v/>
      </c>
      <c r="L455" s="50">
        <f>IF($O455="","",IF(INDEX(Firms!$L$5:$L$1004,$O455)="","—",INDEX(Firms!$L$5:$L$1004,$O455)))</f>
        <v/>
      </c>
      <c r="M455" s="50">
        <f>IF($O455="","",IF(INDEX(Firms!$M$5:$M$1004,$O455)="","—",INDEX(Firms!$M$5:$M$1004,$O455)))</f>
        <v/>
      </c>
      <c r="O455">
        <f>IFERROR(MATCH(SMALL(Firms!$Y$5:$Y$1004,447),Firms!$W$5:$W$1004,0),"")</f>
        <v/>
      </c>
    </row>
    <row r="456">
      <c r="B456" s="78">
        <f>IF($O456="","",INDEX(Firms!$A$5:$A$1004,$O456))</f>
        <v/>
      </c>
      <c r="C456" s="79">
        <f>IF($O456="","",INDEX(Firms!$N$5:$N$1004,$O456)&amp;"")</f>
        <v/>
      </c>
      <c r="D456" s="79">
        <f>IF($O456="","",INDEX(Firms!$P$5:$P$1004,$O456)&amp;"")</f>
        <v/>
      </c>
      <c r="E456" s="79">
        <f>IF($O456="","",INDEX(Firms!$O$5:$O$1004,$O456)&amp;"")</f>
        <v/>
      </c>
      <c r="F456" s="50">
        <f>IF($O456="","",IF(INDEX(Firms!$F$5:$F$1004,$O456)="","—",INDEX(Firms!$F$5:$F$1004,$O456)))</f>
        <v/>
      </c>
      <c r="G456" s="50">
        <f>IF($O456="","",IF(INDEX(Firms!$G$5:$G$1004,$O456)="","—",INDEX(Firms!$G$5:$G$1004,$O456)))</f>
        <v/>
      </c>
      <c r="H456" s="50">
        <f>IF($O456="","",IF(INDEX(Firms!$H$5:$H$1004,$O456)="","—",INDEX(Firms!$H$5:$H$1004,$O456)))</f>
        <v/>
      </c>
      <c r="I456" s="50">
        <f>IF($O456="","",IF(INDEX(Firms!$I$5:$I$1004,$O456)="","—",INDEX(Firms!$I$5:$I$1004,$O456)))</f>
        <v/>
      </c>
      <c r="J456" s="50">
        <f>IF($O456="","",IF(INDEX(Firms!$J$5:$J$1004,$O456)="","—",INDEX(Firms!$J$5:$J$1004,$O456)))</f>
        <v/>
      </c>
      <c r="K456" s="50">
        <f>IF($O456="","",IF(INDEX(Firms!$K$5:$K$1004,$O456)="","—",INDEX(Firms!$K$5:$K$1004,$O456)))</f>
        <v/>
      </c>
      <c r="L456" s="50">
        <f>IF($O456="","",IF(INDEX(Firms!$L$5:$L$1004,$O456)="","—",INDEX(Firms!$L$5:$L$1004,$O456)))</f>
        <v/>
      </c>
      <c r="M456" s="50">
        <f>IF($O456="","",IF(INDEX(Firms!$M$5:$M$1004,$O456)="","—",INDEX(Firms!$M$5:$M$1004,$O456)))</f>
        <v/>
      </c>
      <c r="O456">
        <f>IFERROR(MATCH(SMALL(Firms!$Y$5:$Y$1004,448),Firms!$W$5:$W$1004,0),"")</f>
        <v/>
      </c>
    </row>
    <row r="457">
      <c r="B457" s="78">
        <f>IF($O457="","",INDEX(Firms!$A$5:$A$1004,$O457))</f>
        <v/>
      </c>
      <c r="C457" s="79">
        <f>IF($O457="","",INDEX(Firms!$N$5:$N$1004,$O457)&amp;"")</f>
        <v/>
      </c>
      <c r="D457" s="79">
        <f>IF($O457="","",INDEX(Firms!$P$5:$P$1004,$O457)&amp;"")</f>
        <v/>
      </c>
      <c r="E457" s="79">
        <f>IF($O457="","",INDEX(Firms!$O$5:$O$1004,$O457)&amp;"")</f>
        <v/>
      </c>
      <c r="F457" s="50">
        <f>IF($O457="","",IF(INDEX(Firms!$F$5:$F$1004,$O457)="","—",INDEX(Firms!$F$5:$F$1004,$O457)))</f>
        <v/>
      </c>
      <c r="G457" s="50">
        <f>IF($O457="","",IF(INDEX(Firms!$G$5:$G$1004,$O457)="","—",INDEX(Firms!$G$5:$G$1004,$O457)))</f>
        <v/>
      </c>
      <c r="H457" s="50">
        <f>IF($O457="","",IF(INDEX(Firms!$H$5:$H$1004,$O457)="","—",INDEX(Firms!$H$5:$H$1004,$O457)))</f>
        <v/>
      </c>
      <c r="I457" s="50">
        <f>IF($O457="","",IF(INDEX(Firms!$I$5:$I$1004,$O457)="","—",INDEX(Firms!$I$5:$I$1004,$O457)))</f>
        <v/>
      </c>
      <c r="J457" s="50">
        <f>IF($O457="","",IF(INDEX(Firms!$J$5:$J$1004,$O457)="","—",INDEX(Firms!$J$5:$J$1004,$O457)))</f>
        <v/>
      </c>
      <c r="K457" s="50">
        <f>IF($O457="","",IF(INDEX(Firms!$K$5:$K$1004,$O457)="","—",INDEX(Firms!$K$5:$K$1004,$O457)))</f>
        <v/>
      </c>
      <c r="L457" s="50">
        <f>IF($O457="","",IF(INDEX(Firms!$L$5:$L$1004,$O457)="","—",INDEX(Firms!$L$5:$L$1004,$O457)))</f>
        <v/>
      </c>
      <c r="M457" s="50">
        <f>IF($O457="","",IF(INDEX(Firms!$M$5:$M$1004,$O457)="","—",INDEX(Firms!$M$5:$M$1004,$O457)))</f>
        <v/>
      </c>
      <c r="O457">
        <f>IFERROR(MATCH(SMALL(Firms!$Y$5:$Y$1004,449),Firms!$W$5:$W$1004,0),"")</f>
        <v/>
      </c>
    </row>
    <row r="458">
      <c r="B458" s="78">
        <f>IF($O458="","",INDEX(Firms!$A$5:$A$1004,$O458))</f>
        <v/>
      </c>
      <c r="C458" s="79">
        <f>IF($O458="","",INDEX(Firms!$N$5:$N$1004,$O458)&amp;"")</f>
        <v/>
      </c>
      <c r="D458" s="79">
        <f>IF($O458="","",INDEX(Firms!$P$5:$P$1004,$O458)&amp;"")</f>
        <v/>
      </c>
      <c r="E458" s="79">
        <f>IF($O458="","",INDEX(Firms!$O$5:$O$1004,$O458)&amp;"")</f>
        <v/>
      </c>
      <c r="F458" s="50">
        <f>IF($O458="","",IF(INDEX(Firms!$F$5:$F$1004,$O458)="","—",INDEX(Firms!$F$5:$F$1004,$O458)))</f>
        <v/>
      </c>
      <c r="G458" s="50">
        <f>IF($O458="","",IF(INDEX(Firms!$G$5:$G$1004,$O458)="","—",INDEX(Firms!$G$5:$G$1004,$O458)))</f>
        <v/>
      </c>
      <c r="H458" s="50">
        <f>IF($O458="","",IF(INDEX(Firms!$H$5:$H$1004,$O458)="","—",INDEX(Firms!$H$5:$H$1004,$O458)))</f>
        <v/>
      </c>
      <c r="I458" s="50">
        <f>IF($O458="","",IF(INDEX(Firms!$I$5:$I$1004,$O458)="","—",INDEX(Firms!$I$5:$I$1004,$O458)))</f>
        <v/>
      </c>
      <c r="J458" s="50">
        <f>IF($O458="","",IF(INDEX(Firms!$J$5:$J$1004,$O458)="","—",INDEX(Firms!$J$5:$J$1004,$O458)))</f>
        <v/>
      </c>
      <c r="K458" s="50">
        <f>IF($O458="","",IF(INDEX(Firms!$K$5:$K$1004,$O458)="","—",INDEX(Firms!$K$5:$K$1004,$O458)))</f>
        <v/>
      </c>
      <c r="L458" s="50">
        <f>IF($O458="","",IF(INDEX(Firms!$L$5:$L$1004,$O458)="","—",INDEX(Firms!$L$5:$L$1004,$O458)))</f>
        <v/>
      </c>
      <c r="M458" s="50">
        <f>IF($O458="","",IF(INDEX(Firms!$M$5:$M$1004,$O458)="","—",INDEX(Firms!$M$5:$M$1004,$O458)))</f>
        <v/>
      </c>
      <c r="O458">
        <f>IFERROR(MATCH(SMALL(Firms!$Y$5:$Y$1004,450),Firms!$W$5:$W$1004,0),"")</f>
        <v/>
      </c>
    </row>
    <row r="459">
      <c r="B459" s="78">
        <f>IF($O459="","",INDEX(Firms!$A$5:$A$1004,$O459))</f>
        <v/>
      </c>
      <c r="C459" s="79">
        <f>IF($O459="","",INDEX(Firms!$N$5:$N$1004,$O459)&amp;"")</f>
        <v/>
      </c>
      <c r="D459" s="79">
        <f>IF($O459="","",INDEX(Firms!$P$5:$P$1004,$O459)&amp;"")</f>
        <v/>
      </c>
      <c r="E459" s="79">
        <f>IF($O459="","",INDEX(Firms!$O$5:$O$1004,$O459)&amp;"")</f>
        <v/>
      </c>
      <c r="F459" s="50">
        <f>IF($O459="","",IF(INDEX(Firms!$F$5:$F$1004,$O459)="","—",INDEX(Firms!$F$5:$F$1004,$O459)))</f>
        <v/>
      </c>
      <c r="G459" s="50">
        <f>IF($O459="","",IF(INDEX(Firms!$G$5:$G$1004,$O459)="","—",INDEX(Firms!$G$5:$G$1004,$O459)))</f>
        <v/>
      </c>
      <c r="H459" s="50">
        <f>IF($O459="","",IF(INDEX(Firms!$H$5:$H$1004,$O459)="","—",INDEX(Firms!$H$5:$H$1004,$O459)))</f>
        <v/>
      </c>
      <c r="I459" s="50">
        <f>IF($O459="","",IF(INDEX(Firms!$I$5:$I$1004,$O459)="","—",INDEX(Firms!$I$5:$I$1004,$O459)))</f>
        <v/>
      </c>
      <c r="J459" s="50">
        <f>IF($O459="","",IF(INDEX(Firms!$J$5:$J$1004,$O459)="","—",INDEX(Firms!$J$5:$J$1004,$O459)))</f>
        <v/>
      </c>
      <c r="K459" s="50">
        <f>IF($O459="","",IF(INDEX(Firms!$K$5:$K$1004,$O459)="","—",INDEX(Firms!$K$5:$K$1004,$O459)))</f>
        <v/>
      </c>
      <c r="L459" s="50">
        <f>IF($O459="","",IF(INDEX(Firms!$L$5:$L$1004,$O459)="","—",INDEX(Firms!$L$5:$L$1004,$O459)))</f>
        <v/>
      </c>
      <c r="M459" s="50">
        <f>IF($O459="","",IF(INDEX(Firms!$M$5:$M$1004,$O459)="","—",INDEX(Firms!$M$5:$M$1004,$O459)))</f>
        <v/>
      </c>
      <c r="O459">
        <f>IFERROR(MATCH(SMALL(Firms!$Y$5:$Y$1004,451),Firms!$W$5:$W$1004,0),"")</f>
        <v/>
      </c>
    </row>
    <row r="460">
      <c r="B460" s="78">
        <f>IF($O460="","",INDEX(Firms!$A$5:$A$1004,$O460))</f>
        <v/>
      </c>
      <c r="C460" s="79">
        <f>IF($O460="","",INDEX(Firms!$N$5:$N$1004,$O460)&amp;"")</f>
        <v/>
      </c>
      <c r="D460" s="79">
        <f>IF($O460="","",INDEX(Firms!$P$5:$P$1004,$O460)&amp;"")</f>
        <v/>
      </c>
      <c r="E460" s="79">
        <f>IF($O460="","",INDEX(Firms!$O$5:$O$1004,$O460)&amp;"")</f>
        <v/>
      </c>
      <c r="F460" s="50">
        <f>IF($O460="","",IF(INDEX(Firms!$F$5:$F$1004,$O460)="","—",INDEX(Firms!$F$5:$F$1004,$O460)))</f>
        <v/>
      </c>
      <c r="G460" s="50">
        <f>IF($O460="","",IF(INDEX(Firms!$G$5:$G$1004,$O460)="","—",INDEX(Firms!$G$5:$G$1004,$O460)))</f>
        <v/>
      </c>
      <c r="H460" s="50">
        <f>IF($O460="","",IF(INDEX(Firms!$H$5:$H$1004,$O460)="","—",INDEX(Firms!$H$5:$H$1004,$O460)))</f>
        <v/>
      </c>
      <c r="I460" s="50">
        <f>IF($O460="","",IF(INDEX(Firms!$I$5:$I$1004,$O460)="","—",INDEX(Firms!$I$5:$I$1004,$O460)))</f>
        <v/>
      </c>
      <c r="J460" s="50">
        <f>IF($O460="","",IF(INDEX(Firms!$J$5:$J$1004,$O460)="","—",INDEX(Firms!$J$5:$J$1004,$O460)))</f>
        <v/>
      </c>
      <c r="K460" s="50">
        <f>IF($O460="","",IF(INDEX(Firms!$K$5:$K$1004,$O460)="","—",INDEX(Firms!$K$5:$K$1004,$O460)))</f>
        <v/>
      </c>
      <c r="L460" s="50">
        <f>IF($O460="","",IF(INDEX(Firms!$L$5:$L$1004,$O460)="","—",INDEX(Firms!$L$5:$L$1004,$O460)))</f>
        <v/>
      </c>
      <c r="M460" s="50">
        <f>IF($O460="","",IF(INDEX(Firms!$M$5:$M$1004,$O460)="","—",INDEX(Firms!$M$5:$M$1004,$O460)))</f>
        <v/>
      </c>
      <c r="O460">
        <f>IFERROR(MATCH(SMALL(Firms!$Y$5:$Y$1004,452),Firms!$W$5:$W$1004,0),"")</f>
        <v/>
      </c>
    </row>
    <row r="461">
      <c r="B461" s="78">
        <f>IF($O461="","",INDEX(Firms!$A$5:$A$1004,$O461))</f>
        <v/>
      </c>
      <c r="C461" s="79">
        <f>IF($O461="","",INDEX(Firms!$N$5:$N$1004,$O461)&amp;"")</f>
        <v/>
      </c>
      <c r="D461" s="79">
        <f>IF($O461="","",INDEX(Firms!$P$5:$P$1004,$O461)&amp;"")</f>
        <v/>
      </c>
      <c r="E461" s="79">
        <f>IF($O461="","",INDEX(Firms!$O$5:$O$1004,$O461)&amp;"")</f>
        <v/>
      </c>
      <c r="F461" s="50">
        <f>IF($O461="","",IF(INDEX(Firms!$F$5:$F$1004,$O461)="","—",INDEX(Firms!$F$5:$F$1004,$O461)))</f>
        <v/>
      </c>
      <c r="G461" s="50">
        <f>IF($O461="","",IF(INDEX(Firms!$G$5:$G$1004,$O461)="","—",INDEX(Firms!$G$5:$G$1004,$O461)))</f>
        <v/>
      </c>
      <c r="H461" s="50">
        <f>IF($O461="","",IF(INDEX(Firms!$H$5:$H$1004,$O461)="","—",INDEX(Firms!$H$5:$H$1004,$O461)))</f>
        <v/>
      </c>
      <c r="I461" s="50">
        <f>IF($O461="","",IF(INDEX(Firms!$I$5:$I$1004,$O461)="","—",INDEX(Firms!$I$5:$I$1004,$O461)))</f>
        <v/>
      </c>
      <c r="J461" s="50">
        <f>IF($O461="","",IF(INDEX(Firms!$J$5:$J$1004,$O461)="","—",INDEX(Firms!$J$5:$J$1004,$O461)))</f>
        <v/>
      </c>
      <c r="K461" s="50">
        <f>IF($O461="","",IF(INDEX(Firms!$K$5:$K$1004,$O461)="","—",INDEX(Firms!$K$5:$K$1004,$O461)))</f>
        <v/>
      </c>
      <c r="L461" s="50">
        <f>IF($O461="","",IF(INDEX(Firms!$L$5:$L$1004,$O461)="","—",INDEX(Firms!$L$5:$L$1004,$O461)))</f>
        <v/>
      </c>
      <c r="M461" s="50">
        <f>IF($O461="","",IF(INDEX(Firms!$M$5:$M$1004,$O461)="","—",INDEX(Firms!$M$5:$M$1004,$O461)))</f>
        <v/>
      </c>
      <c r="O461">
        <f>IFERROR(MATCH(SMALL(Firms!$Y$5:$Y$1004,453),Firms!$W$5:$W$1004,0),"")</f>
        <v/>
      </c>
    </row>
    <row r="462">
      <c r="B462" s="78">
        <f>IF($O462="","",INDEX(Firms!$A$5:$A$1004,$O462))</f>
        <v/>
      </c>
      <c r="C462" s="79">
        <f>IF($O462="","",INDEX(Firms!$N$5:$N$1004,$O462)&amp;"")</f>
        <v/>
      </c>
      <c r="D462" s="79">
        <f>IF($O462="","",INDEX(Firms!$P$5:$P$1004,$O462)&amp;"")</f>
        <v/>
      </c>
      <c r="E462" s="79">
        <f>IF($O462="","",INDEX(Firms!$O$5:$O$1004,$O462)&amp;"")</f>
        <v/>
      </c>
      <c r="F462" s="50">
        <f>IF($O462="","",IF(INDEX(Firms!$F$5:$F$1004,$O462)="","—",INDEX(Firms!$F$5:$F$1004,$O462)))</f>
        <v/>
      </c>
      <c r="G462" s="50">
        <f>IF($O462="","",IF(INDEX(Firms!$G$5:$G$1004,$O462)="","—",INDEX(Firms!$G$5:$G$1004,$O462)))</f>
        <v/>
      </c>
      <c r="H462" s="50">
        <f>IF($O462="","",IF(INDEX(Firms!$H$5:$H$1004,$O462)="","—",INDEX(Firms!$H$5:$H$1004,$O462)))</f>
        <v/>
      </c>
      <c r="I462" s="50">
        <f>IF($O462="","",IF(INDEX(Firms!$I$5:$I$1004,$O462)="","—",INDEX(Firms!$I$5:$I$1004,$O462)))</f>
        <v/>
      </c>
      <c r="J462" s="50">
        <f>IF($O462="","",IF(INDEX(Firms!$J$5:$J$1004,$O462)="","—",INDEX(Firms!$J$5:$J$1004,$O462)))</f>
        <v/>
      </c>
      <c r="K462" s="50">
        <f>IF($O462="","",IF(INDEX(Firms!$K$5:$K$1004,$O462)="","—",INDEX(Firms!$K$5:$K$1004,$O462)))</f>
        <v/>
      </c>
      <c r="L462" s="50">
        <f>IF($O462="","",IF(INDEX(Firms!$L$5:$L$1004,$O462)="","—",INDEX(Firms!$L$5:$L$1004,$O462)))</f>
        <v/>
      </c>
      <c r="M462" s="50">
        <f>IF($O462="","",IF(INDEX(Firms!$M$5:$M$1004,$O462)="","—",INDEX(Firms!$M$5:$M$1004,$O462)))</f>
        <v/>
      </c>
      <c r="O462">
        <f>IFERROR(MATCH(SMALL(Firms!$Y$5:$Y$1004,454),Firms!$W$5:$W$1004,0),"")</f>
        <v/>
      </c>
    </row>
    <row r="463">
      <c r="B463" s="78">
        <f>IF($O463="","",INDEX(Firms!$A$5:$A$1004,$O463))</f>
        <v/>
      </c>
      <c r="C463" s="79">
        <f>IF($O463="","",INDEX(Firms!$N$5:$N$1004,$O463)&amp;"")</f>
        <v/>
      </c>
      <c r="D463" s="79">
        <f>IF($O463="","",INDEX(Firms!$P$5:$P$1004,$O463)&amp;"")</f>
        <v/>
      </c>
      <c r="E463" s="79">
        <f>IF($O463="","",INDEX(Firms!$O$5:$O$1004,$O463)&amp;"")</f>
        <v/>
      </c>
      <c r="F463" s="50">
        <f>IF($O463="","",IF(INDEX(Firms!$F$5:$F$1004,$O463)="","—",INDEX(Firms!$F$5:$F$1004,$O463)))</f>
        <v/>
      </c>
      <c r="G463" s="50">
        <f>IF($O463="","",IF(INDEX(Firms!$G$5:$G$1004,$O463)="","—",INDEX(Firms!$G$5:$G$1004,$O463)))</f>
        <v/>
      </c>
      <c r="H463" s="50">
        <f>IF($O463="","",IF(INDEX(Firms!$H$5:$H$1004,$O463)="","—",INDEX(Firms!$H$5:$H$1004,$O463)))</f>
        <v/>
      </c>
      <c r="I463" s="50">
        <f>IF($O463="","",IF(INDEX(Firms!$I$5:$I$1004,$O463)="","—",INDEX(Firms!$I$5:$I$1004,$O463)))</f>
        <v/>
      </c>
      <c r="J463" s="50">
        <f>IF($O463="","",IF(INDEX(Firms!$J$5:$J$1004,$O463)="","—",INDEX(Firms!$J$5:$J$1004,$O463)))</f>
        <v/>
      </c>
      <c r="K463" s="50">
        <f>IF($O463="","",IF(INDEX(Firms!$K$5:$K$1004,$O463)="","—",INDEX(Firms!$K$5:$K$1004,$O463)))</f>
        <v/>
      </c>
      <c r="L463" s="50">
        <f>IF($O463="","",IF(INDEX(Firms!$L$5:$L$1004,$O463)="","—",INDEX(Firms!$L$5:$L$1004,$O463)))</f>
        <v/>
      </c>
      <c r="M463" s="50">
        <f>IF($O463="","",IF(INDEX(Firms!$M$5:$M$1004,$O463)="","—",INDEX(Firms!$M$5:$M$1004,$O463)))</f>
        <v/>
      </c>
      <c r="O463">
        <f>IFERROR(MATCH(SMALL(Firms!$Y$5:$Y$1004,455),Firms!$W$5:$W$1004,0),"")</f>
        <v/>
      </c>
    </row>
    <row r="464">
      <c r="B464" s="78">
        <f>IF($O464="","",INDEX(Firms!$A$5:$A$1004,$O464))</f>
        <v/>
      </c>
      <c r="C464" s="79">
        <f>IF($O464="","",INDEX(Firms!$N$5:$N$1004,$O464)&amp;"")</f>
        <v/>
      </c>
      <c r="D464" s="79">
        <f>IF($O464="","",INDEX(Firms!$P$5:$P$1004,$O464)&amp;"")</f>
        <v/>
      </c>
      <c r="E464" s="79">
        <f>IF($O464="","",INDEX(Firms!$O$5:$O$1004,$O464)&amp;"")</f>
        <v/>
      </c>
      <c r="F464" s="50">
        <f>IF($O464="","",IF(INDEX(Firms!$F$5:$F$1004,$O464)="","—",INDEX(Firms!$F$5:$F$1004,$O464)))</f>
        <v/>
      </c>
      <c r="G464" s="50">
        <f>IF($O464="","",IF(INDEX(Firms!$G$5:$G$1004,$O464)="","—",INDEX(Firms!$G$5:$G$1004,$O464)))</f>
        <v/>
      </c>
      <c r="H464" s="50">
        <f>IF($O464="","",IF(INDEX(Firms!$H$5:$H$1004,$O464)="","—",INDEX(Firms!$H$5:$H$1004,$O464)))</f>
        <v/>
      </c>
      <c r="I464" s="50">
        <f>IF($O464="","",IF(INDEX(Firms!$I$5:$I$1004,$O464)="","—",INDEX(Firms!$I$5:$I$1004,$O464)))</f>
        <v/>
      </c>
      <c r="J464" s="50">
        <f>IF($O464="","",IF(INDEX(Firms!$J$5:$J$1004,$O464)="","—",INDEX(Firms!$J$5:$J$1004,$O464)))</f>
        <v/>
      </c>
      <c r="K464" s="50">
        <f>IF($O464="","",IF(INDEX(Firms!$K$5:$K$1004,$O464)="","—",INDEX(Firms!$K$5:$K$1004,$O464)))</f>
        <v/>
      </c>
      <c r="L464" s="50">
        <f>IF($O464="","",IF(INDEX(Firms!$L$5:$L$1004,$O464)="","—",INDEX(Firms!$L$5:$L$1004,$O464)))</f>
        <v/>
      </c>
      <c r="M464" s="50">
        <f>IF($O464="","",IF(INDEX(Firms!$M$5:$M$1004,$O464)="","—",INDEX(Firms!$M$5:$M$1004,$O464)))</f>
        <v/>
      </c>
      <c r="O464">
        <f>IFERROR(MATCH(SMALL(Firms!$Y$5:$Y$1004,456),Firms!$W$5:$W$1004,0),"")</f>
        <v/>
      </c>
    </row>
    <row r="465">
      <c r="B465" s="78">
        <f>IF($O465="","",INDEX(Firms!$A$5:$A$1004,$O465))</f>
        <v/>
      </c>
      <c r="C465" s="79">
        <f>IF($O465="","",INDEX(Firms!$N$5:$N$1004,$O465)&amp;"")</f>
        <v/>
      </c>
      <c r="D465" s="79">
        <f>IF($O465="","",INDEX(Firms!$P$5:$P$1004,$O465)&amp;"")</f>
        <v/>
      </c>
      <c r="E465" s="79">
        <f>IF($O465="","",INDEX(Firms!$O$5:$O$1004,$O465)&amp;"")</f>
        <v/>
      </c>
      <c r="F465" s="50">
        <f>IF($O465="","",IF(INDEX(Firms!$F$5:$F$1004,$O465)="","—",INDEX(Firms!$F$5:$F$1004,$O465)))</f>
        <v/>
      </c>
      <c r="G465" s="50">
        <f>IF($O465="","",IF(INDEX(Firms!$G$5:$G$1004,$O465)="","—",INDEX(Firms!$G$5:$G$1004,$O465)))</f>
        <v/>
      </c>
      <c r="H465" s="50">
        <f>IF($O465="","",IF(INDEX(Firms!$H$5:$H$1004,$O465)="","—",INDEX(Firms!$H$5:$H$1004,$O465)))</f>
        <v/>
      </c>
      <c r="I465" s="50">
        <f>IF($O465="","",IF(INDEX(Firms!$I$5:$I$1004,$O465)="","—",INDEX(Firms!$I$5:$I$1004,$O465)))</f>
        <v/>
      </c>
      <c r="J465" s="50">
        <f>IF($O465="","",IF(INDEX(Firms!$J$5:$J$1004,$O465)="","—",INDEX(Firms!$J$5:$J$1004,$O465)))</f>
        <v/>
      </c>
      <c r="K465" s="50">
        <f>IF($O465="","",IF(INDEX(Firms!$K$5:$K$1004,$O465)="","—",INDEX(Firms!$K$5:$K$1004,$O465)))</f>
        <v/>
      </c>
      <c r="L465" s="50">
        <f>IF($O465="","",IF(INDEX(Firms!$L$5:$L$1004,$O465)="","—",INDEX(Firms!$L$5:$L$1004,$O465)))</f>
        <v/>
      </c>
      <c r="M465" s="50">
        <f>IF($O465="","",IF(INDEX(Firms!$M$5:$M$1004,$O465)="","—",INDEX(Firms!$M$5:$M$1004,$O465)))</f>
        <v/>
      </c>
      <c r="O465">
        <f>IFERROR(MATCH(SMALL(Firms!$Y$5:$Y$1004,457),Firms!$W$5:$W$1004,0),"")</f>
        <v/>
      </c>
    </row>
    <row r="466">
      <c r="B466" s="78">
        <f>IF($O466="","",INDEX(Firms!$A$5:$A$1004,$O466))</f>
        <v/>
      </c>
      <c r="C466" s="79">
        <f>IF($O466="","",INDEX(Firms!$N$5:$N$1004,$O466)&amp;"")</f>
        <v/>
      </c>
      <c r="D466" s="79">
        <f>IF($O466="","",INDEX(Firms!$P$5:$P$1004,$O466)&amp;"")</f>
        <v/>
      </c>
      <c r="E466" s="79">
        <f>IF($O466="","",INDEX(Firms!$O$5:$O$1004,$O466)&amp;"")</f>
        <v/>
      </c>
      <c r="F466" s="50">
        <f>IF($O466="","",IF(INDEX(Firms!$F$5:$F$1004,$O466)="","—",INDEX(Firms!$F$5:$F$1004,$O466)))</f>
        <v/>
      </c>
      <c r="G466" s="50">
        <f>IF($O466="","",IF(INDEX(Firms!$G$5:$G$1004,$O466)="","—",INDEX(Firms!$G$5:$G$1004,$O466)))</f>
        <v/>
      </c>
      <c r="H466" s="50">
        <f>IF($O466="","",IF(INDEX(Firms!$H$5:$H$1004,$O466)="","—",INDEX(Firms!$H$5:$H$1004,$O466)))</f>
        <v/>
      </c>
      <c r="I466" s="50">
        <f>IF($O466="","",IF(INDEX(Firms!$I$5:$I$1004,$O466)="","—",INDEX(Firms!$I$5:$I$1004,$O466)))</f>
        <v/>
      </c>
      <c r="J466" s="50">
        <f>IF($O466="","",IF(INDEX(Firms!$J$5:$J$1004,$O466)="","—",INDEX(Firms!$J$5:$J$1004,$O466)))</f>
        <v/>
      </c>
      <c r="K466" s="50">
        <f>IF($O466="","",IF(INDEX(Firms!$K$5:$K$1004,$O466)="","—",INDEX(Firms!$K$5:$K$1004,$O466)))</f>
        <v/>
      </c>
      <c r="L466" s="50">
        <f>IF($O466="","",IF(INDEX(Firms!$L$5:$L$1004,$O466)="","—",INDEX(Firms!$L$5:$L$1004,$O466)))</f>
        <v/>
      </c>
      <c r="M466" s="50">
        <f>IF($O466="","",IF(INDEX(Firms!$M$5:$M$1004,$O466)="","—",INDEX(Firms!$M$5:$M$1004,$O466)))</f>
        <v/>
      </c>
      <c r="O466">
        <f>IFERROR(MATCH(SMALL(Firms!$Y$5:$Y$1004,458),Firms!$W$5:$W$1004,0),"")</f>
        <v/>
      </c>
    </row>
    <row r="467">
      <c r="B467" s="78">
        <f>IF($O467="","",INDEX(Firms!$A$5:$A$1004,$O467))</f>
        <v/>
      </c>
      <c r="C467" s="79">
        <f>IF($O467="","",INDEX(Firms!$N$5:$N$1004,$O467)&amp;"")</f>
        <v/>
      </c>
      <c r="D467" s="79">
        <f>IF($O467="","",INDEX(Firms!$P$5:$P$1004,$O467)&amp;"")</f>
        <v/>
      </c>
      <c r="E467" s="79">
        <f>IF($O467="","",INDEX(Firms!$O$5:$O$1004,$O467)&amp;"")</f>
        <v/>
      </c>
      <c r="F467" s="50">
        <f>IF($O467="","",IF(INDEX(Firms!$F$5:$F$1004,$O467)="","—",INDEX(Firms!$F$5:$F$1004,$O467)))</f>
        <v/>
      </c>
      <c r="G467" s="50">
        <f>IF($O467="","",IF(INDEX(Firms!$G$5:$G$1004,$O467)="","—",INDEX(Firms!$G$5:$G$1004,$O467)))</f>
        <v/>
      </c>
      <c r="H467" s="50">
        <f>IF($O467="","",IF(INDEX(Firms!$H$5:$H$1004,$O467)="","—",INDEX(Firms!$H$5:$H$1004,$O467)))</f>
        <v/>
      </c>
      <c r="I467" s="50">
        <f>IF($O467="","",IF(INDEX(Firms!$I$5:$I$1004,$O467)="","—",INDEX(Firms!$I$5:$I$1004,$O467)))</f>
        <v/>
      </c>
      <c r="J467" s="50">
        <f>IF($O467="","",IF(INDEX(Firms!$J$5:$J$1004,$O467)="","—",INDEX(Firms!$J$5:$J$1004,$O467)))</f>
        <v/>
      </c>
      <c r="K467" s="50">
        <f>IF($O467="","",IF(INDEX(Firms!$K$5:$K$1004,$O467)="","—",INDEX(Firms!$K$5:$K$1004,$O467)))</f>
        <v/>
      </c>
      <c r="L467" s="50">
        <f>IF($O467="","",IF(INDEX(Firms!$L$5:$L$1004,$O467)="","—",INDEX(Firms!$L$5:$L$1004,$O467)))</f>
        <v/>
      </c>
      <c r="M467" s="50">
        <f>IF($O467="","",IF(INDEX(Firms!$M$5:$M$1004,$O467)="","—",INDEX(Firms!$M$5:$M$1004,$O467)))</f>
        <v/>
      </c>
      <c r="O467">
        <f>IFERROR(MATCH(SMALL(Firms!$Y$5:$Y$1004,459),Firms!$W$5:$W$1004,0),"")</f>
        <v/>
      </c>
    </row>
    <row r="468">
      <c r="B468" s="78">
        <f>IF($O468="","",INDEX(Firms!$A$5:$A$1004,$O468))</f>
        <v/>
      </c>
      <c r="C468" s="79">
        <f>IF($O468="","",INDEX(Firms!$N$5:$N$1004,$O468)&amp;"")</f>
        <v/>
      </c>
      <c r="D468" s="79">
        <f>IF($O468="","",INDEX(Firms!$P$5:$P$1004,$O468)&amp;"")</f>
        <v/>
      </c>
      <c r="E468" s="79">
        <f>IF($O468="","",INDEX(Firms!$O$5:$O$1004,$O468)&amp;"")</f>
        <v/>
      </c>
      <c r="F468" s="50">
        <f>IF($O468="","",IF(INDEX(Firms!$F$5:$F$1004,$O468)="","—",INDEX(Firms!$F$5:$F$1004,$O468)))</f>
        <v/>
      </c>
      <c r="G468" s="50">
        <f>IF($O468="","",IF(INDEX(Firms!$G$5:$G$1004,$O468)="","—",INDEX(Firms!$G$5:$G$1004,$O468)))</f>
        <v/>
      </c>
      <c r="H468" s="50">
        <f>IF($O468="","",IF(INDEX(Firms!$H$5:$H$1004,$O468)="","—",INDEX(Firms!$H$5:$H$1004,$O468)))</f>
        <v/>
      </c>
      <c r="I468" s="50">
        <f>IF($O468="","",IF(INDEX(Firms!$I$5:$I$1004,$O468)="","—",INDEX(Firms!$I$5:$I$1004,$O468)))</f>
        <v/>
      </c>
      <c r="J468" s="50">
        <f>IF($O468="","",IF(INDEX(Firms!$J$5:$J$1004,$O468)="","—",INDEX(Firms!$J$5:$J$1004,$O468)))</f>
        <v/>
      </c>
      <c r="K468" s="50">
        <f>IF($O468="","",IF(INDEX(Firms!$K$5:$K$1004,$O468)="","—",INDEX(Firms!$K$5:$K$1004,$O468)))</f>
        <v/>
      </c>
      <c r="L468" s="50">
        <f>IF($O468="","",IF(INDEX(Firms!$L$5:$L$1004,$O468)="","—",INDEX(Firms!$L$5:$L$1004,$O468)))</f>
        <v/>
      </c>
      <c r="M468" s="50">
        <f>IF($O468="","",IF(INDEX(Firms!$M$5:$M$1004,$O468)="","—",INDEX(Firms!$M$5:$M$1004,$O468)))</f>
        <v/>
      </c>
      <c r="O468">
        <f>IFERROR(MATCH(SMALL(Firms!$Y$5:$Y$1004,460),Firms!$W$5:$W$1004,0),"")</f>
        <v/>
      </c>
    </row>
    <row r="469">
      <c r="B469" s="78">
        <f>IF($O469="","",INDEX(Firms!$A$5:$A$1004,$O469))</f>
        <v/>
      </c>
      <c r="C469" s="79">
        <f>IF($O469="","",INDEX(Firms!$N$5:$N$1004,$O469)&amp;"")</f>
        <v/>
      </c>
      <c r="D469" s="79">
        <f>IF($O469="","",INDEX(Firms!$P$5:$P$1004,$O469)&amp;"")</f>
        <v/>
      </c>
      <c r="E469" s="79">
        <f>IF($O469="","",INDEX(Firms!$O$5:$O$1004,$O469)&amp;"")</f>
        <v/>
      </c>
      <c r="F469" s="50">
        <f>IF($O469="","",IF(INDEX(Firms!$F$5:$F$1004,$O469)="","—",INDEX(Firms!$F$5:$F$1004,$O469)))</f>
        <v/>
      </c>
      <c r="G469" s="50">
        <f>IF($O469="","",IF(INDEX(Firms!$G$5:$G$1004,$O469)="","—",INDEX(Firms!$G$5:$G$1004,$O469)))</f>
        <v/>
      </c>
      <c r="H469" s="50">
        <f>IF($O469="","",IF(INDEX(Firms!$H$5:$H$1004,$O469)="","—",INDEX(Firms!$H$5:$H$1004,$O469)))</f>
        <v/>
      </c>
      <c r="I469" s="50">
        <f>IF($O469="","",IF(INDEX(Firms!$I$5:$I$1004,$O469)="","—",INDEX(Firms!$I$5:$I$1004,$O469)))</f>
        <v/>
      </c>
      <c r="J469" s="50">
        <f>IF($O469="","",IF(INDEX(Firms!$J$5:$J$1004,$O469)="","—",INDEX(Firms!$J$5:$J$1004,$O469)))</f>
        <v/>
      </c>
      <c r="K469" s="50">
        <f>IF($O469="","",IF(INDEX(Firms!$K$5:$K$1004,$O469)="","—",INDEX(Firms!$K$5:$K$1004,$O469)))</f>
        <v/>
      </c>
      <c r="L469" s="50">
        <f>IF($O469="","",IF(INDEX(Firms!$L$5:$L$1004,$O469)="","—",INDEX(Firms!$L$5:$L$1004,$O469)))</f>
        <v/>
      </c>
      <c r="M469" s="50">
        <f>IF($O469="","",IF(INDEX(Firms!$M$5:$M$1004,$O469)="","—",INDEX(Firms!$M$5:$M$1004,$O469)))</f>
        <v/>
      </c>
      <c r="O469">
        <f>IFERROR(MATCH(SMALL(Firms!$Y$5:$Y$1004,461),Firms!$W$5:$W$1004,0),"")</f>
        <v/>
      </c>
    </row>
    <row r="470">
      <c r="B470" s="78">
        <f>IF($O470="","",INDEX(Firms!$A$5:$A$1004,$O470))</f>
        <v/>
      </c>
      <c r="C470" s="79">
        <f>IF($O470="","",INDEX(Firms!$N$5:$N$1004,$O470)&amp;"")</f>
        <v/>
      </c>
      <c r="D470" s="79">
        <f>IF($O470="","",INDEX(Firms!$P$5:$P$1004,$O470)&amp;"")</f>
        <v/>
      </c>
      <c r="E470" s="79">
        <f>IF($O470="","",INDEX(Firms!$O$5:$O$1004,$O470)&amp;"")</f>
        <v/>
      </c>
      <c r="F470" s="50">
        <f>IF($O470="","",IF(INDEX(Firms!$F$5:$F$1004,$O470)="","—",INDEX(Firms!$F$5:$F$1004,$O470)))</f>
        <v/>
      </c>
      <c r="G470" s="50">
        <f>IF($O470="","",IF(INDEX(Firms!$G$5:$G$1004,$O470)="","—",INDEX(Firms!$G$5:$G$1004,$O470)))</f>
        <v/>
      </c>
      <c r="H470" s="50">
        <f>IF($O470="","",IF(INDEX(Firms!$H$5:$H$1004,$O470)="","—",INDEX(Firms!$H$5:$H$1004,$O470)))</f>
        <v/>
      </c>
      <c r="I470" s="50">
        <f>IF($O470="","",IF(INDEX(Firms!$I$5:$I$1004,$O470)="","—",INDEX(Firms!$I$5:$I$1004,$O470)))</f>
        <v/>
      </c>
      <c r="J470" s="50">
        <f>IF($O470="","",IF(INDEX(Firms!$J$5:$J$1004,$O470)="","—",INDEX(Firms!$J$5:$J$1004,$O470)))</f>
        <v/>
      </c>
      <c r="K470" s="50">
        <f>IF($O470="","",IF(INDEX(Firms!$K$5:$K$1004,$O470)="","—",INDEX(Firms!$K$5:$K$1004,$O470)))</f>
        <v/>
      </c>
      <c r="L470" s="50">
        <f>IF($O470="","",IF(INDEX(Firms!$L$5:$L$1004,$O470)="","—",INDEX(Firms!$L$5:$L$1004,$O470)))</f>
        <v/>
      </c>
      <c r="M470" s="50">
        <f>IF($O470="","",IF(INDEX(Firms!$M$5:$M$1004,$O470)="","—",INDEX(Firms!$M$5:$M$1004,$O470)))</f>
        <v/>
      </c>
      <c r="O470">
        <f>IFERROR(MATCH(SMALL(Firms!$Y$5:$Y$1004,462),Firms!$W$5:$W$1004,0),"")</f>
        <v/>
      </c>
    </row>
    <row r="471">
      <c r="B471" s="78">
        <f>IF($O471="","",INDEX(Firms!$A$5:$A$1004,$O471))</f>
        <v/>
      </c>
      <c r="C471" s="79">
        <f>IF($O471="","",INDEX(Firms!$N$5:$N$1004,$O471)&amp;"")</f>
        <v/>
      </c>
      <c r="D471" s="79">
        <f>IF($O471="","",INDEX(Firms!$P$5:$P$1004,$O471)&amp;"")</f>
        <v/>
      </c>
      <c r="E471" s="79">
        <f>IF($O471="","",INDEX(Firms!$O$5:$O$1004,$O471)&amp;"")</f>
        <v/>
      </c>
      <c r="F471" s="50">
        <f>IF($O471="","",IF(INDEX(Firms!$F$5:$F$1004,$O471)="","—",INDEX(Firms!$F$5:$F$1004,$O471)))</f>
        <v/>
      </c>
      <c r="G471" s="50">
        <f>IF($O471="","",IF(INDEX(Firms!$G$5:$G$1004,$O471)="","—",INDEX(Firms!$G$5:$G$1004,$O471)))</f>
        <v/>
      </c>
      <c r="H471" s="50">
        <f>IF($O471="","",IF(INDEX(Firms!$H$5:$H$1004,$O471)="","—",INDEX(Firms!$H$5:$H$1004,$O471)))</f>
        <v/>
      </c>
      <c r="I471" s="50">
        <f>IF($O471="","",IF(INDEX(Firms!$I$5:$I$1004,$O471)="","—",INDEX(Firms!$I$5:$I$1004,$O471)))</f>
        <v/>
      </c>
      <c r="J471" s="50">
        <f>IF($O471="","",IF(INDEX(Firms!$J$5:$J$1004,$O471)="","—",INDEX(Firms!$J$5:$J$1004,$O471)))</f>
        <v/>
      </c>
      <c r="K471" s="50">
        <f>IF($O471="","",IF(INDEX(Firms!$K$5:$K$1004,$O471)="","—",INDEX(Firms!$K$5:$K$1004,$O471)))</f>
        <v/>
      </c>
      <c r="L471" s="50">
        <f>IF($O471="","",IF(INDEX(Firms!$L$5:$L$1004,$O471)="","—",INDEX(Firms!$L$5:$L$1004,$O471)))</f>
        <v/>
      </c>
      <c r="M471" s="50">
        <f>IF($O471="","",IF(INDEX(Firms!$M$5:$M$1004,$O471)="","—",INDEX(Firms!$M$5:$M$1004,$O471)))</f>
        <v/>
      </c>
      <c r="O471">
        <f>IFERROR(MATCH(SMALL(Firms!$Y$5:$Y$1004,463),Firms!$W$5:$W$1004,0),"")</f>
        <v/>
      </c>
    </row>
    <row r="472">
      <c r="B472" s="78">
        <f>IF($O472="","",INDEX(Firms!$A$5:$A$1004,$O472))</f>
        <v/>
      </c>
      <c r="C472" s="79">
        <f>IF($O472="","",INDEX(Firms!$N$5:$N$1004,$O472)&amp;"")</f>
        <v/>
      </c>
      <c r="D472" s="79">
        <f>IF($O472="","",INDEX(Firms!$P$5:$P$1004,$O472)&amp;"")</f>
        <v/>
      </c>
      <c r="E472" s="79">
        <f>IF($O472="","",INDEX(Firms!$O$5:$O$1004,$O472)&amp;"")</f>
        <v/>
      </c>
      <c r="F472" s="50">
        <f>IF($O472="","",IF(INDEX(Firms!$F$5:$F$1004,$O472)="","—",INDEX(Firms!$F$5:$F$1004,$O472)))</f>
        <v/>
      </c>
      <c r="G472" s="50">
        <f>IF($O472="","",IF(INDEX(Firms!$G$5:$G$1004,$O472)="","—",INDEX(Firms!$G$5:$G$1004,$O472)))</f>
        <v/>
      </c>
      <c r="H472" s="50">
        <f>IF($O472="","",IF(INDEX(Firms!$H$5:$H$1004,$O472)="","—",INDEX(Firms!$H$5:$H$1004,$O472)))</f>
        <v/>
      </c>
      <c r="I472" s="50">
        <f>IF($O472="","",IF(INDEX(Firms!$I$5:$I$1004,$O472)="","—",INDEX(Firms!$I$5:$I$1004,$O472)))</f>
        <v/>
      </c>
      <c r="J472" s="50">
        <f>IF($O472="","",IF(INDEX(Firms!$J$5:$J$1004,$O472)="","—",INDEX(Firms!$J$5:$J$1004,$O472)))</f>
        <v/>
      </c>
      <c r="K472" s="50">
        <f>IF($O472="","",IF(INDEX(Firms!$K$5:$K$1004,$O472)="","—",INDEX(Firms!$K$5:$K$1004,$O472)))</f>
        <v/>
      </c>
      <c r="L472" s="50">
        <f>IF($O472="","",IF(INDEX(Firms!$L$5:$L$1004,$O472)="","—",INDEX(Firms!$L$5:$L$1004,$O472)))</f>
        <v/>
      </c>
      <c r="M472" s="50">
        <f>IF($O472="","",IF(INDEX(Firms!$M$5:$M$1004,$O472)="","—",INDEX(Firms!$M$5:$M$1004,$O472)))</f>
        <v/>
      </c>
      <c r="O472">
        <f>IFERROR(MATCH(SMALL(Firms!$Y$5:$Y$1004,464),Firms!$W$5:$W$1004,0),"")</f>
        <v/>
      </c>
    </row>
    <row r="473">
      <c r="B473" s="78">
        <f>IF($O473="","",INDEX(Firms!$A$5:$A$1004,$O473))</f>
        <v/>
      </c>
      <c r="C473" s="79">
        <f>IF($O473="","",INDEX(Firms!$N$5:$N$1004,$O473)&amp;"")</f>
        <v/>
      </c>
      <c r="D473" s="79">
        <f>IF($O473="","",INDEX(Firms!$P$5:$P$1004,$O473)&amp;"")</f>
        <v/>
      </c>
      <c r="E473" s="79">
        <f>IF($O473="","",INDEX(Firms!$O$5:$O$1004,$O473)&amp;"")</f>
        <v/>
      </c>
      <c r="F473" s="50">
        <f>IF($O473="","",IF(INDEX(Firms!$F$5:$F$1004,$O473)="","—",INDEX(Firms!$F$5:$F$1004,$O473)))</f>
        <v/>
      </c>
      <c r="G473" s="50">
        <f>IF($O473="","",IF(INDEX(Firms!$G$5:$G$1004,$O473)="","—",INDEX(Firms!$G$5:$G$1004,$O473)))</f>
        <v/>
      </c>
      <c r="H473" s="50">
        <f>IF($O473="","",IF(INDEX(Firms!$H$5:$H$1004,$O473)="","—",INDEX(Firms!$H$5:$H$1004,$O473)))</f>
        <v/>
      </c>
      <c r="I473" s="50">
        <f>IF($O473="","",IF(INDEX(Firms!$I$5:$I$1004,$O473)="","—",INDEX(Firms!$I$5:$I$1004,$O473)))</f>
        <v/>
      </c>
      <c r="J473" s="50">
        <f>IF($O473="","",IF(INDEX(Firms!$J$5:$J$1004,$O473)="","—",INDEX(Firms!$J$5:$J$1004,$O473)))</f>
        <v/>
      </c>
      <c r="K473" s="50">
        <f>IF($O473="","",IF(INDEX(Firms!$K$5:$K$1004,$O473)="","—",INDEX(Firms!$K$5:$K$1004,$O473)))</f>
        <v/>
      </c>
      <c r="L473" s="50">
        <f>IF($O473="","",IF(INDEX(Firms!$L$5:$L$1004,$O473)="","—",INDEX(Firms!$L$5:$L$1004,$O473)))</f>
        <v/>
      </c>
      <c r="M473" s="50">
        <f>IF($O473="","",IF(INDEX(Firms!$M$5:$M$1004,$O473)="","—",INDEX(Firms!$M$5:$M$1004,$O473)))</f>
        <v/>
      </c>
      <c r="O473">
        <f>IFERROR(MATCH(SMALL(Firms!$Y$5:$Y$1004,465),Firms!$W$5:$W$1004,0),"")</f>
        <v/>
      </c>
    </row>
    <row r="474">
      <c r="B474" s="78">
        <f>IF($O474="","",INDEX(Firms!$A$5:$A$1004,$O474))</f>
        <v/>
      </c>
      <c r="C474" s="79">
        <f>IF($O474="","",INDEX(Firms!$N$5:$N$1004,$O474)&amp;"")</f>
        <v/>
      </c>
      <c r="D474" s="79">
        <f>IF($O474="","",INDEX(Firms!$P$5:$P$1004,$O474)&amp;"")</f>
        <v/>
      </c>
      <c r="E474" s="79">
        <f>IF($O474="","",INDEX(Firms!$O$5:$O$1004,$O474)&amp;"")</f>
        <v/>
      </c>
      <c r="F474" s="50">
        <f>IF($O474="","",IF(INDEX(Firms!$F$5:$F$1004,$O474)="","—",INDEX(Firms!$F$5:$F$1004,$O474)))</f>
        <v/>
      </c>
      <c r="G474" s="50">
        <f>IF($O474="","",IF(INDEX(Firms!$G$5:$G$1004,$O474)="","—",INDEX(Firms!$G$5:$G$1004,$O474)))</f>
        <v/>
      </c>
      <c r="H474" s="50">
        <f>IF($O474="","",IF(INDEX(Firms!$H$5:$H$1004,$O474)="","—",INDEX(Firms!$H$5:$H$1004,$O474)))</f>
        <v/>
      </c>
      <c r="I474" s="50">
        <f>IF($O474="","",IF(INDEX(Firms!$I$5:$I$1004,$O474)="","—",INDEX(Firms!$I$5:$I$1004,$O474)))</f>
        <v/>
      </c>
      <c r="J474" s="50">
        <f>IF($O474="","",IF(INDEX(Firms!$J$5:$J$1004,$O474)="","—",INDEX(Firms!$J$5:$J$1004,$O474)))</f>
        <v/>
      </c>
      <c r="K474" s="50">
        <f>IF($O474="","",IF(INDEX(Firms!$K$5:$K$1004,$O474)="","—",INDEX(Firms!$K$5:$K$1004,$O474)))</f>
        <v/>
      </c>
      <c r="L474" s="50">
        <f>IF($O474="","",IF(INDEX(Firms!$L$5:$L$1004,$O474)="","—",INDEX(Firms!$L$5:$L$1004,$O474)))</f>
        <v/>
      </c>
      <c r="M474" s="50">
        <f>IF($O474="","",IF(INDEX(Firms!$M$5:$M$1004,$O474)="","—",INDEX(Firms!$M$5:$M$1004,$O474)))</f>
        <v/>
      </c>
      <c r="O474">
        <f>IFERROR(MATCH(SMALL(Firms!$Y$5:$Y$1004,466),Firms!$W$5:$W$1004,0),"")</f>
        <v/>
      </c>
    </row>
    <row r="475">
      <c r="B475" s="78">
        <f>IF($O475="","",INDEX(Firms!$A$5:$A$1004,$O475))</f>
        <v/>
      </c>
      <c r="C475" s="79">
        <f>IF($O475="","",INDEX(Firms!$N$5:$N$1004,$O475)&amp;"")</f>
        <v/>
      </c>
      <c r="D475" s="79">
        <f>IF($O475="","",INDEX(Firms!$P$5:$P$1004,$O475)&amp;"")</f>
        <v/>
      </c>
      <c r="E475" s="79">
        <f>IF($O475="","",INDEX(Firms!$O$5:$O$1004,$O475)&amp;"")</f>
        <v/>
      </c>
      <c r="F475" s="50">
        <f>IF($O475="","",IF(INDEX(Firms!$F$5:$F$1004,$O475)="","—",INDEX(Firms!$F$5:$F$1004,$O475)))</f>
        <v/>
      </c>
      <c r="G475" s="50">
        <f>IF($O475="","",IF(INDEX(Firms!$G$5:$G$1004,$O475)="","—",INDEX(Firms!$G$5:$G$1004,$O475)))</f>
        <v/>
      </c>
      <c r="H475" s="50">
        <f>IF($O475="","",IF(INDEX(Firms!$H$5:$H$1004,$O475)="","—",INDEX(Firms!$H$5:$H$1004,$O475)))</f>
        <v/>
      </c>
      <c r="I475" s="50">
        <f>IF($O475="","",IF(INDEX(Firms!$I$5:$I$1004,$O475)="","—",INDEX(Firms!$I$5:$I$1004,$O475)))</f>
        <v/>
      </c>
      <c r="J475" s="50">
        <f>IF($O475="","",IF(INDEX(Firms!$J$5:$J$1004,$O475)="","—",INDEX(Firms!$J$5:$J$1004,$O475)))</f>
        <v/>
      </c>
      <c r="K475" s="50">
        <f>IF($O475="","",IF(INDEX(Firms!$K$5:$K$1004,$O475)="","—",INDEX(Firms!$K$5:$K$1004,$O475)))</f>
        <v/>
      </c>
      <c r="L475" s="50">
        <f>IF($O475="","",IF(INDEX(Firms!$L$5:$L$1004,$O475)="","—",INDEX(Firms!$L$5:$L$1004,$O475)))</f>
        <v/>
      </c>
      <c r="M475" s="50">
        <f>IF($O475="","",IF(INDEX(Firms!$M$5:$M$1004,$O475)="","—",INDEX(Firms!$M$5:$M$1004,$O475)))</f>
        <v/>
      </c>
      <c r="O475">
        <f>IFERROR(MATCH(SMALL(Firms!$Y$5:$Y$1004,467),Firms!$W$5:$W$1004,0),"")</f>
        <v/>
      </c>
    </row>
    <row r="476">
      <c r="B476" s="78">
        <f>IF($O476="","",INDEX(Firms!$A$5:$A$1004,$O476))</f>
        <v/>
      </c>
      <c r="C476" s="79">
        <f>IF($O476="","",INDEX(Firms!$N$5:$N$1004,$O476)&amp;"")</f>
        <v/>
      </c>
      <c r="D476" s="79">
        <f>IF($O476="","",INDEX(Firms!$P$5:$P$1004,$O476)&amp;"")</f>
        <v/>
      </c>
      <c r="E476" s="79">
        <f>IF($O476="","",INDEX(Firms!$O$5:$O$1004,$O476)&amp;"")</f>
        <v/>
      </c>
      <c r="F476" s="50">
        <f>IF($O476="","",IF(INDEX(Firms!$F$5:$F$1004,$O476)="","—",INDEX(Firms!$F$5:$F$1004,$O476)))</f>
        <v/>
      </c>
      <c r="G476" s="50">
        <f>IF($O476="","",IF(INDEX(Firms!$G$5:$G$1004,$O476)="","—",INDEX(Firms!$G$5:$G$1004,$O476)))</f>
        <v/>
      </c>
      <c r="H476" s="50">
        <f>IF($O476="","",IF(INDEX(Firms!$H$5:$H$1004,$O476)="","—",INDEX(Firms!$H$5:$H$1004,$O476)))</f>
        <v/>
      </c>
      <c r="I476" s="50">
        <f>IF($O476="","",IF(INDEX(Firms!$I$5:$I$1004,$O476)="","—",INDEX(Firms!$I$5:$I$1004,$O476)))</f>
        <v/>
      </c>
      <c r="J476" s="50">
        <f>IF($O476="","",IF(INDEX(Firms!$J$5:$J$1004,$O476)="","—",INDEX(Firms!$J$5:$J$1004,$O476)))</f>
        <v/>
      </c>
      <c r="K476" s="50">
        <f>IF($O476="","",IF(INDEX(Firms!$K$5:$K$1004,$O476)="","—",INDEX(Firms!$K$5:$K$1004,$O476)))</f>
        <v/>
      </c>
      <c r="L476" s="50">
        <f>IF($O476="","",IF(INDEX(Firms!$L$5:$L$1004,$O476)="","—",INDEX(Firms!$L$5:$L$1004,$O476)))</f>
        <v/>
      </c>
      <c r="M476" s="50">
        <f>IF($O476="","",IF(INDEX(Firms!$M$5:$M$1004,$O476)="","—",INDEX(Firms!$M$5:$M$1004,$O476)))</f>
        <v/>
      </c>
      <c r="O476">
        <f>IFERROR(MATCH(SMALL(Firms!$Y$5:$Y$1004,468),Firms!$W$5:$W$1004,0),"")</f>
        <v/>
      </c>
    </row>
    <row r="477">
      <c r="B477" s="78">
        <f>IF($O477="","",INDEX(Firms!$A$5:$A$1004,$O477))</f>
        <v/>
      </c>
      <c r="C477" s="79">
        <f>IF($O477="","",INDEX(Firms!$N$5:$N$1004,$O477)&amp;"")</f>
        <v/>
      </c>
      <c r="D477" s="79">
        <f>IF($O477="","",INDEX(Firms!$P$5:$P$1004,$O477)&amp;"")</f>
        <v/>
      </c>
      <c r="E477" s="79">
        <f>IF($O477="","",INDEX(Firms!$O$5:$O$1004,$O477)&amp;"")</f>
        <v/>
      </c>
      <c r="F477" s="50">
        <f>IF($O477="","",IF(INDEX(Firms!$F$5:$F$1004,$O477)="","—",INDEX(Firms!$F$5:$F$1004,$O477)))</f>
        <v/>
      </c>
      <c r="G477" s="50">
        <f>IF($O477="","",IF(INDEX(Firms!$G$5:$G$1004,$O477)="","—",INDEX(Firms!$G$5:$G$1004,$O477)))</f>
        <v/>
      </c>
      <c r="H477" s="50">
        <f>IF($O477="","",IF(INDEX(Firms!$H$5:$H$1004,$O477)="","—",INDEX(Firms!$H$5:$H$1004,$O477)))</f>
        <v/>
      </c>
      <c r="I477" s="50">
        <f>IF($O477="","",IF(INDEX(Firms!$I$5:$I$1004,$O477)="","—",INDEX(Firms!$I$5:$I$1004,$O477)))</f>
        <v/>
      </c>
      <c r="J477" s="50">
        <f>IF($O477="","",IF(INDEX(Firms!$J$5:$J$1004,$O477)="","—",INDEX(Firms!$J$5:$J$1004,$O477)))</f>
        <v/>
      </c>
      <c r="K477" s="50">
        <f>IF($O477="","",IF(INDEX(Firms!$K$5:$K$1004,$O477)="","—",INDEX(Firms!$K$5:$K$1004,$O477)))</f>
        <v/>
      </c>
      <c r="L477" s="50">
        <f>IF($O477="","",IF(INDEX(Firms!$L$5:$L$1004,$O477)="","—",INDEX(Firms!$L$5:$L$1004,$O477)))</f>
        <v/>
      </c>
      <c r="M477" s="50">
        <f>IF($O477="","",IF(INDEX(Firms!$M$5:$M$1004,$O477)="","—",INDEX(Firms!$M$5:$M$1004,$O477)))</f>
        <v/>
      </c>
      <c r="O477">
        <f>IFERROR(MATCH(SMALL(Firms!$Y$5:$Y$1004,469),Firms!$W$5:$W$1004,0),"")</f>
        <v/>
      </c>
    </row>
    <row r="478">
      <c r="B478" s="78">
        <f>IF($O478="","",INDEX(Firms!$A$5:$A$1004,$O478))</f>
        <v/>
      </c>
      <c r="C478" s="79">
        <f>IF($O478="","",INDEX(Firms!$N$5:$N$1004,$O478)&amp;"")</f>
        <v/>
      </c>
      <c r="D478" s="79">
        <f>IF($O478="","",INDEX(Firms!$P$5:$P$1004,$O478)&amp;"")</f>
        <v/>
      </c>
      <c r="E478" s="79">
        <f>IF($O478="","",INDEX(Firms!$O$5:$O$1004,$O478)&amp;"")</f>
        <v/>
      </c>
      <c r="F478" s="50">
        <f>IF($O478="","",IF(INDEX(Firms!$F$5:$F$1004,$O478)="","—",INDEX(Firms!$F$5:$F$1004,$O478)))</f>
        <v/>
      </c>
      <c r="G478" s="50">
        <f>IF($O478="","",IF(INDEX(Firms!$G$5:$G$1004,$O478)="","—",INDEX(Firms!$G$5:$G$1004,$O478)))</f>
        <v/>
      </c>
      <c r="H478" s="50">
        <f>IF($O478="","",IF(INDEX(Firms!$H$5:$H$1004,$O478)="","—",INDEX(Firms!$H$5:$H$1004,$O478)))</f>
        <v/>
      </c>
      <c r="I478" s="50">
        <f>IF($O478="","",IF(INDEX(Firms!$I$5:$I$1004,$O478)="","—",INDEX(Firms!$I$5:$I$1004,$O478)))</f>
        <v/>
      </c>
      <c r="J478" s="50">
        <f>IF($O478="","",IF(INDEX(Firms!$J$5:$J$1004,$O478)="","—",INDEX(Firms!$J$5:$J$1004,$O478)))</f>
        <v/>
      </c>
      <c r="K478" s="50">
        <f>IF($O478="","",IF(INDEX(Firms!$K$5:$K$1004,$O478)="","—",INDEX(Firms!$K$5:$K$1004,$O478)))</f>
        <v/>
      </c>
      <c r="L478" s="50">
        <f>IF($O478="","",IF(INDEX(Firms!$L$5:$L$1004,$O478)="","—",INDEX(Firms!$L$5:$L$1004,$O478)))</f>
        <v/>
      </c>
      <c r="M478" s="50">
        <f>IF($O478="","",IF(INDEX(Firms!$M$5:$M$1004,$O478)="","—",INDEX(Firms!$M$5:$M$1004,$O478)))</f>
        <v/>
      </c>
      <c r="O478">
        <f>IFERROR(MATCH(SMALL(Firms!$Y$5:$Y$1004,470),Firms!$W$5:$W$1004,0),"")</f>
        <v/>
      </c>
    </row>
    <row r="479">
      <c r="B479" s="78">
        <f>IF($O479="","",INDEX(Firms!$A$5:$A$1004,$O479))</f>
        <v/>
      </c>
      <c r="C479" s="79">
        <f>IF($O479="","",INDEX(Firms!$N$5:$N$1004,$O479)&amp;"")</f>
        <v/>
      </c>
      <c r="D479" s="79">
        <f>IF($O479="","",INDEX(Firms!$P$5:$P$1004,$O479)&amp;"")</f>
        <v/>
      </c>
      <c r="E479" s="79">
        <f>IF($O479="","",INDEX(Firms!$O$5:$O$1004,$O479)&amp;"")</f>
        <v/>
      </c>
      <c r="F479" s="50">
        <f>IF($O479="","",IF(INDEX(Firms!$F$5:$F$1004,$O479)="","—",INDEX(Firms!$F$5:$F$1004,$O479)))</f>
        <v/>
      </c>
      <c r="G479" s="50">
        <f>IF($O479="","",IF(INDEX(Firms!$G$5:$G$1004,$O479)="","—",INDEX(Firms!$G$5:$G$1004,$O479)))</f>
        <v/>
      </c>
      <c r="H479" s="50">
        <f>IF($O479="","",IF(INDEX(Firms!$H$5:$H$1004,$O479)="","—",INDEX(Firms!$H$5:$H$1004,$O479)))</f>
        <v/>
      </c>
      <c r="I479" s="50">
        <f>IF($O479="","",IF(INDEX(Firms!$I$5:$I$1004,$O479)="","—",INDEX(Firms!$I$5:$I$1004,$O479)))</f>
        <v/>
      </c>
      <c r="J479" s="50">
        <f>IF($O479="","",IF(INDEX(Firms!$J$5:$J$1004,$O479)="","—",INDEX(Firms!$J$5:$J$1004,$O479)))</f>
        <v/>
      </c>
      <c r="K479" s="50">
        <f>IF($O479="","",IF(INDEX(Firms!$K$5:$K$1004,$O479)="","—",INDEX(Firms!$K$5:$K$1004,$O479)))</f>
        <v/>
      </c>
      <c r="L479" s="50">
        <f>IF($O479="","",IF(INDEX(Firms!$L$5:$L$1004,$O479)="","—",INDEX(Firms!$L$5:$L$1004,$O479)))</f>
        <v/>
      </c>
      <c r="M479" s="50">
        <f>IF($O479="","",IF(INDEX(Firms!$M$5:$M$1004,$O479)="","—",INDEX(Firms!$M$5:$M$1004,$O479)))</f>
        <v/>
      </c>
      <c r="O479">
        <f>IFERROR(MATCH(SMALL(Firms!$Y$5:$Y$1004,471),Firms!$W$5:$W$1004,0),"")</f>
        <v/>
      </c>
    </row>
    <row r="480">
      <c r="B480" s="78">
        <f>IF($O480="","",INDEX(Firms!$A$5:$A$1004,$O480))</f>
        <v/>
      </c>
      <c r="C480" s="79">
        <f>IF($O480="","",INDEX(Firms!$N$5:$N$1004,$O480)&amp;"")</f>
        <v/>
      </c>
      <c r="D480" s="79">
        <f>IF($O480="","",INDEX(Firms!$P$5:$P$1004,$O480)&amp;"")</f>
        <v/>
      </c>
      <c r="E480" s="79">
        <f>IF($O480="","",INDEX(Firms!$O$5:$O$1004,$O480)&amp;"")</f>
        <v/>
      </c>
      <c r="F480" s="50">
        <f>IF($O480="","",IF(INDEX(Firms!$F$5:$F$1004,$O480)="","—",INDEX(Firms!$F$5:$F$1004,$O480)))</f>
        <v/>
      </c>
      <c r="G480" s="50">
        <f>IF($O480="","",IF(INDEX(Firms!$G$5:$G$1004,$O480)="","—",INDEX(Firms!$G$5:$G$1004,$O480)))</f>
        <v/>
      </c>
      <c r="H480" s="50">
        <f>IF($O480="","",IF(INDEX(Firms!$H$5:$H$1004,$O480)="","—",INDEX(Firms!$H$5:$H$1004,$O480)))</f>
        <v/>
      </c>
      <c r="I480" s="50">
        <f>IF($O480="","",IF(INDEX(Firms!$I$5:$I$1004,$O480)="","—",INDEX(Firms!$I$5:$I$1004,$O480)))</f>
        <v/>
      </c>
      <c r="J480" s="50">
        <f>IF($O480="","",IF(INDEX(Firms!$J$5:$J$1004,$O480)="","—",INDEX(Firms!$J$5:$J$1004,$O480)))</f>
        <v/>
      </c>
      <c r="K480" s="50">
        <f>IF($O480="","",IF(INDEX(Firms!$K$5:$K$1004,$O480)="","—",INDEX(Firms!$K$5:$K$1004,$O480)))</f>
        <v/>
      </c>
      <c r="L480" s="50">
        <f>IF($O480="","",IF(INDEX(Firms!$L$5:$L$1004,$O480)="","—",INDEX(Firms!$L$5:$L$1004,$O480)))</f>
        <v/>
      </c>
      <c r="M480" s="50">
        <f>IF($O480="","",IF(INDEX(Firms!$M$5:$M$1004,$O480)="","—",INDEX(Firms!$M$5:$M$1004,$O480)))</f>
        <v/>
      </c>
      <c r="O480">
        <f>IFERROR(MATCH(SMALL(Firms!$Y$5:$Y$1004,472),Firms!$W$5:$W$1004,0),"")</f>
        <v/>
      </c>
    </row>
    <row r="481">
      <c r="B481" s="78">
        <f>IF($O481="","",INDEX(Firms!$A$5:$A$1004,$O481))</f>
        <v/>
      </c>
      <c r="C481" s="79">
        <f>IF($O481="","",INDEX(Firms!$N$5:$N$1004,$O481)&amp;"")</f>
        <v/>
      </c>
      <c r="D481" s="79">
        <f>IF($O481="","",INDEX(Firms!$P$5:$P$1004,$O481)&amp;"")</f>
        <v/>
      </c>
      <c r="E481" s="79">
        <f>IF($O481="","",INDEX(Firms!$O$5:$O$1004,$O481)&amp;"")</f>
        <v/>
      </c>
      <c r="F481" s="50">
        <f>IF($O481="","",IF(INDEX(Firms!$F$5:$F$1004,$O481)="","—",INDEX(Firms!$F$5:$F$1004,$O481)))</f>
        <v/>
      </c>
      <c r="G481" s="50">
        <f>IF($O481="","",IF(INDEX(Firms!$G$5:$G$1004,$O481)="","—",INDEX(Firms!$G$5:$G$1004,$O481)))</f>
        <v/>
      </c>
      <c r="H481" s="50">
        <f>IF($O481="","",IF(INDEX(Firms!$H$5:$H$1004,$O481)="","—",INDEX(Firms!$H$5:$H$1004,$O481)))</f>
        <v/>
      </c>
      <c r="I481" s="50">
        <f>IF($O481="","",IF(INDEX(Firms!$I$5:$I$1004,$O481)="","—",INDEX(Firms!$I$5:$I$1004,$O481)))</f>
        <v/>
      </c>
      <c r="J481" s="50">
        <f>IF($O481="","",IF(INDEX(Firms!$J$5:$J$1004,$O481)="","—",INDEX(Firms!$J$5:$J$1004,$O481)))</f>
        <v/>
      </c>
      <c r="K481" s="50">
        <f>IF($O481="","",IF(INDEX(Firms!$K$5:$K$1004,$O481)="","—",INDEX(Firms!$K$5:$K$1004,$O481)))</f>
        <v/>
      </c>
      <c r="L481" s="50">
        <f>IF($O481="","",IF(INDEX(Firms!$L$5:$L$1004,$O481)="","—",INDEX(Firms!$L$5:$L$1004,$O481)))</f>
        <v/>
      </c>
      <c r="M481" s="50">
        <f>IF($O481="","",IF(INDEX(Firms!$M$5:$M$1004,$O481)="","—",INDEX(Firms!$M$5:$M$1004,$O481)))</f>
        <v/>
      </c>
      <c r="O481">
        <f>IFERROR(MATCH(SMALL(Firms!$Y$5:$Y$1004,473),Firms!$W$5:$W$1004,0),"")</f>
        <v/>
      </c>
    </row>
    <row r="482">
      <c r="B482" s="78">
        <f>IF($O482="","",INDEX(Firms!$A$5:$A$1004,$O482))</f>
        <v/>
      </c>
      <c r="C482" s="79">
        <f>IF($O482="","",INDEX(Firms!$N$5:$N$1004,$O482)&amp;"")</f>
        <v/>
      </c>
      <c r="D482" s="79">
        <f>IF($O482="","",INDEX(Firms!$P$5:$P$1004,$O482)&amp;"")</f>
        <v/>
      </c>
      <c r="E482" s="79">
        <f>IF($O482="","",INDEX(Firms!$O$5:$O$1004,$O482)&amp;"")</f>
        <v/>
      </c>
      <c r="F482" s="50">
        <f>IF($O482="","",IF(INDEX(Firms!$F$5:$F$1004,$O482)="","—",INDEX(Firms!$F$5:$F$1004,$O482)))</f>
        <v/>
      </c>
      <c r="G482" s="50">
        <f>IF($O482="","",IF(INDEX(Firms!$G$5:$G$1004,$O482)="","—",INDEX(Firms!$G$5:$G$1004,$O482)))</f>
        <v/>
      </c>
      <c r="H482" s="50">
        <f>IF($O482="","",IF(INDEX(Firms!$H$5:$H$1004,$O482)="","—",INDEX(Firms!$H$5:$H$1004,$O482)))</f>
        <v/>
      </c>
      <c r="I482" s="50">
        <f>IF($O482="","",IF(INDEX(Firms!$I$5:$I$1004,$O482)="","—",INDEX(Firms!$I$5:$I$1004,$O482)))</f>
        <v/>
      </c>
      <c r="J482" s="50">
        <f>IF($O482="","",IF(INDEX(Firms!$J$5:$J$1004,$O482)="","—",INDEX(Firms!$J$5:$J$1004,$O482)))</f>
        <v/>
      </c>
      <c r="K482" s="50">
        <f>IF($O482="","",IF(INDEX(Firms!$K$5:$K$1004,$O482)="","—",INDEX(Firms!$K$5:$K$1004,$O482)))</f>
        <v/>
      </c>
      <c r="L482" s="50">
        <f>IF($O482="","",IF(INDEX(Firms!$L$5:$L$1004,$O482)="","—",INDEX(Firms!$L$5:$L$1004,$O482)))</f>
        <v/>
      </c>
      <c r="M482" s="50">
        <f>IF($O482="","",IF(INDEX(Firms!$M$5:$M$1004,$O482)="","—",INDEX(Firms!$M$5:$M$1004,$O482)))</f>
        <v/>
      </c>
      <c r="O482">
        <f>IFERROR(MATCH(SMALL(Firms!$Y$5:$Y$1004,474),Firms!$W$5:$W$1004,0),"")</f>
        <v/>
      </c>
    </row>
    <row r="483">
      <c r="B483" s="78">
        <f>IF($O483="","",INDEX(Firms!$A$5:$A$1004,$O483))</f>
        <v/>
      </c>
      <c r="C483" s="79">
        <f>IF($O483="","",INDEX(Firms!$N$5:$N$1004,$O483)&amp;"")</f>
        <v/>
      </c>
      <c r="D483" s="79">
        <f>IF($O483="","",INDEX(Firms!$P$5:$P$1004,$O483)&amp;"")</f>
        <v/>
      </c>
      <c r="E483" s="79">
        <f>IF($O483="","",INDEX(Firms!$O$5:$O$1004,$O483)&amp;"")</f>
        <v/>
      </c>
      <c r="F483" s="50">
        <f>IF($O483="","",IF(INDEX(Firms!$F$5:$F$1004,$O483)="","—",INDEX(Firms!$F$5:$F$1004,$O483)))</f>
        <v/>
      </c>
      <c r="G483" s="50">
        <f>IF($O483="","",IF(INDEX(Firms!$G$5:$G$1004,$O483)="","—",INDEX(Firms!$G$5:$G$1004,$O483)))</f>
        <v/>
      </c>
      <c r="H483" s="50">
        <f>IF($O483="","",IF(INDEX(Firms!$H$5:$H$1004,$O483)="","—",INDEX(Firms!$H$5:$H$1004,$O483)))</f>
        <v/>
      </c>
      <c r="I483" s="50">
        <f>IF($O483="","",IF(INDEX(Firms!$I$5:$I$1004,$O483)="","—",INDEX(Firms!$I$5:$I$1004,$O483)))</f>
        <v/>
      </c>
      <c r="J483" s="50">
        <f>IF($O483="","",IF(INDEX(Firms!$J$5:$J$1004,$O483)="","—",INDEX(Firms!$J$5:$J$1004,$O483)))</f>
        <v/>
      </c>
      <c r="K483" s="50">
        <f>IF($O483="","",IF(INDEX(Firms!$K$5:$K$1004,$O483)="","—",INDEX(Firms!$K$5:$K$1004,$O483)))</f>
        <v/>
      </c>
      <c r="L483" s="50">
        <f>IF($O483="","",IF(INDEX(Firms!$L$5:$L$1004,$O483)="","—",INDEX(Firms!$L$5:$L$1004,$O483)))</f>
        <v/>
      </c>
      <c r="M483" s="50">
        <f>IF($O483="","",IF(INDEX(Firms!$M$5:$M$1004,$O483)="","—",INDEX(Firms!$M$5:$M$1004,$O483)))</f>
        <v/>
      </c>
      <c r="O483">
        <f>IFERROR(MATCH(SMALL(Firms!$Y$5:$Y$1004,475),Firms!$W$5:$W$1004,0),"")</f>
        <v/>
      </c>
    </row>
    <row r="484">
      <c r="B484" s="78">
        <f>IF($O484="","",INDEX(Firms!$A$5:$A$1004,$O484))</f>
        <v/>
      </c>
      <c r="C484" s="79">
        <f>IF($O484="","",INDEX(Firms!$N$5:$N$1004,$O484)&amp;"")</f>
        <v/>
      </c>
      <c r="D484" s="79">
        <f>IF($O484="","",INDEX(Firms!$P$5:$P$1004,$O484)&amp;"")</f>
        <v/>
      </c>
      <c r="E484" s="79">
        <f>IF($O484="","",INDEX(Firms!$O$5:$O$1004,$O484)&amp;"")</f>
        <v/>
      </c>
      <c r="F484" s="50">
        <f>IF($O484="","",IF(INDEX(Firms!$F$5:$F$1004,$O484)="","—",INDEX(Firms!$F$5:$F$1004,$O484)))</f>
        <v/>
      </c>
      <c r="G484" s="50">
        <f>IF($O484="","",IF(INDEX(Firms!$G$5:$G$1004,$O484)="","—",INDEX(Firms!$G$5:$G$1004,$O484)))</f>
        <v/>
      </c>
      <c r="H484" s="50">
        <f>IF($O484="","",IF(INDEX(Firms!$H$5:$H$1004,$O484)="","—",INDEX(Firms!$H$5:$H$1004,$O484)))</f>
        <v/>
      </c>
      <c r="I484" s="50">
        <f>IF($O484="","",IF(INDEX(Firms!$I$5:$I$1004,$O484)="","—",INDEX(Firms!$I$5:$I$1004,$O484)))</f>
        <v/>
      </c>
      <c r="J484" s="50">
        <f>IF($O484="","",IF(INDEX(Firms!$J$5:$J$1004,$O484)="","—",INDEX(Firms!$J$5:$J$1004,$O484)))</f>
        <v/>
      </c>
      <c r="K484" s="50">
        <f>IF($O484="","",IF(INDEX(Firms!$K$5:$K$1004,$O484)="","—",INDEX(Firms!$K$5:$K$1004,$O484)))</f>
        <v/>
      </c>
      <c r="L484" s="50">
        <f>IF($O484="","",IF(INDEX(Firms!$L$5:$L$1004,$O484)="","—",INDEX(Firms!$L$5:$L$1004,$O484)))</f>
        <v/>
      </c>
      <c r="M484" s="50">
        <f>IF($O484="","",IF(INDEX(Firms!$M$5:$M$1004,$O484)="","—",INDEX(Firms!$M$5:$M$1004,$O484)))</f>
        <v/>
      </c>
      <c r="O484">
        <f>IFERROR(MATCH(SMALL(Firms!$Y$5:$Y$1004,476),Firms!$W$5:$W$1004,0),"")</f>
        <v/>
      </c>
    </row>
    <row r="485">
      <c r="B485" s="78">
        <f>IF($O485="","",INDEX(Firms!$A$5:$A$1004,$O485))</f>
        <v/>
      </c>
      <c r="C485" s="79">
        <f>IF($O485="","",INDEX(Firms!$N$5:$N$1004,$O485)&amp;"")</f>
        <v/>
      </c>
      <c r="D485" s="79">
        <f>IF($O485="","",INDEX(Firms!$P$5:$P$1004,$O485)&amp;"")</f>
        <v/>
      </c>
      <c r="E485" s="79">
        <f>IF($O485="","",INDEX(Firms!$O$5:$O$1004,$O485)&amp;"")</f>
        <v/>
      </c>
      <c r="F485" s="50">
        <f>IF($O485="","",IF(INDEX(Firms!$F$5:$F$1004,$O485)="","—",INDEX(Firms!$F$5:$F$1004,$O485)))</f>
        <v/>
      </c>
      <c r="G485" s="50">
        <f>IF($O485="","",IF(INDEX(Firms!$G$5:$G$1004,$O485)="","—",INDEX(Firms!$G$5:$G$1004,$O485)))</f>
        <v/>
      </c>
      <c r="H485" s="50">
        <f>IF($O485="","",IF(INDEX(Firms!$H$5:$H$1004,$O485)="","—",INDEX(Firms!$H$5:$H$1004,$O485)))</f>
        <v/>
      </c>
      <c r="I485" s="50">
        <f>IF($O485="","",IF(INDEX(Firms!$I$5:$I$1004,$O485)="","—",INDEX(Firms!$I$5:$I$1004,$O485)))</f>
        <v/>
      </c>
      <c r="J485" s="50">
        <f>IF($O485="","",IF(INDEX(Firms!$J$5:$J$1004,$O485)="","—",INDEX(Firms!$J$5:$J$1004,$O485)))</f>
        <v/>
      </c>
      <c r="K485" s="50">
        <f>IF($O485="","",IF(INDEX(Firms!$K$5:$K$1004,$O485)="","—",INDEX(Firms!$K$5:$K$1004,$O485)))</f>
        <v/>
      </c>
      <c r="L485" s="50">
        <f>IF($O485="","",IF(INDEX(Firms!$L$5:$L$1004,$O485)="","—",INDEX(Firms!$L$5:$L$1004,$O485)))</f>
        <v/>
      </c>
      <c r="M485" s="50">
        <f>IF($O485="","",IF(INDEX(Firms!$M$5:$M$1004,$O485)="","—",INDEX(Firms!$M$5:$M$1004,$O485)))</f>
        <v/>
      </c>
      <c r="O485">
        <f>IFERROR(MATCH(SMALL(Firms!$Y$5:$Y$1004,477),Firms!$W$5:$W$1004,0),"")</f>
        <v/>
      </c>
    </row>
    <row r="486">
      <c r="B486" s="78">
        <f>IF($O486="","",INDEX(Firms!$A$5:$A$1004,$O486))</f>
        <v/>
      </c>
      <c r="C486" s="79">
        <f>IF($O486="","",INDEX(Firms!$N$5:$N$1004,$O486)&amp;"")</f>
        <v/>
      </c>
      <c r="D486" s="79">
        <f>IF($O486="","",INDEX(Firms!$P$5:$P$1004,$O486)&amp;"")</f>
        <v/>
      </c>
      <c r="E486" s="79">
        <f>IF($O486="","",INDEX(Firms!$O$5:$O$1004,$O486)&amp;"")</f>
        <v/>
      </c>
      <c r="F486" s="50">
        <f>IF($O486="","",IF(INDEX(Firms!$F$5:$F$1004,$O486)="","—",INDEX(Firms!$F$5:$F$1004,$O486)))</f>
        <v/>
      </c>
      <c r="G486" s="50">
        <f>IF($O486="","",IF(INDEX(Firms!$G$5:$G$1004,$O486)="","—",INDEX(Firms!$G$5:$G$1004,$O486)))</f>
        <v/>
      </c>
      <c r="H486" s="50">
        <f>IF($O486="","",IF(INDEX(Firms!$H$5:$H$1004,$O486)="","—",INDEX(Firms!$H$5:$H$1004,$O486)))</f>
        <v/>
      </c>
      <c r="I486" s="50">
        <f>IF($O486="","",IF(INDEX(Firms!$I$5:$I$1004,$O486)="","—",INDEX(Firms!$I$5:$I$1004,$O486)))</f>
        <v/>
      </c>
      <c r="J486" s="50">
        <f>IF($O486="","",IF(INDEX(Firms!$J$5:$J$1004,$O486)="","—",INDEX(Firms!$J$5:$J$1004,$O486)))</f>
        <v/>
      </c>
      <c r="K486" s="50">
        <f>IF($O486="","",IF(INDEX(Firms!$K$5:$K$1004,$O486)="","—",INDEX(Firms!$K$5:$K$1004,$O486)))</f>
        <v/>
      </c>
      <c r="L486" s="50">
        <f>IF($O486="","",IF(INDEX(Firms!$L$5:$L$1004,$O486)="","—",INDEX(Firms!$L$5:$L$1004,$O486)))</f>
        <v/>
      </c>
      <c r="M486" s="50">
        <f>IF($O486="","",IF(INDEX(Firms!$M$5:$M$1004,$O486)="","—",INDEX(Firms!$M$5:$M$1004,$O486)))</f>
        <v/>
      </c>
      <c r="O486">
        <f>IFERROR(MATCH(SMALL(Firms!$Y$5:$Y$1004,478),Firms!$W$5:$W$1004,0),"")</f>
        <v/>
      </c>
    </row>
    <row r="487">
      <c r="B487" s="78">
        <f>IF($O487="","",INDEX(Firms!$A$5:$A$1004,$O487))</f>
        <v/>
      </c>
      <c r="C487" s="79">
        <f>IF($O487="","",INDEX(Firms!$N$5:$N$1004,$O487)&amp;"")</f>
        <v/>
      </c>
      <c r="D487" s="79">
        <f>IF($O487="","",INDEX(Firms!$P$5:$P$1004,$O487)&amp;"")</f>
        <v/>
      </c>
      <c r="E487" s="79">
        <f>IF($O487="","",INDEX(Firms!$O$5:$O$1004,$O487)&amp;"")</f>
        <v/>
      </c>
      <c r="F487" s="50">
        <f>IF($O487="","",IF(INDEX(Firms!$F$5:$F$1004,$O487)="","—",INDEX(Firms!$F$5:$F$1004,$O487)))</f>
        <v/>
      </c>
      <c r="G487" s="50">
        <f>IF($O487="","",IF(INDEX(Firms!$G$5:$G$1004,$O487)="","—",INDEX(Firms!$G$5:$G$1004,$O487)))</f>
        <v/>
      </c>
      <c r="H487" s="50">
        <f>IF($O487="","",IF(INDEX(Firms!$H$5:$H$1004,$O487)="","—",INDEX(Firms!$H$5:$H$1004,$O487)))</f>
        <v/>
      </c>
      <c r="I487" s="50">
        <f>IF($O487="","",IF(INDEX(Firms!$I$5:$I$1004,$O487)="","—",INDEX(Firms!$I$5:$I$1004,$O487)))</f>
        <v/>
      </c>
      <c r="J487" s="50">
        <f>IF($O487="","",IF(INDEX(Firms!$J$5:$J$1004,$O487)="","—",INDEX(Firms!$J$5:$J$1004,$O487)))</f>
        <v/>
      </c>
      <c r="K487" s="50">
        <f>IF($O487="","",IF(INDEX(Firms!$K$5:$K$1004,$O487)="","—",INDEX(Firms!$K$5:$K$1004,$O487)))</f>
        <v/>
      </c>
      <c r="L487" s="50">
        <f>IF($O487="","",IF(INDEX(Firms!$L$5:$L$1004,$O487)="","—",INDEX(Firms!$L$5:$L$1004,$O487)))</f>
        <v/>
      </c>
      <c r="M487" s="50">
        <f>IF($O487="","",IF(INDEX(Firms!$M$5:$M$1004,$O487)="","—",INDEX(Firms!$M$5:$M$1004,$O487)))</f>
        <v/>
      </c>
      <c r="O487">
        <f>IFERROR(MATCH(SMALL(Firms!$Y$5:$Y$1004,479),Firms!$W$5:$W$1004,0),"")</f>
        <v/>
      </c>
    </row>
    <row r="488">
      <c r="B488" s="78">
        <f>IF($O488="","",INDEX(Firms!$A$5:$A$1004,$O488))</f>
        <v/>
      </c>
      <c r="C488" s="79">
        <f>IF($O488="","",INDEX(Firms!$N$5:$N$1004,$O488)&amp;"")</f>
        <v/>
      </c>
      <c r="D488" s="79">
        <f>IF($O488="","",INDEX(Firms!$P$5:$P$1004,$O488)&amp;"")</f>
        <v/>
      </c>
      <c r="E488" s="79">
        <f>IF($O488="","",INDEX(Firms!$O$5:$O$1004,$O488)&amp;"")</f>
        <v/>
      </c>
      <c r="F488" s="50">
        <f>IF($O488="","",IF(INDEX(Firms!$F$5:$F$1004,$O488)="","—",INDEX(Firms!$F$5:$F$1004,$O488)))</f>
        <v/>
      </c>
      <c r="G488" s="50">
        <f>IF($O488="","",IF(INDEX(Firms!$G$5:$G$1004,$O488)="","—",INDEX(Firms!$G$5:$G$1004,$O488)))</f>
        <v/>
      </c>
      <c r="H488" s="50">
        <f>IF($O488="","",IF(INDEX(Firms!$H$5:$H$1004,$O488)="","—",INDEX(Firms!$H$5:$H$1004,$O488)))</f>
        <v/>
      </c>
      <c r="I488" s="50">
        <f>IF($O488="","",IF(INDEX(Firms!$I$5:$I$1004,$O488)="","—",INDEX(Firms!$I$5:$I$1004,$O488)))</f>
        <v/>
      </c>
      <c r="J488" s="50">
        <f>IF($O488="","",IF(INDEX(Firms!$J$5:$J$1004,$O488)="","—",INDEX(Firms!$J$5:$J$1004,$O488)))</f>
        <v/>
      </c>
      <c r="K488" s="50">
        <f>IF($O488="","",IF(INDEX(Firms!$K$5:$K$1004,$O488)="","—",INDEX(Firms!$K$5:$K$1004,$O488)))</f>
        <v/>
      </c>
      <c r="L488" s="50">
        <f>IF($O488="","",IF(INDEX(Firms!$L$5:$L$1004,$O488)="","—",INDEX(Firms!$L$5:$L$1004,$O488)))</f>
        <v/>
      </c>
      <c r="M488" s="50">
        <f>IF($O488="","",IF(INDEX(Firms!$M$5:$M$1004,$O488)="","—",INDEX(Firms!$M$5:$M$1004,$O488)))</f>
        <v/>
      </c>
      <c r="O488">
        <f>IFERROR(MATCH(SMALL(Firms!$Y$5:$Y$1004,480),Firms!$W$5:$W$1004,0),"")</f>
        <v/>
      </c>
    </row>
    <row r="489">
      <c r="B489" s="78">
        <f>IF($O489="","",INDEX(Firms!$A$5:$A$1004,$O489))</f>
        <v/>
      </c>
      <c r="C489" s="79">
        <f>IF($O489="","",INDEX(Firms!$N$5:$N$1004,$O489)&amp;"")</f>
        <v/>
      </c>
      <c r="D489" s="79">
        <f>IF($O489="","",INDEX(Firms!$P$5:$P$1004,$O489)&amp;"")</f>
        <v/>
      </c>
      <c r="E489" s="79">
        <f>IF($O489="","",INDEX(Firms!$O$5:$O$1004,$O489)&amp;"")</f>
        <v/>
      </c>
      <c r="F489" s="50">
        <f>IF($O489="","",IF(INDEX(Firms!$F$5:$F$1004,$O489)="","—",INDEX(Firms!$F$5:$F$1004,$O489)))</f>
        <v/>
      </c>
      <c r="G489" s="50">
        <f>IF($O489="","",IF(INDEX(Firms!$G$5:$G$1004,$O489)="","—",INDEX(Firms!$G$5:$G$1004,$O489)))</f>
        <v/>
      </c>
      <c r="H489" s="50">
        <f>IF($O489="","",IF(INDEX(Firms!$H$5:$H$1004,$O489)="","—",INDEX(Firms!$H$5:$H$1004,$O489)))</f>
        <v/>
      </c>
      <c r="I489" s="50">
        <f>IF($O489="","",IF(INDEX(Firms!$I$5:$I$1004,$O489)="","—",INDEX(Firms!$I$5:$I$1004,$O489)))</f>
        <v/>
      </c>
      <c r="J489" s="50">
        <f>IF($O489="","",IF(INDEX(Firms!$J$5:$J$1004,$O489)="","—",INDEX(Firms!$J$5:$J$1004,$O489)))</f>
        <v/>
      </c>
      <c r="K489" s="50">
        <f>IF($O489="","",IF(INDEX(Firms!$K$5:$K$1004,$O489)="","—",INDEX(Firms!$K$5:$K$1004,$O489)))</f>
        <v/>
      </c>
      <c r="L489" s="50">
        <f>IF($O489="","",IF(INDEX(Firms!$L$5:$L$1004,$O489)="","—",INDEX(Firms!$L$5:$L$1004,$O489)))</f>
        <v/>
      </c>
      <c r="M489" s="50">
        <f>IF($O489="","",IF(INDEX(Firms!$M$5:$M$1004,$O489)="","—",INDEX(Firms!$M$5:$M$1004,$O489)))</f>
        <v/>
      </c>
      <c r="O489">
        <f>IFERROR(MATCH(SMALL(Firms!$Y$5:$Y$1004,481),Firms!$W$5:$W$1004,0),"")</f>
        <v/>
      </c>
    </row>
    <row r="490">
      <c r="B490" s="78">
        <f>IF($O490="","",INDEX(Firms!$A$5:$A$1004,$O490))</f>
        <v/>
      </c>
      <c r="C490" s="79">
        <f>IF($O490="","",INDEX(Firms!$N$5:$N$1004,$O490)&amp;"")</f>
        <v/>
      </c>
      <c r="D490" s="79">
        <f>IF($O490="","",INDEX(Firms!$P$5:$P$1004,$O490)&amp;"")</f>
        <v/>
      </c>
      <c r="E490" s="79">
        <f>IF($O490="","",INDEX(Firms!$O$5:$O$1004,$O490)&amp;"")</f>
        <v/>
      </c>
      <c r="F490" s="50">
        <f>IF($O490="","",IF(INDEX(Firms!$F$5:$F$1004,$O490)="","—",INDEX(Firms!$F$5:$F$1004,$O490)))</f>
        <v/>
      </c>
      <c r="G490" s="50">
        <f>IF($O490="","",IF(INDEX(Firms!$G$5:$G$1004,$O490)="","—",INDEX(Firms!$G$5:$G$1004,$O490)))</f>
        <v/>
      </c>
      <c r="H490" s="50">
        <f>IF($O490="","",IF(INDEX(Firms!$H$5:$H$1004,$O490)="","—",INDEX(Firms!$H$5:$H$1004,$O490)))</f>
        <v/>
      </c>
      <c r="I490" s="50">
        <f>IF($O490="","",IF(INDEX(Firms!$I$5:$I$1004,$O490)="","—",INDEX(Firms!$I$5:$I$1004,$O490)))</f>
        <v/>
      </c>
      <c r="J490" s="50">
        <f>IF($O490="","",IF(INDEX(Firms!$J$5:$J$1004,$O490)="","—",INDEX(Firms!$J$5:$J$1004,$O490)))</f>
        <v/>
      </c>
      <c r="K490" s="50">
        <f>IF($O490="","",IF(INDEX(Firms!$K$5:$K$1004,$O490)="","—",INDEX(Firms!$K$5:$K$1004,$O490)))</f>
        <v/>
      </c>
      <c r="L490" s="50">
        <f>IF($O490="","",IF(INDEX(Firms!$L$5:$L$1004,$O490)="","—",INDEX(Firms!$L$5:$L$1004,$O490)))</f>
        <v/>
      </c>
      <c r="M490" s="50">
        <f>IF($O490="","",IF(INDEX(Firms!$M$5:$M$1004,$O490)="","—",INDEX(Firms!$M$5:$M$1004,$O490)))</f>
        <v/>
      </c>
      <c r="O490">
        <f>IFERROR(MATCH(SMALL(Firms!$Y$5:$Y$1004,482),Firms!$W$5:$W$1004,0),"")</f>
        <v/>
      </c>
    </row>
    <row r="491">
      <c r="B491" s="78">
        <f>IF($O491="","",INDEX(Firms!$A$5:$A$1004,$O491))</f>
        <v/>
      </c>
      <c r="C491" s="79">
        <f>IF($O491="","",INDEX(Firms!$N$5:$N$1004,$O491)&amp;"")</f>
        <v/>
      </c>
      <c r="D491" s="79">
        <f>IF($O491="","",INDEX(Firms!$P$5:$P$1004,$O491)&amp;"")</f>
        <v/>
      </c>
      <c r="E491" s="79">
        <f>IF($O491="","",INDEX(Firms!$O$5:$O$1004,$O491)&amp;"")</f>
        <v/>
      </c>
      <c r="F491" s="50">
        <f>IF($O491="","",IF(INDEX(Firms!$F$5:$F$1004,$O491)="","—",INDEX(Firms!$F$5:$F$1004,$O491)))</f>
        <v/>
      </c>
      <c r="G491" s="50">
        <f>IF($O491="","",IF(INDEX(Firms!$G$5:$G$1004,$O491)="","—",INDEX(Firms!$G$5:$G$1004,$O491)))</f>
        <v/>
      </c>
      <c r="H491" s="50">
        <f>IF($O491="","",IF(INDEX(Firms!$H$5:$H$1004,$O491)="","—",INDEX(Firms!$H$5:$H$1004,$O491)))</f>
        <v/>
      </c>
      <c r="I491" s="50">
        <f>IF($O491="","",IF(INDEX(Firms!$I$5:$I$1004,$O491)="","—",INDEX(Firms!$I$5:$I$1004,$O491)))</f>
        <v/>
      </c>
      <c r="J491" s="50">
        <f>IF($O491="","",IF(INDEX(Firms!$J$5:$J$1004,$O491)="","—",INDEX(Firms!$J$5:$J$1004,$O491)))</f>
        <v/>
      </c>
      <c r="K491" s="50">
        <f>IF($O491="","",IF(INDEX(Firms!$K$5:$K$1004,$O491)="","—",INDEX(Firms!$K$5:$K$1004,$O491)))</f>
        <v/>
      </c>
      <c r="L491" s="50">
        <f>IF($O491="","",IF(INDEX(Firms!$L$5:$L$1004,$O491)="","—",INDEX(Firms!$L$5:$L$1004,$O491)))</f>
        <v/>
      </c>
      <c r="M491" s="50">
        <f>IF($O491="","",IF(INDEX(Firms!$M$5:$M$1004,$O491)="","—",INDEX(Firms!$M$5:$M$1004,$O491)))</f>
        <v/>
      </c>
      <c r="O491">
        <f>IFERROR(MATCH(SMALL(Firms!$Y$5:$Y$1004,483),Firms!$W$5:$W$1004,0),"")</f>
        <v/>
      </c>
    </row>
    <row r="492">
      <c r="B492" s="78">
        <f>IF($O492="","",INDEX(Firms!$A$5:$A$1004,$O492))</f>
        <v/>
      </c>
      <c r="C492" s="79">
        <f>IF($O492="","",INDEX(Firms!$N$5:$N$1004,$O492)&amp;"")</f>
        <v/>
      </c>
      <c r="D492" s="79">
        <f>IF($O492="","",INDEX(Firms!$P$5:$P$1004,$O492)&amp;"")</f>
        <v/>
      </c>
      <c r="E492" s="79">
        <f>IF($O492="","",INDEX(Firms!$O$5:$O$1004,$O492)&amp;"")</f>
        <v/>
      </c>
      <c r="F492" s="50">
        <f>IF($O492="","",IF(INDEX(Firms!$F$5:$F$1004,$O492)="","—",INDEX(Firms!$F$5:$F$1004,$O492)))</f>
        <v/>
      </c>
      <c r="G492" s="50">
        <f>IF($O492="","",IF(INDEX(Firms!$G$5:$G$1004,$O492)="","—",INDEX(Firms!$G$5:$G$1004,$O492)))</f>
        <v/>
      </c>
      <c r="H492" s="50">
        <f>IF($O492="","",IF(INDEX(Firms!$H$5:$H$1004,$O492)="","—",INDEX(Firms!$H$5:$H$1004,$O492)))</f>
        <v/>
      </c>
      <c r="I492" s="50">
        <f>IF($O492="","",IF(INDEX(Firms!$I$5:$I$1004,$O492)="","—",INDEX(Firms!$I$5:$I$1004,$O492)))</f>
        <v/>
      </c>
      <c r="J492" s="50">
        <f>IF($O492="","",IF(INDEX(Firms!$J$5:$J$1004,$O492)="","—",INDEX(Firms!$J$5:$J$1004,$O492)))</f>
        <v/>
      </c>
      <c r="K492" s="50">
        <f>IF($O492="","",IF(INDEX(Firms!$K$5:$K$1004,$O492)="","—",INDEX(Firms!$K$5:$K$1004,$O492)))</f>
        <v/>
      </c>
      <c r="L492" s="50">
        <f>IF($O492="","",IF(INDEX(Firms!$L$5:$L$1004,$O492)="","—",INDEX(Firms!$L$5:$L$1004,$O492)))</f>
        <v/>
      </c>
      <c r="M492" s="50">
        <f>IF($O492="","",IF(INDEX(Firms!$M$5:$M$1004,$O492)="","—",INDEX(Firms!$M$5:$M$1004,$O492)))</f>
        <v/>
      </c>
      <c r="O492">
        <f>IFERROR(MATCH(SMALL(Firms!$Y$5:$Y$1004,484),Firms!$W$5:$W$1004,0),"")</f>
        <v/>
      </c>
    </row>
    <row r="493">
      <c r="B493" s="78">
        <f>IF($O493="","",INDEX(Firms!$A$5:$A$1004,$O493))</f>
        <v/>
      </c>
      <c r="C493" s="79">
        <f>IF($O493="","",INDEX(Firms!$N$5:$N$1004,$O493)&amp;"")</f>
        <v/>
      </c>
      <c r="D493" s="79">
        <f>IF($O493="","",INDEX(Firms!$P$5:$P$1004,$O493)&amp;"")</f>
        <v/>
      </c>
      <c r="E493" s="79">
        <f>IF($O493="","",INDEX(Firms!$O$5:$O$1004,$O493)&amp;"")</f>
        <v/>
      </c>
      <c r="F493" s="50">
        <f>IF($O493="","",IF(INDEX(Firms!$F$5:$F$1004,$O493)="","—",INDEX(Firms!$F$5:$F$1004,$O493)))</f>
        <v/>
      </c>
      <c r="G493" s="50">
        <f>IF($O493="","",IF(INDEX(Firms!$G$5:$G$1004,$O493)="","—",INDEX(Firms!$G$5:$G$1004,$O493)))</f>
        <v/>
      </c>
      <c r="H493" s="50">
        <f>IF($O493="","",IF(INDEX(Firms!$H$5:$H$1004,$O493)="","—",INDEX(Firms!$H$5:$H$1004,$O493)))</f>
        <v/>
      </c>
      <c r="I493" s="50">
        <f>IF($O493="","",IF(INDEX(Firms!$I$5:$I$1004,$O493)="","—",INDEX(Firms!$I$5:$I$1004,$O493)))</f>
        <v/>
      </c>
      <c r="J493" s="50">
        <f>IF($O493="","",IF(INDEX(Firms!$J$5:$J$1004,$O493)="","—",INDEX(Firms!$J$5:$J$1004,$O493)))</f>
        <v/>
      </c>
      <c r="K493" s="50">
        <f>IF($O493="","",IF(INDEX(Firms!$K$5:$K$1004,$O493)="","—",INDEX(Firms!$K$5:$K$1004,$O493)))</f>
        <v/>
      </c>
      <c r="L493" s="50">
        <f>IF($O493="","",IF(INDEX(Firms!$L$5:$L$1004,$O493)="","—",INDEX(Firms!$L$5:$L$1004,$O493)))</f>
        <v/>
      </c>
      <c r="M493" s="50">
        <f>IF($O493="","",IF(INDEX(Firms!$M$5:$M$1004,$O493)="","—",INDEX(Firms!$M$5:$M$1004,$O493)))</f>
        <v/>
      </c>
      <c r="O493">
        <f>IFERROR(MATCH(SMALL(Firms!$Y$5:$Y$1004,485),Firms!$W$5:$W$1004,0),"")</f>
        <v/>
      </c>
    </row>
    <row r="494">
      <c r="B494" s="78">
        <f>IF($O494="","",INDEX(Firms!$A$5:$A$1004,$O494))</f>
        <v/>
      </c>
      <c r="C494" s="79">
        <f>IF($O494="","",INDEX(Firms!$N$5:$N$1004,$O494)&amp;"")</f>
        <v/>
      </c>
      <c r="D494" s="79">
        <f>IF($O494="","",INDEX(Firms!$P$5:$P$1004,$O494)&amp;"")</f>
        <v/>
      </c>
      <c r="E494" s="79">
        <f>IF($O494="","",INDEX(Firms!$O$5:$O$1004,$O494)&amp;"")</f>
        <v/>
      </c>
      <c r="F494" s="50">
        <f>IF($O494="","",IF(INDEX(Firms!$F$5:$F$1004,$O494)="","—",INDEX(Firms!$F$5:$F$1004,$O494)))</f>
        <v/>
      </c>
      <c r="G494" s="50">
        <f>IF($O494="","",IF(INDEX(Firms!$G$5:$G$1004,$O494)="","—",INDEX(Firms!$G$5:$G$1004,$O494)))</f>
        <v/>
      </c>
      <c r="H494" s="50">
        <f>IF($O494="","",IF(INDEX(Firms!$H$5:$H$1004,$O494)="","—",INDEX(Firms!$H$5:$H$1004,$O494)))</f>
        <v/>
      </c>
      <c r="I494" s="50">
        <f>IF($O494="","",IF(INDEX(Firms!$I$5:$I$1004,$O494)="","—",INDEX(Firms!$I$5:$I$1004,$O494)))</f>
        <v/>
      </c>
      <c r="J494" s="50">
        <f>IF($O494="","",IF(INDEX(Firms!$J$5:$J$1004,$O494)="","—",INDEX(Firms!$J$5:$J$1004,$O494)))</f>
        <v/>
      </c>
      <c r="K494" s="50">
        <f>IF($O494="","",IF(INDEX(Firms!$K$5:$K$1004,$O494)="","—",INDEX(Firms!$K$5:$K$1004,$O494)))</f>
        <v/>
      </c>
      <c r="L494" s="50">
        <f>IF($O494="","",IF(INDEX(Firms!$L$5:$L$1004,$O494)="","—",INDEX(Firms!$L$5:$L$1004,$O494)))</f>
        <v/>
      </c>
      <c r="M494" s="50">
        <f>IF($O494="","",IF(INDEX(Firms!$M$5:$M$1004,$O494)="","—",INDEX(Firms!$M$5:$M$1004,$O494)))</f>
        <v/>
      </c>
      <c r="O494">
        <f>IFERROR(MATCH(SMALL(Firms!$Y$5:$Y$1004,486),Firms!$W$5:$W$1004,0),"")</f>
        <v/>
      </c>
    </row>
    <row r="495">
      <c r="B495" s="78">
        <f>IF($O495="","",INDEX(Firms!$A$5:$A$1004,$O495))</f>
        <v/>
      </c>
      <c r="C495" s="79">
        <f>IF($O495="","",INDEX(Firms!$N$5:$N$1004,$O495)&amp;"")</f>
        <v/>
      </c>
      <c r="D495" s="79">
        <f>IF($O495="","",INDEX(Firms!$P$5:$P$1004,$O495)&amp;"")</f>
        <v/>
      </c>
      <c r="E495" s="79">
        <f>IF($O495="","",INDEX(Firms!$O$5:$O$1004,$O495)&amp;"")</f>
        <v/>
      </c>
      <c r="F495" s="50">
        <f>IF($O495="","",IF(INDEX(Firms!$F$5:$F$1004,$O495)="","—",INDEX(Firms!$F$5:$F$1004,$O495)))</f>
        <v/>
      </c>
      <c r="G495" s="50">
        <f>IF($O495="","",IF(INDEX(Firms!$G$5:$G$1004,$O495)="","—",INDEX(Firms!$G$5:$G$1004,$O495)))</f>
        <v/>
      </c>
      <c r="H495" s="50">
        <f>IF($O495="","",IF(INDEX(Firms!$H$5:$H$1004,$O495)="","—",INDEX(Firms!$H$5:$H$1004,$O495)))</f>
        <v/>
      </c>
      <c r="I495" s="50">
        <f>IF($O495="","",IF(INDEX(Firms!$I$5:$I$1004,$O495)="","—",INDEX(Firms!$I$5:$I$1004,$O495)))</f>
        <v/>
      </c>
      <c r="J495" s="50">
        <f>IF($O495="","",IF(INDEX(Firms!$J$5:$J$1004,$O495)="","—",INDEX(Firms!$J$5:$J$1004,$O495)))</f>
        <v/>
      </c>
      <c r="K495" s="50">
        <f>IF($O495="","",IF(INDEX(Firms!$K$5:$K$1004,$O495)="","—",INDEX(Firms!$K$5:$K$1004,$O495)))</f>
        <v/>
      </c>
      <c r="L495" s="50">
        <f>IF($O495="","",IF(INDEX(Firms!$L$5:$L$1004,$O495)="","—",INDEX(Firms!$L$5:$L$1004,$O495)))</f>
        <v/>
      </c>
      <c r="M495" s="50">
        <f>IF($O495="","",IF(INDEX(Firms!$M$5:$M$1004,$O495)="","—",INDEX(Firms!$M$5:$M$1004,$O495)))</f>
        <v/>
      </c>
      <c r="O495">
        <f>IFERROR(MATCH(SMALL(Firms!$Y$5:$Y$1004,487),Firms!$W$5:$W$1004,0),"")</f>
        <v/>
      </c>
    </row>
    <row r="496">
      <c r="B496" s="78">
        <f>IF($O496="","",INDEX(Firms!$A$5:$A$1004,$O496))</f>
        <v/>
      </c>
      <c r="C496" s="79">
        <f>IF($O496="","",INDEX(Firms!$N$5:$N$1004,$O496)&amp;"")</f>
        <v/>
      </c>
      <c r="D496" s="79">
        <f>IF($O496="","",INDEX(Firms!$P$5:$P$1004,$O496)&amp;"")</f>
        <v/>
      </c>
      <c r="E496" s="79">
        <f>IF($O496="","",INDEX(Firms!$O$5:$O$1004,$O496)&amp;"")</f>
        <v/>
      </c>
      <c r="F496" s="50">
        <f>IF($O496="","",IF(INDEX(Firms!$F$5:$F$1004,$O496)="","—",INDEX(Firms!$F$5:$F$1004,$O496)))</f>
        <v/>
      </c>
      <c r="G496" s="50">
        <f>IF($O496="","",IF(INDEX(Firms!$G$5:$G$1004,$O496)="","—",INDEX(Firms!$G$5:$G$1004,$O496)))</f>
        <v/>
      </c>
      <c r="H496" s="50">
        <f>IF($O496="","",IF(INDEX(Firms!$H$5:$H$1004,$O496)="","—",INDEX(Firms!$H$5:$H$1004,$O496)))</f>
        <v/>
      </c>
      <c r="I496" s="50">
        <f>IF($O496="","",IF(INDEX(Firms!$I$5:$I$1004,$O496)="","—",INDEX(Firms!$I$5:$I$1004,$O496)))</f>
        <v/>
      </c>
      <c r="J496" s="50">
        <f>IF($O496="","",IF(INDEX(Firms!$J$5:$J$1004,$O496)="","—",INDEX(Firms!$J$5:$J$1004,$O496)))</f>
        <v/>
      </c>
      <c r="K496" s="50">
        <f>IF($O496="","",IF(INDEX(Firms!$K$5:$K$1004,$O496)="","—",INDEX(Firms!$K$5:$K$1004,$O496)))</f>
        <v/>
      </c>
      <c r="L496" s="50">
        <f>IF($O496="","",IF(INDEX(Firms!$L$5:$L$1004,$O496)="","—",INDEX(Firms!$L$5:$L$1004,$O496)))</f>
        <v/>
      </c>
      <c r="M496" s="50">
        <f>IF($O496="","",IF(INDEX(Firms!$M$5:$M$1004,$O496)="","—",INDEX(Firms!$M$5:$M$1004,$O496)))</f>
        <v/>
      </c>
      <c r="O496">
        <f>IFERROR(MATCH(SMALL(Firms!$Y$5:$Y$1004,488),Firms!$W$5:$W$1004,0),"")</f>
        <v/>
      </c>
    </row>
    <row r="497">
      <c r="B497" s="78">
        <f>IF($O497="","",INDEX(Firms!$A$5:$A$1004,$O497))</f>
        <v/>
      </c>
      <c r="C497" s="79">
        <f>IF($O497="","",INDEX(Firms!$N$5:$N$1004,$O497)&amp;"")</f>
        <v/>
      </c>
      <c r="D497" s="79">
        <f>IF($O497="","",INDEX(Firms!$P$5:$P$1004,$O497)&amp;"")</f>
        <v/>
      </c>
      <c r="E497" s="79">
        <f>IF($O497="","",INDEX(Firms!$O$5:$O$1004,$O497)&amp;"")</f>
        <v/>
      </c>
      <c r="F497" s="50">
        <f>IF($O497="","",IF(INDEX(Firms!$F$5:$F$1004,$O497)="","—",INDEX(Firms!$F$5:$F$1004,$O497)))</f>
        <v/>
      </c>
      <c r="G497" s="50">
        <f>IF($O497="","",IF(INDEX(Firms!$G$5:$G$1004,$O497)="","—",INDEX(Firms!$G$5:$G$1004,$O497)))</f>
        <v/>
      </c>
      <c r="H497" s="50">
        <f>IF($O497="","",IF(INDEX(Firms!$H$5:$H$1004,$O497)="","—",INDEX(Firms!$H$5:$H$1004,$O497)))</f>
        <v/>
      </c>
      <c r="I497" s="50">
        <f>IF($O497="","",IF(INDEX(Firms!$I$5:$I$1004,$O497)="","—",INDEX(Firms!$I$5:$I$1004,$O497)))</f>
        <v/>
      </c>
      <c r="J497" s="50">
        <f>IF($O497="","",IF(INDEX(Firms!$J$5:$J$1004,$O497)="","—",INDEX(Firms!$J$5:$J$1004,$O497)))</f>
        <v/>
      </c>
      <c r="K497" s="50">
        <f>IF($O497="","",IF(INDEX(Firms!$K$5:$K$1004,$O497)="","—",INDEX(Firms!$K$5:$K$1004,$O497)))</f>
        <v/>
      </c>
      <c r="L497" s="50">
        <f>IF($O497="","",IF(INDEX(Firms!$L$5:$L$1004,$O497)="","—",INDEX(Firms!$L$5:$L$1004,$O497)))</f>
        <v/>
      </c>
      <c r="M497" s="50">
        <f>IF($O497="","",IF(INDEX(Firms!$M$5:$M$1004,$O497)="","—",INDEX(Firms!$M$5:$M$1004,$O497)))</f>
        <v/>
      </c>
      <c r="O497">
        <f>IFERROR(MATCH(SMALL(Firms!$Y$5:$Y$1004,489),Firms!$W$5:$W$1004,0),"")</f>
        <v/>
      </c>
    </row>
    <row r="498">
      <c r="B498" s="78">
        <f>IF($O498="","",INDEX(Firms!$A$5:$A$1004,$O498))</f>
        <v/>
      </c>
      <c r="C498" s="79">
        <f>IF($O498="","",INDEX(Firms!$N$5:$N$1004,$O498)&amp;"")</f>
        <v/>
      </c>
      <c r="D498" s="79">
        <f>IF($O498="","",INDEX(Firms!$P$5:$P$1004,$O498)&amp;"")</f>
        <v/>
      </c>
      <c r="E498" s="79">
        <f>IF($O498="","",INDEX(Firms!$O$5:$O$1004,$O498)&amp;"")</f>
        <v/>
      </c>
      <c r="F498" s="50">
        <f>IF($O498="","",IF(INDEX(Firms!$F$5:$F$1004,$O498)="","—",INDEX(Firms!$F$5:$F$1004,$O498)))</f>
        <v/>
      </c>
      <c r="G498" s="50">
        <f>IF($O498="","",IF(INDEX(Firms!$G$5:$G$1004,$O498)="","—",INDEX(Firms!$G$5:$G$1004,$O498)))</f>
        <v/>
      </c>
      <c r="H498" s="50">
        <f>IF($O498="","",IF(INDEX(Firms!$H$5:$H$1004,$O498)="","—",INDEX(Firms!$H$5:$H$1004,$O498)))</f>
        <v/>
      </c>
      <c r="I498" s="50">
        <f>IF($O498="","",IF(INDEX(Firms!$I$5:$I$1004,$O498)="","—",INDEX(Firms!$I$5:$I$1004,$O498)))</f>
        <v/>
      </c>
      <c r="J498" s="50">
        <f>IF($O498="","",IF(INDEX(Firms!$J$5:$J$1004,$O498)="","—",INDEX(Firms!$J$5:$J$1004,$O498)))</f>
        <v/>
      </c>
      <c r="K498" s="50">
        <f>IF($O498="","",IF(INDEX(Firms!$K$5:$K$1004,$O498)="","—",INDEX(Firms!$K$5:$K$1004,$O498)))</f>
        <v/>
      </c>
      <c r="L498" s="50">
        <f>IF($O498="","",IF(INDEX(Firms!$L$5:$L$1004,$O498)="","—",INDEX(Firms!$L$5:$L$1004,$O498)))</f>
        <v/>
      </c>
      <c r="M498" s="50">
        <f>IF($O498="","",IF(INDEX(Firms!$M$5:$M$1004,$O498)="","—",INDEX(Firms!$M$5:$M$1004,$O498)))</f>
        <v/>
      </c>
      <c r="O498">
        <f>IFERROR(MATCH(SMALL(Firms!$Y$5:$Y$1004,490),Firms!$W$5:$W$1004,0),"")</f>
        <v/>
      </c>
    </row>
    <row r="499">
      <c r="B499" s="78">
        <f>IF($O499="","",INDEX(Firms!$A$5:$A$1004,$O499))</f>
        <v/>
      </c>
      <c r="C499" s="79">
        <f>IF($O499="","",INDEX(Firms!$N$5:$N$1004,$O499)&amp;"")</f>
        <v/>
      </c>
      <c r="D499" s="79">
        <f>IF($O499="","",INDEX(Firms!$P$5:$P$1004,$O499)&amp;"")</f>
        <v/>
      </c>
      <c r="E499" s="79">
        <f>IF($O499="","",INDEX(Firms!$O$5:$O$1004,$O499)&amp;"")</f>
        <v/>
      </c>
      <c r="F499" s="50">
        <f>IF($O499="","",IF(INDEX(Firms!$F$5:$F$1004,$O499)="","—",INDEX(Firms!$F$5:$F$1004,$O499)))</f>
        <v/>
      </c>
      <c r="G499" s="50">
        <f>IF($O499="","",IF(INDEX(Firms!$G$5:$G$1004,$O499)="","—",INDEX(Firms!$G$5:$G$1004,$O499)))</f>
        <v/>
      </c>
      <c r="H499" s="50">
        <f>IF($O499="","",IF(INDEX(Firms!$H$5:$H$1004,$O499)="","—",INDEX(Firms!$H$5:$H$1004,$O499)))</f>
        <v/>
      </c>
      <c r="I499" s="50">
        <f>IF($O499="","",IF(INDEX(Firms!$I$5:$I$1004,$O499)="","—",INDEX(Firms!$I$5:$I$1004,$O499)))</f>
        <v/>
      </c>
      <c r="J499" s="50">
        <f>IF($O499="","",IF(INDEX(Firms!$J$5:$J$1004,$O499)="","—",INDEX(Firms!$J$5:$J$1004,$O499)))</f>
        <v/>
      </c>
      <c r="K499" s="50">
        <f>IF($O499="","",IF(INDEX(Firms!$K$5:$K$1004,$O499)="","—",INDEX(Firms!$K$5:$K$1004,$O499)))</f>
        <v/>
      </c>
      <c r="L499" s="50">
        <f>IF($O499="","",IF(INDEX(Firms!$L$5:$L$1004,$O499)="","—",INDEX(Firms!$L$5:$L$1004,$O499)))</f>
        <v/>
      </c>
      <c r="M499" s="50">
        <f>IF($O499="","",IF(INDEX(Firms!$M$5:$M$1004,$O499)="","—",INDEX(Firms!$M$5:$M$1004,$O499)))</f>
        <v/>
      </c>
      <c r="O499">
        <f>IFERROR(MATCH(SMALL(Firms!$Y$5:$Y$1004,491),Firms!$W$5:$W$1004,0),"")</f>
        <v/>
      </c>
    </row>
    <row r="500">
      <c r="B500" s="78">
        <f>IF($O500="","",INDEX(Firms!$A$5:$A$1004,$O500))</f>
        <v/>
      </c>
      <c r="C500" s="79">
        <f>IF($O500="","",INDEX(Firms!$N$5:$N$1004,$O500)&amp;"")</f>
        <v/>
      </c>
      <c r="D500" s="79">
        <f>IF($O500="","",INDEX(Firms!$P$5:$P$1004,$O500)&amp;"")</f>
        <v/>
      </c>
      <c r="E500" s="79">
        <f>IF($O500="","",INDEX(Firms!$O$5:$O$1004,$O500)&amp;"")</f>
        <v/>
      </c>
      <c r="F500" s="50">
        <f>IF($O500="","",IF(INDEX(Firms!$F$5:$F$1004,$O500)="","—",INDEX(Firms!$F$5:$F$1004,$O500)))</f>
        <v/>
      </c>
      <c r="G500" s="50">
        <f>IF($O500="","",IF(INDEX(Firms!$G$5:$G$1004,$O500)="","—",INDEX(Firms!$G$5:$G$1004,$O500)))</f>
        <v/>
      </c>
      <c r="H500" s="50">
        <f>IF($O500="","",IF(INDEX(Firms!$H$5:$H$1004,$O500)="","—",INDEX(Firms!$H$5:$H$1004,$O500)))</f>
        <v/>
      </c>
      <c r="I500" s="50">
        <f>IF($O500="","",IF(INDEX(Firms!$I$5:$I$1004,$O500)="","—",INDEX(Firms!$I$5:$I$1004,$O500)))</f>
        <v/>
      </c>
      <c r="J500" s="50">
        <f>IF($O500="","",IF(INDEX(Firms!$J$5:$J$1004,$O500)="","—",INDEX(Firms!$J$5:$J$1004,$O500)))</f>
        <v/>
      </c>
      <c r="K500" s="50">
        <f>IF($O500="","",IF(INDEX(Firms!$K$5:$K$1004,$O500)="","—",INDEX(Firms!$K$5:$K$1004,$O500)))</f>
        <v/>
      </c>
      <c r="L500" s="50">
        <f>IF($O500="","",IF(INDEX(Firms!$L$5:$L$1004,$O500)="","—",INDEX(Firms!$L$5:$L$1004,$O500)))</f>
        <v/>
      </c>
      <c r="M500" s="50">
        <f>IF($O500="","",IF(INDEX(Firms!$M$5:$M$1004,$O500)="","—",INDEX(Firms!$M$5:$M$1004,$O500)))</f>
        <v/>
      </c>
      <c r="O500">
        <f>IFERROR(MATCH(SMALL(Firms!$Y$5:$Y$1004,492),Firms!$W$5:$W$1004,0),"")</f>
        <v/>
      </c>
    </row>
    <row r="501">
      <c r="B501" s="78">
        <f>IF($O501="","",INDEX(Firms!$A$5:$A$1004,$O501))</f>
        <v/>
      </c>
      <c r="C501" s="79">
        <f>IF($O501="","",INDEX(Firms!$N$5:$N$1004,$O501)&amp;"")</f>
        <v/>
      </c>
      <c r="D501" s="79">
        <f>IF($O501="","",INDEX(Firms!$P$5:$P$1004,$O501)&amp;"")</f>
        <v/>
      </c>
      <c r="E501" s="79">
        <f>IF($O501="","",INDEX(Firms!$O$5:$O$1004,$O501)&amp;"")</f>
        <v/>
      </c>
      <c r="F501" s="50">
        <f>IF($O501="","",IF(INDEX(Firms!$F$5:$F$1004,$O501)="","—",INDEX(Firms!$F$5:$F$1004,$O501)))</f>
        <v/>
      </c>
      <c r="G501" s="50">
        <f>IF($O501="","",IF(INDEX(Firms!$G$5:$G$1004,$O501)="","—",INDEX(Firms!$G$5:$G$1004,$O501)))</f>
        <v/>
      </c>
      <c r="H501" s="50">
        <f>IF($O501="","",IF(INDEX(Firms!$H$5:$H$1004,$O501)="","—",INDEX(Firms!$H$5:$H$1004,$O501)))</f>
        <v/>
      </c>
      <c r="I501" s="50">
        <f>IF($O501="","",IF(INDEX(Firms!$I$5:$I$1004,$O501)="","—",INDEX(Firms!$I$5:$I$1004,$O501)))</f>
        <v/>
      </c>
      <c r="J501" s="50">
        <f>IF($O501="","",IF(INDEX(Firms!$J$5:$J$1004,$O501)="","—",INDEX(Firms!$J$5:$J$1004,$O501)))</f>
        <v/>
      </c>
      <c r="K501" s="50">
        <f>IF($O501="","",IF(INDEX(Firms!$K$5:$K$1004,$O501)="","—",INDEX(Firms!$K$5:$K$1004,$O501)))</f>
        <v/>
      </c>
      <c r="L501" s="50">
        <f>IF($O501="","",IF(INDEX(Firms!$L$5:$L$1004,$O501)="","—",INDEX(Firms!$L$5:$L$1004,$O501)))</f>
        <v/>
      </c>
      <c r="M501" s="50">
        <f>IF($O501="","",IF(INDEX(Firms!$M$5:$M$1004,$O501)="","—",INDEX(Firms!$M$5:$M$1004,$O501)))</f>
        <v/>
      </c>
      <c r="O501">
        <f>IFERROR(MATCH(SMALL(Firms!$Y$5:$Y$1004,493),Firms!$W$5:$W$1004,0),"")</f>
        <v/>
      </c>
    </row>
    <row r="502">
      <c r="B502" s="78">
        <f>IF($O502="","",INDEX(Firms!$A$5:$A$1004,$O502))</f>
        <v/>
      </c>
      <c r="C502" s="79">
        <f>IF($O502="","",INDEX(Firms!$N$5:$N$1004,$O502)&amp;"")</f>
        <v/>
      </c>
      <c r="D502" s="79">
        <f>IF($O502="","",INDEX(Firms!$P$5:$P$1004,$O502)&amp;"")</f>
        <v/>
      </c>
      <c r="E502" s="79">
        <f>IF($O502="","",INDEX(Firms!$O$5:$O$1004,$O502)&amp;"")</f>
        <v/>
      </c>
      <c r="F502" s="50">
        <f>IF($O502="","",IF(INDEX(Firms!$F$5:$F$1004,$O502)="","—",INDEX(Firms!$F$5:$F$1004,$O502)))</f>
        <v/>
      </c>
      <c r="G502" s="50">
        <f>IF($O502="","",IF(INDEX(Firms!$G$5:$G$1004,$O502)="","—",INDEX(Firms!$G$5:$G$1004,$O502)))</f>
        <v/>
      </c>
      <c r="H502" s="50">
        <f>IF($O502="","",IF(INDEX(Firms!$H$5:$H$1004,$O502)="","—",INDEX(Firms!$H$5:$H$1004,$O502)))</f>
        <v/>
      </c>
      <c r="I502" s="50">
        <f>IF($O502="","",IF(INDEX(Firms!$I$5:$I$1004,$O502)="","—",INDEX(Firms!$I$5:$I$1004,$O502)))</f>
        <v/>
      </c>
      <c r="J502" s="50">
        <f>IF($O502="","",IF(INDEX(Firms!$J$5:$J$1004,$O502)="","—",INDEX(Firms!$J$5:$J$1004,$O502)))</f>
        <v/>
      </c>
      <c r="K502" s="50">
        <f>IF($O502="","",IF(INDEX(Firms!$K$5:$K$1004,$O502)="","—",INDEX(Firms!$K$5:$K$1004,$O502)))</f>
        <v/>
      </c>
      <c r="L502" s="50">
        <f>IF($O502="","",IF(INDEX(Firms!$L$5:$L$1004,$O502)="","—",INDEX(Firms!$L$5:$L$1004,$O502)))</f>
        <v/>
      </c>
      <c r="M502" s="50">
        <f>IF($O502="","",IF(INDEX(Firms!$M$5:$M$1004,$O502)="","—",INDEX(Firms!$M$5:$M$1004,$O502)))</f>
        <v/>
      </c>
      <c r="O502">
        <f>IFERROR(MATCH(SMALL(Firms!$Y$5:$Y$1004,494),Firms!$W$5:$W$1004,0),"")</f>
        <v/>
      </c>
    </row>
    <row r="503">
      <c r="B503" s="78">
        <f>IF($O503="","",INDEX(Firms!$A$5:$A$1004,$O503))</f>
        <v/>
      </c>
      <c r="C503" s="79">
        <f>IF($O503="","",INDEX(Firms!$N$5:$N$1004,$O503)&amp;"")</f>
        <v/>
      </c>
      <c r="D503" s="79">
        <f>IF($O503="","",INDEX(Firms!$P$5:$P$1004,$O503)&amp;"")</f>
        <v/>
      </c>
      <c r="E503" s="79">
        <f>IF($O503="","",INDEX(Firms!$O$5:$O$1004,$O503)&amp;"")</f>
        <v/>
      </c>
      <c r="F503" s="50">
        <f>IF($O503="","",IF(INDEX(Firms!$F$5:$F$1004,$O503)="","—",INDEX(Firms!$F$5:$F$1004,$O503)))</f>
        <v/>
      </c>
      <c r="G503" s="50">
        <f>IF($O503="","",IF(INDEX(Firms!$G$5:$G$1004,$O503)="","—",INDEX(Firms!$G$5:$G$1004,$O503)))</f>
        <v/>
      </c>
      <c r="H503" s="50">
        <f>IF($O503="","",IF(INDEX(Firms!$H$5:$H$1004,$O503)="","—",INDEX(Firms!$H$5:$H$1004,$O503)))</f>
        <v/>
      </c>
      <c r="I503" s="50">
        <f>IF($O503="","",IF(INDEX(Firms!$I$5:$I$1004,$O503)="","—",INDEX(Firms!$I$5:$I$1004,$O503)))</f>
        <v/>
      </c>
      <c r="J503" s="50">
        <f>IF($O503="","",IF(INDEX(Firms!$J$5:$J$1004,$O503)="","—",INDEX(Firms!$J$5:$J$1004,$O503)))</f>
        <v/>
      </c>
      <c r="K503" s="50">
        <f>IF($O503="","",IF(INDEX(Firms!$K$5:$K$1004,$O503)="","—",INDEX(Firms!$K$5:$K$1004,$O503)))</f>
        <v/>
      </c>
      <c r="L503" s="50">
        <f>IF($O503="","",IF(INDEX(Firms!$L$5:$L$1004,$O503)="","—",INDEX(Firms!$L$5:$L$1004,$O503)))</f>
        <v/>
      </c>
      <c r="M503" s="50">
        <f>IF($O503="","",IF(INDEX(Firms!$M$5:$M$1004,$O503)="","—",INDEX(Firms!$M$5:$M$1004,$O503)))</f>
        <v/>
      </c>
      <c r="O503">
        <f>IFERROR(MATCH(SMALL(Firms!$Y$5:$Y$1004,495),Firms!$W$5:$W$1004,0),"")</f>
        <v/>
      </c>
    </row>
    <row r="504">
      <c r="B504" s="78">
        <f>IF($O504="","",INDEX(Firms!$A$5:$A$1004,$O504))</f>
        <v/>
      </c>
      <c r="C504" s="79">
        <f>IF($O504="","",INDEX(Firms!$N$5:$N$1004,$O504)&amp;"")</f>
        <v/>
      </c>
      <c r="D504" s="79">
        <f>IF($O504="","",INDEX(Firms!$P$5:$P$1004,$O504)&amp;"")</f>
        <v/>
      </c>
      <c r="E504" s="79">
        <f>IF($O504="","",INDEX(Firms!$O$5:$O$1004,$O504)&amp;"")</f>
        <v/>
      </c>
      <c r="F504" s="50">
        <f>IF($O504="","",IF(INDEX(Firms!$F$5:$F$1004,$O504)="","—",INDEX(Firms!$F$5:$F$1004,$O504)))</f>
        <v/>
      </c>
      <c r="G504" s="50">
        <f>IF($O504="","",IF(INDEX(Firms!$G$5:$G$1004,$O504)="","—",INDEX(Firms!$G$5:$G$1004,$O504)))</f>
        <v/>
      </c>
      <c r="H504" s="50">
        <f>IF($O504="","",IF(INDEX(Firms!$H$5:$H$1004,$O504)="","—",INDEX(Firms!$H$5:$H$1004,$O504)))</f>
        <v/>
      </c>
      <c r="I504" s="50">
        <f>IF($O504="","",IF(INDEX(Firms!$I$5:$I$1004,$O504)="","—",INDEX(Firms!$I$5:$I$1004,$O504)))</f>
        <v/>
      </c>
      <c r="J504" s="50">
        <f>IF($O504="","",IF(INDEX(Firms!$J$5:$J$1004,$O504)="","—",INDEX(Firms!$J$5:$J$1004,$O504)))</f>
        <v/>
      </c>
      <c r="K504" s="50">
        <f>IF($O504="","",IF(INDEX(Firms!$K$5:$K$1004,$O504)="","—",INDEX(Firms!$K$5:$K$1004,$O504)))</f>
        <v/>
      </c>
      <c r="L504" s="50">
        <f>IF($O504="","",IF(INDEX(Firms!$L$5:$L$1004,$O504)="","—",INDEX(Firms!$L$5:$L$1004,$O504)))</f>
        <v/>
      </c>
      <c r="M504" s="50">
        <f>IF($O504="","",IF(INDEX(Firms!$M$5:$M$1004,$O504)="","—",INDEX(Firms!$M$5:$M$1004,$O504)))</f>
        <v/>
      </c>
      <c r="O504">
        <f>IFERROR(MATCH(SMALL(Firms!$Y$5:$Y$1004,496),Firms!$W$5:$W$1004,0),"")</f>
        <v/>
      </c>
    </row>
    <row r="505">
      <c r="B505" s="78">
        <f>IF($O505="","",INDEX(Firms!$A$5:$A$1004,$O505))</f>
        <v/>
      </c>
      <c r="C505" s="79">
        <f>IF($O505="","",INDEX(Firms!$N$5:$N$1004,$O505)&amp;"")</f>
        <v/>
      </c>
      <c r="D505" s="79">
        <f>IF($O505="","",INDEX(Firms!$P$5:$P$1004,$O505)&amp;"")</f>
        <v/>
      </c>
      <c r="E505" s="79">
        <f>IF($O505="","",INDEX(Firms!$O$5:$O$1004,$O505)&amp;"")</f>
        <v/>
      </c>
      <c r="F505" s="50">
        <f>IF($O505="","",IF(INDEX(Firms!$F$5:$F$1004,$O505)="","—",INDEX(Firms!$F$5:$F$1004,$O505)))</f>
        <v/>
      </c>
      <c r="G505" s="50">
        <f>IF($O505="","",IF(INDEX(Firms!$G$5:$G$1004,$O505)="","—",INDEX(Firms!$G$5:$G$1004,$O505)))</f>
        <v/>
      </c>
      <c r="H505" s="50">
        <f>IF($O505="","",IF(INDEX(Firms!$H$5:$H$1004,$O505)="","—",INDEX(Firms!$H$5:$H$1004,$O505)))</f>
        <v/>
      </c>
      <c r="I505" s="50">
        <f>IF($O505="","",IF(INDEX(Firms!$I$5:$I$1004,$O505)="","—",INDEX(Firms!$I$5:$I$1004,$O505)))</f>
        <v/>
      </c>
      <c r="J505" s="50">
        <f>IF($O505="","",IF(INDEX(Firms!$J$5:$J$1004,$O505)="","—",INDEX(Firms!$J$5:$J$1004,$O505)))</f>
        <v/>
      </c>
      <c r="K505" s="50">
        <f>IF($O505="","",IF(INDEX(Firms!$K$5:$K$1004,$O505)="","—",INDEX(Firms!$K$5:$K$1004,$O505)))</f>
        <v/>
      </c>
      <c r="L505" s="50">
        <f>IF($O505="","",IF(INDEX(Firms!$L$5:$L$1004,$O505)="","—",INDEX(Firms!$L$5:$L$1004,$O505)))</f>
        <v/>
      </c>
      <c r="M505" s="50">
        <f>IF($O505="","",IF(INDEX(Firms!$M$5:$M$1004,$O505)="","—",INDEX(Firms!$M$5:$M$1004,$O505)))</f>
        <v/>
      </c>
      <c r="O505">
        <f>IFERROR(MATCH(SMALL(Firms!$Y$5:$Y$1004,497),Firms!$W$5:$W$1004,0),"")</f>
        <v/>
      </c>
    </row>
    <row r="506">
      <c r="B506" s="78">
        <f>IF($O506="","",INDEX(Firms!$A$5:$A$1004,$O506))</f>
        <v/>
      </c>
      <c r="C506" s="79">
        <f>IF($O506="","",INDEX(Firms!$N$5:$N$1004,$O506)&amp;"")</f>
        <v/>
      </c>
      <c r="D506" s="79">
        <f>IF($O506="","",INDEX(Firms!$P$5:$P$1004,$O506)&amp;"")</f>
        <v/>
      </c>
      <c r="E506" s="79">
        <f>IF($O506="","",INDEX(Firms!$O$5:$O$1004,$O506)&amp;"")</f>
        <v/>
      </c>
      <c r="F506" s="50">
        <f>IF($O506="","",IF(INDEX(Firms!$F$5:$F$1004,$O506)="","—",INDEX(Firms!$F$5:$F$1004,$O506)))</f>
        <v/>
      </c>
      <c r="G506" s="50">
        <f>IF($O506="","",IF(INDEX(Firms!$G$5:$G$1004,$O506)="","—",INDEX(Firms!$G$5:$G$1004,$O506)))</f>
        <v/>
      </c>
      <c r="H506" s="50">
        <f>IF($O506="","",IF(INDEX(Firms!$H$5:$H$1004,$O506)="","—",INDEX(Firms!$H$5:$H$1004,$O506)))</f>
        <v/>
      </c>
      <c r="I506" s="50">
        <f>IF($O506="","",IF(INDEX(Firms!$I$5:$I$1004,$O506)="","—",INDEX(Firms!$I$5:$I$1004,$O506)))</f>
        <v/>
      </c>
      <c r="J506" s="50">
        <f>IF($O506="","",IF(INDEX(Firms!$J$5:$J$1004,$O506)="","—",INDEX(Firms!$J$5:$J$1004,$O506)))</f>
        <v/>
      </c>
      <c r="K506" s="50">
        <f>IF($O506="","",IF(INDEX(Firms!$K$5:$K$1004,$O506)="","—",INDEX(Firms!$K$5:$K$1004,$O506)))</f>
        <v/>
      </c>
      <c r="L506" s="50">
        <f>IF($O506="","",IF(INDEX(Firms!$L$5:$L$1004,$O506)="","—",INDEX(Firms!$L$5:$L$1004,$O506)))</f>
        <v/>
      </c>
      <c r="M506" s="50">
        <f>IF($O506="","",IF(INDEX(Firms!$M$5:$M$1004,$O506)="","—",INDEX(Firms!$M$5:$M$1004,$O506)))</f>
        <v/>
      </c>
      <c r="O506">
        <f>IFERROR(MATCH(SMALL(Firms!$Y$5:$Y$1004,498),Firms!$W$5:$W$1004,0),"")</f>
        <v/>
      </c>
    </row>
    <row r="507">
      <c r="B507" s="78">
        <f>IF($O507="","",INDEX(Firms!$A$5:$A$1004,$O507))</f>
        <v/>
      </c>
      <c r="C507" s="79">
        <f>IF($O507="","",INDEX(Firms!$N$5:$N$1004,$O507)&amp;"")</f>
        <v/>
      </c>
      <c r="D507" s="79">
        <f>IF($O507="","",INDEX(Firms!$P$5:$P$1004,$O507)&amp;"")</f>
        <v/>
      </c>
      <c r="E507" s="79">
        <f>IF($O507="","",INDEX(Firms!$O$5:$O$1004,$O507)&amp;"")</f>
        <v/>
      </c>
      <c r="F507" s="50">
        <f>IF($O507="","",IF(INDEX(Firms!$F$5:$F$1004,$O507)="","—",INDEX(Firms!$F$5:$F$1004,$O507)))</f>
        <v/>
      </c>
      <c r="G507" s="50">
        <f>IF($O507="","",IF(INDEX(Firms!$G$5:$G$1004,$O507)="","—",INDEX(Firms!$G$5:$G$1004,$O507)))</f>
        <v/>
      </c>
      <c r="H507" s="50">
        <f>IF($O507="","",IF(INDEX(Firms!$H$5:$H$1004,$O507)="","—",INDEX(Firms!$H$5:$H$1004,$O507)))</f>
        <v/>
      </c>
      <c r="I507" s="50">
        <f>IF($O507="","",IF(INDEX(Firms!$I$5:$I$1004,$O507)="","—",INDEX(Firms!$I$5:$I$1004,$O507)))</f>
        <v/>
      </c>
      <c r="J507" s="50">
        <f>IF($O507="","",IF(INDEX(Firms!$J$5:$J$1004,$O507)="","—",INDEX(Firms!$J$5:$J$1004,$O507)))</f>
        <v/>
      </c>
      <c r="K507" s="50">
        <f>IF($O507="","",IF(INDEX(Firms!$K$5:$K$1004,$O507)="","—",INDEX(Firms!$K$5:$K$1004,$O507)))</f>
        <v/>
      </c>
      <c r="L507" s="50">
        <f>IF($O507="","",IF(INDEX(Firms!$L$5:$L$1004,$O507)="","—",INDEX(Firms!$L$5:$L$1004,$O507)))</f>
        <v/>
      </c>
      <c r="M507" s="50">
        <f>IF($O507="","",IF(INDEX(Firms!$M$5:$M$1004,$O507)="","—",INDEX(Firms!$M$5:$M$1004,$O507)))</f>
        <v/>
      </c>
      <c r="O507">
        <f>IFERROR(MATCH(SMALL(Firms!$Y$5:$Y$1004,499),Firms!$W$5:$W$1004,0),"")</f>
        <v/>
      </c>
    </row>
    <row r="508">
      <c r="B508" s="78">
        <f>IF($O508="","",INDEX(Firms!$A$5:$A$1004,$O508))</f>
        <v/>
      </c>
      <c r="C508" s="79">
        <f>IF($O508="","",INDEX(Firms!$N$5:$N$1004,$O508)&amp;"")</f>
        <v/>
      </c>
      <c r="D508" s="79">
        <f>IF($O508="","",INDEX(Firms!$P$5:$P$1004,$O508)&amp;"")</f>
        <v/>
      </c>
      <c r="E508" s="79">
        <f>IF($O508="","",INDEX(Firms!$O$5:$O$1004,$O508)&amp;"")</f>
        <v/>
      </c>
      <c r="F508" s="50">
        <f>IF($O508="","",IF(INDEX(Firms!$F$5:$F$1004,$O508)="","—",INDEX(Firms!$F$5:$F$1004,$O508)))</f>
        <v/>
      </c>
      <c r="G508" s="50">
        <f>IF($O508="","",IF(INDEX(Firms!$G$5:$G$1004,$O508)="","—",INDEX(Firms!$G$5:$G$1004,$O508)))</f>
        <v/>
      </c>
      <c r="H508" s="50">
        <f>IF($O508="","",IF(INDEX(Firms!$H$5:$H$1004,$O508)="","—",INDEX(Firms!$H$5:$H$1004,$O508)))</f>
        <v/>
      </c>
      <c r="I508" s="50">
        <f>IF($O508="","",IF(INDEX(Firms!$I$5:$I$1004,$O508)="","—",INDEX(Firms!$I$5:$I$1004,$O508)))</f>
        <v/>
      </c>
      <c r="J508" s="50">
        <f>IF($O508="","",IF(INDEX(Firms!$J$5:$J$1004,$O508)="","—",INDEX(Firms!$J$5:$J$1004,$O508)))</f>
        <v/>
      </c>
      <c r="K508" s="50">
        <f>IF($O508="","",IF(INDEX(Firms!$K$5:$K$1004,$O508)="","—",INDEX(Firms!$K$5:$K$1004,$O508)))</f>
        <v/>
      </c>
      <c r="L508" s="50">
        <f>IF($O508="","",IF(INDEX(Firms!$L$5:$L$1004,$O508)="","—",INDEX(Firms!$L$5:$L$1004,$O508)))</f>
        <v/>
      </c>
      <c r="M508" s="50">
        <f>IF($O508="","",IF(INDEX(Firms!$M$5:$M$1004,$O508)="","—",INDEX(Firms!$M$5:$M$1004,$O508)))</f>
        <v/>
      </c>
      <c r="O508">
        <f>IFERROR(MATCH(SMALL(Firms!$Y$5:$Y$1004,500),Firms!$W$5:$W$1004,0),"")</f>
        <v/>
      </c>
    </row>
    <row r="509">
      <c r="B509" s="78">
        <f>IF($O509="","",INDEX(Firms!$A$5:$A$1004,$O509))</f>
        <v/>
      </c>
      <c r="C509" s="79">
        <f>IF($O509="","",INDEX(Firms!$N$5:$N$1004,$O509)&amp;"")</f>
        <v/>
      </c>
      <c r="D509" s="79">
        <f>IF($O509="","",INDEX(Firms!$P$5:$P$1004,$O509)&amp;"")</f>
        <v/>
      </c>
      <c r="E509" s="79">
        <f>IF($O509="","",INDEX(Firms!$O$5:$O$1004,$O509)&amp;"")</f>
        <v/>
      </c>
      <c r="F509" s="50">
        <f>IF($O509="","",IF(INDEX(Firms!$F$5:$F$1004,$O509)="","—",INDEX(Firms!$F$5:$F$1004,$O509)))</f>
        <v/>
      </c>
      <c r="G509" s="50">
        <f>IF($O509="","",IF(INDEX(Firms!$G$5:$G$1004,$O509)="","—",INDEX(Firms!$G$5:$G$1004,$O509)))</f>
        <v/>
      </c>
      <c r="H509" s="50">
        <f>IF($O509="","",IF(INDEX(Firms!$H$5:$H$1004,$O509)="","—",INDEX(Firms!$H$5:$H$1004,$O509)))</f>
        <v/>
      </c>
      <c r="I509" s="50">
        <f>IF($O509="","",IF(INDEX(Firms!$I$5:$I$1004,$O509)="","—",INDEX(Firms!$I$5:$I$1004,$O509)))</f>
        <v/>
      </c>
      <c r="J509" s="50">
        <f>IF($O509="","",IF(INDEX(Firms!$J$5:$J$1004,$O509)="","—",INDEX(Firms!$J$5:$J$1004,$O509)))</f>
        <v/>
      </c>
      <c r="K509" s="50">
        <f>IF($O509="","",IF(INDEX(Firms!$K$5:$K$1004,$O509)="","—",INDEX(Firms!$K$5:$K$1004,$O509)))</f>
        <v/>
      </c>
      <c r="L509" s="50">
        <f>IF($O509="","",IF(INDEX(Firms!$L$5:$L$1004,$O509)="","—",INDEX(Firms!$L$5:$L$1004,$O509)))</f>
        <v/>
      </c>
      <c r="M509" s="50">
        <f>IF($O509="","",IF(INDEX(Firms!$M$5:$M$1004,$O509)="","—",INDEX(Firms!$M$5:$M$1004,$O509)))</f>
        <v/>
      </c>
      <c r="O509">
        <f>IFERROR(MATCH(SMALL(Firms!$Y$5:$Y$1004,501),Firms!$W$5:$W$1004,0),"")</f>
        <v/>
      </c>
    </row>
    <row r="510">
      <c r="B510" s="78">
        <f>IF($O510="","",INDEX(Firms!$A$5:$A$1004,$O510))</f>
        <v/>
      </c>
      <c r="C510" s="79">
        <f>IF($O510="","",INDEX(Firms!$N$5:$N$1004,$O510)&amp;"")</f>
        <v/>
      </c>
      <c r="D510" s="79">
        <f>IF($O510="","",INDEX(Firms!$P$5:$P$1004,$O510)&amp;"")</f>
        <v/>
      </c>
      <c r="E510" s="79">
        <f>IF($O510="","",INDEX(Firms!$O$5:$O$1004,$O510)&amp;"")</f>
        <v/>
      </c>
      <c r="F510" s="50">
        <f>IF($O510="","",IF(INDEX(Firms!$F$5:$F$1004,$O510)="","—",INDEX(Firms!$F$5:$F$1004,$O510)))</f>
        <v/>
      </c>
      <c r="G510" s="50">
        <f>IF($O510="","",IF(INDEX(Firms!$G$5:$G$1004,$O510)="","—",INDEX(Firms!$G$5:$G$1004,$O510)))</f>
        <v/>
      </c>
      <c r="H510" s="50">
        <f>IF($O510="","",IF(INDEX(Firms!$H$5:$H$1004,$O510)="","—",INDEX(Firms!$H$5:$H$1004,$O510)))</f>
        <v/>
      </c>
      <c r="I510" s="50">
        <f>IF($O510="","",IF(INDEX(Firms!$I$5:$I$1004,$O510)="","—",INDEX(Firms!$I$5:$I$1004,$O510)))</f>
        <v/>
      </c>
      <c r="J510" s="50">
        <f>IF($O510="","",IF(INDEX(Firms!$J$5:$J$1004,$O510)="","—",INDEX(Firms!$J$5:$J$1004,$O510)))</f>
        <v/>
      </c>
      <c r="K510" s="50">
        <f>IF($O510="","",IF(INDEX(Firms!$K$5:$K$1004,$O510)="","—",INDEX(Firms!$K$5:$K$1004,$O510)))</f>
        <v/>
      </c>
      <c r="L510" s="50">
        <f>IF($O510="","",IF(INDEX(Firms!$L$5:$L$1004,$O510)="","—",INDEX(Firms!$L$5:$L$1004,$O510)))</f>
        <v/>
      </c>
      <c r="M510" s="50">
        <f>IF($O510="","",IF(INDEX(Firms!$M$5:$M$1004,$O510)="","—",INDEX(Firms!$M$5:$M$1004,$O510)))</f>
        <v/>
      </c>
      <c r="O510">
        <f>IFERROR(MATCH(SMALL(Firms!$Y$5:$Y$1004,502),Firms!$W$5:$W$1004,0),"")</f>
        <v/>
      </c>
    </row>
    <row r="511">
      <c r="B511" s="78">
        <f>IF($O511="","",INDEX(Firms!$A$5:$A$1004,$O511))</f>
        <v/>
      </c>
      <c r="C511" s="79">
        <f>IF($O511="","",INDEX(Firms!$N$5:$N$1004,$O511)&amp;"")</f>
        <v/>
      </c>
      <c r="D511" s="79">
        <f>IF($O511="","",INDEX(Firms!$P$5:$P$1004,$O511)&amp;"")</f>
        <v/>
      </c>
      <c r="E511" s="79">
        <f>IF($O511="","",INDEX(Firms!$O$5:$O$1004,$O511)&amp;"")</f>
        <v/>
      </c>
      <c r="F511" s="50">
        <f>IF($O511="","",IF(INDEX(Firms!$F$5:$F$1004,$O511)="","—",INDEX(Firms!$F$5:$F$1004,$O511)))</f>
        <v/>
      </c>
      <c r="G511" s="50">
        <f>IF($O511="","",IF(INDEX(Firms!$G$5:$G$1004,$O511)="","—",INDEX(Firms!$G$5:$G$1004,$O511)))</f>
        <v/>
      </c>
      <c r="H511" s="50">
        <f>IF($O511="","",IF(INDEX(Firms!$H$5:$H$1004,$O511)="","—",INDEX(Firms!$H$5:$H$1004,$O511)))</f>
        <v/>
      </c>
      <c r="I511" s="50">
        <f>IF($O511="","",IF(INDEX(Firms!$I$5:$I$1004,$O511)="","—",INDEX(Firms!$I$5:$I$1004,$O511)))</f>
        <v/>
      </c>
      <c r="J511" s="50">
        <f>IF($O511="","",IF(INDEX(Firms!$J$5:$J$1004,$O511)="","—",INDEX(Firms!$J$5:$J$1004,$O511)))</f>
        <v/>
      </c>
      <c r="K511" s="50">
        <f>IF($O511="","",IF(INDEX(Firms!$K$5:$K$1004,$O511)="","—",INDEX(Firms!$K$5:$K$1004,$O511)))</f>
        <v/>
      </c>
      <c r="L511" s="50">
        <f>IF($O511="","",IF(INDEX(Firms!$L$5:$L$1004,$O511)="","—",INDEX(Firms!$L$5:$L$1004,$O511)))</f>
        <v/>
      </c>
      <c r="M511" s="50">
        <f>IF($O511="","",IF(INDEX(Firms!$M$5:$M$1004,$O511)="","—",INDEX(Firms!$M$5:$M$1004,$O511)))</f>
        <v/>
      </c>
      <c r="O511">
        <f>IFERROR(MATCH(SMALL(Firms!$Y$5:$Y$1004,503),Firms!$W$5:$W$1004,0),"")</f>
        <v/>
      </c>
    </row>
    <row r="512">
      <c r="B512" s="78">
        <f>IF($O512="","",INDEX(Firms!$A$5:$A$1004,$O512))</f>
        <v/>
      </c>
      <c r="C512" s="79">
        <f>IF($O512="","",INDEX(Firms!$N$5:$N$1004,$O512)&amp;"")</f>
        <v/>
      </c>
      <c r="D512" s="79">
        <f>IF($O512="","",INDEX(Firms!$P$5:$P$1004,$O512)&amp;"")</f>
        <v/>
      </c>
      <c r="E512" s="79">
        <f>IF($O512="","",INDEX(Firms!$O$5:$O$1004,$O512)&amp;"")</f>
        <v/>
      </c>
      <c r="F512" s="50">
        <f>IF($O512="","",IF(INDEX(Firms!$F$5:$F$1004,$O512)="","—",INDEX(Firms!$F$5:$F$1004,$O512)))</f>
        <v/>
      </c>
      <c r="G512" s="50">
        <f>IF($O512="","",IF(INDEX(Firms!$G$5:$G$1004,$O512)="","—",INDEX(Firms!$G$5:$G$1004,$O512)))</f>
        <v/>
      </c>
      <c r="H512" s="50">
        <f>IF($O512="","",IF(INDEX(Firms!$H$5:$H$1004,$O512)="","—",INDEX(Firms!$H$5:$H$1004,$O512)))</f>
        <v/>
      </c>
      <c r="I512" s="50">
        <f>IF($O512="","",IF(INDEX(Firms!$I$5:$I$1004,$O512)="","—",INDEX(Firms!$I$5:$I$1004,$O512)))</f>
        <v/>
      </c>
      <c r="J512" s="50">
        <f>IF($O512="","",IF(INDEX(Firms!$J$5:$J$1004,$O512)="","—",INDEX(Firms!$J$5:$J$1004,$O512)))</f>
        <v/>
      </c>
      <c r="K512" s="50">
        <f>IF($O512="","",IF(INDEX(Firms!$K$5:$K$1004,$O512)="","—",INDEX(Firms!$K$5:$K$1004,$O512)))</f>
        <v/>
      </c>
      <c r="L512" s="50">
        <f>IF($O512="","",IF(INDEX(Firms!$L$5:$L$1004,$O512)="","—",INDEX(Firms!$L$5:$L$1004,$O512)))</f>
        <v/>
      </c>
      <c r="M512" s="50">
        <f>IF($O512="","",IF(INDEX(Firms!$M$5:$M$1004,$O512)="","—",INDEX(Firms!$M$5:$M$1004,$O512)))</f>
        <v/>
      </c>
      <c r="O512">
        <f>IFERROR(MATCH(SMALL(Firms!$Y$5:$Y$1004,504),Firms!$W$5:$W$1004,0),"")</f>
        <v/>
      </c>
    </row>
    <row r="513">
      <c r="B513" s="78">
        <f>IF($O513="","",INDEX(Firms!$A$5:$A$1004,$O513))</f>
        <v/>
      </c>
      <c r="C513" s="79">
        <f>IF($O513="","",INDEX(Firms!$N$5:$N$1004,$O513)&amp;"")</f>
        <v/>
      </c>
      <c r="D513" s="79">
        <f>IF($O513="","",INDEX(Firms!$P$5:$P$1004,$O513)&amp;"")</f>
        <v/>
      </c>
      <c r="E513" s="79">
        <f>IF($O513="","",INDEX(Firms!$O$5:$O$1004,$O513)&amp;"")</f>
        <v/>
      </c>
      <c r="F513" s="50">
        <f>IF($O513="","",IF(INDEX(Firms!$F$5:$F$1004,$O513)="","—",INDEX(Firms!$F$5:$F$1004,$O513)))</f>
        <v/>
      </c>
      <c r="G513" s="50">
        <f>IF($O513="","",IF(INDEX(Firms!$G$5:$G$1004,$O513)="","—",INDEX(Firms!$G$5:$G$1004,$O513)))</f>
        <v/>
      </c>
      <c r="H513" s="50">
        <f>IF($O513="","",IF(INDEX(Firms!$H$5:$H$1004,$O513)="","—",INDEX(Firms!$H$5:$H$1004,$O513)))</f>
        <v/>
      </c>
      <c r="I513" s="50">
        <f>IF($O513="","",IF(INDEX(Firms!$I$5:$I$1004,$O513)="","—",INDEX(Firms!$I$5:$I$1004,$O513)))</f>
        <v/>
      </c>
      <c r="J513" s="50">
        <f>IF($O513="","",IF(INDEX(Firms!$J$5:$J$1004,$O513)="","—",INDEX(Firms!$J$5:$J$1004,$O513)))</f>
        <v/>
      </c>
      <c r="K513" s="50">
        <f>IF($O513="","",IF(INDEX(Firms!$K$5:$K$1004,$O513)="","—",INDEX(Firms!$K$5:$K$1004,$O513)))</f>
        <v/>
      </c>
      <c r="L513" s="50">
        <f>IF($O513="","",IF(INDEX(Firms!$L$5:$L$1004,$O513)="","—",INDEX(Firms!$L$5:$L$1004,$O513)))</f>
        <v/>
      </c>
      <c r="M513" s="50">
        <f>IF($O513="","",IF(INDEX(Firms!$M$5:$M$1004,$O513)="","—",INDEX(Firms!$M$5:$M$1004,$O513)))</f>
        <v/>
      </c>
      <c r="O513">
        <f>IFERROR(MATCH(SMALL(Firms!$Y$5:$Y$1004,505),Firms!$W$5:$W$1004,0),"")</f>
        <v/>
      </c>
    </row>
    <row r="514">
      <c r="B514" s="78">
        <f>IF($O514="","",INDEX(Firms!$A$5:$A$1004,$O514))</f>
        <v/>
      </c>
      <c r="C514" s="79">
        <f>IF($O514="","",INDEX(Firms!$N$5:$N$1004,$O514)&amp;"")</f>
        <v/>
      </c>
      <c r="D514" s="79">
        <f>IF($O514="","",INDEX(Firms!$P$5:$P$1004,$O514)&amp;"")</f>
        <v/>
      </c>
      <c r="E514" s="79">
        <f>IF($O514="","",INDEX(Firms!$O$5:$O$1004,$O514)&amp;"")</f>
        <v/>
      </c>
      <c r="F514" s="50">
        <f>IF($O514="","",IF(INDEX(Firms!$F$5:$F$1004,$O514)="","—",INDEX(Firms!$F$5:$F$1004,$O514)))</f>
        <v/>
      </c>
      <c r="G514" s="50">
        <f>IF($O514="","",IF(INDEX(Firms!$G$5:$G$1004,$O514)="","—",INDEX(Firms!$G$5:$G$1004,$O514)))</f>
        <v/>
      </c>
      <c r="H514" s="50">
        <f>IF($O514="","",IF(INDEX(Firms!$H$5:$H$1004,$O514)="","—",INDEX(Firms!$H$5:$H$1004,$O514)))</f>
        <v/>
      </c>
      <c r="I514" s="50">
        <f>IF($O514="","",IF(INDEX(Firms!$I$5:$I$1004,$O514)="","—",INDEX(Firms!$I$5:$I$1004,$O514)))</f>
        <v/>
      </c>
      <c r="J514" s="50">
        <f>IF($O514="","",IF(INDEX(Firms!$J$5:$J$1004,$O514)="","—",INDEX(Firms!$J$5:$J$1004,$O514)))</f>
        <v/>
      </c>
      <c r="K514" s="50">
        <f>IF($O514="","",IF(INDEX(Firms!$K$5:$K$1004,$O514)="","—",INDEX(Firms!$K$5:$K$1004,$O514)))</f>
        <v/>
      </c>
      <c r="L514" s="50">
        <f>IF($O514="","",IF(INDEX(Firms!$L$5:$L$1004,$O514)="","—",INDEX(Firms!$L$5:$L$1004,$O514)))</f>
        <v/>
      </c>
      <c r="M514" s="50">
        <f>IF($O514="","",IF(INDEX(Firms!$M$5:$M$1004,$O514)="","—",INDEX(Firms!$M$5:$M$1004,$O514)))</f>
        <v/>
      </c>
      <c r="O514">
        <f>IFERROR(MATCH(SMALL(Firms!$Y$5:$Y$1004,506),Firms!$W$5:$W$1004,0),"")</f>
        <v/>
      </c>
    </row>
    <row r="515">
      <c r="B515" s="78">
        <f>IF($O515="","",INDEX(Firms!$A$5:$A$1004,$O515))</f>
        <v/>
      </c>
      <c r="C515" s="79">
        <f>IF($O515="","",INDEX(Firms!$N$5:$N$1004,$O515)&amp;"")</f>
        <v/>
      </c>
      <c r="D515" s="79">
        <f>IF($O515="","",INDEX(Firms!$P$5:$P$1004,$O515)&amp;"")</f>
        <v/>
      </c>
      <c r="E515" s="79">
        <f>IF($O515="","",INDEX(Firms!$O$5:$O$1004,$O515)&amp;"")</f>
        <v/>
      </c>
      <c r="F515" s="50">
        <f>IF($O515="","",IF(INDEX(Firms!$F$5:$F$1004,$O515)="","—",INDEX(Firms!$F$5:$F$1004,$O515)))</f>
        <v/>
      </c>
      <c r="G515" s="50">
        <f>IF($O515="","",IF(INDEX(Firms!$G$5:$G$1004,$O515)="","—",INDEX(Firms!$G$5:$G$1004,$O515)))</f>
        <v/>
      </c>
      <c r="H515" s="50">
        <f>IF($O515="","",IF(INDEX(Firms!$H$5:$H$1004,$O515)="","—",INDEX(Firms!$H$5:$H$1004,$O515)))</f>
        <v/>
      </c>
      <c r="I515" s="50">
        <f>IF($O515="","",IF(INDEX(Firms!$I$5:$I$1004,$O515)="","—",INDEX(Firms!$I$5:$I$1004,$O515)))</f>
        <v/>
      </c>
      <c r="J515" s="50">
        <f>IF($O515="","",IF(INDEX(Firms!$J$5:$J$1004,$O515)="","—",INDEX(Firms!$J$5:$J$1004,$O515)))</f>
        <v/>
      </c>
      <c r="K515" s="50">
        <f>IF($O515="","",IF(INDEX(Firms!$K$5:$K$1004,$O515)="","—",INDEX(Firms!$K$5:$K$1004,$O515)))</f>
        <v/>
      </c>
      <c r="L515" s="50">
        <f>IF($O515="","",IF(INDEX(Firms!$L$5:$L$1004,$O515)="","—",INDEX(Firms!$L$5:$L$1004,$O515)))</f>
        <v/>
      </c>
      <c r="M515" s="50">
        <f>IF($O515="","",IF(INDEX(Firms!$M$5:$M$1004,$O515)="","—",INDEX(Firms!$M$5:$M$1004,$O515)))</f>
        <v/>
      </c>
      <c r="O515">
        <f>IFERROR(MATCH(SMALL(Firms!$Y$5:$Y$1004,507),Firms!$W$5:$W$1004,0),"")</f>
        <v/>
      </c>
    </row>
    <row r="516">
      <c r="B516" s="78">
        <f>IF($O516="","",INDEX(Firms!$A$5:$A$1004,$O516))</f>
        <v/>
      </c>
      <c r="C516" s="79">
        <f>IF($O516="","",INDEX(Firms!$N$5:$N$1004,$O516)&amp;"")</f>
        <v/>
      </c>
      <c r="D516" s="79">
        <f>IF($O516="","",INDEX(Firms!$P$5:$P$1004,$O516)&amp;"")</f>
        <v/>
      </c>
      <c r="E516" s="79">
        <f>IF($O516="","",INDEX(Firms!$O$5:$O$1004,$O516)&amp;"")</f>
        <v/>
      </c>
      <c r="F516" s="50">
        <f>IF($O516="","",IF(INDEX(Firms!$F$5:$F$1004,$O516)="","—",INDEX(Firms!$F$5:$F$1004,$O516)))</f>
        <v/>
      </c>
      <c r="G516" s="50">
        <f>IF($O516="","",IF(INDEX(Firms!$G$5:$G$1004,$O516)="","—",INDEX(Firms!$G$5:$G$1004,$O516)))</f>
        <v/>
      </c>
      <c r="H516" s="50">
        <f>IF($O516="","",IF(INDEX(Firms!$H$5:$H$1004,$O516)="","—",INDEX(Firms!$H$5:$H$1004,$O516)))</f>
        <v/>
      </c>
      <c r="I516" s="50">
        <f>IF($O516="","",IF(INDEX(Firms!$I$5:$I$1004,$O516)="","—",INDEX(Firms!$I$5:$I$1004,$O516)))</f>
        <v/>
      </c>
      <c r="J516" s="50">
        <f>IF($O516="","",IF(INDEX(Firms!$J$5:$J$1004,$O516)="","—",INDEX(Firms!$J$5:$J$1004,$O516)))</f>
        <v/>
      </c>
      <c r="K516" s="50">
        <f>IF($O516="","",IF(INDEX(Firms!$K$5:$K$1004,$O516)="","—",INDEX(Firms!$K$5:$K$1004,$O516)))</f>
        <v/>
      </c>
      <c r="L516" s="50">
        <f>IF($O516="","",IF(INDEX(Firms!$L$5:$L$1004,$O516)="","—",INDEX(Firms!$L$5:$L$1004,$O516)))</f>
        <v/>
      </c>
      <c r="M516" s="50">
        <f>IF($O516="","",IF(INDEX(Firms!$M$5:$M$1004,$O516)="","—",INDEX(Firms!$M$5:$M$1004,$O516)))</f>
        <v/>
      </c>
      <c r="O516">
        <f>IFERROR(MATCH(SMALL(Firms!$Y$5:$Y$1004,508),Firms!$W$5:$W$1004,0),"")</f>
        <v/>
      </c>
    </row>
    <row r="517">
      <c r="B517" s="78">
        <f>IF($O517="","",INDEX(Firms!$A$5:$A$1004,$O517))</f>
        <v/>
      </c>
      <c r="C517" s="79">
        <f>IF($O517="","",INDEX(Firms!$N$5:$N$1004,$O517)&amp;"")</f>
        <v/>
      </c>
      <c r="D517" s="79">
        <f>IF($O517="","",INDEX(Firms!$P$5:$P$1004,$O517)&amp;"")</f>
        <v/>
      </c>
      <c r="E517" s="79">
        <f>IF($O517="","",INDEX(Firms!$O$5:$O$1004,$O517)&amp;"")</f>
        <v/>
      </c>
      <c r="F517" s="50">
        <f>IF($O517="","",IF(INDEX(Firms!$F$5:$F$1004,$O517)="","—",INDEX(Firms!$F$5:$F$1004,$O517)))</f>
        <v/>
      </c>
      <c r="G517" s="50">
        <f>IF($O517="","",IF(INDEX(Firms!$G$5:$G$1004,$O517)="","—",INDEX(Firms!$G$5:$G$1004,$O517)))</f>
        <v/>
      </c>
      <c r="H517" s="50">
        <f>IF($O517="","",IF(INDEX(Firms!$H$5:$H$1004,$O517)="","—",INDEX(Firms!$H$5:$H$1004,$O517)))</f>
        <v/>
      </c>
      <c r="I517" s="50">
        <f>IF($O517="","",IF(INDEX(Firms!$I$5:$I$1004,$O517)="","—",INDEX(Firms!$I$5:$I$1004,$O517)))</f>
        <v/>
      </c>
      <c r="J517" s="50">
        <f>IF($O517="","",IF(INDEX(Firms!$J$5:$J$1004,$O517)="","—",INDEX(Firms!$J$5:$J$1004,$O517)))</f>
        <v/>
      </c>
      <c r="K517" s="50">
        <f>IF($O517="","",IF(INDEX(Firms!$K$5:$K$1004,$O517)="","—",INDEX(Firms!$K$5:$K$1004,$O517)))</f>
        <v/>
      </c>
      <c r="L517" s="50">
        <f>IF($O517="","",IF(INDEX(Firms!$L$5:$L$1004,$O517)="","—",INDEX(Firms!$L$5:$L$1004,$O517)))</f>
        <v/>
      </c>
      <c r="M517" s="50">
        <f>IF($O517="","",IF(INDEX(Firms!$M$5:$M$1004,$O517)="","—",INDEX(Firms!$M$5:$M$1004,$O517)))</f>
        <v/>
      </c>
      <c r="O517">
        <f>IFERROR(MATCH(SMALL(Firms!$Y$5:$Y$1004,509),Firms!$W$5:$W$1004,0),"")</f>
        <v/>
      </c>
    </row>
    <row r="518">
      <c r="B518" s="78">
        <f>IF($O518="","",INDEX(Firms!$A$5:$A$1004,$O518))</f>
        <v/>
      </c>
      <c r="C518" s="79">
        <f>IF($O518="","",INDEX(Firms!$N$5:$N$1004,$O518)&amp;"")</f>
        <v/>
      </c>
      <c r="D518" s="79">
        <f>IF($O518="","",INDEX(Firms!$P$5:$P$1004,$O518)&amp;"")</f>
        <v/>
      </c>
      <c r="E518" s="79">
        <f>IF($O518="","",INDEX(Firms!$O$5:$O$1004,$O518)&amp;"")</f>
        <v/>
      </c>
      <c r="F518" s="50">
        <f>IF($O518="","",IF(INDEX(Firms!$F$5:$F$1004,$O518)="","—",INDEX(Firms!$F$5:$F$1004,$O518)))</f>
        <v/>
      </c>
      <c r="G518" s="50">
        <f>IF($O518="","",IF(INDEX(Firms!$G$5:$G$1004,$O518)="","—",INDEX(Firms!$G$5:$G$1004,$O518)))</f>
        <v/>
      </c>
      <c r="H518" s="50">
        <f>IF($O518="","",IF(INDEX(Firms!$H$5:$H$1004,$O518)="","—",INDEX(Firms!$H$5:$H$1004,$O518)))</f>
        <v/>
      </c>
      <c r="I518" s="50">
        <f>IF($O518="","",IF(INDEX(Firms!$I$5:$I$1004,$O518)="","—",INDEX(Firms!$I$5:$I$1004,$O518)))</f>
        <v/>
      </c>
      <c r="J518" s="50">
        <f>IF($O518="","",IF(INDEX(Firms!$J$5:$J$1004,$O518)="","—",INDEX(Firms!$J$5:$J$1004,$O518)))</f>
        <v/>
      </c>
      <c r="K518" s="50">
        <f>IF($O518="","",IF(INDEX(Firms!$K$5:$K$1004,$O518)="","—",INDEX(Firms!$K$5:$K$1004,$O518)))</f>
        <v/>
      </c>
      <c r="L518" s="50">
        <f>IF($O518="","",IF(INDEX(Firms!$L$5:$L$1004,$O518)="","—",INDEX(Firms!$L$5:$L$1004,$O518)))</f>
        <v/>
      </c>
      <c r="M518" s="50">
        <f>IF($O518="","",IF(INDEX(Firms!$M$5:$M$1004,$O518)="","—",INDEX(Firms!$M$5:$M$1004,$O518)))</f>
        <v/>
      </c>
      <c r="O518">
        <f>IFERROR(MATCH(SMALL(Firms!$Y$5:$Y$1004,510),Firms!$W$5:$W$1004,0),"")</f>
        <v/>
      </c>
    </row>
    <row r="519">
      <c r="B519" s="78">
        <f>IF($O519="","",INDEX(Firms!$A$5:$A$1004,$O519))</f>
        <v/>
      </c>
      <c r="C519" s="79">
        <f>IF($O519="","",INDEX(Firms!$N$5:$N$1004,$O519)&amp;"")</f>
        <v/>
      </c>
      <c r="D519" s="79">
        <f>IF($O519="","",INDEX(Firms!$P$5:$P$1004,$O519)&amp;"")</f>
        <v/>
      </c>
      <c r="E519" s="79">
        <f>IF($O519="","",INDEX(Firms!$O$5:$O$1004,$O519)&amp;"")</f>
        <v/>
      </c>
      <c r="F519" s="50">
        <f>IF($O519="","",IF(INDEX(Firms!$F$5:$F$1004,$O519)="","—",INDEX(Firms!$F$5:$F$1004,$O519)))</f>
        <v/>
      </c>
      <c r="G519" s="50">
        <f>IF($O519="","",IF(INDEX(Firms!$G$5:$G$1004,$O519)="","—",INDEX(Firms!$G$5:$G$1004,$O519)))</f>
        <v/>
      </c>
      <c r="H519" s="50">
        <f>IF($O519="","",IF(INDEX(Firms!$H$5:$H$1004,$O519)="","—",INDEX(Firms!$H$5:$H$1004,$O519)))</f>
        <v/>
      </c>
      <c r="I519" s="50">
        <f>IF($O519="","",IF(INDEX(Firms!$I$5:$I$1004,$O519)="","—",INDEX(Firms!$I$5:$I$1004,$O519)))</f>
        <v/>
      </c>
      <c r="J519" s="50">
        <f>IF($O519="","",IF(INDEX(Firms!$J$5:$J$1004,$O519)="","—",INDEX(Firms!$J$5:$J$1004,$O519)))</f>
        <v/>
      </c>
      <c r="K519" s="50">
        <f>IF($O519="","",IF(INDEX(Firms!$K$5:$K$1004,$O519)="","—",INDEX(Firms!$K$5:$K$1004,$O519)))</f>
        <v/>
      </c>
      <c r="L519" s="50">
        <f>IF($O519="","",IF(INDEX(Firms!$L$5:$L$1004,$O519)="","—",INDEX(Firms!$L$5:$L$1004,$O519)))</f>
        <v/>
      </c>
      <c r="M519" s="50">
        <f>IF($O519="","",IF(INDEX(Firms!$M$5:$M$1004,$O519)="","—",INDEX(Firms!$M$5:$M$1004,$O519)))</f>
        <v/>
      </c>
      <c r="O519">
        <f>IFERROR(MATCH(SMALL(Firms!$Y$5:$Y$1004,511),Firms!$W$5:$W$1004,0),"")</f>
        <v/>
      </c>
    </row>
    <row r="520">
      <c r="B520" s="78">
        <f>IF($O520="","",INDEX(Firms!$A$5:$A$1004,$O520))</f>
        <v/>
      </c>
      <c r="C520" s="79">
        <f>IF($O520="","",INDEX(Firms!$N$5:$N$1004,$O520)&amp;"")</f>
        <v/>
      </c>
      <c r="D520" s="79">
        <f>IF($O520="","",INDEX(Firms!$P$5:$P$1004,$O520)&amp;"")</f>
        <v/>
      </c>
      <c r="E520" s="79">
        <f>IF($O520="","",INDEX(Firms!$O$5:$O$1004,$O520)&amp;"")</f>
        <v/>
      </c>
      <c r="F520" s="50">
        <f>IF($O520="","",IF(INDEX(Firms!$F$5:$F$1004,$O520)="","—",INDEX(Firms!$F$5:$F$1004,$O520)))</f>
        <v/>
      </c>
      <c r="G520" s="50">
        <f>IF($O520="","",IF(INDEX(Firms!$G$5:$G$1004,$O520)="","—",INDEX(Firms!$G$5:$G$1004,$O520)))</f>
        <v/>
      </c>
      <c r="H520" s="50">
        <f>IF($O520="","",IF(INDEX(Firms!$H$5:$H$1004,$O520)="","—",INDEX(Firms!$H$5:$H$1004,$O520)))</f>
        <v/>
      </c>
      <c r="I520" s="50">
        <f>IF($O520="","",IF(INDEX(Firms!$I$5:$I$1004,$O520)="","—",INDEX(Firms!$I$5:$I$1004,$O520)))</f>
        <v/>
      </c>
      <c r="J520" s="50">
        <f>IF($O520="","",IF(INDEX(Firms!$J$5:$J$1004,$O520)="","—",INDEX(Firms!$J$5:$J$1004,$O520)))</f>
        <v/>
      </c>
      <c r="K520" s="50">
        <f>IF($O520="","",IF(INDEX(Firms!$K$5:$K$1004,$O520)="","—",INDEX(Firms!$K$5:$K$1004,$O520)))</f>
        <v/>
      </c>
      <c r="L520" s="50">
        <f>IF($O520="","",IF(INDEX(Firms!$L$5:$L$1004,$O520)="","—",INDEX(Firms!$L$5:$L$1004,$O520)))</f>
        <v/>
      </c>
      <c r="M520" s="50">
        <f>IF($O520="","",IF(INDEX(Firms!$M$5:$M$1004,$O520)="","—",INDEX(Firms!$M$5:$M$1004,$O520)))</f>
        <v/>
      </c>
      <c r="O520">
        <f>IFERROR(MATCH(SMALL(Firms!$Y$5:$Y$1004,512),Firms!$W$5:$W$1004,0),"")</f>
        <v/>
      </c>
    </row>
    <row r="521">
      <c r="B521" s="78">
        <f>IF($O521="","",INDEX(Firms!$A$5:$A$1004,$O521))</f>
        <v/>
      </c>
      <c r="C521" s="79">
        <f>IF($O521="","",INDEX(Firms!$N$5:$N$1004,$O521)&amp;"")</f>
        <v/>
      </c>
      <c r="D521" s="79">
        <f>IF($O521="","",INDEX(Firms!$P$5:$P$1004,$O521)&amp;"")</f>
        <v/>
      </c>
      <c r="E521" s="79">
        <f>IF($O521="","",INDEX(Firms!$O$5:$O$1004,$O521)&amp;"")</f>
        <v/>
      </c>
      <c r="F521" s="50">
        <f>IF($O521="","",IF(INDEX(Firms!$F$5:$F$1004,$O521)="","—",INDEX(Firms!$F$5:$F$1004,$O521)))</f>
        <v/>
      </c>
      <c r="G521" s="50">
        <f>IF($O521="","",IF(INDEX(Firms!$G$5:$G$1004,$O521)="","—",INDEX(Firms!$G$5:$G$1004,$O521)))</f>
        <v/>
      </c>
      <c r="H521" s="50">
        <f>IF($O521="","",IF(INDEX(Firms!$H$5:$H$1004,$O521)="","—",INDEX(Firms!$H$5:$H$1004,$O521)))</f>
        <v/>
      </c>
      <c r="I521" s="50">
        <f>IF($O521="","",IF(INDEX(Firms!$I$5:$I$1004,$O521)="","—",INDEX(Firms!$I$5:$I$1004,$O521)))</f>
        <v/>
      </c>
      <c r="J521" s="50">
        <f>IF($O521="","",IF(INDEX(Firms!$J$5:$J$1004,$O521)="","—",INDEX(Firms!$J$5:$J$1004,$O521)))</f>
        <v/>
      </c>
      <c r="K521" s="50">
        <f>IF($O521="","",IF(INDEX(Firms!$K$5:$K$1004,$O521)="","—",INDEX(Firms!$K$5:$K$1004,$O521)))</f>
        <v/>
      </c>
      <c r="L521" s="50">
        <f>IF($O521="","",IF(INDEX(Firms!$L$5:$L$1004,$O521)="","—",INDEX(Firms!$L$5:$L$1004,$O521)))</f>
        <v/>
      </c>
      <c r="M521" s="50">
        <f>IF($O521="","",IF(INDEX(Firms!$M$5:$M$1004,$O521)="","—",INDEX(Firms!$M$5:$M$1004,$O521)))</f>
        <v/>
      </c>
      <c r="O521">
        <f>IFERROR(MATCH(SMALL(Firms!$Y$5:$Y$1004,513),Firms!$W$5:$W$1004,0),"")</f>
        <v/>
      </c>
    </row>
    <row r="522">
      <c r="B522" s="78">
        <f>IF($O522="","",INDEX(Firms!$A$5:$A$1004,$O522))</f>
        <v/>
      </c>
      <c r="C522" s="79">
        <f>IF($O522="","",INDEX(Firms!$N$5:$N$1004,$O522)&amp;"")</f>
        <v/>
      </c>
      <c r="D522" s="79">
        <f>IF($O522="","",INDEX(Firms!$P$5:$P$1004,$O522)&amp;"")</f>
        <v/>
      </c>
      <c r="E522" s="79">
        <f>IF($O522="","",INDEX(Firms!$O$5:$O$1004,$O522)&amp;"")</f>
        <v/>
      </c>
      <c r="F522" s="50">
        <f>IF($O522="","",IF(INDEX(Firms!$F$5:$F$1004,$O522)="","—",INDEX(Firms!$F$5:$F$1004,$O522)))</f>
        <v/>
      </c>
      <c r="G522" s="50">
        <f>IF($O522="","",IF(INDEX(Firms!$G$5:$G$1004,$O522)="","—",INDEX(Firms!$G$5:$G$1004,$O522)))</f>
        <v/>
      </c>
      <c r="H522" s="50">
        <f>IF($O522="","",IF(INDEX(Firms!$H$5:$H$1004,$O522)="","—",INDEX(Firms!$H$5:$H$1004,$O522)))</f>
        <v/>
      </c>
      <c r="I522" s="50">
        <f>IF($O522="","",IF(INDEX(Firms!$I$5:$I$1004,$O522)="","—",INDEX(Firms!$I$5:$I$1004,$O522)))</f>
        <v/>
      </c>
      <c r="J522" s="50">
        <f>IF($O522="","",IF(INDEX(Firms!$J$5:$J$1004,$O522)="","—",INDEX(Firms!$J$5:$J$1004,$O522)))</f>
        <v/>
      </c>
      <c r="K522" s="50">
        <f>IF($O522="","",IF(INDEX(Firms!$K$5:$K$1004,$O522)="","—",INDEX(Firms!$K$5:$K$1004,$O522)))</f>
        <v/>
      </c>
      <c r="L522" s="50">
        <f>IF($O522="","",IF(INDEX(Firms!$L$5:$L$1004,$O522)="","—",INDEX(Firms!$L$5:$L$1004,$O522)))</f>
        <v/>
      </c>
      <c r="M522" s="50">
        <f>IF($O522="","",IF(INDEX(Firms!$M$5:$M$1004,$O522)="","—",INDEX(Firms!$M$5:$M$1004,$O522)))</f>
        <v/>
      </c>
      <c r="O522">
        <f>IFERROR(MATCH(SMALL(Firms!$Y$5:$Y$1004,514),Firms!$W$5:$W$1004,0),"")</f>
        <v/>
      </c>
    </row>
    <row r="523">
      <c r="B523" s="78">
        <f>IF($O523="","",INDEX(Firms!$A$5:$A$1004,$O523))</f>
        <v/>
      </c>
      <c r="C523" s="79">
        <f>IF($O523="","",INDEX(Firms!$N$5:$N$1004,$O523)&amp;"")</f>
        <v/>
      </c>
      <c r="D523" s="79">
        <f>IF($O523="","",INDEX(Firms!$P$5:$P$1004,$O523)&amp;"")</f>
        <v/>
      </c>
      <c r="E523" s="79">
        <f>IF($O523="","",INDEX(Firms!$O$5:$O$1004,$O523)&amp;"")</f>
        <v/>
      </c>
      <c r="F523" s="50">
        <f>IF($O523="","",IF(INDEX(Firms!$F$5:$F$1004,$O523)="","—",INDEX(Firms!$F$5:$F$1004,$O523)))</f>
        <v/>
      </c>
      <c r="G523" s="50">
        <f>IF($O523="","",IF(INDEX(Firms!$G$5:$G$1004,$O523)="","—",INDEX(Firms!$G$5:$G$1004,$O523)))</f>
        <v/>
      </c>
      <c r="H523" s="50">
        <f>IF($O523="","",IF(INDEX(Firms!$H$5:$H$1004,$O523)="","—",INDEX(Firms!$H$5:$H$1004,$O523)))</f>
        <v/>
      </c>
      <c r="I523" s="50">
        <f>IF($O523="","",IF(INDEX(Firms!$I$5:$I$1004,$O523)="","—",INDEX(Firms!$I$5:$I$1004,$O523)))</f>
        <v/>
      </c>
      <c r="J523" s="50">
        <f>IF($O523="","",IF(INDEX(Firms!$J$5:$J$1004,$O523)="","—",INDEX(Firms!$J$5:$J$1004,$O523)))</f>
        <v/>
      </c>
      <c r="K523" s="50">
        <f>IF($O523="","",IF(INDEX(Firms!$K$5:$K$1004,$O523)="","—",INDEX(Firms!$K$5:$K$1004,$O523)))</f>
        <v/>
      </c>
      <c r="L523" s="50">
        <f>IF($O523="","",IF(INDEX(Firms!$L$5:$L$1004,$O523)="","—",INDEX(Firms!$L$5:$L$1004,$O523)))</f>
        <v/>
      </c>
      <c r="M523" s="50">
        <f>IF($O523="","",IF(INDEX(Firms!$M$5:$M$1004,$O523)="","—",INDEX(Firms!$M$5:$M$1004,$O523)))</f>
        <v/>
      </c>
      <c r="O523">
        <f>IFERROR(MATCH(SMALL(Firms!$Y$5:$Y$1004,515),Firms!$W$5:$W$1004,0),"")</f>
        <v/>
      </c>
    </row>
    <row r="524">
      <c r="B524" s="78">
        <f>IF($O524="","",INDEX(Firms!$A$5:$A$1004,$O524))</f>
        <v/>
      </c>
      <c r="C524" s="79">
        <f>IF($O524="","",INDEX(Firms!$N$5:$N$1004,$O524)&amp;"")</f>
        <v/>
      </c>
      <c r="D524" s="79">
        <f>IF($O524="","",INDEX(Firms!$P$5:$P$1004,$O524)&amp;"")</f>
        <v/>
      </c>
      <c r="E524" s="79">
        <f>IF($O524="","",INDEX(Firms!$O$5:$O$1004,$O524)&amp;"")</f>
        <v/>
      </c>
      <c r="F524" s="50">
        <f>IF($O524="","",IF(INDEX(Firms!$F$5:$F$1004,$O524)="","—",INDEX(Firms!$F$5:$F$1004,$O524)))</f>
        <v/>
      </c>
      <c r="G524" s="50">
        <f>IF($O524="","",IF(INDEX(Firms!$G$5:$G$1004,$O524)="","—",INDEX(Firms!$G$5:$G$1004,$O524)))</f>
        <v/>
      </c>
      <c r="H524" s="50">
        <f>IF($O524="","",IF(INDEX(Firms!$H$5:$H$1004,$O524)="","—",INDEX(Firms!$H$5:$H$1004,$O524)))</f>
        <v/>
      </c>
      <c r="I524" s="50">
        <f>IF($O524="","",IF(INDEX(Firms!$I$5:$I$1004,$O524)="","—",INDEX(Firms!$I$5:$I$1004,$O524)))</f>
        <v/>
      </c>
      <c r="J524" s="50">
        <f>IF($O524="","",IF(INDEX(Firms!$J$5:$J$1004,$O524)="","—",INDEX(Firms!$J$5:$J$1004,$O524)))</f>
        <v/>
      </c>
      <c r="K524" s="50">
        <f>IF($O524="","",IF(INDEX(Firms!$K$5:$K$1004,$O524)="","—",INDEX(Firms!$K$5:$K$1004,$O524)))</f>
        <v/>
      </c>
      <c r="L524" s="50">
        <f>IF($O524="","",IF(INDEX(Firms!$L$5:$L$1004,$O524)="","—",INDEX(Firms!$L$5:$L$1004,$O524)))</f>
        <v/>
      </c>
      <c r="M524" s="50">
        <f>IF($O524="","",IF(INDEX(Firms!$M$5:$M$1004,$O524)="","—",INDEX(Firms!$M$5:$M$1004,$O524)))</f>
        <v/>
      </c>
      <c r="O524">
        <f>IFERROR(MATCH(SMALL(Firms!$Y$5:$Y$1004,516),Firms!$W$5:$W$1004,0),"")</f>
        <v/>
      </c>
    </row>
    <row r="525">
      <c r="B525" s="78">
        <f>IF($O525="","",INDEX(Firms!$A$5:$A$1004,$O525))</f>
        <v/>
      </c>
      <c r="C525" s="79">
        <f>IF($O525="","",INDEX(Firms!$N$5:$N$1004,$O525)&amp;"")</f>
        <v/>
      </c>
      <c r="D525" s="79">
        <f>IF($O525="","",INDEX(Firms!$P$5:$P$1004,$O525)&amp;"")</f>
        <v/>
      </c>
      <c r="E525" s="79">
        <f>IF($O525="","",INDEX(Firms!$O$5:$O$1004,$O525)&amp;"")</f>
        <v/>
      </c>
      <c r="F525" s="50">
        <f>IF($O525="","",IF(INDEX(Firms!$F$5:$F$1004,$O525)="","—",INDEX(Firms!$F$5:$F$1004,$O525)))</f>
        <v/>
      </c>
      <c r="G525" s="50">
        <f>IF($O525="","",IF(INDEX(Firms!$G$5:$G$1004,$O525)="","—",INDEX(Firms!$G$5:$G$1004,$O525)))</f>
        <v/>
      </c>
      <c r="H525" s="50">
        <f>IF($O525="","",IF(INDEX(Firms!$H$5:$H$1004,$O525)="","—",INDEX(Firms!$H$5:$H$1004,$O525)))</f>
        <v/>
      </c>
      <c r="I525" s="50">
        <f>IF($O525="","",IF(INDEX(Firms!$I$5:$I$1004,$O525)="","—",INDEX(Firms!$I$5:$I$1004,$O525)))</f>
        <v/>
      </c>
      <c r="J525" s="50">
        <f>IF($O525="","",IF(INDEX(Firms!$J$5:$J$1004,$O525)="","—",INDEX(Firms!$J$5:$J$1004,$O525)))</f>
        <v/>
      </c>
      <c r="K525" s="50">
        <f>IF($O525="","",IF(INDEX(Firms!$K$5:$K$1004,$O525)="","—",INDEX(Firms!$K$5:$K$1004,$O525)))</f>
        <v/>
      </c>
      <c r="L525" s="50">
        <f>IF($O525="","",IF(INDEX(Firms!$L$5:$L$1004,$O525)="","—",INDEX(Firms!$L$5:$L$1004,$O525)))</f>
        <v/>
      </c>
      <c r="M525" s="50">
        <f>IF($O525="","",IF(INDEX(Firms!$M$5:$M$1004,$O525)="","—",INDEX(Firms!$M$5:$M$1004,$O525)))</f>
        <v/>
      </c>
      <c r="O525">
        <f>IFERROR(MATCH(SMALL(Firms!$Y$5:$Y$1004,517),Firms!$W$5:$W$1004,0),"")</f>
        <v/>
      </c>
    </row>
    <row r="526">
      <c r="B526" s="78">
        <f>IF($O526="","",INDEX(Firms!$A$5:$A$1004,$O526))</f>
        <v/>
      </c>
      <c r="C526" s="79">
        <f>IF($O526="","",INDEX(Firms!$N$5:$N$1004,$O526)&amp;"")</f>
        <v/>
      </c>
      <c r="D526" s="79">
        <f>IF($O526="","",INDEX(Firms!$P$5:$P$1004,$O526)&amp;"")</f>
        <v/>
      </c>
      <c r="E526" s="79">
        <f>IF($O526="","",INDEX(Firms!$O$5:$O$1004,$O526)&amp;"")</f>
        <v/>
      </c>
      <c r="F526" s="50">
        <f>IF($O526="","",IF(INDEX(Firms!$F$5:$F$1004,$O526)="","—",INDEX(Firms!$F$5:$F$1004,$O526)))</f>
        <v/>
      </c>
      <c r="G526" s="50">
        <f>IF($O526="","",IF(INDEX(Firms!$G$5:$G$1004,$O526)="","—",INDEX(Firms!$G$5:$G$1004,$O526)))</f>
        <v/>
      </c>
      <c r="H526" s="50">
        <f>IF($O526="","",IF(INDEX(Firms!$H$5:$H$1004,$O526)="","—",INDEX(Firms!$H$5:$H$1004,$O526)))</f>
        <v/>
      </c>
      <c r="I526" s="50">
        <f>IF($O526="","",IF(INDEX(Firms!$I$5:$I$1004,$O526)="","—",INDEX(Firms!$I$5:$I$1004,$O526)))</f>
        <v/>
      </c>
      <c r="J526" s="50">
        <f>IF($O526="","",IF(INDEX(Firms!$J$5:$J$1004,$O526)="","—",INDEX(Firms!$J$5:$J$1004,$O526)))</f>
        <v/>
      </c>
      <c r="K526" s="50">
        <f>IF($O526="","",IF(INDEX(Firms!$K$5:$K$1004,$O526)="","—",INDEX(Firms!$K$5:$K$1004,$O526)))</f>
        <v/>
      </c>
      <c r="L526" s="50">
        <f>IF($O526="","",IF(INDEX(Firms!$L$5:$L$1004,$O526)="","—",INDEX(Firms!$L$5:$L$1004,$O526)))</f>
        <v/>
      </c>
      <c r="M526" s="50">
        <f>IF($O526="","",IF(INDEX(Firms!$M$5:$M$1004,$O526)="","—",INDEX(Firms!$M$5:$M$1004,$O526)))</f>
        <v/>
      </c>
      <c r="O526">
        <f>IFERROR(MATCH(SMALL(Firms!$Y$5:$Y$1004,518),Firms!$W$5:$W$1004,0),"")</f>
        <v/>
      </c>
    </row>
    <row r="527">
      <c r="B527" s="78">
        <f>IF($O527="","",INDEX(Firms!$A$5:$A$1004,$O527))</f>
        <v/>
      </c>
      <c r="C527" s="79">
        <f>IF($O527="","",INDEX(Firms!$N$5:$N$1004,$O527)&amp;"")</f>
        <v/>
      </c>
      <c r="D527" s="79">
        <f>IF($O527="","",INDEX(Firms!$P$5:$P$1004,$O527)&amp;"")</f>
        <v/>
      </c>
      <c r="E527" s="79">
        <f>IF($O527="","",INDEX(Firms!$O$5:$O$1004,$O527)&amp;"")</f>
        <v/>
      </c>
      <c r="F527" s="50">
        <f>IF($O527="","",IF(INDEX(Firms!$F$5:$F$1004,$O527)="","—",INDEX(Firms!$F$5:$F$1004,$O527)))</f>
        <v/>
      </c>
      <c r="G527" s="50">
        <f>IF($O527="","",IF(INDEX(Firms!$G$5:$G$1004,$O527)="","—",INDEX(Firms!$G$5:$G$1004,$O527)))</f>
        <v/>
      </c>
      <c r="H527" s="50">
        <f>IF($O527="","",IF(INDEX(Firms!$H$5:$H$1004,$O527)="","—",INDEX(Firms!$H$5:$H$1004,$O527)))</f>
        <v/>
      </c>
      <c r="I527" s="50">
        <f>IF($O527="","",IF(INDEX(Firms!$I$5:$I$1004,$O527)="","—",INDEX(Firms!$I$5:$I$1004,$O527)))</f>
        <v/>
      </c>
      <c r="J527" s="50">
        <f>IF($O527="","",IF(INDEX(Firms!$J$5:$J$1004,$O527)="","—",INDEX(Firms!$J$5:$J$1004,$O527)))</f>
        <v/>
      </c>
      <c r="K527" s="50">
        <f>IF($O527="","",IF(INDEX(Firms!$K$5:$K$1004,$O527)="","—",INDEX(Firms!$K$5:$K$1004,$O527)))</f>
        <v/>
      </c>
      <c r="L527" s="50">
        <f>IF($O527="","",IF(INDEX(Firms!$L$5:$L$1004,$O527)="","—",INDEX(Firms!$L$5:$L$1004,$O527)))</f>
        <v/>
      </c>
      <c r="M527" s="50">
        <f>IF($O527="","",IF(INDEX(Firms!$M$5:$M$1004,$O527)="","—",INDEX(Firms!$M$5:$M$1004,$O527)))</f>
        <v/>
      </c>
      <c r="O527">
        <f>IFERROR(MATCH(SMALL(Firms!$Y$5:$Y$1004,519),Firms!$W$5:$W$1004,0),"")</f>
        <v/>
      </c>
    </row>
    <row r="528">
      <c r="B528" s="78">
        <f>IF($O528="","",INDEX(Firms!$A$5:$A$1004,$O528))</f>
        <v/>
      </c>
      <c r="C528" s="79">
        <f>IF($O528="","",INDEX(Firms!$N$5:$N$1004,$O528)&amp;"")</f>
        <v/>
      </c>
      <c r="D528" s="79">
        <f>IF($O528="","",INDEX(Firms!$P$5:$P$1004,$O528)&amp;"")</f>
        <v/>
      </c>
      <c r="E528" s="79">
        <f>IF($O528="","",INDEX(Firms!$O$5:$O$1004,$O528)&amp;"")</f>
        <v/>
      </c>
      <c r="F528" s="50">
        <f>IF($O528="","",IF(INDEX(Firms!$F$5:$F$1004,$O528)="","—",INDEX(Firms!$F$5:$F$1004,$O528)))</f>
        <v/>
      </c>
      <c r="G528" s="50">
        <f>IF($O528="","",IF(INDEX(Firms!$G$5:$G$1004,$O528)="","—",INDEX(Firms!$G$5:$G$1004,$O528)))</f>
        <v/>
      </c>
      <c r="H528" s="50">
        <f>IF($O528="","",IF(INDEX(Firms!$H$5:$H$1004,$O528)="","—",INDEX(Firms!$H$5:$H$1004,$O528)))</f>
        <v/>
      </c>
      <c r="I528" s="50">
        <f>IF($O528="","",IF(INDEX(Firms!$I$5:$I$1004,$O528)="","—",INDEX(Firms!$I$5:$I$1004,$O528)))</f>
        <v/>
      </c>
      <c r="J528" s="50">
        <f>IF($O528="","",IF(INDEX(Firms!$J$5:$J$1004,$O528)="","—",INDEX(Firms!$J$5:$J$1004,$O528)))</f>
        <v/>
      </c>
      <c r="K528" s="50">
        <f>IF($O528="","",IF(INDEX(Firms!$K$5:$K$1004,$O528)="","—",INDEX(Firms!$K$5:$K$1004,$O528)))</f>
        <v/>
      </c>
      <c r="L528" s="50">
        <f>IF($O528="","",IF(INDEX(Firms!$L$5:$L$1004,$O528)="","—",INDEX(Firms!$L$5:$L$1004,$O528)))</f>
        <v/>
      </c>
      <c r="M528" s="50">
        <f>IF($O528="","",IF(INDEX(Firms!$M$5:$M$1004,$O528)="","—",INDEX(Firms!$M$5:$M$1004,$O528)))</f>
        <v/>
      </c>
      <c r="O528">
        <f>IFERROR(MATCH(SMALL(Firms!$Y$5:$Y$1004,520),Firms!$W$5:$W$1004,0),"")</f>
        <v/>
      </c>
    </row>
    <row r="529">
      <c r="B529" s="78">
        <f>IF($O529="","",INDEX(Firms!$A$5:$A$1004,$O529))</f>
        <v/>
      </c>
      <c r="C529" s="79">
        <f>IF($O529="","",INDEX(Firms!$N$5:$N$1004,$O529)&amp;"")</f>
        <v/>
      </c>
      <c r="D529" s="79">
        <f>IF($O529="","",INDEX(Firms!$P$5:$P$1004,$O529)&amp;"")</f>
        <v/>
      </c>
      <c r="E529" s="79">
        <f>IF($O529="","",INDEX(Firms!$O$5:$O$1004,$O529)&amp;"")</f>
        <v/>
      </c>
      <c r="F529" s="50">
        <f>IF($O529="","",IF(INDEX(Firms!$F$5:$F$1004,$O529)="","—",INDEX(Firms!$F$5:$F$1004,$O529)))</f>
        <v/>
      </c>
      <c r="G529" s="50">
        <f>IF($O529="","",IF(INDEX(Firms!$G$5:$G$1004,$O529)="","—",INDEX(Firms!$G$5:$G$1004,$O529)))</f>
        <v/>
      </c>
      <c r="H529" s="50">
        <f>IF($O529="","",IF(INDEX(Firms!$H$5:$H$1004,$O529)="","—",INDEX(Firms!$H$5:$H$1004,$O529)))</f>
        <v/>
      </c>
      <c r="I529" s="50">
        <f>IF($O529="","",IF(INDEX(Firms!$I$5:$I$1004,$O529)="","—",INDEX(Firms!$I$5:$I$1004,$O529)))</f>
        <v/>
      </c>
      <c r="J529" s="50">
        <f>IF($O529="","",IF(INDEX(Firms!$J$5:$J$1004,$O529)="","—",INDEX(Firms!$J$5:$J$1004,$O529)))</f>
        <v/>
      </c>
      <c r="K529" s="50">
        <f>IF($O529="","",IF(INDEX(Firms!$K$5:$K$1004,$O529)="","—",INDEX(Firms!$K$5:$K$1004,$O529)))</f>
        <v/>
      </c>
      <c r="L529" s="50">
        <f>IF($O529="","",IF(INDEX(Firms!$L$5:$L$1004,$O529)="","—",INDEX(Firms!$L$5:$L$1004,$O529)))</f>
        <v/>
      </c>
      <c r="M529" s="50">
        <f>IF($O529="","",IF(INDEX(Firms!$M$5:$M$1004,$O529)="","—",INDEX(Firms!$M$5:$M$1004,$O529)))</f>
        <v/>
      </c>
      <c r="O529">
        <f>IFERROR(MATCH(SMALL(Firms!$Y$5:$Y$1004,521),Firms!$W$5:$W$1004,0),"")</f>
        <v/>
      </c>
    </row>
    <row r="530">
      <c r="B530" s="78">
        <f>IF($O530="","",INDEX(Firms!$A$5:$A$1004,$O530))</f>
        <v/>
      </c>
      <c r="C530" s="79">
        <f>IF($O530="","",INDEX(Firms!$N$5:$N$1004,$O530)&amp;"")</f>
        <v/>
      </c>
      <c r="D530" s="79">
        <f>IF($O530="","",INDEX(Firms!$P$5:$P$1004,$O530)&amp;"")</f>
        <v/>
      </c>
      <c r="E530" s="79">
        <f>IF($O530="","",INDEX(Firms!$O$5:$O$1004,$O530)&amp;"")</f>
        <v/>
      </c>
      <c r="F530" s="50">
        <f>IF($O530="","",IF(INDEX(Firms!$F$5:$F$1004,$O530)="","—",INDEX(Firms!$F$5:$F$1004,$O530)))</f>
        <v/>
      </c>
      <c r="G530" s="50">
        <f>IF($O530="","",IF(INDEX(Firms!$G$5:$G$1004,$O530)="","—",INDEX(Firms!$G$5:$G$1004,$O530)))</f>
        <v/>
      </c>
      <c r="H530" s="50">
        <f>IF($O530="","",IF(INDEX(Firms!$H$5:$H$1004,$O530)="","—",INDEX(Firms!$H$5:$H$1004,$O530)))</f>
        <v/>
      </c>
      <c r="I530" s="50">
        <f>IF($O530="","",IF(INDEX(Firms!$I$5:$I$1004,$O530)="","—",INDEX(Firms!$I$5:$I$1004,$O530)))</f>
        <v/>
      </c>
      <c r="J530" s="50">
        <f>IF($O530="","",IF(INDEX(Firms!$J$5:$J$1004,$O530)="","—",INDEX(Firms!$J$5:$J$1004,$O530)))</f>
        <v/>
      </c>
      <c r="K530" s="50">
        <f>IF($O530="","",IF(INDEX(Firms!$K$5:$K$1004,$O530)="","—",INDEX(Firms!$K$5:$K$1004,$O530)))</f>
        <v/>
      </c>
      <c r="L530" s="50">
        <f>IF($O530="","",IF(INDEX(Firms!$L$5:$L$1004,$O530)="","—",INDEX(Firms!$L$5:$L$1004,$O530)))</f>
        <v/>
      </c>
      <c r="M530" s="50">
        <f>IF($O530="","",IF(INDEX(Firms!$M$5:$M$1004,$O530)="","—",INDEX(Firms!$M$5:$M$1004,$O530)))</f>
        <v/>
      </c>
      <c r="O530">
        <f>IFERROR(MATCH(SMALL(Firms!$Y$5:$Y$1004,522),Firms!$W$5:$W$1004,0),"")</f>
        <v/>
      </c>
    </row>
    <row r="531">
      <c r="B531" s="78">
        <f>IF($O531="","",INDEX(Firms!$A$5:$A$1004,$O531))</f>
        <v/>
      </c>
      <c r="C531" s="79">
        <f>IF($O531="","",INDEX(Firms!$N$5:$N$1004,$O531)&amp;"")</f>
        <v/>
      </c>
      <c r="D531" s="79">
        <f>IF($O531="","",INDEX(Firms!$P$5:$P$1004,$O531)&amp;"")</f>
        <v/>
      </c>
      <c r="E531" s="79">
        <f>IF($O531="","",INDEX(Firms!$O$5:$O$1004,$O531)&amp;"")</f>
        <v/>
      </c>
      <c r="F531" s="50">
        <f>IF($O531="","",IF(INDEX(Firms!$F$5:$F$1004,$O531)="","—",INDEX(Firms!$F$5:$F$1004,$O531)))</f>
        <v/>
      </c>
      <c r="G531" s="50">
        <f>IF($O531="","",IF(INDEX(Firms!$G$5:$G$1004,$O531)="","—",INDEX(Firms!$G$5:$G$1004,$O531)))</f>
        <v/>
      </c>
      <c r="H531" s="50">
        <f>IF($O531="","",IF(INDEX(Firms!$H$5:$H$1004,$O531)="","—",INDEX(Firms!$H$5:$H$1004,$O531)))</f>
        <v/>
      </c>
      <c r="I531" s="50">
        <f>IF($O531="","",IF(INDEX(Firms!$I$5:$I$1004,$O531)="","—",INDEX(Firms!$I$5:$I$1004,$O531)))</f>
        <v/>
      </c>
      <c r="J531" s="50">
        <f>IF($O531="","",IF(INDEX(Firms!$J$5:$J$1004,$O531)="","—",INDEX(Firms!$J$5:$J$1004,$O531)))</f>
        <v/>
      </c>
      <c r="K531" s="50">
        <f>IF($O531="","",IF(INDEX(Firms!$K$5:$K$1004,$O531)="","—",INDEX(Firms!$K$5:$K$1004,$O531)))</f>
        <v/>
      </c>
      <c r="L531" s="50">
        <f>IF($O531="","",IF(INDEX(Firms!$L$5:$L$1004,$O531)="","—",INDEX(Firms!$L$5:$L$1004,$O531)))</f>
        <v/>
      </c>
      <c r="M531" s="50">
        <f>IF($O531="","",IF(INDEX(Firms!$M$5:$M$1004,$O531)="","—",INDEX(Firms!$M$5:$M$1004,$O531)))</f>
        <v/>
      </c>
      <c r="O531">
        <f>IFERROR(MATCH(SMALL(Firms!$Y$5:$Y$1004,523),Firms!$W$5:$W$1004,0),"")</f>
        <v/>
      </c>
    </row>
    <row r="532">
      <c r="B532" s="78">
        <f>IF($O532="","",INDEX(Firms!$A$5:$A$1004,$O532))</f>
        <v/>
      </c>
      <c r="C532" s="79">
        <f>IF($O532="","",INDEX(Firms!$N$5:$N$1004,$O532)&amp;"")</f>
        <v/>
      </c>
      <c r="D532" s="79">
        <f>IF($O532="","",INDEX(Firms!$P$5:$P$1004,$O532)&amp;"")</f>
        <v/>
      </c>
      <c r="E532" s="79">
        <f>IF($O532="","",INDEX(Firms!$O$5:$O$1004,$O532)&amp;"")</f>
        <v/>
      </c>
      <c r="F532" s="50">
        <f>IF($O532="","",IF(INDEX(Firms!$F$5:$F$1004,$O532)="","—",INDEX(Firms!$F$5:$F$1004,$O532)))</f>
        <v/>
      </c>
      <c r="G532" s="50">
        <f>IF($O532="","",IF(INDEX(Firms!$G$5:$G$1004,$O532)="","—",INDEX(Firms!$G$5:$G$1004,$O532)))</f>
        <v/>
      </c>
      <c r="H532" s="50">
        <f>IF($O532="","",IF(INDEX(Firms!$H$5:$H$1004,$O532)="","—",INDEX(Firms!$H$5:$H$1004,$O532)))</f>
        <v/>
      </c>
      <c r="I532" s="50">
        <f>IF($O532="","",IF(INDEX(Firms!$I$5:$I$1004,$O532)="","—",INDEX(Firms!$I$5:$I$1004,$O532)))</f>
        <v/>
      </c>
      <c r="J532" s="50">
        <f>IF($O532="","",IF(INDEX(Firms!$J$5:$J$1004,$O532)="","—",INDEX(Firms!$J$5:$J$1004,$O532)))</f>
        <v/>
      </c>
      <c r="K532" s="50">
        <f>IF($O532="","",IF(INDEX(Firms!$K$5:$K$1004,$O532)="","—",INDEX(Firms!$K$5:$K$1004,$O532)))</f>
        <v/>
      </c>
      <c r="L532" s="50">
        <f>IF($O532="","",IF(INDEX(Firms!$L$5:$L$1004,$O532)="","—",INDEX(Firms!$L$5:$L$1004,$O532)))</f>
        <v/>
      </c>
      <c r="M532" s="50">
        <f>IF($O532="","",IF(INDEX(Firms!$M$5:$M$1004,$O532)="","—",INDEX(Firms!$M$5:$M$1004,$O532)))</f>
        <v/>
      </c>
      <c r="O532">
        <f>IFERROR(MATCH(SMALL(Firms!$Y$5:$Y$1004,524),Firms!$W$5:$W$1004,0),"")</f>
        <v/>
      </c>
    </row>
    <row r="533">
      <c r="B533" s="78">
        <f>IF($O533="","",INDEX(Firms!$A$5:$A$1004,$O533))</f>
        <v/>
      </c>
      <c r="C533" s="79">
        <f>IF($O533="","",INDEX(Firms!$N$5:$N$1004,$O533)&amp;"")</f>
        <v/>
      </c>
      <c r="D533" s="79">
        <f>IF($O533="","",INDEX(Firms!$P$5:$P$1004,$O533)&amp;"")</f>
        <v/>
      </c>
      <c r="E533" s="79">
        <f>IF($O533="","",INDEX(Firms!$O$5:$O$1004,$O533)&amp;"")</f>
        <v/>
      </c>
      <c r="F533" s="50">
        <f>IF($O533="","",IF(INDEX(Firms!$F$5:$F$1004,$O533)="","—",INDEX(Firms!$F$5:$F$1004,$O533)))</f>
        <v/>
      </c>
      <c r="G533" s="50">
        <f>IF($O533="","",IF(INDEX(Firms!$G$5:$G$1004,$O533)="","—",INDEX(Firms!$G$5:$G$1004,$O533)))</f>
        <v/>
      </c>
      <c r="H533" s="50">
        <f>IF($O533="","",IF(INDEX(Firms!$H$5:$H$1004,$O533)="","—",INDEX(Firms!$H$5:$H$1004,$O533)))</f>
        <v/>
      </c>
      <c r="I533" s="50">
        <f>IF($O533="","",IF(INDEX(Firms!$I$5:$I$1004,$O533)="","—",INDEX(Firms!$I$5:$I$1004,$O533)))</f>
        <v/>
      </c>
      <c r="J533" s="50">
        <f>IF($O533="","",IF(INDEX(Firms!$J$5:$J$1004,$O533)="","—",INDEX(Firms!$J$5:$J$1004,$O533)))</f>
        <v/>
      </c>
      <c r="K533" s="50">
        <f>IF($O533="","",IF(INDEX(Firms!$K$5:$K$1004,$O533)="","—",INDEX(Firms!$K$5:$K$1004,$O533)))</f>
        <v/>
      </c>
      <c r="L533" s="50">
        <f>IF($O533="","",IF(INDEX(Firms!$L$5:$L$1004,$O533)="","—",INDEX(Firms!$L$5:$L$1004,$O533)))</f>
        <v/>
      </c>
      <c r="M533" s="50">
        <f>IF($O533="","",IF(INDEX(Firms!$M$5:$M$1004,$O533)="","—",INDEX(Firms!$M$5:$M$1004,$O533)))</f>
        <v/>
      </c>
      <c r="O533">
        <f>IFERROR(MATCH(SMALL(Firms!$Y$5:$Y$1004,525),Firms!$W$5:$W$1004,0),"")</f>
        <v/>
      </c>
    </row>
    <row r="534">
      <c r="B534" s="78">
        <f>IF($O534="","",INDEX(Firms!$A$5:$A$1004,$O534))</f>
        <v/>
      </c>
      <c r="C534" s="79">
        <f>IF($O534="","",INDEX(Firms!$N$5:$N$1004,$O534)&amp;"")</f>
        <v/>
      </c>
      <c r="D534" s="79">
        <f>IF($O534="","",INDEX(Firms!$P$5:$P$1004,$O534)&amp;"")</f>
        <v/>
      </c>
      <c r="E534" s="79">
        <f>IF($O534="","",INDEX(Firms!$O$5:$O$1004,$O534)&amp;"")</f>
        <v/>
      </c>
      <c r="F534" s="50">
        <f>IF($O534="","",IF(INDEX(Firms!$F$5:$F$1004,$O534)="","—",INDEX(Firms!$F$5:$F$1004,$O534)))</f>
        <v/>
      </c>
      <c r="G534" s="50">
        <f>IF($O534="","",IF(INDEX(Firms!$G$5:$G$1004,$O534)="","—",INDEX(Firms!$G$5:$G$1004,$O534)))</f>
        <v/>
      </c>
      <c r="H534" s="50">
        <f>IF($O534="","",IF(INDEX(Firms!$H$5:$H$1004,$O534)="","—",INDEX(Firms!$H$5:$H$1004,$O534)))</f>
        <v/>
      </c>
      <c r="I534" s="50">
        <f>IF($O534="","",IF(INDEX(Firms!$I$5:$I$1004,$O534)="","—",INDEX(Firms!$I$5:$I$1004,$O534)))</f>
        <v/>
      </c>
      <c r="J534" s="50">
        <f>IF($O534="","",IF(INDEX(Firms!$J$5:$J$1004,$O534)="","—",INDEX(Firms!$J$5:$J$1004,$O534)))</f>
        <v/>
      </c>
      <c r="K534" s="50">
        <f>IF($O534="","",IF(INDEX(Firms!$K$5:$K$1004,$O534)="","—",INDEX(Firms!$K$5:$K$1004,$O534)))</f>
        <v/>
      </c>
      <c r="L534" s="50">
        <f>IF($O534="","",IF(INDEX(Firms!$L$5:$L$1004,$O534)="","—",INDEX(Firms!$L$5:$L$1004,$O534)))</f>
        <v/>
      </c>
      <c r="M534" s="50">
        <f>IF($O534="","",IF(INDEX(Firms!$M$5:$M$1004,$O534)="","—",INDEX(Firms!$M$5:$M$1004,$O534)))</f>
        <v/>
      </c>
      <c r="O534">
        <f>IFERROR(MATCH(SMALL(Firms!$Y$5:$Y$1004,526),Firms!$W$5:$W$1004,0),"")</f>
        <v/>
      </c>
    </row>
    <row r="535">
      <c r="B535" s="78">
        <f>IF($O535="","",INDEX(Firms!$A$5:$A$1004,$O535))</f>
        <v/>
      </c>
      <c r="C535" s="79">
        <f>IF($O535="","",INDEX(Firms!$N$5:$N$1004,$O535)&amp;"")</f>
        <v/>
      </c>
      <c r="D535" s="79">
        <f>IF($O535="","",INDEX(Firms!$P$5:$P$1004,$O535)&amp;"")</f>
        <v/>
      </c>
      <c r="E535" s="79">
        <f>IF($O535="","",INDEX(Firms!$O$5:$O$1004,$O535)&amp;"")</f>
        <v/>
      </c>
      <c r="F535" s="50">
        <f>IF($O535="","",IF(INDEX(Firms!$F$5:$F$1004,$O535)="","—",INDEX(Firms!$F$5:$F$1004,$O535)))</f>
        <v/>
      </c>
      <c r="G535" s="50">
        <f>IF($O535="","",IF(INDEX(Firms!$G$5:$G$1004,$O535)="","—",INDEX(Firms!$G$5:$G$1004,$O535)))</f>
        <v/>
      </c>
      <c r="H535" s="50">
        <f>IF($O535="","",IF(INDEX(Firms!$H$5:$H$1004,$O535)="","—",INDEX(Firms!$H$5:$H$1004,$O535)))</f>
        <v/>
      </c>
      <c r="I535" s="50">
        <f>IF($O535="","",IF(INDEX(Firms!$I$5:$I$1004,$O535)="","—",INDEX(Firms!$I$5:$I$1004,$O535)))</f>
        <v/>
      </c>
      <c r="J535" s="50">
        <f>IF($O535="","",IF(INDEX(Firms!$J$5:$J$1004,$O535)="","—",INDEX(Firms!$J$5:$J$1004,$O535)))</f>
        <v/>
      </c>
      <c r="K535" s="50">
        <f>IF($O535="","",IF(INDEX(Firms!$K$5:$K$1004,$O535)="","—",INDEX(Firms!$K$5:$K$1004,$O535)))</f>
        <v/>
      </c>
      <c r="L535" s="50">
        <f>IF($O535="","",IF(INDEX(Firms!$L$5:$L$1004,$O535)="","—",INDEX(Firms!$L$5:$L$1004,$O535)))</f>
        <v/>
      </c>
      <c r="M535" s="50">
        <f>IF($O535="","",IF(INDEX(Firms!$M$5:$M$1004,$O535)="","—",INDEX(Firms!$M$5:$M$1004,$O535)))</f>
        <v/>
      </c>
      <c r="O535">
        <f>IFERROR(MATCH(SMALL(Firms!$Y$5:$Y$1004,527),Firms!$W$5:$W$1004,0),"")</f>
        <v/>
      </c>
    </row>
    <row r="536">
      <c r="B536" s="78">
        <f>IF($O536="","",INDEX(Firms!$A$5:$A$1004,$O536))</f>
        <v/>
      </c>
      <c r="C536" s="79">
        <f>IF($O536="","",INDEX(Firms!$N$5:$N$1004,$O536)&amp;"")</f>
        <v/>
      </c>
      <c r="D536" s="79">
        <f>IF($O536="","",INDEX(Firms!$P$5:$P$1004,$O536)&amp;"")</f>
        <v/>
      </c>
      <c r="E536" s="79">
        <f>IF($O536="","",INDEX(Firms!$O$5:$O$1004,$O536)&amp;"")</f>
        <v/>
      </c>
      <c r="F536" s="50">
        <f>IF($O536="","",IF(INDEX(Firms!$F$5:$F$1004,$O536)="","—",INDEX(Firms!$F$5:$F$1004,$O536)))</f>
        <v/>
      </c>
      <c r="G536" s="50">
        <f>IF($O536="","",IF(INDEX(Firms!$G$5:$G$1004,$O536)="","—",INDEX(Firms!$G$5:$G$1004,$O536)))</f>
        <v/>
      </c>
      <c r="H536" s="50">
        <f>IF($O536="","",IF(INDEX(Firms!$H$5:$H$1004,$O536)="","—",INDEX(Firms!$H$5:$H$1004,$O536)))</f>
        <v/>
      </c>
      <c r="I536" s="50">
        <f>IF($O536="","",IF(INDEX(Firms!$I$5:$I$1004,$O536)="","—",INDEX(Firms!$I$5:$I$1004,$O536)))</f>
        <v/>
      </c>
      <c r="J536" s="50">
        <f>IF($O536="","",IF(INDEX(Firms!$J$5:$J$1004,$O536)="","—",INDEX(Firms!$J$5:$J$1004,$O536)))</f>
        <v/>
      </c>
      <c r="K536" s="50">
        <f>IF($O536="","",IF(INDEX(Firms!$K$5:$K$1004,$O536)="","—",INDEX(Firms!$K$5:$K$1004,$O536)))</f>
        <v/>
      </c>
      <c r="L536" s="50">
        <f>IF($O536="","",IF(INDEX(Firms!$L$5:$L$1004,$O536)="","—",INDEX(Firms!$L$5:$L$1004,$O536)))</f>
        <v/>
      </c>
      <c r="M536" s="50">
        <f>IF($O536="","",IF(INDEX(Firms!$M$5:$M$1004,$O536)="","—",INDEX(Firms!$M$5:$M$1004,$O536)))</f>
        <v/>
      </c>
      <c r="O536">
        <f>IFERROR(MATCH(SMALL(Firms!$Y$5:$Y$1004,528),Firms!$W$5:$W$1004,0),"")</f>
        <v/>
      </c>
    </row>
    <row r="537">
      <c r="B537" s="78">
        <f>IF($O537="","",INDEX(Firms!$A$5:$A$1004,$O537))</f>
        <v/>
      </c>
      <c r="C537" s="79">
        <f>IF($O537="","",INDEX(Firms!$N$5:$N$1004,$O537)&amp;"")</f>
        <v/>
      </c>
      <c r="D537" s="79">
        <f>IF($O537="","",INDEX(Firms!$P$5:$P$1004,$O537)&amp;"")</f>
        <v/>
      </c>
      <c r="E537" s="79">
        <f>IF($O537="","",INDEX(Firms!$O$5:$O$1004,$O537)&amp;"")</f>
        <v/>
      </c>
      <c r="F537" s="50">
        <f>IF($O537="","",IF(INDEX(Firms!$F$5:$F$1004,$O537)="","—",INDEX(Firms!$F$5:$F$1004,$O537)))</f>
        <v/>
      </c>
      <c r="G537" s="50">
        <f>IF($O537="","",IF(INDEX(Firms!$G$5:$G$1004,$O537)="","—",INDEX(Firms!$G$5:$G$1004,$O537)))</f>
        <v/>
      </c>
      <c r="H537" s="50">
        <f>IF($O537="","",IF(INDEX(Firms!$H$5:$H$1004,$O537)="","—",INDEX(Firms!$H$5:$H$1004,$O537)))</f>
        <v/>
      </c>
      <c r="I537" s="50">
        <f>IF($O537="","",IF(INDEX(Firms!$I$5:$I$1004,$O537)="","—",INDEX(Firms!$I$5:$I$1004,$O537)))</f>
        <v/>
      </c>
      <c r="J537" s="50">
        <f>IF($O537="","",IF(INDEX(Firms!$J$5:$J$1004,$O537)="","—",INDEX(Firms!$J$5:$J$1004,$O537)))</f>
        <v/>
      </c>
      <c r="K537" s="50">
        <f>IF($O537="","",IF(INDEX(Firms!$K$5:$K$1004,$O537)="","—",INDEX(Firms!$K$5:$K$1004,$O537)))</f>
        <v/>
      </c>
      <c r="L537" s="50">
        <f>IF($O537="","",IF(INDEX(Firms!$L$5:$L$1004,$O537)="","—",INDEX(Firms!$L$5:$L$1004,$O537)))</f>
        <v/>
      </c>
      <c r="M537" s="50">
        <f>IF($O537="","",IF(INDEX(Firms!$M$5:$M$1004,$O537)="","—",INDEX(Firms!$M$5:$M$1004,$O537)))</f>
        <v/>
      </c>
      <c r="O537">
        <f>IFERROR(MATCH(SMALL(Firms!$Y$5:$Y$1004,529),Firms!$W$5:$W$1004,0),"")</f>
        <v/>
      </c>
    </row>
    <row r="538">
      <c r="B538" s="78">
        <f>IF($O538="","",INDEX(Firms!$A$5:$A$1004,$O538))</f>
        <v/>
      </c>
      <c r="C538" s="79">
        <f>IF($O538="","",INDEX(Firms!$N$5:$N$1004,$O538)&amp;"")</f>
        <v/>
      </c>
      <c r="D538" s="79">
        <f>IF($O538="","",INDEX(Firms!$P$5:$P$1004,$O538)&amp;"")</f>
        <v/>
      </c>
      <c r="E538" s="79">
        <f>IF($O538="","",INDEX(Firms!$O$5:$O$1004,$O538)&amp;"")</f>
        <v/>
      </c>
      <c r="F538" s="50">
        <f>IF($O538="","",IF(INDEX(Firms!$F$5:$F$1004,$O538)="","—",INDEX(Firms!$F$5:$F$1004,$O538)))</f>
        <v/>
      </c>
      <c r="G538" s="50">
        <f>IF($O538="","",IF(INDEX(Firms!$G$5:$G$1004,$O538)="","—",INDEX(Firms!$G$5:$G$1004,$O538)))</f>
        <v/>
      </c>
      <c r="H538" s="50">
        <f>IF($O538="","",IF(INDEX(Firms!$H$5:$H$1004,$O538)="","—",INDEX(Firms!$H$5:$H$1004,$O538)))</f>
        <v/>
      </c>
      <c r="I538" s="50">
        <f>IF($O538="","",IF(INDEX(Firms!$I$5:$I$1004,$O538)="","—",INDEX(Firms!$I$5:$I$1004,$O538)))</f>
        <v/>
      </c>
      <c r="J538" s="50">
        <f>IF($O538="","",IF(INDEX(Firms!$J$5:$J$1004,$O538)="","—",INDEX(Firms!$J$5:$J$1004,$O538)))</f>
        <v/>
      </c>
      <c r="K538" s="50">
        <f>IF($O538="","",IF(INDEX(Firms!$K$5:$K$1004,$O538)="","—",INDEX(Firms!$K$5:$K$1004,$O538)))</f>
        <v/>
      </c>
      <c r="L538" s="50">
        <f>IF($O538="","",IF(INDEX(Firms!$L$5:$L$1004,$O538)="","—",INDEX(Firms!$L$5:$L$1004,$O538)))</f>
        <v/>
      </c>
      <c r="M538" s="50">
        <f>IF($O538="","",IF(INDEX(Firms!$M$5:$M$1004,$O538)="","—",INDEX(Firms!$M$5:$M$1004,$O538)))</f>
        <v/>
      </c>
      <c r="O538">
        <f>IFERROR(MATCH(SMALL(Firms!$Y$5:$Y$1004,530),Firms!$W$5:$W$1004,0),"")</f>
        <v/>
      </c>
    </row>
    <row r="539">
      <c r="B539" s="78">
        <f>IF($O539="","",INDEX(Firms!$A$5:$A$1004,$O539))</f>
        <v/>
      </c>
      <c r="C539" s="79">
        <f>IF($O539="","",INDEX(Firms!$N$5:$N$1004,$O539)&amp;"")</f>
        <v/>
      </c>
      <c r="D539" s="79">
        <f>IF($O539="","",INDEX(Firms!$P$5:$P$1004,$O539)&amp;"")</f>
        <v/>
      </c>
      <c r="E539" s="79">
        <f>IF($O539="","",INDEX(Firms!$O$5:$O$1004,$O539)&amp;"")</f>
        <v/>
      </c>
      <c r="F539" s="50">
        <f>IF($O539="","",IF(INDEX(Firms!$F$5:$F$1004,$O539)="","—",INDEX(Firms!$F$5:$F$1004,$O539)))</f>
        <v/>
      </c>
      <c r="G539" s="50">
        <f>IF($O539="","",IF(INDEX(Firms!$G$5:$G$1004,$O539)="","—",INDEX(Firms!$G$5:$G$1004,$O539)))</f>
        <v/>
      </c>
      <c r="H539" s="50">
        <f>IF($O539="","",IF(INDEX(Firms!$H$5:$H$1004,$O539)="","—",INDEX(Firms!$H$5:$H$1004,$O539)))</f>
        <v/>
      </c>
      <c r="I539" s="50">
        <f>IF($O539="","",IF(INDEX(Firms!$I$5:$I$1004,$O539)="","—",INDEX(Firms!$I$5:$I$1004,$O539)))</f>
        <v/>
      </c>
      <c r="J539" s="50">
        <f>IF($O539="","",IF(INDEX(Firms!$J$5:$J$1004,$O539)="","—",INDEX(Firms!$J$5:$J$1004,$O539)))</f>
        <v/>
      </c>
      <c r="K539" s="50">
        <f>IF($O539="","",IF(INDEX(Firms!$K$5:$K$1004,$O539)="","—",INDEX(Firms!$K$5:$K$1004,$O539)))</f>
        <v/>
      </c>
      <c r="L539" s="50">
        <f>IF($O539="","",IF(INDEX(Firms!$L$5:$L$1004,$O539)="","—",INDEX(Firms!$L$5:$L$1004,$O539)))</f>
        <v/>
      </c>
      <c r="M539" s="50">
        <f>IF($O539="","",IF(INDEX(Firms!$M$5:$M$1004,$O539)="","—",INDEX(Firms!$M$5:$M$1004,$O539)))</f>
        <v/>
      </c>
      <c r="O539">
        <f>IFERROR(MATCH(SMALL(Firms!$Y$5:$Y$1004,531),Firms!$W$5:$W$1004,0),"")</f>
        <v/>
      </c>
    </row>
    <row r="540">
      <c r="B540" s="78">
        <f>IF($O540="","",INDEX(Firms!$A$5:$A$1004,$O540))</f>
        <v/>
      </c>
      <c r="C540" s="79">
        <f>IF($O540="","",INDEX(Firms!$N$5:$N$1004,$O540)&amp;"")</f>
        <v/>
      </c>
      <c r="D540" s="79">
        <f>IF($O540="","",INDEX(Firms!$P$5:$P$1004,$O540)&amp;"")</f>
        <v/>
      </c>
      <c r="E540" s="79">
        <f>IF($O540="","",INDEX(Firms!$O$5:$O$1004,$O540)&amp;"")</f>
        <v/>
      </c>
      <c r="F540" s="50">
        <f>IF($O540="","",IF(INDEX(Firms!$F$5:$F$1004,$O540)="","—",INDEX(Firms!$F$5:$F$1004,$O540)))</f>
        <v/>
      </c>
      <c r="G540" s="50">
        <f>IF($O540="","",IF(INDEX(Firms!$G$5:$G$1004,$O540)="","—",INDEX(Firms!$G$5:$G$1004,$O540)))</f>
        <v/>
      </c>
      <c r="H540" s="50">
        <f>IF($O540="","",IF(INDEX(Firms!$H$5:$H$1004,$O540)="","—",INDEX(Firms!$H$5:$H$1004,$O540)))</f>
        <v/>
      </c>
      <c r="I540" s="50">
        <f>IF($O540="","",IF(INDEX(Firms!$I$5:$I$1004,$O540)="","—",INDEX(Firms!$I$5:$I$1004,$O540)))</f>
        <v/>
      </c>
      <c r="J540" s="50">
        <f>IF($O540="","",IF(INDEX(Firms!$J$5:$J$1004,$O540)="","—",INDEX(Firms!$J$5:$J$1004,$O540)))</f>
        <v/>
      </c>
      <c r="K540" s="50">
        <f>IF($O540="","",IF(INDEX(Firms!$K$5:$K$1004,$O540)="","—",INDEX(Firms!$K$5:$K$1004,$O540)))</f>
        <v/>
      </c>
      <c r="L540" s="50">
        <f>IF($O540="","",IF(INDEX(Firms!$L$5:$L$1004,$O540)="","—",INDEX(Firms!$L$5:$L$1004,$O540)))</f>
        <v/>
      </c>
      <c r="M540" s="50">
        <f>IF($O540="","",IF(INDEX(Firms!$M$5:$M$1004,$O540)="","—",INDEX(Firms!$M$5:$M$1004,$O540)))</f>
        <v/>
      </c>
      <c r="O540">
        <f>IFERROR(MATCH(SMALL(Firms!$Y$5:$Y$1004,532),Firms!$W$5:$W$1004,0),"")</f>
        <v/>
      </c>
    </row>
    <row r="541">
      <c r="B541" s="78">
        <f>IF($O541="","",INDEX(Firms!$A$5:$A$1004,$O541))</f>
        <v/>
      </c>
      <c r="C541" s="79">
        <f>IF($O541="","",INDEX(Firms!$N$5:$N$1004,$O541)&amp;"")</f>
        <v/>
      </c>
      <c r="D541" s="79">
        <f>IF($O541="","",INDEX(Firms!$P$5:$P$1004,$O541)&amp;"")</f>
        <v/>
      </c>
      <c r="E541" s="79">
        <f>IF($O541="","",INDEX(Firms!$O$5:$O$1004,$O541)&amp;"")</f>
        <v/>
      </c>
      <c r="F541" s="50">
        <f>IF($O541="","",IF(INDEX(Firms!$F$5:$F$1004,$O541)="","—",INDEX(Firms!$F$5:$F$1004,$O541)))</f>
        <v/>
      </c>
      <c r="G541" s="50">
        <f>IF($O541="","",IF(INDEX(Firms!$G$5:$G$1004,$O541)="","—",INDEX(Firms!$G$5:$G$1004,$O541)))</f>
        <v/>
      </c>
      <c r="H541" s="50">
        <f>IF($O541="","",IF(INDEX(Firms!$H$5:$H$1004,$O541)="","—",INDEX(Firms!$H$5:$H$1004,$O541)))</f>
        <v/>
      </c>
      <c r="I541" s="50">
        <f>IF($O541="","",IF(INDEX(Firms!$I$5:$I$1004,$O541)="","—",INDEX(Firms!$I$5:$I$1004,$O541)))</f>
        <v/>
      </c>
      <c r="J541" s="50">
        <f>IF($O541="","",IF(INDEX(Firms!$J$5:$J$1004,$O541)="","—",INDEX(Firms!$J$5:$J$1004,$O541)))</f>
        <v/>
      </c>
      <c r="K541" s="50">
        <f>IF($O541="","",IF(INDEX(Firms!$K$5:$K$1004,$O541)="","—",INDEX(Firms!$K$5:$K$1004,$O541)))</f>
        <v/>
      </c>
      <c r="L541" s="50">
        <f>IF($O541="","",IF(INDEX(Firms!$L$5:$L$1004,$O541)="","—",INDEX(Firms!$L$5:$L$1004,$O541)))</f>
        <v/>
      </c>
      <c r="M541" s="50">
        <f>IF($O541="","",IF(INDEX(Firms!$M$5:$M$1004,$O541)="","—",INDEX(Firms!$M$5:$M$1004,$O541)))</f>
        <v/>
      </c>
      <c r="O541">
        <f>IFERROR(MATCH(SMALL(Firms!$Y$5:$Y$1004,533),Firms!$W$5:$W$1004,0),"")</f>
        <v/>
      </c>
    </row>
    <row r="542">
      <c r="B542" s="78">
        <f>IF($O542="","",INDEX(Firms!$A$5:$A$1004,$O542))</f>
        <v/>
      </c>
      <c r="C542" s="79">
        <f>IF($O542="","",INDEX(Firms!$N$5:$N$1004,$O542)&amp;"")</f>
        <v/>
      </c>
      <c r="D542" s="79">
        <f>IF($O542="","",INDEX(Firms!$P$5:$P$1004,$O542)&amp;"")</f>
        <v/>
      </c>
      <c r="E542" s="79">
        <f>IF($O542="","",INDEX(Firms!$O$5:$O$1004,$O542)&amp;"")</f>
        <v/>
      </c>
      <c r="F542" s="50">
        <f>IF($O542="","",IF(INDEX(Firms!$F$5:$F$1004,$O542)="","—",INDEX(Firms!$F$5:$F$1004,$O542)))</f>
        <v/>
      </c>
      <c r="G542" s="50">
        <f>IF($O542="","",IF(INDEX(Firms!$G$5:$G$1004,$O542)="","—",INDEX(Firms!$G$5:$G$1004,$O542)))</f>
        <v/>
      </c>
      <c r="H542" s="50">
        <f>IF($O542="","",IF(INDEX(Firms!$H$5:$H$1004,$O542)="","—",INDEX(Firms!$H$5:$H$1004,$O542)))</f>
        <v/>
      </c>
      <c r="I542" s="50">
        <f>IF($O542="","",IF(INDEX(Firms!$I$5:$I$1004,$O542)="","—",INDEX(Firms!$I$5:$I$1004,$O542)))</f>
        <v/>
      </c>
      <c r="J542" s="50">
        <f>IF($O542="","",IF(INDEX(Firms!$J$5:$J$1004,$O542)="","—",INDEX(Firms!$J$5:$J$1004,$O542)))</f>
        <v/>
      </c>
      <c r="K542" s="50">
        <f>IF($O542="","",IF(INDEX(Firms!$K$5:$K$1004,$O542)="","—",INDEX(Firms!$K$5:$K$1004,$O542)))</f>
        <v/>
      </c>
      <c r="L542" s="50">
        <f>IF($O542="","",IF(INDEX(Firms!$L$5:$L$1004,$O542)="","—",INDEX(Firms!$L$5:$L$1004,$O542)))</f>
        <v/>
      </c>
      <c r="M542" s="50">
        <f>IF($O542="","",IF(INDEX(Firms!$M$5:$M$1004,$O542)="","—",INDEX(Firms!$M$5:$M$1004,$O542)))</f>
        <v/>
      </c>
      <c r="O542">
        <f>IFERROR(MATCH(SMALL(Firms!$Y$5:$Y$1004,534),Firms!$W$5:$W$1004,0),"")</f>
        <v/>
      </c>
    </row>
    <row r="543">
      <c r="B543" s="78">
        <f>IF($O543="","",INDEX(Firms!$A$5:$A$1004,$O543))</f>
        <v/>
      </c>
      <c r="C543" s="79">
        <f>IF($O543="","",INDEX(Firms!$N$5:$N$1004,$O543)&amp;"")</f>
        <v/>
      </c>
      <c r="D543" s="79">
        <f>IF($O543="","",INDEX(Firms!$P$5:$P$1004,$O543)&amp;"")</f>
        <v/>
      </c>
      <c r="E543" s="79">
        <f>IF($O543="","",INDEX(Firms!$O$5:$O$1004,$O543)&amp;"")</f>
        <v/>
      </c>
      <c r="F543" s="50">
        <f>IF($O543="","",IF(INDEX(Firms!$F$5:$F$1004,$O543)="","—",INDEX(Firms!$F$5:$F$1004,$O543)))</f>
        <v/>
      </c>
      <c r="G543" s="50">
        <f>IF($O543="","",IF(INDEX(Firms!$G$5:$G$1004,$O543)="","—",INDEX(Firms!$G$5:$G$1004,$O543)))</f>
        <v/>
      </c>
      <c r="H543" s="50">
        <f>IF($O543="","",IF(INDEX(Firms!$H$5:$H$1004,$O543)="","—",INDEX(Firms!$H$5:$H$1004,$O543)))</f>
        <v/>
      </c>
      <c r="I543" s="50">
        <f>IF($O543="","",IF(INDEX(Firms!$I$5:$I$1004,$O543)="","—",INDEX(Firms!$I$5:$I$1004,$O543)))</f>
        <v/>
      </c>
      <c r="J543" s="50">
        <f>IF($O543="","",IF(INDEX(Firms!$J$5:$J$1004,$O543)="","—",INDEX(Firms!$J$5:$J$1004,$O543)))</f>
        <v/>
      </c>
      <c r="K543" s="50">
        <f>IF($O543="","",IF(INDEX(Firms!$K$5:$K$1004,$O543)="","—",INDEX(Firms!$K$5:$K$1004,$O543)))</f>
        <v/>
      </c>
      <c r="L543" s="50">
        <f>IF($O543="","",IF(INDEX(Firms!$L$5:$L$1004,$O543)="","—",INDEX(Firms!$L$5:$L$1004,$O543)))</f>
        <v/>
      </c>
      <c r="M543" s="50">
        <f>IF($O543="","",IF(INDEX(Firms!$M$5:$M$1004,$O543)="","—",INDEX(Firms!$M$5:$M$1004,$O543)))</f>
        <v/>
      </c>
      <c r="O543">
        <f>IFERROR(MATCH(SMALL(Firms!$Y$5:$Y$1004,535),Firms!$W$5:$W$1004,0),"")</f>
        <v/>
      </c>
    </row>
    <row r="544">
      <c r="B544" s="78">
        <f>IF($O544="","",INDEX(Firms!$A$5:$A$1004,$O544))</f>
        <v/>
      </c>
      <c r="C544" s="79">
        <f>IF($O544="","",INDEX(Firms!$N$5:$N$1004,$O544)&amp;"")</f>
        <v/>
      </c>
      <c r="D544" s="79">
        <f>IF($O544="","",INDEX(Firms!$P$5:$P$1004,$O544)&amp;"")</f>
        <v/>
      </c>
      <c r="E544" s="79">
        <f>IF($O544="","",INDEX(Firms!$O$5:$O$1004,$O544)&amp;"")</f>
        <v/>
      </c>
      <c r="F544" s="50">
        <f>IF($O544="","",IF(INDEX(Firms!$F$5:$F$1004,$O544)="","—",INDEX(Firms!$F$5:$F$1004,$O544)))</f>
        <v/>
      </c>
      <c r="G544" s="50">
        <f>IF($O544="","",IF(INDEX(Firms!$G$5:$G$1004,$O544)="","—",INDEX(Firms!$G$5:$G$1004,$O544)))</f>
        <v/>
      </c>
      <c r="H544" s="50">
        <f>IF($O544="","",IF(INDEX(Firms!$H$5:$H$1004,$O544)="","—",INDEX(Firms!$H$5:$H$1004,$O544)))</f>
        <v/>
      </c>
      <c r="I544" s="50">
        <f>IF($O544="","",IF(INDEX(Firms!$I$5:$I$1004,$O544)="","—",INDEX(Firms!$I$5:$I$1004,$O544)))</f>
        <v/>
      </c>
      <c r="J544" s="50">
        <f>IF($O544="","",IF(INDEX(Firms!$J$5:$J$1004,$O544)="","—",INDEX(Firms!$J$5:$J$1004,$O544)))</f>
        <v/>
      </c>
      <c r="K544" s="50">
        <f>IF($O544="","",IF(INDEX(Firms!$K$5:$K$1004,$O544)="","—",INDEX(Firms!$K$5:$K$1004,$O544)))</f>
        <v/>
      </c>
      <c r="L544" s="50">
        <f>IF($O544="","",IF(INDEX(Firms!$L$5:$L$1004,$O544)="","—",INDEX(Firms!$L$5:$L$1004,$O544)))</f>
        <v/>
      </c>
      <c r="M544" s="50">
        <f>IF($O544="","",IF(INDEX(Firms!$M$5:$M$1004,$O544)="","—",INDEX(Firms!$M$5:$M$1004,$O544)))</f>
        <v/>
      </c>
      <c r="O544">
        <f>IFERROR(MATCH(SMALL(Firms!$Y$5:$Y$1004,536),Firms!$W$5:$W$1004,0),"")</f>
        <v/>
      </c>
    </row>
    <row r="545">
      <c r="B545" s="78">
        <f>IF($O545="","",INDEX(Firms!$A$5:$A$1004,$O545))</f>
        <v/>
      </c>
      <c r="C545" s="79">
        <f>IF($O545="","",INDEX(Firms!$N$5:$N$1004,$O545)&amp;"")</f>
        <v/>
      </c>
      <c r="D545" s="79">
        <f>IF($O545="","",INDEX(Firms!$P$5:$P$1004,$O545)&amp;"")</f>
        <v/>
      </c>
      <c r="E545" s="79">
        <f>IF($O545="","",INDEX(Firms!$O$5:$O$1004,$O545)&amp;"")</f>
        <v/>
      </c>
      <c r="F545" s="50">
        <f>IF($O545="","",IF(INDEX(Firms!$F$5:$F$1004,$O545)="","—",INDEX(Firms!$F$5:$F$1004,$O545)))</f>
        <v/>
      </c>
      <c r="G545" s="50">
        <f>IF($O545="","",IF(INDEX(Firms!$G$5:$G$1004,$O545)="","—",INDEX(Firms!$G$5:$G$1004,$O545)))</f>
        <v/>
      </c>
      <c r="H545" s="50">
        <f>IF($O545="","",IF(INDEX(Firms!$H$5:$H$1004,$O545)="","—",INDEX(Firms!$H$5:$H$1004,$O545)))</f>
        <v/>
      </c>
      <c r="I545" s="50">
        <f>IF($O545="","",IF(INDEX(Firms!$I$5:$I$1004,$O545)="","—",INDEX(Firms!$I$5:$I$1004,$O545)))</f>
        <v/>
      </c>
      <c r="J545" s="50">
        <f>IF($O545="","",IF(INDEX(Firms!$J$5:$J$1004,$O545)="","—",INDEX(Firms!$J$5:$J$1004,$O545)))</f>
        <v/>
      </c>
      <c r="K545" s="50">
        <f>IF($O545="","",IF(INDEX(Firms!$K$5:$K$1004,$O545)="","—",INDEX(Firms!$K$5:$K$1004,$O545)))</f>
        <v/>
      </c>
      <c r="L545" s="50">
        <f>IF($O545="","",IF(INDEX(Firms!$L$5:$L$1004,$O545)="","—",INDEX(Firms!$L$5:$L$1004,$O545)))</f>
        <v/>
      </c>
      <c r="M545" s="50">
        <f>IF($O545="","",IF(INDEX(Firms!$M$5:$M$1004,$O545)="","—",INDEX(Firms!$M$5:$M$1004,$O545)))</f>
        <v/>
      </c>
      <c r="O545">
        <f>IFERROR(MATCH(SMALL(Firms!$Y$5:$Y$1004,537),Firms!$W$5:$W$1004,0),"")</f>
        <v/>
      </c>
    </row>
    <row r="546">
      <c r="B546" s="78">
        <f>IF($O546="","",INDEX(Firms!$A$5:$A$1004,$O546))</f>
        <v/>
      </c>
      <c r="C546" s="79">
        <f>IF($O546="","",INDEX(Firms!$N$5:$N$1004,$O546)&amp;"")</f>
        <v/>
      </c>
      <c r="D546" s="79">
        <f>IF($O546="","",INDEX(Firms!$P$5:$P$1004,$O546)&amp;"")</f>
        <v/>
      </c>
      <c r="E546" s="79">
        <f>IF($O546="","",INDEX(Firms!$O$5:$O$1004,$O546)&amp;"")</f>
        <v/>
      </c>
      <c r="F546" s="50">
        <f>IF($O546="","",IF(INDEX(Firms!$F$5:$F$1004,$O546)="","—",INDEX(Firms!$F$5:$F$1004,$O546)))</f>
        <v/>
      </c>
      <c r="G546" s="50">
        <f>IF($O546="","",IF(INDEX(Firms!$G$5:$G$1004,$O546)="","—",INDEX(Firms!$G$5:$G$1004,$O546)))</f>
        <v/>
      </c>
      <c r="H546" s="50">
        <f>IF($O546="","",IF(INDEX(Firms!$H$5:$H$1004,$O546)="","—",INDEX(Firms!$H$5:$H$1004,$O546)))</f>
        <v/>
      </c>
      <c r="I546" s="50">
        <f>IF($O546="","",IF(INDEX(Firms!$I$5:$I$1004,$O546)="","—",INDEX(Firms!$I$5:$I$1004,$O546)))</f>
        <v/>
      </c>
      <c r="J546" s="50">
        <f>IF($O546="","",IF(INDEX(Firms!$J$5:$J$1004,$O546)="","—",INDEX(Firms!$J$5:$J$1004,$O546)))</f>
        <v/>
      </c>
      <c r="K546" s="50">
        <f>IF($O546="","",IF(INDEX(Firms!$K$5:$K$1004,$O546)="","—",INDEX(Firms!$K$5:$K$1004,$O546)))</f>
        <v/>
      </c>
      <c r="L546" s="50">
        <f>IF($O546="","",IF(INDEX(Firms!$L$5:$L$1004,$O546)="","—",INDEX(Firms!$L$5:$L$1004,$O546)))</f>
        <v/>
      </c>
      <c r="M546" s="50">
        <f>IF($O546="","",IF(INDEX(Firms!$M$5:$M$1004,$O546)="","—",INDEX(Firms!$M$5:$M$1004,$O546)))</f>
        <v/>
      </c>
      <c r="O546">
        <f>IFERROR(MATCH(SMALL(Firms!$Y$5:$Y$1004,538),Firms!$W$5:$W$1004,0),"")</f>
        <v/>
      </c>
    </row>
    <row r="547">
      <c r="B547" s="78">
        <f>IF($O547="","",INDEX(Firms!$A$5:$A$1004,$O547))</f>
        <v/>
      </c>
      <c r="C547" s="79">
        <f>IF($O547="","",INDEX(Firms!$N$5:$N$1004,$O547)&amp;"")</f>
        <v/>
      </c>
      <c r="D547" s="79">
        <f>IF($O547="","",INDEX(Firms!$P$5:$P$1004,$O547)&amp;"")</f>
        <v/>
      </c>
      <c r="E547" s="79">
        <f>IF($O547="","",INDEX(Firms!$O$5:$O$1004,$O547)&amp;"")</f>
        <v/>
      </c>
      <c r="F547" s="50">
        <f>IF($O547="","",IF(INDEX(Firms!$F$5:$F$1004,$O547)="","—",INDEX(Firms!$F$5:$F$1004,$O547)))</f>
        <v/>
      </c>
      <c r="G547" s="50">
        <f>IF($O547="","",IF(INDEX(Firms!$G$5:$G$1004,$O547)="","—",INDEX(Firms!$G$5:$G$1004,$O547)))</f>
        <v/>
      </c>
      <c r="H547" s="50">
        <f>IF($O547="","",IF(INDEX(Firms!$H$5:$H$1004,$O547)="","—",INDEX(Firms!$H$5:$H$1004,$O547)))</f>
        <v/>
      </c>
      <c r="I547" s="50">
        <f>IF($O547="","",IF(INDEX(Firms!$I$5:$I$1004,$O547)="","—",INDEX(Firms!$I$5:$I$1004,$O547)))</f>
        <v/>
      </c>
      <c r="J547" s="50">
        <f>IF($O547="","",IF(INDEX(Firms!$J$5:$J$1004,$O547)="","—",INDEX(Firms!$J$5:$J$1004,$O547)))</f>
        <v/>
      </c>
      <c r="K547" s="50">
        <f>IF($O547="","",IF(INDEX(Firms!$K$5:$K$1004,$O547)="","—",INDEX(Firms!$K$5:$K$1004,$O547)))</f>
        <v/>
      </c>
      <c r="L547" s="50">
        <f>IF($O547="","",IF(INDEX(Firms!$L$5:$L$1004,$O547)="","—",INDEX(Firms!$L$5:$L$1004,$O547)))</f>
        <v/>
      </c>
      <c r="M547" s="50">
        <f>IF($O547="","",IF(INDEX(Firms!$M$5:$M$1004,$O547)="","—",INDEX(Firms!$M$5:$M$1004,$O547)))</f>
        <v/>
      </c>
      <c r="O547">
        <f>IFERROR(MATCH(SMALL(Firms!$Y$5:$Y$1004,539),Firms!$W$5:$W$1004,0),"")</f>
        <v/>
      </c>
    </row>
    <row r="548">
      <c r="B548" s="78">
        <f>IF($O548="","",INDEX(Firms!$A$5:$A$1004,$O548))</f>
        <v/>
      </c>
      <c r="C548" s="79">
        <f>IF($O548="","",INDEX(Firms!$N$5:$N$1004,$O548)&amp;"")</f>
        <v/>
      </c>
      <c r="D548" s="79">
        <f>IF($O548="","",INDEX(Firms!$P$5:$P$1004,$O548)&amp;"")</f>
        <v/>
      </c>
      <c r="E548" s="79">
        <f>IF($O548="","",INDEX(Firms!$O$5:$O$1004,$O548)&amp;"")</f>
        <v/>
      </c>
      <c r="F548" s="50">
        <f>IF($O548="","",IF(INDEX(Firms!$F$5:$F$1004,$O548)="","—",INDEX(Firms!$F$5:$F$1004,$O548)))</f>
        <v/>
      </c>
      <c r="G548" s="50">
        <f>IF($O548="","",IF(INDEX(Firms!$G$5:$G$1004,$O548)="","—",INDEX(Firms!$G$5:$G$1004,$O548)))</f>
        <v/>
      </c>
      <c r="H548" s="50">
        <f>IF($O548="","",IF(INDEX(Firms!$H$5:$H$1004,$O548)="","—",INDEX(Firms!$H$5:$H$1004,$O548)))</f>
        <v/>
      </c>
      <c r="I548" s="50">
        <f>IF($O548="","",IF(INDEX(Firms!$I$5:$I$1004,$O548)="","—",INDEX(Firms!$I$5:$I$1004,$O548)))</f>
        <v/>
      </c>
      <c r="J548" s="50">
        <f>IF($O548="","",IF(INDEX(Firms!$J$5:$J$1004,$O548)="","—",INDEX(Firms!$J$5:$J$1004,$O548)))</f>
        <v/>
      </c>
      <c r="K548" s="50">
        <f>IF($O548="","",IF(INDEX(Firms!$K$5:$K$1004,$O548)="","—",INDEX(Firms!$K$5:$K$1004,$O548)))</f>
        <v/>
      </c>
      <c r="L548" s="50">
        <f>IF($O548="","",IF(INDEX(Firms!$L$5:$L$1004,$O548)="","—",INDEX(Firms!$L$5:$L$1004,$O548)))</f>
        <v/>
      </c>
      <c r="M548" s="50">
        <f>IF($O548="","",IF(INDEX(Firms!$M$5:$M$1004,$O548)="","—",INDEX(Firms!$M$5:$M$1004,$O548)))</f>
        <v/>
      </c>
      <c r="O548">
        <f>IFERROR(MATCH(SMALL(Firms!$Y$5:$Y$1004,540),Firms!$W$5:$W$1004,0),"")</f>
        <v/>
      </c>
    </row>
    <row r="549">
      <c r="B549" s="78">
        <f>IF($O549="","",INDEX(Firms!$A$5:$A$1004,$O549))</f>
        <v/>
      </c>
      <c r="C549" s="79">
        <f>IF($O549="","",INDEX(Firms!$N$5:$N$1004,$O549)&amp;"")</f>
        <v/>
      </c>
      <c r="D549" s="79">
        <f>IF($O549="","",INDEX(Firms!$P$5:$P$1004,$O549)&amp;"")</f>
        <v/>
      </c>
      <c r="E549" s="79">
        <f>IF($O549="","",INDEX(Firms!$O$5:$O$1004,$O549)&amp;"")</f>
        <v/>
      </c>
      <c r="F549" s="50">
        <f>IF($O549="","",IF(INDEX(Firms!$F$5:$F$1004,$O549)="","—",INDEX(Firms!$F$5:$F$1004,$O549)))</f>
        <v/>
      </c>
      <c r="G549" s="50">
        <f>IF($O549="","",IF(INDEX(Firms!$G$5:$G$1004,$O549)="","—",INDEX(Firms!$G$5:$G$1004,$O549)))</f>
        <v/>
      </c>
      <c r="H549" s="50">
        <f>IF($O549="","",IF(INDEX(Firms!$H$5:$H$1004,$O549)="","—",INDEX(Firms!$H$5:$H$1004,$O549)))</f>
        <v/>
      </c>
      <c r="I549" s="50">
        <f>IF($O549="","",IF(INDEX(Firms!$I$5:$I$1004,$O549)="","—",INDEX(Firms!$I$5:$I$1004,$O549)))</f>
        <v/>
      </c>
      <c r="J549" s="50">
        <f>IF($O549="","",IF(INDEX(Firms!$J$5:$J$1004,$O549)="","—",INDEX(Firms!$J$5:$J$1004,$O549)))</f>
        <v/>
      </c>
      <c r="K549" s="50">
        <f>IF($O549="","",IF(INDEX(Firms!$K$5:$K$1004,$O549)="","—",INDEX(Firms!$K$5:$K$1004,$O549)))</f>
        <v/>
      </c>
      <c r="L549" s="50">
        <f>IF($O549="","",IF(INDEX(Firms!$L$5:$L$1004,$O549)="","—",INDEX(Firms!$L$5:$L$1004,$O549)))</f>
        <v/>
      </c>
      <c r="M549" s="50">
        <f>IF($O549="","",IF(INDEX(Firms!$M$5:$M$1004,$O549)="","—",INDEX(Firms!$M$5:$M$1004,$O549)))</f>
        <v/>
      </c>
      <c r="O549">
        <f>IFERROR(MATCH(SMALL(Firms!$Y$5:$Y$1004,541),Firms!$W$5:$W$1004,0),"")</f>
        <v/>
      </c>
    </row>
    <row r="550">
      <c r="B550" s="78">
        <f>IF($O550="","",INDEX(Firms!$A$5:$A$1004,$O550))</f>
        <v/>
      </c>
      <c r="C550" s="79">
        <f>IF($O550="","",INDEX(Firms!$N$5:$N$1004,$O550)&amp;"")</f>
        <v/>
      </c>
      <c r="D550" s="79">
        <f>IF($O550="","",INDEX(Firms!$P$5:$P$1004,$O550)&amp;"")</f>
        <v/>
      </c>
      <c r="E550" s="79">
        <f>IF($O550="","",INDEX(Firms!$O$5:$O$1004,$O550)&amp;"")</f>
        <v/>
      </c>
      <c r="F550" s="50">
        <f>IF($O550="","",IF(INDEX(Firms!$F$5:$F$1004,$O550)="","—",INDEX(Firms!$F$5:$F$1004,$O550)))</f>
        <v/>
      </c>
      <c r="G550" s="50">
        <f>IF($O550="","",IF(INDEX(Firms!$G$5:$G$1004,$O550)="","—",INDEX(Firms!$G$5:$G$1004,$O550)))</f>
        <v/>
      </c>
      <c r="H550" s="50">
        <f>IF($O550="","",IF(INDEX(Firms!$H$5:$H$1004,$O550)="","—",INDEX(Firms!$H$5:$H$1004,$O550)))</f>
        <v/>
      </c>
      <c r="I550" s="50">
        <f>IF($O550="","",IF(INDEX(Firms!$I$5:$I$1004,$O550)="","—",INDEX(Firms!$I$5:$I$1004,$O550)))</f>
        <v/>
      </c>
      <c r="J550" s="50">
        <f>IF($O550="","",IF(INDEX(Firms!$J$5:$J$1004,$O550)="","—",INDEX(Firms!$J$5:$J$1004,$O550)))</f>
        <v/>
      </c>
      <c r="K550" s="50">
        <f>IF($O550="","",IF(INDEX(Firms!$K$5:$K$1004,$O550)="","—",INDEX(Firms!$K$5:$K$1004,$O550)))</f>
        <v/>
      </c>
      <c r="L550" s="50">
        <f>IF($O550="","",IF(INDEX(Firms!$L$5:$L$1004,$O550)="","—",INDEX(Firms!$L$5:$L$1004,$O550)))</f>
        <v/>
      </c>
      <c r="M550" s="50">
        <f>IF($O550="","",IF(INDEX(Firms!$M$5:$M$1004,$O550)="","—",INDEX(Firms!$M$5:$M$1004,$O550)))</f>
        <v/>
      </c>
      <c r="O550">
        <f>IFERROR(MATCH(SMALL(Firms!$Y$5:$Y$1004,542),Firms!$W$5:$W$1004,0),"")</f>
        <v/>
      </c>
    </row>
    <row r="551">
      <c r="B551" s="78">
        <f>IF($O551="","",INDEX(Firms!$A$5:$A$1004,$O551))</f>
        <v/>
      </c>
      <c r="C551" s="79">
        <f>IF($O551="","",INDEX(Firms!$N$5:$N$1004,$O551)&amp;"")</f>
        <v/>
      </c>
      <c r="D551" s="79">
        <f>IF($O551="","",INDEX(Firms!$P$5:$P$1004,$O551)&amp;"")</f>
        <v/>
      </c>
      <c r="E551" s="79">
        <f>IF($O551="","",INDEX(Firms!$O$5:$O$1004,$O551)&amp;"")</f>
        <v/>
      </c>
      <c r="F551" s="50">
        <f>IF($O551="","",IF(INDEX(Firms!$F$5:$F$1004,$O551)="","—",INDEX(Firms!$F$5:$F$1004,$O551)))</f>
        <v/>
      </c>
      <c r="G551" s="50">
        <f>IF($O551="","",IF(INDEX(Firms!$G$5:$G$1004,$O551)="","—",INDEX(Firms!$G$5:$G$1004,$O551)))</f>
        <v/>
      </c>
      <c r="H551" s="50">
        <f>IF($O551="","",IF(INDEX(Firms!$H$5:$H$1004,$O551)="","—",INDEX(Firms!$H$5:$H$1004,$O551)))</f>
        <v/>
      </c>
      <c r="I551" s="50">
        <f>IF($O551="","",IF(INDEX(Firms!$I$5:$I$1004,$O551)="","—",INDEX(Firms!$I$5:$I$1004,$O551)))</f>
        <v/>
      </c>
      <c r="J551" s="50">
        <f>IF($O551="","",IF(INDEX(Firms!$J$5:$J$1004,$O551)="","—",INDEX(Firms!$J$5:$J$1004,$O551)))</f>
        <v/>
      </c>
      <c r="K551" s="50">
        <f>IF($O551="","",IF(INDEX(Firms!$K$5:$K$1004,$O551)="","—",INDEX(Firms!$K$5:$K$1004,$O551)))</f>
        <v/>
      </c>
      <c r="L551" s="50">
        <f>IF($O551="","",IF(INDEX(Firms!$L$5:$L$1004,$O551)="","—",INDEX(Firms!$L$5:$L$1004,$O551)))</f>
        <v/>
      </c>
      <c r="M551" s="50">
        <f>IF($O551="","",IF(INDEX(Firms!$M$5:$M$1004,$O551)="","—",INDEX(Firms!$M$5:$M$1004,$O551)))</f>
        <v/>
      </c>
      <c r="O551">
        <f>IFERROR(MATCH(SMALL(Firms!$Y$5:$Y$1004,543),Firms!$W$5:$W$1004,0),"")</f>
        <v/>
      </c>
    </row>
    <row r="552">
      <c r="B552" s="78">
        <f>IF($O552="","",INDEX(Firms!$A$5:$A$1004,$O552))</f>
        <v/>
      </c>
      <c r="C552" s="79">
        <f>IF($O552="","",INDEX(Firms!$N$5:$N$1004,$O552)&amp;"")</f>
        <v/>
      </c>
      <c r="D552" s="79">
        <f>IF($O552="","",INDEX(Firms!$P$5:$P$1004,$O552)&amp;"")</f>
        <v/>
      </c>
      <c r="E552" s="79">
        <f>IF($O552="","",INDEX(Firms!$O$5:$O$1004,$O552)&amp;"")</f>
        <v/>
      </c>
      <c r="F552" s="50">
        <f>IF($O552="","",IF(INDEX(Firms!$F$5:$F$1004,$O552)="","—",INDEX(Firms!$F$5:$F$1004,$O552)))</f>
        <v/>
      </c>
      <c r="G552" s="50">
        <f>IF($O552="","",IF(INDEX(Firms!$G$5:$G$1004,$O552)="","—",INDEX(Firms!$G$5:$G$1004,$O552)))</f>
        <v/>
      </c>
      <c r="H552" s="50">
        <f>IF($O552="","",IF(INDEX(Firms!$H$5:$H$1004,$O552)="","—",INDEX(Firms!$H$5:$H$1004,$O552)))</f>
        <v/>
      </c>
      <c r="I552" s="50">
        <f>IF($O552="","",IF(INDEX(Firms!$I$5:$I$1004,$O552)="","—",INDEX(Firms!$I$5:$I$1004,$O552)))</f>
        <v/>
      </c>
      <c r="J552" s="50">
        <f>IF($O552="","",IF(INDEX(Firms!$J$5:$J$1004,$O552)="","—",INDEX(Firms!$J$5:$J$1004,$O552)))</f>
        <v/>
      </c>
      <c r="K552" s="50">
        <f>IF($O552="","",IF(INDEX(Firms!$K$5:$K$1004,$O552)="","—",INDEX(Firms!$K$5:$K$1004,$O552)))</f>
        <v/>
      </c>
      <c r="L552" s="50">
        <f>IF($O552="","",IF(INDEX(Firms!$L$5:$L$1004,$O552)="","—",INDEX(Firms!$L$5:$L$1004,$O552)))</f>
        <v/>
      </c>
      <c r="M552" s="50">
        <f>IF($O552="","",IF(INDEX(Firms!$M$5:$M$1004,$O552)="","—",INDEX(Firms!$M$5:$M$1004,$O552)))</f>
        <v/>
      </c>
      <c r="O552">
        <f>IFERROR(MATCH(SMALL(Firms!$Y$5:$Y$1004,544),Firms!$W$5:$W$1004,0),"")</f>
        <v/>
      </c>
    </row>
    <row r="553">
      <c r="B553" s="78">
        <f>IF($O553="","",INDEX(Firms!$A$5:$A$1004,$O553))</f>
        <v/>
      </c>
      <c r="C553" s="79">
        <f>IF($O553="","",INDEX(Firms!$N$5:$N$1004,$O553)&amp;"")</f>
        <v/>
      </c>
      <c r="D553" s="79">
        <f>IF($O553="","",INDEX(Firms!$P$5:$P$1004,$O553)&amp;"")</f>
        <v/>
      </c>
      <c r="E553" s="79">
        <f>IF($O553="","",INDEX(Firms!$O$5:$O$1004,$O553)&amp;"")</f>
        <v/>
      </c>
      <c r="F553" s="50">
        <f>IF($O553="","",IF(INDEX(Firms!$F$5:$F$1004,$O553)="","—",INDEX(Firms!$F$5:$F$1004,$O553)))</f>
        <v/>
      </c>
      <c r="G553" s="50">
        <f>IF($O553="","",IF(INDEX(Firms!$G$5:$G$1004,$O553)="","—",INDEX(Firms!$G$5:$G$1004,$O553)))</f>
        <v/>
      </c>
      <c r="H553" s="50">
        <f>IF($O553="","",IF(INDEX(Firms!$H$5:$H$1004,$O553)="","—",INDEX(Firms!$H$5:$H$1004,$O553)))</f>
        <v/>
      </c>
      <c r="I553" s="50">
        <f>IF($O553="","",IF(INDEX(Firms!$I$5:$I$1004,$O553)="","—",INDEX(Firms!$I$5:$I$1004,$O553)))</f>
        <v/>
      </c>
      <c r="J553" s="50">
        <f>IF($O553="","",IF(INDEX(Firms!$J$5:$J$1004,$O553)="","—",INDEX(Firms!$J$5:$J$1004,$O553)))</f>
        <v/>
      </c>
      <c r="K553" s="50">
        <f>IF($O553="","",IF(INDEX(Firms!$K$5:$K$1004,$O553)="","—",INDEX(Firms!$K$5:$K$1004,$O553)))</f>
        <v/>
      </c>
      <c r="L553" s="50">
        <f>IF($O553="","",IF(INDEX(Firms!$L$5:$L$1004,$O553)="","—",INDEX(Firms!$L$5:$L$1004,$O553)))</f>
        <v/>
      </c>
      <c r="M553" s="50">
        <f>IF($O553="","",IF(INDEX(Firms!$M$5:$M$1004,$O553)="","—",INDEX(Firms!$M$5:$M$1004,$O553)))</f>
        <v/>
      </c>
      <c r="O553">
        <f>IFERROR(MATCH(SMALL(Firms!$Y$5:$Y$1004,545),Firms!$W$5:$W$1004,0),"")</f>
        <v/>
      </c>
    </row>
    <row r="554">
      <c r="B554" s="78">
        <f>IF($O554="","",INDEX(Firms!$A$5:$A$1004,$O554))</f>
        <v/>
      </c>
      <c r="C554" s="79">
        <f>IF($O554="","",INDEX(Firms!$N$5:$N$1004,$O554)&amp;"")</f>
        <v/>
      </c>
      <c r="D554" s="79">
        <f>IF($O554="","",INDEX(Firms!$P$5:$P$1004,$O554)&amp;"")</f>
        <v/>
      </c>
      <c r="E554" s="79">
        <f>IF($O554="","",INDEX(Firms!$O$5:$O$1004,$O554)&amp;"")</f>
        <v/>
      </c>
      <c r="F554" s="50">
        <f>IF($O554="","",IF(INDEX(Firms!$F$5:$F$1004,$O554)="","—",INDEX(Firms!$F$5:$F$1004,$O554)))</f>
        <v/>
      </c>
      <c r="G554" s="50">
        <f>IF($O554="","",IF(INDEX(Firms!$G$5:$G$1004,$O554)="","—",INDEX(Firms!$G$5:$G$1004,$O554)))</f>
        <v/>
      </c>
      <c r="H554" s="50">
        <f>IF($O554="","",IF(INDEX(Firms!$H$5:$H$1004,$O554)="","—",INDEX(Firms!$H$5:$H$1004,$O554)))</f>
        <v/>
      </c>
      <c r="I554" s="50">
        <f>IF($O554="","",IF(INDEX(Firms!$I$5:$I$1004,$O554)="","—",INDEX(Firms!$I$5:$I$1004,$O554)))</f>
        <v/>
      </c>
      <c r="J554" s="50">
        <f>IF($O554="","",IF(INDEX(Firms!$J$5:$J$1004,$O554)="","—",INDEX(Firms!$J$5:$J$1004,$O554)))</f>
        <v/>
      </c>
      <c r="K554" s="50">
        <f>IF($O554="","",IF(INDEX(Firms!$K$5:$K$1004,$O554)="","—",INDEX(Firms!$K$5:$K$1004,$O554)))</f>
        <v/>
      </c>
      <c r="L554" s="50">
        <f>IF($O554="","",IF(INDEX(Firms!$L$5:$L$1004,$O554)="","—",INDEX(Firms!$L$5:$L$1004,$O554)))</f>
        <v/>
      </c>
      <c r="M554" s="50">
        <f>IF($O554="","",IF(INDEX(Firms!$M$5:$M$1004,$O554)="","—",INDEX(Firms!$M$5:$M$1004,$O554)))</f>
        <v/>
      </c>
      <c r="O554">
        <f>IFERROR(MATCH(SMALL(Firms!$Y$5:$Y$1004,546),Firms!$W$5:$W$1004,0),"")</f>
        <v/>
      </c>
    </row>
    <row r="555">
      <c r="B555" s="78">
        <f>IF($O555="","",INDEX(Firms!$A$5:$A$1004,$O555))</f>
        <v/>
      </c>
      <c r="C555" s="79">
        <f>IF($O555="","",INDEX(Firms!$N$5:$N$1004,$O555)&amp;"")</f>
        <v/>
      </c>
      <c r="D555" s="79">
        <f>IF($O555="","",INDEX(Firms!$P$5:$P$1004,$O555)&amp;"")</f>
        <v/>
      </c>
      <c r="E555" s="79">
        <f>IF($O555="","",INDEX(Firms!$O$5:$O$1004,$O555)&amp;"")</f>
        <v/>
      </c>
      <c r="F555" s="50">
        <f>IF($O555="","",IF(INDEX(Firms!$F$5:$F$1004,$O555)="","—",INDEX(Firms!$F$5:$F$1004,$O555)))</f>
        <v/>
      </c>
      <c r="G555" s="50">
        <f>IF($O555="","",IF(INDEX(Firms!$G$5:$G$1004,$O555)="","—",INDEX(Firms!$G$5:$G$1004,$O555)))</f>
        <v/>
      </c>
      <c r="H555" s="50">
        <f>IF($O555="","",IF(INDEX(Firms!$H$5:$H$1004,$O555)="","—",INDEX(Firms!$H$5:$H$1004,$O555)))</f>
        <v/>
      </c>
      <c r="I555" s="50">
        <f>IF($O555="","",IF(INDEX(Firms!$I$5:$I$1004,$O555)="","—",INDEX(Firms!$I$5:$I$1004,$O555)))</f>
        <v/>
      </c>
      <c r="J555" s="50">
        <f>IF($O555="","",IF(INDEX(Firms!$J$5:$J$1004,$O555)="","—",INDEX(Firms!$J$5:$J$1004,$O555)))</f>
        <v/>
      </c>
      <c r="K555" s="50">
        <f>IF($O555="","",IF(INDEX(Firms!$K$5:$K$1004,$O555)="","—",INDEX(Firms!$K$5:$K$1004,$O555)))</f>
        <v/>
      </c>
      <c r="L555" s="50">
        <f>IF($O555="","",IF(INDEX(Firms!$L$5:$L$1004,$O555)="","—",INDEX(Firms!$L$5:$L$1004,$O555)))</f>
        <v/>
      </c>
      <c r="M555" s="50">
        <f>IF($O555="","",IF(INDEX(Firms!$M$5:$M$1004,$O555)="","—",INDEX(Firms!$M$5:$M$1004,$O555)))</f>
        <v/>
      </c>
      <c r="O555">
        <f>IFERROR(MATCH(SMALL(Firms!$Y$5:$Y$1004,547),Firms!$W$5:$W$1004,0),"")</f>
        <v/>
      </c>
    </row>
    <row r="556">
      <c r="B556" s="78">
        <f>IF($O556="","",INDEX(Firms!$A$5:$A$1004,$O556))</f>
        <v/>
      </c>
      <c r="C556" s="79">
        <f>IF($O556="","",INDEX(Firms!$N$5:$N$1004,$O556)&amp;"")</f>
        <v/>
      </c>
      <c r="D556" s="79">
        <f>IF($O556="","",INDEX(Firms!$P$5:$P$1004,$O556)&amp;"")</f>
        <v/>
      </c>
      <c r="E556" s="79">
        <f>IF($O556="","",INDEX(Firms!$O$5:$O$1004,$O556)&amp;"")</f>
        <v/>
      </c>
      <c r="F556" s="50">
        <f>IF($O556="","",IF(INDEX(Firms!$F$5:$F$1004,$O556)="","—",INDEX(Firms!$F$5:$F$1004,$O556)))</f>
        <v/>
      </c>
      <c r="G556" s="50">
        <f>IF($O556="","",IF(INDEX(Firms!$G$5:$G$1004,$O556)="","—",INDEX(Firms!$G$5:$G$1004,$O556)))</f>
        <v/>
      </c>
      <c r="H556" s="50">
        <f>IF($O556="","",IF(INDEX(Firms!$H$5:$H$1004,$O556)="","—",INDEX(Firms!$H$5:$H$1004,$O556)))</f>
        <v/>
      </c>
      <c r="I556" s="50">
        <f>IF($O556="","",IF(INDEX(Firms!$I$5:$I$1004,$O556)="","—",INDEX(Firms!$I$5:$I$1004,$O556)))</f>
        <v/>
      </c>
      <c r="J556" s="50">
        <f>IF($O556="","",IF(INDEX(Firms!$J$5:$J$1004,$O556)="","—",INDEX(Firms!$J$5:$J$1004,$O556)))</f>
        <v/>
      </c>
      <c r="K556" s="50">
        <f>IF($O556="","",IF(INDEX(Firms!$K$5:$K$1004,$O556)="","—",INDEX(Firms!$K$5:$K$1004,$O556)))</f>
        <v/>
      </c>
      <c r="L556" s="50">
        <f>IF($O556="","",IF(INDEX(Firms!$L$5:$L$1004,$O556)="","—",INDEX(Firms!$L$5:$L$1004,$O556)))</f>
        <v/>
      </c>
      <c r="M556" s="50">
        <f>IF($O556="","",IF(INDEX(Firms!$M$5:$M$1004,$O556)="","—",INDEX(Firms!$M$5:$M$1004,$O556)))</f>
        <v/>
      </c>
      <c r="O556">
        <f>IFERROR(MATCH(SMALL(Firms!$Y$5:$Y$1004,548),Firms!$W$5:$W$1004,0),"")</f>
        <v/>
      </c>
    </row>
    <row r="557">
      <c r="B557" s="78">
        <f>IF($O557="","",INDEX(Firms!$A$5:$A$1004,$O557))</f>
        <v/>
      </c>
      <c r="C557" s="79">
        <f>IF($O557="","",INDEX(Firms!$N$5:$N$1004,$O557)&amp;"")</f>
        <v/>
      </c>
      <c r="D557" s="79">
        <f>IF($O557="","",INDEX(Firms!$P$5:$P$1004,$O557)&amp;"")</f>
        <v/>
      </c>
      <c r="E557" s="79">
        <f>IF($O557="","",INDEX(Firms!$O$5:$O$1004,$O557)&amp;"")</f>
        <v/>
      </c>
      <c r="F557" s="50">
        <f>IF($O557="","",IF(INDEX(Firms!$F$5:$F$1004,$O557)="","—",INDEX(Firms!$F$5:$F$1004,$O557)))</f>
        <v/>
      </c>
      <c r="G557" s="50">
        <f>IF($O557="","",IF(INDEX(Firms!$G$5:$G$1004,$O557)="","—",INDEX(Firms!$G$5:$G$1004,$O557)))</f>
        <v/>
      </c>
      <c r="H557" s="50">
        <f>IF($O557="","",IF(INDEX(Firms!$H$5:$H$1004,$O557)="","—",INDEX(Firms!$H$5:$H$1004,$O557)))</f>
        <v/>
      </c>
      <c r="I557" s="50">
        <f>IF($O557="","",IF(INDEX(Firms!$I$5:$I$1004,$O557)="","—",INDEX(Firms!$I$5:$I$1004,$O557)))</f>
        <v/>
      </c>
      <c r="J557" s="50">
        <f>IF($O557="","",IF(INDEX(Firms!$J$5:$J$1004,$O557)="","—",INDEX(Firms!$J$5:$J$1004,$O557)))</f>
        <v/>
      </c>
      <c r="K557" s="50">
        <f>IF($O557="","",IF(INDEX(Firms!$K$5:$K$1004,$O557)="","—",INDEX(Firms!$K$5:$K$1004,$O557)))</f>
        <v/>
      </c>
      <c r="L557" s="50">
        <f>IF($O557="","",IF(INDEX(Firms!$L$5:$L$1004,$O557)="","—",INDEX(Firms!$L$5:$L$1004,$O557)))</f>
        <v/>
      </c>
      <c r="M557" s="50">
        <f>IF($O557="","",IF(INDEX(Firms!$M$5:$M$1004,$O557)="","—",INDEX(Firms!$M$5:$M$1004,$O557)))</f>
        <v/>
      </c>
      <c r="O557">
        <f>IFERROR(MATCH(SMALL(Firms!$Y$5:$Y$1004,549),Firms!$W$5:$W$1004,0),"")</f>
        <v/>
      </c>
    </row>
    <row r="558">
      <c r="B558" s="78">
        <f>IF($O558="","",INDEX(Firms!$A$5:$A$1004,$O558))</f>
        <v/>
      </c>
      <c r="C558" s="79">
        <f>IF($O558="","",INDEX(Firms!$N$5:$N$1004,$O558)&amp;"")</f>
        <v/>
      </c>
      <c r="D558" s="79">
        <f>IF($O558="","",INDEX(Firms!$P$5:$P$1004,$O558)&amp;"")</f>
        <v/>
      </c>
      <c r="E558" s="79">
        <f>IF($O558="","",INDEX(Firms!$O$5:$O$1004,$O558)&amp;"")</f>
        <v/>
      </c>
      <c r="F558" s="50">
        <f>IF($O558="","",IF(INDEX(Firms!$F$5:$F$1004,$O558)="","—",INDEX(Firms!$F$5:$F$1004,$O558)))</f>
        <v/>
      </c>
      <c r="G558" s="50">
        <f>IF($O558="","",IF(INDEX(Firms!$G$5:$G$1004,$O558)="","—",INDEX(Firms!$G$5:$G$1004,$O558)))</f>
        <v/>
      </c>
      <c r="H558" s="50">
        <f>IF($O558="","",IF(INDEX(Firms!$H$5:$H$1004,$O558)="","—",INDEX(Firms!$H$5:$H$1004,$O558)))</f>
        <v/>
      </c>
      <c r="I558" s="50">
        <f>IF($O558="","",IF(INDEX(Firms!$I$5:$I$1004,$O558)="","—",INDEX(Firms!$I$5:$I$1004,$O558)))</f>
        <v/>
      </c>
      <c r="J558" s="50">
        <f>IF($O558="","",IF(INDEX(Firms!$J$5:$J$1004,$O558)="","—",INDEX(Firms!$J$5:$J$1004,$O558)))</f>
        <v/>
      </c>
      <c r="K558" s="50">
        <f>IF($O558="","",IF(INDEX(Firms!$K$5:$K$1004,$O558)="","—",INDEX(Firms!$K$5:$K$1004,$O558)))</f>
        <v/>
      </c>
      <c r="L558" s="50">
        <f>IF($O558="","",IF(INDEX(Firms!$L$5:$L$1004,$O558)="","—",INDEX(Firms!$L$5:$L$1004,$O558)))</f>
        <v/>
      </c>
      <c r="M558" s="50">
        <f>IF($O558="","",IF(INDEX(Firms!$M$5:$M$1004,$O558)="","—",INDEX(Firms!$M$5:$M$1004,$O558)))</f>
        <v/>
      </c>
      <c r="O558">
        <f>IFERROR(MATCH(SMALL(Firms!$Y$5:$Y$1004,550),Firms!$W$5:$W$1004,0),"")</f>
        <v/>
      </c>
    </row>
    <row r="559">
      <c r="B559" s="78">
        <f>IF($O559="","",INDEX(Firms!$A$5:$A$1004,$O559))</f>
        <v/>
      </c>
      <c r="C559" s="79">
        <f>IF($O559="","",INDEX(Firms!$N$5:$N$1004,$O559)&amp;"")</f>
        <v/>
      </c>
      <c r="D559" s="79">
        <f>IF($O559="","",INDEX(Firms!$P$5:$P$1004,$O559)&amp;"")</f>
        <v/>
      </c>
      <c r="E559" s="79">
        <f>IF($O559="","",INDEX(Firms!$O$5:$O$1004,$O559)&amp;"")</f>
        <v/>
      </c>
      <c r="F559" s="50">
        <f>IF($O559="","",IF(INDEX(Firms!$F$5:$F$1004,$O559)="","—",INDEX(Firms!$F$5:$F$1004,$O559)))</f>
        <v/>
      </c>
      <c r="G559" s="50">
        <f>IF($O559="","",IF(INDEX(Firms!$G$5:$G$1004,$O559)="","—",INDEX(Firms!$G$5:$G$1004,$O559)))</f>
        <v/>
      </c>
      <c r="H559" s="50">
        <f>IF($O559="","",IF(INDEX(Firms!$H$5:$H$1004,$O559)="","—",INDEX(Firms!$H$5:$H$1004,$O559)))</f>
        <v/>
      </c>
      <c r="I559" s="50">
        <f>IF($O559="","",IF(INDEX(Firms!$I$5:$I$1004,$O559)="","—",INDEX(Firms!$I$5:$I$1004,$O559)))</f>
        <v/>
      </c>
      <c r="J559" s="50">
        <f>IF($O559="","",IF(INDEX(Firms!$J$5:$J$1004,$O559)="","—",INDEX(Firms!$J$5:$J$1004,$O559)))</f>
        <v/>
      </c>
      <c r="K559" s="50">
        <f>IF($O559="","",IF(INDEX(Firms!$K$5:$K$1004,$O559)="","—",INDEX(Firms!$K$5:$K$1004,$O559)))</f>
        <v/>
      </c>
      <c r="L559" s="50">
        <f>IF($O559="","",IF(INDEX(Firms!$L$5:$L$1004,$O559)="","—",INDEX(Firms!$L$5:$L$1004,$O559)))</f>
        <v/>
      </c>
      <c r="M559" s="50">
        <f>IF($O559="","",IF(INDEX(Firms!$M$5:$M$1004,$O559)="","—",INDEX(Firms!$M$5:$M$1004,$O559)))</f>
        <v/>
      </c>
      <c r="O559">
        <f>IFERROR(MATCH(SMALL(Firms!$Y$5:$Y$1004,551),Firms!$W$5:$W$1004,0),"")</f>
        <v/>
      </c>
    </row>
    <row r="560">
      <c r="B560" s="78">
        <f>IF($O560="","",INDEX(Firms!$A$5:$A$1004,$O560))</f>
        <v/>
      </c>
      <c r="C560" s="79">
        <f>IF($O560="","",INDEX(Firms!$N$5:$N$1004,$O560)&amp;"")</f>
        <v/>
      </c>
      <c r="D560" s="79">
        <f>IF($O560="","",INDEX(Firms!$P$5:$P$1004,$O560)&amp;"")</f>
        <v/>
      </c>
      <c r="E560" s="79">
        <f>IF($O560="","",INDEX(Firms!$O$5:$O$1004,$O560)&amp;"")</f>
        <v/>
      </c>
      <c r="F560" s="50">
        <f>IF($O560="","",IF(INDEX(Firms!$F$5:$F$1004,$O560)="","—",INDEX(Firms!$F$5:$F$1004,$O560)))</f>
        <v/>
      </c>
      <c r="G560" s="50">
        <f>IF($O560="","",IF(INDEX(Firms!$G$5:$G$1004,$O560)="","—",INDEX(Firms!$G$5:$G$1004,$O560)))</f>
        <v/>
      </c>
      <c r="H560" s="50">
        <f>IF($O560="","",IF(INDEX(Firms!$H$5:$H$1004,$O560)="","—",INDEX(Firms!$H$5:$H$1004,$O560)))</f>
        <v/>
      </c>
      <c r="I560" s="50">
        <f>IF($O560="","",IF(INDEX(Firms!$I$5:$I$1004,$O560)="","—",INDEX(Firms!$I$5:$I$1004,$O560)))</f>
        <v/>
      </c>
      <c r="J560" s="50">
        <f>IF($O560="","",IF(INDEX(Firms!$J$5:$J$1004,$O560)="","—",INDEX(Firms!$J$5:$J$1004,$O560)))</f>
        <v/>
      </c>
      <c r="K560" s="50">
        <f>IF($O560="","",IF(INDEX(Firms!$K$5:$K$1004,$O560)="","—",INDEX(Firms!$K$5:$K$1004,$O560)))</f>
        <v/>
      </c>
      <c r="L560" s="50">
        <f>IF($O560="","",IF(INDEX(Firms!$L$5:$L$1004,$O560)="","—",INDEX(Firms!$L$5:$L$1004,$O560)))</f>
        <v/>
      </c>
      <c r="M560" s="50">
        <f>IF($O560="","",IF(INDEX(Firms!$M$5:$M$1004,$O560)="","—",INDEX(Firms!$M$5:$M$1004,$O560)))</f>
        <v/>
      </c>
      <c r="O560">
        <f>IFERROR(MATCH(SMALL(Firms!$Y$5:$Y$1004,552),Firms!$W$5:$W$1004,0),"")</f>
        <v/>
      </c>
    </row>
    <row r="561">
      <c r="B561" s="78">
        <f>IF($O561="","",INDEX(Firms!$A$5:$A$1004,$O561))</f>
        <v/>
      </c>
      <c r="C561" s="79">
        <f>IF($O561="","",INDEX(Firms!$N$5:$N$1004,$O561)&amp;"")</f>
        <v/>
      </c>
      <c r="D561" s="79">
        <f>IF($O561="","",INDEX(Firms!$P$5:$P$1004,$O561)&amp;"")</f>
        <v/>
      </c>
      <c r="E561" s="79">
        <f>IF($O561="","",INDEX(Firms!$O$5:$O$1004,$O561)&amp;"")</f>
        <v/>
      </c>
      <c r="F561" s="50">
        <f>IF($O561="","",IF(INDEX(Firms!$F$5:$F$1004,$O561)="","—",INDEX(Firms!$F$5:$F$1004,$O561)))</f>
        <v/>
      </c>
      <c r="G561" s="50">
        <f>IF($O561="","",IF(INDEX(Firms!$G$5:$G$1004,$O561)="","—",INDEX(Firms!$G$5:$G$1004,$O561)))</f>
        <v/>
      </c>
      <c r="H561" s="50">
        <f>IF($O561="","",IF(INDEX(Firms!$H$5:$H$1004,$O561)="","—",INDEX(Firms!$H$5:$H$1004,$O561)))</f>
        <v/>
      </c>
      <c r="I561" s="50">
        <f>IF($O561="","",IF(INDEX(Firms!$I$5:$I$1004,$O561)="","—",INDEX(Firms!$I$5:$I$1004,$O561)))</f>
        <v/>
      </c>
      <c r="J561" s="50">
        <f>IF($O561="","",IF(INDEX(Firms!$J$5:$J$1004,$O561)="","—",INDEX(Firms!$J$5:$J$1004,$O561)))</f>
        <v/>
      </c>
      <c r="K561" s="50">
        <f>IF($O561="","",IF(INDEX(Firms!$K$5:$K$1004,$O561)="","—",INDEX(Firms!$K$5:$K$1004,$O561)))</f>
        <v/>
      </c>
      <c r="L561" s="50">
        <f>IF($O561="","",IF(INDEX(Firms!$L$5:$L$1004,$O561)="","—",INDEX(Firms!$L$5:$L$1004,$O561)))</f>
        <v/>
      </c>
      <c r="M561" s="50">
        <f>IF($O561="","",IF(INDEX(Firms!$M$5:$M$1004,$O561)="","—",INDEX(Firms!$M$5:$M$1004,$O561)))</f>
        <v/>
      </c>
      <c r="O561">
        <f>IFERROR(MATCH(SMALL(Firms!$Y$5:$Y$1004,553),Firms!$W$5:$W$1004,0),"")</f>
        <v/>
      </c>
    </row>
    <row r="562">
      <c r="B562" s="78">
        <f>IF($O562="","",INDEX(Firms!$A$5:$A$1004,$O562))</f>
        <v/>
      </c>
      <c r="C562" s="79">
        <f>IF($O562="","",INDEX(Firms!$N$5:$N$1004,$O562)&amp;"")</f>
        <v/>
      </c>
      <c r="D562" s="79">
        <f>IF($O562="","",INDEX(Firms!$P$5:$P$1004,$O562)&amp;"")</f>
        <v/>
      </c>
      <c r="E562" s="79">
        <f>IF($O562="","",INDEX(Firms!$O$5:$O$1004,$O562)&amp;"")</f>
        <v/>
      </c>
      <c r="F562" s="50">
        <f>IF($O562="","",IF(INDEX(Firms!$F$5:$F$1004,$O562)="","—",INDEX(Firms!$F$5:$F$1004,$O562)))</f>
        <v/>
      </c>
      <c r="G562" s="50">
        <f>IF($O562="","",IF(INDEX(Firms!$G$5:$G$1004,$O562)="","—",INDEX(Firms!$G$5:$G$1004,$O562)))</f>
        <v/>
      </c>
      <c r="H562" s="50">
        <f>IF($O562="","",IF(INDEX(Firms!$H$5:$H$1004,$O562)="","—",INDEX(Firms!$H$5:$H$1004,$O562)))</f>
        <v/>
      </c>
      <c r="I562" s="50">
        <f>IF($O562="","",IF(INDEX(Firms!$I$5:$I$1004,$O562)="","—",INDEX(Firms!$I$5:$I$1004,$O562)))</f>
        <v/>
      </c>
      <c r="J562" s="50">
        <f>IF($O562="","",IF(INDEX(Firms!$J$5:$J$1004,$O562)="","—",INDEX(Firms!$J$5:$J$1004,$O562)))</f>
        <v/>
      </c>
      <c r="K562" s="50">
        <f>IF($O562="","",IF(INDEX(Firms!$K$5:$K$1004,$O562)="","—",INDEX(Firms!$K$5:$K$1004,$O562)))</f>
        <v/>
      </c>
      <c r="L562" s="50">
        <f>IF($O562="","",IF(INDEX(Firms!$L$5:$L$1004,$O562)="","—",INDEX(Firms!$L$5:$L$1004,$O562)))</f>
        <v/>
      </c>
      <c r="M562" s="50">
        <f>IF($O562="","",IF(INDEX(Firms!$M$5:$M$1004,$O562)="","—",INDEX(Firms!$M$5:$M$1004,$O562)))</f>
        <v/>
      </c>
      <c r="O562">
        <f>IFERROR(MATCH(SMALL(Firms!$Y$5:$Y$1004,554),Firms!$W$5:$W$1004,0),"")</f>
        <v/>
      </c>
    </row>
    <row r="563">
      <c r="B563" s="78">
        <f>IF($O563="","",INDEX(Firms!$A$5:$A$1004,$O563))</f>
        <v/>
      </c>
      <c r="C563" s="79">
        <f>IF($O563="","",INDEX(Firms!$N$5:$N$1004,$O563)&amp;"")</f>
        <v/>
      </c>
      <c r="D563" s="79">
        <f>IF($O563="","",INDEX(Firms!$P$5:$P$1004,$O563)&amp;"")</f>
        <v/>
      </c>
      <c r="E563" s="79">
        <f>IF($O563="","",INDEX(Firms!$O$5:$O$1004,$O563)&amp;"")</f>
        <v/>
      </c>
      <c r="F563" s="50">
        <f>IF($O563="","",IF(INDEX(Firms!$F$5:$F$1004,$O563)="","—",INDEX(Firms!$F$5:$F$1004,$O563)))</f>
        <v/>
      </c>
      <c r="G563" s="50">
        <f>IF($O563="","",IF(INDEX(Firms!$G$5:$G$1004,$O563)="","—",INDEX(Firms!$G$5:$G$1004,$O563)))</f>
        <v/>
      </c>
      <c r="H563" s="50">
        <f>IF($O563="","",IF(INDEX(Firms!$H$5:$H$1004,$O563)="","—",INDEX(Firms!$H$5:$H$1004,$O563)))</f>
        <v/>
      </c>
      <c r="I563" s="50">
        <f>IF($O563="","",IF(INDEX(Firms!$I$5:$I$1004,$O563)="","—",INDEX(Firms!$I$5:$I$1004,$O563)))</f>
        <v/>
      </c>
      <c r="J563" s="50">
        <f>IF($O563="","",IF(INDEX(Firms!$J$5:$J$1004,$O563)="","—",INDEX(Firms!$J$5:$J$1004,$O563)))</f>
        <v/>
      </c>
      <c r="K563" s="50">
        <f>IF($O563="","",IF(INDEX(Firms!$K$5:$K$1004,$O563)="","—",INDEX(Firms!$K$5:$K$1004,$O563)))</f>
        <v/>
      </c>
      <c r="L563" s="50">
        <f>IF($O563="","",IF(INDEX(Firms!$L$5:$L$1004,$O563)="","—",INDEX(Firms!$L$5:$L$1004,$O563)))</f>
        <v/>
      </c>
      <c r="M563" s="50">
        <f>IF($O563="","",IF(INDEX(Firms!$M$5:$M$1004,$O563)="","—",INDEX(Firms!$M$5:$M$1004,$O563)))</f>
        <v/>
      </c>
      <c r="O563">
        <f>IFERROR(MATCH(SMALL(Firms!$Y$5:$Y$1004,555),Firms!$W$5:$W$1004,0),"")</f>
        <v/>
      </c>
    </row>
    <row r="564">
      <c r="B564" s="78">
        <f>IF($O564="","",INDEX(Firms!$A$5:$A$1004,$O564))</f>
        <v/>
      </c>
      <c r="C564" s="79">
        <f>IF($O564="","",INDEX(Firms!$N$5:$N$1004,$O564)&amp;"")</f>
        <v/>
      </c>
      <c r="D564" s="79">
        <f>IF($O564="","",INDEX(Firms!$P$5:$P$1004,$O564)&amp;"")</f>
        <v/>
      </c>
      <c r="E564" s="79">
        <f>IF($O564="","",INDEX(Firms!$O$5:$O$1004,$O564)&amp;"")</f>
        <v/>
      </c>
      <c r="F564" s="50">
        <f>IF($O564="","",IF(INDEX(Firms!$F$5:$F$1004,$O564)="","—",INDEX(Firms!$F$5:$F$1004,$O564)))</f>
        <v/>
      </c>
      <c r="G564" s="50">
        <f>IF($O564="","",IF(INDEX(Firms!$G$5:$G$1004,$O564)="","—",INDEX(Firms!$G$5:$G$1004,$O564)))</f>
        <v/>
      </c>
      <c r="H564" s="50">
        <f>IF($O564="","",IF(INDEX(Firms!$H$5:$H$1004,$O564)="","—",INDEX(Firms!$H$5:$H$1004,$O564)))</f>
        <v/>
      </c>
      <c r="I564" s="50">
        <f>IF($O564="","",IF(INDEX(Firms!$I$5:$I$1004,$O564)="","—",INDEX(Firms!$I$5:$I$1004,$O564)))</f>
        <v/>
      </c>
      <c r="J564" s="50">
        <f>IF($O564="","",IF(INDEX(Firms!$J$5:$J$1004,$O564)="","—",INDEX(Firms!$J$5:$J$1004,$O564)))</f>
        <v/>
      </c>
      <c r="K564" s="50">
        <f>IF($O564="","",IF(INDEX(Firms!$K$5:$K$1004,$O564)="","—",INDEX(Firms!$K$5:$K$1004,$O564)))</f>
        <v/>
      </c>
      <c r="L564" s="50">
        <f>IF($O564="","",IF(INDEX(Firms!$L$5:$L$1004,$O564)="","—",INDEX(Firms!$L$5:$L$1004,$O564)))</f>
        <v/>
      </c>
      <c r="M564" s="50">
        <f>IF($O564="","",IF(INDEX(Firms!$M$5:$M$1004,$O564)="","—",INDEX(Firms!$M$5:$M$1004,$O564)))</f>
        <v/>
      </c>
      <c r="O564">
        <f>IFERROR(MATCH(SMALL(Firms!$Y$5:$Y$1004,556),Firms!$W$5:$W$1004,0),"")</f>
        <v/>
      </c>
    </row>
    <row r="565">
      <c r="B565" s="78">
        <f>IF($O565="","",INDEX(Firms!$A$5:$A$1004,$O565))</f>
        <v/>
      </c>
      <c r="C565" s="79">
        <f>IF($O565="","",INDEX(Firms!$N$5:$N$1004,$O565)&amp;"")</f>
        <v/>
      </c>
      <c r="D565" s="79">
        <f>IF($O565="","",INDEX(Firms!$P$5:$P$1004,$O565)&amp;"")</f>
        <v/>
      </c>
      <c r="E565" s="79">
        <f>IF($O565="","",INDEX(Firms!$O$5:$O$1004,$O565)&amp;"")</f>
        <v/>
      </c>
      <c r="F565" s="50">
        <f>IF($O565="","",IF(INDEX(Firms!$F$5:$F$1004,$O565)="","—",INDEX(Firms!$F$5:$F$1004,$O565)))</f>
        <v/>
      </c>
      <c r="G565" s="50">
        <f>IF($O565="","",IF(INDEX(Firms!$G$5:$G$1004,$O565)="","—",INDEX(Firms!$G$5:$G$1004,$O565)))</f>
        <v/>
      </c>
      <c r="H565" s="50">
        <f>IF($O565="","",IF(INDEX(Firms!$H$5:$H$1004,$O565)="","—",INDEX(Firms!$H$5:$H$1004,$O565)))</f>
        <v/>
      </c>
      <c r="I565" s="50">
        <f>IF($O565="","",IF(INDEX(Firms!$I$5:$I$1004,$O565)="","—",INDEX(Firms!$I$5:$I$1004,$O565)))</f>
        <v/>
      </c>
      <c r="J565" s="50">
        <f>IF($O565="","",IF(INDEX(Firms!$J$5:$J$1004,$O565)="","—",INDEX(Firms!$J$5:$J$1004,$O565)))</f>
        <v/>
      </c>
      <c r="K565" s="50">
        <f>IF($O565="","",IF(INDEX(Firms!$K$5:$K$1004,$O565)="","—",INDEX(Firms!$K$5:$K$1004,$O565)))</f>
        <v/>
      </c>
      <c r="L565" s="50">
        <f>IF($O565="","",IF(INDEX(Firms!$L$5:$L$1004,$O565)="","—",INDEX(Firms!$L$5:$L$1004,$O565)))</f>
        <v/>
      </c>
      <c r="M565" s="50">
        <f>IF($O565="","",IF(INDEX(Firms!$M$5:$M$1004,$O565)="","—",INDEX(Firms!$M$5:$M$1004,$O565)))</f>
        <v/>
      </c>
      <c r="O565">
        <f>IFERROR(MATCH(SMALL(Firms!$Y$5:$Y$1004,557),Firms!$W$5:$W$1004,0),"")</f>
        <v/>
      </c>
    </row>
    <row r="566">
      <c r="B566" s="78">
        <f>IF($O566="","",INDEX(Firms!$A$5:$A$1004,$O566))</f>
        <v/>
      </c>
      <c r="C566" s="79">
        <f>IF($O566="","",INDEX(Firms!$N$5:$N$1004,$O566)&amp;"")</f>
        <v/>
      </c>
      <c r="D566" s="79">
        <f>IF($O566="","",INDEX(Firms!$P$5:$P$1004,$O566)&amp;"")</f>
        <v/>
      </c>
      <c r="E566" s="79">
        <f>IF($O566="","",INDEX(Firms!$O$5:$O$1004,$O566)&amp;"")</f>
        <v/>
      </c>
      <c r="F566" s="50">
        <f>IF($O566="","",IF(INDEX(Firms!$F$5:$F$1004,$O566)="","—",INDEX(Firms!$F$5:$F$1004,$O566)))</f>
        <v/>
      </c>
      <c r="G566" s="50">
        <f>IF($O566="","",IF(INDEX(Firms!$G$5:$G$1004,$O566)="","—",INDEX(Firms!$G$5:$G$1004,$O566)))</f>
        <v/>
      </c>
      <c r="H566" s="50">
        <f>IF($O566="","",IF(INDEX(Firms!$H$5:$H$1004,$O566)="","—",INDEX(Firms!$H$5:$H$1004,$O566)))</f>
        <v/>
      </c>
      <c r="I566" s="50">
        <f>IF($O566="","",IF(INDEX(Firms!$I$5:$I$1004,$O566)="","—",INDEX(Firms!$I$5:$I$1004,$O566)))</f>
        <v/>
      </c>
      <c r="J566" s="50">
        <f>IF($O566="","",IF(INDEX(Firms!$J$5:$J$1004,$O566)="","—",INDEX(Firms!$J$5:$J$1004,$O566)))</f>
        <v/>
      </c>
      <c r="K566" s="50">
        <f>IF($O566="","",IF(INDEX(Firms!$K$5:$K$1004,$O566)="","—",INDEX(Firms!$K$5:$K$1004,$O566)))</f>
        <v/>
      </c>
      <c r="L566" s="50">
        <f>IF($O566="","",IF(INDEX(Firms!$L$5:$L$1004,$O566)="","—",INDEX(Firms!$L$5:$L$1004,$O566)))</f>
        <v/>
      </c>
      <c r="M566" s="50">
        <f>IF($O566="","",IF(INDEX(Firms!$M$5:$M$1004,$O566)="","—",INDEX(Firms!$M$5:$M$1004,$O566)))</f>
        <v/>
      </c>
      <c r="O566">
        <f>IFERROR(MATCH(SMALL(Firms!$Y$5:$Y$1004,558),Firms!$W$5:$W$1004,0),"")</f>
        <v/>
      </c>
    </row>
    <row r="567">
      <c r="B567" s="78">
        <f>IF($O567="","",INDEX(Firms!$A$5:$A$1004,$O567))</f>
        <v/>
      </c>
      <c r="C567" s="79">
        <f>IF($O567="","",INDEX(Firms!$N$5:$N$1004,$O567)&amp;"")</f>
        <v/>
      </c>
      <c r="D567" s="79">
        <f>IF($O567="","",INDEX(Firms!$P$5:$P$1004,$O567)&amp;"")</f>
        <v/>
      </c>
      <c r="E567" s="79">
        <f>IF($O567="","",INDEX(Firms!$O$5:$O$1004,$O567)&amp;"")</f>
        <v/>
      </c>
      <c r="F567" s="50">
        <f>IF($O567="","",IF(INDEX(Firms!$F$5:$F$1004,$O567)="","—",INDEX(Firms!$F$5:$F$1004,$O567)))</f>
        <v/>
      </c>
      <c r="G567" s="50">
        <f>IF($O567="","",IF(INDEX(Firms!$G$5:$G$1004,$O567)="","—",INDEX(Firms!$G$5:$G$1004,$O567)))</f>
        <v/>
      </c>
      <c r="H567" s="50">
        <f>IF($O567="","",IF(INDEX(Firms!$H$5:$H$1004,$O567)="","—",INDEX(Firms!$H$5:$H$1004,$O567)))</f>
        <v/>
      </c>
      <c r="I567" s="50">
        <f>IF($O567="","",IF(INDEX(Firms!$I$5:$I$1004,$O567)="","—",INDEX(Firms!$I$5:$I$1004,$O567)))</f>
        <v/>
      </c>
      <c r="J567" s="50">
        <f>IF($O567="","",IF(INDEX(Firms!$J$5:$J$1004,$O567)="","—",INDEX(Firms!$J$5:$J$1004,$O567)))</f>
        <v/>
      </c>
      <c r="K567" s="50">
        <f>IF($O567="","",IF(INDEX(Firms!$K$5:$K$1004,$O567)="","—",INDEX(Firms!$K$5:$K$1004,$O567)))</f>
        <v/>
      </c>
      <c r="L567" s="50">
        <f>IF($O567="","",IF(INDEX(Firms!$L$5:$L$1004,$O567)="","—",INDEX(Firms!$L$5:$L$1004,$O567)))</f>
        <v/>
      </c>
      <c r="M567" s="50">
        <f>IF($O567="","",IF(INDEX(Firms!$M$5:$M$1004,$O567)="","—",INDEX(Firms!$M$5:$M$1004,$O567)))</f>
        <v/>
      </c>
      <c r="O567">
        <f>IFERROR(MATCH(SMALL(Firms!$Y$5:$Y$1004,559),Firms!$W$5:$W$1004,0),"")</f>
        <v/>
      </c>
    </row>
    <row r="568">
      <c r="B568" s="78">
        <f>IF($O568="","",INDEX(Firms!$A$5:$A$1004,$O568))</f>
        <v/>
      </c>
      <c r="C568" s="79">
        <f>IF($O568="","",INDEX(Firms!$N$5:$N$1004,$O568)&amp;"")</f>
        <v/>
      </c>
      <c r="D568" s="79">
        <f>IF($O568="","",INDEX(Firms!$P$5:$P$1004,$O568)&amp;"")</f>
        <v/>
      </c>
      <c r="E568" s="79">
        <f>IF($O568="","",INDEX(Firms!$O$5:$O$1004,$O568)&amp;"")</f>
        <v/>
      </c>
      <c r="F568" s="50">
        <f>IF($O568="","",IF(INDEX(Firms!$F$5:$F$1004,$O568)="","—",INDEX(Firms!$F$5:$F$1004,$O568)))</f>
        <v/>
      </c>
      <c r="G568" s="50">
        <f>IF($O568="","",IF(INDEX(Firms!$G$5:$G$1004,$O568)="","—",INDEX(Firms!$G$5:$G$1004,$O568)))</f>
        <v/>
      </c>
      <c r="H568" s="50">
        <f>IF($O568="","",IF(INDEX(Firms!$H$5:$H$1004,$O568)="","—",INDEX(Firms!$H$5:$H$1004,$O568)))</f>
        <v/>
      </c>
      <c r="I568" s="50">
        <f>IF($O568="","",IF(INDEX(Firms!$I$5:$I$1004,$O568)="","—",INDEX(Firms!$I$5:$I$1004,$O568)))</f>
        <v/>
      </c>
      <c r="J568" s="50">
        <f>IF($O568="","",IF(INDEX(Firms!$J$5:$J$1004,$O568)="","—",INDEX(Firms!$J$5:$J$1004,$O568)))</f>
        <v/>
      </c>
      <c r="K568" s="50">
        <f>IF($O568="","",IF(INDEX(Firms!$K$5:$K$1004,$O568)="","—",INDEX(Firms!$K$5:$K$1004,$O568)))</f>
        <v/>
      </c>
      <c r="L568" s="50">
        <f>IF($O568="","",IF(INDEX(Firms!$L$5:$L$1004,$O568)="","—",INDEX(Firms!$L$5:$L$1004,$O568)))</f>
        <v/>
      </c>
      <c r="M568" s="50">
        <f>IF($O568="","",IF(INDEX(Firms!$M$5:$M$1004,$O568)="","—",INDEX(Firms!$M$5:$M$1004,$O568)))</f>
        <v/>
      </c>
      <c r="O568">
        <f>IFERROR(MATCH(SMALL(Firms!$Y$5:$Y$1004,560),Firms!$W$5:$W$1004,0),"")</f>
        <v/>
      </c>
    </row>
    <row r="569">
      <c r="B569" s="78">
        <f>IF($O569="","",INDEX(Firms!$A$5:$A$1004,$O569))</f>
        <v/>
      </c>
      <c r="C569" s="79">
        <f>IF($O569="","",INDEX(Firms!$N$5:$N$1004,$O569)&amp;"")</f>
        <v/>
      </c>
      <c r="D569" s="79">
        <f>IF($O569="","",INDEX(Firms!$P$5:$P$1004,$O569)&amp;"")</f>
        <v/>
      </c>
      <c r="E569" s="79">
        <f>IF($O569="","",INDEX(Firms!$O$5:$O$1004,$O569)&amp;"")</f>
        <v/>
      </c>
      <c r="F569" s="50">
        <f>IF($O569="","",IF(INDEX(Firms!$F$5:$F$1004,$O569)="","—",INDEX(Firms!$F$5:$F$1004,$O569)))</f>
        <v/>
      </c>
      <c r="G569" s="50">
        <f>IF($O569="","",IF(INDEX(Firms!$G$5:$G$1004,$O569)="","—",INDEX(Firms!$G$5:$G$1004,$O569)))</f>
        <v/>
      </c>
      <c r="H569" s="50">
        <f>IF($O569="","",IF(INDEX(Firms!$H$5:$H$1004,$O569)="","—",INDEX(Firms!$H$5:$H$1004,$O569)))</f>
        <v/>
      </c>
      <c r="I569" s="50">
        <f>IF($O569="","",IF(INDEX(Firms!$I$5:$I$1004,$O569)="","—",INDEX(Firms!$I$5:$I$1004,$O569)))</f>
        <v/>
      </c>
      <c r="J569" s="50">
        <f>IF($O569="","",IF(INDEX(Firms!$J$5:$J$1004,$O569)="","—",INDEX(Firms!$J$5:$J$1004,$O569)))</f>
        <v/>
      </c>
      <c r="K569" s="50">
        <f>IF($O569="","",IF(INDEX(Firms!$K$5:$K$1004,$O569)="","—",INDEX(Firms!$K$5:$K$1004,$O569)))</f>
        <v/>
      </c>
      <c r="L569" s="50">
        <f>IF($O569="","",IF(INDEX(Firms!$L$5:$L$1004,$O569)="","—",INDEX(Firms!$L$5:$L$1004,$O569)))</f>
        <v/>
      </c>
      <c r="M569" s="50">
        <f>IF($O569="","",IF(INDEX(Firms!$M$5:$M$1004,$O569)="","—",INDEX(Firms!$M$5:$M$1004,$O569)))</f>
        <v/>
      </c>
      <c r="O569">
        <f>IFERROR(MATCH(SMALL(Firms!$Y$5:$Y$1004,561),Firms!$W$5:$W$1004,0),"")</f>
        <v/>
      </c>
    </row>
    <row r="570">
      <c r="B570" s="78">
        <f>IF($O570="","",INDEX(Firms!$A$5:$A$1004,$O570))</f>
        <v/>
      </c>
      <c r="C570" s="79">
        <f>IF($O570="","",INDEX(Firms!$N$5:$N$1004,$O570)&amp;"")</f>
        <v/>
      </c>
      <c r="D570" s="79">
        <f>IF($O570="","",INDEX(Firms!$P$5:$P$1004,$O570)&amp;"")</f>
        <v/>
      </c>
      <c r="E570" s="79">
        <f>IF($O570="","",INDEX(Firms!$O$5:$O$1004,$O570)&amp;"")</f>
        <v/>
      </c>
      <c r="F570" s="50">
        <f>IF($O570="","",IF(INDEX(Firms!$F$5:$F$1004,$O570)="","—",INDEX(Firms!$F$5:$F$1004,$O570)))</f>
        <v/>
      </c>
      <c r="G570" s="50">
        <f>IF($O570="","",IF(INDEX(Firms!$G$5:$G$1004,$O570)="","—",INDEX(Firms!$G$5:$G$1004,$O570)))</f>
        <v/>
      </c>
      <c r="H570" s="50">
        <f>IF($O570="","",IF(INDEX(Firms!$H$5:$H$1004,$O570)="","—",INDEX(Firms!$H$5:$H$1004,$O570)))</f>
        <v/>
      </c>
      <c r="I570" s="50">
        <f>IF($O570="","",IF(INDEX(Firms!$I$5:$I$1004,$O570)="","—",INDEX(Firms!$I$5:$I$1004,$O570)))</f>
        <v/>
      </c>
      <c r="J570" s="50">
        <f>IF($O570="","",IF(INDEX(Firms!$J$5:$J$1004,$O570)="","—",INDEX(Firms!$J$5:$J$1004,$O570)))</f>
        <v/>
      </c>
      <c r="K570" s="50">
        <f>IF($O570="","",IF(INDEX(Firms!$K$5:$K$1004,$O570)="","—",INDEX(Firms!$K$5:$K$1004,$O570)))</f>
        <v/>
      </c>
      <c r="L570" s="50">
        <f>IF($O570="","",IF(INDEX(Firms!$L$5:$L$1004,$O570)="","—",INDEX(Firms!$L$5:$L$1004,$O570)))</f>
        <v/>
      </c>
      <c r="M570" s="50">
        <f>IF($O570="","",IF(INDEX(Firms!$M$5:$M$1004,$O570)="","—",INDEX(Firms!$M$5:$M$1004,$O570)))</f>
        <v/>
      </c>
      <c r="O570">
        <f>IFERROR(MATCH(SMALL(Firms!$Y$5:$Y$1004,562),Firms!$W$5:$W$1004,0),"")</f>
        <v/>
      </c>
    </row>
    <row r="571">
      <c r="B571" s="78">
        <f>IF($O571="","",INDEX(Firms!$A$5:$A$1004,$O571))</f>
        <v/>
      </c>
      <c r="C571" s="79">
        <f>IF($O571="","",INDEX(Firms!$N$5:$N$1004,$O571)&amp;"")</f>
        <v/>
      </c>
      <c r="D571" s="79">
        <f>IF($O571="","",INDEX(Firms!$P$5:$P$1004,$O571)&amp;"")</f>
        <v/>
      </c>
      <c r="E571" s="79">
        <f>IF($O571="","",INDEX(Firms!$O$5:$O$1004,$O571)&amp;"")</f>
        <v/>
      </c>
      <c r="F571" s="50">
        <f>IF($O571="","",IF(INDEX(Firms!$F$5:$F$1004,$O571)="","—",INDEX(Firms!$F$5:$F$1004,$O571)))</f>
        <v/>
      </c>
      <c r="G571" s="50">
        <f>IF($O571="","",IF(INDEX(Firms!$G$5:$G$1004,$O571)="","—",INDEX(Firms!$G$5:$G$1004,$O571)))</f>
        <v/>
      </c>
      <c r="H571" s="50">
        <f>IF($O571="","",IF(INDEX(Firms!$H$5:$H$1004,$O571)="","—",INDEX(Firms!$H$5:$H$1004,$O571)))</f>
        <v/>
      </c>
      <c r="I571" s="50">
        <f>IF($O571="","",IF(INDEX(Firms!$I$5:$I$1004,$O571)="","—",INDEX(Firms!$I$5:$I$1004,$O571)))</f>
        <v/>
      </c>
      <c r="J571" s="50">
        <f>IF($O571="","",IF(INDEX(Firms!$J$5:$J$1004,$O571)="","—",INDEX(Firms!$J$5:$J$1004,$O571)))</f>
        <v/>
      </c>
      <c r="K571" s="50">
        <f>IF($O571="","",IF(INDEX(Firms!$K$5:$K$1004,$O571)="","—",INDEX(Firms!$K$5:$K$1004,$O571)))</f>
        <v/>
      </c>
      <c r="L571" s="50">
        <f>IF($O571="","",IF(INDEX(Firms!$L$5:$L$1004,$O571)="","—",INDEX(Firms!$L$5:$L$1004,$O571)))</f>
        <v/>
      </c>
      <c r="M571" s="50">
        <f>IF($O571="","",IF(INDEX(Firms!$M$5:$M$1004,$O571)="","—",INDEX(Firms!$M$5:$M$1004,$O571)))</f>
        <v/>
      </c>
      <c r="O571">
        <f>IFERROR(MATCH(SMALL(Firms!$Y$5:$Y$1004,563),Firms!$W$5:$W$1004,0),"")</f>
        <v/>
      </c>
    </row>
    <row r="572">
      <c r="B572" s="78">
        <f>IF($O572="","",INDEX(Firms!$A$5:$A$1004,$O572))</f>
        <v/>
      </c>
      <c r="C572" s="79">
        <f>IF($O572="","",INDEX(Firms!$N$5:$N$1004,$O572)&amp;"")</f>
        <v/>
      </c>
      <c r="D572" s="79">
        <f>IF($O572="","",INDEX(Firms!$P$5:$P$1004,$O572)&amp;"")</f>
        <v/>
      </c>
      <c r="E572" s="79">
        <f>IF($O572="","",INDEX(Firms!$O$5:$O$1004,$O572)&amp;"")</f>
        <v/>
      </c>
      <c r="F572" s="50">
        <f>IF($O572="","",IF(INDEX(Firms!$F$5:$F$1004,$O572)="","—",INDEX(Firms!$F$5:$F$1004,$O572)))</f>
        <v/>
      </c>
      <c r="G572" s="50">
        <f>IF($O572="","",IF(INDEX(Firms!$G$5:$G$1004,$O572)="","—",INDEX(Firms!$G$5:$G$1004,$O572)))</f>
        <v/>
      </c>
      <c r="H572" s="50">
        <f>IF($O572="","",IF(INDEX(Firms!$H$5:$H$1004,$O572)="","—",INDEX(Firms!$H$5:$H$1004,$O572)))</f>
        <v/>
      </c>
      <c r="I572" s="50">
        <f>IF($O572="","",IF(INDEX(Firms!$I$5:$I$1004,$O572)="","—",INDEX(Firms!$I$5:$I$1004,$O572)))</f>
        <v/>
      </c>
      <c r="J572" s="50">
        <f>IF($O572="","",IF(INDEX(Firms!$J$5:$J$1004,$O572)="","—",INDEX(Firms!$J$5:$J$1004,$O572)))</f>
        <v/>
      </c>
      <c r="K572" s="50">
        <f>IF($O572="","",IF(INDEX(Firms!$K$5:$K$1004,$O572)="","—",INDEX(Firms!$K$5:$K$1004,$O572)))</f>
        <v/>
      </c>
      <c r="L572" s="50">
        <f>IF($O572="","",IF(INDEX(Firms!$L$5:$L$1004,$O572)="","—",INDEX(Firms!$L$5:$L$1004,$O572)))</f>
        <v/>
      </c>
      <c r="M572" s="50">
        <f>IF($O572="","",IF(INDEX(Firms!$M$5:$M$1004,$O572)="","—",INDEX(Firms!$M$5:$M$1004,$O572)))</f>
        <v/>
      </c>
      <c r="O572">
        <f>IFERROR(MATCH(SMALL(Firms!$Y$5:$Y$1004,564),Firms!$W$5:$W$1004,0),"")</f>
        <v/>
      </c>
    </row>
    <row r="573">
      <c r="B573" s="78">
        <f>IF($O573="","",INDEX(Firms!$A$5:$A$1004,$O573))</f>
        <v/>
      </c>
      <c r="C573" s="79">
        <f>IF($O573="","",INDEX(Firms!$N$5:$N$1004,$O573)&amp;"")</f>
        <v/>
      </c>
      <c r="D573" s="79">
        <f>IF($O573="","",INDEX(Firms!$P$5:$P$1004,$O573)&amp;"")</f>
        <v/>
      </c>
      <c r="E573" s="79">
        <f>IF($O573="","",INDEX(Firms!$O$5:$O$1004,$O573)&amp;"")</f>
        <v/>
      </c>
      <c r="F573" s="50">
        <f>IF($O573="","",IF(INDEX(Firms!$F$5:$F$1004,$O573)="","—",INDEX(Firms!$F$5:$F$1004,$O573)))</f>
        <v/>
      </c>
      <c r="G573" s="50">
        <f>IF($O573="","",IF(INDEX(Firms!$G$5:$G$1004,$O573)="","—",INDEX(Firms!$G$5:$G$1004,$O573)))</f>
        <v/>
      </c>
      <c r="H573" s="50">
        <f>IF($O573="","",IF(INDEX(Firms!$H$5:$H$1004,$O573)="","—",INDEX(Firms!$H$5:$H$1004,$O573)))</f>
        <v/>
      </c>
      <c r="I573" s="50">
        <f>IF($O573="","",IF(INDEX(Firms!$I$5:$I$1004,$O573)="","—",INDEX(Firms!$I$5:$I$1004,$O573)))</f>
        <v/>
      </c>
      <c r="J573" s="50">
        <f>IF($O573="","",IF(INDEX(Firms!$J$5:$J$1004,$O573)="","—",INDEX(Firms!$J$5:$J$1004,$O573)))</f>
        <v/>
      </c>
      <c r="K573" s="50">
        <f>IF($O573="","",IF(INDEX(Firms!$K$5:$K$1004,$O573)="","—",INDEX(Firms!$K$5:$K$1004,$O573)))</f>
        <v/>
      </c>
      <c r="L573" s="50">
        <f>IF($O573="","",IF(INDEX(Firms!$L$5:$L$1004,$O573)="","—",INDEX(Firms!$L$5:$L$1004,$O573)))</f>
        <v/>
      </c>
      <c r="M573" s="50">
        <f>IF($O573="","",IF(INDEX(Firms!$M$5:$M$1004,$O573)="","—",INDEX(Firms!$M$5:$M$1004,$O573)))</f>
        <v/>
      </c>
      <c r="O573">
        <f>IFERROR(MATCH(SMALL(Firms!$Y$5:$Y$1004,565),Firms!$W$5:$W$1004,0),"")</f>
        <v/>
      </c>
    </row>
    <row r="574">
      <c r="B574" s="78">
        <f>IF($O574="","",INDEX(Firms!$A$5:$A$1004,$O574))</f>
        <v/>
      </c>
      <c r="C574" s="79">
        <f>IF($O574="","",INDEX(Firms!$N$5:$N$1004,$O574)&amp;"")</f>
        <v/>
      </c>
      <c r="D574" s="79">
        <f>IF($O574="","",INDEX(Firms!$P$5:$P$1004,$O574)&amp;"")</f>
        <v/>
      </c>
      <c r="E574" s="79">
        <f>IF($O574="","",INDEX(Firms!$O$5:$O$1004,$O574)&amp;"")</f>
        <v/>
      </c>
      <c r="F574" s="50">
        <f>IF($O574="","",IF(INDEX(Firms!$F$5:$F$1004,$O574)="","—",INDEX(Firms!$F$5:$F$1004,$O574)))</f>
        <v/>
      </c>
      <c r="G574" s="50">
        <f>IF($O574="","",IF(INDEX(Firms!$G$5:$G$1004,$O574)="","—",INDEX(Firms!$G$5:$G$1004,$O574)))</f>
        <v/>
      </c>
      <c r="H574" s="50">
        <f>IF($O574="","",IF(INDEX(Firms!$H$5:$H$1004,$O574)="","—",INDEX(Firms!$H$5:$H$1004,$O574)))</f>
        <v/>
      </c>
      <c r="I574" s="50">
        <f>IF($O574="","",IF(INDEX(Firms!$I$5:$I$1004,$O574)="","—",INDEX(Firms!$I$5:$I$1004,$O574)))</f>
        <v/>
      </c>
      <c r="J574" s="50">
        <f>IF($O574="","",IF(INDEX(Firms!$J$5:$J$1004,$O574)="","—",INDEX(Firms!$J$5:$J$1004,$O574)))</f>
        <v/>
      </c>
      <c r="K574" s="50">
        <f>IF($O574="","",IF(INDEX(Firms!$K$5:$K$1004,$O574)="","—",INDEX(Firms!$K$5:$K$1004,$O574)))</f>
        <v/>
      </c>
      <c r="L574" s="50">
        <f>IF($O574="","",IF(INDEX(Firms!$L$5:$L$1004,$O574)="","—",INDEX(Firms!$L$5:$L$1004,$O574)))</f>
        <v/>
      </c>
      <c r="M574" s="50">
        <f>IF($O574="","",IF(INDEX(Firms!$M$5:$M$1004,$O574)="","—",INDEX(Firms!$M$5:$M$1004,$O574)))</f>
        <v/>
      </c>
      <c r="O574">
        <f>IFERROR(MATCH(SMALL(Firms!$Y$5:$Y$1004,566),Firms!$W$5:$W$1004,0),"")</f>
        <v/>
      </c>
    </row>
    <row r="575">
      <c r="B575" s="78">
        <f>IF($O575="","",INDEX(Firms!$A$5:$A$1004,$O575))</f>
        <v/>
      </c>
      <c r="C575" s="79">
        <f>IF($O575="","",INDEX(Firms!$N$5:$N$1004,$O575)&amp;"")</f>
        <v/>
      </c>
      <c r="D575" s="79">
        <f>IF($O575="","",INDEX(Firms!$P$5:$P$1004,$O575)&amp;"")</f>
        <v/>
      </c>
      <c r="E575" s="79">
        <f>IF($O575="","",INDEX(Firms!$O$5:$O$1004,$O575)&amp;"")</f>
        <v/>
      </c>
      <c r="F575" s="50">
        <f>IF($O575="","",IF(INDEX(Firms!$F$5:$F$1004,$O575)="","—",INDEX(Firms!$F$5:$F$1004,$O575)))</f>
        <v/>
      </c>
      <c r="G575" s="50">
        <f>IF($O575="","",IF(INDEX(Firms!$G$5:$G$1004,$O575)="","—",INDEX(Firms!$G$5:$G$1004,$O575)))</f>
        <v/>
      </c>
      <c r="H575" s="50">
        <f>IF($O575="","",IF(INDEX(Firms!$H$5:$H$1004,$O575)="","—",INDEX(Firms!$H$5:$H$1004,$O575)))</f>
        <v/>
      </c>
      <c r="I575" s="50">
        <f>IF($O575="","",IF(INDEX(Firms!$I$5:$I$1004,$O575)="","—",INDEX(Firms!$I$5:$I$1004,$O575)))</f>
        <v/>
      </c>
      <c r="J575" s="50">
        <f>IF($O575="","",IF(INDEX(Firms!$J$5:$J$1004,$O575)="","—",INDEX(Firms!$J$5:$J$1004,$O575)))</f>
        <v/>
      </c>
      <c r="K575" s="50">
        <f>IF($O575="","",IF(INDEX(Firms!$K$5:$K$1004,$O575)="","—",INDEX(Firms!$K$5:$K$1004,$O575)))</f>
        <v/>
      </c>
      <c r="L575" s="50">
        <f>IF($O575="","",IF(INDEX(Firms!$L$5:$L$1004,$O575)="","—",INDEX(Firms!$L$5:$L$1004,$O575)))</f>
        <v/>
      </c>
      <c r="M575" s="50">
        <f>IF($O575="","",IF(INDEX(Firms!$M$5:$M$1004,$O575)="","—",INDEX(Firms!$M$5:$M$1004,$O575)))</f>
        <v/>
      </c>
      <c r="O575">
        <f>IFERROR(MATCH(SMALL(Firms!$Y$5:$Y$1004,567),Firms!$W$5:$W$1004,0),"")</f>
        <v/>
      </c>
    </row>
    <row r="576">
      <c r="B576" s="78">
        <f>IF($O576="","",INDEX(Firms!$A$5:$A$1004,$O576))</f>
        <v/>
      </c>
      <c r="C576" s="79">
        <f>IF($O576="","",INDEX(Firms!$N$5:$N$1004,$O576)&amp;"")</f>
        <v/>
      </c>
      <c r="D576" s="79">
        <f>IF($O576="","",INDEX(Firms!$P$5:$P$1004,$O576)&amp;"")</f>
        <v/>
      </c>
      <c r="E576" s="79">
        <f>IF($O576="","",INDEX(Firms!$O$5:$O$1004,$O576)&amp;"")</f>
        <v/>
      </c>
      <c r="F576" s="50">
        <f>IF($O576="","",IF(INDEX(Firms!$F$5:$F$1004,$O576)="","—",INDEX(Firms!$F$5:$F$1004,$O576)))</f>
        <v/>
      </c>
      <c r="G576" s="50">
        <f>IF($O576="","",IF(INDEX(Firms!$G$5:$G$1004,$O576)="","—",INDEX(Firms!$G$5:$G$1004,$O576)))</f>
        <v/>
      </c>
      <c r="H576" s="50">
        <f>IF($O576="","",IF(INDEX(Firms!$H$5:$H$1004,$O576)="","—",INDEX(Firms!$H$5:$H$1004,$O576)))</f>
        <v/>
      </c>
      <c r="I576" s="50">
        <f>IF($O576="","",IF(INDEX(Firms!$I$5:$I$1004,$O576)="","—",INDEX(Firms!$I$5:$I$1004,$O576)))</f>
        <v/>
      </c>
      <c r="J576" s="50">
        <f>IF($O576="","",IF(INDEX(Firms!$J$5:$J$1004,$O576)="","—",INDEX(Firms!$J$5:$J$1004,$O576)))</f>
        <v/>
      </c>
      <c r="K576" s="50">
        <f>IF($O576="","",IF(INDEX(Firms!$K$5:$K$1004,$O576)="","—",INDEX(Firms!$K$5:$K$1004,$O576)))</f>
        <v/>
      </c>
      <c r="L576" s="50">
        <f>IF($O576="","",IF(INDEX(Firms!$L$5:$L$1004,$O576)="","—",INDEX(Firms!$L$5:$L$1004,$O576)))</f>
        <v/>
      </c>
      <c r="M576" s="50">
        <f>IF($O576="","",IF(INDEX(Firms!$M$5:$M$1004,$O576)="","—",INDEX(Firms!$M$5:$M$1004,$O576)))</f>
        <v/>
      </c>
      <c r="O576">
        <f>IFERROR(MATCH(SMALL(Firms!$Y$5:$Y$1004,568),Firms!$W$5:$W$1004,0),"")</f>
        <v/>
      </c>
    </row>
    <row r="577">
      <c r="B577" s="78">
        <f>IF($O577="","",INDEX(Firms!$A$5:$A$1004,$O577))</f>
        <v/>
      </c>
      <c r="C577" s="79">
        <f>IF($O577="","",INDEX(Firms!$N$5:$N$1004,$O577)&amp;"")</f>
        <v/>
      </c>
      <c r="D577" s="79">
        <f>IF($O577="","",INDEX(Firms!$P$5:$P$1004,$O577)&amp;"")</f>
        <v/>
      </c>
      <c r="E577" s="79">
        <f>IF($O577="","",INDEX(Firms!$O$5:$O$1004,$O577)&amp;"")</f>
        <v/>
      </c>
      <c r="F577" s="50">
        <f>IF($O577="","",IF(INDEX(Firms!$F$5:$F$1004,$O577)="","—",INDEX(Firms!$F$5:$F$1004,$O577)))</f>
        <v/>
      </c>
      <c r="G577" s="50">
        <f>IF($O577="","",IF(INDEX(Firms!$G$5:$G$1004,$O577)="","—",INDEX(Firms!$G$5:$G$1004,$O577)))</f>
        <v/>
      </c>
      <c r="H577" s="50">
        <f>IF($O577="","",IF(INDEX(Firms!$H$5:$H$1004,$O577)="","—",INDEX(Firms!$H$5:$H$1004,$O577)))</f>
        <v/>
      </c>
      <c r="I577" s="50">
        <f>IF($O577="","",IF(INDEX(Firms!$I$5:$I$1004,$O577)="","—",INDEX(Firms!$I$5:$I$1004,$O577)))</f>
        <v/>
      </c>
      <c r="J577" s="50">
        <f>IF($O577="","",IF(INDEX(Firms!$J$5:$J$1004,$O577)="","—",INDEX(Firms!$J$5:$J$1004,$O577)))</f>
        <v/>
      </c>
      <c r="K577" s="50">
        <f>IF($O577="","",IF(INDEX(Firms!$K$5:$K$1004,$O577)="","—",INDEX(Firms!$K$5:$K$1004,$O577)))</f>
        <v/>
      </c>
      <c r="L577" s="50">
        <f>IF($O577="","",IF(INDEX(Firms!$L$5:$L$1004,$O577)="","—",INDEX(Firms!$L$5:$L$1004,$O577)))</f>
        <v/>
      </c>
      <c r="M577" s="50">
        <f>IF($O577="","",IF(INDEX(Firms!$M$5:$M$1004,$O577)="","—",INDEX(Firms!$M$5:$M$1004,$O577)))</f>
        <v/>
      </c>
      <c r="O577">
        <f>IFERROR(MATCH(SMALL(Firms!$Y$5:$Y$1004,569),Firms!$W$5:$W$1004,0),"")</f>
        <v/>
      </c>
    </row>
    <row r="578">
      <c r="B578" s="78">
        <f>IF($O578="","",INDEX(Firms!$A$5:$A$1004,$O578))</f>
        <v/>
      </c>
      <c r="C578" s="79">
        <f>IF($O578="","",INDEX(Firms!$N$5:$N$1004,$O578)&amp;"")</f>
        <v/>
      </c>
      <c r="D578" s="79">
        <f>IF($O578="","",INDEX(Firms!$P$5:$P$1004,$O578)&amp;"")</f>
        <v/>
      </c>
      <c r="E578" s="79">
        <f>IF($O578="","",INDEX(Firms!$O$5:$O$1004,$O578)&amp;"")</f>
        <v/>
      </c>
      <c r="F578" s="50">
        <f>IF($O578="","",IF(INDEX(Firms!$F$5:$F$1004,$O578)="","—",INDEX(Firms!$F$5:$F$1004,$O578)))</f>
        <v/>
      </c>
      <c r="G578" s="50">
        <f>IF($O578="","",IF(INDEX(Firms!$G$5:$G$1004,$O578)="","—",INDEX(Firms!$G$5:$G$1004,$O578)))</f>
        <v/>
      </c>
      <c r="H578" s="50">
        <f>IF($O578="","",IF(INDEX(Firms!$H$5:$H$1004,$O578)="","—",INDEX(Firms!$H$5:$H$1004,$O578)))</f>
        <v/>
      </c>
      <c r="I578" s="50">
        <f>IF($O578="","",IF(INDEX(Firms!$I$5:$I$1004,$O578)="","—",INDEX(Firms!$I$5:$I$1004,$O578)))</f>
        <v/>
      </c>
      <c r="J578" s="50">
        <f>IF($O578="","",IF(INDEX(Firms!$J$5:$J$1004,$O578)="","—",INDEX(Firms!$J$5:$J$1004,$O578)))</f>
        <v/>
      </c>
      <c r="K578" s="50">
        <f>IF($O578="","",IF(INDEX(Firms!$K$5:$K$1004,$O578)="","—",INDEX(Firms!$K$5:$K$1004,$O578)))</f>
        <v/>
      </c>
      <c r="L578" s="50">
        <f>IF($O578="","",IF(INDEX(Firms!$L$5:$L$1004,$O578)="","—",INDEX(Firms!$L$5:$L$1004,$O578)))</f>
        <v/>
      </c>
      <c r="M578" s="50">
        <f>IF($O578="","",IF(INDEX(Firms!$M$5:$M$1004,$O578)="","—",INDEX(Firms!$M$5:$M$1004,$O578)))</f>
        <v/>
      </c>
      <c r="O578">
        <f>IFERROR(MATCH(SMALL(Firms!$Y$5:$Y$1004,570),Firms!$W$5:$W$1004,0),"")</f>
        <v/>
      </c>
    </row>
    <row r="579">
      <c r="B579" s="78">
        <f>IF($O579="","",INDEX(Firms!$A$5:$A$1004,$O579))</f>
        <v/>
      </c>
      <c r="C579" s="79">
        <f>IF($O579="","",INDEX(Firms!$N$5:$N$1004,$O579)&amp;"")</f>
        <v/>
      </c>
      <c r="D579" s="79">
        <f>IF($O579="","",INDEX(Firms!$P$5:$P$1004,$O579)&amp;"")</f>
        <v/>
      </c>
      <c r="E579" s="79">
        <f>IF($O579="","",INDEX(Firms!$O$5:$O$1004,$O579)&amp;"")</f>
        <v/>
      </c>
      <c r="F579" s="50">
        <f>IF($O579="","",IF(INDEX(Firms!$F$5:$F$1004,$O579)="","—",INDEX(Firms!$F$5:$F$1004,$O579)))</f>
        <v/>
      </c>
      <c r="G579" s="50">
        <f>IF($O579="","",IF(INDEX(Firms!$G$5:$G$1004,$O579)="","—",INDEX(Firms!$G$5:$G$1004,$O579)))</f>
        <v/>
      </c>
      <c r="H579" s="50">
        <f>IF($O579="","",IF(INDEX(Firms!$H$5:$H$1004,$O579)="","—",INDEX(Firms!$H$5:$H$1004,$O579)))</f>
        <v/>
      </c>
      <c r="I579" s="50">
        <f>IF($O579="","",IF(INDEX(Firms!$I$5:$I$1004,$O579)="","—",INDEX(Firms!$I$5:$I$1004,$O579)))</f>
        <v/>
      </c>
      <c r="J579" s="50">
        <f>IF($O579="","",IF(INDEX(Firms!$J$5:$J$1004,$O579)="","—",INDEX(Firms!$J$5:$J$1004,$O579)))</f>
        <v/>
      </c>
      <c r="K579" s="50">
        <f>IF($O579="","",IF(INDEX(Firms!$K$5:$K$1004,$O579)="","—",INDEX(Firms!$K$5:$K$1004,$O579)))</f>
        <v/>
      </c>
      <c r="L579" s="50">
        <f>IF($O579="","",IF(INDEX(Firms!$L$5:$L$1004,$O579)="","—",INDEX(Firms!$L$5:$L$1004,$O579)))</f>
        <v/>
      </c>
      <c r="M579" s="50">
        <f>IF($O579="","",IF(INDEX(Firms!$M$5:$M$1004,$O579)="","—",INDEX(Firms!$M$5:$M$1004,$O579)))</f>
        <v/>
      </c>
      <c r="O579">
        <f>IFERROR(MATCH(SMALL(Firms!$Y$5:$Y$1004,571),Firms!$W$5:$W$1004,0),"")</f>
        <v/>
      </c>
    </row>
    <row r="580">
      <c r="B580" s="78">
        <f>IF($O580="","",INDEX(Firms!$A$5:$A$1004,$O580))</f>
        <v/>
      </c>
      <c r="C580" s="79">
        <f>IF($O580="","",INDEX(Firms!$N$5:$N$1004,$O580)&amp;"")</f>
        <v/>
      </c>
      <c r="D580" s="79">
        <f>IF($O580="","",INDEX(Firms!$P$5:$P$1004,$O580)&amp;"")</f>
        <v/>
      </c>
      <c r="E580" s="79">
        <f>IF($O580="","",INDEX(Firms!$O$5:$O$1004,$O580)&amp;"")</f>
        <v/>
      </c>
      <c r="F580" s="50">
        <f>IF($O580="","",IF(INDEX(Firms!$F$5:$F$1004,$O580)="","—",INDEX(Firms!$F$5:$F$1004,$O580)))</f>
        <v/>
      </c>
      <c r="G580" s="50">
        <f>IF($O580="","",IF(INDEX(Firms!$G$5:$G$1004,$O580)="","—",INDEX(Firms!$G$5:$G$1004,$O580)))</f>
        <v/>
      </c>
      <c r="H580" s="50">
        <f>IF($O580="","",IF(INDEX(Firms!$H$5:$H$1004,$O580)="","—",INDEX(Firms!$H$5:$H$1004,$O580)))</f>
        <v/>
      </c>
      <c r="I580" s="50">
        <f>IF($O580="","",IF(INDEX(Firms!$I$5:$I$1004,$O580)="","—",INDEX(Firms!$I$5:$I$1004,$O580)))</f>
        <v/>
      </c>
      <c r="J580" s="50">
        <f>IF($O580="","",IF(INDEX(Firms!$J$5:$J$1004,$O580)="","—",INDEX(Firms!$J$5:$J$1004,$O580)))</f>
        <v/>
      </c>
      <c r="K580" s="50">
        <f>IF($O580="","",IF(INDEX(Firms!$K$5:$K$1004,$O580)="","—",INDEX(Firms!$K$5:$K$1004,$O580)))</f>
        <v/>
      </c>
      <c r="L580" s="50">
        <f>IF($O580="","",IF(INDEX(Firms!$L$5:$L$1004,$O580)="","—",INDEX(Firms!$L$5:$L$1004,$O580)))</f>
        <v/>
      </c>
      <c r="M580" s="50">
        <f>IF($O580="","",IF(INDEX(Firms!$M$5:$M$1004,$O580)="","—",INDEX(Firms!$M$5:$M$1004,$O580)))</f>
        <v/>
      </c>
      <c r="O580">
        <f>IFERROR(MATCH(SMALL(Firms!$Y$5:$Y$1004,572),Firms!$W$5:$W$1004,0),"")</f>
        <v/>
      </c>
    </row>
    <row r="581">
      <c r="B581" s="78">
        <f>IF($O581="","",INDEX(Firms!$A$5:$A$1004,$O581))</f>
        <v/>
      </c>
      <c r="C581" s="79">
        <f>IF($O581="","",INDEX(Firms!$N$5:$N$1004,$O581)&amp;"")</f>
        <v/>
      </c>
      <c r="D581" s="79">
        <f>IF($O581="","",INDEX(Firms!$P$5:$P$1004,$O581)&amp;"")</f>
        <v/>
      </c>
      <c r="E581" s="79">
        <f>IF($O581="","",INDEX(Firms!$O$5:$O$1004,$O581)&amp;"")</f>
        <v/>
      </c>
      <c r="F581" s="50">
        <f>IF($O581="","",IF(INDEX(Firms!$F$5:$F$1004,$O581)="","—",INDEX(Firms!$F$5:$F$1004,$O581)))</f>
        <v/>
      </c>
      <c r="G581" s="50">
        <f>IF($O581="","",IF(INDEX(Firms!$G$5:$G$1004,$O581)="","—",INDEX(Firms!$G$5:$G$1004,$O581)))</f>
        <v/>
      </c>
      <c r="H581" s="50">
        <f>IF($O581="","",IF(INDEX(Firms!$H$5:$H$1004,$O581)="","—",INDEX(Firms!$H$5:$H$1004,$O581)))</f>
        <v/>
      </c>
      <c r="I581" s="50">
        <f>IF($O581="","",IF(INDEX(Firms!$I$5:$I$1004,$O581)="","—",INDEX(Firms!$I$5:$I$1004,$O581)))</f>
        <v/>
      </c>
      <c r="J581" s="50">
        <f>IF($O581="","",IF(INDEX(Firms!$J$5:$J$1004,$O581)="","—",INDEX(Firms!$J$5:$J$1004,$O581)))</f>
        <v/>
      </c>
      <c r="K581" s="50">
        <f>IF($O581="","",IF(INDEX(Firms!$K$5:$K$1004,$O581)="","—",INDEX(Firms!$K$5:$K$1004,$O581)))</f>
        <v/>
      </c>
      <c r="L581" s="50">
        <f>IF($O581="","",IF(INDEX(Firms!$L$5:$L$1004,$O581)="","—",INDEX(Firms!$L$5:$L$1004,$O581)))</f>
        <v/>
      </c>
      <c r="M581" s="50">
        <f>IF($O581="","",IF(INDEX(Firms!$M$5:$M$1004,$O581)="","—",INDEX(Firms!$M$5:$M$1004,$O581)))</f>
        <v/>
      </c>
      <c r="O581">
        <f>IFERROR(MATCH(SMALL(Firms!$Y$5:$Y$1004,573),Firms!$W$5:$W$1004,0),"")</f>
        <v/>
      </c>
    </row>
    <row r="582">
      <c r="B582" s="78">
        <f>IF($O582="","",INDEX(Firms!$A$5:$A$1004,$O582))</f>
        <v/>
      </c>
      <c r="C582" s="79">
        <f>IF($O582="","",INDEX(Firms!$N$5:$N$1004,$O582)&amp;"")</f>
        <v/>
      </c>
      <c r="D582" s="79">
        <f>IF($O582="","",INDEX(Firms!$P$5:$P$1004,$O582)&amp;"")</f>
        <v/>
      </c>
      <c r="E582" s="79">
        <f>IF($O582="","",INDEX(Firms!$O$5:$O$1004,$O582)&amp;"")</f>
        <v/>
      </c>
      <c r="F582" s="50">
        <f>IF($O582="","",IF(INDEX(Firms!$F$5:$F$1004,$O582)="","—",INDEX(Firms!$F$5:$F$1004,$O582)))</f>
        <v/>
      </c>
      <c r="G582" s="50">
        <f>IF($O582="","",IF(INDEX(Firms!$G$5:$G$1004,$O582)="","—",INDEX(Firms!$G$5:$G$1004,$O582)))</f>
        <v/>
      </c>
      <c r="H582" s="50">
        <f>IF($O582="","",IF(INDEX(Firms!$H$5:$H$1004,$O582)="","—",INDEX(Firms!$H$5:$H$1004,$O582)))</f>
        <v/>
      </c>
      <c r="I582" s="50">
        <f>IF($O582="","",IF(INDEX(Firms!$I$5:$I$1004,$O582)="","—",INDEX(Firms!$I$5:$I$1004,$O582)))</f>
        <v/>
      </c>
      <c r="J582" s="50">
        <f>IF($O582="","",IF(INDEX(Firms!$J$5:$J$1004,$O582)="","—",INDEX(Firms!$J$5:$J$1004,$O582)))</f>
        <v/>
      </c>
      <c r="K582" s="50">
        <f>IF($O582="","",IF(INDEX(Firms!$K$5:$K$1004,$O582)="","—",INDEX(Firms!$K$5:$K$1004,$O582)))</f>
        <v/>
      </c>
      <c r="L582" s="50">
        <f>IF($O582="","",IF(INDEX(Firms!$L$5:$L$1004,$O582)="","—",INDEX(Firms!$L$5:$L$1004,$O582)))</f>
        <v/>
      </c>
      <c r="M582" s="50">
        <f>IF($O582="","",IF(INDEX(Firms!$M$5:$M$1004,$O582)="","—",INDEX(Firms!$M$5:$M$1004,$O582)))</f>
        <v/>
      </c>
      <c r="O582">
        <f>IFERROR(MATCH(SMALL(Firms!$Y$5:$Y$1004,574),Firms!$W$5:$W$1004,0),"")</f>
        <v/>
      </c>
    </row>
    <row r="583">
      <c r="B583" s="78">
        <f>IF($O583="","",INDEX(Firms!$A$5:$A$1004,$O583))</f>
        <v/>
      </c>
      <c r="C583" s="79">
        <f>IF($O583="","",INDEX(Firms!$N$5:$N$1004,$O583)&amp;"")</f>
        <v/>
      </c>
      <c r="D583" s="79">
        <f>IF($O583="","",INDEX(Firms!$P$5:$P$1004,$O583)&amp;"")</f>
        <v/>
      </c>
      <c r="E583" s="79">
        <f>IF($O583="","",INDEX(Firms!$O$5:$O$1004,$O583)&amp;"")</f>
        <v/>
      </c>
      <c r="F583" s="50">
        <f>IF($O583="","",IF(INDEX(Firms!$F$5:$F$1004,$O583)="","—",INDEX(Firms!$F$5:$F$1004,$O583)))</f>
        <v/>
      </c>
      <c r="G583" s="50">
        <f>IF($O583="","",IF(INDEX(Firms!$G$5:$G$1004,$O583)="","—",INDEX(Firms!$G$5:$G$1004,$O583)))</f>
        <v/>
      </c>
      <c r="H583" s="50">
        <f>IF($O583="","",IF(INDEX(Firms!$H$5:$H$1004,$O583)="","—",INDEX(Firms!$H$5:$H$1004,$O583)))</f>
        <v/>
      </c>
      <c r="I583" s="50">
        <f>IF($O583="","",IF(INDEX(Firms!$I$5:$I$1004,$O583)="","—",INDEX(Firms!$I$5:$I$1004,$O583)))</f>
        <v/>
      </c>
      <c r="J583" s="50">
        <f>IF($O583="","",IF(INDEX(Firms!$J$5:$J$1004,$O583)="","—",INDEX(Firms!$J$5:$J$1004,$O583)))</f>
        <v/>
      </c>
      <c r="K583" s="50">
        <f>IF($O583="","",IF(INDEX(Firms!$K$5:$K$1004,$O583)="","—",INDEX(Firms!$K$5:$K$1004,$O583)))</f>
        <v/>
      </c>
      <c r="L583" s="50">
        <f>IF($O583="","",IF(INDEX(Firms!$L$5:$L$1004,$O583)="","—",INDEX(Firms!$L$5:$L$1004,$O583)))</f>
        <v/>
      </c>
      <c r="M583" s="50">
        <f>IF($O583="","",IF(INDEX(Firms!$M$5:$M$1004,$O583)="","—",INDEX(Firms!$M$5:$M$1004,$O583)))</f>
        <v/>
      </c>
      <c r="O583">
        <f>IFERROR(MATCH(SMALL(Firms!$Y$5:$Y$1004,575),Firms!$W$5:$W$1004,0),"")</f>
        <v/>
      </c>
    </row>
    <row r="584">
      <c r="B584" s="78">
        <f>IF($O584="","",INDEX(Firms!$A$5:$A$1004,$O584))</f>
        <v/>
      </c>
      <c r="C584" s="79">
        <f>IF($O584="","",INDEX(Firms!$N$5:$N$1004,$O584)&amp;"")</f>
        <v/>
      </c>
      <c r="D584" s="79">
        <f>IF($O584="","",INDEX(Firms!$P$5:$P$1004,$O584)&amp;"")</f>
        <v/>
      </c>
      <c r="E584" s="79">
        <f>IF($O584="","",INDEX(Firms!$O$5:$O$1004,$O584)&amp;"")</f>
        <v/>
      </c>
      <c r="F584" s="50">
        <f>IF($O584="","",IF(INDEX(Firms!$F$5:$F$1004,$O584)="","—",INDEX(Firms!$F$5:$F$1004,$O584)))</f>
        <v/>
      </c>
      <c r="G584" s="50">
        <f>IF($O584="","",IF(INDEX(Firms!$G$5:$G$1004,$O584)="","—",INDEX(Firms!$G$5:$G$1004,$O584)))</f>
        <v/>
      </c>
      <c r="H584" s="50">
        <f>IF($O584="","",IF(INDEX(Firms!$H$5:$H$1004,$O584)="","—",INDEX(Firms!$H$5:$H$1004,$O584)))</f>
        <v/>
      </c>
      <c r="I584" s="50">
        <f>IF($O584="","",IF(INDEX(Firms!$I$5:$I$1004,$O584)="","—",INDEX(Firms!$I$5:$I$1004,$O584)))</f>
        <v/>
      </c>
      <c r="J584" s="50">
        <f>IF($O584="","",IF(INDEX(Firms!$J$5:$J$1004,$O584)="","—",INDEX(Firms!$J$5:$J$1004,$O584)))</f>
        <v/>
      </c>
      <c r="K584" s="50">
        <f>IF($O584="","",IF(INDEX(Firms!$K$5:$K$1004,$O584)="","—",INDEX(Firms!$K$5:$K$1004,$O584)))</f>
        <v/>
      </c>
      <c r="L584" s="50">
        <f>IF($O584="","",IF(INDEX(Firms!$L$5:$L$1004,$O584)="","—",INDEX(Firms!$L$5:$L$1004,$O584)))</f>
        <v/>
      </c>
      <c r="M584" s="50">
        <f>IF($O584="","",IF(INDEX(Firms!$M$5:$M$1004,$O584)="","—",INDEX(Firms!$M$5:$M$1004,$O584)))</f>
        <v/>
      </c>
      <c r="O584">
        <f>IFERROR(MATCH(SMALL(Firms!$Y$5:$Y$1004,576),Firms!$W$5:$W$1004,0),"")</f>
        <v/>
      </c>
    </row>
    <row r="585">
      <c r="B585" s="78">
        <f>IF($O585="","",INDEX(Firms!$A$5:$A$1004,$O585))</f>
        <v/>
      </c>
      <c r="C585" s="79">
        <f>IF($O585="","",INDEX(Firms!$N$5:$N$1004,$O585)&amp;"")</f>
        <v/>
      </c>
      <c r="D585" s="79">
        <f>IF($O585="","",INDEX(Firms!$P$5:$P$1004,$O585)&amp;"")</f>
        <v/>
      </c>
      <c r="E585" s="79">
        <f>IF($O585="","",INDEX(Firms!$O$5:$O$1004,$O585)&amp;"")</f>
        <v/>
      </c>
      <c r="F585" s="50">
        <f>IF($O585="","",IF(INDEX(Firms!$F$5:$F$1004,$O585)="","—",INDEX(Firms!$F$5:$F$1004,$O585)))</f>
        <v/>
      </c>
      <c r="G585" s="50">
        <f>IF($O585="","",IF(INDEX(Firms!$G$5:$G$1004,$O585)="","—",INDEX(Firms!$G$5:$G$1004,$O585)))</f>
        <v/>
      </c>
      <c r="H585" s="50">
        <f>IF($O585="","",IF(INDEX(Firms!$H$5:$H$1004,$O585)="","—",INDEX(Firms!$H$5:$H$1004,$O585)))</f>
        <v/>
      </c>
      <c r="I585" s="50">
        <f>IF($O585="","",IF(INDEX(Firms!$I$5:$I$1004,$O585)="","—",INDEX(Firms!$I$5:$I$1004,$O585)))</f>
        <v/>
      </c>
      <c r="J585" s="50">
        <f>IF($O585="","",IF(INDEX(Firms!$J$5:$J$1004,$O585)="","—",INDEX(Firms!$J$5:$J$1004,$O585)))</f>
        <v/>
      </c>
      <c r="K585" s="50">
        <f>IF($O585="","",IF(INDEX(Firms!$K$5:$K$1004,$O585)="","—",INDEX(Firms!$K$5:$K$1004,$O585)))</f>
        <v/>
      </c>
      <c r="L585" s="50">
        <f>IF($O585="","",IF(INDEX(Firms!$L$5:$L$1004,$O585)="","—",INDEX(Firms!$L$5:$L$1004,$O585)))</f>
        <v/>
      </c>
      <c r="M585" s="50">
        <f>IF($O585="","",IF(INDEX(Firms!$M$5:$M$1004,$O585)="","—",INDEX(Firms!$M$5:$M$1004,$O585)))</f>
        <v/>
      </c>
      <c r="O585">
        <f>IFERROR(MATCH(SMALL(Firms!$Y$5:$Y$1004,577),Firms!$W$5:$W$1004,0),"")</f>
        <v/>
      </c>
    </row>
    <row r="586">
      <c r="B586" s="78">
        <f>IF($O586="","",INDEX(Firms!$A$5:$A$1004,$O586))</f>
        <v/>
      </c>
      <c r="C586" s="79">
        <f>IF($O586="","",INDEX(Firms!$N$5:$N$1004,$O586)&amp;"")</f>
        <v/>
      </c>
      <c r="D586" s="79">
        <f>IF($O586="","",INDEX(Firms!$P$5:$P$1004,$O586)&amp;"")</f>
        <v/>
      </c>
      <c r="E586" s="79">
        <f>IF($O586="","",INDEX(Firms!$O$5:$O$1004,$O586)&amp;"")</f>
        <v/>
      </c>
      <c r="F586" s="50">
        <f>IF($O586="","",IF(INDEX(Firms!$F$5:$F$1004,$O586)="","—",INDEX(Firms!$F$5:$F$1004,$O586)))</f>
        <v/>
      </c>
      <c r="G586" s="50">
        <f>IF($O586="","",IF(INDEX(Firms!$G$5:$G$1004,$O586)="","—",INDEX(Firms!$G$5:$G$1004,$O586)))</f>
        <v/>
      </c>
      <c r="H586" s="50">
        <f>IF($O586="","",IF(INDEX(Firms!$H$5:$H$1004,$O586)="","—",INDEX(Firms!$H$5:$H$1004,$O586)))</f>
        <v/>
      </c>
      <c r="I586" s="50">
        <f>IF($O586="","",IF(INDEX(Firms!$I$5:$I$1004,$O586)="","—",INDEX(Firms!$I$5:$I$1004,$O586)))</f>
        <v/>
      </c>
      <c r="J586" s="50">
        <f>IF($O586="","",IF(INDEX(Firms!$J$5:$J$1004,$O586)="","—",INDEX(Firms!$J$5:$J$1004,$O586)))</f>
        <v/>
      </c>
      <c r="K586" s="50">
        <f>IF($O586="","",IF(INDEX(Firms!$K$5:$K$1004,$O586)="","—",INDEX(Firms!$K$5:$K$1004,$O586)))</f>
        <v/>
      </c>
      <c r="L586" s="50">
        <f>IF($O586="","",IF(INDEX(Firms!$L$5:$L$1004,$O586)="","—",INDEX(Firms!$L$5:$L$1004,$O586)))</f>
        <v/>
      </c>
      <c r="M586" s="50">
        <f>IF($O586="","",IF(INDEX(Firms!$M$5:$M$1004,$O586)="","—",INDEX(Firms!$M$5:$M$1004,$O586)))</f>
        <v/>
      </c>
      <c r="O586">
        <f>IFERROR(MATCH(SMALL(Firms!$Y$5:$Y$1004,578),Firms!$W$5:$W$1004,0),"")</f>
        <v/>
      </c>
    </row>
    <row r="587">
      <c r="B587" s="78">
        <f>IF($O587="","",INDEX(Firms!$A$5:$A$1004,$O587))</f>
        <v/>
      </c>
      <c r="C587" s="79">
        <f>IF($O587="","",INDEX(Firms!$N$5:$N$1004,$O587)&amp;"")</f>
        <v/>
      </c>
      <c r="D587" s="79">
        <f>IF($O587="","",INDEX(Firms!$P$5:$P$1004,$O587)&amp;"")</f>
        <v/>
      </c>
      <c r="E587" s="79">
        <f>IF($O587="","",INDEX(Firms!$O$5:$O$1004,$O587)&amp;"")</f>
        <v/>
      </c>
      <c r="F587" s="50">
        <f>IF($O587="","",IF(INDEX(Firms!$F$5:$F$1004,$O587)="","—",INDEX(Firms!$F$5:$F$1004,$O587)))</f>
        <v/>
      </c>
      <c r="G587" s="50">
        <f>IF($O587="","",IF(INDEX(Firms!$G$5:$G$1004,$O587)="","—",INDEX(Firms!$G$5:$G$1004,$O587)))</f>
        <v/>
      </c>
      <c r="H587" s="50">
        <f>IF($O587="","",IF(INDEX(Firms!$H$5:$H$1004,$O587)="","—",INDEX(Firms!$H$5:$H$1004,$O587)))</f>
        <v/>
      </c>
      <c r="I587" s="50">
        <f>IF($O587="","",IF(INDEX(Firms!$I$5:$I$1004,$O587)="","—",INDEX(Firms!$I$5:$I$1004,$O587)))</f>
        <v/>
      </c>
      <c r="J587" s="50">
        <f>IF($O587="","",IF(INDEX(Firms!$J$5:$J$1004,$O587)="","—",INDEX(Firms!$J$5:$J$1004,$O587)))</f>
        <v/>
      </c>
      <c r="K587" s="50">
        <f>IF($O587="","",IF(INDEX(Firms!$K$5:$K$1004,$O587)="","—",INDEX(Firms!$K$5:$K$1004,$O587)))</f>
        <v/>
      </c>
      <c r="L587" s="50">
        <f>IF($O587="","",IF(INDEX(Firms!$L$5:$L$1004,$O587)="","—",INDEX(Firms!$L$5:$L$1004,$O587)))</f>
        <v/>
      </c>
      <c r="M587" s="50">
        <f>IF($O587="","",IF(INDEX(Firms!$M$5:$M$1004,$O587)="","—",INDEX(Firms!$M$5:$M$1004,$O587)))</f>
        <v/>
      </c>
      <c r="O587">
        <f>IFERROR(MATCH(SMALL(Firms!$Y$5:$Y$1004,579),Firms!$W$5:$W$1004,0),"")</f>
        <v/>
      </c>
    </row>
    <row r="588">
      <c r="B588" s="78">
        <f>IF($O588="","",INDEX(Firms!$A$5:$A$1004,$O588))</f>
        <v/>
      </c>
      <c r="C588" s="79">
        <f>IF($O588="","",INDEX(Firms!$N$5:$N$1004,$O588)&amp;"")</f>
        <v/>
      </c>
      <c r="D588" s="79">
        <f>IF($O588="","",INDEX(Firms!$P$5:$P$1004,$O588)&amp;"")</f>
        <v/>
      </c>
      <c r="E588" s="79">
        <f>IF($O588="","",INDEX(Firms!$O$5:$O$1004,$O588)&amp;"")</f>
        <v/>
      </c>
      <c r="F588" s="50">
        <f>IF($O588="","",IF(INDEX(Firms!$F$5:$F$1004,$O588)="","—",INDEX(Firms!$F$5:$F$1004,$O588)))</f>
        <v/>
      </c>
      <c r="G588" s="50">
        <f>IF($O588="","",IF(INDEX(Firms!$G$5:$G$1004,$O588)="","—",INDEX(Firms!$G$5:$G$1004,$O588)))</f>
        <v/>
      </c>
      <c r="H588" s="50">
        <f>IF($O588="","",IF(INDEX(Firms!$H$5:$H$1004,$O588)="","—",INDEX(Firms!$H$5:$H$1004,$O588)))</f>
        <v/>
      </c>
      <c r="I588" s="50">
        <f>IF($O588="","",IF(INDEX(Firms!$I$5:$I$1004,$O588)="","—",INDEX(Firms!$I$5:$I$1004,$O588)))</f>
        <v/>
      </c>
      <c r="J588" s="50">
        <f>IF($O588="","",IF(INDEX(Firms!$J$5:$J$1004,$O588)="","—",INDEX(Firms!$J$5:$J$1004,$O588)))</f>
        <v/>
      </c>
      <c r="K588" s="50">
        <f>IF($O588="","",IF(INDEX(Firms!$K$5:$K$1004,$O588)="","—",INDEX(Firms!$K$5:$K$1004,$O588)))</f>
        <v/>
      </c>
      <c r="L588" s="50">
        <f>IF($O588="","",IF(INDEX(Firms!$L$5:$L$1004,$O588)="","—",INDEX(Firms!$L$5:$L$1004,$O588)))</f>
        <v/>
      </c>
      <c r="M588" s="50">
        <f>IF($O588="","",IF(INDEX(Firms!$M$5:$M$1004,$O588)="","—",INDEX(Firms!$M$5:$M$1004,$O588)))</f>
        <v/>
      </c>
      <c r="O588">
        <f>IFERROR(MATCH(SMALL(Firms!$Y$5:$Y$1004,580),Firms!$W$5:$W$1004,0),"")</f>
        <v/>
      </c>
    </row>
    <row r="589">
      <c r="B589" s="78">
        <f>IF($O589="","",INDEX(Firms!$A$5:$A$1004,$O589))</f>
        <v/>
      </c>
      <c r="C589" s="79">
        <f>IF($O589="","",INDEX(Firms!$N$5:$N$1004,$O589)&amp;"")</f>
        <v/>
      </c>
      <c r="D589" s="79">
        <f>IF($O589="","",INDEX(Firms!$P$5:$P$1004,$O589)&amp;"")</f>
        <v/>
      </c>
      <c r="E589" s="79">
        <f>IF($O589="","",INDEX(Firms!$O$5:$O$1004,$O589)&amp;"")</f>
        <v/>
      </c>
      <c r="F589" s="50">
        <f>IF($O589="","",IF(INDEX(Firms!$F$5:$F$1004,$O589)="","—",INDEX(Firms!$F$5:$F$1004,$O589)))</f>
        <v/>
      </c>
      <c r="G589" s="50">
        <f>IF($O589="","",IF(INDEX(Firms!$G$5:$G$1004,$O589)="","—",INDEX(Firms!$G$5:$G$1004,$O589)))</f>
        <v/>
      </c>
      <c r="H589" s="50">
        <f>IF($O589="","",IF(INDEX(Firms!$H$5:$H$1004,$O589)="","—",INDEX(Firms!$H$5:$H$1004,$O589)))</f>
        <v/>
      </c>
      <c r="I589" s="50">
        <f>IF($O589="","",IF(INDEX(Firms!$I$5:$I$1004,$O589)="","—",INDEX(Firms!$I$5:$I$1004,$O589)))</f>
        <v/>
      </c>
      <c r="J589" s="50">
        <f>IF($O589="","",IF(INDEX(Firms!$J$5:$J$1004,$O589)="","—",INDEX(Firms!$J$5:$J$1004,$O589)))</f>
        <v/>
      </c>
      <c r="K589" s="50">
        <f>IF($O589="","",IF(INDEX(Firms!$K$5:$K$1004,$O589)="","—",INDEX(Firms!$K$5:$K$1004,$O589)))</f>
        <v/>
      </c>
      <c r="L589" s="50">
        <f>IF($O589="","",IF(INDEX(Firms!$L$5:$L$1004,$O589)="","—",INDEX(Firms!$L$5:$L$1004,$O589)))</f>
        <v/>
      </c>
      <c r="M589" s="50">
        <f>IF($O589="","",IF(INDEX(Firms!$M$5:$M$1004,$O589)="","—",INDEX(Firms!$M$5:$M$1004,$O589)))</f>
        <v/>
      </c>
      <c r="O589">
        <f>IFERROR(MATCH(SMALL(Firms!$Y$5:$Y$1004,581),Firms!$W$5:$W$1004,0),"")</f>
        <v/>
      </c>
    </row>
    <row r="590">
      <c r="B590" s="78">
        <f>IF($O590="","",INDEX(Firms!$A$5:$A$1004,$O590))</f>
        <v/>
      </c>
      <c r="C590" s="79">
        <f>IF($O590="","",INDEX(Firms!$N$5:$N$1004,$O590)&amp;"")</f>
        <v/>
      </c>
      <c r="D590" s="79">
        <f>IF($O590="","",INDEX(Firms!$P$5:$P$1004,$O590)&amp;"")</f>
        <v/>
      </c>
      <c r="E590" s="79">
        <f>IF($O590="","",INDEX(Firms!$O$5:$O$1004,$O590)&amp;"")</f>
        <v/>
      </c>
      <c r="F590" s="50">
        <f>IF($O590="","",IF(INDEX(Firms!$F$5:$F$1004,$O590)="","—",INDEX(Firms!$F$5:$F$1004,$O590)))</f>
        <v/>
      </c>
      <c r="G590" s="50">
        <f>IF($O590="","",IF(INDEX(Firms!$G$5:$G$1004,$O590)="","—",INDEX(Firms!$G$5:$G$1004,$O590)))</f>
        <v/>
      </c>
      <c r="H590" s="50">
        <f>IF($O590="","",IF(INDEX(Firms!$H$5:$H$1004,$O590)="","—",INDEX(Firms!$H$5:$H$1004,$O590)))</f>
        <v/>
      </c>
      <c r="I590" s="50">
        <f>IF($O590="","",IF(INDEX(Firms!$I$5:$I$1004,$O590)="","—",INDEX(Firms!$I$5:$I$1004,$O590)))</f>
        <v/>
      </c>
      <c r="J590" s="50">
        <f>IF($O590="","",IF(INDEX(Firms!$J$5:$J$1004,$O590)="","—",INDEX(Firms!$J$5:$J$1004,$O590)))</f>
        <v/>
      </c>
      <c r="K590" s="50">
        <f>IF($O590="","",IF(INDEX(Firms!$K$5:$K$1004,$O590)="","—",INDEX(Firms!$K$5:$K$1004,$O590)))</f>
        <v/>
      </c>
      <c r="L590" s="50">
        <f>IF($O590="","",IF(INDEX(Firms!$L$5:$L$1004,$O590)="","—",INDEX(Firms!$L$5:$L$1004,$O590)))</f>
        <v/>
      </c>
      <c r="M590" s="50">
        <f>IF($O590="","",IF(INDEX(Firms!$M$5:$M$1004,$O590)="","—",INDEX(Firms!$M$5:$M$1004,$O590)))</f>
        <v/>
      </c>
      <c r="O590">
        <f>IFERROR(MATCH(SMALL(Firms!$Y$5:$Y$1004,582),Firms!$W$5:$W$1004,0),"")</f>
        <v/>
      </c>
    </row>
    <row r="591">
      <c r="B591" s="78">
        <f>IF($O591="","",INDEX(Firms!$A$5:$A$1004,$O591))</f>
        <v/>
      </c>
      <c r="C591" s="79">
        <f>IF($O591="","",INDEX(Firms!$N$5:$N$1004,$O591)&amp;"")</f>
        <v/>
      </c>
      <c r="D591" s="79">
        <f>IF($O591="","",INDEX(Firms!$P$5:$P$1004,$O591)&amp;"")</f>
        <v/>
      </c>
      <c r="E591" s="79">
        <f>IF($O591="","",INDEX(Firms!$O$5:$O$1004,$O591)&amp;"")</f>
        <v/>
      </c>
      <c r="F591" s="50">
        <f>IF($O591="","",IF(INDEX(Firms!$F$5:$F$1004,$O591)="","—",INDEX(Firms!$F$5:$F$1004,$O591)))</f>
        <v/>
      </c>
      <c r="G591" s="50">
        <f>IF($O591="","",IF(INDEX(Firms!$G$5:$G$1004,$O591)="","—",INDEX(Firms!$G$5:$G$1004,$O591)))</f>
        <v/>
      </c>
      <c r="H591" s="50">
        <f>IF($O591="","",IF(INDEX(Firms!$H$5:$H$1004,$O591)="","—",INDEX(Firms!$H$5:$H$1004,$O591)))</f>
        <v/>
      </c>
      <c r="I591" s="50">
        <f>IF($O591="","",IF(INDEX(Firms!$I$5:$I$1004,$O591)="","—",INDEX(Firms!$I$5:$I$1004,$O591)))</f>
        <v/>
      </c>
      <c r="J591" s="50">
        <f>IF($O591="","",IF(INDEX(Firms!$J$5:$J$1004,$O591)="","—",INDEX(Firms!$J$5:$J$1004,$O591)))</f>
        <v/>
      </c>
      <c r="K591" s="50">
        <f>IF($O591="","",IF(INDEX(Firms!$K$5:$K$1004,$O591)="","—",INDEX(Firms!$K$5:$K$1004,$O591)))</f>
        <v/>
      </c>
      <c r="L591" s="50">
        <f>IF($O591="","",IF(INDEX(Firms!$L$5:$L$1004,$O591)="","—",INDEX(Firms!$L$5:$L$1004,$O591)))</f>
        <v/>
      </c>
      <c r="M591" s="50">
        <f>IF($O591="","",IF(INDEX(Firms!$M$5:$M$1004,$O591)="","—",INDEX(Firms!$M$5:$M$1004,$O591)))</f>
        <v/>
      </c>
      <c r="O591">
        <f>IFERROR(MATCH(SMALL(Firms!$Y$5:$Y$1004,583),Firms!$W$5:$W$1004,0),"")</f>
        <v/>
      </c>
    </row>
    <row r="592">
      <c r="B592" s="78">
        <f>IF($O592="","",INDEX(Firms!$A$5:$A$1004,$O592))</f>
        <v/>
      </c>
      <c r="C592" s="79">
        <f>IF($O592="","",INDEX(Firms!$N$5:$N$1004,$O592)&amp;"")</f>
        <v/>
      </c>
      <c r="D592" s="79">
        <f>IF($O592="","",INDEX(Firms!$P$5:$P$1004,$O592)&amp;"")</f>
        <v/>
      </c>
      <c r="E592" s="79">
        <f>IF($O592="","",INDEX(Firms!$O$5:$O$1004,$O592)&amp;"")</f>
        <v/>
      </c>
      <c r="F592" s="50">
        <f>IF($O592="","",IF(INDEX(Firms!$F$5:$F$1004,$O592)="","—",INDEX(Firms!$F$5:$F$1004,$O592)))</f>
        <v/>
      </c>
      <c r="G592" s="50">
        <f>IF($O592="","",IF(INDEX(Firms!$G$5:$G$1004,$O592)="","—",INDEX(Firms!$G$5:$G$1004,$O592)))</f>
        <v/>
      </c>
      <c r="H592" s="50">
        <f>IF($O592="","",IF(INDEX(Firms!$H$5:$H$1004,$O592)="","—",INDEX(Firms!$H$5:$H$1004,$O592)))</f>
        <v/>
      </c>
      <c r="I592" s="50">
        <f>IF($O592="","",IF(INDEX(Firms!$I$5:$I$1004,$O592)="","—",INDEX(Firms!$I$5:$I$1004,$O592)))</f>
        <v/>
      </c>
      <c r="J592" s="50">
        <f>IF($O592="","",IF(INDEX(Firms!$J$5:$J$1004,$O592)="","—",INDEX(Firms!$J$5:$J$1004,$O592)))</f>
        <v/>
      </c>
      <c r="K592" s="50">
        <f>IF($O592="","",IF(INDEX(Firms!$K$5:$K$1004,$O592)="","—",INDEX(Firms!$K$5:$K$1004,$O592)))</f>
        <v/>
      </c>
      <c r="L592" s="50">
        <f>IF($O592="","",IF(INDEX(Firms!$L$5:$L$1004,$O592)="","—",INDEX(Firms!$L$5:$L$1004,$O592)))</f>
        <v/>
      </c>
      <c r="M592" s="50">
        <f>IF($O592="","",IF(INDEX(Firms!$M$5:$M$1004,$O592)="","—",INDEX(Firms!$M$5:$M$1004,$O592)))</f>
        <v/>
      </c>
      <c r="O592">
        <f>IFERROR(MATCH(SMALL(Firms!$Y$5:$Y$1004,584),Firms!$W$5:$W$1004,0),"")</f>
        <v/>
      </c>
    </row>
    <row r="593">
      <c r="B593" s="78">
        <f>IF($O593="","",INDEX(Firms!$A$5:$A$1004,$O593))</f>
        <v/>
      </c>
      <c r="C593" s="79">
        <f>IF($O593="","",INDEX(Firms!$N$5:$N$1004,$O593)&amp;"")</f>
        <v/>
      </c>
      <c r="D593" s="79">
        <f>IF($O593="","",INDEX(Firms!$P$5:$P$1004,$O593)&amp;"")</f>
        <v/>
      </c>
      <c r="E593" s="79">
        <f>IF($O593="","",INDEX(Firms!$O$5:$O$1004,$O593)&amp;"")</f>
        <v/>
      </c>
      <c r="F593" s="50">
        <f>IF($O593="","",IF(INDEX(Firms!$F$5:$F$1004,$O593)="","—",INDEX(Firms!$F$5:$F$1004,$O593)))</f>
        <v/>
      </c>
      <c r="G593" s="50">
        <f>IF($O593="","",IF(INDEX(Firms!$G$5:$G$1004,$O593)="","—",INDEX(Firms!$G$5:$G$1004,$O593)))</f>
        <v/>
      </c>
      <c r="H593" s="50">
        <f>IF($O593="","",IF(INDEX(Firms!$H$5:$H$1004,$O593)="","—",INDEX(Firms!$H$5:$H$1004,$O593)))</f>
        <v/>
      </c>
      <c r="I593" s="50">
        <f>IF($O593="","",IF(INDEX(Firms!$I$5:$I$1004,$O593)="","—",INDEX(Firms!$I$5:$I$1004,$O593)))</f>
        <v/>
      </c>
      <c r="J593" s="50">
        <f>IF($O593="","",IF(INDEX(Firms!$J$5:$J$1004,$O593)="","—",INDEX(Firms!$J$5:$J$1004,$O593)))</f>
        <v/>
      </c>
      <c r="K593" s="50">
        <f>IF($O593="","",IF(INDEX(Firms!$K$5:$K$1004,$O593)="","—",INDEX(Firms!$K$5:$K$1004,$O593)))</f>
        <v/>
      </c>
      <c r="L593" s="50">
        <f>IF($O593="","",IF(INDEX(Firms!$L$5:$L$1004,$O593)="","—",INDEX(Firms!$L$5:$L$1004,$O593)))</f>
        <v/>
      </c>
      <c r="M593" s="50">
        <f>IF($O593="","",IF(INDEX(Firms!$M$5:$M$1004,$O593)="","—",INDEX(Firms!$M$5:$M$1004,$O593)))</f>
        <v/>
      </c>
      <c r="O593">
        <f>IFERROR(MATCH(SMALL(Firms!$Y$5:$Y$1004,585),Firms!$W$5:$W$1004,0),"")</f>
        <v/>
      </c>
    </row>
    <row r="594">
      <c r="B594" s="78">
        <f>IF($O594="","",INDEX(Firms!$A$5:$A$1004,$O594))</f>
        <v/>
      </c>
      <c r="C594" s="79">
        <f>IF($O594="","",INDEX(Firms!$N$5:$N$1004,$O594)&amp;"")</f>
        <v/>
      </c>
      <c r="D594" s="79">
        <f>IF($O594="","",INDEX(Firms!$P$5:$P$1004,$O594)&amp;"")</f>
        <v/>
      </c>
      <c r="E594" s="79">
        <f>IF($O594="","",INDEX(Firms!$O$5:$O$1004,$O594)&amp;"")</f>
        <v/>
      </c>
      <c r="F594" s="50">
        <f>IF($O594="","",IF(INDEX(Firms!$F$5:$F$1004,$O594)="","—",INDEX(Firms!$F$5:$F$1004,$O594)))</f>
        <v/>
      </c>
      <c r="G594" s="50">
        <f>IF($O594="","",IF(INDEX(Firms!$G$5:$G$1004,$O594)="","—",INDEX(Firms!$G$5:$G$1004,$O594)))</f>
        <v/>
      </c>
      <c r="H594" s="50">
        <f>IF($O594="","",IF(INDEX(Firms!$H$5:$H$1004,$O594)="","—",INDEX(Firms!$H$5:$H$1004,$O594)))</f>
        <v/>
      </c>
      <c r="I594" s="50">
        <f>IF($O594="","",IF(INDEX(Firms!$I$5:$I$1004,$O594)="","—",INDEX(Firms!$I$5:$I$1004,$O594)))</f>
        <v/>
      </c>
      <c r="J594" s="50">
        <f>IF($O594="","",IF(INDEX(Firms!$J$5:$J$1004,$O594)="","—",INDEX(Firms!$J$5:$J$1004,$O594)))</f>
        <v/>
      </c>
      <c r="K594" s="50">
        <f>IF($O594="","",IF(INDEX(Firms!$K$5:$K$1004,$O594)="","—",INDEX(Firms!$K$5:$K$1004,$O594)))</f>
        <v/>
      </c>
      <c r="L594" s="50">
        <f>IF($O594="","",IF(INDEX(Firms!$L$5:$L$1004,$O594)="","—",INDEX(Firms!$L$5:$L$1004,$O594)))</f>
        <v/>
      </c>
      <c r="M594" s="50">
        <f>IF($O594="","",IF(INDEX(Firms!$M$5:$M$1004,$O594)="","—",INDEX(Firms!$M$5:$M$1004,$O594)))</f>
        <v/>
      </c>
      <c r="O594">
        <f>IFERROR(MATCH(SMALL(Firms!$Y$5:$Y$1004,586),Firms!$W$5:$W$1004,0),"")</f>
        <v/>
      </c>
    </row>
    <row r="595">
      <c r="B595" s="78">
        <f>IF($O595="","",INDEX(Firms!$A$5:$A$1004,$O595))</f>
        <v/>
      </c>
      <c r="C595" s="79">
        <f>IF($O595="","",INDEX(Firms!$N$5:$N$1004,$O595)&amp;"")</f>
        <v/>
      </c>
      <c r="D595" s="79">
        <f>IF($O595="","",INDEX(Firms!$P$5:$P$1004,$O595)&amp;"")</f>
        <v/>
      </c>
      <c r="E595" s="79">
        <f>IF($O595="","",INDEX(Firms!$O$5:$O$1004,$O595)&amp;"")</f>
        <v/>
      </c>
      <c r="F595" s="50">
        <f>IF($O595="","",IF(INDEX(Firms!$F$5:$F$1004,$O595)="","—",INDEX(Firms!$F$5:$F$1004,$O595)))</f>
        <v/>
      </c>
      <c r="G595" s="50">
        <f>IF($O595="","",IF(INDEX(Firms!$G$5:$G$1004,$O595)="","—",INDEX(Firms!$G$5:$G$1004,$O595)))</f>
        <v/>
      </c>
      <c r="H595" s="50">
        <f>IF($O595="","",IF(INDEX(Firms!$H$5:$H$1004,$O595)="","—",INDEX(Firms!$H$5:$H$1004,$O595)))</f>
        <v/>
      </c>
      <c r="I595" s="50">
        <f>IF($O595="","",IF(INDEX(Firms!$I$5:$I$1004,$O595)="","—",INDEX(Firms!$I$5:$I$1004,$O595)))</f>
        <v/>
      </c>
      <c r="J595" s="50">
        <f>IF($O595="","",IF(INDEX(Firms!$J$5:$J$1004,$O595)="","—",INDEX(Firms!$J$5:$J$1004,$O595)))</f>
        <v/>
      </c>
      <c r="K595" s="50">
        <f>IF($O595="","",IF(INDEX(Firms!$K$5:$K$1004,$O595)="","—",INDEX(Firms!$K$5:$K$1004,$O595)))</f>
        <v/>
      </c>
      <c r="L595" s="50">
        <f>IF($O595="","",IF(INDEX(Firms!$L$5:$L$1004,$O595)="","—",INDEX(Firms!$L$5:$L$1004,$O595)))</f>
        <v/>
      </c>
      <c r="M595" s="50">
        <f>IF($O595="","",IF(INDEX(Firms!$M$5:$M$1004,$O595)="","—",INDEX(Firms!$M$5:$M$1004,$O595)))</f>
        <v/>
      </c>
      <c r="O595">
        <f>IFERROR(MATCH(SMALL(Firms!$Y$5:$Y$1004,587),Firms!$W$5:$W$1004,0),"")</f>
        <v/>
      </c>
    </row>
    <row r="596">
      <c r="B596" s="78">
        <f>IF($O596="","",INDEX(Firms!$A$5:$A$1004,$O596))</f>
        <v/>
      </c>
      <c r="C596" s="79">
        <f>IF($O596="","",INDEX(Firms!$N$5:$N$1004,$O596)&amp;"")</f>
        <v/>
      </c>
      <c r="D596" s="79">
        <f>IF($O596="","",INDEX(Firms!$P$5:$P$1004,$O596)&amp;"")</f>
        <v/>
      </c>
      <c r="E596" s="79">
        <f>IF($O596="","",INDEX(Firms!$O$5:$O$1004,$O596)&amp;"")</f>
        <v/>
      </c>
      <c r="F596" s="50">
        <f>IF($O596="","",IF(INDEX(Firms!$F$5:$F$1004,$O596)="","—",INDEX(Firms!$F$5:$F$1004,$O596)))</f>
        <v/>
      </c>
      <c r="G596" s="50">
        <f>IF($O596="","",IF(INDEX(Firms!$G$5:$G$1004,$O596)="","—",INDEX(Firms!$G$5:$G$1004,$O596)))</f>
        <v/>
      </c>
      <c r="H596" s="50">
        <f>IF($O596="","",IF(INDEX(Firms!$H$5:$H$1004,$O596)="","—",INDEX(Firms!$H$5:$H$1004,$O596)))</f>
        <v/>
      </c>
      <c r="I596" s="50">
        <f>IF($O596="","",IF(INDEX(Firms!$I$5:$I$1004,$O596)="","—",INDEX(Firms!$I$5:$I$1004,$O596)))</f>
        <v/>
      </c>
      <c r="J596" s="50">
        <f>IF($O596="","",IF(INDEX(Firms!$J$5:$J$1004,$O596)="","—",INDEX(Firms!$J$5:$J$1004,$O596)))</f>
        <v/>
      </c>
      <c r="K596" s="50">
        <f>IF($O596="","",IF(INDEX(Firms!$K$5:$K$1004,$O596)="","—",INDEX(Firms!$K$5:$K$1004,$O596)))</f>
        <v/>
      </c>
      <c r="L596" s="50">
        <f>IF($O596="","",IF(INDEX(Firms!$L$5:$L$1004,$O596)="","—",INDEX(Firms!$L$5:$L$1004,$O596)))</f>
        <v/>
      </c>
      <c r="M596" s="50">
        <f>IF($O596="","",IF(INDEX(Firms!$M$5:$M$1004,$O596)="","—",INDEX(Firms!$M$5:$M$1004,$O596)))</f>
        <v/>
      </c>
      <c r="O596">
        <f>IFERROR(MATCH(SMALL(Firms!$Y$5:$Y$1004,588),Firms!$W$5:$W$1004,0),"")</f>
        <v/>
      </c>
    </row>
    <row r="597">
      <c r="B597" s="78">
        <f>IF($O597="","",INDEX(Firms!$A$5:$A$1004,$O597))</f>
        <v/>
      </c>
      <c r="C597" s="79">
        <f>IF($O597="","",INDEX(Firms!$N$5:$N$1004,$O597)&amp;"")</f>
        <v/>
      </c>
      <c r="D597" s="79">
        <f>IF($O597="","",INDEX(Firms!$P$5:$P$1004,$O597)&amp;"")</f>
        <v/>
      </c>
      <c r="E597" s="79">
        <f>IF($O597="","",INDEX(Firms!$O$5:$O$1004,$O597)&amp;"")</f>
        <v/>
      </c>
      <c r="F597" s="50">
        <f>IF($O597="","",IF(INDEX(Firms!$F$5:$F$1004,$O597)="","—",INDEX(Firms!$F$5:$F$1004,$O597)))</f>
        <v/>
      </c>
      <c r="G597" s="50">
        <f>IF($O597="","",IF(INDEX(Firms!$G$5:$G$1004,$O597)="","—",INDEX(Firms!$G$5:$G$1004,$O597)))</f>
        <v/>
      </c>
      <c r="H597" s="50">
        <f>IF($O597="","",IF(INDEX(Firms!$H$5:$H$1004,$O597)="","—",INDEX(Firms!$H$5:$H$1004,$O597)))</f>
        <v/>
      </c>
      <c r="I597" s="50">
        <f>IF($O597="","",IF(INDEX(Firms!$I$5:$I$1004,$O597)="","—",INDEX(Firms!$I$5:$I$1004,$O597)))</f>
        <v/>
      </c>
      <c r="J597" s="50">
        <f>IF($O597="","",IF(INDEX(Firms!$J$5:$J$1004,$O597)="","—",INDEX(Firms!$J$5:$J$1004,$O597)))</f>
        <v/>
      </c>
      <c r="K597" s="50">
        <f>IF($O597="","",IF(INDEX(Firms!$K$5:$K$1004,$O597)="","—",INDEX(Firms!$K$5:$K$1004,$O597)))</f>
        <v/>
      </c>
      <c r="L597" s="50">
        <f>IF($O597="","",IF(INDEX(Firms!$L$5:$L$1004,$O597)="","—",INDEX(Firms!$L$5:$L$1004,$O597)))</f>
        <v/>
      </c>
      <c r="M597" s="50">
        <f>IF($O597="","",IF(INDEX(Firms!$M$5:$M$1004,$O597)="","—",INDEX(Firms!$M$5:$M$1004,$O597)))</f>
        <v/>
      </c>
      <c r="O597">
        <f>IFERROR(MATCH(SMALL(Firms!$Y$5:$Y$1004,589),Firms!$W$5:$W$1004,0),"")</f>
        <v/>
      </c>
    </row>
    <row r="598">
      <c r="B598" s="78">
        <f>IF($O598="","",INDEX(Firms!$A$5:$A$1004,$O598))</f>
        <v/>
      </c>
      <c r="C598" s="79">
        <f>IF($O598="","",INDEX(Firms!$N$5:$N$1004,$O598)&amp;"")</f>
        <v/>
      </c>
      <c r="D598" s="79">
        <f>IF($O598="","",INDEX(Firms!$P$5:$P$1004,$O598)&amp;"")</f>
        <v/>
      </c>
      <c r="E598" s="79">
        <f>IF($O598="","",INDEX(Firms!$O$5:$O$1004,$O598)&amp;"")</f>
        <v/>
      </c>
      <c r="F598" s="50">
        <f>IF($O598="","",IF(INDEX(Firms!$F$5:$F$1004,$O598)="","—",INDEX(Firms!$F$5:$F$1004,$O598)))</f>
        <v/>
      </c>
      <c r="G598" s="50">
        <f>IF($O598="","",IF(INDEX(Firms!$G$5:$G$1004,$O598)="","—",INDEX(Firms!$G$5:$G$1004,$O598)))</f>
        <v/>
      </c>
      <c r="H598" s="50">
        <f>IF($O598="","",IF(INDEX(Firms!$H$5:$H$1004,$O598)="","—",INDEX(Firms!$H$5:$H$1004,$O598)))</f>
        <v/>
      </c>
      <c r="I598" s="50">
        <f>IF($O598="","",IF(INDEX(Firms!$I$5:$I$1004,$O598)="","—",INDEX(Firms!$I$5:$I$1004,$O598)))</f>
        <v/>
      </c>
      <c r="J598" s="50">
        <f>IF($O598="","",IF(INDEX(Firms!$J$5:$J$1004,$O598)="","—",INDEX(Firms!$J$5:$J$1004,$O598)))</f>
        <v/>
      </c>
      <c r="K598" s="50">
        <f>IF($O598="","",IF(INDEX(Firms!$K$5:$K$1004,$O598)="","—",INDEX(Firms!$K$5:$K$1004,$O598)))</f>
        <v/>
      </c>
      <c r="L598" s="50">
        <f>IF($O598="","",IF(INDEX(Firms!$L$5:$L$1004,$O598)="","—",INDEX(Firms!$L$5:$L$1004,$O598)))</f>
        <v/>
      </c>
      <c r="M598" s="50">
        <f>IF($O598="","",IF(INDEX(Firms!$M$5:$M$1004,$O598)="","—",INDEX(Firms!$M$5:$M$1004,$O598)))</f>
        <v/>
      </c>
      <c r="O598">
        <f>IFERROR(MATCH(SMALL(Firms!$Y$5:$Y$1004,590),Firms!$W$5:$W$1004,0),"")</f>
        <v/>
      </c>
    </row>
    <row r="599">
      <c r="B599" s="78">
        <f>IF($O599="","",INDEX(Firms!$A$5:$A$1004,$O599))</f>
        <v/>
      </c>
      <c r="C599" s="79">
        <f>IF($O599="","",INDEX(Firms!$N$5:$N$1004,$O599)&amp;"")</f>
        <v/>
      </c>
      <c r="D599" s="79">
        <f>IF($O599="","",INDEX(Firms!$P$5:$P$1004,$O599)&amp;"")</f>
        <v/>
      </c>
      <c r="E599" s="79">
        <f>IF($O599="","",INDEX(Firms!$O$5:$O$1004,$O599)&amp;"")</f>
        <v/>
      </c>
      <c r="F599" s="50">
        <f>IF($O599="","",IF(INDEX(Firms!$F$5:$F$1004,$O599)="","—",INDEX(Firms!$F$5:$F$1004,$O599)))</f>
        <v/>
      </c>
      <c r="G599" s="50">
        <f>IF($O599="","",IF(INDEX(Firms!$G$5:$G$1004,$O599)="","—",INDEX(Firms!$G$5:$G$1004,$O599)))</f>
        <v/>
      </c>
      <c r="H599" s="50">
        <f>IF($O599="","",IF(INDEX(Firms!$H$5:$H$1004,$O599)="","—",INDEX(Firms!$H$5:$H$1004,$O599)))</f>
        <v/>
      </c>
      <c r="I599" s="50">
        <f>IF($O599="","",IF(INDEX(Firms!$I$5:$I$1004,$O599)="","—",INDEX(Firms!$I$5:$I$1004,$O599)))</f>
        <v/>
      </c>
      <c r="J599" s="50">
        <f>IF($O599="","",IF(INDEX(Firms!$J$5:$J$1004,$O599)="","—",INDEX(Firms!$J$5:$J$1004,$O599)))</f>
        <v/>
      </c>
      <c r="K599" s="50">
        <f>IF($O599="","",IF(INDEX(Firms!$K$5:$K$1004,$O599)="","—",INDEX(Firms!$K$5:$K$1004,$O599)))</f>
        <v/>
      </c>
      <c r="L599" s="50">
        <f>IF($O599="","",IF(INDEX(Firms!$L$5:$L$1004,$O599)="","—",INDEX(Firms!$L$5:$L$1004,$O599)))</f>
        <v/>
      </c>
      <c r="M599" s="50">
        <f>IF($O599="","",IF(INDEX(Firms!$M$5:$M$1004,$O599)="","—",INDEX(Firms!$M$5:$M$1004,$O599)))</f>
        <v/>
      </c>
      <c r="O599">
        <f>IFERROR(MATCH(SMALL(Firms!$Y$5:$Y$1004,591),Firms!$W$5:$W$1004,0),"")</f>
        <v/>
      </c>
    </row>
    <row r="600">
      <c r="B600" s="78">
        <f>IF($O600="","",INDEX(Firms!$A$5:$A$1004,$O600))</f>
        <v/>
      </c>
      <c r="C600" s="79">
        <f>IF($O600="","",INDEX(Firms!$N$5:$N$1004,$O600)&amp;"")</f>
        <v/>
      </c>
      <c r="D600" s="79">
        <f>IF($O600="","",INDEX(Firms!$P$5:$P$1004,$O600)&amp;"")</f>
        <v/>
      </c>
      <c r="E600" s="79">
        <f>IF($O600="","",INDEX(Firms!$O$5:$O$1004,$O600)&amp;"")</f>
        <v/>
      </c>
      <c r="F600" s="50">
        <f>IF($O600="","",IF(INDEX(Firms!$F$5:$F$1004,$O600)="","—",INDEX(Firms!$F$5:$F$1004,$O600)))</f>
        <v/>
      </c>
      <c r="G600" s="50">
        <f>IF($O600="","",IF(INDEX(Firms!$G$5:$G$1004,$O600)="","—",INDEX(Firms!$G$5:$G$1004,$O600)))</f>
        <v/>
      </c>
      <c r="H600" s="50">
        <f>IF($O600="","",IF(INDEX(Firms!$H$5:$H$1004,$O600)="","—",INDEX(Firms!$H$5:$H$1004,$O600)))</f>
        <v/>
      </c>
      <c r="I600" s="50">
        <f>IF($O600="","",IF(INDEX(Firms!$I$5:$I$1004,$O600)="","—",INDEX(Firms!$I$5:$I$1004,$O600)))</f>
        <v/>
      </c>
      <c r="J600" s="50">
        <f>IF($O600="","",IF(INDEX(Firms!$J$5:$J$1004,$O600)="","—",INDEX(Firms!$J$5:$J$1004,$O600)))</f>
        <v/>
      </c>
      <c r="K600" s="50">
        <f>IF($O600="","",IF(INDEX(Firms!$K$5:$K$1004,$O600)="","—",INDEX(Firms!$K$5:$K$1004,$O600)))</f>
        <v/>
      </c>
      <c r="L600" s="50">
        <f>IF($O600="","",IF(INDEX(Firms!$L$5:$L$1004,$O600)="","—",INDEX(Firms!$L$5:$L$1004,$O600)))</f>
        <v/>
      </c>
      <c r="M600" s="50">
        <f>IF($O600="","",IF(INDEX(Firms!$M$5:$M$1004,$O600)="","—",INDEX(Firms!$M$5:$M$1004,$O600)))</f>
        <v/>
      </c>
      <c r="O600">
        <f>IFERROR(MATCH(SMALL(Firms!$Y$5:$Y$1004,592),Firms!$W$5:$W$1004,0),"")</f>
        <v/>
      </c>
    </row>
    <row r="601">
      <c r="B601" s="78">
        <f>IF($O601="","",INDEX(Firms!$A$5:$A$1004,$O601))</f>
        <v/>
      </c>
      <c r="C601" s="79">
        <f>IF($O601="","",INDEX(Firms!$N$5:$N$1004,$O601)&amp;"")</f>
        <v/>
      </c>
      <c r="D601" s="79">
        <f>IF($O601="","",INDEX(Firms!$P$5:$P$1004,$O601)&amp;"")</f>
        <v/>
      </c>
      <c r="E601" s="79">
        <f>IF($O601="","",INDEX(Firms!$O$5:$O$1004,$O601)&amp;"")</f>
        <v/>
      </c>
      <c r="F601" s="50">
        <f>IF($O601="","",IF(INDEX(Firms!$F$5:$F$1004,$O601)="","—",INDEX(Firms!$F$5:$F$1004,$O601)))</f>
        <v/>
      </c>
      <c r="G601" s="50">
        <f>IF($O601="","",IF(INDEX(Firms!$G$5:$G$1004,$O601)="","—",INDEX(Firms!$G$5:$G$1004,$O601)))</f>
        <v/>
      </c>
      <c r="H601" s="50">
        <f>IF($O601="","",IF(INDEX(Firms!$H$5:$H$1004,$O601)="","—",INDEX(Firms!$H$5:$H$1004,$O601)))</f>
        <v/>
      </c>
      <c r="I601" s="50">
        <f>IF($O601="","",IF(INDEX(Firms!$I$5:$I$1004,$O601)="","—",INDEX(Firms!$I$5:$I$1004,$O601)))</f>
        <v/>
      </c>
      <c r="J601" s="50">
        <f>IF($O601="","",IF(INDEX(Firms!$J$5:$J$1004,$O601)="","—",INDEX(Firms!$J$5:$J$1004,$O601)))</f>
        <v/>
      </c>
      <c r="K601" s="50">
        <f>IF($O601="","",IF(INDEX(Firms!$K$5:$K$1004,$O601)="","—",INDEX(Firms!$K$5:$K$1004,$O601)))</f>
        <v/>
      </c>
      <c r="L601" s="50">
        <f>IF($O601="","",IF(INDEX(Firms!$L$5:$L$1004,$O601)="","—",INDEX(Firms!$L$5:$L$1004,$O601)))</f>
        <v/>
      </c>
      <c r="M601" s="50">
        <f>IF($O601="","",IF(INDEX(Firms!$M$5:$M$1004,$O601)="","—",INDEX(Firms!$M$5:$M$1004,$O601)))</f>
        <v/>
      </c>
      <c r="O601">
        <f>IFERROR(MATCH(SMALL(Firms!$Y$5:$Y$1004,593),Firms!$W$5:$W$1004,0),"")</f>
        <v/>
      </c>
    </row>
    <row r="602">
      <c r="B602" s="78">
        <f>IF($O602="","",INDEX(Firms!$A$5:$A$1004,$O602))</f>
        <v/>
      </c>
      <c r="C602" s="79">
        <f>IF($O602="","",INDEX(Firms!$N$5:$N$1004,$O602)&amp;"")</f>
        <v/>
      </c>
      <c r="D602" s="79">
        <f>IF($O602="","",INDEX(Firms!$P$5:$P$1004,$O602)&amp;"")</f>
        <v/>
      </c>
      <c r="E602" s="79">
        <f>IF($O602="","",INDEX(Firms!$O$5:$O$1004,$O602)&amp;"")</f>
        <v/>
      </c>
      <c r="F602" s="50">
        <f>IF($O602="","",IF(INDEX(Firms!$F$5:$F$1004,$O602)="","—",INDEX(Firms!$F$5:$F$1004,$O602)))</f>
        <v/>
      </c>
      <c r="G602" s="50">
        <f>IF($O602="","",IF(INDEX(Firms!$G$5:$G$1004,$O602)="","—",INDEX(Firms!$G$5:$G$1004,$O602)))</f>
        <v/>
      </c>
      <c r="H602" s="50">
        <f>IF($O602="","",IF(INDEX(Firms!$H$5:$H$1004,$O602)="","—",INDEX(Firms!$H$5:$H$1004,$O602)))</f>
        <v/>
      </c>
      <c r="I602" s="50">
        <f>IF($O602="","",IF(INDEX(Firms!$I$5:$I$1004,$O602)="","—",INDEX(Firms!$I$5:$I$1004,$O602)))</f>
        <v/>
      </c>
      <c r="J602" s="50">
        <f>IF($O602="","",IF(INDEX(Firms!$J$5:$J$1004,$O602)="","—",INDEX(Firms!$J$5:$J$1004,$O602)))</f>
        <v/>
      </c>
      <c r="K602" s="50">
        <f>IF($O602="","",IF(INDEX(Firms!$K$5:$K$1004,$O602)="","—",INDEX(Firms!$K$5:$K$1004,$O602)))</f>
        <v/>
      </c>
      <c r="L602" s="50">
        <f>IF($O602="","",IF(INDEX(Firms!$L$5:$L$1004,$O602)="","—",INDEX(Firms!$L$5:$L$1004,$O602)))</f>
        <v/>
      </c>
      <c r="M602" s="50">
        <f>IF($O602="","",IF(INDEX(Firms!$M$5:$M$1004,$O602)="","—",INDEX(Firms!$M$5:$M$1004,$O602)))</f>
        <v/>
      </c>
      <c r="O602">
        <f>IFERROR(MATCH(SMALL(Firms!$Y$5:$Y$1004,594),Firms!$W$5:$W$1004,0),"")</f>
        <v/>
      </c>
    </row>
    <row r="603">
      <c r="B603" s="78">
        <f>IF($O603="","",INDEX(Firms!$A$5:$A$1004,$O603))</f>
        <v/>
      </c>
      <c r="C603" s="79">
        <f>IF($O603="","",INDEX(Firms!$N$5:$N$1004,$O603)&amp;"")</f>
        <v/>
      </c>
      <c r="D603" s="79">
        <f>IF($O603="","",INDEX(Firms!$P$5:$P$1004,$O603)&amp;"")</f>
        <v/>
      </c>
      <c r="E603" s="79">
        <f>IF($O603="","",INDEX(Firms!$O$5:$O$1004,$O603)&amp;"")</f>
        <v/>
      </c>
      <c r="F603" s="50">
        <f>IF($O603="","",IF(INDEX(Firms!$F$5:$F$1004,$O603)="","—",INDEX(Firms!$F$5:$F$1004,$O603)))</f>
        <v/>
      </c>
      <c r="G603" s="50">
        <f>IF($O603="","",IF(INDEX(Firms!$G$5:$G$1004,$O603)="","—",INDEX(Firms!$G$5:$G$1004,$O603)))</f>
        <v/>
      </c>
      <c r="H603" s="50">
        <f>IF($O603="","",IF(INDEX(Firms!$H$5:$H$1004,$O603)="","—",INDEX(Firms!$H$5:$H$1004,$O603)))</f>
        <v/>
      </c>
      <c r="I603" s="50">
        <f>IF($O603="","",IF(INDEX(Firms!$I$5:$I$1004,$O603)="","—",INDEX(Firms!$I$5:$I$1004,$O603)))</f>
        <v/>
      </c>
      <c r="J603" s="50">
        <f>IF($O603="","",IF(INDEX(Firms!$J$5:$J$1004,$O603)="","—",INDEX(Firms!$J$5:$J$1004,$O603)))</f>
        <v/>
      </c>
      <c r="K603" s="50">
        <f>IF($O603="","",IF(INDEX(Firms!$K$5:$K$1004,$O603)="","—",INDEX(Firms!$K$5:$K$1004,$O603)))</f>
        <v/>
      </c>
      <c r="L603" s="50">
        <f>IF($O603="","",IF(INDEX(Firms!$L$5:$L$1004,$O603)="","—",INDEX(Firms!$L$5:$L$1004,$O603)))</f>
        <v/>
      </c>
      <c r="M603" s="50">
        <f>IF($O603="","",IF(INDEX(Firms!$M$5:$M$1004,$O603)="","—",INDEX(Firms!$M$5:$M$1004,$O603)))</f>
        <v/>
      </c>
      <c r="O603">
        <f>IFERROR(MATCH(SMALL(Firms!$Y$5:$Y$1004,595),Firms!$W$5:$W$1004,0),"")</f>
        <v/>
      </c>
    </row>
    <row r="604">
      <c r="B604" s="78">
        <f>IF($O604="","",INDEX(Firms!$A$5:$A$1004,$O604))</f>
        <v/>
      </c>
      <c r="C604" s="79">
        <f>IF($O604="","",INDEX(Firms!$N$5:$N$1004,$O604)&amp;"")</f>
        <v/>
      </c>
      <c r="D604" s="79">
        <f>IF($O604="","",INDEX(Firms!$P$5:$P$1004,$O604)&amp;"")</f>
        <v/>
      </c>
      <c r="E604" s="79">
        <f>IF($O604="","",INDEX(Firms!$O$5:$O$1004,$O604)&amp;"")</f>
        <v/>
      </c>
      <c r="F604" s="50">
        <f>IF($O604="","",IF(INDEX(Firms!$F$5:$F$1004,$O604)="","—",INDEX(Firms!$F$5:$F$1004,$O604)))</f>
        <v/>
      </c>
      <c r="G604" s="50">
        <f>IF($O604="","",IF(INDEX(Firms!$G$5:$G$1004,$O604)="","—",INDEX(Firms!$G$5:$G$1004,$O604)))</f>
        <v/>
      </c>
      <c r="H604" s="50">
        <f>IF($O604="","",IF(INDEX(Firms!$H$5:$H$1004,$O604)="","—",INDEX(Firms!$H$5:$H$1004,$O604)))</f>
        <v/>
      </c>
      <c r="I604" s="50">
        <f>IF($O604="","",IF(INDEX(Firms!$I$5:$I$1004,$O604)="","—",INDEX(Firms!$I$5:$I$1004,$O604)))</f>
        <v/>
      </c>
      <c r="J604" s="50">
        <f>IF($O604="","",IF(INDEX(Firms!$J$5:$J$1004,$O604)="","—",INDEX(Firms!$J$5:$J$1004,$O604)))</f>
        <v/>
      </c>
      <c r="K604" s="50">
        <f>IF($O604="","",IF(INDEX(Firms!$K$5:$K$1004,$O604)="","—",INDEX(Firms!$K$5:$K$1004,$O604)))</f>
        <v/>
      </c>
      <c r="L604" s="50">
        <f>IF($O604="","",IF(INDEX(Firms!$L$5:$L$1004,$O604)="","—",INDEX(Firms!$L$5:$L$1004,$O604)))</f>
        <v/>
      </c>
      <c r="M604" s="50">
        <f>IF($O604="","",IF(INDEX(Firms!$M$5:$M$1004,$O604)="","—",INDEX(Firms!$M$5:$M$1004,$O604)))</f>
        <v/>
      </c>
      <c r="O604">
        <f>IFERROR(MATCH(SMALL(Firms!$Y$5:$Y$1004,596),Firms!$W$5:$W$1004,0),"")</f>
        <v/>
      </c>
    </row>
    <row r="605">
      <c r="B605" s="78">
        <f>IF($O605="","",INDEX(Firms!$A$5:$A$1004,$O605))</f>
        <v/>
      </c>
      <c r="C605" s="79">
        <f>IF($O605="","",INDEX(Firms!$N$5:$N$1004,$O605)&amp;"")</f>
        <v/>
      </c>
      <c r="D605" s="79">
        <f>IF($O605="","",INDEX(Firms!$P$5:$P$1004,$O605)&amp;"")</f>
        <v/>
      </c>
      <c r="E605" s="79">
        <f>IF($O605="","",INDEX(Firms!$O$5:$O$1004,$O605)&amp;"")</f>
        <v/>
      </c>
      <c r="F605" s="50">
        <f>IF($O605="","",IF(INDEX(Firms!$F$5:$F$1004,$O605)="","—",INDEX(Firms!$F$5:$F$1004,$O605)))</f>
        <v/>
      </c>
      <c r="G605" s="50">
        <f>IF($O605="","",IF(INDEX(Firms!$G$5:$G$1004,$O605)="","—",INDEX(Firms!$G$5:$G$1004,$O605)))</f>
        <v/>
      </c>
      <c r="H605" s="50">
        <f>IF($O605="","",IF(INDEX(Firms!$H$5:$H$1004,$O605)="","—",INDEX(Firms!$H$5:$H$1004,$O605)))</f>
        <v/>
      </c>
      <c r="I605" s="50">
        <f>IF($O605="","",IF(INDEX(Firms!$I$5:$I$1004,$O605)="","—",INDEX(Firms!$I$5:$I$1004,$O605)))</f>
        <v/>
      </c>
      <c r="J605" s="50">
        <f>IF($O605="","",IF(INDEX(Firms!$J$5:$J$1004,$O605)="","—",INDEX(Firms!$J$5:$J$1004,$O605)))</f>
        <v/>
      </c>
      <c r="K605" s="50">
        <f>IF($O605="","",IF(INDEX(Firms!$K$5:$K$1004,$O605)="","—",INDEX(Firms!$K$5:$K$1004,$O605)))</f>
        <v/>
      </c>
      <c r="L605" s="50">
        <f>IF($O605="","",IF(INDEX(Firms!$L$5:$L$1004,$O605)="","—",INDEX(Firms!$L$5:$L$1004,$O605)))</f>
        <v/>
      </c>
      <c r="M605" s="50">
        <f>IF($O605="","",IF(INDEX(Firms!$M$5:$M$1004,$O605)="","—",INDEX(Firms!$M$5:$M$1004,$O605)))</f>
        <v/>
      </c>
      <c r="O605">
        <f>IFERROR(MATCH(SMALL(Firms!$Y$5:$Y$1004,597),Firms!$W$5:$W$1004,0),"")</f>
        <v/>
      </c>
    </row>
    <row r="606">
      <c r="B606" s="78">
        <f>IF($O606="","",INDEX(Firms!$A$5:$A$1004,$O606))</f>
        <v/>
      </c>
      <c r="C606" s="79">
        <f>IF($O606="","",INDEX(Firms!$N$5:$N$1004,$O606)&amp;"")</f>
        <v/>
      </c>
      <c r="D606" s="79">
        <f>IF($O606="","",INDEX(Firms!$P$5:$P$1004,$O606)&amp;"")</f>
        <v/>
      </c>
      <c r="E606" s="79">
        <f>IF($O606="","",INDEX(Firms!$O$5:$O$1004,$O606)&amp;"")</f>
        <v/>
      </c>
      <c r="F606" s="50">
        <f>IF($O606="","",IF(INDEX(Firms!$F$5:$F$1004,$O606)="","—",INDEX(Firms!$F$5:$F$1004,$O606)))</f>
        <v/>
      </c>
      <c r="G606" s="50">
        <f>IF($O606="","",IF(INDEX(Firms!$G$5:$G$1004,$O606)="","—",INDEX(Firms!$G$5:$G$1004,$O606)))</f>
        <v/>
      </c>
      <c r="H606" s="50">
        <f>IF($O606="","",IF(INDEX(Firms!$H$5:$H$1004,$O606)="","—",INDEX(Firms!$H$5:$H$1004,$O606)))</f>
        <v/>
      </c>
      <c r="I606" s="50">
        <f>IF($O606="","",IF(INDEX(Firms!$I$5:$I$1004,$O606)="","—",INDEX(Firms!$I$5:$I$1004,$O606)))</f>
        <v/>
      </c>
      <c r="J606" s="50">
        <f>IF($O606="","",IF(INDEX(Firms!$J$5:$J$1004,$O606)="","—",INDEX(Firms!$J$5:$J$1004,$O606)))</f>
        <v/>
      </c>
      <c r="K606" s="50">
        <f>IF($O606="","",IF(INDEX(Firms!$K$5:$K$1004,$O606)="","—",INDEX(Firms!$K$5:$K$1004,$O606)))</f>
        <v/>
      </c>
      <c r="L606" s="50">
        <f>IF($O606="","",IF(INDEX(Firms!$L$5:$L$1004,$O606)="","—",INDEX(Firms!$L$5:$L$1004,$O606)))</f>
        <v/>
      </c>
      <c r="M606" s="50">
        <f>IF($O606="","",IF(INDEX(Firms!$M$5:$M$1004,$O606)="","—",INDEX(Firms!$M$5:$M$1004,$O606)))</f>
        <v/>
      </c>
      <c r="O606">
        <f>IFERROR(MATCH(SMALL(Firms!$Y$5:$Y$1004,598),Firms!$W$5:$W$1004,0),"")</f>
        <v/>
      </c>
    </row>
    <row r="607">
      <c r="B607" s="78">
        <f>IF($O607="","",INDEX(Firms!$A$5:$A$1004,$O607))</f>
        <v/>
      </c>
      <c r="C607" s="79">
        <f>IF($O607="","",INDEX(Firms!$N$5:$N$1004,$O607)&amp;"")</f>
        <v/>
      </c>
      <c r="D607" s="79">
        <f>IF($O607="","",INDEX(Firms!$P$5:$P$1004,$O607)&amp;"")</f>
        <v/>
      </c>
      <c r="E607" s="79">
        <f>IF($O607="","",INDEX(Firms!$O$5:$O$1004,$O607)&amp;"")</f>
        <v/>
      </c>
      <c r="F607" s="50">
        <f>IF($O607="","",IF(INDEX(Firms!$F$5:$F$1004,$O607)="","—",INDEX(Firms!$F$5:$F$1004,$O607)))</f>
        <v/>
      </c>
      <c r="G607" s="50">
        <f>IF($O607="","",IF(INDEX(Firms!$G$5:$G$1004,$O607)="","—",INDEX(Firms!$G$5:$G$1004,$O607)))</f>
        <v/>
      </c>
      <c r="H607" s="50">
        <f>IF($O607="","",IF(INDEX(Firms!$H$5:$H$1004,$O607)="","—",INDEX(Firms!$H$5:$H$1004,$O607)))</f>
        <v/>
      </c>
      <c r="I607" s="50">
        <f>IF($O607="","",IF(INDEX(Firms!$I$5:$I$1004,$O607)="","—",INDEX(Firms!$I$5:$I$1004,$O607)))</f>
        <v/>
      </c>
      <c r="J607" s="50">
        <f>IF($O607="","",IF(INDEX(Firms!$J$5:$J$1004,$O607)="","—",INDEX(Firms!$J$5:$J$1004,$O607)))</f>
        <v/>
      </c>
      <c r="K607" s="50">
        <f>IF($O607="","",IF(INDEX(Firms!$K$5:$K$1004,$O607)="","—",INDEX(Firms!$K$5:$K$1004,$O607)))</f>
        <v/>
      </c>
      <c r="L607" s="50">
        <f>IF($O607="","",IF(INDEX(Firms!$L$5:$L$1004,$O607)="","—",INDEX(Firms!$L$5:$L$1004,$O607)))</f>
        <v/>
      </c>
      <c r="M607" s="50">
        <f>IF($O607="","",IF(INDEX(Firms!$M$5:$M$1004,$O607)="","—",INDEX(Firms!$M$5:$M$1004,$O607)))</f>
        <v/>
      </c>
      <c r="O607">
        <f>IFERROR(MATCH(SMALL(Firms!$Y$5:$Y$1004,599),Firms!$W$5:$W$1004,0),"")</f>
        <v/>
      </c>
    </row>
    <row r="608">
      <c r="B608" s="78">
        <f>IF($O608="","",INDEX(Firms!$A$5:$A$1004,$O608))</f>
        <v/>
      </c>
      <c r="C608" s="79">
        <f>IF($O608="","",INDEX(Firms!$N$5:$N$1004,$O608)&amp;"")</f>
        <v/>
      </c>
      <c r="D608" s="79">
        <f>IF($O608="","",INDEX(Firms!$P$5:$P$1004,$O608)&amp;"")</f>
        <v/>
      </c>
      <c r="E608" s="79">
        <f>IF($O608="","",INDEX(Firms!$O$5:$O$1004,$O608)&amp;"")</f>
        <v/>
      </c>
      <c r="F608" s="50">
        <f>IF($O608="","",IF(INDEX(Firms!$F$5:$F$1004,$O608)="","—",INDEX(Firms!$F$5:$F$1004,$O608)))</f>
        <v/>
      </c>
      <c r="G608" s="50">
        <f>IF($O608="","",IF(INDEX(Firms!$G$5:$G$1004,$O608)="","—",INDEX(Firms!$G$5:$G$1004,$O608)))</f>
        <v/>
      </c>
      <c r="H608" s="50">
        <f>IF($O608="","",IF(INDEX(Firms!$H$5:$H$1004,$O608)="","—",INDEX(Firms!$H$5:$H$1004,$O608)))</f>
        <v/>
      </c>
      <c r="I608" s="50">
        <f>IF($O608="","",IF(INDEX(Firms!$I$5:$I$1004,$O608)="","—",INDEX(Firms!$I$5:$I$1004,$O608)))</f>
        <v/>
      </c>
      <c r="J608" s="50">
        <f>IF($O608="","",IF(INDEX(Firms!$J$5:$J$1004,$O608)="","—",INDEX(Firms!$J$5:$J$1004,$O608)))</f>
        <v/>
      </c>
      <c r="K608" s="50">
        <f>IF($O608="","",IF(INDEX(Firms!$K$5:$K$1004,$O608)="","—",INDEX(Firms!$K$5:$K$1004,$O608)))</f>
        <v/>
      </c>
      <c r="L608" s="50">
        <f>IF($O608="","",IF(INDEX(Firms!$L$5:$L$1004,$O608)="","—",INDEX(Firms!$L$5:$L$1004,$O608)))</f>
        <v/>
      </c>
      <c r="M608" s="50">
        <f>IF($O608="","",IF(INDEX(Firms!$M$5:$M$1004,$O608)="","—",INDEX(Firms!$M$5:$M$1004,$O608)))</f>
        <v/>
      </c>
      <c r="O608">
        <f>IFERROR(MATCH(SMALL(Firms!$Y$5:$Y$1004,600),Firms!$W$5:$W$1004,0),"")</f>
        <v/>
      </c>
    </row>
    <row r="609">
      <c r="B609" s="78">
        <f>IF($O609="","",INDEX(Firms!$A$5:$A$1004,$O609))</f>
        <v/>
      </c>
      <c r="C609" s="79">
        <f>IF($O609="","",INDEX(Firms!$N$5:$N$1004,$O609)&amp;"")</f>
        <v/>
      </c>
      <c r="D609" s="79">
        <f>IF($O609="","",INDEX(Firms!$P$5:$P$1004,$O609)&amp;"")</f>
        <v/>
      </c>
      <c r="E609" s="79">
        <f>IF($O609="","",INDEX(Firms!$O$5:$O$1004,$O609)&amp;"")</f>
        <v/>
      </c>
      <c r="F609" s="50">
        <f>IF($O609="","",IF(INDEX(Firms!$F$5:$F$1004,$O609)="","—",INDEX(Firms!$F$5:$F$1004,$O609)))</f>
        <v/>
      </c>
      <c r="G609" s="50">
        <f>IF($O609="","",IF(INDEX(Firms!$G$5:$G$1004,$O609)="","—",INDEX(Firms!$G$5:$G$1004,$O609)))</f>
        <v/>
      </c>
      <c r="H609" s="50">
        <f>IF($O609="","",IF(INDEX(Firms!$H$5:$H$1004,$O609)="","—",INDEX(Firms!$H$5:$H$1004,$O609)))</f>
        <v/>
      </c>
      <c r="I609" s="50">
        <f>IF($O609="","",IF(INDEX(Firms!$I$5:$I$1004,$O609)="","—",INDEX(Firms!$I$5:$I$1004,$O609)))</f>
        <v/>
      </c>
      <c r="J609" s="50">
        <f>IF($O609="","",IF(INDEX(Firms!$J$5:$J$1004,$O609)="","—",INDEX(Firms!$J$5:$J$1004,$O609)))</f>
        <v/>
      </c>
      <c r="K609" s="50">
        <f>IF($O609="","",IF(INDEX(Firms!$K$5:$K$1004,$O609)="","—",INDEX(Firms!$K$5:$K$1004,$O609)))</f>
        <v/>
      </c>
      <c r="L609" s="50">
        <f>IF($O609="","",IF(INDEX(Firms!$L$5:$L$1004,$O609)="","—",INDEX(Firms!$L$5:$L$1004,$O609)))</f>
        <v/>
      </c>
      <c r="M609" s="50">
        <f>IF($O609="","",IF(INDEX(Firms!$M$5:$M$1004,$O609)="","—",INDEX(Firms!$M$5:$M$1004,$O609)))</f>
        <v/>
      </c>
      <c r="O609">
        <f>IFERROR(MATCH(SMALL(Firms!$Y$5:$Y$1004,601),Firms!$W$5:$W$1004,0),"")</f>
        <v/>
      </c>
    </row>
    <row r="610">
      <c r="B610" s="78">
        <f>IF($O610="","",INDEX(Firms!$A$5:$A$1004,$O610))</f>
        <v/>
      </c>
      <c r="C610" s="79">
        <f>IF($O610="","",INDEX(Firms!$N$5:$N$1004,$O610)&amp;"")</f>
        <v/>
      </c>
      <c r="D610" s="79">
        <f>IF($O610="","",INDEX(Firms!$P$5:$P$1004,$O610)&amp;"")</f>
        <v/>
      </c>
      <c r="E610" s="79">
        <f>IF($O610="","",INDEX(Firms!$O$5:$O$1004,$O610)&amp;"")</f>
        <v/>
      </c>
      <c r="F610" s="50">
        <f>IF($O610="","",IF(INDEX(Firms!$F$5:$F$1004,$O610)="","—",INDEX(Firms!$F$5:$F$1004,$O610)))</f>
        <v/>
      </c>
      <c r="G610" s="50">
        <f>IF($O610="","",IF(INDEX(Firms!$G$5:$G$1004,$O610)="","—",INDEX(Firms!$G$5:$G$1004,$O610)))</f>
        <v/>
      </c>
      <c r="H610" s="50">
        <f>IF($O610="","",IF(INDEX(Firms!$H$5:$H$1004,$O610)="","—",INDEX(Firms!$H$5:$H$1004,$O610)))</f>
        <v/>
      </c>
      <c r="I610" s="50">
        <f>IF($O610="","",IF(INDEX(Firms!$I$5:$I$1004,$O610)="","—",INDEX(Firms!$I$5:$I$1004,$O610)))</f>
        <v/>
      </c>
      <c r="J610" s="50">
        <f>IF($O610="","",IF(INDEX(Firms!$J$5:$J$1004,$O610)="","—",INDEX(Firms!$J$5:$J$1004,$O610)))</f>
        <v/>
      </c>
      <c r="K610" s="50">
        <f>IF($O610="","",IF(INDEX(Firms!$K$5:$K$1004,$O610)="","—",INDEX(Firms!$K$5:$K$1004,$O610)))</f>
        <v/>
      </c>
      <c r="L610" s="50">
        <f>IF($O610="","",IF(INDEX(Firms!$L$5:$L$1004,$O610)="","—",INDEX(Firms!$L$5:$L$1004,$O610)))</f>
        <v/>
      </c>
      <c r="M610" s="50">
        <f>IF($O610="","",IF(INDEX(Firms!$M$5:$M$1004,$O610)="","—",INDEX(Firms!$M$5:$M$1004,$O610)))</f>
        <v/>
      </c>
      <c r="O610">
        <f>IFERROR(MATCH(SMALL(Firms!$Y$5:$Y$1004,602),Firms!$W$5:$W$1004,0),"")</f>
        <v/>
      </c>
    </row>
    <row r="611">
      <c r="B611" s="78">
        <f>IF($O611="","",INDEX(Firms!$A$5:$A$1004,$O611))</f>
        <v/>
      </c>
      <c r="C611" s="79">
        <f>IF($O611="","",INDEX(Firms!$N$5:$N$1004,$O611)&amp;"")</f>
        <v/>
      </c>
      <c r="D611" s="79">
        <f>IF($O611="","",INDEX(Firms!$P$5:$P$1004,$O611)&amp;"")</f>
        <v/>
      </c>
      <c r="E611" s="79">
        <f>IF($O611="","",INDEX(Firms!$O$5:$O$1004,$O611)&amp;"")</f>
        <v/>
      </c>
      <c r="F611" s="50">
        <f>IF($O611="","",IF(INDEX(Firms!$F$5:$F$1004,$O611)="","—",INDEX(Firms!$F$5:$F$1004,$O611)))</f>
        <v/>
      </c>
      <c r="G611" s="50">
        <f>IF($O611="","",IF(INDEX(Firms!$G$5:$G$1004,$O611)="","—",INDEX(Firms!$G$5:$G$1004,$O611)))</f>
        <v/>
      </c>
      <c r="H611" s="50">
        <f>IF($O611="","",IF(INDEX(Firms!$H$5:$H$1004,$O611)="","—",INDEX(Firms!$H$5:$H$1004,$O611)))</f>
        <v/>
      </c>
      <c r="I611" s="50">
        <f>IF($O611="","",IF(INDEX(Firms!$I$5:$I$1004,$O611)="","—",INDEX(Firms!$I$5:$I$1004,$O611)))</f>
        <v/>
      </c>
      <c r="J611" s="50">
        <f>IF($O611="","",IF(INDEX(Firms!$J$5:$J$1004,$O611)="","—",INDEX(Firms!$J$5:$J$1004,$O611)))</f>
        <v/>
      </c>
      <c r="K611" s="50">
        <f>IF($O611="","",IF(INDEX(Firms!$K$5:$K$1004,$O611)="","—",INDEX(Firms!$K$5:$K$1004,$O611)))</f>
        <v/>
      </c>
      <c r="L611" s="50">
        <f>IF($O611="","",IF(INDEX(Firms!$L$5:$L$1004,$O611)="","—",INDEX(Firms!$L$5:$L$1004,$O611)))</f>
        <v/>
      </c>
      <c r="M611" s="50">
        <f>IF($O611="","",IF(INDEX(Firms!$M$5:$M$1004,$O611)="","—",INDEX(Firms!$M$5:$M$1004,$O611)))</f>
        <v/>
      </c>
      <c r="O611">
        <f>IFERROR(MATCH(SMALL(Firms!$Y$5:$Y$1004,603),Firms!$W$5:$W$1004,0),"")</f>
        <v/>
      </c>
    </row>
    <row r="612">
      <c r="B612" s="78">
        <f>IF($O612="","",INDEX(Firms!$A$5:$A$1004,$O612))</f>
        <v/>
      </c>
      <c r="C612" s="79">
        <f>IF($O612="","",INDEX(Firms!$N$5:$N$1004,$O612)&amp;"")</f>
        <v/>
      </c>
      <c r="D612" s="79">
        <f>IF($O612="","",INDEX(Firms!$P$5:$P$1004,$O612)&amp;"")</f>
        <v/>
      </c>
      <c r="E612" s="79">
        <f>IF($O612="","",INDEX(Firms!$O$5:$O$1004,$O612)&amp;"")</f>
        <v/>
      </c>
      <c r="F612" s="50">
        <f>IF($O612="","",IF(INDEX(Firms!$F$5:$F$1004,$O612)="","—",INDEX(Firms!$F$5:$F$1004,$O612)))</f>
        <v/>
      </c>
      <c r="G612" s="50">
        <f>IF($O612="","",IF(INDEX(Firms!$G$5:$G$1004,$O612)="","—",INDEX(Firms!$G$5:$G$1004,$O612)))</f>
        <v/>
      </c>
      <c r="H612" s="50">
        <f>IF($O612="","",IF(INDEX(Firms!$H$5:$H$1004,$O612)="","—",INDEX(Firms!$H$5:$H$1004,$O612)))</f>
        <v/>
      </c>
      <c r="I612" s="50">
        <f>IF($O612="","",IF(INDEX(Firms!$I$5:$I$1004,$O612)="","—",INDEX(Firms!$I$5:$I$1004,$O612)))</f>
        <v/>
      </c>
      <c r="J612" s="50">
        <f>IF($O612="","",IF(INDEX(Firms!$J$5:$J$1004,$O612)="","—",INDEX(Firms!$J$5:$J$1004,$O612)))</f>
        <v/>
      </c>
      <c r="K612" s="50">
        <f>IF($O612="","",IF(INDEX(Firms!$K$5:$K$1004,$O612)="","—",INDEX(Firms!$K$5:$K$1004,$O612)))</f>
        <v/>
      </c>
      <c r="L612" s="50">
        <f>IF($O612="","",IF(INDEX(Firms!$L$5:$L$1004,$O612)="","—",INDEX(Firms!$L$5:$L$1004,$O612)))</f>
        <v/>
      </c>
      <c r="M612" s="50">
        <f>IF($O612="","",IF(INDEX(Firms!$M$5:$M$1004,$O612)="","—",INDEX(Firms!$M$5:$M$1004,$O612)))</f>
        <v/>
      </c>
      <c r="O612">
        <f>IFERROR(MATCH(SMALL(Firms!$Y$5:$Y$1004,604),Firms!$W$5:$W$1004,0),"")</f>
        <v/>
      </c>
    </row>
    <row r="613">
      <c r="B613" s="78">
        <f>IF($O613="","",INDEX(Firms!$A$5:$A$1004,$O613))</f>
        <v/>
      </c>
      <c r="C613" s="79">
        <f>IF($O613="","",INDEX(Firms!$N$5:$N$1004,$O613)&amp;"")</f>
        <v/>
      </c>
      <c r="D613" s="79">
        <f>IF($O613="","",INDEX(Firms!$P$5:$P$1004,$O613)&amp;"")</f>
        <v/>
      </c>
      <c r="E613" s="79">
        <f>IF($O613="","",INDEX(Firms!$O$5:$O$1004,$O613)&amp;"")</f>
        <v/>
      </c>
      <c r="F613" s="50">
        <f>IF($O613="","",IF(INDEX(Firms!$F$5:$F$1004,$O613)="","—",INDEX(Firms!$F$5:$F$1004,$O613)))</f>
        <v/>
      </c>
      <c r="G613" s="50">
        <f>IF($O613="","",IF(INDEX(Firms!$G$5:$G$1004,$O613)="","—",INDEX(Firms!$G$5:$G$1004,$O613)))</f>
        <v/>
      </c>
      <c r="H613" s="50">
        <f>IF($O613="","",IF(INDEX(Firms!$H$5:$H$1004,$O613)="","—",INDEX(Firms!$H$5:$H$1004,$O613)))</f>
        <v/>
      </c>
      <c r="I613" s="50">
        <f>IF($O613="","",IF(INDEX(Firms!$I$5:$I$1004,$O613)="","—",INDEX(Firms!$I$5:$I$1004,$O613)))</f>
        <v/>
      </c>
      <c r="J613" s="50">
        <f>IF($O613="","",IF(INDEX(Firms!$J$5:$J$1004,$O613)="","—",INDEX(Firms!$J$5:$J$1004,$O613)))</f>
        <v/>
      </c>
      <c r="K613" s="50">
        <f>IF($O613="","",IF(INDEX(Firms!$K$5:$K$1004,$O613)="","—",INDEX(Firms!$K$5:$K$1004,$O613)))</f>
        <v/>
      </c>
      <c r="L613" s="50">
        <f>IF($O613="","",IF(INDEX(Firms!$L$5:$L$1004,$O613)="","—",INDEX(Firms!$L$5:$L$1004,$O613)))</f>
        <v/>
      </c>
      <c r="M613" s="50">
        <f>IF($O613="","",IF(INDEX(Firms!$M$5:$M$1004,$O613)="","—",INDEX(Firms!$M$5:$M$1004,$O613)))</f>
        <v/>
      </c>
      <c r="O613">
        <f>IFERROR(MATCH(SMALL(Firms!$Y$5:$Y$1004,605),Firms!$W$5:$W$1004,0),"")</f>
        <v/>
      </c>
    </row>
    <row r="614">
      <c r="B614" s="78">
        <f>IF($O614="","",INDEX(Firms!$A$5:$A$1004,$O614))</f>
        <v/>
      </c>
      <c r="C614" s="79">
        <f>IF($O614="","",INDEX(Firms!$N$5:$N$1004,$O614)&amp;"")</f>
        <v/>
      </c>
      <c r="D614" s="79">
        <f>IF($O614="","",INDEX(Firms!$P$5:$P$1004,$O614)&amp;"")</f>
        <v/>
      </c>
      <c r="E614" s="79">
        <f>IF($O614="","",INDEX(Firms!$O$5:$O$1004,$O614)&amp;"")</f>
        <v/>
      </c>
      <c r="F614" s="50">
        <f>IF($O614="","",IF(INDEX(Firms!$F$5:$F$1004,$O614)="","—",INDEX(Firms!$F$5:$F$1004,$O614)))</f>
        <v/>
      </c>
      <c r="G614" s="50">
        <f>IF($O614="","",IF(INDEX(Firms!$G$5:$G$1004,$O614)="","—",INDEX(Firms!$G$5:$G$1004,$O614)))</f>
        <v/>
      </c>
      <c r="H614" s="50">
        <f>IF($O614="","",IF(INDEX(Firms!$H$5:$H$1004,$O614)="","—",INDEX(Firms!$H$5:$H$1004,$O614)))</f>
        <v/>
      </c>
      <c r="I614" s="50">
        <f>IF($O614="","",IF(INDEX(Firms!$I$5:$I$1004,$O614)="","—",INDEX(Firms!$I$5:$I$1004,$O614)))</f>
        <v/>
      </c>
      <c r="J614" s="50">
        <f>IF($O614="","",IF(INDEX(Firms!$J$5:$J$1004,$O614)="","—",INDEX(Firms!$J$5:$J$1004,$O614)))</f>
        <v/>
      </c>
      <c r="K614" s="50">
        <f>IF($O614="","",IF(INDEX(Firms!$K$5:$K$1004,$O614)="","—",INDEX(Firms!$K$5:$K$1004,$O614)))</f>
        <v/>
      </c>
      <c r="L614" s="50">
        <f>IF($O614="","",IF(INDEX(Firms!$L$5:$L$1004,$O614)="","—",INDEX(Firms!$L$5:$L$1004,$O614)))</f>
        <v/>
      </c>
      <c r="M614" s="50">
        <f>IF($O614="","",IF(INDEX(Firms!$M$5:$M$1004,$O614)="","—",INDEX(Firms!$M$5:$M$1004,$O614)))</f>
        <v/>
      </c>
      <c r="O614">
        <f>IFERROR(MATCH(SMALL(Firms!$Y$5:$Y$1004,606),Firms!$W$5:$W$1004,0),"")</f>
        <v/>
      </c>
    </row>
    <row r="615">
      <c r="B615" s="78">
        <f>IF($O615="","",INDEX(Firms!$A$5:$A$1004,$O615))</f>
        <v/>
      </c>
      <c r="C615" s="79">
        <f>IF($O615="","",INDEX(Firms!$N$5:$N$1004,$O615)&amp;"")</f>
        <v/>
      </c>
      <c r="D615" s="79">
        <f>IF($O615="","",INDEX(Firms!$P$5:$P$1004,$O615)&amp;"")</f>
        <v/>
      </c>
      <c r="E615" s="79">
        <f>IF($O615="","",INDEX(Firms!$O$5:$O$1004,$O615)&amp;"")</f>
        <v/>
      </c>
      <c r="F615" s="50">
        <f>IF($O615="","",IF(INDEX(Firms!$F$5:$F$1004,$O615)="","—",INDEX(Firms!$F$5:$F$1004,$O615)))</f>
        <v/>
      </c>
      <c r="G615" s="50">
        <f>IF($O615="","",IF(INDEX(Firms!$G$5:$G$1004,$O615)="","—",INDEX(Firms!$G$5:$G$1004,$O615)))</f>
        <v/>
      </c>
      <c r="H615" s="50">
        <f>IF($O615="","",IF(INDEX(Firms!$H$5:$H$1004,$O615)="","—",INDEX(Firms!$H$5:$H$1004,$O615)))</f>
        <v/>
      </c>
      <c r="I615" s="50">
        <f>IF($O615="","",IF(INDEX(Firms!$I$5:$I$1004,$O615)="","—",INDEX(Firms!$I$5:$I$1004,$O615)))</f>
        <v/>
      </c>
      <c r="J615" s="50">
        <f>IF($O615="","",IF(INDEX(Firms!$J$5:$J$1004,$O615)="","—",INDEX(Firms!$J$5:$J$1004,$O615)))</f>
        <v/>
      </c>
      <c r="K615" s="50">
        <f>IF($O615="","",IF(INDEX(Firms!$K$5:$K$1004,$O615)="","—",INDEX(Firms!$K$5:$K$1004,$O615)))</f>
        <v/>
      </c>
      <c r="L615" s="50">
        <f>IF($O615="","",IF(INDEX(Firms!$L$5:$L$1004,$O615)="","—",INDEX(Firms!$L$5:$L$1004,$O615)))</f>
        <v/>
      </c>
      <c r="M615" s="50">
        <f>IF($O615="","",IF(INDEX(Firms!$M$5:$M$1004,$O615)="","—",INDEX(Firms!$M$5:$M$1004,$O615)))</f>
        <v/>
      </c>
      <c r="O615">
        <f>IFERROR(MATCH(SMALL(Firms!$Y$5:$Y$1004,607),Firms!$W$5:$W$1004,0),"")</f>
        <v/>
      </c>
    </row>
    <row r="616">
      <c r="B616" s="78">
        <f>IF($O616="","",INDEX(Firms!$A$5:$A$1004,$O616))</f>
        <v/>
      </c>
      <c r="C616" s="79">
        <f>IF($O616="","",INDEX(Firms!$N$5:$N$1004,$O616)&amp;"")</f>
        <v/>
      </c>
      <c r="D616" s="79">
        <f>IF($O616="","",INDEX(Firms!$P$5:$P$1004,$O616)&amp;"")</f>
        <v/>
      </c>
      <c r="E616" s="79">
        <f>IF($O616="","",INDEX(Firms!$O$5:$O$1004,$O616)&amp;"")</f>
        <v/>
      </c>
      <c r="F616" s="50">
        <f>IF($O616="","",IF(INDEX(Firms!$F$5:$F$1004,$O616)="","—",INDEX(Firms!$F$5:$F$1004,$O616)))</f>
        <v/>
      </c>
      <c r="G616" s="50">
        <f>IF($O616="","",IF(INDEX(Firms!$G$5:$G$1004,$O616)="","—",INDEX(Firms!$G$5:$G$1004,$O616)))</f>
        <v/>
      </c>
      <c r="H616" s="50">
        <f>IF($O616="","",IF(INDEX(Firms!$H$5:$H$1004,$O616)="","—",INDEX(Firms!$H$5:$H$1004,$O616)))</f>
        <v/>
      </c>
      <c r="I616" s="50">
        <f>IF($O616="","",IF(INDEX(Firms!$I$5:$I$1004,$O616)="","—",INDEX(Firms!$I$5:$I$1004,$O616)))</f>
        <v/>
      </c>
      <c r="J616" s="50">
        <f>IF($O616="","",IF(INDEX(Firms!$J$5:$J$1004,$O616)="","—",INDEX(Firms!$J$5:$J$1004,$O616)))</f>
        <v/>
      </c>
      <c r="K616" s="50">
        <f>IF($O616="","",IF(INDEX(Firms!$K$5:$K$1004,$O616)="","—",INDEX(Firms!$K$5:$K$1004,$O616)))</f>
        <v/>
      </c>
      <c r="L616" s="50">
        <f>IF($O616="","",IF(INDEX(Firms!$L$5:$L$1004,$O616)="","—",INDEX(Firms!$L$5:$L$1004,$O616)))</f>
        <v/>
      </c>
      <c r="M616" s="50">
        <f>IF($O616="","",IF(INDEX(Firms!$M$5:$M$1004,$O616)="","—",INDEX(Firms!$M$5:$M$1004,$O616)))</f>
        <v/>
      </c>
      <c r="O616">
        <f>IFERROR(MATCH(SMALL(Firms!$Y$5:$Y$1004,608),Firms!$W$5:$W$1004,0),"")</f>
        <v/>
      </c>
    </row>
    <row r="617">
      <c r="B617" s="78">
        <f>IF($O617="","",INDEX(Firms!$A$5:$A$1004,$O617))</f>
        <v/>
      </c>
      <c r="C617" s="79">
        <f>IF($O617="","",INDEX(Firms!$N$5:$N$1004,$O617)&amp;"")</f>
        <v/>
      </c>
      <c r="D617" s="79">
        <f>IF($O617="","",INDEX(Firms!$P$5:$P$1004,$O617)&amp;"")</f>
        <v/>
      </c>
      <c r="E617" s="79">
        <f>IF($O617="","",INDEX(Firms!$O$5:$O$1004,$O617)&amp;"")</f>
        <v/>
      </c>
      <c r="F617" s="50">
        <f>IF($O617="","",IF(INDEX(Firms!$F$5:$F$1004,$O617)="","—",INDEX(Firms!$F$5:$F$1004,$O617)))</f>
        <v/>
      </c>
      <c r="G617" s="50">
        <f>IF($O617="","",IF(INDEX(Firms!$G$5:$G$1004,$O617)="","—",INDEX(Firms!$G$5:$G$1004,$O617)))</f>
        <v/>
      </c>
      <c r="H617" s="50">
        <f>IF($O617="","",IF(INDEX(Firms!$H$5:$H$1004,$O617)="","—",INDEX(Firms!$H$5:$H$1004,$O617)))</f>
        <v/>
      </c>
      <c r="I617" s="50">
        <f>IF($O617="","",IF(INDEX(Firms!$I$5:$I$1004,$O617)="","—",INDEX(Firms!$I$5:$I$1004,$O617)))</f>
        <v/>
      </c>
      <c r="J617" s="50">
        <f>IF($O617="","",IF(INDEX(Firms!$J$5:$J$1004,$O617)="","—",INDEX(Firms!$J$5:$J$1004,$O617)))</f>
        <v/>
      </c>
      <c r="K617" s="50">
        <f>IF($O617="","",IF(INDEX(Firms!$K$5:$K$1004,$O617)="","—",INDEX(Firms!$K$5:$K$1004,$O617)))</f>
        <v/>
      </c>
      <c r="L617" s="50">
        <f>IF($O617="","",IF(INDEX(Firms!$L$5:$L$1004,$O617)="","—",INDEX(Firms!$L$5:$L$1004,$O617)))</f>
        <v/>
      </c>
      <c r="M617" s="50">
        <f>IF($O617="","",IF(INDEX(Firms!$M$5:$M$1004,$O617)="","—",INDEX(Firms!$M$5:$M$1004,$O617)))</f>
        <v/>
      </c>
      <c r="O617">
        <f>IFERROR(MATCH(SMALL(Firms!$Y$5:$Y$1004,609),Firms!$W$5:$W$1004,0),"")</f>
        <v/>
      </c>
    </row>
    <row r="618">
      <c r="B618" s="78">
        <f>IF($O618="","",INDEX(Firms!$A$5:$A$1004,$O618))</f>
        <v/>
      </c>
      <c r="C618" s="79">
        <f>IF($O618="","",INDEX(Firms!$N$5:$N$1004,$O618)&amp;"")</f>
        <v/>
      </c>
      <c r="D618" s="79">
        <f>IF($O618="","",INDEX(Firms!$P$5:$P$1004,$O618)&amp;"")</f>
        <v/>
      </c>
      <c r="E618" s="79">
        <f>IF($O618="","",INDEX(Firms!$O$5:$O$1004,$O618)&amp;"")</f>
        <v/>
      </c>
      <c r="F618" s="50">
        <f>IF($O618="","",IF(INDEX(Firms!$F$5:$F$1004,$O618)="","—",INDEX(Firms!$F$5:$F$1004,$O618)))</f>
        <v/>
      </c>
      <c r="G618" s="50">
        <f>IF($O618="","",IF(INDEX(Firms!$G$5:$G$1004,$O618)="","—",INDEX(Firms!$G$5:$G$1004,$O618)))</f>
        <v/>
      </c>
      <c r="H618" s="50">
        <f>IF($O618="","",IF(INDEX(Firms!$H$5:$H$1004,$O618)="","—",INDEX(Firms!$H$5:$H$1004,$O618)))</f>
        <v/>
      </c>
      <c r="I618" s="50">
        <f>IF($O618="","",IF(INDEX(Firms!$I$5:$I$1004,$O618)="","—",INDEX(Firms!$I$5:$I$1004,$O618)))</f>
        <v/>
      </c>
      <c r="J618" s="50">
        <f>IF($O618="","",IF(INDEX(Firms!$J$5:$J$1004,$O618)="","—",INDEX(Firms!$J$5:$J$1004,$O618)))</f>
        <v/>
      </c>
      <c r="K618" s="50">
        <f>IF($O618="","",IF(INDEX(Firms!$K$5:$K$1004,$O618)="","—",INDEX(Firms!$K$5:$K$1004,$O618)))</f>
        <v/>
      </c>
      <c r="L618" s="50">
        <f>IF($O618="","",IF(INDEX(Firms!$L$5:$L$1004,$O618)="","—",INDEX(Firms!$L$5:$L$1004,$O618)))</f>
        <v/>
      </c>
      <c r="M618" s="50">
        <f>IF($O618="","",IF(INDEX(Firms!$M$5:$M$1004,$O618)="","—",INDEX(Firms!$M$5:$M$1004,$O618)))</f>
        <v/>
      </c>
      <c r="O618">
        <f>IFERROR(MATCH(SMALL(Firms!$Y$5:$Y$1004,610),Firms!$W$5:$W$1004,0),"")</f>
        <v/>
      </c>
    </row>
    <row r="619">
      <c r="B619" s="78">
        <f>IF($O619="","",INDEX(Firms!$A$5:$A$1004,$O619))</f>
        <v/>
      </c>
      <c r="C619" s="79">
        <f>IF($O619="","",INDEX(Firms!$N$5:$N$1004,$O619)&amp;"")</f>
        <v/>
      </c>
      <c r="D619" s="79">
        <f>IF($O619="","",INDEX(Firms!$P$5:$P$1004,$O619)&amp;"")</f>
        <v/>
      </c>
      <c r="E619" s="79">
        <f>IF($O619="","",INDEX(Firms!$O$5:$O$1004,$O619)&amp;"")</f>
        <v/>
      </c>
      <c r="F619" s="50">
        <f>IF($O619="","",IF(INDEX(Firms!$F$5:$F$1004,$O619)="","—",INDEX(Firms!$F$5:$F$1004,$O619)))</f>
        <v/>
      </c>
      <c r="G619" s="50">
        <f>IF($O619="","",IF(INDEX(Firms!$G$5:$G$1004,$O619)="","—",INDEX(Firms!$G$5:$G$1004,$O619)))</f>
        <v/>
      </c>
      <c r="H619" s="50">
        <f>IF($O619="","",IF(INDEX(Firms!$H$5:$H$1004,$O619)="","—",INDEX(Firms!$H$5:$H$1004,$O619)))</f>
        <v/>
      </c>
      <c r="I619" s="50">
        <f>IF($O619="","",IF(INDEX(Firms!$I$5:$I$1004,$O619)="","—",INDEX(Firms!$I$5:$I$1004,$O619)))</f>
        <v/>
      </c>
      <c r="J619" s="50">
        <f>IF($O619="","",IF(INDEX(Firms!$J$5:$J$1004,$O619)="","—",INDEX(Firms!$J$5:$J$1004,$O619)))</f>
        <v/>
      </c>
      <c r="K619" s="50">
        <f>IF($O619="","",IF(INDEX(Firms!$K$5:$K$1004,$O619)="","—",INDEX(Firms!$K$5:$K$1004,$O619)))</f>
        <v/>
      </c>
      <c r="L619" s="50">
        <f>IF($O619="","",IF(INDEX(Firms!$L$5:$L$1004,$O619)="","—",INDEX(Firms!$L$5:$L$1004,$O619)))</f>
        <v/>
      </c>
      <c r="M619" s="50">
        <f>IF($O619="","",IF(INDEX(Firms!$M$5:$M$1004,$O619)="","—",INDEX(Firms!$M$5:$M$1004,$O619)))</f>
        <v/>
      </c>
      <c r="O619">
        <f>IFERROR(MATCH(SMALL(Firms!$Y$5:$Y$1004,611),Firms!$W$5:$W$1004,0),"")</f>
        <v/>
      </c>
    </row>
    <row r="620">
      <c r="B620" s="78">
        <f>IF($O620="","",INDEX(Firms!$A$5:$A$1004,$O620))</f>
        <v/>
      </c>
      <c r="C620" s="79">
        <f>IF($O620="","",INDEX(Firms!$N$5:$N$1004,$O620)&amp;"")</f>
        <v/>
      </c>
      <c r="D620" s="79">
        <f>IF($O620="","",INDEX(Firms!$P$5:$P$1004,$O620)&amp;"")</f>
        <v/>
      </c>
      <c r="E620" s="79">
        <f>IF($O620="","",INDEX(Firms!$O$5:$O$1004,$O620)&amp;"")</f>
        <v/>
      </c>
      <c r="F620" s="50">
        <f>IF($O620="","",IF(INDEX(Firms!$F$5:$F$1004,$O620)="","—",INDEX(Firms!$F$5:$F$1004,$O620)))</f>
        <v/>
      </c>
      <c r="G620" s="50">
        <f>IF($O620="","",IF(INDEX(Firms!$G$5:$G$1004,$O620)="","—",INDEX(Firms!$G$5:$G$1004,$O620)))</f>
        <v/>
      </c>
      <c r="H620" s="50">
        <f>IF($O620="","",IF(INDEX(Firms!$H$5:$H$1004,$O620)="","—",INDEX(Firms!$H$5:$H$1004,$O620)))</f>
        <v/>
      </c>
      <c r="I620" s="50">
        <f>IF($O620="","",IF(INDEX(Firms!$I$5:$I$1004,$O620)="","—",INDEX(Firms!$I$5:$I$1004,$O620)))</f>
        <v/>
      </c>
      <c r="J620" s="50">
        <f>IF($O620="","",IF(INDEX(Firms!$J$5:$J$1004,$O620)="","—",INDEX(Firms!$J$5:$J$1004,$O620)))</f>
        <v/>
      </c>
      <c r="K620" s="50">
        <f>IF($O620="","",IF(INDEX(Firms!$K$5:$K$1004,$O620)="","—",INDEX(Firms!$K$5:$K$1004,$O620)))</f>
        <v/>
      </c>
      <c r="L620" s="50">
        <f>IF($O620="","",IF(INDEX(Firms!$L$5:$L$1004,$O620)="","—",INDEX(Firms!$L$5:$L$1004,$O620)))</f>
        <v/>
      </c>
      <c r="M620" s="50">
        <f>IF($O620="","",IF(INDEX(Firms!$M$5:$M$1004,$O620)="","—",INDEX(Firms!$M$5:$M$1004,$O620)))</f>
        <v/>
      </c>
      <c r="O620">
        <f>IFERROR(MATCH(SMALL(Firms!$Y$5:$Y$1004,612),Firms!$W$5:$W$1004,0),"")</f>
        <v/>
      </c>
    </row>
    <row r="621">
      <c r="B621" s="78">
        <f>IF($O621="","",INDEX(Firms!$A$5:$A$1004,$O621))</f>
        <v/>
      </c>
      <c r="C621" s="79">
        <f>IF($O621="","",INDEX(Firms!$N$5:$N$1004,$O621)&amp;"")</f>
        <v/>
      </c>
      <c r="D621" s="79">
        <f>IF($O621="","",INDEX(Firms!$P$5:$P$1004,$O621)&amp;"")</f>
        <v/>
      </c>
      <c r="E621" s="79">
        <f>IF($O621="","",INDEX(Firms!$O$5:$O$1004,$O621)&amp;"")</f>
        <v/>
      </c>
      <c r="F621" s="50">
        <f>IF($O621="","",IF(INDEX(Firms!$F$5:$F$1004,$O621)="","—",INDEX(Firms!$F$5:$F$1004,$O621)))</f>
        <v/>
      </c>
      <c r="G621" s="50">
        <f>IF($O621="","",IF(INDEX(Firms!$G$5:$G$1004,$O621)="","—",INDEX(Firms!$G$5:$G$1004,$O621)))</f>
        <v/>
      </c>
      <c r="H621" s="50">
        <f>IF($O621="","",IF(INDEX(Firms!$H$5:$H$1004,$O621)="","—",INDEX(Firms!$H$5:$H$1004,$O621)))</f>
        <v/>
      </c>
      <c r="I621" s="50">
        <f>IF($O621="","",IF(INDEX(Firms!$I$5:$I$1004,$O621)="","—",INDEX(Firms!$I$5:$I$1004,$O621)))</f>
        <v/>
      </c>
      <c r="J621" s="50">
        <f>IF($O621="","",IF(INDEX(Firms!$J$5:$J$1004,$O621)="","—",INDEX(Firms!$J$5:$J$1004,$O621)))</f>
        <v/>
      </c>
      <c r="K621" s="50">
        <f>IF($O621="","",IF(INDEX(Firms!$K$5:$K$1004,$O621)="","—",INDEX(Firms!$K$5:$K$1004,$O621)))</f>
        <v/>
      </c>
      <c r="L621" s="50">
        <f>IF($O621="","",IF(INDEX(Firms!$L$5:$L$1004,$O621)="","—",INDEX(Firms!$L$5:$L$1004,$O621)))</f>
        <v/>
      </c>
      <c r="M621" s="50">
        <f>IF($O621="","",IF(INDEX(Firms!$M$5:$M$1004,$O621)="","—",INDEX(Firms!$M$5:$M$1004,$O621)))</f>
        <v/>
      </c>
      <c r="O621">
        <f>IFERROR(MATCH(SMALL(Firms!$Y$5:$Y$1004,613),Firms!$W$5:$W$1004,0),"")</f>
        <v/>
      </c>
    </row>
    <row r="622">
      <c r="B622" s="78">
        <f>IF($O622="","",INDEX(Firms!$A$5:$A$1004,$O622))</f>
        <v/>
      </c>
      <c r="C622" s="79">
        <f>IF($O622="","",INDEX(Firms!$N$5:$N$1004,$O622)&amp;"")</f>
        <v/>
      </c>
      <c r="D622" s="79">
        <f>IF($O622="","",INDEX(Firms!$P$5:$P$1004,$O622)&amp;"")</f>
        <v/>
      </c>
      <c r="E622" s="79">
        <f>IF($O622="","",INDEX(Firms!$O$5:$O$1004,$O622)&amp;"")</f>
        <v/>
      </c>
      <c r="F622" s="50">
        <f>IF($O622="","",IF(INDEX(Firms!$F$5:$F$1004,$O622)="","—",INDEX(Firms!$F$5:$F$1004,$O622)))</f>
        <v/>
      </c>
      <c r="G622" s="50">
        <f>IF($O622="","",IF(INDEX(Firms!$G$5:$G$1004,$O622)="","—",INDEX(Firms!$G$5:$G$1004,$O622)))</f>
        <v/>
      </c>
      <c r="H622" s="50">
        <f>IF($O622="","",IF(INDEX(Firms!$H$5:$H$1004,$O622)="","—",INDEX(Firms!$H$5:$H$1004,$O622)))</f>
        <v/>
      </c>
      <c r="I622" s="50">
        <f>IF($O622="","",IF(INDEX(Firms!$I$5:$I$1004,$O622)="","—",INDEX(Firms!$I$5:$I$1004,$O622)))</f>
        <v/>
      </c>
      <c r="J622" s="50">
        <f>IF($O622="","",IF(INDEX(Firms!$J$5:$J$1004,$O622)="","—",INDEX(Firms!$J$5:$J$1004,$O622)))</f>
        <v/>
      </c>
      <c r="K622" s="50">
        <f>IF($O622="","",IF(INDEX(Firms!$K$5:$K$1004,$O622)="","—",INDEX(Firms!$K$5:$K$1004,$O622)))</f>
        <v/>
      </c>
      <c r="L622" s="50">
        <f>IF($O622="","",IF(INDEX(Firms!$L$5:$L$1004,$O622)="","—",INDEX(Firms!$L$5:$L$1004,$O622)))</f>
        <v/>
      </c>
      <c r="M622" s="50">
        <f>IF($O622="","",IF(INDEX(Firms!$M$5:$M$1004,$O622)="","—",INDEX(Firms!$M$5:$M$1004,$O622)))</f>
        <v/>
      </c>
      <c r="O622">
        <f>IFERROR(MATCH(SMALL(Firms!$Y$5:$Y$1004,614),Firms!$W$5:$W$1004,0),"")</f>
        <v/>
      </c>
    </row>
    <row r="623">
      <c r="B623" s="78">
        <f>IF($O623="","",INDEX(Firms!$A$5:$A$1004,$O623))</f>
        <v/>
      </c>
      <c r="C623" s="79">
        <f>IF($O623="","",INDEX(Firms!$N$5:$N$1004,$O623)&amp;"")</f>
        <v/>
      </c>
      <c r="D623" s="79">
        <f>IF($O623="","",INDEX(Firms!$P$5:$P$1004,$O623)&amp;"")</f>
        <v/>
      </c>
      <c r="E623" s="79">
        <f>IF($O623="","",INDEX(Firms!$O$5:$O$1004,$O623)&amp;"")</f>
        <v/>
      </c>
      <c r="F623" s="50">
        <f>IF($O623="","",IF(INDEX(Firms!$F$5:$F$1004,$O623)="","—",INDEX(Firms!$F$5:$F$1004,$O623)))</f>
        <v/>
      </c>
      <c r="G623" s="50">
        <f>IF($O623="","",IF(INDEX(Firms!$G$5:$G$1004,$O623)="","—",INDEX(Firms!$G$5:$G$1004,$O623)))</f>
        <v/>
      </c>
      <c r="H623" s="50">
        <f>IF($O623="","",IF(INDEX(Firms!$H$5:$H$1004,$O623)="","—",INDEX(Firms!$H$5:$H$1004,$O623)))</f>
        <v/>
      </c>
      <c r="I623" s="50">
        <f>IF($O623="","",IF(INDEX(Firms!$I$5:$I$1004,$O623)="","—",INDEX(Firms!$I$5:$I$1004,$O623)))</f>
        <v/>
      </c>
      <c r="J623" s="50">
        <f>IF($O623="","",IF(INDEX(Firms!$J$5:$J$1004,$O623)="","—",INDEX(Firms!$J$5:$J$1004,$O623)))</f>
        <v/>
      </c>
      <c r="K623" s="50">
        <f>IF($O623="","",IF(INDEX(Firms!$K$5:$K$1004,$O623)="","—",INDEX(Firms!$K$5:$K$1004,$O623)))</f>
        <v/>
      </c>
      <c r="L623" s="50">
        <f>IF($O623="","",IF(INDEX(Firms!$L$5:$L$1004,$O623)="","—",INDEX(Firms!$L$5:$L$1004,$O623)))</f>
        <v/>
      </c>
      <c r="M623" s="50">
        <f>IF($O623="","",IF(INDEX(Firms!$M$5:$M$1004,$O623)="","—",INDEX(Firms!$M$5:$M$1004,$O623)))</f>
        <v/>
      </c>
      <c r="O623">
        <f>IFERROR(MATCH(SMALL(Firms!$Y$5:$Y$1004,615),Firms!$W$5:$W$1004,0),"")</f>
        <v/>
      </c>
    </row>
    <row r="624">
      <c r="B624" s="78">
        <f>IF($O624="","",INDEX(Firms!$A$5:$A$1004,$O624))</f>
        <v/>
      </c>
      <c r="C624" s="79">
        <f>IF($O624="","",INDEX(Firms!$N$5:$N$1004,$O624)&amp;"")</f>
        <v/>
      </c>
      <c r="D624" s="79">
        <f>IF($O624="","",INDEX(Firms!$P$5:$P$1004,$O624)&amp;"")</f>
        <v/>
      </c>
      <c r="E624" s="79">
        <f>IF($O624="","",INDEX(Firms!$O$5:$O$1004,$O624)&amp;"")</f>
        <v/>
      </c>
      <c r="F624" s="50">
        <f>IF($O624="","",IF(INDEX(Firms!$F$5:$F$1004,$O624)="","—",INDEX(Firms!$F$5:$F$1004,$O624)))</f>
        <v/>
      </c>
      <c r="G624" s="50">
        <f>IF($O624="","",IF(INDEX(Firms!$G$5:$G$1004,$O624)="","—",INDEX(Firms!$G$5:$G$1004,$O624)))</f>
        <v/>
      </c>
      <c r="H624" s="50">
        <f>IF($O624="","",IF(INDEX(Firms!$H$5:$H$1004,$O624)="","—",INDEX(Firms!$H$5:$H$1004,$O624)))</f>
        <v/>
      </c>
      <c r="I624" s="50">
        <f>IF($O624="","",IF(INDEX(Firms!$I$5:$I$1004,$O624)="","—",INDEX(Firms!$I$5:$I$1004,$O624)))</f>
        <v/>
      </c>
      <c r="J624" s="50">
        <f>IF($O624="","",IF(INDEX(Firms!$J$5:$J$1004,$O624)="","—",INDEX(Firms!$J$5:$J$1004,$O624)))</f>
        <v/>
      </c>
      <c r="K624" s="50">
        <f>IF($O624="","",IF(INDEX(Firms!$K$5:$K$1004,$O624)="","—",INDEX(Firms!$K$5:$K$1004,$O624)))</f>
        <v/>
      </c>
      <c r="L624" s="50">
        <f>IF($O624="","",IF(INDEX(Firms!$L$5:$L$1004,$O624)="","—",INDEX(Firms!$L$5:$L$1004,$O624)))</f>
        <v/>
      </c>
      <c r="M624" s="50">
        <f>IF($O624="","",IF(INDEX(Firms!$M$5:$M$1004,$O624)="","—",INDEX(Firms!$M$5:$M$1004,$O624)))</f>
        <v/>
      </c>
      <c r="O624">
        <f>IFERROR(MATCH(SMALL(Firms!$Y$5:$Y$1004,616),Firms!$W$5:$W$1004,0),"")</f>
        <v/>
      </c>
    </row>
    <row r="625">
      <c r="B625" s="78">
        <f>IF($O625="","",INDEX(Firms!$A$5:$A$1004,$O625))</f>
        <v/>
      </c>
      <c r="C625" s="79">
        <f>IF($O625="","",INDEX(Firms!$N$5:$N$1004,$O625)&amp;"")</f>
        <v/>
      </c>
      <c r="D625" s="79">
        <f>IF($O625="","",INDEX(Firms!$P$5:$P$1004,$O625)&amp;"")</f>
        <v/>
      </c>
      <c r="E625" s="79">
        <f>IF($O625="","",INDEX(Firms!$O$5:$O$1004,$O625)&amp;"")</f>
        <v/>
      </c>
      <c r="F625" s="50">
        <f>IF($O625="","",IF(INDEX(Firms!$F$5:$F$1004,$O625)="","—",INDEX(Firms!$F$5:$F$1004,$O625)))</f>
        <v/>
      </c>
      <c r="G625" s="50">
        <f>IF($O625="","",IF(INDEX(Firms!$G$5:$G$1004,$O625)="","—",INDEX(Firms!$G$5:$G$1004,$O625)))</f>
        <v/>
      </c>
      <c r="H625" s="50">
        <f>IF($O625="","",IF(INDEX(Firms!$H$5:$H$1004,$O625)="","—",INDEX(Firms!$H$5:$H$1004,$O625)))</f>
        <v/>
      </c>
      <c r="I625" s="50">
        <f>IF($O625="","",IF(INDEX(Firms!$I$5:$I$1004,$O625)="","—",INDEX(Firms!$I$5:$I$1004,$O625)))</f>
        <v/>
      </c>
      <c r="J625" s="50">
        <f>IF($O625="","",IF(INDEX(Firms!$J$5:$J$1004,$O625)="","—",INDEX(Firms!$J$5:$J$1004,$O625)))</f>
        <v/>
      </c>
      <c r="K625" s="50">
        <f>IF($O625="","",IF(INDEX(Firms!$K$5:$K$1004,$O625)="","—",INDEX(Firms!$K$5:$K$1004,$O625)))</f>
        <v/>
      </c>
      <c r="L625" s="50">
        <f>IF($O625="","",IF(INDEX(Firms!$L$5:$L$1004,$O625)="","—",INDEX(Firms!$L$5:$L$1004,$O625)))</f>
        <v/>
      </c>
      <c r="M625" s="50">
        <f>IF($O625="","",IF(INDEX(Firms!$M$5:$M$1004,$O625)="","—",INDEX(Firms!$M$5:$M$1004,$O625)))</f>
        <v/>
      </c>
      <c r="O625">
        <f>IFERROR(MATCH(SMALL(Firms!$Y$5:$Y$1004,617),Firms!$W$5:$W$1004,0),"")</f>
        <v/>
      </c>
    </row>
    <row r="626">
      <c r="B626" s="78">
        <f>IF($O626="","",INDEX(Firms!$A$5:$A$1004,$O626))</f>
        <v/>
      </c>
      <c r="C626" s="79">
        <f>IF($O626="","",INDEX(Firms!$N$5:$N$1004,$O626)&amp;"")</f>
        <v/>
      </c>
      <c r="D626" s="79">
        <f>IF($O626="","",INDEX(Firms!$P$5:$P$1004,$O626)&amp;"")</f>
        <v/>
      </c>
      <c r="E626" s="79">
        <f>IF($O626="","",INDEX(Firms!$O$5:$O$1004,$O626)&amp;"")</f>
        <v/>
      </c>
      <c r="F626" s="50">
        <f>IF($O626="","",IF(INDEX(Firms!$F$5:$F$1004,$O626)="","—",INDEX(Firms!$F$5:$F$1004,$O626)))</f>
        <v/>
      </c>
      <c r="G626" s="50">
        <f>IF($O626="","",IF(INDEX(Firms!$G$5:$G$1004,$O626)="","—",INDEX(Firms!$G$5:$G$1004,$O626)))</f>
        <v/>
      </c>
      <c r="H626" s="50">
        <f>IF($O626="","",IF(INDEX(Firms!$H$5:$H$1004,$O626)="","—",INDEX(Firms!$H$5:$H$1004,$O626)))</f>
        <v/>
      </c>
      <c r="I626" s="50">
        <f>IF($O626="","",IF(INDEX(Firms!$I$5:$I$1004,$O626)="","—",INDEX(Firms!$I$5:$I$1004,$O626)))</f>
        <v/>
      </c>
      <c r="J626" s="50">
        <f>IF($O626="","",IF(INDEX(Firms!$J$5:$J$1004,$O626)="","—",INDEX(Firms!$J$5:$J$1004,$O626)))</f>
        <v/>
      </c>
      <c r="K626" s="50">
        <f>IF($O626="","",IF(INDEX(Firms!$K$5:$K$1004,$O626)="","—",INDEX(Firms!$K$5:$K$1004,$O626)))</f>
        <v/>
      </c>
      <c r="L626" s="50">
        <f>IF($O626="","",IF(INDEX(Firms!$L$5:$L$1004,$O626)="","—",INDEX(Firms!$L$5:$L$1004,$O626)))</f>
        <v/>
      </c>
      <c r="M626" s="50">
        <f>IF($O626="","",IF(INDEX(Firms!$M$5:$M$1004,$O626)="","—",INDEX(Firms!$M$5:$M$1004,$O626)))</f>
        <v/>
      </c>
      <c r="O626">
        <f>IFERROR(MATCH(SMALL(Firms!$Y$5:$Y$1004,618),Firms!$W$5:$W$1004,0),"")</f>
        <v/>
      </c>
    </row>
    <row r="627">
      <c r="B627" s="78">
        <f>IF($O627="","",INDEX(Firms!$A$5:$A$1004,$O627))</f>
        <v/>
      </c>
      <c r="C627" s="79">
        <f>IF($O627="","",INDEX(Firms!$N$5:$N$1004,$O627)&amp;"")</f>
        <v/>
      </c>
      <c r="D627" s="79">
        <f>IF($O627="","",INDEX(Firms!$P$5:$P$1004,$O627)&amp;"")</f>
        <v/>
      </c>
      <c r="E627" s="79">
        <f>IF($O627="","",INDEX(Firms!$O$5:$O$1004,$O627)&amp;"")</f>
        <v/>
      </c>
      <c r="F627" s="50">
        <f>IF($O627="","",IF(INDEX(Firms!$F$5:$F$1004,$O627)="","—",INDEX(Firms!$F$5:$F$1004,$O627)))</f>
        <v/>
      </c>
      <c r="G627" s="50">
        <f>IF($O627="","",IF(INDEX(Firms!$G$5:$G$1004,$O627)="","—",INDEX(Firms!$G$5:$G$1004,$O627)))</f>
        <v/>
      </c>
      <c r="H627" s="50">
        <f>IF($O627="","",IF(INDEX(Firms!$H$5:$H$1004,$O627)="","—",INDEX(Firms!$H$5:$H$1004,$O627)))</f>
        <v/>
      </c>
      <c r="I627" s="50">
        <f>IF($O627="","",IF(INDEX(Firms!$I$5:$I$1004,$O627)="","—",INDEX(Firms!$I$5:$I$1004,$O627)))</f>
        <v/>
      </c>
      <c r="J627" s="50">
        <f>IF($O627="","",IF(INDEX(Firms!$J$5:$J$1004,$O627)="","—",INDEX(Firms!$J$5:$J$1004,$O627)))</f>
        <v/>
      </c>
      <c r="K627" s="50">
        <f>IF($O627="","",IF(INDEX(Firms!$K$5:$K$1004,$O627)="","—",INDEX(Firms!$K$5:$K$1004,$O627)))</f>
        <v/>
      </c>
      <c r="L627" s="50">
        <f>IF($O627="","",IF(INDEX(Firms!$L$5:$L$1004,$O627)="","—",INDEX(Firms!$L$5:$L$1004,$O627)))</f>
        <v/>
      </c>
      <c r="M627" s="50">
        <f>IF($O627="","",IF(INDEX(Firms!$M$5:$M$1004,$O627)="","—",INDEX(Firms!$M$5:$M$1004,$O627)))</f>
        <v/>
      </c>
      <c r="O627">
        <f>IFERROR(MATCH(SMALL(Firms!$Y$5:$Y$1004,619),Firms!$W$5:$W$1004,0),"")</f>
        <v/>
      </c>
    </row>
    <row r="628">
      <c r="B628" s="78">
        <f>IF($O628="","",INDEX(Firms!$A$5:$A$1004,$O628))</f>
        <v/>
      </c>
      <c r="C628" s="79">
        <f>IF($O628="","",INDEX(Firms!$N$5:$N$1004,$O628)&amp;"")</f>
        <v/>
      </c>
      <c r="D628" s="79">
        <f>IF($O628="","",INDEX(Firms!$P$5:$P$1004,$O628)&amp;"")</f>
        <v/>
      </c>
      <c r="E628" s="79">
        <f>IF($O628="","",INDEX(Firms!$O$5:$O$1004,$O628)&amp;"")</f>
        <v/>
      </c>
      <c r="F628" s="50">
        <f>IF($O628="","",IF(INDEX(Firms!$F$5:$F$1004,$O628)="","—",INDEX(Firms!$F$5:$F$1004,$O628)))</f>
        <v/>
      </c>
      <c r="G628" s="50">
        <f>IF($O628="","",IF(INDEX(Firms!$G$5:$G$1004,$O628)="","—",INDEX(Firms!$G$5:$G$1004,$O628)))</f>
        <v/>
      </c>
      <c r="H628" s="50">
        <f>IF($O628="","",IF(INDEX(Firms!$H$5:$H$1004,$O628)="","—",INDEX(Firms!$H$5:$H$1004,$O628)))</f>
        <v/>
      </c>
      <c r="I628" s="50">
        <f>IF($O628="","",IF(INDEX(Firms!$I$5:$I$1004,$O628)="","—",INDEX(Firms!$I$5:$I$1004,$O628)))</f>
        <v/>
      </c>
      <c r="J628" s="50">
        <f>IF($O628="","",IF(INDEX(Firms!$J$5:$J$1004,$O628)="","—",INDEX(Firms!$J$5:$J$1004,$O628)))</f>
        <v/>
      </c>
      <c r="K628" s="50">
        <f>IF($O628="","",IF(INDEX(Firms!$K$5:$K$1004,$O628)="","—",INDEX(Firms!$K$5:$K$1004,$O628)))</f>
        <v/>
      </c>
      <c r="L628" s="50">
        <f>IF($O628="","",IF(INDEX(Firms!$L$5:$L$1004,$O628)="","—",INDEX(Firms!$L$5:$L$1004,$O628)))</f>
        <v/>
      </c>
      <c r="M628" s="50">
        <f>IF($O628="","",IF(INDEX(Firms!$M$5:$M$1004,$O628)="","—",INDEX(Firms!$M$5:$M$1004,$O628)))</f>
        <v/>
      </c>
      <c r="O628">
        <f>IFERROR(MATCH(SMALL(Firms!$Y$5:$Y$1004,620),Firms!$W$5:$W$1004,0),"")</f>
        <v/>
      </c>
    </row>
    <row r="629">
      <c r="B629" s="78">
        <f>IF($O629="","",INDEX(Firms!$A$5:$A$1004,$O629))</f>
        <v/>
      </c>
      <c r="C629" s="79">
        <f>IF($O629="","",INDEX(Firms!$N$5:$N$1004,$O629)&amp;"")</f>
        <v/>
      </c>
      <c r="D629" s="79">
        <f>IF($O629="","",INDEX(Firms!$P$5:$P$1004,$O629)&amp;"")</f>
        <v/>
      </c>
      <c r="E629" s="79">
        <f>IF($O629="","",INDEX(Firms!$O$5:$O$1004,$O629)&amp;"")</f>
        <v/>
      </c>
      <c r="F629" s="50">
        <f>IF($O629="","",IF(INDEX(Firms!$F$5:$F$1004,$O629)="","—",INDEX(Firms!$F$5:$F$1004,$O629)))</f>
        <v/>
      </c>
      <c r="G629" s="50">
        <f>IF($O629="","",IF(INDEX(Firms!$G$5:$G$1004,$O629)="","—",INDEX(Firms!$G$5:$G$1004,$O629)))</f>
        <v/>
      </c>
      <c r="H629" s="50">
        <f>IF($O629="","",IF(INDEX(Firms!$H$5:$H$1004,$O629)="","—",INDEX(Firms!$H$5:$H$1004,$O629)))</f>
        <v/>
      </c>
      <c r="I629" s="50">
        <f>IF($O629="","",IF(INDEX(Firms!$I$5:$I$1004,$O629)="","—",INDEX(Firms!$I$5:$I$1004,$O629)))</f>
        <v/>
      </c>
      <c r="J629" s="50">
        <f>IF($O629="","",IF(INDEX(Firms!$J$5:$J$1004,$O629)="","—",INDEX(Firms!$J$5:$J$1004,$O629)))</f>
        <v/>
      </c>
      <c r="K629" s="50">
        <f>IF($O629="","",IF(INDEX(Firms!$K$5:$K$1004,$O629)="","—",INDEX(Firms!$K$5:$K$1004,$O629)))</f>
        <v/>
      </c>
      <c r="L629" s="50">
        <f>IF($O629="","",IF(INDEX(Firms!$L$5:$L$1004,$O629)="","—",INDEX(Firms!$L$5:$L$1004,$O629)))</f>
        <v/>
      </c>
      <c r="M629" s="50">
        <f>IF($O629="","",IF(INDEX(Firms!$M$5:$M$1004,$O629)="","—",INDEX(Firms!$M$5:$M$1004,$O629)))</f>
        <v/>
      </c>
      <c r="O629">
        <f>IFERROR(MATCH(SMALL(Firms!$Y$5:$Y$1004,621),Firms!$W$5:$W$1004,0),"")</f>
        <v/>
      </c>
    </row>
    <row r="630">
      <c r="B630" s="78">
        <f>IF($O630="","",INDEX(Firms!$A$5:$A$1004,$O630))</f>
        <v/>
      </c>
      <c r="C630" s="79">
        <f>IF($O630="","",INDEX(Firms!$N$5:$N$1004,$O630)&amp;"")</f>
        <v/>
      </c>
      <c r="D630" s="79">
        <f>IF($O630="","",INDEX(Firms!$P$5:$P$1004,$O630)&amp;"")</f>
        <v/>
      </c>
      <c r="E630" s="79">
        <f>IF($O630="","",INDEX(Firms!$O$5:$O$1004,$O630)&amp;"")</f>
        <v/>
      </c>
      <c r="F630" s="50">
        <f>IF($O630="","",IF(INDEX(Firms!$F$5:$F$1004,$O630)="","—",INDEX(Firms!$F$5:$F$1004,$O630)))</f>
        <v/>
      </c>
      <c r="G630" s="50">
        <f>IF($O630="","",IF(INDEX(Firms!$G$5:$G$1004,$O630)="","—",INDEX(Firms!$G$5:$G$1004,$O630)))</f>
        <v/>
      </c>
      <c r="H630" s="50">
        <f>IF($O630="","",IF(INDEX(Firms!$H$5:$H$1004,$O630)="","—",INDEX(Firms!$H$5:$H$1004,$O630)))</f>
        <v/>
      </c>
      <c r="I630" s="50">
        <f>IF($O630="","",IF(INDEX(Firms!$I$5:$I$1004,$O630)="","—",INDEX(Firms!$I$5:$I$1004,$O630)))</f>
        <v/>
      </c>
      <c r="J630" s="50">
        <f>IF($O630="","",IF(INDEX(Firms!$J$5:$J$1004,$O630)="","—",INDEX(Firms!$J$5:$J$1004,$O630)))</f>
        <v/>
      </c>
      <c r="K630" s="50">
        <f>IF($O630="","",IF(INDEX(Firms!$K$5:$K$1004,$O630)="","—",INDEX(Firms!$K$5:$K$1004,$O630)))</f>
        <v/>
      </c>
      <c r="L630" s="50">
        <f>IF($O630="","",IF(INDEX(Firms!$L$5:$L$1004,$O630)="","—",INDEX(Firms!$L$5:$L$1004,$O630)))</f>
        <v/>
      </c>
      <c r="M630" s="50">
        <f>IF($O630="","",IF(INDEX(Firms!$M$5:$M$1004,$O630)="","—",INDEX(Firms!$M$5:$M$1004,$O630)))</f>
        <v/>
      </c>
      <c r="O630">
        <f>IFERROR(MATCH(SMALL(Firms!$Y$5:$Y$1004,622),Firms!$W$5:$W$1004,0),"")</f>
        <v/>
      </c>
    </row>
    <row r="631">
      <c r="B631" s="78">
        <f>IF($O631="","",INDEX(Firms!$A$5:$A$1004,$O631))</f>
        <v/>
      </c>
      <c r="C631" s="79">
        <f>IF($O631="","",INDEX(Firms!$N$5:$N$1004,$O631)&amp;"")</f>
        <v/>
      </c>
      <c r="D631" s="79">
        <f>IF($O631="","",INDEX(Firms!$P$5:$P$1004,$O631)&amp;"")</f>
        <v/>
      </c>
      <c r="E631" s="79">
        <f>IF($O631="","",INDEX(Firms!$O$5:$O$1004,$O631)&amp;"")</f>
        <v/>
      </c>
      <c r="F631" s="50">
        <f>IF($O631="","",IF(INDEX(Firms!$F$5:$F$1004,$O631)="","—",INDEX(Firms!$F$5:$F$1004,$O631)))</f>
        <v/>
      </c>
      <c r="G631" s="50">
        <f>IF($O631="","",IF(INDEX(Firms!$G$5:$G$1004,$O631)="","—",INDEX(Firms!$G$5:$G$1004,$O631)))</f>
        <v/>
      </c>
      <c r="H631" s="50">
        <f>IF($O631="","",IF(INDEX(Firms!$H$5:$H$1004,$O631)="","—",INDEX(Firms!$H$5:$H$1004,$O631)))</f>
        <v/>
      </c>
      <c r="I631" s="50">
        <f>IF($O631="","",IF(INDEX(Firms!$I$5:$I$1004,$O631)="","—",INDEX(Firms!$I$5:$I$1004,$O631)))</f>
        <v/>
      </c>
      <c r="J631" s="50">
        <f>IF($O631="","",IF(INDEX(Firms!$J$5:$J$1004,$O631)="","—",INDEX(Firms!$J$5:$J$1004,$O631)))</f>
        <v/>
      </c>
      <c r="K631" s="50">
        <f>IF($O631="","",IF(INDEX(Firms!$K$5:$K$1004,$O631)="","—",INDEX(Firms!$K$5:$K$1004,$O631)))</f>
        <v/>
      </c>
      <c r="L631" s="50">
        <f>IF($O631="","",IF(INDEX(Firms!$L$5:$L$1004,$O631)="","—",INDEX(Firms!$L$5:$L$1004,$O631)))</f>
        <v/>
      </c>
      <c r="M631" s="50">
        <f>IF($O631="","",IF(INDEX(Firms!$M$5:$M$1004,$O631)="","—",INDEX(Firms!$M$5:$M$1004,$O631)))</f>
        <v/>
      </c>
      <c r="O631">
        <f>IFERROR(MATCH(SMALL(Firms!$Y$5:$Y$1004,623),Firms!$W$5:$W$1004,0),"")</f>
        <v/>
      </c>
    </row>
    <row r="632">
      <c r="B632" s="78">
        <f>IF($O632="","",INDEX(Firms!$A$5:$A$1004,$O632))</f>
        <v/>
      </c>
      <c r="C632" s="79">
        <f>IF($O632="","",INDEX(Firms!$N$5:$N$1004,$O632)&amp;"")</f>
        <v/>
      </c>
      <c r="D632" s="79">
        <f>IF($O632="","",INDEX(Firms!$P$5:$P$1004,$O632)&amp;"")</f>
        <v/>
      </c>
      <c r="E632" s="79">
        <f>IF($O632="","",INDEX(Firms!$O$5:$O$1004,$O632)&amp;"")</f>
        <v/>
      </c>
      <c r="F632" s="50">
        <f>IF($O632="","",IF(INDEX(Firms!$F$5:$F$1004,$O632)="","—",INDEX(Firms!$F$5:$F$1004,$O632)))</f>
        <v/>
      </c>
      <c r="G632" s="50">
        <f>IF($O632="","",IF(INDEX(Firms!$G$5:$G$1004,$O632)="","—",INDEX(Firms!$G$5:$G$1004,$O632)))</f>
        <v/>
      </c>
      <c r="H632" s="50">
        <f>IF($O632="","",IF(INDEX(Firms!$H$5:$H$1004,$O632)="","—",INDEX(Firms!$H$5:$H$1004,$O632)))</f>
        <v/>
      </c>
      <c r="I632" s="50">
        <f>IF($O632="","",IF(INDEX(Firms!$I$5:$I$1004,$O632)="","—",INDEX(Firms!$I$5:$I$1004,$O632)))</f>
        <v/>
      </c>
      <c r="J632" s="50">
        <f>IF($O632="","",IF(INDEX(Firms!$J$5:$J$1004,$O632)="","—",INDEX(Firms!$J$5:$J$1004,$O632)))</f>
        <v/>
      </c>
      <c r="K632" s="50">
        <f>IF($O632="","",IF(INDEX(Firms!$K$5:$K$1004,$O632)="","—",INDEX(Firms!$K$5:$K$1004,$O632)))</f>
        <v/>
      </c>
      <c r="L632" s="50">
        <f>IF($O632="","",IF(INDEX(Firms!$L$5:$L$1004,$O632)="","—",INDEX(Firms!$L$5:$L$1004,$O632)))</f>
        <v/>
      </c>
      <c r="M632" s="50">
        <f>IF($O632="","",IF(INDEX(Firms!$M$5:$M$1004,$O632)="","—",INDEX(Firms!$M$5:$M$1004,$O632)))</f>
        <v/>
      </c>
      <c r="O632">
        <f>IFERROR(MATCH(SMALL(Firms!$Y$5:$Y$1004,624),Firms!$W$5:$W$1004,0),"")</f>
        <v/>
      </c>
    </row>
    <row r="633">
      <c r="B633" s="78">
        <f>IF($O633="","",INDEX(Firms!$A$5:$A$1004,$O633))</f>
        <v/>
      </c>
      <c r="C633" s="79">
        <f>IF($O633="","",INDEX(Firms!$N$5:$N$1004,$O633)&amp;"")</f>
        <v/>
      </c>
      <c r="D633" s="79">
        <f>IF($O633="","",INDEX(Firms!$P$5:$P$1004,$O633)&amp;"")</f>
        <v/>
      </c>
      <c r="E633" s="79">
        <f>IF($O633="","",INDEX(Firms!$O$5:$O$1004,$O633)&amp;"")</f>
        <v/>
      </c>
      <c r="F633" s="50">
        <f>IF($O633="","",IF(INDEX(Firms!$F$5:$F$1004,$O633)="","—",INDEX(Firms!$F$5:$F$1004,$O633)))</f>
        <v/>
      </c>
      <c r="G633" s="50">
        <f>IF($O633="","",IF(INDEX(Firms!$G$5:$G$1004,$O633)="","—",INDEX(Firms!$G$5:$G$1004,$O633)))</f>
        <v/>
      </c>
      <c r="H633" s="50">
        <f>IF($O633="","",IF(INDEX(Firms!$H$5:$H$1004,$O633)="","—",INDEX(Firms!$H$5:$H$1004,$O633)))</f>
        <v/>
      </c>
      <c r="I633" s="50">
        <f>IF($O633="","",IF(INDEX(Firms!$I$5:$I$1004,$O633)="","—",INDEX(Firms!$I$5:$I$1004,$O633)))</f>
        <v/>
      </c>
      <c r="J633" s="50">
        <f>IF($O633="","",IF(INDEX(Firms!$J$5:$J$1004,$O633)="","—",INDEX(Firms!$J$5:$J$1004,$O633)))</f>
        <v/>
      </c>
      <c r="K633" s="50">
        <f>IF($O633="","",IF(INDEX(Firms!$K$5:$K$1004,$O633)="","—",INDEX(Firms!$K$5:$K$1004,$O633)))</f>
        <v/>
      </c>
      <c r="L633" s="50">
        <f>IF($O633="","",IF(INDEX(Firms!$L$5:$L$1004,$O633)="","—",INDEX(Firms!$L$5:$L$1004,$O633)))</f>
        <v/>
      </c>
      <c r="M633" s="50">
        <f>IF($O633="","",IF(INDEX(Firms!$M$5:$M$1004,$O633)="","—",INDEX(Firms!$M$5:$M$1004,$O633)))</f>
        <v/>
      </c>
      <c r="O633">
        <f>IFERROR(MATCH(SMALL(Firms!$Y$5:$Y$1004,625),Firms!$W$5:$W$1004,0),"")</f>
        <v/>
      </c>
    </row>
    <row r="634">
      <c r="B634" s="78">
        <f>IF($O634="","",INDEX(Firms!$A$5:$A$1004,$O634))</f>
        <v/>
      </c>
      <c r="C634" s="79">
        <f>IF($O634="","",INDEX(Firms!$N$5:$N$1004,$O634)&amp;"")</f>
        <v/>
      </c>
      <c r="D634" s="79">
        <f>IF($O634="","",INDEX(Firms!$P$5:$P$1004,$O634)&amp;"")</f>
        <v/>
      </c>
      <c r="E634" s="79">
        <f>IF($O634="","",INDEX(Firms!$O$5:$O$1004,$O634)&amp;"")</f>
        <v/>
      </c>
      <c r="F634" s="50">
        <f>IF($O634="","",IF(INDEX(Firms!$F$5:$F$1004,$O634)="","—",INDEX(Firms!$F$5:$F$1004,$O634)))</f>
        <v/>
      </c>
      <c r="G634" s="50">
        <f>IF($O634="","",IF(INDEX(Firms!$G$5:$G$1004,$O634)="","—",INDEX(Firms!$G$5:$G$1004,$O634)))</f>
        <v/>
      </c>
      <c r="H634" s="50">
        <f>IF($O634="","",IF(INDEX(Firms!$H$5:$H$1004,$O634)="","—",INDEX(Firms!$H$5:$H$1004,$O634)))</f>
        <v/>
      </c>
      <c r="I634" s="50">
        <f>IF($O634="","",IF(INDEX(Firms!$I$5:$I$1004,$O634)="","—",INDEX(Firms!$I$5:$I$1004,$O634)))</f>
        <v/>
      </c>
      <c r="J634" s="50">
        <f>IF($O634="","",IF(INDEX(Firms!$J$5:$J$1004,$O634)="","—",INDEX(Firms!$J$5:$J$1004,$O634)))</f>
        <v/>
      </c>
      <c r="K634" s="50">
        <f>IF($O634="","",IF(INDEX(Firms!$K$5:$K$1004,$O634)="","—",INDEX(Firms!$K$5:$K$1004,$O634)))</f>
        <v/>
      </c>
      <c r="L634" s="50">
        <f>IF($O634="","",IF(INDEX(Firms!$L$5:$L$1004,$O634)="","—",INDEX(Firms!$L$5:$L$1004,$O634)))</f>
        <v/>
      </c>
      <c r="M634" s="50">
        <f>IF($O634="","",IF(INDEX(Firms!$M$5:$M$1004,$O634)="","—",INDEX(Firms!$M$5:$M$1004,$O634)))</f>
        <v/>
      </c>
      <c r="O634">
        <f>IFERROR(MATCH(SMALL(Firms!$Y$5:$Y$1004,626),Firms!$W$5:$W$1004,0),"")</f>
        <v/>
      </c>
    </row>
    <row r="635">
      <c r="B635" s="78">
        <f>IF($O635="","",INDEX(Firms!$A$5:$A$1004,$O635))</f>
        <v/>
      </c>
      <c r="C635" s="79">
        <f>IF($O635="","",INDEX(Firms!$N$5:$N$1004,$O635)&amp;"")</f>
        <v/>
      </c>
      <c r="D635" s="79">
        <f>IF($O635="","",INDEX(Firms!$P$5:$P$1004,$O635)&amp;"")</f>
        <v/>
      </c>
      <c r="E635" s="79">
        <f>IF($O635="","",INDEX(Firms!$O$5:$O$1004,$O635)&amp;"")</f>
        <v/>
      </c>
      <c r="F635" s="50">
        <f>IF($O635="","",IF(INDEX(Firms!$F$5:$F$1004,$O635)="","—",INDEX(Firms!$F$5:$F$1004,$O635)))</f>
        <v/>
      </c>
      <c r="G635" s="50">
        <f>IF($O635="","",IF(INDEX(Firms!$G$5:$G$1004,$O635)="","—",INDEX(Firms!$G$5:$G$1004,$O635)))</f>
        <v/>
      </c>
      <c r="H635" s="50">
        <f>IF($O635="","",IF(INDEX(Firms!$H$5:$H$1004,$O635)="","—",INDEX(Firms!$H$5:$H$1004,$O635)))</f>
        <v/>
      </c>
      <c r="I635" s="50">
        <f>IF($O635="","",IF(INDEX(Firms!$I$5:$I$1004,$O635)="","—",INDEX(Firms!$I$5:$I$1004,$O635)))</f>
        <v/>
      </c>
      <c r="J635" s="50">
        <f>IF($O635="","",IF(INDEX(Firms!$J$5:$J$1004,$O635)="","—",INDEX(Firms!$J$5:$J$1004,$O635)))</f>
        <v/>
      </c>
      <c r="K635" s="50">
        <f>IF($O635="","",IF(INDEX(Firms!$K$5:$K$1004,$O635)="","—",INDEX(Firms!$K$5:$K$1004,$O635)))</f>
        <v/>
      </c>
      <c r="L635" s="50">
        <f>IF($O635="","",IF(INDEX(Firms!$L$5:$L$1004,$O635)="","—",INDEX(Firms!$L$5:$L$1004,$O635)))</f>
        <v/>
      </c>
      <c r="M635" s="50">
        <f>IF($O635="","",IF(INDEX(Firms!$M$5:$M$1004,$O635)="","—",INDEX(Firms!$M$5:$M$1004,$O635)))</f>
        <v/>
      </c>
      <c r="O635">
        <f>IFERROR(MATCH(SMALL(Firms!$Y$5:$Y$1004,627),Firms!$W$5:$W$1004,0),"")</f>
        <v/>
      </c>
    </row>
    <row r="636">
      <c r="B636" s="78">
        <f>IF($O636="","",INDEX(Firms!$A$5:$A$1004,$O636))</f>
        <v/>
      </c>
      <c r="C636" s="79">
        <f>IF($O636="","",INDEX(Firms!$N$5:$N$1004,$O636)&amp;"")</f>
        <v/>
      </c>
      <c r="D636" s="79">
        <f>IF($O636="","",INDEX(Firms!$P$5:$P$1004,$O636)&amp;"")</f>
        <v/>
      </c>
      <c r="E636" s="79">
        <f>IF($O636="","",INDEX(Firms!$O$5:$O$1004,$O636)&amp;"")</f>
        <v/>
      </c>
      <c r="F636" s="50">
        <f>IF($O636="","",IF(INDEX(Firms!$F$5:$F$1004,$O636)="","—",INDEX(Firms!$F$5:$F$1004,$O636)))</f>
        <v/>
      </c>
      <c r="G636" s="50">
        <f>IF($O636="","",IF(INDEX(Firms!$G$5:$G$1004,$O636)="","—",INDEX(Firms!$G$5:$G$1004,$O636)))</f>
        <v/>
      </c>
      <c r="H636" s="50">
        <f>IF($O636="","",IF(INDEX(Firms!$H$5:$H$1004,$O636)="","—",INDEX(Firms!$H$5:$H$1004,$O636)))</f>
        <v/>
      </c>
      <c r="I636" s="50">
        <f>IF($O636="","",IF(INDEX(Firms!$I$5:$I$1004,$O636)="","—",INDEX(Firms!$I$5:$I$1004,$O636)))</f>
        <v/>
      </c>
      <c r="J636" s="50">
        <f>IF($O636="","",IF(INDEX(Firms!$J$5:$J$1004,$O636)="","—",INDEX(Firms!$J$5:$J$1004,$O636)))</f>
        <v/>
      </c>
      <c r="K636" s="50">
        <f>IF($O636="","",IF(INDEX(Firms!$K$5:$K$1004,$O636)="","—",INDEX(Firms!$K$5:$K$1004,$O636)))</f>
        <v/>
      </c>
      <c r="L636" s="50">
        <f>IF($O636="","",IF(INDEX(Firms!$L$5:$L$1004,$O636)="","—",INDEX(Firms!$L$5:$L$1004,$O636)))</f>
        <v/>
      </c>
      <c r="M636" s="50">
        <f>IF($O636="","",IF(INDEX(Firms!$M$5:$M$1004,$O636)="","—",INDEX(Firms!$M$5:$M$1004,$O636)))</f>
        <v/>
      </c>
      <c r="O636">
        <f>IFERROR(MATCH(SMALL(Firms!$Y$5:$Y$1004,628),Firms!$W$5:$W$1004,0),"")</f>
        <v/>
      </c>
    </row>
    <row r="637">
      <c r="B637" s="78">
        <f>IF($O637="","",INDEX(Firms!$A$5:$A$1004,$O637))</f>
        <v/>
      </c>
      <c r="C637" s="79">
        <f>IF($O637="","",INDEX(Firms!$N$5:$N$1004,$O637)&amp;"")</f>
        <v/>
      </c>
      <c r="D637" s="79">
        <f>IF($O637="","",INDEX(Firms!$P$5:$P$1004,$O637)&amp;"")</f>
        <v/>
      </c>
      <c r="E637" s="79">
        <f>IF($O637="","",INDEX(Firms!$O$5:$O$1004,$O637)&amp;"")</f>
        <v/>
      </c>
      <c r="F637" s="50">
        <f>IF($O637="","",IF(INDEX(Firms!$F$5:$F$1004,$O637)="","—",INDEX(Firms!$F$5:$F$1004,$O637)))</f>
        <v/>
      </c>
      <c r="G637" s="50">
        <f>IF($O637="","",IF(INDEX(Firms!$G$5:$G$1004,$O637)="","—",INDEX(Firms!$G$5:$G$1004,$O637)))</f>
        <v/>
      </c>
      <c r="H637" s="50">
        <f>IF($O637="","",IF(INDEX(Firms!$H$5:$H$1004,$O637)="","—",INDEX(Firms!$H$5:$H$1004,$O637)))</f>
        <v/>
      </c>
      <c r="I637" s="50">
        <f>IF($O637="","",IF(INDEX(Firms!$I$5:$I$1004,$O637)="","—",INDEX(Firms!$I$5:$I$1004,$O637)))</f>
        <v/>
      </c>
      <c r="J637" s="50">
        <f>IF($O637="","",IF(INDEX(Firms!$J$5:$J$1004,$O637)="","—",INDEX(Firms!$J$5:$J$1004,$O637)))</f>
        <v/>
      </c>
      <c r="K637" s="50">
        <f>IF($O637="","",IF(INDEX(Firms!$K$5:$K$1004,$O637)="","—",INDEX(Firms!$K$5:$K$1004,$O637)))</f>
        <v/>
      </c>
      <c r="L637" s="50">
        <f>IF($O637="","",IF(INDEX(Firms!$L$5:$L$1004,$O637)="","—",INDEX(Firms!$L$5:$L$1004,$O637)))</f>
        <v/>
      </c>
      <c r="M637" s="50">
        <f>IF($O637="","",IF(INDEX(Firms!$M$5:$M$1004,$O637)="","—",INDEX(Firms!$M$5:$M$1004,$O637)))</f>
        <v/>
      </c>
      <c r="O637">
        <f>IFERROR(MATCH(SMALL(Firms!$Y$5:$Y$1004,629),Firms!$W$5:$W$1004,0),"")</f>
        <v/>
      </c>
    </row>
    <row r="638">
      <c r="B638" s="78">
        <f>IF($O638="","",INDEX(Firms!$A$5:$A$1004,$O638))</f>
        <v/>
      </c>
      <c r="C638" s="79">
        <f>IF($O638="","",INDEX(Firms!$N$5:$N$1004,$O638)&amp;"")</f>
        <v/>
      </c>
      <c r="D638" s="79">
        <f>IF($O638="","",INDEX(Firms!$P$5:$P$1004,$O638)&amp;"")</f>
        <v/>
      </c>
      <c r="E638" s="79">
        <f>IF($O638="","",INDEX(Firms!$O$5:$O$1004,$O638)&amp;"")</f>
        <v/>
      </c>
      <c r="F638" s="50">
        <f>IF($O638="","",IF(INDEX(Firms!$F$5:$F$1004,$O638)="","—",INDEX(Firms!$F$5:$F$1004,$O638)))</f>
        <v/>
      </c>
      <c r="G638" s="50">
        <f>IF($O638="","",IF(INDEX(Firms!$G$5:$G$1004,$O638)="","—",INDEX(Firms!$G$5:$G$1004,$O638)))</f>
        <v/>
      </c>
      <c r="H638" s="50">
        <f>IF($O638="","",IF(INDEX(Firms!$H$5:$H$1004,$O638)="","—",INDEX(Firms!$H$5:$H$1004,$O638)))</f>
        <v/>
      </c>
      <c r="I638" s="50">
        <f>IF($O638="","",IF(INDEX(Firms!$I$5:$I$1004,$O638)="","—",INDEX(Firms!$I$5:$I$1004,$O638)))</f>
        <v/>
      </c>
      <c r="J638" s="50">
        <f>IF($O638="","",IF(INDEX(Firms!$J$5:$J$1004,$O638)="","—",INDEX(Firms!$J$5:$J$1004,$O638)))</f>
        <v/>
      </c>
      <c r="K638" s="50">
        <f>IF($O638="","",IF(INDEX(Firms!$K$5:$K$1004,$O638)="","—",INDEX(Firms!$K$5:$K$1004,$O638)))</f>
        <v/>
      </c>
      <c r="L638" s="50">
        <f>IF($O638="","",IF(INDEX(Firms!$L$5:$L$1004,$O638)="","—",INDEX(Firms!$L$5:$L$1004,$O638)))</f>
        <v/>
      </c>
      <c r="M638" s="50">
        <f>IF($O638="","",IF(INDEX(Firms!$M$5:$M$1004,$O638)="","—",INDEX(Firms!$M$5:$M$1004,$O638)))</f>
        <v/>
      </c>
      <c r="O638">
        <f>IFERROR(MATCH(SMALL(Firms!$Y$5:$Y$1004,630),Firms!$W$5:$W$1004,0),"")</f>
        <v/>
      </c>
    </row>
    <row r="639">
      <c r="B639" s="78">
        <f>IF($O639="","",INDEX(Firms!$A$5:$A$1004,$O639))</f>
        <v/>
      </c>
      <c r="C639" s="79">
        <f>IF($O639="","",INDEX(Firms!$N$5:$N$1004,$O639)&amp;"")</f>
        <v/>
      </c>
      <c r="D639" s="79">
        <f>IF($O639="","",INDEX(Firms!$P$5:$P$1004,$O639)&amp;"")</f>
        <v/>
      </c>
      <c r="E639" s="79">
        <f>IF($O639="","",INDEX(Firms!$O$5:$O$1004,$O639)&amp;"")</f>
        <v/>
      </c>
      <c r="F639" s="50">
        <f>IF($O639="","",IF(INDEX(Firms!$F$5:$F$1004,$O639)="","—",INDEX(Firms!$F$5:$F$1004,$O639)))</f>
        <v/>
      </c>
      <c r="G639" s="50">
        <f>IF($O639="","",IF(INDEX(Firms!$G$5:$G$1004,$O639)="","—",INDEX(Firms!$G$5:$G$1004,$O639)))</f>
        <v/>
      </c>
      <c r="H639" s="50">
        <f>IF($O639="","",IF(INDEX(Firms!$H$5:$H$1004,$O639)="","—",INDEX(Firms!$H$5:$H$1004,$O639)))</f>
        <v/>
      </c>
      <c r="I639" s="50">
        <f>IF($O639="","",IF(INDEX(Firms!$I$5:$I$1004,$O639)="","—",INDEX(Firms!$I$5:$I$1004,$O639)))</f>
        <v/>
      </c>
      <c r="J639" s="50">
        <f>IF($O639="","",IF(INDEX(Firms!$J$5:$J$1004,$O639)="","—",INDEX(Firms!$J$5:$J$1004,$O639)))</f>
        <v/>
      </c>
      <c r="K639" s="50">
        <f>IF($O639="","",IF(INDEX(Firms!$K$5:$K$1004,$O639)="","—",INDEX(Firms!$K$5:$K$1004,$O639)))</f>
        <v/>
      </c>
      <c r="L639" s="50">
        <f>IF($O639="","",IF(INDEX(Firms!$L$5:$L$1004,$O639)="","—",INDEX(Firms!$L$5:$L$1004,$O639)))</f>
        <v/>
      </c>
      <c r="M639" s="50">
        <f>IF($O639="","",IF(INDEX(Firms!$M$5:$M$1004,$O639)="","—",INDEX(Firms!$M$5:$M$1004,$O639)))</f>
        <v/>
      </c>
      <c r="O639">
        <f>IFERROR(MATCH(SMALL(Firms!$Y$5:$Y$1004,631),Firms!$W$5:$W$1004,0),"")</f>
        <v/>
      </c>
    </row>
    <row r="640">
      <c r="B640" s="78">
        <f>IF($O640="","",INDEX(Firms!$A$5:$A$1004,$O640))</f>
        <v/>
      </c>
      <c r="C640" s="79">
        <f>IF($O640="","",INDEX(Firms!$N$5:$N$1004,$O640)&amp;"")</f>
        <v/>
      </c>
      <c r="D640" s="79">
        <f>IF($O640="","",INDEX(Firms!$P$5:$P$1004,$O640)&amp;"")</f>
        <v/>
      </c>
      <c r="E640" s="79">
        <f>IF($O640="","",INDEX(Firms!$O$5:$O$1004,$O640)&amp;"")</f>
        <v/>
      </c>
      <c r="F640" s="50">
        <f>IF($O640="","",IF(INDEX(Firms!$F$5:$F$1004,$O640)="","—",INDEX(Firms!$F$5:$F$1004,$O640)))</f>
        <v/>
      </c>
      <c r="G640" s="50">
        <f>IF($O640="","",IF(INDEX(Firms!$G$5:$G$1004,$O640)="","—",INDEX(Firms!$G$5:$G$1004,$O640)))</f>
        <v/>
      </c>
      <c r="H640" s="50">
        <f>IF($O640="","",IF(INDEX(Firms!$H$5:$H$1004,$O640)="","—",INDEX(Firms!$H$5:$H$1004,$O640)))</f>
        <v/>
      </c>
      <c r="I640" s="50">
        <f>IF($O640="","",IF(INDEX(Firms!$I$5:$I$1004,$O640)="","—",INDEX(Firms!$I$5:$I$1004,$O640)))</f>
        <v/>
      </c>
      <c r="J640" s="50">
        <f>IF($O640="","",IF(INDEX(Firms!$J$5:$J$1004,$O640)="","—",INDEX(Firms!$J$5:$J$1004,$O640)))</f>
        <v/>
      </c>
      <c r="K640" s="50">
        <f>IF($O640="","",IF(INDEX(Firms!$K$5:$K$1004,$O640)="","—",INDEX(Firms!$K$5:$K$1004,$O640)))</f>
        <v/>
      </c>
      <c r="L640" s="50">
        <f>IF($O640="","",IF(INDEX(Firms!$L$5:$L$1004,$O640)="","—",INDEX(Firms!$L$5:$L$1004,$O640)))</f>
        <v/>
      </c>
      <c r="M640" s="50">
        <f>IF($O640="","",IF(INDEX(Firms!$M$5:$M$1004,$O640)="","—",INDEX(Firms!$M$5:$M$1004,$O640)))</f>
        <v/>
      </c>
      <c r="O640">
        <f>IFERROR(MATCH(SMALL(Firms!$Y$5:$Y$1004,632),Firms!$W$5:$W$1004,0),"")</f>
        <v/>
      </c>
    </row>
    <row r="641">
      <c r="B641" s="78">
        <f>IF($O641="","",INDEX(Firms!$A$5:$A$1004,$O641))</f>
        <v/>
      </c>
      <c r="C641" s="79">
        <f>IF($O641="","",INDEX(Firms!$N$5:$N$1004,$O641)&amp;"")</f>
        <v/>
      </c>
      <c r="D641" s="79">
        <f>IF($O641="","",INDEX(Firms!$P$5:$P$1004,$O641)&amp;"")</f>
        <v/>
      </c>
      <c r="E641" s="79">
        <f>IF($O641="","",INDEX(Firms!$O$5:$O$1004,$O641)&amp;"")</f>
        <v/>
      </c>
      <c r="F641" s="50">
        <f>IF($O641="","",IF(INDEX(Firms!$F$5:$F$1004,$O641)="","—",INDEX(Firms!$F$5:$F$1004,$O641)))</f>
        <v/>
      </c>
      <c r="G641" s="50">
        <f>IF($O641="","",IF(INDEX(Firms!$G$5:$G$1004,$O641)="","—",INDEX(Firms!$G$5:$G$1004,$O641)))</f>
        <v/>
      </c>
      <c r="H641" s="50">
        <f>IF($O641="","",IF(INDEX(Firms!$H$5:$H$1004,$O641)="","—",INDEX(Firms!$H$5:$H$1004,$O641)))</f>
        <v/>
      </c>
      <c r="I641" s="50">
        <f>IF($O641="","",IF(INDEX(Firms!$I$5:$I$1004,$O641)="","—",INDEX(Firms!$I$5:$I$1004,$O641)))</f>
        <v/>
      </c>
      <c r="J641" s="50">
        <f>IF($O641="","",IF(INDEX(Firms!$J$5:$J$1004,$O641)="","—",INDEX(Firms!$J$5:$J$1004,$O641)))</f>
        <v/>
      </c>
      <c r="K641" s="50">
        <f>IF($O641="","",IF(INDEX(Firms!$K$5:$K$1004,$O641)="","—",INDEX(Firms!$K$5:$K$1004,$O641)))</f>
        <v/>
      </c>
      <c r="L641" s="50">
        <f>IF($O641="","",IF(INDEX(Firms!$L$5:$L$1004,$O641)="","—",INDEX(Firms!$L$5:$L$1004,$O641)))</f>
        <v/>
      </c>
      <c r="M641" s="50">
        <f>IF($O641="","",IF(INDEX(Firms!$M$5:$M$1004,$O641)="","—",INDEX(Firms!$M$5:$M$1004,$O641)))</f>
        <v/>
      </c>
      <c r="O641">
        <f>IFERROR(MATCH(SMALL(Firms!$Y$5:$Y$1004,633),Firms!$W$5:$W$1004,0),"")</f>
        <v/>
      </c>
    </row>
    <row r="642">
      <c r="B642" s="78">
        <f>IF($O642="","",INDEX(Firms!$A$5:$A$1004,$O642))</f>
        <v/>
      </c>
      <c r="C642" s="79">
        <f>IF($O642="","",INDEX(Firms!$N$5:$N$1004,$O642)&amp;"")</f>
        <v/>
      </c>
      <c r="D642" s="79">
        <f>IF($O642="","",INDEX(Firms!$P$5:$P$1004,$O642)&amp;"")</f>
        <v/>
      </c>
      <c r="E642" s="79">
        <f>IF($O642="","",INDEX(Firms!$O$5:$O$1004,$O642)&amp;"")</f>
        <v/>
      </c>
      <c r="F642" s="50">
        <f>IF($O642="","",IF(INDEX(Firms!$F$5:$F$1004,$O642)="","—",INDEX(Firms!$F$5:$F$1004,$O642)))</f>
        <v/>
      </c>
      <c r="G642" s="50">
        <f>IF($O642="","",IF(INDEX(Firms!$G$5:$G$1004,$O642)="","—",INDEX(Firms!$G$5:$G$1004,$O642)))</f>
        <v/>
      </c>
      <c r="H642" s="50">
        <f>IF($O642="","",IF(INDEX(Firms!$H$5:$H$1004,$O642)="","—",INDEX(Firms!$H$5:$H$1004,$O642)))</f>
        <v/>
      </c>
      <c r="I642" s="50">
        <f>IF($O642="","",IF(INDEX(Firms!$I$5:$I$1004,$O642)="","—",INDEX(Firms!$I$5:$I$1004,$O642)))</f>
        <v/>
      </c>
      <c r="J642" s="50">
        <f>IF($O642="","",IF(INDEX(Firms!$J$5:$J$1004,$O642)="","—",INDEX(Firms!$J$5:$J$1004,$O642)))</f>
        <v/>
      </c>
      <c r="K642" s="50">
        <f>IF($O642="","",IF(INDEX(Firms!$K$5:$K$1004,$O642)="","—",INDEX(Firms!$K$5:$K$1004,$O642)))</f>
        <v/>
      </c>
      <c r="L642" s="50">
        <f>IF($O642="","",IF(INDEX(Firms!$L$5:$L$1004,$O642)="","—",INDEX(Firms!$L$5:$L$1004,$O642)))</f>
        <v/>
      </c>
      <c r="M642" s="50">
        <f>IF($O642="","",IF(INDEX(Firms!$M$5:$M$1004,$O642)="","—",INDEX(Firms!$M$5:$M$1004,$O642)))</f>
        <v/>
      </c>
      <c r="O642">
        <f>IFERROR(MATCH(SMALL(Firms!$Y$5:$Y$1004,634),Firms!$W$5:$W$1004,0),"")</f>
        <v/>
      </c>
    </row>
    <row r="643">
      <c r="B643" s="78">
        <f>IF($O643="","",INDEX(Firms!$A$5:$A$1004,$O643))</f>
        <v/>
      </c>
      <c r="C643" s="79">
        <f>IF($O643="","",INDEX(Firms!$N$5:$N$1004,$O643)&amp;"")</f>
        <v/>
      </c>
      <c r="D643" s="79">
        <f>IF($O643="","",INDEX(Firms!$P$5:$P$1004,$O643)&amp;"")</f>
        <v/>
      </c>
      <c r="E643" s="79">
        <f>IF($O643="","",INDEX(Firms!$O$5:$O$1004,$O643)&amp;"")</f>
        <v/>
      </c>
      <c r="F643" s="50">
        <f>IF($O643="","",IF(INDEX(Firms!$F$5:$F$1004,$O643)="","—",INDEX(Firms!$F$5:$F$1004,$O643)))</f>
        <v/>
      </c>
      <c r="G643" s="50">
        <f>IF($O643="","",IF(INDEX(Firms!$G$5:$G$1004,$O643)="","—",INDEX(Firms!$G$5:$G$1004,$O643)))</f>
        <v/>
      </c>
      <c r="H643" s="50">
        <f>IF($O643="","",IF(INDEX(Firms!$H$5:$H$1004,$O643)="","—",INDEX(Firms!$H$5:$H$1004,$O643)))</f>
        <v/>
      </c>
      <c r="I643" s="50">
        <f>IF($O643="","",IF(INDEX(Firms!$I$5:$I$1004,$O643)="","—",INDEX(Firms!$I$5:$I$1004,$O643)))</f>
        <v/>
      </c>
      <c r="J643" s="50">
        <f>IF($O643="","",IF(INDEX(Firms!$J$5:$J$1004,$O643)="","—",INDEX(Firms!$J$5:$J$1004,$O643)))</f>
        <v/>
      </c>
      <c r="K643" s="50">
        <f>IF($O643="","",IF(INDEX(Firms!$K$5:$K$1004,$O643)="","—",INDEX(Firms!$K$5:$K$1004,$O643)))</f>
        <v/>
      </c>
      <c r="L643" s="50">
        <f>IF($O643="","",IF(INDEX(Firms!$L$5:$L$1004,$O643)="","—",INDEX(Firms!$L$5:$L$1004,$O643)))</f>
        <v/>
      </c>
      <c r="M643" s="50">
        <f>IF($O643="","",IF(INDEX(Firms!$M$5:$M$1004,$O643)="","—",INDEX(Firms!$M$5:$M$1004,$O643)))</f>
        <v/>
      </c>
      <c r="O643">
        <f>IFERROR(MATCH(SMALL(Firms!$Y$5:$Y$1004,635),Firms!$W$5:$W$1004,0),"")</f>
        <v/>
      </c>
    </row>
    <row r="644">
      <c r="B644" s="78">
        <f>IF($O644="","",INDEX(Firms!$A$5:$A$1004,$O644))</f>
        <v/>
      </c>
      <c r="C644" s="79">
        <f>IF($O644="","",INDEX(Firms!$N$5:$N$1004,$O644)&amp;"")</f>
        <v/>
      </c>
      <c r="D644" s="79">
        <f>IF($O644="","",INDEX(Firms!$P$5:$P$1004,$O644)&amp;"")</f>
        <v/>
      </c>
      <c r="E644" s="79">
        <f>IF($O644="","",INDEX(Firms!$O$5:$O$1004,$O644)&amp;"")</f>
        <v/>
      </c>
      <c r="F644" s="50">
        <f>IF($O644="","",IF(INDEX(Firms!$F$5:$F$1004,$O644)="","—",INDEX(Firms!$F$5:$F$1004,$O644)))</f>
        <v/>
      </c>
      <c r="G644" s="50">
        <f>IF($O644="","",IF(INDEX(Firms!$G$5:$G$1004,$O644)="","—",INDEX(Firms!$G$5:$G$1004,$O644)))</f>
        <v/>
      </c>
      <c r="H644" s="50">
        <f>IF($O644="","",IF(INDEX(Firms!$H$5:$H$1004,$O644)="","—",INDEX(Firms!$H$5:$H$1004,$O644)))</f>
        <v/>
      </c>
      <c r="I644" s="50">
        <f>IF($O644="","",IF(INDEX(Firms!$I$5:$I$1004,$O644)="","—",INDEX(Firms!$I$5:$I$1004,$O644)))</f>
        <v/>
      </c>
      <c r="J644" s="50">
        <f>IF($O644="","",IF(INDEX(Firms!$J$5:$J$1004,$O644)="","—",INDEX(Firms!$J$5:$J$1004,$O644)))</f>
        <v/>
      </c>
      <c r="K644" s="50">
        <f>IF($O644="","",IF(INDEX(Firms!$K$5:$K$1004,$O644)="","—",INDEX(Firms!$K$5:$K$1004,$O644)))</f>
        <v/>
      </c>
      <c r="L644" s="50">
        <f>IF($O644="","",IF(INDEX(Firms!$L$5:$L$1004,$O644)="","—",INDEX(Firms!$L$5:$L$1004,$O644)))</f>
        <v/>
      </c>
      <c r="M644" s="50">
        <f>IF($O644="","",IF(INDEX(Firms!$M$5:$M$1004,$O644)="","—",INDEX(Firms!$M$5:$M$1004,$O644)))</f>
        <v/>
      </c>
      <c r="O644">
        <f>IFERROR(MATCH(SMALL(Firms!$Y$5:$Y$1004,636),Firms!$W$5:$W$1004,0),"")</f>
        <v/>
      </c>
    </row>
    <row r="645">
      <c r="B645" s="78">
        <f>IF($O645="","",INDEX(Firms!$A$5:$A$1004,$O645))</f>
        <v/>
      </c>
      <c r="C645" s="79">
        <f>IF($O645="","",INDEX(Firms!$N$5:$N$1004,$O645)&amp;"")</f>
        <v/>
      </c>
      <c r="D645" s="79">
        <f>IF($O645="","",INDEX(Firms!$P$5:$P$1004,$O645)&amp;"")</f>
        <v/>
      </c>
      <c r="E645" s="79">
        <f>IF($O645="","",INDEX(Firms!$O$5:$O$1004,$O645)&amp;"")</f>
        <v/>
      </c>
      <c r="F645" s="50">
        <f>IF($O645="","",IF(INDEX(Firms!$F$5:$F$1004,$O645)="","—",INDEX(Firms!$F$5:$F$1004,$O645)))</f>
        <v/>
      </c>
      <c r="G645" s="50">
        <f>IF($O645="","",IF(INDEX(Firms!$G$5:$G$1004,$O645)="","—",INDEX(Firms!$G$5:$G$1004,$O645)))</f>
        <v/>
      </c>
      <c r="H645" s="50">
        <f>IF($O645="","",IF(INDEX(Firms!$H$5:$H$1004,$O645)="","—",INDEX(Firms!$H$5:$H$1004,$O645)))</f>
        <v/>
      </c>
      <c r="I645" s="50">
        <f>IF($O645="","",IF(INDEX(Firms!$I$5:$I$1004,$O645)="","—",INDEX(Firms!$I$5:$I$1004,$O645)))</f>
        <v/>
      </c>
      <c r="J645" s="50">
        <f>IF($O645="","",IF(INDEX(Firms!$J$5:$J$1004,$O645)="","—",INDEX(Firms!$J$5:$J$1004,$O645)))</f>
        <v/>
      </c>
      <c r="K645" s="50">
        <f>IF($O645="","",IF(INDEX(Firms!$K$5:$K$1004,$O645)="","—",INDEX(Firms!$K$5:$K$1004,$O645)))</f>
        <v/>
      </c>
      <c r="L645" s="50">
        <f>IF($O645="","",IF(INDEX(Firms!$L$5:$L$1004,$O645)="","—",INDEX(Firms!$L$5:$L$1004,$O645)))</f>
        <v/>
      </c>
      <c r="M645" s="50">
        <f>IF($O645="","",IF(INDEX(Firms!$M$5:$M$1004,$O645)="","—",INDEX(Firms!$M$5:$M$1004,$O645)))</f>
        <v/>
      </c>
      <c r="O645">
        <f>IFERROR(MATCH(SMALL(Firms!$Y$5:$Y$1004,637),Firms!$W$5:$W$1004,0),"")</f>
        <v/>
      </c>
    </row>
    <row r="646">
      <c r="B646" s="78">
        <f>IF($O646="","",INDEX(Firms!$A$5:$A$1004,$O646))</f>
        <v/>
      </c>
      <c r="C646" s="79">
        <f>IF($O646="","",INDEX(Firms!$N$5:$N$1004,$O646)&amp;"")</f>
        <v/>
      </c>
      <c r="D646" s="79">
        <f>IF($O646="","",INDEX(Firms!$P$5:$P$1004,$O646)&amp;"")</f>
        <v/>
      </c>
      <c r="E646" s="79">
        <f>IF($O646="","",INDEX(Firms!$O$5:$O$1004,$O646)&amp;"")</f>
        <v/>
      </c>
      <c r="F646" s="50">
        <f>IF($O646="","",IF(INDEX(Firms!$F$5:$F$1004,$O646)="","—",INDEX(Firms!$F$5:$F$1004,$O646)))</f>
        <v/>
      </c>
      <c r="G646" s="50">
        <f>IF($O646="","",IF(INDEX(Firms!$G$5:$G$1004,$O646)="","—",INDEX(Firms!$G$5:$G$1004,$O646)))</f>
        <v/>
      </c>
      <c r="H646" s="50">
        <f>IF($O646="","",IF(INDEX(Firms!$H$5:$H$1004,$O646)="","—",INDEX(Firms!$H$5:$H$1004,$O646)))</f>
        <v/>
      </c>
      <c r="I646" s="50">
        <f>IF($O646="","",IF(INDEX(Firms!$I$5:$I$1004,$O646)="","—",INDEX(Firms!$I$5:$I$1004,$O646)))</f>
        <v/>
      </c>
      <c r="J646" s="50">
        <f>IF($O646="","",IF(INDEX(Firms!$J$5:$J$1004,$O646)="","—",INDEX(Firms!$J$5:$J$1004,$O646)))</f>
        <v/>
      </c>
      <c r="K646" s="50">
        <f>IF($O646="","",IF(INDEX(Firms!$K$5:$K$1004,$O646)="","—",INDEX(Firms!$K$5:$K$1004,$O646)))</f>
        <v/>
      </c>
      <c r="L646" s="50">
        <f>IF($O646="","",IF(INDEX(Firms!$L$5:$L$1004,$O646)="","—",INDEX(Firms!$L$5:$L$1004,$O646)))</f>
        <v/>
      </c>
      <c r="M646" s="50">
        <f>IF($O646="","",IF(INDEX(Firms!$M$5:$M$1004,$O646)="","—",INDEX(Firms!$M$5:$M$1004,$O646)))</f>
        <v/>
      </c>
      <c r="O646">
        <f>IFERROR(MATCH(SMALL(Firms!$Y$5:$Y$1004,638),Firms!$W$5:$W$1004,0),"")</f>
        <v/>
      </c>
    </row>
    <row r="647">
      <c r="B647" s="78">
        <f>IF($O647="","",INDEX(Firms!$A$5:$A$1004,$O647))</f>
        <v/>
      </c>
      <c r="C647" s="79">
        <f>IF($O647="","",INDEX(Firms!$N$5:$N$1004,$O647)&amp;"")</f>
        <v/>
      </c>
      <c r="D647" s="79">
        <f>IF($O647="","",INDEX(Firms!$P$5:$P$1004,$O647)&amp;"")</f>
        <v/>
      </c>
      <c r="E647" s="79">
        <f>IF($O647="","",INDEX(Firms!$O$5:$O$1004,$O647)&amp;"")</f>
        <v/>
      </c>
      <c r="F647" s="50">
        <f>IF($O647="","",IF(INDEX(Firms!$F$5:$F$1004,$O647)="","—",INDEX(Firms!$F$5:$F$1004,$O647)))</f>
        <v/>
      </c>
      <c r="G647" s="50">
        <f>IF($O647="","",IF(INDEX(Firms!$G$5:$G$1004,$O647)="","—",INDEX(Firms!$G$5:$G$1004,$O647)))</f>
        <v/>
      </c>
      <c r="H647" s="50">
        <f>IF($O647="","",IF(INDEX(Firms!$H$5:$H$1004,$O647)="","—",INDEX(Firms!$H$5:$H$1004,$O647)))</f>
        <v/>
      </c>
      <c r="I647" s="50">
        <f>IF($O647="","",IF(INDEX(Firms!$I$5:$I$1004,$O647)="","—",INDEX(Firms!$I$5:$I$1004,$O647)))</f>
        <v/>
      </c>
      <c r="J647" s="50">
        <f>IF($O647="","",IF(INDEX(Firms!$J$5:$J$1004,$O647)="","—",INDEX(Firms!$J$5:$J$1004,$O647)))</f>
        <v/>
      </c>
      <c r="K647" s="50">
        <f>IF($O647="","",IF(INDEX(Firms!$K$5:$K$1004,$O647)="","—",INDEX(Firms!$K$5:$K$1004,$O647)))</f>
        <v/>
      </c>
      <c r="L647" s="50">
        <f>IF($O647="","",IF(INDEX(Firms!$L$5:$L$1004,$O647)="","—",INDEX(Firms!$L$5:$L$1004,$O647)))</f>
        <v/>
      </c>
      <c r="M647" s="50">
        <f>IF($O647="","",IF(INDEX(Firms!$M$5:$M$1004,$O647)="","—",INDEX(Firms!$M$5:$M$1004,$O647)))</f>
        <v/>
      </c>
      <c r="O647">
        <f>IFERROR(MATCH(SMALL(Firms!$Y$5:$Y$1004,639),Firms!$W$5:$W$1004,0),"")</f>
        <v/>
      </c>
    </row>
    <row r="648">
      <c r="B648" s="78">
        <f>IF($O648="","",INDEX(Firms!$A$5:$A$1004,$O648))</f>
        <v/>
      </c>
      <c r="C648" s="79">
        <f>IF($O648="","",INDEX(Firms!$N$5:$N$1004,$O648)&amp;"")</f>
        <v/>
      </c>
      <c r="D648" s="79">
        <f>IF($O648="","",INDEX(Firms!$P$5:$P$1004,$O648)&amp;"")</f>
        <v/>
      </c>
      <c r="E648" s="79">
        <f>IF($O648="","",INDEX(Firms!$O$5:$O$1004,$O648)&amp;"")</f>
        <v/>
      </c>
      <c r="F648" s="50">
        <f>IF($O648="","",IF(INDEX(Firms!$F$5:$F$1004,$O648)="","—",INDEX(Firms!$F$5:$F$1004,$O648)))</f>
        <v/>
      </c>
      <c r="G648" s="50">
        <f>IF($O648="","",IF(INDEX(Firms!$G$5:$G$1004,$O648)="","—",INDEX(Firms!$G$5:$G$1004,$O648)))</f>
        <v/>
      </c>
      <c r="H648" s="50">
        <f>IF($O648="","",IF(INDEX(Firms!$H$5:$H$1004,$O648)="","—",INDEX(Firms!$H$5:$H$1004,$O648)))</f>
        <v/>
      </c>
      <c r="I648" s="50">
        <f>IF($O648="","",IF(INDEX(Firms!$I$5:$I$1004,$O648)="","—",INDEX(Firms!$I$5:$I$1004,$O648)))</f>
        <v/>
      </c>
      <c r="J648" s="50">
        <f>IF($O648="","",IF(INDEX(Firms!$J$5:$J$1004,$O648)="","—",INDEX(Firms!$J$5:$J$1004,$O648)))</f>
        <v/>
      </c>
      <c r="K648" s="50">
        <f>IF($O648="","",IF(INDEX(Firms!$K$5:$K$1004,$O648)="","—",INDEX(Firms!$K$5:$K$1004,$O648)))</f>
        <v/>
      </c>
      <c r="L648" s="50">
        <f>IF($O648="","",IF(INDEX(Firms!$L$5:$L$1004,$O648)="","—",INDEX(Firms!$L$5:$L$1004,$O648)))</f>
        <v/>
      </c>
      <c r="M648" s="50">
        <f>IF($O648="","",IF(INDEX(Firms!$M$5:$M$1004,$O648)="","—",INDEX(Firms!$M$5:$M$1004,$O648)))</f>
        <v/>
      </c>
      <c r="O648">
        <f>IFERROR(MATCH(SMALL(Firms!$Y$5:$Y$1004,640),Firms!$W$5:$W$1004,0),"")</f>
        <v/>
      </c>
    </row>
    <row r="649">
      <c r="B649" s="78">
        <f>IF($O649="","",INDEX(Firms!$A$5:$A$1004,$O649))</f>
        <v/>
      </c>
      <c r="C649" s="79">
        <f>IF($O649="","",INDEX(Firms!$N$5:$N$1004,$O649)&amp;"")</f>
        <v/>
      </c>
      <c r="D649" s="79">
        <f>IF($O649="","",INDEX(Firms!$P$5:$P$1004,$O649)&amp;"")</f>
        <v/>
      </c>
      <c r="E649" s="79">
        <f>IF($O649="","",INDEX(Firms!$O$5:$O$1004,$O649)&amp;"")</f>
        <v/>
      </c>
      <c r="F649" s="50">
        <f>IF($O649="","",IF(INDEX(Firms!$F$5:$F$1004,$O649)="","—",INDEX(Firms!$F$5:$F$1004,$O649)))</f>
        <v/>
      </c>
      <c r="G649" s="50">
        <f>IF($O649="","",IF(INDEX(Firms!$G$5:$G$1004,$O649)="","—",INDEX(Firms!$G$5:$G$1004,$O649)))</f>
        <v/>
      </c>
      <c r="H649" s="50">
        <f>IF($O649="","",IF(INDEX(Firms!$H$5:$H$1004,$O649)="","—",INDEX(Firms!$H$5:$H$1004,$O649)))</f>
        <v/>
      </c>
      <c r="I649" s="50">
        <f>IF($O649="","",IF(INDEX(Firms!$I$5:$I$1004,$O649)="","—",INDEX(Firms!$I$5:$I$1004,$O649)))</f>
        <v/>
      </c>
      <c r="J649" s="50">
        <f>IF($O649="","",IF(INDEX(Firms!$J$5:$J$1004,$O649)="","—",INDEX(Firms!$J$5:$J$1004,$O649)))</f>
        <v/>
      </c>
      <c r="K649" s="50">
        <f>IF($O649="","",IF(INDEX(Firms!$K$5:$K$1004,$O649)="","—",INDEX(Firms!$K$5:$K$1004,$O649)))</f>
        <v/>
      </c>
      <c r="L649" s="50">
        <f>IF($O649="","",IF(INDEX(Firms!$L$5:$L$1004,$O649)="","—",INDEX(Firms!$L$5:$L$1004,$O649)))</f>
        <v/>
      </c>
      <c r="M649" s="50">
        <f>IF($O649="","",IF(INDEX(Firms!$M$5:$M$1004,$O649)="","—",INDEX(Firms!$M$5:$M$1004,$O649)))</f>
        <v/>
      </c>
      <c r="O649">
        <f>IFERROR(MATCH(SMALL(Firms!$Y$5:$Y$1004,641),Firms!$W$5:$W$1004,0),"")</f>
        <v/>
      </c>
    </row>
    <row r="650">
      <c r="B650" s="78">
        <f>IF($O650="","",INDEX(Firms!$A$5:$A$1004,$O650))</f>
        <v/>
      </c>
      <c r="C650" s="79">
        <f>IF($O650="","",INDEX(Firms!$N$5:$N$1004,$O650)&amp;"")</f>
        <v/>
      </c>
      <c r="D650" s="79">
        <f>IF($O650="","",INDEX(Firms!$P$5:$P$1004,$O650)&amp;"")</f>
        <v/>
      </c>
      <c r="E650" s="79">
        <f>IF($O650="","",INDEX(Firms!$O$5:$O$1004,$O650)&amp;"")</f>
        <v/>
      </c>
      <c r="F650" s="50">
        <f>IF($O650="","",IF(INDEX(Firms!$F$5:$F$1004,$O650)="","—",INDEX(Firms!$F$5:$F$1004,$O650)))</f>
        <v/>
      </c>
      <c r="G650" s="50">
        <f>IF($O650="","",IF(INDEX(Firms!$G$5:$G$1004,$O650)="","—",INDEX(Firms!$G$5:$G$1004,$O650)))</f>
        <v/>
      </c>
      <c r="H650" s="50">
        <f>IF($O650="","",IF(INDEX(Firms!$H$5:$H$1004,$O650)="","—",INDEX(Firms!$H$5:$H$1004,$O650)))</f>
        <v/>
      </c>
      <c r="I650" s="50">
        <f>IF($O650="","",IF(INDEX(Firms!$I$5:$I$1004,$O650)="","—",INDEX(Firms!$I$5:$I$1004,$O650)))</f>
        <v/>
      </c>
      <c r="J650" s="50">
        <f>IF($O650="","",IF(INDEX(Firms!$J$5:$J$1004,$O650)="","—",INDEX(Firms!$J$5:$J$1004,$O650)))</f>
        <v/>
      </c>
      <c r="K650" s="50">
        <f>IF($O650="","",IF(INDEX(Firms!$K$5:$K$1004,$O650)="","—",INDEX(Firms!$K$5:$K$1004,$O650)))</f>
        <v/>
      </c>
      <c r="L650" s="50">
        <f>IF($O650="","",IF(INDEX(Firms!$L$5:$L$1004,$O650)="","—",INDEX(Firms!$L$5:$L$1004,$O650)))</f>
        <v/>
      </c>
      <c r="M650" s="50">
        <f>IF($O650="","",IF(INDEX(Firms!$M$5:$M$1004,$O650)="","—",INDEX(Firms!$M$5:$M$1004,$O650)))</f>
        <v/>
      </c>
      <c r="O650">
        <f>IFERROR(MATCH(SMALL(Firms!$Y$5:$Y$1004,642),Firms!$W$5:$W$1004,0),"")</f>
        <v/>
      </c>
    </row>
    <row r="651">
      <c r="B651" s="78">
        <f>IF($O651="","",INDEX(Firms!$A$5:$A$1004,$O651))</f>
        <v/>
      </c>
      <c r="C651" s="79">
        <f>IF($O651="","",INDEX(Firms!$N$5:$N$1004,$O651)&amp;"")</f>
        <v/>
      </c>
      <c r="D651" s="79">
        <f>IF($O651="","",INDEX(Firms!$P$5:$P$1004,$O651)&amp;"")</f>
        <v/>
      </c>
      <c r="E651" s="79">
        <f>IF($O651="","",INDEX(Firms!$O$5:$O$1004,$O651)&amp;"")</f>
        <v/>
      </c>
      <c r="F651" s="50">
        <f>IF($O651="","",IF(INDEX(Firms!$F$5:$F$1004,$O651)="","—",INDEX(Firms!$F$5:$F$1004,$O651)))</f>
        <v/>
      </c>
      <c r="G651" s="50">
        <f>IF($O651="","",IF(INDEX(Firms!$G$5:$G$1004,$O651)="","—",INDEX(Firms!$G$5:$G$1004,$O651)))</f>
        <v/>
      </c>
      <c r="H651" s="50">
        <f>IF($O651="","",IF(INDEX(Firms!$H$5:$H$1004,$O651)="","—",INDEX(Firms!$H$5:$H$1004,$O651)))</f>
        <v/>
      </c>
      <c r="I651" s="50">
        <f>IF($O651="","",IF(INDEX(Firms!$I$5:$I$1004,$O651)="","—",INDEX(Firms!$I$5:$I$1004,$O651)))</f>
        <v/>
      </c>
      <c r="J651" s="50">
        <f>IF($O651="","",IF(INDEX(Firms!$J$5:$J$1004,$O651)="","—",INDEX(Firms!$J$5:$J$1004,$O651)))</f>
        <v/>
      </c>
      <c r="K651" s="50">
        <f>IF($O651="","",IF(INDEX(Firms!$K$5:$K$1004,$O651)="","—",INDEX(Firms!$K$5:$K$1004,$O651)))</f>
        <v/>
      </c>
      <c r="L651" s="50">
        <f>IF($O651="","",IF(INDEX(Firms!$L$5:$L$1004,$O651)="","—",INDEX(Firms!$L$5:$L$1004,$O651)))</f>
        <v/>
      </c>
      <c r="M651" s="50">
        <f>IF($O651="","",IF(INDEX(Firms!$M$5:$M$1004,$O651)="","—",INDEX(Firms!$M$5:$M$1004,$O651)))</f>
        <v/>
      </c>
      <c r="O651">
        <f>IFERROR(MATCH(SMALL(Firms!$Y$5:$Y$1004,643),Firms!$W$5:$W$1004,0),"")</f>
        <v/>
      </c>
    </row>
    <row r="652">
      <c r="B652" s="78">
        <f>IF($O652="","",INDEX(Firms!$A$5:$A$1004,$O652))</f>
        <v/>
      </c>
      <c r="C652" s="79">
        <f>IF($O652="","",INDEX(Firms!$N$5:$N$1004,$O652)&amp;"")</f>
        <v/>
      </c>
      <c r="D652" s="79">
        <f>IF($O652="","",INDEX(Firms!$P$5:$P$1004,$O652)&amp;"")</f>
        <v/>
      </c>
      <c r="E652" s="79">
        <f>IF($O652="","",INDEX(Firms!$O$5:$O$1004,$O652)&amp;"")</f>
        <v/>
      </c>
      <c r="F652" s="50">
        <f>IF($O652="","",IF(INDEX(Firms!$F$5:$F$1004,$O652)="","—",INDEX(Firms!$F$5:$F$1004,$O652)))</f>
        <v/>
      </c>
      <c r="G652" s="50">
        <f>IF($O652="","",IF(INDEX(Firms!$G$5:$G$1004,$O652)="","—",INDEX(Firms!$G$5:$G$1004,$O652)))</f>
        <v/>
      </c>
      <c r="H652" s="50">
        <f>IF($O652="","",IF(INDEX(Firms!$H$5:$H$1004,$O652)="","—",INDEX(Firms!$H$5:$H$1004,$O652)))</f>
        <v/>
      </c>
      <c r="I652" s="50">
        <f>IF($O652="","",IF(INDEX(Firms!$I$5:$I$1004,$O652)="","—",INDEX(Firms!$I$5:$I$1004,$O652)))</f>
        <v/>
      </c>
      <c r="J652" s="50">
        <f>IF($O652="","",IF(INDEX(Firms!$J$5:$J$1004,$O652)="","—",INDEX(Firms!$J$5:$J$1004,$O652)))</f>
        <v/>
      </c>
      <c r="K652" s="50">
        <f>IF($O652="","",IF(INDEX(Firms!$K$5:$K$1004,$O652)="","—",INDEX(Firms!$K$5:$K$1004,$O652)))</f>
        <v/>
      </c>
      <c r="L652" s="50">
        <f>IF($O652="","",IF(INDEX(Firms!$L$5:$L$1004,$O652)="","—",INDEX(Firms!$L$5:$L$1004,$O652)))</f>
        <v/>
      </c>
      <c r="M652" s="50">
        <f>IF($O652="","",IF(INDEX(Firms!$M$5:$M$1004,$O652)="","—",INDEX(Firms!$M$5:$M$1004,$O652)))</f>
        <v/>
      </c>
      <c r="O652">
        <f>IFERROR(MATCH(SMALL(Firms!$Y$5:$Y$1004,644),Firms!$W$5:$W$1004,0),"")</f>
        <v/>
      </c>
    </row>
    <row r="653">
      <c r="B653" s="78">
        <f>IF($O653="","",INDEX(Firms!$A$5:$A$1004,$O653))</f>
        <v/>
      </c>
      <c r="C653" s="79">
        <f>IF($O653="","",INDEX(Firms!$N$5:$N$1004,$O653)&amp;"")</f>
        <v/>
      </c>
      <c r="D653" s="79">
        <f>IF($O653="","",INDEX(Firms!$P$5:$P$1004,$O653)&amp;"")</f>
        <v/>
      </c>
      <c r="E653" s="79">
        <f>IF($O653="","",INDEX(Firms!$O$5:$O$1004,$O653)&amp;"")</f>
        <v/>
      </c>
      <c r="F653" s="50">
        <f>IF($O653="","",IF(INDEX(Firms!$F$5:$F$1004,$O653)="","—",INDEX(Firms!$F$5:$F$1004,$O653)))</f>
        <v/>
      </c>
      <c r="G653" s="50">
        <f>IF($O653="","",IF(INDEX(Firms!$G$5:$G$1004,$O653)="","—",INDEX(Firms!$G$5:$G$1004,$O653)))</f>
        <v/>
      </c>
      <c r="H653" s="50">
        <f>IF($O653="","",IF(INDEX(Firms!$H$5:$H$1004,$O653)="","—",INDEX(Firms!$H$5:$H$1004,$O653)))</f>
        <v/>
      </c>
      <c r="I653" s="50">
        <f>IF($O653="","",IF(INDEX(Firms!$I$5:$I$1004,$O653)="","—",INDEX(Firms!$I$5:$I$1004,$O653)))</f>
        <v/>
      </c>
      <c r="J653" s="50">
        <f>IF($O653="","",IF(INDEX(Firms!$J$5:$J$1004,$O653)="","—",INDEX(Firms!$J$5:$J$1004,$O653)))</f>
        <v/>
      </c>
      <c r="K653" s="50">
        <f>IF($O653="","",IF(INDEX(Firms!$K$5:$K$1004,$O653)="","—",INDEX(Firms!$K$5:$K$1004,$O653)))</f>
        <v/>
      </c>
      <c r="L653" s="50">
        <f>IF($O653="","",IF(INDEX(Firms!$L$5:$L$1004,$O653)="","—",INDEX(Firms!$L$5:$L$1004,$O653)))</f>
        <v/>
      </c>
      <c r="M653" s="50">
        <f>IF($O653="","",IF(INDEX(Firms!$M$5:$M$1004,$O653)="","—",INDEX(Firms!$M$5:$M$1004,$O653)))</f>
        <v/>
      </c>
      <c r="O653">
        <f>IFERROR(MATCH(SMALL(Firms!$Y$5:$Y$1004,645),Firms!$W$5:$W$1004,0),"")</f>
        <v/>
      </c>
    </row>
    <row r="654">
      <c r="B654" s="78">
        <f>IF($O654="","",INDEX(Firms!$A$5:$A$1004,$O654))</f>
        <v/>
      </c>
      <c r="C654" s="79">
        <f>IF($O654="","",INDEX(Firms!$N$5:$N$1004,$O654)&amp;"")</f>
        <v/>
      </c>
      <c r="D654" s="79">
        <f>IF($O654="","",INDEX(Firms!$P$5:$P$1004,$O654)&amp;"")</f>
        <v/>
      </c>
      <c r="E654" s="79">
        <f>IF($O654="","",INDEX(Firms!$O$5:$O$1004,$O654)&amp;"")</f>
        <v/>
      </c>
      <c r="F654" s="50">
        <f>IF($O654="","",IF(INDEX(Firms!$F$5:$F$1004,$O654)="","—",INDEX(Firms!$F$5:$F$1004,$O654)))</f>
        <v/>
      </c>
      <c r="G654" s="50">
        <f>IF($O654="","",IF(INDEX(Firms!$G$5:$G$1004,$O654)="","—",INDEX(Firms!$G$5:$G$1004,$O654)))</f>
        <v/>
      </c>
      <c r="H654" s="50">
        <f>IF($O654="","",IF(INDEX(Firms!$H$5:$H$1004,$O654)="","—",INDEX(Firms!$H$5:$H$1004,$O654)))</f>
        <v/>
      </c>
      <c r="I654" s="50">
        <f>IF($O654="","",IF(INDEX(Firms!$I$5:$I$1004,$O654)="","—",INDEX(Firms!$I$5:$I$1004,$O654)))</f>
        <v/>
      </c>
      <c r="J654" s="50">
        <f>IF($O654="","",IF(INDEX(Firms!$J$5:$J$1004,$O654)="","—",INDEX(Firms!$J$5:$J$1004,$O654)))</f>
        <v/>
      </c>
      <c r="K654" s="50">
        <f>IF($O654="","",IF(INDEX(Firms!$K$5:$K$1004,$O654)="","—",INDEX(Firms!$K$5:$K$1004,$O654)))</f>
        <v/>
      </c>
      <c r="L654" s="50">
        <f>IF($O654="","",IF(INDEX(Firms!$L$5:$L$1004,$O654)="","—",INDEX(Firms!$L$5:$L$1004,$O654)))</f>
        <v/>
      </c>
      <c r="M654" s="50">
        <f>IF($O654="","",IF(INDEX(Firms!$M$5:$M$1004,$O654)="","—",INDEX(Firms!$M$5:$M$1004,$O654)))</f>
        <v/>
      </c>
      <c r="O654">
        <f>IFERROR(MATCH(SMALL(Firms!$Y$5:$Y$1004,646),Firms!$W$5:$W$1004,0),"")</f>
        <v/>
      </c>
    </row>
    <row r="655">
      <c r="B655" s="78">
        <f>IF($O655="","",INDEX(Firms!$A$5:$A$1004,$O655))</f>
        <v/>
      </c>
      <c r="C655" s="79">
        <f>IF($O655="","",INDEX(Firms!$N$5:$N$1004,$O655)&amp;"")</f>
        <v/>
      </c>
      <c r="D655" s="79">
        <f>IF($O655="","",INDEX(Firms!$P$5:$P$1004,$O655)&amp;"")</f>
        <v/>
      </c>
      <c r="E655" s="79">
        <f>IF($O655="","",INDEX(Firms!$O$5:$O$1004,$O655)&amp;"")</f>
        <v/>
      </c>
      <c r="F655" s="50">
        <f>IF($O655="","",IF(INDEX(Firms!$F$5:$F$1004,$O655)="","—",INDEX(Firms!$F$5:$F$1004,$O655)))</f>
        <v/>
      </c>
      <c r="G655" s="50">
        <f>IF($O655="","",IF(INDEX(Firms!$G$5:$G$1004,$O655)="","—",INDEX(Firms!$G$5:$G$1004,$O655)))</f>
        <v/>
      </c>
      <c r="H655" s="50">
        <f>IF($O655="","",IF(INDEX(Firms!$H$5:$H$1004,$O655)="","—",INDEX(Firms!$H$5:$H$1004,$O655)))</f>
        <v/>
      </c>
      <c r="I655" s="50">
        <f>IF($O655="","",IF(INDEX(Firms!$I$5:$I$1004,$O655)="","—",INDEX(Firms!$I$5:$I$1004,$O655)))</f>
        <v/>
      </c>
      <c r="J655" s="50">
        <f>IF($O655="","",IF(INDEX(Firms!$J$5:$J$1004,$O655)="","—",INDEX(Firms!$J$5:$J$1004,$O655)))</f>
        <v/>
      </c>
      <c r="K655" s="50">
        <f>IF($O655="","",IF(INDEX(Firms!$K$5:$K$1004,$O655)="","—",INDEX(Firms!$K$5:$K$1004,$O655)))</f>
        <v/>
      </c>
      <c r="L655" s="50">
        <f>IF($O655="","",IF(INDEX(Firms!$L$5:$L$1004,$O655)="","—",INDEX(Firms!$L$5:$L$1004,$O655)))</f>
        <v/>
      </c>
      <c r="M655" s="50">
        <f>IF($O655="","",IF(INDEX(Firms!$M$5:$M$1004,$O655)="","—",INDEX(Firms!$M$5:$M$1004,$O655)))</f>
        <v/>
      </c>
      <c r="O655">
        <f>IFERROR(MATCH(SMALL(Firms!$Y$5:$Y$1004,647),Firms!$W$5:$W$1004,0),"")</f>
        <v/>
      </c>
    </row>
    <row r="656">
      <c r="B656" s="78">
        <f>IF($O656="","",INDEX(Firms!$A$5:$A$1004,$O656))</f>
        <v/>
      </c>
      <c r="C656" s="79">
        <f>IF($O656="","",INDEX(Firms!$N$5:$N$1004,$O656)&amp;"")</f>
        <v/>
      </c>
      <c r="D656" s="79">
        <f>IF($O656="","",INDEX(Firms!$P$5:$P$1004,$O656)&amp;"")</f>
        <v/>
      </c>
      <c r="E656" s="79">
        <f>IF($O656="","",INDEX(Firms!$O$5:$O$1004,$O656)&amp;"")</f>
        <v/>
      </c>
      <c r="F656" s="50">
        <f>IF($O656="","",IF(INDEX(Firms!$F$5:$F$1004,$O656)="","—",INDEX(Firms!$F$5:$F$1004,$O656)))</f>
        <v/>
      </c>
      <c r="G656" s="50">
        <f>IF($O656="","",IF(INDEX(Firms!$G$5:$G$1004,$O656)="","—",INDEX(Firms!$G$5:$G$1004,$O656)))</f>
        <v/>
      </c>
      <c r="H656" s="50">
        <f>IF($O656="","",IF(INDEX(Firms!$H$5:$H$1004,$O656)="","—",INDEX(Firms!$H$5:$H$1004,$O656)))</f>
        <v/>
      </c>
      <c r="I656" s="50">
        <f>IF($O656="","",IF(INDEX(Firms!$I$5:$I$1004,$O656)="","—",INDEX(Firms!$I$5:$I$1004,$O656)))</f>
        <v/>
      </c>
      <c r="J656" s="50">
        <f>IF($O656="","",IF(INDEX(Firms!$J$5:$J$1004,$O656)="","—",INDEX(Firms!$J$5:$J$1004,$O656)))</f>
        <v/>
      </c>
      <c r="K656" s="50">
        <f>IF($O656="","",IF(INDEX(Firms!$K$5:$K$1004,$O656)="","—",INDEX(Firms!$K$5:$K$1004,$O656)))</f>
        <v/>
      </c>
      <c r="L656" s="50">
        <f>IF($O656="","",IF(INDEX(Firms!$L$5:$L$1004,$O656)="","—",INDEX(Firms!$L$5:$L$1004,$O656)))</f>
        <v/>
      </c>
      <c r="M656" s="50">
        <f>IF($O656="","",IF(INDEX(Firms!$M$5:$M$1004,$O656)="","—",INDEX(Firms!$M$5:$M$1004,$O656)))</f>
        <v/>
      </c>
      <c r="O656">
        <f>IFERROR(MATCH(SMALL(Firms!$Y$5:$Y$1004,648),Firms!$W$5:$W$1004,0),"")</f>
        <v/>
      </c>
    </row>
    <row r="657">
      <c r="B657" s="78">
        <f>IF($O657="","",INDEX(Firms!$A$5:$A$1004,$O657))</f>
        <v/>
      </c>
      <c r="C657" s="79">
        <f>IF($O657="","",INDEX(Firms!$N$5:$N$1004,$O657)&amp;"")</f>
        <v/>
      </c>
      <c r="D657" s="79">
        <f>IF($O657="","",INDEX(Firms!$P$5:$P$1004,$O657)&amp;"")</f>
        <v/>
      </c>
      <c r="E657" s="79">
        <f>IF($O657="","",INDEX(Firms!$O$5:$O$1004,$O657)&amp;"")</f>
        <v/>
      </c>
      <c r="F657" s="50">
        <f>IF($O657="","",IF(INDEX(Firms!$F$5:$F$1004,$O657)="","—",INDEX(Firms!$F$5:$F$1004,$O657)))</f>
        <v/>
      </c>
      <c r="G657" s="50">
        <f>IF($O657="","",IF(INDEX(Firms!$G$5:$G$1004,$O657)="","—",INDEX(Firms!$G$5:$G$1004,$O657)))</f>
        <v/>
      </c>
      <c r="H657" s="50">
        <f>IF($O657="","",IF(INDEX(Firms!$H$5:$H$1004,$O657)="","—",INDEX(Firms!$H$5:$H$1004,$O657)))</f>
        <v/>
      </c>
      <c r="I657" s="50">
        <f>IF($O657="","",IF(INDEX(Firms!$I$5:$I$1004,$O657)="","—",INDEX(Firms!$I$5:$I$1004,$O657)))</f>
        <v/>
      </c>
      <c r="J657" s="50">
        <f>IF($O657="","",IF(INDEX(Firms!$J$5:$J$1004,$O657)="","—",INDEX(Firms!$J$5:$J$1004,$O657)))</f>
        <v/>
      </c>
      <c r="K657" s="50">
        <f>IF($O657="","",IF(INDEX(Firms!$K$5:$K$1004,$O657)="","—",INDEX(Firms!$K$5:$K$1004,$O657)))</f>
        <v/>
      </c>
      <c r="L657" s="50">
        <f>IF($O657="","",IF(INDEX(Firms!$L$5:$L$1004,$O657)="","—",INDEX(Firms!$L$5:$L$1004,$O657)))</f>
        <v/>
      </c>
      <c r="M657" s="50">
        <f>IF($O657="","",IF(INDEX(Firms!$M$5:$M$1004,$O657)="","—",INDEX(Firms!$M$5:$M$1004,$O657)))</f>
        <v/>
      </c>
      <c r="O657">
        <f>IFERROR(MATCH(SMALL(Firms!$Y$5:$Y$1004,649),Firms!$W$5:$W$1004,0),"")</f>
        <v/>
      </c>
    </row>
    <row r="658">
      <c r="B658" s="78">
        <f>IF($O658="","",INDEX(Firms!$A$5:$A$1004,$O658))</f>
        <v/>
      </c>
      <c r="C658" s="79">
        <f>IF($O658="","",INDEX(Firms!$N$5:$N$1004,$O658)&amp;"")</f>
        <v/>
      </c>
      <c r="D658" s="79">
        <f>IF($O658="","",INDEX(Firms!$P$5:$P$1004,$O658)&amp;"")</f>
        <v/>
      </c>
      <c r="E658" s="79">
        <f>IF($O658="","",INDEX(Firms!$O$5:$O$1004,$O658)&amp;"")</f>
        <v/>
      </c>
      <c r="F658" s="50">
        <f>IF($O658="","",IF(INDEX(Firms!$F$5:$F$1004,$O658)="","—",INDEX(Firms!$F$5:$F$1004,$O658)))</f>
        <v/>
      </c>
      <c r="G658" s="50">
        <f>IF($O658="","",IF(INDEX(Firms!$G$5:$G$1004,$O658)="","—",INDEX(Firms!$G$5:$G$1004,$O658)))</f>
        <v/>
      </c>
      <c r="H658" s="50">
        <f>IF($O658="","",IF(INDEX(Firms!$H$5:$H$1004,$O658)="","—",INDEX(Firms!$H$5:$H$1004,$O658)))</f>
        <v/>
      </c>
      <c r="I658" s="50">
        <f>IF($O658="","",IF(INDEX(Firms!$I$5:$I$1004,$O658)="","—",INDEX(Firms!$I$5:$I$1004,$O658)))</f>
        <v/>
      </c>
      <c r="J658" s="50">
        <f>IF($O658="","",IF(INDEX(Firms!$J$5:$J$1004,$O658)="","—",INDEX(Firms!$J$5:$J$1004,$O658)))</f>
        <v/>
      </c>
      <c r="K658" s="50">
        <f>IF($O658="","",IF(INDEX(Firms!$K$5:$K$1004,$O658)="","—",INDEX(Firms!$K$5:$K$1004,$O658)))</f>
        <v/>
      </c>
      <c r="L658" s="50">
        <f>IF($O658="","",IF(INDEX(Firms!$L$5:$L$1004,$O658)="","—",INDEX(Firms!$L$5:$L$1004,$O658)))</f>
        <v/>
      </c>
      <c r="M658" s="50">
        <f>IF($O658="","",IF(INDEX(Firms!$M$5:$M$1004,$O658)="","—",INDEX(Firms!$M$5:$M$1004,$O658)))</f>
        <v/>
      </c>
      <c r="O658">
        <f>IFERROR(MATCH(SMALL(Firms!$Y$5:$Y$1004,650),Firms!$W$5:$W$1004,0),"")</f>
        <v/>
      </c>
    </row>
    <row r="659">
      <c r="B659" s="78">
        <f>IF($O659="","",INDEX(Firms!$A$5:$A$1004,$O659))</f>
        <v/>
      </c>
      <c r="C659" s="79">
        <f>IF($O659="","",INDEX(Firms!$N$5:$N$1004,$O659)&amp;"")</f>
        <v/>
      </c>
      <c r="D659" s="79">
        <f>IF($O659="","",INDEX(Firms!$P$5:$P$1004,$O659)&amp;"")</f>
        <v/>
      </c>
      <c r="E659" s="79">
        <f>IF($O659="","",INDEX(Firms!$O$5:$O$1004,$O659)&amp;"")</f>
        <v/>
      </c>
      <c r="F659" s="50">
        <f>IF($O659="","",IF(INDEX(Firms!$F$5:$F$1004,$O659)="","—",INDEX(Firms!$F$5:$F$1004,$O659)))</f>
        <v/>
      </c>
      <c r="G659" s="50">
        <f>IF($O659="","",IF(INDEX(Firms!$G$5:$G$1004,$O659)="","—",INDEX(Firms!$G$5:$G$1004,$O659)))</f>
        <v/>
      </c>
      <c r="H659" s="50">
        <f>IF($O659="","",IF(INDEX(Firms!$H$5:$H$1004,$O659)="","—",INDEX(Firms!$H$5:$H$1004,$O659)))</f>
        <v/>
      </c>
      <c r="I659" s="50">
        <f>IF($O659="","",IF(INDEX(Firms!$I$5:$I$1004,$O659)="","—",INDEX(Firms!$I$5:$I$1004,$O659)))</f>
        <v/>
      </c>
      <c r="J659" s="50">
        <f>IF($O659="","",IF(INDEX(Firms!$J$5:$J$1004,$O659)="","—",INDEX(Firms!$J$5:$J$1004,$O659)))</f>
        <v/>
      </c>
      <c r="K659" s="50">
        <f>IF($O659="","",IF(INDEX(Firms!$K$5:$K$1004,$O659)="","—",INDEX(Firms!$K$5:$K$1004,$O659)))</f>
        <v/>
      </c>
      <c r="L659" s="50">
        <f>IF($O659="","",IF(INDEX(Firms!$L$5:$L$1004,$O659)="","—",INDEX(Firms!$L$5:$L$1004,$O659)))</f>
        <v/>
      </c>
      <c r="M659" s="50">
        <f>IF($O659="","",IF(INDEX(Firms!$M$5:$M$1004,$O659)="","—",INDEX(Firms!$M$5:$M$1004,$O659)))</f>
        <v/>
      </c>
      <c r="O659">
        <f>IFERROR(MATCH(SMALL(Firms!$Y$5:$Y$1004,651),Firms!$W$5:$W$1004,0),"")</f>
        <v/>
      </c>
    </row>
    <row r="660">
      <c r="B660" s="78">
        <f>IF($O660="","",INDEX(Firms!$A$5:$A$1004,$O660))</f>
        <v/>
      </c>
      <c r="C660" s="79">
        <f>IF($O660="","",INDEX(Firms!$N$5:$N$1004,$O660)&amp;"")</f>
        <v/>
      </c>
      <c r="D660" s="79">
        <f>IF($O660="","",INDEX(Firms!$P$5:$P$1004,$O660)&amp;"")</f>
        <v/>
      </c>
      <c r="E660" s="79">
        <f>IF($O660="","",INDEX(Firms!$O$5:$O$1004,$O660)&amp;"")</f>
        <v/>
      </c>
      <c r="F660" s="50">
        <f>IF($O660="","",IF(INDEX(Firms!$F$5:$F$1004,$O660)="","—",INDEX(Firms!$F$5:$F$1004,$O660)))</f>
        <v/>
      </c>
      <c r="G660" s="50">
        <f>IF($O660="","",IF(INDEX(Firms!$G$5:$G$1004,$O660)="","—",INDEX(Firms!$G$5:$G$1004,$O660)))</f>
        <v/>
      </c>
      <c r="H660" s="50">
        <f>IF($O660="","",IF(INDEX(Firms!$H$5:$H$1004,$O660)="","—",INDEX(Firms!$H$5:$H$1004,$O660)))</f>
        <v/>
      </c>
      <c r="I660" s="50">
        <f>IF($O660="","",IF(INDEX(Firms!$I$5:$I$1004,$O660)="","—",INDEX(Firms!$I$5:$I$1004,$O660)))</f>
        <v/>
      </c>
      <c r="J660" s="50">
        <f>IF($O660="","",IF(INDEX(Firms!$J$5:$J$1004,$O660)="","—",INDEX(Firms!$J$5:$J$1004,$O660)))</f>
        <v/>
      </c>
      <c r="K660" s="50">
        <f>IF($O660="","",IF(INDEX(Firms!$K$5:$K$1004,$O660)="","—",INDEX(Firms!$K$5:$K$1004,$O660)))</f>
        <v/>
      </c>
      <c r="L660" s="50">
        <f>IF($O660="","",IF(INDEX(Firms!$L$5:$L$1004,$O660)="","—",INDEX(Firms!$L$5:$L$1004,$O660)))</f>
        <v/>
      </c>
      <c r="M660" s="50">
        <f>IF($O660="","",IF(INDEX(Firms!$M$5:$M$1004,$O660)="","—",INDEX(Firms!$M$5:$M$1004,$O660)))</f>
        <v/>
      </c>
      <c r="O660">
        <f>IFERROR(MATCH(SMALL(Firms!$Y$5:$Y$1004,652),Firms!$W$5:$W$1004,0),"")</f>
        <v/>
      </c>
    </row>
    <row r="661">
      <c r="B661" s="78">
        <f>IF($O661="","",INDEX(Firms!$A$5:$A$1004,$O661))</f>
        <v/>
      </c>
      <c r="C661" s="79">
        <f>IF($O661="","",INDEX(Firms!$N$5:$N$1004,$O661)&amp;"")</f>
        <v/>
      </c>
      <c r="D661" s="79">
        <f>IF($O661="","",INDEX(Firms!$P$5:$P$1004,$O661)&amp;"")</f>
        <v/>
      </c>
      <c r="E661" s="79">
        <f>IF($O661="","",INDEX(Firms!$O$5:$O$1004,$O661)&amp;"")</f>
        <v/>
      </c>
      <c r="F661" s="50">
        <f>IF($O661="","",IF(INDEX(Firms!$F$5:$F$1004,$O661)="","—",INDEX(Firms!$F$5:$F$1004,$O661)))</f>
        <v/>
      </c>
      <c r="G661" s="50">
        <f>IF($O661="","",IF(INDEX(Firms!$G$5:$G$1004,$O661)="","—",INDEX(Firms!$G$5:$G$1004,$O661)))</f>
        <v/>
      </c>
      <c r="H661" s="50">
        <f>IF($O661="","",IF(INDEX(Firms!$H$5:$H$1004,$O661)="","—",INDEX(Firms!$H$5:$H$1004,$O661)))</f>
        <v/>
      </c>
      <c r="I661" s="50">
        <f>IF($O661="","",IF(INDEX(Firms!$I$5:$I$1004,$O661)="","—",INDEX(Firms!$I$5:$I$1004,$O661)))</f>
        <v/>
      </c>
      <c r="J661" s="50">
        <f>IF($O661="","",IF(INDEX(Firms!$J$5:$J$1004,$O661)="","—",INDEX(Firms!$J$5:$J$1004,$O661)))</f>
        <v/>
      </c>
      <c r="K661" s="50">
        <f>IF($O661="","",IF(INDEX(Firms!$K$5:$K$1004,$O661)="","—",INDEX(Firms!$K$5:$K$1004,$O661)))</f>
        <v/>
      </c>
      <c r="L661" s="50">
        <f>IF($O661="","",IF(INDEX(Firms!$L$5:$L$1004,$O661)="","—",INDEX(Firms!$L$5:$L$1004,$O661)))</f>
        <v/>
      </c>
      <c r="M661" s="50">
        <f>IF($O661="","",IF(INDEX(Firms!$M$5:$M$1004,$O661)="","—",INDEX(Firms!$M$5:$M$1004,$O661)))</f>
        <v/>
      </c>
      <c r="O661">
        <f>IFERROR(MATCH(SMALL(Firms!$Y$5:$Y$1004,653),Firms!$W$5:$W$1004,0),"")</f>
        <v/>
      </c>
    </row>
    <row r="662">
      <c r="B662" s="78">
        <f>IF($O662="","",INDEX(Firms!$A$5:$A$1004,$O662))</f>
        <v/>
      </c>
      <c r="C662" s="79">
        <f>IF($O662="","",INDEX(Firms!$N$5:$N$1004,$O662)&amp;"")</f>
        <v/>
      </c>
      <c r="D662" s="79">
        <f>IF($O662="","",INDEX(Firms!$P$5:$P$1004,$O662)&amp;"")</f>
        <v/>
      </c>
      <c r="E662" s="79">
        <f>IF($O662="","",INDEX(Firms!$O$5:$O$1004,$O662)&amp;"")</f>
        <v/>
      </c>
      <c r="F662" s="50">
        <f>IF($O662="","",IF(INDEX(Firms!$F$5:$F$1004,$O662)="","—",INDEX(Firms!$F$5:$F$1004,$O662)))</f>
        <v/>
      </c>
      <c r="G662" s="50">
        <f>IF($O662="","",IF(INDEX(Firms!$G$5:$G$1004,$O662)="","—",INDEX(Firms!$G$5:$G$1004,$O662)))</f>
        <v/>
      </c>
      <c r="H662" s="50">
        <f>IF($O662="","",IF(INDEX(Firms!$H$5:$H$1004,$O662)="","—",INDEX(Firms!$H$5:$H$1004,$O662)))</f>
        <v/>
      </c>
      <c r="I662" s="50">
        <f>IF($O662="","",IF(INDEX(Firms!$I$5:$I$1004,$O662)="","—",INDEX(Firms!$I$5:$I$1004,$O662)))</f>
        <v/>
      </c>
      <c r="J662" s="50">
        <f>IF($O662="","",IF(INDEX(Firms!$J$5:$J$1004,$O662)="","—",INDEX(Firms!$J$5:$J$1004,$O662)))</f>
        <v/>
      </c>
      <c r="K662" s="50">
        <f>IF($O662="","",IF(INDEX(Firms!$K$5:$K$1004,$O662)="","—",INDEX(Firms!$K$5:$K$1004,$O662)))</f>
        <v/>
      </c>
      <c r="L662" s="50">
        <f>IF($O662="","",IF(INDEX(Firms!$L$5:$L$1004,$O662)="","—",INDEX(Firms!$L$5:$L$1004,$O662)))</f>
        <v/>
      </c>
      <c r="M662" s="50">
        <f>IF($O662="","",IF(INDEX(Firms!$M$5:$M$1004,$O662)="","—",INDEX(Firms!$M$5:$M$1004,$O662)))</f>
        <v/>
      </c>
      <c r="O662">
        <f>IFERROR(MATCH(SMALL(Firms!$Y$5:$Y$1004,654),Firms!$W$5:$W$1004,0),"")</f>
        <v/>
      </c>
    </row>
    <row r="663">
      <c r="B663" s="78">
        <f>IF($O663="","",INDEX(Firms!$A$5:$A$1004,$O663))</f>
        <v/>
      </c>
      <c r="C663" s="79">
        <f>IF($O663="","",INDEX(Firms!$N$5:$N$1004,$O663)&amp;"")</f>
        <v/>
      </c>
      <c r="D663" s="79">
        <f>IF($O663="","",INDEX(Firms!$P$5:$P$1004,$O663)&amp;"")</f>
        <v/>
      </c>
      <c r="E663" s="79">
        <f>IF($O663="","",INDEX(Firms!$O$5:$O$1004,$O663)&amp;"")</f>
        <v/>
      </c>
      <c r="F663" s="50">
        <f>IF($O663="","",IF(INDEX(Firms!$F$5:$F$1004,$O663)="","—",INDEX(Firms!$F$5:$F$1004,$O663)))</f>
        <v/>
      </c>
      <c r="G663" s="50">
        <f>IF($O663="","",IF(INDEX(Firms!$G$5:$G$1004,$O663)="","—",INDEX(Firms!$G$5:$G$1004,$O663)))</f>
        <v/>
      </c>
      <c r="H663" s="50">
        <f>IF($O663="","",IF(INDEX(Firms!$H$5:$H$1004,$O663)="","—",INDEX(Firms!$H$5:$H$1004,$O663)))</f>
        <v/>
      </c>
      <c r="I663" s="50">
        <f>IF($O663="","",IF(INDEX(Firms!$I$5:$I$1004,$O663)="","—",INDEX(Firms!$I$5:$I$1004,$O663)))</f>
        <v/>
      </c>
      <c r="J663" s="50">
        <f>IF($O663="","",IF(INDEX(Firms!$J$5:$J$1004,$O663)="","—",INDEX(Firms!$J$5:$J$1004,$O663)))</f>
        <v/>
      </c>
      <c r="K663" s="50">
        <f>IF($O663="","",IF(INDEX(Firms!$K$5:$K$1004,$O663)="","—",INDEX(Firms!$K$5:$K$1004,$O663)))</f>
        <v/>
      </c>
      <c r="L663" s="50">
        <f>IF($O663="","",IF(INDEX(Firms!$L$5:$L$1004,$O663)="","—",INDEX(Firms!$L$5:$L$1004,$O663)))</f>
        <v/>
      </c>
      <c r="M663" s="50">
        <f>IF($O663="","",IF(INDEX(Firms!$M$5:$M$1004,$O663)="","—",INDEX(Firms!$M$5:$M$1004,$O663)))</f>
        <v/>
      </c>
      <c r="O663">
        <f>IFERROR(MATCH(SMALL(Firms!$Y$5:$Y$1004,655),Firms!$W$5:$W$1004,0),"")</f>
        <v/>
      </c>
    </row>
    <row r="664">
      <c r="B664" s="78">
        <f>IF($O664="","",INDEX(Firms!$A$5:$A$1004,$O664))</f>
        <v/>
      </c>
      <c r="C664" s="79">
        <f>IF($O664="","",INDEX(Firms!$N$5:$N$1004,$O664)&amp;"")</f>
        <v/>
      </c>
      <c r="D664" s="79">
        <f>IF($O664="","",INDEX(Firms!$P$5:$P$1004,$O664)&amp;"")</f>
        <v/>
      </c>
      <c r="E664" s="79">
        <f>IF($O664="","",INDEX(Firms!$O$5:$O$1004,$O664)&amp;"")</f>
        <v/>
      </c>
      <c r="F664" s="50">
        <f>IF($O664="","",IF(INDEX(Firms!$F$5:$F$1004,$O664)="","—",INDEX(Firms!$F$5:$F$1004,$O664)))</f>
        <v/>
      </c>
      <c r="G664" s="50">
        <f>IF($O664="","",IF(INDEX(Firms!$G$5:$G$1004,$O664)="","—",INDEX(Firms!$G$5:$G$1004,$O664)))</f>
        <v/>
      </c>
      <c r="H664" s="50">
        <f>IF($O664="","",IF(INDEX(Firms!$H$5:$H$1004,$O664)="","—",INDEX(Firms!$H$5:$H$1004,$O664)))</f>
        <v/>
      </c>
      <c r="I664" s="50">
        <f>IF($O664="","",IF(INDEX(Firms!$I$5:$I$1004,$O664)="","—",INDEX(Firms!$I$5:$I$1004,$O664)))</f>
        <v/>
      </c>
      <c r="J664" s="50">
        <f>IF($O664="","",IF(INDEX(Firms!$J$5:$J$1004,$O664)="","—",INDEX(Firms!$J$5:$J$1004,$O664)))</f>
        <v/>
      </c>
      <c r="K664" s="50">
        <f>IF($O664="","",IF(INDEX(Firms!$K$5:$K$1004,$O664)="","—",INDEX(Firms!$K$5:$K$1004,$O664)))</f>
        <v/>
      </c>
      <c r="L664" s="50">
        <f>IF($O664="","",IF(INDEX(Firms!$L$5:$L$1004,$O664)="","—",INDEX(Firms!$L$5:$L$1004,$O664)))</f>
        <v/>
      </c>
      <c r="M664" s="50">
        <f>IF($O664="","",IF(INDEX(Firms!$M$5:$M$1004,$O664)="","—",INDEX(Firms!$M$5:$M$1004,$O664)))</f>
        <v/>
      </c>
      <c r="O664">
        <f>IFERROR(MATCH(SMALL(Firms!$Y$5:$Y$1004,656),Firms!$W$5:$W$1004,0),"")</f>
        <v/>
      </c>
    </row>
    <row r="665">
      <c r="B665" s="78">
        <f>IF($O665="","",INDEX(Firms!$A$5:$A$1004,$O665))</f>
        <v/>
      </c>
      <c r="C665" s="79">
        <f>IF($O665="","",INDEX(Firms!$N$5:$N$1004,$O665)&amp;"")</f>
        <v/>
      </c>
      <c r="D665" s="79">
        <f>IF($O665="","",INDEX(Firms!$P$5:$P$1004,$O665)&amp;"")</f>
        <v/>
      </c>
      <c r="E665" s="79">
        <f>IF($O665="","",INDEX(Firms!$O$5:$O$1004,$O665)&amp;"")</f>
        <v/>
      </c>
      <c r="F665" s="50">
        <f>IF($O665="","",IF(INDEX(Firms!$F$5:$F$1004,$O665)="","—",INDEX(Firms!$F$5:$F$1004,$O665)))</f>
        <v/>
      </c>
      <c r="G665" s="50">
        <f>IF($O665="","",IF(INDEX(Firms!$G$5:$G$1004,$O665)="","—",INDEX(Firms!$G$5:$G$1004,$O665)))</f>
        <v/>
      </c>
      <c r="H665" s="50">
        <f>IF($O665="","",IF(INDEX(Firms!$H$5:$H$1004,$O665)="","—",INDEX(Firms!$H$5:$H$1004,$O665)))</f>
        <v/>
      </c>
      <c r="I665" s="50">
        <f>IF($O665="","",IF(INDEX(Firms!$I$5:$I$1004,$O665)="","—",INDEX(Firms!$I$5:$I$1004,$O665)))</f>
        <v/>
      </c>
      <c r="J665" s="50">
        <f>IF($O665="","",IF(INDEX(Firms!$J$5:$J$1004,$O665)="","—",INDEX(Firms!$J$5:$J$1004,$O665)))</f>
        <v/>
      </c>
      <c r="K665" s="50">
        <f>IF($O665="","",IF(INDEX(Firms!$K$5:$K$1004,$O665)="","—",INDEX(Firms!$K$5:$K$1004,$O665)))</f>
        <v/>
      </c>
      <c r="L665" s="50">
        <f>IF($O665="","",IF(INDEX(Firms!$L$5:$L$1004,$O665)="","—",INDEX(Firms!$L$5:$L$1004,$O665)))</f>
        <v/>
      </c>
      <c r="M665" s="50">
        <f>IF($O665="","",IF(INDEX(Firms!$M$5:$M$1004,$O665)="","—",INDEX(Firms!$M$5:$M$1004,$O665)))</f>
        <v/>
      </c>
      <c r="O665">
        <f>IFERROR(MATCH(SMALL(Firms!$Y$5:$Y$1004,657),Firms!$W$5:$W$1004,0),"")</f>
        <v/>
      </c>
    </row>
    <row r="666">
      <c r="B666" s="78">
        <f>IF($O666="","",INDEX(Firms!$A$5:$A$1004,$O666))</f>
        <v/>
      </c>
      <c r="C666" s="79">
        <f>IF($O666="","",INDEX(Firms!$N$5:$N$1004,$O666)&amp;"")</f>
        <v/>
      </c>
      <c r="D666" s="79">
        <f>IF($O666="","",INDEX(Firms!$P$5:$P$1004,$O666)&amp;"")</f>
        <v/>
      </c>
      <c r="E666" s="79">
        <f>IF($O666="","",INDEX(Firms!$O$5:$O$1004,$O666)&amp;"")</f>
        <v/>
      </c>
      <c r="F666" s="50">
        <f>IF($O666="","",IF(INDEX(Firms!$F$5:$F$1004,$O666)="","—",INDEX(Firms!$F$5:$F$1004,$O666)))</f>
        <v/>
      </c>
      <c r="G666" s="50">
        <f>IF($O666="","",IF(INDEX(Firms!$G$5:$G$1004,$O666)="","—",INDEX(Firms!$G$5:$G$1004,$O666)))</f>
        <v/>
      </c>
      <c r="H666" s="50">
        <f>IF($O666="","",IF(INDEX(Firms!$H$5:$H$1004,$O666)="","—",INDEX(Firms!$H$5:$H$1004,$O666)))</f>
        <v/>
      </c>
      <c r="I666" s="50">
        <f>IF($O666="","",IF(INDEX(Firms!$I$5:$I$1004,$O666)="","—",INDEX(Firms!$I$5:$I$1004,$O666)))</f>
        <v/>
      </c>
      <c r="J666" s="50">
        <f>IF($O666="","",IF(INDEX(Firms!$J$5:$J$1004,$O666)="","—",INDEX(Firms!$J$5:$J$1004,$O666)))</f>
        <v/>
      </c>
      <c r="K666" s="50">
        <f>IF($O666="","",IF(INDEX(Firms!$K$5:$K$1004,$O666)="","—",INDEX(Firms!$K$5:$K$1004,$O666)))</f>
        <v/>
      </c>
      <c r="L666" s="50">
        <f>IF($O666="","",IF(INDEX(Firms!$L$5:$L$1004,$O666)="","—",INDEX(Firms!$L$5:$L$1004,$O666)))</f>
        <v/>
      </c>
      <c r="M666" s="50">
        <f>IF($O666="","",IF(INDEX(Firms!$M$5:$M$1004,$O666)="","—",INDEX(Firms!$M$5:$M$1004,$O666)))</f>
        <v/>
      </c>
      <c r="O666">
        <f>IFERROR(MATCH(SMALL(Firms!$Y$5:$Y$1004,658),Firms!$W$5:$W$1004,0),"")</f>
        <v/>
      </c>
    </row>
    <row r="667">
      <c r="B667" s="78">
        <f>IF($O667="","",INDEX(Firms!$A$5:$A$1004,$O667))</f>
        <v/>
      </c>
      <c r="C667" s="79">
        <f>IF($O667="","",INDEX(Firms!$N$5:$N$1004,$O667)&amp;"")</f>
        <v/>
      </c>
      <c r="D667" s="79">
        <f>IF($O667="","",INDEX(Firms!$P$5:$P$1004,$O667)&amp;"")</f>
        <v/>
      </c>
      <c r="E667" s="79">
        <f>IF($O667="","",INDEX(Firms!$O$5:$O$1004,$O667)&amp;"")</f>
        <v/>
      </c>
      <c r="F667" s="50">
        <f>IF($O667="","",IF(INDEX(Firms!$F$5:$F$1004,$O667)="","—",INDEX(Firms!$F$5:$F$1004,$O667)))</f>
        <v/>
      </c>
      <c r="G667" s="50">
        <f>IF($O667="","",IF(INDEX(Firms!$G$5:$G$1004,$O667)="","—",INDEX(Firms!$G$5:$G$1004,$O667)))</f>
        <v/>
      </c>
      <c r="H667" s="50">
        <f>IF($O667="","",IF(INDEX(Firms!$H$5:$H$1004,$O667)="","—",INDEX(Firms!$H$5:$H$1004,$O667)))</f>
        <v/>
      </c>
      <c r="I667" s="50">
        <f>IF($O667="","",IF(INDEX(Firms!$I$5:$I$1004,$O667)="","—",INDEX(Firms!$I$5:$I$1004,$O667)))</f>
        <v/>
      </c>
      <c r="J667" s="50">
        <f>IF($O667="","",IF(INDEX(Firms!$J$5:$J$1004,$O667)="","—",INDEX(Firms!$J$5:$J$1004,$O667)))</f>
        <v/>
      </c>
      <c r="K667" s="50">
        <f>IF($O667="","",IF(INDEX(Firms!$K$5:$K$1004,$O667)="","—",INDEX(Firms!$K$5:$K$1004,$O667)))</f>
        <v/>
      </c>
      <c r="L667" s="50">
        <f>IF($O667="","",IF(INDEX(Firms!$L$5:$L$1004,$O667)="","—",INDEX(Firms!$L$5:$L$1004,$O667)))</f>
        <v/>
      </c>
      <c r="M667" s="50">
        <f>IF($O667="","",IF(INDEX(Firms!$M$5:$M$1004,$O667)="","—",INDEX(Firms!$M$5:$M$1004,$O667)))</f>
        <v/>
      </c>
      <c r="O667">
        <f>IFERROR(MATCH(SMALL(Firms!$Y$5:$Y$1004,659),Firms!$W$5:$W$1004,0),"")</f>
        <v/>
      </c>
    </row>
    <row r="668">
      <c r="B668" s="78">
        <f>IF($O668="","",INDEX(Firms!$A$5:$A$1004,$O668))</f>
        <v/>
      </c>
      <c r="C668" s="79">
        <f>IF($O668="","",INDEX(Firms!$N$5:$N$1004,$O668)&amp;"")</f>
        <v/>
      </c>
      <c r="D668" s="79">
        <f>IF($O668="","",INDEX(Firms!$P$5:$P$1004,$O668)&amp;"")</f>
        <v/>
      </c>
      <c r="E668" s="79">
        <f>IF($O668="","",INDEX(Firms!$O$5:$O$1004,$O668)&amp;"")</f>
        <v/>
      </c>
      <c r="F668" s="50">
        <f>IF($O668="","",IF(INDEX(Firms!$F$5:$F$1004,$O668)="","—",INDEX(Firms!$F$5:$F$1004,$O668)))</f>
        <v/>
      </c>
      <c r="G668" s="50">
        <f>IF($O668="","",IF(INDEX(Firms!$G$5:$G$1004,$O668)="","—",INDEX(Firms!$G$5:$G$1004,$O668)))</f>
        <v/>
      </c>
      <c r="H668" s="50">
        <f>IF($O668="","",IF(INDEX(Firms!$H$5:$H$1004,$O668)="","—",INDEX(Firms!$H$5:$H$1004,$O668)))</f>
        <v/>
      </c>
      <c r="I668" s="50">
        <f>IF($O668="","",IF(INDEX(Firms!$I$5:$I$1004,$O668)="","—",INDEX(Firms!$I$5:$I$1004,$O668)))</f>
        <v/>
      </c>
      <c r="J668" s="50">
        <f>IF($O668="","",IF(INDEX(Firms!$J$5:$J$1004,$O668)="","—",INDEX(Firms!$J$5:$J$1004,$O668)))</f>
        <v/>
      </c>
      <c r="K668" s="50">
        <f>IF($O668="","",IF(INDEX(Firms!$K$5:$K$1004,$O668)="","—",INDEX(Firms!$K$5:$K$1004,$O668)))</f>
        <v/>
      </c>
      <c r="L668" s="50">
        <f>IF($O668="","",IF(INDEX(Firms!$L$5:$L$1004,$O668)="","—",INDEX(Firms!$L$5:$L$1004,$O668)))</f>
        <v/>
      </c>
      <c r="M668" s="50">
        <f>IF($O668="","",IF(INDEX(Firms!$M$5:$M$1004,$O668)="","—",INDEX(Firms!$M$5:$M$1004,$O668)))</f>
        <v/>
      </c>
      <c r="O668">
        <f>IFERROR(MATCH(SMALL(Firms!$Y$5:$Y$1004,660),Firms!$W$5:$W$1004,0),"")</f>
        <v/>
      </c>
    </row>
    <row r="669">
      <c r="B669" s="78">
        <f>IF($O669="","",INDEX(Firms!$A$5:$A$1004,$O669))</f>
        <v/>
      </c>
      <c r="C669" s="79">
        <f>IF($O669="","",INDEX(Firms!$N$5:$N$1004,$O669)&amp;"")</f>
        <v/>
      </c>
      <c r="D669" s="79">
        <f>IF($O669="","",INDEX(Firms!$P$5:$P$1004,$O669)&amp;"")</f>
        <v/>
      </c>
      <c r="E669" s="79">
        <f>IF($O669="","",INDEX(Firms!$O$5:$O$1004,$O669)&amp;"")</f>
        <v/>
      </c>
      <c r="F669" s="50">
        <f>IF($O669="","",IF(INDEX(Firms!$F$5:$F$1004,$O669)="","—",INDEX(Firms!$F$5:$F$1004,$O669)))</f>
        <v/>
      </c>
      <c r="G669" s="50">
        <f>IF($O669="","",IF(INDEX(Firms!$G$5:$G$1004,$O669)="","—",INDEX(Firms!$G$5:$G$1004,$O669)))</f>
        <v/>
      </c>
      <c r="H669" s="50">
        <f>IF($O669="","",IF(INDEX(Firms!$H$5:$H$1004,$O669)="","—",INDEX(Firms!$H$5:$H$1004,$O669)))</f>
        <v/>
      </c>
      <c r="I669" s="50">
        <f>IF($O669="","",IF(INDEX(Firms!$I$5:$I$1004,$O669)="","—",INDEX(Firms!$I$5:$I$1004,$O669)))</f>
        <v/>
      </c>
      <c r="J669" s="50">
        <f>IF($O669="","",IF(INDEX(Firms!$J$5:$J$1004,$O669)="","—",INDEX(Firms!$J$5:$J$1004,$O669)))</f>
        <v/>
      </c>
      <c r="K669" s="50">
        <f>IF($O669="","",IF(INDEX(Firms!$K$5:$K$1004,$O669)="","—",INDEX(Firms!$K$5:$K$1004,$O669)))</f>
        <v/>
      </c>
      <c r="L669" s="50">
        <f>IF($O669="","",IF(INDEX(Firms!$L$5:$L$1004,$O669)="","—",INDEX(Firms!$L$5:$L$1004,$O669)))</f>
        <v/>
      </c>
      <c r="M669" s="50">
        <f>IF($O669="","",IF(INDEX(Firms!$M$5:$M$1004,$O669)="","—",INDEX(Firms!$M$5:$M$1004,$O669)))</f>
        <v/>
      </c>
      <c r="O669">
        <f>IFERROR(MATCH(SMALL(Firms!$Y$5:$Y$1004,661),Firms!$W$5:$W$1004,0),"")</f>
        <v/>
      </c>
    </row>
    <row r="670">
      <c r="B670" s="78">
        <f>IF($O670="","",INDEX(Firms!$A$5:$A$1004,$O670))</f>
        <v/>
      </c>
      <c r="C670" s="79">
        <f>IF($O670="","",INDEX(Firms!$N$5:$N$1004,$O670)&amp;"")</f>
        <v/>
      </c>
      <c r="D670" s="79">
        <f>IF($O670="","",INDEX(Firms!$P$5:$P$1004,$O670)&amp;"")</f>
        <v/>
      </c>
      <c r="E670" s="79">
        <f>IF($O670="","",INDEX(Firms!$O$5:$O$1004,$O670)&amp;"")</f>
        <v/>
      </c>
      <c r="F670" s="50">
        <f>IF($O670="","",IF(INDEX(Firms!$F$5:$F$1004,$O670)="","—",INDEX(Firms!$F$5:$F$1004,$O670)))</f>
        <v/>
      </c>
      <c r="G670" s="50">
        <f>IF($O670="","",IF(INDEX(Firms!$G$5:$G$1004,$O670)="","—",INDEX(Firms!$G$5:$G$1004,$O670)))</f>
        <v/>
      </c>
      <c r="H670" s="50">
        <f>IF($O670="","",IF(INDEX(Firms!$H$5:$H$1004,$O670)="","—",INDEX(Firms!$H$5:$H$1004,$O670)))</f>
        <v/>
      </c>
      <c r="I670" s="50">
        <f>IF($O670="","",IF(INDEX(Firms!$I$5:$I$1004,$O670)="","—",INDEX(Firms!$I$5:$I$1004,$O670)))</f>
        <v/>
      </c>
      <c r="J670" s="50">
        <f>IF($O670="","",IF(INDEX(Firms!$J$5:$J$1004,$O670)="","—",INDEX(Firms!$J$5:$J$1004,$O670)))</f>
        <v/>
      </c>
      <c r="K670" s="50">
        <f>IF($O670="","",IF(INDEX(Firms!$K$5:$K$1004,$O670)="","—",INDEX(Firms!$K$5:$K$1004,$O670)))</f>
        <v/>
      </c>
      <c r="L670" s="50">
        <f>IF($O670="","",IF(INDEX(Firms!$L$5:$L$1004,$O670)="","—",INDEX(Firms!$L$5:$L$1004,$O670)))</f>
        <v/>
      </c>
      <c r="M670" s="50">
        <f>IF($O670="","",IF(INDEX(Firms!$M$5:$M$1004,$O670)="","—",INDEX(Firms!$M$5:$M$1004,$O670)))</f>
        <v/>
      </c>
      <c r="O670">
        <f>IFERROR(MATCH(SMALL(Firms!$Y$5:$Y$1004,662),Firms!$W$5:$W$1004,0),"")</f>
        <v/>
      </c>
    </row>
    <row r="671">
      <c r="B671" s="78">
        <f>IF($O671="","",INDEX(Firms!$A$5:$A$1004,$O671))</f>
        <v/>
      </c>
      <c r="C671" s="79">
        <f>IF($O671="","",INDEX(Firms!$N$5:$N$1004,$O671)&amp;"")</f>
        <v/>
      </c>
      <c r="D671" s="79">
        <f>IF($O671="","",INDEX(Firms!$P$5:$P$1004,$O671)&amp;"")</f>
        <v/>
      </c>
      <c r="E671" s="79">
        <f>IF($O671="","",INDEX(Firms!$O$5:$O$1004,$O671)&amp;"")</f>
        <v/>
      </c>
      <c r="F671" s="50">
        <f>IF($O671="","",IF(INDEX(Firms!$F$5:$F$1004,$O671)="","—",INDEX(Firms!$F$5:$F$1004,$O671)))</f>
        <v/>
      </c>
      <c r="G671" s="50">
        <f>IF($O671="","",IF(INDEX(Firms!$G$5:$G$1004,$O671)="","—",INDEX(Firms!$G$5:$G$1004,$O671)))</f>
        <v/>
      </c>
      <c r="H671" s="50">
        <f>IF($O671="","",IF(INDEX(Firms!$H$5:$H$1004,$O671)="","—",INDEX(Firms!$H$5:$H$1004,$O671)))</f>
        <v/>
      </c>
      <c r="I671" s="50">
        <f>IF($O671="","",IF(INDEX(Firms!$I$5:$I$1004,$O671)="","—",INDEX(Firms!$I$5:$I$1004,$O671)))</f>
        <v/>
      </c>
      <c r="J671" s="50">
        <f>IF($O671="","",IF(INDEX(Firms!$J$5:$J$1004,$O671)="","—",INDEX(Firms!$J$5:$J$1004,$O671)))</f>
        <v/>
      </c>
      <c r="K671" s="50">
        <f>IF($O671="","",IF(INDEX(Firms!$K$5:$K$1004,$O671)="","—",INDEX(Firms!$K$5:$K$1004,$O671)))</f>
        <v/>
      </c>
      <c r="L671" s="50">
        <f>IF($O671="","",IF(INDEX(Firms!$L$5:$L$1004,$O671)="","—",INDEX(Firms!$L$5:$L$1004,$O671)))</f>
        <v/>
      </c>
      <c r="M671" s="50">
        <f>IF($O671="","",IF(INDEX(Firms!$M$5:$M$1004,$O671)="","—",INDEX(Firms!$M$5:$M$1004,$O671)))</f>
        <v/>
      </c>
      <c r="O671">
        <f>IFERROR(MATCH(SMALL(Firms!$Y$5:$Y$1004,663),Firms!$W$5:$W$1004,0),"")</f>
        <v/>
      </c>
    </row>
    <row r="672">
      <c r="B672" s="78">
        <f>IF($O672="","",INDEX(Firms!$A$5:$A$1004,$O672))</f>
        <v/>
      </c>
      <c r="C672" s="79">
        <f>IF($O672="","",INDEX(Firms!$N$5:$N$1004,$O672)&amp;"")</f>
        <v/>
      </c>
      <c r="D672" s="79">
        <f>IF($O672="","",INDEX(Firms!$P$5:$P$1004,$O672)&amp;"")</f>
        <v/>
      </c>
      <c r="E672" s="79">
        <f>IF($O672="","",INDEX(Firms!$O$5:$O$1004,$O672)&amp;"")</f>
        <v/>
      </c>
      <c r="F672" s="50">
        <f>IF($O672="","",IF(INDEX(Firms!$F$5:$F$1004,$O672)="","—",INDEX(Firms!$F$5:$F$1004,$O672)))</f>
        <v/>
      </c>
      <c r="G672" s="50">
        <f>IF($O672="","",IF(INDEX(Firms!$G$5:$G$1004,$O672)="","—",INDEX(Firms!$G$5:$G$1004,$O672)))</f>
        <v/>
      </c>
      <c r="H672" s="50">
        <f>IF($O672="","",IF(INDEX(Firms!$H$5:$H$1004,$O672)="","—",INDEX(Firms!$H$5:$H$1004,$O672)))</f>
        <v/>
      </c>
      <c r="I672" s="50">
        <f>IF($O672="","",IF(INDEX(Firms!$I$5:$I$1004,$O672)="","—",INDEX(Firms!$I$5:$I$1004,$O672)))</f>
        <v/>
      </c>
      <c r="J672" s="50">
        <f>IF($O672="","",IF(INDEX(Firms!$J$5:$J$1004,$O672)="","—",INDEX(Firms!$J$5:$J$1004,$O672)))</f>
        <v/>
      </c>
      <c r="K672" s="50">
        <f>IF($O672="","",IF(INDEX(Firms!$K$5:$K$1004,$O672)="","—",INDEX(Firms!$K$5:$K$1004,$O672)))</f>
        <v/>
      </c>
      <c r="L672" s="50">
        <f>IF($O672="","",IF(INDEX(Firms!$L$5:$L$1004,$O672)="","—",INDEX(Firms!$L$5:$L$1004,$O672)))</f>
        <v/>
      </c>
      <c r="M672" s="50">
        <f>IF($O672="","",IF(INDEX(Firms!$M$5:$M$1004,$O672)="","—",INDEX(Firms!$M$5:$M$1004,$O672)))</f>
        <v/>
      </c>
      <c r="O672">
        <f>IFERROR(MATCH(SMALL(Firms!$Y$5:$Y$1004,664),Firms!$W$5:$W$1004,0),"")</f>
        <v/>
      </c>
    </row>
    <row r="673">
      <c r="B673" s="78">
        <f>IF($O673="","",INDEX(Firms!$A$5:$A$1004,$O673))</f>
        <v/>
      </c>
      <c r="C673" s="79">
        <f>IF($O673="","",INDEX(Firms!$N$5:$N$1004,$O673)&amp;"")</f>
        <v/>
      </c>
      <c r="D673" s="79">
        <f>IF($O673="","",INDEX(Firms!$P$5:$P$1004,$O673)&amp;"")</f>
        <v/>
      </c>
      <c r="E673" s="79">
        <f>IF($O673="","",INDEX(Firms!$O$5:$O$1004,$O673)&amp;"")</f>
        <v/>
      </c>
      <c r="F673" s="50">
        <f>IF($O673="","",IF(INDEX(Firms!$F$5:$F$1004,$O673)="","—",INDEX(Firms!$F$5:$F$1004,$O673)))</f>
        <v/>
      </c>
      <c r="G673" s="50">
        <f>IF($O673="","",IF(INDEX(Firms!$G$5:$G$1004,$O673)="","—",INDEX(Firms!$G$5:$G$1004,$O673)))</f>
        <v/>
      </c>
      <c r="H673" s="50">
        <f>IF($O673="","",IF(INDEX(Firms!$H$5:$H$1004,$O673)="","—",INDEX(Firms!$H$5:$H$1004,$O673)))</f>
        <v/>
      </c>
      <c r="I673" s="50">
        <f>IF($O673="","",IF(INDEX(Firms!$I$5:$I$1004,$O673)="","—",INDEX(Firms!$I$5:$I$1004,$O673)))</f>
        <v/>
      </c>
      <c r="J673" s="50">
        <f>IF($O673="","",IF(INDEX(Firms!$J$5:$J$1004,$O673)="","—",INDEX(Firms!$J$5:$J$1004,$O673)))</f>
        <v/>
      </c>
      <c r="K673" s="50">
        <f>IF($O673="","",IF(INDEX(Firms!$K$5:$K$1004,$O673)="","—",INDEX(Firms!$K$5:$K$1004,$O673)))</f>
        <v/>
      </c>
      <c r="L673" s="50">
        <f>IF($O673="","",IF(INDEX(Firms!$L$5:$L$1004,$O673)="","—",INDEX(Firms!$L$5:$L$1004,$O673)))</f>
        <v/>
      </c>
      <c r="M673" s="50">
        <f>IF($O673="","",IF(INDEX(Firms!$M$5:$M$1004,$O673)="","—",INDEX(Firms!$M$5:$M$1004,$O673)))</f>
        <v/>
      </c>
      <c r="O673">
        <f>IFERROR(MATCH(SMALL(Firms!$Y$5:$Y$1004,665),Firms!$W$5:$W$1004,0),"")</f>
        <v/>
      </c>
    </row>
    <row r="674">
      <c r="B674" s="78">
        <f>IF($O674="","",INDEX(Firms!$A$5:$A$1004,$O674))</f>
        <v/>
      </c>
      <c r="C674" s="79">
        <f>IF($O674="","",INDEX(Firms!$N$5:$N$1004,$O674)&amp;"")</f>
        <v/>
      </c>
      <c r="D674" s="79">
        <f>IF($O674="","",INDEX(Firms!$P$5:$P$1004,$O674)&amp;"")</f>
        <v/>
      </c>
      <c r="E674" s="79">
        <f>IF($O674="","",INDEX(Firms!$O$5:$O$1004,$O674)&amp;"")</f>
        <v/>
      </c>
      <c r="F674" s="50">
        <f>IF($O674="","",IF(INDEX(Firms!$F$5:$F$1004,$O674)="","—",INDEX(Firms!$F$5:$F$1004,$O674)))</f>
        <v/>
      </c>
      <c r="G674" s="50">
        <f>IF($O674="","",IF(INDEX(Firms!$G$5:$G$1004,$O674)="","—",INDEX(Firms!$G$5:$G$1004,$O674)))</f>
        <v/>
      </c>
      <c r="H674" s="50">
        <f>IF($O674="","",IF(INDEX(Firms!$H$5:$H$1004,$O674)="","—",INDEX(Firms!$H$5:$H$1004,$O674)))</f>
        <v/>
      </c>
      <c r="I674" s="50">
        <f>IF($O674="","",IF(INDEX(Firms!$I$5:$I$1004,$O674)="","—",INDEX(Firms!$I$5:$I$1004,$O674)))</f>
        <v/>
      </c>
      <c r="J674" s="50">
        <f>IF($O674="","",IF(INDEX(Firms!$J$5:$J$1004,$O674)="","—",INDEX(Firms!$J$5:$J$1004,$O674)))</f>
        <v/>
      </c>
      <c r="K674" s="50">
        <f>IF($O674="","",IF(INDEX(Firms!$K$5:$K$1004,$O674)="","—",INDEX(Firms!$K$5:$K$1004,$O674)))</f>
        <v/>
      </c>
      <c r="L674" s="50">
        <f>IF($O674="","",IF(INDEX(Firms!$L$5:$L$1004,$O674)="","—",INDEX(Firms!$L$5:$L$1004,$O674)))</f>
        <v/>
      </c>
      <c r="M674" s="50">
        <f>IF($O674="","",IF(INDEX(Firms!$M$5:$M$1004,$O674)="","—",INDEX(Firms!$M$5:$M$1004,$O674)))</f>
        <v/>
      </c>
      <c r="O674">
        <f>IFERROR(MATCH(SMALL(Firms!$Y$5:$Y$1004,666),Firms!$W$5:$W$1004,0),"")</f>
        <v/>
      </c>
    </row>
    <row r="675">
      <c r="B675" s="78">
        <f>IF($O675="","",INDEX(Firms!$A$5:$A$1004,$O675))</f>
        <v/>
      </c>
      <c r="C675" s="79">
        <f>IF($O675="","",INDEX(Firms!$N$5:$N$1004,$O675)&amp;"")</f>
        <v/>
      </c>
      <c r="D675" s="79">
        <f>IF($O675="","",INDEX(Firms!$P$5:$P$1004,$O675)&amp;"")</f>
        <v/>
      </c>
      <c r="E675" s="79">
        <f>IF($O675="","",INDEX(Firms!$O$5:$O$1004,$O675)&amp;"")</f>
        <v/>
      </c>
      <c r="F675" s="50">
        <f>IF($O675="","",IF(INDEX(Firms!$F$5:$F$1004,$O675)="","—",INDEX(Firms!$F$5:$F$1004,$O675)))</f>
        <v/>
      </c>
      <c r="G675" s="50">
        <f>IF($O675="","",IF(INDEX(Firms!$G$5:$G$1004,$O675)="","—",INDEX(Firms!$G$5:$G$1004,$O675)))</f>
        <v/>
      </c>
      <c r="H675" s="50">
        <f>IF($O675="","",IF(INDEX(Firms!$H$5:$H$1004,$O675)="","—",INDEX(Firms!$H$5:$H$1004,$O675)))</f>
        <v/>
      </c>
      <c r="I675" s="50">
        <f>IF($O675="","",IF(INDEX(Firms!$I$5:$I$1004,$O675)="","—",INDEX(Firms!$I$5:$I$1004,$O675)))</f>
        <v/>
      </c>
      <c r="J675" s="50">
        <f>IF($O675="","",IF(INDEX(Firms!$J$5:$J$1004,$O675)="","—",INDEX(Firms!$J$5:$J$1004,$O675)))</f>
        <v/>
      </c>
      <c r="K675" s="50">
        <f>IF($O675="","",IF(INDEX(Firms!$K$5:$K$1004,$O675)="","—",INDEX(Firms!$K$5:$K$1004,$O675)))</f>
        <v/>
      </c>
      <c r="L675" s="50">
        <f>IF($O675="","",IF(INDEX(Firms!$L$5:$L$1004,$O675)="","—",INDEX(Firms!$L$5:$L$1004,$O675)))</f>
        <v/>
      </c>
      <c r="M675" s="50">
        <f>IF($O675="","",IF(INDEX(Firms!$M$5:$M$1004,$O675)="","—",INDEX(Firms!$M$5:$M$1004,$O675)))</f>
        <v/>
      </c>
      <c r="O675">
        <f>IFERROR(MATCH(SMALL(Firms!$Y$5:$Y$1004,667),Firms!$W$5:$W$1004,0),"")</f>
        <v/>
      </c>
    </row>
    <row r="676">
      <c r="B676" s="78">
        <f>IF($O676="","",INDEX(Firms!$A$5:$A$1004,$O676))</f>
        <v/>
      </c>
      <c r="C676" s="79">
        <f>IF($O676="","",INDEX(Firms!$N$5:$N$1004,$O676)&amp;"")</f>
        <v/>
      </c>
      <c r="D676" s="79">
        <f>IF($O676="","",INDEX(Firms!$P$5:$P$1004,$O676)&amp;"")</f>
        <v/>
      </c>
      <c r="E676" s="79">
        <f>IF($O676="","",INDEX(Firms!$O$5:$O$1004,$O676)&amp;"")</f>
        <v/>
      </c>
      <c r="F676" s="50">
        <f>IF($O676="","",IF(INDEX(Firms!$F$5:$F$1004,$O676)="","—",INDEX(Firms!$F$5:$F$1004,$O676)))</f>
        <v/>
      </c>
      <c r="G676" s="50">
        <f>IF($O676="","",IF(INDEX(Firms!$G$5:$G$1004,$O676)="","—",INDEX(Firms!$G$5:$G$1004,$O676)))</f>
        <v/>
      </c>
      <c r="H676" s="50">
        <f>IF($O676="","",IF(INDEX(Firms!$H$5:$H$1004,$O676)="","—",INDEX(Firms!$H$5:$H$1004,$O676)))</f>
        <v/>
      </c>
      <c r="I676" s="50">
        <f>IF($O676="","",IF(INDEX(Firms!$I$5:$I$1004,$O676)="","—",INDEX(Firms!$I$5:$I$1004,$O676)))</f>
        <v/>
      </c>
      <c r="J676" s="50">
        <f>IF($O676="","",IF(INDEX(Firms!$J$5:$J$1004,$O676)="","—",INDEX(Firms!$J$5:$J$1004,$O676)))</f>
        <v/>
      </c>
      <c r="K676" s="50">
        <f>IF($O676="","",IF(INDEX(Firms!$K$5:$K$1004,$O676)="","—",INDEX(Firms!$K$5:$K$1004,$O676)))</f>
        <v/>
      </c>
      <c r="L676" s="50">
        <f>IF($O676="","",IF(INDEX(Firms!$L$5:$L$1004,$O676)="","—",INDEX(Firms!$L$5:$L$1004,$O676)))</f>
        <v/>
      </c>
      <c r="M676" s="50">
        <f>IF($O676="","",IF(INDEX(Firms!$M$5:$M$1004,$O676)="","—",INDEX(Firms!$M$5:$M$1004,$O676)))</f>
        <v/>
      </c>
      <c r="O676">
        <f>IFERROR(MATCH(SMALL(Firms!$Y$5:$Y$1004,668),Firms!$W$5:$W$1004,0),"")</f>
        <v/>
      </c>
    </row>
    <row r="677">
      <c r="B677" s="78">
        <f>IF($O677="","",INDEX(Firms!$A$5:$A$1004,$O677))</f>
        <v/>
      </c>
      <c r="C677" s="79">
        <f>IF($O677="","",INDEX(Firms!$N$5:$N$1004,$O677)&amp;"")</f>
        <v/>
      </c>
      <c r="D677" s="79">
        <f>IF($O677="","",INDEX(Firms!$P$5:$P$1004,$O677)&amp;"")</f>
        <v/>
      </c>
      <c r="E677" s="79">
        <f>IF($O677="","",INDEX(Firms!$O$5:$O$1004,$O677)&amp;"")</f>
        <v/>
      </c>
      <c r="F677" s="50">
        <f>IF($O677="","",IF(INDEX(Firms!$F$5:$F$1004,$O677)="","—",INDEX(Firms!$F$5:$F$1004,$O677)))</f>
        <v/>
      </c>
      <c r="G677" s="50">
        <f>IF($O677="","",IF(INDEX(Firms!$G$5:$G$1004,$O677)="","—",INDEX(Firms!$G$5:$G$1004,$O677)))</f>
        <v/>
      </c>
      <c r="H677" s="50">
        <f>IF($O677="","",IF(INDEX(Firms!$H$5:$H$1004,$O677)="","—",INDEX(Firms!$H$5:$H$1004,$O677)))</f>
        <v/>
      </c>
      <c r="I677" s="50">
        <f>IF($O677="","",IF(INDEX(Firms!$I$5:$I$1004,$O677)="","—",INDEX(Firms!$I$5:$I$1004,$O677)))</f>
        <v/>
      </c>
      <c r="J677" s="50">
        <f>IF($O677="","",IF(INDEX(Firms!$J$5:$J$1004,$O677)="","—",INDEX(Firms!$J$5:$J$1004,$O677)))</f>
        <v/>
      </c>
      <c r="K677" s="50">
        <f>IF($O677="","",IF(INDEX(Firms!$K$5:$K$1004,$O677)="","—",INDEX(Firms!$K$5:$K$1004,$O677)))</f>
        <v/>
      </c>
      <c r="L677" s="50">
        <f>IF($O677="","",IF(INDEX(Firms!$L$5:$L$1004,$O677)="","—",INDEX(Firms!$L$5:$L$1004,$O677)))</f>
        <v/>
      </c>
      <c r="M677" s="50">
        <f>IF($O677="","",IF(INDEX(Firms!$M$5:$M$1004,$O677)="","—",INDEX(Firms!$M$5:$M$1004,$O677)))</f>
        <v/>
      </c>
      <c r="O677">
        <f>IFERROR(MATCH(SMALL(Firms!$Y$5:$Y$1004,669),Firms!$W$5:$W$1004,0),"")</f>
        <v/>
      </c>
    </row>
    <row r="678">
      <c r="B678" s="78">
        <f>IF($O678="","",INDEX(Firms!$A$5:$A$1004,$O678))</f>
        <v/>
      </c>
      <c r="C678" s="79">
        <f>IF($O678="","",INDEX(Firms!$N$5:$N$1004,$O678)&amp;"")</f>
        <v/>
      </c>
      <c r="D678" s="79">
        <f>IF($O678="","",INDEX(Firms!$P$5:$P$1004,$O678)&amp;"")</f>
        <v/>
      </c>
      <c r="E678" s="79">
        <f>IF($O678="","",INDEX(Firms!$O$5:$O$1004,$O678)&amp;"")</f>
        <v/>
      </c>
      <c r="F678" s="50">
        <f>IF($O678="","",IF(INDEX(Firms!$F$5:$F$1004,$O678)="","—",INDEX(Firms!$F$5:$F$1004,$O678)))</f>
        <v/>
      </c>
      <c r="G678" s="50">
        <f>IF($O678="","",IF(INDEX(Firms!$G$5:$G$1004,$O678)="","—",INDEX(Firms!$G$5:$G$1004,$O678)))</f>
        <v/>
      </c>
      <c r="H678" s="50">
        <f>IF($O678="","",IF(INDEX(Firms!$H$5:$H$1004,$O678)="","—",INDEX(Firms!$H$5:$H$1004,$O678)))</f>
        <v/>
      </c>
      <c r="I678" s="50">
        <f>IF($O678="","",IF(INDEX(Firms!$I$5:$I$1004,$O678)="","—",INDEX(Firms!$I$5:$I$1004,$O678)))</f>
        <v/>
      </c>
      <c r="J678" s="50">
        <f>IF($O678="","",IF(INDEX(Firms!$J$5:$J$1004,$O678)="","—",INDEX(Firms!$J$5:$J$1004,$O678)))</f>
        <v/>
      </c>
      <c r="K678" s="50">
        <f>IF($O678="","",IF(INDEX(Firms!$K$5:$K$1004,$O678)="","—",INDEX(Firms!$K$5:$K$1004,$O678)))</f>
        <v/>
      </c>
      <c r="L678" s="50">
        <f>IF($O678="","",IF(INDEX(Firms!$L$5:$L$1004,$O678)="","—",INDEX(Firms!$L$5:$L$1004,$O678)))</f>
        <v/>
      </c>
      <c r="M678" s="50">
        <f>IF($O678="","",IF(INDEX(Firms!$M$5:$M$1004,$O678)="","—",INDEX(Firms!$M$5:$M$1004,$O678)))</f>
        <v/>
      </c>
      <c r="O678">
        <f>IFERROR(MATCH(SMALL(Firms!$Y$5:$Y$1004,670),Firms!$W$5:$W$1004,0),"")</f>
        <v/>
      </c>
    </row>
    <row r="679">
      <c r="B679" s="78">
        <f>IF($O679="","",INDEX(Firms!$A$5:$A$1004,$O679))</f>
        <v/>
      </c>
      <c r="C679" s="79">
        <f>IF($O679="","",INDEX(Firms!$N$5:$N$1004,$O679)&amp;"")</f>
        <v/>
      </c>
      <c r="D679" s="79">
        <f>IF($O679="","",INDEX(Firms!$P$5:$P$1004,$O679)&amp;"")</f>
        <v/>
      </c>
      <c r="E679" s="79">
        <f>IF($O679="","",INDEX(Firms!$O$5:$O$1004,$O679)&amp;"")</f>
        <v/>
      </c>
      <c r="F679" s="50">
        <f>IF($O679="","",IF(INDEX(Firms!$F$5:$F$1004,$O679)="","—",INDEX(Firms!$F$5:$F$1004,$O679)))</f>
        <v/>
      </c>
      <c r="G679" s="50">
        <f>IF($O679="","",IF(INDEX(Firms!$G$5:$G$1004,$O679)="","—",INDEX(Firms!$G$5:$G$1004,$O679)))</f>
        <v/>
      </c>
      <c r="H679" s="50">
        <f>IF($O679="","",IF(INDEX(Firms!$H$5:$H$1004,$O679)="","—",INDEX(Firms!$H$5:$H$1004,$O679)))</f>
        <v/>
      </c>
      <c r="I679" s="50">
        <f>IF($O679="","",IF(INDEX(Firms!$I$5:$I$1004,$O679)="","—",INDEX(Firms!$I$5:$I$1004,$O679)))</f>
        <v/>
      </c>
      <c r="J679" s="50">
        <f>IF($O679="","",IF(INDEX(Firms!$J$5:$J$1004,$O679)="","—",INDEX(Firms!$J$5:$J$1004,$O679)))</f>
        <v/>
      </c>
      <c r="K679" s="50">
        <f>IF($O679="","",IF(INDEX(Firms!$K$5:$K$1004,$O679)="","—",INDEX(Firms!$K$5:$K$1004,$O679)))</f>
        <v/>
      </c>
      <c r="L679" s="50">
        <f>IF($O679="","",IF(INDEX(Firms!$L$5:$L$1004,$O679)="","—",INDEX(Firms!$L$5:$L$1004,$O679)))</f>
        <v/>
      </c>
      <c r="M679" s="50">
        <f>IF($O679="","",IF(INDEX(Firms!$M$5:$M$1004,$O679)="","—",INDEX(Firms!$M$5:$M$1004,$O679)))</f>
        <v/>
      </c>
      <c r="O679">
        <f>IFERROR(MATCH(SMALL(Firms!$Y$5:$Y$1004,671),Firms!$W$5:$W$1004,0),"")</f>
        <v/>
      </c>
    </row>
    <row r="680">
      <c r="B680" s="78">
        <f>IF($O680="","",INDEX(Firms!$A$5:$A$1004,$O680))</f>
        <v/>
      </c>
      <c r="C680" s="79">
        <f>IF($O680="","",INDEX(Firms!$N$5:$N$1004,$O680)&amp;"")</f>
        <v/>
      </c>
      <c r="D680" s="79">
        <f>IF($O680="","",INDEX(Firms!$P$5:$P$1004,$O680)&amp;"")</f>
        <v/>
      </c>
      <c r="E680" s="79">
        <f>IF($O680="","",INDEX(Firms!$O$5:$O$1004,$O680)&amp;"")</f>
        <v/>
      </c>
      <c r="F680" s="50">
        <f>IF($O680="","",IF(INDEX(Firms!$F$5:$F$1004,$O680)="","—",INDEX(Firms!$F$5:$F$1004,$O680)))</f>
        <v/>
      </c>
      <c r="G680" s="50">
        <f>IF($O680="","",IF(INDEX(Firms!$G$5:$G$1004,$O680)="","—",INDEX(Firms!$G$5:$G$1004,$O680)))</f>
        <v/>
      </c>
      <c r="H680" s="50">
        <f>IF($O680="","",IF(INDEX(Firms!$H$5:$H$1004,$O680)="","—",INDEX(Firms!$H$5:$H$1004,$O680)))</f>
        <v/>
      </c>
      <c r="I680" s="50">
        <f>IF($O680="","",IF(INDEX(Firms!$I$5:$I$1004,$O680)="","—",INDEX(Firms!$I$5:$I$1004,$O680)))</f>
        <v/>
      </c>
      <c r="J680" s="50">
        <f>IF($O680="","",IF(INDEX(Firms!$J$5:$J$1004,$O680)="","—",INDEX(Firms!$J$5:$J$1004,$O680)))</f>
        <v/>
      </c>
      <c r="K680" s="50">
        <f>IF($O680="","",IF(INDEX(Firms!$K$5:$K$1004,$O680)="","—",INDEX(Firms!$K$5:$K$1004,$O680)))</f>
        <v/>
      </c>
      <c r="L680" s="50">
        <f>IF($O680="","",IF(INDEX(Firms!$L$5:$L$1004,$O680)="","—",INDEX(Firms!$L$5:$L$1004,$O680)))</f>
        <v/>
      </c>
      <c r="M680" s="50">
        <f>IF($O680="","",IF(INDEX(Firms!$M$5:$M$1004,$O680)="","—",INDEX(Firms!$M$5:$M$1004,$O680)))</f>
        <v/>
      </c>
      <c r="O680">
        <f>IFERROR(MATCH(SMALL(Firms!$Y$5:$Y$1004,672),Firms!$W$5:$W$1004,0),"")</f>
        <v/>
      </c>
    </row>
    <row r="681">
      <c r="B681" s="78">
        <f>IF($O681="","",INDEX(Firms!$A$5:$A$1004,$O681))</f>
        <v/>
      </c>
      <c r="C681" s="79">
        <f>IF($O681="","",INDEX(Firms!$N$5:$N$1004,$O681)&amp;"")</f>
        <v/>
      </c>
      <c r="D681" s="79">
        <f>IF($O681="","",INDEX(Firms!$P$5:$P$1004,$O681)&amp;"")</f>
        <v/>
      </c>
      <c r="E681" s="79">
        <f>IF($O681="","",INDEX(Firms!$O$5:$O$1004,$O681)&amp;"")</f>
        <v/>
      </c>
      <c r="F681" s="50">
        <f>IF($O681="","",IF(INDEX(Firms!$F$5:$F$1004,$O681)="","—",INDEX(Firms!$F$5:$F$1004,$O681)))</f>
        <v/>
      </c>
      <c r="G681" s="50">
        <f>IF($O681="","",IF(INDEX(Firms!$G$5:$G$1004,$O681)="","—",INDEX(Firms!$G$5:$G$1004,$O681)))</f>
        <v/>
      </c>
      <c r="H681" s="50">
        <f>IF($O681="","",IF(INDEX(Firms!$H$5:$H$1004,$O681)="","—",INDEX(Firms!$H$5:$H$1004,$O681)))</f>
        <v/>
      </c>
      <c r="I681" s="50">
        <f>IF($O681="","",IF(INDEX(Firms!$I$5:$I$1004,$O681)="","—",INDEX(Firms!$I$5:$I$1004,$O681)))</f>
        <v/>
      </c>
      <c r="J681" s="50">
        <f>IF($O681="","",IF(INDEX(Firms!$J$5:$J$1004,$O681)="","—",INDEX(Firms!$J$5:$J$1004,$O681)))</f>
        <v/>
      </c>
      <c r="K681" s="50">
        <f>IF($O681="","",IF(INDEX(Firms!$K$5:$K$1004,$O681)="","—",INDEX(Firms!$K$5:$K$1004,$O681)))</f>
        <v/>
      </c>
      <c r="L681" s="50">
        <f>IF($O681="","",IF(INDEX(Firms!$L$5:$L$1004,$O681)="","—",INDEX(Firms!$L$5:$L$1004,$O681)))</f>
        <v/>
      </c>
      <c r="M681" s="50">
        <f>IF($O681="","",IF(INDEX(Firms!$M$5:$M$1004,$O681)="","—",INDEX(Firms!$M$5:$M$1004,$O681)))</f>
        <v/>
      </c>
      <c r="O681">
        <f>IFERROR(MATCH(SMALL(Firms!$Y$5:$Y$1004,673),Firms!$W$5:$W$1004,0),"")</f>
        <v/>
      </c>
    </row>
    <row r="682">
      <c r="B682" s="78">
        <f>IF($O682="","",INDEX(Firms!$A$5:$A$1004,$O682))</f>
        <v/>
      </c>
      <c r="C682" s="79">
        <f>IF($O682="","",INDEX(Firms!$N$5:$N$1004,$O682)&amp;"")</f>
        <v/>
      </c>
      <c r="D682" s="79">
        <f>IF($O682="","",INDEX(Firms!$P$5:$P$1004,$O682)&amp;"")</f>
        <v/>
      </c>
      <c r="E682" s="79">
        <f>IF($O682="","",INDEX(Firms!$O$5:$O$1004,$O682)&amp;"")</f>
        <v/>
      </c>
      <c r="F682" s="50">
        <f>IF($O682="","",IF(INDEX(Firms!$F$5:$F$1004,$O682)="","—",INDEX(Firms!$F$5:$F$1004,$O682)))</f>
        <v/>
      </c>
      <c r="G682" s="50">
        <f>IF($O682="","",IF(INDEX(Firms!$G$5:$G$1004,$O682)="","—",INDEX(Firms!$G$5:$G$1004,$O682)))</f>
        <v/>
      </c>
      <c r="H682" s="50">
        <f>IF($O682="","",IF(INDEX(Firms!$H$5:$H$1004,$O682)="","—",INDEX(Firms!$H$5:$H$1004,$O682)))</f>
        <v/>
      </c>
      <c r="I682" s="50">
        <f>IF($O682="","",IF(INDEX(Firms!$I$5:$I$1004,$O682)="","—",INDEX(Firms!$I$5:$I$1004,$O682)))</f>
        <v/>
      </c>
      <c r="J682" s="50">
        <f>IF($O682="","",IF(INDEX(Firms!$J$5:$J$1004,$O682)="","—",INDEX(Firms!$J$5:$J$1004,$O682)))</f>
        <v/>
      </c>
      <c r="K682" s="50">
        <f>IF($O682="","",IF(INDEX(Firms!$K$5:$K$1004,$O682)="","—",INDEX(Firms!$K$5:$K$1004,$O682)))</f>
        <v/>
      </c>
      <c r="L682" s="50">
        <f>IF($O682="","",IF(INDEX(Firms!$L$5:$L$1004,$O682)="","—",INDEX(Firms!$L$5:$L$1004,$O682)))</f>
        <v/>
      </c>
      <c r="M682" s="50">
        <f>IF($O682="","",IF(INDEX(Firms!$M$5:$M$1004,$O682)="","—",INDEX(Firms!$M$5:$M$1004,$O682)))</f>
        <v/>
      </c>
      <c r="O682">
        <f>IFERROR(MATCH(SMALL(Firms!$Y$5:$Y$1004,674),Firms!$W$5:$W$1004,0),"")</f>
        <v/>
      </c>
    </row>
    <row r="683">
      <c r="B683" s="78">
        <f>IF($O683="","",INDEX(Firms!$A$5:$A$1004,$O683))</f>
        <v/>
      </c>
      <c r="C683" s="79">
        <f>IF($O683="","",INDEX(Firms!$N$5:$N$1004,$O683)&amp;"")</f>
        <v/>
      </c>
      <c r="D683" s="79">
        <f>IF($O683="","",INDEX(Firms!$P$5:$P$1004,$O683)&amp;"")</f>
        <v/>
      </c>
      <c r="E683" s="79">
        <f>IF($O683="","",INDEX(Firms!$O$5:$O$1004,$O683)&amp;"")</f>
        <v/>
      </c>
      <c r="F683" s="50">
        <f>IF($O683="","",IF(INDEX(Firms!$F$5:$F$1004,$O683)="","—",INDEX(Firms!$F$5:$F$1004,$O683)))</f>
        <v/>
      </c>
      <c r="G683" s="50">
        <f>IF($O683="","",IF(INDEX(Firms!$G$5:$G$1004,$O683)="","—",INDEX(Firms!$G$5:$G$1004,$O683)))</f>
        <v/>
      </c>
      <c r="H683" s="50">
        <f>IF($O683="","",IF(INDEX(Firms!$H$5:$H$1004,$O683)="","—",INDEX(Firms!$H$5:$H$1004,$O683)))</f>
        <v/>
      </c>
      <c r="I683" s="50">
        <f>IF($O683="","",IF(INDEX(Firms!$I$5:$I$1004,$O683)="","—",INDEX(Firms!$I$5:$I$1004,$O683)))</f>
        <v/>
      </c>
      <c r="J683" s="50">
        <f>IF($O683="","",IF(INDEX(Firms!$J$5:$J$1004,$O683)="","—",INDEX(Firms!$J$5:$J$1004,$O683)))</f>
        <v/>
      </c>
      <c r="K683" s="50">
        <f>IF($O683="","",IF(INDEX(Firms!$K$5:$K$1004,$O683)="","—",INDEX(Firms!$K$5:$K$1004,$O683)))</f>
        <v/>
      </c>
      <c r="L683" s="50">
        <f>IF($O683="","",IF(INDEX(Firms!$L$5:$L$1004,$O683)="","—",INDEX(Firms!$L$5:$L$1004,$O683)))</f>
        <v/>
      </c>
      <c r="M683" s="50">
        <f>IF($O683="","",IF(INDEX(Firms!$M$5:$M$1004,$O683)="","—",INDEX(Firms!$M$5:$M$1004,$O683)))</f>
        <v/>
      </c>
      <c r="O683">
        <f>IFERROR(MATCH(SMALL(Firms!$Y$5:$Y$1004,675),Firms!$W$5:$W$1004,0),"")</f>
        <v/>
      </c>
    </row>
    <row r="684">
      <c r="B684" s="78">
        <f>IF($O684="","",INDEX(Firms!$A$5:$A$1004,$O684))</f>
        <v/>
      </c>
      <c r="C684" s="79">
        <f>IF($O684="","",INDEX(Firms!$N$5:$N$1004,$O684)&amp;"")</f>
        <v/>
      </c>
      <c r="D684" s="79">
        <f>IF($O684="","",INDEX(Firms!$P$5:$P$1004,$O684)&amp;"")</f>
        <v/>
      </c>
      <c r="E684" s="79">
        <f>IF($O684="","",INDEX(Firms!$O$5:$O$1004,$O684)&amp;"")</f>
        <v/>
      </c>
      <c r="F684" s="50">
        <f>IF($O684="","",IF(INDEX(Firms!$F$5:$F$1004,$O684)="","—",INDEX(Firms!$F$5:$F$1004,$O684)))</f>
        <v/>
      </c>
      <c r="G684" s="50">
        <f>IF($O684="","",IF(INDEX(Firms!$G$5:$G$1004,$O684)="","—",INDEX(Firms!$G$5:$G$1004,$O684)))</f>
        <v/>
      </c>
      <c r="H684" s="50">
        <f>IF($O684="","",IF(INDEX(Firms!$H$5:$H$1004,$O684)="","—",INDEX(Firms!$H$5:$H$1004,$O684)))</f>
        <v/>
      </c>
      <c r="I684" s="50">
        <f>IF($O684="","",IF(INDEX(Firms!$I$5:$I$1004,$O684)="","—",INDEX(Firms!$I$5:$I$1004,$O684)))</f>
        <v/>
      </c>
      <c r="J684" s="50">
        <f>IF($O684="","",IF(INDEX(Firms!$J$5:$J$1004,$O684)="","—",INDEX(Firms!$J$5:$J$1004,$O684)))</f>
        <v/>
      </c>
      <c r="K684" s="50">
        <f>IF($O684="","",IF(INDEX(Firms!$K$5:$K$1004,$O684)="","—",INDEX(Firms!$K$5:$K$1004,$O684)))</f>
        <v/>
      </c>
      <c r="L684" s="50">
        <f>IF($O684="","",IF(INDEX(Firms!$L$5:$L$1004,$O684)="","—",INDEX(Firms!$L$5:$L$1004,$O684)))</f>
        <v/>
      </c>
      <c r="M684" s="50">
        <f>IF($O684="","",IF(INDEX(Firms!$M$5:$M$1004,$O684)="","—",INDEX(Firms!$M$5:$M$1004,$O684)))</f>
        <v/>
      </c>
      <c r="O684">
        <f>IFERROR(MATCH(SMALL(Firms!$Y$5:$Y$1004,676),Firms!$W$5:$W$1004,0),"")</f>
        <v/>
      </c>
    </row>
    <row r="685">
      <c r="B685" s="78">
        <f>IF($O685="","",INDEX(Firms!$A$5:$A$1004,$O685))</f>
        <v/>
      </c>
      <c r="C685" s="79">
        <f>IF($O685="","",INDEX(Firms!$N$5:$N$1004,$O685)&amp;"")</f>
        <v/>
      </c>
      <c r="D685" s="79">
        <f>IF($O685="","",INDEX(Firms!$P$5:$P$1004,$O685)&amp;"")</f>
        <v/>
      </c>
      <c r="E685" s="79">
        <f>IF($O685="","",INDEX(Firms!$O$5:$O$1004,$O685)&amp;"")</f>
        <v/>
      </c>
      <c r="F685" s="50">
        <f>IF($O685="","",IF(INDEX(Firms!$F$5:$F$1004,$O685)="","—",INDEX(Firms!$F$5:$F$1004,$O685)))</f>
        <v/>
      </c>
      <c r="G685" s="50">
        <f>IF($O685="","",IF(INDEX(Firms!$G$5:$G$1004,$O685)="","—",INDEX(Firms!$G$5:$G$1004,$O685)))</f>
        <v/>
      </c>
      <c r="H685" s="50">
        <f>IF($O685="","",IF(INDEX(Firms!$H$5:$H$1004,$O685)="","—",INDEX(Firms!$H$5:$H$1004,$O685)))</f>
        <v/>
      </c>
      <c r="I685" s="50">
        <f>IF($O685="","",IF(INDEX(Firms!$I$5:$I$1004,$O685)="","—",INDEX(Firms!$I$5:$I$1004,$O685)))</f>
        <v/>
      </c>
      <c r="J685" s="50">
        <f>IF($O685="","",IF(INDEX(Firms!$J$5:$J$1004,$O685)="","—",INDEX(Firms!$J$5:$J$1004,$O685)))</f>
        <v/>
      </c>
      <c r="K685" s="50">
        <f>IF($O685="","",IF(INDEX(Firms!$K$5:$K$1004,$O685)="","—",INDEX(Firms!$K$5:$K$1004,$O685)))</f>
        <v/>
      </c>
      <c r="L685" s="50">
        <f>IF($O685="","",IF(INDEX(Firms!$L$5:$L$1004,$O685)="","—",INDEX(Firms!$L$5:$L$1004,$O685)))</f>
        <v/>
      </c>
      <c r="M685" s="50">
        <f>IF($O685="","",IF(INDEX(Firms!$M$5:$M$1004,$O685)="","—",INDEX(Firms!$M$5:$M$1004,$O685)))</f>
        <v/>
      </c>
      <c r="O685">
        <f>IFERROR(MATCH(SMALL(Firms!$Y$5:$Y$1004,677),Firms!$W$5:$W$1004,0),"")</f>
        <v/>
      </c>
    </row>
    <row r="686">
      <c r="B686" s="78">
        <f>IF($O686="","",INDEX(Firms!$A$5:$A$1004,$O686))</f>
        <v/>
      </c>
      <c r="C686" s="79">
        <f>IF($O686="","",INDEX(Firms!$N$5:$N$1004,$O686)&amp;"")</f>
        <v/>
      </c>
      <c r="D686" s="79">
        <f>IF($O686="","",INDEX(Firms!$P$5:$P$1004,$O686)&amp;"")</f>
        <v/>
      </c>
      <c r="E686" s="79">
        <f>IF($O686="","",INDEX(Firms!$O$5:$O$1004,$O686)&amp;"")</f>
        <v/>
      </c>
      <c r="F686" s="50">
        <f>IF($O686="","",IF(INDEX(Firms!$F$5:$F$1004,$O686)="","—",INDEX(Firms!$F$5:$F$1004,$O686)))</f>
        <v/>
      </c>
      <c r="G686" s="50">
        <f>IF($O686="","",IF(INDEX(Firms!$G$5:$G$1004,$O686)="","—",INDEX(Firms!$G$5:$G$1004,$O686)))</f>
        <v/>
      </c>
      <c r="H686" s="50">
        <f>IF($O686="","",IF(INDEX(Firms!$H$5:$H$1004,$O686)="","—",INDEX(Firms!$H$5:$H$1004,$O686)))</f>
        <v/>
      </c>
      <c r="I686" s="50">
        <f>IF($O686="","",IF(INDEX(Firms!$I$5:$I$1004,$O686)="","—",INDEX(Firms!$I$5:$I$1004,$O686)))</f>
        <v/>
      </c>
      <c r="J686" s="50">
        <f>IF($O686="","",IF(INDEX(Firms!$J$5:$J$1004,$O686)="","—",INDEX(Firms!$J$5:$J$1004,$O686)))</f>
        <v/>
      </c>
      <c r="K686" s="50">
        <f>IF($O686="","",IF(INDEX(Firms!$K$5:$K$1004,$O686)="","—",INDEX(Firms!$K$5:$K$1004,$O686)))</f>
        <v/>
      </c>
      <c r="L686" s="50">
        <f>IF($O686="","",IF(INDEX(Firms!$L$5:$L$1004,$O686)="","—",INDEX(Firms!$L$5:$L$1004,$O686)))</f>
        <v/>
      </c>
      <c r="M686" s="50">
        <f>IF($O686="","",IF(INDEX(Firms!$M$5:$M$1004,$O686)="","—",INDEX(Firms!$M$5:$M$1004,$O686)))</f>
        <v/>
      </c>
      <c r="O686">
        <f>IFERROR(MATCH(SMALL(Firms!$Y$5:$Y$1004,678),Firms!$W$5:$W$1004,0),"")</f>
        <v/>
      </c>
    </row>
    <row r="687">
      <c r="B687" s="78">
        <f>IF($O687="","",INDEX(Firms!$A$5:$A$1004,$O687))</f>
        <v/>
      </c>
      <c r="C687" s="79">
        <f>IF($O687="","",INDEX(Firms!$N$5:$N$1004,$O687)&amp;"")</f>
        <v/>
      </c>
      <c r="D687" s="79">
        <f>IF($O687="","",INDEX(Firms!$P$5:$P$1004,$O687)&amp;"")</f>
        <v/>
      </c>
      <c r="E687" s="79">
        <f>IF($O687="","",INDEX(Firms!$O$5:$O$1004,$O687)&amp;"")</f>
        <v/>
      </c>
      <c r="F687" s="50">
        <f>IF($O687="","",IF(INDEX(Firms!$F$5:$F$1004,$O687)="","—",INDEX(Firms!$F$5:$F$1004,$O687)))</f>
        <v/>
      </c>
      <c r="G687" s="50">
        <f>IF($O687="","",IF(INDEX(Firms!$G$5:$G$1004,$O687)="","—",INDEX(Firms!$G$5:$G$1004,$O687)))</f>
        <v/>
      </c>
      <c r="H687" s="50">
        <f>IF($O687="","",IF(INDEX(Firms!$H$5:$H$1004,$O687)="","—",INDEX(Firms!$H$5:$H$1004,$O687)))</f>
        <v/>
      </c>
      <c r="I687" s="50">
        <f>IF($O687="","",IF(INDEX(Firms!$I$5:$I$1004,$O687)="","—",INDEX(Firms!$I$5:$I$1004,$O687)))</f>
        <v/>
      </c>
      <c r="J687" s="50">
        <f>IF($O687="","",IF(INDEX(Firms!$J$5:$J$1004,$O687)="","—",INDEX(Firms!$J$5:$J$1004,$O687)))</f>
        <v/>
      </c>
      <c r="K687" s="50">
        <f>IF($O687="","",IF(INDEX(Firms!$K$5:$K$1004,$O687)="","—",INDEX(Firms!$K$5:$K$1004,$O687)))</f>
        <v/>
      </c>
      <c r="L687" s="50">
        <f>IF($O687="","",IF(INDEX(Firms!$L$5:$L$1004,$O687)="","—",INDEX(Firms!$L$5:$L$1004,$O687)))</f>
        <v/>
      </c>
      <c r="M687" s="50">
        <f>IF($O687="","",IF(INDEX(Firms!$M$5:$M$1004,$O687)="","—",INDEX(Firms!$M$5:$M$1004,$O687)))</f>
        <v/>
      </c>
      <c r="O687">
        <f>IFERROR(MATCH(SMALL(Firms!$Y$5:$Y$1004,679),Firms!$W$5:$W$1004,0),"")</f>
        <v/>
      </c>
    </row>
    <row r="688">
      <c r="B688" s="78">
        <f>IF($O688="","",INDEX(Firms!$A$5:$A$1004,$O688))</f>
        <v/>
      </c>
      <c r="C688" s="79">
        <f>IF($O688="","",INDEX(Firms!$N$5:$N$1004,$O688)&amp;"")</f>
        <v/>
      </c>
      <c r="D688" s="79">
        <f>IF($O688="","",INDEX(Firms!$P$5:$P$1004,$O688)&amp;"")</f>
        <v/>
      </c>
      <c r="E688" s="79">
        <f>IF($O688="","",INDEX(Firms!$O$5:$O$1004,$O688)&amp;"")</f>
        <v/>
      </c>
      <c r="F688" s="50">
        <f>IF($O688="","",IF(INDEX(Firms!$F$5:$F$1004,$O688)="","—",INDEX(Firms!$F$5:$F$1004,$O688)))</f>
        <v/>
      </c>
      <c r="G688" s="50">
        <f>IF($O688="","",IF(INDEX(Firms!$G$5:$G$1004,$O688)="","—",INDEX(Firms!$G$5:$G$1004,$O688)))</f>
        <v/>
      </c>
      <c r="H688" s="50">
        <f>IF($O688="","",IF(INDEX(Firms!$H$5:$H$1004,$O688)="","—",INDEX(Firms!$H$5:$H$1004,$O688)))</f>
        <v/>
      </c>
      <c r="I688" s="50">
        <f>IF($O688="","",IF(INDEX(Firms!$I$5:$I$1004,$O688)="","—",INDEX(Firms!$I$5:$I$1004,$O688)))</f>
        <v/>
      </c>
      <c r="J688" s="50">
        <f>IF($O688="","",IF(INDEX(Firms!$J$5:$J$1004,$O688)="","—",INDEX(Firms!$J$5:$J$1004,$O688)))</f>
        <v/>
      </c>
      <c r="K688" s="50">
        <f>IF($O688="","",IF(INDEX(Firms!$K$5:$K$1004,$O688)="","—",INDEX(Firms!$K$5:$K$1004,$O688)))</f>
        <v/>
      </c>
      <c r="L688" s="50">
        <f>IF($O688="","",IF(INDEX(Firms!$L$5:$L$1004,$O688)="","—",INDEX(Firms!$L$5:$L$1004,$O688)))</f>
        <v/>
      </c>
      <c r="M688" s="50">
        <f>IF($O688="","",IF(INDEX(Firms!$M$5:$M$1004,$O688)="","—",INDEX(Firms!$M$5:$M$1004,$O688)))</f>
        <v/>
      </c>
      <c r="O688">
        <f>IFERROR(MATCH(SMALL(Firms!$Y$5:$Y$1004,680),Firms!$W$5:$W$1004,0),"")</f>
        <v/>
      </c>
    </row>
    <row r="689">
      <c r="B689" s="78">
        <f>IF($O689="","",INDEX(Firms!$A$5:$A$1004,$O689))</f>
        <v/>
      </c>
      <c r="C689" s="79">
        <f>IF($O689="","",INDEX(Firms!$N$5:$N$1004,$O689)&amp;"")</f>
        <v/>
      </c>
      <c r="D689" s="79">
        <f>IF($O689="","",INDEX(Firms!$P$5:$P$1004,$O689)&amp;"")</f>
        <v/>
      </c>
      <c r="E689" s="79">
        <f>IF($O689="","",INDEX(Firms!$O$5:$O$1004,$O689)&amp;"")</f>
        <v/>
      </c>
      <c r="F689" s="50">
        <f>IF($O689="","",IF(INDEX(Firms!$F$5:$F$1004,$O689)="","—",INDEX(Firms!$F$5:$F$1004,$O689)))</f>
        <v/>
      </c>
      <c r="G689" s="50">
        <f>IF($O689="","",IF(INDEX(Firms!$G$5:$G$1004,$O689)="","—",INDEX(Firms!$G$5:$G$1004,$O689)))</f>
        <v/>
      </c>
      <c r="H689" s="50">
        <f>IF($O689="","",IF(INDEX(Firms!$H$5:$H$1004,$O689)="","—",INDEX(Firms!$H$5:$H$1004,$O689)))</f>
        <v/>
      </c>
      <c r="I689" s="50">
        <f>IF($O689="","",IF(INDEX(Firms!$I$5:$I$1004,$O689)="","—",INDEX(Firms!$I$5:$I$1004,$O689)))</f>
        <v/>
      </c>
      <c r="J689" s="50">
        <f>IF($O689="","",IF(INDEX(Firms!$J$5:$J$1004,$O689)="","—",INDEX(Firms!$J$5:$J$1004,$O689)))</f>
        <v/>
      </c>
      <c r="K689" s="50">
        <f>IF($O689="","",IF(INDEX(Firms!$K$5:$K$1004,$O689)="","—",INDEX(Firms!$K$5:$K$1004,$O689)))</f>
        <v/>
      </c>
      <c r="L689" s="50">
        <f>IF($O689="","",IF(INDEX(Firms!$L$5:$L$1004,$O689)="","—",INDEX(Firms!$L$5:$L$1004,$O689)))</f>
        <v/>
      </c>
      <c r="M689" s="50">
        <f>IF($O689="","",IF(INDEX(Firms!$M$5:$M$1004,$O689)="","—",INDEX(Firms!$M$5:$M$1004,$O689)))</f>
        <v/>
      </c>
      <c r="O689">
        <f>IFERROR(MATCH(SMALL(Firms!$Y$5:$Y$1004,681),Firms!$W$5:$W$1004,0),"")</f>
        <v/>
      </c>
    </row>
    <row r="690">
      <c r="B690" s="78">
        <f>IF($O690="","",INDEX(Firms!$A$5:$A$1004,$O690))</f>
        <v/>
      </c>
      <c r="C690" s="79">
        <f>IF($O690="","",INDEX(Firms!$N$5:$N$1004,$O690)&amp;"")</f>
        <v/>
      </c>
      <c r="D690" s="79">
        <f>IF($O690="","",INDEX(Firms!$P$5:$P$1004,$O690)&amp;"")</f>
        <v/>
      </c>
      <c r="E690" s="79">
        <f>IF($O690="","",INDEX(Firms!$O$5:$O$1004,$O690)&amp;"")</f>
        <v/>
      </c>
      <c r="F690" s="50">
        <f>IF($O690="","",IF(INDEX(Firms!$F$5:$F$1004,$O690)="","—",INDEX(Firms!$F$5:$F$1004,$O690)))</f>
        <v/>
      </c>
      <c r="G690" s="50">
        <f>IF($O690="","",IF(INDEX(Firms!$G$5:$G$1004,$O690)="","—",INDEX(Firms!$G$5:$G$1004,$O690)))</f>
        <v/>
      </c>
      <c r="H690" s="50">
        <f>IF($O690="","",IF(INDEX(Firms!$H$5:$H$1004,$O690)="","—",INDEX(Firms!$H$5:$H$1004,$O690)))</f>
        <v/>
      </c>
      <c r="I690" s="50">
        <f>IF($O690="","",IF(INDEX(Firms!$I$5:$I$1004,$O690)="","—",INDEX(Firms!$I$5:$I$1004,$O690)))</f>
        <v/>
      </c>
      <c r="J690" s="50">
        <f>IF($O690="","",IF(INDEX(Firms!$J$5:$J$1004,$O690)="","—",INDEX(Firms!$J$5:$J$1004,$O690)))</f>
        <v/>
      </c>
      <c r="K690" s="50">
        <f>IF($O690="","",IF(INDEX(Firms!$K$5:$K$1004,$O690)="","—",INDEX(Firms!$K$5:$K$1004,$O690)))</f>
        <v/>
      </c>
      <c r="L690" s="50">
        <f>IF($O690="","",IF(INDEX(Firms!$L$5:$L$1004,$O690)="","—",INDEX(Firms!$L$5:$L$1004,$O690)))</f>
        <v/>
      </c>
      <c r="M690" s="50">
        <f>IF($O690="","",IF(INDEX(Firms!$M$5:$M$1004,$O690)="","—",INDEX(Firms!$M$5:$M$1004,$O690)))</f>
        <v/>
      </c>
      <c r="O690">
        <f>IFERROR(MATCH(SMALL(Firms!$Y$5:$Y$1004,682),Firms!$W$5:$W$1004,0),"")</f>
        <v/>
      </c>
    </row>
    <row r="691">
      <c r="B691" s="78">
        <f>IF($O691="","",INDEX(Firms!$A$5:$A$1004,$O691))</f>
        <v/>
      </c>
      <c r="C691" s="79">
        <f>IF($O691="","",INDEX(Firms!$N$5:$N$1004,$O691)&amp;"")</f>
        <v/>
      </c>
      <c r="D691" s="79">
        <f>IF($O691="","",INDEX(Firms!$P$5:$P$1004,$O691)&amp;"")</f>
        <v/>
      </c>
      <c r="E691" s="79">
        <f>IF($O691="","",INDEX(Firms!$O$5:$O$1004,$O691)&amp;"")</f>
        <v/>
      </c>
      <c r="F691" s="50">
        <f>IF($O691="","",IF(INDEX(Firms!$F$5:$F$1004,$O691)="","—",INDEX(Firms!$F$5:$F$1004,$O691)))</f>
        <v/>
      </c>
      <c r="G691" s="50">
        <f>IF($O691="","",IF(INDEX(Firms!$G$5:$G$1004,$O691)="","—",INDEX(Firms!$G$5:$G$1004,$O691)))</f>
        <v/>
      </c>
      <c r="H691" s="50">
        <f>IF($O691="","",IF(INDEX(Firms!$H$5:$H$1004,$O691)="","—",INDEX(Firms!$H$5:$H$1004,$O691)))</f>
        <v/>
      </c>
      <c r="I691" s="50">
        <f>IF($O691="","",IF(INDEX(Firms!$I$5:$I$1004,$O691)="","—",INDEX(Firms!$I$5:$I$1004,$O691)))</f>
        <v/>
      </c>
      <c r="J691" s="50">
        <f>IF($O691="","",IF(INDEX(Firms!$J$5:$J$1004,$O691)="","—",INDEX(Firms!$J$5:$J$1004,$O691)))</f>
        <v/>
      </c>
      <c r="K691" s="50">
        <f>IF($O691="","",IF(INDEX(Firms!$K$5:$K$1004,$O691)="","—",INDEX(Firms!$K$5:$K$1004,$O691)))</f>
        <v/>
      </c>
      <c r="L691" s="50">
        <f>IF($O691="","",IF(INDEX(Firms!$L$5:$L$1004,$O691)="","—",INDEX(Firms!$L$5:$L$1004,$O691)))</f>
        <v/>
      </c>
      <c r="M691" s="50">
        <f>IF($O691="","",IF(INDEX(Firms!$M$5:$M$1004,$O691)="","—",INDEX(Firms!$M$5:$M$1004,$O691)))</f>
        <v/>
      </c>
      <c r="O691">
        <f>IFERROR(MATCH(SMALL(Firms!$Y$5:$Y$1004,683),Firms!$W$5:$W$1004,0),"")</f>
        <v/>
      </c>
    </row>
    <row r="692">
      <c r="B692" s="78">
        <f>IF($O692="","",INDEX(Firms!$A$5:$A$1004,$O692))</f>
        <v/>
      </c>
      <c r="C692" s="79">
        <f>IF($O692="","",INDEX(Firms!$N$5:$N$1004,$O692)&amp;"")</f>
        <v/>
      </c>
      <c r="D692" s="79">
        <f>IF($O692="","",INDEX(Firms!$P$5:$P$1004,$O692)&amp;"")</f>
        <v/>
      </c>
      <c r="E692" s="79">
        <f>IF($O692="","",INDEX(Firms!$O$5:$O$1004,$O692)&amp;"")</f>
        <v/>
      </c>
      <c r="F692" s="50">
        <f>IF($O692="","",IF(INDEX(Firms!$F$5:$F$1004,$O692)="","—",INDEX(Firms!$F$5:$F$1004,$O692)))</f>
        <v/>
      </c>
      <c r="G692" s="50">
        <f>IF($O692="","",IF(INDEX(Firms!$G$5:$G$1004,$O692)="","—",INDEX(Firms!$G$5:$G$1004,$O692)))</f>
        <v/>
      </c>
      <c r="H692" s="50">
        <f>IF($O692="","",IF(INDEX(Firms!$H$5:$H$1004,$O692)="","—",INDEX(Firms!$H$5:$H$1004,$O692)))</f>
        <v/>
      </c>
      <c r="I692" s="50">
        <f>IF($O692="","",IF(INDEX(Firms!$I$5:$I$1004,$O692)="","—",INDEX(Firms!$I$5:$I$1004,$O692)))</f>
        <v/>
      </c>
      <c r="J692" s="50">
        <f>IF($O692="","",IF(INDEX(Firms!$J$5:$J$1004,$O692)="","—",INDEX(Firms!$J$5:$J$1004,$O692)))</f>
        <v/>
      </c>
      <c r="K692" s="50">
        <f>IF($O692="","",IF(INDEX(Firms!$K$5:$K$1004,$O692)="","—",INDEX(Firms!$K$5:$K$1004,$O692)))</f>
        <v/>
      </c>
      <c r="L692" s="50">
        <f>IF($O692="","",IF(INDEX(Firms!$L$5:$L$1004,$O692)="","—",INDEX(Firms!$L$5:$L$1004,$O692)))</f>
        <v/>
      </c>
      <c r="M692" s="50">
        <f>IF($O692="","",IF(INDEX(Firms!$M$5:$M$1004,$O692)="","—",INDEX(Firms!$M$5:$M$1004,$O692)))</f>
        <v/>
      </c>
      <c r="O692">
        <f>IFERROR(MATCH(SMALL(Firms!$Y$5:$Y$1004,684),Firms!$W$5:$W$1004,0),"")</f>
        <v/>
      </c>
    </row>
    <row r="693">
      <c r="B693" s="78">
        <f>IF($O693="","",INDEX(Firms!$A$5:$A$1004,$O693))</f>
        <v/>
      </c>
      <c r="C693" s="79">
        <f>IF($O693="","",INDEX(Firms!$N$5:$N$1004,$O693)&amp;"")</f>
        <v/>
      </c>
      <c r="D693" s="79">
        <f>IF($O693="","",INDEX(Firms!$P$5:$P$1004,$O693)&amp;"")</f>
        <v/>
      </c>
      <c r="E693" s="79">
        <f>IF($O693="","",INDEX(Firms!$O$5:$O$1004,$O693)&amp;"")</f>
        <v/>
      </c>
      <c r="F693" s="50">
        <f>IF($O693="","",IF(INDEX(Firms!$F$5:$F$1004,$O693)="","—",INDEX(Firms!$F$5:$F$1004,$O693)))</f>
        <v/>
      </c>
      <c r="G693" s="50">
        <f>IF($O693="","",IF(INDEX(Firms!$G$5:$G$1004,$O693)="","—",INDEX(Firms!$G$5:$G$1004,$O693)))</f>
        <v/>
      </c>
      <c r="H693" s="50">
        <f>IF($O693="","",IF(INDEX(Firms!$H$5:$H$1004,$O693)="","—",INDEX(Firms!$H$5:$H$1004,$O693)))</f>
        <v/>
      </c>
      <c r="I693" s="50">
        <f>IF($O693="","",IF(INDEX(Firms!$I$5:$I$1004,$O693)="","—",INDEX(Firms!$I$5:$I$1004,$O693)))</f>
        <v/>
      </c>
      <c r="J693" s="50">
        <f>IF($O693="","",IF(INDEX(Firms!$J$5:$J$1004,$O693)="","—",INDEX(Firms!$J$5:$J$1004,$O693)))</f>
        <v/>
      </c>
      <c r="K693" s="50">
        <f>IF($O693="","",IF(INDEX(Firms!$K$5:$K$1004,$O693)="","—",INDEX(Firms!$K$5:$K$1004,$O693)))</f>
        <v/>
      </c>
      <c r="L693" s="50">
        <f>IF($O693="","",IF(INDEX(Firms!$L$5:$L$1004,$O693)="","—",INDEX(Firms!$L$5:$L$1004,$O693)))</f>
        <v/>
      </c>
      <c r="M693" s="50">
        <f>IF($O693="","",IF(INDEX(Firms!$M$5:$M$1004,$O693)="","—",INDEX(Firms!$M$5:$M$1004,$O693)))</f>
        <v/>
      </c>
      <c r="O693">
        <f>IFERROR(MATCH(SMALL(Firms!$Y$5:$Y$1004,685),Firms!$W$5:$W$1004,0),"")</f>
        <v/>
      </c>
    </row>
    <row r="694">
      <c r="B694" s="78">
        <f>IF($O694="","",INDEX(Firms!$A$5:$A$1004,$O694))</f>
        <v/>
      </c>
      <c r="C694" s="79">
        <f>IF($O694="","",INDEX(Firms!$N$5:$N$1004,$O694)&amp;"")</f>
        <v/>
      </c>
      <c r="D694" s="79">
        <f>IF($O694="","",INDEX(Firms!$P$5:$P$1004,$O694)&amp;"")</f>
        <v/>
      </c>
      <c r="E694" s="79">
        <f>IF($O694="","",INDEX(Firms!$O$5:$O$1004,$O694)&amp;"")</f>
        <v/>
      </c>
      <c r="F694" s="50">
        <f>IF($O694="","",IF(INDEX(Firms!$F$5:$F$1004,$O694)="","—",INDEX(Firms!$F$5:$F$1004,$O694)))</f>
        <v/>
      </c>
      <c r="G694" s="50">
        <f>IF($O694="","",IF(INDEX(Firms!$G$5:$G$1004,$O694)="","—",INDEX(Firms!$G$5:$G$1004,$O694)))</f>
        <v/>
      </c>
      <c r="H694" s="50">
        <f>IF($O694="","",IF(INDEX(Firms!$H$5:$H$1004,$O694)="","—",INDEX(Firms!$H$5:$H$1004,$O694)))</f>
        <v/>
      </c>
      <c r="I694" s="50">
        <f>IF($O694="","",IF(INDEX(Firms!$I$5:$I$1004,$O694)="","—",INDEX(Firms!$I$5:$I$1004,$O694)))</f>
        <v/>
      </c>
      <c r="J694" s="50">
        <f>IF($O694="","",IF(INDEX(Firms!$J$5:$J$1004,$O694)="","—",INDEX(Firms!$J$5:$J$1004,$O694)))</f>
        <v/>
      </c>
      <c r="K694" s="50">
        <f>IF($O694="","",IF(INDEX(Firms!$K$5:$K$1004,$O694)="","—",INDEX(Firms!$K$5:$K$1004,$O694)))</f>
        <v/>
      </c>
      <c r="L694" s="50">
        <f>IF($O694="","",IF(INDEX(Firms!$L$5:$L$1004,$O694)="","—",INDEX(Firms!$L$5:$L$1004,$O694)))</f>
        <v/>
      </c>
      <c r="M694" s="50">
        <f>IF($O694="","",IF(INDEX(Firms!$M$5:$M$1004,$O694)="","—",INDEX(Firms!$M$5:$M$1004,$O694)))</f>
        <v/>
      </c>
      <c r="O694">
        <f>IFERROR(MATCH(SMALL(Firms!$Y$5:$Y$1004,686),Firms!$W$5:$W$1004,0),"")</f>
        <v/>
      </c>
    </row>
    <row r="695">
      <c r="B695" s="78">
        <f>IF($O695="","",INDEX(Firms!$A$5:$A$1004,$O695))</f>
        <v/>
      </c>
      <c r="C695" s="79">
        <f>IF($O695="","",INDEX(Firms!$N$5:$N$1004,$O695)&amp;"")</f>
        <v/>
      </c>
      <c r="D695" s="79">
        <f>IF($O695="","",INDEX(Firms!$P$5:$P$1004,$O695)&amp;"")</f>
        <v/>
      </c>
      <c r="E695" s="79">
        <f>IF($O695="","",INDEX(Firms!$O$5:$O$1004,$O695)&amp;"")</f>
        <v/>
      </c>
      <c r="F695" s="50">
        <f>IF($O695="","",IF(INDEX(Firms!$F$5:$F$1004,$O695)="","—",INDEX(Firms!$F$5:$F$1004,$O695)))</f>
        <v/>
      </c>
      <c r="G695" s="50">
        <f>IF($O695="","",IF(INDEX(Firms!$G$5:$G$1004,$O695)="","—",INDEX(Firms!$G$5:$G$1004,$O695)))</f>
        <v/>
      </c>
      <c r="H695" s="50">
        <f>IF($O695="","",IF(INDEX(Firms!$H$5:$H$1004,$O695)="","—",INDEX(Firms!$H$5:$H$1004,$O695)))</f>
        <v/>
      </c>
      <c r="I695" s="50">
        <f>IF($O695="","",IF(INDEX(Firms!$I$5:$I$1004,$O695)="","—",INDEX(Firms!$I$5:$I$1004,$O695)))</f>
        <v/>
      </c>
      <c r="J695" s="50">
        <f>IF($O695="","",IF(INDEX(Firms!$J$5:$J$1004,$O695)="","—",INDEX(Firms!$J$5:$J$1004,$O695)))</f>
        <v/>
      </c>
      <c r="K695" s="50">
        <f>IF($O695="","",IF(INDEX(Firms!$K$5:$K$1004,$O695)="","—",INDEX(Firms!$K$5:$K$1004,$O695)))</f>
        <v/>
      </c>
      <c r="L695" s="50">
        <f>IF($O695="","",IF(INDEX(Firms!$L$5:$L$1004,$O695)="","—",INDEX(Firms!$L$5:$L$1004,$O695)))</f>
        <v/>
      </c>
      <c r="M695" s="50">
        <f>IF($O695="","",IF(INDEX(Firms!$M$5:$M$1004,$O695)="","—",INDEX(Firms!$M$5:$M$1004,$O695)))</f>
        <v/>
      </c>
      <c r="O695">
        <f>IFERROR(MATCH(SMALL(Firms!$Y$5:$Y$1004,687),Firms!$W$5:$W$1004,0),"")</f>
        <v/>
      </c>
    </row>
    <row r="696">
      <c r="B696" s="78">
        <f>IF($O696="","",INDEX(Firms!$A$5:$A$1004,$O696))</f>
        <v/>
      </c>
      <c r="C696" s="79">
        <f>IF($O696="","",INDEX(Firms!$N$5:$N$1004,$O696)&amp;"")</f>
        <v/>
      </c>
      <c r="D696" s="79">
        <f>IF($O696="","",INDEX(Firms!$P$5:$P$1004,$O696)&amp;"")</f>
        <v/>
      </c>
      <c r="E696" s="79">
        <f>IF($O696="","",INDEX(Firms!$O$5:$O$1004,$O696)&amp;"")</f>
        <v/>
      </c>
      <c r="F696" s="50">
        <f>IF($O696="","",IF(INDEX(Firms!$F$5:$F$1004,$O696)="","—",INDEX(Firms!$F$5:$F$1004,$O696)))</f>
        <v/>
      </c>
      <c r="G696" s="50">
        <f>IF($O696="","",IF(INDEX(Firms!$G$5:$G$1004,$O696)="","—",INDEX(Firms!$G$5:$G$1004,$O696)))</f>
        <v/>
      </c>
      <c r="H696" s="50">
        <f>IF($O696="","",IF(INDEX(Firms!$H$5:$H$1004,$O696)="","—",INDEX(Firms!$H$5:$H$1004,$O696)))</f>
        <v/>
      </c>
      <c r="I696" s="50">
        <f>IF($O696="","",IF(INDEX(Firms!$I$5:$I$1004,$O696)="","—",INDEX(Firms!$I$5:$I$1004,$O696)))</f>
        <v/>
      </c>
      <c r="J696" s="50">
        <f>IF($O696="","",IF(INDEX(Firms!$J$5:$J$1004,$O696)="","—",INDEX(Firms!$J$5:$J$1004,$O696)))</f>
        <v/>
      </c>
      <c r="K696" s="50">
        <f>IF($O696="","",IF(INDEX(Firms!$K$5:$K$1004,$O696)="","—",INDEX(Firms!$K$5:$K$1004,$O696)))</f>
        <v/>
      </c>
      <c r="L696" s="50">
        <f>IF($O696="","",IF(INDEX(Firms!$L$5:$L$1004,$O696)="","—",INDEX(Firms!$L$5:$L$1004,$O696)))</f>
        <v/>
      </c>
      <c r="M696" s="50">
        <f>IF($O696="","",IF(INDEX(Firms!$M$5:$M$1004,$O696)="","—",INDEX(Firms!$M$5:$M$1004,$O696)))</f>
        <v/>
      </c>
      <c r="O696">
        <f>IFERROR(MATCH(SMALL(Firms!$Y$5:$Y$1004,688),Firms!$W$5:$W$1004,0),"")</f>
        <v/>
      </c>
    </row>
    <row r="697">
      <c r="B697" s="78">
        <f>IF($O697="","",INDEX(Firms!$A$5:$A$1004,$O697))</f>
        <v/>
      </c>
      <c r="C697" s="79">
        <f>IF($O697="","",INDEX(Firms!$N$5:$N$1004,$O697)&amp;"")</f>
        <v/>
      </c>
      <c r="D697" s="79">
        <f>IF($O697="","",INDEX(Firms!$P$5:$P$1004,$O697)&amp;"")</f>
        <v/>
      </c>
      <c r="E697" s="79">
        <f>IF($O697="","",INDEX(Firms!$O$5:$O$1004,$O697)&amp;"")</f>
        <v/>
      </c>
      <c r="F697" s="50">
        <f>IF($O697="","",IF(INDEX(Firms!$F$5:$F$1004,$O697)="","—",INDEX(Firms!$F$5:$F$1004,$O697)))</f>
        <v/>
      </c>
      <c r="G697" s="50">
        <f>IF($O697="","",IF(INDEX(Firms!$G$5:$G$1004,$O697)="","—",INDEX(Firms!$G$5:$G$1004,$O697)))</f>
        <v/>
      </c>
      <c r="H697" s="50">
        <f>IF($O697="","",IF(INDEX(Firms!$H$5:$H$1004,$O697)="","—",INDEX(Firms!$H$5:$H$1004,$O697)))</f>
        <v/>
      </c>
      <c r="I697" s="50">
        <f>IF($O697="","",IF(INDEX(Firms!$I$5:$I$1004,$O697)="","—",INDEX(Firms!$I$5:$I$1004,$O697)))</f>
        <v/>
      </c>
      <c r="J697" s="50">
        <f>IF($O697="","",IF(INDEX(Firms!$J$5:$J$1004,$O697)="","—",INDEX(Firms!$J$5:$J$1004,$O697)))</f>
        <v/>
      </c>
      <c r="K697" s="50">
        <f>IF($O697="","",IF(INDEX(Firms!$K$5:$K$1004,$O697)="","—",INDEX(Firms!$K$5:$K$1004,$O697)))</f>
        <v/>
      </c>
      <c r="L697" s="50">
        <f>IF($O697="","",IF(INDEX(Firms!$L$5:$L$1004,$O697)="","—",INDEX(Firms!$L$5:$L$1004,$O697)))</f>
        <v/>
      </c>
      <c r="M697" s="50">
        <f>IF($O697="","",IF(INDEX(Firms!$M$5:$M$1004,$O697)="","—",INDEX(Firms!$M$5:$M$1004,$O697)))</f>
        <v/>
      </c>
      <c r="O697">
        <f>IFERROR(MATCH(SMALL(Firms!$Y$5:$Y$1004,689),Firms!$W$5:$W$1004,0),"")</f>
        <v/>
      </c>
    </row>
    <row r="698">
      <c r="B698" s="78">
        <f>IF($O698="","",INDEX(Firms!$A$5:$A$1004,$O698))</f>
        <v/>
      </c>
      <c r="C698" s="79">
        <f>IF($O698="","",INDEX(Firms!$N$5:$N$1004,$O698)&amp;"")</f>
        <v/>
      </c>
      <c r="D698" s="79">
        <f>IF($O698="","",INDEX(Firms!$P$5:$P$1004,$O698)&amp;"")</f>
        <v/>
      </c>
      <c r="E698" s="79">
        <f>IF($O698="","",INDEX(Firms!$O$5:$O$1004,$O698)&amp;"")</f>
        <v/>
      </c>
      <c r="F698" s="50">
        <f>IF($O698="","",IF(INDEX(Firms!$F$5:$F$1004,$O698)="","—",INDEX(Firms!$F$5:$F$1004,$O698)))</f>
        <v/>
      </c>
      <c r="G698" s="50">
        <f>IF($O698="","",IF(INDEX(Firms!$G$5:$G$1004,$O698)="","—",INDEX(Firms!$G$5:$G$1004,$O698)))</f>
        <v/>
      </c>
      <c r="H698" s="50">
        <f>IF($O698="","",IF(INDEX(Firms!$H$5:$H$1004,$O698)="","—",INDEX(Firms!$H$5:$H$1004,$O698)))</f>
        <v/>
      </c>
      <c r="I698" s="50">
        <f>IF($O698="","",IF(INDEX(Firms!$I$5:$I$1004,$O698)="","—",INDEX(Firms!$I$5:$I$1004,$O698)))</f>
        <v/>
      </c>
      <c r="J698" s="50">
        <f>IF($O698="","",IF(INDEX(Firms!$J$5:$J$1004,$O698)="","—",INDEX(Firms!$J$5:$J$1004,$O698)))</f>
        <v/>
      </c>
      <c r="K698" s="50">
        <f>IF($O698="","",IF(INDEX(Firms!$K$5:$K$1004,$O698)="","—",INDEX(Firms!$K$5:$K$1004,$O698)))</f>
        <v/>
      </c>
      <c r="L698" s="50">
        <f>IF($O698="","",IF(INDEX(Firms!$L$5:$L$1004,$O698)="","—",INDEX(Firms!$L$5:$L$1004,$O698)))</f>
        <v/>
      </c>
      <c r="M698" s="50">
        <f>IF($O698="","",IF(INDEX(Firms!$M$5:$M$1004,$O698)="","—",INDEX(Firms!$M$5:$M$1004,$O698)))</f>
        <v/>
      </c>
      <c r="O698">
        <f>IFERROR(MATCH(SMALL(Firms!$Y$5:$Y$1004,690),Firms!$W$5:$W$1004,0),"")</f>
        <v/>
      </c>
    </row>
    <row r="699">
      <c r="B699" s="78">
        <f>IF($O699="","",INDEX(Firms!$A$5:$A$1004,$O699))</f>
        <v/>
      </c>
      <c r="C699" s="79">
        <f>IF($O699="","",INDEX(Firms!$N$5:$N$1004,$O699)&amp;"")</f>
        <v/>
      </c>
      <c r="D699" s="79">
        <f>IF($O699="","",INDEX(Firms!$P$5:$P$1004,$O699)&amp;"")</f>
        <v/>
      </c>
      <c r="E699" s="79">
        <f>IF($O699="","",INDEX(Firms!$O$5:$O$1004,$O699)&amp;"")</f>
        <v/>
      </c>
      <c r="F699" s="50">
        <f>IF($O699="","",IF(INDEX(Firms!$F$5:$F$1004,$O699)="","—",INDEX(Firms!$F$5:$F$1004,$O699)))</f>
        <v/>
      </c>
      <c r="G699" s="50">
        <f>IF($O699="","",IF(INDEX(Firms!$G$5:$G$1004,$O699)="","—",INDEX(Firms!$G$5:$G$1004,$O699)))</f>
        <v/>
      </c>
      <c r="H699" s="50">
        <f>IF($O699="","",IF(INDEX(Firms!$H$5:$H$1004,$O699)="","—",INDEX(Firms!$H$5:$H$1004,$O699)))</f>
        <v/>
      </c>
      <c r="I699" s="50">
        <f>IF($O699="","",IF(INDEX(Firms!$I$5:$I$1004,$O699)="","—",INDEX(Firms!$I$5:$I$1004,$O699)))</f>
        <v/>
      </c>
      <c r="J699" s="50">
        <f>IF($O699="","",IF(INDEX(Firms!$J$5:$J$1004,$O699)="","—",INDEX(Firms!$J$5:$J$1004,$O699)))</f>
        <v/>
      </c>
      <c r="K699" s="50">
        <f>IF($O699="","",IF(INDEX(Firms!$K$5:$K$1004,$O699)="","—",INDEX(Firms!$K$5:$K$1004,$O699)))</f>
        <v/>
      </c>
      <c r="L699" s="50">
        <f>IF($O699="","",IF(INDEX(Firms!$L$5:$L$1004,$O699)="","—",INDEX(Firms!$L$5:$L$1004,$O699)))</f>
        <v/>
      </c>
      <c r="M699" s="50">
        <f>IF($O699="","",IF(INDEX(Firms!$M$5:$M$1004,$O699)="","—",INDEX(Firms!$M$5:$M$1004,$O699)))</f>
        <v/>
      </c>
      <c r="O699">
        <f>IFERROR(MATCH(SMALL(Firms!$Y$5:$Y$1004,691),Firms!$W$5:$W$1004,0),"")</f>
        <v/>
      </c>
    </row>
    <row r="700">
      <c r="B700" s="78">
        <f>IF($O700="","",INDEX(Firms!$A$5:$A$1004,$O700))</f>
        <v/>
      </c>
      <c r="C700" s="79">
        <f>IF($O700="","",INDEX(Firms!$N$5:$N$1004,$O700)&amp;"")</f>
        <v/>
      </c>
      <c r="D700" s="79">
        <f>IF($O700="","",INDEX(Firms!$P$5:$P$1004,$O700)&amp;"")</f>
        <v/>
      </c>
      <c r="E700" s="79">
        <f>IF($O700="","",INDEX(Firms!$O$5:$O$1004,$O700)&amp;"")</f>
        <v/>
      </c>
      <c r="F700" s="50">
        <f>IF($O700="","",IF(INDEX(Firms!$F$5:$F$1004,$O700)="","—",INDEX(Firms!$F$5:$F$1004,$O700)))</f>
        <v/>
      </c>
      <c r="G700" s="50">
        <f>IF($O700="","",IF(INDEX(Firms!$G$5:$G$1004,$O700)="","—",INDEX(Firms!$G$5:$G$1004,$O700)))</f>
        <v/>
      </c>
      <c r="H700" s="50">
        <f>IF($O700="","",IF(INDEX(Firms!$H$5:$H$1004,$O700)="","—",INDEX(Firms!$H$5:$H$1004,$O700)))</f>
        <v/>
      </c>
      <c r="I700" s="50">
        <f>IF($O700="","",IF(INDEX(Firms!$I$5:$I$1004,$O700)="","—",INDEX(Firms!$I$5:$I$1004,$O700)))</f>
        <v/>
      </c>
      <c r="J700" s="50">
        <f>IF($O700="","",IF(INDEX(Firms!$J$5:$J$1004,$O700)="","—",INDEX(Firms!$J$5:$J$1004,$O700)))</f>
        <v/>
      </c>
      <c r="K700" s="50">
        <f>IF($O700="","",IF(INDEX(Firms!$K$5:$K$1004,$O700)="","—",INDEX(Firms!$K$5:$K$1004,$O700)))</f>
        <v/>
      </c>
      <c r="L700" s="50">
        <f>IF($O700="","",IF(INDEX(Firms!$L$5:$L$1004,$O700)="","—",INDEX(Firms!$L$5:$L$1004,$O700)))</f>
        <v/>
      </c>
      <c r="M700" s="50">
        <f>IF($O700="","",IF(INDEX(Firms!$M$5:$M$1004,$O700)="","—",INDEX(Firms!$M$5:$M$1004,$O700)))</f>
        <v/>
      </c>
      <c r="O700">
        <f>IFERROR(MATCH(SMALL(Firms!$Y$5:$Y$1004,692),Firms!$W$5:$W$1004,0),"")</f>
        <v/>
      </c>
    </row>
    <row r="701">
      <c r="B701" s="78">
        <f>IF($O701="","",INDEX(Firms!$A$5:$A$1004,$O701))</f>
        <v/>
      </c>
      <c r="C701" s="79">
        <f>IF($O701="","",INDEX(Firms!$N$5:$N$1004,$O701)&amp;"")</f>
        <v/>
      </c>
      <c r="D701" s="79">
        <f>IF($O701="","",INDEX(Firms!$P$5:$P$1004,$O701)&amp;"")</f>
        <v/>
      </c>
      <c r="E701" s="79">
        <f>IF($O701="","",INDEX(Firms!$O$5:$O$1004,$O701)&amp;"")</f>
        <v/>
      </c>
      <c r="F701" s="50">
        <f>IF($O701="","",IF(INDEX(Firms!$F$5:$F$1004,$O701)="","—",INDEX(Firms!$F$5:$F$1004,$O701)))</f>
        <v/>
      </c>
      <c r="G701" s="50">
        <f>IF($O701="","",IF(INDEX(Firms!$G$5:$G$1004,$O701)="","—",INDEX(Firms!$G$5:$G$1004,$O701)))</f>
        <v/>
      </c>
      <c r="H701" s="50">
        <f>IF($O701="","",IF(INDEX(Firms!$H$5:$H$1004,$O701)="","—",INDEX(Firms!$H$5:$H$1004,$O701)))</f>
        <v/>
      </c>
      <c r="I701" s="50">
        <f>IF($O701="","",IF(INDEX(Firms!$I$5:$I$1004,$O701)="","—",INDEX(Firms!$I$5:$I$1004,$O701)))</f>
        <v/>
      </c>
      <c r="J701" s="50">
        <f>IF($O701="","",IF(INDEX(Firms!$J$5:$J$1004,$O701)="","—",INDEX(Firms!$J$5:$J$1004,$O701)))</f>
        <v/>
      </c>
      <c r="K701" s="50">
        <f>IF($O701="","",IF(INDEX(Firms!$K$5:$K$1004,$O701)="","—",INDEX(Firms!$K$5:$K$1004,$O701)))</f>
        <v/>
      </c>
      <c r="L701" s="50">
        <f>IF($O701="","",IF(INDEX(Firms!$L$5:$L$1004,$O701)="","—",INDEX(Firms!$L$5:$L$1004,$O701)))</f>
        <v/>
      </c>
      <c r="M701" s="50">
        <f>IF($O701="","",IF(INDEX(Firms!$M$5:$M$1004,$O701)="","—",INDEX(Firms!$M$5:$M$1004,$O701)))</f>
        <v/>
      </c>
      <c r="O701">
        <f>IFERROR(MATCH(SMALL(Firms!$Y$5:$Y$1004,693),Firms!$W$5:$W$1004,0),"")</f>
        <v/>
      </c>
    </row>
    <row r="702">
      <c r="B702" s="78">
        <f>IF($O702="","",INDEX(Firms!$A$5:$A$1004,$O702))</f>
        <v/>
      </c>
      <c r="C702" s="79">
        <f>IF($O702="","",INDEX(Firms!$N$5:$N$1004,$O702)&amp;"")</f>
        <v/>
      </c>
      <c r="D702" s="79">
        <f>IF($O702="","",INDEX(Firms!$P$5:$P$1004,$O702)&amp;"")</f>
        <v/>
      </c>
      <c r="E702" s="79">
        <f>IF($O702="","",INDEX(Firms!$O$5:$O$1004,$O702)&amp;"")</f>
        <v/>
      </c>
      <c r="F702" s="50">
        <f>IF($O702="","",IF(INDEX(Firms!$F$5:$F$1004,$O702)="","—",INDEX(Firms!$F$5:$F$1004,$O702)))</f>
        <v/>
      </c>
      <c r="G702" s="50">
        <f>IF($O702="","",IF(INDEX(Firms!$G$5:$G$1004,$O702)="","—",INDEX(Firms!$G$5:$G$1004,$O702)))</f>
        <v/>
      </c>
      <c r="H702" s="50">
        <f>IF($O702="","",IF(INDEX(Firms!$H$5:$H$1004,$O702)="","—",INDEX(Firms!$H$5:$H$1004,$O702)))</f>
        <v/>
      </c>
      <c r="I702" s="50">
        <f>IF($O702="","",IF(INDEX(Firms!$I$5:$I$1004,$O702)="","—",INDEX(Firms!$I$5:$I$1004,$O702)))</f>
        <v/>
      </c>
      <c r="J702" s="50">
        <f>IF($O702="","",IF(INDEX(Firms!$J$5:$J$1004,$O702)="","—",INDEX(Firms!$J$5:$J$1004,$O702)))</f>
        <v/>
      </c>
      <c r="K702" s="50">
        <f>IF($O702="","",IF(INDEX(Firms!$K$5:$K$1004,$O702)="","—",INDEX(Firms!$K$5:$K$1004,$O702)))</f>
        <v/>
      </c>
      <c r="L702" s="50">
        <f>IF($O702="","",IF(INDEX(Firms!$L$5:$L$1004,$O702)="","—",INDEX(Firms!$L$5:$L$1004,$O702)))</f>
        <v/>
      </c>
      <c r="M702" s="50">
        <f>IF($O702="","",IF(INDEX(Firms!$M$5:$M$1004,$O702)="","—",INDEX(Firms!$M$5:$M$1004,$O702)))</f>
        <v/>
      </c>
      <c r="O702">
        <f>IFERROR(MATCH(SMALL(Firms!$Y$5:$Y$1004,694),Firms!$W$5:$W$1004,0),"")</f>
        <v/>
      </c>
    </row>
    <row r="703">
      <c r="B703" s="78">
        <f>IF($O703="","",INDEX(Firms!$A$5:$A$1004,$O703))</f>
        <v/>
      </c>
      <c r="C703" s="79">
        <f>IF($O703="","",INDEX(Firms!$N$5:$N$1004,$O703)&amp;"")</f>
        <v/>
      </c>
      <c r="D703" s="79">
        <f>IF($O703="","",INDEX(Firms!$P$5:$P$1004,$O703)&amp;"")</f>
        <v/>
      </c>
      <c r="E703" s="79">
        <f>IF($O703="","",INDEX(Firms!$O$5:$O$1004,$O703)&amp;"")</f>
        <v/>
      </c>
      <c r="F703" s="50">
        <f>IF($O703="","",IF(INDEX(Firms!$F$5:$F$1004,$O703)="","—",INDEX(Firms!$F$5:$F$1004,$O703)))</f>
        <v/>
      </c>
      <c r="G703" s="50">
        <f>IF($O703="","",IF(INDEX(Firms!$G$5:$G$1004,$O703)="","—",INDEX(Firms!$G$5:$G$1004,$O703)))</f>
        <v/>
      </c>
      <c r="H703" s="50">
        <f>IF($O703="","",IF(INDEX(Firms!$H$5:$H$1004,$O703)="","—",INDEX(Firms!$H$5:$H$1004,$O703)))</f>
        <v/>
      </c>
      <c r="I703" s="50">
        <f>IF($O703="","",IF(INDEX(Firms!$I$5:$I$1004,$O703)="","—",INDEX(Firms!$I$5:$I$1004,$O703)))</f>
        <v/>
      </c>
      <c r="J703" s="50">
        <f>IF($O703="","",IF(INDEX(Firms!$J$5:$J$1004,$O703)="","—",INDEX(Firms!$J$5:$J$1004,$O703)))</f>
        <v/>
      </c>
      <c r="K703" s="50">
        <f>IF($O703="","",IF(INDEX(Firms!$K$5:$K$1004,$O703)="","—",INDEX(Firms!$K$5:$K$1004,$O703)))</f>
        <v/>
      </c>
      <c r="L703" s="50">
        <f>IF($O703="","",IF(INDEX(Firms!$L$5:$L$1004,$O703)="","—",INDEX(Firms!$L$5:$L$1004,$O703)))</f>
        <v/>
      </c>
      <c r="M703" s="50">
        <f>IF($O703="","",IF(INDEX(Firms!$M$5:$M$1004,$O703)="","—",INDEX(Firms!$M$5:$M$1004,$O703)))</f>
        <v/>
      </c>
      <c r="O703">
        <f>IFERROR(MATCH(SMALL(Firms!$Y$5:$Y$1004,695),Firms!$W$5:$W$1004,0),"")</f>
        <v/>
      </c>
    </row>
    <row r="704">
      <c r="B704" s="78">
        <f>IF($O704="","",INDEX(Firms!$A$5:$A$1004,$O704))</f>
        <v/>
      </c>
      <c r="C704" s="79">
        <f>IF($O704="","",INDEX(Firms!$N$5:$N$1004,$O704)&amp;"")</f>
        <v/>
      </c>
      <c r="D704" s="79">
        <f>IF($O704="","",INDEX(Firms!$P$5:$P$1004,$O704)&amp;"")</f>
        <v/>
      </c>
      <c r="E704" s="79">
        <f>IF($O704="","",INDEX(Firms!$O$5:$O$1004,$O704)&amp;"")</f>
        <v/>
      </c>
      <c r="F704" s="50">
        <f>IF($O704="","",IF(INDEX(Firms!$F$5:$F$1004,$O704)="","—",INDEX(Firms!$F$5:$F$1004,$O704)))</f>
        <v/>
      </c>
      <c r="G704" s="50">
        <f>IF($O704="","",IF(INDEX(Firms!$G$5:$G$1004,$O704)="","—",INDEX(Firms!$G$5:$G$1004,$O704)))</f>
        <v/>
      </c>
      <c r="H704" s="50">
        <f>IF($O704="","",IF(INDEX(Firms!$H$5:$H$1004,$O704)="","—",INDEX(Firms!$H$5:$H$1004,$O704)))</f>
        <v/>
      </c>
      <c r="I704" s="50">
        <f>IF($O704="","",IF(INDEX(Firms!$I$5:$I$1004,$O704)="","—",INDEX(Firms!$I$5:$I$1004,$O704)))</f>
        <v/>
      </c>
      <c r="J704" s="50">
        <f>IF($O704="","",IF(INDEX(Firms!$J$5:$J$1004,$O704)="","—",INDEX(Firms!$J$5:$J$1004,$O704)))</f>
        <v/>
      </c>
      <c r="K704" s="50">
        <f>IF($O704="","",IF(INDEX(Firms!$K$5:$K$1004,$O704)="","—",INDEX(Firms!$K$5:$K$1004,$O704)))</f>
        <v/>
      </c>
      <c r="L704" s="50">
        <f>IF($O704="","",IF(INDEX(Firms!$L$5:$L$1004,$O704)="","—",INDEX(Firms!$L$5:$L$1004,$O704)))</f>
        <v/>
      </c>
      <c r="M704" s="50">
        <f>IF($O704="","",IF(INDEX(Firms!$M$5:$M$1004,$O704)="","—",INDEX(Firms!$M$5:$M$1004,$O704)))</f>
        <v/>
      </c>
      <c r="O704">
        <f>IFERROR(MATCH(SMALL(Firms!$Y$5:$Y$1004,696),Firms!$W$5:$W$1004,0),"")</f>
        <v/>
      </c>
    </row>
    <row r="705">
      <c r="B705" s="78">
        <f>IF($O705="","",INDEX(Firms!$A$5:$A$1004,$O705))</f>
        <v/>
      </c>
      <c r="C705" s="79">
        <f>IF($O705="","",INDEX(Firms!$N$5:$N$1004,$O705)&amp;"")</f>
        <v/>
      </c>
      <c r="D705" s="79">
        <f>IF($O705="","",INDEX(Firms!$P$5:$P$1004,$O705)&amp;"")</f>
        <v/>
      </c>
      <c r="E705" s="79">
        <f>IF($O705="","",INDEX(Firms!$O$5:$O$1004,$O705)&amp;"")</f>
        <v/>
      </c>
      <c r="F705" s="50">
        <f>IF($O705="","",IF(INDEX(Firms!$F$5:$F$1004,$O705)="","—",INDEX(Firms!$F$5:$F$1004,$O705)))</f>
        <v/>
      </c>
      <c r="G705" s="50">
        <f>IF($O705="","",IF(INDEX(Firms!$G$5:$G$1004,$O705)="","—",INDEX(Firms!$G$5:$G$1004,$O705)))</f>
        <v/>
      </c>
      <c r="H705" s="50">
        <f>IF($O705="","",IF(INDEX(Firms!$H$5:$H$1004,$O705)="","—",INDEX(Firms!$H$5:$H$1004,$O705)))</f>
        <v/>
      </c>
      <c r="I705" s="50">
        <f>IF($O705="","",IF(INDEX(Firms!$I$5:$I$1004,$O705)="","—",INDEX(Firms!$I$5:$I$1004,$O705)))</f>
        <v/>
      </c>
      <c r="J705" s="50">
        <f>IF($O705="","",IF(INDEX(Firms!$J$5:$J$1004,$O705)="","—",INDEX(Firms!$J$5:$J$1004,$O705)))</f>
        <v/>
      </c>
      <c r="K705" s="50">
        <f>IF($O705="","",IF(INDEX(Firms!$K$5:$K$1004,$O705)="","—",INDEX(Firms!$K$5:$K$1004,$O705)))</f>
        <v/>
      </c>
      <c r="L705" s="50">
        <f>IF($O705="","",IF(INDEX(Firms!$L$5:$L$1004,$O705)="","—",INDEX(Firms!$L$5:$L$1004,$O705)))</f>
        <v/>
      </c>
      <c r="M705" s="50">
        <f>IF($O705="","",IF(INDEX(Firms!$M$5:$M$1004,$O705)="","—",INDEX(Firms!$M$5:$M$1004,$O705)))</f>
        <v/>
      </c>
      <c r="O705">
        <f>IFERROR(MATCH(SMALL(Firms!$Y$5:$Y$1004,697),Firms!$W$5:$W$1004,0),"")</f>
        <v/>
      </c>
    </row>
    <row r="706">
      <c r="B706" s="78">
        <f>IF($O706="","",INDEX(Firms!$A$5:$A$1004,$O706))</f>
        <v/>
      </c>
      <c r="C706" s="79">
        <f>IF($O706="","",INDEX(Firms!$N$5:$N$1004,$O706)&amp;"")</f>
        <v/>
      </c>
      <c r="D706" s="79">
        <f>IF($O706="","",INDEX(Firms!$P$5:$P$1004,$O706)&amp;"")</f>
        <v/>
      </c>
      <c r="E706" s="79">
        <f>IF($O706="","",INDEX(Firms!$O$5:$O$1004,$O706)&amp;"")</f>
        <v/>
      </c>
      <c r="F706" s="50">
        <f>IF($O706="","",IF(INDEX(Firms!$F$5:$F$1004,$O706)="","—",INDEX(Firms!$F$5:$F$1004,$O706)))</f>
        <v/>
      </c>
      <c r="G706" s="50">
        <f>IF($O706="","",IF(INDEX(Firms!$G$5:$G$1004,$O706)="","—",INDEX(Firms!$G$5:$G$1004,$O706)))</f>
        <v/>
      </c>
      <c r="H706" s="50">
        <f>IF($O706="","",IF(INDEX(Firms!$H$5:$H$1004,$O706)="","—",INDEX(Firms!$H$5:$H$1004,$O706)))</f>
        <v/>
      </c>
      <c r="I706" s="50">
        <f>IF($O706="","",IF(INDEX(Firms!$I$5:$I$1004,$O706)="","—",INDEX(Firms!$I$5:$I$1004,$O706)))</f>
        <v/>
      </c>
      <c r="J706" s="50">
        <f>IF($O706="","",IF(INDEX(Firms!$J$5:$J$1004,$O706)="","—",INDEX(Firms!$J$5:$J$1004,$O706)))</f>
        <v/>
      </c>
      <c r="K706" s="50">
        <f>IF($O706="","",IF(INDEX(Firms!$K$5:$K$1004,$O706)="","—",INDEX(Firms!$K$5:$K$1004,$O706)))</f>
        <v/>
      </c>
      <c r="L706" s="50">
        <f>IF($O706="","",IF(INDEX(Firms!$L$5:$L$1004,$O706)="","—",INDEX(Firms!$L$5:$L$1004,$O706)))</f>
        <v/>
      </c>
      <c r="M706" s="50">
        <f>IF($O706="","",IF(INDEX(Firms!$M$5:$M$1004,$O706)="","—",INDEX(Firms!$M$5:$M$1004,$O706)))</f>
        <v/>
      </c>
      <c r="O706">
        <f>IFERROR(MATCH(SMALL(Firms!$Y$5:$Y$1004,698),Firms!$W$5:$W$1004,0),"")</f>
        <v/>
      </c>
    </row>
    <row r="707">
      <c r="B707" s="78">
        <f>IF($O707="","",INDEX(Firms!$A$5:$A$1004,$O707))</f>
        <v/>
      </c>
      <c r="C707" s="79">
        <f>IF($O707="","",INDEX(Firms!$N$5:$N$1004,$O707)&amp;"")</f>
        <v/>
      </c>
      <c r="D707" s="79">
        <f>IF($O707="","",INDEX(Firms!$P$5:$P$1004,$O707)&amp;"")</f>
        <v/>
      </c>
      <c r="E707" s="79">
        <f>IF($O707="","",INDEX(Firms!$O$5:$O$1004,$O707)&amp;"")</f>
        <v/>
      </c>
      <c r="F707" s="50">
        <f>IF($O707="","",IF(INDEX(Firms!$F$5:$F$1004,$O707)="","—",INDEX(Firms!$F$5:$F$1004,$O707)))</f>
        <v/>
      </c>
      <c r="G707" s="50">
        <f>IF($O707="","",IF(INDEX(Firms!$G$5:$G$1004,$O707)="","—",INDEX(Firms!$G$5:$G$1004,$O707)))</f>
        <v/>
      </c>
      <c r="H707" s="50">
        <f>IF($O707="","",IF(INDEX(Firms!$H$5:$H$1004,$O707)="","—",INDEX(Firms!$H$5:$H$1004,$O707)))</f>
        <v/>
      </c>
      <c r="I707" s="50">
        <f>IF($O707="","",IF(INDEX(Firms!$I$5:$I$1004,$O707)="","—",INDEX(Firms!$I$5:$I$1004,$O707)))</f>
        <v/>
      </c>
      <c r="J707" s="50">
        <f>IF($O707="","",IF(INDEX(Firms!$J$5:$J$1004,$O707)="","—",INDEX(Firms!$J$5:$J$1004,$O707)))</f>
        <v/>
      </c>
      <c r="K707" s="50">
        <f>IF($O707="","",IF(INDEX(Firms!$K$5:$K$1004,$O707)="","—",INDEX(Firms!$K$5:$K$1004,$O707)))</f>
        <v/>
      </c>
      <c r="L707" s="50">
        <f>IF($O707="","",IF(INDEX(Firms!$L$5:$L$1004,$O707)="","—",INDEX(Firms!$L$5:$L$1004,$O707)))</f>
        <v/>
      </c>
      <c r="M707" s="50">
        <f>IF($O707="","",IF(INDEX(Firms!$M$5:$M$1004,$O707)="","—",INDEX(Firms!$M$5:$M$1004,$O707)))</f>
        <v/>
      </c>
      <c r="O707">
        <f>IFERROR(MATCH(SMALL(Firms!$Y$5:$Y$1004,699),Firms!$W$5:$W$1004,0),"")</f>
        <v/>
      </c>
    </row>
    <row r="708">
      <c r="B708" s="78">
        <f>IF($O708="","",INDEX(Firms!$A$5:$A$1004,$O708))</f>
        <v/>
      </c>
      <c r="C708" s="79">
        <f>IF($O708="","",INDEX(Firms!$N$5:$N$1004,$O708)&amp;"")</f>
        <v/>
      </c>
      <c r="D708" s="79">
        <f>IF($O708="","",INDEX(Firms!$P$5:$P$1004,$O708)&amp;"")</f>
        <v/>
      </c>
      <c r="E708" s="79">
        <f>IF($O708="","",INDEX(Firms!$O$5:$O$1004,$O708)&amp;"")</f>
        <v/>
      </c>
      <c r="F708" s="50">
        <f>IF($O708="","",IF(INDEX(Firms!$F$5:$F$1004,$O708)="","—",INDEX(Firms!$F$5:$F$1004,$O708)))</f>
        <v/>
      </c>
      <c r="G708" s="50">
        <f>IF($O708="","",IF(INDEX(Firms!$G$5:$G$1004,$O708)="","—",INDEX(Firms!$G$5:$G$1004,$O708)))</f>
        <v/>
      </c>
      <c r="H708" s="50">
        <f>IF($O708="","",IF(INDEX(Firms!$H$5:$H$1004,$O708)="","—",INDEX(Firms!$H$5:$H$1004,$O708)))</f>
        <v/>
      </c>
      <c r="I708" s="50">
        <f>IF($O708="","",IF(INDEX(Firms!$I$5:$I$1004,$O708)="","—",INDEX(Firms!$I$5:$I$1004,$O708)))</f>
        <v/>
      </c>
      <c r="J708" s="50">
        <f>IF($O708="","",IF(INDEX(Firms!$J$5:$J$1004,$O708)="","—",INDEX(Firms!$J$5:$J$1004,$O708)))</f>
        <v/>
      </c>
      <c r="K708" s="50">
        <f>IF($O708="","",IF(INDEX(Firms!$K$5:$K$1004,$O708)="","—",INDEX(Firms!$K$5:$K$1004,$O708)))</f>
        <v/>
      </c>
      <c r="L708" s="50">
        <f>IF($O708="","",IF(INDEX(Firms!$L$5:$L$1004,$O708)="","—",INDEX(Firms!$L$5:$L$1004,$O708)))</f>
        <v/>
      </c>
      <c r="M708" s="50">
        <f>IF($O708="","",IF(INDEX(Firms!$M$5:$M$1004,$O708)="","—",INDEX(Firms!$M$5:$M$1004,$O708)))</f>
        <v/>
      </c>
      <c r="O708">
        <f>IFERROR(MATCH(SMALL(Firms!$Y$5:$Y$1004,700),Firms!$W$5:$W$1004,0),"")</f>
        <v/>
      </c>
    </row>
    <row r="709">
      <c r="B709" s="78">
        <f>IF($O709="","",INDEX(Firms!$A$5:$A$1004,$O709))</f>
        <v/>
      </c>
      <c r="C709" s="79">
        <f>IF($O709="","",INDEX(Firms!$N$5:$N$1004,$O709)&amp;"")</f>
        <v/>
      </c>
      <c r="D709" s="79">
        <f>IF($O709="","",INDEX(Firms!$P$5:$P$1004,$O709)&amp;"")</f>
        <v/>
      </c>
      <c r="E709" s="79">
        <f>IF($O709="","",INDEX(Firms!$O$5:$O$1004,$O709)&amp;"")</f>
        <v/>
      </c>
      <c r="F709" s="50">
        <f>IF($O709="","",IF(INDEX(Firms!$F$5:$F$1004,$O709)="","—",INDEX(Firms!$F$5:$F$1004,$O709)))</f>
        <v/>
      </c>
      <c r="G709" s="50">
        <f>IF($O709="","",IF(INDEX(Firms!$G$5:$G$1004,$O709)="","—",INDEX(Firms!$G$5:$G$1004,$O709)))</f>
        <v/>
      </c>
      <c r="H709" s="50">
        <f>IF($O709="","",IF(INDEX(Firms!$H$5:$H$1004,$O709)="","—",INDEX(Firms!$H$5:$H$1004,$O709)))</f>
        <v/>
      </c>
      <c r="I709" s="50">
        <f>IF($O709="","",IF(INDEX(Firms!$I$5:$I$1004,$O709)="","—",INDEX(Firms!$I$5:$I$1004,$O709)))</f>
        <v/>
      </c>
      <c r="J709" s="50">
        <f>IF($O709="","",IF(INDEX(Firms!$J$5:$J$1004,$O709)="","—",INDEX(Firms!$J$5:$J$1004,$O709)))</f>
        <v/>
      </c>
      <c r="K709" s="50">
        <f>IF($O709="","",IF(INDEX(Firms!$K$5:$K$1004,$O709)="","—",INDEX(Firms!$K$5:$K$1004,$O709)))</f>
        <v/>
      </c>
      <c r="L709" s="50">
        <f>IF($O709="","",IF(INDEX(Firms!$L$5:$L$1004,$O709)="","—",INDEX(Firms!$L$5:$L$1004,$O709)))</f>
        <v/>
      </c>
      <c r="M709" s="50">
        <f>IF($O709="","",IF(INDEX(Firms!$M$5:$M$1004,$O709)="","—",INDEX(Firms!$M$5:$M$1004,$O709)))</f>
        <v/>
      </c>
      <c r="O709">
        <f>IFERROR(MATCH(SMALL(Firms!$Y$5:$Y$1004,701),Firms!$W$5:$W$1004,0),"")</f>
        <v/>
      </c>
    </row>
    <row r="710">
      <c r="B710" s="78">
        <f>IF($O710="","",INDEX(Firms!$A$5:$A$1004,$O710))</f>
        <v/>
      </c>
      <c r="C710" s="79">
        <f>IF($O710="","",INDEX(Firms!$N$5:$N$1004,$O710)&amp;"")</f>
        <v/>
      </c>
      <c r="D710" s="79">
        <f>IF($O710="","",INDEX(Firms!$P$5:$P$1004,$O710)&amp;"")</f>
        <v/>
      </c>
      <c r="E710" s="79">
        <f>IF($O710="","",INDEX(Firms!$O$5:$O$1004,$O710)&amp;"")</f>
        <v/>
      </c>
      <c r="F710" s="50">
        <f>IF($O710="","",IF(INDEX(Firms!$F$5:$F$1004,$O710)="","—",INDEX(Firms!$F$5:$F$1004,$O710)))</f>
        <v/>
      </c>
      <c r="G710" s="50">
        <f>IF($O710="","",IF(INDEX(Firms!$G$5:$G$1004,$O710)="","—",INDEX(Firms!$G$5:$G$1004,$O710)))</f>
        <v/>
      </c>
      <c r="H710" s="50">
        <f>IF($O710="","",IF(INDEX(Firms!$H$5:$H$1004,$O710)="","—",INDEX(Firms!$H$5:$H$1004,$O710)))</f>
        <v/>
      </c>
      <c r="I710" s="50">
        <f>IF($O710="","",IF(INDEX(Firms!$I$5:$I$1004,$O710)="","—",INDEX(Firms!$I$5:$I$1004,$O710)))</f>
        <v/>
      </c>
      <c r="J710" s="50">
        <f>IF($O710="","",IF(INDEX(Firms!$J$5:$J$1004,$O710)="","—",INDEX(Firms!$J$5:$J$1004,$O710)))</f>
        <v/>
      </c>
      <c r="K710" s="50">
        <f>IF($O710="","",IF(INDEX(Firms!$K$5:$K$1004,$O710)="","—",INDEX(Firms!$K$5:$K$1004,$O710)))</f>
        <v/>
      </c>
      <c r="L710" s="50">
        <f>IF($O710="","",IF(INDEX(Firms!$L$5:$L$1004,$O710)="","—",INDEX(Firms!$L$5:$L$1004,$O710)))</f>
        <v/>
      </c>
      <c r="M710" s="50">
        <f>IF($O710="","",IF(INDEX(Firms!$M$5:$M$1004,$O710)="","—",INDEX(Firms!$M$5:$M$1004,$O710)))</f>
        <v/>
      </c>
      <c r="O710">
        <f>IFERROR(MATCH(SMALL(Firms!$Y$5:$Y$1004,702),Firms!$W$5:$W$1004,0),"")</f>
        <v/>
      </c>
    </row>
    <row r="711">
      <c r="B711" s="78">
        <f>IF($O711="","",INDEX(Firms!$A$5:$A$1004,$O711))</f>
        <v/>
      </c>
      <c r="C711" s="79">
        <f>IF($O711="","",INDEX(Firms!$N$5:$N$1004,$O711)&amp;"")</f>
        <v/>
      </c>
      <c r="D711" s="79">
        <f>IF($O711="","",INDEX(Firms!$P$5:$P$1004,$O711)&amp;"")</f>
        <v/>
      </c>
      <c r="E711" s="79">
        <f>IF($O711="","",INDEX(Firms!$O$5:$O$1004,$O711)&amp;"")</f>
        <v/>
      </c>
      <c r="F711" s="50">
        <f>IF($O711="","",IF(INDEX(Firms!$F$5:$F$1004,$O711)="","—",INDEX(Firms!$F$5:$F$1004,$O711)))</f>
        <v/>
      </c>
      <c r="G711" s="50">
        <f>IF($O711="","",IF(INDEX(Firms!$G$5:$G$1004,$O711)="","—",INDEX(Firms!$G$5:$G$1004,$O711)))</f>
        <v/>
      </c>
      <c r="H711" s="50">
        <f>IF($O711="","",IF(INDEX(Firms!$H$5:$H$1004,$O711)="","—",INDEX(Firms!$H$5:$H$1004,$O711)))</f>
        <v/>
      </c>
      <c r="I711" s="50">
        <f>IF($O711="","",IF(INDEX(Firms!$I$5:$I$1004,$O711)="","—",INDEX(Firms!$I$5:$I$1004,$O711)))</f>
        <v/>
      </c>
      <c r="J711" s="50">
        <f>IF($O711="","",IF(INDEX(Firms!$J$5:$J$1004,$O711)="","—",INDEX(Firms!$J$5:$J$1004,$O711)))</f>
        <v/>
      </c>
      <c r="K711" s="50">
        <f>IF($O711="","",IF(INDEX(Firms!$K$5:$K$1004,$O711)="","—",INDEX(Firms!$K$5:$K$1004,$O711)))</f>
        <v/>
      </c>
      <c r="L711" s="50">
        <f>IF($O711="","",IF(INDEX(Firms!$L$5:$L$1004,$O711)="","—",INDEX(Firms!$L$5:$L$1004,$O711)))</f>
        <v/>
      </c>
      <c r="M711" s="50">
        <f>IF($O711="","",IF(INDEX(Firms!$M$5:$M$1004,$O711)="","—",INDEX(Firms!$M$5:$M$1004,$O711)))</f>
        <v/>
      </c>
      <c r="O711">
        <f>IFERROR(MATCH(SMALL(Firms!$Y$5:$Y$1004,703),Firms!$W$5:$W$1004,0),"")</f>
        <v/>
      </c>
    </row>
    <row r="712">
      <c r="B712" s="78">
        <f>IF($O712="","",INDEX(Firms!$A$5:$A$1004,$O712))</f>
        <v/>
      </c>
      <c r="C712" s="79">
        <f>IF($O712="","",INDEX(Firms!$N$5:$N$1004,$O712)&amp;"")</f>
        <v/>
      </c>
      <c r="D712" s="79">
        <f>IF($O712="","",INDEX(Firms!$P$5:$P$1004,$O712)&amp;"")</f>
        <v/>
      </c>
      <c r="E712" s="79">
        <f>IF($O712="","",INDEX(Firms!$O$5:$O$1004,$O712)&amp;"")</f>
        <v/>
      </c>
      <c r="F712" s="50">
        <f>IF($O712="","",IF(INDEX(Firms!$F$5:$F$1004,$O712)="","—",INDEX(Firms!$F$5:$F$1004,$O712)))</f>
        <v/>
      </c>
      <c r="G712" s="50">
        <f>IF($O712="","",IF(INDEX(Firms!$G$5:$G$1004,$O712)="","—",INDEX(Firms!$G$5:$G$1004,$O712)))</f>
        <v/>
      </c>
      <c r="H712" s="50">
        <f>IF($O712="","",IF(INDEX(Firms!$H$5:$H$1004,$O712)="","—",INDEX(Firms!$H$5:$H$1004,$O712)))</f>
        <v/>
      </c>
      <c r="I712" s="50">
        <f>IF($O712="","",IF(INDEX(Firms!$I$5:$I$1004,$O712)="","—",INDEX(Firms!$I$5:$I$1004,$O712)))</f>
        <v/>
      </c>
      <c r="J712" s="50">
        <f>IF($O712="","",IF(INDEX(Firms!$J$5:$J$1004,$O712)="","—",INDEX(Firms!$J$5:$J$1004,$O712)))</f>
        <v/>
      </c>
      <c r="K712" s="50">
        <f>IF($O712="","",IF(INDEX(Firms!$K$5:$K$1004,$O712)="","—",INDEX(Firms!$K$5:$K$1004,$O712)))</f>
        <v/>
      </c>
      <c r="L712" s="50">
        <f>IF($O712="","",IF(INDEX(Firms!$L$5:$L$1004,$O712)="","—",INDEX(Firms!$L$5:$L$1004,$O712)))</f>
        <v/>
      </c>
      <c r="M712" s="50">
        <f>IF($O712="","",IF(INDEX(Firms!$M$5:$M$1004,$O712)="","—",INDEX(Firms!$M$5:$M$1004,$O712)))</f>
        <v/>
      </c>
      <c r="O712">
        <f>IFERROR(MATCH(SMALL(Firms!$Y$5:$Y$1004,704),Firms!$W$5:$W$1004,0),"")</f>
        <v/>
      </c>
    </row>
    <row r="713">
      <c r="B713" s="78">
        <f>IF($O713="","",INDEX(Firms!$A$5:$A$1004,$O713))</f>
        <v/>
      </c>
      <c r="C713" s="79">
        <f>IF($O713="","",INDEX(Firms!$N$5:$N$1004,$O713)&amp;"")</f>
        <v/>
      </c>
      <c r="D713" s="79">
        <f>IF($O713="","",INDEX(Firms!$P$5:$P$1004,$O713)&amp;"")</f>
        <v/>
      </c>
      <c r="E713" s="79">
        <f>IF($O713="","",INDEX(Firms!$O$5:$O$1004,$O713)&amp;"")</f>
        <v/>
      </c>
      <c r="F713" s="50">
        <f>IF($O713="","",IF(INDEX(Firms!$F$5:$F$1004,$O713)="","—",INDEX(Firms!$F$5:$F$1004,$O713)))</f>
        <v/>
      </c>
      <c r="G713" s="50">
        <f>IF($O713="","",IF(INDEX(Firms!$G$5:$G$1004,$O713)="","—",INDEX(Firms!$G$5:$G$1004,$O713)))</f>
        <v/>
      </c>
      <c r="H713" s="50">
        <f>IF($O713="","",IF(INDEX(Firms!$H$5:$H$1004,$O713)="","—",INDEX(Firms!$H$5:$H$1004,$O713)))</f>
        <v/>
      </c>
      <c r="I713" s="50">
        <f>IF($O713="","",IF(INDEX(Firms!$I$5:$I$1004,$O713)="","—",INDEX(Firms!$I$5:$I$1004,$O713)))</f>
        <v/>
      </c>
      <c r="J713" s="50">
        <f>IF($O713="","",IF(INDEX(Firms!$J$5:$J$1004,$O713)="","—",INDEX(Firms!$J$5:$J$1004,$O713)))</f>
        <v/>
      </c>
      <c r="K713" s="50">
        <f>IF($O713="","",IF(INDEX(Firms!$K$5:$K$1004,$O713)="","—",INDEX(Firms!$K$5:$K$1004,$O713)))</f>
        <v/>
      </c>
      <c r="L713" s="50">
        <f>IF($O713="","",IF(INDEX(Firms!$L$5:$L$1004,$O713)="","—",INDEX(Firms!$L$5:$L$1004,$O713)))</f>
        <v/>
      </c>
      <c r="M713" s="50">
        <f>IF($O713="","",IF(INDEX(Firms!$M$5:$M$1004,$O713)="","—",INDEX(Firms!$M$5:$M$1004,$O713)))</f>
        <v/>
      </c>
      <c r="O713">
        <f>IFERROR(MATCH(SMALL(Firms!$Y$5:$Y$1004,705),Firms!$W$5:$W$1004,0),"")</f>
        <v/>
      </c>
    </row>
    <row r="714">
      <c r="B714" s="78">
        <f>IF($O714="","",INDEX(Firms!$A$5:$A$1004,$O714))</f>
        <v/>
      </c>
      <c r="C714" s="79">
        <f>IF($O714="","",INDEX(Firms!$N$5:$N$1004,$O714)&amp;"")</f>
        <v/>
      </c>
      <c r="D714" s="79">
        <f>IF($O714="","",INDEX(Firms!$P$5:$P$1004,$O714)&amp;"")</f>
        <v/>
      </c>
      <c r="E714" s="79">
        <f>IF($O714="","",INDEX(Firms!$O$5:$O$1004,$O714)&amp;"")</f>
        <v/>
      </c>
      <c r="F714" s="50">
        <f>IF($O714="","",IF(INDEX(Firms!$F$5:$F$1004,$O714)="","—",INDEX(Firms!$F$5:$F$1004,$O714)))</f>
        <v/>
      </c>
      <c r="G714" s="50">
        <f>IF($O714="","",IF(INDEX(Firms!$G$5:$G$1004,$O714)="","—",INDEX(Firms!$G$5:$G$1004,$O714)))</f>
        <v/>
      </c>
      <c r="H714" s="50">
        <f>IF($O714="","",IF(INDEX(Firms!$H$5:$H$1004,$O714)="","—",INDEX(Firms!$H$5:$H$1004,$O714)))</f>
        <v/>
      </c>
      <c r="I714" s="50">
        <f>IF($O714="","",IF(INDEX(Firms!$I$5:$I$1004,$O714)="","—",INDEX(Firms!$I$5:$I$1004,$O714)))</f>
        <v/>
      </c>
      <c r="J714" s="50">
        <f>IF($O714="","",IF(INDEX(Firms!$J$5:$J$1004,$O714)="","—",INDEX(Firms!$J$5:$J$1004,$O714)))</f>
        <v/>
      </c>
      <c r="K714" s="50">
        <f>IF($O714="","",IF(INDEX(Firms!$K$5:$K$1004,$O714)="","—",INDEX(Firms!$K$5:$K$1004,$O714)))</f>
        <v/>
      </c>
      <c r="L714" s="50">
        <f>IF($O714="","",IF(INDEX(Firms!$L$5:$L$1004,$O714)="","—",INDEX(Firms!$L$5:$L$1004,$O714)))</f>
        <v/>
      </c>
      <c r="M714" s="50">
        <f>IF($O714="","",IF(INDEX(Firms!$M$5:$M$1004,$O714)="","—",INDEX(Firms!$M$5:$M$1004,$O714)))</f>
        <v/>
      </c>
      <c r="O714">
        <f>IFERROR(MATCH(SMALL(Firms!$Y$5:$Y$1004,706),Firms!$W$5:$W$1004,0),"")</f>
        <v/>
      </c>
    </row>
    <row r="715">
      <c r="B715" s="78">
        <f>IF($O715="","",INDEX(Firms!$A$5:$A$1004,$O715))</f>
        <v/>
      </c>
      <c r="C715" s="79">
        <f>IF($O715="","",INDEX(Firms!$N$5:$N$1004,$O715)&amp;"")</f>
        <v/>
      </c>
      <c r="D715" s="79">
        <f>IF($O715="","",INDEX(Firms!$P$5:$P$1004,$O715)&amp;"")</f>
        <v/>
      </c>
      <c r="E715" s="79">
        <f>IF($O715="","",INDEX(Firms!$O$5:$O$1004,$O715)&amp;"")</f>
        <v/>
      </c>
      <c r="F715" s="50">
        <f>IF($O715="","",IF(INDEX(Firms!$F$5:$F$1004,$O715)="","—",INDEX(Firms!$F$5:$F$1004,$O715)))</f>
        <v/>
      </c>
      <c r="G715" s="50">
        <f>IF($O715="","",IF(INDEX(Firms!$G$5:$G$1004,$O715)="","—",INDEX(Firms!$G$5:$G$1004,$O715)))</f>
        <v/>
      </c>
      <c r="H715" s="50">
        <f>IF($O715="","",IF(INDEX(Firms!$H$5:$H$1004,$O715)="","—",INDEX(Firms!$H$5:$H$1004,$O715)))</f>
        <v/>
      </c>
      <c r="I715" s="50">
        <f>IF($O715="","",IF(INDEX(Firms!$I$5:$I$1004,$O715)="","—",INDEX(Firms!$I$5:$I$1004,$O715)))</f>
        <v/>
      </c>
      <c r="J715" s="50">
        <f>IF($O715="","",IF(INDEX(Firms!$J$5:$J$1004,$O715)="","—",INDEX(Firms!$J$5:$J$1004,$O715)))</f>
        <v/>
      </c>
      <c r="K715" s="50">
        <f>IF($O715="","",IF(INDEX(Firms!$K$5:$K$1004,$O715)="","—",INDEX(Firms!$K$5:$K$1004,$O715)))</f>
        <v/>
      </c>
      <c r="L715" s="50">
        <f>IF($O715="","",IF(INDEX(Firms!$L$5:$L$1004,$O715)="","—",INDEX(Firms!$L$5:$L$1004,$O715)))</f>
        <v/>
      </c>
      <c r="M715" s="50">
        <f>IF($O715="","",IF(INDEX(Firms!$M$5:$M$1004,$O715)="","—",INDEX(Firms!$M$5:$M$1004,$O715)))</f>
        <v/>
      </c>
      <c r="O715">
        <f>IFERROR(MATCH(SMALL(Firms!$Y$5:$Y$1004,707),Firms!$W$5:$W$1004,0),"")</f>
        <v/>
      </c>
    </row>
    <row r="716">
      <c r="B716" s="78">
        <f>IF($O716="","",INDEX(Firms!$A$5:$A$1004,$O716))</f>
        <v/>
      </c>
      <c r="C716" s="79">
        <f>IF($O716="","",INDEX(Firms!$N$5:$N$1004,$O716)&amp;"")</f>
        <v/>
      </c>
      <c r="D716" s="79">
        <f>IF($O716="","",INDEX(Firms!$P$5:$P$1004,$O716)&amp;"")</f>
        <v/>
      </c>
      <c r="E716" s="79">
        <f>IF($O716="","",INDEX(Firms!$O$5:$O$1004,$O716)&amp;"")</f>
        <v/>
      </c>
      <c r="F716" s="50">
        <f>IF($O716="","",IF(INDEX(Firms!$F$5:$F$1004,$O716)="","—",INDEX(Firms!$F$5:$F$1004,$O716)))</f>
        <v/>
      </c>
      <c r="G716" s="50">
        <f>IF($O716="","",IF(INDEX(Firms!$G$5:$G$1004,$O716)="","—",INDEX(Firms!$G$5:$G$1004,$O716)))</f>
        <v/>
      </c>
      <c r="H716" s="50">
        <f>IF($O716="","",IF(INDEX(Firms!$H$5:$H$1004,$O716)="","—",INDEX(Firms!$H$5:$H$1004,$O716)))</f>
        <v/>
      </c>
      <c r="I716" s="50">
        <f>IF($O716="","",IF(INDEX(Firms!$I$5:$I$1004,$O716)="","—",INDEX(Firms!$I$5:$I$1004,$O716)))</f>
        <v/>
      </c>
      <c r="J716" s="50">
        <f>IF($O716="","",IF(INDEX(Firms!$J$5:$J$1004,$O716)="","—",INDEX(Firms!$J$5:$J$1004,$O716)))</f>
        <v/>
      </c>
      <c r="K716" s="50">
        <f>IF($O716="","",IF(INDEX(Firms!$K$5:$K$1004,$O716)="","—",INDEX(Firms!$K$5:$K$1004,$O716)))</f>
        <v/>
      </c>
      <c r="L716" s="50">
        <f>IF($O716="","",IF(INDEX(Firms!$L$5:$L$1004,$O716)="","—",INDEX(Firms!$L$5:$L$1004,$O716)))</f>
        <v/>
      </c>
      <c r="M716" s="50">
        <f>IF($O716="","",IF(INDEX(Firms!$M$5:$M$1004,$O716)="","—",INDEX(Firms!$M$5:$M$1004,$O716)))</f>
        <v/>
      </c>
      <c r="O716">
        <f>IFERROR(MATCH(SMALL(Firms!$Y$5:$Y$1004,708),Firms!$W$5:$W$1004,0),"")</f>
        <v/>
      </c>
    </row>
    <row r="717">
      <c r="B717" s="78">
        <f>IF($O717="","",INDEX(Firms!$A$5:$A$1004,$O717))</f>
        <v/>
      </c>
      <c r="C717" s="79">
        <f>IF($O717="","",INDEX(Firms!$N$5:$N$1004,$O717)&amp;"")</f>
        <v/>
      </c>
      <c r="D717" s="79">
        <f>IF($O717="","",INDEX(Firms!$P$5:$P$1004,$O717)&amp;"")</f>
        <v/>
      </c>
      <c r="E717" s="79">
        <f>IF($O717="","",INDEX(Firms!$O$5:$O$1004,$O717)&amp;"")</f>
        <v/>
      </c>
      <c r="F717" s="50">
        <f>IF($O717="","",IF(INDEX(Firms!$F$5:$F$1004,$O717)="","—",INDEX(Firms!$F$5:$F$1004,$O717)))</f>
        <v/>
      </c>
      <c r="G717" s="50">
        <f>IF($O717="","",IF(INDEX(Firms!$G$5:$G$1004,$O717)="","—",INDEX(Firms!$G$5:$G$1004,$O717)))</f>
        <v/>
      </c>
      <c r="H717" s="50">
        <f>IF($O717="","",IF(INDEX(Firms!$H$5:$H$1004,$O717)="","—",INDEX(Firms!$H$5:$H$1004,$O717)))</f>
        <v/>
      </c>
      <c r="I717" s="50">
        <f>IF($O717="","",IF(INDEX(Firms!$I$5:$I$1004,$O717)="","—",INDEX(Firms!$I$5:$I$1004,$O717)))</f>
        <v/>
      </c>
      <c r="J717" s="50">
        <f>IF($O717="","",IF(INDEX(Firms!$J$5:$J$1004,$O717)="","—",INDEX(Firms!$J$5:$J$1004,$O717)))</f>
        <v/>
      </c>
      <c r="K717" s="50">
        <f>IF($O717="","",IF(INDEX(Firms!$K$5:$K$1004,$O717)="","—",INDEX(Firms!$K$5:$K$1004,$O717)))</f>
        <v/>
      </c>
      <c r="L717" s="50">
        <f>IF($O717="","",IF(INDEX(Firms!$L$5:$L$1004,$O717)="","—",INDEX(Firms!$L$5:$L$1004,$O717)))</f>
        <v/>
      </c>
      <c r="M717" s="50">
        <f>IF($O717="","",IF(INDEX(Firms!$M$5:$M$1004,$O717)="","—",INDEX(Firms!$M$5:$M$1004,$O717)))</f>
        <v/>
      </c>
      <c r="O717">
        <f>IFERROR(MATCH(SMALL(Firms!$Y$5:$Y$1004,709),Firms!$W$5:$W$1004,0),"")</f>
        <v/>
      </c>
    </row>
    <row r="718">
      <c r="B718" s="78">
        <f>IF($O718="","",INDEX(Firms!$A$5:$A$1004,$O718))</f>
        <v/>
      </c>
      <c r="C718" s="79">
        <f>IF($O718="","",INDEX(Firms!$N$5:$N$1004,$O718)&amp;"")</f>
        <v/>
      </c>
      <c r="D718" s="79">
        <f>IF($O718="","",INDEX(Firms!$P$5:$P$1004,$O718)&amp;"")</f>
        <v/>
      </c>
      <c r="E718" s="79">
        <f>IF($O718="","",INDEX(Firms!$O$5:$O$1004,$O718)&amp;"")</f>
        <v/>
      </c>
      <c r="F718" s="50">
        <f>IF($O718="","",IF(INDEX(Firms!$F$5:$F$1004,$O718)="","—",INDEX(Firms!$F$5:$F$1004,$O718)))</f>
        <v/>
      </c>
      <c r="G718" s="50">
        <f>IF($O718="","",IF(INDEX(Firms!$G$5:$G$1004,$O718)="","—",INDEX(Firms!$G$5:$G$1004,$O718)))</f>
        <v/>
      </c>
      <c r="H718" s="50">
        <f>IF($O718="","",IF(INDEX(Firms!$H$5:$H$1004,$O718)="","—",INDEX(Firms!$H$5:$H$1004,$O718)))</f>
        <v/>
      </c>
      <c r="I718" s="50">
        <f>IF($O718="","",IF(INDEX(Firms!$I$5:$I$1004,$O718)="","—",INDEX(Firms!$I$5:$I$1004,$O718)))</f>
        <v/>
      </c>
      <c r="J718" s="50">
        <f>IF($O718="","",IF(INDEX(Firms!$J$5:$J$1004,$O718)="","—",INDEX(Firms!$J$5:$J$1004,$O718)))</f>
        <v/>
      </c>
      <c r="K718" s="50">
        <f>IF($O718="","",IF(INDEX(Firms!$K$5:$K$1004,$O718)="","—",INDEX(Firms!$K$5:$K$1004,$O718)))</f>
        <v/>
      </c>
      <c r="L718" s="50">
        <f>IF($O718="","",IF(INDEX(Firms!$L$5:$L$1004,$O718)="","—",INDEX(Firms!$L$5:$L$1004,$O718)))</f>
        <v/>
      </c>
      <c r="M718" s="50">
        <f>IF($O718="","",IF(INDEX(Firms!$M$5:$M$1004,$O718)="","—",INDEX(Firms!$M$5:$M$1004,$O718)))</f>
        <v/>
      </c>
      <c r="O718">
        <f>IFERROR(MATCH(SMALL(Firms!$Y$5:$Y$1004,710),Firms!$W$5:$W$1004,0),"")</f>
        <v/>
      </c>
    </row>
    <row r="719">
      <c r="B719" s="78">
        <f>IF($O719="","",INDEX(Firms!$A$5:$A$1004,$O719))</f>
        <v/>
      </c>
      <c r="C719" s="79">
        <f>IF($O719="","",INDEX(Firms!$N$5:$N$1004,$O719)&amp;"")</f>
        <v/>
      </c>
      <c r="D719" s="79">
        <f>IF($O719="","",INDEX(Firms!$P$5:$P$1004,$O719)&amp;"")</f>
        <v/>
      </c>
      <c r="E719" s="79">
        <f>IF($O719="","",INDEX(Firms!$O$5:$O$1004,$O719)&amp;"")</f>
        <v/>
      </c>
      <c r="F719" s="50">
        <f>IF($O719="","",IF(INDEX(Firms!$F$5:$F$1004,$O719)="","—",INDEX(Firms!$F$5:$F$1004,$O719)))</f>
        <v/>
      </c>
      <c r="G719" s="50">
        <f>IF($O719="","",IF(INDEX(Firms!$G$5:$G$1004,$O719)="","—",INDEX(Firms!$G$5:$G$1004,$O719)))</f>
        <v/>
      </c>
      <c r="H719" s="50">
        <f>IF($O719="","",IF(INDEX(Firms!$H$5:$H$1004,$O719)="","—",INDEX(Firms!$H$5:$H$1004,$O719)))</f>
        <v/>
      </c>
      <c r="I719" s="50">
        <f>IF($O719="","",IF(INDEX(Firms!$I$5:$I$1004,$O719)="","—",INDEX(Firms!$I$5:$I$1004,$O719)))</f>
        <v/>
      </c>
      <c r="J719" s="50">
        <f>IF($O719="","",IF(INDEX(Firms!$J$5:$J$1004,$O719)="","—",INDEX(Firms!$J$5:$J$1004,$O719)))</f>
        <v/>
      </c>
      <c r="K719" s="50">
        <f>IF($O719="","",IF(INDEX(Firms!$K$5:$K$1004,$O719)="","—",INDEX(Firms!$K$5:$K$1004,$O719)))</f>
        <v/>
      </c>
      <c r="L719" s="50">
        <f>IF($O719="","",IF(INDEX(Firms!$L$5:$L$1004,$O719)="","—",INDEX(Firms!$L$5:$L$1004,$O719)))</f>
        <v/>
      </c>
      <c r="M719" s="50">
        <f>IF($O719="","",IF(INDEX(Firms!$M$5:$M$1004,$O719)="","—",INDEX(Firms!$M$5:$M$1004,$O719)))</f>
        <v/>
      </c>
      <c r="O719">
        <f>IFERROR(MATCH(SMALL(Firms!$Y$5:$Y$1004,711),Firms!$W$5:$W$1004,0),"")</f>
        <v/>
      </c>
    </row>
    <row r="720">
      <c r="B720" s="78">
        <f>IF($O720="","",INDEX(Firms!$A$5:$A$1004,$O720))</f>
        <v/>
      </c>
      <c r="C720" s="79">
        <f>IF($O720="","",INDEX(Firms!$N$5:$N$1004,$O720)&amp;"")</f>
        <v/>
      </c>
      <c r="D720" s="79">
        <f>IF($O720="","",INDEX(Firms!$P$5:$P$1004,$O720)&amp;"")</f>
        <v/>
      </c>
      <c r="E720" s="79">
        <f>IF($O720="","",INDEX(Firms!$O$5:$O$1004,$O720)&amp;"")</f>
        <v/>
      </c>
      <c r="F720" s="50">
        <f>IF($O720="","",IF(INDEX(Firms!$F$5:$F$1004,$O720)="","—",INDEX(Firms!$F$5:$F$1004,$O720)))</f>
        <v/>
      </c>
      <c r="G720" s="50">
        <f>IF($O720="","",IF(INDEX(Firms!$G$5:$G$1004,$O720)="","—",INDEX(Firms!$G$5:$G$1004,$O720)))</f>
        <v/>
      </c>
      <c r="H720" s="50">
        <f>IF($O720="","",IF(INDEX(Firms!$H$5:$H$1004,$O720)="","—",INDEX(Firms!$H$5:$H$1004,$O720)))</f>
        <v/>
      </c>
      <c r="I720" s="50">
        <f>IF($O720="","",IF(INDEX(Firms!$I$5:$I$1004,$O720)="","—",INDEX(Firms!$I$5:$I$1004,$O720)))</f>
        <v/>
      </c>
      <c r="J720" s="50">
        <f>IF($O720="","",IF(INDEX(Firms!$J$5:$J$1004,$O720)="","—",INDEX(Firms!$J$5:$J$1004,$O720)))</f>
        <v/>
      </c>
      <c r="K720" s="50">
        <f>IF($O720="","",IF(INDEX(Firms!$K$5:$K$1004,$O720)="","—",INDEX(Firms!$K$5:$K$1004,$O720)))</f>
        <v/>
      </c>
      <c r="L720" s="50">
        <f>IF($O720="","",IF(INDEX(Firms!$L$5:$L$1004,$O720)="","—",INDEX(Firms!$L$5:$L$1004,$O720)))</f>
        <v/>
      </c>
      <c r="M720" s="50">
        <f>IF($O720="","",IF(INDEX(Firms!$M$5:$M$1004,$O720)="","—",INDEX(Firms!$M$5:$M$1004,$O720)))</f>
        <v/>
      </c>
      <c r="O720">
        <f>IFERROR(MATCH(SMALL(Firms!$Y$5:$Y$1004,712),Firms!$W$5:$W$1004,0),"")</f>
        <v/>
      </c>
    </row>
    <row r="721">
      <c r="B721" s="78">
        <f>IF($O721="","",INDEX(Firms!$A$5:$A$1004,$O721))</f>
        <v/>
      </c>
      <c r="C721" s="79">
        <f>IF($O721="","",INDEX(Firms!$N$5:$N$1004,$O721)&amp;"")</f>
        <v/>
      </c>
      <c r="D721" s="79">
        <f>IF($O721="","",INDEX(Firms!$P$5:$P$1004,$O721)&amp;"")</f>
        <v/>
      </c>
      <c r="E721" s="79">
        <f>IF($O721="","",INDEX(Firms!$O$5:$O$1004,$O721)&amp;"")</f>
        <v/>
      </c>
      <c r="F721" s="50">
        <f>IF($O721="","",IF(INDEX(Firms!$F$5:$F$1004,$O721)="","—",INDEX(Firms!$F$5:$F$1004,$O721)))</f>
        <v/>
      </c>
      <c r="G721" s="50">
        <f>IF($O721="","",IF(INDEX(Firms!$G$5:$G$1004,$O721)="","—",INDEX(Firms!$G$5:$G$1004,$O721)))</f>
        <v/>
      </c>
      <c r="H721" s="50">
        <f>IF($O721="","",IF(INDEX(Firms!$H$5:$H$1004,$O721)="","—",INDEX(Firms!$H$5:$H$1004,$O721)))</f>
        <v/>
      </c>
      <c r="I721" s="50">
        <f>IF($O721="","",IF(INDEX(Firms!$I$5:$I$1004,$O721)="","—",INDEX(Firms!$I$5:$I$1004,$O721)))</f>
        <v/>
      </c>
      <c r="J721" s="50">
        <f>IF($O721="","",IF(INDEX(Firms!$J$5:$J$1004,$O721)="","—",INDEX(Firms!$J$5:$J$1004,$O721)))</f>
        <v/>
      </c>
      <c r="K721" s="50">
        <f>IF($O721="","",IF(INDEX(Firms!$K$5:$K$1004,$O721)="","—",INDEX(Firms!$K$5:$K$1004,$O721)))</f>
        <v/>
      </c>
      <c r="L721" s="50">
        <f>IF($O721="","",IF(INDEX(Firms!$L$5:$L$1004,$O721)="","—",INDEX(Firms!$L$5:$L$1004,$O721)))</f>
        <v/>
      </c>
      <c r="M721" s="50">
        <f>IF($O721="","",IF(INDEX(Firms!$M$5:$M$1004,$O721)="","—",INDEX(Firms!$M$5:$M$1004,$O721)))</f>
        <v/>
      </c>
      <c r="O721">
        <f>IFERROR(MATCH(SMALL(Firms!$Y$5:$Y$1004,713),Firms!$W$5:$W$1004,0),"")</f>
        <v/>
      </c>
    </row>
    <row r="722">
      <c r="B722" s="78">
        <f>IF($O722="","",INDEX(Firms!$A$5:$A$1004,$O722))</f>
        <v/>
      </c>
      <c r="C722" s="79">
        <f>IF($O722="","",INDEX(Firms!$N$5:$N$1004,$O722)&amp;"")</f>
        <v/>
      </c>
      <c r="D722" s="79">
        <f>IF($O722="","",INDEX(Firms!$P$5:$P$1004,$O722)&amp;"")</f>
        <v/>
      </c>
      <c r="E722" s="79">
        <f>IF($O722="","",INDEX(Firms!$O$5:$O$1004,$O722)&amp;"")</f>
        <v/>
      </c>
      <c r="F722" s="50">
        <f>IF($O722="","",IF(INDEX(Firms!$F$5:$F$1004,$O722)="","—",INDEX(Firms!$F$5:$F$1004,$O722)))</f>
        <v/>
      </c>
      <c r="G722" s="50">
        <f>IF($O722="","",IF(INDEX(Firms!$G$5:$G$1004,$O722)="","—",INDEX(Firms!$G$5:$G$1004,$O722)))</f>
        <v/>
      </c>
      <c r="H722" s="50">
        <f>IF($O722="","",IF(INDEX(Firms!$H$5:$H$1004,$O722)="","—",INDEX(Firms!$H$5:$H$1004,$O722)))</f>
        <v/>
      </c>
      <c r="I722" s="50">
        <f>IF($O722="","",IF(INDEX(Firms!$I$5:$I$1004,$O722)="","—",INDEX(Firms!$I$5:$I$1004,$O722)))</f>
        <v/>
      </c>
      <c r="J722" s="50">
        <f>IF($O722="","",IF(INDEX(Firms!$J$5:$J$1004,$O722)="","—",INDEX(Firms!$J$5:$J$1004,$O722)))</f>
        <v/>
      </c>
      <c r="K722" s="50">
        <f>IF($O722="","",IF(INDEX(Firms!$K$5:$K$1004,$O722)="","—",INDEX(Firms!$K$5:$K$1004,$O722)))</f>
        <v/>
      </c>
      <c r="L722" s="50">
        <f>IF($O722="","",IF(INDEX(Firms!$L$5:$L$1004,$O722)="","—",INDEX(Firms!$L$5:$L$1004,$O722)))</f>
        <v/>
      </c>
      <c r="M722" s="50">
        <f>IF($O722="","",IF(INDEX(Firms!$M$5:$M$1004,$O722)="","—",INDEX(Firms!$M$5:$M$1004,$O722)))</f>
        <v/>
      </c>
      <c r="O722">
        <f>IFERROR(MATCH(SMALL(Firms!$Y$5:$Y$1004,714),Firms!$W$5:$W$1004,0),"")</f>
        <v/>
      </c>
    </row>
    <row r="723">
      <c r="B723" s="78">
        <f>IF($O723="","",INDEX(Firms!$A$5:$A$1004,$O723))</f>
        <v/>
      </c>
      <c r="C723" s="79">
        <f>IF($O723="","",INDEX(Firms!$N$5:$N$1004,$O723)&amp;"")</f>
        <v/>
      </c>
      <c r="D723" s="79">
        <f>IF($O723="","",INDEX(Firms!$P$5:$P$1004,$O723)&amp;"")</f>
        <v/>
      </c>
      <c r="E723" s="79">
        <f>IF($O723="","",INDEX(Firms!$O$5:$O$1004,$O723)&amp;"")</f>
        <v/>
      </c>
      <c r="F723" s="50">
        <f>IF($O723="","",IF(INDEX(Firms!$F$5:$F$1004,$O723)="","—",INDEX(Firms!$F$5:$F$1004,$O723)))</f>
        <v/>
      </c>
      <c r="G723" s="50">
        <f>IF($O723="","",IF(INDEX(Firms!$G$5:$G$1004,$O723)="","—",INDEX(Firms!$G$5:$G$1004,$O723)))</f>
        <v/>
      </c>
      <c r="H723" s="50">
        <f>IF($O723="","",IF(INDEX(Firms!$H$5:$H$1004,$O723)="","—",INDEX(Firms!$H$5:$H$1004,$O723)))</f>
        <v/>
      </c>
      <c r="I723" s="50">
        <f>IF($O723="","",IF(INDEX(Firms!$I$5:$I$1004,$O723)="","—",INDEX(Firms!$I$5:$I$1004,$O723)))</f>
        <v/>
      </c>
      <c r="J723" s="50">
        <f>IF($O723="","",IF(INDEX(Firms!$J$5:$J$1004,$O723)="","—",INDEX(Firms!$J$5:$J$1004,$O723)))</f>
        <v/>
      </c>
      <c r="K723" s="50">
        <f>IF($O723="","",IF(INDEX(Firms!$K$5:$K$1004,$O723)="","—",INDEX(Firms!$K$5:$K$1004,$O723)))</f>
        <v/>
      </c>
      <c r="L723" s="50">
        <f>IF($O723="","",IF(INDEX(Firms!$L$5:$L$1004,$O723)="","—",INDEX(Firms!$L$5:$L$1004,$O723)))</f>
        <v/>
      </c>
      <c r="M723" s="50">
        <f>IF($O723="","",IF(INDEX(Firms!$M$5:$M$1004,$O723)="","—",INDEX(Firms!$M$5:$M$1004,$O723)))</f>
        <v/>
      </c>
      <c r="O723">
        <f>IFERROR(MATCH(SMALL(Firms!$Y$5:$Y$1004,715),Firms!$W$5:$W$1004,0),"")</f>
        <v/>
      </c>
    </row>
    <row r="724">
      <c r="B724" s="78">
        <f>IF($O724="","",INDEX(Firms!$A$5:$A$1004,$O724))</f>
        <v/>
      </c>
      <c r="C724" s="79">
        <f>IF($O724="","",INDEX(Firms!$N$5:$N$1004,$O724)&amp;"")</f>
        <v/>
      </c>
      <c r="D724" s="79">
        <f>IF($O724="","",INDEX(Firms!$P$5:$P$1004,$O724)&amp;"")</f>
        <v/>
      </c>
      <c r="E724" s="79">
        <f>IF($O724="","",INDEX(Firms!$O$5:$O$1004,$O724)&amp;"")</f>
        <v/>
      </c>
      <c r="F724" s="50">
        <f>IF($O724="","",IF(INDEX(Firms!$F$5:$F$1004,$O724)="","—",INDEX(Firms!$F$5:$F$1004,$O724)))</f>
        <v/>
      </c>
      <c r="G724" s="50">
        <f>IF($O724="","",IF(INDEX(Firms!$G$5:$G$1004,$O724)="","—",INDEX(Firms!$G$5:$G$1004,$O724)))</f>
        <v/>
      </c>
      <c r="H724" s="50">
        <f>IF($O724="","",IF(INDEX(Firms!$H$5:$H$1004,$O724)="","—",INDEX(Firms!$H$5:$H$1004,$O724)))</f>
        <v/>
      </c>
      <c r="I724" s="50">
        <f>IF($O724="","",IF(INDEX(Firms!$I$5:$I$1004,$O724)="","—",INDEX(Firms!$I$5:$I$1004,$O724)))</f>
        <v/>
      </c>
      <c r="J724" s="50">
        <f>IF($O724="","",IF(INDEX(Firms!$J$5:$J$1004,$O724)="","—",INDEX(Firms!$J$5:$J$1004,$O724)))</f>
        <v/>
      </c>
      <c r="K724" s="50">
        <f>IF($O724="","",IF(INDEX(Firms!$K$5:$K$1004,$O724)="","—",INDEX(Firms!$K$5:$K$1004,$O724)))</f>
        <v/>
      </c>
      <c r="L724" s="50">
        <f>IF($O724="","",IF(INDEX(Firms!$L$5:$L$1004,$O724)="","—",INDEX(Firms!$L$5:$L$1004,$O724)))</f>
        <v/>
      </c>
      <c r="M724" s="50">
        <f>IF($O724="","",IF(INDEX(Firms!$M$5:$M$1004,$O724)="","—",INDEX(Firms!$M$5:$M$1004,$O724)))</f>
        <v/>
      </c>
      <c r="O724">
        <f>IFERROR(MATCH(SMALL(Firms!$Y$5:$Y$1004,716),Firms!$W$5:$W$1004,0),"")</f>
        <v/>
      </c>
    </row>
    <row r="725">
      <c r="B725" s="78">
        <f>IF($O725="","",INDEX(Firms!$A$5:$A$1004,$O725))</f>
        <v/>
      </c>
      <c r="C725" s="79">
        <f>IF($O725="","",INDEX(Firms!$N$5:$N$1004,$O725)&amp;"")</f>
        <v/>
      </c>
      <c r="D725" s="79">
        <f>IF($O725="","",INDEX(Firms!$P$5:$P$1004,$O725)&amp;"")</f>
        <v/>
      </c>
      <c r="E725" s="79">
        <f>IF($O725="","",INDEX(Firms!$O$5:$O$1004,$O725)&amp;"")</f>
        <v/>
      </c>
      <c r="F725" s="50">
        <f>IF($O725="","",IF(INDEX(Firms!$F$5:$F$1004,$O725)="","—",INDEX(Firms!$F$5:$F$1004,$O725)))</f>
        <v/>
      </c>
      <c r="G725" s="50">
        <f>IF($O725="","",IF(INDEX(Firms!$G$5:$G$1004,$O725)="","—",INDEX(Firms!$G$5:$G$1004,$O725)))</f>
        <v/>
      </c>
      <c r="H725" s="50">
        <f>IF($O725="","",IF(INDEX(Firms!$H$5:$H$1004,$O725)="","—",INDEX(Firms!$H$5:$H$1004,$O725)))</f>
        <v/>
      </c>
      <c r="I725" s="50">
        <f>IF($O725="","",IF(INDEX(Firms!$I$5:$I$1004,$O725)="","—",INDEX(Firms!$I$5:$I$1004,$O725)))</f>
        <v/>
      </c>
      <c r="J725" s="50">
        <f>IF($O725="","",IF(INDEX(Firms!$J$5:$J$1004,$O725)="","—",INDEX(Firms!$J$5:$J$1004,$O725)))</f>
        <v/>
      </c>
      <c r="K725" s="50">
        <f>IF($O725="","",IF(INDEX(Firms!$K$5:$K$1004,$O725)="","—",INDEX(Firms!$K$5:$K$1004,$O725)))</f>
        <v/>
      </c>
      <c r="L725" s="50">
        <f>IF($O725="","",IF(INDEX(Firms!$L$5:$L$1004,$O725)="","—",INDEX(Firms!$L$5:$L$1004,$O725)))</f>
        <v/>
      </c>
      <c r="M725" s="50">
        <f>IF($O725="","",IF(INDEX(Firms!$M$5:$M$1004,$O725)="","—",INDEX(Firms!$M$5:$M$1004,$O725)))</f>
        <v/>
      </c>
      <c r="O725">
        <f>IFERROR(MATCH(SMALL(Firms!$Y$5:$Y$1004,717),Firms!$W$5:$W$1004,0),"")</f>
        <v/>
      </c>
    </row>
    <row r="726">
      <c r="B726" s="78">
        <f>IF($O726="","",INDEX(Firms!$A$5:$A$1004,$O726))</f>
        <v/>
      </c>
      <c r="C726" s="79">
        <f>IF($O726="","",INDEX(Firms!$N$5:$N$1004,$O726)&amp;"")</f>
        <v/>
      </c>
      <c r="D726" s="79">
        <f>IF($O726="","",INDEX(Firms!$P$5:$P$1004,$O726)&amp;"")</f>
        <v/>
      </c>
      <c r="E726" s="79">
        <f>IF($O726="","",INDEX(Firms!$O$5:$O$1004,$O726)&amp;"")</f>
        <v/>
      </c>
      <c r="F726" s="50">
        <f>IF($O726="","",IF(INDEX(Firms!$F$5:$F$1004,$O726)="","—",INDEX(Firms!$F$5:$F$1004,$O726)))</f>
        <v/>
      </c>
      <c r="G726" s="50">
        <f>IF($O726="","",IF(INDEX(Firms!$G$5:$G$1004,$O726)="","—",INDEX(Firms!$G$5:$G$1004,$O726)))</f>
        <v/>
      </c>
      <c r="H726" s="50">
        <f>IF($O726="","",IF(INDEX(Firms!$H$5:$H$1004,$O726)="","—",INDEX(Firms!$H$5:$H$1004,$O726)))</f>
        <v/>
      </c>
      <c r="I726" s="50">
        <f>IF($O726="","",IF(INDEX(Firms!$I$5:$I$1004,$O726)="","—",INDEX(Firms!$I$5:$I$1004,$O726)))</f>
        <v/>
      </c>
      <c r="J726" s="50">
        <f>IF($O726="","",IF(INDEX(Firms!$J$5:$J$1004,$O726)="","—",INDEX(Firms!$J$5:$J$1004,$O726)))</f>
        <v/>
      </c>
      <c r="K726" s="50">
        <f>IF($O726="","",IF(INDEX(Firms!$K$5:$K$1004,$O726)="","—",INDEX(Firms!$K$5:$K$1004,$O726)))</f>
        <v/>
      </c>
      <c r="L726" s="50">
        <f>IF($O726="","",IF(INDEX(Firms!$L$5:$L$1004,$O726)="","—",INDEX(Firms!$L$5:$L$1004,$O726)))</f>
        <v/>
      </c>
      <c r="M726" s="50">
        <f>IF($O726="","",IF(INDEX(Firms!$M$5:$M$1004,$O726)="","—",INDEX(Firms!$M$5:$M$1004,$O726)))</f>
        <v/>
      </c>
      <c r="O726">
        <f>IFERROR(MATCH(SMALL(Firms!$Y$5:$Y$1004,718),Firms!$W$5:$W$1004,0),"")</f>
        <v/>
      </c>
    </row>
    <row r="727">
      <c r="B727" s="78">
        <f>IF($O727="","",INDEX(Firms!$A$5:$A$1004,$O727))</f>
        <v/>
      </c>
      <c r="C727" s="79">
        <f>IF($O727="","",INDEX(Firms!$N$5:$N$1004,$O727)&amp;"")</f>
        <v/>
      </c>
      <c r="D727" s="79">
        <f>IF($O727="","",INDEX(Firms!$P$5:$P$1004,$O727)&amp;"")</f>
        <v/>
      </c>
      <c r="E727" s="79">
        <f>IF($O727="","",INDEX(Firms!$O$5:$O$1004,$O727)&amp;"")</f>
        <v/>
      </c>
      <c r="F727" s="50">
        <f>IF($O727="","",IF(INDEX(Firms!$F$5:$F$1004,$O727)="","—",INDEX(Firms!$F$5:$F$1004,$O727)))</f>
        <v/>
      </c>
      <c r="G727" s="50">
        <f>IF($O727="","",IF(INDEX(Firms!$G$5:$G$1004,$O727)="","—",INDEX(Firms!$G$5:$G$1004,$O727)))</f>
        <v/>
      </c>
      <c r="H727" s="50">
        <f>IF($O727="","",IF(INDEX(Firms!$H$5:$H$1004,$O727)="","—",INDEX(Firms!$H$5:$H$1004,$O727)))</f>
        <v/>
      </c>
      <c r="I727" s="50">
        <f>IF($O727="","",IF(INDEX(Firms!$I$5:$I$1004,$O727)="","—",INDEX(Firms!$I$5:$I$1004,$O727)))</f>
        <v/>
      </c>
      <c r="J727" s="50">
        <f>IF($O727="","",IF(INDEX(Firms!$J$5:$J$1004,$O727)="","—",INDEX(Firms!$J$5:$J$1004,$O727)))</f>
        <v/>
      </c>
      <c r="K727" s="50">
        <f>IF($O727="","",IF(INDEX(Firms!$K$5:$K$1004,$O727)="","—",INDEX(Firms!$K$5:$K$1004,$O727)))</f>
        <v/>
      </c>
      <c r="L727" s="50">
        <f>IF($O727="","",IF(INDEX(Firms!$L$5:$L$1004,$O727)="","—",INDEX(Firms!$L$5:$L$1004,$O727)))</f>
        <v/>
      </c>
      <c r="M727" s="50">
        <f>IF($O727="","",IF(INDEX(Firms!$M$5:$M$1004,$O727)="","—",INDEX(Firms!$M$5:$M$1004,$O727)))</f>
        <v/>
      </c>
      <c r="O727">
        <f>IFERROR(MATCH(SMALL(Firms!$Y$5:$Y$1004,719),Firms!$W$5:$W$1004,0),"")</f>
        <v/>
      </c>
    </row>
    <row r="728">
      <c r="B728" s="78">
        <f>IF($O728="","",INDEX(Firms!$A$5:$A$1004,$O728))</f>
        <v/>
      </c>
      <c r="C728" s="79">
        <f>IF($O728="","",INDEX(Firms!$N$5:$N$1004,$O728)&amp;"")</f>
        <v/>
      </c>
      <c r="D728" s="79">
        <f>IF($O728="","",INDEX(Firms!$P$5:$P$1004,$O728)&amp;"")</f>
        <v/>
      </c>
      <c r="E728" s="79">
        <f>IF($O728="","",INDEX(Firms!$O$5:$O$1004,$O728)&amp;"")</f>
        <v/>
      </c>
      <c r="F728" s="50">
        <f>IF($O728="","",IF(INDEX(Firms!$F$5:$F$1004,$O728)="","—",INDEX(Firms!$F$5:$F$1004,$O728)))</f>
        <v/>
      </c>
      <c r="G728" s="50">
        <f>IF($O728="","",IF(INDEX(Firms!$G$5:$G$1004,$O728)="","—",INDEX(Firms!$G$5:$G$1004,$O728)))</f>
        <v/>
      </c>
      <c r="H728" s="50">
        <f>IF($O728="","",IF(INDEX(Firms!$H$5:$H$1004,$O728)="","—",INDEX(Firms!$H$5:$H$1004,$O728)))</f>
        <v/>
      </c>
      <c r="I728" s="50">
        <f>IF($O728="","",IF(INDEX(Firms!$I$5:$I$1004,$O728)="","—",INDEX(Firms!$I$5:$I$1004,$O728)))</f>
        <v/>
      </c>
      <c r="J728" s="50">
        <f>IF($O728="","",IF(INDEX(Firms!$J$5:$J$1004,$O728)="","—",INDEX(Firms!$J$5:$J$1004,$O728)))</f>
        <v/>
      </c>
      <c r="K728" s="50">
        <f>IF($O728="","",IF(INDEX(Firms!$K$5:$K$1004,$O728)="","—",INDEX(Firms!$K$5:$K$1004,$O728)))</f>
        <v/>
      </c>
      <c r="L728" s="50">
        <f>IF($O728="","",IF(INDEX(Firms!$L$5:$L$1004,$O728)="","—",INDEX(Firms!$L$5:$L$1004,$O728)))</f>
        <v/>
      </c>
      <c r="M728" s="50">
        <f>IF($O728="","",IF(INDEX(Firms!$M$5:$M$1004,$O728)="","—",INDEX(Firms!$M$5:$M$1004,$O728)))</f>
        <v/>
      </c>
      <c r="O728">
        <f>IFERROR(MATCH(SMALL(Firms!$Y$5:$Y$1004,720),Firms!$W$5:$W$1004,0),"")</f>
        <v/>
      </c>
    </row>
    <row r="729">
      <c r="B729" s="78">
        <f>IF($O729="","",INDEX(Firms!$A$5:$A$1004,$O729))</f>
        <v/>
      </c>
      <c r="C729" s="79">
        <f>IF($O729="","",INDEX(Firms!$N$5:$N$1004,$O729)&amp;"")</f>
        <v/>
      </c>
      <c r="D729" s="79">
        <f>IF($O729="","",INDEX(Firms!$P$5:$P$1004,$O729)&amp;"")</f>
        <v/>
      </c>
      <c r="E729" s="79">
        <f>IF($O729="","",INDEX(Firms!$O$5:$O$1004,$O729)&amp;"")</f>
        <v/>
      </c>
      <c r="F729" s="50">
        <f>IF($O729="","",IF(INDEX(Firms!$F$5:$F$1004,$O729)="","—",INDEX(Firms!$F$5:$F$1004,$O729)))</f>
        <v/>
      </c>
      <c r="G729" s="50">
        <f>IF($O729="","",IF(INDEX(Firms!$G$5:$G$1004,$O729)="","—",INDEX(Firms!$G$5:$G$1004,$O729)))</f>
        <v/>
      </c>
      <c r="H729" s="50">
        <f>IF($O729="","",IF(INDEX(Firms!$H$5:$H$1004,$O729)="","—",INDEX(Firms!$H$5:$H$1004,$O729)))</f>
        <v/>
      </c>
      <c r="I729" s="50">
        <f>IF($O729="","",IF(INDEX(Firms!$I$5:$I$1004,$O729)="","—",INDEX(Firms!$I$5:$I$1004,$O729)))</f>
        <v/>
      </c>
      <c r="J729" s="50">
        <f>IF($O729="","",IF(INDEX(Firms!$J$5:$J$1004,$O729)="","—",INDEX(Firms!$J$5:$J$1004,$O729)))</f>
        <v/>
      </c>
      <c r="K729" s="50">
        <f>IF($O729="","",IF(INDEX(Firms!$K$5:$K$1004,$O729)="","—",INDEX(Firms!$K$5:$K$1004,$O729)))</f>
        <v/>
      </c>
      <c r="L729" s="50">
        <f>IF($O729="","",IF(INDEX(Firms!$L$5:$L$1004,$O729)="","—",INDEX(Firms!$L$5:$L$1004,$O729)))</f>
        <v/>
      </c>
      <c r="M729" s="50">
        <f>IF($O729="","",IF(INDEX(Firms!$M$5:$M$1004,$O729)="","—",INDEX(Firms!$M$5:$M$1004,$O729)))</f>
        <v/>
      </c>
      <c r="O729">
        <f>IFERROR(MATCH(SMALL(Firms!$Y$5:$Y$1004,721),Firms!$W$5:$W$1004,0),"")</f>
        <v/>
      </c>
    </row>
    <row r="730">
      <c r="B730" s="78">
        <f>IF($O730="","",INDEX(Firms!$A$5:$A$1004,$O730))</f>
        <v/>
      </c>
      <c r="C730" s="79">
        <f>IF($O730="","",INDEX(Firms!$N$5:$N$1004,$O730)&amp;"")</f>
        <v/>
      </c>
      <c r="D730" s="79">
        <f>IF($O730="","",INDEX(Firms!$P$5:$P$1004,$O730)&amp;"")</f>
        <v/>
      </c>
      <c r="E730" s="79">
        <f>IF($O730="","",INDEX(Firms!$O$5:$O$1004,$O730)&amp;"")</f>
        <v/>
      </c>
      <c r="F730" s="50">
        <f>IF($O730="","",IF(INDEX(Firms!$F$5:$F$1004,$O730)="","—",INDEX(Firms!$F$5:$F$1004,$O730)))</f>
        <v/>
      </c>
      <c r="G730" s="50">
        <f>IF($O730="","",IF(INDEX(Firms!$G$5:$G$1004,$O730)="","—",INDEX(Firms!$G$5:$G$1004,$O730)))</f>
        <v/>
      </c>
      <c r="H730" s="50">
        <f>IF($O730="","",IF(INDEX(Firms!$H$5:$H$1004,$O730)="","—",INDEX(Firms!$H$5:$H$1004,$O730)))</f>
        <v/>
      </c>
      <c r="I730" s="50">
        <f>IF($O730="","",IF(INDEX(Firms!$I$5:$I$1004,$O730)="","—",INDEX(Firms!$I$5:$I$1004,$O730)))</f>
        <v/>
      </c>
      <c r="J730" s="50">
        <f>IF($O730="","",IF(INDEX(Firms!$J$5:$J$1004,$O730)="","—",INDEX(Firms!$J$5:$J$1004,$O730)))</f>
        <v/>
      </c>
      <c r="K730" s="50">
        <f>IF($O730="","",IF(INDEX(Firms!$K$5:$K$1004,$O730)="","—",INDEX(Firms!$K$5:$K$1004,$O730)))</f>
        <v/>
      </c>
      <c r="L730" s="50">
        <f>IF($O730="","",IF(INDEX(Firms!$L$5:$L$1004,$O730)="","—",INDEX(Firms!$L$5:$L$1004,$O730)))</f>
        <v/>
      </c>
      <c r="M730" s="50">
        <f>IF($O730="","",IF(INDEX(Firms!$M$5:$M$1004,$O730)="","—",INDEX(Firms!$M$5:$M$1004,$O730)))</f>
        <v/>
      </c>
      <c r="O730">
        <f>IFERROR(MATCH(SMALL(Firms!$Y$5:$Y$1004,722),Firms!$W$5:$W$1004,0),"")</f>
        <v/>
      </c>
    </row>
    <row r="731">
      <c r="B731" s="78">
        <f>IF($O731="","",INDEX(Firms!$A$5:$A$1004,$O731))</f>
        <v/>
      </c>
      <c r="C731" s="79">
        <f>IF($O731="","",INDEX(Firms!$N$5:$N$1004,$O731)&amp;"")</f>
        <v/>
      </c>
      <c r="D731" s="79">
        <f>IF($O731="","",INDEX(Firms!$P$5:$P$1004,$O731)&amp;"")</f>
        <v/>
      </c>
      <c r="E731" s="79">
        <f>IF($O731="","",INDEX(Firms!$O$5:$O$1004,$O731)&amp;"")</f>
        <v/>
      </c>
      <c r="F731" s="50">
        <f>IF($O731="","",IF(INDEX(Firms!$F$5:$F$1004,$O731)="","—",INDEX(Firms!$F$5:$F$1004,$O731)))</f>
        <v/>
      </c>
      <c r="G731" s="50">
        <f>IF($O731="","",IF(INDEX(Firms!$G$5:$G$1004,$O731)="","—",INDEX(Firms!$G$5:$G$1004,$O731)))</f>
        <v/>
      </c>
      <c r="H731" s="50">
        <f>IF($O731="","",IF(INDEX(Firms!$H$5:$H$1004,$O731)="","—",INDEX(Firms!$H$5:$H$1004,$O731)))</f>
        <v/>
      </c>
      <c r="I731" s="50">
        <f>IF($O731="","",IF(INDEX(Firms!$I$5:$I$1004,$O731)="","—",INDEX(Firms!$I$5:$I$1004,$O731)))</f>
        <v/>
      </c>
      <c r="J731" s="50">
        <f>IF($O731="","",IF(INDEX(Firms!$J$5:$J$1004,$O731)="","—",INDEX(Firms!$J$5:$J$1004,$O731)))</f>
        <v/>
      </c>
      <c r="K731" s="50">
        <f>IF($O731="","",IF(INDEX(Firms!$K$5:$K$1004,$O731)="","—",INDEX(Firms!$K$5:$K$1004,$O731)))</f>
        <v/>
      </c>
      <c r="L731" s="50">
        <f>IF($O731="","",IF(INDEX(Firms!$L$5:$L$1004,$O731)="","—",INDEX(Firms!$L$5:$L$1004,$O731)))</f>
        <v/>
      </c>
      <c r="M731" s="50">
        <f>IF($O731="","",IF(INDEX(Firms!$M$5:$M$1004,$O731)="","—",INDEX(Firms!$M$5:$M$1004,$O731)))</f>
        <v/>
      </c>
      <c r="O731">
        <f>IFERROR(MATCH(SMALL(Firms!$Y$5:$Y$1004,723),Firms!$W$5:$W$1004,0),"")</f>
        <v/>
      </c>
    </row>
    <row r="732">
      <c r="B732" s="78">
        <f>IF($O732="","",INDEX(Firms!$A$5:$A$1004,$O732))</f>
        <v/>
      </c>
      <c r="C732" s="79">
        <f>IF($O732="","",INDEX(Firms!$N$5:$N$1004,$O732)&amp;"")</f>
        <v/>
      </c>
      <c r="D732" s="79">
        <f>IF($O732="","",INDEX(Firms!$P$5:$P$1004,$O732)&amp;"")</f>
        <v/>
      </c>
      <c r="E732" s="79">
        <f>IF($O732="","",INDEX(Firms!$O$5:$O$1004,$O732)&amp;"")</f>
        <v/>
      </c>
      <c r="F732" s="50">
        <f>IF($O732="","",IF(INDEX(Firms!$F$5:$F$1004,$O732)="","—",INDEX(Firms!$F$5:$F$1004,$O732)))</f>
        <v/>
      </c>
      <c r="G732" s="50">
        <f>IF($O732="","",IF(INDEX(Firms!$G$5:$G$1004,$O732)="","—",INDEX(Firms!$G$5:$G$1004,$O732)))</f>
        <v/>
      </c>
      <c r="H732" s="50">
        <f>IF($O732="","",IF(INDEX(Firms!$H$5:$H$1004,$O732)="","—",INDEX(Firms!$H$5:$H$1004,$O732)))</f>
        <v/>
      </c>
      <c r="I732" s="50">
        <f>IF($O732="","",IF(INDEX(Firms!$I$5:$I$1004,$O732)="","—",INDEX(Firms!$I$5:$I$1004,$O732)))</f>
        <v/>
      </c>
      <c r="J732" s="50">
        <f>IF($O732="","",IF(INDEX(Firms!$J$5:$J$1004,$O732)="","—",INDEX(Firms!$J$5:$J$1004,$O732)))</f>
        <v/>
      </c>
      <c r="K732" s="50">
        <f>IF($O732="","",IF(INDEX(Firms!$K$5:$K$1004,$O732)="","—",INDEX(Firms!$K$5:$K$1004,$O732)))</f>
        <v/>
      </c>
      <c r="L732" s="50">
        <f>IF($O732="","",IF(INDEX(Firms!$L$5:$L$1004,$O732)="","—",INDEX(Firms!$L$5:$L$1004,$O732)))</f>
        <v/>
      </c>
      <c r="M732" s="50">
        <f>IF($O732="","",IF(INDEX(Firms!$M$5:$M$1004,$O732)="","—",INDEX(Firms!$M$5:$M$1004,$O732)))</f>
        <v/>
      </c>
      <c r="O732">
        <f>IFERROR(MATCH(SMALL(Firms!$Y$5:$Y$1004,724),Firms!$W$5:$W$1004,0),"")</f>
        <v/>
      </c>
    </row>
    <row r="733">
      <c r="B733" s="78">
        <f>IF($O733="","",INDEX(Firms!$A$5:$A$1004,$O733))</f>
        <v/>
      </c>
      <c r="C733" s="79">
        <f>IF($O733="","",INDEX(Firms!$N$5:$N$1004,$O733)&amp;"")</f>
        <v/>
      </c>
      <c r="D733" s="79">
        <f>IF($O733="","",INDEX(Firms!$P$5:$P$1004,$O733)&amp;"")</f>
        <v/>
      </c>
      <c r="E733" s="79">
        <f>IF($O733="","",INDEX(Firms!$O$5:$O$1004,$O733)&amp;"")</f>
        <v/>
      </c>
      <c r="F733" s="50">
        <f>IF($O733="","",IF(INDEX(Firms!$F$5:$F$1004,$O733)="","—",INDEX(Firms!$F$5:$F$1004,$O733)))</f>
        <v/>
      </c>
      <c r="G733" s="50">
        <f>IF($O733="","",IF(INDEX(Firms!$G$5:$G$1004,$O733)="","—",INDEX(Firms!$G$5:$G$1004,$O733)))</f>
        <v/>
      </c>
      <c r="H733" s="50">
        <f>IF($O733="","",IF(INDEX(Firms!$H$5:$H$1004,$O733)="","—",INDEX(Firms!$H$5:$H$1004,$O733)))</f>
        <v/>
      </c>
      <c r="I733" s="50">
        <f>IF($O733="","",IF(INDEX(Firms!$I$5:$I$1004,$O733)="","—",INDEX(Firms!$I$5:$I$1004,$O733)))</f>
        <v/>
      </c>
      <c r="J733" s="50">
        <f>IF($O733="","",IF(INDEX(Firms!$J$5:$J$1004,$O733)="","—",INDEX(Firms!$J$5:$J$1004,$O733)))</f>
        <v/>
      </c>
      <c r="K733" s="50">
        <f>IF($O733="","",IF(INDEX(Firms!$K$5:$K$1004,$O733)="","—",INDEX(Firms!$K$5:$K$1004,$O733)))</f>
        <v/>
      </c>
      <c r="L733" s="50">
        <f>IF($O733="","",IF(INDEX(Firms!$L$5:$L$1004,$O733)="","—",INDEX(Firms!$L$5:$L$1004,$O733)))</f>
        <v/>
      </c>
      <c r="M733" s="50">
        <f>IF($O733="","",IF(INDEX(Firms!$M$5:$M$1004,$O733)="","—",INDEX(Firms!$M$5:$M$1004,$O733)))</f>
        <v/>
      </c>
      <c r="O733">
        <f>IFERROR(MATCH(SMALL(Firms!$Y$5:$Y$1004,725),Firms!$W$5:$W$1004,0),"")</f>
        <v/>
      </c>
    </row>
    <row r="734">
      <c r="B734" s="78">
        <f>IF($O734="","",INDEX(Firms!$A$5:$A$1004,$O734))</f>
        <v/>
      </c>
      <c r="C734" s="79">
        <f>IF($O734="","",INDEX(Firms!$N$5:$N$1004,$O734)&amp;"")</f>
        <v/>
      </c>
      <c r="D734" s="79">
        <f>IF($O734="","",INDEX(Firms!$P$5:$P$1004,$O734)&amp;"")</f>
        <v/>
      </c>
      <c r="E734" s="79">
        <f>IF($O734="","",INDEX(Firms!$O$5:$O$1004,$O734)&amp;"")</f>
        <v/>
      </c>
      <c r="F734" s="50">
        <f>IF($O734="","",IF(INDEX(Firms!$F$5:$F$1004,$O734)="","—",INDEX(Firms!$F$5:$F$1004,$O734)))</f>
        <v/>
      </c>
      <c r="G734" s="50">
        <f>IF($O734="","",IF(INDEX(Firms!$G$5:$G$1004,$O734)="","—",INDEX(Firms!$G$5:$G$1004,$O734)))</f>
        <v/>
      </c>
      <c r="H734" s="50">
        <f>IF($O734="","",IF(INDEX(Firms!$H$5:$H$1004,$O734)="","—",INDEX(Firms!$H$5:$H$1004,$O734)))</f>
        <v/>
      </c>
      <c r="I734" s="50">
        <f>IF($O734="","",IF(INDEX(Firms!$I$5:$I$1004,$O734)="","—",INDEX(Firms!$I$5:$I$1004,$O734)))</f>
        <v/>
      </c>
      <c r="J734" s="50">
        <f>IF($O734="","",IF(INDEX(Firms!$J$5:$J$1004,$O734)="","—",INDEX(Firms!$J$5:$J$1004,$O734)))</f>
        <v/>
      </c>
      <c r="K734" s="50">
        <f>IF($O734="","",IF(INDEX(Firms!$K$5:$K$1004,$O734)="","—",INDEX(Firms!$K$5:$K$1004,$O734)))</f>
        <v/>
      </c>
      <c r="L734" s="50">
        <f>IF($O734="","",IF(INDEX(Firms!$L$5:$L$1004,$O734)="","—",INDEX(Firms!$L$5:$L$1004,$O734)))</f>
        <v/>
      </c>
      <c r="M734" s="50">
        <f>IF($O734="","",IF(INDEX(Firms!$M$5:$M$1004,$O734)="","—",INDEX(Firms!$M$5:$M$1004,$O734)))</f>
        <v/>
      </c>
      <c r="O734">
        <f>IFERROR(MATCH(SMALL(Firms!$Y$5:$Y$1004,726),Firms!$W$5:$W$1004,0),"")</f>
        <v/>
      </c>
    </row>
    <row r="735">
      <c r="B735" s="78">
        <f>IF($O735="","",INDEX(Firms!$A$5:$A$1004,$O735))</f>
        <v/>
      </c>
      <c r="C735" s="79">
        <f>IF($O735="","",INDEX(Firms!$N$5:$N$1004,$O735)&amp;"")</f>
        <v/>
      </c>
      <c r="D735" s="79">
        <f>IF($O735="","",INDEX(Firms!$P$5:$P$1004,$O735)&amp;"")</f>
        <v/>
      </c>
      <c r="E735" s="79">
        <f>IF($O735="","",INDEX(Firms!$O$5:$O$1004,$O735)&amp;"")</f>
        <v/>
      </c>
      <c r="F735" s="50">
        <f>IF($O735="","",IF(INDEX(Firms!$F$5:$F$1004,$O735)="","—",INDEX(Firms!$F$5:$F$1004,$O735)))</f>
        <v/>
      </c>
      <c r="G735" s="50">
        <f>IF($O735="","",IF(INDEX(Firms!$G$5:$G$1004,$O735)="","—",INDEX(Firms!$G$5:$G$1004,$O735)))</f>
        <v/>
      </c>
      <c r="H735" s="50">
        <f>IF($O735="","",IF(INDEX(Firms!$H$5:$H$1004,$O735)="","—",INDEX(Firms!$H$5:$H$1004,$O735)))</f>
        <v/>
      </c>
      <c r="I735" s="50">
        <f>IF($O735="","",IF(INDEX(Firms!$I$5:$I$1004,$O735)="","—",INDEX(Firms!$I$5:$I$1004,$O735)))</f>
        <v/>
      </c>
      <c r="J735" s="50">
        <f>IF($O735="","",IF(INDEX(Firms!$J$5:$J$1004,$O735)="","—",INDEX(Firms!$J$5:$J$1004,$O735)))</f>
        <v/>
      </c>
      <c r="K735" s="50">
        <f>IF($O735="","",IF(INDEX(Firms!$K$5:$K$1004,$O735)="","—",INDEX(Firms!$K$5:$K$1004,$O735)))</f>
        <v/>
      </c>
      <c r="L735" s="50">
        <f>IF($O735="","",IF(INDEX(Firms!$L$5:$L$1004,$O735)="","—",INDEX(Firms!$L$5:$L$1004,$O735)))</f>
        <v/>
      </c>
      <c r="M735" s="50">
        <f>IF($O735="","",IF(INDEX(Firms!$M$5:$M$1004,$O735)="","—",INDEX(Firms!$M$5:$M$1004,$O735)))</f>
        <v/>
      </c>
      <c r="O735">
        <f>IFERROR(MATCH(SMALL(Firms!$Y$5:$Y$1004,727),Firms!$W$5:$W$1004,0),"")</f>
        <v/>
      </c>
    </row>
    <row r="736">
      <c r="B736" s="78">
        <f>IF($O736="","",INDEX(Firms!$A$5:$A$1004,$O736))</f>
        <v/>
      </c>
      <c r="C736" s="79">
        <f>IF($O736="","",INDEX(Firms!$N$5:$N$1004,$O736)&amp;"")</f>
        <v/>
      </c>
      <c r="D736" s="79">
        <f>IF($O736="","",INDEX(Firms!$P$5:$P$1004,$O736)&amp;"")</f>
        <v/>
      </c>
      <c r="E736" s="79">
        <f>IF($O736="","",INDEX(Firms!$O$5:$O$1004,$O736)&amp;"")</f>
        <v/>
      </c>
      <c r="F736" s="50">
        <f>IF($O736="","",IF(INDEX(Firms!$F$5:$F$1004,$O736)="","—",INDEX(Firms!$F$5:$F$1004,$O736)))</f>
        <v/>
      </c>
      <c r="G736" s="50">
        <f>IF($O736="","",IF(INDEX(Firms!$G$5:$G$1004,$O736)="","—",INDEX(Firms!$G$5:$G$1004,$O736)))</f>
        <v/>
      </c>
      <c r="H736" s="50">
        <f>IF($O736="","",IF(INDEX(Firms!$H$5:$H$1004,$O736)="","—",INDEX(Firms!$H$5:$H$1004,$O736)))</f>
        <v/>
      </c>
      <c r="I736" s="50">
        <f>IF($O736="","",IF(INDEX(Firms!$I$5:$I$1004,$O736)="","—",INDEX(Firms!$I$5:$I$1004,$O736)))</f>
        <v/>
      </c>
      <c r="J736" s="50">
        <f>IF($O736="","",IF(INDEX(Firms!$J$5:$J$1004,$O736)="","—",INDEX(Firms!$J$5:$J$1004,$O736)))</f>
        <v/>
      </c>
      <c r="K736" s="50">
        <f>IF($O736="","",IF(INDEX(Firms!$K$5:$K$1004,$O736)="","—",INDEX(Firms!$K$5:$K$1004,$O736)))</f>
        <v/>
      </c>
      <c r="L736" s="50">
        <f>IF($O736="","",IF(INDEX(Firms!$L$5:$L$1004,$O736)="","—",INDEX(Firms!$L$5:$L$1004,$O736)))</f>
        <v/>
      </c>
      <c r="M736" s="50">
        <f>IF($O736="","",IF(INDEX(Firms!$M$5:$M$1004,$O736)="","—",INDEX(Firms!$M$5:$M$1004,$O736)))</f>
        <v/>
      </c>
      <c r="O736">
        <f>IFERROR(MATCH(SMALL(Firms!$Y$5:$Y$1004,728),Firms!$W$5:$W$1004,0),"")</f>
        <v/>
      </c>
    </row>
    <row r="737">
      <c r="B737" s="78">
        <f>IF($O737="","",INDEX(Firms!$A$5:$A$1004,$O737))</f>
        <v/>
      </c>
      <c r="C737" s="79">
        <f>IF($O737="","",INDEX(Firms!$N$5:$N$1004,$O737)&amp;"")</f>
        <v/>
      </c>
      <c r="D737" s="79">
        <f>IF($O737="","",INDEX(Firms!$P$5:$P$1004,$O737)&amp;"")</f>
        <v/>
      </c>
      <c r="E737" s="79">
        <f>IF($O737="","",INDEX(Firms!$O$5:$O$1004,$O737)&amp;"")</f>
        <v/>
      </c>
      <c r="F737" s="50">
        <f>IF($O737="","",IF(INDEX(Firms!$F$5:$F$1004,$O737)="","—",INDEX(Firms!$F$5:$F$1004,$O737)))</f>
        <v/>
      </c>
      <c r="G737" s="50">
        <f>IF($O737="","",IF(INDEX(Firms!$G$5:$G$1004,$O737)="","—",INDEX(Firms!$G$5:$G$1004,$O737)))</f>
        <v/>
      </c>
      <c r="H737" s="50">
        <f>IF($O737="","",IF(INDEX(Firms!$H$5:$H$1004,$O737)="","—",INDEX(Firms!$H$5:$H$1004,$O737)))</f>
        <v/>
      </c>
      <c r="I737" s="50">
        <f>IF($O737="","",IF(INDEX(Firms!$I$5:$I$1004,$O737)="","—",INDEX(Firms!$I$5:$I$1004,$O737)))</f>
        <v/>
      </c>
      <c r="J737" s="50">
        <f>IF($O737="","",IF(INDEX(Firms!$J$5:$J$1004,$O737)="","—",INDEX(Firms!$J$5:$J$1004,$O737)))</f>
        <v/>
      </c>
      <c r="K737" s="50">
        <f>IF($O737="","",IF(INDEX(Firms!$K$5:$K$1004,$O737)="","—",INDEX(Firms!$K$5:$K$1004,$O737)))</f>
        <v/>
      </c>
      <c r="L737" s="50">
        <f>IF($O737="","",IF(INDEX(Firms!$L$5:$L$1004,$O737)="","—",INDEX(Firms!$L$5:$L$1004,$O737)))</f>
        <v/>
      </c>
      <c r="M737" s="50">
        <f>IF($O737="","",IF(INDEX(Firms!$M$5:$M$1004,$O737)="","—",INDEX(Firms!$M$5:$M$1004,$O737)))</f>
        <v/>
      </c>
      <c r="O737">
        <f>IFERROR(MATCH(SMALL(Firms!$Y$5:$Y$1004,729),Firms!$W$5:$W$1004,0),"")</f>
        <v/>
      </c>
    </row>
    <row r="738">
      <c r="B738" s="78">
        <f>IF($O738="","",INDEX(Firms!$A$5:$A$1004,$O738))</f>
        <v/>
      </c>
      <c r="C738" s="79">
        <f>IF($O738="","",INDEX(Firms!$N$5:$N$1004,$O738)&amp;"")</f>
        <v/>
      </c>
      <c r="D738" s="79">
        <f>IF($O738="","",INDEX(Firms!$P$5:$P$1004,$O738)&amp;"")</f>
        <v/>
      </c>
      <c r="E738" s="79">
        <f>IF($O738="","",INDEX(Firms!$O$5:$O$1004,$O738)&amp;"")</f>
        <v/>
      </c>
      <c r="F738" s="50">
        <f>IF($O738="","",IF(INDEX(Firms!$F$5:$F$1004,$O738)="","—",INDEX(Firms!$F$5:$F$1004,$O738)))</f>
        <v/>
      </c>
      <c r="G738" s="50">
        <f>IF($O738="","",IF(INDEX(Firms!$G$5:$G$1004,$O738)="","—",INDEX(Firms!$G$5:$G$1004,$O738)))</f>
        <v/>
      </c>
      <c r="H738" s="50">
        <f>IF($O738="","",IF(INDEX(Firms!$H$5:$H$1004,$O738)="","—",INDEX(Firms!$H$5:$H$1004,$O738)))</f>
        <v/>
      </c>
      <c r="I738" s="50">
        <f>IF($O738="","",IF(INDEX(Firms!$I$5:$I$1004,$O738)="","—",INDEX(Firms!$I$5:$I$1004,$O738)))</f>
        <v/>
      </c>
      <c r="J738" s="50">
        <f>IF($O738="","",IF(INDEX(Firms!$J$5:$J$1004,$O738)="","—",INDEX(Firms!$J$5:$J$1004,$O738)))</f>
        <v/>
      </c>
      <c r="K738" s="50">
        <f>IF($O738="","",IF(INDEX(Firms!$K$5:$K$1004,$O738)="","—",INDEX(Firms!$K$5:$K$1004,$O738)))</f>
        <v/>
      </c>
      <c r="L738" s="50">
        <f>IF($O738="","",IF(INDEX(Firms!$L$5:$L$1004,$O738)="","—",INDEX(Firms!$L$5:$L$1004,$O738)))</f>
        <v/>
      </c>
      <c r="M738" s="50">
        <f>IF($O738="","",IF(INDEX(Firms!$M$5:$M$1004,$O738)="","—",INDEX(Firms!$M$5:$M$1004,$O738)))</f>
        <v/>
      </c>
      <c r="O738">
        <f>IFERROR(MATCH(SMALL(Firms!$Y$5:$Y$1004,730),Firms!$W$5:$W$1004,0),"")</f>
        <v/>
      </c>
    </row>
    <row r="739">
      <c r="B739" s="78">
        <f>IF($O739="","",INDEX(Firms!$A$5:$A$1004,$O739))</f>
        <v/>
      </c>
      <c r="C739" s="79">
        <f>IF($O739="","",INDEX(Firms!$N$5:$N$1004,$O739)&amp;"")</f>
        <v/>
      </c>
      <c r="D739" s="79">
        <f>IF($O739="","",INDEX(Firms!$P$5:$P$1004,$O739)&amp;"")</f>
        <v/>
      </c>
      <c r="E739" s="79">
        <f>IF($O739="","",INDEX(Firms!$O$5:$O$1004,$O739)&amp;"")</f>
        <v/>
      </c>
      <c r="F739" s="50">
        <f>IF($O739="","",IF(INDEX(Firms!$F$5:$F$1004,$O739)="","—",INDEX(Firms!$F$5:$F$1004,$O739)))</f>
        <v/>
      </c>
      <c r="G739" s="50">
        <f>IF($O739="","",IF(INDEX(Firms!$G$5:$G$1004,$O739)="","—",INDEX(Firms!$G$5:$G$1004,$O739)))</f>
        <v/>
      </c>
      <c r="H739" s="50">
        <f>IF($O739="","",IF(INDEX(Firms!$H$5:$H$1004,$O739)="","—",INDEX(Firms!$H$5:$H$1004,$O739)))</f>
        <v/>
      </c>
      <c r="I739" s="50">
        <f>IF($O739="","",IF(INDEX(Firms!$I$5:$I$1004,$O739)="","—",INDEX(Firms!$I$5:$I$1004,$O739)))</f>
        <v/>
      </c>
      <c r="J739" s="50">
        <f>IF($O739="","",IF(INDEX(Firms!$J$5:$J$1004,$O739)="","—",INDEX(Firms!$J$5:$J$1004,$O739)))</f>
        <v/>
      </c>
      <c r="K739" s="50">
        <f>IF($O739="","",IF(INDEX(Firms!$K$5:$K$1004,$O739)="","—",INDEX(Firms!$K$5:$K$1004,$O739)))</f>
        <v/>
      </c>
      <c r="L739" s="50">
        <f>IF($O739="","",IF(INDEX(Firms!$L$5:$L$1004,$O739)="","—",INDEX(Firms!$L$5:$L$1004,$O739)))</f>
        <v/>
      </c>
      <c r="M739" s="50">
        <f>IF($O739="","",IF(INDEX(Firms!$M$5:$M$1004,$O739)="","—",INDEX(Firms!$M$5:$M$1004,$O739)))</f>
        <v/>
      </c>
      <c r="O739">
        <f>IFERROR(MATCH(SMALL(Firms!$Y$5:$Y$1004,731),Firms!$W$5:$W$1004,0),"")</f>
        <v/>
      </c>
    </row>
    <row r="740">
      <c r="B740" s="78">
        <f>IF($O740="","",INDEX(Firms!$A$5:$A$1004,$O740))</f>
        <v/>
      </c>
      <c r="C740" s="79">
        <f>IF($O740="","",INDEX(Firms!$N$5:$N$1004,$O740)&amp;"")</f>
        <v/>
      </c>
      <c r="D740" s="79">
        <f>IF($O740="","",INDEX(Firms!$P$5:$P$1004,$O740)&amp;"")</f>
        <v/>
      </c>
      <c r="E740" s="79">
        <f>IF($O740="","",INDEX(Firms!$O$5:$O$1004,$O740)&amp;"")</f>
        <v/>
      </c>
      <c r="F740" s="50">
        <f>IF($O740="","",IF(INDEX(Firms!$F$5:$F$1004,$O740)="","—",INDEX(Firms!$F$5:$F$1004,$O740)))</f>
        <v/>
      </c>
      <c r="G740" s="50">
        <f>IF($O740="","",IF(INDEX(Firms!$G$5:$G$1004,$O740)="","—",INDEX(Firms!$G$5:$G$1004,$O740)))</f>
        <v/>
      </c>
      <c r="H740" s="50">
        <f>IF($O740="","",IF(INDEX(Firms!$H$5:$H$1004,$O740)="","—",INDEX(Firms!$H$5:$H$1004,$O740)))</f>
        <v/>
      </c>
      <c r="I740" s="50">
        <f>IF($O740="","",IF(INDEX(Firms!$I$5:$I$1004,$O740)="","—",INDEX(Firms!$I$5:$I$1004,$O740)))</f>
        <v/>
      </c>
      <c r="J740" s="50">
        <f>IF($O740="","",IF(INDEX(Firms!$J$5:$J$1004,$O740)="","—",INDEX(Firms!$J$5:$J$1004,$O740)))</f>
        <v/>
      </c>
      <c r="K740" s="50">
        <f>IF($O740="","",IF(INDEX(Firms!$K$5:$K$1004,$O740)="","—",INDEX(Firms!$K$5:$K$1004,$O740)))</f>
        <v/>
      </c>
      <c r="L740" s="50">
        <f>IF($O740="","",IF(INDEX(Firms!$L$5:$L$1004,$O740)="","—",INDEX(Firms!$L$5:$L$1004,$O740)))</f>
        <v/>
      </c>
      <c r="M740" s="50">
        <f>IF($O740="","",IF(INDEX(Firms!$M$5:$M$1004,$O740)="","—",INDEX(Firms!$M$5:$M$1004,$O740)))</f>
        <v/>
      </c>
      <c r="O740">
        <f>IFERROR(MATCH(SMALL(Firms!$Y$5:$Y$1004,732),Firms!$W$5:$W$1004,0),"")</f>
        <v/>
      </c>
    </row>
    <row r="741">
      <c r="B741" s="78">
        <f>IF($O741="","",INDEX(Firms!$A$5:$A$1004,$O741))</f>
        <v/>
      </c>
      <c r="C741" s="79">
        <f>IF($O741="","",INDEX(Firms!$N$5:$N$1004,$O741)&amp;"")</f>
        <v/>
      </c>
      <c r="D741" s="79">
        <f>IF($O741="","",INDEX(Firms!$P$5:$P$1004,$O741)&amp;"")</f>
        <v/>
      </c>
      <c r="E741" s="79">
        <f>IF($O741="","",INDEX(Firms!$O$5:$O$1004,$O741)&amp;"")</f>
        <v/>
      </c>
      <c r="F741" s="50">
        <f>IF($O741="","",IF(INDEX(Firms!$F$5:$F$1004,$O741)="","—",INDEX(Firms!$F$5:$F$1004,$O741)))</f>
        <v/>
      </c>
      <c r="G741" s="50">
        <f>IF($O741="","",IF(INDEX(Firms!$G$5:$G$1004,$O741)="","—",INDEX(Firms!$G$5:$G$1004,$O741)))</f>
        <v/>
      </c>
      <c r="H741" s="50">
        <f>IF($O741="","",IF(INDEX(Firms!$H$5:$H$1004,$O741)="","—",INDEX(Firms!$H$5:$H$1004,$O741)))</f>
        <v/>
      </c>
      <c r="I741" s="50">
        <f>IF($O741="","",IF(INDEX(Firms!$I$5:$I$1004,$O741)="","—",INDEX(Firms!$I$5:$I$1004,$O741)))</f>
        <v/>
      </c>
      <c r="J741" s="50">
        <f>IF($O741="","",IF(INDEX(Firms!$J$5:$J$1004,$O741)="","—",INDEX(Firms!$J$5:$J$1004,$O741)))</f>
        <v/>
      </c>
      <c r="K741" s="50">
        <f>IF($O741="","",IF(INDEX(Firms!$K$5:$K$1004,$O741)="","—",INDEX(Firms!$K$5:$K$1004,$O741)))</f>
        <v/>
      </c>
      <c r="L741" s="50">
        <f>IF($O741="","",IF(INDEX(Firms!$L$5:$L$1004,$O741)="","—",INDEX(Firms!$L$5:$L$1004,$O741)))</f>
        <v/>
      </c>
      <c r="M741" s="50">
        <f>IF($O741="","",IF(INDEX(Firms!$M$5:$M$1004,$O741)="","—",INDEX(Firms!$M$5:$M$1004,$O741)))</f>
        <v/>
      </c>
      <c r="O741">
        <f>IFERROR(MATCH(SMALL(Firms!$Y$5:$Y$1004,733),Firms!$W$5:$W$1004,0),"")</f>
        <v/>
      </c>
    </row>
    <row r="742">
      <c r="B742" s="78">
        <f>IF($O742="","",INDEX(Firms!$A$5:$A$1004,$O742))</f>
        <v/>
      </c>
      <c r="C742" s="79">
        <f>IF($O742="","",INDEX(Firms!$N$5:$N$1004,$O742)&amp;"")</f>
        <v/>
      </c>
      <c r="D742" s="79">
        <f>IF($O742="","",INDEX(Firms!$P$5:$P$1004,$O742)&amp;"")</f>
        <v/>
      </c>
      <c r="E742" s="79">
        <f>IF($O742="","",INDEX(Firms!$O$5:$O$1004,$O742)&amp;"")</f>
        <v/>
      </c>
      <c r="F742" s="50">
        <f>IF($O742="","",IF(INDEX(Firms!$F$5:$F$1004,$O742)="","—",INDEX(Firms!$F$5:$F$1004,$O742)))</f>
        <v/>
      </c>
      <c r="G742" s="50">
        <f>IF($O742="","",IF(INDEX(Firms!$G$5:$G$1004,$O742)="","—",INDEX(Firms!$G$5:$G$1004,$O742)))</f>
        <v/>
      </c>
      <c r="H742" s="50">
        <f>IF($O742="","",IF(INDEX(Firms!$H$5:$H$1004,$O742)="","—",INDEX(Firms!$H$5:$H$1004,$O742)))</f>
        <v/>
      </c>
      <c r="I742" s="50">
        <f>IF($O742="","",IF(INDEX(Firms!$I$5:$I$1004,$O742)="","—",INDEX(Firms!$I$5:$I$1004,$O742)))</f>
        <v/>
      </c>
      <c r="J742" s="50">
        <f>IF($O742="","",IF(INDEX(Firms!$J$5:$J$1004,$O742)="","—",INDEX(Firms!$J$5:$J$1004,$O742)))</f>
        <v/>
      </c>
      <c r="K742" s="50">
        <f>IF($O742="","",IF(INDEX(Firms!$K$5:$K$1004,$O742)="","—",INDEX(Firms!$K$5:$K$1004,$O742)))</f>
        <v/>
      </c>
      <c r="L742" s="50">
        <f>IF($O742="","",IF(INDEX(Firms!$L$5:$L$1004,$O742)="","—",INDEX(Firms!$L$5:$L$1004,$O742)))</f>
        <v/>
      </c>
      <c r="M742" s="50">
        <f>IF($O742="","",IF(INDEX(Firms!$M$5:$M$1004,$O742)="","—",INDEX(Firms!$M$5:$M$1004,$O742)))</f>
        <v/>
      </c>
      <c r="O742">
        <f>IFERROR(MATCH(SMALL(Firms!$Y$5:$Y$1004,734),Firms!$W$5:$W$1004,0),"")</f>
        <v/>
      </c>
    </row>
    <row r="743">
      <c r="B743" s="78">
        <f>IF($O743="","",INDEX(Firms!$A$5:$A$1004,$O743))</f>
        <v/>
      </c>
      <c r="C743" s="79">
        <f>IF($O743="","",INDEX(Firms!$N$5:$N$1004,$O743)&amp;"")</f>
        <v/>
      </c>
      <c r="D743" s="79">
        <f>IF($O743="","",INDEX(Firms!$P$5:$P$1004,$O743)&amp;"")</f>
        <v/>
      </c>
      <c r="E743" s="79">
        <f>IF($O743="","",INDEX(Firms!$O$5:$O$1004,$O743)&amp;"")</f>
        <v/>
      </c>
      <c r="F743" s="50">
        <f>IF($O743="","",IF(INDEX(Firms!$F$5:$F$1004,$O743)="","—",INDEX(Firms!$F$5:$F$1004,$O743)))</f>
        <v/>
      </c>
      <c r="G743" s="50">
        <f>IF($O743="","",IF(INDEX(Firms!$G$5:$G$1004,$O743)="","—",INDEX(Firms!$G$5:$G$1004,$O743)))</f>
        <v/>
      </c>
      <c r="H743" s="50">
        <f>IF($O743="","",IF(INDEX(Firms!$H$5:$H$1004,$O743)="","—",INDEX(Firms!$H$5:$H$1004,$O743)))</f>
        <v/>
      </c>
      <c r="I743" s="50">
        <f>IF($O743="","",IF(INDEX(Firms!$I$5:$I$1004,$O743)="","—",INDEX(Firms!$I$5:$I$1004,$O743)))</f>
        <v/>
      </c>
      <c r="J743" s="50">
        <f>IF($O743="","",IF(INDEX(Firms!$J$5:$J$1004,$O743)="","—",INDEX(Firms!$J$5:$J$1004,$O743)))</f>
        <v/>
      </c>
      <c r="K743" s="50">
        <f>IF($O743="","",IF(INDEX(Firms!$K$5:$K$1004,$O743)="","—",INDEX(Firms!$K$5:$K$1004,$O743)))</f>
        <v/>
      </c>
      <c r="L743" s="50">
        <f>IF($O743="","",IF(INDEX(Firms!$L$5:$L$1004,$O743)="","—",INDEX(Firms!$L$5:$L$1004,$O743)))</f>
        <v/>
      </c>
      <c r="M743" s="50">
        <f>IF($O743="","",IF(INDEX(Firms!$M$5:$M$1004,$O743)="","—",INDEX(Firms!$M$5:$M$1004,$O743)))</f>
        <v/>
      </c>
      <c r="O743">
        <f>IFERROR(MATCH(SMALL(Firms!$Y$5:$Y$1004,735),Firms!$W$5:$W$1004,0),"")</f>
        <v/>
      </c>
    </row>
    <row r="744">
      <c r="B744" s="78">
        <f>IF($O744="","",INDEX(Firms!$A$5:$A$1004,$O744))</f>
        <v/>
      </c>
      <c r="C744" s="79">
        <f>IF($O744="","",INDEX(Firms!$N$5:$N$1004,$O744)&amp;"")</f>
        <v/>
      </c>
      <c r="D744" s="79">
        <f>IF($O744="","",INDEX(Firms!$P$5:$P$1004,$O744)&amp;"")</f>
        <v/>
      </c>
      <c r="E744" s="79">
        <f>IF($O744="","",INDEX(Firms!$O$5:$O$1004,$O744)&amp;"")</f>
        <v/>
      </c>
      <c r="F744" s="50">
        <f>IF($O744="","",IF(INDEX(Firms!$F$5:$F$1004,$O744)="","—",INDEX(Firms!$F$5:$F$1004,$O744)))</f>
        <v/>
      </c>
      <c r="G744" s="50">
        <f>IF($O744="","",IF(INDEX(Firms!$G$5:$G$1004,$O744)="","—",INDEX(Firms!$G$5:$G$1004,$O744)))</f>
        <v/>
      </c>
      <c r="H744" s="50">
        <f>IF($O744="","",IF(INDEX(Firms!$H$5:$H$1004,$O744)="","—",INDEX(Firms!$H$5:$H$1004,$O744)))</f>
        <v/>
      </c>
      <c r="I744" s="50">
        <f>IF($O744="","",IF(INDEX(Firms!$I$5:$I$1004,$O744)="","—",INDEX(Firms!$I$5:$I$1004,$O744)))</f>
        <v/>
      </c>
      <c r="J744" s="50">
        <f>IF($O744="","",IF(INDEX(Firms!$J$5:$J$1004,$O744)="","—",INDEX(Firms!$J$5:$J$1004,$O744)))</f>
        <v/>
      </c>
      <c r="K744" s="50">
        <f>IF($O744="","",IF(INDEX(Firms!$K$5:$K$1004,$O744)="","—",INDEX(Firms!$K$5:$K$1004,$O744)))</f>
        <v/>
      </c>
      <c r="L744" s="50">
        <f>IF($O744="","",IF(INDEX(Firms!$L$5:$L$1004,$O744)="","—",INDEX(Firms!$L$5:$L$1004,$O744)))</f>
        <v/>
      </c>
      <c r="M744" s="50">
        <f>IF($O744="","",IF(INDEX(Firms!$M$5:$M$1004,$O744)="","—",INDEX(Firms!$M$5:$M$1004,$O744)))</f>
        <v/>
      </c>
      <c r="O744">
        <f>IFERROR(MATCH(SMALL(Firms!$Y$5:$Y$1004,736),Firms!$W$5:$W$1004,0),"")</f>
        <v/>
      </c>
    </row>
    <row r="745">
      <c r="B745" s="78">
        <f>IF($O745="","",INDEX(Firms!$A$5:$A$1004,$O745))</f>
        <v/>
      </c>
      <c r="C745" s="79">
        <f>IF($O745="","",INDEX(Firms!$N$5:$N$1004,$O745)&amp;"")</f>
        <v/>
      </c>
      <c r="D745" s="79">
        <f>IF($O745="","",INDEX(Firms!$P$5:$P$1004,$O745)&amp;"")</f>
        <v/>
      </c>
      <c r="E745" s="79">
        <f>IF($O745="","",INDEX(Firms!$O$5:$O$1004,$O745)&amp;"")</f>
        <v/>
      </c>
      <c r="F745" s="50">
        <f>IF($O745="","",IF(INDEX(Firms!$F$5:$F$1004,$O745)="","—",INDEX(Firms!$F$5:$F$1004,$O745)))</f>
        <v/>
      </c>
      <c r="G745" s="50">
        <f>IF($O745="","",IF(INDEX(Firms!$G$5:$G$1004,$O745)="","—",INDEX(Firms!$G$5:$G$1004,$O745)))</f>
        <v/>
      </c>
      <c r="H745" s="50">
        <f>IF($O745="","",IF(INDEX(Firms!$H$5:$H$1004,$O745)="","—",INDEX(Firms!$H$5:$H$1004,$O745)))</f>
        <v/>
      </c>
      <c r="I745" s="50">
        <f>IF($O745="","",IF(INDEX(Firms!$I$5:$I$1004,$O745)="","—",INDEX(Firms!$I$5:$I$1004,$O745)))</f>
        <v/>
      </c>
      <c r="J745" s="50">
        <f>IF($O745="","",IF(INDEX(Firms!$J$5:$J$1004,$O745)="","—",INDEX(Firms!$J$5:$J$1004,$O745)))</f>
        <v/>
      </c>
      <c r="K745" s="50">
        <f>IF($O745="","",IF(INDEX(Firms!$K$5:$K$1004,$O745)="","—",INDEX(Firms!$K$5:$K$1004,$O745)))</f>
        <v/>
      </c>
      <c r="L745" s="50">
        <f>IF($O745="","",IF(INDEX(Firms!$L$5:$L$1004,$O745)="","—",INDEX(Firms!$L$5:$L$1004,$O745)))</f>
        <v/>
      </c>
      <c r="M745" s="50">
        <f>IF($O745="","",IF(INDEX(Firms!$M$5:$M$1004,$O745)="","—",INDEX(Firms!$M$5:$M$1004,$O745)))</f>
        <v/>
      </c>
      <c r="O745">
        <f>IFERROR(MATCH(SMALL(Firms!$Y$5:$Y$1004,737),Firms!$W$5:$W$1004,0),"")</f>
        <v/>
      </c>
    </row>
    <row r="746">
      <c r="B746" s="78">
        <f>IF($O746="","",INDEX(Firms!$A$5:$A$1004,$O746))</f>
        <v/>
      </c>
      <c r="C746" s="79">
        <f>IF($O746="","",INDEX(Firms!$N$5:$N$1004,$O746)&amp;"")</f>
        <v/>
      </c>
      <c r="D746" s="79">
        <f>IF($O746="","",INDEX(Firms!$P$5:$P$1004,$O746)&amp;"")</f>
        <v/>
      </c>
      <c r="E746" s="79">
        <f>IF($O746="","",INDEX(Firms!$O$5:$O$1004,$O746)&amp;"")</f>
        <v/>
      </c>
      <c r="F746" s="50">
        <f>IF($O746="","",IF(INDEX(Firms!$F$5:$F$1004,$O746)="","—",INDEX(Firms!$F$5:$F$1004,$O746)))</f>
        <v/>
      </c>
      <c r="G746" s="50">
        <f>IF($O746="","",IF(INDEX(Firms!$G$5:$G$1004,$O746)="","—",INDEX(Firms!$G$5:$G$1004,$O746)))</f>
        <v/>
      </c>
      <c r="H746" s="50">
        <f>IF($O746="","",IF(INDEX(Firms!$H$5:$H$1004,$O746)="","—",INDEX(Firms!$H$5:$H$1004,$O746)))</f>
        <v/>
      </c>
      <c r="I746" s="50">
        <f>IF($O746="","",IF(INDEX(Firms!$I$5:$I$1004,$O746)="","—",INDEX(Firms!$I$5:$I$1004,$O746)))</f>
        <v/>
      </c>
      <c r="J746" s="50">
        <f>IF($O746="","",IF(INDEX(Firms!$J$5:$J$1004,$O746)="","—",INDEX(Firms!$J$5:$J$1004,$O746)))</f>
        <v/>
      </c>
      <c r="K746" s="50">
        <f>IF($O746="","",IF(INDEX(Firms!$K$5:$K$1004,$O746)="","—",INDEX(Firms!$K$5:$K$1004,$O746)))</f>
        <v/>
      </c>
      <c r="L746" s="50">
        <f>IF($O746="","",IF(INDEX(Firms!$L$5:$L$1004,$O746)="","—",INDEX(Firms!$L$5:$L$1004,$O746)))</f>
        <v/>
      </c>
      <c r="M746" s="50">
        <f>IF($O746="","",IF(INDEX(Firms!$M$5:$M$1004,$O746)="","—",INDEX(Firms!$M$5:$M$1004,$O746)))</f>
        <v/>
      </c>
      <c r="O746">
        <f>IFERROR(MATCH(SMALL(Firms!$Y$5:$Y$1004,738),Firms!$W$5:$W$1004,0),"")</f>
        <v/>
      </c>
    </row>
    <row r="747">
      <c r="B747" s="78">
        <f>IF($O747="","",INDEX(Firms!$A$5:$A$1004,$O747))</f>
        <v/>
      </c>
      <c r="C747" s="79">
        <f>IF($O747="","",INDEX(Firms!$N$5:$N$1004,$O747)&amp;"")</f>
        <v/>
      </c>
      <c r="D747" s="79">
        <f>IF($O747="","",INDEX(Firms!$P$5:$P$1004,$O747)&amp;"")</f>
        <v/>
      </c>
      <c r="E747" s="79">
        <f>IF($O747="","",INDEX(Firms!$O$5:$O$1004,$O747)&amp;"")</f>
        <v/>
      </c>
      <c r="F747" s="50">
        <f>IF($O747="","",IF(INDEX(Firms!$F$5:$F$1004,$O747)="","—",INDEX(Firms!$F$5:$F$1004,$O747)))</f>
        <v/>
      </c>
      <c r="G747" s="50">
        <f>IF($O747="","",IF(INDEX(Firms!$G$5:$G$1004,$O747)="","—",INDEX(Firms!$G$5:$G$1004,$O747)))</f>
        <v/>
      </c>
      <c r="H747" s="50">
        <f>IF($O747="","",IF(INDEX(Firms!$H$5:$H$1004,$O747)="","—",INDEX(Firms!$H$5:$H$1004,$O747)))</f>
        <v/>
      </c>
      <c r="I747" s="50">
        <f>IF($O747="","",IF(INDEX(Firms!$I$5:$I$1004,$O747)="","—",INDEX(Firms!$I$5:$I$1004,$O747)))</f>
        <v/>
      </c>
      <c r="J747" s="50">
        <f>IF($O747="","",IF(INDEX(Firms!$J$5:$J$1004,$O747)="","—",INDEX(Firms!$J$5:$J$1004,$O747)))</f>
        <v/>
      </c>
      <c r="K747" s="50">
        <f>IF($O747="","",IF(INDEX(Firms!$K$5:$K$1004,$O747)="","—",INDEX(Firms!$K$5:$K$1004,$O747)))</f>
        <v/>
      </c>
      <c r="L747" s="50">
        <f>IF($O747="","",IF(INDEX(Firms!$L$5:$L$1004,$O747)="","—",INDEX(Firms!$L$5:$L$1004,$O747)))</f>
        <v/>
      </c>
      <c r="M747" s="50">
        <f>IF($O747="","",IF(INDEX(Firms!$M$5:$M$1004,$O747)="","—",INDEX(Firms!$M$5:$M$1004,$O747)))</f>
        <v/>
      </c>
      <c r="O747">
        <f>IFERROR(MATCH(SMALL(Firms!$Y$5:$Y$1004,739),Firms!$W$5:$W$1004,0),"")</f>
        <v/>
      </c>
    </row>
    <row r="748">
      <c r="B748" s="78">
        <f>IF($O748="","",INDEX(Firms!$A$5:$A$1004,$O748))</f>
        <v/>
      </c>
      <c r="C748" s="79">
        <f>IF($O748="","",INDEX(Firms!$N$5:$N$1004,$O748)&amp;"")</f>
        <v/>
      </c>
      <c r="D748" s="79">
        <f>IF($O748="","",INDEX(Firms!$P$5:$P$1004,$O748)&amp;"")</f>
        <v/>
      </c>
      <c r="E748" s="79">
        <f>IF($O748="","",INDEX(Firms!$O$5:$O$1004,$O748)&amp;"")</f>
        <v/>
      </c>
      <c r="F748" s="50">
        <f>IF($O748="","",IF(INDEX(Firms!$F$5:$F$1004,$O748)="","—",INDEX(Firms!$F$5:$F$1004,$O748)))</f>
        <v/>
      </c>
      <c r="G748" s="50">
        <f>IF($O748="","",IF(INDEX(Firms!$G$5:$G$1004,$O748)="","—",INDEX(Firms!$G$5:$G$1004,$O748)))</f>
        <v/>
      </c>
      <c r="H748" s="50">
        <f>IF($O748="","",IF(INDEX(Firms!$H$5:$H$1004,$O748)="","—",INDEX(Firms!$H$5:$H$1004,$O748)))</f>
        <v/>
      </c>
      <c r="I748" s="50">
        <f>IF($O748="","",IF(INDEX(Firms!$I$5:$I$1004,$O748)="","—",INDEX(Firms!$I$5:$I$1004,$O748)))</f>
        <v/>
      </c>
      <c r="J748" s="50">
        <f>IF($O748="","",IF(INDEX(Firms!$J$5:$J$1004,$O748)="","—",INDEX(Firms!$J$5:$J$1004,$O748)))</f>
        <v/>
      </c>
      <c r="K748" s="50">
        <f>IF($O748="","",IF(INDEX(Firms!$K$5:$K$1004,$O748)="","—",INDEX(Firms!$K$5:$K$1004,$O748)))</f>
        <v/>
      </c>
      <c r="L748" s="50">
        <f>IF($O748="","",IF(INDEX(Firms!$L$5:$L$1004,$O748)="","—",INDEX(Firms!$L$5:$L$1004,$O748)))</f>
        <v/>
      </c>
      <c r="M748" s="50">
        <f>IF($O748="","",IF(INDEX(Firms!$M$5:$M$1004,$O748)="","—",INDEX(Firms!$M$5:$M$1004,$O748)))</f>
        <v/>
      </c>
      <c r="O748">
        <f>IFERROR(MATCH(SMALL(Firms!$Y$5:$Y$1004,740),Firms!$W$5:$W$1004,0),"")</f>
        <v/>
      </c>
    </row>
    <row r="749">
      <c r="B749" s="78">
        <f>IF($O749="","",INDEX(Firms!$A$5:$A$1004,$O749))</f>
        <v/>
      </c>
      <c r="C749" s="79">
        <f>IF($O749="","",INDEX(Firms!$N$5:$N$1004,$O749)&amp;"")</f>
        <v/>
      </c>
      <c r="D749" s="79">
        <f>IF($O749="","",INDEX(Firms!$P$5:$P$1004,$O749)&amp;"")</f>
        <v/>
      </c>
      <c r="E749" s="79">
        <f>IF($O749="","",INDEX(Firms!$O$5:$O$1004,$O749)&amp;"")</f>
        <v/>
      </c>
      <c r="F749" s="50">
        <f>IF($O749="","",IF(INDEX(Firms!$F$5:$F$1004,$O749)="","—",INDEX(Firms!$F$5:$F$1004,$O749)))</f>
        <v/>
      </c>
      <c r="G749" s="50">
        <f>IF($O749="","",IF(INDEX(Firms!$G$5:$G$1004,$O749)="","—",INDEX(Firms!$G$5:$G$1004,$O749)))</f>
        <v/>
      </c>
      <c r="H749" s="50">
        <f>IF($O749="","",IF(INDEX(Firms!$H$5:$H$1004,$O749)="","—",INDEX(Firms!$H$5:$H$1004,$O749)))</f>
        <v/>
      </c>
      <c r="I749" s="50">
        <f>IF($O749="","",IF(INDEX(Firms!$I$5:$I$1004,$O749)="","—",INDEX(Firms!$I$5:$I$1004,$O749)))</f>
        <v/>
      </c>
      <c r="J749" s="50">
        <f>IF($O749="","",IF(INDEX(Firms!$J$5:$J$1004,$O749)="","—",INDEX(Firms!$J$5:$J$1004,$O749)))</f>
        <v/>
      </c>
      <c r="K749" s="50">
        <f>IF($O749="","",IF(INDEX(Firms!$K$5:$K$1004,$O749)="","—",INDEX(Firms!$K$5:$K$1004,$O749)))</f>
        <v/>
      </c>
      <c r="L749" s="50">
        <f>IF($O749="","",IF(INDEX(Firms!$L$5:$L$1004,$O749)="","—",INDEX(Firms!$L$5:$L$1004,$O749)))</f>
        <v/>
      </c>
      <c r="M749" s="50">
        <f>IF($O749="","",IF(INDEX(Firms!$M$5:$M$1004,$O749)="","—",INDEX(Firms!$M$5:$M$1004,$O749)))</f>
        <v/>
      </c>
      <c r="O749">
        <f>IFERROR(MATCH(SMALL(Firms!$Y$5:$Y$1004,741),Firms!$W$5:$W$1004,0),"")</f>
        <v/>
      </c>
    </row>
    <row r="750">
      <c r="B750" s="78">
        <f>IF($O750="","",INDEX(Firms!$A$5:$A$1004,$O750))</f>
        <v/>
      </c>
      <c r="C750" s="79">
        <f>IF($O750="","",INDEX(Firms!$N$5:$N$1004,$O750)&amp;"")</f>
        <v/>
      </c>
      <c r="D750" s="79">
        <f>IF($O750="","",INDEX(Firms!$P$5:$P$1004,$O750)&amp;"")</f>
        <v/>
      </c>
      <c r="E750" s="79">
        <f>IF($O750="","",INDEX(Firms!$O$5:$O$1004,$O750)&amp;"")</f>
        <v/>
      </c>
      <c r="F750" s="50">
        <f>IF($O750="","",IF(INDEX(Firms!$F$5:$F$1004,$O750)="","—",INDEX(Firms!$F$5:$F$1004,$O750)))</f>
        <v/>
      </c>
      <c r="G750" s="50">
        <f>IF($O750="","",IF(INDEX(Firms!$G$5:$G$1004,$O750)="","—",INDEX(Firms!$G$5:$G$1004,$O750)))</f>
        <v/>
      </c>
      <c r="H750" s="50">
        <f>IF($O750="","",IF(INDEX(Firms!$H$5:$H$1004,$O750)="","—",INDEX(Firms!$H$5:$H$1004,$O750)))</f>
        <v/>
      </c>
      <c r="I750" s="50">
        <f>IF($O750="","",IF(INDEX(Firms!$I$5:$I$1004,$O750)="","—",INDEX(Firms!$I$5:$I$1004,$O750)))</f>
        <v/>
      </c>
      <c r="J750" s="50">
        <f>IF($O750="","",IF(INDEX(Firms!$J$5:$J$1004,$O750)="","—",INDEX(Firms!$J$5:$J$1004,$O750)))</f>
        <v/>
      </c>
      <c r="K750" s="50">
        <f>IF($O750="","",IF(INDEX(Firms!$K$5:$K$1004,$O750)="","—",INDEX(Firms!$K$5:$K$1004,$O750)))</f>
        <v/>
      </c>
      <c r="L750" s="50">
        <f>IF($O750="","",IF(INDEX(Firms!$L$5:$L$1004,$O750)="","—",INDEX(Firms!$L$5:$L$1004,$O750)))</f>
        <v/>
      </c>
      <c r="M750" s="50">
        <f>IF($O750="","",IF(INDEX(Firms!$M$5:$M$1004,$O750)="","—",INDEX(Firms!$M$5:$M$1004,$O750)))</f>
        <v/>
      </c>
      <c r="O750">
        <f>IFERROR(MATCH(SMALL(Firms!$Y$5:$Y$1004,742),Firms!$W$5:$W$1004,0),"")</f>
        <v/>
      </c>
    </row>
    <row r="751">
      <c r="B751" s="78">
        <f>IF($O751="","",INDEX(Firms!$A$5:$A$1004,$O751))</f>
        <v/>
      </c>
      <c r="C751" s="79">
        <f>IF($O751="","",INDEX(Firms!$N$5:$N$1004,$O751)&amp;"")</f>
        <v/>
      </c>
      <c r="D751" s="79">
        <f>IF($O751="","",INDEX(Firms!$P$5:$P$1004,$O751)&amp;"")</f>
        <v/>
      </c>
      <c r="E751" s="79">
        <f>IF($O751="","",INDEX(Firms!$O$5:$O$1004,$O751)&amp;"")</f>
        <v/>
      </c>
      <c r="F751" s="50">
        <f>IF($O751="","",IF(INDEX(Firms!$F$5:$F$1004,$O751)="","—",INDEX(Firms!$F$5:$F$1004,$O751)))</f>
        <v/>
      </c>
      <c r="G751" s="50">
        <f>IF($O751="","",IF(INDEX(Firms!$G$5:$G$1004,$O751)="","—",INDEX(Firms!$G$5:$G$1004,$O751)))</f>
        <v/>
      </c>
      <c r="H751" s="50">
        <f>IF($O751="","",IF(INDEX(Firms!$H$5:$H$1004,$O751)="","—",INDEX(Firms!$H$5:$H$1004,$O751)))</f>
        <v/>
      </c>
      <c r="I751" s="50">
        <f>IF($O751="","",IF(INDEX(Firms!$I$5:$I$1004,$O751)="","—",INDEX(Firms!$I$5:$I$1004,$O751)))</f>
        <v/>
      </c>
      <c r="J751" s="50">
        <f>IF($O751="","",IF(INDEX(Firms!$J$5:$J$1004,$O751)="","—",INDEX(Firms!$J$5:$J$1004,$O751)))</f>
        <v/>
      </c>
      <c r="K751" s="50">
        <f>IF($O751="","",IF(INDEX(Firms!$K$5:$K$1004,$O751)="","—",INDEX(Firms!$K$5:$K$1004,$O751)))</f>
        <v/>
      </c>
      <c r="L751" s="50">
        <f>IF($O751="","",IF(INDEX(Firms!$L$5:$L$1004,$O751)="","—",INDEX(Firms!$L$5:$L$1004,$O751)))</f>
        <v/>
      </c>
      <c r="M751" s="50">
        <f>IF($O751="","",IF(INDEX(Firms!$M$5:$M$1004,$O751)="","—",INDEX(Firms!$M$5:$M$1004,$O751)))</f>
        <v/>
      </c>
      <c r="O751">
        <f>IFERROR(MATCH(SMALL(Firms!$Y$5:$Y$1004,743),Firms!$W$5:$W$1004,0),"")</f>
        <v/>
      </c>
    </row>
    <row r="752">
      <c r="B752" s="78">
        <f>IF($O752="","",INDEX(Firms!$A$5:$A$1004,$O752))</f>
        <v/>
      </c>
      <c r="C752" s="79">
        <f>IF($O752="","",INDEX(Firms!$N$5:$N$1004,$O752)&amp;"")</f>
        <v/>
      </c>
      <c r="D752" s="79">
        <f>IF($O752="","",INDEX(Firms!$P$5:$P$1004,$O752)&amp;"")</f>
        <v/>
      </c>
      <c r="E752" s="79">
        <f>IF($O752="","",INDEX(Firms!$O$5:$O$1004,$O752)&amp;"")</f>
        <v/>
      </c>
      <c r="F752" s="50">
        <f>IF($O752="","",IF(INDEX(Firms!$F$5:$F$1004,$O752)="","—",INDEX(Firms!$F$5:$F$1004,$O752)))</f>
        <v/>
      </c>
      <c r="G752" s="50">
        <f>IF($O752="","",IF(INDEX(Firms!$G$5:$G$1004,$O752)="","—",INDEX(Firms!$G$5:$G$1004,$O752)))</f>
        <v/>
      </c>
      <c r="H752" s="50">
        <f>IF($O752="","",IF(INDEX(Firms!$H$5:$H$1004,$O752)="","—",INDEX(Firms!$H$5:$H$1004,$O752)))</f>
        <v/>
      </c>
      <c r="I752" s="50">
        <f>IF($O752="","",IF(INDEX(Firms!$I$5:$I$1004,$O752)="","—",INDEX(Firms!$I$5:$I$1004,$O752)))</f>
        <v/>
      </c>
      <c r="J752" s="50">
        <f>IF($O752="","",IF(INDEX(Firms!$J$5:$J$1004,$O752)="","—",INDEX(Firms!$J$5:$J$1004,$O752)))</f>
        <v/>
      </c>
      <c r="K752" s="50">
        <f>IF($O752="","",IF(INDEX(Firms!$K$5:$K$1004,$O752)="","—",INDEX(Firms!$K$5:$K$1004,$O752)))</f>
        <v/>
      </c>
      <c r="L752" s="50">
        <f>IF($O752="","",IF(INDEX(Firms!$L$5:$L$1004,$O752)="","—",INDEX(Firms!$L$5:$L$1004,$O752)))</f>
        <v/>
      </c>
      <c r="M752" s="50">
        <f>IF($O752="","",IF(INDEX(Firms!$M$5:$M$1004,$O752)="","—",INDEX(Firms!$M$5:$M$1004,$O752)))</f>
        <v/>
      </c>
      <c r="O752">
        <f>IFERROR(MATCH(SMALL(Firms!$Y$5:$Y$1004,744),Firms!$W$5:$W$1004,0),"")</f>
        <v/>
      </c>
    </row>
    <row r="753">
      <c r="B753" s="78">
        <f>IF($O753="","",INDEX(Firms!$A$5:$A$1004,$O753))</f>
        <v/>
      </c>
      <c r="C753" s="79">
        <f>IF($O753="","",INDEX(Firms!$N$5:$N$1004,$O753)&amp;"")</f>
        <v/>
      </c>
      <c r="D753" s="79">
        <f>IF($O753="","",INDEX(Firms!$P$5:$P$1004,$O753)&amp;"")</f>
        <v/>
      </c>
      <c r="E753" s="79">
        <f>IF($O753="","",INDEX(Firms!$O$5:$O$1004,$O753)&amp;"")</f>
        <v/>
      </c>
      <c r="F753" s="50">
        <f>IF($O753="","",IF(INDEX(Firms!$F$5:$F$1004,$O753)="","—",INDEX(Firms!$F$5:$F$1004,$O753)))</f>
        <v/>
      </c>
      <c r="G753" s="50">
        <f>IF($O753="","",IF(INDEX(Firms!$G$5:$G$1004,$O753)="","—",INDEX(Firms!$G$5:$G$1004,$O753)))</f>
        <v/>
      </c>
      <c r="H753" s="50">
        <f>IF($O753="","",IF(INDEX(Firms!$H$5:$H$1004,$O753)="","—",INDEX(Firms!$H$5:$H$1004,$O753)))</f>
        <v/>
      </c>
      <c r="I753" s="50">
        <f>IF($O753="","",IF(INDEX(Firms!$I$5:$I$1004,$O753)="","—",INDEX(Firms!$I$5:$I$1004,$O753)))</f>
        <v/>
      </c>
      <c r="J753" s="50">
        <f>IF($O753="","",IF(INDEX(Firms!$J$5:$J$1004,$O753)="","—",INDEX(Firms!$J$5:$J$1004,$O753)))</f>
        <v/>
      </c>
      <c r="K753" s="50">
        <f>IF($O753="","",IF(INDEX(Firms!$K$5:$K$1004,$O753)="","—",INDEX(Firms!$K$5:$K$1004,$O753)))</f>
        <v/>
      </c>
      <c r="L753" s="50">
        <f>IF($O753="","",IF(INDEX(Firms!$L$5:$L$1004,$O753)="","—",INDEX(Firms!$L$5:$L$1004,$O753)))</f>
        <v/>
      </c>
      <c r="M753" s="50">
        <f>IF($O753="","",IF(INDEX(Firms!$M$5:$M$1004,$O753)="","—",INDEX(Firms!$M$5:$M$1004,$O753)))</f>
        <v/>
      </c>
      <c r="O753">
        <f>IFERROR(MATCH(SMALL(Firms!$Y$5:$Y$1004,745),Firms!$W$5:$W$1004,0),"")</f>
        <v/>
      </c>
    </row>
    <row r="754">
      <c r="B754" s="78">
        <f>IF($O754="","",INDEX(Firms!$A$5:$A$1004,$O754))</f>
        <v/>
      </c>
      <c r="C754" s="79">
        <f>IF($O754="","",INDEX(Firms!$N$5:$N$1004,$O754)&amp;"")</f>
        <v/>
      </c>
      <c r="D754" s="79">
        <f>IF($O754="","",INDEX(Firms!$P$5:$P$1004,$O754)&amp;"")</f>
        <v/>
      </c>
      <c r="E754" s="79">
        <f>IF($O754="","",INDEX(Firms!$O$5:$O$1004,$O754)&amp;"")</f>
        <v/>
      </c>
      <c r="F754" s="50">
        <f>IF($O754="","",IF(INDEX(Firms!$F$5:$F$1004,$O754)="","—",INDEX(Firms!$F$5:$F$1004,$O754)))</f>
        <v/>
      </c>
      <c r="G754" s="50">
        <f>IF($O754="","",IF(INDEX(Firms!$G$5:$G$1004,$O754)="","—",INDEX(Firms!$G$5:$G$1004,$O754)))</f>
        <v/>
      </c>
      <c r="H754" s="50">
        <f>IF($O754="","",IF(INDEX(Firms!$H$5:$H$1004,$O754)="","—",INDEX(Firms!$H$5:$H$1004,$O754)))</f>
        <v/>
      </c>
      <c r="I754" s="50">
        <f>IF($O754="","",IF(INDEX(Firms!$I$5:$I$1004,$O754)="","—",INDEX(Firms!$I$5:$I$1004,$O754)))</f>
        <v/>
      </c>
      <c r="J754" s="50">
        <f>IF($O754="","",IF(INDEX(Firms!$J$5:$J$1004,$O754)="","—",INDEX(Firms!$J$5:$J$1004,$O754)))</f>
        <v/>
      </c>
      <c r="K754" s="50">
        <f>IF($O754="","",IF(INDEX(Firms!$K$5:$K$1004,$O754)="","—",INDEX(Firms!$K$5:$K$1004,$O754)))</f>
        <v/>
      </c>
      <c r="L754" s="50">
        <f>IF($O754="","",IF(INDEX(Firms!$L$5:$L$1004,$O754)="","—",INDEX(Firms!$L$5:$L$1004,$O754)))</f>
        <v/>
      </c>
      <c r="M754" s="50">
        <f>IF($O754="","",IF(INDEX(Firms!$M$5:$M$1004,$O754)="","—",INDEX(Firms!$M$5:$M$1004,$O754)))</f>
        <v/>
      </c>
      <c r="O754">
        <f>IFERROR(MATCH(SMALL(Firms!$Y$5:$Y$1004,746),Firms!$W$5:$W$1004,0),"")</f>
        <v/>
      </c>
    </row>
    <row r="755">
      <c r="B755" s="78">
        <f>IF($O755="","",INDEX(Firms!$A$5:$A$1004,$O755))</f>
        <v/>
      </c>
      <c r="C755" s="79">
        <f>IF($O755="","",INDEX(Firms!$N$5:$N$1004,$O755)&amp;"")</f>
        <v/>
      </c>
      <c r="D755" s="79">
        <f>IF($O755="","",INDEX(Firms!$P$5:$P$1004,$O755)&amp;"")</f>
        <v/>
      </c>
      <c r="E755" s="79">
        <f>IF($O755="","",INDEX(Firms!$O$5:$O$1004,$O755)&amp;"")</f>
        <v/>
      </c>
      <c r="F755" s="50">
        <f>IF($O755="","",IF(INDEX(Firms!$F$5:$F$1004,$O755)="","—",INDEX(Firms!$F$5:$F$1004,$O755)))</f>
        <v/>
      </c>
      <c r="G755" s="50">
        <f>IF($O755="","",IF(INDEX(Firms!$G$5:$G$1004,$O755)="","—",INDEX(Firms!$G$5:$G$1004,$O755)))</f>
        <v/>
      </c>
      <c r="H755" s="50">
        <f>IF($O755="","",IF(INDEX(Firms!$H$5:$H$1004,$O755)="","—",INDEX(Firms!$H$5:$H$1004,$O755)))</f>
        <v/>
      </c>
      <c r="I755" s="50">
        <f>IF($O755="","",IF(INDEX(Firms!$I$5:$I$1004,$O755)="","—",INDEX(Firms!$I$5:$I$1004,$O755)))</f>
        <v/>
      </c>
      <c r="J755" s="50">
        <f>IF($O755="","",IF(INDEX(Firms!$J$5:$J$1004,$O755)="","—",INDEX(Firms!$J$5:$J$1004,$O755)))</f>
        <v/>
      </c>
      <c r="K755" s="50">
        <f>IF($O755="","",IF(INDEX(Firms!$K$5:$K$1004,$O755)="","—",INDEX(Firms!$K$5:$K$1004,$O755)))</f>
        <v/>
      </c>
      <c r="L755" s="50">
        <f>IF($O755="","",IF(INDEX(Firms!$L$5:$L$1004,$O755)="","—",INDEX(Firms!$L$5:$L$1004,$O755)))</f>
        <v/>
      </c>
      <c r="M755" s="50">
        <f>IF($O755="","",IF(INDEX(Firms!$M$5:$M$1004,$O755)="","—",INDEX(Firms!$M$5:$M$1004,$O755)))</f>
        <v/>
      </c>
      <c r="O755">
        <f>IFERROR(MATCH(SMALL(Firms!$Y$5:$Y$1004,747),Firms!$W$5:$W$1004,0),"")</f>
        <v/>
      </c>
    </row>
    <row r="756">
      <c r="B756" s="78">
        <f>IF($O756="","",INDEX(Firms!$A$5:$A$1004,$O756))</f>
        <v/>
      </c>
      <c r="C756" s="79">
        <f>IF($O756="","",INDEX(Firms!$N$5:$N$1004,$O756)&amp;"")</f>
        <v/>
      </c>
      <c r="D756" s="79">
        <f>IF($O756="","",INDEX(Firms!$P$5:$P$1004,$O756)&amp;"")</f>
        <v/>
      </c>
      <c r="E756" s="79">
        <f>IF($O756="","",INDEX(Firms!$O$5:$O$1004,$O756)&amp;"")</f>
        <v/>
      </c>
      <c r="F756" s="50">
        <f>IF($O756="","",IF(INDEX(Firms!$F$5:$F$1004,$O756)="","—",INDEX(Firms!$F$5:$F$1004,$O756)))</f>
        <v/>
      </c>
      <c r="G756" s="50">
        <f>IF($O756="","",IF(INDEX(Firms!$G$5:$G$1004,$O756)="","—",INDEX(Firms!$G$5:$G$1004,$O756)))</f>
        <v/>
      </c>
      <c r="H756" s="50">
        <f>IF($O756="","",IF(INDEX(Firms!$H$5:$H$1004,$O756)="","—",INDEX(Firms!$H$5:$H$1004,$O756)))</f>
        <v/>
      </c>
      <c r="I756" s="50">
        <f>IF($O756="","",IF(INDEX(Firms!$I$5:$I$1004,$O756)="","—",INDEX(Firms!$I$5:$I$1004,$O756)))</f>
        <v/>
      </c>
      <c r="J756" s="50">
        <f>IF($O756="","",IF(INDEX(Firms!$J$5:$J$1004,$O756)="","—",INDEX(Firms!$J$5:$J$1004,$O756)))</f>
        <v/>
      </c>
      <c r="K756" s="50">
        <f>IF($O756="","",IF(INDEX(Firms!$K$5:$K$1004,$O756)="","—",INDEX(Firms!$K$5:$K$1004,$O756)))</f>
        <v/>
      </c>
      <c r="L756" s="50">
        <f>IF($O756="","",IF(INDEX(Firms!$L$5:$L$1004,$O756)="","—",INDEX(Firms!$L$5:$L$1004,$O756)))</f>
        <v/>
      </c>
      <c r="M756" s="50">
        <f>IF($O756="","",IF(INDEX(Firms!$M$5:$M$1004,$O756)="","—",INDEX(Firms!$M$5:$M$1004,$O756)))</f>
        <v/>
      </c>
      <c r="O756">
        <f>IFERROR(MATCH(SMALL(Firms!$Y$5:$Y$1004,748),Firms!$W$5:$W$1004,0),"")</f>
        <v/>
      </c>
    </row>
    <row r="757">
      <c r="B757" s="78">
        <f>IF($O757="","",INDEX(Firms!$A$5:$A$1004,$O757))</f>
        <v/>
      </c>
      <c r="C757" s="79">
        <f>IF($O757="","",INDEX(Firms!$N$5:$N$1004,$O757)&amp;"")</f>
        <v/>
      </c>
      <c r="D757" s="79">
        <f>IF($O757="","",INDEX(Firms!$P$5:$P$1004,$O757)&amp;"")</f>
        <v/>
      </c>
      <c r="E757" s="79">
        <f>IF($O757="","",INDEX(Firms!$O$5:$O$1004,$O757)&amp;"")</f>
        <v/>
      </c>
      <c r="F757" s="50">
        <f>IF($O757="","",IF(INDEX(Firms!$F$5:$F$1004,$O757)="","—",INDEX(Firms!$F$5:$F$1004,$O757)))</f>
        <v/>
      </c>
      <c r="G757" s="50">
        <f>IF($O757="","",IF(INDEX(Firms!$G$5:$G$1004,$O757)="","—",INDEX(Firms!$G$5:$G$1004,$O757)))</f>
        <v/>
      </c>
      <c r="H757" s="50">
        <f>IF($O757="","",IF(INDEX(Firms!$H$5:$H$1004,$O757)="","—",INDEX(Firms!$H$5:$H$1004,$O757)))</f>
        <v/>
      </c>
      <c r="I757" s="50">
        <f>IF($O757="","",IF(INDEX(Firms!$I$5:$I$1004,$O757)="","—",INDEX(Firms!$I$5:$I$1004,$O757)))</f>
        <v/>
      </c>
      <c r="J757" s="50">
        <f>IF($O757="","",IF(INDEX(Firms!$J$5:$J$1004,$O757)="","—",INDEX(Firms!$J$5:$J$1004,$O757)))</f>
        <v/>
      </c>
      <c r="K757" s="50">
        <f>IF($O757="","",IF(INDEX(Firms!$K$5:$K$1004,$O757)="","—",INDEX(Firms!$K$5:$K$1004,$O757)))</f>
        <v/>
      </c>
      <c r="L757" s="50">
        <f>IF($O757="","",IF(INDEX(Firms!$L$5:$L$1004,$O757)="","—",INDEX(Firms!$L$5:$L$1004,$O757)))</f>
        <v/>
      </c>
      <c r="M757" s="50">
        <f>IF($O757="","",IF(INDEX(Firms!$M$5:$M$1004,$O757)="","—",INDEX(Firms!$M$5:$M$1004,$O757)))</f>
        <v/>
      </c>
      <c r="O757">
        <f>IFERROR(MATCH(SMALL(Firms!$Y$5:$Y$1004,749),Firms!$W$5:$W$1004,0),"")</f>
        <v/>
      </c>
    </row>
    <row r="758">
      <c r="B758" s="78">
        <f>IF($O758="","",INDEX(Firms!$A$5:$A$1004,$O758))</f>
        <v/>
      </c>
      <c r="C758" s="79">
        <f>IF($O758="","",INDEX(Firms!$N$5:$N$1004,$O758)&amp;"")</f>
        <v/>
      </c>
      <c r="D758" s="79">
        <f>IF($O758="","",INDEX(Firms!$P$5:$P$1004,$O758)&amp;"")</f>
        <v/>
      </c>
      <c r="E758" s="79">
        <f>IF($O758="","",INDEX(Firms!$O$5:$O$1004,$O758)&amp;"")</f>
        <v/>
      </c>
      <c r="F758" s="50">
        <f>IF($O758="","",IF(INDEX(Firms!$F$5:$F$1004,$O758)="","—",INDEX(Firms!$F$5:$F$1004,$O758)))</f>
        <v/>
      </c>
      <c r="G758" s="50">
        <f>IF($O758="","",IF(INDEX(Firms!$G$5:$G$1004,$O758)="","—",INDEX(Firms!$G$5:$G$1004,$O758)))</f>
        <v/>
      </c>
      <c r="H758" s="50">
        <f>IF($O758="","",IF(INDEX(Firms!$H$5:$H$1004,$O758)="","—",INDEX(Firms!$H$5:$H$1004,$O758)))</f>
        <v/>
      </c>
      <c r="I758" s="50">
        <f>IF($O758="","",IF(INDEX(Firms!$I$5:$I$1004,$O758)="","—",INDEX(Firms!$I$5:$I$1004,$O758)))</f>
        <v/>
      </c>
      <c r="J758" s="50">
        <f>IF($O758="","",IF(INDEX(Firms!$J$5:$J$1004,$O758)="","—",INDEX(Firms!$J$5:$J$1004,$O758)))</f>
        <v/>
      </c>
      <c r="K758" s="50">
        <f>IF($O758="","",IF(INDEX(Firms!$K$5:$K$1004,$O758)="","—",INDEX(Firms!$K$5:$K$1004,$O758)))</f>
        <v/>
      </c>
      <c r="L758" s="50">
        <f>IF($O758="","",IF(INDEX(Firms!$L$5:$L$1004,$O758)="","—",INDEX(Firms!$L$5:$L$1004,$O758)))</f>
        <v/>
      </c>
      <c r="M758" s="50">
        <f>IF($O758="","",IF(INDEX(Firms!$M$5:$M$1004,$O758)="","—",INDEX(Firms!$M$5:$M$1004,$O758)))</f>
        <v/>
      </c>
      <c r="O758">
        <f>IFERROR(MATCH(SMALL(Firms!$Y$5:$Y$1004,750),Firms!$W$5:$W$1004,0),"")</f>
        <v/>
      </c>
    </row>
    <row r="759">
      <c r="B759" s="78">
        <f>IF($O759="","",INDEX(Firms!$A$5:$A$1004,$O759))</f>
        <v/>
      </c>
      <c r="C759" s="79">
        <f>IF($O759="","",INDEX(Firms!$N$5:$N$1004,$O759)&amp;"")</f>
        <v/>
      </c>
      <c r="D759" s="79">
        <f>IF($O759="","",INDEX(Firms!$P$5:$P$1004,$O759)&amp;"")</f>
        <v/>
      </c>
      <c r="E759" s="79">
        <f>IF($O759="","",INDEX(Firms!$O$5:$O$1004,$O759)&amp;"")</f>
        <v/>
      </c>
      <c r="F759" s="50">
        <f>IF($O759="","",IF(INDEX(Firms!$F$5:$F$1004,$O759)="","—",INDEX(Firms!$F$5:$F$1004,$O759)))</f>
        <v/>
      </c>
      <c r="G759" s="50">
        <f>IF($O759="","",IF(INDEX(Firms!$G$5:$G$1004,$O759)="","—",INDEX(Firms!$G$5:$G$1004,$O759)))</f>
        <v/>
      </c>
      <c r="H759" s="50">
        <f>IF($O759="","",IF(INDEX(Firms!$H$5:$H$1004,$O759)="","—",INDEX(Firms!$H$5:$H$1004,$O759)))</f>
        <v/>
      </c>
      <c r="I759" s="50">
        <f>IF($O759="","",IF(INDEX(Firms!$I$5:$I$1004,$O759)="","—",INDEX(Firms!$I$5:$I$1004,$O759)))</f>
        <v/>
      </c>
      <c r="J759" s="50">
        <f>IF($O759="","",IF(INDEX(Firms!$J$5:$J$1004,$O759)="","—",INDEX(Firms!$J$5:$J$1004,$O759)))</f>
        <v/>
      </c>
      <c r="K759" s="50">
        <f>IF($O759="","",IF(INDEX(Firms!$K$5:$K$1004,$O759)="","—",INDEX(Firms!$K$5:$K$1004,$O759)))</f>
        <v/>
      </c>
      <c r="L759" s="50">
        <f>IF($O759="","",IF(INDEX(Firms!$L$5:$L$1004,$O759)="","—",INDEX(Firms!$L$5:$L$1004,$O759)))</f>
        <v/>
      </c>
      <c r="M759" s="50">
        <f>IF($O759="","",IF(INDEX(Firms!$M$5:$M$1004,$O759)="","—",INDEX(Firms!$M$5:$M$1004,$O759)))</f>
        <v/>
      </c>
      <c r="O759">
        <f>IFERROR(MATCH(SMALL(Firms!$Y$5:$Y$1004,751),Firms!$W$5:$W$1004,0),"")</f>
        <v/>
      </c>
    </row>
    <row r="760">
      <c r="B760" s="78">
        <f>IF($O760="","",INDEX(Firms!$A$5:$A$1004,$O760))</f>
        <v/>
      </c>
      <c r="C760" s="79">
        <f>IF($O760="","",INDEX(Firms!$N$5:$N$1004,$O760)&amp;"")</f>
        <v/>
      </c>
      <c r="D760" s="79">
        <f>IF($O760="","",INDEX(Firms!$P$5:$P$1004,$O760)&amp;"")</f>
        <v/>
      </c>
      <c r="E760" s="79">
        <f>IF($O760="","",INDEX(Firms!$O$5:$O$1004,$O760)&amp;"")</f>
        <v/>
      </c>
      <c r="F760" s="50">
        <f>IF($O760="","",IF(INDEX(Firms!$F$5:$F$1004,$O760)="","—",INDEX(Firms!$F$5:$F$1004,$O760)))</f>
        <v/>
      </c>
      <c r="G760" s="50">
        <f>IF($O760="","",IF(INDEX(Firms!$G$5:$G$1004,$O760)="","—",INDEX(Firms!$G$5:$G$1004,$O760)))</f>
        <v/>
      </c>
      <c r="H760" s="50">
        <f>IF($O760="","",IF(INDEX(Firms!$H$5:$H$1004,$O760)="","—",INDEX(Firms!$H$5:$H$1004,$O760)))</f>
        <v/>
      </c>
      <c r="I760" s="50">
        <f>IF($O760="","",IF(INDEX(Firms!$I$5:$I$1004,$O760)="","—",INDEX(Firms!$I$5:$I$1004,$O760)))</f>
        <v/>
      </c>
      <c r="J760" s="50">
        <f>IF($O760="","",IF(INDEX(Firms!$J$5:$J$1004,$O760)="","—",INDEX(Firms!$J$5:$J$1004,$O760)))</f>
        <v/>
      </c>
      <c r="K760" s="50">
        <f>IF($O760="","",IF(INDEX(Firms!$K$5:$K$1004,$O760)="","—",INDEX(Firms!$K$5:$K$1004,$O760)))</f>
        <v/>
      </c>
      <c r="L760" s="50">
        <f>IF($O760="","",IF(INDEX(Firms!$L$5:$L$1004,$O760)="","—",INDEX(Firms!$L$5:$L$1004,$O760)))</f>
        <v/>
      </c>
      <c r="M760" s="50">
        <f>IF($O760="","",IF(INDEX(Firms!$M$5:$M$1004,$O760)="","—",INDEX(Firms!$M$5:$M$1004,$O760)))</f>
        <v/>
      </c>
      <c r="O760">
        <f>IFERROR(MATCH(SMALL(Firms!$Y$5:$Y$1004,752),Firms!$W$5:$W$1004,0),"")</f>
        <v/>
      </c>
    </row>
    <row r="761">
      <c r="B761" s="78">
        <f>IF($O761="","",INDEX(Firms!$A$5:$A$1004,$O761))</f>
        <v/>
      </c>
      <c r="C761" s="79">
        <f>IF($O761="","",INDEX(Firms!$N$5:$N$1004,$O761)&amp;"")</f>
        <v/>
      </c>
      <c r="D761" s="79">
        <f>IF($O761="","",INDEX(Firms!$P$5:$P$1004,$O761)&amp;"")</f>
        <v/>
      </c>
      <c r="E761" s="79">
        <f>IF($O761="","",INDEX(Firms!$O$5:$O$1004,$O761)&amp;"")</f>
        <v/>
      </c>
      <c r="F761" s="50">
        <f>IF($O761="","",IF(INDEX(Firms!$F$5:$F$1004,$O761)="","—",INDEX(Firms!$F$5:$F$1004,$O761)))</f>
        <v/>
      </c>
      <c r="G761" s="50">
        <f>IF($O761="","",IF(INDEX(Firms!$G$5:$G$1004,$O761)="","—",INDEX(Firms!$G$5:$G$1004,$O761)))</f>
        <v/>
      </c>
      <c r="H761" s="50">
        <f>IF($O761="","",IF(INDEX(Firms!$H$5:$H$1004,$O761)="","—",INDEX(Firms!$H$5:$H$1004,$O761)))</f>
        <v/>
      </c>
      <c r="I761" s="50">
        <f>IF($O761="","",IF(INDEX(Firms!$I$5:$I$1004,$O761)="","—",INDEX(Firms!$I$5:$I$1004,$O761)))</f>
        <v/>
      </c>
      <c r="J761" s="50">
        <f>IF($O761="","",IF(INDEX(Firms!$J$5:$J$1004,$O761)="","—",INDEX(Firms!$J$5:$J$1004,$O761)))</f>
        <v/>
      </c>
      <c r="K761" s="50">
        <f>IF($O761="","",IF(INDEX(Firms!$K$5:$K$1004,$O761)="","—",INDEX(Firms!$K$5:$K$1004,$O761)))</f>
        <v/>
      </c>
      <c r="L761" s="50">
        <f>IF($O761="","",IF(INDEX(Firms!$L$5:$L$1004,$O761)="","—",INDEX(Firms!$L$5:$L$1004,$O761)))</f>
        <v/>
      </c>
      <c r="M761" s="50">
        <f>IF($O761="","",IF(INDEX(Firms!$M$5:$M$1004,$O761)="","—",INDEX(Firms!$M$5:$M$1004,$O761)))</f>
        <v/>
      </c>
      <c r="O761">
        <f>IFERROR(MATCH(SMALL(Firms!$Y$5:$Y$1004,753),Firms!$W$5:$W$1004,0),"")</f>
        <v/>
      </c>
    </row>
    <row r="762">
      <c r="B762" s="78">
        <f>IF($O762="","",INDEX(Firms!$A$5:$A$1004,$O762))</f>
        <v/>
      </c>
      <c r="C762" s="79">
        <f>IF($O762="","",INDEX(Firms!$N$5:$N$1004,$O762)&amp;"")</f>
        <v/>
      </c>
      <c r="D762" s="79">
        <f>IF($O762="","",INDEX(Firms!$P$5:$P$1004,$O762)&amp;"")</f>
        <v/>
      </c>
      <c r="E762" s="79">
        <f>IF($O762="","",INDEX(Firms!$O$5:$O$1004,$O762)&amp;"")</f>
        <v/>
      </c>
      <c r="F762" s="50">
        <f>IF($O762="","",IF(INDEX(Firms!$F$5:$F$1004,$O762)="","—",INDEX(Firms!$F$5:$F$1004,$O762)))</f>
        <v/>
      </c>
      <c r="G762" s="50">
        <f>IF($O762="","",IF(INDEX(Firms!$G$5:$G$1004,$O762)="","—",INDEX(Firms!$G$5:$G$1004,$O762)))</f>
        <v/>
      </c>
      <c r="H762" s="50">
        <f>IF($O762="","",IF(INDEX(Firms!$H$5:$H$1004,$O762)="","—",INDEX(Firms!$H$5:$H$1004,$O762)))</f>
        <v/>
      </c>
      <c r="I762" s="50">
        <f>IF($O762="","",IF(INDEX(Firms!$I$5:$I$1004,$O762)="","—",INDEX(Firms!$I$5:$I$1004,$O762)))</f>
        <v/>
      </c>
      <c r="J762" s="50">
        <f>IF($O762="","",IF(INDEX(Firms!$J$5:$J$1004,$O762)="","—",INDEX(Firms!$J$5:$J$1004,$O762)))</f>
        <v/>
      </c>
      <c r="K762" s="50">
        <f>IF($O762="","",IF(INDEX(Firms!$K$5:$K$1004,$O762)="","—",INDEX(Firms!$K$5:$K$1004,$O762)))</f>
        <v/>
      </c>
      <c r="L762" s="50">
        <f>IF($O762="","",IF(INDEX(Firms!$L$5:$L$1004,$O762)="","—",INDEX(Firms!$L$5:$L$1004,$O762)))</f>
        <v/>
      </c>
      <c r="M762" s="50">
        <f>IF($O762="","",IF(INDEX(Firms!$M$5:$M$1004,$O762)="","—",INDEX(Firms!$M$5:$M$1004,$O762)))</f>
        <v/>
      </c>
      <c r="O762">
        <f>IFERROR(MATCH(SMALL(Firms!$Y$5:$Y$1004,754),Firms!$W$5:$W$1004,0),"")</f>
        <v/>
      </c>
    </row>
    <row r="763">
      <c r="B763" s="78">
        <f>IF($O763="","",INDEX(Firms!$A$5:$A$1004,$O763))</f>
        <v/>
      </c>
      <c r="C763" s="79">
        <f>IF($O763="","",INDEX(Firms!$N$5:$N$1004,$O763)&amp;"")</f>
        <v/>
      </c>
      <c r="D763" s="79">
        <f>IF($O763="","",INDEX(Firms!$P$5:$P$1004,$O763)&amp;"")</f>
        <v/>
      </c>
      <c r="E763" s="79">
        <f>IF($O763="","",INDEX(Firms!$O$5:$O$1004,$O763)&amp;"")</f>
        <v/>
      </c>
      <c r="F763" s="50">
        <f>IF($O763="","",IF(INDEX(Firms!$F$5:$F$1004,$O763)="","—",INDEX(Firms!$F$5:$F$1004,$O763)))</f>
        <v/>
      </c>
      <c r="G763" s="50">
        <f>IF($O763="","",IF(INDEX(Firms!$G$5:$G$1004,$O763)="","—",INDEX(Firms!$G$5:$G$1004,$O763)))</f>
        <v/>
      </c>
      <c r="H763" s="50">
        <f>IF($O763="","",IF(INDEX(Firms!$H$5:$H$1004,$O763)="","—",INDEX(Firms!$H$5:$H$1004,$O763)))</f>
        <v/>
      </c>
      <c r="I763" s="50">
        <f>IF($O763="","",IF(INDEX(Firms!$I$5:$I$1004,$O763)="","—",INDEX(Firms!$I$5:$I$1004,$O763)))</f>
        <v/>
      </c>
      <c r="J763" s="50">
        <f>IF($O763="","",IF(INDEX(Firms!$J$5:$J$1004,$O763)="","—",INDEX(Firms!$J$5:$J$1004,$O763)))</f>
        <v/>
      </c>
      <c r="K763" s="50">
        <f>IF($O763="","",IF(INDEX(Firms!$K$5:$K$1004,$O763)="","—",INDEX(Firms!$K$5:$K$1004,$O763)))</f>
        <v/>
      </c>
      <c r="L763" s="50">
        <f>IF($O763="","",IF(INDEX(Firms!$L$5:$L$1004,$O763)="","—",INDEX(Firms!$L$5:$L$1004,$O763)))</f>
        <v/>
      </c>
      <c r="M763" s="50">
        <f>IF($O763="","",IF(INDEX(Firms!$M$5:$M$1004,$O763)="","—",INDEX(Firms!$M$5:$M$1004,$O763)))</f>
        <v/>
      </c>
      <c r="O763">
        <f>IFERROR(MATCH(SMALL(Firms!$Y$5:$Y$1004,755),Firms!$W$5:$W$1004,0),"")</f>
        <v/>
      </c>
    </row>
    <row r="764">
      <c r="B764" s="78">
        <f>IF($O764="","",INDEX(Firms!$A$5:$A$1004,$O764))</f>
        <v/>
      </c>
      <c r="C764" s="79">
        <f>IF($O764="","",INDEX(Firms!$N$5:$N$1004,$O764)&amp;"")</f>
        <v/>
      </c>
      <c r="D764" s="79">
        <f>IF($O764="","",INDEX(Firms!$P$5:$P$1004,$O764)&amp;"")</f>
        <v/>
      </c>
      <c r="E764" s="79">
        <f>IF($O764="","",INDEX(Firms!$O$5:$O$1004,$O764)&amp;"")</f>
        <v/>
      </c>
      <c r="F764" s="50">
        <f>IF($O764="","",IF(INDEX(Firms!$F$5:$F$1004,$O764)="","—",INDEX(Firms!$F$5:$F$1004,$O764)))</f>
        <v/>
      </c>
      <c r="G764" s="50">
        <f>IF($O764="","",IF(INDEX(Firms!$G$5:$G$1004,$O764)="","—",INDEX(Firms!$G$5:$G$1004,$O764)))</f>
        <v/>
      </c>
      <c r="H764" s="50">
        <f>IF($O764="","",IF(INDEX(Firms!$H$5:$H$1004,$O764)="","—",INDEX(Firms!$H$5:$H$1004,$O764)))</f>
        <v/>
      </c>
      <c r="I764" s="50">
        <f>IF($O764="","",IF(INDEX(Firms!$I$5:$I$1004,$O764)="","—",INDEX(Firms!$I$5:$I$1004,$O764)))</f>
        <v/>
      </c>
      <c r="J764" s="50">
        <f>IF($O764="","",IF(INDEX(Firms!$J$5:$J$1004,$O764)="","—",INDEX(Firms!$J$5:$J$1004,$O764)))</f>
        <v/>
      </c>
      <c r="K764" s="50">
        <f>IF($O764="","",IF(INDEX(Firms!$K$5:$K$1004,$O764)="","—",INDEX(Firms!$K$5:$K$1004,$O764)))</f>
        <v/>
      </c>
      <c r="L764" s="50">
        <f>IF($O764="","",IF(INDEX(Firms!$L$5:$L$1004,$O764)="","—",INDEX(Firms!$L$5:$L$1004,$O764)))</f>
        <v/>
      </c>
      <c r="M764" s="50">
        <f>IF($O764="","",IF(INDEX(Firms!$M$5:$M$1004,$O764)="","—",INDEX(Firms!$M$5:$M$1004,$O764)))</f>
        <v/>
      </c>
      <c r="O764">
        <f>IFERROR(MATCH(SMALL(Firms!$Y$5:$Y$1004,756),Firms!$W$5:$W$1004,0),"")</f>
        <v/>
      </c>
    </row>
    <row r="765">
      <c r="B765" s="78">
        <f>IF($O765="","",INDEX(Firms!$A$5:$A$1004,$O765))</f>
        <v/>
      </c>
      <c r="C765" s="79">
        <f>IF($O765="","",INDEX(Firms!$N$5:$N$1004,$O765)&amp;"")</f>
        <v/>
      </c>
      <c r="D765" s="79">
        <f>IF($O765="","",INDEX(Firms!$P$5:$P$1004,$O765)&amp;"")</f>
        <v/>
      </c>
      <c r="E765" s="79">
        <f>IF($O765="","",INDEX(Firms!$O$5:$O$1004,$O765)&amp;"")</f>
        <v/>
      </c>
      <c r="F765" s="50">
        <f>IF($O765="","",IF(INDEX(Firms!$F$5:$F$1004,$O765)="","—",INDEX(Firms!$F$5:$F$1004,$O765)))</f>
        <v/>
      </c>
      <c r="G765" s="50">
        <f>IF($O765="","",IF(INDEX(Firms!$G$5:$G$1004,$O765)="","—",INDEX(Firms!$G$5:$G$1004,$O765)))</f>
        <v/>
      </c>
      <c r="H765" s="50">
        <f>IF($O765="","",IF(INDEX(Firms!$H$5:$H$1004,$O765)="","—",INDEX(Firms!$H$5:$H$1004,$O765)))</f>
        <v/>
      </c>
      <c r="I765" s="50">
        <f>IF($O765="","",IF(INDEX(Firms!$I$5:$I$1004,$O765)="","—",INDEX(Firms!$I$5:$I$1004,$O765)))</f>
        <v/>
      </c>
      <c r="J765" s="50">
        <f>IF($O765="","",IF(INDEX(Firms!$J$5:$J$1004,$O765)="","—",INDEX(Firms!$J$5:$J$1004,$O765)))</f>
        <v/>
      </c>
      <c r="K765" s="50">
        <f>IF($O765="","",IF(INDEX(Firms!$K$5:$K$1004,$O765)="","—",INDEX(Firms!$K$5:$K$1004,$O765)))</f>
        <v/>
      </c>
      <c r="L765" s="50">
        <f>IF($O765="","",IF(INDEX(Firms!$L$5:$L$1004,$O765)="","—",INDEX(Firms!$L$5:$L$1004,$O765)))</f>
        <v/>
      </c>
      <c r="M765" s="50">
        <f>IF($O765="","",IF(INDEX(Firms!$M$5:$M$1004,$O765)="","—",INDEX(Firms!$M$5:$M$1004,$O765)))</f>
        <v/>
      </c>
      <c r="O765">
        <f>IFERROR(MATCH(SMALL(Firms!$Y$5:$Y$1004,757),Firms!$W$5:$W$1004,0),"")</f>
        <v/>
      </c>
    </row>
    <row r="766">
      <c r="B766" s="78">
        <f>IF($O766="","",INDEX(Firms!$A$5:$A$1004,$O766))</f>
        <v/>
      </c>
      <c r="C766" s="79">
        <f>IF($O766="","",INDEX(Firms!$N$5:$N$1004,$O766)&amp;"")</f>
        <v/>
      </c>
      <c r="D766" s="79">
        <f>IF($O766="","",INDEX(Firms!$P$5:$P$1004,$O766)&amp;"")</f>
        <v/>
      </c>
      <c r="E766" s="79">
        <f>IF($O766="","",INDEX(Firms!$O$5:$O$1004,$O766)&amp;"")</f>
        <v/>
      </c>
      <c r="F766" s="50">
        <f>IF($O766="","",IF(INDEX(Firms!$F$5:$F$1004,$O766)="","—",INDEX(Firms!$F$5:$F$1004,$O766)))</f>
        <v/>
      </c>
      <c r="G766" s="50">
        <f>IF($O766="","",IF(INDEX(Firms!$G$5:$G$1004,$O766)="","—",INDEX(Firms!$G$5:$G$1004,$O766)))</f>
        <v/>
      </c>
      <c r="H766" s="50">
        <f>IF($O766="","",IF(INDEX(Firms!$H$5:$H$1004,$O766)="","—",INDEX(Firms!$H$5:$H$1004,$O766)))</f>
        <v/>
      </c>
      <c r="I766" s="50">
        <f>IF($O766="","",IF(INDEX(Firms!$I$5:$I$1004,$O766)="","—",INDEX(Firms!$I$5:$I$1004,$O766)))</f>
        <v/>
      </c>
      <c r="J766" s="50">
        <f>IF($O766="","",IF(INDEX(Firms!$J$5:$J$1004,$O766)="","—",INDEX(Firms!$J$5:$J$1004,$O766)))</f>
        <v/>
      </c>
      <c r="K766" s="50">
        <f>IF($O766="","",IF(INDEX(Firms!$K$5:$K$1004,$O766)="","—",INDEX(Firms!$K$5:$K$1004,$O766)))</f>
        <v/>
      </c>
      <c r="L766" s="50">
        <f>IF($O766="","",IF(INDEX(Firms!$L$5:$L$1004,$O766)="","—",INDEX(Firms!$L$5:$L$1004,$O766)))</f>
        <v/>
      </c>
      <c r="M766" s="50">
        <f>IF($O766="","",IF(INDEX(Firms!$M$5:$M$1004,$O766)="","—",INDEX(Firms!$M$5:$M$1004,$O766)))</f>
        <v/>
      </c>
      <c r="O766">
        <f>IFERROR(MATCH(SMALL(Firms!$Y$5:$Y$1004,758),Firms!$W$5:$W$1004,0),"")</f>
        <v/>
      </c>
    </row>
    <row r="767">
      <c r="B767" s="78">
        <f>IF($O767="","",INDEX(Firms!$A$5:$A$1004,$O767))</f>
        <v/>
      </c>
      <c r="C767" s="79">
        <f>IF($O767="","",INDEX(Firms!$N$5:$N$1004,$O767)&amp;"")</f>
        <v/>
      </c>
      <c r="D767" s="79">
        <f>IF($O767="","",INDEX(Firms!$P$5:$P$1004,$O767)&amp;"")</f>
        <v/>
      </c>
      <c r="E767" s="79">
        <f>IF($O767="","",INDEX(Firms!$O$5:$O$1004,$O767)&amp;"")</f>
        <v/>
      </c>
      <c r="F767" s="50">
        <f>IF($O767="","",IF(INDEX(Firms!$F$5:$F$1004,$O767)="","—",INDEX(Firms!$F$5:$F$1004,$O767)))</f>
        <v/>
      </c>
      <c r="G767" s="50">
        <f>IF($O767="","",IF(INDEX(Firms!$G$5:$G$1004,$O767)="","—",INDEX(Firms!$G$5:$G$1004,$O767)))</f>
        <v/>
      </c>
      <c r="H767" s="50">
        <f>IF($O767="","",IF(INDEX(Firms!$H$5:$H$1004,$O767)="","—",INDEX(Firms!$H$5:$H$1004,$O767)))</f>
        <v/>
      </c>
      <c r="I767" s="50">
        <f>IF($O767="","",IF(INDEX(Firms!$I$5:$I$1004,$O767)="","—",INDEX(Firms!$I$5:$I$1004,$O767)))</f>
        <v/>
      </c>
      <c r="J767" s="50">
        <f>IF($O767="","",IF(INDEX(Firms!$J$5:$J$1004,$O767)="","—",INDEX(Firms!$J$5:$J$1004,$O767)))</f>
        <v/>
      </c>
      <c r="K767" s="50">
        <f>IF($O767="","",IF(INDEX(Firms!$K$5:$K$1004,$O767)="","—",INDEX(Firms!$K$5:$K$1004,$O767)))</f>
        <v/>
      </c>
      <c r="L767" s="50">
        <f>IF($O767="","",IF(INDEX(Firms!$L$5:$L$1004,$O767)="","—",INDEX(Firms!$L$5:$L$1004,$O767)))</f>
        <v/>
      </c>
      <c r="M767" s="50">
        <f>IF($O767="","",IF(INDEX(Firms!$M$5:$M$1004,$O767)="","—",INDEX(Firms!$M$5:$M$1004,$O767)))</f>
        <v/>
      </c>
      <c r="O767">
        <f>IFERROR(MATCH(SMALL(Firms!$Y$5:$Y$1004,759),Firms!$W$5:$W$1004,0),"")</f>
        <v/>
      </c>
    </row>
    <row r="768">
      <c r="B768" s="78">
        <f>IF($O768="","",INDEX(Firms!$A$5:$A$1004,$O768))</f>
        <v/>
      </c>
      <c r="C768" s="79">
        <f>IF($O768="","",INDEX(Firms!$N$5:$N$1004,$O768)&amp;"")</f>
        <v/>
      </c>
      <c r="D768" s="79">
        <f>IF($O768="","",INDEX(Firms!$P$5:$P$1004,$O768)&amp;"")</f>
        <v/>
      </c>
      <c r="E768" s="79">
        <f>IF($O768="","",INDEX(Firms!$O$5:$O$1004,$O768)&amp;"")</f>
        <v/>
      </c>
      <c r="F768" s="50">
        <f>IF($O768="","",IF(INDEX(Firms!$F$5:$F$1004,$O768)="","—",INDEX(Firms!$F$5:$F$1004,$O768)))</f>
        <v/>
      </c>
      <c r="G768" s="50">
        <f>IF($O768="","",IF(INDEX(Firms!$G$5:$G$1004,$O768)="","—",INDEX(Firms!$G$5:$G$1004,$O768)))</f>
        <v/>
      </c>
      <c r="H768" s="50">
        <f>IF($O768="","",IF(INDEX(Firms!$H$5:$H$1004,$O768)="","—",INDEX(Firms!$H$5:$H$1004,$O768)))</f>
        <v/>
      </c>
      <c r="I768" s="50">
        <f>IF($O768="","",IF(INDEX(Firms!$I$5:$I$1004,$O768)="","—",INDEX(Firms!$I$5:$I$1004,$O768)))</f>
        <v/>
      </c>
      <c r="J768" s="50">
        <f>IF($O768="","",IF(INDEX(Firms!$J$5:$J$1004,$O768)="","—",INDEX(Firms!$J$5:$J$1004,$O768)))</f>
        <v/>
      </c>
      <c r="K768" s="50">
        <f>IF($O768="","",IF(INDEX(Firms!$K$5:$K$1004,$O768)="","—",INDEX(Firms!$K$5:$K$1004,$O768)))</f>
        <v/>
      </c>
      <c r="L768" s="50">
        <f>IF($O768="","",IF(INDEX(Firms!$L$5:$L$1004,$O768)="","—",INDEX(Firms!$L$5:$L$1004,$O768)))</f>
        <v/>
      </c>
      <c r="M768" s="50">
        <f>IF($O768="","",IF(INDEX(Firms!$M$5:$M$1004,$O768)="","—",INDEX(Firms!$M$5:$M$1004,$O768)))</f>
        <v/>
      </c>
      <c r="O768">
        <f>IFERROR(MATCH(SMALL(Firms!$Y$5:$Y$1004,760),Firms!$W$5:$W$1004,0),"")</f>
        <v/>
      </c>
    </row>
    <row r="769">
      <c r="B769" s="78">
        <f>IF($O769="","",INDEX(Firms!$A$5:$A$1004,$O769))</f>
        <v/>
      </c>
      <c r="C769" s="79">
        <f>IF($O769="","",INDEX(Firms!$N$5:$N$1004,$O769)&amp;"")</f>
        <v/>
      </c>
      <c r="D769" s="79">
        <f>IF($O769="","",INDEX(Firms!$P$5:$P$1004,$O769)&amp;"")</f>
        <v/>
      </c>
      <c r="E769" s="79">
        <f>IF($O769="","",INDEX(Firms!$O$5:$O$1004,$O769)&amp;"")</f>
        <v/>
      </c>
      <c r="F769" s="50">
        <f>IF($O769="","",IF(INDEX(Firms!$F$5:$F$1004,$O769)="","—",INDEX(Firms!$F$5:$F$1004,$O769)))</f>
        <v/>
      </c>
      <c r="G769" s="50">
        <f>IF($O769="","",IF(INDEX(Firms!$G$5:$G$1004,$O769)="","—",INDEX(Firms!$G$5:$G$1004,$O769)))</f>
        <v/>
      </c>
      <c r="H769" s="50">
        <f>IF($O769="","",IF(INDEX(Firms!$H$5:$H$1004,$O769)="","—",INDEX(Firms!$H$5:$H$1004,$O769)))</f>
        <v/>
      </c>
      <c r="I769" s="50">
        <f>IF($O769="","",IF(INDEX(Firms!$I$5:$I$1004,$O769)="","—",INDEX(Firms!$I$5:$I$1004,$O769)))</f>
        <v/>
      </c>
      <c r="J769" s="50">
        <f>IF($O769="","",IF(INDEX(Firms!$J$5:$J$1004,$O769)="","—",INDEX(Firms!$J$5:$J$1004,$O769)))</f>
        <v/>
      </c>
      <c r="K769" s="50">
        <f>IF($O769="","",IF(INDEX(Firms!$K$5:$K$1004,$O769)="","—",INDEX(Firms!$K$5:$K$1004,$O769)))</f>
        <v/>
      </c>
      <c r="L769" s="50">
        <f>IF($O769="","",IF(INDEX(Firms!$L$5:$L$1004,$O769)="","—",INDEX(Firms!$L$5:$L$1004,$O769)))</f>
        <v/>
      </c>
      <c r="M769" s="50">
        <f>IF($O769="","",IF(INDEX(Firms!$M$5:$M$1004,$O769)="","—",INDEX(Firms!$M$5:$M$1004,$O769)))</f>
        <v/>
      </c>
      <c r="O769">
        <f>IFERROR(MATCH(SMALL(Firms!$Y$5:$Y$1004,761),Firms!$W$5:$W$1004,0),"")</f>
        <v/>
      </c>
    </row>
    <row r="770">
      <c r="B770" s="78">
        <f>IF($O770="","",INDEX(Firms!$A$5:$A$1004,$O770))</f>
        <v/>
      </c>
      <c r="C770" s="79">
        <f>IF($O770="","",INDEX(Firms!$N$5:$N$1004,$O770)&amp;"")</f>
        <v/>
      </c>
      <c r="D770" s="79">
        <f>IF($O770="","",INDEX(Firms!$P$5:$P$1004,$O770)&amp;"")</f>
        <v/>
      </c>
      <c r="E770" s="79">
        <f>IF($O770="","",INDEX(Firms!$O$5:$O$1004,$O770)&amp;"")</f>
        <v/>
      </c>
      <c r="F770" s="50">
        <f>IF($O770="","",IF(INDEX(Firms!$F$5:$F$1004,$O770)="","—",INDEX(Firms!$F$5:$F$1004,$O770)))</f>
        <v/>
      </c>
      <c r="G770" s="50">
        <f>IF($O770="","",IF(INDEX(Firms!$G$5:$G$1004,$O770)="","—",INDEX(Firms!$G$5:$G$1004,$O770)))</f>
        <v/>
      </c>
      <c r="H770" s="50">
        <f>IF($O770="","",IF(INDEX(Firms!$H$5:$H$1004,$O770)="","—",INDEX(Firms!$H$5:$H$1004,$O770)))</f>
        <v/>
      </c>
      <c r="I770" s="50">
        <f>IF($O770="","",IF(INDEX(Firms!$I$5:$I$1004,$O770)="","—",INDEX(Firms!$I$5:$I$1004,$O770)))</f>
        <v/>
      </c>
      <c r="J770" s="50">
        <f>IF($O770="","",IF(INDEX(Firms!$J$5:$J$1004,$O770)="","—",INDEX(Firms!$J$5:$J$1004,$O770)))</f>
        <v/>
      </c>
      <c r="K770" s="50">
        <f>IF($O770="","",IF(INDEX(Firms!$K$5:$K$1004,$O770)="","—",INDEX(Firms!$K$5:$K$1004,$O770)))</f>
        <v/>
      </c>
      <c r="L770" s="50">
        <f>IF($O770="","",IF(INDEX(Firms!$L$5:$L$1004,$O770)="","—",INDEX(Firms!$L$5:$L$1004,$O770)))</f>
        <v/>
      </c>
      <c r="M770" s="50">
        <f>IF($O770="","",IF(INDEX(Firms!$M$5:$M$1004,$O770)="","—",INDEX(Firms!$M$5:$M$1004,$O770)))</f>
        <v/>
      </c>
      <c r="O770">
        <f>IFERROR(MATCH(SMALL(Firms!$Y$5:$Y$1004,762),Firms!$W$5:$W$1004,0),"")</f>
        <v/>
      </c>
    </row>
    <row r="771">
      <c r="B771" s="78">
        <f>IF($O771="","",INDEX(Firms!$A$5:$A$1004,$O771))</f>
        <v/>
      </c>
      <c r="C771" s="79">
        <f>IF($O771="","",INDEX(Firms!$N$5:$N$1004,$O771)&amp;"")</f>
        <v/>
      </c>
      <c r="D771" s="79">
        <f>IF($O771="","",INDEX(Firms!$P$5:$P$1004,$O771)&amp;"")</f>
        <v/>
      </c>
      <c r="E771" s="79">
        <f>IF($O771="","",INDEX(Firms!$O$5:$O$1004,$O771)&amp;"")</f>
        <v/>
      </c>
      <c r="F771" s="50">
        <f>IF($O771="","",IF(INDEX(Firms!$F$5:$F$1004,$O771)="","—",INDEX(Firms!$F$5:$F$1004,$O771)))</f>
        <v/>
      </c>
      <c r="G771" s="50">
        <f>IF($O771="","",IF(INDEX(Firms!$G$5:$G$1004,$O771)="","—",INDEX(Firms!$G$5:$G$1004,$O771)))</f>
        <v/>
      </c>
      <c r="H771" s="50">
        <f>IF($O771="","",IF(INDEX(Firms!$H$5:$H$1004,$O771)="","—",INDEX(Firms!$H$5:$H$1004,$O771)))</f>
        <v/>
      </c>
      <c r="I771" s="50">
        <f>IF($O771="","",IF(INDEX(Firms!$I$5:$I$1004,$O771)="","—",INDEX(Firms!$I$5:$I$1004,$O771)))</f>
        <v/>
      </c>
      <c r="J771" s="50">
        <f>IF($O771="","",IF(INDEX(Firms!$J$5:$J$1004,$O771)="","—",INDEX(Firms!$J$5:$J$1004,$O771)))</f>
        <v/>
      </c>
      <c r="K771" s="50">
        <f>IF($O771="","",IF(INDEX(Firms!$K$5:$K$1004,$O771)="","—",INDEX(Firms!$K$5:$K$1004,$O771)))</f>
        <v/>
      </c>
      <c r="L771" s="50">
        <f>IF($O771="","",IF(INDEX(Firms!$L$5:$L$1004,$O771)="","—",INDEX(Firms!$L$5:$L$1004,$O771)))</f>
        <v/>
      </c>
      <c r="M771" s="50">
        <f>IF($O771="","",IF(INDEX(Firms!$M$5:$M$1004,$O771)="","—",INDEX(Firms!$M$5:$M$1004,$O771)))</f>
        <v/>
      </c>
      <c r="O771">
        <f>IFERROR(MATCH(SMALL(Firms!$Y$5:$Y$1004,763),Firms!$W$5:$W$1004,0),"")</f>
        <v/>
      </c>
    </row>
    <row r="772">
      <c r="B772" s="78">
        <f>IF($O772="","",INDEX(Firms!$A$5:$A$1004,$O772))</f>
        <v/>
      </c>
      <c r="C772" s="79">
        <f>IF($O772="","",INDEX(Firms!$N$5:$N$1004,$O772)&amp;"")</f>
        <v/>
      </c>
      <c r="D772" s="79">
        <f>IF($O772="","",INDEX(Firms!$P$5:$P$1004,$O772)&amp;"")</f>
        <v/>
      </c>
      <c r="E772" s="79">
        <f>IF($O772="","",INDEX(Firms!$O$5:$O$1004,$O772)&amp;"")</f>
        <v/>
      </c>
      <c r="F772" s="50">
        <f>IF($O772="","",IF(INDEX(Firms!$F$5:$F$1004,$O772)="","—",INDEX(Firms!$F$5:$F$1004,$O772)))</f>
        <v/>
      </c>
      <c r="G772" s="50">
        <f>IF($O772="","",IF(INDEX(Firms!$G$5:$G$1004,$O772)="","—",INDEX(Firms!$G$5:$G$1004,$O772)))</f>
        <v/>
      </c>
      <c r="H772" s="50">
        <f>IF($O772="","",IF(INDEX(Firms!$H$5:$H$1004,$O772)="","—",INDEX(Firms!$H$5:$H$1004,$O772)))</f>
        <v/>
      </c>
      <c r="I772" s="50">
        <f>IF($O772="","",IF(INDEX(Firms!$I$5:$I$1004,$O772)="","—",INDEX(Firms!$I$5:$I$1004,$O772)))</f>
        <v/>
      </c>
      <c r="J772" s="50">
        <f>IF($O772="","",IF(INDEX(Firms!$J$5:$J$1004,$O772)="","—",INDEX(Firms!$J$5:$J$1004,$O772)))</f>
        <v/>
      </c>
      <c r="K772" s="50">
        <f>IF($O772="","",IF(INDEX(Firms!$K$5:$K$1004,$O772)="","—",INDEX(Firms!$K$5:$K$1004,$O772)))</f>
        <v/>
      </c>
      <c r="L772" s="50">
        <f>IF($O772="","",IF(INDEX(Firms!$L$5:$L$1004,$O772)="","—",INDEX(Firms!$L$5:$L$1004,$O772)))</f>
        <v/>
      </c>
      <c r="M772" s="50">
        <f>IF($O772="","",IF(INDEX(Firms!$M$5:$M$1004,$O772)="","—",INDEX(Firms!$M$5:$M$1004,$O772)))</f>
        <v/>
      </c>
      <c r="O772">
        <f>IFERROR(MATCH(SMALL(Firms!$Y$5:$Y$1004,764),Firms!$W$5:$W$1004,0),"")</f>
        <v/>
      </c>
    </row>
    <row r="773">
      <c r="B773" s="78">
        <f>IF($O773="","",INDEX(Firms!$A$5:$A$1004,$O773))</f>
        <v/>
      </c>
      <c r="C773" s="79">
        <f>IF($O773="","",INDEX(Firms!$N$5:$N$1004,$O773)&amp;"")</f>
        <v/>
      </c>
      <c r="D773" s="79">
        <f>IF($O773="","",INDEX(Firms!$P$5:$P$1004,$O773)&amp;"")</f>
        <v/>
      </c>
      <c r="E773" s="79">
        <f>IF($O773="","",INDEX(Firms!$O$5:$O$1004,$O773)&amp;"")</f>
        <v/>
      </c>
      <c r="F773" s="50">
        <f>IF($O773="","",IF(INDEX(Firms!$F$5:$F$1004,$O773)="","—",INDEX(Firms!$F$5:$F$1004,$O773)))</f>
        <v/>
      </c>
      <c r="G773" s="50">
        <f>IF($O773="","",IF(INDEX(Firms!$G$5:$G$1004,$O773)="","—",INDEX(Firms!$G$5:$G$1004,$O773)))</f>
        <v/>
      </c>
      <c r="H773" s="50">
        <f>IF($O773="","",IF(INDEX(Firms!$H$5:$H$1004,$O773)="","—",INDEX(Firms!$H$5:$H$1004,$O773)))</f>
        <v/>
      </c>
      <c r="I773" s="50">
        <f>IF($O773="","",IF(INDEX(Firms!$I$5:$I$1004,$O773)="","—",INDEX(Firms!$I$5:$I$1004,$O773)))</f>
        <v/>
      </c>
      <c r="J773" s="50">
        <f>IF($O773="","",IF(INDEX(Firms!$J$5:$J$1004,$O773)="","—",INDEX(Firms!$J$5:$J$1004,$O773)))</f>
        <v/>
      </c>
      <c r="K773" s="50">
        <f>IF($O773="","",IF(INDEX(Firms!$K$5:$K$1004,$O773)="","—",INDEX(Firms!$K$5:$K$1004,$O773)))</f>
        <v/>
      </c>
      <c r="L773" s="50">
        <f>IF($O773="","",IF(INDEX(Firms!$L$5:$L$1004,$O773)="","—",INDEX(Firms!$L$5:$L$1004,$O773)))</f>
        <v/>
      </c>
      <c r="M773" s="50">
        <f>IF($O773="","",IF(INDEX(Firms!$M$5:$M$1004,$O773)="","—",INDEX(Firms!$M$5:$M$1004,$O773)))</f>
        <v/>
      </c>
      <c r="O773">
        <f>IFERROR(MATCH(SMALL(Firms!$Y$5:$Y$1004,765),Firms!$W$5:$W$1004,0),"")</f>
        <v/>
      </c>
    </row>
    <row r="774">
      <c r="B774" s="78">
        <f>IF($O774="","",INDEX(Firms!$A$5:$A$1004,$O774))</f>
        <v/>
      </c>
      <c r="C774" s="79">
        <f>IF($O774="","",INDEX(Firms!$N$5:$N$1004,$O774)&amp;"")</f>
        <v/>
      </c>
      <c r="D774" s="79">
        <f>IF($O774="","",INDEX(Firms!$P$5:$P$1004,$O774)&amp;"")</f>
        <v/>
      </c>
      <c r="E774" s="79">
        <f>IF($O774="","",INDEX(Firms!$O$5:$O$1004,$O774)&amp;"")</f>
        <v/>
      </c>
      <c r="F774" s="50">
        <f>IF($O774="","",IF(INDEX(Firms!$F$5:$F$1004,$O774)="","—",INDEX(Firms!$F$5:$F$1004,$O774)))</f>
        <v/>
      </c>
      <c r="G774" s="50">
        <f>IF($O774="","",IF(INDEX(Firms!$G$5:$G$1004,$O774)="","—",INDEX(Firms!$G$5:$G$1004,$O774)))</f>
        <v/>
      </c>
      <c r="H774" s="50">
        <f>IF($O774="","",IF(INDEX(Firms!$H$5:$H$1004,$O774)="","—",INDEX(Firms!$H$5:$H$1004,$O774)))</f>
        <v/>
      </c>
      <c r="I774" s="50">
        <f>IF($O774="","",IF(INDEX(Firms!$I$5:$I$1004,$O774)="","—",INDEX(Firms!$I$5:$I$1004,$O774)))</f>
        <v/>
      </c>
      <c r="J774" s="50">
        <f>IF($O774="","",IF(INDEX(Firms!$J$5:$J$1004,$O774)="","—",INDEX(Firms!$J$5:$J$1004,$O774)))</f>
        <v/>
      </c>
      <c r="K774" s="50">
        <f>IF($O774="","",IF(INDEX(Firms!$K$5:$K$1004,$O774)="","—",INDEX(Firms!$K$5:$K$1004,$O774)))</f>
        <v/>
      </c>
      <c r="L774" s="50">
        <f>IF($O774="","",IF(INDEX(Firms!$L$5:$L$1004,$O774)="","—",INDEX(Firms!$L$5:$L$1004,$O774)))</f>
        <v/>
      </c>
      <c r="M774" s="50">
        <f>IF($O774="","",IF(INDEX(Firms!$M$5:$M$1004,$O774)="","—",INDEX(Firms!$M$5:$M$1004,$O774)))</f>
        <v/>
      </c>
      <c r="O774">
        <f>IFERROR(MATCH(SMALL(Firms!$Y$5:$Y$1004,766),Firms!$W$5:$W$1004,0),"")</f>
        <v/>
      </c>
    </row>
    <row r="775">
      <c r="B775" s="78">
        <f>IF($O775="","",INDEX(Firms!$A$5:$A$1004,$O775))</f>
        <v/>
      </c>
      <c r="C775" s="79">
        <f>IF($O775="","",INDEX(Firms!$N$5:$N$1004,$O775)&amp;"")</f>
        <v/>
      </c>
      <c r="D775" s="79">
        <f>IF($O775="","",INDEX(Firms!$P$5:$P$1004,$O775)&amp;"")</f>
        <v/>
      </c>
      <c r="E775" s="79">
        <f>IF($O775="","",INDEX(Firms!$O$5:$O$1004,$O775)&amp;"")</f>
        <v/>
      </c>
      <c r="F775" s="50">
        <f>IF($O775="","",IF(INDEX(Firms!$F$5:$F$1004,$O775)="","—",INDEX(Firms!$F$5:$F$1004,$O775)))</f>
        <v/>
      </c>
      <c r="G775" s="50">
        <f>IF($O775="","",IF(INDEX(Firms!$G$5:$G$1004,$O775)="","—",INDEX(Firms!$G$5:$G$1004,$O775)))</f>
        <v/>
      </c>
      <c r="H775" s="50">
        <f>IF($O775="","",IF(INDEX(Firms!$H$5:$H$1004,$O775)="","—",INDEX(Firms!$H$5:$H$1004,$O775)))</f>
        <v/>
      </c>
      <c r="I775" s="50">
        <f>IF($O775="","",IF(INDEX(Firms!$I$5:$I$1004,$O775)="","—",INDEX(Firms!$I$5:$I$1004,$O775)))</f>
        <v/>
      </c>
      <c r="J775" s="50">
        <f>IF($O775="","",IF(INDEX(Firms!$J$5:$J$1004,$O775)="","—",INDEX(Firms!$J$5:$J$1004,$O775)))</f>
        <v/>
      </c>
      <c r="K775" s="50">
        <f>IF($O775="","",IF(INDEX(Firms!$K$5:$K$1004,$O775)="","—",INDEX(Firms!$K$5:$K$1004,$O775)))</f>
        <v/>
      </c>
      <c r="L775" s="50">
        <f>IF($O775="","",IF(INDEX(Firms!$L$5:$L$1004,$O775)="","—",INDEX(Firms!$L$5:$L$1004,$O775)))</f>
        <v/>
      </c>
      <c r="M775" s="50">
        <f>IF($O775="","",IF(INDEX(Firms!$M$5:$M$1004,$O775)="","—",INDEX(Firms!$M$5:$M$1004,$O775)))</f>
        <v/>
      </c>
      <c r="O775">
        <f>IFERROR(MATCH(SMALL(Firms!$Y$5:$Y$1004,767),Firms!$W$5:$W$1004,0),"")</f>
        <v/>
      </c>
    </row>
    <row r="776">
      <c r="B776" s="78">
        <f>IF($O776="","",INDEX(Firms!$A$5:$A$1004,$O776))</f>
        <v/>
      </c>
      <c r="C776" s="79">
        <f>IF($O776="","",INDEX(Firms!$N$5:$N$1004,$O776)&amp;"")</f>
        <v/>
      </c>
      <c r="D776" s="79">
        <f>IF($O776="","",INDEX(Firms!$P$5:$P$1004,$O776)&amp;"")</f>
        <v/>
      </c>
      <c r="E776" s="79">
        <f>IF($O776="","",INDEX(Firms!$O$5:$O$1004,$O776)&amp;"")</f>
        <v/>
      </c>
      <c r="F776" s="50">
        <f>IF($O776="","",IF(INDEX(Firms!$F$5:$F$1004,$O776)="","—",INDEX(Firms!$F$5:$F$1004,$O776)))</f>
        <v/>
      </c>
      <c r="G776" s="50">
        <f>IF($O776="","",IF(INDEX(Firms!$G$5:$G$1004,$O776)="","—",INDEX(Firms!$G$5:$G$1004,$O776)))</f>
        <v/>
      </c>
      <c r="H776" s="50">
        <f>IF($O776="","",IF(INDEX(Firms!$H$5:$H$1004,$O776)="","—",INDEX(Firms!$H$5:$H$1004,$O776)))</f>
        <v/>
      </c>
      <c r="I776" s="50">
        <f>IF($O776="","",IF(INDEX(Firms!$I$5:$I$1004,$O776)="","—",INDEX(Firms!$I$5:$I$1004,$O776)))</f>
        <v/>
      </c>
      <c r="J776" s="50">
        <f>IF($O776="","",IF(INDEX(Firms!$J$5:$J$1004,$O776)="","—",INDEX(Firms!$J$5:$J$1004,$O776)))</f>
        <v/>
      </c>
      <c r="K776" s="50">
        <f>IF($O776="","",IF(INDEX(Firms!$K$5:$K$1004,$O776)="","—",INDEX(Firms!$K$5:$K$1004,$O776)))</f>
        <v/>
      </c>
      <c r="L776" s="50">
        <f>IF($O776="","",IF(INDEX(Firms!$L$5:$L$1004,$O776)="","—",INDEX(Firms!$L$5:$L$1004,$O776)))</f>
        <v/>
      </c>
      <c r="M776" s="50">
        <f>IF($O776="","",IF(INDEX(Firms!$M$5:$M$1004,$O776)="","—",INDEX(Firms!$M$5:$M$1004,$O776)))</f>
        <v/>
      </c>
      <c r="O776">
        <f>IFERROR(MATCH(SMALL(Firms!$Y$5:$Y$1004,768),Firms!$W$5:$W$1004,0),"")</f>
        <v/>
      </c>
    </row>
    <row r="777">
      <c r="B777" s="78">
        <f>IF($O777="","",INDEX(Firms!$A$5:$A$1004,$O777))</f>
        <v/>
      </c>
      <c r="C777" s="79">
        <f>IF($O777="","",INDEX(Firms!$N$5:$N$1004,$O777)&amp;"")</f>
        <v/>
      </c>
      <c r="D777" s="79">
        <f>IF($O777="","",INDEX(Firms!$P$5:$P$1004,$O777)&amp;"")</f>
        <v/>
      </c>
      <c r="E777" s="79">
        <f>IF($O777="","",INDEX(Firms!$O$5:$O$1004,$O777)&amp;"")</f>
        <v/>
      </c>
      <c r="F777" s="50">
        <f>IF($O777="","",IF(INDEX(Firms!$F$5:$F$1004,$O777)="","—",INDEX(Firms!$F$5:$F$1004,$O777)))</f>
        <v/>
      </c>
      <c r="G777" s="50">
        <f>IF($O777="","",IF(INDEX(Firms!$G$5:$G$1004,$O777)="","—",INDEX(Firms!$G$5:$G$1004,$O777)))</f>
        <v/>
      </c>
      <c r="H777" s="50">
        <f>IF($O777="","",IF(INDEX(Firms!$H$5:$H$1004,$O777)="","—",INDEX(Firms!$H$5:$H$1004,$O777)))</f>
        <v/>
      </c>
      <c r="I777" s="50">
        <f>IF($O777="","",IF(INDEX(Firms!$I$5:$I$1004,$O777)="","—",INDEX(Firms!$I$5:$I$1004,$O777)))</f>
        <v/>
      </c>
      <c r="J777" s="50">
        <f>IF($O777="","",IF(INDEX(Firms!$J$5:$J$1004,$O777)="","—",INDEX(Firms!$J$5:$J$1004,$O777)))</f>
        <v/>
      </c>
      <c r="K777" s="50">
        <f>IF($O777="","",IF(INDEX(Firms!$K$5:$K$1004,$O777)="","—",INDEX(Firms!$K$5:$K$1004,$O777)))</f>
        <v/>
      </c>
      <c r="L777" s="50">
        <f>IF($O777="","",IF(INDEX(Firms!$L$5:$L$1004,$O777)="","—",INDEX(Firms!$L$5:$L$1004,$O777)))</f>
        <v/>
      </c>
      <c r="M777" s="50">
        <f>IF($O777="","",IF(INDEX(Firms!$M$5:$M$1004,$O777)="","—",INDEX(Firms!$M$5:$M$1004,$O777)))</f>
        <v/>
      </c>
      <c r="O777">
        <f>IFERROR(MATCH(SMALL(Firms!$Y$5:$Y$1004,769),Firms!$W$5:$W$1004,0),"")</f>
        <v/>
      </c>
    </row>
    <row r="778">
      <c r="B778" s="78">
        <f>IF($O778="","",INDEX(Firms!$A$5:$A$1004,$O778))</f>
        <v/>
      </c>
      <c r="C778" s="79">
        <f>IF($O778="","",INDEX(Firms!$N$5:$N$1004,$O778)&amp;"")</f>
        <v/>
      </c>
      <c r="D778" s="79">
        <f>IF($O778="","",INDEX(Firms!$P$5:$P$1004,$O778)&amp;"")</f>
        <v/>
      </c>
      <c r="E778" s="79">
        <f>IF($O778="","",INDEX(Firms!$O$5:$O$1004,$O778)&amp;"")</f>
        <v/>
      </c>
      <c r="F778" s="50">
        <f>IF($O778="","",IF(INDEX(Firms!$F$5:$F$1004,$O778)="","—",INDEX(Firms!$F$5:$F$1004,$O778)))</f>
        <v/>
      </c>
      <c r="G778" s="50">
        <f>IF($O778="","",IF(INDEX(Firms!$G$5:$G$1004,$O778)="","—",INDEX(Firms!$G$5:$G$1004,$O778)))</f>
        <v/>
      </c>
      <c r="H778" s="50">
        <f>IF($O778="","",IF(INDEX(Firms!$H$5:$H$1004,$O778)="","—",INDEX(Firms!$H$5:$H$1004,$O778)))</f>
        <v/>
      </c>
      <c r="I778" s="50">
        <f>IF($O778="","",IF(INDEX(Firms!$I$5:$I$1004,$O778)="","—",INDEX(Firms!$I$5:$I$1004,$O778)))</f>
        <v/>
      </c>
      <c r="J778" s="50">
        <f>IF($O778="","",IF(INDEX(Firms!$J$5:$J$1004,$O778)="","—",INDEX(Firms!$J$5:$J$1004,$O778)))</f>
        <v/>
      </c>
      <c r="K778" s="50">
        <f>IF($O778="","",IF(INDEX(Firms!$K$5:$K$1004,$O778)="","—",INDEX(Firms!$K$5:$K$1004,$O778)))</f>
        <v/>
      </c>
      <c r="L778" s="50">
        <f>IF($O778="","",IF(INDEX(Firms!$L$5:$L$1004,$O778)="","—",INDEX(Firms!$L$5:$L$1004,$O778)))</f>
        <v/>
      </c>
      <c r="M778" s="50">
        <f>IF($O778="","",IF(INDEX(Firms!$M$5:$M$1004,$O778)="","—",INDEX(Firms!$M$5:$M$1004,$O778)))</f>
        <v/>
      </c>
      <c r="O778">
        <f>IFERROR(MATCH(SMALL(Firms!$Y$5:$Y$1004,770),Firms!$W$5:$W$1004,0),"")</f>
        <v/>
      </c>
    </row>
    <row r="779">
      <c r="B779" s="78">
        <f>IF($O779="","",INDEX(Firms!$A$5:$A$1004,$O779))</f>
        <v/>
      </c>
      <c r="C779" s="79">
        <f>IF($O779="","",INDEX(Firms!$N$5:$N$1004,$O779)&amp;"")</f>
        <v/>
      </c>
      <c r="D779" s="79">
        <f>IF($O779="","",INDEX(Firms!$P$5:$P$1004,$O779)&amp;"")</f>
        <v/>
      </c>
      <c r="E779" s="79">
        <f>IF($O779="","",INDEX(Firms!$O$5:$O$1004,$O779)&amp;"")</f>
        <v/>
      </c>
      <c r="F779" s="50">
        <f>IF($O779="","",IF(INDEX(Firms!$F$5:$F$1004,$O779)="","—",INDEX(Firms!$F$5:$F$1004,$O779)))</f>
        <v/>
      </c>
      <c r="G779" s="50">
        <f>IF($O779="","",IF(INDEX(Firms!$G$5:$G$1004,$O779)="","—",INDEX(Firms!$G$5:$G$1004,$O779)))</f>
        <v/>
      </c>
      <c r="H779" s="50">
        <f>IF($O779="","",IF(INDEX(Firms!$H$5:$H$1004,$O779)="","—",INDEX(Firms!$H$5:$H$1004,$O779)))</f>
        <v/>
      </c>
      <c r="I779" s="50">
        <f>IF($O779="","",IF(INDEX(Firms!$I$5:$I$1004,$O779)="","—",INDEX(Firms!$I$5:$I$1004,$O779)))</f>
        <v/>
      </c>
      <c r="J779" s="50">
        <f>IF($O779="","",IF(INDEX(Firms!$J$5:$J$1004,$O779)="","—",INDEX(Firms!$J$5:$J$1004,$O779)))</f>
        <v/>
      </c>
      <c r="K779" s="50">
        <f>IF($O779="","",IF(INDEX(Firms!$K$5:$K$1004,$O779)="","—",INDEX(Firms!$K$5:$K$1004,$O779)))</f>
        <v/>
      </c>
      <c r="L779" s="50">
        <f>IF($O779="","",IF(INDEX(Firms!$L$5:$L$1004,$O779)="","—",INDEX(Firms!$L$5:$L$1004,$O779)))</f>
        <v/>
      </c>
      <c r="M779" s="50">
        <f>IF($O779="","",IF(INDEX(Firms!$M$5:$M$1004,$O779)="","—",INDEX(Firms!$M$5:$M$1004,$O779)))</f>
        <v/>
      </c>
      <c r="O779">
        <f>IFERROR(MATCH(SMALL(Firms!$Y$5:$Y$1004,771),Firms!$W$5:$W$1004,0),"")</f>
        <v/>
      </c>
    </row>
    <row r="780">
      <c r="B780" s="78">
        <f>IF($O780="","",INDEX(Firms!$A$5:$A$1004,$O780))</f>
        <v/>
      </c>
      <c r="C780" s="79">
        <f>IF($O780="","",INDEX(Firms!$N$5:$N$1004,$O780)&amp;"")</f>
        <v/>
      </c>
      <c r="D780" s="79">
        <f>IF($O780="","",INDEX(Firms!$P$5:$P$1004,$O780)&amp;"")</f>
        <v/>
      </c>
      <c r="E780" s="79">
        <f>IF($O780="","",INDEX(Firms!$O$5:$O$1004,$O780)&amp;"")</f>
        <v/>
      </c>
      <c r="F780" s="50">
        <f>IF($O780="","",IF(INDEX(Firms!$F$5:$F$1004,$O780)="","—",INDEX(Firms!$F$5:$F$1004,$O780)))</f>
        <v/>
      </c>
      <c r="G780" s="50">
        <f>IF($O780="","",IF(INDEX(Firms!$G$5:$G$1004,$O780)="","—",INDEX(Firms!$G$5:$G$1004,$O780)))</f>
        <v/>
      </c>
      <c r="H780" s="50">
        <f>IF($O780="","",IF(INDEX(Firms!$H$5:$H$1004,$O780)="","—",INDEX(Firms!$H$5:$H$1004,$O780)))</f>
        <v/>
      </c>
      <c r="I780" s="50">
        <f>IF($O780="","",IF(INDEX(Firms!$I$5:$I$1004,$O780)="","—",INDEX(Firms!$I$5:$I$1004,$O780)))</f>
        <v/>
      </c>
      <c r="J780" s="50">
        <f>IF($O780="","",IF(INDEX(Firms!$J$5:$J$1004,$O780)="","—",INDEX(Firms!$J$5:$J$1004,$O780)))</f>
        <v/>
      </c>
      <c r="K780" s="50">
        <f>IF($O780="","",IF(INDEX(Firms!$K$5:$K$1004,$O780)="","—",INDEX(Firms!$K$5:$K$1004,$O780)))</f>
        <v/>
      </c>
      <c r="L780" s="50">
        <f>IF($O780="","",IF(INDEX(Firms!$L$5:$L$1004,$O780)="","—",INDEX(Firms!$L$5:$L$1004,$O780)))</f>
        <v/>
      </c>
      <c r="M780" s="50">
        <f>IF($O780="","",IF(INDEX(Firms!$M$5:$M$1004,$O780)="","—",INDEX(Firms!$M$5:$M$1004,$O780)))</f>
        <v/>
      </c>
      <c r="O780">
        <f>IFERROR(MATCH(SMALL(Firms!$Y$5:$Y$1004,772),Firms!$W$5:$W$1004,0),"")</f>
        <v/>
      </c>
    </row>
    <row r="781">
      <c r="B781" s="78">
        <f>IF($O781="","",INDEX(Firms!$A$5:$A$1004,$O781))</f>
        <v/>
      </c>
      <c r="C781" s="79">
        <f>IF($O781="","",INDEX(Firms!$N$5:$N$1004,$O781)&amp;"")</f>
        <v/>
      </c>
      <c r="D781" s="79">
        <f>IF($O781="","",INDEX(Firms!$P$5:$P$1004,$O781)&amp;"")</f>
        <v/>
      </c>
      <c r="E781" s="79">
        <f>IF($O781="","",INDEX(Firms!$O$5:$O$1004,$O781)&amp;"")</f>
        <v/>
      </c>
      <c r="F781" s="50">
        <f>IF($O781="","",IF(INDEX(Firms!$F$5:$F$1004,$O781)="","—",INDEX(Firms!$F$5:$F$1004,$O781)))</f>
        <v/>
      </c>
      <c r="G781" s="50">
        <f>IF($O781="","",IF(INDEX(Firms!$G$5:$G$1004,$O781)="","—",INDEX(Firms!$G$5:$G$1004,$O781)))</f>
        <v/>
      </c>
      <c r="H781" s="50">
        <f>IF($O781="","",IF(INDEX(Firms!$H$5:$H$1004,$O781)="","—",INDEX(Firms!$H$5:$H$1004,$O781)))</f>
        <v/>
      </c>
      <c r="I781" s="50">
        <f>IF($O781="","",IF(INDEX(Firms!$I$5:$I$1004,$O781)="","—",INDEX(Firms!$I$5:$I$1004,$O781)))</f>
        <v/>
      </c>
      <c r="J781" s="50">
        <f>IF($O781="","",IF(INDEX(Firms!$J$5:$J$1004,$O781)="","—",INDEX(Firms!$J$5:$J$1004,$O781)))</f>
        <v/>
      </c>
      <c r="K781" s="50">
        <f>IF($O781="","",IF(INDEX(Firms!$K$5:$K$1004,$O781)="","—",INDEX(Firms!$K$5:$K$1004,$O781)))</f>
        <v/>
      </c>
      <c r="L781" s="50">
        <f>IF($O781="","",IF(INDEX(Firms!$L$5:$L$1004,$O781)="","—",INDEX(Firms!$L$5:$L$1004,$O781)))</f>
        <v/>
      </c>
      <c r="M781" s="50">
        <f>IF($O781="","",IF(INDEX(Firms!$M$5:$M$1004,$O781)="","—",INDEX(Firms!$M$5:$M$1004,$O781)))</f>
        <v/>
      </c>
      <c r="O781">
        <f>IFERROR(MATCH(SMALL(Firms!$Y$5:$Y$1004,773),Firms!$W$5:$W$1004,0),"")</f>
        <v/>
      </c>
    </row>
    <row r="782">
      <c r="B782" s="78">
        <f>IF($O782="","",INDEX(Firms!$A$5:$A$1004,$O782))</f>
        <v/>
      </c>
      <c r="C782" s="79">
        <f>IF($O782="","",INDEX(Firms!$N$5:$N$1004,$O782)&amp;"")</f>
        <v/>
      </c>
      <c r="D782" s="79">
        <f>IF($O782="","",INDEX(Firms!$P$5:$P$1004,$O782)&amp;"")</f>
        <v/>
      </c>
      <c r="E782" s="79">
        <f>IF($O782="","",INDEX(Firms!$O$5:$O$1004,$O782)&amp;"")</f>
        <v/>
      </c>
      <c r="F782" s="50">
        <f>IF($O782="","",IF(INDEX(Firms!$F$5:$F$1004,$O782)="","—",INDEX(Firms!$F$5:$F$1004,$O782)))</f>
        <v/>
      </c>
      <c r="G782" s="50">
        <f>IF($O782="","",IF(INDEX(Firms!$G$5:$G$1004,$O782)="","—",INDEX(Firms!$G$5:$G$1004,$O782)))</f>
        <v/>
      </c>
      <c r="H782" s="50">
        <f>IF($O782="","",IF(INDEX(Firms!$H$5:$H$1004,$O782)="","—",INDEX(Firms!$H$5:$H$1004,$O782)))</f>
        <v/>
      </c>
      <c r="I782" s="50">
        <f>IF($O782="","",IF(INDEX(Firms!$I$5:$I$1004,$O782)="","—",INDEX(Firms!$I$5:$I$1004,$O782)))</f>
        <v/>
      </c>
      <c r="J782" s="50">
        <f>IF($O782="","",IF(INDEX(Firms!$J$5:$J$1004,$O782)="","—",INDEX(Firms!$J$5:$J$1004,$O782)))</f>
        <v/>
      </c>
      <c r="K782" s="50">
        <f>IF($O782="","",IF(INDEX(Firms!$K$5:$K$1004,$O782)="","—",INDEX(Firms!$K$5:$K$1004,$O782)))</f>
        <v/>
      </c>
      <c r="L782" s="50">
        <f>IF($O782="","",IF(INDEX(Firms!$L$5:$L$1004,$O782)="","—",INDEX(Firms!$L$5:$L$1004,$O782)))</f>
        <v/>
      </c>
      <c r="M782" s="50">
        <f>IF($O782="","",IF(INDEX(Firms!$M$5:$M$1004,$O782)="","—",INDEX(Firms!$M$5:$M$1004,$O782)))</f>
        <v/>
      </c>
      <c r="O782">
        <f>IFERROR(MATCH(SMALL(Firms!$Y$5:$Y$1004,774),Firms!$W$5:$W$1004,0),"")</f>
        <v/>
      </c>
    </row>
    <row r="783">
      <c r="B783" s="78">
        <f>IF($O783="","",INDEX(Firms!$A$5:$A$1004,$O783))</f>
        <v/>
      </c>
      <c r="C783" s="79">
        <f>IF($O783="","",INDEX(Firms!$N$5:$N$1004,$O783)&amp;"")</f>
        <v/>
      </c>
      <c r="D783" s="79">
        <f>IF($O783="","",INDEX(Firms!$P$5:$P$1004,$O783)&amp;"")</f>
        <v/>
      </c>
      <c r="E783" s="79">
        <f>IF($O783="","",INDEX(Firms!$O$5:$O$1004,$O783)&amp;"")</f>
        <v/>
      </c>
      <c r="F783" s="50">
        <f>IF($O783="","",IF(INDEX(Firms!$F$5:$F$1004,$O783)="","—",INDEX(Firms!$F$5:$F$1004,$O783)))</f>
        <v/>
      </c>
      <c r="G783" s="50">
        <f>IF($O783="","",IF(INDEX(Firms!$G$5:$G$1004,$O783)="","—",INDEX(Firms!$G$5:$G$1004,$O783)))</f>
        <v/>
      </c>
      <c r="H783" s="50">
        <f>IF($O783="","",IF(INDEX(Firms!$H$5:$H$1004,$O783)="","—",INDEX(Firms!$H$5:$H$1004,$O783)))</f>
        <v/>
      </c>
      <c r="I783" s="50">
        <f>IF($O783="","",IF(INDEX(Firms!$I$5:$I$1004,$O783)="","—",INDEX(Firms!$I$5:$I$1004,$O783)))</f>
        <v/>
      </c>
      <c r="J783" s="50">
        <f>IF($O783="","",IF(INDEX(Firms!$J$5:$J$1004,$O783)="","—",INDEX(Firms!$J$5:$J$1004,$O783)))</f>
        <v/>
      </c>
      <c r="K783" s="50">
        <f>IF($O783="","",IF(INDEX(Firms!$K$5:$K$1004,$O783)="","—",INDEX(Firms!$K$5:$K$1004,$O783)))</f>
        <v/>
      </c>
      <c r="L783" s="50">
        <f>IF($O783="","",IF(INDEX(Firms!$L$5:$L$1004,$O783)="","—",INDEX(Firms!$L$5:$L$1004,$O783)))</f>
        <v/>
      </c>
      <c r="M783" s="50">
        <f>IF($O783="","",IF(INDEX(Firms!$M$5:$M$1004,$O783)="","—",INDEX(Firms!$M$5:$M$1004,$O783)))</f>
        <v/>
      </c>
      <c r="O783">
        <f>IFERROR(MATCH(SMALL(Firms!$Y$5:$Y$1004,775),Firms!$W$5:$W$1004,0),"")</f>
        <v/>
      </c>
    </row>
    <row r="784">
      <c r="B784" s="78">
        <f>IF($O784="","",INDEX(Firms!$A$5:$A$1004,$O784))</f>
        <v/>
      </c>
      <c r="C784" s="79">
        <f>IF($O784="","",INDEX(Firms!$N$5:$N$1004,$O784)&amp;"")</f>
        <v/>
      </c>
      <c r="D784" s="79">
        <f>IF($O784="","",INDEX(Firms!$P$5:$P$1004,$O784)&amp;"")</f>
        <v/>
      </c>
      <c r="E784" s="79">
        <f>IF($O784="","",INDEX(Firms!$O$5:$O$1004,$O784)&amp;"")</f>
        <v/>
      </c>
      <c r="F784" s="50">
        <f>IF($O784="","",IF(INDEX(Firms!$F$5:$F$1004,$O784)="","—",INDEX(Firms!$F$5:$F$1004,$O784)))</f>
        <v/>
      </c>
      <c r="G784" s="50">
        <f>IF($O784="","",IF(INDEX(Firms!$G$5:$G$1004,$O784)="","—",INDEX(Firms!$G$5:$G$1004,$O784)))</f>
        <v/>
      </c>
      <c r="H784" s="50">
        <f>IF($O784="","",IF(INDEX(Firms!$H$5:$H$1004,$O784)="","—",INDEX(Firms!$H$5:$H$1004,$O784)))</f>
        <v/>
      </c>
      <c r="I784" s="50">
        <f>IF($O784="","",IF(INDEX(Firms!$I$5:$I$1004,$O784)="","—",INDEX(Firms!$I$5:$I$1004,$O784)))</f>
        <v/>
      </c>
      <c r="J784" s="50">
        <f>IF($O784="","",IF(INDEX(Firms!$J$5:$J$1004,$O784)="","—",INDEX(Firms!$J$5:$J$1004,$O784)))</f>
        <v/>
      </c>
      <c r="K784" s="50">
        <f>IF($O784="","",IF(INDEX(Firms!$K$5:$K$1004,$O784)="","—",INDEX(Firms!$K$5:$K$1004,$O784)))</f>
        <v/>
      </c>
      <c r="L784" s="50">
        <f>IF($O784="","",IF(INDEX(Firms!$L$5:$L$1004,$O784)="","—",INDEX(Firms!$L$5:$L$1004,$O784)))</f>
        <v/>
      </c>
      <c r="M784" s="50">
        <f>IF($O784="","",IF(INDEX(Firms!$M$5:$M$1004,$O784)="","—",INDEX(Firms!$M$5:$M$1004,$O784)))</f>
        <v/>
      </c>
      <c r="O784">
        <f>IFERROR(MATCH(SMALL(Firms!$Y$5:$Y$1004,776),Firms!$W$5:$W$1004,0),"")</f>
        <v/>
      </c>
    </row>
    <row r="785">
      <c r="B785" s="78">
        <f>IF($O785="","",INDEX(Firms!$A$5:$A$1004,$O785))</f>
        <v/>
      </c>
      <c r="C785" s="79">
        <f>IF($O785="","",INDEX(Firms!$N$5:$N$1004,$O785)&amp;"")</f>
        <v/>
      </c>
      <c r="D785" s="79">
        <f>IF($O785="","",INDEX(Firms!$P$5:$P$1004,$O785)&amp;"")</f>
        <v/>
      </c>
      <c r="E785" s="79">
        <f>IF($O785="","",INDEX(Firms!$O$5:$O$1004,$O785)&amp;"")</f>
        <v/>
      </c>
      <c r="F785" s="50">
        <f>IF($O785="","",IF(INDEX(Firms!$F$5:$F$1004,$O785)="","—",INDEX(Firms!$F$5:$F$1004,$O785)))</f>
        <v/>
      </c>
      <c r="G785" s="50">
        <f>IF($O785="","",IF(INDEX(Firms!$G$5:$G$1004,$O785)="","—",INDEX(Firms!$G$5:$G$1004,$O785)))</f>
        <v/>
      </c>
      <c r="H785" s="50">
        <f>IF($O785="","",IF(INDEX(Firms!$H$5:$H$1004,$O785)="","—",INDEX(Firms!$H$5:$H$1004,$O785)))</f>
        <v/>
      </c>
      <c r="I785" s="50">
        <f>IF($O785="","",IF(INDEX(Firms!$I$5:$I$1004,$O785)="","—",INDEX(Firms!$I$5:$I$1004,$O785)))</f>
        <v/>
      </c>
      <c r="J785" s="50">
        <f>IF($O785="","",IF(INDEX(Firms!$J$5:$J$1004,$O785)="","—",INDEX(Firms!$J$5:$J$1004,$O785)))</f>
        <v/>
      </c>
      <c r="K785" s="50">
        <f>IF($O785="","",IF(INDEX(Firms!$K$5:$K$1004,$O785)="","—",INDEX(Firms!$K$5:$K$1004,$O785)))</f>
        <v/>
      </c>
      <c r="L785" s="50">
        <f>IF($O785="","",IF(INDEX(Firms!$L$5:$L$1004,$O785)="","—",INDEX(Firms!$L$5:$L$1004,$O785)))</f>
        <v/>
      </c>
      <c r="M785" s="50">
        <f>IF($O785="","",IF(INDEX(Firms!$M$5:$M$1004,$O785)="","—",INDEX(Firms!$M$5:$M$1004,$O785)))</f>
        <v/>
      </c>
      <c r="O785">
        <f>IFERROR(MATCH(SMALL(Firms!$Y$5:$Y$1004,777),Firms!$W$5:$W$1004,0),"")</f>
        <v/>
      </c>
    </row>
    <row r="786">
      <c r="B786" s="78">
        <f>IF($O786="","",INDEX(Firms!$A$5:$A$1004,$O786))</f>
        <v/>
      </c>
      <c r="C786" s="79">
        <f>IF($O786="","",INDEX(Firms!$N$5:$N$1004,$O786)&amp;"")</f>
        <v/>
      </c>
      <c r="D786" s="79">
        <f>IF($O786="","",INDEX(Firms!$P$5:$P$1004,$O786)&amp;"")</f>
        <v/>
      </c>
      <c r="E786" s="79">
        <f>IF($O786="","",INDEX(Firms!$O$5:$O$1004,$O786)&amp;"")</f>
        <v/>
      </c>
      <c r="F786" s="50">
        <f>IF($O786="","",IF(INDEX(Firms!$F$5:$F$1004,$O786)="","—",INDEX(Firms!$F$5:$F$1004,$O786)))</f>
        <v/>
      </c>
      <c r="G786" s="50">
        <f>IF($O786="","",IF(INDEX(Firms!$G$5:$G$1004,$O786)="","—",INDEX(Firms!$G$5:$G$1004,$O786)))</f>
        <v/>
      </c>
      <c r="H786" s="50">
        <f>IF($O786="","",IF(INDEX(Firms!$H$5:$H$1004,$O786)="","—",INDEX(Firms!$H$5:$H$1004,$O786)))</f>
        <v/>
      </c>
      <c r="I786" s="50">
        <f>IF($O786="","",IF(INDEX(Firms!$I$5:$I$1004,$O786)="","—",INDEX(Firms!$I$5:$I$1004,$O786)))</f>
        <v/>
      </c>
      <c r="J786" s="50">
        <f>IF($O786="","",IF(INDEX(Firms!$J$5:$J$1004,$O786)="","—",INDEX(Firms!$J$5:$J$1004,$O786)))</f>
        <v/>
      </c>
      <c r="K786" s="50">
        <f>IF($O786="","",IF(INDEX(Firms!$K$5:$K$1004,$O786)="","—",INDEX(Firms!$K$5:$K$1004,$O786)))</f>
        <v/>
      </c>
      <c r="L786" s="50">
        <f>IF($O786="","",IF(INDEX(Firms!$L$5:$L$1004,$O786)="","—",INDEX(Firms!$L$5:$L$1004,$O786)))</f>
        <v/>
      </c>
      <c r="M786" s="50">
        <f>IF($O786="","",IF(INDEX(Firms!$M$5:$M$1004,$O786)="","—",INDEX(Firms!$M$5:$M$1004,$O786)))</f>
        <v/>
      </c>
      <c r="O786">
        <f>IFERROR(MATCH(SMALL(Firms!$Y$5:$Y$1004,778),Firms!$W$5:$W$1004,0),"")</f>
        <v/>
      </c>
    </row>
    <row r="787">
      <c r="B787" s="78">
        <f>IF($O787="","",INDEX(Firms!$A$5:$A$1004,$O787))</f>
        <v/>
      </c>
      <c r="C787" s="79">
        <f>IF($O787="","",INDEX(Firms!$N$5:$N$1004,$O787)&amp;"")</f>
        <v/>
      </c>
      <c r="D787" s="79">
        <f>IF($O787="","",INDEX(Firms!$P$5:$P$1004,$O787)&amp;"")</f>
        <v/>
      </c>
      <c r="E787" s="79">
        <f>IF($O787="","",INDEX(Firms!$O$5:$O$1004,$O787)&amp;"")</f>
        <v/>
      </c>
      <c r="F787" s="50">
        <f>IF($O787="","",IF(INDEX(Firms!$F$5:$F$1004,$O787)="","—",INDEX(Firms!$F$5:$F$1004,$O787)))</f>
        <v/>
      </c>
      <c r="G787" s="50">
        <f>IF($O787="","",IF(INDEX(Firms!$G$5:$G$1004,$O787)="","—",INDEX(Firms!$G$5:$G$1004,$O787)))</f>
        <v/>
      </c>
      <c r="H787" s="50">
        <f>IF($O787="","",IF(INDEX(Firms!$H$5:$H$1004,$O787)="","—",INDEX(Firms!$H$5:$H$1004,$O787)))</f>
        <v/>
      </c>
      <c r="I787" s="50">
        <f>IF($O787="","",IF(INDEX(Firms!$I$5:$I$1004,$O787)="","—",INDEX(Firms!$I$5:$I$1004,$O787)))</f>
        <v/>
      </c>
      <c r="J787" s="50">
        <f>IF($O787="","",IF(INDEX(Firms!$J$5:$J$1004,$O787)="","—",INDEX(Firms!$J$5:$J$1004,$O787)))</f>
        <v/>
      </c>
      <c r="K787" s="50">
        <f>IF($O787="","",IF(INDEX(Firms!$K$5:$K$1004,$O787)="","—",INDEX(Firms!$K$5:$K$1004,$O787)))</f>
        <v/>
      </c>
      <c r="L787" s="50">
        <f>IF($O787="","",IF(INDEX(Firms!$L$5:$L$1004,$O787)="","—",INDEX(Firms!$L$5:$L$1004,$O787)))</f>
        <v/>
      </c>
      <c r="M787" s="50">
        <f>IF($O787="","",IF(INDEX(Firms!$M$5:$M$1004,$O787)="","—",INDEX(Firms!$M$5:$M$1004,$O787)))</f>
        <v/>
      </c>
      <c r="O787">
        <f>IFERROR(MATCH(SMALL(Firms!$Y$5:$Y$1004,779),Firms!$W$5:$W$1004,0),"")</f>
        <v/>
      </c>
    </row>
    <row r="788">
      <c r="B788" s="78">
        <f>IF($O788="","",INDEX(Firms!$A$5:$A$1004,$O788))</f>
        <v/>
      </c>
      <c r="C788" s="79">
        <f>IF($O788="","",INDEX(Firms!$N$5:$N$1004,$O788)&amp;"")</f>
        <v/>
      </c>
      <c r="D788" s="79">
        <f>IF($O788="","",INDEX(Firms!$P$5:$P$1004,$O788)&amp;"")</f>
        <v/>
      </c>
      <c r="E788" s="79">
        <f>IF($O788="","",INDEX(Firms!$O$5:$O$1004,$O788)&amp;"")</f>
        <v/>
      </c>
      <c r="F788" s="50">
        <f>IF($O788="","",IF(INDEX(Firms!$F$5:$F$1004,$O788)="","—",INDEX(Firms!$F$5:$F$1004,$O788)))</f>
        <v/>
      </c>
      <c r="G788" s="50">
        <f>IF($O788="","",IF(INDEX(Firms!$G$5:$G$1004,$O788)="","—",INDEX(Firms!$G$5:$G$1004,$O788)))</f>
        <v/>
      </c>
      <c r="H788" s="50">
        <f>IF($O788="","",IF(INDEX(Firms!$H$5:$H$1004,$O788)="","—",INDEX(Firms!$H$5:$H$1004,$O788)))</f>
        <v/>
      </c>
      <c r="I788" s="50">
        <f>IF($O788="","",IF(INDEX(Firms!$I$5:$I$1004,$O788)="","—",INDEX(Firms!$I$5:$I$1004,$O788)))</f>
        <v/>
      </c>
      <c r="J788" s="50">
        <f>IF($O788="","",IF(INDEX(Firms!$J$5:$J$1004,$O788)="","—",INDEX(Firms!$J$5:$J$1004,$O788)))</f>
        <v/>
      </c>
      <c r="K788" s="50">
        <f>IF($O788="","",IF(INDEX(Firms!$K$5:$K$1004,$O788)="","—",INDEX(Firms!$K$5:$K$1004,$O788)))</f>
        <v/>
      </c>
      <c r="L788" s="50">
        <f>IF($O788="","",IF(INDEX(Firms!$L$5:$L$1004,$O788)="","—",INDEX(Firms!$L$5:$L$1004,$O788)))</f>
        <v/>
      </c>
      <c r="M788" s="50">
        <f>IF($O788="","",IF(INDEX(Firms!$M$5:$M$1004,$O788)="","—",INDEX(Firms!$M$5:$M$1004,$O788)))</f>
        <v/>
      </c>
      <c r="O788">
        <f>IFERROR(MATCH(SMALL(Firms!$Y$5:$Y$1004,780),Firms!$W$5:$W$1004,0),"")</f>
        <v/>
      </c>
    </row>
    <row r="789">
      <c r="B789" s="78">
        <f>IF($O789="","",INDEX(Firms!$A$5:$A$1004,$O789))</f>
        <v/>
      </c>
      <c r="C789" s="79">
        <f>IF($O789="","",INDEX(Firms!$N$5:$N$1004,$O789)&amp;"")</f>
        <v/>
      </c>
      <c r="D789" s="79">
        <f>IF($O789="","",INDEX(Firms!$P$5:$P$1004,$O789)&amp;"")</f>
        <v/>
      </c>
      <c r="E789" s="79">
        <f>IF($O789="","",INDEX(Firms!$O$5:$O$1004,$O789)&amp;"")</f>
        <v/>
      </c>
      <c r="F789" s="50">
        <f>IF($O789="","",IF(INDEX(Firms!$F$5:$F$1004,$O789)="","—",INDEX(Firms!$F$5:$F$1004,$O789)))</f>
        <v/>
      </c>
      <c r="G789" s="50">
        <f>IF($O789="","",IF(INDEX(Firms!$G$5:$G$1004,$O789)="","—",INDEX(Firms!$G$5:$G$1004,$O789)))</f>
        <v/>
      </c>
      <c r="H789" s="50">
        <f>IF($O789="","",IF(INDEX(Firms!$H$5:$H$1004,$O789)="","—",INDEX(Firms!$H$5:$H$1004,$O789)))</f>
        <v/>
      </c>
      <c r="I789" s="50">
        <f>IF($O789="","",IF(INDEX(Firms!$I$5:$I$1004,$O789)="","—",INDEX(Firms!$I$5:$I$1004,$O789)))</f>
        <v/>
      </c>
      <c r="J789" s="50">
        <f>IF($O789="","",IF(INDEX(Firms!$J$5:$J$1004,$O789)="","—",INDEX(Firms!$J$5:$J$1004,$O789)))</f>
        <v/>
      </c>
      <c r="K789" s="50">
        <f>IF($O789="","",IF(INDEX(Firms!$K$5:$K$1004,$O789)="","—",INDEX(Firms!$K$5:$K$1004,$O789)))</f>
        <v/>
      </c>
      <c r="L789" s="50">
        <f>IF($O789="","",IF(INDEX(Firms!$L$5:$L$1004,$O789)="","—",INDEX(Firms!$L$5:$L$1004,$O789)))</f>
        <v/>
      </c>
      <c r="M789" s="50">
        <f>IF($O789="","",IF(INDEX(Firms!$M$5:$M$1004,$O789)="","—",INDEX(Firms!$M$5:$M$1004,$O789)))</f>
        <v/>
      </c>
      <c r="O789">
        <f>IFERROR(MATCH(SMALL(Firms!$Y$5:$Y$1004,781),Firms!$W$5:$W$1004,0),"")</f>
        <v/>
      </c>
    </row>
    <row r="790">
      <c r="B790" s="78">
        <f>IF($O790="","",INDEX(Firms!$A$5:$A$1004,$O790))</f>
        <v/>
      </c>
      <c r="C790" s="79">
        <f>IF($O790="","",INDEX(Firms!$N$5:$N$1004,$O790)&amp;"")</f>
        <v/>
      </c>
      <c r="D790" s="79">
        <f>IF($O790="","",INDEX(Firms!$P$5:$P$1004,$O790)&amp;"")</f>
        <v/>
      </c>
      <c r="E790" s="79">
        <f>IF($O790="","",INDEX(Firms!$O$5:$O$1004,$O790)&amp;"")</f>
        <v/>
      </c>
      <c r="F790" s="50">
        <f>IF($O790="","",IF(INDEX(Firms!$F$5:$F$1004,$O790)="","—",INDEX(Firms!$F$5:$F$1004,$O790)))</f>
        <v/>
      </c>
      <c r="G790" s="50">
        <f>IF($O790="","",IF(INDEX(Firms!$G$5:$G$1004,$O790)="","—",INDEX(Firms!$G$5:$G$1004,$O790)))</f>
        <v/>
      </c>
      <c r="H790" s="50">
        <f>IF($O790="","",IF(INDEX(Firms!$H$5:$H$1004,$O790)="","—",INDEX(Firms!$H$5:$H$1004,$O790)))</f>
        <v/>
      </c>
      <c r="I790" s="50">
        <f>IF($O790="","",IF(INDEX(Firms!$I$5:$I$1004,$O790)="","—",INDEX(Firms!$I$5:$I$1004,$O790)))</f>
        <v/>
      </c>
      <c r="J790" s="50">
        <f>IF($O790="","",IF(INDEX(Firms!$J$5:$J$1004,$O790)="","—",INDEX(Firms!$J$5:$J$1004,$O790)))</f>
        <v/>
      </c>
      <c r="K790" s="50">
        <f>IF($O790="","",IF(INDEX(Firms!$K$5:$K$1004,$O790)="","—",INDEX(Firms!$K$5:$K$1004,$O790)))</f>
        <v/>
      </c>
      <c r="L790" s="50">
        <f>IF($O790="","",IF(INDEX(Firms!$L$5:$L$1004,$O790)="","—",INDEX(Firms!$L$5:$L$1004,$O790)))</f>
        <v/>
      </c>
      <c r="M790" s="50">
        <f>IF($O790="","",IF(INDEX(Firms!$M$5:$M$1004,$O790)="","—",INDEX(Firms!$M$5:$M$1004,$O790)))</f>
        <v/>
      </c>
      <c r="O790">
        <f>IFERROR(MATCH(SMALL(Firms!$Y$5:$Y$1004,782),Firms!$W$5:$W$1004,0),"")</f>
        <v/>
      </c>
    </row>
    <row r="791">
      <c r="B791" s="78">
        <f>IF($O791="","",INDEX(Firms!$A$5:$A$1004,$O791))</f>
        <v/>
      </c>
      <c r="C791" s="79">
        <f>IF($O791="","",INDEX(Firms!$N$5:$N$1004,$O791)&amp;"")</f>
        <v/>
      </c>
      <c r="D791" s="79">
        <f>IF($O791="","",INDEX(Firms!$P$5:$P$1004,$O791)&amp;"")</f>
        <v/>
      </c>
      <c r="E791" s="79">
        <f>IF($O791="","",INDEX(Firms!$O$5:$O$1004,$O791)&amp;"")</f>
        <v/>
      </c>
      <c r="F791" s="50">
        <f>IF($O791="","",IF(INDEX(Firms!$F$5:$F$1004,$O791)="","—",INDEX(Firms!$F$5:$F$1004,$O791)))</f>
        <v/>
      </c>
      <c r="G791" s="50">
        <f>IF($O791="","",IF(INDEX(Firms!$G$5:$G$1004,$O791)="","—",INDEX(Firms!$G$5:$G$1004,$O791)))</f>
        <v/>
      </c>
      <c r="H791" s="50">
        <f>IF($O791="","",IF(INDEX(Firms!$H$5:$H$1004,$O791)="","—",INDEX(Firms!$H$5:$H$1004,$O791)))</f>
        <v/>
      </c>
      <c r="I791" s="50">
        <f>IF($O791="","",IF(INDEX(Firms!$I$5:$I$1004,$O791)="","—",INDEX(Firms!$I$5:$I$1004,$O791)))</f>
        <v/>
      </c>
      <c r="J791" s="50">
        <f>IF($O791="","",IF(INDEX(Firms!$J$5:$J$1004,$O791)="","—",INDEX(Firms!$J$5:$J$1004,$O791)))</f>
        <v/>
      </c>
      <c r="K791" s="50">
        <f>IF($O791="","",IF(INDEX(Firms!$K$5:$K$1004,$O791)="","—",INDEX(Firms!$K$5:$K$1004,$O791)))</f>
        <v/>
      </c>
      <c r="L791" s="50">
        <f>IF($O791="","",IF(INDEX(Firms!$L$5:$L$1004,$O791)="","—",INDEX(Firms!$L$5:$L$1004,$O791)))</f>
        <v/>
      </c>
      <c r="M791" s="50">
        <f>IF($O791="","",IF(INDEX(Firms!$M$5:$M$1004,$O791)="","—",INDEX(Firms!$M$5:$M$1004,$O791)))</f>
        <v/>
      </c>
      <c r="O791">
        <f>IFERROR(MATCH(SMALL(Firms!$Y$5:$Y$1004,783),Firms!$W$5:$W$1004,0),"")</f>
        <v/>
      </c>
    </row>
    <row r="792">
      <c r="B792" s="78">
        <f>IF($O792="","",INDEX(Firms!$A$5:$A$1004,$O792))</f>
        <v/>
      </c>
      <c r="C792" s="79">
        <f>IF($O792="","",INDEX(Firms!$N$5:$N$1004,$O792)&amp;"")</f>
        <v/>
      </c>
      <c r="D792" s="79">
        <f>IF($O792="","",INDEX(Firms!$P$5:$P$1004,$O792)&amp;"")</f>
        <v/>
      </c>
      <c r="E792" s="79">
        <f>IF($O792="","",INDEX(Firms!$O$5:$O$1004,$O792)&amp;"")</f>
        <v/>
      </c>
      <c r="F792" s="50">
        <f>IF($O792="","",IF(INDEX(Firms!$F$5:$F$1004,$O792)="","—",INDEX(Firms!$F$5:$F$1004,$O792)))</f>
        <v/>
      </c>
      <c r="G792" s="50">
        <f>IF($O792="","",IF(INDEX(Firms!$G$5:$G$1004,$O792)="","—",INDEX(Firms!$G$5:$G$1004,$O792)))</f>
        <v/>
      </c>
      <c r="H792" s="50">
        <f>IF($O792="","",IF(INDEX(Firms!$H$5:$H$1004,$O792)="","—",INDEX(Firms!$H$5:$H$1004,$O792)))</f>
        <v/>
      </c>
      <c r="I792" s="50">
        <f>IF($O792="","",IF(INDEX(Firms!$I$5:$I$1004,$O792)="","—",INDEX(Firms!$I$5:$I$1004,$O792)))</f>
        <v/>
      </c>
      <c r="J792" s="50">
        <f>IF($O792="","",IF(INDEX(Firms!$J$5:$J$1004,$O792)="","—",INDEX(Firms!$J$5:$J$1004,$O792)))</f>
        <v/>
      </c>
      <c r="K792" s="50">
        <f>IF($O792="","",IF(INDEX(Firms!$K$5:$K$1004,$O792)="","—",INDEX(Firms!$K$5:$K$1004,$O792)))</f>
        <v/>
      </c>
      <c r="L792" s="50">
        <f>IF($O792="","",IF(INDEX(Firms!$L$5:$L$1004,$O792)="","—",INDEX(Firms!$L$5:$L$1004,$O792)))</f>
        <v/>
      </c>
      <c r="M792" s="50">
        <f>IF($O792="","",IF(INDEX(Firms!$M$5:$M$1004,$O792)="","—",INDEX(Firms!$M$5:$M$1004,$O792)))</f>
        <v/>
      </c>
      <c r="O792">
        <f>IFERROR(MATCH(SMALL(Firms!$Y$5:$Y$1004,784),Firms!$W$5:$W$1004,0),"")</f>
        <v/>
      </c>
    </row>
    <row r="793">
      <c r="B793" s="78">
        <f>IF($O793="","",INDEX(Firms!$A$5:$A$1004,$O793))</f>
        <v/>
      </c>
      <c r="C793" s="79">
        <f>IF($O793="","",INDEX(Firms!$N$5:$N$1004,$O793)&amp;"")</f>
        <v/>
      </c>
      <c r="D793" s="79">
        <f>IF($O793="","",INDEX(Firms!$P$5:$P$1004,$O793)&amp;"")</f>
        <v/>
      </c>
      <c r="E793" s="79">
        <f>IF($O793="","",INDEX(Firms!$O$5:$O$1004,$O793)&amp;"")</f>
        <v/>
      </c>
      <c r="F793" s="50">
        <f>IF($O793="","",IF(INDEX(Firms!$F$5:$F$1004,$O793)="","—",INDEX(Firms!$F$5:$F$1004,$O793)))</f>
        <v/>
      </c>
      <c r="G793" s="50">
        <f>IF($O793="","",IF(INDEX(Firms!$G$5:$G$1004,$O793)="","—",INDEX(Firms!$G$5:$G$1004,$O793)))</f>
        <v/>
      </c>
      <c r="H793" s="50">
        <f>IF($O793="","",IF(INDEX(Firms!$H$5:$H$1004,$O793)="","—",INDEX(Firms!$H$5:$H$1004,$O793)))</f>
        <v/>
      </c>
      <c r="I793" s="50">
        <f>IF($O793="","",IF(INDEX(Firms!$I$5:$I$1004,$O793)="","—",INDEX(Firms!$I$5:$I$1004,$O793)))</f>
        <v/>
      </c>
      <c r="J793" s="50">
        <f>IF($O793="","",IF(INDEX(Firms!$J$5:$J$1004,$O793)="","—",INDEX(Firms!$J$5:$J$1004,$O793)))</f>
        <v/>
      </c>
      <c r="K793" s="50">
        <f>IF($O793="","",IF(INDEX(Firms!$K$5:$K$1004,$O793)="","—",INDEX(Firms!$K$5:$K$1004,$O793)))</f>
        <v/>
      </c>
      <c r="L793" s="50">
        <f>IF($O793="","",IF(INDEX(Firms!$L$5:$L$1004,$O793)="","—",INDEX(Firms!$L$5:$L$1004,$O793)))</f>
        <v/>
      </c>
      <c r="M793" s="50">
        <f>IF($O793="","",IF(INDEX(Firms!$M$5:$M$1004,$O793)="","—",INDEX(Firms!$M$5:$M$1004,$O793)))</f>
        <v/>
      </c>
      <c r="O793">
        <f>IFERROR(MATCH(SMALL(Firms!$Y$5:$Y$1004,785),Firms!$W$5:$W$1004,0),"")</f>
        <v/>
      </c>
    </row>
    <row r="794">
      <c r="B794" s="78">
        <f>IF($O794="","",INDEX(Firms!$A$5:$A$1004,$O794))</f>
        <v/>
      </c>
      <c r="C794" s="79">
        <f>IF($O794="","",INDEX(Firms!$N$5:$N$1004,$O794)&amp;"")</f>
        <v/>
      </c>
      <c r="D794" s="79">
        <f>IF($O794="","",INDEX(Firms!$P$5:$P$1004,$O794)&amp;"")</f>
        <v/>
      </c>
      <c r="E794" s="79">
        <f>IF($O794="","",INDEX(Firms!$O$5:$O$1004,$O794)&amp;"")</f>
        <v/>
      </c>
      <c r="F794" s="50">
        <f>IF($O794="","",IF(INDEX(Firms!$F$5:$F$1004,$O794)="","—",INDEX(Firms!$F$5:$F$1004,$O794)))</f>
        <v/>
      </c>
      <c r="G794" s="50">
        <f>IF($O794="","",IF(INDEX(Firms!$G$5:$G$1004,$O794)="","—",INDEX(Firms!$G$5:$G$1004,$O794)))</f>
        <v/>
      </c>
      <c r="H794" s="50">
        <f>IF($O794="","",IF(INDEX(Firms!$H$5:$H$1004,$O794)="","—",INDEX(Firms!$H$5:$H$1004,$O794)))</f>
        <v/>
      </c>
      <c r="I794" s="50">
        <f>IF($O794="","",IF(INDEX(Firms!$I$5:$I$1004,$O794)="","—",INDEX(Firms!$I$5:$I$1004,$O794)))</f>
        <v/>
      </c>
      <c r="J794" s="50">
        <f>IF($O794="","",IF(INDEX(Firms!$J$5:$J$1004,$O794)="","—",INDEX(Firms!$J$5:$J$1004,$O794)))</f>
        <v/>
      </c>
      <c r="K794" s="50">
        <f>IF($O794="","",IF(INDEX(Firms!$K$5:$K$1004,$O794)="","—",INDEX(Firms!$K$5:$K$1004,$O794)))</f>
        <v/>
      </c>
      <c r="L794" s="50">
        <f>IF($O794="","",IF(INDEX(Firms!$L$5:$L$1004,$O794)="","—",INDEX(Firms!$L$5:$L$1004,$O794)))</f>
        <v/>
      </c>
      <c r="M794" s="50">
        <f>IF($O794="","",IF(INDEX(Firms!$M$5:$M$1004,$O794)="","—",INDEX(Firms!$M$5:$M$1004,$O794)))</f>
        <v/>
      </c>
      <c r="O794">
        <f>IFERROR(MATCH(SMALL(Firms!$Y$5:$Y$1004,786),Firms!$W$5:$W$1004,0),"")</f>
        <v/>
      </c>
    </row>
    <row r="795">
      <c r="B795" s="78">
        <f>IF($O795="","",INDEX(Firms!$A$5:$A$1004,$O795))</f>
        <v/>
      </c>
      <c r="C795" s="79">
        <f>IF($O795="","",INDEX(Firms!$N$5:$N$1004,$O795)&amp;"")</f>
        <v/>
      </c>
      <c r="D795" s="79">
        <f>IF($O795="","",INDEX(Firms!$P$5:$P$1004,$O795)&amp;"")</f>
        <v/>
      </c>
      <c r="E795" s="79">
        <f>IF($O795="","",INDEX(Firms!$O$5:$O$1004,$O795)&amp;"")</f>
        <v/>
      </c>
      <c r="F795" s="50">
        <f>IF($O795="","",IF(INDEX(Firms!$F$5:$F$1004,$O795)="","—",INDEX(Firms!$F$5:$F$1004,$O795)))</f>
        <v/>
      </c>
      <c r="G795" s="50">
        <f>IF($O795="","",IF(INDEX(Firms!$G$5:$G$1004,$O795)="","—",INDEX(Firms!$G$5:$G$1004,$O795)))</f>
        <v/>
      </c>
      <c r="H795" s="50">
        <f>IF($O795="","",IF(INDEX(Firms!$H$5:$H$1004,$O795)="","—",INDEX(Firms!$H$5:$H$1004,$O795)))</f>
        <v/>
      </c>
      <c r="I795" s="50">
        <f>IF($O795="","",IF(INDEX(Firms!$I$5:$I$1004,$O795)="","—",INDEX(Firms!$I$5:$I$1004,$O795)))</f>
        <v/>
      </c>
      <c r="J795" s="50">
        <f>IF($O795="","",IF(INDEX(Firms!$J$5:$J$1004,$O795)="","—",INDEX(Firms!$J$5:$J$1004,$O795)))</f>
        <v/>
      </c>
      <c r="K795" s="50">
        <f>IF($O795="","",IF(INDEX(Firms!$K$5:$K$1004,$O795)="","—",INDEX(Firms!$K$5:$K$1004,$O795)))</f>
        <v/>
      </c>
      <c r="L795" s="50">
        <f>IF($O795="","",IF(INDEX(Firms!$L$5:$L$1004,$O795)="","—",INDEX(Firms!$L$5:$L$1004,$O795)))</f>
        <v/>
      </c>
      <c r="M795" s="50">
        <f>IF($O795="","",IF(INDEX(Firms!$M$5:$M$1004,$O795)="","—",INDEX(Firms!$M$5:$M$1004,$O795)))</f>
        <v/>
      </c>
      <c r="O795">
        <f>IFERROR(MATCH(SMALL(Firms!$Y$5:$Y$1004,787),Firms!$W$5:$W$1004,0),"")</f>
        <v/>
      </c>
    </row>
    <row r="796">
      <c r="B796" s="78">
        <f>IF($O796="","",INDEX(Firms!$A$5:$A$1004,$O796))</f>
        <v/>
      </c>
      <c r="C796" s="79">
        <f>IF($O796="","",INDEX(Firms!$N$5:$N$1004,$O796)&amp;"")</f>
        <v/>
      </c>
      <c r="D796" s="79">
        <f>IF($O796="","",INDEX(Firms!$P$5:$P$1004,$O796)&amp;"")</f>
        <v/>
      </c>
      <c r="E796" s="79">
        <f>IF($O796="","",INDEX(Firms!$O$5:$O$1004,$O796)&amp;"")</f>
        <v/>
      </c>
      <c r="F796" s="50">
        <f>IF($O796="","",IF(INDEX(Firms!$F$5:$F$1004,$O796)="","—",INDEX(Firms!$F$5:$F$1004,$O796)))</f>
        <v/>
      </c>
      <c r="G796" s="50">
        <f>IF($O796="","",IF(INDEX(Firms!$G$5:$G$1004,$O796)="","—",INDEX(Firms!$G$5:$G$1004,$O796)))</f>
        <v/>
      </c>
      <c r="H796" s="50">
        <f>IF($O796="","",IF(INDEX(Firms!$H$5:$H$1004,$O796)="","—",INDEX(Firms!$H$5:$H$1004,$O796)))</f>
        <v/>
      </c>
      <c r="I796" s="50">
        <f>IF($O796="","",IF(INDEX(Firms!$I$5:$I$1004,$O796)="","—",INDEX(Firms!$I$5:$I$1004,$O796)))</f>
        <v/>
      </c>
      <c r="J796" s="50">
        <f>IF($O796="","",IF(INDEX(Firms!$J$5:$J$1004,$O796)="","—",INDEX(Firms!$J$5:$J$1004,$O796)))</f>
        <v/>
      </c>
      <c r="K796" s="50">
        <f>IF($O796="","",IF(INDEX(Firms!$K$5:$K$1004,$O796)="","—",INDEX(Firms!$K$5:$K$1004,$O796)))</f>
        <v/>
      </c>
      <c r="L796" s="50">
        <f>IF($O796="","",IF(INDEX(Firms!$L$5:$L$1004,$O796)="","—",INDEX(Firms!$L$5:$L$1004,$O796)))</f>
        <v/>
      </c>
      <c r="M796" s="50">
        <f>IF($O796="","",IF(INDEX(Firms!$M$5:$M$1004,$O796)="","—",INDEX(Firms!$M$5:$M$1004,$O796)))</f>
        <v/>
      </c>
      <c r="O796">
        <f>IFERROR(MATCH(SMALL(Firms!$Y$5:$Y$1004,788),Firms!$W$5:$W$1004,0),"")</f>
        <v/>
      </c>
    </row>
    <row r="797">
      <c r="B797" s="78">
        <f>IF($O797="","",INDEX(Firms!$A$5:$A$1004,$O797))</f>
        <v/>
      </c>
      <c r="C797" s="79">
        <f>IF($O797="","",INDEX(Firms!$N$5:$N$1004,$O797)&amp;"")</f>
        <v/>
      </c>
      <c r="D797" s="79">
        <f>IF($O797="","",INDEX(Firms!$P$5:$P$1004,$O797)&amp;"")</f>
        <v/>
      </c>
      <c r="E797" s="79">
        <f>IF($O797="","",INDEX(Firms!$O$5:$O$1004,$O797)&amp;"")</f>
        <v/>
      </c>
      <c r="F797" s="50">
        <f>IF($O797="","",IF(INDEX(Firms!$F$5:$F$1004,$O797)="","—",INDEX(Firms!$F$5:$F$1004,$O797)))</f>
        <v/>
      </c>
      <c r="G797" s="50">
        <f>IF($O797="","",IF(INDEX(Firms!$G$5:$G$1004,$O797)="","—",INDEX(Firms!$G$5:$G$1004,$O797)))</f>
        <v/>
      </c>
      <c r="H797" s="50">
        <f>IF($O797="","",IF(INDEX(Firms!$H$5:$H$1004,$O797)="","—",INDEX(Firms!$H$5:$H$1004,$O797)))</f>
        <v/>
      </c>
      <c r="I797" s="50">
        <f>IF($O797="","",IF(INDEX(Firms!$I$5:$I$1004,$O797)="","—",INDEX(Firms!$I$5:$I$1004,$O797)))</f>
        <v/>
      </c>
      <c r="J797" s="50">
        <f>IF($O797="","",IF(INDEX(Firms!$J$5:$J$1004,$O797)="","—",INDEX(Firms!$J$5:$J$1004,$O797)))</f>
        <v/>
      </c>
      <c r="K797" s="50">
        <f>IF($O797="","",IF(INDEX(Firms!$K$5:$K$1004,$O797)="","—",INDEX(Firms!$K$5:$K$1004,$O797)))</f>
        <v/>
      </c>
      <c r="L797" s="50">
        <f>IF($O797="","",IF(INDEX(Firms!$L$5:$L$1004,$O797)="","—",INDEX(Firms!$L$5:$L$1004,$O797)))</f>
        <v/>
      </c>
      <c r="M797" s="50">
        <f>IF($O797="","",IF(INDEX(Firms!$M$5:$M$1004,$O797)="","—",INDEX(Firms!$M$5:$M$1004,$O797)))</f>
        <v/>
      </c>
      <c r="O797">
        <f>IFERROR(MATCH(SMALL(Firms!$Y$5:$Y$1004,789),Firms!$W$5:$W$1004,0),"")</f>
        <v/>
      </c>
    </row>
    <row r="798">
      <c r="B798" s="78">
        <f>IF($O798="","",INDEX(Firms!$A$5:$A$1004,$O798))</f>
        <v/>
      </c>
      <c r="C798" s="79">
        <f>IF($O798="","",INDEX(Firms!$N$5:$N$1004,$O798)&amp;"")</f>
        <v/>
      </c>
      <c r="D798" s="79">
        <f>IF($O798="","",INDEX(Firms!$P$5:$P$1004,$O798)&amp;"")</f>
        <v/>
      </c>
      <c r="E798" s="79">
        <f>IF($O798="","",INDEX(Firms!$O$5:$O$1004,$O798)&amp;"")</f>
        <v/>
      </c>
      <c r="F798" s="50">
        <f>IF($O798="","",IF(INDEX(Firms!$F$5:$F$1004,$O798)="","—",INDEX(Firms!$F$5:$F$1004,$O798)))</f>
        <v/>
      </c>
      <c r="G798" s="50">
        <f>IF($O798="","",IF(INDEX(Firms!$G$5:$G$1004,$O798)="","—",INDEX(Firms!$G$5:$G$1004,$O798)))</f>
        <v/>
      </c>
      <c r="H798" s="50">
        <f>IF($O798="","",IF(INDEX(Firms!$H$5:$H$1004,$O798)="","—",INDEX(Firms!$H$5:$H$1004,$O798)))</f>
        <v/>
      </c>
      <c r="I798" s="50">
        <f>IF($O798="","",IF(INDEX(Firms!$I$5:$I$1004,$O798)="","—",INDEX(Firms!$I$5:$I$1004,$O798)))</f>
        <v/>
      </c>
      <c r="J798" s="50">
        <f>IF($O798="","",IF(INDEX(Firms!$J$5:$J$1004,$O798)="","—",INDEX(Firms!$J$5:$J$1004,$O798)))</f>
        <v/>
      </c>
      <c r="K798" s="50">
        <f>IF($O798="","",IF(INDEX(Firms!$K$5:$K$1004,$O798)="","—",INDEX(Firms!$K$5:$K$1004,$O798)))</f>
        <v/>
      </c>
      <c r="L798" s="50">
        <f>IF($O798="","",IF(INDEX(Firms!$L$5:$L$1004,$O798)="","—",INDEX(Firms!$L$5:$L$1004,$O798)))</f>
        <v/>
      </c>
      <c r="M798" s="50">
        <f>IF($O798="","",IF(INDEX(Firms!$M$5:$M$1004,$O798)="","—",INDEX(Firms!$M$5:$M$1004,$O798)))</f>
        <v/>
      </c>
      <c r="O798">
        <f>IFERROR(MATCH(SMALL(Firms!$Y$5:$Y$1004,790),Firms!$W$5:$W$1004,0),"")</f>
        <v/>
      </c>
    </row>
    <row r="799">
      <c r="B799" s="78">
        <f>IF($O799="","",INDEX(Firms!$A$5:$A$1004,$O799))</f>
        <v/>
      </c>
      <c r="C799" s="79">
        <f>IF($O799="","",INDEX(Firms!$N$5:$N$1004,$O799)&amp;"")</f>
        <v/>
      </c>
      <c r="D799" s="79">
        <f>IF($O799="","",INDEX(Firms!$P$5:$P$1004,$O799)&amp;"")</f>
        <v/>
      </c>
      <c r="E799" s="79">
        <f>IF($O799="","",INDEX(Firms!$O$5:$O$1004,$O799)&amp;"")</f>
        <v/>
      </c>
      <c r="F799" s="50">
        <f>IF($O799="","",IF(INDEX(Firms!$F$5:$F$1004,$O799)="","—",INDEX(Firms!$F$5:$F$1004,$O799)))</f>
        <v/>
      </c>
      <c r="G799" s="50">
        <f>IF($O799="","",IF(INDEX(Firms!$G$5:$G$1004,$O799)="","—",INDEX(Firms!$G$5:$G$1004,$O799)))</f>
        <v/>
      </c>
      <c r="H799" s="50">
        <f>IF($O799="","",IF(INDEX(Firms!$H$5:$H$1004,$O799)="","—",INDEX(Firms!$H$5:$H$1004,$O799)))</f>
        <v/>
      </c>
      <c r="I799" s="50">
        <f>IF($O799="","",IF(INDEX(Firms!$I$5:$I$1004,$O799)="","—",INDEX(Firms!$I$5:$I$1004,$O799)))</f>
        <v/>
      </c>
      <c r="J799" s="50">
        <f>IF($O799="","",IF(INDEX(Firms!$J$5:$J$1004,$O799)="","—",INDEX(Firms!$J$5:$J$1004,$O799)))</f>
        <v/>
      </c>
      <c r="K799" s="50">
        <f>IF($O799="","",IF(INDEX(Firms!$K$5:$K$1004,$O799)="","—",INDEX(Firms!$K$5:$K$1004,$O799)))</f>
        <v/>
      </c>
      <c r="L799" s="50">
        <f>IF($O799="","",IF(INDEX(Firms!$L$5:$L$1004,$O799)="","—",INDEX(Firms!$L$5:$L$1004,$O799)))</f>
        <v/>
      </c>
      <c r="M799" s="50">
        <f>IF($O799="","",IF(INDEX(Firms!$M$5:$M$1004,$O799)="","—",INDEX(Firms!$M$5:$M$1004,$O799)))</f>
        <v/>
      </c>
      <c r="O799">
        <f>IFERROR(MATCH(SMALL(Firms!$Y$5:$Y$1004,791),Firms!$W$5:$W$1004,0),"")</f>
        <v/>
      </c>
    </row>
    <row r="800">
      <c r="B800" s="78">
        <f>IF($O800="","",INDEX(Firms!$A$5:$A$1004,$O800))</f>
        <v/>
      </c>
      <c r="C800" s="79">
        <f>IF($O800="","",INDEX(Firms!$N$5:$N$1004,$O800)&amp;"")</f>
        <v/>
      </c>
      <c r="D800" s="79">
        <f>IF($O800="","",INDEX(Firms!$P$5:$P$1004,$O800)&amp;"")</f>
        <v/>
      </c>
      <c r="E800" s="79">
        <f>IF($O800="","",INDEX(Firms!$O$5:$O$1004,$O800)&amp;"")</f>
        <v/>
      </c>
      <c r="F800" s="50">
        <f>IF($O800="","",IF(INDEX(Firms!$F$5:$F$1004,$O800)="","—",INDEX(Firms!$F$5:$F$1004,$O800)))</f>
        <v/>
      </c>
      <c r="G800" s="50">
        <f>IF($O800="","",IF(INDEX(Firms!$G$5:$G$1004,$O800)="","—",INDEX(Firms!$G$5:$G$1004,$O800)))</f>
        <v/>
      </c>
      <c r="H800" s="50">
        <f>IF($O800="","",IF(INDEX(Firms!$H$5:$H$1004,$O800)="","—",INDEX(Firms!$H$5:$H$1004,$O800)))</f>
        <v/>
      </c>
      <c r="I800" s="50">
        <f>IF($O800="","",IF(INDEX(Firms!$I$5:$I$1004,$O800)="","—",INDEX(Firms!$I$5:$I$1004,$O800)))</f>
        <v/>
      </c>
      <c r="J800" s="50">
        <f>IF($O800="","",IF(INDEX(Firms!$J$5:$J$1004,$O800)="","—",INDEX(Firms!$J$5:$J$1004,$O800)))</f>
        <v/>
      </c>
      <c r="K800" s="50">
        <f>IF($O800="","",IF(INDEX(Firms!$K$5:$K$1004,$O800)="","—",INDEX(Firms!$K$5:$K$1004,$O800)))</f>
        <v/>
      </c>
      <c r="L800" s="50">
        <f>IF($O800="","",IF(INDEX(Firms!$L$5:$L$1004,$O800)="","—",INDEX(Firms!$L$5:$L$1004,$O800)))</f>
        <v/>
      </c>
      <c r="M800" s="50">
        <f>IF($O800="","",IF(INDEX(Firms!$M$5:$M$1004,$O800)="","—",INDEX(Firms!$M$5:$M$1004,$O800)))</f>
        <v/>
      </c>
      <c r="O800">
        <f>IFERROR(MATCH(SMALL(Firms!$Y$5:$Y$1004,792),Firms!$W$5:$W$1004,0),"")</f>
        <v/>
      </c>
    </row>
    <row r="801">
      <c r="B801" s="78">
        <f>IF($O801="","",INDEX(Firms!$A$5:$A$1004,$O801))</f>
        <v/>
      </c>
      <c r="C801" s="79">
        <f>IF($O801="","",INDEX(Firms!$N$5:$N$1004,$O801)&amp;"")</f>
        <v/>
      </c>
      <c r="D801" s="79">
        <f>IF($O801="","",INDEX(Firms!$P$5:$P$1004,$O801)&amp;"")</f>
        <v/>
      </c>
      <c r="E801" s="79">
        <f>IF($O801="","",INDEX(Firms!$O$5:$O$1004,$O801)&amp;"")</f>
        <v/>
      </c>
      <c r="F801" s="50">
        <f>IF($O801="","",IF(INDEX(Firms!$F$5:$F$1004,$O801)="","—",INDEX(Firms!$F$5:$F$1004,$O801)))</f>
        <v/>
      </c>
      <c r="G801" s="50">
        <f>IF($O801="","",IF(INDEX(Firms!$G$5:$G$1004,$O801)="","—",INDEX(Firms!$G$5:$G$1004,$O801)))</f>
        <v/>
      </c>
      <c r="H801" s="50">
        <f>IF($O801="","",IF(INDEX(Firms!$H$5:$H$1004,$O801)="","—",INDEX(Firms!$H$5:$H$1004,$O801)))</f>
        <v/>
      </c>
      <c r="I801" s="50">
        <f>IF($O801="","",IF(INDEX(Firms!$I$5:$I$1004,$O801)="","—",INDEX(Firms!$I$5:$I$1004,$O801)))</f>
        <v/>
      </c>
      <c r="J801" s="50">
        <f>IF($O801="","",IF(INDEX(Firms!$J$5:$J$1004,$O801)="","—",INDEX(Firms!$J$5:$J$1004,$O801)))</f>
        <v/>
      </c>
      <c r="K801" s="50">
        <f>IF($O801="","",IF(INDEX(Firms!$K$5:$K$1004,$O801)="","—",INDEX(Firms!$K$5:$K$1004,$O801)))</f>
        <v/>
      </c>
      <c r="L801" s="50">
        <f>IF($O801="","",IF(INDEX(Firms!$L$5:$L$1004,$O801)="","—",INDEX(Firms!$L$5:$L$1004,$O801)))</f>
        <v/>
      </c>
      <c r="M801" s="50">
        <f>IF($O801="","",IF(INDEX(Firms!$M$5:$M$1004,$O801)="","—",INDEX(Firms!$M$5:$M$1004,$O801)))</f>
        <v/>
      </c>
      <c r="O801">
        <f>IFERROR(MATCH(SMALL(Firms!$Y$5:$Y$1004,793),Firms!$W$5:$W$1004,0),"")</f>
        <v/>
      </c>
    </row>
    <row r="802">
      <c r="B802" s="78">
        <f>IF($O802="","",INDEX(Firms!$A$5:$A$1004,$O802))</f>
        <v/>
      </c>
      <c r="C802" s="79">
        <f>IF($O802="","",INDEX(Firms!$N$5:$N$1004,$O802)&amp;"")</f>
        <v/>
      </c>
      <c r="D802" s="79">
        <f>IF($O802="","",INDEX(Firms!$P$5:$P$1004,$O802)&amp;"")</f>
        <v/>
      </c>
      <c r="E802" s="79">
        <f>IF($O802="","",INDEX(Firms!$O$5:$O$1004,$O802)&amp;"")</f>
        <v/>
      </c>
      <c r="F802" s="50">
        <f>IF($O802="","",IF(INDEX(Firms!$F$5:$F$1004,$O802)="","—",INDEX(Firms!$F$5:$F$1004,$O802)))</f>
        <v/>
      </c>
      <c r="G802" s="50">
        <f>IF($O802="","",IF(INDEX(Firms!$G$5:$G$1004,$O802)="","—",INDEX(Firms!$G$5:$G$1004,$O802)))</f>
        <v/>
      </c>
      <c r="H802" s="50">
        <f>IF($O802="","",IF(INDEX(Firms!$H$5:$H$1004,$O802)="","—",INDEX(Firms!$H$5:$H$1004,$O802)))</f>
        <v/>
      </c>
      <c r="I802" s="50">
        <f>IF($O802="","",IF(INDEX(Firms!$I$5:$I$1004,$O802)="","—",INDEX(Firms!$I$5:$I$1004,$O802)))</f>
        <v/>
      </c>
      <c r="J802" s="50">
        <f>IF($O802="","",IF(INDEX(Firms!$J$5:$J$1004,$O802)="","—",INDEX(Firms!$J$5:$J$1004,$O802)))</f>
        <v/>
      </c>
      <c r="K802" s="50">
        <f>IF($O802="","",IF(INDEX(Firms!$K$5:$K$1004,$O802)="","—",INDEX(Firms!$K$5:$K$1004,$O802)))</f>
        <v/>
      </c>
      <c r="L802" s="50">
        <f>IF($O802="","",IF(INDEX(Firms!$L$5:$L$1004,$O802)="","—",INDEX(Firms!$L$5:$L$1004,$O802)))</f>
        <v/>
      </c>
      <c r="M802" s="50">
        <f>IF($O802="","",IF(INDEX(Firms!$M$5:$M$1004,$O802)="","—",INDEX(Firms!$M$5:$M$1004,$O802)))</f>
        <v/>
      </c>
      <c r="O802">
        <f>IFERROR(MATCH(SMALL(Firms!$Y$5:$Y$1004,794),Firms!$W$5:$W$1004,0),"")</f>
        <v/>
      </c>
    </row>
    <row r="803">
      <c r="B803" s="78">
        <f>IF($O803="","",INDEX(Firms!$A$5:$A$1004,$O803))</f>
        <v/>
      </c>
      <c r="C803" s="79">
        <f>IF($O803="","",INDEX(Firms!$N$5:$N$1004,$O803)&amp;"")</f>
        <v/>
      </c>
      <c r="D803" s="79">
        <f>IF($O803="","",INDEX(Firms!$P$5:$P$1004,$O803)&amp;"")</f>
        <v/>
      </c>
      <c r="E803" s="79">
        <f>IF($O803="","",INDEX(Firms!$O$5:$O$1004,$O803)&amp;"")</f>
        <v/>
      </c>
      <c r="F803" s="50">
        <f>IF($O803="","",IF(INDEX(Firms!$F$5:$F$1004,$O803)="","—",INDEX(Firms!$F$5:$F$1004,$O803)))</f>
        <v/>
      </c>
      <c r="G803" s="50">
        <f>IF($O803="","",IF(INDEX(Firms!$G$5:$G$1004,$O803)="","—",INDEX(Firms!$G$5:$G$1004,$O803)))</f>
        <v/>
      </c>
      <c r="H803" s="50">
        <f>IF($O803="","",IF(INDEX(Firms!$H$5:$H$1004,$O803)="","—",INDEX(Firms!$H$5:$H$1004,$O803)))</f>
        <v/>
      </c>
      <c r="I803" s="50">
        <f>IF($O803="","",IF(INDEX(Firms!$I$5:$I$1004,$O803)="","—",INDEX(Firms!$I$5:$I$1004,$O803)))</f>
        <v/>
      </c>
      <c r="J803" s="50">
        <f>IF($O803="","",IF(INDEX(Firms!$J$5:$J$1004,$O803)="","—",INDEX(Firms!$J$5:$J$1004,$O803)))</f>
        <v/>
      </c>
      <c r="K803" s="50">
        <f>IF($O803="","",IF(INDEX(Firms!$K$5:$K$1004,$O803)="","—",INDEX(Firms!$K$5:$K$1004,$O803)))</f>
        <v/>
      </c>
      <c r="L803" s="50">
        <f>IF($O803="","",IF(INDEX(Firms!$L$5:$L$1004,$O803)="","—",INDEX(Firms!$L$5:$L$1004,$O803)))</f>
        <v/>
      </c>
      <c r="M803" s="50">
        <f>IF($O803="","",IF(INDEX(Firms!$M$5:$M$1004,$O803)="","—",INDEX(Firms!$M$5:$M$1004,$O803)))</f>
        <v/>
      </c>
      <c r="O803">
        <f>IFERROR(MATCH(SMALL(Firms!$Y$5:$Y$1004,795),Firms!$W$5:$W$1004,0),"")</f>
        <v/>
      </c>
    </row>
    <row r="804">
      <c r="B804" s="78">
        <f>IF($O804="","",INDEX(Firms!$A$5:$A$1004,$O804))</f>
        <v/>
      </c>
      <c r="C804" s="79">
        <f>IF($O804="","",INDEX(Firms!$N$5:$N$1004,$O804)&amp;"")</f>
        <v/>
      </c>
      <c r="D804" s="79">
        <f>IF($O804="","",INDEX(Firms!$P$5:$P$1004,$O804)&amp;"")</f>
        <v/>
      </c>
      <c r="E804" s="79">
        <f>IF($O804="","",INDEX(Firms!$O$5:$O$1004,$O804)&amp;"")</f>
        <v/>
      </c>
      <c r="F804" s="50">
        <f>IF($O804="","",IF(INDEX(Firms!$F$5:$F$1004,$O804)="","—",INDEX(Firms!$F$5:$F$1004,$O804)))</f>
        <v/>
      </c>
      <c r="G804" s="50">
        <f>IF($O804="","",IF(INDEX(Firms!$G$5:$G$1004,$O804)="","—",INDEX(Firms!$G$5:$G$1004,$O804)))</f>
        <v/>
      </c>
      <c r="H804" s="50">
        <f>IF($O804="","",IF(INDEX(Firms!$H$5:$H$1004,$O804)="","—",INDEX(Firms!$H$5:$H$1004,$O804)))</f>
        <v/>
      </c>
      <c r="I804" s="50">
        <f>IF($O804="","",IF(INDEX(Firms!$I$5:$I$1004,$O804)="","—",INDEX(Firms!$I$5:$I$1004,$O804)))</f>
        <v/>
      </c>
      <c r="J804" s="50">
        <f>IF($O804="","",IF(INDEX(Firms!$J$5:$J$1004,$O804)="","—",INDEX(Firms!$J$5:$J$1004,$O804)))</f>
        <v/>
      </c>
      <c r="K804" s="50">
        <f>IF($O804="","",IF(INDEX(Firms!$K$5:$K$1004,$O804)="","—",INDEX(Firms!$K$5:$K$1004,$O804)))</f>
        <v/>
      </c>
      <c r="L804" s="50">
        <f>IF($O804="","",IF(INDEX(Firms!$L$5:$L$1004,$O804)="","—",INDEX(Firms!$L$5:$L$1004,$O804)))</f>
        <v/>
      </c>
      <c r="M804" s="50">
        <f>IF($O804="","",IF(INDEX(Firms!$M$5:$M$1004,$O804)="","—",INDEX(Firms!$M$5:$M$1004,$O804)))</f>
        <v/>
      </c>
      <c r="O804">
        <f>IFERROR(MATCH(SMALL(Firms!$Y$5:$Y$1004,796),Firms!$W$5:$W$1004,0),"")</f>
        <v/>
      </c>
    </row>
    <row r="805">
      <c r="B805" s="78">
        <f>IF($O805="","",INDEX(Firms!$A$5:$A$1004,$O805))</f>
        <v/>
      </c>
      <c r="C805" s="79">
        <f>IF($O805="","",INDEX(Firms!$N$5:$N$1004,$O805)&amp;"")</f>
        <v/>
      </c>
      <c r="D805" s="79">
        <f>IF($O805="","",INDEX(Firms!$P$5:$P$1004,$O805)&amp;"")</f>
        <v/>
      </c>
      <c r="E805" s="79">
        <f>IF($O805="","",INDEX(Firms!$O$5:$O$1004,$O805)&amp;"")</f>
        <v/>
      </c>
      <c r="F805" s="50">
        <f>IF($O805="","",IF(INDEX(Firms!$F$5:$F$1004,$O805)="","—",INDEX(Firms!$F$5:$F$1004,$O805)))</f>
        <v/>
      </c>
      <c r="G805" s="50">
        <f>IF($O805="","",IF(INDEX(Firms!$G$5:$G$1004,$O805)="","—",INDEX(Firms!$G$5:$G$1004,$O805)))</f>
        <v/>
      </c>
      <c r="H805" s="50">
        <f>IF($O805="","",IF(INDEX(Firms!$H$5:$H$1004,$O805)="","—",INDEX(Firms!$H$5:$H$1004,$O805)))</f>
        <v/>
      </c>
      <c r="I805" s="50">
        <f>IF($O805="","",IF(INDEX(Firms!$I$5:$I$1004,$O805)="","—",INDEX(Firms!$I$5:$I$1004,$O805)))</f>
        <v/>
      </c>
      <c r="J805" s="50">
        <f>IF($O805="","",IF(INDEX(Firms!$J$5:$J$1004,$O805)="","—",INDEX(Firms!$J$5:$J$1004,$O805)))</f>
        <v/>
      </c>
      <c r="K805" s="50">
        <f>IF($O805="","",IF(INDEX(Firms!$K$5:$K$1004,$O805)="","—",INDEX(Firms!$K$5:$K$1004,$O805)))</f>
        <v/>
      </c>
      <c r="L805" s="50">
        <f>IF($O805="","",IF(INDEX(Firms!$L$5:$L$1004,$O805)="","—",INDEX(Firms!$L$5:$L$1004,$O805)))</f>
        <v/>
      </c>
      <c r="M805" s="50">
        <f>IF($O805="","",IF(INDEX(Firms!$M$5:$M$1004,$O805)="","—",INDEX(Firms!$M$5:$M$1004,$O805)))</f>
        <v/>
      </c>
      <c r="O805">
        <f>IFERROR(MATCH(SMALL(Firms!$Y$5:$Y$1004,797),Firms!$W$5:$W$1004,0),"")</f>
        <v/>
      </c>
    </row>
    <row r="806">
      <c r="B806" s="78">
        <f>IF($O806="","",INDEX(Firms!$A$5:$A$1004,$O806))</f>
        <v/>
      </c>
      <c r="C806" s="79">
        <f>IF($O806="","",INDEX(Firms!$N$5:$N$1004,$O806)&amp;"")</f>
        <v/>
      </c>
      <c r="D806" s="79">
        <f>IF($O806="","",INDEX(Firms!$P$5:$P$1004,$O806)&amp;"")</f>
        <v/>
      </c>
      <c r="E806" s="79">
        <f>IF($O806="","",INDEX(Firms!$O$5:$O$1004,$O806)&amp;"")</f>
        <v/>
      </c>
      <c r="F806" s="50">
        <f>IF($O806="","",IF(INDEX(Firms!$F$5:$F$1004,$O806)="","—",INDEX(Firms!$F$5:$F$1004,$O806)))</f>
        <v/>
      </c>
      <c r="G806" s="50">
        <f>IF($O806="","",IF(INDEX(Firms!$G$5:$G$1004,$O806)="","—",INDEX(Firms!$G$5:$G$1004,$O806)))</f>
        <v/>
      </c>
      <c r="H806" s="50">
        <f>IF($O806="","",IF(INDEX(Firms!$H$5:$H$1004,$O806)="","—",INDEX(Firms!$H$5:$H$1004,$O806)))</f>
        <v/>
      </c>
      <c r="I806" s="50">
        <f>IF($O806="","",IF(INDEX(Firms!$I$5:$I$1004,$O806)="","—",INDEX(Firms!$I$5:$I$1004,$O806)))</f>
        <v/>
      </c>
      <c r="J806" s="50">
        <f>IF($O806="","",IF(INDEX(Firms!$J$5:$J$1004,$O806)="","—",INDEX(Firms!$J$5:$J$1004,$O806)))</f>
        <v/>
      </c>
      <c r="K806" s="50">
        <f>IF($O806="","",IF(INDEX(Firms!$K$5:$K$1004,$O806)="","—",INDEX(Firms!$K$5:$K$1004,$O806)))</f>
        <v/>
      </c>
      <c r="L806" s="50">
        <f>IF($O806="","",IF(INDEX(Firms!$L$5:$L$1004,$O806)="","—",INDEX(Firms!$L$5:$L$1004,$O806)))</f>
        <v/>
      </c>
      <c r="M806" s="50">
        <f>IF($O806="","",IF(INDEX(Firms!$M$5:$M$1004,$O806)="","—",INDEX(Firms!$M$5:$M$1004,$O806)))</f>
        <v/>
      </c>
      <c r="O806">
        <f>IFERROR(MATCH(SMALL(Firms!$Y$5:$Y$1004,798),Firms!$W$5:$W$1004,0),"")</f>
        <v/>
      </c>
    </row>
    <row r="807">
      <c r="B807" s="78">
        <f>IF($O807="","",INDEX(Firms!$A$5:$A$1004,$O807))</f>
        <v/>
      </c>
      <c r="C807" s="79">
        <f>IF($O807="","",INDEX(Firms!$N$5:$N$1004,$O807)&amp;"")</f>
        <v/>
      </c>
      <c r="D807" s="79">
        <f>IF($O807="","",INDEX(Firms!$P$5:$P$1004,$O807)&amp;"")</f>
        <v/>
      </c>
      <c r="E807" s="79">
        <f>IF($O807="","",INDEX(Firms!$O$5:$O$1004,$O807)&amp;"")</f>
        <v/>
      </c>
      <c r="F807" s="50">
        <f>IF($O807="","",IF(INDEX(Firms!$F$5:$F$1004,$O807)="","—",INDEX(Firms!$F$5:$F$1004,$O807)))</f>
        <v/>
      </c>
      <c r="G807" s="50">
        <f>IF($O807="","",IF(INDEX(Firms!$G$5:$G$1004,$O807)="","—",INDEX(Firms!$G$5:$G$1004,$O807)))</f>
        <v/>
      </c>
      <c r="H807" s="50">
        <f>IF($O807="","",IF(INDEX(Firms!$H$5:$H$1004,$O807)="","—",INDEX(Firms!$H$5:$H$1004,$O807)))</f>
        <v/>
      </c>
      <c r="I807" s="50">
        <f>IF($O807="","",IF(INDEX(Firms!$I$5:$I$1004,$O807)="","—",INDEX(Firms!$I$5:$I$1004,$O807)))</f>
        <v/>
      </c>
      <c r="J807" s="50">
        <f>IF($O807="","",IF(INDEX(Firms!$J$5:$J$1004,$O807)="","—",INDEX(Firms!$J$5:$J$1004,$O807)))</f>
        <v/>
      </c>
      <c r="K807" s="50">
        <f>IF($O807="","",IF(INDEX(Firms!$K$5:$K$1004,$O807)="","—",INDEX(Firms!$K$5:$K$1004,$O807)))</f>
        <v/>
      </c>
      <c r="L807" s="50">
        <f>IF($O807="","",IF(INDEX(Firms!$L$5:$L$1004,$O807)="","—",INDEX(Firms!$L$5:$L$1004,$O807)))</f>
        <v/>
      </c>
      <c r="M807" s="50">
        <f>IF($O807="","",IF(INDEX(Firms!$M$5:$M$1004,$O807)="","—",INDEX(Firms!$M$5:$M$1004,$O807)))</f>
        <v/>
      </c>
      <c r="O807">
        <f>IFERROR(MATCH(SMALL(Firms!$Y$5:$Y$1004,799),Firms!$W$5:$W$1004,0),"")</f>
        <v/>
      </c>
    </row>
    <row r="808">
      <c r="B808" s="78">
        <f>IF($O808="","",INDEX(Firms!$A$5:$A$1004,$O808))</f>
        <v/>
      </c>
      <c r="C808" s="79">
        <f>IF($O808="","",INDEX(Firms!$N$5:$N$1004,$O808)&amp;"")</f>
        <v/>
      </c>
      <c r="D808" s="79">
        <f>IF($O808="","",INDEX(Firms!$P$5:$P$1004,$O808)&amp;"")</f>
        <v/>
      </c>
      <c r="E808" s="79">
        <f>IF($O808="","",INDEX(Firms!$O$5:$O$1004,$O808)&amp;"")</f>
        <v/>
      </c>
      <c r="F808" s="50">
        <f>IF($O808="","",IF(INDEX(Firms!$F$5:$F$1004,$O808)="","—",INDEX(Firms!$F$5:$F$1004,$O808)))</f>
        <v/>
      </c>
      <c r="G808" s="50">
        <f>IF($O808="","",IF(INDEX(Firms!$G$5:$G$1004,$O808)="","—",INDEX(Firms!$G$5:$G$1004,$O808)))</f>
        <v/>
      </c>
      <c r="H808" s="50">
        <f>IF($O808="","",IF(INDEX(Firms!$H$5:$H$1004,$O808)="","—",INDEX(Firms!$H$5:$H$1004,$O808)))</f>
        <v/>
      </c>
      <c r="I808" s="50">
        <f>IF($O808="","",IF(INDEX(Firms!$I$5:$I$1004,$O808)="","—",INDEX(Firms!$I$5:$I$1004,$O808)))</f>
        <v/>
      </c>
      <c r="J808" s="50">
        <f>IF($O808="","",IF(INDEX(Firms!$J$5:$J$1004,$O808)="","—",INDEX(Firms!$J$5:$J$1004,$O808)))</f>
        <v/>
      </c>
      <c r="K808" s="50">
        <f>IF($O808="","",IF(INDEX(Firms!$K$5:$K$1004,$O808)="","—",INDEX(Firms!$K$5:$K$1004,$O808)))</f>
        <v/>
      </c>
      <c r="L808" s="50">
        <f>IF($O808="","",IF(INDEX(Firms!$L$5:$L$1004,$O808)="","—",INDEX(Firms!$L$5:$L$1004,$O808)))</f>
        <v/>
      </c>
      <c r="M808" s="50">
        <f>IF($O808="","",IF(INDEX(Firms!$M$5:$M$1004,$O808)="","—",INDEX(Firms!$M$5:$M$1004,$O808)))</f>
        <v/>
      </c>
      <c r="O808">
        <f>IFERROR(MATCH(SMALL(Firms!$Y$5:$Y$1004,800),Firms!$W$5:$W$1004,0),"")</f>
        <v/>
      </c>
    </row>
    <row r="809">
      <c r="B809" s="78">
        <f>IF($O809="","",INDEX(Firms!$A$5:$A$1004,$O809))</f>
        <v/>
      </c>
      <c r="C809" s="79">
        <f>IF($O809="","",INDEX(Firms!$N$5:$N$1004,$O809)&amp;"")</f>
        <v/>
      </c>
      <c r="D809" s="79">
        <f>IF($O809="","",INDEX(Firms!$P$5:$P$1004,$O809)&amp;"")</f>
        <v/>
      </c>
      <c r="E809" s="79">
        <f>IF($O809="","",INDEX(Firms!$O$5:$O$1004,$O809)&amp;"")</f>
        <v/>
      </c>
      <c r="F809" s="50">
        <f>IF($O809="","",IF(INDEX(Firms!$F$5:$F$1004,$O809)="","—",INDEX(Firms!$F$5:$F$1004,$O809)))</f>
        <v/>
      </c>
      <c r="G809" s="50">
        <f>IF($O809="","",IF(INDEX(Firms!$G$5:$G$1004,$O809)="","—",INDEX(Firms!$G$5:$G$1004,$O809)))</f>
        <v/>
      </c>
      <c r="H809" s="50">
        <f>IF($O809="","",IF(INDEX(Firms!$H$5:$H$1004,$O809)="","—",INDEX(Firms!$H$5:$H$1004,$O809)))</f>
        <v/>
      </c>
      <c r="I809" s="50">
        <f>IF($O809="","",IF(INDEX(Firms!$I$5:$I$1004,$O809)="","—",INDEX(Firms!$I$5:$I$1004,$O809)))</f>
        <v/>
      </c>
      <c r="J809" s="50">
        <f>IF($O809="","",IF(INDEX(Firms!$J$5:$J$1004,$O809)="","—",INDEX(Firms!$J$5:$J$1004,$O809)))</f>
        <v/>
      </c>
      <c r="K809" s="50">
        <f>IF($O809="","",IF(INDEX(Firms!$K$5:$K$1004,$O809)="","—",INDEX(Firms!$K$5:$K$1004,$O809)))</f>
        <v/>
      </c>
      <c r="L809" s="50">
        <f>IF($O809="","",IF(INDEX(Firms!$L$5:$L$1004,$O809)="","—",INDEX(Firms!$L$5:$L$1004,$O809)))</f>
        <v/>
      </c>
      <c r="M809" s="50">
        <f>IF($O809="","",IF(INDEX(Firms!$M$5:$M$1004,$O809)="","—",INDEX(Firms!$M$5:$M$1004,$O809)))</f>
        <v/>
      </c>
      <c r="O809">
        <f>IFERROR(MATCH(SMALL(Firms!$Y$5:$Y$1004,801),Firms!$W$5:$W$1004,0),"")</f>
        <v/>
      </c>
    </row>
    <row r="810">
      <c r="B810" s="78">
        <f>IF($O810="","",INDEX(Firms!$A$5:$A$1004,$O810))</f>
        <v/>
      </c>
      <c r="C810" s="79">
        <f>IF($O810="","",INDEX(Firms!$N$5:$N$1004,$O810)&amp;"")</f>
        <v/>
      </c>
      <c r="D810" s="79">
        <f>IF($O810="","",INDEX(Firms!$P$5:$P$1004,$O810)&amp;"")</f>
        <v/>
      </c>
      <c r="E810" s="79">
        <f>IF($O810="","",INDEX(Firms!$O$5:$O$1004,$O810)&amp;"")</f>
        <v/>
      </c>
      <c r="F810" s="50">
        <f>IF($O810="","",IF(INDEX(Firms!$F$5:$F$1004,$O810)="","—",INDEX(Firms!$F$5:$F$1004,$O810)))</f>
        <v/>
      </c>
      <c r="G810" s="50">
        <f>IF($O810="","",IF(INDEX(Firms!$G$5:$G$1004,$O810)="","—",INDEX(Firms!$G$5:$G$1004,$O810)))</f>
        <v/>
      </c>
      <c r="H810" s="50">
        <f>IF($O810="","",IF(INDEX(Firms!$H$5:$H$1004,$O810)="","—",INDEX(Firms!$H$5:$H$1004,$O810)))</f>
        <v/>
      </c>
      <c r="I810" s="50">
        <f>IF($O810="","",IF(INDEX(Firms!$I$5:$I$1004,$O810)="","—",INDEX(Firms!$I$5:$I$1004,$O810)))</f>
        <v/>
      </c>
      <c r="J810" s="50">
        <f>IF($O810="","",IF(INDEX(Firms!$J$5:$J$1004,$O810)="","—",INDEX(Firms!$J$5:$J$1004,$O810)))</f>
        <v/>
      </c>
      <c r="K810" s="50">
        <f>IF($O810="","",IF(INDEX(Firms!$K$5:$K$1004,$O810)="","—",INDEX(Firms!$K$5:$K$1004,$O810)))</f>
        <v/>
      </c>
      <c r="L810" s="50">
        <f>IF($O810="","",IF(INDEX(Firms!$L$5:$L$1004,$O810)="","—",INDEX(Firms!$L$5:$L$1004,$O810)))</f>
        <v/>
      </c>
      <c r="M810" s="50">
        <f>IF($O810="","",IF(INDEX(Firms!$M$5:$M$1004,$O810)="","—",INDEX(Firms!$M$5:$M$1004,$O810)))</f>
        <v/>
      </c>
      <c r="O810">
        <f>IFERROR(MATCH(SMALL(Firms!$Y$5:$Y$1004,802),Firms!$W$5:$W$1004,0),"")</f>
        <v/>
      </c>
    </row>
    <row r="811">
      <c r="B811" s="78">
        <f>IF($O811="","",INDEX(Firms!$A$5:$A$1004,$O811))</f>
        <v/>
      </c>
      <c r="C811" s="79">
        <f>IF($O811="","",INDEX(Firms!$N$5:$N$1004,$O811)&amp;"")</f>
        <v/>
      </c>
      <c r="D811" s="79">
        <f>IF($O811="","",INDEX(Firms!$P$5:$P$1004,$O811)&amp;"")</f>
        <v/>
      </c>
      <c r="E811" s="79">
        <f>IF($O811="","",INDEX(Firms!$O$5:$O$1004,$O811)&amp;"")</f>
        <v/>
      </c>
      <c r="F811" s="50">
        <f>IF($O811="","",IF(INDEX(Firms!$F$5:$F$1004,$O811)="","—",INDEX(Firms!$F$5:$F$1004,$O811)))</f>
        <v/>
      </c>
      <c r="G811" s="50">
        <f>IF($O811="","",IF(INDEX(Firms!$G$5:$G$1004,$O811)="","—",INDEX(Firms!$G$5:$G$1004,$O811)))</f>
        <v/>
      </c>
      <c r="H811" s="50">
        <f>IF($O811="","",IF(INDEX(Firms!$H$5:$H$1004,$O811)="","—",INDEX(Firms!$H$5:$H$1004,$O811)))</f>
        <v/>
      </c>
      <c r="I811" s="50">
        <f>IF($O811="","",IF(INDEX(Firms!$I$5:$I$1004,$O811)="","—",INDEX(Firms!$I$5:$I$1004,$O811)))</f>
        <v/>
      </c>
      <c r="J811" s="50">
        <f>IF($O811="","",IF(INDEX(Firms!$J$5:$J$1004,$O811)="","—",INDEX(Firms!$J$5:$J$1004,$O811)))</f>
        <v/>
      </c>
      <c r="K811" s="50">
        <f>IF($O811="","",IF(INDEX(Firms!$K$5:$K$1004,$O811)="","—",INDEX(Firms!$K$5:$K$1004,$O811)))</f>
        <v/>
      </c>
      <c r="L811" s="50">
        <f>IF($O811="","",IF(INDEX(Firms!$L$5:$L$1004,$O811)="","—",INDEX(Firms!$L$5:$L$1004,$O811)))</f>
        <v/>
      </c>
      <c r="M811" s="50">
        <f>IF($O811="","",IF(INDEX(Firms!$M$5:$M$1004,$O811)="","—",INDEX(Firms!$M$5:$M$1004,$O811)))</f>
        <v/>
      </c>
      <c r="O811">
        <f>IFERROR(MATCH(SMALL(Firms!$Y$5:$Y$1004,803),Firms!$W$5:$W$1004,0),"")</f>
        <v/>
      </c>
    </row>
    <row r="812">
      <c r="B812" s="78">
        <f>IF($O812="","",INDEX(Firms!$A$5:$A$1004,$O812))</f>
        <v/>
      </c>
      <c r="C812" s="79">
        <f>IF($O812="","",INDEX(Firms!$N$5:$N$1004,$O812)&amp;"")</f>
        <v/>
      </c>
      <c r="D812" s="79">
        <f>IF($O812="","",INDEX(Firms!$P$5:$P$1004,$O812)&amp;"")</f>
        <v/>
      </c>
      <c r="E812" s="79">
        <f>IF($O812="","",INDEX(Firms!$O$5:$O$1004,$O812)&amp;"")</f>
        <v/>
      </c>
      <c r="F812" s="50">
        <f>IF($O812="","",IF(INDEX(Firms!$F$5:$F$1004,$O812)="","—",INDEX(Firms!$F$5:$F$1004,$O812)))</f>
        <v/>
      </c>
      <c r="G812" s="50">
        <f>IF($O812="","",IF(INDEX(Firms!$G$5:$G$1004,$O812)="","—",INDEX(Firms!$G$5:$G$1004,$O812)))</f>
        <v/>
      </c>
      <c r="H812" s="50">
        <f>IF($O812="","",IF(INDEX(Firms!$H$5:$H$1004,$O812)="","—",INDEX(Firms!$H$5:$H$1004,$O812)))</f>
        <v/>
      </c>
      <c r="I812" s="50">
        <f>IF($O812="","",IF(INDEX(Firms!$I$5:$I$1004,$O812)="","—",INDEX(Firms!$I$5:$I$1004,$O812)))</f>
        <v/>
      </c>
      <c r="J812" s="50">
        <f>IF($O812="","",IF(INDEX(Firms!$J$5:$J$1004,$O812)="","—",INDEX(Firms!$J$5:$J$1004,$O812)))</f>
        <v/>
      </c>
      <c r="K812" s="50">
        <f>IF($O812="","",IF(INDEX(Firms!$K$5:$K$1004,$O812)="","—",INDEX(Firms!$K$5:$K$1004,$O812)))</f>
        <v/>
      </c>
      <c r="L812" s="50">
        <f>IF($O812="","",IF(INDEX(Firms!$L$5:$L$1004,$O812)="","—",INDEX(Firms!$L$5:$L$1004,$O812)))</f>
        <v/>
      </c>
      <c r="M812" s="50">
        <f>IF($O812="","",IF(INDEX(Firms!$M$5:$M$1004,$O812)="","—",INDEX(Firms!$M$5:$M$1004,$O812)))</f>
        <v/>
      </c>
      <c r="O812">
        <f>IFERROR(MATCH(SMALL(Firms!$Y$5:$Y$1004,804),Firms!$W$5:$W$1004,0),"")</f>
        <v/>
      </c>
    </row>
    <row r="813">
      <c r="B813" s="78">
        <f>IF($O813="","",INDEX(Firms!$A$5:$A$1004,$O813))</f>
        <v/>
      </c>
      <c r="C813" s="79">
        <f>IF($O813="","",INDEX(Firms!$N$5:$N$1004,$O813)&amp;"")</f>
        <v/>
      </c>
      <c r="D813" s="79">
        <f>IF($O813="","",INDEX(Firms!$P$5:$P$1004,$O813)&amp;"")</f>
        <v/>
      </c>
      <c r="E813" s="79">
        <f>IF($O813="","",INDEX(Firms!$O$5:$O$1004,$O813)&amp;"")</f>
        <v/>
      </c>
      <c r="F813" s="50">
        <f>IF($O813="","",IF(INDEX(Firms!$F$5:$F$1004,$O813)="","—",INDEX(Firms!$F$5:$F$1004,$O813)))</f>
        <v/>
      </c>
      <c r="G813" s="50">
        <f>IF($O813="","",IF(INDEX(Firms!$G$5:$G$1004,$O813)="","—",INDEX(Firms!$G$5:$G$1004,$O813)))</f>
        <v/>
      </c>
      <c r="H813" s="50">
        <f>IF($O813="","",IF(INDEX(Firms!$H$5:$H$1004,$O813)="","—",INDEX(Firms!$H$5:$H$1004,$O813)))</f>
        <v/>
      </c>
      <c r="I813" s="50">
        <f>IF($O813="","",IF(INDEX(Firms!$I$5:$I$1004,$O813)="","—",INDEX(Firms!$I$5:$I$1004,$O813)))</f>
        <v/>
      </c>
      <c r="J813" s="50">
        <f>IF($O813="","",IF(INDEX(Firms!$J$5:$J$1004,$O813)="","—",INDEX(Firms!$J$5:$J$1004,$O813)))</f>
        <v/>
      </c>
      <c r="K813" s="50">
        <f>IF($O813="","",IF(INDEX(Firms!$K$5:$K$1004,$O813)="","—",INDEX(Firms!$K$5:$K$1004,$O813)))</f>
        <v/>
      </c>
      <c r="L813" s="50">
        <f>IF($O813="","",IF(INDEX(Firms!$L$5:$L$1004,$O813)="","—",INDEX(Firms!$L$5:$L$1004,$O813)))</f>
        <v/>
      </c>
      <c r="M813" s="50">
        <f>IF($O813="","",IF(INDEX(Firms!$M$5:$M$1004,$O813)="","—",INDEX(Firms!$M$5:$M$1004,$O813)))</f>
        <v/>
      </c>
      <c r="O813">
        <f>IFERROR(MATCH(SMALL(Firms!$Y$5:$Y$1004,805),Firms!$W$5:$W$1004,0),"")</f>
        <v/>
      </c>
    </row>
    <row r="814">
      <c r="B814" s="78">
        <f>IF($O814="","",INDEX(Firms!$A$5:$A$1004,$O814))</f>
        <v/>
      </c>
      <c r="C814" s="79">
        <f>IF($O814="","",INDEX(Firms!$N$5:$N$1004,$O814)&amp;"")</f>
        <v/>
      </c>
      <c r="D814" s="79">
        <f>IF($O814="","",INDEX(Firms!$P$5:$P$1004,$O814)&amp;"")</f>
        <v/>
      </c>
      <c r="E814" s="79">
        <f>IF($O814="","",INDEX(Firms!$O$5:$O$1004,$O814)&amp;"")</f>
        <v/>
      </c>
      <c r="F814" s="50">
        <f>IF($O814="","",IF(INDEX(Firms!$F$5:$F$1004,$O814)="","—",INDEX(Firms!$F$5:$F$1004,$O814)))</f>
        <v/>
      </c>
      <c r="G814" s="50">
        <f>IF($O814="","",IF(INDEX(Firms!$G$5:$G$1004,$O814)="","—",INDEX(Firms!$G$5:$G$1004,$O814)))</f>
        <v/>
      </c>
      <c r="H814" s="50">
        <f>IF($O814="","",IF(INDEX(Firms!$H$5:$H$1004,$O814)="","—",INDEX(Firms!$H$5:$H$1004,$O814)))</f>
        <v/>
      </c>
      <c r="I814" s="50">
        <f>IF($O814="","",IF(INDEX(Firms!$I$5:$I$1004,$O814)="","—",INDEX(Firms!$I$5:$I$1004,$O814)))</f>
        <v/>
      </c>
      <c r="J814" s="50">
        <f>IF($O814="","",IF(INDEX(Firms!$J$5:$J$1004,$O814)="","—",INDEX(Firms!$J$5:$J$1004,$O814)))</f>
        <v/>
      </c>
      <c r="K814" s="50">
        <f>IF($O814="","",IF(INDEX(Firms!$K$5:$K$1004,$O814)="","—",INDEX(Firms!$K$5:$K$1004,$O814)))</f>
        <v/>
      </c>
      <c r="L814" s="50">
        <f>IF($O814="","",IF(INDEX(Firms!$L$5:$L$1004,$O814)="","—",INDEX(Firms!$L$5:$L$1004,$O814)))</f>
        <v/>
      </c>
      <c r="M814" s="50">
        <f>IF($O814="","",IF(INDEX(Firms!$M$5:$M$1004,$O814)="","—",INDEX(Firms!$M$5:$M$1004,$O814)))</f>
        <v/>
      </c>
      <c r="O814">
        <f>IFERROR(MATCH(SMALL(Firms!$Y$5:$Y$1004,806),Firms!$W$5:$W$1004,0),"")</f>
        <v/>
      </c>
    </row>
    <row r="815">
      <c r="B815" s="78">
        <f>IF($O815="","",INDEX(Firms!$A$5:$A$1004,$O815))</f>
        <v/>
      </c>
      <c r="C815" s="79">
        <f>IF($O815="","",INDEX(Firms!$N$5:$N$1004,$O815)&amp;"")</f>
        <v/>
      </c>
      <c r="D815" s="79">
        <f>IF($O815="","",INDEX(Firms!$P$5:$P$1004,$O815)&amp;"")</f>
        <v/>
      </c>
      <c r="E815" s="79">
        <f>IF($O815="","",INDEX(Firms!$O$5:$O$1004,$O815)&amp;"")</f>
        <v/>
      </c>
      <c r="F815" s="50">
        <f>IF($O815="","",IF(INDEX(Firms!$F$5:$F$1004,$O815)="","—",INDEX(Firms!$F$5:$F$1004,$O815)))</f>
        <v/>
      </c>
      <c r="G815" s="50">
        <f>IF($O815="","",IF(INDEX(Firms!$G$5:$G$1004,$O815)="","—",INDEX(Firms!$G$5:$G$1004,$O815)))</f>
        <v/>
      </c>
      <c r="H815" s="50">
        <f>IF($O815="","",IF(INDEX(Firms!$H$5:$H$1004,$O815)="","—",INDEX(Firms!$H$5:$H$1004,$O815)))</f>
        <v/>
      </c>
      <c r="I815" s="50">
        <f>IF($O815="","",IF(INDEX(Firms!$I$5:$I$1004,$O815)="","—",INDEX(Firms!$I$5:$I$1004,$O815)))</f>
        <v/>
      </c>
      <c r="J815" s="50">
        <f>IF($O815="","",IF(INDEX(Firms!$J$5:$J$1004,$O815)="","—",INDEX(Firms!$J$5:$J$1004,$O815)))</f>
        <v/>
      </c>
      <c r="K815" s="50">
        <f>IF($O815="","",IF(INDEX(Firms!$K$5:$K$1004,$O815)="","—",INDEX(Firms!$K$5:$K$1004,$O815)))</f>
        <v/>
      </c>
      <c r="L815" s="50">
        <f>IF($O815="","",IF(INDEX(Firms!$L$5:$L$1004,$O815)="","—",INDEX(Firms!$L$5:$L$1004,$O815)))</f>
        <v/>
      </c>
      <c r="M815" s="50">
        <f>IF($O815="","",IF(INDEX(Firms!$M$5:$M$1004,$O815)="","—",INDEX(Firms!$M$5:$M$1004,$O815)))</f>
        <v/>
      </c>
      <c r="O815">
        <f>IFERROR(MATCH(SMALL(Firms!$Y$5:$Y$1004,807),Firms!$W$5:$W$1004,0),"")</f>
        <v/>
      </c>
    </row>
    <row r="816">
      <c r="B816" s="78">
        <f>IF($O816="","",INDEX(Firms!$A$5:$A$1004,$O816))</f>
        <v/>
      </c>
      <c r="C816" s="79">
        <f>IF($O816="","",INDEX(Firms!$N$5:$N$1004,$O816)&amp;"")</f>
        <v/>
      </c>
      <c r="D816" s="79">
        <f>IF($O816="","",INDEX(Firms!$P$5:$P$1004,$O816)&amp;"")</f>
        <v/>
      </c>
      <c r="E816" s="79">
        <f>IF($O816="","",INDEX(Firms!$O$5:$O$1004,$O816)&amp;"")</f>
        <v/>
      </c>
      <c r="F816" s="50">
        <f>IF($O816="","",IF(INDEX(Firms!$F$5:$F$1004,$O816)="","—",INDEX(Firms!$F$5:$F$1004,$O816)))</f>
        <v/>
      </c>
      <c r="G816" s="50">
        <f>IF($O816="","",IF(INDEX(Firms!$G$5:$G$1004,$O816)="","—",INDEX(Firms!$G$5:$G$1004,$O816)))</f>
        <v/>
      </c>
      <c r="H816" s="50">
        <f>IF($O816="","",IF(INDEX(Firms!$H$5:$H$1004,$O816)="","—",INDEX(Firms!$H$5:$H$1004,$O816)))</f>
        <v/>
      </c>
      <c r="I816" s="50">
        <f>IF($O816="","",IF(INDEX(Firms!$I$5:$I$1004,$O816)="","—",INDEX(Firms!$I$5:$I$1004,$O816)))</f>
        <v/>
      </c>
      <c r="J816" s="50">
        <f>IF($O816="","",IF(INDEX(Firms!$J$5:$J$1004,$O816)="","—",INDEX(Firms!$J$5:$J$1004,$O816)))</f>
        <v/>
      </c>
      <c r="K816" s="50">
        <f>IF($O816="","",IF(INDEX(Firms!$K$5:$K$1004,$O816)="","—",INDEX(Firms!$K$5:$K$1004,$O816)))</f>
        <v/>
      </c>
      <c r="L816" s="50">
        <f>IF($O816="","",IF(INDEX(Firms!$L$5:$L$1004,$O816)="","—",INDEX(Firms!$L$5:$L$1004,$O816)))</f>
        <v/>
      </c>
      <c r="M816" s="50">
        <f>IF($O816="","",IF(INDEX(Firms!$M$5:$M$1004,$O816)="","—",INDEX(Firms!$M$5:$M$1004,$O816)))</f>
        <v/>
      </c>
      <c r="O816">
        <f>IFERROR(MATCH(SMALL(Firms!$Y$5:$Y$1004,808),Firms!$W$5:$W$1004,0),"")</f>
        <v/>
      </c>
    </row>
    <row r="817">
      <c r="B817" s="78">
        <f>IF($O817="","",INDEX(Firms!$A$5:$A$1004,$O817))</f>
        <v/>
      </c>
      <c r="C817" s="79">
        <f>IF($O817="","",INDEX(Firms!$N$5:$N$1004,$O817)&amp;"")</f>
        <v/>
      </c>
      <c r="D817" s="79">
        <f>IF($O817="","",INDEX(Firms!$P$5:$P$1004,$O817)&amp;"")</f>
        <v/>
      </c>
      <c r="E817" s="79">
        <f>IF($O817="","",INDEX(Firms!$O$5:$O$1004,$O817)&amp;"")</f>
        <v/>
      </c>
      <c r="F817" s="50">
        <f>IF($O817="","",IF(INDEX(Firms!$F$5:$F$1004,$O817)="","—",INDEX(Firms!$F$5:$F$1004,$O817)))</f>
        <v/>
      </c>
      <c r="G817" s="50">
        <f>IF($O817="","",IF(INDEX(Firms!$G$5:$G$1004,$O817)="","—",INDEX(Firms!$G$5:$G$1004,$O817)))</f>
        <v/>
      </c>
      <c r="H817" s="50">
        <f>IF($O817="","",IF(INDEX(Firms!$H$5:$H$1004,$O817)="","—",INDEX(Firms!$H$5:$H$1004,$O817)))</f>
        <v/>
      </c>
      <c r="I817" s="50">
        <f>IF($O817="","",IF(INDEX(Firms!$I$5:$I$1004,$O817)="","—",INDEX(Firms!$I$5:$I$1004,$O817)))</f>
        <v/>
      </c>
      <c r="J817" s="50">
        <f>IF($O817="","",IF(INDEX(Firms!$J$5:$J$1004,$O817)="","—",INDEX(Firms!$J$5:$J$1004,$O817)))</f>
        <v/>
      </c>
      <c r="K817" s="50">
        <f>IF($O817="","",IF(INDEX(Firms!$K$5:$K$1004,$O817)="","—",INDEX(Firms!$K$5:$K$1004,$O817)))</f>
        <v/>
      </c>
      <c r="L817" s="50">
        <f>IF($O817="","",IF(INDEX(Firms!$L$5:$L$1004,$O817)="","—",INDEX(Firms!$L$5:$L$1004,$O817)))</f>
        <v/>
      </c>
      <c r="M817" s="50">
        <f>IF($O817="","",IF(INDEX(Firms!$M$5:$M$1004,$O817)="","—",INDEX(Firms!$M$5:$M$1004,$O817)))</f>
        <v/>
      </c>
      <c r="O817">
        <f>IFERROR(MATCH(SMALL(Firms!$Y$5:$Y$1004,809),Firms!$W$5:$W$1004,0),"")</f>
        <v/>
      </c>
    </row>
    <row r="818">
      <c r="B818" s="78">
        <f>IF($O818="","",INDEX(Firms!$A$5:$A$1004,$O818))</f>
        <v/>
      </c>
      <c r="C818" s="79">
        <f>IF($O818="","",INDEX(Firms!$N$5:$N$1004,$O818)&amp;"")</f>
        <v/>
      </c>
      <c r="D818" s="79">
        <f>IF($O818="","",INDEX(Firms!$P$5:$P$1004,$O818)&amp;"")</f>
        <v/>
      </c>
      <c r="E818" s="79">
        <f>IF($O818="","",INDEX(Firms!$O$5:$O$1004,$O818)&amp;"")</f>
        <v/>
      </c>
      <c r="F818" s="50">
        <f>IF($O818="","",IF(INDEX(Firms!$F$5:$F$1004,$O818)="","—",INDEX(Firms!$F$5:$F$1004,$O818)))</f>
        <v/>
      </c>
      <c r="G818" s="50">
        <f>IF($O818="","",IF(INDEX(Firms!$G$5:$G$1004,$O818)="","—",INDEX(Firms!$G$5:$G$1004,$O818)))</f>
        <v/>
      </c>
      <c r="H818" s="50">
        <f>IF($O818="","",IF(INDEX(Firms!$H$5:$H$1004,$O818)="","—",INDEX(Firms!$H$5:$H$1004,$O818)))</f>
        <v/>
      </c>
      <c r="I818" s="50">
        <f>IF($O818="","",IF(INDEX(Firms!$I$5:$I$1004,$O818)="","—",INDEX(Firms!$I$5:$I$1004,$O818)))</f>
        <v/>
      </c>
      <c r="J818" s="50">
        <f>IF($O818="","",IF(INDEX(Firms!$J$5:$J$1004,$O818)="","—",INDEX(Firms!$J$5:$J$1004,$O818)))</f>
        <v/>
      </c>
      <c r="K818" s="50">
        <f>IF($O818="","",IF(INDEX(Firms!$K$5:$K$1004,$O818)="","—",INDEX(Firms!$K$5:$K$1004,$O818)))</f>
        <v/>
      </c>
      <c r="L818" s="50">
        <f>IF($O818="","",IF(INDEX(Firms!$L$5:$L$1004,$O818)="","—",INDEX(Firms!$L$5:$L$1004,$O818)))</f>
        <v/>
      </c>
      <c r="M818" s="50">
        <f>IF($O818="","",IF(INDEX(Firms!$M$5:$M$1004,$O818)="","—",INDEX(Firms!$M$5:$M$1004,$O818)))</f>
        <v/>
      </c>
      <c r="O818">
        <f>IFERROR(MATCH(SMALL(Firms!$Y$5:$Y$1004,810),Firms!$W$5:$W$1004,0),"")</f>
        <v/>
      </c>
    </row>
    <row r="819">
      <c r="B819" s="78">
        <f>IF($O819="","",INDEX(Firms!$A$5:$A$1004,$O819))</f>
        <v/>
      </c>
      <c r="C819" s="79">
        <f>IF($O819="","",INDEX(Firms!$N$5:$N$1004,$O819)&amp;"")</f>
        <v/>
      </c>
      <c r="D819" s="79">
        <f>IF($O819="","",INDEX(Firms!$P$5:$P$1004,$O819)&amp;"")</f>
        <v/>
      </c>
      <c r="E819" s="79">
        <f>IF($O819="","",INDEX(Firms!$O$5:$O$1004,$O819)&amp;"")</f>
        <v/>
      </c>
      <c r="F819" s="50">
        <f>IF($O819="","",IF(INDEX(Firms!$F$5:$F$1004,$O819)="","—",INDEX(Firms!$F$5:$F$1004,$O819)))</f>
        <v/>
      </c>
      <c r="G819" s="50">
        <f>IF($O819="","",IF(INDEX(Firms!$G$5:$G$1004,$O819)="","—",INDEX(Firms!$G$5:$G$1004,$O819)))</f>
        <v/>
      </c>
      <c r="H819" s="50">
        <f>IF($O819="","",IF(INDEX(Firms!$H$5:$H$1004,$O819)="","—",INDEX(Firms!$H$5:$H$1004,$O819)))</f>
        <v/>
      </c>
      <c r="I819" s="50">
        <f>IF($O819="","",IF(INDEX(Firms!$I$5:$I$1004,$O819)="","—",INDEX(Firms!$I$5:$I$1004,$O819)))</f>
        <v/>
      </c>
      <c r="J819" s="50">
        <f>IF($O819="","",IF(INDEX(Firms!$J$5:$J$1004,$O819)="","—",INDEX(Firms!$J$5:$J$1004,$O819)))</f>
        <v/>
      </c>
      <c r="K819" s="50">
        <f>IF($O819="","",IF(INDEX(Firms!$K$5:$K$1004,$O819)="","—",INDEX(Firms!$K$5:$K$1004,$O819)))</f>
        <v/>
      </c>
      <c r="L819" s="50">
        <f>IF($O819="","",IF(INDEX(Firms!$L$5:$L$1004,$O819)="","—",INDEX(Firms!$L$5:$L$1004,$O819)))</f>
        <v/>
      </c>
      <c r="M819" s="50">
        <f>IF($O819="","",IF(INDEX(Firms!$M$5:$M$1004,$O819)="","—",INDEX(Firms!$M$5:$M$1004,$O819)))</f>
        <v/>
      </c>
      <c r="O819">
        <f>IFERROR(MATCH(SMALL(Firms!$Y$5:$Y$1004,811),Firms!$W$5:$W$1004,0),"")</f>
        <v/>
      </c>
    </row>
    <row r="820">
      <c r="B820" s="78">
        <f>IF($O820="","",INDEX(Firms!$A$5:$A$1004,$O820))</f>
        <v/>
      </c>
      <c r="C820" s="79">
        <f>IF($O820="","",INDEX(Firms!$N$5:$N$1004,$O820)&amp;"")</f>
        <v/>
      </c>
      <c r="D820" s="79">
        <f>IF($O820="","",INDEX(Firms!$P$5:$P$1004,$O820)&amp;"")</f>
        <v/>
      </c>
      <c r="E820" s="79">
        <f>IF($O820="","",INDEX(Firms!$O$5:$O$1004,$O820)&amp;"")</f>
        <v/>
      </c>
      <c r="F820" s="50">
        <f>IF($O820="","",IF(INDEX(Firms!$F$5:$F$1004,$O820)="","—",INDEX(Firms!$F$5:$F$1004,$O820)))</f>
        <v/>
      </c>
      <c r="G820" s="50">
        <f>IF($O820="","",IF(INDEX(Firms!$G$5:$G$1004,$O820)="","—",INDEX(Firms!$G$5:$G$1004,$O820)))</f>
        <v/>
      </c>
      <c r="H820" s="50">
        <f>IF($O820="","",IF(INDEX(Firms!$H$5:$H$1004,$O820)="","—",INDEX(Firms!$H$5:$H$1004,$O820)))</f>
        <v/>
      </c>
      <c r="I820" s="50">
        <f>IF($O820="","",IF(INDEX(Firms!$I$5:$I$1004,$O820)="","—",INDEX(Firms!$I$5:$I$1004,$O820)))</f>
        <v/>
      </c>
      <c r="J820" s="50">
        <f>IF($O820="","",IF(INDEX(Firms!$J$5:$J$1004,$O820)="","—",INDEX(Firms!$J$5:$J$1004,$O820)))</f>
        <v/>
      </c>
      <c r="K820" s="50">
        <f>IF($O820="","",IF(INDEX(Firms!$K$5:$K$1004,$O820)="","—",INDEX(Firms!$K$5:$K$1004,$O820)))</f>
        <v/>
      </c>
      <c r="L820" s="50">
        <f>IF($O820="","",IF(INDEX(Firms!$L$5:$L$1004,$O820)="","—",INDEX(Firms!$L$5:$L$1004,$O820)))</f>
        <v/>
      </c>
      <c r="M820" s="50">
        <f>IF($O820="","",IF(INDEX(Firms!$M$5:$M$1004,$O820)="","—",INDEX(Firms!$M$5:$M$1004,$O820)))</f>
        <v/>
      </c>
      <c r="O820">
        <f>IFERROR(MATCH(SMALL(Firms!$Y$5:$Y$1004,812),Firms!$W$5:$W$1004,0),"")</f>
        <v/>
      </c>
    </row>
    <row r="821">
      <c r="B821" s="78">
        <f>IF($O821="","",INDEX(Firms!$A$5:$A$1004,$O821))</f>
        <v/>
      </c>
      <c r="C821" s="79">
        <f>IF($O821="","",INDEX(Firms!$N$5:$N$1004,$O821)&amp;"")</f>
        <v/>
      </c>
      <c r="D821" s="79">
        <f>IF($O821="","",INDEX(Firms!$P$5:$P$1004,$O821)&amp;"")</f>
        <v/>
      </c>
      <c r="E821" s="79">
        <f>IF($O821="","",INDEX(Firms!$O$5:$O$1004,$O821)&amp;"")</f>
        <v/>
      </c>
      <c r="F821" s="50">
        <f>IF($O821="","",IF(INDEX(Firms!$F$5:$F$1004,$O821)="","—",INDEX(Firms!$F$5:$F$1004,$O821)))</f>
        <v/>
      </c>
      <c r="G821" s="50">
        <f>IF($O821="","",IF(INDEX(Firms!$G$5:$G$1004,$O821)="","—",INDEX(Firms!$G$5:$G$1004,$O821)))</f>
        <v/>
      </c>
      <c r="H821" s="50">
        <f>IF($O821="","",IF(INDEX(Firms!$H$5:$H$1004,$O821)="","—",INDEX(Firms!$H$5:$H$1004,$O821)))</f>
        <v/>
      </c>
      <c r="I821" s="50">
        <f>IF($O821="","",IF(INDEX(Firms!$I$5:$I$1004,$O821)="","—",INDEX(Firms!$I$5:$I$1004,$O821)))</f>
        <v/>
      </c>
      <c r="J821" s="50">
        <f>IF($O821="","",IF(INDEX(Firms!$J$5:$J$1004,$O821)="","—",INDEX(Firms!$J$5:$J$1004,$O821)))</f>
        <v/>
      </c>
      <c r="K821" s="50">
        <f>IF($O821="","",IF(INDEX(Firms!$K$5:$K$1004,$O821)="","—",INDEX(Firms!$K$5:$K$1004,$O821)))</f>
        <v/>
      </c>
      <c r="L821" s="50">
        <f>IF($O821="","",IF(INDEX(Firms!$L$5:$L$1004,$O821)="","—",INDEX(Firms!$L$5:$L$1004,$O821)))</f>
        <v/>
      </c>
      <c r="M821" s="50">
        <f>IF($O821="","",IF(INDEX(Firms!$M$5:$M$1004,$O821)="","—",INDEX(Firms!$M$5:$M$1004,$O821)))</f>
        <v/>
      </c>
      <c r="O821">
        <f>IFERROR(MATCH(SMALL(Firms!$Y$5:$Y$1004,813),Firms!$W$5:$W$1004,0),"")</f>
        <v/>
      </c>
    </row>
    <row r="822">
      <c r="B822" s="78">
        <f>IF($O822="","",INDEX(Firms!$A$5:$A$1004,$O822))</f>
        <v/>
      </c>
      <c r="C822" s="79">
        <f>IF($O822="","",INDEX(Firms!$N$5:$N$1004,$O822)&amp;"")</f>
        <v/>
      </c>
      <c r="D822" s="79">
        <f>IF($O822="","",INDEX(Firms!$P$5:$P$1004,$O822)&amp;"")</f>
        <v/>
      </c>
      <c r="E822" s="79">
        <f>IF($O822="","",INDEX(Firms!$O$5:$O$1004,$O822)&amp;"")</f>
        <v/>
      </c>
      <c r="F822" s="50">
        <f>IF($O822="","",IF(INDEX(Firms!$F$5:$F$1004,$O822)="","—",INDEX(Firms!$F$5:$F$1004,$O822)))</f>
        <v/>
      </c>
      <c r="G822" s="50">
        <f>IF($O822="","",IF(INDEX(Firms!$G$5:$G$1004,$O822)="","—",INDEX(Firms!$G$5:$G$1004,$O822)))</f>
        <v/>
      </c>
      <c r="H822" s="50">
        <f>IF($O822="","",IF(INDEX(Firms!$H$5:$H$1004,$O822)="","—",INDEX(Firms!$H$5:$H$1004,$O822)))</f>
        <v/>
      </c>
      <c r="I822" s="50">
        <f>IF($O822="","",IF(INDEX(Firms!$I$5:$I$1004,$O822)="","—",INDEX(Firms!$I$5:$I$1004,$O822)))</f>
        <v/>
      </c>
      <c r="J822" s="50">
        <f>IF($O822="","",IF(INDEX(Firms!$J$5:$J$1004,$O822)="","—",INDEX(Firms!$J$5:$J$1004,$O822)))</f>
        <v/>
      </c>
      <c r="K822" s="50">
        <f>IF($O822="","",IF(INDEX(Firms!$K$5:$K$1004,$O822)="","—",INDEX(Firms!$K$5:$K$1004,$O822)))</f>
        <v/>
      </c>
      <c r="L822" s="50">
        <f>IF($O822="","",IF(INDEX(Firms!$L$5:$L$1004,$O822)="","—",INDEX(Firms!$L$5:$L$1004,$O822)))</f>
        <v/>
      </c>
      <c r="M822" s="50">
        <f>IF($O822="","",IF(INDEX(Firms!$M$5:$M$1004,$O822)="","—",INDEX(Firms!$M$5:$M$1004,$O822)))</f>
        <v/>
      </c>
      <c r="O822">
        <f>IFERROR(MATCH(SMALL(Firms!$Y$5:$Y$1004,814),Firms!$W$5:$W$1004,0),"")</f>
        <v/>
      </c>
    </row>
    <row r="823">
      <c r="B823" s="78">
        <f>IF($O823="","",INDEX(Firms!$A$5:$A$1004,$O823))</f>
        <v/>
      </c>
      <c r="C823" s="79">
        <f>IF($O823="","",INDEX(Firms!$N$5:$N$1004,$O823)&amp;"")</f>
        <v/>
      </c>
      <c r="D823" s="79">
        <f>IF($O823="","",INDEX(Firms!$P$5:$P$1004,$O823)&amp;"")</f>
        <v/>
      </c>
      <c r="E823" s="79">
        <f>IF($O823="","",INDEX(Firms!$O$5:$O$1004,$O823)&amp;"")</f>
        <v/>
      </c>
      <c r="F823" s="50">
        <f>IF($O823="","",IF(INDEX(Firms!$F$5:$F$1004,$O823)="","—",INDEX(Firms!$F$5:$F$1004,$O823)))</f>
        <v/>
      </c>
      <c r="G823" s="50">
        <f>IF($O823="","",IF(INDEX(Firms!$G$5:$G$1004,$O823)="","—",INDEX(Firms!$G$5:$G$1004,$O823)))</f>
        <v/>
      </c>
      <c r="H823" s="50">
        <f>IF($O823="","",IF(INDEX(Firms!$H$5:$H$1004,$O823)="","—",INDEX(Firms!$H$5:$H$1004,$O823)))</f>
        <v/>
      </c>
      <c r="I823" s="50">
        <f>IF($O823="","",IF(INDEX(Firms!$I$5:$I$1004,$O823)="","—",INDEX(Firms!$I$5:$I$1004,$O823)))</f>
        <v/>
      </c>
      <c r="J823" s="50">
        <f>IF($O823="","",IF(INDEX(Firms!$J$5:$J$1004,$O823)="","—",INDEX(Firms!$J$5:$J$1004,$O823)))</f>
        <v/>
      </c>
      <c r="K823" s="50">
        <f>IF($O823="","",IF(INDEX(Firms!$K$5:$K$1004,$O823)="","—",INDEX(Firms!$K$5:$K$1004,$O823)))</f>
        <v/>
      </c>
      <c r="L823" s="50">
        <f>IF($O823="","",IF(INDEX(Firms!$L$5:$L$1004,$O823)="","—",INDEX(Firms!$L$5:$L$1004,$O823)))</f>
        <v/>
      </c>
      <c r="M823" s="50">
        <f>IF($O823="","",IF(INDEX(Firms!$M$5:$M$1004,$O823)="","—",INDEX(Firms!$M$5:$M$1004,$O823)))</f>
        <v/>
      </c>
      <c r="O823">
        <f>IFERROR(MATCH(SMALL(Firms!$Y$5:$Y$1004,815),Firms!$W$5:$W$1004,0),"")</f>
        <v/>
      </c>
    </row>
    <row r="824">
      <c r="B824" s="78">
        <f>IF($O824="","",INDEX(Firms!$A$5:$A$1004,$O824))</f>
        <v/>
      </c>
      <c r="C824" s="79">
        <f>IF($O824="","",INDEX(Firms!$N$5:$N$1004,$O824)&amp;"")</f>
        <v/>
      </c>
      <c r="D824" s="79">
        <f>IF($O824="","",INDEX(Firms!$P$5:$P$1004,$O824)&amp;"")</f>
        <v/>
      </c>
      <c r="E824" s="79">
        <f>IF($O824="","",INDEX(Firms!$O$5:$O$1004,$O824)&amp;"")</f>
        <v/>
      </c>
      <c r="F824" s="50">
        <f>IF($O824="","",IF(INDEX(Firms!$F$5:$F$1004,$O824)="","—",INDEX(Firms!$F$5:$F$1004,$O824)))</f>
        <v/>
      </c>
      <c r="G824" s="50">
        <f>IF($O824="","",IF(INDEX(Firms!$G$5:$G$1004,$O824)="","—",INDEX(Firms!$G$5:$G$1004,$O824)))</f>
        <v/>
      </c>
      <c r="H824" s="50">
        <f>IF($O824="","",IF(INDEX(Firms!$H$5:$H$1004,$O824)="","—",INDEX(Firms!$H$5:$H$1004,$O824)))</f>
        <v/>
      </c>
      <c r="I824" s="50">
        <f>IF($O824="","",IF(INDEX(Firms!$I$5:$I$1004,$O824)="","—",INDEX(Firms!$I$5:$I$1004,$O824)))</f>
        <v/>
      </c>
      <c r="J824" s="50">
        <f>IF($O824="","",IF(INDEX(Firms!$J$5:$J$1004,$O824)="","—",INDEX(Firms!$J$5:$J$1004,$O824)))</f>
        <v/>
      </c>
      <c r="K824" s="50">
        <f>IF($O824="","",IF(INDEX(Firms!$K$5:$K$1004,$O824)="","—",INDEX(Firms!$K$5:$K$1004,$O824)))</f>
        <v/>
      </c>
      <c r="L824" s="50">
        <f>IF($O824="","",IF(INDEX(Firms!$L$5:$L$1004,$O824)="","—",INDEX(Firms!$L$5:$L$1004,$O824)))</f>
        <v/>
      </c>
      <c r="M824" s="50">
        <f>IF($O824="","",IF(INDEX(Firms!$M$5:$M$1004,$O824)="","—",INDEX(Firms!$M$5:$M$1004,$O824)))</f>
        <v/>
      </c>
      <c r="O824">
        <f>IFERROR(MATCH(SMALL(Firms!$Y$5:$Y$1004,816),Firms!$W$5:$W$1004,0),"")</f>
        <v/>
      </c>
    </row>
    <row r="825">
      <c r="B825" s="78">
        <f>IF($O825="","",INDEX(Firms!$A$5:$A$1004,$O825))</f>
        <v/>
      </c>
      <c r="C825" s="79">
        <f>IF($O825="","",INDEX(Firms!$N$5:$N$1004,$O825)&amp;"")</f>
        <v/>
      </c>
      <c r="D825" s="79">
        <f>IF($O825="","",INDEX(Firms!$P$5:$P$1004,$O825)&amp;"")</f>
        <v/>
      </c>
      <c r="E825" s="79">
        <f>IF($O825="","",INDEX(Firms!$O$5:$O$1004,$O825)&amp;"")</f>
        <v/>
      </c>
      <c r="F825" s="50">
        <f>IF($O825="","",IF(INDEX(Firms!$F$5:$F$1004,$O825)="","—",INDEX(Firms!$F$5:$F$1004,$O825)))</f>
        <v/>
      </c>
      <c r="G825" s="50">
        <f>IF($O825="","",IF(INDEX(Firms!$G$5:$G$1004,$O825)="","—",INDEX(Firms!$G$5:$G$1004,$O825)))</f>
        <v/>
      </c>
      <c r="H825" s="50">
        <f>IF($O825="","",IF(INDEX(Firms!$H$5:$H$1004,$O825)="","—",INDEX(Firms!$H$5:$H$1004,$O825)))</f>
        <v/>
      </c>
      <c r="I825" s="50">
        <f>IF($O825="","",IF(INDEX(Firms!$I$5:$I$1004,$O825)="","—",INDEX(Firms!$I$5:$I$1004,$O825)))</f>
        <v/>
      </c>
      <c r="J825" s="50">
        <f>IF($O825="","",IF(INDEX(Firms!$J$5:$J$1004,$O825)="","—",INDEX(Firms!$J$5:$J$1004,$O825)))</f>
        <v/>
      </c>
      <c r="K825" s="50">
        <f>IF($O825="","",IF(INDEX(Firms!$K$5:$K$1004,$O825)="","—",INDEX(Firms!$K$5:$K$1004,$O825)))</f>
        <v/>
      </c>
      <c r="L825" s="50">
        <f>IF($O825="","",IF(INDEX(Firms!$L$5:$L$1004,$O825)="","—",INDEX(Firms!$L$5:$L$1004,$O825)))</f>
        <v/>
      </c>
      <c r="M825" s="50">
        <f>IF($O825="","",IF(INDEX(Firms!$M$5:$M$1004,$O825)="","—",INDEX(Firms!$M$5:$M$1004,$O825)))</f>
        <v/>
      </c>
      <c r="O825">
        <f>IFERROR(MATCH(SMALL(Firms!$Y$5:$Y$1004,817),Firms!$W$5:$W$1004,0),"")</f>
        <v/>
      </c>
    </row>
    <row r="826">
      <c r="B826" s="78">
        <f>IF($O826="","",INDEX(Firms!$A$5:$A$1004,$O826))</f>
        <v/>
      </c>
      <c r="C826" s="79">
        <f>IF($O826="","",INDEX(Firms!$N$5:$N$1004,$O826)&amp;"")</f>
        <v/>
      </c>
      <c r="D826" s="79">
        <f>IF($O826="","",INDEX(Firms!$P$5:$P$1004,$O826)&amp;"")</f>
        <v/>
      </c>
      <c r="E826" s="79">
        <f>IF($O826="","",INDEX(Firms!$O$5:$O$1004,$O826)&amp;"")</f>
        <v/>
      </c>
      <c r="F826" s="50">
        <f>IF($O826="","",IF(INDEX(Firms!$F$5:$F$1004,$O826)="","—",INDEX(Firms!$F$5:$F$1004,$O826)))</f>
        <v/>
      </c>
      <c r="G826" s="50">
        <f>IF($O826="","",IF(INDEX(Firms!$G$5:$G$1004,$O826)="","—",INDEX(Firms!$G$5:$G$1004,$O826)))</f>
        <v/>
      </c>
      <c r="H826" s="50">
        <f>IF($O826="","",IF(INDEX(Firms!$H$5:$H$1004,$O826)="","—",INDEX(Firms!$H$5:$H$1004,$O826)))</f>
        <v/>
      </c>
      <c r="I826" s="50">
        <f>IF($O826="","",IF(INDEX(Firms!$I$5:$I$1004,$O826)="","—",INDEX(Firms!$I$5:$I$1004,$O826)))</f>
        <v/>
      </c>
      <c r="J826" s="50">
        <f>IF($O826="","",IF(INDEX(Firms!$J$5:$J$1004,$O826)="","—",INDEX(Firms!$J$5:$J$1004,$O826)))</f>
        <v/>
      </c>
      <c r="K826" s="50">
        <f>IF($O826="","",IF(INDEX(Firms!$K$5:$K$1004,$O826)="","—",INDEX(Firms!$K$5:$K$1004,$O826)))</f>
        <v/>
      </c>
      <c r="L826" s="50">
        <f>IF($O826="","",IF(INDEX(Firms!$L$5:$L$1004,$O826)="","—",INDEX(Firms!$L$5:$L$1004,$O826)))</f>
        <v/>
      </c>
      <c r="M826" s="50">
        <f>IF($O826="","",IF(INDEX(Firms!$M$5:$M$1004,$O826)="","—",INDEX(Firms!$M$5:$M$1004,$O826)))</f>
        <v/>
      </c>
      <c r="O826">
        <f>IFERROR(MATCH(SMALL(Firms!$Y$5:$Y$1004,818),Firms!$W$5:$W$1004,0),"")</f>
        <v/>
      </c>
    </row>
    <row r="827">
      <c r="B827" s="78">
        <f>IF($O827="","",INDEX(Firms!$A$5:$A$1004,$O827))</f>
        <v/>
      </c>
      <c r="C827" s="79">
        <f>IF($O827="","",INDEX(Firms!$N$5:$N$1004,$O827)&amp;"")</f>
        <v/>
      </c>
      <c r="D827" s="79">
        <f>IF($O827="","",INDEX(Firms!$P$5:$P$1004,$O827)&amp;"")</f>
        <v/>
      </c>
      <c r="E827" s="79">
        <f>IF($O827="","",INDEX(Firms!$O$5:$O$1004,$O827)&amp;"")</f>
        <v/>
      </c>
      <c r="F827" s="50">
        <f>IF($O827="","",IF(INDEX(Firms!$F$5:$F$1004,$O827)="","—",INDEX(Firms!$F$5:$F$1004,$O827)))</f>
        <v/>
      </c>
      <c r="G827" s="50">
        <f>IF($O827="","",IF(INDEX(Firms!$G$5:$G$1004,$O827)="","—",INDEX(Firms!$G$5:$G$1004,$O827)))</f>
        <v/>
      </c>
      <c r="H827" s="50">
        <f>IF($O827="","",IF(INDEX(Firms!$H$5:$H$1004,$O827)="","—",INDEX(Firms!$H$5:$H$1004,$O827)))</f>
        <v/>
      </c>
      <c r="I827" s="50">
        <f>IF($O827="","",IF(INDEX(Firms!$I$5:$I$1004,$O827)="","—",INDEX(Firms!$I$5:$I$1004,$O827)))</f>
        <v/>
      </c>
      <c r="J827" s="50">
        <f>IF($O827="","",IF(INDEX(Firms!$J$5:$J$1004,$O827)="","—",INDEX(Firms!$J$5:$J$1004,$O827)))</f>
        <v/>
      </c>
      <c r="K827" s="50">
        <f>IF($O827="","",IF(INDEX(Firms!$K$5:$K$1004,$O827)="","—",INDEX(Firms!$K$5:$K$1004,$O827)))</f>
        <v/>
      </c>
      <c r="L827" s="50">
        <f>IF($O827="","",IF(INDEX(Firms!$L$5:$L$1004,$O827)="","—",INDEX(Firms!$L$5:$L$1004,$O827)))</f>
        <v/>
      </c>
      <c r="M827" s="50">
        <f>IF($O827="","",IF(INDEX(Firms!$M$5:$M$1004,$O827)="","—",INDEX(Firms!$M$5:$M$1004,$O827)))</f>
        <v/>
      </c>
      <c r="O827">
        <f>IFERROR(MATCH(SMALL(Firms!$Y$5:$Y$1004,819),Firms!$W$5:$W$1004,0),"")</f>
        <v/>
      </c>
    </row>
    <row r="828">
      <c r="B828" s="78">
        <f>IF($O828="","",INDEX(Firms!$A$5:$A$1004,$O828))</f>
        <v/>
      </c>
      <c r="C828" s="79">
        <f>IF($O828="","",INDEX(Firms!$N$5:$N$1004,$O828)&amp;"")</f>
        <v/>
      </c>
      <c r="D828" s="79">
        <f>IF($O828="","",INDEX(Firms!$P$5:$P$1004,$O828)&amp;"")</f>
        <v/>
      </c>
      <c r="E828" s="79">
        <f>IF($O828="","",INDEX(Firms!$O$5:$O$1004,$O828)&amp;"")</f>
        <v/>
      </c>
      <c r="F828" s="50">
        <f>IF($O828="","",IF(INDEX(Firms!$F$5:$F$1004,$O828)="","—",INDEX(Firms!$F$5:$F$1004,$O828)))</f>
        <v/>
      </c>
      <c r="G828" s="50">
        <f>IF($O828="","",IF(INDEX(Firms!$G$5:$G$1004,$O828)="","—",INDEX(Firms!$G$5:$G$1004,$O828)))</f>
        <v/>
      </c>
      <c r="H828" s="50">
        <f>IF($O828="","",IF(INDEX(Firms!$H$5:$H$1004,$O828)="","—",INDEX(Firms!$H$5:$H$1004,$O828)))</f>
        <v/>
      </c>
      <c r="I828" s="50">
        <f>IF($O828="","",IF(INDEX(Firms!$I$5:$I$1004,$O828)="","—",INDEX(Firms!$I$5:$I$1004,$O828)))</f>
        <v/>
      </c>
      <c r="J828" s="50">
        <f>IF($O828="","",IF(INDEX(Firms!$J$5:$J$1004,$O828)="","—",INDEX(Firms!$J$5:$J$1004,$O828)))</f>
        <v/>
      </c>
      <c r="K828" s="50">
        <f>IF($O828="","",IF(INDEX(Firms!$K$5:$K$1004,$O828)="","—",INDEX(Firms!$K$5:$K$1004,$O828)))</f>
        <v/>
      </c>
      <c r="L828" s="50">
        <f>IF($O828="","",IF(INDEX(Firms!$L$5:$L$1004,$O828)="","—",INDEX(Firms!$L$5:$L$1004,$O828)))</f>
        <v/>
      </c>
      <c r="M828" s="50">
        <f>IF($O828="","",IF(INDEX(Firms!$M$5:$M$1004,$O828)="","—",INDEX(Firms!$M$5:$M$1004,$O828)))</f>
        <v/>
      </c>
      <c r="O828">
        <f>IFERROR(MATCH(SMALL(Firms!$Y$5:$Y$1004,820),Firms!$W$5:$W$1004,0),"")</f>
        <v/>
      </c>
    </row>
    <row r="829">
      <c r="B829" s="78">
        <f>IF($O829="","",INDEX(Firms!$A$5:$A$1004,$O829))</f>
        <v/>
      </c>
      <c r="C829" s="79">
        <f>IF($O829="","",INDEX(Firms!$N$5:$N$1004,$O829)&amp;"")</f>
        <v/>
      </c>
      <c r="D829" s="79">
        <f>IF($O829="","",INDEX(Firms!$P$5:$P$1004,$O829)&amp;"")</f>
        <v/>
      </c>
      <c r="E829" s="79">
        <f>IF($O829="","",INDEX(Firms!$O$5:$O$1004,$O829)&amp;"")</f>
        <v/>
      </c>
      <c r="F829" s="50">
        <f>IF($O829="","",IF(INDEX(Firms!$F$5:$F$1004,$O829)="","—",INDEX(Firms!$F$5:$F$1004,$O829)))</f>
        <v/>
      </c>
      <c r="G829" s="50">
        <f>IF($O829="","",IF(INDEX(Firms!$G$5:$G$1004,$O829)="","—",INDEX(Firms!$G$5:$G$1004,$O829)))</f>
        <v/>
      </c>
      <c r="H829" s="50">
        <f>IF($O829="","",IF(INDEX(Firms!$H$5:$H$1004,$O829)="","—",INDEX(Firms!$H$5:$H$1004,$O829)))</f>
        <v/>
      </c>
      <c r="I829" s="50">
        <f>IF($O829="","",IF(INDEX(Firms!$I$5:$I$1004,$O829)="","—",INDEX(Firms!$I$5:$I$1004,$O829)))</f>
        <v/>
      </c>
      <c r="J829" s="50">
        <f>IF($O829="","",IF(INDEX(Firms!$J$5:$J$1004,$O829)="","—",INDEX(Firms!$J$5:$J$1004,$O829)))</f>
        <v/>
      </c>
      <c r="K829" s="50">
        <f>IF($O829="","",IF(INDEX(Firms!$K$5:$K$1004,$O829)="","—",INDEX(Firms!$K$5:$K$1004,$O829)))</f>
        <v/>
      </c>
      <c r="L829" s="50">
        <f>IF($O829="","",IF(INDEX(Firms!$L$5:$L$1004,$O829)="","—",INDEX(Firms!$L$5:$L$1004,$O829)))</f>
        <v/>
      </c>
      <c r="M829" s="50">
        <f>IF($O829="","",IF(INDEX(Firms!$M$5:$M$1004,$O829)="","—",INDEX(Firms!$M$5:$M$1004,$O829)))</f>
        <v/>
      </c>
      <c r="O829">
        <f>IFERROR(MATCH(SMALL(Firms!$Y$5:$Y$1004,821),Firms!$W$5:$W$1004,0),"")</f>
        <v/>
      </c>
    </row>
    <row r="830">
      <c r="B830" s="78">
        <f>IF($O830="","",INDEX(Firms!$A$5:$A$1004,$O830))</f>
        <v/>
      </c>
      <c r="C830" s="79">
        <f>IF($O830="","",INDEX(Firms!$N$5:$N$1004,$O830)&amp;"")</f>
        <v/>
      </c>
      <c r="D830" s="79">
        <f>IF($O830="","",INDEX(Firms!$P$5:$P$1004,$O830)&amp;"")</f>
        <v/>
      </c>
      <c r="E830" s="79">
        <f>IF($O830="","",INDEX(Firms!$O$5:$O$1004,$O830)&amp;"")</f>
        <v/>
      </c>
      <c r="F830" s="50">
        <f>IF($O830="","",IF(INDEX(Firms!$F$5:$F$1004,$O830)="","—",INDEX(Firms!$F$5:$F$1004,$O830)))</f>
        <v/>
      </c>
      <c r="G830" s="50">
        <f>IF($O830="","",IF(INDEX(Firms!$G$5:$G$1004,$O830)="","—",INDEX(Firms!$G$5:$G$1004,$O830)))</f>
        <v/>
      </c>
      <c r="H830" s="50">
        <f>IF($O830="","",IF(INDEX(Firms!$H$5:$H$1004,$O830)="","—",INDEX(Firms!$H$5:$H$1004,$O830)))</f>
        <v/>
      </c>
      <c r="I830" s="50">
        <f>IF($O830="","",IF(INDEX(Firms!$I$5:$I$1004,$O830)="","—",INDEX(Firms!$I$5:$I$1004,$O830)))</f>
        <v/>
      </c>
      <c r="J830" s="50">
        <f>IF($O830="","",IF(INDEX(Firms!$J$5:$J$1004,$O830)="","—",INDEX(Firms!$J$5:$J$1004,$O830)))</f>
        <v/>
      </c>
      <c r="K830" s="50">
        <f>IF($O830="","",IF(INDEX(Firms!$K$5:$K$1004,$O830)="","—",INDEX(Firms!$K$5:$K$1004,$O830)))</f>
        <v/>
      </c>
      <c r="L830" s="50">
        <f>IF($O830="","",IF(INDEX(Firms!$L$5:$L$1004,$O830)="","—",INDEX(Firms!$L$5:$L$1004,$O830)))</f>
        <v/>
      </c>
      <c r="M830" s="50">
        <f>IF($O830="","",IF(INDEX(Firms!$M$5:$M$1004,$O830)="","—",INDEX(Firms!$M$5:$M$1004,$O830)))</f>
        <v/>
      </c>
      <c r="O830">
        <f>IFERROR(MATCH(SMALL(Firms!$Y$5:$Y$1004,822),Firms!$W$5:$W$1004,0),"")</f>
        <v/>
      </c>
    </row>
    <row r="831">
      <c r="B831" s="78">
        <f>IF($O831="","",INDEX(Firms!$A$5:$A$1004,$O831))</f>
        <v/>
      </c>
      <c r="C831" s="79">
        <f>IF($O831="","",INDEX(Firms!$N$5:$N$1004,$O831)&amp;"")</f>
        <v/>
      </c>
      <c r="D831" s="79">
        <f>IF($O831="","",INDEX(Firms!$P$5:$P$1004,$O831)&amp;"")</f>
        <v/>
      </c>
      <c r="E831" s="79">
        <f>IF($O831="","",INDEX(Firms!$O$5:$O$1004,$O831)&amp;"")</f>
        <v/>
      </c>
      <c r="F831" s="50">
        <f>IF($O831="","",IF(INDEX(Firms!$F$5:$F$1004,$O831)="","—",INDEX(Firms!$F$5:$F$1004,$O831)))</f>
        <v/>
      </c>
      <c r="G831" s="50">
        <f>IF($O831="","",IF(INDEX(Firms!$G$5:$G$1004,$O831)="","—",INDEX(Firms!$G$5:$G$1004,$O831)))</f>
        <v/>
      </c>
      <c r="H831" s="50">
        <f>IF($O831="","",IF(INDEX(Firms!$H$5:$H$1004,$O831)="","—",INDEX(Firms!$H$5:$H$1004,$O831)))</f>
        <v/>
      </c>
      <c r="I831" s="50">
        <f>IF($O831="","",IF(INDEX(Firms!$I$5:$I$1004,$O831)="","—",INDEX(Firms!$I$5:$I$1004,$O831)))</f>
        <v/>
      </c>
      <c r="J831" s="50">
        <f>IF($O831="","",IF(INDEX(Firms!$J$5:$J$1004,$O831)="","—",INDEX(Firms!$J$5:$J$1004,$O831)))</f>
        <v/>
      </c>
      <c r="K831" s="50">
        <f>IF($O831="","",IF(INDEX(Firms!$K$5:$K$1004,$O831)="","—",INDEX(Firms!$K$5:$K$1004,$O831)))</f>
        <v/>
      </c>
      <c r="L831" s="50">
        <f>IF($O831="","",IF(INDEX(Firms!$L$5:$L$1004,$O831)="","—",INDEX(Firms!$L$5:$L$1004,$O831)))</f>
        <v/>
      </c>
      <c r="M831" s="50">
        <f>IF($O831="","",IF(INDEX(Firms!$M$5:$M$1004,$O831)="","—",INDEX(Firms!$M$5:$M$1004,$O831)))</f>
        <v/>
      </c>
      <c r="O831">
        <f>IFERROR(MATCH(SMALL(Firms!$Y$5:$Y$1004,823),Firms!$W$5:$W$1004,0),"")</f>
        <v/>
      </c>
    </row>
    <row r="832">
      <c r="B832" s="78">
        <f>IF($O832="","",INDEX(Firms!$A$5:$A$1004,$O832))</f>
        <v/>
      </c>
      <c r="C832" s="79">
        <f>IF($O832="","",INDEX(Firms!$N$5:$N$1004,$O832)&amp;"")</f>
        <v/>
      </c>
      <c r="D832" s="79">
        <f>IF($O832="","",INDEX(Firms!$P$5:$P$1004,$O832)&amp;"")</f>
        <v/>
      </c>
      <c r="E832" s="79">
        <f>IF($O832="","",INDEX(Firms!$O$5:$O$1004,$O832)&amp;"")</f>
        <v/>
      </c>
      <c r="F832" s="50">
        <f>IF($O832="","",IF(INDEX(Firms!$F$5:$F$1004,$O832)="","—",INDEX(Firms!$F$5:$F$1004,$O832)))</f>
        <v/>
      </c>
      <c r="G832" s="50">
        <f>IF($O832="","",IF(INDEX(Firms!$G$5:$G$1004,$O832)="","—",INDEX(Firms!$G$5:$G$1004,$O832)))</f>
        <v/>
      </c>
      <c r="H832" s="50">
        <f>IF($O832="","",IF(INDEX(Firms!$H$5:$H$1004,$O832)="","—",INDEX(Firms!$H$5:$H$1004,$O832)))</f>
        <v/>
      </c>
      <c r="I832" s="50">
        <f>IF($O832="","",IF(INDEX(Firms!$I$5:$I$1004,$O832)="","—",INDEX(Firms!$I$5:$I$1004,$O832)))</f>
        <v/>
      </c>
      <c r="J832" s="50">
        <f>IF($O832="","",IF(INDEX(Firms!$J$5:$J$1004,$O832)="","—",INDEX(Firms!$J$5:$J$1004,$O832)))</f>
        <v/>
      </c>
      <c r="K832" s="50">
        <f>IF($O832="","",IF(INDEX(Firms!$K$5:$K$1004,$O832)="","—",INDEX(Firms!$K$5:$K$1004,$O832)))</f>
        <v/>
      </c>
      <c r="L832" s="50">
        <f>IF($O832="","",IF(INDEX(Firms!$L$5:$L$1004,$O832)="","—",INDEX(Firms!$L$5:$L$1004,$O832)))</f>
        <v/>
      </c>
      <c r="M832" s="50">
        <f>IF($O832="","",IF(INDEX(Firms!$M$5:$M$1004,$O832)="","—",INDEX(Firms!$M$5:$M$1004,$O832)))</f>
        <v/>
      </c>
      <c r="O832">
        <f>IFERROR(MATCH(SMALL(Firms!$Y$5:$Y$1004,824),Firms!$W$5:$W$1004,0),"")</f>
        <v/>
      </c>
    </row>
    <row r="833">
      <c r="B833" s="78">
        <f>IF($O833="","",INDEX(Firms!$A$5:$A$1004,$O833))</f>
        <v/>
      </c>
      <c r="C833" s="79">
        <f>IF($O833="","",INDEX(Firms!$N$5:$N$1004,$O833)&amp;"")</f>
        <v/>
      </c>
      <c r="D833" s="79">
        <f>IF($O833="","",INDEX(Firms!$P$5:$P$1004,$O833)&amp;"")</f>
        <v/>
      </c>
      <c r="E833" s="79">
        <f>IF($O833="","",INDEX(Firms!$O$5:$O$1004,$O833)&amp;"")</f>
        <v/>
      </c>
      <c r="F833" s="50">
        <f>IF($O833="","",IF(INDEX(Firms!$F$5:$F$1004,$O833)="","—",INDEX(Firms!$F$5:$F$1004,$O833)))</f>
        <v/>
      </c>
      <c r="G833" s="50">
        <f>IF($O833="","",IF(INDEX(Firms!$G$5:$G$1004,$O833)="","—",INDEX(Firms!$G$5:$G$1004,$O833)))</f>
        <v/>
      </c>
      <c r="H833" s="50">
        <f>IF($O833="","",IF(INDEX(Firms!$H$5:$H$1004,$O833)="","—",INDEX(Firms!$H$5:$H$1004,$O833)))</f>
        <v/>
      </c>
      <c r="I833" s="50">
        <f>IF($O833="","",IF(INDEX(Firms!$I$5:$I$1004,$O833)="","—",INDEX(Firms!$I$5:$I$1004,$O833)))</f>
        <v/>
      </c>
      <c r="J833" s="50">
        <f>IF($O833="","",IF(INDEX(Firms!$J$5:$J$1004,$O833)="","—",INDEX(Firms!$J$5:$J$1004,$O833)))</f>
        <v/>
      </c>
      <c r="K833" s="50">
        <f>IF($O833="","",IF(INDEX(Firms!$K$5:$K$1004,$O833)="","—",INDEX(Firms!$K$5:$K$1004,$O833)))</f>
        <v/>
      </c>
      <c r="L833" s="50">
        <f>IF($O833="","",IF(INDEX(Firms!$L$5:$L$1004,$O833)="","—",INDEX(Firms!$L$5:$L$1004,$O833)))</f>
        <v/>
      </c>
      <c r="M833" s="50">
        <f>IF($O833="","",IF(INDEX(Firms!$M$5:$M$1004,$O833)="","—",INDEX(Firms!$M$5:$M$1004,$O833)))</f>
        <v/>
      </c>
      <c r="O833">
        <f>IFERROR(MATCH(SMALL(Firms!$Y$5:$Y$1004,825),Firms!$W$5:$W$1004,0),"")</f>
        <v/>
      </c>
    </row>
    <row r="834">
      <c r="B834" s="78">
        <f>IF($O834="","",INDEX(Firms!$A$5:$A$1004,$O834))</f>
        <v/>
      </c>
      <c r="C834" s="79">
        <f>IF($O834="","",INDEX(Firms!$N$5:$N$1004,$O834)&amp;"")</f>
        <v/>
      </c>
      <c r="D834" s="79">
        <f>IF($O834="","",INDEX(Firms!$P$5:$P$1004,$O834)&amp;"")</f>
        <v/>
      </c>
      <c r="E834" s="79">
        <f>IF($O834="","",INDEX(Firms!$O$5:$O$1004,$O834)&amp;"")</f>
        <v/>
      </c>
      <c r="F834" s="50">
        <f>IF($O834="","",IF(INDEX(Firms!$F$5:$F$1004,$O834)="","—",INDEX(Firms!$F$5:$F$1004,$O834)))</f>
        <v/>
      </c>
      <c r="G834" s="50">
        <f>IF($O834="","",IF(INDEX(Firms!$G$5:$G$1004,$O834)="","—",INDEX(Firms!$G$5:$G$1004,$O834)))</f>
        <v/>
      </c>
      <c r="H834" s="50">
        <f>IF($O834="","",IF(INDEX(Firms!$H$5:$H$1004,$O834)="","—",INDEX(Firms!$H$5:$H$1004,$O834)))</f>
        <v/>
      </c>
      <c r="I834" s="50">
        <f>IF($O834="","",IF(INDEX(Firms!$I$5:$I$1004,$O834)="","—",INDEX(Firms!$I$5:$I$1004,$O834)))</f>
        <v/>
      </c>
      <c r="J834" s="50">
        <f>IF($O834="","",IF(INDEX(Firms!$J$5:$J$1004,$O834)="","—",INDEX(Firms!$J$5:$J$1004,$O834)))</f>
        <v/>
      </c>
      <c r="K834" s="50">
        <f>IF($O834="","",IF(INDEX(Firms!$K$5:$K$1004,$O834)="","—",INDEX(Firms!$K$5:$K$1004,$O834)))</f>
        <v/>
      </c>
      <c r="L834" s="50">
        <f>IF($O834="","",IF(INDEX(Firms!$L$5:$L$1004,$O834)="","—",INDEX(Firms!$L$5:$L$1004,$O834)))</f>
        <v/>
      </c>
      <c r="M834" s="50">
        <f>IF($O834="","",IF(INDEX(Firms!$M$5:$M$1004,$O834)="","—",INDEX(Firms!$M$5:$M$1004,$O834)))</f>
        <v/>
      </c>
      <c r="O834">
        <f>IFERROR(MATCH(SMALL(Firms!$Y$5:$Y$1004,826),Firms!$W$5:$W$1004,0),"")</f>
        <v/>
      </c>
    </row>
    <row r="835">
      <c r="B835" s="78">
        <f>IF($O835="","",INDEX(Firms!$A$5:$A$1004,$O835))</f>
        <v/>
      </c>
      <c r="C835" s="79">
        <f>IF($O835="","",INDEX(Firms!$N$5:$N$1004,$O835)&amp;"")</f>
        <v/>
      </c>
      <c r="D835" s="79">
        <f>IF($O835="","",INDEX(Firms!$P$5:$P$1004,$O835)&amp;"")</f>
        <v/>
      </c>
      <c r="E835" s="79">
        <f>IF($O835="","",INDEX(Firms!$O$5:$O$1004,$O835)&amp;"")</f>
        <v/>
      </c>
      <c r="F835" s="50">
        <f>IF($O835="","",IF(INDEX(Firms!$F$5:$F$1004,$O835)="","—",INDEX(Firms!$F$5:$F$1004,$O835)))</f>
        <v/>
      </c>
      <c r="G835" s="50">
        <f>IF($O835="","",IF(INDEX(Firms!$G$5:$G$1004,$O835)="","—",INDEX(Firms!$G$5:$G$1004,$O835)))</f>
        <v/>
      </c>
      <c r="H835" s="50">
        <f>IF($O835="","",IF(INDEX(Firms!$H$5:$H$1004,$O835)="","—",INDEX(Firms!$H$5:$H$1004,$O835)))</f>
        <v/>
      </c>
      <c r="I835" s="50">
        <f>IF($O835="","",IF(INDEX(Firms!$I$5:$I$1004,$O835)="","—",INDEX(Firms!$I$5:$I$1004,$O835)))</f>
        <v/>
      </c>
      <c r="J835" s="50">
        <f>IF($O835="","",IF(INDEX(Firms!$J$5:$J$1004,$O835)="","—",INDEX(Firms!$J$5:$J$1004,$O835)))</f>
        <v/>
      </c>
      <c r="K835" s="50">
        <f>IF($O835="","",IF(INDEX(Firms!$K$5:$K$1004,$O835)="","—",INDEX(Firms!$K$5:$K$1004,$O835)))</f>
        <v/>
      </c>
      <c r="L835" s="50">
        <f>IF($O835="","",IF(INDEX(Firms!$L$5:$L$1004,$O835)="","—",INDEX(Firms!$L$5:$L$1004,$O835)))</f>
        <v/>
      </c>
      <c r="M835" s="50">
        <f>IF($O835="","",IF(INDEX(Firms!$M$5:$M$1004,$O835)="","—",INDEX(Firms!$M$5:$M$1004,$O835)))</f>
        <v/>
      </c>
      <c r="O835">
        <f>IFERROR(MATCH(SMALL(Firms!$Y$5:$Y$1004,827),Firms!$W$5:$W$1004,0),"")</f>
        <v/>
      </c>
    </row>
    <row r="836">
      <c r="B836" s="78">
        <f>IF($O836="","",INDEX(Firms!$A$5:$A$1004,$O836))</f>
        <v/>
      </c>
      <c r="C836" s="79">
        <f>IF($O836="","",INDEX(Firms!$N$5:$N$1004,$O836)&amp;"")</f>
        <v/>
      </c>
      <c r="D836" s="79">
        <f>IF($O836="","",INDEX(Firms!$P$5:$P$1004,$O836)&amp;"")</f>
        <v/>
      </c>
      <c r="E836" s="79">
        <f>IF($O836="","",INDEX(Firms!$O$5:$O$1004,$O836)&amp;"")</f>
        <v/>
      </c>
      <c r="F836" s="50">
        <f>IF($O836="","",IF(INDEX(Firms!$F$5:$F$1004,$O836)="","—",INDEX(Firms!$F$5:$F$1004,$O836)))</f>
        <v/>
      </c>
      <c r="G836" s="50">
        <f>IF($O836="","",IF(INDEX(Firms!$G$5:$G$1004,$O836)="","—",INDEX(Firms!$G$5:$G$1004,$O836)))</f>
        <v/>
      </c>
      <c r="H836" s="50">
        <f>IF($O836="","",IF(INDEX(Firms!$H$5:$H$1004,$O836)="","—",INDEX(Firms!$H$5:$H$1004,$O836)))</f>
        <v/>
      </c>
      <c r="I836" s="50">
        <f>IF($O836="","",IF(INDEX(Firms!$I$5:$I$1004,$O836)="","—",INDEX(Firms!$I$5:$I$1004,$O836)))</f>
        <v/>
      </c>
      <c r="J836" s="50">
        <f>IF($O836="","",IF(INDEX(Firms!$J$5:$J$1004,$O836)="","—",INDEX(Firms!$J$5:$J$1004,$O836)))</f>
        <v/>
      </c>
      <c r="K836" s="50">
        <f>IF($O836="","",IF(INDEX(Firms!$K$5:$K$1004,$O836)="","—",INDEX(Firms!$K$5:$K$1004,$O836)))</f>
        <v/>
      </c>
      <c r="L836" s="50">
        <f>IF($O836="","",IF(INDEX(Firms!$L$5:$L$1004,$O836)="","—",INDEX(Firms!$L$5:$L$1004,$O836)))</f>
        <v/>
      </c>
      <c r="M836" s="50">
        <f>IF($O836="","",IF(INDEX(Firms!$M$5:$M$1004,$O836)="","—",INDEX(Firms!$M$5:$M$1004,$O836)))</f>
        <v/>
      </c>
      <c r="O836">
        <f>IFERROR(MATCH(SMALL(Firms!$Y$5:$Y$1004,828),Firms!$W$5:$W$1004,0),"")</f>
        <v/>
      </c>
    </row>
    <row r="837">
      <c r="B837" s="78">
        <f>IF($O837="","",INDEX(Firms!$A$5:$A$1004,$O837))</f>
        <v/>
      </c>
      <c r="C837" s="79">
        <f>IF($O837="","",INDEX(Firms!$N$5:$N$1004,$O837)&amp;"")</f>
        <v/>
      </c>
      <c r="D837" s="79">
        <f>IF($O837="","",INDEX(Firms!$P$5:$P$1004,$O837)&amp;"")</f>
        <v/>
      </c>
      <c r="E837" s="79">
        <f>IF($O837="","",INDEX(Firms!$O$5:$O$1004,$O837)&amp;"")</f>
        <v/>
      </c>
      <c r="F837" s="50">
        <f>IF($O837="","",IF(INDEX(Firms!$F$5:$F$1004,$O837)="","—",INDEX(Firms!$F$5:$F$1004,$O837)))</f>
        <v/>
      </c>
      <c r="G837" s="50">
        <f>IF($O837="","",IF(INDEX(Firms!$G$5:$G$1004,$O837)="","—",INDEX(Firms!$G$5:$G$1004,$O837)))</f>
        <v/>
      </c>
      <c r="H837" s="50">
        <f>IF($O837="","",IF(INDEX(Firms!$H$5:$H$1004,$O837)="","—",INDEX(Firms!$H$5:$H$1004,$O837)))</f>
        <v/>
      </c>
      <c r="I837" s="50">
        <f>IF($O837="","",IF(INDEX(Firms!$I$5:$I$1004,$O837)="","—",INDEX(Firms!$I$5:$I$1004,$O837)))</f>
        <v/>
      </c>
      <c r="J837" s="50">
        <f>IF($O837="","",IF(INDEX(Firms!$J$5:$J$1004,$O837)="","—",INDEX(Firms!$J$5:$J$1004,$O837)))</f>
        <v/>
      </c>
      <c r="K837" s="50">
        <f>IF($O837="","",IF(INDEX(Firms!$K$5:$K$1004,$O837)="","—",INDEX(Firms!$K$5:$K$1004,$O837)))</f>
        <v/>
      </c>
      <c r="L837" s="50">
        <f>IF($O837="","",IF(INDEX(Firms!$L$5:$L$1004,$O837)="","—",INDEX(Firms!$L$5:$L$1004,$O837)))</f>
        <v/>
      </c>
      <c r="M837" s="50">
        <f>IF($O837="","",IF(INDEX(Firms!$M$5:$M$1004,$O837)="","—",INDEX(Firms!$M$5:$M$1004,$O837)))</f>
        <v/>
      </c>
      <c r="O837">
        <f>IFERROR(MATCH(SMALL(Firms!$Y$5:$Y$1004,829),Firms!$W$5:$W$1004,0),"")</f>
        <v/>
      </c>
    </row>
    <row r="838">
      <c r="B838" s="78">
        <f>IF($O838="","",INDEX(Firms!$A$5:$A$1004,$O838))</f>
        <v/>
      </c>
      <c r="C838" s="79">
        <f>IF($O838="","",INDEX(Firms!$N$5:$N$1004,$O838)&amp;"")</f>
        <v/>
      </c>
      <c r="D838" s="79">
        <f>IF($O838="","",INDEX(Firms!$P$5:$P$1004,$O838)&amp;"")</f>
        <v/>
      </c>
      <c r="E838" s="79">
        <f>IF($O838="","",INDEX(Firms!$O$5:$O$1004,$O838)&amp;"")</f>
        <v/>
      </c>
      <c r="F838" s="50">
        <f>IF($O838="","",IF(INDEX(Firms!$F$5:$F$1004,$O838)="","—",INDEX(Firms!$F$5:$F$1004,$O838)))</f>
        <v/>
      </c>
      <c r="G838" s="50">
        <f>IF($O838="","",IF(INDEX(Firms!$G$5:$G$1004,$O838)="","—",INDEX(Firms!$G$5:$G$1004,$O838)))</f>
        <v/>
      </c>
      <c r="H838" s="50">
        <f>IF($O838="","",IF(INDEX(Firms!$H$5:$H$1004,$O838)="","—",INDEX(Firms!$H$5:$H$1004,$O838)))</f>
        <v/>
      </c>
      <c r="I838" s="50">
        <f>IF($O838="","",IF(INDEX(Firms!$I$5:$I$1004,$O838)="","—",INDEX(Firms!$I$5:$I$1004,$O838)))</f>
        <v/>
      </c>
      <c r="J838" s="50">
        <f>IF($O838="","",IF(INDEX(Firms!$J$5:$J$1004,$O838)="","—",INDEX(Firms!$J$5:$J$1004,$O838)))</f>
        <v/>
      </c>
      <c r="K838" s="50">
        <f>IF($O838="","",IF(INDEX(Firms!$K$5:$K$1004,$O838)="","—",INDEX(Firms!$K$5:$K$1004,$O838)))</f>
        <v/>
      </c>
      <c r="L838" s="50">
        <f>IF($O838="","",IF(INDEX(Firms!$L$5:$L$1004,$O838)="","—",INDEX(Firms!$L$5:$L$1004,$O838)))</f>
        <v/>
      </c>
      <c r="M838" s="50">
        <f>IF($O838="","",IF(INDEX(Firms!$M$5:$M$1004,$O838)="","—",INDEX(Firms!$M$5:$M$1004,$O838)))</f>
        <v/>
      </c>
      <c r="O838">
        <f>IFERROR(MATCH(SMALL(Firms!$Y$5:$Y$1004,830),Firms!$W$5:$W$1004,0),"")</f>
        <v/>
      </c>
    </row>
    <row r="839">
      <c r="B839" s="78">
        <f>IF($O839="","",INDEX(Firms!$A$5:$A$1004,$O839))</f>
        <v/>
      </c>
      <c r="C839" s="79">
        <f>IF($O839="","",INDEX(Firms!$N$5:$N$1004,$O839)&amp;"")</f>
        <v/>
      </c>
      <c r="D839" s="79">
        <f>IF($O839="","",INDEX(Firms!$P$5:$P$1004,$O839)&amp;"")</f>
        <v/>
      </c>
      <c r="E839" s="79">
        <f>IF($O839="","",INDEX(Firms!$O$5:$O$1004,$O839)&amp;"")</f>
        <v/>
      </c>
      <c r="F839" s="50">
        <f>IF($O839="","",IF(INDEX(Firms!$F$5:$F$1004,$O839)="","—",INDEX(Firms!$F$5:$F$1004,$O839)))</f>
        <v/>
      </c>
      <c r="G839" s="50">
        <f>IF($O839="","",IF(INDEX(Firms!$G$5:$G$1004,$O839)="","—",INDEX(Firms!$G$5:$G$1004,$O839)))</f>
        <v/>
      </c>
      <c r="H839" s="50">
        <f>IF($O839="","",IF(INDEX(Firms!$H$5:$H$1004,$O839)="","—",INDEX(Firms!$H$5:$H$1004,$O839)))</f>
        <v/>
      </c>
      <c r="I839" s="50">
        <f>IF($O839="","",IF(INDEX(Firms!$I$5:$I$1004,$O839)="","—",INDEX(Firms!$I$5:$I$1004,$O839)))</f>
        <v/>
      </c>
      <c r="J839" s="50">
        <f>IF($O839="","",IF(INDEX(Firms!$J$5:$J$1004,$O839)="","—",INDEX(Firms!$J$5:$J$1004,$O839)))</f>
        <v/>
      </c>
      <c r="K839" s="50">
        <f>IF($O839="","",IF(INDEX(Firms!$K$5:$K$1004,$O839)="","—",INDEX(Firms!$K$5:$K$1004,$O839)))</f>
        <v/>
      </c>
      <c r="L839" s="50">
        <f>IF($O839="","",IF(INDEX(Firms!$L$5:$L$1004,$O839)="","—",INDEX(Firms!$L$5:$L$1004,$O839)))</f>
        <v/>
      </c>
      <c r="M839" s="50">
        <f>IF($O839="","",IF(INDEX(Firms!$M$5:$M$1004,$O839)="","—",INDEX(Firms!$M$5:$M$1004,$O839)))</f>
        <v/>
      </c>
      <c r="O839">
        <f>IFERROR(MATCH(SMALL(Firms!$Y$5:$Y$1004,831),Firms!$W$5:$W$1004,0),"")</f>
        <v/>
      </c>
    </row>
    <row r="840">
      <c r="B840" s="78">
        <f>IF($O840="","",INDEX(Firms!$A$5:$A$1004,$O840))</f>
        <v/>
      </c>
      <c r="C840" s="79">
        <f>IF($O840="","",INDEX(Firms!$N$5:$N$1004,$O840)&amp;"")</f>
        <v/>
      </c>
      <c r="D840" s="79">
        <f>IF($O840="","",INDEX(Firms!$P$5:$P$1004,$O840)&amp;"")</f>
        <v/>
      </c>
      <c r="E840" s="79">
        <f>IF($O840="","",INDEX(Firms!$O$5:$O$1004,$O840)&amp;"")</f>
        <v/>
      </c>
      <c r="F840" s="50">
        <f>IF($O840="","",IF(INDEX(Firms!$F$5:$F$1004,$O840)="","—",INDEX(Firms!$F$5:$F$1004,$O840)))</f>
        <v/>
      </c>
      <c r="G840" s="50">
        <f>IF($O840="","",IF(INDEX(Firms!$G$5:$G$1004,$O840)="","—",INDEX(Firms!$G$5:$G$1004,$O840)))</f>
        <v/>
      </c>
      <c r="H840" s="50">
        <f>IF($O840="","",IF(INDEX(Firms!$H$5:$H$1004,$O840)="","—",INDEX(Firms!$H$5:$H$1004,$O840)))</f>
        <v/>
      </c>
      <c r="I840" s="50">
        <f>IF($O840="","",IF(INDEX(Firms!$I$5:$I$1004,$O840)="","—",INDEX(Firms!$I$5:$I$1004,$O840)))</f>
        <v/>
      </c>
      <c r="J840" s="50">
        <f>IF($O840="","",IF(INDEX(Firms!$J$5:$J$1004,$O840)="","—",INDEX(Firms!$J$5:$J$1004,$O840)))</f>
        <v/>
      </c>
      <c r="K840" s="50">
        <f>IF($O840="","",IF(INDEX(Firms!$K$5:$K$1004,$O840)="","—",INDEX(Firms!$K$5:$K$1004,$O840)))</f>
        <v/>
      </c>
      <c r="L840" s="50">
        <f>IF($O840="","",IF(INDEX(Firms!$L$5:$L$1004,$O840)="","—",INDEX(Firms!$L$5:$L$1004,$O840)))</f>
        <v/>
      </c>
      <c r="M840" s="50">
        <f>IF($O840="","",IF(INDEX(Firms!$M$5:$M$1004,$O840)="","—",INDEX(Firms!$M$5:$M$1004,$O840)))</f>
        <v/>
      </c>
      <c r="O840">
        <f>IFERROR(MATCH(SMALL(Firms!$Y$5:$Y$1004,832),Firms!$W$5:$W$1004,0),"")</f>
        <v/>
      </c>
    </row>
    <row r="841">
      <c r="B841" s="78">
        <f>IF($O841="","",INDEX(Firms!$A$5:$A$1004,$O841))</f>
        <v/>
      </c>
      <c r="C841" s="79">
        <f>IF($O841="","",INDEX(Firms!$N$5:$N$1004,$O841)&amp;"")</f>
        <v/>
      </c>
      <c r="D841" s="79">
        <f>IF($O841="","",INDEX(Firms!$P$5:$P$1004,$O841)&amp;"")</f>
        <v/>
      </c>
      <c r="E841" s="79">
        <f>IF($O841="","",INDEX(Firms!$O$5:$O$1004,$O841)&amp;"")</f>
        <v/>
      </c>
      <c r="F841" s="50">
        <f>IF($O841="","",IF(INDEX(Firms!$F$5:$F$1004,$O841)="","—",INDEX(Firms!$F$5:$F$1004,$O841)))</f>
        <v/>
      </c>
      <c r="G841" s="50">
        <f>IF($O841="","",IF(INDEX(Firms!$G$5:$G$1004,$O841)="","—",INDEX(Firms!$G$5:$G$1004,$O841)))</f>
        <v/>
      </c>
      <c r="H841" s="50">
        <f>IF($O841="","",IF(INDEX(Firms!$H$5:$H$1004,$O841)="","—",INDEX(Firms!$H$5:$H$1004,$O841)))</f>
        <v/>
      </c>
      <c r="I841" s="50">
        <f>IF($O841="","",IF(INDEX(Firms!$I$5:$I$1004,$O841)="","—",INDEX(Firms!$I$5:$I$1004,$O841)))</f>
        <v/>
      </c>
      <c r="J841" s="50">
        <f>IF($O841="","",IF(INDEX(Firms!$J$5:$J$1004,$O841)="","—",INDEX(Firms!$J$5:$J$1004,$O841)))</f>
        <v/>
      </c>
      <c r="K841" s="50">
        <f>IF($O841="","",IF(INDEX(Firms!$K$5:$K$1004,$O841)="","—",INDEX(Firms!$K$5:$K$1004,$O841)))</f>
        <v/>
      </c>
      <c r="L841" s="50">
        <f>IF($O841="","",IF(INDEX(Firms!$L$5:$L$1004,$O841)="","—",INDEX(Firms!$L$5:$L$1004,$O841)))</f>
        <v/>
      </c>
      <c r="M841" s="50">
        <f>IF($O841="","",IF(INDEX(Firms!$M$5:$M$1004,$O841)="","—",INDEX(Firms!$M$5:$M$1004,$O841)))</f>
        <v/>
      </c>
      <c r="O841">
        <f>IFERROR(MATCH(SMALL(Firms!$Y$5:$Y$1004,833),Firms!$W$5:$W$1004,0),"")</f>
        <v/>
      </c>
    </row>
    <row r="842">
      <c r="B842" s="78">
        <f>IF($O842="","",INDEX(Firms!$A$5:$A$1004,$O842))</f>
        <v/>
      </c>
      <c r="C842" s="79">
        <f>IF($O842="","",INDEX(Firms!$N$5:$N$1004,$O842)&amp;"")</f>
        <v/>
      </c>
      <c r="D842" s="79">
        <f>IF($O842="","",INDEX(Firms!$P$5:$P$1004,$O842)&amp;"")</f>
        <v/>
      </c>
      <c r="E842" s="79">
        <f>IF($O842="","",INDEX(Firms!$O$5:$O$1004,$O842)&amp;"")</f>
        <v/>
      </c>
      <c r="F842" s="50">
        <f>IF($O842="","",IF(INDEX(Firms!$F$5:$F$1004,$O842)="","—",INDEX(Firms!$F$5:$F$1004,$O842)))</f>
        <v/>
      </c>
      <c r="G842" s="50">
        <f>IF($O842="","",IF(INDEX(Firms!$G$5:$G$1004,$O842)="","—",INDEX(Firms!$G$5:$G$1004,$O842)))</f>
        <v/>
      </c>
      <c r="H842" s="50">
        <f>IF($O842="","",IF(INDEX(Firms!$H$5:$H$1004,$O842)="","—",INDEX(Firms!$H$5:$H$1004,$O842)))</f>
        <v/>
      </c>
      <c r="I842" s="50">
        <f>IF($O842="","",IF(INDEX(Firms!$I$5:$I$1004,$O842)="","—",INDEX(Firms!$I$5:$I$1004,$O842)))</f>
        <v/>
      </c>
      <c r="J842" s="50">
        <f>IF($O842="","",IF(INDEX(Firms!$J$5:$J$1004,$O842)="","—",INDEX(Firms!$J$5:$J$1004,$O842)))</f>
        <v/>
      </c>
      <c r="K842" s="50">
        <f>IF($O842="","",IF(INDEX(Firms!$K$5:$K$1004,$O842)="","—",INDEX(Firms!$K$5:$K$1004,$O842)))</f>
        <v/>
      </c>
      <c r="L842" s="50">
        <f>IF($O842="","",IF(INDEX(Firms!$L$5:$L$1004,$O842)="","—",INDEX(Firms!$L$5:$L$1004,$O842)))</f>
        <v/>
      </c>
      <c r="M842" s="50">
        <f>IF($O842="","",IF(INDEX(Firms!$M$5:$M$1004,$O842)="","—",INDEX(Firms!$M$5:$M$1004,$O842)))</f>
        <v/>
      </c>
      <c r="O842">
        <f>IFERROR(MATCH(SMALL(Firms!$Y$5:$Y$1004,834),Firms!$W$5:$W$1004,0),"")</f>
        <v/>
      </c>
    </row>
    <row r="843">
      <c r="B843" s="78">
        <f>IF($O843="","",INDEX(Firms!$A$5:$A$1004,$O843))</f>
        <v/>
      </c>
      <c r="C843" s="79">
        <f>IF($O843="","",INDEX(Firms!$N$5:$N$1004,$O843)&amp;"")</f>
        <v/>
      </c>
      <c r="D843" s="79">
        <f>IF($O843="","",INDEX(Firms!$P$5:$P$1004,$O843)&amp;"")</f>
        <v/>
      </c>
      <c r="E843" s="79">
        <f>IF($O843="","",INDEX(Firms!$O$5:$O$1004,$O843)&amp;"")</f>
        <v/>
      </c>
      <c r="F843" s="50">
        <f>IF($O843="","",IF(INDEX(Firms!$F$5:$F$1004,$O843)="","—",INDEX(Firms!$F$5:$F$1004,$O843)))</f>
        <v/>
      </c>
      <c r="G843" s="50">
        <f>IF($O843="","",IF(INDEX(Firms!$G$5:$G$1004,$O843)="","—",INDEX(Firms!$G$5:$G$1004,$O843)))</f>
        <v/>
      </c>
      <c r="H843" s="50">
        <f>IF($O843="","",IF(INDEX(Firms!$H$5:$H$1004,$O843)="","—",INDEX(Firms!$H$5:$H$1004,$O843)))</f>
        <v/>
      </c>
      <c r="I843" s="50">
        <f>IF($O843="","",IF(INDEX(Firms!$I$5:$I$1004,$O843)="","—",INDEX(Firms!$I$5:$I$1004,$O843)))</f>
        <v/>
      </c>
      <c r="J843" s="50">
        <f>IF($O843="","",IF(INDEX(Firms!$J$5:$J$1004,$O843)="","—",INDEX(Firms!$J$5:$J$1004,$O843)))</f>
        <v/>
      </c>
      <c r="K843" s="50">
        <f>IF($O843="","",IF(INDEX(Firms!$K$5:$K$1004,$O843)="","—",INDEX(Firms!$K$5:$K$1004,$O843)))</f>
        <v/>
      </c>
      <c r="L843" s="50">
        <f>IF($O843="","",IF(INDEX(Firms!$L$5:$L$1004,$O843)="","—",INDEX(Firms!$L$5:$L$1004,$O843)))</f>
        <v/>
      </c>
      <c r="M843" s="50">
        <f>IF($O843="","",IF(INDEX(Firms!$M$5:$M$1004,$O843)="","—",INDEX(Firms!$M$5:$M$1004,$O843)))</f>
        <v/>
      </c>
      <c r="O843">
        <f>IFERROR(MATCH(SMALL(Firms!$Y$5:$Y$1004,835),Firms!$W$5:$W$1004,0),"")</f>
        <v/>
      </c>
    </row>
    <row r="844">
      <c r="B844" s="78">
        <f>IF($O844="","",INDEX(Firms!$A$5:$A$1004,$O844))</f>
        <v/>
      </c>
      <c r="C844" s="79">
        <f>IF($O844="","",INDEX(Firms!$N$5:$N$1004,$O844)&amp;"")</f>
        <v/>
      </c>
      <c r="D844" s="79">
        <f>IF($O844="","",INDEX(Firms!$P$5:$P$1004,$O844)&amp;"")</f>
        <v/>
      </c>
      <c r="E844" s="79">
        <f>IF($O844="","",INDEX(Firms!$O$5:$O$1004,$O844)&amp;"")</f>
        <v/>
      </c>
      <c r="F844" s="50">
        <f>IF($O844="","",IF(INDEX(Firms!$F$5:$F$1004,$O844)="","—",INDEX(Firms!$F$5:$F$1004,$O844)))</f>
        <v/>
      </c>
      <c r="G844" s="50">
        <f>IF($O844="","",IF(INDEX(Firms!$G$5:$G$1004,$O844)="","—",INDEX(Firms!$G$5:$G$1004,$O844)))</f>
        <v/>
      </c>
      <c r="H844" s="50">
        <f>IF($O844="","",IF(INDEX(Firms!$H$5:$H$1004,$O844)="","—",INDEX(Firms!$H$5:$H$1004,$O844)))</f>
        <v/>
      </c>
      <c r="I844" s="50">
        <f>IF($O844="","",IF(INDEX(Firms!$I$5:$I$1004,$O844)="","—",INDEX(Firms!$I$5:$I$1004,$O844)))</f>
        <v/>
      </c>
      <c r="J844" s="50">
        <f>IF($O844="","",IF(INDEX(Firms!$J$5:$J$1004,$O844)="","—",INDEX(Firms!$J$5:$J$1004,$O844)))</f>
        <v/>
      </c>
      <c r="K844" s="50">
        <f>IF($O844="","",IF(INDEX(Firms!$K$5:$K$1004,$O844)="","—",INDEX(Firms!$K$5:$K$1004,$O844)))</f>
        <v/>
      </c>
      <c r="L844" s="50">
        <f>IF($O844="","",IF(INDEX(Firms!$L$5:$L$1004,$O844)="","—",INDEX(Firms!$L$5:$L$1004,$O844)))</f>
        <v/>
      </c>
      <c r="M844" s="50">
        <f>IF($O844="","",IF(INDEX(Firms!$M$5:$M$1004,$O844)="","—",INDEX(Firms!$M$5:$M$1004,$O844)))</f>
        <v/>
      </c>
      <c r="O844">
        <f>IFERROR(MATCH(SMALL(Firms!$Y$5:$Y$1004,836),Firms!$W$5:$W$1004,0),"")</f>
        <v/>
      </c>
    </row>
    <row r="845">
      <c r="B845" s="78">
        <f>IF($O845="","",INDEX(Firms!$A$5:$A$1004,$O845))</f>
        <v/>
      </c>
      <c r="C845" s="79">
        <f>IF($O845="","",INDEX(Firms!$N$5:$N$1004,$O845)&amp;"")</f>
        <v/>
      </c>
      <c r="D845" s="79">
        <f>IF($O845="","",INDEX(Firms!$P$5:$P$1004,$O845)&amp;"")</f>
        <v/>
      </c>
      <c r="E845" s="79">
        <f>IF($O845="","",INDEX(Firms!$O$5:$O$1004,$O845)&amp;"")</f>
        <v/>
      </c>
      <c r="F845" s="50">
        <f>IF($O845="","",IF(INDEX(Firms!$F$5:$F$1004,$O845)="","—",INDEX(Firms!$F$5:$F$1004,$O845)))</f>
        <v/>
      </c>
      <c r="G845" s="50">
        <f>IF($O845="","",IF(INDEX(Firms!$G$5:$G$1004,$O845)="","—",INDEX(Firms!$G$5:$G$1004,$O845)))</f>
        <v/>
      </c>
      <c r="H845" s="50">
        <f>IF($O845="","",IF(INDEX(Firms!$H$5:$H$1004,$O845)="","—",INDEX(Firms!$H$5:$H$1004,$O845)))</f>
        <v/>
      </c>
      <c r="I845" s="50">
        <f>IF($O845="","",IF(INDEX(Firms!$I$5:$I$1004,$O845)="","—",INDEX(Firms!$I$5:$I$1004,$O845)))</f>
        <v/>
      </c>
      <c r="J845" s="50">
        <f>IF($O845="","",IF(INDEX(Firms!$J$5:$J$1004,$O845)="","—",INDEX(Firms!$J$5:$J$1004,$O845)))</f>
        <v/>
      </c>
      <c r="K845" s="50">
        <f>IF($O845="","",IF(INDEX(Firms!$K$5:$K$1004,$O845)="","—",INDEX(Firms!$K$5:$K$1004,$O845)))</f>
        <v/>
      </c>
      <c r="L845" s="50">
        <f>IF($O845="","",IF(INDEX(Firms!$L$5:$L$1004,$O845)="","—",INDEX(Firms!$L$5:$L$1004,$O845)))</f>
        <v/>
      </c>
      <c r="M845" s="50">
        <f>IF($O845="","",IF(INDEX(Firms!$M$5:$M$1004,$O845)="","—",INDEX(Firms!$M$5:$M$1004,$O845)))</f>
        <v/>
      </c>
      <c r="O845">
        <f>IFERROR(MATCH(SMALL(Firms!$Y$5:$Y$1004,837),Firms!$W$5:$W$1004,0),"")</f>
        <v/>
      </c>
    </row>
    <row r="846">
      <c r="B846" s="78">
        <f>IF($O846="","",INDEX(Firms!$A$5:$A$1004,$O846))</f>
        <v/>
      </c>
      <c r="C846" s="79">
        <f>IF($O846="","",INDEX(Firms!$N$5:$N$1004,$O846)&amp;"")</f>
        <v/>
      </c>
      <c r="D846" s="79">
        <f>IF($O846="","",INDEX(Firms!$P$5:$P$1004,$O846)&amp;"")</f>
        <v/>
      </c>
      <c r="E846" s="79">
        <f>IF($O846="","",INDEX(Firms!$O$5:$O$1004,$O846)&amp;"")</f>
        <v/>
      </c>
      <c r="F846" s="50">
        <f>IF($O846="","",IF(INDEX(Firms!$F$5:$F$1004,$O846)="","—",INDEX(Firms!$F$5:$F$1004,$O846)))</f>
        <v/>
      </c>
      <c r="G846" s="50">
        <f>IF($O846="","",IF(INDEX(Firms!$G$5:$G$1004,$O846)="","—",INDEX(Firms!$G$5:$G$1004,$O846)))</f>
        <v/>
      </c>
      <c r="H846" s="50">
        <f>IF($O846="","",IF(INDEX(Firms!$H$5:$H$1004,$O846)="","—",INDEX(Firms!$H$5:$H$1004,$O846)))</f>
        <v/>
      </c>
      <c r="I846" s="50">
        <f>IF($O846="","",IF(INDEX(Firms!$I$5:$I$1004,$O846)="","—",INDEX(Firms!$I$5:$I$1004,$O846)))</f>
        <v/>
      </c>
      <c r="J846" s="50">
        <f>IF($O846="","",IF(INDEX(Firms!$J$5:$J$1004,$O846)="","—",INDEX(Firms!$J$5:$J$1004,$O846)))</f>
        <v/>
      </c>
      <c r="K846" s="50">
        <f>IF($O846="","",IF(INDEX(Firms!$K$5:$K$1004,$O846)="","—",INDEX(Firms!$K$5:$K$1004,$O846)))</f>
        <v/>
      </c>
      <c r="L846" s="50">
        <f>IF($O846="","",IF(INDEX(Firms!$L$5:$L$1004,$O846)="","—",INDEX(Firms!$L$5:$L$1004,$O846)))</f>
        <v/>
      </c>
      <c r="M846" s="50">
        <f>IF($O846="","",IF(INDEX(Firms!$M$5:$M$1004,$O846)="","—",INDEX(Firms!$M$5:$M$1004,$O846)))</f>
        <v/>
      </c>
      <c r="O846">
        <f>IFERROR(MATCH(SMALL(Firms!$Y$5:$Y$1004,838),Firms!$W$5:$W$1004,0),"")</f>
        <v/>
      </c>
    </row>
    <row r="847">
      <c r="B847" s="78">
        <f>IF($O847="","",INDEX(Firms!$A$5:$A$1004,$O847))</f>
        <v/>
      </c>
      <c r="C847" s="79">
        <f>IF($O847="","",INDEX(Firms!$N$5:$N$1004,$O847)&amp;"")</f>
        <v/>
      </c>
      <c r="D847" s="79">
        <f>IF($O847="","",INDEX(Firms!$P$5:$P$1004,$O847)&amp;"")</f>
        <v/>
      </c>
      <c r="E847" s="79">
        <f>IF($O847="","",INDEX(Firms!$O$5:$O$1004,$O847)&amp;"")</f>
        <v/>
      </c>
      <c r="F847" s="50">
        <f>IF($O847="","",IF(INDEX(Firms!$F$5:$F$1004,$O847)="","—",INDEX(Firms!$F$5:$F$1004,$O847)))</f>
        <v/>
      </c>
      <c r="G847" s="50">
        <f>IF($O847="","",IF(INDEX(Firms!$G$5:$G$1004,$O847)="","—",INDEX(Firms!$G$5:$G$1004,$O847)))</f>
        <v/>
      </c>
      <c r="H847" s="50">
        <f>IF($O847="","",IF(INDEX(Firms!$H$5:$H$1004,$O847)="","—",INDEX(Firms!$H$5:$H$1004,$O847)))</f>
        <v/>
      </c>
      <c r="I847" s="50">
        <f>IF($O847="","",IF(INDEX(Firms!$I$5:$I$1004,$O847)="","—",INDEX(Firms!$I$5:$I$1004,$O847)))</f>
        <v/>
      </c>
      <c r="J847" s="50">
        <f>IF($O847="","",IF(INDEX(Firms!$J$5:$J$1004,$O847)="","—",INDEX(Firms!$J$5:$J$1004,$O847)))</f>
        <v/>
      </c>
      <c r="K847" s="50">
        <f>IF($O847="","",IF(INDEX(Firms!$K$5:$K$1004,$O847)="","—",INDEX(Firms!$K$5:$K$1004,$O847)))</f>
        <v/>
      </c>
      <c r="L847" s="50">
        <f>IF($O847="","",IF(INDEX(Firms!$L$5:$L$1004,$O847)="","—",INDEX(Firms!$L$5:$L$1004,$O847)))</f>
        <v/>
      </c>
      <c r="M847" s="50">
        <f>IF($O847="","",IF(INDEX(Firms!$M$5:$M$1004,$O847)="","—",INDEX(Firms!$M$5:$M$1004,$O847)))</f>
        <v/>
      </c>
      <c r="O847">
        <f>IFERROR(MATCH(SMALL(Firms!$Y$5:$Y$1004,839),Firms!$W$5:$W$1004,0),"")</f>
        <v/>
      </c>
    </row>
    <row r="848">
      <c r="B848" s="78">
        <f>IF($O848="","",INDEX(Firms!$A$5:$A$1004,$O848))</f>
        <v/>
      </c>
      <c r="C848" s="79">
        <f>IF($O848="","",INDEX(Firms!$N$5:$N$1004,$O848)&amp;"")</f>
        <v/>
      </c>
      <c r="D848" s="79">
        <f>IF($O848="","",INDEX(Firms!$P$5:$P$1004,$O848)&amp;"")</f>
        <v/>
      </c>
      <c r="E848" s="79">
        <f>IF($O848="","",INDEX(Firms!$O$5:$O$1004,$O848)&amp;"")</f>
        <v/>
      </c>
      <c r="F848" s="50">
        <f>IF($O848="","",IF(INDEX(Firms!$F$5:$F$1004,$O848)="","—",INDEX(Firms!$F$5:$F$1004,$O848)))</f>
        <v/>
      </c>
      <c r="G848" s="50">
        <f>IF($O848="","",IF(INDEX(Firms!$G$5:$G$1004,$O848)="","—",INDEX(Firms!$G$5:$G$1004,$O848)))</f>
        <v/>
      </c>
      <c r="H848" s="50">
        <f>IF($O848="","",IF(INDEX(Firms!$H$5:$H$1004,$O848)="","—",INDEX(Firms!$H$5:$H$1004,$O848)))</f>
        <v/>
      </c>
      <c r="I848" s="50">
        <f>IF($O848="","",IF(INDEX(Firms!$I$5:$I$1004,$O848)="","—",INDEX(Firms!$I$5:$I$1004,$O848)))</f>
        <v/>
      </c>
      <c r="J848" s="50">
        <f>IF($O848="","",IF(INDEX(Firms!$J$5:$J$1004,$O848)="","—",INDEX(Firms!$J$5:$J$1004,$O848)))</f>
        <v/>
      </c>
      <c r="K848" s="50">
        <f>IF($O848="","",IF(INDEX(Firms!$K$5:$K$1004,$O848)="","—",INDEX(Firms!$K$5:$K$1004,$O848)))</f>
        <v/>
      </c>
      <c r="L848" s="50">
        <f>IF($O848="","",IF(INDEX(Firms!$L$5:$L$1004,$O848)="","—",INDEX(Firms!$L$5:$L$1004,$O848)))</f>
        <v/>
      </c>
      <c r="M848" s="50">
        <f>IF($O848="","",IF(INDEX(Firms!$M$5:$M$1004,$O848)="","—",INDEX(Firms!$M$5:$M$1004,$O848)))</f>
        <v/>
      </c>
      <c r="O848">
        <f>IFERROR(MATCH(SMALL(Firms!$Y$5:$Y$1004,840),Firms!$W$5:$W$1004,0),"")</f>
        <v/>
      </c>
    </row>
    <row r="849">
      <c r="B849" s="78">
        <f>IF($O849="","",INDEX(Firms!$A$5:$A$1004,$O849))</f>
        <v/>
      </c>
      <c r="C849" s="79">
        <f>IF($O849="","",INDEX(Firms!$N$5:$N$1004,$O849)&amp;"")</f>
        <v/>
      </c>
      <c r="D849" s="79">
        <f>IF($O849="","",INDEX(Firms!$P$5:$P$1004,$O849)&amp;"")</f>
        <v/>
      </c>
      <c r="E849" s="79">
        <f>IF($O849="","",INDEX(Firms!$O$5:$O$1004,$O849)&amp;"")</f>
        <v/>
      </c>
      <c r="F849" s="50">
        <f>IF($O849="","",IF(INDEX(Firms!$F$5:$F$1004,$O849)="","—",INDEX(Firms!$F$5:$F$1004,$O849)))</f>
        <v/>
      </c>
      <c r="G849" s="50">
        <f>IF($O849="","",IF(INDEX(Firms!$G$5:$G$1004,$O849)="","—",INDEX(Firms!$G$5:$G$1004,$O849)))</f>
        <v/>
      </c>
      <c r="H849" s="50">
        <f>IF($O849="","",IF(INDEX(Firms!$H$5:$H$1004,$O849)="","—",INDEX(Firms!$H$5:$H$1004,$O849)))</f>
        <v/>
      </c>
      <c r="I849" s="50">
        <f>IF($O849="","",IF(INDEX(Firms!$I$5:$I$1004,$O849)="","—",INDEX(Firms!$I$5:$I$1004,$O849)))</f>
        <v/>
      </c>
      <c r="J849" s="50">
        <f>IF($O849="","",IF(INDEX(Firms!$J$5:$J$1004,$O849)="","—",INDEX(Firms!$J$5:$J$1004,$O849)))</f>
        <v/>
      </c>
      <c r="K849" s="50">
        <f>IF($O849="","",IF(INDEX(Firms!$K$5:$K$1004,$O849)="","—",INDEX(Firms!$K$5:$K$1004,$O849)))</f>
        <v/>
      </c>
      <c r="L849" s="50">
        <f>IF($O849="","",IF(INDEX(Firms!$L$5:$L$1004,$O849)="","—",INDEX(Firms!$L$5:$L$1004,$O849)))</f>
        <v/>
      </c>
      <c r="M849" s="50">
        <f>IF($O849="","",IF(INDEX(Firms!$M$5:$M$1004,$O849)="","—",INDEX(Firms!$M$5:$M$1004,$O849)))</f>
        <v/>
      </c>
      <c r="O849">
        <f>IFERROR(MATCH(SMALL(Firms!$Y$5:$Y$1004,841),Firms!$W$5:$W$1004,0),"")</f>
        <v/>
      </c>
    </row>
    <row r="850">
      <c r="B850" s="78">
        <f>IF($O850="","",INDEX(Firms!$A$5:$A$1004,$O850))</f>
        <v/>
      </c>
      <c r="C850" s="79">
        <f>IF($O850="","",INDEX(Firms!$N$5:$N$1004,$O850)&amp;"")</f>
        <v/>
      </c>
      <c r="D850" s="79">
        <f>IF($O850="","",INDEX(Firms!$P$5:$P$1004,$O850)&amp;"")</f>
        <v/>
      </c>
      <c r="E850" s="79">
        <f>IF($O850="","",INDEX(Firms!$O$5:$O$1004,$O850)&amp;"")</f>
        <v/>
      </c>
      <c r="F850" s="50">
        <f>IF($O850="","",IF(INDEX(Firms!$F$5:$F$1004,$O850)="","—",INDEX(Firms!$F$5:$F$1004,$O850)))</f>
        <v/>
      </c>
      <c r="G850" s="50">
        <f>IF($O850="","",IF(INDEX(Firms!$G$5:$G$1004,$O850)="","—",INDEX(Firms!$G$5:$G$1004,$O850)))</f>
        <v/>
      </c>
      <c r="H850" s="50">
        <f>IF($O850="","",IF(INDEX(Firms!$H$5:$H$1004,$O850)="","—",INDEX(Firms!$H$5:$H$1004,$O850)))</f>
        <v/>
      </c>
      <c r="I850" s="50">
        <f>IF($O850="","",IF(INDEX(Firms!$I$5:$I$1004,$O850)="","—",INDEX(Firms!$I$5:$I$1004,$O850)))</f>
        <v/>
      </c>
      <c r="J850" s="50">
        <f>IF($O850="","",IF(INDEX(Firms!$J$5:$J$1004,$O850)="","—",INDEX(Firms!$J$5:$J$1004,$O850)))</f>
        <v/>
      </c>
      <c r="K850" s="50">
        <f>IF($O850="","",IF(INDEX(Firms!$K$5:$K$1004,$O850)="","—",INDEX(Firms!$K$5:$K$1004,$O850)))</f>
        <v/>
      </c>
      <c r="L850" s="50">
        <f>IF($O850="","",IF(INDEX(Firms!$L$5:$L$1004,$O850)="","—",INDEX(Firms!$L$5:$L$1004,$O850)))</f>
        <v/>
      </c>
      <c r="M850" s="50">
        <f>IF($O850="","",IF(INDEX(Firms!$M$5:$M$1004,$O850)="","—",INDEX(Firms!$M$5:$M$1004,$O850)))</f>
        <v/>
      </c>
      <c r="O850">
        <f>IFERROR(MATCH(SMALL(Firms!$Y$5:$Y$1004,842),Firms!$W$5:$W$1004,0),"")</f>
        <v/>
      </c>
    </row>
    <row r="851">
      <c r="B851" s="78">
        <f>IF($O851="","",INDEX(Firms!$A$5:$A$1004,$O851))</f>
        <v/>
      </c>
      <c r="C851" s="79">
        <f>IF($O851="","",INDEX(Firms!$N$5:$N$1004,$O851)&amp;"")</f>
        <v/>
      </c>
      <c r="D851" s="79">
        <f>IF($O851="","",INDEX(Firms!$P$5:$P$1004,$O851)&amp;"")</f>
        <v/>
      </c>
      <c r="E851" s="79">
        <f>IF($O851="","",INDEX(Firms!$O$5:$O$1004,$O851)&amp;"")</f>
        <v/>
      </c>
      <c r="F851" s="50">
        <f>IF($O851="","",IF(INDEX(Firms!$F$5:$F$1004,$O851)="","—",INDEX(Firms!$F$5:$F$1004,$O851)))</f>
        <v/>
      </c>
      <c r="G851" s="50">
        <f>IF($O851="","",IF(INDEX(Firms!$G$5:$G$1004,$O851)="","—",INDEX(Firms!$G$5:$G$1004,$O851)))</f>
        <v/>
      </c>
      <c r="H851" s="50">
        <f>IF($O851="","",IF(INDEX(Firms!$H$5:$H$1004,$O851)="","—",INDEX(Firms!$H$5:$H$1004,$O851)))</f>
        <v/>
      </c>
      <c r="I851" s="50">
        <f>IF($O851="","",IF(INDEX(Firms!$I$5:$I$1004,$O851)="","—",INDEX(Firms!$I$5:$I$1004,$O851)))</f>
        <v/>
      </c>
      <c r="J851" s="50">
        <f>IF($O851="","",IF(INDEX(Firms!$J$5:$J$1004,$O851)="","—",INDEX(Firms!$J$5:$J$1004,$O851)))</f>
        <v/>
      </c>
      <c r="K851" s="50">
        <f>IF($O851="","",IF(INDEX(Firms!$K$5:$K$1004,$O851)="","—",INDEX(Firms!$K$5:$K$1004,$O851)))</f>
        <v/>
      </c>
      <c r="L851" s="50">
        <f>IF($O851="","",IF(INDEX(Firms!$L$5:$L$1004,$O851)="","—",INDEX(Firms!$L$5:$L$1004,$O851)))</f>
        <v/>
      </c>
      <c r="M851" s="50">
        <f>IF($O851="","",IF(INDEX(Firms!$M$5:$M$1004,$O851)="","—",INDEX(Firms!$M$5:$M$1004,$O851)))</f>
        <v/>
      </c>
      <c r="O851">
        <f>IFERROR(MATCH(SMALL(Firms!$Y$5:$Y$1004,843),Firms!$W$5:$W$1004,0),"")</f>
        <v/>
      </c>
    </row>
    <row r="852">
      <c r="B852" s="78">
        <f>IF($O852="","",INDEX(Firms!$A$5:$A$1004,$O852))</f>
        <v/>
      </c>
      <c r="C852" s="79">
        <f>IF($O852="","",INDEX(Firms!$N$5:$N$1004,$O852)&amp;"")</f>
        <v/>
      </c>
      <c r="D852" s="79">
        <f>IF($O852="","",INDEX(Firms!$P$5:$P$1004,$O852)&amp;"")</f>
        <v/>
      </c>
      <c r="E852" s="79">
        <f>IF($O852="","",INDEX(Firms!$O$5:$O$1004,$O852)&amp;"")</f>
        <v/>
      </c>
      <c r="F852" s="50">
        <f>IF($O852="","",IF(INDEX(Firms!$F$5:$F$1004,$O852)="","—",INDEX(Firms!$F$5:$F$1004,$O852)))</f>
        <v/>
      </c>
      <c r="G852" s="50">
        <f>IF($O852="","",IF(INDEX(Firms!$G$5:$G$1004,$O852)="","—",INDEX(Firms!$G$5:$G$1004,$O852)))</f>
        <v/>
      </c>
      <c r="H852" s="50">
        <f>IF($O852="","",IF(INDEX(Firms!$H$5:$H$1004,$O852)="","—",INDEX(Firms!$H$5:$H$1004,$O852)))</f>
        <v/>
      </c>
      <c r="I852" s="50">
        <f>IF($O852="","",IF(INDEX(Firms!$I$5:$I$1004,$O852)="","—",INDEX(Firms!$I$5:$I$1004,$O852)))</f>
        <v/>
      </c>
      <c r="J852" s="50">
        <f>IF($O852="","",IF(INDEX(Firms!$J$5:$J$1004,$O852)="","—",INDEX(Firms!$J$5:$J$1004,$O852)))</f>
        <v/>
      </c>
      <c r="K852" s="50">
        <f>IF($O852="","",IF(INDEX(Firms!$K$5:$K$1004,$O852)="","—",INDEX(Firms!$K$5:$K$1004,$O852)))</f>
        <v/>
      </c>
      <c r="L852" s="50">
        <f>IF($O852="","",IF(INDEX(Firms!$L$5:$L$1004,$O852)="","—",INDEX(Firms!$L$5:$L$1004,$O852)))</f>
        <v/>
      </c>
      <c r="M852" s="50">
        <f>IF($O852="","",IF(INDEX(Firms!$M$5:$M$1004,$O852)="","—",INDEX(Firms!$M$5:$M$1004,$O852)))</f>
        <v/>
      </c>
      <c r="O852">
        <f>IFERROR(MATCH(SMALL(Firms!$Y$5:$Y$1004,844),Firms!$W$5:$W$1004,0),"")</f>
        <v/>
      </c>
    </row>
    <row r="853">
      <c r="B853" s="78">
        <f>IF($O853="","",INDEX(Firms!$A$5:$A$1004,$O853))</f>
        <v/>
      </c>
      <c r="C853" s="79">
        <f>IF($O853="","",INDEX(Firms!$N$5:$N$1004,$O853)&amp;"")</f>
        <v/>
      </c>
      <c r="D853" s="79">
        <f>IF($O853="","",INDEX(Firms!$P$5:$P$1004,$O853)&amp;"")</f>
        <v/>
      </c>
      <c r="E853" s="79">
        <f>IF($O853="","",INDEX(Firms!$O$5:$O$1004,$O853)&amp;"")</f>
        <v/>
      </c>
      <c r="F853" s="50">
        <f>IF($O853="","",IF(INDEX(Firms!$F$5:$F$1004,$O853)="","—",INDEX(Firms!$F$5:$F$1004,$O853)))</f>
        <v/>
      </c>
      <c r="G853" s="50">
        <f>IF($O853="","",IF(INDEX(Firms!$G$5:$G$1004,$O853)="","—",INDEX(Firms!$G$5:$G$1004,$O853)))</f>
        <v/>
      </c>
      <c r="H853" s="50">
        <f>IF($O853="","",IF(INDEX(Firms!$H$5:$H$1004,$O853)="","—",INDEX(Firms!$H$5:$H$1004,$O853)))</f>
        <v/>
      </c>
      <c r="I853" s="50">
        <f>IF($O853="","",IF(INDEX(Firms!$I$5:$I$1004,$O853)="","—",INDEX(Firms!$I$5:$I$1004,$O853)))</f>
        <v/>
      </c>
      <c r="J853" s="50">
        <f>IF($O853="","",IF(INDEX(Firms!$J$5:$J$1004,$O853)="","—",INDEX(Firms!$J$5:$J$1004,$O853)))</f>
        <v/>
      </c>
      <c r="K853" s="50">
        <f>IF($O853="","",IF(INDEX(Firms!$K$5:$K$1004,$O853)="","—",INDEX(Firms!$K$5:$K$1004,$O853)))</f>
        <v/>
      </c>
      <c r="L853" s="50">
        <f>IF($O853="","",IF(INDEX(Firms!$L$5:$L$1004,$O853)="","—",INDEX(Firms!$L$5:$L$1004,$O853)))</f>
        <v/>
      </c>
      <c r="M853" s="50">
        <f>IF($O853="","",IF(INDEX(Firms!$M$5:$M$1004,$O853)="","—",INDEX(Firms!$M$5:$M$1004,$O853)))</f>
        <v/>
      </c>
      <c r="O853">
        <f>IFERROR(MATCH(SMALL(Firms!$Y$5:$Y$1004,845),Firms!$W$5:$W$1004,0),"")</f>
        <v/>
      </c>
    </row>
    <row r="854">
      <c r="B854" s="78">
        <f>IF($O854="","",INDEX(Firms!$A$5:$A$1004,$O854))</f>
        <v/>
      </c>
      <c r="C854" s="79">
        <f>IF($O854="","",INDEX(Firms!$N$5:$N$1004,$O854)&amp;"")</f>
        <v/>
      </c>
      <c r="D854" s="79">
        <f>IF($O854="","",INDEX(Firms!$P$5:$P$1004,$O854)&amp;"")</f>
        <v/>
      </c>
      <c r="E854" s="79">
        <f>IF($O854="","",INDEX(Firms!$O$5:$O$1004,$O854)&amp;"")</f>
        <v/>
      </c>
      <c r="F854" s="50">
        <f>IF($O854="","",IF(INDEX(Firms!$F$5:$F$1004,$O854)="","—",INDEX(Firms!$F$5:$F$1004,$O854)))</f>
        <v/>
      </c>
      <c r="G854" s="50">
        <f>IF($O854="","",IF(INDEX(Firms!$G$5:$G$1004,$O854)="","—",INDEX(Firms!$G$5:$G$1004,$O854)))</f>
        <v/>
      </c>
      <c r="H854" s="50">
        <f>IF($O854="","",IF(INDEX(Firms!$H$5:$H$1004,$O854)="","—",INDEX(Firms!$H$5:$H$1004,$O854)))</f>
        <v/>
      </c>
      <c r="I854" s="50">
        <f>IF($O854="","",IF(INDEX(Firms!$I$5:$I$1004,$O854)="","—",INDEX(Firms!$I$5:$I$1004,$O854)))</f>
        <v/>
      </c>
      <c r="J854" s="50">
        <f>IF($O854="","",IF(INDEX(Firms!$J$5:$J$1004,$O854)="","—",INDEX(Firms!$J$5:$J$1004,$O854)))</f>
        <v/>
      </c>
      <c r="K854" s="50">
        <f>IF($O854="","",IF(INDEX(Firms!$K$5:$K$1004,$O854)="","—",INDEX(Firms!$K$5:$K$1004,$O854)))</f>
        <v/>
      </c>
      <c r="L854" s="50">
        <f>IF($O854="","",IF(INDEX(Firms!$L$5:$L$1004,$O854)="","—",INDEX(Firms!$L$5:$L$1004,$O854)))</f>
        <v/>
      </c>
      <c r="M854" s="50">
        <f>IF($O854="","",IF(INDEX(Firms!$M$5:$M$1004,$O854)="","—",INDEX(Firms!$M$5:$M$1004,$O854)))</f>
        <v/>
      </c>
      <c r="O854">
        <f>IFERROR(MATCH(SMALL(Firms!$Y$5:$Y$1004,846),Firms!$W$5:$W$1004,0),"")</f>
        <v/>
      </c>
    </row>
    <row r="855">
      <c r="B855" s="78">
        <f>IF($O855="","",INDEX(Firms!$A$5:$A$1004,$O855))</f>
        <v/>
      </c>
      <c r="C855" s="79">
        <f>IF($O855="","",INDEX(Firms!$N$5:$N$1004,$O855)&amp;"")</f>
        <v/>
      </c>
      <c r="D855" s="79">
        <f>IF($O855="","",INDEX(Firms!$P$5:$P$1004,$O855)&amp;"")</f>
        <v/>
      </c>
      <c r="E855" s="79">
        <f>IF($O855="","",INDEX(Firms!$O$5:$O$1004,$O855)&amp;"")</f>
        <v/>
      </c>
      <c r="F855" s="50">
        <f>IF($O855="","",IF(INDEX(Firms!$F$5:$F$1004,$O855)="","—",INDEX(Firms!$F$5:$F$1004,$O855)))</f>
        <v/>
      </c>
      <c r="G855" s="50">
        <f>IF($O855="","",IF(INDEX(Firms!$G$5:$G$1004,$O855)="","—",INDEX(Firms!$G$5:$G$1004,$O855)))</f>
        <v/>
      </c>
      <c r="H855" s="50">
        <f>IF($O855="","",IF(INDEX(Firms!$H$5:$H$1004,$O855)="","—",INDEX(Firms!$H$5:$H$1004,$O855)))</f>
        <v/>
      </c>
      <c r="I855" s="50">
        <f>IF($O855="","",IF(INDEX(Firms!$I$5:$I$1004,$O855)="","—",INDEX(Firms!$I$5:$I$1004,$O855)))</f>
        <v/>
      </c>
      <c r="J855" s="50">
        <f>IF($O855="","",IF(INDEX(Firms!$J$5:$J$1004,$O855)="","—",INDEX(Firms!$J$5:$J$1004,$O855)))</f>
        <v/>
      </c>
      <c r="K855" s="50">
        <f>IF($O855="","",IF(INDEX(Firms!$K$5:$K$1004,$O855)="","—",INDEX(Firms!$K$5:$K$1004,$O855)))</f>
        <v/>
      </c>
      <c r="L855" s="50">
        <f>IF($O855="","",IF(INDEX(Firms!$L$5:$L$1004,$O855)="","—",INDEX(Firms!$L$5:$L$1004,$O855)))</f>
        <v/>
      </c>
      <c r="M855" s="50">
        <f>IF($O855="","",IF(INDEX(Firms!$M$5:$M$1004,$O855)="","—",INDEX(Firms!$M$5:$M$1004,$O855)))</f>
        <v/>
      </c>
      <c r="O855">
        <f>IFERROR(MATCH(SMALL(Firms!$Y$5:$Y$1004,847),Firms!$W$5:$W$1004,0),"")</f>
        <v/>
      </c>
    </row>
    <row r="856">
      <c r="B856" s="78">
        <f>IF($O856="","",INDEX(Firms!$A$5:$A$1004,$O856))</f>
        <v/>
      </c>
      <c r="C856" s="79">
        <f>IF($O856="","",INDEX(Firms!$N$5:$N$1004,$O856)&amp;"")</f>
        <v/>
      </c>
      <c r="D856" s="79">
        <f>IF($O856="","",INDEX(Firms!$P$5:$P$1004,$O856)&amp;"")</f>
        <v/>
      </c>
      <c r="E856" s="79">
        <f>IF($O856="","",INDEX(Firms!$O$5:$O$1004,$O856)&amp;"")</f>
        <v/>
      </c>
      <c r="F856" s="50">
        <f>IF($O856="","",IF(INDEX(Firms!$F$5:$F$1004,$O856)="","—",INDEX(Firms!$F$5:$F$1004,$O856)))</f>
        <v/>
      </c>
      <c r="G856" s="50">
        <f>IF($O856="","",IF(INDEX(Firms!$G$5:$G$1004,$O856)="","—",INDEX(Firms!$G$5:$G$1004,$O856)))</f>
        <v/>
      </c>
      <c r="H856" s="50">
        <f>IF($O856="","",IF(INDEX(Firms!$H$5:$H$1004,$O856)="","—",INDEX(Firms!$H$5:$H$1004,$O856)))</f>
        <v/>
      </c>
      <c r="I856" s="50">
        <f>IF($O856="","",IF(INDEX(Firms!$I$5:$I$1004,$O856)="","—",INDEX(Firms!$I$5:$I$1004,$O856)))</f>
        <v/>
      </c>
      <c r="J856" s="50">
        <f>IF($O856="","",IF(INDEX(Firms!$J$5:$J$1004,$O856)="","—",INDEX(Firms!$J$5:$J$1004,$O856)))</f>
        <v/>
      </c>
      <c r="K856" s="50">
        <f>IF($O856="","",IF(INDEX(Firms!$K$5:$K$1004,$O856)="","—",INDEX(Firms!$K$5:$K$1004,$O856)))</f>
        <v/>
      </c>
      <c r="L856" s="50">
        <f>IF($O856="","",IF(INDEX(Firms!$L$5:$L$1004,$O856)="","—",INDEX(Firms!$L$5:$L$1004,$O856)))</f>
        <v/>
      </c>
      <c r="M856" s="50">
        <f>IF($O856="","",IF(INDEX(Firms!$M$5:$M$1004,$O856)="","—",INDEX(Firms!$M$5:$M$1004,$O856)))</f>
        <v/>
      </c>
      <c r="O856">
        <f>IFERROR(MATCH(SMALL(Firms!$Y$5:$Y$1004,848),Firms!$W$5:$W$1004,0),"")</f>
        <v/>
      </c>
    </row>
    <row r="857">
      <c r="B857" s="78">
        <f>IF($O857="","",INDEX(Firms!$A$5:$A$1004,$O857))</f>
        <v/>
      </c>
      <c r="C857" s="79">
        <f>IF($O857="","",INDEX(Firms!$N$5:$N$1004,$O857)&amp;"")</f>
        <v/>
      </c>
      <c r="D857" s="79">
        <f>IF($O857="","",INDEX(Firms!$P$5:$P$1004,$O857)&amp;"")</f>
        <v/>
      </c>
      <c r="E857" s="79">
        <f>IF($O857="","",INDEX(Firms!$O$5:$O$1004,$O857)&amp;"")</f>
        <v/>
      </c>
      <c r="F857" s="50">
        <f>IF($O857="","",IF(INDEX(Firms!$F$5:$F$1004,$O857)="","—",INDEX(Firms!$F$5:$F$1004,$O857)))</f>
        <v/>
      </c>
      <c r="G857" s="50">
        <f>IF($O857="","",IF(INDEX(Firms!$G$5:$G$1004,$O857)="","—",INDEX(Firms!$G$5:$G$1004,$O857)))</f>
        <v/>
      </c>
      <c r="H857" s="50">
        <f>IF($O857="","",IF(INDEX(Firms!$H$5:$H$1004,$O857)="","—",INDEX(Firms!$H$5:$H$1004,$O857)))</f>
        <v/>
      </c>
      <c r="I857" s="50">
        <f>IF($O857="","",IF(INDEX(Firms!$I$5:$I$1004,$O857)="","—",INDEX(Firms!$I$5:$I$1004,$O857)))</f>
        <v/>
      </c>
      <c r="J857" s="50">
        <f>IF($O857="","",IF(INDEX(Firms!$J$5:$J$1004,$O857)="","—",INDEX(Firms!$J$5:$J$1004,$O857)))</f>
        <v/>
      </c>
      <c r="K857" s="50">
        <f>IF($O857="","",IF(INDEX(Firms!$K$5:$K$1004,$O857)="","—",INDEX(Firms!$K$5:$K$1004,$O857)))</f>
        <v/>
      </c>
      <c r="L857" s="50">
        <f>IF($O857="","",IF(INDEX(Firms!$L$5:$L$1004,$O857)="","—",INDEX(Firms!$L$5:$L$1004,$O857)))</f>
        <v/>
      </c>
      <c r="M857" s="50">
        <f>IF($O857="","",IF(INDEX(Firms!$M$5:$M$1004,$O857)="","—",INDEX(Firms!$M$5:$M$1004,$O857)))</f>
        <v/>
      </c>
      <c r="O857">
        <f>IFERROR(MATCH(SMALL(Firms!$Y$5:$Y$1004,849),Firms!$W$5:$W$1004,0),"")</f>
        <v/>
      </c>
    </row>
    <row r="858">
      <c r="B858" s="78">
        <f>IF($O858="","",INDEX(Firms!$A$5:$A$1004,$O858))</f>
        <v/>
      </c>
      <c r="C858" s="79">
        <f>IF($O858="","",INDEX(Firms!$N$5:$N$1004,$O858)&amp;"")</f>
        <v/>
      </c>
      <c r="D858" s="79">
        <f>IF($O858="","",INDEX(Firms!$P$5:$P$1004,$O858)&amp;"")</f>
        <v/>
      </c>
      <c r="E858" s="79">
        <f>IF($O858="","",INDEX(Firms!$O$5:$O$1004,$O858)&amp;"")</f>
        <v/>
      </c>
      <c r="F858" s="50">
        <f>IF($O858="","",IF(INDEX(Firms!$F$5:$F$1004,$O858)="","—",INDEX(Firms!$F$5:$F$1004,$O858)))</f>
        <v/>
      </c>
      <c r="G858" s="50">
        <f>IF($O858="","",IF(INDEX(Firms!$G$5:$G$1004,$O858)="","—",INDEX(Firms!$G$5:$G$1004,$O858)))</f>
        <v/>
      </c>
      <c r="H858" s="50">
        <f>IF($O858="","",IF(INDEX(Firms!$H$5:$H$1004,$O858)="","—",INDEX(Firms!$H$5:$H$1004,$O858)))</f>
        <v/>
      </c>
      <c r="I858" s="50">
        <f>IF($O858="","",IF(INDEX(Firms!$I$5:$I$1004,$O858)="","—",INDEX(Firms!$I$5:$I$1004,$O858)))</f>
        <v/>
      </c>
      <c r="J858" s="50">
        <f>IF($O858="","",IF(INDEX(Firms!$J$5:$J$1004,$O858)="","—",INDEX(Firms!$J$5:$J$1004,$O858)))</f>
        <v/>
      </c>
      <c r="K858" s="50">
        <f>IF($O858="","",IF(INDEX(Firms!$K$5:$K$1004,$O858)="","—",INDEX(Firms!$K$5:$K$1004,$O858)))</f>
        <v/>
      </c>
      <c r="L858" s="50">
        <f>IF($O858="","",IF(INDEX(Firms!$L$5:$L$1004,$O858)="","—",INDEX(Firms!$L$5:$L$1004,$O858)))</f>
        <v/>
      </c>
      <c r="M858" s="50">
        <f>IF($O858="","",IF(INDEX(Firms!$M$5:$M$1004,$O858)="","—",INDEX(Firms!$M$5:$M$1004,$O858)))</f>
        <v/>
      </c>
      <c r="O858">
        <f>IFERROR(MATCH(SMALL(Firms!$Y$5:$Y$1004,850),Firms!$W$5:$W$1004,0),"")</f>
        <v/>
      </c>
    </row>
    <row r="859">
      <c r="B859" s="78">
        <f>IF($O859="","",INDEX(Firms!$A$5:$A$1004,$O859))</f>
        <v/>
      </c>
      <c r="C859" s="79">
        <f>IF($O859="","",INDEX(Firms!$N$5:$N$1004,$O859)&amp;"")</f>
        <v/>
      </c>
      <c r="D859" s="79">
        <f>IF($O859="","",INDEX(Firms!$P$5:$P$1004,$O859)&amp;"")</f>
        <v/>
      </c>
      <c r="E859" s="79">
        <f>IF($O859="","",INDEX(Firms!$O$5:$O$1004,$O859)&amp;"")</f>
        <v/>
      </c>
      <c r="F859" s="50">
        <f>IF($O859="","",IF(INDEX(Firms!$F$5:$F$1004,$O859)="","—",INDEX(Firms!$F$5:$F$1004,$O859)))</f>
        <v/>
      </c>
      <c r="G859" s="50">
        <f>IF($O859="","",IF(INDEX(Firms!$G$5:$G$1004,$O859)="","—",INDEX(Firms!$G$5:$G$1004,$O859)))</f>
        <v/>
      </c>
      <c r="H859" s="50">
        <f>IF($O859="","",IF(INDEX(Firms!$H$5:$H$1004,$O859)="","—",INDEX(Firms!$H$5:$H$1004,$O859)))</f>
        <v/>
      </c>
      <c r="I859" s="50">
        <f>IF($O859="","",IF(INDEX(Firms!$I$5:$I$1004,$O859)="","—",INDEX(Firms!$I$5:$I$1004,$O859)))</f>
        <v/>
      </c>
      <c r="J859" s="50">
        <f>IF($O859="","",IF(INDEX(Firms!$J$5:$J$1004,$O859)="","—",INDEX(Firms!$J$5:$J$1004,$O859)))</f>
        <v/>
      </c>
      <c r="K859" s="50">
        <f>IF($O859="","",IF(INDEX(Firms!$K$5:$K$1004,$O859)="","—",INDEX(Firms!$K$5:$K$1004,$O859)))</f>
        <v/>
      </c>
      <c r="L859" s="50">
        <f>IF($O859="","",IF(INDEX(Firms!$L$5:$L$1004,$O859)="","—",INDEX(Firms!$L$5:$L$1004,$O859)))</f>
        <v/>
      </c>
      <c r="M859" s="50">
        <f>IF($O859="","",IF(INDEX(Firms!$M$5:$M$1004,$O859)="","—",INDEX(Firms!$M$5:$M$1004,$O859)))</f>
        <v/>
      </c>
      <c r="O859">
        <f>IFERROR(MATCH(SMALL(Firms!$Y$5:$Y$1004,851),Firms!$W$5:$W$1004,0),"")</f>
        <v/>
      </c>
    </row>
    <row r="860">
      <c r="B860" s="78">
        <f>IF($O860="","",INDEX(Firms!$A$5:$A$1004,$O860))</f>
        <v/>
      </c>
      <c r="C860" s="79">
        <f>IF($O860="","",INDEX(Firms!$N$5:$N$1004,$O860)&amp;"")</f>
        <v/>
      </c>
      <c r="D860" s="79">
        <f>IF($O860="","",INDEX(Firms!$P$5:$P$1004,$O860)&amp;"")</f>
        <v/>
      </c>
      <c r="E860" s="79">
        <f>IF($O860="","",INDEX(Firms!$O$5:$O$1004,$O860)&amp;"")</f>
        <v/>
      </c>
      <c r="F860" s="50">
        <f>IF($O860="","",IF(INDEX(Firms!$F$5:$F$1004,$O860)="","—",INDEX(Firms!$F$5:$F$1004,$O860)))</f>
        <v/>
      </c>
      <c r="G860" s="50">
        <f>IF($O860="","",IF(INDEX(Firms!$G$5:$G$1004,$O860)="","—",INDEX(Firms!$G$5:$G$1004,$O860)))</f>
        <v/>
      </c>
      <c r="H860" s="50">
        <f>IF($O860="","",IF(INDEX(Firms!$H$5:$H$1004,$O860)="","—",INDEX(Firms!$H$5:$H$1004,$O860)))</f>
        <v/>
      </c>
      <c r="I860" s="50">
        <f>IF($O860="","",IF(INDEX(Firms!$I$5:$I$1004,$O860)="","—",INDEX(Firms!$I$5:$I$1004,$O860)))</f>
        <v/>
      </c>
      <c r="J860" s="50">
        <f>IF($O860="","",IF(INDEX(Firms!$J$5:$J$1004,$O860)="","—",INDEX(Firms!$J$5:$J$1004,$O860)))</f>
        <v/>
      </c>
      <c r="K860" s="50">
        <f>IF($O860="","",IF(INDEX(Firms!$K$5:$K$1004,$O860)="","—",INDEX(Firms!$K$5:$K$1004,$O860)))</f>
        <v/>
      </c>
      <c r="L860" s="50">
        <f>IF($O860="","",IF(INDEX(Firms!$L$5:$L$1004,$O860)="","—",INDEX(Firms!$L$5:$L$1004,$O860)))</f>
        <v/>
      </c>
      <c r="M860" s="50">
        <f>IF($O860="","",IF(INDEX(Firms!$M$5:$M$1004,$O860)="","—",INDEX(Firms!$M$5:$M$1004,$O860)))</f>
        <v/>
      </c>
      <c r="O860">
        <f>IFERROR(MATCH(SMALL(Firms!$Y$5:$Y$1004,852),Firms!$W$5:$W$1004,0),"")</f>
        <v/>
      </c>
    </row>
    <row r="861">
      <c r="B861" s="78">
        <f>IF($O861="","",INDEX(Firms!$A$5:$A$1004,$O861))</f>
        <v/>
      </c>
      <c r="C861" s="79">
        <f>IF($O861="","",INDEX(Firms!$N$5:$N$1004,$O861)&amp;"")</f>
        <v/>
      </c>
      <c r="D861" s="79">
        <f>IF($O861="","",INDEX(Firms!$P$5:$P$1004,$O861)&amp;"")</f>
        <v/>
      </c>
      <c r="E861" s="79">
        <f>IF($O861="","",INDEX(Firms!$O$5:$O$1004,$O861)&amp;"")</f>
        <v/>
      </c>
      <c r="F861" s="50">
        <f>IF($O861="","",IF(INDEX(Firms!$F$5:$F$1004,$O861)="","—",INDEX(Firms!$F$5:$F$1004,$O861)))</f>
        <v/>
      </c>
      <c r="G861" s="50">
        <f>IF($O861="","",IF(INDEX(Firms!$G$5:$G$1004,$O861)="","—",INDEX(Firms!$G$5:$G$1004,$O861)))</f>
        <v/>
      </c>
      <c r="H861" s="50">
        <f>IF($O861="","",IF(INDEX(Firms!$H$5:$H$1004,$O861)="","—",INDEX(Firms!$H$5:$H$1004,$O861)))</f>
        <v/>
      </c>
      <c r="I861" s="50">
        <f>IF($O861="","",IF(INDEX(Firms!$I$5:$I$1004,$O861)="","—",INDEX(Firms!$I$5:$I$1004,$O861)))</f>
        <v/>
      </c>
      <c r="J861" s="50">
        <f>IF($O861="","",IF(INDEX(Firms!$J$5:$J$1004,$O861)="","—",INDEX(Firms!$J$5:$J$1004,$O861)))</f>
        <v/>
      </c>
      <c r="K861" s="50">
        <f>IF($O861="","",IF(INDEX(Firms!$K$5:$K$1004,$O861)="","—",INDEX(Firms!$K$5:$K$1004,$O861)))</f>
        <v/>
      </c>
      <c r="L861" s="50">
        <f>IF($O861="","",IF(INDEX(Firms!$L$5:$L$1004,$O861)="","—",INDEX(Firms!$L$5:$L$1004,$O861)))</f>
        <v/>
      </c>
      <c r="M861" s="50">
        <f>IF($O861="","",IF(INDEX(Firms!$M$5:$M$1004,$O861)="","—",INDEX(Firms!$M$5:$M$1004,$O861)))</f>
        <v/>
      </c>
      <c r="O861">
        <f>IFERROR(MATCH(SMALL(Firms!$Y$5:$Y$1004,853),Firms!$W$5:$W$1004,0),"")</f>
        <v/>
      </c>
    </row>
    <row r="862">
      <c r="B862" s="78">
        <f>IF($O862="","",INDEX(Firms!$A$5:$A$1004,$O862))</f>
        <v/>
      </c>
      <c r="C862" s="79">
        <f>IF($O862="","",INDEX(Firms!$N$5:$N$1004,$O862)&amp;"")</f>
        <v/>
      </c>
      <c r="D862" s="79">
        <f>IF($O862="","",INDEX(Firms!$P$5:$P$1004,$O862)&amp;"")</f>
        <v/>
      </c>
      <c r="E862" s="79">
        <f>IF($O862="","",INDEX(Firms!$O$5:$O$1004,$O862)&amp;"")</f>
        <v/>
      </c>
      <c r="F862" s="50">
        <f>IF($O862="","",IF(INDEX(Firms!$F$5:$F$1004,$O862)="","—",INDEX(Firms!$F$5:$F$1004,$O862)))</f>
        <v/>
      </c>
      <c r="G862" s="50">
        <f>IF($O862="","",IF(INDEX(Firms!$G$5:$G$1004,$O862)="","—",INDEX(Firms!$G$5:$G$1004,$O862)))</f>
        <v/>
      </c>
      <c r="H862" s="50">
        <f>IF($O862="","",IF(INDEX(Firms!$H$5:$H$1004,$O862)="","—",INDEX(Firms!$H$5:$H$1004,$O862)))</f>
        <v/>
      </c>
      <c r="I862" s="50">
        <f>IF($O862="","",IF(INDEX(Firms!$I$5:$I$1004,$O862)="","—",INDEX(Firms!$I$5:$I$1004,$O862)))</f>
        <v/>
      </c>
      <c r="J862" s="50">
        <f>IF($O862="","",IF(INDEX(Firms!$J$5:$J$1004,$O862)="","—",INDEX(Firms!$J$5:$J$1004,$O862)))</f>
        <v/>
      </c>
      <c r="K862" s="50">
        <f>IF($O862="","",IF(INDEX(Firms!$K$5:$K$1004,$O862)="","—",INDEX(Firms!$K$5:$K$1004,$O862)))</f>
        <v/>
      </c>
      <c r="L862" s="50">
        <f>IF($O862="","",IF(INDEX(Firms!$L$5:$L$1004,$O862)="","—",INDEX(Firms!$L$5:$L$1004,$O862)))</f>
        <v/>
      </c>
      <c r="M862" s="50">
        <f>IF($O862="","",IF(INDEX(Firms!$M$5:$M$1004,$O862)="","—",INDEX(Firms!$M$5:$M$1004,$O862)))</f>
        <v/>
      </c>
      <c r="O862">
        <f>IFERROR(MATCH(SMALL(Firms!$Y$5:$Y$1004,854),Firms!$W$5:$W$1004,0),"")</f>
        <v/>
      </c>
    </row>
    <row r="863">
      <c r="B863" s="78">
        <f>IF($O863="","",INDEX(Firms!$A$5:$A$1004,$O863))</f>
        <v/>
      </c>
      <c r="C863" s="79">
        <f>IF($O863="","",INDEX(Firms!$N$5:$N$1004,$O863)&amp;"")</f>
        <v/>
      </c>
      <c r="D863" s="79">
        <f>IF($O863="","",INDEX(Firms!$P$5:$P$1004,$O863)&amp;"")</f>
        <v/>
      </c>
      <c r="E863" s="79">
        <f>IF($O863="","",INDEX(Firms!$O$5:$O$1004,$O863)&amp;"")</f>
        <v/>
      </c>
      <c r="F863" s="50">
        <f>IF($O863="","",IF(INDEX(Firms!$F$5:$F$1004,$O863)="","—",INDEX(Firms!$F$5:$F$1004,$O863)))</f>
        <v/>
      </c>
      <c r="G863" s="50">
        <f>IF($O863="","",IF(INDEX(Firms!$G$5:$G$1004,$O863)="","—",INDEX(Firms!$G$5:$G$1004,$O863)))</f>
        <v/>
      </c>
      <c r="H863" s="50">
        <f>IF($O863="","",IF(INDEX(Firms!$H$5:$H$1004,$O863)="","—",INDEX(Firms!$H$5:$H$1004,$O863)))</f>
        <v/>
      </c>
      <c r="I863" s="50">
        <f>IF($O863="","",IF(INDEX(Firms!$I$5:$I$1004,$O863)="","—",INDEX(Firms!$I$5:$I$1004,$O863)))</f>
        <v/>
      </c>
      <c r="J863" s="50">
        <f>IF($O863="","",IF(INDEX(Firms!$J$5:$J$1004,$O863)="","—",INDEX(Firms!$J$5:$J$1004,$O863)))</f>
        <v/>
      </c>
      <c r="K863" s="50">
        <f>IF($O863="","",IF(INDEX(Firms!$K$5:$K$1004,$O863)="","—",INDEX(Firms!$K$5:$K$1004,$O863)))</f>
        <v/>
      </c>
      <c r="L863" s="50">
        <f>IF($O863="","",IF(INDEX(Firms!$L$5:$L$1004,$O863)="","—",INDEX(Firms!$L$5:$L$1004,$O863)))</f>
        <v/>
      </c>
      <c r="M863" s="50">
        <f>IF($O863="","",IF(INDEX(Firms!$M$5:$M$1004,$O863)="","—",INDEX(Firms!$M$5:$M$1004,$O863)))</f>
        <v/>
      </c>
      <c r="O863">
        <f>IFERROR(MATCH(SMALL(Firms!$Y$5:$Y$1004,855),Firms!$W$5:$W$1004,0),"")</f>
        <v/>
      </c>
    </row>
    <row r="864">
      <c r="B864" s="78">
        <f>IF($O864="","",INDEX(Firms!$A$5:$A$1004,$O864))</f>
        <v/>
      </c>
      <c r="C864" s="79">
        <f>IF($O864="","",INDEX(Firms!$N$5:$N$1004,$O864)&amp;"")</f>
        <v/>
      </c>
      <c r="D864" s="79">
        <f>IF($O864="","",INDEX(Firms!$P$5:$P$1004,$O864)&amp;"")</f>
        <v/>
      </c>
      <c r="E864" s="79">
        <f>IF($O864="","",INDEX(Firms!$O$5:$O$1004,$O864)&amp;"")</f>
        <v/>
      </c>
      <c r="F864" s="50">
        <f>IF($O864="","",IF(INDEX(Firms!$F$5:$F$1004,$O864)="","—",INDEX(Firms!$F$5:$F$1004,$O864)))</f>
        <v/>
      </c>
      <c r="G864" s="50">
        <f>IF($O864="","",IF(INDEX(Firms!$G$5:$G$1004,$O864)="","—",INDEX(Firms!$G$5:$G$1004,$O864)))</f>
        <v/>
      </c>
      <c r="H864" s="50">
        <f>IF($O864="","",IF(INDEX(Firms!$H$5:$H$1004,$O864)="","—",INDEX(Firms!$H$5:$H$1004,$O864)))</f>
        <v/>
      </c>
      <c r="I864" s="50">
        <f>IF($O864="","",IF(INDEX(Firms!$I$5:$I$1004,$O864)="","—",INDEX(Firms!$I$5:$I$1004,$O864)))</f>
        <v/>
      </c>
      <c r="J864" s="50">
        <f>IF($O864="","",IF(INDEX(Firms!$J$5:$J$1004,$O864)="","—",INDEX(Firms!$J$5:$J$1004,$O864)))</f>
        <v/>
      </c>
      <c r="K864" s="50">
        <f>IF($O864="","",IF(INDEX(Firms!$K$5:$K$1004,$O864)="","—",INDEX(Firms!$K$5:$K$1004,$O864)))</f>
        <v/>
      </c>
      <c r="L864" s="50">
        <f>IF($O864="","",IF(INDEX(Firms!$L$5:$L$1004,$O864)="","—",INDEX(Firms!$L$5:$L$1004,$O864)))</f>
        <v/>
      </c>
      <c r="M864" s="50">
        <f>IF($O864="","",IF(INDEX(Firms!$M$5:$M$1004,$O864)="","—",INDEX(Firms!$M$5:$M$1004,$O864)))</f>
        <v/>
      </c>
      <c r="O864">
        <f>IFERROR(MATCH(SMALL(Firms!$Y$5:$Y$1004,856),Firms!$W$5:$W$1004,0),"")</f>
        <v/>
      </c>
    </row>
    <row r="865">
      <c r="B865" s="78">
        <f>IF($O865="","",INDEX(Firms!$A$5:$A$1004,$O865))</f>
        <v/>
      </c>
      <c r="C865" s="79">
        <f>IF($O865="","",INDEX(Firms!$N$5:$N$1004,$O865)&amp;"")</f>
        <v/>
      </c>
      <c r="D865" s="79">
        <f>IF($O865="","",INDEX(Firms!$P$5:$P$1004,$O865)&amp;"")</f>
        <v/>
      </c>
      <c r="E865" s="79">
        <f>IF($O865="","",INDEX(Firms!$O$5:$O$1004,$O865)&amp;"")</f>
        <v/>
      </c>
      <c r="F865" s="50">
        <f>IF($O865="","",IF(INDEX(Firms!$F$5:$F$1004,$O865)="","—",INDEX(Firms!$F$5:$F$1004,$O865)))</f>
        <v/>
      </c>
      <c r="G865" s="50">
        <f>IF($O865="","",IF(INDEX(Firms!$G$5:$G$1004,$O865)="","—",INDEX(Firms!$G$5:$G$1004,$O865)))</f>
        <v/>
      </c>
      <c r="H865" s="50">
        <f>IF($O865="","",IF(INDEX(Firms!$H$5:$H$1004,$O865)="","—",INDEX(Firms!$H$5:$H$1004,$O865)))</f>
        <v/>
      </c>
      <c r="I865" s="50">
        <f>IF($O865="","",IF(INDEX(Firms!$I$5:$I$1004,$O865)="","—",INDEX(Firms!$I$5:$I$1004,$O865)))</f>
        <v/>
      </c>
      <c r="J865" s="50">
        <f>IF($O865="","",IF(INDEX(Firms!$J$5:$J$1004,$O865)="","—",INDEX(Firms!$J$5:$J$1004,$O865)))</f>
        <v/>
      </c>
      <c r="K865" s="50">
        <f>IF($O865="","",IF(INDEX(Firms!$K$5:$K$1004,$O865)="","—",INDEX(Firms!$K$5:$K$1004,$O865)))</f>
        <v/>
      </c>
      <c r="L865" s="50">
        <f>IF($O865="","",IF(INDEX(Firms!$L$5:$L$1004,$O865)="","—",INDEX(Firms!$L$5:$L$1004,$O865)))</f>
        <v/>
      </c>
      <c r="M865" s="50">
        <f>IF($O865="","",IF(INDEX(Firms!$M$5:$M$1004,$O865)="","—",INDEX(Firms!$M$5:$M$1004,$O865)))</f>
        <v/>
      </c>
      <c r="O865">
        <f>IFERROR(MATCH(SMALL(Firms!$Y$5:$Y$1004,857),Firms!$W$5:$W$1004,0),"")</f>
        <v/>
      </c>
    </row>
    <row r="866">
      <c r="B866" s="78">
        <f>IF($O866="","",INDEX(Firms!$A$5:$A$1004,$O866))</f>
        <v/>
      </c>
      <c r="C866" s="79">
        <f>IF($O866="","",INDEX(Firms!$N$5:$N$1004,$O866)&amp;"")</f>
        <v/>
      </c>
      <c r="D866" s="79">
        <f>IF($O866="","",INDEX(Firms!$P$5:$P$1004,$O866)&amp;"")</f>
        <v/>
      </c>
      <c r="E866" s="79">
        <f>IF($O866="","",INDEX(Firms!$O$5:$O$1004,$O866)&amp;"")</f>
        <v/>
      </c>
      <c r="F866" s="50">
        <f>IF($O866="","",IF(INDEX(Firms!$F$5:$F$1004,$O866)="","—",INDEX(Firms!$F$5:$F$1004,$O866)))</f>
        <v/>
      </c>
      <c r="G866" s="50">
        <f>IF($O866="","",IF(INDEX(Firms!$G$5:$G$1004,$O866)="","—",INDEX(Firms!$G$5:$G$1004,$O866)))</f>
        <v/>
      </c>
      <c r="H866" s="50">
        <f>IF($O866="","",IF(INDEX(Firms!$H$5:$H$1004,$O866)="","—",INDEX(Firms!$H$5:$H$1004,$O866)))</f>
        <v/>
      </c>
      <c r="I866" s="50">
        <f>IF($O866="","",IF(INDEX(Firms!$I$5:$I$1004,$O866)="","—",INDEX(Firms!$I$5:$I$1004,$O866)))</f>
        <v/>
      </c>
      <c r="J866" s="50">
        <f>IF($O866="","",IF(INDEX(Firms!$J$5:$J$1004,$O866)="","—",INDEX(Firms!$J$5:$J$1004,$O866)))</f>
        <v/>
      </c>
      <c r="K866" s="50">
        <f>IF($O866="","",IF(INDEX(Firms!$K$5:$K$1004,$O866)="","—",INDEX(Firms!$K$5:$K$1004,$O866)))</f>
        <v/>
      </c>
      <c r="L866" s="50">
        <f>IF($O866="","",IF(INDEX(Firms!$L$5:$L$1004,$O866)="","—",INDEX(Firms!$L$5:$L$1004,$O866)))</f>
        <v/>
      </c>
      <c r="M866" s="50">
        <f>IF($O866="","",IF(INDEX(Firms!$M$5:$M$1004,$O866)="","—",INDEX(Firms!$M$5:$M$1004,$O866)))</f>
        <v/>
      </c>
      <c r="O866">
        <f>IFERROR(MATCH(SMALL(Firms!$Y$5:$Y$1004,858),Firms!$W$5:$W$1004,0),"")</f>
        <v/>
      </c>
    </row>
    <row r="867">
      <c r="B867" s="78">
        <f>IF($O867="","",INDEX(Firms!$A$5:$A$1004,$O867))</f>
        <v/>
      </c>
      <c r="C867" s="79">
        <f>IF($O867="","",INDEX(Firms!$N$5:$N$1004,$O867)&amp;"")</f>
        <v/>
      </c>
      <c r="D867" s="79">
        <f>IF($O867="","",INDEX(Firms!$P$5:$P$1004,$O867)&amp;"")</f>
        <v/>
      </c>
      <c r="E867" s="79">
        <f>IF($O867="","",INDEX(Firms!$O$5:$O$1004,$O867)&amp;"")</f>
        <v/>
      </c>
      <c r="F867" s="50">
        <f>IF($O867="","",IF(INDEX(Firms!$F$5:$F$1004,$O867)="","—",INDEX(Firms!$F$5:$F$1004,$O867)))</f>
        <v/>
      </c>
      <c r="G867" s="50">
        <f>IF($O867="","",IF(INDEX(Firms!$G$5:$G$1004,$O867)="","—",INDEX(Firms!$G$5:$G$1004,$O867)))</f>
        <v/>
      </c>
      <c r="H867" s="50">
        <f>IF($O867="","",IF(INDEX(Firms!$H$5:$H$1004,$O867)="","—",INDEX(Firms!$H$5:$H$1004,$O867)))</f>
        <v/>
      </c>
      <c r="I867" s="50">
        <f>IF($O867="","",IF(INDEX(Firms!$I$5:$I$1004,$O867)="","—",INDEX(Firms!$I$5:$I$1004,$O867)))</f>
        <v/>
      </c>
      <c r="J867" s="50">
        <f>IF($O867="","",IF(INDEX(Firms!$J$5:$J$1004,$O867)="","—",INDEX(Firms!$J$5:$J$1004,$O867)))</f>
        <v/>
      </c>
      <c r="K867" s="50">
        <f>IF($O867="","",IF(INDEX(Firms!$K$5:$K$1004,$O867)="","—",INDEX(Firms!$K$5:$K$1004,$O867)))</f>
        <v/>
      </c>
      <c r="L867" s="50">
        <f>IF($O867="","",IF(INDEX(Firms!$L$5:$L$1004,$O867)="","—",INDEX(Firms!$L$5:$L$1004,$O867)))</f>
        <v/>
      </c>
      <c r="M867" s="50">
        <f>IF($O867="","",IF(INDEX(Firms!$M$5:$M$1004,$O867)="","—",INDEX(Firms!$M$5:$M$1004,$O867)))</f>
        <v/>
      </c>
      <c r="O867">
        <f>IFERROR(MATCH(SMALL(Firms!$Y$5:$Y$1004,859),Firms!$W$5:$W$1004,0),"")</f>
        <v/>
      </c>
    </row>
    <row r="868">
      <c r="B868" s="78">
        <f>IF($O868="","",INDEX(Firms!$A$5:$A$1004,$O868))</f>
        <v/>
      </c>
      <c r="C868" s="79">
        <f>IF($O868="","",INDEX(Firms!$N$5:$N$1004,$O868)&amp;"")</f>
        <v/>
      </c>
      <c r="D868" s="79">
        <f>IF($O868="","",INDEX(Firms!$P$5:$P$1004,$O868)&amp;"")</f>
        <v/>
      </c>
      <c r="E868" s="79">
        <f>IF($O868="","",INDEX(Firms!$O$5:$O$1004,$O868)&amp;"")</f>
        <v/>
      </c>
      <c r="F868" s="50">
        <f>IF($O868="","",IF(INDEX(Firms!$F$5:$F$1004,$O868)="","—",INDEX(Firms!$F$5:$F$1004,$O868)))</f>
        <v/>
      </c>
      <c r="G868" s="50">
        <f>IF($O868="","",IF(INDEX(Firms!$G$5:$G$1004,$O868)="","—",INDEX(Firms!$G$5:$G$1004,$O868)))</f>
        <v/>
      </c>
      <c r="H868" s="50">
        <f>IF($O868="","",IF(INDEX(Firms!$H$5:$H$1004,$O868)="","—",INDEX(Firms!$H$5:$H$1004,$O868)))</f>
        <v/>
      </c>
      <c r="I868" s="50">
        <f>IF($O868="","",IF(INDEX(Firms!$I$5:$I$1004,$O868)="","—",INDEX(Firms!$I$5:$I$1004,$O868)))</f>
        <v/>
      </c>
      <c r="J868" s="50">
        <f>IF($O868="","",IF(INDEX(Firms!$J$5:$J$1004,$O868)="","—",INDEX(Firms!$J$5:$J$1004,$O868)))</f>
        <v/>
      </c>
      <c r="K868" s="50">
        <f>IF($O868="","",IF(INDEX(Firms!$K$5:$K$1004,$O868)="","—",INDEX(Firms!$K$5:$K$1004,$O868)))</f>
        <v/>
      </c>
      <c r="L868" s="50">
        <f>IF($O868="","",IF(INDEX(Firms!$L$5:$L$1004,$O868)="","—",INDEX(Firms!$L$5:$L$1004,$O868)))</f>
        <v/>
      </c>
      <c r="M868" s="50">
        <f>IF($O868="","",IF(INDEX(Firms!$M$5:$M$1004,$O868)="","—",INDEX(Firms!$M$5:$M$1004,$O868)))</f>
        <v/>
      </c>
      <c r="O868">
        <f>IFERROR(MATCH(SMALL(Firms!$Y$5:$Y$1004,860),Firms!$W$5:$W$1004,0),"")</f>
        <v/>
      </c>
    </row>
    <row r="869">
      <c r="B869" s="78">
        <f>IF($O869="","",INDEX(Firms!$A$5:$A$1004,$O869))</f>
        <v/>
      </c>
      <c r="C869" s="79">
        <f>IF($O869="","",INDEX(Firms!$N$5:$N$1004,$O869)&amp;"")</f>
        <v/>
      </c>
      <c r="D869" s="79">
        <f>IF($O869="","",INDEX(Firms!$P$5:$P$1004,$O869)&amp;"")</f>
        <v/>
      </c>
      <c r="E869" s="79">
        <f>IF($O869="","",INDEX(Firms!$O$5:$O$1004,$O869)&amp;"")</f>
        <v/>
      </c>
      <c r="F869" s="50">
        <f>IF($O869="","",IF(INDEX(Firms!$F$5:$F$1004,$O869)="","—",INDEX(Firms!$F$5:$F$1004,$O869)))</f>
        <v/>
      </c>
      <c r="G869" s="50">
        <f>IF($O869="","",IF(INDEX(Firms!$G$5:$G$1004,$O869)="","—",INDEX(Firms!$G$5:$G$1004,$O869)))</f>
        <v/>
      </c>
      <c r="H869" s="50">
        <f>IF($O869="","",IF(INDEX(Firms!$H$5:$H$1004,$O869)="","—",INDEX(Firms!$H$5:$H$1004,$O869)))</f>
        <v/>
      </c>
      <c r="I869" s="50">
        <f>IF($O869="","",IF(INDEX(Firms!$I$5:$I$1004,$O869)="","—",INDEX(Firms!$I$5:$I$1004,$O869)))</f>
        <v/>
      </c>
      <c r="J869" s="50">
        <f>IF($O869="","",IF(INDEX(Firms!$J$5:$J$1004,$O869)="","—",INDEX(Firms!$J$5:$J$1004,$O869)))</f>
        <v/>
      </c>
      <c r="K869" s="50">
        <f>IF($O869="","",IF(INDEX(Firms!$K$5:$K$1004,$O869)="","—",INDEX(Firms!$K$5:$K$1004,$O869)))</f>
        <v/>
      </c>
      <c r="L869" s="50">
        <f>IF($O869="","",IF(INDEX(Firms!$L$5:$L$1004,$O869)="","—",INDEX(Firms!$L$5:$L$1004,$O869)))</f>
        <v/>
      </c>
      <c r="M869" s="50">
        <f>IF($O869="","",IF(INDEX(Firms!$M$5:$M$1004,$O869)="","—",INDEX(Firms!$M$5:$M$1004,$O869)))</f>
        <v/>
      </c>
      <c r="O869">
        <f>IFERROR(MATCH(SMALL(Firms!$Y$5:$Y$1004,861),Firms!$W$5:$W$1004,0),"")</f>
        <v/>
      </c>
    </row>
    <row r="870">
      <c r="B870" s="78">
        <f>IF($O870="","",INDEX(Firms!$A$5:$A$1004,$O870))</f>
        <v/>
      </c>
      <c r="C870" s="79">
        <f>IF($O870="","",INDEX(Firms!$N$5:$N$1004,$O870)&amp;"")</f>
        <v/>
      </c>
      <c r="D870" s="79">
        <f>IF($O870="","",INDEX(Firms!$P$5:$P$1004,$O870)&amp;"")</f>
        <v/>
      </c>
      <c r="E870" s="79">
        <f>IF($O870="","",INDEX(Firms!$O$5:$O$1004,$O870)&amp;"")</f>
        <v/>
      </c>
      <c r="F870" s="50">
        <f>IF($O870="","",IF(INDEX(Firms!$F$5:$F$1004,$O870)="","—",INDEX(Firms!$F$5:$F$1004,$O870)))</f>
        <v/>
      </c>
      <c r="G870" s="50">
        <f>IF($O870="","",IF(INDEX(Firms!$G$5:$G$1004,$O870)="","—",INDEX(Firms!$G$5:$G$1004,$O870)))</f>
        <v/>
      </c>
      <c r="H870" s="50">
        <f>IF($O870="","",IF(INDEX(Firms!$H$5:$H$1004,$O870)="","—",INDEX(Firms!$H$5:$H$1004,$O870)))</f>
        <v/>
      </c>
      <c r="I870" s="50">
        <f>IF($O870="","",IF(INDEX(Firms!$I$5:$I$1004,$O870)="","—",INDEX(Firms!$I$5:$I$1004,$O870)))</f>
        <v/>
      </c>
      <c r="J870" s="50">
        <f>IF($O870="","",IF(INDEX(Firms!$J$5:$J$1004,$O870)="","—",INDEX(Firms!$J$5:$J$1004,$O870)))</f>
        <v/>
      </c>
      <c r="K870" s="50">
        <f>IF($O870="","",IF(INDEX(Firms!$K$5:$K$1004,$O870)="","—",INDEX(Firms!$K$5:$K$1004,$O870)))</f>
        <v/>
      </c>
      <c r="L870" s="50">
        <f>IF($O870="","",IF(INDEX(Firms!$L$5:$L$1004,$O870)="","—",INDEX(Firms!$L$5:$L$1004,$O870)))</f>
        <v/>
      </c>
      <c r="M870" s="50">
        <f>IF($O870="","",IF(INDEX(Firms!$M$5:$M$1004,$O870)="","—",INDEX(Firms!$M$5:$M$1004,$O870)))</f>
        <v/>
      </c>
      <c r="O870">
        <f>IFERROR(MATCH(SMALL(Firms!$Y$5:$Y$1004,862),Firms!$W$5:$W$1004,0),"")</f>
        <v/>
      </c>
    </row>
    <row r="871">
      <c r="B871" s="78">
        <f>IF($O871="","",INDEX(Firms!$A$5:$A$1004,$O871))</f>
        <v/>
      </c>
      <c r="C871" s="79">
        <f>IF($O871="","",INDEX(Firms!$N$5:$N$1004,$O871)&amp;"")</f>
        <v/>
      </c>
      <c r="D871" s="79">
        <f>IF($O871="","",INDEX(Firms!$P$5:$P$1004,$O871)&amp;"")</f>
        <v/>
      </c>
      <c r="E871" s="79">
        <f>IF($O871="","",INDEX(Firms!$O$5:$O$1004,$O871)&amp;"")</f>
        <v/>
      </c>
      <c r="F871" s="50">
        <f>IF($O871="","",IF(INDEX(Firms!$F$5:$F$1004,$O871)="","—",INDEX(Firms!$F$5:$F$1004,$O871)))</f>
        <v/>
      </c>
      <c r="G871" s="50">
        <f>IF($O871="","",IF(INDEX(Firms!$G$5:$G$1004,$O871)="","—",INDEX(Firms!$G$5:$G$1004,$O871)))</f>
        <v/>
      </c>
      <c r="H871" s="50">
        <f>IF($O871="","",IF(INDEX(Firms!$H$5:$H$1004,$O871)="","—",INDEX(Firms!$H$5:$H$1004,$O871)))</f>
        <v/>
      </c>
      <c r="I871" s="50">
        <f>IF($O871="","",IF(INDEX(Firms!$I$5:$I$1004,$O871)="","—",INDEX(Firms!$I$5:$I$1004,$O871)))</f>
        <v/>
      </c>
      <c r="J871" s="50">
        <f>IF($O871="","",IF(INDEX(Firms!$J$5:$J$1004,$O871)="","—",INDEX(Firms!$J$5:$J$1004,$O871)))</f>
        <v/>
      </c>
      <c r="K871" s="50">
        <f>IF($O871="","",IF(INDEX(Firms!$K$5:$K$1004,$O871)="","—",INDEX(Firms!$K$5:$K$1004,$O871)))</f>
        <v/>
      </c>
      <c r="L871" s="50">
        <f>IF($O871="","",IF(INDEX(Firms!$L$5:$L$1004,$O871)="","—",INDEX(Firms!$L$5:$L$1004,$O871)))</f>
        <v/>
      </c>
      <c r="M871" s="50">
        <f>IF($O871="","",IF(INDEX(Firms!$M$5:$M$1004,$O871)="","—",INDEX(Firms!$M$5:$M$1004,$O871)))</f>
        <v/>
      </c>
      <c r="O871">
        <f>IFERROR(MATCH(SMALL(Firms!$Y$5:$Y$1004,863),Firms!$W$5:$W$1004,0),"")</f>
        <v/>
      </c>
    </row>
    <row r="872">
      <c r="B872" s="78">
        <f>IF($O872="","",INDEX(Firms!$A$5:$A$1004,$O872))</f>
        <v/>
      </c>
      <c r="C872" s="79">
        <f>IF($O872="","",INDEX(Firms!$N$5:$N$1004,$O872)&amp;"")</f>
        <v/>
      </c>
      <c r="D872" s="79">
        <f>IF($O872="","",INDEX(Firms!$P$5:$P$1004,$O872)&amp;"")</f>
        <v/>
      </c>
      <c r="E872" s="79">
        <f>IF($O872="","",INDEX(Firms!$O$5:$O$1004,$O872)&amp;"")</f>
        <v/>
      </c>
      <c r="F872" s="50">
        <f>IF($O872="","",IF(INDEX(Firms!$F$5:$F$1004,$O872)="","—",INDEX(Firms!$F$5:$F$1004,$O872)))</f>
        <v/>
      </c>
      <c r="G872" s="50">
        <f>IF($O872="","",IF(INDEX(Firms!$G$5:$G$1004,$O872)="","—",INDEX(Firms!$G$5:$G$1004,$O872)))</f>
        <v/>
      </c>
      <c r="H872" s="50">
        <f>IF($O872="","",IF(INDEX(Firms!$H$5:$H$1004,$O872)="","—",INDEX(Firms!$H$5:$H$1004,$O872)))</f>
        <v/>
      </c>
      <c r="I872" s="50">
        <f>IF($O872="","",IF(INDEX(Firms!$I$5:$I$1004,$O872)="","—",INDEX(Firms!$I$5:$I$1004,$O872)))</f>
        <v/>
      </c>
      <c r="J872" s="50">
        <f>IF($O872="","",IF(INDEX(Firms!$J$5:$J$1004,$O872)="","—",INDEX(Firms!$J$5:$J$1004,$O872)))</f>
        <v/>
      </c>
      <c r="K872" s="50">
        <f>IF($O872="","",IF(INDEX(Firms!$K$5:$K$1004,$O872)="","—",INDEX(Firms!$K$5:$K$1004,$O872)))</f>
        <v/>
      </c>
      <c r="L872" s="50">
        <f>IF($O872="","",IF(INDEX(Firms!$L$5:$L$1004,$O872)="","—",INDEX(Firms!$L$5:$L$1004,$O872)))</f>
        <v/>
      </c>
      <c r="M872" s="50">
        <f>IF($O872="","",IF(INDEX(Firms!$M$5:$M$1004,$O872)="","—",INDEX(Firms!$M$5:$M$1004,$O872)))</f>
        <v/>
      </c>
      <c r="O872">
        <f>IFERROR(MATCH(SMALL(Firms!$Y$5:$Y$1004,864),Firms!$W$5:$W$1004,0),"")</f>
        <v/>
      </c>
    </row>
    <row r="873">
      <c r="B873" s="78">
        <f>IF($O873="","",INDEX(Firms!$A$5:$A$1004,$O873))</f>
        <v/>
      </c>
      <c r="C873" s="79">
        <f>IF($O873="","",INDEX(Firms!$N$5:$N$1004,$O873)&amp;"")</f>
        <v/>
      </c>
      <c r="D873" s="79">
        <f>IF($O873="","",INDEX(Firms!$P$5:$P$1004,$O873)&amp;"")</f>
        <v/>
      </c>
      <c r="E873" s="79">
        <f>IF($O873="","",INDEX(Firms!$O$5:$O$1004,$O873)&amp;"")</f>
        <v/>
      </c>
      <c r="F873" s="50">
        <f>IF($O873="","",IF(INDEX(Firms!$F$5:$F$1004,$O873)="","—",INDEX(Firms!$F$5:$F$1004,$O873)))</f>
        <v/>
      </c>
      <c r="G873" s="50">
        <f>IF($O873="","",IF(INDEX(Firms!$G$5:$G$1004,$O873)="","—",INDEX(Firms!$G$5:$G$1004,$O873)))</f>
        <v/>
      </c>
      <c r="H873" s="50">
        <f>IF($O873="","",IF(INDEX(Firms!$H$5:$H$1004,$O873)="","—",INDEX(Firms!$H$5:$H$1004,$O873)))</f>
        <v/>
      </c>
      <c r="I873" s="50">
        <f>IF($O873="","",IF(INDEX(Firms!$I$5:$I$1004,$O873)="","—",INDEX(Firms!$I$5:$I$1004,$O873)))</f>
        <v/>
      </c>
      <c r="J873" s="50">
        <f>IF($O873="","",IF(INDEX(Firms!$J$5:$J$1004,$O873)="","—",INDEX(Firms!$J$5:$J$1004,$O873)))</f>
        <v/>
      </c>
      <c r="K873" s="50">
        <f>IF($O873="","",IF(INDEX(Firms!$K$5:$K$1004,$O873)="","—",INDEX(Firms!$K$5:$K$1004,$O873)))</f>
        <v/>
      </c>
      <c r="L873" s="50">
        <f>IF($O873="","",IF(INDEX(Firms!$L$5:$L$1004,$O873)="","—",INDEX(Firms!$L$5:$L$1004,$O873)))</f>
        <v/>
      </c>
      <c r="M873" s="50">
        <f>IF($O873="","",IF(INDEX(Firms!$M$5:$M$1004,$O873)="","—",INDEX(Firms!$M$5:$M$1004,$O873)))</f>
        <v/>
      </c>
      <c r="O873">
        <f>IFERROR(MATCH(SMALL(Firms!$Y$5:$Y$1004,865),Firms!$W$5:$W$1004,0),"")</f>
        <v/>
      </c>
    </row>
    <row r="874">
      <c r="B874" s="78">
        <f>IF($O874="","",INDEX(Firms!$A$5:$A$1004,$O874))</f>
        <v/>
      </c>
      <c r="C874" s="79">
        <f>IF($O874="","",INDEX(Firms!$N$5:$N$1004,$O874)&amp;"")</f>
        <v/>
      </c>
      <c r="D874" s="79">
        <f>IF($O874="","",INDEX(Firms!$P$5:$P$1004,$O874)&amp;"")</f>
        <v/>
      </c>
      <c r="E874" s="79">
        <f>IF($O874="","",INDEX(Firms!$O$5:$O$1004,$O874)&amp;"")</f>
        <v/>
      </c>
      <c r="F874" s="50">
        <f>IF($O874="","",IF(INDEX(Firms!$F$5:$F$1004,$O874)="","—",INDEX(Firms!$F$5:$F$1004,$O874)))</f>
        <v/>
      </c>
      <c r="G874" s="50">
        <f>IF($O874="","",IF(INDEX(Firms!$G$5:$G$1004,$O874)="","—",INDEX(Firms!$G$5:$G$1004,$O874)))</f>
        <v/>
      </c>
      <c r="H874" s="50">
        <f>IF($O874="","",IF(INDEX(Firms!$H$5:$H$1004,$O874)="","—",INDEX(Firms!$H$5:$H$1004,$O874)))</f>
        <v/>
      </c>
      <c r="I874" s="50">
        <f>IF($O874="","",IF(INDEX(Firms!$I$5:$I$1004,$O874)="","—",INDEX(Firms!$I$5:$I$1004,$O874)))</f>
        <v/>
      </c>
      <c r="J874" s="50">
        <f>IF($O874="","",IF(INDEX(Firms!$J$5:$J$1004,$O874)="","—",INDEX(Firms!$J$5:$J$1004,$O874)))</f>
        <v/>
      </c>
      <c r="K874" s="50">
        <f>IF($O874="","",IF(INDEX(Firms!$K$5:$K$1004,$O874)="","—",INDEX(Firms!$K$5:$K$1004,$O874)))</f>
        <v/>
      </c>
      <c r="L874" s="50">
        <f>IF($O874="","",IF(INDEX(Firms!$L$5:$L$1004,$O874)="","—",INDEX(Firms!$L$5:$L$1004,$O874)))</f>
        <v/>
      </c>
      <c r="M874" s="50">
        <f>IF($O874="","",IF(INDEX(Firms!$M$5:$M$1004,$O874)="","—",INDEX(Firms!$M$5:$M$1004,$O874)))</f>
        <v/>
      </c>
      <c r="O874">
        <f>IFERROR(MATCH(SMALL(Firms!$Y$5:$Y$1004,866),Firms!$W$5:$W$1004,0),"")</f>
        <v/>
      </c>
    </row>
    <row r="875">
      <c r="B875" s="78">
        <f>IF($O875="","",INDEX(Firms!$A$5:$A$1004,$O875))</f>
        <v/>
      </c>
      <c r="C875" s="79">
        <f>IF($O875="","",INDEX(Firms!$N$5:$N$1004,$O875)&amp;"")</f>
        <v/>
      </c>
      <c r="D875" s="79">
        <f>IF($O875="","",INDEX(Firms!$P$5:$P$1004,$O875)&amp;"")</f>
        <v/>
      </c>
      <c r="E875" s="79">
        <f>IF($O875="","",INDEX(Firms!$O$5:$O$1004,$O875)&amp;"")</f>
        <v/>
      </c>
      <c r="F875" s="50">
        <f>IF($O875="","",IF(INDEX(Firms!$F$5:$F$1004,$O875)="","—",INDEX(Firms!$F$5:$F$1004,$O875)))</f>
        <v/>
      </c>
      <c r="G875" s="50">
        <f>IF($O875="","",IF(INDEX(Firms!$G$5:$G$1004,$O875)="","—",INDEX(Firms!$G$5:$G$1004,$O875)))</f>
        <v/>
      </c>
      <c r="H875" s="50">
        <f>IF($O875="","",IF(INDEX(Firms!$H$5:$H$1004,$O875)="","—",INDEX(Firms!$H$5:$H$1004,$O875)))</f>
        <v/>
      </c>
      <c r="I875" s="50">
        <f>IF($O875="","",IF(INDEX(Firms!$I$5:$I$1004,$O875)="","—",INDEX(Firms!$I$5:$I$1004,$O875)))</f>
        <v/>
      </c>
      <c r="J875" s="50">
        <f>IF($O875="","",IF(INDEX(Firms!$J$5:$J$1004,$O875)="","—",INDEX(Firms!$J$5:$J$1004,$O875)))</f>
        <v/>
      </c>
      <c r="K875" s="50">
        <f>IF($O875="","",IF(INDEX(Firms!$K$5:$K$1004,$O875)="","—",INDEX(Firms!$K$5:$K$1004,$O875)))</f>
        <v/>
      </c>
      <c r="L875" s="50">
        <f>IF($O875="","",IF(INDEX(Firms!$L$5:$L$1004,$O875)="","—",INDEX(Firms!$L$5:$L$1004,$O875)))</f>
        <v/>
      </c>
      <c r="M875" s="50">
        <f>IF($O875="","",IF(INDEX(Firms!$M$5:$M$1004,$O875)="","—",INDEX(Firms!$M$5:$M$1004,$O875)))</f>
        <v/>
      </c>
      <c r="O875">
        <f>IFERROR(MATCH(SMALL(Firms!$Y$5:$Y$1004,867),Firms!$W$5:$W$1004,0),"")</f>
        <v/>
      </c>
    </row>
    <row r="876">
      <c r="B876" s="78">
        <f>IF($O876="","",INDEX(Firms!$A$5:$A$1004,$O876))</f>
        <v/>
      </c>
      <c r="C876" s="79">
        <f>IF($O876="","",INDEX(Firms!$N$5:$N$1004,$O876)&amp;"")</f>
        <v/>
      </c>
      <c r="D876" s="79">
        <f>IF($O876="","",INDEX(Firms!$P$5:$P$1004,$O876)&amp;"")</f>
        <v/>
      </c>
      <c r="E876" s="79">
        <f>IF($O876="","",INDEX(Firms!$O$5:$O$1004,$O876)&amp;"")</f>
        <v/>
      </c>
      <c r="F876" s="50">
        <f>IF($O876="","",IF(INDEX(Firms!$F$5:$F$1004,$O876)="","—",INDEX(Firms!$F$5:$F$1004,$O876)))</f>
        <v/>
      </c>
      <c r="G876" s="50">
        <f>IF($O876="","",IF(INDEX(Firms!$G$5:$G$1004,$O876)="","—",INDEX(Firms!$G$5:$G$1004,$O876)))</f>
        <v/>
      </c>
      <c r="H876" s="50">
        <f>IF($O876="","",IF(INDEX(Firms!$H$5:$H$1004,$O876)="","—",INDEX(Firms!$H$5:$H$1004,$O876)))</f>
        <v/>
      </c>
      <c r="I876" s="50">
        <f>IF($O876="","",IF(INDEX(Firms!$I$5:$I$1004,$O876)="","—",INDEX(Firms!$I$5:$I$1004,$O876)))</f>
        <v/>
      </c>
      <c r="J876" s="50">
        <f>IF($O876="","",IF(INDEX(Firms!$J$5:$J$1004,$O876)="","—",INDEX(Firms!$J$5:$J$1004,$O876)))</f>
        <v/>
      </c>
      <c r="K876" s="50">
        <f>IF($O876="","",IF(INDEX(Firms!$K$5:$K$1004,$O876)="","—",INDEX(Firms!$K$5:$K$1004,$O876)))</f>
        <v/>
      </c>
      <c r="L876" s="50">
        <f>IF($O876="","",IF(INDEX(Firms!$L$5:$L$1004,$O876)="","—",INDEX(Firms!$L$5:$L$1004,$O876)))</f>
        <v/>
      </c>
      <c r="M876" s="50">
        <f>IF($O876="","",IF(INDEX(Firms!$M$5:$M$1004,$O876)="","—",INDEX(Firms!$M$5:$M$1004,$O876)))</f>
        <v/>
      </c>
      <c r="O876">
        <f>IFERROR(MATCH(SMALL(Firms!$Y$5:$Y$1004,868),Firms!$W$5:$W$1004,0),"")</f>
        <v/>
      </c>
    </row>
    <row r="877">
      <c r="B877" s="78">
        <f>IF($O877="","",INDEX(Firms!$A$5:$A$1004,$O877))</f>
        <v/>
      </c>
      <c r="C877" s="79">
        <f>IF($O877="","",INDEX(Firms!$N$5:$N$1004,$O877)&amp;"")</f>
        <v/>
      </c>
      <c r="D877" s="79">
        <f>IF($O877="","",INDEX(Firms!$P$5:$P$1004,$O877)&amp;"")</f>
        <v/>
      </c>
      <c r="E877" s="79">
        <f>IF($O877="","",INDEX(Firms!$O$5:$O$1004,$O877)&amp;"")</f>
        <v/>
      </c>
      <c r="F877" s="50">
        <f>IF($O877="","",IF(INDEX(Firms!$F$5:$F$1004,$O877)="","—",INDEX(Firms!$F$5:$F$1004,$O877)))</f>
        <v/>
      </c>
      <c r="G877" s="50">
        <f>IF($O877="","",IF(INDEX(Firms!$G$5:$G$1004,$O877)="","—",INDEX(Firms!$G$5:$G$1004,$O877)))</f>
        <v/>
      </c>
      <c r="H877" s="50">
        <f>IF($O877="","",IF(INDEX(Firms!$H$5:$H$1004,$O877)="","—",INDEX(Firms!$H$5:$H$1004,$O877)))</f>
        <v/>
      </c>
      <c r="I877" s="50">
        <f>IF($O877="","",IF(INDEX(Firms!$I$5:$I$1004,$O877)="","—",INDEX(Firms!$I$5:$I$1004,$O877)))</f>
        <v/>
      </c>
      <c r="J877" s="50">
        <f>IF($O877="","",IF(INDEX(Firms!$J$5:$J$1004,$O877)="","—",INDEX(Firms!$J$5:$J$1004,$O877)))</f>
        <v/>
      </c>
      <c r="K877" s="50">
        <f>IF($O877="","",IF(INDEX(Firms!$K$5:$K$1004,$O877)="","—",INDEX(Firms!$K$5:$K$1004,$O877)))</f>
        <v/>
      </c>
      <c r="L877" s="50">
        <f>IF($O877="","",IF(INDEX(Firms!$L$5:$L$1004,$O877)="","—",INDEX(Firms!$L$5:$L$1004,$O877)))</f>
        <v/>
      </c>
      <c r="M877" s="50">
        <f>IF($O877="","",IF(INDEX(Firms!$M$5:$M$1004,$O877)="","—",INDEX(Firms!$M$5:$M$1004,$O877)))</f>
        <v/>
      </c>
      <c r="O877">
        <f>IFERROR(MATCH(SMALL(Firms!$Y$5:$Y$1004,869),Firms!$W$5:$W$1004,0),"")</f>
        <v/>
      </c>
    </row>
    <row r="878">
      <c r="B878" s="78">
        <f>IF($O878="","",INDEX(Firms!$A$5:$A$1004,$O878))</f>
        <v/>
      </c>
      <c r="C878" s="79">
        <f>IF($O878="","",INDEX(Firms!$N$5:$N$1004,$O878)&amp;"")</f>
        <v/>
      </c>
      <c r="D878" s="79">
        <f>IF($O878="","",INDEX(Firms!$P$5:$P$1004,$O878)&amp;"")</f>
        <v/>
      </c>
      <c r="E878" s="79">
        <f>IF($O878="","",INDEX(Firms!$O$5:$O$1004,$O878)&amp;"")</f>
        <v/>
      </c>
      <c r="F878" s="50">
        <f>IF($O878="","",IF(INDEX(Firms!$F$5:$F$1004,$O878)="","—",INDEX(Firms!$F$5:$F$1004,$O878)))</f>
        <v/>
      </c>
      <c r="G878" s="50">
        <f>IF($O878="","",IF(INDEX(Firms!$G$5:$G$1004,$O878)="","—",INDEX(Firms!$G$5:$G$1004,$O878)))</f>
        <v/>
      </c>
      <c r="H878" s="50">
        <f>IF($O878="","",IF(INDEX(Firms!$H$5:$H$1004,$O878)="","—",INDEX(Firms!$H$5:$H$1004,$O878)))</f>
        <v/>
      </c>
      <c r="I878" s="50">
        <f>IF($O878="","",IF(INDEX(Firms!$I$5:$I$1004,$O878)="","—",INDEX(Firms!$I$5:$I$1004,$O878)))</f>
        <v/>
      </c>
      <c r="J878" s="50">
        <f>IF($O878="","",IF(INDEX(Firms!$J$5:$J$1004,$O878)="","—",INDEX(Firms!$J$5:$J$1004,$O878)))</f>
        <v/>
      </c>
      <c r="K878" s="50">
        <f>IF($O878="","",IF(INDEX(Firms!$K$5:$K$1004,$O878)="","—",INDEX(Firms!$K$5:$K$1004,$O878)))</f>
        <v/>
      </c>
      <c r="L878" s="50">
        <f>IF($O878="","",IF(INDEX(Firms!$L$5:$L$1004,$O878)="","—",INDEX(Firms!$L$5:$L$1004,$O878)))</f>
        <v/>
      </c>
      <c r="M878" s="50">
        <f>IF($O878="","",IF(INDEX(Firms!$M$5:$M$1004,$O878)="","—",INDEX(Firms!$M$5:$M$1004,$O878)))</f>
        <v/>
      </c>
      <c r="O878">
        <f>IFERROR(MATCH(SMALL(Firms!$Y$5:$Y$1004,870),Firms!$W$5:$W$1004,0),"")</f>
        <v/>
      </c>
    </row>
    <row r="879">
      <c r="B879" s="78">
        <f>IF($O879="","",INDEX(Firms!$A$5:$A$1004,$O879))</f>
        <v/>
      </c>
      <c r="C879" s="79">
        <f>IF($O879="","",INDEX(Firms!$N$5:$N$1004,$O879)&amp;"")</f>
        <v/>
      </c>
      <c r="D879" s="79">
        <f>IF($O879="","",INDEX(Firms!$P$5:$P$1004,$O879)&amp;"")</f>
        <v/>
      </c>
      <c r="E879" s="79">
        <f>IF($O879="","",INDEX(Firms!$O$5:$O$1004,$O879)&amp;"")</f>
        <v/>
      </c>
      <c r="F879" s="50">
        <f>IF($O879="","",IF(INDEX(Firms!$F$5:$F$1004,$O879)="","—",INDEX(Firms!$F$5:$F$1004,$O879)))</f>
        <v/>
      </c>
      <c r="G879" s="50">
        <f>IF($O879="","",IF(INDEX(Firms!$G$5:$G$1004,$O879)="","—",INDEX(Firms!$G$5:$G$1004,$O879)))</f>
        <v/>
      </c>
      <c r="H879" s="50">
        <f>IF($O879="","",IF(INDEX(Firms!$H$5:$H$1004,$O879)="","—",INDEX(Firms!$H$5:$H$1004,$O879)))</f>
        <v/>
      </c>
      <c r="I879" s="50">
        <f>IF($O879="","",IF(INDEX(Firms!$I$5:$I$1004,$O879)="","—",INDEX(Firms!$I$5:$I$1004,$O879)))</f>
        <v/>
      </c>
      <c r="J879" s="50">
        <f>IF($O879="","",IF(INDEX(Firms!$J$5:$J$1004,$O879)="","—",INDEX(Firms!$J$5:$J$1004,$O879)))</f>
        <v/>
      </c>
      <c r="K879" s="50">
        <f>IF($O879="","",IF(INDEX(Firms!$K$5:$K$1004,$O879)="","—",INDEX(Firms!$K$5:$K$1004,$O879)))</f>
        <v/>
      </c>
      <c r="L879" s="50">
        <f>IF($O879="","",IF(INDEX(Firms!$L$5:$L$1004,$O879)="","—",INDEX(Firms!$L$5:$L$1004,$O879)))</f>
        <v/>
      </c>
      <c r="M879" s="50">
        <f>IF($O879="","",IF(INDEX(Firms!$M$5:$M$1004,$O879)="","—",INDEX(Firms!$M$5:$M$1004,$O879)))</f>
        <v/>
      </c>
      <c r="O879">
        <f>IFERROR(MATCH(SMALL(Firms!$Y$5:$Y$1004,871),Firms!$W$5:$W$1004,0),"")</f>
        <v/>
      </c>
    </row>
    <row r="880">
      <c r="B880" s="78">
        <f>IF($O880="","",INDEX(Firms!$A$5:$A$1004,$O880))</f>
        <v/>
      </c>
      <c r="C880" s="79">
        <f>IF($O880="","",INDEX(Firms!$N$5:$N$1004,$O880)&amp;"")</f>
        <v/>
      </c>
      <c r="D880" s="79">
        <f>IF($O880="","",INDEX(Firms!$P$5:$P$1004,$O880)&amp;"")</f>
        <v/>
      </c>
      <c r="E880" s="79">
        <f>IF($O880="","",INDEX(Firms!$O$5:$O$1004,$O880)&amp;"")</f>
        <v/>
      </c>
      <c r="F880" s="50">
        <f>IF($O880="","",IF(INDEX(Firms!$F$5:$F$1004,$O880)="","—",INDEX(Firms!$F$5:$F$1004,$O880)))</f>
        <v/>
      </c>
      <c r="G880" s="50">
        <f>IF($O880="","",IF(INDEX(Firms!$G$5:$G$1004,$O880)="","—",INDEX(Firms!$G$5:$G$1004,$O880)))</f>
        <v/>
      </c>
      <c r="H880" s="50">
        <f>IF($O880="","",IF(INDEX(Firms!$H$5:$H$1004,$O880)="","—",INDEX(Firms!$H$5:$H$1004,$O880)))</f>
        <v/>
      </c>
      <c r="I880" s="50">
        <f>IF($O880="","",IF(INDEX(Firms!$I$5:$I$1004,$O880)="","—",INDEX(Firms!$I$5:$I$1004,$O880)))</f>
        <v/>
      </c>
      <c r="J880" s="50">
        <f>IF($O880="","",IF(INDEX(Firms!$J$5:$J$1004,$O880)="","—",INDEX(Firms!$J$5:$J$1004,$O880)))</f>
        <v/>
      </c>
      <c r="K880" s="50">
        <f>IF($O880="","",IF(INDEX(Firms!$K$5:$K$1004,$O880)="","—",INDEX(Firms!$K$5:$K$1004,$O880)))</f>
        <v/>
      </c>
      <c r="L880" s="50">
        <f>IF($O880="","",IF(INDEX(Firms!$L$5:$L$1004,$O880)="","—",INDEX(Firms!$L$5:$L$1004,$O880)))</f>
        <v/>
      </c>
      <c r="M880" s="50">
        <f>IF($O880="","",IF(INDEX(Firms!$M$5:$M$1004,$O880)="","—",INDEX(Firms!$M$5:$M$1004,$O880)))</f>
        <v/>
      </c>
      <c r="O880">
        <f>IFERROR(MATCH(SMALL(Firms!$Y$5:$Y$1004,872),Firms!$W$5:$W$1004,0),"")</f>
        <v/>
      </c>
    </row>
    <row r="881">
      <c r="B881" s="78">
        <f>IF($O881="","",INDEX(Firms!$A$5:$A$1004,$O881))</f>
        <v/>
      </c>
      <c r="C881" s="79">
        <f>IF($O881="","",INDEX(Firms!$N$5:$N$1004,$O881)&amp;"")</f>
        <v/>
      </c>
      <c r="D881" s="79">
        <f>IF($O881="","",INDEX(Firms!$P$5:$P$1004,$O881)&amp;"")</f>
        <v/>
      </c>
      <c r="E881" s="79">
        <f>IF($O881="","",INDEX(Firms!$O$5:$O$1004,$O881)&amp;"")</f>
        <v/>
      </c>
      <c r="F881" s="50">
        <f>IF($O881="","",IF(INDEX(Firms!$F$5:$F$1004,$O881)="","—",INDEX(Firms!$F$5:$F$1004,$O881)))</f>
        <v/>
      </c>
      <c r="G881" s="50">
        <f>IF($O881="","",IF(INDEX(Firms!$G$5:$G$1004,$O881)="","—",INDEX(Firms!$G$5:$G$1004,$O881)))</f>
        <v/>
      </c>
      <c r="H881" s="50">
        <f>IF($O881="","",IF(INDEX(Firms!$H$5:$H$1004,$O881)="","—",INDEX(Firms!$H$5:$H$1004,$O881)))</f>
        <v/>
      </c>
      <c r="I881" s="50">
        <f>IF($O881="","",IF(INDEX(Firms!$I$5:$I$1004,$O881)="","—",INDEX(Firms!$I$5:$I$1004,$O881)))</f>
        <v/>
      </c>
      <c r="J881" s="50">
        <f>IF($O881="","",IF(INDEX(Firms!$J$5:$J$1004,$O881)="","—",INDEX(Firms!$J$5:$J$1004,$O881)))</f>
        <v/>
      </c>
      <c r="K881" s="50">
        <f>IF($O881="","",IF(INDEX(Firms!$K$5:$K$1004,$O881)="","—",INDEX(Firms!$K$5:$K$1004,$O881)))</f>
        <v/>
      </c>
      <c r="L881" s="50">
        <f>IF($O881="","",IF(INDEX(Firms!$L$5:$L$1004,$O881)="","—",INDEX(Firms!$L$5:$L$1004,$O881)))</f>
        <v/>
      </c>
      <c r="M881" s="50">
        <f>IF($O881="","",IF(INDEX(Firms!$M$5:$M$1004,$O881)="","—",INDEX(Firms!$M$5:$M$1004,$O881)))</f>
        <v/>
      </c>
      <c r="O881">
        <f>IFERROR(MATCH(SMALL(Firms!$Y$5:$Y$1004,873),Firms!$W$5:$W$1004,0),"")</f>
        <v/>
      </c>
    </row>
    <row r="882">
      <c r="B882" s="78">
        <f>IF($O882="","",INDEX(Firms!$A$5:$A$1004,$O882))</f>
        <v/>
      </c>
      <c r="C882" s="79">
        <f>IF($O882="","",INDEX(Firms!$N$5:$N$1004,$O882)&amp;"")</f>
        <v/>
      </c>
      <c r="D882" s="79">
        <f>IF($O882="","",INDEX(Firms!$P$5:$P$1004,$O882)&amp;"")</f>
        <v/>
      </c>
      <c r="E882" s="79">
        <f>IF($O882="","",INDEX(Firms!$O$5:$O$1004,$O882)&amp;"")</f>
        <v/>
      </c>
      <c r="F882" s="50">
        <f>IF($O882="","",IF(INDEX(Firms!$F$5:$F$1004,$O882)="","—",INDEX(Firms!$F$5:$F$1004,$O882)))</f>
        <v/>
      </c>
      <c r="G882" s="50">
        <f>IF($O882="","",IF(INDEX(Firms!$G$5:$G$1004,$O882)="","—",INDEX(Firms!$G$5:$G$1004,$O882)))</f>
        <v/>
      </c>
      <c r="H882" s="50">
        <f>IF($O882="","",IF(INDEX(Firms!$H$5:$H$1004,$O882)="","—",INDEX(Firms!$H$5:$H$1004,$O882)))</f>
        <v/>
      </c>
      <c r="I882" s="50">
        <f>IF($O882="","",IF(INDEX(Firms!$I$5:$I$1004,$O882)="","—",INDEX(Firms!$I$5:$I$1004,$O882)))</f>
        <v/>
      </c>
      <c r="J882" s="50">
        <f>IF($O882="","",IF(INDEX(Firms!$J$5:$J$1004,$O882)="","—",INDEX(Firms!$J$5:$J$1004,$O882)))</f>
        <v/>
      </c>
      <c r="K882" s="50">
        <f>IF($O882="","",IF(INDEX(Firms!$K$5:$K$1004,$O882)="","—",INDEX(Firms!$K$5:$K$1004,$O882)))</f>
        <v/>
      </c>
      <c r="L882" s="50">
        <f>IF($O882="","",IF(INDEX(Firms!$L$5:$L$1004,$O882)="","—",INDEX(Firms!$L$5:$L$1004,$O882)))</f>
        <v/>
      </c>
      <c r="M882" s="50">
        <f>IF($O882="","",IF(INDEX(Firms!$M$5:$M$1004,$O882)="","—",INDEX(Firms!$M$5:$M$1004,$O882)))</f>
        <v/>
      </c>
      <c r="O882">
        <f>IFERROR(MATCH(SMALL(Firms!$Y$5:$Y$1004,874),Firms!$W$5:$W$1004,0),"")</f>
        <v/>
      </c>
    </row>
    <row r="883">
      <c r="B883" s="78">
        <f>IF($O883="","",INDEX(Firms!$A$5:$A$1004,$O883))</f>
        <v/>
      </c>
      <c r="C883" s="79">
        <f>IF($O883="","",INDEX(Firms!$N$5:$N$1004,$O883)&amp;"")</f>
        <v/>
      </c>
      <c r="D883" s="79">
        <f>IF($O883="","",INDEX(Firms!$P$5:$P$1004,$O883)&amp;"")</f>
        <v/>
      </c>
      <c r="E883" s="79">
        <f>IF($O883="","",INDEX(Firms!$O$5:$O$1004,$O883)&amp;"")</f>
        <v/>
      </c>
      <c r="F883" s="50">
        <f>IF($O883="","",IF(INDEX(Firms!$F$5:$F$1004,$O883)="","—",INDEX(Firms!$F$5:$F$1004,$O883)))</f>
        <v/>
      </c>
      <c r="G883" s="50">
        <f>IF($O883="","",IF(INDEX(Firms!$G$5:$G$1004,$O883)="","—",INDEX(Firms!$G$5:$G$1004,$O883)))</f>
        <v/>
      </c>
      <c r="H883" s="50">
        <f>IF($O883="","",IF(INDEX(Firms!$H$5:$H$1004,$O883)="","—",INDEX(Firms!$H$5:$H$1004,$O883)))</f>
        <v/>
      </c>
      <c r="I883" s="50">
        <f>IF($O883="","",IF(INDEX(Firms!$I$5:$I$1004,$O883)="","—",INDEX(Firms!$I$5:$I$1004,$O883)))</f>
        <v/>
      </c>
      <c r="J883" s="50">
        <f>IF($O883="","",IF(INDEX(Firms!$J$5:$J$1004,$O883)="","—",INDEX(Firms!$J$5:$J$1004,$O883)))</f>
        <v/>
      </c>
      <c r="K883" s="50">
        <f>IF($O883="","",IF(INDEX(Firms!$K$5:$K$1004,$O883)="","—",INDEX(Firms!$K$5:$K$1004,$O883)))</f>
        <v/>
      </c>
      <c r="L883" s="50">
        <f>IF($O883="","",IF(INDEX(Firms!$L$5:$L$1004,$O883)="","—",INDEX(Firms!$L$5:$L$1004,$O883)))</f>
        <v/>
      </c>
      <c r="M883" s="50">
        <f>IF($O883="","",IF(INDEX(Firms!$M$5:$M$1004,$O883)="","—",INDEX(Firms!$M$5:$M$1004,$O883)))</f>
        <v/>
      </c>
      <c r="O883">
        <f>IFERROR(MATCH(SMALL(Firms!$Y$5:$Y$1004,875),Firms!$W$5:$W$1004,0),"")</f>
        <v/>
      </c>
    </row>
    <row r="884">
      <c r="B884" s="78">
        <f>IF($O884="","",INDEX(Firms!$A$5:$A$1004,$O884))</f>
        <v/>
      </c>
      <c r="C884" s="79">
        <f>IF($O884="","",INDEX(Firms!$N$5:$N$1004,$O884)&amp;"")</f>
        <v/>
      </c>
      <c r="D884" s="79">
        <f>IF($O884="","",INDEX(Firms!$P$5:$P$1004,$O884)&amp;"")</f>
        <v/>
      </c>
      <c r="E884" s="79">
        <f>IF($O884="","",INDEX(Firms!$O$5:$O$1004,$O884)&amp;"")</f>
        <v/>
      </c>
      <c r="F884" s="50">
        <f>IF($O884="","",IF(INDEX(Firms!$F$5:$F$1004,$O884)="","—",INDEX(Firms!$F$5:$F$1004,$O884)))</f>
        <v/>
      </c>
      <c r="G884" s="50">
        <f>IF($O884="","",IF(INDEX(Firms!$G$5:$G$1004,$O884)="","—",INDEX(Firms!$G$5:$G$1004,$O884)))</f>
        <v/>
      </c>
      <c r="H884" s="50">
        <f>IF($O884="","",IF(INDEX(Firms!$H$5:$H$1004,$O884)="","—",INDEX(Firms!$H$5:$H$1004,$O884)))</f>
        <v/>
      </c>
      <c r="I884" s="50">
        <f>IF($O884="","",IF(INDEX(Firms!$I$5:$I$1004,$O884)="","—",INDEX(Firms!$I$5:$I$1004,$O884)))</f>
        <v/>
      </c>
      <c r="J884" s="50">
        <f>IF($O884="","",IF(INDEX(Firms!$J$5:$J$1004,$O884)="","—",INDEX(Firms!$J$5:$J$1004,$O884)))</f>
        <v/>
      </c>
      <c r="K884" s="50">
        <f>IF($O884="","",IF(INDEX(Firms!$K$5:$K$1004,$O884)="","—",INDEX(Firms!$K$5:$K$1004,$O884)))</f>
        <v/>
      </c>
      <c r="L884" s="50">
        <f>IF($O884="","",IF(INDEX(Firms!$L$5:$L$1004,$O884)="","—",INDEX(Firms!$L$5:$L$1004,$O884)))</f>
        <v/>
      </c>
      <c r="M884" s="50">
        <f>IF($O884="","",IF(INDEX(Firms!$M$5:$M$1004,$O884)="","—",INDEX(Firms!$M$5:$M$1004,$O884)))</f>
        <v/>
      </c>
      <c r="O884">
        <f>IFERROR(MATCH(SMALL(Firms!$Y$5:$Y$1004,876),Firms!$W$5:$W$1004,0),"")</f>
        <v/>
      </c>
    </row>
    <row r="885">
      <c r="B885" s="78">
        <f>IF($O885="","",INDEX(Firms!$A$5:$A$1004,$O885))</f>
        <v/>
      </c>
      <c r="C885" s="79">
        <f>IF($O885="","",INDEX(Firms!$N$5:$N$1004,$O885)&amp;"")</f>
        <v/>
      </c>
      <c r="D885" s="79">
        <f>IF($O885="","",INDEX(Firms!$P$5:$P$1004,$O885)&amp;"")</f>
        <v/>
      </c>
      <c r="E885" s="79">
        <f>IF($O885="","",INDEX(Firms!$O$5:$O$1004,$O885)&amp;"")</f>
        <v/>
      </c>
      <c r="F885" s="50">
        <f>IF($O885="","",IF(INDEX(Firms!$F$5:$F$1004,$O885)="","—",INDEX(Firms!$F$5:$F$1004,$O885)))</f>
        <v/>
      </c>
      <c r="G885" s="50">
        <f>IF($O885="","",IF(INDEX(Firms!$G$5:$G$1004,$O885)="","—",INDEX(Firms!$G$5:$G$1004,$O885)))</f>
        <v/>
      </c>
      <c r="H885" s="50">
        <f>IF($O885="","",IF(INDEX(Firms!$H$5:$H$1004,$O885)="","—",INDEX(Firms!$H$5:$H$1004,$O885)))</f>
        <v/>
      </c>
      <c r="I885" s="50">
        <f>IF($O885="","",IF(INDEX(Firms!$I$5:$I$1004,$O885)="","—",INDEX(Firms!$I$5:$I$1004,$O885)))</f>
        <v/>
      </c>
      <c r="J885" s="50">
        <f>IF($O885="","",IF(INDEX(Firms!$J$5:$J$1004,$O885)="","—",INDEX(Firms!$J$5:$J$1004,$O885)))</f>
        <v/>
      </c>
      <c r="K885" s="50">
        <f>IF($O885="","",IF(INDEX(Firms!$K$5:$K$1004,$O885)="","—",INDEX(Firms!$K$5:$K$1004,$O885)))</f>
        <v/>
      </c>
      <c r="L885" s="50">
        <f>IF($O885="","",IF(INDEX(Firms!$L$5:$L$1004,$O885)="","—",INDEX(Firms!$L$5:$L$1004,$O885)))</f>
        <v/>
      </c>
      <c r="M885" s="50">
        <f>IF($O885="","",IF(INDEX(Firms!$M$5:$M$1004,$O885)="","—",INDEX(Firms!$M$5:$M$1004,$O885)))</f>
        <v/>
      </c>
      <c r="O885">
        <f>IFERROR(MATCH(SMALL(Firms!$Y$5:$Y$1004,877),Firms!$W$5:$W$1004,0),"")</f>
        <v/>
      </c>
    </row>
    <row r="886">
      <c r="B886" s="78">
        <f>IF($O886="","",INDEX(Firms!$A$5:$A$1004,$O886))</f>
        <v/>
      </c>
      <c r="C886" s="79">
        <f>IF($O886="","",INDEX(Firms!$N$5:$N$1004,$O886)&amp;"")</f>
        <v/>
      </c>
      <c r="D886" s="79">
        <f>IF($O886="","",INDEX(Firms!$P$5:$P$1004,$O886)&amp;"")</f>
        <v/>
      </c>
      <c r="E886" s="79">
        <f>IF($O886="","",INDEX(Firms!$O$5:$O$1004,$O886)&amp;"")</f>
        <v/>
      </c>
      <c r="F886" s="50">
        <f>IF($O886="","",IF(INDEX(Firms!$F$5:$F$1004,$O886)="","—",INDEX(Firms!$F$5:$F$1004,$O886)))</f>
        <v/>
      </c>
      <c r="G886" s="50">
        <f>IF($O886="","",IF(INDEX(Firms!$G$5:$G$1004,$O886)="","—",INDEX(Firms!$G$5:$G$1004,$O886)))</f>
        <v/>
      </c>
      <c r="H886" s="50">
        <f>IF($O886="","",IF(INDEX(Firms!$H$5:$H$1004,$O886)="","—",INDEX(Firms!$H$5:$H$1004,$O886)))</f>
        <v/>
      </c>
      <c r="I886" s="50">
        <f>IF($O886="","",IF(INDEX(Firms!$I$5:$I$1004,$O886)="","—",INDEX(Firms!$I$5:$I$1004,$O886)))</f>
        <v/>
      </c>
      <c r="J886" s="50">
        <f>IF($O886="","",IF(INDEX(Firms!$J$5:$J$1004,$O886)="","—",INDEX(Firms!$J$5:$J$1004,$O886)))</f>
        <v/>
      </c>
      <c r="K886" s="50">
        <f>IF($O886="","",IF(INDEX(Firms!$K$5:$K$1004,$O886)="","—",INDEX(Firms!$K$5:$K$1004,$O886)))</f>
        <v/>
      </c>
      <c r="L886" s="50">
        <f>IF($O886="","",IF(INDEX(Firms!$L$5:$L$1004,$O886)="","—",INDEX(Firms!$L$5:$L$1004,$O886)))</f>
        <v/>
      </c>
      <c r="M886" s="50">
        <f>IF($O886="","",IF(INDEX(Firms!$M$5:$M$1004,$O886)="","—",INDEX(Firms!$M$5:$M$1004,$O886)))</f>
        <v/>
      </c>
      <c r="O886">
        <f>IFERROR(MATCH(SMALL(Firms!$Y$5:$Y$1004,878),Firms!$W$5:$W$1004,0),"")</f>
        <v/>
      </c>
    </row>
    <row r="887">
      <c r="B887" s="78">
        <f>IF($O887="","",INDEX(Firms!$A$5:$A$1004,$O887))</f>
        <v/>
      </c>
      <c r="C887" s="79">
        <f>IF($O887="","",INDEX(Firms!$N$5:$N$1004,$O887)&amp;"")</f>
        <v/>
      </c>
      <c r="D887" s="79">
        <f>IF($O887="","",INDEX(Firms!$P$5:$P$1004,$O887)&amp;"")</f>
        <v/>
      </c>
      <c r="E887" s="79">
        <f>IF($O887="","",INDEX(Firms!$O$5:$O$1004,$O887)&amp;"")</f>
        <v/>
      </c>
      <c r="F887" s="50">
        <f>IF($O887="","",IF(INDEX(Firms!$F$5:$F$1004,$O887)="","—",INDEX(Firms!$F$5:$F$1004,$O887)))</f>
        <v/>
      </c>
      <c r="G887" s="50">
        <f>IF($O887="","",IF(INDEX(Firms!$G$5:$G$1004,$O887)="","—",INDEX(Firms!$G$5:$G$1004,$O887)))</f>
        <v/>
      </c>
      <c r="H887" s="50">
        <f>IF($O887="","",IF(INDEX(Firms!$H$5:$H$1004,$O887)="","—",INDEX(Firms!$H$5:$H$1004,$O887)))</f>
        <v/>
      </c>
      <c r="I887" s="50">
        <f>IF($O887="","",IF(INDEX(Firms!$I$5:$I$1004,$O887)="","—",INDEX(Firms!$I$5:$I$1004,$O887)))</f>
        <v/>
      </c>
      <c r="J887" s="50">
        <f>IF($O887="","",IF(INDEX(Firms!$J$5:$J$1004,$O887)="","—",INDEX(Firms!$J$5:$J$1004,$O887)))</f>
        <v/>
      </c>
      <c r="K887" s="50">
        <f>IF($O887="","",IF(INDEX(Firms!$K$5:$K$1004,$O887)="","—",INDEX(Firms!$K$5:$K$1004,$O887)))</f>
        <v/>
      </c>
      <c r="L887" s="50">
        <f>IF($O887="","",IF(INDEX(Firms!$L$5:$L$1004,$O887)="","—",INDEX(Firms!$L$5:$L$1004,$O887)))</f>
        <v/>
      </c>
      <c r="M887" s="50">
        <f>IF($O887="","",IF(INDEX(Firms!$M$5:$M$1004,$O887)="","—",INDEX(Firms!$M$5:$M$1004,$O887)))</f>
        <v/>
      </c>
      <c r="O887">
        <f>IFERROR(MATCH(SMALL(Firms!$Y$5:$Y$1004,879),Firms!$W$5:$W$1004,0),"")</f>
        <v/>
      </c>
    </row>
    <row r="888">
      <c r="B888" s="78">
        <f>IF($O888="","",INDEX(Firms!$A$5:$A$1004,$O888))</f>
        <v/>
      </c>
      <c r="C888" s="79">
        <f>IF($O888="","",INDEX(Firms!$N$5:$N$1004,$O888)&amp;"")</f>
        <v/>
      </c>
      <c r="D888" s="79">
        <f>IF($O888="","",INDEX(Firms!$P$5:$P$1004,$O888)&amp;"")</f>
        <v/>
      </c>
      <c r="E888" s="79">
        <f>IF($O888="","",INDEX(Firms!$O$5:$O$1004,$O888)&amp;"")</f>
        <v/>
      </c>
      <c r="F888" s="50">
        <f>IF($O888="","",IF(INDEX(Firms!$F$5:$F$1004,$O888)="","—",INDEX(Firms!$F$5:$F$1004,$O888)))</f>
        <v/>
      </c>
      <c r="G888" s="50">
        <f>IF($O888="","",IF(INDEX(Firms!$G$5:$G$1004,$O888)="","—",INDEX(Firms!$G$5:$G$1004,$O888)))</f>
        <v/>
      </c>
      <c r="H888" s="50">
        <f>IF($O888="","",IF(INDEX(Firms!$H$5:$H$1004,$O888)="","—",INDEX(Firms!$H$5:$H$1004,$O888)))</f>
        <v/>
      </c>
      <c r="I888" s="50">
        <f>IF($O888="","",IF(INDEX(Firms!$I$5:$I$1004,$O888)="","—",INDEX(Firms!$I$5:$I$1004,$O888)))</f>
        <v/>
      </c>
      <c r="J888" s="50">
        <f>IF($O888="","",IF(INDEX(Firms!$J$5:$J$1004,$O888)="","—",INDEX(Firms!$J$5:$J$1004,$O888)))</f>
        <v/>
      </c>
      <c r="K888" s="50">
        <f>IF($O888="","",IF(INDEX(Firms!$K$5:$K$1004,$O888)="","—",INDEX(Firms!$K$5:$K$1004,$O888)))</f>
        <v/>
      </c>
      <c r="L888" s="50">
        <f>IF($O888="","",IF(INDEX(Firms!$L$5:$L$1004,$O888)="","—",INDEX(Firms!$L$5:$L$1004,$O888)))</f>
        <v/>
      </c>
      <c r="M888" s="50">
        <f>IF($O888="","",IF(INDEX(Firms!$M$5:$M$1004,$O888)="","—",INDEX(Firms!$M$5:$M$1004,$O888)))</f>
        <v/>
      </c>
      <c r="O888">
        <f>IFERROR(MATCH(SMALL(Firms!$Y$5:$Y$1004,880),Firms!$W$5:$W$1004,0),"")</f>
        <v/>
      </c>
    </row>
    <row r="889">
      <c r="B889" s="78">
        <f>IF($O889="","",INDEX(Firms!$A$5:$A$1004,$O889))</f>
        <v/>
      </c>
      <c r="C889" s="79">
        <f>IF($O889="","",INDEX(Firms!$N$5:$N$1004,$O889)&amp;"")</f>
        <v/>
      </c>
      <c r="D889" s="79">
        <f>IF($O889="","",INDEX(Firms!$P$5:$P$1004,$O889)&amp;"")</f>
        <v/>
      </c>
      <c r="E889" s="79">
        <f>IF($O889="","",INDEX(Firms!$O$5:$O$1004,$O889)&amp;"")</f>
        <v/>
      </c>
      <c r="F889" s="50">
        <f>IF($O889="","",IF(INDEX(Firms!$F$5:$F$1004,$O889)="","—",INDEX(Firms!$F$5:$F$1004,$O889)))</f>
        <v/>
      </c>
      <c r="G889" s="50">
        <f>IF($O889="","",IF(INDEX(Firms!$G$5:$G$1004,$O889)="","—",INDEX(Firms!$G$5:$G$1004,$O889)))</f>
        <v/>
      </c>
      <c r="H889" s="50">
        <f>IF($O889="","",IF(INDEX(Firms!$H$5:$H$1004,$O889)="","—",INDEX(Firms!$H$5:$H$1004,$O889)))</f>
        <v/>
      </c>
      <c r="I889" s="50">
        <f>IF($O889="","",IF(INDEX(Firms!$I$5:$I$1004,$O889)="","—",INDEX(Firms!$I$5:$I$1004,$O889)))</f>
        <v/>
      </c>
      <c r="J889" s="50">
        <f>IF($O889="","",IF(INDEX(Firms!$J$5:$J$1004,$O889)="","—",INDEX(Firms!$J$5:$J$1004,$O889)))</f>
        <v/>
      </c>
      <c r="K889" s="50">
        <f>IF($O889="","",IF(INDEX(Firms!$K$5:$K$1004,$O889)="","—",INDEX(Firms!$K$5:$K$1004,$O889)))</f>
        <v/>
      </c>
      <c r="L889" s="50">
        <f>IF($O889="","",IF(INDEX(Firms!$L$5:$L$1004,$O889)="","—",INDEX(Firms!$L$5:$L$1004,$O889)))</f>
        <v/>
      </c>
      <c r="M889" s="50">
        <f>IF($O889="","",IF(INDEX(Firms!$M$5:$M$1004,$O889)="","—",INDEX(Firms!$M$5:$M$1004,$O889)))</f>
        <v/>
      </c>
      <c r="O889">
        <f>IFERROR(MATCH(SMALL(Firms!$Y$5:$Y$1004,881),Firms!$W$5:$W$1004,0),"")</f>
        <v/>
      </c>
    </row>
    <row r="890">
      <c r="B890" s="78">
        <f>IF($O890="","",INDEX(Firms!$A$5:$A$1004,$O890))</f>
        <v/>
      </c>
      <c r="C890" s="79">
        <f>IF($O890="","",INDEX(Firms!$N$5:$N$1004,$O890)&amp;"")</f>
        <v/>
      </c>
      <c r="D890" s="79">
        <f>IF($O890="","",INDEX(Firms!$P$5:$P$1004,$O890)&amp;"")</f>
        <v/>
      </c>
      <c r="E890" s="79">
        <f>IF($O890="","",INDEX(Firms!$O$5:$O$1004,$O890)&amp;"")</f>
        <v/>
      </c>
      <c r="F890" s="50">
        <f>IF($O890="","",IF(INDEX(Firms!$F$5:$F$1004,$O890)="","—",INDEX(Firms!$F$5:$F$1004,$O890)))</f>
        <v/>
      </c>
      <c r="G890" s="50">
        <f>IF($O890="","",IF(INDEX(Firms!$G$5:$G$1004,$O890)="","—",INDEX(Firms!$G$5:$G$1004,$O890)))</f>
        <v/>
      </c>
      <c r="H890" s="50">
        <f>IF($O890="","",IF(INDEX(Firms!$H$5:$H$1004,$O890)="","—",INDEX(Firms!$H$5:$H$1004,$O890)))</f>
        <v/>
      </c>
      <c r="I890" s="50">
        <f>IF($O890="","",IF(INDEX(Firms!$I$5:$I$1004,$O890)="","—",INDEX(Firms!$I$5:$I$1004,$O890)))</f>
        <v/>
      </c>
      <c r="J890" s="50">
        <f>IF($O890="","",IF(INDEX(Firms!$J$5:$J$1004,$O890)="","—",INDEX(Firms!$J$5:$J$1004,$O890)))</f>
        <v/>
      </c>
      <c r="K890" s="50">
        <f>IF($O890="","",IF(INDEX(Firms!$K$5:$K$1004,$O890)="","—",INDEX(Firms!$K$5:$K$1004,$O890)))</f>
        <v/>
      </c>
      <c r="L890" s="50">
        <f>IF($O890="","",IF(INDEX(Firms!$L$5:$L$1004,$O890)="","—",INDEX(Firms!$L$5:$L$1004,$O890)))</f>
        <v/>
      </c>
      <c r="M890" s="50">
        <f>IF($O890="","",IF(INDEX(Firms!$M$5:$M$1004,$O890)="","—",INDEX(Firms!$M$5:$M$1004,$O890)))</f>
        <v/>
      </c>
      <c r="O890">
        <f>IFERROR(MATCH(SMALL(Firms!$Y$5:$Y$1004,882),Firms!$W$5:$W$1004,0),"")</f>
        <v/>
      </c>
    </row>
    <row r="891">
      <c r="B891" s="78">
        <f>IF($O891="","",INDEX(Firms!$A$5:$A$1004,$O891))</f>
        <v/>
      </c>
      <c r="C891" s="79">
        <f>IF($O891="","",INDEX(Firms!$N$5:$N$1004,$O891)&amp;"")</f>
        <v/>
      </c>
      <c r="D891" s="79">
        <f>IF($O891="","",INDEX(Firms!$P$5:$P$1004,$O891)&amp;"")</f>
        <v/>
      </c>
      <c r="E891" s="79">
        <f>IF($O891="","",INDEX(Firms!$O$5:$O$1004,$O891)&amp;"")</f>
        <v/>
      </c>
      <c r="F891" s="50">
        <f>IF($O891="","",IF(INDEX(Firms!$F$5:$F$1004,$O891)="","—",INDEX(Firms!$F$5:$F$1004,$O891)))</f>
        <v/>
      </c>
      <c r="G891" s="50">
        <f>IF($O891="","",IF(INDEX(Firms!$G$5:$G$1004,$O891)="","—",INDEX(Firms!$G$5:$G$1004,$O891)))</f>
        <v/>
      </c>
      <c r="H891" s="50">
        <f>IF($O891="","",IF(INDEX(Firms!$H$5:$H$1004,$O891)="","—",INDEX(Firms!$H$5:$H$1004,$O891)))</f>
        <v/>
      </c>
      <c r="I891" s="50">
        <f>IF($O891="","",IF(INDEX(Firms!$I$5:$I$1004,$O891)="","—",INDEX(Firms!$I$5:$I$1004,$O891)))</f>
        <v/>
      </c>
      <c r="J891" s="50">
        <f>IF($O891="","",IF(INDEX(Firms!$J$5:$J$1004,$O891)="","—",INDEX(Firms!$J$5:$J$1004,$O891)))</f>
        <v/>
      </c>
      <c r="K891" s="50">
        <f>IF($O891="","",IF(INDEX(Firms!$K$5:$K$1004,$O891)="","—",INDEX(Firms!$K$5:$K$1004,$O891)))</f>
        <v/>
      </c>
      <c r="L891" s="50">
        <f>IF($O891="","",IF(INDEX(Firms!$L$5:$L$1004,$O891)="","—",INDEX(Firms!$L$5:$L$1004,$O891)))</f>
        <v/>
      </c>
      <c r="M891" s="50">
        <f>IF($O891="","",IF(INDEX(Firms!$M$5:$M$1004,$O891)="","—",INDEX(Firms!$M$5:$M$1004,$O891)))</f>
        <v/>
      </c>
      <c r="O891">
        <f>IFERROR(MATCH(SMALL(Firms!$Y$5:$Y$1004,883),Firms!$W$5:$W$1004,0),"")</f>
        <v/>
      </c>
    </row>
    <row r="892">
      <c r="B892" s="78">
        <f>IF($O892="","",INDEX(Firms!$A$5:$A$1004,$O892))</f>
        <v/>
      </c>
      <c r="C892" s="79">
        <f>IF($O892="","",INDEX(Firms!$N$5:$N$1004,$O892)&amp;"")</f>
        <v/>
      </c>
      <c r="D892" s="79">
        <f>IF($O892="","",INDEX(Firms!$P$5:$P$1004,$O892)&amp;"")</f>
        <v/>
      </c>
      <c r="E892" s="79">
        <f>IF($O892="","",INDEX(Firms!$O$5:$O$1004,$O892)&amp;"")</f>
        <v/>
      </c>
      <c r="F892" s="50">
        <f>IF($O892="","",IF(INDEX(Firms!$F$5:$F$1004,$O892)="","—",INDEX(Firms!$F$5:$F$1004,$O892)))</f>
        <v/>
      </c>
      <c r="G892" s="50">
        <f>IF($O892="","",IF(INDEX(Firms!$G$5:$G$1004,$O892)="","—",INDEX(Firms!$G$5:$G$1004,$O892)))</f>
        <v/>
      </c>
      <c r="H892" s="50">
        <f>IF($O892="","",IF(INDEX(Firms!$H$5:$H$1004,$O892)="","—",INDEX(Firms!$H$5:$H$1004,$O892)))</f>
        <v/>
      </c>
      <c r="I892" s="50">
        <f>IF($O892="","",IF(INDEX(Firms!$I$5:$I$1004,$O892)="","—",INDEX(Firms!$I$5:$I$1004,$O892)))</f>
        <v/>
      </c>
      <c r="J892" s="50">
        <f>IF($O892="","",IF(INDEX(Firms!$J$5:$J$1004,$O892)="","—",INDEX(Firms!$J$5:$J$1004,$O892)))</f>
        <v/>
      </c>
      <c r="K892" s="50">
        <f>IF($O892="","",IF(INDEX(Firms!$K$5:$K$1004,$O892)="","—",INDEX(Firms!$K$5:$K$1004,$O892)))</f>
        <v/>
      </c>
      <c r="L892" s="50">
        <f>IF($O892="","",IF(INDEX(Firms!$L$5:$L$1004,$O892)="","—",INDEX(Firms!$L$5:$L$1004,$O892)))</f>
        <v/>
      </c>
      <c r="M892" s="50">
        <f>IF($O892="","",IF(INDEX(Firms!$M$5:$M$1004,$O892)="","—",INDEX(Firms!$M$5:$M$1004,$O892)))</f>
        <v/>
      </c>
      <c r="O892">
        <f>IFERROR(MATCH(SMALL(Firms!$Y$5:$Y$1004,884),Firms!$W$5:$W$1004,0),"")</f>
        <v/>
      </c>
    </row>
    <row r="893">
      <c r="B893" s="78">
        <f>IF($O893="","",INDEX(Firms!$A$5:$A$1004,$O893))</f>
        <v/>
      </c>
      <c r="C893" s="79">
        <f>IF($O893="","",INDEX(Firms!$N$5:$N$1004,$O893)&amp;"")</f>
        <v/>
      </c>
      <c r="D893" s="79">
        <f>IF($O893="","",INDEX(Firms!$P$5:$P$1004,$O893)&amp;"")</f>
        <v/>
      </c>
      <c r="E893" s="79">
        <f>IF($O893="","",INDEX(Firms!$O$5:$O$1004,$O893)&amp;"")</f>
        <v/>
      </c>
      <c r="F893" s="50">
        <f>IF($O893="","",IF(INDEX(Firms!$F$5:$F$1004,$O893)="","—",INDEX(Firms!$F$5:$F$1004,$O893)))</f>
        <v/>
      </c>
      <c r="G893" s="50">
        <f>IF($O893="","",IF(INDEX(Firms!$G$5:$G$1004,$O893)="","—",INDEX(Firms!$G$5:$G$1004,$O893)))</f>
        <v/>
      </c>
      <c r="H893" s="50">
        <f>IF($O893="","",IF(INDEX(Firms!$H$5:$H$1004,$O893)="","—",INDEX(Firms!$H$5:$H$1004,$O893)))</f>
        <v/>
      </c>
      <c r="I893" s="50">
        <f>IF($O893="","",IF(INDEX(Firms!$I$5:$I$1004,$O893)="","—",INDEX(Firms!$I$5:$I$1004,$O893)))</f>
        <v/>
      </c>
      <c r="J893" s="50">
        <f>IF($O893="","",IF(INDEX(Firms!$J$5:$J$1004,$O893)="","—",INDEX(Firms!$J$5:$J$1004,$O893)))</f>
        <v/>
      </c>
      <c r="K893" s="50">
        <f>IF($O893="","",IF(INDEX(Firms!$K$5:$K$1004,$O893)="","—",INDEX(Firms!$K$5:$K$1004,$O893)))</f>
        <v/>
      </c>
      <c r="L893" s="50">
        <f>IF($O893="","",IF(INDEX(Firms!$L$5:$L$1004,$O893)="","—",INDEX(Firms!$L$5:$L$1004,$O893)))</f>
        <v/>
      </c>
      <c r="M893" s="50">
        <f>IF($O893="","",IF(INDEX(Firms!$M$5:$M$1004,$O893)="","—",INDEX(Firms!$M$5:$M$1004,$O893)))</f>
        <v/>
      </c>
      <c r="O893">
        <f>IFERROR(MATCH(SMALL(Firms!$Y$5:$Y$1004,885),Firms!$W$5:$W$1004,0),"")</f>
        <v/>
      </c>
    </row>
    <row r="894">
      <c r="B894" s="78">
        <f>IF($O894="","",INDEX(Firms!$A$5:$A$1004,$O894))</f>
        <v/>
      </c>
      <c r="C894" s="79">
        <f>IF($O894="","",INDEX(Firms!$N$5:$N$1004,$O894)&amp;"")</f>
        <v/>
      </c>
      <c r="D894" s="79">
        <f>IF($O894="","",INDEX(Firms!$P$5:$P$1004,$O894)&amp;"")</f>
        <v/>
      </c>
      <c r="E894" s="79">
        <f>IF($O894="","",INDEX(Firms!$O$5:$O$1004,$O894)&amp;"")</f>
        <v/>
      </c>
      <c r="F894" s="50">
        <f>IF($O894="","",IF(INDEX(Firms!$F$5:$F$1004,$O894)="","—",INDEX(Firms!$F$5:$F$1004,$O894)))</f>
        <v/>
      </c>
      <c r="G894" s="50">
        <f>IF($O894="","",IF(INDEX(Firms!$G$5:$G$1004,$O894)="","—",INDEX(Firms!$G$5:$G$1004,$O894)))</f>
        <v/>
      </c>
      <c r="H894" s="50">
        <f>IF($O894="","",IF(INDEX(Firms!$H$5:$H$1004,$O894)="","—",INDEX(Firms!$H$5:$H$1004,$O894)))</f>
        <v/>
      </c>
      <c r="I894" s="50">
        <f>IF($O894="","",IF(INDEX(Firms!$I$5:$I$1004,$O894)="","—",INDEX(Firms!$I$5:$I$1004,$O894)))</f>
        <v/>
      </c>
      <c r="J894" s="50">
        <f>IF($O894="","",IF(INDEX(Firms!$J$5:$J$1004,$O894)="","—",INDEX(Firms!$J$5:$J$1004,$O894)))</f>
        <v/>
      </c>
      <c r="K894" s="50">
        <f>IF($O894="","",IF(INDEX(Firms!$K$5:$K$1004,$O894)="","—",INDEX(Firms!$K$5:$K$1004,$O894)))</f>
        <v/>
      </c>
      <c r="L894" s="50">
        <f>IF($O894="","",IF(INDEX(Firms!$L$5:$L$1004,$O894)="","—",INDEX(Firms!$L$5:$L$1004,$O894)))</f>
        <v/>
      </c>
      <c r="M894" s="50">
        <f>IF($O894="","",IF(INDEX(Firms!$M$5:$M$1004,$O894)="","—",INDEX(Firms!$M$5:$M$1004,$O894)))</f>
        <v/>
      </c>
      <c r="O894">
        <f>IFERROR(MATCH(SMALL(Firms!$Y$5:$Y$1004,886),Firms!$W$5:$W$1004,0),"")</f>
        <v/>
      </c>
    </row>
    <row r="895">
      <c r="B895" s="78">
        <f>IF($O895="","",INDEX(Firms!$A$5:$A$1004,$O895))</f>
        <v/>
      </c>
      <c r="C895" s="79">
        <f>IF($O895="","",INDEX(Firms!$N$5:$N$1004,$O895)&amp;"")</f>
        <v/>
      </c>
      <c r="D895" s="79">
        <f>IF($O895="","",INDEX(Firms!$P$5:$P$1004,$O895)&amp;"")</f>
        <v/>
      </c>
      <c r="E895" s="79">
        <f>IF($O895="","",INDEX(Firms!$O$5:$O$1004,$O895)&amp;"")</f>
        <v/>
      </c>
      <c r="F895" s="50">
        <f>IF($O895="","",IF(INDEX(Firms!$F$5:$F$1004,$O895)="","—",INDEX(Firms!$F$5:$F$1004,$O895)))</f>
        <v/>
      </c>
      <c r="G895" s="50">
        <f>IF($O895="","",IF(INDEX(Firms!$G$5:$G$1004,$O895)="","—",INDEX(Firms!$G$5:$G$1004,$O895)))</f>
        <v/>
      </c>
      <c r="H895" s="50">
        <f>IF($O895="","",IF(INDEX(Firms!$H$5:$H$1004,$O895)="","—",INDEX(Firms!$H$5:$H$1004,$O895)))</f>
        <v/>
      </c>
      <c r="I895" s="50">
        <f>IF($O895="","",IF(INDEX(Firms!$I$5:$I$1004,$O895)="","—",INDEX(Firms!$I$5:$I$1004,$O895)))</f>
        <v/>
      </c>
      <c r="J895" s="50">
        <f>IF($O895="","",IF(INDEX(Firms!$J$5:$J$1004,$O895)="","—",INDEX(Firms!$J$5:$J$1004,$O895)))</f>
        <v/>
      </c>
      <c r="K895" s="50">
        <f>IF($O895="","",IF(INDEX(Firms!$K$5:$K$1004,$O895)="","—",INDEX(Firms!$K$5:$K$1004,$O895)))</f>
        <v/>
      </c>
      <c r="L895" s="50">
        <f>IF($O895="","",IF(INDEX(Firms!$L$5:$L$1004,$O895)="","—",INDEX(Firms!$L$5:$L$1004,$O895)))</f>
        <v/>
      </c>
      <c r="M895" s="50">
        <f>IF($O895="","",IF(INDEX(Firms!$M$5:$M$1004,$O895)="","—",INDEX(Firms!$M$5:$M$1004,$O895)))</f>
        <v/>
      </c>
      <c r="O895">
        <f>IFERROR(MATCH(SMALL(Firms!$Y$5:$Y$1004,887),Firms!$W$5:$W$1004,0),"")</f>
        <v/>
      </c>
    </row>
    <row r="896">
      <c r="B896" s="78">
        <f>IF($O896="","",INDEX(Firms!$A$5:$A$1004,$O896))</f>
        <v/>
      </c>
      <c r="C896" s="79">
        <f>IF($O896="","",INDEX(Firms!$N$5:$N$1004,$O896)&amp;"")</f>
        <v/>
      </c>
      <c r="D896" s="79">
        <f>IF($O896="","",INDEX(Firms!$P$5:$P$1004,$O896)&amp;"")</f>
        <v/>
      </c>
      <c r="E896" s="79">
        <f>IF($O896="","",INDEX(Firms!$O$5:$O$1004,$O896)&amp;"")</f>
        <v/>
      </c>
      <c r="F896" s="50">
        <f>IF($O896="","",IF(INDEX(Firms!$F$5:$F$1004,$O896)="","—",INDEX(Firms!$F$5:$F$1004,$O896)))</f>
        <v/>
      </c>
      <c r="G896" s="50">
        <f>IF($O896="","",IF(INDEX(Firms!$G$5:$G$1004,$O896)="","—",INDEX(Firms!$G$5:$G$1004,$O896)))</f>
        <v/>
      </c>
      <c r="H896" s="50">
        <f>IF($O896="","",IF(INDEX(Firms!$H$5:$H$1004,$O896)="","—",INDEX(Firms!$H$5:$H$1004,$O896)))</f>
        <v/>
      </c>
      <c r="I896" s="50">
        <f>IF($O896="","",IF(INDEX(Firms!$I$5:$I$1004,$O896)="","—",INDEX(Firms!$I$5:$I$1004,$O896)))</f>
        <v/>
      </c>
      <c r="J896" s="50">
        <f>IF($O896="","",IF(INDEX(Firms!$J$5:$J$1004,$O896)="","—",INDEX(Firms!$J$5:$J$1004,$O896)))</f>
        <v/>
      </c>
      <c r="K896" s="50">
        <f>IF($O896="","",IF(INDEX(Firms!$K$5:$K$1004,$O896)="","—",INDEX(Firms!$K$5:$K$1004,$O896)))</f>
        <v/>
      </c>
      <c r="L896" s="50">
        <f>IF($O896="","",IF(INDEX(Firms!$L$5:$L$1004,$O896)="","—",INDEX(Firms!$L$5:$L$1004,$O896)))</f>
        <v/>
      </c>
      <c r="M896" s="50">
        <f>IF($O896="","",IF(INDEX(Firms!$M$5:$M$1004,$O896)="","—",INDEX(Firms!$M$5:$M$1004,$O896)))</f>
        <v/>
      </c>
      <c r="O896">
        <f>IFERROR(MATCH(SMALL(Firms!$Y$5:$Y$1004,888),Firms!$W$5:$W$1004,0),"")</f>
        <v/>
      </c>
    </row>
    <row r="897">
      <c r="B897" s="78">
        <f>IF($O897="","",INDEX(Firms!$A$5:$A$1004,$O897))</f>
        <v/>
      </c>
      <c r="C897" s="79">
        <f>IF($O897="","",INDEX(Firms!$N$5:$N$1004,$O897)&amp;"")</f>
        <v/>
      </c>
      <c r="D897" s="79">
        <f>IF($O897="","",INDEX(Firms!$P$5:$P$1004,$O897)&amp;"")</f>
        <v/>
      </c>
      <c r="E897" s="79">
        <f>IF($O897="","",INDEX(Firms!$O$5:$O$1004,$O897)&amp;"")</f>
        <v/>
      </c>
      <c r="F897" s="50">
        <f>IF($O897="","",IF(INDEX(Firms!$F$5:$F$1004,$O897)="","—",INDEX(Firms!$F$5:$F$1004,$O897)))</f>
        <v/>
      </c>
      <c r="G897" s="50">
        <f>IF($O897="","",IF(INDEX(Firms!$G$5:$G$1004,$O897)="","—",INDEX(Firms!$G$5:$G$1004,$O897)))</f>
        <v/>
      </c>
      <c r="H897" s="50">
        <f>IF($O897="","",IF(INDEX(Firms!$H$5:$H$1004,$O897)="","—",INDEX(Firms!$H$5:$H$1004,$O897)))</f>
        <v/>
      </c>
      <c r="I897" s="50">
        <f>IF($O897="","",IF(INDEX(Firms!$I$5:$I$1004,$O897)="","—",INDEX(Firms!$I$5:$I$1004,$O897)))</f>
        <v/>
      </c>
      <c r="J897" s="50">
        <f>IF($O897="","",IF(INDEX(Firms!$J$5:$J$1004,$O897)="","—",INDEX(Firms!$J$5:$J$1004,$O897)))</f>
        <v/>
      </c>
      <c r="K897" s="50">
        <f>IF($O897="","",IF(INDEX(Firms!$K$5:$K$1004,$O897)="","—",INDEX(Firms!$K$5:$K$1004,$O897)))</f>
        <v/>
      </c>
      <c r="L897" s="50">
        <f>IF($O897="","",IF(INDEX(Firms!$L$5:$L$1004,$O897)="","—",INDEX(Firms!$L$5:$L$1004,$O897)))</f>
        <v/>
      </c>
      <c r="M897" s="50">
        <f>IF($O897="","",IF(INDEX(Firms!$M$5:$M$1004,$O897)="","—",INDEX(Firms!$M$5:$M$1004,$O897)))</f>
        <v/>
      </c>
      <c r="O897">
        <f>IFERROR(MATCH(SMALL(Firms!$Y$5:$Y$1004,889),Firms!$W$5:$W$1004,0),"")</f>
        <v/>
      </c>
    </row>
    <row r="898">
      <c r="B898" s="78">
        <f>IF($O898="","",INDEX(Firms!$A$5:$A$1004,$O898))</f>
        <v/>
      </c>
      <c r="C898" s="79">
        <f>IF($O898="","",INDEX(Firms!$N$5:$N$1004,$O898)&amp;"")</f>
        <v/>
      </c>
      <c r="D898" s="79">
        <f>IF($O898="","",INDEX(Firms!$P$5:$P$1004,$O898)&amp;"")</f>
        <v/>
      </c>
      <c r="E898" s="79">
        <f>IF($O898="","",INDEX(Firms!$O$5:$O$1004,$O898)&amp;"")</f>
        <v/>
      </c>
      <c r="F898" s="50">
        <f>IF($O898="","",IF(INDEX(Firms!$F$5:$F$1004,$O898)="","—",INDEX(Firms!$F$5:$F$1004,$O898)))</f>
        <v/>
      </c>
      <c r="G898" s="50">
        <f>IF($O898="","",IF(INDEX(Firms!$G$5:$G$1004,$O898)="","—",INDEX(Firms!$G$5:$G$1004,$O898)))</f>
        <v/>
      </c>
      <c r="H898" s="50">
        <f>IF($O898="","",IF(INDEX(Firms!$H$5:$H$1004,$O898)="","—",INDEX(Firms!$H$5:$H$1004,$O898)))</f>
        <v/>
      </c>
      <c r="I898" s="50">
        <f>IF($O898="","",IF(INDEX(Firms!$I$5:$I$1004,$O898)="","—",INDEX(Firms!$I$5:$I$1004,$O898)))</f>
        <v/>
      </c>
      <c r="J898" s="50">
        <f>IF($O898="","",IF(INDEX(Firms!$J$5:$J$1004,$O898)="","—",INDEX(Firms!$J$5:$J$1004,$O898)))</f>
        <v/>
      </c>
      <c r="K898" s="50">
        <f>IF($O898="","",IF(INDEX(Firms!$K$5:$K$1004,$O898)="","—",INDEX(Firms!$K$5:$K$1004,$O898)))</f>
        <v/>
      </c>
      <c r="L898" s="50">
        <f>IF($O898="","",IF(INDEX(Firms!$L$5:$L$1004,$O898)="","—",INDEX(Firms!$L$5:$L$1004,$O898)))</f>
        <v/>
      </c>
      <c r="M898" s="50">
        <f>IF($O898="","",IF(INDEX(Firms!$M$5:$M$1004,$O898)="","—",INDEX(Firms!$M$5:$M$1004,$O898)))</f>
        <v/>
      </c>
      <c r="O898">
        <f>IFERROR(MATCH(SMALL(Firms!$Y$5:$Y$1004,890),Firms!$W$5:$W$1004,0),"")</f>
        <v/>
      </c>
    </row>
    <row r="899">
      <c r="B899" s="78">
        <f>IF($O899="","",INDEX(Firms!$A$5:$A$1004,$O899))</f>
        <v/>
      </c>
      <c r="C899" s="79">
        <f>IF($O899="","",INDEX(Firms!$N$5:$N$1004,$O899)&amp;"")</f>
        <v/>
      </c>
      <c r="D899" s="79">
        <f>IF($O899="","",INDEX(Firms!$P$5:$P$1004,$O899)&amp;"")</f>
        <v/>
      </c>
      <c r="E899" s="79">
        <f>IF($O899="","",INDEX(Firms!$O$5:$O$1004,$O899)&amp;"")</f>
        <v/>
      </c>
      <c r="F899" s="50">
        <f>IF($O899="","",IF(INDEX(Firms!$F$5:$F$1004,$O899)="","—",INDEX(Firms!$F$5:$F$1004,$O899)))</f>
        <v/>
      </c>
      <c r="G899" s="50">
        <f>IF($O899="","",IF(INDEX(Firms!$G$5:$G$1004,$O899)="","—",INDEX(Firms!$G$5:$G$1004,$O899)))</f>
        <v/>
      </c>
      <c r="H899" s="50">
        <f>IF($O899="","",IF(INDEX(Firms!$H$5:$H$1004,$O899)="","—",INDEX(Firms!$H$5:$H$1004,$O899)))</f>
        <v/>
      </c>
      <c r="I899" s="50">
        <f>IF($O899="","",IF(INDEX(Firms!$I$5:$I$1004,$O899)="","—",INDEX(Firms!$I$5:$I$1004,$O899)))</f>
        <v/>
      </c>
      <c r="J899" s="50">
        <f>IF($O899="","",IF(INDEX(Firms!$J$5:$J$1004,$O899)="","—",INDEX(Firms!$J$5:$J$1004,$O899)))</f>
        <v/>
      </c>
      <c r="K899" s="50">
        <f>IF($O899="","",IF(INDEX(Firms!$K$5:$K$1004,$O899)="","—",INDEX(Firms!$K$5:$K$1004,$O899)))</f>
        <v/>
      </c>
      <c r="L899" s="50">
        <f>IF($O899="","",IF(INDEX(Firms!$L$5:$L$1004,$O899)="","—",INDEX(Firms!$L$5:$L$1004,$O899)))</f>
        <v/>
      </c>
      <c r="M899" s="50">
        <f>IF($O899="","",IF(INDEX(Firms!$M$5:$M$1004,$O899)="","—",INDEX(Firms!$M$5:$M$1004,$O899)))</f>
        <v/>
      </c>
      <c r="O899">
        <f>IFERROR(MATCH(SMALL(Firms!$Y$5:$Y$1004,891),Firms!$W$5:$W$1004,0),"")</f>
        <v/>
      </c>
    </row>
    <row r="900">
      <c r="B900" s="78">
        <f>IF($O900="","",INDEX(Firms!$A$5:$A$1004,$O900))</f>
        <v/>
      </c>
      <c r="C900" s="79">
        <f>IF($O900="","",INDEX(Firms!$N$5:$N$1004,$O900)&amp;"")</f>
        <v/>
      </c>
      <c r="D900" s="79">
        <f>IF($O900="","",INDEX(Firms!$P$5:$P$1004,$O900)&amp;"")</f>
        <v/>
      </c>
      <c r="E900" s="79">
        <f>IF($O900="","",INDEX(Firms!$O$5:$O$1004,$O900)&amp;"")</f>
        <v/>
      </c>
      <c r="F900" s="50">
        <f>IF($O900="","",IF(INDEX(Firms!$F$5:$F$1004,$O900)="","—",INDEX(Firms!$F$5:$F$1004,$O900)))</f>
        <v/>
      </c>
      <c r="G900" s="50">
        <f>IF($O900="","",IF(INDEX(Firms!$G$5:$G$1004,$O900)="","—",INDEX(Firms!$G$5:$G$1004,$O900)))</f>
        <v/>
      </c>
      <c r="H900" s="50">
        <f>IF($O900="","",IF(INDEX(Firms!$H$5:$H$1004,$O900)="","—",INDEX(Firms!$H$5:$H$1004,$O900)))</f>
        <v/>
      </c>
      <c r="I900" s="50">
        <f>IF($O900="","",IF(INDEX(Firms!$I$5:$I$1004,$O900)="","—",INDEX(Firms!$I$5:$I$1004,$O900)))</f>
        <v/>
      </c>
      <c r="J900" s="50">
        <f>IF($O900="","",IF(INDEX(Firms!$J$5:$J$1004,$O900)="","—",INDEX(Firms!$J$5:$J$1004,$O900)))</f>
        <v/>
      </c>
      <c r="K900" s="50">
        <f>IF($O900="","",IF(INDEX(Firms!$K$5:$K$1004,$O900)="","—",INDEX(Firms!$K$5:$K$1004,$O900)))</f>
        <v/>
      </c>
      <c r="L900" s="50">
        <f>IF($O900="","",IF(INDEX(Firms!$L$5:$L$1004,$O900)="","—",INDEX(Firms!$L$5:$L$1004,$O900)))</f>
        <v/>
      </c>
      <c r="M900" s="50">
        <f>IF($O900="","",IF(INDEX(Firms!$M$5:$M$1004,$O900)="","—",INDEX(Firms!$M$5:$M$1004,$O900)))</f>
        <v/>
      </c>
      <c r="O900">
        <f>IFERROR(MATCH(SMALL(Firms!$Y$5:$Y$1004,892),Firms!$W$5:$W$1004,0),"")</f>
        <v/>
      </c>
    </row>
    <row r="901">
      <c r="B901" s="78">
        <f>IF($O901="","",INDEX(Firms!$A$5:$A$1004,$O901))</f>
        <v/>
      </c>
      <c r="C901" s="79">
        <f>IF($O901="","",INDEX(Firms!$N$5:$N$1004,$O901)&amp;"")</f>
        <v/>
      </c>
      <c r="D901" s="79">
        <f>IF($O901="","",INDEX(Firms!$P$5:$P$1004,$O901)&amp;"")</f>
        <v/>
      </c>
      <c r="E901" s="79">
        <f>IF($O901="","",INDEX(Firms!$O$5:$O$1004,$O901)&amp;"")</f>
        <v/>
      </c>
      <c r="F901" s="50">
        <f>IF($O901="","",IF(INDEX(Firms!$F$5:$F$1004,$O901)="","—",INDEX(Firms!$F$5:$F$1004,$O901)))</f>
        <v/>
      </c>
      <c r="G901" s="50">
        <f>IF($O901="","",IF(INDEX(Firms!$G$5:$G$1004,$O901)="","—",INDEX(Firms!$G$5:$G$1004,$O901)))</f>
        <v/>
      </c>
      <c r="H901" s="50">
        <f>IF($O901="","",IF(INDEX(Firms!$H$5:$H$1004,$O901)="","—",INDEX(Firms!$H$5:$H$1004,$O901)))</f>
        <v/>
      </c>
      <c r="I901" s="50">
        <f>IF($O901="","",IF(INDEX(Firms!$I$5:$I$1004,$O901)="","—",INDEX(Firms!$I$5:$I$1004,$O901)))</f>
        <v/>
      </c>
      <c r="J901" s="50">
        <f>IF($O901="","",IF(INDEX(Firms!$J$5:$J$1004,$O901)="","—",INDEX(Firms!$J$5:$J$1004,$O901)))</f>
        <v/>
      </c>
      <c r="K901" s="50">
        <f>IF($O901="","",IF(INDEX(Firms!$K$5:$K$1004,$O901)="","—",INDEX(Firms!$K$5:$K$1004,$O901)))</f>
        <v/>
      </c>
      <c r="L901" s="50">
        <f>IF($O901="","",IF(INDEX(Firms!$L$5:$L$1004,$O901)="","—",INDEX(Firms!$L$5:$L$1004,$O901)))</f>
        <v/>
      </c>
      <c r="M901" s="50">
        <f>IF($O901="","",IF(INDEX(Firms!$M$5:$M$1004,$O901)="","—",INDEX(Firms!$M$5:$M$1004,$O901)))</f>
        <v/>
      </c>
      <c r="O901">
        <f>IFERROR(MATCH(SMALL(Firms!$Y$5:$Y$1004,893),Firms!$W$5:$W$1004,0),"")</f>
        <v/>
      </c>
    </row>
    <row r="902">
      <c r="B902" s="78">
        <f>IF($O902="","",INDEX(Firms!$A$5:$A$1004,$O902))</f>
        <v/>
      </c>
      <c r="C902" s="79">
        <f>IF($O902="","",INDEX(Firms!$N$5:$N$1004,$O902)&amp;"")</f>
        <v/>
      </c>
      <c r="D902" s="79">
        <f>IF($O902="","",INDEX(Firms!$P$5:$P$1004,$O902)&amp;"")</f>
        <v/>
      </c>
      <c r="E902" s="79">
        <f>IF($O902="","",INDEX(Firms!$O$5:$O$1004,$O902)&amp;"")</f>
        <v/>
      </c>
      <c r="F902" s="50">
        <f>IF($O902="","",IF(INDEX(Firms!$F$5:$F$1004,$O902)="","—",INDEX(Firms!$F$5:$F$1004,$O902)))</f>
        <v/>
      </c>
      <c r="G902" s="50">
        <f>IF($O902="","",IF(INDEX(Firms!$G$5:$G$1004,$O902)="","—",INDEX(Firms!$G$5:$G$1004,$O902)))</f>
        <v/>
      </c>
      <c r="H902" s="50">
        <f>IF($O902="","",IF(INDEX(Firms!$H$5:$H$1004,$O902)="","—",INDEX(Firms!$H$5:$H$1004,$O902)))</f>
        <v/>
      </c>
      <c r="I902" s="50">
        <f>IF($O902="","",IF(INDEX(Firms!$I$5:$I$1004,$O902)="","—",INDEX(Firms!$I$5:$I$1004,$O902)))</f>
        <v/>
      </c>
      <c r="J902" s="50">
        <f>IF($O902="","",IF(INDEX(Firms!$J$5:$J$1004,$O902)="","—",INDEX(Firms!$J$5:$J$1004,$O902)))</f>
        <v/>
      </c>
      <c r="K902" s="50">
        <f>IF($O902="","",IF(INDEX(Firms!$K$5:$K$1004,$O902)="","—",INDEX(Firms!$K$5:$K$1004,$O902)))</f>
        <v/>
      </c>
      <c r="L902" s="50">
        <f>IF($O902="","",IF(INDEX(Firms!$L$5:$L$1004,$O902)="","—",INDEX(Firms!$L$5:$L$1004,$O902)))</f>
        <v/>
      </c>
      <c r="M902" s="50">
        <f>IF($O902="","",IF(INDEX(Firms!$M$5:$M$1004,$O902)="","—",INDEX(Firms!$M$5:$M$1004,$O902)))</f>
        <v/>
      </c>
      <c r="O902">
        <f>IFERROR(MATCH(SMALL(Firms!$Y$5:$Y$1004,894),Firms!$W$5:$W$1004,0),"")</f>
        <v/>
      </c>
    </row>
    <row r="903">
      <c r="B903" s="78">
        <f>IF($O903="","",INDEX(Firms!$A$5:$A$1004,$O903))</f>
        <v/>
      </c>
      <c r="C903" s="79">
        <f>IF($O903="","",INDEX(Firms!$N$5:$N$1004,$O903)&amp;"")</f>
        <v/>
      </c>
      <c r="D903" s="79">
        <f>IF($O903="","",INDEX(Firms!$P$5:$P$1004,$O903)&amp;"")</f>
        <v/>
      </c>
      <c r="E903" s="79">
        <f>IF($O903="","",INDEX(Firms!$O$5:$O$1004,$O903)&amp;"")</f>
        <v/>
      </c>
      <c r="F903" s="50">
        <f>IF($O903="","",IF(INDEX(Firms!$F$5:$F$1004,$O903)="","—",INDEX(Firms!$F$5:$F$1004,$O903)))</f>
        <v/>
      </c>
      <c r="G903" s="50">
        <f>IF($O903="","",IF(INDEX(Firms!$G$5:$G$1004,$O903)="","—",INDEX(Firms!$G$5:$G$1004,$O903)))</f>
        <v/>
      </c>
      <c r="H903" s="50">
        <f>IF($O903="","",IF(INDEX(Firms!$H$5:$H$1004,$O903)="","—",INDEX(Firms!$H$5:$H$1004,$O903)))</f>
        <v/>
      </c>
      <c r="I903" s="50">
        <f>IF($O903="","",IF(INDEX(Firms!$I$5:$I$1004,$O903)="","—",INDEX(Firms!$I$5:$I$1004,$O903)))</f>
        <v/>
      </c>
      <c r="J903" s="50">
        <f>IF($O903="","",IF(INDEX(Firms!$J$5:$J$1004,$O903)="","—",INDEX(Firms!$J$5:$J$1004,$O903)))</f>
        <v/>
      </c>
      <c r="K903" s="50">
        <f>IF($O903="","",IF(INDEX(Firms!$K$5:$K$1004,$O903)="","—",INDEX(Firms!$K$5:$K$1004,$O903)))</f>
        <v/>
      </c>
      <c r="L903" s="50">
        <f>IF($O903="","",IF(INDEX(Firms!$L$5:$L$1004,$O903)="","—",INDEX(Firms!$L$5:$L$1004,$O903)))</f>
        <v/>
      </c>
      <c r="M903" s="50">
        <f>IF($O903="","",IF(INDEX(Firms!$M$5:$M$1004,$O903)="","—",INDEX(Firms!$M$5:$M$1004,$O903)))</f>
        <v/>
      </c>
      <c r="O903">
        <f>IFERROR(MATCH(SMALL(Firms!$Y$5:$Y$1004,895),Firms!$W$5:$W$1004,0),"")</f>
        <v/>
      </c>
    </row>
    <row r="904">
      <c r="B904" s="78">
        <f>IF($O904="","",INDEX(Firms!$A$5:$A$1004,$O904))</f>
        <v/>
      </c>
      <c r="C904" s="79">
        <f>IF($O904="","",INDEX(Firms!$N$5:$N$1004,$O904)&amp;"")</f>
        <v/>
      </c>
      <c r="D904" s="79">
        <f>IF($O904="","",INDEX(Firms!$P$5:$P$1004,$O904)&amp;"")</f>
        <v/>
      </c>
      <c r="E904" s="79">
        <f>IF($O904="","",INDEX(Firms!$O$5:$O$1004,$O904)&amp;"")</f>
        <v/>
      </c>
      <c r="F904" s="50">
        <f>IF($O904="","",IF(INDEX(Firms!$F$5:$F$1004,$O904)="","—",INDEX(Firms!$F$5:$F$1004,$O904)))</f>
        <v/>
      </c>
      <c r="G904" s="50">
        <f>IF($O904="","",IF(INDEX(Firms!$G$5:$G$1004,$O904)="","—",INDEX(Firms!$G$5:$G$1004,$O904)))</f>
        <v/>
      </c>
      <c r="H904" s="50">
        <f>IF($O904="","",IF(INDEX(Firms!$H$5:$H$1004,$O904)="","—",INDEX(Firms!$H$5:$H$1004,$O904)))</f>
        <v/>
      </c>
      <c r="I904" s="50">
        <f>IF($O904="","",IF(INDEX(Firms!$I$5:$I$1004,$O904)="","—",INDEX(Firms!$I$5:$I$1004,$O904)))</f>
        <v/>
      </c>
      <c r="J904" s="50">
        <f>IF($O904="","",IF(INDEX(Firms!$J$5:$J$1004,$O904)="","—",INDEX(Firms!$J$5:$J$1004,$O904)))</f>
        <v/>
      </c>
      <c r="K904" s="50">
        <f>IF($O904="","",IF(INDEX(Firms!$K$5:$K$1004,$O904)="","—",INDEX(Firms!$K$5:$K$1004,$O904)))</f>
        <v/>
      </c>
      <c r="L904" s="50">
        <f>IF($O904="","",IF(INDEX(Firms!$L$5:$L$1004,$O904)="","—",INDEX(Firms!$L$5:$L$1004,$O904)))</f>
        <v/>
      </c>
      <c r="M904" s="50">
        <f>IF($O904="","",IF(INDEX(Firms!$M$5:$M$1004,$O904)="","—",INDEX(Firms!$M$5:$M$1004,$O904)))</f>
        <v/>
      </c>
      <c r="O904">
        <f>IFERROR(MATCH(SMALL(Firms!$Y$5:$Y$1004,896),Firms!$W$5:$W$1004,0),"")</f>
        <v/>
      </c>
    </row>
    <row r="905">
      <c r="B905" s="78">
        <f>IF($O905="","",INDEX(Firms!$A$5:$A$1004,$O905))</f>
        <v/>
      </c>
      <c r="C905" s="79">
        <f>IF($O905="","",INDEX(Firms!$N$5:$N$1004,$O905)&amp;"")</f>
        <v/>
      </c>
      <c r="D905" s="79">
        <f>IF($O905="","",INDEX(Firms!$P$5:$P$1004,$O905)&amp;"")</f>
        <v/>
      </c>
      <c r="E905" s="79">
        <f>IF($O905="","",INDEX(Firms!$O$5:$O$1004,$O905)&amp;"")</f>
        <v/>
      </c>
      <c r="F905" s="50">
        <f>IF($O905="","",IF(INDEX(Firms!$F$5:$F$1004,$O905)="","—",INDEX(Firms!$F$5:$F$1004,$O905)))</f>
        <v/>
      </c>
      <c r="G905" s="50">
        <f>IF($O905="","",IF(INDEX(Firms!$G$5:$G$1004,$O905)="","—",INDEX(Firms!$G$5:$G$1004,$O905)))</f>
        <v/>
      </c>
      <c r="H905" s="50">
        <f>IF($O905="","",IF(INDEX(Firms!$H$5:$H$1004,$O905)="","—",INDEX(Firms!$H$5:$H$1004,$O905)))</f>
        <v/>
      </c>
      <c r="I905" s="50">
        <f>IF($O905="","",IF(INDEX(Firms!$I$5:$I$1004,$O905)="","—",INDEX(Firms!$I$5:$I$1004,$O905)))</f>
        <v/>
      </c>
      <c r="J905" s="50">
        <f>IF($O905="","",IF(INDEX(Firms!$J$5:$J$1004,$O905)="","—",INDEX(Firms!$J$5:$J$1004,$O905)))</f>
        <v/>
      </c>
      <c r="K905" s="50">
        <f>IF($O905="","",IF(INDEX(Firms!$K$5:$K$1004,$O905)="","—",INDEX(Firms!$K$5:$K$1004,$O905)))</f>
        <v/>
      </c>
      <c r="L905" s="50">
        <f>IF($O905="","",IF(INDEX(Firms!$L$5:$L$1004,$O905)="","—",INDEX(Firms!$L$5:$L$1004,$O905)))</f>
        <v/>
      </c>
      <c r="M905" s="50">
        <f>IF($O905="","",IF(INDEX(Firms!$M$5:$M$1004,$O905)="","—",INDEX(Firms!$M$5:$M$1004,$O905)))</f>
        <v/>
      </c>
      <c r="O905">
        <f>IFERROR(MATCH(SMALL(Firms!$Y$5:$Y$1004,897),Firms!$W$5:$W$1004,0),"")</f>
        <v/>
      </c>
    </row>
    <row r="906">
      <c r="B906" s="78">
        <f>IF($O906="","",INDEX(Firms!$A$5:$A$1004,$O906))</f>
        <v/>
      </c>
      <c r="C906" s="79">
        <f>IF($O906="","",INDEX(Firms!$N$5:$N$1004,$O906)&amp;"")</f>
        <v/>
      </c>
      <c r="D906" s="79">
        <f>IF($O906="","",INDEX(Firms!$P$5:$P$1004,$O906)&amp;"")</f>
        <v/>
      </c>
      <c r="E906" s="79">
        <f>IF($O906="","",INDEX(Firms!$O$5:$O$1004,$O906)&amp;"")</f>
        <v/>
      </c>
      <c r="F906" s="50">
        <f>IF($O906="","",IF(INDEX(Firms!$F$5:$F$1004,$O906)="","—",INDEX(Firms!$F$5:$F$1004,$O906)))</f>
        <v/>
      </c>
      <c r="G906" s="50">
        <f>IF($O906="","",IF(INDEX(Firms!$G$5:$G$1004,$O906)="","—",INDEX(Firms!$G$5:$G$1004,$O906)))</f>
        <v/>
      </c>
      <c r="H906" s="50">
        <f>IF($O906="","",IF(INDEX(Firms!$H$5:$H$1004,$O906)="","—",INDEX(Firms!$H$5:$H$1004,$O906)))</f>
        <v/>
      </c>
      <c r="I906" s="50">
        <f>IF($O906="","",IF(INDEX(Firms!$I$5:$I$1004,$O906)="","—",INDEX(Firms!$I$5:$I$1004,$O906)))</f>
        <v/>
      </c>
      <c r="J906" s="50">
        <f>IF($O906="","",IF(INDEX(Firms!$J$5:$J$1004,$O906)="","—",INDEX(Firms!$J$5:$J$1004,$O906)))</f>
        <v/>
      </c>
      <c r="K906" s="50">
        <f>IF($O906="","",IF(INDEX(Firms!$K$5:$K$1004,$O906)="","—",INDEX(Firms!$K$5:$K$1004,$O906)))</f>
        <v/>
      </c>
      <c r="L906" s="50">
        <f>IF($O906="","",IF(INDEX(Firms!$L$5:$L$1004,$O906)="","—",INDEX(Firms!$L$5:$L$1004,$O906)))</f>
        <v/>
      </c>
      <c r="M906" s="50">
        <f>IF($O906="","",IF(INDEX(Firms!$M$5:$M$1004,$O906)="","—",INDEX(Firms!$M$5:$M$1004,$O906)))</f>
        <v/>
      </c>
      <c r="O906">
        <f>IFERROR(MATCH(SMALL(Firms!$Y$5:$Y$1004,898),Firms!$W$5:$W$1004,0),"")</f>
        <v/>
      </c>
    </row>
    <row r="907">
      <c r="B907" s="78">
        <f>IF($O907="","",INDEX(Firms!$A$5:$A$1004,$O907))</f>
        <v/>
      </c>
      <c r="C907" s="79">
        <f>IF($O907="","",INDEX(Firms!$N$5:$N$1004,$O907)&amp;"")</f>
        <v/>
      </c>
      <c r="D907" s="79">
        <f>IF($O907="","",INDEX(Firms!$P$5:$P$1004,$O907)&amp;"")</f>
        <v/>
      </c>
      <c r="E907" s="79">
        <f>IF($O907="","",INDEX(Firms!$O$5:$O$1004,$O907)&amp;"")</f>
        <v/>
      </c>
      <c r="F907" s="50">
        <f>IF($O907="","",IF(INDEX(Firms!$F$5:$F$1004,$O907)="","—",INDEX(Firms!$F$5:$F$1004,$O907)))</f>
        <v/>
      </c>
      <c r="G907" s="50">
        <f>IF($O907="","",IF(INDEX(Firms!$G$5:$G$1004,$O907)="","—",INDEX(Firms!$G$5:$G$1004,$O907)))</f>
        <v/>
      </c>
      <c r="H907" s="50">
        <f>IF($O907="","",IF(INDEX(Firms!$H$5:$H$1004,$O907)="","—",INDEX(Firms!$H$5:$H$1004,$O907)))</f>
        <v/>
      </c>
      <c r="I907" s="50">
        <f>IF($O907="","",IF(INDEX(Firms!$I$5:$I$1004,$O907)="","—",INDEX(Firms!$I$5:$I$1004,$O907)))</f>
        <v/>
      </c>
      <c r="J907" s="50">
        <f>IF($O907="","",IF(INDEX(Firms!$J$5:$J$1004,$O907)="","—",INDEX(Firms!$J$5:$J$1004,$O907)))</f>
        <v/>
      </c>
      <c r="K907" s="50">
        <f>IF($O907="","",IF(INDEX(Firms!$K$5:$K$1004,$O907)="","—",INDEX(Firms!$K$5:$K$1004,$O907)))</f>
        <v/>
      </c>
      <c r="L907" s="50">
        <f>IF($O907="","",IF(INDEX(Firms!$L$5:$L$1004,$O907)="","—",INDEX(Firms!$L$5:$L$1004,$O907)))</f>
        <v/>
      </c>
      <c r="M907" s="50">
        <f>IF($O907="","",IF(INDEX(Firms!$M$5:$M$1004,$O907)="","—",INDEX(Firms!$M$5:$M$1004,$O907)))</f>
        <v/>
      </c>
      <c r="O907">
        <f>IFERROR(MATCH(SMALL(Firms!$Y$5:$Y$1004,899),Firms!$W$5:$W$1004,0),"")</f>
        <v/>
      </c>
    </row>
    <row r="908">
      <c r="B908" s="78">
        <f>IF($O908="","",INDEX(Firms!$A$5:$A$1004,$O908))</f>
        <v/>
      </c>
      <c r="C908" s="79">
        <f>IF($O908="","",INDEX(Firms!$N$5:$N$1004,$O908)&amp;"")</f>
        <v/>
      </c>
      <c r="D908" s="79">
        <f>IF($O908="","",INDEX(Firms!$P$5:$P$1004,$O908)&amp;"")</f>
        <v/>
      </c>
      <c r="E908" s="79">
        <f>IF($O908="","",INDEX(Firms!$O$5:$O$1004,$O908)&amp;"")</f>
        <v/>
      </c>
      <c r="F908" s="50">
        <f>IF($O908="","",IF(INDEX(Firms!$F$5:$F$1004,$O908)="","—",INDEX(Firms!$F$5:$F$1004,$O908)))</f>
        <v/>
      </c>
      <c r="G908" s="50">
        <f>IF($O908="","",IF(INDEX(Firms!$G$5:$G$1004,$O908)="","—",INDEX(Firms!$G$5:$G$1004,$O908)))</f>
        <v/>
      </c>
      <c r="H908" s="50">
        <f>IF($O908="","",IF(INDEX(Firms!$H$5:$H$1004,$O908)="","—",INDEX(Firms!$H$5:$H$1004,$O908)))</f>
        <v/>
      </c>
      <c r="I908" s="50">
        <f>IF($O908="","",IF(INDEX(Firms!$I$5:$I$1004,$O908)="","—",INDEX(Firms!$I$5:$I$1004,$O908)))</f>
        <v/>
      </c>
      <c r="J908" s="50">
        <f>IF($O908="","",IF(INDEX(Firms!$J$5:$J$1004,$O908)="","—",INDEX(Firms!$J$5:$J$1004,$O908)))</f>
        <v/>
      </c>
      <c r="K908" s="50">
        <f>IF($O908="","",IF(INDEX(Firms!$K$5:$K$1004,$O908)="","—",INDEX(Firms!$K$5:$K$1004,$O908)))</f>
        <v/>
      </c>
      <c r="L908" s="50">
        <f>IF($O908="","",IF(INDEX(Firms!$L$5:$L$1004,$O908)="","—",INDEX(Firms!$L$5:$L$1004,$O908)))</f>
        <v/>
      </c>
      <c r="M908" s="50">
        <f>IF($O908="","",IF(INDEX(Firms!$M$5:$M$1004,$O908)="","—",INDEX(Firms!$M$5:$M$1004,$O908)))</f>
        <v/>
      </c>
      <c r="O908">
        <f>IFERROR(MATCH(SMALL(Firms!$Y$5:$Y$1004,900),Firms!$W$5:$W$1004,0),"")</f>
        <v/>
      </c>
    </row>
    <row r="909">
      <c r="B909" s="78">
        <f>IF($O909="","",INDEX(Firms!$A$5:$A$1004,$O909))</f>
        <v/>
      </c>
      <c r="C909" s="79">
        <f>IF($O909="","",INDEX(Firms!$N$5:$N$1004,$O909)&amp;"")</f>
        <v/>
      </c>
      <c r="D909" s="79">
        <f>IF($O909="","",INDEX(Firms!$P$5:$P$1004,$O909)&amp;"")</f>
        <v/>
      </c>
      <c r="E909" s="79">
        <f>IF($O909="","",INDEX(Firms!$O$5:$O$1004,$O909)&amp;"")</f>
        <v/>
      </c>
      <c r="F909" s="50">
        <f>IF($O909="","",IF(INDEX(Firms!$F$5:$F$1004,$O909)="","—",INDEX(Firms!$F$5:$F$1004,$O909)))</f>
        <v/>
      </c>
      <c r="G909" s="50">
        <f>IF($O909="","",IF(INDEX(Firms!$G$5:$G$1004,$O909)="","—",INDEX(Firms!$G$5:$G$1004,$O909)))</f>
        <v/>
      </c>
      <c r="H909" s="50">
        <f>IF($O909="","",IF(INDEX(Firms!$H$5:$H$1004,$O909)="","—",INDEX(Firms!$H$5:$H$1004,$O909)))</f>
        <v/>
      </c>
      <c r="I909" s="50">
        <f>IF($O909="","",IF(INDEX(Firms!$I$5:$I$1004,$O909)="","—",INDEX(Firms!$I$5:$I$1004,$O909)))</f>
        <v/>
      </c>
      <c r="J909" s="50">
        <f>IF($O909="","",IF(INDEX(Firms!$J$5:$J$1004,$O909)="","—",INDEX(Firms!$J$5:$J$1004,$O909)))</f>
        <v/>
      </c>
      <c r="K909" s="50">
        <f>IF($O909="","",IF(INDEX(Firms!$K$5:$K$1004,$O909)="","—",INDEX(Firms!$K$5:$K$1004,$O909)))</f>
        <v/>
      </c>
      <c r="L909" s="50">
        <f>IF($O909="","",IF(INDEX(Firms!$L$5:$L$1004,$O909)="","—",INDEX(Firms!$L$5:$L$1004,$O909)))</f>
        <v/>
      </c>
      <c r="M909" s="50">
        <f>IF($O909="","",IF(INDEX(Firms!$M$5:$M$1004,$O909)="","—",INDEX(Firms!$M$5:$M$1004,$O909)))</f>
        <v/>
      </c>
      <c r="O909">
        <f>IFERROR(MATCH(SMALL(Firms!$Y$5:$Y$1004,901),Firms!$W$5:$W$1004,0),"")</f>
        <v/>
      </c>
    </row>
    <row r="910">
      <c r="B910" s="78">
        <f>IF($O910="","",INDEX(Firms!$A$5:$A$1004,$O910))</f>
        <v/>
      </c>
      <c r="C910" s="79">
        <f>IF($O910="","",INDEX(Firms!$N$5:$N$1004,$O910)&amp;"")</f>
        <v/>
      </c>
      <c r="D910" s="79">
        <f>IF($O910="","",INDEX(Firms!$P$5:$P$1004,$O910)&amp;"")</f>
        <v/>
      </c>
      <c r="E910" s="79">
        <f>IF($O910="","",INDEX(Firms!$O$5:$O$1004,$O910)&amp;"")</f>
        <v/>
      </c>
      <c r="F910" s="50">
        <f>IF($O910="","",IF(INDEX(Firms!$F$5:$F$1004,$O910)="","—",INDEX(Firms!$F$5:$F$1004,$O910)))</f>
        <v/>
      </c>
      <c r="G910" s="50">
        <f>IF($O910="","",IF(INDEX(Firms!$G$5:$G$1004,$O910)="","—",INDEX(Firms!$G$5:$G$1004,$O910)))</f>
        <v/>
      </c>
      <c r="H910" s="50">
        <f>IF($O910="","",IF(INDEX(Firms!$H$5:$H$1004,$O910)="","—",INDEX(Firms!$H$5:$H$1004,$O910)))</f>
        <v/>
      </c>
      <c r="I910" s="50">
        <f>IF($O910="","",IF(INDEX(Firms!$I$5:$I$1004,$O910)="","—",INDEX(Firms!$I$5:$I$1004,$O910)))</f>
        <v/>
      </c>
      <c r="J910" s="50">
        <f>IF($O910="","",IF(INDEX(Firms!$J$5:$J$1004,$O910)="","—",INDEX(Firms!$J$5:$J$1004,$O910)))</f>
        <v/>
      </c>
      <c r="K910" s="50">
        <f>IF($O910="","",IF(INDEX(Firms!$K$5:$K$1004,$O910)="","—",INDEX(Firms!$K$5:$K$1004,$O910)))</f>
        <v/>
      </c>
      <c r="L910" s="50">
        <f>IF($O910="","",IF(INDEX(Firms!$L$5:$L$1004,$O910)="","—",INDEX(Firms!$L$5:$L$1004,$O910)))</f>
        <v/>
      </c>
      <c r="M910" s="50">
        <f>IF($O910="","",IF(INDEX(Firms!$M$5:$M$1004,$O910)="","—",INDEX(Firms!$M$5:$M$1004,$O910)))</f>
        <v/>
      </c>
      <c r="O910">
        <f>IFERROR(MATCH(SMALL(Firms!$Y$5:$Y$1004,902),Firms!$W$5:$W$1004,0),"")</f>
        <v/>
      </c>
    </row>
    <row r="911">
      <c r="B911" s="78">
        <f>IF($O911="","",INDEX(Firms!$A$5:$A$1004,$O911))</f>
        <v/>
      </c>
      <c r="C911" s="79">
        <f>IF($O911="","",INDEX(Firms!$N$5:$N$1004,$O911)&amp;"")</f>
        <v/>
      </c>
      <c r="D911" s="79">
        <f>IF($O911="","",INDEX(Firms!$P$5:$P$1004,$O911)&amp;"")</f>
        <v/>
      </c>
      <c r="E911" s="79">
        <f>IF($O911="","",INDEX(Firms!$O$5:$O$1004,$O911)&amp;"")</f>
        <v/>
      </c>
      <c r="F911" s="50">
        <f>IF($O911="","",IF(INDEX(Firms!$F$5:$F$1004,$O911)="","—",INDEX(Firms!$F$5:$F$1004,$O911)))</f>
        <v/>
      </c>
      <c r="G911" s="50">
        <f>IF($O911="","",IF(INDEX(Firms!$G$5:$G$1004,$O911)="","—",INDEX(Firms!$G$5:$G$1004,$O911)))</f>
        <v/>
      </c>
      <c r="H911" s="50">
        <f>IF($O911="","",IF(INDEX(Firms!$H$5:$H$1004,$O911)="","—",INDEX(Firms!$H$5:$H$1004,$O911)))</f>
        <v/>
      </c>
      <c r="I911" s="50">
        <f>IF($O911="","",IF(INDEX(Firms!$I$5:$I$1004,$O911)="","—",INDEX(Firms!$I$5:$I$1004,$O911)))</f>
        <v/>
      </c>
      <c r="J911" s="50">
        <f>IF($O911="","",IF(INDEX(Firms!$J$5:$J$1004,$O911)="","—",INDEX(Firms!$J$5:$J$1004,$O911)))</f>
        <v/>
      </c>
      <c r="K911" s="50">
        <f>IF($O911="","",IF(INDEX(Firms!$K$5:$K$1004,$O911)="","—",INDEX(Firms!$K$5:$K$1004,$O911)))</f>
        <v/>
      </c>
      <c r="L911" s="50">
        <f>IF($O911="","",IF(INDEX(Firms!$L$5:$L$1004,$O911)="","—",INDEX(Firms!$L$5:$L$1004,$O911)))</f>
        <v/>
      </c>
      <c r="M911" s="50">
        <f>IF($O911="","",IF(INDEX(Firms!$M$5:$M$1004,$O911)="","—",INDEX(Firms!$M$5:$M$1004,$O911)))</f>
        <v/>
      </c>
      <c r="O911">
        <f>IFERROR(MATCH(SMALL(Firms!$Y$5:$Y$1004,903),Firms!$W$5:$W$1004,0),"")</f>
        <v/>
      </c>
    </row>
    <row r="912">
      <c r="B912" s="78">
        <f>IF($O912="","",INDEX(Firms!$A$5:$A$1004,$O912))</f>
        <v/>
      </c>
      <c r="C912" s="79">
        <f>IF($O912="","",INDEX(Firms!$N$5:$N$1004,$O912)&amp;"")</f>
        <v/>
      </c>
      <c r="D912" s="79">
        <f>IF($O912="","",INDEX(Firms!$P$5:$P$1004,$O912)&amp;"")</f>
        <v/>
      </c>
      <c r="E912" s="79">
        <f>IF($O912="","",INDEX(Firms!$O$5:$O$1004,$O912)&amp;"")</f>
        <v/>
      </c>
      <c r="F912" s="50">
        <f>IF($O912="","",IF(INDEX(Firms!$F$5:$F$1004,$O912)="","—",INDEX(Firms!$F$5:$F$1004,$O912)))</f>
        <v/>
      </c>
      <c r="G912" s="50">
        <f>IF($O912="","",IF(INDEX(Firms!$G$5:$G$1004,$O912)="","—",INDEX(Firms!$G$5:$G$1004,$O912)))</f>
        <v/>
      </c>
      <c r="H912" s="50">
        <f>IF($O912="","",IF(INDEX(Firms!$H$5:$H$1004,$O912)="","—",INDEX(Firms!$H$5:$H$1004,$O912)))</f>
        <v/>
      </c>
      <c r="I912" s="50">
        <f>IF($O912="","",IF(INDEX(Firms!$I$5:$I$1004,$O912)="","—",INDEX(Firms!$I$5:$I$1004,$O912)))</f>
        <v/>
      </c>
      <c r="J912" s="50">
        <f>IF($O912="","",IF(INDEX(Firms!$J$5:$J$1004,$O912)="","—",INDEX(Firms!$J$5:$J$1004,$O912)))</f>
        <v/>
      </c>
      <c r="K912" s="50">
        <f>IF($O912="","",IF(INDEX(Firms!$K$5:$K$1004,$O912)="","—",INDEX(Firms!$K$5:$K$1004,$O912)))</f>
        <v/>
      </c>
      <c r="L912" s="50">
        <f>IF($O912="","",IF(INDEX(Firms!$L$5:$L$1004,$O912)="","—",INDEX(Firms!$L$5:$L$1004,$O912)))</f>
        <v/>
      </c>
      <c r="M912" s="50">
        <f>IF($O912="","",IF(INDEX(Firms!$M$5:$M$1004,$O912)="","—",INDEX(Firms!$M$5:$M$1004,$O912)))</f>
        <v/>
      </c>
      <c r="O912">
        <f>IFERROR(MATCH(SMALL(Firms!$Y$5:$Y$1004,904),Firms!$W$5:$W$1004,0),"")</f>
        <v/>
      </c>
    </row>
    <row r="913">
      <c r="B913" s="78">
        <f>IF($O913="","",INDEX(Firms!$A$5:$A$1004,$O913))</f>
        <v/>
      </c>
      <c r="C913" s="79">
        <f>IF($O913="","",INDEX(Firms!$N$5:$N$1004,$O913)&amp;"")</f>
        <v/>
      </c>
      <c r="D913" s="79">
        <f>IF($O913="","",INDEX(Firms!$P$5:$P$1004,$O913)&amp;"")</f>
        <v/>
      </c>
      <c r="E913" s="79">
        <f>IF($O913="","",INDEX(Firms!$O$5:$O$1004,$O913)&amp;"")</f>
        <v/>
      </c>
      <c r="F913" s="50">
        <f>IF($O913="","",IF(INDEX(Firms!$F$5:$F$1004,$O913)="","—",INDEX(Firms!$F$5:$F$1004,$O913)))</f>
        <v/>
      </c>
      <c r="G913" s="50">
        <f>IF($O913="","",IF(INDEX(Firms!$G$5:$G$1004,$O913)="","—",INDEX(Firms!$G$5:$G$1004,$O913)))</f>
        <v/>
      </c>
      <c r="H913" s="50">
        <f>IF($O913="","",IF(INDEX(Firms!$H$5:$H$1004,$O913)="","—",INDEX(Firms!$H$5:$H$1004,$O913)))</f>
        <v/>
      </c>
      <c r="I913" s="50">
        <f>IF($O913="","",IF(INDEX(Firms!$I$5:$I$1004,$O913)="","—",INDEX(Firms!$I$5:$I$1004,$O913)))</f>
        <v/>
      </c>
      <c r="J913" s="50">
        <f>IF($O913="","",IF(INDEX(Firms!$J$5:$J$1004,$O913)="","—",INDEX(Firms!$J$5:$J$1004,$O913)))</f>
        <v/>
      </c>
      <c r="K913" s="50">
        <f>IF($O913="","",IF(INDEX(Firms!$K$5:$K$1004,$O913)="","—",INDEX(Firms!$K$5:$K$1004,$O913)))</f>
        <v/>
      </c>
      <c r="L913" s="50">
        <f>IF($O913="","",IF(INDEX(Firms!$L$5:$L$1004,$O913)="","—",INDEX(Firms!$L$5:$L$1004,$O913)))</f>
        <v/>
      </c>
      <c r="M913" s="50">
        <f>IF($O913="","",IF(INDEX(Firms!$M$5:$M$1004,$O913)="","—",INDEX(Firms!$M$5:$M$1004,$O913)))</f>
        <v/>
      </c>
      <c r="O913">
        <f>IFERROR(MATCH(SMALL(Firms!$Y$5:$Y$1004,905),Firms!$W$5:$W$1004,0),"")</f>
        <v/>
      </c>
    </row>
    <row r="914">
      <c r="B914" s="78">
        <f>IF($O914="","",INDEX(Firms!$A$5:$A$1004,$O914))</f>
        <v/>
      </c>
      <c r="C914" s="79">
        <f>IF($O914="","",INDEX(Firms!$N$5:$N$1004,$O914)&amp;"")</f>
        <v/>
      </c>
      <c r="D914" s="79">
        <f>IF($O914="","",INDEX(Firms!$P$5:$P$1004,$O914)&amp;"")</f>
        <v/>
      </c>
      <c r="E914" s="79">
        <f>IF($O914="","",INDEX(Firms!$O$5:$O$1004,$O914)&amp;"")</f>
        <v/>
      </c>
      <c r="F914" s="50">
        <f>IF($O914="","",IF(INDEX(Firms!$F$5:$F$1004,$O914)="","—",INDEX(Firms!$F$5:$F$1004,$O914)))</f>
        <v/>
      </c>
      <c r="G914" s="50">
        <f>IF($O914="","",IF(INDEX(Firms!$G$5:$G$1004,$O914)="","—",INDEX(Firms!$G$5:$G$1004,$O914)))</f>
        <v/>
      </c>
      <c r="H914" s="50">
        <f>IF($O914="","",IF(INDEX(Firms!$H$5:$H$1004,$O914)="","—",INDEX(Firms!$H$5:$H$1004,$O914)))</f>
        <v/>
      </c>
      <c r="I914" s="50">
        <f>IF($O914="","",IF(INDEX(Firms!$I$5:$I$1004,$O914)="","—",INDEX(Firms!$I$5:$I$1004,$O914)))</f>
        <v/>
      </c>
      <c r="J914" s="50">
        <f>IF($O914="","",IF(INDEX(Firms!$J$5:$J$1004,$O914)="","—",INDEX(Firms!$J$5:$J$1004,$O914)))</f>
        <v/>
      </c>
      <c r="K914" s="50">
        <f>IF($O914="","",IF(INDEX(Firms!$K$5:$K$1004,$O914)="","—",INDEX(Firms!$K$5:$K$1004,$O914)))</f>
        <v/>
      </c>
      <c r="L914" s="50">
        <f>IF($O914="","",IF(INDEX(Firms!$L$5:$L$1004,$O914)="","—",INDEX(Firms!$L$5:$L$1004,$O914)))</f>
        <v/>
      </c>
      <c r="M914" s="50">
        <f>IF($O914="","",IF(INDEX(Firms!$M$5:$M$1004,$O914)="","—",INDEX(Firms!$M$5:$M$1004,$O914)))</f>
        <v/>
      </c>
      <c r="O914">
        <f>IFERROR(MATCH(SMALL(Firms!$Y$5:$Y$1004,906),Firms!$W$5:$W$1004,0),"")</f>
        <v/>
      </c>
    </row>
    <row r="915">
      <c r="B915" s="78">
        <f>IF($O915="","",INDEX(Firms!$A$5:$A$1004,$O915))</f>
        <v/>
      </c>
      <c r="C915" s="79">
        <f>IF($O915="","",INDEX(Firms!$N$5:$N$1004,$O915)&amp;"")</f>
        <v/>
      </c>
      <c r="D915" s="79">
        <f>IF($O915="","",INDEX(Firms!$P$5:$P$1004,$O915)&amp;"")</f>
        <v/>
      </c>
      <c r="E915" s="79">
        <f>IF($O915="","",INDEX(Firms!$O$5:$O$1004,$O915)&amp;"")</f>
        <v/>
      </c>
      <c r="F915" s="50">
        <f>IF($O915="","",IF(INDEX(Firms!$F$5:$F$1004,$O915)="","—",INDEX(Firms!$F$5:$F$1004,$O915)))</f>
        <v/>
      </c>
      <c r="G915" s="50">
        <f>IF($O915="","",IF(INDEX(Firms!$G$5:$G$1004,$O915)="","—",INDEX(Firms!$G$5:$G$1004,$O915)))</f>
        <v/>
      </c>
      <c r="H915" s="50">
        <f>IF($O915="","",IF(INDEX(Firms!$H$5:$H$1004,$O915)="","—",INDEX(Firms!$H$5:$H$1004,$O915)))</f>
        <v/>
      </c>
      <c r="I915" s="50">
        <f>IF($O915="","",IF(INDEX(Firms!$I$5:$I$1004,$O915)="","—",INDEX(Firms!$I$5:$I$1004,$O915)))</f>
        <v/>
      </c>
      <c r="J915" s="50">
        <f>IF($O915="","",IF(INDEX(Firms!$J$5:$J$1004,$O915)="","—",INDEX(Firms!$J$5:$J$1004,$O915)))</f>
        <v/>
      </c>
      <c r="K915" s="50">
        <f>IF($O915="","",IF(INDEX(Firms!$K$5:$K$1004,$O915)="","—",INDEX(Firms!$K$5:$K$1004,$O915)))</f>
        <v/>
      </c>
      <c r="L915" s="50">
        <f>IF($O915="","",IF(INDEX(Firms!$L$5:$L$1004,$O915)="","—",INDEX(Firms!$L$5:$L$1004,$O915)))</f>
        <v/>
      </c>
      <c r="M915" s="50">
        <f>IF($O915="","",IF(INDEX(Firms!$M$5:$M$1004,$O915)="","—",INDEX(Firms!$M$5:$M$1004,$O915)))</f>
        <v/>
      </c>
      <c r="O915">
        <f>IFERROR(MATCH(SMALL(Firms!$Y$5:$Y$1004,907),Firms!$W$5:$W$1004,0),"")</f>
        <v/>
      </c>
    </row>
    <row r="916">
      <c r="B916" s="78">
        <f>IF($O916="","",INDEX(Firms!$A$5:$A$1004,$O916))</f>
        <v/>
      </c>
      <c r="C916" s="79">
        <f>IF($O916="","",INDEX(Firms!$N$5:$N$1004,$O916)&amp;"")</f>
        <v/>
      </c>
      <c r="D916" s="79">
        <f>IF($O916="","",INDEX(Firms!$P$5:$P$1004,$O916)&amp;"")</f>
        <v/>
      </c>
      <c r="E916" s="79">
        <f>IF($O916="","",INDEX(Firms!$O$5:$O$1004,$O916)&amp;"")</f>
        <v/>
      </c>
      <c r="F916" s="50">
        <f>IF($O916="","",IF(INDEX(Firms!$F$5:$F$1004,$O916)="","—",INDEX(Firms!$F$5:$F$1004,$O916)))</f>
        <v/>
      </c>
      <c r="G916" s="50">
        <f>IF($O916="","",IF(INDEX(Firms!$G$5:$G$1004,$O916)="","—",INDEX(Firms!$G$5:$G$1004,$O916)))</f>
        <v/>
      </c>
      <c r="H916" s="50">
        <f>IF($O916="","",IF(INDEX(Firms!$H$5:$H$1004,$O916)="","—",INDEX(Firms!$H$5:$H$1004,$O916)))</f>
        <v/>
      </c>
      <c r="I916" s="50">
        <f>IF($O916="","",IF(INDEX(Firms!$I$5:$I$1004,$O916)="","—",INDEX(Firms!$I$5:$I$1004,$O916)))</f>
        <v/>
      </c>
      <c r="J916" s="50">
        <f>IF($O916="","",IF(INDEX(Firms!$J$5:$J$1004,$O916)="","—",INDEX(Firms!$J$5:$J$1004,$O916)))</f>
        <v/>
      </c>
      <c r="K916" s="50">
        <f>IF($O916="","",IF(INDEX(Firms!$K$5:$K$1004,$O916)="","—",INDEX(Firms!$K$5:$K$1004,$O916)))</f>
        <v/>
      </c>
      <c r="L916" s="50">
        <f>IF($O916="","",IF(INDEX(Firms!$L$5:$L$1004,$O916)="","—",INDEX(Firms!$L$5:$L$1004,$O916)))</f>
        <v/>
      </c>
      <c r="M916" s="50">
        <f>IF($O916="","",IF(INDEX(Firms!$M$5:$M$1004,$O916)="","—",INDEX(Firms!$M$5:$M$1004,$O916)))</f>
        <v/>
      </c>
      <c r="O916">
        <f>IFERROR(MATCH(SMALL(Firms!$Y$5:$Y$1004,908),Firms!$W$5:$W$1004,0),"")</f>
        <v/>
      </c>
    </row>
    <row r="917">
      <c r="B917" s="78">
        <f>IF($O917="","",INDEX(Firms!$A$5:$A$1004,$O917))</f>
        <v/>
      </c>
      <c r="C917" s="79">
        <f>IF($O917="","",INDEX(Firms!$N$5:$N$1004,$O917)&amp;"")</f>
        <v/>
      </c>
      <c r="D917" s="79">
        <f>IF($O917="","",INDEX(Firms!$P$5:$P$1004,$O917)&amp;"")</f>
        <v/>
      </c>
      <c r="E917" s="79">
        <f>IF($O917="","",INDEX(Firms!$O$5:$O$1004,$O917)&amp;"")</f>
        <v/>
      </c>
      <c r="F917" s="50">
        <f>IF($O917="","",IF(INDEX(Firms!$F$5:$F$1004,$O917)="","—",INDEX(Firms!$F$5:$F$1004,$O917)))</f>
        <v/>
      </c>
      <c r="G917" s="50">
        <f>IF($O917="","",IF(INDEX(Firms!$G$5:$G$1004,$O917)="","—",INDEX(Firms!$G$5:$G$1004,$O917)))</f>
        <v/>
      </c>
      <c r="H917" s="50">
        <f>IF($O917="","",IF(INDEX(Firms!$H$5:$H$1004,$O917)="","—",INDEX(Firms!$H$5:$H$1004,$O917)))</f>
        <v/>
      </c>
      <c r="I917" s="50">
        <f>IF($O917="","",IF(INDEX(Firms!$I$5:$I$1004,$O917)="","—",INDEX(Firms!$I$5:$I$1004,$O917)))</f>
        <v/>
      </c>
      <c r="J917" s="50">
        <f>IF($O917="","",IF(INDEX(Firms!$J$5:$J$1004,$O917)="","—",INDEX(Firms!$J$5:$J$1004,$O917)))</f>
        <v/>
      </c>
      <c r="K917" s="50">
        <f>IF($O917="","",IF(INDEX(Firms!$K$5:$K$1004,$O917)="","—",INDEX(Firms!$K$5:$K$1004,$O917)))</f>
        <v/>
      </c>
      <c r="L917" s="50">
        <f>IF($O917="","",IF(INDEX(Firms!$L$5:$L$1004,$O917)="","—",INDEX(Firms!$L$5:$L$1004,$O917)))</f>
        <v/>
      </c>
      <c r="M917" s="50">
        <f>IF($O917="","",IF(INDEX(Firms!$M$5:$M$1004,$O917)="","—",INDEX(Firms!$M$5:$M$1004,$O917)))</f>
        <v/>
      </c>
      <c r="O917">
        <f>IFERROR(MATCH(SMALL(Firms!$Y$5:$Y$1004,909),Firms!$W$5:$W$1004,0),"")</f>
        <v/>
      </c>
    </row>
    <row r="918">
      <c r="B918" s="78">
        <f>IF($O918="","",INDEX(Firms!$A$5:$A$1004,$O918))</f>
        <v/>
      </c>
      <c r="C918" s="79">
        <f>IF($O918="","",INDEX(Firms!$N$5:$N$1004,$O918)&amp;"")</f>
        <v/>
      </c>
      <c r="D918" s="79">
        <f>IF($O918="","",INDEX(Firms!$P$5:$P$1004,$O918)&amp;"")</f>
        <v/>
      </c>
      <c r="E918" s="79">
        <f>IF($O918="","",INDEX(Firms!$O$5:$O$1004,$O918)&amp;"")</f>
        <v/>
      </c>
      <c r="F918" s="50">
        <f>IF($O918="","",IF(INDEX(Firms!$F$5:$F$1004,$O918)="","—",INDEX(Firms!$F$5:$F$1004,$O918)))</f>
        <v/>
      </c>
      <c r="G918" s="50">
        <f>IF($O918="","",IF(INDEX(Firms!$G$5:$G$1004,$O918)="","—",INDEX(Firms!$G$5:$G$1004,$O918)))</f>
        <v/>
      </c>
      <c r="H918" s="50">
        <f>IF($O918="","",IF(INDEX(Firms!$H$5:$H$1004,$O918)="","—",INDEX(Firms!$H$5:$H$1004,$O918)))</f>
        <v/>
      </c>
      <c r="I918" s="50">
        <f>IF($O918="","",IF(INDEX(Firms!$I$5:$I$1004,$O918)="","—",INDEX(Firms!$I$5:$I$1004,$O918)))</f>
        <v/>
      </c>
      <c r="J918" s="50">
        <f>IF($O918="","",IF(INDEX(Firms!$J$5:$J$1004,$O918)="","—",INDEX(Firms!$J$5:$J$1004,$O918)))</f>
        <v/>
      </c>
      <c r="K918" s="50">
        <f>IF($O918="","",IF(INDEX(Firms!$K$5:$K$1004,$O918)="","—",INDEX(Firms!$K$5:$K$1004,$O918)))</f>
        <v/>
      </c>
      <c r="L918" s="50">
        <f>IF($O918="","",IF(INDEX(Firms!$L$5:$L$1004,$O918)="","—",INDEX(Firms!$L$5:$L$1004,$O918)))</f>
        <v/>
      </c>
      <c r="M918" s="50">
        <f>IF($O918="","",IF(INDEX(Firms!$M$5:$M$1004,$O918)="","—",INDEX(Firms!$M$5:$M$1004,$O918)))</f>
        <v/>
      </c>
      <c r="O918">
        <f>IFERROR(MATCH(SMALL(Firms!$Y$5:$Y$1004,910),Firms!$W$5:$W$1004,0),"")</f>
        <v/>
      </c>
    </row>
    <row r="919">
      <c r="B919" s="78">
        <f>IF($O919="","",INDEX(Firms!$A$5:$A$1004,$O919))</f>
        <v/>
      </c>
      <c r="C919" s="79">
        <f>IF($O919="","",INDEX(Firms!$N$5:$N$1004,$O919)&amp;"")</f>
        <v/>
      </c>
      <c r="D919" s="79">
        <f>IF($O919="","",INDEX(Firms!$P$5:$P$1004,$O919)&amp;"")</f>
        <v/>
      </c>
      <c r="E919" s="79">
        <f>IF($O919="","",INDEX(Firms!$O$5:$O$1004,$O919)&amp;"")</f>
        <v/>
      </c>
      <c r="F919" s="50">
        <f>IF($O919="","",IF(INDEX(Firms!$F$5:$F$1004,$O919)="","—",INDEX(Firms!$F$5:$F$1004,$O919)))</f>
        <v/>
      </c>
      <c r="G919" s="50">
        <f>IF($O919="","",IF(INDEX(Firms!$G$5:$G$1004,$O919)="","—",INDEX(Firms!$G$5:$G$1004,$O919)))</f>
        <v/>
      </c>
      <c r="H919" s="50">
        <f>IF($O919="","",IF(INDEX(Firms!$H$5:$H$1004,$O919)="","—",INDEX(Firms!$H$5:$H$1004,$O919)))</f>
        <v/>
      </c>
      <c r="I919" s="50">
        <f>IF($O919="","",IF(INDEX(Firms!$I$5:$I$1004,$O919)="","—",INDEX(Firms!$I$5:$I$1004,$O919)))</f>
        <v/>
      </c>
      <c r="J919" s="50">
        <f>IF($O919="","",IF(INDEX(Firms!$J$5:$J$1004,$O919)="","—",INDEX(Firms!$J$5:$J$1004,$O919)))</f>
        <v/>
      </c>
      <c r="K919" s="50">
        <f>IF($O919="","",IF(INDEX(Firms!$K$5:$K$1004,$O919)="","—",INDEX(Firms!$K$5:$K$1004,$O919)))</f>
        <v/>
      </c>
      <c r="L919" s="50">
        <f>IF($O919="","",IF(INDEX(Firms!$L$5:$L$1004,$O919)="","—",INDEX(Firms!$L$5:$L$1004,$O919)))</f>
        <v/>
      </c>
      <c r="M919" s="50">
        <f>IF($O919="","",IF(INDEX(Firms!$M$5:$M$1004,$O919)="","—",INDEX(Firms!$M$5:$M$1004,$O919)))</f>
        <v/>
      </c>
      <c r="O919">
        <f>IFERROR(MATCH(SMALL(Firms!$Y$5:$Y$1004,911),Firms!$W$5:$W$1004,0),"")</f>
        <v/>
      </c>
    </row>
    <row r="920">
      <c r="B920" s="78">
        <f>IF($O920="","",INDEX(Firms!$A$5:$A$1004,$O920))</f>
        <v/>
      </c>
      <c r="C920" s="79">
        <f>IF($O920="","",INDEX(Firms!$N$5:$N$1004,$O920)&amp;"")</f>
        <v/>
      </c>
      <c r="D920" s="79">
        <f>IF($O920="","",INDEX(Firms!$P$5:$P$1004,$O920)&amp;"")</f>
        <v/>
      </c>
      <c r="E920" s="79">
        <f>IF($O920="","",INDEX(Firms!$O$5:$O$1004,$O920)&amp;"")</f>
        <v/>
      </c>
      <c r="F920" s="50">
        <f>IF($O920="","",IF(INDEX(Firms!$F$5:$F$1004,$O920)="","—",INDEX(Firms!$F$5:$F$1004,$O920)))</f>
        <v/>
      </c>
      <c r="G920" s="50">
        <f>IF($O920="","",IF(INDEX(Firms!$G$5:$G$1004,$O920)="","—",INDEX(Firms!$G$5:$G$1004,$O920)))</f>
        <v/>
      </c>
      <c r="H920" s="50">
        <f>IF($O920="","",IF(INDEX(Firms!$H$5:$H$1004,$O920)="","—",INDEX(Firms!$H$5:$H$1004,$O920)))</f>
        <v/>
      </c>
      <c r="I920" s="50">
        <f>IF($O920="","",IF(INDEX(Firms!$I$5:$I$1004,$O920)="","—",INDEX(Firms!$I$5:$I$1004,$O920)))</f>
        <v/>
      </c>
      <c r="J920" s="50">
        <f>IF($O920="","",IF(INDEX(Firms!$J$5:$J$1004,$O920)="","—",INDEX(Firms!$J$5:$J$1004,$O920)))</f>
        <v/>
      </c>
      <c r="K920" s="50">
        <f>IF($O920="","",IF(INDEX(Firms!$K$5:$K$1004,$O920)="","—",INDEX(Firms!$K$5:$K$1004,$O920)))</f>
        <v/>
      </c>
      <c r="L920" s="50">
        <f>IF($O920="","",IF(INDEX(Firms!$L$5:$L$1004,$O920)="","—",INDEX(Firms!$L$5:$L$1004,$O920)))</f>
        <v/>
      </c>
      <c r="M920" s="50">
        <f>IF($O920="","",IF(INDEX(Firms!$M$5:$M$1004,$O920)="","—",INDEX(Firms!$M$5:$M$1004,$O920)))</f>
        <v/>
      </c>
      <c r="O920">
        <f>IFERROR(MATCH(SMALL(Firms!$Y$5:$Y$1004,912),Firms!$W$5:$W$1004,0),"")</f>
        <v/>
      </c>
    </row>
    <row r="921">
      <c r="B921" s="78">
        <f>IF($O921="","",INDEX(Firms!$A$5:$A$1004,$O921))</f>
        <v/>
      </c>
      <c r="C921" s="79">
        <f>IF($O921="","",INDEX(Firms!$N$5:$N$1004,$O921)&amp;"")</f>
        <v/>
      </c>
      <c r="D921" s="79">
        <f>IF($O921="","",INDEX(Firms!$P$5:$P$1004,$O921)&amp;"")</f>
        <v/>
      </c>
      <c r="E921" s="79">
        <f>IF($O921="","",INDEX(Firms!$O$5:$O$1004,$O921)&amp;"")</f>
        <v/>
      </c>
      <c r="F921" s="50">
        <f>IF($O921="","",IF(INDEX(Firms!$F$5:$F$1004,$O921)="","—",INDEX(Firms!$F$5:$F$1004,$O921)))</f>
        <v/>
      </c>
      <c r="G921" s="50">
        <f>IF($O921="","",IF(INDEX(Firms!$G$5:$G$1004,$O921)="","—",INDEX(Firms!$G$5:$G$1004,$O921)))</f>
        <v/>
      </c>
      <c r="H921" s="50">
        <f>IF($O921="","",IF(INDEX(Firms!$H$5:$H$1004,$O921)="","—",INDEX(Firms!$H$5:$H$1004,$O921)))</f>
        <v/>
      </c>
      <c r="I921" s="50">
        <f>IF($O921="","",IF(INDEX(Firms!$I$5:$I$1004,$O921)="","—",INDEX(Firms!$I$5:$I$1004,$O921)))</f>
        <v/>
      </c>
      <c r="J921" s="50">
        <f>IF($O921="","",IF(INDEX(Firms!$J$5:$J$1004,$O921)="","—",INDEX(Firms!$J$5:$J$1004,$O921)))</f>
        <v/>
      </c>
      <c r="K921" s="50">
        <f>IF($O921="","",IF(INDEX(Firms!$K$5:$K$1004,$O921)="","—",INDEX(Firms!$K$5:$K$1004,$O921)))</f>
        <v/>
      </c>
      <c r="L921" s="50">
        <f>IF($O921="","",IF(INDEX(Firms!$L$5:$L$1004,$O921)="","—",INDEX(Firms!$L$5:$L$1004,$O921)))</f>
        <v/>
      </c>
      <c r="M921" s="50">
        <f>IF($O921="","",IF(INDEX(Firms!$M$5:$M$1004,$O921)="","—",INDEX(Firms!$M$5:$M$1004,$O921)))</f>
        <v/>
      </c>
      <c r="O921">
        <f>IFERROR(MATCH(SMALL(Firms!$Y$5:$Y$1004,913),Firms!$W$5:$W$1004,0),"")</f>
        <v/>
      </c>
    </row>
    <row r="922">
      <c r="B922" s="78">
        <f>IF($O922="","",INDEX(Firms!$A$5:$A$1004,$O922))</f>
        <v/>
      </c>
      <c r="C922" s="79">
        <f>IF($O922="","",INDEX(Firms!$N$5:$N$1004,$O922)&amp;"")</f>
        <v/>
      </c>
      <c r="D922" s="79">
        <f>IF($O922="","",INDEX(Firms!$P$5:$P$1004,$O922)&amp;"")</f>
        <v/>
      </c>
      <c r="E922" s="79">
        <f>IF($O922="","",INDEX(Firms!$O$5:$O$1004,$O922)&amp;"")</f>
        <v/>
      </c>
      <c r="F922" s="50">
        <f>IF($O922="","",IF(INDEX(Firms!$F$5:$F$1004,$O922)="","—",INDEX(Firms!$F$5:$F$1004,$O922)))</f>
        <v/>
      </c>
      <c r="G922" s="50">
        <f>IF($O922="","",IF(INDEX(Firms!$G$5:$G$1004,$O922)="","—",INDEX(Firms!$G$5:$G$1004,$O922)))</f>
        <v/>
      </c>
      <c r="H922" s="50">
        <f>IF($O922="","",IF(INDEX(Firms!$H$5:$H$1004,$O922)="","—",INDEX(Firms!$H$5:$H$1004,$O922)))</f>
        <v/>
      </c>
      <c r="I922" s="50">
        <f>IF($O922="","",IF(INDEX(Firms!$I$5:$I$1004,$O922)="","—",INDEX(Firms!$I$5:$I$1004,$O922)))</f>
        <v/>
      </c>
      <c r="J922" s="50">
        <f>IF($O922="","",IF(INDEX(Firms!$J$5:$J$1004,$O922)="","—",INDEX(Firms!$J$5:$J$1004,$O922)))</f>
        <v/>
      </c>
      <c r="K922" s="50">
        <f>IF($O922="","",IF(INDEX(Firms!$K$5:$K$1004,$O922)="","—",INDEX(Firms!$K$5:$K$1004,$O922)))</f>
        <v/>
      </c>
      <c r="L922" s="50">
        <f>IF($O922="","",IF(INDEX(Firms!$L$5:$L$1004,$O922)="","—",INDEX(Firms!$L$5:$L$1004,$O922)))</f>
        <v/>
      </c>
      <c r="M922" s="50">
        <f>IF($O922="","",IF(INDEX(Firms!$M$5:$M$1004,$O922)="","—",INDEX(Firms!$M$5:$M$1004,$O922)))</f>
        <v/>
      </c>
      <c r="O922">
        <f>IFERROR(MATCH(SMALL(Firms!$Y$5:$Y$1004,914),Firms!$W$5:$W$1004,0),"")</f>
        <v/>
      </c>
    </row>
    <row r="923">
      <c r="B923" s="78">
        <f>IF($O923="","",INDEX(Firms!$A$5:$A$1004,$O923))</f>
        <v/>
      </c>
      <c r="C923" s="79">
        <f>IF($O923="","",INDEX(Firms!$N$5:$N$1004,$O923)&amp;"")</f>
        <v/>
      </c>
      <c r="D923" s="79">
        <f>IF($O923="","",INDEX(Firms!$P$5:$P$1004,$O923)&amp;"")</f>
        <v/>
      </c>
      <c r="E923" s="79">
        <f>IF($O923="","",INDEX(Firms!$O$5:$O$1004,$O923)&amp;"")</f>
        <v/>
      </c>
      <c r="F923" s="50">
        <f>IF($O923="","",IF(INDEX(Firms!$F$5:$F$1004,$O923)="","—",INDEX(Firms!$F$5:$F$1004,$O923)))</f>
        <v/>
      </c>
      <c r="G923" s="50">
        <f>IF($O923="","",IF(INDEX(Firms!$G$5:$G$1004,$O923)="","—",INDEX(Firms!$G$5:$G$1004,$O923)))</f>
        <v/>
      </c>
      <c r="H923" s="50">
        <f>IF($O923="","",IF(INDEX(Firms!$H$5:$H$1004,$O923)="","—",INDEX(Firms!$H$5:$H$1004,$O923)))</f>
        <v/>
      </c>
      <c r="I923" s="50">
        <f>IF($O923="","",IF(INDEX(Firms!$I$5:$I$1004,$O923)="","—",INDEX(Firms!$I$5:$I$1004,$O923)))</f>
        <v/>
      </c>
      <c r="J923" s="50">
        <f>IF($O923="","",IF(INDEX(Firms!$J$5:$J$1004,$O923)="","—",INDEX(Firms!$J$5:$J$1004,$O923)))</f>
        <v/>
      </c>
      <c r="K923" s="50">
        <f>IF($O923="","",IF(INDEX(Firms!$K$5:$K$1004,$O923)="","—",INDEX(Firms!$K$5:$K$1004,$O923)))</f>
        <v/>
      </c>
      <c r="L923" s="50">
        <f>IF($O923="","",IF(INDEX(Firms!$L$5:$L$1004,$O923)="","—",INDEX(Firms!$L$5:$L$1004,$O923)))</f>
        <v/>
      </c>
      <c r="M923" s="50">
        <f>IF($O923="","",IF(INDEX(Firms!$M$5:$M$1004,$O923)="","—",INDEX(Firms!$M$5:$M$1004,$O923)))</f>
        <v/>
      </c>
      <c r="O923">
        <f>IFERROR(MATCH(SMALL(Firms!$Y$5:$Y$1004,915),Firms!$W$5:$W$1004,0),"")</f>
        <v/>
      </c>
    </row>
    <row r="924">
      <c r="B924" s="78">
        <f>IF($O924="","",INDEX(Firms!$A$5:$A$1004,$O924))</f>
        <v/>
      </c>
      <c r="C924" s="79">
        <f>IF($O924="","",INDEX(Firms!$N$5:$N$1004,$O924)&amp;"")</f>
        <v/>
      </c>
      <c r="D924" s="79">
        <f>IF($O924="","",INDEX(Firms!$P$5:$P$1004,$O924)&amp;"")</f>
        <v/>
      </c>
      <c r="E924" s="79">
        <f>IF($O924="","",INDEX(Firms!$O$5:$O$1004,$O924)&amp;"")</f>
        <v/>
      </c>
      <c r="F924" s="50">
        <f>IF($O924="","",IF(INDEX(Firms!$F$5:$F$1004,$O924)="","—",INDEX(Firms!$F$5:$F$1004,$O924)))</f>
        <v/>
      </c>
      <c r="G924" s="50">
        <f>IF($O924="","",IF(INDEX(Firms!$G$5:$G$1004,$O924)="","—",INDEX(Firms!$G$5:$G$1004,$O924)))</f>
        <v/>
      </c>
      <c r="H924" s="50">
        <f>IF($O924="","",IF(INDEX(Firms!$H$5:$H$1004,$O924)="","—",INDEX(Firms!$H$5:$H$1004,$O924)))</f>
        <v/>
      </c>
      <c r="I924" s="50">
        <f>IF($O924="","",IF(INDEX(Firms!$I$5:$I$1004,$O924)="","—",INDEX(Firms!$I$5:$I$1004,$O924)))</f>
        <v/>
      </c>
      <c r="J924" s="50">
        <f>IF($O924="","",IF(INDEX(Firms!$J$5:$J$1004,$O924)="","—",INDEX(Firms!$J$5:$J$1004,$O924)))</f>
        <v/>
      </c>
      <c r="K924" s="50">
        <f>IF($O924="","",IF(INDEX(Firms!$K$5:$K$1004,$O924)="","—",INDEX(Firms!$K$5:$K$1004,$O924)))</f>
        <v/>
      </c>
      <c r="L924" s="50">
        <f>IF($O924="","",IF(INDEX(Firms!$L$5:$L$1004,$O924)="","—",INDEX(Firms!$L$5:$L$1004,$O924)))</f>
        <v/>
      </c>
      <c r="M924" s="50">
        <f>IF($O924="","",IF(INDEX(Firms!$M$5:$M$1004,$O924)="","—",INDEX(Firms!$M$5:$M$1004,$O924)))</f>
        <v/>
      </c>
      <c r="O924">
        <f>IFERROR(MATCH(SMALL(Firms!$Y$5:$Y$1004,916),Firms!$W$5:$W$1004,0),"")</f>
        <v/>
      </c>
    </row>
    <row r="925">
      <c r="B925" s="78">
        <f>IF($O925="","",INDEX(Firms!$A$5:$A$1004,$O925))</f>
        <v/>
      </c>
      <c r="C925" s="79">
        <f>IF($O925="","",INDEX(Firms!$N$5:$N$1004,$O925)&amp;"")</f>
        <v/>
      </c>
      <c r="D925" s="79">
        <f>IF($O925="","",INDEX(Firms!$P$5:$P$1004,$O925)&amp;"")</f>
        <v/>
      </c>
      <c r="E925" s="79">
        <f>IF($O925="","",INDEX(Firms!$O$5:$O$1004,$O925)&amp;"")</f>
        <v/>
      </c>
      <c r="F925" s="50">
        <f>IF($O925="","",IF(INDEX(Firms!$F$5:$F$1004,$O925)="","—",INDEX(Firms!$F$5:$F$1004,$O925)))</f>
        <v/>
      </c>
      <c r="G925" s="50">
        <f>IF($O925="","",IF(INDEX(Firms!$G$5:$G$1004,$O925)="","—",INDEX(Firms!$G$5:$G$1004,$O925)))</f>
        <v/>
      </c>
      <c r="H925" s="50">
        <f>IF($O925="","",IF(INDEX(Firms!$H$5:$H$1004,$O925)="","—",INDEX(Firms!$H$5:$H$1004,$O925)))</f>
        <v/>
      </c>
      <c r="I925" s="50">
        <f>IF($O925="","",IF(INDEX(Firms!$I$5:$I$1004,$O925)="","—",INDEX(Firms!$I$5:$I$1004,$O925)))</f>
        <v/>
      </c>
      <c r="J925" s="50">
        <f>IF($O925="","",IF(INDEX(Firms!$J$5:$J$1004,$O925)="","—",INDEX(Firms!$J$5:$J$1004,$O925)))</f>
        <v/>
      </c>
      <c r="K925" s="50">
        <f>IF($O925="","",IF(INDEX(Firms!$K$5:$K$1004,$O925)="","—",INDEX(Firms!$K$5:$K$1004,$O925)))</f>
        <v/>
      </c>
      <c r="L925" s="50">
        <f>IF($O925="","",IF(INDEX(Firms!$L$5:$L$1004,$O925)="","—",INDEX(Firms!$L$5:$L$1004,$O925)))</f>
        <v/>
      </c>
      <c r="M925" s="50">
        <f>IF($O925="","",IF(INDEX(Firms!$M$5:$M$1004,$O925)="","—",INDEX(Firms!$M$5:$M$1004,$O925)))</f>
        <v/>
      </c>
      <c r="O925">
        <f>IFERROR(MATCH(SMALL(Firms!$Y$5:$Y$1004,917),Firms!$W$5:$W$1004,0),"")</f>
        <v/>
      </c>
    </row>
    <row r="926">
      <c r="B926" s="78">
        <f>IF($O926="","",INDEX(Firms!$A$5:$A$1004,$O926))</f>
        <v/>
      </c>
      <c r="C926" s="79">
        <f>IF($O926="","",INDEX(Firms!$N$5:$N$1004,$O926)&amp;"")</f>
        <v/>
      </c>
      <c r="D926" s="79">
        <f>IF($O926="","",INDEX(Firms!$P$5:$P$1004,$O926)&amp;"")</f>
        <v/>
      </c>
      <c r="E926" s="79">
        <f>IF($O926="","",INDEX(Firms!$O$5:$O$1004,$O926)&amp;"")</f>
        <v/>
      </c>
      <c r="F926" s="50">
        <f>IF($O926="","",IF(INDEX(Firms!$F$5:$F$1004,$O926)="","—",INDEX(Firms!$F$5:$F$1004,$O926)))</f>
        <v/>
      </c>
      <c r="G926" s="50">
        <f>IF($O926="","",IF(INDEX(Firms!$G$5:$G$1004,$O926)="","—",INDEX(Firms!$G$5:$G$1004,$O926)))</f>
        <v/>
      </c>
      <c r="H926" s="50">
        <f>IF($O926="","",IF(INDEX(Firms!$H$5:$H$1004,$O926)="","—",INDEX(Firms!$H$5:$H$1004,$O926)))</f>
        <v/>
      </c>
      <c r="I926" s="50">
        <f>IF($O926="","",IF(INDEX(Firms!$I$5:$I$1004,$O926)="","—",INDEX(Firms!$I$5:$I$1004,$O926)))</f>
        <v/>
      </c>
      <c r="J926" s="50">
        <f>IF($O926="","",IF(INDEX(Firms!$J$5:$J$1004,$O926)="","—",INDEX(Firms!$J$5:$J$1004,$O926)))</f>
        <v/>
      </c>
      <c r="K926" s="50">
        <f>IF($O926="","",IF(INDEX(Firms!$K$5:$K$1004,$O926)="","—",INDEX(Firms!$K$5:$K$1004,$O926)))</f>
        <v/>
      </c>
      <c r="L926" s="50">
        <f>IF($O926="","",IF(INDEX(Firms!$L$5:$L$1004,$O926)="","—",INDEX(Firms!$L$5:$L$1004,$O926)))</f>
        <v/>
      </c>
      <c r="M926" s="50">
        <f>IF($O926="","",IF(INDEX(Firms!$M$5:$M$1004,$O926)="","—",INDEX(Firms!$M$5:$M$1004,$O926)))</f>
        <v/>
      </c>
      <c r="O926">
        <f>IFERROR(MATCH(SMALL(Firms!$Y$5:$Y$1004,918),Firms!$W$5:$W$1004,0),"")</f>
        <v/>
      </c>
    </row>
    <row r="927">
      <c r="B927" s="78">
        <f>IF($O927="","",INDEX(Firms!$A$5:$A$1004,$O927))</f>
        <v/>
      </c>
      <c r="C927" s="79">
        <f>IF($O927="","",INDEX(Firms!$N$5:$N$1004,$O927)&amp;"")</f>
        <v/>
      </c>
      <c r="D927" s="79">
        <f>IF($O927="","",INDEX(Firms!$P$5:$P$1004,$O927)&amp;"")</f>
        <v/>
      </c>
      <c r="E927" s="79">
        <f>IF($O927="","",INDEX(Firms!$O$5:$O$1004,$O927)&amp;"")</f>
        <v/>
      </c>
      <c r="F927" s="50">
        <f>IF($O927="","",IF(INDEX(Firms!$F$5:$F$1004,$O927)="","—",INDEX(Firms!$F$5:$F$1004,$O927)))</f>
        <v/>
      </c>
      <c r="G927" s="50">
        <f>IF($O927="","",IF(INDEX(Firms!$G$5:$G$1004,$O927)="","—",INDEX(Firms!$G$5:$G$1004,$O927)))</f>
        <v/>
      </c>
      <c r="H927" s="50">
        <f>IF($O927="","",IF(INDEX(Firms!$H$5:$H$1004,$O927)="","—",INDEX(Firms!$H$5:$H$1004,$O927)))</f>
        <v/>
      </c>
      <c r="I927" s="50">
        <f>IF($O927="","",IF(INDEX(Firms!$I$5:$I$1004,$O927)="","—",INDEX(Firms!$I$5:$I$1004,$O927)))</f>
        <v/>
      </c>
      <c r="J927" s="50">
        <f>IF($O927="","",IF(INDEX(Firms!$J$5:$J$1004,$O927)="","—",INDEX(Firms!$J$5:$J$1004,$O927)))</f>
        <v/>
      </c>
      <c r="K927" s="50">
        <f>IF($O927="","",IF(INDEX(Firms!$K$5:$K$1004,$O927)="","—",INDEX(Firms!$K$5:$K$1004,$O927)))</f>
        <v/>
      </c>
      <c r="L927" s="50">
        <f>IF($O927="","",IF(INDEX(Firms!$L$5:$L$1004,$O927)="","—",INDEX(Firms!$L$5:$L$1004,$O927)))</f>
        <v/>
      </c>
      <c r="M927" s="50">
        <f>IF($O927="","",IF(INDEX(Firms!$M$5:$M$1004,$O927)="","—",INDEX(Firms!$M$5:$M$1004,$O927)))</f>
        <v/>
      </c>
      <c r="O927">
        <f>IFERROR(MATCH(SMALL(Firms!$Y$5:$Y$1004,919),Firms!$W$5:$W$1004,0),"")</f>
        <v/>
      </c>
    </row>
    <row r="928">
      <c r="B928" s="78">
        <f>IF($O928="","",INDEX(Firms!$A$5:$A$1004,$O928))</f>
        <v/>
      </c>
      <c r="C928" s="79">
        <f>IF($O928="","",INDEX(Firms!$N$5:$N$1004,$O928)&amp;"")</f>
        <v/>
      </c>
      <c r="D928" s="79">
        <f>IF($O928="","",INDEX(Firms!$P$5:$P$1004,$O928)&amp;"")</f>
        <v/>
      </c>
      <c r="E928" s="79">
        <f>IF($O928="","",INDEX(Firms!$O$5:$O$1004,$O928)&amp;"")</f>
        <v/>
      </c>
      <c r="F928" s="50">
        <f>IF($O928="","",IF(INDEX(Firms!$F$5:$F$1004,$O928)="","—",INDEX(Firms!$F$5:$F$1004,$O928)))</f>
        <v/>
      </c>
      <c r="G928" s="50">
        <f>IF($O928="","",IF(INDEX(Firms!$G$5:$G$1004,$O928)="","—",INDEX(Firms!$G$5:$G$1004,$O928)))</f>
        <v/>
      </c>
      <c r="H928" s="50">
        <f>IF($O928="","",IF(INDEX(Firms!$H$5:$H$1004,$O928)="","—",INDEX(Firms!$H$5:$H$1004,$O928)))</f>
        <v/>
      </c>
      <c r="I928" s="50">
        <f>IF($O928="","",IF(INDEX(Firms!$I$5:$I$1004,$O928)="","—",INDEX(Firms!$I$5:$I$1004,$O928)))</f>
        <v/>
      </c>
      <c r="J928" s="50">
        <f>IF($O928="","",IF(INDEX(Firms!$J$5:$J$1004,$O928)="","—",INDEX(Firms!$J$5:$J$1004,$O928)))</f>
        <v/>
      </c>
      <c r="K928" s="50">
        <f>IF($O928="","",IF(INDEX(Firms!$K$5:$K$1004,$O928)="","—",INDEX(Firms!$K$5:$K$1004,$O928)))</f>
        <v/>
      </c>
      <c r="L928" s="50">
        <f>IF($O928="","",IF(INDEX(Firms!$L$5:$L$1004,$O928)="","—",INDEX(Firms!$L$5:$L$1004,$O928)))</f>
        <v/>
      </c>
      <c r="M928" s="50">
        <f>IF($O928="","",IF(INDEX(Firms!$M$5:$M$1004,$O928)="","—",INDEX(Firms!$M$5:$M$1004,$O928)))</f>
        <v/>
      </c>
      <c r="O928">
        <f>IFERROR(MATCH(SMALL(Firms!$Y$5:$Y$1004,920),Firms!$W$5:$W$1004,0),"")</f>
        <v/>
      </c>
    </row>
    <row r="929">
      <c r="B929" s="78">
        <f>IF($O929="","",INDEX(Firms!$A$5:$A$1004,$O929))</f>
        <v/>
      </c>
      <c r="C929" s="79">
        <f>IF($O929="","",INDEX(Firms!$N$5:$N$1004,$O929)&amp;"")</f>
        <v/>
      </c>
      <c r="D929" s="79">
        <f>IF($O929="","",INDEX(Firms!$P$5:$P$1004,$O929)&amp;"")</f>
        <v/>
      </c>
      <c r="E929" s="79">
        <f>IF($O929="","",INDEX(Firms!$O$5:$O$1004,$O929)&amp;"")</f>
        <v/>
      </c>
      <c r="F929" s="50">
        <f>IF($O929="","",IF(INDEX(Firms!$F$5:$F$1004,$O929)="","—",INDEX(Firms!$F$5:$F$1004,$O929)))</f>
        <v/>
      </c>
      <c r="G929" s="50">
        <f>IF($O929="","",IF(INDEX(Firms!$G$5:$G$1004,$O929)="","—",INDEX(Firms!$G$5:$G$1004,$O929)))</f>
        <v/>
      </c>
      <c r="H929" s="50">
        <f>IF($O929="","",IF(INDEX(Firms!$H$5:$H$1004,$O929)="","—",INDEX(Firms!$H$5:$H$1004,$O929)))</f>
        <v/>
      </c>
      <c r="I929" s="50">
        <f>IF($O929="","",IF(INDEX(Firms!$I$5:$I$1004,$O929)="","—",INDEX(Firms!$I$5:$I$1004,$O929)))</f>
        <v/>
      </c>
      <c r="J929" s="50">
        <f>IF($O929="","",IF(INDEX(Firms!$J$5:$J$1004,$O929)="","—",INDEX(Firms!$J$5:$J$1004,$O929)))</f>
        <v/>
      </c>
      <c r="K929" s="50">
        <f>IF($O929="","",IF(INDEX(Firms!$K$5:$K$1004,$O929)="","—",INDEX(Firms!$K$5:$K$1004,$O929)))</f>
        <v/>
      </c>
      <c r="L929" s="50">
        <f>IF($O929="","",IF(INDEX(Firms!$L$5:$L$1004,$O929)="","—",INDEX(Firms!$L$5:$L$1004,$O929)))</f>
        <v/>
      </c>
      <c r="M929" s="50">
        <f>IF($O929="","",IF(INDEX(Firms!$M$5:$M$1004,$O929)="","—",INDEX(Firms!$M$5:$M$1004,$O929)))</f>
        <v/>
      </c>
      <c r="O929">
        <f>IFERROR(MATCH(SMALL(Firms!$Y$5:$Y$1004,921),Firms!$W$5:$W$1004,0),"")</f>
        <v/>
      </c>
    </row>
    <row r="930">
      <c r="B930" s="78">
        <f>IF($O930="","",INDEX(Firms!$A$5:$A$1004,$O930))</f>
        <v/>
      </c>
      <c r="C930" s="79">
        <f>IF($O930="","",INDEX(Firms!$N$5:$N$1004,$O930)&amp;"")</f>
        <v/>
      </c>
      <c r="D930" s="79">
        <f>IF($O930="","",INDEX(Firms!$P$5:$P$1004,$O930)&amp;"")</f>
        <v/>
      </c>
      <c r="E930" s="79">
        <f>IF($O930="","",INDEX(Firms!$O$5:$O$1004,$O930)&amp;"")</f>
        <v/>
      </c>
      <c r="F930" s="50">
        <f>IF($O930="","",IF(INDEX(Firms!$F$5:$F$1004,$O930)="","—",INDEX(Firms!$F$5:$F$1004,$O930)))</f>
        <v/>
      </c>
      <c r="G930" s="50">
        <f>IF($O930="","",IF(INDEX(Firms!$G$5:$G$1004,$O930)="","—",INDEX(Firms!$G$5:$G$1004,$O930)))</f>
        <v/>
      </c>
      <c r="H930" s="50">
        <f>IF($O930="","",IF(INDEX(Firms!$H$5:$H$1004,$O930)="","—",INDEX(Firms!$H$5:$H$1004,$O930)))</f>
        <v/>
      </c>
      <c r="I930" s="50">
        <f>IF($O930="","",IF(INDEX(Firms!$I$5:$I$1004,$O930)="","—",INDEX(Firms!$I$5:$I$1004,$O930)))</f>
        <v/>
      </c>
      <c r="J930" s="50">
        <f>IF($O930="","",IF(INDEX(Firms!$J$5:$J$1004,$O930)="","—",INDEX(Firms!$J$5:$J$1004,$O930)))</f>
        <v/>
      </c>
      <c r="K930" s="50">
        <f>IF($O930="","",IF(INDEX(Firms!$K$5:$K$1004,$O930)="","—",INDEX(Firms!$K$5:$K$1004,$O930)))</f>
        <v/>
      </c>
      <c r="L930" s="50">
        <f>IF($O930="","",IF(INDEX(Firms!$L$5:$L$1004,$O930)="","—",INDEX(Firms!$L$5:$L$1004,$O930)))</f>
        <v/>
      </c>
      <c r="M930" s="50">
        <f>IF($O930="","",IF(INDEX(Firms!$M$5:$M$1004,$O930)="","—",INDEX(Firms!$M$5:$M$1004,$O930)))</f>
        <v/>
      </c>
      <c r="O930">
        <f>IFERROR(MATCH(SMALL(Firms!$Y$5:$Y$1004,922),Firms!$W$5:$W$1004,0),"")</f>
        <v/>
      </c>
    </row>
    <row r="931">
      <c r="B931" s="78">
        <f>IF($O931="","",INDEX(Firms!$A$5:$A$1004,$O931))</f>
        <v/>
      </c>
      <c r="C931" s="79">
        <f>IF($O931="","",INDEX(Firms!$N$5:$N$1004,$O931)&amp;"")</f>
        <v/>
      </c>
      <c r="D931" s="79">
        <f>IF($O931="","",INDEX(Firms!$P$5:$P$1004,$O931)&amp;"")</f>
        <v/>
      </c>
      <c r="E931" s="79">
        <f>IF($O931="","",INDEX(Firms!$O$5:$O$1004,$O931)&amp;"")</f>
        <v/>
      </c>
      <c r="F931" s="50">
        <f>IF($O931="","",IF(INDEX(Firms!$F$5:$F$1004,$O931)="","—",INDEX(Firms!$F$5:$F$1004,$O931)))</f>
        <v/>
      </c>
      <c r="G931" s="50">
        <f>IF($O931="","",IF(INDEX(Firms!$G$5:$G$1004,$O931)="","—",INDEX(Firms!$G$5:$G$1004,$O931)))</f>
        <v/>
      </c>
      <c r="H931" s="50">
        <f>IF($O931="","",IF(INDEX(Firms!$H$5:$H$1004,$O931)="","—",INDEX(Firms!$H$5:$H$1004,$O931)))</f>
        <v/>
      </c>
      <c r="I931" s="50">
        <f>IF($O931="","",IF(INDEX(Firms!$I$5:$I$1004,$O931)="","—",INDEX(Firms!$I$5:$I$1004,$O931)))</f>
        <v/>
      </c>
      <c r="J931" s="50">
        <f>IF($O931="","",IF(INDEX(Firms!$J$5:$J$1004,$O931)="","—",INDEX(Firms!$J$5:$J$1004,$O931)))</f>
        <v/>
      </c>
      <c r="K931" s="50">
        <f>IF($O931="","",IF(INDEX(Firms!$K$5:$K$1004,$O931)="","—",INDEX(Firms!$K$5:$K$1004,$O931)))</f>
        <v/>
      </c>
      <c r="L931" s="50">
        <f>IF($O931="","",IF(INDEX(Firms!$L$5:$L$1004,$O931)="","—",INDEX(Firms!$L$5:$L$1004,$O931)))</f>
        <v/>
      </c>
      <c r="M931" s="50">
        <f>IF($O931="","",IF(INDEX(Firms!$M$5:$M$1004,$O931)="","—",INDEX(Firms!$M$5:$M$1004,$O931)))</f>
        <v/>
      </c>
      <c r="O931">
        <f>IFERROR(MATCH(SMALL(Firms!$Y$5:$Y$1004,923),Firms!$W$5:$W$1004,0),"")</f>
        <v/>
      </c>
    </row>
    <row r="932">
      <c r="B932" s="78">
        <f>IF($O932="","",INDEX(Firms!$A$5:$A$1004,$O932))</f>
        <v/>
      </c>
      <c r="C932" s="79">
        <f>IF($O932="","",INDEX(Firms!$N$5:$N$1004,$O932)&amp;"")</f>
        <v/>
      </c>
      <c r="D932" s="79">
        <f>IF($O932="","",INDEX(Firms!$P$5:$P$1004,$O932)&amp;"")</f>
        <v/>
      </c>
      <c r="E932" s="79">
        <f>IF($O932="","",INDEX(Firms!$O$5:$O$1004,$O932)&amp;"")</f>
        <v/>
      </c>
      <c r="F932" s="50">
        <f>IF($O932="","",IF(INDEX(Firms!$F$5:$F$1004,$O932)="","—",INDEX(Firms!$F$5:$F$1004,$O932)))</f>
        <v/>
      </c>
      <c r="G932" s="50">
        <f>IF($O932="","",IF(INDEX(Firms!$G$5:$G$1004,$O932)="","—",INDEX(Firms!$G$5:$G$1004,$O932)))</f>
        <v/>
      </c>
      <c r="H932" s="50">
        <f>IF($O932="","",IF(INDEX(Firms!$H$5:$H$1004,$O932)="","—",INDEX(Firms!$H$5:$H$1004,$O932)))</f>
        <v/>
      </c>
      <c r="I932" s="50">
        <f>IF($O932="","",IF(INDEX(Firms!$I$5:$I$1004,$O932)="","—",INDEX(Firms!$I$5:$I$1004,$O932)))</f>
        <v/>
      </c>
      <c r="J932" s="50">
        <f>IF($O932="","",IF(INDEX(Firms!$J$5:$J$1004,$O932)="","—",INDEX(Firms!$J$5:$J$1004,$O932)))</f>
        <v/>
      </c>
      <c r="K932" s="50">
        <f>IF($O932="","",IF(INDEX(Firms!$K$5:$K$1004,$O932)="","—",INDEX(Firms!$K$5:$K$1004,$O932)))</f>
        <v/>
      </c>
      <c r="L932" s="50">
        <f>IF($O932="","",IF(INDEX(Firms!$L$5:$L$1004,$O932)="","—",INDEX(Firms!$L$5:$L$1004,$O932)))</f>
        <v/>
      </c>
      <c r="M932" s="50">
        <f>IF($O932="","",IF(INDEX(Firms!$M$5:$M$1004,$O932)="","—",INDEX(Firms!$M$5:$M$1004,$O932)))</f>
        <v/>
      </c>
      <c r="O932">
        <f>IFERROR(MATCH(SMALL(Firms!$Y$5:$Y$1004,924),Firms!$W$5:$W$1004,0),"")</f>
        <v/>
      </c>
    </row>
    <row r="933">
      <c r="B933" s="78">
        <f>IF($O933="","",INDEX(Firms!$A$5:$A$1004,$O933))</f>
        <v/>
      </c>
      <c r="C933" s="79">
        <f>IF($O933="","",INDEX(Firms!$N$5:$N$1004,$O933)&amp;"")</f>
        <v/>
      </c>
      <c r="D933" s="79">
        <f>IF($O933="","",INDEX(Firms!$P$5:$P$1004,$O933)&amp;"")</f>
        <v/>
      </c>
      <c r="E933" s="79">
        <f>IF($O933="","",INDEX(Firms!$O$5:$O$1004,$O933)&amp;"")</f>
        <v/>
      </c>
      <c r="F933" s="50">
        <f>IF($O933="","",IF(INDEX(Firms!$F$5:$F$1004,$O933)="","—",INDEX(Firms!$F$5:$F$1004,$O933)))</f>
        <v/>
      </c>
      <c r="G933" s="50">
        <f>IF($O933="","",IF(INDEX(Firms!$G$5:$G$1004,$O933)="","—",INDEX(Firms!$G$5:$G$1004,$O933)))</f>
        <v/>
      </c>
      <c r="H933" s="50">
        <f>IF($O933="","",IF(INDEX(Firms!$H$5:$H$1004,$O933)="","—",INDEX(Firms!$H$5:$H$1004,$O933)))</f>
        <v/>
      </c>
      <c r="I933" s="50">
        <f>IF($O933="","",IF(INDEX(Firms!$I$5:$I$1004,$O933)="","—",INDEX(Firms!$I$5:$I$1004,$O933)))</f>
        <v/>
      </c>
      <c r="J933" s="50">
        <f>IF($O933="","",IF(INDEX(Firms!$J$5:$J$1004,$O933)="","—",INDEX(Firms!$J$5:$J$1004,$O933)))</f>
        <v/>
      </c>
      <c r="K933" s="50">
        <f>IF($O933="","",IF(INDEX(Firms!$K$5:$K$1004,$O933)="","—",INDEX(Firms!$K$5:$K$1004,$O933)))</f>
        <v/>
      </c>
      <c r="L933" s="50">
        <f>IF($O933="","",IF(INDEX(Firms!$L$5:$L$1004,$O933)="","—",INDEX(Firms!$L$5:$L$1004,$O933)))</f>
        <v/>
      </c>
      <c r="M933" s="50">
        <f>IF($O933="","",IF(INDEX(Firms!$M$5:$M$1004,$O933)="","—",INDEX(Firms!$M$5:$M$1004,$O933)))</f>
        <v/>
      </c>
      <c r="O933">
        <f>IFERROR(MATCH(SMALL(Firms!$Y$5:$Y$1004,925),Firms!$W$5:$W$1004,0),"")</f>
        <v/>
      </c>
    </row>
    <row r="934">
      <c r="B934" s="78">
        <f>IF($O934="","",INDEX(Firms!$A$5:$A$1004,$O934))</f>
        <v/>
      </c>
      <c r="C934" s="79">
        <f>IF($O934="","",INDEX(Firms!$N$5:$N$1004,$O934)&amp;"")</f>
        <v/>
      </c>
      <c r="D934" s="79">
        <f>IF($O934="","",INDEX(Firms!$P$5:$P$1004,$O934)&amp;"")</f>
        <v/>
      </c>
      <c r="E934" s="79">
        <f>IF($O934="","",INDEX(Firms!$O$5:$O$1004,$O934)&amp;"")</f>
        <v/>
      </c>
      <c r="F934" s="50">
        <f>IF($O934="","",IF(INDEX(Firms!$F$5:$F$1004,$O934)="","—",INDEX(Firms!$F$5:$F$1004,$O934)))</f>
        <v/>
      </c>
      <c r="G934" s="50">
        <f>IF($O934="","",IF(INDEX(Firms!$G$5:$G$1004,$O934)="","—",INDEX(Firms!$G$5:$G$1004,$O934)))</f>
        <v/>
      </c>
      <c r="H934" s="50">
        <f>IF($O934="","",IF(INDEX(Firms!$H$5:$H$1004,$O934)="","—",INDEX(Firms!$H$5:$H$1004,$O934)))</f>
        <v/>
      </c>
      <c r="I934" s="50">
        <f>IF($O934="","",IF(INDEX(Firms!$I$5:$I$1004,$O934)="","—",INDEX(Firms!$I$5:$I$1004,$O934)))</f>
        <v/>
      </c>
      <c r="J934" s="50">
        <f>IF($O934="","",IF(INDEX(Firms!$J$5:$J$1004,$O934)="","—",INDEX(Firms!$J$5:$J$1004,$O934)))</f>
        <v/>
      </c>
      <c r="K934" s="50">
        <f>IF($O934="","",IF(INDEX(Firms!$K$5:$K$1004,$O934)="","—",INDEX(Firms!$K$5:$K$1004,$O934)))</f>
        <v/>
      </c>
      <c r="L934" s="50">
        <f>IF($O934="","",IF(INDEX(Firms!$L$5:$L$1004,$O934)="","—",INDEX(Firms!$L$5:$L$1004,$O934)))</f>
        <v/>
      </c>
      <c r="M934" s="50">
        <f>IF($O934="","",IF(INDEX(Firms!$M$5:$M$1004,$O934)="","—",INDEX(Firms!$M$5:$M$1004,$O934)))</f>
        <v/>
      </c>
      <c r="O934">
        <f>IFERROR(MATCH(SMALL(Firms!$Y$5:$Y$1004,926),Firms!$W$5:$W$1004,0),"")</f>
        <v/>
      </c>
    </row>
    <row r="935">
      <c r="B935" s="78">
        <f>IF($O935="","",INDEX(Firms!$A$5:$A$1004,$O935))</f>
        <v/>
      </c>
      <c r="C935" s="79">
        <f>IF($O935="","",INDEX(Firms!$N$5:$N$1004,$O935)&amp;"")</f>
        <v/>
      </c>
      <c r="D935" s="79">
        <f>IF($O935="","",INDEX(Firms!$P$5:$P$1004,$O935)&amp;"")</f>
        <v/>
      </c>
      <c r="E935" s="79">
        <f>IF($O935="","",INDEX(Firms!$O$5:$O$1004,$O935)&amp;"")</f>
        <v/>
      </c>
      <c r="F935" s="50">
        <f>IF($O935="","",IF(INDEX(Firms!$F$5:$F$1004,$O935)="","—",INDEX(Firms!$F$5:$F$1004,$O935)))</f>
        <v/>
      </c>
      <c r="G935" s="50">
        <f>IF($O935="","",IF(INDEX(Firms!$G$5:$G$1004,$O935)="","—",INDEX(Firms!$G$5:$G$1004,$O935)))</f>
        <v/>
      </c>
      <c r="H935" s="50">
        <f>IF($O935="","",IF(INDEX(Firms!$H$5:$H$1004,$O935)="","—",INDEX(Firms!$H$5:$H$1004,$O935)))</f>
        <v/>
      </c>
      <c r="I935" s="50">
        <f>IF($O935="","",IF(INDEX(Firms!$I$5:$I$1004,$O935)="","—",INDEX(Firms!$I$5:$I$1004,$O935)))</f>
        <v/>
      </c>
      <c r="J935" s="50">
        <f>IF($O935="","",IF(INDEX(Firms!$J$5:$J$1004,$O935)="","—",INDEX(Firms!$J$5:$J$1004,$O935)))</f>
        <v/>
      </c>
      <c r="K935" s="50">
        <f>IF($O935="","",IF(INDEX(Firms!$K$5:$K$1004,$O935)="","—",INDEX(Firms!$K$5:$K$1004,$O935)))</f>
        <v/>
      </c>
      <c r="L935" s="50">
        <f>IF($O935="","",IF(INDEX(Firms!$L$5:$L$1004,$O935)="","—",INDEX(Firms!$L$5:$L$1004,$O935)))</f>
        <v/>
      </c>
      <c r="M935" s="50">
        <f>IF($O935="","",IF(INDEX(Firms!$M$5:$M$1004,$O935)="","—",INDEX(Firms!$M$5:$M$1004,$O935)))</f>
        <v/>
      </c>
      <c r="O935">
        <f>IFERROR(MATCH(SMALL(Firms!$Y$5:$Y$1004,927),Firms!$W$5:$W$1004,0),"")</f>
        <v/>
      </c>
    </row>
    <row r="936">
      <c r="B936" s="78">
        <f>IF($O936="","",INDEX(Firms!$A$5:$A$1004,$O936))</f>
        <v/>
      </c>
      <c r="C936" s="79">
        <f>IF($O936="","",INDEX(Firms!$N$5:$N$1004,$O936)&amp;"")</f>
        <v/>
      </c>
      <c r="D936" s="79">
        <f>IF($O936="","",INDEX(Firms!$P$5:$P$1004,$O936)&amp;"")</f>
        <v/>
      </c>
      <c r="E936" s="79">
        <f>IF($O936="","",INDEX(Firms!$O$5:$O$1004,$O936)&amp;"")</f>
        <v/>
      </c>
      <c r="F936" s="50">
        <f>IF($O936="","",IF(INDEX(Firms!$F$5:$F$1004,$O936)="","—",INDEX(Firms!$F$5:$F$1004,$O936)))</f>
        <v/>
      </c>
      <c r="G936" s="50">
        <f>IF($O936="","",IF(INDEX(Firms!$G$5:$G$1004,$O936)="","—",INDEX(Firms!$G$5:$G$1004,$O936)))</f>
        <v/>
      </c>
      <c r="H936" s="50">
        <f>IF($O936="","",IF(INDEX(Firms!$H$5:$H$1004,$O936)="","—",INDEX(Firms!$H$5:$H$1004,$O936)))</f>
        <v/>
      </c>
      <c r="I936" s="50">
        <f>IF($O936="","",IF(INDEX(Firms!$I$5:$I$1004,$O936)="","—",INDEX(Firms!$I$5:$I$1004,$O936)))</f>
        <v/>
      </c>
      <c r="J936" s="50">
        <f>IF($O936="","",IF(INDEX(Firms!$J$5:$J$1004,$O936)="","—",INDEX(Firms!$J$5:$J$1004,$O936)))</f>
        <v/>
      </c>
      <c r="K936" s="50">
        <f>IF($O936="","",IF(INDEX(Firms!$K$5:$K$1004,$O936)="","—",INDEX(Firms!$K$5:$K$1004,$O936)))</f>
        <v/>
      </c>
      <c r="L936" s="50">
        <f>IF($O936="","",IF(INDEX(Firms!$L$5:$L$1004,$O936)="","—",INDEX(Firms!$L$5:$L$1004,$O936)))</f>
        <v/>
      </c>
      <c r="M936" s="50">
        <f>IF($O936="","",IF(INDEX(Firms!$M$5:$M$1004,$O936)="","—",INDEX(Firms!$M$5:$M$1004,$O936)))</f>
        <v/>
      </c>
      <c r="O936">
        <f>IFERROR(MATCH(SMALL(Firms!$Y$5:$Y$1004,928),Firms!$W$5:$W$1004,0),"")</f>
        <v/>
      </c>
    </row>
    <row r="937">
      <c r="B937" s="78">
        <f>IF($O937="","",INDEX(Firms!$A$5:$A$1004,$O937))</f>
        <v/>
      </c>
      <c r="C937" s="79">
        <f>IF($O937="","",INDEX(Firms!$N$5:$N$1004,$O937)&amp;"")</f>
        <v/>
      </c>
      <c r="D937" s="79">
        <f>IF($O937="","",INDEX(Firms!$P$5:$P$1004,$O937)&amp;"")</f>
        <v/>
      </c>
      <c r="E937" s="79">
        <f>IF($O937="","",INDEX(Firms!$O$5:$O$1004,$O937)&amp;"")</f>
        <v/>
      </c>
      <c r="F937" s="50">
        <f>IF($O937="","",IF(INDEX(Firms!$F$5:$F$1004,$O937)="","—",INDEX(Firms!$F$5:$F$1004,$O937)))</f>
        <v/>
      </c>
      <c r="G937" s="50">
        <f>IF($O937="","",IF(INDEX(Firms!$G$5:$G$1004,$O937)="","—",INDEX(Firms!$G$5:$G$1004,$O937)))</f>
        <v/>
      </c>
      <c r="H937" s="50">
        <f>IF($O937="","",IF(INDEX(Firms!$H$5:$H$1004,$O937)="","—",INDEX(Firms!$H$5:$H$1004,$O937)))</f>
        <v/>
      </c>
      <c r="I937" s="50">
        <f>IF($O937="","",IF(INDEX(Firms!$I$5:$I$1004,$O937)="","—",INDEX(Firms!$I$5:$I$1004,$O937)))</f>
        <v/>
      </c>
      <c r="J937" s="50">
        <f>IF($O937="","",IF(INDEX(Firms!$J$5:$J$1004,$O937)="","—",INDEX(Firms!$J$5:$J$1004,$O937)))</f>
        <v/>
      </c>
      <c r="K937" s="50">
        <f>IF($O937="","",IF(INDEX(Firms!$K$5:$K$1004,$O937)="","—",INDEX(Firms!$K$5:$K$1004,$O937)))</f>
        <v/>
      </c>
      <c r="L937" s="50">
        <f>IF($O937="","",IF(INDEX(Firms!$L$5:$L$1004,$O937)="","—",INDEX(Firms!$L$5:$L$1004,$O937)))</f>
        <v/>
      </c>
      <c r="M937" s="50">
        <f>IF($O937="","",IF(INDEX(Firms!$M$5:$M$1004,$O937)="","—",INDEX(Firms!$M$5:$M$1004,$O937)))</f>
        <v/>
      </c>
      <c r="O937">
        <f>IFERROR(MATCH(SMALL(Firms!$Y$5:$Y$1004,929),Firms!$W$5:$W$1004,0),"")</f>
        <v/>
      </c>
    </row>
    <row r="938">
      <c r="B938" s="78">
        <f>IF($O938="","",INDEX(Firms!$A$5:$A$1004,$O938))</f>
        <v/>
      </c>
      <c r="C938" s="79">
        <f>IF($O938="","",INDEX(Firms!$N$5:$N$1004,$O938)&amp;"")</f>
        <v/>
      </c>
      <c r="D938" s="79">
        <f>IF($O938="","",INDEX(Firms!$P$5:$P$1004,$O938)&amp;"")</f>
        <v/>
      </c>
      <c r="E938" s="79">
        <f>IF($O938="","",INDEX(Firms!$O$5:$O$1004,$O938)&amp;"")</f>
        <v/>
      </c>
      <c r="F938" s="50">
        <f>IF($O938="","",IF(INDEX(Firms!$F$5:$F$1004,$O938)="","—",INDEX(Firms!$F$5:$F$1004,$O938)))</f>
        <v/>
      </c>
      <c r="G938" s="50">
        <f>IF($O938="","",IF(INDEX(Firms!$G$5:$G$1004,$O938)="","—",INDEX(Firms!$G$5:$G$1004,$O938)))</f>
        <v/>
      </c>
      <c r="H938" s="50">
        <f>IF($O938="","",IF(INDEX(Firms!$H$5:$H$1004,$O938)="","—",INDEX(Firms!$H$5:$H$1004,$O938)))</f>
        <v/>
      </c>
      <c r="I938" s="50">
        <f>IF($O938="","",IF(INDEX(Firms!$I$5:$I$1004,$O938)="","—",INDEX(Firms!$I$5:$I$1004,$O938)))</f>
        <v/>
      </c>
      <c r="J938" s="50">
        <f>IF($O938="","",IF(INDEX(Firms!$J$5:$J$1004,$O938)="","—",INDEX(Firms!$J$5:$J$1004,$O938)))</f>
        <v/>
      </c>
      <c r="K938" s="50">
        <f>IF($O938="","",IF(INDEX(Firms!$K$5:$K$1004,$O938)="","—",INDEX(Firms!$K$5:$K$1004,$O938)))</f>
        <v/>
      </c>
      <c r="L938" s="50">
        <f>IF($O938="","",IF(INDEX(Firms!$L$5:$L$1004,$O938)="","—",INDEX(Firms!$L$5:$L$1004,$O938)))</f>
        <v/>
      </c>
      <c r="M938" s="50">
        <f>IF($O938="","",IF(INDEX(Firms!$M$5:$M$1004,$O938)="","—",INDEX(Firms!$M$5:$M$1004,$O938)))</f>
        <v/>
      </c>
      <c r="O938">
        <f>IFERROR(MATCH(SMALL(Firms!$Y$5:$Y$1004,930),Firms!$W$5:$W$1004,0),"")</f>
        <v/>
      </c>
    </row>
    <row r="939">
      <c r="B939" s="78">
        <f>IF($O939="","",INDEX(Firms!$A$5:$A$1004,$O939))</f>
        <v/>
      </c>
      <c r="C939" s="79">
        <f>IF($O939="","",INDEX(Firms!$N$5:$N$1004,$O939)&amp;"")</f>
        <v/>
      </c>
      <c r="D939" s="79">
        <f>IF($O939="","",INDEX(Firms!$P$5:$P$1004,$O939)&amp;"")</f>
        <v/>
      </c>
      <c r="E939" s="79">
        <f>IF($O939="","",INDEX(Firms!$O$5:$O$1004,$O939)&amp;"")</f>
        <v/>
      </c>
      <c r="F939" s="50">
        <f>IF($O939="","",IF(INDEX(Firms!$F$5:$F$1004,$O939)="","—",INDEX(Firms!$F$5:$F$1004,$O939)))</f>
        <v/>
      </c>
      <c r="G939" s="50">
        <f>IF($O939="","",IF(INDEX(Firms!$G$5:$G$1004,$O939)="","—",INDEX(Firms!$G$5:$G$1004,$O939)))</f>
        <v/>
      </c>
      <c r="H939" s="50">
        <f>IF($O939="","",IF(INDEX(Firms!$H$5:$H$1004,$O939)="","—",INDEX(Firms!$H$5:$H$1004,$O939)))</f>
        <v/>
      </c>
      <c r="I939" s="50">
        <f>IF($O939="","",IF(INDEX(Firms!$I$5:$I$1004,$O939)="","—",INDEX(Firms!$I$5:$I$1004,$O939)))</f>
        <v/>
      </c>
      <c r="J939" s="50">
        <f>IF($O939="","",IF(INDEX(Firms!$J$5:$J$1004,$O939)="","—",INDEX(Firms!$J$5:$J$1004,$O939)))</f>
        <v/>
      </c>
      <c r="K939" s="50">
        <f>IF($O939="","",IF(INDEX(Firms!$K$5:$K$1004,$O939)="","—",INDEX(Firms!$K$5:$K$1004,$O939)))</f>
        <v/>
      </c>
      <c r="L939" s="50">
        <f>IF($O939="","",IF(INDEX(Firms!$L$5:$L$1004,$O939)="","—",INDEX(Firms!$L$5:$L$1004,$O939)))</f>
        <v/>
      </c>
      <c r="M939" s="50">
        <f>IF($O939="","",IF(INDEX(Firms!$M$5:$M$1004,$O939)="","—",INDEX(Firms!$M$5:$M$1004,$O939)))</f>
        <v/>
      </c>
      <c r="O939">
        <f>IFERROR(MATCH(SMALL(Firms!$Y$5:$Y$1004,931),Firms!$W$5:$W$1004,0),"")</f>
        <v/>
      </c>
    </row>
    <row r="940">
      <c r="B940" s="78">
        <f>IF($O940="","",INDEX(Firms!$A$5:$A$1004,$O940))</f>
        <v/>
      </c>
      <c r="C940" s="79">
        <f>IF($O940="","",INDEX(Firms!$N$5:$N$1004,$O940)&amp;"")</f>
        <v/>
      </c>
      <c r="D940" s="79">
        <f>IF($O940="","",INDEX(Firms!$P$5:$P$1004,$O940)&amp;"")</f>
        <v/>
      </c>
      <c r="E940" s="79">
        <f>IF($O940="","",INDEX(Firms!$O$5:$O$1004,$O940)&amp;"")</f>
        <v/>
      </c>
      <c r="F940" s="50">
        <f>IF($O940="","",IF(INDEX(Firms!$F$5:$F$1004,$O940)="","—",INDEX(Firms!$F$5:$F$1004,$O940)))</f>
        <v/>
      </c>
      <c r="G940" s="50">
        <f>IF($O940="","",IF(INDEX(Firms!$G$5:$G$1004,$O940)="","—",INDEX(Firms!$G$5:$G$1004,$O940)))</f>
        <v/>
      </c>
      <c r="H940" s="50">
        <f>IF($O940="","",IF(INDEX(Firms!$H$5:$H$1004,$O940)="","—",INDEX(Firms!$H$5:$H$1004,$O940)))</f>
        <v/>
      </c>
      <c r="I940" s="50">
        <f>IF($O940="","",IF(INDEX(Firms!$I$5:$I$1004,$O940)="","—",INDEX(Firms!$I$5:$I$1004,$O940)))</f>
        <v/>
      </c>
      <c r="J940" s="50">
        <f>IF($O940="","",IF(INDEX(Firms!$J$5:$J$1004,$O940)="","—",INDEX(Firms!$J$5:$J$1004,$O940)))</f>
        <v/>
      </c>
      <c r="K940" s="50">
        <f>IF($O940="","",IF(INDEX(Firms!$K$5:$K$1004,$O940)="","—",INDEX(Firms!$K$5:$K$1004,$O940)))</f>
        <v/>
      </c>
      <c r="L940" s="50">
        <f>IF($O940="","",IF(INDEX(Firms!$L$5:$L$1004,$O940)="","—",INDEX(Firms!$L$5:$L$1004,$O940)))</f>
        <v/>
      </c>
      <c r="M940" s="50">
        <f>IF($O940="","",IF(INDEX(Firms!$M$5:$M$1004,$O940)="","—",INDEX(Firms!$M$5:$M$1004,$O940)))</f>
        <v/>
      </c>
      <c r="O940">
        <f>IFERROR(MATCH(SMALL(Firms!$Y$5:$Y$1004,932),Firms!$W$5:$W$1004,0),"")</f>
        <v/>
      </c>
    </row>
    <row r="941">
      <c r="B941" s="78">
        <f>IF($O941="","",INDEX(Firms!$A$5:$A$1004,$O941))</f>
        <v/>
      </c>
      <c r="C941" s="79">
        <f>IF($O941="","",INDEX(Firms!$N$5:$N$1004,$O941)&amp;"")</f>
        <v/>
      </c>
      <c r="D941" s="79">
        <f>IF($O941="","",INDEX(Firms!$P$5:$P$1004,$O941)&amp;"")</f>
        <v/>
      </c>
      <c r="E941" s="79">
        <f>IF($O941="","",INDEX(Firms!$O$5:$O$1004,$O941)&amp;"")</f>
        <v/>
      </c>
      <c r="F941" s="50">
        <f>IF($O941="","",IF(INDEX(Firms!$F$5:$F$1004,$O941)="","—",INDEX(Firms!$F$5:$F$1004,$O941)))</f>
        <v/>
      </c>
      <c r="G941" s="50">
        <f>IF($O941="","",IF(INDEX(Firms!$G$5:$G$1004,$O941)="","—",INDEX(Firms!$G$5:$G$1004,$O941)))</f>
        <v/>
      </c>
      <c r="H941" s="50">
        <f>IF($O941="","",IF(INDEX(Firms!$H$5:$H$1004,$O941)="","—",INDEX(Firms!$H$5:$H$1004,$O941)))</f>
        <v/>
      </c>
      <c r="I941" s="50">
        <f>IF($O941="","",IF(INDEX(Firms!$I$5:$I$1004,$O941)="","—",INDEX(Firms!$I$5:$I$1004,$O941)))</f>
        <v/>
      </c>
      <c r="J941" s="50">
        <f>IF($O941="","",IF(INDEX(Firms!$J$5:$J$1004,$O941)="","—",INDEX(Firms!$J$5:$J$1004,$O941)))</f>
        <v/>
      </c>
      <c r="K941" s="50">
        <f>IF($O941="","",IF(INDEX(Firms!$K$5:$K$1004,$O941)="","—",INDEX(Firms!$K$5:$K$1004,$O941)))</f>
        <v/>
      </c>
      <c r="L941" s="50">
        <f>IF($O941="","",IF(INDEX(Firms!$L$5:$L$1004,$O941)="","—",INDEX(Firms!$L$5:$L$1004,$O941)))</f>
        <v/>
      </c>
      <c r="M941" s="50">
        <f>IF($O941="","",IF(INDEX(Firms!$M$5:$M$1004,$O941)="","—",INDEX(Firms!$M$5:$M$1004,$O941)))</f>
        <v/>
      </c>
      <c r="O941">
        <f>IFERROR(MATCH(SMALL(Firms!$Y$5:$Y$1004,933),Firms!$W$5:$W$1004,0),"")</f>
        <v/>
      </c>
    </row>
    <row r="942">
      <c r="B942" s="78">
        <f>IF($O942="","",INDEX(Firms!$A$5:$A$1004,$O942))</f>
        <v/>
      </c>
      <c r="C942" s="79">
        <f>IF($O942="","",INDEX(Firms!$N$5:$N$1004,$O942)&amp;"")</f>
        <v/>
      </c>
      <c r="D942" s="79">
        <f>IF($O942="","",INDEX(Firms!$P$5:$P$1004,$O942)&amp;"")</f>
        <v/>
      </c>
      <c r="E942" s="79">
        <f>IF($O942="","",INDEX(Firms!$O$5:$O$1004,$O942)&amp;"")</f>
        <v/>
      </c>
      <c r="F942" s="50">
        <f>IF($O942="","",IF(INDEX(Firms!$F$5:$F$1004,$O942)="","—",INDEX(Firms!$F$5:$F$1004,$O942)))</f>
        <v/>
      </c>
      <c r="G942" s="50">
        <f>IF($O942="","",IF(INDEX(Firms!$G$5:$G$1004,$O942)="","—",INDEX(Firms!$G$5:$G$1004,$O942)))</f>
        <v/>
      </c>
      <c r="H942" s="50">
        <f>IF($O942="","",IF(INDEX(Firms!$H$5:$H$1004,$O942)="","—",INDEX(Firms!$H$5:$H$1004,$O942)))</f>
        <v/>
      </c>
      <c r="I942" s="50">
        <f>IF($O942="","",IF(INDEX(Firms!$I$5:$I$1004,$O942)="","—",INDEX(Firms!$I$5:$I$1004,$O942)))</f>
        <v/>
      </c>
      <c r="J942" s="50">
        <f>IF($O942="","",IF(INDEX(Firms!$J$5:$J$1004,$O942)="","—",INDEX(Firms!$J$5:$J$1004,$O942)))</f>
        <v/>
      </c>
      <c r="K942" s="50">
        <f>IF($O942="","",IF(INDEX(Firms!$K$5:$K$1004,$O942)="","—",INDEX(Firms!$K$5:$K$1004,$O942)))</f>
        <v/>
      </c>
      <c r="L942" s="50">
        <f>IF($O942="","",IF(INDEX(Firms!$L$5:$L$1004,$O942)="","—",INDEX(Firms!$L$5:$L$1004,$O942)))</f>
        <v/>
      </c>
      <c r="M942" s="50">
        <f>IF($O942="","",IF(INDEX(Firms!$M$5:$M$1004,$O942)="","—",INDEX(Firms!$M$5:$M$1004,$O942)))</f>
        <v/>
      </c>
      <c r="O942">
        <f>IFERROR(MATCH(SMALL(Firms!$Y$5:$Y$1004,934),Firms!$W$5:$W$1004,0),"")</f>
        <v/>
      </c>
    </row>
    <row r="943">
      <c r="B943" s="78">
        <f>IF($O943="","",INDEX(Firms!$A$5:$A$1004,$O943))</f>
        <v/>
      </c>
      <c r="C943" s="79">
        <f>IF($O943="","",INDEX(Firms!$N$5:$N$1004,$O943)&amp;"")</f>
        <v/>
      </c>
      <c r="D943" s="79">
        <f>IF($O943="","",INDEX(Firms!$P$5:$P$1004,$O943)&amp;"")</f>
        <v/>
      </c>
      <c r="E943" s="79">
        <f>IF($O943="","",INDEX(Firms!$O$5:$O$1004,$O943)&amp;"")</f>
        <v/>
      </c>
      <c r="F943" s="50">
        <f>IF($O943="","",IF(INDEX(Firms!$F$5:$F$1004,$O943)="","—",INDEX(Firms!$F$5:$F$1004,$O943)))</f>
        <v/>
      </c>
      <c r="G943" s="50">
        <f>IF($O943="","",IF(INDEX(Firms!$G$5:$G$1004,$O943)="","—",INDEX(Firms!$G$5:$G$1004,$O943)))</f>
        <v/>
      </c>
      <c r="H943" s="50">
        <f>IF($O943="","",IF(INDEX(Firms!$H$5:$H$1004,$O943)="","—",INDEX(Firms!$H$5:$H$1004,$O943)))</f>
        <v/>
      </c>
      <c r="I943" s="50">
        <f>IF($O943="","",IF(INDEX(Firms!$I$5:$I$1004,$O943)="","—",INDEX(Firms!$I$5:$I$1004,$O943)))</f>
        <v/>
      </c>
      <c r="J943" s="50">
        <f>IF($O943="","",IF(INDEX(Firms!$J$5:$J$1004,$O943)="","—",INDEX(Firms!$J$5:$J$1004,$O943)))</f>
        <v/>
      </c>
      <c r="K943" s="50">
        <f>IF($O943="","",IF(INDEX(Firms!$K$5:$K$1004,$O943)="","—",INDEX(Firms!$K$5:$K$1004,$O943)))</f>
        <v/>
      </c>
      <c r="L943" s="50">
        <f>IF($O943="","",IF(INDEX(Firms!$L$5:$L$1004,$O943)="","—",INDEX(Firms!$L$5:$L$1004,$O943)))</f>
        <v/>
      </c>
      <c r="M943" s="50">
        <f>IF($O943="","",IF(INDEX(Firms!$M$5:$M$1004,$O943)="","—",INDEX(Firms!$M$5:$M$1004,$O943)))</f>
        <v/>
      </c>
      <c r="O943">
        <f>IFERROR(MATCH(SMALL(Firms!$Y$5:$Y$1004,935),Firms!$W$5:$W$1004,0),"")</f>
        <v/>
      </c>
    </row>
    <row r="944">
      <c r="B944" s="78">
        <f>IF($O944="","",INDEX(Firms!$A$5:$A$1004,$O944))</f>
        <v/>
      </c>
      <c r="C944" s="79">
        <f>IF($O944="","",INDEX(Firms!$N$5:$N$1004,$O944)&amp;"")</f>
        <v/>
      </c>
      <c r="D944" s="79">
        <f>IF($O944="","",INDEX(Firms!$P$5:$P$1004,$O944)&amp;"")</f>
        <v/>
      </c>
      <c r="E944" s="79">
        <f>IF($O944="","",INDEX(Firms!$O$5:$O$1004,$O944)&amp;"")</f>
        <v/>
      </c>
      <c r="F944" s="50">
        <f>IF($O944="","",IF(INDEX(Firms!$F$5:$F$1004,$O944)="","—",INDEX(Firms!$F$5:$F$1004,$O944)))</f>
        <v/>
      </c>
      <c r="G944" s="50">
        <f>IF($O944="","",IF(INDEX(Firms!$G$5:$G$1004,$O944)="","—",INDEX(Firms!$G$5:$G$1004,$O944)))</f>
        <v/>
      </c>
      <c r="H944" s="50">
        <f>IF($O944="","",IF(INDEX(Firms!$H$5:$H$1004,$O944)="","—",INDEX(Firms!$H$5:$H$1004,$O944)))</f>
        <v/>
      </c>
      <c r="I944" s="50">
        <f>IF($O944="","",IF(INDEX(Firms!$I$5:$I$1004,$O944)="","—",INDEX(Firms!$I$5:$I$1004,$O944)))</f>
        <v/>
      </c>
      <c r="J944" s="50">
        <f>IF($O944="","",IF(INDEX(Firms!$J$5:$J$1004,$O944)="","—",INDEX(Firms!$J$5:$J$1004,$O944)))</f>
        <v/>
      </c>
      <c r="K944" s="50">
        <f>IF($O944="","",IF(INDEX(Firms!$K$5:$K$1004,$O944)="","—",INDEX(Firms!$K$5:$K$1004,$O944)))</f>
        <v/>
      </c>
      <c r="L944" s="50">
        <f>IF($O944="","",IF(INDEX(Firms!$L$5:$L$1004,$O944)="","—",INDEX(Firms!$L$5:$L$1004,$O944)))</f>
        <v/>
      </c>
      <c r="M944" s="50">
        <f>IF($O944="","",IF(INDEX(Firms!$M$5:$M$1004,$O944)="","—",INDEX(Firms!$M$5:$M$1004,$O944)))</f>
        <v/>
      </c>
      <c r="O944">
        <f>IFERROR(MATCH(SMALL(Firms!$Y$5:$Y$1004,936),Firms!$W$5:$W$1004,0),"")</f>
        <v/>
      </c>
    </row>
    <row r="945">
      <c r="B945" s="78">
        <f>IF($O945="","",INDEX(Firms!$A$5:$A$1004,$O945))</f>
        <v/>
      </c>
      <c r="C945" s="79">
        <f>IF($O945="","",INDEX(Firms!$N$5:$N$1004,$O945)&amp;"")</f>
        <v/>
      </c>
      <c r="D945" s="79">
        <f>IF($O945="","",INDEX(Firms!$P$5:$P$1004,$O945)&amp;"")</f>
        <v/>
      </c>
      <c r="E945" s="79">
        <f>IF($O945="","",INDEX(Firms!$O$5:$O$1004,$O945)&amp;"")</f>
        <v/>
      </c>
      <c r="F945" s="50">
        <f>IF($O945="","",IF(INDEX(Firms!$F$5:$F$1004,$O945)="","—",INDEX(Firms!$F$5:$F$1004,$O945)))</f>
        <v/>
      </c>
      <c r="G945" s="50">
        <f>IF($O945="","",IF(INDEX(Firms!$G$5:$G$1004,$O945)="","—",INDEX(Firms!$G$5:$G$1004,$O945)))</f>
        <v/>
      </c>
      <c r="H945" s="50">
        <f>IF($O945="","",IF(INDEX(Firms!$H$5:$H$1004,$O945)="","—",INDEX(Firms!$H$5:$H$1004,$O945)))</f>
        <v/>
      </c>
      <c r="I945" s="50">
        <f>IF($O945="","",IF(INDEX(Firms!$I$5:$I$1004,$O945)="","—",INDEX(Firms!$I$5:$I$1004,$O945)))</f>
        <v/>
      </c>
      <c r="J945" s="50">
        <f>IF($O945="","",IF(INDEX(Firms!$J$5:$J$1004,$O945)="","—",INDEX(Firms!$J$5:$J$1004,$O945)))</f>
        <v/>
      </c>
      <c r="K945" s="50">
        <f>IF($O945="","",IF(INDEX(Firms!$K$5:$K$1004,$O945)="","—",INDEX(Firms!$K$5:$K$1004,$O945)))</f>
        <v/>
      </c>
      <c r="L945" s="50">
        <f>IF($O945="","",IF(INDEX(Firms!$L$5:$L$1004,$O945)="","—",INDEX(Firms!$L$5:$L$1004,$O945)))</f>
        <v/>
      </c>
      <c r="M945" s="50">
        <f>IF($O945="","",IF(INDEX(Firms!$M$5:$M$1004,$O945)="","—",INDEX(Firms!$M$5:$M$1004,$O945)))</f>
        <v/>
      </c>
      <c r="O945">
        <f>IFERROR(MATCH(SMALL(Firms!$Y$5:$Y$1004,937),Firms!$W$5:$W$1004,0),"")</f>
        <v/>
      </c>
    </row>
    <row r="946">
      <c r="B946" s="78">
        <f>IF($O946="","",INDEX(Firms!$A$5:$A$1004,$O946))</f>
        <v/>
      </c>
      <c r="C946" s="79">
        <f>IF($O946="","",INDEX(Firms!$N$5:$N$1004,$O946)&amp;"")</f>
        <v/>
      </c>
      <c r="D946" s="79">
        <f>IF($O946="","",INDEX(Firms!$P$5:$P$1004,$O946)&amp;"")</f>
        <v/>
      </c>
      <c r="E946" s="79">
        <f>IF($O946="","",INDEX(Firms!$O$5:$O$1004,$O946)&amp;"")</f>
        <v/>
      </c>
      <c r="F946" s="50">
        <f>IF($O946="","",IF(INDEX(Firms!$F$5:$F$1004,$O946)="","—",INDEX(Firms!$F$5:$F$1004,$O946)))</f>
        <v/>
      </c>
      <c r="G946" s="50">
        <f>IF($O946="","",IF(INDEX(Firms!$G$5:$G$1004,$O946)="","—",INDEX(Firms!$G$5:$G$1004,$O946)))</f>
        <v/>
      </c>
      <c r="H946" s="50">
        <f>IF($O946="","",IF(INDEX(Firms!$H$5:$H$1004,$O946)="","—",INDEX(Firms!$H$5:$H$1004,$O946)))</f>
        <v/>
      </c>
      <c r="I946" s="50">
        <f>IF($O946="","",IF(INDEX(Firms!$I$5:$I$1004,$O946)="","—",INDEX(Firms!$I$5:$I$1004,$O946)))</f>
        <v/>
      </c>
      <c r="J946" s="50">
        <f>IF($O946="","",IF(INDEX(Firms!$J$5:$J$1004,$O946)="","—",INDEX(Firms!$J$5:$J$1004,$O946)))</f>
        <v/>
      </c>
      <c r="K946" s="50">
        <f>IF($O946="","",IF(INDEX(Firms!$K$5:$K$1004,$O946)="","—",INDEX(Firms!$K$5:$K$1004,$O946)))</f>
        <v/>
      </c>
      <c r="L946" s="50">
        <f>IF($O946="","",IF(INDEX(Firms!$L$5:$L$1004,$O946)="","—",INDEX(Firms!$L$5:$L$1004,$O946)))</f>
        <v/>
      </c>
      <c r="M946" s="50">
        <f>IF($O946="","",IF(INDEX(Firms!$M$5:$M$1004,$O946)="","—",INDEX(Firms!$M$5:$M$1004,$O946)))</f>
        <v/>
      </c>
      <c r="O946">
        <f>IFERROR(MATCH(SMALL(Firms!$Y$5:$Y$1004,938),Firms!$W$5:$W$1004,0),"")</f>
        <v/>
      </c>
    </row>
    <row r="947">
      <c r="B947" s="78">
        <f>IF($O947="","",INDEX(Firms!$A$5:$A$1004,$O947))</f>
        <v/>
      </c>
      <c r="C947" s="79">
        <f>IF($O947="","",INDEX(Firms!$N$5:$N$1004,$O947)&amp;"")</f>
        <v/>
      </c>
      <c r="D947" s="79">
        <f>IF($O947="","",INDEX(Firms!$P$5:$P$1004,$O947)&amp;"")</f>
        <v/>
      </c>
      <c r="E947" s="79">
        <f>IF($O947="","",INDEX(Firms!$O$5:$O$1004,$O947)&amp;"")</f>
        <v/>
      </c>
      <c r="F947" s="50">
        <f>IF($O947="","",IF(INDEX(Firms!$F$5:$F$1004,$O947)="","—",INDEX(Firms!$F$5:$F$1004,$O947)))</f>
        <v/>
      </c>
      <c r="G947" s="50">
        <f>IF($O947="","",IF(INDEX(Firms!$G$5:$G$1004,$O947)="","—",INDEX(Firms!$G$5:$G$1004,$O947)))</f>
        <v/>
      </c>
      <c r="H947" s="50">
        <f>IF($O947="","",IF(INDEX(Firms!$H$5:$H$1004,$O947)="","—",INDEX(Firms!$H$5:$H$1004,$O947)))</f>
        <v/>
      </c>
      <c r="I947" s="50">
        <f>IF($O947="","",IF(INDEX(Firms!$I$5:$I$1004,$O947)="","—",INDEX(Firms!$I$5:$I$1004,$O947)))</f>
        <v/>
      </c>
      <c r="J947" s="50">
        <f>IF($O947="","",IF(INDEX(Firms!$J$5:$J$1004,$O947)="","—",INDEX(Firms!$J$5:$J$1004,$O947)))</f>
        <v/>
      </c>
      <c r="K947" s="50">
        <f>IF($O947="","",IF(INDEX(Firms!$K$5:$K$1004,$O947)="","—",INDEX(Firms!$K$5:$K$1004,$O947)))</f>
        <v/>
      </c>
      <c r="L947" s="50">
        <f>IF($O947="","",IF(INDEX(Firms!$L$5:$L$1004,$O947)="","—",INDEX(Firms!$L$5:$L$1004,$O947)))</f>
        <v/>
      </c>
      <c r="M947" s="50">
        <f>IF($O947="","",IF(INDEX(Firms!$M$5:$M$1004,$O947)="","—",INDEX(Firms!$M$5:$M$1004,$O947)))</f>
        <v/>
      </c>
      <c r="O947">
        <f>IFERROR(MATCH(SMALL(Firms!$Y$5:$Y$1004,939),Firms!$W$5:$W$1004,0),"")</f>
        <v/>
      </c>
    </row>
    <row r="948">
      <c r="B948" s="78">
        <f>IF($O948="","",INDEX(Firms!$A$5:$A$1004,$O948))</f>
        <v/>
      </c>
      <c r="C948" s="79">
        <f>IF($O948="","",INDEX(Firms!$N$5:$N$1004,$O948)&amp;"")</f>
        <v/>
      </c>
      <c r="D948" s="79">
        <f>IF($O948="","",INDEX(Firms!$P$5:$P$1004,$O948)&amp;"")</f>
        <v/>
      </c>
      <c r="E948" s="79">
        <f>IF($O948="","",INDEX(Firms!$O$5:$O$1004,$O948)&amp;"")</f>
        <v/>
      </c>
      <c r="F948" s="50">
        <f>IF($O948="","",IF(INDEX(Firms!$F$5:$F$1004,$O948)="","—",INDEX(Firms!$F$5:$F$1004,$O948)))</f>
        <v/>
      </c>
      <c r="G948" s="50">
        <f>IF($O948="","",IF(INDEX(Firms!$G$5:$G$1004,$O948)="","—",INDEX(Firms!$G$5:$G$1004,$O948)))</f>
        <v/>
      </c>
      <c r="H948" s="50">
        <f>IF($O948="","",IF(INDEX(Firms!$H$5:$H$1004,$O948)="","—",INDEX(Firms!$H$5:$H$1004,$O948)))</f>
        <v/>
      </c>
      <c r="I948" s="50">
        <f>IF($O948="","",IF(INDEX(Firms!$I$5:$I$1004,$O948)="","—",INDEX(Firms!$I$5:$I$1004,$O948)))</f>
        <v/>
      </c>
      <c r="J948" s="50">
        <f>IF($O948="","",IF(INDEX(Firms!$J$5:$J$1004,$O948)="","—",INDEX(Firms!$J$5:$J$1004,$O948)))</f>
        <v/>
      </c>
      <c r="K948" s="50">
        <f>IF($O948="","",IF(INDEX(Firms!$K$5:$K$1004,$O948)="","—",INDEX(Firms!$K$5:$K$1004,$O948)))</f>
        <v/>
      </c>
      <c r="L948" s="50">
        <f>IF($O948="","",IF(INDEX(Firms!$L$5:$L$1004,$O948)="","—",INDEX(Firms!$L$5:$L$1004,$O948)))</f>
        <v/>
      </c>
      <c r="M948" s="50">
        <f>IF($O948="","",IF(INDEX(Firms!$M$5:$M$1004,$O948)="","—",INDEX(Firms!$M$5:$M$1004,$O948)))</f>
        <v/>
      </c>
      <c r="O948">
        <f>IFERROR(MATCH(SMALL(Firms!$Y$5:$Y$1004,940),Firms!$W$5:$W$1004,0),"")</f>
        <v/>
      </c>
    </row>
    <row r="949">
      <c r="B949" s="78">
        <f>IF($O949="","",INDEX(Firms!$A$5:$A$1004,$O949))</f>
        <v/>
      </c>
      <c r="C949" s="79">
        <f>IF($O949="","",INDEX(Firms!$N$5:$N$1004,$O949)&amp;"")</f>
        <v/>
      </c>
      <c r="D949" s="79">
        <f>IF($O949="","",INDEX(Firms!$P$5:$P$1004,$O949)&amp;"")</f>
        <v/>
      </c>
      <c r="E949" s="79">
        <f>IF($O949="","",INDEX(Firms!$O$5:$O$1004,$O949)&amp;"")</f>
        <v/>
      </c>
      <c r="F949" s="50">
        <f>IF($O949="","",IF(INDEX(Firms!$F$5:$F$1004,$O949)="","—",INDEX(Firms!$F$5:$F$1004,$O949)))</f>
        <v/>
      </c>
      <c r="G949" s="50">
        <f>IF($O949="","",IF(INDEX(Firms!$G$5:$G$1004,$O949)="","—",INDEX(Firms!$G$5:$G$1004,$O949)))</f>
        <v/>
      </c>
      <c r="H949" s="50">
        <f>IF($O949="","",IF(INDEX(Firms!$H$5:$H$1004,$O949)="","—",INDEX(Firms!$H$5:$H$1004,$O949)))</f>
        <v/>
      </c>
      <c r="I949" s="50">
        <f>IF($O949="","",IF(INDEX(Firms!$I$5:$I$1004,$O949)="","—",INDEX(Firms!$I$5:$I$1004,$O949)))</f>
        <v/>
      </c>
      <c r="J949" s="50">
        <f>IF($O949="","",IF(INDEX(Firms!$J$5:$J$1004,$O949)="","—",INDEX(Firms!$J$5:$J$1004,$O949)))</f>
        <v/>
      </c>
      <c r="K949" s="50">
        <f>IF($O949="","",IF(INDEX(Firms!$K$5:$K$1004,$O949)="","—",INDEX(Firms!$K$5:$K$1004,$O949)))</f>
        <v/>
      </c>
      <c r="L949" s="50">
        <f>IF($O949="","",IF(INDEX(Firms!$L$5:$L$1004,$O949)="","—",INDEX(Firms!$L$5:$L$1004,$O949)))</f>
        <v/>
      </c>
      <c r="M949" s="50">
        <f>IF($O949="","",IF(INDEX(Firms!$M$5:$M$1004,$O949)="","—",INDEX(Firms!$M$5:$M$1004,$O949)))</f>
        <v/>
      </c>
      <c r="O949">
        <f>IFERROR(MATCH(SMALL(Firms!$Y$5:$Y$1004,941),Firms!$W$5:$W$1004,0),"")</f>
        <v/>
      </c>
    </row>
    <row r="950">
      <c r="B950" s="78">
        <f>IF($O950="","",INDEX(Firms!$A$5:$A$1004,$O950))</f>
        <v/>
      </c>
      <c r="C950" s="79">
        <f>IF($O950="","",INDEX(Firms!$N$5:$N$1004,$O950)&amp;"")</f>
        <v/>
      </c>
      <c r="D950" s="79">
        <f>IF($O950="","",INDEX(Firms!$P$5:$P$1004,$O950)&amp;"")</f>
        <v/>
      </c>
      <c r="E950" s="79">
        <f>IF($O950="","",INDEX(Firms!$O$5:$O$1004,$O950)&amp;"")</f>
        <v/>
      </c>
      <c r="F950" s="50">
        <f>IF($O950="","",IF(INDEX(Firms!$F$5:$F$1004,$O950)="","—",INDEX(Firms!$F$5:$F$1004,$O950)))</f>
        <v/>
      </c>
      <c r="G950" s="50">
        <f>IF($O950="","",IF(INDEX(Firms!$G$5:$G$1004,$O950)="","—",INDEX(Firms!$G$5:$G$1004,$O950)))</f>
        <v/>
      </c>
      <c r="H950" s="50">
        <f>IF($O950="","",IF(INDEX(Firms!$H$5:$H$1004,$O950)="","—",INDEX(Firms!$H$5:$H$1004,$O950)))</f>
        <v/>
      </c>
      <c r="I950" s="50">
        <f>IF($O950="","",IF(INDEX(Firms!$I$5:$I$1004,$O950)="","—",INDEX(Firms!$I$5:$I$1004,$O950)))</f>
        <v/>
      </c>
      <c r="J950" s="50">
        <f>IF($O950="","",IF(INDEX(Firms!$J$5:$J$1004,$O950)="","—",INDEX(Firms!$J$5:$J$1004,$O950)))</f>
        <v/>
      </c>
      <c r="K950" s="50">
        <f>IF($O950="","",IF(INDEX(Firms!$K$5:$K$1004,$O950)="","—",INDEX(Firms!$K$5:$K$1004,$O950)))</f>
        <v/>
      </c>
      <c r="L950" s="50">
        <f>IF($O950="","",IF(INDEX(Firms!$L$5:$L$1004,$O950)="","—",INDEX(Firms!$L$5:$L$1004,$O950)))</f>
        <v/>
      </c>
      <c r="M950" s="50">
        <f>IF($O950="","",IF(INDEX(Firms!$M$5:$M$1004,$O950)="","—",INDEX(Firms!$M$5:$M$1004,$O950)))</f>
        <v/>
      </c>
      <c r="O950">
        <f>IFERROR(MATCH(SMALL(Firms!$Y$5:$Y$1004,942),Firms!$W$5:$W$1004,0),"")</f>
        <v/>
      </c>
    </row>
    <row r="951">
      <c r="B951" s="78">
        <f>IF($O951="","",INDEX(Firms!$A$5:$A$1004,$O951))</f>
        <v/>
      </c>
      <c r="C951" s="79">
        <f>IF($O951="","",INDEX(Firms!$N$5:$N$1004,$O951)&amp;"")</f>
        <v/>
      </c>
      <c r="D951" s="79">
        <f>IF($O951="","",INDEX(Firms!$P$5:$P$1004,$O951)&amp;"")</f>
        <v/>
      </c>
      <c r="E951" s="79">
        <f>IF($O951="","",INDEX(Firms!$O$5:$O$1004,$O951)&amp;"")</f>
        <v/>
      </c>
      <c r="F951" s="50">
        <f>IF($O951="","",IF(INDEX(Firms!$F$5:$F$1004,$O951)="","—",INDEX(Firms!$F$5:$F$1004,$O951)))</f>
        <v/>
      </c>
      <c r="G951" s="50">
        <f>IF($O951="","",IF(INDEX(Firms!$G$5:$G$1004,$O951)="","—",INDEX(Firms!$G$5:$G$1004,$O951)))</f>
        <v/>
      </c>
      <c r="H951" s="50">
        <f>IF($O951="","",IF(INDEX(Firms!$H$5:$H$1004,$O951)="","—",INDEX(Firms!$H$5:$H$1004,$O951)))</f>
        <v/>
      </c>
      <c r="I951" s="50">
        <f>IF($O951="","",IF(INDEX(Firms!$I$5:$I$1004,$O951)="","—",INDEX(Firms!$I$5:$I$1004,$O951)))</f>
        <v/>
      </c>
      <c r="J951" s="50">
        <f>IF($O951="","",IF(INDEX(Firms!$J$5:$J$1004,$O951)="","—",INDEX(Firms!$J$5:$J$1004,$O951)))</f>
        <v/>
      </c>
      <c r="K951" s="50">
        <f>IF($O951="","",IF(INDEX(Firms!$K$5:$K$1004,$O951)="","—",INDEX(Firms!$K$5:$K$1004,$O951)))</f>
        <v/>
      </c>
      <c r="L951" s="50">
        <f>IF($O951="","",IF(INDEX(Firms!$L$5:$L$1004,$O951)="","—",INDEX(Firms!$L$5:$L$1004,$O951)))</f>
        <v/>
      </c>
      <c r="M951" s="50">
        <f>IF($O951="","",IF(INDEX(Firms!$M$5:$M$1004,$O951)="","—",INDEX(Firms!$M$5:$M$1004,$O951)))</f>
        <v/>
      </c>
      <c r="O951">
        <f>IFERROR(MATCH(SMALL(Firms!$Y$5:$Y$1004,943),Firms!$W$5:$W$1004,0),"")</f>
        <v/>
      </c>
    </row>
    <row r="952">
      <c r="B952" s="78">
        <f>IF($O952="","",INDEX(Firms!$A$5:$A$1004,$O952))</f>
        <v/>
      </c>
      <c r="C952" s="79">
        <f>IF($O952="","",INDEX(Firms!$N$5:$N$1004,$O952)&amp;"")</f>
        <v/>
      </c>
      <c r="D952" s="79">
        <f>IF($O952="","",INDEX(Firms!$P$5:$P$1004,$O952)&amp;"")</f>
        <v/>
      </c>
      <c r="E952" s="79">
        <f>IF($O952="","",INDEX(Firms!$O$5:$O$1004,$O952)&amp;"")</f>
        <v/>
      </c>
      <c r="F952" s="50">
        <f>IF($O952="","",IF(INDEX(Firms!$F$5:$F$1004,$O952)="","—",INDEX(Firms!$F$5:$F$1004,$O952)))</f>
        <v/>
      </c>
      <c r="G952" s="50">
        <f>IF($O952="","",IF(INDEX(Firms!$G$5:$G$1004,$O952)="","—",INDEX(Firms!$G$5:$G$1004,$O952)))</f>
        <v/>
      </c>
      <c r="H952" s="50">
        <f>IF($O952="","",IF(INDEX(Firms!$H$5:$H$1004,$O952)="","—",INDEX(Firms!$H$5:$H$1004,$O952)))</f>
        <v/>
      </c>
      <c r="I952" s="50">
        <f>IF($O952="","",IF(INDEX(Firms!$I$5:$I$1004,$O952)="","—",INDEX(Firms!$I$5:$I$1004,$O952)))</f>
        <v/>
      </c>
      <c r="J952" s="50">
        <f>IF($O952="","",IF(INDEX(Firms!$J$5:$J$1004,$O952)="","—",INDEX(Firms!$J$5:$J$1004,$O952)))</f>
        <v/>
      </c>
      <c r="K952" s="50">
        <f>IF($O952="","",IF(INDEX(Firms!$K$5:$K$1004,$O952)="","—",INDEX(Firms!$K$5:$K$1004,$O952)))</f>
        <v/>
      </c>
      <c r="L952" s="50">
        <f>IF($O952="","",IF(INDEX(Firms!$L$5:$L$1004,$O952)="","—",INDEX(Firms!$L$5:$L$1004,$O952)))</f>
        <v/>
      </c>
      <c r="M952" s="50">
        <f>IF($O952="","",IF(INDEX(Firms!$M$5:$M$1004,$O952)="","—",INDEX(Firms!$M$5:$M$1004,$O952)))</f>
        <v/>
      </c>
      <c r="O952">
        <f>IFERROR(MATCH(SMALL(Firms!$Y$5:$Y$1004,944),Firms!$W$5:$W$1004,0),"")</f>
        <v/>
      </c>
    </row>
    <row r="953">
      <c r="B953" s="78">
        <f>IF($O953="","",INDEX(Firms!$A$5:$A$1004,$O953))</f>
        <v/>
      </c>
      <c r="C953" s="79">
        <f>IF($O953="","",INDEX(Firms!$N$5:$N$1004,$O953)&amp;"")</f>
        <v/>
      </c>
      <c r="D953" s="79">
        <f>IF($O953="","",INDEX(Firms!$P$5:$P$1004,$O953)&amp;"")</f>
        <v/>
      </c>
      <c r="E953" s="79">
        <f>IF($O953="","",INDEX(Firms!$O$5:$O$1004,$O953)&amp;"")</f>
        <v/>
      </c>
      <c r="F953" s="50">
        <f>IF($O953="","",IF(INDEX(Firms!$F$5:$F$1004,$O953)="","—",INDEX(Firms!$F$5:$F$1004,$O953)))</f>
        <v/>
      </c>
      <c r="G953" s="50">
        <f>IF($O953="","",IF(INDEX(Firms!$G$5:$G$1004,$O953)="","—",INDEX(Firms!$G$5:$G$1004,$O953)))</f>
        <v/>
      </c>
      <c r="H953" s="50">
        <f>IF($O953="","",IF(INDEX(Firms!$H$5:$H$1004,$O953)="","—",INDEX(Firms!$H$5:$H$1004,$O953)))</f>
        <v/>
      </c>
      <c r="I953" s="50">
        <f>IF($O953="","",IF(INDEX(Firms!$I$5:$I$1004,$O953)="","—",INDEX(Firms!$I$5:$I$1004,$O953)))</f>
        <v/>
      </c>
      <c r="J953" s="50">
        <f>IF($O953="","",IF(INDEX(Firms!$J$5:$J$1004,$O953)="","—",INDEX(Firms!$J$5:$J$1004,$O953)))</f>
        <v/>
      </c>
      <c r="K953" s="50">
        <f>IF($O953="","",IF(INDEX(Firms!$K$5:$K$1004,$O953)="","—",INDEX(Firms!$K$5:$K$1004,$O953)))</f>
        <v/>
      </c>
      <c r="L953" s="50">
        <f>IF($O953="","",IF(INDEX(Firms!$L$5:$L$1004,$O953)="","—",INDEX(Firms!$L$5:$L$1004,$O953)))</f>
        <v/>
      </c>
      <c r="M953" s="50">
        <f>IF($O953="","",IF(INDEX(Firms!$M$5:$M$1004,$O953)="","—",INDEX(Firms!$M$5:$M$1004,$O953)))</f>
        <v/>
      </c>
      <c r="O953">
        <f>IFERROR(MATCH(SMALL(Firms!$Y$5:$Y$1004,945),Firms!$W$5:$W$1004,0),"")</f>
        <v/>
      </c>
    </row>
    <row r="954">
      <c r="B954" s="78">
        <f>IF($O954="","",INDEX(Firms!$A$5:$A$1004,$O954))</f>
        <v/>
      </c>
      <c r="C954" s="79">
        <f>IF($O954="","",INDEX(Firms!$N$5:$N$1004,$O954)&amp;"")</f>
        <v/>
      </c>
      <c r="D954" s="79">
        <f>IF($O954="","",INDEX(Firms!$P$5:$P$1004,$O954)&amp;"")</f>
        <v/>
      </c>
      <c r="E954" s="79">
        <f>IF($O954="","",INDEX(Firms!$O$5:$O$1004,$O954)&amp;"")</f>
        <v/>
      </c>
      <c r="F954" s="50">
        <f>IF($O954="","",IF(INDEX(Firms!$F$5:$F$1004,$O954)="","—",INDEX(Firms!$F$5:$F$1004,$O954)))</f>
        <v/>
      </c>
      <c r="G954" s="50">
        <f>IF($O954="","",IF(INDEX(Firms!$G$5:$G$1004,$O954)="","—",INDEX(Firms!$G$5:$G$1004,$O954)))</f>
        <v/>
      </c>
      <c r="H954" s="50">
        <f>IF($O954="","",IF(INDEX(Firms!$H$5:$H$1004,$O954)="","—",INDEX(Firms!$H$5:$H$1004,$O954)))</f>
        <v/>
      </c>
      <c r="I954" s="50">
        <f>IF($O954="","",IF(INDEX(Firms!$I$5:$I$1004,$O954)="","—",INDEX(Firms!$I$5:$I$1004,$O954)))</f>
        <v/>
      </c>
      <c r="J954" s="50">
        <f>IF($O954="","",IF(INDEX(Firms!$J$5:$J$1004,$O954)="","—",INDEX(Firms!$J$5:$J$1004,$O954)))</f>
        <v/>
      </c>
      <c r="K954" s="50">
        <f>IF($O954="","",IF(INDEX(Firms!$K$5:$K$1004,$O954)="","—",INDEX(Firms!$K$5:$K$1004,$O954)))</f>
        <v/>
      </c>
      <c r="L954" s="50">
        <f>IF($O954="","",IF(INDEX(Firms!$L$5:$L$1004,$O954)="","—",INDEX(Firms!$L$5:$L$1004,$O954)))</f>
        <v/>
      </c>
      <c r="M954" s="50">
        <f>IF($O954="","",IF(INDEX(Firms!$M$5:$M$1004,$O954)="","—",INDEX(Firms!$M$5:$M$1004,$O954)))</f>
        <v/>
      </c>
      <c r="O954">
        <f>IFERROR(MATCH(SMALL(Firms!$Y$5:$Y$1004,946),Firms!$W$5:$W$1004,0),"")</f>
        <v/>
      </c>
    </row>
    <row r="955">
      <c r="B955" s="78">
        <f>IF($O955="","",INDEX(Firms!$A$5:$A$1004,$O955))</f>
        <v/>
      </c>
      <c r="C955" s="79">
        <f>IF($O955="","",INDEX(Firms!$N$5:$N$1004,$O955)&amp;"")</f>
        <v/>
      </c>
      <c r="D955" s="79">
        <f>IF($O955="","",INDEX(Firms!$P$5:$P$1004,$O955)&amp;"")</f>
        <v/>
      </c>
      <c r="E955" s="79">
        <f>IF($O955="","",INDEX(Firms!$O$5:$O$1004,$O955)&amp;"")</f>
        <v/>
      </c>
      <c r="F955" s="50">
        <f>IF($O955="","",IF(INDEX(Firms!$F$5:$F$1004,$O955)="","—",INDEX(Firms!$F$5:$F$1004,$O955)))</f>
        <v/>
      </c>
      <c r="G955" s="50">
        <f>IF($O955="","",IF(INDEX(Firms!$G$5:$G$1004,$O955)="","—",INDEX(Firms!$G$5:$G$1004,$O955)))</f>
        <v/>
      </c>
      <c r="H955" s="50">
        <f>IF($O955="","",IF(INDEX(Firms!$H$5:$H$1004,$O955)="","—",INDEX(Firms!$H$5:$H$1004,$O955)))</f>
        <v/>
      </c>
      <c r="I955" s="50">
        <f>IF($O955="","",IF(INDEX(Firms!$I$5:$I$1004,$O955)="","—",INDEX(Firms!$I$5:$I$1004,$O955)))</f>
        <v/>
      </c>
      <c r="J955" s="50">
        <f>IF($O955="","",IF(INDEX(Firms!$J$5:$J$1004,$O955)="","—",INDEX(Firms!$J$5:$J$1004,$O955)))</f>
        <v/>
      </c>
      <c r="K955" s="50">
        <f>IF($O955="","",IF(INDEX(Firms!$K$5:$K$1004,$O955)="","—",INDEX(Firms!$K$5:$K$1004,$O955)))</f>
        <v/>
      </c>
      <c r="L955" s="50">
        <f>IF($O955="","",IF(INDEX(Firms!$L$5:$L$1004,$O955)="","—",INDEX(Firms!$L$5:$L$1004,$O955)))</f>
        <v/>
      </c>
      <c r="M955" s="50">
        <f>IF($O955="","",IF(INDEX(Firms!$M$5:$M$1004,$O955)="","—",INDEX(Firms!$M$5:$M$1004,$O955)))</f>
        <v/>
      </c>
      <c r="O955">
        <f>IFERROR(MATCH(SMALL(Firms!$Y$5:$Y$1004,947),Firms!$W$5:$W$1004,0),"")</f>
        <v/>
      </c>
    </row>
    <row r="956">
      <c r="B956" s="78">
        <f>IF($O956="","",INDEX(Firms!$A$5:$A$1004,$O956))</f>
        <v/>
      </c>
      <c r="C956" s="79">
        <f>IF($O956="","",INDEX(Firms!$N$5:$N$1004,$O956)&amp;"")</f>
        <v/>
      </c>
      <c r="D956" s="79">
        <f>IF($O956="","",INDEX(Firms!$P$5:$P$1004,$O956)&amp;"")</f>
        <v/>
      </c>
      <c r="E956" s="79">
        <f>IF($O956="","",INDEX(Firms!$O$5:$O$1004,$O956)&amp;"")</f>
        <v/>
      </c>
      <c r="F956" s="50">
        <f>IF($O956="","",IF(INDEX(Firms!$F$5:$F$1004,$O956)="","—",INDEX(Firms!$F$5:$F$1004,$O956)))</f>
        <v/>
      </c>
      <c r="G956" s="50">
        <f>IF($O956="","",IF(INDEX(Firms!$G$5:$G$1004,$O956)="","—",INDEX(Firms!$G$5:$G$1004,$O956)))</f>
        <v/>
      </c>
      <c r="H956" s="50">
        <f>IF($O956="","",IF(INDEX(Firms!$H$5:$H$1004,$O956)="","—",INDEX(Firms!$H$5:$H$1004,$O956)))</f>
        <v/>
      </c>
      <c r="I956" s="50">
        <f>IF($O956="","",IF(INDEX(Firms!$I$5:$I$1004,$O956)="","—",INDEX(Firms!$I$5:$I$1004,$O956)))</f>
        <v/>
      </c>
      <c r="J956" s="50">
        <f>IF($O956="","",IF(INDEX(Firms!$J$5:$J$1004,$O956)="","—",INDEX(Firms!$J$5:$J$1004,$O956)))</f>
        <v/>
      </c>
      <c r="K956" s="50">
        <f>IF($O956="","",IF(INDEX(Firms!$K$5:$K$1004,$O956)="","—",INDEX(Firms!$K$5:$K$1004,$O956)))</f>
        <v/>
      </c>
      <c r="L956" s="50">
        <f>IF($O956="","",IF(INDEX(Firms!$L$5:$L$1004,$O956)="","—",INDEX(Firms!$L$5:$L$1004,$O956)))</f>
        <v/>
      </c>
      <c r="M956" s="50">
        <f>IF($O956="","",IF(INDEX(Firms!$M$5:$M$1004,$O956)="","—",INDEX(Firms!$M$5:$M$1004,$O956)))</f>
        <v/>
      </c>
      <c r="O956">
        <f>IFERROR(MATCH(SMALL(Firms!$Y$5:$Y$1004,948),Firms!$W$5:$W$1004,0),"")</f>
        <v/>
      </c>
    </row>
    <row r="957">
      <c r="B957" s="78">
        <f>IF($O957="","",INDEX(Firms!$A$5:$A$1004,$O957))</f>
        <v/>
      </c>
      <c r="C957" s="79">
        <f>IF($O957="","",INDEX(Firms!$N$5:$N$1004,$O957)&amp;"")</f>
        <v/>
      </c>
      <c r="D957" s="79">
        <f>IF($O957="","",INDEX(Firms!$P$5:$P$1004,$O957)&amp;"")</f>
        <v/>
      </c>
      <c r="E957" s="79">
        <f>IF($O957="","",INDEX(Firms!$O$5:$O$1004,$O957)&amp;"")</f>
        <v/>
      </c>
      <c r="F957" s="50">
        <f>IF($O957="","",IF(INDEX(Firms!$F$5:$F$1004,$O957)="","—",INDEX(Firms!$F$5:$F$1004,$O957)))</f>
        <v/>
      </c>
      <c r="G957" s="50">
        <f>IF($O957="","",IF(INDEX(Firms!$G$5:$G$1004,$O957)="","—",INDEX(Firms!$G$5:$G$1004,$O957)))</f>
        <v/>
      </c>
      <c r="H957" s="50">
        <f>IF($O957="","",IF(INDEX(Firms!$H$5:$H$1004,$O957)="","—",INDEX(Firms!$H$5:$H$1004,$O957)))</f>
        <v/>
      </c>
      <c r="I957" s="50">
        <f>IF($O957="","",IF(INDEX(Firms!$I$5:$I$1004,$O957)="","—",INDEX(Firms!$I$5:$I$1004,$O957)))</f>
        <v/>
      </c>
      <c r="J957" s="50">
        <f>IF($O957="","",IF(INDEX(Firms!$J$5:$J$1004,$O957)="","—",INDEX(Firms!$J$5:$J$1004,$O957)))</f>
        <v/>
      </c>
      <c r="K957" s="50">
        <f>IF($O957="","",IF(INDEX(Firms!$K$5:$K$1004,$O957)="","—",INDEX(Firms!$K$5:$K$1004,$O957)))</f>
        <v/>
      </c>
      <c r="L957" s="50">
        <f>IF($O957="","",IF(INDEX(Firms!$L$5:$L$1004,$O957)="","—",INDEX(Firms!$L$5:$L$1004,$O957)))</f>
        <v/>
      </c>
      <c r="M957" s="50">
        <f>IF($O957="","",IF(INDEX(Firms!$M$5:$M$1004,$O957)="","—",INDEX(Firms!$M$5:$M$1004,$O957)))</f>
        <v/>
      </c>
      <c r="O957">
        <f>IFERROR(MATCH(SMALL(Firms!$Y$5:$Y$1004,949),Firms!$W$5:$W$1004,0),"")</f>
        <v/>
      </c>
    </row>
    <row r="958">
      <c r="B958" s="78">
        <f>IF($O958="","",INDEX(Firms!$A$5:$A$1004,$O958))</f>
        <v/>
      </c>
      <c r="C958" s="79">
        <f>IF($O958="","",INDEX(Firms!$N$5:$N$1004,$O958)&amp;"")</f>
        <v/>
      </c>
      <c r="D958" s="79">
        <f>IF($O958="","",INDEX(Firms!$P$5:$P$1004,$O958)&amp;"")</f>
        <v/>
      </c>
      <c r="E958" s="79">
        <f>IF($O958="","",INDEX(Firms!$O$5:$O$1004,$O958)&amp;"")</f>
        <v/>
      </c>
      <c r="F958" s="50">
        <f>IF($O958="","",IF(INDEX(Firms!$F$5:$F$1004,$O958)="","—",INDEX(Firms!$F$5:$F$1004,$O958)))</f>
        <v/>
      </c>
      <c r="G958" s="50">
        <f>IF($O958="","",IF(INDEX(Firms!$G$5:$G$1004,$O958)="","—",INDEX(Firms!$G$5:$G$1004,$O958)))</f>
        <v/>
      </c>
      <c r="H958" s="50">
        <f>IF($O958="","",IF(INDEX(Firms!$H$5:$H$1004,$O958)="","—",INDEX(Firms!$H$5:$H$1004,$O958)))</f>
        <v/>
      </c>
      <c r="I958" s="50">
        <f>IF($O958="","",IF(INDEX(Firms!$I$5:$I$1004,$O958)="","—",INDEX(Firms!$I$5:$I$1004,$O958)))</f>
        <v/>
      </c>
      <c r="J958" s="50">
        <f>IF($O958="","",IF(INDEX(Firms!$J$5:$J$1004,$O958)="","—",INDEX(Firms!$J$5:$J$1004,$O958)))</f>
        <v/>
      </c>
      <c r="K958" s="50">
        <f>IF($O958="","",IF(INDEX(Firms!$K$5:$K$1004,$O958)="","—",INDEX(Firms!$K$5:$K$1004,$O958)))</f>
        <v/>
      </c>
      <c r="L958" s="50">
        <f>IF($O958="","",IF(INDEX(Firms!$L$5:$L$1004,$O958)="","—",INDEX(Firms!$L$5:$L$1004,$O958)))</f>
        <v/>
      </c>
      <c r="M958" s="50">
        <f>IF($O958="","",IF(INDEX(Firms!$M$5:$M$1004,$O958)="","—",INDEX(Firms!$M$5:$M$1004,$O958)))</f>
        <v/>
      </c>
      <c r="O958">
        <f>IFERROR(MATCH(SMALL(Firms!$Y$5:$Y$1004,950),Firms!$W$5:$W$1004,0),"")</f>
        <v/>
      </c>
    </row>
    <row r="959">
      <c r="B959" s="78">
        <f>IF($O959="","",INDEX(Firms!$A$5:$A$1004,$O959))</f>
        <v/>
      </c>
      <c r="C959" s="79">
        <f>IF($O959="","",INDEX(Firms!$N$5:$N$1004,$O959)&amp;"")</f>
        <v/>
      </c>
      <c r="D959" s="79">
        <f>IF($O959="","",INDEX(Firms!$P$5:$P$1004,$O959)&amp;"")</f>
        <v/>
      </c>
      <c r="E959" s="79">
        <f>IF($O959="","",INDEX(Firms!$O$5:$O$1004,$O959)&amp;"")</f>
        <v/>
      </c>
      <c r="F959" s="50">
        <f>IF($O959="","",IF(INDEX(Firms!$F$5:$F$1004,$O959)="","—",INDEX(Firms!$F$5:$F$1004,$O959)))</f>
        <v/>
      </c>
      <c r="G959" s="50">
        <f>IF($O959="","",IF(INDEX(Firms!$G$5:$G$1004,$O959)="","—",INDEX(Firms!$G$5:$G$1004,$O959)))</f>
        <v/>
      </c>
      <c r="H959" s="50">
        <f>IF($O959="","",IF(INDEX(Firms!$H$5:$H$1004,$O959)="","—",INDEX(Firms!$H$5:$H$1004,$O959)))</f>
        <v/>
      </c>
      <c r="I959" s="50">
        <f>IF($O959="","",IF(INDEX(Firms!$I$5:$I$1004,$O959)="","—",INDEX(Firms!$I$5:$I$1004,$O959)))</f>
        <v/>
      </c>
      <c r="J959" s="50">
        <f>IF($O959="","",IF(INDEX(Firms!$J$5:$J$1004,$O959)="","—",INDEX(Firms!$J$5:$J$1004,$O959)))</f>
        <v/>
      </c>
      <c r="K959" s="50">
        <f>IF($O959="","",IF(INDEX(Firms!$K$5:$K$1004,$O959)="","—",INDEX(Firms!$K$5:$K$1004,$O959)))</f>
        <v/>
      </c>
      <c r="L959" s="50">
        <f>IF($O959="","",IF(INDEX(Firms!$L$5:$L$1004,$O959)="","—",INDEX(Firms!$L$5:$L$1004,$O959)))</f>
        <v/>
      </c>
      <c r="M959" s="50">
        <f>IF($O959="","",IF(INDEX(Firms!$M$5:$M$1004,$O959)="","—",INDEX(Firms!$M$5:$M$1004,$O959)))</f>
        <v/>
      </c>
      <c r="O959">
        <f>IFERROR(MATCH(SMALL(Firms!$Y$5:$Y$1004,951),Firms!$W$5:$W$1004,0),"")</f>
        <v/>
      </c>
    </row>
    <row r="960">
      <c r="B960" s="78">
        <f>IF($O960="","",INDEX(Firms!$A$5:$A$1004,$O960))</f>
        <v/>
      </c>
      <c r="C960" s="79">
        <f>IF($O960="","",INDEX(Firms!$N$5:$N$1004,$O960)&amp;"")</f>
        <v/>
      </c>
      <c r="D960" s="79">
        <f>IF($O960="","",INDEX(Firms!$P$5:$P$1004,$O960)&amp;"")</f>
        <v/>
      </c>
      <c r="E960" s="79">
        <f>IF($O960="","",INDEX(Firms!$O$5:$O$1004,$O960)&amp;"")</f>
        <v/>
      </c>
      <c r="F960" s="50">
        <f>IF($O960="","",IF(INDEX(Firms!$F$5:$F$1004,$O960)="","—",INDEX(Firms!$F$5:$F$1004,$O960)))</f>
        <v/>
      </c>
      <c r="G960" s="50">
        <f>IF($O960="","",IF(INDEX(Firms!$G$5:$G$1004,$O960)="","—",INDEX(Firms!$G$5:$G$1004,$O960)))</f>
        <v/>
      </c>
      <c r="H960" s="50">
        <f>IF($O960="","",IF(INDEX(Firms!$H$5:$H$1004,$O960)="","—",INDEX(Firms!$H$5:$H$1004,$O960)))</f>
        <v/>
      </c>
      <c r="I960" s="50">
        <f>IF($O960="","",IF(INDEX(Firms!$I$5:$I$1004,$O960)="","—",INDEX(Firms!$I$5:$I$1004,$O960)))</f>
        <v/>
      </c>
      <c r="J960" s="50">
        <f>IF($O960="","",IF(INDEX(Firms!$J$5:$J$1004,$O960)="","—",INDEX(Firms!$J$5:$J$1004,$O960)))</f>
        <v/>
      </c>
      <c r="K960" s="50">
        <f>IF($O960="","",IF(INDEX(Firms!$K$5:$K$1004,$O960)="","—",INDEX(Firms!$K$5:$K$1004,$O960)))</f>
        <v/>
      </c>
      <c r="L960" s="50">
        <f>IF($O960="","",IF(INDEX(Firms!$L$5:$L$1004,$O960)="","—",INDEX(Firms!$L$5:$L$1004,$O960)))</f>
        <v/>
      </c>
      <c r="M960" s="50">
        <f>IF($O960="","",IF(INDEX(Firms!$M$5:$M$1004,$O960)="","—",INDEX(Firms!$M$5:$M$1004,$O960)))</f>
        <v/>
      </c>
      <c r="O960">
        <f>IFERROR(MATCH(SMALL(Firms!$Y$5:$Y$1004,952),Firms!$W$5:$W$1004,0),"")</f>
        <v/>
      </c>
    </row>
    <row r="961">
      <c r="B961" s="78">
        <f>IF($O961="","",INDEX(Firms!$A$5:$A$1004,$O961))</f>
        <v/>
      </c>
      <c r="C961" s="79">
        <f>IF($O961="","",INDEX(Firms!$N$5:$N$1004,$O961)&amp;"")</f>
        <v/>
      </c>
      <c r="D961" s="79">
        <f>IF($O961="","",INDEX(Firms!$P$5:$P$1004,$O961)&amp;"")</f>
        <v/>
      </c>
      <c r="E961" s="79">
        <f>IF($O961="","",INDEX(Firms!$O$5:$O$1004,$O961)&amp;"")</f>
        <v/>
      </c>
      <c r="F961" s="50">
        <f>IF($O961="","",IF(INDEX(Firms!$F$5:$F$1004,$O961)="","—",INDEX(Firms!$F$5:$F$1004,$O961)))</f>
        <v/>
      </c>
      <c r="G961" s="50">
        <f>IF($O961="","",IF(INDEX(Firms!$G$5:$G$1004,$O961)="","—",INDEX(Firms!$G$5:$G$1004,$O961)))</f>
        <v/>
      </c>
      <c r="H961" s="50">
        <f>IF($O961="","",IF(INDEX(Firms!$H$5:$H$1004,$O961)="","—",INDEX(Firms!$H$5:$H$1004,$O961)))</f>
        <v/>
      </c>
      <c r="I961" s="50">
        <f>IF($O961="","",IF(INDEX(Firms!$I$5:$I$1004,$O961)="","—",INDEX(Firms!$I$5:$I$1004,$O961)))</f>
        <v/>
      </c>
      <c r="J961" s="50">
        <f>IF($O961="","",IF(INDEX(Firms!$J$5:$J$1004,$O961)="","—",INDEX(Firms!$J$5:$J$1004,$O961)))</f>
        <v/>
      </c>
      <c r="K961" s="50">
        <f>IF($O961="","",IF(INDEX(Firms!$K$5:$K$1004,$O961)="","—",INDEX(Firms!$K$5:$K$1004,$O961)))</f>
        <v/>
      </c>
      <c r="L961" s="50">
        <f>IF($O961="","",IF(INDEX(Firms!$L$5:$L$1004,$O961)="","—",INDEX(Firms!$L$5:$L$1004,$O961)))</f>
        <v/>
      </c>
      <c r="M961" s="50">
        <f>IF($O961="","",IF(INDEX(Firms!$M$5:$M$1004,$O961)="","—",INDEX(Firms!$M$5:$M$1004,$O961)))</f>
        <v/>
      </c>
      <c r="O961">
        <f>IFERROR(MATCH(SMALL(Firms!$Y$5:$Y$1004,953),Firms!$W$5:$W$1004,0),"")</f>
        <v/>
      </c>
    </row>
    <row r="962">
      <c r="B962" s="78">
        <f>IF($O962="","",INDEX(Firms!$A$5:$A$1004,$O962))</f>
        <v/>
      </c>
      <c r="C962" s="79">
        <f>IF($O962="","",INDEX(Firms!$N$5:$N$1004,$O962)&amp;"")</f>
        <v/>
      </c>
      <c r="D962" s="79">
        <f>IF($O962="","",INDEX(Firms!$P$5:$P$1004,$O962)&amp;"")</f>
        <v/>
      </c>
      <c r="E962" s="79">
        <f>IF($O962="","",INDEX(Firms!$O$5:$O$1004,$O962)&amp;"")</f>
        <v/>
      </c>
      <c r="F962" s="50">
        <f>IF($O962="","",IF(INDEX(Firms!$F$5:$F$1004,$O962)="","—",INDEX(Firms!$F$5:$F$1004,$O962)))</f>
        <v/>
      </c>
      <c r="G962" s="50">
        <f>IF($O962="","",IF(INDEX(Firms!$G$5:$G$1004,$O962)="","—",INDEX(Firms!$G$5:$G$1004,$O962)))</f>
        <v/>
      </c>
      <c r="H962" s="50">
        <f>IF($O962="","",IF(INDEX(Firms!$H$5:$H$1004,$O962)="","—",INDEX(Firms!$H$5:$H$1004,$O962)))</f>
        <v/>
      </c>
      <c r="I962" s="50">
        <f>IF($O962="","",IF(INDEX(Firms!$I$5:$I$1004,$O962)="","—",INDEX(Firms!$I$5:$I$1004,$O962)))</f>
        <v/>
      </c>
      <c r="J962" s="50">
        <f>IF($O962="","",IF(INDEX(Firms!$J$5:$J$1004,$O962)="","—",INDEX(Firms!$J$5:$J$1004,$O962)))</f>
        <v/>
      </c>
      <c r="K962" s="50">
        <f>IF($O962="","",IF(INDEX(Firms!$K$5:$K$1004,$O962)="","—",INDEX(Firms!$K$5:$K$1004,$O962)))</f>
        <v/>
      </c>
      <c r="L962" s="50">
        <f>IF($O962="","",IF(INDEX(Firms!$L$5:$L$1004,$O962)="","—",INDEX(Firms!$L$5:$L$1004,$O962)))</f>
        <v/>
      </c>
      <c r="M962" s="50">
        <f>IF($O962="","",IF(INDEX(Firms!$M$5:$M$1004,$O962)="","—",INDEX(Firms!$M$5:$M$1004,$O962)))</f>
        <v/>
      </c>
      <c r="O962">
        <f>IFERROR(MATCH(SMALL(Firms!$Y$5:$Y$1004,954),Firms!$W$5:$W$1004,0),"")</f>
        <v/>
      </c>
    </row>
    <row r="963">
      <c r="B963" s="78">
        <f>IF($O963="","",INDEX(Firms!$A$5:$A$1004,$O963))</f>
        <v/>
      </c>
      <c r="C963" s="79">
        <f>IF($O963="","",INDEX(Firms!$N$5:$N$1004,$O963)&amp;"")</f>
        <v/>
      </c>
      <c r="D963" s="79">
        <f>IF($O963="","",INDEX(Firms!$P$5:$P$1004,$O963)&amp;"")</f>
        <v/>
      </c>
      <c r="E963" s="79">
        <f>IF($O963="","",INDEX(Firms!$O$5:$O$1004,$O963)&amp;"")</f>
        <v/>
      </c>
      <c r="F963" s="50">
        <f>IF($O963="","",IF(INDEX(Firms!$F$5:$F$1004,$O963)="","—",INDEX(Firms!$F$5:$F$1004,$O963)))</f>
        <v/>
      </c>
      <c r="G963" s="50">
        <f>IF($O963="","",IF(INDEX(Firms!$G$5:$G$1004,$O963)="","—",INDEX(Firms!$G$5:$G$1004,$O963)))</f>
        <v/>
      </c>
      <c r="H963" s="50">
        <f>IF($O963="","",IF(INDEX(Firms!$H$5:$H$1004,$O963)="","—",INDEX(Firms!$H$5:$H$1004,$O963)))</f>
        <v/>
      </c>
      <c r="I963" s="50">
        <f>IF($O963="","",IF(INDEX(Firms!$I$5:$I$1004,$O963)="","—",INDEX(Firms!$I$5:$I$1004,$O963)))</f>
        <v/>
      </c>
      <c r="J963" s="50">
        <f>IF($O963="","",IF(INDEX(Firms!$J$5:$J$1004,$O963)="","—",INDEX(Firms!$J$5:$J$1004,$O963)))</f>
        <v/>
      </c>
      <c r="K963" s="50">
        <f>IF($O963="","",IF(INDEX(Firms!$K$5:$K$1004,$O963)="","—",INDEX(Firms!$K$5:$K$1004,$O963)))</f>
        <v/>
      </c>
      <c r="L963" s="50">
        <f>IF($O963="","",IF(INDEX(Firms!$L$5:$L$1004,$O963)="","—",INDEX(Firms!$L$5:$L$1004,$O963)))</f>
        <v/>
      </c>
      <c r="M963" s="50">
        <f>IF($O963="","",IF(INDEX(Firms!$M$5:$M$1004,$O963)="","—",INDEX(Firms!$M$5:$M$1004,$O963)))</f>
        <v/>
      </c>
      <c r="O963">
        <f>IFERROR(MATCH(SMALL(Firms!$Y$5:$Y$1004,955),Firms!$W$5:$W$1004,0),"")</f>
        <v/>
      </c>
    </row>
    <row r="964">
      <c r="B964" s="78">
        <f>IF($O964="","",INDEX(Firms!$A$5:$A$1004,$O964))</f>
        <v/>
      </c>
      <c r="C964" s="79">
        <f>IF($O964="","",INDEX(Firms!$N$5:$N$1004,$O964)&amp;"")</f>
        <v/>
      </c>
      <c r="D964" s="79">
        <f>IF($O964="","",INDEX(Firms!$P$5:$P$1004,$O964)&amp;"")</f>
        <v/>
      </c>
      <c r="E964" s="79">
        <f>IF($O964="","",INDEX(Firms!$O$5:$O$1004,$O964)&amp;"")</f>
        <v/>
      </c>
      <c r="F964" s="50">
        <f>IF($O964="","",IF(INDEX(Firms!$F$5:$F$1004,$O964)="","—",INDEX(Firms!$F$5:$F$1004,$O964)))</f>
        <v/>
      </c>
      <c r="G964" s="50">
        <f>IF($O964="","",IF(INDEX(Firms!$G$5:$G$1004,$O964)="","—",INDEX(Firms!$G$5:$G$1004,$O964)))</f>
        <v/>
      </c>
      <c r="H964" s="50">
        <f>IF($O964="","",IF(INDEX(Firms!$H$5:$H$1004,$O964)="","—",INDEX(Firms!$H$5:$H$1004,$O964)))</f>
        <v/>
      </c>
      <c r="I964" s="50">
        <f>IF($O964="","",IF(INDEX(Firms!$I$5:$I$1004,$O964)="","—",INDEX(Firms!$I$5:$I$1004,$O964)))</f>
        <v/>
      </c>
      <c r="J964" s="50">
        <f>IF($O964="","",IF(INDEX(Firms!$J$5:$J$1004,$O964)="","—",INDEX(Firms!$J$5:$J$1004,$O964)))</f>
        <v/>
      </c>
      <c r="K964" s="50">
        <f>IF($O964="","",IF(INDEX(Firms!$K$5:$K$1004,$O964)="","—",INDEX(Firms!$K$5:$K$1004,$O964)))</f>
        <v/>
      </c>
      <c r="L964" s="50">
        <f>IF($O964="","",IF(INDEX(Firms!$L$5:$L$1004,$O964)="","—",INDEX(Firms!$L$5:$L$1004,$O964)))</f>
        <v/>
      </c>
      <c r="M964" s="50">
        <f>IF($O964="","",IF(INDEX(Firms!$M$5:$M$1004,$O964)="","—",INDEX(Firms!$M$5:$M$1004,$O964)))</f>
        <v/>
      </c>
      <c r="O964">
        <f>IFERROR(MATCH(SMALL(Firms!$Y$5:$Y$1004,956),Firms!$W$5:$W$1004,0),"")</f>
        <v/>
      </c>
    </row>
    <row r="965">
      <c r="B965" s="78">
        <f>IF($O965="","",INDEX(Firms!$A$5:$A$1004,$O965))</f>
        <v/>
      </c>
      <c r="C965" s="79">
        <f>IF($O965="","",INDEX(Firms!$N$5:$N$1004,$O965)&amp;"")</f>
        <v/>
      </c>
      <c r="D965" s="79">
        <f>IF($O965="","",INDEX(Firms!$P$5:$P$1004,$O965)&amp;"")</f>
        <v/>
      </c>
      <c r="E965" s="79">
        <f>IF($O965="","",INDEX(Firms!$O$5:$O$1004,$O965)&amp;"")</f>
        <v/>
      </c>
      <c r="F965" s="50">
        <f>IF($O965="","",IF(INDEX(Firms!$F$5:$F$1004,$O965)="","—",INDEX(Firms!$F$5:$F$1004,$O965)))</f>
        <v/>
      </c>
      <c r="G965" s="50">
        <f>IF($O965="","",IF(INDEX(Firms!$G$5:$G$1004,$O965)="","—",INDEX(Firms!$G$5:$G$1004,$O965)))</f>
        <v/>
      </c>
      <c r="H965" s="50">
        <f>IF($O965="","",IF(INDEX(Firms!$H$5:$H$1004,$O965)="","—",INDEX(Firms!$H$5:$H$1004,$O965)))</f>
        <v/>
      </c>
      <c r="I965" s="50">
        <f>IF($O965="","",IF(INDEX(Firms!$I$5:$I$1004,$O965)="","—",INDEX(Firms!$I$5:$I$1004,$O965)))</f>
        <v/>
      </c>
      <c r="J965" s="50">
        <f>IF($O965="","",IF(INDEX(Firms!$J$5:$J$1004,$O965)="","—",INDEX(Firms!$J$5:$J$1004,$O965)))</f>
        <v/>
      </c>
      <c r="K965" s="50">
        <f>IF($O965="","",IF(INDEX(Firms!$K$5:$K$1004,$O965)="","—",INDEX(Firms!$K$5:$K$1004,$O965)))</f>
        <v/>
      </c>
      <c r="L965" s="50">
        <f>IF($O965="","",IF(INDEX(Firms!$L$5:$L$1004,$O965)="","—",INDEX(Firms!$L$5:$L$1004,$O965)))</f>
        <v/>
      </c>
      <c r="M965" s="50">
        <f>IF($O965="","",IF(INDEX(Firms!$M$5:$M$1004,$O965)="","—",INDEX(Firms!$M$5:$M$1004,$O965)))</f>
        <v/>
      </c>
      <c r="O965">
        <f>IFERROR(MATCH(SMALL(Firms!$Y$5:$Y$1004,957),Firms!$W$5:$W$1004,0),"")</f>
        <v/>
      </c>
    </row>
    <row r="966">
      <c r="B966" s="78">
        <f>IF($O966="","",INDEX(Firms!$A$5:$A$1004,$O966))</f>
        <v/>
      </c>
      <c r="C966" s="79">
        <f>IF($O966="","",INDEX(Firms!$N$5:$N$1004,$O966)&amp;"")</f>
        <v/>
      </c>
      <c r="D966" s="79">
        <f>IF($O966="","",INDEX(Firms!$P$5:$P$1004,$O966)&amp;"")</f>
        <v/>
      </c>
      <c r="E966" s="79">
        <f>IF($O966="","",INDEX(Firms!$O$5:$O$1004,$O966)&amp;"")</f>
        <v/>
      </c>
      <c r="F966" s="50">
        <f>IF($O966="","",IF(INDEX(Firms!$F$5:$F$1004,$O966)="","—",INDEX(Firms!$F$5:$F$1004,$O966)))</f>
        <v/>
      </c>
      <c r="G966" s="50">
        <f>IF($O966="","",IF(INDEX(Firms!$G$5:$G$1004,$O966)="","—",INDEX(Firms!$G$5:$G$1004,$O966)))</f>
        <v/>
      </c>
      <c r="H966" s="50">
        <f>IF($O966="","",IF(INDEX(Firms!$H$5:$H$1004,$O966)="","—",INDEX(Firms!$H$5:$H$1004,$O966)))</f>
        <v/>
      </c>
      <c r="I966" s="50">
        <f>IF($O966="","",IF(INDEX(Firms!$I$5:$I$1004,$O966)="","—",INDEX(Firms!$I$5:$I$1004,$O966)))</f>
        <v/>
      </c>
      <c r="J966" s="50">
        <f>IF($O966="","",IF(INDEX(Firms!$J$5:$J$1004,$O966)="","—",INDEX(Firms!$J$5:$J$1004,$O966)))</f>
        <v/>
      </c>
      <c r="K966" s="50">
        <f>IF($O966="","",IF(INDEX(Firms!$K$5:$K$1004,$O966)="","—",INDEX(Firms!$K$5:$K$1004,$O966)))</f>
        <v/>
      </c>
      <c r="L966" s="50">
        <f>IF($O966="","",IF(INDEX(Firms!$L$5:$L$1004,$O966)="","—",INDEX(Firms!$L$5:$L$1004,$O966)))</f>
        <v/>
      </c>
      <c r="M966" s="50">
        <f>IF($O966="","",IF(INDEX(Firms!$M$5:$M$1004,$O966)="","—",INDEX(Firms!$M$5:$M$1004,$O966)))</f>
        <v/>
      </c>
      <c r="O966">
        <f>IFERROR(MATCH(SMALL(Firms!$Y$5:$Y$1004,958),Firms!$W$5:$W$1004,0),"")</f>
        <v/>
      </c>
    </row>
    <row r="967">
      <c r="B967" s="78">
        <f>IF($O967="","",INDEX(Firms!$A$5:$A$1004,$O967))</f>
        <v/>
      </c>
      <c r="C967" s="79">
        <f>IF($O967="","",INDEX(Firms!$N$5:$N$1004,$O967)&amp;"")</f>
        <v/>
      </c>
      <c r="D967" s="79">
        <f>IF($O967="","",INDEX(Firms!$P$5:$P$1004,$O967)&amp;"")</f>
        <v/>
      </c>
      <c r="E967" s="79">
        <f>IF($O967="","",INDEX(Firms!$O$5:$O$1004,$O967)&amp;"")</f>
        <v/>
      </c>
      <c r="F967" s="50">
        <f>IF($O967="","",IF(INDEX(Firms!$F$5:$F$1004,$O967)="","—",INDEX(Firms!$F$5:$F$1004,$O967)))</f>
        <v/>
      </c>
      <c r="G967" s="50">
        <f>IF($O967="","",IF(INDEX(Firms!$G$5:$G$1004,$O967)="","—",INDEX(Firms!$G$5:$G$1004,$O967)))</f>
        <v/>
      </c>
      <c r="H967" s="50">
        <f>IF($O967="","",IF(INDEX(Firms!$H$5:$H$1004,$O967)="","—",INDEX(Firms!$H$5:$H$1004,$O967)))</f>
        <v/>
      </c>
      <c r="I967" s="50">
        <f>IF($O967="","",IF(INDEX(Firms!$I$5:$I$1004,$O967)="","—",INDEX(Firms!$I$5:$I$1004,$O967)))</f>
        <v/>
      </c>
      <c r="J967" s="50">
        <f>IF($O967="","",IF(INDEX(Firms!$J$5:$J$1004,$O967)="","—",INDEX(Firms!$J$5:$J$1004,$O967)))</f>
        <v/>
      </c>
      <c r="K967" s="50">
        <f>IF($O967="","",IF(INDEX(Firms!$K$5:$K$1004,$O967)="","—",INDEX(Firms!$K$5:$K$1004,$O967)))</f>
        <v/>
      </c>
      <c r="L967" s="50">
        <f>IF($O967="","",IF(INDEX(Firms!$L$5:$L$1004,$O967)="","—",INDEX(Firms!$L$5:$L$1004,$O967)))</f>
        <v/>
      </c>
      <c r="M967" s="50">
        <f>IF($O967="","",IF(INDEX(Firms!$M$5:$M$1004,$O967)="","—",INDEX(Firms!$M$5:$M$1004,$O967)))</f>
        <v/>
      </c>
      <c r="O967">
        <f>IFERROR(MATCH(SMALL(Firms!$Y$5:$Y$1004,959),Firms!$W$5:$W$1004,0),"")</f>
        <v/>
      </c>
    </row>
    <row r="968">
      <c r="B968" s="78">
        <f>IF($O968="","",INDEX(Firms!$A$5:$A$1004,$O968))</f>
        <v/>
      </c>
      <c r="C968" s="79">
        <f>IF($O968="","",INDEX(Firms!$N$5:$N$1004,$O968)&amp;"")</f>
        <v/>
      </c>
      <c r="D968" s="79">
        <f>IF($O968="","",INDEX(Firms!$P$5:$P$1004,$O968)&amp;"")</f>
        <v/>
      </c>
      <c r="E968" s="79">
        <f>IF($O968="","",INDEX(Firms!$O$5:$O$1004,$O968)&amp;"")</f>
        <v/>
      </c>
      <c r="F968" s="50">
        <f>IF($O968="","",IF(INDEX(Firms!$F$5:$F$1004,$O968)="","—",INDEX(Firms!$F$5:$F$1004,$O968)))</f>
        <v/>
      </c>
      <c r="G968" s="50">
        <f>IF($O968="","",IF(INDEX(Firms!$G$5:$G$1004,$O968)="","—",INDEX(Firms!$G$5:$G$1004,$O968)))</f>
        <v/>
      </c>
      <c r="H968" s="50">
        <f>IF($O968="","",IF(INDEX(Firms!$H$5:$H$1004,$O968)="","—",INDEX(Firms!$H$5:$H$1004,$O968)))</f>
        <v/>
      </c>
      <c r="I968" s="50">
        <f>IF($O968="","",IF(INDEX(Firms!$I$5:$I$1004,$O968)="","—",INDEX(Firms!$I$5:$I$1004,$O968)))</f>
        <v/>
      </c>
      <c r="J968" s="50">
        <f>IF($O968="","",IF(INDEX(Firms!$J$5:$J$1004,$O968)="","—",INDEX(Firms!$J$5:$J$1004,$O968)))</f>
        <v/>
      </c>
      <c r="K968" s="50">
        <f>IF($O968="","",IF(INDEX(Firms!$K$5:$K$1004,$O968)="","—",INDEX(Firms!$K$5:$K$1004,$O968)))</f>
        <v/>
      </c>
      <c r="L968" s="50">
        <f>IF($O968="","",IF(INDEX(Firms!$L$5:$L$1004,$O968)="","—",INDEX(Firms!$L$5:$L$1004,$O968)))</f>
        <v/>
      </c>
      <c r="M968" s="50">
        <f>IF($O968="","",IF(INDEX(Firms!$M$5:$M$1004,$O968)="","—",INDEX(Firms!$M$5:$M$1004,$O968)))</f>
        <v/>
      </c>
      <c r="O968">
        <f>IFERROR(MATCH(SMALL(Firms!$Y$5:$Y$1004,960),Firms!$W$5:$W$1004,0),"")</f>
        <v/>
      </c>
    </row>
    <row r="969">
      <c r="B969" s="78">
        <f>IF($O969="","",INDEX(Firms!$A$5:$A$1004,$O969))</f>
        <v/>
      </c>
      <c r="C969" s="79">
        <f>IF($O969="","",INDEX(Firms!$N$5:$N$1004,$O969)&amp;"")</f>
        <v/>
      </c>
      <c r="D969" s="79">
        <f>IF($O969="","",INDEX(Firms!$P$5:$P$1004,$O969)&amp;"")</f>
        <v/>
      </c>
      <c r="E969" s="79">
        <f>IF($O969="","",INDEX(Firms!$O$5:$O$1004,$O969)&amp;"")</f>
        <v/>
      </c>
      <c r="F969" s="50">
        <f>IF($O969="","",IF(INDEX(Firms!$F$5:$F$1004,$O969)="","—",INDEX(Firms!$F$5:$F$1004,$O969)))</f>
        <v/>
      </c>
      <c r="G969" s="50">
        <f>IF($O969="","",IF(INDEX(Firms!$G$5:$G$1004,$O969)="","—",INDEX(Firms!$G$5:$G$1004,$O969)))</f>
        <v/>
      </c>
      <c r="H969" s="50">
        <f>IF($O969="","",IF(INDEX(Firms!$H$5:$H$1004,$O969)="","—",INDEX(Firms!$H$5:$H$1004,$O969)))</f>
        <v/>
      </c>
      <c r="I969" s="50">
        <f>IF($O969="","",IF(INDEX(Firms!$I$5:$I$1004,$O969)="","—",INDEX(Firms!$I$5:$I$1004,$O969)))</f>
        <v/>
      </c>
      <c r="J969" s="50">
        <f>IF($O969="","",IF(INDEX(Firms!$J$5:$J$1004,$O969)="","—",INDEX(Firms!$J$5:$J$1004,$O969)))</f>
        <v/>
      </c>
      <c r="K969" s="50">
        <f>IF($O969="","",IF(INDEX(Firms!$K$5:$K$1004,$O969)="","—",INDEX(Firms!$K$5:$K$1004,$O969)))</f>
        <v/>
      </c>
      <c r="L969" s="50">
        <f>IF($O969="","",IF(INDEX(Firms!$L$5:$L$1004,$O969)="","—",INDEX(Firms!$L$5:$L$1004,$O969)))</f>
        <v/>
      </c>
      <c r="M969" s="50">
        <f>IF($O969="","",IF(INDEX(Firms!$M$5:$M$1004,$O969)="","—",INDEX(Firms!$M$5:$M$1004,$O969)))</f>
        <v/>
      </c>
      <c r="O969">
        <f>IFERROR(MATCH(SMALL(Firms!$Y$5:$Y$1004,961),Firms!$W$5:$W$1004,0),"")</f>
        <v/>
      </c>
    </row>
    <row r="970">
      <c r="B970" s="78">
        <f>IF($O970="","",INDEX(Firms!$A$5:$A$1004,$O970))</f>
        <v/>
      </c>
      <c r="C970" s="79">
        <f>IF($O970="","",INDEX(Firms!$N$5:$N$1004,$O970)&amp;"")</f>
        <v/>
      </c>
      <c r="D970" s="79">
        <f>IF($O970="","",INDEX(Firms!$P$5:$P$1004,$O970)&amp;"")</f>
        <v/>
      </c>
      <c r="E970" s="79">
        <f>IF($O970="","",INDEX(Firms!$O$5:$O$1004,$O970)&amp;"")</f>
        <v/>
      </c>
      <c r="F970" s="50">
        <f>IF($O970="","",IF(INDEX(Firms!$F$5:$F$1004,$O970)="","—",INDEX(Firms!$F$5:$F$1004,$O970)))</f>
        <v/>
      </c>
      <c r="G970" s="50">
        <f>IF($O970="","",IF(INDEX(Firms!$G$5:$G$1004,$O970)="","—",INDEX(Firms!$G$5:$G$1004,$O970)))</f>
        <v/>
      </c>
      <c r="H970" s="50">
        <f>IF($O970="","",IF(INDEX(Firms!$H$5:$H$1004,$O970)="","—",INDEX(Firms!$H$5:$H$1004,$O970)))</f>
        <v/>
      </c>
      <c r="I970" s="50">
        <f>IF($O970="","",IF(INDEX(Firms!$I$5:$I$1004,$O970)="","—",INDEX(Firms!$I$5:$I$1004,$O970)))</f>
        <v/>
      </c>
      <c r="J970" s="50">
        <f>IF($O970="","",IF(INDEX(Firms!$J$5:$J$1004,$O970)="","—",INDEX(Firms!$J$5:$J$1004,$O970)))</f>
        <v/>
      </c>
      <c r="K970" s="50">
        <f>IF($O970="","",IF(INDEX(Firms!$K$5:$K$1004,$O970)="","—",INDEX(Firms!$K$5:$K$1004,$O970)))</f>
        <v/>
      </c>
      <c r="L970" s="50">
        <f>IF($O970="","",IF(INDEX(Firms!$L$5:$L$1004,$O970)="","—",INDEX(Firms!$L$5:$L$1004,$O970)))</f>
        <v/>
      </c>
      <c r="M970" s="50">
        <f>IF($O970="","",IF(INDEX(Firms!$M$5:$M$1004,$O970)="","—",INDEX(Firms!$M$5:$M$1004,$O970)))</f>
        <v/>
      </c>
      <c r="O970">
        <f>IFERROR(MATCH(SMALL(Firms!$Y$5:$Y$1004,962),Firms!$W$5:$W$1004,0),"")</f>
        <v/>
      </c>
    </row>
    <row r="971">
      <c r="B971" s="78">
        <f>IF($O971="","",INDEX(Firms!$A$5:$A$1004,$O971))</f>
        <v/>
      </c>
      <c r="C971" s="79">
        <f>IF($O971="","",INDEX(Firms!$N$5:$N$1004,$O971)&amp;"")</f>
        <v/>
      </c>
      <c r="D971" s="79">
        <f>IF($O971="","",INDEX(Firms!$P$5:$P$1004,$O971)&amp;"")</f>
        <v/>
      </c>
      <c r="E971" s="79">
        <f>IF($O971="","",INDEX(Firms!$O$5:$O$1004,$O971)&amp;"")</f>
        <v/>
      </c>
      <c r="F971" s="50">
        <f>IF($O971="","",IF(INDEX(Firms!$F$5:$F$1004,$O971)="","—",INDEX(Firms!$F$5:$F$1004,$O971)))</f>
        <v/>
      </c>
      <c r="G971" s="50">
        <f>IF($O971="","",IF(INDEX(Firms!$G$5:$G$1004,$O971)="","—",INDEX(Firms!$G$5:$G$1004,$O971)))</f>
        <v/>
      </c>
      <c r="H971" s="50">
        <f>IF($O971="","",IF(INDEX(Firms!$H$5:$H$1004,$O971)="","—",INDEX(Firms!$H$5:$H$1004,$O971)))</f>
        <v/>
      </c>
      <c r="I971" s="50">
        <f>IF($O971="","",IF(INDEX(Firms!$I$5:$I$1004,$O971)="","—",INDEX(Firms!$I$5:$I$1004,$O971)))</f>
        <v/>
      </c>
      <c r="J971" s="50">
        <f>IF($O971="","",IF(INDEX(Firms!$J$5:$J$1004,$O971)="","—",INDEX(Firms!$J$5:$J$1004,$O971)))</f>
        <v/>
      </c>
      <c r="K971" s="50">
        <f>IF($O971="","",IF(INDEX(Firms!$K$5:$K$1004,$O971)="","—",INDEX(Firms!$K$5:$K$1004,$O971)))</f>
        <v/>
      </c>
      <c r="L971" s="50">
        <f>IF($O971="","",IF(INDEX(Firms!$L$5:$L$1004,$O971)="","—",INDEX(Firms!$L$5:$L$1004,$O971)))</f>
        <v/>
      </c>
      <c r="M971" s="50">
        <f>IF($O971="","",IF(INDEX(Firms!$M$5:$M$1004,$O971)="","—",INDEX(Firms!$M$5:$M$1004,$O971)))</f>
        <v/>
      </c>
      <c r="O971">
        <f>IFERROR(MATCH(SMALL(Firms!$Y$5:$Y$1004,963),Firms!$W$5:$W$1004,0),"")</f>
        <v/>
      </c>
    </row>
    <row r="972">
      <c r="B972" s="78">
        <f>IF($O972="","",INDEX(Firms!$A$5:$A$1004,$O972))</f>
        <v/>
      </c>
      <c r="C972" s="79">
        <f>IF($O972="","",INDEX(Firms!$N$5:$N$1004,$O972)&amp;"")</f>
        <v/>
      </c>
      <c r="D972" s="79">
        <f>IF($O972="","",INDEX(Firms!$P$5:$P$1004,$O972)&amp;"")</f>
        <v/>
      </c>
      <c r="E972" s="79">
        <f>IF($O972="","",INDEX(Firms!$O$5:$O$1004,$O972)&amp;"")</f>
        <v/>
      </c>
      <c r="F972" s="50">
        <f>IF($O972="","",IF(INDEX(Firms!$F$5:$F$1004,$O972)="","—",INDEX(Firms!$F$5:$F$1004,$O972)))</f>
        <v/>
      </c>
      <c r="G972" s="50">
        <f>IF($O972="","",IF(INDEX(Firms!$G$5:$G$1004,$O972)="","—",INDEX(Firms!$G$5:$G$1004,$O972)))</f>
        <v/>
      </c>
      <c r="H972" s="50">
        <f>IF($O972="","",IF(INDEX(Firms!$H$5:$H$1004,$O972)="","—",INDEX(Firms!$H$5:$H$1004,$O972)))</f>
        <v/>
      </c>
      <c r="I972" s="50">
        <f>IF($O972="","",IF(INDEX(Firms!$I$5:$I$1004,$O972)="","—",INDEX(Firms!$I$5:$I$1004,$O972)))</f>
        <v/>
      </c>
      <c r="J972" s="50">
        <f>IF($O972="","",IF(INDEX(Firms!$J$5:$J$1004,$O972)="","—",INDEX(Firms!$J$5:$J$1004,$O972)))</f>
        <v/>
      </c>
      <c r="K972" s="50">
        <f>IF($O972="","",IF(INDEX(Firms!$K$5:$K$1004,$O972)="","—",INDEX(Firms!$K$5:$K$1004,$O972)))</f>
        <v/>
      </c>
      <c r="L972" s="50">
        <f>IF($O972="","",IF(INDEX(Firms!$L$5:$L$1004,$O972)="","—",INDEX(Firms!$L$5:$L$1004,$O972)))</f>
        <v/>
      </c>
      <c r="M972" s="50">
        <f>IF($O972="","",IF(INDEX(Firms!$M$5:$M$1004,$O972)="","—",INDEX(Firms!$M$5:$M$1004,$O972)))</f>
        <v/>
      </c>
      <c r="O972">
        <f>IFERROR(MATCH(SMALL(Firms!$Y$5:$Y$1004,964),Firms!$W$5:$W$1004,0),"")</f>
        <v/>
      </c>
    </row>
    <row r="973">
      <c r="B973" s="78">
        <f>IF($O973="","",INDEX(Firms!$A$5:$A$1004,$O973))</f>
        <v/>
      </c>
      <c r="C973" s="79">
        <f>IF($O973="","",INDEX(Firms!$N$5:$N$1004,$O973)&amp;"")</f>
        <v/>
      </c>
      <c r="D973" s="79">
        <f>IF($O973="","",INDEX(Firms!$P$5:$P$1004,$O973)&amp;"")</f>
        <v/>
      </c>
      <c r="E973" s="79">
        <f>IF($O973="","",INDEX(Firms!$O$5:$O$1004,$O973)&amp;"")</f>
        <v/>
      </c>
      <c r="F973" s="50">
        <f>IF($O973="","",IF(INDEX(Firms!$F$5:$F$1004,$O973)="","—",INDEX(Firms!$F$5:$F$1004,$O973)))</f>
        <v/>
      </c>
      <c r="G973" s="50">
        <f>IF($O973="","",IF(INDEX(Firms!$G$5:$G$1004,$O973)="","—",INDEX(Firms!$G$5:$G$1004,$O973)))</f>
        <v/>
      </c>
      <c r="H973" s="50">
        <f>IF($O973="","",IF(INDEX(Firms!$H$5:$H$1004,$O973)="","—",INDEX(Firms!$H$5:$H$1004,$O973)))</f>
        <v/>
      </c>
      <c r="I973" s="50">
        <f>IF($O973="","",IF(INDEX(Firms!$I$5:$I$1004,$O973)="","—",INDEX(Firms!$I$5:$I$1004,$O973)))</f>
        <v/>
      </c>
      <c r="J973" s="50">
        <f>IF($O973="","",IF(INDEX(Firms!$J$5:$J$1004,$O973)="","—",INDEX(Firms!$J$5:$J$1004,$O973)))</f>
        <v/>
      </c>
      <c r="K973" s="50">
        <f>IF($O973="","",IF(INDEX(Firms!$K$5:$K$1004,$O973)="","—",INDEX(Firms!$K$5:$K$1004,$O973)))</f>
        <v/>
      </c>
      <c r="L973" s="50">
        <f>IF($O973="","",IF(INDEX(Firms!$L$5:$L$1004,$O973)="","—",INDEX(Firms!$L$5:$L$1004,$O973)))</f>
        <v/>
      </c>
      <c r="M973" s="50">
        <f>IF($O973="","",IF(INDEX(Firms!$M$5:$M$1004,$O973)="","—",INDEX(Firms!$M$5:$M$1004,$O973)))</f>
        <v/>
      </c>
      <c r="O973">
        <f>IFERROR(MATCH(SMALL(Firms!$Y$5:$Y$1004,965),Firms!$W$5:$W$1004,0),"")</f>
        <v/>
      </c>
    </row>
    <row r="974">
      <c r="B974" s="78">
        <f>IF($O974="","",INDEX(Firms!$A$5:$A$1004,$O974))</f>
        <v/>
      </c>
      <c r="C974" s="79">
        <f>IF($O974="","",INDEX(Firms!$N$5:$N$1004,$O974)&amp;"")</f>
        <v/>
      </c>
      <c r="D974" s="79">
        <f>IF($O974="","",INDEX(Firms!$P$5:$P$1004,$O974)&amp;"")</f>
        <v/>
      </c>
      <c r="E974" s="79">
        <f>IF($O974="","",INDEX(Firms!$O$5:$O$1004,$O974)&amp;"")</f>
        <v/>
      </c>
      <c r="F974" s="50">
        <f>IF($O974="","",IF(INDEX(Firms!$F$5:$F$1004,$O974)="","—",INDEX(Firms!$F$5:$F$1004,$O974)))</f>
        <v/>
      </c>
      <c r="G974" s="50">
        <f>IF($O974="","",IF(INDEX(Firms!$G$5:$G$1004,$O974)="","—",INDEX(Firms!$G$5:$G$1004,$O974)))</f>
        <v/>
      </c>
      <c r="H974" s="50">
        <f>IF($O974="","",IF(INDEX(Firms!$H$5:$H$1004,$O974)="","—",INDEX(Firms!$H$5:$H$1004,$O974)))</f>
        <v/>
      </c>
      <c r="I974" s="50">
        <f>IF($O974="","",IF(INDEX(Firms!$I$5:$I$1004,$O974)="","—",INDEX(Firms!$I$5:$I$1004,$O974)))</f>
        <v/>
      </c>
      <c r="J974" s="50">
        <f>IF($O974="","",IF(INDEX(Firms!$J$5:$J$1004,$O974)="","—",INDEX(Firms!$J$5:$J$1004,$O974)))</f>
        <v/>
      </c>
      <c r="K974" s="50">
        <f>IF($O974="","",IF(INDEX(Firms!$K$5:$K$1004,$O974)="","—",INDEX(Firms!$K$5:$K$1004,$O974)))</f>
        <v/>
      </c>
      <c r="L974" s="50">
        <f>IF($O974="","",IF(INDEX(Firms!$L$5:$L$1004,$O974)="","—",INDEX(Firms!$L$5:$L$1004,$O974)))</f>
        <v/>
      </c>
      <c r="M974" s="50">
        <f>IF($O974="","",IF(INDEX(Firms!$M$5:$M$1004,$O974)="","—",INDEX(Firms!$M$5:$M$1004,$O974)))</f>
        <v/>
      </c>
      <c r="O974">
        <f>IFERROR(MATCH(SMALL(Firms!$Y$5:$Y$1004,966),Firms!$W$5:$W$1004,0),"")</f>
        <v/>
      </c>
    </row>
    <row r="975">
      <c r="B975" s="78">
        <f>IF($O975="","",INDEX(Firms!$A$5:$A$1004,$O975))</f>
        <v/>
      </c>
      <c r="C975" s="79">
        <f>IF($O975="","",INDEX(Firms!$N$5:$N$1004,$O975)&amp;"")</f>
        <v/>
      </c>
      <c r="D975" s="79">
        <f>IF($O975="","",INDEX(Firms!$P$5:$P$1004,$O975)&amp;"")</f>
        <v/>
      </c>
      <c r="E975" s="79">
        <f>IF($O975="","",INDEX(Firms!$O$5:$O$1004,$O975)&amp;"")</f>
        <v/>
      </c>
      <c r="F975" s="50">
        <f>IF($O975="","",IF(INDEX(Firms!$F$5:$F$1004,$O975)="","—",INDEX(Firms!$F$5:$F$1004,$O975)))</f>
        <v/>
      </c>
      <c r="G975" s="50">
        <f>IF($O975="","",IF(INDEX(Firms!$G$5:$G$1004,$O975)="","—",INDEX(Firms!$G$5:$G$1004,$O975)))</f>
        <v/>
      </c>
      <c r="H975" s="50">
        <f>IF($O975="","",IF(INDEX(Firms!$H$5:$H$1004,$O975)="","—",INDEX(Firms!$H$5:$H$1004,$O975)))</f>
        <v/>
      </c>
      <c r="I975" s="50">
        <f>IF($O975="","",IF(INDEX(Firms!$I$5:$I$1004,$O975)="","—",INDEX(Firms!$I$5:$I$1004,$O975)))</f>
        <v/>
      </c>
      <c r="J975" s="50">
        <f>IF($O975="","",IF(INDEX(Firms!$J$5:$J$1004,$O975)="","—",INDEX(Firms!$J$5:$J$1004,$O975)))</f>
        <v/>
      </c>
      <c r="K975" s="50">
        <f>IF($O975="","",IF(INDEX(Firms!$K$5:$K$1004,$O975)="","—",INDEX(Firms!$K$5:$K$1004,$O975)))</f>
        <v/>
      </c>
      <c r="L975" s="50">
        <f>IF($O975="","",IF(INDEX(Firms!$L$5:$L$1004,$O975)="","—",INDEX(Firms!$L$5:$L$1004,$O975)))</f>
        <v/>
      </c>
      <c r="M975" s="50">
        <f>IF($O975="","",IF(INDEX(Firms!$M$5:$M$1004,$O975)="","—",INDEX(Firms!$M$5:$M$1004,$O975)))</f>
        <v/>
      </c>
      <c r="O975">
        <f>IFERROR(MATCH(SMALL(Firms!$Y$5:$Y$1004,967),Firms!$W$5:$W$1004,0),"")</f>
        <v/>
      </c>
    </row>
    <row r="976">
      <c r="B976" s="78">
        <f>IF($O976="","",INDEX(Firms!$A$5:$A$1004,$O976))</f>
        <v/>
      </c>
      <c r="C976" s="79">
        <f>IF($O976="","",INDEX(Firms!$N$5:$N$1004,$O976)&amp;"")</f>
        <v/>
      </c>
      <c r="D976" s="79">
        <f>IF($O976="","",INDEX(Firms!$P$5:$P$1004,$O976)&amp;"")</f>
        <v/>
      </c>
      <c r="E976" s="79">
        <f>IF($O976="","",INDEX(Firms!$O$5:$O$1004,$O976)&amp;"")</f>
        <v/>
      </c>
      <c r="F976" s="50">
        <f>IF($O976="","",IF(INDEX(Firms!$F$5:$F$1004,$O976)="","—",INDEX(Firms!$F$5:$F$1004,$O976)))</f>
        <v/>
      </c>
      <c r="G976" s="50">
        <f>IF($O976="","",IF(INDEX(Firms!$G$5:$G$1004,$O976)="","—",INDEX(Firms!$G$5:$G$1004,$O976)))</f>
        <v/>
      </c>
      <c r="H976" s="50">
        <f>IF($O976="","",IF(INDEX(Firms!$H$5:$H$1004,$O976)="","—",INDEX(Firms!$H$5:$H$1004,$O976)))</f>
        <v/>
      </c>
      <c r="I976" s="50">
        <f>IF($O976="","",IF(INDEX(Firms!$I$5:$I$1004,$O976)="","—",INDEX(Firms!$I$5:$I$1004,$O976)))</f>
        <v/>
      </c>
      <c r="J976" s="50">
        <f>IF($O976="","",IF(INDEX(Firms!$J$5:$J$1004,$O976)="","—",INDEX(Firms!$J$5:$J$1004,$O976)))</f>
        <v/>
      </c>
      <c r="K976" s="50">
        <f>IF($O976="","",IF(INDEX(Firms!$K$5:$K$1004,$O976)="","—",INDEX(Firms!$K$5:$K$1004,$O976)))</f>
        <v/>
      </c>
      <c r="L976" s="50">
        <f>IF($O976="","",IF(INDEX(Firms!$L$5:$L$1004,$O976)="","—",INDEX(Firms!$L$5:$L$1004,$O976)))</f>
        <v/>
      </c>
      <c r="M976" s="50">
        <f>IF($O976="","",IF(INDEX(Firms!$M$5:$M$1004,$O976)="","—",INDEX(Firms!$M$5:$M$1004,$O976)))</f>
        <v/>
      </c>
      <c r="O976">
        <f>IFERROR(MATCH(SMALL(Firms!$Y$5:$Y$1004,968),Firms!$W$5:$W$1004,0),"")</f>
        <v/>
      </c>
    </row>
    <row r="977">
      <c r="B977" s="78">
        <f>IF($O977="","",INDEX(Firms!$A$5:$A$1004,$O977))</f>
        <v/>
      </c>
      <c r="C977" s="79">
        <f>IF($O977="","",INDEX(Firms!$N$5:$N$1004,$O977)&amp;"")</f>
        <v/>
      </c>
      <c r="D977" s="79">
        <f>IF($O977="","",INDEX(Firms!$P$5:$P$1004,$O977)&amp;"")</f>
        <v/>
      </c>
      <c r="E977" s="79">
        <f>IF($O977="","",INDEX(Firms!$O$5:$O$1004,$O977)&amp;"")</f>
        <v/>
      </c>
      <c r="F977" s="50">
        <f>IF($O977="","",IF(INDEX(Firms!$F$5:$F$1004,$O977)="","—",INDEX(Firms!$F$5:$F$1004,$O977)))</f>
        <v/>
      </c>
      <c r="G977" s="50">
        <f>IF($O977="","",IF(INDEX(Firms!$G$5:$G$1004,$O977)="","—",INDEX(Firms!$G$5:$G$1004,$O977)))</f>
        <v/>
      </c>
      <c r="H977" s="50">
        <f>IF($O977="","",IF(INDEX(Firms!$H$5:$H$1004,$O977)="","—",INDEX(Firms!$H$5:$H$1004,$O977)))</f>
        <v/>
      </c>
      <c r="I977" s="50">
        <f>IF($O977="","",IF(INDEX(Firms!$I$5:$I$1004,$O977)="","—",INDEX(Firms!$I$5:$I$1004,$O977)))</f>
        <v/>
      </c>
      <c r="J977" s="50">
        <f>IF($O977="","",IF(INDEX(Firms!$J$5:$J$1004,$O977)="","—",INDEX(Firms!$J$5:$J$1004,$O977)))</f>
        <v/>
      </c>
      <c r="K977" s="50">
        <f>IF($O977="","",IF(INDEX(Firms!$K$5:$K$1004,$O977)="","—",INDEX(Firms!$K$5:$K$1004,$O977)))</f>
        <v/>
      </c>
      <c r="L977" s="50">
        <f>IF($O977="","",IF(INDEX(Firms!$L$5:$L$1004,$O977)="","—",INDEX(Firms!$L$5:$L$1004,$O977)))</f>
        <v/>
      </c>
      <c r="M977" s="50">
        <f>IF($O977="","",IF(INDEX(Firms!$M$5:$M$1004,$O977)="","—",INDEX(Firms!$M$5:$M$1004,$O977)))</f>
        <v/>
      </c>
      <c r="O977">
        <f>IFERROR(MATCH(SMALL(Firms!$Y$5:$Y$1004,969),Firms!$W$5:$W$1004,0),"")</f>
        <v/>
      </c>
    </row>
    <row r="978">
      <c r="B978" s="78">
        <f>IF($O978="","",INDEX(Firms!$A$5:$A$1004,$O978))</f>
        <v/>
      </c>
      <c r="C978" s="79">
        <f>IF($O978="","",INDEX(Firms!$N$5:$N$1004,$O978)&amp;"")</f>
        <v/>
      </c>
      <c r="D978" s="79">
        <f>IF($O978="","",INDEX(Firms!$P$5:$P$1004,$O978)&amp;"")</f>
        <v/>
      </c>
      <c r="E978" s="79">
        <f>IF($O978="","",INDEX(Firms!$O$5:$O$1004,$O978)&amp;"")</f>
        <v/>
      </c>
      <c r="F978" s="50">
        <f>IF($O978="","",IF(INDEX(Firms!$F$5:$F$1004,$O978)="","—",INDEX(Firms!$F$5:$F$1004,$O978)))</f>
        <v/>
      </c>
      <c r="G978" s="50">
        <f>IF($O978="","",IF(INDEX(Firms!$G$5:$G$1004,$O978)="","—",INDEX(Firms!$G$5:$G$1004,$O978)))</f>
        <v/>
      </c>
      <c r="H978" s="50">
        <f>IF($O978="","",IF(INDEX(Firms!$H$5:$H$1004,$O978)="","—",INDEX(Firms!$H$5:$H$1004,$O978)))</f>
        <v/>
      </c>
      <c r="I978" s="50">
        <f>IF($O978="","",IF(INDEX(Firms!$I$5:$I$1004,$O978)="","—",INDEX(Firms!$I$5:$I$1004,$O978)))</f>
        <v/>
      </c>
      <c r="J978" s="50">
        <f>IF($O978="","",IF(INDEX(Firms!$J$5:$J$1004,$O978)="","—",INDEX(Firms!$J$5:$J$1004,$O978)))</f>
        <v/>
      </c>
      <c r="K978" s="50">
        <f>IF($O978="","",IF(INDEX(Firms!$K$5:$K$1004,$O978)="","—",INDEX(Firms!$K$5:$K$1004,$O978)))</f>
        <v/>
      </c>
      <c r="L978" s="50">
        <f>IF($O978="","",IF(INDEX(Firms!$L$5:$L$1004,$O978)="","—",INDEX(Firms!$L$5:$L$1004,$O978)))</f>
        <v/>
      </c>
      <c r="M978" s="50">
        <f>IF($O978="","",IF(INDEX(Firms!$M$5:$M$1004,$O978)="","—",INDEX(Firms!$M$5:$M$1004,$O978)))</f>
        <v/>
      </c>
      <c r="O978">
        <f>IFERROR(MATCH(SMALL(Firms!$Y$5:$Y$1004,970),Firms!$W$5:$W$1004,0),"")</f>
        <v/>
      </c>
    </row>
    <row r="979">
      <c r="B979" s="78">
        <f>IF($O979="","",INDEX(Firms!$A$5:$A$1004,$O979))</f>
        <v/>
      </c>
      <c r="C979" s="79">
        <f>IF($O979="","",INDEX(Firms!$N$5:$N$1004,$O979)&amp;"")</f>
        <v/>
      </c>
      <c r="D979" s="79">
        <f>IF($O979="","",INDEX(Firms!$P$5:$P$1004,$O979)&amp;"")</f>
        <v/>
      </c>
      <c r="E979" s="79">
        <f>IF($O979="","",INDEX(Firms!$O$5:$O$1004,$O979)&amp;"")</f>
        <v/>
      </c>
      <c r="F979" s="50">
        <f>IF($O979="","",IF(INDEX(Firms!$F$5:$F$1004,$O979)="","—",INDEX(Firms!$F$5:$F$1004,$O979)))</f>
        <v/>
      </c>
      <c r="G979" s="50">
        <f>IF($O979="","",IF(INDEX(Firms!$G$5:$G$1004,$O979)="","—",INDEX(Firms!$G$5:$G$1004,$O979)))</f>
        <v/>
      </c>
      <c r="H979" s="50">
        <f>IF($O979="","",IF(INDEX(Firms!$H$5:$H$1004,$O979)="","—",INDEX(Firms!$H$5:$H$1004,$O979)))</f>
        <v/>
      </c>
      <c r="I979" s="50">
        <f>IF($O979="","",IF(INDEX(Firms!$I$5:$I$1004,$O979)="","—",INDEX(Firms!$I$5:$I$1004,$O979)))</f>
        <v/>
      </c>
      <c r="J979" s="50">
        <f>IF($O979="","",IF(INDEX(Firms!$J$5:$J$1004,$O979)="","—",INDEX(Firms!$J$5:$J$1004,$O979)))</f>
        <v/>
      </c>
      <c r="K979" s="50">
        <f>IF($O979="","",IF(INDEX(Firms!$K$5:$K$1004,$O979)="","—",INDEX(Firms!$K$5:$K$1004,$O979)))</f>
        <v/>
      </c>
      <c r="L979" s="50">
        <f>IF($O979="","",IF(INDEX(Firms!$L$5:$L$1004,$O979)="","—",INDEX(Firms!$L$5:$L$1004,$O979)))</f>
        <v/>
      </c>
      <c r="M979" s="50">
        <f>IF($O979="","",IF(INDEX(Firms!$M$5:$M$1004,$O979)="","—",INDEX(Firms!$M$5:$M$1004,$O979)))</f>
        <v/>
      </c>
      <c r="O979">
        <f>IFERROR(MATCH(SMALL(Firms!$Y$5:$Y$1004,971),Firms!$W$5:$W$1004,0),"")</f>
        <v/>
      </c>
    </row>
    <row r="980">
      <c r="B980" s="78">
        <f>IF($O980="","",INDEX(Firms!$A$5:$A$1004,$O980))</f>
        <v/>
      </c>
      <c r="C980" s="79">
        <f>IF($O980="","",INDEX(Firms!$N$5:$N$1004,$O980)&amp;"")</f>
        <v/>
      </c>
      <c r="D980" s="79">
        <f>IF($O980="","",INDEX(Firms!$P$5:$P$1004,$O980)&amp;"")</f>
        <v/>
      </c>
      <c r="E980" s="79">
        <f>IF($O980="","",INDEX(Firms!$O$5:$O$1004,$O980)&amp;"")</f>
        <v/>
      </c>
      <c r="F980" s="50">
        <f>IF($O980="","",IF(INDEX(Firms!$F$5:$F$1004,$O980)="","—",INDEX(Firms!$F$5:$F$1004,$O980)))</f>
        <v/>
      </c>
      <c r="G980" s="50">
        <f>IF($O980="","",IF(INDEX(Firms!$G$5:$G$1004,$O980)="","—",INDEX(Firms!$G$5:$G$1004,$O980)))</f>
        <v/>
      </c>
      <c r="H980" s="50">
        <f>IF($O980="","",IF(INDEX(Firms!$H$5:$H$1004,$O980)="","—",INDEX(Firms!$H$5:$H$1004,$O980)))</f>
        <v/>
      </c>
      <c r="I980" s="50">
        <f>IF($O980="","",IF(INDEX(Firms!$I$5:$I$1004,$O980)="","—",INDEX(Firms!$I$5:$I$1004,$O980)))</f>
        <v/>
      </c>
      <c r="J980" s="50">
        <f>IF($O980="","",IF(INDEX(Firms!$J$5:$J$1004,$O980)="","—",INDEX(Firms!$J$5:$J$1004,$O980)))</f>
        <v/>
      </c>
      <c r="K980" s="50">
        <f>IF($O980="","",IF(INDEX(Firms!$K$5:$K$1004,$O980)="","—",INDEX(Firms!$K$5:$K$1004,$O980)))</f>
        <v/>
      </c>
      <c r="L980" s="50">
        <f>IF($O980="","",IF(INDEX(Firms!$L$5:$L$1004,$O980)="","—",INDEX(Firms!$L$5:$L$1004,$O980)))</f>
        <v/>
      </c>
      <c r="M980" s="50">
        <f>IF($O980="","",IF(INDEX(Firms!$M$5:$M$1004,$O980)="","—",INDEX(Firms!$M$5:$M$1004,$O980)))</f>
        <v/>
      </c>
      <c r="O980">
        <f>IFERROR(MATCH(SMALL(Firms!$Y$5:$Y$1004,972),Firms!$W$5:$W$1004,0),"")</f>
        <v/>
      </c>
    </row>
    <row r="981">
      <c r="B981" s="78">
        <f>IF($O981="","",INDEX(Firms!$A$5:$A$1004,$O981))</f>
        <v/>
      </c>
      <c r="C981" s="79">
        <f>IF($O981="","",INDEX(Firms!$N$5:$N$1004,$O981)&amp;"")</f>
        <v/>
      </c>
      <c r="D981" s="79">
        <f>IF($O981="","",INDEX(Firms!$P$5:$P$1004,$O981)&amp;"")</f>
        <v/>
      </c>
      <c r="E981" s="79">
        <f>IF($O981="","",INDEX(Firms!$O$5:$O$1004,$O981)&amp;"")</f>
        <v/>
      </c>
      <c r="F981" s="50">
        <f>IF($O981="","",IF(INDEX(Firms!$F$5:$F$1004,$O981)="","—",INDEX(Firms!$F$5:$F$1004,$O981)))</f>
        <v/>
      </c>
      <c r="G981" s="50">
        <f>IF($O981="","",IF(INDEX(Firms!$G$5:$G$1004,$O981)="","—",INDEX(Firms!$G$5:$G$1004,$O981)))</f>
        <v/>
      </c>
      <c r="H981" s="50">
        <f>IF($O981="","",IF(INDEX(Firms!$H$5:$H$1004,$O981)="","—",INDEX(Firms!$H$5:$H$1004,$O981)))</f>
        <v/>
      </c>
      <c r="I981" s="50">
        <f>IF($O981="","",IF(INDEX(Firms!$I$5:$I$1004,$O981)="","—",INDEX(Firms!$I$5:$I$1004,$O981)))</f>
        <v/>
      </c>
      <c r="J981" s="50">
        <f>IF($O981="","",IF(INDEX(Firms!$J$5:$J$1004,$O981)="","—",INDEX(Firms!$J$5:$J$1004,$O981)))</f>
        <v/>
      </c>
      <c r="K981" s="50">
        <f>IF($O981="","",IF(INDEX(Firms!$K$5:$K$1004,$O981)="","—",INDEX(Firms!$K$5:$K$1004,$O981)))</f>
        <v/>
      </c>
      <c r="L981" s="50">
        <f>IF($O981="","",IF(INDEX(Firms!$L$5:$L$1004,$O981)="","—",INDEX(Firms!$L$5:$L$1004,$O981)))</f>
        <v/>
      </c>
      <c r="M981" s="50">
        <f>IF($O981="","",IF(INDEX(Firms!$M$5:$M$1004,$O981)="","—",INDEX(Firms!$M$5:$M$1004,$O981)))</f>
        <v/>
      </c>
      <c r="O981">
        <f>IFERROR(MATCH(SMALL(Firms!$Y$5:$Y$1004,973),Firms!$W$5:$W$1004,0),"")</f>
        <v/>
      </c>
    </row>
    <row r="982">
      <c r="B982" s="78">
        <f>IF($O982="","",INDEX(Firms!$A$5:$A$1004,$O982))</f>
        <v/>
      </c>
      <c r="C982" s="79">
        <f>IF($O982="","",INDEX(Firms!$N$5:$N$1004,$O982)&amp;"")</f>
        <v/>
      </c>
      <c r="D982" s="79">
        <f>IF($O982="","",INDEX(Firms!$P$5:$P$1004,$O982)&amp;"")</f>
        <v/>
      </c>
      <c r="E982" s="79">
        <f>IF($O982="","",INDEX(Firms!$O$5:$O$1004,$O982)&amp;"")</f>
        <v/>
      </c>
      <c r="F982" s="50">
        <f>IF($O982="","",IF(INDEX(Firms!$F$5:$F$1004,$O982)="","—",INDEX(Firms!$F$5:$F$1004,$O982)))</f>
        <v/>
      </c>
      <c r="G982" s="50">
        <f>IF($O982="","",IF(INDEX(Firms!$G$5:$G$1004,$O982)="","—",INDEX(Firms!$G$5:$G$1004,$O982)))</f>
        <v/>
      </c>
      <c r="H982" s="50">
        <f>IF($O982="","",IF(INDEX(Firms!$H$5:$H$1004,$O982)="","—",INDEX(Firms!$H$5:$H$1004,$O982)))</f>
        <v/>
      </c>
      <c r="I982" s="50">
        <f>IF($O982="","",IF(INDEX(Firms!$I$5:$I$1004,$O982)="","—",INDEX(Firms!$I$5:$I$1004,$O982)))</f>
        <v/>
      </c>
      <c r="J982" s="50">
        <f>IF($O982="","",IF(INDEX(Firms!$J$5:$J$1004,$O982)="","—",INDEX(Firms!$J$5:$J$1004,$O982)))</f>
        <v/>
      </c>
      <c r="K982" s="50">
        <f>IF($O982="","",IF(INDEX(Firms!$K$5:$K$1004,$O982)="","—",INDEX(Firms!$K$5:$K$1004,$O982)))</f>
        <v/>
      </c>
      <c r="L982" s="50">
        <f>IF($O982="","",IF(INDEX(Firms!$L$5:$L$1004,$O982)="","—",INDEX(Firms!$L$5:$L$1004,$O982)))</f>
        <v/>
      </c>
      <c r="M982" s="50">
        <f>IF($O982="","",IF(INDEX(Firms!$M$5:$M$1004,$O982)="","—",INDEX(Firms!$M$5:$M$1004,$O982)))</f>
        <v/>
      </c>
      <c r="O982">
        <f>IFERROR(MATCH(SMALL(Firms!$Y$5:$Y$1004,974),Firms!$W$5:$W$1004,0),"")</f>
        <v/>
      </c>
    </row>
    <row r="983">
      <c r="B983" s="78">
        <f>IF($O983="","",INDEX(Firms!$A$5:$A$1004,$O983))</f>
        <v/>
      </c>
      <c r="C983" s="79">
        <f>IF($O983="","",INDEX(Firms!$N$5:$N$1004,$O983)&amp;"")</f>
        <v/>
      </c>
      <c r="D983" s="79">
        <f>IF($O983="","",INDEX(Firms!$P$5:$P$1004,$O983)&amp;"")</f>
        <v/>
      </c>
      <c r="E983" s="79">
        <f>IF($O983="","",INDEX(Firms!$O$5:$O$1004,$O983)&amp;"")</f>
        <v/>
      </c>
      <c r="F983" s="50">
        <f>IF($O983="","",IF(INDEX(Firms!$F$5:$F$1004,$O983)="","—",INDEX(Firms!$F$5:$F$1004,$O983)))</f>
        <v/>
      </c>
      <c r="G983" s="50">
        <f>IF($O983="","",IF(INDEX(Firms!$G$5:$G$1004,$O983)="","—",INDEX(Firms!$G$5:$G$1004,$O983)))</f>
        <v/>
      </c>
      <c r="H983" s="50">
        <f>IF($O983="","",IF(INDEX(Firms!$H$5:$H$1004,$O983)="","—",INDEX(Firms!$H$5:$H$1004,$O983)))</f>
        <v/>
      </c>
      <c r="I983" s="50">
        <f>IF($O983="","",IF(INDEX(Firms!$I$5:$I$1004,$O983)="","—",INDEX(Firms!$I$5:$I$1004,$O983)))</f>
        <v/>
      </c>
      <c r="J983" s="50">
        <f>IF($O983="","",IF(INDEX(Firms!$J$5:$J$1004,$O983)="","—",INDEX(Firms!$J$5:$J$1004,$O983)))</f>
        <v/>
      </c>
      <c r="K983" s="50">
        <f>IF($O983="","",IF(INDEX(Firms!$K$5:$K$1004,$O983)="","—",INDEX(Firms!$K$5:$K$1004,$O983)))</f>
        <v/>
      </c>
      <c r="L983" s="50">
        <f>IF($O983="","",IF(INDEX(Firms!$L$5:$L$1004,$O983)="","—",INDEX(Firms!$L$5:$L$1004,$O983)))</f>
        <v/>
      </c>
      <c r="M983" s="50">
        <f>IF($O983="","",IF(INDEX(Firms!$M$5:$M$1004,$O983)="","—",INDEX(Firms!$M$5:$M$1004,$O983)))</f>
        <v/>
      </c>
      <c r="O983">
        <f>IFERROR(MATCH(SMALL(Firms!$Y$5:$Y$1004,975),Firms!$W$5:$W$1004,0),"")</f>
        <v/>
      </c>
    </row>
    <row r="984">
      <c r="B984" s="78">
        <f>IF($O984="","",INDEX(Firms!$A$5:$A$1004,$O984))</f>
        <v/>
      </c>
      <c r="C984" s="79">
        <f>IF($O984="","",INDEX(Firms!$N$5:$N$1004,$O984)&amp;"")</f>
        <v/>
      </c>
      <c r="D984" s="79">
        <f>IF($O984="","",INDEX(Firms!$P$5:$P$1004,$O984)&amp;"")</f>
        <v/>
      </c>
      <c r="E984" s="79">
        <f>IF($O984="","",INDEX(Firms!$O$5:$O$1004,$O984)&amp;"")</f>
        <v/>
      </c>
      <c r="F984" s="50">
        <f>IF($O984="","",IF(INDEX(Firms!$F$5:$F$1004,$O984)="","—",INDEX(Firms!$F$5:$F$1004,$O984)))</f>
        <v/>
      </c>
      <c r="G984" s="50">
        <f>IF($O984="","",IF(INDEX(Firms!$G$5:$G$1004,$O984)="","—",INDEX(Firms!$G$5:$G$1004,$O984)))</f>
        <v/>
      </c>
      <c r="H984" s="50">
        <f>IF($O984="","",IF(INDEX(Firms!$H$5:$H$1004,$O984)="","—",INDEX(Firms!$H$5:$H$1004,$O984)))</f>
        <v/>
      </c>
      <c r="I984" s="50">
        <f>IF($O984="","",IF(INDEX(Firms!$I$5:$I$1004,$O984)="","—",INDEX(Firms!$I$5:$I$1004,$O984)))</f>
        <v/>
      </c>
      <c r="J984" s="50">
        <f>IF($O984="","",IF(INDEX(Firms!$J$5:$J$1004,$O984)="","—",INDEX(Firms!$J$5:$J$1004,$O984)))</f>
        <v/>
      </c>
      <c r="K984" s="50">
        <f>IF($O984="","",IF(INDEX(Firms!$K$5:$K$1004,$O984)="","—",INDEX(Firms!$K$5:$K$1004,$O984)))</f>
        <v/>
      </c>
      <c r="L984" s="50">
        <f>IF($O984="","",IF(INDEX(Firms!$L$5:$L$1004,$O984)="","—",INDEX(Firms!$L$5:$L$1004,$O984)))</f>
        <v/>
      </c>
      <c r="M984" s="50">
        <f>IF($O984="","",IF(INDEX(Firms!$M$5:$M$1004,$O984)="","—",INDEX(Firms!$M$5:$M$1004,$O984)))</f>
        <v/>
      </c>
      <c r="O984">
        <f>IFERROR(MATCH(SMALL(Firms!$Y$5:$Y$1004,976),Firms!$W$5:$W$1004,0),"")</f>
        <v/>
      </c>
    </row>
    <row r="985">
      <c r="B985" s="78">
        <f>IF($O985="","",INDEX(Firms!$A$5:$A$1004,$O985))</f>
        <v/>
      </c>
      <c r="C985" s="79">
        <f>IF($O985="","",INDEX(Firms!$N$5:$N$1004,$O985)&amp;"")</f>
        <v/>
      </c>
      <c r="D985" s="79">
        <f>IF($O985="","",INDEX(Firms!$P$5:$P$1004,$O985)&amp;"")</f>
        <v/>
      </c>
      <c r="E985" s="79">
        <f>IF($O985="","",INDEX(Firms!$O$5:$O$1004,$O985)&amp;"")</f>
        <v/>
      </c>
      <c r="F985" s="50">
        <f>IF($O985="","",IF(INDEX(Firms!$F$5:$F$1004,$O985)="","—",INDEX(Firms!$F$5:$F$1004,$O985)))</f>
        <v/>
      </c>
      <c r="G985" s="50">
        <f>IF($O985="","",IF(INDEX(Firms!$G$5:$G$1004,$O985)="","—",INDEX(Firms!$G$5:$G$1004,$O985)))</f>
        <v/>
      </c>
      <c r="H985" s="50">
        <f>IF($O985="","",IF(INDEX(Firms!$H$5:$H$1004,$O985)="","—",INDEX(Firms!$H$5:$H$1004,$O985)))</f>
        <v/>
      </c>
      <c r="I985" s="50">
        <f>IF($O985="","",IF(INDEX(Firms!$I$5:$I$1004,$O985)="","—",INDEX(Firms!$I$5:$I$1004,$O985)))</f>
        <v/>
      </c>
      <c r="J985" s="50">
        <f>IF($O985="","",IF(INDEX(Firms!$J$5:$J$1004,$O985)="","—",INDEX(Firms!$J$5:$J$1004,$O985)))</f>
        <v/>
      </c>
      <c r="K985" s="50">
        <f>IF($O985="","",IF(INDEX(Firms!$K$5:$K$1004,$O985)="","—",INDEX(Firms!$K$5:$K$1004,$O985)))</f>
        <v/>
      </c>
      <c r="L985" s="50">
        <f>IF($O985="","",IF(INDEX(Firms!$L$5:$L$1004,$O985)="","—",INDEX(Firms!$L$5:$L$1004,$O985)))</f>
        <v/>
      </c>
      <c r="M985" s="50">
        <f>IF($O985="","",IF(INDEX(Firms!$M$5:$M$1004,$O985)="","—",INDEX(Firms!$M$5:$M$1004,$O985)))</f>
        <v/>
      </c>
      <c r="O985">
        <f>IFERROR(MATCH(SMALL(Firms!$Y$5:$Y$1004,977),Firms!$W$5:$W$1004,0),"")</f>
        <v/>
      </c>
    </row>
    <row r="986">
      <c r="B986" s="78">
        <f>IF($O986="","",INDEX(Firms!$A$5:$A$1004,$O986))</f>
        <v/>
      </c>
      <c r="C986" s="79">
        <f>IF($O986="","",INDEX(Firms!$N$5:$N$1004,$O986)&amp;"")</f>
        <v/>
      </c>
      <c r="D986" s="79">
        <f>IF($O986="","",INDEX(Firms!$P$5:$P$1004,$O986)&amp;"")</f>
        <v/>
      </c>
      <c r="E986" s="79">
        <f>IF($O986="","",INDEX(Firms!$O$5:$O$1004,$O986)&amp;"")</f>
        <v/>
      </c>
      <c r="F986" s="50">
        <f>IF($O986="","",IF(INDEX(Firms!$F$5:$F$1004,$O986)="","—",INDEX(Firms!$F$5:$F$1004,$O986)))</f>
        <v/>
      </c>
      <c r="G986" s="50">
        <f>IF($O986="","",IF(INDEX(Firms!$G$5:$G$1004,$O986)="","—",INDEX(Firms!$G$5:$G$1004,$O986)))</f>
        <v/>
      </c>
      <c r="H986" s="50">
        <f>IF($O986="","",IF(INDEX(Firms!$H$5:$H$1004,$O986)="","—",INDEX(Firms!$H$5:$H$1004,$O986)))</f>
        <v/>
      </c>
      <c r="I986" s="50">
        <f>IF($O986="","",IF(INDEX(Firms!$I$5:$I$1004,$O986)="","—",INDEX(Firms!$I$5:$I$1004,$O986)))</f>
        <v/>
      </c>
      <c r="J986" s="50">
        <f>IF($O986="","",IF(INDEX(Firms!$J$5:$J$1004,$O986)="","—",INDEX(Firms!$J$5:$J$1004,$O986)))</f>
        <v/>
      </c>
      <c r="K986" s="50">
        <f>IF($O986="","",IF(INDEX(Firms!$K$5:$K$1004,$O986)="","—",INDEX(Firms!$K$5:$K$1004,$O986)))</f>
        <v/>
      </c>
      <c r="L986" s="50">
        <f>IF($O986="","",IF(INDEX(Firms!$L$5:$L$1004,$O986)="","—",INDEX(Firms!$L$5:$L$1004,$O986)))</f>
        <v/>
      </c>
      <c r="M986" s="50">
        <f>IF($O986="","",IF(INDEX(Firms!$M$5:$M$1004,$O986)="","—",INDEX(Firms!$M$5:$M$1004,$O986)))</f>
        <v/>
      </c>
      <c r="O986">
        <f>IFERROR(MATCH(SMALL(Firms!$Y$5:$Y$1004,978),Firms!$W$5:$W$1004,0),"")</f>
        <v/>
      </c>
    </row>
    <row r="987">
      <c r="B987" s="78">
        <f>IF($O987="","",INDEX(Firms!$A$5:$A$1004,$O987))</f>
        <v/>
      </c>
      <c r="C987" s="79">
        <f>IF($O987="","",INDEX(Firms!$N$5:$N$1004,$O987)&amp;"")</f>
        <v/>
      </c>
      <c r="D987" s="79">
        <f>IF($O987="","",INDEX(Firms!$P$5:$P$1004,$O987)&amp;"")</f>
        <v/>
      </c>
      <c r="E987" s="79">
        <f>IF($O987="","",INDEX(Firms!$O$5:$O$1004,$O987)&amp;"")</f>
        <v/>
      </c>
      <c r="F987" s="50">
        <f>IF($O987="","",IF(INDEX(Firms!$F$5:$F$1004,$O987)="","—",INDEX(Firms!$F$5:$F$1004,$O987)))</f>
        <v/>
      </c>
      <c r="G987" s="50">
        <f>IF($O987="","",IF(INDEX(Firms!$G$5:$G$1004,$O987)="","—",INDEX(Firms!$G$5:$G$1004,$O987)))</f>
        <v/>
      </c>
      <c r="H987" s="50">
        <f>IF($O987="","",IF(INDEX(Firms!$H$5:$H$1004,$O987)="","—",INDEX(Firms!$H$5:$H$1004,$O987)))</f>
        <v/>
      </c>
      <c r="I987" s="50">
        <f>IF($O987="","",IF(INDEX(Firms!$I$5:$I$1004,$O987)="","—",INDEX(Firms!$I$5:$I$1004,$O987)))</f>
        <v/>
      </c>
      <c r="J987" s="50">
        <f>IF($O987="","",IF(INDEX(Firms!$J$5:$J$1004,$O987)="","—",INDEX(Firms!$J$5:$J$1004,$O987)))</f>
        <v/>
      </c>
      <c r="K987" s="50">
        <f>IF($O987="","",IF(INDEX(Firms!$K$5:$K$1004,$O987)="","—",INDEX(Firms!$K$5:$K$1004,$O987)))</f>
        <v/>
      </c>
      <c r="L987" s="50">
        <f>IF($O987="","",IF(INDEX(Firms!$L$5:$L$1004,$O987)="","—",INDEX(Firms!$L$5:$L$1004,$O987)))</f>
        <v/>
      </c>
      <c r="M987" s="50">
        <f>IF($O987="","",IF(INDEX(Firms!$M$5:$M$1004,$O987)="","—",INDEX(Firms!$M$5:$M$1004,$O987)))</f>
        <v/>
      </c>
      <c r="O987">
        <f>IFERROR(MATCH(SMALL(Firms!$Y$5:$Y$1004,979),Firms!$W$5:$W$1004,0),"")</f>
        <v/>
      </c>
    </row>
    <row r="988">
      <c r="B988" s="78">
        <f>IF($O988="","",INDEX(Firms!$A$5:$A$1004,$O988))</f>
        <v/>
      </c>
      <c r="C988" s="79">
        <f>IF($O988="","",INDEX(Firms!$N$5:$N$1004,$O988)&amp;"")</f>
        <v/>
      </c>
      <c r="D988" s="79">
        <f>IF($O988="","",INDEX(Firms!$P$5:$P$1004,$O988)&amp;"")</f>
        <v/>
      </c>
      <c r="E988" s="79">
        <f>IF($O988="","",INDEX(Firms!$O$5:$O$1004,$O988)&amp;"")</f>
        <v/>
      </c>
      <c r="F988" s="50">
        <f>IF($O988="","",IF(INDEX(Firms!$F$5:$F$1004,$O988)="","—",INDEX(Firms!$F$5:$F$1004,$O988)))</f>
        <v/>
      </c>
      <c r="G988" s="50">
        <f>IF($O988="","",IF(INDEX(Firms!$G$5:$G$1004,$O988)="","—",INDEX(Firms!$G$5:$G$1004,$O988)))</f>
        <v/>
      </c>
      <c r="H988" s="50">
        <f>IF($O988="","",IF(INDEX(Firms!$H$5:$H$1004,$O988)="","—",INDEX(Firms!$H$5:$H$1004,$O988)))</f>
        <v/>
      </c>
      <c r="I988" s="50">
        <f>IF($O988="","",IF(INDEX(Firms!$I$5:$I$1004,$O988)="","—",INDEX(Firms!$I$5:$I$1004,$O988)))</f>
        <v/>
      </c>
      <c r="J988" s="50">
        <f>IF($O988="","",IF(INDEX(Firms!$J$5:$J$1004,$O988)="","—",INDEX(Firms!$J$5:$J$1004,$O988)))</f>
        <v/>
      </c>
      <c r="K988" s="50">
        <f>IF($O988="","",IF(INDEX(Firms!$K$5:$K$1004,$O988)="","—",INDEX(Firms!$K$5:$K$1004,$O988)))</f>
        <v/>
      </c>
      <c r="L988" s="50">
        <f>IF($O988="","",IF(INDEX(Firms!$L$5:$L$1004,$O988)="","—",INDEX(Firms!$L$5:$L$1004,$O988)))</f>
        <v/>
      </c>
      <c r="M988" s="50">
        <f>IF($O988="","",IF(INDEX(Firms!$M$5:$M$1004,$O988)="","—",INDEX(Firms!$M$5:$M$1004,$O988)))</f>
        <v/>
      </c>
      <c r="O988">
        <f>IFERROR(MATCH(SMALL(Firms!$Y$5:$Y$1004,980),Firms!$W$5:$W$1004,0),"")</f>
        <v/>
      </c>
    </row>
    <row r="989">
      <c r="B989" s="78">
        <f>IF($O989="","",INDEX(Firms!$A$5:$A$1004,$O989))</f>
        <v/>
      </c>
      <c r="C989" s="79">
        <f>IF($O989="","",INDEX(Firms!$N$5:$N$1004,$O989)&amp;"")</f>
        <v/>
      </c>
      <c r="D989" s="79">
        <f>IF($O989="","",INDEX(Firms!$P$5:$P$1004,$O989)&amp;"")</f>
        <v/>
      </c>
      <c r="E989" s="79">
        <f>IF($O989="","",INDEX(Firms!$O$5:$O$1004,$O989)&amp;"")</f>
        <v/>
      </c>
      <c r="F989" s="50">
        <f>IF($O989="","",IF(INDEX(Firms!$F$5:$F$1004,$O989)="","—",INDEX(Firms!$F$5:$F$1004,$O989)))</f>
        <v/>
      </c>
      <c r="G989" s="50">
        <f>IF($O989="","",IF(INDEX(Firms!$G$5:$G$1004,$O989)="","—",INDEX(Firms!$G$5:$G$1004,$O989)))</f>
        <v/>
      </c>
      <c r="H989" s="50">
        <f>IF($O989="","",IF(INDEX(Firms!$H$5:$H$1004,$O989)="","—",INDEX(Firms!$H$5:$H$1004,$O989)))</f>
        <v/>
      </c>
      <c r="I989" s="50">
        <f>IF($O989="","",IF(INDEX(Firms!$I$5:$I$1004,$O989)="","—",INDEX(Firms!$I$5:$I$1004,$O989)))</f>
        <v/>
      </c>
      <c r="J989" s="50">
        <f>IF($O989="","",IF(INDEX(Firms!$J$5:$J$1004,$O989)="","—",INDEX(Firms!$J$5:$J$1004,$O989)))</f>
        <v/>
      </c>
      <c r="K989" s="50">
        <f>IF($O989="","",IF(INDEX(Firms!$K$5:$K$1004,$O989)="","—",INDEX(Firms!$K$5:$K$1004,$O989)))</f>
        <v/>
      </c>
      <c r="L989" s="50">
        <f>IF($O989="","",IF(INDEX(Firms!$L$5:$L$1004,$O989)="","—",INDEX(Firms!$L$5:$L$1004,$O989)))</f>
        <v/>
      </c>
      <c r="M989" s="50">
        <f>IF($O989="","",IF(INDEX(Firms!$M$5:$M$1004,$O989)="","—",INDEX(Firms!$M$5:$M$1004,$O989)))</f>
        <v/>
      </c>
      <c r="O989">
        <f>IFERROR(MATCH(SMALL(Firms!$Y$5:$Y$1004,981),Firms!$W$5:$W$1004,0),"")</f>
        <v/>
      </c>
    </row>
    <row r="990">
      <c r="B990" s="78">
        <f>IF($O990="","",INDEX(Firms!$A$5:$A$1004,$O990))</f>
        <v/>
      </c>
      <c r="C990" s="79">
        <f>IF($O990="","",INDEX(Firms!$N$5:$N$1004,$O990)&amp;"")</f>
        <v/>
      </c>
      <c r="D990" s="79">
        <f>IF($O990="","",INDEX(Firms!$P$5:$P$1004,$O990)&amp;"")</f>
        <v/>
      </c>
      <c r="E990" s="79">
        <f>IF($O990="","",INDEX(Firms!$O$5:$O$1004,$O990)&amp;"")</f>
        <v/>
      </c>
      <c r="F990" s="50">
        <f>IF($O990="","",IF(INDEX(Firms!$F$5:$F$1004,$O990)="","—",INDEX(Firms!$F$5:$F$1004,$O990)))</f>
        <v/>
      </c>
      <c r="G990" s="50">
        <f>IF($O990="","",IF(INDEX(Firms!$G$5:$G$1004,$O990)="","—",INDEX(Firms!$G$5:$G$1004,$O990)))</f>
        <v/>
      </c>
      <c r="H990" s="50">
        <f>IF($O990="","",IF(INDEX(Firms!$H$5:$H$1004,$O990)="","—",INDEX(Firms!$H$5:$H$1004,$O990)))</f>
        <v/>
      </c>
      <c r="I990" s="50">
        <f>IF($O990="","",IF(INDEX(Firms!$I$5:$I$1004,$O990)="","—",INDEX(Firms!$I$5:$I$1004,$O990)))</f>
        <v/>
      </c>
      <c r="J990" s="50">
        <f>IF($O990="","",IF(INDEX(Firms!$J$5:$J$1004,$O990)="","—",INDEX(Firms!$J$5:$J$1004,$O990)))</f>
        <v/>
      </c>
      <c r="K990" s="50">
        <f>IF($O990="","",IF(INDEX(Firms!$K$5:$K$1004,$O990)="","—",INDEX(Firms!$K$5:$K$1004,$O990)))</f>
        <v/>
      </c>
      <c r="L990" s="50">
        <f>IF($O990="","",IF(INDEX(Firms!$L$5:$L$1004,$O990)="","—",INDEX(Firms!$L$5:$L$1004,$O990)))</f>
        <v/>
      </c>
      <c r="M990" s="50">
        <f>IF($O990="","",IF(INDEX(Firms!$M$5:$M$1004,$O990)="","—",INDEX(Firms!$M$5:$M$1004,$O990)))</f>
        <v/>
      </c>
      <c r="O990">
        <f>IFERROR(MATCH(SMALL(Firms!$Y$5:$Y$1004,982),Firms!$W$5:$W$1004,0),"")</f>
        <v/>
      </c>
    </row>
    <row r="991">
      <c r="B991" s="78">
        <f>IF($O991="","",INDEX(Firms!$A$5:$A$1004,$O991))</f>
        <v/>
      </c>
      <c r="C991" s="79">
        <f>IF($O991="","",INDEX(Firms!$N$5:$N$1004,$O991)&amp;"")</f>
        <v/>
      </c>
      <c r="D991" s="79">
        <f>IF($O991="","",INDEX(Firms!$P$5:$P$1004,$O991)&amp;"")</f>
        <v/>
      </c>
      <c r="E991" s="79">
        <f>IF($O991="","",INDEX(Firms!$O$5:$O$1004,$O991)&amp;"")</f>
        <v/>
      </c>
      <c r="F991" s="50">
        <f>IF($O991="","",IF(INDEX(Firms!$F$5:$F$1004,$O991)="","—",INDEX(Firms!$F$5:$F$1004,$O991)))</f>
        <v/>
      </c>
      <c r="G991" s="50">
        <f>IF($O991="","",IF(INDEX(Firms!$G$5:$G$1004,$O991)="","—",INDEX(Firms!$G$5:$G$1004,$O991)))</f>
        <v/>
      </c>
      <c r="H991" s="50">
        <f>IF($O991="","",IF(INDEX(Firms!$H$5:$H$1004,$O991)="","—",INDEX(Firms!$H$5:$H$1004,$O991)))</f>
        <v/>
      </c>
      <c r="I991" s="50">
        <f>IF($O991="","",IF(INDEX(Firms!$I$5:$I$1004,$O991)="","—",INDEX(Firms!$I$5:$I$1004,$O991)))</f>
        <v/>
      </c>
      <c r="J991" s="50">
        <f>IF($O991="","",IF(INDEX(Firms!$J$5:$J$1004,$O991)="","—",INDEX(Firms!$J$5:$J$1004,$O991)))</f>
        <v/>
      </c>
      <c r="K991" s="50">
        <f>IF($O991="","",IF(INDEX(Firms!$K$5:$K$1004,$O991)="","—",INDEX(Firms!$K$5:$K$1004,$O991)))</f>
        <v/>
      </c>
      <c r="L991" s="50">
        <f>IF($O991="","",IF(INDEX(Firms!$L$5:$L$1004,$O991)="","—",INDEX(Firms!$L$5:$L$1004,$O991)))</f>
        <v/>
      </c>
      <c r="M991" s="50">
        <f>IF($O991="","",IF(INDEX(Firms!$M$5:$M$1004,$O991)="","—",INDEX(Firms!$M$5:$M$1004,$O991)))</f>
        <v/>
      </c>
      <c r="O991">
        <f>IFERROR(MATCH(SMALL(Firms!$Y$5:$Y$1004,983),Firms!$W$5:$W$1004,0),"")</f>
        <v/>
      </c>
    </row>
    <row r="992">
      <c r="B992" s="78">
        <f>IF($O992="","",INDEX(Firms!$A$5:$A$1004,$O992))</f>
        <v/>
      </c>
      <c r="C992" s="79">
        <f>IF($O992="","",INDEX(Firms!$N$5:$N$1004,$O992)&amp;"")</f>
        <v/>
      </c>
      <c r="D992" s="79">
        <f>IF($O992="","",INDEX(Firms!$P$5:$P$1004,$O992)&amp;"")</f>
        <v/>
      </c>
      <c r="E992" s="79">
        <f>IF($O992="","",INDEX(Firms!$O$5:$O$1004,$O992)&amp;"")</f>
        <v/>
      </c>
      <c r="F992" s="50">
        <f>IF($O992="","",IF(INDEX(Firms!$F$5:$F$1004,$O992)="","—",INDEX(Firms!$F$5:$F$1004,$O992)))</f>
        <v/>
      </c>
      <c r="G992" s="50">
        <f>IF($O992="","",IF(INDEX(Firms!$G$5:$G$1004,$O992)="","—",INDEX(Firms!$G$5:$G$1004,$O992)))</f>
        <v/>
      </c>
      <c r="H992" s="50">
        <f>IF($O992="","",IF(INDEX(Firms!$H$5:$H$1004,$O992)="","—",INDEX(Firms!$H$5:$H$1004,$O992)))</f>
        <v/>
      </c>
      <c r="I992" s="50">
        <f>IF($O992="","",IF(INDEX(Firms!$I$5:$I$1004,$O992)="","—",INDEX(Firms!$I$5:$I$1004,$O992)))</f>
        <v/>
      </c>
      <c r="J992" s="50">
        <f>IF($O992="","",IF(INDEX(Firms!$J$5:$J$1004,$O992)="","—",INDEX(Firms!$J$5:$J$1004,$O992)))</f>
        <v/>
      </c>
      <c r="K992" s="50">
        <f>IF($O992="","",IF(INDEX(Firms!$K$5:$K$1004,$O992)="","—",INDEX(Firms!$K$5:$K$1004,$O992)))</f>
        <v/>
      </c>
      <c r="L992" s="50">
        <f>IF($O992="","",IF(INDEX(Firms!$L$5:$L$1004,$O992)="","—",INDEX(Firms!$L$5:$L$1004,$O992)))</f>
        <v/>
      </c>
      <c r="M992" s="50">
        <f>IF($O992="","",IF(INDEX(Firms!$M$5:$M$1004,$O992)="","—",INDEX(Firms!$M$5:$M$1004,$O992)))</f>
        <v/>
      </c>
      <c r="O992">
        <f>IFERROR(MATCH(SMALL(Firms!$Y$5:$Y$1004,984),Firms!$W$5:$W$1004,0),"")</f>
        <v/>
      </c>
    </row>
    <row r="993">
      <c r="B993" s="78">
        <f>IF($O993="","",INDEX(Firms!$A$5:$A$1004,$O993))</f>
        <v/>
      </c>
      <c r="C993" s="79">
        <f>IF($O993="","",INDEX(Firms!$N$5:$N$1004,$O993)&amp;"")</f>
        <v/>
      </c>
      <c r="D993" s="79">
        <f>IF($O993="","",INDEX(Firms!$P$5:$P$1004,$O993)&amp;"")</f>
        <v/>
      </c>
      <c r="E993" s="79">
        <f>IF($O993="","",INDEX(Firms!$O$5:$O$1004,$O993)&amp;"")</f>
        <v/>
      </c>
      <c r="F993" s="50">
        <f>IF($O993="","",IF(INDEX(Firms!$F$5:$F$1004,$O993)="","—",INDEX(Firms!$F$5:$F$1004,$O993)))</f>
        <v/>
      </c>
      <c r="G993" s="50">
        <f>IF($O993="","",IF(INDEX(Firms!$G$5:$G$1004,$O993)="","—",INDEX(Firms!$G$5:$G$1004,$O993)))</f>
        <v/>
      </c>
      <c r="H993" s="50">
        <f>IF($O993="","",IF(INDEX(Firms!$H$5:$H$1004,$O993)="","—",INDEX(Firms!$H$5:$H$1004,$O993)))</f>
        <v/>
      </c>
      <c r="I993" s="50">
        <f>IF($O993="","",IF(INDEX(Firms!$I$5:$I$1004,$O993)="","—",INDEX(Firms!$I$5:$I$1004,$O993)))</f>
        <v/>
      </c>
      <c r="J993" s="50">
        <f>IF($O993="","",IF(INDEX(Firms!$J$5:$J$1004,$O993)="","—",INDEX(Firms!$J$5:$J$1004,$O993)))</f>
        <v/>
      </c>
      <c r="K993" s="50">
        <f>IF($O993="","",IF(INDEX(Firms!$K$5:$K$1004,$O993)="","—",INDEX(Firms!$K$5:$K$1004,$O993)))</f>
        <v/>
      </c>
      <c r="L993" s="50">
        <f>IF($O993="","",IF(INDEX(Firms!$L$5:$L$1004,$O993)="","—",INDEX(Firms!$L$5:$L$1004,$O993)))</f>
        <v/>
      </c>
      <c r="M993" s="50">
        <f>IF($O993="","",IF(INDEX(Firms!$M$5:$M$1004,$O993)="","—",INDEX(Firms!$M$5:$M$1004,$O993)))</f>
        <v/>
      </c>
      <c r="O993">
        <f>IFERROR(MATCH(SMALL(Firms!$Y$5:$Y$1004,985),Firms!$W$5:$W$1004,0),"")</f>
        <v/>
      </c>
    </row>
    <row r="994">
      <c r="B994" s="78">
        <f>IF($O994="","",INDEX(Firms!$A$5:$A$1004,$O994))</f>
        <v/>
      </c>
      <c r="C994" s="79">
        <f>IF($O994="","",INDEX(Firms!$N$5:$N$1004,$O994)&amp;"")</f>
        <v/>
      </c>
      <c r="D994" s="79">
        <f>IF($O994="","",INDEX(Firms!$P$5:$P$1004,$O994)&amp;"")</f>
        <v/>
      </c>
      <c r="E994" s="79">
        <f>IF($O994="","",INDEX(Firms!$O$5:$O$1004,$O994)&amp;"")</f>
        <v/>
      </c>
      <c r="F994" s="50">
        <f>IF($O994="","",IF(INDEX(Firms!$F$5:$F$1004,$O994)="","—",INDEX(Firms!$F$5:$F$1004,$O994)))</f>
        <v/>
      </c>
      <c r="G994" s="50">
        <f>IF($O994="","",IF(INDEX(Firms!$G$5:$G$1004,$O994)="","—",INDEX(Firms!$G$5:$G$1004,$O994)))</f>
        <v/>
      </c>
      <c r="H994" s="50">
        <f>IF($O994="","",IF(INDEX(Firms!$H$5:$H$1004,$O994)="","—",INDEX(Firms!$H$5:$H$1004,$O994)))</f>
        <v/>
      </c>
      <c r="I994" s="50">
        <f>IF($O994="","",IF(INDEX(Firms!$I$5:$I$1004,$O994)="","—",INDEX(Firms!$I$5:$I$1004,$O994)))</f>
        <v/>
      </c>
      <c r="J994" s="50">
        <f>IF($O994="","",IF(INDEX(Firms!$J$5:$J$1004,$O994)="","—",INDEX(Firms!$J$5:$J$1004,$O994)))</f>
        <v/>
      </c>
      <c r="K994" s="50">
        <f>IF($O994="","",IF(INDEX(Firms!$K$5:$K$1004,$O994)="","—",INDEX(Firms!$K$5:$K$1004,$O994)))</f>
        <v/>
      </c>
      <c r="L994" s="50">
        <f>IF($O994="","",IF(INDEX(Firms!$L$5:$L$1004,$O994)="","—",INDEX(Firms!$L$5:$L$1004,$O994)))</f>
        <v/>
      </c>
      <c r="M994" s="50">
        <f>IF($O994="","",IF(INDEX(Firms!$M$5:$M$1004,$O994)="","—",INDEX(Firms!$M$5:$M$1004,$O994)))</f>
        <v/>
      </c>
      <c r="O994">
        <f>IFERROR(MATCH(SMALL(Firms!$Y$5:$Y$1004,986),Firms!$W$5:$W$1004,0),"")</f>
        <v/>
      </c>
    </row>
    <row r="995">
      <c r="B995" s="78">
        <f>IF($O995="","",INDEX(Firms!$A$5:$A$1004,$O995))</f>
        <v/>
      </c>
      <c r="C995" s="79">
        <f>IF($O995="","",INDEX(Firms!$N$5:$N$1004,$O995)&amp;"")</f>
        <v/>
      </c>
      <c r="D995" s="79">
        <f>IF($O995="","",INDEX(Firms!$P$5:$P$1004,$O995)&amp;"")</f>
        <v/>
      </c>
      <c r="E995" s="79">
        <f>IF($O995="","",INDEX(Firms!$O$5:$O$1004,$O995)&amp;"")</f>
        <v/>
      </c>
      <c r="F995" s="50">
        <f>IF($O995="","",IF(INDEX(Firms!$F$5:$F$1004,$O995)="","—",INDEX(Firms!$F$5:$F$1004,$O995)))</f>
        <v/>
      </c>
      <c r="G995" s="50">
        <f>IF($O995="","",IF(INDEX(Firms!$G$5:$G$1004,$O995)="","—",INDEX(Firms!$G$5:$G$1004,$O995)))</f>
        <v/>
      </c>
      <c r="H995" s="50">
        <f>IF($O995="","",IF(INDEX(Firms!$H$5:$H$1004,$O995)="","—",INDEX(Firms!$H$5:$H$1004,$O995)))</f>
        <v/>
      </c>
      <c r="I995" s="50">
        <f>IF($O995="","",IF(INDEX(Firms!$I$5:$I$1004,$O995)="","—",INDEX(Firms!$I$5:$I$1004,$O995)))</f>
        <v/>
      </c>
      <c r="J995" s="50">
        <f>IF($O995="","",IF(INDEX(Firms!$J$5:$J$1004,$O995)="","—",INDEX(Firms!$J$5:$J$1004,$O995)))</f>
        <v/>
      </c>
      <c r="K995" s="50">
        <f>IF($O995="","",IF(INDEX(Firms!$K$5:$K$1004,$O995)="","—",INDEX(Firms!$K$5:$K$1004,$O995)))</f>
        <v/>
      </c>
      <c r="L995" s="50">
        <f>IF($O995="","",IF(INDEX(Firms!$L$5:$L$1004,$O995)="","—",INDEX(Firms!$L$5:$L$1004,$O995)))</f>
        <v/>
      </c>
      <c r="M995" s="50">
        <f>IF($O995="","",IF(INDEX(Firms!$M$5:$M$1004,$O995)="","—",INDEX(Firms!$M$5:$M$1004,$O995)))</f>
        <v/>
      </c>
      <c r="O995">
        <f>IFERROR(MATCH(SMALL(Firms!$Y$5:$Y$1004,987),Firms!$W$5:$W$1004,0),"")</f>
        <v/>
      </c>
    </row>
    <row r="996">
      <c r="B996" s="78">
        <f>IF($O996="","",INDEX(Firms!$A$5:$A$1004,$O996))</f>
        <v/>
      </c>
      <c r="C996" s="79">
        <f>IF($O996="","",INDEX(Firms!$N$5:$N$1004,$O996)&amp;"")</f>
        <v/>
      </c>
      <c r="D996" s="79">
        <f>IF($O996="","",INDEX(Firms!$P$5:$P$1004,$O996)&amp;"")</f>
        <v/>
      </c>
      <c r="E996" s="79">
        <f>IF($O996="","",INDEX(Firms!$O$5:$O$1004,$O996)&amp;"")</f>
        <v/>
      </c>
      <c r="F996" s="50">
        <f>IF($O996="","",IF(INDEX(Firms!$F$5:$F$1004,$O996)="","—",INDEX(Firms!$F$5:$F$1004,$O996)))</f>
        <v/>
      </c>
      <c r="G996" s="50">
        <f>IF($O996="","",IF(INDEX(Firms!$G$5:$G$1004,$O996)="","—",INDEX(Firms!$G$5:$G$1004,$O996)))</f>
        <v/>
      </c>
      <c r="H996" s="50">
        <f>IF($O996="","",IF(INDEX(Firms!$H$5:$H$1004,$O996)="","—",INDEX(Firms!$H$5:$H$1004,$O996)))</f>
        <v/>
      </c>
      <c r="I996" s="50">
        <f>IF($O996="","",IF(INDEX(Firms!$I$5:$I$1004,$O996)="","—",INDEX(Firms!$I$5:$I$1004,$O996)))</f>
        <v/>
      </c>
      <c r="J996" s="50">
        <f>IF($O996="","",IF(INDEX(Firms!$J$5:$J$1004,$O996)="","—",INDEX(Firms!$J$5:$J$1004,$O996)))</f>
        <v/>
      </c>
      <c r="K996" s="50">
        <f>IF($O996="","",IF(INDEX(Firms!$K$5:$K$1004,$O996)="","—",INDEX(Firms!$K$5:$K$1004,$O996)))</f>
        <v/>
      </c>
      <c r="L996" s="50">
        <f>IF($O996="","",IF(INDEX(Firms!$L$5:$L$1004,$O996)="","—",INDEX(Firms!$L$5:$L$1004,$O996)))</f>
        <v/>
      </c>
      <c r="M996" s="50">
        <f>IF($O996="","",IF(INDEX(Firms!$M$5:$M$1004,$O996)="","—",INDEX(Firms!$M$5:$M$1004,$O996)))</f>
        <v/>
      </c>
      <c r="O996">
        <f>IFERROR(MATCH(SMALL(Firms!$Y$5:$Y$1004,988),Firms!$W$5:$W$1004,0),"")</f>
        <v/>
      </c>
    </row>
    <row r="997">
      <c r="B997" s="78">
        <f>IF($O997="","",INDEX(Firms!$A$5:$A$1004,$O997))</f>
        <v/>
      </c>
      <c r="C997" s="79">
        <f>IF($O997="","",INDEX(Firms!$N$5:$N$1004,$O997)&amp;"")</f>
        <v/>
      </c>
      <c r="D997" s="79">
        <f>IF($O997="","",INDEX(Firms!$P$5:$P$1004,$O997)&amp;"")</f>
        <v/>
      </c>
      <c r="E997" s="79">
        <f>IF($O997="","",INDEX(Firms!$O$5:$O$1004,$O997)&amp;"")</f>
        <v/>
      </c>
      <c r="F997" s="50">
        <f>IF($O997="","",IF(INDEX(Firms!$F$5:$F$1004,$O997)="","—",INDEX(Firms!$F$5:$F$1004,$O997)))</f>
        <v/>
      </c>
      <c r="G997" s="50">
        <f>IF($O997="","",IF(INDEX(Firms!$G$5:$G$1004,$O997)="","—",INDEX(Firms!$G$5:$G$1004,$O997)))</f>
        <v/>
      </c>
      <c r="H997" s="50">
        <f>IF($O997="","",IF(INDEX(Firms!$H$5:$H$1004,$O997)="","—",INDEX(Firms!$H$5:$H$1004,$O997)))</f>
        <v/>
      </c>
      <c r="I997" s="50">
        <f>IF($O997="","",IF(INDEX(Firms!$I$5:$I$1004,$O997)="","—",INDEX(Firms!$I$5:$I$1004,$O997)))</f>
        <v/>
      </c>
      <c r="J997" s="50">
        <f>IF($O997="","",IF(INDEX(Firms!$J$5:$J$1004,$O997)="","—",INDEX(Firms!$J$5:$J$1004,$O997)))</f>
        <v/>
      </c>
      <c r="K997" s="50">
        <f>IF($O997="","",IF(INDEX(Firms!$K$5:$K$1004,$O997)="","—",INDEX(Firms!$K$5:$K$1004,$O997)))</f>
        <v/>
      </c>
      <c r="L997" s="50">
        <f>IF($O997="","",IF(INDEX(Firms!$L$5:$L$1004,$O997)="","—",INDEX(Firms!$L$5:$L$1004,$O997)))</f>
        <v/>
      </c>
      <c r="M997" s="50">
        <f>IF($O997="","",IF(INDEX(Firms!$M$5:$M$1004,$O997)="","—",INDEX(Firms!$M$5:$M$1004,$O997)))</f>
        <v/>
      </c>
      <c r="O997">
        <f>IFERROR(MATCH(SMALL(Firms!$Y$5:$Y$1004,989),Firms!$W$5:$W$1004,0),"")</f>
        <v/>
      </c>
    </row>
    <row r="998">
      <c r="B998" s="78">
        <f>IF($O998="","",INDEX(Firms!$A$5:$A$1004,$O998))</f>
        <v/>
      </c>
      <c r="C998" s="79">
        <f>IF($O998="","",INDEX(Firms!$N$5:$N$1004,$O998)&amp;"")</f>
        <v/>
      </c>
      <c r="D998" s="79">
        <f>IF($O998="","",INDEX(Firms!$P$5:$P$1004,$O998)&amp;"")</f>
        <v/>
      </c>
      <c r="E998" s="79">
        <f>IF($O998="","",INDEX(Firms!$O$5:$O$1004,$O998)&amp;"")</f>
        <v/>
      </c>
      <c r="F998" s="50">
        <f>IF($O998="","",IF(INDEX(Firms!$F$5:$F$1004,$O998)="","—",INDEX(Firms!$F$5:$F$1004,$O998)))</f>
        <v/>
      </c>
      <c r="G998" s="50">
        <f>IF($O998="","",IF(INDEX(Firms!$G$5:$G$1004,$O998)="","—",INDEX(Firms!$G$5:$G$1004,$O998)))</f>
        <v/>
      </c>
      <c r="H998" s="50">
        <f>IF($O998="","",IF(INDEX(Firms!$H$5:$H$1004,$O998)="","—",INDEX(Firms!$H$5:$H$1004,$O998)))</f>
        <v/>
      </c>
      <c r="I998" s="50">
        <f>IF($O998="","",IF(INDEX(Firms!$I$5:$I$1004,$O998)="","—",INDEX(Firms!$I$5:$I$1004,$O998)))</f>
        <v/>
      </c>
      <c r="J998" s="50">
        <f>IF($O998="","",IF(INDEX(Firms!$J$5:$J$1004,$O998)="","—",INDEX(Firms!$J$5:$J$1004,$O998)))</f>
        <v/>
      </c>
      <c r="K998" s="50">
        <f>IF($O998="","",IF(INDEX(Firms!$K$5:$K$1004,$O998)="","—",INDEX(Firms!$K$5:$K$1004,$O998)))</f>
        <v/>
      </c>
      <c r="L998" s="50">
        <f>IF($O998="","",IF(INDEX(Firms!$L$5:$L$1004,$O998)="","—",INDEX(Firms!$L$5:$L$1004,$O998)))</f>
        <v/>
      </c>
      <c r="M998" s="50">
        <f>IF($O998="","",IF(INDEX(Firms!$M$5:$M$1004,$O998)="","—",INDEX(Firms!$M$5:$M$1004,$O998)))</f>
        <v/>
      </c>
      <c r="O998">
        <f>IFERROR(MATCH(SMALL(Firms!$Y$5:$Y$1004,990),Firms!$W$5:$W$1004,0),"")</f>
        <v/>
      </c>
    </row>
    <row r="999">
      <c r="B999" s="78">
        <f>IF($O999="","",INDEX(Firms!$A$5:$A$1004,$O999))</f>
        <v/>
      </c>
      <c r="C999" s="79">
        <f>IF($O999="","",INDEX(Firms!$N$5:$N$1004,$O999)&amp;"")</f>
        <v/>
      </c>
      <c r="D999" s="79">
        <f>IF($O999="","",INDEX(Firms!$P$5:$P$1004,$O999)&amp;"")</f>
        <v/>
      </c>
      <c r="E999" s="79">
        <f>IF($O999="","",INDEX(Firms!$O$5:$O$1004,$O999)&amp;"")</f>
        <v/>
      </c>
      <c r="F999" s="50">
        <f>IF($O999="","",IF(INDEX(Firms!$F$5:$F$1004,$O999)="","—",INDEX(Firms!$F$5:$F$1004,$O999)))</f>
        <v/>
      </c>
      <c r="G999" s="50">
        <f>IF($O999="","",IF(INDEX(Firms!$G$5:$G$1004,$O999)="","—",INDEX(Firms!$G$5:$G$1004,$O999)))</f>
        <v/>
      </c>
      <c r="H999" s="50">
        <f>IF($O999="","",IF(INDEX(Firms!$H$5:$H$1004,$O999)="","—",INDEX(Firms!$H$5:$H$1004,$O999)))</f>
        <v/>
      </c>
      <c r="I999" s="50">
        <f>IF($O999="","",IF(INDEX(Firms!$I$5:$I$1004,$O999)="","—",INDEX(Firms!$I$5:$I$1004,$O999)))</f>
        <v/>
      </c>
      <c r="J999" s="50">
        <f>IF($O999="","",IF(INDEX(Firms!$J$5:$J$1004,$O999)="","—",INDEX(Firms!$J$5:$J$1004,$O999)))</f>
        <v/>
      </c>
      <c r="K999" s="50">
        <f>IF($O999="","",IF(INDEX(Firms!$K$5:$K$1004,$O999)="","—",INDEX(Firms!$K$5:$K$1004,$O999)))</f>
        <v/>
      </c>
      <c r="L999" s="50">
        <f>IF($O999="","",IF(INDEX(Firms!$L$5:$L$1004,$O999)="","—",INDEX(Firms!$L$5:$L$1004,$O999)))</f>
        <v/>
      </c>
      <c r="M999" s="50">
        <f>IF($O999="","",IF(INDEX(Firms!$M$5:$M$1004,$O999)="","—",INDEX(Firms!$M$5:$M$1004,$O999)))</f>
        <v/>
      </c>
      <c r="O999">
        <f>IFERROR(MATCH(SMALL(Firms!$Y$5:$Y$1004,991),Firms!$W$5:$W$1004,0),"")</f>
        <v/>
      </c>
    </row>
    <row r="1000">
      <c r="B1000" s="78">
        <f>IF($O1000="","",INDEX(Firms!$A$5:$A$1004,$O1000))</f>
        <v/>
      </c>
      <c r="C1000" s="79">
        <f>IF($O1000="","",INDEX(Firms!$N$5:$N$1004,$O1000)&amp;"")</f>
        <v/>
      </c>
      <c r="D1000" s="79">
        <f>IF($O1000="","",INDEX(Firms!$P$5:$P$1004,$O1000)&amp;"")</f>
        <v/>
      </c>
      <c r="E1000" s="79">
        <f>IF($O1000="","",INDEX(Firms!$O$5:$O$1004,$O1000)&amp;"")</f>
        <v/>
      </c>
      <c r="F1000" s="50">
        <f>IF($O1000="","",IF(INDEX(Firms!$F$5:$F$1004,$O1000)="","—",INDEX(Firms!$F$5:$F$1004,$O1000)))</f>
        <v/>
      </c>
      <c r="G1000" s="50">
        <f>IF($O1000="","",IF(INDEX(Firms!$G$5:$G$1004,$O1000)="","—",INDEX(Firms!$G$5:$G$1004,$O1000)))</f>
        <v/>
      </c>
      <c r="H1000" s="50">
        <f>IF($O1000="","",IF(INDEX(Firms!$H$5:$H$1004,$O1000)="","—",INDEX(Firms!$H$5:$H$1004,$O1000)))</f>
        <v/>
      </c>
      <c r="I1000" s="50">
        <f>IF($O1000="","",IF(INDEX(Firms!$I$5:$I$1004,$O1000)="","—",INDEX(Firms!$I$5:$I$1004,$O1000)))</f>
        <v/>
      </c>
      <c r="J1000" s="50">
        <f>IF($O1000="","",IF(INDEX(Firms!$J$5:$J$1004,$O1000)="","—",INDEX(Firms!$J$5:$J$1004,$O1000)))</f>
        <v/>
      </c>
      <c r="K1000" s="50">
        <f>IF($O1000="","",IF(INDEX(Firms!$K$5:$K$1004,$O1000)="","—",INDEX(Firms!$K$5:$K$1004,$O1000)))</f>
        <v/>
      </c>
      <c r="L1000" s="50">
        <f>IF($O1000="","",IF(INDEX(Firms!$L$5:$L$1004,$O1000)="","—",INDEX(Firms!$L$5:$L$1004,$O1000)))</f>
        <v/>
      </c>
      <c r="M1000" s="50">
        <f>IF($O1000="","",IF(INDEX(Firms!$M$5:$M$1004,$O1000)="","—",INDEX(Firms!$M$5:$M$1004,$O1000)))</f>
        <v/>
      </c>
      <c r="O1000">
        <f>IFERROR(MATCH(SMALL(Firms!$Y$5:$Y$1004,992),Firms!$W$5:$W$1004,0),"")</f>
        <v/>
      </c>
    </row>
    <row r="1001">
      <c r="B1001" s="78">
        <f>IF($O1001="","",INDEX(Firms!$A$5:$A$1004,$O1001))</f>
        <v/>
      </c>
      <c r="C1001" s="79">
        <f>IF($O1001="","",INDEX(Firms!$N$5:$N$1004,$O1001)&amp;"")</f>
        <v/>
      </c>
      <c r="D1001" s="79">
        <f>IF($O1001="","",INDEX(Firms!$P$5:$P$1004,$O1001)&amp;"")</f>
        <v/>
      </c>
      <c r="E1001" s="79">
        <f>IF($O1001="","",INDEX(Firms!$O$5:$O$1004,$O1001)&amp;"")</f>
        <v/>
      </c>
      <c r="F1001" s="50">
        <f>IF($O1001="","",IF(INDEX(Firms!$F$5:$F$1004,$O1001)="","—",INDEX(Firms!$F$5:$F$1004,$O1001)))</f>
        <v/>
      </c>
      <c r="G1001" s="50">
        <f>IF($O1001="","",IF(INDEX(Firms!$G$5:$G$1004,$O1001)="","—",INDEX(Firms!$G$5:$G$1004,$O1001)))</f>
        <v/>
      </c>
      <c r="H1001" s="50">
        <f>IF($O1001="","",IF(INDEX(Firms!$H$5:$H$1004,$O1001)="","—",INDEX(Firms!$H$5:$H$1004,$O1001)))</f>
        <v/>
      </c>
      <c r="I1001" s="50">
        <f>IF($O1001="","",IF(INDEX(Firms!$I$5:$I$1004,$O1001)="","—",INDEX(Firms!$I$5:$I$1004,$O1001)))</f>
        <v/>
      </c>
      <c r="J1001" s="50">
        <f>IF($O1001="","",IF(INDEX(Firms!$J$5:$J$1004,$O1001)="","—",INDEX(Firms!$J$5:$J$1004,$O1001)))</f>
        <v/>
      </c>
      <c r="K1001" s="50">
        <f>IF($O1001="","",IF(INDEX(Firms!$K$5:$K$1004,$O1001)="","—",INDEX(Firms!$K$5:$K$1004,$O1001)))</f>
        <v/>
      </c>
      <c r="L1001" s="50">
        <f>IF($O1001="","",IF(INDEX(Firms!$L$5:$L$1004,$O1001)="","—",INDEX(Firms!$L$5:$L$1004,$O1001)))</f>
        <v/>
      </c>
      <c r="M1001" s="50">
        <f>IF($O1001="","",IF(INDEX(Firms!$M$5:$M$1004,$O1001)="","—",INDEX(Firms!$M$5:$M$1004,$O1001)))</f>
        <v/>
      </c>
      <c r="O1001">
        <f>IFERROR(MATCH(SMALL(Firms!$Y$5:$Y$1004,993),Firms!$W$5:$W$1004,0),"")</f>
        <v/>
      </c>
    </row>
    <row r="1002">
      <c r="B1002" s="78">
        <f>IF($O1002="","",INDEX(Firms!$A$5:$A$1004,$O1002))</f>
        <v/>
      </c>
      <c r="C1002" s="79">
        <f>IF($O1002="","",INDEX(Firms!$N$5:$N$1004,$O1002)&amp;"")</f>
        <v/>
      </c>
      <c r="D1002" s="79">
        <f>IF($O1002="","",INDEX(Firms!$P$5:$P$1004,$O1002)&amp;"")</f>
        <v/>
      </c>
      <c r="E1002" s="79">
        <f>IF($O1002="","",INDEX(Firms!$O$5:$O$1004,$O1002)&amp;"")</f>
        <v/>
      </c>
      <c r="F1002" s="50">
        <f>IF($O1002="","",IF(INDEX(Firms!$F$5:$F$1004,$O1002)="","—",INDEX(Firms!$F$5:$F$1004,$O1002)))</f>
        <v/>
      </c>
      <c r="G1002" s="50">
        <f>IF($O1002="","",IF(INDEX(Firms!$G$5:$G$1004,$O1002)="","—",INDEX(Firms!$G$5:$G$1004,$O1002)))</f>
        <v/>
      </c>
      <c r="H1002" s="50">
        <f>IF($O1002="","",IF(INDEX(Firms!$H$5:$H$1004,$O1002)="","—",INDEX(Firms!$H$5:$H$1004,$O1002)))</f>
        <v/>
      </c>
      <c r="I1002" s="50">
        <f>IF($O1002="","",IF(INDEX(Firms!$I$5:$I$1004,$O1002)="","—",INDEX(Firms!$I$5:$I$1004,$O1002)))</f>
        <v/>
      </c>
      <c r="J1002" s="50">
        <f>IF($O1002="","",IF(INDEX(Firms!$J$5:$J$1004,$O1002)="","—",INDEX(Firms!$J$5:$J$1004,$O1002)))</f>
        <v/>
      </c>
      <c r="K1002" s="50">
        <f>IF($O1002="","",IF(INDEX(Firms!$K$5:$K$1004,$O1002)="","—",INDEX(Firms!$K$5:$K$1004,$O1002)))</f>
        <v/>
      </c>
      <c r="L1002" s="50">
        <f>IF($O1002="","",IF(INDEX(Firms!$L$5:$L$1004,$O1002)="","—",INDEX(Firms!$L$5:$L$1004,$O1002)))</f>
        <v/>
      </c>
      <c r="M1002" s="50">
        <f>IF($O1002="","",IF(INDEX(Firms!$M$5:$M$1004,$O1002)="","—",INDEX(Firms!$M$5:$M$1004,$O1002)))</f>
        <v/>
      </c>
      <c r="O1002">
        <f>IFERROR(MATCH(SMALL(Firms!$Y$5:$Y$1004,994),Firms!$W$5:$W$1004,0),"")</f>
        <v/>
      </c>
    </row>
    <row r="1003">
      <c r="B1003" s="78">
        <f>IF($O1003="","",INDEX(Firms!$A$5:$A$1004,$O1003))</f>
        <v/>
      </c>
      <c r="C1003" s="79">
        <f>IF($O1003="","",INDEX(Firms!$N$5:$N$1004,$O1003)&amp;"")</f>
        <v/>
      </c>
      <c r="D1003" s="79">
        <f>IF($O1003="","",INDEX(Firms!$P$5:$P$1004,$O1003)&amp;"")</f>
        <v/>
      </c>
      <c r="E1003" s="79">
        <f>IF($O1003="","",INDEX(Firms!$O$5:$O$1004,$O1003)&amp;"")</f>
        <v/>
      </c>
      <c r="F1003" s="50">
        <f>IF($O1003="","",IF(INDEX(Firms!$F$5:$F$1004,$O1003)="","—",INDEX(Firms!$F$5:$F$1004,$O1003)))</f>
        <v/>
      </c>
      <c r="G1003" s="50">
        <f>IF($O1003="","",IF(INDEX(Firms!$G$5:$G$1004,$O1003)="","—",INDEX(Firms!$G$5:$G$1004,$O1003)))</f>
        <v/>
      </c>
      <c r="H1003" s="50">
        <f>IF($O1003="","",IF(INDEX(Firms!$H$5:$H$1004,$O1003)="","—",INDEX(Firms!$H$5:$H$1004,$O1003)))</f>
        <v/>
      </c>
      <c r="I1003" s="50">
        <f>IF($O1003="","",IF(INDEX(Firms!$I$5:$I$1004,$O1003)="","—",INDEX(Firms!$I$5:$I$1004,$O1003)))</f>
        <v/>
      </c>
      <c r="J1003" s="50">
        <f>IF($O1003="","",IF(INDEX(Firms!$J$5:$J$1004,$O1003)="","—",INDEX(Firms!$J$5:$J$1004,$O1003)))</f>
        <v/>
      </c>
      <c r="K1003" s="50">
        <f>IF($O1003="","",IF(INDEX(Firms!$K$5:$K$1004,$O1003)="","—",INDEX(Firms!$K$5:$K$1004,$O1003)))</f>
        <v/>
      </c>
      <c r="L1003" s="50">
        <f>IF($O1003="","",IF(INDEX(Firms!$L$5:$L$1004,$O1003)="","—",INDEX(Firms!$L$5:$L$1004,$O1003)))</f>
        <v/>
      </c>
      <c r="M1003" s="50">
        <f>IF($O1003="","",IF(INDEX(Firms!$M$5:$M$1004,$O1003)="","—",INDEX(Firms!$M$5:$M$1004,$O1003)))</f>
        <v/>
      </c>
      <c r="O1003">
        <f>IFERROR(MATCH(SMALL(Firms!$Y$5:$Y$1004,995),Firms!$W$5:$W$1004,0),"")</f>
        <v/>
      </c>
    </row>
    <row r="1004">
      <c r="B1004" s="78">
        <f>IF($O1004="","",INDEX(Firms!$A$5:$A$1004,$O1004))</f>
        <v/>
      </c>
      <c r="C1004" s="79">
        <f>IF($O1004="","",INDEX(Firms!$N$5:$N$1004,$O1004)&amp;"")</f>
        <v/>
      </c>
      <c r="D1004" s="79">
        <f>IF($O1004="","",INDEX(Firms!$P$5:$P$1004,$O1004)&amp;"")</f>
        <v/>
      </c>
      <c r="E1004" s="79">
        <f>IF($O1004="","",INDEX(Firms!$O$5:$O$1004,$O1004)&amp;"")</f>
        <v/>
      </c>
      <c r="F1004" s="50">
        <f>IF($O1004="","",IF(INDEX(Firms!$F$5:$F$1004,$O1004)="","—",INDEX(Firms!$F$5:$F$1004,$O1004)))</f>
        <v/>
      </c>
      <c r="G1004" s="50">
        <f>IF($O1004="","",IF(INDEX(Firms!$G$5:$G$1004,$O1004)="","—",INDEX(Firms!$G$5:$G$1004,$O1004)))</f>
        <v/>
      </c>
      <c r="H1004" s="50">
        <f>IF($O1004="","",IF(INDEX(Firms!$H$5:$H$1004,$O1004)="","—",INDEX(Firms!$H$5:$H$1004,$O1004)))</f>
        <v/>
      </c>
      <c r="I1004" s="50">
        <f>IF($O1004="","",IF(INDEX(Firms!$I$5:$I$1004,$O1004)="","—",INDEX(Firms!$I$5:$I$1004,$O1004)))</f>
        <v/>
      </c>
      <c r="J1004" s="50">
        <f>IF($O1004="","",IF(INDEX(Firms!$J$5:$J$1004,$O1004)="","—",INDEX(Firms!$J$5:$J$1004,$O1004)))</f>
        <v/>
      </c>
      <c r="K1004" s="50">
        <f>IF($O1004="","",IF(INDEX(Firms!$K$5:$K$1004,$O1004)="","—",INDEX(Firms!$K$5:$K$1004,$O1004)))</f>
        <v/>
      </c>
      <c r="L1004" s="50">
        <f>IF($O1004="","",IF(INDEX(Firms!$L$5:$L$1004,$O1004)="","—",INDEX(Firms!$L$5:$L$1004,$O1004)))</f>
        <v/>
      </c>
      <c r="M1004" s="50">
        <f>IF($O1004="","",IF(INDEX(Firms!$M$5:$M$1004,$O1004)="","—",INDEX(Firms!$M$5:$M$1004,$O1004)))</f>
        <v/>
      </c>
      <c r="O1004">
        <f>IFERROR(MATCH(SMALL(Firms!$Y$5:$Y$1004,996),Firms!$W$5:$W$1004,0),"")</f>
        <v/>
      </c>
    </row>
    <row r="1005">
      <c r="B1005" s="78">
        <f>IF($O1005="","",INDEX(Firms!$A$5:$A$1004,$O1005))</f>
        <v/>
      </c>
      <c r="C1005" s="79">
        <f>IF($O1005="","",INDEX(Firms!$N$5:$N$1004,$O1005)&amp;"")</f>
        <v/>
      </c>
      <c r="D1005" s="79">
        <f>IF($O1005="","",INDEX(Firms!$P$5:$P$1004,$O1005)&amp;"")</f>
        <v/>
      </c>
      <c r="E1005" s="79">
        <f>IF($O1005="","",INDEX(Firms!$O$5:$O$1004,$O1005)&amp;"")</f>
        <v/>
      </c>
      <c r="F1005" s="50">
        <f>IF($O1005="","",IF(INDEX(Firms!$F$5:$F$1004,$O1005)="","—",INDEX(Firms!$F$5:$F$1004,$O1005)))</f>
        <v/>
      </c>
      <c r="G1005" s="50">
        <f>IF($O1005="","",IF(INDEX(Firms!$G$5:$G$1004,$O1005)="","—",INDEX(Firms!$G$5:$G$1004,$O1005)))</f>
        <v/>
      </c>
      <c r="H1005" s="50">
        <f>IF($O1005="","",IF(INDEX(Firms!$H$5:$H$1004,$O1005)="","—",INDEX(Firms!$H$5:$H$1004,$O1005)))</f>
        <v/>
      </c>
      <c r="I1005" s="50">
        <f>IF($O1005="","",IF(INDEX(Firms!$I$5:$I$1004,$O1005)="","—",INDEX(Firms!$I$5:$I$1004,$O1005)))</f>
        <v/>
      </c>
      <c r="J1005" s="50">
        <f>IF($O1005="","",IF(INDEX(Firms!$J$5:$J$1004,$O1005)="","—",INDEX(Firms!$J$5:$J$1004,$O1005)))</f>
        <v/>
      </c>
      <c r="K1005" s="50">
        <f>IF($O1005="","",IF(INDEX(Firms!$K$5:$K$1004,$O1005)="","—",INDEX(Firms!$K$5:$K$1004,$O1005)))</f>
        <v/>
      </c>
      <c r="L1005" s="50">
        <f>IF($O1005="","",IF(INDEX(Firms!$L$5:$L$1004,$O1005)="","—",INDEX(Firms!$L$5:$L$1004,$O1005)))</f>
        <v/>
      </c>
      <c r="M1005" s="50">
        <f>IF($O1005="","",IF(INDEX(Firms!$M$5:$M$1004,$O1005)="","—",INDEX(Firms!$M$5:$M$1004,$O1005)))</f>
        <v/>
      </c>
      <c r="O1005">
        <f>IFERROR(MATCH(SMALL(Firms!$Y$5:$Y$1004,997),Firms!$W$5:$W$1004,0),"")</f>
        <v/>
      </c>
    </row>
    <row r="1006">
      <c r="B1006" s="78">
        <f>IF($O1006="","",INDEX(Firms!$A$5:$A$1004,$O1006))</f>
        <v/>
      </c>
      <c r="C1006" s="79">
        <f>IF($O1006="","",INDEX(Firms!$N$5:$N$1004,$O1006)&amp;"")</f>
        <v/>
      </c>
      <c r="D1006" s="79">
        <f>IF($O1006="","",INDEX(Firms!$P$5:$P$1004,$O1006)&amp;"")</f>
        <v/>
      </c>
      <c r="E1006" s="79">
        <f>IF($O1006="","",INDEX(Firms!$O$5:$O$1004,$O1006)&amp;"")</f>
        <v/>
      </c>
      <c r="F1006" s="50">
        <f>IF($O1006="","",IF(INDEX(Firms!$F$5:$F$1004,$O1006)="","—",INDEX(Firms!$F$5:$F$1004,$O1006)))</f>
        <v/>
      </c>
      <c r="G1006" s="50">
        <f>IF($O1006="","",IF(INDEX(Firms!$G$5:$G$1004,$O1006)="","—",INDEX(Firms!$G$5:$G$1004,$O1006)))</f>
        <v/>
      </c>
      <c r="H1006" s="50">
        <f>IF($O1006="","",IF(INDEX(Firms!$H$5:$H$1004,$O1006)="","—",INDEX(Firms!$H$5:$H$1004,$O1006)))</f>
        <v/>
      </c>
      <c r="I1006" s="50">
        <f>IF($O1006="","",IF(INDEX(Firms!$I$5:$I$1004,$O1006)="","—",INDEX(Firms!$I$5:$I$1004,$O1006)))</f>
        <v/>
      </c>
      <c r="J1006" s="50">
        <f>IF($O1006="","",IF(INDEX(Firms!$J$5:$J$1004,$O1006)="","—",INDEX(Firms!$J$5:$J$1004,$O1006)))</f>
        <v/>
      </c>
      <c r="K1006" s="50">
        <f>IF($O1006="","",IF(INDEX(Firms!$K$5:$K$1004,$O1006)="","—",INDEX(Firms!$K$5:$K$1004,$O1006)))</f>
        <v/>
      </c>
      <c r="L1006" s="50">
        <f>IF($O1006="","",IF(INDEX(Firms!$L$5:$L$1004,$O1006)="","—",INDEX(Firms!$L$5:$L$1004,$O1006)))</f>
        <v/>
      </c>
      <c r="M1006" s="50">
        <f>IF($O1006="","",IF(INDEX(Firms!$M$5:$M$1004,$O1006)="","—",INDEX(Firms!$M$5:$M$1004,$O1006)))</f>
        <v/>
      </c>
      <c r="O1006">
        <f>IFERROR(MATCH(SMALL(Firms!$Y$5:$Y$1004,998),Firms!$W$5:$W$1004,0),"")</f>
        <v/>
      </c>
    </row>
    <row r="1007">
      <c r="B1007" s="78">
        <f>IF($O1007="","",INDEX(Firms!$A$5:$A$1004,$O1007))</f>
        <v/>
      </c>
      <c r="C1007" s="79">
        <f>IF($O1007="","",INDEX(Firms!$N$5:$N$1004,$O1007)&amp;"")</f>
        <v/>
      </c>
      <c r="D1007" s="79">
        <f>IF($O1007="","",INDEX(Firms!$P$5:$P$1004,$O1007)&amp;"")</f>
        <v/>
      </c>
      <c r="E1007" s="79">
        <f>IF($O1007="","",INDEX(Firms!$O$5:$O$1004,$O1007)&amp;"")</f>
        <v/>
      </c>
      <c r="F1007" s="50">
        <f>IF($O1007="","",IF(INDEX(Firms!$F$5:$F$1004,$O1007)="","—",INDEX(Firms!$F$5:$F$1004,$O1007)))</f>
        <v/>
      </c>
      <c r="G1007" s="50">
        <f>IF($O1007="","",IF(INDEX(Firms!$G$5:$G$1004,$O1007)="","—",INDEX(Firms!$G$5:$G$1004,$O1007)))</f>
        <v/>
      </c>
      <c r="H1007" s="50">
        <f>IF($O1007="","",IF(INDEX(Firms!$H$5:$H$1004,$O1007)="","—",INDEX(Firms!$H$5:$H$1004,$O1007)))</f>
        <v/>
      </c>
      <c r="I1007" s="50">
        <f>IF($O1007="","",IF(INDEX(Firms!$I$5:$I$1004,$O1007)="","—",INDEX(Firms!$I$5:$I$1004,$O1007)))</f>
        <v/>
      </c>
      <c r="J1007" s="50">
        <f>IF($O1007="","",IF(INDEX(Firms!$J$5:$J$1004,$O1007)="","—",INDEX(Firms!$J$5:$J$1004,$O1007)))</f>
        <v/>
      </c>
      <c r="K1007" s="50">
        <f>IF($O1007="","",IF(INDEX(Firms!$K$5:$K$1004,$O1007)="","—",INDEX(Firms!$K$5:$K$1004,$O1007)))</f>
        <v/>
      </c>
      <c r="L1007" s="50">
        <f>IF($O1007="","",IF(INDEX(Firms!$L$5:$L$1004,$O1007)="","—",INDEX(Firms!$L$5:$L$1004,$O1007)))</f>
        <v/>
      </c>
      <c r="M1007" s="50">
        <f>IF($O1007="","",IF(INDEX(Firms!$M$5:$M$1004,$O1007)="","—",INDEX(Firms!$M$5:$M$1004,$O1007)))</f>
        <v/>
      </c>
      <c r="O1007">
        <f>IFERROR(MATCH(SMALL(Firms!$Y$5:$Y$1004,999),Firms!$W$5:$W$1004,0),"")</f>
        <v/>
      </c>
    </row>
    <row r="1008">
      <c r="B1008" s="78">
        <f>IF($O1008="","",INDEX(Firms!$A$5:$A$1004,$O1008))</f>
        <v/>
      </c>
      <c r="C1008" s="79">
        <f>IF($O1008="","",INDEX(Firms!$N$5:$N$1004,$O1008)&amp;"")</f>
        <v/>
      </c>
      <c r="D1008" s="79">
        <f>IF($O1008="","",INDEX(Firms!$P$5:$P$1004,$O1008)&amp;"")</f>
        <v/>
      </c>
      <c r="E1008" s="79">
        <f>IF($O1008="","",INDEX(Firms!$O$5:$O$1004,$O1008)&amp;"")</f>
        <v/>
      </c>
      <c r="F1008" s="50">
        <f>IF($O1008="","",IF(INDEX(Firms!$F$5:$F$1004,$O1008)="","—",INDEX(Firms!$F$5:$F$1004,$O1008)))</f>
        <v/>
      </c>
      <c r="G1008" s="50">
        <f>IF($O1008="","",IF(INDEX(Firms!$G$5:$G$1004,$O1008)="","—",INDEX(Firms!$G$5:$G$1004,$O1008)))</f>
        <v/>
      </c>
      <c r="H1008" s="50">
        <f>IF($O1008="","",IF(INDEX(Firms!$H$5:$H$1004,$O1008)="","—",INDEX(Firms!$H$5:$H$1004,$O1008)))</f>
        <v/>
      </c>
      <c r="I1008" s="50">
        <f>IF($O1008="","",IF(INDEX(Firms!$I$5:$I$1004,$O1008)="","—",INDEX(Firms!$I$5:$I$1004,$O1008)))</f>
        <v/>
      </c>
      <c r="J1008" s="50">
        <f>IF($O1008="","",IF(INDEX(Firms!$J$5:$J$1004,$O1008)="","—",INDEX(Firms!$J$5:$J$1004,$O1008)))</f>
        <v/>
      </c>
      <c r="K1008" s="50">
        <f>IF($O1008="","",IF(INDEX(Firms!$K$5:$K$1004,$O1008)="","—",INDEX(Firms!$K$5:$K$1004,$O1008)))</f>
        <v/>
      </c>
      <c r="L1008" s="50">
        <f>IF($O1008="","",IF(INDEX(Firms!$L$5:$L$1004,$O1008)="","—",INDEX(Firms!$L$5:$L$1004,$O1008)))</f>
        <v/>
      </c>
      <c r="M1008" s="50">
        <f>IF($O1008="","",IF(INDEX(Firms!$M$5:$M$1004,$O1008)="","—",INDEX(Firms!$M$5:$M$1004,$O1008)))</f>
        <v/>
      </c>
      <c r="O1008">
        <f>IFERROR(MATCH(SMALL(Firms!$Y$5:$Y$1004,1000),Firms!$W$5:$W$1004,0),"")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4">
    <mergeCell ref="B3:M3"/>
    <mergeCell ref="B2:M2"/>
    <mergeCell ref="E5:M5"/>
    <mergeCell ref="B7:M7"/>
  </mergeCells>
  <conditionalFormatting sqref="B9:M1008">
    <cfRule type="expression" priority="1" dxfId="9">
      <formula>$B9&lt;&gt;""</formula>
    </cfRule>
  </conditionalFormatting>
  <conditionalFormatting sqref="E9:E1008">
    <cfRule type="cellIs" priority="2" operator="equal" dxfId="1">
      <formula>"Current"</formula>
    </cfRule>
    <cfRule type="cellIs" priority="3" operator="equal" dxfId="1">
      <formula>"Active"</formula>
    </cfRule>
    <cfRule type="cellIs" priority="4" operator="equal" dxfId="4">
      <formula>"Review Due"</formula>
    </cfRule>
    <cfRule type="cellIs" priority="5" operator="equal" dxfId="0">
      <formula>"Expired"</formula>
    </cfRule>
    <cfRule type="cellIs" priority="6" operator="equal" dxfId="0">
      <formula>"Paused"</formula>
    </cfRule>
    <cfRule type="cellIs" priority="7" operator="equal" dxfId="5">
      <formula>"Not yet effective"</formula>
    </cfRule>
    <cfRule type="cellIs" priority="8" operator="equal" dxfId="6">
      <formula>"No date"</formula>
    </cfRule>
    <cfRule type="cellIs" priority="9" operator="equal" dxfId="7">
      <formula>"Not on Firms tab"</formula>
    </cfRule>
  </conditionalFormatting>
  <dataValidations count="1">
    <dataValidation sqref="C5" showDropDown="0" showInputMessage="0" showErrorMessage="0" allowBlank="1" errorTitle="State" error="Pick a 2-letter state code from the list." type="list">
      <formula1>=State_Codes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7FA7D1"/>
    <outlinePr summaryBelow="1" summaryRight="1"/>
    <pageSetUpPr fitToPage="1"/>
  </sheetPr>
  <dimension ref="A1:Y10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22" customWidth="1" min="3" max="3"/>
    <col width="12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5" customWidth="1" min="14" max="14"/>
    <col width="13" customWidth="1" min="15" max="15"/>
    <col width="13" customWidth="1" min="16" max="16"/>
    <col width="9" customWidth="1" min="17" max="17"/>
    <col width="12" customWidth="1" min="18" max="18"/>
    <col width="28" customWidth="1" min="19" max="19"/>
    <col width="44" customWidth="1" min="20" max="20"/>
    <col hidden="1" width="5" customWidth="1" min="21" max="21"/>
    <col hidden="1" width="5" customWidth="1" min="22" max="22"/>
    <col hidden="1" width="5" customWidth="1" min="23" max="23"/>
    <col hidden="1" width="5" customWidth="1" min="24" max="24"/>
    <col hidden="1" width="5" customWidth="1" min="25" max="25"/>
  </cols>
  <sheetData>
    <row r="1" ht="34" customHeight="1">
      <c r="A1" s="80" t="inlineStr">
        <is>
          <t>Approved Firms — Master List</t>
        </is>
      </c>
    </row>
    <row r="2" ht="22" customHeight="1">
      <c r="A2" s="81" t="inlineStr">
        <is>
          <t>One row per firm. White cells = you type. Gray = automatic. Set Status to “Paused” and the firm appears on Do Not Use automatically.</t>
        </is>
      </c>
    </row>
    <row r="3">
      <c r="A3" s="22" t="inlineStr">
        <is>
          <t>States: 2-letter codes separated by commas (e.g. CA, NV, AZ) — or ALL for nationwide. When rates change, first copy the old rates to Rate History, then type the new rates and new Rates Effective date.</t>
        </is>
      </c>
    </row>
    <row r="4" ht="36" customHeight="1">
      <c r="A4" s="82" t="inlineStr">
        <is>
          <t>Firm Name</t>
        </is>
      </c>
      <c r="B4" s="82" t="inlineStr">
        <is>
          <t>Status</t>
        </is>
      </c>
      <c r="C4" s="82" t="inlineStr">
        <is>
          <t>Approved States</t>
        </is>
      </c>
      <c r="D4" s="82" t="inlineStr">
        <is>
          <t>Approved Since</t>
        </is>
      </c>
      <c r="E4" s="82" t="inlineStr">
        <is>
          <t>Rates Effective</t>
        </is>
      </c>
      <c r="F4" s="82" t="inlineStr">
        <is>
          <t>Counsel
Rate</t>
        </is>
      </c>
      <c r="G4" s="82" t="inlineStr">
        <is>
          <t>Senior Partner
Rate</t>
        </is>
      </c>
      <c r="H4" s="82" t="inlineStr">
        <is>
          <t>Junior Partner
Rate</t>
        </is>
      </c>
      <c r="I4" s="82" t="inlineStr">
        <is>
          <t>Partner
Rate</t>
        </is>
      </c>
      <c r="J4" s="82" t="inlineStr">
        <is>
          <t>Senior Associate
Rate</t>
        </is>
      </c>
      <c r="K4" s="82" t="inlineStr">
        <is>
          <t>Junior Associate
Rate</t>
        </is>
      </c>
      <c r="L4" s="82" t="inlineStr">
        <is>
          <t>Associate
Rate</t>
        </is>
      </c>
      <c r="M4" s="82" t="inlineStr">
        <is>
          <t>Paralegal
Rate</t>
        </is>
      </c>
      <c r="N4" s="82" t="inlineStr">
        <is>
          <t>Cyber Status</t>
        </is>
      </c>
      <c r="O4" s="83" t="inlineStr">
        <is>
          <t>Rate Review
(auto)</t>
        </is>
      </c>
      <c r="P4" s="83" t="inlineStr">
        <is>
          <t>AFA on File?
(auto)</t>
        </is>
      </c>
      <c r="Q4" s="83" t="inlineStr">
        <is>
          <t># AFAs
(auto)</t>
        </is>
      </c>
      <c r="R4" s="82" t="inlineStr">
        <is>
          <t>Date Paused</t>
        </is>
      </c>
      <c r="S4" s="82" t="inlineStr">
        <is>
          <t>Pause Reason</t>
        </is>
      </c>
      <c r="T4" s="82" t="inlineStr">
        <is>
          <t>Notes</t>
        </is>
      </c>
      <c r="U4" s="83" t="inlineStr">
        <is>
          <t>_dnu</t>
        </is>
      </c>
      <c r="V4" s="83" t="inlineStr">
        <is>
          <t>_afa</t>
        </is>
      </c>
      <c r="W4" s="83" t="inlineStr">
        <is>
          <t>_rank</t>
        </is>
      </c>
      <c r="X4" s="83" t="inlineStr">
        <is>
          <t>_norm</t>
        </is>
      </c>
      <c r="Y4" s="83" t="inlineStr">
        <is>
          <t>_state</t>
        </is>
      </c>
    </row>
    <row r="5">
      <c r="A5" s="64" t="inlineStr">
        <is>
          <t>Sample: Alder &amp; Pine LLP</t>
        </is>
      </c>
      <c r="B5" s="65" t="inlineStr">
        <is>
          <t>Active</t>
        </is>
      </c>
      <c r="C5" s="64" t="inlineStr">
        <is>
          <t>CA, NV, AZ</t>
        </is>
      </c>
      <c r="D5" s="66" t="n">
        <v>43586</v>
      </c>
      <c r="E5" s="66" t="n">
        <v>45717</v>
      </c>
      <c r="F5" s="67" t="n">
        <v>475</v>
      </c>
      <c r="G5" s="67" t="n">
        <v>625</v>
      </c>
      <c r="H5" s="67" t="n">
        <v>425</v>
      </c>
      <c r="I5" s="67" t="n">
        <v>525</v>
      </c>
      <c r="J5" s="67" t="n">
        <v>395</v>
      </c>
      <c r="K5" s="67" t="n">
        <v>295</v>
      </c>
      <c r="L5" s="67" t="n">
        <v>345</v>
      </c>
      <c r="M5" s="67" t="n">
        <v>165</v>
      </c>
      <c r="N5" s="65" t="inlineStr">
        <is>
          <t>Compliant</t>
        </is>
      </c>
      <c r="O5" s="84">
        <f>IF(A5="","",IF(E5="","No date",IF(TODAY()&gt;=EDATE(E5,Review_Months),"Review Due","Current")))</f>
        <v/>
      </c>
      <c r="P5" s="84">
        <f>IF(A5="","",IF(COUNTIFS('AFA Rates'!$A$5:$A$1004,A5,'AFA Rates'!$O$5:$O$1004,"&lt;&gt;Expired")&gt;0,"Yes",IF(COUNTIF('AFA Rates'!$A$5:$A$1004,A5)&gt;0,"Expired only","No")))</f>
        <v/>
      </c>
      <c r="Q5" s="84">
        <f>IF(A5="","",COUNTIFS('AFA Rates'!$A$5:$A$1004,A5,'AFA Rates'!$O$5:$O$1004,"&lt;&gt;Expired"))</f>
        <v/>
      </c>
      <c r="R5" s="66" t="n"/>
      <c r="S5" s="64" t="n"/>
      <c r="T5" s="64" t="inlineStr">
        <is>
          <t>Sample row — replace with a real firm.</t>
        </is>
      </c>
      <c r="U5">
        <f>IF(AND(A5&lt;&gt;"",B5="Paused"),COUNTIFS($A$5:A5,"&lt;&gt;",$B$5:B5,"Paused"),"")</f>
        <v/>
      </c>
      <c r="V5">
        <f>IF(P5="Yes",COUNTIF($P$5:P5,"Yes"),"")</f>
        <v/>
      </c>
      <c r="W5">
        <f>IF(A5="","",COUNTIF($A$5:$A$1004,"&lt;"&amp;A5)+COUNTIF($A$5:A5,A5))</f>
        <v/>
      </c>
      <c r="X5">
        <f>","&amp;SUBSTITUTE(SUBSTITUTE(SUBSTITUTE(UPPER(C5)," ",""),";",","),"/",",")&amp;","</f>
        <v/>
      </c>
      <c r="Y5">
        <f>IF(AND(A5&lt;&gt;"",B5="Active",'State Search'!$C$5&lt;&gt;"",OR(X5=",ALL,",ISNUMBER(SEARCH(","&amp;'State Search'!$C$5&amp;",",X5)))),W5,"")</f>
        <v/>
      </c>
    </row>
    <row r="6">
      <c r="A6" s="64" t="inlineStr">
        <is>
          <t>Sample: Brookstone Legal Group</t>
        </is>
      </c>
      <c r="B6" s="65" t="inlineStr">
        <is>
          <t>Active</t>
        </is>
      </c>
      <c r="C6" s="64" t="inlineStr">
        <is>
          <t>TX, OK, LA, AR</t>
        </is>
      </c>
      <c r="D6" s="66" t="n">
        <v>44242</v>
      </c>
      <c r="E6" s="66" t="n">
        <v>46023</v>
      </c>
      <c r="F6" s="67" t="n">
        <v>425</v>
      </c>
      <c r="G6" s="67" t="n">
        <v>575</v>
      </c>
      <c r="H6" s="67" t="n">
        <v>395</v>
      </c>
      <c r="I6" s="67" t="n">
        <v>495</v>
      </c>
      <c r="J6" s="67" t="n">
        <v>350</v>
      </c>
      <c r="K6" s="67" t="n">
        <v>260</v>
      </c>
      <c r="L6" s="67" t="n">
        <v>310</v>
      </c>
      <c r="M6" s="67" t="n">
        <v>150</v>
      </c>
      <c r="N6" s="65" t="inlineStr">
        <is>
          <t>Compliant</t>
        </is>
      </c>
      <c r="O6" s="84">
        <f>IF(A6="","",IF(E6="","No date",IF(TODAY()&gt;=EDATE(E6,Review_Months),"Review Due","Current")))</f>
        <v/>
      </c>
      <c r="P6" s="84">
        <f>IF(A6="","",IF(COUNTIFS('AFA Rates'!$A$5:$A$1004,A6,'AFA Rates'!$O$5:$O$1004,"&lt;&gt;Expired")&gt;0,"Yes",IF(COUNTIF('AFA Rates'!$A$5:$A$1004,A6)&gt;0,"Expired only","No")))</f>
        <v/>
      </c>
      <c r="Q6" s="84">
        <f>IF(A6="","",COUNTIFS('AFA Rates'!$A$5:$A$1004,A6,'AFA Rates'!$O$5:$O$1004,"&lt;&gt;Expired"))</f>
        <v/>
      </c>
      <c r="R6" s="66" t="n"/>
      <c r="S6" s="64" t="n"/>
      <c r="T6" s="64" t="inlineStr">
        <is>
          <t>Sample row — trucking &amp; bad-faith panel.</t>
        </is>
      </c>
      <c r="U6">
        <f>IF(AND(A6&lt;&gt;"",B6="Paused"),COUNTIFS($A$5:A6,"&lt;&gt;",$B$5:B6,"Paused"),"")</f>
        <v/>
      </c>
      <c r="V6">
        <f>IF(P6="Yes",COUNTIF($P$5:P6,"Yes"),"")</f>
        <v/>
      </c>
      <c r="W6">
        <f>IF(A6="","",COUNTIF($A$5:$A$1004,"&lt;"&amp;A6)+COUNTIF($A$5:A6,A6))</f>
        <v/>
      </c>
      <c r="X6">
        <f>","&amp;SUBSTITUTE(SUBSTITUTE(SUBSTITUTE(UPPER(C6)," ",""),";",","),"/",",")&amp;","</f>
        <v/>
      </c>
      <c r="Y6">
        <f>IF(AND(A6&lt;&gt;"",B6="Active",'State Search'!$C$5&lt;&gt;"",OR(X6=",ALL,",ISNUMBER(SEARCH(","&amp;'State Search'!$C$5&amp;",",X6)))),W6,"")</f>
        <v/>
      </c>
    </row>
    <row r="7">
      <c r="A7" s="64" t="inlineStr">
        <is>
          <t>Sample: Cedar Ridge Partners</t>
        </is>
      </c>
      <c r="B7" s="65" t="inlineStr">
        <is>
          <t>Paused</t>
        </is>
      </c>
      <c r="C7" s="64" t="inlineStr">
        <is>
          <t>FL, GA, AL</t>
        </is>
      </c>
      <c r="D7" s="66" t="n">
        <v>44044</v>
      </c>
      <c r="E7" s="66" t="n">
        <v>45839</v>
      </c>
      <c r="F7" s="67" t="n">
        <v>400</v>
      </c>
      <c r="G7" s="67" t="n">
        <v>550</v>
      </c>
      <c r="H7" s="67" t="n">
        <v>375</v>
      </c>
      <c r="I7" s="67" t="n">
        <v>450</v>
      </c>
      <c r="J7" s="67" t="n">
        <v>325</v>
      </c>
      <c r="K7" s="67" t="n">
        <v>245</v>
      </c>
      <c r="L7" s="67" t="n">
        <v>285</v>
      </c>
      <c r="M7" s="67" t="n">
        <v>140</v>
      </c>
      <c r="N7" s="65" t="inlineStr">
        <is>
          <t>Non-Compliant</t>
        </is>
      </c>
      <c r="O7" s="84">
        <f>IF(A7="","",IF(E7="","No date",IF(TODAY()&gt;=EDATE(E7,Review_Months),"Review Due","Current")))</f>
        <v/>
      </c>
      <c r="P7" s="84">
        <f>IF(A7="","",IF(COUNTIFS('AFA Rates'!$A$5:$A$1004,A7,'AFA Rates'!$O$5:$O$1004,"&lt;&gt;Expired")&gt;0,"Yes",IF(COUNTIF('AFA Rates'!$A$5:$A$1004,A7)&gt;0,"Expired only","No")))</f>
        <v/>
      </c>
      <c r="Q7" s="84">
        <f>IF(A7="","",COUNTIFS('AFA Rates'!$A$5:$A$1004,A7,'AFA Rates'!$O$5:$O$1004,"&lt;&gt;Expired"))</f>
        <v/>
      </c>
      <c r="R7" s="66" t="n">
        <v>46266</v>
      </c>
      <c r="S7" s="64" t="inlineStr">
        <is>
          <t>Cyber assessment failed; under review</t>
        </is>
      </c>
      <c r="T7" s="64" t="inlineStr">
        <is>
          <t>Sample row — paused example.</t>
        </is>
      </c>
      <c r="U7">
        <f>IF(AND(A7&lt;&gt;"",B7="Paused"),COUNTIFS($A$5:A7,"&lt;&gt;",$B$5:B7,"Paused"),"")</f>
        <v/>
      </c>
      <c r="V7">
        <f>IF(P7="Yes",COUNTIF($P$5:P7,"Yes"),"")</f>
        <v/>
      </c>
      <c r="W7">
        <f>IF(A7="","",COUNTIF($A$5:$A$1004,"&lt;"&amp;A7)+COUNTIF($A$5:A7,A7))</f>
        <v/>
      </c>
      <c r="X7">
        <f>","&amp;SUBSTITUTE(SUBSTITUTE(SUBSTITUTE(UPPER(C7)," ",""),";",","),"/",",")&amp;","</f>
        <v/>
      </c>
      <c r="Y7">
        <f>IF(AND(A7&lt;&gt;"",B7="Active",'State Search'!$C$5&lt;&gt;"",OR(X7=",ALL,",ISNUMBER(SEARCH(","&amp;'State Search'!$C$5&amp;",",X7)))),W7,"")</f>
        <v/>
      </c>
    </row>
    <row r="8">
      <c r="A8" s="64" t="inlineStr">
        <is>
          <t>Sample: Dunmore Whitfield PC</t>
        </is>
      </c>
      <c r="B8" s="65" t="inlineStr">
        <is>
          <t>Active</t>
        </is>
      </c>
      <c r="C8" s="64" t="inlineStr">
        <is>
          <t>NY, NJ, CT, PA</t>
        </is>
      </c>
      <c r="D8" s="66" t="n">
        <v>44713</v>
      </c>
      <c r="E8" s="66" t="n">
        <v>46113</v>
      </c>
      <c r="F8" s="67" t="n">
        <v>550</v>
      </c>
      <c r="G8" s="67" t="n">
        <v>725</v>
      </c>
      <c r="H8" s="67" t="n">
        <v>495</v>
      </c>
      <c r="I8" s="67" t="n">
        <v>625</v>
      </c>
      <c r="J8" s="67" t="n">
        <v>450</v>
      </c>
      <c r="K8" s="67" t="n">
        <v>325</v>
      </c>
      <c r="L8" s="67" t="n">
        <v>395</v>
      </c>
      <c r="M8" s="67" t="n">
        <v>185</v>
      </c>
      <c r="N8" s="65" t="inlineStr">
        <is>
          <t>Pending Review</t>
        </is>
      </c>
      <c r="O8" s="84">
        <f>IF(A8="","",IF(E8="","No date",IF(TODAY()&gt;=EDATE(E8,Review_Months),"Review Due","Current")))</f>
        <v/>
      </c>
      <c r="P8" s="84">
        <f>IF(A8="","",IF(COUNTIFS('AFA Rates'!$A$5:$A$1004,A8,'AFA Rates'!$O$5:$O$1004,"&lt;&gt;Expired")&gt;0,"Yes",IF(COUNTIF('AFA Rates'!$A$5:$A$1004,A8)&gt;0,"Expired only","No")))</f>
        <v/>
      </c>
      <c r="Q8" s="84">
        <f>IF(A8="","",COUNTIFS('AFA Rates'!$A$5:$A$1004,A8,'AFA Rates'!$O$5:$O$1004,"&lt;&gt;Expired"))</f>
        <v/>
      </c>
      <c r="R8" s="66" t="n"/>
      <c r="S8" s="64" t="n"/>
      <c r="T8" s="64" t="inlineStr">
        <is>
          <t>Sample row — appellate specialists.</t>
        </is>
      </c>
      <c r="U8">
        <f>IF(AND(A8&lt;&gt;"",B8="Paused"),COUNTIFS($A$5:A8,"&lt;&gt;",$B$5:B8,"Paused"),"")</f>
        <v/>
      </c>
      <c r="V8">
        <f>IF(P8="Yes",COUNTIF($P$5:P8,"Yes"),"")</f>
        <v/>
      </c>
      <c r="W8">
        <f>IF(A8="","",COUNTIF($A$5:$A$1004,"&lt;"&amp;A8)+COUNTIF($A$5:A8,A8))</f>
        <v/>
      </c>
      <c r="X8">
        <f>","&amp;SUBSTITUTE(SUBSTITUTE(SUBSTITUTE(UPPER(C8)," ",""),";",","),"/",",")&amp;","</f>
        <v/>
      </c>
      <c r="Y8">
        <f>IF(AND(A8&lt;&gt;"",B8="Active",'State Search'!$C$5&lt;&gt;"",OR(X8=",ALL,",ISNUMBER(SEARCH(","&amp;'State Search'!$C$5&amp;",",X8)))),W8,"")</f>
        <v/>
      </c>
    </row>
    <row r="9">
      <c r="A9" s="64" t="inlineStr">
        <is>
          <t>Sample: Everett National Counsel</t>
        </is>
      </c>
      <c r="B9" s="65" t="inlineStr">
        <is>
          <t>Active</t>
        </is>
      </c>
      <c r="C9" s="64" t="inlineStr">
        <is>
          <t>ALL</t>
        </is>
      </c>
      <c r="D9" s="66" t="n">
        <v>45170</v>
      </c>
      <c r="E9" s="66" t="n">
        <v>46204</v>
      </c>
      <c r="F9" s="67" t="n">
        <v>450</v>
      </c>
      <c r="G9" s="67" t="n">
        <v>600</v>
      </c>
      <c r="H9" s="67" t="n">
        <v>410</v>
      </c>
      <c r="I9" s="67" t="n">
        <v>510</v>
      </c>
      <c r="J9" s="67" t="n">
        <v>370</v>
      </c>
      <c r="K9" s="67" t="n">
        <v>270</v>
      </c>
      <c r="L9" s="67" t="n">
        <v>320</v>
      </c>
      <c r="M9" s="67" t="n">
        <v>155</v>
      </c>
      <c r="N9" s="65" t="inlineStr">
        <is>
          <t>Compliant</t>
        </is>
      </c>
      <c r="O9" s="84">
        <f>IF(A9="","",IF(E9="","No date",IF(TODAY()&gt;=EDATE(E9,Review_Months),"Review Due","Current")))</f>
        <v/>
      </c>
      <c r="P9" s="84">
        <f>IF(A9="","",IF(COUNTIFS('AFA Rates'!$A$5:$A$1004,A9,'AFA Rates'!$O$5:$O$1004,"&lt;&gt;Expired")&gt;0,"Yes",IF(COUNTIF('AFA Rates'!$A$5:$A$1004,A9)&gt;0,"Expired only","No")))</f>
        <v/>
      </c>
      <c r="Q9" s="84">
        <f>IF(A9="","",COUNTIFS('AFA Rates'!$A$5:$A$1004,A9,'AFA Rates'!$O$5:$O$1004,"&lt;&gt;Expired"))</f>
        <v/>
      </c>
      <c r="R9" s="66" t="n"/>
      <c r="S9" s="64" t="n"/>
      <c r="T9" s="64" t="inlineStr">
        <is>
          <t>Sample row — nationwide coverage, no AFA.</t>
        </is>
      </c>
      <c r="U9">
        <f>IF(AND(A9&lt;&gt;"",B9="Paused"),COUNTIFS($A$5:A9,"&lt;&gt;",$B$5:B9,"Paused"),"")</f>
        <v/>
      </c>
      <c r="V9">
        <f>IF(P9="Yes",COUNTIF($P$5:P9,"Yes"),"")</f>
        <v/>
      </c>
      <c r="W9">
        <f>IF(A9="","",COUNTIF($A$5:$A$1004,"&lt;"&amp;A9)+COUNTIF($A$5:A9,A9))</f>
        <v/>
      </c>
      <c r="X9">
        <f>","&amp;SUBSTITUTE(SUBSTITUTE(SUBSTITUTE(UPPER(C9)," ",""),";",","),"/",",")&amp;","</f>
        <v/>
      </c>
      <c r="Y9">
        <f>IF(AND(A9&lt;&gt;"",B9="Active",'State Search'!$C$5&lt;&gt;"",OR(X9=",ALL,",ISNUMBER(SEARCH(","&amp;'State Search'!$C$5&amp;",",X9)))),W9,"")</f>
        <v/>
      </c>
    </row>
    <row r="10">
      <c r="A10" s="64" t="n"/>
      <c r="B10" s="65" t="n"/>
      <c r="C10" s="64" t="n"/>
      <c r="D10" s="66" t="n"/>
      <c r="E10" s="66" t="n"/>
      <c r="F10" s="67" t="n"/>
      <c r="G10" s="67" t="n"/>
      <c r="H10" s="67" t="n"/>
      <c r="I10" s="67" t="n"/>
      <c r="J10" s="67" t="n"/>
      <c r="K10" s="67" t="n"/>
      <c r="L10" s="67" t="n"/>
      <c r="M10" s="67" t="n"/>
      <c r="N10" s="65" t="n"/>
      <c r="O10" s="84">
        <f>IF(A10="","",IF(E10="","No date",IF(TODAY()&gt;=EDATE(E10,Review_Months),"Review Due","Current")))</f>
        <v/>
      </c>
      <c r="P10" s="84">
        <f>IF(A10="","",IF(COUNTIFS('AFA Rates'!$A$5:$A$1004,A10,'AFA Rates'!$O$5:$O$1004,"&lt;&gt;Expired")&gt;0,"Yes",IF(COUNTIF('AFA Rates'!$A$5:$A$1004,A10)&gt;0,"Expired only","No")))</f>
        <v/>
      </c>
      <c r="Q10" s="84">
        <f>IF(A10="","",COUNTIFS('AFA Rates'!$A$5:$A$1004,A10,'AFA Rates'!$O$5:$O$1004,"&lt;&gt;Expired"))</f>
        <v/>
      </c>
      <c r="R10" s="66" t="n"/>
      <c r="S10" s="64" t="n"/>
      <c r="T10" s="64" t="n"/>
      <c r="U10">
        <f>IF(AND(A10&lt;&gt;"",B10="Paused"),COUNTIFS($A$5:A10,"&lt;&gt;",$B$5:B10,"Paused"),"")</f>
        <v/>
      </c>
      <c r="V10">
        <f>IF(P10="Yes",COUNTIF($P$5:P10,"Yes"),"")</f>
        <v/>
      </c>
      <c r="W10">
        <f>IF(A10="","",COUNTIF($A$5:$A$1004,"&lt;"&amp;A10)+COUNTIF($A$5:A10,A10))</f>
        <v/>
      </c>
      <c r="X10">
        <f>","&amp;SUBSTITUTE(SUBSTITUTE(SUBSTITUTE(UPPER(C10)," ",""),";",","),"/",",")&amp;","</f>
        <v/>
      </c>
      <c r="Y10">
        <f>IF(AND(A10&lt;&gt;"",B10="Active",'State Search'!$C$5&lt;&gt;"",OR(X10=",ALL,",ISNUMBER(SEARCH(","&amp;'State Search'!$C$5&amp;",",X10)))),W10,"")</f>
        <v/>
      </c>
    </row>
    <row r="11">
      <c r="A11" s="64" t="n"/>
      <c r="B11" s="65" t="n"/>
      <c r="C11" s="64" t="n"/>
      <c r="D11" s="66" t="n"/>
      <c r="E11" s="66" t="n"/>
      <c r="F11" s="67" t="n"/>
      <c r="G11" s="67" t="n"/>
      <c r="H11" s="67" t="n"/>
      <c r="I11" s="67" t="n"/>
      <c r="J11" s="67" t="n"/>
      <c r="K11" s="67" t="n"/>
      <c r="L11" s="67" t="n"/>
      <c r="M11" s="67" t="n"/>
      <c r="N11" s="65" t="n"/>
      <c r="O11" s="84">
        <f>IF(A11="","",IF(E11="","No date",IF(TODAY()&gt;=EDATE(E11,Review_Months),"Review Due","Current")))</f>
        <v/>
      </c>
      <c r="P11" s="84">
        <f>IF(A11="","",IF(COUNTIFS('AFA Rates'!$A$5:$A$1004,A11,'AFA Rates'!$O$5:$O$1004,"&lt;&gt;Expired")&gt;0,"Yes",IF(COUNTIF('AFA Rates'!$A$5:$A$1004,A11)&gt;0,"Expired only","No")))</f>
        <v/>
      </c>
      <c r="Q11" s="84">
        <f>IF(A11="","",COUNTIFS('AFA Rates'!$A$5:$A$1004,A11,'AFA Rates'!$O$5:$O$1004,"&lt;&gt;Expired"))</f>
        <v/>
      </c>
      <c r="R11" s="66" t="n"/>
      <c r="S11" s="64" t="n"/>
      <c r="T11" s="64" t="n"/>
      <c r="U11">
        <f>IF(AND(A11&lt;&gt;"",B11="Paused"),COUNTIFS($A$5:A11,"&lt;&gt;",$B$5:B11,"Paused"),"")</f>
        <v/>
      </c>
      <c r="V11">
        <f>IF(P11="Yes",COUNTIF($P$5:P11,"Yes"),"")</f>
        <v/>
      </c>
      <c r="W11">
        <f>IF(A11="","",COUNTIF($A$5:$A$1004,"&lt;"&amp;A11)+COUNTIF($A$5:A11,A11))</f>
        <v/>
      </c>
      <c r="X11">
        <f>","&amp;SUBSTITUTE(SUBSTITUTE(SUBSTITUTE(UPPER(C11)," ",""),";",","),"/",",")&amp;","</f>
        <v/>
      </c>
      <c r="Y11">
        <f>IF(AND(A11&lt;&gt;"",B11="Active",'State Search'!$C$5&lt;&gt;"",OR(X11=",ALL,",ISNUMBER(SEARCH(","&amp;'State Search'!$C$5&amp;",",X11)))),W11,"")</f>
        <v/>
      </c>
    </row>
    <row r="12">
      <c r="A12" s="64" t="n"/>
      <c r="B12" s="65" t="n"/>
      <c r="C12" s="64" t="n"/>
      <c r="D12" s="66" t="n"/>
      <c r="E12" s="66" t="n"/>
      <c r="F12" s="67" t="n"/>
      <c r="G12" s="67" t="n"/>
      <c r="H12" s="67" t="n"/>
      <c r="I12" s="67" t="n"/>
      <c r="J12" s="67" t="n"/>
      <c r="K12" s="67" t="n"/>
      <c r="L12" s="67" t="n"/>
      <c r="M12" s="67" t="n"/>
      <c r="N12" s="65" t="n"/>
      <c r="O12" s="84">
        <f>IF(A12="","",IF(E12="","No date",IF(TODAY()&gt;=EDATE(E12,Review_Months),"Review Due","Current")))</f>
        <v/>
      </c>
      <c r="P12" s="84">
        <f>IF(A12="","",IF(COUNTIFS('AFA Rates'!$A$5:$A$1004,A12,'AFA Rates'!$O$5:$O$1004,"&lt;&gt;Expired")&gt;0,"Yes",IF(COUNTIF('AFA Rates'!$A$5:$A$1004,A12)&gt;0,"Expired only","No")))</f>
        <v/>
      </c>
      <c r="Q12" s="84">
        <f>IF(A12="","",COUNTIFS('AFA Rates'!$A$5:$A$1004,A12,'AFA Rates'!$O$5:$O$1004,"&lt;&gt;Expired"))</f>
        <v/>
      </c>
      <c r="R12" s="66" t="n"/>
      <c r="S12" s="64" t="n"/>
      <c r="T12" s="64" t="n"/>
      <c r="U12">
        <f>IF(AND(A12&lt;&gt;"",B12="Paused"),COUNTIFS($A$5:A12,"&lt;&gt;",$B$5:B12,"Paused"),"")</f>
        <v/>
      </c>
      <c r="V12">
        <f>IF(P12="Yes",COUNTIF($P$5:P12,"Yes"),"")</f>
        <v/>
      </c>
      <c r="W12">
        <f>IF(A12="","",COUNTIF($A$5:$A$1004,"&lt;"&amp;A12)+COUNTIF($A$5:A12,A12))</f>
        <v/>
      </c>
      <c r="X12">
        <f>","&amp;SUBSTITUTE(SUBSTITUTE(SUBSTITUTE(UPPER(C12)," ",""),";",","),"/",",")&amp;","</f>
        <v/>
      </c>
      <c r="Y12">
        <f>IF(AND(A12&lt;&gt;"",B12="Active",'State Search'!$C$5&lt;&gt;"",OR(X12=",ALL,",ISNUMBER(SEARCH(","&amp;'State Search'!$C$5&amp;",",X12)))),W12,"")</f>
        <v/>
      </c>
    </row>
    <row r="13">
      <c r="A13" s="64" t="n"/>
      <c r="B13" s="65" t="n"/>
      <c r="C13" s="64" t="n"/>
      <c r="D13" s="66" t="n"/>
      <c r="E13" s="66" t="n"/>
      <c r="F13" s="67" t="n"/>
      <c r="G13" s="67" t="n"/>
      <c r="H13" s="67" t="n"/>
      <c r="I13" s="67" t="n"/>
      <c r="J13" s="67" t="n"/>
      <c r="K13" s="67" t="n"/>
      <c r="L13" s="67" t="n"/>
      <c r="M13" s="67" t="n"/>
      <c r="N13" s="65" t="n"/>
      <c r="O13" s="84">
        <f>IF(A13="","",IF(E13="","No date",IF(TODAY()&gt;=EDATE(E13,Review_Months),"Review Due","Current")))</f>
        <v/>
      </c>
      <c r="P13" s="84">
        <f>IF(A13="","",IF(COUNTIFS('AFA Rates'!$A$5:$A$1004,A13,'AFA Rates'!$O$5:$O$1004,"&lt;&gt;Expired")&gt;0,"Yes",IF(COUNTIF('AFA Rates'!$A$5:$A$1004,A13)&gt;0,"Expired only","No")))</f>
        <v/>
      </c>
      <c r="Q13" s="84">
        <f>IF(A13="","",COUNTIFS('AFA Rates'!$A$5:$A$1004,A13,'AFA Rates'!$O$5:$O$1004,"&lt;&gt;Expired"))</f>
        <v/>
      </c>
      <c r="R13" s="66" t="n"/>
      <c r="S13" s="64" t="n"/>
      <c r="T13" s="64" t="n"/>
      <c r="U13">
        <f>IF(AND(A13&lt;&gt;"",B13="Paused"),COUNTIFS($A$5:A13,"&lt;&gt;",$B$5:B13,"Paused"),"")</f>
        <v/>
      </c>
      <c r="V13">
        <f>IF(P13="Yes",COUNTIF($P$5:P13,"Yes"),"")</f>
        <v/>
      </c>
      <c r="W13">
        <f>IF(A13="","",COUNTIF($A$5:$A$1004,"&lt;"&amp;A13)+COUNTIF($A$5:A13,A13))</f>
        <v/>
      </c>
      <c r="X13">
        <f>","&amp;SUBSTITUTE(SUBSTITUTE(SUBSTITUTE(UPPER(C13)," ",""),";",","),"/",",")&amp;","</f>
        <v/>
      </c>
      <c r="Y13">
        <f>IF(AND(A13&lt;&gt;"",B13="Active",'State Search'!$C$5&lt;&gt;"",OR(X13=",ALL,",ISNUMBER(SEARCH(","&amp;'State Search'!$C$5&amp;",",X13)))),W13,"")</f>
        <v/>
      </c>
    </row>
    <row r="14">
      <c r="A14" s="64" t="n"/>
      <c r="B14" s="65" t="n"/>
      <c r="C14" s="64" t="n"/>
      <c r="D14" s="66" t="n"/>
      <c r="E14" s="66" t="n"/>
      <c r="F14" s="67" t="n"/>
      <c r="G14" s="67" t="n"/>
      <c r="H14" s="67" t="n"/>
      <c r="I14" s="67" t="n"/>
      <c r="J14" s="67" t="n"/>
      <c r="K14" s="67" t="n"/>
      <c r="L14" s="67" t="n"/>
      <c r="M14" s="67" t="n"/>
      <c r="N14" s="65" t="n"/>
      <c r="O14" s="84">
        <f>IF(A14="","",IF(E14="","No date",IF(TODAY()&gt;=EDATE(E14,Review_Months),"Review Due","Current")))</f>
        <v/>
      </c>
      <c r="P14" s="84">
        <f>IF(A14="","",IF(COUNTIFS('AFA Rates'!$A$5:$A$1004,A14,'AFA Rates'!$O$5:$O$1004,"&lt;&gt;Expired")&gt;0,"Yes",IF(COUNTIF('AFA Rates'!$A$5:$A$1004,A14)&gt;0,"Expired only","No")))</f>
        <v/>
      </c>
      <c r="Q14" s="84">
        <f>IF(A14="","",COUNTIFS('AFA Rates'!$A$5:$A$1004,A14,'AFA Rates'!$O$5:$O$1004,"&lt;&gt;Expired"))</f>
        <v/>
      </c>
      <c r="R14" s="66" t="n"/>
      <c r="S14" s="64" t="n"/>
      <c r="T14" s="64" t="n"/>
      <c r="U14">
        <f>IF(AND(A14&lt;&gt;"",B14="Paused"),COUNTIFS($A$5:A14,"&lt;&gt;",$B$5:B14,"Paused"),"")</f>
        <v/>
      </c>
      <c r="V14">
        <f>IF(P14="Yes",COUNTIF($P$5:P14,"Yes"),"")</f>
        <v/>
      </c>
      <c r="W14">
        <f>IF(A14="","",COUNTIF($A$5:$A$1004,"&lt;"&amp;A14)+COUNTIF($A$5:A14,A14))</f>
        <v/>
      </c>
      <c r="X14">
        <f>","&amp;SUBSTITUTE(SUBSTITUTE(SUBSTITUTE(UPPER(C14)," ",""),";",","),"/",",")&amp;","</f>
        <v/>
      </c>
      <c r="Y14">
        <f>IF(AND(A14&lt;&gt;"",B14="Active",'State Search'!$C$5&lt;&gt;"",OR(X14=",ALL,",ISNUMBER(SEARCH(","&amp;'State Search'!$C$5&amp;",",X14)))),W14,"")</f>
        <v/>
      </c>
    </row>
    <row r="15">
      <c r="A15" s="64" t="n"/>
      <c r="B15" s="65" t="n"/>
      <c r="C15" s="64" t="n"/>
      <c r="D15" s="66" t="n"/>
      <c r="E15" s="66" t="n"/>
      <c r="F15" s="67" t="n"/>
      <c r="G15" s="67" t="n"/>
      <c r="H15" s="67" t="n"/>
      <c r="I15" s="67" t="n"/>
      <c r="J15" s="67" t="n"/>
      <c r="K15" s="67" t="n"/>
      <c r="L15" s="67" t="n"/>
      <c r="M15" s="67" t="n"/>
      <c r="N15" s="65" t="n"/>
      <c r="O15" s="84">
        <f>IF(A15="","",IF(E15="","No date",IF(TODAY()&gt;=EDATE(E15,Review_Months),"Review Due","Current")))</f>
        <v/>
      </c>
      <c r="P15" s="84">
        <f>IF(A15="","",IF(COUNTIFS('AFA Rates'!$A$5:$A$1004,A15,'AFA Rates'!$O$5:$O$1004,"&lt;&gt;Expired")&gt;0,"Yes",IF(COUNTIF('AFA Rates'!$A$5:$A$1004,A15)&gt;0,"Expired only","No")))</f>
        <v/>
      </c>
      <c r="Q15" s="84">
        <f>IF(A15="","",COUNTIFS('AFA Rates'!$A$5:$A$1004,A15,'AFA Rates'!$O$5:$O$1004,"&lt;&gt;Expired"))</f>
        <v/>
      </c>
      <c r="R15" s="66" t="n"/>
      <c r="S15" s="64" t="n"/>
      <c r="T15" s="64" t="n"/>
      <c r="U15">
        <f>IF(AND(A15&lt;&gt;"",B15="Paused"),COUNTIFS($A$5:A15,"&lt;&gt;",$B$5:B15,"Paused"),"")</f>
        <v/>
      </c>
      <c r="V15">
        <f>IF(P15="Yes",COUNTIF($P$5:P15,"Yes"),"")</f>
        <v/>
      </c>
      <c r="W15">
        <f>IF(A15="","",COUNTIF($A$5:$A$1004,"&lt;"&amp;A15)+COUNTIF($A$5:A15,A15))</f>
        <v/>
      </c>
      <c r="X15">
        <f>","&amp;SUBSTITUTE(SUBSTITUTE(SUBSTITUTE(UPPER(C15)," ",""),";",","),"/",",")&amp;","</f>
        <v/>
      </c>
      <c r="Y15">
        <f>IF(AND(A15&lt;&gt;"",B15="Active",'State Search'!$C$5&lt;&gt;"",OR(X15=",ALL,",ISNUMBER(SEARCH(","&amp;'State Search'!$C$5&amp;",",X15)))),W15,"")</f>
        <v/>
      </c>
    </row>
    <row r="16">
      <c r="A16" s="64" t="n"/>
      <c r="B16" s="65" t="n"/>
      <c r="C16" s="64" t="n"/>
      <c r="D16" s="66" t="n"/>
      <c r="E16" s="66" t="n"/>
      <c r="F16" s="67" t="n"/>
      <c r="G16" s="67" t="n"/>
      <c r="H16" s="67" t="n"/>
      <c r="I16" s="67" t="n"/>
      <c r="J16" s="67" t="n"/>
      <c r="K16" s="67" t="n"/>
      <c r="L16" s="67" t="n"/>
      <c r="M16" s="67" t="n"/>
      <c r="N16" s="65" t="n"/>
      <c r="O16" s="84">
        <f>IF(A16="","",IF(E16="","No date",IF(TODAY()&gt;=EDATE(E16,Review_Months),"Review Due","Current")))</f>
        <v/>
      </c>
      <c r="P16" s="84">
        <f>IF(A16="","",IF(COUNTIFS('AFA Rates'!$A$5:$A$1004,A16,'AFA Rates'!$O$5:$O$1004,"&lt;&gt;Expired")&gt;0,"Yes",IF(COUNTIF('AFA Rates'!$A$5:$A$1004,A16)&gt;0,"Expired only","No")))</f>
        <v/>
      </c>
      <c r="Q16" s="84">
        <f>IF(A16="","",COUNTIFS('AFA Rates'!$A$5:$A$1004,A16,'AFA Rates'!$O$5:$O$1004,"&lt;&gt;Expired"))</f>
        <v/>
      </c>
      <c r="R16" s="66" t="n"/>
      <c r="S16" s="64" t="n"/>
      <c r="T16" s="64" t="n"/>
      <c r="U16">
        <f>IF(AND(A16&lt;&gt;"",B16="Paused"),COUNTIFS($A$5:A16,"&lt;&gt;",$B$5:B16,"Paused"),"")</f>
        <v/>
      </c>
      <c r="V16">
        <f>IF(P16="Yes",COUNTIF($P$5:P16,"Yes"),"")</f>
        <v/>
      </c>
      <c r="W16">
        <f>IF(A16="","",COUNTIF($A$5:$A$1004,"&lt;"&amp;A16)+COUNTIF($A$5:A16,A16))</f>
        <v/>
      </c>
      <c r="X16">
        <f>","&amp;SUBSTITUTE(SUBSTITUTE(SUBSTITUTE(UPPER(C16)," ",""),";",","),"/",",")&amp;","</f>
        <v/>
      </c>
      <c r="Y16">
        <f>IF(AND(A16&lt;&gt;"",B16="Active",'State Search'!$C$5&lt;&gt;"",OR(X16=",ALL,",ISNUMBER(SEARCH(","&amp;'State Search'!$C$5&amp;",",X16)))),W16,"")</f>
        <v/>
      </c>
    </row>
    <row r="17">
      <c r="A17" s="64" t="n"/>
      <c r="B17" s="65" t="n"/>
      <c r="C17" s="64" t="n"/>
      <c r="D17" s="66" t="n"/>
      <c r="E17" s="66" t="n"/>
      <c r="F17" s="67" t="n"/>
      <c r="G17" s="67" t="n"/>
      <c r="H17" s="67" t="n"/>
      <c r="I17" s="67" t="n"/>
      <c r="J17" s="67" t="n"/>
      <c r="K17" s="67" t="n"/>
      <c r="L17" s="67" t="n"/>
      <c r="M17" s="67" t="n"/>
      <c r="N17" s="65" t="n"/>
      <c r="O17" s="84">
        <f>IF(A17="","",IF(E17="","No date",IF(TODAY()&gt;=EDATE(E17,Review_Months),"Review Due","Current")))</f>
        <v/>
      </c>
      <c r="P17" s="84">
        <f>IF(A17="","",IF(COUNTIFS('AFA Rates'!$A$5:$A$1004,A17,'AFA Rates'!$O$5:$O$1004,"&lt;&gt;Expired")&gt;0,"Yes",IF(COUNTIF('AFA Rates'!$A$5:$A$1004,A17)&gt;0,"Expired only","No")))</f>
        <v/>
      </c>
      <c r="Q17" s="84">
        <f>IF(A17="","",COUNTIFS('AFA Rates'!$A$5:$A$1004,A17,'AFA Rates'!$O$5:$O$1004,"&lt;&gt;Expired"))</f>
        <v/>
      </c>
      <c r="R17" s="66" t="n"/>
      <c r="S17" s="64" t="n"/>
      <c r="T17" s="64" t="n"/>
      <c r="U17">
        <f>IF(AND(A17&lt;&gt;"",B17="Paused"),COUNTIFS($A$5:A17,"&lt;&gt;",$B$5:B17,"Paused"),"")</f>
        <v/>
      </c>
      <c r="V17">
        <f>IF(P17="Yes",COUNTIF($P$5:P17,"Yes"),"")</f>
        <v/>
      </c>
      <c r="W17">
        <f>IF(A17="","",COUNTIF($A$5:$A$1004,"&lt;"&amp;A17)+COUNTIF($A$5:A17,A17))</f>
        <v/>
      </c>
      <c r="X17">
        <f>","&amp;SUBSTITUTE(SUBSTITUTE(SUBSTITUTE(UPPER(C17)," ",""),";",","),"/",",")&amp;","</f>
        <v/>
      </c>
      <c r="Y17">
        <f>IF(AND(A17&lt;&gt;"",B17="Active",'State Search'!$C$5&lt;&gt;"",OR(X17=",ALL,",ISNUMBER(SEARCH(","&amp;'State Search'!$C$5&amp;",",X17)))),W17,"")</f>
        <v/>
      </c>
    </row>
    <row r="18">
      <c r="A18" s="64" t="n"/>
      <c r="B18" s="65" t="n"/>
      <c r="C18" s="64" t="n"/>
      <c r="D18" s="66" t="n"/>
      <c r="E18" s="66" t="n"/>
      <c r="F18" s="67" t="n"/>
      <c r="G18" s="67" t="n"/>
      <c r="H18" s="67" t="n"/>
      <c r="I18" s="67" t="n"/>
      <c r="J18" s="67" t="n"/>
      <c r="K18" s="67" t="n"/>
      <c r="L18" s="67" t="n"/>
      <c r="M18" s="67" t="n"/>
      <c r="N18" s="65" t="n"/>
      <c r="O18" s="84">
        <f>IF(A18="","",IF(E18="","No date",IF(TODAY()&gt;=EDATE(E18,Review_Months),"Review Due","Current")))</f>
        <v/>
      </c>
      <c r="P18" s="84">
        <f>IF(A18="","",IF(COUNTIFS('AFA Rates'!$A$5:$A$1004,A18,'AFA Rates'!$O$5:$O$1004,"&lt;&gt;Expired")&gt;0,"Yes",IF(COUNTIF('AFA Rates'!$A$5:$A$1004,A18)&gt;0,"Expired only","No")))</f>
        <v/>
      </c>
      <c r="Q18" s="84">
        <f>IF(A18="","",COUNTIFS('AFA Rates'!$A$5:$A$1004,A18,'AFA Rates'!$O$5:$O$1004,"&lt;&gt;Expired"))</f>
        <v/>
      </c>
      <c r="R18" s="66" t="n"/>
      <c r="S18" s="64" t="n"/>
      <c r="T18" s="64" t="n"/>
      <c r="U18">
        <f>IF(AND(A18&lt;&gt;"",B18="Paused"),COUNTIFS($A$5:A18,"&lt;&gt;",$B$5:B18,"Paused"),"")</f>
        <v/>
      </c>
      <c r="V18">
        <f>IF(P18="Yes",COUNTIF($P$5:P18,"Yes"),"")</f>
        <v/>
      </c>
      <c r="W18">
        <f>IF(A18="","",COUNTIF($A$5:$A$1004,"&lt;"&amp;A18)+COUNTIF($A$5:A18,A18))</f>
        <v/>
      </c>
      <c r="X18">
        <f>","&amp;SUBSTITUTE(SUBSTITUTE(SUBSTITUTE(UPPER(C18)," ",""),";",","),"/",",")&amp;","</f>
        <v/>
      </c>
      <c r="Y18">
        <f>IF(AND(A18&lt;&gt;"",B18="Active",'State Search'!$C$5&lt;&gt;"",OR(X18=",ALL,",ISNUMBER(SEARCH(","&amp;'State Search'!$C$5&amp;",",X18)))),W18,"")</f>
        <v/>
      </c>
    </row>
    <row r="19">
      <c r="A19" s="64" t="n"/>
      <c r="B19" s="65" t="n"/>
      <c r="C19" s="64" t="n"/>
      <c r="D19" s="66" t="n"/>
      <c r="E19" s="66" t="n"/>
      <c r="F19" s="67" t="n"/>
      <c r="G19" s="67" t="n"/>
      <c r="H19" s="67" t="n"/>
      <c r="I19" s="67" t="n"/>
      <c r="J19" s="67" t="n"/>
      <c r="K19" s="67" t="n"/>
      <c r="L19" s="67" t="n"/>
      <c r="M19" s="67" t="n"/>
      <c r="N19" s="65" t="n"/>
      <c r="O19" s="84">
        <f>IF(A19="","",IF(E19="","No date",IF(TODAY()&gt;=EDATE(E19,Review_Months),"Review Due","Current")))</f>
        <v/>
      </c>
      <c r="P19" s="84">
        <f>IF(A19="","",IF(COUNTIFS('AFA Rates'!$A$5:$A$1004,A19,'AFA Rates'!$O$5:$O$1004,"&lt;&gt;Expired")&gt;0,"Yes",IF(COUNTIF('AFA Rates'!$A$5:$A$1004,A19)&gt;0,"Expired only","No")))</f>
        <v/>
      </c>
      <c r="Q19" s="84">
        <f>IF(A19="","",COUNTIFS('AFA Rates'!$A$5:$A$1004,A19,'AFA Rates'!$O$5:$O$1004,"&lt;&gt;Expired"))</f>
        <v/>
      </c>
      <c r="R19" s="66" t="n"/>
      <c r="S19" s="64" t="n"/>
      <c r="T19" s="64" t="n"/>
      <c r="U19">
        <f>IF(AND(A19&lt;&gt;"",B19="Paused"),COUNTIFS($A$5:A19,"&lt;&gt;",$B$5:B19,"Paused"),"")</f>
        <v/>
      </c>
      <c r="V19">
        <f>IF(P19="Yes",COUNTIF($P$5:P19,"Yes"),"")</f>
        <v/>
      </c>
      <c r="W19">
        <f>IF(A19="","",COUNTIF($A$5:$A$1004,"&lt;"&amp;A19)+COUNTIF($A$5:A19,A19))</f>
        <v/>
      </c>
      <c r="X19">
        <f>","&amp;SUBSTITUTE(SUBSTITUTE(SUBSTITUTE(UPPER(C19)," ",""),";",","),"/",",")&amp;","</f>
        <v/>
      </c>
      <c r="Y19">
        <f>IF(AND(A19&lt;&gt;"",B19="Active",'State Search'!$C$5&lt;&gt;"",OR(X19=",ALL,",ISNUMBER(SEARCH(","&amp;'State Search'!$C$5&amp;",",X19)))),W19,"")</f>
        <v/>
      </c>
    </row>
    <row r="20">
      <c r="A20" s="64" t="n"/>
      <c r="B20" s="65" t="n"/>
      <c r="C20" s="64" t="n"/>
      <c r="D20" s="66" t="n"/>
      <c r="E20" s="66" t="n"/>
      <c r="F20" s="67" t="n"/>
      <c r="G20" s="67" t="n"/>
      <c r="H20" s="67" t="n"/>
      <c r="I20" s="67" t="n"/>
      <c r="J20" s="67" t="n"/>
      <c r="K20" s="67" t="n"/>
      <c r="L20" s="67" t="n"/>
      <c r="M20" s="67" t="n"/>
      <c r="N20" s="65" t="n"/>
      <c r="O20" s="84">
        <f>IF(A20="","",IF(E20="","No date",IF(TODAY()&gt;=EDATE(E20,Review_Months),"Review Due","Current")))</f>
        <v/>
      </c>
      <c r="P20" s="84">
        <f>IF(A20="","",IF(COUNTIFS('AFA Rates'!$A$5:$A$1004,A20,'AFA Rates'!$O$5:$O$1004,"&lt;&gt;Expired")&gt;0,"Yes",IF(COUNTIF('AFA Rates'!$A$5:$A$1004,A20)&gt;0,"Expired only","No")))</f>
        <v/>
      </c>
      <c r="Q20" s="84">
        <f>IF(A20="","",COUNTIFS('AFA Rates'!$A$5:$A$1004,A20,'AFA Rates'!$O$5:$O$1004,"&lt;&gt;Expired"))</f>
        <v/>
      </c>
      <c r="R20" s="66" t="n"/>
      <c r="S20" s="64" t="n"/>
      <c r="T20" s="64" t="n"/>
      <c r="U20">
        <f>IF(AND(A20&lt;&gt;"",B20="Paused"),COUNTIFS($A$5:A20,"&lt;&gt;",$B$5:B20,"Paused"),"")</f>
        <v/>
      </c>
      <c r="V20">
        <f>IF(P20="Yes",COUNTIF($P$5:P20,"Yes"),"")</f>
        <v/>
      </c>
      <c r="W20">
        <f>IF(A20="","",COUNTIF($A$5:$A$1004,"&lt;"&amp;A20)+COUNTIF($A$5:A20,A20))</f>
        <v/>
      </c>
      <c r="X20">
        <f>","&amp;SUBSTITUTE(SUBSTITUTE(SUBSTITUTE(UPPER(C20)," ",""),";",","),"/",",")&amp;","</f>
        <v/>
      </c>
      <c r="Y20">
        <f>IF(AND(A20&lt;&gt;"",B20="Active",'State Search'!$C$5&lt;&gt;"",OR(X20=",ALL,",ISNUMBER(SEARCH(","&amp;'State Search'!$C$5&amp;",",X20)))),W20,"")</f>
        <v/>
      </c>
    </row>
    <row r="21">
      <c r="A21" s="64" t="n"/>
      <c r="B21" s="65" t="n"/>
      <c r="C21" s="64" t="n"/>
      <c r="D21" s="66" t="n"/>
      <c r="E21" s="66" t="n"/>
      <c r="F21" s="67" t="n"/>
      <c r="G21" s="67" t="n"/>
      <c r="H21" s="67" t="n"/>
      <c r="I21" s="67" t="n"/>
      <c r="J21" s="67" t="n"/>
      <c r="K21" s="67" t="n"/>
      <c r="L21" s="67" t="n"/>
      <c r="M21" s="67" t="n"/>
      <c r="N21" s="65" t="n"/>
      <c r="O21" s="84">
        <f>IF(A21="","",IF(E21="","No date",IF(TODAY()&gt;=EDATE(E21,Review_Months),"Review Due","Current")))</f>
        <v/>
      </c>
      <c r="P21" s="84">
        <f>IF(A21="","",IF(COUNTIFS('AFA Rates'!$A$5:$A$1004,A21,'AFA Rates'!$O$5:$O$1004,"&lt;&gt;Expired")&gt;0,"Yes",IF(COUNTIF('AFA Rates'!$A$5:$A$1004,A21)&gt;0,"Expired only","No")))</f>
        <v/>
      </c>
      <c r="Q21" s="84">
        <f>IF(A21="","",COUNTIFS('AFA Rates'!$A$5:$A$1004,A21,'AFA Rates'!$O$5:$O$1004,"&lt;&gt;Expired"))</f>
        <v/>
      </c>
      <c r="R21" s="66" t="n"/>
      <c r="S21" s="64" t="n"/>
      <c r="T21" s="64" t="n"/>
      <c r="U21">
        <f>IF(AND(A21&lt;&gt;"",B21="Paused"),COUNTIFS($A$5:A21,"&lt;&gt;",$B$5:B21,"Paused"),"")</f>
        <v/>
      </c>
      <c r="V21">
        <f>IF(P21="Yes",COUNTIF($P$5:P21,"Yes"),"")</f>
        <v/>
      </c>
      <c r="W21">
        <f>IF(A21="","",COUNTIF($A$5:$A$1004,"&lt;"&amp;A21)+COUNTIF($A$5:A21,A21))</f>
        <v/>
      </c>
      <c r="X21">
        <f>","&amp;SUBSTITUTE(SUBSTITUTE(SUBSTITUTE(UPPER(C21)," ",""),";",","),"/",",")&amp;","</f>
        <v/>
      </c>
      <c r="Y21">
        <f>IF(AND(A21&lt;&gt;"",B21="Active",'State Search'!$C$5&lt;&gt;"",OR(X21=",ALL,",ISNUMBER(SEARCH(","&amp;'State Search'!$C$5&amp;",",X21)))),W21,"")</f>
        <v/>
      </c>
    </row>
    <row r="22">
      <c r="A22" s="64" t="n"/>
      <c r="B22" s="65" t="n"/>
      <c r="C22" s="64" t="n"/>
      <c r="D22" s="66" t="n"/>
      <c r="E22" s="66" t="n"/>
      <c r="F22" s="67" t="n"/>
      <c r="G22" s="67" t="n"/>
      <c r="H22" s="67" t="n"/>
      <c r="I22" s="67" t="n"/>
      <c r="J22" s="67" t="n"/>
      <c r="K22" s="67" t="n"/>
      <c r="L22" s="67" t="n"/>
      <c r="M22" s="67" t="n"/>
      <c r="N22" s="65" t="n"/>
      <c r="O22" s="84">
        <f>IF(A22="","",IF(E22="","No date",IF(TODAY()&gt;=EDATE(E22,Review_Months),"Review Due","Current")))</f>
        <v/>
      </c>
      <c r="P22" s="84">
        <f>IF(A22="","",IF(COUNTIFS('AFA Rates'!$A$5:$A$1004,A22,'AFA Rates'!$O$5:$O$1004,"&lt;&gt;Expired")&gt;0,"Yes",IF(COUNTIF('AFA Rates'!$A$5:$A$1004,A22)&gt;0,"Expired only","No")))</f>
        <v/>
      </c>
      <c r="Q22" s="84">
        <f>IF(A22="","",COUNTIFS('AFA Rates'!$A$5:$A$1004,A22,'AFA Rates'!$O$5:$O$1004,"&lt;&gt;Expired"))</f>
        <v/>
      </c>
      <c r="R22" s="66" t="n"/>
      <c r="S22" s="64" t="n"/>
      <c r="T22" s="64" t="n"/>
      <c r="U22">
        <f>IF(AND(A22&lt;&gt;"",B22="Paused"),COUNTIFS($A$5:A22,"&lt;&gt;",$B$5:B22,"Paused"),"")</f>
        <v/>
      </c>
      <c r="V22">
        <f>IF(P22="Yes",COUNTIF($P$5:P22,"Yes"),"")</f>
        <v/>
      </c>
      <c r="W22">
        <f>IF(A22="","",COUNTIF($A$5:$A$1004,"&lt;"&amp;A22)+COUNTIF($A$5:A22,A22))</f>
        <v/>
      </c>
      <c r="X22">
        <f>","&amp;SUBSTITUTE(SUBSTITUTE(SUBSTITUTE(UPPER(C22)," ",""),";",","),"/",",")&amp;","</f>
        <v/>
      </c>
      <c r="Y22">
        <f>IF(AND(A22&lt;&gt;"",B22="Active",'State Search'!$C$5&lt;&gt;"",OR(X22=",ALL,",ISNUMBER(SEARCH(","&amp;'State Search'!$C$5&amp;",",X22)))),W22,"")</f>
        <v/>
      </c>
    </row>
    <row r="23">
      <c r="A23" s="64" t="n"/>
      <c r="B23" s="65" t="n"/>
      <c r="C23" s="64" t="n"/>
      <c r="D23" s="66" t="n"/>
      <c r="E23" s="66" t="n"/>
      <c r="F23" s="67" t="n"/>
      <c r="G23" s="67" t="n"/>
      <c r="H23" s="67" t="n"/>
      <c r="I23" s="67" t="n"/>
      <c r="J23" s="67" t="n"/>
      <c r="K23" s="67" t="n"/>
      <c r="L23" s="67" t="n"/>
      <c r="M23" s="67" t="n"/>
      <c r="N23" s="65" t="n"/>
      <c r="O23" s="84">
        <f>IF(A23="","",IF(E23="","No date",IF(TODAY()&gt;=EDATE(E23,Review_Months),"Review Due","Current")))</f>
        <v/>
      </c>
      <c r="P23" s="84">
        <f>IF(A23="","",IF(COUNTIFS('AFA Rates'!$A$5:$A$1004,A23,'AFA Rates'!$O$5:$O$1004,"&lt;&gt;Expired")&gt;0,"Yes",IF(COUNTIF('AFA Rates'!$A$5:$A$1004,A23)&gt;0,"Expired only","No")))</f>
        <v/>
      </c>
      <c r="Q23" s="84">
        <f>IF(A23="","",COUNTIFS('AFA Rates'!$A$5:$A$1004,A23,'AFA Rates'!$O$5:$O$1004,"&lt;&gt;Expired"))</f>
        <v/>
      </c>
      <c r="R23" s="66" t="n"/>
      <c r="S23" s="64" t="n"/>
      <c r="T23" s="64" t="n"/>
      <c r="U23">
        <f>IF(AND(A23&lt;&gt;"",B23="Paused"),COUNTIFS($A$5:A23,"&lt;&gt;",$B$5:B23,"Paused"),"")</f>
        <v/>
      </c>
      <c r="V23">
        <f>IF(P23="Yes",COUNTIF($P$5:P23,"Yes"),"")</f>
        <v/>
      </c>
      <c r="W23">
        <f>IF(A23="","",COUNTIF($A$5:$A$1004,"&lt;"&amp;A23)+COUNTIF($A$5:A23,A23))</f>
        <v/>
      </c>
      <c r="X23">
        <f>","&amp;SUBSTITUTE(SUBSTITUTE(SUBSTITUTE(UPPER(C23)," ",""),";",","),"/",",")&amp;","</f>
        <v/>
      </c>
      <c r="Y23">
        <f>IF(AND(A23&lt;&gt;"",B23="Active",'State Search'!$C$5&lt;&gt;"",OR(X23=",ALL,",ISNUMBER(SEARCH(","&amp;'State Search'!$C$5&amp;",",X23)))),W23,"")</f>
        <v/>
      </c>
    </row>
    <row r="24">
      <c r="A24" s="64" t="n"/>
      <c r="B24" s="65" t="n"/>
      <c r="C24" s="64" t="n"/>
      <c r="D24" s="66" t="n"/>
      <c r="E24" s="66" t="n"/>
      <c r="F24" s="67" t="n"/>
      <c r="G24" s="67" t="n"/>
      <c r="H24" s="67" t="n"/>
      <c r="I24" s="67" t="n"/>
      <c r="J24" s="67" t="n"/>
      <c r="K24" s="67" t="n"/>
      <c r="L24" s="67" t="n"/>
      <c r="M24" s="67" t="n"/>
      <c r="N24" s="65" t="n"/>
      <c r="O24" s="84">
        <f>IF(A24="","",IF(E24="","No date",IF(TODAY()&gt;=EDATE(E24,Review_Months),"Review Due","Current")))</f>
        <v/>
      </c>
      <c r="P24" s="84">
        <f>IF(A24="","",IF(COUNTIFS('AFA Rates'!$A$5:$A$1004,A24,'AFA Rates'!$O$5:$O$1004,"&lt;&gt;Expired")&gt;0,"Yes",IF(COUNTIF('AFA Rates'!$A$5:$A$1004,A24)&gt;0,"Expired only","No")))</f>
        <v/>
      </c>
      <c r="Q24" s="84">
        <f>IF(A24="","",COUNTIFS('AFA Rates'!$A$5:$A$1004,A24,'AFA Rates'!$O$5:$O$1004,"&lt;&gt;Expired"))</f>
        <v/>
      </c>
      <c r="R24" s="66" t="n"/>
      <c r="S24" s="64" t="n"/>
      <c r="T24" s="64" t="n"/>
      <c r="U24">
        <f>IF(AND(A24&lt;&gt;"",B24="Paused"),COUNTIFS($A$5:A24,"&lt;&gt;",$B$5:B24,"Paused"),"")</f>
        <v/>
      </c>
      <c r="V24">
        <f>IF(P24="Yes",COUNTIF($P$5:P24,"Yes"),"")</f>
        <v/>
      </c>
      <c r="W24">
        <f>IF(A24="","",COUNTIF($A$5:$A$1004,"&lt;"&amp;A24)+COUNTIF($A$5:A24,A24))</f>
        <v/>
      </c>
      <c r="X24">
        <f>","&amp;SUBSTITUTE(SUBSTITUTE(SUBSTITUTE(UPPER(C24)," ",""),";",","),"/",",")&amp;","</f>
        <v/>
      </c>
      <c r="Y24">
        <f>IF(AND(A24&lt;&gt;"",B24="Active",'State Search'!$C$5&lt;&gt;"",OR(X24=",ALL,",ISNUMBER(SEARCH(","&amp;'State Search'!$C$5&amp;",",X24)))),W24,"")</f>
        <v/>
      </c>
    </row>
    <row r="25">
      <c r="A25" s="64" t="n"/>
      <c r="B25" s="65" t="n"/>
      <c r="C25" s="64" t="n"/>
      <c r="D25" s="66" t="n"/>
      <c r="E25" s="66" t="n"/>
      <c r="F25" s="67" t="n"/>
      <c r="G25" s="67" t="n"/>
      <c r="H25" s="67" t="n"/>
      <c r="I25" s="67" t="n"/>
      <c r="J25" s="67" t="n"/>
      <c r="K25" s="67" t="n"/>
      <c r="L25" s="67" t="n"/>
      <c r="M25" s="67" t="n"/>
      <c r="N25" s="65" t="n"/>
      <c r="O25" s="84">
        <f>IF(A25="","",IF(E25="","No date",IF(TODAY()&gt;=EDATE(E25,Review_Months),"Review Due","Current")))</f>
        <v/>
      </c>
      <c r="P25" s="84">
        <f>IF(A25="","",IF(COUNTIFS('AFA Rates'!$A$5:$A$1004,A25,'AFA Rates'!$O$5:$O$1004,"&lt;&gt;Expired")&gt;0,"Yes",IF(COUNTIF('AFA Rates'!$A$5:$A$1004,A25)&gt;0,"Expired only","No")))</f>
        <v/>
      </c>
      <c r="Q25" s="84">
        <f>IF(A25="","",COUNTIFS('AFA Rates'!$A$5:$A$1004,A25,'AFA Rates'!$O$5:$O$1004,"&lt;&gt;Expired"))</f>
        <v/>
      </c>
      <c r="R25" s="66" t="n"/>
      <c r="S25" s="64" t="n"/>
      <c r="T25" s="64" t="n"/>
      <c r="U25">
        <f>IF(AND(A25&lt;&gt;"",B25="Paused"),COUNTIFS($A$5:A25,"&lt;&gt;",$B$5:B25,"Paused"),"")</f>
        <v/>
      </c>
      <c r="V25">
        <f>IF(P25="Yes",COUNTIF($P$5:P25,"Yes"),"")</f>
        <v/>
      </c>
      <c r="W25">
        <f>IF(A25="","",COUNTIF($A$5:$A$1004,"&lt;"&amp;A25)+COUNTIF($A$5:A25,A25))</f>
        <v/>
      </c>
      <c r="X25">
        <f>","&amp;SUBSTITUTE(SUBSTITUTE(SUBSTITUTE(UPPER(C25)," ",""),";",","),"/",",")&amp;","</f>
        <v/>
      </c>
      <c r="Y25">
        <f>IF(AND(A25&lt;&gt;"",B25="Active",'State Search'!$C$5&lt;&gt;"",OR(X25=",ALL,",ISNUMBER(SEARCH(","&amp;'State Search'!$C$5&amp;",",X25)))),W25,"")</f>
        <v/>
      </c>
    </row>
    <row r="26">
      <c r="A26" s="64" t="n"/>
      <c r="B26" s="65" t="n"/>
      <c r="C26" s="64" t="n"/>
      <c r="D26" s="66" t="n"/>
      <c r="E26" s="66" t="n"/>
      <c r="F26" s="67" t="n"/>
      <c r="G26" s="67" t="n"/>
      <c r="H26" s="67" t="n"/>
      <c r="I26" s="67" t="n"/>
      <c r="J26" s="67" t="n"/>
      <c r="K26" s="67" t="n"/>
      <c r="L26" s="67" t="n"/>
      <c r="M26" s="67" t="n"/>
      <c r="N26" s="65" t="n"/>
      <c r="O26" s="84">
        <f>IF(A26="","",IF(E26="","No date",IF(TODAY()&gt;=EDATE(E26,Review_Months),"Review Due","Current")))</f>
        <v/>
      </c>
      <c r="P26" s="84">
        <f>IF(A26="","",IF(COUNTIFS('AFA Rates'!$A$5:$A$1004,A26,'AFA Rates'!$O$5:$O$1004,"&lt;&gt;Expired")&gt;0,"Yes",IF(COUNTIF('AFA Rates'!$A$5:$A$1004,A26)&gt;0,"Expired only","No")))</f>
        <v/>
      </c>
      <c r="Q26" s="84">
        <f>IF(A26="","",COUNTIFS('AFA Rates'!$A$5:$A$1004,A26,'AFA Rates'!$O$5:$O$1004,"&lt;&gt;Expired"))</f>
        <v/>
      </c>
      <c r="R26" s="66" t="n"/>
      <c r="S26" s="64" t="n"/>
      <c r="T26" s="64" t="n"/>
      <c r="U26">
        <f>IF(AND(A26&lt;&gt;"",B26="Paused"),COUNTIFS($A$5:A26,"&lt;&gt;",$B$5:B26,"Paused"),"")</f>
        <v/>
      </c>
      <c r="V26">
        <f>IF(P26="Yes",COUNTIF($P$5:P26,"Yes"),"")</f>
        <v/>
      </c>
      <c r="W26">
        <f>IF(A26="","",COUNTIF($A$5:$A$1004,"&lt;"&amp;A26)+COUNTIF($A$5:A26,A26))</f>
        <v/>
      </c>
      <c r="X26">
        <f>","&amp;SUBSTITUTE(SUBSTITUTE(SUBSTITUTE(UPPER(C26)," ",""),";",","),"/",",")&amp;","</f>
        <v/>
      </c>
      <c r="Y26">
        <f>IF(AND(A26&lt;&gt;"",B26="Active",'State Search'!$C$5&lt;&gt;"",OR(X26=",ALL,",ISNUMBER(SEARCH(","&amp;'State Search'!$C$5&amp;",",X26)))),W26,"")</f>
        <v/>
      </c>
    </row>
    <row r="27">
      <c r="A27" s="64" t="n"/>
      <c r="B27" s="65" t="n"/>
      <c r="C27" s="64" t="n"/>
      <c r="D27" s="66" t="n"/>
      <c r="E27" s="66" t="n"/>
      <c r="F27" s="67" t="n"/>
      <c r="G27" s="67" t="n"/>
      <c r="H27" s="67" t="n"/>
      <c r="I27" s="67" t="n"/>
      <c r="J27" s="67" t="n"/>
      <c r="K27" s="67" t="n"/>
      <c r="L27" s="67" t="n"/>
      <c r="M27" s="67" t="n"/>
      <c r="N27" s="65" t="n"/>
      <c r="O27" s="84">
        <f>IF(A27="","",IF(E27="","No date",IF(TODAY()&gt;=EDATE(E27,Review_Months),"Review Due","Current")))</f>
        <v/>
      </c>
      <c r="P27" s="84">
        <f>IF(A27="","",IF(COUNTIFS('AFA Rates'!$A$5:$A$1004,A27,'AFA Rates'!$O$5:$O$1004,"&lt;&gt;Expired")&gt;0,"Yes",IF(COUNTIF('AFA Rates'!$A$5:$A$1004,A27)&gt;0,"Expired only","No")))</f>
        <v/>
      </c>
      <c r="Q27" s="84">
        <f>IF(A27="","",COUNTIFS('AFA Rates'!$A$5:$A$1004,A27,'AFA Rates'!$O$5:$O$1004,"&lt;&gt;Expired"))</f>
        <v/>
      </c>
      <c r="R27" s="66" t="n"/>
      <c r="S27" s="64" t="n"/>
      <c r="T27" s="64" t="n"/>
      <c r="U27">
        <f>IF(AND(A27&lt;&gt;"",B27="Paused"),COUNTIFS($A$5:A27,"&lt;&gt;",$B$5:B27,"Paused"),"")</f>
        <v/>
      </c>
      <c r="V27">
        <f>IF(P27="Yes",COUNTIF($P$5:P27,"Yes"),"")</f>
        <v/>
      </c>
      <c r="W27">
        <f>IF(A27="","",COUNTIF($A$5:$A$1004,"&lt;"&amp;A27)+COUNTIF($A$5:A27,A27))</f>
        <v/>
      </c>
      <c r="X27">
        <f>","&amp;SUBSTITUTE(SUBSTITUTE(SUBSTITUTE(UPPER(C27)," ",""),";",","),"/",",")&amp;","</f>
        <v/>
      </c>
      <c r="Y27">
        <f>IF(AND(A27&lt;&gt;"",B27="Active",'State Search'!$C$5&lt;&gt;"",OR(X27=",ALL,",ISNUMBER(SEARCH(","&amp;'State Search'!$C$5&amp;",",X27)))),W27,"")</f>
        <v/>
      </c>
    </row>
    <row r="28">
      <c r="A28" s="64" t="n"/>
      <c r="B28" s="65" t="n"/>
      <c r="C28" s="64" t="n"/>
      <c r="D28" s="66" t="n"/>
      <c r="E28" s="66" t="n"/>
      <c r="F28" s="67" t="n"/>
      <c r="G28" s="67" t="n"/>
      <c r="H28" s="67" t="n"/>
      <c r="I28" s="67" t="n"/>
      <c r="J28" s="67" t="n"/>
      <c r="K28" s="67" t="n"/>
      <c r="L28" s="67" t="n"/>
      <c r="M28" s="67" t="n"/>
      <c r="N28" s="65" t="n"/>
      <c r="O28" s="84">
        <f>IF(A28="","",IF(E28="","No date",IF(TODAY()&gt;=EDATE(E28,Review_Months),"Review Due","Current")))</f>
        <v/>
      </c>
      <c r="P28" s="84">
        <f>IF(A28="","",IF(COUNTIFS('AFA Rates'!$A$5:$A$1004,A28,'AFA Rates'!$O$5:$O$1004,"&lt;&gt;Expired")&gt;0,"Yes",IF(COUNTIF('AFA Rates'!$A$5:$A$1004,A28)&gt;0,"Expired only","No")))</f>
        <v/>
      </c>
      <c r="Q28" s="84">
        <f>IF(A28="","",COUNTIFS('AFA Rates'!$A$5:$A$1004,A28,'AFA Rates'!$O$5:$O$1004,"&lt;&gt;Expired"))</f>
        <v/>
      </c>
      <c r="R28" s="66" t="n"/>
      <c r="S28" s="64" t="n"/>
      <c r="T28" s="64" t="n"/>
      <c r="U28">
        <f>IF(AND(A28&lt;&gt;"",B28="Paused"),COUNTIFS($A$5:A28,"&lt;&gt;",$B$5:B28,"Paused"),"")</f>
        <v/>
      </c>
      <c r="V28">
        <f>IF(P28="Yes",COUNTIF($P$5:P28,"Yes"),"")</f>
        <v/>
      </c>
      <c r="W28">
        <f>IF(A28="","",COUNTIF($A$5:$A$1004,"&lt;"&amp;A28)+COUNTIF($A$5:A28,A28))</f>
        <v/>
      </c>
      <c r="X28">
        <f>","&amp;SUBSTITUTE(SUBSTITUTE(SUBSTITUTE(UPPER(C28)," ",""),";",","),"/",",")&amp;","</f>
        <v/>
      </c>
      <c r="Y28">
        <f>IF(AND(A28&lt;&gt;"",B28="Active",'State Search'!$C$5&lt;&gt;"",OR(X28=",ALL,",ISNUMBER(SEARCH(","&amp;'State Search'!$C$5&amp;",",X28)))),W28,"")</f>
        <v/>
      </c>
    </row>
    <row r="29">
      <c r="A29" s="64" t="n"/>
      <c r="B29" s="65" t="n"/>
      <c r="C29" s="64" t="n"/>
      <c r="D29" s="66" t="n"/>
      <c r="E29" s="66" t="n"/>
      <c r="F29" s="67" t="n"/>
      <c r="G29" s="67" t="n"/>
      <c r="H29" s="67" t="n"/>
      <c r="I29" s="67" t="n"/>
      <c r="J29" s="67" t="n"/>
      <c r="K29" s="67" t="n"/>
      <c r="L29" s="67" t="n"/>
      <c r="M29" s="67" t="n"/>
      <c r="N29" s="65" t="n"/>
      <c r="O29" s="84">
        <f>IF(A29="","",IF(E29="","No date",IF(TODAY()&gt;=EDATE(E29,Review_Months),"Review Due","Current")))</f>
        <v/>
      </c>
      <c r="P29" s="84">
        <f>IF(A29="","",IF(COUNTIFS('AFA Rates'!$A$5:$A$1004,A29,'AFA Rates'!$O$5:$O$1004,"&lt;&gt;Expired")&gt;0,"Yes",IF(COUNTIF('AFA Rates'!$A$5:$A$1004,A29)&gt;0,"Expired only","No")))</f>
        <v/>
      </c>
      <c r="Q29" s="84">
        <f>IF(A29="","",COUNTIFS('AFA Rates'!$A$5:$A$1004,A29,'AFA Rates'!$O$5:$O$1004,"&lt;&gt;Expired"))</f>
        <v/>
      </c>
      <c r="R29" s="66" t="n"/>
      <c r="S29" s="64" t="n"/>
      <c r="T29" s="64" t="n"/>
      <c r="U29">
        <f>IF(AND(A29&lt;&gt;"",B29="Paused"),COUNTIFS($A$5:A29,"&lt;&gt;",$B$5:B29,"Paused"),"")</f>
        <v/>
      </c>
      <c r="V29">
        <f>IF(P29="Yes",COUNTIF($P$5:P29,"Yes"),"")</f>
        <v/>
      </c>
      <c r="W29">
        <f>IF(A29="","",COUNTIF($A$5:$A$1004,"&lt;"&amp;A29)+COUNTIF($A$5:A29,A29))</f>
        <v/>
      </c>
      <c r="X29">
        <f>","&amp;SUBSTITUTE(SUBSTITUTE(SUBSTITUTE(UPPER(C29)," ",""),";",","),"/",",")&amp;","</f>
        <v/>
      </c>
      <c r="Y29">
        <f>IF(AND(A29&lt;&gt;"",B29="Active",'State Search'!$C$5&lt;&gt;"",OR(X29=",ALL,",ISNUMBER(SEARCH(","&amp;'State Search'!$C$5&amp;",",X29)))),W29,"")</f>
        <v/>
      </c>
    </row>
    <row r="30">
      <c r="A30" s="64" t="n"/>
      <c r="B30" s="65" t="n"/>
      <c r="C30" s="64" t="n"/>
      <c r="D30" s="66" t="n"/>
      <c r="E30" s="66" t="n"/>
      <c r="F30" s="67" t="n"/>
      <c r="G30" s="67" t="n"/>
      <c r="H30" s="67" t="n"/>
      <c r="I30" s="67" t="n"/>
      <c r="J30" s="67" t="n"/>
      <c r="K30" s="67" t="n"/>
      <c r="L30" s="67" t="n"/>
      <c r="M30" s="67" t="n"/>
      <c r="N30" s="65" t="n"/>
      <c r="O30" s="84">
        <f>IF(A30="","",IF(E30="","No date",IF(TODAY()&gt;=EDATE(E30,Review_Months),"Review Due","Current")))</f>
        <v/>
      </c>
      <c r="P30" s="84">
        <f>IF(A30="","",IF(COUNTIFS('AFA Rates'!$A$5:$A$1004,A30,'AFA Rates'!$O$5:$O$1004,"&lt;&gt;Expired")&gt;0,"Yes",IF(COUNTIF('AFA Rates'!$A$5:$A$1004,A30)&gt;0,"Expired only","No")))</f>
        <v/>
      </c>
      <c r="Q30" s="84">
        <f>IF(A30="","",COUNTIFS('AFA Rates'!$A$5:$A$1004,A30,'AFA Rates'!$O$5:$O$1004,"&lt;&gt;Expired"))</f>
        <v/>
      </c>
      <c r="R30" s="66" t="n"/>
      <c r="S30" s="64" t="n"/>
      <c r="T30" s="64" t="n"/>
      <c r="U30">
        <f>IF(AND(A30&lt;&gt;"",B30="Paused"),COUNTIFS($A$5:A30,"&lt;&gt;",$B$5:B30,"Paused"),"")</f>
        <v/>
      </c>
      <c r="V30">
        <f>IF(P30="Yes",COUNTIF($P$5:P30,"Yes"),"")</f>
        <v/>
      </c>
      <c r="W30">
        <f>IF(A30="","",COUNTIF($A$5:$A$1004,"&lt;"&amp;A30)+COUNTIF($A$5:A30,A30))</f>
        <v/>
      </c>
      <c r="X30">
        <f>","&amp;SUBSTITUTE(SUBSTITUTE(SUBSTITUTE(UPPER(C30)," ",""),";",","),"/",",")&amp;","</f>
        <v/>
      </c>
      <c r="Y30">
        <f>IF(AND(A30&lt;&gt;"",B30="Active",'State Search'!$C$5&lt;&gt;"",OR(X30=",ALL,",ISNUMBER(SEARCH(","&amp;'State Search'!$C$5&amp;",",X30)))),W30,"")</f>
        <v/>
      </c>
    </row>
    <row r="31">
      <c r="A31" s="64" t="n"/>
      <c r="B31" s="65" t="n"/>
      <c r="C31" s="64" t="n"/>
      <c r="D31" s="66" t="n"/>
      <c r="E31" s="66" t="n"/>
      <c r="F31" s="67" t="n"/>
      <c r="G31" s="67" t="n"/>
      <c r="H31" s="67" t="n"/>
      <c r="I31" s="67" t="n"/>
      <c r="J31" s="67" t="n"/>
      <c r="K31" s="67" t="n"/>
      <c r="L31" s="67" t="n"/>
      <c r="M31" s="67" t="n"/>
      <c r="N31" s="65" t="n"/>
      <c r="O31" s="84">
        <f>IF(A31="","",IF(E31="","No date",IF(TODAY()&gt;=EDATE(E31,Review_Months),"Review Due","Current")))</f>
        <v/>
      </c>
      <c r="P31" s="84">
        <f>IF(A31="","",IF(COUNTIFS('AFA Rates'!$A$5:$A$1004,A31,'AFA Rates'!$O$5:$O$1004,"&lt;&gt;Expired")&gt;0,"Yes",IF(COUNTIF('AFA Rates'!$A$5:$A$1004,A31)&gt;0,"Expired only","No")))</f>
        <v/>
      </c>
      <c r="Q31" s="84">
        <f>IF(A31="","",COUNTIFS('AFA Rates'!$A$5:$A$1004,A31,'AFA Rates'!$O$5:$O$1004,"&lt;&gt;Expired"))</f>
        <v/>
      </c>
      <c r="R31" s="66" t="n"/>
      <c r="S31" s="64" t="n"/>
      <c r="T31" s="64" t="n"/>
      <c r="U31">
        <f>IF(AND(A31&lt;&gt;"",B31="Paused"),COUNTIFS($A$5:A31,"&lt;&gt;",$B$5:B31,"Paused"),"")</f>
        <v/>
      </c>
      <c r="V31">
        <f>IF(P31="Yes",COUNTIF($P$5:P31,"Yes"),"")</f>
        <v/>
      </c>
      <c r="W31">
        <f>IF(A31="","",COUNTIF($A$5:$A$1004,"&lt;"&amp;A31)+COUNTIF($A$5:A31,A31))</f>
        <v/>
      </c>
      <c r="X31">
        <f>","&amp;SUBSTITUTE(SUBSTITUTE(SUBSTITUTE(UPPER(C31)," ",""),";",","),"/",",")&amp;","</f>
        <v/>
      </c>
      <c r="Y31">
        <f>IF(AND(A31&lt;&gt;"",B31="Active",'State Search'!$C$5&lt;&gt;"",OR(X31=",ALL,",ISNUMBER(SEARCH(","&amp;'State Search'!$C$5&amp;",",X31)))),W31,"")</f>
        <v/>
      </c>
    </row>
    <row r="32">
      <c r="A32" s="64" t="n"/>
      <c r="B32" s="65" t="n"/>
      <c r="C32" s="64" t="n"/>
      <c r="D32" s="66" t="n"/>
      <c r="E32" s="66" t="n"/>
      <c r="F32" s="67" t="n"/>
      <c r="G32" s="67" t="n"/>
      <c r="H32" s="67" t="n"/>
      <c r="I32" s="67" t="n"/>
      <c r="J32" s="67" t="n"/>
      <c r="K32" s="67" t="n"/>
      <c r="L32" s="67" t="n"/>
      <c r="M32" s="67" t="n"/>
      <c r="N32" s="65" t="n"/>
      <c r="O32" s="84">
        <f>IF(A32="","",IF(E32="","No date",IF(TODAY()&gt;=EDATE(E32,Review_Months),"Review Due","Current")))</f>
        <v/>
      </c>
      <c r="P32" s="84">
        <f>IF(A32="","",IF(COUNTIFS('AFA Rates'!$A$5:$A$1004,A32,'AFA Rates'!$O$5:$O$1004,"&lt;&gt;Expired")&gt;0,"Yes",IF(COUNTIF('AFA Rates'!$A$5:$A$1004,A32)&gt;0,"Expired only","No")))</f>
        <v/>
      </c>
      <c r="Q32" s="84">
        <f>IF(A32="","",COUNTIFS('AFA Rates'!$A$5:$A$1004,A32,'AFA Rates'!$O$5:$O$1004,"&lt;&gt;Expired"))</f>
        <v/>
      </c>
      <c r="R32" s="66" t="n"/>
      <c r="S32" s="64" t="n"/>
      <c r="T32" s="64" t="n"/>
      <c r="U32">
        <f>IF(AND(A32&lt;&gt;"",B32="Paused"),COUNTIFS($A$5:A32,"&lt;&gt;",$B$5:B32,"Paused"),"")</f>
        <v/>
      </c>
      <c r="V32">
        <f>IF(P32="Yes",COUNTIF($P$5:P32,"Yes"),"")</f>
        <v/>
      </c>
      <c r="W32">
        <f>IF(A32="","",COUNTIF($A$5:$A$1004,"&lt;"&amp;A32)+COUNTIF($A$5:A32,A32))</f>
        <v/>
      </c>
      <c r="X32">
        <f>","&amp;SUBSTITUTE(SUBSTITUTE(SUBSTITUTE(UPPER(C32)," ",""),";",","),"/",",")&amp;","</f>
        <v/>
      </c>
      <c r="Y32">
        <f>IF(AND(A32&lt;&gt;"",B32="Active",'State Search'!$C$5&lt;&gt;"",OR(X32=",ALL,",ISNUMBER(SEARCH(","&amp;'State Search'!$C$5&amp;",",X32)))),W32,"")</f>
        <v/>
      </c>
    </row>
    <row r="33">
      <c r="A33" s="64" t="n"/>
      <c r="B33" s="65" t="n"/>
      <c r="C33" s="64" t="n"/>
      <c r="D33" s="66" t="n"/>
      <c r="E33" s="66" t="n"/>
      <c r="F33" s="67" t="n"/>
      <c r="G33" s="67" t="n"/>
      <c r="H33" s="67" t="n"/>
      <c r="I33" s="67" t="n"/>
      <c r="J33" s="67" t="n"/>
      <c r="K33" s="67" t="n"/>
      <c r="L33" s="67" t="n"/>
      <c r="M33" s="67" t="n"/>
      <c r="N33" s="65" t="n"/>
      <c r="O33" s="84">
        <f>IF(A33="","",IF(E33="","No date",IF(TODAY()&gt;=EDATE(E33,Review_Months),"Review Due","Current")))</f>
        <v/>
      </c>
      <c r="P33" s="84">
        <f>IF(A33="","",IF(COUNTIFS('AFA Rates'!$A$5:$A$1004,A33,'AFA Rates'!$O$5:$O$1004,"&lt;&gt;Expired")&gt;0,"Yes",IF(COUNTIF('AFA Rates'!$A$5:$A$1004,A33)&gt;0,"Expired only","No")))</f>
        <v/>
      </c>
      <c r="Q33" s="84">
        <f>IF(A33="","",COUNTIFS('AFA Rates'!$A$5:$A$1004,A33,'AFA Rates'!$O$5:$O$1004,"&lt;&gt;Expired"))</f>
        <v/>
      </c>
      <c r="R33" s="66" t="n"/>
      <c r="S33" s="64" t="n"/>
      <c r="T33" s="64" t="n"/>
      <c r="U33">
        <f>IF(AND(A33&lt;&gt;"",B33="Paused"),COUNTIFS($A$5:A33,"&lt;&gt;",$B$5:B33,"Paused"),"")</f>
        <v/>
      </c>
      <c r="V33">
        <f>IF(P33="Yes",COUNTIF($P$5:P33,"Yes"),"")</f>
        <v/>
      </c>
      <c r="W33">
        <f>IF(A33="","",COUNTIF($A$5:$A$1004,"&lt;"&amp;A33)+COUNTIF($A$5:A33,A33))</f>
        <v/>
      </c>
      <c r="X33">
        <f>","&amp;SUBSTITUTE(SUBSTITUTE(SUBSTITUTE(UPPER(C33)," ",""),";",","),"/",",")&amp;","</f>
        <v/>
      </c>
      <c r="Y33">
        <f>IF(AND(A33&lt;&gt;"",B33="Active",'State Search'!$C$5&lt;&gt;"",OR(X33=",ALL,",ISNUMBER(SEARCH(","&amp;'State Search'!$C$5&amp;",",X33)))),W33,"")</f>
        <v/>
      </c>
    </row>
    <row r="34">
      <c r="A34" s="64" t="n"/>
      <c r="B34" s="65" t="n"/>
      <c r="C34" s="64" t="n"/>
      <c r="D34" s="66" t="n"/>
      <c r="E34" s="66" t="n"/>
      <c r="F34" s="67" t="n"/>
      <c r="G34" s="67" t="n"/>
      <c r="H34" s="67" t="n"/>
      <c r="I34" s="67" t="n"/>
      <c r="J34" s="67" t="n"/>
      <c r="K34" s="67" t="n"/>
      <c r="L34" s="67" t="n"/>
      <c r="M34" s="67" t="n"/>
      <c r="N34" s="65" t="n"/>
      <c r="O34" s="84">
        <f>IF(A34="","",IF(E34="","No date",IF(TODAY()&gt;=EDATE(E34,Review_Months),"Review Due","Current")))</f>
        <v/>
      </c>
      <c r="P34" s="84">
        <f>IF(A34="","",IF(COUNTIFS('AFA Rates'!$A$5:$A$1004,A34,'AFA Rates'!$O$5:$O$1004,"&lt;&gt;Expired")&gt;0,"Yes",IF(COUNTIF('AFA Rates'!$A$5:$A$1004,A34)&gt;0,"Expired only","No")))</f>
        <v/>
      </c>
      <c r="Q34" s="84">
        <f>IF(A34="","",COUNTIFS('AFA Rates'!$A$5:$A$1004,A34,'AFA Rates'!$O$5:$O$1004,"&lt;&gt;Expired"))</f>
        <v/>
      </c>
      <c r="R34" s="66" t="n"/>
      <c r="S34" s="64" t="n"/>
      <c r="T34" s="64" t="n"/>
      <c r="U34">
        <f>IF(AND(A34&lt;&gt;"",B34="Paused"),COUNTIFS($A$5:A34,"&lt;&gt;",$B$5:B34,"Paused"),"")</f>
        <v/>
      </c>
      <c r="V34">
        <f>IF(P34="Yes",COUNTIF($P$5:P34,"Yes"),"")</f>
        <v/>
      </c>
      <c r="W34">
        <f>IF(A34="","",COUNTIF($A$5:$A$1004,"&lt;"&amp;A34)+COUNTIF($A$5:A34,A34))</f>
        <v/>
      </c>
      <c r="X34">
        <f>","&amp;SUBSTITUTE(SUBSTITUTE(SUBSTITUTE(UPPER(C34)," ",""),";",","),"/",",")&amp;","</f>
        <v/>
      </c>
      <c r="Y34">
        <f>IF(AND(A34&lt;&gt;"",B34="Active",'State Search'!$C$5&lt;&gt;"",OR(X34=",ALL,",ISNUMBER(SEARCH(","&amp;'State Search'!$C$5&amp;",",X34)))),W34,"")</f>
        <v/>
      </c>
    </row>
    <row r="35">
      <c r="A35" s="64" t="n"/>
      <c r="B35" s="65" t="n"/>
      <c r="C35" s="64" t="n"/>
      <c r="D35" s="66" t="n"/>
      <c r="E35" s="66" t="n"/>
      <c r="F35" s="67" t="n"/>
      <c r="G35" s="67" t="n"/>
      <c r="H35" s="67" t="n"/>
      <c r="I35" s="67" t="n"/>
      <c r="J35" s="67" t="n"/>
      <c r="K35" s="67" t="n"/>
      <c r="L35" s="67" t="n"/>
      <c r="M35" s="67" t="n"/>
      <c r="N35" s="65" t="n"/>
      <c r="O35" s="84">
        <f>IF(A35="","",IF(E35="","No date",IF(TODAY()&gt;=EDATE(E35,Review_Months),"Review Due","Current")))</f>
        <v/>
      </c>
      <c r="P35" s="84">
        <f>IF(A35="","",IF(COUNTIFS('AFA Rates'!$A$5:$A$1004,A35,'AFA Rates'!$O$5:$O$1004,"&lt;&gt;Expired")&gt;0,"Yes",IF(COUNTIF('AFA Rates'!$A$5:$A$1004,A35)&gt;0,"Expired only","No")))</f>
        <v/>
      </c>
      <c r="Q35" s="84">
        <f>IF(A35="","",COUNTIFS('AFA Rates'!$A$5:$A$1004,A35,'AFA Rates'!$O$5:$O$1004,"&lt;&gt;Expired"))</f>
        <v/>
      </c>
      <c r="R35" s="66" t="n"/>
      <c r="S35" s="64" t="n"/>
      <c r="T35" s="64" t="n"/>
      <c r="U35">
        <f>IF(AND(A35&lt;&gt;"",B35="Paused"),COUNTIFS($A$5:A35,"&lt;&gt;",$B$5:B35,"Paused"),"")</f>
        <v/>
      </c>
      <c r="V35">
        <f>IF(P35="Yes",COUNTIF($P$5:P35,"Yes"),"")</f>
        <v/>
      </c>
      <c r="W35">
        <f>IF(A35="","",COUNTIF($A$5:$A$1004,"&lt;"&amp;A35)+COUNTIF($A$5:A35,A35))</f>
        <v/>
      </c>
      <c r="X35">
        <f>","&amp;SUBSTITUTE(SUBSTITUTE(SUBSTITUTE(UPPER(C35)," ",""),";",","),"/",",")&amp;","</f>
        <v/>
      </c>
      <c r="Y35">
        <f>IF(AND(A35&lt;&gt;"",B35="Active",'State Search'!$C$5&lt;&gt;"",OR(X35=",ALL,",ISNUMBER(SEARCH(","&amp;'State Search'!$C$5&amp;",",X35)))),W35,"")</f>
        <v/>
      </c>
    </row>
    <row r="36">
      <c r="A36" s="64" t="n"/>
      <c r="B36" s="65" t="n"/>
      <c r="C36" s="64" t="n"/>
      <c r="D36" s="66" t="n"/>
      <c r="E36" s="66" t="n"/>
      <c r="F36" s="67" t="n"/>
      <c r="G36" s="67" t="n"/>
      <c r="H36" s="67" t="n"/>
      <c r="I36" s="67" t="n"/>
      <c r="J36" s="67" t="n"/>
      <c r="K36" s="67" t="n"/>
      <c r="L36" s="67" t="n"/>
      <c r="M36" s="67" t="n"/>
      <c r="N36" s="65" t="n"/>
      <c r="O36" s="84">
        <f>IF(A36="","",IF(E36="","No date",IF(TODAY()&gt;=EDATE(E36,Review_Months),"Review Due","Current")))</f>
        <v/>
      </c>
      <c r="P36" s="84">
        <f>IF(A36="","",IF(COUNTIFS('AFA Rates'!$A$5:$A$1004,A36,'AFA Rates'!$O$5:$O$1004,"&lt;&gt;Expired")&gt;0,"Yes",IF(COUNTIF('AFA Rates'!$A$5:$A$1004,A36)&gt;0,"Expired only","No")))</f>
        <v/>
      </c>
      <c r="Q36" s="84">
        <f>IF(A36="","",COUNTIFS('AFA Rates'!$A$5:$A$1004,A36,'AFA Rates'!$O$5:$O$1004,"&lt;&gt;Expired"))</f>
        <v/>
      </c>
      <c r="R36" s="66" t="n"/>
      <c r="S36" s="64" t="n"/>
      <c r="T36" s="64" t="n"/>
      <c r="U36">
        <f>IF(AND(A36&lt;&gt;"",B36="Paused"),COUNTIFS($A$5:A36,"&lt;&gt;",$B$5:B36,"Paused"),"")</f>
        <v/>
      </c>
      <c r="V36">
        <f>IF(P36="Yes",COUNTIF($P$5:P36,"Yes"),"")</f>
        <v/>
      </c>
      <c r="W36">
        <f>IF(A36="","",COUNTIF($A$5:$A$1004,"&lt;"&amp;A36)+COUNTIF($A$5:A36,A36))</f>
        <v/>
      </c>
      <c r="X36">
        <f>","&amp;SUBSTITUTE(SUBSTITUTE(SUBSTITUTE(UPPER(C36)," ",""),";",","),"/",",")&amp;","</f>
        <v/>
      </c>
      <c r="Y36">
        <f>IF(AND(A36&lt;&gt;"",B36="Active",'State Search'!$C$5&lt;&gt;"",OR(X36=",ALL,",ISNUMBER(SEARCH(","&amp;'State Search'!$C$5&amp;",",X36)))),W36,"")</f>
        <v/>
      </c>
    </row>
    <row r="37">
      <c r="A37" s="64" t="n"/>
      <c r="B37" s="65" t="n"/>
      <c r="C37" s="64" t="n"/>
      <c r="D37" s="66" t="n"/>
      <c r="E37" s="66" t="n"/>
      <c r="F37" s="67" t="n"/>
      <c r="G37" s="67" t="n"/>
      <c r="H37" s="67" t="n"/>
      <c r="I37" s="67" t="n"/>
      <c r="J37" s="67" t="n"/>
      <c r="K37" s="67" t="n"/>
      <c r="L37" s="67" t="n"/>
      <c r="M37" s="67" t="n"/>
      <c r="N37" s="65" t="n"/>
      <c r="O37" s="84">
        <f>IF(A37="","",IF(E37="","No date",IF(TODAY()&gt;=EDATE(E37,Review_Months),"Review Due","Current")))</f>
        <v/>
      </c>
      <c r="P37" s="84">
        <f>IF(A37="","",IF(COUNTIFS('AFA Rates'!$A$5:$A$1004,A37,'AFA Rates'!$O$5:$O$1004,"&lt;&gt;Expired")&gt;0,"Yes",IF(COUNTIF('AFA Rates'!$A$5:$A$1004,A37)&gt;0,"Expired only","No")))</f>
        <v/>
      </c>
      <c r="Q37" s="84">
        <f>IF(A37="","",COUNTIFS('AFA Rates'!$A$5:$A$1004,A37,'AFA Rates'!$O$5:$O$1004,"&lt;&gt;Expired"))</f>
        <v/>
      </c>
      <c r="R37" s="66" t="n"/>
      <c r="S37" s="64" t="n"/>
      <c r="T37" s="64" t="n"/>
      <c r="U37">
        <f>IF(AND(A37&lt;&gt;"",B37="Paused"),COUNTIFS($A$5:A37,"&lt;&gt;",$B$5:B37,"Paused"),"")</f>
        <v/>
      </c>
      <c r="V37">
        <f>IF(P37="Yes",COUNTIF($P$5:P37,"Yes"),"")</f>
        <v/>
      </c>
      <c r="W37">
        <f>IF(A37="","",COUNTIF($A$5:$A$1004,"&lt;"&amp;A37)+COUNTIF($A$5:A37,A37))</f>
        <v/>
      </c>
      <c r="X37">
        <f>","&amp;SUBSTITUTE(SUBSTITUTE(SUBSTITUTE(UPPER(C37)," ",""),";",","),"/",",")&amp;","</f>
        <v/>
      </c>
      <c r="Y37">
        <f>IF(AND(A37&lt;&gt;"",B37="Active",'State Search'!$C$5&lt;&gt;"",OR(X37=",ALL,",ISNUMBER(SEARCH(","&amp;'State Search'!$C$5&amp;",",X37)))),W37,"")</f>
        <v/>
      </c>
    </row>
    <row r="38">
      <c r="A38" s="64" t="n"/>
      <c r="B38" s="65" t="n"/>
      <c r="C38" s="64" t="n"/>
      <c r="D38" s="66" t="n"/>
      <c r="E38" s="66" t="n"/>
      <c r="F38" s="67" t="n"/>
      <c r="G38" s="67" t="n"/>
      <c r="H38" s="67" t="n"/>
      <c r="I38" s="67" t="n"/>
      <c r="J38" s="67" t="n"/>
      <c r="K38" s="67" t="n"/>
      <c r="L38" s="67" t="n"/>
      <c r="M38" s="67" t="n"/>
      <c r="N38" s="65" t="n"/>
      <c r="O38" s="84">
        <f>IF(A38="","",IF(E38="","No date",IF(TODAY()&gt;=EDATE(E38,Review_Months),"Review Due","Current")))</f>
        <v/>
      </c>
      <c r="P38" s="84">
        <f>IF(A38="","",IF(COUNTIFS('AFA Rates'!$A$5:$A$1004,A38,'AFA Rates'!$O$5:$O$1004,"&lt;&gt;Expired")&gt;0,"Yes",IF(COUNTIF('AFA Rates'!$A$5:$A$1004,A38)&gt;0,"Expired only","No")))</f>
        <v/>
      </c>
      <c r="Q38" s="84">
        <f>IF(A38="","",COUNTIFS('AFA Rates'!$A$5:$A$1004,A38,'AFA Rates'!$O$5:$O$1004,"&lt;&gt;Expired"))</f>
        <v/>
      </c>
      <c r="R38" s="66" t="n"/>
      <c r="S38" s="64" t="n"/>
      <c r="T38" s="64" t="n"/>
      <c r="U38">
        <f>IF(AND(A38&lt;&gt;"",B38="Paused"),COUNTIFS($A$5:A38,"&lt;&gt;",$B$5:B38,"Paused"),"")</f>
        <v/>
      </c>
      <c r="V38">
        <f>IF(P38="Yes",COUNTIF($P$5:P38,"Yes"),"")</f>
        <v/>
      </c>
      <c r="W38">
        <f>IF(A38="","",COUNTIF($A$5:$A$1004,"&lt;"&amp;A38)+COUNTIF($A$5:A38,A38))</f>
        <v/>
      </c>
      <c r="X38">
        <f>","&amp;SUBSTITUTE(SUBSTITUTE(SUBSTITUTE(UPPER(C38)," ",""),";",","),"/",",")&amp;","</f>
        <v/>
      </c>
      <c r="Y38">
        <f>IF(AND(A38&lt;&gt;"",B38="Active",'State Search'!$C$5&lt;&gt;"",OR(X38=",ALL,",ISNUMBER(SEARCH(","&amp;'State Search'!$C$5&amp;",",X38)))),W38,"")</f>
        <v/>
      </c>
    </row>
    <row r="39">
      <c r="A39" s="64" t="n"/>
      <c r="B39" s="65" t="n"/>
      <c r="C39" s="64" t="n"/>
      <c r="D39" s="66" t="n"/>
      <c r="E39" s="66" t="n"/>
      <c r="F39" s="67" t="n"/>
      <c r="G39" s="67" t="n"/>
      <c r="H39" s="67" t="n"/>
      <c r="I39" s="67" t="n"/>
      <c r="J39" s="67" t="n"/>
      <c r="K39" s="67" t="n"/>
      <c r="L39" s="67" t="n"/>
      <c r="M39" s="67" t="n"/>
      <c r="N39" s="65" t="n"/>
      <c r="O39" s="84">
        <f>IF(A39="","",IF(E39="","No date",IF(TODAY()&gt;=EDATE(E39,Review_Months),"Review Due","Current")))</f>
        <v/>
      </c>
      <c r="P39" s="84">
        <f>IF(A39="","",IF(COUNTIFS('AFA Rates'!$A$5:$A$1004,A39,'AFA Rates'!$O$5:$O$1004,"&lt;&gt;Expired")&gt;0,"Yes",IF(COUNTIF('AFA Rates'!$A$5:$A$1004,A39)&gt;0,"Expired only","No")))</f>
        <v/>
      </c>
      <c r="Q39" s="84">
        <f>IF(A39="","",COUNTIFS('AFA Rates'!$A$5:$A$1004,A39,'AFA Rates'!$O$5:$O$1004,"&lt;&gt;Expired"))</f>
        <v/>
      </c>
      <c r="R39" s="66" t="n"/>
      <c r="S39" s="64" t="n"/>
      <c r="T39" s="64" t="n"/>
      <c r="U39">
        <f>IF(AND(A39&lt;&gt;"",B39="Paused"),COUNTIFS($A$5:A39,"&lt;&gt;",$B$5:B39,"Paused"),"")</f>
        <v/>
      </c>
      <c r="V39">
        <f>IF(P39="Yes",COUNTIF($P$5:P39,"Yes"),"")</f>
        <v/>
      </c>
      <c r="W39">
        <f>IF(A39="","",COUNTIF($A$5:$A$1004,"&lt;"&amp;A39)+COUNTIF($A$5:A39,A39))</f>
        <v/>
      </c>
      <c r="X39">
        <f>","&amp;SUBSTITUTE(SUBSTITUTE(SUBSTITUTE(UPPER(C39)," ",""),";",","),"/",",")&amp;","</f>
        <v/>
      </c>
      <c r="Y39">
        <f>IF(AND(A39&lt;&gt;"",B39="Active",'State Search'!$C$5&lt;&gt;"",OR(X39=",ALL,",ISNUMBER(SEARCH(","&amp;'State Search'!$C$5&amp;",",X39)))),W39,"")</f>
        <v/>
      </c>
    </row>
    <row r="40">
      <c r="A40" s="64" t="n"/>
      <c r="B40" s="65" t="n"/>
      <c r="C40" s="64" t="n"/>
      <c r="D40" s="66" t="n"/>
      <c r="E40" s="66" t="n"/>
      <c r="F40" s="67" t="n"/>
      <c r="G40" s="67" t="n"/>
      <c r="H40" s="67" t="n"/>
      <c r="I40" s="67" t="n"/>
      <c r="J40" s="67" t="n"/>
      <c r="K40" s="67" t="n"/>
      <c r="L40" s="67" t="n"/>
      <c r="M40" s="67" t="n"/>
      <c r="N40" s="65" t="n"/>
      <c r="O40" s="84">
        <f>IF(A40="","",IF(E40="","No date",IF(TODAY()&gt;=EDATE(E40,Review_Months),"Review Due","Current")))</f>
        <v/>
      </c>
      <c r="P40" s="84">
        <f>IF(A40="","",IF(COUNTIFS('AFA Rates'!$A$5:$A$1004,A40,'AFA Rates'!$O$5:$O$1004,"&lt;&gt;Expired")&gt;0,"Yes",IF(COUNTIF('AFA Rates'!$A$5:$A$1004,A40)&gt;0,"Expired only","No")))</f>
        <v/>
      </c>
      <c r="Q40" s="84">
        <f>IF(A40="","",COUNTIFS('AFA Rates'!$A$5:$A$1004,A40,'AFA Rates'!$O$5:$O$1004,"&lt;&gt;Expired"))</f>
        <v/>
      </c>
      <c r="R40" s="66" t="n"/>
      <c r="S40" s="64" t="n"/>
      <c r="T40" s="64" t="n"/>
      <c r="U40">
        <f>IF(AND(A40&lt;&gt;"",B40="Paused"),COUNTIFS($A$5:A40,"&lt;&gt;",$B$5:B40,"Paused"),"")</f>
        <v/>
      </c>
      <c r="V40">
        <f>IF(P40="Yes",COUNTIF($P$5:P40,"Yes"),"")</f>
        <v/>
      </c>
      <c r="W40">
        <f>IF(A40="","",COUNTIF($A$5:$A$1004,"&lt;"&amp;A40)+COUNTIF($A$5:A40,A40))</f>
        <v/>
      </c>
      <c r="X40">
        <f>","&amp;SUBSTITUTE(SUBSTITUTE(SUBSTITUTE(UPPER(C40)," ",""),";",","),"/",",")&amp;","</f>
        <v/>
      </c>
      <c r="Y40">
        <f>IF(AND(A40&lt;&gt;"",B40="Active",'State Search'!$C$5&lt;&gt;"",OR(X40=",ALL,",ISNUMBER(SEARCH(","&amp;'State Search'!$C$5&amp;",",X40)))),W40,"")</f>
        <v/>
      </c>
    </row>
    <row r="41">
      <c r="A41" s="64" t="n"/>
      <c r="B41" s="65" t="n"/>
      <c r="C41" s="64" t="n"/>
      <c r="D41" s="66" t="n"/>
      <c r="E41" s="66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5" t="n"/>
      <c r="O41" s="84">
        <f>IF(A41="","",IF(E41="","No date",IF(TODAY()&gt;=EDATE(E41,Review_Months),"Review Due","Current")))</f>
        <v/>
      </c>
      <c r="P41" s="84">
        <f>IF(A41="","",IF(COUNTIFS('AFA Rates'!$A$5:$A$1004,A41,'AFA Rates'!$O$5:$O$1004,"&lt;&gt;Expired")&gt;0,"Yes",IF(COUNTIF('AFA Rates'!$A$5:$A$1004,A41)&gt;0,"Expired only","No")))</f>
        <v/>
      </c>
      <c r="Q41" s="84">
        <f>IF(A41="","",COUNTIFS('AFA Rates'!$A$5:$A$1004,A41,'AFA Rates'!$O$5:$O$1004,"&lt;&gt;Expired"))</f>
        <v/>
      </c>
      <c r="R41" s="66" t="n"/>
      <c r="S41" s="64" t="n"/>
      <c r="T41" s="64" t="n"/>
      <c r="U41">
        <f>IF(AND(A41&lt;&gt;"",B41="Paused"),COUNTIFS($A$5:A41,"&lt;&gt;",$B$5:B41,"Paused"),"")</f>
        <v/>
      </c>
      <c r="V41">
        <f>IF(P41="Yes",COUNTIF($P$5:P41,"Yes"),"")</f>
        <v/>
      </c>
      <c r="W41">
        <f>IF(A41="","",COUNTIF($A$5:$A$1004,"&lt;"&amp;A41)+COUNTIF($A$5:A41,A41))</f>
        <v/>
      </c>
      <c r="X41">
        <f>","&amp;SUBSTITUTE(SUBSTITUTE(SUBSTITUTE(UPPER(C41)," ",""),";",","),"/",",")&amp;","</f>
        <v/>
      </c>
      <c r="Y41">
        <f>IF(AND(A41&lt;&gt;"",B41="Active",'State Search'!$C$5&lt;&gt;"",OR(X41=",ALL,",ISNUMBER(SEARCH(","&amp;'State Search'!$C$5&amp;",",X41)))),W41,"")</f>
        <v/>
      </c>
    </row>
    <row r="42">
      <c r="A42" s="64" t="n"/>
      <c r="B42" s="65" t="n"/>
      <c r="C42" s="64" t="n"/>
      <c r="D42" s="66" t="n"/>
      <c r="E42" s="66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5" t="n"/>
      <c r="O42" s="84">
        <f>IF(A42="","",IF(E42="","No date",IF(TODAY()&gt;=EDATE(E42,Review_Months),"Review Due","Current")))</f>
        <v/>
      </c>
      <c r="P42" s="84">
        <f>IF(A42="","",IF(COUNTIFS('AFA Rates'!$A$5:$A$1004,A42,'AFA Rates'!$O$5:$O$1004,"&lt;&gt;Expired")&gt;0,"Yes",IF(COUNTIF('AFA Rates'!$A$5:$A$1004,A42)&gt;0,"Expired only","No")))</f>
        <v/>
      </c>
      <c r="Q42" s="84">
        <f>IF(A42="","",COUNTIFS('AFA Rates'!$A$5:$A$1004,A42,'AFA Rates'!$O$5:$O$1004,"&lt;&gt;Expired"))</f>
        <v/>
      </c>
      <c r="R42" s="66" t="n"/>
      <c r="S42" s="64" t="n"/>
      <c r="T42" s="64" t="n"/>
      <c r="U42">
        <f>IF(AND(A42&lt;&gt;"",B42="Paused"),COUNTIFS($A$5:A42,"&lt;&gt;",$B$5:B42,"Paused"),"")</f>
        <v/>
      </c>
      <c r="V42">
        <f>IF(P42="Yes",COUNTIF($P$5:P42,"Yes"),"")</f>
        <v/>
      </c>
      <c r="W42">
        <f>IF(A42="","",COUNTIF($A$5:$A$1004,"&lt;"&amp;A42)+COUNTIF($A$5:A42,A42))</f>
        <v/>
      </c>
      <c r="X42">
        <f>","&amp;SUBSTITUTE(SUBSTITUTE(SUBSTITUTE(UPPER(C42)," ",""),";",","),"/",",")&amp;","</f>
        <v/>
      </c>
      <c r="Y42">
        <f>IF(AND(A42&lt;&gt;"",B42="Active",'State Search'!$C$5&lt;&gt;"",OR(X42=",ALL,",ISNUMBER(SEARCH(","&amp;'State Search'!$C$5&amp;",",X42)))),W42,"")</f>
        <v/>
      </c>
    </row>
    <row r="43">
      <c r="A43" s="64" t="n"/>
      <c r="B43" s="65" t="n"/>
      <c r="C43" s="64" t="n"/>
      <c r="D43" s="66" t="n"/>
      <c r="E43" s="66" t="n"/>
      <c r="F43" s="67" t="n"/>
      <c r="G43" s="67" t="n"/>
      <c r="H43" s="67" t="n"/>
      <c r="I43" s="67" t="n"/>
      <c r="J43" s="67" t="n"/>
      <c r="K43" s="67" t="n"/>
      <c r="L43" s="67" t="n"/>
      <c r="M43" s="67" t="n"/>
      <c r="N43" s="65" t="n"/>
      <c r="O43" s="84">
        <f>IF(A43="","",IF(E43="","No date",IF(TODAY()&gt;=EDATE(E43,Review_Months),"Review Due","Current")))</f>
        <v/>
      </c>
      <c r="P43" s="84">
        <f>IF(A43="","",IF(COUNTIFS('AFA Rates'!$A$5:$A$1004,A43,'AFA Rates'!$O$5:$O$1004,"&lt;&gt;Expired")&gt;0,"Yes",IF(COUNTIF('AFA Rates'!$A$5:$A$1004,A43)&gt;0,"Expired only","No")))</f>
        <v/>
      </c>
      <c r="Q43" s="84">
        <f>IF(A43="","",COUNTIFS('AFA Rates'!$A$5:$A$1004,A43,'AFA Rates'!$O$5:$O$1004,"&lt;&gt;Expired"))</f>
        <v/>
      </c>
      <c r="R43" s="66" t="n"/>
      <c r="S43" s="64" t="n"/>
      <c r="T43" s="64" t="n"/>
      <c r="U43">
        <f>IF(AND(A43&lt;&gt;"",B43="Paused"),COUNTIFS($A$5:A43,"&lt;&gt;",$B$5:B43,"Paused"),"")</f>
        <v/>
      </c>
      <c r="V43">
        <f>IF(P43="Yes",COUNTIF($P$5:P43,"Yes"),"")</f>
        <v/>
      </c>
      <c r="W43">
        <f>IF(A43="","",COUNTIF($A$5:$A$1004,"&lt;"&amp;A43)+COUNTIF($A$5:A43,A43))</f>
        <v/>
      </c>
      <c r="X43">
        <f>","&amp;SUBSTITUTE(SUBSTITUTE(SUBSTITUTE(UPPER(C43)," ",""),";",","),"/",",")&amp;","</f>
        <v/>
      </c>
      <c r="Y43">
        <f>IF(AND(A43&lt;&gt;"",B43="Active",'State Search'!$C$5&lt;&gt;"",OR(X43=",ALL,",ISNUMBER(SEARCH(","&amp;'State Search'!$C$5&amp;",",X43)))),W43,"")</f>
        <v/>
      </c>
    </row>
    <row r="44">
      <c r="A44" s="64" t="n"/>
      <c r="B44" s="65" t="n"/>
      <c r="C44" s="64" t="n"/>
      <c r="D44" s="66" t="n"/>
      <c r="E44" s="66" t="n"/>
      <c r="F44" s="67" t="n"/>
      <c r="G44" s="67" t="n"/>
      <c r="H44" s="67" t="n"/>
      <c r="I44" s="67" t="n"/>
      <c r="J44" s="67" t="n"/>
      <c r="K44" s="67" t="n"/>
      <c r="L44" s="67" t="n"/>
      <c r="M44" s="67" t="n"/>
      <c r="N44" s="65" t="n"/>
      <c r="O44" s="84">
        <f>IF(A44="","",IF(E44="","No date",IF(TODAY()&gt;=EDATE(E44,Review_Months),"Review Due","Current")))</f>
        <v/>
      </c>
      <c r="P44" s="84">
        <f>IF(A44="","",IF(COUNTIFS('AFA Rates'!$A$5:$A$1004,A44,'AFA Rates'!$O$5:$O$1004,"&lt;&gt;Expired")&gt;0,"Yes",IF(COUNTIF('AFA Rates'!$A$5:$A$1004,A44)&gt;0,"Expired only","No")))</f>
        <v/>
      </c>
      <c r="Q44" s="84">
        <f>IF(A44="","",COUNTIFS('AFA Rates'!$A$5:$A$1004,A44,'AFA Rates'!$O$5:$O$1004,"&lt;&gt;Expired"))</f>
        <v/>
      </c>
      <c r="R44" s="66" t="n"/>
      <c r="S44" s="64" t="n"/>
      <c r="T44" s="64" t="n"/>
      <c r="U44">
        <f>IF(AND(A44&lt;&gt;"",B44="Paused"),COUNTIFS($A$5:A44,"&lt;&gt;",$B$5:B44,"Paused"),"")</f>
        <v/>
      </c>
      <c r="V44">
        <f>IF(P44="Yes",COUNTIF($P$5:P44,"Yes"),"")</f>
        <v/>
      </c>
      <c r="W44">
        <f>IF(A44="","",COUNTIF($A$5:$A$1004,"&lt;"&amp;A44)+COUNTIF($A$5:A44,A44))</f>
        <v/>
      </c>
      <c r="X44">
        <f>","&amp;SUBSTITUTE(SUBSTITUTE(SUBSTITUTE(UPPER(C44)," ",""),";",","),"/",",")&amp;","</f>
        <v/>
      </c>
      <c r="Y44">
        <f>IF(AND(A44&lt;&gt;"",B44="Active",'State Search'!$C$5&lt;&gt;"",OR(X44=",ALL,",ISNUMBER(SEARCH(","&amp;'State Search'!$C$5&amp;",",X44)))),W44,"")</f>
        <v/>
      </c>
    </row>
    <row r="45">
      <c r="A45" s="64" t="n"/>
      <c r="B45" s="65" t="n"/>
      <c r="C45" s="64" t="n"/>
      <c r="D45" s="66" t="n"/>
      <c r="E45" s="66" t="n"/>
      <c r="F45" s="67" t="n"/>
      <c r="G45" s="67" t="n"/>
      <c r="H45" s="67" t="n"/>
      <c r="I45" s="67" t="n"/>
      <c r="J45" s="67" t="n"/>
      <c r="K45" s="67" t="n"/>
      <c r="L45" s="67" t="n"/>
      <c r="M45" s="67" t="n"/>
      <c r="N45" s="65" t="n"/>
      <c r="O45" s="84">
        <f>IF(A45="","",IF(E45="","No date",IF(TODAY()&gt;=EDATE(E45,Review_Months),"Review Due","Current")))</f>
        <v/>
      </c>
      <c r="P45" s="84">
        <f>IF(A45="","",IF(COUNTIFS('AFA Rates'!$A$5:$A$1004,A45,'AFA Rates'!$O$5:$O$1004,"&lt;&gt;Expired")&gt;0,"Yes",IF(COUNTIF('AFA Rates'!$A$5:$A$1004,A45)&gt;0,"Expired only","No")))</f>
        <v/>
      </c>
      <c r="Q45" s="84">
        <f>IF(A45="","",COUNTIFS('AFA Rates'!$A$5:$A$1004,A45,'AFA Rates'!$O$5:$O$1004,"&lt;&gt;Expired"))</f>
        <v/>
      </c>
      <c r="R45" s="66" t="n"/>
      <c r="S45" s="64" t="n"/>
      <c r="T45" s="64" t="n"/>
      <c r="U45">
        <f>IF(AND(A45&lt;&gt;"",B45="Paused"),COUNTIFS($A$5:A45,"&lt;&gt;",$B$5:B45,"Paused"),"")</f>
        <v/>
      </c>
      <c r="V45">
        <f>IF(P45="Yes",COUNTIF($P$5:P45,"Yes"),"")</f>
        <v/>
      </c>
      <c r="W45">
        <f>IF(A45="","",COUNTIF($A$5:$A$1004,"&lt;"&amp;A45)+COUNTIF($A$5:A45,A45))</f>
        <v/>
      </c>
      <c r="X45">
        <f>","&amp;SUBSTITUTE(SUBSTITUTE(SUBSTITUTE(UPPER(C45)," ",""),";",","),"/",",")&amp;","</f>
        <v/>
      </c>
      <c r="Y45">
        <f>IF(AND(A45&lt;&gt;"",B45="Active",'State Search'!$C$5&lt;&gt;"",OR(X45=",ALL,",ISNUMBER(SEARCH(","&amp;'State Search'!$C$5&amp;",",X45)))),W45,"")</f>
        <v/>
      </c>
    </row>
    <row r="46">
      <c r="A46" s="64" t="n"/>
      <c r="B46" s="65" t="n"/>
      <c r="C46" s="64" t="n"/>
      <c r="D46" s="66" t="n"/>
      <c r="E46" s="66" t="n"/>
      <c r="F46" s="67" t="n"/>
      <c r="G46" s="67" t="n"/>
      <c r="H46" s="67" t="n"/>
      <c r="I46" s="67" t="n"/>
      <c r="J46" s="67" t="n"/>
      <c r="K46" s="67" t="n"/>
      <c r="L46" s="67" t="n"/>
      <c r="M46" s="67" t="n"/>
      <c r="N46" s="65" t="n"/>
      <c r="O46" s="84">
        <f>IF(A46="","",IF(E46="","No date",IF(TODAY()&gt;=EDATE(E46,Review_Months),"Review Due","Current")))</f>
        <v/>
      </c>
      <c r="P46" s="84">
        <f>IF(A46="","",IF(COUNTIFS('AFA Rates'!$A$5:$A$1004,A46,'AFA Rates'!$O$5:$O$1004,"&lt;&gt;Expired")&gt;0,"Yes",IF(COUNTIF('AFA Rates'!$A$5:$A$1004,A46)&gt;0,"Expired only","No")))</f>
        <v/>
      </c>
      <c r="Q46" s="84">
        <f>IF(A46="","",COUNTIFS('AFA Rates'!$A$5:$A$1004,A46,'AFA Rates'!$O$5:$O$1004,"&lt;&gt;Expired"))</f>
        <v/>
      </c>
      <c r="R46" s="66" t="n"/>
      <c r="S46" s="64" t="n"/>
      <c r="T46" s="64" t="n"/>
      <c r="U46">
        <f>IF(AND(A46&lt;&gt;"",B46="Paused"),COUNTIFS($A$5:A46,"&lt;&gt;",$B$5:B46,"Paused"),"")</f>
        <v/>
      </c>
      <c r="V46">
        <f>IF(P46="Yes",COUNTIF($P$5:P46,"Yes"),"")</f>
        <v/>
      </c>
      <c r="W46">
        <f>IF(A46="","",COUNTIF($A$5:$A$1004,"&lt;"&amp;A46)+COUNTIF($A$5:A46,A46))</f>
        <v/>
      </c>
      <c r="X46">
        <f>","&amp;SUBSTITUTE(SUBSTITUTE(SUBSTITUTE(UPPER(C46)," ",""),";",","),"/",",")&amp;","</f>
        <v/>
      </c>
      <c r="Y46">
        <f>IF(AND(A46&lt;&gt;"",B46="Active",'State Search'!$C$5&lt;&gt;"",OR(X46=",ALL,",ISNUMBER(SEARCH(","&amp;'State Search'!$C$5&amp;",",X46)))),W46,"")</f>
        <v/>
      </c>
    </row>
    <row r="47">
      <c r="A47" s="64" t="n"/>
      <c r="B47" s="65" t="n"/>
      <c r="C47" s="64" t="n"/>
      <c r="D47" s="66" t="n"/>
      <c r="E47" s="66" t="n"/>
      <c r="F47" s="67" t="n"/>
      <c r="G47" s="67" t="n"/>
      <c r="H47" s="67" t="n"/>
      <c r="I47" s="67" t="n"/>
      <c r="J47" s="67" t="n"/>
      <c r="K47" s="67" t="n"/>
      <c r="L47" s="67" t="n"/>
      <c r="M47" s="67" t="n"/>
      <c r="N47" s="65" t="n"/>
      <c r="O47" s="84">
        <f>IF(A47="","",IF(E47="","No date",IF(TODAY()&gt;=EDATE(E47,Review_Months),"Review Due","Current")))</f>
        <v/>
      </c>
      <c r="P47" s="84">
        <f>IF(A47="","",IF(COUNTIFS('AFA Rates'!$A$5:$A$1004,A47,'AFA Rates'!$O$5:$O$1004,"&lt;&gt;Expired")&gt;0,"Yes",IF(COUNTIF('AFA Rates'!$A$5:$A$1004,A47)&gt;0,"Expired only","No")))</f>
        <v/>
      </c>
      <c r="Q47" s="84">
        <f>IF(A47="","",COUNTIFS('AFA Rates'!$A$5:$A$1004,A47,'AFA Rates'!$O$5:$O$1004,"&lt;&gt;Expired"))</f>
        <v/>
      </c>
      <c r="R47" s="66" t="n"/>
      <c r="S47" s="64" t="n"/>
      <c r="T47" s="64" t="n"/>
      <c r="U47">
        <f>IF(AND(A47&lt;&gt;"",B47="Paused"),COUNTIFS($A$5:A47,"&lt;&gt;",$B$5:B47,"Paused"),"")</f>
        <v/>
      </c>
      <c r="V47">
        <f>IF(P47="Yes",COUNTIF($P$5:P47,"Yes"),"")</f>
        <v/>
      </c>
      <c r="W47">
        <f>IF(A47="","",COUNTIF($A$5:$A$1004,"&lt;"&amp;A47)+COUNTIF($A$5:A47,A47))</f>
        <v/>
      </c>
      <c r="X47">
        <f>","&amp;SUBSTITUTE(SUBSTITUTE(SUBSTITUTE(UPPER(C47)," ",""),";",","),"/",",")&amp;","</f>
        <v/>
      </c>
      <c r="Y47">
        <f>IF(AND(A47&lt;&gt;"",B47="Active",'State Search'!$C$5&lt;&gt;"",OR(X47=",ALL,",ISNUMBER(SEARCH(","&amp;'State Search'!$C$5&amp;",",X47)))),W47,"")</f>
        <v/>
      </c>
    </row>
    <row r="48">
      <c r="A48" s="64" t="n"/>
      <c r="B48" s="65" t="n"/>
      <c r="C48" s="64" t="n"/>
      <c r="D48" s="66" t="n"/>
      <c r="E48" s="66" t="n"/>
      <c r="F48" s="67" t="n"/>
      <c r="G48" s="67" t="n"/>
      <c r="H48" s="67" t="n"/>
      <c r="I48" s="67" t="n"/>
      <c r="J48" s="67" t="n"/>
      <c r="K48" s="67" t="n"/>
      <c r="L48" s="67" t="n"/>
      <c r="M48" s="67" t="n"/>
      <c r="N48" s="65" t="n"/>
      <c r="O48" s="84">
        <f>IF(A48="","",IF(E48="","No date",IF(TODAY()&gt;=EDATE(E48,Review_Months),"Review Due","Current")))</f>
        <v/>
      </c>
      <c r="P48" s="84">
        <f>IF(A48="","",IF(COUNTIFS('AFA Rates'!$A$5:$A$1004,A48,'AFA Rates'!$O$5:$O$1004,"&lt;&gt;Expired")&gt;0,"Yes",IF(COUNTIF('AFA Rates'!$A$5:$A$1004,A48)&gt;0,"Expired only","No")))</f>
        <v/>
      </c>
      <c r="Q48" s="84">
        <f>IF(A48="","",COUNTIFS('AFA Rates'!$A$5:$A$1004,A48,'AFA Rates'!$O$5:$O$1004,"&lt;&gt;Expired"))</f>
        <v/>
      </c>
      <c r="R48" s="66" t="n"/>
      <c r="S48" s="64" t="n"/>
      <c r="T48" s="64" t="n"/>
      <c r="U48">
        <f>IF(AND(A48&lt;&gt;"",B48="Paused"),COUNTIFS($A$5:A48,"&lt;&gt;",$B$5:B48,"Paused"),"")</f>
        <v/>
      </c>
      <c r="V48">
        <f>IF(P48="Yes",COUNTIF($P$5:P48,"Yes"),"")</f>
        <v/>
      </c>
      <c r="W48">
        <f>IF(A48="","",COUNTIF($A$5:$A$1004,"&lt;"&amp;A48)+COUNTIF($A$5:A48,A48))</f>
        <v/>
      </c>
      <c r="X48">
        <f>","&amp;SUBSTITUTE(SUBSTITUTE(SUBSTITUTE(UPPER(C48)," ",""),";",","),"/",",")&amp;","</f>
        <v/>
      </c>
      <c r="Y48">
        <f>IF(AND(A48&lt;&gt;"",B48="Active",'State Search'!$C$5&lt;&gt;"",OR(X48=",ALL,",ISNUMBER(SEARCH(","&amp;'State Search'!$C$5&amp;",",X48)))),W48,"")</f>
        <v/>
      </c>
    </row>
    <row r="49">
      <c r="A49" s="64" t="n"/>
      <c r="B49" s="65" t="n"/>
      <c r="C49" s="64" t="n"/>
      <c r="D49" s="66" t="n"/>
      <c r="E49" s="66" t="n"/>
      <c r="F49" s="67" t="n"/>
      <c r="G49" s="67" t="n"/>
      <c r="H49" s="67" t="n"/>
      <c r="I49" s="67" t="n"/>
      <c r="J49" s="67" t="n"/>
      <c r="K49" s="67" t="n"/>
      <c r="L49" s="67" t="n"/>
      <c r="M49" s="67" t="n"/>
      <c r="N49" s="65" t="n"/>
      <c r="O49" s="84">
        <f>IF(A49="","",IF(E49="","No date",IF(TODAY()&gt;=EDATE(E49,Review_Months),"Review Due","Current")))</f>
        <v/>
      </c>
      <c r="P49" s="84">
        <f>IF(A49="","",IF(COUNTIFS('AFA Rates'!$A$5:$A$1004,A49,'AFA Rates'!$O$5:$O$1004,"&lt;&gt;Expired")&gt;0,"Yes",IF(COUNTIF('AFA Rates'!$A$5:$A$1004,A49)&gt;0,"Expired only","No")))</f>
        <v/>
      </c>
      <c r="Q49" s="84">
        <f>IF(A49="","",COUNTIFS('AFA Rates'!$A$5:$A$1004,A49,'AFA Rates'!$O$5:$O$1004,"&lt;&gt;Expired"))</f>
        <v/>
      </c>
      <c r="R49" s="66" t="n"/>
      <c r="S49" s="64" t="n"/>
      <c r="T49" s="64" t="n"/>
      <c r="U49">
        <f>IF(AND(A49&lt;&gt;"",B49="Paused"),COUNTIFS($A$5:A49,"&lt;&gt;",$B$5:B49,"Paused"),"")</f>
        <v/>
      </c>
      <c r="V49">
        <f>IF(P49="Yes",COUNTIF($P$5:P49,"Yes"),"")</f>
        <v/>
      </c>
      <c r="W49">
        <f>IF(A49="","",COUNTIF($A$5:$A$1004,"&lt;"&amp;A49)+COUNTIF($A$5:A49,A49))</f>
        <v/>
      </c>
      <c r="X49">
        <f>","&amp;SUBSTITUTE(SUBSTITUTE(SUBSTITUTE(UPPER(C49)," ",""),";",","),"/",",")&amp;","</f>
        <v/>
      </c>
      <c r="Y49">
        <f>IF(AND(A49&lt;&gt;"",B49="Active",'State Search'!$C$5&lt;&gt;"",OR(X49=",ALL,",ISNUMBER(SEARCH(","&amp;'State Search'!$C$5&amp;",",X49)))),W49,"")</f>
        <v/>
      </c>
    </row>
    <row r="50">
      <c r="A50" s="64" t="n"/>
      <c r="B50" s="65" t="n"/>
      <c r="C50" s="64" t="n"/>
      <c r="D50" s="66" t="n"/>
      <c r="E50" s="66" t="n"/>
      <c r="F50" s="67" t="n"/>
      <c r="G50" s="67" t="n"/>
      <c r="H50" s="67" t="n"/>
      <c r="I50" s="67" t="n"/>
      <c r="J50" s="67" t="n"/>
      <c r="K50" s="67" t="n"/>
      <c r="L50" s="67" t="n"/>
      <c r="M50" s="67" t="n"/>
      <c r="N50" s="65" t="n"/>
      <c r="O50" s="84">
        <f>IF(A50="","",IF(E50="","No date",IF(TODAY()&gt;=EDATE(E50,Review_Months),"Review Due","Current")))</f>
        <v/>
      </c>
      <c r="P50" s="84">
        <f>IF(A50="","",IF(COUNTIFS('AFA Rates'!$A$5:$A$1004,A50,'AFA Rates'!$O$5:$O$1004,"&lt;&gt;Expired")&gt;0,"Yes",IF(COUNTIF('AFA Rates'!$A$5:$A$1004,A50)&gt;0,"Expired only","No")))</f>
        <v/>
      </c>
      <c r="Q50" s="84">
        <f>IF(A50="","",COUNTIFS('AFA Rates'!$A$5:$A$1004,A50,'AFA Rates'!$O$5:$O$1004,"&lt;&gt;Expired"))</f>
        <v/>
      </c>
      <c r="R50" s="66" t="n"/>
      <c r="S50" s="64" t="n"/>
      <c r="T50" s="64" t="n"/>
      <c r="U50">
        <f>IF(AND(A50&lt;&gt;"",B50="Paused"),COUNTIFS($A$5:A50,"&lt;&gt;",$B$5:B50,"Paused"),"")</f>
        <v/>
      </c>
      <c r="V50">
        <f>IF(P50="Yes",COUNTIF($P$5:P50,"Yes"),"")</f>
        <v/>
      </c>
      <c r="W50">
        <f>IF(A50="","",COUNTIF($A$5:$A$1004,"&lt;"&amp;A50)+COUNTIF($A$5:A50,A50))</f>
        <v/>
      </c>
      <c r="X50">
        <f>","&amp;SUBSTITUTE(SUBSTITUTE(SUBSTITUTE(UPPER(C50)," ",""),";",","),"/",",")&amp;","</f>
        <v/>
      </c>
      <c r="Y50">
        <f>IF(AND(A50&lt;&gt;"",B50="Active",'State Search'!$C$5&lt;&gt;"",OR(X50=",ALL,",ISNUMBER(SEARCH(","&amp;'State Search'!$C$5&amp;",",X50)))),W50,"")</f>
        <v/>
      </c>
    </row>
    <row r="51">
      <c r="A51" s="64" t="n"/>
      <c r="B51" s="65" t="n"/>
      <c r="C51" s="64" t="n"/>
      <c r="D51" s="66" t="n"/>
      <c r="E51" s="66" t="n"/>
      <c r="F51" s="67" t="n"/>
      <c r="G51" s="67" t="n"/>
      <c r="H51" s="67" t="n"/>
      <c r="I51" s="67" t="n"/>
      <c r="J51" s="67" t="n"/>
      <c r="K51" s="67" t="n"/>
      <c r="L51" s="67" t="n"/>
      <c r="M51" s="67" t="n"/>
      <c r="N51" s="65" t="n"/>
      <c r="O51" s="84">
        <f>IF(A51="","",IF(E51="","No date",IF(TODAY()&gt;=EDATE(E51,Review_Months),"Review Due","Current")))</f>
        <v/>
      </c>
      <c r="P51" s="84">
        <f>IF(A51="","",IF(COUNTIFS('AFA Rates'!$A$5:$A$1004,A51,'AFA Rates'!$O$5:$O$1004,"&lt;&gt;Expired")&gt;0,"Yes",IF(COUNTIF('AFA Rates'!$A$5:$A$1004,A51)&gt;0,"Expired only","No")))</f>
        <v/>
      </c>
      <c r="Q51" s="84">
        <f>IF(A51="","",COUNTIFS('AFA Rates'!$A$5:$A$1004,A51,'AFA Rates'!$O$5:$O$1004,"&lt;&gt;Expired"))</f>
        <v/>
      </c>
      <c r="R51" s="66" t="n"/>
      <c r="S51" s="64" t="n"/>
      <c r="T51" s="64" t="n"/>
      <c r="U51">
        <f>IF(AND(A51&lt;&gt;"",B51="Paused"),COUNTIFS($A$5:A51,"&lt;&gt;",$B$5:B51,"Paused"),"")</f>
        <v/>
      </c>
      <c r="V51">
        <f>IF(P51="Yes",COUNTIF($P$5:P51,"Yes"),"")</f>
        <v/>
      </c>
      <c r="W51">
        <f>IF(A51="","",COUNTIF($A$5:$A$1004,"&lt;"&amp;A51)+COUNTIF($A$5:A51,A51))</f>
        <v/>
      </c>
      <c r="X51">
        <f>","&amp;SUBSTITUTE(SUBSTITUTE(SUBSTITUTE(UPPER(C51)," ",""),";",","),"/",",")&amp;","</f>
        <v/>
      </c>
      <c r="Y51">
        <f>IF(AND(A51&lt;&gt;"",B51="Active",'State Search'!$C$5&lt;&gt;"",OR(X51=",ALL,",ISNUMBER(SEARCH(","&amp;'State Search'!$C$5&amp;",",X51)))),W51,"")</f>
        <v/>
      </c>
    </row>
    <row r="52">
      <c r="A52" s="64" t="n"/>
      <c r="B52" s="65" t="n"/>
      <c r="C52" s="64" t="n"/>
      <c r="D52" s="66" t="n"/>
      <c r="E52" s="66" t="n"/>
      <c r="F52" s="67" t="n"/>
      <c r="G52" s="67" t="n"/>
      <c r="H52" s="67" t="n"/>
      <c r="I52" s="67" t="n"/>
      <c r="J52" s="67" t="n"/>
      <c r="K52" s="67" t="n"/>
      <c r="L52" s="67" t="n"/>
      <c r="M52" s="67" t="n"/>
      <c r="N52" s="65" t="n"/>
      <c r="O52" s="84">
        <f>IF(A52="","",IF(E52="","No date",IF(TODAY()&gt;=EDATE(E52,Review_Months),"Review Due","Current")))</f>
        <v/>
      </c>
      <c r="P52" s="84">
        <f>IF(A52="","",IF(COUNTIFS('AFA Rates'!$A$5:$A$1004,A52,'AFA Rates'!$O$5:$O$1004,"&lt;&gt;Expired")&gt;0,"Yes",IF(COUNTIF('AFA Rates'!$A$5:$A$1004,A52)&gt;0,"Expired only","No")))</f>
        <v/>
      </c>
      <c r="Q52" s="84">
        <f>IF(A52="","",COUNTIFS('AFA Rates'!$A$5:$A$1004,A52,'AFA Rates'!$O$5:$O$1004,"&lt;&gt;Expired"))</f>
        <v/>
      </c>
      <c r="R52" s="66" t="n"/>
      <c r="S52" s="64" t="n"/>
      <c r="T52" s="64" t="n"/>
      <c r="U52">
        <f>IF(AND(A52&lt;&gt;"",B52="Paused"),COUNTIFS($A$5:A52,"&lt;&gt;",$B$5:B52,"Paused"),"")</f>
        <v/>
      </c>
      <c r="V52">
        <f>IF(P52="Yes",COUNTIF($P$5:P52,"Yes"),"")</f>
        <v/>
      </c>
      <c r="W52">
        <f>IF(A52="","",COUNTIF($A$5:$A$1004,"&lt;"&amp;A52)+COUNTIF($A$5:A52,A52))</f>
        <v/>
      </c>
      <c r="X52">
        <f>","&amp;SUBSTITUTE(SUBSTITUTE(SUBSTITUTE(UPPER(C52)," ",""),";",","),"/",",")&amp;","</f>
        <v/>
      </c>
      <c r="Y52">
        <f>IF(AND(A52&lt;&gt;"",B52="Active",'State Search'!$C$5&lt;&gt;"",OR(X52=",ALL,",ISNUMBER(SEARCH(","&amp;'State Search'!$C$5&amp;",",X52)))),W52,"")</f>
        <v/>
      </c>
    </row>
    <row r="53">
      <c r="A53" s="64" t="n"/>
      <c r="B53" s="65" t="n"/>
      <c r="C53" s="64" t="n"/>
      <c r="D53" s="66" t="n"/>
      <c r="E53" s="66" t="n"/>
      <c r="F53" s="67" t="n"/>
      <c r="G53" s="67" t="n"/>
      <c r="H53" s="67" t="n"/>
      <c r="I53" s="67" t="n"/>
      <c r="J53" s="67" t="n"/>
      <c r="K53" s="67" t="n"/>
      <c r="L53" s="67" t="n"/>
      <c r="M53" s="67" t="n"/>
      <c r="N53" s="65" t="n"/>
      <c r="O53" s="84">
        <f>IF(A53="","",IF(E53="","No date",IF(TODAY()&gt;=EDATE(E53,Review_Months),"Review Due","Current")))</f>
        <v/>
      </c>
      <c r="P53" s="84">
        <f>IF(A53="","",IF(COUNTIFS('AFA Rates'!$A$5:$A$1004,A53,'AFA Rates'!$O$5:$O$1004,"&lt;&gt;Expired")&gt;0,"Yes",IF(COUNTIF('AFA Rates'!$A$5:$A$1004,A53)&gt;0,"Expired only","No")))</f>
        <v/>
      </c>
      <c r="Q53" s="84">
        <f>IF(A53="","",COUNTIFS('AFA Rates'!$A$5:$A$1004,A53,'AFA Rates'!$O$5:$O$1004,"&lt;&gt;Expired"))</f>
        <v/>
      </c>
      <c r="R53" s="66" t="n"/>
      <c r="S53" s="64" t="n"/>
      <c r="T53" s="64" t="n"/>
      <c r="U53">
        <f>IF(AND(A53&lt;&gt;"",B53="Paused"),COUNTIFS($A$5:A53,"&lt;&gt;",$B$5:B53,"Paused"),"")</f>
        <v/>
      </c>
      <c r="V53">
        <f>IF(P53="Yes",COUNTIF($P$5:P53,"Yes"),"")</f>
        <v/>
      </c>
      <c r="W53">
        <f>IF(A53="","",COUNTIF($A$5:$A$1004,"&lt;"&amp;A53)+COUNTIF($A$5:A53,A53))</f>
        <v/>
      </c>
      <c r="X53">
        <f>","&amp;SUBSTITUTE(SUBSTITUTE(SUBSTITUTE(UPPER(C53)," ",""),";",","),"/",",")&amp;","</f>
        <v/>
      </c>
      <c r="Y53">
        <f>IF(AND(A53&lt;&gt;"",B53="Active",'State Search'!$C$5&lt;&gt;"",OR(X53=",ALL,",ISNUMBER(SEARCH(","&amp;'State Search'!$C$5&amp;",",X53)))),W53,"")</f>
        <v/>
      </c>
    </row>
    <row r="54">
      <c r="A54" s="64" t="n"/>
      <c r="B54" s="65" t="n"/>
      <c r="C54" s="64" t="n"/>
      <c r="D54" s="66" t="n"/>
      <c r="E54" s="66" t="n"/>
      <c r="F54" s="67" t="n"/>
      <c r="G54" s="67" t="n"/>
      <c r="H54" s="67" t="n"/>
      <c r="I54" s="67" t="n"/>
      <c r="J54" s="67" t="n"/>
      <c r="K54" s="67" t="n"/>
      <c r="L54" s="67" t="n"/>
      <c r="M54" s="67" t="n"/>
      <c r="N54" s="65" t="n"/>
      <c r="O54" s="84">
        <f>IF(A54="","",IF(E54="","No date",IF(TODAY()&gt;=EDATE(E54,Review_Months),"Review Due","Current")))</f>
        <v/>
      </c>
      <c r="P54" s="84">
        <f>IF(A54="","",IF(COUNTIFS('AFA Rates'!$A$5:$A$1004,A54,'AFA Rates'!$O$5:$O$1004,"&lt;&gt;Expired")&gt;0,"Yes",IF(COUNTIF('AFA Rates'!$A$5:$A$1004,A54)&gt;0,"Expired only","No")))</f>
        <v/>
      </c>
      <c r="Q54" s="84">
        <f>IF(A54="","",COUNTIFS('AFA Rates'!$A$5:$A$1004,A54,'AFA Rates'!$O$5:$O$1004,"&lt;&gt;Expired"))</f>
        <v/>
      </c>
      <c r="R54" s="66" t="n"/>
      <c r="S54" s="64" t="n"/>
      <c r="T54" s="64" t="n"/>
      <c r="U54">
        <f>IF(AND(A54&lt;&gt;"",B54="Paused"),COUNTIFS($A$5:A54,"&lt;&gt;",$B$5:B54,"Paused"),"")</f>
        <v/>
      </c>
      <c r="V54">
        <f>IF(P54="Yes",COUNTIF($P$5:P54,"Yes"),"")</f>
        <v/>
      </c>
      <c r="W54">
        <f>IF(A54="","",COUNTIF($A$5:$A$1004,"&lt;"&amp;A54)+COUNTIF($A$5:A54,A54))</f>
        <v/>
      </c>
      <c r="X54">
        <f>","&amp;SUBSTITUTE(SUBSTITUTE(SUBSTITUTE(UPPER(C54)," ",""),";",","),"/",",")&amp;","</f>
        <v/>
      </c>
      <c r="Y54">
        <f>IF(AND(A54&lt;&gt;"",B54="Active",'State Search'!$C$5&lt;&gt;"",OR(X54=",ALL,",ISNUMBER(SEARCH(","&amp;'State Search'!$C$5&amp;",",X54)))),W54,"")</f>
        <v/>
      </c>
    </row>
    <row r="55">
      <c r="A55" s="64" t="n"/>
      <c r="B55" s="65" t="n"/>
      <c r="C55" s="64" t="n"/>
      <c r="D55" s="66" t="n"/>
      <c r="E55" s="66" t="n"/>
      <c r="F55" s="67" t="n"/>
      <c r="G55" s="67" t="n"/>
      <c r="H55" s="67" t="n"/>
      <c r="I55" s="67" t="n"/>
      <c r="J55" s="67" t="n"/>
      <c r="K55" s="67" t="n"/>
      <c r="L55" s="67" t="n"/>
      <c r="M55" s="67" t="n"/>
      <c r="N55" s="65" t="n"/>
      <c r="O55" s="84">
        <f>IF(A55="","",IF(E55="","No date",IF(TODAY()&gt;=EDATE(E55,Review_Months),"Review Due","Current")))</f>
        <v/>
      </c>
      <c r="P55" s="84">
        <f>IF(A55="","",IF(COUNTIFS('AFA Rates'!$A$5:$A$1004,A55,'AFA Rates'!$O$5:$O$1004,"&lt;&gt;Expired")&gt;0,"Yes",IF(COUNTIF('AFA Rates'!$A$5:$A$1004,A55)&gt;0,"Expired only","No")))</f>
        <v/>
      </c>
      <c r="Q55" s="84">
        <f>IF(A55="","",COUNTIFS('AFA Rates'!$A$5:$A$1004,A55,'AFA Rates'!$O$5:$O$1004,"&lt;&gt;Expired"))</f>
        <v/>
      </c>
      <c r="R55" s="66" t="n"/>
      <c r="S55" s="64" t="n"/>
      <c r="T55" s="64" t="n"/>
      <c r="U55">
        <f>IF(AND(A55&lt;&gt;"",B55="Paused"),COUNTIFS($A$5:A55,"&lt;&gt;",$B$5:B55,"Paused"),"")</f>
        <v/>
      </c>
      <c r="V55">
        <f>IF(P55="Yes",COUNTIF($P$5:P55,"Yes"),"")</f>
        <v/>
      </c>
      <c r="W55">
        <f>IF(A55="","",COUNTIF($A$5:$A$1004,"&lt;"&amp;A55)+COUNTIF($A$5:A55,A55))</f>
        <v/>
      </c>
      <c r="X55">
        <f>","&amp;SUBSTITUTE(SUBSTITUTE(SUBSTITUTE(UPPER(C55)," ",""),";",","),"/",",")&amp;","</f>
        <v/>
      </c>
      <c r="Y55">
        <f>IF(AND(A55&lt;&gt;"",B55="Active",'State Search'!$C$5&lt;&gt;"",OR(X55=",ALL,",ISNUMBER(SEARCH(","&amp;'State Search'!$C$5&amp;",",X55)))),W55,"")</f>
        <v/>
      </c>
    </row>
    <row r="56">
      <c r="A56" s="64" t="n"/>
      <c r="B56" s="65" t="n"/>
      <c r="C56" s="64" t="n"/>
      <c r="D56" s="66" t="n"/>
      <c r="E56" s="66" t="n"/>
      <c r="F56" s="67" t="n"/>
      <c r="G56" s="67" t="n"/>
      <c r="H56" s="67" t="n"/>
      <c r="I56" s="67" t="n"/>
      <c r="J56" s="67" t="n"/>
      <c r="K56" s="67" t="n"/>
      <c r="L56" s="67" t="n"/>
      <c r="M56" s="67" t="n"/>
      <c r="N56" s="65" t="n"/>
      <c r="O56" s="84">
        <f>IF(A56="","",IF(E56="","No date",IF(TODAY()&gt;=EDATE(E56,Review_Months),"Review Due","Current")))</f>
        <v/>
      </c>
      <c r="P56" s="84">
        <f>IF(A56="","",IF(COUNTIFS('AFA Rates'!$A$5:$A$1004,A56,'AFA Rates'!$O$5:$O$1004,"&lt;&gt;Expired")&gt;0,"Yes",IF(COUNTIF('AFA Rates'!$A$5:$A$1004,A56)&gt;0,"Expired only","No")))</f>
        <v/>
      </c>
      <c r="Q56" s="84">
        <f>IF(A56="","",COUNTIFS('AFA Rates'!$A$5:$A$1004,A56,'AFA Rates'!$O$5:$O$1004,"&lt;&gt;Expired"))</f>
        <v/>
      </c>
      <c r="R56" s="66" t="n"/>
      <c r="S56" s="64" t="n"/>
      <c r="T56" s="64" t="n"/>
      <c r="U56">
        <f>IF(AND(A56&lt;&gt;"",B56="Paused"),COUNTIFS($A$5:A56,"&lt;&gt;",$B$5:B56,"Paused"),"")</f>
        <v/>
      </c>
      <c r="V56">
        <f>IF(P56="Yes",COUNTIF($P$5:P56,"Yes"),"")</f>
        <v/>
      </c>
      <c r="W56">
        <f>IF(A56="","",COUNTIF($A$5:$A$1004,"&lt;"&amp;A56)+COUNTIF($A$5:A56,A56))</f>
        <v/>
      </c>
      <c r="X56">
        <f>","&amp;SUBSTITUTE(SUBSTITUTE(SUBSTITUTE(UPPER(C56)," ",""),";",","),"/",",")&amp;","</f>
        <v/>
      </c>
      <c r="Y56">
        <f>IF(AND(A56&lt;&gt;"",B56="Active",'State Search'!$C$5&lt;&gt;"",OR(X56=",ALL,",ISNUMBER(SEARCH(","&amp;'State Search'!$C$5&amp;",",X56)))),W56,"")</f>
        <v/>
      </c>
    </row>
    <row r="57">
      <c r="A57" s="64" t="n"/>
      <c r="B57" s="65" t="n"/>
      <c r="C57" s="64" t="n"/>
      <c r="D57" s="66" t="n"/>
      <c r="E57" s="66" t="n"/>
      <c r="F57" s="67" t="n"/>
      <c r="G57" s="67" t="n"/>
      <c r="H57" s="67" t="n"/>
      <c r="I57" s="67" t="n"/>
      <c r="J57" s="67" t="n"/>
      <c r="K57" s="67" t="n"/>
      <c r="L57" s="67" t="n"/>
      <c r="M57" s="67" t="n"/>
      <c r="N57" s="65" t="n"/>
      <c r="O57" s="84">
        <f>IF(A57="","",IF(E57="","No date",IF(TODAY()&gt;=EDATE(E57,Review_Months),"Review Due","Current")))</f>
        <v/>
      </c>
      <c r="P57" s="84">
        <f>IF(A57="","",IF(COUNTIFS('AFA Rates'!$A$5:$A$1004,A57,'AFA Rates'!$O$5:$O$1004,"&lt;&gt;Expired")&gt;0,"Yes",IF(COUNTIF('AFA Rates'!$A$5:$A$1004,A57)&gt;0,"Expired only","No")))</f>
        <v/>
      </c>
      <c r="Q57" s="84">
        <f>IF(A57="","",COUNTIFS('AFA Rates'!$A$5:$A$1004,A57,'AFA Rates'!$O$5:$O$1004,"&lt;&gt;Expired"))</f>
        <v/>
      </c>
      <c r="R57" s="66" t="n"/>
      <c r="S57" s="64" t="n"/>
      <c r="T57" s="64" t="n"/>
      <c r="U57">
        <f>IF(AND(A57&lt;&gt;"",B57="Paused"),COUNTIFS($A$5:A57,"&lt;&gt;",$B$5:B57,"Paused"),"")</f>
        <v/>
      </c>
      <c r="V57">
        <f>IF(P57="Yes",COUNTIF($P$5:P57,"Yes"),"")</f>
        <v/>
      </c>
      <c r="W57">
        <f>IF(A57="","",COUNTIF($A$5:$A$1004,"&lt;"&amp;A57)+COUNTIF($A$5:A57,A57))</f>
        <v/>
      </c>
      <c r="X57">
        <f>","&amp;SUBSTITUTE(SUBSTITUTE(SUBSTITUTE(UPPER(C57)," ",""),";",","),"/",",")&amp;","</f>
        <v/>
      </c>
      <c r="Y57">
        <f>IF(AND(A57&lt;&gt;"",B57="Active",'State Search'!$C$5&lt;&gt;"",OR(X57=",ALL,",ISNUMBER(SEARCH(","&amp;'State Search'!$C$5&amp;",",X57)))),W57,"")</f>
        <v/>
      </c>
    </row>
    <row r="58">
      <c r="A58" s="64" t="n"/>
      <c r="B58" s="65" t="n"/>
      <c r="C58" s="64" t="n"/>
      <c r="D58" s="66" t="n"/>
      <c r="E58" s="66" t="n"/>
      <c r="F58" s="67" t="n"/>
      <c r="G58" s="67" t="n"/>
      <c r="H58" s="67" t="n"/>
      <c r="I58" s="67" t="n"/>
      <c r="J58" s="67" t="n"/>
      <c r="K58" s="67" t="n"/>
      <c r="L58" s="67" t="n"/>
      <c r="M58" s="67" t="n"/>
      <c r="N58" s="65" t="n"/>
      <c r="O58" s="84">
        <f>IF(A58="","",IF(E58="","No date",IF(TODAY()&gt;=EDATE(E58,Review_Months),"Review Due","Current")))</f>
        <v/>
      </c>
      <c r="P58" s="84">
        <f>IF(A58="","",IF(COUNTIFS('AFA Rates'!$A$5:$A$1004,A58,'AFA Rates'!$O$5:$O$1004,"&lt;&gt;Expired")&gt;0,"Yes",IF(COUNTIF('AFA Rates'!$A$5:$A$1004,A58)&gt;0,"Expired only","No")))</f>
        <v/>
      </c>
      <c r="Q58" s="84">
        <f>IF(A58="","",COUNTIFS('AFA Rates'!$A$5:$A$1004,A58,'AFA Rates'!$O$5:$O$1004,"&lt;&gt;Expired"))</f>
        <v/>
      </c>
      <c r="R58" s="66" t="n"/>
      <c r="S58" s="64" t="n"/>
      <c r="T58" s="64" t="n"/>
      <c r="U58">
        <f>IF(AND(A58&lt;&gt;"",B58="Paused"),COUNTIFS($A$5:A58,"&lt;&gt;",$B$5:B58,"Paused"),"")</f>
        <v/>
      </c>
      <c r="V58">
        <f>IF(P58="Yes",COUNTIF($P$5:P58,"Yes"),"")</f>
        <v/>
      </c>
      <c r="W58">
        <f>IF(A58="","",COUNTIF($A$5:$A$1004,"&lt;"&amp;A58)+COUNTIF($A$5:A58,A58))</f>
        <v/>
      </c>
      <c r="X58">
        <f>","&amp;SUBSTITUTE(SUBSTITUTE(SUBSTITUTE(UPPER(C58)," ",""),";",","),"/",",")&amp;","</f>
        <v/>
      </c>
      <c r="Y58">
        <f>IF(AND(A58&lt;&gt;"",B58="Active",'State Search'!$C$5&lt;&gt;"",OR(X58=",ALL,",ISNUMBER(SEARCH(","&amp;'State Search'!$C$5&amp;",",X58)))),W58,"")</f>
        <v/>
      </c>
    </row>
    <row r="59">
      <c r="A59" s="64" t="n"/>
      <c r="B59" s="65" t="n"/>
      <c r="C59" s="64" t="n"/>
      <c r="D59" s="66" t="n"/>
      <c r="E59" s="66" t="n"/>
      <c r="F59" s="67" t="n"/>
      <c r="G59" s="67" t="n"/>
      <c r="H59" s="67" t="n"/>
      <c r="I59" s="67" t="n"/>
      <c r="J59" s="67" t="n"/>
      <c r="K59" s="67" t="n"/>
      <c r="L59" s="67" t="n"/>
      <c r="M59" s="67" t="n"/>
      <c r="N59" s="65" t="n"/>
      <c r="O59" s="84">
        <f>IF(A59="","",IF(E59="","No date",IF(TODAY()&gt;=EDATE(E59,Review_Months),"Review Due","Current")))</f>
        <v/>
      </c>
      <c r="P59" s="84">
        <f>IF(A59="","",IF(COUNTIFS('AFA Rates'!$A$5:$A$1004,A59,'AFA Rates'!$O$5:$O$1004,"&lt;&gt;Expired")&gt;0,"Yes",IF(COUNTIF('AFA Rates'!$A$5:$A$1004,A59)&gt;0,"Expired only","No")))</f>
        <v/>
      </c>
      <c r="Q59" s="84">
        <f>IF(A59="","",COUNTIFS('AFA Rates'!$A$5:$A$1004,A59,'AFA Rates'!$O$5:$O$1004,"&lt;&gt;Expired"))</f>
        <v/>
      </c>
      <c r="R59" s="66" t="n"/>
      <c r="S59" s="64" t="n"/>
      <c r="T59" s="64" t="n"/>
      <c r="U59">
        <f>IF(AND(A59&lt;&gt;"",B59="Paused"),COUNTIFS($A$5:A59,"&lt;&gt;",$B$5:B59,"Paused"),"")</f>
        <v/>
      </c>
      <c r="V59">
        <f>IF(P59="Yes",COUNTIF($P$5:P59,"Yes"),"")</f>
        <v/>
      </c>
      <c r="W59">
        <f>IF(A59="","",COUNTIF($A$5:$A$1004,"&lt;"&amp;A59)+COUNTIF($A$5:A59,A59))</f>
        <v/>
      </c>
      <c r="X59">
        <f>","&amp;SUBSTITUTE(SUBSTITUTE(SUBSTITUTE(UPPER(C59)," ",""),";",","),"/",",")&amp;","</f>
        <v/>
      </c>
      <c r="Y59">
        <f>IF(AND(A59&lt;&gt;"",B59="Active",'State Search'!$C$5&lt;&gt;"",OR(X59=",ALL,",ISNUMBER(SEARCH(","&amp;'State Search'!$C$5&amp;",",X59)))),W59,"")</f>
        <v/>
      </c>
    </row>
    <row r="60">
      <c r="A60" s="64" t="n"/>
      <c r="B60" s="65" t="n"/>
      <c r="C60" s="64" t="n"/>
      <c r="D60" s="66" t="n"/>
      <c r="E60" s="66" t="n"/>
      <c r="F60" s="67" t="n"/>
      <c r="G60" s="67" t="n"/>
      <c r="H60" s="67" t="n"/>
      <c r="I60" s="67" t="n"/>
      <c r="J60" s="67" t="n"/>
      <c r="K60" s="67" t="n"/>
      <c r="L60" s="67" t="n"/>
      <c r="M60" s="67" t="n"/>
      <c r="N60" s="65" t="n"/>
      <c r="O60" s="84">
        <f>IF(A60="","",IF(E60="","No date",IF(TODAY()&gt;=EDATE(E60,Review_Months),"Review Due","Current")))</f>
        <v/>
      </c>
      <c r="P60" s="84">
        <f>IF(A60="","",IF(COUNTIFS('AFA Rates'!$A$5:$A$1004,A60,'AFA Rates'!$O$5:$O$1004,"&lt;&gt;Expired")&gt;0,"Yes",IF(COUNTIF('AFA Rates'!$A$5:$A$1004,A60)&gt;0,"Expired only","No")))</f>
        <v/>
      </c>
      <c r="Q60" s="84">
        <f>IF(A60="","",COUNTIFS('AFA Rates'!$A$5:$A$1004,A60,'AFA Rates'!$O$5:$O$1004,"&lt;&gt;Expired"))</f>
        <v/>
      </c>
      <c r="R60" s="66" t="n"/>
      <c r="S60" s="64" t="n"/>
      <c r="T60" s="64" t="n"/>
      <c r="U60">
        <f>IF(AND(A60&lt;&gt;"",B60="Paused"),COUNTIFS($A$5:A60,"&lt;&gt;",$B$5:B60,"Paused"),"")</f>
        <v/>
      </c>
      <c r="V60">
        <f>IF(P60="Yes",COUNTIF($P$5:P60,"Yes"),"")</f>
        <v/>
      </c>
      <c r="W60">
        <f>IF(A60="","",COUNTIF($A$5:$A$1004,"&lt;"&amp;A60)+COUNTIF($A$5:A60,A60))</f>
        <v/>
      </c>
      <c r="X60">
        <f>","&amp;SUBSTITUTE(SUBSTITUTE(SUBSTITUTE(UPPER(C60)," ",""),";",","),"/",",")&amp;","</f>
        <v/>
      </c>
      <c r="Y60">
        <f>IF(AND(A60&lt;&gt;"",B60="Active",'State Search'!$C$5&lt;&gt;"",OR(X60=",ALL,",ISNUMBER(SEARCH(","&amp;'State Search'!$C$5&amp;",",X60)))),W60,"")</f>
        <v/>
      </c>
    </row>
    <row r="61">
      <c r="A61" s="64" t="n"/>
      <c r="B61" s="65" t="n"/>
      <c r="C61" s="64" t="n"/>
      <c r="D61" s="66" t="n"/>
      <c r="E61" s="66" t="n"/>
      <c r="F61" s="67" t="n"/>
      <c r="G61" s="67" t="n"/>
      <c r="H61" s="67" t="n"/>
      <c r="I61" s="67" t="n"/>
      <c r="J61" s="67" t="n"/>
      <c r="K61" s="67" t="n"/>
      <c r="L61" s="67" t="n"/>
      <c r="M61" s="67" t="n"/>
      <c r="N61" s="65" t="n"/>
      <c r="O61" s="84">
        <f>IF(A61="","",IF(E61="","No date",IF(TODAY()&gt;=EDATE(E61,Review_Months),"Review Due","Current")))</f>
        <v/>
      </c>
      <c r="P61" s="84">
        <f>IF(A61="","",IF(COUNTIFS('AFA Rates'!$A$5:$A$1004,A61,'AFA Rates'!$O$5:$O$1004,"&lt;&gt;Expired")&gt;0,"Yes",IF(COUNTIF('AFA Rates'!$A$5:$A$1004,A61)&gt;0,"Expired only","No")))</f>
        <v/>
      </c>
      <c r="Q61" s="84">
        <f>IF(A61="","",COUNTIFS('AFA Rates'!$A$5:$A$1004,A61,'AFA Rates'!$O$5:$O$1004,"&lt;&gt;Expired"))</f>
        <v/>
      </c>
      <c r="R61" s="66" t="n"/>
      <c r="S61" s="64" t="n"/>
      <c r="T61" s="64" t="n"/>
      <c r="U61">
        <f>IF(AND(A61&lt;&gt;"",B61="Paused"),COUNTIFS($A$5:A61,"&lt;&gt;",$B$5:B61,"Paused"),"")</f>
        <v/>
      </c>
      <c r="V61">
        <f>IF(P61="Yes",COUNTIF($P$5:P61,"Yes"),"")</f>
        <v/>
      </c>
      <c r="W61">
        <f>IF(A61="","",COUNTIF($A$5:$A$1004,"&lt;"&amp;A61)+COUNTIF($A$5:A61,A61))</f>
        <v/>
      </c>
      <c r="X61">
        <f>","&amp;SUBSTITUTE(SUBSTITUTE(SUBSTITUTE(UPPER(C61)," ",""),";",","),"/",",")&amp;","</f>
        <v/>
      </c>
      <c r="Y61">
        <f>IF(AND(A61&lt;&gt;"",B61="Active",'State Search'!$C$5&lt;&gt;"",OR(X61=",ALL,",ISNUMBER(SEARCH(","&amp;'State Search'!$C$5&amp;",",X61)))),W61,"")</f>
        <v/>
      </c>
    </row>
    <row r="62">
      <c r="A62" s="64" t="n"/>
      <c r="B62" s="65" t="n"/>
      <c r="C62" s="64" t="n"/>
      <c r="D62" s="66" t="n"/>
      <c r="E62" s="66" t="n"/>
      <c r="F62" s="67" t="n"/>
      <c r="G62" s="67" t="n"/>
      <c r="H62" s="67" t="n"/>
      <c r="I62" s="67" t="n"/>
      <c r="J62" s="67" t="n"/>
      <c r="K62" s="67" t="n"/>
      <c r="L62" s="67" t="n"/>
      <c r="M62" s="67" t="n"/>
      <c r="N62" s="65" t="n"/>
      <c r="O62" s="84">
        <f>IF(A62="","",IF(E62="","No date",IF(TODAY()&gt;=EDATE(E62,Review_Months),"Review Due","Current")))</f>
        <v/>
      </c>
      <c r="P62" s="84">
        <f>IF(A62="","",IF(COUNTIFS('AFA Rates'!$A$5:$A$1004,A62,'AFA Rates'!$O$5:$O$1004,"&lt;&gt;Expired")&gt;0,"Yes",IF(COUNTIF('AFA Rates'!$A$5:$A$1004,A62)&gt;0,"Expired only","No")))</f>
        <v/>
      </c>
      <c r="Q62" s="84">
        <f>IF(A62="","",COUNTIFS('AFA Rates'!$A$5:$A$1004,A62,'AFA Rates'!$O$5:$O$1004,"&lt;&gt;Expired"))</f>
        <v/>
      </c>
      <c r="R62" s="66" t="n"/>
      <c r="S62" s="64" t="n"/>
      <c r="T62" s="64" t="n"/>
      <c r="U62">
        <f>IF(AND(A62&lt;&gt;"",B62="Paused"),COUNTIFS($A$5:A62,"&lt;&gt;",$B$5:B62,"Paused"),"")</f>
        <v/>
      </c>
      <c r="V62">
        <f>IF(P62="Yes",COUNTIF($P$5:P62,"Yes"),"")</f>
        <v/>
      </c>
      <c r="W62">
        <f>IF(A62="","",COUNTIF($A$5:$A$1004,"&lt;"&amp;A62)+COUNTIF($A$5:A62,A62))</f>
        <v/>
      </c>
      <c r="X62">
        <f>","&amp;SUBSTITUTE(SUBSTITUTE(SUBSTITUTE(UPPER(C62)," ",""),";",","),"/",",")&amp;","</f>
        <v/>
      </c>
      <c r="Y62">
        <f>IF(AND(A62&lt;&gt;"",B62="Active",'State Search'!$C$5&lt;&gt;"",OR(X62=",ALL,",ISNUMBER(SEARCH(","&amp;'State Search'!$C$5&amp;",",X62)))),W62,"")</f>
        <v/>
      </c>
    </row>
    <row r="63">
      <c r="A63" s="64" t="n"/>
      <c r="B63" s="65" t="n"/>
      <c r="C63" s="64" t="n"/>
      <c r="D63" s="66" t="n"/>
      <c r="E63" s="66" t="n"/>
      <c r="F63" s="67" t="n"/>
      <c r="G63" s="67" t="n"/>
      <c r="H63" s="67" t="n"/>
      <c r="I63" s="67" t="n"/>
      <c r="J63" s="67" t="n"/>
      <c r="K63" s="67" t="n"/>
      <c r="L63" s="67" t="n"/>
      <c r="M63" s="67" t="n"/>
      <c r="N63" s="65" t="n"/>
      <c r="O63" s="84">
        <f>IF(A63="","",IF(E63="","No date",IF(TODAY()&gt;=EDATE(E63,Review_Months),"Review Due","Current")))</f>
        <v/>
      </c>
      <c r="P63" s="84">
        <f>IF(A63="","",IF(COUNTIFS('AFA Rates'!$A$5:$A$1004,A63,'AFA Rates'!$O$5:$O$1004,"&lt;&gt;Expired")&gt;0,"Yes",IF(COUNTIF('AFA Rates'!$A$5:$A$1004,A63)&gt;0,"Expired only","No")))</f>
        <v/>
      </c>
      <c r="Q63" s="84">
        <f>IF(A63="","",COUNTIFS('AFA Rates'!$A$5:$A$1004,A63,'AFA Rates'!$O$5:$O$1004,"&lt;&gt;Expired"))</f>
        <v/>
      </c>
      <c r="R63" s="66" t="n"/>
      <c r="S63" s="64" t="n"/>
      <c r="T63" s="64" t="n"/>
      <c r="U63">
        <f>IF(AND(A63&lt;&gt;"",B63="Paused"),COUNTIFS($A$5:A63,"&lt;&gt;",$B$5:B63,"Paused"),"")</f>
        <v/>
      </c>
      <c r="V63">
        <f>IF(P63="Yes",COUNTIF($P$5:P63,"Yes"),"")</f>
        <v/>
      </c>
      <c r="W63">
        <f>IF(A63="","",COUNTIF($A$5:$A$1004,"&lt;"&amp;A63)+COUNTIF($A$5:A63,A63))</f>
        <v/>
      </c>
      <c r="X63">
        <f>","&amp;SUBSTITUTE(SUBSTITUTE(SUBSTITUTE(UPPER(C63)," ",""),";",","),"/",",")&amp;","</f>
        <v/>
      </c>
      <c r="Y63">
        <f>IF(AND(A63&lt;&gt;"",B63="Active",'State Search'!$C$5&lt;&gt;"",OR(X63=",ALL,",ISNUMBER(SEARCH(","&amp;'State Search'!$C$5&amp;",",X63)))),W63,"")</f>
        <v/>
      </c>
    </row>
    <row r="64">
      <c r="A64" s="64" t="n"/>
      <c r="B64" s="65" t="n"/>
      <c r="C64" s="64" t="n"/>
      <c r="D64" s="66" t="n"/>
      <c r="E64" s="66" t="n"/>
      <c r="F64" s="67" t="n"/>
      <c r="G64" s="67" t="n"/>
      <c r="H64" s="67" t="n"/>
      <c r="I64" s="67" t="n"/>
      <c r="J64" s="67" t="n"/>
      <c r="K64" s="67" t="n"/>
      <c r="L64" s="67" t="n"/>
      <c r="M64" s="67" t="n"/>
      <c r="N64" s="65" t="n"/>
      <c r="O64" s="84">
        <f>IF(A64="","",IF(E64="","No date",IF(TODAY()&gt;=EDATE(E64,Review_Months),"Review Due","Current")))</f>
        <v/>
      </c>
      <c r="P64" s="84">
        <f>IF(A64="","",IF(COUNTIFS('AFA Rates'!$A$5:$A$1004,A64,'AFA Rates'!$O$5:$O$1004,"&lt;&gt;Expired")&gt;0,"Yes",IF(COUNTIF('AFA Rates'!$A$5:$A$1004,A64)&gt;0,"Expired only","No")))</f>
        <v/>
      </c>
      <c r="Q64" s="84">
        <f>IF(A64="","",COUNTIFS('AFA Rates'!$A$5:$A$1004,A64,'AFA Rates'!$O$5:$O$1004,"&lt;&gt;Expired"))</f>
        <v/>
      </c>
      <c r="R64" s="66" t="n"/>
      <c r="S64" s="64" t="n"/>
      <c r="T64" s="64" t="n"/>
      <c r="U64">
        <f>IF(AND(A64&lt;&gt;"",B64="Paused"),COUNTIFS($A$5:A64,"&lt;&gt;",$B$5:B64,"Paused"),"")</f>
        <v/>
      </c>
      <c r="V64">
        <f>IF(P64="Yes",COUNTIF($P$5:P64,"Yes"),"")</f>
        <v/>
      </c>
      <c r="W64">
        <f>IF(A64="","",COUNTIF($A$5:$A$1004,"&lt;"&amp;A64)+COUNTIF($A$5:A64,A64))</f>
        <v/>
      </c>
      <c r="X64">
        <f>","&amp;SUBSTITUTE(SUBSTITUTE(SUBSTITUTE(UPPER(C64)," ",""),";",","),"/",",")&amp;","</f>
        <v/>
      </c>
      <c r="Y64">
        <f>IF(AND(A64&lt;&gt;"",B64="Active",'State Search'!$C$5&lt;&gt;"",OR(X64=",ALL,",ISNUMBER(SEARCH(","&amp;'State Search'!$C$5&amp;",",X64)))),W64,"")</f>
        <v/>
      </c>
    </row>
    <row r="65">
      <c r="A65" s="64" t="n"/>
      <c r="B65" s="65" t="n"/>
      <c r="C65" s="64" t="n"/>
      <c r="D65" s="66" t="n"/>
      <c r="E65" s="66" t="n"/>
      <c r="F65" s="67" t="n"/>
      <c r="G65" s="67" t="n"/>
      <c r="H65" s="67" t="n"/>
      <c r="I65" s="67" t="n"/>
      <c r="J65" s="67" t="n"/>
      <c r="K65" s="67" t="n"/>
      <c r="L65" s="67" t="n"/>
      <c r="M65" s="67" t="n"/>
      <c r="N65" s="65" t="n"/>
      <c r="O65" s="84">
        <f>IF(A65="","",IF(E65="","No date",IF(TODAY()&gt;=EDATE(E65,Review_Months),"Review Due","Current")))</f>
        <v/>
      </c>
      <c r="P65" s="84">
        <f>IF(A65="","",IF(COUNTIFS('AFA Rates'!$A$5:$A$1004,A65,'AFA Rates'!$O$5:$O$1004,"&lt;&gt;Expired")&gt;0,"Yes",IF(COUNTIF('AFA Rates'!$A$5:$A$1004,A65)&gt;0,"Expired only","No")))</f>
        <v/>
      </c>
      <c r="Q65" s="84">
        <f>IF(A65="","",COUNTIFS('AFA Rates'!$A$5:$A$1004,A65,'AFA Rates'!$O$5:$O$1004,"&lt;&gt;Expired"))</f>
        <v/>
      </c>
      <c r="R65" s="66" t="n"/>
      <c r="S65" s="64" t="n"/>
      <c r="T65" s="64" t="n"/>
      <c r="U65">
        <f>IF(AND(A65&lt;&gt;"",B65="Paused"),COUNTIFS($A$5:A65,"&lt;&gt;",$B$5:B65,"Paused"),"")</f>
        <v/>
      </c>
      <c r="V65">
        <f>IF(P65="Yes",COUNTIF($P$5:P65,"Yes"),"")</f>
        <v/>
      </c>
      <c r="W65">
        <f>IF(A65="","",COUNTIF($A$5:$A$1004,"&lt;"&amp;A65)+COUNTIF($A$5:A65,A65))</f>
        <v/>
      </c>
      <c r="X65">
        <f>","&amp;SUBSTITUTE(SUBSTITUTE(SUBSTITUTE(UPPER(C65)," ",""),";",","),"/",",")&amp;","</f>
        <v/>
      </c>
      <c r="Y65">
        <f>IF(AND(A65&lt;&gt;"",B65="Active",'State Search'!$C$5&lt;&gt;"",OR(X65=",ALL,",ISNUMBER(SEARCH(","&amp;'State Search'!$C$5&amp;",",X65)))),W65,"")</f>
        <v/>
      </c>
    </row>
    <row r="66">
      <c r="A66" s="64" t="n"/>
      <c r="B66" s="65" t="n"/>
      <c r="C66" s="64" t="n"/>
      <c r="D66" s="66" t="n"/>
      <c r="E66" s="66" t="n"/>
      <c r="F66" s="67" t="n"/>
      <c r="G66" s="67" t="n"/>
      <c r="H66" s="67" t="n"/>
      <c r="I66" s="67" t="n"/>
      <c r="J66" s="67" t="n"/>
      <c r="K66" s="67" t="n"/>
      <c r="L66" s="67" t="n"/>
      <c r="M66" s="67" t="n"/>
      <c r="N66" s="65" t="n"/>
      <c r="O66" s="84">
        <f>IF(A66="","",IF(E66="","No date",IF(TODAY()&gt;=EDATE(E66,Review_Months),"Review Due","Current")))</f>
        <v/>
      </c>
      <c r="P66" s="84">
        <f>IF(A66="","",IF(COUNTIFS('AFA Rates'!$A$5:$A$1004,A66,'AFA Rates'!$O$5:$O$1004,"&lt;&gt;Expired")&gt;0,"Yes",IF(COUNTIF('AFA Rates'!$A$5:$A$1004,A66)&gt;0,"Expired only","No")))</f>
        <v/>
      </c>
      <c r="Q66" s="84">
        <f>IF(A66="","",COUNTIFS('AFA Rates'!$A$5:$A$1004,A66,'AFA Rates'!$O$5:$O$1004,"&lt;&gt;Expired"))</f>
        <v/>
      </c>
      <c r="R66" s="66" t="n"/>
      <c r="S66" s="64" t="n"/>
      <c r="T66" s="64" t="n"/>
      <c r="U66">
        <f>IF(AND(A66&lt;&gt;"",B66="Paused"),COUNTIFS($A$5:A66,"&lt;&gt;",$B$5:B66,"Paused"),"")</f>
        <v/>
      </c>
      <c r="V66">
        <f>IF(P66="Yes",COUNTIF($P$5:P66,"Yes"),"")</f>
        <v/>
      </c>
      <c r="W66">
        <f>IF(A66="","",COUNTIF($A$5:$A$1004,"&lt;"&amp;A66)+COUNTIF($A$5:A66,A66))</f>
        <v/>
      </c>
      <c r="X66">
        <f>","&amp;SUBSTITUTE(SUBSTITUTE(SUBSTITUTE(UPPER(C66)," ",""),";",","),"/",",")&amp;","</f>
        <v/>
      </c>
      <c r="Y66">
        <f>IF(AND(A66&lt;&gt;"",B66="Active",'State Search'!$C$5&lt;&gt;"",OR(X66=",ALL,",ISNUMBER(SEARCH(","&amp;'State Search'!$C$5&amp;",",X66)))),W66,"")</f>
        <v/>
      </c>
    </row>
    <row r="67">
      <c r="A67" s="64" t="n"/>
      <c r="B67" s="65" t="n"/>
      <c r="C67" s="64" t="n"/>
      <c r="D67" s="66" t="n"/>
      <c r="E67" s="66" t="n"/>
      <c r="F67" s="67" t="n"/>
      <c r="G67" s="67" t="n"/>
      <c r="H67" s="67" t="n"/>
      <c r="I67" s="67" t="n"/>
      <c r="J67" s="67" t="n"/>
      <c r="K67" s="67" t="n"/>
      <c r="L67" s="67" t="n"/>
      <c r="M67" s="67" t="n"/>
      <c r="N67" s="65" t="n"/>
      <c r="O67" s="84">
        <f>IF(A67="","",IF(E67="","No date",IF(TODAY()&gt;=EDATE(E67,Review_Months),"Review Due","Current")))</f>
        <v/>
      </c>
      <c r="P67" s="84">
        <f>IF(A67="","",IF(COUNTIFS('AFA Rates'!$A$5:$A$1004,A67,'AFA Rates'!$O$5:$O$1004,"&lt;&gt;Expired")&gt;0,"Yes",IF(COUNTIF('AFA Rates'!$A$5:$A$1004,A67)&gt;0,"Expired only","No")))</f>
        <v/>
      </c>
      <c r="Q67" s="84">
        <f>IF(A67="","",COUNTIFS('AFA Rates'!$A$5:$A$1004,A67,'AFA Rates'!$O$5:$O$1004,"&lt;&gt;Expired"))</f>
        <v/>
      </c>
      <c r="R67" s="66" t="n"/>
      <c r="S67" s="64" t="n"/>
      <c r="T67" s="64" t="n"/>
      <c r="U67">
        <f>IF(AND(A67&lt;&gt;"",B67="Paused"),COUNTIFS($A$5:A67,"&lt;&gt;",$B$5:B67,"Paused"),"")</f>
        <v/>
      </c>
      <c r="V67">
        <f>IF(P67="Yes",COUNTIF($P$5:P67,"Yes"),"")</f>
        <v/>
      </c>
      <c r="W67">
        <f>IF(A67="","",COUNTIF($A$5:$A$1004,"&lt;"&amp;A67)+COUNTIF($A$5:A67,A67))</f>
        <v/>
      </c>
      <c r="X67">
        <f>","&amp;SUBSTITUTE(SUBSTITUTE(SUBSTITUTE(UPPER(C67)," ",""),";",","),"/",",")&amp;","</f>
        <v/>
      </c>
      <c r="Y67">
        <f>IF(AND(A67&lt;&gt;"",B67="Active",'State Search'!$C$5&lt;&gt;"",OR(X67=",ALL,",ISNUMBER(SEARCH(","&amp;'State Search'!$C$5&amp;",",X67)))),W67,"")</f>
        <v/>
      </c>
    </row>
    <row r="68">
      <c r="A68" s="64" t="n"/>
      <c r="B68" s="65" t="n"/>
      <c r="C68" s="64" t="n"/>
      <c r="D68" s="66" t="n"/>
      <c r="E68" s="66" t="n"/>
      <c r="F68" s="67" t="n"/>
      <c r="G68" s="67" t="n"/>
      <c r="H68" s="67" t="n"/>
      <c r="I68" s="67" t="n"/>
      <c r="J68" s="67" t="n"/>
      <c r="K68" s="67" t="n"/>
      <c r="L68" s="67" t="n"/>
      <c r="M68" s="67" t="n"/>
      <c r="N68" s="65" t="n"/>
      <c r="O68" s="84">
        <f>IF(A68="","",IF(E68="","No date",IF(TODAY()&gt;=EDATE(E68,Review_Months),"Review Due","Current")))</f>
        <v/>
      </c>
      <c r="P68" s="84">
        <f>IF(A68="","",IF(COUNTIFS('AFA Rates'!$A$5:$A$1004,A68,'AFA Rates'!$O$5:$O$1004,"&lt;&gt;Expired")&gt;0,"Yes",IF(COUNTIF('AFA Rates'!$A$5:$A$1004,A68)&gt;0,"Expired only","No")))</f>
        <v/>
      </c>
      <c r="Q68" s="84">
        <f>IF(A68="","",COUNTIFS('AFA Rates'!$A$5:$A$1004,A68,'AFA Rates'!$O$5:$O$1004,"&lt;&gt;Expired"))</f>
        <v/>
      </c>
      <c r="R68" s="66" t="n"/>
      <c r="S68" s="64" t="n"/>
      <c r="T68" s="64" t="n"/>
      <c r="U68">
        <f>IF(AND(A68&lt;&gt;"",B68="Paused"),COUNTIFS($A$5:A68,"&lt;&gt;",$B$5:B68,"Paused"),"")</f>
        <v/>
      </c>
      <c r="V68">
        <f>IF(P68="Yes",COUNTIF($P$5:P68,"Yes"),"")</f>
        <v/>
      </c>
      <c r="W68">
        <f>IF(A68="","",COUNTIF($A$5:$A$1004,"&lt;"&amp;A68)+COUNTIF($A$5:A68,A68))</f>
        <v/>
      </c>
      <c r="X68">
        <f>","&amp;SUBSTITUTE(SUBSTITUTE(SUBSTITUTE(UPPER(C68)," ",""),";",","),"/",",")&amp;","</f>
        <v/>
      </c>
      <c r="Y68">
        <f>IF(AND(A68&lt;&gt;"",B68="Active",'State Search'!$C$5&lt;&gt;"",OR(X68=",ALL,",ISNUMBER(SEARCH(","&amp;'State Search'!$C$5&amp;",",X68)))),W68,"")</f>
        <v/>
      </c>
    </row>
    <row r="69">
      <c r="A69" s="64" t="n"/>
      <c r="B69" s="65" t="n"/>
      <c r="C69" s="64" t="n"/>
      <c r="D69" s="66" t="n"/>
      <c r="E69" s="66" t="n"/>
      <c r="F69" s="67" t="n"/>
      <c r="G69" s="67" t="n"/>
      <c r="H69" s="67" t="n"/>
      <c r="I69" s="67" t="n"/>
      <c r="J69" s="67" t="n"/>
      <c r="K69" s="67" t="n"/>
      <c r="L69" s="67" t="n"/>
      <c r="M69" s="67" t="n"/>
      <c r="N69" s="65" t="n"/>
      <c r="O69" s="84">
        <f>IF(A69="","",IF(E69="","No date",IF(TODAY()&gt;=EDATE(E69,Review_Months),"Review Due","Current")))</f>
        <v/>
      </c>
      <c r="P69" s="84">
        <f>IF(A69="","",IF(COUNTIFS('AFA Rates'!$A$5:$A$1004,A69,'AFA Rates'!$O$5:$O$1004,"&lt;&gt;Expired")&gt;0,"Yes",IF(COUNTIF('AFA Rates'!$A$5:$A$1004,A69)&gt;0,"Expired only","No")))</f>
        <v/>
      </c>
      <c r="Q69" s="84">
        <f>IF(A69="","",COUNTIFS('AFA Rates'!$A$5:$A$1004,A69,'AFA Rates'!$O$5:$O$1004,"&lt;&gt;Expired"))</f>
        <v/>
      </c>
      <c r="R69" s="66" t="n"/>
      <c r="S69" s="64" t="n"/>
      <c r="T69" s="64" t="n"/>
      <c r="U69">
        <f>IF(AND(A69&lt;&gt;"",B69="Paused"),COUNTIFS($A$5:A69,"&lt;&gt;",$B$5:B69,"Paused"),"")</f>
        <v/>
      </c>
      <c r="V69">
        <f>IF(P69="Yes",COUNTIF($P$5:P69,"Yes"),"")</f>
        <v/>
      </c>
      <c r="W69">
        <f>IF(A69="","",COUNTIF($A$5:$A$1004,"&lt;"&amp;A69)+COUNTIF($A$5:A69,A69))</f>
        <v/>
      </c>
      <c r="X69">
        <f>","&amp;SUBSTITUTE(SUBSTITUTE(SUBSTITUTE(UPPER(C69)," ",""),";",","),"/",",")&amp;","</f>
        <v/>
      </c>
      <c r="Y69">
        <f>IF(AND(A69&lt;&gt;"",B69="Active",'State Search'!$C$5&lt;&gt;"",OR(X69=",ALL,",ISNUMBER(SEARCH(","&amp;'State Search'!$C$5&amp;",",X69)))),W69,"")</f>
        <v/>
      </c>
    </row>
    <row r="70">
      <c r="A70" s="64" t="n"/>
      <c r="B70" s="65" t="n"/>
      <c r="C70" s="64" t="n"/>
      <c r="D70" s="66" t="n"/>
      <c r="E70" s="66" t="n"/>
      <c r="F70" s="67" t="n"/>
      <c r="G70" s="67" t="n"/>
      <c r="H70" s="67" t="n"/>
      <c r="I70" s="67" t="n"/>
      <c r="J70" s="67" t="n"/>
      <c r="K70" s="67" t="n"/>
      <c r="L70" s="67" t="n"/>
      <c r="M70" s="67" t="n"/>
      <c r="N70" s="65" t="n"/>
      <c r="O70" s="84">
        <f>IF(A70="","",IF(E70="","No date",IF(TODAY()&gt;=EDATE(E70,Review_Months),"Review Due","Current")))</f>
        <v/>
      </c>
      <c r="P70" s="84">
        <f>IF(A70="","",IF(COUNTIFS('AFA Rates'!$A$5:$A$1004,A70,'AFA Rates'!$O$5:$O$1004,"&lt;&gt;Expired")&gt;0,"Yes",IF(COUNTIF('AFA Rates'!$A$5:$A$1004,A70)&gt;0,"Expired only","No")))</f>
        <v/>
      </c>
      <c r="Q70" s="84">
        <f>IF(A70="","",COUNTIFS('AFA Rates'!$A$5:$A$1004,A70,'AFA Rates'!$O$5:$O$1004,"&lt;&gt;Expired"))</f>
        <v/>
      </c>
      <c r="R70" s="66" t="n"/>
      <c r="S70" s="64" t="n"/>
      <c r="T70" s="64" t="n"/>
      <c r="U70">
        <f>IF(AND(A70&lt;&gt;"",B70="Paused"),COUNTIFS($A$5:A70,"&lt;&gt;",$B$5:B70,"Paused"),"")</f>
        <v/>
      </c>
      <c r="V70">
        <f>IF(P70="Yes",COUNTIF($P$5:P70,"Yes"),"")</f>
        <v/>
      </c>
      <c r="W70">
        <f>IF(A70="","",COUNTIF($A$5:$A$1004,"&lt;"&amp;A70)+COUNTIF($A$5:A70,A70))</f>
        <v/>
      </c>
      <c r="X70">
        <f>","&amp;SUBSTITUTE(SUBSTITUTE(SUBSTITUTE(UPPER(C70)," ",""),";",","),"/",",")&amp;","</f>
        <v/>
      </c>
      <c r="Y70">
        <f>IF(AND(A70&lt;&gt;"",B70="Active",'State Search'!$C$5&lt;&gt;"",OR(X70=",ALL,",ISNUMBER(SEARCH(","&amp;'State Search'!$C$5&amp;",",X70)))),W70,"")</f>
        <v/>
      </c>
    </row>
    <row r="71">
      <c r="A71" s="64" t="n"/>
      <c r="B71" s="65" t="n"/>
      <c r="C71" s="64" t="n"/>
      <c r="D71" s="66" t="n"/>
      <c r="E71" s="66" t="n"/>
      <c r="F71" s="67" t="n"/>
      <c r="G71" s="67" t="n"/>
      <c r="H71" s="67" t="n"/>
      <c r="I71" s="67" t="n"/>
      <c r="J71" s="67" t="n"/>
      <c r="K71" s="67" t="n"/>
      <c r="L71" s="67" t="n"/>
      <c r="M71" s="67" t="n"/>
      <c r="N71" s="65" t="n"/>
      <c r="O71" s="84">
        <f>IF(A71="","",IF(E71="","No date",IF(TODAY()&gt;=EDATE(E71,Review_Months),"Review Due","Current")))</f>
        <v/>
      </c>
      <c r="P71" s="84">
        <f>IF(A71="","",IF(COUNTIFS('AFA Rates'!$A$5:$A$1004,A71,'AFA Rates'!$O$5:$O$1004,"&lt;&gt;Expired")&gt;0,"Yes",IF(COUNTIF('AFA Rates'!$A$5:$A$1004,A71)&gt;0,"Expired only","No")))</f>
        <v/>
      </c>
      <c r="Q71" s="84">
        <f>IF(A71="","",COUNTIFS('AFA Rates'!$A$5:$A$1004,A71,'AFA Rates'!$O$5:$O$1004,"&lt;&gt;Expired"))</f>
        <v/>
      </c>
      <c r="R71" s="66" t="n"/>
      <c r="S71" s="64" t="n"/>
      <c r="T71" s="64" t="n"/>
      <c r="U71">
        <f>IF(AND(A71&lt;&gt;"",B71="Paused"),COUNTIFS($A$5:A71,"&lt;&gt;",$B$5:B71,"Paused"),"")</f>
        <v/>
      </c>
      <c r="V71">
        <f>IF(P71="Yes",COUNTIF($P$5:P71,"Yes"),"")</f>
        <v/>
      </c>
      <c r="W71">
        <f>IF(A71="","",COUNTIF($A$5:$A$1004,"&lt;"&amp;A71)+COUNTIF($A$5:A71,A71))</f>
        <v/>
      </c>
      <c r="X71">
        <f>","&amp;SUBSTITUTE(SUBSTITUTE(SUBSTITUTE(UPPER(C71)," ",""),";",","),"/",",")&amp;","</f>
        <v/>
      </c>
      <c r="Y71">
        <f>IF(AND(A71&lt;&gt;"",B71="Active",'State Search'!$C$5&lt;&gt;"",OR(X71=",ALL,",ISNUMBER(SEARCH(","&amp;'State Search'!$C$5&amp;",",X71)))),W71,"")</f>
        <v/>
      </c>
    </row>
    <row r="72">
      <c r="A72" s="64" t="n"/>
      <c r="B72" s="65" t="n"/>
      <c r="C72" s="64" t="n"/>
      <c r="D72" s="66" t="n"/>
      <c r="E72" s="66" t="n"/>
      <c r="F72" s="67" t="n"/>
      <c r="G72" s="67" t="n"/>
      <c r="H72" s="67" t="n"/>
      <c r="I72" s="67" t="n"/>
      <c r="J72" s="67" t="n"/>
      <c r="K72" s="67" t="n"/>
      <c r="L72" s="67" t="n"/>
      <c r="M72" s="67" t="n"/>
      <c r="N72" s="65" t="n"/>
      <c r="O72" s="84">
        <f>IF(A72="","",IF(E72="","No date",IF(TODAY()&gt;=EDATE(E72,Review_Months),"Review Due","Current")))</f>
        <v/>
      </c>
      <c r="P72" s="84">
        <f>IF(A72="","",IF(COUNTIFS('AFA Rates'!$A$5:$A$1004,A72,'AFA Rates'!$O$5:$O$1004,"&lt;&gt;Expired")&gt;0,"Yes",IF(COUNTIF('AFA Rates'!$A$5:$A$1004,A72)&gt;0,"Expired only","No")))</f>
        <v/>
      </c>
      <c r="Q72" s="84">
        <f>IF(A72="","",COUNTIFS('AFA Rates'!$A$5:$A$1004,A72,'AFA Rates'!$O$5:$O$1004,"&lt;&gt;Expired"))</f>
        <v/>
      </c>
      <c r="R72" s="66" t="n"/>
      <c r="S72" s="64" t="n"/>
      <c r="T72" s="64" t="n"/>
      <c r="U72">
        <f>IF(AND(A72&lt;&gt;"",B72="Paused"),COUNTIFS($A$5:A72,"&lt;&gt;",$B$5:B72,"Paused"),"")</f>
        <v/>
      </c>
      <c r="V72">
        <f>IF(P72="Yes",COUNTIF($P$5:P72,"Yes"),"")</f>
        <v/>
      </c>
      <c r="W72">
        <f>IF(A72="","",COUNTIF($A$5:$A$1004,"&lt;"&amp;A72)+COUNTIF($A$5:A72,A72))</f>
        <v/>
      </c>
      <c r="X72">
        <f>","&amp;SUBSTITUTE(SUBSTITUTE(SUBSTITUTE(UPPER(C72)," ",""),";",","),"/",",")&amp;","</f>
        <v/>
      </c>
      <c r="Y72">
        <f>IF(AND(A72&lt;&gt;"",B72="Active",'State Search'!$C$5&lt;&gt;"",OR(X72=",ALL,",ISNUMBER(SEARCH(","&amp;'State Search'!$C$5&amp;",",X72)))),W72,"")</f>
        <v/>
      </c>
    </row>
    <row r="73">
      <c r="A73" s="64" t="n"/>
      <c r="B73" s="65" t="n"/>
      <c r="C73" s="64" t="n"/>
      <c r="D73" s="66" t="n"/>
      <c r="E73" s="66" t="n"/>
      <c r="F73" s="67" t="n"/>
      <c r="G73" s="67" t="n"/>
      <c r="H73" s="67" t="n"/>
      <c r="I73" s="67" t="n"/>
      <c r="J73" s="67" t="n"/>
      <c r="K73" s="67" t="n"/>
      <c r="L73" s="67" t="n"/>
      <c r="M73" s="67" t="n"/>
      <c r="N73" s="65" t="n"/>
      <c r="O73" s="84">
        <f>IF(A73="","",IF(E73="","No date",IF(TODAY()&gt;=EDATE(E73,Review_Months),"Review Due","Current")))</f>
        <v/>
      </c>
      <c r="P73" s="84">
        <f>IF(A73="","",IF(COUNTIFS('AFA Rates'!$A$5:$A$1004,A73,'AFA Rates'!$O$5:$O$1004,"&lt;&gt;Expired")&gt;0,"Yes",IF(COUNTIF('AFA Rates'!$A$5:$A$1004,A73)&gt;0,"Expired only","No")))</f>
        <v/>
      </c>
      <c r="Q73" s="84">
        <f>IF(A73="","",COUNTIFS('AFA Rates'!$A$5:$A$1004,A73,'AFA Rates'!$O$5:$O$1004,"&lt;&gt;Expired"))</f>
        <v/>
      </c>
      <c r="R73" s="66" t="n"/>
      <c r="S73" s="64" t="n"/>
      <c r="T73" s="64" t="n"/>
      <c r="U73">
        <f>IF(AND(A73&lt;&gt;"",B73="Paused"),COUNTIFS($A$5:A73,"&lt;&gt;",$B$5:B73,"Paused"),"")</f>
        <v/>
      </c>
      <c r="V73">
        <f>IF(P73="Yes",COUNTIF($P$5:P73,"Yes"),"")</f>
        <v/>
      </c>
      <c r="W73">
        <f>IF(A73="","",COUNTIF($A$5:$A$1004,"&lt;"&amp;A73)+COUNTIF($A$5:A73,A73))</f>
        <v/>
      </c>
      <c r="X73">
        <f>","&amp;SUBSTITUTE(SUBSTITUTE(SUBSTITUTE(UPPER(C73)," ",""),";",","),"/",",")&amp;","</f>
        <v/>
      </c>
      <c r="Y73">
        <f>IF(AND(A73&lt;&gt;"",B73="Active",'State Search'!$C$5&lt;&gt;"",OR(X73=",ALL,",ISNUMBER(SEARCH(","&amp;'State Search'!$C$5&amp;",",X73)))),W73,"")</f>
        <v/>
      </c>
    </row>
    <row r="74">
      <c r="A74" s="64" t="n"/>
      <c r="B74" s="65" t="n"/>
      <c r="C74" s="64" t="n"/>
      <c r="D74" s="66" t="n"/>
      <c r="E74" s="66" t="n"/>
      <c r="F74" s="67" t="n"/>
      <c r="G74" s="67" t="n"/>
      <c r="H74" s="67" t="n"/>
      <c r="I74" s="67" t="n"/>
      <c r="J74" s="67" t="n"/>
      <c r="K74" s="67" t="n"/>
      <c r="L74" s="67" t="n"/>
      <c r="M74" s="67" t="n"/>
      <c r="N74" s="65" t="n"/>
      <c r="O74" s="84">
        <f>IF(A74="","",IF(E74="","No date",IF(TODAY()&gt;=EDATE(E74,Review_Months),"Review Due","Current")))</f>
        <v/>
      </c>
      <c r="P74" s="84">
        <f>IF(A74="","",IF(COUNTIFS('AFA Rates'!$A$5:$A$1004,A74,'AFA Rates'!$O$5:$O$1004,"&lt;&gt;Expired")&gt;0,"Yes",IF(COUNTIF('AFA Rates'!$A$5:$A$1004,A74)&gt;0,"Expired only","No")))</f>
        <v/>
      </c>
      <c r="Q74" s="84">
        <f>IF(A74="","",COUNTIFS('AFA Rates'!$A$5:$A$1004,A74,'AFA Rates'!$O$5:$O$1004,"&lt;&gt;Expired"))</f>
        <v/>
      </c>
      <c r="R74" s="66" t="n"/>
      <c r="S74" s="64" t="n"/>
      <c r="T74" s="64" t="n"/>
      <c r="U74">
        <f>IF(AND(A74&lt;&gt;"",B74="Paused"),COUNTIFS($A$5:A74,"&lt;&gt;",$B$5:B74,"Paused"),"")</f>
        <v/>
      </c>
      <c r="V74">
        <f>IF(P74="Yes",COUNTIF($P$5:P74,"Yes"),"")</f>
        <v/>
      </c>
      <c r="W74">
        <f>IF(A74="","",COUNTIF($A$5:$A$1004,"&lt;"&amp;A74)+COUNTIF($A$5:A74,A74))</f>
        <v/>
      </c>
      <c r="X74">
        <f>","&amp;SUBSTITUTE(SUBSTITUTE(SUBSTITUTE(UPPER(C74)," ",""),";",","),"/",",")&amp;","</f>
        <v/>
      </c>
      <c r="Y74">
        <f>IF(AND(A74&lt;&gt;"",B74="Active",'State Search'!$C$5&lt;&gt;"",OR(X74=",ALL,",ISNUMBER(SEARCH(","&amp;'State Search'!$C$5&amp;",",X74)))),W74,"")</f>
        <v/>
      </c>
    </row>
    <row r="75">
      <c r="A75" s="64" t="n"/>
      <c r="B75" s="65" t="n"/>
      <c r="C75" s="64" t="n"/>
      <c r="D75" s="66" t="n"/>
      <c r="E75" s="66" t="n"/>
      <c r="F75" s="67" t="n"/>
      <c r="G75" s="67" t="n"/>
      <c r="H75" s="67" t="n"/>
      <c r="I75" s="67" t="n"/>
      <c r="J75" s="67" t="n"/>
      <c r="K75" s="67" t="n"/>
      <c r="L75" s="67" t="n"/>
      <c r="M75" s="67" t="n"/>
      <c r="N75" s="65" t="n"/>
      <c r="O75" s="84">
        <f>IF(A75="","",IF(E75="","No date",IF(TODAY()&gt;=EDATE(E75,Review_Months),"Review Due","Current")))</f>
        <v/>
      </c>
      <c r="P75" s="84">
        <f>IF(A75="","",IF(COUNTIFS('AFA Rates'!$A$5:$A$1004,A75,'AFA Rates'!$O$5:$O$1004,"&lt;&gt;Expired")&gt;0,"Yes",IF(COUNTIF('AFA Rates'!$A$5:$A$1004,A75)&gt;0,"Expired only","No")))</f>
        <v/>
      </c>
      <c r="Q75" s="84">
        <f>IF(A75="","",COUNTIFS('AFA Rates'!$A$5:$A$1004,A75,'AFA Rates'!$O$5:$O$1004,"&lt;&gt;Expired"))</f>
        <v/>
      </c>
      <c r="R75" s="66" t="n"/>
      <c r="S75" s="64" t="n"/>
      <c r="T75" s="64" t="n"/>
      <c r="U75">
        <f>IF(AND(A75&lt;&gt;"",B75="Paused"),COUNTIFS($A$5:A75,"&lt;&gt;",$B$5:B75,"Paused"),"")</f>
        <v/>
      </c>
      <c r="V75">
        <f>IF(P75="Yes",COUNTIF($P$5:P75,"Yes"),"")</f>
        <v/>
      </c>
      <c r="W75">
        <f>IF(A75="","",COUNTIF($A$5:$A$1004,"&lt;"&amp;A75)+COUNTIF($A$5:A75,A75))</f>
        <v/>
      </c>
      <c r="X75">
        <f>","&amp;SUBSTITUTE(SUBSTITUTE(SUBSTITUTE(UPPER(C75)," ",""),";",","),"/",",")&amp;","</f>
        <v/>
      </c>
      <c r="Y75">
        <f>IF(AND(A75&lt;&gt;"",B75="Active",'State Search'!$C$5&lt;&gt;"",OR(X75=",ALL,",ISNUMBER(SEARCH(","&amp;'State Search'!$C$5&amp;",",X75)))),W75,"")</f>
        <v/>
      </c>
    </row>
    <row r="76">
      <c r="A76" s="64" t="n"/>
      <c r="B76" s="65" t="n"/>
      <c r="C76" s="64" t="n"/>
      <c r="D76" s="66" t="n"/>
      <c r="E76" s="66" t="n"/>
      <c r="F76" s="67" t="n"/>
      <c r="G76" s="67" t="n"/>
      <c r="H76" s="67" t="n"/>
      <c r="I76" s="67" t="n"/>
      <c r="J76" s="67" t="n"/>
      <c r="K76" s="67" t="n"/>
      <c r="L76" s="67" t="n"/>
      <c r="M76" s="67" t="n"/>
      <c r="N76" s="65" t="n"/>
      <c r="O76" s="84">
        <f>IF(A76="","",IF(E76="","No date",IF(TODAY()&gt;=EDATE(E76,Review_Months),"Review Due","Current")))</f>
        <v/>
      </c>
      <c r="P76" s="84">
        <f>IF(A76="","",IF(COUNTIFS('AFA Rates'!$A$5:$A$1004,A76,'AFA Rates'!$O$5:$O$1004,"&lt;&gt;Expired")&gt;0,"Yes",IF(COUNTIF('AFA Rates'!$A$5:$A$1004,A76)&gt;0,"Expired only","No")))</f>
        <v/>
      </c>
      <c r="Q76" s="84">
        <f>IF(A76="","",COUNTIFS('AFA Rates'!$A$5:$A$1004,A76,'AFA Rates'!$O$5:$O$1004,"&lt;&gt;Expired"))</f>
        <v/>
      </c>
      <c r="R76" s="66" t="n"/>
      <c r="S76" s="64" t="n"/>
      <c r="T76" s="64" t="n"/>
      <c r="U76">
        <f>IF(AND(A76&lt;&gt;"",B76="Paused"),COUNTIFS($A$5:A76,"&lt;&gt;",$B$5:B76,"Paused"),"")</f>
        <v/>
      </c>
      <c r="V76">
        <f>IF(P76="Yes",COUNTIF($P$5:P76,"Yes"),"")</f>
        <v/>
      </c>
      <c r="W76">
        <f>IF(A76="","",COUNTIF($A$5:$A$1004,"&lt;"&amp;A76)+COUNTIF($A$5:A76,A76))</f>
        <v/>
      </c>
      <c r="X76">
        <f>","&amp;SUBSTITUTE(SUBSTITUTE(SUBSTITUTE(UPPER(C76)," ",""),";",","),"/",",")&amp;","</f>
        <v/>
      </c>
      <c r="Y76">
        <f>IF(AND(A76&lt;&gt;"",B76="Active",'State Search'!$C$5&lt;&gt;"",OR(X76=",ALL,",ISNUMBER(SEARCH(","&amp;'State Search'!$C$5&amp;",",X76)))),W76,"")</f>
        <v/>
      </c>
    </row>
    <row r="77">
      <c r="A77" s="64" t="n"/>
      <c r="B77" s="65" t="n"/>
      <c r="C77" s="64" t="n"/>
      <c r="D77" s="66" t="n"/>
      <c r="E77" s="66" t="n"/>
      <c r="F77" s="67" t="n"/>
      <c r="G77" s="67" t="n"/>
      <c r="H77" s="67" t="n"/>
      <c r="I77" s="67" t="n"/>
      <c r="J77" s="67" t="n"/>
      <c r="K77" s="67" t="n"/>
      <c r="L77" s="67" t="n"/>
      <c r="M77" s="67" t="n"/>
      <c r="N77" s="65" t="n"/>
      <c r="O77" s="84">
        <f>IF(A77="","",IF(E77="","No date",IF(TODAY()&gt;=EDATE(E77,Review_Months),"Review Due","Current")))</f>
        <v/>
      </c>
      <c r="P77" s="84">
        <f>IF(A77="","",IF(COUNTIFS('AFA Rates'!$A$5:$A$1004,A77,'AFA Rates'!$O$5:$O$1004,"&lt;&gt;Expired")&gt;0,"Yes",IF(COUNTIF('AFA Rates'!$A$5:$A$1004,A77)&gt;0,"Expired only","No")))</f>
        <v/>
      </c>
      <c r="Q77" s="84">
        <f>IF(A77="","",COUNTIFS('AFA Rates'!$A$5:$A$1004,A77,'AFA Rates'!$O$5:$O$1004,"&lt;&gt;Expired"))</f>
        <v/>
      </c>
      <c r="R77" s="66" t="n"/>
      <c r="S77" s="64" t="n"/>
      <c r="T77" s="64" t="n"/>
      <c r="U77">
        <f>IF(AND(A77&lt;&gt;"",B77="Paused"),COUNTIFS($A$5:A77,"&lt;&gt;",$B$5:B77,"Paused"),"")</f>
        <v/>
      </c>
      <c r="V77">
        <f>IF(P77="Yes",COUNTIF($P$5:P77,"Yes"),"")</f>
        <v/>
      </c>
      <c r="W77">
        <f>IF(A77="","",COUNTIF($A$5:$A$1004,"&lt;"&amp;A77)+COUNTIF($A$5:A77,A77))</f>
        <v/>
      </c>
      <c r="X77">
        <f>","&amp;SUBSTITUTE(SUBSTITUTE(SUBSTITUTE(UPPER(C77)," ",""),";",","),"/",",")&amp;","</f>
        <v/>
      </c>
      <c r="Y77">
        <f>IF(AND(A77&lt;&gt;"",B77="Active",'State Search'!$C$5&lt;&gt;"",OR(X77=",ALL,",ISNUMBER(SEARCH(","&amp;'State Search'!$C$5&amp;",",X77)))),W77,"")</f>
        <v/>
      </c>
    </row>
    <row r="78">
      <c r="A78" s="64" t="n"/>
      <c r="B78" s="65" t="n"/>
      <c r="C78" s="64" t="n"/>
      <c r="D78" s="66" t="n"/>
      <c r="E78" s="66" t="n"/>
      <c r="F78" s="67" t="n"/>
      <c r="G78" s="67" t="n"/>
      <c r="H78" s="67" t="n"/>
      <c r="I78" s="67" t="n"/>
      <c r="J78" s="67" t="n"/>
      <c r="K78" s="67" t="n"/>
      <c r="L78" s="67" t="n"/>
      <c r="M78" s="67" t="n"/>
      <c r="N78" s="65" t="n"/>
      <c r="O78" s="84">
        <f>IF(A78="","",IF(E78="","No date",IF(TODAY()&gt;=EDATE(E78,Review_Months),"Review Due","Current")))</f>
        <v/>
      </c>
      <c r="P78" s="84">
        <f>IF(A78="","",IF(COUNTIFS('AFA Rates'!$A$5:$A$1004,A78,'AFA Rates'!$O$5:$O$1004,"&lt;&gt;Expired")&gt;0,"Yes",IF(COUNTIF('AFA Rates'!$A$5:$A$1004,A78)&gt;0,"Expired only","No")))</f>
        <v/>
      </c>
      <c r="Q78" s="84">
        <f>IF(A78="","",COUNTIFS('AFA Rates'!$A$5:$A$1004,A78,'AFA Rates'!$O$5:$O$1004,"&lt;&gt;Expired"))</f>
        <v/>
      </c>
      <c r="R78" s="66" t="n"/>
      <c r="S78" s="64" t="n"/>
      <c r="T78" s="64" t="n"/>
      <c r="U78">
        <f>IF(AND(A78&lt;&gt;"",B78="Paused"),COUNTIFS($A$5:A78,"&lt;&gt;",$B$5:B78,"Paused"),"")</f>
        <v/>
      </c>
      <c r="V78">
        <f>IF(P78="Yes",COUNTIF($P$5:P78,"Yes"),"")</f>
        <v/>
      </c>
      <c r="W78">
        <f>IF(A78="","",COUNTIF($A$5:$A$1004,"&lt;"&amp;A78)+COUNTIF($A$5:A78,A78))</f>
        <v/>
      </c>
      <c r="X78">
        <f>","&amp;SUBSTITUTE(SUBSTITUTE(SUBSTITUTE(UPPER(C78)," ",""),";",","),"/",",")&amp;","</f>
        <v/>
      </c>
      <c r="Y78">
        <f>IF(AND(A78&lt;&gt;"",B78="Active",'State Search'!$C$5&lt;&gt;"",OR(X78=",ALL,",ISNUMBER(SEARCH(","&amp;'State Search'!$C$5&amp;",",X78)))),W78,"")</f>
        <v/>
      </c>
    </row>
    <row r="79">
      <c r="A79" s="64" t="n"/>
      <c r="B79" s="65" t="n"/>
      <c r="C79" s="64" t="n"/>
      <c r="D79" s="66" t="n"/>
      <c r="E79" s="66" t="n"/>
      <c r="F79" s="67" t="n"/>
      <c r="G79" s="67" t="n"/>
      <c r="H79" s="67" t="n"/>
      <c r="I79" s="67" t="n"/>
      <c r="J79" s="67" t="n"/>
      <c r="K79" s="67" t="n"/>
      <c r="L79" s="67" t="n"/>
      <c r="M79" s="67" t="n"/>
      <c r="N79" s="65" t="n"/>
      <c r="O79" s="84">
        <f>IF(A79="","",IF(E79="","No date",IF(TODAY()&gt;=EDATE(E79,Review_Months),"Review Due","Current")))</f>
        <v/>
      </c>
      <c r="P79" s="84">
        <f>IF(A79="","",IF(COUNTIFS('AFA Rates'!$A$5:$A$1004,A79,'AFA Rates'!$O$5:$O$1004,"&lt;&gt;Expired")&gt;0,"Yes",IF(COUNTIF('AFA Rates'!$A$5:$A$1004,A79)&gt;0,"Expired only","No")))</f>
        <v/>
      </c>
      <c r="Q79" s="84">
        <f>IF(A79="","",COUNTIFS('AFA Rates'!$A$5:$A$1004,A79,'AFA Rates'!$O$5:$O$1004,"&lt;&gt;Expired"))</f>
        <v/>
      </c>
      <c r="R79" s="66" t="n"/>
      <c r="S79" s="64" t="n"/>
      <c r="T79" s="64" t="n"/>
      <c r="U79">
        <f>IF(AND(A79&lt;&gt;"",B79="Paused"),COUNTIFS($A$5:A79,"&lt;&gt;",$B$5:B79,"Paused"),"")</f>
        <v/>
      </c>
      <c r="V79">
        <f>IF(P79="Yes",COUNTIF($P$5:P79,"Yes"),"")</f>
        <v/>
      </c>
      <c r="W79">
        <f>IF(A79="","",COUNTIF($A$5:$A$1004,"&lt;"&amp;A79)+COUNTIF($A$5:A79,A79))</f>
        <v/>
      </c>
      <c r="X79">
        <f>","&amp;SUBSTITUTE(SUBSTITUTE(SUBSTITUTE(UPPER(C79)," ",""),";",","),"/",",")&amp;","</f>
        <v/>
      </c>
      <c r="Y79">
        <f>IF(AND(A79&lt;&gt;"",B79="Active",'State Search'!$C$5&lt;&gt;"",OR(X79=",ALL,",ISNUMBER(SEARCH(","&amp;'State Search'!$C$5&amp;",",X79)))),W79,"")</f>
        <v/>
      </c>
    </row>
    <row r="80">
      <c r="A80" s="64" t="n"/>
      <c r="B80" s="65" t="n"/>
      <c r="C80" s="64" t="n"/>
      <c r="D80" s="66" t="n"/>
      <c r="E80" s="66" t="n"/>
      <c r="F80" s="67" t="n"/>
      <c r="G80" s="67" t="n"/>
      <c r="H80" s="67" t="n"/>
      <c r="I80" s="67" t="n"/>
      <c r="J80" s="67" t="n"/>
      <c r="K80" s="67" t="n"/>
      <c r="L80" s="67" t="n"/>
      <c r="M80" s="67" t="n"/>
      <c r="N80" s="65" t="n"/>
      <c r="O80" s="84">
        <f>IF(A80="","",IF(E80="","No date",IF(TODAY()&gt;=EDATE(E80,Review_Months),"Review Due","Current")))</f>
        <v/>
      </c>
      <c r="P80" s="84">
        <f>IF(A80="","",IF(COUNTIFS('AFA Rates'!$A$5:$A$1004,A80,'AFA Rates'!$O$5:$O$1004,"&lt;&gt;Expired")&gt;0,"Yes",IF(COUNTIF('AFA Rates'!$A$5:$A$1004,A80)&gt;0,"Expired only","No")))</f>
        <v/>
      </c>
      <c r="Q80" s="84">
        <f>IF(A80="","",COUNTIFS('AFA Rates'!$A$5:$A$1004,A80,'AFA Rates'!$O$5:$O$1004,"&lt;&gt;Expired"))</f>
        <v/>
      </c>
      <c r="R80" s="66" t="n"/>
      <c r="S80" s="64" t="n"/>
      <c r="T80" s="64" t="n"/>
      <c r="U80">
        <f>IF(AND(A80&lt;&gt;"",B80="Paused"),COUNTIFS($A$5:A80,"&lt;&gt;",$B$5:B80,"Paused"),"")</f>
        <v/>
      </c>
      <c r="V80">
        <f>IF(P80="Yes",COUNTIF($P$5:P80,"Yes"),"")</f>
        <v/>
      </c>
      <c r="W80">
        <f>IF(A80="","",COUNTIF($A$5:$A$1004,"&lt;"&amp;A80)+COUNTIF($A$5:A80,A80))</f>
        <v/>
      </c>
      <c r="X80">
        <f>","&amp;SUBSTITUTE(SUBSTITUTE(SUBSTITUTE(UPPER(C80)," ",""),";",","),"/",",")&amp;","</f>
        <v/>
      </c>
      <c r="Y80">
        <f>IF(AND(A80&lt;&gt;"",B80="Active",'State Search'!$C$5&lt;&gt;"",OR(X80=",ALL,",ISNUMBER(SEARCH(","&amp;'State Search'!$C$5&amp;",",X80)))),W80,"")</f>
        <v/>
      </c>
    </row>
    <row r="81">
      <c r="A81" s="64" t="n"/>
      <c r="B81" s="65" t="n"/>
      <c r="C81" s="64" t="n"/>
      <c r="D81" s="66" t="n"/>
      <c r="E81" s="66" t="n"/>
      <c r="F81" s="67" t="n"/>
      <c r="G81" s="67" t="n"/>
      <c r="H81" s="67" t="n"/>
      <c r="I81" s="67" t="n"/>
      <c r="J81" s="67" t="n"/>
      <c r="K81" s="67" t="n"/>
      <c r="L81" s="67" t="n"/>
      <c r="M81" s="67" t="n"/>
      <c r="N81" s="65" t="n"/>
      <c r="O81" s="84">
        <f>IF(A81="","",IF(E81="","No date",IF(TODAY()&gt;=EDATE(E81,Review_Months),"Review Due","Current")))</f>
        <v/>
      </c>
      <c r="P81" s="84">
        <f>IF(A81="","",IF(COUNTIFS('AFA Rates'!$A$5:$A$1004,A81,'AFA Rates'!$O$5:$O$1004,"&lt;&gt;Expired")&gt;0,"Yes",IF(COUNTIF('AFA Rates'!$A$5:$A$1004,A81)&gt;0,"Expired only","No")))</f>
        <v/>
      </c>
      <c r="Q81" s="84">
        <f>IF(A81="","",COUNTIFS('AFA Rates'!$A$5:$A$1004,A81,'AFA Rates'!$O$5:$O$1004,"&lt;&gt;Expired"))</f>
        <v/>
      </c>
      <c r="R81" s="66" t="n"/>
      <c r="S81" s="64" t="n"/>
      <c r="T81" s="64" t="n"/>
      <c r="U81">
        <f>IF(AND(A81&lt;&gt;"",B81="Paused"),COUNTIFS($A$5:A81,"&lt;&gt;",$B$5:B81,"Paused"),"")</f>
        <v/>
      </c>
      <c r="V81">
        <f>IF(P81="Yes",COUNTIF($P$5:P81,"Yes"),"")</f>
        <v/>
      </c>
      <c r="W81">
        <f>IF(A81="","",COUNTIF($A$5:$A$1004,"&lt;"&amp;A81)+COUNTIF($A$5:A81,A81))</f>
        <v/>
      </c>
      <c r="X81">
        <f>","&amp;SUBSTITUTE(SUBSTITUTE(SUBSTITUTE(UPPER(C81)," ",""),";",","),"/",",")&amp;","</f>
        <v/>
      </c>
      <c r="Y81">
        <f>IF(AND(A81&lt;&gt;"",B81="Active",'State Search'!$C$5&lt;&gt;"",OR(X81=",ALL,",ISNUMBER(SEARCH(","&amp;'State Search'!$C$5&amp;",",X81)))),W81,"")</f>
        <v/>
      </c>
    </row>
    <row r="82">
      <c r="A82" s="64" t="n"/>
      <c r="B82" s="65" t="n"/>
      <c r="C82" s="64" t="n"/>
      <c r="D82" s="66" t="n"/>
      <c r="E82" s="66" t="n"/>
      <c r="F82" s="67" t="n"/>
      <c r="G82" s="67" t="n"/>
      <c r="H82" s="67" t="n"/>
      <c r="I82" s="67" t="n"/>
      <c r="J82" s="67" t="n"/>
      <c r="K82" s="67" t="n"/>
      <c r="L82" s="67" t="n"/>
      <c r="M82" s="67" t="n"/>
      <c r="N82" s="65" t="n"/>
      <c r="O82" s="84">
        <f>IF(A82="","",IF(E82="","No date",IF(TODAY()&gt;=EDATE(E82,Review_Months),"Review Due","Current")))</f>
        <v/>
      </c>
      <c r="P82" s="84">
        <f>IF(A82="","",IF(COUNTIFS('AFA Rates'!$A$5:$A$1004,A82,'AFA Rates'!$O$5:$O$1004,"&lt;&gt;Expired")&gt;0,"Yes",IF(COUNTIF('AFA Rates'!$A$5:$A$1004,A82)&gt;0,"Expired only","No")))</f>
        <v/>
      </c>
      <c r="Q82" s="84">
        <f>IF(A82="","",COUNTIFS('AFA Rates'!$A$5:$A$1004,A82,'AFA Rates'!$O$5:$O$1004,"&lt;&gt;Expired"))</f>
        <v/>
      </c>
      <c r="R82" s="66" t="n"/>
      <c r="S82" s="64" t="n"/>
      <c r="T82" s="64" t="n"/>
      <c r="U82">
        <f>IF(AND(A82&lt;&gt;"",B82="Paused"),COUNTIFS($A$5:A82,"&lt;&gt;",$B$5:B82,"Paused"),"")</f>
        <v/>
      </c>
      <c r="V82">
        <f>IF(P82="Yes",COUNTIF($P$5:P82,"Yes"),"")</f>
        <v/>
      </c>
      <c r="W82">
        <f>IF(A82="","",COUNTIF($A$5:$A$1004,"&lt;"&amp;A82)+COUNTIF($A$5:A82,A82))</f>
        <v/>
      </c>
      <c r="X82">
        <f>","&amp;SUBSTITUTE(SUBSTITUTE(SUBSTITUTE(UPPER(C82)," ",""),";",","),"/",",")&amp;","</f>
        <v/>
      </c>
      <c r="Y82">
        <f>IF(AND(A82&lt;&gt;"",B82="Active",'State Search'!$C$5&lt;&gt;"",OR(X82=",ALL,",ISNUMBER(SEARCH(","&amp;'State Search'!$C$5&amp;",",X82)))),W82,"")</f>
        <v/>
      </c>
    </row>
    <row r="83">
      <c r="A83" s="64" t="n"/>
      <c r="B83" s="65" t="n"/>
      <c r="C83" s="64" t="n"/>
      <c r="D83" s="66" t="n"/>
      <c r="E83" s="66" t="n"/>
      <c r="F83" s="67" t="n"/>
      <c r="G83" s="67" t="n"/>
      <c r="H83" s="67" t="n"/>
      <c r="I83" s="67" t="n"/>
      <c r="J83" s="67" t="n"/>
      <c r="K83" s="67" t="n"/>
      <c r="L83" s="67" t="n"/>
      <c r="M83" s="67" t="n"/>
      <c r="N83" s="65" t="n"/>
      <c r="O83" s="84">
        <f>IF(A83="","",IF(E83="","No date",IF(TODAY()&gt;=EDATE(E83,Review_Months),"Review Due","Current")))</f>
        <v/>
      </c>
      <c r="P83" s="84">
        <f>IF(A83="","",IF(COUNTIFS('AFA Rates'!$A$5:$A$1004,A83,'AFA Rates'!$O$5:$O$1004,"&lt;&gt;Expired")&gt;0,"Yes",IF(COUNTIF('AFA Rates'!$A$5:$A$1004,A83)&gt;0,"Expired only","No")))</f>
        <v/>
      </c>
      <c r="Q83" s="84">
        <f>IF(A83="","",COUNTIFS('AFA Rates'!$A$5:$A$1004,A83,'AFA Rates'!$O$5:$O$1004,"&lt;&gt;Expired"))</f>
        <v/>
      </c>
      <c r="R83" s="66" t="n"/>
      <c r="S83" s="64" t="n"/>
      <c r="T83" s="64" t="n"/>
      <c r="U83">
        <f>IF(AND(A83&lt;&gt;"",B83="Paused"),COUNTIFS($A$5:A83,"&lt;&gt;",$B$5:B83,"Paused"),"")</f>
        <v/>
      </c>
      <c r="V83">
        <f>IF(P83="Yes",COUNTIF($P$5:P83,"Yes"),"")</f>
        <v/>
      </c>
      <c r="W83">
        <f>IF(A83="","",COUNTIF($A$5:$A$1004,"&lt;"&amp;A83)+COUNTIF($A$5:A83,A83))</f>
        <v/>
      </c>
      <c r="X83">
        <f>","&amp;SUBSTITUTE(SUBSTITUTE(SUBSTITUTE(UPPER(C83)," ",""),";",","),"/",",")&amp;","</f>
        <v/>
      </c>
      <c r="Y83">
        <f>IF(AND(A83&lt;&gt;"",B83="Active",'State Search'!$C$5&lt;&gt;"",OR(X83=",ALL,",ISNUMBER(SEARCH(","&amp;'State Search'!$C$5&amp;",",X83)))),W83,"")</f>
        <v/>
      </c>
    </row>
    <row r="84">
      <c r="A84" s="64" t="n"/>
      <c r="B84" s="65" t="n"/>
      <c r="C84" s="64" t="n"/>
      <c r="D84" s="66" t="n"/>
      <c r="E84" s="66" t="n"/>
      <c r="F84" s="67" t="n"/>
      <c r="G84" s="67" t="n"/>
      <c r="H84" s="67" t="n"/>
      <c r="I84" s="67" t="n"/>
      <c r="J84" s="67" t="n"/>
      <c r="K84" s="67" t="n"/>
      <c r="L84" s="67" t="n"/>
      <c r="M84" s="67" t="n"/>
      <c r="N84" s="65" t="n"/>
      <c r="O84" s="84">
        <f>IF(A84="","",IF(E84="","No date",IF(TODAY()&gt;=EDATE(E84,Review_Months),"Review Due","Current")))</f>
        <v/>
      </c>
      <c r="P84" s="84">
        <f>IF(A84="","",IF(COUNTIFS('AFA Rates'!$A$5:$A$1004,A84,'AFA Rates'!$O$5:$O$1004,"&lt;&gt;Expired")&gt;0,"Yes",IF(COUNTIF('AFA Rates'!$A$5:$A$1004,A84)&gt;0,"Expired only","No")))</f>
        <v/>
      </c>
      <c r="Q84" s="84">
        <f>IF(A84="","",COUNTIFS('AFA Rates'!$A$5:$A$1004,A84,'AFA Rates'!$O$5:$O$1004,"&lt;&gt;Expired"))</f>
        <v/>
      </c>
      <c r="R84" s="66" t="n"/>
      <c r="S84" s="64" t="n"/>
      <c r="T84" s="64" t="n"/>
      <c r="U84">
        <f>IF(AND(A84&lt;&gt;"",B84="Paused"),COUNTIFS($A$5:A84,"&lt;&gt;",$B$5:B84,"Paused"),"")</f>
        <v/>
      </c>
      <c r="V84">
        <f>IF(P84="Yes",COUNTIF($P$5:P84,"Yes"),"")</f>
        <v/>
      </c>
      <c r="W84">
        <f>IF(A84="","",COUNTIF($A$5:$A$1004,"&lt;"&amp;A84)+COUNTIF($A$5:A84,A84))</f>
        <v/>
      </c>
      <c r="X84">
        <f>","&amp;SUBSTITUTE(SUBSTITUTE(SUBSTITUTE(UPPER(C84)," ",""),";",","),"/",",")&amp;","</f>
        <v/>
      </c>
      <c r="Y84">
        <f>IF(AND(A84&lt;&gt;"",B84="Active",'State Search'!$C$5&lt;&gt;"",OR(X84=",ALL,",ISNUMBER(SEARCH(","&amp;'State Search'!$C$5&amp;",",X84)))),W84,"")</f>
        <v/>
      </c>
    </row>
    <row r="85">
      <c r="A85" s="64" t="n"/>
      <c r="B85" s="65" t="n"/>
      <c r="C85" s="64" t="n"/>
      <c r="D85" s="66" t="n"/>
      <c r="E85" s="66" t="n"/>
      <c r="F85" s="67" t="n"/>
      <c r="G85" s="67" t="n"/>
      <c r="H85" s="67" t="n"/>
      <c r="I85" s="67" t="n"/>
      <c r="J85" s="67" t="n"/>
      <c r="K85" s="67" t="n"/>
      <c r="L85" s="67" t="n"/>
      <c r="M85" s="67" t="n"/>
      <c r="N85" s="65" t="n"/>
      <c r="O85" s="84">
        <f>IF(A85="","",IF(E85="","No date",IF(TODAY()&gt;=EDATE(E85,Review_Months),"Review Due","Current")))</f>
        <v/>
      </c>
      <c r="P85" s="84">
        <f>IF(A85="","",IF(COUNTIFS('AFA Rates'!$A$5:$A$1004,A85,'AFA Rates'!$O$5:$O$1004,"&lt;&gt;Expired")&gt;0,"Yes",IF(COUNTIF('AFA Rates'!$A$5:$A$1004,A85)&gt;0,"Expired only","No")))</f>
        <v/>
      </c>
      <c r="Q85" s="84">
        <f>IF(A85="","",COUNTIFS('AFA Rates'!$A$5:$A$1004,A85,'AFA Rates'!$O$5:$O$1004,"&lt;&gt;Expired"))</f>
        <v/>
      </c>
      <c r="R85" s="66" t="n"/>
      <c r="S85" s="64" t="n"/>
      <c r="T85" s="64" t="n"/>
      <c r="U85">
        <f>IF(AND(A85&lt;&gt;"",B85="Paused"),COUNTIFS($A$5:A85,"&lt;&gt;",$B$5:B85,"Paused"),"")</f>
        <v/>
      </c>
      <c r="V85">
        <f>IF(P85="Yes",COUNTIF($P$5:P85,"Yes"),"")</f>
        <v/>
      </c>
      <c r="W85">
        <f>IF(A85="","",COUNTIF($A$5:$A$1004,"&lt;"&amp;A85)+COUNTIF($A$5:A85,A85))</f>
        <v/>
      </c>
      <c r="X85">
        <f>","&amp;SUBSTITUTE(SUBSTITUTE(SUBSTITUTE(UPPER(C85)," ",""),";",","),"/",",")&amp;","</f>
        <v/>
      </c>
      <c r="Y85">
        <f>IF(AND(A85&lt;&gt;"",B85="Active",'State Search'!$C$5&lt;&gt;"",OR(X85=",ALL,",ISNUMBER(SEARCH(","&amp;'State Search'!$C$5&amp;",",X85)))),W85,"")</f>
        <v/>
      </c>
    </row>
    <row r="86">
      <c r="A86" s="64" t="n"/>
      <c r="B86" s="65" t="n"/>
      <c r="C86" s="64" t="n"/>
      <c r="D86" s="66" t="n"/>
      <c r="E86" s="66" t="n"/>
      <c r="F86" s="67" t="n"/>
      <c r="G86" s="67" t="n"/>
      <c r="H86" s="67" t="n"/>
      <c r="I86" s="67" t="n"/>
      <c r="J86" s="67" t="n"/>
      <c r="K86" s="67" t="n"/>
      <c r="L86" s="67" t="n"/>
      <c r="M86" s="67" t="n"/>
      <c r="N86" s="65" t="n"/>
      <c r="O86" s="84">
        <f>IF(A86="","",IF(E86="","No date",IF(TODAY()&gt;=EDATE(E86,Review_Months),"Review Due","Current")))</f>
        <v/>
      </c>
      <c r="P86" s="84">
        <f>IF(A86="","",IF(COUNTIFS('AFA Rates'!$A$5:$A$1004,A86,'AFA Rates'!$O$5:$O$1004,"&lt;&gt;Expired")&gt;0,"Yes",IF(COUNTIF('AFA Rates'!$A$5:$A$1004,A86)&gt;0,"Expired only","No")))</f>
        <v/>
      </c>
      <c r="Q86" s="84">
        <f>IF(A86="","",COUNTIFS('AFA Rates'!$A$5:$A$1004,A86,'AFA Rates'!$O$5:$O$1004,"&lt;&gt;Expired"))</f>
        <v/>
      </c>
      <c r="R86" s="66" t="n"/>
      <c r="S86" s="64" t="n"/>
      <c r="T86" s="64" t="n"/>
      <c r="U86">
        <f>IF(AND(A86&lt;&gt;"",B86="Paused"),COUNTIFS($A$5:A86,"&lt;&gt;",$B$5:B86,"Paused"),"")</f>
        <v/>
      </c>
      <c r="V86">
        <f>IF(P86="Yes",COUNTIF($P$5:P86,"Yes"),"")</f>
        <v/>
      </c>
      <c r="W86">
        <f>IF(A86="","",COUNTIF($A$5:$A$1004,"&lt;"&amp;A86)+COUNTIF($A$5:A86,A86))</f>
        <v/>
      </c>
      <c r="X86">
        <f>","&amp;SUBSTITUTE(SUBSTITUTE(SUBSTITUTE(UPPER(C86)," ",""),";",","),"/",",")&amp;","</f>
        <v/>
      </c>
      <c r="Y86">
        <f>IF(AND(A86&lt;&gt;"",B86="Active",'State Search'!$C$5&lt;&gt;"",OR(X86=",ALL,",ISNUMBER(SEARCH(","&amp;'State Search'!$C$5&amp;",",X86)))),W86,"")</f>
        <v/>
      </c>
    </row>
    <row r="87">
      <c r="A87" s="64" t="n"/>
      <c r="B87" s="65" t="n"/>
      <c r="C87" s="64" t="n"/>
      <c r="D87" s="66" t="n"/>
      <c r="E87" s="66" t="n"/>
      <c r="F87" s="67" t="n"/>
      <c r="G87" s="67" t="n"/>
      <c r="H87" s="67" t="n"/>
      <c r="I87" s="67" t="n"/>
      <c r="J87" s="67" t="n"/>
      <c r="K87" s="67" t="n"/>
      <c r="L87" s="67" t="n"/>
      <c r="M87" s="67" t="n"/>
      <c r="N87" s="65" t="n"/>
      <c r="O87" s="84">
        <f>IF(A87="","",IF(E87="","No date",IF(TODAY()&gt;=EDATE(E87,Review_Months),"Review Due","Current")))</f>
        <v/>
      </c>
      <c r="P87" s="84">
        <f>IF(A87="","",IF(COUNTIFS('AFA Rates'!$A$5:$A$1004,A87,'AFA Rates'!$O$5:$O$1004,"&lt;&gt;Expired")&gt;0,"Yes",IF(COUNTIF('AFA Rates'!$A$5:$A$1004,A87)&gt;0,"Expired only","No")))</f>
        <v/>
      </c>
      <c r="Q87" s="84">
        <f>IF(A87="","",COUNTIFS('AFA Rates'!$A$5:$A$1004,A87,'AFA Rates'!$O$5:$O$1004,"&lt;&gt;Expired"))</f>
        <v/>
      </c>
      <c r="R87" s="66" t="n"/>
      <c r="S87" s="64" t="n"/>
      <c r="T87" s="64" t="n"/>
      <c r="U87">
        <f>IF(AND(A87&lt;&gt;"",B87="Paused"),COUNTIFS($A$5:A87,"&lt;&gt;",$B$5:B87,"Paused"),"")</f>
        <v/>
      </c>
      <c r="V87">
        <f>IF(P87="Yes",COUNTIF($P$5:P87,"Yes"),"")</f>
        <v/>
      </c>
      <c r="W87">
        <f>IF(A87="","",COUNTIF($A$5:$A$1004,"&lt;"&amp;A87)+COUNTIF($A$5:A87,A87))</f>
        <v/>
      </c>
      <c r="X87">
        <f>","&amp;SUBSTITUTE(SUBSTITUTE(SUBSTITUTE(UPPER(C87)," ",""),";",","),"/",",")&amp;","</f>
        <v/>
      </c>
      <c r="Y87">
        <f>IF(AND(A87&lt;&gt;"",B87="Active",'State Search'!$C$5&lt;&gt;"",OR(X87=",ALL,",ISNUMBER(SEARCH(","&amp;'State Search'!$C$5&amp;",",X87)))),W87,"")</f>
        <v/>
      </c>
    </row>
    <row r="88">
      <c r="A88" s="64" t="n"/>
      <c r="B88" s="65" t="n"/>
      <c r="C88" s="64" t="n"/>
      <c r="D88" s="66" t="n"/>
      <c r="E88" s="66" t="n"/>
      <c r="F88" s="67" t="n"/>
      <c r="G88" s="67" t="n"/>
      <c r="H88" s="67" t="n"/>
      <c r="I88" s="67" t="n"/>
      <c r="J88" s="67" t="n"/>
      <c r="K88" s="67" t="n"/>
      <c r="L88" s="67" t="n"/>
      <c r="M88" s="67" t="n"/>
      <c r="N88" s="65" t="n"/>
      <c r="O88" s="84">
        <f>IF(A88="","",IF(E88="","No date",IF(TODAY()&gt;=EDATE(E88,Review_Months),"Review Due","Current")))</f>
        <v/>
      </c>
      <c r="P88" s="84">
        <f>IF(A88="","",IF(COUNTIFS('AFA Rates'!$A$5:$A$1004,A88,'AFA Rates'!$O$5:$O$1004,"&lt;&gt;Expired")&gt;0,"Yes",IF(COUNTIF('AFA Rates'!$A$5:$A$1004,A88)&gt;0,"Expired only","No")))</f>
        <v/>
      </c>
      <c r="Q88" s="84">
        <f>IF(A88="","",COUNTIFS('AFA Rates'!$A$5:$A$1004,A88,'AFA Rates'!$O$5:$O$1004,"&lt;&gt;Expired"))</f>
        <v/>
      </c>
      <c r="R88" s="66" t="n"/>
      <c r="S88" s="64" t="n"/>
      <c r="T88" s="64" t="n"/>
      <c r="U88">
        <f>IF(AND(A88&lt;&gt;"",B88="Paused"),COUNTIFS($A$5:A88,"&lt;&gt;",$B$5:B88,"Paused"),"")</f>
        <v/>
      </c>
      <c r="V88">
        <f>IF(P88="Yes",COUNTIF($P$5:P88,"Yes"),"")</f>
        <v/>
      </c>
      <c r="W88">
        <f>IF(A88="","",COUNTIF($A$5:$A$1004,"&lt;"&amp;A88)+COUNTIF($A$5:A88,A88))</f>
        <v/>
      </c>
      <c r="X88">
        <f>","&amp;SUBSTITUTE(SUBSTITUTE(SUBSTITUTE(UPPER(C88)," ",""),";",","),"/",",")&amp;","</f>
        <v/>
      </c>
      <c r="Y88">
        <f>IF(AND(A88&lt;&gt;"",B88="Active",'State Search'!$C$5&lt;&gt;"",OR(X88=",ALL,",ISNUMBER(SEARCH(","&amp;'State Search'!$C$5&amp;",",X88)))),W88,"")</f>
        <v/>
      </c>
    </row>
    <row r="89">
      <c r="A89" s="64" t="n"/>
      <c r="B89" s="65" t="n"/>
      <c r="C89" s="64" t="n"/>
      <c r="D89" s="66" t="n"/>
      <c r="E89" s="66" t="n"/>
      <c r="F89" s="67" t="n"/>
      <c r="G89" s="67" t="n"/>
      <c r="H89" s="67" t="n"/>
      <c r="I89" s="67" t="n"/>
      <c r="J89" s="67" t="n"/>
      <c r="K89" s="67" t="n"/>
      <c r="L89" s="67" t="n"/>
      <c r="M89" s="67" t="n"/>
      <c r="N89" s="65" t="n"/>
      <c r="O89" s="84">
        <f>IF(A89="","",IF(E89="","No date",IF(TODAY()&gt;=EDATE(E89,Review_Months),"Review Due","Current")))</f>
        <v/>
      </c>
      <c r="P89" s="84">
        <f>IF(A89="","",IF(COUNTIFS('AFA Rates'!$A$5:$A$1004,A89,'AFA Rates'!$O$5:$O$1004,"&lt;&gt;Expired")&gt;0,"Yes",IF(COUNTIF('AFA Rates'!$A$5:$A$1004,A89)&gt;0,"Expired only","No")))</f>
        <v/>
      </c>
      <c r="Q89" s="84">
        <f>IF(A89="","",COUNTIFS('AFA Rates'!$A$5:$A$1004,A89,'AFA Rates'!$O$5:$O$1004,"&lt;&gt;Expired"))</f>
        <v/>
      </c>
      <c r="R89" s="66" t="n"/>
      <c r="S89" s="64" t="n"/>
      <c r="T89" s="64" t="n"/>
      <c r="U89">
        <f>IF(AND(A89&lt;&gt;"",B89="Paused"),COUNTIFS($A$5:A89,"&lt;&gt;",$B$5:B89,"Paused"),"")</f>
        <v/>
      </c>
      <c r="V89">
        <f>IF(P89="Yes",COUNTIF($P$5:P89,"Yes"),"")</f>
        <v/>
      </c>
      <c r="W89">
        <f>IF(A89="","",COUNTIF($A$5:$A$1004,"&lt;"&amp;A89)+COUNTIF($A$5:A89,A89))</f>
        <v/>
      </c>
      <c r="X89">
        <f>","&amp;SUBSTITUTE(SUBSTITUTE(SUBSTITUTE(UPPER(C89)," ",""),";",","),"/",",")&amp;","</f>
        <v/>
      </c>
      <c r="Y89">
        <f>IF(AND(A89&lt;&gt;"",B89="Active",'State Search'!$C$5&lt;&gt;"",OR(X89=",ALL,",ISNUMBER(SEARCH(","&amp;'State Search'!$C$5&amp;",",X89)))),W89,"")</f>
        <v/>
      </c>
    </row>
    <row r="90">
      <c r="A90" s="64" t="n"/>
      <c r="B90" s="65" t="n"/>
      <c r="C90" s="64" t="n"/>
      <c r="D90" s="66" t="n"/>
      <c r="E90" s="66" t="n"/>
      <c r="F90" s="67" t="n"/>
      <c r="G90" s="67" t="n"/>
      <c r="H90" s="67" t="n"/>
      <c r="I90" s="67" t="n"/>
      <c r="J90" s="67" t="n"/>
      <c r="K90" s="67" t="n"/>
      <c r="L90" s="67" t="n"/>
      <c r="M90" s="67" t="n"/>
      <c r="N90" s="65" t="n"/>
      <c r="O90" s="84">
        <f>IF(A90="","",IF(E90="","No date",IF(TODAY()&gt;=EDATE(E90,Review_Months),"Review Due","Current")))</f>
        <v/>
      </c>
      <c r="P90" s="84">
        <f>IF(A90="","",IF(COUNTIFS('AFA Rates'!$A$5:$A$1004,A90,'AFA Rates'!$O$5:$O$1004,"&lt;&gt;Expired")&gt;0,"Yes",IF(COUNTIF('AFA Rates'!$A$5:$A$1004,A90)&gt;0,"Expired only","No")))</f>
        <v/>
      </c>
      <c r="Q90" s="84">
        <f>IF(A90="","",COUNTIFS('AFA Rates'!$A$5:$A$1004,A90,'AFA Rates'!$O$5:$O$1004,"&lt;&gt;Expired"))</f>
        <v/>
      </c>
      <c r="R90" s="66" t="n"/>
      <c r="S90" s="64" t="n"/>
      <c r="T90" s="64" t="n"/>
      <c r="U90">
        <f>IF(AND(A90&lt;&gt;"",B90="Paused"),COUNTIFS($A$5:A90,"&lt;&gt;",$B$5:B90,"Paused"),"")</f>
        <v/>
      </c>
      <c r="V90">
        <f>IF(P90="Yes",COUNTIF($P$5:P90,"Yes"),"")</f>
        <v/>
      </c>
      <c r="W90">
        <f>IF(A90="","",COUNTIF($A$5:$A$1004,"&lt;"&amp;A90)+COUNTIF($A$5:A90,A90))</f>
        <v/>
      </c>
      <c r="X90">
        <f>","&amp;SUBSTITUTE(SUBSTITUTE(SUBSTITUTE(UPPER(C90)," ",""),";",","),"/",",")&amp;","</f>
        <v/>
      </c>
      <c r="Y90">
        <f>IF(AND(A90&lt;&gt;"",B90="Active",'State Search'!$C$5&lt;&gt;"",OR(X90=",ALL,",ISNUMBER(SEARCH(","&amp;'State Search'!$C$5&amp;",",X90)))),W90,"")</f>
        <v/>
      </c>
    </row>
    <row r="91">
      <c r="A91" s="64" t="n"/>
      <c r="B91" s="65" t="n"/>
      <c r="C91" s="64" t="n"/>
      <c r="D91" s="66" t="n"/>
      <c r="E91" s="66" t="n"/>
      <c r="F91" s="67" t="n"/>
      <c r="G91" s="67" t="n"/>
      <c r="H91" s="67" t="n"/>
      <c r="I91" s="67" t="n"/>
      <c r="J91" s="67" t="n"/>
      <c r="K91" s="67" t="n"/>
      <c r="L91" s="67" t="n"/>
      <c r="M91" s="67" t="n"/>
      <c r="N91" s="65" t="n"/>
      <c r="O91" s="84">
        <f>IF(A91="","",IF(E91="","No date",IF(TODAY()&gt;=EDATE(E91,Review_Months),"Review Due","Current")))</f>
        <v/>
      </c>
      <c r="P91" s="84">
        <f>IF(A91="","",IF(COUNTIFS('AFA Rates'!$A$5:$A$1004,A91,'AFA Rates'!$O$5:$O$1004,"&lt;&gt;Expired")&gt;0,"Yes",IF(COUNTIF('AFA Rates'!$A$5:$A$1004,A91)&gt;0,"Expired only","No")))</f>
        <v/>
      </c>
      <c r="Q91" s="84">
        <f>IF(A91="","",COUNTIFS('AFA Rates'!$A$5:$A$1004,A91,'AFA Rates'!$O$5:$O$1004,"&lt;&gt;Expired"))</f>
        <v/>
      </c>
      <c r="R91" s="66" t="n"/>
      <c r="S91" s="64" t="n"/>
      <c r="T91" s="64" t="n"/>
      <c r="U91">
        <f>IF(AND(A91&lt;&gt;"",B91="Paused"),COUNTIFS($A$5:A91,"&lt;&gt;",$B$5:B91,"Paused"),"")</f>
        <v/>
      </c>
      <c r="V91">
        <f>IF(P91="Yes",COUNTIF($P$5:P91,"Yes"),"")</f>
        <v/>
      </c>
      <c r="W91">
        <f>IF(A91="","",COUNTIF($A$5:$A$1004,"&lt;"&amp;A91)+COUNTIF($A$5:A91,A91))</f>
        <v/>
      </c>
      <c r="X91">
        <f>","&amp;SUBSTITUTE(SUBSTITUTE(SUBSTITUTE(UPPER(C91)," ",""),";",","),"/",",")&amp;","</f>
        <v/>
      </c>
      <c r="Y91">
        <f>IF(AND(A91&lt;&gt;"",B91="Active",'State Search'!$C$5&lt;&gt;"",OR(X91=",ALL,",ISNUMBER(SEARCH(","&amp;'State Search'!$C$5&amp;",",X91)))),W91,"")</f>
        <v/>
      </c>
    </row>
    <row r="92">
      <c r="A92" s="64" t="n"/>
      <c r="B92" s="65" t="n"/>
      <c r="C92" s="64" t="n"/>
      <c r="D92" s="66" t="n"/>
      <c r="E92" s="66" t="n"/>
      <c r="F92" s="67" t="n"/>
      <c r="G92" s="67" t="n"/>
      <c r="H92" s="67" t="n"/>
      <c r="I92" s="67" t="n"/>
      <c r="J92" s="67" t="n"/>
      <c r="K92" s="67" t="n"/>
      <c r="L92" s="67" t="n"/>
      <c r="M92" s="67" t="n"/>
      <c r="N92" s="65" t="n"/>
      <c r="O92" s="84">
        <f>IF(A92="","",IF(E92="","No date",IF(TODAY()&gt;=EDATE(E92,Review_Months),"Review Due","Current")))</f>
        <v/>
      </c>
      <c r="P92" s="84">
        <f>IF(A92="","",IF(COUNTIFS('AFA Rates'!$A$5:$A$1004,A92,'AFA Rates'!$O$5:$O$1004,"&lt;&gt;Expired")&gt;0,"Yes",IF(COUNTIF('AFA Rates'!$A$5:$A$1004,A92)&gt;0,"Expired only","No")))</f>
        <v/>
      </c>
      <c r="Q92" s="84">
        <f>IF(A92="","",COUNTIFS('AFA Rates'!$A$5:$A$1004,A92,'AFA Rates'!$O$5:$O$1004,"&lt;&gt;Expired"))</f>
        <v/>
      </c>
      <c r="R92" s="66" t="n"/>
      <c r="S92" s="64" t="n"/>
      <c r="T92" s="64" t="n"/>
      <c r="U92">
        <f>IF(AND(A92&lt;&gt;"",B92="Paused"),COUNTIFS($A$5:A92,"&lt;&gt;",$B$5:B92,"Paused"),"")</f>
        <v/>
      </c>
      <c r="V92">
        <f>IF(P92="Yes",COUNTIF($P$5:P92,"Yes"),"")</f>
        <v/>
      </c>
      <c r="W92">
        <f>IF(A92="","",COUNTIF($A$5:$A$1004,"&lt;"&amp;A92)+COUNTIF($A$5:A92,A92))</f>
        <v/>
      </c>
      <c r="X92">
        <f>","&amp;SUBSTITUTE(SUBSTITUTE(SUBSTITUTE(UPPER(C92)," ",""),";",","),"/",",")&amp;","</f>
        <v/>
      </c>
      <c r="Y92">
        <f>IF(AND(A92&lt;&gt;"",B92="Active",'State Search'!$C$5&lt;&gt;"",OR(X92=",ALL,",ISNUMBER(SEARCH(","&amp;'State Search'!$C$5&amp;",",X92)))),W92,"")</f>
        <v/>
      </c>
    </row>
    <row r="93">
      <c r="A93" s="64" t="n"/>
      <c r="B93" s="65" t="n"/>
      <c r="C93" s="64" t="n"/>
      <c r="D93" s="66" t="n"/>
      <c r="E93" s="66" t="n"/>
      <c r="F93" s="67" t="n"/>
      <c r="G93" s="67" t="n"/>
      <c r="H93" s="67" t="n"/>
      <c r="I93" s="67" t="n"/>
      <c r="J93" s="67" t="n"/>
      <c r="K93" s="67" t="n"/>
      <c r="L93" s="67" t="n"/>
      <c r="M93" s="67" t="n"/>
      <c r="N93" s="65" t="n"/>
      <c r="O93" s="84">
        <f>IF(A93="","",IF(E93="","No date",IF(TODAY()&gt;=EDATE(E93,Review_Months),"Review Due","Current")))</f>
        <v/>
      </c>
      <c r="P93" s="84">
        <f>IF(A93="","",IF(COUNTIFS('AFA Rates'!$A$5:$A$1004,A93,'AFA Rates'!$O$5:$O$1004,"&lt;&gt;Expired")&gt;0,"Yes",IF(COUNTIF('AFA Rates'!$A$5:$A$1004,A93)&gt;0,"Expired only","No")))</f>
        <v/>
      </c>
      <c r="Q93" s="84">
        <f>IF(A93="","",COUNTIFS('AFA Rates'!$A$5:$A$1004,A93,'AFA Rates'!$O$5:$O$1004,"&lt;&gt;Expired"))</f>
        <v/>
      </c>
      <c r="R93" s="66" t="n"/>
      <c r="S93" s="64" t="n"/>
      <c r="T93" s="64" t="n"/>
      <c r="U93">
        <f>IF(AND(A93&lt;&gt;"",B93="Paused"),COUNTIFS($A$5:A93,"&lt;&gt;",$B$5:B93,"Paused"),"")</f>
        <v/>
      </c>
      <c r="V93">
        <f>IF(P93="Yes",COUNTIF($P$5:P93,"Yes"),"")</f>
        <v/>
      </c>
      <c r="W93">
        <f>IF(A93="","",COUNTIF($A$5:$A$1004,"&lt;"&amp;A93)+COUNTIF($A$5:A93,A93))</f>
        <v/>
      </c>
      <c r="X93">
        <f>","&amp;SUBSTITUTE(SUBSTITUTE(SUBSTITUTE(UPPER(C93)," ",""),";",","),"/",",")&amp;","</f>
        <v/>
      </c>
      <c r="Y93">
        <f>IF(AND(A93&lt;&gt;"",B93="Active",'State Search'!$C$5&lt;&gt;"",OR(X93=",ALL,",ISNUMBER(SEARCH(","&amp;'State Search'!$C$5&amp;",",X93)))),W93,"")</f>
        <v/>
      </c>
    </row>
    <row r="94">
      <c r="A94" s="64" t="n"/>
      <c r="B94" s="65" t="n"/>
      <c r="C94" s="64" t="n"/>
      <c r="D94" s="66" t="n"/>
      <c r="E94" s="66" t="n"/>
      <c r="F94" s="67" t="n"/>
      <c r="G94" s="67" t="n"/>
      <c r="H94" s="67" t="n"/>
      <c r="I94" s="67" t="n"/>
      <c r="J94" s="67" t="n"/>
      <c r="K94" s="67" t="n"/>
      <c r="L94" s="67" t="n"/>
      <c r="M94" s="67" t="n"/>
      <c r="N94" s="65" t="n"/>
      <c r="O94" s="84">
        <f>IF(A94="","",IF(E94="","No date",IF(TODAY()&gt;=EDATE(E94,Review_Months),"Review Due","Current")))</f>
        <v/>
      </c>
      <c r="P94" s="84">
        <f>IF(A94="","",IF(COUNTIFS('AFA Rates'!$A$5:$A$1004,A94,'AFA Rates'!$O$5:$O$1004,"&lt;&gt;Expired")&gt;0,"Yes",IF(COUNTIF('AFA Rates'!$A$5:$A$1004,A94)&gt;0,"Expired only","No")))</f>
        <v/>
      </c>
      <c r="Q94" s="84">
        <f>IF(A94="","",COUNTIFS('AFA Rates'!$A$5:$A$1004,A94,'AFA Rates'!$O$5:$O$1004,"&lt;&gt;Expired"))</f>
        <v/>
      </c>
      <c r="R94" s="66" t="n"/>
      <c r="S94" s="64" t="n"/>
      <c r="T94" s="64" t="n"/>
      <c r="U94">
        <f>IF(AND(A94&lt;&gt;"",B94="Paused"),COUNTIFS($A$5:A94,"&lt;&gt;",$B$5:B94,"Paused"),"")</f>
        <v/>
      </c>
      <c r="V94">
        <f>IF(P94="Yes",COUNTIF($P$5:P94,"Yes"),"")</f>
        <v/>
      </c>
      <c r="W94">
        <f>IF(A94="","",COUNTIF($A$5:$A$1004,"&lt;"&amp;A94)+COUNTIF($A$5:A94,A94))</f>
        <v/>
      </c>
      <c r="X94">
        <f>","&amp;SUBSTITUTE(SUBSTITUTE(SUBSTITUTE(UPPER(C94)," ",""),";",","),"/",",")&amp;","</f>
        <v/>
      </c>
      <c r="Y94">
        <f>IF(AND(A94&lt;&gt;"",B94="Active",'State Search'!$C$5&lt;&gt;"",OR(X94=",ALL,",ISNUMBER(SEARCH(","&amp;'State Search'!$C$5&amp;",",X94)))),W94,"")</f>
        <v/>
      </c>
    </row>
    <row r="95">
      <c r="A95" s="64" t="n"/>
      <c r="B95" s="65" t="n"/>
      <c r="C95" s="64" t="n"/>
      <c r="D95" s="66" t="n"/>
      <c r="E95" s="66" t="n"/>
      <c r="F95" s="67" t="n"/>
      <c r="G95" s="67" t="n"/>
      <c r="H95" s="67" t="n"/>
      <c r="I95" s="67" t="n"/>
      <c r="J95" s="67" t="n"/>
      <c r="K95" s="67" t="n"/>
      <c r="L95" s="67" t="n"/>
      <c r="M95" s="67" t="n"/>
      <c r="N95" s="65" t="n"/>
      <c r="O95" s="84">
        <f>IF(A95="","",IF(E95="","No date",IF(TODAY()&gt;=EDATE(E95,Review_Months),"Review Due","Current")))</f>
        <v/>
      </c>
      <c r="P95" s="84">
        <f>IF(A95="","",IF(COUNTIFS('AFA Rates'!$A$5:$A$1004,A95,'AFA Rates'!$O$5:$O$1004,"&lt;&gt;Expired")&gt;0,"Yes",IF(COUNTIF('AFA Rates'!$A$5:$A$1004,A95)&gt;0,"Expired only","No")))</f>
        <v/>
      </c>
      <c r="Q95" s="84">
        <f>IF(A95="","",COUNTIFS('AFA Rates'!$A$5:$A$1004,A95,'AFA Rates'!$O$5:$O$1004,"&lt;&gt;Expired"))</f>
        <v/>
      </c>
      <c r="R95" s="66" t="n"/>
      <c r="S95" s="64" t="n"/>
      <c r="T95" s="64" t="n"/>
      <c r="U95">
        <f>IF(AND(A95&lt;&gt;"",B95="Paused"),COUNTIFS($A$5:A95,"&lt;&gt;",$B$5:B95,"Paused"),"")</f>
        <v/>
      </c>
      <c r="V95">
        <f>IF(P95="Yes",COUNTIF($P$5:P95,"Yes"),"")</f>
        <v/>
      </c>
      <c r="W95">
        <f>IF(A95="","",COUNTIF($A$5:$A$1004,"&lt;"&amp;A95)+COUNTIF($A$5:A95,A95))</f>
        <v/>
      </c>
      <c r="X95">
        <f>","&amp;SUBSTITUTE(SUBSTITUTE(SUBSTITUTE(UPPER(C95)," ",""),";",","),"/",",")&amp;","</f>
        <v/>
      </c>
      <c r="Y95">
        <f>IF(AND(A95&lt;&gt;"",B95="Active",'State Search'!$C$5&lt;&gt;"",OR(X95=",ALL,",ISNUMBER(SEARCH(","&amp;'State Search'!$C$5&amp;",",X95)))),W95,"")</f>
        <v/>
      </c>
    </row>
    <row r="96">
      <c r="A96" s="64" t="n"/>
      <c r="B96" s="65" t="n"/>
      <c r="C96" s="64" t="n"/>
      <c r="D96" s="66" t="n"/>
      <c r="E96" s="66" t="n"/>
      <c r="F96" s="67" t="n"/>
      <c r="G96" s="67" t="n"/>
      <c r="H96" s="67" t="n"/>
      <c r="I96" s="67" t="n"/>
      <c r="J96" s="67" t="n"/>
      <c r="K96" s="67" t="n"/>
      <c r="L96" s="67" t="n"/>
      <c r="M96" s="67" t="n"/>
      <c r="N96" s="65" t="n"/>
      <c r="O96" s="84">
        <f>IF(A96="","",IF(E96="","No date",IF(TODAY()&gt;=EDATE(E96,Review_Months),"Review Due","Current")))</f>
        <v/>
      </c>
      <c r="P96" s="84">
        <f>IF(A96="","",IF(COUNTIFS('AFA Rates'!$A$5:$A$1004,A96,'AFA Rates'!$O$5:$O$1004,"&lt;&gt;Expired")&gt;0,"Yes",IF(COUNTIF('AFA Rates'!$A$5:$A$1004,A96)&gt;0,"Expired only","No")))</f>
        <v/>
      </c>
      <c r="Q96" s="84">
        <f>IF(A96="","",COUNTIFS('AFA Rates'!$A$5:$A$1004,A96,'AFA Rates'!$O$5:$O$1004,"&lt;&gt;Expired"))</f>
        <v/>
      </c>
      <c r="R96" s="66" t="n"/>
      <c r="S96" s="64" t="n"/>
      <c r="T96" s="64" t="n"/>
      <c r="U96">
        <f>IF(AND(A96&lt;&gt;"",B96="Paused"),COUNTIFS($A$5:A96,"&lt;&gt;",$B$5:B96,"Paused"),"")</f>
        <v/>
      </c>
      <c r="V96">
        <f>IF(P96="Yes",COUNTIF($P$5:P96,"Yes"),"")</f>
        <v/>
      </c>
      <c r="W96">
        <f>IF(A96="","",COUNTIF($A$5:$A$1004,"&lt;"&amp;A96)+COUNTIF($A$5:A96,A96))</f>
        <v/>
      </c>
      <c r="X96">
        <f>","&amp;SUBSTITUTE(SUBSTITUTE(SUBSTITUTE(UPPER(C96)," ",""),";",","),"/",",")&amp;","</f>
        <v/>
      </c>
      <c r="Y96">
        <f>IF(AND(A96&lt;&gt;"",B96="Active",'State Search'!$C$5&lt;&gt;"",OR(X96=",ALL,",ISNUMBER(SEARCH(","&amp;'State Search'!$C$5&amp;",",X96)))),W96,"")</f>
        <v/>
      </c>
    </row>
    <row r="97">
      <c r="A97" s="64" t="n"/>
      <c r="B97" s="65" t="n"/>
      <c r="C97" s="64" t="n"/>
      <c r="D97" s="66" t="n"/>
      <c r="E97" s="66" t="n"/>
      <c r="F97" s="67" t="n"/>
      <c r="G97" s="67" t="n"/>
      <c r="H97" s="67" t="n"/>
      <c r="I97" s="67" t="n"/>
      <c r="J97" s="67" t="n"/>
      <c r="K97" s="67" t="n"/>
      <c r="L97" s="67" t="n"/>
      <c r="M97" s="67" t="n"/>
      <c r="N97" s="65" t="n"/>
      <c r="O97" s="84">
        <f>IF(A97="","",IF(E97="","No date",IF(TODAY()&gt;=EDATE(E97,Review_Months),"Review Due","Current")))</f>
        <v/>
      </c>
      <c r="P97" s="84">
        <f>IF(A97="","",IF(COUNTIFS('AFA Rates'!$A$5:$A$1004,A97,'AFA Rates'!$O$5:$O$1004,"&lt;&gt;Expired")&gt;0,"Yes",IF(COUNTIF('AFA Rates'!$A$5:$A$1004,A97)&gt;0,"Expired only","No")))</f>
        <v/>
      </c>
      <c r="Q97" s="84">
        <f>IF(A97="","",COUNTIFS('AFA Rates'!$A$5:$A$1004,A97,'AFA Rates'!$O$5:$O$1004,"&lt;&gt;Expired"))</f>
        <v/>
      </c>
      <c r="R97" s="66" t="n"/>
      <c r="S97" s="64" t="n"/>
      <c r="T97" s="64" t="n"/>
      <c r="U97">
        <f>IF(AND(A97&lt;&gt;"",B97="Paused"),COUNTIFS($A$5:A97,"&lt;&gt;",$B$5:B97,"Paused"),"")</f>
        <v/>
      </c>
      <c r="V97">
        <f>IF(P97="Yes",COUNTIF($P$5:P97,"Yes"),"")</f>
        <v/>
      </c>
      <c r="W97">
        <f>IF(A97="","",COUNTIF($A$5:$A$1004,"&lt;"&amp;A97)+COUNTIF($A$5:A97,A97))</f>
        <v/>
      </c>
      <c r="X97">
        <f>","&amp;SUBSTITUTE(SUBSTITUTE(SUBSTITUTE(UPPER(C97)," ",""),";",","),"/",",")&amp;","</f>
        <v/>
      </c>
      <c r="Y97">
        <f>IF(AND(A97&lt;&gt;"",B97="Active",'State Search'!$C$5&lt;&gt;"",OR(X97=",ALL,",ISNUMBER(SEARCH(","&amp;'State Search'!$C$5&amp;",",X97)))),W97,"")</f>
        <v/>
      </c>
    </row>
    <row r="98">
      <c r="A98" s="64" t="n"/>
      <c r="B98" s="65" t="n"/>
      <c r="C98" s="64" t="n"/>
      <c r="D98" s="66" t="n"/>
      <c r="E98" s="66" t="n"/>
      <c r="F98" s="67" t="n"/>
      <c r="G98" s="67" t="n"/>
      <c r="H98" s="67" t="n"/>
      <c r="I98" s="67" t="n"/>
      <c r="J98" s="67" t="n"/>
      <c r="K98" s="67" t="n"/>
      <c r="L98" s="67" t="n"/>
      <c r="M98" s="67" t="n"/>
      <c r="N98" s="65" t="n"/>
      <c r="O98" s="84">
        <f>IF(A98="","",IF(E98="","No date",IF(TODAY()&gt;=EDATE(E98,Review_Months),"Review Due","Current")))</f>
        <v/>
      </c>
      <c r="P98" s="84">
        <f>IF(A98="","",IF(COUNTIFS('AFA Rates'!$A$5:$A$1004,A98,'AFA Rates'!$O$5:$O$1004,"&lt;&gt;Expired")&gt;0,"Yes",IF(COUNTIF('AFA Rates'!$A$5:$A$1004,A98)&gt;0,"Expired only","No")))</f>
        <v/>
      </c>
      <c r="Q98" s="84">
        <f>IF(A98="","",COUNTIFS('AFA Rates'!$A$5:$A$1004,A98,'AFA Rates'!$O$5:$O$1004,"&lt;&gt;Expired"))</f>
        <v/>
      </c>
      <c r="R98" s="66" t="n"/>
      <c r="S98" s="64" t="n"/>
      <c r="T98" s="64" t="n"/>
      <c r="U98">
        <f>IF(AND(A98&lt;&gt;"",B98="Paused"),COUNTIFS($A$5:A98,"&lt;&gt;",$B$5:B98,"Paused"),"")</f>
        <v/>
      </c>
      <c r="V98">
        <f>IF(P98="Yes",COUNTIF($P$5:P98,"Yes"),"")</f>
        <v/>
      </c>
      <c r="W98">
        <f>IF(A98="","",COUNTIF($A$5:$A$1004,"&lt;"&amp;A98)+COUNTIF($A$5:A98,A98))</f>
        <v/>
      </c>
      <c r="X98">
        <f>","&amp;SUBSTITUTE(SUBSTITUTE(SUBSTITUTE(UPPER(C98)," ",""),";",","),"/",",")&amp;","</f>
        <v/>
      </c>
      <c r="Y98">
        <f>IF(AND(A98&lt;&gt;"",B98="Active",'State Search'!$C$5&lt;&gt;"",OR(X98=",ALL,",ISNUMBER(SEARCH(","&amp;'State Search'!$C$5&amp;",",X98)))),W98,"")</f>
        <v/>
      </c>
    </row>
    <row r="99">
      <c r="A99" s="64" t="n"/>
      <c r="B99" s="65" t="n"/>
      <c r="C99" s="64" t="n"/>
      <c r="D99" s="66" t="n"/>
      <c r="E99" s="66" t="n"/>
      <c r="F99" s="67" t="n"/>
      <c r="G99" s="67" t="n"/>
      <c r="H99" s="67" t="n"/>
      <c r="I99" s="67" t="n"/>
      <c r="J99" s="67" t="n"/>
      <c r="K99" s="67" t="n"/>
      <c r="L99" s="67" t="n"/>
      <c r="M99" s="67" t="n"/>
      <c r="N99" s="65" t="n"/>
      <c r="O99" s="84">
        <f>IF(A99="","",IF(E99="","No date",IF(TODAY()&gt;=EDATE(E99,Review_Months),"Review Due","Current")))</f>
        <v/>
      </c>
      <c r="P99" s="84">
        <f>IF(A99="","",IF(COUNTIFS('AFA Rates'!$A$5:$A$1004,A99,'AFA Rates'!$O$5:$O$1004,"&lt;&gt;Expired")&gt;0,"Yes",IF(COUNTIF('AFA Rates'!$A$5:$A$1004,A99)&gt;0,"Expired only","No")))</f>
        <v/>
      </c>
      <c r="Q99" s="84">
        <f>IF(A99="","",COUNTIFS('AFA Rates'!$A$5:$A$1004,A99,'AFA Rates'!$O$5:$O$1004,"&lt;&gt;Expired"))</f>
        <v/>
      </c>
      <c r="R99" s="66" t="n"/>
      <c r="S99" s="64" t="n"/>
      <c r="T99" s="64" t="n"/>
      <c r="U99">
        <f>IF(AND(A99&lt;&gt;"",B99="Paused"),COUNTIFS($A$5:A99,"&lt;&gt;",$B$5:B99,"Paused"),"")</f>
        <v/>
      </c>
      <c r="V99">
        <f>IF(P99="Yes",COUNTIF($P$5:P99,"Yes"),"")</f>
        <v/>
      </c>
      <c r="W99">
        <f>IF(A99="","",COUNTIF($A$5:$A$1004,"&lt;"&amp;A99)+COUNTIF($A$5:A99,A99))</f>
        <v/>
      </c>
      <c r="X99">
        <f>","&amp;SUBSTITUTE(SUBSTITUTE(SUBSTITUTE(UPPER(C99)," ",""),";",","),"/",",")&amp;","</f>
        <v/>
      </c>
      <c r="Y99">
        <f>IF(AND(A99&lt;&gt;"",B99="Active",'State Search'!$C$5&lt;&gt;"",OR(X99=",ALL,",ISNUMBER(SEARCH(","&amp;'State Search'!$C$5&amp;",",X99)))),W99,"")</f>
        <v/>
      </c>
    </row>
    <row r="100">
      <c r="A100" s="64" t="n"/>
      <c r="B100" s="65" t="n"/>
      <c r="C100" s="64" t="n"/>
      <c r="D100" s="66" t="n"/>
      <c r="E100" s="66" t="n"/>
      <c r="F100" s="67" t="n"/>
      <c r="G100" s="67" t="n"/>
      <c r="H100" s="67" t="n"/>
      <c r="I100" s="67" t="n"/>
      <c r="J100" s="67" t="n"/>
      <c r="K100" s="67" t="n"/>
      <c r="L100" s="67" t="n"/>
      <c r="M100" s="67" t="n"/>
      <c r="N100" s="65" t="n"/>
      <c r="O100" s="84">
        <f>IF(A100="","",IF(E100="","No date",IF(TODAY()&gt;=EDATE(E100,Review_Months),"Review Due","Current")))</f>
        <v/>
      </c>
      <c r="P100" s="84">
        <f>IF(A100="","",IF(COUNTIFS('AFA Rates'!$A$5:$A$1004,A100,'AFA Rates'!$O$5:$O$1004,"&lt;&gt;Expired")&gt;0,"Yes",IF(COUNTIF('AFA Rates'!$A$5:$A$1004,A100)&gt;0,"Expired only","No")))</f>
        <v/>
      </c>
      <c r="Q100" s="84">
        <f>IF(A100="","",COUNTIFS('AFA Rates'!$A$5:$A$1004,A100,'AFA Rates'!$O$5:$O$1004,"&lt;&gt;Expired"))</f>
        <v/>
      </c>
      <c r="R100" s="66" t="n"/>
      <c r="S100" s="64" t="n"/>
      <c r="T100" s="64" t="n"/>
      <c r="U100">
        <f>IF(AND(A100&lt;&gt;"",B100="Paused"),COUNTIFS($A$5:A100,"&lt;&gt;",$B$5:B100,"Paused"),"")</f>
        <v/>
      </c>
      <c r="V100">
        <f>IF(P100="Yes",COUNTIF($P$5:P100,"Yes"),"")</f>
        <v/>
      </c>
      <c r="W100">
        <f>IF(A100="","",COUNTIF($A$5:$A$1004,"&lt;"&amp;A100)+COUNTIF($A$5:A100,A100))</f>
        <v/>
      </c>
      <c r="X100">
        <f>","&amp;SUBSTITUTE(SUBSTITUTE(SUBSTITUTE(UPPER(C100)," ",""),";",","),"/",",")&amp;","</f>
        <v/>
      </c>
      <c r="Y100">
        <f>IF(AND(A100&lt;&gt;"",B100="Active",'State Search'!$C$5&lt;&gt;"",OR(X100=",ALL,",ISNUMBER(SEARCH(","&amp;'State Search'!$C$5&amp;",",X100)))),W100,"")</f>
        <v/>
      </c>
    </row>
    <row r="101">
      <c r="A101" s="64" t="n"/>
      <c r="B101" s="65" t="n"/>
      <c r="C101" s="64" t="n"/>
      <c r="D101" s="66" t="n"/>
      <c r="E101" s="66" t="n"/>
      <c r="F101" s="67" t="n"/>
      <c r="G101" s="67" t="n"/>
      <c r="H101" s="67" t="n"/>
      <c r="I101" s="67" t="n"/>
      <c r="J101" s="67" t="n"/>
      <c r="K101" s="67" t="n"/>
      <c r="L101" s="67" t="n"/>
      <c r="M101" s="67" t="n"/>
      <c r="N101" s="65" t="n"/>
      <c r="O101" s="84">
        <f>IF(A101="","",IF(E101="","No date",IF(TODAY()&gt;=EDATE(E101,Review_Months),"Review Due","Current")))</f>
        <v/>
      </c>
      <c r="P101" s="84">
        <f>IF(A101="","",IF(COUNTIFS('AFA Rates'!$A$5:$A$1004,A101,'AFA Rates'!$O$5:$O$1004,"&lt;&gt;Expired")&gt;0,"Yes",IF(COUNTIF('AFA Rates'!$A$5:$A$1004,A101)&gt;0,"Expired only","No")))</f>
        <v/>
      </c>
      <c r="Q101" s="84">
        <f>IF(A101="","",COUNTIFS('AFA Rates'!$A$5:$A$1004,A101,'AFA Rates'!$O$5:$O$1004,"&lt;&gt;Expired"))</f>
        <v/>
      </c>
      <c r="R101" s="66" t="n"/>
      <c r="S101" s="64" t="n"/>
      <c r="T101" s="64" t="n"/>
      <c r="U101">
        <f>IF(AND(A101&lt;&gt;"",B101="Paused"),COUNTIFS($A$5:A101,"&lt;&gt;",$B$5:B101,"Paused"),"")</f>
        <v/>
      </c>
      <c r="V101">
        <f>IF(P101="Yes",COUNTIF($P$5:P101,"Yes"),"")</f>
        <v/>
      </c>
      <c r="W101">
        <f>IF(A101="","",COUNTIF($A$5:$A$1004,"&lt;"&amp;A101)+COUNTIF($A$5:A101,A101))</f>
        <v/>
      </c>
      <c r="X101">
        <f>","&amp;SUBSTITUTE(SUBSTITUTE(SUBSTITUTE(UPPER(C101)," ",""),";",","),"/",",")&amp;","</f>
        <v/>
      </c>
      <c r="Y101">
        <f>IF(AND(A101&lt;&gt;"",B101="Active",'State Search'!$C$5&lt;&gt;"",OR(X101=",ALL,",ISNUMBER(SEARCH(","&amp;'State Search'!$C$5&amp;",",X101)))),W101,"")</f>
        <v/>
      </c>
    </row>
    <row r="102">
      <c r="A102" s="64" t="n"/>
      <c r="B102" s="65" t="n"/>
      <c r="C102" s="64" t="n"/>
      <c r="D102" s="66" t="n"/>
      <c r="E102" s="66" t="n"/>
      <c r="F102" s="67" t="n"/>
      <c r="G102" s="67" t="n"/>
      <c r="H102" s="67" t="n"/>
      <c r="I102" s="67" t="n"/>
      <c r="J102" s="67" t="n"/>
      <c r="K102" s="67" t="n"/>
      <c r="L102" s="67" t="n"/>
      <c r="M102" s="67" t="n"/>
      <c r="N102" s="65" t="n"/>
      <c r="O102" s="84">
        <f>IF(A102="","",IF(E102="","No date",IF(TODAY()&gt;=EDATE(E102,Review_Months),"Review Due","Current")))</f>
        <v/>
      </c>
      <c r="P102" s="84">
        <f>IF(A102="","",IF(COUNTIFS('AFA Rates'!$A$5:$A$1004,A102,'AFA Rates'!$O$5:$O$1004,"&lt;&gt;Expired")&gt;0,"Yes",IF(COUNTIF('AFA Rates'!$A$5:$A$1004,A102)&gt;0,"Expired only","No")))</f>
        <v/>
      </c>
      <c r="Q102" s="84">
        <f>IF(A102="","",COUNTIFS('AFA Rates'!$A$5:$A$1004,A102,'AFA Rates'!$O$5:$O$1004,"&lt;&gt;Expired"))</f>
        <v/>
      </c>
      <c r="R102" s="66" t="n"/>
      <c r="S102" s="64" t="n"/>
      <c r="T102" s="64" t="n"/>
      <c r="U102">
        <f>IF(AND(A102&lt;&gt;"",B102="Paused"),COUNTIFS($A$5:A102,"&lt;&gt;",$B$5:B102,"Paused"),"")</f>
        <v/>
      </c>
      <c r="V102">
        <f>IF(P102="Yes",COUNTIF($P$5:P102,"Yes"),"")</f>
        <v/>
      </c>
      <c r="W102">
        <f>IF(A102="","",COUNTIF($A$5:$A$1004,"&lt;"&amp;A102)+COUNTIF($A$5:A102,A102))</f>
        <v/>
      </c>
      <c r="X102">
        <f>","&amp;SUBSTITUTE(SUBSTITUTE(SUBSTITUTE(UPPER(C102)," ",""),";",","),"/",",")&amp;","</f>
        <v/>
      </c>
      <c r="Y102">
        <f>IF(AND(A102&lt;&gt;"",B102="Active",'State Search'!$C$5&lt;&gt;"",OR(X102=",ALL,",ISNUMBER(SEARCH(","&amp;'State Search'!$C$5&amp;",",X102)))),W102,"")</f>
        <v/>
      </c>
    </row>
    <row r="103">
      <c r="A103" s="64" t="n"/>
      <c r="B103" s="65" t="n"/>
      <c r="C103" s="64" t="n"/>
      <c r="D103" s="66" t="n"/>
      <c r="E103" s="66" t="n"/>
      <c r="F103" s="67" t="n"/>
      <c r="G103" s="67" t="n"/>
      <c r="H103" s="67" t="n"/>
      <c r="I103" s="67" t="n"/>
      <c r="J103" s="67" t="n"/>
      <c r="K103" s="67" t="n"/>
      <c r="L103" s="67" t="n"/>
      <c r="M103" s="67" t="n"/>
      <c r="N103" s="65" t="n"/>
      <c r="O103" s="84">
        <f>IF(A103="","",IF(E103="","No date",IF(TODAY()&gt;=EDATE(E103,Review_Months),"Review Due","Current")))</f>
        <v/>
      </c>
      <c r="P103" s="84">
        <f>IF(A103="","",IF(COUNTIFS('AFA Rates'!$A$5:$A$1004,A103,'AFA Rates'!$O$5:$O$1004,"&lt;&gt;Expired")&gt;0,"Yes",IF(COUNTIF('AFA Rates'!$A$5:$A$1004,A103)&gt;0,"Expired only","No")))</f>
        <v/>
      </c>
      <c r="Q103" s="84">
        <f>IF(A103="","",COUNTIFS('AFA Rates'!$A$5:$A$1004,A103,'AFA Rates'!$O$5:$O$1004,"&lt;&gt;Expired"))</f>
        <v/>
      </c>
      <c r="R103" s="66" t="n"/>
      <c r="S103" s="64" t="n"/>
      <c r="T103" s="64" t="n"/>
      <c r="U103">
        <f>IF(AND(A103&lt;&gt;"",B103="Paused"),COUNTIFS($A$5:A103,"&lt;&gt;",$B$5:B103,"Paused"),"")</f>
        <v/>
      </c>
      <c r="V103">
        <f>IF(P103="Yes",COUNTIF($P$5:P103,"Yes"),"")</f>
        <v/>
      </c>
      <c r="W103">
        <f>IF(A103="","",COUNTIF($A$5:$A$1004,"&lt;"&amp;A103)+COUNTIF($A$5:A103,A103))</f>
        <v/>
      </c>
      <c r="X103">
        <f>","&amp;SUBSTITUTE(SUBSTITUTE(SUBSTITUTE(UPPER(C103)," ",""),";",","),"/",",")&amp;","</f>
        <v/>
      </c>
      <c r="Y103">
        <f>IF(AND(A103&lt;&gt;"",B103="Active",'State Search'!$C$5&lt;&gt;"",OR(X103=",ALL,",ISNUMBER(SEARCH(","&amp;'State Search'!$C$5&amp;",",X103)))),W103,"")</f>
        <v/>
      </c>
    </row>
    <row r="104">
      <c r="A104" s="64" t="n"/>
      <c r="B104" s="65" t="n"/>
      <c r="C104" s="64" t="n"/>
      <c r="D104" s="66" t="n"/>
      <c r="E104" s="66" t="n"/>
      <c r="F104" s="67" t="n"/>
      <c r="G104" s="67" t="n"/>
      <c r="H104" s="67" t="n"/>
      <c r="I104" s="67" t="n"/>
      <c r="J104" s="67" t="n"/>
      <c r="K104" s="67" t="n"/>
      <c r="L104" s="67" t="n"/>
      <c r="M104" s="67" t="n"/>
      <c r="N104" s="65" t="n"/>
      <c r="O104" s="84">
        <f>IF(A104="","",IF(E104="","No date",IF(TODAY()&gt;=EDATE(E104,Review_Months),"Review Due","Current")))</f>
        <v/>
      </c>
      <c r="P104" s="84">
        <f>IF(A104="","",IF(COUNTIFS('AFA Rates'!$A$5:$A$1004,A104,'AFA Rates'!$O$5:$O$1004,"&lt;&gt;Expired")&gt;0,"Yes",IF(COUNTIF('AFA Rates'!$A$5:$A$1004,A104)&gt;0,"Expired only","No")))</f>
        <v/>
      </c>
      <c r="Q104" s="84">
        <f>IF(A104="","",COUNTIFS('AFA Rates'!$A$5:$A$1004,A104,'AFA Rates'!$O$5:$O$1004,"&lt;&gt;Expired"))</f>
        <v/>
      </c>
      <c r="R104" s="66" t="n"/>
      <c r="S104" s="64" t="n"/>
      <c r="T104" s="64" t="n"/>
      <c r="U104">
        <f>IF(AND(A104&lt;&gt;"",B104="Paused"),COUNTIFS($A$5:A104,"&lt;&gt;",$B$5:B104,"Paused"),"")</f>
        <v/>
      </c>
      <c r="V104">
        <f>IF(P104="Yes",COUNTIF($P$5:P104,"Yes"),"")</f>
        <v/>
      </c>
      <c r="W104">
        <f>IF(A104="","",COUNTIF($A$5:$A$1004,"&lt;"&amp;A104)+COUNTIF($A$5:A104,A104))</f>
        <v/>
      </c>
      <c r="X104">
        <f>","&amp;SUBSTITUTE(SUBSTITUTE(SUBSTITUTE(UPPER(C104)," ",""),";",","),"/",",")&amp;","</f>
        <v/>
      </c>
      <c r="Y104">
        <f>IF(AND(A104&lt;&gt;"",B104="Active",'State Search'!$C$5&lt;&gt;"",OR(X104=",ALL,",ISNUMBER(SEARCH(","&amp;'State Search'!$C$5&amp;",",X104)))),W104,"")</f>
        <v/>
      </c>
    </row>
    <row r="105">
      <c r="A105" s="64" t="n"/>
      <c r="B105" s="65" t="n"/>
      <c r="C105" s="64" t="n"/>
      <c r="D105" s="66" t="n"/>
      <c r="E105" s="66" t="n"/>
      <c r="F105" s="67" t="n"/>
      <c r="G105" s="67" t="n"/>
      <c r="H105" s="67" t="n"/>
      <c r="I105" s="67" t="n"/>
      <c r="J105" s="67" t="n"/>
      <c r="K105" s="67" t="n"/>
      <c r="L105" s="67" t="n"/>
      <c r="M105" s="67" t="n"/>
      <c r="N105" s="65" t="n"/>
      <c r="O105" s="84">
        <f>IF(A105="","",IF(E105="","No date",IF(TODAY()&gt;=EDATE(E105,Review_Months),"Review Due","Current")))</f>
        <v/>
      </c>
      <c r="P105" s="84">
        <f>IF(A105="","",IF(COUNTIFS('AFA Rates'!$A$5:$A$1004,A105,'AFA Rates'!$O$5:$O$1004,"&lt;&gt;Expired")&gt;0,"Yes",IF(COUNTIF('AFA Rates'!$A$5:$A$1004,A105)&gt;0,"Expired only","No")))</f>
        <v/>
      </c>
      <c r="Q105" s="84">
        <f>IF(A105="","",COUNTIFS('AFA Rates'!$A$5:$A$1004,A105,'AFA Rates'!$O$5:$O$1004,"&lt;&gt;Expired"))</f>
        <v/>
      </c>
      <c r="R105" s="66" t="n"/>
      <c r="S105" s="64" t="n"/>
      <c r="T105" s="64" t="n"/>
      <c r="U105">
        <f>IF(AND(A105&lt;&gt;"",B105="Paused"),COUNTIFS($A$5:A105,"&lt;&gt;",$B$5:B105,"Paused"),"")</f>
        <v/>
      </c>
      <c r="V105">
        <f>IF(P105="Yes",COUNTIF($P$5:P105,"Yes"),"")</f>
        <v/>
      </c>
      <c r="W105">
        <f>IF(A105="","",COUNTIF($A$5:$A$1004,"&lt;"&amp;A105)+COUNTIF($A$5:A105,A105))</f>
        <v/>
      </c>
      <c r="X105">
        <f>","&amp;SUBSTITUTE(SUBSTITUTE(SUBSTITUTE(UPPER(C105)," ",""),";",","),"/",",")&amp;","</f>
        <v/>
      </c>
      <c r="Y105">
        <f>IF(AND(A105&lt;&gt;"",B105="Active",'State Search'!$C$5&lt;&gt;"",OR(X105=",ALL,",ISNUMBER(SEARCH(","&amp;'State Search'!$C$5&amp;",",X105)))),W105,"")</f>
        <v/>
      </c>
    </row>
    <row r="106">
      <c r="A106" s="64" t="n"/>
      <c r="B106" s="65" t="n"/>
      <c r="C106" s="64" t="n"/>
      <c r="D106" s="66" t="n"/>
      <c r="E106" s="66" t="n"/>
      <c r="F106" s="67" t="n"/>
      <c r="G106" s="67" t="n"/>
      <c r="H106" s="67" t="n"/>
      <c r="I106" s="67" t="n"/>
      <c r="J106" s="67" t="n"/>
      <c r="K106" s="67" t="n"/>
      <c r="L106" s="67" t="n"/>
      <c r="M106" s="67" t="n"/>
      <c r="N106" s="65" t="n"/>
      <c r="O106" s="84">
        <f>IF(A106="","",IF(E106="","No date",IF(TODAY()&gt;=EDATE(E106,Review_Months),"Review Due","Current")))</f>
        <v/>
      </c>
      <c r="P106" s="84">
        <f>IF(A106="","",IF(COUNTIFS('AFA Rates'!$A$5:$A$1004,A106,'AFA Rates'!$O$5:$O$1004,"&lt;&gt;Expired")&gt;0,"Yes",IF(COUNTIF('AFA Rates'!$A$5:$A$1004,A106)&gt;0,"Expired only","No")))</f>
        <v/>
      </c>
      <c r="Q106" s="84">
        <f>IF(A106="","",COUNTIFS('AFA Rates'!$A$5:$A$1004,A106,'AFA Rates'!$O$5:$O$1004,"&lt;&gt;Expired"))</f>
        <v/>
      </c>
      <c r="R106" s="66" t="n"/>
      <c r="S106" s="64" t="n"/>
      <c r="T106" s="64" t="n"/>
      <c r="U106">
        <f>IF(AND(A106&lt;&gt;"",B106="Paused"),COUNTIFS($A$5:A106,"&lt;&gt;",$B$5:B106,"Paused"),"")</f>
        <v/>
      </c>
      <c r="V106">
        <f>IF(P106="Yes",COUNTIF($P$5:P106,"Yes"),"")</f>
        <v/>
      </c>
      <c r="W106">
        <f>IF(A106="","",COUNTIF($A$5:$A$1004,"&lt;"&amp;A106)+COUNTIF($A$5:A106,A106))</f>
        <v/>
      </c>
      <c r="X106">
        <f>","&amp;SUBSTITUTE(SUBSTITUTE(SUBSTITUTE(UPPER(C106)," ",""),";",","),"/",",")&amp;","</f>
        <v/>
      </c>
      <c r="Y106">
        <f>IF(AND(A106&lt;&gt;"",B106="Active",'State Search'!$C$5&lt;&gt;"",OR(X106=",ALL,",ISNUMBER(SEARCH(","&amp;'State Search'!$C$5&amp;",",X106)))),W106,"")</f>
        <v/>
      </c>
    </row>
    <row r="107">
      <c r="A107" s="64" t="n"/>
      <c r="B107" s="65" t="n"/>
      <c r="C107" s="64" t="n"/>
      <c r="D107" s="66" t="n"/>
      <c r="E107" s="66" t="n"/>
      <c r="F107" s="67" t="n"/>
      <c r="G107" s="67" t="n"/>
      <c r="H107" s="67" t="n"/>
      <c r="I107" s="67" t="n"/>
      <c r="J107" s="67" t="n"/>
      <c r="K107" s="67" t="n"/>
      <c r="L107" s="67" t="n"/>
      <c r="M107" s="67" t="n"/>
      <c r="N107" s="65" t="n"/>
      <c r="O107" s="84">
        <f>IF(A107="","",IF(E107="","No date",IF(TODAY()&gt;=EDATE(E107,Review_Months),"Review Due","Current")))</f>
        <v/>
      </c>
      <c r="P107" s="84">
        <f>IF(A107="","",IF(COUNTIFS('AFA Rates'!$A$5:$A$1004,A107,'AFA Rates'!$O$5:$O$1004,"&lt;&gt;Expired")&gt;0,"Yes",IF(COUNTIF('AFA Rates'!$A$5:$A$1004,A107)&gt;0,"Expired only","No")))</f>
        <v/>
      </c>
      <c r="Q107" s="84">
        <f>IF(A107="","",COUNTIFS('AFA Rates'!$A$5:$A$1004,A107,'AFA Rates'!$O$5:$O$1004,"&lt;&gt;Expired"))</f>
        <v/>
      </c>
      <c r="R107" s="66" t="n"/>
      <c r="S107" s="64" t="n"/>
      <c r="T107" s="64" t="n"/>
      <c r="U107">
        <f>IF(AND(A107&lt;&gt;"",B107="Paused"),COUNTIFS($A$5:A107,"&lt;&gt;",$B$5:B107,"Paused"),"")</f>
        <v/>
      </c>
      <c r="V107">
        <f>IF(P107="Yes",COUNTIF($P$5:P107,"Yes"),"")</f>
        <v/>
      </c>
      <c r="W107">
        <f>IF(A107="","",COUNTIF($A$5:$A$1004,"&lt;"&amp;A107)+COUNTIF($A$5:A107,A107))</f>
        <v/>
      </c>
      <c r="X107">
        <f>","&amp;SUBSTITUTE(SUBSTITUTE(SUBSTITUTE(UPPER(C107)," ",""),";",","),"/",",")&amp;","</f>
        <v/>
      </c>
      <c r="Y107">
        <f>IF(AND(A107&lt;&gt;"",B107="Active",'State Search'!$C$5&lt;&gt;"",OR(X107=",ALL,",ISNUMBER(SEARCH(","&amp;'State Search'!$C$5&amp;",",X107)))),W107,"")</f>
        <v/>
      </c>
    </row>
    <row r="108">
      <c r="A108" s="64" t="n"/>
      <c r="B108" s="65" t="n"/>
      <c r="C108" s="64" t="n"/>
      <c r="D108" s="66" t="n"/>
      <c r="E108" s="66" t="n"/>
      <c r="F108" s="67" t="n"/>
      <c r="G108" s="67" t="n"/>
      <c r="H108" s="67" t="n"/>
      <c r="I108" s="67" t="n"/>
      <c r="J108" s="67" t="n"/>
      <c r="K108" s="67" t="n"/>
      <c r="L108" s="67" t="n"/>
      <c r="M108" s="67" t="n"/>
      <c r="N108" s="65" t="n"/>
      <c r="O108" s="84">
        <f>IF(A108="","",IF(E108="","No date",IF(TODAY()&gt;=EDATE(E108,Review_Months),"Review Due","Current")))</f>
        <v/>
      </c>
      <c r="P108" s="84">
        <f>IF(A108="","",IF(COUNTIFS('AFA Rates'!$A$5:$A$1004,A108,'AFA Rates'!$O$5:$O$1004,"&lt;&gt;Expired")&gt;0,"Yes",IF(COUNTIF('AFA Rates'!$A$5:$A$1004,A108)&gt;0,"Expired only","No")))</f>
        <v/>
      </c>
      <c r="Q108" s="84">
        <f>IF(A108="","",COUNTIFS('AFA Rates'!$A$5:$A$1004,A108,'AFA Rates'!$O$5:$O$1004,"&lt;&gt;Expired"))</f>
        <v/>
      </c>
      <c r="R108" s="66" t="n"/>
      <c r="S108" s="64" t="n"/>
      <c r="T108" s="64" t="n"/>
      <c r="U108">
        <f>IF(AND(A108&lt;&gt;"",B108="Paused"),COUNTIFS($A$5:A108,"&lt;&gt;",$B$5:B108,"Paused"),"")</f>
        <v/>
      </c>
      <c r="V108">
        <f>IF(P108="Yes",COUNTIF($P$5:P108,"Yes"),"")</f>
        <v/>
      </c>
      <c r="W108">
        <f>IF(A108="","",COUNTIF($A$5:$A$1004,"&lt;"&amp;A108)+COUNTIF($A$5:A108,A108))</f>
        <v/>
      </c>
      <c r="X108">
        <f>","&amp;SUBSTITUTE(SUBSTITUTE(SUBSTITUTE(UPPER(C108)," ",""),";",","),"/",",")&amp;","</f>
        <v/>
      </c>
      <c r="Y108">
        <f>IF(AND(A108&lt;&gt;"",B108="Active",'State Search'!$C$5&lt;&gt;"",OR(X108=",ALL,",ISNUMBER(SEARCH(","&amp;'State Search'!$C$5&amp;",",X108)))),W108,"")</f>
        <v/>
      </c>
    </row>
    <row r="109">
      <c r="A109" s="64" t="n"/>
      <c r="B109" s="65" t="n"/>
      <c r="C109" s="64" t="n"/>
      <c r="D109" s="66" t="n"/>
      <c r="E109" s="66" t="n"/>
      <c r="F109" s="67" t="n"/>
      <c r="G109" s="67" t="n"/>
      <c r="H109" s="67" t="n"/>
      <c r="I109" s="67" t="n"/>
      <c r="J109" s="67" t="n"/>
      <c r="K109" s="67" t="n"/>
      <c r="L109" s="67" t="n"/>
      <c r="M109" s="67" t="n"/>
      <c r="N109" s="65" t="n"/>
      <c r="O109" s="84">
        <f>IF(A109="","",IF(E109="","No date",IF(TODAY()&gt;=EDATE(E109,Review_Months),"Review Due","Current")))</f>
        <v/>
      </c>
      <c r="P109" s="84">
        <f>IF(A109="","",IF(COUNTIFS('AFA Rates'!$A$5:$A$1004,A109,'AFA Rates'!$O$5:$O$1004,"&lt;&gt;Expired")&gt;0,"Yes",IF(COUNTIF('AFA Rates'!$A$5:$A$1004,A109)&gt;0,"Expired only","No")))</f>
        <v/>
      </c>
      <c r="Q109" s="84">
        <f>IF(A109="","",COUNTIFS('AFA Rates'!$A$5:$A$1004,A109,'AFA Rates'!$O$5:$O$1004,"&lt;&gt;Expired"))</f>
        <v/>
      </c>
      <c r="R109" s="66" t="n"/>
      <c r="S109" s="64" t="n"/>
      <c r="T109" s="64" t="n"/>
      <c r="U109">
        <f>IF(AND(A109&lt;&gt;"",B109="Paused"),COUNTIFS($A$5:A109,"&lt;&gt;",$B$5:B109,"Paused"),"")</f>
        <v/>
      </c>
      <c r="V109">
        <f>IF(P109="Yes",COUNTIF($P$5:P109,"Yes"),"")</f>
        <v/>
      </c>
      <c r="W109">
        <f>IF(A109="","",COUNTIF($A$5:$A$1004,"&lt;"&amp;A109)+COUNTIF($A$5:A109,A109))</f>
        <v/>
      </c>
      <c r="X109">
        <f>","&amp;SUBSTITUTE(SUBSTITUTE(SUBSTITUTE(UPPER(C109)," ",""),";",","),"/",",")&amp;","</f>
        <v/>
      </c>
      <c r="Y109">
        <f>IF(AND(A109&lt;&gt;"",B109="Active",'State Search'!$C$5&lt;&gt;"",OR(X109=",ALL,",ISNUMBER(SEARCH(","&amp;'State Search'!$C$5&amp;",",X109)))),W109,"")</f>
        <v/>
      </c>
    </row>
    <row r="110">
      <c r="A110" s="64" t="n"/>
      <c r="B110" s="65" t="n"/>
      <c r="C110" s="64" t="n"/>
      <c r="D110" s="66" t="n"/>
      <c r="E110" s="66" t="n"/>
      <c r="F110" s="67" t="n"/>
      <c r="G110" s="67" t="n"/>
      <c r="H110" s="67" t="n"/>
      <c r="I110" s="67" t="n"/>
      <c r="J110" s="67" t="n"/>
      <c r="K110" s="67" t="n"/>
      <c r="L110" s="67" t="n"/>
      <c r="M110" s="67" t="n"/>
      <c r="N110" s="65" t="n"/>
      <c r="O110" s="84">
        <f>IF(A110="","",IF(E110="","No date",IF(TODAY()&gt;=EDATE(E110,Review_Months),"Review Due","Current")))</f>
        <v/>
      </c>
      <c r="P110" s="84">
        <f>IF(A110="","",IF(COUNTIFS('AFA Rates'!$A$5:$A$1004,A110,'AFA Rates'!$O$5:$O$1004,"&lt;&gt;Expired")&gt;0,"Yes",IF(COUNTIF('AFA Rates'!$A$5:$A$1004,A110)&gt;0,"Expired only","No")))</f>
        <v/>
      </c>
      <c r="Q110" s="84">
        <f>IF(A110="","",COUNTIFS('AFA Rates'!$A$5:$A$1004,A110,'AFA Rates'!$O$5:$O$1004,"&lt;&gt;Expired"))</f>
        <v/>
      </c>
      <c r="R110" s="66" t="n"/>
      <c r="S110" s="64" t="n"/>
      <c r="T110" s="64" t="n"/>
      <c r="U110">
        <f>IF(AND(A110&lt;&gt;"",B110="Paused"),COUNTIFS($A$5:A110,"&lt;&gt;",$B$5:B110,"Paused"),"")</f>
        <v/>
      </c>
      <c r="V110">
        <f>IF(P110="Yes",COUNTIF($P$5:P110,"Yes"),"")</f>
        <v/>
      </c>
      <c r="W110">
        <f>IF(A110="","",COUNTIF($A$5:$A$1004,"&lt;"&amp;A110)+COUNTIF($A$5:A110,A110))</f>
        <v/>
      </c>
      <c r="X110">
        <f>","&amp;SUBSTITUTE(SUBSTITUTE(SUBSTITUTE(UPPER(C110)," ",""),";",","),"/",",")&amp;","</f>
        <v/>
      </c>
      <c r="Y110">
        <f>IF(AND(A110&lt;&gt;"",B110="Active",'State Search'!$C$5&lt;&gt;"",OR(X110=",ALL,",ISNUMBER(SEARCH(","&amp;'State Search'!$C$5&amp;",",X110)))),W110,"")</f>
        <v/>
      </c>
    </row>
    <row r="111">
      <c r="A111" s="64" t="n"/>
      <c r="B111" s="65" t="n"/>
      <c r="C111" s="64" t="n"/>
      <c r="D111" s="66" t="n"/>
      <c r="E111" s="66" t="n"/>
      <c r="F111" s="67" t="n"/>
      <c r="G111" s="67" t="n"/>
      <c r="H111" s="67" t="n"/>
      <c r="I111" s="67" t="n"/>
      <c r="J111" s="67" t="n"/>
      <c r="K111" s="67" t="n"/>
      <c r="L111" s="67" t="n"/>
      <c r="M111" s="67" t="n"/>
      <c r="N111" s="65" t="n"/>
      <c r="O111" s="84">
        <f>IF(A111="","",IF(E111="","No date",IF(TODAY()&gt;=EDATE(E111,Review_Months),"Review Due","Current")))</f>
        <v/>
      </c>
      <c r="P111" s="84">
        <f>IF(A111="","",IF(COUNTIFS('AFA Rates'!$A$5:$A$1004,A111,'AFA Rates'!$O$5:$O$1004,"&lt;&gt;Expired")&gt;0,"Yes",IF(COUNTIF('AFA Rates'!$A$5:$A$1004,A111)&gt;0,"Expired only","No")))</f>
        <v/>
      </c>
      <c r="Q111" s="84">
        <f>IF(A111="","",COUNTIFS('AFA Rates'!$A$5:$A$1004,A111,'AFA Rates'!$O$5:$O$1004,"&lt;&gt;Expired"))</f>
        <v/>
      </c>
      <c r="R111" s="66" t="n"/>
      <c r="S111" s="64" t="n"/>
      <c r="T111" s="64" t="n"/>
      <c r="U111">
        <f>IF(AND(A111&lt;&gt;"",B111="Paused"),COUNTIFS($A$5:A111,"&lt;&gt;",$B$5:B111,"Paused"),"")</f>
        <v/>
      </c>
      <c r="V111">
        <f>IF(P111="Yes",COUNTIF($P$5:P111,"Yes"),"")</f>
        <v/>
      </c>
      <c r="W111">
        <f>IF(A111="","",COUNTIF($A$5:$A$1004,"&lt;"&amp;A111)+COUNTIF($A$5:A111,A111))</f>
        <v/>
      </c>
      <c r="X111">
        <f>","&amp;SUBSTITUTE(SUBSTITUTE(SUBSTITUTE(UPPER(C111)," ",""),";",","),"/",",")&amp;","</f>
        <v/>
      </c>
      <c r="Y111">
        <f>IF(AND(A111&lt;&gt;"",B111="Active",'State Search'!$C$5&lt;&gt;"",OR(X111=",ALL,",ISNUMBER(SEARCH(","&amp;'State Search'!$C$5&amp;",",X111)))),W111,"")</f>
        <v/>
      </c>
    </row>
    <row r="112">
      <c r="A112" s="64" t="n"/>
      <c r="B112" s="65" t="n"/>
      <c r="C112" s="64" t="n"/>
      <c r="D112" s="66" t="n"/>
      <c r="E112" s="66" t="n"/>
      <c r="F112" s="67" t="n"/>
      <c r="G112" s="67" t="n"/>
      <c r="H112" s="67" t="n"/>
      <c r="I112" s="67" t="n"/>
      <c r="J112" s="67" t="n"/>
      <c r="K112" s="67" t="n"/>
      <c r="L112" s="67" t="n"/>
      <c r="M112" s="67" t="n"/>
      <c r="N112" s="65" t="n"/>
      <c r="O112" s="84">
        <f>IF(A112="","",IF(E112="","No date",IF(TODAY()&gt;=EDATE(E112,Review_Months),"Review Due","Current")))</f>
        <v/>
      </c>
      <c r="P112" s="84">
        <f>IF(A112="","",IF(COUNTIFS('AFA Rates'!$A$5:$A$1004,A112,'AFA Rates'!$O$5:$O$1004,"&lt;&gt;Expired")&gt;0,"Yes",IF(COUNTIF('AFA Rates'!$A$5:$A$1004,A112)&gt;0,"Expired only","No")))</f>
        <v/>
      </c>
      <c r="Q112" s="84">
        <f>IF(A112="","",COUNTIFS('AFA Rates'!$A$5:$A$1004,A112,'AFA Rates'!$O$5:$O$1004,"&lt;&gt;Expired"))</f>
        <v/>
      </c>
      <c r="R112" s="66" t="n"/>
      <c r="S112" s="64" t="n"/>
      <c r="T112" s="64" t="n"/>
      <c r="U112">
        <f>IF(AND(A112&lt;&gt;"",B112="Paused"),COUNTIFS($A$5:A112,"&lt;&gt;",$B$5:B112,"Paused"),"")</f>
        <v/>
      </c>
      <c r="V112">
        <f>IF(P112="Yes",COUNTIF($P$5:P112,"Yes"),"")</f>
        <v/>
      </c>
      <c r="W112">
        <f>IF(A112="","",COUNTIF($A$5:$A$1004,"&lt;"&amp;A112)+COUNTIF($A$5:A112,A112))</f>
        <v/>
      </c>
      <c r="X112">
        <f>","&amp;SUBSTITUTE(SUBSTITUTE(SUBSTITUTE(UPPER(C112)," ",""),";",","),"/",",")&amp;","</f>
        <v/>
      </c>
      <c r="Y112">
        <f>IF(AND(A112&lt;&gt;"",B112="Active",'State Search'!$C$5&lt;&gt;"",OR(X112=",ALL,",ISNUMBER(SEARCH(","&amp;'State Search'!$C$5&amp;",",X112)))),W112,"")</f>
        <v/>
      </c>
    </row>
    <row r="113">
      <c r="A113" s="64" t="n"/>
      <c r="B113" s="65" t="n"/>
      <c r="C113" s="64" t="n"/>
      <c r="D113" s="66" t="n"/>
      <c r="E113" s="66" t="n"/>
      <c r="F113" s="67" t="n"/>
      <c r="G113" s="67" t="n"/>
      <c r="H113" s="67" t="n"/>
      <c r="I113" s="67" t="n"/>
      <c r="J113" s="67" t="n"/>
      <c r="K113" s="67" t="n"/>
      <c r="L113" s="67" t="n"/>
      <c r="M113" s="67" t="n"/>
      <c r="N113" s="65" t="n"/>
      <c r="O113" s="84">
        <f>IF(A113="","",IF(E113="","No date",IF(TODAY()&gt;=EDATE(E113,Review_Months),"Review Due","Current")))</f>
        <v/>
      </c>
      <c r="P113" s="84">
        <f>IF(A113="","",IF(COUNTIFS('AFA Rates'!$A$5:$A$1004,A113,'AFA Rates'!$O$5:$O$1004,"&lt;&gt;Expired")&gt;0,"Yes",IF(COUNTIF('AFA Rates'!$A$5:$A$1004,A113)&gt;0,"Expired only","No")))</f>
        <v/>
      </c>
      <c r="Q113" s="84">
        <f>IF(A113="","",COUNTIFS('AFA Rates'!$A$5:$A$1004,A113,'AFA Rates'!$O$5:$O$1004,"&lt;&gt;Expired"))</f>
        <v/>
      </c>
      <c r="R113" s="66" t="n"/>
      <c r="S113" s="64" t="n"/>
      <c r="T113" s="64" t="n"/>
      <c r="U113">
        <f>IF(AND(A113&lt;&gt;"",B113="Paused"),COUNTIFS($A$5:A113,"&lt;&gt;",$B$5:B113,"Paused"),"")</f>
        <v/>
      </c>
      <c r="V113">
        <f>IF(P113="Yes",COUNTIF($P$5:P113,"Yes"),"")</f>
        <v/>
      </c>
      <c r="W113">
        <f>IF(A113="","",COUNTIF($A$5:$A$1004,"&lt;"&amp;A113)+COUNTIF($A$5:A113,A113))</f>
        <v/>
      </c>
      <c r="X113">
        <f>","&amp;SUBSTITUTE(SUBSTITUTE(SUBSTITUTE(UPPER(C113)," ",""),";",","),"/",",")&amp;","</f>
        <v/>
      </c>
      <c r="Y113">
        <f>IF(AND(A113&lt;&gt;"",B113="Active",'State Search'!$C$5&lt;&gt;"",OR(X113=",ALL,",ISNUMBER(SEARCH(","&amp;'State Search'!$C$5&amp;",",X113)))),W113,"")</f>
        <v/>
      </c>
    </row>
    <row r="114">
      <c r="A114" s="64" t="n"/>
      <c r="B114" s="65" t="n"/>
      <c r="C114" s="64" t="n"/>
      <c r="D114" s="66" t="n"/>
      <c r="E114" s="66" t="n"/>
      <c r="F114" s="67" t="n"/>
      <c r="G114" s="67" t="n"/>
      <c r="H114" s="67" t="n"/>
      <c r="I114" s="67" t="n"/>
      <c r="J114" s="67" t="n"/>
      <c r="K114" s="67" t="n"/>
      <c r="L114" s="67" t="n"/>
      <c r="M114" s="67" t="n"/>
      <c r="N114" s="65" t="n"/>
      <c r="O114" s="84">
        <f>IF(A114="","",IF(E114="","No date",IF(TODAY()&gt;=EDATE(E114,Review_Months),"Review Due","Current")))</f>
        <v/>
      </c>
      <c r="P114" s="84">
        <f>IF(A114="","",IF(COUNTIFS('AFA Rates'!$A$5:$A$1004,A114,'AFA Rates'!$O$5:$O$1004,"&lt;&gt;Expired")&gt;0,"Yes",IF(COUNTIF('AFA Rates'!$A$5:$A$1004,A114)&gt;0,"Expired only","No")))</f>
        <v/>
      </c>
      <c r="Q114" s="84">
        <f>IF(A114="","",COUNTIFS('AFA Rates'!$A$5:$A$1004,A114,'AFA Rates'!$O$5:$O$1004,"&lt;&gt;Expired"))</f>
        <v/>
      </c>
      <c r="R114" s="66" t="n"/>
      <c r="S114" s="64" t="n"/>
      <c r="T114" s="64" t="n"/>
      <c r="U114">
        <f>IF(AND(A114&lt;&gt;"",B114="Paused"),COUNTIFS($A$5:A114,"&lt;&gt;",$B$5:B114,"Paused"),"")</f>
        <v/>
      </c>
      <c r="V114">
        <f>IF(P114="Yes",COUNTIF($P$5:P114,"Yes"),"")</f>
        <v/>
      </c>
      <c r="W114">
        <f>IF(A114="","",COUNTIF($A$5:$A$1004,"&lt;"&amp;A114)+COUNTIF($A$5:A114,A114))</f>
        <v/>
      </c>
      <c r="X114">
        <f>","&amp;SUBSTITUTE(SUBSTITUTE(SUBSTITUTE(UPPER(C114)," ",""),";",","),"/",",")&amp;","</f>
        <v/>
      </c>
      <c r="Y114">
        <f>IF(AND(A114&lt;&gt;"",B114="Active",'State Search'!$C$5&lt;&gt;"",OR(X114=",ALL,",ISNUMBER(SEARCH(","&amp;'State Search'!$C$5&amp;",",X114)))),W114,"")</f>
        <v/>
      </c>
    </row>
    <row r="115">
      <c r="A115" s="64" t="n"/>
      <c r="B115" s="65" t="n"/>
      <c r="C115" s="64" t="n"/>
      <c r="D115" s="66" t="n"/>
      <c r="E115" s="66" t="n"/>
      <c r="F115" s="67" t="n"/>
      <c r="G115" s="67" t="n"/>
      <c r="H115" s="67" t="n"/>
      <c r="I115" s="67" t="n"/>
      <c r="J115" s="67" t="n"/>
      <c r="K115" s="67" t="n"/>
      <c r="L115" s="67" t="n"/>
      <c r="M115" s="67" t="n"/>
      <c r="N115" s="65" t="n"/>
      <c r="O115" s="84">
        <f>IF(A115="","",IF(E115="","No date",IF(TODAY()&gt;=EDATE(E115,Review_Months),"Review Due","Current")))</f>
        <v/>
      </c>
      <c r="P115" s="84">
        <f>IF(A115="","",IF(COUNTIFS('AFA Rates'!$A$5:$A$1004,A115,'AFA Rates'!$O$5:$O$1004,"&lt;&gt;Expired")&gt;0,"Yes",IF(COUNTIF('AFA Rates'!$A$5:$A$1004,A115)&gt;0,"Expired only","No")))</f>
        <v/>
      </c>
      <c r="Q115" s="84">
        <f>IF(A115="","",COUNTIFS('AFA Rates'!$A$5:$A$1004,A115,'AFA Rates'!$O$5:$O$1004,"&lt;&gt;Expired"))</f>
        <v/>
      </c>
      <c r="R115" s="66" t="n"/>
      <c r="S115" s="64" t="n"/>
      <c r="T115" s="64" t="n"/>
      <c r="U115">
        <f>IF(AND(A115&lt;&gt;"",B115="Paused"),COUNTIFS($A$5:A115,"&lt;&gt;",$B$5:B115,"Paused"),"")</f>
        <v/>
      </c>
      <c r="V115">
        <f>IF(P115="Yes",COUNTIF($P$5:P115,"Yes"),"")</f>
        <v/>
      </c>
      <c r="W115">
        <f>IF(A115="","",COUNTIF($A$5:$A$1004,"&lt;"&amp;A115)+COUNTIF($A$5:A115,A115))</f>
        <v/>
      </c>
      <c r="X115">
        <f>","&amp;SUBSTITUTE(SUBSTITUTE(SUBSTITUTE(UPPER(C115)," ",""),";",","),"/",",")&amp;","</f>
        <v/>
      </c>
      <c r="Y115">
        <f>IF(AND(A115&lt;&gt;"",B115="Active",'State Search'!$C$5&lt;&gt;"",OR(X115=",ALL,",ISNUMBER(SEARCH(","&amp;'State Search'!$C$5&amp;",",X115)))),W115,"")</f>
        <v/>
      </c>
    </row>
    <row r="116">
      <c r="A116" s="64" t="n"/>
      <c r="B116" s="65" t="n"/>
      <c r="C116" s="64" t="n"/>
      <c r="D116" s="66" t="n"/>
      <c r="E116" s="66" t="n"/>
      <c r="F116" s="67" t="n"/>
      <c r="G116" s="67" t="n"/>
      <c r="H116" s="67" t="n"/>
      <c r="I116" s="67" t="n"/>
      <c r="J116" s="67" t="n"/>
      <c r="K116" s="67" t="n"/>
      <c r="L116" s="67" t="n"/>
      <c r="M116" s="67" t="n"/>
      <c r="N116" s="65" t="n"/>
      <c r="O116" s="84">
        <f>IF(A116="","",IF(E116="","No date",IF(TODAY()&gt;=EDATE(E116,Review_Months),"Review Due","Current")))</f>
        <v/>
      </c>
      <c r="P116" s="84">
        <f>IF(A116="","",IF(COUNTIFS('AFA Rates'!$A$5:$A$1004,A116,'AFA Rates'!$O$5:$O$1004,"&lt;&gt;Expired")&gt;0,"Yes",IF(COUNTIF('AFA Rates'!$A$5:$A$1004,A116)&gt;0,"Expired only","No")))</f>
        <v/>
      </c>
      <c r="Q116" s="84">
        <f>IF(A116="","",COUNTIFS('AFA Rates'!$A$5:$A$1004,A116,'AFA Rates'!$O$5:$O$1004,"&lt;&gt;Expired"))</f>
        <v/>
      </c>
      <c r="R116" s="66" t="n"/>
      <c r="S116" s="64" t="n"/>
      <c r="T116" s="64" t="n"/>
      <c r="U116">
        <f>IF(AND(A116&lt;&gt;"",B116="Paused"),COUNTIFS($A$5:A116,"&lt;&gt;",$B$5:B116,"Paused"),"")</f>
        <v/>
      </c>
      <c r="V116">
        <f>IF(P116="Yes",COUNTIF($P$5:P116,"Yes"),"")</f>
        <v/>
      </c>
      <c r="W116">
        <f>IF(A116="","",COUNTIF($A$5:$A$1004,"&lt;"&amp;A116)+COUNTIF($A$5:A116,A116))</f>
        <v/>
      </c>
      <c r="X116">
        <f>","&amp;SUBSTITUTE(SUBSTITUTE(SUBSTITUTE(UPPER(C116)," ",""),";",","),"/",",")&amp;","</f>
        <v/>
      </c>
      <c r="Y116">
        <f>IF(AND(A116&lt;&gt;"",B116="Active",'State Search'!$C$5&lt;&gt;"",OR(X116=",ALL,",ISNUMBER(SEARCH(","&amp;'State Search'!$C$5&amp;",",X116)))),W116,"")</f>
        <v/>
      </c>
    </row>
    <row r="117">
      <c r="A117" s="64" t="n"/>
      <c r="B117" s="65" t="n"/>
      <c r="C117" s="64" t="n"/>
      <c r="D117" s="66" t="n"/>
      <c r="E117" s="66" t="n"/>
      <c r="F117" s="67" t="n"/>
      <c r="G117" s="67" t="n"/>
      <c r="H117" s="67" t="n"/>
      <c r="I117" s="67" t="n"/>
      <c r="J117" s="67" t="n"/>
      <c r="K117" s="67" t="n"/>
      <c r="L117" s="67" t="n"/>
      <c r="M117" s="67" t="n"/>
      <c r="N117" s="65" t="n"/>
      <c r="O117" s="84">
        <f>IF(A117="","",IF(E117="","No date",IF(TODAY()&gt;=EDATE(E117,Review_Months),"Review Due","Current")))</f>
        <v/>
      </c>
      <c r="P117" s="84">
        <f>IF(A117="","",IF(COUNTIFS('AFA Rates'!$A$5:$A$1004,A117,'AFA Rates'!$O$5:$O$1004,"&lt;&gt;Expired")&gt;0,"Yes",IF(COUNTIF('AFA Rates'!$A$5:$A$1004,A117)&gt;0,"Expired only","No")))</f>
        <v/>
      </c>
      <c r="Q117" s="84">
        <f>IF(A117="","",COUNTIFS('AFA Rates'!$A$5:$A$1004,A117,'AFA Rates'!$O$5:$O$1004,"&lt;&gt;Expired"))</f>
        <v/>
      </c>
      <c r="R117" s="66" t="n"/>
      <c r="S117" s="64" t="n"/>
      <c r="T117" s="64" t="n"/>
      <c r="U117">
        <f>IF(AND(A117&lt;&gt;"",B117="Paused"),COUNTIFS($A$5:A117,"&lt;&gt;",$B$5:B117,"Paused"),"")</f>
        <v/>
      </c>
      <c r="V117">
        <f>IF(P117="Yes",COUNTIF($P$5:P117,"Yes"),"")</f>
        <v/>
      </c>
      <c r="W117">
        <f>IF(A117="","",COUNTIF($A$5:$A$1004,"&lt;"&amp;A117)+COUNTIF($A$5:A117,A117))</f>
        <v/>
      </c>
      <c r="X117">
        <f>","&amp;SUBSTITUTE(SUBSTITUTE(SUBSTITUTE(UPPER(C117)," ",""),";",","),"/",",")&amp;","</f>
        <v/>
      </c>
      <c r="Y117">
        <f>IF(AND(A117&lt;&gt;"",B117="Active",'State Search'!$C$5&lt;&gt;"",OR(X117=",ALL,",ISNUMBER(SEARCH(","&amp;'State Search'!$C$5&amp;",",X117)))),W117,"")</f>
        <v/>
      </c>
    </row>
    <row r="118">
      <c r="A118" s="64" t="n"/>
      <c r="B118" s="65" t="n"/>
      <c r="C118" s="64" t="n"/>
      <c r="D118" s="66" t="n"/>
      <c r="E118" s="66" t="n"/>
      <c r="F118" s="67" t="n"/>
      <c r="G118" s="67" t="n"/>
      <c r="H118" s="67" t="n"/>
      <c r="I118" s="67" t="n"/>
      <c r="J118" s="67" t="n"/>
      <c r="K118" s="67" t="n"/>
      <c r="L118" s="67" t="n"/>
      <c r="M118" s="67" t="n"/>
      <c r="N118" s="65" t="n"/>
      <c r="O118" s="84">
        <f>IF(A118="","",IF(E118="","No date",IF(TODAY()&gt;=EDATE(E118,Review_Months),"Review Due","Current")))</f>
        <v/>
      </c>
      <c r="P118" s="84">
        <f>IF(A118="","",IF(COUNTIFS('AFA Rates'!$A$5:$A$1004,A118,'AFA Rates'!$O$5:$O$1004,"&lt;&gt;Expired")&gt;0,"Yes",IF(COUNTIF('AFA Rates'!$A$5:$A$1004,A118)&gt;0,"Expired only","No")))</f>
        <v/>
      </c>
      <c r="Q118" s="84">
        <f>IF(A118="","",COUNTIFS('AFA Rates'!$A$5:$A$1004,A118,'AFA Rates'!$O$5:$O$1004,"&lt;&gt;Expired"))</f>
        <v/>
      </c>
      <c r="R118" s="66" t="n"/>
      <c r="S118" s="64" t="n"/>
      <c r="T118" s="64" t="n"/>
      <c r="U118">
        <f>IF(AND(A118&lt;&gt;"",B118="Paused"),COUNTIFS($A$5:A118,"&lt;&gt;",$B$5:B118,"Paused"),"")</f>
        <v/>
      </c>
      <c r="V118">
        <f>IF(P118="Yes",COUNTIF($P$5:P118,"Yes"),"")</f>
        <v/>
      </c>
      <c r="W118">
        <f>IF(A118="","",COUNTIF($A$5:$A$1004,"&lt;"&amp;A118)+COUNTIF($A$5:A118,A118))</f>
        <v/>
      </c>
      <c r="X118">
        <f>","&amp;SUBSTITUTE(SUBSTITUTE(SUBSTITUTE(UPPER(C118)," ",""),";",","),"/",",")&amp;","</f>
        <v/>
      </c>
      <c r="Y118">
        <f>IF(AND(A118&lt;&gt;"",B118="Active",'State Search'!$C$5&lt;&gt;"",OR(X118=",ALL,",ISNUMBER(SEARCH(","&amp;'State Search'!$C$5&amp;",",X118)))),W118,"")</f>
        <v/>
      </c>
    </row>
    <row r="119">
      <c r="A119" s="64" t="n"/>
      <c r="B119" s="65" t="n"/>
      <c r="C119" s="64" t="n"/>
      <c r="D119" s="66" t="n"/>
      <c r="E119" s="66" t="n"/>
      <c r="F119" s="67" t="n"/>
      <c r="G119" s="67" t="n"/>
      <c r="H119" s="67" t="n"/>
      <c r="I119" s="67" t="n"/>
      <c r="J119" s="67" t="n"/>
      <c r="K119" s="67" t="n"/>
      <c r="L119" s="67" t="n"/>
      <c r="M119" s="67" t="n"/>
      <c r="N119" s="65" t="n"/>
      <c r="O119" s="84">
        <f>IF(A119="","",IF(E119="","No date",IF(TODAY()&gt;=EDATE(E119,Review_Months),"Review Due","Current")))</f>
        <v/>
      </c>
      <c r="P119" s="84">
        <f>IF(A119="","",IF(COUNTIFS('AFA Rates'!$A$5:$A$1004,A119,'AFA Rates'!$O$5:$O$1004,"&lt;&gt;Expired")&gt;0,"Yes",IF(COUNTIF('AFA Rates'!$A$5:$A$1004,A119)&gt;0,"Expired only","No")))</f>
        <v/>
      </c>
      <c r="Q119" s="84">
        <f>IF(A119="","",COUNTIFS('AFA Rates'!$A$5:$A$1004,A119,'AFA Rates'!$O$5:$O$1004,"&lt;&gt;Expired"))</f>
        <v/>
      </c>
      <c r="R119" s="66" t="n"/>
      <c r="S119" s="64" t="n"/>
      <c r="T119" s="64" t="n"/>
      <c r="U119">
        <f>IF(AND(A119&lt;&gt;"",B119="Paused"),COUNTIFS($A$5:A119,"&lt;&gt;",$B$5:B119,"Paused"),"")</f>
        <v/>
      </c>
      <c r="V119">
        <f>IF(P119="Yes",COUNTIF($P$5:P119,"Yes"),"")</f>
        <v/>
      </c>
      <c r="W119">
        <f>IF(A119="","",COUNTIF($A$5:$A$1004,"&lt;"&amp;A119)+COUNTIF($A$5:A119,A119))</f>
        <v/>
      </c>
      <c r="X119">
        <f>","&amp;SUBSTITUTE(SUBSTITUTE(SUBSTITUTE(UPPER(C119)," ",""),";",","),"/",",")&amp;","</f>
        <v/>
      </c>
      <c r="Y119">
        <f>IF(AND(A119&lt;&gt;"",B119="Active",'State Search'!$C$5&lt;&gt;"",OR(X119=",ALL,",ISNUMBER(SEARCH(","&amp;'State Search'!$C$5&amp;",",X119)))),W119,"")</f>
        <v/>
      </c>
    </row>
    <row r="120">
      <c r="A120" s="64" t="n"/>
      <c r="B120" s="65" t="n"/>
      <c r="C120" s="64" t="n"/>
      <c r="D120" s="66" t="n"/>
      <c r="E120" s="66" t="n"/>
      <c r="F120" s="67" t="n"/>
      <c r="G120" s="67" t="n"/>
      <c r="H120" s="67" t="n"/>
      <c r="I120" s="67" t="n"/>
      <c r="J120" s="67" t="n"/>
      <c r="K120" s="67" t="n"/>
      <c r="L120" s="67" t="n"/>
      <c r="M120" s="67" t="n"/>
      <c r="N120" s="65" t="n"/>
      <c r="O120" s="84">
        <f>IF(A120="","",IF(E120="","No date",IF(TODAY()&gt;=EDATE(E120,Review_Months),"Review Due","Current")))</f>
        <v/>
      </c>
      <c r="P120" s="84">
        <f>IF(A120="","",IF(COUNTIFS('AFA Rates'!$A$5:$A$1004,A120,'AFA Rates'!$O$5:$O$1004,"&lt;&gt;Expired")&gt;0,"Yes",IF(COUNTIF('AFA Rates'!$A$5:$A$1004,A120)&gt;0,"Expired only","No")))</f>
        <v/>
      </c>
      <c r="Q120" s="84">
        <f>IF(A120="","",COUNTIFS('AFA Rates'!$A$5:$A$1004,A120,'AFA Rates'!$O$5:$O$1004,"&lt;&gt;Expired"))</f>
        <v/>
      </c>
      <c r="R120" s="66" t="n"/>
      <c r="S120" s="64" t="n"/>
      <c r="T120" s="64" t="n"/>
      <c r="U120">
        <f>IF(AND(A120&lt;&gt;"",B120="Paused"),COUNTIFS($A$5:A120,"&lt;&gt;",$B$5:B120,"Paused"),"")</f>
        <v/>
      </c>
      <c r="V120">
        <f>IF(P120="Yes",COUNTIF($P$5:P120,"Yes"),"")</f>
        <v/>
      </c>
      <c r="W120">
        <f>IF(A120="","",COUNTIF($A$5:$A$1004,"&lt;"&amp;A120)+COUNTIF($A$5:A120,A120))</f>
        <v/>
      </c>
      <c r="X120">
        <f>","&amp;SUBSTITUTE(SUBSTITUTE(SUBSTITUTE(UPPER(C120)," ",""),";",","),"/",",")&amp;","</f>
        <v/>
      </c>
      <c r="Y120">
        <f>IF(AND(A120&lt;&gt;"",B120="Active",'State Search'!$C$5&lt;&gt;"",OR(X120=",ALL,",ISNUMBER(SEARCH(","&amp;'State Search'!$C$5&amp;",",X120)))),W120,"")</f>
        <v/>
      </c>
    </row>
    <row r="121">
      <c r="A121" s="64" t="n"/>
      <c r="B121" s="65" t="n"/>
      <c r="C121" s="64" t="n"/>
      <c r="D121" s="66" t="n"/>
      <c r="E121" s="66" t="n"/>
      <c r="F121" s="67" t="n"/>
      <c r="G121" s="67" t="n"/>
      <c r="H121" s="67" t="n"/>
      <c r="I121" s="67" t="n"/>
      <c r="J121" s="67" t="n"/>
      <c r="K121" s="67" t="n"/>
      <c r="L121" s="67" t="n"/>
      <c r="M121" s="67" t="n"/>
      <c r="N121" s="65" t="n"/>
      <c r="O121" s="84">
        <f>IF(A121="","",IF(E121="","No date",IF(TODAY()&gt;=EDATE(E121,Review_Months),"Review Due","Current")))</f>
        <v/>
      </c>
      <c r="P121" s="84">
        <f>IF(A121="","",IF(COUNTIFS('AFA Rates'!$A$5:$A$1004,A121,'AFA Rates'!$O$5:$O$1004,"&lt;&gt;Expired")&gt;0,"Yes",IF(COUNTIF('AFA Rates'!$A$5:$A$1004,A121)&gt;0,"Expired only","No")))</f>
        <v/>
      </c>
      <c r="Q121" s="84">
        <f>IF(A121="","",COUNTIFS('AFA Rates'!$A$5:$A$1004,A121,'AFA Rates'!$O$5:$O$1004,"&lt;&gt;Expired"))</f>
        <v/>
      </c>
      <c r="R121" s="66" t="n"/>
      <c r="S121" s="64" t="n"/>
      <c r="T121" s="64" t="n"/>
      <c r="U121">
        <f>IF(AND(A121&lt;&gt;"",B121="Paused"),COUNTIFS($A$5:A121,"&lt;&gt;",$B$5:B121,"Paused"),"")</f>
        <v/>
      </c>
      <c r="V121">
        <f>IF(P121="Yes",COUNTIF($P$5:P121,"Yes"),"")</f>
        <v/>
      </c>
      <c r="W121">
        <f>IF(A121="","",COUNTIF($A$5:$A$1004,"&lt;"&amp;A121)+COUNTIF($A$5:A121,A121))</f>
        <v/>
      </c>
      <c r="X121">
        <f>","&amp;SUBSTITUTE(SUBSTITUTE(SUBSTITUTE(UPPER(C121)," ",""),";",","),"/",",")&amp;","</f>
        <v/>
      </c>
      <c r="Y121">
        <f>IF(AND(A121&lt;&gt;"",B121="Active",'State Search'!$C$5&lt;&gt;"",OR(X121=",ALL,",ISNUMBER(SEARCH(","&amp;'State Search'!$C$5&amp;",",X121)))),W121,"")</f>
        <v/>
      </c>
    </row>
    <row r="122">
      <c r="A122" s="64" t="n"/>
      <c r="B122" s="65" t="n"/>
      <c r="C122" s="64" t="n"/>
      <c r="D122" s="66" t="n"/>
      <c r="E122" s="66" t="n"/>
      <c r="F122" s="67" t="n"/>
      <c r="G122" s="67" t="n"/>
      <c r="H122" s="67" t="n"/>
      <c r="I122" s="67" t="n"/>
      <c r="J122" s="67" t="n"/>
      <c r="K122" s="67" t="n"/>
      <c r="L122" s="67" t="n"/>
      <c r="M122" s="67" t="n"/>
      <c r="N122" s="65" t="n"/>
      <c r="O122" s="84">
        <f>IF(A122="","",IF(E122="","No date",IF(TODAY()&gt;=EDATE(E122,Review_Months),"Review Due","Current")))</f>
        <v/>
      </c>
      <c r="P122" s="84">
        <f>IF(A122="","",IF(COUNTIFS('AFA Rates'!$A$5:$A$1004,A122,'AFA Rates'!$O$5:$O$1004,"&lt;&gt;Expired")&gt;0,"Yes",IF(COUNTIF('AFA Rates'!$A$5:$A$1004,A122)&gt;0,"Expired only","No")))</f>
        <v/>
      </c>
      <c r="Q122" s="84">
        <f>IF(A122="","",COUNTIFS('AFA Rates'!$A$5:$A$1004,A122,'AFA Rates'!$O$5:$O$1004,"&lt;&gt;Expired"))</f>
        <v/>
      </c>
      <c r="R122" s="66" t="n"/>
      <c r="S122" s="64" t="n"/>
      <c r="T122" s="64" t="n"/>
      <c r="U122">
        <f>IF(AND(A122&lt;&gt;"",B122="Paused"),COUNTIFS($A$5:A122,"&lt;&gt;",$B$5:B122,"Paused"),"")</f>
        <v/>
      </c>
      <c r="V122">
        <f>IF(P122="Yes",COUNTIF($P$5:P122,"Yes"),"")</f>
        <v/>
      </c>
      <c r="W122">
        <f>IF(A122="","",COUNTIF($A$5:$A$1004,"&lt;"&amp;A122)+COUNTIF($A$5:A122,A122))</f>
        <v/>
      </c>
      <c r="X122">
        <f>","&amp;SUBSTITUTE(SUBSTITUTE(SUBSTITUTE(UPPER(C122)," ",""),";",","),"/",",")&amp;","</f>
        <v/>
      </c>
      <c r="Y122">
        <f>IF(AND(A122&lt;&gt;"",B122="Active",'State Search'!$C$5&lt;&gt;"",OR(X122=",ALL,",ISNUMBER(SEARCH(","&amp;'State Search'!$C$5&amp;",",X122)))),W122,"")</f>
        <v/>
      </c>
    </row>
    <row r="123">
      <c r="A123" s="64" t="n"/>
      <c r="B123" s="65" t="n"/>
      <c r="C123" s="64" t="n"/>
      <c r="D123" s="66" t="n"/>
      <c r="E123" s="66" t="n"/>
      <c r="F123" s="67" t="n"/>
      <c r="G123" s="67" t="n"/>
      <c r="H123" s="67" t="n"/>
      <c r="I123" s="67" t="n"/>
      <c r="J123" s="67" t="n"/>
      <c r="K123" s="67" t="n"/>
      <c r="L123" s="67" t="n"/>
      <c r="M123" s="67" t="n"/>
      <c r="N123" s="65" t="n"/>
      <c r="O123" s="84">
        <f>IF(A123="","",IF(E123="","No date",IF(TODAY()&gt;=EDATE(E123,Review_Months),"Review Due","Current")))</f>
        <v/>
      </c>
      <c r="P123" s="84">
        <f>IF(A123="","",IF(COUNTIFS('AFA Rates'!$A$5:$A$1004,A123,'AFA Rates'!$O$5:$O$1004,"&lt;&gt;Expired")&gt;0,"Yes",IF(COUNTIF('AFA Rates'!$A$5:$A$1004,A123)&gt;0,"Expired only","No")))</f>
        <v/>
      </c>
      <c r="Q123" s="84">
        <f>IF(A123="","",COUNTIFS('AFA Rates'!$A$5:$A$1004,A123,'AFA Rates'!$O$5:$O$1004,"&lt;&gt;Expired"))</f>
        <v/>
      </c>
      <c r="R123" s="66" t="n"/>
      <c r="S123" s="64" t="n"/>
      <c r="T123" s="64" t="n"/>
      <c r="U123">
        <f>IF(AND(A123&lt;&gt;"",B123="Paused"),COUNTIFS($A$5:A123,"&lt;&gt;",$B$5:B123,"Paused"),"")</f>
        <v/>
      </c>
      <c r="V123">
        <f>IF(P123="Yes",COUNTIF($P$5:P123,"Yes"),"")</f>
        <v/>
      </c>
      <c r="W123">
        <f>IF(A123="","",COUNTIF($A$5:$A$1004,"&lt;"&amp;A123)+COUNTIF($A$5:A123,A123))</f>
        <v/>
      </c>
      <c r="X123">
        <f>","&amp;SUBSTITUTE(SUBSTITUTE(SUBSTITUTE(UPPER(C123)," ",""),";",","),"/",",")&amp;","</f>
        <v/>
      </c>
      <c r="Y123">
        <f>IF(AND(A123&lt;&gt;"",B123="Active",'State Search'!$C$5&lt;&gt;"",OR(X123=",ALL,",ISNUMBER(SEARCH(","&amp;'State Search'!$C$5&amp;",",X123)))),W123,"")</f>
        <v/>
      </c>
    </row>
    <row r="124">
      <c r="A124" s="64" t="n"/>
      <c r="B124" s="65" t="n"/>
      <c r="C124" s="64" t="n"/>
      <c r="D124" s="66" t="n"/>
      <c r="E124" s="66" t="n"/>
      <c r="F124" s="67" t="n"/>
      <c r="G124" s="67" t="n"/>
      <c r="H124" s="67" t="n"/>
      <c r="I124" s="67" t="n"/>
      <c r="J124" s="67" t="n"/>
      <c r="K124" s="67" t="n"/>
      <c r="L124" s="67" t="n"/>
      <c r="M124" s="67" t="n"/>
      <c r="N124" s="65" t="n"/>
      <c r="O124" s="84">
        <f>IF(A124="","",IF(E124="","No date",IF(TODAY()&gt;=EDATE(E124,Review_Months),"Review Due","Current")))</f>
        <v/>
      </c>
      <c r="P124" s="84">
        <f>IF(A124="","",IF(COUNTIFS('AFA Rates'!$A$5:$A$1004,A124,'AFA Rates'!$O$5:$O$1004,"&lt;&gt;Expired")&gt;0,"Yes",IF(COUNTIF('AFA Rates'!$A$5:$A$1004,A124)&gt;0,"Expired only","No")))</f>
        <v/>
      </c>
      <c r="Q124" s="84">
        <f>IF(A124="","",COUNTIFS('AFA Rates'!$A$5:$A$1004,A124,'AFA Rates'!$O$5:$O$1004,"&lt;&gt;Expired"))</f>
        <v/>
      </c>
      <c r="R124" s="66" t="n"/>
      <c r="S124" s="64" t="n"/>
      <c r="T124" s="64" t="n"/>
      <c r="U124">
        <f>IF(AND(A124&lt;&gt;"",B124="Paused"),COUNTIFS($A$5:A124,"&lt;&gt;",$B$5:B124,"Paused"),"")</f>
        <v/>
      </c>
      <c r="V124">
        <f>IF(P124="Yes",COUNTIF($P$5:P124,"Yes"),"")</f>
        <v/>
      </c>
      <c r="W124">
        <f>IF(A124="","",COUNTIF($A$5:$A$1004,"&lt;"&amp;A124)+COUNTIF($A$5:A124,A124))</f>
        <v/>
      </c>
      <c r="X124">
        <f>","&amp;SUBSTITUTE(SUBSTITUTE(SUBSTITUTE(UPPER(C124)," ",""),";",","),"/",",")&amp;","</f>
        <v/>
      </c>
      <c r="Y124">
        <f>IF(AND(A124&lt;&gt;"",B124="Active",'State Search'!$C$5&lt;&gt;"",OR(X124=",ALL,",ISNUMBER(SEARCH(","&amp;'State Search'!$C$5&amp;",",X124)))),W124,"")</f>
        <v/>
      </c>
    </row>
    <row r="125">
      <c r="A125" s="64" t="n"/>
      <c r="B125" s="65" t="n"/>
      <c r="C125" s="64" t="n"/>
      <c r="D125" s="66" t="n"/>
      <c r="E125" s="66" t="n"/>
      <c r="F125" s="67" t="n"/>
      <c r="G125" s="67" t="n"/>
      <c r="H125" s="67" t="n"/>
      <c r="I125" s="67" t="n"/>
      <c r="J125" s="67" t="n"/>
      <c r="K125" s="67" t="n"/>
      <c r="L125" s="67" t="n"/>
      <c r="M125" s="67" t="n"/>
      <c r="N125" s="65" t="n"/>
      <c r="O125" s="84">
        <f>IF(A125="","",IF(E125="","No date",IF(TODAY()&gt;=EDATE(E125,Review_Months),"Review Due","Current")))</f>
        <v/>
      </c>
      <c r="P125" s="84">
        <f>IF(A125="","",IF(COUNTIFS('AFA Rates'!$A$5:$A$1004,A125,'AFA Rates'!$O$5:$O$1004,"&lt;&gt;Expired")&gt;0,"Yes",IF(COUNTIF('AFA Rates'!$A$5:$A$1004,A125)&gt;0,"Expired only","No")))</f>
        <v/>
      </c>
      <c r="Q125" s="84">
        <f>IF(A125="","",COUNTIFS('AFA Rates'!$A$5:$A$1004,A125,'AFA Rates'!$O$5:$O$1004,"&lt;&gt;Expired"))</f>
        <v/>
      </c>
      <c r="R125" s="66" t="n"/>
      <c r="S125" s="64" t="n"/>
      <c r="T125" s="64" t="n"/>
      <c r="U125">
        <f>IF(AND(A125&lt;&gt;"",B125="Paused"),COUNTIFS($A$5:A125,"&lt;&gt;",$B$5:B125,"Paused"),"")</f>
        <v/>
      </c>
      <c r="V125">
        <f>IF(P125="Yes",COUNTIF($P$5:P125,"Yes"),"")</f>
        <v/>
      </c>
      <c r="W125">
        <f>IF(A125="","",COUNTIF($A$5:$A$1004,"&lt;"&amp;A125)+COUNTIF($A$5:A125,A125))</f>
        <v/>
      </c>
      <c r="X125">
        <f>","&amp;SUBSTITUTE(SUBSTITUTE(SUBSTITUTE(UPPER(C125)," ",""),";",","),"/",",")&amp;","</f>
        <v/>
      </c>
      <c r="Y125">
        <f>IF(AND(A125&lt;&gt;"",B125="Active",'State Search'!$C$5&lt;&gt;"",OR(X125=",ALL,",ISNUMBER(SEARCH(","&amp;'State Search'!$C$5&amp;",",X125)))),W125,"")</f>
        <v/>
      </c>
    </row>
    <row r="126">
      <c r="A126" s="64" t="n"/>
      <c r="B126" s="65" t="n"/>
      <c r="C126" s="64" t="n"/>
      <c r="D126" s="66" t="n"/>
      <c r="E126" s="66" t="n"/>
      <c r="F126" s="67" t="n"/>
      <c r="G126" s="67" t="n"/>
      <c r="H126" s="67" t="n"/>
      <c r="I126" s="67" t="n"/>
      <c r="J126" s="67" t="n"/>
      <c r="K126" s="67" t="n"/>
      <c r="L126" s="67" t="n"/>
      <c r="M126" s="67" t="n"/>
      <c r="N126" s="65" t="n"/>
      <c r="O126" s="84">
        <f>IF(A126="","",IF(E126="","No date",IF(TODAY()&gt;=EDATE(E126,Review_Months),"Review Due","Current")))</f>
        <v/>
      </c>
      <c r="P126" s="84">
        <f>IF(A126="","",IF(COUNTIFS('AFA Rates'!$A$5:$A$1004,A126,'AFA Rates'!$O$5:$O$1004,"&lt;&gt;Expired")&gt;0,"Yes",IF(COUNTIF('AFA Rates'!$A$5:$A$1004,A126)&gt;0,"Expired only","No")))</f>
        <v/>
      </c>
      <c r="Q126" s="84">
        <f>IF(A126="","",COUNTIFS('AFA Rates'!$A$5:$A$1004,A126,'AFA Rates'!$O$5:$O$1004,"&lt;&gt;Expired"))</f>
        <v/>
      </c>
      <c r="R126" s="66" t="n"/>
      <c r="S126" s="64" t="n"/>
      <c r="T126" s="64" t="n"/>
      <c r="U126">
        <f>IF(AND(A126&lt;&gt;"",B126="Paused"),COUNTIFS($A$5:A126,"&lt;&gt;",$B$5:B126,"Paused"),"")</f>
        <v/>
      </c>
      <c r="V126">
        <f>IF(P126="Yes",COUNTIF($P$5:P126,"Yes"),"")</f>
        <v/>
      </c>
      <c r="W126">
        <f>IF(A126="","",COUNTIF($A$5:$A$1004,"&lt;"&amp;A126)+COUNTIF($A$5:A126,A126))</f>
        <v/>
      </c>
      <c r="X126">
        <f>","&amp;SUBSTITUTE(SUBSTITUTE(SUBSTITUTE(UPPER(C126)," ",""),";",","),"/",",")&amp;","</f>
        <v/>
      </c>
      <c r="Y126">
        <f>IF(AND(A126&lt;&gt;"",B126="Active",'State Search'!$C$5&lt;&gt;"",OR(X126=",ALL,",ISNUMBER(SEARCH(","&amp;'State Search'!$C$5&amp;",",X126)))),W126,"")</f>
        <v/>
      </c>
    </row>
    <row r="127">
      <c r="A127" s="64" t="n"/>
      <c r="B127" s="65" t="n"/>
      <c r="C127" s="64" t="n"/>
      <c r="D127" s="66" t="n"/>
      <c r="E127" s="66" t="n"/>
      <c r="F127" s="67" t="n"/>
      <c r="G127" s="67" t="n"/>
      <c r="H127" s="67" t="n"/>
      <c r="I127" s="67" t="n"/>
      <c r="J127" s="67" t="n"/>
      <c r="K127" s="67" t="n"/>
      <c r="L127" s="67" t="n"/>
      <c r="M127" s="67" t="n"/>
      <c r="N127" s="65" t="n"/>
      <c r="O127" s="84">
        <f>IF(A127="","",IF(E127="","No date",IF(TODAY()&gt;=EDATE(E127,Review_Months),"Review Due","Current")))</f>
        <v/>
      </c>
      <c r="P127" s="84">
        <f>IF(A127="","",IF(COUNTIFS('AFA Rates'!$A$5:$A$1004,A127,'AFA Rates'!$O$5:$O$1004,"&lt;&gt;Expired")&gt;0,"Yes",IF(COUNTIF('AFA Rates'!$A$5:$A$1004,A127)&gt;0,"Expired only","No")))</f>
        <v/>
      </c>
      <c r="Q127" s="84">
        <f>IF(A127="","",COUNTIFS('AFA Rates'!$A$5:$A$1004,A127,'AFA Rates'!$O$5:$O$1004,"&lt;&gt;Expired"))</f>
        <v/>
      </c>
      <c r="R127" s="66" t="n"/>
      <c r="S127" s="64" t="n"/>
      <c r="T127" s="64" t="n"/>
      <c r="U127">
        <f>IF(AND(A127&lt;&gt;"",B127="Paused"),COUNTIFS($A$5:A127,"&lt;&gt;",$B$5:B127,"Paused"),"")</f>
        <v/>
      </c>
      <c r="V127">
        <f>IF(P127="Yes",COUNTIF($P$5:P127,"Yes"),"")</f>
        <v/>
      </c>
      <c r="W127">
        <f>IF(A127="","",COUNTIF($A$5:$A$1004,"&lt;"&amp;A127)+COUNTIF($A$5:A127,A127))</f>
        <v/>
      </c>
      <c r="X127">
        <f>","&amp;SUBSTITUTE(SUBSTITUTE(SUBSTITUTE(UPPER(C127)," ",""),";",","),"/",",")&amp;","</f>
        <v/>
      </c>
      <c r="Y127">
        <f>IF(AND(A127&lt;&gt;"",B127="Active",'State Search'!$C$5&lt;&gt;"",OR(X127=",ALL,",ISNUMBER(SEARCH(","&amp;'State Search'!$C$5&amp;",",X127)))),W127,"")</f>
        <v/>
      </c>
    </row>
    <row r="128">
      <c r="A128" s="64" t="n"/>
      <c r="B128" s="65" t="n"/>
      <c r="C128" s="64" t="n"/>
      <c r="D128" s="66" t="n"/>
      <c r="E128" s="66" t="n"/>
      <c r="F128" s="67" t="n"/>
      <c r="G128" s="67" t="n"/>
      <c r="H128" s="67" t="n"/>
      <c r="I128" s="67" t="n"/>
      <c r="J128" s="67" t="n"/>
      <c r="K128" s="67" t="n"/>
      <c r="L128" s="67" t="n"/>
      <c r="M128" s="67" t="n"/>
      <c r="N128" s="65" t="n"/>
      <c r="O128" s="84">
        <f>IF(A128="","",IF(E128="","No date",IF(TODAY()&gt;=EDATE(E128,Review_Months),"Review Due","Current")))</f>
        <v/>
      </c>
      <c r="P128" s="84">
        <f>IF(A128="","",IF(COUNTIFS('AFA Rates'!$A$5:$A$1004,A128,'AFA Rates'!$O$5:$O$1004,"&lt;&gt;Expired")&gt;0,"Yes",IF(COUNTIF('AFA Rates'!$A$5:$A$1004,A128)&gt;0,"Expired only","No")))</f>
        <v/>
      </c>
      <c r="Q128" s="84">
        <f>IF(A128="","",COUNTIFS('AFA Rates'!$A$5:$A$1004,A128,'AFA Rates'!$O$5:$O$1004,"&lt;&gt;Expired"))</f>
        <v/>
      </c>
      <c r="R128" s="66" t="n"/>
      <c r="S128" s="64" t="n"/>
      <c r="T128" s="64" t="n"/>
      <c r="U128">
        <f>IF(AND(A128&lt;&gt;"",B128="Paused"),COUNTIFS($A$5:A128,"&lt;&gt;",$B$5:B128,"Paused"),"")</f>
        <v/>
      </c>
      <c r="V128">
        <f>IF(P128="Yes",COUNTIF($P$5:P128,"Yes"),"")</f>
        <v/>
      </c>
      <c r="W128">
        <f>IF(A128="","",COUNTIF($A$5:$A$1004,"&lt;"&amp;A128)+COUNTIF($A$5:A128,A128))</f>
        <v/>
      </c>
      <c r="X128">
        <f>","&amp;SUBSTITUTE(SUBSTITUTE(SUBSTITUTE(UPPER(C128)," ",""),";",","),"/",",")&amp;","</f>
        <v/>
      </c>
      <c r="Y128">
        <f>IF(AND(A128&lt;&gt;"",B128="Active",'State Search'!$C$5&lt;&gt;"",OR(X128=",ALL,",ISNUMBER(SEARCH(","&amp;'State Search'!$C$5&amp;",",X128)))),W128,"")</f>
        <v/>
      </c>
    </row>
    <row r="129">
      <c r="A129" s="64" t="n"/>
      <c r="B129" s="65" t="n"/>
      <c r="C129" s="64" t="n"/>
      <c r="D129" s="66" t="n"/>
      <c r="E129" s="66" t="n"/>
      <c r="F129" s="67" t="n"/>
      <c r="G129" s="67" t="n"/>
      <c r="H129" s="67" t="n"/>
      <c r="I129" s="67" t="n"/>
      <c r="J129" s="67" t="n"/>
      <c r="K129" s="67" t="n"/>
      <c r="L129" s="67" t="n"/>
      <c r="M129" s="67" t="n"/>
      <c r="N129" s="65" t="n"/>
      <c r="O129" s="84">
        <f>IF(A129="","",IF(E129="","No date",IF(TODAY()&gt;=EDATE(E129,Review_Months),"Review Due","Current")))</f>
        <v/>
      </c>
      <c r="P129" s="84">
        <f>IF(A129="","",IF(COUNTIFS('AFA Rates'!$A$5:$A$1004,A129,'AFA Rates'!$O$5:$O$1004,"&lt;&gt;Expired")&gt;0,"Yes",IF(COUNTIF('AFA Rates'!$A$5:$A$1004,A129)&gt;0,"Expired only","No")))</f>
        <v/>
      </c>
      <c r="Q129" s="84">
        <f>IF(A129="","",COUNTIFS('AFA Rates'!$A$5:$A$1004,A129,'AFA Rates'!$O$5:$O$1004,"&lt;&gt;Expired"))</f>
        <v/>
      </c>
      <c r="R129" s="66" t="n"/>
      <c r="S129" s="64" t="n"/>
      <c r="T129" s="64" t="n"/>
      <c r="U129">
        <f>IF(AND(A129&lt;&gt;"",B129="Paused"),COUNTIFS($A$5:A129,"&lt;&gt;",$B$5:B129,"Paused"),"")</f>
        <v/>
      </c>
      <c r="V129">
        <f>IF(P129="Yes",COUNTIF($P$5:P129,"Yes"),"")</f>
        <v/>
      </c>
      <c r="W129">
        <f>IF(A129="","",COUNTIF($A$5:$A$1004,"&lt;"&amp;A129)+COUNTIF($A$5:A129,A129))</f>
        <v/>
      </c>
      <c r="X129">
        <f>","&amp;SUBSTITUTE(SUBSTITUTE(SUBSTITUTE(UPPER(C129)," ",""),";",","),"/",",")&amp;","</f>
        <v/>
      </c>
      <c r="Y129">
        <f>IF(AND(A129&lt;&gt;"",B129="Active",'State Search'!$C$5&lt;&gt;"",OR(X129=",ALL,",ISNUMBER(SEARCH(","&amp;'State Search'!$C$5&amp;",",X129)))),W129,"")</f>
        <v/>
      </c>
    </row>
    <row r="130">
      <c r="A130" s="64" t="n"/>
      <c r="B130" s="65" t="n"/>
      <c r="C130" s="64" t="n"/>
      <c r="D130" s="66" t="n"/>
      <c r="E130" s="66" t="n"/>
      <c r="F130" s="67" t="n"/>
      <c r="G130" s="67" t="n"/>
      <c r="H130" s="67" t="n"/>
      <c r="I130" s="67" t="n"/>
      <c r="J130" s="67" t="n"/>
      <c r="K130" s="67" t="n"/>
      <c r="L130" s="67" t="n"/>
      <c r="M130" s="67" t="n"/>
      <c r="N130" s="65" t="n"/>
      <c r="O130" s="84">
        <f>IF(A130="","",IF(E130="","No date",IF(TODAY()&gt;=EDATE(E130,Review_Months),"Review Due","Current")))</f>
        <v/>
      </c>
      <c r="P130" s="84">
        <f>IF(A130="","",IF(COUNTIFS('AFA Rates'!$A$5:$A$1004,A130,'AFA Rates'!$O$5:$O$1004,"&lt;&gt;Expired")&gt;0,"Yes",IF(COUNTIF('AFA Rates'!$A$5:$A$1004,A130)&gt;0,"Expired only","No")))</f>
        <v/>
      </c>
      <c r="Q130" s="84">
        <f>IF(A130="","",COUNTIFS('AFA Rates'!$A$5:$A$1004,A130,'AFA Rates'!$O$5:$O$1004,"&lt;&gt;Expired"))</f>
        <v/>
      </c>
      <c r="R130" s="66" t="n"/>
      <c r="S130" s="64" t="n"/>
      <c r="T130" s="64" t="n"/>
      <c r="U130">
        <f>IF(AND(A130&lt;&gt;"",B130="Paused"),COUNTIFS($A$5:A130,"&lt;&gt;",$B$5:B130,"Paused"),"")</f>
        <v/>
      </c>
      <c r="V130">
        <f>IF(P130="Yes",COUNTIF($P$5:P130,"Yes"),"")</f>
        <v/>
      </c>
      <c r="W130">
        <f>IF(A130="","",COUNTIF($A$5:$A$1004,"&lt;"&amp;A130)+COUNTIF($A$5:A130,A130))</f>
        <v/>
      </c>
      <c r="X130">
        <f>","&amp;SUBSTITUTE(SUBSTITUTE(SUBSTITUTE(UPPER(C130)," ",""),";",","),"/",",")&amp;","</f>
        <v/>
      </c>
      <c r="Y130">
        <f>IF(AND(A130&lt;&gt;"",B130="Active",'State Search'!$C$5&lt;&gt;"",OR(X130=",ALL,",ISNUMBER(SEARCH(","&amp;'State Search'!$C$5&amp;",",X130)))),W130,"")</f>
        <v/>
      </c>
    </row>
    <row r="131">
      <c r="A131" s="64" t="n"/>
      <c r="B131" s="65" t="n"/>
      <c r="C131" s="64" t="n"/>
      <c r="D131" s="66" t="n"/>
      <c r="E131" s="66" t="n"/>
      <c r="F131" s="67" t="n"/>
      <c r="G131" s="67" t="n"/>
      <c r="H131" s="67" t="n"/>
      <c r="I131" s="67" t="n"/>
      <c r="J131" s="67" t="n"/>
      <c r="K131" s="67" t="n"/>
      <c r="L131" s="67" t="n"/>
      <c r="M131" s="67" t="n"/>
      <c r="N131" s="65" t="n"/>
      <c r="O131" s="84">
        <f>IF(A131="","",IF(E131="","No date",IF(TODAY()&gt;=EDATE(E131,Review_Months),"Review Due","Current")))</f>
        <v/>
      </c>
      <c r="P131" s="84">
        <f>IF(A131="","",IF(COUNTIFS('AFA Rates'!$A$5:$A$1004,A131,'AFA Rates'!$O$5:$O$1004,"&lt;&gt;Expired")&gt;0,"Yes",IF(COUNTIF('AFA Rates'!$A$5:$A$1004,A131)&gt;0,"Expired only","No")))</f>
        <v/>
      </c>
      <c r="Q131" s="84">
        <f>IF(A131="","",COUNTIFS('AFA Rates'!$A$5:$A$1004,A131,'AFA Rates'!$O$5:$O$1004,"&lt;&gt;Expired"))</f>
        <v/>
      </c>
      <c r="R131" s="66" t="n"/>
      <c r="S131" s="64" t="n"/>
      <c r="T131" s="64" t="n"/>
      <c r="U131">
        <f>IF(AND(A131&lt;&gt;"",B131="Paused"),COUNTIFS($A$5:A131,"&lt;&gt;",$B$5:B131,"Paused"),"")</f>
        <v/>
      </c>
      <c r="V131">
        <f>IF(P131="Yes",COUNTIF($P$5:P131,"Yes"),"")</f>
        <v/>
      </c>
      <c r="W131">
        <f>IF(A131="","",COUNTIF($A$5:$A$1004,"&lt;"&amp;A131)+COUNTIF($A$5:A131,A131))</f>
        <v/>
      </c>
      <c r="X131">
        <f>","&amp;SUBSTITUTE(SUBSTITUTE(SUBSTITUTE(UPPER(C131)," ",""),";",","),"/",",")&amp;","</f>
        <v/>
      </c>
      <c r="Y131">
        <f>IF(AND(A131&lt;&gt;"",B131="Active",'State Search'!$C$5&lt;&gt;"",OR(X131=",ALL,",ISNUMBER(SEARCH(","&amp;'State Search'!$C$5&amp;",",X131)))),W131,"")</f>
        <v/>
      </c>
    </row>
    <row r="132">
      <c r="A132" s="64" t="n"/>
      <c r="B132" s="65" t="n"/>
      <c r="C132" s="64" t="n"/>
      <c r="D132" s="66" t="n"/>
      <c r="E132" s="66" t="n"/>
      <c r="F132" s="67" t="n"/>
      <c r="G132" s="67" t="n"/>
      <c r="H132" s="67" t="n"/>
      <c r="I132" s="67" t="n"/>
      <c r="J132" s="67" t="n"/>
      <c r="K132" s="67" t="n"/>
      <c r="L132" s="67" t="n"/>
      <c r="M132" s="67" t="n"/>
      <c r="N132" s="65" t="n"/>
      <c r="O132" s="84">
        <f>IF(A132="","",IF(E132="","No date",IF(TODAY()&gt;=EDATE(E132,Review_Months),"Review Due","Current")))</f>
        <v/>
      </c>
      <c r="P132" s="84">
        <f>IF(A132="","",IF(COUNTIFS('AFA Rates'!$A$5:$A$1004,A132,'AFA Rates'!$O$5:$O$1004,"&lt;&gt;Expired")&gt;0,"Yes",IF(COUNTIF('AFA Rates'!$A$5:$A$1004,A132)&gt;0,"Expired only","No")))</f>
        <v/>
      </c>
      <c r="Q132" s="84">
        <f>IF(A132="","",COUNTIFS('AFA Rates'!$A$5:$A$1004,A132,'AFA Rates'!$O$5:$O$1004,"&lt;&gt;Expired"))</f>
        <v/>
      </c>
      <c r="R132" s="66" t="n"/>
      <c r="S132" s="64" t="n"/>
      <c r="T132" s="64" t="n"/>
      <c r="U132">
        <f>IF(AND(A132&lt;&gt;"",B132="Paused"),COUNTIFS($A$5:A132,"&lt;&gt;",$B$5:B132,"Paused"),"")</f>
        <v/>
      </c>
      <c r="V132">
        <f>IF(P132="Yes",COUNTIF($P$5:P132,"Yes"),"")</f>
        <v/>
      </c>
      <c r="W132">
        <f>IF(A132="","",COUNTIF($A$5:$A$1004,"&lt;"&amp;A132)+COUNTIF($A$5:A132,A132))</f>
        <v/>
      </c>
      <c r="X132">
        <f>","&amp;SUBSTITUTE(SUBSTITUTE(SUBSTITUTE(UPPER(C132)," ",""),";",","),"/",",")&amp;","</f>
        <v/>
      </c>
      <c r="Y132">
        <f>IF(AND(A132&lt;&gt;"",B132="Active",'State Search'!$C$5&lt;&gt;"",OR(X132=",ALL,",ISNUMBER(SEARCH(","&amp;'State Search'!$C$5&amp;",",X132)))),W132,"")</f>
        <v/>
      </c>
    </row>
    <row r="133">
      <c r="A133" s="64" t="n"/>
      <c r="B133" s="65" t="n"/>
      <c r="C133" s="64" t="n"/>
      <c r="D133" s="66" t="n"/>
      <c r="E133" s="66" t="n"/>
      <c r="F133" s="67" t="n"/>
      <c r="G133" s="67" t="n"/>
      <c r="H133" s="67" t="n"/>
      <c r="I133" s="67" t="n"/>
      <c r="J133" s="67" t="n"/>
      <c r="K133" s="67" t="n"/>
      <c r="L133" s="67" t="n"/>
      <c r="M133" s="67" t="n"/>
      <c r="N133" s="65" t="n"/>
      <c r="O133" s="84">
        <f>IF(A133="","",IF(E133="","No date",IF(TODAY()&gt;=EDATE(E133,Review_Months),"Review Due","Current")))</f>
        <v/>
      </c>
      <c r="P133" s="84">
        <f>IF(A133="","",IF(COUNTIFS('AFA Rates'!$A$5:$A$1004,A133,'AFA Rates'!$O$5:$O$1004,"&lt;&gt;Expired")&gt;0,"Yes",IF(COUNTIF('AFA Rates'!$A$5:$A$1004,A133)&gt;0,"Expired only","No")))</f>
        <v/>
      </c>
      <c r="Q133" s="84">
        <f>IF(A133="","",COUNTIFS('AFA Rates'!$A$5:$A$1004,A133,'AFA Rates'!$O$5:$O$1004,"&lt;&gt;Expired"))</f>
        <v/>
      </c>
      <c r="R133" s="66" t="n"/>
      <c r="S133" s="64" t="n"/>
      <c r="T133" s="64" t="n"/>
      <c r="U133">
        <f>IF(AND(A133&lt;&gt;"",B133="Paused"),COUNTIFS($A$5:A133,"&lt;&gt;",$B$5:B133,"Paused"),"")</f>
        <v/>
      </c>
      <c r="V133">
        <f>IF(P133="Yes",COUNTIF($P$5:P133,"Yes"),"")</f>
        <v/>
      </c>
      <c r="W133">
        <f>IF(A133="","",COUNTIF($A$5:$A$1004,"&lt;"&amp;A133)+COUNTIF($A$5:A133,A133))</f>
        <v/>
      </c>
      <c r="X133">
        <f>","&amp;SUBSTITUTE(SUBSTITUTE(SUBSTITUTE(UPPER(C133)," ",""),";",","),"/",",")&amp;","</f>
        <v/>
      </c>
      <c r="Y133">
        <f>IF(AND(A133&lt;&gt;"",B133="Active",'State Search'!$C$5&lt;&gt;"",OR(X133=",ALL,",ISNUMBER(SEARCH(","&amp;'State Search'!$C$5&amp;",",X133)))),W133,"")</f>
        <v/>
      </c>
    </row>
    <row r="134">
      <c r="A134" s="64" t="n"/>
      <c r="B134" s="65" t="n"/>
      <c r="C134" s="64" t="n"/>
      <c r="D134" s="66" t="n"/>
      <c r="E134" s="66" t="n"/>
      <c r="F134" s="67" t="n"/>
      <c r="G134" s="67" t="n"/>
      <c r="H134" s="67" t="n"/>
      <c r="I134" s="67" t="n"/>
      <c r="J134" s="67" t="n"/>
      <c r="K134" s="67" t="n"/>
      <c r="L134" s="67" t="n"/>
      <c r="M134" s="67" t="n"/>
      <c r="N134" s="65" t="n"/>
      <c r="O134" s="84">
        <f>IF(A134="","",IF(E134="","No date",IF(TODAY()&gt;=EDATE(E134,Review_Months),"Review Due","Current")))</f>
        <v/>
      </c>
      <c r="P134" s="84">
        <f>IF(A134="","",IF(COUNTIFS('AFA Rates'!$A$5:$A$1004,A134,'AFA Rates'!$O$5:$O$1004,"&lt;&gt;Expired")&gt;0,"Yes",IF(COUNTIF('AFA Rates'!$A$5:$A$1004,A134)&gt;0,"Expired only","No")))</f>
        <v/>
      </c>
      <c r="Q134" s="84">
        <f>IF(A134="","",COUNTIFS('AFA Rates'!$A$5:$A$1004,A134,'AFA Rates'!$O$5:$O$1004,"&lt;&gt;Expired"))</f>
        <v/>
      </c>
      <c r="R134" s="66" t="n"/>
      <c r="S134" s="64" t="n"/>
      <c r="T134" s="64" t="n"/>
      <c r="U134">
        <f>IF(AND(A134&lt;&gt;"",B134="Paused"),COUNTIFS($A$5:A134,"&lt;&gt;",$B$5:B134,"Paused"),"")</f>
        <v/>
      </c>
      <c r="V134">
        <f>IF(P134="Yes",COUNTIF($P$5:P134,"Yes"),"")</f>
        <v/>
      </c>
      <c r="W134">
        <f>IF(A134="","",COUNTIF($A$5:$A$1004,"&lt;"&amp;A134)+COUNTIF($A$5:A134,A134))</f>
        <v/>
      </c>
      <c r="X134">
        <f>","&amp;SUBSTITUTE(SUBSTITUTE(SUBSTITUTE(UPPER(C134)," ",""),";",","),"/",",")&amp;","</f>
        <v/>
      </c>
      <c r="Y134">
        <f>IF(AND(A134&lt;&gt;"",B134="Active",'State Search'!$C$5&lt;&gt;"",OR(X134=",ALL,",ISNUMBER(SEARCH(","&amp;'State Search'!$C$5&amp;",",X134)))),W134,"")</f>
        <v/>
      </c>
    </row>
    <row r="135">
      <c r="A135" s="64" t="n"/>
      <c r="B135" s="65" t="n"/>
      <c r="C135" s="64" t="n"/>
      <c r="D135" s="66" t="n"/>
      <c r="E135" s="66" t="n"/>
      <c r="F135" s="67" t="n"/>
      <c r="G135" s="67" t="n"/>
      <c r="H135" s="67" t="n"/>
      <c r="I135" s="67" t="n"/>
      <c r="J135" s="67" t="n"/>
      <c r="K135" s="67" t="n"/>
      <c r="L135" s="67" t="n"/>
      <c r="M135" s="67" t="n"/>
      <c r="N135" s="65" t="n"/>
      <c r="O135" s="84">
        <f>IF(A135="","",IF(E135="","No date",IF(TODAY()&gt;=EDATE(E135,Review_Months),"Review Due","Current")))</f>
        <v/>
      </c>
      <c r="P135" s="84">
        <f>IF(A135="","",IF(COUNTIFS('AFA Rates'!$A$5:$A$1004,A135,'AFA Rates'!$O$5:$O$1004,"&lt;&gt;Expired")&gt;0,"Yes",IF(COUNTIF('AFA Rates'!$A$5:$A$1004,A135)&gt;0,"Expired only","No")))</f>
        <v/>
      </c>
      <c r="Q135" s="84">
        <f>IF(A135="","",COUNTIFS('AFA Rates'!$A$5:$A$1004,A135,'AFA Rates'!$O$5:$O$1004,"&lt;&gt;Expired"))</f>
        <v/>
      </c>
      <c r="R135" s="66" t="n"/>
      <c r="S135" s="64" t="n"/>
      <c r="T135" s="64" t="n"/>
      <c r="U135">
        <f>IF(AND(A135&lt;&gt;"",B135="Paused"),COUNTIFS($A$5:A135,"&lt;&gt;",$B$5:B135,"Paused"),"")</f>
        <v/>
      </c>
      <c r="V135">
        <f>IF(P135="Yes",COUNTIF($P$5:P135,"Yes"),"")</f>
        <v/>
      </c>
      <c r="W135">
        <f>IF(A135="","",COUNTIF($A$5:$A$1004,"&lt;"&amp;A135)+COUNTIF($A$5:A135,A135))</f>
        <v/>
      </c>
      <c r="X135">
        <f>","&amp;SUBSTITUTE(SUBSTITUTE(SUBSTITUTE(UPPER(C135)," ",""),";",","),"/",",")&amp;","</f>
        <v/>
      </c>
      <c r="Y135">
        <f>IF(AND(A135&lt;&gt;"",B135="Active",'State Search'!$C$5&lt;&gt;"",OR(X135=",ALL,",ISNUMBER(SEARCH(","&amp;'State Search'!$C$5&amp;",",X135)))),W135,"")</f>
        <v/>
      </c>
    </row>
    <row r="136">
      <c r="A136" s="64" t="n"/>
      <c r="B136" s="65" t="n"/>
      <c r="C136" s="64" t="n"/>
      <c r="D136" s="66" t="n"/>
      <c r="E136" s="66" t="n"/>
      <c r="F136" s="67" t="n"/>
      <c r="G136" s="67" t="n"/>
      <c r="H136" s="67" t="n"/>
      <c r="I136" s="67" t="n"/>
      <c r="J136" s="67" t="n"/>
      <c r="K136" s="67" t="n"/>
      <c r="L136" s="67" t="n"/>
      <c r="M136" s="67" t="n"/>
      <c r="N136" s="65" t="n"/>
      <c r="O136" s="84">
        <f>IF(A136="","",IF(E136="","No date",IF(TODAY()&gt;=EDATE(E136,Review_Months),"Review Due","Current")))</f>
        <v/>
      </c>
      <c r="P136" s="84">
        <f>IF(A136="","",IF(COUNTIFS('AFA Rates'!$A$5:$A$1004,A136,'AFA Rates'!$O$5:$O$1004,"&lt;&gt;Expired")&gt;0,"Yes",IF(COUNTIF('AFA Rates'!$A$5:$A$1004,A136)&gt;0,"Expired only","No")))</f>
        <v/>
      </c>
      <c r="Q136" s="84">
        <f>IF(A136="","",COUNTIFS('AFA Rates'!$A$5:$A$1004,A136,'AFA Rates'!$O$5:$O$1004,"&lt;&gt;Expired"))</f>
        <v/>
      </c>
      <c r="R136" s="66" t="n"/>
      <c r="S136" s="64" t="n"/>
      <c r="T136" s="64" t="n"/>
      <c r="U136">
        <f>IF(AND(A136&lt;&gt;"",B136="Paused"),COUNTIFS($A$5:A136,"&lt;&gt;",$B$5:B136,"Paused"),"")</f>
        <v/>
      </c>
      <c r="V136">
        <f>IF(P136="Yes",COUNTIF($P$5:P136,"Yes"),"")</f>
        <v/>
      </c>
      <c r="W136">
        <f>IF(A136="","",COUNTIF($A$5:$A$1004,"&lt;"&amp;A136)+COUNTIF($A$5:A136,A136))</f>
        <v/>
      </c>
      <c r="X136">
        <f>","&amp;SUBSTITUTE(SUBSTITUTE(SUBSTITUTE(UPPER(C136)," ",""),";",","),"/",",")&amp;","</f>
        <v/>
      </c>
      <c r="Y136">
        <f>IF(AND(A136&lt;&gt;"",B136="Active",'State Search'!$C$5&lt;&gt;"",OR(X136=",ALL,",ISNUMBER(SEARCH(","&amp;'State Search'!$C$5&amp;",",X136)))),W136,"")</f>
        <v/>
      </c>
    </row>
    <row r="137">
      <c r="A137" s="64" t="n"/>
      <c r="B137" s="65" t="n"/>
      <c r="C137" s="64" t="n"/>
      <c r="D137" s="66" t="n"/>
      <c r="E137" s="66" t="n"/>
      <c r="F137" s="67" t="n"/>
      <c r="G137" s="67" t="n"/>
      <c r="H137" s="67" t="n"/>
      <c r="I137" s="67" t="n"/>
      <c r="J137" s="67" t="n"/>
      <c r="K137" s="67" t="n"/>
      <c r="L137" s="67" t="n"/>
      <c r="M137" s="67" t="n"/>
      <c r="N137" s="65" t="n"/>
      <c r="O137" s="84">
        <f>IF(A137="","",IF(E137="","No date",IF(TODAY()&gt;=EDATE(E137,Review_Months),"Review Due","Current")))</f>
        <v/>
      </c>
      <c r="P137" s="84">
        <f>IF(A137="","",IF(COUNTIFS('AFA Rates'!$A$5:$A$1004,A137,'AFA Rates'!$O$5:$O$1004,"&lt;&gt;Expired")&gt;0,"Yes",IF(COUNTIF('AFA Rates'!$A$5:$A$1004,A137)&gt;0,"Expired only","No")))</f>
        <v/>
      </c>
      <c r="Q137" s="84">
        <f>IF(A137="","",COUNTIFS('AFA Rates'!$A$5:$A$1004,A137,'AFA Rates'!$O$5:$O$1004,"&lt;&gt;Expired"))</f>
        <v/>
      </c>
      <c r="R137" s="66" t="n"/>
      <c r="S137" s="64" t="n"/>
      <c r="T137" s="64" t="n"/>
      <c r="U137">
        <f>IF(AND(A137&lt;&gt;"",B137="Paused"),COUNTIFS($A$5:A137,"&lt;&gt;",$B$5:B137,"Paused"),"")</f>
        <v/>
      </c>
      <c r="V137">
        <f>IF(P137="Yes",COUNTIF($P$5:P137,"Yes"),"")</f>
        <v/>
      </c>
      <c r="W137">
        <f>IF(A137="","",COUNTIF($A$5:$A$1004,"&lt;"&amp;A137)+COUNTIF($A$5:A137,A137))</f>
        <v/>
      </c>
      <c r="X137">
        <f>","&amp;SUBSTITUTE(SUBSTITUTE(SUBSTITUTE(UPPER(C137)," ",""),";",","),"/",",")&amp;","</f>
        <v/>
      </c>
      <c r="Y137">
        <f>IF(AND(A137&lt;&gt;"",B137="Active",'State Search'!$C$5&lt;&gt;"",OR(X137=",ALL,",ISNUMBER(SEARCH(","&amp;'State Search'!$C$5&amp;",",X137)))),W137,"")</f>
        <v/>
      </c>
    </row>
    <row r="138">
      <c r="A138" s="64" t="n"/>
      <c r="B138" s="65" t="n"/>
      <c r="C138" s="64" t="n"/>
      <c r="D138" s="66" t="n"/>
      <c r="E138" s="66" t="n"/>
      <c r="F138" s="67" t="n"/>
      <c r="G138" s="67" t="n"/>
      <c r="H138" s="67" t="n"/>
      <c r="I138" s="67" t="n"/>
      <c r="J138" s="67" t="n"/>
      <c r="K138" s="67" t="n"/>
      <c r="L138" s="67" t="n"/>
      <c r="M138" s="67" t="n"/>
      <c r="N138" s="65" t="n"/>
      <c r="O138" s="84">
        <f>IF(A138="","",IF(E138="","No date",IF(TODAY()&gt;=EDATE(E138,Review_Months),"Review Due","Current")))</f>
        <v/>
      </c>
      <c r="P138" s="84">
        <f>IF(A138="","",IF(COUNTIFS('AFA Rates'!$A$5:$A$1004,A138,'AFA Rates'!$O$5:$O$1004,"&lt;&gt;Expired")&gt;0,"Yes",IF(COUNTIF('AFA Rates'!$A$5:$A$1004,A138)&gt;0,"Expired only","No")))</f>
        <v/>
      </c>
      <c r="Q138" s="84">
        <f>IF(A138="","",COUNTIFS('AFA Rates'!$A$5:$A$1004,A138,'AFA Rates'!$O$5:$O$1004,"&lt;&gt;Expired"))</f>
        <v/>
      </c>
      <c r="R138" s="66" t="n"/>
      <c r="S138" s="64" t="n"/>
      <c r="T138" s="64" t="n"/>
      <c r="U138">
        <f>IF(AND(A138&lt;&gt;"",B138="Paused"),COUNTIFS($A$5:A138,"&lt;&gt;",$B$5:B138,"Paused"),"")</f>
        <v/>
      </c>
      <c r="V138">
        <f>IF(P138="Yes",COUNTIF($P$5:P138,"Yes"),"")</f>
        <v/>
      </c>
      <c r="W138">
        <f>IF(A138="","",COUNTIF($A$5:$A$1004,"&lt;"&amp;A138)+COUNTIF($A$5:A138,A138))</f>
        <v/>
      </c>
      <c r="X138">
        <f>","&amp;SUBSTITUTE(SUBSTITUTE(SUBSTITUTE(UPPER(C138)," ",""),";",","),"/",",")&amp;","</f>
        <v/>
      </c>
      <c r="Y138">
        <f>IF(AND(A138&lt;&gt;"",B138="Active",'State Search'!$C$5&lt;&gt;"",OR(X138=",ALL,",ISNUMBER(SEARCH(","&amp;'State Search'!$C$5&amp;",",X138)))),W138,"")</f>
        <v/>
      </c>
    </row>
    <row r="139">
      <c r="A139" s="64" t="n"/>
      <c r="B139" s="65" t="n"/>
      <c r="C139" s="64" t="n"/>
      <c r="D139" s="66" t="n"/>
      <c r="E139" s="66" t="n"/>
      <c r="F139" s="67" t="n"/>
      <c r="G139" s="67" t="n"/>
      <c r="H139" s="67" t="n"/>
      <c r="I139" s="67" t="n"/>
      <c r="J139" s="67" t="n"/>
      <c r="K139" s="67" t="n"/>
      <c r="L139" s="67" t="n"/>
      <c r="M139" s="67" t="n"/>
      <c r="N139" s="65" t="n"/>
      <c r="O139" s="84">
        <f>IF(A139="","",IF(E139="","No date",IF(TODAY()&gt;=EDATE(E139,Review_Months),"Review Due","Current")))</f>
        <v/>
      </c>
      <c r="P139" s="84">
        <f>IF(A139="","",IF(COUNTIFS('AFA Rates'!$A$5:$A$1004,A139,'AFA Rates'!$O$5:$O$1004,"&lt;&gt;Expired")&gt;0,"Yes",IF(COUNTIF('AFA Rates'!$A$5:$A$1004,A139)&gt;0,"Expired only","No")))</f>
        <v/>
      </c>
      <c r="Q139" s="84">
        <f>IF(A139="","",COUNTIFS('AFA Rates'!$A$5:$A$1004,A139,'AFA Rates'!$O$5:$O$1004,"&lt;&gt;Expired"))</f>
        <v/>
      </c>
      <c r="R139" s="66" t="n"/>
      <c r="S139" s="64" t="n"/>
      <c r="T139" s="64" t="n"/>
      <c r="U139">
        <f>IF(AND(A139&lt;&gt;"",B139="Paused"),COUNTIFS($A$5:A139,"&lt;&gt;",$B$5:B139,"Paused"),"")</f>
        <v/>
      </c>
      <c r="V139">
        <f>IF(P139="Yes",COUNTIF($P$5:P139,"Yes"),"")</f>
        <v/>
      </c>
      <c r="W139">
        <f>IF(A139="","",COUNTIF($A$5:$A$1004,"&lt;"&amp;A139)+COUNTIF($A$5:A139,A139))</f>
        <v/>
      </c>
      <c r="X139">
        <f>","&amp;SUBSTITUTE(SUBSTITUTE(SUBSTITUTE(UPPER(C139)," ",""),";",","),"/",",")&amp;","</f>
        <v/>
      </c>
      <c r="Y139">
        <f>IF(AND(A139&lt;&gt;"",B139="Active",'State Search'!$C$5&lt;&gt;"",OR(X139=",ALL,",ISNUMBER(SEARCH(","&amp;'State Search'!$C$5&amp;",",X139)))),W139,"")</f>
        <v/>
      </c>
    </row>
    <row r="140">
      <c r="A140" s="64" t="n"/>
      <c r="B140" s="65" t="n"/>
      <c r="C140" s="64" t="n"/>
      <c r="D140" s="66" t="n"/>
      <c r="E140" s="66" t="n"/>
      <c r="F140" s="67" t="n"/>
      <c r="G140" s="67" t="n"/>
      <c r="H140" s="67" t="n"/>
      <c r="I140" s="67" t="n"/>
      <c r="J140" s="67" t="n"/>
      <c r="K140" s="67" t="n"/>
      <c r="L140" s="67" t="n"/>
      <c r="M140" s="67" t="n"/>
      <c r="N140" s="65" t="n"/>
      <c r="O140" s="84">
        <f>IF(A140="","",IF(E140="","No date",IF(TODAY()&gt;=EDATE(E140,Review_Months),"Review Due","Current")))</f>
        <v/>
      </c>
      <c r="P140" s="84">
        <f>IF(A140="","",IF(COUNTIFS('AFA Rates'!$A$5:$A$1004,A140,'AFA Rates'!$O$5:$O$1004,"&lt;&gt;Expired")&gt;0,"Yes",IF(COUNTIF('AFA Rates'!$A$5:$A$1004,A140)&gt;0,"Expired only","No")))</f>
        <v/>
      </c>
      <c r="Q140" s="84">
        <f>IF(A140="","",COUNTIFS('AFA Rates'!$A$5:$A$1004,A140,'AFA Rates'!$O$5:$O$1004,"&lt;&gt;Expired"))</f>
        <v/>
      </c>
      <c r="R140" s="66" t="n"/>
      <c r="S140" s="64" t="n"/>
      <c r="T140" s="64" t="n"/>
      <c r="U140">
        <f>IF(AND(A140&lt;&gt;"",B140="Paused"),COUNTIFS($A$5:A140,"&lt;&gt;",$B$5:B140,"Paused"),"")</f>
        <v/>
      </c>
      <c r="V140">
        <f>IF(P140="Yes",COUNTIF($P$5:P140,"Yes"),"")</f>
        <v/>
      </c>
      <c r="W140">
        <f>IF(A140="","",COUNTIF($A$5:$A$1004,"&lt;"&amp;A140)+COUNTIF($A$5:A140,A140))</f>
        <v/>
      </c>
      <c r="X140">
        <f>","&amp;SUBSTITUTE(SUBSTITUTE(SUBSTITUTE(UPPER(C140)," ",""),";",","),"/",",")&amp;","</f>
        <v/>
      </c>
      <c r="Y140">
        <f>IF(AND(A140&lt;&gt;"",B140="Active",'State Search'!$C$5&lt;&gt;"",OR(X140=",ALL,",ISNUMBER(SEARCH(","&amp;'State Search'!$C$5&amp;",",X140)))),W140,"")</f>
        <v/>
      </c>
    </row>
    <row r="141">
      <c r="A141" s="64" t="n"/>
      <c r="B141" s="65" t="n"/>
      <c r="C141" s="64" t="n"/>
      <c r="D141" s="66" t="n"/>
      <c r="E141" s="66" t="n"/>
      <c r="F141" s="67" t="n"/>
      <c r="G141" s="67" t="n"/>
      <c r="H141" s="67" t="n"/>
      <c r="I141" s="67" t="n"/>
      <c r="J141" s="67" t="n"/>
      <c r="K141" s="67" t="n"/>
      <c r="L141" s="67" t="n"/>
      <c r="M141" s="67" t="n"/>
      <c r="N141" s="65" t="n"/>
      <c r="O141" s="84">
        <f>IF(A141="","",IF(E141="","No date",IF(TODAY()&gt;=EDATE(E141,Review_Months),"Review Due","Current")))</f>
        <v/>
      </c>
      <c r="P141" s="84">
        <f>IF(A141="","",IF(COUNTIFS('AFA Rates'!$A$5:$A$1004,A141,'AFA Rates'!$O$5:$O$1004,"&lt;&gt;Expired")&gt;0,"Yes",IF(COUNTIF('AFA Rates'!$A$5:$A$1004,A141)&gt;0,"Expired only","No")))</f>
        <v/>
      </c>
      <c r="Q141" s="84">
        <f>IF(A141="","",COUNTIFS('AFA Rates'!$A$5:$A$1004,A141,'AFA Rates'!$O$5:$O$1004,"&lt;&gt;Expired"))</f>
        <v/>
      </c>
      <c r="R141" s="66" t="n"/>
      <c r="S141" s="64" t="n"/>
      <c r="T141" s="64" t="n"/>
      <c r="U141">
        <f>IF(AND(A141&lt;&gt;"",B141="Paused"),COUNTIFS($A$5:A141,"&lt;&gt;",$B$5:B141,"Paused"),"")</f>
        <v/>
      </c>
      <c r="V141">
        <f>IF(P141="Yes",COUNTIF($P$5:P141,"Yes"),"")</f>
        <v/>
      </c>
      <c r="W141">
        <f>IF(A141="","",COUNTIF($A$5:$A$1004,"&lt;"&amp;A141)+COUNTIF($A$5:A141,A141))</f>
        <v/>
      </c>
      <c r="X141">
        <f>","&amp;SUBSTITUTE(SUBSTITUTE(SUBSTITUTE(UPPER(C141)," ",""),";",","),"/",",")&amp;","</f>
        <v/>
      </c>
      <c r="Y141">
        <f>IF(AND(A141&lt;&gt;"",B141="Active",'State Search'!$C$5&lt;&gt;"",OR(X141=",ALL,",ISNUMBER(SEARCH(","&amp;'State Search'!$C$5&amp;",",X141)))),W141,"")</f>
        <v/>
      </c>
    </row>
    <row r="142">
      <c r="A142" s="64" t="n"/>
      <c r="B142" s="65" t="n"/>
      <c r="C142" s="64" t="n"/>
      <c r="D142" s="66" t="n"/>
      <c r="E142" s="66" t="n"/>
      <c r="F142" s="67" t="n"/>
      <c r="G142" s="67" t="n"/>
      <c r="H142" s="67" t="n"/>
      <c r="I142" s="67" t="n"/>
      <c r="J142" s="67" t="n"/>
      <c r="K142" s="67" t="n"/>
      <c r="L142" s="67" t="n"/>
      <c r="M142" s="67" t="n"/>
      <c r="N142" s="65" t="n"/>
      <c r="O142" s="84">
        <f>IF(A142="","",IF(E142="","No date",IF(TODAY()&gt;=EDATE(E142,Review_Months),"Review Due","Current")))</f>
        <v/>
      </c>
      <c r="P142" s="84">
        <f>IF(A142="","",IF(COUNTIFS('AFA Rates'!$A$5:$A$1004,A142,'AFA Rates'!$O$5:$O$1004,"&lt;&gt;Expired")&gt;0,"Yes",IF(COUNTIF('AFA Rates'!$A$5:$A$1004,A142)&gt;0,"Expired only","No")))</f>
        <v/>
      </c>
      <c r="Q142" s="84">
        <f>IF(A142="","",COUNTIFS('AFA Rates'!$A$5:$A$1004,A142,'AFA Rates'!$O$5:$O$1004,"&lt;&gt;Expired"))</f>
        <v/>
      </c>
      <c r="R142" s="66" t="n"/>
      <c r="S142" s="64" t="n"/>
      <c r="T142" s="64" t="n"/>
      <c r="U142">
        <f>IF(AND(A142&lt;&gt;"",B142="Paused"),COUNTIFS($A$5:A142,"&lt;&gt;",$B$5:B142,"Paused"),"")</f>
        <v/>
      </c>
      <c r="V142">
        <f>IF(P142="Yes",COUNTIF($P$5:P142,"Yes"),"")</f>
        <v/>
      </c>
      <c r="W142">
        <f>IF(A142="","",COUNTIF($A$5:$A$1004,"&lt;"&amp;A142)+COUNTIF($A$5:A142,A142))</f>
        <v/>
      </c>
      <c r="X142">
        <f>","&amp;SUBSTITUTE(SUBSTITUTE(SUBSTITUTE(UPPER(C142)," ",""),";",","),"/",",")&amp;","</f>
        <v/>
      </c>
      <c r="Y142">
        <f>IF(AND(A142&lt;&gt;"",B142="Active",'State Search'!$C$5&lt;&gt;"",OR(X142=",ALL,",ISNUMBER(SEARCH(","&amp;'State Search'!$C$5&amp;",",X142)))),W142,"")</f>
        <v/>
      </c>
    </row>
    <row r="143">
      <c r="A143" s="64" t="n"/>
      <c r="B143" s="65" t="n"/>
      <c r="C143" s="64" t="n"/>
      <c r="D143" s="66" t="n"/>
      <c r="E143" s="66" t="n"/>
      <c r="F143" s="67" t="n"/>
      <c r="G143" s="67" t="n"/>
      <c r="H143" s="67" t="n"/>
      <c r="I143" s="67" t="n"/>
      <c r="J143" s="67" t="n"/>
      <c r="K143" s="67" t="n"/>
      <c r="L143" s="67" t="n"/>
      <c r="M143" s="67" t="n"/>
      <c r="N143" s="65" t="n"/>
      <c r="O143" s="84">
        <f>IF(A143="","",IF(E143="","No date",IF(TODAY()&gt;=EDATE(E143,Review_Months),"Review Due","Current")))</f>
        <v/>
      </c>
      <c r="P143" s="84">
        <f>IF(A143="","",IF(COUNTIFS('AFA Rates'!$A$5:$A$1004,A143,'AFA Rates'!$O$5:$O$1004,"&lt;&gt;Expired")&gt;0,"Yes",IF(COUNTIF('AFA Rates'!$A$5:$A$1004,A143)&gt;0,"Expired only","No")))</f>
        <v/>
      </c>
      <c r="Q143" s="84">
        <f>IF(A143="","",COUNTIFS('AFA Rates'!$A$5:$A$1004,A143,'AFA Rates'!$O$5:$O$1004,"&lt;&gt;Expired"))</f>
        <v/>
      </c>
      <c r="R143" s="66" t="n"/>
      <c r="S143" s="64" t="n"/>
      <c r="T143" s="64" t="n"/>
      <c r="U143">
        <f>IF(AND(A143&lt;&gt;"",B143="Paused"),COUNTIFS($A$5:A143,"&lt;&gt;",$B$5:B143,"Paused"),"")</f>
        <v/>
      </c>
      <c r="V143">
        <f>IF(P143="Yes",COUNTIF($P$5:P143,"Yes"),"")</f>
        <v/>
      </c>
      <c r="W143">
        <f>IF(A143="","",COUNTIF($A$5:$A$1004,"&lt;"&amp;A143)+COUNTIF($A$5:A143,A143))</f>
        <v/>
      </c>
      <c r="X143">
        <f>","&amp;SUBSTITUTE(SUBSTITUTE(SUBSTITUTE(UPPER(C143)," ",""),";",","),"/",",")&amp;","</f>
        <v/>
      </c>
      <c r="Y143">
        <f>IF(AND(A143&lt;&gt;"",B143="Active",'State Search'!$C$5&lt;&gt;"",OR(X143=",ALL,",ISNUMBER(SEARCH(","&amp;'State Search'!$C$5&amp;",",X143)))),W143,"")</f>
        <v/>
      </c>
    </row>
    <row r="144">
      <c r="A144" s="64" t="n"/>
      <c r="B144" s="65" t="n"/>
      <c r="C144" s="64" t="n"/>
      <c r="D144" s="66" t="n"/>
      <c r="E144" s="66" t="n"/>
      <c r="F144" s="67" t="n"/>
      <c r="G144" s="67" t="n"/>
      <c r="H144" s="67" t="n"/>
      <c r="I144" s="67" t="n"/>
      <c r="J144" s="67" t="n"/>
      <c r="K144" s="67" t="n"/>
      <c r="L144" s="67" t="n"/>
      <c r="M144" s="67" t="n"/>
      <c r="N144" s="65" t="n"/>
      <c r="O144" s="84">
        <f>IF(A144="","",IF(E144="","No date",IF(TODAY()&gt;=EDATE(E144,Review_Months),"Review Due","Current")))</f>
        <v/>
      </c>
      <c r="P144" s="84">
        <f>IF(A144="","",IF(COUNTIFS('AFA Rates'!$A$5:$A$1004,A144,'AFA Rates'!$O$5:$O$1004,"&lt;&gt;Expired")&gt;0,"Yes",IF(COUNTIF('AFA Rates'!$A$5:$A$1004,A144)&gt;0,"Expired only","No")))</f>
        <v/>
      </c>
      <c r="Q144" s="84">
        <f>IF(A144="","",COUNTIFS('AFA Rates'!$A$5:$A$1004,A144,'AFA Rates'!$O$5:$O$1004,"&lt;&gt;Expired"))</f>
        <v/>
      </c>
      <c r="R144" s="66" t="n"/>
      <c r="S144" s="64" t="n"/>
      <c r="T144" s="64" t="n"/>
      <c r="U144">
        <f>IF(AND(A144&lt;&gt;"",B144="Paused"),COUNTIFS($A$5:A144,"&lt;&gt;",$B$5:B144,"Paused"),"")</f>
        <v/>
      </c>
      <c r="V144">
        <f>IF(P144="Yes",COUNTIF($P$5:P144,"Yes"),"")</f>
        <v/>
      </c>
      <c r="W144">
        <f>IF(A144="","",COUNTIF($A$5:$A$1004,"&lt;"&amp;A144)+COUNTIF($A$5:A144,A144))</f>
        <v/>
      </c>
      <c r="X144">
        <f>","&amp;SUBSTITUTE(SUBSTITUTE(SUBSTITUTE(UPPER(C144)," ",""),";",","),"/",",")&amp;","</f>
        <v/>
      </c>
      <c r="Y144">
        <f>IF(AND(A144&lt;&gt;"",B144="Active",'State Search'!$C$5&lt;&gt;"",OR(X144=",ALL,",ISNUMBER(SEARCH(","&amp;'State Search'!$C$5&amp;",",X144)))),W144,"")</f>
        <v/>
      </c>
    </row>
    <row r="145">
      <c r="A145" s="64" t="n"/>
      <c r="B145" s="65" t="n"/>
      <c r="C145" s="64" t="n"/>
      <c r="D145" s="66" t="n"/>
      <c r="E145" s="66" t="n"/>
      <c r="F145" s="67" t="n"/>
      <c r="G145" s="67" t="n"/>
      <c r="H145" s="67" t="n"/>
      <c r="I145" s="67" t="n"/>
      <c r="J145" s="67" t="n"/>
      <c r="K145" s="67" t="n"/>
      <c r="L145" s="67" t="n"/>
      <c r="M145" s="67" t="n"/>
      <c r="N145" s="65" t="n"/>
      <c r="O145" s="84">
        <f>IF(A145="","",IF(E145="","No date",IF(TODAY()&gt;=EDATE(E145,Review_Months),"Review Due","Current")))</f>
        <v/>
      </c>
      <c r="P145" s="84">
        <f>IF(A145="","",IF(COUNTIFS('AFA Rates'!$A$5:$A$1004,A145,'AFA Rates'!$O$5:$O$1004,"&lt;&gt;Expired")&gt;0,"Yes",IF(COUNTIF('AFA Rates'!$A$5:$A$1004,A145)&gt;0,"Expired only","No")))</f>
        <v/>
      </c>
      <c r="Q145" s="84">
        <f>IF(A145="","",COUNTIFS('AFA Rates'!$A$5:$A$1004,A145,'AFA Rates'!$O$5:$O$1004,"&lt;&gt;Expired"))</f>
        <v/>
      </c>
      <c r="R145" s="66" t="n"/>
      <c r="S145" s="64" t="n"/>
      <c r="T145" s="64" t="n"/>
      <c r="U145">
        <f>IF(AND(A145&lt;&gt;"",B145="Paused"),COUNTIFS($A$5:A145,"&lt;&gt;",$B$5:B145,"Paused"),"")</f>
        <v/>
      </c>
      <c r="V145">
        <f>IF(P145="Yes",COUNTIF($P$5:P145,"Yes"),"")</f>
        <v/>
      </c>
      <c r="W145">
        <f>IF(A145="","",COUNTIF($A$5:$A$1004,"&lt;"&amp;A145)+COUNTIF($A$5:A145,A145))</f>
        <v/>
      </c>
      <c r="X145">
        <f>","&amp;SUBSTITUTE(SUBSTITUTE(SUBSTITUTE(UPPER(C145)," ",""),";",","),"/",",")&amp;","</f>
        <v/>
      </c>
      <c r="Y145">
        <f>IF(AND(A145&lt;&gt;"",B145="Active",'State Search'!$C$5&lt;&gt;"",OR(X145=",ALL,",ISNUMBER(SEARCH(","&amp;'State Search'!$C$5&amp;",",X145)))),W145,"")</f>
        <v/>
      </c>
    </row>
    <row r="146">
      <c r="A146" s="64" t="n"/>
      <c r="B146" s="65" t="n"/>
      <c r="C146" s="64" t="n"/>
      <c r="D146" s="66" t="n"/>
      <c r="E146" s="66" t="n"/>
      <c r="F146" s="67" t="n"/>
      <c r="G146" s="67" t="n"/>
      <c r="H146" s="67" t="n"/>
      <c r="I146" s="67" t="n"/>
      <c r="J146" s="67" t="n"/>
      <c r="K146" s="67" t="n"/>
      <c r="L146" s="67" t="n"/>
      <c r="M146" s="67" t="n"/>
      <c r="N146" s="65" t="n"/>
      <c r="O146" s="84">
        <f>IF(A146="","",IF(E146="","No date",IF(TODAY()&gt;=EDATE(E146,Review_Months),"Review Due","Current")))</f>
        <v/>
      </c>
      <c r="P146" s="84">
        <f>IF(A146="","",IF(COUNTIFS('AFA Rates'!$A$5:$A$1004,A146,'AFA Rates'!$O$5:$O$1004,"&lt;&gt;Expired")&gt;0,"Yes",IF(COUNTIF('AFA Rates'!$A$5:$A$1004,A146)&gt;0,"Expired only","No")))</f>
        <v/>
      </c>
      <c r="Q146" s="84">
        <f>IF(A146="","",COUNTIFS('AFA Rates'!$A$5:$A$1004,A146,'AFA Rates'!$O$5:$O$1004,"&lt;&gt;Expired"))</f>
        <v/>
      </c>
      <c r="R146" s="66" t="n"/>
      <c r="S146" s="64" t="n"/>
      <c r="T146" s="64" t="n"/>
      <c r="U146">
        <f>IF(AND(A146&lt;&gt;"",B146="Paused"),COUNTIFS($A$5:A146,"&lt;&gt;",$B$5:B146,"Paused"),"")</f>
        <v/>
      </c>
      <c r="V146">
        <f>IF(P146="Yes",COUNTIF($P$5:P146,"Yes"),"")</f>
        <v/>
      </c>
      <c r="W146">
        <f>IF(A146="","",COUNTIF($A$5:$A$1004,"&lt;"&amp;A146)+COUNTIF($A$5:A146,A146))</f>
        <v/>
      </c>
      <c r="X146">
        <f>","&amp;SUBSTITUTE(SUBSTITUTE(SUBSTITUTE(UPPER(C146)," ",""),";",","),"/",",")&amp;","</f>
        <v/>
      </c>
      <c r="Y146">
        <f>IF(AND(A146&lt;&gt;"",B146="Active",'State Search'!$C$5&lt;&gt;"",OR(X146=",ALL,",ISNUMBER(SEARCH(","&amp;'State Search'!$C$5&amp;",",X146)))),W146,"")</f>
        <v/>
      </c>
    </row>
    <row r="147">
      <c r="A147" s="64" t="n"/>
      <c r="B147" s="65" t="n"/>
      <c r="C147" s="64" t="n"/>
      <c r="D147" s="66" t="n"/>
      <c r="E147" s="66" t="n"/>
      <c r="F147" s="67" t="n"/>
      <c r="G147" s="67" t="n"/>
      <c r="H147" s="67" t="n"/>
      <c r="I147" s="67" t="n"/>
      <c r="J147" s="67" t="n"/>
      <c r="K147" s="67" t="n"/>
      <c r="L147" s="67" t="n"/>
      <c r="M147" s="67" t="n"/>
      <c r="N147" s="65" t="n"/>
      <c r="O147" s="84">
        <f>IF(A147="","",IF(E147="","No date",IF(TODAY()&gt;=EDATE(E147,Review_Months),"Review Due","Current")))</f>
        <v/>
      </c>
      <c r="P147" s="84">
        <f>IF(A147="","",IF(COUNTIFS('AFA Rates'!$A$5:$A$1004,A147,'AFA Rates'!$O$5:$O$1004,"&lt;&gt;Expired")&gt;0,"Yes",IF(COUNTIF('AFA Rates'!$A$5:$A$1004,A147)&gt;0,"Expired only","No")))</f>
        <v/>
      </c>
      <c r="Q147" s="84">
        <f>IF(A147="","",COUNTIFS('AFA Rates'!$A$5:$A$1004,A147,'AFA Rates'!$O$5:$O$1004,"&lt;&gt;Expired"))</f>
        <v/>
      </c>
      <c r="R147" s="66" t="n"/>
      <c r="S147" s="64" t="n"/>
      <c r="T147" s="64" t="n"/>
      <c r="U147">
        <f>IF(AND(A147&lt;&gt;"",B147="Paused"),COUNTIFS($A$5:A147,"&lt;&gt;",$B$5:B147,"Paused"),"")</f>
        <v/>
      </c>
      <c r="V147">
        <f>IF(P147="Yes",COUNTIF($P$5:P147,"Yes"),"")</f>
        <v/>
      </c>
      <c r="W147">
        <f>IF(A147="","",COUNTIF($A$5:$A$1004,"&lt;"&amp;A147)+COUNTIF($A$5:A147,A147))</f>
        <v/>
      </c>
      <c r="X147">
        <f>","&amp;SUBSTITUTE(SUBSTITUTE(SUBSTITUTE(UPPER(C147)," ",""),";",","),"/",",")&amp;","</f>
        <v/>
      </c>
      <c r="Y147">
        <f>IF(AND(A147&lt;&gt;"",B147="Active",'State Search'!$C$5&lt;&gt;"",OR(X147=",ALL,",ISNUMBER(SEARCH(","&amp;'State Search'!$C$5&amp;",",X147)))),W147,"")</f>
        <v/>
      </c>
    </row>
    <row r="148">
      <c r="A148" s="64" t="n"/>
      <c r="B148" s="65" t="n"/>
      <c r="C148" s="64" t="n"/>
      <c r="D148" s="66" t="n"/>
      <c r="E148" s="66" t="n"/>
      <c r="F148" s="67" t="n"/>
      <c r="G148" s="67" t="n"/>
      <c r="H148" s="67" t="n"/>
      <c r="I148" s="67" t="n"/>
      <c r="J148" s="67" t="n"/>
      <c r="K148" s="67" t="n"/>
      <c r="L148" s="67" t="n"/>
      <c r="M148" s="67" t="n"/>
      <c r="N148" s="65" t="n"/>
      <c r="O148" s="84">
        <f>IF(A148="","",IF(E148="","No date",IF(TODAY()&gt;=EDATE(E148,Review_Months),"Review Due","Current")))</f>
        <v/>
      </c>
      <c r="P148" s="84">
        <f>IF(A148="","",IF(COUNTIFS('AFA Rates'!$A$5:$A$1004,A148,'AFA Rates'!$O$5:$O$1004,"&lt;&gt;Expired")&gt;0,"Yes",IF(COUNTIF('AFA Rates'!$A$5:$A$1004,A148)&gt;0,"Expired only","No")))</f>
        <v/>
      </c>
      <c r="Q148" s="84">
        <f>IF(A148="","",COUNTIFS('AFA Rates'!$A$5:$A$1004,A148,'AFA Rates'!$O$5:$O$1004,"&lt;&gt;Expired"))</f>
        <v/>
      </c>
      <c r="R148" s="66" t="n"/>
      <c r="S148" s="64" t="n"/>
      <c r="T148" s="64" t="n"/>
      <c r="U148">
        <f>IF(AND(A148&lt;&gt;"",B148="Paused"),COUNTIFS($A$5:A148,"&lt;&gt;",$B$5:B148,"Paused"),"")</f>
        <v/>
      </c>
      <c r="V148">
        <f>IF(P148="Yes",COUNTIF($P$5:P148,"Yes"),"")</f>
        <v/>
      </c>
      <c r="W148">
        <f>IF(A148="","",COUNTIF($A$5:$A$1004,"&lt;"&amp;A148)+COUNTIF($A$5:A148,A148))</f>
        <v/>
      </c>
      <c r="X148">
        <f>","&amp;SUBSTITUTE(SUBSTITUTE(SUBSTITUTE(UPPER(C148)," ",""),";",","),"/",",")&amp;","</f>
        <v/>
      </c>
      <c r="Y148">
        <f>IF(AND(A148&lt;&gt;"",B148="Active",'State Search'!$C$5&lt;&gt;"",OR(X148=",ALL,",ISNUMBER(SEARCH(","&amp;'State Search'!$C$5&amp;",",X148)))),W148,"")</f>
        <v/>
      </c>
    </row>
    <row r="149">
      <c r="A149" s="64" t="n"/>
      <c r="B149" s="65" t="n"/>
      <c r="C149" s="64" t="n"/>
      <c r="D149" s="66" t="n"/>
      <c r="E149" s="66" t="n"/>
      <c r="F149" s="67" t="n"/>
      <c r="G149" s="67" t="n"/>
      <c r="H149" s="67" t="n"/>
      <c r="I149" s="67" t="n"/>
      <c r="J149" s="67" t="n"/>
      <c r="K149" s="67" t="n"/>
      <c r="L149" s="67" t="n"/>
      <c r="M149" s="67" t="n"/>
      <c r="N149" s="65" t="n"/>
      <c r="O149" s="84">
        <f>IF(A149="","",IF(E149="","No date",IF(TODAY()&gt;=EDATE(E149,Review_Months),"Review Due","Current")))</f>
        <v/>
      </c>
      <c r="P149" s="84">
        <f>IF(A149="","",IF(COUNTIFS('AFA Rates'!$A$5:$A$1004,A149,'AFA Rates'!$O$5:$O$1004,"&lt;&gt;Expired")&gt;0,"Yes",IF(COUNTIF('AFA Rates'!$A$5:$A$1004,A149)&gt;0,"Expired only","No")))</f>
        <v/>
      </c>
      <c r="Q149" s="84">
        <f>IF(A149="","",COUNTIFS('AFA Rates'!$A$5:$A$1004,A149,'AFA Rates'!$O$5:$O$1004,"&lt;&gt;Expired"))</f>
        <v/>
      </c>
      <c r="R149" s="66" t="n"/>
      <c r="S149" s="64" t="n"/>
      <c r="T149" s="64" t="n"/>
      <c r="U149">
        <f>IF(AND(A149&lt;&gt;"",B149="Paused"),COUNTIFS($A$5:A149,"&lt;&gt;",$B$5:B149,"Paused"),"")</f>
        <v/>
      </c>
      <c r="V149">
        <f>IF(P149="Yes",COUNTIF($P$5:P149,"Yes"),"")</f>
        <v/>
      </c>
      <c r="W149">
        <f>IF(A149="","",COUNTIF($A$5:$A$1004,"&lt;"&amp;A149)+COUNTIF($A$5:A149,A149))</f>
        <v/>
      </c>
      <c r="X149">
        <f>","&amp;SUBSTITUTE(SUBSTITUTE(SUBSTITUTE(UPPER(C149)," ",""),";",","),"/",",")&amp;","</f>
        <v/>
      </c>
      <c r="Y149">
        <f>IF(AND(A149&lt;&gt;"",B149="Active",'State Search'!$C$5&lt;&gt;"",OR(X149=",ALL,",ISNUMBER(SEARCH(","&amp;'State Search'!$C$5&amp;",",X149)))),W149,"")</f>
        <v/>
      </c>
    </row>
    <row r="150">
      <c r="A150" s="64" t="n"/>
      <c r="B150" s="65" t="n"/>
      <c r="C150" s="64" t="n"/>
      <c r="D150" s="66" t="n"/>
      <c r="E150" s="66" t="n"/>
      <c r="F150" s="67" t="n"/>
      <c r="G150" s="67" t="n"/>
      <c r="H150" s="67" t="n"/>
      <c r="I150" s="67" t="n"/>
      <c r="J150" s="67" t="n"/>
      <c r="K150" s="67" t="n"/>
      <c r="L150" s="67" t="n"/>
      <c r="M150" s="67" t="n"/>
      <c r="N150" s="65" t="n"/>
      <c r="O150" s="84">
        <f>IF(A150="","",IF(E150="","No date",IF(TODAY()&gt;=EDATE(E150,Review_Months),"Review Due","Current")))</f>
        <v/>
      </c>
      <c r="P150" s="84">
        <f>IF(A150="","",IF(COUNTIFS('AFA Rates'!$A$5:$A$1004,A150,'AFA Rates'!$O$5:$O$1004,"&lt;&gt;Expired")&gt;0,"Yes",IF(COUNTIF('AFA Rates'!$A$5:$A$1004,A150)&gt;0,"Expired only","No")))</f>
        <v/>
      </c>
      <c r="Q150" s="84">
        <f>IF(A150="","",COUNTIFS('AFA Rates'!$A$5:$A$1004,A150,'AFA Rates'!$O$5:$O$1004,"&lt;&gt;Expired"))</f>
        <v/>
      </c>
      <c r="R150" s="66" t="n"/>
      <c r="S150" s="64" t="n"/>
      <c r="T150" s="64" t="n"/>
      <c r="U150">
        <f>IF(AND(A150&lt;&gt;"",B150="Paused"),COUNTIFS($A$5:A150,"&lt;&gt;",$B$5:B150,"Paused"),"")</f>
        <v/>
      </c>
      <c r="V150">
        <f>IF(P150="Yes",COUNTIF($P$5:P150,"Yes"),"")</f>
        <v/>
      </c>
      <c r="W150">
        <f>IF(A150="","",COUNTIF($A$5:$A$1004,"&lt;"&amp;A150)+COUNTIF($A$5:A150,A150))</f>
        <v/>
      </c>
      <c r="X150">
        <f>","&amp;SUBSTITUTE(SUBSTITUTE(SUBSTITUTE(UPPER(C150)," ",""),";",","),"/",",")&amp;","</f>
        <v/>
      </c>
      <c r="Y150">
        <f>IF(AND(A150&lt;&gt;"",B150="Active",'State Search'!$C$5&lt;&gt;"",OR(X150=",ALL,",ISNUMBER(SEARCH(","&amp;'State Search'!$C$5&amp;",",X150)))),W150,"")</f>
        <v/>
      </c>
    </row>
    <row r="151">
      <c r="A151" s="64" t="n"/>
      <c r="B151" s="65" t="n"/>
      <c r="C151" s="64" t="n"/>
      <c r="D151" s="66" t="n"/>
      <c r="E151" s="66" t="n"/>
      <c r="F151" s="67" t="n"/>
      <c r="G151" s="67" t="n"/>
      <c r="H151" s="67" t="n"/>
      <c r="I151" s="67" t="n"/>
      <c r="J151" s="67" t="n"/>
      <c r="K151" s="67" t="n"/>
      <c r="L151" s="67" t="n"/>
      <c r="M151" s="67" t="n"/>
      <c r="N151" s="65" t="n"/>
      <c r="O151" s="84">
        <f>IF(A151="","",IF(E151="","No date",IF(TODAY()&gt;=EDATE(E151,Review_Months),"Review Due","Current")))</f>
        <v/>
      </c>
      <c r="P151" s="84">
        <f>IF(A151="","",IF(COUNTIFS('AFA Rates'!$A$5:$A$1004,A151,'AFA Rates'!$O$5:$O$1004,"&lt;&gt;Expired")&gt;0,"Yes",IF(COUNTIF('AFA Rates'!$A$5:$A$1004,A151)&gt;0,"Expired only","No")))</f>
        <v/>
      </c>
      <c r="Q151" s="84">
        <f>IF(A151="","",COUNTIFS('AFA Rates'!$A$5:$A$1004,A151,'AFA Rates'!$O$5:$O$1004,"&lt;&gt;Expired"))</f>
        <v/>
      </c>
      <c r="R151" s="66" t="n"/>
      <c r="S151" s="64" t="n"/>
      <c r="T151" s="64" t="n"/>
      <c r="U151">
        <f>IF(AND(A151&lt;&gt;"",B151="Paused"),COUNTIFS($A$5:A151,"&lt;&gt;",$B$5:B151,"Paused"),"")</f>
        <v/>
      </c>
      <c r="V151">
        <f>IF(P151="Yes",COUNTIF($P$5:P151,"Yes"),"")</f>
        <v/>
      </c>
      <c r="W151">
        <f>IF(A151="","",COUNTIF($A$5:$A$1004,"&lt;"&amp;A151)+COUNTIF($A$5:A151,A151))</f>
        <v/>
      </c>
      <c r="X151">
        <f>","&amp;SUBSTITUTE(SUBSTITUTE(SUBSTITUTE(UPPER(C151)," ",""),";",","),"/",",")&amp;","</f>
        <v/>
      </c>
      <c r="Y151">
        <f>IF(AND(A151&lt;&gt;"",B151="Active",'State Search'!$C$5&lt;&gt;"",OR(X151=",ALL,",ISNUMBER(SEARCH(","&amp;'State Search'!$C$5&amp;",",X151)))),W151,"")</f>
        <v/>
      </c>
    </row>
    <row r="152">
      <c r="A152" s="64" t="n"/>
      <c r="B152" s="65" t="n"/>
      <c r="C152" s="64" t="n"/>
      <c r="D152" s="66" t="n"/>
      <c r="E152" s="66" t="n"/>
      <c r="F152" s="67" t="n"/>
      <c r="G152" s="67" t="n"/>
      <c r="H152" s="67" t="n"/>
      <c r="I152" s="67" t="n"/>
      <c r="J152" s="67" t="n"/>
      <c r="K152" s="67" t="n"/>
      <c r="L152" s="67" t="n"/>
      <c r="M152" s="67" t="n"/>
      <c r="N152" s="65" t="n"/>
      <c r="O152" s="84">
        <f>IF(A152="","",IF(E152="","No date",IF(TODAY()&gt;=EDATE(E152,Review_Months),"Review Due","Current")))</f>
        <v/>
      </c>
      <c r="P152" s="84">
        <f>IF(A152="","",IF(COUNTIFS('AFA Rates'!$A$5:$A$1004,A152,'AFA Rates'!$O$5:$O$1004,"&lt;&gt;Expired")&gt;0,"Yes",IF(COUNTIF('AFA Rates'!$A$5:$A$1004,A152)&gt;0,"Expired only","No")))</f>
        <v/>
      </c>
      <c r="Q152" s="84">
        <f>IF(A152="","",COUNTIFS('AFA Rates'!$A$5:$A$1004,A152,'AFA Rates'!$O$5:$O$1004,"&lt;&gt;Expired"))</f>
        <v/>
      </c>
      <c r="R152" s="66" t="n"/>
      <c r="S152" s="64" t="n"/>
      <c r="T152" s="64" t="n"/>
      <c r="U152">
        <f>IF(AND(A152&lt;&gt;"",B152="Paused"),COUNTIFS($A$5:A152,"&lt;&gt;",$B$5:B152,"Paused"),"")</f>
        <v/>
      </c>
      <c r="V152">
        <f>IF(P152="Yes",COUNTIF($P$5:P152,"Yes"),"")</f>
        <v/>
      </c>
      <c r="W152">
        <f>IF(A152="","",COUNTIF($A$5:$A$1004,"&lt;"&amp;A152)+COUNTIF($A$5:A152,A152))</f>
        <v/>
      </c>
      <c r="X152">
        <f>","&amp;SUBSTITUTE(SUBSTITUTE(SUBSTITUTE(UPPER(C152)," ",""),";",","),"/",",")&amp;","</f>
        <v/>
      </c>
      <c r="Y152">
        <f>IF(AND(A152&lt;&gt;"",B152="Active",'State Search'!$C$5&lt;&gt;"",OR(X152=",ALL,",ISNUMBER(SEARCH(","&amp;'State Search'!$C$5&amp;",",X152)))),W152,"")</f>
        <v/>
      </c>
    </row>
    <row r="153">
      <c r="A153" s="64" t="n"/>
      <c r="B153" s="65" t="n"/>
      <c r="C153" s="64" t="n"/>
      <c r="D153" s="66" t="n"/>
      <c r="E153" s="66" t="n"/>
      <c r="F153" s="67" t="n"/>
      <c r="G153" s="67" t="n"/>
      <c r="H153" s="67" t="n"/>
      <c r="I153" s="67" t="n"/>
      <c r="J153" s="67" t="n"/>
      <c r="K153" s="67" t="n"/>
      <c r="L153" s="67" t="n"/>
      <c r="M153" s="67" t="n"/>
      <c r="N153" s="65" t="n"/>
      <c r="O153" s="84">
        <f>IF(A153="","",IF(E153="","No date",IF(TODAY()&gt;=EDATE(E153,Review_Months),"Review Due","Current")))</f>
        <v/>
      </c>
      <c r="P153" s="84">
        <f>IF(A153="","",IF(COUNTIFS('AFA Rates'!$A$5:$A$1004,A153,'AFA Rates'!$O$5:$O$1004,"&lt;&gt;Expired")&gt;0,"Yes",IF(COUNTIF('AFA Rates'!$A$5:$A$1004,A153)&gt;0,"Expired only","No")))</f>
        <v/>
      </c>
      <c r="Q153" s="84">
        <f>IF(A153="","",COUNTIFS('AFA Rates'!$A$5:$A$1004,A153,'AFA Rates'!$O$5:$O$1004,"&lt;&gt;Expired"))</f>
        <v/>
      </c>
      <c r="R153" s="66" t="n"/>
      <c r="S153" s="64" t="n"/>
      <c r="T153" s="64" t="n"/>
      <c r="U153">
        <f>IF(AND(A153&lt;&gt;"",B153="Paused"),COUNTIFS($A$5:A153,"&lt;&gt;",$B$5:B153,"Paused"),"")</f>
        <v/>
      </c>
      <c r="V153">
        <f>IF(P153="Yes",COUNTIF($P$5:P153,"Yes"),"")</f>
        <v/>
      </c>
      <c r="W153">
        <f>IF(A153="","",COUNTIF($A$5:$A$1004,"&lt;"&amp;A153)+COUNTIF($A$5:A153,A153))</f>
        <v/>
      </c>
      <c r="X153">
        <f>","&amp;SUBSTITUTE(SUBSTITUTE(SUBSTITUTE(UPPER(C153)," ",""),";",","),"/",",")&amp;","</f>
        <v/>
      </c>
      <c r="Y153">
        <f>IF(AND(A153&lt;&gt;"",B153="Active",'State Search'!$C$5&lt;&gt;"",OR(X153=",ALL,",ISNUMBER(SEARCH(","&amp;'State Search'!$C$5&amp;",",X153)))),W153,"")</f>
        <v/>
      </c>
    </row>
    <row r="154">
      <c r="A154" s="64" t="n"/>
      <c r="B154" s="65" t="n"/>
      <c r="C154" s="64" t="n"/>
      <c r="D154" s="66" t="n"/>
      <c r="E154" s="66" t="n"/>
      <c r="F154" s="67" t="n"/>
      <c r="G154" s="67" t="n"/>
      <c r="H154" s="67" t="n"/>
      <c r="I154" s="67" t="n"/>
      <c r="J154" s="67" t="n"/>
      <c r="K154" s="67" t="n"/>
      <c r="L154" s="67" t="n"/>
      <c r="M154" s="67" t="n"/>
      <c r="N154" s="65" t="n"/>
      <c r="O154" s="84">
        <f>IF(A154="","",IF(E154="","No date",IF(TODAY()&gt;=EDATE(E154,Review_Months),"Review Due","Current")))</f>
        <v/>
      </c>
      <c r="P154" s="84">
        <f>IF(A154="","",IF(COUNTIFS('AFA Rates'!$A$5:$A$1004,A154,'AFA Rates'!$O$5:$O$1004,"&lt;&gt;Expired")&gt;0,"Yes",IF(COUNTIF('AFA Rates'!$A$5:$A$1004,A154)&gt;0,"Expired only","No")))</f>
        <v/>
      </c>
      <c r="Q154" s="84">
        <f>IF(A154="","",COUNTIFS('AFA Rates'!$A$5:$A$1004,A154,'AFA Rates'!$O$5:$O$1004,"&lt;&gt;Expired"))</f>
        <v/>
      </c>
      <c r="R154" s="66" t="n"/>
      <c r="S154" s="64" t="n"/>
      <c r="T154" s="64" t="n"/>
      <c r="U154">
        <f>IF(AND(A154&lt;&gt;"",B154="Paused"),COUNTIFS($A$5:A154,"&lt;&gt;",$B$5:B154,"Paused"),"")</f>
        <v/>
      </c>
      <c r="V154">
        <f>IF(P154="Yes",COUNTIF($P$5:P154,"Yes"),"")</f>
        <v/>
      </c>
      <c r="W154">
        <f>IF(A154="","",COUNTIF($A$5:$A$1004,"&lt;"&amp;A154)+COUNTIF($A$5:A154,A154))</f>
        <v/>
      </c>
      <c r="X154">
        <f>","&amp;SUBSTITUTE(SUBSTITUTE(SUBSTITUTE(UPPER(C154)," ",""),";",","),"/",",")&amp;","</f>
        <v/>
      </c>
      <c r="Y154">
        <f>IF(AND(A154&lt;&gt;"",B154="Active",'State Search'!$C$5&lt;&gt;"",OR(X154=",ALL,",ISNUMBER(SEARCH(","&amp;'State Search'!$C$5&amp;",",X154)))),W154,"")</f>
        <v/>
      </c>
    </row>
    <row r="155">
      <c r="A155" s="64" t="n"/>
      <c r="B155" s="65" t="n"/>
      <c r="C155" s="64" t="n"/>
      <c r="D155" s="66" t="n"/>
      <c r="E155" s="66" t="n"/>
      <c r="F155" s="67" t="n"/>
      <c r="G155" s="67" t="n"/>
      <c r="H155" s="67" t="n"/>
      <c r="I155" s="67" t="n"/>
      <c r="J155" s="67" t="n"/>
      <c r="K155" s="67" t="n"/>
      <c r="L155" s="67" t="n"/>
      <c r="M155" s="67" t="n"/>
      <c r="N155" s="65" t="n"/>
      <c r="O155" s="84">
        <f>IF(A155="","",IF(E155="","No date",IF(TODAY()&gt;=EDATE(E155,Review_Months),"Review Due","Current")))</f>
        <v/>
      </c>
      <c r="P155" s="84">
        <f>IF(A155="","",IF(COUNTIFS('AFA Rates'!$A$5:$A$1004,A155,'AFA Rates'!$O$5:$O$1004,"&lt;&gt;Expired")&gt;0,"Yes",IF(COUNTIF('AFA Rates'!$A$5:$A$1004,A155)&gt;0,"Expired only","No")))</f>
        <v/>
      </c>
      <c r="Q155" s="84">
        <f>IF(A155="","",COUNTIFS('AFA Rates'!$A$5:$A$1004,A155,'AFA Rates'!$O$5:$O$1004,"&lt;&gt;Expired"))</f>
        <v/>
      </c>
      <c r="R155" s="66" t="n"/>
      <c r="S155" s="64" t="n"/>
      <c r="T155" s="64" t="n"/>
      <c r="U155">
        <f>IF(AND(A155&lt;&gt;"",B155="Paused"),COUNTIFS($A$5:A155,"&lt;&gt;",$B$5:B155,"Paused"),"")</f>
        <v/>
      </c>
      <c r="V155">
        <f>IF(P155="Yes",COUNTIF($P$5:P155,"Yes"),"")</f>
        <v/>
      </c>
      <c r="W155">
        <f>IF(A155="","",COUNTIF($A$5:$A$1004,"&lt;"&amp;A155)+COUNTIF($A$5:A155,A155))</f>
        <v/>
      </c>
      <c r="X155">
        <f>","&amp;SUBSTITUTE(SUBSTITUTE(SUBSTITUTE(UPPER(C155)," ",""),";",","),"/",",")&amp;","</f>
        <v/>
      </c>
      <c r="Y155">
        <f>IF(AND(A155&lt;&gt;"",B155="Active",'State Search'!$C$5&lt;&gt;"",OR(X155=",ALL,",ISNUMBER(SEARCH(","&amp;'State Search'!$C$5&amp;",",X155)))),W155,"")</f>
        <v/>
      </c>
    </row>
    <row r="156">
      <c r="A156" s="64" t="n"/>
      <c r="B156" s="65" t="n"/>
      <c r="C156" s="64" t="n"/>
      <c r="D156" s="66" t="n"/>
      <c r="E156" s="66" t="n"/>
      <c r="F156" s="67" t="n"/>
      <c r="G156" s="67" t="n"/>
      <c r="H156" s="67" t="n"/>
      <c r="I156" s="67" t="n"/>
      <c r="J156" s="67" t="n"/>
      <c r="K156" s="67" t="n"/>
      <c r="L156" s="67" t="n"/>
      <c r="M156" s="67" t="n"/>
      <c r="N156" s="65" t="n"/>
      <c r="O156" s="84">
        <f>IF(A156="","",IF(E156="","No date",IF(TODAY()&gt;=EDATE(E156,Review_Months),"Review Due","Current")))</f>
        <v/>
      </c>
      <c r="P156" s="84">
        <f>IF(A156="","",IF(COUNTIFS('AFA Rates'!$A$5:$A$1004,A156,'AFA Rates'!$O$5:$O$1004,"&lt;&gt;Expired")&gt;0,"Yes",IF(COUNTIF('AFA Rates'!$A$5:$A$1004,A156)&gt;0,"Expired only","No")))</f>
        <v/>
      </c>
      <c r="Q156" s="84">
        <f>IF(A156="","",COUNTIFS('AFA Rates'!$A$5:$A$1004,A156,'AFA Rates'!$O$5:$O$1004,"&lt;&gt;Expired"))</f>
        <v/>
      </c>
      <c r="R156" s="66" t="n"/>
      <c r="S156" s="64" t="n"/>
      <c r="T156" s="64" t="n"/>
      <c r="U156">
        <f>IF(AND(A156&lt;&gt;"",B156="Paused"),COUNTIFS($A$5:A156,"&lt;&gt;",$B$5:B156,"Paused"),"")</f>
        <v/>
      </c>
      <c r="V156">
        <f>IF(P156="Yes",COUNTIF($P$5:P156,"Yes"),"")</f>
        <v/>
      </c>
      <c r="W156">
        <f>IF(A156="","",COUNTIF($A$5:$A$1004,"&lt;"&amp;A156)+COUNTIF($A$5:A156,A156))</f>
        <v/>
      </c>
      <c r="X156">
        <f>","&amp;SUBSTITUTE(SUBSTITUTE(SUBSTITUTE(UPPER(C156)," ",""),";",","),"/",",")&amp;","</f>
        <v/>
      </c>
      <c r="Y156">
        <f>IF(AND(A156&lt;&gt;"",B156="Active",'State Search'!$C$5&lt;&gt;"",OR(X156=",ALL,",ISNUMBER(SEARCH(","&amp;'State Search'!$C$5&amp;",",X156)))),W156,"")</f>
        <v/>
      </c>
    </row>
    <row r="157">
      <c r="A157" s="64" t="n"/>
      <c r="B157" s="65" t="n"/>
      <c r="C157" s="64" t="n"/>
      <c r="D157" s="66" t="n"/>
      <c r="E157" s="66" t="n"/>
      <c r="F157" s="67" t="n"/>
      <c r="G157" s="67" t="n"/>
      <c r="H157" s="67" t="n"/>
      <c r="I157" s="67" t="n"/>
      <c r="J157" s="67" t="n"/>
      <c r="K157" s="67" t="n"/>
      <c r="L157" s="67" t="n"/>
      <c r="M157" s="67" t="n"/>
      <c r="N157" s="65" t="n"/>
      <c r="O157" s="84">
        <f>IF(A157="","",IF(E157="","No date",IF(TODAY()&gt;=EDATE(E157,Review_Months),"Review Due","Current")))</f>
        <v/>
      </c>
      <c r="P157" s="84">
        <f>IF(A157="","",IF(COUNTIFS('AFA Rates'!$A$5:$A$1004,A157,'AFA Rates'!$O$5:$O$1004,"&lt;&gt;Expired")&gt;0,"Yes",IF(COUNTIF('AFA Rates'!$A$5:$A$1004,A157)&gt;0,"Expired only","No")))</f>
        <v/>
      </c>
      <c r="Q157" s="84">
        <f>IF(A157="","",COUNTIFS('AFA Rates'!$A$5:$A$1004,A157,'AFA Rates'!$O$5:$O$1004,"&lt;&gt;Expired"))</f>
        <v/>
      </c>
      <c r="R157" s="66" t="n"/>
      <c r="S157" s="64" t="n"/>
      <c r="T157" s="64" t="n"/>
      <c r="U157">
        <f>IF(AND(A157&lt;&gt;"",B157="Paused"),COUNTIFS($A$5:A157,"&lt;&gt;",$B$5:B157,"Paused"),"")</f>
        <v/>
      </c>
      <c r="V157">
        <f>IF(P157="Yes",COUNTIF($P$5:P157,"Yes"),"")</f>
        <v/>
      </c>
      <c r="W157">
        <f>IF(A157="","",COUNTIF($A$5:$A$1004,"&lt;"&amp;A157)+COUNTIF($A$5:A157,A157))</f>
        <v/>
      </c>
      <c r="X157">
        <f>","&amp;SUBSTITUTE(SUBSTITUTE(SUBSTITUTE(UPPER(C157)," ",""),";",","),"/",",")&amp;","</f>
        <v/>
      </c>
      <c r="Y157">
        <f>IF(AND(A157&lt;&gt;"",B157="Active",'State Search'!$C$5&lt;&gt;"",OR(X157=",ALL,",ISNUMBER(SEARCH(","&amp;'State Search'!$C$5&amp;",",X157)))),W157,"")</f>
        <v/>
      </c>
    </row>
    <row r="158">
      <c r="A158" s="64" t="n"/>
      <c r="B158" s="65" t="n"/>
      <c r="C158" s="64" t="n"/>
      <c r="D158" s="66" t="n"/>
      <c r="E158" s="66" t="n"/>
      <c r="F158" s="67" t="n"/>
      <c r="G158" s="67" t="n"/>
      <c r="H158" s="67" t="n"/>
      <c r="I158" s="67" t="n"/>
      <c r="J158" s="67" t="n"/>
      <c r="K158" s="67" t="n"/>
      <c r="L158" s="67" t="n"/>
      <c r="M158" s="67" t="n"/>
      <c r="N158" s="65" t="n"/>
      <c r="O158" s="84">
        <f>IF(A158="","",IF(E158="","No date",IF(TODAY()&gt;=EDATE(E158,Review_Months),"Review Due","Current")))</f>
        <v/>
      </c>
      <c r="P158" s="84">
        <f>IF(A158="","",IF(COUNTIFS('AFA Rates'!$A$5:$A$1004,A158,'AFA Rates'!$O$5:$O$1004,"&lt;&gt;Expired")&gt;0,"Yes",IF(COUNTIF('AFA Rates'!$A$5:$A$1004,A158)&gt;0,"Expired only","No")))</f>
        <v/>
      </c>
      <c r="Q158" s="84">
        <f>IF(A158="","",COUNTIFS('AFA Rates'!$A$5:$A$1004,A158,'AFA Rates'!$O$5:$O$1004,"&lt;&gt;Expired"))</f>
        <v/>
      </c>
      <c r="R158" s="66" t="n"/>
      <c r="S158" s="64" t="n"/>
      <c r="T158" s="64" t="n"/>
      <c r="U158">
        <f>IF(AND(A158&lt;&gt;"",B158="Paused"),COUNTIFS($A$5:A158,"&lt;&gt;",$B$5:B158,"Paused"),"")</f>
        <v/>
      </c>
      <c r="V158">
        <f>IF(P158="Yes",COUNTIF($P$5:P158,"Yes"),"")</f>
        <v/>
      </c>
      <c r="W158">
        <f>IF(A158="","",COUNTIF($A$5:$A$1004,"&lt;"&amp;A158)+COUNTIF($A$5:A158,A158))</f>
        <v/>
      </c>
      <c r="X158">
        <f>","&amp;SUBSTITUTE(SUBSTITUTE(SUBSTITUTE(UPPER(C158)," ",""),";",","),"/",",")&amp;","</f>
        <v/>
      </c>
      <c r="Y158">
        <f>IF(AND(A158&lt;&gt;"",B158="Active",'State Search'!$C$5&lt;&gt;"",OR(X158=",ALL,",ISNUMBER(SEARCH(","&amp;'State Search'!$C$5&amp;",",X158)))),W158,"")</f>
        <v/>
      </c>
    </row>
    <row r="159">
      <c r="A159" s="64" t="n"/>
      <c r="B159" s="65" t="n"/>
      <c r="C159" s="64" t="n"/>
      <c r="D159" s="66" t="n"/>
      <c r="E159" s="66" t="n"/>
      <c r="F159" s="67" t="n"/>
      <c r="G159" s="67" t="n"/>
      <c r="H159" s="67" t="n"/>
      <c r="I159" s="67" t="n"/>
      <c r="J159" s="67" t="n"/>
      <c r="K159" s="67" t="n"/>
      <c r="L159" s="67" t="n"/>
      <c r="M159" s="67" t="n"/>
      <c r="N159" s="65" t="n"/>
      <c r="O159" s="84">
        <f>IF(A159="","",IF(E159="","No date",IF(TODAY()&gt;=EDATE(E159,Review_Months),"Review Due","Current")))</f>
        <v/>
      </c>
      <c r="P159" s="84">
        <f>IF(A159="","",IF(COUNTIFS('AFA Rates'!$A$5:$A$1004,A159,'AFA Rates'!$O$5:$O$1004,"&lt;&gt;Expired")&gt;0,"Yes",IF(COUNTIF('AFA Rates'!$A$5:$A$1004,A159)&gt;0,"Expired only","No")))</f>
        <v/>
      </c>
      <c r="Q159" s="84">
        <f>IF(A159="","",COUNTIFS('AFA Rates'!$A$5:$A$1004,A159,'AFA Rates'!$O$5:$O$1004,"&lt;&gt;Expired"))</f>
        <v/>
      </c>
      <c r="R159" s="66" t="n"/>
      <c r="S159" s="64" t="n"/>
      <c r="T159" s="64" t="n"/>
      <c r="U159">
        <f>IF(AND(A159&lt;&gt;"",B159="Paused"),COUNTIFS($A$5:A159,"&lt;&gt;",$B$5:B159,"Paused"),"")</f>
        <v/>
      </c>
      <c r="V159">
        <f>IF(P159="Yes",COUNTIF($P$5:P159,"Yes"),"")</f>
        <v/>
      </c>
      <c r="W159">
        <f>IF(A159="","",COUNTIF($A$5:$A$1004,"&lt;"&amp;A159)+COUNTIF($A$5:A159,A159))</f>
        <v/>
      </c>
      <c r="X159">
        <f>","&amp;SUBSTITUTE(SUBSTITUTE(SUBSTITUTE(UPPER(C159)," ",""),";",","),"/",",")&amp;","</f>
        <v/>
      </c>
      <c r="Y159">
        <f>IF(AND(A159&lt;&gt;"",B159="Active",'State Search'!$C$5&lt;&gt;"",OR(X159=",ALL,",ISNUMBER(SEARCH(","&amp;'State Search'!$C$5&amp;",",X159)))),W159,"")</f>
        <v/>
      </c>
    </row>
    <row r="160">
      <c r="A160" s="64" t="n"/>
      <c r="B160" s="65" t="n"/>
      <c r="C160" s="64" t="n"/>
      <c r="D160" s="66" t="n"/>
      <c r="E160" s="66" t="n"/>
      <c r="F160" s="67" t="n"/>
      <c r="G160" s="67" t="n"/>
      <c r="H160" s="67" t="n"/>
      <c r="I160" s="67" t="n"/>
      <c r="J160" s="67" t="n"/>
      <c r="K160" s="67" t="n"/>
      <c r="L160" s="67" t="n"/>
      <c r="M160" s="67" t="n"/>
      <c r="N160" s="65" t="n"/>
      <c r="O160" s="84">
        <f>IF(A160="","",IF(E160="","No date",IF(TODAY()&gt;=EDATE(E160,Review_Months),"Review Due","Current")))</f>
        <v/>
      </c>
      <c r="P160" s="84">
        <f>IF(A160="","",IF(COUNTIFS('AFA Rates'!$A$5:$A$1004,A160,'AFA Rates'!$O$5:$O$1004,"&lt;&gt;Expired")&gt;0,"Yes",IF(COUNTIF('AFA Rates'!$A$5:$A$1004,A160)&gt;0,"Expired only","No")))</f>
        <v/>
      </c>
      <c r="Q160" s="84">
        <f>IF(A160="","",COUNTIFS('AFA Rates'!$A$5:$A$1004,A160,'AFA Rates'!$O$5:$O$1004,"&lt;&gt;Expired"))</f>
        <v/>
      </c>
      <c r="R160" s="66" t="n"/>
      <c r="S160" s="64" t="n"/>
      <c r="T160" s="64" t="n"/>
      <c r="U160">
        <f>IF(AND(A160&lt;&gt;"",B160="Paused"),COUNTIFS($A$5:A160,"&lt;&gt;",$B$5:B160,"Paused"),"")</f>
        <v/>
      </c>
      <c r="V160">
        <f>IF(P160="Yes",COUNTIF($P$5:P160,"Yes"),"")</f>
        <v/>
      </c>
      <c r="W160">
        <f>IF(A160="","",COUNTIF($A$5:$A$1004,"&lt;"&amp;A160)+COUNTIF($A$5:A160,A160))</f>
        <v/>
      </c>
      <c r="X160">
        <f>","&amp;SUBSTITUTE(SUBSTITUTE(SUBSTITUTE(UPPER(C160)," ",""),";",","),"/",",")&amp;","</f>
        <v/>
      </c>
      <c r="Y160">
        <f>IF(AND(A160&lt;&gt;"",B160="Active",'State Search'!$C$5&lt;&gt;"",OR(X160=",ALL,",ISNUMBER(SEARCH(","&amp;'State Search'!$C$5&amp;",",X160)))),W160,"")</f>
        <v/>
      </c>
    </row>
    <row r="161">
      <c r="A161" s="64" t="n"/>
      <c r="B161" s="65" t="n"/>
      <c r="C161" s="64" t="n"/>
      <c r="D161" s="66" t="n"/>
      <c r="E161" s="66" t="n"/>
      <c r="F161" s="67" t="n"/>
      <c r="G161" s="67" t="n"/>
      <c r="H161" s="67" t="n"/>
      <c r="I161" s="67" t="n"/>
      <c r="J161" s="67" t="n"/>
      <c r="K161" s="67" t="n"/>
      <c r="L161" s="67" t="n"/>
      <c r="M161" s="67" t="n"/>
      <c r="N161" s="65" t="n"/>
      <c r="O161" s="84">
        <f>IF(A161="","",IF(E161="","No date",IF(TODAY()&gt;=EDATE(E161,Review_Months),"Review Due","Current")))</f>
        <v/>
      </c>
      <c r="P161" s="84">
        <f>IF(A161="","",IF(COUNTIFS('AFA Rates'!$A$5:$A$1004,A161,'AFA Rates'!$O$5:$O$1004,"&lt;&gt;Expired")&gt;0,"Yes",IF(COUNTIF('AFA Rates'!$A$5:$A$1004,A161)&gt;0,"Expired only","No")))</f>
        <v/>
      </c>
      <c r="Q161" s="84">
        <f>IF(A161="","",COUNTIFS('AFA Rates'!$A$5:$A$1004,A161,'AFA Rates'!$O$5:$O$1004,"&lt;&gt;Expired"))</f>
        <v/>
      </c>
      <c r="R161" s="66" t="n"/>
      <c r="S161" s="64" t="n"/>
      <c r="T161" s="64" t="n"/>
      <c r="U161">
        <f>IF(AND(A161&lt;&gt;"",B161="Paused"),COUNTIFS($A$5:A161,"&lt;&gt;",$B$5:B161,"Paused"),"")</f>
        <v/>
      </c>
      <c r="V161">
        <f>IF(P161="Yes",COUNTIF($P$5:P161,"Yes"),"")</f>
        <v/>
      </c>
      <c r="W161">
        <f>IF(A161="","",COUNTIF($A$5:$A$1004,"&lt;"&amp;A161)+COUNTIF($A$5:A161,A161))</f>
        <v/>
      </c>
      <c r="X161">
        <f>","&amp;SUBSTITUTE(SUBSTITUTE(SUBSTITUTE(UPPER(C161)," ",""),";",","),"/",",")&amp;","</f>
        <v/>
      </c>
      <c r="Y161">
        <f>IF(AND(A161&lt;&gt;"",B161="Active",'State Search'!$C$5&lt;&gt;"",OR(X161=",ALL,",ISNUMBER(SEARCH(","&amp;'State Search'!$C$5&amp;",",X161)))),W161,"")</f>
        <v/>
      </c>
    </row>
    <row r="162">
      <c r="A162" s="64" t="n"/>
      <c r="B162" s="65" t="n"/>
      <c r="C162" s="64" t="n"/>
      <c r="D162" s="66" t="n"/>
      <c r="E162" s="66" t="n"/>
      <c r="F162" s="67" t="n"/>
      <c r="G162" s="67" t="n"/>
      <c r="H162" s="67" t="n"/>
      <c r="I162" s="67" t="n"/>
      <c r="J162" s="67" t="n"/>
      <c r="K162" s="67" t="n"/>
      <c r="L162" s="67" t="n"/>
      <c r="M162" s="67" t="n"/>
      <c r="N162" s="65" t="n"/>
      <c r="O162" s="84">
        <f>IF(A162="","",IF(E162="","No date",IF(TODAY()&gt;=EDATE(E162,Review_Months),"Review Due","Current")))</f>
        <v/>
      </c>
      <c r="P162" s="84">
        <f>IF(A162="","",IF(COUNTIFS('AFA Rates'!$A$5:$A$1004,A162,'AFA Rates'!$O$5:$O$1004,"&lt;&gt;Expired")&gt;0,"Yes",IF(COUNTIF('AFA Rates'!$A$5:$A$1004,A162)&gt;0,"Expired only","No")))</f>
        <v/>
      </c>
      <c r="Q162" s="84">
        <f>IF(A162="","",COUNTIFS('AFA Rates'!$A$5:$A$1004,A162,'AFA Rates'!$O$5:$O$1004,"&lt;&gt;Expired"))</f>
        <v/>
      </c>
      <c r="R162" s="66" t="n"/>
      <c r="S162" s="64" t="n"/>
      <c r="T162" s="64" t="n"/>
      <c r="U162">
        <f>IF(AND(A162&lt;&gt;"",B162="Paused"),COUNTIFS($A$5:A162,"&lt;&gt;",$B$5:B162,"Paused"),"")</f>
        <v/>
      </c>
      <c r="V162">
        <f>IF(P162="Yes",COUNTIF($P$5:P162,"Yes"),"")</f>
        <v/>
      </c>
      <c r="W162">
        <f>IF(A162="","",COUNTIF($A$5:$A$1004,"&lt;"&amp;A162)+COUNTIF($A$5:A162,A162))</f>
        <v/>
      </c>
      <c r="X162">
        <f>","&amp;SUBSTITUTE(SUBSTITUTE(SUBSTITUTE(UPPER(C162)," ",""),";",","),"/",",")&amp;","</f>
        <v/>
      </c>
      <c r="Y162">
        <f>IF(AND(A162&lt;&gt;"",B162="Active",'State Search'!$C$5&lt;&gt;"",OR(X162=",ALL,",ISNUMBER(SEARCH(","&amp;'State Search'!$C$5&amp;",",X162)))),W162,"")</f>
        <v/>
      </c>
    </row>
    <row r="163">
      <c r="A163" s="64" t="n"/>
      <c r="B163" s="65" t="n"/>
      <c r="C163" s="64" t="n"/>
      <c r="D163" s="66" t="n"/>
      <c r="E163" s="66" t="n"/>
      <c r="F163" s="67" t="n"/>
      <c r="G163" s="67" t="n"/>
      <c r="H163" s="67" t="n"/>
      <c r="I163" s="67" t="n"/>
      <c r="J163" s="67" t="n"/>
      <c r="K163" s="67" t="n"/>
      <c r="L163" s="67" t="n"/>
      <c r="M163" s="67" t="n"/>
      <c r="N163" s="65" t="n"/>
      <c r="O163" s="84">
        <f>IF(A163="","",IF(E163="","No date",IF(TODAY()&gt;=EDATE(E163,Review_Months),"Review Due","Current")))</f>
        <v/>
      </c>
      <c r="P163" s="84">
        <f>IF(A163="","",IF(COUNTIFS('AFA Rates'!$A$5:$A$1004,A163,'AFA Rates'!$O$5:$O$1004,"&lt;&gt;Expired")&gt;0,"Yes",IF(COUNTIF('AFA Rates'!$A$5:$A$1004,A163)&gt;0,"Expired only","No")))</f>
        <v/>
      </c>
      <c r="Q163" s="84">
        <f>IF(A163="","",COUNTIFS('AFA Rates'!$A$5:$A$1004,A163,'AFA Rates'!$O$5:$O$1004,"&lt;&gt;Expired"))</f>
        <v/>
      </c>
      <c r="R163" s="66" t="n"/>
      <c r="S163" s="64" t="n"/>
      <c r="T163" s="64" t="n"/>
      <c r="U163">
        <f>IF(AND(A163&lt;&gt;"",B163="Paused"),COUNTIFS($A$5:A163,"&lt;&gt;",$B$5:B163,"Paused"),"")</f>
        <v/>
      </c>
      <c r="V163">
        <f>IF(P163="Yes",COUNTIF($P$5:P163,"Yes"),"")</f>
        <v/>
      </c>
      <c r="W163">
        <f>IF(A163="","",COUNTIF($A$5:$A$1004,"&lt;"&amp;A163)+COUNTIF($A$5:A163,A163))</f>
        <v/>
      </c>
      <c r="X163">
        <f>","&amp;SUBSTITUTE(SUBSTITUTE(SUBSTITUTE(UPPER(C163)," ",""),";",","),"/",",")&amp;","</f>
        <v/>
      </c>
      <c r="Y163">
        <f>IF(AND(A163&lt;&gt;"",B163="Active",'State Search'!$C$5&lt;&gt;"",OR(X163=",ALL,",ISNUMBER(SEARCH(","&amp;'State Search'!$C$5&amp;",",X163)))),W163,"")</f>
        <v/>
      </c>
    </row>
    <row r="164">
      <c r="A164" s="64" t="n"/>
      <c r="B164" s="65" t="n"/>
      <c r="C164" s="64" t="n"/>
      <c r="D164" s="66" t="n"/>
      <c r="E164" s="66" t="n"/>
      <c r="F164" s="67" t="n"/>
      <c r="G164" s="67" t="n"/>
      <c r="H164" s="67" t="n"/>
      <c r="I164" s="67" t="n"/>
      <c r="J164" s="67" t="n"/>
      <c r="K164" s="67" t="n"/>
      <c r="L164" s="67" t="n"/>
      <c r="M164" s="67" t="n"/>
      <c r="N164" s="65" t="n"/>
      <c r="O164" s="84">
        <f>IF(A164="","",IF(E164="","No date",IF(TODAY()&gt;=EDATE(E164,Review_Months),"Review Due","Current")))</f>
        <v/>
      </c>
      <c r="P164" s="84">
        <f>IF(A164="","",IF(COUNTIFS('AFA Rates'!$A$5:$A$1004,A164,'AFA Rates'!$O$5:$O$1004,"&lt;&gt;Expired")&gt;0,"Yes",IF(COUNTIF('AFA Rates'!$A$5:$A$1004,A164)&gt;0,"Expired only","No")))</f>
        <v/>
      </c>
      <c r="Q164" s="84">
        <f>IF(A164="","",COUNTIFS('AFA Rates'!$A$5:$A$1004,A164,'AFA Rates'!$O$5:$O$1004,"&lt;&gt;Expired"))</f>
        <v/>
      </c>
      <c r="R164" s="66" t="n"/>
      <c r="S164" s="64" t="n"/>
      <c r="T164" s="64" t="n"/>
      <c r="U164">
        <f>IF(AND(A164&lt;&gt;"",B164="Paused"),COUNTIFS($A$5:A164,"&lt;&gt;",$B$5:B164,"Paused"),"")</f>
        <v/>
      </c>
      <c r="V164">
        <f>IF(P164="Yes",COUNTIF($P$5:P164,"Yes"),"")</f>
        <v/>
      </c>
      <c r="W164">
        <f>IF(A164="","",COUNTIF($A$5:$A$1004,"&lt;"&amp;A164)+COUNTIF($A$5:A164,A164))</f>
        <v/>
      </c>
      <c r="X164">
        <f>","&amp;SUBSTITUTE(SUBSTITUTE(SUBSTITUTE(UPPER(C164)," ",""),";",","),"/",",")&amp;","</f>
        <v/>
      </c>
      <c r="Y164">
        <f>IF(AND(A164&lt;&gt;"",B164="Active",'State Search'!$C$5&lt;&gt;"",OR(X164=",ALL,",ISNUMBER(SEARCH(","&amp;'State Search'!$C$5&amp;",",X164)))),W164,"")</f>
        <v/>
      </c>
    </row>
    <row r="165">
      <c r="A165" s="64" t="n"/>
      <c r="B165" s="65" t="n"/>
      <c r="C165" s="64" t="n"/>
      <c r="D165" s="66" t="n"/>
      <c r="E165" s="66" t="n"/>
      <c r="F165" s="67" t="n"/>
      <c r="G165" s="67" t="n"/>
      <c r="H165" s="67" t="n"/>
      <c r="I165" s="67" t="n"/>
      <c r="J165" s="67" t="n"/>
      <c r="K165" s="67" t="n"/>
      <c r="L165" s="67" t="n"/>
      <c r="M165" s="67" t="n"/>
      <c r="N165" s="65" t="n"/>
      <c r="O165" s="84">
        <f>IF(A165="","",IF(E165="","No date",IF(TODAY()&gt;=EDATE(E165,Review_Months),"Review Due","Current")))</f>
        <v/>
      </c>
      <c r="P165" s="84">
        <f>IF(A165="","",IF(COUNTIFS('AFA Rates'!$A$5:$A$1004,A165,'AFA Rates'!$O$5:$O$1004,"&lt;&gt;Expired")&gt;0,"Yes",IF(COUNTIF('AFA Rates'!$A$5:$A$1004,A165)&gt;0,"Expired only","No")))</f>
        <v/>
      </c>
      <c r="Q165" s="84">
        <f>IF(A165="","",COUNTIFS('AFA Rates'!$A$5:$A$1004,A165,'AFA Rates'!$O$5:$O$1004,"&lt;&gt;Expired"))</f>
        <v/>
      </c>
      <c r="R165" s="66" t="n"/>
      <c r="S165" s="64" t="n"/>
      <c r="T165" s="64" t="n"/>
      <c r="U165">
        <f>IF(AND(A165&lt;&gt;"",B165="Paused"),COUNTIFS($A$5:A165,"&lt;&gt;",$B$5:B165,"Paused"),"")</f>
        <v/>
      </c>
      <c r="V165">
        <f>IF(P165="Yes",COUNTIF($P$5:P165,"Yes"),"")</f>
        <v/>
      </c>
      <c r="W165">
        <f>IF(A165="","",COUNTIF($A$5:$A$1004,"&lt;"&amp;A165)+COUNTIF($A$5:A165,A165))</f>
        <v/>
      </c>
      <c r="X165">
        <f>","&amp;SUBSTITUTE(SUBSTITUTE(SUBSTITUTE(UPPER(C165)," ",""),";",","),"/",",")&amp;","</f>
        <v/>
      </c>
      <c r="Y165">
        <f>IF(AND(A165&lt;&gt;"",B165="Active",'State Search'!$C$5&lt;&gt;"",OR(X165=",ALL,",ISNUMBER(SEARCH(","&amp;'State Search'!$C$5&amp;",",X165)))),W165,"")</f>
        <v/>
      </c>
    </row>
    <row r="166">
      <c r="A166" s="64" t="n"/>
      <c r="B166" s="65" t="n"/>
      <c r="C166" s="64" t="n"/>
      <c r="D166" s="66" t="n"/>
      <c r="E166" s="66" t="n"/>
      <c r="F166" s="67" t="n"/>
      <c r="G166" s="67" t="n"/>
      <c r="H166" s="67" t="n"/>
      <c r="I166" s="67" t="n"/>
      <c r="J166" s="67" t="n"/>
      <c r="K166" s="67" t="n"/>
      <c r="L166" s="67" t="n"/>
      <c r="M166" s="67" t="n"/>
      <c r="N166" s="65" t="n"/>
      <c r="O166" s="84">
        <f>IF(A166="","",IF(E166="","No date",IF(TODAY()&gt;=EDATE(E166,Review_Months),"Review Due","Current")))</f>
        <v/>
      </c>
      <c r="P166" s="84">
        <f>IF(A166="","",IF(COUNTIFS('AFA Rates'!$A$5:$A$1004,A166,'AFA Rates'!$O$5:$O$1004,"&lt;&gt;Expired")&gt;0,"Yes",IF(COUNTIF('AFA Rates'!$A$5:$A$1004,A166)&gt;0,"Expired only","No")))</f>
        <v/>
      </c>
      <c r="Q166" s="84">
        <f>IF(A166="","",COUNTIFS('AFA Rates'!$A$5:$A$1004,A166,'AFA Rates'!$O$5:$O$1004,"&lt;&gt;Expired"))</f>
        <v/>
      </c>
      <c r="R166" s="66" t="n"/>
      <c r="S166" s="64" t="n"/>
      <c r="T166" s="64" t="n"/>
      <c r="U166">
        <f>IF(AND(A166&lt;&gt;"",B166="Paused"),COUNTIFS($A$5:A166,"&lt;&gt;",$B$5:B166,"Paused"),"")</f>
        <v/>
      </c>
      <c r="V166">
        <f>IF(P166="Yes",COUNTIF($P$5:P166,"Yes"),"")</f>
        <v/>
      </c>
      <c r="W166">
        <f>IF(A166="","",COUNTIF($A$5:$A$1004,"&lt;"&amp;A166)+COUNTIF($A$5:A166,A166))</f>
        <v/>
      </c>
      <c r="X166">
        <f>","&amp;SUBSTITUTE(SUBSTITUTE(SUBSTITUTE(UPPER(C166)," ",""),";",","),"/",",")&amp;","</f>
        <v/>
      </c>
      <c r="Y166">
        <f>IF(AND(A166&lt;&gt;"",B166="Active",'State Search'!$C$5&lt;&gt;"",OR(X166=",ALL,",ISNUMBER(SEARCH(","&amp;'State Search'!$C$5&amp;",",X166)))),W166,"")</f>
        <v/>
      </c>
    </row>
    <row r="167">
      <c r="A167" s="64" t="n"/>
      <c r="B167" s="65" t="n"/>
      <c r="C167" s="64" t="n"/>
      <c r="D167" s="66" t="n"/>
      <c r="E167" s="66" t="n"/>
      <c r="F167" s="67" t="n"/>
      <c r="G167" s="67" t="n"/>
      <c r="H167" s="67" t="n"/>
      <c r="I167" s="67" t="n"/>
      <c r="J167" s="67" t="n"/>
      <c r="K167" s="67" t="n"/>
      <c r="L167" s="67" t="n"/>
      <c r="M167" s="67" t="n"/>
      <c r="N167" s="65" t="n"/>
      <c r="O167" s="84">
        <f>IF(A167="","",IF(E167="","No date",IF(TODAY()&gt;=EDATE(E167,Review_Months),"Review Due","Current")))</f>
        <v/>
      </c>
      <c r="P167" s="84">
        <f>IF(A167="","",IF(COUNTIFS('AFA Rates'!$A$5:$A$1004,A167,'AFA Rates'!$O$5:$O$1004,"&lt;&gt;Expired")&gt;0,"Yes",IF(COUNTIF('AFA Rates'!$A$5:$A$1004,A167)&gt;0,"Expired only","No")))</f>
        <v/>
      </c>
      <c r="Q167" s="84">
        <f>IF(A167="","",COUNTIFS('AFA Rates'!$A$5:$A$1004,A167,'AFA Rates'!$O$5:$O$1004,"&lt;&gt;Expired"))</f>
        <v/>
      </c>
      <c r="R167" s="66" t="n"/>
      <c r="S167" s="64" t="n"/>
      <c r="T167" s="64" t="n"/>
      <c r="U167">
        <f>IF(AND(A167&lt;&gt;"",B167="Paused"),COUNTIFS($A$5:A167,"&lt;&gt;",$B$5:B167,"Paused"),"")</f>
        <v/>
      </c>
      <c r="V167">
        <f>IF(P167="Yes",COUNTIF($P$5:P167,"Yes"),"")</f>
        <v/>
      </c>
      <c r="W167">
        <f>IF(A167="","",COUNTIF($A$5:$A$1004,"&lt;"&amp;A167)+COUNTIF($A$5:A167,A167))</f>
        <v/>
      </c>
      <c r="X167">
        <f>","&amp;SUBSTITUTE(SUBSTITUTE(SUBSTITUTE(UPPER(C167)," ",""),";",","),"/",",")&amp;","</f>
        <v/>
      </c>
      <c r="Y167">
        <f>IF(AND(A167&lt;&gt;"",B167="Active",'State Search'!$C$5&lt;&gt;"",OR(X167=",ALL,",ISNUMBER(SEARCH(","&amp;'State Search'!$C$5&amp;",",X167)))),W167,"")</f>
        <v/>
      </c>
    </row>
    <row r="168">
      <c r="A168" s="64" t="n"/>
      <c r="B168" s="65" t="n"/>
      <c r="C168" s="64" t="n"/>
      <c r="D168" s="66" t="n"/>
      <c r="E168" s="66" t="n"/>
      <c r="F168" s="67" t="n"/>
      <c r="G168" s="67" t="n"/>
      <c r="H168" s="67" t="n"/>
      <c r="I168" s="67" t="n"/>
      <c r="J168" s="67" t="n"/>
      <c r="K168" s="67" t="n"/>
      <c r="L168" s="67" t="n"/>
      <c r="M168" s="67" t="n"/>
      <c r="N168" s="65" t="n"/>
      <c r="O168" s="84">
        <f>IF(A168="","",IF(E168="","No date",IF(TODAY()&gt;=EDATE(E168,Review_Months),"Review Due","Current")))</f>
        <v/>
      </c>
      <c r="P168" s="84">
        <f>IF(A168="","",IF(COUNTIFS('AFA Rates'!$A$5:$A$1004,A168,'AFA Rates'!$O$5:$O$1004,"&lt;&gt;Expired")&gt;0,"Yes",IF(COUNTIF('AFA Rates'!$A$5:$A$1004,A168)&gt;0,"Expired only","No")))</f>
        <v/>
      </c>
      <c r="Q168" s="84">
        <f>IF(A168="","",COUNTIFS('AFA Rates'!$A$5:$A$1004,A168,'AFA Rates'!$O$5:$O$1004,"&lt;&gt;Expired"))</f>
        <v/>
      </c>
      <c r="R168" s="66" t="n"/>
      <c r="S168" s="64" t="n"/>
      <c r="T168" s="64" t="n"/>
      <c r="U168">
        <f>IF(AND(A168&lt;&gt;"",B168="Paused"),COUNTIFS($A$5:A168,"&lt;&gt;",$B$5:B168,"Paused"),"")</f>
        <v/>
      </c>
      <c r="V168">
        <f>IF(P168="Yes",COUNTIF($P$5:P168,"Yes"),"")</f>
        <v/>
      </c>
      <c r="W168">
        <f>IF(A168="","",COUNTIF($A$5:$A$1004,"&lt;"&amp;A168)+COUNTIF($A$5:A168,A168))</f>
        <v/>
      </c>
      <c r="X168">
        <f>","&amp;SUBSTITUTE(SUBSTITUTE(SUBSTITUTE(UPPER(C168)," ",""),";",","),"/",",")&amp;","</f>
        <v/>
      </c>
      <c r="Y168">
        <f>IF(AND(A168&lt;&gt;"",B168="Active",'State Search'!$C$5&lt;&gt;"",OR(X168=",ALL,",ISNUMBER(SEARCH(","&amp;'State Search'!$C$5&amp;",",X168)))),W168,"")</f>
        <v/>
      </c>
    </row>
    <row r="169">
      <c r="A169" s="64" t="n"/>
      <c r="B169" s="65" t="n"/>
      <c r="C169" s="64" t="n"/>
      <c r="D169" s="66" t="n"/>
      <c r="E169" s="66" t="n"/>
      <c r="F169" s="67" t="n"/>
      <c r="G169" s="67" t="n"/>
      <c r="H169" s="67" t="n"/>
      <c r="I169" s="67" t="n"/>
      <c r="J169" s="67" t="n"/>
      <c r="K169" s="67" t="n"/>
      <c r="L169" s="67" t="n"/>
      <c r="M169" s="67" t="n"/>
      <c r="N169" s="65" t="n"/>
      <c r="O169" s="84">
        <f>IF(A169="","",IF(E169="","No date",IF(TODAY()&gt;=EDATE(E169,Review_Months),"Review Due","Current")))</f>
        <v/>
      </c>
      <c r="P169" s="84">
        <f>IF(A169="","",IF(COUNTIFS('AFA Rates'!$A$5:$A$1004,A169,'AFA Rates'!$O$5:$O$1004,"&lt;&gt;Expired")&gt;0,"Yes",IF(COUNTIF('AFA Rates'!$A$5:$A$1004,A169)&gt;0,"Expired only","No")))</f>
        <v/>
      </c>
      <c r="Q169" s="84">
        <f>IF(A169="","",COUNTIFS('AFA Rates'!$A$5:$A$1004,A169,'AFA Rates'!$O$5:$O$1004,"&lt;&gt;Expired"))</f>
        <v/>
      </c>
      <c r="R169" s="66" t="n"/>
      <c r="S169" s="64" t="n"/>
      <c r="T169" s="64" t="n"/>
      <c r="U169">
        <f>IF(AND(A169&lt;&gt;"",B169="Paused"),COUNTIFS($A$5:A169,"&lt;&gt;",$B$5:B169,"Paused"),"")</f>
        <v/>
      </c>
      <c r="V169">
        <f>IF(P169="Yes",COUNTIF($P$5:P169,"Yes"),"")</f>
        <v/>
      </c>
      <c r="W169">
        <f>IF(A169="","",COUNTIF($A$5:$A$1004,"&lt;"&amp;A169)+COUNTIF($A$5:A169,A169))</f>
        <v/>
      </c>
      <c r="X169">
        <f>","&amp;SUBSTITUTE(SUBSTITUTE(SUBSTITUTE(UPPER(C169)," ",""),";",","),"/",",")&amp;","</f>
        <v/>
      </c>
      <c r="Y169">
        <f>IF(AND(A169&lt;&gt;"",B169="Active",'State Search'!$C$5&lt;&gt;"",OR(X169=",ALL,",ISNUMBER(SEARCH(","&amp;'State Search'!$C$5&amp;",",X169)))),W169,"")</f>
        <v/>
      </c>
    </row>
    <row r="170">
      <c r="A170" s="64" t="n"/>
      <c r="B170" s="65" t="n"/>
      <c r="C170" s="64" t="n"/>
      <c r="D170" s="66" t="n"/>
      <c r="E170" s="66" t="n"/>
      <c r="F170" s="67" t="n"/>
      <c r="G170" s="67" t="n"/>
      <c r="H170" s="67" t="n"/>
      <c r="I170" s="67" t="n"/>
      <c r="J170" s="67" t="n"/>
      <c r="K170" s="67" t="n"/>
      <c r="L170" s="67" t="n"/>
      <c r="M170" s="67" t="n"/>
      <c r="N170" s="65" t="n"/>
      <c r="O170" s="84">
        <f>IF(A170="","",IF(E170="","No date",IF(TODAY()&gt;=EDATE(E170,Review_Months),"Review Due","Current")))</f>
        <v/>
      </c>
      <c r="P170" s="84">
        <f>IF(A170="","",IF(COUNTIFS('AFA Rates'!$A$5:$A$1004,A170,'AFA Rates'!$O$5:$O$1004,"&lt;&gt;Expired")&gt;0,"Yes",IF(COUNTIF('AFA Rates'!$A$5:$A$1004,A170)&gt;0,"Expired only","No")))</f>
        <v/>
      </c>
      <c r="Q170" s="84">
        <f>IF(A170="","",COUNTIFS('AFA Rates'!$A$5:$A$1004,A170,'AFA Rates'!$O$5:$O$1004,"&lt;&gt;Expired"))</f>
        <v/>
      </c>
      <c r="R170" s="66" t="n"/>
      <c r="S170" s="64" t="n"/>
      <c r="T170" s="64" t="n"/>
      <c r="U170">
        <f>IF(AND(A170&lt;&gt;"",B170="Paused"),COUNTIFS($A$5:A170,"&lt;&gt;",$B$5:B170,"Paused"),"")</f>
        <v/>
      </c>
      <c r="V170">
        <f>IF(P170="Yes",COUNTIF($P$5:P170,"Yes"),"")</f>
        <v/>
      </c>
      <c r="W170">
        <f>IF(A170="","",COUNTIF($A$5:$A$1004,"&lt;"&amp;A170)+COUNTIF($A$5:A170,A170))</f>
        <v/>
      </c>
      <c r="X170">
        <f>","&amp;SUBSTITUTE(SUBSTITUTE(SUBSTITUTE(UPPER(C170)," ",""),";",","),"/",",")&amp;","</f>
        <v/>
      </c>
      <c r="Y170">
        <f>IF(AND(A170&lt;&gt;"",B170="Active",'State Search'!$C$5&lt;&gt;"",OR(X170=",ALL,",ISNUMBER(SEARCH(","&amp;'State Search'!$C$5&amp;",",X170)))),W170,"")</f>
        <v/>
      </c>
    </row>
    <row r="171">
      <c r="A171" s="64" t="n"/>
      <c r="B171" s="65" t="n"/>
      <c r="C171" s="64" t="n"/>
      <c r="D171" s="66" t="n"/>
      <c r="E171" s="66" t="n"/>
      <c r="F171" s="67" t="n"/>
      <c r="G171" s="67" t="n"/>
      <c r="H171" s="67" t="n"/>
      <c r="I171" s="67" t="n"/>
      <c r="J171" s="67" t="n"/>
      <c r="K171" s="67" t="n"/>
      <c r="L171" s="67" t="n"/>
      <c r="M171" s="67" t="n"/>
      <c r="N171" s="65" t="n"/>
      <c r="O171" s="84">
        <f>IF(A171="","",IF(E171="","No date",IF(TODAY()&gt;=EDATE(E171,Review_Months),"Review Due","Current")))</f>
        <v/>
      </c>
      <c r="P171" s="84">
        <f>IF(A171="","",IF(COUNTIFS('AFA Rates'!$A$5:$A$1004,A171,'AFA Rates'!$O$5:$O$1004,"&lt;&gt;Expired")&gt;0,"Yes",IF(COUNTIF('AFA Rates'!$A$5:$A$1004,A171)&gt;0,"Expired only","No")))</f>
        <v/>
      </c>
      <c r="Q171" s="84">
        <f>IF(A171="","",COUNTIFS('AFA Rates'!$A$5:$A$1004,A171,'AFA Rates'!$O$5:$O$1004,"&lt;&gt;Expired"))</f>
        <v/>
      </c>
      <c r="R171" s="66" t="n"/>
      <c r="S171" s="64" t="n"/>
      <c r="T171" s="64" t="n"/>
      <c r="U171">
        <f>IF(AND(A171&lt;&gt;"",B171="Paused"),COUNTIFS($A$5:A171,"&lt;&gt;",$B$5:B171,"Paused"),"")</f>
        <v/>
      </c>
      <c r="V171">
        <f>IF(P171="Yes",COUNTIF($P$5:P171,"Yes"),"")</f>
        <v/>
      </c>
      <c r="W171">
        <f>IF(A171="","",COUNTIF($A$5:$A$1004,"&lt;"&amp;A171)+COUNTIF($A$5:A171,A171))</f>
        <v/>
      </c>
      <c r="X171">
        <f>","&amp;SUBSTITUTE(SUBSTITUTE(SUBSTITUTE(UPPER(C171)," ",""),";",","),"/",",")&amp;","</f>
        <v/>
      </c>
      <c r="Y171">
        <f>IF(AND(A171&lt;&gt;"",B171="Active",'State Search'!$C$5&lt;&gt;"",OR(X171=",ALL,",ISNUMBER(SEARCH(","&amp;'State Search'!$C$5&amp;",",X171)))),W171,"")</f>
        <v/>
      </c>
    </row>
    <row r="172">
      <c r="A172" s="64" t="n"/>
      <c r="B172" s="65" t="n"/>
      <c r="C172" s="64" t="n"/>
      <c r="D172" s="66" t="n"/>
      <c r="E172" s="66" t="n"/>
      <c r="F172" s="67" t="n"/>
      <c r="G172" s="67" t="n"/>
      <c r="H172" s="67" t="n"/>
      <c r="I172" s="67" t="n"/>
      <c r="J172" s="67" t="n"/>
      <c r="K172" s="67" t="n"/>
      <c r="L172" s="67" t="n"/>
      <c r="M172" s="67" t="n"/>
      <c r="N172" s="65" t="n"/>
      <c r="O172" s="84">
        <f>IF(A172="","",IF(E172="","No date",IF(TODAY()&gt;=EDATE(E172,Review_Months),"Review Due","Current")))</f>
        <v/>
      </c>
      <c r="P172" s="84">
        <f>IF(A172="","",IF(COUNTIFS('AFA Rates'!$A$5:$A$1004,A172,'AFA Rates'!$O$5:$O$1004,"&lt;&gt;Expired")&gt;0,"Yes",IF(COUNTIF('AFA Rates'!$A$5:$A$1004,A172)&gt;0,"Expired only","No")))</f>
        <v/>
      </c>
      <c r="Q172" s="84">
        <f>IF(A172="","",COUNTIFS('AFA Rates'!$A$5:$A$1004,A172,'AFA Rates'!$O$5:$O$1004,"&lt;&gt;Expired"))</f>
        <v/>
      </c>
      <c r="R172" s="66" t="n"/>
      <c r="S172" s="64" t="n"/>
      <c r="T172" s="64" t="n"/>
      <c r="U172">
        <f>IF(AND(A172&lt;&gt;"",B172="Paused"),COUNTIFS($A$5:A172,"&lt;&gt;",$B$5:B172,"Paused"),"")</f>
        <v/>
      </c>
      <c r="V172">
        <f>IF(P172="Yes",COUNTIF($P$5:P172,"Yes"),"")</f>
        <v/>
      </c>
      <c r="W172">
        <f>IF(A172="","",COUNTIF($A$5:$A$1004,"&lt;"&amp;A172)+COUNTIF($A$5:A172,A172))</f>
        <v/>
      </c>
      <c r="X172">
        <f>","&amp;SUBSTITUTE(SUBSTITUTE(SUBSTITUTE(UPPER(C172)," ",""),";",","),"/",",")&amp;","</f>
        <v/>
      </c>
      <c r="Y172">
        <f>IF(AND(A172&lt;&gt;"",B172="Active",'State Search'!$C$5&lt;&gt;"",OR(X172=",ALL,",ISNUMBER(SEARCH(","&amp;'State Search'!$C$5&amp;",",X172)))),W172,"")</f>
        <v/>
      </c>
    </row>
    <row r="173">
      <c r="A173" s="64" t="n"/>
      <c r="B173" s="65" t="n"/>
      <c r="C173" s="64" t="n"/>
      <c r="D173" s="66" t="n"/>
      <c r="E173" s="66" t="n"/>
      <c r="F173" s="67" t="n"/>
      <c r="G173" s="67" t="n"/>
      <c r="H173" s="67" t="n"/>
      <c r="I173" s="67" t="n"/>
      <c r="J173" s="67" t="n"/>
      <c r="K173" s="67" t="n"/>
      <c r="L173" s="67" t="n"/>
      <c r="M173" s="67" t="n"/>
      <c r="N173" s="65" t="n"/>
      <c r="O173" s="84">
        <f>IF(A173="","",IF(E173="","No date",IF(TODAY()&gt;=EDATE(E173,Review_Months),"Review Due","Current")))</f>
        <v/>
      </c>
      <c r="P173" s="84">
        <f>IF(A173="","",IF(COUNTIFS('AFA Rates'!$A$5:$A$1004,A173,'AFA Rates'!$O$5:$O$1004,"&lt;&gt;Expired")&gt;0,"Yes",IF(COUNTIF('AFA Rates'!$A$5:$A$1004,A173)&gt;0,"Expired only","No")))</f>
        <v/>
      </c>
      <c r="Q173" s="84">
        <f>IF(A173="","",COUNTIFS('AFA Rates'!$A$5:$A$1004,A173,'AFA Rates'!$O$5:$O$1004,"&lt;&gt;Expired"))</f>
        <v/>
      </c>
      <c r="R173" s="66" t="n"/>
      <c r="S173" s="64" t="n"/>
      <c r="T173" s="64" t="n"/>
      <c r="U173">
        <f>IF(AND(A173&lt;&gt;"",B173="Paused"),COUNTIFS($A$5:A173,"&lt;&gt;",$B$5:B173,"Paused"),"")</f>
        <v/>
      </c>
      <c r="V173">
        <f>IF(P173="Yes",COUNTIF($P$5:P173,"Yes"),"")</f>
        <v/>
      </c>
      <c r="W173">
        <f>IF(A173="","",COUNTIF($A$5:$A$1004,"&lt;"&amp;A173)+COUNTIF($A$5:A173,A173))</f>
        <v/>
      </c>
      <c r="X173">
        <f>","&amp;SUBSTITUTE(SUBSTITUTE(SUBSTITUTE(UPPER(C173)," ",""),";",","),"/",",")&amp;","</f>
        <v/>
      </c>
      <c r="Y173">
        <f>IF(AND(A173&lt;&gt;"",B173="Active",'State Search'!$C$5&lt;&gt;"",OR(X173=",ALL,",ISNUMBER(SEARCH(","&amp;'State Search'!$C$5&amp;",",X173)))),W173,"")</f>
        <v/>
      </c>
    </row>
    <row r="174">
      <c r="A174" s="64" t="n"/>
      <c r="B174" s="65" t="n"/>
      <c r="C174" s="64" t="n"/>
      <c r="D174" s="66" t="n"/>
      <c r="E174" s="66" t="n"/>
      <c r="F174" s="67" t="n"/>
      <c r="G174" s="67" t="n"/>
      <c r="H174" s="67" t="n"/>
      <c r="I174" s="67" t="n"/>
      <c r="J174" s="67" t="n"/>
      <c r="K174" s="67" t="n"/>
      <c r="L174" s="67" t="n"/>
      <c r="M174" s="67" t="n"/>
      <c r="N174" s="65" t="n"/>
      <c r="O174" s="84">
        <f>IF(A174="","",IF(E174="","No date",IF(TODAY()&gt;=EDATE(E174,Review_Months),"Review Due","Current")))</f>
        <v/>
      </c>
      <c r="P174" s="84">
        <f>IF(A174="","",IF(COUNTIFS('AFA Rates'!$A$5:$A$1004,A174,'AFA Rates'!$O$5:$O$1004,"&lt;&gt;Expired")&gt;0,"Yes",IF(COUNTIF('AFA Rates'!$A$5:$A$1004,A174)&gt;0,"Expired only","No")))</f>
        <v/>
      </c>
      <c r="Q174" s="84">
        <f>IF(A174="","",COUNTIFS('AFA Rates'!$A$5:$A$1004,A174,'AFA Rates'!$O$5:$O$1004,"&lt;&gt;Expired"))</f>
        <v/>
      </c>
      <c r="R174" s="66" t="n"/>
      <c r="S174" s="64" t="n"/>
      <c r="T174" s="64" t="n"/>
      <c r="U174">
        <f>IF(AND(A174&lt;&gt;"",B174="Paused"),COUNTIFS($A$5:A174,"&lt;&gt;",$B$5:B174,"Paused"),"")</f>
        <v/>
      </c>
      <c r="V174">
        <f>IF(P174="Yes",COUNTIF($P$5:P174,"Yes"),"")</f>
        <v/>
      </c>
      <c r="W174">
        <f>IF(A174="","",COUNTIF($A$5:$A$1004,"&lt;"&amp;A174)+COUNTIF($A$5:A174,A174))</f>
        <v/>
      </c>
      <c r="X174">
        <f>","&amp;SUBSTITUTE(SUBSTITUTE(SUBSTITUTE(UPPER(C174)," ",""),";",","),"/",",")&amp;","</f>
        <v/>
      </c>
      <c r="Y174">
        <f>IF(AND(A174&lt;&gt;"",B174="Active",'State Search'!$C$5&lt;&gt;"",OR(X174=",ALL,",ISNUMBER(SEARCH(","&amp;'State Search'!$C$5&amp;",",X174)))),W174,"")</f>
        <v/>
      </c>
    </row>
    <row r="175">
      <c r="A175" s="64" t="n"/>
      <c r="B175" s="65" t="n"/>
      <c r="C175" s="64" t="n"/>
      <c r="D175" s="66" t="n"/>
      <c r="E175" s="66" t="n"/>
      <c r="F175" s="67" t="n"/>
      <c r="G175" s="67" t="n"/>
      <c r="H175" s="67" t="n"/>
      <c r="I175" s="67" t="n"/>
      <c r="J175" s="67" t="n"/>
      <c r="K175" s="67" t="n"/>
      <c r="L175" s="67" t="n"/>
      <c r="M175" s="67" t="n"/>
      <c r="N175" s="65" t="n"/>
      <c r="O175" s="84">
        <f>IF(A175="","",IF(E175="","No date",IF(TODAY()&gt;=EDATE(E175,Review_Months),"Review Due","Current")))</f>
        <v/>
      </c>
      <c r="P175" s="84">
        <f>IF(A175="","",IF(COUNTIFS('AFA Rates'!$A$5:$A$1004,A175,'AFA Rates'!$O$5:$O$1004,"&lt;&gt;Expired")&gt;0,"Yes",IF(COUNTIF('AFA Rates'!$A$5:$A$1004,A175)&gt;0,"Expired only","No")))</f>
        <v/>
      </c>
      <c r="Q175" s="84">
        <f>IF(A175="","",COUNTIFS('AFA Rates'!$A$5:$A$1004,A175,'AFA Rates'!$O$5:$O$1004,"&lt;&gt;Expired"))</f>
        <v/>
      </c>
      <c r="R175" s="66" t="n"/>
      <c r="S175" s="64" t="n"/>
      <c r="T175" s="64" t="n"/>
      <c r="U175">
        <f>IF(AND(A175&lt;&gt;"",B175="Paused"),COUNTIFS($A$5:A175,"&lt;&gt;",$B$5:B175,"Paused"),"")</f>
        <v/>
      </c>
      <c r="V175">
        <f>IF(P175="Yes",COUNTIF($P$5:P175,"Yes"),"")</f>
        <v/>
      </c>
      <c r="W175">
        <f>IF(A175="","",COUNTIF($A$5:$A$1004,"&lt;"&amp;A175)+COUNTIF($A$5:A175,A175))</f>
        <v/>
      </c>
      <c r="X175">
        <f>","&amp;SUBSTITUTE(SUBSTITUTE(SUBSTITUTE(UPPER(C175)," ",""),";",","),"/",",")&amp;","</f>
        <v/>
      </c>
      <c r="Y175">
        <f>IF(AND(A175&lt;&gt;"",B175="Active",'State Search'!$C$5&lt;&gt;"",OR(X175=",ALL,",ISNUMBER(SEARCH(","&amp;'State Search'!$C$5&amp;",",X175)))),W175,"")</f>
        <v/>
      </c>
    </row>
    <row r="176">
      <c r="A176" s="64" t="n"/>
      <c r="B176" s="65" t="n"/>
      <c r="C176" s="64" t="n"/>
      <c r="D176" s="66" t="n"/>
      <c r="E176" s="66" t="n"/>
      <c r="F176" s="67" t="n"/>
      <c r="G176" s="67" t="n"/>
      <c r="H176" s="67" t="n"/>
      <c r="I176" s="67" t="n"/>
      <c r="J176" s="67" t="n"/>
      <c r="K176" s="67" t="n"/>
      <c r="L176" s="67" t="n"/>
      <c r="M176" s="67" t="n"/>
      <c r="N176" s="65" t="n"/>
      <c r="O176" s="84">
        <f>IF(A176="","",IF(E176="","No date",IF(TODAY()&gt;=EDATE(E176,Review_Months),"Review Due","Current")))</f>
        <v/>
      </c>
      <c r="P176" s="84">
        <f>IF(A176="","",IF(COUNTIFS('AFA Rates'!$A$5:$A$1004,A176,'AFA Rates'!$O$5:$O$1004,"&lt;&gt;Expired")&gt;0,"Yes",IF(COUNTIF('AFA Rates'!$A$5:$A$1004,A176)&gt;0,"Expired only","No")))</f>
        <v/>
      </c>
      <c r="Q176" s="84">
        <f>IF(A176="","",COUNTIFS('AFA Rates'!$A$5:$A$1004,A176,'AFA Rates'!$O$5:$O$1004,"&lt;&gt;Expired"))</f>
        <v/>
      </c>
      <c r="R176" s="66" t="n"/>
      <c r="S176" s="64" t="n"/>
      <c r="T176" s="64" t="n"/>
      <c r="U176">
        <f>IF(AND(A176&lt;&gt;"",B176="Paused"),COUNTIFS($A$5:A176,"&lt;&gt;",$B$5:B176,"Paused"),"")</f>
        <v/>
      </c>
      <c r="V176">
        <f>IF(P176="Yes",COUNTIF($P$5:P176,"Yes"),"")</f>
        <v/>
      </c>
      <c r="W176">
        <f>IF(A176="","",COUNTIF($A$5:$A$1004,"&lt;"&amp;A176)+COUNTIF($A$5:A176,A176))</f>
        <v/>
      </c>
      <c r="X176">
        <f>","&amp;SUBSTITUTE(SUBSTITUTE(SUBSTITUTE(UPPER(C176)," ",""),";",","),"/",",")&amp;","</f>
        <v/>
      </c>
      <c r="Y176">
        <f>IF(AND(A176&lt;&gt;"",B176="Active",'State Search'!$C$5&lt;&gt;"",OR(X176=",ALL,",ISNUMBER(SEARCH(","&amp;'State Search'!$C$5&amp;",",X176)))),W176,"")</f>
        <v/>
      </c>
    </row>
    <row r="177">
      <c r="A177" s="64" t="n"/>
      <c r="B177" s="65" t="n"/>
      <c r="C177" s="64" t="n"/>
      <c r="D177" s="66" t="n"/>
      <c r="E177" s="66" t="n"/>
      <c r="F177" s="67" t="n"/>
      <c r="G177" s="67" t="n"/>
      <c r="H177" s="67" t="n"/>
      <c r="I177" s="67" t="n"/>
      <c r="J177" s="67" t="n"/>
      <c r="K177" s="67" t="n"/>
      <c r="L177" s="67" t="n"/>
      <c r="M177" s="67" t="n"/>
      <c r="N177" s="65" t="n"/>
      <c r="O177" s="84">
        <f>IF(A177="","",IF(E177="","No date",IF(TODAY()&gt;=EDATE(E177,Review_Months),"Review Due","Current")))</f>
        <v/>
      </c>
      <c r="P177" s="84">
        <f>IF(A177="","",IF(COUNTIFS('AFA Rates'!$A$5:$A$1004,A177,'AFA Rates'!$O$5:$O$1004,"&lt;&gt;Expired")&gt;0,"Yes",IF(COUNTIF('AFA Rates'!$A$5:$A$1004,A177)&gt;0,"Expired only","No")))</f>
        <v/>
      </c>
      <c r="Q177" s="84">
        <f>IF(A177="","",COUNTIFS('AFA Rates'!$A$5:$A$1004,A177,'AFA Rates'!$O$5:$O$1004,"&lt;&gt;Expired"))</f>
        <v/>
      </c>
      <c r="R177" s="66" t="n"/>
      <c r="S177" s="64" t="n"/>
      <c r="T177" s="64" t="n"/>
      <c r="U177">
        <f>IF(AND(A177&lt;&gt;"",B177="Paused"),COUNTIFS($A$5:A177,"&lt;&gt;",$B$5:B177,"Paused"),"")</f>
        <v/>
      </c>
      <c r="V177">
        <f>IF(P177="Yes",COUNTIF($P$5:P177,"Yes"),"")</f>
        <v/>
      </c>
      <c r="W177">
        <f>IF(A177="","",COUNTIF($A$5:$A$1004,"&lt;"&amp;A177)+COUNTIF($A$5:A177,A177))</f>
        <v/>
      </c>
      <c r="X177">
        <f>","&amp;SUBSTITUTE(SUBSTITUTE(SUBSTITUTE(UPPER(C177)," ",""),";",","),"/",",")&amp;","</f>
        <v/>
      </c>
      <c r="Y177">
        <f>IF(AND(A177&lt;&gt;"",B177="Active",'State Search'!$C$5&lt;&gt;"",OR(X177=",ALL,",ISNUMBER(SEARCH(","&amp;'State Search'!$C$5&amp;",",X177)))),W177,"")</f>
        <v/>
      </c>
    </row>
    <row r="178">
      <c r="A178" s="64" t="n"/>
      <c r="B178" s="65" t="n"/>
      <c r="C178" s="64" t="n"/>
      <c r="D178" s="66" t="n"/>
      <c r="E178" s="66" t="n"/>
      <c r="F178" s="67" t="n"/>
      <c r="G178" s="67" t="n"/>
      <c r="H178" s="67" t="n"/>
      <c r="I178" s="67" t="n"/>
      <c r="J178" s="67" t="n"/>
      <c r="K178" s="67" t="n"/>
      <c r="L178" s="67" t="n"/>
      <c r="M178" s="67" t="n"/>
      <c r="N178" s="65" t="n"/>
      <c r="O178" s="84">
        <f>IF(A178="","",IF(E178="","No date",IF(TODAY()&gt;=EDATE(E178,Review_Months),"Review Due","Current")))</f>
        <v/>
      </c>
      <c r="P178" s="84">
        <f>IF(A178="","",IF(COUNTIFS('AFA Rates'!$A$5:$A$1004,A178,'AFA Rates'!$O$5:$O$1004,"&lt;&gt;Expired")&gt;0,"Yes",IF(COUNTIF('AFA Rates'!$A$5:$A$1004,A178)&gt;0,"Expired only","No")))</f>
        <v/>
      </c>
      <c r="Q178" s="84">
        <f>IF(A178="","",COUNTIFS('AFA Rates'!$A$5:$A$1004,A178,'AFA Rates'!$O$5:$O$1004,"&lt;&gt;Expired"))</f>
        <v/>
      </c>
      <c r="R178" s="66" t="n"/>
      <c r="S178" s="64" t="n"/>
      <c r="T178" s="64" t="n"/>
      <c r="U178">
        <f>IF(AND(A178&lt;&gt;"",B178="Paused"),COUNTIFS($A$5:A178,"&lt;&gt;",$B$5:B178,"Paused"),"")</f>
        <v/>
      </c>
      <c r="V178">
        <f>IF(P178="Yes",COUNTIF($P$5:P178,"Yes"),"")</f>
        <v/>
      </c>
      <c r="W178">
        <f>IF(A178="","",COUNTIF($A$5:$A$1004,"&lt;"&amp;A178)+COUNTIF($A$5:A178,A178))</f>
        <v/>
      </c>
      <c r="X178">
        <f>","&amp;SUBSTITUTE(SUBSTITUTE(SUBSTITUTE(UPPER(C178)," ",""),";",","),"/",",")&amp;","</f>
        <v/>
      </c>
      <c r="Y178">
        <f>IF(AND(A178&lt;&gt;"",B178="Active",'State Search'!$C$5&lt;&gt;"",OR(X178=",ALL,",ISNUMBER(SEARCH(","&amp;'State Search'!$C$5&amp;",",X178)))),W178,"")</f>
        <v/>
      </c>
    </row>
    <row r="179">
      <c r="A179" s="64" t="n"/>
      <c r="B179" s="65" t="n"/>
      <c r="C179" s="64" t="n"/>
      <c r="D179" s="66" t="n"/>
      <c r="E179" s="66" t="n"/>
      <c r="F179" s="67" t="n"/>
      <c r="G179" s="67" t="n"/>
      <c r="H179" s="67" t="n"/>
      <c r="I179" s="67" t="n"/>
      <c r="J179" s="67" t="n"/>
      <c r="K179" s="67" t="n"/>
      <c r="L179" s="67" t="n"/>
      <c r="M179" s="67" t="n"/>
      <c r="N179" s="65" t="n"/>
      <c r="O179" s="84">
        <f>IF(A179="","",IF(E179="","No date",IF(TODAY()&gt;=EDATE(E179,Review_Months),"Review Due","Current")))</f>
        <v/>
      </c>
      <c r="P179" s="84">
        <f>IF(A179="","",IF(COUNTIFS('AFA Rates'!$A$5:$A$1004,A179,'AFA Rates'!$O$5:$O$1004,"&lt;&gt;Expired")&gt;0,"Yes",IF(COUNTIF('AFA Rates'!$A$5:$A$1004,A179)&gt;0,"Expired only","No")))</f>
        <v/>
      </c>
      <c r="Q179" s="84">
        <f>IF(A179="","",COUNTIFS('AFA Rates'!$A$5:$A$1004,A179,'AFA Rates'!$O$5:$O$1004,"&lt;&gt;Expired"))</f>
        <v/>
      </c>
      <c r="R179" s="66" t="n"/>
      <c r="S179" s="64" t="n"/>
      <c r="T179" s="64" t="n"/>
      <c r="U179">
        <f>IF(AND(A179&lt;&gt;"",B179="Paused"),COUNTIFS($A$5:A179,"&lt;&gt;",$B$5:B179,"Paused"),"")</f>
        <v/>
      </c>
      <c r="V179">
        <f>IF(P179="Yes",COUNTIF($P$5:P179,"Yes"),"")</f>
        <v/>
      </c>
      <c r="W179">
        <f>IF(A179="","",COUNTIF($A$5:$A$1004,"&lt;"&amp;A179)+COUNTIF($A$5:A179,A179))</f>
        <v/>
      </c>
      <c r="X179">
        <f>","&amp;SUBSTITUTE(SUBSTITUTE(SUBSTITUTE(UPPER(C179)," ",""),";",","),"/",",")&amp;","</f>
        <v/>
      </c>
      <c r="Y179">
        <f>IF(AND(A179&lt;&gt;"",B179="Active",'State Search'!$C$5&lt;&gt;"",OR(X179=",ALL,",ISNUMBER(SEARCH(","&amp;'State Search'!$C$5&amp;",",X179)))),W179,"")</f>
        <v/>
      </c>
    </row>
    <row r="180">
      <c r="A180" s="64" t="n"/>
      <c r="B180" s="65" t="n"/>
      <c r="C180" s="64" t="n"/>
      <c r="D180" s="66" t="n"/>
      <c r="E180" s="66" t="n"/>
      <c r="F180" s="67" t="n"/>
      <c r="G180" s="67" t="n"/>
      <c r="H180" s="67" t="n"/>
      <c r="I180" s="67" t="n"/>
      <c r="J180" s="67" t="n"/>
      <c r="K180" s="67" t="n"/>
      <c r="L180" s="67" t="n"/>
      <c r="M180" s="67" t="n"/>
      <c r="N180" s="65" t="n"/>
      <c r="O180" s="84">
        <f>IF(A180="","",IF(E180="","No date",IF(TODAY()&gt;=EDATE(E180,Review_Months),"Review Due","Current")))</f>
        <v/>
      </c>
      <c r="P180" s="84">
        <f>IF(A180="","",IF(COUNTIFS('AFA Rates'!$A$5:$A$1004,A180,'AFA Rates'!$O$5:$O$1004,"&lt;&gt;Expired")&gt;0,"Yes",IF(COUNTIF('AFA Rates'!$A$5:$A$1004,A180)&gt;0,"Expired only","No")))</f>
        <v/>
      </c>
      <c r="Q180" s="84">
        <f>IF(A180="","",COUNTIFS('AFA Rates'!$A$5:$A$1004,A180,'AFA Rates'!$O$5:$O$1004,"&lt;&gt;Expired"))</f>
        <v/>
      </c>
      <c r="R180" s="66" t="n"/>
      <c r="S180" s="64" t="n"/>
      <c r="T180" s="64" t="n"/>
      <c r="U180">
        <f>IF(AND(A180&lt;&gt;"",B180="Paused"),COUNTIFS($A$5:A180,"&lt;&gt;",$B$5:B180,"Paused"),"")</f>
        <v/>
      </c>
      <c r="V180">
        <f>IF(P180="Yes",COUNTIF($P$5:P180,"Yes"),"")</f>
        <v/>
      </c>
      <c r="W180">
        <f>IF(A180="","",COUNTIF($A$5:$A$1004,"&lt;"&amp;A180)+COUNTIF($A$5:A180,A180))</f>
        <v/>
      </c>
      <c r="X180">
        <f>","&amp;SUBSTITUTE(SUBSTITUTE(SUBSTITUTE(UPPER(C180)," ",""),";",","),"/",",")&amp;","</f>
        <v/>
      </c>
      <c r="Y180">
        <f>IF(AND(A180&lt;&gt;"",B180="Active",'State Search'!$C$5&lt;&gt;"",OR(X180=",ALL,",ISNUMBER(SEARCH(","&amp;'State Search'!$C$5&amp;",",X180)))),W180,"")</f>
        <v/>
      </c>
    </row>
    <row r="181">
      <c r="A181" s="64" t="n"/>
      <c r="B181" s="65" t="n"/>
      <c r="C181" s="64" t="n"/>
      <c r="D181" s="66" t="n"/>
      <c r="E181" s="66" t="n"/>
      <c r="F181" s="67" t="n"/>
      <c r="G181" s="67" t="n"/>
      <c r="H181" s="67" t="n"/>
      <c r="I181" s="67" t="n"/>
      <c r="J181" s="67" t="n"/>
      <c r="K181" s="67" t="n"/>
      <c r="L181" s="67" t="n"/>
      <c r="M181" s="67" t="n"/>
      <c r="N181" s="65" t="n"/>
      <c r="O181" s="84">
        <f>IF(A181="","",IF(E181="","No date",IF(TODAY()&gt;=EDATE(E181,Review_Months),"Review Due","Current")))</f>
        <v/>
      </c>
      <c r="P181" s="84">
        <f>IF(A181="","",IF(COUNTIFS('AFA Rates'!$A$5:$A$1004,A181,'AFA Rates'!$O$5:$O$1004,"&lt;&gt;Expired")&gt;0,"Yes",IF(COUNTIF('AFA Rates'!$A$5:$A$1004,A181)&gt;0,"Expired only","No")))</f>
        <v/>
      </c>
      <c r="Q181" s="84">
        <f>IF(A181="","",COUNTIFS('AFA Rates'!$A$5:$A$1004,A181,'AFA Rates'!$O$5:$O$1004,"&lt;&gt;Expired"))</f>
        <v/>
      </c>
      <c r="R181" s="66" t="n"/>
      <c r="S181" s="64" t="n"/>
      <c r="T181" s="64" t="n"/>
      <c r="U181">
        <f>IF(AND(A181&lt;&gt;"",B181="Paused"),COUNTIFS($A$5:A181,"&lt;&gt;",$B$5:B181,"Paused"),"")</f>
        <v/>
      </c>
      <c r="V181">
        <f>IF(P181="Yes",COUNTIF($P$5:P181,"Yes"),"")</f>
        <v/>
      </c>
      <c r="W181">
        <f>IF(A181="","",COUNTIF($A$5:$A$1004,"&lt;"&amp;A181)+COUNTIF($A$5:A181,A181))</f>
        <v/>
      </c>
      <c r="X181">
        <f>","&amp;SUBSTITUTE(SUBSTITUTE(SUBSTITUTE(UPPER(C181)," ",""),";",","),"/",",")&amp;","</f>
        <v/>
      </c>
      <c r="Y181">
        <f>IF(AND(A181&lt;&gt;"",B181="Active",'State Search'!$C$5&lt;&gt;"",OR(X181=",ALL,",ISNUMBER(SEARCH(","&amp;'State Search'!$C$5&amp;",",X181)))),W181,"")</f>
        <v/>
      </c>
    </row>
    <row r="182">
      <c r="A182" s="64" t="n"/>
      <c r="B182" s="65" t="n"/>
      <c r="C182" s="64" t="n"/>
      <c r="D182" s="66" t="n"/>
      <c r="E182" s="66" t="n"/>
      <c r="F182" s="67" t="n"/>
      <c r="G182" s="67" t="n"/>
      <c r="H182" s="67" t="n"/>
      <c r="I182" s="67" t="n"/>
      <c r="J182" s="67" t="n"/>
      <c r="K182" s="67" t="n"/>
      <c r="L182" s="67" t="n"/>
      <c r="M182" s="67" t="n"/>
      <c r="N182" s="65" t="n"/>
      <c r="O182" s="84">
        <f>IF(A182="","",IF(E182="","No date",IF(TODAY()&gt;=EDATE(E182,Review_Months),"Review Due","Current")))</f>
        <v/>
      </c>
      <c r="P182" s="84">
        <f>IF(A182="","",IF(COUNTIFS('AFA Rates'!$A$5:$A$1004,A182,'AFA Rates'!$O$5:$O$1004,"&lt;&gt;Expired")&gt;0,"Yes",IF(COUNTIF('AFA Rates'!$A$5:$A$1004,A182)&gt;0,"Expired only","No")))</f>
        <v/>
      </c>
      <c r="Q182" s="84">
        <f>IF(A182="","",COUNTIFS('AFA Rates'!$A$5:$A$1004,A182,'AFA Rates'!$O$5:$O$1004,"&lt;&gt;Expired"))</f>
        <v/>
      </c>
      <c r="R182" s="66" t="n"/>
      <c r="S182" s="64" t="n"/>
      <c r="T182" s="64" t="n"/>
      <c r="U182">
        <f>IF(AND(A182&lt;&gt;"",B182="Paused"),COUNTIFS($A$5:A182,"&lt;&gt;",$B$5:B182,"Paused"),"")</f>
        <v/>
      </c>
      <c r="V182">
        <f>IF(P182="Yes",COUNTIF($P$5:P182,"Yes"),"")</f>
        <v/>
      </c>
      <c r="W182">
        <f>IF(A182="","",COUNTIF($A$5:$A$1004,"&lt;"&amp;A182)+COUNTIF($A$5:A182,A182))</f>
        <v/>
      </c>
      <c r="X182">
        <f>","&amp;SUBSTITUTE(SUBSTITUTE(SUBSTITUTE(UPPER(C182)," ",""),";",","),"/",",")&amp;","</f>
        <v/>
      </c>
      <c r="Y182">
        <f>IF(AND(A182&lt;&gt;"",B182="Active",'State Search'!$C$5&lt;&gt;"",OR(X182=",ALL,",ISNUMBER(SEARCH(","&amp;'State Search'!$C$5&amp;",",X182)))),W182,"")</f>
        <v/>
      </c>
    </row>
    <row r="183">
      <c r="A183" s="64" t="n"/>
      <c r="B183" s="65" t="n"/>
      <c r="C183" s="64" t="n"/>
      <c r="D183" s="66" t="n"/>
      <c r="E183" s="66" t="n"/>
      <c r="F183" s="67" t="n"/>
      <c r="G183" s="67" t="n"/>
      <c r="H183" s="67" t="n"/>
      <c r="I183" s="67" t="n"/>
      <c r="J183" s="67" t="n"/>
      <c r="K183" s="67" t="n"/>
      <c r="L183" s="67" t="n"/>
      <c r="M183" s="67" t="n"/>
      <c r="N183" s="65" t="n"/>
      <c r="O183" s="84">
        <f>IF(A183="","",IF(E183="","No date",IF(TODAY()&gt;=EDATE(E183,Review_Months),"Review Due","Current")))</f>
        <v/>
      </c>
      <c r="P183" s="84">
        <f>IF(A183="","",IF(COUNTIFS('AFA Rates'!$A$5:$A$1004,A183,'AFA Rates'!$O$5:$O$1004,"&lt;&gt;Expired")&gt;0,"Yes",IF(COUNTIF('AFA Rates'!$A$5:$A$1004,A183)&gt;0,"Expired only","No")))</f>
        <v/>
      </c>
      <c r="Q183" s="84">
        <f>IF(A183="","",COUNTIFS('AFA Rates'!$A$5:$A$1004,A183,'AFA Rates'!$O$5:$O$1004,"&lt;&gt;Expired"))</f>
        <v/>
      </c>
      <c r="R183" s="66" t="n"/>
      <c r="S183" s="64" t="n"/>
      <c r="T183" s="64" t="n"/>
      <c r="U183">
        <f>IF(AND(A183&lt;&gt;"",B183="Paused"),COUNTIFS($A$5:A183,"&lt;&gt;",$B$5:B183,"Paused"),"")</f>
        <v/>
      </c>
      <c r="V183">
        <f>IF(P183="Yes",COUNTIF($P$5:P183,"Yes"),"")</f>
        <v/>
      </c>
      <c r="W183">
        <f>IF(A183="","",COUNTIF($A$5:$A$1004,"&lt;"&amp;A183)+COUNTIF($A$5:A183,A183))</f>
        <v/>
      </c>
      <c r="X183">
        <f>","&amp;SUBSTITUTE(SUBSTITUTE(SUBSTITUTE(UPPER(C183)," ",""),";",","),"/",",")&amp;","</f>
        <v/>
      </c>
      <c r="Y183">
        <f>IF(AND(A183&lt;&gt;"",B183="Active",'State Search'!$C$5&lt;&gt;"",OR(X183=",ALL,",ISNUMBER(SEARCH(","&amp;'State Search'!$C$5&amp;",",X183)))),W183,"")</f>
        <v/>
      </c>
    </row>
    <row r="184">
      <c r="A184" s="64" t="n"/>
      <c r="B184" s="65" t="n"/>
      <c r="C184" s="64" t="n"/>
      <c r="D184" s="66" t="n"/>
      <c r="E184" s="66" t="n"/>
      <c r="F184" s="67" t="n"/>
      <c r="G184" s="67" t="n"/>
      <c r="H184" s="67" t="n"/>
      <c r="I184" s="67" t="n"/>
      <c r="J184" s="67" t="n"/>
      <c r="K184" s="67" t="n"/>
      <c r="L184" s="67" t="n"/>
      <c r="M184" s="67" t="n"/>
      <c r="N184" s="65" t="n"/>
      <c r="O184" s="84">
        <f>IF(A184="","",IF(E184="","No date",IF(TODAY()&gt;=EDATE(E184,Review_Months),"Review Due","Current")))</f>
        <v/>
      </c>
      <c r="P184" s="84">
        <f>IF(A184="","",IF(COUNTIFS('AFA Rates'!$A$5:$A$1004,A184,'AFA Rates'!$O$5:$O$1004,"&lt;&gt;Expired")&gt;0,"Yes",IF(COUNTIF('AFA Rates'!$A$5:$A$1004,A184)&gt;0,"Expired only","No")))</f>
        <v/>
      </c>
      <c r="Q184" s="84">
        <f>IF(A184="","",COUNTIFS('AFA Rates'!$A$5:$A$1004,A184,'AFA Rates'!$O$5:$O$1004,"&lt;&gt;Expired"))</f>
        <v/>
      </c>
      <c r="R184" s="66" t="n"/>
      <c r="S184" s="64" t="n"/>
      <c r="T184" s="64" t="n"/>
      <c r="U184">
        <f>IF(AND(A184&lt;&gt;"",B184="Paused"),COUNTIFS($A$5:A184,"&lt;&gt;",$B$5:B184,"Paused"),"")</f>
        <v/>
      </c>
      <c r="V184">
        <f>IF(P184="Yes",COUNTIF($P$5:P184,"Yes"),"")</f>
        <v/>
      </c>
      <c r="W184">
        <f>IF(A184="","",COUNTIF($A$5:$A$1004,"&lt;"&amp;A184)+COUNTIF($A$5:A184,A184))</f>
        <v/>
      </c>
      <c r="X184">
        <f>","&amp;SUBSTITUTE(SUBSTITUTE(SUBSTITUTE(UPPER(C184)," ",""),";",","),"/",",")&amp;","</f>
        <v/>
      </c>
      <c r="Y184">
        <f>IF(AND(A184&lt;&gt;"",B184="Active",'State Search'!$C$5&lt;&gt;"",OR(X184=",ALL,",ISNUMBER(SEARCH(","&amp;'State Search'!$C$5&amp;",",X184)))),W184,"")</f>
        <v/>
      </c>
    </row>
    <row r="185">
      <c r="A185" s="64" t="n"/>
      <c r="B185" s="65" t="n"/>
      <c r="C185" s="64" t="n"/>
      <c r="D185" s="66" t="n"/>
      <c r="E185" s="66" t="n"/>
      <c r="F185" s="67" t="n"/>
      <c r="G185" s="67" t="n"/>
      <c r="H185" s="67" t="n"/>
      <c r="I185" s="67" t="n"/>
      <c r="J185" s="67" t="n"/>
      <c r="K185" s="67" t="n"/>
      <c r="L185" s="67" t="n"/>
      <c r="M185" s="67" t="n"/>
      <c r="N185" s="65" t="n"/>
      <c r="O185" s="84">
        <f>IF(A185="","",IF(E185="","No date",IF(TODAY()&gt;=EDATE(E185,Review_Months),"Review Due","Current")))</f>
        <v/>
      </c>
      <c r="P185" s="84">
        <f>IF(A185="","",IF(COUNTIFS('AFA Rates'!$A$5:$A$1004,A185,'AFA Rates'!$O$5:$O$1004,"&lt;&gt;Expired")&gt;0,"Yes",IF(COUNTIF('AFA Rates'!$A$5:$A$1004,A185)&gt;0,"Expired only","No")))</f>
        <v/>
      </c>
      <c r="Q185" s="84">
        <f>IF(A185="","",COUNTIFS('AFA Rates'!$A$5:$A$1004,A185,'AFA Rates'!$O$5:$O$1004,"&lt;&gt;Expired"))</f>
        <v/>
      </c>
      <c r="R185" s="66" t="n"/>
      <c r="S185" s="64" t="n"/>
      <c r="T185" s="64" t="n"/>
      <c r="U185">
        <f>IF(AND(A185&lt;&gt;"",B185="Paused"),COUNTIFS($A$5:A185,"&lt;&gt;",$B$5:B185,"Paused"),"")</f>
        <v/>
      </c>
      <c r="V185">
        <f>IF(P185="Yes",COUNTIF($P$5:P185,"Yes"),"")</f>
        <v/>
      </c>
      <c r="W185">
        <f>IF(A185="","",COUNTIF($A$5:$A$1004,"&lt;"&amp;A185)+COUNTIF($A$5:A185,A185))</f>
        <v/>
      </c>
      <c r="X185">
        <f>","&amp;SUBSTITUTE(SUBSTITUTE(SUBSTITUTE(UPPER(C185)," ",""),";",","),"/",",")&amp;","</f>
        <v/>
      </c>
      <c r="Y185">
        <f>IF(AND(A185&lt;&gt;"",B185="Active",'State Search'!$C$5&lt;&gt;"",OR(X185=",ALL,",ISNUMBER(SEARCH(","&amp;'State Search'!$C$5&amp;",",X185)))),W185,"")</f>
        <v/>
      </c>
    </row>
    <row r="186">
      <c r="A186" s="64" t="n"/>
      <c r="B186" s="65" t="n"/>
      <c r="C186" s="64" t="n"/>
      <c r="D186" s="66" t="n"/>
      <c r="E186" s="66" t="n"/>
      <c r="F186" s="67" t="n"/>
      <c r="G186" s="67" t="n"/>
      <c r="H186" s="67" t="n"/>
      <c r="I186" s="67" t="n"/>
      <c r="J186" s="67" t="n"/>
      <c r="K186" s="67" t="n"/>
      <c r="L186" s="67" t="n"/>
      <c r="M186" s="67" t="n"/>
      <c r="N186" s="65" t="n"/>
      <c r="O186" s="84">
        <f>IF(A186="","",IF(E186="","No date",IF(TODAY()&gt;=EDATE(E186,Review_Months),"Review Due","Current")))</f>
        <v/>
      </c>
      <c r="P186" s="84">
        <f>IF(A186="","",IF(COUNTIFS('AFA Rates'!$A$5:$A$1004,A186,'AFA Rates'!$O$5:$O$1004,"&lt;&gt;Expired")&gt;0,"Yes",IF(COUNTIF('AFA Rates'!$A$5:$A$1004,A186)&gt;0,"Expired only","No")))</f>
        <v/>
      </c>
      <c r="Q186" s="84">
        <f>IF(A186="","",COUNTIFS('AFA Rates'!$A$5:$A$1004,A186,'AFA Rates'!$O$5:$O$1004,"&lt;&gt;Expired"))</f>
        <v/>
      </c>
      <c r="R186" s="66" t="n"/>
      <c r="S186" s="64" t="n"/>
      <c r="T186" s="64" t="n"/>
      <c r="U186">
        <f>IF(AND(A186&lt;&gt;"",B186="Paused"),COUNTIFS($A$5:A186,"&lt;&gt;",$B$5:B186,"Paused"),"")</f>
        <v/>
      </c>
      <c r="V186">
        <f>IF(P186="Yes",COUNTIF($P$5:P186,"Yes"),"")</f>
        <v/>
      </c>
      <c r="W186">
        <f>IF(A186="","",COUNTIF($A$5:$A$1004,"&lt;"&amp;A186)+COUNTIF($A$5:A186,A186))</f>
        <v/>
      </c>
      <c r="X186">
        <f>","&amp;SUBSTITUTE(SUBSTITUTE(SUBSTITUTE(UPPER(C186)," ",""),";",","),"/",",")&amp;","</f>
        <v/>
      </c>
      <c r="Y186">
        <f>IF(AND(A186&lt;&gt;"",B186="Active",'State Search'!$C$5&lt;&gt;"",OR(X186=",ALL,",ISNUMBER(SEARCH(","&amp;'State Search'!$C$5&amp;",",X186)))),W186,"")</f>
        <v/>
      </c>
    </row>
    <row r="187">
      <c r="A187" s="64" t="n"/>
      <c r="B187" s="65" t="n"/>
      <c r="C187" s="64" t="n"/>
      <c r="D187" s="66" t="n"/>
      <c r="E187" s="66" t="n"/>
      <c r="F187" s="67" t="n"/>
      <c r="G187" s="67" t="n"/>
      <c r="H187" s="67" t="n"/>
      <c r="I187" s="67" t="n"/>
      <c r="J187" s="67" t="n"/>
      <c r="K187" s="67" t="n"/>
      <c r="L187" s="67" t="n"/>
      <c r="M187" s="67" t="n"/>
      <c r="N187" s="65" t="n"/>
      <c r="O187" s="84">
        <f>IF(A187="","",IF(E187="","No date",IF(TODAY()&gt;=EDATE(E187,Review_Months),"Review Due","Current")))</f>
        <v/>
      </c>
      <c r="P187" s="84">
        <f>IF(A187="","",IF(COUNTIFS('AFA Rates'!$A$5:$A$1004,A187,'AFA Rates'!$O$5:$O$1004,"&lt;&gt;Expired")&gt;0,"Yes",IF(COUNTIF('AFA Rates'!$A$5:$A$1004,A187)&gt;0,"Expired only","No")))</f>
        <v/>
      </c>
      <c r="Q187" s="84">
        <f>IF(A187="","",COUNTIFS('AFA Rates'!$A$5:$A$1004,A187,'AFA Rates'!$O$5:$O$1004,"&lt;&gt;Expired"))</f>
        <v/>
      </c>
      <c r="R187" s="66" t="n"/>
      <c r="S187" s="64" t="n"/>
      <c r="T187" s="64" t="n"/>
      <c r="U187">
        <f>IF(AND(A187&lt;&gt;"",B187="Paused"),COUNTIFS($A$5:A187,"&lt;&gt;",$B$5:B187,"Paused"),"")</f>
        <v/>
      </c>
      <c r="V187">
        <f>IF(P187="Yes",COUNTIF($P$5:P187,"Yes"),"")</f>
        <v/>
      </c>
      <c r="W187">
        <f>IF(A187="","",COUNTIF($A$5:$A$1004,"&lt;"&amp;A187)+COUNTIF($A$5:A187,A187))</f>
        <v/>
      </c>
      <c r="X187">
        <f>","&amp;SUBSTITUTE(SUBSTITUTE(SUBSTITUTE(UPPER(C187)," ",""),";",","),"/",",")&amp;","</f>
        <v/>
      </c>
      <c r="Y187">
        <f>IF(AND(A187&lt;&gt;"",B187="Active",'State Search'!$C$5&lt;&gt;"",OR(X187=",ALL,",ISNUMBER(SEARCH(","&amp;'State Search'!$C$5&amp;",",X187)))),W187,"")</f>
        <v/>
      </c>
    </row>
    <row r="188">
      <c r="A188" s="64" t="n"/>
      <c r="B188" s="65" t="n"/>
      <c r="C188" s="64" t="n"/>
      <c r="D188" s="66" t="n"/>
      <c r="E188" s="66" t="n"/>
      <c r="F188" s="67" t="n"/>
      <c r="G188" s="67" t="n"/>
      <c r="H188" s="67" t="n"/>
      <c r="I188" s="67" t="n"/>
      <c r="J188" s="67" t="n"/>
      <c r="K188" s="67" t="n"/>
      <c r="L188" s="67" t="n"/>
      <c r="M188" s="67" t="n"/>
      <c r="N188" s="65" t="n"/>
      <c r="O188" s="84">
        <f>IF(A188="","",IF(E188="","No date",IF(TODAY()&gt;=EDATE(E188,Review_Months),"Review Due","Current")))</f>
        <v/>
      </c>
      <c r="P188" s="84">
        <f>IF(A188="","",IF(COUNTIFS('AFA Rates'!$A$5:$A$1004,A188,'AFA Rates'!$O$5:$O$1004,"&lt;&gt;Expired")&gt;0,"Yes",IF(COUNTIF('AFA Rates'!$A$5:$A$1004,A188)&gt;0,"Expired only","No")))</f>
        <v/>
      </c>
      <c r="Q188" s="84">
        <f>IF(A188="","",COUNTIFS('AFA Rates'!$A$5:$A$1004,A188,'AFA Rates'!$O$5:$O$1004,"&lt;&gt;Expired"))</f>
        <v/>
      </c>
      <c r="R188" s="66" t="n"/>
      <c r="S188" s="64" t="n"/>
      <c r="T188" s="64" t="n"/>
      <c r="U188">
        <f>IF(AND(A188&lt;&gt;"",B188="Paused"),COUNTIFS($A$5:A188,"&lt;&gt;",$B$5:B188,"Paused"),"")</f>
        <v/>
      </c>
      <c r="V188">
        <f>IF(P188="Yes",COUNTIF($P$5:P188,"Yes"),"")</f>
        <v/>
      </c>
      <c r="W188">
        <f>IF(A188="","",COUNTIF($A$5:$A$1004,"&lt;"&amp;A188)+COUNTIF($A$5:A188,A188))</f>
        <v/>
      </c>
      <c r="X188">
        <f>","&amp;SUBSTITUTE(SUBSTITUTE(SUBSTITUTE(UPPER(C188)," ",""),";",","),"/",",")&amp;","</f>
        <v/>
      </c>
      <c r="Y188">
        <f>IF(AND(A188&lt;&gt;"",B188="Active",'State Search'!$C$5&lt;&gt;"",OR(X188=",ALL,",ISNUMBER(SEARCH(","&amp;'State Search'!$C$5&amp;",",X188)))),W188,"")</f>
        <v/>
      </c>
    </row>
    <row r="189">
      <c r="A189" s="64" t="n"/>
      <c r="B189" s="65" t="n"/>
      <c r="C189" s="64" t="n"/>
      <c r="D189" s="66" t="n"/>
      <c r="E189" s="66" t="n"/>
      <c r="F189" s="67" t="n"/>
      <c r="G189" s="67" t="n"/>
      <c r="H189" s="67" t="n"/>
      <c r="I189" s="67" t="n"/>
      <c r="J189" s="67" t="n"/>
      <c r="K189" s="67" t="n"/>
      <c r="L189" s="67" t="n"/>
      <c r="M189" s="67" t="n"/>
      <c r="N189" s="65" t="n"/>
      <c r="O189" s="84">
        <f>IF(A189="","",IF(E189="","No date",IF(TODAY()&gt;=EDATE(E189,Review_Months),"Review Due","Current")))</f>
        <v/>
      </c>
      <c r="P189" s="84">
        <f>IF(A189="","",IF(COUNTIFS('AFA Rates'!$A$5:$A$1004,A189,'AFA Rates'!$O$5:$O$1004,"&lt;&gt;Expired")&gt;0,"Yes",IF(COUNTIF('AFA Rates'!$A$5:$A$1004,A189)&gt;0,"Expired only","No")))</f>
        <v/>
      </c>
      <c r="Q189" s="84">
        <f>IF(A189="","",COUNTIFS('AFA Rates'!$A$5:$A$1004,A189,'AFA Rates'!$O$5:$O$1004,"&lt;&gt;Expired"))</f>
        <v/>
      </c>
      <c r="R189" s="66" t="n"/>
      <c r="S189" s="64" t="n"/>
      <c r="T189" s="64" t="n"/>
      <c r="U189">
        <f>IF(AND(A189&lt;&gt;"",B189="Paused"),COUNTIFS($A$5:A189,"&lt;&gt;",$B$5:B189,"Paused"),"")</f>
        <v/>
      </c>
      <c r="V189">
        <f>IF(P189="Yes",COUNTIF($P$5:P189,"Yes"),"")</f>
        <v/>
      </c>
      <c r="W189">
        <f>IF(A189="","",COUNTIF($A$5:$A$1004,"&lt;"&amp;A189)+COUNTIF($A$5:A189,A189))</f>
        <v/>
      </c>
      <c r="X189">
        <f>","&amp;SUBSTITUTE(SUBSTITUTE(SUBSTITUTE(UPPER(C189)," ",""),";",","),"/",",")&amp;","</f>
        <v/>
      </c>
      <c r="Y189">
        <f>IF(AND(A189&lt;&gt;"",B189="Active",'State Search'!$C$5&lt;&gt;"",OR(X189=",ALL,",ISNUMBER(SEARCH(","&amp;'State Search'!$C$5&amp;",",X189)))),W189,"")</f>
        <v/>
      </c>
    </row>
    <row r="190">
      <c r="A190" s="64" t="n"/>
      <c r="B190" s="65" t="n"/>
      <c r="C190" s="64" t="n"/>
      <c r="D190" s="66" t="n"/>
      <c r="E190" s="66" t="n"/>
      <c r="F190" s="67" t="n"/>
      <c r="G190" s="67" t="n"/>
      <c r="H190" s="67" t="n"/>
      <c r="I190" s="67" t="n"/>
      <c r="J190" s="67" t="n"/>
      <c r="K190" s="67" t="n"/>
      <c r="L190" s="67" t="n"/>
      <c r="M190" s="67" t="n"/>
      <c r="N190" s="65" t="n"/>
      <c r="O190" s="84">
        <f>IF(A190="","",IF(E190="","No date",IF(TODAY()&gt;=EDATE(E190,Review_Months),"Review Due","Current")))</f>
        <v/>
      </c>
      <c r="P190" s="84">
        <f>IF(A190="","",IF(COUNTIFS('AFA Rates'!$A$5:$A$1004,A190,'AFA Rates'!$O$5:$O$1004,"&lt;&gt;Expired")&gt;0,"Yes",IF(COUNTIF('AFA Rates'!$A$5:$A$1004,A190)&gt;0,"Expired only","No")))</f>
        <v/>
      </c>
      <c r="Q190" s="84">
        <f>IF(A190="","",COUNTIFS('AFA Rates'!$A$5:$A$1004,A190,'AFA Rates'!$O$5:$O$1004,"&lt;&gt;Expired"))</f>
        <v/>
      </c>
      <c r="R190" s="66" t="n"/>
      <c r="S190" s="64" t="n"/>
      <c r="T190" s="64" t="n"/>
      <c r="U190">
        <f>IF(AND(A190&lt;&gt;"",B190="Paused"),COUNTIFS($A$5:A190,"&lt;&gt;",$B$5:B190,"Paused"),"")</f>
        <v/>
      </c>
      <c r="V190">
        <f>IF(P190="Yes",COUNTIF($P$5:P190,"Yes"),"")</f>
        <v/>
      </c>
      <c r="W190">
        <f>IF(A190="","",COUNTIF($A$5:$A$1004,"&lt;"&amp;A190)+COUNTIF($A$5:A190,A190))</f>
        <v/>
      </c>
      <c r="X190">
        <f>","&amp;SUBSTITUTE(SUBSTITUTE(SUBSTITUTE(UPPER(C190)," ",""),";",","),"/",",")&amp;","</f>
        <v/>
      </c>
      <c r="Y190">
        <f>IF(AND(A190&lt;&gt;"",B190="Active",'State Search'!$C$5&lt;&gt;"",OR(X190=",ALL,",ISNUMBER(SEARCH(","&amp;'State Search'!$C$5&amp;",",X190)))),W190,"")</f>
        <v/>
      </c>
    </row>
    <row r="191">
      <c r="A191" s="64" t="n"/>
      <c r="B191" s="65" t="n"/>
      <c r="C191" s="64" t="n"/>
      <c r="D191" s="66" t="n"/>
      <c r="E191" s="66" t="n"/>
      <c r="F191" s="67" t="n"/>
      <c r="G191" s="67" t="n"/>
      <c r="H191" s="67" t="n"/>
      <c r="I191" s="67" t="n"/>
      <c r="J191" s="67" t="n"/>
      <c r="K191" s="67" t="n"/>
      <c r="L191" s="67" t="n"/>
      <c r="M191" s="67" t="n"/>
      <c r="N191" s="65" t="n"/>
      <c r="O191" s="84">
        <f>IF(A191="","",IF(E191="","No date",IF(TODAY()&gt;=EDATE(E191,Review_Months),"Review Due","Current")))</f>
        <v/>
      </c>
      <c r="P191" s="84">
        <f>IF(A191="","",IF(COUNTIFS('AFA Rates'!$A$5:$A$1004,A191,'AFA Rates'!$O$5:$O$1004,"&lt;&gt;Expired")&gt;0,"Yes",IF(COUNTIF('AFA Rates'!$A$5:$A$1004,A191)&gt;0,"Expired only","No")))</f>
        <v/>
      </c>
      <c r="Q191" s="84">
        <f>IF(A191="","",COUNTIFS('AFA Rates'!$A$5:$A$1004,A191,'AFA Rates'!$O$5:$O$1004,"&lt;&gt;Expired"))</f>
        <v/>
      </c>
      <c r="R191" s="66" t="n"/>
      <c r="S191" s="64" t="n"/>
      <c r="T191" s="64" t="n"/>
      <c r="U191">
        <f>IF(AND(A191&lt;&gt;"",B191="Paused"),COUNTIFS($A$5:A191,"&lt;&gt;",$B$5:B191,"Paused"),"")</f>
        <v/>
      </c>
      <c r="V191">
        <f>IF(P191="Yes",COUNTIF($P$5:P191,"Yes"),"")</f>
        <v/>
      </c>
      <c r="W191">
        <f>IF(A191="","",COUNTIF($A$5:$A$1004,"&lt;"&amp;A191)+COUNTIF($A$5:A191,A191))</f>
        <v/>
      </c>
      <c r="X191">
        <f>","&amp;SUBSTITUTE(SUBSTITUTE(SUBSTITUTE(UPPER(C191)," ",""),";",","),"/",",")&amp;","</f>
        <v/>
      </c>
      <c r="Y191">
        <f>IF(AND(A191&lt;&gt;"",B191="Active",'State Search'!$C$5&lt;&gt;"",OR(X191=",ALL,",ISNUMBER(SEARCH(","&amp;'State Search'!$C$5&amp;",",X191)))),W191,"")</f>
        <v/>
      </c>
    </row>
    <row r="192">
      <c r="A192" s="64" t="n"/>
      <c r="B192" s="65" t="n"/>
      <c r="C192" s="64" t="n"/>
      <c r="D192" s="66" t="n"/>
      <c r="E192" s="66" t="n"/>
      <c r="F192" s="67" t="n"/>
      <c r="G192" s="67" t="n"/>
      <c r="H192" s="67" t="n"/>
      <c r="I192" s="67" t="n"/>
      <c r="J192" s="67" t="n"/>
      <c r="K192" s="67" t="n"/>
      <c r="L192" s="67" t="n"/>
      <c r="M192" s="67" t="n"/>
      <c r="N192" s="65" t="n"/>
      <c r="O192" s="84">
        <f>IF(A192="","",IF(E192="","No date",IF(TODAY()&gt;=EDATE(E192,Review_Months),"Review Due","Current")))</f>
        <v/>
      </c>
      <c r="P192" s="84">
        <f>IF(A192="","",IF(COUNTIFS('AFA Rates'!$A$5:$A$1004,A192,'AFA Rates'!$O$5:$O$1004,"&lt;&gt;Expired")&gt;0,"Yes",IF(COUNTIF('AFA Rates'!$A$5:$A$1004,A192)&gt;0,"Expired only","No")))</f>
        <v/>
      </c>
      <c r="Q192" s="84">
        <f>IF(A192="","",COUNTIFS('AFA Rates'!$A$5:$A$1004,A192,'AFA Rates'!$O$5:$O$1004,"&lt;&gt;Expired"))</f>
        <v/>
      </c>
      <c r="R192" s="66" t="n"/>
      <c r="S192" s="64" t="n"/>
      <c r="T192" s="64" t="n"/>
      <c r="U192">
        <f>IF(AND(A192&lt;&gt;"",B192="Paused"),COUNTIFS($A$5:A192,"&lt;&gt;",$B$5:B192,"Paused"),"")</f>
        <v/>
      </c>
      <c r="V192">
        <f>IF(P192="Yes",COUNTIF($P$5:P192,"Yes"),"")</f>
        <v/>
      </c>
      <c r="W192">
        <f>IF(A192="","",COUNTIF($A$5:$A$1004,"&lt;"&amp;A192)+COUNTIF($A$5:A192,A192))</f>
        <v/>
      </c>
      <c r="X192">
        <f>","&amp;SUBSTITUTE(SUBSTITUTE(SUBSTITUTE(UPPER(C192)," ",""),";",","),"/",",")&amp;","</f>
        <v/>
      </c>
      <c r="Y192">
        <f>IF(AND(A192&lt;&gt;"",B192="Active",'State Search'!$C$5&lt;&gt;"",OR(X192=",ALL,",ISNUMBER(SEARCH(","&amp;'State Search'!$C$5&amp;",",X192)))),W192,"")</f>
        <v/>
      </c>
    </row>
    <row r="193">
      <c r="A193" s="64" t="n"/>
      <c r="B193" s="65" t="n"/>
      <c r="C193" s="64" t="n"/>
      <c r="D193" s="66" t="n"/>
      <c r="E193" s="66" t="n"/>
      <c r="F193" s="67" t="n"/>
      <c r="G193" s="67" t="n"/>
      <c r="H193" s="67" t="n"/>
      <c r="I193" s="67" t="n"/>
      <c r="J193" s="67" t="n"/>
      <c r="K193" s="67" t="n"/>
      <c r="L193" s="67" t="n"/>
      <c r="M193" s="67" t="n"/>
      <c r="N193" s="65" t="n"/>
      <c r="O193" s="84">
        <f>IF(A193="","",IF(E193="","No date",IF(TODAY()&gt;=EDATE(E193,Review_Months),"Review Due","Current")))</f>
        <v/>
      </c>
      <c r="P193" s="84">
        <f>IF(A193="","",IF(COUNTIFS('AFA Rates'!$A$5:$A$1004,A193,'AFA Rates'!$O$5:$O$1004,"&lt;&gt;Expired")&gt;0,"Yes",IF(COUNTIF('AFA Rates'!$A$5:$A$1004,A193)&gt;0,"Expired only","No")))</f>
        <v/>
      </c>
      <c r="Q193" s="84">
        <f>IF(A193="","",COUNTIFS('AFA Rates'!$A$5:$A$1004,A193,'AFA Rates'!$O$5:$O$1004,"&lt;&gt;Expired"))</f>
        <v/>
      </c>
      <c r="R193" s="66" t="n"/>
      <c r="S193" s="64" t="n"/>
      <c r="T193" s="64" t="n"/>
      <c r="U193">
        <f>IF(AND(A193&lt;&gt;"",B193="Paused"),COUNTIFS($A$5:A193,"&lt;&gt;",$B$5:B193,"Paused"),"")</f>
        <v/>
      </c>
      <c r="V193">
        <f>IF(P193="Yes",COUNTIF($P$5:P193,"Yes"),"")</f>
        <v/>
      </c>
      <c r="W193">
        <f>IF(A193="","",COUNTIF($A$5:$A$1004,"&lt;"&amp;A193)+COUNTIF($A$5:A193,A193))</f>
        <v/>
      </c>
      <c r="X193">
        <f>","&amp;SUBSTITUTE(SUBSTITUTE(SUBSTITUTE(UPPER(C193)," ",""),";",","),"/",",")&amp;","</f>
        <v/>
      </c>
      <c r="Y193">
        <f>IF(AND(A193&lt;&gt;"",B193="Active",'State Search'!$C$5&lt;&gt;"",OR(X193=",ALL,",ISNUMBER(SEARCH(","&amp;'State Search'!$C$5&amp;",",X193)))),W193,"")</f>
        <v/>
      </c>
    </row>
    <row r="194">
      <c r="A194" s="64" t="n"/>
      <c r="B194" s="65" t="n"/>
      <c r="C194" s="64" t="n"/>
      <c r="D194" s="66" t="n"/>
      <c r="E194" s="66" t="n"/>
      <c r="F194" s="67" t="n"/>
      <c r="G194" s="67" t="n"/>
      <c r="H194" s="67" t="n"/>
      <c r="I194" s="67" t="n"/>
      <c r="J194" s="67" t="n"/>
      <c r="K194" s="67" t="n"/>
      <c r="L194" s="67" t="n"/>
      <c r="M194" s="67" t="n"/>
      <c r="N194" s="65" t="n"/>
      <c r="O194" s="84">
        <f>IF(A194="","",IF(E194="","No date",IF(TODAY()&gt;=EDATE(E194,Review_Months),"Review Due","Current")))</f>
        <v/>
      </c>
      <c r="P194" s="84">
        <f>IF(A194="","",IF(COUNTIFS('AFA Rates'!$A$5:$A$1004,A194,'AFA Rates'!$O$5:$O$1004,"&lt;&gt;Expired")&gt;0,"Yes",IF(COUNTIF('AFA Rates'!$A$5:$A$1004,A194)&gt;0,"Expired only","No")))</f>
        <v/>
      </c>
      <c r="Q194" s="84">
        <f>IF(A194="","",COUNTIFS('AFA Rates'!$A$5:$A$1004,A194,'AFA Rates'!$O$5:$O$1004,"&lt;&gt;Expired"))</f>
        <v/>
      </c>
      <c r="R194" s="66" t="n"/>
      <c r="S194" s="64" t="n"/>
      <c r="T194" s="64" t="n"/>
      <c r="U194">
        <f>IF(AND(A194&lt;&gt;"",B194="Paused"),COUNTIFS($A$5:A194,"&lt;&gt;",$B$5:B194,"Paused"),"")</f>
        <v/>
      </c>
      <c r="V194">
        <f>IF(P194="Yes",COUNTIF($P$5:P194,"Yes"),"")</f>
        <v/>
      </c>
      <c r="W194">
        <f>IF(A194="","",COUNTIF($A$5:$A$1004,"&lt;"&amp;A194)+COUNTIF($A$5:A194,A194))</f>
        <v/>
      </c>
      <c r="X194">
        <f>","&amp;SUBSTITUTE(SUBSTITUTE(SUBSTITUTE(UPPER(C194)," ",""),";",","),"/",",")&amp;","</f>
        <v/>
      </c>
      <c r="Y194">
        <f>IF(AND(A194&lt;&gt;"",B194="Active",'State Search'!$C$5&lt;&gt;"",OR(X194=",ALL,",ISNUMBER(SEARCH(","&amp;'State Search'!$C$5&amp;",",X194)))),W194,"")</f>
        <v/>
      </c>
    </row>
    <row r="195">
      <c r="A195" s="64" t="n"/>
      <c r="B195" s="65" t="n"/>
      <c r="C195" s="64" t="n"/>
      <c r="D195" s="66" t="n"/>
      <c r="E195" s="66" t="n"/>
      <c r="F195" s="67" t="n"/>
      <c r="G195" s="67" t="n"/>
      <c r="H195" s="67" t="n"/>
      <c r="I195" s="67" t="n"/>
      <c r="J195" s="67" t="n"/>
      <c r="K195" s="67" t="n"/>
      <c r="L195" s="67" t="n"/>
      <c r="M195" s="67" t="n"/>
      <c r="N195" s="65" t="n"/>
      <c r="O195" s="84">
        <f>IF(A195="","",IF(E195="","No date",IF(TODAY()&gt;=EDATE(E195,Review_Months),"Review Due","Current")))</f>
        <v/>
      </c>
      <c r="P195" s="84">
        <f>IF(A195="","",IF(COUNTIFS('AFA Rates'!$A$5:$A$1004,A195,'AFA Rates'!$O$5:$O$1004,"&lt;&gt;Expired")&gt;0,"Yes",IF(COUNTIF('AFA Rates'!$A$5:$A$1004,A195)&gt;0,"Expired only","No")))</f>
        <v/>
      </c>
      <c r="Q195" s="84">
        <f>IF(A195="","",COUNTIFS('AFA Rates'!$A$5:$A$1004,A195,'AFA Rates'!$O$5:$O$1004,"&lt;&gt;Expired"))</f>
        <v/>
      </c>
      <c r="R195" s="66" t="n"/>
      <c r="S195" s="64" t="n"/>
      <c r="T195" s="64" t="n"/>
      <c r="U195">
        <f>IF(AND(A195&lt;&gt;"",B195="Paused"),COUNTIFS($A$5:A195,"&lt;&gt;",$B$5:B195,"Paused"),"")</f>
        <v/>
      </c>
      <c r="V195">
        <f>IF(P195="Yes",COUNTIF($P$5:P195,"Yes"),"")</f>
        <v/>
      </c>
      <c r="W195">
        <f>IF(A195="","",COUNTIF($A$5:$A$1004,"&lt;"&amp;A195)+COUNTIF($A$5:A195,A195))</f>
        <v/>
      </c>
      <c r="X195">
        <f>","&amp;SUBSTITUTE(SUBSTITUTE(SUBSTITUTE(UPPER(C195)," ",""),";",","),"/",",")&amp;","</f>
        <v/>
      </c>
      <c r="Y195">
        <f>IF(AND(A195&lt;&gt;"",B195="Active",'State Search'!$C$5&lt;&gt;"",OR(X195=",ALL,",ISNUMBER(SEARCH(","&amp;'State Search'!$C$5&amp;",",X195)))),W195,"")</f>
        <v/>
      </c>
    </row>
    <row r="196">
      <c r="A196" s="64" t="n"/>
      <c r="B196" s="65" t="n"/>
      <c r="C196" s="64" t="n"/>
      <c r="D196" s="66" t="n"/>
      <c r="E196" s="66" t="n"/>
      <c r="F196" s="67" t="n"/>
      <c r="G196" s="67" t="n"/>
      <c r="H196" s="67" t="n"/>
      <c r="I196" s="67" t="n"/>
      <c r="J196" s="67" t="n"/>
      <c r="K196" s="67" t="n"/>
      <c r="L196" s="67" t="n"/>
      <c r="M196" s="67" t="n"/>
      <c r="N196" s="65" t="n"/>
      <c r="O196" s="84">
        <f>IF(A196="","",IF(E196="","No date",IF(TODAY()&gt;=EDATE(E196,Review_Months),"Review Due","Current")))</f>
        <v/>
      </c>
      <c r="P196" s="84">
        <f>IF(A196="","",IF(COUNTIFS('AFA Rates'!$A$5:$A$1004,A196,'AFA Rates'!$O$5:$O$1004,"&lt;&gt;Expired")&gt;0,"Yes",IF(COUNTIF('AFA Rates'!$A$5:$A$1004,A196)&gt;0,"Expired only","No")))</f>
        <v/>
      </c>
      <c r="Q196" s="84">
        <f>IF(A196="","",COUNTIFS('AFA Rates'!$A$5:$A$1004,A196,'AFA Rates'!$O$5:$O$1004,"&lt;&gt;Expired"))</f>
        <v/>
      </c>
      <c r="R196" s="66" t="n"/>
      <c r="S196" s="64" t="n"/>
      <c r="T196" s="64" t="n"/>
      <c r="U196">
        <f>IF(AND(A196&lt;&gt;"",B196="Paused"),COUNTIFS($A$5:A196,"&lt;&gt;",$B$5:B196,"Paused"),"")</f>
        <v/>
      </c>
      <c r="V196">
        <f>IF(P196="Yes",COUNTIF($P$5:P196,"Yes"),"")</f>
        <v/>
      </c>
      <c r="W196">
        <f>IF(A196="","",COUNTIF($A$5:$A$1004,"&lt;"&amp;A196)+COUNTIF($A$5:A196,A196))</f>
        <v/>
      </c>
      <c r="X196">
        <f>","&amp;SUBSTITUTE(SUBSTITUTE(SUBSTITUTE(UPPER(C196)," ",""),";",","),"/",",")&amp;","</f>
        <v/>
      </c>
      <c r="Y196">
        <f>IF(AND(A196&lt;&gt;"",B196="Active",'State Search'!$C$5&lt;&gt;"",OR(X196=",ALL,",ISNUMBER(SEARCH(","&amp;'State Search'!$C$5&amp;",",X196)))),W196,"")</f>
        <v/>
      </c>
    </row>
    <row r="197">
      <c r="A197" s="64" t="n"/>
      <c r="B197" s="65" t="n"/>
      <c r="C197" s="64" t="n"/>
      <c r="D197" s="66" t="n"/>
      <c r="E197" s="66" t="n"/>
      <c r="F197" s="67" t="n"/>
      <c r="G197" s="67" t="n"/>
      <c r="H197" s="67" t="n"/>
      <c r="I197" s="67" t="n"/>
      <c r="J197" s="67" t="n"/>
      <c r="K197" s="67" t="n"/>
      <c r="L197" s="67" t="n"/>
      <c r="M197" s="67" t="n"/>
      <c r="N197" s="65" t="n"/>
      <c r="O197" s="84">
        <f>IF(A197="","",IF(E197="","No date",IF(TODAY()&gt;=EDATE(E197,Review_Months),"Review Due","Current")))</f>
        <v/>
      </c>
      <c r="P197" s="84">
        <f>IF(A197="","",IF(COUNTIFS('AFA Rates'!$A$5:$A$1004,A197,'AFA Rates'!$O$5:$O$1004,"&lt;&gt;Expired")&gt;0,"Yes",IF(COUNTIF('AFA Rates'!$A$5:$A$1004,A197)&gt;0,"Expired only","No")))</f>
        <v/>
      </c>
      <c r="Q197" s="84">
        <f>IF(A197="","",COUNTIFS('AFA Rates'!$A$5:$A$1004,A197,'AFA Rates'!$O$5:$O$1004,"&lt;&gt;Expired"))</f>
        <v/>
      </c>
      <c r="R197" s="66" t="n"/>
      <c r="S197" s="64" t="n"/>
      <c r="T197" s="64" t="n"/>
      <c r="U197">
        <f>IF(AND(A197&lt;&gt;"",B197="Paused"),COUNTIFS($A$5:A197,"&lt;&gt;",$B$5:B197,"Paused"),"")</f>
        <v/>
      </c>
      <c r="V197">
        <f>IF(P197="Yes",COUNTIF($P$5:P197,"Yes"),"")</f>
        <v/>
      </c>
      <c r="W197">
        <f>IF(A197="","",COUNTIF($A$5:$A$1004,"&lt;"&amp;A197)+COUNTIF($A$5:A197,A197))</f>
        <v/>
      </c>
      <c r="X197">
        <f>","&amp;SUBSTITUTE(SUBSTITUTE(SUBSTITUTE(UPPER(C197)," ",""),";",","),"/",",")&amp;","</f>
        <v/>
      </c>
      <c r="Y197">
        <f>IF(AND(A197&lt;&gt;"",B197="Active",'State Search'!$C$5&lt;&gt;"",OR(X197=",ALL,",ISNUMBER(SEARCH(","&amp;'State Search'!$C$5&amp;",",X197)))),W197,"")</f>
        <v/>
      </c>
    </row>
    <row r="198">
      <c r="A198" s="64" t="n"/>
      <c r="B198" s="65" t="n"/>
      <c r="C198" s="64" t="n"/>
      <c r="D198" s="66" t="n"/>
      <c r="E198" s="66" t="n"/>
      <c r="F198" s="67" t="n"/>
      <c r="G198" s="67" t="n"/>
      <c r="H198" s="67" t="n"/>
      <c r="I198" s="67" t="n"/>
      <c r="J198" s="67" t="n"/>
      <c r="K198" s="67" t="n"/>
      <c r="L198" s="67" t="n"/>
      <c r="M198" s="67" t="n"/>
      <c r="N198" s="65" t="n"/>
      <c r="O198" s="84">
        <f>IF(A198="","",IF(E198="","No date",IF(TODAY()&gt;=EDATE(E198,Review_Months),"Review Due","Current")))</f>
        <v/>
      </c>
      <c r="P198" s="84">
        <f>IF(A198="","",IF(COUNTIFS('AFA Rates'!$A$5:$A$1004,A198,'AFA Rates'!$O$5:$O$1004,"&lt;&gt;Expired")&gt;0,"Yes",IF(COUNTIF('AFA Rates'!$A$5:$A$1004,A198)&gt;0,"Expired only","No")))</f>
        <v/>
      </c>
      <c r="Q198" s="84">
        <f>IF(A198="","",COUNTIFS('AFA Rates'!$A$5:$A$1004,A198,'AFA Rates'!$O$5:$O$1004,"&lt;&gt;Expired"))</f>
        <v/>
      </c>
      <c r="R198" s="66" t="n"/>
      <c r="S198" s="64" t="n"/>
      <c r="T198" s="64" t="n"/>
      <c r="U198">
        <f>IF(AND(A198&lt;&gt;"",B198="Paused"),COUNTIFS($A$5:A198,"&lt;&gt;",$B$5:B198,"Paused"),"")</f>
        <v/>
      </c>
      <c r="V198">
        <f>IF(P198="Yes",COUNTIF($P$5:P198,"Yes"),"")</f>
        <v/>
      </c>
      <c r="W198">
        <f>IF(A198="","",COUNTIF($A$5:$A$1004,"&lt;"&amp;A198)+COUNTIF($A$5:A198,A198))</f>
        <v/>
      </c>
      <c r="X198">
        <f>","&amp;SUBSTITUTE(SUBSTITUTE(SUBSTITUTE(UPPER(C198)," ",""),";",","),"/",",")&amp;","</f>
        <v/>
      </c>
      <c r="Y198">
        <f>IF(AND(A198&lt;&gt;"",B198="Active",'State Search'!$C$5&lt;&gt;"",OR(X198=",ALL,",ISNUMBER(SEARCH(","&amp;'State Search'!$C$5&amp;",",X198)))),W198,"")</f>
        <v/>
      </c>
    </row>
    <row r="199">
      <c r="A199" s="64" t="n"/>
      <c r="B199" s="65" t="n"/>
      <c r="C199" s="64" t="n"/>
      <c r="D199" s="66" t="n"/>
      <c r="E199" s="66" t="n"/>
      <c r="F199" s="67" t="n"/>
      <c r="G199" s="67" t="n"/>
      <c r="H199" s="67" t="n"/>
      <c r="I199" s="67" t="n"/>
      <c r="J199" s="67" t="n"/>
      <c r="K199" s="67" t="n"/>
      <c r="L199" s="67" t="n"/>
      <c r="M199" s="67" t="n"/>
      <c r="N199" s="65" t="n"/>
      <c r="O199" s="84">
        <f>IF(A199="","",IF(E199="","No date",IF(TODAY()&gt;=EDATE(E199,Review_Months),"Review Due","Current")))</f>
        <v/>
      </c>
      <c r="P199" s="84">
        <f>IF(A199="","",IF(COUNTIFS('AFA Rates'!$A$5:$A$1004,A199,'AFA Rates'!$O$5:$O$1004,"&lt;&gt;Expired")&gt;0,"Yes",IF(COUNTIF('AFA Rates'!$A$5:$A$1004,A199)&gt;0,"Expired only","No")))</f>
        <v/>
      </c>
      <c r="Q199" s="84">
        <f>IF(A199="","",COUNTIFS('AFA Rates'!$A$5:$A$1004,A199,'AFA Rates'!$O$5:$O$1004,"&lt;&gt;Expired"))</f>
        <v/>
      </c>
      <c r="R199" s="66" t="n"/>
      <c r="S199" s="64" t="n"/>
      <c r="T199" s="64" t="n"/>
      <c r="U199">
        <f>IF(AND(A199&lt;&gt;"",B199="Paused"),COUNTIFS($A$5:A199,"&lt;&gt;",$B$5:B199,"Paused"),"")</f>
        <v/>
      </c>
      <c r="V199">
        <f>IF(P199="Yes",COUNTIF($P$5:P199,"Yes"),"")</f>
        <v/>
      </c>
      <c r="W199">
        <f>IF(A199="","",COUNTIF($A$5:$A$1004,"&lt;"&amp;A199)+COUNTIF($A$5:A199,A199))</f>
        <v/>
      </c>
      <c r="X199">
        <f>","&amp;SUBSTITUTE(SUBSTITUTE(SUBSTITUTE(UPPER(C199)," ",""),";",","),"/",",")&amp;","</f>
        <v/>
      </c>
      <c r="Y199">
        <f>IF(AND(A199&lt;&gt;"",B199="Active",'State Search'!$C$5&lt;&gt;"",OR(X199=",ALL,",ISNUMBER(SEARCH(","&amp;'State Search'!$C$5&amp;",",X199)))),W199,"")</f>
        <v/>
      </c>
    </row>
    <row r="200">
      <c r="A200" s="64" t="n"/>
      <c r="B200" s="65" t="n"/>
      <c r="C200" s="64" t="n"/>
      <c r="D200" s="66" t="n"/>
      <c r="E200" s="66" t="n"/>
      <c r="F200" s="67" t="n"/>
      <c r="G200" s="67" t="n"/>
      <c r="H200" s="67" t="n"/>
      <c r="I200" s="67" t="n"/>
      <c r="J200" s="67" t="n"/>
      <c r="K200" s="67" t="n"/>
      <c r="L200" s="67" t="n"/>
      <c r="M200" s="67" t="n"/>
      <c r="N200" s="65" t="n"/>
      <c r="O200" s="84">
        <f>IF(A200="","",IF(E200="","No date",IF(TODAY()&gt;=EDATE(E200,Review_Months),"Review Due","Current")))</f>
        <v/>
      </c>
      <c r="P200" s="84">
        <f>IF(A200="","",IF(COUNTIFS('AFA Rates'!$A$5:$A$1004,A200,'AFA Rates'!$O$5:$O$1004,"&lt;&gt;Expired")&gt;0,"Yes",IF(COUNTIF('AFA Rates'!$A$5:$A$1004,A200)&gt;0,"Expired only","No")))</f>
        <v/>
      </c>
      <c r="Q200" s="84">
        <f>IF(A200="","",COUNTIFS('AFA Rates'!$A$5:$A$1004,A200,'AFA Rates'!$O$5:$O$1004,"&lt;&gt;Expired"))</f>
        <v/>
      </c>
      <c r="R200" s="66" t="n"/>
      <c r="S200" s="64" t="n"/>
      <c r="T200" s="64" t="n"/>
      <c r="U200">
        <f>IF(AND(A200&lt;&gt;"",B200="Paused"),COUNTIFS($A$5:A200,"&lt;&gt;",$B$5:B200,"Paused"),"")</f>
        <v/>
      </c>
      <c r="V200">
        <f>IF(P200="Yes",COUNTIF($P$5:P200,"Yes"),"")</f>
        <v/>
      </c>
      <c r="W200">
        <f>IF(A200="","",COUNTIF($A$5:$A$1004,"&lt;"&amp;A200)+COUNTIF($A$5:A200,A200))</f>
        <v/>
      </c>
      <c r="X200">
        <f>","&amp;SUBSTITUTE(SUBSTITUTE(SUBSTITUTE(UPPER(C200)," ",""),";",","),"/",",")&amp;","</f>
        <v/>
      </c>
      <c r="Y200">
        <f>IF(AND(A200&lt;&gt;"",B200="Active",'State Search'!$C$5&lt;&gt;"",OR(X200=",ALL,",ISNUMBER(SEARCH(","&amp;'State Search'!$C$5&amp;",",X200)))),W200,"")</f>
        <v/>
      </c>
    </row>
    <row r="201">
      <c r="A201" s="64" t="n"/>
      <c r="B201" s="65" t="n"/>
      <c r="C201" s="64" t="n"/>
      <c r="D201" s="66" t="n"/>
      <c r="E201" s="66" t="n"/>
      <c r="F201" s="67" t="n"/>
      <c r="G201" s="67" t="n"/>
      <c r="H201" s="67" t="n"/>
      <c r="I201" s="67" t="n"/>
      <c r="J201" s="67" t="n"/>
      <c r="K201" s="67" t="n"/>
      <c r="L201" s="67" t="n"/>
      <c r="M201" s="67" t="n"/>
      <c r="N201" s="65" t="n"/>
      <c r="O201" s="84">
        <f>IF(A201="","",IF(E201="","No date",IF(TODAY()&gt;=EDATE(E201,Review_Months),"Review Due","Current")))</f>
        <v/>
      </c>
      <c r="P201" s="84">
        <f>IF(A201="","",IF(COUNTIFS('AFA Rates'!$A$5:$A$1004,A201,'AFA Rates'!$O$5:$O$1004,"&lt;&gt;Expired")&gt;0,"Yes",IF(COUNTIF('AFA Rates'!$A$5:$A$1004,A201)&gt;0,"Expired only","No")))</f>
        <v/>
      </c>
      <c r="Q201" s="84">
        <f>IF(A201="","",COUNTIFS('AFA Rates'!$A$5:$A$1004,A201,'AFA Rates'!$O$5:$O$1004,"&lt;&gt;Expired"))</f>
        <v/>
      </c>
      <c r="R201" s="66" t="n"/>
      <c r="S201" s="64" t="n"/>
      <c r="T201" s="64" t="n"/>
      <c r="U201">
        <f>IF(AND(A201&lt;&gt;"",B201="Paused"),COUNTIFS($A$5:A201,"&lt;&gt;",$B$5:B201,"Paused"),"")</f>
        <v/>
      </c>
      <c r="V201">
        <f>IF(P201="Yes",COUNTIF($P$5:P201,"Yes"),"")</f>
        <v/>
      </c>
      <c r="W201">
        <f>IF(A201="","",COUNTIF($A$5:$A$1004,"&lt;"&amp;A201)+COUNTIF($A$5:A201,A201))</f>
        <v/>
      </c>
      <c r="X201">
        <f>","&amp;SUBSTITUTE(SUBSTITUTE(SUBSTITUTE(UPPER(C201)," ",""),";",","),"/",",")&amp;","</f>
        <v/>
      </c>
      <c r="Y201">
        <f>IF(AND(A201&lt;&gt;"",B201="Active",'State Search'!$C$5&lt;&gt;"",OR(X201=",ALL,",ISNUMBER(SEARCH(","&amp;'State Search'!$C$5&amp;",",X201)))),W201,"")</f>
        <v/>
      </c>
    </row>
    <row r="202">
      <c r="A202" s="64" t="n"/>
      <c r="B202" s="65" t="n"/>
      <c r="C202" s="64" t="n"/>
      <c r="D202" s="66" t="n"/>
      <c r="E202" s="66" t="n"/>
      <c r="F202" s="67" t="n"/>
      <c r="G202" s="67" t="n"/>
      <c r="H202" s="67" t="n"/>
      <c r="I202" s="67" t="n"/>
      <c r="J202" s="67" t="n"/>
      <c r="K202" s="67" t="n"/>
      <c r="L202" s="67" t="n"/>
      <c r="M202" s="67" t="n"/>
      <c r="N202" s="65" t="n"/>
      <c r="O202" s="84">
        <f>IF(A202="","",IF(E202="","No date",IF(TODAY()&gt;=EDATE(E202,Review_Months),"Review Due","Current")))</f>
        <v/>
      </c>
      <c r="P202" s="84">
        <f>IF(A202="","",IF(COUNTIFS('AFA Rates'!$A$5:$A$1004,A202,'AFA Rates'!$O$5:$O$1004,"&lt;&gt;Expired")&gt;0,"Yes",IF(COUNTIF('AFA Rates'!$A$5:$A$1004,A202)&gt;0,"Expired only","No")))</f>
        <v/>
      </c>
      <c r="Q202" s="84">
        <f>IF(A202="","",COUNTIFS('AFA Rates'!$A$5:$A$1004,A202,'AFA Rates'!$O$5:$O$1004,"&lt;&gt;Expired"))</f>
        <v/>
      </c>
      <c r="R202" s="66" t="n"/>
      <c r="S202" s="64" t="n"/>
      <c r="T202" s="64" t="n"/>
      <c r="U202">
        <f>IF(AND(A202&lt;&gt;"",B202="Paused"),COUNTIFS($A$5:A202,"&lt;&gt;",$B$5:B202,"Paused"),"")</f>
        <v/>
      </c>
      <c r="V202">
        <f>IF(P202="Yes",COUNTIF($P$5:P202,"Yes"),"")</f>
        <v/>
      </c>
      <c r="W202">
        <f>IF(A202="","",COUNTIF($A$5:$A$1004,"&lt;"&amp;A202)+COUNTIF($A$5:A202,A202))</f>
        <v/>
      </c>
      <c r="X202">
        <f>","&amp;SUBSTITUTE(SUBSTITUTE(SUBSTITUTE(UPPER(C202)," ",""),";",","),"/",",")&amp;","</f>
        <v/>
      </c>
      <c r="Y202">
        <f>IF(AND(A202&lt;&gt;"",B202="Active",'State Search'!$C$5&lt;&gt;"",OR(X202=",ALL,",ISNUMBER(SEARCH(","&amp;'State Search'!$C$5&amp;",",X202)))),W202,"")</f>
        <v/>
      </c>
    </row>
    <row r="203">
      <c r="A203" s="64" t="n"/>
      <c r="B203" s="65" t="n"/>
      <c r="C203" s="64" t="n"/>
      <c r="D203" s="66" t="n"/>
      <c r="E203" s="66" t="n"/>
      <c r="F203" s="67" t="n"/>
      <c r="G203" s="67" t="n"/>
      <c r="H203" s="67" t="n"/>
      <c r="I203" s="67" t="n"/>
      <c r="J203" s="67" t="n"/>
      <c r="K203" s="67" t="n"/>
      <c r="L203" s="67" t="n"/>
      <c r="M203" s="67" t="n"/>
      <c r="N203" s="65" t="n"/>
      <c r="O203" s="84">
        <f>IF(A203="","",IF(E203="","No date",IF(TODAY()&gt;=EDATE(E203,Review_Months),"Review Due","Current")))</f>
        <v/>
      </c>
      <c r="P203" s="84">
        <f>IF(A203="","",IF(COUNTIFS('AFA Rates'!$A$5:$A$1004,A203,'AFA Rates'!$O$5:$O$1004,"&lt;&gt;Expired")&gt;0,"Yes",IF(COUNTIF('AFA Rates'!$A$5:$A$1004,A203)&gt;0,"Expired only","No")))</f>
        <v/>
      </c>
      <c r="Q203" s="84">
        <f>IF(A203="","",COUNTIFS('AFA Rates'!$A$5:$A$1004,A203,'AFA Rates'!$O$5:$O$1004,"&lt;&gt;Expired"))</f>
        <v/>
      </c>
      <c r="R203" s="66" t="n"/>
      <c r="S203" s="64" t="n"/>
      <c r="T203" s="64" t="n"/>
      <c r="U203">
        <f>IF(AND(A203&lt;&gt;"",B203="Paused"),COUNTIFS($A$5:A203,"&lt;&gt;",$B$5:B203,"Paused"),"")</f>
        <v/>
      </c>
      <c r="V203">
        <f>IF(P203="Yes",COUNTIF($P$5:P203,"Yes"),"")</f>
        <v/>
      </c>
      <c r="W203">
        <f>IF(A203="","",COUNTIF($A$5:$A$1004,"&lt;"&amp;A203)+COUNTIF($A$5:A203,A203))</f>
        <v/>
      </c>
      <c r="X203">
        <f>","&amp;SUBSTITUTE(SUBSTITUTE(SUBSTITUTE(UPPER(C203)," ",""),";",","),"/",",")&amp;","</f>
        <v/>
      </c>
      <c r="Y203">
        <f>IF(AND(A203&lt;&gt;"",B203="Active",'State Search'!$C$5&lt;&gt;"",OR(X203=",ALL,",ISNUMBER(SEARCH(","&amp;'State Search'!$C$5&amp;",",X203)))),W203,"")</f>
        <v/>
      </c>
    </row>
    <row r="204">
      <c r="A204" s="64" t="n"/>
      <c r="B204" s="65" t="n"/>
      <c r="C204" s="64" t="n"/>
      <c r="D204" s="66" t="n"/>
      <c r="E204" s="66" t="n"/>
      <c r="F204" s="67" t="n"/>
      <c r="G204" s="67" t="n"/>
      <c r="H204" s="67" t="n"/>
      <c r="I204" s="67" t="n"/>
      <c r="J204" s="67" t="n"/>
      <c r="K204" s="67" t="n"/>
      <c r="L204" s="67" t="n"/>
      <c r="M204" s="67" t="n"/>
      <c r="N204" s="65" t="n"/>
      <c r="O204" s="84">
        <f>IF(A204="","",IF(E204="","No date",IF(TODAY()&gt;=EDATE(E204,Review_Months),"Review Due","Current")))</f>
        <v/>
      </c>
      <c r="P204" s="84">
        <f>IF(A204="","",IF(COUNTIFS('AFA Rates'!$A$5:$A$1004,A204,'AFA Rates'!$O$5:$O$1004,"&lt;&gt;Expired")&gt;0,"Yes",IF(COUNTIF('AFA Rates'!$A$5:$A$1004,A204)&gt;0,"Expired only","No")))</f>
        <v/>
      </c>
      <c r="Q204" s="84">
        <f>IF(A204="","",COUNTIFS('AFA Rates'!$A$5:$A$1004,A204,'AFA Rates'!$O$5:$O$1004,"&lt;&gt;Expired"))</f>
        <v/>
      </c>
      <c r="R204" s="66" t="n"/>
      <c r="S204" s="64" t="n"/>
      <c r="T204" s="64" t="n"/>
      <c r="U204">
        <f>IF(AND(A204&lt;&gt;"",B204="Paused"),COUNTIFS($A$5:A204,"&lt;&gt;",$B$5:B204,"Paused"),"")</f>
        <v/>
      </c>
      <c r="V204">
        <f>IF(P204="Yes",COUNTIF($P$5:P204,"Yes"),"")</f>
        <v/>
      </c>
      <c r="W204">
        <f>IF(A204="","",COUNTIF($A$5:$A$1004,"&lt;"&amp;A204)+COUNTIF($A$5:A204,A204))</f>
        <v/>
      </c>
      <c r="X204">
        <f>","&amp;SUBSTITUTE(SUBSTITUTE(SUBSTITUTE(UPPER(C204)," ",""),";",","),"/",",")&amp;","</f>
        <v/>
      </c>
      <c r="Y204">
        <f>IF(AND(A204&lt;&gt;"",B204="Active",'State Search'!$C$5&lt;&gt;"",OR(X204=",ALL,",ISNUMBER(SEARCH(","&amp;'State Search'!$C$5&amp;",",X204)))),W204,"")</f>
        <v/>
      </c>
    </row>
    <row r="205">
      <c r="A205" s="64" t="n"/>
      <c r="B205" s="65" t="n"/>
      <c r="C205" s="64" t="n"/>
      <c r="D205" s="66" t="n"/>
      <c r="E205" s="66" t="n"/>
      <c r="F205" s="67" t="n"/>
      <c r="G205" s="67" t="n"/>
      <c r="H205" s="67" t="n"/>
      <c r="I205" s="67" t="n"/>
      <c r="J205" s="67" t="n"/>
      <c r="K205" s="67" t="n"/>
      <c r="L205" s="67" t="n"/>
      <c r="M205" s="67" t="n"/>
      <c r="N205" s="65" t="n"/>
      <c r="O205" s="84">
        <f>IF(A205="","",IF(E205="","No date",IF(TODAY()&gt;=EDATE(E205,Review_Months),"Review Due","Current")))</f>
        <v/>
      </c>
      <c r="P205" s="84">
        <f>IF(A205="","",IF(COUNTIFS('AFA Rates'!$A$5:$A$1004,A205,'AFA Rates'!$O$5:$O$1004,"&lt;&gt;Expired")&gt;0,"Yes",IF(COUNTIF('AFA Rates'!$A$5:$A$1004,A205)&gt;0,"Expired only","No")))</f>
        <v/>
      </c>
      <c r="Q205" s="84">
        <f>IF(A205="","",COUNTIFS('AFA Rates'!$A$5:$A$1004,A205,'AFA Rates'!$O$5:$O$1004,"&lt;&gt;Expired"))</f>
        <v/>
      </c>
      <c r="R205" s="66" t="n"/>
      <c r="S205" s="64" t="n"/>
      <c r="T205" s="64" t="n"/>
      <c r="U205">
        <f>IF(AND(A205&lt;&gt;"",B205="Paused"),COUNTIFS($A$5:A205,"&lt;&gt;",$B$5:B205,"Paused"),"")</f>
        <v/>
      </c>
      <c r="V205">
        <f>IF(P205="Yes",COUNTIF($P$5:P205,"Yes"),"")</f>
        <v/>
      </c>
      <c r="W205">
        <f>IF(A205="","",COUNTIF($A$5:$A$1004,"&lt;"&amp;A205)+COUNTIF($A$5:A205,A205))</f>
        <v/>
      </c>
      <c r="X205">
        <f>","&amp;SUBSTITUTE(SUBSTITUTE(SUBSTITUTE(UPPER(C205)," ",""),";",","),"/",",")&amp;","</f>
        <v/>
      </c>
      <c r="Y205">
        <f>IF(AND(A205&lt;&gt;"",B205="Active",'State Search'!$C$5&lt;&gt;"",OR(X205=",ALL,",ISNUMBER(SEARCH(","&amp;'State Search'!$C$5&amp;",",X205)))),W205,"")</f>
        <v/>
      </c>
    </row>
    <row r="206">
      <c r="A206" s="64" t="n"/>
      <c r="B206" s="65" t="n"/>
      <c r="C206" s="64" t="n"/>
      <c r="D206" s="66" t="n"/>
      <c r="E206" s="66" t="n"/>
      <c r="F206" s="67" t="n"/>
      <c r="G206" s="67" t="n"/>
      <c r="H206" s="67" t="n"/>
      <c r="I206" s="67" t="n"/>
      <c r="J206" s="67" t="n"/>
      <c r="K206" s="67" t="n"/>
      <c r="L206" s="67" t="n"/>
      <c r="M206" s="67" t="n"/>
      <c r="N206" s="65" t="n"/>
      <c r="O206" s="84">
        <f>IF(A206="","",IF(E206="","No date",IF(TODAY()&gt;=EDATE(E206,Review_Months),"Review Due","Current")))</f>
        <v/>
      </c>
      <c r="P206" s="84">
        <f>IF(A206="","",IF(COUNTIFS('AFA Rates'!$A$5:$A$1004,A206,'AFA Rates'!$O$5:$O$1004,"&lt;&gt;Expired")&gt;0,"Yes",IF(COUNTIF('AFA Rates'!$A$5:$A$1004,A206)&gt;0,"Expired only","No")))</f>
        <v/>
      </c>
      <c r="Q206" s="84">
        <f>IF(A206="","",COUNTIFS('AFA Rates'!$A$5:$A$1004,A206,'AFA Rates'!$O$5:$O$1004,"&lt;&gt;Expired"))</f>
        <v/>
      </c>
      <c r="R206" s="66" t="n"/>
      <c r="S206" s="64" t="n"/>
      <c r="T206" s="64" t="n"/>
      <c r="U206">
        <f>IF(AND(A206&lt;&gt;"",B206="Paused"),COUNTIFS($A$5:A206,"&lt;&gt;",$B$5:B206,"Paused"),"")</f>
        <v/>
      </c>
      <c r="V206">
        <f>IF(P206="Yes",COUNTIF($P$5:P206,"Yes"),"")</f>
        <v/>
      </c>
      <c r="W206">
        <f>IF(A206="","",COUNTIF($A$5:$A$1004,"&lt;"&amp;A206)+COUNTIF($A$5:A206,A206))</f>
        <v/>
      </c>
      <c r="X206">
        <f>","&amp;SUBSTITUTE(SUBSTITUTE(SUBSTITUTE(UPPER(C206)," ",""),";",","),"/",",")&amp;","</f>
        <v/>
      </c>
      <c r="Y206">
        <f>IF(AND(A206&lt;&gt;"",B206="Active",'State Search'!$C$5&lt;&gt;"",OR(X206=",ALL,",ISNUMBER(SEARCH(","&amp;'State Search'!$C$5&amp;",",X206)))),W206,"")</f>
        <v/>
      </c>
    </row>
    <row r="207">
      <c r="A207" s="64" t="n"/>
      <c r="B207" s="65" t="n"/>
      <c r="C207" s="64" t="n"/>
      <c r="D207" s="66" t="n"/>
      <c r="E207" s="66" t="n"/>
      <c r="F207" s="67" t="n"/>
      <c r="G207" s="67" t="n"/>
      <c r="H207" s="67" t="n"/>
      <c r="I207" s="67" t="n"/>
      <c r="J207" s="67" t="n"/>
      <c r="K207" s="67" t="n"/>
      <c r="L207" s="67" t="n"/>
      <c r="M207" s="67" t="n"/>
      <c r="N207" s="65" t="n"/>
      <c r="O207" s="84">
        <f>IF(A207="","",IF(E207="","No date",IF(TODAY()&gt;=EDATE(E207,Review_Months),"Review Due","Current")))</f>
        <v/>
      </c>
      <c r="P207" s="84">
        <f>IF(A207="","",IF(COUNTIFS('AFA Rates'!$A$5:$A$1004,A207,'AFA Rates'!$O$5:$O$1004,"&lt;&gt;Expired")&gt;0,"Yes",IF(COUNTIF('AFA Rates'!$A$5:$A$1004,A207)&gt;0,"Expired only","No")))</f>
        <v/>
      </c>
      <c r="Q207" s="84">
        <f>IF(A207="","",COUNTIFS('AFA Rates'!$A$5:$A$1004,A207,'AFA Rates'!$O$5:$O$1004,"&lt;&gt;Expired"))</f>
        <v/>
      </c>
      <c r="R207" s="66" t="n"/>
      <c r="S207" s="64" t="n"/>
      <c r="T207" s="64" t="n"/>
      <c r="U207">
        <f>IF(AND(A207&lt;&gt;"",B207="Paused"),COUNTIFS($A$5:A207,"&lt;&gt;",$B$5:B207,"Paused"),"")</f>
        <v/>
      </c>
      <c r="V207">
        <f>IF(P207="Yes",COUNTIF($P$5:P207,"Yes"),"")</f>
        <v/>
      </c>
      <c r="W207">
        <f>IF(A207="","",COUNTIF($A$5:$A$1004,"&lt;"&amp;A207)+COUNTIF($A$5:A207,A207))</f>
        <v/>
      </c>
      <c r="X207">
        <f>","&amp;SUBSTITUTE(SUBSTITUTE(SUBSTITUTE(UPPER(C207)," ",""),";",","),"/",",")&amp;","</f>
        <v/>
      </c>
      <c r="Y207">
        <f>IF(AND(A207&lt;&gt;"",B207="Active",'State Search'!$C$5&lt;&gt;"",OR(X207=",ALL,",ISNUMBER(SEARCH(","&amp;'State Search'!$C$5&amp;",",X207)))),W207,"")</f>
        <v/>
      </c>
    </row>
    <row r="208">
      <c r="A208" s="64" t="n"/>
      <c r="B208" s="65" t="n"/>
      <c r="C208" s="64" t="n"/>
      <c r="D208" s="66" t="n"/>
      <c r="E208" s="66" t="n"/>
      <c r="F208" s="67" t="n"/>
      <c r="G208" s="67" t="n"/>
      <c r="H208" s="67" t="n"/>
      <c r="I208" s="67" t="n"/>
      <c r="J208" s="67" t="n"/>
      <c r="K208" s="67" t="n"/>
      <c r="L208" s="67" t="n"/>
      <c r="M208" s="67" t="n"/>
      <c r="N208" s="65" t="n"/>
      <c r="O208" s="84">
        <f>IF(A208="","",IF(E208="","No date",IF(TODAY()&gt;=EDATE(E208,Review_Months),"Review Due","Current")))</f>
        <v/>
      </c>
      <c r="P208" s="84">
        <f>IF(A208="","",IF(COUNTIFS('AFA Rates'!$A$5:$A$1004,A208,'AFA Rates'!$O$5:$O$1004,"&lt;&gt;Expired")&gt;0,"Yes",IF(COUNTIF('AFA Rates'!$A$5:$A$1004,A208)&gt;0,"Expired only","No")))</f>
        <v/>
      </c>
      <c r="Q208" s="84">
        <f>IF(A208="","",COUNTIFS('AFA Rates'!$A$5:$A$1004,A208,'AFA Rates'!$O$5:$O$1004,"&lt;&gt;Expired"))</f>
        <v/>
      </c>
      <c r="R208" s="66" t="n"/>
      <c r="S208" s="64" t="n"/>
      <c r="T208" s="64" t="n"/>
      <c r="U208">
        <f>IF(AND(A208&lt;&gt;"",B208="Paused"),COUNTIFS($A$5:A208,"&lt;&gt;",$B$5:B208,"Paused"),"")</f>
        <v/>
      </c>
      <c r="V208">
        <f>IF(P208="Yes",COUNTIF($P$5:P208,"Yes"),"")</f>
        <v/>
      </c>
      <c r="W208">
        <f>IF(A208="","",COUNTIF($A$5:$A$1004,"&lt;"&amp;A208)+COUNTIF($A$5:A208,A208))</f>
        <v/>
      </c>
      <c r="X208">
        <f>","&amp;SUBSTITUTE(SUBSTITUTE(SUBSTITUTE(UPPER(C208)," ",""),";",","),"/",",")&amp;","</f>
        <v/>
      </c>
      <c r="Y208">
        <f>IF(AND(A208&lt;&gt;"",B208="Active",'State Search'!$C$5&lt;&gt;"",OR(X208=",ALL,",ISNUMBER(SEARCH(","&amp;'State Search'!$C$5&amp;",",X208)))),W208,"")</f>
        <v/>
      </c>
    </row>
    <row r="209">
      <c r="A209" s="64" t="n"/>
      <c r="B209" s="65" t="n"/>
      <c r="C209" s="64" t="n"/>
      <c r="D209" s="66" t="n"/>
      <c r="E209" s="66" t="n"/>
      <c r="F209" s="67" t="n"/>
      <c r="G209" s="67" t="n"/>
      <c r="H209" s="67" t="n"/>
      <c r="I209" s="67" t="n"/>
      <c r="J209" s="67" t="n"/>
      <c r="K209" s="67" t="n"/>
      <c r="L209" s="67" t="n"/>
      <c r="M209" s="67" t="n"/>
      <c r="N209" s="65" t="n"/>
      <c r="O209" s="84">
        <f>IF(A209="","",IF(E209="","No date",IF(TODAY()&gt;=EDATE(E209,Review_Months),"Review Due","Current")))</f>
        <v/>
      </c>
      <c r="P209" s="84">
        <f>IF(A209="","",IF(COUNTIFS('AFA Rates'!$A$5:$A$1004,A209,'AFA Rates'!$O$5:$O$1004,"&lt;&gt;Expired")&gt;0,"Yes",IF(COUNTIF('AFA Rates'!$A$5:$A$1004,A209)&gt;0,"Expired only","No")))</f>
        <v/>
      </c>
      <c r="Q209" s="84">
        <f>IF(A209="","",COUNTIFS('AFA Rates'!$A$5:$A$1004,A209,'AFA Rates'!$O$5:$O$1004,"&lt;&gt;Expired"))</f>
        <v/>
      </c>
      <c r="R209" s="66" t="n"/>
      <c r="S209" s="64" t="n"/>
      <c r="T209" s="64" t="n"/>
      <c r="U209">
        <f>IF(AND(A209&lt;&gt;"",B209="Paused"),COUNTIFS($A$5:A209,"&lt;&gt;",$B$5:B209,"Paused"),"")</f>
        <v/>
      </c>
      <c r="V209">
        <f>IF(P209="Yes",COUNTIF($P$5:P209,"Yes"),"")</f>
        <v/>
      </c>
      <c r="W209">
        <f>IF(A209="","",COUNTIF($A$5:$A$1004,"&lt;"&amp;A209)+COUNTIF($A$5:A209,A209))</f>
        <v/>
      </c>
      <c r="X209">
        <f>","&amp;SUBSTITUTE(SUBSTITUTE(SUBSTITUTE(UPPER(C209)," ",""),";",","),"/",",")&amp;","</f>
        <v/>
      </c>
      <c r="Y209">
        <f>IF(AND(A209&lt;&gt;"",B209="Active",'State Search'!$C$5&lt;&gt;"",OR(X209=",ALL,",ISNUMBER(SEARCH(","&amp;'State Search'!$C$5&amp;",",X209)))),W209,"")</f>
        <v/>
      </c>
    </row>
    <row r="210">
      <c r="A210" s="64" t="n"/>
      <c r="B210" s="65" t="n"/>
      <c r="C210" s="64" t="n"/>
      <c r="D210" s="66" t="n"/>
      <c r="E210" s="66" t="n"/>
      <c r="F210" s="67" t="n"/>
      <c r="G210" s="67" t="n"/>
      <c r="H210" s="67" t="n"/>
      <c r="I210" s="67" t="n"/>
      <c r="J210" s="67" t="n"/>
      <c r="K210" s="67" t="n"/>
      <c r="L210" s="67" t="n"/>
      <c r="M210" s="67" t="n"/>
      <c r="N210" s="65" t="n"/>
      <c r="O210" s="84">
        <f>IF(A210="","",IF(E210="","No date",IF(TODAY()&gt;=EDATE(E210,Review_Months),"Review Due","Current")))</f>
        <v/>
      </c>
      <c r="P210" s="84">
        <f>IF(A210="","",IF(COUNTIFS('AFA Rates'!$A$5:$A$1004,A210,'AFA Rates'!$O$5:$O$1004,"&lt;&gt;Expired")&gt;0,"Yes",IF(COUNTIF('AFA Rates'!$A$5:$A$1004,A210)&gt;0,"Expired only","No")))</f>
        <v/>
      </c>
      <c r="Q210" s="84">
        <f>IF(A210="","",COUNTIFS('AFA Rates'!$A$5:$A$1004,A210,'AFA Rates'!$O$5:$O$1004,"&lt;&gt;Expired"))</f>
        <v/>
      </c>
      <c r="R210" s="66" t="n"/>
      <c r="S210" s="64" t="n"/>
      <c r="T210" s="64" t="n"/>
      <c r="U210">
        <f>IF(AND(A210&lt;&gt;"",B210="Paused"),COUNTIFS($A$5:A210,"&lt;&gt;",$B$5:B210,"Paused"),"")</f>
        <v/>
      </c>
      <c r="V210">
        <f>IF(P210="Yes",COUNTIF($P$5:P210,"Yes"),"")</f>
        <v/>
      </c>
      <c r="W210">
        <f>IF(A210="","",COUNTIF($A$5:$A$1004,"&lt;"&amp;A210)+COUNTIF($A$5:A210,A210))</f>
        <v/>
      </c>
      <c r="X210">
        <f>","&amp;SUBSTITUTE(SUBSTITUTE(SUBSTITUTE(UPPER(C210)," ",""),";",","),"/",",")&amp;","</f>
        <v/>
      </c>
      <c r="Y210">
        <f>IF(AND(A210&lt;&gt;"",B210="Active",'State Search'!$C$5&lt;&gt;"",OR(X210=",ALL,",ISNUMBER(SEARCH(","&amp;'State Search'!$C$5&amp;",",X210)))),W210,"")</f>
        <v/>
      </c>
    </row>
    <row r="211">
      <c r="A211" s="64" t="n"/>
      <c r="B211" s="65" t="n"/>
      <c r="C211" s="64" t="n"/>
      <c r="D211" s="66" t="n"/>
      <c r="E211" s="66" t="n"/>
      <c r="F211" s="67" t="n"/>
      <c r="G211" s="67" t="n"/>
      <c r="H211" s="67" t="n"/>
      <c r="I211" s="67" t="n"/>
      <c r="J211" s="67" t="n"/>
      <c r="K211" s="67" t="n"/>
      <c r="L211" s="67" t="n"/>
      <c r="M211" s="67" t="n"/>
      <c r="N211" s="65" t="n"/>
      <c r="O211" s="84">
        <f>IF(A211="","",IF(E211="","No date",IF(TODAY()&gt;=EDATE(E211,Review_Months),"Review Due","Current")))</f>
        <v/>
      </c>
      <c r="P211" s="84">
        <f>IF(A211="","",IF(COUNTIFS('AFA Rates'!$A$5:$A$1004,A211,'AFA Rates'!$O$5:$O$1004,"&lt;&gt;Expired")&gt;0,"Yes",IF(COUNTIF('AFA Rates'!$A$5:$A$1004,A211)&gt;0,"Expired only","No")))</f>
        <v/>
      </c>
      <c r="Q211" s="84">
        <f>IF(A211="","",COUNTIFS('AFA Rates'!$A$5:$A$1004,A211,'AFA Rates'!$O$5:$O$1004,"&lt;&gt;Expired"))</f>
        <v/>
      </c>
      <c r="R211" s="66" t="n"/>
      <c r="S211" s="64" t="n"/>
      <c r="T211" s="64" t="n"/>
      <c r="U211">
        <f>IF(AND(A211&lt;&gt;"",B211="Paused"),COUNTIFS($A$5:A211,"&lt;&gt;",$B$5:B211,"Paused"),"")</f>
        <v/>
      </c>
      <c r="V211">
        <f>IF(P211="Yes",COUNTIF($P$5:P211,"Yes"),"")</f>
        <v/>
      </c>
      <c r="W211">
        <f>IF(A211="","",COUNTIF($A$5:$A$1004,"&lt;"&amp;A211)+COUNTIF($A$5:A211,A211))</f>
        <v/>
      </c>
      <c r="X211">
        <f>","&amp;SUBSTITUTE(SUBSTITUTE(SUBSTITUTE(UPPER(C211)," ",""),";",","),"/",",")&amp;","</f>
        <v/>
      </c>
      <c r="Y211">
        <f>IF(AND(A211&lt;&gt;"",B211="Active",'State Search'!$C$5&lt;&gt;"",OR(X211=",ALL,",ISNUMBER(SEARCH(","&amp;'State Search'!$C$5&amp;",",X211)))),W211,"")</f>
        <v/>
      </c>
    </row>
    <row r="212">
      <c r="A212" s="64" t="n"/>
      <c r="B212" s="65" t="n"/>
      <c r="C212" s="64" t="n"/>
      <c r="D212" s="66" t="n"/>
      <c r="E212" s="66" t="n"/>
      <c r="F212" s="67" t="n"/>
      <c r="G212" s="67" t="n"/>
      <c r="H212" s="67" t="n"/>
      <c r="I212" s="67" t="n"/>
      <c r="J212" s="67" t="n"/>
      <c r="K212" s="67" t="n"/>
      <c r="L212" s="67" t="n"/>
      <c r="M212" s="67" t="n"/>
      <c r="N212" s="65" t="n"/>
      <c r="O212" s="84">
        <f>IF(A212="","",IF(E212="","No date",IF(TODAY()&gt;=EDATE(E212,Review_Months),"Review Due","Current")))</f>
        <v/>
      </c>
      <c r="P212" s="84">
        <f>IF(A212="","",IF(COUNTIFS('AFA Rates'!$A$5:$A$1004,A212,'AFA Rates'!$O$5:$O$1004,"&lt;&gt;Expired")&gt;0,"Yes",IF(COUNTIF('AFA Rates'!$A$5:$A$1004,A212)&gt;0,"Expired only","No")))</f>
        <v/>
      </c>
      <c r="Q212" s="84">
        <f>IF(A212="","",COUNTIFS('AFA Rates'!$A$5:$A$1004,A212,'AFA Rates'!$O$5:$O$1004,"&lt;&gt;Expired"))</f>
        <v/>
      </c>
      <c r="R212" s="66" t="n"/>
      <c r="S212" s="64" t="n"/>
      <c r="T212" s="64" t="n"/>
      <c r="U212">
        <f>IF(AND(A212&lt;&gt;"",B212="Paused"),COUNTIFS($A$5:A212,"&lt;&gt;",$B$5:B212,"Paused"),"")</f>
        <v/>
      </c>
      <c r="V212">
        <f>IF(P212="Yes",COUNTIF($P$5:P212,"Yes"),"")</f>
        <v/>
      </c>
      <c r="W212">
        <f>IF(A212="","",COUNTIF($A$5:$A$1004,"&lt;"&amp;A212)+COUNTIF($A$5:A212,A212))</f>
        <v/>
      </c>
      <c r="X212">
        <f>","&amp;SUBSTITUTE(SUBSTITUTE(SUBSTITUTE(UPPER(C212)," ",""),";",","),"/",",")&amp;","</f>
        <v/>
      </c>
      <c r="Y212">
        <f>IF(AND(A212&lt;&gt;"",B212="Active",'State Search'!$C$5&lt;&gt;"",OR(X212=",ALL,",ISNUMBER(SEARCH(","&amp;'State Search'!$C$5&amp;",",X212)))),W212,"")</f>
        <v/>
      </c>
    </row>
    <row r="213">
      <c r="A213" s="64" t="n"/>
      <c r="B213" s="65" t="n"/>
      <c r="C213" s="64" t="n"/>
      <c r="D213" s="66" t="n"/>
      <c r="E213" s="66" t="n"/>
      <c r="F213" s="67" t="n"/>
      <c r="G213" s="67" t="n"/>
      <c r="H213" s="67" t="n"/>
      <c r="I213" s="67" t="n"/>
      <c r="J213" s="67" t="n"/>
      <c r="K213" s="67" t="n"/>
      <c r="L213" s="67" t="n"/>
      <c r="M213" s="67" t="n"/>
      <c r="N213" s="65" t="n"/>
      <c r="O213" s="84">
        <f>IF(A213="","",IF(E213="","No date",IF(TODAY()&gt;=EDATE(E213,Review_Months),"Review Due","Current")))</f>
        <v/>
      </c>
      <c r="P213" s="84">
        <f>IF(A213="","",IF(COUNTIFS('AFA Rates'!$A$5:$A$1004,A213,'AFA Rates'!$O$5:$O$1004,"&lt;&gt;Expired")&gt;0,"Yes",IF(COUNTIF('AFA Rates'!$A$5:$A$1004,A213)&gt;0,"Expired only","No")))</f>
        <v/>
      </c>
      <c r="Q213" s="84">
        <f>IF(A213="","",COUNTIFS('AFA Rates'!$A$5:$A$1004,A213,'AFA Rates'!$O$5:$O$1004,"&lt;&gt;Expired"))</f>
        <v/>
      </c>
      <c r="R213" s="66" t="n"/>
      <c r="S213" s="64" t="n"/>
      <c r="T213" s="64" t="n"/>
      <c r="U213">
        <f>IF(AND(A213&lt;&gt;"",B213="Paused"),COUNTIFS($A$5:A213,"&lt;&gt;",$B$5:B213,"Paused"),"")</f>
        <v/>
      </c>
      <c r="V213">
        <f>IF(P213="Yes",COUNTIF($P$5:P213,"Yes"),"")</f>
        <v/>
      </c>
      <c r="W213">
        <f>IF(A213="","",COUNTIF($A$5:$A$1004,"&lt;"&amp;A213)+COUNTIF($A$5:A213,A213))</f>
        <v/>
      </c>
      <c r="X213">
        <f>","&amp;SUBSTITUTE(SUBSTITUTE(SUBSTITUTE(UPPER(C213)," ",""),";",","),"/",",")&amp;","</f>
        <v/>
      </c>
      <c r="Y213">
        <f>IF(AND(A213&lt;&gt;"",B213="Active",'State Search'!$C$5&lt;&gt;"",OR(X213=",ALL,",ISNUMBER(SEARCH(","&amp;'State Search'!$C$5&amp;",",X213)))),W213,"")</f>
        <v/>
      </c>
    </row>
    <row r="214">
      <c r="A214" s="64" t="n"/>
      <c r="B214" s="65" t="n"/>
      <c r="C214" s="64" t="n"/>
      <c r="D214" s="66" t="n"/>
      <c r="E214" s="66" t="n"/>
      <c r="F214" s="67" t="n"/>
      <c r="G214" s="67" t="n"/>
      <c r="H214" s="67" t="n"/>
      <c r="I214" s="67" t="n"/>
      <c r="J214" s="67" t="n"/>
      <c r="K214" s="67" t="n"/>
      <c r="L214" s="67" t="n"/>
      <c r="M214" s="67" t="n"/>
      <c r="N214" s="65" t="n"/>
      <c r="O214" s="84">
        <f>IF(A214="","",IF(E214="","No date",IF(TODAY()&gt;=EDATE(E214,Review_Months),"Review Due","Current")))</f>
        <v/>
      </c>
      <c r="P214" s="84">
        <f>IF(A214="","",IF(COUNTIFS('AFA Rates'!$A$5:$A$1004,A214,'AFA Rates'!$O$5:$O$1004,"&lt;&gt;Expired")&gt;0,"Yes",IF(COUNTIF('AFA Rates'!$A$5:$A$1004,A214)&gt;0,"Expired only","No")))</f>
        <v/>
      </c>
      <c r="Q214" s="84">
        <f>IF(A214="","",COUNTIFS('AFA Rates'!$A$5:$A$1004,A214,'AFA Rates'!$O$5:$O$1004,"&lt;&gt;Expired"))</f>
        <v/>
      </c>
      <c r="R214" s="66" t="n"/>
      <c r="S214" s="64" t="n"/>
      <c r="T214" s="64" t="n"/>
      <c r="U214">
        <f>IF(AND(A214&lt;&gt;"",B214="Paused"),COUNTIFS($A$5:A214,"&lt;&gt;",$B$5:B214,"Paused"),"")</f>
        <v/>
      </c>
      <c r="V214">
        <f>IF(P214="Yes",COUNTIF($P$5:P214,"Yes"),"")</f>
        <v/>
      </c>
      <c r="W214">
        <f>IF(A214="","",COUNTIF($A$5:$A$1004,"&lt;"&amp;A214)+COUNTIF($A$5:A214,A214))</f>
        <v/>
      </c>
      <c r="X214">
        <f>","&amp;SUBSTITUTE(SUBSTITUTE(SUBSTITUTE(UPPER(C214)," ",""),";",","),"/",",")&amp;","</f>
        <v/>
      </c>
      <c r="Y214">
        <f>IF(AND(A214&lt;&gt;"",B214="Active",'State Search'!$C$5&lt;&gt;"",OR(X214=",ALL,",ISNUMBER(SEARCH(","&amp;'State Search'!$C$5&amp;",",X214)))),W214,"")</f>
        <v/>
      </c>
    </row>
    <row r="215">
      <c r="A215" s="64" t="n"/>
      <c r="B215" s="65" t="n"/>
      <c r="C215" s="64" t="n"/>
      <c r="D215" s="66" t="n"/>
      <c r="E215" s="66" t="n"/>
      <c r="F215" s="67" t="n"/>
      <c r="G215" s="67" t="n"/>
      <c r="H215" s="67" t="n"/>
      <c r="I215" s="67" t="n"/>
      <c r="J215" s="67" t="n"/>
      <c r="K215" s="67" t="n"/>
      <c r="L215" s="67" t="n"/>
      <c r="M215" s="67" t="n"/>
      <c r="N215" s="65" t="n"/>
      <c r="O215" s="84">
        <f>IF(A215="","",IF(E215="","No date",IF(TODAY()&gt;=EDATE(E215,Review_Months),"Review Due","Current")))</f>
        <v/>
      </c>
      <c r="P215" s="84">
        <f>IF(A215="","",IF(COUNTIFS('AFA Rates'!$A$5:$A$1004,A215,'AFA Rates'!$O$5:$O$1004,"&lt;&gt;Expired")&gt;0,"Yes",IF(COUNTIF('AFA Rates'!$A$5:$A$1004,A215)&gt;0,"Expired only","No")))</f>
        <v/>
      </c>
      <c r="Q215" s="84">
        <f>IF(A215="","",COUNTIFS('AFA Rates'!$A$5:$A$1004,A215,'AFA Rates'!$O$5:$O$1004,"&lt;&gt;Expired"))</f>
        <v/>
      </c>
      <c r="R215" s="66" t="n"/>
      <c r="S215" s="64" t="n"/>
      <c r="T215" s="64" t="n"/>
      <c r="U215">
        <f>IF(AND(A215&lt;&gt;"",B215="Paused"),COUNTIFS($A$5:A215,"&lt;&gt;",$B$5:B215,"Paused"),"")</f>
        <v/>
      </c>
      <c r="V215">
        <f>IF(P215="Yes",COUNTIF($P$5:P215,"Yes"),"")</f>
        <v/>
      </c>
      <c r="W215">
        <f>IF(A215="","",COUNTIF($A$5:$A$1004,"&lt;"&amp;A215)+COUNTIF($A$5:A215,A215))</f>
        <v/>
      </c>
      <c r="X215">
        <f>","&amp;SUBSTITUTE(SUBSTITUTE(SUBSTITUTE(UPPER(C215)," ",""),";",","),"/",",")&amp;","</f>
        <v/>
      </c>
      <c r="Y215">
        <f>IF(AND(A215&lt;&gt;"",B215="Active",'State Search'!$C$5&lt;&gt;"",OR(X215=",ALL,",ISNUMBER(SEARCH(","&amp;'State Search'!$C$5&amp;",",X215)))),W215,"")</f>
        <v/>
      </c>
    </row>
    <row r="216">
      <c r="A216" s="64" t="n"/>
      <c r="B216" s="65" t="n"/>
      <c r="C216" s="64" t="n"/>
      <c r="D216" s="66" t="n"/>
      <c r="E216" s="66" t="n"/>
      <c r="F216" s="67" t="n"/>
      <c r="G216" s="67" t="n"/>
      <c r="H216" s="67" t="n"/>
      <c r="I216" s="67" t="n"/>
      <c r="J216" s="67" t="n"/>
      <c r="K216" s="67" t="n"/>
      <c r="L216" s="67" t="n"/>
      <c r="M216" s="67" t="n"/>
      <c r="N216" s="65" t="n"/>
      <c r="O216" s="84">
        <f>IF(A216="","",IF(E216="","No date",IF(TODAY()&gt;=EDATE(E216,Review_Months),"Review Due","Current")))</f>
        <v/>
      </c>
      <c r="P216" s="84">
        <f>IF(A216="","",IF(COUNTIFS('AFA Rates'!$A$5:$A$1004,A216,'AFA Rates'!$O$5:$O$1004,"&lt;&gt;Expired")&gt;0,"Yes",IF(COUNTIF('AFA Rates'!$A$5:$A$1004,A216)&gt;0,"Expired only","No")))</f>
        <v/>
      </c>
      <c r="Q216" s="84">
        <f>IF(A216="","",COUNTIFS('AFA Rates'!$A$5:$A$1004,A216,'AFA Rates'!$O$5:$O$1004,"&lt;&gt;Expired"))</f>
        <v/>
      </c>
      <c r="R216" s="66" t="n"/>
      <c r="S216" s="64" t="n"/>
      <c r="T216" s="64" t="n"/>
      <c r="U216">
        <f>IF(AND(A216&lt;&gt;"",B216="Paused"),COUNTIFS($A$5:A216,"&lt;&gt;",$B$5:B216,"Paused"),"")</f>
        <v/>
      </c>
      <c r="V216">
        <f>IF(P216="Yes",COUNTIF($P$5:P216,"Yes"),"")</f>
        <v/>
      </c>
      <c r="W216">
        <f>IF(A216="","",COUNTIF($A$5:$A$1004,"&lt;"&amp;A216)+COUNTIF($A$5:A216,A216))</f>
        <v/>
      </c>
      <c r="X216">
        <f>","&amp;SUBSTITUTE(SUBSTITUTE(SUBSTITUTE(UPPER(C216)," ",""),";",","),"/",",")&amp;","</f>
        <v/>
      </c>
      <c r="Y216">
        <f>IF(AND(A216&lt;&gt;"",B216="Active",'State Search'!$C$5&lt;&gt;"",OR(X216=",ALL,",ISNUMBER(SEARCH(","&amp;'State Search'!$C$5&amp;",",X216)))),W216,"")</f>
        <v/>
      </c>
    </row>
    <row r="217">
      <c r="A217" s="64" t="n"/>
      <c r="B217" s="65" t="n"/>
      <c r="C217" s="64" t="n"/>
      <c r="D217" s="66" t="n"/>
      <c r="E217" s="66" t="n"/>
      <c r="F217" s="67" t="n"/>
      <c r="G217" s="67" t="n"/>
      <c r="H217" s="67" t="n"/>
      <c r="I217" s="67" t="n"/>
      <c r="J217" s="67" t="n"/>
      <c r="K217" s="67" t="n"/>
      <c r="L217" s="67" t="n"/>
      <c r="M217" s="67" t="n"/>
      <c r="N217" s="65" t="n"/>
      <c r="O217" s="84">
        <f>IF(A217="","",IF(E217="","No date",IF(TODAY()&gt;=EDATE(E217,Review_Months),"Review Due","Current")))</f>
        <v/>
      </c>
      <c r="P217" s="84">
        <f>IF(A217="","",IF(COUNTIFS('AFA Rates'!$A$5:$A$1004,A217,'AFA Rates'!$O$5:$O$1004,"&lt;&gt;Expired")&gt;0,"Yes",IF(COUNTIF('AFA Rates'!$A$5:$A$1004,A217)&gt;0,"Expired only","No")))</f>
        <v/>
      </c>
      <c r="Q217" s="84">
        <f>IF(A217="","",COUNTIFS('AFA Rates'!$A$5:$A$1004,A217,'AFA Rates'!$O$5:$O$1004,"&lt;&gt;Expired"))</f>
        <v/>
      </c>
      <c r="R217" s="66" t="n"/>
      <c r="S217" s="64" t="n"/>
      <c r="T217" s="64" t="n"/>
      <c r="U217">
        <f>IF(AND(A217&lt;&gt;"",B217="Paused"),COUNTIFS($A$5:A217,"&lt;&gt;",$B$5:B217,"Paused"),"")</f>
        <v/>
      </c>
      <c r="V217">
        <f>IF(P217="Yes",COUNTIF($P$5:P217,"Yes"),"")</f>
        <v/>
      </c>
      <c r="W217">
        <f>IF(A217="","",COUNTIF($A$5:$A$1004,"&lt;"&amp;A217)+COUNTIF($A$5:A217,A217))</f>
        <v/>
      </c>
      <c r="X217">
        <f>","&amp;SUBSTITUTE(SUBSTITUTE(SUBSTITUTE(UPPER(C217)," ",""),";",","),"/",",")&amp;","</f>
        <v/>
      </c>
      <c r="Y217">
        <f>IF(AND(A217&lt;&gt;"",B217="Active",'State Search'!$C$5&lt;&gt;"",OR(X217=",ALL,",ISNUMBER(SEARCH(","&amp;'State Search'!$C$5&amp;",",X217)))),W217,"")</f>
        <v/>
      </c>
    </row>
    <row r="218">
      <c r="A218" s="64" t="n"/>
      <c r="B218" s="65" t="n"/>
      <c r="C218" s="64" t="n"/>
      <c r="D218" s="66" t="n"/>
      <c r="E218" s="66" t="n"/>
      <c r="F218" s="67" t="n"/>
      <c r="G218" s="67" t="n"/>
      <c r="H218" s="67" t="n"/>
      <c r="I218" s="67" t="n"/>
      <c r="J218" s="67" t="n"/>
      <c r="K218" s="67" t="n"/>
      <c r="L218" s="67" t="n"/>
      <c r="M218" s="67" t="n"/>
      <c r="N218" s="65" t="n"/>
      <c r="O218" s="84">
        <f>IF(A218="","",IF(E218="","No date",IF(TODAY()&gt;=EDATE(E218,Review_Months),"Review Due","Current")))</f>
        <v/>
      </c>
      <c r="P218" s="84">
        <f>IF(A218="","",IF(COUNTIFS('AFA Rates'!$A$5:$A$1004,A218,'AFA Rates'!$O$5:$O$1004,"&lt;&gt;Expired")&gt;0,"Yes",IF(COUNTIF('AFA Rates'!$A$5:$A$1004,A218)&gt;0,"Expired only","No")))</f>
        <v/>
      </c>
      <c r="Q218" s="84">
        <f>IF(A218="","",COUNTIFS('AFA Rates'!$A$5:$A$1004,A218,'AFA Rates'!$O$5:$O$1004,"&lt;&gt;Expired"))</f>
        <v/>
      </c>
      <c r="R218" s="66" t="n"/>
      <c r="S218" s="64" t="n"/>
      <c r="T218" s="64" t="n"/>
      <c r="U218">
        <f>IF(AND(A218&lt;&gt;"",B218="Paused"),COUNTIFS($A$5:A218,"&lt;&gt;",$B$5:B218,"Paused"),"")</f>
        <v/>
      </c>
      <c r="V218">
        <f>IF(P218="Yes",COUNTIF($P$5:P218,"Yes"),"")</f>
        <v/>
      </c>
      <c r="W218">
        <f>IF(A218="","",COUNTIF($A$5:$A$1004,"&lt;"&amp;A218)+COUNTIF($A$5:A218,A218))</f>
        <v/>
      </c>
      <c r="X218">
        <f>","&amp;SUBSTITUTE(SUBSTITUTE(SUBSTITUTE(UPPER(C218)," ",""),";",","),"/",",")&amp;","</f>
        <v/>
      </c>
      <c r="Y218">
        <f>IF(AND(A218&lt;&gt;"",B218="Active",'State Search'!$C$5&lt;&gt;"",OR(X218=",ALL,",ISNUMBER(SEARCH(","&amp;'State Search'!$C$5&amp;",",X218)))),W218,"")</f>
        <v/>
      </c>
    </row>
    <row r="219">
      <c r="A219" s="64" t="n"/>
      <c r="B219" s="65" t="n"/>
      <c r="C219" s="64" t="n"/>
      <c r="D219" s="66" t="n"/>
      <c r="E219" s="66" t="n"/>
      <c r="F219" s="67" t="n"/>
      <c r="G219" s="67" t="n"/>
      <c r="H219" s="67" t="n"/>
      <c r="I219" s="67" t="n"/>
      <c r="J219" s="67" t="n"/>
      <c r="K219" s="67" t="n"/>
      <c r="L219" s="67" t="n"/>
      <c r="M219" s="67" t="n"/>
      <c r="N219" s="65" t="n"/>
      <c r="O219" s="84">
        <f>IF(A219="","",IF(E219="","No date",IF(TODAY()&gt;=EDATE(E219,Review_Months),"Review Due","Current")))</f>
        <v/>
      </c>
      <c r="P219" s="84">
        <f>IF(A219="","",IF(COUNTIFS('AFA Rates'!$A$5:$A$1004,A219,'AFA Rates'!$O$5:$O$1004,"&lt;&gt;Expired")&gt;0,"Yes",IF(COUNTIF('AFA Rates'!$A$5:$A$1004,A219)&gt;0,"Expired only","No")))</f>
        <v/>
      </c>
      <c r="Q219" s="84">
        <f>IF(A219="","",COUNTIFS('AFA Rates'!$A$5:$A$1004,A219,'AFA Rates'!$O$5:$O$1004,"&lt;&gt;Expired"))</f>
        <v/>
      </c>
      <c r="R219" s="66" t="n"/>
      <c r="S219" s="64" t="n"/>
      <c r="T219" s="64" t="n"/>
      <c r="U219">
        <f>IF(AND(A219&lt;&gt;"",B219="Paused"),COUNTIFS($A$5:A219,"&lt;&gt;",$B$5:B219,"Paused"),"")</f>
        <v/>
      </c>
      <c r="V219">
        <f>IF(P219="Yes",COUNTIF($P$5:P219,"Yes"),"")</f>
        <v/>
      </c>
      <c r="W219">
        <f>IF(A219="","",COUNTIF($A$5:$A$1004,"&lt;"&amp;A219)+COUNTIF($A$5:A219,A219))</f>
        <v/>
      </c>
      <c r="X219">
        <f>","&amp;SUBSTITUTE(SUBSTITUTE(SUBSTITUTE(UPPER(C219)," ",""),";",","),"/",",")&amp;","</f>
        <v/>
      </c>
      <c r="Y219">
        <f>IF(AND(A219&lt;&gt;"",B219="Active",'State Search'!$C$5&lt;&gt;"",OR(X219=",ALL,",ISNUMBER(SEARCH(","&amp;'State Search'!$C$5&amp;",",X219)))),W219,"")</f>
        <v/>
      </c>
    </row>
    <row r="220">
      <c r="A220" s="64" t="n"/>
      <c r="B220" s="65" t="n"/>
      <c r="C220" s="64" t="n"/>
      <c r="D220" s="66" t="n"/>
      <c r="E220" s="66" t="n"/>
      <c r="F220" s="67" t="n"/>
      <c r="G220" s="67" t="n"/>
      <c r="H220" s="67" t="n"/>
      <c r="I220" s="67" t="n"/>
      <c r="J220" s="67" t="n"/>
      <c r="K220" s="67" t="n"/>
      <c r="L220" s="67" t="n"/>
      <c r="M220" s="67" t="n"/>
      <c r="N220" s="65" t="n"/>
      <c r="O220" s="84">
        <f>IF(A220="","",IF(E220="","No date",IF(TODAY()&gt;=EDATE(E220,Review_Months),"Review Due","Current")))</f>
        <v/>
      </c>
      <c r="P220" s="84">
        <f>IF(A220="","",IF(COUNTIFS('AFA Rates'!$A$5:$A$1004,A220,'AFA Rates'!$O$5:$O$1004,"&lt;&gt;Expired")&gt;0,"Yes",IF(COUNTIF('AFA Rates'!$A$5:$A$1004,A220)&gt;0,"Expired only","No")))</f>
        <v/>
      </c>
      <c r="Q220" s="84">
        <f>IF(A220="","",COUNTIFS('AFA Rates'!$A$5:$A$1004,A220,'AFA Rates'!$O$5:$O$1004,"&lt;&gt;Expired"))</f>
        <v/>
      </c>
      <c r="R220" s="66" t="n"/>
      <c r="S220" s="64" t="n"/>
      <c r="T220" s="64" t="n"/>
      <c r="U220">
        <f>IF(AND(A220&lt;&gt;"",B220="Paused"),COUNTIFS($A$5:A220,"&lt;&gt;",$B$5:B220,"Paused"),"")</f>
        <v/>
      </c>
      <c r="V220">
        <f>IF(P220="Yes",COUNTIF($P$5:P220,"Yes"),"")</f>
        <v/>
      </c>
      <c r="W220">
        <f>IF(A220="","",COUNTIF($A$5:$A$1004,"&lt;"&amp;A220)+COUNTIF($A$5:A220,A220))</f>
        <v/>
      </c>
      <c r="X220">
        <f>","&amp;SUBSTITUTE(SUBSTITUTE(SUBSTITUTE(UPPER(C220)," ",""),";",","),"/",",")&amp;","</f>
        <v/>
      </c>
      <c r="Y220">
        <f>IF(AND(A220&lt;&gt;"",B220="Active",'State Search'!$C$5&lt;&gt;"",OR(X220=",ALL,",ISNUMBER(SEARCH(","&amp;'State Search'!$C$5&amp;",",X220)))),W220,"")</f>
        <v/>
      </c>
    </row>
    <row r="221">
      <c r="A221" s="64" t="n"/>
      <c r="B221" s="65" t="n"/>
      <c r="C221" s="64" t="n"/>
      <c r="D221" s="66" t="n"/>
      <c r="E221" s="66" t="n"/>
      <c r="F221" s="67" t="n"/>
      <c r="G221" s="67" t="n"/>
      <c r="H221" s="67" t="n"/>
      <c r="I221" s="67" t="n"/>
      <c r="J221" s="67" t="n"/>
      <c r="K221" s="67" t="n"/>
      <c r="L221" s="67" t="n"/>
      <c r="M221" s="67" t="n"/>
      <c r="N221" s="65" t="n"/>
      <c r="O221" s="84">
        <f>IF(A221="","",IF(E221="","No date",IF(TODAY()&gt;=EDATE(E221,Review_Months),"Review Due","Current")))</f>
        <v/>
      </c>
      <c r="P221" s="84">
        <f>IF(A221="","",IF(COUNTIFS('AFA Rates'!$A$5:$A$1004,A221,'AFA Rates'!$O$5:$O$1004,"&lt;&gt;Expired")&gt;0,"Yes",IF(COUNTIF('AFA Rates'!$A$5:$A$1004,A221)&gt;0,"Expired only","No")))</f>
        <v/>
      </c>
      <c r="Q221" s="84">
        <f>IF(A221="","",COUNTIFS('AFA Rates'!$A$5:$A$1004,A221,'AFA Rates'!$O$5:$O$1004,"&lt;&gt;Expired"))</f>
        <v/>
      </c>
      <c r="R221" s="66" t="n"/>
      <c r="S221" s="64" t="n"/>
      <c r="T221" s="64" t="n"/>
      <c r="U221">
        <f>IF(AND(A221&lt;&gt;"",B221="Paused"),COUNTIFS($A$5:A221,"&lt;&gt;",$B$5:B221,"Paused"),"")</f>
        <v/>
      </c>
      <c r="V221">
        <f>IF(P221="Yes",COUNTIF($P$5:P221,"Yes"),"")</f>
        <v/>
      </c>
      <c r="W221">
        <f>IF(A221="","",COUNTIF($A$5:$A$1004,"&lt;"&amp;A221)+COUNTIF($A$5:A221,A221))</f>
        <v/>
      </c>
      <c r="X221">
        <f>","&amp;SUBSTITUTE(SUBSTITUTE(SUBSTITUTE(UPPER(C221)," ",""),";",","),"/",",")&amp;","</f>
        <v/>
      </c>
      <c r="Y221">
        <f>IF(AND(A221&lt;&gt;"",B221="Active",'State Search'!$C$5&lt;&gt;"",OR(X221=",ALL,",ISNUMBER(SEARCH(","&amp;'State Search'!$C$5&amp;",",X221)))),W221,"")</f>
        <v/>
      </c>
    </row>
    <row r="222">
      <c r="A222" s="64" t="n"/>
      <c r="B222" s="65" t="n"/>
      <c r="C222" s="64" t="n"/>
      <c r="D222" s="66" t="n"/>
      <c r="E222" s="66" t="n"/>
      <c r="F222" s="67" t="n"/>
      <c r="G222" s="67" t="n"/>
      <c r="H222" s="67" t="n"/>
      <c r="I222" s="67" t="n"/>
      <c r="J222" s="67" t="n"/>
      <c r="K222" s="67" t="n"/>
      <c r="L222" s="67" t="n"/>
      <c r="M222" s="67" t="n"/>
      <c r="N222" s="65" t="n"/>
      <c r="O222" s="84">
        <f>IF(A222="","",IF(E222="","No date",IF(TODAY()&gt;=EDATE(E222,Review_Months),"Review Due","Current")))</f>
        <v/>
      </c>
      <c r="P222" s="84">
        <f>IF(A222="","",IF(COUNTIFS('AFA Rates'!$A$5:$A$1004,A222,'AFA Rates'!$O$5:$O$1004,"&lt;&gt;Expired")&gt;0,"Yes",IF(COUNTIF('AFA Rates'!$A$5:$A$1004,A222)&gt;0,"Expired only","No")))</f>
        <v/>
      </c>
      <c r="Q222" s="84">
        <f>IF(A222="","",COUNTIFS('AFA Rates'!$A$5:$A$1004,A222,'AFA Rates'!$O$5:$O$1004,"&lt;&gt;Expired"))</f>
        <v/>
      </c>
      <c r="R222" s="66" t="n"/>
      <c r="S222" s="64" t="n"/>
      <c r="T222" s="64" t="n"/>
      <c r="U222">
        <f>IF(AND(A222&lt;&gt;"",B222="Paused"),COUNTIFS($A$5:A222,"&lt;&gt;",$B$5:B222,"Paused"),"")</f>
        <v/>
      </c>
      <c r="V222">
        <f>IF(P222="Yes",COUNTIF($P$5:P222,"Yes"),"")</f>
        <v/>
      </c>
      <c r="W222">
        <f>IF(A222="","",COUNTIF($A$5:$A$1004,"&lt;"&amp;A222)+COUNTIF($A$5:A222,A222))</f>
        <v/>
      </c>
      <c r="X222">
        <f>","&amp;SUBSTITUTE(SUBSTITUTE(SUBSTITUTE(UPPER(C222)," ",""),";",","),"/",",")&amp;","</f>
        <v/>
      </c>
      <c r="Y222">
        <f>IF(AND(A222&lt;&gt;"",B222="Active",'State Search'!$C$5&lt;&gt;"",OR(X222=",ALL,",ISNUMBER(SEARCH(","&amp;'State Search'!$C$5&amp;",",X222)))),W222,"")</f>
        <v/>
      </c>
    </row>
    <row r="223">
      <c r="A223" s="64" t="n"/>
      <c r="B223" s="65" t="n"/>
      <c r="C223" s="64" t="n"/>
      <c r="D223" s="66" t="n"/>
      <c r="E223" s="66" t="n"/>
      <c r="F223" s="67" t="n"/>
      <c r="G223" s="67" t="n"/>
      <c r="H223" s="67" t="n"/>
      <c r="I223" s="67" t="n"/>
      <c r="J223" s="67" t="n"/>
      <c r="K223" s="67" t="n"/>
      <c r="L223" s="67" t="n"/>
      <c r="M223" s="67" t="n"/>
      <c r="N223" s="65" t="n"/>
      <c r="O223" s="84">
        <f>IF(A223="","",IF(E223="","No date",IF(TODAY()&gt;=EDATE(E223,Review_Months),"Review Due","Current")))</f>
        <v/>
      </c>
      <c r="P223" s="84">
        <f>IF(A223="","",IF(COUNTIFS('AFA Rates'!$A$5:$A$1004,A223,'AFA Rates'!$O$5:$O$1004,"&lt;&gt;Expired")&gt;0,"Yes",IF(COUNTIF('AFA Rates'!$A$5:$A$1004,A223)&gt;0,"Expired only","No")))</f>
        <v/>
      </c>
      <c r="Q223" s="84">
        <f>IF(A223="","",COUNTIFS('AFA Rates'!$A$5:$A$1004,A223,'AFA Rates'!$O$5:$O$1004,"&lt;&gt;Expired"))</f>
        <v/>
      </c>
      <c r="R223" s="66" t="n"/>
      <c r="S223" s="64" t="n"/>
      <c r="T223" s="64" t="n"/>
      <c r="U223">
        <f>IF(AND(A223&lt;&gt;"",B223="Paused"),COUNTIFS($A$5:A223,"&lt;&gt;",$B$5:B223,"Paused"),"")</f>
        <v/>
      </c>
      <c r="V223">
        <f>IF(P223="Yes",COUNTIF($P$5:P223,"Yes"),"")</f>
        <v/>
      </c>
      <c r="W223">
        <f>IF(A223="","",COUNTIF($A$5:$A$1004,"&lt;"&amp;A223)+COUNTIF($A$5:A223,A223))</f>
        <v/>
      </c>
      <c r="X223">
        <f>","&amp;SUBSTITUTE(SUBSTITUTE(SUBSTITUTE(UPPER(C223)," ",""),";",","),"/",",")&amp;","</f>
        <v/>
      </c>
      <c r="Y223">
        <f>IF(AND(A223&lt;&gt;"",B223="Active",'State Search'!$C$5&lt;&gt;"",OR(X223=",ALL,",ISNUMBER(SEARCH(","&amp;'State Search'!$C$5&amp;",",X223)))),W223,"")</f>
        <v/>
      </c>
    </row>
    <row r="224">
      <c r="A224" s="64" t="n"/>
      <c r="B224" s="65" t="n"/>
      <c r="C224" s="64" t="n"/>
      <c r="D224" s="66" t="n"/>
      <c r="E224" s="66" t="n"/>
      <c r="F224" s="67" t="n"/>
      <c r="G224" s="67" t="n"/>
      <c r="H224" s="67" t="n"/>
      <c r="I224" s="67" t="n"/>
      <c r="J224" s="67" t="n"/>
      <c r="K224" s="67" t="n"/>
      <c r="L224" s="67" t="n"/>
      <c r="M224" s="67" t="n"/>
      <c r="N224" s="65" t="n"/>
      <c r="O224" s="84">
        <f>IF(A224="","",IF(E224="","No date",IF(TODAY()&gt;=EDATE(E224,Review_Months),"Review Due","Current")))</f>
        <v/>
      </c>
      <c r="P224" s="84">
        <f>IF(A224="","",IF(COUNTIFS('AFA Rates'!$A$5:$A$1004,A224,'AFA Rates'!$O$5:$O$1004,"&lt;&gt;Expired")&gt;0,"Yes",IF(COUNTIF('AFA Rates'!$A$5:$A$1004,A224)&gt;0,"Expired only","No")))</f>
        <v/>
      </c>
      <c r="Q224" s="84">
        <f>IF(A224="","",COUNTIFS('AFA Rates'!$A$5:$A$1004,A224,'AFA Rates'!$O$5:$O$1004,"&lt;&gt;Expired"))</f>
        <v/>
      </c>
      <c r="R224" s="66" t="n"/>
      <c r="S224" s="64" t="n"/>
      <c r="T224" s="64" t="n"/>
      <c r="U224">
        <f>IF(AND(A224&lt;&gt;"",B224="Paused"),COUNTIFS($A$5:A224,"&lt;&gt;",$B$5:B224,"Paused"),"")</f>
        <v/>
      </c>
      <c r="V224">
        <f>IF(P224="Yes",COUNTIF($P$5:P224,"Yes"),"")</f>
        <v/>
      </c>
      <c r="W224">
        <f>IF(A224="","",COUNTIF($A$5:$A$1004,"&lt;"&amp;A224)+COUNTIF($A$5:A224,A224))</f>
        <v/>
      </c>
      <c r="X224">
        <f>","&amp;SUBSTITUTE(SUBSTITUTE(SUBSTITUTE(UPPER(C224)," ",""),";",","),"/",",")&amp;","</f>
        <v/>
      </c>
      <c r="Y224">
        <f>IF(AND(A224&lt;&gt;"",B224="Active",'State Search'!$C$5&lt;&gt;"",OR(X224=",ALL,",ISNUMBER(SEARCH(","&amp;'State Search'!$C$5&amp;",",X224)))),W224,"")</f>
        <v/>
      </c>
    </row>
    <row r="225">
      <c r="A225" s="64" t="n"/>
      <c r="B225" s="65" t="n"/>
      <c r="C225" s="64" t="n"/>
      <c r="D225" s="66" t="n"/>
      <c r="E225" s="66" t="n"/>
      <c r="F225" s="67" t="n"/>
      <c r="G225" s="67" t="n"/>
      <c r="H225" s="67" t="n"/>
      <c r="I225" s="67" t="n"/>
      <c r="J225" s="67" t="n"/>
      <c r="K225" s="67" t="n"/>
      <c r="L225" s="67" t="n"/>
      <c r="M225" s="67" t="n"/>
      <c r="N225" s="65" t="n"/>
      <c r="O225" s="84">
        <f>IF(A225="","",IF(E225="","No date",IF(TODAY()&gt;=EDATE(E225,Review_Months),"Review Due","Current")))</f>
        <v/>
      </c>
      <c r="P225" s="84">
        <f>IF(A225="","",IF(COUNTIFS('AFA Rates'!$A$5:$A$1004,A225,'AFA Rates'!$O$5:$O$1004,"&lt;&gt;Expired")&gt;0,"Yes",IF(COUNTIF('AFA Rates'!$A$5:$A$1004,A225)&gt;0,"Expired only","No")))</f>
        <v/>
      </c>
      <c r="Q225" s="84">
        <f>IF(A225="","",COUNTIFS('AFA Rates'!$A$5:$A$1004,A225,'AFA Rates'!$O$5:$O$1004,"&lt;&gt;Expired"))</f>
        <v/>
      </c>
      <c r="R225" s="66" t="n"/>
      <c r="S225" s="64" t="n"/>
      <c r="T225" s="64" t="n"/>
      <c r="U225">
        <f>IF(AND(A225&lt;&gt;"",B225="Paused"),COUNTIFS($A$5:A225,"&lt;&gt;",$B$5:B225,"Paused"),"")</f>
        <v/>
      </c>
      <c r="V225">
        <f>IF(P225="Yes",COUNTIF($P$5:P225,"Yes"),"")</f>
        <v/>
      </c>
      <c r="W225">
        <f>IF(A225="","",COUNTIF($A$5:$A$1004,"&lt;"&amp;A225)+COUNTIF($A$5:A225,A225))</f>
        <v/>
      </c>
      <c r="X225">
        <f>","&amp;SUBSTITUTE(SUBSTITUTE(SUBSTITUTE(UPPER(C225)," ",""),";",","),"/",",")&amp;","</f>
        <v/>
      </c>
      <c r="Y225">
        <f>IF(AND(A225&lt;&gt;"",B225="Active",'State Search'!$C$5&lt;&gt;"",OR(X225=",ALL,",ISNUMBER(SEARCH(","&amp;'State Search'!$C$5&amp;",",X225)))),W225,"")</f>
        <v/>
      </c>
    </row>
    <row r="226">
      <c r="A226" s="64" t="n"/>
      <c r="B226" s="65" t="n"/>
      <c r="C226" s="64" t="n"/>
      <c r="D226" s="66" t="n"/>
      <c r="E226" s="66" t="n"/>
      <c r="F226" s="67" t="n"/>
      <c r="G226" s="67" t="n"/>
      <c r="H226" s="67" t="n"/>
      <c r="I226" s="67" t="n"/>
      <c r="J226" s="67" t="n"/>
      <c r="K226" s="67" t="n"/>
      <c r="L226" s="67" t="n"/>
      <c r="M226" s="67" t="n"/>
      <c r="N226" s="65" t="n"/>
      <c r="O226" s="84">
        <f>IF(A226="","",IF(E226="","No date",IF(TODAY()&gt;=EDATE(E226,Review_Months),"Review Due","Current")))</f>
        <v/>
      </c>
      <c r="P226" s="84">
        <f>IF(A226="","",IF(COUNTIFS('AFA Rates'!$A$5:$A$1004,A226,'AFA Rates'!$O$5:$O$1004,"&lt;&gt;Expired")&gt;0,"Yes",IF(COUNTIF('AFA Rates'!$A$5:$A$1004,A226)&gt;0,"Expired only","No")))</f>
        <v/>
      </c>
      <c r="Q226" s="84">
        <f>IF(A226="","",COUNTIFS('AFA Rates'!$A$5:$A$1004,A226,'AFA Rates'!$O$5:$O$1004,"&lt;&gt;Expired"))</f>
        <v/>
      </c>
      <c r="R226" s="66" t="n"/>
      <c r="S226" s="64" t="n"/>
      <c r="T226" s="64" t="n"/>
      <c r="U226">
        <f>IF(AND(A226&lt;&gt;"",B226="Paused"),COUNTIFS($A$5:A226,"&lt;&gt;",$B$5:B226,"Paused"),"")</f>
        <v/>
      </c>
      <c r="V226">
        <f>IF(P226="Yes",COUNTIF($P$5:P226,"Yes"),"")</f>
        <v/>
      </c>
      <c r="W226">
        <f>IF(A226="","",COUNTIF($A$5:$A$1004,"&lt;"&amp;A226)+COUNTIF($A$5:A226,A226))</f>
        <v/>
      </c>
      <c r="X226">
        <f>","&amp;SUBSTITUTE(SUBSTITUTE(SUBSTITUTE(UPPER(C226)," ",""),";",","),"/",",")&amp;","</f>
        <v/>
      </c>
      <c r="Y226">
        <f>IF(AND(A226&lt;&gt;"",B226="Active",'State Search'!$C$5&lt;&gt;"",OR(X226=",ALL,",ISNUMBER(SEARCH(","&amp;'State Search'!$C$5&amp;",",X226)))),W226,"")</f>
        <v/>
      </c>
    </row>
    <row r="227">
      <c r="A227" s="64" t="n"/>
      <c r="B227" s="65" t="n"/>
      <c r="C227" s="64" t="n"/>
      <c r="D227" s="66" t="n"/>
      <c r="E227" s="66" t="n"/>
      <c r="F227" s="67" t="n"/>
      <c r="G227" s="67" t="n"/>
      <c r="H227" s="67" t="n"/>
      <c r="I227" s="67" t="n"/>
      <c r="J227" s="67" t="n"/>
      <c r="K227" s="67" t="n"/>
      <c r="L227" s="67" t="n"/>
      <c r="M227" s="67" t="n"/>
      <c r="N227" s="65" t="n"/>
      <c r="O227" s="84">
        <f>IF(A227="","",IF(E227="","No date",IF(TODAY()&gt;=EDATE(E227,Review_Months),"Review Due","Current")))</f>
        <v/>
      </c>
      <c r="P227" s="84">
        <f>IF(A227="","",IF(COUNTIFS('AFA Rates'!$A$5:$A$1004,A227,'AFA Rates'!$O$5:$O$1004,"&lt;&gt;Expired")&gt;0,"Yes",IF(COUNTIF('AFA Rates'!$A$5:$A$1004,A227)&gt;0,"Expired only","No")))</f>
        <v/>
      </c>
      <c r="Q227" s="84">
        <f>IF(A227="","",COUNTIFS('AFA Rates'!$A$5:$A$1004,A227,'AFA Rates'!$O$5:$O$1004,"&lt;&gt;Expired"))</f>
        <v/>
      </c>
      <c r="R227" s="66" t="n"/>
      <c r="S227" s="64" t="n"/>
      <c r="T227" s="64" t="n"/>
      <c r="U227">
        <f>IF(AND(A227&lt;&gt;"",B227="Paused"),COUNTIFS($A$5:A227,"&lt;&gt;",$B$5:B227,"Paused"),"")</f>
        <v/>
      </c>
      <c r="V227">
        <f>IF(P227="Yes",COUNTIF($P$5:P227,"Yes"),"")</f>
        <v/>
      </c>
      <c r="W227">
        <f>IF(A227="","",COUNTIF($A$5:$A$1004,"&lt;"&amp;A227)+COUNTIF($A$5:A227,A227))</f>
        <v/>
      </c>
      <c r="X227">
        <f>","&amp;SUBSTITUTE(SUBSTITUTE(SUBSTITUTE(UPPER(C227)," ",""),";",","),"/",",")&amp;","</f>
        <v/>
      </c>
      <c r="Y227">
        <f>IF(AND(A227&lt;&gt;"",B227="Active",'State Search'!$C$5&lt;&gt;"",OR(X227=",ALL,",ISNUMBER(SEARCH(","&amp;'State Search'!$C$5&amp;",",X227)))),W227,"")</f>
        <v/>
      </c>
    </row>
    <row r="228">
      <c r="A228" s="64" t="n"/>
      <c r="B228" s="65" t="n"/>
      <c r="C228" s="64" t="n"/>
      <c r="D228" s="66" t="n"/>
      <c r="E228" s="66" t="n"/>
      <c r="F228" s="67" t="n"/>
      <c r="G228" s="67" t="n"/>
      <c r="H228" s="67" t="n"/>
      <c r="I228" s="67" t="n"/>
      <c r="J228" s="67" t="n"/>
      <c r="K228" s="67" t="n"/>
      <c r="L228" s="67" t="n"/>
      <c r="M228" s="67" t="n"/>
      <c r="N228" s="65" t="n"/>
      <c r="O228" s="84">
        <f>IF(A228="","",IF(E228="","No date",IF(TODAY()&gt;=EDATE(E228,Review_Months),"Review Due","Current")))</f>
        <v/>
      </c>
      <c r="P228" s="84">
        <f>IF(A228="","",IF(COUNTIFS('AFA Rates'!$A$5:$A$1004,A228,'AFA Rates'!$O$5:$O$1004,"&lt;&gt;Expired")&gt;0,"Yes",IF(COUNTIF('AFA Rates'!$A$5:$A$1004,A228)&gt;0,"Expired only","No")))</f>
        <v/>
      </c>
      <c r="Q228" s="84">
        <f>IF(A228="","",COUNTIFS('AFA Rates'!$A$5:$A$1004,A228,'AFA Rates'!$O$5:$O$1004,"&lt;&gt;Expired"))</f>
        <v/>
      </c>
      <c r="R228" s="66" t="n"/>
      <c r="S228" s="64" t="n"/>
      <c r="T228" s="64" t="n"/>
      <c r="U228">
        <f>IF(AND(A228&lt;&gt;"",B228="Paused"),COUNTIFS($A$5:A228,"&lt;&gt;",$B$5:B228,"Paused"),"")</f>
        <v/>
      </c>
      <c r="V228">
        <f>IF(P228="Yes",COUNTIF($P$5:P228,"Yes"),"")</f>
        <v/>
      </c>
      <c r="W228">
        <f>IF(A228="","",COUNTIF($A$5:$A$1004,"&lt;"&amp;A228)+COUNTIF($A$5:A228,A228))</f>
        <v/>
      </c>
      <c r="X228">
        <f>","&amp;SUBSTITUTE(SUBSTITUTE(SUBSTITUTE(UPPER(C228)," ",""),";",","),"/",",")&amp;","</f>
        <v/>
      </c>
      <c r="Y228">
        <f>IF(AND(A228&lt;&gt;"",B228="Active",'State Search'!$C$5&lt;&gt;"",OR(X228=",ALL,",ISNUMBER(SEARCH(","&amp;'State Search'!$C$5&amp;",",X228)))),W228,"")</f>
        <v/>
      </c>
    </row>
    <row r="229">
      <c r="A229" s="64" t="n"/>
      <c r="B229" s="65" t="n"/>
      <c r="C229" s="64" t="n"/>
      <c r="D229" s="66" t="n"/>
      <c r="E229" s="66" t="n"/>
      <c r="F229" s="67" t="n"/>
      <c r="G229" s="67" t="n"/>
      <c r="H229" s="67" t="n"/>
      <c r="I229" s="67" t="n"/>
      <c r="J229" s="67" t="n"/>
      <c r="K229" s="67" t="n"/>
      <c r="L229" s="67" t="n"/>
      <c r="M229" s="67" t="n"/>
      <c r="N229" s="65" t="n"/>
      <c r="O229" s="84">
        <f>IF(A229="","",IF(E229="","No date",IF(TODAY()&gt;=EDATE(E229,Review_Months),"Review Due","Current")))</f>
        <v/>
      </c>
      <c r="P229" s="84">
        <f>IF(A229="","",IF(COUNTIFS('AFA Rates'!$A$5:$A$1004,A229,'AFA Rates'!$O$5:$O$1004,"&lt;&gt;Expired")&gt;0,"Yes",IF(COUNTIF('AFA Rates'!$A$5:$A$1004,A229)&gt;0,"Expired only","No")))</f>
        <v/>
      </c>
      <c r="Q229" s="84">
        <f>IF(A229="","",COUNTIFS('AFA Rates'!$A$5:$A$1004,A229,'AFA Rates'!$O$5:$O$1004,"&lt;&gt;Expired"))</f>
        <v/>
      </c>
      <c r="R229" s="66" t="n"/>
      <c r="S229" s="64" t="n"/>
      <c r="T229" s="64" t="n"/>
      <c r="U229">
        <f>IF(AND(A229&lt;&gt;"",B229="Paused"),COUNTIFS($A$5:A229,"&lt;&gt;",$B$5:B229,"Paused"),"")</f>
        <v/>
      </c>
      <c r="V229">
        <f>IF(P229="Yes",COUNTIF($P$5:P229,"Yes"),"")</f>
        <v/>
      </c>
      <c r="W229">
        <f>IF(A229="","",COUNTIF($A$5:$A$1004,"&lt;"&amp;A229)+COUNTIF($A$5:A229,A229))</f>
        <v/>
      </c>
      <c r="X229">
        <f>","&amp;SUBSTITUTE(SUBSTITUTE(SUBSTITUTE(UPPER(C229)," ",""),";",","),"/",",")&amp;","</f>
        <v/>
      </c>
      <c r="Y229">
        <f>IF(AND(A229&lt;&gt;"",B229="Active",'State Search'!$C$5&lt;&gt;"",OR(X229=",ALL,",ISNUMBER(SEARCH(","&amp;'State Search'!$C$5&amp;",",X229)))),W229,"")</f>
        <v/>
      </c>
    </row>
    <row r="230">
      <c r="A230" s="64" t="n"/>
      <c r="B230" s="65" t="n"/>
      <c r="C230" s="64" t="n"/>
      <c r="D230" s="66" t="n"/>
      <c r="E230" s="66" t="n"/>
      <c r="F230" s="67" t="n"/>
      <c r="G230" s="67" t="n"/>
      <c r="H230" s="67" t="n"/>
      <c r="I230" s="67" t="n"/>
      <c r="J230" s="67" t="n"/>
      <c r="K230" s="67" t="n"/>
      <c r="L230" s="67" t="n"/>
      <c r="M230" s="67" t="n"/>
      <c r="N230" s="65" t="n"/>
      <c r="O230" s="84">
        <f>IF(A230="","",IF(E230="","No date",IF(TODAY()&gt;=EDATE(E230,Review_Months),"Review Due","Current")))</f>
        <v/>
      </c>
      <c r="P230" s="84">
        <f>IF(A230="","",IF(COUNTIFS('AFA Rates'!$A$5:$A$1004,A230,'AFA Rates'!$O$5:$O$1004,"&lt;&gt;Expired")&gt;0,"Yes",IF(COUNTIF('AFA Rates'!$A$5:$A$1004,A230)&gt;0,"Expired only","No")))</f>
        <v/>
      </c>
      <c r="Q230" s="84">
        <f>IF(A230="","",COUNTIFS('AFA Rates'!$A$5:$A$1004,A230,'AFA Rates'!$O$5:$O$1004,"&lt;&gt;Expired"))</f>
        <v/>
      </c>
      <c r="R230" s="66" t="n"/>
      <c r="S230" s="64" t="n"/>
      <c r="T230" s="64" t="n"/>
      <c r="U230">
        <f>IF(AND(A230&lt;&gt;"",B230="Paused"),COUNTIFS($A$5:A230,"&lt;&gt;",$B$5:B230,"Paused"),"")</f>
        <v/>
      </c>
      <c r="V230">
        <f>IF(P230="Yes",COUNTIF($P$5:P230,"Yes"),"")</f>
        <v/>
      </c>
      <c r="W230">
        <f>IF(A230="","",COUNTIF($A$5:$A$1004,"&lt;"&amp;A230)+COUNTIF($A$5:A230,A230))</f>
        <v/>
      </c>
      <c r="X230">
        <f>","&amp;SUBSTITUTE(SUBSTITUTE(SUBSTITUTE(UPPER(C230)," ",""),";",","),"/",",")&amp;","</f>
        <v/>
      </c>
      <c r="Y230">
        <f>IF(AND(A230&lt;&gt;"",B230="Active",'State Search'!$C$5&lt;&gt;"",OR(X230=",ALL,",ISNUMBER(SEARCH(","&amp;'State Search'!$C$5&amp;",",X230)))),W230,"")</f>
        <v/>
      </c>
    </row>
    <row r="231">
      <c r="A231" s="64" t="n"/>
      <c r="B231" s="65" t="n"/>
      <c r="C231" s="64" t="n"/>
      <c r="D231" s="66" t="n"/>
      <c r="E231" s="66" t="n"/>
      <c r="F231" s="67" t="n"/>
      <c r="G231" s="67" t="n"/>
      <c r="H231" s="67" t="n"/>
      <c r="I231" s="67" t="n"/>
      <c r="J231" s="67" t="n"/>
      <c r="K231" s="67" t="n"/>
      <c r="L231" s="67" t="n"/>
      <c r="M231" s="67" t="n"/>
      <c r="N231" s="65" t="n"/>
      <c r="O231" s="84">
        <f>IF(A231="","",IF(E231="","No date",IF(TODAY()&gt;=EDATE(E231,Review_Months),"Review Due","Current")))</f>
        <v/>
      </c>
      <c r="P231" s="84">
        <f>IF(A231="","",IF(COUNTIFS('AFA Rates'!$A$5:$A$1004,A231,'AFA Rates'!$O$5:$O$1004,"&lt;&gt;Expired")&gt;0,"Yes",IF(COUNTIF('AFA Rates'!$A$5:$A$1004,A231)&gt;0,"Expired only","No")))</f>
        <v/>
      </c>
      <c r="Q231" s="84">
        <f>IF(A231="","",COUNTIFS('AFA Rates'!$A$5:$A$1004,A231,'AFA Rates'!$O$5:$O$1004,"&lt;&gt;Expired"))</f>
        <v/>
      </c>
      <c r="R231" s="66" t="n"/>
      <c r="S231" s="64" t="n"/>
      <c r="T231" s="64" t="n"/>
      <c r="U231">
        <f>IF(AND(A231&lt;&gt;"",B231="Paused"),COUNTIFS($A$5:A231,"&lt;&gt;",$B$5:B231,"Paused"),"")</f>
        <v/>
      </c>
      <c r="V231">
        <f>IF(P231="Yes",COUNTIF($P$5:P231,"Yes"),"")</f>
        <v/>
      </c>
      <c r="W231">
        <f>IF(A231="","",COUNTIF($A$5:$A$1004,"&lt;"&amp;A231)+COUNTIF($A$5:A231,A231))</f>
        <v/>
      </c>
      <c r="X231">
        <f>","&amp;SUBSTITUTE(SUBSTITUTE(SUBSTITUTE(UPPER(C231)," ",""),";",","),"/",",")&amp;","</f>
        <v/>
      </c>
      <c r="Y231">
        <f>IF(AND(A231&lt;&gt;"",B231="Active",'State Search'!$C$5&lt;&gt;"",OR(X231=",ALL,",ISNUMBER(SEARCH(","&amp;'State Search'!$C$5&amp;",",X231)))),W231,"")</f>
        <v/>
      </c>
    </row>
    <row r="232">
      <c r="A232" s="64" t="n"/>
      <c r="B232" s="65" t="n"/>
      <c r="C232" s="64" t="n"/>
      <c r="D232" s="66" t="n"/>
      <c r="E232" s="66" t="n"/>
      <c r="F232" s="67" t="n"/>
      <c r="G232" s="67" t="n"/>
      <c r="H232" s="67" t="n"/>
      <c r="I232" s="67" t="n"/>
      <c r="J232" s="67" t="n"/>
      <c r="K232" s="67" t="n"/>
      <c r="L232" s="67" t="n"/>
      <c r="M232" s="67" t="n"/>
      <c r="N232" s="65" t="n"/>
      <c r="O232" s="84">
        <f>IF(A232="","",IF(E232="","No date",IF(TODAY()&gt;=EDATE(E232,Review_Months),"Review Due","Current")))</f>
        <v/>
      </c>
      <c r="P232" s="84">
        <f>IF(A232="","",IF(COUNTIFS('AFA Rates'!$A$5:$A$1004,A232,'AFA Rates'!$O$5:$O$1004,"&lt;&gt;Expired")&gt;0,"Yes",IF(COUNTIF('AFA Rates'!$A$5:$A$1004,A232)&gt;0,"Expired only","No")))</f>
        <v/>
      </c>
      <c r="Q232" s="84">
        <f>IF(A232="","",COUNTIFS('AFA Rates'!$A$5:$A$1004,A232,'AFA Rates'!$O$5:$O$1004,"&lt;&gt;Expired"))</f>
        <v/>
      </c>
      <c r="R232" s="66" t="n"/>
      <c r="S232" s="64" t="n"/>
      <c r="T232" s="64" t="n"/>
      <c r="U232">
        <f>IF(AND(A232&lt;&gt;"",B232="Paused"),COUNTIFS($A$5:A232,"&lt;&gt;",$B$5:B232,"Paused"),"")</f>
        <v/>
      </c>
      <c r="V232">
        <f>IF(P232="Yes",COUNTIF($P$5:P232,"Yes"),"")</f>
        <v/>
      </c>
      <c r="W232">
        <f>IF(A232="","",COUNTIF($A$5:$A$1004,"&lt;"&amp;A232)+COUNTIF($A$5:A232,A232))</f>
        <v/>
      </c>
      <c r="X232">
        <f>","&amp;SUBSTITUTE(SUBSTITUTE(SUBSTITUTE(UPPER(C232)," ",""),";",","),"/",",")&amp;","</f>
        <v/>
      </c>
      <c r="Y232">
        <f>IF(AND(A232&lt;&gt;"",B232="Active",'State Search'!$C$5&lt;&gt;"",OR(X232=",ALL,",ISNUMBER(SEARCH(","&amp;'State Search'!$C$5&amp;",",X232)))),W232,"")</f>
        <v/>
      </c>
    </row>
    <row r="233">
      <c r="A233" s="64" t="n"/>
      <c r="B233" s="65" t="n"/>
      <c r="C233" s="64" t="n"/>
      <c r="D233" s="66" t="n"/>
      <c r="E233" s="66" t="n"/>
      <c r="F233" s="67" t="n"/>
      <c r="G233" s="67" t="n"/>
      <c r="H233" s="67" t="n"/>
      <c r="I233" s="67" t="n"/>
      <c r="J233" s="67" t="n"/>
      <c r="K233" s="67" t="n"/>
      <c r="L233" s="67" t="n"/>
      <c r="M233" s="67" t="n"/>
      <c r="N233" s="65" t="n"/>
      <c r="O233" s="84">
        <f>IF(A233="","",IF(E233="","No date",IF(TODAY()&gt;=EDATE(E233,Review_Months),"Review Due","Current")))</f>
        <v/>
      </c>
      <c r="P233" s="84">
        <f>IF(A233="","",IF(COUNTIFS('AFA Rates'!$A$5:$A$1004,A233,'AFA Rates'!$O$5:$O$1004,"&lt;&gt;Expired")&gt;0,"Yes",IF(COUNTIF('AFA Rates'!$A$5:$A$1004,A233)&gt;0,"Expired only","No")))</f>
        <v/>
      </c>
      <c r="Q233" s="84">
        <f>IF(A233="","",COUNTIFS('AFA Rates'!$A$5:$A$1004,A233,'AFA Rates'!$O$5:$O$1004,"&lt;&gt;Expired"))</f>
        <v/>
      </c>
      <c r="R233" s="66" t="n"/>
      <c r="S233" s="64" t="n"/>
      <c r="T233" s="64" t="n"/>
      <c r="U233">
        <f>IF(AND(A233&lt;&gt;"",B233="Paused"),COUNTIFS($A$5:A233,"&lt;&gt;",$B$5:B233,"Paused"),"")</f>
        <v/>
      </c>
      <c r="V233">
        <f>IF(P233="Yes",COUNTIF($P$5:P233,"Yes"),"")</f>
        <v/>
      </c>
      <c r="W233">
        <f>IF(A233="","",COUNTIF($A$5:$A$1004,"&lt;"&amp;A233)+COUNTIF($A$5:A233,A233))</f>
        <v/>
      </c>
      <c r="X233">
        <f>","&amp;SUBSTITUTE(SUBSTITUTE(SUBSTITUTE(UPPER(C233)," ",""),";",","),"/",",")&amp;","</f>
        <v/>
      </c>
      <c r="Y233">
        <f>IF(AND(A233&lt;&gt;"",B233="Active",'State Search'!$C$5&lt;&gt;"",OR(X233=",ALL,",ISNUMBER(SEARCH(","&amp;'State Search'!$C$5&amp;",",X233)))),W233,"")</f>
        <v/>
      </c>
    </row>
    <row r="234">
      <c r="A234" s="64" t="n"/>
      <c r="B234" s="65" t="n"/>
      <c r="C234" s="64" t="n"/>
      <c r="D234" s="66" t="n"/>
      <c r="E234" s="66" t="n"/>
      <c r="F234" s="67" t="n"/>
      <c r="G234" s="67" t="n"/>
      <c r="H234" s="67" t="n"/>
      <c r="I234" s="67" t="n"/>
      <c r="J234" s="67" t="n"/>
      <c r="K234" s="67" t="n"/>
      <c r="L234" s="67" t="n"/>
      <c r="M234" s="67" t="n"/>
      <c r="N234" s="65" t="n"/>
      <c r="O234" s="84">
        <f>IF(A234="","",IF(E234="","No date",IF(TODAY()&gt;=EDATE(E234,Review_Months),"Review Due","Current")))</f>
        <v/>
      </c>
      <c r="P234" s="84">
        <f>IF(A234="","",IF(COUNTIFS('AFA Rates'!$A$5:$A$1004,A234,'AFA Rates'!$O$5:$O$1004,"&lt;&gt;Expired")&gt;0,"Yes",IF(COUNTIF('AFA Rates'!$A$5:$A$1004,A234)&gt;0,"Expired only","No")))</f>
        <v/>
      </c>
      <c r="Q234" s="84">
        <f>IF(A234="","",COUNTIFS('AFA Rates'!$A$5:$A$1004,A234,'AFA Rates'!$O$5:$O$1004,"&lt;&gt;Expired"))</f>
        <v/>
      </c>
      <c r="R234" s="66" t="n"/>
      <c r="S234" s="64" t="n"/>
      <c r="T234" s="64" t="n"/>
      <c r="U234">
        <f>IF(AND(A234&lt;&gt;"",B234="Paused"),COUNTIFS($A$5:A234,"&lt;&gt;",$B$5:B234,"Paused"),"")</f>
        <v/>
      </c>
      <c r="V234">
        <f>IF(P234="Yes",COUNTIF($P$5:P234,"Yes"),"")</f>
        <v/>
      </c>
      <c r="W234">
        <f>IF(A234="","",COUNTIF($A$5:$A$1004,"&lt;"&amp;A234)+COUNTIF($A$5:A234,A234))</f>
        <v/>
      </c>
      <c r="X234">
        <f>","&amp;SUBSTITUTE(SUBSTITUTE(SUBSTITUTE(UPPER(C234)," ",""),";",","),"/",",")&amp;","</f>
        <v/>
      </c>
      <c r="Y234">
        <f>IF(AND(A234&lt;&gt;"",B234="Active",'State Search'!$C$5&lt;&gt;"",OR(X234=",ALL,",ISNUMBER(SEARCH(","&amp;'State Search'!$C$5&amp;",",X234)))),W234,"")</f>
        <v/>
      </c>
    </row>
    <row r="235">
      <c r="A235" s="64" t="n"/>
      <c r="B235" s="65" t="n"/>
      <c r="C235" s="64" t="n"/>
      <c r="D235" s="66" t="n"/>
      <c r="E235" s="66" t="n"/>
      <c r="F235" s="67" t="n"/>
      <c r="G235" s="67" t="n"/>
      <c r="H235" s="67" t="n"/>
      <c r="I235" s="67" t="n"/>
      <c r="J235" s="67" t="n"/>
      <c r="K235" s="67" t="n"/>
      <c r="L235" s="67" t="n"/>
      <c r="M235" s="67" t="n"/>
      <c r="N235" s="65" t="n"/>
      <c r="O235" s="84">
        <f>IF(A235="","",IF(E235="","No date",IF(TODAY()&gt;=EDATE(E235,Review_Months),"Review Due","Current")))</f>
        <v/>
      </c>
      <c r="P235" s="84">
        <f>IF(A235="","",IF(COUNTIFS('AFA Rates'!$A$5:$A$1004,A235,'AFA Rates'!$O$5:$O$1004,"&lt;&gt;Expired")&gt;0,"Yes",IF(COUNTIF('AFA Rates'!$A$5:$A$1004,A235)&gt;0,"Expired only","No")))</f>
        <v/>
      </c>
      <c r="Q235" s="84">
        <f>IF(A235="","",COUNTIFS('AFA Rates'!$A$5:$A$1004,A235,'AFA Rates'!$O$5:$O$1004,"&lt;&gt;Expired"))</f>
        <v/>
      </c>
      <c r="R235" s="66" t="n"/>
      <c r="S235" s="64" t="n"/>
      <c r="T235" s="64" t="n"/>
      <c r="U235">
        <f>IF(AND(A235&lt;&gt;"",B235="Paused"),COUNTIFS($A$5:A235,"&lt;&gt;",$B$5:B235,"Paused"),"")</f>
        <v/>
      </c>
      <c r="V235">
        <f>IF(P235="Yes",COUNTIF($P$5:P235,"Yes"),"")</f>
        <v/>
      </c>
      <c r="W235">
        <f>IF(A235="","",COUNTIF($A$5:$A$1004,"&lt;"&amp;A235)+COUNTIF($A$5:A235,A235))</f>
        <v/>
      </c>
      <c r="X235">
        <f>","&amp;SUBSTITUTE(SUBSTITUTE(SUBSTITUTE(UPPER(C235)," ",""),";",","),"/",",")&amp;","</f>
        <v/>
      </c>
      <c r="Y235">
        <f>IF(AND(A235&lt;&gt;"",B235="Active",'State Search'!$C$5&lt;&gt;"",OR(X235=",ALL,",ISNUMBER(SEARCH(","&amp;'State Search'!$C$5&amp;",",X235)))),W235,"")</f>
        <v/>
      </c>
    </row>
    <row r="236">
      <c r="A236" s="64" t="n"/>
      <c r="B236" s="65" t="n"/>
      <c r="C236" s="64" t="n"/>
      <c r="D236" s="66" t="n"/>
      <c r="E236" s="66" t="n"/>
      <c r="F236" s="67" t="n"/>
      <c r="G236" s="67" t="n"/>
      <c r="H236" s="67" t="n"/>
      <c r="I236" s="67" t="n"/>
      <c r="J236" s="67" t="n"/>
      <c r="K236" s="67" t="n"/>
      <c r="L236" s="67" t="n"/>
      <c r="M236" s="67" t="n"/>
      <c r="N236" s="65" t="n"/>
      <c r="O236" s="84">
        <f>IF(A236="","",IF(E236="","No date",IF(TODAY()&gt;=EDATE(E236,Review_Months),"Review Due","Current")))</f>
        <v/>
      </c>
      <c r="P236" s="84">
        <f>IF(A236="","",IF(COUNTIFS('AFA Rates'!$A$5:$A$1004,A236,'AFA Rates'!$O$5:$O$1004,"&lt;&gt;Expired")&gt;0,"Yes",IF(COUNTIF('AFA Rates'!$A$5:$A$1004,A236)&gt;0,"Expired only","No")))</f>
        <v/>
      </c>
      <c r="Q236" s="84">
        <f>IF(A236="","",COUNTIFS('AFA Rates'!$A$5:$A$1004,A236,'AFA Rates'!$O$5:$O$1004,"&lt;&gt;Expired"))</f>
        <v/>
      </c>
      <c r="R236" s="66" t="n"/>
      <c r="S236" s="64" t="n"/>
      <c r="T236" s="64" t="n"/>
      <c r="U236">
        <f>IF(AND(A236&lt;&gt;"",B236="Paused"),COUNTIFS($A$5:A236,"&lt;&gt;",$B$5:B236,"Paused"),"")</f>
        <v/>
      </c>
      <c r="V236">
        <f>IF(P236="Yes",COUNTIF($P$5:P236,"Yes"),"")</f>
        <v/>
      </c>
      <c r="W236">
        <f>IF(A236="","",COUNTIF($A$5:$A$1004,"&lt;"&amp;A236)+COUNTIF($A$5:A236,A236))</f>
        <v/>
      </c>
      <c r="X236">
        <f>","&amp;SUBSTITUTE(SUBSTITUTE(SUBSTITUTE(UPPER(C236)," ",""),";",","),"/",",")&amp;","</f>
        <v/>
      </c>
      <c r="Y236">
        <f>IF(AND(A236&lt;&gt;"",B236="Active",'State Search'!$C$5&lt;&gt;"",OR(X236=",ALL,",ISNUMBER(SEARCH(","&amp;'State Search'!$C$5&amp;",",X236)))),W236,"")</f>
        <v/>
      </c>
    </row>
    <row r="237">
      <c r="A237" s="64" t="n"/>
      <c r="B237" s="65" t="n"/>
      <c r="C237" s="64" t="n"/>
      <c r="D237" s="66" t="n"/>
      <c r="E237" s="66" t="n"/>
      <c r="F237" s="67" t="n"/>
      <c r="G237" s="67" t="n"/>
      <c r="H237" s="67" t="n"/>
      <c r="I237" s="67" t="n"/>
      <c r="J237" s="67" t="n"/>
      <c r="K237" s="67" t="n"/>
      <c r="L237" s="67" t="n"/>
      <c r="M237" s="67" t="n"/>
      <c r="N237" s="65" t="n"/>
      <c r="O237" s="84">
        <f>IF(A237="","",IF(E237="","No date",IF(TODAY()&gt;=EDATE(E237,Review_Months),"Review Due","Current")))</f>
        <v/>
      </c>
      <c r="P237" s="84">
        <f>IF(A237="","",IF(COUNTIFS('AFA Rates'!$A$5:$A$1004,A237,'AFA Rates'!$O$5:$O$1004,"&lt;&gt;Expired")&gt;0,"Yes",IF(COUNTIF('AFA Rates'!$A$5:$A$1004,A237)&gt;0,"Expired only","No")))</f>
        <v/>
      </c>
      <c r="Q237" s="84">
        <f>IF(A237="","",COUNTIFS('AFA Rates'!$A$5:$A$1004,A237,'AFA Rates'!$O$5:$O$1004,"&lt;&gt;Expired"))</f>
        <v/>
      </c>
      <c r="R237" s="66" t="n"/>
      <c r="S237" s="64" t="n"/>
      <c r="T237" s="64" t="n"/>
      <c r="U237">
        <f>IF(AND(A237&lt;&gt;"",B237="Paused"),COUNTIFS($A$5:A237,"&lt;&gt;",$B$5:B237,"Paused"),"")</f>
        <v/>
      </c>
      <c r="V237">
        <f>IF(P237="Yes",COUNTIF($P$5:P237,"Yes"),"")</f>
        <v/>
      </c>
      <c r="W237">
        <f>IF(A237="","",COUNTIF($A$5:$A$1004,"&lt;"&amp;A237)+COUNTIF($A$5:A237,A237))</f>
        <v/>
      </c>
      <c r="X237">
        <f>","&amp;SUBSTITUTE(SUBSTITUTE(SUBSTITUTE(UPPER(C237)," ",""),";",","),"/",",")&amp;","</f>
        <v/>
      </c>
      <c r="Y237">
        <f>IF(AND(A237&lt;&gt;"",B237="Active",'State Search'!$C$5&lt;&gt;"",OR(X237=",ALL,",ISNUMBER(SEARCH(","&amp;'State Search'!$C$5&amp;",",X237)))),W237,"")</f>
        <v/>
      </c>
    </row>
    <row r="238">
      <c r="A238" s="64" t="n"/>
      <c r="B238" s="65" t="n"/>
      <c r="C238" s="64" t="n"/>
      <c r="D238" s="66" t="n"/>
      <c r="E238" s="66" t="n"/>
      <c r="F238" s="67" t="n"/>
      <c r="G238" s="67" t="n"/>
      <c r="H238" s="67" t="n"/>
      <c r="I238" s="67" t="n"/>
      <c r="J238" s="67" t="n"/>
      <c r="K238" s="67" t="n"/>
      <c r="L238" s="67" t="n"/>
      <c r="M238" s="67" t="n"/>
      <c r="N238" s="65" t="n"/>
      <c r="O238" s="84">
        <f>IF(A238="","",IF(E238="","No date",IF(TODAY()&gt;=EDATE(E238,Review_Months),"Review Due","Current")))</f>
        <v/>
      </c>
      <c r="P238" s="84">
        <f>IF(A238="","",IF(COUNTIFS('AFA Rates'!$A$5:$A$1004,A238,'AFA Rates'!$O$5:$O$1004,"&lt;&gt;Expired")&gt;0,"Yes",IF(COUNTIF('AFA Rates'!$A$5:$A$1004,A238)&gt;0,"Expired only","No")))</f>
        <v/>
      </c>
      <c r="Q238" s="84">
        <f>IF(A238="","",COUNTIFS('AFA Rates'!$A$5:$A$1004,A238,'AFA Rates'!$O$5:$O$1004,"&lt;&gt;Expired"))</f>
        <v/>
      </c>
      <c r="R238" s="66" t="n"/>
      <c r="S238" s="64" t="n"/>
      <c r="T238" s="64" t="n"/>
      <c r="U238">
        <f>IF(AND(A238&lt;&gt;"",B238="Paused"),COUNTIFS($A$5:A238,"&lt;&gt;",$B$5:B238,"Paused"),"")</f>
        <v/>
      </c>
      <c r="V238">
        <f>IF(P238="Yes",COUNTIF($P$5:P238,"Yes"),"")</f>
        <v/>
      </c>
      <c r="W238">
        <f>IF(A238="","",COUNTIF($A$5:$A$1004,"&lt;"&amp;A238)+COUNTIF($A$5:A238,A238))</f>
        <v/>
      </c>
      <c r="X238">
        <f>","&amp;SUBSTITUTE(SUBSTITUTE(SUBSTITUTE(UPPER(C238)," ",""),";",","),"/",",")&amp;","</f>
        <v/>
      </c>
      <c r="Y238">
        <f>IF(AND(A238&lt;&gt;"",B238="Active",'State Search'!$C$5&lt;&gt;"",OR(X238=",ALL,",ISNUMBER(SEARCH(","&amp;'State Search'!$C$5&amp;",",X238)))),W238,"")</f>
        <v/>
      </c>
    </row>
    <row r="239">
      <c r="A239" s="64" t="n"/>
      <c r="B239" s="65" t="n"/>
      <c r="C239" s="64" t="n"/>
      <c r="D239" s="66" t="n"/>
      <c r="E239" s="66" t="n"/>
      <c r="F239" s="67" t="n"/>
      <c r="G239" s="67" t="n"/>
      <c r="H239" s="67" t="n"/>
      <c r="I239" s="67" t="n"/>
      <c r="J239" s="67" t="n"/>
      <c r="K239" s="67" t="n"/>
      <c r="L239" s="67" t="n"/>
      <c r="M239" s="67" t="n"/>
      <c r="N239" s="65" t="n"/>
      <c r="O239" s="84">
        <f>IF(A239="","",IF(E239="","No date",IF(TODAY()&gt;=EDATE(E239,Review_Months),"Review Due","Current")))</f>
        <v/>
      </c>
      <c r="P239" s="84">
        <f>IF(A239="","",IF(COUNTIFS('AFA Rates'!$A$5:$A$1004,A239,'AFA Rates'!$O$5:$O$1004,"&lt;&gt;Expired")&gt;0,"Yes",IF(COUNTIF('AFA Rates'!$A$5:$A$1004,A239)&gt;0,"Expired only","No")))</f>
        <v/>
      </c>
      <c r="Q239" s="84">
        <f>IF(A239="","",COUNTIFS('AFA Rates'!$A$5:$A$1004,A239,'AFA Rates'!$O$5:$O$1004,"&lt;&gt;Expired"))</f>
        <v/>
      </c>
      <c r="R239" s="66" t="n"/>
      <c r="S239" s="64" t="n"/>
      <c r="T239" s="64" t="n"/>
      <c r="U239">
        <f>IF(AND(A239&lt;&gt;"",B239="Paused"),COUNTIFS($A$5:A239,"&lt;&gt;",$B$5:B239,"Paused"),"")</f>
        <v/>
      </c>
      <c r="V239">
        <f>IF(P239="Yes",COUNTIF($P$5:P239,"Yes"),"")</f>
        <v/>
      </c>
      <c r="W239">
        <f>IF(A239="","",COUNTIF($A$5:$A$1004,"&lt;"&amp;A239)+COUNTIF($A$5:A239,A239))</f>
        <v/>
      </c>
      <c r="X239">
        <f>","&amp;SUBSTITUTE(SUBSTITUTE(SUBSTITUTE(UPPER(C239)," ",""),";",","),"/",",")&amp;","</f>
        <v/>
      </c>
      <c r="Y239">
        <f>IF(AND(A239&lt;&gt;"",B239="Active",'State Search'!$C$5&lt;&gt;"",OR(X239=",ALL,",ISNUMBER(SEARCH(","&amp;'State Search'!$C$5&amp;",",X239)))),W239,"")</f>
        <v/>
      </c>
    </row>
    <row r="240">
      <c r="A240" s="64" t="n"/>
      <c r="B240" s="65" t="n"/>
      <c r="C240" s="64" t="n"/>
      <c r="D240" s="66" t="n"/>
      <c r="E240" s="66" t="n"/>
      <c r="F240" s="67" t="n"/>
      <c r="G240" s="67" t="n"/>
      <c r="H240" s="67" t="n"/>
      <c r="I240" s="67" t="n"/>
      <c r="J240" s="67" t="n"/>
      <c r="K240" s="67" t="n"/>
      <c r="L240" s="67" t="n"/>
      <c r="M240" s="67" t="n"/>
      <c r="N240" s="65" t="n"/>
      <c r="O240" s="84">
        <f>IF(A240="","",IF(E240="","No date",IF(TODAY()&gt;=EDATE(E240,Review_Months),"Review Due","Current")))</f>
        <v/>
      </c>
      <c r="P240" s="84">
        <f>IF(A240="","",IF(COUNTIFS('AFA Rates'!$A$5:$A$1004,A240,'AFA Rates'!$O$5:$O$1004,"&lt;&gt;Expired")&gt;0,"Yes",IF(COUNTIF('AFA Rates'!$A$5:$A$1004,A240)&gt;0,"Expired only","No")))</f>
        <v/>
      </c>
      <c r="Q240" s="84">
        <f>IF(A240="","",COUNTIFS('AFA Rates'!$A$5:$A$1004,A240,'AFA Rates'!$O$5:$O$1004,"&lt;&gt;Expired"))</f>
        <v/>
      </c>
      <c r="R240" s="66" t="n"/>
      <c r="S240" s="64" t="n"/>
      <c r="T240" s="64" t="n"/>
      <c r="U240">
        <f>IF(AND(A240&lt;&gt;"",B240="Paused"),COUNTIFS($A$5:A240,"&lt;&gt;",$B$5:B240,"Paused"),"")</f>
        <v/>
      </c>
      <c r="V240">
        <f>IF(P240="Yes",COUNTIF($P$5:P240,"Yes"),"")</f>
        <v/>
      </c>
      <c r="W240">
        <f>IF(A240="","",COUNTIF($A$5:$A$1004,"&lt;"&amp;A240)+COUNTIF($A$5:A240,A240))</f>
        <v/>
      </c>
      <c r="X240">
        <f>","&amp;SUBSTITUTE(SUBSTITUTE(SUBSTITUTE(UPPER(C240)," ",""),";",","),"/",",")&amp;","</f>
        <v/>
      </c>
      <c r="Y240">
        <f>IF(AND(A240&lt;&gt;"",B240="Active",'State Search'!$C$5&lt;&gt;"",OR(X240=",ALL,",ISNUMBER(SEARCH(","&amp;'State Search'!$C$5&amp;",",X240)))),W240,"")</f>
        <v/>
      </c>
    </row>
    <row r="241">
      <c r="A241" s="64" t="n"/>
      <c r="B241" s="65" t="n"/>
      <c r="C241" s="64" t="n"/>
      <c r="D241" s="66" t="n"/>
      <c r="E241" s="66" t="n"/>
      <c r="F241" s="67" t="n"/>
      <c r="G241" s="67" t="n"/>
      <c r="H241" s="67" t="n"/>
      <c r="I241" s="67" t="n"/>
      <c r="J241" s="67" t="n"/>
      <c r="K241" s="67" t="n"/>
      <c r="L241" s="67" t="n"/>
      <c r="M241" s="67" t="n"/>
      <c r="N241" s="65" t="n"/>
      <c r="O241" s="84">
        <f>IF(A241="","",IF(E241="","No date",IF(TODAY()&gt;=EDATE(E241,Review_Months),"Review Due","Current")))</f>
        <v/>
      </c>
      <c r="P241" s="84">
        <f>IF(A241="","",IF(COUNTIFS('AFA Rates'!$A$5:$A$1004,A241,'AFA Rates'!$O$5:$O$1004,"&lt;&gt;Expired")&gt;0,"Yes",IF(COUNTIF('AFA Rates'!$A$5:$A$1004,A241)&gt;0,"Expired only","No")))</f>
        <v/>
      </c>
      <c r="Q241" s="84">
        <f>IF(A241="","",COUNTIFS('AFA Rates'!$A$5:$A$1004,A241,'AFA Rates'!$O$5:$O$1004,"&lt;&gt;Expired"))</f>
        <v/>
      </c>
      <c r="R241" s="66" t="n"/>
      <c r="S241" s="64" t="n"/>
      <c r="T241" s="64" t="n"/>
      <c r="U241">
        <f>IF(AND(A241&lt;&gt;"",B241="Paused"),COUNTIFS($A$5:A241,"&lt;&gt;",$B$5:B241,"Paused"),"")</f>
        <v/>
      </c>
      <c r="V241">
        <f>IF(P241="Yes",COUNTIF($P$5:P241,"Yes"),"")</f>
        <v/>
      </c>
      <c r="W241">
        <f>IF(A241="","",COUNTIF($A$5:$A$1004,"&lt;"&amp;A241)+COUNTIF($A$5:A241,A241))</f>
        <v/>
      </c>
      <c r="X241">
        <f>","&amp;SUBSTITUTE(SUBSTITUTE(SUBSTITUTE(UPPER(C241)," ",""),";",","),"/",",")&amp;","</f>
        <v/>
      </c>
      <c r="Y241">
        <f>IF(AND(A241&lt;&gt;"",B241="Active",'State Search'!$C$5&lt;&gt;"",OR(X241=",ALL,",ISNUMBER(SEARCH(","&amp;'State Search'!$C$5&amp;",",X241)))),W241,"")</f>
        <v/>
      </c>
    </row>
    <row r="242">
      <c r="A242" s="64" t="n"/>
      <c r="B242" s="65" t="n"/>
      <c r="C242" s="64" t="n"/>
      <c r="D242" s="66" t="n"/>
      <c r="E242" s="66" t="n"/>
      <c r="F242" s="67" t="n"/>
      <c r="G242" s="67" t="n"/>
      <c r="H242" s="67" t="n"/>
      <c r="I242" s="67" t="n"/>
      <c r="J242" s="67" t="n"/>
      <c r="K242" s="67" t="n"/>
      <c r="L242" s="67" t="n"/>
      <c r="M242" s="67" t="n"/>
      <c r="N242" s="65" t="n"/>
      <c r="O242" s="84">
        <f>IF(A242="","",IF(E242="","No date",IF(TODAY()&gt;=EDATE(E242,Review_Months),"Review Due","Current")))</f>
        <v/>
      </c>
      <c r="P242" s="84">
        <f>IF(A242="","",IF(COUNTIFS('AFA Rates'!$A$5:$A$1004,A242,'AFA Rates'!$O$5:$O$1004,"&lt;&gt;Expired")&gt;0,"Yes",IF(COUNTIF('AFA Rates'!$A$5:$A$1004,A242)&gt;0,"Expired only","No")))</f>
        <v/>
      </c>
      <c r="Q242" s="84">
        <f>IF(A242="","",COUNTIFS('AFA Rates'!$A$5:$A$1004,A242,'AFA Rates'!$O$5:$O$1004,"&lt;&gt;Expired"))</f>
        <v/>
      </c>
      <c r="R242" s="66" t="n"/>
      <c r="S242" s="64" t="n"/>
      <c r="T242" s="64" t="n"/>
      <c r="U242">
        <f>IF(AND(A242&lt;&gt;"",B242="Paused"),COUNTIFS($A$5:A242,"&lt;&gt;",$B$5:B242,"Paused"),"")</f>
        <v/>
      </c>
      <c r="V242">
        <f>IF(P242="Yes",COUNTIF($P$5:P242,"Yes"),"")</f>
        <v/>
      </c>
      <c r="W242">
        <f>IF(A242="","",COUNTIF($A$5:$A$1004,"&lt;"&amp;A242)+COUNTIF($A$5:A242,A242))</f>
        <v/>
      </c>
      <c r="X242">
        <f>","&amp;SUBSTITUTE(SUBSTITUTE(SUBSTITUTE(UPPER(C242)," ",""),";",","),"/",",")&amp;","</f>
        <v/>
      </c>
      <c r="Y242">
        <f>IF(AND(A242&lt;&gt;"",B242="Active",'State Search'!$C$5&lt;&gt;"",OR(X242=",ALL,",ISNUMBER(SEARCH(","&amp;'State Search'!$C$5&amp;",",X242)))),W242,"")</f>
        <v/>
      </c>
    </row>
    <row r="243">
      <c r="A243" s="64" t="n"/>
      <c r="B243" s="65" t="n"/>
      <c r="C243" s="64" t="n"/>
      <c r="D243" s="66" t="n"/>
      <c r="E243" s="66" t="n"/>
      <c r="F243" s="67" t="n"/>
      <c r="G243" s="67" t="n"/>
      <c r="H243" s="67" t="n"/>
      <c r="I243" s="67" t="n"/>
      <c r="J243" s="67" t="n"/>
      <c r="K243" s="67" t="n"/>
      <c r="L243" s="67" t="n"/>
      <c r="M243" s="67" t="n"/>
      <c r="N243" s="65" t="n"/>
      <c r="O243" s="84">
        <f>IF(A243="","",IF(E243="","No date",IF(TODAY()&gt;=EDATE(E243,Review_Months),"Review Due","Current")))</f>
        <v/>
      </c>
      <c r="P243" s="84">
        <f>IF(A243="","",IF(COUNTIFS('AFA Rates'!$A$5:$A$1004,A243,'AFA Rates'!$O$5:$O$1004,"&lt;&gt;Expired")&gt;0,"Yes",IF(COUNTIF('AFA Rates'!$A$5:$A$1004,A243)&gt;0,"Expired only","No")))</f>
        <v/>
      </c>
      <c r="Q243" s="84">
        <f>IF(A243="","",COUNTIFS('AFA Rates'!$A$5:$A$1004,A243,'AFA Rates'!$O$5:$O$1004,"&lt;&gt;Expired"))</f>
        <v/>
      </c>
      <c r="R243" s="66" t="n"/>
      <c r="S243" s="64" t="n"/>
      <c r="T243" s="64" t="n"/>
      <c r="U243">
        <f>IF(AND(A243&lt;&gt;"",B243="Paused"),COUNTIFS($A$5:A243,"&lt;&gt;",$B$5:B243,"Paused"),"")</f>
        <v/>
      </c>
      <c r="V243">
        <f>IF(P243="Yes",COUNTIF($P$5:P243,"Yes"),"")</f>
        <v/>
      </c>
      <c r="W243">
        <f>IF(A243="","",COUNTIF($A$5:$A$1004,"&lt;"&amp;A243)+COUNTIF($A$5:A243,A243))</f>
        <v/>
      </c>
      <c r="X243">
        <f>","&amp;SUBSTITUTE(SUBSTITUTE(SUBSTITUTE(UPPER(C243)," ",""),";",","),"/",",")&amp;","</f>
        <v/>
      </c>
      <c r="Y243">
        <f>IF(AND(A243&lt;&gt;"",B243="Active",'State Search'!$C$5&lt;&gt;"",OR(X243=",ALL,",ISNUMBER(SEARCH(","&amp;'State Search'!$C$5&amp;",",X243)))),W243,"")</f>
        <v/>
      </c>
    </row>
    <row r="244">
      <c r="A244" s="64" t="n"/>
      <c r="B244" s="65" t="n"/>
      <c r="C244" s="64" t="n"/>
      <c r="D244" s="66" t="n"/>
      <c r="E244" s="66" t="n"/>
      <c r="F244" s="67" t="n"/>
      <c r="G244" s="67" t="n"/>
      <c r="H244" s="67" t="n"/>
      <c r="I244" s="67" t="n"/>
      <c r="J244" s="67" t="n"/>
      <c r="K244" s="67" t="n"/>
      <c r="L244" s="67" t="n"/>
      <c r="M244" s="67" t="n"/>
      <c r="N244" s="65" t="n"/>
      <c r="O244" s="84">
        <f>IF(A244="","",IF(E244="","No date",IF(TODAY()&gt;=EDATE(E244,Review_Months),"Review Due","Current")))</f>
        <v/>
      </c>
      <c r="P244" s="84">
        <f>IF(A244="","",IF(COUNTIFS('AFA Rates'!$A$5:$A$1004,A244,'AFA Rates'!$O$5:$O$1004,"&lt;&gt;Expired")&gt;0,"Yes",IF(COUNTIF('AFA Rates'!$A$5:$A$1004,A244)&gt;0,"Expired only","No")))</f>
        <v/>
      </c>
      <c r="Q244" s="84">
        <f>IF(A244="","",COUNTIFS('AFA Rates'!$A$5:$A$1004,A244,'AFA Rates'!$O$5:$O$1004,"&lt;&gt;Expired"))</f>
        <v/>
      </c>
      <c r="R244" s="66" t="n"/>
      <c r="S244" s="64" t="n"/>
      <c r="T244" s="64" t="n"/>
      <c r="U244">
        <f>IF(AND(A244&lt;&gt;"",B244="Paused"),COUNTIFS($A$5:A244,"&lt;&gt;",$B$5:B244,"Paused"),"")</f>
        <v/>
      </c>
      <c r="V244">
        <f>IF(P244="Yes",COUNTIF($P$5:P244,"Yes"),"")</f>
        <v/>
      </c>
      <c r="W244">
        <f>IF(A244="","",COUNTIF($A$5:$A$1004,"&lt;"&amp;A244)+COUNTIF($A$5:A244,A244))</f>
        <v/>
      </c>
      <c r="X244">
        <f>","&amp;SUBSTITUTE(SUBSTITUTE(SUBSTITUTE(UPPER(C244)," ",""),";",","),"/",",")&amp;","</f>
        <v/>
      </c>
      <c r="Y244">
        <f>IF(AND(A244&lt;&gt;"",B244="Active",'State Search'!$C$5&lt;&gt;"",OR(X244=",ALL,",ISNUMBER(SEARCH(","&amp;'State Search'!$C$5&amp;",",X244)))),W244,"")</f>
        <v/>
      </c>
    </row>
    <row r="245">
      <c r="A245" s="64" t="n"/>
      <c r="B245" s="65" t="n"/>
      <c r="C245" s="64" t="n"/>
      <c r="D245" s="66" t="n"/>
      <c r="E245" s="66" t="n"/>
      <c r="F245" s="67" t="n"/>
      <c r="G245" s="67" t="n"/>
      <c r="H245" s="67" t="n"/>
      <c r="I245" s="67" t="n"/>
      <c r="J245" s="67" t="n"/>
      <c r="K245" s="67" t="n"/>
      <c r="L245" s="67" t="n"/>
      <c r="M245" s="67" t="n"/>
      <c r="N245" s="65" t="n"/>
      <c r="O245" s="84">
        <f>IF(A245="","",IF(E245="","No date",IF(TODAY()&gt;=EDATE(E245,Review_Months),"Review Due","Current")))</f>
        <v/>
      </c>
      <c r="P245" s="84">
        <f>IF(A245="","",IF(COUNTIFS('AFA Rates'!$A$5:$A$1004,A245,'AFA Rates'!$O$5:$O$1004,"&lt;&gt;Expired")&gt;0,"Yes",IF(COUNTIF('AFA Rates'!$A$5:$A$1004,A245)&gt;0,"Expired only","No")))</f>
        <v/>
      </c>
      <c r="Q245" s="84">
        <f>IF(A245="","",COUNTIFS('AFA Rates'!$A$5:$A$1004,A245,'AFA Rates'!$O$5:$O$1004,"&lt;&gt;Expired"))</f>
        <v/>
      </c>
      <c r="R245" s="66" t="n"/>
      <c r="S245" s="64" t="n"/>
      <c r="T245" s="64" t="n"/>
      <c r="U245">
        <f>IF(AND(A245&lt;&gt;"",B245="Paused"),COUNTIFS($A$5:A245,"&lt;&gt;",$B$5:B245,"Paused"),"")</f>
        <v/>
      </c>
      <c r="V245">
        <f>IF(P245="Yes",COUNTIF($P$5:P245,"Yes"),"")</f>
        <v/>
      </c>
      <c r="W245">
        <f>IF(A245="","",COUNTIF($A$5:$A$1004,"&lt;"&amp;A245)+COUNTIF($A$5:A245,A245))</f>
        <v/>
      </c>
      <c r="X245">
        <f>","&amp;SUBSTITUTE(SUBSTITUTE(SUBSTITUTE(UPPER(C245)," ",""),";",","),"/",",")&amp;","</f>
        <v/>
      </c>
      <c r="Y245">
        <f>IF(AND(A245&lt;&gt;"",B245="Active",'State Search'!$C$5&lt;&gt;"",OR(X245=",ALL,",ISNUMBER(SEARCH(","&amp;'State Search'!$C$5&amp;",",X245)))),W245,"")</f>
        <v/>
      </c>
    </row>
    <row r="246">
      <c r="A246" s="64" t="n"/>
      <c r="B246" s="65" t="n"/>
      <c r="C246" s="64" t="n"/>
      <c r="D246" s="66" t="n"/>
      <c r="E246" s="66" t="n"/>
      <c r="F246" s="67" t="n"/>
      <c r="G246" s="67" t="n"/>
      <c r="H246" s="67" t="n"/>
      <c r="I246" s="67" t="n"/>
      <c r="J246" s="67" t="n"/>
      <c r="K246" s="67" t="n"/>
      <c r="L246" s="67" t="n"/>
      <c r="M246" s="67" t="n"/>
      <c r="N246" s="65" t="n"/>
      <c r="O246" s="84">
        <f>IF(A246="","",IF(E246="","No date",IF(TODAY()&gt;=EDATE(E246,Review_Months),"Review Due","Current")))</f>
        <v/>
      </c>
      <c r="P246" s="84">
        <f>IF(A246="","",IF(COUNTIFS('AFA Rates'!$A$5:$A$1004,A246,'AFA Rates'!$O$5:$O$1004,"&lt;&gt;Expired")&gt;0,"Yes",IF(COUNTIF('AFA Rates'!$A$5:$A$1004,A246)&gt;0,"Expired only","No")))</f>
        <v/>
      </c>
      <c r="Q246" s="84">
        <f>IF(A246="","",COUNTIFS('AFA Rates'!$A$5:$A$1004,A246,'AFA Rates'!$O$5:$O$1004,"&lt;&gt;Expired"))</f>
        <v/>
      </c>
      <c r="R246" s="66" t="n"/>
      <c r="S246" s="64" t="n"/>
      <c r="T246" s="64" t="n"/>
      <c r="U246">
        <f>IF(AND(A246&lt;&gt;"",B246="Paused"),COUNTIFS($A$5:A246,"&lt;&gt;",$B$5:B246,"Paused"),"")</f>
        <v/>
      </c>
      <c r="V246">
        <f>IF(P246="Yes",COUNTIF($P$5:P246,"Yes"),"")</f>
        <v/>
      </c>
      <c r="W246">
        <f>IF(A246="","",COUNTIF($A$5:$A$1004,"&lt;"&amp;A246)+COUNTIF($A$5:A246,A246))</f>
        <v/>
      </c>
      <c r="X246">
        <f>","&amp;SUBSTITUTE(SUBSTITUTE(SUBSTITUTE(UPPER(C246)," ",""),";",","),"/",",")&amp;","</f>
        <v/>
      </c>
      <c r="Y246">
        <f>IF(AND(A246&lt;&gt;"",B246="Active",'State Search'!$C$5&lt;&gt;"",OR(X246=",ALL,",ISNUMBER(SEARCH(","&amp;'State Search'!$C$5&amp;",",X246)))),W246,"")</f>
        <v/>
      </c>
    </row>
    <row r="247">
      <c r="A247" s="64" t="n"/>
      <c r="B247" s="65" t="n"/>
      <c r="C247" s="64" t="n"/>
      <c r="D247" s="66" t="n"/>
      <c r="E247" s="66" t="n"/>
      <c r="F247" s="67" t="n"/>
      <c r="G247" s="67" t="n"/>
      <c r="H247" s="67" t="n"/>
      <c r="I247" s="67" t="n"/>
      <c r="J247" s="67" t="n"/>
      <c r="K247" s="67" t="n"/>
      <c r="L247" s="67" t="n"/>
      <c r="M247" s="67" t="n"/>
      <c r="N247" s="65" t="n"/>
      <c r="O247" s="84">
        <f>IF(A247="","",IF(E247="","No date",IF(TODAY()&gt;=EDATE(E247,Review_Months),"Review Due","Current")))</f>
        <v/>
      </c>
      <c r="P247" s="84">
        <f>IF(A247="","",IF(COUNTIFS('AFA Rates'!$A$5:$A$1004,A247,'AFA Rates'!$O$5:$O$1004,"&lt;&gt;Expired")&gt;0,"Yes",IF(COUNTIF('AFA Rates'!$A$5:$A$1004,A247)&gt;0,"Expired only","No")))</f>
        <v/>
      </c>
      <c r="Q247" s="84">
        <f>IF(A247="","",COUNTIFS('AFA Rates'!$A$5:$A$1004,A247,'AFA Rates'!$O$5:$O$1004,"&lt;&gt;Expired"))</f>
        <v/>
      </c>
      <c r="R247" s="66" t="n"/>
      <c r="S247" s="64" t="n"/>
      <c r="T247" s="64" t="n"/>
      <c r="U247">
        <f>IF(AND(A247&lt;&gt;"",B247="Paused"),COUNTIFS($A$5:A247,"&lt;&gt;",$B$5:B247,"Paused"),"")</f>
        <v/>
      </c>
      <c r="V247">
        <f>IF(P247="Yes",COUNTIF($P$5:P247,"Yes"),"")</f>
        <v/>
      </c>
      <c r="W247">
        <f>IF(A247="","",COUNTIF($A$5:$A$1004,"&lt;"&amp;A247)+COUNTIF($A$5:A247,A247))</f>
        <v/>
      </c>
      <c r="X247">
        <f>","&amp;SUBSTITUTE(SUBSTITUTE(SUBSTITUTE(UPPER(C247)," ",""),";",","),"/",",")&amp;","</f>
        <v/>
      </c>
      <c r="Y247">
        <f>IF(AND(A247&lt;&gt;"",B247="Active",'State Search'!$C$5&lt;&gt;"",OR(X247=",ALL,",ISNUMBER(SEARCH(","&amp;'State Search'!$C$5&amp;",",X247)))),W247,"")</f>
        <v/>
      </c>
    </row>
    <row r="248">
      <c r="A248" s="64" t="n"/>
      <c r="B248" s="65" t="n"/>
      <c r="C248" s="64" t="n"/>
      <c r="D248" s="66" t="n"/>
      <c r="E248" s="66" t="n"/>
      <c r="F248" s="67" t="n"/>
      <c r="G248" s="67" t="n"/>
      <c r="H248" s="67" t="n"/>
      <c r="I248" s="67" t="n"/>
      <c r="J248" s="67" t="n"/>
      <c r="K248" s="67" t="n"/>
      <c r="L248" s="67" t="n"/>
      <c r="M248" s="67" t="n"/>
      <c r="N248" s="65" t="n"/>
      <c r="O248" s="84">
        <f>IF(A248="","",IF(E248="","No date",IF(TODAY()&gt;=EDATE(E248,Review_Months),"Review Due","Current")))</f>
        <v/>
      </c>
      <c r="P248" s="84">
        <f>IF(A248="","",IF(COUNTIFS('AFA Rates'!$A$5:$A$1004,A248,'AFA Rates'!$O$5:$O$1004,"&lt;&gt;Expired")&gt;0,"Yes",IF(COUNTIF('AFA Rates'!$A$5:$A$1004,A248)&gt;0,"Expired only","No")))</f>
        <v/>
      </c>
      <c r="Q248" s="84">
        <f>IF(A248="","",COUNTIFS('AFA Rates'!$A$5:$A$1004,A248,'AFA Rates'!$O$5:$O$1004,"&lt;&gt;Expired"))</f>
        <v/>
      </c>
      <c r="R248" s="66" t="n"/>
      <c r="S248" s="64" t="n"/>
      <c r="T248" s="64" t="n"/>
      <c r="U248">
        <f>IF(AND(A248&lt;&gt;"",B248="Paused"),COUNTIFS($A$5:A248,"&lt;&gt;",$B$5:B248,"Paused"),"")</f>
        <v/>
      </c>
      <c r="V248">
        <f>IF(P248="Yes",COUNTIF($P$5:P248,"Yes"),"")</f>
        <v/>
      </c>
      <c r="W248">
        <f>IF(A248="","",COUNTIF($A$5:$A$1004,"&lt;"&amp;A248)+COUNTIF($A$5:A248,A248))</f>
        <v/>
      </c>
      <c r="X248">
        <f>","&amp;SUBSTITUTE(SUBSTITUTE(SUBSTITUTE(UPPER(C248)," ",""),";",","),"/",",")&amp;","</f>
        <v/>
      </c>
      <c r="Y248">
        <f>IF(AND(A248&lt;&gt;"",B248="Active",'State Search'!$C$5&lt;&gt;"",OR(X248=",ALL,",ISNUMBER(SEARCH(","&amp;'State Search'!$C$5&amp;",",X248)))),W248,"")</f>
        <v/>
      </c>
    </row>
    <row r="249">
      <c r="A249" s="64" t="n"/>
      <c r="B249" s="65" t="n"/>
      <c r="C249" s="64" t="n"/>
      <c r="D249" s="66" t="n"/>
      <c r="E249" s="66" t="n"/>
      <c r="F249" s="67" t="n"/>
      <c r="G249" s="67" t="n"/>
      <c r="H249" s="67" t="n"/>
      <c r="I249" s="67" t="n"/>
      <c r="J249" s="67" t="n"/>
      <c r="K249" s="67" t="n"/>
      <c r="L249" s="67" t="n"/>
      <c r="M249" s="67" t="n"/>
      <c r="N249" s="65" t="n"/>
      <c r="O249" s="84">
        <f>IF(A249="","",IF(E249="","No date",IF(TODAY()&gt;=EDATE(E249,Review_Months),"Review Due","Current")))</f>
        <v/>
      </c>
      <c r="P249" s="84">
        <f>IF(A249="","",IF(COUNTIFS('AFA Rates'!$A$5:$A$1004,A249,'AFA Rates'!$O$5:$O$1004,"&lt;&gt;Expired")&gt;0,"Yes",IF(COUNTIF('AFA Rates'!$A$5:$A$1004,A249)&gt;0,"Expired only","No")))</f>
        <v/>
      </c>
      <c r="Q249" s="84">
        <f>IF(A249="","",COUNTIFS('AFA Rates'!$A$5:$A$1004,A249,'AFA Rates'!$O$5:$O$1004,"&lt;&gt;Expired"))</f>
        <v/>
      </c>
      <c r="R249" s="66" t="n"/>
      <c r="S249" s="64" t="n"/>
      <c r="T249" s="64" t="n"/>
      <c r="U249">
        <f>IF(AND(A249&lt;&gt;"",B249="Paused"),COUNTIFS($A$5:A249,"&lt;&gt;",$B$5:B249,"Paused"),"")</f>
        <v/>
      </c>
      <c r="V249">
        <f>IF(P249="Yes",COUNTIF($P$5:P249,"Yes"),"")</f>
        <v/>
      </c>
      <c r="W249">
        <f>IF(A249="","",COUNTIF($A$5:$A$1004,"&lt;"&amp;A249)+COUNTIF($A$5:A249,A249))</f>
        <v/>
      </c>
      <c r="X249">
        <f>","&amp;SUBSTITUTE(SUBSTITUTE(SUBSTITUTE(UPPER(C249)," ",""),";",","),"/",",")&amp;","</f>
        <v/>
      </c>
      <c r="Y249">
        <f>IF(AND(A249&lt;&gt;"",B249="Active",'State Search'!$C$5&lt;&gt;"",OR(X249=",ALL,",ISNUMBER(SEARCH(","&amp;'State Search'!$C$5&amp;",",X249)))),W249,"")</f>
        <v/>
      </c>
    </row>
    <row r="250">
      <c r="A250" s="64" t="n"/>
      <c r="B250" s="65" t="n"/>
      <c r="C250" s="64" t="n"/>
      <c r="D250" s="66" t="n"/>
      <c r="E250" s="66" t="n"/>
      <c r="F250" s="67" t="n"/>
      <c r="G250" s="67" t="n"/>
      <c r="H250" s="67" t="n"/>
      <c r="I250" s="67" t="n"/>
      <c r="J250" s="67" t="n"/>
      <c r="K250" s="67" t="n"/>
      <c r="L250" s="67" t="n"/>
      <c r="M250" s="67" t="n"/>
      <c r="N250" s="65" t="n"/>
      <c r="O250" s="84">
        <f>IF(A250="","",IF(E250="","No date",IF(TODAY()&gt;=EDATE(E250,Review_Months),"Review Due","Current")))</f>
        <v/>
      </c>
      <c r="P250" s="84">
        <f>IF(A250="","",IF(COUNTIFS('AFA Rates'!$A$5:$A$1004,A250,'AFA Rates'!$O$5:$O$1004,"&lt;&gt;Expired")&gt;0,"Yes",IF(COUNTIF('AFA Rates'!$A$5:$A$1004,A250)&gt;0,"Expired only","No")))</f>
        <v/>
      </c>
      <c r="Q250" s="84">
        <f>IF(A250="","",COUNTIFS('AFA Rates'!$A$5:$A$1004,A250,'AFA Rates'!$O$5:$O$1004,"&lt;&gt;Expired"))</f>
        <v/>
      </c>
      <c r="R250" s="66" t="n"/>
      <c r="S250" s="64" t="n"/>
      <c r="T250" s="64" t="n"/>
      <c r="U250">
        <f>IF(AND(A250&lt;&gt;"",B250="Paused"),COUNTIFS($A$5:A250,"&lt;&gt;",$B$5:B250,"Paused"),"")</f>
        <v/>
      </c>
      <c r="V250">
        <f>IF(P250="Yes",COUNTIF($P$5:P250,"Yes"),"")</f>
        <v/>
      </c>
      <c r="W250">
        <f>IF(A250="","",COUNTIF($A$5:$A$1004,"&lt;"&amp;A250)+COUNTIF($A$5:A250,A250))</f>
        <v/>
      </c>
      <c r="X250">
        <f>","&amp;SUBSTITUTE(SUBSTITUTE(SUBSTITUTE(UPPER(C250)," ",""),";",","),"/",",")&amp;","</f>
        <v/>
      </c>
      <c r="Y250">
        <f>IF(AND(A250&lt;&gt;"",B250="Active",'State Search'!$C$5&lt;&gt;"",OR(X250=",ALL,",ISNUMBER(SEARCH(","&amp;'State Search'!$C$5&amp;",",X250)))),W250,"")</f>
        <v/>
      </c>
    </row>
    <row r="251">
      <c r="A251" s="64" t="n"/>
      <c r="B251" s="65" t="n"/>
      <c r="C251" s="64" t="n"/>
      <c r="D251" s="66" t="n"/>
      <c r="E251" s="66" t="n"/>
      <c r="F251" s="67" t="n"/>
      <c r="G251" s="67" t="n"/>
      <c r="H251" s="67" t="n"/>
      <c r="I251" s="67" t="n"/>
      <c r="J251" s="67" t="n"/>
      <c r="K251" s="67" t="n"/>
      <c r="L251" s="67" t="n"/>
      <c r="M251" s="67" t="n"/>
      <c r="N251" s="65" t="n"/>
      <c r="O251" s="84">
        <f>IF(A251="","",IF(E251="","No date",IF(TODAY()&gt;=EDATE(E251,Review_Months),"Review Due","Current")))</f>
        <v/>
      </c>
      <c r="P251" s="84">
        <f>IF(A251="","",IF(COUNTIFS('AFA Rates'!$A$5:$A$1004,A251,'AFA Rates'!$O$5:$O$1004,"&lt;&gt;Expired")&gt;0,"Yes",IF(COUNTIF('AFA Rates'!$A$5:$A$1004,A251)&gt;0,"Expired only","No")))</f>
        <v/>
      </c>
      <c r="Q251" s="84">
        <f>IF(A251="","",COUNTIFS('AFA Rates'!$A$5:$A$1004,A251,'AFA Rates'!$O$5:$O$1004,"&lt;&gt;Expired"))</f>
        <v/>
      </c>
      <c r="R251" s="66" t="n"/>
      <c r="S251" s="64" t="n"/>
      <c r="T251" s="64" t="n"/>
      <c r="U251">
        <f>IF(AND(A251&lt;&gt;"",B251="Paused"),COUNTIFS($A$5:A251,"&lt;&gt;",$B$5:B251,"Paused"),"")</f>
        <v/>
      </c>
      <c r="V251">
        <f>IF(P251="Yes",COUNTIF($P$5:P251,"Yes"),"")</f>
        <v/>
      </c>
      <c r="W251">
        <f>IF(A251="","",COUNTIF($A$5:$A$1004,"&lt;"&amp;A251)+COUNTIF($A$5:A251,A251))</f>
        <v/>
      </c>
      <c r="X251">
        <f>","&amp;SUBSTITUTE(SUBSTITUTE(SUBSTITUTE(UPPER(C251)," ",""),";",","),"/",",")&amp;","</f>
        <v/>
      </c>
      <c r="Y251">
        <f>IF(AND(A251&lt;&gt;"",B251="Active",'State Search'!$C$5&lt;&gt;"",OR(X251=",ALL,",ISNUMBER(SEARCH(","&amp;'State Search'!$C$5&amp;",",X251)))),W251,"")</f>
        <v/>
      </c>
    </row>
    <row r="252">
      <c r="A252" s="64" t="n"/>
      <c r="B252" s="65" t="n"/>
      <c r="C252" s="64" t="n"/>
      <c r="D252" s="66" t="n"/>
      <c r="E252" s="66" t="n"/>
      <c r="F252" s="67" t="n"/>
      <c r="G252" s="67" t="n"/>
      <c r="H252" s="67" t="n"/>
      <c r="I252" s="67" t="n"/>
      <c r="J252" s="67" t="n"/>
      <c r="K252" s="67" t="n"/>
      <c r="L252" s="67" t="n"/>
      <c r="M252" s="67" t="n"/>
      <c r="N252" s="65" t="n"/>
      <c r="O252" s="84">
        <f>IF(A252="","",IF(E252="","No date",IF(TODAY()&gt;=EDATE(E252,Review_Months),"Review Due","Current")))</f>
        <v/>
      </c>
      <c r="P252" s="84">
        <f>IF(A252="","",IF(COUNTIFS('AFA Rates'!$A$5:$A$1004,A252,'AFA Rates'!$O$5:$O$1004,"&lt;&gt;Expired")&gt;0,"Yes",IF(COUNTIF('AFA Rates'!$A$5:$A$1004,A252)&gt;0,"Expired only","No")))</f>
        <v/>
      </c>
      <c r="Q252" s="84">
        <f>IF(A252="","",COUNTIFS('AFA Rates'!$A$5:$A$1004,A252,'AFA Rates'!$O$5:$O$1004,"&lt;&gt;Expired"))</f>
        <v/>
      </c>
      <c r="R252" s="66" t="n"/>
      <c r="S252" s="64" t="n"/>
      <c r="T252" s="64" t="n"/>
      <c r="U252">
        <f>IF(AND(A252&lt;&gt;"",B252="Paused"),COUNTIFS($A$5:A252,"&lt;&gt;",$B$5:B252,"Paused"),"")</f>
        <v/>
      </c>
      <c r="V252">
        <f>IF(P252="Yes",COUNTIF($P$5:P252,"Yes"),"")</f>
        <v/>
      </c>
      <c r="W252">
        <f>IF(A252="","",COUNTIF($A$5:$A$1004,"&lt;"&amp;A252)+COUNTIF($A$5:A252,A252))</f>
        <v/>
      </c>
      <c r="X252">
        <f>","&amp;SUBSTITUTE(SUBSTITUTE(SUBSTITUTE(UPPER(C252)," ",""),";",","),"/",",")&amp;","</f>
        <v/>
      </c>
      <c r="Y252">
        <f>IF(AND(A252&lt;&gt;"",B252="Active",'State Search'!$C$5&lt;&gt;"",OR(X252=",ALL,",ISNUMBER(SEARCH(","&amp;'State Search'!$C$5&amp;",",X252)))),W252,"")</f>
        <v/>
      </c>
    </row>
    <row r="253">
      <c r="A253" s="64" t="n"/>
      <c r="B253" s="65" t="n"/>
      <c r="C253" s="64" t="n"/>
      <c r="D253" s="66" t="n"/>
      <c r="E253" s="66" t="n"/>
      <c r="F253" s="67" t="n"/>
      <c r="G253" s="67" t="n"/>
      <c r="H253" s="67" t="n"/>
      <c r="I253" s="67" t="n"/>
      <c r="J253" s="67" t="n"/>
      <c r="K253" s="67" t="n"/>
      <c r="L253" s="67" t="n"/>
      <c r="M253" s="67" t="n"/>
      <c r="N253" s="65" t="n"/>
      <c r="O253" s="84">
        <f>IF(A253="","",IF(E253="","No date",IF(TODAY()&gt;=EDATE(E253,Review_Months),"Review Due","Current")))</f>
        <v/>
      </c>
      <c r="P253" s="84">
        <f>IF(A253="","",IF(COUNTIFS('AFA Rates'!$A$5:$A$1004,A253,'AFA Rates'!$O$5:$O$1004,"&lt;&gt;Expired")&gt;0,"Yes",IF(COUNTIF('AFA Rates'!$A$5:$A$1004,A253)&gt;0,"Expired only","No")))</f>
        <v/>
      </c>
      <c r="Q253" s="84">
        <f>IF(A253="","",COUNTIFS('AFA Rates'!$A$5:$A$1004,A253,'AFA Rates'!$O$5:$O$1004,"&lt;&gt;Expired"))</f>
        <v/>
      </c>
      <c r="R253" s="66" t="n"/>
      <c r="S253" s="64" t="n"/>
      <c r="T253" s="64" t="n"/>
      <c r="U253">
        <f>IF(AND(A253&lt;&gt;"",B253="Paused"),COUNTIFS($A$5:A253,"&lt;&gt;",$B$5:B253,"Paused"),"")</f>
        <v/>
      </c>
      <c r="V253">
        <f>IF(P253="Yes",COUNTIF($P$5:P253,"Yes"),"")</f>
        <v/>
      </c>
      <c r="W253">
        <f>IF(A253="","",COUNTIF($A$5:$A$1004,"&lt;"&amp;A253)+COUNTIF($A$5:A253,A253))</f>
        <v/>
      </c>
      <c r="X253">
        <f>","&amp;SUBSTITUTE(SUBSTITUTE(SUBSTITUTE(UPPER(C253)," ",""),";",","),"/",",")&amp;","</f>
        <v/>
      </c>
      <c r="Y253">
        <f>IF(AND(A253&lt;&gt;"",B253="Active",'State Search'!$C$5&lt;&gt;"",OR(X253=",ALL,",ISNUMBER(SEARCH(","&amp;'State Search'!$C$5&amp;",",X253)))),W253,"")</f>
        <v/>
      </c>
    </row>
    <row r="254">
      <c r="A254" s="64" t="n"/>
      <c r="B254" s="65" t="n"/>
      <c r="C254" s="64" t="n"/>
      <c r="D254" s="66" t="n"/>
      <c r="E254" s="66" t="n"/>
      <c r="F254" s="67" t="n"/>
      <c r="G254" s="67" t="n"/>
      <c r="H254" s="67" t="n"/>
      <c r="I254" s="67" t="n"/>
      <c r="J254" s="67" t="n"/>
      <c r="K254" s="67" t="n"/>
      <c r="L254" s="67" t="n"/>
      <c r="M254" s="67" t="n"/>
      <c r="N254" s="65" t="n"/>
      <c r="O254" s="84">
        <f>IF(A254="","",IF(E254="","No date",IF(TODAY()&gt;=EDATE(E254,Review_Months),"Review Due","Current")))</f>
        <v/>
      </c>
      <c r="P254" s="84">
        <f>IF(A254="","",IF(COUNTIFS('AFA Rates'!$A$5:$A$1004,A254,'AFA Rates'!$O$5:$O$1004,"&lt;&gt;Expired")&gt;0,"Yes",IF(COUNTIF('AFA Rates'!$A$5:$A$1004,A254)&gt;0,"Expired only","No")))</f>
        <v/>
      </c>
      <c r="Q254" s="84">
        <f>IF(A254="","",COUNTIFS('AFA Rates'!$A$5:$A$1004,A254,'AFA Rates'!$O$5:$O$1004,"&lt;&gt;Expired"))</f>
        <v/>
      </c>
      <c r="R254" s="66" t="n"/>
      <c r="S254" s="64" t="n"/>
      <c r="T254" s="64" t="n"/>
      <c r="U254">
        <f>IF(AND(A254&lt;&gt;"",B254="Paused"),COUNTIFS($A$5:A254,"&lt;&gt;",$B$5:B254,"Paused"),"")</f>
        <v/>
      </c>
      <c r="V254">
        <f>IF(P254="Yes",COUNTIF($P$5:P254,"Yes"),"")</f>
        <v/>
      </c>
      <c r="W254">
        <f>IF(A254="","",COUNTIF($A$5:$A$1004,"&lt;"&amp;A254)+COUNTIF($A$5:A254,A254))</f>
        <v/>
      </c>
      <c r="X254">
        <f>","&amp;SUBSTITUTE(SUBSTITUTE(SUBSTITUTE(UPPER(C254)," ",""),";",","),"/",",")&amp;","</f>
        <v/>
      </c>
      <c r="Y254">
        <f>IF(AND(A254&lt;&gt;"",B254="Active",'State Search'!$C$5&lt;&gt;"",OR(X254=",ALL,",ISNUMBER(SEARCH(","&amp;'State Search'!$C$5&amp;",",X254)))),W254,"")</f>
        <v/>
      </c>
    </row>
    <row r="255">
      <c r="A255" s="64" t="n"/>
      <c r="B255" s="65" t="n"/>
      <c r="C255" s="64" t="n"/>
      <c r="D255" s="66" t="n"/>
      <c r="E255" s="66" t="n"/>
      <c r="F255" s="67" t="n"/>
      <c r="G255" s="67" t="n"/>
      <c r="H255" s="67" t="n"/>
      <c r="I255" s="67" t="n"/>
      <c r="J255" s="67" t="n"/>
      <c r="K255" s="67" t="n"/>
      <c r="L255" s="67" t="n"/>
      <c r="M255" s="67" t="n"/>
      <c r="N255" s="65" t="n"/>
      <c r="O255" s="84">
        <f>IF(A255="","",IF(E255="","No date",IF(TODAY()&gt;=EDATE(E255,Review_Months),"Review Due","Current")))</f>
        <v/>
      </c>
      <c r="P255" s="84">
        <f>IF(A255="","",IF(COUNTIFS('AFA Rates'!$A$5:$A$1004,A255,'AFA Rates'!$O$5:$O$1004,"&lt;&gt;Expired")&gt;0,"Yes",IF(COUNTIF('AFA Rates'!$A$5:$A$1004,A255)&gt;0,"Expired only","No")))</f>
        <v/>
      </c>
      <c r="Q255" s="84">
        <f>IF(A255="","",COUNTIFS('AFA Rates'!$A$5:$A$1004,A255,'AFA Rates'!$O$5:$O$1004,"&lt;&gt;Expired"))</f>
        <v/>
      </c>
      <c r="R255" s="66" t="n"/>
      <c r="S255" s="64" t="n"/>
      <c r="T255" s="64" t="n"/>
      <c r="U255">
        <f>IF(AND(A255&lt;&gt;"",B255="Paused"),COUNTIFS($A$5:A255,"&lt;&gt;",$B$5:B255,"Paused"),"")</f>
        <v/>
      </c>
      <c r="V255">
        <f>IF(P255="Yes",COUNTIF($P$5:P255,"Yes"),"")</f>
        <v/>
      </c>
      <c r="W255">
        <f>IF(A255="","",COUNTIF($A$5:$A$1004,"&lt;"&amp;A255)+COUNTIF($A$5:A255,A255))</f>
        <v/>
      </c>
      <c r="X255">
        <f>","&amp;SUBSTITUTE(SUBSTITUTE(SUBSTITUTE(UPPER(C255)," ",""),";",","),"/",",")&amp;","</f>
        <v/>
      </c>
      <c r="Y255">
        <f>IF(AND(A255&lt;&gt;"",B255="Active",'State Search'!$C$5&lt;&gt;"",OR(X255=",ALL,",ISNUMBER(SEARCH(","&amp;'State Search'!$C$5&amp;",",X255)))),W255,"")</f>
        <v/>
      </c>
    </row>
    <row r="256">
      <c r="A256" s="64" t="n"/>
      <c r="B256" s="65" t="n"/>
      <c r="C256" s="64" t="n"/>
      <c r="D256" s="66" t="n"/>
      <c r="E256" s="66" t="n"/>
      <c r="F256" s="67" t="n"/>
      <c r="G256" s="67" t="n"/>
      <c r="H256" s="67" t="n"/>
      <c r="I256" s="67" t="n"/>
      <c r="J256" s="67" t="n"/>
      <c r="K256" s="67" t="n"/>
      <c r="L256" s="67" t="n"/>
      <c r="M256" s="67" t="n"/>
      <c r="N256" s="65" t="n"/>
      <c r="O256" s="84">
        <f>IF(A256="","",IF(E256="","No date",IF(TODAY()&gt;=EDATE(E256,Review_Months),"Review Due","Current")))</f>
        <v/>
      </c>
      <c r="P256" s="84">
        <f>IF(A256="","",IF(COUNTIFS('AFA Rates'!$A$5:$A$1004,A256,'AFA Rates'!$O$5:$O$1004,"&lt;&gt;Expired")&gt;0,"Yes",IF(COUNTIF('AFA Rates'!$A$5:$A$1004,A256)&gt;0,"Expired only","No")))</f>
        <v/>
      </c>
      <c r="Q256" s="84">
        <f>IF(A256="","",COUNTIFS('AFA Rates'!$A$5:$A$1004,A256,'AFA Rates'!$O$5:$O$1004,"&lt;&gt;Expired"))</f>
        <v/>
      </c>
      <c r="R256" s="66" t="n"/>
      <c r="S256" s="64" t="n"/>
      <c r="T256" s="64" t="n"/>
      <c r="U256">
        <f>IF(AND(A256&lt;&gt;"",B256="Paused"),COUNTIFS($A$5:A256,"&lt;&gt;",$B$5:B256,"Paused"),"")</f>
        <v/>
      </c>
      <c r="V256">
        <f>IF(P256="Yes",COUNTIF($P$5:P256,"Yes"),"")</f>
        <v/>
      </c>
      <c r="W256">
        <f>IF(A256="","",COUNTIF($A$5:$A$1004,"&lt;"&amp;A256)+COUNTIF($A$5:A256,A256))</f>
        <v/>
      </c>
      <c r="X256">
        <f>","&amp;SUBSTITUTE(SUBSTITUTE(SUBSTITUTE(UPPER(C256)," ",""),";",","),"/",",")&amp;","</f>
        <v/>
      </c>
      <c r="Y256">
        <f>IF(AND(A256&lt;&gt;"",B256="Active",'State Search'!$C$5&lt;&gt;"",OR(X256=",ALL,",ISNUMBER(SEARCH(","&amp;'State Search'!$C$5&amp;",",X256)))),W256,"")</f>
        <v/>
      </c>
    </row>
    <row r="257">
      <c r="A257" s="64" t="n"/>
      <c r="B257" s="65" t="n"/>
      <c r="C257" s="64" t="n"/>
      <c r="D257" s="66" t="n"/>
      <c r="E257" s="66" t="n"/>
      <c r="F257" s="67" t="n"/>
      <c r="G257" s="67" t="n"/>
      <c r="H257" s="67" t="n"/>
      <c r="I257" s="67" t="n"/>
      <c r="J257" s="67" t="n"/>
      <c r="K257" s="67" t="n"/>
      <c r="L257" s="67" t="n"/>
      <c r="M257" s="67" t="n"/>
      <c r="N257" s="65" t="n"/>
      <c r="O257" s="84">
        <f>IF(A257="","",IF(E257="","No date",IF(TODAY()&gt;=EDATE(E257,Review_Months),"Review Due","Current")))</f>
        <v/>
      </c>
      <c r="P257" s="84">
        <f>IF(A257="","",IF(COUNTIFS('AFA Rates'!$A$5:$A$1004,A257,'AFA Rates'!$O$5:$O$1004,"&lt;&gt;Expired")&gt;0,"Yes",IF(COUNTIF('AFA Rates'!$A$5:$A$1004,A257)&gt;0,"Expired only","No")))</f>
        <v/>
      </c>
      <c r="Q257" s="84">
        <f>IF(A257="","",COUNTIFS('AFA Rates'!$A$5:$A$1004,A257,'AFA Rates'!$O$5:$O$1004,"&lt;&gt;Expired"))</f>
        <v/>
      </c>
      <c r="R257" s="66" t="n"/>
      <c r="S257" s="64" t="n"/>
      <c r="T257" s="64" t="n"/>
      <c r="U257">
        <f>IF(AND(A257&lt;&gt;"",B257="Paused"),COUNTIFS($A$5:A257,"&lt;&gt;",$B$5:B257,"Paused"),"")</f>
        <v/>
      </c>
      <c r="V257">
        <f>IF(P257="Yes",COUNTIF($P$5:P257,"Yes"),"")</f>
        <v/>
      </c>
      <c r="W257">
        <f>IF(A257="","",COUNTIF($A$5:$A$1004,"&lt;"&amp;A257)+COUNTIF($A$5:A257,A257))</f>
        <v/>
      </c>
      <c r="X257">
        <f>","&amp;SUBSTITUTE(SUBSTITUTE(SUBSTITUTE(UPPER(C257)," ",""),";",","),"/",",")&amp;","</f>
        <v/>
      </c>
      <c r="Y257">
        <f>IF(AND(A257&lt;&gt;"",B257="Active",'State Search'!$C$5&lt;&gt;"",OR(X257=",ALL,",ISNUMBER(SEARCH(","&amp;'State Search'!$C$5&amp;",",X257)))),W257,"")</f>
        <v/>
      </c>
    </row>
    <row r="258">
      <c r="A258" s="64" t="n"/>
      <c r="B258" s="65" t="n"/>
      <c r="C258" s="64" t="n"/>
      <c r="D258" s="66" t="n"/>
      <c r="E258" s="66" t="n"/>
      <c r="F258" s="67" t="n"/>
      <c r="G258" s="67" t="n"/>
      <c r="H258" s="67" t="n"/>
      <c r="I258" s="67" t="n"/>
      <c r="J258" s="67" t="n"/>
      <c r="K258" s="67" t="n"/>
      <c r="L258" s="67" t="n"/>
      <c r="M258" s="67" t="n"/>
      <c r="N258" s="65" t="n"/>
      <c r="O258" s="84">
        <f>IF(A258="","",IF(E258="","No date",IF(TODAY()&gt;=EDATE(E258,Review_Months),"Review Due","Current")))</f>
        <v/>
      </c>
      <c r="P258" s="84">
        <f>IF(A258="","",IF(COUNTIFS('AFA Rates'!$A$5:$A$1004,A258,'AFA Rates'!$O$5:$O$1004,"&lt;&gt;Expired")&gt;0,"Yes",IF(COUNTIF('AFA Rates'!$A$5:$A$1004,A258)&gt;0,"Expired only","No")))</f>
        <v/>
      </c>
      <c r="Q258" s="84">
        <f>IF(A258="","",COUNTIFS('AFA Rates'!$A$5:$A$1004,A258,'AFA Rates'!$O$5:$O$1004,"&lt;&gt;Expired"))</f>
        <v/>
      </c>
      <c r="R258" s="66" t="n"/>
      <c r="S258" s="64" t="n"/>
      <c r="T258" s="64" t="n"/>
      <c r="U258">
        <f>IF(AND(A258&lt;&gt;"",B258="Paused"),COUNTIFS($A$5:A258,"&lt;&gt;",$B$5:B258,"Paused"),"")</f>
        <v/>
      </c>
      <c r="V258">
        <f>IF(P258="Yes",COUNTIF($P$5:P258,"Yes"),"")</f>
        <v/>
      </c>
      <c r="W258">
        <f>IF(A258="","",COUNTIF($A$5:$A$1004,"&lt;"&amp;A258)+COUNTIF($A$5:A258,A258))</f>
        <v/>
      </c>
      <c r="X258">
        <f>","&amp;SUBSTITUTE(SUBSTITUTE(SUBSTITUTE(UPPER(C258)," ",""),";",","),"/",",")&amp;","</f>
        <v/>
      </c>
      <c r="Y258">
        <f>IF(AND(A258&lt;&gt;"",B258="Active",'State Search'!$C$5&lt;&gt;"",OR(X258=",ALL,",ISNUMBER(SEARCH(","&amp;'State Search'!$C$5&amp;",",X258)))),W258,"")</f>
        <v/>
      </c>
    </row>
    <row r="259">
      <c r="A259" s="64" t="n"/>
      <c r="B259" s="65" t="n"/>
      <c r="C259" s="64" t="n"/>
      <c r="D259" s="66" t="n"/>
      <c r="E259" s="66" t="n"/>
      <c r="F259" s="67" t="n"/>
      <c r="G259" s="67" t="n"/>
      <c r="H259" s="67" t="n"/>
      <c r="I259" s="67" t="n"/>
      <c r="J259" s="67" t="n"/>
      <c r="K259" s="67" t="n"/>
      <c r="L259" s="67" t="n"/>
      <c r="M259" s="67" t="n"/>
      <c r="N259" s="65" t="n"/>
      <c r="O259" s="84">
        <f>IF(A259="","",IF(E259="","No date",IF(TODAY()&gt;=EDATE(E259,Review_Months),"Review Due","Current")))</f>
        <v/>
      </c>
      <c r="P259" s="84">
        <f>IF(A259="","",IF(COUNTIFS('AFA Rates'!$A$5:$A$1004,A259,'AFA Rates'!$O$5:$O$1004,"&lt;&gt;Expired")&gt;0,"Yes",IF(COUNTIF('AFA Rates'!$A$5:$A$1004,A259)&gt;0,"Expired only","No")))</f>
        <v/>
      </c>
      <c r="Q259" s="84">
        <f>IF(A259="","",COUNTIFS('AFA Rates'!$A$5:$A$1004,A259,'AFA Rates'!$O$5:$O$1004,"&lt;&gt;Expired"))</f>
        <v/>
      </c>
      <c r="R259" s="66" t="n"/>
      <c r="S259" s="64" t="n"/>
      <c r="T259" s="64" t="n"/>
      <c r="U259">
        <f>IF(AND(A259&lt;&gt;"",B259="Paused"),COUNTIFS($A$5:A259,"&lt;&gt;",$B$5:B259,"Paused"),"")</f>
        <v/>
      </c>
      <c r="V259">
        <f>IF(P259="Yes",COUNTIF($P$5:P259,"Yes"),"")</f>
        <v/>
      </c>
      <c r="W259">
        <f>IF(A259="","",COUNTIF($A$5:$A$1004,"&lt;"&amp;A259)+COUNTIF($A$5:A259,A259))</f>
        <v/>
      </c>
      <c r="X259">
        <f>","&amp;SUBSTITUTE(SUBSTITUTE(SUBSTITUTE(UPPER(C259)," ",""),";",","),"/",",")&amp;","</f>
        <v/>
      </c>
      <c r="Y259">
        <f>IF(AND(A259&lt;&gt;"",B259="Active",'State Search'!$C$5&lt;&gt;"",OR(X259=",ALL,",ISNUMBER(SEARCH(","&amp;'State Search'!$C$5&amp;",",X259)))),W259,"")</f>
        <v/>
      </c>
    </row>
    <row r="260">
      <c r="A260" s="64" t="n"/>
      <c r="B260" s="65" t="n"/>
      <c r="C260" s="64" t="n"/>
      <c r="D260" s="66" t="n"/>
      <c r="E260" s="66" t="n"/>
      <c r="F260" s="67" t="n"/>
      <c r="G260" s="67" t="n"/>
      <c r="H260" s="67" t="n"/>
      <c r="I260" s="67" t="n"/>
      <c r="J260" s="67" t="n"/>
      <c r="K260" s="67" t="n"/>
      <c r="L260" s="67" t="n"/>
      <c r="M260" s="67" t="n"/>
      <c r="N260" s="65" t="n"/>
      <c r="O260" s="84">
        <f>IF(A260="","",IF(E260="","No date",IF(TODAY()&gt;=EDATE(E260,Review_Months),"Review Due","Current")))</f>
        <v/>
      </c>
      <c r="P260" s="84">
        <f>IF(A260="","",IF(COUNTIFS('AFA Rates'!$A$5:$A$1004,A260,'AFA Rates'!$O$5:$O$1004,"&lt;&gt;Expired")&gt;0,"Yes",IF(COUNTIF('AFA Rates'!$A$5:$A$1004,A260)&gt;0,"Expired only","No")))</f>
        <v/>
      </c>
      <c r="Q260" s="84">
        <f>IF(A260="","",COUNTIFS('AFA Rates'!$A$5:$A$1004,A260,'AFA Rates'!$O$5:$O$1004,"&lt;&gt;Expired"))</f>
        <v/>
      </c>
      <c r="R260" s="66" t="n"/>
      <c r="S260" s="64" t="n"/>
      <c r="T260" s="64" t="n"/>
      <c r="U260">
        <f>IF(AND(A260&lt;&gt;"",B260="Paused"),COUNTIFS($A$5:A260,"&lt;&gt;",$B$5:B260,"Paused"),"")</f>
        <v/>
      </c>
      <c r="V260">
        <f>IF(P260="Yes",COUNTIF($P$5:P260,"Yes"),"")</f>
        <v/>
      </c>
      <c r="W260">
        <f>IF(A260="","",COUNTIF($A$5:$A$1004,"&lt;"&amp;A260)+COUNTIF($A$5:A260,A260))</f>
        <v/>
      </c>
      <c r="X260">
        <f>","&amp;SUBSTITUTE(SUBSTITUTE(SUBSTITUTE(UPPER(C260)," ",""),";",","),"/",",")&amp;","</f>
        <v/>
      </c>
      <c r="Y260">
        <f>IF(AND(A260&lt;&gt;"",B260="Active",'State Search'!$C$5&lt;&gt;"",OR(X260=",ALL,",ISNUMBER(SEARCH(","&amp;'State Search'!$C$5&amp;",",X260)))),W260,"")</f>
        <v/>
      </c>
    </row>
    <row r="261">
      <c r="A261" s="64" t="n"/>
      <c r="B261" s="65" t="n"/>
      <c r="C261" s="64" t="n"/>
      <c r="D261" s="66" t="n"/>
      <c r="E261" s="66" t="n"/>
      <c r="F261" s="67" t="n"/>
      <c r="G261" s="67" t="n"/>
      <c r="H261" s="67" t="n"/>
      <c r="I261" s="67" t="n"/>
      <c r="J261" s="67" t="n"/>
      <c r="K261" s="67" t="n"/>
      <c r="L261" s="67" t="n"/>
      <c r="M261" s="67" t="n"/>
      <c r="N261" s="65" t="n"/>
      <c r="O261" s="84">
        <f>IF(A261="","",IF(E261="","No date",IF(TODAY()&gt;=EDATE(E261,Review_Months),"Review Due","Current")))</f>
        <v/>
      </c>
      <c r="P261" s="84">
        <f>IF(A261="","",IF(COUNTIFS('AFA Rates'!$A$5:$A$1004,A261,'AFA Rates'!$O$5:$O$1004,"&lt;&gt;Expired")&gt;0,"Yes",IF(COUNTIF('AFA Rates'!$A$5:$A$1004,A261)&gt;0,"Expired only","No")))</f>
        <v/>
      </c>
      <c r="Q261" s="84">
        <f>IF(A261="","",COUNTIFS('AFA Rates'!$A$5:$A$1004,A261,'AFA Rates'!$O$5:$O$1004,"&lt;&gt;Expired"))</f>
        <v/>
      </c>
      <c r="R261" s="66" t="n"/>
      <c r="S261" s="64" t="n"/>
      <c r="T261" s="64" t="n"/>
      <c r="U261">
        <f>IF(AND(A261&lt;&gt;"",B261="Paused"),COUNTIFS($A$5:A261,"&lt;&gt;",$B$5:B261,"Paused"),"")</f>
        <v/>
      </c>
      <c r="V261">
        <f>IF(P261="Yes",COUNTIF($P$5:P261,"Yes"),"")</f>
        <v/>
      </c>
      <c r="W261">
        <f>IF(A261="","",COUNTIF($A$5:$A$1004,"&lt;"&amp;A261)+COUNTIF($A$5:A261,A261))</f>
        <v/>
      </c>
      <c r="X261">
        <f>","&amp;SUBSTITUTE(SUBSTITUTE(SUBSTITUTE(UPPER(C261)," ",""),";",","),"/",",")&amp;","</f>
        <v/>
      </c>
      <c r="Y261">
        <f>IF(AND(A261&lt;&gt;"",B261="Active",'State Search'!$C$5&lt;&gt;"",OR(X261=",ALL,",ISNUMBER(SEARCH(","&amp;'State Search'!$C$5&amp;",",X261)))),W261,"")</f>
        <v/>
      </c>
    </row>
    <row r="262">
      <c r="A262" s="64" t="n"/>
      <c r="B262" s="65" t="n"/>
      <c r="C262" s="64" t="n"/>
      <c r="D262" s="66" t="n"/>
      <c r="E262" s="66" t="n"/>
      <c r="F262" s="67" t="n"/>
      <c r="G262" s="67" t="n"/>
      <c r="H262" s="67" t="n"/>
      <c r="I262" s="67" t="n"/>
      <c r="J262" s="67" t="n"/>
      <c r="K262" s="67" t="n"/>
      <c r="L262" s="67" t="n"/>
      <c r="M262" s="67" t="n"/>
      <c r="N262" s="65" t="n"/>
      <c r="O262" s="84">
        <f>IF(A262="","",IF(E262="","No date",IF(TODAY()&gt;=EDATE(E262,Review_Months),"Review Due","Current")))</f>
        <v/>
      </c>
      <c r="P262" s="84">
        <f>IF(A262="","",IF(COUNTIFS('AFA Rates'!$A$5:$A$1004,A262,'AFA Rates'!$O$5:$O$1004,"&lt;&gt;Expired")&gt;0,"Yes",IF(COUNTIF('AFA Rates'!$A$5:$A$1004,A262)&gt;0,"Expired only","No")))</f>
        <v/>
      </c>
      <c r="Q262" s="84">
        <f>IF(A262="","",COUNTIFS('AFA Rates'!$A$5:$A$1004,A262,'AFA Rates'!$O$5:$O$1004,"&lt;&gt;Expired"))</f>
        <v/>
      </c>
      <c r="R262" s="66" t="n"/>
      <c r="S262" s="64" t="n"/>
      <c r="T262" s="64" t="n"/>
      <c r="U262">
        <f>IF(AND(A262&lt;&gt;"",B262="Paused"),COUNTIFS($A$5:A262,"&lt;&gt;",$B$5:B262,"Paused"),"")</f>
        <v/>
      </c>
      <c r="V262">
        <f>IF(P262="Yes",COUNTIF($P$5:P262,"Yes"),"")</f>
        <v/>
      </c>
      <c r="W262">
        <f>IF(A262="","",COUNTIF($A$5:$A$1004,"&lt;"&amp;A262)+COUNTIF($A$5:A262,A262))</f>
        <v/>
      </c>
      <c r="X262">
        <f>","&amp;SUBSTITUTE(SUBSTITUTE(SUBSTITUTE(UPPER(C262)," ",""),";",","),"/",",")&amp;","</f>
        <v/>
      </c>
      <c r="Y262">
        <f>IF(AND(A262&lt;&gt;"",B262="Active",'State Search'!$C$5&lt;&gt;"",OR(X262=",ALL,",ISNUMBER(SEARCH(","&amp;'State Search'!$C$5&amp;",",X262)))),W262,"")</f>
        <v/>
      </c>
    </row>
    <row r="263">
      <c r="A263" s="64" t="n"/>
      <c r="B263" s="65" t="n"/>
      <c r="C263" s="64" t="n"/>
      <c r="D263" s="66" t="n"/>
      <c r="E263" s="66" t="n"/>
      <c r="F263" s="67" t="n"/>
      <c r="G263" s="67" t="n"/>
      <c r="H263" s="67" t="n"/>
      <c r="I263" s="67" t="n"/>
      <c r="J263" s="67" t="n"/>
      <c r="K263" s="67" t="n"/>
      <c r="L263" s="67" t="n"/>
      <c r="M263" s="67" t="n"/>
      <c r="N263" s="65" t="n"/>
      <c r="O263" s="84">
        <f>IF(A263="","",IF(E263="","No date",IF(TODAY()&gt;=EDATE(E263,Review_Months),"Review Due","Current")))</f>
        <v/>
      </c>
      <c r="P263" s="84">
        <f>IF(A263="","",IF(COUNTIFS('AFA Rates'!$A$5:$A$1004,A263,'AFA Rates'!$O$5:$O$1004,"&lt;&gt;Expired")&gt;0,"Yes",IF(COUNTIF('AFA Rates'!$A$5:$A$1004,A263)&gt;0,"Expired only","No")))</f>
        <v/>
      </c>
      <c r="Q263" s="84">
        <f>IF(A263="","",COUNTIFS('AFA Rates'!$A$5:$A$1004,A263,'AFA Rates'!$O$5:$O$1004,"&lt;&gt;Expired"))</f>
        <v/>
      </c>
      <c r="R263" s="66" t="n"/>
      <c r="S263" s="64" t="n"/>
      <c r="T263" s="64" t="n"/>
      <c r="U263">
        <f>IF(AND(A263&lt;&gt;"",B263="Paused"),COUNTIFS($A$5:A263,"&lt;&gt;",$B$5:B263,"Paused"),"")</f>
        <v/>
      </c>
      <c r="V263">
        <f>IF(P263="Yes",COUNTIF($P$5:P263,"Yes"),"")</f>
        <v/>
      </c>
      <c r="W263">
        <f>IF(A263="","",COUNTIF($A$5:$A$1004,"&lt;"&amp;A263)+COUNTIF($A$5:A263,A263))</f>
        <v/>
      </c>
      <c r="X263">
        <f>","&amp;SUBSTITUTE(SUBSTITUTE(SUBSTITUTE(UPPER(C263)," ",""),";",","),"/",",")&amp;","</f>
        <v/>
      </c>
      <c r="Y263">
        <f>IF(AND(A263&lt;&gt;"",B263="Active",'State Search'!$C$5&lt;&gt;"",OR(X263=",ALL,",ISNUMBER(SEARCH(","&amp;'State Search'!$C$5&amp;",",X263)))),W263,"")</f>
        <v/>
      </c>
    </row>
    <row r="264">
      <c r="A264" s="64" t="n"/>
      <c r="B264" s="65" t="n"/>
      <c r="C264" s="64" t="n"/>
      <c r="D264" s="66" t="n"/>
      <c r="E264" s="66" t="n"/>
      <c r="F264" s="67" t="n"/>
      <c r="G264" s="67" t="n"/>
      <c r="H264" s="67" t="n"/>
      <c r="I264" s="67" t="n"/>
      <c r="J264" s="67" t="n"/>
      <c r="K264" s="67" t="n"/>
      <c r="L264" s="67" t="n"/>
      <c r="M264" s="67" t="n"/>
      <c r="N264" s="65" t="n"/>
      <c r="O264" s="84">
        <f>IF(A264="","",IF(E264="","No date",IF(TODAY()&gt;=EDATE(E264,Review_Months),"Review Due","Current")))</f>
        <v/>
      </c>
      <c r="P264" s="84">
        <f>IF(A264="","",IF(COUNTIFS('AFA Rates'!$A$5:$A$1004,A264,'AFA Rates'!$O$5:$O$1004,"&lt;&gt;Expired")&gt;0,"Yes",IF(COUNTIF('AFA Rates'!$A$5:$A$1004,A264)&gt;0,"Expired only","No")))</f>
        <v/>
      </c>
      <c r="Q264" s="84">
        <f>IF(A264="","",COUNTIFS('AFA Rates'!$A$5:$A$1004,A264,'AFA Rates'!$O$5:$O$1004,"&lt;&gt;Expired"))</f>
        <v/>
      </c>
      <c r="R264" s="66" t="n"/>
      <c r="S264" s="64" t="n"/>
      <c r="T264" s="64" t="n"/>
      <c r="U264">
        <f>IF(AND(A264&lt;&gt;"",B264="Paused"),COUNTIFS($A$5:A264,"&lt;&gt;",$B$5:B264,"Paused"),"")</f>
        <v/>
      </c>
      <c r="V264">
        <f>IF(P264="Yes",COUNTIF($P$5:P264,"Yes"),"")</f>
        <v/>
      </c>
      <c r="W264">
        <f>IF(A264="","",COUNTIF($A$5:$A$1004,"&lt;"&amp;A264)+COUNTIF($A$5:A264,A264))</f>
        <v/>
      </c>
      <c r="X264">
        <f>","&amp;SUBSTITUTE(SUBSTITUTE(SUBSTITUTE(UPPER(C264)," ",""),";",","),"/",",")&amp;","</f>
        <v/>
      </c>
      <c r="Y264">
        <f>IF(AND(A264&lt;&gt;"",B264="Active",'State Search'!$C$5&lt;&gt;"",OR(X264=",ALL,",ISNUMBER(SEARCH(","&amp;'State Search'!$C$5&amp;",",X264)))),W264,"")</f>
        <v/>
      </c>
    </row>
    <row r="265">
      <c r="A265" s="64" t="n"/>
      <c r="B265" s="65" t="n"/>
      <c r="C265" s="64" t="n"/>
      <c r="D265" s="66" t="n"/>
      <c r="E265" s="66" t="n"/>
      <c r="F265" s="67" t="n"/>
      <c r="G265" s="67" t="n"/>
      <c r="H265" s="67" t="n"/>
      <c r="I265" s="67" t="n"/>
      <c r="J265" s="67" t="n"/>
      <c r="K265" s="67" t="n"/>
      <c r="L265" s="67" t="n"/>
      <c r="M265" s="67" t="n"/>
      <c r="N265" s="65" t="n"/>
      <c r="O265" s="84">
        <f>IF(A265="","",IF(E265="","No date",IF(TODAY()&gt;=EDATE(E265,Review_Months),"Review Due","Current")))</f>
        <v/>
      </c>
      <c r="P265" s="84">
        <f>IF(A265="","",IF(COUNTIFS('AFA Rates'!$A$5:$A$1004,A265,'AFA Rates'!$O$5:$O$1004,"&lt;&gt;Expired")&gt;0,"Yes",IF(COUNTIF('AFA Rates'!$A$5:$A$1004,A265)&gt;0,"Expired only","No")))</f>
        <v/>
      </c>
      <c r="Q265" s="84">
        <f>IF(A265="","",COUNTIFS('AFA Rates'!$A$5:$A$1004,A265,'AFA Rates'!$O$5:$O$1004,"&lt;&gt;Expired"))</f>
        <v/>
      </c>
      <c r="R265" s="66" t="n"/>
      <c r="S265" s="64" t="n"/>
      <c r="T265" s="64" t="n"/>
      <c r="U265">
        <f>IF(AND(A265&lt;&gt;"",B265="Paused"),COUNTIFS($A$5:A265,"&lt;&gt;",$B$5:B265,"Paused"),"")</f>
        <v/>
      </c>
      <c r="V265">
        <f>IF(P265="Yes",COUNTIF($P$5:P265,"Yes"),"")</f>
        <v/>
      </c>
      <c r="W265">
        <f>IF(A265="","",COUNTIF($A$5:$A$1004,"&lt;"&amp;A265)+COUNTIF($A$5:A265,A265))</f>
        <v/>
      </c>
      <c r="X265">
        <f>","&amp;SUBSTITUTE(SUBSTITUTE(SUBSTITUTE(UPPER(C265)," ",""),";",","),"/",",")&amp;","</f>
        <v/>
      </c>
      <c r="Y265">
        <f>IF(AND(A265&lt;&gt;"",B265="Active",'State Search'!$C$5&lt;&gt;"",OR(X265=",ALL,",ISNUMBER(SEARCH(","&amp;'State Search'!$C$5&amp;",",X265)))),W265,"")</f>
        <v/>
      </c>
    </row>
    <row r="266">
      <c r="A266" s="64" t="n"/>
      <c r="B266" s="65" t="n"/>
      <c r="C266" s="64" t="n"/>
      <c r="D266" s="66" t="n"/>
      <c r="E266" s="66" t="n"/>
      <c r="F266" s="67" t="n"/>
      <c r="G266" s="67" t="n"/>
      <c r="H266" s="67" t="n"/>
      <c r="I266" s="67" t="n"/>
      <c r="J266" s="67" t="n"/>
      <c r="K266" s="67" t="n"/>
      <c r="L266" s="67" t="n"/>
      <c r="M266" s="67" t="n"/>
      <c r="N266" s="65" t="n"/>
      <c r="O266" s="84">
        <f>IF(A266="","",IF(E266="","No date",IF(TODAY()&gt;=EDATE(E266,Review_Months),"Review Due","Current")))</f>
        <v/>
      </c>
      <c r="P266" s="84">
        <f>IF(A266="","",IF(COUNTIFS('AFA Rates'!$A$5:$A$1004,A266,'AFA Rates'!$O$5:$O$1004,"&lt;&gt;Expired")&gt;0,"Yes",IF(COUNTIF('AFA Rates'!$A$5:$A$1004,A266)&gt;0,"Expired only","No")))</f>
        <v/>
      </c>
      <c r="Q266" s="84">
        <f>IF(A266="","",COUNTIFS('AFA Rates'!$A$5:$A$1004,A266,'AFA Rates'!$O$5:$O$1004,"&lt;&gt;Expired"))</f>
        <v/>
      </c>
      <c r="R266" s="66" t="n"/>
      <c r="S266" s="64" t="n"/>
      <c r="T266" s="64" t="n"/>
      <c r="U266">
        <f>IF(AND(A266&lt;&gt;"",B266="Paused"),COUNTIFS($A$5:A266,"&lt;&gt;",$B$5:B266,"Paused"),"")</f>
        <v/>
      </c>
      <c r="V266">
        <f>IF(P266="Yes",COUNTIF($P$5:P266,"Yes"),"")</f>
        <v/>
      </c>
      <c r="W266">
        <f>IF(A266="","",COUNTIF($A$5:$A$1004,"&lt;"&amp;A266)+COUNTIF($A$5:A266,A266))</f>
        <v/>
      </c>
      <c r="X266">
        <f>","&amp;SUBSTITUTE(SUBSTITUTE(SUBSTITUTE(UPPER(C266)," ",""),";",","),"/",",")&amp;","</f>
        <v/>
      </c>
      <c r="Y266">
        <f>IF(AND(A266&lt;&gt;"",B266="Active",'State Search'!$C$5&lt;&gt;"",OR(X266=",ALL,",ISNUMBER(SEARCH(","&amp;'State Search'!$C$5&amp;",",X266)))),W266,"")</f>
        <v/>
      </c>
    </row>
    <row r="267">
      <c r="A267" s="64" t="n"/>
      <c r="B267" s="65" t="n"/>
      <c r="C267" s="64" t="n"/>
      <c r="D267" s="66" t="n"/>
      <c r="E267" s="66" t="n"/>
      <c r="F267" s="67" t="n"/>
      <c r="G267" s="67" t="n"/>
      <c r="H267" s="67" t="n"/>
      <c r="I267" s="67" t="n"/>
      <c r="J267" s="67" t="n"/>
      <c r="K267" s="67" t="n"/>
      <c r="L267" s="67" t="n"/>
      <c r="M267" s="67" t="n"/>
      <c r="N267" s="65" t="n"/>
      <c r="O267" s="84">
        <f>IF(A267="","",IF(E267="","No date",IF(TODAY()&gt;=EDATE(E267,Review_Months),"Review Due","Current")))</f>
        <v/>
      </c>
      <c r="P267" s="84">
        <f>IF(A267="","",IF(COUNTIFS('AFA Rates'!$A$5:$A$1004,A267,'AFA Rates'!$O$5:$O$1004,"&lt;&gt;Expired")&gt;0,"Yes",IF(COUNTIF('AFA Rates'!$A$5:$A$1004,A267)&gt;0,"Expired only","No")))</f>
        <v/>
      </c>
      <c r="Q267" s="84">
        <f>IF(A267="","",COUNTIFS('AFA Rates'!$A$5:$A$1004,A267,'AFA Rates'!$O$5:$O$1004,"&lt;&gt;Expired"))</f>
        <v/>
      </c>
      <c r="R267" s="66" t="n"/>
      <c r="S267" s="64" t="n"/>
      <c r="T267" s="64" t="n"/>
      <c r="U267">
        <f>IF(AND(A267&lt;&gt;"",B267="Paused"),COUNTIFS($A$5:A267,"&lt;&gt;",$B$5:B267,"Paused"),"")</f>
        <v/>
      </c>
      <c r="V267">
        <f>IF(P267="Yes",COUNTIF($P$5:P267,"Yes"),"")</f>
        <v/>
      </c>
      <c r="W267">
        <f>IF(A267="","",COUNTIF($A$5:$A$1004,"&lt;"&amp;A267)+COUNTIF($A$5:A267,A267))</f>
        <v/>
      </c>
      <c r="X267">
        <f>","&amp;SUBSTITUTE(SUBSTITUTE(SUBSTITUTE(UPPER(C267)," ",""),";",","),"/",",")&amp;","</f>
        <v/>
      </c>
      <c r="Y267">
        <f>IF(AND(A267&lt;&gt;"",B267="Active",'State Search'!$C$5&lt;&gt;"",OR(X267=",ALL,",ISNUMBER(SEARCH(","&amp;'State Search'!$C$5&amp;",",X267)))),W267,"")</f>
        <v/>
      </c>
    </row>
    <row r="268">
      <c r="A268" s="64" t="n"/>
      <c r="B268" s="65" t="n"/>
      <c r="C268" s="64" t="n"/>
      <c r="D268" s="66" t="n"/>
      <c r="E268" s="66" t="n"/>
      <c r="F268" s="67" t="n"/>
      <c r="G268" s="67" t="n"/>
      <c r="H268" s="67" t="n"/>
      <c r="I268" s="67" t="n"/>
      <c r="J268" s="67" t="n"/>
      <c r="K268" s="67" t="n"/>
      <c r="L268" s="67" t="n"/>
      <c r="M268" s="67" t="n"/>
      <c r="N268" s="65" t="n"/>
      <c r="O268" s="84">
        <f>IF(A268="","",IF(E268="","No date",IF(TODAY()&gt;=EDATE(E268,Review_Months),"Review Due","Current")))</f>
        <v/>
      </c>
      <c r="P268" s="84">
        <f>IF(A268="","",IF(COUNTIFS('AFA Rates'!$A$5:$A$1004,A268,'AFA Rates'!$O$5:$O$1004,"&lt;&gt;Expired")&gt;0,"Yes",IF(COUNTIF('AFA Rates'!$A$5:$A$1004,A268)&gt;0,"Expired only","No")))</f>
        <v/>
      </c>
      <c r="Q268" s="84">
        <f>IF(A268="","",COUNTIFS('AFA Rates'!$A$5:$A$1004,A268,'AFA Rates'!$O$5:$O$1004,"&lt;&gt;Expired"))</f>
        <v/>
      </c>
      <c r="R268" s="66" t="n"/>
      <c r="S268" s="64" t="n"/>
      <c r="T268" s="64" t="n"/>
      <c r="U268">
        <f>IF(AND(A268&lt;&gt;"",B268="Paused"),COUNTIFS($A$5:A268,"&lt;&gt;",$B$5:B268,"Paused"),"")</f>
        <v/>
      </c>
      <c r="V268">
        <f>IF(P268="Yes",COUNTIF($P$5:P268,"Yes"),"")</f>
        <v/>
      </c>
      <c r="W268">
        <f>IF(A268="","",COUNTIF($A$5:$A$1004,"&lt;"&amp;A268)+COUNTIF($A$5:A268,A268))</f>
        <v/>
      </c>
      <c r="X268">
        <f>","&amp;SUBSTITUTE(SUBSTITUTE(SUBSTITUTE(UPPER(C268)," ",""),";",","),"/",",")&amp;","</f>
        <v/>
      </c>
      <c r="Y268">
        <f>IF(AND(A268&lt;&gt;"",B268="Active",'State Search'!$C$5&lt;&gt;"",OR(X268=",ALL,",ISNUMBER(SEARCH(","&amp;'State Search'!$C$5&amp;",",X268)))),W268,"")</f>
        <v/>
      </c>
    </row>
    <row r="269">
      <c r="A269" s="64" t="n"/>
      <c r="B269" s="65" t="n"/>
      <c r="C269" s="64" t="n"/>
      <c r="D269" s="66" t="n"/>
      <c r="E269" s="66" t="n"/>
      <c r="F269" s="67" t="n"/>
      <c r="G269" s="67" t="n"/>
      <c r="H269" s="67" t="n"/>
      <c r="I269" s="67" t="n"/>
      <c r="J269" s="67" t="n"/>
      <c r="K269" s="67" t="n"/>
      <c r="L269" s="67" t="n"/>
      <c r="M269" s="67" t="n"/>
      <c r="N269" s="65" t="n"/>
      <c r="O269" s="84">
        <f>IF(A269="","",IF(E269="","No date",IF(TODAY()&gt;=EDATE(E269,Review_Months),"Review Due","Current")))</f>
        <v/>
      </c>
      <c r="P269" s="84">
        <f>IF(A269="","",IF(COUNTIFS('AFA Rates'!$A$5:$A$1004,A269,'AFA Rates'!$O$5:$O$1004,"&lt;&gt;Expired")&gt;0,"Yes",IF(COUNTIF('AFA Rates'!$A$5:$A$1004,A269)&gt;0,"Expired only","No")))</f>
        <v/>
      </c>
      <c r="Q269" s="84">
        <f>IF(A269="","",COUNTIFS('AFA Rates'!$A$5:$A$1004,A269,'AFA Rates'!$O$5:$O$1004,"&lt;&gt;Expired"))</f>
        <v/>
      </c>
      <c r="R269" s="66" t="n"/>
      <c r="S269" s="64" t="n"/>
      <c r="T269" s="64" t="n"/>
      <c r="U269">
        <f>IF(AND(A269&lt;&gt;"",B269="Paused"),COUNTIFS($A$5:A269,"&lt;&gt;",$B$5:B269,"Paused"),"")</f>
        <v/>
      </c>
      <c r="V269">
        <f>IF(P269="Yes",COUNTIF($P$5:P269,"Yes"),"")</f>
        <v/>
      </c>
      <c r="W269">
        <f>IF(A269="","",COUNTIF($A$5:$A$1004,"&lt;"&amp;A269)+COUNTIF($A$5:A269,A269))</f>
        <v/>
      </c>
      <c r="X269">
        <f>","&amp;SUBSTITUTE(SUBSTITUTE(SUBSTITUTE(UPPER(C269)," ",""),";",","),"/",",")&amp;","</f>
        <v/>
      </c>
      <c r="Y269">
        <f>IF(AND(A269&lt;&gt;"",B269="Active",'State Search'!$C$5&lt;&gt;"",OR(X269=",ALL,",ISNUMBER(SEARCH(","&amp;'State Search'!$C$5&amp;",",X269)))),W269,"")</f>
        <v/>
      </c>
    </row>
    <row r="270">
      <c r="A270" s="64" t="n"/>
      <c r="B270" s="65" t="n"/>
      <c r="C270" s="64" t="n"/>
      <c r="D270" s="66" t="n"/>
      <c r="E270" s="66" t="n"/>
      <c r="F270" s="67" t="n"/>
      <c r="G270" s="67" t="n"/>
      <c r="H270" s="67" t="n"/>
      <c r="I270" s="67" t="n"/>
      <c r="J270" s="67" t="n"/>
      <c r="K270" s="67" t="n"/>
      <c r="L270" s="67" t="n"/>
      <c r="M270" s="67" t="n"/>
      <c r="N270" s="65" t="n"/>
      <c r="O270" s="84">
        <f>IF(A270="","",IF(E270="","No date",IF(TODAY()&gt;=EDATE(E270,Review_Months),"Review Due","Current")))</f>
        <v/>
      </c>
      <c r="P270" s="84">
        <f>IF(A270="","",IF(COUNTIFS('AFA Rates'!$A$5:$A$1004,A270,'AFA Rates'!$O$5:$O$1004,"&lt;&gt;Expired")&gt;0,"Yes",IF(COUNTIF('AFA Rates'!$A$5:$A$1004,A270)&gt;0,"Expired only","No")))</f>
        <v/>
      </c>
      <c r="Q270" s="84">
        <f>IF(A270="","",COUNTIFS('AFA Rates'!$A$5:$A$1004,A270,'AFA Rates'!$O$5:$O$1004,"&lt;&gt;Expired"))</f>
        <v/>
      </c>
      <c r="R270" s="66" t="n"/>
      <c r="S270" s="64" t="n"/>
      <c r="T270" s="64" t="n"/>
      <c r="U270">
        <f>IF(AND(A270&lt;&gt;"",B270="Paused"),COUNTIFS($A$5:A270,"&lt;&gt;",$B$5:B270,"Paused"),"")</f>
        <v/>
      </c>
      <c r="V270">
        <f>IF(P270="Yes",COUNTIF($P$5:P270,"Yes"),"")</f>
        <v/>
      </c>
      <c r="W270">
        <f>IF(A270="","",COUNTIF($A$5:$A$1004,"&lt;"&amp;A270)+COUNTIF($A$5:A270,A270))</f>
        <v/>
      </c>
      <c r="X270">
        <f>","&amp;SUBSTITUTE(SUBSTITUTE(SUBSTITUTE(UPPER(C270)," ",""),";",","),"/",",")&amp;","</f>
        <v/>
      </c>
      <c r="Y270">
        <f>IF(AND(A270&lt;&gt;"",B270="Active",'State Search'!$C$5&lt;&gt;"",OR(X270=",ALL,",ISNUMBER(SEARCH(","&amp;'State Search'!$C$5&amp;",",X270)))),W270,"")</f>
        <v/>
      </c>
    </row>
    <row r="271">
      <c r="A271" s="64" t="n"/>
      <c r="B271" s="65" t="n"/>
      <c r="C271" s="64" t="n"/>
      <c r="D271" s="66" t="n"/>
      <c r="E271" s="66" t="n"/>
      <c r="F271" s="67" t="n"/>
      <c r="G271" s="67" t="n"/>
      <c r="H271" s="67" t="n"/>
      <c r="I271" s="67" t="n"/>
      <c r="J271" s="67" t="n"/>
      <c r="K271" s="67" t="n"/>
      <c r="L271" s="67" t="n"/>
      <c r="M271" s="67" t="n"/>
      <c r="N271" s="65" t="n"/>
      <c r="O271" s="84">
        <f>IF(A271="","",IF(E271="","No date",IF(TODAY()&gt;=EDATE(E271,Review_Months),"Review Due","Current")))</f>
        <v/>
      </c>
      <c r="P271" s="84">
        <f>IF(A271="","",IF(COUNTIFS('AFA Rates'!$A$5:$A$1004,A271,'AFA Rates'!$O$5:$O$1004,"&lt;&gt;Expired")&gt;0,"Yes",IF(COUNTIF('AFA Rates'!$A$5:$A$1004,A271)&gt;0,"Expired only","No")))</f>
        <v/>
      </c>
      <c r="Q271" s="84">
        <f>IF(A271="","",COUNTIFS('AFA Rates'!$A$5:$A$1004,A271,'AFA Rates'!$O$5:$O$1004,"&lt;&gt;Expired"))</f>
        <v/>
      </c>
      <c r="R271" s="66" t="n"/>
      <c r="S271" s="64" t="n"/>
      <c r="T271" s="64" t="n"/>
      <c r="U271">
        <f>IF(AND(A271&lt;&gt;"",B271="Paused"),COUNTIFS($A$5:A271,"&lt;&gt;",$B$5:B271,"Paused"),"")</f>
        <v/>
      </c>
      <c r="V271">
        <f>IF(P271="Yes",COUNTIF($P$5:P271,"Yes"),"")</f>
        <v/>
      </c>
      <c r="W271">
        <f>IF(A271="","",COUNTIF($A$5:$A$1004,"&lt;"&amp;A271)+COUNTIF($A$5:A271,A271))</f>
        <v/>
      </c>
      <c r="X271">
        <f>","&amp;SUBSTITUTE(SUBSTITUTE(SUBSTITUTE(UPPER(C271)," ",""),";",","),"/",",")&amp;","</f>
        <v/>
      </c>
      <c r="Y271">
        <f>IF(AND(A271&lt;&gt;"",B271="Active",'State Search'!$C$5&lt;&gt;"",OR(X271=",ALL,",ISNUMBER(SEARCH(","&amp;'State Search'!$C$5&amp;",",X271)))),W271,"")</f>
        <v/>
      </c>
    </row>
    <row r="272">
      <c r="A272" s="64" t="n"/>
      <c r="B272" s="65" t="n"/>
      <c r="C272" s="64" t="n"/>
      <c r="D272" s="66" t="n"/>
      <c r="E272" s="66" t="n"/>
      <c r="F272" s="67" t="n"/>
      <c r="G272" s="67" t="n"/>
      <c r="H272" s="67" t="n"/>
      <c r="I272" s="67" t="n"/>
      <c r="J272" s="67" t="n"/>
      <c r="K272" s="67" t="n"/>
      <c r="L272" s="67" t="n"/>
      <c r="M272" s="67" t="n"/>
      <c r="N272" s="65" t="n"/>
      <c r="O272" s="84">
        <f>IF(A272="","",IF(E272="","No date",IF(TODAY()&gt;=EDATE(E272,Review_Months),"Review Due","Current")))</f>
        <v/>
      </c>
      <c r="P272" s="84">
        <f>IF(A272="","",IF(COUNTIFS('AFA Rates'!$A$5:$A$1004,A272,'AFA Rates'!$O$5:$O$1004,"&lt;&gt;Expired")&gt;0,"Yes",IF(COUNTIF('AFA Rates'!$A$5:$A$1004,A272)&gt;0,"Expired only","No")))</f>
        <v/>
      </c>
      <c r="Q272" s="84">
        <f>IF(A272="","",COUNTIFS('AFA Rates'!$A$5:$A$1004,A272,'AFA Rates'!$O$5:$O$1004,"&lt;&gt;Expired"))</f>
        <v/>
      </c>
      <c r="R272" s="66" t="n"/>
      <c r="S272" s="64" t="n"/>
      <c r="T272" s="64" t="n"/>
      <c r="U272">
        <f>IF(AND(A272&lt;&gt;"",B272="Paused"),COUNTIFS($A$5:A272,"&lt;&gt;",$B$5:B272,"Paused"),"")</f>
        <v/>
      </c>
      <c r="V272">
        <f>IF(P272="Yes",COUNTIF($P$5:P272,"Yes"),"")</f>
        <v/>
      </c>
      <c r="W272">
        <f>IF(A272="","",COUNTIF($A$5:$A$1004,"&lt;"&amp;A272)+COUNTIF($A$5:A272,A272))</f>
        <v/>
      </c>
      <c r="X272">
        <f>","&amp;SUBSTITUTE(SUBSTITUTE(SUBSTITUTE(UPPER(C272)," ",""),";",","),"/",",")&amp;","</f>
        <v/>
      </c>
      <c r="Y272">
        <f>IF(AND(A272&lt;&gt;"",B272="Active",'State Search'!$C$5&lt;&gt;"",OR(X272=",ALL,",ISNUMBER(SEARCH(","&amp;'State Search'!$C$5&amp;",",X272)))),W272,"")</f>
        <v/>
      </c>
    </row>
    <row r="273">
      <c r="A273" s="64" t="n"/>
      <c r="B273" s="65" t="n"/>
      <c r="C273" s="64" t="n"/>
      <c r="D273" s="66" t="n"/>
      <c r="E273" s="66" t="n"/>
      <c r="F273" s="67" t="n"/>
      <c r="G273" s="67" t="n"/>
      <c r="H273" s="67" t="n"/>
      <c r="I273" s="67" t="n"/>
      <c r="J273" s="67" t="n"/>
      <c r="K273" s="67" t="n"/>
      <c r="L273" s="67" t="n"/>
      <c r="M273" s="67" t="n"/>
      <c r="N273" s="65" t="n"/>
      <c r="O273" s="84">
        <f>IF(A273="","",IF(E273="","No date",IF(TODAY()&gt;=EDATE(E273,Review_Months),"Review Due","Current")))</f>
        <v/>
      </c>
      <c r="P273" s="84">
        <f>IF(A273="","",IF(COUNTIFS('AFA Rates'!$A$5:$A$1004,A273,'AFA Rates'!$O$5:$O$1004,"&lt;&gt;Expired")&gt;0,"Yes",IF(COUNTIF('AFA Rates'!$A$5:$A$1004,A273)&gt;0,"Expired only","No")))</f>
        <v/>
      </c>
      <c r="Q273" s="84">
        <f>IF(A273="","",COUNTIFS('AFA Rates'!$A$5:$A$1004,A273,'AFA Rates'!$O$5:$O$1004,"&lt;&gt;Expired"))</f>
        <v/>
      </c>
      <c r="R273" s="66" t="n"/>
      <c r="S273" s="64" t="n"/>
      <c r="T273" s="64" t="n"/>
      <c r="U273">
        <f>IF(AND(A273&lt;&gt;"",B273="Paused"),COUNTIFS($A$5:A273,"&lt;&gt;",$B$5:B273,"Paused"),"")</f>
        <v/>
      </c>
      <c r="V273">
        <f>IF(P273="Yes",COUNTIF($P$5:P273,"Yes"),"")</f>
        <v/>
      </c>
      <c r="W273">
        <f>IF(A273="","",COUNTIF($A$5:$A$1004,"&lt;"&amp;A273)+COUNTIF($A$5:A273,A273))</f>
        <v/>
      </c>
      <c r="X273">
        <f>","&amp;SUBSTITUTE(SUBSTITUTE(SUBSTITUTE(UPPER(C273)," ",""),";",","),"/",",")&amp;","</f>
        <v/>
      </c>
      <c r="Y273">
        <f>IF(AND(A273&lt;&gt;"",B273="Active",'State Search'!$C$5&lt;&gt;"",OR(X273=",ALL,",ISNUMBER(SEARCH(","&amp;'State Search'!$C$5&amp;",",X273)))),W273,"")</f>
        <v/>
      </c>
    </row>
    <row r="274">
      <c r="A274" s="64" t="n"/>
      <c r="B274" s="65" t="n"/>
      <c r="C274" s="64" t="n"/>
      <c r="D274" s="66" t="n"/>
      <c r="E274" s="66" t="n"/>
      <c r="F274" s="67" t="n"/>
      <c r="G274" s="67" t="n"/>
      <c r="H274" s="67" t="n"/>
      <c r="I274" s="67" t="n"/>
      <c r="J274" s="67" t="n"/>
      <c r="K274" s="67" t="n"/>
      <c r="L274" s="67" t="n"/>
      <c r="M274" s="67" t="n"/>
      <c r="N274" s="65" t="n"/>
      <c r="O274" s="84">
        <f>IF(A274="","",IF(E274="","No date",IF(TODAY()&gt;=EDATE(E274,Review_Months),"Review Due","Current")))</f>
        <v/>
      </c>
      <c r="P274" s="84">
        <f>IF(A274="","",IF(COUNTIFS('AFA Rates'!$A$5:$A$1004,A274,'AFA Rates'!$O$5:$O$1004,"&lt;&gt;Expired")&gt;0,"Yes",IF(COUNTIF('AFA Rates'!$A$5:$A$1004,A274)&gt;0,"Expired only","No")))</f>
        <v/>
      </c>
      <c r="Q274" s="84">
        <f>IF(A274="","",COUNTIFS('AFA Rates'!$A$5:$A$1004,A274,'AFA Rates'!$O$5:$O$1004,"&lt;&gt;Expired"))</f>
        <v/>
      </c>
      <c r="R274" s="66" t="n"/>
      <c r="S274" s="64" t="n"/>
      <c r="T274" s="64" t="n"/>
      <c r="U274">
        <f>IF(AND(A274&lt;&gt;"",B274="Paused"),COUNTIFS($A$5:A274,"&lt;&gt;",$B$5:B274,"Paused"),"")</f>
        <v/>
      </c>
      <c r="V274">
        <f>IF(P274="Yes",COUNTIF($P$5:P274,"Yes"),"")</f>
        <v/>
      </c>
      <c r="W274">
        <f>IF(A274="","",COUNTIF($A$5:$A$1004,"&lt;"&amp;A274)+COUNTIF($A$5:A274,A274))</f>
        <v/>
      </c>
      <c r="X274">
        <f>","&amp;SUBSTITUTE(SUBSTITUTE(SUBSTITUTE(UPPER(C274)," ",""),";",","),"/",",")&amp;","</f>
        <v/>
      </c>
      <c r="Y274">
        <f>IF(AND(A274&lt;&gt;"",B274="Active",'State Search'!$C$5&lt;&gt;"",OR(X274=",ALL,",ISNUMBER(SEARCH(","&amp;'State Search'!$C$5&amp;",",X274)))),W274,"")</f>
        <v/>
      </c>
    </row>
    <row r="275">
      <c r="A275" s="64" t="n"/>
      <c r="B275" s="65" t="n"/>
      <c r="C275" s="64" t="n"/>
      <c r="D275" s="66" t="n"/>
      <c r="E275" s="66" t="n"/>
      <c r="F275" s="67" t="n"/>
      <c r="G275" s="67" t="n"/>
      <c r="H275" s="67" t="n"/>
      <c r="I275" s="67" t="n"/>
      <c r="J275" s="67" t="n"/>
      <c r="K275" s="67" t="n"/>
      <c r="L275" s="67" t="n"/>
      <c r="M275" s="67" t="n"/>
      <c r="N275" s="65" t="n"/>
      <c r="O275" s="84">
        <f>IF(A275="","",IF(E275="","No date",IF(TODAY()&gt;=EDATE(E275,Review_Months),"Review Due","Current")))</f>
        <v/>
      </c>
      <c r="P275" s="84">
        <f>IF(A275="","",IF(COUNTIFS('AFA Rates'!$A$5:$A$1004,A275,'AFA Rates'!$O$5:$O$1004,"&lt;&gt;Expired")&gt;0,"Yes",IF(COUNTIF('AFA Rates'!$A$5:$A$1004,A275)&gt;0,"Expired only","No")))</f>
        <v/>
      </c>
      <c r="Q275" s="84">
        <f>IF(A275="","",COUNTIFS('AFA Rates'!$A$5:$A$1004,A275,'AFA Rates'!$O$5:$O$1004,"&lt;&gt;Expired"))</f>
        <v/>
      </c>
      <c r="R275" s="66" t="n"/>
      <c r="S275" s="64" t="n"/>
      <c r="T275" s="64" t="n"/>
      <c r="U275">
        <f>IF(AND(A275&lt;&gt;"",B275="Paused"),COUNTIFS($A$5:A275,"&lt;&gt;",$B$5:B275,"Paused"),"")</f>
        <v/>
      </c>
      <c r="V275">
        <f>IF(P275="Yes",COUNTIF($P$5:P275,"Yes"),"")</f>
        <v/>
      </c>
      <c r="W275">
        <f>IF(A275="","",COUNTIF($A$5:$A$1004,"&lt;"&amp;A275)+COUNTIF($A$5:A275,A275))</f>
        <v/>
      </c>
      <c r="X275">
        <f>","&amp;SUBSTITUTE(SUBSTITUTE(SUBSTITUTE(UPPER(C275)," ",""),";",","),"/",",")&amp;","</f>
        <v/>
      </c>
      <c r="Y275">
        <f>IF(AND(A275&lt;&gt;"",B275="Active",'State Search'!$C$5&lt;&gt;"",OR(X275=",ALL,",ISNUMBER(SEARCH(","&amp;'State Search'!$C$5&amp;",",X275)))),W275,"")</f>
        <v/>
      </c>
    </row>
    <row r="276">
      <c r="A276" s="64" t="n"/>
      <c r="B276" s="65" t="n"/>
      <c r="C276" s="64" t="n"/>
      <c r="D276" s="66" t="n"/>
      <c r="E276" s="66" t="n"/>
      <c r="F276" s="67" t="n"/>
      <c r="G276" s="67" t="n"/>
      <c r="H276" s="67" t="n"/>
      <c r="I276" s="67" t="n"/>
      <c r="J276" s="67" t="n"/>
      <c r="K276" s="67" t="n"/>
      <c r="L276" s="67" t="n"/>
      <c r="M276" s="67" t="n"/>
      <c r="N276" s="65" t="n"/>
      <c r="O276" s="84">
        <f>IF(A276="","",IF(E276="","No date",IF(TODAY()&gt;=EDATE(E276,Review_Months),"Review Due","Current")))</f>
        <v/>
      </c>
      <c r="P276" s="84">
        <f>IF(A276="","",IF(COUNTIFS('AFA Rates'!$A$5:$A$1004,A276,'AFA Rates'!$O$5:$O$1004,"&lt;&gt;Expired")&gt;0,"Yes",IF(COUNTIF('AFA Rates'!$A$5:$A$1004,A276)&gt;0,"Expired only","No")))</f>
        <v/>
      </c>
      <c r="Q276" s="84">
        <f>IF(A276="","",COUNTIFS('AFA Rates'!$A$5:$A$1004,A276,'AFA Rates'!$O$5:$O$1004,"&lt;&gt;Expired"))</f>
        <v/>
      </c>
      <c r="R276" s="66" t="n"/>
      <c r="S276" s="64" t="n"/>
      <c r="T276" s="64" t="n"/>
      <c r="U276">
        <f>IF(AND(A276&lt;&gt;"",B276="Paused"),COUNTIFS($A$5:A276,"&lt;&gt;",$B$5:B276,"Paused"),"")</f>
        <v/>
      </c>
      <c r="V276">
        <f>IF(P276="Yes",COUNTIF($P$5:P276,"Yes"),"")</f>
        <v/>
      </c>
      <c r="W276">
        <f>IF(A276="","",COUNTIF($A$5:$A$1004,"&lt;"&amp;A276)+COUNTIF($A$5:A276,A276))</f>
        <v/>
      </c>
      <c r="X276">
        <f>","&amp;SUBSTITUTE(SUBSTITUTE(SUBSTITUTE(UPPER(C276)," ",""),";",","),"/",",")&amp;","</f>
        <v/>
      </c>
      <c r="Y276">
        <f>IF(AND(A276&lt;&gt;"",B276="Active",'State Search'!$C$5&lt;&gt;"",OR(X276=",ALL,",ISNUMBER(SEARCH(","&amp;'State Search'!$C$5&amp;",",X276)))),W276,"")</f>
        <v/>
      </c>
    </row>
    <row r="277">
      <c r="A277" s="64" t="n"/>
      <c r="B277" s="65" t="n"/>
      <c r="C277" s="64" t="n"/>
      <c r="D277" s="66" t="n"/>
      <c r="E277" s="66" t="n"/>
      <c r="F277" s="67" t="n"/>
      <c r="G277" s="67" t="n"/>
      <c r="H277" s="67" t="n"/>
      <c r="I277" s="67" t="n"/>
      <c r="J277" s="67" t="n"/>
      <c r="K277" s="67" t="n"/>
      <c r="L277" s="67" t="n"/>
      <c r="M277" s="67" t="n"/>
      <c r="N277" s="65" t="n"/>
      <c r="O277" s="84">
        <f>IF(A277="","",IF(E277="","No date",IF(TODAY()&gt;=EDATE(E277,Review_Months),"Review Due","Current")))</f>
        <v/>
      </c>
      <c r="P277" s="84">
        <f>IF(A277="","",IF(COUNTIFS('AFA Rates'!$A$5:$A$1004,A277,'AFA Rates'!$O$5:$O$1004,"&lt;&gt;Expired")&gt;0,"Yes",IF(COUNTIF('AFA Rates'!$A$5:$A$1004,A277)&gt;0,"Expired only","No")))</f>
        <v/>
      </c>
      <c r="Q277" s="84">
        <f>IF(A277="","",COUNTIFS('AFA Rates'!$A$5:$A$1004,A277,'AFA Rates'!$O$5:$O$1004,"&lt;&gt;Expired"))</f>
        <v/>
      </c>
      <c r="R277" s="66" t="n"/>
      <c r="S277" s="64" t="n"/>
      <c r="T277" s="64" t="n"/>
      <c r="U277">
        <f>IF(AND(A277&lt;&gt;"",B277="Paused"),COUNTIFS($A$5:A277,"&lt;&gt;",$B$5:B277,"Paused"),"")</f>
        <v/>
      </c>
      <c r="V277">
        <f>IF(P277="Yes",COUNTIF($P$5:P277,"Yes"),"")</f>
        <v/>
      </c>
      <c r="W277">
        <f>IF(A277="","",COUNTIF($A$5:$A$1004,"&lt;"&amp;A277)+COUNTIF($A$5:A277,A277))</f>
        <v/>
      </c>
      <c r="X277">
        <f>","&amp;SUBSTITUTE(SUBSTITUTE(SUBSTITUTE(UPPER(C277)," ",""),";",","),"/",",")&amp;","</f>
        <v/>
      </c>
      <c r="Y277">
        <f>IF(AND(A277&lt;&gt;"",B277="Active",'State Search'!$C$5&lt;&gt;"",OR(X277=",ALL,",ISNUMBER(SEARCH(","&amp;'State Search'!$C$5&amp;",",X277)))),W277,"")</f>
        <v/>
      </c>
    </row>
    <row r="278">
      <c r="A278" s="64" t="n"/>
      <c r="B278" s="65" t="n"/>
      <c r="C278" s="64" t="n"/>
      <c r="D278" s="66" t="n"/>
      <c r="E278" s="66" t="n"/>
      <c r="F278" s="67" t="n"/>
      <c r="G278" s="67" t="n"/>
      <c r="H278" s="67" t="n"/>
      <c r="I278" s="67" t="n"/>
      <c r="J278" s="67" t="n"/>
      <c r="K278" s="67" t="n"/>
      <c r="L278" s="67" t="n"/>
      <c r="M278" s="67" t="n"/>
      <c r="N278" s="65" t="n"/>
      <c r="O278" s="84">
        <f>IF(A278="","",IF(E278="","No date",IF(TODAY()&gt;=EDATE(E278,Review_Months),"Review Due","Current")))</f>
        <v/>
      </c>
      <c r="P278" s="84">
        <f>IF(A278="","",IF(COUNTIFS('AFA Rates'!$A$5:$A$1004,A278,'AFA Rates'!$O$5:$O$1004,"&lt;&gt;Expired")&gt;0,"Yes",IF(COUNTIF('AFA Rates'!$A$5:$A$1004,A278)&gt;0,"Expired only","No")))</f>
        <v/>
      </c>
      <c r="Q278" s="84">
        <f>IF(A278="","",COUNTIFS('AFA Rates'!$A$5:$A$1004,A278,'AFA Rates'!$O$5:$O$1004,"&lt;&gt;Expired"))</f>
        <v/>
      </c>
      <c r="R278" s="66" t="n"/>
      <c r="S278" s="64" t="n"/>
      <c r="T278" s="64" t="n"/>
      <c r="U278">
        <f>IF(AND(A278&lt;&gt;"",B278="Paused"),COUNTIFS($A$5:A278,"&lt;&gt;",$B$5:B278,"Paused"),"")</f>
        <v/>
      </c>
      <c r="V278">
        <f>IF(P278="Yes",COUNTIF($P$5:P278,"Yes"),"")</f>
        <v/>
      </c>
      <c r="W278">
        <f>IF(A278="","",COUNTIF($A$5:$A$1004,"&lt;"&amp;A278)+COUNTIF($A$5:A278,A278))</f>
        <v/>
      </c>
      <c r="X278">
        <f>","&amp;SUBSTITUTE(SUBSTITUTE(SUBSTITUTE(UPPER(C278)," ",""),";",","),"/",",")&amp;","</f>
        <v/>
      </c>
      <c r="Y278">
        <f>IF(AND(A278&lt;&gt;"",B278="Active",'State Search'!$C$5&lt;&gt;"",OR(X278=",ALL,",ISNUMBER(SEARCH(","&amp;'State Search'!$C$5&amp;",",X278)))),W278,"")</f>
        <v/>
      </c>
    </row>
    <row r="279">
      <c r="A279" s="64" t="n"/>
      <c r="B279" s="65" t="n"/>
      <c r="C279" s="64" t="n"/>
      <c r="D279" s="66" t="n"/>
      <c r="E279" s="66" t="n"/>
      <c r="F279" s="67" t="n"/>
      <c r="G279" s="67" t="n"/>
      <c r="H279" s="67" t="n"/>
      <c r="I279" s="67" t="n"/>
      <c r="J279" s="67" t="n"/>
      <c r="K279" s="67" t="n"/>
      <c r="L279" s="67" t="n"/>
      <c r="M279" s="67" t="n"/>
      <c r="N279" s="65" t="n"/>
      <c r="O279" s="84">
        <f>IF(A279="","",IF(E279="","No date",IF(TODAY()&gt;=EDATE(E279,Review_Months),"Review Due","Current")))</f>
        <v/>
      </c>
      <c r="P279" s="84">
        <f>IF(A279="","",IF(COUNTIFS('AFA Rates'!$A$5:$A$1004,A279,'AFA Rates'!$O$5:$O$1004,"&lt;&gt;Expired")&gt;0,"Yes",IF(COUNTIF('AFA Rates'!$A$5:$A$1004,A279)&gt;0,"Expired only","No")))</f>
        <v/>
      </c>
      <c r="Q279" s="84">
        <f>IF(A279="","",COUNTIFS('AFA Rates'!$A$5:$A$1004,A279,'AFA Rates'!$O$5:$O$1004,"&lt;&gt;Expired"))</f>
        <v/>
      </c>
      <c r="R279" s="66" t="n"/>
      <c r="S279" s="64" t="n"/>
      <c r="T279" s="64" t="n"/>
      <c r="U279">
        <f>IF(AND(A279&lt;&gt;"",B279="Paused"),COUNTIFS($A$5:A279,"&lt;&gt;",$B$5:B279,"Paused"),"")</f>
        <v/>
      </c>
      <c r="V279">
        <f>IF(P279="Yes",COUNTIF($P$5:P279,"Yes"),"")</f>
        <v/>
      </c>
      <c r="W279">
        <f>IF(A279="","",COUNTIF($A$5:$A$1004,"&lt;"&amp;A279)+COUNTIF($A$5:A279,A279))</f>
        <v/>
      </c>
      <c r="X279">
        <f>","&amp;SUBSTITUTE(SUBSTITUTE(SUBSTITUTE(UPPER(C279)," ",""),";",","),"/",",")&amp;","</f>
        <v/>
      </c>
      <c r="Y279">
        <f>IF(AND(A279&lt;&gt;"",B279="Active",'State Search'!$C$5&lt;&gt;"",OR(X279=",ALL,",ISNUMBER(SEARCH(","&amp;'State Search'!$C$5&amp;",",X279)))),W279,"")</f>
        <v/>
      </c>
    </row>
    <row r="280">
      <c r="A280" s="64" t="n"/>
      <c r="B280" s="65" t="n"/>
      <c r="C280" s="64" t="n"/>
      <c r="D280" s="66" t="n"/>
      <c r="E280" s="66" t="n"/>
      <c r="F280" s="67" t="n"/>
      <c r="G280" s="67" t="n"/>
      <c r="H280" s="67" t="n"/>
      <c r="I280" s="67" t="n"/>
      <c r="J280" s="67" t="n"/>
      <c r="K280" s="67" t="n"/>
      <c r="L280" s="67" t="n"/>
      <c r="M280" s="67" t="n"/>
      <c r="N280" s="65" t="n"/>
      <c r="O280" s="84">
        <f>IF(A280="","",IF(E280="","No date",IF(TODAY()&gt;=EDATE(E280,Review_Months),"Review Due","Current")))</f>
        <v/>
      </c>
      <c r="P280" s="84">
        <f>IF(A280="","",IF(COUNTIFS('AFA Rates'!$A$5:$A$1004,A280,'AFA Rates'!$O$5:$O$1004,"&lt;&gt;Expired")&gt;0,"Yes",IF(COUNTIF('AFA Rates'!$A$5:$A$1004,A280)&gt;0,"Expired only","No")))</f>
        <v/>
      </c>
      <c r="Q280" s="84">
        <f>IF(A280="","",COUNTIFS('AFA Rates'!$A$5:$A$1004,A280,'AFA Rates'!$O$5:$O$1004,"&lt;&gt;Expired"))</f>
        <v/>
      </c>
      <c r="R280" s="66" t="n"/>
      <c r="S280" s="64" t="n"/>
      <c r="T280" s="64" t="n"/>
      <c r="U280">
        <f>IF(AND(A280&lt;&gt;"",B280="Paused"),COUNTIFS($A$5:A280,"&lt;&gt;",$B$5:B280,"Paused"),"")</f>
        <v/>
      </c>
      <c r="V280">
        <f>IF(P280="Yes",COUNTIF($P$5:P280,"Yes"),"")</f>
        <v/>
      </c>
      <c r="W280">
        <f>IF(A280="","",COUNTIF($A$5:$A$1004,"&lt;"&amp;A280)+COUNTIF($A$5:A280,A280))</f>
        <v/>
      </c>
      <c r="X280">
        <f>","&amp;SUBSTITUTE(SUBSTITUTE(SUBSTITUTE(UPPER(C280)," ",""),";",","),"/",",")&amp;","</f>
        <v/>
      </c>
      <c r="Y280">
        <f>IF(AND(A280&lt;&gt;"",B280="Active",'State Search'!$C$5&lt;&gt;"",OR(X280=",ALL,",ISNUMBER(SEARCH(","&amp;'State Search'!$C$5&amp;",",X280)))),W280,"")</f>
        <v/>
      </c>
    </row>
    <row r="281">
      <c r="A281" s="64" t="n"/>
      <c r="B281" s="65" t="n"/>
      <c r="C281" s="64" t="n"/>
      <c r="D281" s="66" t="n"/>
      <c r="E281" s="66" t="n"/>
      <c r="F281" s="67" t="n"/>
      <c r="G281" s="67" t="n"/>
      <c r="H281" s="67" t="n"/>
      <c r="I281" s="67" t="n"/>
      <c r="J281" s="67" t="n"/>
      <c r="K281" s="67" t="n"/>
      <c r="L281" s="67" t="n"/>
      <c r="M281" s="67" t="n"/>
      <c r="N281" s="65" t="n"/>
      <c r="O281" s="84">
        <f>IF(A281="","",IF(E281="","No date",IF(TODAY()&gt;=EDATE(E281,Review_Months),"Review Due","Current")))</f>
        <v/>
      </c>
      <c r="P281" s="84">
        <f>IF(A281="","",IF(COUNTIFS('AFA Rates'!$A$5:$A$1004,A281,'AFA Rates'!$O$5:$O$1004,"&lt;&gt;Expired")&gt;0,"Yes",IF(COUNTIF('AFA Rates'!$A$5:$A$1004,A281)&gt;0,"Expired only","No")))</f>
        <v/>
      </c>
      <c r="Q281" s="84">
        <f>IF(A281="","",COUNTIFS('AFA Rates'!$A$5:$A$1004,A281,'AFA Rates'!$O$5:$O$1004,"&lt;&gt;Expired"))</f>
        <v/>
      </c>
      <c r="R281" s="66" t="n"/>
      <c r="S281" s="64" t="n"/>
      <c r="T281" s="64" t="n"/>
      <c r="U281">
        <f>IF(AND(A281&lt;&gt;"",B281="Paused"),COUNTIFS($A$5:A281,"&lt;&gt;",$B$5:B281,"Paused"),"")</f>
        <v/>
      </c>
      <c r="V281">
        <f>IF(P281="Yes",COUNTIF($P$5:P281,"Yes"),"")</f>
        <v/>
      </c>
      <c r="W281">
        <f>IF(A281="","",COUNTIF($A$5:$A$1004,"&lt;"&amp;A281)+COUNTIF($A$5:A281,A281))</f>
        <v/>
      </c>
      <c r="X281">
        <f>","&amp;SUBSTITUTE(SUBSTITUTE(SUBSTITUTE(UPPER(C281)," ",""),";",","),"/",",")&amp;","</f>
        <v/>
      </c>
      <c r="Y281">
        <f>IF(AND(A281&lt;&gt;"",B281="Active",'State Search'!$C$5&lt;&gt;"",OR(X281=",ALL,",ISNUMBER(SEARCH(","&amp;'State Search'!$C$5&amp;",",X281)))),W281,"")</f>
        <v/>
      </c>
    </row>
    <row r="282">
      <c r="A282" s="64" t="n"/>
      <c r="B282" s="65" t="n"/>
      <c r="C282" s="64" t="n"/>
      <c r="D282" s="66" t="n"/>
      <c r="E282" s="66" t="n"/>
      <c r="F282" s="67" t="n"/>
      <c r="G282" s="67" t="n"/>
      <c r="H282" s="67" t="n"/>
      <c r="I282" s="67" t="n"/>
      <c r="J282" s="67" t="n"/>
      <c r="K282" s="67" t="n"/>
      <c r="L282" s="67" t="n"/>
      <c r="M282" s="67" t="n"/>
      <c r="N282" s="65" t="n"/>
      <c r="O282" s="84">
        <f>IF(A282="","",IF(E282="","No date",IF(TODAY()&gt;=EDATE(E282,Review_Months),"Review Due","Current")))</f>
        <v/>
      </c>
      <c r="P282" s="84">
        <f>IF(A282="","",IF(COUNTIFS('AFA Rates'!$A$5:$A$1004,A282,'AFA Rates'!$O$5:$O$1004,"&lt;&gt;Expired")&gt;0,"Yes",IF(COUNTIF('AFA Rates'!$A$5:$A$1004,A282)&gt;0,"Expired only","No")))</f>
        <v/>
      </c>
      <c r="Q282" s="84">
        <f>IF(A282="","",COUNTIFS('AFA Rates'!$A$5:$A$1004,A282,'AFA Rates'!$O$5:$O$1004,"&lt;&gt;Expired"))</f>
        <v/>
      </c>
      <c r="R282" s="66" t="n"/>
      <c r="S282" s="64" t="n"/>
      <c r="T282" s="64" t="n"/>
      <c r="U282">
        <f>IF(AND(A282&lt;&gt;"",B282="Paused"),COUNTIFS($A$5:A282,"&lt;&gt;",$B$5:B282,"Paused"),"")</f>
        <v/>
      </c>
      <c r="V282">
        <f>IF(P282="Yes",COUNTIF($P$5:P282,"Yes"),"")</f>
        <v/>
      </c>
      <c r="W282">
        <f>IF(A282="","",COUNTIF($A$5:$A$1004,"&lt;"&amp;A282)+COUNTIF($A$5:A282,A282))</f>
        <v/>
      </c>
      <c r="X282">
        <f>","&amp;SUBSTITUTE(SUBSTITUTE(SUBSTITUTE(UPPER(C282)," ",""),";",","),"/",",")&amp;","</f>
        <v/>
      </c>
      <c r="Y282">
        <f>IF(AND(A282&lt;&gt;"",B282="Active",'State Search'!$C$5&lt;&gt;"",OR(X282=",ALL,",ISNUMBER(SEARCH(","&amp;'State Search'!$C$5&amp;",",X282)))),W282,"")</f>
        <v/>
      </c>
    </row>
    <row r="283">
      <c r="A283" s="64" t="n"/>
      <c r="B283" s="65" t="n"/>
      <c r="C283" s="64" t="n"/>
      <c r="D283" s="66" t="n"/>
      <c r="E283" s="66" t="n"/>
      <c r="F283" s="67" t="n"/>
      <c r="G283" s="67" t="n"/>
      <c r="H283" s="67" t="n"/>
      <c r="I283" s="67" t="n"/>
      <c r="J283" s="67" t="n"/>
      <c r="K283" s="67" t="n"/>
      <c r="L283" s="67" t="n"/>
      <c r="M283" s="67" t="n"/>
      <c r="N283" s="65" t="n"/>
      <c r="O283" s="84">
        <f>IF(A283="","",IF(E283="","No date",IF(TODAY()&gt;=EDATE(E283,Review_Months),"Review Due","Current")))</f>
        <v/>
      </c>
      <c r="P283" s="84">
        <f>IF(A283="","",IF(COUNTIFS('AFA Rates'!$A$5:$A$1004,A283,'AFA Rates'!$O$5:$O$1004,"&lt;&gt;Expired")&gt;0,"Yes",IF(COUNTIF('AFA Rates'!$A$5:$A$1004,A283)&gt;0,"Expired only","No")))</f>
        <v/>
      </c>
      <c r="Q283" s="84">
        <f>IF(A283="","",COUNTIFS('AFA Rates'!$A$5:$A$1004,A283,'AFA Rates'!$O$5:$O$1004,"&lt;&gt;Expired"))</f>
        <v/>
      </c>
      <c r="R283" s="66" t="n"/>
      <c r="S283" s="64" t="n"/>
      <c r="T283" s="64" t="n"/>
      <c r="U283">
        <f>IF(AND(A283&lt;&gt;"",B283="Paused"),COUNTIFS($A$5:A283,"&lt;&gt;",$B$5:B283,"Paused"),"")</f>
        <v/>
      </c>
      <c r="V283">
        <f>IF(P283="Yes",COUNTIF($P$5:P283,"Yes"),"")</f>
        <v/>
      </c>
      <c r="W283">
        <f>IF(A283="","",COUNTIF($A$5:$A$1004,"&lt;"&amp;A283)+COUNTIF($A$5:A283,A283))</f>
        <v/>
      </c>
      <c r="X283">
        <f>","&amp;SUBSTITUTE(SUBSTITUTE(SUBSTITUTE(UPPER(C283)," ",""),";",","),"/",",")&amp;","</f>
        <v/>
      </c>
      <c r="Y283">
        <f>IF(AND(A283&lt;&gt;"",B283="Active",'State Search'!$C$5&lt;&gt;"",OR(X283=",ALL,",ISNUMBER(SEARCH(","&amp;'State Search'!$C$5&amp;",",X283)))),W283,"")</f>
        <v/>
      </c>
    </row>
    <row r="284">
      <c r="A284" s="64" t="n"/>
      <c r="B284" s="65" t="n"/>
      <c r="C284" s="64" t="n"/>
      <c r="D284" s="66" t="n"/>
      <c r="E284" s="66" t="n"/>
      <c r="F284" s="67" t="n"/>
      <c r="G284" s="67" t="n"/>
      <c r="H284" s="67" t="n"/>
      <c r="I284" s="67" t="n"/>
      <c r="J284" s="67" t="n"/>
      <c r="K284" s="67" t="n"/>
      <c r="L284" s="67" t="n"/>
      <c r="M284" s="67" t="n"/>
      <c r="N284" s="65" t="n"/>
      <c r="O284" s="84">
        <f>IF(A284="","",IF(E284="","No date",IF(TODAY()&gt;=EDATE(E284,Review_Months),"Review Due","Current")))</f>
        <v/>
      </c>
      <c r="P284" s="84">
        <f>IF(A284="","",IF(COUNTIFS('AFA Rates'!$A$5:$A$1004,A284,'AFA Rates'!$O$5:$O$1004,"&lt;&gt;Expired")&gt;0,"Yes",IF(COUNTIF('AFA Rates'!$A$5:$A$1004,A284)&gt;0,"Expired only","No")))</f>
        <v/>
      </c>
      <c r="Q284" s="84">
        <f>IF(A284="","",COUNTIFS('AFA Rates'!$A$5:$A$1004,A284,'AFA Rates'!$O$5:$O$1004,"&lt;&gt;Expired"))</f>
        <v/>
      </c>
      <c r="R284" s="66" t="n"/>
      <c r="S284" s="64" t="n"/>
      <c r="T284" s="64" t="n"/>
      <c r="U284">
        <f>IF(AND(A284&lt;&gt;"",B284="Paused"),COUNTIFS($A$5:A284,"&lt;&gt;",$B$5:B284,"Paused"),"")</f>
        <v/>
      </c>
      <c r="V284">
        <f>IF(P284="Yes",COUNTIF($P$5:P284,"Yes"),"")</f>
        <v/>
      </c>
      <c r="W284">
        <f>IF(A284="","",COUNTIF($A$5:$A$1004,"&lt;"&amp;A284)+COUNTIF($A$5:A284,A284))</f>
        <v/>
      </c>
      <c r="X284">
        <f>","&amp;SUBSTITUTE(SUBSTITUTE(SUBSTITUTE(UPPER(C284)," ",""),";",","),"/",",")&amp;","</f>
        <v/>
      </c>
      <c r="Y284">
        <f>IF(AND(A284&lt;&gt;"",B284="Active",'State Search'!$C$5&lt;&gt;"",OR(X284=",ALL,",ISNUMBER(SEARCH(","&amp;'State Search'!$C$5&amp;",",X284)))),W284,"")</f>
        <v/>
      </c>
    </row>
    <row r="285">
      <c r="A285" s="64" t="n"/>
      <c r="B285" s="65" t="n"/>
      <c r="C285" s="64" t="n"/>
      <c r="D285" s="66" t="n"/>
      <c r="E285" s="66" t="n"/>
      <c r="F285" s="67" t="n"/>
      <c r="G285" s="67" t="n"/>
      <c r="H285" s="67" t="n"/>
      <c r="I285" s="67" t="n"/>
      <c r="J285" s="67" t="n"/>
      <c r="K285" s="67" t="n"/>
      <c r="L285" s="67" t="n"/>
      <c r="M285" s="67" t="n"/>
      <c r="N285" s="65" t="n"/>
      <c r="O285" s="84">
        <f>IF(A285="","",IF(E285="","No date",IF(TODAY()&gt;=EDATE(E285,Review_Months),"Review Due","Current")))</f>
        <v/>
      </c>
      <c r="P285" s="84">
        <f>IF(A285="","",IF(COUNTIFS('AFA Rates'!$A$5:$A$1004,A285,'AFA Rates'!$O$5:$O$1004,"&lt;&gt;Expired")&gt;0,"Yes",IF(COUNTIF('AFA Rates'!$A$5:$A$1004,A285)&gt;0,"Expired only","No")))</f>
        <v/>
      </c>
      <c r="Q285" s="84">
        <f>IF(A285="","",COUNTIFS('AFA Rates'!$A$5:$A$1004,A285,'AFA Rates'!$O$5:$O$1004,"&lt;&gt;Expired"))</f>
        <v/>
      </c>
      <c r="R285" s="66" t="n"/>
      <c r="S285" s="64" t="n"/>
      <c r="T285" s="64" t="n"/>
      <c r="U285">
        <f>IF(AND(A285&lt;&gt;"",B285="Paused"),COUNTIFS($A$5:A285,"&lt;&gt;",$B$5:B285,"Paused"),"")</f>
        <v/>
      </c>
      <c r="V285">
        <f>IF(P285="Yes",COUNTIF($P$5:P285,"Yes"),"")</f>
        <v/>
      </c>
      <c r="W285">
        <f>IF(A285="","",COUNTIF($A$5:$A$1004,"&lt;"&amp;A285)+COUNTIF($A$5:A285,A285))</f>
        <v/>
      </c>
      <c r="X285">
        <f>","&amp;SUBSTITUTE(SUBSTITUTE(SUBSTITUTE(UPPER(C285)," ",""),";",","),"/",",")&amp;","</f>
        <v/>
      </c>
      <c r="Y285">
        <f>IF(AND(A285&lt;&gt;"",B285="Active",'State Search'!$C$5&lt;&gt;"",OR(X285=",ALL,",ISNUMBER(SEARCH(","&amp;'State Search'!$C$5&amp;",",X285)))),W285,"")</f>
        <v/>
      </c>
    </row>
    <row r="286">
      <c r="A286" s="64" t="n"/>
      <c r="B286" s="65" t="n"/>
      <c r="C286" s="64" t="n"/>
      <c r="D286" s="66" t="n"/>
      <c r="E286" s="66" t="n"/>
      <c r="F286" s="67" t="n"/>
      <c r="G286" s="67" t="n"/>
      <c r="H286" s="67" t="n"/>
      <c r="I286" s="67" t="n"/>
      <c r="J286" s="67" t="n"/>
      <c r="K286" s="67" t="n"/>
      <c r="L286" s="67" t="n"/>
      <c r="M286" s="67" t="n"/>
      <c r="N286" s="65" t="n"/>
      <c r="O286" s="84">
        <f>IF(A286="","",IF(E286="","No date",IF(TODAY()&gt;=EDATE(E286,Review_Months),"Review Due","Current")))</f>
        <v/>
      </c>
      <c r="P286" s="84">
        <f>IF(A286="","",IF(COUNTIFS('AFA Rates'!$A$5:$A$1004,A286,'AFA Rates'!$O$5:$O$1004,"&lt;&gt;Expired")&gt;0,"Yes",IF(COUNTIF('AFA Rates'!$A$5:$A$1004,A286)&gt;0,"Expired only","No")))</f>
        <v/>
      </c>
      <c r="Q286" s="84">
        <f>IF(A286="","",COUNTIFS('AFA Rates'!$A$5:$A$1004,A286,'AFA Rates'!$O$5:$O$1004,"&lt;&gt;Expired"))</f>
        <v/>
      </c>
      <c r="R286" s="66" t="n"/>
      <c r="S286" s="64" t="n"/>
      <c r="T286" s="64" t="n"/>
      <c r="U286">
        <f>IF(AND(A286&lt;&gt;"",B286="Paused"),COUNTIFS($A$5:A286,"&lt;&gt;",$B$5:B286,"Paused"),"")</f>
        <v/>
      </c>
      <c r="V286">
        <f>IF(P286="Yes",COUNTIF($P$5:P286,"Yes"),"")</f>
        <v/>
      </c>
      <c r="W286">
        <f>IF(A286="","",COUNTIF($A$5:$A$1004,"&lt;"&amp;A286)+COUNTIF($A$5:A286,A286))</f>
        <v/>
      </c>
      <c r="X286">
        <f>","&amp;SUBSTITUTE(SUBSTITUTE(SUBSTITUTE(UPPER(C286)," ",""),";",","),"/",",")&amp;","</f>
        <v/>
      </c>
      <c r="Y286">
        <f>IF(AND(A286&lt;&gt;"",B286="Active",'State Search'!$C$5&lt;&gt;"",OR(X286=",ALL,",ISNUMBER(SEARCH(","&amp;'State Search'!$C$5&amp;",",X286)))),W286,"")</f>
        <v/>
      </c>
    </row>
    <row r="287">
      <c r="A287" s="64" t="n"/>
      <c r="B287" s="65" t="n"/>
      <c r="C287" s="64" t="n"/>
      <c r="D287" s="66" t="n"/>
      <c r="E287" s="66" t="n"/>
      <c r="F287" s="67" t="n"/>
      <c r="G287" s="67" t="n"/>
      <c r="H287" s="67" t="n"/>
      <c r="I287" s="67" t="n"/>
      <c r="J287" s="67" t="n"/>
      <c r="K287" s="67" t="n"/>
      <c r="L287" s="67" t="n"/>
      <c r="M287" s="67" t="n"/>
      <c r="N287" s="65" t="n"/>
      <c r="O287" s="84">
        <f>IF(A287="","",IF(E287="","No date",IF(TODAY()&gt;=EDATE(E287,Review_Months),"Review Due","Current")))</f>
        <v/>
      </c>
      <c r="P287" s="84">
        <f>IF(A287="","",IF(COUNTIFS('AFA Rates'!$A$5:$A$1004,A287,'AFA Rates'!$O$5:$O$1004,"&lt;&gt;Expired")&gt;0,"Yes",IF(COUNTIF('AFA Rates'!$A$5:$A$1004,A287)&gt;0,"Expired only","No")))</f>
        <v/>
      </c>
      <c r="Q287" s="84">
        <f>IF(A287="","",COUNTIFS('AFA Rates'!$A$5:$A$1004,A287,'AFA Rates'!$O$5:$O$1004,"&lt;&gt;Expired"))</f>
        <v/>
      </c>
      <c r="R287" s="66" t="n"/>
      <c r="S287" s="64" t="n"/>
      <c r="T287" s="64" t="n"/>
      <c r="U287">
        <f>IF(AND(A287&lt;&gt;"",B287="Paused"),COUNTIFS($A$5:A287,"&lt;&gt;",$B$5:B287,"Paused"),"")</f>
        <v/>
      </c>
      <c r="V287">
        <f>IF(P287="Yes",COUNTIF($P$5:P287,"Yes"),"")</f>
        <v/>
      </c>
      <c r="W287">
        <f>IF(A287="","",COUNTIF($A$5:$A$1004,"&lt;"&amp;A287)+COUNTIF($A$5:A287,A287))</f>
        <v/>
      </c>
      <c r="X287">
        <f>","&amp;SUBSTITUTE(SUBSTITUTE(SUBSTITUTE(UPPER(C287)," ",""),";",","),"/",",")&amp;","</f>
        <v/>
      </c>
      <c r="Y287">
        <f>IF(AND(A287&lt;&gt;"",B287="Active",'State Search'!$C$5&lt;&gt;"",OR(X287=",ALL,",ISNUMBER(SEARCH(","&amp;'State Search'!$C$5&amp;",",X287)))),W287,"")</f>
        <v/>
      </c>
    </row>
    <row r="288">
      <c r="A288" s="64" t="n"/>
      <c r="B288" s="65" t="n"/>
      <c r="C288" s="64" t="n"/>
      <c r="D288" s="66" t="n"/>
      <c r="E288" s="66" t="n"/>
      <c r="F288" s="67" t="n"/>
      <c r="G288" s="67" t="n"/>
      <c r="H288" s="67" t="n"/>
      <c r="I288" s="67" t="n"/>
      <c r="J288" s="67" t="n"/>
      <c r="K288" s="67" t="n"/>
      <c r="L288" s="67" t="n"/>
      <c r="M288" s="67" t="n"/>
      <c r="N288" s="65" t="n"/>
      <c r="O288" s="84">
        <f>IF(A288="","",IF(E288="","No date",IF(TODAY()&gt;=EDATE(E288,Review_Months),"Review Due","Current")))</f>
        <v/>
      </c>
      <c r="P288" s="84">
        <f>IF(A288="","",IF(COUNTIFS('AFA Rates'!$A$5:$A$1004,A288,'AFA Rates'!$O$5:$O$1004,"&lt;&gt;Expired")&gt;0,"Yes",IF(COUNTIF('AFA Rates'!$A$5:$A$1004,A288)&gt;0,"Expired only","No")))</f>
        <v/>
      </c>
      <c r="Q288" s="84">
        <f>IF(A288="","",COUNTIFS('AFA Rates'!$A$5:$A$1004,A288,'AFA Rates'!$O$5:$O$1004,"&lt;&gt;Expired"))</f>
        <v/>
      </c>
      <c r="R288" s="66" t="n"/>
      <c r="S288" s="64" t="n"/>
      <c r="T288" s="64" t="n"/>
      <c r="U288">
        <f>IF(AND(A288&lt;&gt;"",B288="Paused"),COUNTIFS($A$5:A288,"&lt;&gt;",$B$5:B288,"Paused"),"")</f>
        <v/>
      </c>
      <c r="V288">
        <f>IF(P288="Yes",COUNTIF($P$5:P288,"Yes"),"")</f>
        <v/>
      </c>
      <c r="W288">
        <f>IF(A288="","",COUNTIF($A$5:$A$1004,"&lt;"&amp;A288)+COUNTIF($A$5:A288,A288))</f>
        <v/>
      </c>
      <c r="X288">
        <f>","&amp;SUBSTITUTE(SUBSTITUTE(SUBSTITUTE(UPPER(C288)," ",""),";",","),"/",",")&amp;","</f>
        <v/>
      </c>
      <c r="Y288">
        <f>IF(AND(A288&lt;&gt;"",B288="Active",'State Search'!$C$5&lt;&gt;"",OR(X288=",ALL,",ISNUMBER(SEARCH(","&amp;'State Search'!$C$5&amp;",",X288)))),W288,"")</f>
        <v/>
      </c>
    </row>
    <row r="289">
      <c r="A289" s="64" t="n"/>
      <c r="B289" s="65" t="n"/>
      <c r="C289" s="64" t="n"/>
      <c r="D289" s="66" t="n"/>
      <c r="E289" s="66" t="n"/>
      <c r="F289" s="67" t="n"/>
      <c r="G289" s="67" t="n"/>
      <c r="H289" s="67" t="n"/>
      <c r="I289" s="67" t="n"/>
      <c r="J289" s="67" t="n"/>
      <c r="K289" s="67" t="n"/>
      <c r="L289" s="67" t="n"/>
      <c r="M289" s="67" t="n"/>
      <c r="N289" s="65" t="n"/>
      <c r="O289" s="84">
        <f>IF(A289="","",IF(E289="","No date",IF(TODAY()&gt;=EDATE(E289,Review_Months),"Review Due","Current")))</f>
        <v/>
      </c>
      <c r="P289" s="84">
        <f>IF(A289="","",IF(COUNTIFS('AFA Rates'!$A$5:$A$1004,A289,'AFA Rates'!$O$5:$O$1004,"&lt;&gt;Expired")&gt;0,"Yes",IF(COUNTIF('AFA Rates'!$A$5:$A$1004,A289)&gt;0,"Expired only","No")))</f>
        <v/>
      </c>
      <c r="Q289" s="84">
        <f>IF(A289="","",COUNTIFS('AFA Rates'!$A$5:$A$1004,A289,'AFA Rates'!$O$5:$O$1004,"&lt;&gt;Expired"))</f>
        <v/>
      </c>
      <c r="R289" s="66" t="n"/>
      <c r="S289" s="64" t="n"/>
      <c r="T289" s="64" t="n"/>
      <c r="U289">
        <f>IF(AND(A289&lt;&gt;"",B289="Paused"),COUNTIFS($A$5:A289,"&lt;&gt;",$B$5:B289,"Paused"),"")</f>
        <v/>
      </c>
      <c r="V289">
        <f>IF(P289="Yes",COUNTIF($P$5:P289,"Yes"),"")</f>
        <v/>
      </c>
      <c r="W289">
        <f>IF(A289="","",COUNTIF($A$5:$A$1004,"&lt;"&amp;A289)+COUNTIF($A$5:A289,A289))</f>
        <v/>
      </c>
      <c r="X289">
        <f>","&amp;SUBSTITUTE(SUBSTITUTE(SUBSTITUTE(UPPER(C289)," ",""),";",","),"/",",")&amp;","</f>
        <v/>
      </c>
      <c r="Y289">
        <f>IF(AND(A289&lt;&gt;"",B289="Active",'State Search'!$C$5&lt;&gt;"",OR(X289=",ALL,",ISNUMBER(SEARCH(","&amp;'State Search'!$C$5&amp;",",X289)))),W289,"")</f>
        <v/>
      </c>
    </row>
    <row r="290">
      <c r="A290" s="64" t="n"/>
      <c r="B290" s="65" t="n"/>
      <c r="C290" s="64" t="n"/>
      <c r="D290" s="66" t="n"/>
      <c r="E290" s="66" t="n"/>
      <c r="F290" s="67" t="n"/>
      <c r="G290" s="67" t="n"/>
      <c r="H290" s="67" t="n"/>
      <c r="I290" s="67" t="n"/>
      <c r="J290" s="67" t="n"/>
      <c r="K290" s="67" t="n"/>
      <c r="L290" s="67" t="n"/>
      <c r="M290" s="67" t="n"/>
      <c r="N290" s="65" t="n"/>
      <c r="O290" s="84">
        <f>IF(A290="","",IF(E290="","No date",IF(TODAY()&gt;=EDATE(E290,Review_Months),"Review Due","Current")))</f>
        <v/>
      </c>
      <c r="P290" s="84">
        <f>IF(A290="","",IF(COUNTIFS('AFA Rates'!$A$5:$A$1004,A290,'AFA Rates'!$O$5:$O$1004,"&lt;&gt;Expired")&gt;0,"Yes",IF(COUNTIF('AFA Rates'!$A$5:$A$1004,A290)&gt;0,"Expired only","No")))</f>
        <v/>
      </c>
      <c r="Q290" s="84">
        <f>IF(A290="","",COUNTIFS('AFA Rates'!$A$5:$A$1004,A290,'AFA Rates'!$O$5:$O$1004,"&lt;&gt;Expired"))</f>
        <v/>
      </c>
      <c r="R290" s="66" t="n"/>
      <c r="S290" s="64" t="n"/>
      <c r="T290" s="64" t="n"/>
      <c r="U290">
        <f>IF(AND(A290&lt;&gt;"",B290="Paused"),COUNTIFS($A$5:A290,"&lt;&gt;",$B$5:B290,"Paused"),"")</f>
        <v/>
      </c>
      <c r="V290">
        <f>IF(P290="Yes",COUNTIF($P$5:P290,"Yes"),"")</f>
        <v/>
      </c>
      <c r="W290">
        <f>IF(A290="","",COUNTIF($A$5:$A$1004,"&lt;"&amp;A290)+COUNTIF($A$5:A290,A290))</f>
        <v/>
      </c>
      <c r="X290">
        <f>","&amp;SUBSTITUTE(SUBSTITUTE(SUBSTITUTE(UPPER(C290)," ",""),";",","),"/",",")&amp;","</f>
        <v/>
      </c>
      <c r="Y290">
        <f>IF(AND(A290&lt;&gt;"",B290="Active",'State Search'!$C$5&lt;&gt;"",OR(X290=",ALL,",ISNUMBER(SEARCH(","&amp;'State Search'!$C$5&amp;",",X290)))),W290,"")</f>
        <v/>
      </c>
    </row>
    <row r="291">
      <c r="A291" s="64" t="n"/>
      <c r="B291" s="65" t="n"/>
      <c r="C291" s="64" t="n"/>
      <c r="D291" s="66" t="n"/>
      <c r="E291" s="66" t="n"/>
      <c r="F291" s="67" t="n"/>
      <c r="G291" s="67" t="n"/>
      <c r="H291" s="67" t="n"/>
      <c r="I291" s="67" t="n"/>
      <c r="J291" s="67" t="n"/>
      <c r="K291" s="67" t="n"/>
      <c r="L291" s="67" t="n"/>
      <c r="M291" s="67" t="n"/>
      <c r="N291" s="65" t="n"/>
      <c r="O291" s="84">
        <f>IF(A291="","",IF(E291="","No date",IF(TODAY()&gt;=EDATE(E291,Review_Months),"Review Due","Current")))</f>
        <v/>
      </c>
      <c r="P291" s="84">
        <f>IF(A291="","",IF(COUNTIFS('AFA Rates'!$A$5:$A$1004,A291,'AFA Rates'!$O$5:$O$1004,"&lt;&gt;Expired")&gt;0,"Yes",IF(COUNTIF('AFA Rates'!$A$5:$A$1004,A291)&gt;0,"Expired only","No")))</f>
        <v/>
      </c>
      <c r="Q291" s="84">
        <f>IF(A291="","",COUNTIFS('AFA Rates'!$A$5:$A$1004,A291,'AFA Rates'!$O$5:$O$1004,"&lt;&gt;Expired"))</f>
        <v/>
      </c>
      <c r="R291" s="66" t="n"/>
      <c r="S291" s="64" t="n"/>
      <c r="T291" s="64" t="n"/>
      <c r="U291">
        <f>IF(AND(A291&lt;&gt;"",B291="Paused"),COUNTIFS($A$5:A291,"&lt;&gt;",$B$5:B291,"Paused"),"")</f>
        <v/>
      </c>
      <c r="V291">
        <f>IF(P291="Yes",COUNTIF($P$5:P291,"Yes"),"")</f>
        <v/>
      </c>
      <c r="W291">
        <f>IF(A291="","",COUNTIF($A$5:$A$1004,"&lt;"&amp;A291)+COUNTIF($A$5:A291,A291))</f>
        <v/>
      </c>
      <c r="X291">
        <f>","&amp;SUBSTITUTE(SUBSTITUTE(SUBSTITUTE(UPPER(C291)," ",""),";",","),"/",",")&amp;","</f>
        <v/>
      </c>
      <c r="Y291">
        <f>IF(AND(A291&lt;&gt;"",B291="Active",'State Search'!$C$5&lt;&gt;"",OR(X291=",ALL,",ISNUMBER(SEARCH(","&amp;'State Search'!$C$5&amp;",",X291)))),W291,"")</f>
        <v/>
      </c>
    </row>
    <row r="292">
      <c r="A292" s="64" t="n"/>
      <c r="B292" s="65" t="n"/>
      <c r="C292" s="64" t="n"/>
      <c r="D292" s="66" t="n"/>
      <c r="E292" s="66" t="n"/>
      <c r="F292" s="67" t="n"/>
      <c r="G292" s="67" t="n"/>
      <c r="H292" s="67" t="n"/>
      <c r="I292" s="67" t="n"/>
      <c r="J292" s="67" t="n"/>
      <c r="K292" s="67" t="n"/>
      <c r="L292" s="67" t="n"/>
      <c r="M292" s="67" t="n"/>
      <c r="N292" s="65" t="n"/>
      <c r="O292" s="84">
        <f>IF(A292="","",IF(E292="","No date",IF(TODAY()&gt;=EDATE(E292,Review_Months),"Review Due","Current")))</f>
        <v/>
      </c>
      <c r="P292" s="84">
        <f>IF(A292="","",IF(COUNTIFS('AFA Rates'!$A$5:$A$1004,A292,'AFA Rates'!$O$5:$O$1004,"&lt;&gt;Expired")&gt;0,"Yes",IF(COUNTIF('AFA Rates'!$A$5:$A$1004,A292)&gt;0,"Expired only","No")))</f>
        <v/>
      </c>
      <c r="Q292" s="84">
        <f>IF(A292="","",COUNTIFS('AFA Rates'!$A$5:$A$1004,A292,'AFA Rates'!$O$5:$O$1004,"&lt;&gt;Expired"))</f>
        <v/>
      </c>
      <c r="R292" s="66" t="n"/>
      <c r="S292" s="64" t="n"/>
      <c r="T292" s="64" t="n"/>
      <c r="U292">
        <f>IF(AND(A292&lt;&gt;"",B292="Paused"),COUNTIFS($A$5:A292,"&lt;&gt;",$B$5:B292,"Paused"),"")</f>
        <v/>
      </c>
      <c r="V292">
        <f>IF(P292="Yes",COUNTIF($P$5:P292,"Yes"),"")</f>
        <v/>
      </c>
      <c r="W292">
        <f>IF(A292="","",COUNTIF($A$5:$A$1004,"&lt;"&amp;A292)+COUNTIF($A$5:A292,A292))</f>
        <v/>
      </c>
      <c r="X292">
        <f>","&amp;SUBSTITUTE(SUBSTITUTE(SUBSTITUTE(UPPER(C292)," ",""),";",","),"/",",")&amp;","</f>
        <v/>
      </c>
      <c r="Y292">
        <f>IF(AND(A292&lt;&gt;"",B292="Active",'State Search'!$C$5&lt;&gt;"",OR(X292=",ALL,",ISNUMBER(SEARCH(","&amp;'State Search'!$C$5&amp;",",X292)))),W292,"")</f>
        <v/>
      </c>
    </row>
    <row r="293">
      <c r="A293" s="64" t="n"/>
      <c r="B293" s="65" t="n"/>
      <c r="C293" s="64" t="n"/>
      <c r="D293" s="66" t="n"/>
      <c r="E293" s="66" t="n"/>
      <c r="F293" s="67" t="n"/>
      <c r="G293" s="67" t="n"/>
      <c r="H293" s="67" t="n"/>
      <c r="I293" s="67" t="n"/>
      <c r="J293" s="67" t="n"/>
      <c r="K293" s="67" t="n"/>
      <c r="L293" s="67" t="n"/>
      <c r="M293" s="67" t="n"/>
      <c r="N293" s="65" t="n"/>
      <c r="O293" s="84">
        <f>IF(A293="","",IF(E293="","No date",IF(TODAY()&gt;=EDATE(E293,Review_Months),"Review Due","Current")))</f>
        <v/>
      </c>
      <c r="P293" s="84">
        <f>IF(A293="","",IF(COUNTIFS('AFA Rates'!$A$5:$A$1004,A293,'AFA Rates'!$O$5:$O$1004,"&lt;&gt;Expired")&gt;0,"Yes",IF(COUNTIF('AFA Rates'!$A$5:$A$1004,A293)&gt;0,"Expired only","No")))</f>
        <v/>
      </c>
      <c r="Q293" s="84">
        <f>IF(A293="","",COUNTIFS('AFA Rates'!$A$5:$A$1004,A293,'AFA Rates'!$O$5:$O$1004,"&lt;&gt;Expired"))</f>
        <v/>
      </c>
      <c r="R293" s="66" t="n"/>
      <c r="S293" s="64" t="n"/>
      <c r="T293" s="64" t="n"/>
      <c r="U293">
        <f>IF(AND(A293&lt;&gt;"",B293="Paused"),COUNTIFS($A$5:A293,"&lt;&gt;",$B$5:B293,"Paused"),"")</f>
        <v/>
      </c>
      <c r="V293">
        <f>IF(P293="Yes",COUNTIF($P$5:P293,"Yes"),"")</f>
        <v/>
      </c>
      <c r="W293">
        <f>IF(A293="","",COUNTIF($A$5:$A$1004,"&lt;"&amp;A293)+COUNTIF($A$5:A293,A293))</f>
        <v/>
      </c>
      <c r="X293">
        <f>","&amp;SUBSTITUTE(SUBSTITUTE(SUBSTITUTE(UPPER(C293)," ",""),";",","),"/",",")&amp;","</f>
        <v/>
      </c>
      <c r="Y293">
        <f>IF(AND(A293&lt;&gt;"",B293="Active",'State Search'!$C$5&lt;&gt;"",OR(X293=",ALL,",ISNUMBER(SEARCH(","&amp;'State Search'!$C$5&amp;",",X293)))),W293,"")</f>
        <v/>
      </c>
    </row>
    <row r="294">
      <c r="A294" s="64" t="n"/>
      <c r="B294" s="65" t="n"/>
      <c r="C294" s="64" t="n"/>
      <c r="D294" s="66" t="n"/>
      <c r="E294" s="66" t="n"/>
      <c r="F294" s="67" t="n"/>
      <c r="G294" s="67" t="n"/>
      <c r="H294" s="67" t="n"/>
      <c r="I294" s="67" t="n"/>
      <c r="J294" s="67" t="n"/>
      <c r="K294" s="67" t="n"/>
      <c r="L294" s="67" t="n"/>
      <c r="M294" s="67" t="n"/>
      <c r="N294" s="65" t="n"/>
      <c r="O294" s="84">
        <f>IF(A294="","",IF(E294="","No date",IF(TODAY()&gt;=EDATE(E294,Review_Months),"Review Due","Current")))</f>
        <v/>
      </c>
      <c r="P294" s="84">
        <f>IF(A294="","",IF(COUNTIFS('AFA Rates'!$A$5:$A$1004,A294,'AFA Rates'!$O$5:$O$1004,"&lt;&gt;Expired")&gt;0,"Yes",IF(COUNTIF('AFA Rates'!$A$5:$A$1004,A294)&gt;0,"Expired only","No")))</f>
        <v/>
      </c>
      <c r="Q294" s="84">
        <f>IF(A294="","",COUNTIFS('AFA Rates'!$A$5:$A$1004,A294,'AFA Rates'!$O$5:$O$1004,"&lt;&gt;Expired"))</f>
        <v/>
      </c>
      <c r="R294" s="66" t="n"/>
      <c r="S294" s="64" t="n"/>
      <c r="T294" s="64" t="n"/>
      <c r="U294">
        <f>IF(AND(A294&lt;&gt;"",B294="Paused"),COUNTIFS($A$5:A294,"&lt;&gt;",$B$5:B294,"Paused"),"")</f>
        <v/>
      </c>
      <c r="V294">
        <f>IF(P294="Yes",COUNTIF($P$5:P294,"Yes"),"")</f>
        <v/>
      </c>
      <c r="W294">
        <f>IF(A294="","",COUNTIF($A$5:$A$1004,"&lt;"&amp;A294)+COUNTIF($A$5:A294,A294))</f>
        <v/>
      </c>
      <c r="X294">
        <f>","&amp;SUBSTITUTE(SUBSTITUTE(SUBSTITUTE(UPPER(C294)," ",""),";",","),"/",",")&amp;","</f>
        <v/>
      </c>
      <c r="Y294">
        <f>IF(AND(A294&lt;&gt;"",B294="Active",'State Search'!$C$5&lt;&gt;"",OR(X294=",ALL,",ISNUMBER(SEARCH(","&amp;'State Search'!$C$5&amp;",",X294)))),W294,"")</f>
        <v/>
      </c>
    </row>
    <row r="295">
      <c r="A295" s="64" t="n"/>
      <c r="B295" s="65" t="n"/>
      <c r="C295" s="64" t="n"/>
      <c r="D295" s="66" t="n"/>
      <c r="E295" s="66" t="n"/>
      <c r="F295" s="67" t="n"/>
      <c r="G295" s="67" t="n"/>
      <c r="H295" s="67" t="n"/>
      <c r="I295" s="67" t="n"/>
      <c r="J295" s="67" t="n"/>
      <c r="K295" s="67" t="n"/>
      <c r="L295" s="67" t="n"/>
      <c r="M295" s="67" t="n"/>
      <c r="N295" s="65" t="n"/>
      <c r="O295" s="84">
        <f>IF(A295="","",IF(E295="","No date",IF(TODAY()&gt;=EDATE(E295,Review_Months),"Review Due","Current")))</f>
        <v/>
      </c>
      <c r="P295" s="84">
        <f>IF(A295="","",IF(COUNTIFS('AFA Rates'!$A$5:$A$1004,A295,'AFA Rates'!$O$5:$O$1004,"&lt;&gt;Expired")&gt;0,"Yes",IF(COUNTIF('AFA Rates'!$A$5:$A$1004,A295)&gt;0,"Expired only","No")))</f>
        <v/>
      </c>
      <c r="Q295" s="84">
        <f>IF(A295="","",COUNTIFS('AFA Rates'!$A$5:$A$1004,A295,'AFA Rates'!$O$5:$O$1004,"&lt;&gt;Expired"))</f>
        <v/>
      </c>
      <c r="R295" s="66" t="n"/>
      <c r="S295" s="64" t="n"/>
      <c r="T295" s="64" t="n"/>
      <c r="U295">
        <f>IF(AND(A295&lt;&gt;"",B295="Paused"),COUNTIFS($A$5:A295,"&lt;&gt;",$B$5:B295,"Paused"),"")</f>
        <v/>
      </c>
      <c r="V295">
        <f>IF(P295="Yes",COUNTIF($P$5:P295,"Yes"),"")</f>
        <v/>
      </c>
      <c r="W295">
        <f>IF(A295="","",COUNTIF($A$5:$A$1004,"&lt;"&amp;A295)+COUNTIF($A$5:A295,A295))</f>
        <v/>
      </c>
      <c r="X295">
        <f>","&amp;SUBSTITUTE(SUBSTITUTE(SUBSTITUTE(UPPER(C295)," ",""),";",","),"/",",")&amp;","</f>
        <v/>
      </c>
      <c r="Y295">
        <f>IF(AND(A295&lt;&gt;"",B295="Active",'State Search'!$C$5&lt;&gt;"",OR(X295=",ALL,",ISNUMBER(SEARCH(","&amp;'State Search'!$C$5&amp;",",X295)))),W295,"")</f>
        <v/>
      </c>
    </row>
    <row r="296">
      <c r="A296" s="64" t="n"/>
      <c r="B296" s="65" t="n"/>
      <c r="C296" s="64" t="n"/>
      <c r="D296" s="66" t="n"/>
      <c r="E296" s="66" t="n"/>
      <c r="F296" s="67" t="n"/>
      <c r="G296" s="67" t="n"/>
      <c r="H296" s="67" t="n"/>
      <c r="I296" s="67" t="n"/>
      <c r="J296" s="67" t="n"/>
      <c r="K296" s="67" t="n"/>
      <c r="L296" s="67" t="n"/>
      <c r="M296" s="67" t="n"/>
      <c r="N296" s="65" t="n"/>
      <c r="O296" s="84">
        <f>IF(A296="","",IF(E296="","No date",IF(TODAY()&gt;=EDATE(E296,Review_Months),"Review Due","Current")))</f>
        <v/>
      </c>
      <c r="P296" s="84">
        <f>IF(A296="","",IF(COUNTIFS('AFA Rates'!$A$5:$A$1004,A296,'AFA Rates'!$O$5:$O$1004,"&lt;&gt;Expired")&gt;0,"Yes",IF(COUNTIF('AFA Rates'!$A$5:$A$1004,A296)&gt;0,"Expired only","No")))</f>
        <v/>
      </c>
      <c r="Q296" s="84">
        <f>IF(A296="","",COUNTIFS('AFA Rates'!$A$5:$A$1004,A296,'AFA Rates'!$O$5:$O$1004,"&lt;&gt;Expired"))</f>
        <v/>
      </c>
      <c r="R296" s="66" t="n"/>
      <c r="S296" s="64" t="n"/>
      <c r="T296" s="64" t="n"/>
      <c r="U296">
        <f>IF(AND(A296&lt;&gt;"",B296="Paused"),COUNTIFS($A$5:A296,"&lt;&gt;",$B$5:B296,"Paused"),"")</f>
        <v/>
      </c>
      <c r="V296">
        <f>IF(P296="Yes",COUNTIF($P$5:P296,"Yes"),"")</f>
        <v/>
      </c>
      <c r="W296">
        <f>IF(A296="","",COUNTIF($A$5:$A$1004,"&lt;"&amp;A296)+COUNTIF($A$5:A296,A296))</f>
        <v/>
      </c>
      <c r="X296">
        <f>","&amp;SUBSTITUTE(SUBSTITUTE(SUBSTITUTE(UPPER(C296)," ",""),";",","),"/",",")&amp;","</f>
        <v/>
      </c>
      <c r="Y296">
        <f>IF(AND(A296&lt;&gt;"",B296="Active",'State Search'!$C$5&lt;&gt;"",OR(X296=",ALL,",ISNUMBER(SEARCH(","&amp;'State Search'!$C$5&amp;",",X296)))),W296,"")</f>
        <v/>
      </c>
    </row>
    <row r="297">
      <c r="A297" s="64" t="n"/>
      <c r="B297" s="65" t="n"/>
      <c r="C297" s="64" t="n"/>
      <c r="D297" s="66" t="n"/>
      <c r="E297" s="66" t="n"/>
      <c r="F297" s="67" t="n"/>
      <c r="G297" s="67" t="n"/>
      <c r="H297" s="67" t="n"/>
      <c r="I297" s="67" t="n"/>
      <c r="J297" s="67" t="n"/>
      <c r="K297" s="67" t="n"/>
      <c r="L297" s="67" t="n"/>
      <c r="M297" s="67" t="n"/>
      <c r="N297" s="65" t="n"/>
      <c r="O297" s="84">
        <f>IF(A297="","",IF(E297="","No date",IF(TODAY()&gt;=EDATE(E297,Review_Months),"Review Due","Current")))</f>
        <v/>
      </c>
      <c r="P297" s="84">
        <f>IF(A297="","",IF(COUNTIFS('AFA Rates'!$A$5:$A$1004,A297,'AFA Rates'!$O$5:$O$1004,"&lt;&gt;Expired")&gt;0,"Yes",IF(COUNTIF('AFA Rates'!$A$5:$A$1004,A297)&gt;0,"Expired only","No")))</f>
        <v/>
      </c>
      <c r="Q297" s="84">
        <f>IF(A297="","",COUNTIFS('AFA Rates'!$A$5:$A$1004,A297,'AFA Rates'!$O$5:$O$1004,"&lt;&gt;Expired"))</f>
        <v/>
      </c>
      <c r="R297" s="66" t="n"/>
      <c r="S297" s="64" t="n"/>
      <c r="T297" s="64" t="n"/>
      <c r="U297">
        <f>IF(AND(A297&lt;&gt;"",B297="Paused"),COUNTIFS($A$5:A297,"&lt;&gt;",$B$5:B297,"Paused"),"")</f>
        <v/>
      </c>
      <c r="V297">
        <f>IF(P297="Yes",COUNTIF($P$5:P297,"Yes"),"")</f>
        <v/>
      </c>
      <c r="W297">
        <f>IF(A297="","",COUNTIF($A$5:$A$1004,"&lt;"&amp;A297)+COUNTIF($A$5:A297,A297))</f>
        <v/>
      </c>
      <c r="X297">
        <f>","&amp;SUBSTITUTE(SUBSTITUTE(SUBSTITUTE(UPPER(C297)," ",""),";",","),"/",",")&amp;","</f>
        <v/>
      </c>
      <c r="Y297">
        <f>IF(AND(A297&lt;&gt;"",B297="Active",'State Search'!$C$5&lt;&gt;"",OR(X297=",ALL,",ISNUMBER(SEARCH(","&amp;'State Search'!$C$5&amp;",",X297)))),W297,"")</f>
        <v/>
      </c>
    </row>
    <row r="298">
      <c r="A298" s="64" t="n"/>
      <c r="B298" s="65" t="n"/>
      <c r="C298" s="64" t="n"/>
      <c r="D298" s="66" t="n"/>
      <c r="E298" s="66" t="n"/>
      <c r="F298" s="67" t="n"/>
      <c r="G298" s="67" t="n"/>
      <c r="H298" s="67" t="n"/>
      <c r="I298" s="67" t="n"/>
      <c r="J298" s="67" t="n"/>
      <c r="K298" s="67" t="n"/>
      <c r="L298" s="67" t="n"/>
      <c r="M298" s="67" t="n"/>
      <c r="N298" s="65" t="n"/>
      <c r="O298" s="84">
        <f>IF(A298="","",IF(E298="","No date",IF(TODAY()&gt;=EDATE(E298,Review_Months),"Review Due","Current")))</f>
        <v/>
      </c>
      <c r="P298" s="84">
        <f>IF(A298="","",IF(COUNTIFS('AFA Rates'!$A$5:$A$1004,A298,'AFA Rates'!$O$5:$O$1004,"&lt;&gt;Expired")&gt;0,"Yes",IF(COUNTIF('AFA Rates'!$A$5:$A$1004,A298)&gt;0,"Expired only","No")))</f>
        <v/>
      </c>
      <c r="Q298" s="84">
        <f>IF(A298="","",COUNTIFS('AFA Rates'!$A$5:$A$1004,A298,'AFA Rates'!$O$5:$O$1004,"&lt;&gt;Expired"))</f>
        <v/>
      </c>
      <c r="R298" s="66" t="n"/>
      <c r="S298" s="64" t="n"/>
      <c r="T298" s="64" t="n"/>
      <c r="U298">
        <f>IF(AND(A298&lt;&gt;"",B298="Paused"),COUNTIFS($A$5:A298,"&lt;&gt;",$B$5:B298,"Paused"),"")</f>
        <v/>
      </c>
      <c r="V298">
        <f>IF(P298="Yes",COUNTIF($P$5:P298,"Yes"),"")</f>
        <v/>
      </c>
      <c r="W298">
        <f>IF(A298="","",COUNTIF($A$5:$A$1004,"&lt;"&amp;A298)+COUNTIF($A$5:A298,A298))</f>
        <v/>
      </c>
      <c r="X298">
        <f>","&amp;SUBSTITUTE(SUBSTITUTE(SUBSTITUTE(UPPER(C298)," ",""),";",","),"/",",")&amp;","</f>
        <v/>
      </c>
      <c r="Y298">
        <f>IF(AND(A298&lt;&gt;"",B298="Active",'State Search'!$C$5&lt;&gt;"",OR(X298=",ALL,",ISNUMBER(SEARCH(","&amp;'State Search'!$C$5&amp;",",X298)))),W298,"")</f>
        <v/>
      </c>
    </row>
    <row r="299">
      <c r="A299" s="64" t="n"/>
      <c r="B299" s="65" t="n"/>
      <c r="C299" s="64" t="n"/>
      <c r="D299" s="66" t="n"/>
      <c r="E299" s="66" t="n"/>
      <c r="F299" s="67" t="n"/>
      <c r="G299" s="67" t="n"/>
      <c r="H299" s="67" t="n"/>
      <c r="I299" s="67" t="n"/>
      <c r="J299" s="67" t="n"/>
      <c r="K299" s="67" t="n"/>
      <c r="L299" s="67" t="n"/>
      <c r="M299" s="67" t="n"/>
      <c r="N299" s="65" t="n"/>
      <c r="O299" s="84">
        <f>IF(A299="","",IF(E299="","No date",IF(TODAY()&gt;=EDATE(E299,Review_Months),"Review Due","Current")))</f>
        <v/>
      </c>
      <c r="P299" s="84">
        <f>IF(A299="","",IF(COUNTIFS('AFA Rates'!$A$5:$A$1004,A299,'AFA Rates'!$O$5:$O$1004,"&lt;&gt;Expired")&gt;0,"Yes",IF(COUNTIF('AFA Rates'!$A$5:$A$1004,A299)&gt;0,"Expired only","No")))</f>
        <v/>
      </c>
      <c r="Q299" s="84">
        <f>IF(A299="","",COUNTIFS('AFA Rates'!$A$5:$A$1004,A299,'AFA Rates'!$O$5:$O$1004,"&lt;&gt;Expired"))</f>
        <v/>
      </c>
      <c r="R299" s="66" t="n"/>
      <c r="S299" s="64" t="n"/>
      <c r="T299" s="64" t="n"/>
      <c r="U299">
        <f>IF(AND(A299&lt;&gt;"",B299="Paused"),COUNTIFS($A$5:A299,"&lt;&gt;",$B$5:B299,"Paused"),"")</f>
        <v/>
      </c>
      <c r="V299">
        <f>IF(P299="Yes",COUNTIF($P$5:P299,"Yes"),"")</f>
        <v/>
      </c>
      <c r="W299">
        <f>IF(A299="","",COUNTIF($A$5:$A$1004,"&lt;"&amp;A299)+COUNTIF($A$5:A299,A299))</f>
        <v/>
      </c>
      <c r="X299">
        <f>","&amp;SUBSTITUTE(SUBSTITUTE(SUBSTITUTE(UPPER(C299)," ",""),";",","),"/",",")&amp;","</f>
        <v/>
      </c>
      <c r="Y299">
        <f>IF(AND(A299&lt;&gt;"",B299="Active",'State Search'!$C$5&lt;&gt;"",OR(X299=",ALL,",ISNUMBER(SEARCH(","&amp;'State Search'!$C$5&amp;",",X299)))),W299,"")</f>
        <v/>
      </c>
    </row>
    <row r="300">
      <c r="A300" s="64" t="n"/>
      <c r="B300" s="65" t="n"/>
      <c r="C300" s="64" t="n"/>
      <c r="D300" s="66" t="n"/>
      <c r="E300" s="66" t="n"/>
      <c r="F300" s="67" t="n"/>
      <c r="G300" s="67" t="n"/>
      <c r="H300" s="67" t="n"/>
      <c r="I300" s="67" t="n"/>
      <c r="J300" s="67" t="n"/>
      <c r="K300" s="67" t="n"/>
      <c r="L300" s="67" t="n"/>
      <c r="M300" s="67" t="n"/>
      <c r="N300" s="65" t="n"/>
      <c r="O300" s="84">
        <f>IF(A300="","",IF(E300="","No date",IF(TODAY()&gt;=EDATE(E300,Review_Months),"Review Due","Current")))</f>
        <v/>
      </c>
      <c r="P300" s="84">
        <f>IF(A300="","",IF(COUNTIFS('AFA Rates'!$A$5:$A$1004,A300,'AFA Rates'!$O$5:$O$1004,"&lt;&gt;Expired")&gt;0,"Yes",IF(COUNTIF('AFA Rates'!$A$5:$A$1004,A300)&gt;0,"Expired only","No")))</f>
        <v/>
      </c>
      <c r="Q300" s="84">
        <f>IF(A300="","",COUNTIFS('AFA Rates'!$A$5:$A$1004,A300,'AFA Rates'!$O$5:$O$1004,"&lt;&gt;Expired"))</f>
        <v/>
      </c>
      <c r="R300" s="66" t="n"/>
      <c r="S300" s="64" t="n"/>
      <c r="T300" s="64" t="n"/>
      <c r="U300">
        <f>IF(AND(A300&lt;&gt;"",B300="Paused"),COUNTIFS($A$5:A300,"&lt;&gt;",$B$5:B300,"Paused"),"")</f>
        <v/>
      </c>
      <c r="V300">
        <f>IF(P300="Yes",COUNTIF($P$5:P300,"Yes"),"")</f>
        <v/>
      </c>
      <c r="W300">
        <f>IF(A300="","",COUNTIF($A$5:$A$1004,"&lt;"&amp;A300)+COUNTIF($A$5:A300,A300))</f>
        <v/>
      </c>
      <c r="X300">
        <f>","&amp;SUBSTITUTE(SUBSTITUTE(SUBSTITUTE(UPPER(C300)," ",""),";",","),"/",",")&amp;","</f>
        <v/>
      </c>
      <c r="Y300">
        <f>IF(AND(A300&lt;&gt;"",B300="Active",'State Search'!$C$5&lt;&gt;"",OR(X300=",ALL,",ISNUMBER(SEARCH(","&amp;'State Search'!$C$5&amp;",",X300)))),W300,"")</f>
        <v/>
      </c>
    </row>
    <row r="301">
      <c r="A301" s="64" t="n"/>
      <c r="B301" s="65" t="n"/>
      <c r="C301" s="64" t="n"/>
      <c r="D301" s="66" t="n"/>
      <c r="E301" s="66" t="n"/>
      <c r="F301" s="67" t="n"/>
      <c r="G301" s="67" t="n"/>
      <c r="H301" s="67" t="n"/>
      <c r="I301" s="67" t="n"/>
      <c r="J301" s="67" t="n"/>
      <c r="K301" s="67" t="n"/>
      <c r="L301" s="67" t="n"/>
      <c r="M301" s="67" t="n"/>
      <c r="N301" s="65" t="n"/>
      <c r="O301" s="84">
        <f>IF(A301="","",IF(E301="","No date",IF(TODAY()&gt;=EDATE(E301,Review_Months),"Review Due","Current")))</f>
        <v/>
      </c>
      <c r="P301" s="84">
        <f>IF(A301="","",IF(COUNTIFS('AFA Rates'!$A$5:$A$1004,A301,'AFA Rates'!$O$5:$O$1004,"&lt;&gt;Expired")&gt;0,"Yes",IF(COUNTIF('AFA Rates'!$A$5:$A$1004,A301)&gt;0,"Expired only","No")))</f>
        <v/>
      </c>
      <c r="Q301" s="84">
        <f>IF(A301="","",COUNTIFS('AFA Rates'!$A$5:$A$1004,A301,'AFA Rates'!$O$5:$O$1004,"&lt;&gt;Expired"))</f>
        <v/>
      </c>
      <c r="R301" s="66" t="n"/>
      <c r="S301" s="64" t="n"/>
      <c r="T301" s="64" t="n"/>
      <c r="U301">
        <f>IF(AND(A301&lt;&gt;"",B301="Paused"),COUNTIFS($A$5:A301,"&lt;&gt;",$B$5:B301,"Paused"),"")</f>
        <v/>
      </c>
      <c r="V301">
        <f>IF(P301="Yes",COUNTIF($P$5:P301,"Yes"),"")</f>
        <v/>
      </c>
      <c r="W301">
        <f>IF(A301="","",COUNTIF($A$5:$A$1004,"&lt;"&amp;A301)+COUNTIF($A$5:A301,A301))</f>
        <v/>
      </c>
      <c r="X301">
        <f>","&amp;SUBSTITUTE(SUBSTITUTE(SUBSTITUTE(UPPER(C301)," ",""),";",","),"/",",")&amp;","</f>
        <v/>
      </c>
      <c r="Y301">
        <f>IF(AND(A301&lt;&gt;"",B301="Active",'State Search'!$C$5&lt;&gt;"",OR(X301=",ALL,",ISNUMBER(SEARCH(","&amp;'State Search'!$C$5&amp;",",X301)))),W301,"")</f>
        <v/>
      </c>
    </row>
    <row r="302">
      <c r="A302" s="64" t="n"/>
      <c r="B302" s="65" t="n"/>
      <c r="C302" s="64" t="n"/>
      <c r="D302" s="66" t="n"/>
      <c r="E302" s="66" t="n"/>
      <c r="F302" s="67" t="n"/>
      <c r="G302" s="67" t="n"/>
      <c r="H302" s="67" t="n"/>
      <c r="I302" s="67" t="n"/>
      <c r="J302" s="67" t="n"/>
      <c r="K302" s="67" t="n"/>
      <c r="L302" s="67" t="n"/>
      <c r="M302" s="67" t="n"/>
      <c r="N302" s="65" t="n"/>
      <c r="O302" s="84">
        <f>IF(A302="","",IF(E302="","No date",IF(TODAY()&gt;=EDATE(E302,Review_Months),"Review Due","Current")))</f>
        <v/>
      </c>
      <c r="P302" s="84">
        <f>IF(A302="","",IF(COUNTIFS('AFA Rates'!$A$5:$A$1004,A302,'AFA Rates'!$O$5:$O$1004,"&lt;&gt;Expired")&gt;0,"Yes",IF(COUNTIF('AFA Rates'!$A$5:$A$1004,A302)&gt;0,"Expired only","No")))</f>
        <v/>
      </c>
      <c r="Q302" s="84">
        <f>IF(A302="","",COUNTIFS('AFA Rates'!$A$5:$A$1004,A302,'AFA Rates'!$O$5:$O$1004,"&lt;&gt;Expired"))</f>
        <v/>
      </c>
      <c r="R302" s="66" t="n"/>
      <c r="S302" s="64" t="n"/>
      <c r="T302" s="64" t="n"/>
      <c r="U302">
        <f>IF(AND(A302&lt;&gt;"",B302="Paused"),COUNTIFS($A$5:A302,"&lt;&gt;",$B$5:B302,"Paused"),"")</f>
        <v/>
      </c>
      <c r="V302">
        <f>IF(P302="Yes",COUNTIF($P$5:P302,"Yes"),"")</f>
        <v/>
      </c>
      <c r="W302">
        <f>IF(A302="","",COUNTIF($A$5:$A$1004,"&lt;"&amp;A302)+COUNTIF($A$5:A302,A302))</f>
        <v/>
      </c>
      <c r="X302">
        <f>","&amp;SUBSTITUTE(SUBSTITUTE(SUBSTITUTE(UPPER(C302)," ",""),";",","),"/",",")&amp;","</f>
        <v/>
      </c>
      <c r="Y302">
        <f>IF(AND(A302&lt;&gt;"",B302="Active",'State Search'!$C$5&lt;&gt;"",OR(X302=",ALL,",ISNUMBER(SEARCH(","&amp;'State Search'!$C$5&amp;",",X302)))),W302,"")</f>
        <v/>
      </c>
    </row>
    <row r="303">
      <c r="A303" s="64" t="n"/>
      <c r="B303" s="65" t="n"/>
      <c r="C303" s="64" t="n"/>
      <c r="D303" s="66" t="n"/>
      <c r="E303" s="66" t="n"/>
      <c r="F303" s="67" t="n"/>
      <c r="G303" s="67" t="n"/>
      <c r="H303" s="67" t="n"/>
      <c r="I303" s="67" t="n"/>
      <c r="J303" s="67" t="n"/>
      <c r="K303" s="67" t="n"/>
      <c r="L303" s="67" t="n"/>
      <c r="M303" s="67" t="n"/>
      <c r="N303" s="65" t="n"/>
      <c r="O303" s="84">
        <f>IF(A303="","",IF(E303="","No date",IF(TODAY()&gt;=EDATE(E303,Review_Months),"Review Due","Current")))</f>
        <v/>
      </c>
      <c r="P303" s="84">
        <f>IF(A303="","",IF(COUNTIFS('AFA Rates'!$A$5:$A$1004,A303,'AFA Rates'!$O$5:$O$1004,"&lt;&gt;Expired")&gt;0,"Yes",IF(COUNTIF('AFA Rates'!$A$5:$A$1004,A303)&gt;0,"Expired only","No")))</f>
        <v/>
      </c>
      <c r="Q303" s="84">
        <f>IF(A303="","",COUNTIFS('AFA Rates'!$A$5:$A$1004,A303,'AFA Rates'!$O$5:$O$1004,"&lt;&gt;Expired"))</f>
        <v/>
      </c>
      <c r="R303" s="66" t="n"/>
      <c r="S303" s="64" t="n"/>
      <c r="T303" s="64" t="n"/>
      <c r="U303">
        <f>IF(AND(A303&lt;&gt;"",B303="Paused"),COUNTIFS($A$5:A303,"&lt;&gt;",$B$5:B303,"Paused"),"")</f>
        <v/>
      </c>
      <c r="V303">
        <f>IF(P303="Yes",COUNTIF($P$5:P303,"Yes"),"")</f>
        <v/>
      </c>
      <c r="W303">
        <f>IF(A303="","",COUNTIF($A$5:$A$1004,"&lt;"&amp;A303)+COUNTIF($A$5:A303,A303))</f>
        <v/>
      </c>
      <c r="X303">
        <f>","&amp;SUBSTITUTE(SUBSTITUTE(SUBSTITUTE(UPPER(C303)," ",""),";",","),"/",",")&amp;","</f>
        <v/>
      </c>
      <c r="Y303">
        <f>IF(AND(A303&lt;&gt;"",B303="Active",'State Search'!$C$5&lt;&gt;"",OR(X303=",ALL,",ISNUMBER(SEARCH(","&amp;'State Search'!$C$5&amp;",",X303)))),W303,"")</f>
        <v/>
      </c>
    </row>
    <row r="304">
      <c r="A304" s="64" t="n"/>
      <c r="B304" s="65" t="n"/>
      <c r="C304" s="64" t="n"/>
      <c r="D304" s="66" t="n"/>
      <c r="E304" s="66" t="n"/>
      <c r="F304" s="67" t="n"/>
      <c r="G304" s="67" t="n"/>
      <c r="H304" s="67" t="n"/>
      <c r="I304" s="67" t="n"/>
      <c r="J304" s="67" t="n"/>
      <c r="K304" s="67" t="n"/>
      <c r="L304" s="67" t="n"/>
      <c r="M304" s="67" t="n"/>
      <c r="N304" s="65" t="n"/>
      <c r="O304" s="84">
        <f>IF(A304="","",IF(E304="","No date",IF(TODAY()&gt;=EDATE(E304,Review_Months),"Review Due","Current")))</f>
        <v/>
      </c>
      <c r="P304" s="84">
        <f>IF(A304="","",IF(COUNTIFS('AFA Rates'!$A$5:$A$1004,A304,'AFA Rates'!$O$5:$O$1004,"&lt;&gt;Expired")&gt;0,"Yes",IF(COUNTIF('AFA Rates'!$A$5:$A$1004,A304)&gt;0,"Expired only","No")))</f>
        <v/>
      </c>
      <c r="Q304" s="84">
        <f>IF(A304="","",COUNTIFS('AFA Rates'!$A$5:$A$1004,A304,'AFA Rates'!$O$5:$O$1004,"&lt;&gt;Expired"))</f>
        <v/>
      </c>
      <c r="R304" s="66" t="n"/>
      <c r="S304" s="64" t="n"/>
      <c r="T304" s="64" t="n"/>
      <c r="U304">
        <f>IF(AND(A304&lt;&gt;"",B304="Paused"),COUNTIFS($A$5:A304,"&lt;&gt;",$B$5:B304,"Paused"),"")</f>
        <v/>
      </c>
      <c r="V304">
        <f>IF(P304="Yes",COUNTIF($P$5:P304,"Yes"),"")</f>
        <v/>
      </c>
      <c r="W304">
        <f>IF(A304="","",COUNTIF($A$5:$A$1004,"&lt;"&amp;A304)+COUNTIF($A$5:A304,A304))</f>
        <v/>
      </c>
      <c r="X304">
        <f>","&amp;SUBSTITUTE(SUBSTITUTE(SUBSTITUTE(UPPER(C304)," ",""),";",","),"/",",")&amp;","</f>
        <v/>
      </c>
      <c r="Y304">
        <f>IF(AND(A304&lt;&gt;"",B304="Active",'State Search'!$C$5&lt;&gt;"",OR(X304=",ALL,",ISNUMBER(SEARCH(","&amp;'State Search'!$C$5&amp;",",X304)))),W304,"")</f>
        <v/>
      </c>
    </row>
    <row r="305">
      <c r="A305" s="64" t="n"/>
      <c r="B305" s="65" t="n"/>
      <c r="C305" s="64" t="n"/>
      <c r="D305" s="66" t="n"/>
      <c r="E305" s="66" t="n"/>
      <c r="F305" s="67" t="n"/>
      <c r="G305" s="67" t="n"/>
      <c r="H305" s="67" t="n"/>
      <c r="I305" s="67" t="n"/>
      <c r="J305" s="67" t="n"/>
      <c r="K305" s="67" t="n"/>
      <c r="L305" s="67" t="n"/>
      <c r="M305" s="67" t="n"/>
      <c r="N305" s="65" t="n"/>
      <c r="O305" s="84">
        <f>IF(A305="","",IF(E305="","No date",IF(TODAY()&gt;=EDATE(E305,Review_Months),"Review Due","Current")))</f>
        <v/>
      </c>
      <c r="P305" s="84">
        <f>IF(A305="","",IF(COUNTIFS('AFA Rates'!$A$5:$A$1004,A305,'AFA Rates'!$O$5:$O$1004,"&lt;&gt;Expired")&gt;0,"Yes",IF(COUNTIF('AFA Rates'!$A$5:$A$1004,A305)&gt;0,"Expired only","No")))</f>
        <v/>
      </c>
      <c r="Q305" s="84">
        <f>IF(A305="","",COUNTIFS('AFA Rates'!$A$5:$A$1004,A305,'AFA Rates'!$O$5:$O$1004,"&lt;&gt;Expired"))</f>
        <v/>
      </c>
      <c r="R305" s="66" t="n"/>
      <c r="S305" s="64" t="n"/>
      <c r="T305" s="64" t="n"/>
      <c r="U305">
        <f>IF(AND(A305&lt;&gt;"",B305="Paused"),COUNTIFS($A$5:A305,"&lt;&gt;",$B$5:B305,"Paused"),"")</f>
        <v/>
      </c>
      <c r="V305">
        <f>IF(P305="Yes",COUNTIF($P$5:P305,"Yes"),"")</f>
        <v/>
      </c>
      <c r="W305">
        <f>IF(A305="","",COUNTIF($A$5:$A$1004,"&lt;"&amp;A305)+COUNTIF($A$5:A305,A305))</f>
        <v/>
      </c>
      <c r="X305">
        <f>","&amp;SUBSTITUTE(SUBSTITUTE(SUBSTITUTE(UPPER(C305)," ",""),";",","),"/",",")&amp;","</f>
        <v/>
      </c>
      <c r="Y305">
        <f>IF(AND(A305&lt;&gt;"",B305="Active",'State Search'!$C$5&lt;&gt;"",OR(X305=",ALL,",ISNUMBER(SEARCH(","&amp;'State Search'!$C$5&amp;",",X305)))),W305,"")</f>
        <v/>
      </c>
    </row>
    <row r="306">
      <c r="A306" s="64" t="n"/>
      <c r="B306" s="65" t="n"/>
      <c r="C306" s="64" t="n"/>
      <c r="D306" s="66" t="n"/>
      <c r="E306" s="66" t="n"/>
      <c r="F306" s="67" t="n"/>
      <c r="G306" s="67" t="n"/>
      <c r="H306" s="67" t="n"/>
      <c r="I306" s="67" t="n"/>
      <c r="J306" s="67" t="n"/>
      <c r="K306" s="67" t="n"/>
      <c r="L306" s="67" t="n"/>
      <c r="M306" s="67" t="n"/>
      <c r="N306" s="65" t="n"/>
      <c r="O306" s="84">
        <f>IF(A306="","",IF(E306="","No date",IF(TODAY()&gt;=EDATE(E306,Review_Months),"Review Due","Current")))</f>
        <v/>
      </c>
      <c r="P306" s="84">
        <f>IF(A306="","",IF(COUNTIFS('AFA Rates'!$A$5:$A$1004,A306,'AFA Rates'!$O$5:$O$1004,"&lt;&gt;Expired")&gt;0,"Yes",IF(COUNTIF('AFA Rates'!$A$5:$A$1004,A306)&gt;0,"Expired only","No")))</f>
        <v/>
      </c>
      <c r="Q306" s="84">
        <f>IF(A306="","",COUNTIFS('AFA Rates'!$A$5:$A$1004,A306,'AFA Rates'!$O$5:$O$1004,"&lt;&gt;Expired"))</f>
        <v/>
      </c>
      <c r="R306" s="66" t="n"/>
      <c r="S306" s="64" t="n"/>
      <c r="T306" s="64" t="n"/>
      <c r="U306">
        <f>IF(AND(A306&lt;&gt;"",B306="Paused"),COUNTIFS($A$5:A306,"&lt;&gt;",$B$5:B306,"Paused"),"")</f>
        <v/>
      </c>
      <c r="V306">
        <f>IF(P306="Yes",COUNTIF($P$5:P306,"Yes"),"")</f>
        <v/>
      </c>
      <c r="W306">
        <f>IF(A306="","",COUNTIF($A$5:$A$1004,"&lt;"&amp;A306)+COUNTIF($A$5:A306,A306))</f>
        <v/>
      </c>
      <c r="X306">
        <f>","&amp;SUBSTITUTE(SUBSTITUTE(SUBSTITUTE(UPPER(C306)," ",""),";",","),"/",",")&amp;","</f>
        <v/>
      </c>
      <c r="Y306">
        <f>IF(AND(A306&lt;&gt;"",B306="Active",'State Search'!$C$5&lt;&gt;"",OR(X306=",ALL,",ISNUMBER(SEARCH(","&amp;'State Search'!$C$5&amp;",",X306)))),W306,"")</f>
        <v/>
      </c>
    </row>
    <row r="307">
      <c r="A307" s="64" t="n"/>
      <c r="B307" s="65" t="n"/>
      <c r="C307" s="64" t="n"/>
      <c r="D307" s="66" t="n"/>
      <c r="E307" s="66" t="n"/>
      <c r="F307" s="67" t="n"/>
      <c r="G307" s="67" t="n"/>
      <c r="H307" s="67" t="n"/>
      <c r="I307" s="67" t="n"/>
      <c r="J307" s="67" t="n"/>
      <c r="K307" s="67" t="n"/>
      <c r="L307" s="67" t="n"/>
      <c r="M307" s="67" t="n"/>
      <c r="N307" s="65" t="n"/>
      <c r="O307" s="84">
        <f>IF(A307="","",IF(E307="","No date",IF(TODAY()&gt;=EDATE(E307,Review_Months),"Review Due","Current")))</f>
        <v/>
      </c>
      <c r="P307" s="84">
        <f>IF(A307="","",IF(COUNTIFS('AFA Rates'!$A$5:$A$1004,A307,'AFA Rates'!$O$5:$O$1004,"&lt;&gt;Expired")&gt;0,"Yes",IF(COUNTIF('AFA Rates'!$A$5:$A$1004,A307)&gt;0,"Expired only","No")))</f>
        <v/>
      </c>
      <c r="Q307" s="84">
        <f>IF(A307="","",COUNTIFS('AFA Rates'!$A$5:$A$1004,A307,'AFA Rates'!$O$5:$O$1004,"&lt;&gt;Expired"))</f>
        <v/>
      </c>
      <c r="R307" s="66" t="n"/>
      <c r="S307" s="64" t="n"/>
      <c r="T307" s="64" t="n"/>
      <c r="U307">
        <f>IF(AND(A307&lt;&gt;"",B307="Paused"),COUNTIFS($A$5:A307,"&lt;&gt;",$B$5:B307,"Paused"),"")</f>
        <v/>
      </c>
      <c r="V307">
        <f>IF(P307="Yes",COUNTIF($P$5:P307,"Yes"),"")</f>
        <v/>
      </c>
      <c r="W307">
        <f>IF(A307="","",COUNTIF($A$5:$A$1004,"&lt;"&amp;A307)+COUNTIF($A$5:A307,A307))</f>
        <v/>
      </c>
      <c r="X307">
        <f>","&amp;SUBSTITUTE(SUBSTITUTE(SUBSTITUTE(UPPER(C307)," ",""),";",","),"/",",")&amp;","</f>
        <v/>
      </c>
      <c r="Y307">
        <f>IF(AND(A307&lt;&gt;"",B307="Active",'State Search'!$C$5&lt;&gt;"",OR(X307=",ALL,",ISNUMBER(SEARCH(","&amp;'State Search'!$C$5&amp;",",X307)))),W307,"")</f>
        <v/>
      </c>
    </row>
    <row r="308">
      <c r="A308" s="64" t="n"/>
      <c r="B308" s="65" t="n"/>
      <c r="C308" s="64" t="n"/>
      <c r="D308" s="66" t="n"/>
      <c r="E308" s="66" t="n"/>
      <c r="F308" s="67" t="n"/>
      <c r="G308" s="67" t="n"/>
      <c r="H308" s="67" t="n"/>
      <c r="I308" s="67" t="n"/>
      <c r="J308" s="67" t="n"/>
      <c r="K308" s="67" t="n"/>
      <c r="L308" s="67" t="n"/>
      <c r="M308" s="67" t="n"/>
      <c r="N308" s="65" t="n"/>
      <c r="O308" s="84">
        <f>IF(A308="","",IF(E308="","No date",IF(TODAY()&gt;=EDATE(E308,Review_Months),"Review Due","Current")))</f>
        <v/>
      </c>
      <c r="P308" s="84">
        <f>IF(A308="","",IF(COUNTIFS('AFA Rates'!$A$5:$A$1004,A308,'AFA Rates'!$O$5:$O$1004,"&lt;&gt;Expired")&gt;0,"Yes",IF(COUNTIF('AFA Rates'!$A$5:$A$1004,A308)&gt;0,"Expired only","No")))</f>
        <v/>
      </c>
      <c r="Q308" s="84">
        <f>IF(A308="","",COUNTIFS('AFA Rates'!$A$5:$A$1004,A308,'AFA Rates'!$O$5:$O$1004,"&lt;&gt;Expired"))</f>
        <v/>
      </c>
      <c r="R308" s="66" t="n"/>
      <c r="S308" s="64" t="n"/>
      <c r="T308" s="64" t="n"/>
      <c r="U308">
        <f>IF(AND(A308&lt;&gt;"",B308="Paused"),COUNTIFS($A$5:A308,"&lt;&gt;",$B$5:B308,"Paused"),"")</f>
        <v/>
      </c>
      <c r="V308">
        <f>IF(P308="Yes",COUNTIF($P$5:P308,"Yes"),"")</f>
        <v/>
      </c>
      <c r="W308">
        <f>IF(A308="","",COUNTIF($A$5:$A$1004,"&lt;"&amp;A308)+COUNTIF($A$5:A308,A308))</f>
        <v/>
      </c>
      <c r="X308">
        <f>","&amp;SUBSTITUTE(SUBSTITUTE(SUBSTITUTE(UPPER(C308)," ",""),";",","),"/",",")&amp;","</f>
        <v/>
      </c>
      <c r="Y308">
        <f>IF(AND(A308&lt;&gt;"",B308="Active",'State Search'!$C$5&lt;&gt;"",OR(X308=",ALL,",ISNUMBER(SEARCH(","&amp;'State Search'!$C$5&amp;",",X308)))),W308,"")</f>
        <v/>
      </c>
    </row>
    <row r="309">
      <c r="A309" s="64" t="n"/>
      <c r="B309" s="65" t="n"/>
      <c r="C309" s="64" t="n"/>
      <c r="D309" s="66" t="n"/>
      <c r="E309" s="66" t="n"/>
      <c r="F309" s="67" t="n"/>
      <c r="G309" s="67" t="n"/>
      <c r="H309" s="67" t="n"/>
      <c r="I309" s="67" t="n"/>
      <c r="J309" s="67" t="n"/>
      <c r="K309" s="67" t="n"/>
      <c r="L309" s="67" t="n"/>
      <c r="M309" s="67" t="n"/>
      <c r="N309" s="65" t="n"/>
      <c r="O309" s="84">
        <f>IF(A309="","",IF(E309="","No date",IF(TODAY()&gt;=EDATE(E309,Review_Months),"Review Due","Current")))</f>
        <v/>
      </c>
      <c r="P309" s="84">
        <f>IF(A309="","",IF(COUNTIFS('AFA Rates'!$A$5:$A$1004,A309,'AFA Rates'!$O$5:$O$1004,"&lt;&gt;Expired")&gt;0,"Yes",IF(COUNTIF('AFA Rates'!$A$5:$A$1004,A309)&gt;0,"Expired only","No")))</f>
        <v/>
      </c>
      <c r="Q309" s="84">
        <f>IF(A309="","",COUNTIFS('AFA Rates'!$A$5:$A$1004,A309,'AFA Rates'!$O$5:$O$1004,"&lt;&gt;Expired"))</f>
        <v/>
      </c>
      <c r="R309" s="66" t="n"/>
      <c r="S309" s="64" t="n"/>
      <c r="T309" s="64" t="n"/>
      <c r="U309">
        <f>IF(AND(A309&lt;&gt;"",B309="Paused"),COUNTIFS($A$5:A309,"&lt;&gt;",$B$5:B309,"Paused"),"")</f>
        <v/>
      </c>
      <c r="V309">
        <f>IF(P309="Yes",COUNTIF($P$5:P309,"Yes"),"")</f>
        <v/>
      </c>
      <c r="W309">
        <f>IF(A309="","",COUNTIF($A$5:$A$1004,"&lt;"&amp;A309)+COUNTIF($A$5:A309,A309))</f>
        <v/>
      </c>
      <c r="X309">
        <f>","&amp;SUBSTITUTE(SUBSTITUTE(SUBSTITUTE(UPPER(C309)," ",""),";",","),"/",",")&amp;","</f>
        <v/>
      </c>
      <c r="Y309">
        <f>IF(AND(A309&lt;&gt;"",B309="Active",'State Search'!$C$5&lt;&gt;"",OR(X309=",ALL,",ISNUMBER(SEARCH(","&amp;'State Search'!$C$5&amp;",",X309)))),W309,"")</f>
        <v/>
      </c>
    </row>
    <row r="310">
      <c r="A310" s="64" t="n"/>
      <c r="B310" s="65" t="n"/>
      <c r="C310" s="64" t="n"/>
      <c r="D310" s="66" t="n"/>
      <c r="E310" s="66" t="n"/>
      <c r="F310" s="67" t="n"/>
      <c r="G310" s="67" t="n"/>
      <c r="H310" s="67" t="n"/>
      <c r="I310" s="67" t="n"/>
      <c r="J310" s="67" t="n"/>
      <c r="K310" s="67" t="n"/>
      <c r="L310" s="67" t="n"/>
      <c r="M310" s="67" t="n"/>
      <c r="N310" s="65" t="n"/>
      <c r="O310" s="84">
        <f>IF(A310="","",IF(E310="","No date",IF(TODAY()&gt;=EDATE(E310,Review_Months),"Review Due","Current")))</f>
        <v/>
      </c>
      <c r="P310" s="84">
        <f>IF(A310="","",IF(COUNTIFS('AFA Rates'!$A$5:$A$1004,A310,'AFA Rates'!$O$5:$O$1004,"&lt;&gt;Expired")&gt;0,"Yes",IF(COUNTIF('AFA Rates'!$A$5:$A$1004,A310)&gt;0,"Expired only","No")))</f>
        <v/>
      </c>
      <c r="Q310" s="84">
        <f>IF(A310="","",COUNTIFS('AFA Rates'!$A$5:$A$1004,A310,'AFA Rates'!$O$5:$O$1004,"&lt;&gt;Expired"))</f>
        <v/>
      </c>
      <c r="R310" s="66" t="n"/>
      <c r="S310" s="64" t="n"/>
      <c r="T310" s="64" t="n"/>
      <c r="U310">
        <f>IF(AND(A310&lt;&gt;"",B310="Paused"),COUNTIFS($A$5:A310,"&lt;&gt;",$B$5:B310,"Paused"),"")</f>
        <v/>
      </c>
      <c r="V310">
        <f>IF(P310="Yes",COUNTIF($P$5:P310,"Yes"),"")</f>
        <v/>
      </c>
      <c r="W310">
        <f>IF(A310="","",COUNTIF($A$5:$A$1004,"&lt;"&amp;A310)+COUNTIF($A$5:A310,A310))</f>
        <v/>
      </c>
      <c r="X310">
        <f>","&amp;SUBSTITUTE(SUBSTITUTE(SUBSTITUTE(UPPER(C310)," ",""),";",","),"/",",")&amp;","</f>
        <v/>
      </c>
      <c r="Y310">
        <f>IF(AND(A310&lt;&gt;"",B310="Active",'State Search'!$C$5&lt;&gt;"",OR(X310=",ALL,",ISNUMBER(SEARCH(","&amp;'State Search'!$C$5&amp;",",X310)))),W310,"")</f>
        <v/>
      </c>
    </row>
    <row r="311">
      <c r="A311" s="64" t="n"/>
      <c r="B311" s="65" t="n"/>
      <c r="C311" s="64" t="n"/>
      <c r="D311" s="66" t="n"/>
      <c r="E311" s="66" t="n"/>
      <c r="F311" s="67" t="n"/>
      <c r="G311" s="67" t="n"/>
      <c r="H311" s="67" t="n"/>
      <c r="I311" s="67" t="n"/>
      <c r="J311" s="67" t="n"/>
      <c r="K311" s="67" t="n"/>
      <c r="L311" s="67" t="n"/>
      <c r="M311" s="67" t="n"/>
      <c r="N311" s="65" t="n"/>
      <c r="O311" s="84">
        <f>IF(A311="","",IF(E311="","No date",IF(TODAY()&gt;=EDATE(E311,Review_Months),"Review Due","Current")))</f>
        <v/>
      </c>
      <c r="P311" s="84">
        <f>IF(A311="","",IF(COUNTIFS('AFA Rates'!$A$5:$A$1004,A311,'AFA Rates'!$O$5:$O$1004,"&lt;&gt;Expired")&gt;0,"Yes",IF(COUNTIF('AFA Rates'!$A$5:$A$1004,A311)&gt;0,"Expired only","No")))</f>
        <v/>
      </c>
      <c r="Q311" s="84">
        <f>IF(A311="","",COUNTIFS('AFA Rates'!$A$5:$A$1004,A311,'AFA Rates'!$O$5:$O$1004,"&lt;&gt;Expired"))</f>
        <v/>
      </c>
      <c r="R311" s="66" t="n"/>
      <c r="S311" s="64" t="n"/>
      <c r="T311" s="64" t="n"/>
      <c r="U311">
        <f>IF(AND(A311&lt;&gt;"",B311="Paused"),COUNTIFS($A$5:A311,"&lt;&gt;",$B$5:B311,"Paused"),"")</f>
        <v/>
      </c>
      <c r="V311">
        <f>IF(P311="Yes",COUNTIF($P$5:P311,"Yes"),"")</f>
        <v/>
      </c>
      <c r="W311">
        <f>IF(A311="","",COUNTIF($A$5:$A$1004,"&lt;"&amp;A311)+COUNTIF($A$5:A311,A311))</f>
        <v/>
      </c>
      <c r="X311">
        <f>","&amp;SUBSTITUTE(SUBSTITUTE(SUBSTITUTE(UPPER(C311)," ",""),";",","),"/",",")&amp;","</f>
        <v/>
      </c>
      <c r="Y311">
        <f>IF(AND(A311&lt;&gt;"",B311="Active",'State Search'!$C$5&lt;&gt;"",OR(X311=",ALL,",ISNUMBER(SEARCH(","&amp;'State Search'!$C$5&amp;",",X311)))),W311,"")</f>
        <v/>
      </c>
    </row>
    <row r="312">
      <c r="A312" s="64" t="n"/>
      <c r="B312" s="65" t="n"/>
      <c r="C312" s="64" t="n"/>
      <c r="D312" s="66" t="n"/>
      <c r="E312" s="66" t="n"/>
      <c r="F312" s="67" t="n"/>
      <c r="G312" s="67" t="n"/>
      <c r="H312" s="67" t="n"/>
      <c r="I312" s="67" t="n"/>
      <c r="J312" s="67" t="n"/>
      <c r="K312" s="67" t="n"/>
      <c r="L312" s="67" t="n"/>
      <c r="M312" s="67" t="n"/>
      <c r="N312" s="65" t="n"/>
      <c r="O312" s="84">
        <f>IF(A312="","",IF(E312="","No date",IF(TODAY()&gt;=EDATE(E312,Review_Months),"Review Due","Current")))</f>
        <v/>
      </c>
      <c r="P312" s="84">
        <f>IF(A312="","",IF(COUNTIFS('AFA Rates'!$A$5:$A$1004,A312,'AFA Rates'!$O$5:$O$1004,"&lt;&gt;Expired")&gt;0,"Yes",IF(COUNTIF('AFA Rates'!$A$5:$A$1004,A312)&gt;0,"Expired only","No")))</f>
        <v/>
      </c>
      <c r="Q312" s="84">
        <f>IF(A312="","",COUNTIFS('AFA Rates'!$A$5:$A$1004,A312,'AFA Rates'!$O$5:$O$1004,"&lt;&gt;Expired"))</f>
        <v/>
      </c>
      <c r="R312" s="66" t="n"/>
      <c r="S312" s="64" t="n"/>
      <c r="T312" s="64" t="n"/>
      <c r="U312">
        <f>IF(AND(A312&lt;&gt;"",B312="Paused"),COUNTIFS($A$5:A312,"&lt;&gt;",$B$5:B312,"Paused"),"")</f>
        <v/>
      </c>
      <c r="V312">
        <f>IF(P312="Yes",COUNTIF($P$5:P312,"Yes"),"")</f>
        <v/>
      </c>
      <c r="W312">
        <f>IF(A312="","",COUNTIF($A$5:$A$1004,"&lt;"&amp;A312)+COUNTIF($A$5:A312,A312))</f>
        <v/>
      </c>
      <c r="X312">
        <f>","&amp;SUBSTITUTE(SUBSTITUTE(SUBSTITUTE(UPPER(C312)," ",""),";",","),"/",",")&amp;","</f>
        <v/>
      </c>
      <c r="Y312">
        <f>IF(AND(A312&lt;&gt;"",B312="Active",'State Search'!$C$5&lt;&gt;"",OR(X312=",ALL,",ISNUMBER(SEARCH(","&amp;'State Search'!$C$5&amp;",",X312)))),W312,"")</f>
        <v/>
      </c>
    </row>
    <row r="313">
      <c r="A313" s="64" t="n"/>
      <c r="B313" s="65" t="n"/>
      <c r="C313" s="64" t="n"/>
      <c r="D313" s="66" t="n"/>
      <c r="E313" s="66" t="n"/>
      <c r="F313" s="67" t="n"/>
      <c r="G313" s="67" t="n"/>
      <c r="H313" s="67" t="n"/>
      <c r="I313" s="67" t="n"/>
      <c r="J313" s="67" t="n"/>
      <c r="K313" s="67" t="n"/>
      <c r="L313" s="67" t="n"/>
      <c r="M313" s="67" t="n"/>
      <c r="N313" s="65" t="n"/>
      <c r="O313" s="84">
        <f>IF(A313="","",IF(E313="","No date",IF(TODAY()&gt;=EDATE(E313,Review_Months),"Review Due","Current")))</f>
        <v/>
      </c>
      <c r="P313" s="84">
        <f>IF(A313="","",IF(COUNTIFS('AFA Rates'!$A$5:$A$1004,A313,'AFA Rates'!$O$5:$O$1004,"&lt;&gt;Expired")&gt;0,"Yes",IF(COUNTIF('AFA Rates'!$A$5:$A$1004,A313)&gt;0,"Expired only","No")))</f>
        <v/>
      </c>
      <c r="Q313" s="84">
        <f>IF(A313="","",COUNTIFS('AFA Rates'!$A$5:$A$1004,A313,'AFA Rates'!$O$5:$O$1004,"&lt;&gt;Expired"))</f>
        <v/>
      </c>
      <c r="R313" s="66" t="n"/>
      <c r="S313" s="64" t="n"/>
      <c r="T313" s="64" t="n"/>
      <c r="U313">
        <f>IF(AND(A313&lt;&gt;"",B313="Paused"),COUNTIFS($A$5:A313,"&lt;&gt;",$B$5:B313,"Paused"),"")</f>
        <v/>
      </c>
      <c r="V313">
        <f>IF(P313="Yes",COUNTIF($P$5:P313,"Yes"),"")</f>
        <v/>
      </c>
      <c r="W313">
        <f>IF(A313="","",COUNTIF($A$5:$A$1004,"&lt;"&amp;A313)+COUNTIF($A$5:A313,A313))</f>
        <v/>
      </c>
      <c r="X313">
        <f>","&amp;SUBSTITUTE(SUBSTITUTE(SUBSTITUTE(UPPER(C313)," ",""),";",","),"/",",")&amp;","</f>
        <v/>
      </c>
      <c r="Y313">
        <f>IF(AND(A313&lt;&gt;"",B313="Active",'State Search'!$C$5&lt;&gt;"",OR(X313=",ALL,",ISNUMBER(SEARCH(","&amp;'State Search'!$C$5&amp;",",X313)))),W313,"")</f>
        <v/>
      </c>
    </row>
    <row r="314">
      <c r="A314" s="64" t="n"/>
      <c r="B314" s="65" t="n"/>
      <c r="C314" s="64" t="n"/>
      <c r="D314" s="66" t="n"/>
      <c r="E314" s="66" t="n"/>
      <c r="F314" s="67" t="n"/>
      <c r="G314" s="67" t="n"/>
      <c r="H314" s="67" t="n"/>
      <c r="I314" s="67" t="n"/>
      <c r="J314" s="67" t="n"/>
      <c r="K314" s="67" t="n"/>
      <c r="L314" s="67" t="n"/>
      <c r="M314" s="67" t="n"/>
      <c r="N314" s="65" t="n"/>
      <c r="O314" s="84">
        <f>IF(A314="","",IF(E314="","No date",IF(TODAY()&gt;=EDATE(E314,Review_Months),"Review Due","Current")))</f>
        <v/>
      </c>
      <c r="P314" s="84">
        <f>IF(A314="","",IF(COUNTIFS('AFA Rates'!$A$5:$A$1004,A314,'AFA Rates'!$O$5:$O$1004,"&lt;&gt;Expired")&gt;0,"Yes",IF(COUNTIF('AFA Rates'!$A$5:$A$1004,A314)&gt;0,"Expired only","No")))</f>
        <v/>
      </c>
      <c r="Q314" s="84">
        <f>IF(A314="","",COUNTIFS('AFA Rates'!$A$5:$A$1004,A314,'AFA Rates'!$O$5:$O$1004,"&lt;&gt;Expired"))</f>
        <v/>
      </c>
      <c r="R314" s="66" t="n"/>
      <c r="S314" s="64" t="n"/>
      <c r="T314" s="64" t="n"/>
      <c r="U314">
        <f>IF(AND(A314&lt;&gt;"",B314="Paused"),COUNTIFS($A$5:A314,"&lt;&gt;",$B$5:B314,"Paused"),"")</f>
        <v/>
      </c>
      <c r="V314">
        <f>IF(P314="Yes",COUNTIF($P$5:P314,"Yes"),"")</f>
        <v/>
      </c>
      <c r="W314">
        <f>IF(A314="","",COUNTIF($A$5:$A$1004,"&lt;"&amp;A314)+COUNTIF($A$5:A314,A314))</f>
        <v/>
      </c>
      <c r="X314">
        <f>","&amp;SUBSTITUTE(SUBSTITUTE(SUBSTITUTE(UPPER(C314)," ",""),";",","),"/",",")&amp;","</f>
        <v/>
      </c>
      <c r="Y314">
        <f>IF(AND(A314&lt;&gt;"",B314="Active",'State Search'!$C$5&lt;&gt;"",OR(X314=",ALL,",ISNUMBER(SEARCH(","&amp;'State Search'!$C$5&amp;",",X314)))),W314,"")</f>
        <v/>
      </c>
    </row>
    <row r="315">
      <c r="A315" s="64" t="n"/>
      <c r="B315" s="65" t="n"/>
      <c r="C315" s="64" t="n"/>
      <c r="D315" s="66" t="n"/>
      <c r="E315" s="66" t="n"/>
      <c r="F315" s="67" t="n"/>
      <c r="G315" s="67" t="n"/>
      <c r="H315" s="67" t="n"/>
      <c r="I315" s="67" t="n"/>
      <c r="J315" s="67" t="n"/>
      <c r="K315" s="67" t="n"/>
      <c r="L315" s="67" t="n"/>
      <c r="M315" s="67" t="n"/>
      <c r="N315" s="65" t="n"/>
      <c r="O315" s="84">
        <f>IF(A315="","",IF(E315="","No date",IF(TODAY()&gt;=EDATE(E315,Review_Months),"Review Due","Current")))</f>
        <v/>
      </c>
      <c r="P315" s="84">
        <f>IF(A315="","",IF(COUNTIFS('AFA Rates'!$A$5:$A$1004,A315,'AFA Rates'!$O$5:$O$1004,"&lt;&gt;Expired")&gt;0,"Yes",IF(COUNTIF('AFA Rates'!$A$5:$A$1004,A315)&gt;0,"Expired only","No")))</f>
        <v/>
      </c>
      <c r="Q315" s="84">
        <f>IF(A315="","",COUNTIFS('AFA Rates'!$A$5:$A$1004,A315,'AFA Rates'!$O$5:$O$1004,"&lt;&gt;Expired"))</f>
        <v/>
      </c>
      <c r="R315" s="66" t="n"/>
      <c r="S315" s="64" t="n"/>
      <c r="T315" s="64" t="n"/>
      <c r="U315">
        <f>IF(AND(A315&lt;&gt;"",B315="Paused"),COUNTIFS($A$5:A315,"&lt;&gt;",$B$5:B315,"Paused"),"")</f>
        <v/>
      </c>
      <c r="V315">
        <f>IF(P315="Yes",COUNTIF($P$5:P315,"Yes"),"")</f>
        <v/>
      </c>
      <c r="W315">
        <f>IF(A315="","",COUNTIF($A$5:$A$1004,"&lt;"&amp;A315)+COUNTIF($A$5:A315,A315))</f>
        <v/>
      </c>
      <c r="X315">
        <f>","&amp;SUBSTITUTE(SUBSTITUTE(SUBSTITUTE(UPPER(C315)," ",""),";",","),"/",",")&amp;","</f>
        <v/>
      </c>
      <c r="Y315">
        <f>IF(AND(A315&lt;&gt;"",B315="Active",'State Search'!$C$5&lt;&gt;"",OR(X315=",ALL,",ISNUMBER(SEARCH(","&amp;'State Search'!$C$5&amp;",",X315)))),W315,"")</f>
        <v/>
      </c>
    </row>
    <row r="316">
      <c r="A316" s="64" t="n"/>
      <c r="B316" s="65" t="n"/>
      <c r="C316" s="64" t="n"/>
      <c r="D316" s="66" t="n"/>
      <c r="E316" s="66" t="n"/>
      <c r="F316" s="67" t="n"/>
      <c r="G316" s="67" t="n"/>
      <c r="H316" s="67" t="n"/>
      <c r="I316" s="67" t="n"/>
      <c r="J316" s="67" t="n"/>
      <c r="K316" s="67" t="n"/>
      <c r="L316" s="67" t="n"/>
      <c r="M316" s="67" t="n"/>
      <c r="N316" s="65" t="n"/>
      <c r="O316" s="84">
        <f>IF(A316="","",IF(E316="","No date",IF(TODAY()&gt;=EDATE(E316,Review_Months),"Review Due","Current")))</f>
        <v/>
      </c>
      <c r="P316" s="84">
        <f>IF(A316="","",IF(COUNTIFS('AFA Rates'!$A$5:$A$1004,A316,'AFA Rates'!$O$5:$O$1004,"&lt;&gt;Expired")&gt;0,"Yes",IF(COUNTIF('AFA Rates'!$A$5:$A$1004,A316)&gt;0,"Expired only","No")))</f>
        <v/>
      </c>
      <c r="Q316" s="84">
        <f>IF(A316="","",COUNTIFS('AFA Rates'!$A$5:$A$1004,A316,'AFA Rates'!$O$5:$O$1004,"&lt;&gt;Expired"))</f>
        <v/>
      </c>
      <c r="R316" s="66" t="n"/>
      <c r="S316" s="64" t="n"/>
      <c r="T316" s="64" t="n"/>
      <c r="U316">
        <f>IF(AND(A316&lt;&gt;"",B316="Paused"),COUNTIFS($A$5:A316,"&lt;&gt;",$B$5:B316,"Paused"),"")</f>
        <v/>
      </c>
      <c r="V316">
        <f>IF(P316="Yes",COUNTIF($P$5:P316,"Yes"),"")</f>
        <v/>
      </c>
      <c r="W316">
        <f>IF(A316="","",COUNTIF($A$5:$A$1004,"&lt;"&amp;A316)+COUNTIF($A$5:A316,A316))</f>
        <v/>
      </c>
      <c r="X316">
        <f>","&amp;SUBSTITUTE(SUBSTITUTE(SUBSTITUTE(UPPER(C316)," ",""),";",","),"/",",")&amp;","</f>
        <v/>
      </c>
      <c r="Y316">
        <f>IF(AND(A316&lt;&gt;"",B316="Active",'State Search'!$C$5&lt;&gt;"",OR(X316=",ALL,",ISNUMBER(SEARCH(","&amp;'State Search'!$C$5&amp;",",X316)))),W316,"")</f>
        <v/>
      </c>
    </row>
    <row r="317">
      <c r="A317" s="64" t="n"/>
      <c r="B317" s="65" t="n"/>
      <c r="C317" s="64" t="n"/>
      <c r="D317" s="66" t="n"/>
      <c r="E317" s="66" t="n"/>
      <c r="F317" s="67" t="n"/>
      <c r="G317" s="67" t="n"/>
      <c r="H317" s="67" t="n"/>
      <c r="I317" s="67" t="n"/>
      <c r="J317" s="67" t="n"/>
      <c r="K317" s="67" t="n"/>
      <c r="L317" s="67" t="n"/>
      <c r="M317" s="67" t="n"/>
      <c r="N317" s="65" t="n"/>
      <c r="O317" s="84">
        <f>IF(A317="","",IF(E317="","No date",IF(TODAY()&gt;=EDATE(E317,Review_Months),"Review Due","Current")))</f>
        <v/>
      </c>
      <c r="P317" s="84">
        <f>IF(A317="","",IF(COUNTIFS('AFA Rates'!$A$5:$A$1004,A317,'AFA Rates'!$O$5:$O$1004,"&lt;&gt;Expired")&gt;0,"Yes",IF(COUNTIF('AFA Rates'!$A$5:$A$1004,A317)&gt;0,"Expired only","No")))</f>
        <v/>
      </c>
      <c r="Q317" s="84">
        <f>IF(A317="","",COUNTIFS('AFA Rates'!$A$5:$A$1004,A317,'AFA Rates'!$O$5:$O$1004,"&lt;&gt;Expired"))</f>
        <v/>
      </c>
      <c r="R317" s="66" t="n"/>
      <c r="S317" s="64" t="n"/>
      <c r="T317" s="64" t="n"/>
      <c r="U317">
        <f>IF(AND(A317&lt;&gt;"",B317="Paused"),COUNTIFS($A$5:A317,"&lt;&gt;",$B$5:B317,"Paused"),"")</f>
        <v/>
      </c>
      <c r="V317">
        <f>IF(P317="Yes",COUNTIF($P$5:P317,"Yes"),"")</f>
        <v/>
      </c>
      <c r="W317">
        <f>IF(A317="","",COUNTIF($A$5:$A$1004,"&lt;"&amp;A317)+COUNTIF($A$5:A317,A317))</f>
        <v/>
      </c>
      <c r="X317">
        <f>","&amp;SUBSTITUTE(SUBSTITUTE(SUBSTITUTE(UPPER(C317)," ",""),";",","),"/",",")&amp;","</f>
        <v/>
      </c>
      <c r="Y317">
        <f>IF(AND(A317&lt;&gt;"",B317="Active",'State Search'!$C$5&lt;&gt;"",OR(X317=",ALL,",ISNUMBER(SEARCH(","&amp;'State Search'!$C$5&amp;",",X317)))),W317,"")</f>
        <v/>
      </c>
    </row>
    <row r="318">
      <c r="A318" s="64" t="n"/>
      <c r="B318" s="65" t="n"/>
      <c r="C318" s="64" t="n"/>
      <c r="D318" s="66" t="n"/>
      <c r="E318" s="66" t="n"/>
      <c r="F318" s="67" t="n"/>
      <c r="G318" s="67" t="n"/>
      <c r="H318" s="67" t="n"/>
      <c r="I318" s="67" t="n"/>
      <c r="J318" s="67" t="n"/>
      <c r="K318" s="67" t="n"/>
      <c r="L318" s="67" t="n"/>
      <c r="M318" s="67" t="n"/>
      <c r="N318" s="65" t="n"/>
      <c r="O318" s="84">
        <f>IF(A318="","",IF(E318="","No date",IF(TODAY()&gt;=EDATE(E318,Review_Months),"Review Due","Current")))</f>
        <v/>
      </c>
      <c r="P318" s="84">
        <f>IF(A318="","",IF(COUNTIFS('AFA Rates'!$A$5:$A$1004,A318,'AFA Rates'!$O$5:$O$1004,"&lt;&gt;Expired")&gt;0,"Yes",IF(COUNTIF('AFA Rates'!$A$5:$A$1004,A318)&gt;0,"Expired only","No")))</f>
        <v/>
      </c>
      <c r="Q318" s="84">
        <f>IF(A318="","",COUNTIFS('AFA Rates'!$A$5:$A$1004,A318,'AFA Rates'!$O$5:$O$1004,"&lt;&gt;Expired"))</f>
        <v/>
      </c>
      <c r="R318" s="66" t="n"/>
      <c r="S318" s="64" t="n"/>
      <c r="T318" s="64" t="n"/>
      <c r="U318">
        <f>IF(AND(A318&lt;&gt;"",B318="Paused"),COUNTIFS($A$5:A318,"&lt;&gt;",$B$5:B318,"Paused"),"")</f>
        <v/>
      </c>
      <c r="V318">
        <f>IF(P318="Yes",COUNTIF($P$5:P318,"Yes"),"")</f>
        <v/>
      </c>
      <c r="W318">
        <f>IF(A318="","",COUNTIF($A$5:$A$1004,"&lt;"&amp;A318)+COUNTIF($A$5:A318,A318))</f>
        <v/>
      </c>
      <c r="X318">
        <f>","&amp;SUBSTITUTE(SUBSTITUTE(SUBSTITUTE(UPPER(C318)," ",""),";",","),"/",",")&amp;","</f>
        <v/>
      </c>
      <c r="Y318">
        <f>IF(AND(A318&lt;&gt;"",B318="Active",'State Search'!$C$5&lt;&gt;"",OR(X318=",ALL,",ISNUMBER(SEARCH(","&amp;'State Search'!$C$5&amp;",",X318)))),W318,"")</f>
        <v/>
      </c>
    </row>
    <row r="319">
      <c r="A319" s="64" t="n"/>
      <c r="B319" s="65" t="n"/>
      <c r="C319" s="64" t="n"/>
      <c r="D319" s="66" t="n"/>
      <c r="E319" s="66" t="n"/>
      <c r="F319" s="67" t="n"/>
      <c r="G319" s="67" t="n"/>
      <c r="H319" s="67" t="n"/>
      <c r="I319" s="67" t="n"/>
      <c r="J319" s="67" t="n"/>
      <c r="K319" s="67" t="n"/>
      <c r="L319" s="67" t="n"/>
      <c r="M319" s="67" t="n"/>
      <c r="N319" s="65" t="n"/>
      <c r="O319" s="84">
        <f>IF(A319="","",IF(E319="","No date",IF(TODAY()&gt;=EDATE(E319,Review_Months),"Review Due","Current")))</f>
        <v/>
      </c>
      <c r="P319" s="84">
        <f>IF(A319="","",IF(COUNTIFS('AFA Rates'!$A$5:$A$1004,A319,'AFA Rates'!$O$5:$O$1004,"&lt;&gt;Expired")&gt;0,"Yes",IF(COUNTIF('AFA Rates'!$A$5:$A$1004,A319)&gt;0,"Expired only","No")))</f>
        <v/>
      </c>
      <c r="Q319" s="84">
        <f>IF(A319="","",COUNTIFS('AFA Rates'!$A$5:$A$1004,A319,'AFA Rates'!$O$5:$O$1004,"&lt;&gt;Expired"))</f>
        <v/>
      </c>
      <c r="R319" s="66" t="n"/>
      <c r="S319" s="64" t="n"/>
      <c r="T319" s="64" t="n"/>
      <c r="U319">
        <f>IF(AND(A319&lt;&gt;"",B319="Paused"),COUNTIFS($A$5:A319,"&lt;&gt;",$B$5:B319,"Paused"),"")</f>
        <v/>
      </c>
      <c r="V319">
        <f>IF(P319="Yes",COUNTIF($P$5:P319,"Yes"),"")</f>
        <v/>
      </c>
      <c r="W319">
        <f>IF(A319="","",COUNTIF($A$5:$A$1004,"&lt;"&amp;A319)+COUNTIF($A$5:A319,A319))</f>
        <v/>
      </c>
      <c r="X319">
        <f>","&amp;SUBSTITUTE(SUBSTITUTE(SUBSTITUTE(UPPER(C319)," ",""),";",","),"/",",")&amp;","</f>
        <v/>
      </c>
      <c r="Y319">
        <f>IF(AND(A319&lt;&gt;"",B319="Active",'State Search'!$C$5&lt;&gt;"",OR(X319=",ALL,",ISNUMBER(SEARCH(","&amp;'State Search'!$C$5&amp;",",X319)))),W319,"")</f>
        <v/>
      </c>
    </row>
    <row r="320">
      <c r="A320" s="64" t="n"/>
      <c r="B320" s="65" t="n"/>
      <c r="C320" s="64" t="n"/>
      <c r="D320" s="66" t="n"/>
      <c r="E320" s="66" t="n"/>
      <c r="F320" s="67" t="n"/>
      <c r="G320" s="67" t="n"/>
      <c r="H320" s="67" t="n"/>
      <c r="I320" s="67" t="n"/>
      <c r="J320" s="67" t="n"/>
      <c r="K320" s="67" t="n"/>
      <c r="L320" s="67" t="n"/>
      <c r="M320" s="67" t="n"/>
      <c r="N320" s="65" t="n"/>
      <c r="O320" s="84">
        <f>IF(A320="","",IF(E320="","No date",IF(TODAY()&gt;=EDATE(E320,Review_Months),"Review Due","Current")))</f>
        <v/>
      </c>
      <c r="P320" s="84">
        <f>IF(A320="","",IF(COUNTIFS('AFA Rates'!$A$5:$A$1004,A320,'AFA Rates'!$O$5:$O$1004,"&lt;&gt;Expired")&gt;0,"Yes",IF(COUNTIF('AFA Rates'!$A$5:$A$1004,A320)&gt;0,"Expired only","No")))</f>
        <v/>
      </c>
      <c r="Q320" s="84">
        <f>IF(A320="","",COUNTIFS('AFA Rates'!$A$5:$A$1004,A320,'AFA Rates'!$O$5:$O$1004,"&lt;&gt;Expired"))</f>
        <v/>
      </c>
      <c r="R320" s="66" t="n"/>
      <c r="S320" s="64" t="n"/>
      <c r="T320" s="64" t="n"/>
      <c r="U320">
        <f>IF(AND(A320&lt;&gt;"",B320="Paused"),COUNTIFS($A$5:A320,"&lt;&gt;",$B$5:B320,"Paused"),"")</f>
        <v/>
      </c>
      <c r="V320">
        <f>IF(P320="Yes",COUNTIF($P$5:P320,"Yes"),"")</f>
        <v/>
      </c>
      <c r="W320">
        <f>IF(A320="","",COUNTIF($A$5:$A$1004,"&lt;"&amp;A320)+COUNTIF($A$5:A320,A320))</f>
        <v/>
      </c>
      <c r="X320">
        <f>","&amp;SUBSTITUTE(SUBSTITUTE(SUBSTITUTE(UPPER(C320)," ",""),";",","),"/",",")&amp;","</f>
        <v/>
      </c>
      <c r="Y320">
        <f>IF(AND(A320&lt;&gt;"",B320="Active",'State Search'!$C$5&lt;&gt;"",OR(X320=",ALL,",ISNUMBER(SEARCH(","&amp;'State Search'!$C$5&amp;",",X320)))),W320,"")</f>
        <v/>
      </c>
    </row>
    <row r="321">
      <c r="A321" s="64" t="n"/>
      <c r="B321" s="65" t="n"/>
      <c r="C321" s="64" t="n"/>
      <c r="D321" s="66" t="n"/>
      <c r="E321" s="66" t="n"/>
      <c r="F321" s="67" t="n"/>
      <c r="G321" s="67" t="n"/>
      <c r="H321" s="67" t="n"/>
      <c r="I321" s="67" t="n"/>
      <c r="J321" s="67" t="n"/>
      <c r="K321" s="67" t="n"/>
      <c r="L321" s="67" t="n"/>
      <c r="M321" s="67" t="n"/>
      <c r="N321" s="65" t="n"/>
      <c r="O321" s="84">
        <f>IF(A321="","",IF(E321="","No date",IF(TODAY()&gt;=EDATE(E321,Review_Months),"Review Due","Current")))</f>
        <v/>
      </c>
      <c r="P321" s="84">
        <f>IF(A321="","",IF(COUNTIFS('AFA Rates'!$A$5:$A$1004,A321,'AFA Rates'!$O$5:$O$1004,"&lt;&gt;Expired")&gt;0,"Yes",IF(COUNTIF('AFA Rates'!$A$5:$A$1004,A321)&gt;0,"Expired only","No")))</f>
        <v/>
      </c>
      <c r="Q321" s="84">
        <f>IF(A321="","",COUNTIFS('AFA Rates'!$A$5:$A$1004,A321,'AFA Rates'!$O$5:$O$1004,"&lt;&gt;Expired"))</f>
        <v/>
      </c>
      <c r="R321" s="66" t="n"/>
      <c r="S321" s="64" t="n"/>
      <c r="T321" s="64" t="n"/>
      <c r="U321">
        <f>IF(AND(A321&lt;&gt;"",B321="Paused"),COUNTIFS($A$5:A321,"&lt;&gt;",$B$5:B321,"Paused"),"")</f>
        <v/>
      </c>
      <c r="V321">
        <f>IF(P321="Yes",COUNTIF($P$5:P321,"Yes"),"")</f>
        <v/>
      </c>
      <c r="W321">
        <f>IF(A321="","",COUNTIF($A$5:$A$1004,"&lt;"&amp;A321)+COUNTIF($A$5:A321,A321))</f>
        <v/>
      </c>
      <c r="X321">
        <f>","&amp;SUBSTITUTE(SUBSTITUTE(SUBSTITUTE(UPPER(C321)," ",""),";",","),"/",",")&amp;","</f>
        <v/>
      </c>
      <c r="Y321">
        <f>IF(AND(A321&lt;&gt;"",B321="Active",'State Search'!$C$5&lt;&gt;"",OR(X321=",ALL,",ISNUMBER(SEARCH(","&amp;'State Search'!$C$5&amp;",",X321)))),W321,"")</f>
        <v/>
      </c>
    </row>
    <row r="322">
      <c r="A322" s="64" t="n"/>
      <c r="B322" s="65" t="n"/>
      <c r="C322" s="64" t="n"/>
      <c r="D322" s="66" t="n"/>
      <c r="E322" s="66" t="n"/>
      <c r="F322" s="67" t="n"/>
      <c r="G322" s="67" t="n"/>
      <c r="H322" s="67" t="n"/>
      <c r="I322" s="67" t="n"/>
      <c r="J322" s="67" t="n"/>
      <c r="K322" s="67" t="n"/>
      <c r="L322" s="67" t="n"/>
      <c r="M322" s="67" t="n"/>
      <c r="N322" s="65" t="n"/>
      <c r="O322" s="84">
        <f>IF(A322="","",IF(E322="","No date",IF(TODAY()&gt;=EDATE(E322,Review_Months),"Review Due","Current")))</f>
        <v/>
      </c>
      <c r="P322" s="84">
        <f>IF(A322="","",IF(COUNTIFS('AFA Rates'!$A$5:$A$1004,A322,'AFA Rates'!$O$5:$O$1004,"&lt;&gt;Expired")&gt;0,"Yes",IF(COUNTIF('AFA Rates'!$A$5:$A$1004,A322)&gt;0,"Expired only","No")))</f>
        <v/>
      </c>
      <c r="Q322" s="84">
        <f>IF(A322="","",COUNTIFS('AFA Rates'!$A$5:$A$1004,A322,'AFA Rates'!$O$5:$O$1004,"&lt;&gt;Expired"))</f>
        <v/>
      </c>
      <c r="R322" s="66" t="n"/>
      <c r="S322" s="64" t="n"/>
      <c r="T322" s="64" t="n"/>
      <c r="U322">
        <f>IF(AND(A322&lt;&gt;"",B322="Paused"),COUNTIFS($A$5:A322,"&lt;&gt;",$B$5:B322,"Paused"),"")</f>
        <v/>
      </c>
      <c r="V322">
        <f>IF(P322="Yes",COUNTIF($P$5:P322,"Yes"),"")</f>
        <v/>
      </c>
      <c r="W322">
        <f>IF(A322="","",COUNTIF($A$5:$A$1004,"&lt;"&amp;A322)+COUNTIF($A$5:A322,A322))</f>
        <v/>
      </c>
      <c r="X322">
        <f>","&amp;SUBSTITUTE(SUBSTITUTE(SUBSTITUTE(UPPER(C322)," ",""),";",","),"/",",")&amp;","</f>
        <v/>
      </c>
      <c r="Y322">
        <f>IF(AND(A322&lt;&gt;"",B322="Active",'State Search'!$C$5&lt;&gt;"",OR(X322=",ALL,",ISNUMBER(SEARCH(","&amp;'State Search'!$C$5&amp;",",X322)))),W322,"")</f>
        <v/>
      </c>
    </row>
    <row r="323">
      <c r="A323" s="64" t="n"/>
      <c r="B323" s="65" t="n"/>
      <c r="C323" s="64" t="n"/>
      <c r="D323" s="66" t="n"/>
      <c r="E323" s="66" t="n"/>
      <c r="F323" s="67" t="n"/>
      <c r="G323" s="67" t="n"/>
      <c r="H323" s="67" t="n"/>
      <c r="I323" s="67" t="n"/>
      <c r="J323" s="67" t="n"/>
      <c r="K323" s="67" t="n"/>
      <c r="L323" s="67" t="n"/>
      <c r="M323" s="67" t="n"/>
      <c r="N323" s="65" t="n"/>
      <c r="O323" s="84">
        <f>IF(A323="","",IF(E323="","No date",IF(TODAY()&gt;=EDATE(E323,Review_Months),"Review Due","Current")))</f>
        <v/>
      </c>
      <c r="P323" s="84">
        <f>IF(A323="","",IF(COUNTIFS('AFA Rates'!$A$5:$A$1004,A323,'AFA Rates'!$O$5:$O$1004,"&lt;&gt;Expired")&gt;0,"Yes",IF(COUNTIF('AFA Rates'!$A$5:$A$1004,A323)&gt;0,"Expired only","No")))</f>
        <v/>
      </c>
      <c r="Q323" s="84">
        <f>IF(A323="","",COUNTIFS('AFA Rates'!$A$5:$A$1004,A323,'AFA Rates'!$O$5:$O$1004,"&lt;&gt;Expired"))</f>
        <v/>
      </c>
      <c r="R323" s="66" t="n"/>
      <c r="S323" s="64" t="n"/>
      <c r="T323" s="64" t="n"/>
      <c r="U323">
        <f>IF(AND(A323&lt;&gt;"",B323="Paused"),COUNTIFS($A$5:A323,"&lt;&gt;",$B$5:B323,"Paused"),"")</f>
        <v/>
      </c>
      <c r="V323">
        <f>IF(P323="Yes",COUNTIF($P$5:P323,"Yes"),"")</f>
        <v/>
      </c>
      <c r="W323">
        <f>IF(A323="","",COUNTIF($A$5:$A$1004,"&lt;"&amp;A323)+COUNTIF($A$5:A323,A323))</f>
        <v/>
      </c>
      <c r="X323">
        <f>","&amp;SUBSTITUTE(SUBSTITUTE(SUBSTITUTE(UPPER(C323)," ",""),";",","),"/",",")&amp;","</f>
        <v/>
      </c>
      <c r="Y323">
        <f>IF(AND(A323&lt;&gt;"",B323="Active",'State Search'!$C$5&lt;&gt;"",OR(X323=",ALL,",ISNUMBER(SEARCH(","&amp;'State Search'!$C$5&amp;",",X323)))),W323,"")</f>
        <v/>
      </c>
    </row>
    <row r="324">
      <c r="A324" s="64" t="n"/>
      <c r="B324" s="65" t="n"/>
      <c r="C324" s="64" t="n"/>
      <c r="D324" s="66" t="n"/>
      <c r="E324" s="66" t="n"/>
      <c r="F324" s="67" t="n"/>
      <c r="G324" s="67" t="n"/>
      <c r="H324" s="67" t="n"/>
      <c r="I324" s="67" t="n"/>
      <c r="J324" s="67" t="n"/>
      <c r="K324" s="67" t="n"/>
      <c r="L324" s="67" t="n"/>
      <c r="M324" s="67" t="n"/>
      <c r="N324" s="65" t="n"/>
      <c r="O324" s="84">
        <f>IF(A324="","",IF(E324="","No date",IF(TODAY()&gt;=EDATE(E324,Review_Months),"Review Due","Current")))</f>
        <v/>
      </c>
      <c r="P324" s="84">
        <f>IF(A324="","",IF(COUNTIFS('AFA Rates'!$A$5:$A$1004,A324,'AFA Rates'!$O$5:$O$1004,"&lt;&gt;Expired")&gt;0,"Yes",IF(COUNTIF('AFA Rates'!$A$5:$A$1004,A324)&gt;0,"Expired only","No")))</f>
        <v/>
      </c>
      <c r="Q324" s="84">
        <f>IF(A324="","",COUNTIFS('AFA Rates'!$A$5:$A$1004,A324,'AFA Rates'!$O$5:$O$1004,"&lt;&gt;Expired"))</f>
        <v/>
      </c>
      <c r="R324" s="66" t="n"/>
      <c r="S324" s="64" t="n"/>
      <c r="T324" s="64" t="n"/>
      <c r="U324">
        <f>IF(AND(A324&lt;&gt;"",B324="Paused"),COUNTIFS($A$5:A324,"&lt;&gt;",$B$5:B324,"Paused"),"")</f>
        <v/>
      </c>
      <c r="V324">
        <f>IF(P324="Yes",COUNTIF($P$5:P324,"Yes"),"")</f>
        <v/>
      </c>
      <c r="W324">
        <f>IF(A324="","",COUNTIF($A$5:$A$1004,"&lt;"&amp;A324)+COUNTIF($A$5:A324,A324))</f>
        <v/>
      </c>
      <c r="X324">
        <f>","&amp;SUBSTITUTE(SUBSTITUTE(SUBSTITUTE(UPPER(C324)," ",""),";",","),"/",",")&amp;","</f>
        <v/>
      </c>
      <c r="Y324">
        <f>IF(AND(A324&lt;&gt;"",B324="Active",'State Search'!$C$5&lt;&gt;"",OR(X324=",ALL,",ISNUMBER(SEARCH(","&amp;'State Search'!$C$5&amp;",",X324)))),W324,"")</f>
        <v/>
      </c>
    </row>
    <row r="325">
      <c r="A325" s="64" t="n"/>
      <c r="B325" s="65" t="n"/>
      <c r="C325" s="64" t="n"/>
      <c r="D325" s="66" t="n"/>
      <c r="E325" s="66" t="n"/>
      <c r="F325" s="67" t="n"/>
      <c r="G325" s="67" t="n"/>
      <c r="H325" s="67" t="n"/>
      <c r="I325" s="67" t="n"/>
      <c r="J325" s="67" t="n"/>
      <c r="K325" s="67" t="n"/>
      <c r="L325" s="67" t="n"/>
      <c r="M325" s="67" t="n"/>
      <c r="N325" s="65" t="n"/>
      <c r="O325" s="84">
        <f>IF(A325="","",IF(E325="","No date",IF(TODAY()&gt;=EDATE(E325,Review_Months),"Review Due","Current")))</f>
        <v/>
      </c>
      <c r="P325" s="84">
        <f>IF(A325="","",IF(COUNTIFS('AFA Rates'!$A$5:$A$1004,A325,'AFA Rates'!$O$5:$O$1004,"&lt;&gt;Expired")&gt;0,"Yes",IF(COUNTIF('AFA Rates'!$A$5:$A$1004,A325)&gt;0,"Expired only","No")))</f>
        <v/>
      </c>
      <c r="Q325" s="84">
        <f>IF(A325="","",COUNTIFS('AFA Rates'!$A$5:$A$1004,A325,'AFA Rates'!$O$5:$O$1004,"&lt;&gt;Expired"))</f>
        <v/>
      </c>
      <c r="R325" s="66" t="n"/>
      <c r="S325" s="64" t="n"/>
      <c r="T325" s="64" t="n"/>
      <c r="U325">
        <f>IF(AND(A325&lt;&gt;"",B325="Paused"),COUNTIFS($A$5:A325,"&lt;&gt;",$B$5:B325,"Paused"),"")</f>
        <v/>
      </c>
      <c r="V325">
        <f>IF(P325="Yes",COUNTIF($P$5:P325,"Yes"),"")</f>
        <v/>
      </c>
      <c r="W325">
        <f>IF(A325="","",COUNTIF($A$5:$A$1004,"&lt;"&amp;A325)+COUNTIF($A$5:A325,A325))</f>
        <v/>
      </c>
      <c r="X325">
        <f>","&amp;SUBSTITUTE(SUBSTITUTE(SUBSTITUTE(UPPER(C325)," ",""),";",","),"/",",")&amp;","</f>
        <v/>
      </c>
      <c r="Y325">
        <f>IF(AND(A325&lt;&gt;"",B325="Active",'State Search'!$C$5&lt;&gt;"",OR(X325=",ALL,",ISNUMBER(SEARCH(","&amp;'State Search'!$C$5&amp;",",X325)))),W325,"")</f>
        <v/>
      </c>
    </row>
    <row r="326">
      <c r="A326" s="64" t="n"/>
      <c r="B326" s="65" t="n"/>
      <c r="C326" s="64" t="n"/>
      <c r="D326" s="66" t="n"/>
      <c r="E326" s="66" t="n"/>
      <c r="F326" s="67" t="n"/>
      <c r="G326" s="67" t="n"/>
      <c r="H326" s="67" t="n"/>
      <c r="I326" s="67" t="n"/>
      <c r="J326" s="67" t="n"/>
      <c r="K326" s="67" t="n"/>
      <c r="L326" s="67" t="n"/>
      <c r="M326" s="67" t="n"/>
      <c r="N326" s="65" t="n"/>
      <c r="O326" s="84">
        <f>IF(A326="","",IF(E326="","No date",IF(TODAY()&gt;=EDATE(E326,Review_Months),"Review Due","Current")))</f>
        <v/>
      </c>
      <c r="P326" s="84">
        <f>IF(A326="","",IF(COUNTIFS('AFA Rates'!$A$5:$A$1004,A326,'AFA Rates'!$O$5:$O$1004,"&lt;&gt;Expired")&gt;0,"Yes",IF(COUNTIF('AFA Rates'!$A$5:$A$1004,A326)&gt;0,"Expired only","No")))</f>
        <v/>
      </c>
      <c r="Q326" s="84">
        <f>IF(A326="","",COUNTIFS('AFA Rates'!$A$5:$A$1004,A326,'AFA Rates'!$O$5:$O$1004,"&lt;&gt;Expired"))</f>
        <v/>
      </c>
      <c r="R326" s="66" t="n"/>
      <c r="S326" s="64" t="n"/>
      <c r="T326" s="64" t="n"/>
      <c r="U326">
        <f>IF(AND(A326&lt;&gt;"",B326="Paused"),COUNTIFS($A$5:A326,"&lt;&gt;",$B$5:B326,"Paused"),"")</f>
        <v/>
      </c>
      <c r="V326">
        <f>IF(P326="Yes",COUNTIF($P$5:P326,"Yes"),"")</f>
        <v/>
      </c>
      <c r="W326">
        <f>IF(A326="","",COUNTIF($A$5:$A$1004,"&lt;"&amp;A326)+COUNTIF($A$5:A326,A326))</f>
        <v/>
      </c>
      <c r="X326">
        <f>","&amp;SUBSTITUTE(SUBSTITUTE(SUBSTITUTE(UPPER(C326)," ",""),";",","),"/",",")&amp;","</f>
        <v/>
      </c>
      <c r="Y326">
        <f>IF(AND(A326&lt;&gt;"",B326="Active",'State Search'!$C$5&lt;&gt;"",OR(X326=",ALL,",ISNUMBER(SEARCH(","&amp;'State Search'!$C$5&amp;",",X326)))),W326,"")</f>
        <v/>
      </c>
    </row>
    <row r="327">
      <c r="A327" s="64" t="n"/>
      <c r="B327" s="65" t="n"/>
      <c r="C327" s="64" t="n"/>
      <c r="D327" s="66" t="n"/>
      <c r="E327" s="66" t="n"/>
      <c r="F327" s="67" t="n"/>
      <c r="G327" s="67" t="n"/>
      <c r="H327" s="67" t="n"/>
      <c r="I327" s="67" t="n"/>
      <c r="J327" s="67" t="n"/>
      <c r="K327" s="67" t="n"/>
      <c r="L327" s="67" t="n"/>
      <c r="M327" s="67" t="n"/>
      <c r="N327" s="65" t="n"/>
      <c r="O327" s="84">
        <f>IF(A327="","",IF(E327="","No date",IF(TODAY()&gt;=EDATE(E327,Review_Months),"Review Due","Current")))</f>
        <v/>
      </c>
      <c r="P327" s="84">
        <f>IF(A327="","",IF(COUNTIFS('AFA Rates'!$A$5:$A$1004,A327,'AFA Rates'!$O$5:$O$1004,"&lt;&gt;Expired")&gt;0,"Yes",IF(COUNTIF('AFA Rates'!$A$5:$A$1004,A327)&gt;0,"Expired only","No")))</f>
        <v/>
      </c>
      <c r="Q327" s="84">
        <f>IF(A327="","",COUNTIFS('AFA Rates'!$A$5:$A$1004,A327,'AFA Rates'!$O$5:$O$1004,"&lt;&gt;Expired"))</f>
        <v/>
      </c>
      <c r="R327" s="66" t="n"/>
      <c r="S327" s="64" t="n"/>
      <c r="T327" s="64" t="n"/>
      <c r="U327">
        <f>IF(AND(A327&lt;&gt;"",B327="Paused"),COUNTIFS($A$5:A327,"&lt;&gt;",$B$5:B327,"Paused"),"")</f>
        <v/>
      </c>
      <c r="V327">
        <f>IF(P327="Yes",COUNTIF($P$5:P327,"Yes"),"")</f>
        <v/>
      </c>
      <c r="W327">
        <f>IF(A327="","",COUNTIF($A$5:$A$1004,"&lt;"&amp;A327)+COUNTIF($A$5:A327,A327))</f>
        <v/>
      </c>
      <c r="X327">
        <f>","&amp;SUBSTITUTE(SUBSTITUTE(SUBSTITUTE(UPPER(C327)," ",""),";",","),"/",",")&amp;","</f>
        <v/>
      </c>
      <c r="Y327">
        <f>IF(AND(A327&lt;&gt;"",B327="Active",'State Search'!$C$5&lt;&gt;"",OR(X327=",ALL,",ISNUMBER(SEARCH(","&amp;'State Search'!$C$5&amp;",",X327)))),W327,"")</f>
        <v/>
      </c>
    </row>
    <row r="328">
      <c r="A328" s="64" t="n"/>
      <c r="B328" s="65" t="n"/>
      <c r="C328" s="64" t="n"/>
      <c r="D328" s="66" t="n"/>
      <c r="E328" s="66" t="n"/>
      <c r="F328" s="67" t="n"/>
      <c r="G328" s="67" t="n"/>
      <c r="H328" s="67" t="n"/>
      <c r="I328" s="67" t="n"/>
      <c r="J328" s="67" t="n"/>
      <c r="K328" s="67" t="n"/>
      <c r="L328" s="67" t="n"/>
      <c r="M328" s="67" t="n"/>
      <c r="N328" s="65" t="n"/>
      <c r="O328" s="84">
        <f>IF(A328="","",IF(E328="","No date",IF(TODAY()&gt;=EDATE(E328,Review_Months),"Review Due","Current")))</f>
        <v/>
      </c>
      <c r="P328" s="84">
        <f>IF(A328="","",IF(COUNTIFS('AFA Rates'!$A$5:$A$1004,A328,'AFA Rates'!$O$5:$O$1004,"&lt;&gt;Expired")&gt;0,"Yes",IF(COUNTIF('AFA Rates'!$A$5:$A$1004,A328)&gt;0,"Expired only","No")))</f>
        <v/>
      </c>
      <c r="Q328" s="84">
        <f>IF(A328="","",COUNTIFS('AFA Rates'!$A$5:$A$1004,A328,'AFA Rates'!$O$5:$O$1004,"&lt;&gt;Expired"))</f>
        <v/>
      </c>
      <c r="R328" s="66" t="n"/>
      <c r="S328" s="64" t="n"/>
      <c r="T328" s="64" t="n"/>
      <c r="U328">
        <f>IF(AND(A328&lt;&gt;"",B328="Paused"),COUNTIFS($A$5:A328,"&lt;&gt;",$B$5:B328,"Paused"),"")</f>
        <v/>
      </c>
      <c r="V328">
        <f>IF(P328="Yes",COUNTIF($P$5:P328,"Yes"),"")</f>
        <v/>
      </c>
      <c r="W328">
        <f>IF(A328="","",COUNTIF($A$5:$A$1004,"&lt;"&amp;A328)+COUNTIF($A$5:A328,A328))</f>
        <v/>
      </c>
      <c r="X328">
        <f>","&amp;SUBSTITUTE(SUBSTITUTE(SUBSTITUTE(UPPER(C328)," ",""),";",","),"/",",")&amp;","</f>
        <v/>
      </c>
      <c r="Y328">
        <f>IF(AND(A328&lt;&gt;"",B328="Active",'State Search'!$C$5&lt;&gt;"",OR(X328=",ALL,",ISNUMBER(SEARCH(","&amp;'State Search'!$C$5&amp;",",X328)))),W328,"")</f>
        <v/>
      </c>
    </row>
    <row r="329">
      <c r="A329" s="64" t="n"/>
      <c r="B329" s="65" t="n"/>
      <c r="C329" s="64" t="n"/>
      <c r="D329" s="66" t="n"/>
      <c r="E329" s="66" t="n"/>
      <c r="F329" s="67" t="n"/>
      <c r="G329" s="67" t="n"/>
      <c r="H329" s="67" t="n"/>
      <c r="I329" s="67" t="n"/>
      <c r="J329" s="67" t="n"/>
      <c r="K329" s="67" t="n"/>
      <c r="L329" s="67" t="n"/>
      <c r="M329" s="67" t="n"/>
      <c r="N329" s="65" t="n"/>
      <c r="O329" s="84">
        <f>IF(A329="","",IF(E329="","No date",IF(TODAY()&gt;=EDATE(E329,Review_Months),"Review Due","Current")))</f>
        <v/>
      </c>
      <c r="P329" s="84">
        <f>IF(A329="","",IF(COUNTIFS('AFA Rates'!$A$5:$A$1004,A329,'AFA Rates'!$O$5:$O$1004,"&lt;&gt;Expired")&gt;0,"Yes",IF(COUNTIF('AFA Rates'!$A$5:$A$1004,A329)&gt;0,"Expired only","No")))</f>
        <v/>
      </c>
      <c r="Q329" s="84">
        <f>IF(A329="","",COUNTIFS('AFA Rates'!$A$5:$A$1004,A329,'AFA Rates'!$O$5:$O$1004,"&lt;&gt;Expired"))</f>
        <v/>
      </c>
      <c r="R329" s="66" t="n"/>
      <c r="S329" s="64" t="n"/>
      <c r="T329" s="64" t="n"/>
      <c r="U329">
        <f>IF(AND(A329&lt;&gt;"",B329="Paused"),COUNTIFS($A$5:A329,"&lt;&gt;",$B$5:B329,"Paused"),"")</f>
        <v/>
      </c>
      <c r="V329">
        <f>IF(P329="Yes",COUNTIF($P$5:P329,"Yes"),"")</f>
        <v/>
      </c>
      <c r="W329">
        <f>IF(A329="","",COUNTIF($A$5:$A$1004,"&lt;"&amp;A329)+COUNTIF($A$5:A329,A329))</f>
        <v/>
      </c>
      <c r="X329">
        <f>","&amp;SUBSTITUTE(SUBSTITUTE(SUBSTITUTE(UPPER(C329)," ",""),";",","),"/",",")&amp;","</f>
        <v/>
      </c>
      <c r="Y329">
        <f>IF(AND(A329&lt;&gt;"",B329="Active",'State Search'!$C$5&lt;&gt;"",OR(X329=",ALL,",ISNUMBER(SEARCH(","&amp;'State Search'!$C$5&amp;",",X329)))),W329,"")</f>
        <v/>
      </c>
    </row>
    <row r="330">
      <c r="A330" s="64" t="n"/>
      <c r="B330" s="65" t="n"/>
      <c r="C330" s="64" t="n"/>
      <c r="D330" s="66" t="n"/>
      <c r="E330" s="66" t="n"/>
      <c r="F330" s="67" t="n"/>
      <c r="G330" s="67" t="n"/>
      <c r="H330" s="67" t="n"/>
      <c r="I330" s="67" t="n"/>
      <c r="J330" s="67" t="n"/>
      <c r="K330" s="67" t="n"/>
      <c r="L330" s="67" t="n"/>
      <c r="M330" s="67" t="n"/>
      <c r="N330" s="65" t="n"/>
      <c r="O330" s="84">
        <f>IF(A330="","",IF(E330="","No date",IF(TODAY()&gt;=EDATE(E330,Review_Months),"Review Due","Current")))</f>
        <v/>
      </c>
      <c r="P330" s="84">
        <f>IF(A330="","",IF(COUNTIFS('AFA Rates'!$A$5:$A$1004,A330,'AFA Rates'!$O$5:$O$1004,"&lt;&gt;Expired")&gt;0,"Yes",IF(COUNTIF('AFA Rates'!$A$5:$A$1004,A330)&gt;0,"Expired only","No")))</f>
        <v/>
      </c>
      <c r="Q330" s="84">
        <f>IF(A330="","",COUNTIFS('AFA Rates'!$A$5:$A$1004,A330,'AFA Rates'!$O$5:$O$1004,"&lt;&gt;Expired"))</f>
        <v/>
      </c>
      <c r="R330" s="66" t="n"/>
      <c r="S330" s="64" t="n"/>
      <c r="T330" s="64" t="n"/>
      <c r="U330">
        <f>IF(AND(A330&lt;&gt;"",B330="Paused"),COUNTIFS($A$5:A330,"&lt;&gt;",$B$5:B330,"Paused"),"")</f>
        <v/>
      </c>
      <c r="V330">
        <f>IF(P330="Yes",COUNTIF($P$5:P330,"Yes"),"")</f>
        <v/>
      </c>
      <c r="W330">
        <f>IF(A330="","",COUNTIF($A$5:$A$1004,"&lt;"&amp;A330)+COUNTIF($A$5:A330,A330))</f>
        <v/>
      </c>
      <c r="X330">
        <f>","&amp;SUBSTITUTE(SUBSTITUTE(SUBSTITUTE(UPPER(C330)," ",""),";",","),"/",",")&amp;","</f>
        <v/>
      </c>
      <c r="Y330">
        <f>IF(AND(A330&lt;&gt;"",B330="Active",'State Search'!$C$5&lt;&gt;"",OR(X330=",ALL,",ISNUMBER(SEARCH(","&amp;'State Search'!$C$5&amp;",",X330)))),W330,"")</f>
        <v/>
      </c>
    </row>
    <row r="331">
      <c r="A331" s="64" t="n"/>
      <c r="B331" s="65" t="n"/>
      <c r="C331" s="64" t="n"/>
      <c r="D331" s="66" t="n"/>
      <c r="E331" s="66" t="n"/>
      <c r="F331" s="67" t="n"/>
      <c r="G331" s="67" t="n"/>
      <c r="H331" s="67" t="n"/>
      <c r="I331" s="67" t="n"/>
      <c r="J331" s="67" t="n"/>
      <c r="K331" s="67" t="n"/>
      <c r="L331" s="67" t="n"/>
      <c r="M331" s="67" t="n"/>
      <c r="N331" s="65" t="n"/>
      <c r="O331" s="84">
        <f>IF(A331="","",IF(E331="","No date",IF(TODAY()&gt;=EDATE(E331,Review_Months),"Review Due","Current")))</f>
        <v/>
      </c>
      <c r="P331" s="84">
        <f>IF(A331="","",IF(COUNTIFS('AFA Rates'!$A$5:$A$1004,A331,'AFA Rates'!$O$5:$O$1004,"&lt;&gt;Expired")&gt;0,"Yes",IF(COUNTIF('AFA Rates'!$A$5:$A$1004,A331)&gt;0,"Expired only","No")))</f>
        <v/>
      </c>
      <c r="Q331" s="84">
        <f>IF(A331="","",COUNTIFS('AFA Rates'!$A$5:$A$1004,A331,'AFA Rates'!$O$5:$O$1004,"&lt;&gt;Expired"))</f>
        <v/>
      </c>
      <c r="R331" s="66" t="n"/>
      <c r="S331" s="64" t="n"/>
      <c r="T331" s="64" t="n"/>
      <c r="U331">
        <f>IF(AND(A331&lt;&gt;"",B331="Paused"),COUNTIFS($A$5:A331,"&lt;&gt;",$B$5:B331,"Paused"),"")</f>
        <v/>
      </c>
      <c r="V331">
        <f>IF(P331="Yes",COUNTIF($P$5:P331,"Yes"),"")</f>
        <v/>
      </c>
      <c r="W331">
        <f>IF(A331="","",COUNTIF($A$5:$A$1004,"&lt;"&amp;A331)+COUNTIF($A$5:A331,A331))</f>
        <v/>
      </c>
      <c r="X331">
        <f>","&amp;SUBSTITUTE(SUBSTITUTE(SUBSTITUTE(UPPER(C331)," ",""),";",","),"/",",")&amp;","</f>
        <v/>
      </c>
      <c r="Y331">
        <f>IF(AND(A331&lt;&gt;"",B331="Active",'State Search'!$C$5&lt;&gt;"",OR(X331=",ALL,",ISNUMBER(SEARCH(","&amp;'State Search'!$C$5&amp;",",X331)))),W331,"")</f>
        <v/>
      </c>
    </row>
    <row r="332">
      <c r="A332" s="64" t="n"/>
      <c r="B332" s="65" t="n"/>
      <c r="C332" s="64" t="n"/>
      <c r="D332" s="66" t="n"/>
      <c r="E332" s="66" t="n"/>
      <c r="F332" s="67" t="n"/>
      <c r="G332" s="67" t="n"/>
      <c r="H332" s="67" t="n"/>
      <c r="I332" s="67" t="n"/>
      <c r="J332" s="67" t="n"/>
      <c r="K332" s="67" t="n"/>
      <c r="L332" s="67" t="n"/>
      <c r="M332" s="67" t="n"/>
      <c r="N332" s="65" t="n"/>
      <c r="O332" s="84">
        <f>IF(A332="","",IF(E332="","No date",IF(TODAY()&gt;=EDATE(E332,Review_Months),"Review Due","Current")))</f>
        <v/>
      </c>
      <c r="P332" s="84">
        <f>IF(A332="","",IF(COUNTIFS('AFA Rates'!$A$5:$A$1004,A332,'AFA Rates'!$O$5:$O$1004,"&lt;&gt;Expired")&gt;0,"Yes",IF(COUNTIF('AFA Rates'!$A$5:$A$1004,A332)&gt;0,"Expired only","No")))</f>
        <v/>
      </c>
      <c r="Q332" s="84">
        <f>IF(A332="","",COUNTIFS('AFA Rates'!$A$5:$A$1004,A332,'AFA Rates'!$O$5:$O$1004,"&lt;&gt;Expired"))</f>
        <v/>
      </c>
      <c r="R332" s="66" t="n"/>
      <c r="S332" s="64" t="n"/>
      <c r="T332" s="64" t="n"/>
      <c r="U332">
        <f>IF(AND(A332&lt;&gt;"",B332="Paused"),COUNTIFS($A$5:A332,"&lt;&gt;",$B$5:B332,"Paused"),"")</f>
        <v/>
      </c>
      <c r="V332">
        <f>IF(P332="Yes",COUNTIF($P$5:P332,"Yes"),"")</f>
        <v/>
      </c>
      <c r="W332">
        <f>IF(A332="","",COUNTIF($A$5:$A$1004,"&lt;"&amp;A332)+COUNTIF($A$5:A332,A332))</f>
        <v/>
      </c>
      <c r="X332">
        <f>","&amp;SUBSTITUTE(SUBSTITUTE(SUBSTITUTE(UPPER(C332)," ",""),";",","),"/",",")&amp;","</f>
        <v/>
      </c>
      <c r="Y332">
        <f>IF(AND(A332&lt;&gt;"",B332="Active",'State Search'!$C$5&lt;&gt;"",OR(X332=",ALL,",ISNUMBER(SEARCH(","&amp;'State Search'!$C$5&amp;",",X332)))),W332,"")</f>
        <v/>
      </c>
    </row>
    <row r="333">
      <c r="A333" s="64" t="n"/>
      <c r="B333" s="65" t="n"/>
      <c r="C333" s="64" t="n"/>
      <c r="D333" s="66" t="n"/>
      <c r="E333" s="66" t="n"/>
      <c r="F333" s="67" t="n"/>
      <c r="G333" s="67" t="n"/>
      <c r="H333" s="67" t="n"/>
      <c r="I333" s="67" t="n"/>
      <c r="J333" s="67" t="n"/>
      <c r="K333" s="67" t="n"/>
      <c r="L333" s="67" t="n"/>
      <c r="M333" s="67" t="n"/>
      <c r="N333" s="65" t="n"/>
      <c r="O333" s="84">
        <f>IF(A333="","",IF(E333="","No date",IF(TODAY()&gt;=EDATE(E333,Review_Months),"Review Due","Current")))</f>
        <v/>
      </c>
      <c r="P333" s="84">
        <f>IF(A333="","",IF(COUNTIFS('AFA Rates'!$A$5:$A$1004,A333,'AFA Rates'!$O$5:$O$1004,"&lt;&gt;Expired")&gt;0,"Yes",IF(COUNTIF('AFA Rates'!$A$5:$A$1004,A333)&gt;0,"Expired only","No")))</f>
        <v/>
      </c>
      <c r="Q333" s="84">
        <f>IF(A333="","",COUNTIFS('AFA Rates'!$A$5:$A$1004,A333,'AFA Rates'!$O$5:$O$1004,"&lt;&gt;Expired"))</f>
        <v/>
      </c>
      <c r="R333" s="66" t="n"/>
      <c r="S333" s="64" t="n"/>
      <c r="T333" s="64" t="n"/>
      <c r="U333">
        <f>IF(AND(A333&lt;&gt;"",B333="Paused"),COUNTIFS($A$5:A333,"&lt;&gt;",$B$5:B333,"Paused"),"")</f>
        <v/>
      </c>
      <c r="V333">
        <f>IF(P333="Yes",COUNTIF($P$5:P333,"Yes"),"")</f>
        <v/>
      </c>
      <c r="W333">
        <f>IF(A333="","",COUNTIF($A$5:$A$1004,"&lt;"&amp;A333)+COUNTIF($A$5:A333,A333))</f>
        <v/>
      </c>
      <c r="X333">
        <f>","&amp;SUBSTITUTE(SUBSTITUTE(SUBSTITUTE(UPPER(C333)," ",""),";",","),"/",",")&amp;","</f>
        <v/>
      </c>
      <c r="Y333">
        <f>IF(AND(A333&lt;&gt;"",B333="Active",'State Search'!$C$5&lt;&gt;"",OR(X333=",ALL,",ISNUMBER(SEARCH(","&amp;'State Search'!$C$5&amp;",",X333)))),W333,"")</f>
        <v/>
      </c>
    </row>
    <row r="334">
      <c r="A334" s="64" t="n"/>
      <c r="B334" s="65" t="n"/>
      <c r="C334" s="64" t="n"/>
      <c r="D334" s="66" t="n"/>
      <c r="E334" s="66" t="n"/>
      <c r="F334" s="67" t="n"/>
      <c r="G334" s="67" t="n"/>
      <c r="H334" s="67" t="n"/>
      <c r="I334" s="67" t="n"/>
      <c r="J334" s="67" t="n"/>
      <c r="K334" s="67" t="n"/>
      <c r="L334" s="67" t="n"/>
      <c r="M334" s="67" t="n"/>
      <c r="N334" s="65" t="n"/>
      <c r="O334" s="84">
        <f>IF(A334="","",IF(E334="","No date",IF(TODAY()&gt;=EDATE(E334,Review_Months),"Review Due","Current")))</f>
        <v/>
      </c>
      <c r="P334" s="84">
        <f>IF(A334="","",IF(COUNTIFS('AFA Rates'!$A$5:$A$1004,A334,'AFA Rates'!$O$5:$O$1004,"&lt;&gt;Expired")&gt;0,"Yes",IF(COUNTIF('AFA Rates'!$A$5:$A$1004,A334)&gt;0,"Expired only","No")))</f>
        <v/>
      </c>
      <c r="Q334" s="84">
        <f>IF(A334="","",COUNTIFS('AFA Rates'!$A$5:$A$1004,A334,'AFA Rates'!$O$5:$O$1004,"&lt;&gt;Expired"))</f>
        <v/>
      </c>
      <c r="R334" s="66" t="n"/>
      <c r="S334" s="64" t="n"/>
      <c r="T334" s="64" t="n"/>
      <c r="U334">
        <f>IF(AND(A334&lt;&gt;"",B334="Paused"),COUNTIFS($A$5:A334,"&lt;&gt;",$B$5:B334,"Paused"),"")</f>
        <v/>
      </c>
      <c r="V334">
        <f>IF(P334="Yes",COUNTIF($P$5:P334,"Yes"),"")</f>
        <v/>
      </c>
      <c r="W334">
        <f>IF(A334="","",COUNTIF($A$5:$A$1004,"&lt;"&amp;A334)+COUNTIF($A$5:A334,A334))</f>
        <v/>
      </c>
      <c r="X334">
        <f>","&amp;SUBSTITUTE(SUBSTITUTE(SUBSTITUTE(UPPER(C334)," ",""),";",","),"/",",")&amp;","</f>
        <v/>
      </c>
      <c r="Y334">
        <f>IF(AND(A334&lt;&gt;"",B334="Active",'State Search'!$C$5&lt;&gt;"",OR(X334=",ALL,",ISNUMBER(SEARCH(","&amp;'State Search'!$C$5&amp;",",X334)))),W334,"")</f>
        <v/>
      </c>
    </row>
    <row r="335">
      <c r="A335" s="64" t="n"/>
      <c r="B335" s="65" t="n"/>
      <c r="C335" s="64" t="n"/>
      <c r="D335" s="66" t="n"/>
      <c r="E335" s="66" t="n"/>
      <c r="F335" s="67" t="n"/>
      <c r="G335" s="67" t="n"/>
      <c r="H335" s="67" t="n"/>
      <c r="I335" s="67" t="n"/>
      <c r="J335" s="67" t="n"/>
      <c r="K335" s="67" t="n"/>
      <c r="L335" s="67" t="n"/>
      <c r="M335" s="67" t="n"/>
      <c r="N335" s="65" t="n"/>
      <c r="O335" s="84">
        <f>IF(A335="","",IF(E335="","No date",IF(TODAY()&gt;=EDATE(E335,Review_Months),"Review Due","Current")))</f>
        <v/>
      </c>
      <c r="P335" s="84">
        <f>IF(A335="","",IF(COUNTIFS('AFA Rates'!$A$5:$A$1004,A335,'AFA Rates'!$O$5:$O$1004,"&lt;&gt;Expired")&gt;0,"Yes",IF(COUNTIF('AFA Rates'!$A$5:$A$1004,A335)&gt;0,"Expired only","No")))</f>
        <v/>
      </c>
      <c r="Q335" s="84">
        <f>IF(A335="","",COUNTIFS('AFA Rates'!$A$5:$A$1004,A335,'AFA Rates'!$O$5:$O$1004,"&lt;&gt;Expired"))</f>
        <v/>
      </c>
      <c r="R335" s="66" t="n"/>
      <c r="S335" s="64" t="n"/>
      <c r="T335" s="64" t="n"/>
      <c r="U335">
        <f>IF(AND(A335&lt;&gt;"",B335="Paused"),COUNTIFS($A$5:A335,"&lt;&gt;",$B$5:B335,"Paused"),"")</f>
        <v/>
      </c>
      <c r="V335">
        <f>IF(P335="Yes",COUNTIF($P$5:P335,"Yes"),"")</f>
        <v/>
      </c>
      <c r="W335">
        <f>IF(A335="","",COUNTIF($A$5:$A$1004,"&lt;"&amp;A335)+COUNTIF($A$5:A335,A335))</f>
        <v/>
      </c>
      <c r="X335">
        <f>","&amp;SUBSTITUTE(SUBSTITUTE(SUBSTITUTE(UPPER(C335)," ",""),";",","),"/",",")&amp;","</f>
        <v/>
      </c>
      <c r="Y335">
        <f>IF(AND(A335&lt;&gt;"",B335="Active",'State Search'!$C$5&lt;&gt;"",OR(X335=",ALL,",ISNUMBER(SEARCH(","&amp;'State Search'!$C$5&amp;",",X335)))),W335,"")</f>
        <v/>
      </c>
    </row>
    <row r="336">
      <c r="A336" s="64" t="n"/>
      <c r="B336" s="65" t="n"/>
      <c r="C336" s="64" t="n"/>
      <c r="D336" s="66" t="n"/>
      <c r="E336" s="66" t="n"/>
      <c r="F336" s="67" t="n"/>
      <c r="G336" s="67" t="n"/>
      <c r="H336" s="67" t="n"/>
      <c r="I336" s="67" t="n"/>
      <c r="J336" s="67" t="n"/>
      <c r="K336" s="67" t="n"/>
      <c r="L336" s="67" t="n"/>
      <c r="M336" s="67" t="n"/>
      <c r="N336" s="65" t="n"/>
      <c r="O336" s="84">
        <f>IF(A336="","",IF(E336="","No date",IF(TODAY()&gt;=EDATE(E336,Review_Months),"Review Due","Current")))</f>
        <v/>
      </c>
      <c r="P336" s="84">
        <f>IF(A336="","",IF(COUNTIFS('AFA Rates'!$A$5:$A$1004,A336,'AFA Rates'!$O$5:$O$1004,"&lt;&gt;Expired")&gt;0,"Yes",IF(COUNTIF('AFA Rates'!$A$5:$A$1004,A336)&gt;0,"Expired only","No")))</f>
        <v/>
      </c>
      <c r="Q336" s="84">
        <f>IF(A336="","",COUNTIFS('AFA Rates'!$A$5:$A$1004,A336,'AFA Rates'!$O$5:$O$1004,"&lt;&gt;Expired"))</f>
        <v/>
      </c>
      <c r="R336" s="66" t="n"/>
      <c r="S336" s="64" t="n"/>
      <c r="T336" s="64" t="n"/>
      <c r="U336">
        <f>IF(AND(A336&lt;&gt;"",B336="Paused"),COUNTIFS($A$5:A336,"&lt;&gt;",$B$5:B336,"Paused"),"")</f>
        <v/>
      </c>
      <c r="V336">
        <f>IF(P336="Yes",COUNTIF($P$5:P336,"Yes"),"")</f>
        <v/>
      </c>
      <c r="W336">
        <f>IF(A336="","",COUNTIF($A$5:$A$1004,"&lt;"&amp;A336)+COUNTIF($A$5:A336,A336))</f>
        <v/>
      </c>
      <c r="X336">
        <f>","&amp;SUBSTITUTE(SUBSTITUTE(SUBSTITUTE(UPPER(C336)," ",""),";",","),"/",",")&amp;","</f>
        <v/>
      </c>
      <c r="Y336">
        <f>IF(AND(A336&lt;&gt;"",B336="Active",'State Search'!$C$5&lt;&gt;"",OR(X336=",ALL,",ISNUMBER(SEARCH(","&amp;'State Search'!$C$5&amp;",",X336)))),W336,"")</f>
        <v/>
      </c>
    </row>
    <row r="337">
      <c r="A337" s="64" t="n"/>
      <c r="B337" s="65" t="n"/>
      <c r="C337" s="64" t="n"/>
      <c r="D337" s="66" t="n"/>
      <c r="E337" s="66" t="n"/>
      <c r="F337" s="67" t="n"/>
      <c r="G337" s="67" t="n"/>
      <c r="H337" s="67" t="n"/>
      <c r="I337" s="67" t="n"/>
      <c r="J337" s="67" t="n"/>
      <c r="K337" s="67" t="n"/>
      <c r="L337" s="67" t="n"/>
      <c r="M337" s="67" t="n"/>
      <c r="N337" s="65" t="n"/>
      <c r="O337" s="84">
        <f>IF(A337="","",IF(E337="","No date",IF(TODAY()&gt;=EDATE(E337,Review_Months),"Review Due","Current")))</f>
        <v/>
      </c>
      <c r="P337" s="84">
        <f>IF(A337="","",IF(COUNTIFS('AFA Rates'!$A$5:$A$1004,A337,'AFA Rates'!$O$5:$O$1004,"&lt;&gt;Expired")&gt;0,"Yes",IF(COUNTIF('AFA Rates'!$A$5:$A$1004,A337)&gt;0,"Expired only","No")))</f>
        <v/>
      </c>
      <c r="Q337" s="84">
        <f>IF(A337="","",COUNTIFS('AFA Rates'!$A$5:$A$1004,A337,'AFA Rates'!$O$5:$O$1004,"&lt;&gt;Expired"))</f>
        <v/>
      </c>
      <c r="R337" s="66" t="n"/>
      <c r="S337" s="64" t="n"/>
      <c r="T337" s="64" t="n"/>
      <c r="U337">
        <f>IF(AND(A337&lt;&gt;"",B337="Paused"),COUNTIFS($A$5:A337,"&lt;&gt;",$B$5:B337,"Paused"),"")</f>
        <v/>
      </c>
      <c r="V337">
        <f>IF(P337="Yes",COUNTIF($P$5:P337,"Yes"),"")</f>
        <v/>
      </c>
      <c r="W337">
        <f>IF(A337="","",COUNTIF($A$5:$A$1004,"&lt;"&amp;A337)+COUNTIF($A$5:A337,A337))</f>
        <v/>
      </c>
      <c r="X337">
        <f>","&amp;SUBSTITUTE(SUBSTITUTE(SUBSTITUTE(UPPER(C337)," ",""),";",","),"/",",")&amp;","</f>
        <v/>
      </c>
      <c r="Y337">
        <f>IF(AND(A337&lt;&gt;"",B337="Active",'State Search'!$C$5&lt;&gt;"",OR(X337=",ALL,",ISNUMBER(SEARCH(","&amp;'State Search'!$C$5&amp;",",X337)))),W337,"")</f>
        <v/>
      </c>
    </row>
    <row r="338">
      <c r="A338" s="64" t="n"/>
      <c r="B338" s="65" t="n"/>
      <c r="C338" s="64" t="n"/>
      <c r="D338" s="66" t="n"/>
      <c r="E338" s="66" t="n"/>
      <c r="F338" s="67" t="n"/>
      <c r="G338" s="67" t="n"/>
      <c r="H338" s="67" t="n"/>
      <c r="I338" s="67" t="n"/>
      <c r="J338" s="67" t="n"/>
      <c r="K338" s="67" t="n"/>
      <c r="L338" s="67" t="n"/>
      <c r="M338" s="67" t="n"/>
      <c r="N338" s="65" t="n"/>
      <c r="O338" s="84">
        <f>IF(A338="","",IF(E338="","No date",IF(TODAY()&gt;=EDATE(E338,Review_Months),"Review Due","Current")))</f>
        <v/>
      </c>
      <c r="P338" s="84">
        <f>IF(A338="","",IF(COUNTIFS('AFA Rates'!$A$5:$A$1004,A338,'AFA Rates'!$O$5:$O$1004,"&lt;&gt;Expired")&gt;0,"Yes",IF(COUNTIF('AFA Rates'!$A$5:$A$1004,A338)&gt;0,"Expired only","No")))</f>
        <v/>
      </c>
      <c r="Q338" s="84">
        <f>IF(A338="","",COUNTIFS('AFA Rates'!$A$5:$A$1004,A338,'AFA Rates'!$O$5:$O$1004,"&lt;&gt;Expired"))</f>
        <v/>
      </c>
      <c r="R338" s="66" t="n"/>
      <c r="S338" s="64" t="n"/>
      <c r="T338" s="64" t="n"/>
      <c r="U338">
        <f>IF(AND(A338&lt;&gt;"",B338="Paused"),COUNTIFS($A$5:A338,"&lt;&gt;",$B$5:B338,"Paused"),"")</f>
        <v/>
      </c>
      <c r="V338">
        <f>IF(P338="Yes",COUNTIF($P$5:P338,"Yes"),"")</f>
        <v/>
      </c>
      <c r="W338">
        <f>IF(A338="","",COUNTIF($A$5:$A$1004,"&lt;"&amp;A338)+COUNTIF($A$5:A338,A338))</f>
        <v/>
      </c>
      <c r="X338">
        <f>","&amp;SUBSTITUTE(SUBSTITUTE(SUBSTITUTE(UPPER(C338)," ",""),";",","),"/",",")&amp;","</f>
        <v/>
      </c>
      <c r="Y338">
        <f>IF(AND(A338&lt;&gt;"",B338="Active",'State Search'!$C$5&lt;&gt;"",OR(X338=",ALL,",ISNUMBER(SEARCH(","&amp;'State Search'!$C$5&amp;",",X338)))),W338,"")</f>
        <v/>
      </c>
    </row>
    <row r="339">
      <c r="A339" s="64" t="n"/>
      <c r="B339" s="65" t="n"/>
      <c r="C339" s="64" t="n"/>
      <c r="D339" s="66" t="n"/>
      <c r="E339" s="66" t="n"/>
      <c r="F339" s="67" t="n"/>
      <c r="G339" s="67" t="n"/>
      <c r="H339" s="67" t="n"/>
      <c r="I339" s="67" t="n"/>
      <c r="J339" s="67" t="n"/>
      <c r="K339" s="67" t="n"/>
      <c r="L339" s="67" t="n"/>
      <c r="M339" s="67" t="n"/>
      <c r="N339" s="65" t="n"/>
      <c r="O339" s="84">
        <f>IF(A339="","",IF(E339="","No date",IF(TODAY()&gt;=EDATE(E339,Review_Months),"Review Due","Current")))</f>
        <v/>
      </c>
      <c r="P339" s="84">
        <f>IF(A339="","",IF(COUNTIFS('AFA Rates'!$A$5:$A$1004,A339,'AFA Rates'!$O$5:$O$1004,"&lt;&gt;Expired")&gt;0,"Yes",IF(COUNTIF('AFA Rates'!$A$5:$A$1004,A339)&gt;0,"Expired only","No")))</f>
        <v/>
      </c>
      <c r="Q339" s="84">
        <f>IF(A339="","",COUNTIFS('AFA Rates'!$A$5:$A$1004,A339,'AFA Rates'!$O$5:$O$1004,"&lt;&gt;Expired"))</f>
        <v/>
      </c>
      <c r="R339" s="66" t="n"/>
      <c r="S339" s="64" t="n"/>
      <c r="T339" s="64" t="n"/>
      <c r="U339">
        <f>IF(AND(A339&lt;&gt;"",B339="Paused"),COUNTIFS($A$5:A339,"&lt;&gt;",$B$5:B339,"Paused"),"")</f>
        <v/>
      </c>
      <c r="V339">
        <f>IF(P339="Yes",COUNTIF($P$5:P339,"Yes"),"")</f>
        <v/>
      </c>
      <c r="W339">
        <f>IF(A339="","",COUNTIF($A$5:$A$1004,"&lt;"&amp;A339)+COUNTIF($A$5:A339,A339))</f>
        <v/>
      </c>
      <c r="X339">
        <f>","&amp;SUBSTITUTE(SUBSTITUTE(SUBSTITUTE(UPPER(C339)," ",""),";",","),"/",",")&amp;","</f>
        <v/>
      </c>
      <c r="Y339">
        <f>IF(AND(A339&lt;&gt;"",B339="Active",'State Search'!$C$5&lt;&gt;"",OR(X339=",ALL,",ISNUMBER(SEARCH(","&amp;'State Search'!$C$5&amp;",",X339)))),W339,"")</f>
        <v/>
      </c>
    </row>
    <row r="340">
      <c r="A340" s="64" t="n"/>
      <c r="B340" s="65" t="n"/>
      <c r="C340" s="64" t="n"/>
      <c r="D340" s="66" t="n"/>
      <c r="E340" s="66" t="n"/>
      <c r="F340" s="67" t="n"/>
      <c r="G340" s="67" t="n"/>
      <c r="H340" s="67" t="n"/>
      <c r="I340" s="67" t="n"/>
      <c r="J340" s="67" t="n"/>
      <c r="K340" s="67" t="n"/>
      <c r="L340" s="67" t="n"/>
      <c r="M340" s="67" t="n"/>
      <c r="N340" s="65" t="n"/>
      <c r="O340" s="84">
        <f>IF(A340="","",IF(E340="","No date",IF(TODAY()&gt;=EDATE(E340,Review_Months),"Review Due","Current")))</f>
        <v/>
      </c>
      <c r="P340" s="84">
        <f>IF(A340="","",IF(COUNTIFS('AFA Rates'!$A$5:$A$1004,A340,'AFA Rates'!$O$5:$O$1004,"&lt;&gt;Expired")&gt;0,"Yes",IF(COUNTIF('AFA Rates'!$A$5:$A$1004,A340)&gt;0,"Expired only","No")))</f>
        <v/>
      </c>
      <c r="Q340" s="84">
        <f>IF(A340="","",COUNTIFS('AFA Rates'!$A$5:$A$1004,A340,'AFA Rates'!$O$5:$O$1004,"&lt;&gt;Expired"))</f>
        <v/>
      </c>
      <c r="R340" s="66" t="n"/>
      <c r="S340" s="64" t="n"/>
      <c r="T340" s="64" t="n"/>
      <c r="U340">
        <f>IF(AND(A340&lt;&gt;"",B340="Paused"),COUNTIFS($A$5:A340,"&lt;&gt;",$B$5:B340,"Paused"),"")</f>
        <v/>
      </c>
      <c r="V340">
        <f>IF(P340="Yes",COUNTIF($P$5:P340,"Yes"),"")</f>
        <v/>
      </c>
      <c r="W340">
        <f>IF(A340="","",COUNTIF($A$5:$A$1004,"&lt;"&amp;A340)+COUNTIF($A$5:A340,A340))</f>
        <v/>
      </c>
      <c r="X340">
        <f>","&amp;SUBSTITUTE(SUBSTITUTE(SUBSTITUTE(UPPER(C340)," ",""),";",","),"/",",")&amp;","</f>
        <v/>
      </c>
      <c r="Y340">
        <f>IF(AND(A340&lt;&gt;"",B340="Active",'State Search'!$C$5&lt;&gt;"",OR(X340=",ALL,",ISNUMBER(SEARCH(","&amp;'State Search'!$C$5&amp;",",X340)))),W340,"")</f>
        <v/>
      </c>
    </row>
    <row r="341">
      <c r="A341" s="64" t="n"/>
      <c r="B341" s="65" t="n"/>
      <c r="C341" s="64" t="n"/>
      <c r="D341" s="66" t="n"/>
      <c r="E341" s="66" t="n"/>
      <c r="F341" s="67" t="n"/>
      <c r="G341" s="67" t="n"/>
      <c r="H341" s="67" t="n"/>
      <c r="I341" s="67" t="n"/>
      <c r="J341" s="67" t="n"/>
      <c r="K341" s="67" t="n"/>
      <c r="L341" s="67" t="n"/>
      <c r="M341" s="67" t="n"/>
      <c r="N341" s="65" t="n"/>
      <c r="O341" s="84">
        <f>IF(A341="","",IF(E341="","No date",IF(TODAY()&gt;=EDATE(E341,Review_Months),"Review Due","Current")))</f>
        <v/>
      </c>
      <c r="P341" s="84">
        <f>IF(A341="","",IF(COUNTIFS('AFA Rates'!$A$5:$A$1004,A341,'AFA Rates'!$O$5:$O$1004,"&lt;&gt;Expired")&gt;0,"Yes",IF(COUNTIF('AFA Rates'!$A$5:$A$1004,A341)&gt;0,"Expired only","No")))</f>
        <v/>
      </c>
      <c r="Q341" s="84">
        <f>IF(A341="","",COUNTIFS('AFA Rates'!$A$5:$A$1004,A341,'AFA Rates'!$O$5:$O$1004,"&lt;&gt;Expired"))</f>
        <v/>
      </c>
      <c r="R341" s="66" t="n"/>
      <c r="S341" s="64" t="n"/>
      <c r="T341" s="64" t="n"/>
      <c r="U341">
        <f>IF(AND(A341&lt;&gt;"",B341="Paused"),COUNTIFS($A$5:A341,"&lt;&gt;",$B$5:B341,"Paused"),"")</f>
        <v/>
      </c>
      <c r="V341">
        <f>IF(P341="Yes",COUNTIF($P$5:P341,"Yes"),"")</f>
        <v/>
      </c>
      <c r="W341">
        <f>IF(A341="","",COUNTIF($A$5:$A$1004,"&lt;"&amp;A341)+COUNTIF($A$5:A341,A341))</f>
        <v/>
      </c>
      <c r="X341">
        <f>","&amp;SUBSTITUTE(SUBSTITUTE(SUBSTITUTE(UPPER(C341)," ",""),";",","),"/",",")&amp;","</f>
        <v/>
      </c>
      <c r="Y341">
        <f>IF(AND(A341&lt;&gt;"",B341="Active",'State Search'!$C$5&lt;&gt;"",OR(X341=",ALL,",ISNUMBER(SEARCH(","&amp;'State Search'!$C$5&amp;",",X341)))),W341,"")</f>
        <v/>
      </c>
    </row>
    <row r="342">
      <c r="A342" s="64" t="n"/>
      <c r="B342" s="65" t="n"/>
      <c r="C342" s="64" t="n"/>
      <c r="D342" s="66" t="n"/>
      <c r="E342" s="66" t="n"/>
      <c r="F342" s="67" t="n"/>
      <c r="G342" s="67" t="n"/>
      <c r="H342" s="67" t="n"/>
      <c r="I342" s="67" t="n"/>
      <c r="J342" s="67" t="n"/>
      <c r="K342" s="67" t="n"/>
      <c r="L342" s="67" t="n"/>
      <c r="M342" s="67" t="n"/>
      <c r="N342" s="65" t="n"/>
      <c r="O342" s="84">
        <f>IF(A342="","",IF(E342="","No date",IF(TODAY()&gt;=EDATE(E342,Review_Months),"Review Due","Current")))</f>
        <v/>
      </c>
      <c r="P342" s="84">
        <f>IF(A342="","",IF(COUNTIFS('AFA Rates'!$A$5:$A$1004,A342,'AFA Rates'!$O$5:$O$1004,"&lt;&gt;Expired")&gt;0,"Yes",IF(COUNTIF('AFA Rates'!$A$5:$A$1004,A342)&gt;0,"Expired only","No")))</f>
        <v/>
      </c>
      <c r="Q342" s="84">
        <f>IF(A342="","",COUNTIFS('AFA Rates'!$A$5:$A$1004,A342,'AFA Rates'!$O$5:$O$1004,"&lt;&gt;Expired"))</f>
        <v/>
      </c>
      <c r="R342" s="66" t="n"/>
      <c r="S342" s="64" t="n"/>
      <c r="T342" s="64" t="n"/>
      <c r="U342">
        <f>IF(AND(A342&lt;&gt;"",B342="Paused"),COUNTIFS($A$5:A342,"&lt;&gt;",$B$5:B342,"Paused"),"")</f>
        <v/>
      </c>
      <c r="V342">
        <f>IF(P342="Yes",COUNTIF($P$5:P342,"Yes"),"")</f>
        <v/>
      </c>
      <c r="W342">
        <f>IF(A342="","",COUNTIF($A$5:$A$1004,"&lt;"&amp;A342)+COUNTIF($A$5:A342,A342))</f>
        <v/>
      </c>
      <c r="X342">
        <f>","&amp;SUBSTITUTE(SUBSTITUTE(SUBSTITUTE(UPPER(C342)," ",""),";",","),"/",",")&amp;","</f>
        <v/>
      </c>
      <c r="Y342">
        <f>IF(AND(A342&lt;&gt;"",B342="Active",'State Search'!$C$5&lt;&gt;"",OR(X342=",ALL,",ISNUMBER(SEARCH(","&amp;'State Search'!$C$5&amp;",",X342)))),W342,"")</f>
        <v/>
      </c>
    </row>
    <row r="343">
      <c r="A343" s="64" t="n"/>
      <c r="B343" s="65" t="n"/>
      <c r="C343" s="64" t="n"/>
      <c r="D343" s="66" t="n"/>
      <c r="E343" s="66" t="n"/>
      <c r="F343" s="67" t="n"/>
      <c r="G343" s="67" t="n"/>
      <c r="H343" s="67" t="n"/>
      <c r="I343" s="67" t="n"/>
      <c r="J343" s="67" t="n"/>
      <c r="K343" s="67" t="n"/>
      <c r="L343" s="67" t="n"/>
      <c r="M343" s="67" t="n"/>
      <c r="N343" s="65" t="n"/>
      <c r="O343" s="84">
        <f>IF(A343="","",IF(E343="","No date",IF(TODAY()&gt;=EDATE(E343,Review_Months),"Review Due","Current")))</f>
        <v/>
      </c>
      <c r="P343" s="84">
        <f>IF(A343="","",IF(COUNTIFS('AFA Rates'!$A$5:$A$1004,A343,'AFA Rates'!$O$5:$O$1004,"&lt;&gt;Expired")&gt;0,"Yes",IF(COUNTIF('AFA Rates'!$A$5:$A$1004,A343)&gt;0,"Expired only","No")))</f>
        <v/>
      </c>
      <c r="Q343" s="84">
        <f>IF(A343="","",COUNTIFS('AFA Rates'!$A$5:$A$1004,A343,'AFA Rates'!$O$5:$O$1004,"&lt;&gt;Expired"))</f>
        <v/>
      </c>
      <c r="R343" s="66" t="n"/>
      <c r="S343" s="64" t="n"/>
      <c r="T343" s="64" t="n"/>
      <c r="U343">
        <f>IF(AND(A343&lt;&gt;"",B343="Paused"),COUNTIFS($A$5:A343,"&lt;&gt;",$B$5:B343,"Paused"),"")</f>
        <v/>
      </c>
      <c r="V343">
        <f>IF(P343="Yes",COUNTIF($P$5:P343,"Yes"),"")</f>
        <v/>
      </c>
      <c r="W343">
        <f>IF(A343="","",COUNTIF($A$5:$A$1004,"&lt;"&amp;A343)+COUNTIF($A$5:A343,A343))</f>
        <v/>
      </c>
      <c r="X343">
        <f>","&amp;SUBSTITUTE(SUBSTITUTE(SUBSTITUTE(UPPER(C343)," ",""),";",","),"/",",")&amp;","</f>
        <v/>
      </c>
      <c r="Y343">
        <f>IF(AND(A343&lt;&gt;"",B343="Active",'State Search'!$C$5&lt;&gt;"",OR(X343=",ALL,",ISNUMBER(SEARCH(","&amp;'State Search'!$C$5&amp;",",X343)))),W343,"")</f>
        <v/>
      </c>
    </row>
    <row r="344">
      <c r="A344" s="64" t="n"/>
      <c r="B344" s="65" t="n"/>
      <c r="C344" s="64" t="n"/>
      <c r="D344" s="66" t="n"/>
      <c r="E344" s="66" t="n"/>
      <c r="F344" s="67" t="n"/>
      <c r="G344" s="67" t="n"/>
      <c r="H344" s="67" t="n"/>
      <c r="I344" s="67" t="n"/>
      <c r="J344" s="67" t="n"/>
      <c r="K344" s="67" t="n"/>
      <c r="L344" s="67" t="n"/>
      <c r="M344" s="67" t="n"/>
      <c r="N344" s="65" t="n"/>
      <c r="O344" s="84">
        <f>IF(A344="","",IF(E344="","No date",IF(TODAY()&gt;=EDATE(E344,Review_Months),"Review Due","Current")))</f>
        <v/>
      </c>
      <c r="P344" s="84">
        <f>IF(A344="","",IF(COUNTIFS('AFA Rates'!$A$5:$A$1004,A344,'AFA Rates'!$O$5:$O$1004,"&lt;&gt;Expired")&gt;0,"Yes",IF(COUNTIF('AFA Rates'!$A$5:$A$1004,A344)&gt;0,"Expired only","No")))</f>
        <v/>
      </c>
      <c r="Q344" s="84">
        <f>IF(A344="","",COUNTIFS('AFA Rates'!$A$5:$A$1004,A344,'AFA Rates'!$O$5:$O$1004,"&lt;&gt;Expired"))</f>
        <v/>
      </c>
      <c r="R344" s="66" t="n"/>
      <c r="S344" s="64" t="n"/>
      <c r="T344" s="64" t="n"/>
      <c r="U344">
        <f>IF(AND(A344&lt;&gt;"",B344="Paused"),COUNTIFS($A$5:A344,"&lt;&gt;",$B$5:B344,"Paused"),"")</f>
        <v/>
      </c>
      <c r="V344">
        <f>IF(P344="Yes",COUNTIF($P$5:P344,"Yes"),"")</f>
        <v/>
      </c>
      <c r="W344">
        <f>IF(A344="","",COUNTIF($A$5:$A$1004,"&lt;"&amp;A344)+COUNTIF($A$5:A344,A344))</f>
        <v/>
      </c>
      <c r="X344">
        <f>","&amp;SUBSTITUTE(SUBSTITUTE(SUBSTITUTE(UPPER(C344)," ",""),";",","),"/",",")&amp;","</f>
        <v/>
      </c>
      <c r="Y344">
        <f>IF(AND(A344&lt;&gt;"",B344="Active",'State Search'!$C$5&lt;&gt;"",OR(X344=",ALL,",ISNUMBER(SEARCH(","&amp;'State Search'!$C$5&amp;",",X344)))),W344,"")</f>
        <v/>
      </c>
    </row>
    <row r="345">
      <c r="A345" s="64" t="n"/>
      <c r="B345" s="65" t="n"/>
      <c r="C345" s="64" t="n"/>
      <c r="D345" s="66" t="n"/>
      <c r="E345" s="66" t="n"/>
      <c r="F345" s="67" t="n"/>
      <c r="G345" s="67" t="n"/>
      <c r="H345" s="67" t="n"/>
      <c r="I345" s="67" t="n"/>
      <c r="J345" s="67" t="n"/>
      <c r="K345" s="67" t="n"/>
      <c r="L345" s="67" t="n"/>
      <c r="M345" s="67" t="n"/>
      <c r="N345" s="65" t="n"/>
      <c r="O345" s="84">
        <f>IF(A345="","",IF(E345="","No date",IF(TODAY()&gt;=EDATE(E345,Review_Months),"Review Due","Current")))</f>
        <v/>
      </c>
      <c r="P345" s="84">
        <f>IF(A345="","",IF(COUNTIFS('AFA Rates'!$A$5:$A$1004,A345,'AFA Rates'!$O$5:$O$1004,"&lt;&gt;Expired")&gt;0,"Yes",IF(COUNTIF('AFA Rates'!$A$5:$A$1004,A345)&gt;0,"Expired only","No")))</f>
        <v/>
      </c>
      <c r="Q345" s="84">
        <f>IF(A345="","",COUNTIFS('AFA Rates'!$A$5:$A$1004,A345,'AFA Rates'!$O$5:$O$1004,"&lt;&gt;Expired"))</f>
        <v/>
      </c>
      <c r="R345" s="66" t="n"/>
      <c r="S345" s="64" t="n"/>
      <c r="T345" s="64" t="n"/>
      <c r="U345">
        <f>IF(AND(A345&lt;&gt;"",B345="Paused"),COUNTIFS($A$5:A345,"&lt;&gt;",$B$5:B345,"Paused"),"")</f>
        <v/>
      </c>
      <c r="V345">
        <f>IF(P345="Yes",COUNTIF($P$5:P345,"Yes"),"")</f>
        <v/>
      </c>
      <c r="W345">
        <f>IF(A345="","",COUNTIF($A$5:$A$1004,"&lt;"&amp;A345)+COUNTIF($A$5:A345,A345))</f>
        <v/>
      </c>
      <c r="X345">
        <f>","&amp;SUBSTITUTE(SUBSTITUTE(SUBSTITUTE(UPPER(C345)," ",""),";",","),"/",",")&amp;","</f>
        <v/>
      </c>
      <c r="Y345">
        <f>IF(AND(A345&lt;&gt;"",B345="Active",'State Search'!$C$5&lt;&gt;"",OR(X345=",ALL,",ISNUMBER(SEARCH(","&amp;'State Search'!$C$5&amp;",",X345)))),W345,"")</f>
        <v/>
      </c>
    </row>
    <row r="346">
      <c r="A346" s="64" t="n"/>
      <c r="B346" s="65" t="n"/>
      <c r="C346" s="64" t="n"/>
      <c r="D346" s="66" t="n"/>
      <c r="E346" s="66" t="n"/>
      <c r="F346" s="67" t="n"/>
      <c r="G346" s="67" t="n"/>
      <c r="H346" s="67" t="n"/>
      <c r="I346" s="67" t="n"/>
      <c r="J346" s="67" t="n"/>
      <c r="K346" s="67" t="n"/>
      <c r="L346" s="67" t="n"/>
      <c r="M346" s="67" t="n"/>
      <c r="N346" s="65" t="n"/>
      <c r="O346" s="84">
        <f>IF(A346="","",IF(E346="","No date",IF(TODAY()&gt;=EDATE(E346,Review_Months),"Review Due","Current")))</f>
        <v/>
      </c>
      <c r="P346" s="84">
        <f>IF(A346="","",IF(COUNTIFS('AFA Rates'!$A$5:$A$1004,A346,'AFA Rates'!$O$5:$O$1004,"&lt;&gt;Expired")&gt;0,"Yes",IF(COUNTIF('AFA Rates'!$A$5:$A$1004,A346)&gt;0,"Expired only","No")))</f>
        <v/>
      </c>
      <c r="Q346" s="84">
        <f>IF(A346="","",COUNTIFS('AFA Rates'!$A$5:$A$1004,A346,'AFA Rates'!$O$5:$O$1004,"&lt;&gt;Expired"))</f>
        <v/>
      </c>
      <c r="R346" s="66" t="n"/>
      <c r="S346" s="64" t="n"/>
      <c r="T346" s="64" t="n"/>
      <c r="U346">
        <f>IF(AND(A346&lt;&gt;"",B346="Paused"),COUNTIFS($A$5:A346,"&lt;&gt;",$B$5:B346,"Paused"),"")</f>
        <v/>
      </c>
      <c r="V346">
        <f>IF(P346="Yes",COUNTIF($P$5:P346,"Yes"),"")</f>
        <v/>
      </c>
      <c r="W346">
        <f>IF(A346="","",COUNTIF($A$5:$A$1004,"&lt;"&amp;A346)+COUNTIF($A$5:A346,A346))</f>
        <v/>
      </c>
      <c r="X346">
        <f>","&amp;SUBSTITUTE(SUBSTITUTE(SUBSTITUTE(UPPER(C346)," ",""),";",","),"/",",")&amp;","</f>
        <v/>
      </c>
      <c r="Y346">
        <f>IF(AND(A346&lt;&gt;"",B346="Active",'State Search'!$C$5&lt;&gt;"",OR(X346=",ALL,",ISNUMBER(SEARCH(","&amp;'State Search'!$C$5&amp;",",X346)))),W346,"")</f>
        <v/>
      </c>
    </row>
    <row r="347">
      <c r="A347" s="64" t="n"/>
      <c r="B347" s="65" t="n"/>
      <c r="C347" s="64" t="n"/>
      <c r="D347" s="66" t="n"/>
      <c r="E347" s="66" t="n"/>
      <c r="F347" s="67" t="n"/>
      <c r="G347" s="67" t="n"/>
      <c r="H347" s="67" t="n"/>
      <c r="I347" s="67" t="n"/>
      <c r="J347" s="67" t="n"/>
      <c r="K347" s="67" t="n"/>
      <c r="L347" s="67" t="n"/>
      <c r="M347" s="67" t="n"/>
      <c r="N347" s="65" t="n"/>
      <c r="O347" s="84">
        <f>IF(A347="","",IF(E347="","No date",IF(TODAY()&gt;=EDATE(E347,Review_Months),"Review Due","Current")))</f>
        <v/>
      </c>
      <c r="P347" s="84">
        <f>IF(A347="","",IF(COUNTIFS('AFA Rates'!$A$5:$A$1004,A347,'AFA Rates'!$O$5:$O$1004,"&lt;&gt;Expired")&gt;0,"Yes",IF(COUNTIF('AFA Rates'!$A$5:$A$1004,A347)&gt;0,"Expired only","No")))</f>
        <v/>
      </c>
      <c r="Q347" s="84">
        <f>IF(A347="","",COUNTIFS('AFA Rates'!$A$5:$A$1004,A347,'AFA Rates'!$O$5:$O$1004,"&lt;&gt;Expired"))</f>
        <v/>
      </c>
      <c r="R347" s="66" t="n"/>
      <c r="S347" s="64" t="n"/>
      <c r="T347" s="64" t="n"/>
      <c r="U347">
        <f>IF(AND(A347&lt;&gt;"",B347="Paused"),COUNTIFS($A$5:A347,"&lt;&gt;",$B$5:B347,"Paused"),"")</f>
        <v/>
      </c>
      <c r="V347">
        <f>IF(P347="Yes",COUNTIF($P$5:P347,"Yes"),"")</f>
        <v/>
      </c>
      <c r="W347">
        <f>IF(A347="","",COUNTIF($A$5:$A$1004,"&lt;"&amp;A347)+COUNTIF($A$5:A347,A347))</f>
        <v/>
      </c>
      <c r="X347">
        <f>","&amp;SUBSTITUTE(SUBSTITUTE(SUBSTITUTE(UPPER(C347)," ",""),";",","),"/",",")&amp;","</f>
        <v/>
      </c>
      <c r="Y347">
        <f>IF(AND(A347&lt;&gt;"",B347="Active",'State Search'!$C$5&lt;&gt;"",OR(X347=",ALL,",ISNUMBER(SEARCH(","&amp;'State Search'!$C$5&amp;",",X347)))),W347,"")</f>
        <v/>
      </c>
    </row>
    <row r="348">
      <c r="A348" s="64" t="n"/>
      <c r="B348" s="65" t="n"/>
      <c r="C348" s="64" t="n"/>
      <c r="D348" s="66" t="n"/>
      <c r="E348" s="66" t="n"/>
      <c r="F348" s="67" t="n"/>
      <c r="G348" s="67" t="n"/>
      <c r="H348" s="67" t="n"/>
      <c r="I348" s="67" t="n"/>
      <c r="J348" s="67" t="n"/>
      <c r="K348" s="67" t="n"/>
      <c r="L348" s="67" t="n"/>
      <c r="M348" s="67" t="n"/>
      <c r="N348" s="65" t="n"/>
      <c r="O348" s="84">
        <f>IF(A348="","",IF(E348="","No date",IF(TODAY()&gt;=EDATE(E348,Review_Months),"Review Due","Current")))</f>
        <v/>
      </c>
      <c r="P348" s="84">
        <f>IF(A348="","",IF(COUNTIFS('AFA Rates'!$A$5:$A$1004,A348,'AFA Rates'!$O$5:$O$1004,"&lt;&gt;Expired")&gt;0,"Yes",IF(COUNTIF('AFA Rates'!$A$5:$A$1004,A348)&gt;0,"Expired only","No")))</f>
        <v/>
      </c>
      <c r="Q348" s="84">
        <f>IF(A348="","",COUNTIFS('AFA Rates'!$A$5:$A$1004,A348,'AFA Rates'!$O$5:$O$1004,"&lt;&gt;Expired"))</f>
        <v/>
      </c>
      <c r="R348" s="66" t="n"/>
      <c r="S348" s="64" t="n"/>
      <c r="T348" s="64" t="n"/>
      <c r="U348">
        <f>IF(AND(A348&lt;&gt;"",B348="Paused"),COUNTIFS($A$5:A348,"&lt;&gt;",$B$5:B348,"Paused"),"")</f>
        <v/>
      </c>
      <c r="V348">
        <f>IF(P348="Yes",COUNTIF($P$5:P348,"Yes"),"")</f>
        <v/>
      </c>
      <c r="W348">
        <f>IF(A348="","",COUNTIF($A$5:$A$1004,"&lt;"&amp;A348)+COUNTIF($A$5:A348,A348))</f>
        <v/>
      </c>
      <c r="X348">
        <f>","&amp;SUBSTITUTE(SUBSTITUTE(SUBSTITUTE(UPPER(C348)," ",""),";",","),"/",",")&amp;","</f>
        <v/>
      </c>
      <c r="Y348">
        <f>IF(AND(A348&lt;&gt;"",B348="Active",'State Search'!$C$5&lt;&gt;"",OR(X348=",ALL,",ISNUMBER(SEARCH(","&amp;'State Search'!$C$5&amp;",",X348)))),W348,"")</f>
        <v/>
      </c>
    </row>
    <row r="349">
      <c r="A349" s="64" t="n"/>
      <c r="B349" s="65" t="n"/>
      <c r="C349" s="64" t="n"/>
      <c r="D349" s="66" t="n"/>
      <c r="E349" s="66" t="n"/>
      <c r="F349" s="67" t="n"/>
      <c r="G349" s="67" t="n"/>
      <c r="H349" s="67" t="n"/>
      <c r="I349" s="67" t="n"/>
      <c r="J349" s="67" t="n"/>
      <c r="K349" s="67" t="n"/>
      <c r="L349" s="67" t="n"/>
      <c r="M349" s="67" t="n"/>
      <c r="N349" s="65" t="n"/>
      <c r="O349" s="84">
        <f>IF(A349="","",IF(E349="","No date",IF(TODAY()&gt;=EDATE(E349,Review_Months),"Review Due","Current")))</f>
        <v/>
      </c>
      <c r="P349" s="84">
        <f>IF(A349="","",IF(COUNTIFS('AFA Rates'!$A$5:$A$1004,A349,'AFA Rates'!$O$5:$O$1004,"&lt;&gt;Expired")&gt;0,"Yes",IF(COUNTIF('AFA Rates'!$A$5:$A$1004,A349)&gt;0,"Expired only","No")))</f>
        <v/>
      </c>
      <c r="Q349" s="84">
        <f>IF(A349="","",COUNTIFS('AFA Rates'!$A$5:$A$1004,A349,'AFA Rates'!$O$5:$O$1004,"&lt;&gt;Expired"))</f>
        <v/>
      </c>
      <c r="R349" s="66" t="n"/>
      <c r="S349" s="64" t="n"/>
      <c r="T349" s="64" t="n"/>
      <c r="U349">
        <f>IF(AND(A349&lt;&gt;"",B349="Paused"),COUNTIFS($A$5:A349,"&lt;&gt;",$B$5:B349,"Paused"),"")</f>
        <v/>
      </c>
      <c r="V349">
        <f>IF(P349="Yes",COUNTIF($P$5:P349,"Yes"),"")</f>
        <v/>
      </c>
      <c r="W349">
        <f>IF(A349="","",COUNTIF($A$5:$A$1004,"&lt;"&amp;A349)+COUNTIF($A$5:A349,A349))</f>
        <v/>
      </c>
      <c r="X349">
        <f>","&amp;SUBSTITUTE(SUBSTITUTE(SUBSTITUTE(UPPER(C349)," ",""),";",","),"/",",")&amp;","</f>
        <v/>
      </c>
      <c r="Y349">
        <f>IF(AND(A349&lt;&gt;"",B349="Active",'State Search'!$C$5&lt;&gt;"",OR(X349=",ALL,",ISNUMBER(SEARCH(","&amp;'State Search'!$C$5&amp;",",X349)))),W349,"")</f>
        <v/>
      </c>
    </row>
    <row r="350">
      <c r="A350" s="64" t="n"/>
      <c r="B350" s="65" t="n"/>
      <c r="C350" s="64" t="n"/>
      <c r="D350" s="66" t="n"/>
      <c r="E350" s="66" t="n"/>
      <c r="F350" s="67" t="n"/>
      <c r="G350" s="67" t="n"/>
      <c r="H350" s="67" t="n"/>
      <c r="I350" s="67" t="n"/>
      <c r="J350" s="67" t="n"/>
      <c r="K350" s="67" t="n"/>
      <c r="L350" s="67" t="n"/>
      <c r="M350" s="67" t="n"/>
      <c r="N350" s="65" t="n"/>
      <c r="O350" s="84">
        <f>IF(A350="","",IF(E350="","No date",IF(TODAY()&gt;=EDATE(E350,Review_Months),"Review Due","Current")))</f>
        <v/>
      </c>
      <c r="P350" s="84">
        <f>IF(A350="","",IF(COUNTIFS('AFA Rates'!$A$5:$A$1004,A350,'AFA Rates'!$O$5:$O$1004,"&lt;&gt;Expired")&gt;0,"Yes",IF(COUNTIF('AFA Rates'!$A$5:$A$1004,A350)&gt;0,"Expired only","No")))</f>
        <v/>
      </c>
      <c r="Q350" s="84">
        <f>IF(A350="","",COUNTIFS('AFA Rates'!$A$5:$A$1004,A350,'AFA Rates'!$O$5:$O$1004,"&lt;&gt;Expired"))</f>
        <v/>
      </c>
      <c r="R350" s="66" t="n"/>
      <c r="S350" s="64" t="n"/>
      <c r="T350" s="64" t="n"/>
      <c r="U350">
        <f>IF(AND(A350&lt;&gt;"",B350="Paused"),COUNTIFS($A$5:A350,"&lt;&gt;",$B$5:B350,"Paused"),"")</f>
        <v/>
      </c>
      <c r="V350">
        <f>IF(P350="Yes",COUNTIF($P$5:P350,"Yes"),"")</f>
        <v/>
      </c>
      <c r="W350">
        <f>IF(A350="","",COUNTIF($A$5:$A$1004,"&lt;"&amp;A350)+COUNTIF($A$5:A350,A350))</f>
        <v/>
      </c>
      <c r="X350">
        <f>","&amp;SUBSTITUTE(SUBSTITUTE(SUBSTITUTE(UPPER(C350)," ",""),";",","),"/",",")&amp;","</f>
        <v/>
      </c>
      <c r="Y350">
        <f>IF(AND(A350&lt;&gt;"",B350="Active",'State Search'!$C$5&lt;&gt;"",OR(X350=",ALL,",ISNUMBER(SEARCH(","&amp;'State Search'!$C$5&amp;",",X350)))),W350,"")</f>
        <v/>
      </c>
    </row>
    <row r="351">
      <c r="A351" s="64" t="n"/>
      <c r="B351" s="65" t="n"/>
      <c r="C351" s="64" t="n"/>
      <c r="D351" s="66" t="n"/>
      <c r="E351" s="66" t="n"/>
      <c r="F351" s="67" t="n"/>
      <c r="G351" s="67" t="n"/>
      <c r="H351" s="67" t="n"/>
      <c r="I351" s="67" t="n"/>
      <c r="J351" s="67" t="n"/>
      <c r="K351" s="67" t="n"/>
      <c r="L351" s="67" t="n"/>
      <c r="M351" s="67" t="n"/>
      <c r="N351" s="65" t="n"/>
      <c r="O351" s="84">
        <f>IF(A351="","",IF(E351="","No date",IF(TODAY()&gt;=EDATE(E351,Review_Months),"Review Due","Current")))</f>
        <v/>
      </c>
      <c r="P351" s="84">
        <f>IF(A351="","",IF(COUNTIFS('AFA Rates'!$A$5:$A$1004,A351,'AFA Rates'!$O$5:$O$1004,"&lt;&gt;Expired")&gt;0,"Yes",IF(COUNTIF('AFA Rates'!$A$5:$A$1004,A351)&gt;0,"Expired only","No")))</f>
        <v/>
      </c>
      <c r="Q351" s="84">
        <f>IF(A351="","",COUNTIFS('AFA Rates'!$A$5:$A$1004,A351,'AFA Rates'!$O$5:$O$1004,"&lt;&gt;Expired"))</f>
        <v/>
      </c>
      <c r="R351" s="66" t="n"/>
      <c r="S351" s="64" t="n"/>
      <c r="T351" s="64" t="n"/>
      <c r="U351">
        <f>IF(AND(A351&lt;&gt;"",B351="Paused"),COUNTIFS($A$5:A351,"&lt;&gt;",$B$5:B351,"Paused"),"")</f>
        <v/>
      </c>
      <c r="V351">
        <f>IF(P351="Yes",COUNTIF($P$5:P351,"Yes"),"")</f>
        <v/>
      </c>
      <c r="W351">
        <f>IF(A351="","",COUNTIF($A$5:$A$1004,"&lt;"&amp;A351)+COUNTIF($A$5:A351,A351))</f>
        <v/>
      </c>
      <c r="X351">
        <f>","&amp;SUBSTITUTE(SUBSTITUTE(SUBSTITUTE(UPPER(C351)," ",""),";",","),"/",",")&amp;","</f>
        <v/>
      </c>
      <c r="Y351">
        <f>IF(AND(A351&lt;&gt;"",B351="Active",'State Search'!$C$5&lt;&gt;"",OR(X351=",ALL,",ISNUMBER(SEARCH(","&amp;'State Search'!$C$5&amp;",",X351)))),W351,"")</f>
        <v/>
      </c>
    </row>
    <row r="352">
      <c r="A352" s="64" t="n"/>
      <c r="B352" s="65" t="n"/>
      <c r="C352" s="64" t="n"/>
      <c r="D352" s="66" t="n"/>
      <c r="E352" s="66" t="n"/>
      <c r="F352" s="67" t="n"/>
      <c r="G352" s="67" t="n"/>
      <c r="H352" s="67" t="n"/>
      <c r="I352" s="67" t="n"/>
      <c r="J352" s="67" t="n"/>
      <c r="K352" s="67" t="n"/>
      <c r="L352" s="67" t="n"/>
      <c r="M352" s="67" t="n"/>
      <c r="N352" s="65" t="n"/>
      <c r="O352" s="84">
        <f>IF(A352="","",IF(E352="","No date",IF(TODAY()&gt;=EDATE(E352,Review_Months),"Review Due","Current")))</f>
        <v/>
      </c>
      <c r="P352" s="84">
        <f>IF(A352="","",IF(COUNTIFS('AFA Rates'!$A$5:$A$1004,A352,'AFA Rates'!$O$5:$O$1004,"&lt;&gt;Expired")&gt;0,"Yes",IF(COUNTIF('AFA Rates'!$A$5:$A$1004,A352)&gt;0,"Expired only","No")))</f>
        <v/>
      </c>
      <c r="Q352" s="84">
        <f>IF(A352="","",COUNTIFS('AFA Rates'!$A$5:$A$1004,A352,'AFA Rates'!$O$5:$O$1004,"&lt;&gt;Expired"))</f>
        <v/>
      </c>
      <c r="R352" s="66" t="n"/>
      <c r="S352" s="64" t="n"/>
      <c r="T352" s="64" t="n"/>
      <c r="U352">
        <f>IF(AND(A352&lt;&gt;"",B352="Paused"),COUNTIFS($A$5:A352,"&lt;&gt;",$B$5:B352,"Paused"),"")</f>
        <v/>
      </c>
      <c r="V352">
        <f>IF(P352="Yes",COUNTIF($P$5:P352,"Yes"),"")</f>
        <v/>
      </c>
      <c r="W352">
        <f>IF(A352="","",COUNTIF($A$5:$A$1004,"&lt;"&amp;A352)+COUNTIF($A$5:A352,A352))</f>
        <v/>
      </c>
      <c r="X352">
        <f>","&amp;SUBSTITUTE(SUBSTITUTE(SUBSTITUTE(UPPER(C352)," ",""),";",","),"/",",")&amp;","</f>
        <v/>
      </c>
      <c r="Y352">
        <f>IF(AND(A352&lt;&gt;"",B352="Active",'State Search'!$C$5&lt;&gt;"",OR(X352=",ALL,",ISNUMBER(SEARCH(","&amp;'State Search'!$C$5&amp;",",X352)))),W352,"")</f>
        <v/>
      </c>
    </row>
    <row r="353">
      <c r="A353" s="64" t="n"/>
      <c r="B353" s="65" t="n"/>
      <c r="C353" s="64" t="n"/>
      <c r="D353" s="66" t="n"/>
      <c r="E353" s="66" t="n"/>
      <c r="F353" s="67" t="n"/>
      <c r="G353" s="67" t="n"/>
      <c r="H353" s="67" t="n"/>
      <c r="I353" s="67" t="n"/>
      <c r="J353" s="67" t="n"/>
      <c r="K353" s="67" t="n"/>
      <c r="L353" s="67" t="n"/>
      <c r="M353" s="67" t="n"/>
      <c r="N353" s="65" t="n"/>
      <c r="O353" s="84">
        <f>IF(A353="","",IF(E353="","No date",IF(TODAY()&gt;=EDATE(E353,Review_Months),"Review Due","Current")))</f>
        <v/>
      </c>
      <c r="P353" s="84">
        <f>IF(A353="","",IF(COUNTIFS('AFA Rates'!$A$5:$A$1004,A353,'AFA Rates'!$O$5:$O$1004,"&lt;&gt;Expired")&gt;0,"Yes",IF(COUNTIF('AFA Rates'!$A$5:$A$1004,A353)&gt;0,"Expired only","No")))</f>
        <v/>
      </c>
      <c r="Q353" s="84">
        <f>IF(A353="","",COUNTIFS('AFA Rates'!$A$5:$A$1004,A353,'AFA Rates'!$O$5:$O$1004,"&lt;&gt;Expired"))</f>
        <v/>
      </c>
      <c r="R353" s="66" t="n"/>
      <c r="S353" s="64" t="n"/>
      <c r="T353" s="64" t="n"/>
      <c r="U353">
        <f>IF(AND(A353&lt;&gt;"",B353="Paused"),COUNTIFS($A$5:A353,"&lt;&gt;",$B$5:B353,"Paused"),"")</f>
        <v/>
      </c>
      <c r="V353">
        <f>IF(P353="Yes",COUNTIF($P$5:P353,"Yes"),"")</f>
        <v/>
      </c>
      <c r="W353">
        <f>IF(A353="","",COUNTIF($A$5:$A$1004,"&lt;"&amp;A353)+COUNTIF($A$5:A353,A353))</f>
        <v/>
      </c>
      <c r="X353">
        <f>","&amp;SUBSTITUTE(SUBSTITUTE(SUBSTITUTE(UPPER(C353)," ",""),";",","),"/",",")&amp;","</f>
        <v/>
      </c>
      <c r="Y353">
        <f>IF(AND(A353&lt;&gt;"",B353="Active",'State Search'!$C$5&lt;&gt;"",OR(X353=",ALL,",ISNUMBER(SEARCH(","&amp;'State Search'!$C$5&amp;",",X353)))),W353,"")</f>
        <v/>
      </c>
    </row>
    <row r="354">
      <c r="A354" s="64" t="n"/>
      <c r="B354" s="65" t="n"/>
      <c r="C354" s="64" t="n"/>
      <c r="D354" s="66" t="n"/>
      <c r="E354" s="66" t="n"/>
      <c r="F354" s="67" t="n"/>
      <c r="G354" s="67" t="n"/>
      <c r="H354" s="67" t="n"/>
      <c r="I354" s="67" t="n"/>
      <c r="J354" s="67" t="n"/>
      <c r="K354" s="67" t="n"/>
      <c r="L354" s="67" t="n"/>
      <c r="M354" s="67" t="n"/>
      <c r="N354" s="65" t="n"/>
      <c r="O354" s="84">
        <f>IF(A354="","",IF(E354="","No date",IF(TODAY()&gt;=EDATE(E354,Review_Months),"Review Due","Current")))</f>
        <v/>
      </c>
      <c r="P354" s="84">
        <f>IF(A354="","",IF(COUNTIFS('AFA Rates'!$A$5:$A$1004,A354,'AFA Rates'!$O$5:$O$1004,"&lt;&gt;Expired")&gt;0,"Yes",IF(COUNTIF('AFA Rates'!$A$5:$A$1004,A354)&gt;0,"Expired only","No")))</f>
        <v/>
      </c>
      <c r="Q354" s="84">
        <f>IF(A354="","",COUNTIFS('AFA Rates'!$A$5:$A$1004,A354,'AFA Rates'!$O$5:$O$1004,"&lt;&gt;Expired"))</f>
        <v/>
      </c>
      <c r="R354" s="66" t="n"/>
      <c r="S354" s="64" t="n"/>
      <c r="T354" s="64" t="n"/>
      <c r="U354">
        <f>IF(AND(A354&lt;&gt;"",B354="Paused"),COUNTIFS($A$5:A354,"&lt;&gt;",$B$5:B354,"Paused"),"")</f>
        <v/>
      </c>
      <c r="V354">
        <f>IF(P354="Yes",COUNTIF($P$5:P354,"Yes"),"")</f>
        <v/>
      </c>
      <c r="W354">
        <f>IF(A354="","",COUNTIF($A$5:$A$1004,"&lt;"&amp;A354)+COUNTIF($A$5:A354,A354))</f>
        <v/>
      </c>
      <c r="X354">
        <f>","&amp;SUBSTITUTE(SUBSTITUTE(SUBSTITUTE(UPPER(C354)," ",""),";",","),"/",",")&amp;","</f>
        <v/>
      </c>
      <c r="Y354">
        <f>IF(AND(A354&lt;&gt;"",B354="Active",'State Search'!$C$5&lt;&gt;"",OR(X354=",ALL,",ISNUMBER(SEARCH(","&amp;'State Search'!$C$5&amp;",",X354)))),W354,"")</f>
        <v/>
      </c>
    </row>
    <row r="355">
      <c r="A355" s="64" t="n"/>
      <c r="B355" s="65" t="n"/>
      <c r="C355" s="64" t="n"/>
      <c r="D355" s="66" t="n"/>
      <c r="E355" s="66" t="n"/>
      <c r="F355" s="67" t="n"/>
      <c r="G355" s="67" t="n"/>
      <c r="H355" s="67" t="n"/>
      <c r="I355" s="67" t="n"/>
      <c r="J355" s="67" t="n"/>
      <c r="K355" s="67" t="n"/>
      <c r="L355" s="67" t="n"/>
      <c r="M355" s="67" t="n"/>
      <c r="N355" s="65" t="n"/>
      <c r="O355" s="84">
        <f>IF(A355="","",IF(E355="","No date",IF(TODAY()&gt;=EDATE(E355,Review_Months),"Review Due","Current")))</f>
        <v/>
      </c>
      <c r="P355" s="84">
        <f>IF(A355="","",IF(COUNTIFS('AFA Rates'!$A$5:$A$1004,A355,'AFA Rates'!$O$5:$O$1004,"&lt;&gt;Expired")&gt;0,"Yes",IF(COUNTIF('AFA Rates'!$A$5:$A$1004,A355)&gt;0,"Expired only","No")))</f>
        <v/>
      </c>
      <c r="Q355" s="84">
        <f>IF(A355="","",COUNTIFS('AFA Rates'!$A$5:$A$1004,A355,'AFA Rates'!$O$5:$O$1004,"&lt;&gt;Expired"))</f>
        <v/>
      </c>
      <c r="R355" s="66" t="n"/>
      <c r="S355" s="64" t="n"/>
      <c r="T355" s="64" t="n"/>
      <c r="U355">
        <f>IF(AND(A355&lt;&gt;"",B355="Paused"),COUNTIFS($A$5:A355,"&lt;&gt;",$B$5:B355,"Paused"),"")</f>
        <v/>
      </c>
      <c r="V355">
        <f>IF(P355="Yes",COUNTIF($P$5:P355,"Yes"),"")</f>
        <v/>
      </c>
      <c r="W355">
        <f>IF(A355="","",COUNTIF($A$5:$A$1004,"&lt;"&amp;A355)+COUNTIF($A$5:A355,A355))</f>
        <v/>
      </c>
      <c r="X355">
        <f>","&amp;SUBSTITUTE(SUBSTITUTE(SUBSTITUTE(UPPER(C355)," ",""),";",","),"/",",")&amp;","</f>
        <v/>
      </c>
      <c r="Y355">
        <f>IF(AND(A355&lt;&gt;"",B355="Active",'State Search'!$C$5&lt;&gt;"",OR(X355=",ALL,",ISNUMBER(SEARCH(","&amp;'State Search'!$C$5&amp;",",X355)))),W355,"")</f>
        <v/>
      </c>
    </row>
    <row r="356">
      <c r="A356" s="64" t="n"/>
      <c r="B356" s="65" t="n"/>
      <c r="C356" s="64" t="n"/>
      <c r="D356" s="66" t="n"/>
      <c r="E356" s="66" t="n"/>
      <c r="F356" s="67" t="n"/>
      <c r="G356" s="67" t="n"/>
      <c r="H356" s="67" t="n"/>
      <c r="I356" s="67" t="n"/>
      <c r="J356" s="67" t="n"/>
      <c r="K356" s="67" t="n"/>
      <c r="L356" s="67" t="n"/>
      <c r="M356" s="67" t="n"/>
      <c r="N356" s="65" t="n"/>
      <c r="O356" s="84">
        <f>IF(A356="","",IF(E356="","No date",IF(TODAY()&gt;=EDATE(E356,Review_Months),"Review Due","Current")))</f>
        <v/>
      </c>
      <c r="P356" s="84">
        <f>IF(A356="","",IF(COUNTIFS('AFA Rates'!$A$5:$A$1004,A356,'AFA Rates'!$O$5:$O$1004,"&lt;&gt;Expired")&gt;0,"Yes",IF(COUNTIF('AFA Rates'!$A$5:$A$1004,A356)&gt;0,"Expired only","No")))</f>
        <v/>
      </c>
      <c r="Q356" s="84">
        <f>IF(A356="","",COUNTIFS('AFA Rates'!$A$5:$A$1004,A356,'AFA Rates'!$O$5:$O$1004,"&lt;&gt;Expired"))</f>
        <v/>
      </c>
      <c r="R356" s="66" t="n"/>
      <c r="S356" s="64" t="n"/>
      <c r="T356" s="64" t="n"/>
      <c r="U356">
        <f>IF(AND(A356&lt;&gt;"",B356="Paused"),COUNTIFS($A$5:A356,"&lt;&gt;",$B$5:B356,"Paused"),"")</f>
        <v/>
      </c>
      <c r="V356">
        <f>IF(P356="Yes",COUNTIF($P$5:P356,"Yes"),"")</f>
        <v/>
      </c>
      <c r="W356">
        <f>IF(A356="","",COUNTIF($A$5:$A$1004,"&lt;"&amp;A356)+COUNTIF($A$5:A356,A356))</f>
        <v/>
      </c>
      <c r="X356">
        <f>","&amp;SUBSTITUTE(SUBSTITUTE(SUBSTITUTE(UPPER(C356)," ",""),";",","),"/",",")&amp;","</f>
        <v/>
      </c>
      <c r="Y356">
        <f>IF(AND(A356&lt;&gt;"",B356="Active",'State Search'!$C$5&lt;&gt;"",OR(X356=",ALL,",ISNUMBER(SEARCH(","&amp;'State Search'!$C$5&amp;",",X356)))),W356,"")</f>
        <v/>
      </c>
    </row>
    <row r="357">
      <c r="A357" s="64" t="n"/>
      <c r="B357" s="65" t="n"/>
      <c r="C357" s="64" t="n"/>
      <c r="D357" s="66" t="n"/>
      <c r="E357" s="66" t="n"/>
      <c r="F357" s="67" t="n"/>
      <c r="G357" s="67" t="n"/>
      <c r="H357" s="67" t="n"/>
      <c r="I357" s="67" t="n"/>
      <c r="J357" s="67" t="n"/>
      <c r="K357" s="67" t="n"/>
      <c r="L357" s="67" t="n"/>
      <c r="M357" s="67" t="n"/>
      <c r="N357" s="65" t="n"/>
      <c r="O357" s="84">
        <f>IF(A357="","",IF(E357="","No date",IF(TODAY()&gt;=EDATE(E357,Review_Months),"Review Due","Current")))</f>
        <v/>
      </c>
      <c r="P357" s="84">
        <f>IF(A357="","",IF(COUNTIFS('AFA Rates'!$A$5:$A$1004,A357,'AFA Rates'!$O$5:$O$1004,"&lt;&gt;Expired")&gt;0,"Yes",IF(COUNTIF('AFA Rates'!$A$5:$A$1004,A357)&gt;0,"Expired only","No")))</f>
        <v/>
      </c>
      <c r="Q357" s="84">
        <f>IF(A357="","",COUNTIFS('AFA Rates'!$A$5:$A$1004,A357,'AFA Rates'!$O$5:$O$1004,"&lt;&gt;Expired"))</f>
        <v/>
      </c>
      <c r="R357" s="66" t="n"/>
      <c r="S357" s="64" t="n"/>
      <c r="T357" s="64" t="n"/>
      <c r="U357">
        <f>IF(AND(A357&lt;&gt;"",B357="Paused"),COUNTIFS($A$5:A357,"&lt;&gt;",$B$5:B357,"Paused"),"")</f>
        <v/>
      </c>
      <c r="V357">
        <f>IF(P357="Yes",COUNTIF($P$5:P357,"Yes"),"")</f>
        <v/>
      </c>
      <c r="W357">
        <f>IF(A357="","",COUNTIF($A$5:$A$1004,"&lt;"&amp;A357)+COUNTIF($A$5:A357,A357))</f>
        <v/>
      </c>
      <c r="X357">
        <f>","&amp;SUBSTITUTE(SUBSTITUTE(SUBSTITUTE(UPPER(C357)," ",""),";",","),"/",",")&amp;","</f>
        <v/>
      </c>
      <c r="Y357">
        <f>IF(AND(A357&lt;&gt;"",B357="Active",'State Search'!$C$5&lt;&gt;"",OR(X357=",ALL,",ISNUMBER(SEARCH(","&amp;'State Search'!$C$5&amp;",",X357)))),W357,"")</f>
        <v/>
      </c>
    </row>
    <row r="358">
      <c r="A358" s="64" t="n"/>
      <c r="B358" s="65" t="n"/>
      <c r="C358" s="64" t="n"/>
      <c r="D358" s="66" t="n"/>
      <c r="E358" s="66" t="n"/>
      <c r="F358" s="67" t="n"/>
      <c r="G358" s="67" t="n"/>
      <c r="H358" s="67" t="n"/>
      <c r="I358" s="67" t="n"/>
      <c r="J358" s="67" t="n"/>
      <c r="K358" s="67" t="n"/>
      <c r="L358" s="67" t="n"/>
      <c r="M358" s="67" t="n"/>
      <c r="N358" s="65" t="n"/>
      <c r="O358" s="84">
        <f>IF(A358="","",IF(E358="","No date",IF(TODAY()&gt;=EDATE(E358,Review_Months),"Review Due","Current")))</f>
        <v/>
      </c>
      <c r="P358" s="84">
        <f>IF(A358="","",IF(COUNTIFS('AFA Rates'!$A$5:$A$1004,A358,'AFA Rates'!$O$5:$O$1004,"&lt;&gt;Expired")&gt;0,"Yes",IF(COUNTIF('AFA Rates'!$A$5:$A$1004,A358)&gt;0,"Expired only","No")))</f>
        <v/>
      </c>
      <c r="Q358" s="84">
        <f>IF(A358="","",COUNTIFS('AFA Rates'!$A$5:$A$1004,A358,'AFA Rates'!$O$5:$O$1004,"&lt;&gt;Expired"))</f>
        <v/>
      </c>
      <c r="R358" s="66" t="n"/>
      <c r="S358" s="64" t="n"/>
      <c r="T358" s="64" t="n"/>
      <c r="U358">
        <f>IF(AND(A358&lt;&gt;"",B358="Paused"),COUNTIFS($A$5:A358,"&lt;&gt;",$B$5:B358,"Paused"),"")</f>
        <v/>
      </c>
      <c r="V358">
        <f>IF(P358="Yes",COUNTIF($P$5:P358,"Yes"),"")</f>
        <v/>
      </c>
      <c r="W358">
        <f>IF(A358="","",COUNTIF($A$5:$A$1004,"&lt;"&amp;A358)+COUNTIF($A$5:A358,A358))</f>
        <v/>
      </c>
      <c r="X358">
        <f>","&amp;SUBSTITUTE(SUBSTITUTE(SUBSTITUTE(UPPER(C358)," ",""),";",","),"/",",")&amp;","</f>
        <v/>
      </c>
      <c r="Y358">
        <f>IF(AND(A358&lt;&gt;"",B358="Active",'State Search'!$C$5&lt;&gt;"",OR(X358=",ALL,",ISNUMBER(SEARCH(","&amp;'State Search'!$C$5&amp;",",X358)))),W358,"")</f>
        <v/>
      </c>
    </row>
    <row r="359">
      <c r="A359" s="64" t="n"/>
      <c r="B359" s="65" t="n"/>
      <c r="C359" s="64" t="n"/>
      <c r="D359" s="66" t="n"/>
      <c r="E359" s="66" t="n"/>
      <c r="F359" s="67" t="n"/>
      <c r="G359" s="67" t="n"/>
      <c r="H359" s="67" t="n"/>
      <c r="I359" s="67" t="n"/>
      <c r="J359" s="67" t="n"/>
      <c r="K359" s="67" t="n"/>
      <c r="L359" s="67" t="n"/>
      <c r="M359" s="67" t="n"/>
      <c r="N359" s="65" t="n"/>
      <c r="O359" s="84">
        <f>IF(A359="","",IF(E359="","No date",IF(TODAY()&gt;=EDATE(E359,Review_Months),"Review Due","Current")))</f>
        <v/>
      </c>
      <c r="P359" s="84">
        <f>IF(A359="","",IF(COUNTIFS('AFA Rates'!$A$5:$A$1004,A359,'AFA Rates'!$O$5:$O$1004,"&lt;&gt;Expired")&gt;0,"Yes",IF(COUNTIF('AFA Rates'!$A$5:$A$1004,A359)&gt;0,"Expired only","No")))</f>
        <v/>
      </c>
      <c r="Q359" s="84">
        <f>IF(A359="","",COUNTIFS('AFA Rates'!$A$5:$A$1004,A359,'AFA Rates'!$O$5:$O$1004,"&lt;&gt;Expired"))</f>
        <v/>
      </c>
      <c r="R359" s="66" t="n"/>
      <c r="S359" s="64" t="n"/>
      <c r="T359" s="64" t="n"/>
      <c r="U359">
        <f>IF(AND(A359&lt;&gt;"",B359="Paused"),COUNTIFS($A$5:A359,"&lt;&gt;",$B$5:B359,"Paused"),"")</f>
        <v/>
      </c>
      <c r="V359">
        <f>IF(P359="Yes",COUNTIF($P$5:P359,"Yes"),"")</f>
        <v/>
      </c>
      <c r="W359">
        <f>IF(A359="","",COUNTIF($A$5:$A$1004,"&lt;"&amp;A359)+COUNTIF($A$5:A359,A359))</f>
        <v/>
      </c>
      <c r="X359">
        <f>","&amp;SUBSTITUTE(SUBSTITUTE(SUBSTITUTE(UPPER(C359)," ",""),";",","),"/",",")&amp;","</f>
        <v/>
      </c>
      <c r="Y359">
        <f>IF(AND(A359&lt;&gt;"",B359="Active",'State Search'!$C$5&lt;&gt;"",OR(X359=",ALL,",ISNUMBER(SEARCH(","&amp;'State Search'!$C$5&amp;",",X359)))),W359,"")</f>
        <v/>
      </c>
    </row>
    <row r="360">
      <c r="A360" s="64" t="n"/>
      <c r="B360" s="65" t="n"/>
      <c r="C360" s="64" t="n"/>
      <c r="D360" s="66" t="n"/>
      <c r="E360" s="66" t="n"/>
      <c r="F360" s="67" t="n"/>
      <c r="G360" s="67" t="n"/>
      <c r="H360" s="67" t="n"/>
      <c r="I360" s="67" t="n"/>
      <c r="J360" s="67" t="n"/>
      <c r="K360" s="67" t="n"/>
      <c r="L360" s="67" t="n"/>
      <c r="M360" s="67" t="n"/>
      <c r="N360" s="65" t="n"/>
      <c r="O360" s="84">
        <f>IF(A360="","",IF(E360="","No date",IF(TODAY()&gt;=EDATE(E360,Review_Months),"Review Due","Current")))</f>
        <v/>
      </c>
      <c r="P360" s="84">
        <f>IF(A360="","",IF(COUNTIFS('AFA Rates'!$A$5:$A$1004,A360,'AFA Rates'!$O$5:$O$1004,"&lt;&gt;Expired")&gt;0,"Yes",IF(COUNTIF('AFA Rates'!$A$5:$A$1004,A360)&gt;0,"Expired only","No")))</f>
        <v/>
      </c>
      <c r="Q360" s="84">
        <f>IF(A360="","",COUNTIFS('AFA Rates'!$A$5:$A$1004,A360,'AFA Rates'!$O$5:$O$1004,"&lt;&gt;Expired"))</f>
        <v/>
      </c>
      <c r="R360" s="66" t="n"/>
      <c r="S360" s="64" t="n"/>
      <c r="T360" s="64" t="n"/>
      <c r="U360">
        <f>IF(AND(A360&lt;&gt;"",B360="Paused"),COUNTIFS($A$5:A360,"&lt;&gt;",$B$5:B360,"Paused"),"")</f>
        <v/>
      </c>
      <c r="V360">
        <f>IF(P360="Yes",COUNTIF($P$5:P360,"Yes"),"")</f>
        <v/>
      </c>
      <c r="W360">
        <f>IF(A360="","",COUNTIF($A$5:$A$1004,"&lt;"&amp;A360)+COUNTIF($A$5:A360,A360))</f>
        <v/>
      </c>
      <c r="X360">
        <f>","&amp;SUBSTITUTE(SUBSTITUTE(SUBSTITUTE(UPPER(C360)," ",""),";",","),"/",",")&amp;","</f>
        <v/>
      </c>
      <c r="Y360">
        <f>IF(AND(A360&lt;&gt;"",B360="Active",'State Search'!$C$5&lt;&gt;"",OR(X360=",ALL,",ISNUMBER(SEARCH(","&amp;'State Search'!$C$5&amp;",",X360)))),W360,"")</f>
        <v/>
      </c>
    </row>
    <row r="361">
      <c r="A361" s="64" t="n"/>
      <c r="B361" s="65" t="n"/>
      <c r="C361" s="64" t="n"/>
      <c r="D361" s="66" t="n"/>
      <c r="E361" s="66" t="n"/>
      <c r="F361" s="67" t="n"/>
      <c r="G361" s="67" t="n"/>
      <c r="H361" s="67" t="n"/>
      <c r="I361" s="67" t="n"/>
      <c r="J361" s="67" t="n"/>
      <c r="K361" s="67" t="n"/>
      <c r="L361" s="67" t="n"/>
      <c r="M361" s="67" t="n"/>
      <c r="N361" s="65" t="n"/>
      <c r="O361" s="84">
        <f>IF(A361="","",IF(E361="","No date",IF(TODAY()&gt;=EDATE(E361,Review_Months),"Review Due","Current")))</f>
        <v/>
      </c>
      <c r="P361" s="84">
        <f>IF(A361="","",IF(COUNTIFS('AFA Rates'!$A$5:$A$1004,A361,'AFA Rates'!$O$5:$O$1004,"&lt;&gt;Expired")&gt;0,"Yes",IF(COUNTIF('AFA Rates'!$A$5:$A$1004,A361)&gt;0,"Expired only","No")))</f>
        <v/>
      </c>
      <c r="Q361" s="84">
        <f>IF(A361="","",COUNTIFS('AFA Rates'!$A$5:$A$1004,A361,'AFA Rates'!$O$5:$O$1004,"&lt;&gt;Expired"))</f>
        <v/>
      </c>
      <c r="R361" s="66" t="n"/>
      <c r="S361" s="64" t="n"/>
      <c r="T361" s="64" t="n"/>
      <c r="U361">
        <f>IF(AND(A361&lt;&gt;"",B361="Paused"),COUNTIFS($A$5:A361,"&lt;&gt;",$B$5:B361,"Paused"),"")</f>
        <v/>
      </c>
      <c r="V361">
        <f>IF(P361="Yes",COUNTIF($P$5:P361,"Yes"),"")</f>
        <v/>
      </c>
      <c r="W361">
        <f>IF(A361="","",COUNTIF($A$5:$A$1004,"&lt;"&amp;A361)+COUNTIF($A$5:A361,A361))</f>
        <v/>
      </c>
      <c r="X361">
        <f>","&amp;SUBSTITUTE(SUBSTITUTE(SUBSTITUTE(UPPER(C361)," ",""),";",","),"/",",")&amp;","</f>
        <v/>
      </c>
      <c r="Y361">
        <f>IF(AND(A361&lt;&gt;"",B361="Active",'State Search'!$C$5&lt;&gt;"",OR(X361=",ALL,",ISNUMBER(SEARCH(","&amp;'State Search'!$C$5&amp;",",X361)))),W361,"")</f>
        <v/>
      </c>
    </row>
    <row r="362">
      <c r="A362" s="64" t="n"/>
      <c r="B362" s="65" t="n"/>
      <c r="C362" s="64" t="n"/>
      <c r="D362" s="66" t="n"/>
      <c r="E362" s="66" t="n"/>
      <c r="F362" s="67" t="n"/>
      <c r="G362" s="67" t="n"/>
      <c r="H362" s="67" t="n"/>
      <c r="I362" s="67" t="n"/>
      <c r="J362" s="67" t="n"/>
      <c r="K362" s="67" t="n"/>
      <c r="L362" s="67" t="n"/>
      <c r="M362" s="67" t="n"/>
      <c r="N362" s="65" t="n"/>
      <c r="O362" s="84">
        <f>IF(A362="","",IF(E362="","No date",IF(TODAY()&gt;=EDATE(E362,Review_Months),"Review Due","Current")))</f>
        <v/>
      </c>
      <c r="P362" s="84">
        <f>IF(A362="","",IF(COUNTIFS('AFA Rates'!$A$5:$A$1004,A362,'AFA Rates'!$O$5:$O$1004,"&lt;&gt;Expired")&gt;0,"Yes",IF(COUNTIF('AFA Rates'!$A$5:$A$1004,A362)&gt;0,"Expired only","No")))</f>
        <v/>
      </c>
      <c r="Q362" s="84">
        <f>IF(A362="","",COUNTIFS('AFA Rates'!$A$5:$A$1004,A362,'AFA Rates'!$O$5:$O$1004,"&lt;&gt;Expired"))</f>
        <v/>
      </c>
      <c r="R362" s="66" t="n"/>
      <c r="S362" s="64" t="n"/>
      <c r="T362" s="64" t="n"/>
      <c r="U362">
        <f>IF(AND(A362&lt;&gt;"",B362="Paused"),COUNTIFS($A$5:A362,"&lt;&gt;",$B$5:B362,"Paused"),"")</f>
        <v/>
      </c>
      <c r="V362">
        <f>IF(P362="Yes",COUNTIF($P$5:P362,"Yes"),"")</f>
        <v/>
      </c>
      <c r="W362">
        <f>IF(A362="","",COUNTIF($A$5:$A$1004,"&lt;"&amp;A362)+COUNTIF($A$5:A362,A362))</f>
        <v/>
      </c>
      <c r="X362">
        <f>","&amp;SUBSTITUTE(SUBSTITUTE(SUBSTITUTE(UPPER(C362)," ",""),";",","),"/",",")&amp;","</f>
        <v/>
      </c>
      <c r="Y362">
        <f>IF(AND(A362&lt;&gt;"",B362="Active",'State Search'!$C$5&lt;&gt;"",OR(X362=",ALL,",ISNUMBER(SEARCH(","&amp;'State Search'!$C$5&amp;",",X362)))),W362,"")</f>
        <v/>
      </c>
    </row>
    <row r="363">
      <c r="A363" s="64" t="n"/>
      <c r="B363" s="65" t="n"/>
      <c r="C363" s="64" t="n"/>
      <c r="D363" s="66" t="n"/>
      <c r="E363" s="66" t="n"/>
      <c r="F363" s="67" t="n"/>
      <c r="G363" s="67" t="n"/>
      <c r="H363" s="67" t="n"/>
      <c r="I363" s="67" t="n"/>
      <c r="J363" s="67" t="n"/>
      <c r="K363" s="67" t="n"/>
      <c r="L363" s="67" t="n"/>
      <c r="M363" s="67" t="n"/>
      <c r="N363" s="65" t="n"/>
      <c r="O363" s="84">
        <f>IF(A363="","",IF(E363="","No date",IF(TODAY()&gt;=EDATE(E363,Review_Months),"Review Due","Current")))</f>
        <v/>
      </c>
      <c r="P363" s="84">
        <f>IF(A363="","",IF(COUNTIFS('AFA Rates'!$A$5:$A$1004,A363,'AFA Rates'!$O$5:$O$1004,"&lt;&gt;Expired")&gt;0,"Yes",IF(COUNTIF('AFA Rates'!$A$5:$A$1004,A363)&gt;0,"Expired only","No")))</f>
        <v/>
      </c>
      <c r="Q363" s="84">
        <f>IF(A363="","",COUNTIFS('AFA Rates'!$A$5:$A$1004,A363,'AFA Rates'!$O$5:$O$1004,"&lt;&gt;Expired"))</f>
        <v/>
      </c>
      <c r="R363" s="66" t="n"/>
      <c r="S363" s="64" t="n"/>
      <c r="T363" s="64" t="n"/>
      <c r="U363">
        <f>IF(AND(A363&lt;&gt;"",B363="Paused"),COUNTIFS($A$5:A363,"&lt;&gt;",$B$5:B363,"Paused"),"")</f>
        <v/>
      </c>
      <c r="V363">
        <f>IF(P363="Yes",COUNTIF($P$5:P363,"Yes"),"")</f>
        <v/>
      </c>
      <c r="W363">
        <f>IF(A363="","",COUNTIF($A$5:$A$1004,"&lt;"&amp;A363)+COUNTIF($A$5:A363,A363))</f>
        <v/>
      </c>
      <c r="X363">
        <f>","&amp;SUBSTITUTE(SUBSTITUTE(SUBSTITUTE(UPPER(C363)," ",""),";",","),"/",",")&amp;","</f>
        <v/>
      </c>
      <c r="Y363">
        <f>IF(AND(A363&lt;&gt;"",B363="Active",'State Search'!$C$5&lt;&gt;"",OR(X363=",ALL,",ISNUMBER(SEARCH(","&amp;'State Search'!$C$5&amp;",",X363)))),W363,"")</f>
        <v/>
      </c>
    </row>
    <row r="364">
      <c r="A364" s="64" t="n"/>
      <c r="B364" s="65" t="n"/>
      <c r="C364" s="64" t="n"/>
      <c r="D364" s="66" t="n"/>
      <c r="E364" s="66" t="n"/>
      <c r="F364" s="67" t="n"/>
      <c r="G364" s="67" t="n"/>
      <c r="H364" s="67" t="n"/>
      <c r="I364" s="67" t="n"/>
      <c r="J364" s="67" t="n"/>
      <c r="K364" s="67" t="n"/>
      <c r="L364" s="67" t="n"/>
      <c r="M364" s="67" t="n"/>
      <c r="N364" s="65" t="n"/>
      <c r="O364" s="84">
        <f>IF(A364="","",IF(E364="","No date",IF(TODAY()&gt;=EDATE(E364,Review_Months),"Review Due","Current")))</f>
        <v/>
      </c>
      <c r="P364" s="84">
        <f>IF(A364="","",IF(COUNTIFS('AFA Rates'!$A$5:$A$1004,A364,'AFA Rates'!$O$5:$O$1004,"&lt;&gt;Expired")&gt;0,"Yes",IF(COUNTIF('AFA Rates'!$A$5:$A$1004,A364)&gt;0,"Expired only","No")))</f>
        <v/>
      </c>
      <c r="Q364" s="84">
        <f>IF(A364="","",COUNTIFS('AFA Rates'!$A$5:$A$1004,A364,'AFA Rates'!$O$5:$O$1004,"&lt;&gt;Expired"))</f>
        <v/>
      </c>
      <c r="R364" s="66" t="n"/>
      <c r="S364" s="64" t="n"/>
      <c r="T364" s="64" t="n"/>
      <c r="U364">
        <f>IF(AND(A364&lt;&gt;"",B364="Paused"),COUNTIFS($A$5:A364,"&lt;&gt;",$B$5:B364,"Paused"),"")</f>
        <v/>
      </c>
      <c r="V364">
        <f>IF(P364="Yes",COUNTIF($P$5:P364,"Yes"),"")</f>
        <v/>
      </c>
      <c r="W364">
        <f>IF(A364="","",COUNTIF($A$5:$A$1004,"&lt;"&amp;A364)+COUNTIF($A$5:A364,A364))</f>
        <v/>
      </c>
      <c r="X364">
        <f>","&amp;SUBSTITUTE(SUBSTITUTE(SUBSTITUTE(UPPER(C364)," ",""),";",","),"/",",")&amp;","</f>
        <v/>
      </c>
      <c r="Y364">
        <f>IF(AND(A364&lt;&gt;"",B364="Active",'State Search'!$C$5&lt;&gt;"",OR(X364=",ALL,",ISNUMBER(SEARCH(","&amp;'State Search'!$C$5&amp;",",X364)))),W364,"")</f>
        <v/>
      </c>
    </row>
    <row r="365">
      <c r="A365" s="64" t="n"/>
      <c r="B365" s="65" t="n"/>
      <c r="C365" s="64" t="n"/>
      <c r="D365" s="66" t="n"/>
      <c r="E365" s="66" t="n"/>
      <c r="F365" s="67" t="n"/>
      <c r="G365" s="67" t="n"/>
      <c r="H365" s="67" t="n"/>
      <c r="I365" s="67" t="n"/>
      <c r="J365" s="67" t="n"/>
      <c r="K365" s="67" t="n"/>
      <c r="L365" s="67" t="n"/>
      <c r="M365" s="67" t="n"/>
      <c r="N365" s="65" t="n"/>
      <c r="O365" s="84">
        <f>IF(A365="","",IF(E365="","No date",IF(TODAY()&gt;=EDATE(E365,Review_Months),"Review Due","Current")))</f>
        <v/>
      </c>
      <c r="P365" s="84">
        <f>IF(A365="","",IF(COUNTIFS('AFA Rates'!$A$5:$A$1004,A365,'AFA Rates'!$O$5:$O$1004,"&lt;&gt;Expired")&gt;0,"Yes",IF(COUNTIF('AFA Rates'!$A$5:$A$1004,A365)&gt;0,"Expired only","No")))</f>
        <v/>
      </c>
      <c r="Q365" s="84">
        <f>IF(A365="","",COUNTIFS('AFA Rates'!$A$5:$A$1004,A365,'AFA Rates'!$O$5:$O$1004,"&lt;&gt;Expired"))</f>
        <v/>
      </c>
      <c r="R365" s="66" t="n"/>
      <c r="S365" s="64" t="n"/>
      <c r="T365" s="64" t="n"/>
      <c r="U365">
        <f>IF(AND(A365&lt;&gt;"",B365="Paused"),COUNTIFS($A$5:A365,"&lt;&gt;",$B$5:B365,"Paused"),"")</f>
        <v/>
      </c>
      <c r="V365">
        <f>IF(P365="Yes",COUNTIF($P$5:P365,"Yes"),"")</f>
        <v/>
      </c>
      <c r="W365">
        <f>IF(A365="","",COUNTIF($A$5:$A$1004,"&lt;"&amp;A365)+COUNTIF($A$5:A365,A365))</f>
        <v/>
      </c>
      <c r="X365">
        <f>","&amp;SUBSTITUTE(SUBSTITUTE(SUBSTITUTE(UPPER(C365)," ",""),";",","),"/",",")&amp;","</f>
        <v/>
      </c>
      <c r="Y365">
        <f>IF(AND(A365&lt;&gt;"",B365="Active",'State Search'!$C$5&lt;&gt;"",OR(X365=",ALL,",ISNUMBER(SEARCH(","&amp;'State Search'!$C$5&amp;",",X365)))),W365,"")</f>
        <v/>
      </c>
    </row>
    <row r="366">
      <c r="A366" s="64" t="n"/>
      <c r="B366" s="65" t="n"/>
      <c r="C366" s="64" t="n"/>
      <c r="D366" s="66" t="n"/>
      <c r="E366" s="66" t="n"/>
      <c r="F366" s="67" t="n"/>
      <c r="G366" s="67" t="n"/>
      <c r="H366" s="67" t="n"/>
      <c r="I366" s="67" t="n"/>
      <c r="J366" s="67" t="n"/>
      <c r="K366" s="67" t="n"/>
      <c r="L366" s="67" t="n"/>
      <c r="M366" s="67" t="n"/>
      <c r="N366" s="65" t="n"/>
      <c r="O366" s="84">
        <f>IF(A366="","",IF(E366="","No date",IF(TODAY()&gt;=EDATE(E366,Review_Months),"Review Due","Current")))</f>
        <v/>
      </c>
      <c r="P366" s="84">
        <f>IF(A366="","",IF(COUNTIFS('AFA Rates'!$A$5:$A$1004,A366,'AFA Rates'!$O$5:$O$1004,"&lt;&gt;Expired")&gt;0,"Yes",IF(COUNTIF('AFA Rates'!$A$5:$A$1004,A366)&gt;0,"Expired only","No")))</f>
        <v/>
      </c>
      <c r="Q366" s="84">
        <f>IF(A366="","",COUNTIFS('AFA Rates'!$A$5:$A$1004,A366,'AFA Rates'!$O$5:$O$1004,"&lt;&gt;Expired"))</f>
        <v/>
      </c>
      <c r="R366" s="66" t="n"/>
      <c r="S366" s="64" t="n"/>
      <c r="T366" s="64" t="n"/>
      <c r="U366">
        <f>IF(AND(A366&lt;&gt;"",B366="Paused"),COUNTIFS($A$5:A366,"&lt;&gt;",$B$5:B366,"Paused"),"")</f>
        <v/>
      </c>
      <c r="V366">
        <f>IF(P366="Yes",COUNTIF($P$5:P366,"Yes"),"")</f>
        <v/>
      </c>
      <c r="W366">
        <f>IF(A366="","",COUNTIF($A$5:$A$1004,"&lt;"&amp;A366)+COUNTIF($A$5:A366,A366))</f>
        <v/>
      </c>
      <c r="X366">
        <f>","&amp;SUBSTITUTE(SUBSTITUTE(SUBSTITUTE(UPPER(C366)," ",""),";",","),"/",",")&amp;","</f>
        <v/>
      </c>
      <c r="Y366">
        <f>IF(AND(A366&lt;&gt;"",B366="Active",'State Search'!$C$5&lt;&gt;"",OR(X366=",ALL,",ISNUMBER(SEARCH(","&amp;'State Search'!$C$5&amp;",",X366)))),W366,"")</f>
        <v/>
      </c>
    </row>
    <row r="367">
      <c r="A367" s="64" t="n"/>
      <c r="B367" s="65" t="n"/>
      <c r="C367" s="64" t="n"/>
      <c r="D367" s="66" t="n"/>
      <c r="E367" s="66" t="n"/>
      <c r="F367" s="67" t="n"/>
      <c r="G367" s="67" t="n"/>
      <c r="H367" s="67" t="n"/>
      <c r="I367" s="67" t="n"/>
      <c r="J367" s="67" t="n"/>
      <c r="K367" s="67" t="n"/>
      <c r="L367" s="67" t="n"/>
      <c r="M367" s="67" t="n"/>
      <c r="N367" s="65" t="n"/>
      <c r="O367" s="84">
        <f>IF(A367="","",IF(E367="","No date",IF(TODAY()&gt;=EDATE(E367,Review_Months),"Review Due","Current")))</f>
        <v/>
      </c>
      <c r="P367" s="84">
        <f>IF(A367="","",IF(COUNTIFS('AFA Rates'!$A$5:$A$1004,A367,'AFA Rates'!$O$5:$O$1004,"&lt;&gt;Expired")&gt;0,"Yes",IF(COUNTIF('AFA Rates'!$A$5:$A$1004,A367)&gt;0,"Expired only","No")))</f>
        <v/>
      </c>
      <c r="Q367" s="84">
        <f>IF(A367="","",COUNTIFS('AFA Rates'!$A$5:$A$1004,A367,'AFA Rates'!$O$5:$O$1004,"&lt;&gt;Expired"))</f>
        <v/>
      </c>
      <c r="R367" s="66" t="n"/>
      <c r="S367" s="64" t="n"/>
      <c r="T367" s="64" t="n"/>
      <c r="U367">
        <f>IF(AND(A367&lt;&gt;"",B367="Paused"),COUNTIFS($A$5:A367,"&lt;&gt;",$B$5:B367,"Paused"),"")</f>
        <v/>
      </c>
      <c r="V367">
        <f>IF(P367="Yes",COUNTIF($P$5:P367,"Yes"),"")</f>
        <v/>
      </c>
      <c r="W367">
        <f>IF(A367="","",COUNTIF($A$5:$A$1004,"&lt;"&amp;A367)+COUNTIF($A$5:A367,A367))</f>
        <v/>
      </c>
      <c r="X367">
        <f>","&amp;SUBSTITUTE(SUBSTITUTE(SUBSTITUTE(UPPER(C367)," ",""),";",","),"/",",")&amp;","</f>
        <v/>
      </c>
      <c r="Y367">
        <f>IF(AND(A367&lt;&gt;"",B367="Active",'State Search'!$C$5&lt;&gt;"",OR(X367=",ALL,",ISNUMBER(SEARCH(","&amp;'State Search'!$C$5&amp;",",X367)))),W367,"")</f>
        <v/>
      </c>
    </row>
    <row r="368">
      <c r="A368" s="64" t="n"/>
      <c r="B368" s="65" t="n"/>
      <c r="C368" s="64" t="n"/>
      <c r="D368" s="66" t="n"/>
      <c r="E368" s="66" t="n"/>
      <c r="F368" s="67" t="n"/>
      <c r="G368" s="67" t="n"/>
      <c r="H368" s="67" t="n"/>
      <c r="I368" s="67" t="n"/>
      <c r="J368" s="67" t="n"/>
      <c r="K368" s="67" t="n"/>
      <c r="L368" s="67" t="n"/>
      <c r="M368" s="67" t="n"/>
      <c r="N368" s="65" t="n"/>
      <c r="O368" s="84">
        <f>IF(A368="","",IF(E368="","No date",IF(TODAY()&gt;=EDATE(E368,Review_Months),"Review Due","Current")))</f>
        <v/>
      </c>
      <c r="P368" s="84">
        <f>IF(A368="","",IF(COUNTIFS('AFA Rates'!$A$5:$A$1004,A368,'AFA Rates'!$O$5:$O$1004,"&lt;&gt;Expired")&gt;0,"Yes",IF(COUNTIF('AFA Rates'!$A$5:$A$1004,A368)&gt;0,"Expired only","No")))</f>
        <v/>
      </c>
      <c r="Q368" s="84">
        <f>IF(A368="","",COUNTIFS('AFA Rates'!$A$5:$A$1004,A368,'AFA Rates'!$O$5:$O$1004,"&lt;&gt;Expired"))</f>
        <v/>
      </c>
      <c r="R368" s="66" t="n"/>
      <c r="S368" s="64" t="n"/>
      <c r="T368" s="64" t="n"/>
      <c r="U368">
        <f>IF(AND(A368&lt;&gt;"",B368="Paused"),COUNTIFS($A$5:A368,"&lt;&gt;",$B$5:B368,"Paused"),"")</f>
        <v/>
      </c>
      <c r="V368">
        <f>IF(P368="Yes",COUNTIF($P$5:P368,"Yes"),"")</f>
        <v/>
      </c>
      <c r="W368">
        <f>IF(A368="","",COUNTIF($A$5:$A$1004,"&lt;"&amp;A368)+COUNTIF($A$5:A368,A368))</f>
        <v/>
      </c>
      <c r="X368">
        <f>","&amp;SUBSTITUTE(SUBSTITUTE(SUBSTITUTE(UPPER(C368)," ",""),";",","),"/",",")&amp;","</f>
        <v/>
      </c>
      <c r="Y368">
        <f>IF(AND(A368&lt;&gt;"",B368="Active",'State Search'!$C$5&lt;&gt;"",OR(X368=",ALL,",ISNUMBER(SEARCH(","&amp;'State Search'!$C$5&amp;",",X368)))),W368,"")</f>
        <v/>
      </c>
    </row>
    <row r="369">
      <c r="A369" s="64" t="n"/>
      <c r="B369" s="65" t="n"/>
      <c r="C369" s="64" t="n"/>
      <c r="D369" s="66" t="n"/>
      <c r="E369" s="66" t="n"/>
      <c r="F369" s="67" t="n"/>
      <c r="G369" s="67" t="n"/>
      <c r="H369" s="67" t="n"/>
      <c r="I369" s="67" t="n"/>
      <c r="J369" s="67" t="n"/>
      <c r="K369" s="67" t="n"/>
      <c r="L369" s="67" t="n"/>
      <c r="M369" s="67" t="n"/>
      <c r="N369" s="65" t="n"/>
      <c r="O369" s="84">
        <f>IF(A369="","",IF(E369="","No date",IF(TODAY()&gt;=EDATE(E369,Review_Months),"Review Due","Current")))</f>
        <v/>
      </c>
      <c r="P369" s="84">
        <f>IF(A369="","",IF(COUNTIFS('AFA Rates'!$A$5:$A$1004,A369,'AFA Rates'!$O$5:$O$1004,"&lt;&gt;Expired")&gt;0,"Yes",IF(COUNTIF('AFA Rates'!$A$5:$A$1004,A369)&gt;0,"Expired only","No")))</f>
        <v/>
      </c>
      <c r="Q369" s="84">
        <f>IF(A369="","",COUNTIFS('AFA Rates'!$A$5:$A$1004,A369,'AFA Rates'!$O$5:$O$1004,"&lt;&gt;Expired"))</f>
        <v/>
      </c>
      <c r="R369" s="66" t="n"/>
      <c r="S369" s="64" t="n"/>
      <c r="T369" s="64" t="n"/>
      <c r="U369">
        <f>IF(AND(A369&lt;&gt;"",B369="Paused"),COUNTIFS($A$5:A369,"&lt;&gt;",$B$5:B369,"Paused"),"")</f>
        <v/>
      </c>
      <c r="V369">
        <f>IF(P369="Yes",COUNTIF($P$5:P369,"Yes"),"")</f>
        <v/>
      </c>
      <c r="W369">
        <f>IF(A369="","",COUNTIF($A$5:$A$1004,"&lt;"&amp;A369)+COUNTIF($A$5:A369,A369))</f>
        <v/>
      </c>
      <c r="X369">
        <f>","&amp;SUBSTITUTE(SUBSTITUTE(SUBSTITUTE(UPPER(C369)," ",""),";",","),"/",",")&amp;","</f>
        <v/>
      </c>
      <c r="Y369">
        <f>IF(AND(A369&lt;&gt;"",B369="Active",'State Search'!$C$5&lt;&gt;"",OR(X369=",ALL,",ISNUMBER(SEARCH(","&amp;'State Search'!$C$5&amp;",",X369)))),W369,"")</f>
        <v/>
      </c>
    </row>
    <row r="370">
      <c r="A370" s="64" t="n"/>
      <c r="B370" s="65" t="n"/>
      <c r="C370" s="64" t="n"/>
      <c r="D370" s="66" t="n"/>
      <c r="E370" s="66" t="n"/>
      <c r="F370" s="67" t="n"/>
      <c r="G370" s="67" t="n"/>
      <c r="H370" s="67" t="n"/>
      <c r="I370" s="67" t="n"/>
      <c r="J370" s="67" t="n"/>
      <c r="K370" s="67" t="n"/>
      <c r="L370" s="67" t="n"/>
      <c r="M370" s="67" t="n"/>
      <c r="N370" s="65" t="n"/>
      <c r="O370" s="84">
        <f>IF(A370="","",IF(E370="","No date",IF(TODAY()&gt;=EDATE(E370,Review_Months),"Review Due","Current")))</f>
        <v/>
      </c>
      <c r="P370" s="84">
        <f>IF(A370="","",IF(COUNTIFS('AFA Rates'!$A$5:$A$1004,A370,'AFA Rates'!$O$5:$O$1004,"&lt;&gt;Expired")&gt;0,"Yes",IF(COUNTIF('AFA Rates'!$A$5:$A$1004,A370)&gt;0,"Expired only","No")))</f>
        <v/>
      </c>
      <c r="Q370" s="84">
        <f>IF(A370="","",COUNTIFS('AFA Rates'!$A$5:$A$1004,A370,'AFA Rates'!$O$5:$O$1004,"&lt;&gt;Expired"))</f>
        <v/>
      </c>
      <c r="R370" s="66" t="n"/>
      <c r="S370" s="64" t="n"/>
      <c r="T370" s="64" t="n"/>
      <c r="U370">
        <f>IF(AND(A370&lt;&gt;"",B370="Paused"),COUNTIFS($A$5:A370,"&lt;&gt;",$B$5:B370,"Paused"),"")</f>
        <v/>
      </c>
      <c r="V370">
        <f>IF(P370="Yes",COUNTIF($P$5:P370,"Yes"),"")</f>
        <v/>
      </c>
      <c r="W370">
        <f>IF(A370="","",COUNTIF($A$5:$A$1004,"&lt;"&amp;A370)+COUNTIF($A$5:A370,A370))</f>
        <v/>
      </c>
      <c r="X370">
        <f>","&amp;SUBSTITUTE(SUBSTITUTE(SUBSTITUTE(UPPER(C370)," ",""),";",","),"/",",")&amp;","</f>
        <v/>
      </c>
      <c r="Y370">
        <f>IF(AND(A370&lt;&gt;"",B370="Active",'State Search'!$C$5&lt;&gt;"",OR(X370=",ALL,",ISNUMBER(SEARCH(","&amp;'State Search'!$C$5&amp;",",X370)))),W370,"")</f>
        <v/>
      </c>
    </row>
    <row r="371">
      <c r="A371" s="64" t="n"/>
      <c r="B371" s="65" t="n"/>
      <c r="C371" s="64" t="n"/>
      <c r="D371" s="66" t="n"/>
      <c r="E371" s="66" t="n"/>
      <c r="F371" s="67" t="n"/>
      <c r="G371" s="67" t="n"/>
      <c r="H371" s="67" t="n"/>
      <c r="I371" s="67" t="n"/>
      <c r="J371" s="67" t="n"/>
      <c r="K371" s="67" t="n"/>
      <c r="L371" s="67" t="n"/>
      <c r="M371" s="67" t="n"/>
      <c r="N371" s="65" t="n"/>
      <c r="O371" s="84">
        <f>IF(A371="","",IF(E371="","No date",IF(TODAY()&gt;=EDATE(E371,Review_Months),"Review Due","Current")))</f>
        <v/>
      </c>
      <c r="P371" s="84">
        <f>IF(A371="","",IF(COUNTIFS('AFA Rates'!$A$5:$A$1004,A371,'AFA Rates'!$O$5:$O$1004,"&lt;&gt;Expired")&gt;0,"Yes",IF(COUNTIF('AFA Rates'!$A$5:$A$1004,A371)&gt;0,"Expired only","No")))</f>
        <v/>
      </c>
      <c r="Q371" s="84">
        <f>IF(A371="","",COUNTIFS('AFA Rates'!$A$5:$A$1004,A371,'AFA Rates'!$O$5:$O$1004,"&lt;&gt;Expired"))</f>
        <v/>
      </c>
      <c r="R371" s="66" t="n"/>
      <c r="S371" s="64" t="n"/>
      <c r="T371" s="64" t="n"/>
      <c r="U371">
        <f>IF(AND(A371&lt;&gt;"",B371="Paused"),COUNTIFS($A$5:A371,"&lt;&gt;",$B$5:B371,"Paused"),"")</f>
        <v/>
      </c>
      <c r="V371">
        <f>IF(P371="Yes",COUNTIF($P$5:P371,"Yes"),"")</f>
        <v/>
      </c>
      <c r="W371">
        <f>IF(A371="","",COUNTIF($A$5:$A$1004,"&lt;"&amp;A371)+COUNTIF($A$5:A371,A371))</f>
        <v/>
      </c>
      <c r="X371">
        <f>","&amp;SUBSTITUTE(SUBSTITUTE(SUBSTITUTE(UPPER(C371)," ",""),";",","),"/",",")&amp;","</f>
        <v/>
      </c>
      <c r="Y371">
        <f>IF(AND(A371&lt;&gt;"",B371="Active",'State Search'!$C$5&lt;&gt;"",OR(X371=",ALL,",ISNUMBER(SEARCH(","&amp;'State Search'!$C$5&amp;",",X371)))),W371,"")</f>
        <v/>
      </c>
    </row>
    <row r="372">
      <c r="A372" s="64" t="n"/>
      <c r="B372" s="65" t="n"/>
      <c r="C372" s="64" t="n"/>
      <c r="D372" s="66" t="n"/>
      <c r="E372" s="66" t="n"/>
      <c r="F372" s="67" t="n"/>
      <c r="G372" s="67" t="n"/>
      <c r="H372" s="67" t="n"/>
      <c r="I372" s="67" t="n"/>
      <c r="J372" s="67" t="n"/>
      <c r="K372" s="67" t="n"/>
      <c r="L372" s="67" t="n"/>
      <c r="M372" s="67" t="n"/>
      <c r="N372" s="65" t="n"/>
      <c r="O372" s="84">
        <f>IF(A372="","",IF(E372="","No date",IF(TODAY()&gt;=EDATE(E372,Review_Months),"Review Due","Current")))</f>
        <v/>
      </c>
      <c r="P372" s="84">
        <f>IF(A372="","",IF(COUNTIFS('AFA Rates'!$A$5:$A$1004,A372,'AFA Rates'!$O$5:$O$1004,"&lt;&gt;Expired")&gt;0,"Yes",IF(COUNTIF('AFA Rates'!$A$5:$A$1004,A372)&gt;0,"Expired only","No")))</f>
        <v/>
      </c>
      <c r="Q372" s="84">
        <f>IF(A372="","",COUNTIFS('AFA Rates'!$A$5:$A$1004,A372,'AFA Rates'!$O$5:$O$1004,"&lt;&gt;Expired"))</f>
        <v/>
      </c>
      <c r="R372" s="66" t="n"/>
      <c r="S372" s="64" t="n"/>
      <c r="T372" s="64" t="n"/>
      <c r="U372">
        <f>IF(AND(A372&lt;&gt;"",B372="Paused"),COUNTIFS($A$5:A372,"&lt;&gt;",$B$5:B372,"Paused"),"")</f>
        <v/>
      </c>
      <c r="V372">
        <f>IF(P372="Yes",COUNTIF($P$5:P372,"Yes"),"")</f>
        <v/>
      </c>
      <c r="W372">
        <f>IF(A372="","",COUNTIF($A$5:$A$1004,"&lt;"&amp;A372)+COUNTIF($A$5:A372,A372))</f>
        <v/>
      </c>
      <c r="X372">
        <f>","&amp;SUBSTITUTE(SUBSTITUTE(SUBSTITUTE(UPPER(C372)," ",""),";",","),"/",",")&amp;","</f>
        <v/>
      </c>
      <c r="Y372">
        <f>IF(AND(A372&lt;&gt;"",B372="Active",'State Search'!$C$5&lt;&gt;"",OR(X372=",ALL,",ISNUMBER(SEARCH(","&amp;'State Search'!$C$5&amp;",",X372)))),W372,"")</f>
        <v/>
      </c>
    </row>
    <row r="373">
      <c r="A373" s="64" t="n"/>
      <c r="B373" s="65" t="n"/>
      <c r="C373" s="64" t="n"/>
      <c r="D373" s="66" t="n"/>
      <c r="E373" s="66" t="n"/>
      <c r="F373" s="67" t="n"/>
      <c r="G373" s="67" t="n"/>
      <c r="H373" s="67" t="n"/>
      <c r="I373" s="67" t="n"/>
      <c r="J373" s="67" t="n"/>
      <c r="K373" s="67" t="n"/>
      <c r="L373" s="67" t="n"/>
      <c r="M373" s="67" t="n"/>
      <c r="N373" s="65" t="n"/>
      <c r="O373" s="84">
        <f>IF(A373="","",IF(E373="","No date",IF(TODAY()&gt;=EDATE(E373,Review_Months),"Review Due","Current")))</f>
        <v/>
      </c>
      <c r="P373" s="84">
        <f>IF(A373="","",IF(COUNTIFS('AFA Rates'!$A$5:$A$1004,A373,'AFA Rates'!$O$5:$O$1004,"&lt;&gt;Expired")&gt;0,"Yes",IF(COUNTIF('AFA Rates'!$A$5:$A$1004,A373)&gt;0,"Expired only","No")))</f>
        <v/>
      </c>
      <c r="Q373" s="84">
        <f>IF(A373="","",COUNTIFS('AFA Rates'!$A$5:$A$1004,A373,'AFA Rates'!$O$5:$O$1004,"&lt;&gt;Expired"))</f>
        <v/>
      </c>
      <c r="R373" s="66" t="n"/>
      <c r="S373" s="64" t="n"/>
      <c r="T373" s="64" t="n"/>
      <c r="U373">
        <f>IF(AND(A373&lt;&gt;"",B373="Paused"),COUNTIFS($A$5:A373,"&lt;&gt;",$B$5:B373,"Paused"),"")</f>
        <v/>
      </c>
      <c r="V373">
        <f>IF(P373="Yes",COUNTIF($P$5:P373,"Yes"),"")</f>
        <v/>
      </c>
      <c r="W373">
        <f>IF(A373="","",COUNTIF($A$5:$A$1004,"&lt;"&amp;A373)+COUNTIF($A$5:A373,A373))</f>
        <v/>
      </c>
      <c r="X373">
        <f>","&amp;SUBSTITUTE(SUBSTITUTE(SUBSTITUTE(UPPER(C373)," ",""),";",","),"/",",")&amp;","</f>
        <v/>
      </c>
      <c r="Y373">
        <f>IF(AND(A373&lt;&gt;"",B373="Active",'State Search'!$C$5&lt;&gt;"",OR(X373=",ALL,",ISNUMBER(SEARCH(","&amp;'State Search'!$C$5&amp;",",X373)))),W373,"")</f>
        <v/>
      </c>
    </row>
    <row r="374">
      <c r="A374" s="64" t="n"/>
      <c r="B374" s="65" t="n"/>
      <c r="C374" s="64" t="n"/>
      <c r="D374" s="66" t="n"/>
      <c r="E374" s="66" t="n"/>
      <c r="F374" s="67" t="n"/>
      <c r="G374" s="67" t="n"/>
      <c r="H374" s="67" t="n"/>
      <c r="I374" s="67" t="n"/>
      <c r="J374" s="67" t="n"/>
      <c r="K374" s="67" t="n"/>
      <c r="L374" s="67" t="n"/>
      <c r="M374" s="67" t="n"/>
      <c r="N374" s="65" t="n"/>
      <c r="O374" s="84">
        <f>IF(A374="","",IF(E374="","No date",IF(TODAY()&gt;=EDATE(E374,Review_Months),"Review Due","Current")))</f>
        <v/>
      </c>
      <c r="P374" s="84">
        <f>IF(A374="","",IF(COUNTIFS('AFA Rates'!$A$5:$A$1004,A374,'AFA Rates'!$O$5:$O$1004,"&lt;&gt;Expired")&gt;0,"Yes",IF(COUNTIF('AFA Rates'!$A$5:$A$1004,A374)&gt;0,"Expired only","No")))</f>
        <v/>
      </c>
      <c r="Q374" s="84">
        <f>IF(A374="","",COUNTIFS('AFA Rates'!$A$5:$A$1004,A374,'AFA Rates'!$O$5:$O$1004,"&lt;&gt;Expired"))</f>
        <v/>
      </c>
      <c r="R374" s="66" t="n"/>
      <c r="S374" s="64" t="n"/>
      <c r="T374" s="64" t="n"/>
      <c r="U374">
        <f>IF(AND(A374&lt;&gt;"",B374="Paused"),COUNTIFS($A$5:A374,"&lt;&gt;",$B$5:B374,"Paused"),"")</f>
        <v/>
      </c>
      <c r="V374">
        <f>IF(P374="Yes",COUNTIF($P$5:P374,"Yes"),"")</f>
        <v/>
      </c>
      <c r="W374">
        <f>IF(A374="","",COUNTIF($A$5:$A$1004,"&lt;"&amp;A374)+COUNTIF($A$5:A374,A374))</f>
        <v/>
      </c>
      <c r="X374">
        <f>","&amp;SUBSTITUTE(SUBSTITUTE(SUBSTITUTE(UPPER(C374)," ",""),";",","),"/",",")&amp;","</f>
        <v/>
      </c>
      <c r="Y374">
        <f>IF(AND(A374&lt;&gt;"",B374="Active",'State Search'!$C$5&lt;&gt;"",OR(X374=",ALL,",ISNUMBER(SEARCH(","&amp;'State Search'!$C$5&amp;",",X374)))),W374,"")</f>
        <v/>
      </c>
    </row>
    <row r="375">
      <c r="A375" s="64" t="n"/>
      <c r="B375" s="65" t="n"/>
      <c r="C375" s="64" t="n"/>
      <c r="D375" s="66" t="n"/>
      <c r="E375" s="66" t="n"/>
      <c r="F375" s="67" t="n"/>
      <c r="G375" s="67" t="n"/>
      <c r="H375" s="67" t="n"/>
      <c r="I375" s="67" t="n"/>
      <c r="J375" s="67" t="n"/>
      <c r="K375" s="67" t="n"/>
      <c r="L375" s="67" t="n"/>
      <c r="M375" s="67" t="n"/>
      <c r="N375" s="65" t="n"/>
      <c r="O375" s="84">
        <f>IF(A375="","",IF(E375="","No date",IF(TODAY()&gt;=EDATE(E375,Review_Months),"Review Due","Current")))</f>
        <v/>
      </c>
      <c r="P375" s="84">
        <f>IF(A375="","",IF(COUNTIFS('AFA Rates'!$A$5:$A$1004,A375,'AFA Rates'!$O$5:$O$1004,"&lt;&gt;Expired")&gt;0,"Yes",IF(COUNTIF('AFA Rates'!$A$5:$A$1004,A375)&gt;0,"Expired only","No")))</f>
        <v/>
      </c>
      <c r="Q375" s="84">
        <f>IF(A375="","",COUNTIFS('AFA Rates'!$A$5:$A$1004,A375,'AFA Rates'!$O$5:$O$1004,"&lt;&gt;Expired"))</f>
        <v/>
      </c>
      <c r="R375" s="66" t="n"/>
      <c r="S375" s="64" t="n"/>
      <c r="T375" s="64" t="n"/>
      <c r="U375">
        <f>IF(AND(A375&lt;&gt;"",B375="Paused"),COUNTIFS($A$5:A375,"&lt;&gt;",$B$5:B375,"Paused"),"")</f>
        <v/>
      </c>
      <c r="V375">
        <f>IF(P375="Yes",COUNTIF($P$5:P375,"Yes"),"")</f>
        <v/>
      </c>
      <c r="W375">
        <f>IF(A375="","",COUNTIF($A$5:$A$1004,"&lt;"&amp;A375)+COUNTIF($A$5:A375,A375))</f>
        <v/>
      </c>
      <c r="X375">
        <f>","&amp;SUBSTITUTE(SUBSTITUTE(SUBSTITUTE(UPPER(C375)," ",""),";",","),"/",",")&amp;","</f>
        <v/>
      </c>
      <c r="Y375">
        <f>IF(AND(A375&lt;&gt;"",B375="Active",'State Search'!$C$5&lt;&gt;"",OR(X375=",ALL,",ISNUMBER(SEARCH(","&amp;'State Search'!$C$5&amp;",",X375)))),W375,"")</f>
        <v/>
      </c>
    </row>
    <row r="376">
      <c r="A376" s="64" t="n"/>
      <c r="B376" s="65" t="n"/>
      <c r="C376" s="64" t="n"/>
      <c r="D376" s="66" t="n"/>
      <c r="E376" s="66" t="n"/>
      <c r="F376" s="67" t="n"/>
      <c r="G376" s="67" t="n"/>
      <c r="H376" s="67" t="n"/>
      <c r="I376" s="67" t="n"/>
      <c r="J376" s="67" t="n"/>
      <c r="K376" s="67" t="n"/>
      <c r="L376" s="67" t="n"/>
      <c r="M376" s="67" t="n"/>
      <c r="N376" s="65" t="n"/>
      <c r="O376" s="84">
        <f>IF(A376="","",IF(E376="","No date",IF(TODAY()&gt;=EDATE(E376,Review_Months),"Review Due","Current")))</f>
        <v/>
      </c>
      <c r="P376" s="84">
        <f>IF(A376="","",IF(COUNTIFS('AFA Rates'!$A$5:$A$1004,A376,'AFA Rates'!$O$5:$O$1004,"&lt;&gt;Expired")&gt;0,"Yes",IF(COUNTIF('AFA Rates'!$A$5:$A$1004,A376)&gt;0,"Expired only","No")))</f>
        <v/>
      </c>
      <c r="Q376" s="84">
        <f>IF(A376="","",COUNTIFS('AFA Rates'!$A$5:$A$1004,A376,'AFA Rates'!$O$5:$O$1004,"&lt;&gt;Expired"))</f>
        <v/>
      </c>
      <c r="R376" s="66" t="n"/>
      <c r="S376" s="64" t="n"/>
      <c r="T376" s="64" t="n"/>
      <c r="U376">
        <f>IF(AND(A376&lt;&gt;"",B376="Paused"),COUNTIFS($A$5:A376,"&lt;&gt;",$B$5:B376,"Paused"),"")</f>
        <v/>
      </c>
      <c r="V376">
        <f>IF(P376="Yes",COUNTIF($P$5:P376,"Yes"),"")</f>
        <v/>
      </c>
      <c r="W376">
        <f>IF(A376="","",COUNTIF($A$5:$A$1004,"&lt;"&amp;A376)+COUNTIF($A$5:A376,A376))</f>
        <v/>
      </c>
      <c r="X376">
        <f>","&amp;SUBSTITUTE(SUBSTITUTE(SUBSTITUTE(UPPER(C376)," ",""),";",","),"/",",")&amp;","</f>
        <v/>
      </c>
      <c r="Y376">
        <f>IF(AND(A376&lt;&gt;"",B376="Active",'State Search'!$C$5&lt;&gt;"",OR(X376=",ALL,",ISNUMBER(SEARCH(","&amp;'State Search'!$C$5&amp;",",X376)))),W376,"")</f>
        <v/>
      </c>
    </row>
    <row r="377">
      <c r="A377" s="64" t="n"/>
      <c r="B377" s="65" t="n"/>
      <c r="C377" s="64" t="n"/>
      <c r="D377" s="66" t="n"/>
      <c r="E377" s="66" t="n"/>
      <c r="F377" s="67" t="n"/>
      <c r="G377" s="67" t="n"/>
      <c r="H377" s="67" t="n"/>
      <c r="I377" s="67" t="n"/>
      <c r="J377" s="67" t="n"/>
      <c r="K377" s="67" t="n"/>
      <c r="L377" s="67" t="n"/>
      <c r="M377" s="67" t="n"/>
      <c r="N377" s="65" t="n"/>
      <c r="O377" s="84">
        <f>IF(A377="","",IF(E377="","No date",IF(TODAY()&gt;=EDATE(E377,Review_Months),"Review Due","Current")))</f>
        <v/>
      </c>
      <c r="P377" s="84">
        <f>IF(A377="","",IF(COUNTIFS('AFA Rates'!$A$5:$A$1004,A377,'AFA Rates'!$O$5:$O$1004,"&lt;&gt;Expired")&gt;0,"Yes",IF(COUNTIF('AFA Rates'!$A$5:$A$1004,A377)&gt;0,"Expired only","No")))</f>
        <v/>
      </c>
      <c r="Q377" s="84">
        <f>IF(A377="","",COUNTIFS('AFA Rates'!$A$5:$A$1004,A377,'AFA Rates'!$O$5:$O$1004,"&lt;&gt;Expired"))</f>
        <v/>
      </c>
      <c r="R377" s="66" t="n"/>
      <c r="S377" s="64" t="n"/>
      <c r="T377" s="64" t="n"/>
      <c r="U377">
        <f>IF(AND(A377&lt;&gt;"",B377="Paused"),COUNTIFS($A$5:A377,"&lt;&gt;",$B$5:B377,"Paused"),"")</f>
        <v/>
      </c>
      <c r="V377">
        <f>IF(P377="Yes",COUNTIF($P$5:P377,"Yes"),"")</f>
        <v/>
      </c>
      <c r="W377">
        <f>IF(A377="","",COUNTIF($A$5:$A$1004,"&lt;"&amp;A377)+COUNTIF($A$5:A377,A377))</f>
        <v/>
      </c>
      <c r="X377">
        <f>","&amp;SUBSTITUTE(SUBSTITUTE(SUBSTITUTE(UPPER(C377)," ",""),";",","),"/",",")&amp;","</f>
        <v/>
      </c>
      <c r="Y377">
        <f>IF(AND(A377&lt;&gt;"",B377="Active",'State Search'!$C$5&lt;&gt;"",OR(X377=",ALL,",ISNUMBER(SEARCH(","&amp;'State Search'!$C$5&amp;",",X377)))),W377,"")</f>
        <v/>
      </c>
    </row>
    <row r="378">
      <c r="A378" s="64" t="n"/>
      <c r="B378" s="65" t="n"/>
      <c r="C378" s="64" t="n"/>
      <c r="D378" s="66" t="n"/>
      <c r="E378" s="66" t="n"/>
      <c r="F378" s="67" t="n"/>
      <c r="G378" s="67" t="n"/>
      <c r="H378" s="67" t="n"/>
      <c r="I378" s="67" t="n"/>
      <c r="J378" s="67" t="n"/>
      <c r="K378" s="67" t="n"/>
      <c r="L378" s="67" t="n"/>
      <c r="M378" s="67" t="n"/>
      <c r="N378" s="65" t="n"/>
      <c r="O378" s="84">
        <f>IF(A378="","",IF(E378="","No date",IF(TODAY()&gt;=EDATE(E378,Review_Months),"Review Due","Current")))</f>
        <v/>
      </c>
      <c r="P378" s="84">
        <f>IF(A378="","",IF(COUNTIFS('AFA Rates'!$A$5:$A$1004,A378,'AFA Rates'!$O$5:$O$1004,"&lt;&gt;Expired")&gt;0,"Yes",IF(COUNTIF('AFA Rates'!$A$5:$A$1004,A378)&gt;0,"Expired only","No")))</f>
        <v/>
      </c>
      <c r="Q378" s="84">
        <f>IF(A378="","",COUNTIFS('AFA Rates'!$A$5:$A$1004,A378,'AFA Rates'!$O$5:$O$1004,"&lt;&gt;Expired"))</f>
        <v/>
      </c>
      <c r="R378" s="66" t="n"/>
      <c r="S378" s="64" t="n"/>
      <c r="T378" s="64" t="n"/>
      <c r="U378">
        <f>IF(AND(A378&lt;&gt;"",B378="Paused"),COUNTIFS($A$5:A378,"&lt;&gt;",$B$5:B378,"Paused"),"")</f>
        <v/>
      </c>
      <c r="V378">
        <f>IF(P378="Yes",COUNTIF($P$5:P378,"Yes"),"")</f>
        <v/>
      </c>
      <c r="W378">
        <f>IF(A378="","",COUNTIF($A$5:$A$1004,"&lt;"&amp;A378)+COUNTIF($A$5:A378,A378))</f>
        <v/>
      </c>
      <c r="X378">
        <f>","&amp;SUBSTITUTE(SUBSTITUTE(SUBSTITUTE(UPPER(C378)," ",""),";",","),"/",",")&amp;","</f>
        <v/>
      </c>
      <c r="Y378">
        <f>IF(AND(A378&lt;&gt;"",B378="Active",'State Search'!$C$5&lt;&gt;"",OR(X378=",ALL,",ISNUMBER(SEARCH(","&amp;'State Search'!$C$5&amp;",",X378)))),W378,"")</f>
        <v/>
      </c>
    </row>
    <row r="379">
      <c r="A379" s="64" t="n"/>
      <c r="B379" s="65" t="n"/>
      <c r="C379" s="64" t="n"/>
      <c r="D379" s="66" t="n"/>
      <c r="E379" s="66" t="n"/>
      <c r="F379" s="67" t="n"/>
      <c r="G379" s="67" t="n"/>
      <c r="H379" s="67" t="n"/>
      <c r="I379" s="67" t="n"/>
      <c r="J379" s="67" t="n"/>
      <c r="K379" s="67" t="n"/>
      <c r="L379" s="67" t="n"/>
      <c r="M379" s="67" t="n"/>
      <c r="N379" s="65" t="n"/>
      <c r="O379" s="84">
        <f>IF(A379="","",IF(E379="","No date",IF(TODAY()&gt;=EDATE(E379,Review_Months),"Review Due","Current")))</f>
        <v/>
      </c>
      <c r="P379" s="84">
        <f>IF(A379="","",IF(COUNTIFS('AFA Rates'!$A$5:$A$1004,A379,'AFA Rates'!$O$5:$O$1004,"&lt;&gt;Expired")&gt;0,"Yes",IF(COUNTIF('AFA Rates'!$A$5:$A$1004,A379)&gt;0,"Expired only","No")))</f>
        <v/>
      </c>
      <c r="Q379" s="84">
        <f>IF(A379="","",COUNTIFS('AFA Rates'!$A$5:$A$1004,A379,'AFA Rates'!$O$5:$O$1004,"&lt;&gt;Expired"))</f>
        <v/>
      </c>
      <c r="R379" s="66" t="n"/>
      <c r="S379" s="64" t="n"/>
      <c r="T379" s="64" t="n"/>
      <c r="U379">
        <f>IF(AND(A379&lt;&gt;"",B379="Paused"),COUNTIFS($A$5:A379,"&lt;&gt;",$B$5:B379,"Paused"),"")</f>
        <v/>
      </c>
      <c r="V379">
        <f>IF(P379="Yes",COUNTIF($P$5:P379,"Yes"),"")</f>
        <v/>
      </c>
      <c r="W379">
        <f>IF(A379="","",COUNTIF($A$5:$A$1004,"&lt;"&amp;A379)+COUNTIF($A$5:A379,A379))</f>
        <v/>
      </c>
      <c r="X379">
        <f>","&amp;SUBSTITUTE(SUBSTITUTE(SUBSTITUTE(UPPER(C379)," ",""),";",","),"/",",")&amp;","</f>
        <v/>
      </c>
      <c r="Y379">
        <f>IF(AND(A379&lt;&gt;"",B379="Active",'State Search'!$C$5&lt;&gt;"",OR(X379=",ALL,",ISNUMBER(SEARCH(","&amp;'State Search'!$C$5&amp;",",X379)))),W379,"")</f>
        <v/>
      </c>
    </row>
    <row r="380">
      <c r="A380" s="64" t="n"/>
      <c r="B380" s="65" t="n"/>
      <c r="C380" s="64" t="n"/>
      <c r="D380" s="66" t="n"/>
      <c r="E380" s="66" t="n"/>
      <c r="F380" s="67" t="n"/>
      <c r="G380" s="67" t="n"/>
      <c r="H380" s="67" t="n"/>
      <c r="I380" s="67" t="n"/>
      <c r="J380" s="67" t="n"/>
      <c r="K380" s="67" t="n"/>
      <c r="L380" s="67" t="n"/>
      <c r="M380" s="67" t="n"/>
      <c r="N380" s="65" t="n"/>
      <c r="O380" s="84">
        <f>IF(A380="","",IF(E380="","No date",IF(TODAY()&gt;=EDATE(E380,Review_Months),"Review Due","Current")))</f>
        <v/>
      </c>
      <c r="P380" s="84">
        <f>IF(A380="","",IF(COUNTIFS('AFA Rates'!$A$5:$A$1004,A380,'AFA Rates'!$O$5:$O$1004,"&lt;&gt;Expired")&gt;0,"Yes",IF(COUNTIF('AFA Rates'!$A$5:$A$1004,A380)&gt;0,"Expired only","No")))</f>
        <v/>
      </c>
      <c r="Q380" s="84">
        <f>IF(A380="","",COUNTIFS('AFA Rates'!$A$5:$A$1004,A380,'AFA Rates'!$O$5:$O$1004,"&lt;&gt;Expired"))</f>
        <v/>
      </c>
      <c r="R380" s="66" t="n"/>
      <c r="S380" s="64" t="n"/>
      <c r="T380" s="64" t="n"/>
      <c r="U380">
        <f>IF(AND(A380&lt;&gt;"",B380="Paused"),COUNTIFS($A$5:A380,"&lt;&gt;",$B$5:B380,"Paused"),"")</f>
        <v/>
      </c>
      <c r="V380">
        <f>IF(P380="Yes",COUNTIF($P$5:P380,"Yes"),"")</f>
        <v/>
      </c>
      <c r="W380">
        <f>IF(A380="","",COUNTIF($A$5:$A$1004,"&lt;"&amp;A380)+COUNTIF($A$5:A380,A380))</f>
        <v/>
      </c>
      <c r="X380">
        <f>","&amp;SUBSTITUTE(SUBSTITUTE(SUBSTITUTE(UPPER(C380)," ",""),";",","),"/",",")&amp;","</f>
        <v/>
      </c>
      <c r="Y380">
        <f>IF(AND(A380&lt;&gt;"",B380="Active",'State Search'!$C$5&lt;&gt;"",OR(X380=",ALL,",ISNUMBER(SEARCH(","&amp;'State Search'!$C$5&amp;",",X380)))),W380,"")</f>
        <v/>
      </c>
    </row>
    <row r="381">
      <c r="A381" s="64" t="n"/>
      <c r="B381" s="65" t="n"/>
      <c r="C381" s="64" t="n"/>
      <c r="D381" s="66" t="n"/>
      <c r="E381" s="66" t="n"/>
      <c r="F381" s="67" t="n"/>
      <c r="G381" s="67" t="n"/>
      <c r="H381" s="67" t="n"/>
      <c r="I381" s="67" t="n"/>
      <c r="J381" s="67" t="n"/>
      <c r="K381" s="67" t="n"/>
      <c r="L381" s="67" t="n"/>
      <c r="M381" s="67" t="n"/>
      <c r="N381" s="65" t="n"/>
      <c r="O381" s="84">
        <f>IF(A381="","",IF(E381="","No date",IF(TODAY()&gt;=EDATE(E381,Review_Months),"Review Due","Current")))</f>
        <v/>
      </c>
      <c r="P381" s="84">
        <f>IF(A381="","",IF(COUNTIFS('AFA Rates'!$A$5:$A$1004,A381,'AFA Rates'!$O$5:$O$1004,"&lt;&gt;Expired")&gt;0,"Yes",IF(COUNTIF('AFA Rates'!$A$5:$A$1004,A381)&gt;0,"Expired only","No")))</f>
        <v/>
      </c>
      <c r="Q381" s="84">
        <f>IF(A381="","",COUNTIFS('AFA Rates'!$A$5:$A$1004,A381,'AFA Rates'!$O$5:$O$1004,"&lt;&gt;Expired"))</f>
        <v/>
      </c>
      <c r="R381" s="66" t="n"/>
      <c r="S381" s="64" t="n"/>
      <c r="T381" s="64" t="n"/>
      <c r="U381">
        <f>IF(AND(A381&lt;&gt;"",B381="Paused"),COUNTIFS($A$5:A381,"&lt;&gt;",$B$5:B381,"Paused"),"")</f>
        <v/>
      </c>
      <c r="V381">
        <f>IF(P381="Yes",COUNTIF($P$5:P381,"Yes"),"")</f>
        <v/>
      </c>
      <c r="W381">
        <f>IF(A381="","",COUNTIF($A$5:$A$1004,"&lt;"&amp;A381)+COUNTIF($A$5:A381,A381))</f>
        <v/>
      </c>
      <c r="X381">
        <f>","&amp;SUBSTITUTE(SUBSTITUTE(SUBSTITUTE(UPPER(C381)," ",""),";",","),"/",",")&amp;","</f>
        <v/>
      </c>
      <c r="Y381">
        <f>IF(AND(A381&lt;&gt;"",B381="Active",'State Search'!$C$5&lt;&gt;"",OR(X381=",ALL,",ISNUMBER(SEARCH(","&amp;'State Search'!$C$5&amp;",",X381)))),W381,"")</f>
        <v/>
      </c>
    </row>
    <row r="382">
      <c r="A382" s="64" t="n"/>
      <c r="B382" s="65" t="n"/>
      <c r="C382" s="64" t="n"/>
      <c r="D382" s="66" t="n"/>
      <c r="E382" s="66" t="n"/>
      <c r="F382" s="67" t="n"/>
      <c r="G382" s="67" t="n"/>
      <c r="H382" s="67" t="n"/>
      <c r="I382" s="67" t="n"/>
      <c r="J382" s="67" t="n"/>
      <c r="K382" s="67" t="n"/>
      <c r="L382" s="67" t="n"/>
      <c r="M382" s="67" t="n"/>
      <c r="N382" s="65" t="n"/>
      <c r="O382" s="84">
        <f>IF(A382="","",IF(E382="","No date",IF(TODAY()&gt;=EDATE(E382,Review_Months),"Review Due","Current")))</f>
        <v/>
      </c>
      <c r="P382" s="84">
        <f>IF(A382="","",IF(COUNTIFS('AFA Rates'!$A$5:$A$1004,A382,'AFA Rates'!$O$5:$O$1004,"&lt;&gt;Expired")&gt;0,"Yes",IF(COUNTIF('AFA Rates'!$A$5:$A$1004,A382)&gt;0,"Expired only","No")))</f>
        <v/>
      </c>
      <c r="Q382" s="84">
        <f>IF(A382="","",COUNTIFS('AFA Rates'!$A$5:$A$1004,A382,'AFA Rates'!$O$5:$O$1004,"&lt;&gt;Expired"))</f>
        <v/>
      </c>
      <c r="R382" s="66" t="n"/>
      <c r="S382" s="64" t="n"/>
      <c r="T382" s="64" t="n"/>
      <c r="U382">
        <f>IF(AND(A382&lt;&gt;"",B382="Paused"),COUNTIFS($A$5:A382,"&lt;&gt;",$B$5:B382,"Paused"),"")</f>
        <v/>
      </c>
      <c r="V382">
        <f>IF(P382="Yes",COUNTIF($P$5:P382,"Yes"),"")</f>
        <v/>
      </c>
      <c r="W382">
        <f>IF(A382="","",COUNTIF($A$5:$A$1004,"&lt;"&amp;A382)+COUNTIF($A$5:A382,A382))</f>
        <v/>
      </c>
      <c r="X382">
        <f>","&amp;SUBSTITUTE(SUBSTITUTE(SUBSTITUTE(UPPER(C382)," ",""),";",","),"/",",")&amp;","</f>
        <v/>
      </c>
      <c r="Y382">
        <f>IF(AND(A382&lt;&gt;"",B382="Active",'State Search'!$C$5&lt;&gt;"",OR(X382=",ALL,",ISNUMBER(SEARCH(","&amp;'State Search'!$C$5&amp;",",X382)))),W382,"")</f>
        <v/>
      </c>
    </row>
    <row r="383">
      <c r="A383" s="64" t="n"/>
      <c r="B383" s="65" t="n"/>
      <c r="C383" s="64" t="n"/>
      <c r="D383" s="66" t="n"/>
      <c r="E383" s="66" t="n"/>
      <c r="F383" s="67" t="n"/>
      <c r="G383" s="67" t="n"/>
      <c r="H383" s="67" t="n"/>
      <c r="I383" s="67" t="n"/>
      <c r="J383" s="67" t="n"/>
      <c r="K383" s="67" t="n"/>
      <c r="L383" s="67" t="n"/>
      <c r="M383" s="67" t="n"/>
      <c r="N383" s="65" t="n"/>
      <c r="O383" s="84">
        <f>IF(A383="","",IF(E383="","No date",IF(TODAY()&gt;=EDATE(E383,Review_Months),"Review Due","Current")))</f>
        <v/>
      </c>
      <c r="P383" s="84">
        <f>IF(A383="","",IF(COUNTIFS('AFA Rates'!$A$5:$A$1004,A383,'AFA Rates'!$O$5:$O$1004,"&lt;&gt;Expired")&gt;0,"Yes",IF(COUNTIF('AFA Rates'!$A$5:$A$1004,A383)&gt;0,"Expired only","No")))</f>
        <v/>
      </c>
      <c r="Q383" s="84">
        <f>IF(A383="","",COUNTIFS('AFA Rates'!$A$5:$A$1004,A383,'AFA Rates'!$O$5:$O$1004,"&lt;&gt;Expired"))</f>
        <v/>
      </c>
      <c r="R383" s="66" t="n"/>
      <c r="S383" s="64" t="n"/>
      <c r="T383" s="64" t="n"/>
      <c r="U383">
        <f>IF(AND(A383&lt;&gt;"",B383="Paused"),COUNTIFS($A$5:A383,"&lt;&gt;",$B$5:B383,"Paused"),"")</f>
        <v/>
      </c>
      <c r="V383">
        <f>IF(P383="Yes",COUNTIF($P$5:P383,"Yes"),"")</f>
        <v/>
      </c>
      <c r="W383">
        <f>IF(A383="","",COUNTIF($A$5:$A$1004,"&lt;"&amp;A383)+COUNTIF($A$5:A383,A383))</f>
        <v/>
      </c>
      <c r="X383">
        <f>","&amp;SUBSTITUTE(SUBSTITUTE(SUBSTITUTE(UPPER(C383)," ",""),";",","),"/",",")&amp;","</f>
        <v/>
      </c>
      <c r="Y383">
        <f>IF(AND(A383&lt;&gt;"",B383="Active",'State Search'!$C$5&lt;&gt;"",OR(X383=",ALL,",ISNUMBER(SEARCH(","&amp;'State Search'!$C$5&amp;",",X383)))),W383,"")</f>
        <v/>
      </c>
    </row>
    <row r="384">
      <c r="A384" s="64" t="n"/>
      <c r="B384" s="65" t="n"/>
      <c r="C384" s="64" t="n"/>
      <c r="D384" s="66" t="n"/>
      <c r="E384" s="66" t="n"/>
      <c r="F384" s="67" t="n"/>
      <c r="G384" s="67" t="n"/>
      <c r="H384" s="67" t="n"/>
      <c r="I384" s="67" t="n"/>
      <c r="J384" s="67" t="n"/>
      <c r="K384" s="67" t="n"/>
      <c r="L384" s="67" t="n"/>
      <c r="M384" s="67" t="n"/>
      <c r="N384" s="65" t="n"/>
      <c r="O384" s="84">
        <f>IF(A384="","",IF(E384="","No date",IF(TODAY()&gt;=EDATE(E384,Review_Months),"Review Due","Current")))</f>
        <v/>
      </c>
      <c r="P384" s="84">
        <f>IF(A384="","",IF(COUNTIFS('AFA Rates'!$A$5:$A$1004,A384,'AFA Rates'!$O$5:$O$1004,"&lt;&gt;Expired")&gt;0,"Yes",IF(COUNTIF('AFA Rates'!$A$5:$A$1004,A384)&gt;0,"Expired only","No")))</f>
        <v/>
      </c>
      <c r="Q384" s="84">
        <f>IF(A384="","",COUNTIFS('AFA Rates'!$A$5:$A$1004,A384,'AFA Rates'!$O$5:$O$1004,"&lt;&gt;Expired"))</f>
        <v/>
      </c>
      <c r="R384" s="66" t="n"/>
      <c r="S384" s="64" t="n"/>
      <c r="T384" s="64" t="n"/>
      <c r="U384">
        <f>IF(AND(A384&lt;&gt;"",B384="Paused"),COUNTIFS($A$5:A384,"&lt;&gt;",$B$5:B384,"Paused"),"")</f>
        <v/>
      </c>
      <c r="V384">
        <f>IF(P384="Yes",COUNTIF($P$5:P384,"Yes"),"")</f>
        <v/>
      </c>
      <c r="W384">
        <f>IF(A384="","",COUNTIF($A$5:$A$1004,"&lt;"&amp;A384)+COUNTIF($A$5:A384,A384))</f>
        <v/>
      </c>
      <c r="X384">
        <f>","&amp;SUBSTITUTE(SUBSTITUTE(SUBSTITUTE(UPPER(C384)," ",""),";",","),"/",",")&amp;","</f>
        <v/>
      </c>
      <c r="Y384">
        <f>IF(AND(A384&lt;&gt;"",B384="Active",'State Search'!$C$5&lt;&gt;"",OR(X384=",ALL,",ISNUMBER(SEARCH(","&amp;'State Search'!$C$5&amp;",",X384)))),W384,"")</f>
        <v/>
      </c>
    </row>
    <row r="385">
      <c r="A385" s="64" t="n"/>
      <c r="B385" s="65" t="n"/>
      <c r="C385" s="64" t="n"/>
      <c r="D385" s="66" t="n"/>
      <c r="E385" s="66" t="n"/>
      <c r="F385" s="67" t="n"/>
      <c r="G385" s="67" t="n"/>
      <c r="H385" s="67" t="n"/>
      <c r="I385" s="67" t="n"/>
      <c r="J385" s="67" t="n"/>
      <c r="K385" s="67" t="n"/>
      <c r="L385" s="67" t="n"/>
      <c r="M385" s="67" t="n"/>
      <c r="N385" s="65" t="n"/>
      <c r="O385" s="84">
        <f>IF(A385="","",IF(E385="","No date",IF(TODAY()&gt;=EDATE(E385,Review_Months),"Review Due","Current")))</f>
        <v/>
      </c>
      <c r="P385" s="84">
        <f>IF(A385="","",IF(COUNTIFS('AFA Rates'!$A$5:$A$1004,A385,'AFA Rates'!$O$5:$O$1004,"&lt;&gt;Expired")&gt;0,"Yes",IF(COUNTIF('AFA Rates'!$A$5:$A$1004,A385)&gt;0,"Expired only","No")))</f>
        <v/>
      </c>
      <c r="Q385" s="84">
        <f>IF(A385="","",COUNTIFS('AFA Rates'!$A$5:$A$1004,A385,'AFA Rates'!$O$5:$O$1004,"&lt;&gt;Expired"))</f>
        <v/>
      </c>
      <c r="R385" s="66" t="n"/>
      <c r="S385" s="64" t="n"/>
      <c r="T385" s="64" t="n"/>
      <c r="U385">
        <f>IF(AND(A385&lt;&gt;"",B385="Paused"),COUNTIFS($A$5:A385,"&lt;&gt;",$B$5:B385,"Paused"),"")</f>
        <v/>
      </c>
      <c r="V385">
        <f>IF(P385="Yes",COUNTIF($P$5:P385,"Yes"),"")</f>
        <v/>
      </c>
      <c r="W385">
        <f>IF(A385="","",COUNTIF($A$5:$A$1004,"&lt;"&amp;A385)+COUNTIF($A$5:A385,A385))</f>
        <v/>
      </c>
      <c r="X385">
        <f>","&amp;SUBSTITUTE(SUBSTITUTE(SUBSTITUTE(UPPER(C385)," ",""),";",","),"/",",")&amp;","</f>
        <v/>
      </c>
      <c r="Y385">
        <f>IF(AND(A385&lt;&gt;"",B385="Active",'State Search'!$C$5&lt;&gt;"",OR(X385=",ALL,",ISNUMBER(SEARCH(","&amp;'State Search'!$C$5&amp;",",X385)))),W385,"")</f>
        <v/>
      </c>
    </row>
    <row r="386">
      <c r="A386" s="64" t="n"/>
      <c r="B386" s="65" t="n"/>
      <c r="C386" s="64" t="n"/>
      <c r="D386" s="66" t="n"/>
      <c r="E386" s="66" t="n"/>
      <c r="F386" s="67" t="n"/>
      <c r="G386" s="67" t="n"/>
      <c r="H386" s="67" t="n"/>
      <c r="I386" s="67" t="n"/>
      <c r="J386" s="67" t="n"/>
      <c r="K386" s="67" t="n"/>
      <c r="L386" s="67" t="n"/>
      <c r="M386" s="67" t="n"/>
      <c r="N386" s="65" t="n"/>
      <c r="O386" s="84">
        <f>IF(A386="","",IF(E386="","No date",IF(TODAY()&gt;=EDATE(E386,Review_Months),"Review Due","Current")))</f>
        <v/>
      </c>
      <c r="P386" s="84">
        <f>IF(A386="","",IF(COUNTIFS('AFA Rates'!$A$5:$A$1004,A386,'AFA Rates'!$O$5:$O$1004,"&lt;&gt;Expired")&gt;0,"Yes",IF(COUNTIF('AFA Rates'!$A$5:$A$1004,A386)&gt;0,"Expired only","No")))</f>
        <v/>
      </c>
      <c r="Q386" s="84">
        <f>IF(A386="","",COUNTIFS('AFA Rates'!$A$5:$A$1004,A386,'AFA Rates'!$O$5:$O$1004,"&lt;&gt;Expired"))</f>
        <v/>
      </c>
      <c r="R386" s="66" t="n"/>
      <c r="S386" s="64" t="n"/>
      <c r="T386" s="64" t="n"/>
      <c r="U386">
        <f>IF(AND(A386&lt;&gt;"",B386="Paused"),COUNTIFS($A$5:A386,"&lt;&gt;",$B$5:B386,"Paused"),"")</f>
        <v/>
      </c>
      <c r="V386">
        <f>IF(P386="Yes",COUNTIF($P$5:P386,"Yes"),"")</f>
        <v/>
      </c>
      <c r="W386">
        <f>IF(A386="","",COUNTIF($A$5:$A$1004,"&lt;"&amp;A386)+COUNTIF($A$5:A386,A386))</f>
        <v/>
      </c>
      <c r="X386">
        <f>","&amp;SUBSTITUTE(SUBSTITUTE(SUBSTITUTE(UPPER(C386)," ",""),";",","),"/",",")&amp;","</f>
        <v/>
      </c>
      <c r="Y386">
        <f>IF(AND(A386&lt;&gt;"",B386="Active",'State Search'!$C$5&lt;&gt;"",OR(X386=",ALL,",ISNUMBER(SEARCH(","&amp;'State Search'!$C$5&amp;",",X386)))),W386,"")</f>
        <v/>
      </c>
    </row>
    <row r="387">
      <c r="A387" s="64" t="n"/>
      <c r="B387" s="65" t="n"/>
      <c r="C387" s="64" t="n"/>
      <c r="D387" s="66" t="n"/>
      <c r="E387" s="66" t="n"/>
      <c r="F387" s="67" t="n"/>
      <c r="G387" s="67" t="n"/>
      <c r="H387" s="67" t="n"/>
      <c r="I387" s="67" t="n"/>
      <c r="J387" s="67" t="n"/>
      <c r="K387" s="67" t="n"/>
      <c r="L387" s="67" t="n"/>
      <c r="M387" s="67" t="n"/>
      <c r="N387" s="65" t="n"/>
      <c r="O387" s="84">
        <f>IF(A387="","",IF(E387="","No date",IF(TODAY()&gt;=EDATE(E387,Review_Months),"Review Due","Current")))</f>
        <v/>
      </c>
      <c r="P387" s="84">
        <f>IF(A387="","",IF(COUNTIFS('AFA Rates'!$A$5:$A$1004,A387,'AFA Rates'!$O$5:$O$1004,"&lt;&gt;Expired")&gt;0,"Yes",IF(COUNTIF('AFA Rates'!$A$5:$A$1004,A387)&gt;0,"Expired only","No")))</f>
        <v/>
      </c>
      <c r="Q387" s="84">
        <f>IF(A387="","",COUNTIFS('AFA Rates'!$A$5:$A$1004,A387,'AFA Rates'!$O$5:$O$1004,"&lt;&gt;Expired"))</f>
        <v/>
      </c>
      <c r="R387" s="66" t="n"/>
      <c r="S387" s="64" t="n"/>
      <c r="T387" s="64" t="n"/>
      <c r="U387">
        <f>IF(AND(A387&lt;&gt;"",B387="Paused"),COUNTIFS($A$5:A387,"&lt;&gt;",$B$5:B387,"Paused"),"")</f>
        <v/>
      </c>
      <c r="V387">
        <f>IF(P387="Yes",COUNTIF($P$5:P387,"Yes"),"")</f>
        <v/>
      </c>
      <c r="W387">
        <f>IF(A387="","",COUNTIF($A$5:$A$1004,"&lt;"&amp;A387)+COUNTIF($A$5:A387,A387))</f>
        <v/>
      </c>
      <c r="X387">
        <f>","&amp;SUBSTITUTE(SUBSTITUTE(SUBSTITUTE(UPPER(C387)," ",""),";",","),"/",",")&amp;","</f>
        <v/>
      </c>
      <c r="Y387">
        <f>IF(AND(A387&lt;&gt;"",B387="Active",'State Search'!$C$5&lt;&gt;"",OR(X387=",ALL,",ISNUMBER(SEARCH(","&amp;'State Search'!$C$5&amp;",",X387)))),W387,"")</f>
        <v/>
      </c>
    </row>
    <row r="388">
      <c r="A388" s="64" t="n"/>
      <c r="B388" s="65" t="n"/>
      <c r="C388" s="64" t="n"/>
      <c r="D388" s="66" t="n"/>
      <c r="E388" s="66" t="n"/>
      <c r="F388" s="67" t="n"/>
      <c r="G388" s="67" t="n"/>
      <c r="H388" s="67" t="n"/>
      <c r="I388" s="67" t="n"/>
      <c r="J388" s="67" t="n"/>
      <c r="K388" s="67" t="n"/>
      <c r="L388" s="67" t="n"/>
      <c r="M388" s="67" t="n"/>
      <c r="N388" s="65" t="n"/>
      <c r="O388" s="84">
        <f>IF(A388="","",IF(E388="","No date",IF(TODAY()&gt;=EDATE(E388,Review_Months),"Review Due","Current")))</f>
        <v/>
      </c>
      <c r="P388" s="84">
        <f>IF(A388="","",IF(COUNTIFS('AFA Rates'!$A$5:$A$1004,A388,'AFA Rates'!$O$5:$O$1004,"&lt;&gt;Expired")&gt;0,"Yes",IF(COUNTIF('AFA Rates'!$A$5:$A$1004,A388)&gt;0,"Expired only","No")))</f>
        <v/>
      </c>
      <c r="Q388" s="84">
        <f>IF(A388="","",COUNTIFS('AFA Rates'!$A$5:$A$1004,A388,'AFA Rates'!$O$5:$O$1004,"&lt;&gt;Expired"))</f>
        <v/>
      </c>
      <c r="R388" s="66" t="n"/>
      <c r="S388" s="64" t="n"/>
      <c r="T388" s="64" t="n"/>
      <c r="U388">
        <f>IF(AND(A388&lt;&gt;"",B388="Paused"),COUNTIFS($A$5:A388,"&lt;&gt;",$B$5:B388,"Paused"),"")</f>
        <v/>
      </c>
      <c r="V388">
        <f>IF(P388="Yes",COUNTIF($P$5:P388,"Yes"),"")</f>
        <v/>
      </c>
      <c r="W388">
        <f>IF(A388="","",COUNTIF($A$5:$A$1004,"&lt;"&amp;A388)+COUNTIF($A$5:A388,A388))</f>
        <v/>
      </c>
      <c r="X388">
        <f>","&amp;SUBSTITUTE(SUBSTITUTE(SUBSTITUTE(UPPER(C388)," ",""),";",","),"/",",")&amp;","</f>
        <v/>
      </c>
      <c r="Y388">
        <f>IF(AND(A388&lt;&gt;"",B388="Active",'State Search'!$C$5&lt;&gt;"",OR(X388=",ALL,",ISNUMBER(SEARCH(","&amp;'State Search'!$C$5&amp;",",X388)))),W388,"")</f>
        <v/>
      </c>
    </row>
    <row r="389">
      <c r="A389" s="64" t="n"/>
      <c r="B389" s="65" t="n"/>
      <c r="C389" s="64" t="n"/>
      <c r="D389" s="66" t="n"/>
      <c r="E389" s="66" t="n"/>
      <c r="F389" s="67" t="n"/>
      <c r="G389" s="67" t="n"/>
      <c r="H389" s="67" t="n"/>
      <c r="I389" s="67" t="n"/>
      <c r="J389" s="67" t="n"/>
      <c r="K389" s="67" t="n"/>
      <c r="L389" s="67" t="n"/>
      <c r="M389" s="67" t="n"/>
      <c r="N389" s="65" t="n"/>
      <c r="O389" s="84">
        <f>IF(A389="","",IF(E389="","No date",IF(TODAY()&gt;=EDATE(E389,Review_Months),"Review Due","Current")))</f>
        <v/>
      </c>
      <c r="P389" s="84">
        <f>IF(A389="","",IF(COUNTIFS('AFA Rates'!$A$5:$A$1004,A389,'AFA Rates'!$O$5:$O$1004,"&lt;&gt;Expired")&gt;0,"Yes",IF(COUNTIF('AFA Rates'!$A$5:$A$1004,A389)&gt;0,"Expired only","No")))</f>
        <v/>
      </c>
      <c r="Q389" s="84">
        <f>IF(A389="","",COUNTIFS('AFA Rates'!$A$5:$A$1004,A389,'AFA Rates'!$O$5:$O$1004,"&lt;&gt;Expired"))</f>
        <v/>
      </c>
      <c r="R389" s="66" t="n"/>
      <c r="S389" s="64" t="n"/>
      <c r="T389" s="64" t="n"/>
      <c r="U389">
        <f>IF(AND(A389&lt;&gt;"",B389="Paused"),COUNTIFS($A$5:A389,"&lt;&gt;",$B$5:B389,"Paused"),"")</f>
        <v/>
      </c>
      <c r="V389">
        <f>IF(P389="Yes",COUNTIF($P$5:P389,"Yes"),"")</f>
        <v/>
      </c>
      <c r="W389">
        <f>IF(A389="","",COUNTIF($A$5:$A$1004,"&lt;"&amp;A389)+COUNTIF($A$5:A389,A389))</f>
        <v/>
      </c>
      <c r="X389">
        <f>","&amp;SUBSTITUTE(SUBSTITUTE(SUBSTITUTE(UPPER(C389)," ",""),";",","),"/",",")&amp;","</f>
        <v/>
      </c>
      <c r="Y389">
        <f>IF(AND(A389&lt;&gt;"",B389="Active",'State Search'!$C$5&lt;&gt;"",OR(X389=",ALL,",ISNUMBER(SEARCH(","&amp;'State Search'!$C$5&amp;",",X389)))),W389,"")</f>
        <v/>
      </c>
    </row>
    <row r="390">
      <c r="A390" s="64" t="n"/>
      <c r="B390" s="65" t="n"/>
      <c r="C390" s="64" t="n"/>
      <c r="D390" s="66" t="n"/>
      <c r="E390" s="66" t="n"/>
      <c r="F390" s="67" t="n"/>
      <c r="G390" s="67" t="n"/>
      <c r="H390" s="67" t="n"/>
      <c r="I390" s="67" t="n"/>
      <c r="J390" s="67" t="n"/>
      <c r="K390" s="67" t="n"/>
      <c r="L390" s="67" t="n"/>
      <c r="M390" s="67" t="n"/>
      <c r="N390" s="65" t="n"/>
      <c r="O390" s="84">
        <f>IF(A390="","",IF(E390="","No date",IF(TODAY()&gt;=EDATE(E390,Review_Months),"Review Due","Current")))</f>
        <v/>
      </c>
      <c r="P390" s="84">
        <f>IF(A390="","",IF(COUNTIFS('AFA Rates'!$A$5:$A$1004,A390,'AFA Rates'!$O$5:$O$1004,"&lt;&gt;Expired")&gt;0,"Yes",IF(COUNTIF('AFA Rates'!$A$5:$A$1004,A390)&gt;0,"Expired only","No")))</f>
        <v/>
      </c>
      <c r="Q390" s="84">
        <f>IF(A390="","",COUNTIFS('AFA Rates'!$A$5:$A$1004,A390,'AFA Rates'!$O$5:$O$1004,"&lt;&gt;Expired"))</f>
        <v/>
      </c>
      <c r="R390" s="66" t="n"/>
      <c r="S390" s="64" t="n"/>
      <c r="T390" s="64" t="n"/>
      <c r="U390">
        <f>IF(AND(A390&lt;&gt;"",B390="Paused"),COUNTIFS($A$5:A390,"&lt;&gt;",$B$5:B390,"Paused"),"")</f>
        <v/>
      </c>
      <c r="V390">
        <f>IF(P390="Yes",COUNTIF($P$5:P390,"Yes"),"")</f>
        <v/>
      </c>
      <c r="W390">
        <f>IF(A390="","",COUNTIF($A$5:$A$1004,"&lt;"&amp;A390)+COUNTIF($A$5:A390,A390))</f>
        <v/>
      </c>
      <c r="X390">
        <f>","&amp;SUBSTITUTE(SUBSTITUTE(SUBSTITUTE(UPPER(C390)," ",""),";",","),"/",",")&amp;","</f>
        <v/>
      </c>
      <c r="Y390">
        <f>IF(AND(A390&lt;&gt;"",B390="Active",'State Search'!$C$5&lt;&gt;"",OR(X390=",ALL,",ISNUMBER(SEARCH(","&amp;'State Search'!$C$5&amp;",",X390)))),W390,"")</f>
        <v/>
      </c>
    </row>
    <row r="391">
      <c r="A391" s="64" t="n"/>
      <c r="B391" s="65" t="n"/>
      <c r="C391" s="64" t="n"/>
      <c r="D391" s="66" t="n"/>
      <c r="E391" s="66" t="n"/>
      <c r="F391" s="67" t="n"/>
      <c r="G391" s="67" t="n"/>
      <c r="H391" s="67" t="n"/>
      <c r="I391" s="67" t="n"/>
      <c r="J391" s="67" t="n"/>
      <c r="K391" s="67" t="n"/>
      <c r="L391" s="67" t="n"/>
      <c r="M391" s="67" t="n"/>
      <c r="N391" s="65" t="n"/>
      <c r="O391" s="84">
        <f>IF(A391="","",IF(E391="","No date",IF(TODAY()&gt;=EDATE(E391,Review_Months),"Review Due","Current")))</f>
        <v/>
      </c>
      <c r="P391" s="84">
        <f>IF(A391="","",IF(COUNTIFS('AFA Rates'!$A$5:$A$1004,A391,'AFA Rates'!$O$5:$O$1004,"&lt;&gt;Expired")&gt;0,"Yes",IF(COUNTIF('AFA Rates'!$A$5:$A$1004,A391)&gt;0,"Expired only","No")))</f>
        <v/>
      </c>
      <c r="Q391" s="84">
        <f>IF(A391="","",COUNTIFS('AFA Rates'!$A$5:$A$1004,A391,'AFA Rates'!$O$5:$O$1004,"&lt;&gt;Expired"))</f>
        <v/>
      </c>
      <c r="R391" s="66" t="n"/>
      <c r="S391" s="64" t="n"/>
      <c r="T391" s="64" t="n"/>
      <c r="U391">
        <f>IF(AND(A391&lt;&gt;"",B391="Paused"),COUNTIFS($A$5:A391,"&lt;&gt;",$B$5:B391,"Paused"),"")</f>
        <v/>
      </c>
      <c r="V391">
        <f>IF(P391="Yes",COUNTIF($P$5:P391,"Yes"),"")</f>
        <v/>
      </c>
      <c r="W391">
        <f>IF(A391="","",COUNTIF($A$5:$A$1004,"&lt;"&amp;A391)+COUNTIF($A$5:A391,A391))</f>
        <v/>
      </c>
      <c r="X391">
        <f>","&amp;SUBSTITUTE(SUBSTITUTE(SUBSTITUTE(UPPER(C391)," ",""),";",","),"/",",")&amp;","</f>
        <v/>
      </c>
      <c r="Y391">
        <f>IF(AND(A391&lt;&gt;"",B391="Active",'State Search'!$C$5&lt;&gt;"",OR(X391=",ALL,",ISNUMBER(SEARCH(","&amp;'State Search'!$C$5&amp;",",X391)))),W391,"")</f>
        <v/>
      </c>
    </row>
    <row r="392">
      <c r="A392" s="64" t="n"/>
      <c r="B392" s="65" t="n"/>
      <c r="C392" s="64" t="n"/>
      <c r="D392" s="66" t="n"/>
      <c r="E392" s="66" t="n"/>
      <c r="F392" s="67" t="n"/>
      <c r="G392" s="67" t="n"/>
      <c r="H392" s="67" t="n"/>
      <c r="I392" s="67" t="n"/>
      <c r="J392" s="67" t="n"/>
      <c r="K392" s="67" t="n"/>
      <c r="L392" s="67" t="n"/>
      <c r="M392" s="67" t="n"/>
      <c r="N392" s="65" t="n"/>
      <c r="O392" s="84">
        <f>IF(A392="","",IF(E392="","No date",IF(TODAY()&gt;=EDATE(E392,Review_Months),"Review Due","Current")))</f>
        <v/>
      </c>
      <c r="P392" s="84">
        <f>IF(A392="","",IF(COUNTIFS('AFA Rates'!$A$5:$A$1004,A392,'AFA Rates'!$O$5:$O$1004,"&lt;&gt;Expired")&gt;0,"Yes",IF(COUNTIF('AFA Rates'!$A$5:$A$1004,A392)&gt;0,"Expired only","No")))</f>
        <v/>
      </c>
      <c r="Q392" s="84">
        <f>IF(A392="","",COUNTIFS('AFA Rates'!$A$5:$A$1004,A392,'AFA Rates'!$O$5:$O$1004,"&lt;&gt;Expired"))</f>
        <v/>
      </c>
      <c r="R392" s="66" t="n"/>
      <c r="S392" s="64" t="n"/>
      <c r="T392" s="64" t="n"/>
      <c r="U392">
        <f>IF(AND(A392&lt;&gt;"",B392="Paused"),COUNTIFS($A$5:A392,"&lt;&gt;",$B$5:B392,"Paused"),"")</f>
        <v/>
      </c>
      <c r="V392">
        <f>IF(P392="Yes",COUNTIF($P$5:P392,"Yes"),"")</f>
        <v/>
      </c>
      <c r="W392">
        <f>IF(A392="","",COUNTIF($A$5:$A$1004,"&lt;"&amp;A392)+COUNTIF($A$5:A392,A392))</f>
        <v/>
      </c>
      <c r="X392">
        <f>","&amp;SUBSTITUTE(SUBSTITUTE(SUBSTITUTE(UPPER(C392)," ",""),";",","),"/",",")&amp;","</f>
        <v/>
      </c>
      <c r="Y392">
        <f>IF(AND(A392&lt;&gt;"",B392="Active",'State Search'!$C$5&lt;&gt;"",OR(X392=",ALL,",ISNUMBER(SEARCH(","&amp;'State Search'!$C$5&amp;",",X392)))),W392,"")</f>
        <v/>
      </c>
    </row>
    <row r="393">
      <c r="A393" s="64" t="n"/>
      <c r="B393" s="65" t="n"/>
      <c r="C393" s="64" t="n"/>
      <c r="D393" s="66" t="n"/>
      <c r="E393" s="66" t="n"/>
      <c r="F393" s="67" t="n"/>
      <c r="G393" s="67" t="n"/>
      <c r="H393" s="67" t="n"/>
      <c r="I393" s="67" t="n"/>
      <c r="J393" s="67" t="n"/>
      <c r="K393" s="67" t="n"/>
      <c r="L393" s="67" t="n"/>
      <c r="M393" s="67" t="n"/>
      <c r="N393" s="65" t="n"/>
      <c r="O393" s="84">
        <f>IF(A393="","",IF(E393="","No date",IF(TODAY()&gt;=EDATE(E393,Review_Months),"Review Due","Current")))</f>
        <v/>
      </c>
      <c r="P393" s="84">
        <f>IF(A393="","",IF(COUNTIFS('AFA Rates'!$A$5:$A$1004,A393,'AFA Rates'!$O$5:$O$1004,"&lt;&gt;Expired")&gt;0,"Yes",IF(COUNTIF('AFA Rates'!$A$5:$A$1004,A393)&gt;0,"Expired only","No")))</f>
        <v/>
      </c>
      <c r="Q393" s="84">
        <f>IF(A393="","",COUNTIFS('AFA Rates'!$A$5:$A$1004,A393,'AFA Rates'!$O$5:$O$1004,"&lt;&gt;Expired"))</f>
        <v/>
      </c>
      <c r="R393" s="66" t="n"/>
      <c r="S393" s="64" t="n"/>
      <c r="T393" s="64" t="n"/>
      <c r="U393">
        <f>IF(AND(A393&lt;&gt;"",B393="Paused"),COUNTIFS($A$5:A393,"&lt;&gt;",$B$5:B393,"Paused"),"")</f>
        <v/>
      </c>
      <c r="V393">
        <f>IF(P393="Yes",COUNTIF($P$5:P393,"Yes"),"")</f>
        <v/>
      </c>
      <c r="W393">
        <f>IF(A393="","",COUNTIF($A$5:$A$1004,"&lt;"&amp;A393)+COUNTIF($A$5:A393,A393))</f>
        <v/>
      </c>
      <c r="X393">
        <f>","&amp;SUBSTITUTE(SUBSTITUTE(SUBSTITUTE(UPPER(C393)," ",""),";",","),"/",",")&amp;","</f>
        <v/>
      </c>
      <c r="Y393">
        <f>IF(AND(A393&lt;&gt;"",B393="Active",'State Search'!$C$5&lt;&gt;"",OR(X393=",ALL,",ISNUMBER(SEARCH(","&amp;'State Search'!$C$5&amp;",",X393)))),W393,"")</f>
        <v/>
      </c>
    </row>
    <row r="394">
      <c r="A394" s="64" t="n"/>
      <c r="B394" s="65" t="n"/>
      <c r="C394" s="64" t="n"/>
      <c r="D394" s="66" t="n"/>
      <c r="E394" s="66" t="n"/>
      <c r="F394" s="67" t="n"/>
      <c r="G394" s="67" t="n"/>
      <c r="H394" s="67" t="n"/>
      <c r="I394" s="67" t="n"/>
      <c r="J394" s="67" t="n"/>
      <c r="K394" s="67" t="n"/>
      <c r="L394" s="67" t="n"/>
      <c r="M394" s="67" t="n"/>
      <c r="N394" s="65" t="n"/>
      <c r="O394" s="84">
        <f>IF(A394="","",IF(E394="","No date",IF(TODAY()&gt;=EDATE(E394,Review_Months),"Review Due","Current")))</f>
        <v/>
      </c>
      <c r="P394" s="84">
        <f>IF(A394="","",IF(COUNTIFS('AFA Rates'!$A$5:$A$1004,A394,'AFA Rates'!$O$5:$O$1004,"&lt;&gt;Expired")&gt;0,"Yes",IF(COUNTIF('AFA Rates'!$A$5:$A$1004,A394)&gt;0,"Expired only","No")))</f>
        <v/>
      </c>
      <c r="Q394" s="84">
        <f>IF(A394="","",COUNTIFS('AFA Rates'!$A$5:$A$1004,A394,'AFA Rates'!$O$5:$O$1004,"&lt;&gt;Expired"))</f>
        <v/>
      </c>
      <c r="R394" s="66" t="n"/>
      <c r="S394" s="64" t="n"/>
      <c r="T394" s="64" t="n"/>
      <c r="U394">
        <f>IF(AND(A394&lt;&gt;"",B394="Paused"),COUNTIFS($A$5:A394,"&lt;&gt;",$B$5:B394,"Paused"),"")</f>
        <v/>
      </c>
      <c r="V394">
        <f>IF(P394="Yes",COUNTIF($P$5:P394,"Yes"),"")</f>
        <v/>
      </c>
      <c r="W394">
        <f>IF(A394="","",COUNTIF($A$5:$A$1004,"&lt;"&amp;A394)+COUNTIF($A$5:A394,A394))</f>
        <v/>
      </c>
      <c r="X394">
        <f>","&amp;SUBSTITUTE(SUBSTITUTE(SUBSTITUTE(UPPER(C394)," ",""),";",","),"/",",")&amp;","</f>
        <v/>
      </c>
      <c r="Y394">
        <f>IF(AND(A394&lt;&gt;"",B394="Active",'State Search'!$C$5&lt;&gt;"",OR(X394=",ALL,",ISNUMBER(SEARCH(","&amp;'State Search'!$C$5&amp;",",X394)))),W394,"")</f>
        <v/>
      </c>
    </row>
    <row r="395">
      <c r="A395" s="64" t="n"/>
      <c r="B395" s="65" t="n"/>
      <c r="C395" s="64" t="n"/>
      <c r="D395" s="66" t="n"/>
      <c r="E395" s="66" t="n"/>
      <c r="F395" s="67" t="n"/>
      <c r="G395" s="67" t="n"/>
      <c r="H395" s="67" t="n"/>
      <c r="I395" s="67" t="n"/>
      <c r="J395" s="67" t="n"/>
      <c r="K395" s="67" t="n"/>
      <c r="L395" s="67" t="n"/>
      <c r="M395" s="67" t="n"/>
      <c r="N395" s="65" t="n"/>
      <c r="O395" s="84">
        <f>IF(A395="","",IF(E395="","No date",IF(TODAY()&gt;=EDATE(E395,Review_Months),"Review Due","Current")))</f>
        <v/>
      </c>
      <c r="P395" s="84">
        <f>IF(A395="","",IF(COUNTIFS('AFA Rates'!$A$5:$A$1004,A395,'AFA Rates'!$O$5:$O$1004,"&lt;&gt;Expired")&gt;0,"Yes",IF(COUNTIF('AFA Rates'!$A$5:$A$1004,A395)&gt;0,"Expired only","No")))</f>
        <v/>
      </c>
      <c r="Q395" s="84">
        <f>IF(A395="","",COUNTIFS('AFA Rates'!$A$5:$A$1004,A395,'AFA Rates'!$O$5:$O$1004,"&lt;&gt;Expired"))</f>
        <v/>
      </c>
      <c r="R395" s="66" t="n"/>
      <c r="S395" s="64" t="n"/>
      <c r="T395" s="64" t="n"/>
      <c r="U395">
        <f>IF(AND(A395&lt;&gt;"",B395="Paused"),COUNTIFS($A$5:A395,"&lt;&gt;",$B$5:B395,"Paused"),"")</f>
        <v/>
      </c>
      <c r="V395">
        <f>IF(P395="Yes",COUNTIF($P$5:P395,"Yes"),"")</f>
        <v/>
      </c>
      <c r="W395">
        <f>IF(A395="","",COUNTIF($A$5:$A$1004,"&lt;"&amp;A395)+COUNTIF($A$5:A395,A395))</f>
        <v/>
      </c>
      <c r="X395">
        <f>","&amp;SUBSTITUTE(SUBSTITUTE(SUBSTITUTE(UPPER(C395)," ",""),";",","),"/",",")&amp;","</f>
        <v/>
      </c>
      <c r="Y395">
        <f>IF(AND(A395&lt;&gt;"",B395="Active",'State Search'!$C$5&lt;&gt;"",OR(X395=",ALL,",ISNUMBER(SEARCH(","&amp;'State Search'!$C$5&amp;",",X395)))),W395,"")</f>
        <v/>
      </c>
    </row>
    <row r="396">
      <c r="A396" s="64" t="n"/>
      <c r="B396" s="65" t="n"/>
      <c r="C396" s="64" t="n"/>
      <c r="D396" s="66" t="n"/>
      <c r="E396" s="66" t="n"/>
      <c r="F396" s="67" t="n"/>
      <c r="G396" s="67" t="n"/>
      <c r="H396" s="67" t="n"/>
      <c r="I396" s="67" t="n"/>
      <c r="J396" s="67" t="n"/>
      <c r="K396" s="67" t="n"/>
      <c r="L396" s="67" t="n"/>
      <c r="M396" s="67" t="n"/>
      <c r="N396" s="65" t="n"/>
      <c r="O396" s="84">
        <f>IF(A396="","",IF(E396="","No date",IF(TODAY()&gt;=EDATE(E396,Review_Months),"Review Due","Current")))</f>
        <v/>
      </c>
      <c r="P396" s="84">
        <f>IF(A396="","",IF(COUNTIFS('AFA Rates'!$A$5:$A$1004,A396,'AFA Rates'!$O$5:$O$1004,"&lt;&gt;Expired")&gt;0,"Yes",IF(COUNTIF('AFA Rates'!$A$5:$A$1004,A396)&gt;0,"Expired only","No")))</f>
        <v/>
      </c>
      <c r="Q396" s="84">
        <f>IF(A396="","",COUNTIFS('AFA Rates'!$A$5:$A$1004,A396,'AFA Rates'!$O$5:$O$1004,"&lt;&gt;Expired"))</f>
        <v/>
      </c>
      <c r="R396" s="66" t="n"/>
      <c r="S396" s="64" t="n"/>
      <c r="T396" s="64" t="n"/>
      <c r="U396">
        <f>IF(AND(A396&lt;&gt;"",B396="Paused"),COUNTIFS($A$5:A396,"&lt;&gt;",$B$5:B396,"Paused"),"")</f>
        <v/>
      </c>
      <c r="V396">
        <f>IF(P396="Yes",COUNTIF($P$5:P396,"Yes"),"")</f>
        <v/>
      </c>
      <c r="W396">
        <f>IF(A396="","",COUNTIF($A$5:$A$1004,"&lt;"&amp;A396)+COUNTIF($A$5:A396,A396))</f>
        <v/>
      </c>
      <c r="X396">
        <f>","&amp;SUBSTITUTE(SUBSTITUTE(SUBSTITUTE(UPPER(C396)," ",""),";",","),"/",",")&amp;","</f>
        <v/>
      </c>
      <c r="Y396">
        <f>IF(AND(A396&lt;&gt;"",B396="Active",'State Search'!$C$5&lt;&gt;"",OR(X396=",ALL,",ISNUMBER(SEARCH(","&amp;'State Search'!$C$5&amp;",",X396)))),W396,"")</f>
        <v/>
      </c>
    </row>
    <row r="397">
      <c r="A397" s="64" t="n"/>
      <c r="B397" s="65" t="n"/>
      <c r="C397" s="64" t="n"/>
      <c r="D397" s="66" t="n"/>
      <c r="E397" s="66" t="n"/>
      <c r="F397" s="67" t="n"/>
      <c r="G397" s="67" t="n"/>
      <c r="H397" s="67" t="n"/>
      <c r="I397" s="67" t="n"/>
      <c r="J397" s="67" t="n"/>
      <c r="K397" s="67" t="n"/>
      <c r="L397" s="67" t="n"/>
      <c r="M397" s="67" t="n"/>
      <c r="N397" s="65" t="n"/>
      <c r="O397" s="84">
        <f>IF(A397="","",IF(E397="","No date",IF(TODAY()&gt;=EDATE(E397,Review_Months),"Review Due","Current")))</f>
        <v/>
      </c>
      <c r="P397" s="84">
        <f>IF(A397="","",IF(COUNTIFS('AFA Rates'!$A$5:$A$1004,A397,'AFA Rates'!$O$5:$O$1004,"&lt;&gt;Expired")&gt;0,"Yes",IF(COUNTIF('AFA Rates'!$A$5:$A$1004,A397)&gt;0,"Expired only","No")))</f>
        <v/>
      </c>
      <c r="Q397" s="84">
        <f>IF(A397="","",COUNTIFS('AFA Rates'!$A$5:$A$1004,A397,'AFA Rates'!$O$5:$O$1004,"&lt;&gt;Expired"))</f>
        <v/>
      </c>
      <c r="R397" s="66" t="n"/>
      <c r="S397" s="64" t="n"/>
      <c r="T397" s="64" t="n"/>
      <c r="U397">
        <f>IF(AND(A397&lt;&gt;"",B397="Paused"),COUNTIFS($A$5:A397,"&lt;&gt;",$B$5:B397,"Paused"),"")</f>
        <v/>
      </c>
      <c r="V397">
        <f>IF(P397="Yes",COUNTIF($P$5:P397,"Yes"),"")</f>
        <v/>
      </c>
      <c r="W397">
        <f>IF(A397="","",COUNTIF($A$5:$A$1004,"&lt;"&amp;A397)+COUNTIF($A$5:A397,A397))</f>
        <v/>
      </c>
      <c r="X397">
        <f>","&amp;SUBSTITUTE(SUBSTITUTE(SUBSTITUTE(UPPER(C397)," ",""),";",","),"/",",")&amp;","</f>
        <v/>
      </c>
      <c r="Y397">
        <f>IF(AND(A397&lt;&gt;"",B397="Active",'State Search'!$C$5&lt;&gt;"",OR(X397=",ALL,",ISNUMBER(SEARCH(","&amp;'State Search'!$C$5&amp;",",X397)))),W397,"")</f>
        <v/>
      </c>
    </row>
    <row r="398">
      <c r="A398" s="64" t="n"/>
      <c r="B398" s="65" t="n"/>
      <c r="C398" s="64" t="n"/>
      <c r="D398" s="66" t="n"/>
      <c r="E398" s="66" t="n"/>
      <c r="F398" s="67" t="n"/>
      <c r="G398" s="67" t="n"/>
      <c r="H398" s="67" t="n"/>
      <c r="I398" s="67" t="n"/>
      <c r="J398" s="67" t="n"/>
      <c r="K398" s="67" t="n"/>
      <c r="L398" s="67" t="n"/>
      <c r="M398" s="67" t="n"/>
      <c r="N398" s="65" t="n"/>
      <c r="O398" s="84">
        <f>IF(A398="","",IF(E398="","No date",IF(TODAY()&gt;=EDATE(E398,Review_Months),"Review Due","Current")))</f>
        <v/>
      </c>
      <c r="P398" s="84">
        <f>IF(A398="","",IF(COUNTIFS('AFA Rates'!$A$5:$A$1004,A398,'AFA Rates'!$O$5:$O$1004,"&lt;&gt;Expired")&gt;0,"Yes",IF(COUNTIF('AFA Rates'!$A$5:$A$1004,A398)&gt;0,"Expired only","No")))</f>
        <v/>
      </c>
      <c r="Q398" s="84">
        <f>IF(A398="","",COUNTIFS('AFA Rates'!$A$5:$A$1004,A398,'AFA Rates'!$O$5:$O$1004,"&lt;&gt;Expired"))</f>
        <v/>
      </c>
      <c r="R398" s="66" t="n"/>
      <c r="S398" s="64" t="n"/>
      <c r="T398" s="64" t="n"/>
      <c r="U398">
        <f>IF(AND(A398&lt;&gt;"",B398="Paused"),COUNTIFS($A$5:A398,"&lt;&gt;",$B$5:B398,"Paused"),"")</f>
        <v/>
      </c>
      <c r="V398">
        <f>IF(P398="Yes",COUNTIF($P$5:P398,"Yes"),"")</f>
        <v/>
      </c>
      <c r="W398">
        <f>IF(A398="","",COUNTIF($A$5:$A$1004,"&lt;"&amp;A398)+COUNTIF($A$5:A398,A398))</f>
        <v/>
      </c>
      <c r="X398">
        <f>","&amp;SUBSTITUTE(SUBSTITUTE(SUBSTITUTE(UPPER(C398)," ",""),";",","),"/",",")&amp;","</f>
        <v/>
      </c>
      <c r="Y398">
        <f>IF(AND(A398&lt;&gt;"",B398="Active",'State Search'!$C$5&lt;&gt;"",OR(X398=",ALL,",ISNUMBER(SEARCH(","&amp;'State Search'!$C$5&amp;",",X398)))),W398,"")</f>
        <v/>
      </c>
    </row>
    <row r="399">
      <c r="A399" s="64" t="n"/>
      <c r="B399" s="65" t="n"/>
      <c r="C399" s="64" t="n"/>
      <c r="D399" s="66" t="n"/>
      <c r="E399" s="66" t="n"/>
      <c r="F399" s="67" t="n"/>
      <c r="G399" s="67" t="n"/>
      <c r="H399" s="67" t="n"/>
      <c r="I399" s="67" t="n"/>
      <c r="J399" s="67" t="n"/>
      <c r="K399" s="67" t="n"/>
      <c r="L399" s="67" t="n"/>
      <c r="M399" s="67" t="n"/>
      <c r="N399" s="65" t="n"/>
      <c r="O399" s="84">
        <f>IF(A399="","",IF(E399="","No date",IF(TODAY()&gt;=EDATE(E399,Review_Months),"Review Due","Current")))</f>
        <v/>
      </c>
      <c r="P399" s="84">
        <f>IF(A399="","",IF(COUNTIFS('AFA Rates'!$A$5:$A$1004,A399,'AFA Rates'!$O$5:$O$1004,"&lt;&gt;Expired")&gt;0,"Yes",IF(COUNTIF('AFA Rates'!$A$5:$A$1004,A399)&gt;0,"Expired only","No")))</f>
        <v/>
      </c>
      <c r="Q399" s="84">
        <f>IF(A399="","",COUNTIFS('AFA Rates'!$A$5:$A$1004,A399,'AFA Rates'!$O$5:$O$1004,"&lt;&gt;Expired"))</f>
        <v/>
      </c>
      <c r="R399" s="66" t="n"/>
      <c r="S399" s="64" t="n"/>
      <c r="T399" s="64" t="n"/>
      <c r="U399">
        <f>IF(AND(A399&lt;&gt;"",B399="Paused"),COUNTIFS($A$5:A399,"&lt;&gt;",$B$5:B399,"Paused"),"")</f>
        <v/>
      </c>
      <c r="V399">
        <f>IF(P399="Yes",COUNTIF($P$5:P399,"Yes"),"")</f>
        <v/>
      </c>
      <c r="W399">
        <f>IF(A399="","",COUNTIF($A$5:$A$1004,"&lt;"&amp;A399)+COUNTIF($A$5:A399,A399))</f>
        <v/>
      </c>
      <c r="X399">
        <f>","&amp;SUBSTITUTE(SUBSTITUTE(SUBSTITUTE(UPPER(C399)," ",""),";",","),"/",",")&amp;","</f>
        <v/>
      </c>
      <c r="Y399">
        <f>IF(AND(A399&lt;&gt;"",B399="Active",'State Search'!$C$5&lt;&gt;"",OR(X399=",ALL,",ISNUMBER(SEARCH(","&amp;'State Search'!$C$5&amp;",",X399)))),W399,"")</f>
        <v/>
      </c>
    </row>
    <row r="400">
      <c r="A400" s="64" t="n"/>
      <c r="B400" s="65" t="n"/>
      <c r="C400" s="64" t="n"/>
      <c r="D400" s="66" t="n"/>
      <c r="E400" s="66" t="n"/>
      <c r="F400" s="67" t="n"/>
      <c r="G400" s="67" t="n"/>
      <c r="H400" s="67" t="n"/>
      <c r="I400" s="67" t="n"/>
      <c r="J400" s="67" t="n"/>
      <c r="K400" s="67" t="n"/>
      <c r="L400" s="67" t="n"/>
      <c r="M400" s="67" t="n"/>
      <c r="N400" s="65" t="n"/>
      <c r="O400" s="84">
        <f>IF(A400="","",IF(E400="","No date",IF(TODAY()&gt;=EDATE(E400,Review_Months),"Review Due","Current")))</f>
        <v/>
      </c>
      <c r="P400" s="84">
        <f>IF(A400="","",IF(COUNTIFS('AFA Rates'!$A$5:$A$1004,A400,'AFA Rates'!$O$5:$O$1004,"&lt;&gt;Expired")&gt;0,"Yes",IF(COUNTIF('AFA Rates'!$A$5:$A$1004,A400)&gt;0,"Expired only","No")))</f>
        <v/>
      </c>
      <c r="Q400" s="84">
        <f>IF(A400="","",COUNTIFS('AFA Rates'!$A$5:$A$1004,A400,'AFA Rates'!$O$5:$O$1004,"&lt;&gt;Expired"))</f>
        <v/>
      </c>
      <c r="R400" s="66" t="n"/>
      <c r="S400" s="64" t="n"/>
      <c r="T400" s="64" t="n"/>
      <c r="U400">
        <f>IF(AND(A400&lt;&gt;"",B400="Paused"),COUNTIFS($A$5:A400,"&lt;&gt;",$B$5:B400,"Paused"),"")</f>
        <v/>
      </c>
      <c r="V400">
        <f>IF(P400="Yes",COUNTIF($P$5:P400,"Yes"),"")</f>
        <v/>
      </c>
      <c r="W400">
        <f>IF(A400="","",COUNTIF($A$5:$A$1004,"&lt;"&amp;A400)+COUNTIF($A$5:A400,A400))</f>
        <v/>
      </c>
      <c r="X400">
        <f>","&amp;SUBSTITUTE(SUBSTITUTE(SUBSTITUTE(UPPER(C400)," ",""),";",","),"/",",")&amp;","</f>
        <v/>
      </c>
      <c r="Y400">
        <f>IF(AND(A400&lt;&gt;"",B400="Active",'State Search'!$C$5&lt;&gt;"",OR(X400=",ALL,",ISNUMBER(SEARCH(","&amp;'State Search'!$C$5&amp;",",X400)))),W400,"")</f>
        <v/>
      </c>
    </row>
    <row r="401">
      <c r="A401" s="64" t="n"/>
      <c r="B401" s="65" t="n"/>
      <c r="C401" s="64" t="n"/>
      <c r="D401" s="66" t="n"/>
      <c r="E401" s="66" t="n"/>
      <c r="F401" s="67" t="n"/>
      <c r="G401" s="67" t="n"/>
      <c r="H401" s="67" t="n"/>
      <c r="I401" s="67" t="n"/>
      <c r="J401" s="67" t="n"/>
      <c r="K401" s="67" t="n"/>
      <c r="L401" s="67" t="n"/>
      <c r="M401" s="67" t="n"/>
      <c r="N401" s="65" t="n"/>
      <c r="O401" s="84">
        <f>IF(A401="","",IF(E401="","No date",IF(TODAY()&gt;=EDATE(E401,Review_Months),"Review Due","Current")))</f>
        <v/>
      </c>
      <c r="P401" s="84">
        <f>IF(A401="","",IF(COUNTIFS('AFA Rates'!$A$5:$A$1004,A401,'AFA Rates'!$O$5:$O$1004,"&lt;&gt;Expired")&gt;0,"Yes",IF(COUNTIF('AFA Rates'!$A$5:$A$1004,A401)&gt;0,"Expired only","No")))</f>
        <v/>
      </c>
      <c r="Q401" s="84">
        <f>IF(A401="","",COUNTIFS('AFA Rates'!$A$5:$A$1004,A401,'AFA Rates'!$O$5:$O$1004,"&lt;&gt;Expired"))</f>
        <v/>
      </c>
      <c r="R401" s="66" t="n"/>
      <c r="S401" s="64" t="n"/>
      <c r="T401" s="64" t="n"/>
      <c r="U401">
        <f>IF(AND(A401&lt;&gt;"",B401="Paused"),COUNTIFS($A$5:A401,"&lt;&gt;",$B$5:B401,"Paused"),"")</f>
        <v/>
      </c>
      <c r="V401">
        <f>IF(P401="Yes",COUNTIF($P$5:P401,"Yes"),"")</f>
        <v/>
      </c>
      <c r="W401">
        <f>IF(A401="","",COUNTIF($A$5:$A$1004,"&lt;"&amp;A401)+COUNTIF($A$5:A401,A401))</f>
        <v/>
      </c>
      <c r="X401">
        <f>","&amp;SUBSTITUTE(SUBSTITUTE(SUBSTITUTE(UPPER(C401)," ",""),";",","),"/",",")&amp;","</f>
        <v/>
      </c>
      <c r="Y401">
        <f>IF(AND(A401&lt;&gt;"",B401="Active",'State Search'!$C$5&lt;&gt;"",OR(X401=",ALL,",ISNUMBER(SEARCH(","&amp;'State Search'!$C$5&amp;",",X401)))),W401,"")</f>
        <v/>
      </c>
    </row>
    <row r="402">
      <c r="A402" s="64" t="n"/>
      <c r="B402" s="65" t="n"/>
      <c r="C402" s="64" t="n"/>
      <c r="D402" s="66" t="n"/>
      <c r="E402" s="66" t="n"/>
      <c r="F402" s="67" t="n"/>
      <c r="G402" s="67" t="n"/>
      <c r="H402" s="67" t="n"/>
      <c r="I402" s="67" t="n"/>
      <c r="J402" s="67" t="n"/>
      <c r="K402" s="67" t="n"/>
      <c r="L402" s="67" t="n"/>
      <c r="M402" s="67" t="n"/>
      <c r="N402" s="65" t="n"/>
      <c r="O402" s="84">
        <f>IF(A402="","",IF(E402="","No date",IF(TODAY()&gt;=EDATE(E402,Review_Months),"Review Due","Current")))</f>
        <v/>
      </c>
      <c r="P402" s="84">
        <f>IF(A402="","",IF(COUNTIFS('AFA Rates'!$A$5:$A$1004,A402,'AFA Rates'!$O$5:$O$1004,"&lt;&gt;Expired")&gt;0,"Yes",IF(COUNTIF('AFA Rates'!$A$5:$A$1004,A402)&gt;0,"Expired only","No")))</f>
        <v/>
      </c>
      <c r="Q402" s="84">
        <f>IF(A402="","",COUNTIFS('AFA Rates'!$A$5:$A$1004,A402,'AFA Rates'!$O$5:$O$1004,"&lt;&gt;Expired"))</f>
        <v/>
      </c>
      <c r="R402" s="66" t="n"/>
      <c r="S402" s="64" t="n"/>
      <c r="T402" s="64" t="n"/>
      <c r="U402">
        <f>IF(AND(A402&lt;&gt;"",B402="Paused"),COUNTIFS($A$5:A402,"&lt;&gt;",$B$5:B402,"Paused"),"")</f>
        <v/>
      </c>
      <c r="V402">
        <f>IF(P402="Yes",COUNTIF($P$5:P402,"Yes"),"")</f>
        <v/>
      </c>
      <c r="W402">
        <f>IF(A402="","",COUNTIF($A$5:$A$1004,"&lt;"&amp;A402)+COUNTIF($A$5:A402,A402))</f>
        <v/>
      </c>
      <c r="X402">
        <f>","&amp;SUBSTITUTE(SUBSTITUTE(SUBSTITUTE(UPPER(C402)," ",""),";",","),"/",",")&amp;","</f>
        <v/>
      </c>
      <c r="Y402">
        <f>IF(AND(A402&lt;&gt;"",B402="Active",'State Search'!$C$5&lt;&gt;"",OR(X402=",ALL,",ISNUMBER(SEARCH(","&amp;'State Search'!$C$5&amp;",",X402)))),W402,"")</f>
        <v/>
      </c>
    </row>
    <row r="403">
      <c r="A403" s="64" t="n"/>
      <c r="B403" s="65" t="n"/>
      <c r="C403" s="64" t="n"/>
      <c r="D403" s="66" t="n"/>
      <c r="E403" s="66" t="n"/>
      <c r="F403" s="67" t="n"/>
      <c r="G403" s="67" t="n"/>
      <c r="H403" s="67" t="n"/>
      <c r="I403" s="67" t="n"/>
      <c r="J403" s="67" t="n"/>
      <c r="K403" s="67" t="n"/>
      <c r="L403" s="67" t="n"/>
      <c r="M403" s="67" t="n"/>
      <c r="N403" s="65" t="n"/>
      <c r="O403" s="84">
        <f>IF(A403="","",IF(E403="","No date",IF(TODAY()&gt;=EDATE(E403,Review_Months),"Review Due","Current")))</f>
        <v/>
      </c>
      <c r="P403" s="84">
        <f>IF(A403="","",IF(COUNTIFS('AFA Rates'!$A$5:$A$1004,A403,'AFA Rates'!$O$5:$O$1004,"&lt;&gt;Expired")&gt;0,"Yes",IF(COUNTIF('AFA Rates'!$A$5:$A$1004,A403)&gt;0,"Expired only","No")))</f>
        <v/>
      </c>
      <c r="Q403" s="84">
        <f>IF(A403="","",COUNTIFS('AFA Rates'!$A$5:$A$1004,A403,'AFA Rates'!$O$5:$O$1004,"&lt;&gt;Expired"))</f>
        <v/>
      </c>
      <c r="R403" s="66" t="n"/>
      <c r="S403" s="64" t="n"/>
      <c r="T403" s="64" t="n"/>
      <c r="U403">
        <f>IF(AND(A403&lt;&gt;"",B403="Paused"),COUNTIFS($A$5:A403,"&lt;&gt;",$B$5:B403,"Paused"),"")</f>
        <v/>
      </c>
      <c r="V403">
        <f>IF(P403="Yes",COUNTIF($P$5:P403,"Yes"),"")</f>
        <v/>
      </c>
      <c r="W403">
        <f>IF(A403="","",COUNTIF($A$5:$A$1004,"&lt;"&amp;A403)+COUNTIF($A$5:A403,A403))</f>
        <v/>
      </c>
      <c r="X403">
        <f>","&amp;SUBSTITUTE(SUBSTITUTE(SUBSTITUTE(UPPER(C403)," ",""),";",","),"/",",")&amp;","</f>
        <v/>
      </c>
      <c r="Y403">
        <f>IF(AND(A403&lt;&gt;"",B403="Active",'State Search'!$C$5&lt;&gt;"",OR(X403=",ALL,",ISNUMBER(SEARCH(","&amp;'State Search'!$C$5&amp;",",X403)))),W403,"")</f>
        <v/>
      </c>
    </row>
    <row r="404">
      <c r="A404" s="64" t="n"/>
      <c r="B404" s="65" t="n"/>
      <c r="C404" s="64" t="n"/>
      <c r="D404" s="66" t="n"/>
      <c r="E404" s="66" t="n"/>
      <c r="F404" s="67" t="n"/>
      <c r="G404" s="67" t="n"/>
      <c r="H404" s="67" t="n"/>
      <c r="I404" s="67" t="n"/>
      <c r="J404" s="67" t="n"/>
      <c r="K404" s="67" t="n"/>
      <c r="L404" s="67" t="n"/>
      <c r="M404" s="67" t="n"/>
      <c r="N404" s="65" t="n"/>
      <c r="O404" s="84">
        <f>IF(A404="","",IF(E404="","No date",IF(TODAY()&gt;=EDATE(E404,Review_Months),"Review Due","Current")))</f>
        <v/>
      </c>
      <c r="P404" s="84">
        <f>IF(A404="","",IF(COUNTIFS('AFA Rates'!$A$5:$A$1004,A404,'AFA Rates'!$O$5:$O$1004,"&lt;&gt;Expired")&gt;0,"Yes",IF(COUNTIF('AFA Rates'!$A$5:$A$1004,A404)&gt;0,"Expired only","No")))</f>
        <v/>
      </c>
      <c r="Q404" s="84">
        <f>IF(A404="","",COUNTIFS('AFA Rates'!$A$5:$A$1004,A404,'AFA Rates'!$O$5:$O$1004,"&lt;&gt;Expired"))</f>
        <v/>
      </c>
      <c r="R404" s="66" t="n"/>
      <c r="S404" s="64" t="n"/>
      <c r="T404" s="64" t="n"/>
      <c r="U404">
        <f>IF(AND(A404&lt;&gt;"",B404="Paused"),COUNTIFS($A$5:A404,"&lt;&gt;",$B$5:B404,"Paused"),"")</f>
        <v/>
      </c>
      <c r="V404">
        <f>IF(P404="Yes",COUNTIF($P$5:P404,"Yes"),"")</f>
        <v/>
      </c>
      <c r="W404">
        <f>IF(A404="","",COUNTIF($A$5:$A$1004,"&lt;"&amp;A404)+COUNTIF($A$5:A404,A404))</f>
        <v/>
      </c>
      <c r="X404">
        <f>","&amp;SUBSTITUTE(SUBSTITUTE(SUBSTITUTE(UPPER(C404)," ",""),";",","),"/",",")&amp;","</f>
        <v/>
      </c>
      <c r="Y404">
        <f>IF(AND(A404&lt;&gt;"",B404="Active",'State Search'!$C$5&lt;&gt;"",OR(X404=",ALL,",ISNUMBER(SEARCH(","&amp;'State Search'!$C$5&amp;",",X404)))),W404,"")</f>
        <v/>
      </c>
    </row>
    <row r="405">
      <c r="A405" s="64" t="n"/>
      <c r="B405" s="65" t="n"/>
      <c r="C405" s="64" t="n"/>
      <c r="D405" s="66" t="n"/>
      <c r="E405" s="66" t="n"/>
      <c r="F405" s="67" t="n"/>
      <c r="G405" s="67" t="n"/>
      <c r="H405" s="67" t="n"/>
      <c r="I405" s="67" t="n"/>
      <c r="J405" s="67" t="n"/>
      <c r="K405" s="67" t="n"/>
      <c r="L405" s="67" t="n"/>
      <c r="M405" s="67" t="n"/>
      <c r="N405" s="65" t="n"/>
      <c r="O405" s="84">
        <f>IF(A405="","",IF(E405="","No date",IF(TODAY()&gt;=EDATE(E405,Review_Months),"Review Due","Current")))</f>
        <v/>
      </c>
      <c r="P405" s="84">
        <f>IF(A405="","",IF(COUNTIFS('AFA Rates'!$A$5:$A$1004,A405,'AFA Rates'!$O$5:$O$1004,"&lt;&gt;Expired")&gt;0,"Yes",IF(COUNTIF('AFA Rates'!$A$5:$A$1004,A405)&gt;0,"Expired only","No")))</f>
        <v/>
      </c>
      <c r="Q405" s="84">
        <f>IF(A405="","",COUNTIFS('AFA Rates'!$A$5:$A$1004,A405,'AFA Rates'!$O$5:$O$1004,"&lt;&gt;Expired"))</f>
        <v/>
      </c>
      <c r="R405" s="66" t="n"/>
      <c r="S405" s="64" t="n"/>
      <c r="T405" s="64" t="n"/>
      <c r="U405">
        <f>IF(AND(A405&lt;&gt;"",B405="Paused"),COUNTIFS($A$5:A405,"&lt;&gt;",$B$5:B405,"Paused"),"")</f>
        <v/>
      </c>
      <c r="V405">
        <f>IF(P405="Yes",COUNTIF($P$5:P405,"Yes"),"")</f>
        <v/>
      </c>
      <c r="W405">
        <f>IF(A405="","",COUNTIF($A$5:$A$1004,"&lt;"&amp;A405)+COUNTIF($A$5:A405,A405))</f>
        <v/>
      </c>
      <c r="X405">
        <f>","&amp;SUBSTITUTE(SUBSTITUTE(SUBSTITUTE(UPPER(C405)," ",""),";",","),"/",",")&amp;","</f>
        <v/>
      </c>
      <c r="Y405">
        <f>IF(AND(A405&lt;&gt;"",B405="Active",'State Search'!$C$5&lt;&gt;"",OR(X405=",ALL,",ISNUMBER(SEARCH(","&amp;'State Search'!$C$5&amp;",",X405)))),W405,"")</f>
        <v/>
      </c>
    </row>
    <row r="406">
      <c r="A406" s="64" t="n"/>
      <c r="B406" s="65" t="n"/>
      <c r="C406" s="64" t="n"/>
      <c r="D406" s="66" t="n"/>
      <c r="E406" s="66" t="n"/>
      <c r="F406" s="67" t="n"/>
      <c r="G406" s="67" t="n"/>
      <c r="H406" s="67" t="n"/>
      <c r="I406" s="67" t="n"/>
      <c r="J406" s="67" t="n"/>
      <c r="K406" s="67" t="n"/>
      <c r="L406" s="67" t="n"/>
      <c r="M406" s="67" t="n"/>
      <c r="N406" s="65" t="n"/>
      <c r="O406" s="84">
        <f>IF(A406="","",IF(E406="","No date",IF(TODAY()&gt;=EDATE(E406,Review_Months),"Review Due","Current")))</f>
        <v/>
      </c>
      <c r="P406" s="84">
        <f>IF(A406="","",IF(COUNTIFS('AFA Rates'!$A$5:$A$1004,A406,'AFA Rates'!$O$5:$O$1004,"&lt;&gt;Expired")&gt;0,"Yes",IF(COUNTIF('AFA Rates'!$A$5:$A$1004,A406)&gt;0,"Expired only","No")))</f>
        <v/>
      </c>
      <c r="Q406" s="84">
        <f>IF(A406="","",COUNTIFS('AFA Rates'!$A$5:$A$1004,A406,'AFA Rates'!$O$5:$O$1004,"&lt;&gt;Expired"))</f>
        <v/>
      </c>
      <c r="R406" s="66" t="n"/>
      <c r="S406" s="64" t="n"/>
      <c r="T406" s="64" t="n"/>
      <c r="U406">
        <f>IF(AND(A406&lt;&gt;"",B406="Paused"),COUNTIFS($A$5:A406,"&lt;&gt;",$B$5:B406,"Paused"),"")</f>
        <v/>
      </c>
      <c r="V406">
        <f>IF(P406="Yes",COUNTIF($P$5:P406,"Yes"),"")</f>
        <v/>
      </c>
      <c r="W406">
        <f>IF(A406="","",COUNTIF($A$5:$A$1004,"&lt;"&amp;A406)+COUNTIF($A$5:A406,A406))</f>
        <v/>
      </c>
      <c r="X406">
        <f>","&amp;SUBSTITUTE(SUBSTITUTE(SUBSTITUTE(UPPER(C406)," ",""),";",","),"/",",")&amp;","</f>
        <v/>
      </c>
      <c r="Y406">
        <f>IF(AND(A406&lt;&gt;"",B406="Active",'State Search'!$C$5&lt;&gt;"",OR(X406=",ALL,",ISNUMBER(SEARCH(","&amp;'State Search'!$C$5&amp;",",X406)))),W406,"")</f>
        <v/>
      </c>
    </row>
    <row r="407">
      <c r="A407" s="64" t="n"/>
      <c r="B407" s="65" t="n"/>
      <c r="C407" s="64" t="n"/>
      <c r="D407" s="66" t="n"/>
      <c r="E407" s="66" t="n"/>
      <c r="F407" s="67" t="n"/>
      <c r="G407" s="67" t="n"/>
      <c r="H407" s="67" t="n"/>
      <c r="I407" s="67" t="n"/>
      <c r="J407" s="67" t="n"/>
      <c r="K407" s="67" t="n"/>
      <c r="L407" s="67" t="n"/>
      <c r="M407" s="67" t="n"/>
      <c r="N407" s="65" t="n"/>
      <c r="O407" s="84">
        <f>IF(A407="","",IF(E407="","No date",IF(TODAY()&gt;=EDATE(E407,Review_Months),"Review Due","Current")))</f>
        <v/>
      </c>
      <c r="P407" s="84">
        <f>IF(A407="","",IF(COUNTIFS('AFA Rates'!$A$5:$A$1004,A407,'AFA Rates'!$O$5:$O$1004,"&lt;&gt;Expired")&gt;0,"Yes",IF(COUNTIF('AFA Rates'!$A$5:$A$1004,A407)&gt;0,"Expired only","No")))</f>
        <v/>
      </c>
      <c r="Q407" s="84">
        <f>IF(A407="","",COUNTIFS('AFA Rates'!$A$5:$A$1004,A407,'AFA Rates'!$O$5:$O$1004,"&lt;&gt;Expired"))</f>
        <v/>
      </c>
      <c r="R407" s="66" t="n"/>
      <c r="S407" s="64" t="n"/>
      <c r="T407" s="64" t="n"/>
      <c r="U407">
        <f>IF(AND(A407&lt;&gt;"",B407="Paused"),COUNTIFS($A$5:A407,"&lt;&gt;",$B$5:B407,"Paused"),"")</f>
        <v/>
      </c>
      <c r="V407">
        <f>IF(P407="Yes",COUNTIF($P$5:P407,"Yes"),"")</f>
        <v/>
      </c>
      <c r="W407">
        <f>IF(A407="","",COUNTIF($A$5:$A$1004,"&lt;"&amp;A407)+COUNTIF($A$5:A407,A407))</f>
        <v/>
      </c>
      <c r="X407">
        <f>","&amp;SUBSTITUTE(SUBSTITUTE(SUBSTITUTE(UPPER(C407)," ",""),";",","),"/",",")&amp;","</f>
        <v/>
      </c>
      <c r="Y407">
        <f>IF(AND(A407&lt;&gt;"",B407="Active",'State Search'!$C$5&lt;&gt;"",OR(X407=",ALL,",ISNUMBER(SEARCH(","&amp;'State Search'!$C$5&amp;",",X407)))),W407,"")</f>
        <v/>
      </c>
    </row>
    <row r="408">
      <c r="A408" s="64" t="n"/>
      <c r="B408" s="65" t="n"/>
      <c r="C408" s="64" t="n"/>
      <c r="D408" s="66" t="n"/>
      <c r="E408" s="66" t="n"/>
      <c r="F408" s="67" t="n"/>
      <c r="G408" s="67" t="n"/>
      <c r="H408" s="67" t="n"/>
      <c r="I408" s="67" t="n"/>
      <c r="J408" s="67" t="n"/>
      <c r="K408" s="67" t="n"/>
      <c r="L408" s="67" t="n"/>
      <c r="M408" s="67" t="n"/>
      <c r="N408" s="65" t="n"/>
      <c r="O408" s="84">
        <f>IF(A408="","",IF(E408="","No date",IF(TODAY()&gt;=EDATE(E408,Review_Months),"Review Due","Current")))</f>
        <v/>
      </c>
      <c r="P408" s="84">
        <f>IF(A408="","",IF(COUNTIFS('AFA Rates'!$A$5:$A$1004,A408,'AFA Rates'!$O$5:$O$1004,"&lt;&gt;Expired")&gt;0,"Yes",IF(COUNTIF('AFA Rates'!$A$5:$A$1004,A408)&gt;0,"Expired only","No")))</f>
        <v/>
      </c>
      <c r="Q408" s="84">
        <f>IF(A408="","",COUNTIFS('AFA Rates'!$A$5:$A$1004,A408,'AFA Rates'!$O$5:$O$1004,"&lt;&gt;Expired"))</f>
        <v/>
      </c>
      <c r="R408" s="66" t="n"/>
      <c r="S408" s="64" t="n"/>
      <c r="T408" s="64" t="n"/>
      <c r="U408">
        <f>IF(AND(A408&lt;&gt;"",B408="Paused"),COUNTIFS($A$5:A408,"&lt;&gt;",$B$5:B408,"Paused"),"")</f>
        <v/>
      </c>
      <c r="V408">
        <f>IF(P408="Yes",COUNTIF($P$5:P408,"Yes"),"")</f>
        <v/>
      </c>
      <c r="W408">
        <f>IF(A408="","",COUNTIF($A$5:$A$1004,"&lt;"&amp;A408)+COUNTIF($A$5:A408,A408))</f>
        <v/>
      </c>
      <c r="X408">
        <f>","&amp;SUBSTITUTE(SUBSTITUTE(SUBSTITUTE(UPPER(C408)," ",""),";",","),"/",",")&amp;","</f>
        <v/>
      </c>
      <c r="Y408">
        <f>IF(AND(A408&lt;&gt;"",B408="Active",'State Search'!$C$5&lt;&gt;"",OR(X408=",ALL,",ISNUMBER(SEARCH(","&amp;'State Search'!$C$5&amp;",",X408)))),W408,"")</f>
        <v/>
      </c>
    </row>
    <row r="409">
      <c r="A409" s="64" t="n"/>
      <c r="B409" s="65" t="n"/>
      <c r="C409" s="64" t="n"/>
      <c r="D409" s="66" t="n"/>
      <c r="E409" s="66" t="n"/>
      <c r="F409" s="67" t="n"/>
      <c r="G409" s="67" t="n"/>
      <c r="H409" s="67" t="n"/>
      <c r="I409" s="67" t="n"/>
      <c r="J409" s="67" t="n"/>
      <c r="K409" s="67" t="n"/>
      <c r="L409" s="67" t="n"/>
      <c r="M409" s="67" t="n"/>
      <c r="N409" s="65" t="n"/>
      <c r="O409" s="84">
        <f>IF(A409="","",IF(E409="","No date",IF(TODAY()&gt;=EDATE(E409,Review_Months),"Review Due","Current")))</f>
        <v/>
      </c>
      <c r="P409" s="84">
        <f>IF(A409="","",IF(COUNTIFS('AFA Rates'!$A$5:$A$1004,A409,'AFA Rates'!$O$5:$O$1004,"&lt;&gt;Expired")&gt;0,"Yes",IF(COUNTIF('AFA Rates'!$A$5:$A$1004,A409)&gt;0,"Expired only","No")))</f>
        <v/>
      </c>
      <c r="Q409" s="84">
        <f>IF(A409="","",COUNTIFS('AFA Rates'!$A$5:$A$1004,A409,'AFA Rates'!$O$5:$O$1004,"&lt;&gt;Expired"))</f>
        <v/>
      </c>
      <c r="R409" s="66" t="n"/>
      <c r="S409" s="64" t="n"/>
      <c r="T409" s="64" t="n"/>
      <c r="U409">
        <f>IF(AND(A409&lt;&gt;"",B409="Paused"),COUNTIFS($A$5:A409,"&lt;&gt;",$B$5:B409,"Paused"),"")</f>
        <v/>
      </c>
      <c r="V409">
        <f>IF(P409="Yes",COUNTIF($P$5:P409,"Yes"),"")</f>
        <v/>
      </c>
      <c r="W409">
        <f>IF(A409="","",COUNTIF($A$5:$A$1004,"&lt;"&amp;A409)+COUNTIF($A$5:A409,A409))</f>
        <v/>
      </c>
      <c r="X409">
        <f>","&amp;SUBSTITUTE(SUBSTITUTE(SUBSTITUTE(UPPER(C409)," ",""),";",","),"/",",")&amp;","</f>
        <v/>
      </c>
      <c r="Y409">
        <f>IF(AND(A409&lt;&gt;"",B409="Active",'State Search'!$C$5&lt;&gt;"",OR(X409=",ALL,",ISNUMBER(SEARCH(","&amp;'State Search'!$C$5&amp;",",X409)))),W409,"")</f>
        <v/>
      </c>
    </row>
    <row r="410">
      <c r="A410" s="64" t="n"/>
      <c r="B410" s="65" t="n"/>
      <c r="C410" s="64" t="n"/>
      <c r="D410" s="66" t="n"/>
      <c r="E410" s="66" t="n"/>
      <c r="F410" s="67" t="n"/>
      <c r="G410" s="67" t="n"/>
      <c r="H410" s="67" t="n"/>
      <c r="I410" s="67" t="n"/>
      <c r="J410" s="67" t="n"/>
      <c r="K410" s="67" t="n"/>
      <c r="L410" s="67" t="n"/>
      <c r="M410" s="67" t="n"/>
      <c r="N410" s="65" t="n"/>
      <c r="O410" s="84">
        <f>IF(A410="","",IF(E410="","No date",IF(TODAY()&gt;=EDATE(E410,Review_Months),"Review Due","Current")))</f>
        <v/>
      </c>
      <c r="P410" s="84">
        <f>IF(A410="","",IF(COUNTIFS('AFA Rates'!$A$5:$A$1004,A410,'AFA Rates'!$O$5:$O$1004,"&lt;&gt;Expired")&gt;0,"Yes",IF(COUNTIF('AFA Rates'!$A$5:$A$1004,A410)&gt;0,"Expired only","No")))</f>
        <v/>
      </c>
      <c r="Q410" s="84">
        <f>IF(A410="","",COUNTIFS('AFA Rates'!$A$5:$A$1004,A410,'AFA Rates'!$O$5:$O$1004,"&lt;&gt;Expired"))</f>
        <v/>
      </c>
      <c r="R410" s="66" t="n"/>
      <c r="S410" s="64" t="n"/>
      <c r="T410" s="64" t="n"/>
      <c r="U410">
        <f>IF(AND(A410&lt;&gt;"",B410="Paused"),COUNTIFS($A$5:A410,"&lt;&gt;",$B$5:B410,"Paused"),"")</f>
        <v/>
      </c>
      <c r="V410">
        <f>IF(P410="Yes",COUNTIF($P$5:P410,"Yes"),"")</f>
        <v/>
      </c>
      <c r="W410">
        <f>IF(A410="","",COUNTIF($A$5:$A$1004,"&lt;"&amp;A410)+COUNTIF($A$5:A410,A410))</f>
        <v/>
      </c>
      <c r="X410">
        <f>","&amp;SUBSTITUTE(SUBSTITUTE(SUBSTITUTE(UPPER(C410)," ",""),";",","),"/",",")&amp;","</f>
        <v/>
      </c>
      <c r="Y410">
        <f>IF(AND(A410&lt;&gt;"",B410="Active",'State Search'!$C$5&lt;&gt;"",OR(X410=",ALL,",ISNUMBER(SEARCH(","&amp;'State Search'!$C$5&amp;",",X410)))),W410,"")</f>
        <v/>
      </c>
    </row>
    <row r="411">
      <c r="A411" s="64" t="n"/>
      <c r="B411" s="65" t="n"/>
      <c r="C411" s="64" t="n"/>
      <c r="D411" s="66" t="n"/>
      <c r="E411" s="66" t="n"/>
      <c r="F411" s="67" t="n"/>
      <c r="G411" s="67" t="n"/>
      <c r="H411" s="67" t="n"/>
      <c r="I411" s="67" t="n"/>
      <c r="J411" s="67" t="n"/>
      <c r="K411" s="67" t="n"/>
      <c r="L411" s="67" t="n"/>
      <c r="M411" s="67" t="n"/>
      <c r="N411" s="65" t="n"/>
      <c r="O411" s="84">
        <f>IF(A411="","",IF(E411="","No date",IF(TODAY()&gt;=EDATE(E411,Review_Months),"Review Due","Current")))</f>
        <v/>
      </c>
      <c r="P411" s="84">
        <f>IF(A411="","",IF(COUNTIFS('AFA Rates'!$A$5:$A$1004,A411,'AFA Rates'!$O$5:$O$1004,"&lt;&gt;Expired")&gt;0,"Yes",IF(COUNTIF('AFA Rates'!$A$5:$A$1004,A411)&gt;0,"Expired only","No")))</f>
        <v/>
      </c>
      <c r="Q411" s="84">
        <f>IF(A411="","",COUNTIFS('AFA Rates'!$A$5:$A$1004,A411,'AFA Rates'!$O$5:$O$1004,"&lt;&gt;Expired"))</f>
        <v/>
      </c>
      <c r="R411" s="66" t="n"/>
      <c r="S411" s="64" t="n"/>
      <c r="T411" s="64" t="n"/>
      <c r="U411">
        <f>IF(AND(A411&lt;&gt;"",B411="Paused"),COUNTIFS($A$5:A411,"&lt;&gt;",$B$5:B411,"Paused"),"")</f>
        <v/>
      </c>
      <c r="V411">
        <f>IF(P411="Yes",COUNTIF($P$5:P411,"Yes"),"")</f>
        <v/>
      </c>
      <c r="W411">
        <f>IF(A411="","",COUNTIF($A$5:$A$1004,"&lt;"&amp;A411)+COUNTIF($A$5:A411,A411))</f>
        <v/>
      </c>
      <c r="X411">
        <f>","&amp;SUBSTITUTE(SUBSTITUTE(SUBSTITUTE(UPPER(C411)," ",""),";",","),"/",",")&amp;","</f>
        <v/>
      </c>
      <c r="Y411">
        <f>IF(AND(A411&lt;&gt;"",B411="Active",'State Search'!$C$5&lt;&gt;"",OR(X411=",ALL,",ISNUMBER(SEARCH(","&amp;'State Search'!$C$5&amp;",",X411)))),W411,"")</f>
        <v/>
      </c>
    </row>
    <row r="412">
      <c r="A412" s="64" t="n"/>
      <c r="B412" s="65" t="n"/>
      <c r="C412" s="64" t="n"/>
      <c r="D412" s="66" t="n"/>
      <c r="E412" s="66" t="n"/>
      <c r="F412" s="67" t="n"/>
      <c r="G412" s="67" t="n"/>
      <c r="H412" s="67" t="n"/>
      <c r="I412" s="67" t="n"/>
      <c r="J412" s="67" t="n"/>
      <c r="K412" s="67" t="n"/>
      <c r="L412" s="67" t="n"/>
      <c r="M412" s="67" t="n"/>
      <c r="N412" s="65" t="n"/>
      <c r="O412" s="84">
        <f>IF(A412="","",IF(E412="","No date",IF(TODAY()&gt;=EDATE(E412,Review_Months),"Review Due","Current")))</f>
        <v/>
      </c>
      <c r="P412" s="84">
        <f>IF(A412="","",IF(COUNTIFS('AFA Rates'!$A$5:$A$1004,A412,'AFA Rates'!$O$5:$O$1004,"&lt;&gt;Expired")&gt;0,"Yes",IF(COUNTIF('AFA Rates'!$A$5:$A$1004,A412)&gt;0,"Expired only","No")))</f>
        <v/>
      </c>
      <c r="Q412" s="84">
        <f>IF(A412="","",COUNTIFS('AFA Rates'!$A$5:$A$1004,A412,'AFA Rates'!$O$5:$O$1004,"&lt;&gt;Expired"))</f>
        <v/>
      </c>
      <c r="R412" s="66" t="n"/>
      <c r="S412" s="64" t="n"/>
      <c r="T412" s="64" t="n"/>
      <c r="U412">
        <f>IF(AND(A412&lt;&gt;"",B412="Paused"),COUNTIFS($A$5:A412,"&lt;&gt;",$B$5:B412,"Paused"),"")</f>
        <v/>
      </c>
      <c r="V412">
        <f>IF(P412="Yes",COUNTIF($P$5:P412,"Yes"),"")</f>
        <v/>
      </c>
      <c r="W412">
        <f>IF(A412="","",COUNTIF($A$5:$A$1004,"&lt;"&amp;A412)+COUNTIF($A$5:A412,A412))</f>
        <v/>
      </c>
      <c r="X412">
        <f>","&amp;SUBSTITUTE(SUBSTITUTE(SUBSTITUTE(UPPER(C412)," ",""),";",","),"/",",")&amp;","</f>
        <v/>
      </c>
      <c r="Y412">
        <f>IF(AND(A412&lt;&gt;"",B412="Active",'State Search'!$C$5&lt;&gt;"",OR(X412=",ALL,",ISNUMBER(SEARCH(","&amp;'State Search'!$C$5&amp;",",X412)))),W412,"")</f>
        <v/>
      </c>
    </row>
    <row r="413">
      <c r="A413" s="64" t="n"/>
      <c r="B413" s="65" t="n"/>
      <c r="C413" s="64" t="n"/>
      <c r="D413" s="66" t="n"/>
      <c r="E413" s="66" t="n"/>
      <c r="F413" s="67" t="n"/>
      <c r="G413" s="67" t="n"/>
      <c r="H413" s="67" t="n"/>
      <c r="I413" s="67" t="n"/>
      <c r="J413" s="67" t="n"/>
      <c r="K413" s="67" t="n"/>
      <c r="L413" s="67" t="n"/>
      <c r="M413" s="67" t="n"/>
      <c r="N413" s="65" t="n"/>
      <c r="O413" s="84">
        <f>IF(A413="","",IF(E413="","No date",IF(TODAY()&gt;=EDATE(E413,Review_Months),"Review Due","Current")))</f>
        <v/>
      </c>
      <c r="P413" s="84">
        <f>IF(A413="","",IF(COUNTIFS('AFA Rates'!$A$5:$A$1004,A413,'AFA Rates'!$O$5:$O$1004,"&lt;&gt;Expired")&gt;0,"Yes",IF(COUNTIF('AFA Rates'!$A$5:$A$1004,A413)&gt;0,"Expired only","No")))</f>
        <v/>
      </c>
      <c r="Q413" s="84">
        <f>IF(A413="","",COUNTIFS('AFA Rates'!$A$5:$A$1004,A413,'AFA Rates'!$O$5:$O$1004,"&lt;&gt;Expired"))</f>
        <v/>
      </c>
      <c r="R413" s="66" t="n"/>
      <c r="S413" s="64" t="n"/>
      <c r="T413" s="64" t="n"/>
      <c r="U413">
        <f>IF(AND(A413&lt;&gt;"",B413="Paused"),COUNTIFS($A$5:A413,"&lt;&gt;",$B$5:B413,"Paused"),"")</f>
        <v/>
      </c>
      <c r="V413">
        <f>IF(P413="Yes",COUNTIF($P$5:P413,"Yes"),"")</f>
        <v/>
      </c>
      <c r="W413">
        <f>IF(A413="","",COUNTIF($A$5:$A$1004,"&lt;"&amp;A413)+COUNTIF($A$5:A413,A413))</f>
        <v/>
      </c>
      <c r="X413">
        <f>","&amp;SUBSTITUTE(SUBSTITUTE(SUBSTITUTE(UPPER(C413)," ",""),";",","),"/",",")&amp;","</f>
        <v/>
      </c>
      <c r="Y413">
        <f>IF(AND(A413&lt;&gt;"",B413="Active",'State Search'!$C$5&lt;&gt;"",OR(X413=",ALL,",ISNUMBER(SEARCH(","&amp;'State Search'!$C$5&amp;",",X413)))),W413,"")</f>
        <v/>
      </c>
    </row>
    <row r="414">
      <c r="A414" s="64" t="n"/>
      <c r="B414" s="65" t="n"/>
      <c r="C414" s="64" t="n"/>
      <c r="D414" s="66" t="n"/>
      <c r="E414" s="66" t="n"/>
      <c r="F414" s="67" t="n"/>
      <c r="G414" s="67" t="n"/>
      <c r="H414" s="67" t="n"/>
      <c r="I414" s="67" t="n"/>
      <c r="J414" s="67" t="n"/>
      <c r="K414" s="67" t="n"/>
      <c r="L414" s="67" t="n"/>
      <c r="M414" s="67" t="n"/>
      <c r="N414" s="65" t="n"/>
      <c r="O414" s="84">
        <f>IF(A414="","",IF(E414="","No date",IF(TODAY()&gt;=EDATE(E414,Review_Months),"Review Due","Current")))</f>
        <v/>
      </c>
      <c r="P414" s="84">
        <f>IF(A414="","",IF(COUNTIFS('AFA Rates'!$A$5:$A$1004,A414,'AFA Rates'!$O$5:$O$1004,"&lt;&gt;Expired")&gt;0,"Yes",IF(COUNTIF('AFA Rates'!$A$5:$A$1004,A414)&gt;0,"Expired only","No")))</f>
        <v/>
      </c>
      <c r="Q414" s="84">
        <f>IF(A414="","",COUNTIFS('AFA Rates'!$A$5:$A$1004,A414,'AFA Rates'!$O$5:$O$1004,"&lt;&gt;Expired"))</f>
        <v/>
      </c>
      <c r="R414" s="66" t="n"/>
      <c r="S414" s="64" t="n"/>
      <c r="T414" s="64" t="n"/>
      <c r="U414">
        <f>IF(AND(A414&lt;&gt;"",B414="Paused"),COUNTIFS($A$5:A414,"&lt;&gt;",$B$5:B414,"Paused"),"")</f>
        <v/>
      </c>
      <c r="V414">
        <f>IF(P414="Yes",COUNTIF($P$5:P414,"Yes"),"")</f>
        <v/>
      </c>
      <c r="W414">
        <f>IF(A414="","",COUNTIF($A$5:$A$1004,"&lt;"&amp;A414)+COUNTIF($A$5:A414,A414))</f>
        <v/>
      </c>
      <c r="X414">
        <f>","&amp;SUBSTITUTE(SUBSTITUTE(SUBSTITUTE(UPPER(C414)," ",""),";",","),"/",",")&amp;","</f>
        <v/>
      </c>
      <c r="Y414">
        <f>IF(AND(A414&lt;&gt;"",B414="Active",'State Search'!$C$5&lt;&gt;"",OR(X414=",ALL,",ISNUMBER(SEARCH(","&amp;'State Search'!$C$5&amp;",",X414)))),W414,"")</f>
        <v/>
      </c>
    </row>
    <row r="415">
      <c r="A415" s="64" t="n"/>
      <c r="B415" s="65" t="n"/>
      <c r="C415" s="64" t="n"/>
      <c r="D415" s="66" t="n"/>
      <c r="E415" s="66" t="n"/>
      <c r="F415" s="67" t="n"/>
      <c r="G415" s="67" t="n"/>
      <c r="H415" s="67" t="n"/>
      <c r="I415" s="67" t="n"/>
      <c r="J415" s="67" t="n"/>
      <c r="K415" s="67" t="n"/>
      <c r="L415" s="67" t="n"/>
      <c r="M415" s="67" t="n"/>
      <c r="N415" s="65" t="n"/>
      <c r="O415" s="84">
        <f>IF(A415="","",IF(E415="","No date",IF(TODAY()&gt;=EDATE(E415,Review_Months),"Review Due","Current")))</f>
        <v/>
      </c>
      <c r="P415" s="84">
        <f>IF(A415="","",IF(COUNTIFS('AFA Rates'!$A$5:$A$1004,A415,'AFA Rates'!$O$5:$O$1004,"&lt;&gt;Expired")&gt;0,"Yes",IF(COUNTIF('AFA Rates'!$A$5:$A$1004,A415)&gt;0,"Expired only","No")))</f>
        <v/>
      </c>
      <c r="Q415" s="84">
        <f>IF(A415="","",COUNTIFS('AFA Rates'!$A$5:$A$1004,A415,'AFA Rates'!$O$5:$O$1004,"&lt;&gt;Expired"))</f>
        <v/>
      </c>
      <c r="R415" s="66" t="n"/>
      <c r="S415" s="64" t="n"/>
      <c r="T415" s="64" t="n"/>
      <c r="U415">
        <f>IF(AND(A415&lt;&gt;"",B415="Paused"),COUNTIFS($A$5:A415,"&lt;&gt;",$B$5:B415,"Paused"),"")</f>
        <v/>
      </c>
      <c r="V415">
        <f>IF(P415="Yes",COUNTIF($P$5:P415,"Yes"),"")</f>
        <v/>
      </c>
      <c r="W415">
        <f>IF(A415="","",COUNTIF($A$5:$A$1004,"&lt;"&amp;A415)+COUNTIF($A$5:A415,A415))</f>
        <v/>
      </c>
      <c r="X415">
        <f>","&amp;SUBSTITUTE(SUBSTITUTE(SUBSTITUTE(UPPER(C415)," ",""),";",","),"/",",")&amp;","</f>
        <v/>
      </c>
      <c r="Y415">
        <f>IF(AND(A415&lt;&gt;"",B415="Active",'State Search'!$C$5&lt;&gt;"",OR(X415=",ALL,",ISNUMBER(SEARCH(","&amp;'State Search'!$C$5&amp;",",X415)))),W415,"")</f>
        <v/>
      </c>
    </row>
    <row r="416">
      <c r="A416" s="64" t="n"/>
      <c r="B416" s="65" t="n"/>
      <c r="C416" s="64" t="n"/>
      <c r="D416" s="66" t="n"/>
      <c r="E416" s="66" t="n"/>
      <c r="F416" s="67" t="n"/>
      <c r="G416" s="67" t="n"/>
      <c r="H416" s="67" t="n"/>
      <c r="I416" s="67" t="n"/>
      <c r="J416" s="67" t="n"/>
      <c r="K416" s="67" t="n"/>
      <c r="L416" s="67" t="n"/>
      <c r="M416" s="67" t="n"/>
      <c r="N416" s="65" t="n"/>
      <c r="O416" s="84">
        <f>IF(A416="","",IF(E416="","No date",IF(TODAY()&gt;=EDATE(E416,Review_Months),"Review Due","Current")))</f>
        <v/>
      </c>
      <c r="P416" s="84">
        <f>IF(A416="","",IF(COUNTIFS('AFA Rates'!$A$5:$A$1004,A416,'AFA Rates'!$O$5:$O$1004,"&lt;&gt;Expired")&gt;0,"Yes",IF(COUNTIF('AFA Rates'!$A$5:$A$1004,A416)&gt;0,"Expired only","No")))</f>
        <v/>
      </c>
      <c r="Q416" s="84">
        <f>IF(A416="","",COUNTIFS('AFA Rates'!$A$5:$A$1004,A416,'AFA Rates'!$O$5:$O$1004,"&lt;&gt;Expired"))</f>
        <v/>
      </c>
      <c r="R416" s="66" t="n"/>
      <c r="S416" s="64" t="n"/>
      <c r="T416" s="64" t="n"/>
      <c r="U416">
        <f>IF(AND(A416&lt;&gt;"",B416="Paused"),COUNTIFS($A$5:A416,"&lt;&gt;",$B$5:B416,"Paused"),"")</f>
        <v/>
      </c>
      <c r="V416">
        <f>IF(P416="Yes",COUNTIF($P$5:P416,"Yes"),"")</f>
        <v/>
      </c>
      <c r="W416">
        <f>IF(A416="","",COUNTIF($A$5:$A$1004,"&lt;"&amp;A416)+COUNTIF($A$5:A416,A416))</f>
        <v/>
      </c>
      <c r="X416">
        <f>","&amp;SUBSTITUTE(SUBSTITUTE(SUBSTITUTE(UPPER(C416)," ",""),";",","),"/",",")&amp;","</f>
        <v/>
      </c>
      <c r="Y416">
        <f>IF(AND(A416&lt;&gt;"",B416="Active",'State Search'!$C$5&lt;&gt;"",OR(X416=",ALL,",ISNUMBER(SEARCH(","&amp;'State Search'!$C$5&amp;",",X416)))),W416,"")</f>
        <v/>
      </c>
    </row>
    <row r="417">
      <c r="A417" s="64" t="n"/>
      <c r="B417" s="65" t="n"/>
      <c r="C417" s="64" t="n"/>
      <c r="D417" s="66" t="n"/>
      <c r="E417" s="66" t="n"/>
      <c r="F417" s="67" t="n"/>
      <c r="G417" s="67" t="n"/>
      <c r="H417" s="67" t="n"/>
      <c r="I417" s="67" t="n"/>
      <c r="J417" s="67" t="n"/>
      <c r="K417" s="67" t="n"/>
      <c r="L417" s="67" t="n"/>
      <c r="M417" s="67" t="n"/>
      <c r="N417" s="65" t="n"/>
      <c r="O417" s="84">
        <f>IF(A417="","",IF(E417="","No date",IF(TODAY()&gt;=EDATE(E417,Review_Months),"Review Due","Current")))</f>
        <v/>
      </c>
      <c r="P417" s="84">
        <f>IF(A417="","",IF(COUNTIFS('AFA Rates'!$A$5:$A$1004,A417,'AFA Rates'!$O$5:$O$1004,"&lt;&gt;Expired")&gt;0,"Yes",IF(COUNTIF('AFA Rates'!$A$5:$A$1004,A417)&gt;0,"Expired only","No")))</f>
        <v/>
      </c>
      <c r="Q417" s="84">
        <f>IF(A417="","",COUNTIFS('AFA Rates'!$A$5:$A$1004,A417,'AFA Rates'!$O$5:$O$1004,"&lt;&gt;Expired"))</f>
        <v/>
      </c>
      <c r="R417" s="66" t="n"/>
      <c r="S417" s="64" t="n"/>
      <c r="T417" s="64" t="n"/>
      <c r="U417">
        <f>IF(AND(A417&lt;&gt;"",B417="Paused"),COUNTIFS($A$5:A417,"&lt;&gt;",$B$5:B417,"Paused"),"")</f>
        <v/>
      </c>
      <c r="V417">
        <f>IF(P417="Yes",COUNTIF($P$5:P417,"Yes"),"")</f>
        <v/>
      </c>
      <c r="W417">
        <f>IF(A417="","",COUNTIF($A$5:$A$1004,"&lt;"&amp;A417)+COUNTIF($A$5:A417,A417))</f>
        <v/>
      </c>
      <c r="X417">
        <f>","&amp;SUBSTITUTE(SUBSTITUTE(SUBSTITUTE(UPPER(C417)," ",""),";",","),"/",",")&amp;","</f>
        <v/>
      </c>
      <c r="Y417">
        <f>IF(AND(A417&lt;&gt;"",B417="Active",'State Search'!$C$5&lt;&gt;"",OR(X417=",ALL,",ISNUMBER(SEARCH(","&amp;'State Search'!$C$5&amp;",",X417)))),W417,"")</f>
        <v/>
      </c>
    </row>
    <row r="418">
      <c r="A418" s="64" t="n"/>
      <c r="B418" s="65" t="n"/>
      <c r="C418" s="64" t="n"/>
      <c r="D418" s="66" t="n"/>
      <c r="E418" s="66" t="n"/>
      <c r="F418" s="67" t="n"/>
      <c r="G418" s="67" t="n"/>
      <c r="H418" s="67" t="n"/>
      <c r="I418" s="67" t="n"/>
      <c r="J418" s="67" t="n"/>
      <c r="K418" s="67" t="n"/>
      <c r="L418" s="67" t="n"/>
      <c r="M418" s="67" t="n"/>
      <c r="N418" s="65" t="n"/>
      <c r="O418" s="84">
        <f>IF(A418="","",IF(E418="","No date",IF(TODAY()&gt;=EDATE(E418,Review_Months),"Review Due","Current")))</f>
        <v/>
      </c>
      <c r="P418" s="84">
        <f>IF(A418="","",IF(COUNTIFS('AFA Rates'!$A$5:$A$1004,A418,'AFA Rates'!$O$5:$O$1004,"&lt;&gt;Expired")&gt;0,"Yes",IF(COUNTIF('AFA Rates'!$A$5:$A$1004,A418)&gt;0,"Expired only","No")))</f>
        <v/>
      </c>
      <c r="Q418" s="84">
        <f>IF(A418="","",COUNTIFS('AFA Rates'!$A$5:$A$1004,A418,'AFA Rates'!$O$5:$O$1004,"&lt;&gt;Expired"))</f>
        <v/>
      </c>
      <c r="R418" s="66" t="n"/>
      <c r="S418" s="64" t="n"/>
      <c r="T418" s="64" t="n"/>
      <c r="U418">
        <f>IF(AND(A418&lt;&gt;"",B418="Paused"),COUNTIFS($A$5:A418,"&lt;&gt;",$B$5:B418,"Paused"),"")</f>
        <v/>
      </c>
      <c r="V418">
        <f>IF(P418="Yes",COUNTIF($P$5:P418,"Yes"),"")</f>
        <v/>
      </c>
      <c r="W418">
        <f>IF(A418="","",COUNTIF($A$5:$A$1004,"&lt;"&amp;A418)+COUNTIF($A$5:A418,A418))</f>
        <v/>
      </c>
      <c r="X418">
        <f>","&amp;SUBSTITUTE(SUBSTITUTE(SUBSTITUTE(UPPER(C418)," ",""),";",","),"/",",")&amp;","</f>
        <v/>
      </c>
      <c r="Y418">
        <f>IF(AND(A418&lt;&gt;"",B418="Active",'State Search'!$C$5&lt;&gt;"",OR(X418=",ALL,",ISNUMBER(SEARCH(","&amp;'State Search'!$C$5&amp;",",X418)))),W418,"")</f>
        <v/>
      </c>
    </row>
    <row r="419">
      <c r="A419" s="64" t="n"/>
      <c r="B419" s="65" t="n"/>
      <c r="C419" s="64" t="n"/>
      <c r="D419" s="66" t="n"/>
      <c r="E419" s="66" t="n"/>
      <c r="F419" s="67" t="n"/>
      <c r="G419" s="67" t="n"/>
      <c r="H419" s="67" t="n"/>
      <c r="I419" s="67" t="n"/>
      <c r="J419" s="67" t="n"/>
      <c r="K419" s="67" t="n"/>
      <c r="L419" s="67" t="n"/>
      <c r="M419" s="67" t="n"/>
      <c r="N419" s="65" t="n"/>
      <c r="O419" s="84">
        <f>IF(A419="","",IF(E419="","No date",IF(TODAY()&gt;=EDATE(E419,Review_Months),"Review Due","Current")))</f>
        <v/>
      </c>
      <c r="P419" s="84">
        <f>IF(A419="","",IF(COUNTIFS('AFA Rates'!$A$5:$A$1004,A419,'AFA Rates'!$O$5:$O$1004,"&lt;&gt;Expired")&gt;0,"Yes",IF(COUNTIF('AFA Rates'!$A$5:$A$1004,A419)&gt;0,"Expired only","No")))</f>
        <v/>
      </c>
      <c r="Q419" s="84">
        <f>IF(A419="","",COUNTIFS('AFA Rates'!$A$5:$A$1004,A419,'AFA Rates'!$O$5:$O$1004,"&lt;&gt;Expired"))</f>
        <v/>
      </c>
      <c r="R419" s="66" t="n"/>
      <c r="S419" s="64" t="n"/>
      <c r="T419" s="64" t="n"/>
      <c r="U419">
        <f>IF(AND(A419&lt;&gt;"",B419="Paused"),COUNTIFS($A$5:A419,"&lt;&gt;",$B$5:B419,"Paused"),"")</f>
        <v/>
      </c>
      <c r="V419">
        <f>IF(P419="Yes",COUNTIF($P$5:P419,"Yes"),"")</f>
        <v/>
      </c>
      <c r="W419">
        <f>IF(A419="","",COUNTIF($A$5:$A$1004,"&lt;"&amp;A419)+COUNTIF($A$5:A419,A419))</f>
        <v/>
      </c>
      <c r="X419">
        <f>","&amp;SUBSTITUTE(SUBSTITUTE(SUBSTITUTE(UPPER(C419)," ",""),";",","),"/",",")&amp;","</f>
        <v/>
      </c>
      <c r="Y419">
        <f>IF(AND(A419&lt;&gt;"",B419="Active",'State Search'!$C$5&lt;&gt;"",OR(X419=",ALL,",ISNUMBER(SEARCH(","&amp;'State Search'!$C$5&amp;",",X419)))),W419,"")</f>
        <v/>
      </c>
    </row>
    <row r="420">
      <c r="A420" s="64" t="n"/>
      <c r="B420" s="65" t="n"/>
      <c r="C420" s="64" t="n"/>
      <c r="D420" s="66" t="n"/>
      <c r="E420" s="66" t="n"/>
      <c r="F420" s="67" t="n"/>
      <c r="G420" s="67" t="n"/>
      <c r="H420" s="67" t="n"/>
      <c r="I420" s="67" t="n"/>
      <c r="J420" s="67" t="n"/>
      <c r="K420" s="67" t="n"/>
      <c r="L420" s="67" t="n"/>
      <c r="M420" s="67" t="n"/>
      <c r="N420" s="65" t="n"/>
      <c r="O420" s="84">
        <f>IF(A420="","",IF(E420="","No date",IF(TODAY()&gt;=EDATE(E420,Review_Months),"Review Due","Current")))</f>
        <v/>
      </c>
      <c r="P420" s="84">
        <f>IF(A420="","",IF(COUNTIFS('AFA Rates'!$A$5:$A$1004,A420,'AFA Rates'!$O$5:$O$1004,"&lt;&gt;Expired")&gt;0,"Yes",IF(COUNTIF('AFA Rates'!$A$5:$A$1004,A420)&gt;0,"Expired only","No")))</f>
        <v/>
      </c>
      <c r="Q420" s="84">
        <f>IF(A420="","",COUNTIFS('AFA Rates'!$A$5:$A$1004,A420,'AFA Rates'!$O$5:$O$1004,"&lt;&gt;Expired"))</f>
        <v/>
      </c>
      <c r="R420" s="66" t="n"/>
      <c r="S420" s="64" t="n"/>
      <c r="T420" s="64" t="n"/>
      <c r="U420">
        <f>IF(AND(A420&lt;&gt;"",B420="Paused"),COUNTIFS($A$5:A420,"&lt;&gt;",$B$5:B420,"Paused"),"")</f>
        <v/>
      </c>
      <c r="V420">
        <f>IF(P420="Yes",COUNTIF($P$5:P420,"Yes"),"")</f>
        <v/>
      </c>
      <c r="W420">
        <f>IF(A420="","",COUNTIF($A$5:$A$1004,"&lt;"&amp;A420)+COUNTIF($A$5:A420,A420))</f>
        <v/>
      </c>
      <c r="X420">
        <f>","&amp;SUBSTITUTE(SUBSTITUTE(SUBSTITUTE(UPPER(C420)," ",""),";",","),"/",",")&amp;","</f>
        <v/>
      </c>
      <c r="Y420">
        <f>IF(AND(A420&lt;&gt;"",B420="Active",'State Search'!$C$5&lt;&gt;"",OR(X420=",ALL,",ISNUMBER(SEARCH(","&amp;'State Search'!$C$5&amp;",",X420)))),W420,"")</f>
        <v/>
      </c>
    </row>
    <row r="421">
      <c r="A421" s="64" t="n"/>
      <c r="B421" s="65" t="n"/>
      <c r="C421" s="64" t="n"/>
      <c r="D421" s="66" t="n"/>
      <c r="E421" s="66" t="n"/>
      <c r="F421" s="67" t="n"/>
      <c r="G421" s="67" t="n"/>
      <c r="H421" s="67" t="n"/>
      <c r="I421" s="67" t="n"/>
      <c r="J421" s="67" t="n"/>
      <c r="K421" s="67" t="n"/>
      <c r="L421" s="67" t="n"/>
      <c r="M421" s="67" t="n"/>
      <c r="N421" s="65" t="n"/>
      <c r="O421" s="84">
        <f>IF(A421="","",IF(E421="","No date",IF(TODAY()&gt;=EDATE(E421,Review_Months),"Review Due","Current")))</f>
        <v/>
      </c>
      <c r="P421" s="84">
        <f>IF(A421="","",IF(COUNTIFS('AFA Rates'!$A$5:$A$1004,A421,'AFA Rates'!$O$5:$O$1004,"&lt;&gt;Expired")&gt;0,"Yes",IF(COUNTIF('AFA Rates'!$A$5:$A$1004,A421)&gt;0,"Expired only","No")))</f>
        <v/>
      </c>
      <c r="Q421" s="84">
        <f>IF(A421="","",COUNTIFS('AFA Rates'!$A$5:$A$1004,A421,'AFA Rates'!$O$5:$O$1004,"&lt;&gt;Expired"))</f>
        <v/>
      </c>
      <c r="R421" s="66" t="n"/>
      <c r="S421" s="64" t="n"/>
      <c r="T421" s="64" t="n"/>
      <c r="U421">
        <f>IF(AND(A421&lt;&gt;"",B421="Paused"),COUNTIFS($A$5:A421,"&lt;&gt;",$B$5:B421,"Paused"),"")</f>
        <v/>
      </c>
      <c r="V421">
        <f>IF(P421="Yes",COUNTIF($P$5:P421,"Yes"),"")</f>
        <v/>
      </c>
      <c r="W421">
        <f>IF(A421="","",COUNTIF($A$5:$A$1004,"&lt;"&amp;A421)+COUNTIF($A$5:A421,A421))</f>
        <v/>
      </c>
      <c r="X421">
        <f>","&amp;SUBSTITUTE(SUBSTITUTE(SUBSTITUTE(UPPER(C421)," ",""),";",","),"/",",")&amp;","</f>
        <v/>
      </c>
      <c r="Y421">
        <f>IF(AND(A421&lt;&gt;"",B421="Active",'State Search'!$C$5&lt;&gt;"",OR(X421=",ALL,",ISNUMBER(SEARCH(","&amp;'State Search'!$C$5&amp;",",X421)))),W421,"")</f>
        <v/>
      </c>
    </row>
    <row r="422">
      <c r="A422" s="64" t="n"/>
      <c r="B422" s="65" t="n"/>
      <c r="C422" s="64" t="n"/>
      <c r="D422" s="66" t="n"/>
      <c r="E422" s="66" t="n"/>
      <c r="F422" s="67" t="n"/>
      <c r="G422" s="67" t="n"/>
      <c r="H422" s="67" t="n"/>
      <c r="I422" s="67" t="n"/>
      <c r="J422" s="67" t="n"/>
      <c r="K422" s="67" t="n"/>
      <c r="L422" s="67" t="n"/>
      <c r="M422" s="67" t="n"/>
      <c r="N422" s="65" t="n"/>
      <c r="O422" s="84">
        <f>IF(A422="","",IF(E422="","No date",IF(TODAY()&gt;=EDATE(E422,Review_Months),"Review Due","Current")))</f>
        <v/>
      </c>
      <c r="P422" s="84">
        <f>IF(A422="","",IF(COUNTIFS('AFA Rates'!$A$5:$A$1004,A422,'AFA Rates'!$O$5:$O$1004,"&lt;&gt;Expired")&gt;0,"Yes",IF(COUNTIF('AFA Rates'!$A$5:$A$1004,A422)&gt;0,"Expired only","No")))</f>
        <v/>
      </c>
      <c r="Q422" s="84">
        <f>IF(A422="","",COUNTIFS('AFA Rates'!$A$5:$A$1004,A422,'AFA Rates'!$O$5:$O$1004,"&lt;&gt;Expired"))</f>
        <v/>
      </c>
      <c r="R422" s="66" t="n"/>
      <c r="S422" s="64" t="n"/>
      <c r="T422" s="64" t="n"/>
      <c r="U422">
        <f>IF(AND(A422&lt;&gt;"",B422="Paused"),COUNTIFS($A$5:A422,"&lt;&gt;",$B$5:B422,"Paused"),"")</f>
        <v/>
      </c>
      <c r="V422">
        <f>IF(P422="Yes",COUNTIF($P$5:P422,"Yes"),"")</f>
        <v/>
      </c>
      <c r="W422">
        <f>IF(A422="","",COUNTIF($A$5:$A$1004,"&lt;"&amp;A422)+COUNTIF($A$5:A422,A422))</f>
        <v/>
      </c>
      <c r="X422">
        <f>","&amp;SUBSTITUTE(SUBSTITUTE(SUBSTITUTE(UPPER(C422)," ",""),";",","),"/",",")&amp;","</f>
        <v/>
      </c>
      <c r="Y422">
        <f>IF(AND(A422&lt;&gt;"",B422="Active",'State Search'!$C$5&lt;&gt;"",OR(X422=",ALL,",ISNUMBER(SEARCH(","&amp;'State Search'!$C$5&amp;",",X422)))),W422,"")</f>
        <v/>
      </c>
    </row>
    <row r="423">
      <c r="A423" s="64" t="n"/>
      <c r="B423" s="65" t="n"/>
      <c r="C423" s="64" t="n"/>
      <c r="D423" s="66" t="n"/>
      <c r="E423" s="66" t="n"/>
      <c r="F423" s="67" t="n"/>
      <c r="G423" s="67" t="n"/>
      <c r="H423" s="67" t="n"/>
      <c r="I423" s="67" t="n"/>
      <c r="J423" s="67" t="n"/>
      <c r="K423" s="67" t="n"/>
      <c r="L423" s="67" t="n"/>
      <c r="M423" s="67" t="n"/>
      <c r="N423" s="65" t="n"/>
      <c r="O423" s="84">
        <f>IF(A423="","",IF(E423="","No date",IF(TODAY()&gt;=EDATE(E423,Review_Months),"Review Due","Current")))</f>
        <v/>
      </c>
      <c r="P423" s="84">
        <f>IF(A423="","",IF(COUNTIFS('AFA Rates'!$A$5:$A$1004,A423,'AFA Rates'!$O$5:$O$1004,"&lt;&gt;Expired")&gt;0,"Yes",IF(COUNTIF('AFA Rates'!$A$5:$A$1004,A423)&gt;0,"Expired only","No")))</f>
        <v/>
      </c>
      <c r="Q423" s="84">
        <f>IF(A423="","",COUNTIFS('AFA Rates'!$A$5:$A$1004,A423,'AFA Rates'!$O$5:$O$1004,"&lt;&gt;Expired"))</f>
        <v/>
      </c>
      <c r="R423" s="66" t="n"/>
      <c r="S423" s="64" t="n"/>
      <c r="T423" s="64" t="n"/>
      <c r="U423">
        <f>IF(AND(A423&lt;&gt;"",B423="Paused"),COUNTIFS($A$5:A423,"&lt;&gt;",$B$5:B423,"Paused"),"")</f>
        <v/>
      </c>
      <c r="V423">
        <f>IF(P423="Yes",COUNTIF($P$5:P423,"Yes"),"")</f>
        <v/>
      </c>
      <c r="W423">
        <f>IF(A423="","",COUNTIF($A$5:$A$1004,"&lt;"&amp;A423)+COUNTIF($A$5:A423,A423))</f>
        <v/>
      </c>
      <c r="X423">
        <f>","&amp;SUBSTITUTE(SUBSTITUTE(SUBSTITUTE(UPPER(C423)," ",""),";",","),"/",",")&amp;","</f>
        <v/>
      </c>
      <c r="Y423">
        <f>IF(AND(A423&lt;&gt;"",B423="Active",'State Search'!$C$5&lt;&gt;"",OR(X423=",ALL,",ISNUMBER(SEARCH(","&amp;'State Search'!$C$5&amp;",",X423)))),W423,"")</f>
        <v/>
      </c>
    </row>
    <row r="424">
      <c r="A424" s="64" t="n"/>
      <c r="B424" s="65" t="n"/>
      <c r="C424" s="64" t="n"/>
      <c r="D424" s="66" t="n"/>
      <c r="E424" s="66" t="n"/>
      <c r="F424" s="67" t="n"/>
      <c r="G424" s="67" t="n"/>
      <c r="H424" s="67" t="n"/>
      <c r="I424" s="67" t="n"/>
      <c r="J424" s="67" t="n"/>
      <c r="K424" s="67" t="n"/>
      <c r="L424" s="67" t="n"/>
      <c r="M424" s="67" t="n"/>
      <c r="N424" s="65" t="n"/>
      <c r="O424" s="84">
        <f>IF(A424="","",IF(E424="","No date",IF(TODAY()&gt;=EDATE(E424,Review_Months),"Review Due","Current")))</f>
        <v/>
      </c>
      <c r="P424" s="84">
        <f>IF(A424="","",IF(COUNTIFS('AFA Rates'!$A$5:$A$1004,A424,'AFA Rates'!$O$5:$O$1004,"&lt;&gt;Expired")&gt;0,"Yes",IF(COUNTIF('AFA Rates'!$A$5:$A$1004,A424)&gt;0,"Expired only","No")))</f>
        <v/>
      </c>
      <c r="Q424" s="84">
        <f>IF(A424="","",COUNTIFS('AFA Rates'!$A$5:$A$1004,A424,'AFA Rates'!$O$5:$O$1004,"&lt;&gt;Expired"))</f>
        <v/>
      </c>
      <c r="R424" s="66" t="n"/>
      <c r="S424" s="64" t="n"/>
      <c r="T424" s="64" t="n"/>
      <c r="U424">
        <f>IF(AND(A424&lt;&gt;"",B424="Paused"),COUNTIFS($A$5:A424,"&lt;&gt;",$B$5:B424,"Paused"),"")</f>
        <v/>
      </c>
      <c r="V424">
        <f>IF(P424="Yes",COUNTIF($P$5:P424,"Yes"),"")</f>
        <v/>
      </c>
      <c r="W424">
        <f>IF(A424="","",COUNTIF($A$5:$A$1004,"&lt;"&amp;A424)+COUNTIF($A$5:A424,A424))</f>
        <v/>
      </c>
      <c r="X424">
        <f>","&amp;SUBSTITUTE(SUBSTITUTE(SUBSTITUTE(UPPER(C424)," ",""),";",","),"/",",")&amp;","</f>
        <v/>
      </c>
      <c r="Y424">
        <f>IF(AND(A424&lt;&gt;"",B424="Active",'State Search'!$C$5&lt;&gt;"",OR(X424=",ALL,",ISNUMBER(SEARCH(","&amp;'State Search'!$C$5&amp;",",X424)))),W424,"")</f>
        <v/>
      </c>
    </row>
    <row r="425">
      <c r="A425" s="64" t="n"/>
      <c r="B425" s="65" t="n"/>
      <c r="C425" s="64" t="n"/>
      <c r="D425" s="66" t="n"/>
      <c r="E425" s="66" t="n"/>
      <c r="F425" s="67" t="n"/>
      <c r="G425" s="67" t="n"/>
      <c r="H425" s="67" t="n"/>
      <c r="I425" s="67" t="n"/>
      <c r="J425" s="67" t="n"/>
      <c r="K425" s="67" t="n"/>
      <c r="L425" s="67" t="n"/>
      <c r="M425" s="67" t="n"/>
      <c r="N425" s="65" t="n"/>
      <c r="O425" s="84">
        <f>IF(A425="","",IF(E425="","No date",IF(TODAY()&gt;=EDATE(E425,Review_Months),"Review Due","Current")))</f>
        <v/>
      </c>
      <c r="P425" s="84">
        <f>IF(A425="","",IF(COUNTIFS('AFA Rates'!$A$5:$A$1004,A425,'AFA Rates'!$O$5:$O$1004,"&lt;&gt;Expired")&gt;0,"Yes",IF(COUNTIF('AFA Rates'!$A$5:$A$1004,A425)&gt;0,"Expired only","No")))</f>
        <v/>
      </c>
      <c r="Q425" s="84">
        <f>IF(A425="","",COUNTIFS('AFA Rates'!$A$5:$A$1004,A425,'AFA Rates'!$O$5:$O$1004,"&lt;&gt;Expired"))</f>
        <v/>
      </c>
      <c r="R425" s="66" t="n"/>
      <c r="S425" s="64" t="n"/>
      <c r="T425" s="64" t="n"/>
      <c r="U425">
        <f>IF(AND(A425&lt;&gt;"",B425="Paused"),COUNTIFS($A$5:A425,"&lt;&gt;",$B$5:B425,"Paused"),"")</f>
        <v/>
      </c>
      <c r="V425">
        <f>IF(P425="Yes",COUNTIF($P$5:P425,"Yes"),"")</f>
        <v/>
      </c>
      <c r="W425">
        <f>IF(A425="","",COUNTIF($A$5:$A$1004,"&lt;"&amp;A425)+COUNTIF($A$5:A425,A425))</f>
        <v/>
      </c>
      <c r="X425">
        <f>","&amp;SUBSTITUTE(SUBSTITUTE(SUBSTITUTE(UPPER(C425)," ",""),";",","),"/",",")&amp;","</f>
        <v/>
      </c>
      <c r="Y425">
        <f>IF(AND(A425&lt;&gt;"",B425="Active",'State Search'!$C$5&lt;&gt;"",OR(X425=",ALL,",ISNUMBER(SEARCH(","&amp;'State Search'!$C$5&amp;",",X425)))),W425,"")</f>
        <v/>
      </c>
    </row>
    <row r="426">
      <c r="A426" s="64" t="n"/>
      <c r="B426" s="65" t="n"/>
      <c r="C426" s="64" t="n"/>
      <c r="D426" s="66" t="n"/>
      <c r="E426" s="66" t="n"/>
      <c r="F426" s="67" t="n"/>
      <c r="G426" s="67" t="n"/>
      <c r="H426" s="67" t="n"/>
      <c r="I426" s="67" t="n"/>
      <c r="J426" s="67" t="n"/>
      <c r="K426" s="67" t="n"/>
      <c r="L426" s="67" t="n"/>
      <c r="M426" s="67" t="n"/>
      <c r="N426" s="65" t="n"/>
      <c r="O426" s="84">
        <f>IF(A426="","",IF(E426="","No date",IF(TODAY()&gt;=EDATE(E426,Review_Months),"Review Due","Current")))</f>
        <v/>
      </c>
      <c r="P426" s="84">
        <f>IF(A426="","",IF(COUNTIFS('AFA Rates'!$A$5:$A$1004,A426,'AFA Rates'!$O$5:$O$1004,"&lt;&gt;Expired")&gt;0,"Yes",IF(COUNTIF('AFA Rates'!$A$5:$A$1004,A426)&gt;0,"Expired only","No")))</f>
        <v/>
      </c>
      <c r="Q426" s="84">
        <f>IF(A426="","",COUNTIFS('AFA Rates'!$A$5:$A$1004,A426,'AFA Rates'!$O$5:$O$1004,"&lt;&gt;Expired"))</f>
        <v/>
      </c>
      <c r="R426" s="66" t="n"/>
      <c r="S426" s="64" t="n"/>
      <c r="T426" s="64" t="n"/>
      <c r="U426">
        <f>IF(AND(A426&lt;&gt;"",B426="Paused"),COUNTIFS($A$5:A426,"&lt;&gt;",$B$5:B426,"Paused"),"")</f>
        <v/>
      </c>
      <c r="V426">
        <f>IF(P426="Yes",COUNTIF($P$5:P426,"Yes"),"")</f>
        <v/>
      </c>
      <c r="W426">
        <f>IF(A426="","",COUNTIF($A$5:$A$1004,"&lt;"&amp;A426)+COUNTIF($A$5:A426,A426))</f>
        <v/>
      </c>
      <c r="X426">
        <f>","&amp;SUBSTITUTE(SUBSTITUTE(SUBSTITUTE(UPPER(C426)," ",""),";",","),"/",",")&amp;","</f>
        <v/>
      </c>
      <c r="Y426">
        <f>IF(AND(A426&lt;&gt;"",B426="Active",'State Search'!$C$5&lt;&gt;"",OR(X426=",ALL,",ISNUMBER(SEARCH(","&amp;'State Search'!$C$5&amp;",",X426)))),W426,"")</f>
        <v/>
      </c>
    </row>
    <row r="427">
      <c r="A427" s="64" t="n"/>
      <c r="B427" s="65" t="n"/>
      <c r="C427" s="64" t="n"/>
      <c r="D427" s="66" t="n"/>
      <c r="E427" s="66" t="n"/>
      <c r="F427" s="67" t="n"/>
      <c r="G427" s="67" t="n"/>
      <c r="H427" s="67" t="n"/>
      <c r="I427" s="67" t="n"/>
      <c r="J427" s="67" t="n"/>
      <c r="K427" s="67" t="n"/>
      <c r="L427" s="67" t="n"/>
      <c r="M427" s="67" t="n"/>
      <c r="N427" s="65" t="n"/>
      <c r="O427" s="84">
        <f>IF(A427="","",IF(E427="","No date",IF(TODAY()&gt;=EDATE(E427,Review_Months),"Review Due","Current")))</f>
        <v/>
      </c>
      <c r="P427" s="84">
        <f>IF(A427="","",IF(COUNTIFS('AFA Rates'!$A$5:$A$1004,A427,'AFA Rates'!$O$5:$O$1004,"&lt;&gt;Expired")&gt;0,"Yes",IF(COUNTIF('AFA Rates'!$A$5:$A$1004,A427)&gt;0,"Expired only","No")))</f>
        <v/>
      </c>
      <c r="Q427" s="84">
        <f>IF(A427="","",COUNTIFS('AFA Rates'!$A$5:$A$1004,A427,'AFA Rates'!$O$5:$O$1004,"&lt;&gt;Expired"))</f>
        <v/>
      </c>
      <c r="R427" s="66" t="n"/>
      <c r="S427" s="64" t="n"/>
      <c r="T427" s="64" t="n"/>
      <c r="U427">
        <f>IF(AND(A427&lt;&gt;"",B427="Paused"),COUNTIFS($A$5:A427,"&lt;&gt;",$B$5:B427,"Paused"),"")</f>
        <v/>
      </c>
      <c r="V427">
        <f>IF(P427="Yes",COUNTIF($P$5:P427,"Yes"),"")</f>
        <v/>
      </c>
      <c r="W427">
        <f>IF(A427="","",COUNTIF($A$5:$A$1004,"&lt;"&amp;A427)+COUNTIF($A$5:A427,A427))</f>
        <v/>
      </c>
      <c r="X427">
        <f>","&amp;SUBSTITUTE(SUBSTITUTE(SUBSTITUTE(UPPER(C427)," ",""),";",","),"/",",")&amp;","</f>
        <v/>
      </c>
      <c r="Y427">
        <f>IF(AND(A427&lt;&gt;"",B427="Active",'State Search'!$C$5&lt;&gt;"",OR(X427=",ALL,",ISNUMBER(SEARCH(","&amp;'State Search'!$C$5&amp;",",X427)))),W427,"")</f>
        <v/>
      </c>
    </row>
    <row r="428">
      <c r="A428" s="64" t="n"/>
      <c r="B428" s="65" t="n"/>
      <c r="C428" s="64" t="n"/>
      <c r="D428" s="66" t="n"/>
      <c r="E428" s="66" t="n"/>
      <c r="F428" s="67" t="n"/>
      <c r="G428" s="67" t="n"/>
      <c r="H428" s="67" t="n"/>
      <c r="I428" s="67" t="n"/>
      <c r="J428" s="67" t="n"/>
      <c r="K428" s="67" t="n"/>
      <c r="L428" s="67" t="n"/>
      <c r="M428" s="67" t="n"/>
      <c r="N428" s="65" t="n"/>
      <c r="O428" s="84">
        <f>IF(A428="","",IF(E428="","No date",IF(TODAY()&gt;=EDATE(E428,Review_Months),"Review Due","Current")))</f>
        <v/>
      </c>
      <c r="P428" s="84">
        <f>IF(A428="","",IF(COUNTIFS('AFA Rates'!$A$5:$A$1004,A428,'AFA Rates'!$O$5:$O$1004,"&lt;&gt;Expired")&gt;0,"Yes",IF(COUNTIF('AFA Rates'!$A$5:$A$1004,A428)&gt;0,"Expired only","No")))</f>
        <v/>
      </c>
      <c r="Q428" s="84">
        <f>IF(A428="","",COUNTIFS('AFA Rates'!$A$5:$A$1004,A428,'AFA Rates'!$O$5:$O$1004,"&lt;&gt;Expired"))</f>
        <v/>
      </c>
      <c r="R428" s="66" t="n"/>
      <c r="S428" s="64" t="n"/>
      <c r="T428" s="64" t="n"/>
      <c r="U428">
        <f>IF(AND(A428&lt;&gt;"",B428="Paused"),COUNTIFS($A$5:A428,"&lt;&gt;",$B$5:B428,"Paused"),"")</f>
        <v/>
      </c>
      <c r="V428">
        <f>IF(P428="Yes",COUNTIF($P$5:P428,"Yes"),"")</f>
        <v/>
      </c>
      <c r="W428">
        <f>IF(A428="","",COUNTIF($A$5:$A$1004,"&lt;"&amp;A428)+COUNTIF($A$5:A428,A428))</f>
        <v/>
      </c>
      <c r="X428">
        <f>","&amp;SUBSTITUTE(SUBSTITUTE(SUBSTITUTE(UPPER(C428)," ",""),";",","),"/",",")&amp;","</f>
        <v/>
      </c>
      <c r="Y428">
        <f>IF(AND(A428&lt;&gt;"",B428="Active",'State Search'!$C$5&lt;&gt;"",OR(X428=",ALL,",ISNUMBER(SEARCH(","&amp;'State Search'!$C$5&amp;",",X428)))),W428,"")</f>
        <v/>
      </c>
    </row>
    <row r="429">
      <c r="A429" s="64" t="n"/>
      <c r="B429" s="65" t="n"/>
      <c r="C429" s="64" t="n"/>
      <c r="D429" s="66" t="n"/>
      <c r="E429" s="66" t="n"/>
      <c r="F429" s="67" t="n"/>
      <c r="G429" s="67" t="n"/>
      <c r="H429" s="67" t="n"/>
      <c r="I429" s="67" t="n"/>
      <c r="J429" s="67" t="n"/>
      <c r="K429" s="67" t="n"/>
      <c r="L429" s="67" t="n"/>
      <c r="M429" s="67" t="n"/>
      <c r="N429" s="65" t="n"/>
      <c r="O429" s="84">
        <f>IF(A429="","",IF(E429="","No date",IF(TODAY()&gt;=EDATE(E429,Review_Months),"Review Due","Current")))</f>
        <v/>
      </c>
      <c r="P429" s="84">
        <f>IF(A429="","",IF(COUNTIFS('AFA Rates'!$A$5:$A$1004,A429,'AFA Rates'!$O$5:$O$1004,"&lt;&gt;Expired")&gt;0,"Yes",IF(COUNTIF('AFA Rates'!$A$5:$A$1004,A429)&gt;0,"Expired only","No")))</f>
        <v/>
      </c>
      <c r="Q429" s="84">
        <f>IF(A429="","",COUNTIFS('AFA Rates'!$A$5:$A$1004,A429,'AFA Rates'!$O$5:$O$1004,"&lt;&gt;Expired"))</f>
        <v/>
      </c>
      <c r="R429" s="66" t="n"/>
      <c r="S429" s="64" t="n"/>
      <c r="T429" s="64" t="n"/>
      <c r="U429">
        <f>IF(AND(A429&lt;&gt;"",B429="Paused"),COUNTIFS($A$5:A429,"&lt;&gt;",$B$5:B429,"Paused"),"")</f>
        <v/>
      </c>
      <c r="V429">
        <f>IF(P429="Yes",COUNTIF($P$5:P429,"Yes"),"")</f>
        <v/>
      </c>
      <c r="W429">
        <f>IF(A429="","",COUNTIF($A$5:$A$1004,"&lt;"&amp;A429)+COUNTIF($A$5:A429,A429))</f>
        <v/>
      </c>
      <c r="X429">
        <f>","&amp;SUBSTITUTE(SUBSTITUTE(SUBSTITUTE(UPPER(C429)," ",""),";",","),"/",",")&amp;","</f>
        <v/>
      </c>
      <c r="Y429">
        <f>IF(AND(A429&lt;&gt;"",B429="Active",'State Search'!$C$5&lt;&gt;"",OR(X429=",ALL,",ISNUMBER(SEARCH(","&amp;'State Search'!$C$5&amp;",",X429)))),W429,"")</f>
        <v/>
      </c>
    </row>
    <row r="430">
      <c r="A430" s="64" t="n"/>
      <c r="B430" s="65" t="n"/>
      <c r="C430" s="64" t="n"/>
      <c r="D430" s="66" t="n"/>
      <c r="E430" s="66" t="n"/>
      <c r="F430" s="67" t="n"/>
      <c r="G430" s="67" t="n"/>
      <c r="H430" s="67" t="n"/>
      <c r="I430" s="67" t="n"/>
      <c r="J430" s="67" t="n"/>
      <c r="K430" s="67" t="n"/>
      <c r="L430" s="67" t="n"/>
      <c r="M430" s="67" t="n"/>
      <c r="N430" s="65" t="n"/>
      <c r="O430" s="84">
        <f>IF(A430="","",IF(E430="","No date",IF(TODAY()&gt;=EDATE(E430,Review_Months),"Review Due","Current")))</f>
        <v/>
      </c>
      <c r="P430" s="84">
        <f>IF(A430="","",IF(COUNTIFS('AFA Rates'!$A$5:$A$1004,A430,'AFA Rates'!$O$5:$O$1004,"&lt;&gt;Expired")&gt;0,"Yes",IF(COUNTIF('AFA Rates'!$A$5:$A$1004,A430)&gt;0,"Expired only","No")))</f>
        <v/>
      </c>
      <c r="Q430" s="84">
        <f>IF(A430="","",COUNTIFS('AFA Rates'!$A$5:$A$1004,A430,'AFA Rates'!$O$5:$O$1004,"&lt;&gt;Expired"))</f>
        <v/>
      </c>
      <c r="R430" s="66" t="n"/>
      <c r="S430" s="64" t="n"/>
      <c r="T430" s="64" t="n"/>
      <c r="U430">
        <f>IF(AND(A430&lt;&gt;"",B430="Paused"),COUNTIFS($A$5:A430,"&lt;&gt;",$B$5:B430,"Paused"),"")</f>
        <v/>
      </c>
      <c r="V430">
        <f>IF(P430="Yes",COUNTIF($P$5:P430,"Yes"),"")</f>
        <v/>
      </c>
      <c r="W430">
        <f>IF(A430="","",COUNTIF($A$5:$A$1004,"&lt;"&amp;A430)+COUNTIF($A$5:A430,A430))</f>
        <v/>
      </c>
      <c r="X430">
        <f>","&amp;SUBSTITUTE(SUBSTITUTE(SUBSTITUTE(UPPER(C430)," ",""),";",","),"/",",")&amp;","</f>
        <v/>
      </c>
      <c r="Y430">
        <f>IF(AND(A430&lt;&gt;"",B430="Active",'State Search'!$C$5&lt;&gt;"",OR(X430=",ALL,",ISNUMBER(SEARCH(","&amp;'State Search'!$C$5&amp;",",X430)))),W430,"")</f>
        <v/>
      </c>
    </row>
    <row r="431">
      <c r="A431" s="64" t="n"/>
      <c r="B431" s="65" t="n"/>
      <c r="C431" s="64" t="n"/>
      <c r="D431" s="66" t="n"/>
      <c r="E431" s="66" t="n"/>
      <c r="F431" s="67" t="n"/>
      <c r="G431" s="67" t="n"/>
      <c r="H431" s="67" t="n"/>
      <c r="I431" s="67" t="n"/>
      <c r="J431" s="67" t="n"/>
      <c r="K431" s="67" t="n"/>
      <c r="L431" s="67" t="n"/>
      <c r="M431" s="67" t="n"/>
      <c r="N431" s="65" t="n"/>
      <c r="O431" s="84">
        <f>IF(A431="","",IF(E431="","No date",IF(TODAY()&gt;=EDATE(E431,Review_Months),"Review Due","Current")))</f>
        <v/>
      </c>
      <c r="P431" s="84">
        <f>IF(A431="","",IF(COUNTIFS('AFA Rates'!$A$5:$A$1004,A431,'AFA Rates'!$O$5:$O$1004,"&lt;&gt;Expired")&gt;0,"Yes",IF(COUNTIF('AFA Rates'!$A$5:$A$1004,A431)&gt;0,"Expired only","No")))</f>
        <v/>
      </c>
      <c r="Q431" s="84">
        <f>IF(A431="","",COUNTIFS('AFA Rates'!$A$5:$A$1004,A431,'AFA Rates'!$O$5:$O$1004,"&lt;&gt;Expired"))</f>
        <v/>
      </c>
      <c r="R431" s="66" t="n"/>
      <c r="S431" s="64" t="n"/>
      <c r="T431" s="64" t="n"/>
      <c r="U431">
        <f>IF(AND(A431&lt;&gt;"",B431="Paused"),COUNTIFS($A$5:A431,"&lt;&gt;",$B$5:B431,"Paused"),"")</f>
        <v/>
      </c>
      <c r="V431">
        <f>IF(P431="Yes",COUNTIF($P$5:P431,"Yes"),"")</f>
        <v/>
      </c>
      <c r="W431">
        <f>IF(A431="","",COUNTIF($A$5:$A$1004,"&lt;"&amp;A431)+COUNTIF($A$5:A431,A431))</f>
        <v/>
      </c>
      <c r="X431">
        <f>","&amp;SUBSTITUTE(SUBSTITUTE(SUBSTITUTE(UPPER(C431)," ",""),";",","),"/",",")&amp;","</f>
        <v/>
      </c>
      <c r="Y431">
        <f>IF(AND(A431&lt;&gt;"",B431="Active",'State Search'!$C$5&lt;&gt;"",OR(X431=",ALL,",ISNUMBER(SEARCH(","&amp;'State Search'!$C$5&amp;",",X431)))),W431,"")</f>
        <v/>
      </c>
    </row>
    <row r="432">
      <c r="A432" s="64" t="n"/>
      <c r="B432" s="65" t="n"/>
      <c r="C432" s="64" t="n"/>
      <c r="D432" s="66" t="n"/>
      <c r="E432" s="66" t="n"/>
      <c r="F432" s="67" t="n"/>
      <c r="G432" s="67" t="n"/>
      <c r="H432" s="67" t="n"/>
      <c r="I432" s="67" t="n"/>
      <c r="J432" s="67" t="n"/>
      <c r="K432" s="67" t="n"/>
      <c r="L432" s="67" t="n"/>
      <c r="M432" s="67" t="n"/>
      <c r="N432" s="65" t="n"/>
      <c r="O432" s="84">
        <f>IF(A432="","",IF(E432="","No date",IF(TODAY()&gt;=EDATE(E432,Review_Months),"Review Due","Current")))</f>
        <v/>
      </c>
      <c r="P432" s="84">
        <f>IF(A432="","",IF(COUNTIFS('AFA Rates'!$A$5:$A$1004,A432,'AFA Rates'!$O$5:$O$1004,"&lt;&gt;Expired")&gt;0,"Yes",IF(COUNTIF('AFA Rates'!$A$5:$A$1004,A432)&gt;0,"Expired only","No")))</f>
        <v/>
      </c>
      <c r="Q432" s="84">
        <f>IF(A432="","",COUNTIFS('AFA Rates'!$A$5:$A$1004,A432,'AFA Rates'!$O$5:$O$1004,"&lt;&gt;Expired"))</f>
        <v/>
      </c>
      <c r="R432" s="66" t="n"/>
      <c r="S432" s="64" t="n"/>
      <c r="T432" s="64" t="n"/>
      <c r="U432">
        <f>IF(AND(A432&lt;&gt;"",B432="Paused"),COUNTIFS($A$5:A432,"&lt;&gt;",$B$5:B432,"Paused"),"")</f>
        <v/>
      </c>
      <c r="V432">
        <f>IF(P432="Yes",COUNTIF($P$5:P432,"Yes"),"")</f>
        <v/>
      </c>
      <c r="W432">
        <f>IF(A432="","",COUNTIF($A$5:$A$1004,"&lt;"&amp;A432)+COUNTIF($A$5:A432,A432))</f>
        <v/>
      </c>
      <c r="X432">
        <f>","&amp;SUBSTITUTE(SUBSTITUTE(SUBSTITUTE(UPPER(C432)," ",""),";",","),"/",",")&amp;","</f>
        <v/>
      </c>
      <c r="Y432">
        <f>IF(AND(A432&lt;&gt;"",B432="Active",'State Search'!$C$5&lt;&gt;"",OR(X432=",ALL,",ISNUMBER(SEARCH(","&amp;'State Search'!$C$5&amp;",",X432)))),W432,"")</f>
        <v/>
      </c>
    </row>
    <row r="433">
      <c r="A433" s="64" t="n"/>
      <c r="B433" s="65" t="n"/>
      <c r="C433" s="64" t="n"/>
      <c r="D433" s="66" t="n"/>
      <c r="E433" s="66" t="n"/>
      <c r="F433" s="67" t="n"/>
      <c r="G433" s="67" t="n"/>
      <c r="H433" s="67" t="n"/>
      <c r="I433" s="67" t="n"/>
      <c r="J433" s="67" t="n"/>
      <c r="K433" s="67" t="n"/>
      <c r="L433" s="67" t="n"/>
      <c r="M433" s="67" t="n"/>
      <c r="N433" s="65" t="n"/>
      <c r="O433" s="84">
        <f>IF(A433="","",IF(E433="","No date",IF(TODAY()&gt;=EDATE(E433,Review_Months),"Review Due","Current")))</f>
        <v/>
      </c>
      <c r="P433" s="84">
        <f>IF(A433="","",IF(COUNTIFS('AFA Rates'!$A$5:$A$1004,A433,'AFA Rates'!$O$5:$O$1004,"&lt;&gt;Expired")&gt;0,"Yes",IF(COUNTIF('AFA Rates'!$A$5:$A$1004,A433)&gt;0,"Expired only","No")))</f>
        <v/>
      </c>
      <c r="Q433" s="84">
        <f>IF(A433="","",COUNTIFS('AFA Rates'!$A$5:$A$1004,A433,'AFA Rates'!$O$5:$O$1004,"&lt;&gt;Expired"))</f>
        <v/>
      </c>
      <c r="R433" s="66" t="n"/>
      <c r="S433" s="64" t="n"/>
      <c r="T433" s="64" t="n"/>
      <c r="U433">
        <f>IF(AND(A433&lt;&gt;"",B433="Paused"),COUNTIFS($A$5:A433,"&lt;&gt;",$B$5:B433,"Paused"),"")</f>
        <v/>
      </c>
      <c r="V433">
        <f>IF(P433="Yes",COUNTIF($P$5:P433,"Yes"),"")</f>
        <v/>
      </c>
      <c r="W433">
        <f>IF(A433="","",COUNTIF($A$5:$A$1004,"&lt;"&amp;A433)+COUNTIF($A$5:A433,A433))</f>
        <v/>
      </c>
      <c r="X433">
        <f>","&amp;SUBSTITUTE(SUBSTITUTE(SUBSTITUTE(UPPER(C433)," ",""),";",","),"/",",")&amp;","</f>
        <v/>
      </c>
      <c r="Y433">
        <f>IF(AND(A433&lt;&gt;"",B433="Active",'State Search'!$C$5&lt;&gt;"",OR(X433=",ALL,",ISNUMBER(SEARCH(","&amp;'State Search'!$C$5&amp;",",X433)))),W433,"")</f>
        <v/>
      </c>
    </row>
    <row r="434">
      <c r="A434" s="64" t="n"/>
      <c r="B434" s="65" t="n"/>
      <c r="C434" s="64" t="n"/>
      <c r="D434" s="66" t="n"/>
      <c r="E434" s="66" t="n"/>
      <c r="F434" s="67" t="n"/>
      <c r="G434" s="67" t="n"/>
      <c r="H434" s="67" t="n"/>
      <c r="I434" s="67" t="n"/>
      <c r="J434" s="67" t="n"/>
      <c r="K434" s="67" t="n"/>
      <c r="L434" s="67" t="n"/>
      <c r="M434" s="67" t="n"/>
      <c r="N434" s="65" t="n"/>
      <c r="O434" s="84">
        <f>IF(A434="","",IF(E434="","No date",IF(TODAY()&gt;=EDATE(E434,Review_Months),"Review Due","Current")))</f>
        <v/>
      </c>
      <c r="P434" s="84">
        <f>IF(A434="","",IF(COUNTIFS('AFA Rates'!$A$5:$A$1004,A434,'AFA Rates'!$O$5:$O$1004,"&lt;&gt;Expired")&gt;0,"Yes",IF(COUNTIF('AFA Rates'!$A$5:$A$1004,A434)&gt;0,"Expired only","No")))</f>
        <v/>
      </c>
      <c r="Q434" s="84">
        <f>IF(A434="","",COUNTIFS('AFA Rates'!$A$5:$A$1004,A434,'AFA Rates'!$O$5:$O$1004,"&lt;&gt;Expired"))</f>
        <v/>
      </c>
      <c r="R434" s="66" t="n"/>
      <c r="S434" s="64" t="n"/>
      <c r="T434" s="64" t="n"/>
      <c r="U434">
        <f>IF(AND(A434&lt;&gt;"",B434="Paused"),COUNTIFS($A$5:A434,"&lt;&gt;",$B$5:B434,"Paused"),"")</f>
        <v/>
      </c>
      <c r="V434">
        <f>IF(P434="Yes",COUNTIF($P$5:P434,"Yes"),"")</f>
        <v/>
      </c>
      <c r="W434">
        <f>IF(A434="","",COUNTIF($A$5:$A$1004,"&lt;"&amp;A434)+COUNTIF($A$5:A434,A434))</f>
        <v/>
      </c>
      <c r="X434">
        <f>","&amp;SUBSTITUTE(SUBSTITUTE(SUBSTITUTE(UPPER(C434)," ",""),";",","),"/",",")&amp;","</f>
        <v/>
      </c>
      <c r="Y434">
        <f>IF(AND(A434&lt;&gt;"",B434="Active",'State Search'!$C$5&lt;&gt;"",OR(X434=",ALL,",ISNUMBER(SEARCH(","&amp;'State Search'!$C$5&amp;",",X434)))),W434,"")</f>
        <v/>
      </c>
    </row>
    <row r="435">
      <c r="A435" s="64" t="n"/>
      <c r="B435" s="65" t="n"/>
      <c r="C435" s="64" t="n"/>
      <c r="D435" s="66" t="n"/>
      <c r="E435" s="66" t="n"/>
      <c r="F435" s="67" t="n"/>
      <c r="G435" s="67" t="n"/>
      <c r="H435" s="67" t="n"/>
      <c r="I435" s="67" t="n"/>
      <c r="J435" s="67" t="n"/>
      <c r="K435" s="67" t="n"/>
      <c r="L435" s="67" t="n"/>
      <c r="M435" s="67" t="n"/>
      <c r="N435" s="65" t="n"/>
      <c r="O435" s="84">
        <f>IF(A435="","",IF(E435="","No date",IF(TODAY()&gt;=EDATE(E435,Review_Months),"Review Due","Current")))</f>
        <v/>
      </c>
      <c r="P435" s="84">
        <f>IF(A435="","",IF(COUNTIFS('AFA Rates'!$A$5:$A$1004,A435,'AFA Rates'!$O$5:$O$1004,"&lt;&gt;Expired")&gt;0,"Yes",IF(COUNTIF('AFA Rates'!$A$5:$A$1004,A435)&gt;0,"Expired only","No")))</f>
        <v/>
      </c>
      <c r="Q435" s="84">
        <f>IF(A435="","",COUNTIFS('AFA Rates'!$A$5:$A$1004,A435,'AFA Rates'!$O$5:$O$1004,"&lt;&gt;Expired"))</f>
        <v/>
      </c>
      <c r="R435" s="66" t="n"/>
      <c r="S435" s="64" t="n"/>
      <c r="T435" s="64" t="n"/>
      <c r="U435">
        <f>IF(AND(A435&lt;&gt;"",B435="Paused"),COUNTIFS($A$5:A435,"&lt;&gt;",$B$5:B435,"Paused"),"")</f>
        <v/>
      </c>
      <c r="V435">
        <f>IF(P435="Yes",COUNTIF($P$5:P435,"Yes"),"")</f>
        <v/>
      </c>
      <c r="W435">
        <f>IF(A435="","",COUNTIF($A$5:$A$1004,"&lt;"&amp;A435)+COUNTIF($A$5:A435,A435))</f>
        <v/>
      </c>
      <c r="X435">
        <f>","&amp;SUBSTITUTE(SUBSTITUTE(SUBSTITUTE(UPPER(C435)," ",""),";",","),"/",",")&amp;","</f>
        <v/>
      </c>
      <c r="Y435">
        <f>IF(AND(A435&lt;&gt;"",B435="Active",'State Search'!$C$5&lt;&gt;"",OR(X435=",ALL,",ISNUMBER(SEARCH(","&amp;'State Search'!$C$5&amp;",",X435)))),W435,"")</f>
        <v/>
      </c>
    </row>
    <row r="436">
      <c r="A436" s="64" t="n"/>
      <c r="B436" s="65" t="n"/>
      <c r="C436" s="64" t="n"/>
      <c r="D436" s="66" t="n"/>
      <c r="E436" s="66" t="n"/>
      <c r="F436" s="67" t="n"/>
      <c r="G436" s="67" t="n"/>
      <c r="H436" s="67" t="n"/>
      <c r="I436" s="67" t="n"/>
      <c r="J436" s="67" t="n"/>
      <c r="K436" s="67" t="n"/>
      <c r="L436" s="67" t="n"/>
      <c r="M436" s="67" t="n"/>
      <c r="N436" s="65" t="n"/>
      <c r="O436" s="84">
        <f>IF(A436="","",IF(E436="","No date",IF(TODAY()&gt;=EDATE(E436,Review_Months),"Review Due","Current")))</f>
        <v/>
      </c>
      <c r="P436" s="84">
        <f>IF(A436="","",IF(COUNTIFS('AFA Rates'!$A$5:$A$1004,A436,'AFA Rates'!$O$5:$O$1004,"&lt;&gt;Expired")&gt;0,"Yes",IF(COUNTIF('AFA Rates'!$A$5:$A$1004,A436)&gt;0,"Expired only","No")))</f>
        <v/>
      </c>
      <c r="Q436" s="84">
        <f>IF(A436="","",COUNTIFS('AFA Rates'!$A$5:$A$1004,A436,'AFA Rates'!$O$5:$O$1004,"&lt;&gt;Expired"))</f>
        <v/>
      </c>
      <c r="R436" s="66" t="n"/>
      <c r="S436" s="64" t="n"/>
      <c r="T436" s="64" t="n"/>
      <c r="U436">
        <f>IF(AND(A436&lt;&gt;"",B436="Paused"),COUNTIFS($A$5:A436,"&lt;&gt;",$B$5:B436,"Paused"),"")</f>
        <v/>
      </c>
      <c r="V436">
        <f>IF(P436="Yes",COUNTIF($P$5:P436,"Yes"),"")</f>
        <v/>
      </c>
      <c r="W436">
        <f>IF(A436="","",COUNTIF($A$5:$A$1004,"&lt;"&amp;A436)+COUNTIF($A$5:A436,A436))</f>
        <v/>
      </c>
      <c r="X436">
        <f>","&amp;SUBSTITUTE(SUBSTITUTE(SUBSTITUTE(UPPER(C436)," ",""),";",","),"/",",")&amp;","</f>
        <v/>
      </c>
      <c r="Y436">
        <f>IF(AND(A436&lt;&gt;"",B436="Active",'State Search'!$C$5&lt;&gt;"",OR(X436=",ALL,",ISNUMBER(SEARCH(","&amp;'State Search'!$C$5&amp;",",X436)))),W436,"")</f>
        <v/>
      </c>
    </row>
    <row r="437">
      <c r="A437" s="64" t="n"/>
      <c r="B437" s="65" t="n"/>
      <c r="C437" s="64" t="n"/>
      <c r="D437" s="66" t="n"/>
      <c r="E437" s="66" t="n"/>
      <c r="F437" s="67" t="n"/>
      <c r="G437" s="67" t="n"/>
      <c r="H437" s="67" t="n"/>
      <c r="I437" s="67" t="n"/>
      <c r="J437" s="67" t="n"/>
      <c r="K437" s="67" t="n"/>
      <c r="L437" s="67" t="n"/>
      <c r="M437" s="67" t="n"/>
      <c r="N437" s="65" t="n"/>
      <c r="O437" s="84">
        <f>IF(A437="","",IF(E437="","No date",IF(TODAY()&gt;=EDATE(E437,Review_Months),"Review Due","Current")))</f>
        <v/>
      </c>
      <c r="P437" s="84">
        <f>IF(A437="","",IF(COUNTIFS('AFA Rates'!$A$5:$A$1004,A437,'AFA Rates'!$O$5:$O$1004,"&lt;&gt;Expired")&gt;0,"Yes",IF(COUNTIF('AFA Rates'!$A$5:$A$1004,A437)&gt;0,"Expired only","No")))</f>
        <v/>
      </c>
      <c r="Q437" s="84">
        <f>IF(A437="","",COUNTIFS('AFA Rates'!$A$5:$A$1004,A437,'AFA Rates'!$O$5:$O$1004,"&lt;&gt;Expired"))</f>
        <v/>
      </c>
      <c r="R437" s="66" t="n"/>
      <c r="S437" s="64" t="n"/>
      <c r="T437" s="64" t="n"/>
      <c r="U437">
        <f>IF(AND(A437&lt;&gt;"",B437="Paused"),COUNTIFS($A$5:A437,"&lt;&gt;",$B$5:B437,"Paused"),"")</f>
        <v/>
      </c>
      <c r="V437">
        <f>IF(P437="Yes",COUNTIF($P$5:P437,"Yes"),"")</f>
        <v/>
      </c>
      <c r="W437">
        <f>IF(A437="","",COUNTIF($A$5:$A$1004,"&lt;"&amp;A437)+COUNTIF($A$5:A437,A437))</f>
        <v/>
      </c>
      <c r="X437">
        <f>","&amp;SUBSTITUTE(SUBSTITUTE(SUBSTITUTE(UPPER(C437)," ",""),";",","),"/",",")&amp;","</f>
        <v/>
      </c>
      <c r="Y437">
        <f>IF(AND(A437&lt;&gt;"",B437="Active",'State Search'!$C$5&lt;&gt;"",OR(X437=",ALL,",ISNUMBER(SEARCH(","&amp;'State Search'!$C$5&amp;",",X437)))),W437,"")</f>
        <v/>
      </c>
    </row>
    <row r="438">
      <c r="A438" s="64" t="n"/>
      <c r="B438" s="65" t="n"/>
      <c r="C438" s="64" t="n"/>
      <c r="D438" s="66" t="n"/>
      <c r="E438" s="66" t="n"/>
      <c r="F438" s="67" t="n"/>
      <c r="G438" s="67" t="n"/>
      <c r="H438" s="67" t="n"/>
      <c r="I438" s="67" t="n"/>
      <c r="J438" s="67" t="n"/>
      <c r="K438" s="67" t="n"/>
      <c r="L438" s="67" t="n"/>
      <c r="M438" s="67" t="n"/>
      <c r="N438" s="65" t="n"/>
      <c r="O438" s="84">
        <f>IF(A438="","",IF(E438="","No date",IF(TODAY()&gt;=EDATE(E438,Review_Months),"Review Due","Current")))</f>
        <v/>
      </c>
      <c r="P438" s="84">
        <f>IF(A438="","",IF(COUNTIFS('AFA Rates'!$A$5:$A$1004,A438,'AFA Rates'!$O$5:$O$1004,"&lt;&gt;Expired")&gt;0,"Yes",IF(COUNTIF('AFA Rates'!$A$5:$A$1004,A438)&gt;0,"Expired only","No")))</f>
        <v/>
      </c>
      <c r="Q438" s="84">
        <f>IF(A438="","",COUNTIFS('AFA Rates'!$A$5:$A$1004,A438,'AFA Rates'!$O$5:$O$1004,"&lt;&gt;Expired"))</f>
        <v/>
      </c>
      <c r="R438" s="66" t="n"/>
      <c r="S438" s="64" t="n"/>
      <c r="T438" s="64" t="n"/>
      <c r="U438">
        <f>IF(AND(A438&lt;&gt;"",B438="Paused"),COUNTIFS($A$5:A438,"&lt;&gt;",$B$5:B438,"Paused"),"")</f>
        <v/>
      </c>
      <c r="V438">
        <f>IF(P438="Yes",COUNTIF($P$5:P438,"Yes"),"")</f>
        <v/>
      </c>
      <c r="W438">
        <f>IF(A438="","",COUNTIF($A$5:$A$1004,"&lt;"&amp;A438)+COUNTIF($A$5:A438,A438))</f>
        <v/>
      </c>
      <c r="X438">
        <f>","&amp;SUBSTITUTE(SUBSTITUTE(SUBSTITUTE(UPPER(C438)," ",""),";",","),"/",",")&amp;","</f>
        <v/>
      </c>
      <c r="Y438">
        <f>IF(AND(A438&lt;&gt;"",B438="Active",'State Search'!$C$5&lt;&gt;"",OR(X438=",ALL,",ISNUMBER(SEARCH(","&amp;'State Search'!$C$5&amp;",",X438)))),W438,"")</f>
        <v/>
      </c>
    </row>
    <row r="439">
      <c r="A439" s="64" t="n"/>
      <c r="B439" s="65" t="n"/>
      <c r="C439" s="64" t="n"/>
      <c r="D439" s="66" t="n"/>
      <c r="E439" s="66" t="n"/>
      <c r="F439" s="67" t="n"/>
      <c r="G439" s="67" t="n"/>
      <c r="H439" s="67" t="n"/>
      <c r="I439" s="67" t="n"/>
      <c r="J439" s="67" t="n"/>
      <c r="K439" s="67" t="n"/>
      <c r="L439" s="67" t="n"/>
      <c r="M439" s="67" t="n"/>
      <c r="N439" s="65" t="n"/>
      <c r="O439" s="84">
        <f>IF(A439="","",IF(E439="","No date",IF(TODAY()&gt;=EDATE(E439,Review_Months),"Review Due","Current")))</f>
        <v/>
      </c>
      <c r="P439" s="84">
        <f>IF(A439="","",IF(COUNTIFS('AFA Rates'!$A$5:$A$1004,A439,'AFA Rates'!$O$5:$O$1004,"&lt;&gt;Expired")&gt;0,"Yes",IF(COUNTIF('AFA Rates'!$A$5:$A$1004,A439)&gt;0,"Expired only","No")))</f>
        <v/>
      </c>
      <c r="Q439" s="84">
        <f>IF(A439="","",COUNTIFS('AFA Rates'!$A$5:$A$1004,A439,'AFA Rates'!$O$5:$O$1004,"&lt;&gt;Expired"))</f>
        <v/>
      </c>
      <c r="R439" s="66" t="n"/>
      <c r="S439" s="64" t="n"/>
      <c r="T439" s="64" t="n"/>
      <c r="U439">
        <f>IF(AND(A439&lt;&gt;"",B439="Paused"),COUNTIFS($A$5:A439,"&lt;&gt;",$B$5:B439,"Paused"),"")</f>
        <v/>
      </c>
      <c r="V439">
        <f>IF(P439="Yes",COUNTIF($P$5:P439,"Yes"),"")</f>
        <v/>
      </c>
      <c r="W439">
        <f>IF(A439="","",COUNTIF($A$5:$A$1004,"&lt;"&amp;A439)+COUNTIF($A$5:A439,A439))</f>
        <v/>
      </c>
      <c r="X439">
        <f>","&amp;SUBSTITUTE(SUBSTITUTE(SUBSTITUTE(UPPER(C439)," ",""),";",","),"/",",")&amp;","</f>
        <v/>
      </c>
      <c r="Y439">
        <f>IF(AND(A439&lt;&gt;"",B439="Active",'State Search'!$C$5&lt;&gt;"",OR(X439=",ALL,",ISNUMBER(SEARCH(","&amp;'State Search'!$C$5&amp;",",X439)))),W439,"")</f>
        <v/>
      </c>
    </row>
    <row r="440">
      <c r="A440" s="64" t="n"/>
      <c r="B440" s="65" t="n"/>
      <c r="C440" s="64" t="n"/>
      <c r="D440" s="66" t="n"/>
      <c r="E440" s="66" t="n"/>
      <c r="F440" s="67" t="n"/>
      <c r="G440" s="67" t="n"/>
      <c r="H440" s="67" t="n"/>
      <c r="I440" s="67" t="n"/>
      <c r="J440" s="67" t="n"/>
      <c r="K440" s="67" t="n"/>
      <c r="L440" s="67" t="n"/>
      <c r="M440" s="67" t="n"/>
      <c r="N440" s="65" t="n"/>
      <c r="O440" s="84">
        <f>IF(A440="","",IF(E440="","No date",IF(TODAY()&gt;=EDATE(E440,Review_Months),"Review Due","Current")))</f>
        <v/>
      </c>
      <c r="P440" s="84">
        <f>IF(A440="","",IF(COUNTIFS('AFA Rates'!$A$5:$A$1004,A440,'AFA Rates'!$O$5:$O$1004,"&lt;&gt;Expired")&gt;0,"Yes",IF(COUNTIF('AFA Rates'!$A$5:$A$1004,A440)&gt;0,"Expired only","No")))</f>
        <v/>
      </c>
      <c r="Q440" s="84">
        <f>IF(A440="","",COUNTIFS('AFA Rates'!$A$5:$A$1004,A440,'AFA Rates'!$O$5:$O$1004,"&lt;&gt;Expired"))</f>
        <v/>
      </c>
      <c r="R440" s="66" t="n"/>
      <c r="S440" s="64" t="n"/>
      <c r="T440" s="64" t="n"/>
      <c r="U440">
        <f>IF(AND(A440&lt;&gt;"",B440="Paused"),COUNTIFS($A$5:A440,"&lt;&gt;",$B$5:B440,"Paused"),"")</f>
        <v/>
      </c>
      <c r="V440">
        <f>IF(P440="Yes",COUNTIF($P$5:P440,"Yes"),"")</f>
        <v/>
      </c>
      <c r="W440">
        <f>IF(A440="","",COUNTIF($A$5:$A$1004,"&lt;"&amp;A440)+COUNTIF($A$5:A440,A440))</f>
        <v/>
      </c>
      <c r="X440">
        <f>","&amp;SUBSTITUTE(SUBSTITUTE(SUBSTITUTE(UPPER(C440)," ",""),";",","),"/",",")&amp;","</f>
        <v/>
      </c>
      <c r="Y440">
        <f>IF(AND(A440&lt;&gt;"",B440="Active",'State Search'!$C$5&lt;&gt;"",OR(X440=",ALL,",ISNUMBER(SEARCH(","&amp;'State Search'!$C$5&amp;",",X440)))),W440,"")</f>
        <v/>
      </c>
    </row>
    <row r="441">
      <c r="A441" s="64" t="n"/>
      <c r="B441" s="65" t="n"/>
      <c r="C441" s="64" t="n"/>
      <c r="D441" s="66" t="n"/>
      <c r="E441" s="66" t="n"/>
      <c r="F441" s="67" t="n"/>
      <c r="G441" s="67" t="n"/>
      <c r="H441" s="67" t="n"/>
      <c r="I441" s="67" t="n"/>
      <c r="J441" s="67" t="n"/>
      <c r="K441" s="67" t="n"/>
      <c r="L441" s="67" t="n"/>
      <c r="M441" s="67" t="n"/>
      <c r="N441" s="65" t="n"/>
      <c r="O441" s="84">
        <f>IF(A441="","",IF(E441="","No date",IF(TODAY()&gt;=EDATE(E441,Review_Months),"Review Due","Current")))</f>
        <v/>
      </c>
      <c r="P441" s="84">
        <f>IF(A441="","",IF(COUNTIFS('AFA Rates'!$A$5:$A$1004,A441,'AFA Rates'!$O$5:$O$1004,"&lt;&gt;Expired")&gt;0,"Yes",IF(COUNTIF('AFA Rates'!$A$5:$A$1004,A441)&gt;0,"Expired only","No")))</f>
        <v/>
      </c>
      <c r="Q441" s="84">
        <f>IF(A441="","",COUNTIFS('AFA Rates'!$A$5:$A$1004,A441,'AFA Rates'!$O$5:$O$1004,"&lt;&gt;Expired"))</f>
        <v/>
      </c>
      <c r="R441" s="66" t="n"/>
      <c r="S441" s="64" t="n"/>
      <c r="T441" s="64" t="n"/>
      <c r="U441">
        <f>IF(AND(A441&lt;&gt;"",B441="Paused"),COUNTIFS($A$5:A441,"&lt;&gt;",$B$5:B441,"Paused"),"")</f>
        <v/>
      </c>
      <c r="V441">
        <f>IF(P441="Yes",COUNTIF($P$5:P441,"Yes"),"")</f>
        <v/>
      </c>
      <c r="W441">
        <f>IF(A441="","",COUNTIF($A$5:$A$1004,"&lt;"&amp;A441)+COUNTIF($A$5:A441,A441))</f>
        <v/>
      </c>
      <c r="X441">
        <f>","&amp;SUBSTITUTE(SUBSTITUTE(SUBSTITUTE(UPPER(C441)," ",""),";",","),"/",",")&amp;","</f>
        <v/>
      </c>
      <c r="Y441">
        <f>IF(AND(A441&lt;&gt;"",B441="Active",'State Search'!$C$5&lt;&gt;"",OR(X441=",ALL,",ISNUMBER(SEARCH(","&amp;'State Search'!$C$5&amp;",",X441)))),W441,"")</f>
        <v/>
      </c>
    </row>
    <row r="442">
      <c r="A442" s="64" t="n"/>
      <c r="B442" s="65" t="n"/>
      <c r="C442" s="64" t="n"/>
      <c r="D442" s="66" t="n"/>
      <c r="E442" s="66" t="n"/>
      <c r="F442" s="67" t="n"/>
      <c r="G442" s="67" t="n"/>
      <c r="H442" s="67" t="n"/>
      <c r="I442" s="67" t="n"/>
      <c r="J442" s="67" t="n"/>
      <c r="K442" s="67" t="n"/>
      <c r="L442" s="67" t="n"/>
      <c r="M442" s="67" t="n"/>
      <c r="N442" s="65" t="n"/>
      <c r="O442" s="84">
        <f>IF(A442="","",IF(E442="","No date",IF(TODAY()&gt;=EDATE(E442,Review_Months),"Review Due","Current")))</f>
        <v/>
      </c>
      <c r="P442" s="84">
        <f>IF(A442="","",IF(COUNTIFS('AFA Rates'!$A$5:$A$1004,A442,'AFA Rates'!$O$5:$O$1004,"&lt;&gt;Expired")&gt;0,"Yes",IF(COUNTIF('AFA Rates'!$A$5:$A$1004,A442)&gt;0,"Expired only","No")))</f>
        <v/>
      </c>
      <c r="Q442" s="84">
        <f>IF(A442="","",COUNTIFS('AFA Rates'!$A$5:$A$1004,A442,'AFA Rates'!$O$5:$O$1004,"&lt;&gt;Expired"))</f>
        <v/>
      </c>
      <c r="R442" s="66" t="n"/>
      <c r="S442" s="64" t="n"/>
      <c r="T442" s="64" t="n"/>
      <c r="U442">
        <f>IF(AND(A442&lt;&gt;"",B442="Paused"),COUNTIFS($A$5:A442,"&lt;&gt;",$B$5:B442,"Paused"),"")</f>
        <v/>
      </c>
      <c r="V442">
        <f>IF(P442="Yes",COUNTIF($P$5:P442,"Yes"),"")</f>
        <v/>
      </c>
      <c r="W442">
        <f>IF(A442="","",COUNTIF($A$5:$A$1004,"&lt;"&amp;A442)+COUNTIF($A$5:A442,A442))</f>
        <v/>
      </c>
      <c r="X442">
        <f>","&amp;SUBSTITUTE(SUBSTITUTE(SUBSTITUTE(UPPER(C442)," ",""),";",","),"/",",")&amp;","</f>
        <v/>
      </c>
      <c r="Y442">
        <f>IF(AND(A442&lt;&gt;"",B442="Active",'State Search'!$C$5&lt;&gt;"",OR(X442=",ALL,",ISNUMBER(SEARCH(","&amp;'State Search'!$C$5&amp;",",X442)))),W442,"")</f>
        <v/>
      </c>
    </row>
    <row r="443">
      <c r="A443" s="64" t="n"/>
      <c r="B443" s="65" t="n"/>
      <c r="C443" s="64" t="n"/>
      <c r="D443" s="66" t="n"/>
      <c r="E443" s="66" t="n"/>
      <c r="F443" s="67" t="n"/>
      <c r="G443" s="67" t="n"/>
      <c r="H443" s="67" t="n"/>
      <c r="I443" s="67" t="n"/>
      <c r="J443" s="67" t="n"/>
      <c r="K443" s="67" t="n"/>
      <c r="L443" s="67" t="n"/>
      <c r="M443" s="67" t="n"/>
      <c r="N443" s="65" t="n"/>
      <c r="O443" s="84">
        <f>IF(A443="","",IF(E443="","No date",IF(TODAY()&gt;=EDATE(E443,Review_Months),"Review Due","Current")))</f>
        <v/>
      </c>
      <c r="P443" s="84">
        <f>IF(A443="","",IF(COUNTIFS('AFA Rates'!$A$5:$A$1004,A443,'AFA Rates'!$O$5:$O$1004,"&lt;&gt;Expired")&gt;0,"Yes",IF(COUNTIF('AFA Rates'!$A$5:$A$1004,A443)&gt;0,"Expired only","No")))</f>
        <v/>
      </c>
      <c r="Q443" s="84">
        <f>IF(A443="","",COUNTIFS('AFA Rates'!$A$5:$A$1004,A443,'AFA Rates'!$O$5:$O$1004,"&lt;&gt;Expired"))</f>
        <v/>
      </c>
      <c r="R443" s="66" t="n"/>
      <c r="S443" s="64" t="n"/>
      <c r="T443" s="64" t="n"/>
      <c r="U443">
        <f>IF(AND(A443&lt;&gt;"",B443="Paused"),COUNTIFS($A$5:A443,"&lt;&gt;",$B$5:B443,"Paused"),"")</f>
        <v/>
      </c>
      <c r="V443">
        <f>IF(P443="Yes",COUNTIF($P$5:P443,"Yes"),"")</f>
        <v/>
      </c>
      <c r="W443">
        <f>IF(A443="","",COUNTIF($A$5:$A$1004,"&lt;"&amp;A443)+COUNTIF($A$5:A443,A443))</f>
        <v/>
      </c>
      <c r="X443">
        <f>","&amp;SUBSTITUTE(SUBSTITUTE(SUBSTITUTE(UPPER(C443)," ",""),";",","),"/",",")&amp;","</f>
        <v/>
      </c>
      <c r="Y443">
        <f>IF(AND(A443&lt;&gt;"",B443="Active",'State Search'!$C$5&lt;&gt;"",OR(X443=",ALL,",ISNUMBER(SEARCH(","&amp;'State Search'!$C$5&amp;",",X443)))),W443,"")</f>
        <v/>
      </c>
    </row>
    <row r="444">
      <c r="A444" s="64" t="n"/>
      <c r="B444" s="65" t="n"/>
      <c r="C444" s="64" t="n"/>
      <c r="D444" s="66" t="n"/>
      <c r="E444" s="66" t="n"/>
      <c r="F444" s="67" t="n"/>
      <c r="G444" s="67" t="n"/>
      <c r="H444" s="67" t="n"/>
      <c r="I444" s="67" t="n"/>
      <c r="J444" s="67" t="n"/>
      <c r="K444" s="67" t="n"/>
      <c r="L444" s="67" t="n"/>
      <c r="M444" s="67" t="n"/>
      <c r="N444" s="65" t="n"/>
      <c r="O444" s="84">
        <f>IF(A444="","",IF(E444="","No date",IF(TODAY()&gt;=EDATE(E444,Review_Months),"Review Due","Current")))</f>
        <v/>
      </c>
      <c r="P444" s="84">
        <f>IF(A444="","",IF(COUNTIFS('AFA Rates'!$A$5:$A$1004,A444,'AFA Rates'!$O$5:$O$1004,"&lt;&gt;Expired")&gt;0,"Yes",IF(COUNTIF('AFA Rates'!$A$5:$A$1004,A444)&gt;0,"Expired only","No")))</f>
        <v/>
      </c>
      <c r="Q444" s="84">
        <f>IF(A444="","",COUNTIFS('AFA Rates'!$A$5:$A$1004,A444,'AFA Rates'!$O$5:$O$1004,"&lt;&gt;Expired"))</f>
        <v/>
      </c>
      <c r="R444" s="66" t="n"/>
      <c r="S444" s="64" t="n"/>
      <c r="T444" s="64" t="n"/>
      <c r="U444">
        <f>IF(AND(A444&lt;&gt;"",B444="Paused"),COUNTIFS($A$5:A444,"&lt;&gt;",$B$5:B444,"Paused"),"")</f>
        <v/>
      </c>
      <c r="V444">
        <f>IF(P444="Yes",COUNTIF($P$5:P444,"Yes"),"")</f>
        <v/>
      </c>
      <c r="W444">
        <f>IF(A444="","",COUNTIF($A$5:$A$1004,"&lt;"&amp;A444)+COUNTIF($A$5:A444,A444))</f>
        <v/>
      </c>
      <c r="X444">
        <f>","&amp;SUBSTITUTE(SUBSTITUTE(SUBSTITUTE(UPPER(C444)," ",""),";",","),"/",",")&amp;","</f>
        <v/>
      </c>
      <c r="Y444">
        <f>IF(AND(A444&lt;&gt;"",B444="Active",'State Search'!$C$5&lt;&gt;"",OR(X444=",ALL,",ISNUMBER(SEARCH(","&amp;'State Search'!$C$5&amp;",",X444)))),W444,"")</f>
        <v/>
      </c>
    </row>
    <row r="445">
      <c r="A445" s="64" t="n"/>
      <c r="B445" s="65" t="n"/>
      <c r="C445" s="64" t="n"/>
      <c r="D445" s="66" t="n"/>
      <c r="E445" s="66" t="n"/>
      <c r="F445" s="67" t="n"/>
      <c r="G445" s="67" t="n"/>
      <c r="H445" s="67" t="n"/>
      <c r="I445" s="67" t="n"/>
      <c r="J445" s="67" t="n"/>
      <c r="K445" s="67" t="n"/>
      <c r="L445" s="67" t="n"/>
      <c r="M445" s="67" t="n"/>
      <c r="N445" s="65" t="n"/>
      <c r="O445" s="84">
        <f>IF(A445="","",IF(E445="","No date",IF(TODAY()&gt;=EDATE(E445,Review_Months),"Review Due","Current")))</f>
        <v/>
      </c>
      <c r="P445" s="84">
        <f>IF(A445="","",IF(COUNTIFS('AFA Rates'!$A$5:$A$1004,A445,'AFA Rates'!$O$5:$O$1004,"&lt;&gt;Expired")&gt;0,"Yes",IF(COUNTIF('AFA Rates'!$A$5:$A$1004,A445)&gt;0,"Expired only","No")))</f>
        <v/>
      </c>
      <c r="Q445" s="84">
        <f>IF(A445="","",COUNTIFS('AFA Rates'!$A$5:$A$1004,A445,'AFA Rates'!$O$5:$O$1004,"&lt;&gt;Expired"))</f>
        <v/>
      </c>
      <c r="R445" s="66" t="n"/>
      <c r="S445" s="64" t="n"/>
      <c r="T445" s="64" t="n"/>
      <c r="U445">
        <f>IF(AND(A445&lt;&gt;"",B445="Paused"),COUNTIFS($A$5:A445,"&lt;&gt;",$B$5:B445,"Paused"),"")</f>
        <v/>
      </c>
      <c r="V445">
        <f>IF(P445="Yes",COUNTIF($P$5:P445,"Yes"),"")</f>
        <v/>
      </c>
      <c r="W445">
        <f>IF(A445="","",COUNTIF($A$5:$A$1004,"&lt;"&amp;A445)+COUNTIF($A$5:A445,A445))</f>
        <v/>
      </c>
      <c r="X445">
        <f>","&amp;SUBSTITUTE(SUBSTITUTE(SUBSTITUTE(UPPER(C445)," ",""),";",","),"/",",")&amp;","</f>
        <v/>
      </c>
      <c r="Y445">
        <f>IF(AND(A445&lt;&gt;"",B445="Active",'State Search'!$C$5&lt;&gt;"",OR(X445=",ALL,",ISNUMBER(SEARCH(","&amp;'State Search'!$C$5&amp;",",X445)))),W445,"")</f>
        <v/>
      </c>
    </row>
    <row r="446">
      <c r="A446" s="64" t="n"/>
      <c r="B446" s="65" t="n"/>
      <c r="C446" s="64" t="n"/>
      <c r="D446" s="66" t="n"/>
      <c r="E446" s="66" t="n"/>
      <c r="F446" s="67" t="n"/>
      <c r="G446" s="67" t="n"/>
      <c r="H446" s="67" t="n"/>
      <c r="I446" s="67" t="n"/>
      <c r="J446" s="67" t="n"/>
      <c r="K446" s="67" t="n"/>
      <c r="L446" s="67" t="n"/>
      <c r="M446" s="67" t="n"/>
      <c r="N446" s="65" t="n"/>
      <c r="O446" s="84">
        <f>IF(A446="","",IF(E446="","No date",IF(TODAY()&gt;=EDATE(E446,Review_Months),"Review Due","Current")))</f>
        <v/>
      </c>
      <c r="P446" s="84">
        <f>IF(A446="","",IF(COUNTIFS('AFA Rates'!$A$5:$A$1004,A446,'AFA Rates'!$O$5:$O$1004,"&lt;&gt;Expired")&gt;0,"Yes",IF(COUNTIF('AFA Rates'!$A$5:$A$1004,A446)&gt;0,"Expired only","No")))</f>
        <v/>
      </c>
      <c r="Q446" s="84">
        <f>IF(A446="","",COUNTIFS('AFA Rates'!$A$5:$A$1004,A446,'AFA Rates'!$O$5:$O$1004,"&lt;&gt;Expired"))</f>
        <v/>
      </c>
      <c r="R446" s="66" t="n"/>
      <c r="S446" s="64" t="n"/>
      <c r="T446" s="64" t="n"/>
      <c r="U446">
        <f>IF(AND(A446&lt;&gt;"",B446="Paused"),COUNTIFS($A$5:A446,"&lt;&gt;",$B$5:B446,"Paused"),"")</f>
        <v/>
      </c>
      <c r="V446">
        <f>IF(P446="Yes",COUNTIF($P$5:P446,"Yes"),"")</f>
        <v/>
      </c>
      <c r="W446">
        <f>IF(A446="","",COUNTIF($A$5:$A$1004,"&lt;"&amp;A446)+COUNTIF($A$5:A446,A446))</f>
        <v/>
      </c>
      <c r="X446">
        <f>","&amp;SUBSTITUTE(SUBSTITUTE(SUBSTITUTE(UPPER(C446)," ",""),";",","),"/",",")&amp;","</f>
        <v/>
      </c>
      <c r="Y446">
        <f>IF(AND(A446&lt;&gt;"",B446="Active",'State Search'!$C$5&lt;&gt;"",OR(X446=",ALL,",ISNUMBER(SEARCH(","&amp;'State Search'!$C$5&amp;",",X446)))),W446,"")</f>
        <v/>
      </c>
    </row>
    <row r="447">
      <c r="A447" s="64" t="n"/>
      <c r="B447" s="65" t="n"/>
      <c r="C447" s="64" t="n"/>
      <c r="D447" s="66" t="n"/>
      <c r="E447" s="66" t="n"/>
      <c r="F447" s="67" t="n"/>
      <c r="G447" s="67" t="n"/>
      <c r="H447" s="67" t="n"/>
      <c r="I447" s="67" t="n"/>
      <c r="J447" s="67" t="n"/>
      <c r="K447" s="67" t="n"/>
      <c r="L447" s="67" t="n"/>
      <c r="M447" s="67" t="n"/>
      <c r="N447" s="65" t="n"/>
      <c r="O447" s="84">
        <f>IF(A447="","",IF(E447="","No date",IF(TODAY()&gt;=EDATE(E447,Review_Months),"Review Due","Current")))</f>
        <v/>
      </c>
      <c r="P447" s="84">
        <f>IF(A447="","",IF(COUNTIFS('AFA Rates'!$A$5:$A$1004,A447,'AFA Rates'!$O$5:$O$1004,"&lt;&gt;Expired")&gt;0,"Yes",IF(COUNTIF('AFA Rates'!$A$5:$A$1004,A447)&gt;0,"Expired only","No")))</f>
        <v/>
      </c>
      <c r="Q447" s="84">
        <f>IF(A447="","",COUNTIFS('AFA Rates'!$A$5:$A$1004,A447,'AFA Rates'!$O$5:$O$1004,"&lt;&gt;Expired"))</f>
        <v/>
      </c>
      <c r="R447" s="66" t="n"/>
      <c r="S447" s="64" t="n"/>
      <c r="T447" s="64" t="n"/>
      <c r="U447">
        <f>IF(AND(A447&lt;&gt;"",B447="Paused"),COUNTIFS($A$5:A447,"&lt;&gt;",$B$5:B447,"Paused"),"")</f>
        <v/>
      </c>
      <c r="V447">
        <f>IF(P447="Yes",COUNTIF($P$5:P447,"Yes"),"")</f>
        <v/>
      </c>
      <c r="W447">
        <f>IF(A447="","",COUNTIF($A$5:$A$1004,"&lt;"&amp;A447)+COUNTIF($A$5:A447,A447))</f>
        <v/>
      </c>
      <c r="X447">
        <f>","&amp;SUBSTITUTE(SUBSTITUTE(SUBSTITUTE(UPPER(C447)," ",""),";",","),"/",",")&amp;","</f>
        <v/>
      </c>
      <c r="Y447">
        <f>IF(AND(A447&lt;&gt;"",B447="Active",'State Search'!$C$5&lt;&gt;"",OR(X447=",ALL,",ISNUMBER(SEARCH(","&amp;'State Search'!$C$5&amp;",",X447)))),W447,"")</f>
        <v/>
      </c>
    </row>
    <row r="448">
      <c r="A448" s="64" t="n"/>
      <c r="B448" s="65" t="n"/>
      <c r="C448" s="64" t="n"/>
      <c r="D448" s="66" t="n"/>
      <c r="E448" s="66" t="n"/>
      <c r="F448" s="67" t="n"/>
      <c r="G448" s="67" t="n"/>
      <c r="H448" s="67" t="n"/>
      <c r="I448" s="67" t="n"/>
      <c r="J448" s="67" t="n"/>
      <c r="K448" s="67" t="n"/>
      <c r="L448" s="67" t="n"/>
      <c r="M448" s="67" t="n"/>
      <c r="N448" s="65" t="n"/>
      <c r="O448" s="84">
        <f>IF(A448="","",IF(E448="","No date",IF(TODAY()&gt;=EDATE(E448,Review_Months),"Review Due","Current")))</f>
        <v/>
      </c>
      <c r="P448" s="84">
        <f>IF(A448="","",IF(COUNTIFS('AFA Rates'!$A$5:$A$1004,A448,'AFA Rates'!$O$5:$O$1004,"&lt;&gt;Expired")&gt;0,"Yes",IF(COUNTIF('AFA Rates'!$A$5:$A$1004,A448)&gt;0,"Expired only","No")))</f>
        <v/>
      </c>
      <c r="Q448" s="84">
        <f>IF(A448="","",COUNTIFS('AFA Rates'!$A$5:$A$1004,A448,'AFA Rates'!$O$5:$O$1004,"&lt;&gt;Expired"))</f>
        <v/>
      </c>
      <c r="R448" s="66" t="n"/>
      <c r="S448" s="64" t="n"/>
      <c r="T448" s="64" t="n"/>
      <c r="U448">
        <f>IF(AND(A448&lt;&gt;"",B448="Paused"),COUNTIFS($A$5:A448,"&lt;&gt;",$B$5:B448,"Paused"),"")</f>
        <v/>
      </c>
      <c r="V448">
        <f>IF(P448="Yes",COUNTIF($P$5:P448,"Yes"),"")</f>
        <v/>
      </c>
      <c r="W448">
        <f>IF(A448="","",COUNTIF($A$5:$A$1004,"&lt;"&amp;A448)+COUNTIF($A$5:A448,A448))</f>
        <v/>
      </c>
      <c r="X448">
        <f>","&amp;SUBSTITUTE(SUBSTITUTE(SUBSTITUTE(UPPER(C448)," ",""),";",","),"/",",")&amp;","</f>
        <v/>
      </c>
      <c r="Y448">
        <f>IF(AND(A448&lt;&gt;"",B448="Active",'State Search'!$C$5&lt;&gt;"",OR(X448=",ALL,",ISNUMBER(SEARCH(","&amp;'State Search'!$C$5&amp;",",X448)))),W448,"")</f>
        <v/>
      </c>
    </row>
    <row r="449">
      <c r="A449" s="64" t="n"/>
      <c r="B449" s="65" t="n"/>
      <c r="C449" s="64" t="n"/>
      <c r="D449" s="66" t="n"/>
      <c r="E449" s="66" t="n"/>
      <c r="F449" s="67" t="n"/>
      <c r="G449" s="67" t="n"/>
      <c r="H449" s="67" t="n"/>
      <c r="I449" s="67" t="n"/>
      <c r="J449" s="67" t="n"/>
      <c r="K449" s="67" t="n"/>
      <c r="L449" s="67" t="n"/>
      <c r="M449" s="67" t="n"/>
      <c r="N449" s="65" t="n"/>
      <c r="O449" s="84">
        <f>IF(A449="","",IF(E449="","No date",IF(TODAY()&gt;=EDATE(E449,Review_Months),"Review Due","Current")))</f>
        <v/>
      </c>
      <c r="P449" s="84">
        <f>IF(A449="","",IF(COUNTIFS('AFA Rates'!$A$5:$A$1004,A449,'AFA Rates'!$O$5:$O$1004,"&lt;&gt;Expired")&gt;0,"Yes",IF(COUNTIF('AFA Rates'!$A$5:$A$1004,A449)&gt;0,"Expired only","No")))</f>
        <v/>
      </c>
      <c r="Q449" s="84">
        <f>IF(A449="","",COUNTIFS('AFA Rates'!$A$5:$A$1004,A449,'AFA Rates'!$O$5:$O$1004,"&lt;&gt;Expired"))</f>
        <v/>
      </c>
      <c r="R449" s="66" t="n"/>
      <c r="S449" s="64" t="n"/>
      <c r="T449" s="64" t="n"/>
      <c r="U449">
        <f>IF(AND(A449&lt;&gt;"",B449="Paused"),COUNTIFS($A$5:A449,"&lt;&gt;",$B$5:B449,"Paused"),"")</f>
        <v/>
      </c>
      <c r="V449">
        <f>IF(P449="Yes",COUNTIF($P$5:P449,"Yes"),"")</f>
        <v/>
      </c>
      <c r="W449">
        <f>IF(A449="","",COUNTIF($A$5:$A$1004,"&lt;"&amp;A449)+COUNTIF($A$5:A449,A449))</f>
        <v/>
      </c>
      <c r="X449">
        <f>","&amp;SUBSTITUTE(SUBSTITUTE(SUBSTITUTE(UPPER(C449)," ",""),";",","),"/",",")&amp;","</f>
        <v/>
      </c>
      <c r="Y449">
        <f>IF(AND(A449&lt;&gt;"",B449="Active",'State Search'!$C$5&lt;&gt;"",OR(X449=",ALL,",ISNUMBER(SEARCH(","&amp;'State Search'!$C$5&amp;",",X449)))),W449,"")</f>
        <v/>
      </c>
    </row>
    <row r="450">
      <c r="A450" s="64" t="n"/>
      <c r="B450" s="65" t="n"/>
      <c r="C450" s="64" t="n"/>
      <c r="D450" s="66" t="n"/>
      <c r="E450" s="66" t="n"/>
      <c r="F450" s="67" t="n"/>
      <c r="G450" s="67" t="n"/>
      <c r="H450" s="67" t="n"/>
      <c r="I450" s="67" t="n"/>
      <c r="J450" s="67" t="n"/>
      <c r="K450" s="67" t="n"/>
      <c r="L450" s="67" t="n"/>
      <c r="M450" s="67" t="n"/>
      <c r="N450" s="65" t="n"/>
      <c r="O450" s="84">
        <f>IF(A450="","",IF(E450="","No date",IF(TODAY()&gt;=EDATE(E450,Review_Months),"Review Due","Current")))</f>
        <v/>
      </c>
      <c r="P450" s="84">
        <f>IF(A450="","",IF(COUNTIFS('AFA Rates'!$A$5:$A$1004,A450,'AFA Rates'!$O$5:$O$1004,"&lt;&gt;Expired")&gt;0,"Yes",IF(COUNTIF('AFA Rates'!$A$5:$A$1004,A450)&gt;0,"Expired only","No")))</f>
        <v/>
      </c>
      <c r="Q450" s="84">
        <f>IF(A450="","",COUNTIFS('AFA Rates'!$A$5:$A$1004,A450,'AFA Rates'!$O$5:$O$1004,"&lt;&gt;Expired"))</f>
        <v/>
      </c>
      <c r="R450" s="66" t="n"/>
      <c r="S450" s="64" t="n"/>
      <c r="T450" s="64" t="n"/>
      <c r="U450">
        <f>IF(AND(A450&lt;&gt;"",B450="Paused"),COUNTIFS($A$5:A450,"&lt;&gt;",$B$5:B450,"Paused"),"")</f>
        <v/>
      </c>
      <c r="V450">
        <f>IF(P450="Yes",COUNTIF($P$5:P450,"Yes"),"")</f>
        <v/>
      </c>
      <c r="W450">
        <f>IF(A450="","",COUNTIF($A$5:$A$1004,"&lt;"&amp;A450)+COUNTIF($A$5:A450,A450))</f>
        <v/>
      </c>
      <c r="X450">
        <f>","&amp;SUBSTITUTE(SUBSTITUTE(SUBSTITUTE(UPPER(C450)," ",""),";",","),"/",",")&amp;","</f>
        <v/>
      </c>
      <c r="Y450">
        <f>IF(AND(A450&lt;&gt;"",B450="Active",'State Search'!$C$5&lt;&gt;"",OR(X450=",ALL,",ISNUMBER(SEARCH(","&amp;'State Search'!$C$5&amp;",",X450)))),W450,"")</f>
        <v/>
      </c>
    </row>
    <row r="451">
      <c r="A451" s="64" t="n"/>
      <c r="B451" s="65" t="n"/>
      <c r="C451" s="64" t="n"/>
      <c r="D451" s="66" t="n"/>
      <c r="E451" s="66" t="n"/>
      <c r="F451" s="67" t="n"/>
      <c r="G451" s="67" t="n"/>
      <c r="H451" s="67" t="n"/>
      <c r="I451" s="67" t="n"/>
      <c r="J451" s="67" t="n"/>
      <c r="K451" s="67" t="n"/>
      <c r="L451" s="67" t="n"/>
      <c r="M451" s="67" t="n"/>
      <c r="N451" s="65" t="n"/>
      <c r="O451" s="84">
        <f>IF(A451="","",IF(E451="","No date",IF(TODAY()&gt;=EDATE(E451,Review_Months),"Review Due","Current")))</f>
        <v/>
      </c>
      <c r="P451" s="84">
        <f>IF(A451="","",IF(COUNTIFS('AFA Rates'!$A$5:$A$1004,A451,'AFA Rates'!$O$5:$O$1004,"&lt;&gt;Expired")&gt;0,"Yes",IF(COUNTIF('AFA Rates'!$A$5:$A$1004,A451)&gt;0,"Expired only","No")))</f>
        <v/>
      </c>
      <c r="Q451" s="84">
        <f>IF(A451="","",COUNTIFS('AFA Rates'!$A$5:$A$1004,A451,'AFA Rates'!$O$5:$O$1004,"&lt;&gt;Expired"))</f>
        <v/>
      </c>
      <c r="R451" s="66" t="n"/>
      <c r="S451" s="64" t="n"/>
      <c r="T451" s="64" t="n"/>
      <c r="U451">
        <f>IF(AND(A451&lt;&gt;"",B451="Paused"),COUNTIFS($A$5:A451,"&lt;&gt;",$B$5:B451,"Paused"),"")</f>
        <v/>
      </c>
      <c r="V451">
        <f>IF(P451="Yes",COUNTIF($P$5:P451,"Yes"),"")</f>
        <v/>
      </c>
      <c r="W451">
        <f>IF(A451="","",COUNTIF($A$5:$A$1004,"&lt;"&amp;A451)+COUNTIF($A$5:A451,A451))</f>
        <v/>
      </c>
      <c r="X451">
        <f>","&amp;SUBSTITUTE(SUBSTITUTE(SUBSTITUTE(UPPER(C451)," ",""),";",","),"/",",")&amp;","</f>
        <v/>
      </c>
      <c r="Y451">
        <f>IF(AND(A451&lt;&gt;"",B451="Active",'State Search'!$C$5&lt;&gt;"",OR(X451=",ALL,",ISNUMBER(SEARCH(","&amp;'State Search'!$C$5&amp;",",X451)))),W451,"")</f>
        <v/>
      </c>
    </row>
    <row r="452">
      <c r="A452" s="64" t="n"/>
      <c r="B452" s="65" t="n"/>
      <c r="C452" s="64" t="n"/>
      <c r="D452" s="66" t="n"/>
      <c r="E452" s="66" t="n"/>
      <c r="F452" s="67" t="n"/>
      <c r="G452" s="67" t="n"/>
      <c r="H452" s="67" t="n"/>
      <c r="I452" s="67" t="n"/>
      <c r="J452" s="67" t="n"/>
      <c r="K452" s="67" t="n"/>
      <c r="L452" s="67" t="n"/>
      <c r="M452" s="67" t="n"/>
      <c r="N452" s="65" t="n"/>
      <c r="O452" s="84">
        <f>IF(A452="","",IF(E452="","No date",IF(TODAY()&gt;=EDATE(E452,Review_Months),"Review Due","Current")))</f>
        <v/>
      </c>
      <c r="P452" s="84">
        <f>IF(A452="","",IF(COUNTIFS('AFA Rates'!$A$5:$A$1004,A452,'AFA Rates'!$O$5:$O$1004,"&lt;&gt;Expired")&gt;0,"Yes",IF(COUNTIF('AFA Rates'!$A$5:$A$1004,A452)&gt;0,"Expired only","No")))</f>
        <v/>
      </c>
      <c r="Q452" s="84">
        <f>IF(A452="","",COUNTIFS('AFA Rates'!$A$5:$A$1004,A452,'AFA Rates'!$O$5:$O$1004,"&lt;&gt;Expired"))</f>
        <v/>
      </c>
      <c r="R452" s="66" t="n"/>
      <c r="S452" s="64" t="n"/>
      <c r="T452" s="64" t="n"/>
      <c r="U452">
        <f>IF(AND(A452&lt;&gt;"",B452="Paused"),COUNTIFS($A$5:A452,"&lt;&gt;",$B$5:B452,"Paused"),"")</f>
        <v/>
      </c>
      <c r="V452">
        <f>IF(P452="Yes",COUNTIF($P$5:P452,"Yes"),"")</f>
        <v/>
      </c>
      <c r="W452">
        <f>IF(A452="","",COUNTIF($A$5:$A$1004,"&lt;"&amp;A452)+COUNTIF($A$5:A452,A452))</f>
        <v/>
      </c>
      <c r="X452">
        <f>","&amp;SUBSTITUTE(SUBSTITUTE(SUBSTITUTE(UPPER(C452)," ",""),";",","),"/",",")&amp;","</f>
        <v/>
      </c>
      <c r="Y452">
        <f>IF(AND(A452&lt;&gt;"",B452="Active",'State Search'!$C$5&lt;&gt;"",OR(X452=",ALL,",ISNUMBER(SEARCH(","&amp;'State Search'!$C$5&amp;",",X452)))),W452,"")</f>
        <v/>
      </c>
    </row>
    <row r="453">
      <c r="A453" s="64" t="n"/>
      <c r="B453" s="65" t="n"/>
      <c r="C453" s="64" t="n"/>
      <c r="D453" s="66" t="n"/>
      <c r="E453" s="66" t="n"/>
      <c r="F453" s="67" t="n"/>
      <c r="G453" s="67" t="n"/>
      <c r="H453" s="67" t="n"/>
      <c r="I453" s="67" t="n"/>
      <c r="J453" s="67" t="n"/>
      <c r="K453" s="67" t="n"/>
      <c r="L453" s="67" t="n"/>
      <c r="M453" s="67" t="n"/>
      <c r="N453" s="65" t="n"/>
      <c r="O453" s="84">
        <f>IF(A453="","",IF(E453="","No date",IF(TODAY()&gt;=EDATE(E453,Review_Months),"Review Due","Current")))</f>
        <v/>
      </c>
      <c r="P453" s="84">
        <f>IF(A453="","",IF(COUNTIFS('AFA Rates'!$A$5:$A$1004,A453,'AFA Rates'!$O$5:$O$1004,"&lt;&gt;Expired")&gt;0,"Yes",IF(COUNTIF('AFA Rates'!$A$5:$A$1004,A453)&gt;0,"Expired only","No")))</f>
        <v/>
      </c>
      <c r="Q453" s="84">
        <f>IF(A453="","",COUNTIFS('AFA Rates'!$A$5:$A$1004,A453,'AFA Rates'!$O$5:$O$1004,"&lt;&gt;Expired"))</f>
        <v/>
      </c>
      <c r="R453" s="66" t="n"/>
      <c r="S453" s="64" t="n"/>
      <c r="T453" s="64" t="n"/>
      <c r="U453">
        <f>IF(AND(A453&lt;&gt;"",B453="Paused"),COUNTIFS($A$5:A453,"&lt;&gt;",$B$5:B453,"Paused"),"")</f>
        <v/>
      </c>
      <c r="V453">
        <f>IF(P453="Yes",COUNTIF($P$5:P453,"Yes"),"")</f>
        <v/>
      </c>
      <c r="W453">
        <f>IF(A453="","",COUNTIF($A$5:$A$1004,"&lt;"&amp;A453)+COUNTIF($A$5:A453,A453))</f>
        <v/>
      </c>
      <c r="X453">
        <f>","&amp;SUBSTITUTE(SUBSTITUTE(SUBSTITUTE(UPPER(C453)," ",""),";",","),"/",",")&amp;","</f>
        <v/>
      </c>
      <c r="Y453">
        <f>IF(AND(A453&lt;&gt;"",B453="Active",'State Search'!$C$5&lt;&gt;"",OR(X453=",ALL,",ISNUMBER(SEARCH(","&amp;'State Search'!$C$5&amp;",",X453)))),W453,"")</f>
        <v/>
      </c>
    </row>
    <row r="454">
      <c r="A454" s="64" t="n"/>
      <c r="B454" s="65" t="n"/>
      <c r="C454" s="64" t="n"/>
      <c r="D454" s="66" t="n"/>
      <c r="E454" s="66" t="n"/>
      <c r="F454" s="67" t="n"/>
      <c r="G454" s="67" t="n"/>
      <c r="H454" s="67" t="n"/>
      <c r="I454" s="67" t="n"/>
      <c r="J454" s="67" t="n"/>
      <c r="K454" s="67" t="n"/>
      <c r="L454" s="67" t="n"/>
      <c r="M454" s="67" t="n"/>
      <c r="N454" s="65" t="n"/>
      <c r="O454" s="84">
        <f>IF(A454="","",IF(E454="","No date",IF(TODAY()&gt;=EDATE(E454,Review_Months),"Review Due","Current")))</f>
        <v/>
      </c>
      <c r="P454" s="84">
        <f>IF(A454="","",IF(COUNTIFS('AFA Rates'!$A$5:$A$1004,A454,'AFA Rates'!$O$5:$O$1004,"&lt;&gt;Expired")&gt;0,"Yes",IF(COUNTIF('AFA Rates'!$A$5:$A$1004,A454)&gt;0,"Expired only","No")))</f>
        <v/>
      </c>
      <c r="Q454" s="84">
        <f>IF(A454="","",COUNTIFS('AFA Rates'!$A$5:$A$1004,A454,'AFA Rates'!$O$5:$O$1004,"&lt;&gt;Expired"))</f>
        <v/>
      </c>
      <c r="R454" s="66" t="n"/>
      <c r="S454" s="64" t="n"/>
      <c r="T454" s="64" t="n"/>
      <c r="U454">
        <f>IF(AND(A454&lt;&gt;"",B454="Paused"),COUNTIFS($A$5:A454,"&lt;&gt;",$B$5:B454,"Paused"),"")</f>
        <v/>
      </c>
      <c r="V454">
        <f>IF(P454="Yes",COUNTIF($P$5:P454,"Yes"),"")</f>
        <v/>
      </c>
      <c r="W454">
        <f>IF(A454="","",COUNTIF($A$5:$A$1004,"&lt;"&amp;A454)+COUNTIF($A$5:A454,A454))</f>
        <v/>
      </c>
      <c r="X454">
        <f>","&amp;SUBSTITUTE(SUBSTITUTE(SUBSTITUTE(UPPER(C454)," ",""),";",","),"/",",")&amp;","</f>
        <v/>
      </c>
      <c r="Y454">
        <f>IF(AND(A454&lt;&gt;"",B454="Active",'State Search'!$C$5&lt;&gt;"",OR(X454=",ALL,",ISNUMBER(SEARCH(","&amp;'State Search'!$C$5&amp;",",X454)))),W454,"")</f>
        <v/>
      </c>
    </row>
    <row r="455">
      <c r="A455" s="64" t="n"/>
      <c r="B455" s="65" t="n"/>
      <c r="C455" s="64" t="n"/>
      <c r="D455" s="66" t="n"/>
      <c r="E455" s="66" t="n"/>
      <c r="F455" s="67" t="n"/>
      <c r="G455" s="67" t="n"/>
      <c r="H455" s="67" t="n"/>
      <c r="I455" s="67" t="n"/>
      <c r="J455" s="67" t="n"/>
      <c r="K455" s="67" t="n"/>
      <c r="L455" s="67" t="n"/>
      <c r="M455" s="67" t="n"/>
      <c r="N455" s="65" t="n"/>
      <c r="O455" s="84">
        <f>IF(A455="","",IF(E455="","No date",IF(TODAY()&gt;=EDATE(E455,Review_Months),"Review Due","Current")))</f>
        <v/>
      </c>
      <c r="P455" s="84">
        <f>IF(A455="","",IF(COUNTIFS('AFA Rates'!$A$5:$A$1004,A455,'AFA Rates'!$O$5:$O$1004,"&lt;&gt;Expired")&gt;0,"Yes",IF(COUNTIF('AFA Rates'!$A$5:$A$1004,A455)&gt;0,"Expired only","No")))</f>
        <v/>
      </c>
      <c r="Q455" s="84">
        <f>IF(A455="","",COUNTIFS('AFA Rates'!$A$5:$A$1004,A455,'AFA Rates'!$O$5:$O$1004,"&lt;&gt;Expired"))</f>
        <v/>
      </c>
      <c r="R455" s="66" t="n"/>
      <c r="S455" s="64" t="n"/>
      <c r="T455" s="64" t="n"/>
      <c r="U455">
        <f>IF(AND(A455&lt;&gt;"",B455="Paused"),COUNTIFS($A$5:A455,"&lt;&gt;",$B$5:B455,"Paused"),"")</f>
        <v/>
      </c>
      <c r="V455">
        <f>IF(P455="Yes",COUNTIF($P$5:P455,"Yes"),"")</f>
        <v/>
      </c>
      <c r="W455">
        <f>IF(A455="","",COUNTIF($A$5:$A$1004,"&lt;"&amp;A455)+COUNTIF($A$5:A455,A455))</f>
        <v/>
      </c>
      <c r="X455">
        <f>","&amp;SUBSTITUTE(SUBSTITUTE(SUBSTITUTE(UPPER(C455)," ",""),";",","),"/",",")&amp;","</f>
        <v/>
      </c>
      <c r="Y455">
        <f>IF(AND(A455&lt;&gt;"",B455="Active",'State Search'!$C$5&lt;&gt;"",OR(X455=",ALL,",ISNUMBER(SEARCH(","&amp;'State Search'!$C$5&amp;",",X455)))),W455,"")</f>
        <v/>
      </c>
    </row>
    <row r="456">
      <c r="A456" s="64" t="n"/>
      <c r="B456" s="65" t="n"/>
      <c r="C456" s="64" t="n"/>
      <c r="D456" s="66" t="n"/>
      <c r="E456" s="66" t="n"/>
      <c r="F456" s="67" t="n"/>
      <c r="G456" s="67" t="n"/>
      <c r="H456" s="67" t="n"/>
      <c r="I456" s="67" t="n"/>
      <c r="J456" s="67" t="n"/>
      <c r="K456" s="67" t="n"/>
      <c r="L456" s="67" t="n"/>
      <c r="M456" s="67" t="n"/>
      <c r="N456" s="65" t="n"/>
      <c r="O456" s="84">
        <f>IF(A456="","",IF(E456="","No date",IF(TODAY()&gt;=EDATE(E456,Review_Months),"Review Due","Current")))</f>
        <v/>
      </c>
      <c r="P456" s="84">
        <f>IF(A456="","",IF(COUNTIFS('AFA Rates'!$A$5:$A$1004,A456,'AFA Rates'!$O$5:$O$1004,"&lt;&gt;Expired")&gt;0,"Yes",IF(COUNTIF('AFA Rates'!$A$5:$A$1004,A456)&gt;0,"Expired only","No")))</f>
        <v/>
      </c>
      <c r="Q456" s="84">
        <f>IF(A456="","",COUNTIFS('AFA Rates'!$A$5:$A$1004,A456,'AFA Rates'!$O$5:$O$1004,"&lt;&gt;Expired"))</f>
        <v/>
      </c>
      <c r="R456" s="66" t="n"/>
      <c r="S456" s="64" t="n"/>
      <c r="T456" s="64" t="n"/>
      <c r="U456">
        <f>IF(AND(A456&lt;&gt;"",B456="Paused"),COUNTIFS($A$5:A456,"&lt;&gt;",$B$5:B456,"Paused"),"")</f>
        <v/>
      </c>
      <c r="V456">
        <f>IF(P456="Yes",COUNTIF($P$5:P456,"Yes"),"")</f>
        <v/>
      </c>
      <c r="W456">
        <f>IF(A456="","",COUNTIF($A$5:$A$1004,"&lt;"&amp;A456)+COUNTIF($A$5:A456,A456))</f>
        <v/>
      </c>
      <c r="X456">
        <f>","&amp;SUBSTITUTE(SUBSTITUTE(SUBSTITUTE(UPPER(C456)," ",""),";",","),"/",",")&amp;","</f>
        <v/>
      </c>
      <c r="Y456">
        <f>IF(AND(A456&lt;&gt;"",B456="Active",'State Search'!$C$5&lt;&gt;"",OR(X456=",ALL,",ISNUMBER(SEARCH(","&amp;'State Search'!$C$5&amp;",",X456)))),W456,"")</f>
        <v/>
      </c>
    </row>
    <row r="457">
      <c r="A457" s="64" t="n"/>
      <c r="B457" s="65" t="n"/>
      <c r="C457" s="64" t="n"/>
      <c r="D457" s="66" t="n"/>
      <c r="E457" s="66" t="n"/>
      <c r="F457" s="67" t="n"/>
      <c r="G457" s="67" t="n"/>
      <c r="H457" s="67" t="n"/>
      <c r="I457" s="67" t="n"/>
      <c r="J457" s="67" t="n"/>
      <c r="K457" s="67" t="n"/>
      <c r="L457" s="67" t="n"/>
      <c r="M457" s="67" t="n"/>
      <c r="N457" s="65" t="n"/>
      <c r="O457" s="84">
        <f>IF(A457="","",IF(E457="","No date",IF(TODAY()&gt;=EDATE(E457,Review_Months),"Review Due","Current")))</f>
        <v/>
      </c>
      <c r="P457" s="84">
        <f>IF(A457="","",IF(COUNTIFS('AFA Rates'!$A$5:$A$1004,A457,'AFA Rates'!$O$5:$O$1004,"&lt;&gt;Expired")&gt;0,"Yes",IF(COUNTIF('AFA Rates'!$A$5:$A$1004,A457)&gt;0,"Expired only","No")))</f>
        <v/>
      </c>
      <c r="Q457" s="84">
        <f>IF(A457="","",COUNTIFS('AFA Rates'!$A$5:$A$1004,A457,'AFA Rates'!$O$5:$O$1004,"&lt;&gt;Expired"))</f>
        <v/>
      </c>
      <c r="R457" s="66" t="n"/>
      <c r="S457" s="64" t="n"/>
      <c r="T457" s="64" t="n"/>
      <c r="U457">
        <f>IF(AND(A457&lt;&gt;"",B457="Paused"),COUNTIFS($A$5:A457,"&lt;&gt;",$B$5:B457,"Paused"),"")</f>
        <v/>
      </c>
      <c r="V457">
        <f>IF(P457="Yes",COUNTIF($P$5:P457,"Yes"),"")</f>
        <v/>
      </c>
      <c r="W457">
        <f>IF(A457="","",COUNTIF($A$5:$A$1004,"&lt;"&amp;A457)+COUNTIF($A$5:A457,A457))</f>
        <v/>
      </c>
      <c r="X457">
        <f>","&amp;SUBSTITUTE(SUBSTITUTE(SUBSTITUTE(UPPER(C457)," ",""),";",","),"/",",")&amp;","</f>
        <v/>
      </c>
      <c r="Y457">
        <f>IF(AND(A457&lt;&gt;"",B457="Active",'State Search'!$C$5&lt;&gt;"",OR(X457=",ALL,",ISNUMBER(SEARCH(","&amp;'State Search'!$C$5&amp;",",X457)))),W457,"")</f>
        <v/>
      </c>
    </row>
    <row r="458">
      <c r="A458" s="64" t="n"/>
      <c r="B458" s="65" t="n"/>
      <c r="C458" s="64" t="n"/>
      <c r="D458" s="66" t="n"/>
      <c r="E458" s="66" t="n"/>
      <c r="F458" s="67" t="n"/>
      <c r="G458" s="67" t="n"/>
      <c r="H458" s="67" t="n"/>
      <c r="I458" s="67" t="n"/>
      <c r="J458" s="67" t="n"/>
      <c r="K458" s="67" t="n"/>
      <c r="L458" s="67" t="n"/>
      <c r="M458" s="67" t="n"/>
      <c r="N458" s="65" t="n"/>
      <c r="O458" s="84">
        <f>IF(A458="","",IF(E458="","No date",IF(TODAY()&gt;=EDATE(E458,Review_Months),"Review Due","Current")))</f>
        <v/>
      </c>
      <c r="P458" s="84">
        <f>IF(A458="","",IF(COUNTIFS('AFA Rates'!$A$5:$A$1004,A458,'AFA Rates'!$O$5:$O$1004,"&lt;&gt;Expired")&gt;0,"Yes",IF(COUNTIF('AFA Rates'!$A$5:$A$1004,A458)&gt;0,"Expired only","No")))</f>
        <v/>
      </c>
      <c r="Q458" s="84">
        <f>IF(A458="","",COUNTIFS('AFA Rates'!$A$5:$A$1004,A458,'AFA Rates'!$O$5:$O$1004,"&lt;&gt;Expired"))</f>
        <v/>
      </c>
      <c r="R458" s="66" t="n"/>
      <c r="S458" s="64" t="n"/>
      <c r="T458" s="64" t="n"/>
      <c r="U458">
        <f>IF(AND(A458&lt;&gt;"",B458="Paused"),COUNTIFS($A$5:A458,"&lt;&gt;",$B$5:B458,"Paused"),"")</f>
        <v/>
      </c>
      <c r="V458">
        <f>IF(P458="Yes",COUNTIF($P$5:P458,"Yes"),"")</f>
        <v/>
      </c>
      <c r="W458">
        <f>IF(A458="","",COUNTIF($A$5:$A$1004,"&lt;"&amp;A458)+COUNTIF($A$5:A458,A458))</f>
        <v/>
      </c>
      <c r="X458">
        <f>","&amp;SUBSTITUTE(SUBSTITUTE(SUBSTITUTE(UPPER(C458)," ",""),";",","),"/",",")&amp;","</f>
        <v/>
      </c>
      <c r="Y458">
        <f>IF(AND(A458&lt;&gt;"",B458="Active",'State Search'!$C$5&lt;&gt;"",OR(X458=",ALL,",ISNUMBER(SEARCH(","&amp;'State Search'!$C$5&amp;",",X458)))),W458,"")</f>
        <v/>
      </c>
    </row>
    <row r="459">
      <c r="A459" s="64" t="n"/>
      <c r="B459" s="65" t="n"/>
      <c r="C459" s="64" t="n"/>
      <c r="D459" s="66" t="n"/>
      <c r="E459" s="66" t="n"/>
      <c r="F459" s="67" t="n"/>
      <c r="G459" s="67" t="n"/>
      <c r="H459" s="67" t="n"/>
      <c r="I459" s="67" t="n"/>
      <c r="J459" s="67" t="n"/>
      <c r="K459" s="67" t="n"/>
      <c r="L459" s="67" t="n"/>
      <c r="M459" s="67" t="n"/>
      <c r="N459" s="65" t="n"/>
      <c r="O459" s="84">
        <f>IF(A459="","",IF(E459="","No date",IF(TODAY()&gt;=EDATE(E459,Review_Months),"Review Due","Current")))</f>
        <v/>
      </c>
      <c r="P459" s="84">
        <f>IF(A459="","",IF(COUNTIFS('AFA Rates'!$A$5:$A$1004,A459,'AFA Rates'!$O$5:$O$1004,"&lt;&gt;Expired")&gt;0,"Yes",IF(COUNTIF('AFA Rates'!$A$5:$A$1004,A459)&gt;0,"Expired only","No")))</f>
        <v/>
      </c>
      <c r="Q459" s="84">
        <f>IF(A459="","",COUNTIFS('AFA Rates'!$A$5:$A$1004,A459,'AFA Rates'!$O$5:$O$1004,"&lt;&gt;Expired"))</f>
        <v/>
      </c>
      <c r="R459" s="66" t="n"/>
      <c r="S459" s="64" t="n"/>
      <c r="T459" s="64" t="n"/>
      <c r="U459">
        <f>IF(AND(A459&lt;&gt;"",B459="Paused"),COUNTIFS($A$5:A459,"&lt;&gt;",$B$5:B459,"Paused"),"")</f>
        <v/>
      </c>
      <c r="V459">
        <f>IF(P459="Yes",COUNTIF($P$5:P459,"Yes"),"")</f>
        <v/>
      </c>
      <c r="W459">
        <f>IF(A459="","",COUNTIF($A$5:$A$1004,"&lt;"&amp;A459)+COUNTIF($A$5:A459,A459))</f>
        <v/>
      </c>
      <c r="X459">
        <f>","&amp;SUBSTITUTE(SUBSTITUTE(SUBSTITUTE(UPPER(C459)," ",""),";",","),"/",",")&amp;","</f>
        <v/>
      </c>
      <c r="Y459">
        <f>IF(AND(A459&lt;&gt;"",B459="Active",'State Search'!$C$5&lt;&gt;"",OR(X459=",ALL,",ISNUMBER(SEARCH(","&amp;'State Search'!$C$5&amp;",",X459)))),W459,"")</f>
        <v/>
      </c>
    </row>
    <row r="460">
      <c r="A460" s="64" t="n"/>
      <c r="B460" s="65" t="n"/>
      <c r="C460" s="64" t="n"/>
      <c r="D460" s="66" t="n"/>
      <c r="E460" s="66" t="n"/>
      <c r="F460" s="67" t="n"/>
      <c r="G460" s="67" t="n"/>
      <c r="H460" s="67" t="n"/>
      <c r="I460" s="67" t="n"/>
      <c r="J460" s="67" t="n"/>
      <c r="K460" s="67" t="n"/>
      <c r="L460" s="67" t="n"/>
      <c r="M460" s="67" t="n"/>
      <c r="N460" s="65" t="n"/>
      <c r="O460" s="84">
        <f>IF(A460="","",IF(E460="","No date",IF(TODAY()&gt;=EDATE(E460,Review_Months),"Review Due","Current")))</f>
        <v/>
      </c>
      <c r="P460" s="84">
        <f>IF(A460="","",IF(COUNTIFS('AFA Rates'!$A$5:$A$1004,A460,'AFA Rates'!$O$5:$O$1004,"&lt;&gt;Expired")&gt;0,"Yes",IF(COUNTIF('AFA Rates'!$A$5:$A$1004,A460)&gt;0,"Expired only","No")))</f>
        <v/>
      </c>
      <c r="Q460" s="84">
        <f>IF(A460="","",COUNTIFS('AFA Rates'!$A$5:$A$1004,A460,'AFA Rates'!$O$5:$O$1004,"&lt;&gt;Expired"))</f>
        <v/>
      </c>
      <c r="R460" s="66" t="n"/>
      <c r="S460" s="64" t="n"/>
      <c r="T460" s="64" t="n"/>
      <c r="U460">
        <f>IF(AND(A460&lt;&gt;"",B460="Paused"),COUNTIFS($A$5:A460,"&lt;&gt;",$B$5:B460,"Paused"),"")</f>
        <v/>
      </c>
      <c r="V460">
        <f>IF(P460="Yes",COUNTIF($P$5:P460,"Yes"),"")</f>
        <v/>
      </c>
      <c r="W460">
        <f>IF(A460="","",COUNTIF($A$5:$A$1004,"&lt;"&amp;A460)+COUNTIF($A$5:A460,A460))</f>
        <v/>
      </c>
      <c r="X460">
        <f>","&amp;SUBSTITUTE(SUBSTITUTE(SUBSTITUTE(UPPER(C460)," ",""),";",","),"/",",")&amp;","</f>
        <v/>
      </c>
      <c r="Y460">
        <f>IF(AND(A460&lt;&gt;"",B460="Active",'State Search'!$C$5&lt;&gt;"",OR(X460=",ALL,",ISNUMBER(SEARCH(","&amp;'State Search'!$C$5&amp;",",X460)))),W460,"")</f>
        <v/>
      </c>
    </row>
    <row r="461">
      <c r="A461" s="64" t="n"/>
      <c r="B461" s="65" t="n"/>
      <c r="C461" s="64" t="n"/>
      <c r="D461" s="66" t="n"/>
      <c r="E461" s="66" t="n"/>
      <c r="F461" s="67" t="n"/>
      <c r="G461" s="67" t="n"/>
      <c r="H461" s="67" t="n"/>
      <c r="I461" s="67" t="n"/>
      <c r="J461" s="67" t="n"/>
      <c r="K461" s="67" t="n"/>
      <c r="L461" s="67" t="n"/>
      <c r="M461" s="67" t="n"/>
      <c r="N461" s="65" t="n"/>
      <c r="O461" s="84">
        <f>IF(A461="","",IF(E461="","No date",IF(TODAY()&gt;=EDATE(E461,Review_Months),"Review Due","Current")))</f>
        <v/>
      </c>
      <c r="P461" s="84">
        <f>IF(A461="","",IF(COUNTIFS('AFA Rates'!$A$5:$A$1004,A461,'AFA Rates'!$O$5:$O$1004,"&lt;&gt;Expired")&gt;0,"Yes",IF(COUNTIF('AFA Rates'!$A$5:$A$1004,A461)&gt;0,"Expired only","No")))</f>
        <v/>
      </c>
      <c r="Q461" s="84">
        <f>IF(A461="","",COUNTIFS('AFA Rates'!$A$5:$A$1004,A461,'AFA Rates'!$O$5:$O$1004,"&lt;&gt;Expired"))</f>
        <v/>
      </c>
      <c r="R461" s="66" t="n"/>
      <c r="S461" s="64" t="n"/>
      <c r="T461" s="64" t="n"/>
      <c r="U461">
        <f>IF(AND(A461&lt;&gt;"",B461="Paused"),COUNTIFS($A$5:A461,"&lt;&gt;",$B$5:B461,"Paused"),"")</f>
        <v/>
      </c>
      <c r="V461">
        <f>IF(P461="Yes",COUNTIF($P$5:P461,"Yes"),"")</f>
        <v/>
      </c>
      <c r="W461">
        <f>IF(A461="","",COUNTIF($A$5:$A$1004,"&lt;"&amp;A461)+COUNTIF($A$5:A461,A461))</f>
        <v/>
      </c>
      <c r="X461">
        <f>","&amp;SUBSTITUTE(SUBSTITUTE(SUBSTITUTE(UPPER(C461)," ",""),";",","),"/",",")&amp;","</f>
        <v/>
      </c>
      <c r="Y461">
        <f>IF(AND(A461&lt;&gt;"",B461="Active",'State Search'!$C$5&lt;&gt;"",OR(X461=",ALL,",ISNUMBER(SEARCH(","&amp;'State Search'!$C$5&amp;",",X461)))),W461,"")</f>
        <v/>
      </c>
    </row>
    <row r="462">
      <c r="A462" s="64" t="n"/>
      <c r="B462" s="65" t="n"/>
      <c r="C462" s="64" t="n"/>
      <c r="D462" s="66" t="n"/>
      <c r="E462" s="66" t="n"/>
      <c r="F462" s="67" t="n"/>
      <c r="G462" s="67" t="n"/>
      <c r="H462" s="67" t="n"/>
      <c r="I462" s="67" t="n"/>
      <c r="J462" s="67" t="n"/>
      <c r="K462" s="67" t="n"/>
      <c r="L462" s="67" t="n"/>
      <c r="M462" s="67" t="n"/>
      <c r="N462" s="65" t="n"/>
      <c r="O462" s="84">
        <f>IF(A462="","",IF(E462="","No date",IF(TODAY()&gt;=EDATE(E462,Review_Months),"Review Due","Current")))</f>
        <v/>
      </c>
      <c r="P462" s="84">
        <f>IF(A462="","",IF(COUNTIFS('AFA Rates'!$A$5:$A$1004,A462,'AFA Rates'!$O$5:$O$1004,"&lt;&gt;Expired")&gt;0,"Yes",IF(COUNTIF('AFA Rates'!$A$5:$A$1004,A462)&gt;0,"Expired only","No")))</f>
        <v/>
      </c>
      <c r="Q462" s="84">
        <f>IF(A462="","",COUNTIFS('AFA Rates'!$A$5:$A$1004,A462,'AFA Rates'!$O$5:$O$1004,"&lt;&gt;Expired"))</f>
        <v/>
      </c>
      <c r="R462" s="66" t="n"/>
      <c r="S462" s="64" t="n"/>
      <c r="T462" s="64" t="n"/>
      <c r="U462">
        <f>IF(AND(A462&lt;&gt;"",B462="Paused"),COUNTIFS($A$5:A462,"&lt;&gt;",$B$5:B462,"Paused"),"")</f>
        <v/>
      </c>
      <c r="V462">
        <f>IF(P462="Yes",COUNTIF($P$5:P462,"Yes"),"")</f>
        <v/>
      </c>
      <c r="W462">
        <f>IF(A462="","",COUNTIF($A$5:$A$1004,"&lt;"&amp;A462)+COUNTIF($A$5:A462,A462))</f>
        <v/>
      </c>
      <c r="X462">
        <f>","&amp;SUBSTITUTE(SUBSTITUTE(SUBSTITUTE(UPPER(C462)," ",""),";",","),"/",",")&amp;","</f>
        <v/>
      </c>
      <c r="Y462">
        <f>IF(AND(A462&lt;&gt;"",B462="Active",'State Search'!$C$5&lt;&gt;"",OR(X462=",ALL,",ISNUMBER(SEARCH(","&amp;'State Search'!$C$5&amp;",",X462)))),W462,"")</f>
        <v/>
      </c>
    </row>
    <row r="463">
      <c r="A463" s="64" t="n"/>
      <c r="B463" s="65" t="n"/>
      <c r="C463" s="64" t="n"/>
      <c r="D463" s="66" t="n"/>
      <c r="E463" s="66" t="n"/>
      <c r="F463" s="67" t="n"/>
      <c r="G463" s="67" t="n"/>
      <c r="H463" s="67" t="n"/>
      <c r="I463" s="67" t="n"/>
      <c r="J463" s="67" t="n"/>
      <c r="K463" s="67" t="n"/>
      <c r="L463" s="67" t="n"/>
      <c r="M463" s="67" t="n"/>
      <c r="N463" s="65" t="n"/>
      <c r="O463" s="84">
        <f>IF(A463="","",IF(E463="","No date",IF(TODAY()&gt;=EDATE(E463,Review_Months),"Review Due","Current")))</f>
        <v/>
      </c>
      <c r="P463" s="84">
        <f>IF(A463="","",IF(COUNTIFS('AFA Rates'!$A$5:$A$1004,A463,'AFA Rates'!$O$5:$O$1004,"&lt;&gt;Expired")&gt;0,"Yes",IF(COUNTIF('AFA Rates'!$A$5:$A$1004,A463)&gt;0,"Expired only","No")))</f>
        <v/>
      </c>
      <c r="Q463" s="84">
        <f>IF(A463="","",COUNTIFS('AFA Rates'!$A$5:$A$1004,A463,'AFA Rates'!$O$5:$O$1004,"&lt;&gt;Expired"))</f>
        <v/>
      </c>
      <c r="R463" s="66" t="n"/>
      <c r="S463" s="64" t="n"/>
      <c r="T463" s="64" t="n"/>
      <c r="U463">
        <f>IF(AND(A463&lt;&gt;"",B463="Paused"),COUNTIFS($A$5:A463,"&lt;&gt;",$B$5:B463,"Paused"),"")</f>
        <v/>
      </c>
      <c r="V463">
        <f>IF(P463="Yes",COUNTIF($P$5:P463,"Yes"),"")</f>
        <v/>
      </c>
      <c r="W463">
        <f>IF(A463="","",COUNTIF($A$5:$A$1004,"&lt;"&amp;A463)+COUNTIF($A$5:A463,A463))</f>
        <v/>
      </c>
      <c r="X463">
        <f>","&amp;SUBSTITUTE(SUBSTITUTE(SUBSTITUTE(UPPER(C463)," ",""),";",","),"/",",")&amp;","</f>
        <v/>
      </c>
      <c r="Y463">
        <f>IF(AND(A463&lt;&gt;"",B463="Active",'State Search'!$C$5&lt;&gt;"",OR(X463=",ALL,",ISNUMBER(SEARCH(","&amp;'State Search'!$C$5&amp;",",X463)))),W463,"")</f>
        <v/>
      </c>
    </row>
    <row r="464">
      <c r="A464" s="64" t="n"/>
      <c r="B464" s="65" t="n"/>
      <c r="C464" s="64" t="n"/>
      <c r="D464" s="66" t="n"/>
      <c r="E464" s="66" t="n"/>
      <c r="F464" s="67" t="n"/>
      <c r="G464" s="67" t="n"/>
      <c r="H464" s="67" t="n"/>
      <c r="I464" s="67" t="n"/>
      <c r="J464" s="67" t="n"/>
      <c r="K464" s="67" t="n"/>
      <c r="L464" s="67" t="n"/>
      <c r="M464" s="67" t="n"/>
      <c r="N464" s="65" t="n"/>
      <c r="O464" s="84">
        <f>IF(A464="","",IF(E464="","No date",IF(TODAY()&gt;=EDATE(E464,Review_Months),"Review Due","Current")))</f>
        <v/>
      </c>
      <c r="P464" s="84">
        <f>IF(A464="","",IF(COUNTIFS('AFA Rates'!$A$5:$A$1004,A464,'AFA Rates'!$O$5:$O$1004,"&lt;&gt;Expired")&gt;0,"Yes",IF(COUNTIF('AFA Rates'!$A$5:$A$1004,A464)&gt;0,"Expired only","No")))</f>
        <v/>
      </c>
      <c r="Q464" s="84">
        <f>IF(A464="","",COUNTIFS('AFA Rates'!$A$5:$A$1004,A464,'AFA Rates'!$O$5:$O$1004,"&lt;&gt;Expired"))</f>
        <v/>
      </c>
      <c r="R464" s="66" t="n"/>
      <c r="S464" s="64" t="n"/>
      <c r="T464" s="64" t="n"/>
      <c r="U464">
        <f>IF(AND(A464&lt;&gt;"",B464="Paused"),COUNTIFS($A$5:A464,"&lt;&gt;",$B$5:B464,"Paused"),"")</f>
        <v/>
      </c>
      <c r="V464">
        <f>IF(P464="Yes",COUNTIF($P$5:P464,"Yes"),"")</f>
        <v/>
      </c>
      <c r="W464">
        <f>IF(A464="","",COUNTIF($A$5:$A$1004,"&lt;"&amp;A464)+COUNTIF($A$5:A464,A464))</f>
        <v/>
      </c>
      <c r="X464">
        <f>","&amp;SUBSTITUTE(SUBSTITUTE(SUBSTITUTE(UPPER(C464)," ",""),";",","),"/",",")&amp;","</f>
        <v/>
      </c>
      <c r="Y464">
        <f>IF(AND(A464&lt;&gt;"",B464="Active",'State Search'!$C$5&lt;&gt;"",OR(X464=",ALL,",ISNUMBER(SEARCH(","&amp;'State Search'!$C$5&amp;",",X464)))),W464,"")</f>
        <v/>
      </c>
    </row>
    <row r="465">
      <c r="A465" s="64" t="n"/>
      <c r="B465" s="65" t="n"/>
      <c r="C465" s="64" t="n"/>
      <c r="D465" s="66" t="n"/>
      <c r="E465" s="66" t="n"/>
      <c r="F465" s="67" t="n"/>
      <c r="G465" s="67" t="n"/>
      <c r="H465" s="67" t="n"/>
      <c r="I465" s="67" t="n"/>
      <c r="J465" s="67" t="n"/>
      <c r="K465" s="67" t="n"/>
      <c r="L465" s="67" t="n"/>
      <c r="M465" s="67" t="n"/>
      <c r="N465" s="65" t="n"/>
      <c r="O465" s="84">
        <f>IF(A465="","",IF(E465="","No date",IF(TODAY()&gt;=EDATE(E465,Review_Months),"Review Due","Current")))</f>
        <v/>
      </c>
      <c r="P465" s="84">
        <f>IF(A465="","",IF(COUNTIFS('AFA Rates'!$A$5:$A$1004,A465,'AFA Rates'!$O$5:$O$1004,"&lt;&gt;Expired")&gt;0,"Yes",IF(COUNTIF('AFA Rates'!$A$5:$A$1004,A465)&gt;0,"Expired only","No")))</f>
        <v/>
      </c>
      <c r="Q465" s="84">
        <f>IF(A465="","",COUNTIFS('AFA Rates'!$A$5:$A$1004,A465,'AFA Rates'!$O$5:$O$1004,"&lt;&gt;Expired"))</f>
        <v/>
      </c>
      <c r="R465" s="66" t="n"/>
      <c r="S465" s="64" t="n"/>
      <c r="T465" s="64" t="n"/>
      <c r="U465">
        <f>IF(AND(A465&lt;&gt;"",B465="Paused"),COUNTIFS($A$5:A465,"&lt;&gt;",$B$5:B465,"Paused"),"")</f>
        <v/>
      </c>
      <c r="V465">
        <f>IF(P465="Yes",COUNTIF($P$5:P465,"Yes"),"")</f>
        <v/>
      </c>
      <c r="W465">
        <f>IF(A465="","",COUNTIF($A$5:$A$1004,"&lt;"&amp;A465)+COUNTIF($A$5:A465,A465))</f>
        <v/>
      </c>
      <c r="X465">
        <f>","&amp;SUBSTITUTE(SUBSTITUTE(SUBSTITUTE(UPPER(C465)," ",""),";",","),"/",",")&amp;","</f>
        <v/>
      </c>
      <c r="Y465">
        <f>IF(AND(A465&lt;&gt;"",B465="Active",'State Search'!$C$5&lt;&gt;"",OR(X465=",ALL,",ISNUMBER(SEARCH(","&amp;'State Search'!$C$5&amp;",",X465)))),W465,"")</f>
        <v/>
      </c>
    </row>
    <row r="466">
      <c r="A466" s="64" t="n"/>
      <c r="B466" s="65" t="n"/>
      <c r="C466" s="64" t="n"/>
      <c r="D466" s="66" t="n"/>
      <c r="E466" s="66" t="n"/>
      <c r="F466" s="67" t="n"/>
      <c r="G466" s="67" t="n"/>
      <c r="H466" s="67" t="n"/>
      <c r="I466" s="67" t="n"/>
      <c r="J466" s="67" t="n"/>
      <c r="K466" s="67" t="n"/>
      <c r="L466" s="67" t="n"/>
      <c r="M466" s="67" t="n"/>
      <c r="N466" s="65" t="n"/>
      <c r="O466" s="84">
        <f>IF(A466="","",IF(E466="","No date",IF(TODAY()&gt;=EDATE(E466,Review_Months),"Review Due","Current")))</f>
        <v/>
      </c>
      <c r="P466" s="84">
        <f>IF(A466="","",IF(COUNTIFS('AFA Rates'!$A$5:$A$1004,A466,'AFA Rates'!$O$5:$O$1004,"&lt;&gt;Expired")&gt;0,"Yes",IF(COUNTIF('AFA Rates'!$A$5:$A$1004,A466)&gt;0,"Expired only","No")))</f>
        <v/>
      </c>
      <c r="Q466" s="84">
        <f>IF(A466="","",COUNTIFS('AFA Rates'!$A$5:$A$1004,A466,'AFA Rates'!$O$5:$O$1004,"&lt;&gt;Expired"))</f>
        <v/>
      </c>
      <c r="R466" s="66" t="n"/>
      <c r="S466" s="64" t="n"/>
      <c r="T466" s="64" t="n"/>
      <c r="U466">
        <f>IF(AND(A466&lt;&gt;"",B466="Paused"),COUNTIFS($A$5:A466,"&lt;&gt;",$B$5:B466,"Paused"),"")</f>
        <v/>
      </c>
      <c r="V466">
        <f>IF(P466="Yes",COUNTIF($P$5:P466,"Yes"),"")</f>
        <v/>
      </c>
      <c r="W466">
        <f>IF(A466="","",COUNTIF($A$5:$A$1004,"&lt;"&amp;A466)+COUNTIF($A$5:A466,A466))</f>
        <v/>
      </c>
      <c r="X466">
        <f>","&amp;SUBSTITUTE(SUBSTITUTE(SUBSTITUTE(UPPER(C466)," ",""),";",","),"/",",")&amp;","</f>
        <v/>
      </c>
      <c r="Y466">
        <f>IF(AND(A466&lt;&gt;"",B466="Active",'State Search'!$C$5&lt;&gt;"",OR(X466=",ALL,",ISNUMBER(SEARCH(","&amp;'State Search'!$C$5&amp;",",X466)))),W466,"")</f>
        <v/>
      </c>
    </row>
    <row r="467">
      <c r="A467" s="64" t="n"/>
      <c r="B467" s="65" t="n"/>
      <c r="C467" s="64" t="n"/>
      <c r="D467" s="66" t="n"/>
      <c r="E467" s="66" t="n"/>
      <c r="F467" s="67" t="n"/>
      <c r="G467" s="67" t="n"/>
      <c r="H467" s="67" t="n"/>
      <c r="I467" s="67" t="n"/>
      <c r="J467" s="67" t="n"/>
      <c r="K467" s="67" t="n"/>
      <c r="L467" s="67" t="n"/>
      <c r="M467" s="67" t="n"/>
      <c r="N467" s="65" t="n"/>
      <c r="O467" s="84">
        <f>IF(A467="","",IF(E467="","No date",IF(TODAY()&gt;=EDATE(E467,Review_Months),"Review Due","Current")))</f>
        <v/>
      </c>
      <c r="P467" s="84">
        <f>IF(A467="","",IF(COUNTIFS('AFA Rates'!$A$5:$A$1004,A467,'AFA Rates'!$O$5:$O$1004,"&lt;&gt;Expired")&gt;0,"Yes",IF(COUNTIF('AFA Rates'!$A$5:$A$1004,A467)&gt;0,"Expired only","No")))</f>
        <v/>
      </c>
      <c r="Q467" s="84">
        <f>IF(A467="","",COUNTIFS('AFA Rates'!$A$5:$A$1004,A467,'AFA Rates'!$O$5:$O$1004,"&lt;&gt;Expired"))</f>
        <v/>
      </c>
      <c r="R467" s="66" t="n"/>
      <c r="S467" s="64" t="n"/>
      <c r="T467" s="64" t="n"/>
      <c r="U467">
        <f>IF(AND(A467&lt;&gt;"",B467="Paused"),COUNTIFS($A$5:A467,"&lt;&gt;",$B$5:B467,"Paused"),"")</f>
        <v/>
      </c>
      <c r="V467">
        <f>IF(P467="Yes",COUNTIF($P$5:P467,"Yes"),"")</f>
        <v/>
      </c>
      <c r="W467">
        <f>IF(A467="","",COUNTIF($A$5:$A$1004,"&lt;"&amp;A467)+COUNTIF($A$5:A467,A467))</f>
        <v/>
      </c>
      <c r="X467">
        <f>","&amp;SUBSTITUTE(SUBSTITUTE(SUBSTITUTE(UPPER(C467)," ",""),";",","),"/",",")&amp;","</f>
        <v/>
      </c>
      <c r="Y467">
        <f>IF(AND(A467&lt;&gt;"",B467="Active",'State Search'!$C$5&lt;&gt;"",OR(X467=",ALL,",ISNUMBER(SEARCH(","&amp;'State Search'!$C$5&amp;",",X467)))),W467,"")</f>
        <v/>
      </c>
    </row>
    <row r="468">
      <c r="A468" s="64" t="n"/>
      <c r="B468" s="65" t="n"/>
      <c r="C468" s="64" t="n"/>
      <c r="D468" s="66" t="n"/>
      <c r="E468" s="66" t="n"/>
      <c r="F468" s="67" t="n"/>
      <c r="G468" s="67" t="n"/>
      <c r="H468" s="67" t="n"/>
      <c r="I468" s="67" t="n"/>
      <c r="J468" s="67" t="n"/>
      <c r="K468" s="67" t="n"/>
      <c r="L468" s="67" t="n"/>
      <c r="M468" s="67" t="n"/>
      <c r="N468" s="65" t="n"/>
      <c r="O468" s="84">
        <f>IF(A468="","",IF(E468="","No date",IF(TODAY()&gt;=EDATE(E468,Review_Months),"Review Due","Current")))</f>
        <v/>
      </c>
      <c r="P468" s="84">
        <f>IF(A468="","",IF(COUNTIFS('AFA Rates'!$A$5:$A$1004,A468,'AFA Rates'!$O$5:$O$1004,"&lt;&gt;Expired")&gt;0,"Yes",IF(COUNTIF('AFA Rates'!$A$5:$A$1004,A468)&gt;0,"Expired only","No")))</f>
        <v/>
      </c>
      <c r="Q468" s="84">
        <f>IF(A468="","",COUNTIFS('AFA Rates'!$A$5:$A$1004,A468,'AFA Rates'!$O$5:$O$1004,"&lt;&gt;Expired"))</f>
        <v/>
      </c>
      <c r="R468" s="66" t="n"/>
      <c r="S468" s="64" t="n"/>
      <c r="T468" s="64" t="n"/>
      <c r="U468">
        <f>IF(AND(A468&lt;&gt;"",B468="Paused"),COUNTIFS($A$5:A468,"&lt;&gt;",$B$5:B468,"Paused"),"")</f>
        <v/>
      </c>
      <c r="V468">
        <f>IF(P468="Yes",COUNTIF($P$5:P468,"Yes"),"")</f>
        <v/>
      </c>
      <c r="W468">
        <f>IF(A468="","",COUNTIF($A$5:$A$1004,"&lt;"&amp;A468)+COUNTIF($A$5:A468,A468))</f>
        <v/>
      </c>
      <c r="X468">
        <f>","&amp;SUBSTITUTE(SUBSTITUTE(SUBSTITUTE(UPPER(C468)," ",""),";",","),"/",",")&amp;","</f>
        <v/>
      </c>
      <c r="Y468">
        <f>IF(AND(A468&lt;&gt;"",B468="Active",'State Search'!$C$5&lt;&gt;"",OR(X468=",ALL,",ISNUMBER(SEARCH(","&amp;'State Search'!$C$5&amp;",",X468)))),W468,"")</f>
        <v/>
      </c>
    </row>
    <row r="469">
      <c r="A469" s="64" t="n"/>
      <c r="B469" s="65" t="n"/>
      <c r="C469" s="64" t="n"/>
      <c r="D469" s="66" t="n"/>
      <c r="E469" s="66" t="n"/>
      <c r="F469" s="67" t="n"/>
      <c r="G469" s="67" t="n"/>
      <c r="H469" s="67" t="n"/>
      <c r="I469" s="67" t="n"/>
      <c r="J469" s="67" t="n"/>
      <c r="K469" s="67" t="n"/>
      <c r="L469" s="67" t="n"/>
      <c r="M469" s="67" t="n"/>
      <c r="N469" s="65" t="n"/>
      <c r="O469" s="84">
        <f>IF(A469="","",IF(E469="","No date",IF(TODAY()&gt;=EDATE(E469,Review_Months),"Review Due","Current")))</f>
        <v/>
      </c>
      <c r="P469" s="84">
        <f>IF(A469="","",IF(COUNTIFS('AFA Rates'!$A$5:$A$1004,A469,'AFA Rates'!$O$5:$O$1004,"&lt;&gt;Expired")&gt;0,"Yes",IF(COUNTIF('AFA Rates'!$A$5:$A$1004,A469)&gt;0,"Expired only","No")))</f>
        <v/>
      </c>
      <c r="Q469" s="84">
        <f>IF(A469="","",COUNTIFS('AFA Rates'!$A$5:$A$1004,A469,'AFA Rates'!$O$5:$O$1004,"&lt;&gt;Expired"))</f>
        <v/>
      </c>
      <c r="R469" s="66" t="n"/>
      <c r="S469" s="64" t="n"/>
      <c r="T469" s="64" t="n"/>
      <c r="U469">
        <f>IF(AND(A469&lt;&gt;"",B469="Paused"),COUNTIFS($A$5:A469,"&lt;&gt;",$B$5:B469,"Paused"),"")</f>
        <v/>
      </c>
      <c r="V469">
        <f>IF(P469="Yes",COUNTIF($P$5:P469,"Yes"),"")</f>
        <v/>
      </c>
      <c r="W469">
        <f>IF(A469="","",COUNTIF($A$5:$A$1004,"&lt;"&amp;A469)+COUNTIF($A$5:A469,A469))</f>
        <v/>
      </c>
      <c r="X469">
        <f>","&amp;SUBSTITUTE(SUBSTITUTE(SUBSTITUTE(UPPER(C469)," ",""),";",","),"/",",")&amp;","</f>
        <v/>
      </c>
      <c r="Y469">
        <f>IF(AND(A469&lt;&gt;"",B469="Active",'State Search'!$C$5&lt;&gt;"",OR(X469=",ALL,",ISNUMBER(SEARCH(","&amp;'State Search'!$C$5&amp;",",X469)))),W469,"")</f>
        <v/>
      </c>
    </row>
    <row r="470">
      <c r="A470" s="64" t="n"/>
      <c r="B470" s="65" t="n"/>
      <c r="C470" s="64" t="n"/>
      <c r="D470" s="66" t="n"/>
      <c r="E470" s="66" t="n"/>
      <c r="F470" s="67" t="n"/>
      <c r="G470" s="67" t="n"/>
      <c r="H470" s="67" t="n"/>
      <c r="I470" s="67" t="n"/>
      <c r="J470" s="67" t="n"/>
      <c r="K470" s="67" t="n"/>
      <c r="L470" s="67" t="n"/>
      <c r="M470" s="67" t="n"/>
      <c r="N470" s="65" t="n"/>
      <c r="O470" s="84">
        <f>IF(A470="","",IF(E470="","No date",IF(TODAY()&gt;=EDATE(E470,Review_Months),"Review Due","Current")))</f>
        <v/>
      </c>
      <c r="P470" s="84">
        <f>IF(A470="","",IF(COUNTIFS('AFA Rates'!$A$5:$A$1004,A470,'AFA Rates'!$O$5:$O$1004,"&lt;&gt;Expired")&gt;0,"Yes",IF(COUNTIF('AFA Rates'!$A$5:$A$1004,A470)&gt;0,"Expired only","No")))</f>
        <v/>
      </c>
      <c r="Q470" s="84">
        <f>IF(A470="","",COUNTIFS('AFA Rates'!$A$5:$A$1004,A470,'AFA Rates'!$O$5:$O$1004,"&lt;&gt;Expired"))</f>
        <v/>
      </c>
      <c r="R470" s="66" t="n"/>
      <c r="S470" s="64" t="n"/>
      <c r="T470" s="64" t="n"/>
      <c r="U470">
        <f>IF(AND(A470&lt;&gt;"",B470="Paused"),COUNTIFS($A$5:A470,"&lt;&gt;",$B$5:B470,"Paused"),"")</f>
        <v/>
      </c>
      <c r="V470">
        <f>IF(P470="Yes",COUNTIF($P$5:P470,"Yes"),"")</f>
        <v/>
      </c>
      <c r="W470">
        <f>IF(A470="","",COUNTIF($A$5:$A$1004,"&lt;"&amp;A470)+COUNTIF($A$5:A470,A470))</f>
        <v/>
      </c>
      <c r="X470">
        <f>","&amp;SUBSTITUTE(SUBSTITUTE(SUBSTITUTE(UPPER(C470)," ",""),";",","),"/",",")&amp;","</f>
        <v/>
      </c>
      <c r="Y470">
        <f>IF(AND(A470&lt;&gt;"",B470="Active",'State Search'!$C$5&lt;&gt;"",OR(X470=",ALL,",ISNUMBER(SEARCH(","&amp;'State Search'!$C$5&amp;",",X470)))),W470,"")</f>
        <v/>
      </c>
    </row>
    <row r="471">
      <c r="A471" s="64" t="n"/>
      <c r="B471" s="65" t="n"/>
      <c r="C471" s="64" t="n"/>
      <c r="D471" s="66" t="n"/>
      <c r="E471" s="66" t="n"/>
      <c r="F471" s="67" t="n"/>
      <c r="G471" s="67" t="n"/>
      <c r="H471" s="67" t="n"/>
      <c r="I471" s="67" t="n"/>
      <c r="J471" s="67" t="n"/>
      <c r="K471" s="67" t="n"/>
      <c r="L471" s="67" t="n"/>
      <c r="M471" s="67" t="n"/>
      <c r="N471" s="65" t="n"/>
      <c r="O471" s="84">
        <f>IF(A471="","",IF(E471="","No date",IF(TODAY()&gt;=EDATE(E471,Review_Months),"Review Due","Current")))</f>
        <v/>
      </c>
      <c r="P471" s="84">
        <f>IF(A471="","",IF(COUNTIFS('AFA Rates'!$A$5:$A$1004,A471,'AFA Rates'!$O$5:$O$1004,"&lt;&gt;Expired")&gt;0,"Yes",IF(COUNTIF('AFA Rates'!$A$5:$A$1004,A471)&gt;0,"Expired only","No")))</f>
        <v/>
      </c>
      <c r="Q471" s="84">
        <f>IF(A471="","",COUNTIFS('AFA Rates'!$A$5:$A$1004,A471,'AFA Rates'!$O$5:$O$1004,"&lt;&gt;Expired"))</f>
        <v/>
      </c>
      <c r="R471" s="66" t="n"/>
      <c r="S471" s="64" t="n"/>
      <c r="T471" s="64" t="n"/>
      <c r="U471">
        <f>IF(AND(A471&lt;&gt;"",B471="Paused"),COUNTIFS($A$5:A471,"&lt;&gt;",$B$5:B471,"Paused"),"")</f>
        <v/>
      </c>
      <c r="V471">
        <f>IF(P471="Yes",COUNTIF($P$5:P471,"Yes"),"")</f>
        <v/>
      </c>
      <c r="W471">
        <f>IF(A471="","",COUNTIF($A$5:$A$1004,"&lt;"&amp;A471)+COUNTIF($A$5:A471,A471))</f>
        <v/>
      </c>
      <c r="X471">
        <f>","&amp;SUBSTITUTE(SUBSTITUTE(SUBSTITUTE(UPPER(C471)," ",""),";",","),"/",",")&amp;","</f>
        <v/>
      </c>
      <c r="Y471">
        <f>IF(AND(A471&lt;&gt;"",B471="Active",'State Search'!$C$5&lt;&gt;"",OR(X471=",ALL,",ISNUMBER(SEARCH(","&amp;'State Search'!$C$5&amp;",",X471)))),W471,"")</f>
        <v/>
      </c>
    </row>
    <row r="472">
      <c r="A472" s="64" t="n"/>
      <c r="B472" s="65" t="n"/>
      <c r="C472" s="64" t="n"/>
      <c r="D472" s="66" t="n"/>
      <c r="E472" s="66" t="n"/>
      <c r="F472" s="67" t="n"/>
      <c r="G472" s="67" t="n"/>
      <c r="H472" s="67" t="n"/>
      <c r="I472" s="67" t="n"/>
      <c r="J472" s="67" t="n"/>
      <c r="K472" s="67" t="n"/>
      <c r="L472" s="67" t="n"/>
      <c r="M472" s="67" t="n"/>
      <c r="N472" s="65" t="n"/>
      <c r="O472" s="84">
        <f>IF(A472="","",IF(E472="","No date",IF(TODAY()&gt;=EDATE(E472,Review_Months),"Review Due","Current")))</f>
        <v/>
      </c>
      <c r="P472" s="84">
        <f>IF(A472="","",IF(COUNTIFS('AFA Rates'!$A$5:$A$1004,A472,'AFA Rates'!$O$5:$O$1004,"&lt;&gt;Expired")&gt;0,"Yes",IF(COUNTIF('AFA Rates'!$A$5:$A$1004,A472)&gt;0,"Expired only","No")))</f>
        <v/>
      </c>
      <c r="Q472" s="84">
        <f>IF(A472="","",COUNTIFS('AFA Rates'!$A$5:$A$1004,A472,'AFA Rates'!$O$5:$O$1004,"&lt;&gt;Expired"))</f>
        <v/>
      </c>
      <c r="R472" s="66" t="n"/>
      <c r="S472" s="64" t="n"/>
      <c r="T472" s="64" t="n"/>
      <c r="U472">
        <f>IF(AND(A472&lt;&gt;"",B472="Paused"),COUNTIFS($A$5:A472,"&lt;&gt;",$B$5:B472,"Paused"),"")</f>
        <v/>
      </c>
      <c r="V472">
        <f>IF(P472="Yes",COUNTIF($P$5:P472,"Yes"),"")</f>
        <v/>
      </c>
      <c r="W472">
        <f>IF(A472="","",COUNTIF($A$5:$A$1004,"&lt;"&amp;A472)+COUNTIF($A$5:A472,A472))</f>
        <v/>
      </c>
      <c r="X472">
        <f>","&amp;SUBSTITUTE(SUBSTITUTE(SUBSTITUTE(UPPER(C472)," ",""),";",","),"/",",")&amp;","</f>
        <v/>
      </c>
      <c r="Y472">
        <f>IF(AND(A472&lt;&gt;"",B472="Active",'State Search'!$C$5&lt;&gt;"",OR(X472=",ALL,",ISNUMBER(SEARCH(","&amp;'State Search'!$C$5&amp;",",X472)))),W472,"")</f>
        <v/>
      </c>
    </row>
    <row r="473">
      <c r="A473" s="64" t="n"/>
      <c r="B473" s="65" t="n"/>
      <c r="C473" s="64" t="n"/>
      <c r="D473" s="66" t="n"/>
      <c r="E473" s="66" t="n"/>
      <c r="F473" s="67" t="n"/>
      <c r="G473" s="67" t="n"/>
      <c r="H473" s="67" t="n"/>
      <c r="I473" s="67" t="n"/>
      <c r="J473" s="67" t="n"/>
      <c r="K473" s="67" t="n"/>
      <c r="L473" s="67" t="n"/>
      <c r="M473" s="67" t="n"/>
      <c r="N473" s="65" t="n"/>
      <c r="O473" s="84">
        <f>IF(A473="","",IF(E473="","No date",IF(TODAY()&gt;=EDATE(E473,Review_Months),"Review Due","Current")))</f>
        <v/>
      </c>
      <c r="P473" s="84">
        <f>IF(A473="","",IF(COUNTIFS('AFA Rates'!$A$5:$A$1004,A473,'AFA Rates'!$O$5:$O$1004,"&lt;&gt;Expired")&gt;0,"Yes",IF(COUNTIF('AFA Rates'!$A$5:$A$1004,A473)&gt;0,"Expired only","No")))</f>
        <v/>
      </c>
      <c r="Q473" s="84">
        <f>IF(A473="","",COUNTIFS('AFA Rates'!$A$5:$A$1004,A473,'AFA Rates'!$O$5:$O$1004,"&lt;&gt;Expired"))</f>
        <v/>
      </c>
      <c r="R473" s="66" t="n"/>
      <c r="S473" s="64" t="n"/>
      <c r="T473" s="64" t="n"/>
      <c r="U473">
        <f>IF(AND(A473&lt;&gt;"",B473="Paused"),COUNTIFS($A$5:A473,"&lt;&gt;",$B$5:B473,"Paused"),"")</f>
        <v/>
      </c>
      <c r="V473">
        <f>IF(P473="Yes",COUNTIF($P$5:P473,"Yes"),"")</f>
        <v/>
      </c>
      <c r="W473">
        <f>IF(A473="","",COUNTIF($A$5:$A$1004,"&lt;"&amp;A473)+COUNTIF($A$5:A473,A473))</f>
        <v/>
      </c>
      <c r="X473">
        <f>","&amp;SUBSTITUTE(SUBSTITUTE(SUBSTITUTE(UPPER(C473)," ",""),";",","),"/",",")&amp;","</f>
        <v/>
      </c>
      <c r="Y473">
        <f>IF(AND(A473&lt;&gt;"",B473="Active",'State Search'!$C$5&lt;&gt;"",OR(X473=",ALL,",ISNUMBER(SEARCH(","&amp;'State Search'!$C$5&amp;",",X473)))),W473,"")</f>
        <v/>
      </c>
    </row>
    <row r="474">
      <c r="A474" s="64" t="n"/>
      <c r="B474" s="65" t="n"/>
      <c r="C474" s="64" t="n"/>
      <c r="D474" s="66" t="n"/>
      <c r="E474" s="66" t="n"/>
      <c r="F474" s="67" t="n"/>
      <c r="G474" s="67" t="n"/>
      <c r="H474" s="67" t="n"/>
      <c r="I474" s="67" t="n"/>
      <c r="J474" s="67" t="n"/>
      <c r="K474" s="67" t="n"/>
      <c r="L474" s="67" t="n"/>
      <c r="M474" s="67" t="n"/>
      <c r="N474" s="65" t="n"/>
      <c r="O474" s="84">
        <f>IF(A474="","",IF(E474="","No date",IF(TODAY()&gt;=EDATE(E474,Review_Months),"Review Due","Current")))</f>
        <v/>
      </c>
      <c r="P474" s="84">
        <f>IF(A474="","",IF(COUNTIFS('AFA Rates'!$A$5:$A$1004,A474,'AFA Rates'!$O$5:$O$1004,"&lt;&gt;Expired")&gt;0,"Yes",IF(COUNTIF('AFA Rates'!$A$5:$A$1004,A474)&gt;0,"Expired only","No")))</f>
        <v/>
      </c>
      <c r="Q474" s="84">
        <f>IF(A474="","",COUNTIFS('AFA Rates'!$A$5:$A$1004,A474,'AFA Rates'!$O$5:$O$1004,"&lt;&gt;Expired"))</f>
        <v/>
      </c>
      <c r="R474" s="66" t="n"/>
      <c r="S474" s="64" t="n"/>
      <c r="T474" s="64" t="n"/>
      <c r="U474">
        <f>IF(AND(A474&lt;&gt;"",B474="Paused"),COUNTIFS($A$5:A474,"&lt;&gt;",$B$5:B474,"Paused"),"")</f>
        <v/>
      </c>
      <c r="V474">
        <f>IF(P474="Yes",COUNTIF($P$5:P474,"Yes"),"")</f>
        <v/>
      </c>
      <c r="W474">
        <f>IF(A474="","",COUNTIF($A$5:$A$1004,"&lt;"&amp;A474)+COUNTIF($A$5:A474,A474))</f>
        <v/>
      </c>
      <c r="X474">
        <f>","&amp;SUBSTITUTE(SUBSTITUTE(SUBSTITUTE(UPPER(C474)," ",""),";",","),"/",",")&amp;","</f>
        <v/>
      </c>
      <c r="Y474">
        <f>IF(AND(A474&lt;&gt;"",B474="Active",'State Search'!$C$5&lt;&gt;"",OR(X474=",ALL,",ISNUMBER(SEARCH(","&amp;'State Search'!$C$5&amp;",",X474)))),W474,"")</f>
        <v/>
      </c>
    </row>
    <row r="475">
      <c r="A475" s="64" t="n"/>
      <c r="B475" s="65" t="n"/>
      <c r="C475" s="64" t="n"/>
      <c r="D475" s="66" t="n"/>
      <c r="E475" s="66" t="n"/>
      <c r="F475" s="67" t="n"/>
      <c r="G475" s="67" t="n"/>
      <c r="H475" s="67" t="n"/>
      <c r="I475" s="67" t="n"/>
      <c r="J475" s="67" t="n"/>
      <c r="K475" s="67" t="n"/>
      <c r="L475" s="67" t="n"/>
      <c r="M475" s="67" t="n"/>
      <c r="N475" s="65" t="n"/>
      <c r="O475" s="84">
        <f>IF(A475="","",IF(E475="","No date",IF(TODAY()&gt;=EDATE(E475,Review_Months),"Review Due","Current")))</f>
        <v/>
      </c>
      <c r="P475" s="84">
        <f>IF(A475="","",IF(COUNTIFS('AFA Rates'!$A$5:$A$1004,A475,'AFA Rates'!$O$5:$O$1004,"&lt;&gt;Expired")&gt;0,"Yes",IF(COUNTIF('AFA Rates'!$A$5:$A$1004,A475)&gt;0,"Expired only","No")))</f>
        <v/>
      </c>
      <c r="Q475" s="84">
        <f>IF(A475="","",COUNTIFS('AFA Rates'!$A$5:$A$1004,A475,'AFA Rates'!$O$5:$O$1004,"&lt;&gt;Expired"))</f>
        <v/>
      </c>
      <c r="R475" s="66" t="n"/>
      <c r="S475" s="64" t="n"/>
      <c r="T475" s="64" t="n"/>
      <c r="U475">
        <f>IF(AND(A475&lt;&gt;"",B475="Paused"),COUNTIFS($A$5:A475,"&lt;&gt;",$B$5:B475,"Paused"),"")</f>
        <v/>
      </c>
      <c r="V475">
        <f>IF(P475="Yes",COUNTIF($P$5:P475,"Yes"),"")</f>
        <v/>
      </c>
      <c r="W475">
        <f>IF(A475="","",COUNTIF($A$5:$A$1004,"&lt;"&amp;A475)+COUNTIF($A$5:A475,A475))</f>
        <v/>
      </c>
      <c r="X475">
        <f>","&amp;SUBSTITUTE(SUBSTITUTE(SUBSTITUTE(UPPER(C475)," ",""),";",","),"/",",")&amp;","</f>
        <v/>
      </c>
      <c r="Y475">
        <f>IF(AND(A475&lt;&gt;"",B475="Active",'State Search'!$C$5&lt;&gt;"",OR(X475=",ALL,",ISNUMBER(SEARCH(","&amp;'State Search'!$C$5&amp;",",X475)))),W475,"")</f>
        <v/>
      </c>
    </row>
    <row r="476">
      <c r="A476" s="64" t="n"/>
      <c r="B476" s="65" t="n"/>
      <c r="C476" s="64" t="n"/>
      <c r="D476" s="66" t="n"/>
      <c r="E476" s="66" t="n"/>
      <c r="F476" s="67" t="n"/>
      <c r="G476" s="67" t="n"/>
      <c r="H476" s="67" t="n"/>
      <c r="I476" s="67" t="n"/>
      <c r="J476" s="67" t="n"/>
      <c r="K476" s="67" t="n"/>
      <c r="L476" s="67" t="n"/>
      <c r="M476" s="67" t="n"/>
      <c r="N476" s="65" t="n"/>
      <c r="O476" s="84">
        <f>IF(A476="","",IF(E476="","No date",IF(TODAY()&gt;=EDATE(E476,Review_Months),"Review Due","Current")))</f>
        <v/>
      </c>
      <c r="P476" s="84">
        <f>IF(A476="","",IF(COUNTIFS('AFA Rates'!$A$5:$A$1004,A476,'AFA Rates'!$O$5:$O$1004,"&lt;&gt;Expired")&gt;0,"Yes",IF(COUNTIF('AFA Rates'!$A$5:$A$1004,A476)&gt;0,"Expired only","No")))</f>
        <v/>
      </c>
      <c r="Q476" s="84">
        <f>IF(A476="","",COUNTIFS('AFA Rates'!$A$5:$A$1004,A476,'AFA Rates'!$O$5:$O$1004,"&lt;&gt;Expired"))</f>
        <v/>
      </c>
      <c r="R476" s="66" t="n"/>
      <c r="S476" s="64" t="n"/>
      <c r="T476" s="64" t="n"/>
      <c r="U476">
        <f>IF(AND(A476&lt;&gt;"",B476="Paused"),COUNTIFS($A$5:A476,"&lt;&gt;",$B$5:B476,"Paused"),"")</f>
        <v/>
      </c>
      <c r="V476">
        <f>IF(P476="Yes",COUNTIF($P$5:P476,"Yes"),"")</f>
        <v/>
      </c>
      <c r="W476">
        <f>IF(A476="","",COUNTIF($A$5:$A$1004,"&lt;"&amp;A476)+COUNTIF($A$5:A476,A476))</f>
        <v/>
      </c>
      <c r="X476">
        <f>","&amp;SUBSTITUTE(SUBSTITUTE(SUBSTITUTE(UPPER(C476)," ",""),";",","),"/",",")&amp;","</f>
        <v/>
      </c>
      <c r="Y476">
        <f>IF(AND(A476&lt;&gt;"",B476="Active",'State Search'!$C$5&lt;&gt;"",OR(X476=",ALL,",ISNUMBER(SEARCH(","&amp;'State Search'!$C$5&amp;",",X476)))),W476,"")</f>
        <v/>
      </c>
    </row>
    <row r="477">
      <c r="A477" s="64" t="n"/>
      <c r="B477" s="65" t="n"/>
      <c r="C477" s="64" t="n"/>
      <c r="D477" s="66" t="n"/>
      <c r="E477" s="66" t="n"/>
      <c r="F477" s="67" t="n"/>
      <c r="G477" s="67" t="n"/>
      <c r="H477" s="67" t="n"/>
      <c r="I477" s="67" t="n"/>
      <c r="J477" s="67" t="n"/>
      <c r="K477" s="67" t="n"/>
      <c r="L477" s="67" t="n"/>
      <c r="M477" s="67" t="n"/>
      <c r="N477" s="65" t="n"/>
      <c r="O477" s="84">
        <f>IF(A477="","",IF(E477="","No date",IF(TODAY()&gt;=EDATE(E477,Review_Months),"Review Due","Current")))</f>
        <v/>
      </c>
      <c r="P477" s="84">
        <f>IF(A477="","",IF(COUNTIFS('AFA Rates'!$A$5:$A$1004,A477,'AFA Rates'!$O$5:$O$1004,"&lt;&gt;Expired")&gt;0,"Yes",IF(COUNTIF('AFA Rates'!$A$5:$A$1004,A477)&gt;0,"Expired only","No")))</f>
        <v/>
      </c>
      <c r="Q477" s="84">
        <f>IF(A477="","",COUNTIFS('AFA Rates'!$A$5:$A$1004,A477,'AFA Rates'!$O$5:$O$1004,"&lt;&gt;Expired"))</f>
        <v/>
      </c>
      <c r="R477" s="66" t="n"/>
      <c r="S477" s="64" t="n"/>
      <c r="T477" s="64" t="n"/>
      <c r="U477">
        <f>IF(AND(A477&lt;&gt;"",B477="Paused"),COUNTIFS($A$5:A477,"&lt;&gt;",$B$5:B477,"Paused"),"")</f>
        <v/>
      </c>
      <c r="V477">
        <f>IF(P477="Yes",COUNTIF($P$5:P477,"Yes"),"")</f>
        <v/>
      </c>
      <c r="W477">
        <f>IF(A477="","",COUNTIF($A$5:$A$1004,"&lt;"&amp;A477)+COUNTIF($A$5:A477,A477))</f>
        <v/>
      </c>
      <c r="X477">
        <f>","&amp;SUBSTITUTE(SUBSTITUTE(SUBSTITUTE(UPPER(C477)," ",""),";",","),"/",",")&amp;","</f>
        <v/>
      </c>
      <c r="Y477">
        <f>IF(AND(A477&lt;&gt;"",B477="Active",'State Search'!$C$5&lt;&gt;"",OR(X477=",ALL,",ISNUMBER(SEARCH(","&amp;'State Search'!$C$5&amp;",",X477)))),W477,"")</f>
        <v/>
      </c>
    </row>
    <row r="478">
      <c r="A478" s="64" t="n"/>
      <c r="B478" s="65" t="n"/>
      <c r="C478" s="64" t="n"/>
      <c r="D478" s="66" t="n"/>
      <c r="E478" s="66" t="n"/>
      <c r="F478" s="67" t="n"/>
      <c r="G478" s="67" t="n"/>
      <c r="H478" s="67" t="n"/>
      <c r="I478" s="67" t="n"/>
      <c r="J478" s="67" t="n"/>
      <c r="K478" s="67" t="n"/>
      <c r="L478" s="67" t="n"/>
      <c r="M478" s="67" t="n"/>
      <c r="N478" s="65" t="n"/>
      <c r="O478" s="84">
        <f>IF(A478="","",IF(E478="","No date",IF(TODAY()&gt;=EDATE(E478,Review_Months),"Review Due","Current")))</f>
        <v/>
      </c>
      <c r="P478" s="84">
        <f>IF(A478="","",IF(COUNTIFS('AFA Rates'!$A$5:$A$1004,A478,'AFA Rates'!$O$5:$O$1004,"&lt;&gt;Expired")&gt;0,"Yes",IF(COUNTIF('AFA Rates'!$A$5:$A$1004,A478)&gt;0,"Expired only","No")))</f>
        <v/>
      </c>
      <c r="Q478" s="84">
        <f>IF(A478="","",COUNTIFS('AFA Rates'!$A$5:$A$1004,A478,'AFA Rates'!$O$5:$O$1004,"&lt;&gt;Expired"))</f>
        <v/>
      </c>
      <c r="R478" s="66" t="n"/>
      <c r="S478" s="64" t="n"/>
      <c r="T478" s="64" t="n"/>
      <c r="U478">
        <f>IF(AND(A478&lt;&gt;"",B478="Paused"),COUNTIFS($A$5:A478,"&lt;&gt;",$B$5:B478,"Paused"),"")</f>
        <v/>
      </c>
      <c r="V478">
        <f>IF(P478="Yes",COUNTIF($P$5:P478,"Yes"),"")</f>
        <v/>
      </c>
      <c r="W478">
        <f>IF(A478="","",COUNTIF($A$5:$A$1004,"&lt;"&amp;A478)+COUNTIF($A$5:A478,A478))</f>
        <v/>
      </c>
      <c r="X478">
        <f>","&amp;SUBSTITUTE(SUBSTITUTE(SUBSTITUTE(UPPER(C478)," ",""),";",","),"/",",")&amp;","</f>
        <v/>
      </c>
      <c r="Y478">
        <f>IF(AND(A478&lt;&gt;"",B478="Active",'State Search'!$C$5&lt;&gt;"",OR(X478=",ALL,",ISNUMBER(SEARCH(","&amp;'State Search'!$C$5&amp;",",X478)))),W478,"")</f>
        <v/>
      </c>
    </row>
    <row r="479">
      <c r="A479" s="64" t="n"/>
      <c r="B479" s="65" t="n"/>
      <c r="C479" s="64" t="n"/>
      <c r="D479" s="66" t="n"/>
      <c r="E479" s="66" t="n"/>
      <c r="F479" s="67" t="n"/>
      <c r="G479" s="67" t="n"/>
      <c r="H479" s="67" t="n"/>
      <c r="I479" s="67" t="n"/>
      <c r="J479" s="67" t="n"/>
      <c r="K479" s="67" t="n"/>
      <c r="L479" s="67" t="n"/>
      <c r="M479" s="67" t="n"/>
      <c r="N479" s="65" t="n"/>
      <c r="O479" s="84">
        <f>IF(A479="","",IF(E479="","No date",IF(TODAY()&gt;=EDATE(E479,Review_Months),"Review Due","Current")))</f>
        <v/>
      </c>
      <c r="P479" s="84">
        <f>IF(A479="","",IF(COUNTIFS('AFA Rates'!$A$5:$A$1004,A479,'AFA Rates'!$O$5:$O$1004,"&lt;&gt;Expired")&gt;0,"Yes",IF(COUNTIF('AFA Rates'!$A$5:$A$1004,A479)&gt;0,"Expired only","No")))</f>
        <v/>
      </c>
      <c r="Q479" s="84">
        <f>IF(A479="","",COUNTIFS('AFA Rates'!$A$5:$A$1004,A479,'AFA Rates'!$O$5:$O$1004,"&lt;&gt;Expired"))</f>
        <v/>
      </c>
      <c r="R479" s="66" t="n"/>
      <c r="S479" s="64" t="n"/>
      <c r="T479" s="64" t="n"/>
      <c r="U479">
        <f>IF(AND(A479&lt;&gt;"",B479="Paused"),COUNTIFS($A$5:A479,"&lt;&gt;",$B$5:B479,"Paused"),"")</f>
        <v/>
      </c>
      <c r="V479">
        <f>IF(P479="Yes",COUNTIF($P$5:P479,"Yes"),"")</f>
        <v/>
      </c>
      <c r="W479">
        <f>IF(A479="","",COUNTIF($A$5:$A$1004,"&lt;"&amp;A479)+COUNTIF($A$5:A479,A479))</f>
        <v/>
      </c>
      <c r="X479">
        <f>","&amp;SUBSTITUTE(SUBSTITUTE(SUBSTITUTE(UPPER(C479)," ",""),";",","),"/",",")&amp;","</f>
        <v/>
      </c>
      <c r="Y479">
        <f>IF(AND(A479&lt;&gt;"",B479="Active",'State Search'!$C$5&lt;&gt;"",OR(X479=",ALL,",ISNUMBER(SEARCH(","&amp;'State Search'!$C$5&amp;",",X479)))),W479,"")</f>
        <v/>
      </c>
    </row>
    <row r="480">
      <c r="A480" s="64" t="n"/>
      <c r="B480" s="65" t="n"/>
      <c r="C480" s="64" t="n"/>
      <c r="D480" s="66" t="n"/>
      <c r="E480" s="66" t="n"/>
      <c r="F480" s="67" t="n"/>
      <c r="G480" s="67" t="n"/>
      <c r="H480" s="67" t="n"/>
      <c r="I480" s="67" t="n"/>
      <c r="J480" s="67" t="n"/>
      <c r="K480" s="67" t="n"/>
      <c r="L480" s="67" t="n"/>
      <c r="M480" s="67" t="n"/>
      <c r="N480" s="65" t="n"/>
      <c r="O480" s="84">
        <f>IF(A480="","",IF(E480="","No date",IF(TODAY()&gt;=EDATE(E480,Review_Months),"Review Due","Current")))</f>
        <v/>
      </c>
      <c r="P480" s="84">
        <f>IF(A480="","",IF(COUNTIFS('AFA Rates'!$A$5:$A$1004,A480,'AFA Rates'!$O$5:$O$1004,"&lt;&gt;Expired")&gt;0,"Yes",IF(COUNTIF('AFA Rates'!$A$5:$A$1004,A480)&gt;0,"Expired only","No")))</f>
        <v/>
      </c>
      <c r="Q480" s="84">
        <f>IF(A480="","",COUNTIFS('AFA Rates'!$A$5:$A$1004,A480,'AFA Rates'!$O$5:$O$1004,"&lt;&gt;Expired"))</f>
        <v/>
      </c>
      <c r="R480" s="66" t="n"/>
      <c r="S480" s="64" t="n"/>
      <c r="T480" s="64" t="n"/>
      <c r="U480">
        <f>IF(AND(A480&lt;&gt;"",B480="Paused"),COUNTIFS($A$5:A480,"&lt;&gt;",$B$5:B480,"Paused"),"")</f>
        <v/>
      </c>
      <c r="V480">
        <f>IF(P480="Yes",COUNTIF($P$5:P480,"Yes"),"")</f>
        <v/>
      </c>
      <c r="W480">
        <f>IF(A480="","",COUNTIF($A$5:$A$1004,"&lt;"&amp;A480)+COUNTIF($A$5:A480,A480))</f>
        <v/>
      </c>
      <c r="X480">
        <f>","&amp;SUBSTITUTE(SUBSTITUTE(SUBSTITUTE(UPPER(C480)," ",""),";",","),"/",",")&amp;","</f>
        <v/>
      </c>
      <c r="Y480">
        <f>IF(AND(A480&lt;&gt;"",B480="Active",'State Search'!$C$5&lt;&gt;"",OR(X480=",ALL,",ISNUMBER(SEARCH(","&amp;'State Search'!$C$5&amp;",",X480)))),W480,"")</f>
        <v/>
      </c>
    </row>
    <row r="481">
      <c r="A481" s="64" t="n"/>
      <c r="B481" s="65" t="n"/>
      <c r="C481" s="64" t="n"/>
      <c r="D481" s="66" t="n"/>
      <c r="E481" s="66" t="n"/>
      <c r="F481" s="67" t="n"/>
      <c r="G481" s="67" t="n"/>
      <c r="H481" s="67" t="n"/>
      <c r="I481" s="67" t="n"/>
      <c r="J481" s="67" t="n"/>
      <c r="K481" s="67" t="n"/>
      <c r="L481" s="67" t="n"/>
      <c r="M481" s="67" t="n"/>
      <c r="N481" s="65" t="n"/>
      <c r="O481" s="84">
        <f>IF(A481="","",IF(E481="","No date",IF(TODAY()&gt;=EDATE(E481,Review_Months),"Review Due","Current")))</f>
        <v/>
      </c>
      <c r="P481" s="84">
        <f>IF(A481="","",IF(COUNTIFS('AFA Rates'!$A$5:$A$1004,A481,'AFA Rates'!$O$5:$O$1004,"&lt;&gt;Expired")&gt;0,"Yes",IF(COUNTIF('AFA Rates'!$A$5:$A$1004,A481)&gt;0,"Expired only","No")))</f>
        <v/>
      </c>
      <c r="Q481" s="84">
        <f>IF(A481="","",COUNTIFS('AFA Rates'!$A$5:$A$1004,A481,'AFA Rates'!$O$5:$O$1004,"&lt;&gt;Expired"))</f>
        <v/>
      </c>
      <c r="R481" s="66" t="n"/>
      <c r="S481" s="64" t="n"/>
      <c r="T481" s="64" t="n"/>
      <c r="U481">
        <f>IF(AND(A481&lt;&gt;"",B481="Paused"),COUNTIFS($A$5:A481,"&lt;&gt;",$B$5:B481,"Paused"),"")</f>
        <v/>
      </c>
      <c r="V481">
        <f>IF(P481="Yes",COUNTIF($P$5:P481,"Yes"),"")</f>
        <v/>
      </c>
      <c r="W481">
        <f>IF(A481="","",COUNTIF($A$5:$A$1004,"&lt;"&amp;A481)+COUNTIF($A$5:A481,A481))</f>
        <v/>
      </c>
      <c r="X481">
        <f>","&amp;SUBSTITUTE(SUBSTITUTE(SUBSTITUTE(UPPER(C481)," ",""),";",","),"/",",")&amp;","</f>
        <v/>
      </c>
      <c r="Y481">
        <f>IF(AND(A481&lt;&gt;"",B481="Active",'State Search'!$C$5&lt;&gt;"",OR(X481=",ALL,",ISNUMBER(SEARCH(","&amp;'State Search'!$C$5&amp;",",X481)))),W481,"")</f>
        <v/>
      </c>
    </row>
    <row r="482">
      <c r="A482" s="64" t="n"/>
      <c r="B482" s="65" t="n"/>
      <c r="C482" s="64" t="n"/>
      <c r="D482" s="66" t="n"/>
      <c r="E482" s="66" t="n"/>
      <c r="F482" s="67" t="n"/>
      <c r="G482" s="67" t="n"/>
      <c r="H482" s="67" t="n"/>
      <c r="I482" s="67" t="n"/>
      <c r="J482" s="67" t="n"/>
      <c r="K482" s="67" t="n"/>
      <c r="L482" s="67" t="n"/>
      <c r="M482" s="67" t="n"/>
      <c r="N482" s="65" t="n"/>
      <c r="O482" s="84">
        <f>IF(A482="","",IF(E482="","No date",IF(TODAY()&gt;=EDATE(E482,Review_Months),"Review Due","Current")))</f>
        <v/>
      </c>
      <c r="P482" s="84">
        <f>IF(A482="","",IF(COUNTIFS('AFA Rates'!$A$5:$A$1004,A482,'AFA Rates'!$O$5:$O$1004,"&lt;&gt;Expired")&gt;0,"Yes",IF(COUNTIF('AFA Rates'!$A$5:$A$1004,A482)&gt;0,"Expired only","No")))</f>
        <v/>
      </c>
      <c r="Q482" s="84">
        <f>IF(A482="","",COUNTIFS('AFA Rates'!$A$5:$A$1004,A482,'AFA Rates'!$O$5:$O$1004,"&lt;&gt;Expired"))</f>
        <v/>
      </c>
      <c r="R482" s="66" t="n"/>
      <c r="S482" s="64" t="n"/>
      <c r="T482" s="64" t="n"/>
      <c r="U482">
        <f>IF(AND(A482&lt;&gt;"",B482="Paused"),COUNTIFS($A$5:A482,"&lt;&gt;",$B$5:B482,"Paused"),"")</f>
        <v/>
      </c>
      <c r="V482">
        <f>IF(P482="Yes",COUNTIF($P$5:P482,"Yes"),"")</f>
        <v/>
      </c>
      <c r="W482">
        <f>IF(A482="","",COUNTIF($A$5:$A$1004,"&lt;"&amp;A482)+COUNTIF($A$5:A482,A482))</f>
        <v/>
      </c>
      <c r="X482">
        <f>","&amp;SUBSTITUTE(SUBSTITUTE(SUBSTITUTE(UPPER(C482)," ",""),";",","),"/",",")&amp;","</f>
        <v/>
      </c>
      <c r="Y482">
        <f>IF(AND(A482&lt;&gt;"",B482="Active",'State Search'!$C$5&lt;&gt;"",OR(X482=",ALL,",ISNUMBER(SEARCH(","&amp;'State Search'!$C$5&amp;",",X482)))),W482,"")</f>
        <v/>
      </c>
    </row>
    <row r="483">
      <c r="A483" s="64" t="n"/>
      <c r="B483" s="65" t="n"/>
      <c r="C483" s="64" t="n"/>
      <c r="D483" s="66" t="n"/>
      <c r="E483" s="66" t="n"/>
      <c r="F483" s="67" t="n"/>
      <c r="G483" s="67" t="n"/>
      <c r="H483" s="67" t="n"/>
      <c r="I483" s="67" t="n"/>
      <c r="J483" s="67" t="n"/>
      <c r="K483" s="67" t="n"/>
      <c r="L483" s="67" t="n"/>
      <c r="M483" s="67" t="n"/>
      <c r="N483" s="65" t="n"/>
      <c r="O483" s="84">
        <f>IF(A483="","",IF(E483="","No date",IF(TODAY()&gt;=EDATE(E483,Review_Months),"Review Due","Current")))</f>
        <v/>
      </c>
      <c r="P483" s="84">
        <f>IF(A483="","",IF(COUNTIFS('AFA Rates'!$A$5:$A$1004,A483,'AFA Rates'!$O$5:$O$1004,"&lt;&gt;Expired")&gt;0,"Yes",IF(COUNTIF('AFA Rates'!$A$5:$A$1004,A483)&gt;0,"Expired only","No")))</f>
        <v/>
      </c>
      <c r="Q483" s="84">
        <f>IF(A483="","",COUNTIFS('AFA Rates'!$A$5:$A$1004,A483,'AFA Rates'!$O$5:$O$1004,"&lt;&gt;Expired"))</f>
        <v/>
      </c>
      <c r="R483" s="66" t="n"/>
      <c r="S483" s="64" t="n"/>
      <c r="T483" s="64" t="n"/>
      <c r="U483">
        <f>IF(AND(A483&lt;&gt;"",B483="Paused"),COUNTIFS($A$5:A483,"&lt;&gt;",$B$5:B483,"Paused"),"")</f>
        <v/>
      </c>
      <c r="V483">
        <f>IF(P483="Yes",COUNTIF($P$5:P483,"Yes"),"")</f>
        <v/>
      </c>
      <c r="W483">
        <f>IF(A483="","",COUNTIF($A$5:$A$1004,"&lt;"&amp;A483)+COUNTIF($A$5:A483,A483))</f>
        <v/>
      </c>
      <c r="X483">
        <f>","&amp;SUBSTITUTE(SUBSTITUTE(SUBSTITUTE(UPPER(C483)," ",""),";",","),"/",",")&amp;","</f>
        <v/>
      </c>
      <c r="Y483">
        <f>IF(AND(A483&lt;&gt;"",B483="Active",'State Search'!$C$5&lt;&gt;"",OR(X483=",ALL,",ISNUMBER(SEARCH(","&amp;'State Search'!$C$5&amp;",",X483)))),W483,"")</f>
        <v/>
      </c>
    </row>
    <row r="484">
      <c r="A484" s="64" t="n"/>
      <c r="B484" s="65" t="n"/>
      <c r="C484" s="64" t="n"/>
      <c r="D484" s="66" t="n"/>
      <c r="E484" s="66" t="n"/>
      <c r="F484" s="67" t="n"/>
      <c r="G484" s="67" t="n"/>
      <c r="H484" s="67" t="n"/>
      <c r="I484" s="67" t="n"/>
      <c r="J484" s="67" t="n"/>
      <c r="K484" s="67" t="n"/>
      <c r="L484" s="67" t="n"/>
      <c r="M484" s="67" t="n"/>
      <c r="N484" s="65" t="n"/>
      <c r="O484" s="84">
        <f>IF(A484="","",IF(E484="","No date",IF(TODAY()&gt;=EDATE(E484,Review_Months),"Review Due","Current")))</f>
        <v/>
      </c>
      <c r="P484" s="84">
        <f>IF(A484="","",IF(COUNTIFS('AFA Rates'!$A$5:$A$1004,A484,'AFA Rates'!$O$5:$O$1004,"&lt;&gt;Expired")&gt;0,"Yes",IF(COUNTIF('AFA Rates'!$A$5:$A$1004,A484)&gt;0,"Expired only","No")))</f>
        <v/>
      </c>
      <c r="Q484" s="84">
        <f>IF(A484="","",COUNTIFS('AFA Rates'!$A$5:$A$1004,A484,'AFA Rates'!$O$5:$O$1004,"&lt;&gt;Expired"))</f>
        <v/>
      </c>
      <c r="R484" s="66" t="n"/>
      <c r="S484" s="64" t="n"/>
      <c r="T484" s="64" t="n"/>
      <c r="U484">
        <f>IF(AND(A484&lt;&gt;"",B484="Paused"),COUNTIFS($A$5:A484,"&lt;&gt;",$B$5:B484,"Paused"),"")</f>
        <v/>
      </c>
      <c r="V484">
        <f>IF(P484="Yes",COUNTIF($P$5:P484,"Yes"),"")</f>
        <v/>
      </c>
      <c r="W484">
        <f>IF(A484="","",COUNTIF($A$5:$A$1004,"&lt;"&amp;A484)+COUNTIF($A$5:A484,A484))</f>
        <v/>
      </c>
      <c r="X484">
        <f>","&amp;SUBSTITUTE(SUBSTITUTE(SUBSTITUTE(UPPER(C484)," ",""),";",","),"/",",")&amp;","</f>
        <v/>
      </c>
      <c r="Y484">
        <f>IF(AND(A484&lt;&gt;"",B484="Active",'State Search'!$C$5&lt;&gt;"",OR(X484=",ALL,",ISNUMBER(SEARCH(","&amp;'State Search'!$C$5&amp;",",X484)))),W484,"")</f>
        <v/>
      </c>
    </row>
    <row r="485">
      <c r="A485" s="64" t="n"/>
      <c r="B485" s="65" t="n"/>
      <c r="C485" s="64" t="n"/>
      <c r="D485" s="66" t="n"/>
      <c r="E485" s="66" t="n"/>
      <c r="F485" s="67" t="n"/>
      <c r="G485" s="67" t="n"/>
      <c r="H485" s="67" t="n"/>
      <c r="I485" s="67" t="n"/>
      <c r="J485" s="67" t="n"/>
      <c r="K485" s="67" t="n"/>
      <c r="L485" s="67" t="n"/>
      <c r="M485" s="67" t="n"/>
      <c r="N485" s="65" t="n"/>
      <c r="O485" s="84">
        <f>IF(A485="","",IF(E485="","No date",IF(TODAY()&gt;=EDATE(E485,Review_Months),"Review Due","Current")))</f>
        <v/>
      </c>
      <c r="P485" s="84">
        <f>IF(A485="","",IF(COUNTIFS('AFA Rates'!$A$5:$A$1004,A485,'AFA Rates'!$O$5:$O$1004,"&lt;&gt;Expired")&gt;0,"Yes",IF(COUNTIF('AFA Rates'!$A$5:$A$1004,A485)&gt;0,"Expired only","No")))</f>
        <v/>
      </c>
      <c r="Q485" s="84">
        <f>IF(A485="","",COUNTIFS('AFA Rates'!$A$5:$A$1004,A485,'AFA Rates'!$O$5:$O$1004,"&lt;&gt;Expired"))</f>
        <v/>
      </c>
      <c r="R485" s="66" t="n"/>
      <c r="S485" s="64" t="n"/>
      <c r="T485" s="64" t="n"/>
      <c r="U485">
        <f>IF(AND(A485&lt;&gt;"",B485="Paused"),COUNTIFS($A$5:A485,"&lt;&gt;",$B$5:B485,"Paused"),"")</f>
        <v/>
      </c>
      <c r="V485">
        <f>IF(P485="Yes",COUNTIF($P$5:P485,"Yes"),"")</f>
        <v/>
      </c>
      <c r="W485">
        <f>IF(A485="","",COUNTIF($A$5:$A$1004,"&lt;"&amp;A485)+COUNTIF($A$5:A485,A485))</f>
        <v/>
      </c>
      <c r="X485">
        <f>","&amp;SUBSTITUTE(SUBSTITUTE(SUBSTITUTE(UPPER(C485)," ",""),";",","),"/",",")&amp;","</f>
        <v/>
      </c>
      <c r="Y485">
        <f>IF(AND(A485&lt;&gt;"",B485="Active",'State Search'!$C$5&lt;&gt;"",OR(X485=",ALL,",ISNUMBER(SEARCH(","&amp;'State Search'!$C$5&amp;",",X485)))),W485,"")</f>
        <v/>
      </c>
    </row>
    <row r="486">
      <c r="A486" s="64" t="n"/>
      <c r="B486" s="65" t="n"/>
      <c r="C486" s="64" t="n"/>
      <c r="D486" s="66" t="n"/>
      <c r="E486" s="66" t="n"/>
      <c r="F486" s="67" t="n"/>
      <c r="G486" s="67" t="n"/>
      <c r="H486" s="67" t="n"/>
      <c r="I486" s="67" t="n"/>
      <c r="J486" s="67" t="n"/>
      <c r="K486" s="67" t="n"/>
      <c r="L486" s="67" t="n"/>
      <c r="M486" s="67" t="n"/>
      <c r="N486" s="65" t="n"/>
      <c r="O486" s="84">
        <f>IF(A486="","",IF(E486="","No date",IF(TODAY()&gt;=EDATE(E486,Review_Months),"Review Due","Current")))</f>
        <v/>
      </c>
      <c r="P486" s="84">
        <f>IF(A486="","",IF(COUNTIFS('AFA Rates'!$A$5:$A$1004,A486,'AFA Rates'!$O$5:$O$1004,"&lt;&gt;Expired")&gt;0,"Yes",IF(COUNTIF('AFA Rates'!$A$5:$A$1004,A486)&gt;0,"Expired only","No")))</f>
        <v/>
      </c>
      <c r="Q486" s="84">
        <f>IF(A486="","",COUNTIFS('AFA Rates'!$A$5:$A$1004,A486,'AFA Rates'!$O$5:$O$1004,"&lt;&gt;Expired"))</f>
        <v/>
      </c>
      <c r="R486" s="66" t="n"/>
      <c r="S486" s="64" t="n"/>
      <c r="T486" s="64" t="n"/>
      <c r="U486">
        <f>IF(AND(A486&lt;&gt;"",B486="Paused"),COUNTIFS($A$5:A486,"&lt;&gt;",$B$5:B486,"Paused"),"")</f>
        <v/>
      </c>
      <c r="V486">
        <f>IF(P486="Yes",COUNTIF($P$5:P486,"Yes"),"")</f>
        <v/>
      </c>
      <c r="W486">
        <f>IF(A486="","",COUNTIF($A$5:$A$1004,"&lt;"&amp;A486)+COUNTIF($A$5:A486,A486))</f>
        <v/>
      </c>
      <c r="X486">
        <f>","&amp;SUBSTITUTE(SUBSTITUTE(SUBSTITUTE(UPPER(C486)," ",""),";",","),"/",",")&amp;","</f>
        <v/>
      </c>
      <c r="Y486">
        <f>IF(AND(A486&lt;&gt;"",B486="Active",'State Search'!$C$5&lt;&gt;"",OR(X486=",ALL,",ISNUMBER(SEARCH(","&amp;'State Search'!$C$5&amp;",",X486)))),W486,"")</f>
        <v/>
      </c>
    </row>
    <row r="487">
      <c r="A487" s="64" t="n"/>
      <c r="B487" s="65" t="n"/>
      <c r="C487" s="64" t="n"/>
      <c r="D487" s="66" t="n"/>
      <c r="E487" s="66" t="n"/>
      <c r="F487" s="67" t="n"/>
      <c r="G487" s="67" t="n"/>
      <c r="H487" s="67" t="n"/>
      <c r="I487" s="67" t="n"/>
      <c r="J487" s="67" t="n"/>
      <c r="K487" s="67" t="n"/>
      <c r="L487" s="67" t="n"/>
      <c r="M487" s="67" t="n"/>
      <c r="N487" s="65" t="n"/>
      <c r="O487" s="84">
        <f>IF(A487="","",IF(E487="","No date",IF(TODAY()&gt;=EDATE(E487,Review_Months),"Review Due","Current")))</f>
        <v/>
      </c>
      <c r="P487" s="84">
        <f>IF(A487="","",IF(COUNTIFS('AFA Rates'!$A$5:$A$1004,A487,'AFA Rates'!$O$5:$O$1004,"&lt;&gt;Expired")&gt;0,"Yes",IF(COUNTIF('AFA Rates'!$A$5:$A$1004,A487)&gt;0,"Expired only","No")))</f>
        <v/>
      </c>
      <c r="Q487" s="84">
        <f>IF(A487="","",COUNTIFS('AFA Rates'!$A$5:$A$1004,A487,'AFA Rates'!$O$5:$O$1004,"&lt;&gt;Expired"))</f>
        <v/>
      </c>
      <c r="R487" s="66" t="n"/>
      <c r="S487" s="64" t="n"/>
      <c r="T487" s="64" t="n"/>
      <c r="U487">
        <f>IF(AND(A487&lt;&gt;"",B487="Paused"),COUNTIFS($A$5:A487,"&lt;&gt;",$B$5:B487,"Paused"),"")</f>
        <v/>
      </c>
      <c r="V487">
        <f>IF(P487="Yes",COUNTIF($P$5:P487,"Yes"),"")</f>
        <v/>
      </c>
      <c r="W487">
        <f>IF(A487="","",COUNTIF($A$5:$A$1004,"&lt;"&amp;A487)+COUNTIF($A$5:A487,A487))</f>
        <v/>
      </c>
      <c r="X487">
        <f>","&amp;SUBSTITUTE(SUBSTITUTE(SUBSTITUTE(UPPER(C487)," ",""),";",","),"/",",")&amp;","</f>
        <v/>
      </c>
      <c r="Y487">
        <f>IF(AND(A487&lt;&gt;"",B487="Active",'State Search'!$C$5&lt;&gt;"",OR(X487=",ALL,",ISNUMBER(SEARCH(","&amp;'State Search'!$C$5&amp;",",X487)))),W487,"")</f>
        <v/>
      </c>
    </row>
    <row r="488">
      <c r="A488" s="64" t="n"/>
      <c r="B488" s="65" t="n"/>
      <c r="C488" s="64" t="n"/>
      <c r="D488" s="66" t="n"/>
      <c r="E488" s="66" t="n"/>
      <c r="F488" s="67" t="n"/>
      <c r="G488" s="67" t="n"/>
      <c r="H488" s="67" t="n"/>
      <c r="I488" s="67" t="n"/>
      <c r="J488" s="67" t="n"/>
      <c r="K488" s="67" t="n"/>
      <c r="L488" s="67" t="n"/>
      <c r="M488" s="67" t="n"/>
      <c r="N488" s="65" t="n"/>
      <c r="O488" s="84">
        <f>IF(A488="","",IF(E488="","No date",IF(TODAY()&gt;=EDATE(E488,Review_Months),"Review Due","Current")))</f>
        <v/>
      </c>
      <c r="P488" s="84">
        <f>IF(A488="","",IF(COUNTIFS('AFA Rates'!$A$5:$A$1004,A488,'AFA Rates'!$O$5:$O$1004,"&lt;&gt;Expired")&gt;0,"Yes",IF(COUNTIF('AFA Rates'!$A$5:$A$1004,A488)&gt;0,"Expired only","No")))</f>
        <v/>
      </c>
      <c r="Q488" s="84">
        <f>IF(A488="","",COUNTIFS('AFA Rates'!$A$5:$A$1004,A488,'AFA Rates'!$O$5:$O$1004,"&lt;&gt;Expired"))</f>
        <v/>
      </c>
      <c r="R488" s="66" t="n"/>
      <c r="S488" s="64" t="n"/>
      <c r="T488" s="64" t="n"/>
      <c r="U488">
        <f>IF(AND(A488&lt;&gt;"",B488="Paused"),COUNTIFS($A$5:A488,"&lt;&gt;",$B$5:B488,"Paused"),"")</f>
        <v/>
      </c>
      <c r="V488">
        <f>IF(P488="Yes",COUNTIF($P$5:P488,"Yes"),"")</f>
        <v/>
      </c>
      <c r="W488">
        <f>IF(A488="","",COUNTIF($A$5:$A$1004,"&lt;"&amp;A488)+COUNTIF($A$5:A488,A488))</f>
        <v/>
      </c>
      <c r="X488">
        <f>","&amp;SUBSTITUTE(SUBSTITUTE(SUBSTITUTE(UPPER(C488)," ",""),";",","),"/",",")&amp;","</f>
        <v/>
      </c>
      <c r="Y488">
        <f>IF(AND(A488&lt;&gt;"",B488="Active",'State Search'!$C$5&lt;&gt;"",OR(X488=",ALL,",ISNUMBER(SEARCH(","&amp;'State Search'!$C$5&amp;",",X488)))),W488,"")</f>
        <v/>
      </c>
    </row>
    <row r="489">
      <c r="A489" s="64" t="n"/>
      <c r="B489" s="65" t="n"/>
      <c r="C489" s="64" t="n"/>
      <c r="D489" s="66" t="n"/>
      <c r="E489" s="66" t="n"/>
      <c r="F489" s="67" t="n"/>
      <c r="G489" s="67" t="n"/>
      <c r="H489" s="67" t="n"/>
      <c r="I489" s="67" t="n"/>
      <c r="J489" s="67" t="n"/>
      <c r="K489" s="67" t="n"/>
      <c r="L489" s="67" t="n"/>
      <c r="M489" s="67" t="n"/>
      <c r="N489" s="65" t="n"/>
      <c r="O489" s="84">
        <f>IF(A489="","",IF(E489="","No date",IF(TODAY()&gt;=EDATE(E489,Review_Months),"Review Due","Current")))</f>
        <v/>
      </c>
      <c r="P489" s="84">
        <f>IF(A489="","",IF(COUNTIFS('AFA Rates'!$A$5:$A$1004,A489,'AFA Rates'!$O$5:$O$1004,"&lt;&gt;Expired")&gt;0,"Yes",IF(COUNTIF('AFA Rates'!$A$5:$A$1004,A489)&gt;0,"Expired only","No")))</f>
        <v/>
      </c>
      <c r="Q489" s="84">
        <f>IF(A489="","",COUNTIFS('AFA Rates'!$A$5:$A$1004,A489,'AFA Rates'!$O$5:$O$1004,"&lt;&gt;Expired"))</f>
        <v/>
      </c>
      <c r="R489" s="66" t="n"/>
      <c r="S489" s="64" t="n"/>
      <c r="T489" s="64" t="n"/>
      <c r="U489">
        <f>IF(AND(A489&lt;&gt;"",B489="Paused"),COUNTIFS($A$5:A489,"&lt;&gt;",$B$5:B489,"Paused"),"")</f>
        <v/>
      </c>
      <c r="V489">
        <f>IF(P489="Yes",COUNTIF($P$5:P489,"Yes"),"")</f>
        <v/>
      </c>
      <c r="W489">
        <f>IF(A489="","",COUNTIF($A$5:$A$1004,"&lt;"&amp;A489)+COUNTIF($A$5:A489,A489))</f>
        <v/>
      </c>
      <c r="X489">
        <f>","&amp;SUBSTITUTE(SUBSTITUTE(SUBSTITUTE(UPPER(C489)," ",""),";",","),"/",",")&amp;","</f>
        <v/>
      </c>
      <c r="Y489">
        <f>IF(AND(A489&lt;&gt;"",B489="Active",'State Search'!$C$5&lt;&gt;"",OR(X489=",ALL,",ISNUMBER(SEARCH(","&amp;'State Search'!$C$5&amp;",",X489)))),W489,"")</f>
        <v/>
      </c>
    </row>
    <row r="490">
      <c r="A490" s="64" t="n"/>
      <c r="B490" s="65" t="n"/>
      <c r="C490" s="64" t="n"/>
      <c r="D490" s="66" t="n"/>
      <c r="E490" s="66" t="n"/>
      <c r="F490" s="67" t="n"/>
      <c r="G490" s="67" t="n"/>
      <c r="H490" s="67" t="n"/>
      <c r="I490" s="67" t="n"/>
      <c r="J490" s="67" t="n"/>
      <c r="K490" s="67" t="n"/>
      <c r="L490" s="67" t="n"/>
      <c r="M490" s="67" t="n"/>
      <c r="N490" s="65" t="n"/>
      <c r="O490" s="84">
        <f>IF(A490="","",IF(E490="","No date",IF(TODAY()&gt;=EDATE(E490,Review_Months),"Review Due","Current")))</f>
        <v/>
      </c>
      <c r="P490" s="84">
        <f>IF(A490="","",IF(COUNTIFS('AFA Rates'!$A$5:$A$1004,A490,'AFA Rates'!$O$5:$O$1004,"&lt;&gt;Expired")&gt;0,"Yes",IF(COUNTIF('AFA Rates'!$A$5:$A$1004,A490)&gt;0,"Expired only","No")))</f>
        <v/>
      </c>
      <c r="Q490" s="84">
        <f>IF(A490="","",COUNTIFS('AFA Rates'!$A$5:$A$1004,A490,'AFA Rates'!$O$5:$O$1004,"&lt;&gt;Expired"))</f>
        <v/>
      </c>
      <c r="R490" s="66" t="n"/>
      <c r="S490" s="64" t="n"/>
      <c r="T490" s="64" t="n"/>
      <c r="U490">
        <f>IF(AND(A490&lt;&gt;"",B490="Paused"),COUNTIFS($A$5:A490,"&lt;&gt;",$B$5:B490,"Paused"),"")</f>
        <v/>
      </c>
      <c r="V490">
        <f>IF(P490="Yes",COUNTIF($P$5:P490,"Yes"),"")</f>
        <v/>
      </c>
      <c r="W490">
        <f>IF(A490="","",COUNTIF($A$5:$A$1004,"&lt;"&amp;A490)+COUNTIF($A$5:A490,A490))</f>
        <v/>
      </c>
      <c r="X490">
        <f>","&amp;SUBSTITUTE(SUBSTITUTE(SUBSTITUTE(UPPER(C490)," ",""),";",","),"/",",")&amp;","</f>
        <v/>
      </c>
      <c r="Y490">
        <f>IF(AND(A490&lt;&gt;"",B490="Active",'State Search'!$C$5&lt;&gt;"",OR(X490=",ALL,",ISNUMBER(SEARCH(","&amp;'State Search'!$C$5&amp;",",X490)))),W490,"")</f>
        <v/>
      </c>
    </row>
    <row r="491">
      <c r="A491" s="64" t="n"/>
      <c r="B491" s="65" t="n"/>
      <c r="C491" s="64" t="n"/>
      <c r="D491" s="66" t="n"/>
      <c r="E491" s="66" t="n"/>
      <c r="F491" s="67" t="n"/>
      <c r="G491" s="67" t="n"/>
      <c r="H491" s="67" t="n"/>
      <c r="I491" s="67" t="n"/>
      <c r="J491" s="67" t="n"/>
      <c r="K491" s="67" t="n"/>
      <c r="L491" s="67" t="n"/>
      <c r="M491" s="67" t="n"/>
      <c r="N491" s="65" t="n"/>
      <c r="O491" s="84">
        <f>IF(A491="","",IF(E491="","No date",IF(TODAY()&gt;=EDATE(E491,Review_Months),"Review Due","Current")))</f>
        <v/>
      </c>
      <c r="P491" s="84">
        <f>IF(A491="","",IF(COUNTIFS('AFA Rates'!$A$5:$A$1004,A491,'AFA Rates'!$O$5:$O$1004,"&lt;&gt;Expired")&gt;0,"Yes",IF(COUNTIF('AFA Rates'!$A$5:$A$1004,A491)&gt;0,"Expired only","No")))</f>
        <v/>
      </c>
      <c r="Q491" s="84">
        <f>IF(A491="","",COUNTIFS('AFA Rates'!$A$5:$A$1004,A491,'AFA Rates'!$O$5:$O$1004,"&lt;&gt;Expired"))</f>
        <v/>
      </c>
      <c r="R491" s="66" t="n"/>
      <c r="S491" s="64" t="n"/>
      <c r="T491" s="64" t="n"/>
      <c r="U491">
        <f>IF(AND(A491&lt;&gt;"",B491="Paused"),COUNTIFS($A$5:A491,"&lt;&gt;",$B$5:B491,"Paused"),"")</f>
        <v/>
      </c>
      <c r="V491">
        <f>IF(P491="Yes",COUNTIF($P$5:P491,"Yes"),"")</f>
        <v/>
      </c>
      <c r="W491">
        <f>IF(A491="","",COUNTIF($A$5:$A$1004,"&lt;"&amp;A491)+COUNTIF($A$5:A491,A491))</f>
        <v/>
      </c>
      <c r="X491">
        <f>","&amp;SUBSTITUTE(SUBSTITUTE(SUBSTITUTE(UPPER(C491)," ",""),";",","),"/",",")&amp;","</f>
        <v/>
      </c>
      <c r="Y491">
        <f>IF(AND(A491&lt;&gt;"",B491="Active",'State Search'!$C$5&lt;&gt;"",OR(X491=",ALL,",ISNUMBER(SEARCH(","&amp;'State Search'!$C$5&amp;",",X491)))),W491,"")</f>
        <v/>
      </c>
    </row>
    <row r="492">
      <c r="A492" s="64" t="n"/>
      <c r="B492" s="65" t="n"/>
      <c r="C492" s="64" t="n"/>
      <c r="D492" s="66" t="n"/>
      <c r="E492" s="66" t="n"/>
      <c r="F492" s="67" t="n"/>
      <c r="G492" s="67" t="n"/>
      <c r="H492" s="67" t="n"/>
      <c r="I492" s="67" t="n"/>
      <c r="J492" s="67" t="n"/>
      <c r="K492" s="67" t="n"/>
      <c r="L492" s="67" t="n"/>
      <c r="M492" s="67" t="n"/>
      <c r="N492" s="65" t="n"/>
      <c r="O492" s="84">
        <f>IF(A492="","",IF(E492="","No date",IF(TODAY()&gt;=EDATE(E492,Review_Months),"Review Due","Current")))</f>
        <v/>
      </c>
      <c r="P492" s="84">
        <f>IF(A492="","",IF(COUNTIFS('AFA Rates'!$A$5:$A$1004,A492,'AFA Rates'!$O$5:$O$1004,"&lt;&gt;Expired")&gt;0,"Yes",IF(COUNTIF('AFA Rates'!$A$5:$A$1004,A492)&gt;0,"Expired only","No")))</f>
        <v/>
      </c>
      <c r="Q492" s="84">
        <f>IF(A492="","",COUNTIFS('AFA Rates'!$A$5:$A$1004,A492,'AFA Rates'!$O$5:$O$1004,"&lt;&gt;Expired"))</f>
        <v/>
      </c>
      <c r="R492" s="66" t="n"/>
      <c r="S492" s="64" t="n"/>
      <c r="T492" s="64" t="n"/>
      <c r="U492">
        <f>IF(AND(A492&lt;&gt;"",B492="Paused"),COUNTIFS($A$5:A492,"&lt;&gt;",$B$5:B492,"Paused"),"")</f>
        <v/>
      </c>
      <c r="V492">
        <f>IF(P492="Yes",COUNTIF($P$5:P492,"Yes"),"")</f>
        <v/>
      </c>
      <c r="W492">
        <f>IF(A492="","",COUNTIF($A$5:$A$1004,"&lt;"&amp;A492)+COUNTIF($A$5:A492,A492))</f>
        <v/>
      </c>
      <c r="X492">
        <f>","&amp;SUBSTITUTE(SUBSTITUTE(SUBSTITUTE(UPPER(C492)," ",""),";",","),"/",",")&amp;","</f>
        <v/>
      </c>
      <c r="Y492">
        <f>IF(AND(A492&lt;&gt;"",B492="Active",'State Search'!$C$5&lt;&gt;"",OR(X492=",ALL,",ISNUMBER(SEARCH(","&amp;'State Search'!$C$5&amp;",",X492)))),W492,"")</f>
        <v/>
      </c>
    </row>
    <row r="493">
      <c r="A493" s="64" t="n"/>
      <c r="B493" s="65" t="n"/>
      <c r="C493" s="64" t="n"/>
      <c r="D493" s="66" t="n"/>
      <c r="E493" s="66" t="n"/>
      <c r="F493" s="67" t="n"/>
      <c r="G493" s="67" t="n"/>
      <c r="H493" s="67" t="n"/>
      <c r="I493" s="67" t="n"/>
      <c r="J493" s="67" t="n"/>
      <c r="K493" s="67" t="n"/>
      <c r="L493" s="67" t="n"/>
      <c r="M493" s="67" t="n"/>
      <c r="N493" s="65" t="n"/>
      <c r="O493" s="84">
        <f>IF(A493="","",IF(E493="","No date",IF(TODAY()&gt;=EDATE(E493,Review_Months),"Review Due","Current")))</f>
        <v/>
      </c>
      <c r="P493" s="84">
        <f>IF(A493="","",IF(COUNTIFS('AFA Rates'!$A$5:$A$1004,A493,'AFA Rates'!$O$5:$O$1004,"&lt;&gt;Expired")&gt;0,"Yes",IF(COUNTIF('AFA Rates'!$A$5:$A$1004,A493)&gt;0,"Expired only","No")))</f>
        <v/>
      </c>
      <c r="Q493" s="84">
        <f>IF(A493="","",COUNTIFS('AFA Rates'!$A$5:$A$1004,A493,'AFA Rates'!$O$5:$O$1004,"&lt;&gt;Expired"))</f>
        <v/>
      </c>
      <c r="R493" s="66" t="n"/>
      <c r="S493" s="64" t="n"/>
      <c r="T493" s="64" t="n"/>
      <c r="U493">
        <f>IF(AND(A493&lt;&gt;"",B493="Paused"),COUNTIFS($A$5:A493,"&lt;&gt;",$B$5:B493,"Paused"),"")</f>
        <v/>
      </c>
      <c r="V493">
        <f>IF(P493="Yes",COUNTIF($P$5:P493,"Yes"),"")</f>
        <v/>
      </c>
      <c r="W493">
        <f>IF(A493="","",COUNTIF($A$5:$A$1004,"&lt;"&amp;A493)+COUNTIF($A$5:A493,A493))</f>
        <v/>
      </c>
      <c r="X493">
        <f>","&amp;SUBSTITUTE(SUBSTITUTE(SUBSTITUTE(UPPER(C493)," ",""),";",","),"/",",")&amp;","</f>
        <v/>
      </c>
      <c r="Y493">
        <f>IF(AND(A493&lt;&gt;"",B493="Active",'State Search'!$C$5&lt;&gt;"",OR(X493=",ALL,",ISNUMBER(SEARCH(","&amp;'State Search'!$C$5&amp;",",X493)))),W493,"")</f>
        <v/>
      </c>
    </row>
    <row r="494">
      <c r="A494" s="64" t="n"/>
      <c r="B494" s="65" t="n"/>
      <c r="C494" s="64" t="n"/>
      <c r="D494" s="66" t="n"/>
      <c r="E494" s="66" t="n"/>
      <c r="F494" s="67" t="n"/>
      <c r="G494" s="67" t="n"/>
      <c r="H494" s="67" t="n"/>
      <c r="I494" s="67" t="n"/>
      <c r="J494" s="67" t="n"/>
      <c r="K494" s="67" t="n"/>
      <c r="L494" s="67" t="n"/>
      <c r="M494" s="67" t="n"/>
      <c r="N494" s="65" t="n"/>
      <c r="O494" s="84">
        <f>IF(A494="","",IF(E494="","No date",IF(TODAY()&gt;=EDATE(E494,Review_Months),"Review Due","Current")))</f>
        <v/>
      </c>
      <c r="P494" s="84">
        <f>IF(A494="","",IF(COUNTIFS('AFA Rates'!$A$5:$A$1004,A494,'AFA Rates'!$O$5:$O$1004,"&lt;&gt;Expired")&gt;0,"Yes",IF(COUNTIF('AFA Rates'!$A$5:$A$1004,A494)&gt;0,"Expired only","No")))</f>
        <v/>
      </c>
      <c r="Q494" s="84">
        <f>IF(A494="","",COUNTIFS('AFA Rates'!$A$5:$A$1004,A494,'AFA Rates'!$O$5:$O$1004,"&lt;&gt;Expired"))</f>
        <v/>
      </c>
      <c r="R494" s="66" t="n"/>
      <c r="S494" s="64" t="n"/>
      <c r="T494" s="64" t="n"/>
      <c r="U494">
        <f>IF(AND(A494&lt;&gt;"",B494="Paused"),COUNTIFS($A$5:A494,"&lt;&gt;",$B$5:B494,"Paused"),"")</f>
        <v/>
      </c>
      <c r="V494">
        <f>IF(P494="Yes",COUNTIF($P$5:P494,"Yes"),"")</f>
        <v/>
      </c>
      <c r="W494">
        <f>IF(A494="","",COUNTIF($A$5:$A$1004,"&lt;"&amp;A494)+COUNTIF($A$5:A494,A494))</f>
        <v/>
      </c>
      <c r="X494">
        <f>","&amp;SUBSTITUTE(SUBSTITUTE(SUBSTITUTE(UPPER(C494)," ",""),";",","),"/",",")&amp;","</f>
        <v/>
      </c>
      <c r="Y494">
        <f>IF(AND(A494&lt;&gt;"",B494="Active",'State Search'!$C$5&lt;&gt;"",OR(X494=",ALL,",ISNUMBER(SEARCH(","&amp;'State Search'!$C$5&amp;",",X494)))),W494,"")</f>
        <v/>
      </c>
    </row>
    <row r="495">
      <c r="A495" s="64" t="n"/>
      <c r="B495" s="65" t="n"/>
      <c r="C495" s="64" t="n"/>
      <c r="D495" s="66" t="n"/>
      <c r="E495" s="66" t="n"/>
      <c r="F495" s="67" t="n"/>
      <c r="G495" s="67" t="n"/>
      <c r="H495" s="67" t="n"/>
      <c r="I495" s="67" t="n"/>
      <c r="J495" s="67" t="n"/>
      <c r="K495" s="67" t="n"/>
      <c r="L495" s="67" t="n"/>
      <c r="M495" s="67" t="n"/>
      <c r="N495" s="65" t="n"/>
      <c r="O495" s="84">
        <f>IF(A495="","",IF(E495="","No date",IF(TODAY()&gt;=EDATE(E495,Review_Months),"Review Due","Current")))</f>
        <v/>
      </c>
      <c r="P495" s="84">
        <f>IF(A495="","",IF(COUNTIFS('AFA Rates'!$A$5:$A$1004,A495,'AFA Rates'!$O$5:$O$1004,"&lt;&gt;Expired")&gt;0,"Yes",IF(COUNTIF('AFA Rates'!$A$5:$A$1004,A495)&gt;0,"Expired only","No")))</f>
        <v/>
      </c>
      <c r="Q495" s="84">
        <f>IF(A495="","",COUNTIFS('AFA Rates'!$A$5:$A$1004,A495,'AFA Rates'!$O$5:$O$1004,"&lt;&gt;Expired"))</f>
        <v/>
      </c>
      <c r="R495" s="66" t="n"/>
      <c r="S495" s="64" t="n"/>
      <c r="T495" s="64" t="n"/>
      <c r="U495">
        <f>IF(AND(A495&lt;&gt;"",B495="Paused"),COUNTIFS($A$5:A495,"&lt;&gt;",$B$5:B495,"Paused"),"")</f>
        <v/>
      </c>
      <c r="V495">
        <f>IF(P495="Yes",COUNTIF($P$5:P495,"Yes"),"")</f>
        <v/>
      </c>
      <c r="W495">
        <f>IF(A495="","",COUNTIF($A$5:$A$1004,"&lt;"&amp;A495)+COUNTIF($A$5:A495,A495))</f>
        <v/>
      </c>
      <c r="X495">
        <f>","&amp;SUBSTITUTE(SUBSTITUTE(SUBSTITUTE(UPPER(C495)," ",""),";",","),"/",",")&amp;","</f>
        <v/>
      </c>
      <c r="Y495">
        <f>IF(AND(A495&lt;&gt;"",B495="Active",'State Search'!$C$5&lt;&gt;"",OR(X495=",ALL,",ISNUMBER(SEARCH(","&amp;'State Search'!$C$5&amp;",",X495)))),W495,"")</f>
        <v/>
      </c>
    </row>
    <row r="496">
      <c r="A496" s="64" t="n"/>
      <c r="B496" s="65" t="n"/>
      <c r="C496" s="64" t="n"/>
      <c r="D496" s="66" t="n"/>
      <c r="E496" s="66" t="n"/>
      <c r="F496" s="67" t="n"/>
      <c r="G496" s="67" t="n"/>
      <c r="H496" s="67" t="n"/>
      <c r="I496" s="67" t="n"/>
      <c r="J496" s="67" t="n"/>
      <c r="K496" s="67" t="n"/>
      <c r="L496" s="67" t="n"/>
      <c r="M496" s="67" t="n"/>
      <c r="N496" s="65" t="n"/>
      <c r="O496" s="84">
        <f>IF(A496="","",IF(E496="","No date",IF(TODAY()&gt;=EDATE(E496,Review_Months),"Review Due","Current")))</f>
        <v/>
      </c>
      <c r="P496" s="84">
        <f>IF(A496="","",IF(COUNTIFS('AFA Rates'!$A$5:$A$1004,A496,'AFA Rates'!$O$5:$O$1004,"&lt;&gt;Expired")&gt;0,"Yes",IF(COUNTIF('AFA Rates'!$A$5:$A$1004,A496)&gt;0,"Expired only","No")))</f>
        <v/>
      </c>
      <c r="Q496" s="84">
        <f>IF(A496="","",COUNTIFS('AFA Rates'!$A$5:$A$1004,A496,'AFA Rates'!$O$5:$O$1004,"&lt;&gt;Expired"))</f>
        <v/>
      </c>
      <c r="R496" s="66" t="n"/>
      <c r="S496" s="64" t="n"/>
      <c r="T496" s="64" t="n"/>
      <c r="U496">
        <f>IF(AND(A496&lt;&gt;"",B496="Paused"),COUNTIFS($A$5:A496,"&lt;&gt;",$B$5:B496,"Paused"),"")</f>
        <v/>
      </c>
      <c r="V496">
        <f>IF(P496="Yes",COUNTIF($P$5:P496,"Yes"),"")</f>
        <v/>
      </c>
      <c r="W496">
        <f>IF(A496="","",COUNTIF($A$5:$A$1004,"&lt;"&amp;A496)+COUNTIF($A$5:A496,A496))</f>
        <v/>
      </c>
      <c r="X496">
        <f>","&amp;SUBSTITUTE(SUBSTITUTE(SUBSTITUTE(UPPER(C496)," ",""),";",","),"/",",")&amp;","</f>
        <v/>
      </c>
      <c r="Y496">
        <f>IF(AND(A496&lt;&gt;"",B496="Active",'State Search'!$C$5&lt;&gt;"",OR(X496=",ALL,",ISNUMBER(SEARCH(","&amp;'State Search'!$C$5&amp;",",X496)))),W496,"")</f>
        <v/>
      </c>
    </row>
    <row r="497">
      <c r="A497" s="64" t="n"/>
      <c r="B497" s="65" t="n"/>
      <c r="C497" s="64" t="n"/>
      <c r="D497" s="66" t="n"/>
      <c r="E497" s="66" t="n"/>
      <c r="F497" s="67" t="n"/>
      <c r="G497" s="67" t="n"/>
      <c r="H497" s="67" t="n"/>
      <c r="I497" s="67" t="n"/>
      <c r="J497" s="67" t="n"/>
      <c r="K497" s="67" t="n"/>
      <c r="L497" s="67" t="n"/>
      <c r="M497" s="67" t="n"/>
      <c r="N497" s="65" t="n"/>
      <c r="O497" s="84">
        <f>IF(A497="","",IF(E497="","No date",IF(TODAY()&gt;=EDATE(E497,Review_Months),"Review Due","Current")))</f>
        <v/>
      </c>
      <c r="P497" s="84">
        <f>IF(A497="","",IF(COUNTIFS('AFA Rates'!$A$5:$A$1004,A497,'AFA Rates'!$O$5:$O$1004,"&lt;&gt;Expired")&gt;0,"Yes",IF(COUNTIF('AFA Rates'!$A$5:$A$1004,A497)&gt;0,"Expired only","No")))</f>
        <v/>
      </c>
      <c r="Q497" s="84">
        <f>IF(A497="","",COUNTIFS('AFA Rates'!$A$5:$A$1004,A497,'AFA Rates'!$O$5:$O$1004,"&lt;&gt;Expired"))</f>
        <v/>
      </c>
      <c r="R497" s="66" t="n"/>
      <c r="S497" s="64" t="n"/>
      <c r="T497" s="64" t="n"/>
      <c r="U497">
        <f>IF(AND(A497&lt;&gt;"",B497="Paused"),COUNTIFS($A$5:A497,"&lt;&gt;",$B$5:B497,"Paused"),"")</f>
        <v/>
      </c>
      <c r="V497">
        <f>IF(P497="Yes",COUNTIF($P$5:P497,"Yes"),"")</f>
        <v/>
      </c>
      <c r="W497">
        <f>IF(A497="","",COUNTIF($A$5:$A$1004,"&lt;"&amp;A497)+COUNTIF($A$5:A497,A497))</f>
        <v/>
      </c>
      <c r="X497">
        <f>","&amp;SUBSTITUTE(SUBSTITUTE(SUBSTITUTE(UPPER(C497)," ",""),";",","),"/",",")&amp;","</f>
        <v/>
      </c>
      <c r="Y497">
        <f>IF(AND(A497&lt;&gt;"",B497="Active",'State Search'!$C$5&lt;&gt;"",OR(X497=",ALL,",ISNUMBER(SEARCH(","&amp;'State Search'!$C$5&amp;",",X497)))),W497,"")</f>
        <v/>
      </c>
    </row>
    <row r="498">
      <c r="A498" s="64" t="n"/>
      <c r="B498" s="65" t="n"/>
      <c r="C498" s="64" t="n"/>
      <c r="D498" s="66" t="n"/>
      <c r="E498" s="66" t="n"/>
      <c r="F498" s="67" t="n"/>
      <c r="G498" s="67" t="n"/>
      <c r="H498" s="67" t="n"/>
      <c r="I498" s="67" t="n"/>
      <c r="J498" s="67" t="n"/>
      <c r="K498" s="67" t="n"/>
      <c r="L498" s="67" t="n"/>
      <c r="M498" s="67" t="n"/>
      <c r="N498" s="65" t="n"/>
      <c r="O498" s="84">
        <f>IF(A498="","",IF(E498="","No date",IF(TODAY()&gt;=EDATE(E498,Review_Months),"Review Due","Current")))</f>
        <v/>
      </c>
      <c r="P498" s="84">
        <f>IF(A498="","",IF(COUNTIFS('AFA Rates'!$A$5:$A$1004,A498,'AFA Rates'!$O$5:$O$1004,"&lt;&gt;Expired")&gt;0,"Yes",IF(COUNTIF('AFA Rates'!$A$5:$A$1004,A498)&gt;0,"Expired only","No")))</f>
        <v/>
      </c>
      <c r="Q498" s="84">
        <f>IF(A498="","",COUNTIFS('AFA Rates'!$A$5:$A$1004,A498,'AFA Rates'!$O$5:$O$1004,"&lt;&gt;Expired"))</f>
        <v/>
      </c>
      <c r="R498" s="66" t="n"/>
      <c r="S498" s="64" t="n"/>
      <c r="T498" s="64" t="n"/>
      <c r="U498">
        <f>IF(AND(A498&lt;&gt;"",B498="Paused"),COUNTIFS($A$5:A498,"&lt;&gt;",$B$5:B498,"Paused"),"")</f>
        <v/>
      </c>
      <c r="V498">
        <f>IF(P498="Yes",COUNTIF($P$5:P498,"Yes"),"")</f>
        <v/>
      </c>
      <c r="W498">
        <f>IF(A498="","",COUNTIF($A$5:$A$1004,"&lt;"&amp;A498)+COUNTIF($A$5:A498,A498))</f>
        <v/>
      </c>
      <c r="X498">
        <f>","&amp;SUBSTITUTE(SUBSTITUTE(SUBSTITUTE(UPPER(C498)," ",""),";",","),"/",",")&amp;","</f>
        <v/>
      </c>
      <c r="Y498">
        <f>IF(AND(A498&lt;&gt;"",B498="Active",'State Search'!$C$5&lt;&gt;"",OR(X498=",ALL,",ISNUMBER(SEARCH(","&amp;'State Search'!$C$5&amp;",",X498)))),W498,"")</f>
        <v/>
      </c>
    </row>
    <row r="499">
      <c r="A499" s="64" t="n"/>
      <c r="B499" s="65" t="n"/>
      <c r="C499" s="64" t="n"/>
      <c r="D499" s="66" t="n"/>
      <c r="E499" s="66" t="n"/>
      <c r="F499" s="67" t="n"/>
      <c r="G499" s="67" t="n"/>
      <c r="H499" s="67" t="n"/>
      <c r="I499" s="67" t="n"/>
      <c r="J499" s="67" t="n"/>
      <c r="K499" s="67" t="n"/>
      <c r="L499" s="67" t="n"/>
      <c r="M499" s="67" t="n"/>
      <c r="N499" s="65" t="n"/>
      <c r="O499" s="84">
        <f>IF(A499="","",IF(E499="","No date",IF(TODAY()&gt;=EDATE(E499,Review_Months),"Review Due","Current")))</f>
        <v/>
      </c>
      <c r="P499" s="84">
        <f>IF(A499="","",IF(COUNTIFS('AFA Rates'!$A$5:$A$1004,A499,'AFA Rates'!$O$5:$O$1004,"&lt;&gt;Expired")&gt;0,"Yes",IF(COUNTIF('AFA Rates'!$A$5:$A$1004,A499)&gt;0,"Expired only","No")))</f>
        <v/>
      </c>
      <c r="Q499" s="84">
        <f>IF(A499="","",COUNTIFS('AFA Rates'!$A$5:$A$1004,A499,'AFA Rates'!$O$5:$O$1004,"&lt;&gt;Expired"))</f>
        <v/>
      </c>
      <c r="R499" s="66" t="n"/>
      <c r="S499" s="64" t="n"/>
      <c r="T499" s="64" t="n"/>
      <c r="U499">
        <f>IF(AND(A499&lt;&gt;"",B499="Paused"),COUNTIFS($A$5:A499,"&lt;&gt;",$B$5:B499,"Paused"),"")</f>
        <v/>
      </c>
      <c r="V499">
        <f>IF(P499="Yes",COUNTIF($P$5:P499,"Yes"),"")</f>
        <v/>
      </c>
      <c r="W499">
        <f>IF(A499="","",COUNTIF($A$5:$A$1004,"&lt;"&amp;A499)+COUNTIF($A$5:A499,A499))</f>
        <v/>
      </c>
      <c r="X499">
        <f>","&amp;SUBSTITUTE(SUBSTITUTE(SUBSTITUTE(UPPER(C499)," ",""),";",","),"/",",")&amp;","</f>
        <v/>
      </c>
      <c r="Y499">
        <f>IF(AND(A499&lt;&gt;"",B499="Active",'State Search'!$C$5&lt;&gt;"",OR(X499=",ALL,",ISNUMBER(SEARCH(","&amp;'State Search'!$C$5&amp;",",X499)))),W499,"")</f>
        <v/>
      </c>
    </row>
    <row r="500">
      <c r="A500" s="64" t="n"/>
      <c r="B500" s="65" t="n"/>
      <c r="C500" s="64" t="n"/>
      <c r="D500" s="66" t="n"/>
      <c r="E500" s="66" t="n"/>
      <c r="F500" s="67" t="n"/>
      <c r="G500" s="67" t="n"/>
      <c r="H500" s="67" t="n"/>
      <c r="I500" s="67" t="n"/>
      <c r="J500" s="67" t="n"/>
      <c r="K500" s="67" t="n"/>
      <c r="L500" s="67" t="n"/>
      <c r="M500" s="67" t="n"/>
      <c r="N500" s="65" t="n"/>
      <c r="O500" s="84">
        <f>IF(A500="","",IF(E500="","No date",IF(TODAY()&gt;=EDATE(E500,Review_Months),"Review Due","Current")))</f>
        <v/>
      </c>
      <c r="P500" s="84">
        <f>IF(A500="","",IF(COUNTIFS('AFA Rates'!$A$5:$A$1004,A500,'AFA Rates'!$O$5:$O$1004,"&lt;&gt;Expired")&gt;0,"Yes",IF(COUNTIF('AFA Rates'!$A$5:$A$1004,A500)&gt;0,"Expired only","No")))</f>
        <v/>
      </c>
      <c r="Q500" s="84">
        <f>IF(A500="","",COUNTIFS('AFA Rates'!$A$5:$A$1004,A500,'AFA Rates'!$O$5:$O$1004,"&lt;&gt;Expired"))</f>
        <v/>
      </c>
      <c r="R500" s="66" t="n"/>
      <c r="S500" s="64" t="n"/>
      <c r="T500" s="64" t="n"/>
      <c r="U500">
        <f>IF(AND(A500&lt;&gt;"",B500="Paused"),COUNTIFS($A$5:A500,"&lt;&gt;",$B$5:B500,"Paused"),"")</f>
        <v/>
      </c>
      <c r="V500">
        <f>IF(P500="Yes",COUNTIF($P$5:P500,"Yes"),"")</f>
        <v/>
      </c>
      <c r="W500">
        <f>IF(A500="","",COUNTIF($A$5:$A$1004,"&lt;"&amp;A500)+COUNTIF($A$5:A500,A500))</f>
        <v/>
      </c>
      <c r="X500">
        <f>","&amp;SUBSTITUTE(SUBSTITUTE(SUBSTITUTE(UPPER(C500)," ",""),";",","),"/",",")&amp;","</f>
        <v/>
      </c>
      <c r="Y500">
        <f>IF(AND(A500&lt;&gt;"",B500="Active",'State Search'!$C$5&lt;&gt;"",OR(X500=",ALL,",ISNUMBER(SEARCH(","&amp;'State Search'!$C$5&amp;",",X500)))),W500,"")</f>
        <v/>
      </c>
    </row>
    <row r="501">
      <c r="A501" s="64" t="n"/>
      <c r="B501" s="65" t="n"/>
      <c r="C501" s="64" t="n"/>
      <c r="D501" s="66" t="n"/>
      <c r="E501" s="66" t="n"/>
      <c r="F501" s="67" t="n"/>
      <c r="G501" s="67" t="n"/>
      <c r="H501" s="67" t="n"/>
      <c r="I501" s="67" t="n"/>
      <c r="J501" s="67" t="n"/>
      <c r="K501" s="67" t="n"/>
      <c r="L501" s="67" t="n"/>
      <c r="M501" s="67" t="n"/>
      <c r="N501" s="65" t="n"/>
      <c r="O501" s="84">
        <f>IF(A501="","",IF(E501="","No date",IF(TODAY()&gt;=EDATE(E501,Review_Months),"Review Due","Current")))</f>
        <v/>
      </c>
      <c r="P501" s="84">
        <f>IF(A501="","",IF(COUNTIFS('AFA Rates'!$A$5:$A$1004,A501,'AFA Rates'!$O$5:$O$1004,"&lt;&gt;Expired")&gt;0,"Yes",IF(COUNTIF('AFA Rates'!$A$5:$A$1004,A501)&gt;0,"Expired only","No")))</f>
        <v/>
      </c>
      <c r="Q501" s="84">
        <f>IF(A501="","",COUNTIFS('AFA Rates'!$A$5:$A$1004,A501,'AFA Rates'!$O$5:$O$1004,"&lt;&gt;Expired"))</f>
        <v/>
      </c>
      <c r="R501" s="66" t="n"/>
      <c r="S501" s="64" t="n"/>
      <c r="T501" s="64" t="n"/>
      <c r="U501">
        <f>IF(AND(A501&lt;&gt;"",B501="Paused"),COUNTIFS($A$5:A501,"&lt;&gt;",$B$5:B501,"Paused"),"")</f>
        <v/>
      </c>
      <c r="V501">
        <f>IF(P501="Yes",COUNTIF($P$5:P501,"Yes"),"")</f>
        <v/>
      </c>
      <c r="W501">
        <f>IF(A501="","",COUNTIF($A$5:$A$1004,"&lt;"&amp;A501)+COUNTIF($A$5:A501,A501))</f>
        <v/>
      </c>
      <c r="X501">
        <f>","&amp;SUBSTITUTE(SUBSTITUTE(SUBSTITUTE(UPPER(C501)," ",""),";",","),"/",",")&amp;","</f>
        <v/>
      </c>
      <c r="Y501">
        <f>IF(AND(A501&lt;&gt;"",B501="Active",'State Search'!$C$5&lt;&gt;"",OR(X501=",ALL,",ISNUMBER(SEARCH(","&amp;'State Search'!$C$5&amp;",",X501)))),W501,"")</f>
        <v/>
      </c>
    </row>
    <row r="502">
      <c r="A502" s="64" t="n"/>
      <c r="B502" s="65" t="n"/>
      <c r="C502" s="64" t="n"/>
      <c r="D502" s="66" t="n"/>
      <c r="E502" s="66" t="n"/>
      <c r="F502" s="67" t="n"/>
      <c r="G502" s="67" t="n"/>
      <c r="H502" s="67" t="n"/>
      <c r="I502" s="67" t="n"/>
      <c r="J502" s="67" t="n"/>
      <c r="K502" s="67" t="n"/>
      <c r="L502" s="67" t="n"/>
      <c r="M502" s="67" t="n"/>
      <c r="N502" s="65" t="n"/>
      <c r="O502" s="84">
        <f>IF(A502="","",IF(E502="","No date",IF(TODAY()&gt;=EDATE(E502,Review_Months),"Review Due","Current")))</f>
        <v/>
      </c>
      <c r="P502" s="84">
        <f>IF(A502="","",IF(COUNTIFS('AFA Rates'!$A$5:$A$1004,A502,'AFA Rates'!$O$5:$O$1004,"&lt;&gt;Expired")&gt;0,"Yes",IF(COUNTIF('AFA Rates'!$A$5:$A$1004,A502)&gt;0,"Expired only","No")))</f>
        <v/>
      </c>
      <c r="Q502" s="84">
        <f>IF(A502="","",COUNTIFS('AFA Rates'!$A$5:$A$1004,A502,'AFA Rates'!$O$5:$O$1004,"&lt;&gt;Expired"))</f>
        <v/>
      </c>
      <c r="R502" s="66" t="n"/>
      <c r="S502" s="64" t="n"/>
      <c r="T502" s="64" t="n"/>
      <c r="U502">
        <f>IF(AND(A502&lt;&gt;"",B502="Paused"),COUNTIFS($A$5:A502,"&lt;&gt;",$B$5:B502,"Paused"),"")</f>
        <v/>
      </c>
      <c r="V502">
        <f>IF(P502="Yes",COUNTIF($P$5:P502,"Yes"),"")</f>
        <v/>
      </c>
      <c r="W502">
        <f>IF(A502="","",COUNTIF($A$5:$A$1004,"&lt;"&amp;A502)+COUNTIF($A$5:A502,A502))</f>
        <v/>
      </c>
      <c r="X502">
        <f>","&amp;SUBSTITUTE(SUBSTITUTE(SUBSTITUTE(UPPER(C502)," ",""),";",","),"/",",")&amp;","</f>
        <v/>
      </c>
      <c r="Y502">
        <f>IF(AND(A502&lt;&gt;"",B502="Active",'State Search'!$C$5&lt;&gt;"",OR(X502=",ALL,",ISNUMBER(SEARCH(","&amp;'State Search'!$C$5&amp;",",X502)))),W502,"")</f>
        <v/>
      </c>
    </row>
    <row r="503">
      <c r="A503" s="64" t="n"/>
      <c r="B503" s="65" t="n"/>
      <c r="C503" s="64" t="n"/>
      <c r="D503" s="66" t="n"/>
      <c r="E503" s="66" t="n"/>
      <c r="F503" s="67" t="n"/>
      <c r="G503" s="67" t="n"/>
      <c r="H503" s="67" t="n"/>
      <c r="I503" s="67" t="n"/>
      <c r="J503" s="67" t="n"/>
      <c r="K503" s="67" t="n"/>
      <c r="L503" s="67" t="n"/>
      <c r="M503" s="67" t="n"/>
      <c r="N503" s="65" t="n"/>
      <c r="O503" s="84">
        <f>IF(A503="","",IF(E503="","No date",IF(TODAY()&gt;=EDATE(E503,Review_Months),"Review Due","Current")))</f>
        <v/>
      </c>
      <c r="P503" s="84">
        <f>IF(A503="","",IF(COUNTIFS('AFA Rates'!$A$5:$A$1004,A503,'AFA Rates'!$O$5:$O$1004,"&lt;&gt;Expired")&gt;0,"Yes",IF(COUNTIF('AFA Rates'!$A$5:$A$1004,A503)&gt;0,"Expired only","No")))</f>
        <v/>
      </c>
      <c r="Q503" s="84">
        <f>IF(A503="","",COUNTIFS('AFA Rates'!$A$5:$A$1004,A503,'AFA Rates'!$O$5:$O$1004,"&lt;&gt;Expired"))</f>
        <v/>
      </c>
      <c r="R503" s="66" t="n"/>
      <c r="S503" s="64" t="n"/>
      <c r="T503" s="64" t="n"/>
      <c r="U503">
        <f>IF(AND(A503&lt;&gt;"",B503="Paused"),COUNTIFS($A$5:A503,"&lt;&gt;",$B$5:B503,"Paused"),"")</f>
        <v/>
      </c>
      <c r="V503">
        <f>IF(P503="Yes",COUNTIF($P$5:P503,"Yes"),"")</f>
        <v/>
      </c>
      <c r="W503">
        <f>IF(A503="","",COUNTIF($A$5:$A$1004,"&lt;"&amp;A503)+COUNTIF($A$5:A503,A503))</f>
        <v/>
      </c>
      <c r="X503">
        <f>","&amp;SUBSTITUTE(SUBSTITUTE(SUBSTITUTE(UPPER(C503)," ",""),";",","),"/",",")&amp;","</f>
        <v/>
      </c>
      <c r="Y503">
        <f>IF(AND(A503&lt;&gt;"",B503="Active",'State Search'!$C$5&lt;&gt;"",OR(X503=",ALL,",ISNUMBER(SEARCH(","&amp;'State Search'!$C$5&amp;",",X503)))),W503,"")</f>
        <v/>
      </c>
    </row>
    <row r="504">
      <c r="A504" s="64" t="n"/>
      <c r="B504" s="65" t="n"/>
      <c r="C504" s="64" t="n"/>
      <c r="D504" s="66" t="n"/>
      <c r="E504" s="66" t="n"/>
      <c r="F504" s="67" t="n"/>
      <c r="G504" s="67" t="n"/>
      <c r="H504" s="67" t="n"/>
      <c r="I504" s="67" t="n"/>
      <c r="J504" s="67" t="n"/>
      <c r="K504" s="67" t="n"/>
      <c r="L504" s="67" t="n"/>
      <c r="M504" s="67" t="n"/>
      <c r="N504" s="65" t="n"/>
      <c r="O504" s="84">
        <f>IF(A504="","",IF(E504="","No date",IF(TODAY()&gt;=EDATE(E504,Review_Months),"Review Due","Current")))</f>
        <v/>
      </c>
      <c r="P504" s="84">
        <f>IF(A504="","",IF(COUNTIFS('AFA Rates'!$A$5:$A$1004,A504,'AFA Rates'!$O$5:$O$1004,"&lt;&gt;Expired")&gt;0,"Yes",IF(COUNTIF('AFA Rates'!$A$5:$A$1004,A504)&gt;0,"Expired only","No")))</f>
        <v/>
      </c>
      <c r="Q504" s="84">
        <f>IF(A504="","",COUNTIFS('AFA Rates'!$A$5:$A$1004,A504,'AFA Rates'!$O$5:$O$1004,"&lt;&gt;Expired"))</f>
        <v/>
      </c>
      <c r="R504" s="66" t="n"/>
      <c r="S504" s="64" t="n"/>
      <c r="T504" s="64" t="n"/>
      <c r="U504">
        <f>IF(AND(A504&lt;&gt;"",B504="Paused"),COUNTIFS($A$5:A504,"&lt;&gt;",$B$5:B504,"Paused"),"")</f>
        <v/>
      </c>
      <c r="V504">
        <f>IF(P504="Yes",COUNTIF($P$5:P504,"Yes"),"")</f>
        <v/>
      </c>
      <c r="W504">
        <f>IF(A504="","",COUNTIF($A$5:$A$1004,"&lt;"&amp;A504)+COUNTIF($A$5:A504,A504))</f>
        <v/>
      </c>
      <c r="X504">
        <f>","&amp;SUBSTITUTE(SUBSTITUTE(SUBSTITUTE(UPPER(C504)," ",""),";",","),"/",",")&amp;","</f>
        <v/>
      </c>
      <c r="Y504">
        <f>IF(AND(A504&lt;&gt;"",B504="Active",'State Search'!$C$5&lt;&gt;"",OR(X504=",ALL,",ISNUMBER(SEARCH(","&amp;'State Search'!$C$5&amp;",",X504)))),W504,"")</f>
        <v/>
      </c>
    </row>
    <row r="505">
      <c r="A505" s="64" t="n"/>
      <c r="B505" s="65" t="n"/>
      <c r="C505" s="64" t="n"/>
      <c r="D505" s="66" t="n"/>
      <c r="E505" s="66" t="n"/>
      <c r="F505" s="67" t="n"/>
      <c r="G505" s="67" t="n"/>
      <c r="H505" s="67" t="n"/>
      <c r="I505" s="67" t="n"/>
      <c r="J505" s="67" t="n"/>
      <c r="K505" s="67" t="n"/>
      <c r="L505" s="67" t="n"/>
      <c r="M505" s="67" t="n"/>
      <c r="N505" s="65" t="n"/>
      <c r="O505" s="84">
        <f>IF(A505="","",IF(E505="","No date",IF(TODAY()&gt;=EDATE(E505,Review_Months),"Review Due","Current")))</f>
        <v/>
      </c>
      <c r="P505" s="84">
        <f>IF(A505="","",IF(COUNTIFS('AFA Rates'!$A$5:$A$1004,A505,'AFA Rates'!$O$5:$O$1004,"&lt;&gt;Expired")&gt;0,"Yes",IF(COUNTIF('AFA Rates'!$A$5:$A$1004,A505)&gt;0,"Expired only","No")))</f>
        <v/>
      </c>
      <c r="Q505" s="84">
        <f>IF(A505="","",COUNTIFS('AFA Rates'!$A$5:$A$1004,A505,'AFA Rates'!$O$5:$O$1004,"&lt;&gt;Expired"))</f>
        <v/>
      </c>
      <c r="R505" s="66" t="n"/>
      <c r="S505" s="64" t="n"/>
      <c r="T505" s="64" t="n"/>
      <c r="U505">
        <f>IF(AND(A505&lt;&gt;"",B505="Paused"),COUNTIFS($A$5:A505,"&lt;&gt;",$B$5:B505,"Paused"),"")</f>
        <v/>
      </c>
      <c r="V505">
        <f>IF(P505="Yes",COUNTIF($P$5:P505,"Yes"),"")</f>
        <v/>
      </c>
      <c r="W505">
        <f>IF(A505="","",COUNTIF($A$5:$A$1004,"&lt;"&amp;A505)+COUNTIF($A$5:A505,A505))</f>
        <v/>
      </c>
      <c r="X505">
        <f>","&amp;SUBSTITUTE(SUBSTITUTE(SUBSTITUTE(UPPER(C505)," ",""),";",","),"/",",")&amp;","</f>
        <v/>
      </c>
      <c r="Y505">
        <f>IF(AND(A505&lt;&gt;"",B505="Active",'State Search'!$C$5&lt;&gt;"",OR(X505=",ALL,",ISNUMBER(SEARCH(","&amp;'State Search'!$C$5&amp;",",X505)))),W505,"")</f>
        <v/>
      </c>
    </row>
    <row r="506">
      <c r="A506" s="64" t="n"/>
      <c r="B506" s="65" t="n"/>
      <c r="C506" s="64" t="n"/>
      <c r="D506" s="66" t="n"/>
      <c r="E506" s="66" t="n"/>
      <c r="F506" s="67" t="n"/>
      <c r="G506" s="67" t="n"/>
      <c r="H506" s="67" t="n"/>
      <c r="I506" s="67" t="n"/>
      <c r="J506" s="67" t="n"/>
      <c r="K506" s="67" t="n"/>
      <c r="L506" s="67" t="n"/>
      <c r="M506" s="67" t="n"/>
      <c r="N506" s="65" t="n"/>
      <c r="O506" s="84">
        <f>IF(A506="","",IF(E506="","No date",IF(TODAY()&gt;=EDATE(E506,Review_Months),"Review Due","Current")))</f>
        <v/>
      </c>
      <c r="P506" s="84">
        <f>IF(A506="","",IF(COUNTIFS('AFA Rates'!$A$5:$A$1004,A506,'AFA Rates'!$O$5:$O$1004,"&lt;&gt;Expired")&gt;0,"Yes",IF(COUNTIF('AFA Rates'!$A$5:$A$1004,A506)&gt;0,"Expired only","No")))</f>
        <v/>
      </c>
      <c r="Q506" s="84">
        <f>IF(A506="","",COUNTIFS('AFA Rates'!$A$5:$A$1004,A506,'AFA Rates'!$O$5:$O$1004,"&lt;&gt;Expired"))</f>
        <v/>
      </c>
      <c r="R506" s="66" t="n"/>
      <c r="S506" s="64" t="n"/>
      <c r="T506" s="64" t="n"/>
      <c r="U506">
        <f>IF(AND(A506&lt;&gt;"",B506="Paused"),COUNTIFS($A$5:A506,"&lt;&gt;",$B$5:B506,"Paused"),"")</f>
        <v/>
      </c>
      <c r="V506">
        <f>IF(P506="Yes",COUNTIF($P$5:P506,"Yes"),"")</f>
        <v/>
      </c>
      <c r="W506">
        <f>IF(A506="","",COUNTIF($A$5:$A$1004,"&lt;"&amp;A506)+COUNTIF($A$5:A506,A506))</f>
        <v/>
      </c>
      <c r="X506">
        <f>","&amp;SUBSTITUTE(SUBSTITUTE(SUBSTITUTE(UPPER(C506)," ",""),";",","),"/",",")&amp;","</f>
        <v/>
      </c>
      <c r="Y506">
        <f>IF(AND(A506&lt;&gt;"",B506="Active",'State Search'!$C$5&lt;&gt;"",OR(X506=",ALL,",ISNUMBER(SEARCH(","&amp;'State Search'!$C$5&amp;",",X506)))),W506,"")</f>
        <v/>
      </c>
    </row>
    <row r="507">
      <c r="A507" s="64" t="n"/>
      <c r="B507" s="65" t="n"/>
      <c r="C507" s="64" t="n"/>
      <c r="D507" s="66" t="n"/>
      <c r="E507" s="66" t="n"/>
      <c r="F507" s="67" t="n"/>
      <c r="G507" s="67" t="n"/>
      <c r="H507" s="67" t="n"/>
      <c r="I507" s="67" t="n"/>
      <c r="J507" s="67" t="n"/>
      <c r="K507" s="67" t="n"/>
      <c r="L507" s="67" t="n"/>
      <c r="M507" s="67" t="n"/>
      <c r="N507" s="65" t="n"/>
      <c r="O507" s="84">
        <f>IF(A507="","",IF(E507="","No date",IF(TODAY()&gt;=EDATE(E507,Review_Months),"Review Due","Current")))</f>
        <v/>
      </c>
      <c r="P507" s="84">
        <f>IF(A507="","",IF(COUNTIFS('AFA Rates'!$A$5:$A$1004,A507,'AFA Rates'!$O$5:$O$1004,"&lt;&gt;Expired")&gt;0,"Yes",IF(COUNTIF('AFA Rates'!$A$5:$A$1004,A507)&gt;0,"Expired only","No")))</f>
        <v/>
      </c>
      <c r="Q507" s="84">
        <f>IF(A507="","",COUNTIFS('AFA Rates'!$A$5:$A$1004,A507,'AFA Rates'!$O$5:$O$1004,"&lt;&gt;Expired"))</f>
        <v/>
      </c>
      <c r="R507" s="66" t="n"/>
      <c r="S507" s="64" t="n"/>
      <c r="T507" s="64" t="n"/>
      <c r="U507">
        <f>IF(AND(A507&lt;&gt;"",B507="Paused"),COUNTIFS($A$5:A507,"&lt;&gt;",$B$5:B507,"Paused"),"")</f>
        <v/>
      </c>
      <c r="V507">
        <f>IF(P507="Yes",COUNTIF($P$5:P507,"Yes"),"")</f>
        <v/>
      </c>
      <c r="W507">
        <f>IF(A507="","",COUNTIF($A$5:$A$1004,"&lt;"&amp;A507)+COUNTIF($A$5:A507,A507))</f>
        <v/>
      </c>
      <c r="X507">
        <f>","&amp;SUBSTITUTE(SUBSTITUTE(SUBSTITUTE(UPPER(C507)," ",""),";",","),"/",",")&amp;","</f>
        <v/>
      </c>
      <c r="Y507">
        <f>IF(AND(A507&lt;&gt;"",B507="Active",'State Search'!$C$5&lt;&gt;"",OR(X507=",ALL,",ISNUMBER(SEARCH(","&amp;'State Search'!$C$5&amp;",",X507)))),W507,"")</f>
        <v/>
      </c>
    </row>
    <row r="508">
      <c r="A508" s="64" t="n"/>
      <c r="B508" s="65" t="n"/>
      <c r="C508" s="64" t="n"/>
      <c r="D508" s="66" t="n"/>
      <c r="E508" s="66" t="n"/>
      <c r="F508" s="67" t="n"/>
      <c r="G508" s="67" t="n"/>
      <c r="H508" s="67" t="n"/>
      <c r="I508" s="67" t="n"/>
      <c r="J508" s="67" t="n"/>
      <c r="K508" s="67" t="n"/>
      <c r="L508" s="67" t="n"/>
      <c r="M508" s="67" t="n"/>
      <c r="N508" s="65" t="n"/>
      <c r="O508" s="84">
        <f>IF(A508="","",IF(E508="","No date",IF(TODAY()&gt;=EDATE(E508,Review_Months),"Review Due","Current")))</f>
        <v/>
      </c>
      <c r="P508" s="84">
        <f>IF(A508="","",IF(COUNTIFS('AFA Rates'!$A$5:$A$1004,A508,'AFA Rates'!$O$5:$O$1004,"&lt;&gt;Expired")&gt;0,"Yes",IF(COUNTIF('AFA Rates'!$A$5:$A$1004,A508)&gt;0,"Expired only","No")))</f>
        <v/>
      </c>
      <c r="Q508" s="84">
        <f>IF(A508="","",COUNTIFS('AFA Rates'!$A$5:$A$1004,A508,'AFA Rates'!$O$5:$O$1004,"&lt;&gt;Expired"))</f>
        <v/>
      </c>
      <c r="R508" s="66" t="n"/>
      <c r="S508" s="64" t="n"/>
      <c r="T508" s="64" t="n"/>
      <c r="U508">
        <f>IF(AND(A508&lt;&gt;"",B508="Paused"),COUNTIFS($A$5:A508,"&lt;&gt;",$B$5:B508,"Paused"),"")</f>
        <v/>
      </c>
      <c r="V508">
        <f>IF(P508="Yes",COUNTIF($P$5:P508,"Yes"),"")</f>
        <v/>
      </c>
      <c r="W508">
        <f>IF(A508="","",COUNTIF($A$5:$A$1004,"&lt;"&amp;A508)+COUNTIF($A$5:A508,A508))</f>
        <v/>
      </c>
      <c r="X508">
        <f>","&amp;SUBSTITUTE(SUBSTITUTE(SUBSTITUTE(UPPER(C508)," ",""),";",","),"/",",")&amp;","</f>
        <v/>
      </c>
      <c r="Y508">
        <f>IF(AND(A508&lt;&gt;"",B508="Active",'State Search'!$C$5&lt;&gt;"",OR(X508=",ALL,",ISNUMBER(SEARCH(","&amp;'State Search'!$C$5&amp;",",X508)))),W508,"")</f>
        <v/>
      </c>
    </row>
    <row r="509">
      <c r="A509" s="64" t="n"/>
      <c r="B509" s="65" t="n"/>
      <c r="C509" s="64" t="n"/>
      <c r="D509" s="66" t="n"/>
      <c r="E509" s="66" t="n"/>
      <c r="F509" s="67" t="n"/>
      <c r="G509" s="67" t="n"/>
      <c r="H509" s="67" t="n"/>
      <c r="I509" s="67" t="n"/>
      <c r="J509" s="67" t="n"/>
      <c r="K509" s="67" t="n"/>
      <c r="L509" s="67" t="n"/>
      <c r="M509" s="67" t="n"/>
      <c r="N509" s="65" t="n"/>
      <c r="O509" s="84">
        <f>IF(A509="","",IF(E509="","No date",IF(TODAY()&gt;=EDATE(E509,Review_Months),"Review Due","Current")))</f>
        <v/>
      </c>
      <c r="P509" s="84">
        <f>IF(A509="","",IF(COUNTIFS('AFA Rates'!$A$5:$A$1004,A509,'AFA Rates'!$O$5:$O$1004,"&lt;&gt;Expired")&gt;0,"Yes",IF(COUNTIF('AFA Rates'!$A$5:$A$1004,A509)&gt;0,"Expired only","No")))</f>
        <v/>
      </c>
      <c r="Q509" s="84">
        <f>IF(A509="","",COUNTIFS('AFA Rates'!$A$5:$A$1004,A509,'AFA Rates'!$O$5:$O$1004,"&lt;&gt;Expired"))</f>
        <v/>
      </c>
      <c r="R509" s="66" t="n"/>
      <c r="S509" s="64" t="n"/>
      <c r="T509" s="64" t="n"/>
      <c r="U509">
        <f>IF(AND(A509&lt;&gt;"",B509="Paused"),COUNTIFS($A$5:A509,"&lt;&gt;",$B$5:B509,"Paused"),"")</f>
        <v/>
      </c>
      <c r="V509">
        <f>IF(P509="Yes",COUNTIF($P$5:P509,"Yes"),"")</f>
        <v/>
      </c>
      <c r="W509">
        <f>IF(A509="","",COUNTIF($A$5:$A$1004,"&lt;"&amp;A509)+COUNTIF($A$5:A509,A509))</f>
        <v/>
      </c>
      <c r="X509">
        <f>","&amp;SUBSTITUTE(SUBSTITUTE(SUBSTITUTE(UPPER(C509)," ",""),";",","),"/",",")&amp;","</f>
        <v/>
      </c>
      <c r="Y509">
        <f>IF(AND(A509&lt;&gt;"",B509="Active",'State Search'!$C$5&lt;&gt;"",OR(X509=",ALL,",ISNUMBER(SEARCH(","&amp;'State Search'!$C$5&amp;",",X509)))),W509,"")</f>
        <v/>
      </c>
    </row>
    <row r="510">
      <c r="A510" s="64" t="n"/>
      <c r="B510" s="65" t="n"/>
      <c r="C510" s="64" t="n"/>
      <c r="D510" s="66" t="n"/>
      <c r="E510" s="66" t="n"/>
      <c r="F510" s="67" t="n"/>
      <c r="G510" s="67" t="n"/>
      <c r="H510" s="67" t="n"/>
      <c r="I510" s="67" t="n"/>
      <c r="J510" s="67" t="n"/>
      <c r="K510" s="67" t="n"/>
      <c r="L510" s="67" t="n"/>
      <c r="M510" s="67" t="n"/>
      <c r="N510" s="65" t="n"/>
      <c r="O510" s="84">
        <f>IF(A510="","",IF(E510="","No date",IF(TODAY()&gt;=EDATE(E510,Review_Months),"Review Due","Current")))</f>
        <v/>
      </c>
      <c r="P510" s="84">
        <f>IF(A510="","",IF(COUNTIFS('AFA Rates'!$A$5:$A$1004,A510,'AFA Rates'!$O$5:$O$1004,"&lt;&gt;Expired")&gt;0,"Yes",IF(COUNTIF('AFA Rates'!$A$5:$A$1004,A510)&gt;0,"Expired only","No")))</f>
        <v/>
      </c>
      <c r="Q510" s="84">
        <f>IF(A510="","",COUNTIFS('AFA Rates'!$A$5:$A$1004,A510,'AFA Rates'!$O$5:$O$1004,"&lt;&gt;Expired"))</f>
        <v/>
      </c>
      <c r="R510" s="66" t="n"/>
      <c r="S510" s="64" t="n"/>
      <c r="T510" s="64" t="n"/>
      <c r="U510">
        <f>IF(AND(A510&lt;&gt;"",B510="Paused"),COUNTIFS($A$5:A510,"&lt;&gt;",$B$5:B510,"Paused"),"")</f>
        <v/>
      </c>
      <c r="V510">
        <f>IF(P510="Yes",COUNTIF($P$5:P510,"Yes"),"")</f>
        <v/>
      </c>
      <c r="W510">
        <f>IF(A510="","",COUNTIF($A$5:$A$1004,"&lt;"&amp;A510)+COUNTIF($A$5:A510,A510))</f>
        <v/>
      </c>
      <c r="X510">
        <f>","&amp;SUBSTITUTE(SUBSTITUTE(SUBSTITUTE(UPPER(C510)," ",""),";",","),"/",",")&amp;","</f>
        <v/>
      </c>
      <c r="Y510">
        <f>IF(AND(A510&lt;&gt;"",B510="Active",'State Search'!$C$5&lt;&gt;"",OR(X510=",ALL,",ISNUMBER(SEARCH(","&amp;'State Search'!$C$5&amp;",",X510)))),W510,"")</f>
        <v/>
      </c>
    </row>
    <row r="511">
      <c r="A511" s="64" t="n"/>
      <c r="B511" s="65" t="n"/>
      <c r="C511" s="64" t="n"/>
      <c r="D511" s="66" t="n"/>
      <c r="E511" s="66" t="n"/>
      <c r="F511" s="67" t="n"/>
      <c r="G511" s="67" t="n"/>
      <c r="H511" s="67" t="n"/>
      <c r="I511" s="67" t="n"/>
      <c r="J511" s="67" t="n"/>
      <c r="K511" s="67" t="n"/>
      <c r="L511" s="67" t="n"/>
      <c r="M511" s="67" t="n"/>
      <c r="N511" s="65" t="n"/>
      <c r="O511" s="84">
        <f>IF(A511="","",IF(E511="","No date",IF(TODAY()&gt;=EDATE(E511,Review_Months),"Review Due","Current")))</f>
        <v/>
      </c>
      <c r="P511" s="84">
        <f>IF(A511="","",IF(COUNTIFS('AFA Rates'!$A$5:$A$1004,A511,'AFA Rates'!$O$5:$O$1004,"&lt;&gt;Expired")&gt;0,"Yes",IF(COUNTIF('AFA Rates'!$A$5:$A$1004,A511)&gt;0,"Expired only","No")))</f>
        <v/>
      </c>
      <c r="Q511" s="84">
        <f>IF(A511="","",COUNTIFS('AFA Rates'!$A$5:$A$1004,A511,'AFA Rates'!$O$5:$O$1004,"&lt;&gt;Expired"))</f>
        <v/>
      </c>
      <c r="R511" s="66" t="n"/>
      <c r="S511" s="64" t="n"/>
      <c r="T511" s="64" t="n"/>
      <c r="U511">
        <f>IF(AND(A511&lt;&gt;"",B511="Paused"),COUNTIFS($A$5:A511,"&lt;&gt;",$B$5:B511,"Paused"),"")</f>
        <v/>
      </c>
      <c r="V511">
        <f>IF(P511="Yes",COUNTIF($P$5:P511,"Yes"),"")</f>
        <v/>
      </c>
      <c r="W511">
        <f>IF(A511="","",COUNTIF($A$5:$A$1004,"&lt;"&amp;A511)+COUNTIF($A$5:A511,A511))</f>
        <v/>
      </c>
      <c r="X511">
        <f>","&amp;SUBSTITUTE(SUBSTITUTE(SUBSTITUTE(UPPER(C511)," ",""),";",","),"/",",")&amp;","</f>
        <v/>
      </c>
      <c r="Y511">
        <f>IF(AND(A511&lt;&gt;"",B511="Active",'State Search'!$C$5&lt;&gt;"",OR(X511=",ALL,",ISNUMBER(SEARCH(","&amp;'State Search'!$C$5&amp;",",X511)))),W511,"")</f>
        <v/>
      </c>
    </row>
    <row r="512">
      <c r="A512" s="64" t="n"/>
      <c r="B512" s="65" t="n"/>
      <c r="C512" s="64" t="n"/>
      <c r="D512" s="66" t="n"/>
      <c r="E512" s="66" t="n"/>
      <c r="F512" s="67" t="n"/>
      <c r="G512" s="67" t="n"/>
      <c r="H512" s="67" t="n"/>
      <c r="I512" s="67" t="n"/>
      <c r="J512" s="67" t="n"/>
      <c r="K512" s="67" t="n"/>
      <c r="L512" s="67" t="n"/>
      <c r="M512" s="67" t="n"/>
      <c r="N512" s="65" t="n"/>
      <c r="O512" s="84">
        <f>IF(A512="","",IF(E512="","No date",IF(TODAY()&gt;=EDATE(E512,Review_Months),"Review Due","Current")))</f>
        <v/>
      </c>
      <c r="P512" s="84">
        <f>IF(A512="","",IF(COUNTIFS('AFA Rates'!$A$5:$A$1004,A512,'AFA Rates'!$O$5:$O$1004,"&lt;&gt;Expired")&gt;0,"Yes",IF(COUNTIF('AFA Rates'!$A$5:$A$1004,A512)&gt;0,"Expired only","No")))</f>
        <v/>
      </c>
      <c r="Q512" s="84">
        <f>IF(A512="","",COUNTIFS('AFA Rates'!$A$5:$A$1004,A512,'AFA Rates'!$O$5:$O$1004,"&lt;&gt;Expired"))</f>
        <v/>
      </c>
      <c r="R512" s="66" t="n"/>
      <c r="S512" s="64" t="n"/>
      <c r="T512" s="64" t="n"/>
      <c r="U512">
        <f>IF(AND(A512&lt;&gt;"",B512="Paused"),COUNTIFS($A$5:A512,"&lt;&gt;",$B$5:B512,"Paused"),"")</f>
        <v/>
      </c>
      <c r="V512">
        <f>IF(P512="Yes",COUNTIF($P$5:P512,"Yes"),"")</f>
        <v/>
      </c>
      <c r="W512">
        <f>IF(A512="","",COUNTIF($A$5:$A$1004,"&lt;"&amp;A512)+COUNTIF($A$5:A512,A512))</f>
        <v/>
      </c>
      <c r="X512">
        <f>","&amp;SUBSTITUTE(SUBSTITUTE(SUBSTITUTE(UPPER(C512)," ",""),";",","),"/",",")&amp;","</f>
        <v/>
      </c>
      <c r="Y512">
        <f>IF(AND(A512&lt;&gt;"",B512="Active",'State Search'!$C$5&lt;&gt;"",OR(X512=",ALL,",ISNUMBER(SEARCH(","&amp;'State Search'!$C$5&amp;",",X512)))),W512,"")</f>
        <v/>
      </c>
    </row>
    <row r="513">
      <c r="A513" s="64" t="n"/>
      <c r="B513" s="65" t="n"/>
      <c r="C513" s="64" t="n"/>
      <c r="D513" s="66" t="n"/>
      <c r="E513" s="66" t="n"/>
      <c r="F513" s="67" t="n"/>
      <c r="G513" s="67" t="n"/>
      <c r="H513" s="67" t="n"/>
      <c r="I513" s="67" t="n"/>
      <c r="J513" s="67" t="n"/>
      <c r="K513" s="67" t="n"/>
      <c r="L513" s="67" t="n"/>
      <c r="M513" s="67" t="n"/>
      <c r="N513" s="65" t="n"/>
      <c r="O513" s="84">
        <f>IF(A513="","",IF(E513="","No date",IF(TODAY()&gt;=EDATE(E513,Review_Months),"Review Due","Current")))</f>
        <v/>
      </c>
      <c r="P513" s="84">
        <f>IF(A513="","",IF(COUNTIFS('AFA Rates'!$A$5:$A$1004,A513,'AFA Rates'!$O$5:$O$1004,"&lt;&gt;Expired")&gt;0,"Yes",IF(COUNTIF('AFA Rates'!$A$5:$A$1004,A513)&gt;0,"Expired only","No")))</f>
        <v/>
      </c>
      <c r="Q513" s="84">
        <f>IF(A513="","",COUNTIFS('AFA Rates'!$A$5:$A$1004,A513,'AFA Rates'!$O$5:$O$1004,"&lt;&gt;Expired"))</f>
        <v/>
      </c>
      <c r="R513" s="66" t="n"/>
      <c r="S513" s="64" t="n"/>
      <c r="T513" s="64" t="n"/>
      <c r="U513">
        <f>IF(AND(A513&lt;&gt;"",B513="Paused"),COUNTIFS($A$5:A513,"&lt;&gt;",$B$5:B513,"Paused"),"")</f>
        <v/>
      </c>
      <c r="V513">
        <f>IF(P513="Yes",COUNTIF($P$5:P513,"Yes"),"")</f>
        <v/>
      </c>
      <c r="W513">
        <f>IF(A513="","",COUNTIF($A$5:$A$1004,"&lt;"&amp;A513)+COUNTIF($A$5:A513,A513))</f>
        <v/>
      </c>
      <c r="X513">
        <f>","&amp;SUBSTITUTE(SUBSTITUTE(SUBSTITUTE(UPPER(C513)," ",""),";",","),"/",",")&amp;","</f>
        <v/>
      </c>
      <c r="Y513">
        <f>IF(AND(A513&lt;&gt;"",B513="Active",'State Search'!$C$5&lt;&gt;"",OR(X513=",ALL,",ISNUMBER(SEARCH(","&amp;'State Search'!$C$5&amp;",",X513)))),W513,"")</f>
        <v/>
      </c>
    </row>
    <row r="514">
      <c r="A514" s="64" t="n"/>
      <c r="B514" s="65" t="n"/>
      <c r="C514" s="64" t="n"/>
      <c r="D514" s="66" t="n"/>
      <c r="E514" s="66" t="n"/>
      <c r="F514" s="67" t="n"/>
      <c r="G514" s="67" t="n"/>
      <c r="H514" s="67" t="n"/>
      <c r="I514" s="67" t="n"/>
      <c r="J514" s="67" t="n"/>
      <c r="K514" s="67" t="n"/>
      <c r="L514" s="67" t="n"/>
      <c r="M514" s="67" t="n"/>
      <c r="N514" s="65" t="n"/>
      <c r="O514" s="84">
        <f>IF(A514="","",IF(E514="","No date",IF(TODAY()&gt;=EDATE(E514,Review_Months),"Review Due","Current")))</f>
        <v/>
      </c>
      <c r="P514" s="84">
        <f>IF(A514="","",IF(COUNTIFS('AFA Rates'!$A$5:$A$1004,A514,'AFA Rates'!$O$5:$O$1004,"&lt;&gt;Expired")&gt;0,"Yes",IF(COUNTIF('AFA Rates'!$A$5:$A$1004,A514)&gt;0,"Expired only","No")))</f>
        <v/>
      </c>
      <c r="Q514" s="84">
        <f>IF(A514="","",COUNTIFS('AFA Rates'!$A$5:$A$1004,A514,'AFA Rates'!$O$5:$O$1004,"&lt;&gt;Expired"))</f>
        <v/>
      </c>
      <c r="R514" s="66" t="n"/>
      <c r="S514" s="64" t="n"/>
      <c r="T514" s="64" t="n"/>
      <c r="U514">
        <f>IF(AND(A514&lt;&gt;"",B514="Paused"),COUNTIFS($A$5:A514,"&lt;&gt;",$B$5:B514,"Paused"),"")</f>
        <v/>
      </c>
      <c r="V514">
        <f>IF(P514="Yes",COUNTIF($P$5:P514,"Yes"),"")</f>
        <v/>
      </c>
      <c r="W514">
        <f>IF(A514="","",COUNTIF($A$5:$A$1004,"&lt;"&amp;A514)+COUNTIF($A$5:A514,A514))</f>
        <v/>
      </c>
      <c r="X514">
        <f>","&amp;SUBSTITUTE(SUBSTITUTE(SUBSTITUTE(UPPER(C514)," ",""),";",","),"/",",")&amp;","</f>
        <v/>
      </c>
      <c r="Y514">
        <f>IF(AND(A514&lt;&gt;"",B514="Active",'State Search'!$C$5&lt;&gt;"",OR(X514=",ALL,",ISNUMBER(SEARCH(","&amp;'State Search'!$C$5&amp;",",X514)))),W514,"")</f>
        <v/>
      </c>
    </row>
    <row r="515">
      <c r="A515" s="64" t="n"/>
      <c r="B515" s="65" t="n"/>
      <c r="C515" s="64" t="n"/>
      <c r="D515" s="66" t="n"/>
      <c r="E515" s="66" t="n"/>
      <c r="F515" s="67" t="n"/>
      <c r="G515" s="67" t="n"/>
      <c r="H515" s="67" t="n"/>
      <c r="I515" s="67" t="n"/>
      <c r="J515" s="67" t="n"/>
      <c r="K515" s="67" t="n"/>
      <c r="L515" s="67" t="n"/>
      <c r="M515" s="67" t="n"/>
      <c r="N515" s="65" t="n"/>
      <c r="O515" s="84">
        <f>IF(A515="","",IF(E515="","No date",IF(TODAY()&gt;=EDATE(E515,Review_Months),"Review Due","Current")))</f>
        <v/>
      </c>
      <c r="P515" s="84">
        <f>IF(A515="","",IF(COUNTIFS('AFA Rates'!$A$5:$A$1004,A515,'AFA Rates'!$O$5:$O$1004,"&lt;&gt;Expired")&gt;0,"Yes",IF(COUNTIF('AFA Rates'!$A$5:$A$1004,A515)&gt;0,"Expired only","No")))</f>
        <v/>
      </c>
      <c r="Q515" s="84">
        <f>IF(A515="","",COUNTIFS('AFA Rates'!$A$5:$A$1004,A515,'AFA Rates'!$O$5:$O$1004,"&lt;&gt;Expired"))</f>
        <v/>
      </c>
      <c r="R515" s="66" t="n"/>
      <c r="S515" s="64" t="n"/>
      <c r="T515" s="64" t="n"/>
      <c r="U515">
        <f>IF(AND(A515&lt;&gt;"",B515="Paused"),COUNTIFS($A$5:A515,"&lt;&gt;",$B$5:B515,"Paused"),"")</f>
        <v/>
      </c>
      <c r="V515">
        <f>IF(P515="Yes",COUNTIF($P$5:P515,"Yes"),"")</f>
        <v/>
      </c>
      <c r="W515">
        <f>IF(A515="","",COUNTIF($A$5:$A$1004,"&lt;"&amp;A515)+COUNTIF($A$5:A515,A515))</f>
        <v/>
      </c>
      <c r="X515">
        <f>","&amp;SUBSTITUTE(SUBSTITUTE(SUBSTITUTE(UPPER(C515)," ",""),";",","),"/",",")&amp;","</f>
        <v/>
      </c>
      <c r="Y515">
        <f>IF(AND(A515&lt;&gt;"",B515="Active",'State Search'!$C$5&lt;&gt;"",OR(X515=",ALL,",ISNUMBER(SEARCH(","&amp;'State Search'!$C$5&amp;",",X515)))),W515,"")</f>
        <v/>
      </c>
    </row>
    <row r="516">
      <c r="A516" s="64" t="n"/>
      <c r="B516" s="65" t="n"/>
      <c r="C516" s="64" t="n"/>
      <c r="D516" s="66" t="n"/>
      <c r="E516" s="66" t="n"/>
      <c r="F516" s="67" t="n"/>
      <c r="G516" s="67" t="n"/>
      <c r="H516" s="67" t="n"/>
      <c r="I516" s="67" t="n"/>
      <c r="J516" s="67" t="n"/>
      <c r="K516" s="67" t="n"/>
      <c r="L516" s="67" t="n"/>
      <c r="M516" s="67" t="n"/>
      <c r="N516" s="65" t="n"/>
      <c r="O516" s="84">
        <f>IF(A516="","",IF(E516="","No date",IF(TODAY()&gt;=EDATE(E516,Review_Months),"Review Due","Current")))</f>
        <v/>
      </c>
      <c r="P516" s="84">
        <f>IF(A516="","",IF(COUNTIFS('AFA Rates'!$A$5:$A$1004,A516,'AFA Rates'!$O$5:$O$1004,"&lt;&gt;Expired")&gt;0,"Yes",IF(COUNTIF('AFA Rates'!$A$5:$A$1004,A516)&gt;0,"Expired only","No")))</f>
        <v/>
      </c>
      <c r="Q516" s="84">
        <f>IF(A516="","",COUNTIFS('AFA Rates'!$A$5:$A$1004,A516,'AFA Rates'!$O$5:$O$1004,"&lt;&gt;Expired"))</f>
        <v/>
      </c>
      <c r="R516" s="66" t="n"/>
      <c r="S516" s="64" t="n"/>
      <c r="T516" s="64" t="n"/>
      <c r="U516">
        <f>IF(AND(A516&lt;&gt;"",B516="Paused"),COUNTIFS($A$5:A516,"&lt;&gt;",$B$5:B516,"Paused"),"")</f>
        <v/>
      </c>
      <c r="V516">
        <f>IF(P516="Yes",COUNTIF($P$5:P516,"Yes"),"")</f>
        <v/>
      </c>
      <c r="W516">
        <f>IF(A516="","",COUNTIF($A$5:$A$1004,"&lt;"&amp;A516)+COUNTIF($A$5:A516,A516))</f>
        <v/>
      </c>
      <c r="X516">
        <f>","&amp;SUBSTITUTE(SUBSTITUTE(SUBSTITUTE(UPPER(C516)," ",""),";",","),"/",",")&amp;","</f>
        <v/>
      </c>
      <c r="Y516">
        <f>IF(AND(A516&lt;&gt;"",B516="Active",'State Search'!$C$5&lt;&gt;"",OR(X516=",ALL,",ISNUMBER(SEARCH(","&amp;'State Search'!$C$5&amp;",",X516)))),W516,"")</f>
        <v/>
      </c>
    </row>
    <row r="517">
      <c r="A517" s="64" t="n"/>
      <c r="B517" s="65" t="n"/>
      <c r="C517" s="64" t="n"/>
      <c r="D517" s="66" t="n"/>
      <c r="E517" s="66" t="n"/>
      <c r="F517" s="67" t="n"/>
      <c r="G517" s="67" t="n"/>
      <c r="H517" s="67" t="n"/>
      <c r="I517" s="67" t="n"/>
      <c r="J517" s="67" t="n"/>
      <c r="K517" s="67" t="n"/>
      <c r="L517" s="67" t="n"/>
      <c r="M517" s="67" t="n"/>
      <c r="N517" s="65" t="n"/>
      <c r="O517" s="84">
        <f>IF(A517="","",IF(E517="","No date",IF(TODAY()&gt;=EDATE(E517,Review_Months),"Review Due","Current")))</f>
        <v/>
      </c>
      <c r="P517" s="84">
        <f>IF(A517="","",IF(COUNTIFS('AFA Rates'!$A$5:$A$1004,A517,'AFA Rates'!$O$5:$O$1004,"&lt;&gt;Expired")&gt;0,"Yes",IF(COUNTIF('AFA Rates'!$A$5:$A$1004,A517)&gt;0,"Expired only","No")))</f>
        <v/>
      </c>
      <c r="Q517" s="84">
        <f>IF(A517="","",COUNTIFS('AFA Rates'!$A$5:$A$1004,A517,'AFA Rates'!$O$5:$O$1004,"&lt;&gt;Expired"))</f>
        <v/>
      </c>
      <c r="R517" s="66" t="n"/>
      <c r="S517" s="64" t="n"/>
      <c r="T517" s="64" t="n"/>
      <c r="U517">
        <f>IF(AND(A517&lt;&gt;"",B517="Paused"),COUNTIFS($A$5:A517,"&lt;&gt;",$B$5:B517,"Paused"),"")</f>
        <v/>
      </c>
      <c r="V517">
        <f>IF(P517="Yes",COUNTIF($P$5:P517,"Yes"),"")</f>
        <v/>
      </c>
      <c r="W517">
        <f>IF(A517="","",COUNTIF($A$5:$A$1004,"&lt;"&amp;A517)+COUNTIF($A$5:A517,A517))</f>
        <v/>
      </c>
      <c r="X517">
        <f>","&amp;SUBSTITUTE(SUBSTITUTE(SUBSTITUTE(UPPER(C517)," ",""),";",","),"/",",")&amp;","</f>
        <v/>
      </c>
      <c r="Y517">
        <f>IF(AND(A517&lt;&gt;"",B517="Active",'State Search'!$C$5&lt;&gt;"",OR(X517=",ALL,",ISNUMBER(SEARCH(","&amp;'State Search'!$C$5&amp;",",X517)))),W517,"")</f>
        <v/>
      </c>
    </row>
    <row r="518">
      <c r="A518" s="64" t="n"/>
      <c r="B518" s="65" t="n"/>
      <c r="C518" s="64" t="n"/>
      <c r="D518" s="66" t="n"/>
      <c r="E518" s="66" t="n"/>
      <c r="F518" s="67" t="n"/>
      <c r="G518" s="67" t="n"/>
      <c r="H518" s="67" t="n"/>
      <c r="I518" s="67" t="n"/>
      <c r="J518" s="67" t="n"/>
      <c r="K518" s="67" t="n"/>
      <c r="L518" s="67" t="n"/>
      <c r="M518" s="67" t="n"/>
      <c r="N518" s="65" t="n"/>
      <c r="O518" s="84">
        <f>IF(A518="","",IF(E518="","No date",IF(TODAY()&gt;=EDATE(E518,Review_Months),"Review Due","Current")))</f>
        <v/>
      </c>
      <c r="P518" s="84">
        <f>IF(A518="","",IF(COUNTIFS('AFA Rates'!$A$5:$A$1004,A518,'AFA Rates'!$O$5:$O$1004,"&lt;&gt;Expired")&gt;0,"Yes",IF(COUNTIF('AFA Rates'!$A$5:$A$1004,A518)&gt;0,"Expired only","No")))</f>
        <v/>
      </c>
      <c r="Q518" s="84">
        <f>IF(A518="","",COUNTIFS('AFA Rates'!$A$5:$A$1004,A518,'AFA Rates'!$O$5:$O$1004,"&lt;&gt;Expired"))</f>
        <v/>
      </c>
      <c r="R518" s="66" t="n"/>
      <c r="S518" s="64" t="n"/>
      <c r="T518" s="64" t="n"/>
      <c r="U518">
        <f>IF(AND(A518&lt;&gt;"",B518="Paused"),COUNTIFS($A$5:A518,"&lt;&gt;",$B$5:B518,"Paused"),"")</f>
        <v/>
      </c>
      <c r="V518">
        <f>IF(P518="Yes",COUNTIF($P$5:P518,"Yes"),"")</f>
        <v/>
      </c>
      <c r="W518">
        <f>IF(A518="","",COUNTIF($A$5:$A$1004,"&lt;"&amp;A518)+COUNTIF($A$5:A518,A518))</f>
        <v/>
      </c>
      <c r="X518">
        <f>","&amp;SUBSTITUTE(SUBSTITUTE(SUBSTITUTE(UPPER(C518)," ",""),";",","),"/",",")&amp;","</f>
        <v/>
      </c>
      <c r="Y518">
        <f>IF(AND(A518&lt;&gt;"",B518="Active",'State Search'!$C$5&lt;&gt;"",OR(X518=",ALL,",ISNUMBER(SEARCH(","&amp;'State Search'!$C$5&amp;",",X518)))),W518,"")</f>
        <v/>
      </c>
    </row>
    <row r="519">
      <c r="A519" s="64" t="n"/>
      <c r="B519" s="65" t="n"/>
      <c r="C519" s="64" t="n"/>
      <c r="D519" s="66" t="n"/>
      <c r="E519" s="66" t="n"/>
      <c r="F519" s="67" t="n"/>
      <c r="G519" s="67" t="n"/>
      <c r="H519" s="67" t="n"/>
      <c r="I519" s="67" t="n"/>
      <c r="J519" s="67" t="n"/>
      <c r="K519" s="67" t="n"/>
      <c r="L519" s="67" t="n"/>
      <c r="M519" s="67" t="n"/>
      <c r="N519" s="65" t="n"/>
      <c r="O519" s="84">
        <f>IF(A519="","",IF(E519="","No date",IF(TODAY()&gt;=EDATE(E519,Review_Months),"Review Due","Current")))</f>
        <v/>
      </c>
      <c r="P519" s="84">
        <f>IF(A519="","",IF(COUNTIFS('AFA Rates'!$A$5:$A$1004,A519,'AFA Rates'!$O$5:$O$1004,"&lt;&gt;Expired")&gt;0,"Yes",IF(COUNTIF('AFA Rates'!$A$5:$A$1004,A519)&gt;0,"Expired only","No")))</f>
        <v/>
      </c>
      <c r="Q519" s="84">
        <f>IF(A519="","",COUNTIFS('AFA Rates'!$A$5:$A$1004,A519,'AFA Rates'!$O$5:$O$1004,"&lt;&gt;Expired"))</f>
        <v/>
      </c>
      <c r="R519" s="66" t="n"/>
      <c r="S519" s="64" t="n"/>
      <c r="T519" s="64" t="n"/>
      <c r="U519">
        <f>IF(AND(A519&lt;&gt;"",B519="Paused"),COUNTIFS($A$5:A519,"&lt;&gt;",$B$5:B519,"Paused"),"")</f>
        <v/>
      </c>
      <c r="V519">
        <f>IF(P519="Yes",COUNTIF($P$5:P519,"Yes"),"")</f>
        <v/>
      </c>
      <c r="W519">
        <f>IF(A519="","",COUNTIF($A$5:$A$1004,"&lt;"&amp;A519)+COUNTIF($A$5:A519,A519))</f>
        <v/>
      </c>
      <c r="X519">
        <f>","&amp;SUBSTITUTE(SUBSTITUTE(SUBSTITUTE(UPPER(C519)," ",""),";",","),"/",",")&amp;","</f>
        <v/>
      </c>
      <c r="Y519">
        <f>IF(AND(A519&lt;&gt;"",B519="Active",'State Search'!$C$5&lt;&gt;"",OR(X519=",ALL,",ISNUMBER(SEARCH(","&amp;'State Search'!$C$5&amp;",",X519)))),W519,"")</f>
        <v/>
      </c>
    </row>
    <row r="520">
      <c r="A520" s="64" t="n"/>
      <c r="B520" s="65" t="n"/>
      <c r="C520" s="64" t="n"/>
      <c r="D520" s="66" t="n"/>
      <c r="E520" s="66" t="n"/>
      <c r="F520" s="67" t="n"/>
      <c r="G520" s="67" t="n"/>
      <c r="H520" s="67" t="n"/>
      <c r="I520" s="67" t="n"/>
      <c r="J520" s="67" t="n"/>
      <c r="K520" s="67" t="n"/>
      <c r="L520" s="67" t="n"/>
      <c r="M520" s="67" t="n"/>
      <c r="N520" s="65" t="n"/>
      <c r="O520" s="84">
        <f>IF(A520="","",IF(E520="","No date",IF(TODAY()&gt;=EDATE(E520,Review_Months),"Review Due","Current")))</f>
        <v/>
      </c>
      <c r="P520" s="84">
        <f>IF(A520="","",IF(COUNTIFS('AFA Rates'!$A$5:$A$1004,A520,'AFA Rates'!$O$5:$O$1004,"&lt;&gt;Expired")&gt;0,"Yes",IF(COUNTIF('AFA Rates'!$A$5:$A$1004,A520)&gt;0,"Expired only","No")))</f>
        <v/>
      </c>
      <c r="Q520" s="84">
        <f>IF(A520="","",COUNTIFS('AFA Rates'!$A$5:$A$1004,A520,'AFA Rates'!$O$5:$O$1004,"&lt;&gt;Expired"))</f>
        <v/>
      </c>
      <c r="R520" s="66" t="n"/>
      <c r="S520" s="64" t="n"/>
      <c r="T520" s="64" t="n"/>
      <c r="U520">
        <f>IF(AND(A520&lt;&gt;"",B520="Paused"),COUNTIFS($A$5:A520,"&lt;&gt;",$B$5:B520,"Paused"),"")</f>
        <v/>
      </c>
      <c r="V520">
        <f>IF(P520="Yes",COUNTIF($P$5:P520,"Yes"),"")</f>
        <v/>
      </c>
      <c r="W520">
        <f>IF(A520="","",COUNTIF($A$5:$A$1004,"&lt;"&amp;A520)+COUNTIF($A$5:A520,A520))</f>
        <v/>
      </c>
      <c r="X520">
        <f>","&amp;SUBSTITUTE(SUBSTITUTE(SUBSTITUTE(UPPER(C520)," ",""),";",","),"/",",")&amp;","</f>
        <v/>
      </c>
      <c r="Y520">
        <f>IF(AND(A520&lt;&gt;"",B520="Active",'State Search'!$C$5&lt;&gt;"",OR(X520=",ALL,",ISNUMBER(SEARCH(","&amp;'State Search'!$C$5&amp;",",X520)))),W520,"")</f>
        <v/>
      </c>
    </row>
    <row r="521">
      <c r="A521" s="64" t="n"/>
      <c r="B521" s="65" t="n"/>
      <c r="C521" s="64" t="n"/>
      <c r="D521" s="66" t="n"/>
      <c r="E521" s="66" t="n"/>
      <c r="F521" s="67" t="n"/>
      <c r="G521" s="67" t="n"/>
      <c r="H521" s="67" t="n"/>
      <c r="I521" s="67" t="n"/>
      <c r="J521" s="67" t="n"/>
      <c r="K521" s="67" t="n"/>
      <c r="L521" s="67" t="n"/>
      <c r="M521" s="67" t="n"/>
      <c r="N521" s="65" t="n"/>
      <c r="O521" s="84">
        <f>IF(A521="","",IF(E521="","No date",IF(TODAY()&gt;=EDATE(E521,Review_Months),"Review Due","Current")))</f>
        <v/>
      </c>
      <c r="P521" s="84">
        <f>IF(A521="","",IF(COUNTIFS('AFA Rates'!$A$5:$A$1004,A521,'AFA Rates'!$O$5:$O$1004,"&lt;&gt;Expired")&gt;0,"Yes",IF(COUNTIF('AFA Rates'!$A$5:$A$1004,A521)&gt;0,"Expired only","No")))</f>
        <v/>
      </c>
      <c r="Q521" s="84">
        <f>IF(A521="","",COUNTIFS('AFA Rates'!$A$5:$A$1004,A521,'AFA Rates'!$O$5:$O$1004,"&lt;&gt;Expired"))</f>
        <v/>
      </c>
      <c r="R521" s="66" t="n"/>
      <c r="S521" s="64" t="n"/>
      <c r="T521" s="64" t="n"/>
      <c r="U521">
        <f>IF(AND(A521&lt;&gt;"",B521="Paused"),COUNTIFS($A$5:A521,"&lt;&gt;",$B$5:B521,"Paused"),"")</f>
        <v/>
      </c>
      <c r="V521">
        <f>IF(P521="Yes",COUNTIF($P$5:P521,"Yes"),"")</f>
        <v/>
      </c>
      <c r="W521">
        <f>IF(A521="","",COUNTIF($A$5:$A$1004,"&lt;"&amp;A521)+COUNTIF($A$5:A521,A521))</f>
        <v/>
      </c>
      <c r="X521">
        <f>","&amp;SUBSTITUTE(SUBSTITUTE(SUBSTITUTE(UPPER(C521)," ",""),";",","),"/",",")&amp;","</f>
        <v/>
      </c>
      <c r="Y521">
        <f>IF(AND(A521&lt;&gt;"",B521="Active",'State Search'!$C$5&lt;&gt;"",OR(X521=",ALL,",ISNUMBER(SEARCH(","&amp;'State Search'!$C$5&amp;",",X521)))),W521,"")</f>
        <v/>
      </c>
    </row>
    <row r="522">
      <c r="A522" s="64" t="n"/>
      <c r="B522" s="65" t="n"/>
      <c r="C522" s="64" t="n"/>
      <c r="D522" s="66" t="n"/>
      <c r="E522" s="66" t="n"/>
      <c r="F522" s="67" t="n"/>
      <c r="G522" s="67" t="n"/>
      <c r="H522" s="67" t="n"/>
      <c r="I522" s="67" t="n"/>
      <c r="J522" s="67" t="n"/>
      <c r="K522" s="67" t="n"/>
      <c r="L522" s="67" t="n"/>
      <c r="M522" s="67" t="n"/>
      <c r="N522" s="65" t="n"/>
      <c r="O522" s="84">
        <f>IF(A522="","",IF(E522="","No date",IF(TODAY()&gt;=EDATE(E522,Review_Months),"Review Due","Current")))</f>
        <v/>
      </c>
      <c r="P522" s="84">
        <f>IF(A522="","",IF(COUNTIFS('AFA Rates'!$A$5:$A$1004,A522,'AFA Rates'!$O$5:$O$1004,"&lt;&gt;Expired")&gt;0,"Yes",IF(COUNTIF('AFA Rates'!$A$5:$A$1004,A522)&gt;0,"Expired only","No")))</f>
        <v/>
      </c>
      <c r="Q522" s="84">
        <f>IF(A522="","",COUNTIFS('AFA Rates'!$A$5:$A$1004,A522,'AFA Rates'!$O$5:$O$1004,"&lt;&gt;Expired"))</f>
        <v/>
      </c>
      <c r="R522" s="66" t="n"/>
      <c r="S522" s="64" t="n"/>
      <c r="T522" s="64" t="n"/>
      <c r="U522">
        <f>IF(AND(A522&lt;&gt;"",B522="Paused"),COUNTIFS($A$5:A522,"&lt;&gt;",$B$5:B522,"Paused"),"")</f>
        <v/>
      </c>
      <c r="V522">
        <f>IF(P522="Yes",COUNTIF($P$5:P522,"Yes"),"")</f>
        <v/>
      </c>
      <c r="W522">
        <f>IF(A522="","",COUNTIF($A$5:$A$1004,"&lt;"&amp;A522)+COUNTIF($A$5:A522,A522))</f>
        <v/>
      </c>
      <c r="X522">
        <f>","&amp;SUBSTITUTE(SUBSTITUTE(SUBSTITUTE(UPPER(C522)," ",""),";",","),"/",",")&amp;","</f>
        <v/>
      </c>
      <c r="Y522">
        <f>IF(AND(A522&lt;&gt;"",B522="Active",'State Search'!$C$5&lt;&gt;"",OR(X522=",ALL,",ISNUMBER(SEARCH(","&amp;'State Search'!$C$5&amp;",",X522)))),W522,"")</f>
        <v/>
      </c>
    </row>
    <row r="523">
      <c r="A523" s="64" t="n"/>
      <c r="B523" s="65" t="n"/>
      <c r="C523" s="64" t="n"/>
      <c r="D523" s="66" t="n"/>
      <c r="E523" s="66" t="n"/>
      <c r="F523" s="67" t="n"/>
      <c r="G523" s="67" t="n"/>
      <c r="H523" s="67" t="n"/>
      <c r="I523" s="67" t="n"/>
      <c r="J523" s="67" t="n"/>
      <c r="K523" s="67" t="n"/>
      <c r="L523" s="67" t="n"/>
      <c r="M523" s="67" t="n"/>
      <c r="N523" s="65" t="n"/>
      <c r="O523" s="84">
        <f>IF(A523="","",IF(E523="","No date",IF(TODAY()&gt;=EDATE(E523,Review_Months),"Review Due","Current")))</f>
        <v/>
      </c>
      <c r="P523" s="84">
        <f>IF(A523="","",IF(COUNTIFS('AFA Rates'!$A$5:$A$1004,A523,'AFA Rates'!$O$5:$O$1004,"&lt;&gt;Expired")&gt;0,"Yes",IF(COUNTIF('AFA Rates'!$A$5:$A$1004,A523)&gt;0,"Expired only","No")))</f>
        <v/>
      </c>
      <c r="Q523" s="84">
        <f>IF(A523="","",COUNTIFS('AFA Rates'!$A$5:$A$1004,A523,'AFA Rates'!$O$5:$O$1004,"&lt;&gt;Expired"))</f>
        <v/>
      </c>
      <c r="R523" s="66" t="n"/>
      <c r="S523" s="64" t="n"/>
      <c r="T523" s="64" t="n"/>
      <c r="U523">
        <f>IF(AND(A523&lt;&gt;"",B523="Paused"),COUNTIFS($A$5:A523,"&lt;&gt;",$B$5:B523,"Paused"),"")</f>
        <v/>
      </c>
      <c r="V523">
        <f>IF(P523="Yes",COUNTIF($P$5:P523,"Yes"),"")</f>
        <v/>
      </c>
      <c r="W523">
        <f>IF(A523="","",COUNTIF($A$5:$A$1004,"&lt;"&amp;A523)+COUNTIF($A$5:A523,A523))</f>
        <v/>
      </c>
      <c r="X523">
        <f>","&amp;SUBSTITUTE(SUBSTITUTE(SUBSTITUTE(UPPER(C523)," ",""),";",","),"/",",")&amp;","</f>
        <v/>
      </c>
      <c r="Y523">
        <f>IF(AND(A523&lt;&gt;"",B523="Active",'State Search'!$C$5&lt;&gt;"",OR(X523=",ALL,",ISNUMBER(SEARCH(","&amp;'State Search'!$C$5&amp;",",X523)))),W523,"")</f>
        <v/>
      </c>
    </row>
    <row r="524">
      <c r="A524" s="64" t="n"/>
      <c r="B524" s="65" t="n"/>
      <c r="C524" s="64" t="n"/>
      <c r="D524" s="66" t="n"/>
      <c r="E524" s="66" t="n"/>
      <c r="F524" s="67" t="n"/>
      <c r="G524" s="67" t="n"/>
      <c r="H524" s="67" t="n"/>
      <c r="I524" s="67" t="n"/>
      <c r="J524" s="67" t="n"/>
      <c r="K524" s="67" t="n"/>
      <c r="L524" s="67" t="n"/>
      <c r="M524" s="67" t="n"/>
      <c r="N524" s="65" t="n"/>
      <c r="O524" s="84">
        <f>IF(A524="","",IF(E524="","No date",IF(TODAY()&gt;=EDATE(E524,Review_Months),"Review Due","Current")))</f>
        <v/>
      </c>
      <c r="P524" s="84">
        <f>IF(A524="","",IF(COUNTIFS('AFA Rates'!$A$5:$A$1004,A524,'AFA Rates'!$O$5:$O$1004,"&lt;&gt;Expired")&gt;0,"Yes",IF(COUNTIF('AFA Rates'!$A$5:$A$1004,A524)&gt;0,"Expired only","No")))</f>
        <v/>
      </c>
      <c r="Q524" s="84">
        <f>IF(A524="","",COUNTIFS('AFA Rates'!$A$5:$A$1004,A524,'AFA Rates'!$O$5:$O$1004,"&lt;&gt;Expired"))</f>
        <v/>
      </c>
      <c r="R524" s="66" t="n"/>
      <c r="S524" s="64" t="n"/>
      <c r="T524" s="64" t="n"/>
      <c r="U524">
        <f>IF(AND(A524&lt;&gt;"",B524="Paused"),COUNTIFS($A$5:A524,"&lt;&gt;",$B$5:B524,"Paused"),"")</f>
        <v/>
      </c>
      <c r="V524">
        <f>IF(P524="Yes",COUNTIF($P$5:P524,"Yes"),"")</f>
        <v/>
      </c>
      <c r="W524">
        <f>IF(A524="","",COUNTIF($A$5:$A$1004,"&lt;"&amp;A524)+COUNTIF($A$5:A524,A524))</f>
        <v/>
      </c>
      <c r="X524">
        <f>","&amp;SUBSTITUTE(SUBSTITUTE(SUBSTITUTE(UPPER(C524)," ",""),";",","),"/",",")&amp;","</f>
        <v/>
      </c>
      <c r="Y524">
        <f>IF(AND(A524&lt;&gt;"",B524="Active",'State Search'!$C$5&lt;&gt;"",OR(X524=",ALL,",ISNUMBER(SEARCH(","&amp;'State Search'!$C$5&amp;",",X524)))),W524,"")</f>
        <v/>
      </c>
    </row>
    <row r="525">
      <c r="A525" s="64" t="n"/>
      <c r="B525" s="65" t="n"/>
      <c r="C525" s="64" t="n"/>
      <c r="D525" s="66" t="n"/>
      <c r="E525" s="66" t="n"/>
      <c r="F525" s="67" t="n"/>
      <c r="G525" s="67" t="n"/>
      <c r="H525" s="67" t="n"/>
      <c r="I525" s="67" t="n"/>
      <c r="J525" s="67" t="n"/>
      <c r="K525" s="67" t="n"/>
      <c r="L525" s="67" t="n"/>
      <c r="M525" s="67" t="n"/>
      <c r="N525" s="65" t="n"/>
      <c r="O525" s="84">
        <f>IF(A525="","",IF(E525="","No date",IF(TODAY()&gt;=EDATE(E525,Review_Months),"Review Due","Current")))</f>
        <v/>
      </c>
      <c r="P525" s="84">
        <f>IF(A525="","",IF(COUNTIFS('AFA Rates'!$A$5:$A$1004,A525,'AFA Rates'!$O$5:$O$1004,"&lt;&gt;Expired")&gt;0,"Yes",IF(COUNTIF('AFA Rates'!$A$5:$A$1004,A525)&gt;0,"Expired only","No")))</f>
        <v/>
      </c>
      <c r="Q525" s="84">
        <f>IF(A525="","",COUNTIFS('AFA Rates'!$A$5:$A$1004,A525,'AFA Rates'!$O$5:$O$1004,"&lt;&gt;Expired"))</f>
        <v/>
      </c>
      <c r="R525" s="66" t="n"/>
      <c r="S525" s="64" t="n"/>
      <c r="T525" s="64" t="n"/>
      <c r="U525">
        <f>IF(AND(A525&lt;&gt;"",B525="Paused"),COUNTIFS($A$5:A525,"&lt;&gt;",$B$5:B525,"Paused"),"")</f>
        <v/>
      </c>
      <c r="V525">
        <f>IF(P525="Yes",COUNTIF($P$5:P525,"Yes"),"")</f>
        <v/>
      </c>
      <c r="W525">
        <f>IF(A525="","",COUNTIF($A$5:$A$1004,"&lt;"&amp;A525)+COUNTIF($A$5:A525,A525))</f>
        <v/>
      </c>
      <c r="X525">
        <f>","&amp;SUBSTITUTE(SUBSTITUTE(SUBSTITUTE(UPPER(C525)," ",""),";",","),"/",",")&amp;","</f>
        <v/>
      </c>
      <c r="Y525">
        <f>IF(AND(A525&lt;&gt;"",B525="Active",'State Search'!$C$5&lt;&gt;"",OR(X525=",ALL,",ISNUMBER(SEARCH(","&amp;'State Search'!$C$5&amp;",",X525)))),W525,"")</f>
        <v/>
      </c>
    </row>
    <row r="526">
      <c r="A526" s="64" t="n"/>
      <c r="B526" s="65" t="n"/>
      <c r="C526" s="64" t="n"/>
      <c r="D526" s="66" t="n"/>
      <c r="E526" s="66" t="n"/>
      <c r="F526" s="67" t="n"/>
      <c r="G526" s="67" t="n"/>
      <c r="H526" s="67" t="n"/>
      <c r="I526" s="67" t="n"/>
      <c r="J526" s="67" t="n"/>
      <c r="K526" s="67" t="n"/>
      <c r="L526" s="67" t="n"/>
      <c r="M526" s="67" t="n"/>
      <c r="N526" s="65" t="n"/>
      <c r="O526" s="84">
        <f>IF(A526="","",IF(E526="","No date",IF(TODAY()&gt;=EDATE(E526,Review_Months),"Review Due","Current")))</f>
        <v/>
      </c>
      <c r="P526" s="84">
        <f>IF(A526="","",IF(COUNTIFS('AFA Rates'!$A$5:$A$1004,A526,'AFA Rates'!$O$5:$O$1004,"&lt;&gt;Expired")&gt;0,"Yes",IF(COUNTIF('AFA Rates'!$A$5:$A$1004,A526)&gt;0,"Expired only","No")))</f>
        <v/>
      </c>
      <c r="Q526" s="84">
        <f>IF(A526="","",COUNTIFS('AFA Rates'!$A$5:$A$1004,A526,'AFA Rates'!$O$5:$O$1004,"&lt;&gt;Expired"))</f>
        <v/>
      </c>
      <c r="R526" s="66" t="n"/>
      <c r="S526" s="64" t="n"/>
      <c r="T526" s="64" t="n"/>
      <c r="U526">
        <f>IF(AND(A526&lt;&gt;"",B526="Paused"),COUNTIFS($A$5:A526,"&lt;&gt;",$B$5:B526,"Paused"),"")</f>
        <v/>
      </c>
      <c r="V526">
        <f>IF(P526="Yes",COUNTIF($P$5:P526,"Yes"),"")</f>
        <v/>
      </c>
      <c r="W526">
        <f>IF(A526="","",COUNTIF($A$5:$A$1004,"&lt;"&amp;A526)+COUNTIF($A$5:A526,A526))</f>
        <v/>
      </c>
      <c r="X526">
        <f>","&amp;SUBSTITUTE(SUBSTITUTE(SUBSTITUTE(UPPER(C526)," ",""),";",","),"/",",")&amp;","</f>
        <v/>
      </c>
      <c r="Y526">
        <f>IF(AND(A526&lt;&gt;"",B526="Active",'State Search'!$C$5&lt;&gt;"",OR(X526=",ALL,",ISNUMBER(SEARCH(","&amp;'State Search'!$C$5&amp;",",X526)))),W526,"")</f>
        <v/>
      </c>
    </row>
    <row r="527">
      <c r="A527" s="64" t="n"/>
      <c r="B527" s="65" t="n"/>
      <c r="C527" s="64" t="n"/>
      <c r="D527" s="66" t="n"/>
      <c r="E527" s="66" t="n"/>
      <c r="F527" s="67" t="n"/>
      <c r="G527" s="67" t="n"/>
      <c r="H527" s="67" t="n"/>
      <c r="I527" s="67" t="n"/>
      <c r="J527" s="67" t="n"/>
      <c r="K527" s="67" t="n"/>
      <c r="L527" s="67" t="n"/>
      <c r="M527" s="67" t="n"/>
      <c r="N527" s="65" t="n"/>
      <c r="O527" s="84">
        <f>IF(A527="","",IF(E527="","No date",IF(TODAY()&gt;=EDATE(E527,Review_Months),"Review Due","Current")))</f>
        <v/>
      </c>
      <c r="P527" s="84">
        <f>IF(A527="","",IF(COUNTIFS('AFA Rates'!$A$5:$A$1004,A527,'AFA Rates'!$O$5:$O$1004,"&lt;&gt;Expired")&gt;0,"Yes",IF(COUNTIF('AFA Rates'!$A$5:$A$1004,A527)&gt;0,"Expired only","No")))</f>
        <v/>
      </c>
      <c r="Q527" s="84">
        <f>IF(A527="","",COUNTIFS('AFA Rates'!$A$5:$A$1004,A527,'AFA Rates'!$O$5:$O$1004,"&lt;&gt;Expired"))</f>
        <v/>
      </c>
      <c r="R527" s="66" t="n"/>
      <c r="S527" s="64" t="n"/>
      <c r="T527" s="64" t="n"/>
      <c r="U527">
        <f>IF(AND(A527&lt;&gt;"",B527="Paused"),COUNTIFS($A$5:A527,"&lt;&gt;",$B$5:B527,"Paused"),"")</f>
        <v/>
      </c>
      <c r="V527">
        <f>IF(P527="Yes",COUNTIF($P$5:P527,"Yes"),"")</f>
        <v/>
      </c>
      <c r="W527">
        <f>IF(A527="","",COUNTIF($A$5:$A$1004,"&lt;"&amp;A527)+COUNTIF($A$5:A527,A527))</f>
        <v/>
      </c>
      <c r="X527">
        <f>","&amp;SUBSTITUTE(SUBSTITUTE(SUBSTITUTE(UPPER(C527)," ",""),";",","),"/",",")&amp;","</f>
        <v/>
      </c>
      <c r="Y527">
        <f>IF(AND(A527&lt;&gt;"",B527="Active",'State Search'!$C$5&lt;&gt;"",OR(X527=",ALL,",ISNUMBER(SEARCH(","&amp;'State Search'!$C$5&amp;",",X527)))),W527,"")</f>
        <v/>
      </c>
    </row>
    <row r="528">
      <c r="A528" s="64" t="n"/>
      <c r="B528" s="65" t="n"/>
      <c r="C528" s="64" t="n"/>
      <c r="D528" s="66" t="n"/>
      <c r="E528" s="66" t="n"/>
      <c r="F528" s="67" t="n"/>
      <c r="G528" s="67" t="n"/>
      <c r="H528" s="67" t="n"/>
      <c r="I528" s="67" t="n"/>
      <c r="J528" s="67" t="n"/>
      <c r="K528" s="67" t="n"/>
      <c r="L528" s="67" t="n"/>
      <c r="M528" s="67" t="n"/>
      <c r="N528" s="65" t="n"/>
      <c r="O528" s="84">
        <f>IF(A528="","",IF(E528="","No date",IF(TODAY()&gt;=EDATE(E528,Review_Months),"Review Due","Current")))</f>
        <v/>
      </c>
      <c r="P528" s="84">
        <f>IF(A528="","",IF(COUNTIFS('AFA Rates'!$A$5:$A$1004,A528,'AFA Rates'!$O$5:$O$1004,"&lt;&gt;Expired")&gt;0,"Yes",IF(COUNTIF('AFA Rates'!$A$5:$A$1004,A528)&gt;0,"Expired only","No")))</f>
        <v/>
      </c>
      <c r="Q528" s="84">
        <f>IF(A528="","",COUNTIFS('AFA Rates'!$A$5:$A$1004,A528,'AFA Rates'!$O$5:$O$1004,"&lt;&gt;Expired"))</f>
        <v/>
      </c>
      <c r="R528" s="66" t="n"/>
      <c r="S528" s="64" t="n"/>
      <c r="T528" s="64" t="n"/>
      <c r="U528">
        <f>IF(AND(A528&lt;&gt;"",B528="Paused"),COUNTIFS($A$5:A528,"&lt;&gt;",$B$5:B528,"Paused"),"")</f>
        <v/>
      </c>
      <c r="V528">
        <f>IF(P528="Yes",COUNTIF($P$5:P528,"Yes"),"")</f>
        <v/>
      </c>
      <c r="W528">
        <f>IF(A528="","",COUNTIF($A$5:$A$1004,"&lt;"&amp;A528)+COUNTIF($A$5:A528,A528))</f>
        <v/>
      </c>
      <c r="X528">
        <f>","&amp;SUBSTITUTE(SUBSTITUTE(SUBSTITUTE(UPPER(C528)," ",""),";",","),"/",",")&amp;","</f>
        <v/>
      </c>
      <c r="Y528">
        <f>IF(AND(A528&lt;&gt;"",B528="Active",'State Search'!$C$5&lt;&gt;"",OR(X528=",ALL,",ISNUMBER(SEARCH(","&amp;'State Search'!$C$5&amp;",",X528)))),W528,"")</f>
        <v/>
      </c>
    </row>
    <row r="529">
      <c r="A529" s="64" t="n"/>
      <c r="B529" s="65" t="n"/>
      <c r="C529" s="64" t="n"/>
      <c r="D529" s="66" t="n"/>
      <c r="E529" s="66" t="n"/>
      <c r="F529" s="67" t="n"/>
      <c r="G529" s="67" t="n"/>
      <c r="H529" s="67" t="n"/>
      <c r="I529" s="67" t="n"/>
      <c r="J529" s="67" t="n"/>
      <c r="K529" s="67" t="n"/>
      <c r="L529" s="67" t="n"/>
      <c r="M529" s="67" t="n"/>
      <c r="N529" s="65" t="n"/>
      <c r="O529" s="84">
        <f>IF(A529="","",IF(E529="","No date",IF(TODAY()&gt;=EDATE(E529,Review_Months),"Review Due","Current")))</f>
        <v/>
      </c>
      <c r="P529" s="84">
        <f>IF(A529="","",IF(COUNTIFS('AFA Rates'!$A$5:$A$1004,A529,'AFA Rates'!$O$5:$O$1004,"&lt;&gt;Expired")&gt;0,"Yes",IF(COUNTIF('AFA Rates'!$A$5:$A$1004,A529)&gt;0,"Expired only","No")))</f>
        <v/>
      </c>
      <c r="Q529" s="84">
        <f>IF(A529="","",COUNTIFS('AFA Rates'!$A$5:$A$1004,A529,'AFA Rates'!$O$5:$O$1004,"&lt;&gt;Expired"))</f>
        <v/>
      </c>
      <c r="R529" s="66" t="n"/>
      <c r="S529" s="64" t="n"/>
      <c r="T529" s="64" t="n"/>
      <c r="U529">
        <f>IF(AND(A529&lt;&gt;"",B529="Paused"),COUNTIFS($A$5:A529,"&lt;&gt;",$B$5:B529,"Paused"),"")</f>
        <v/>
      </c>
      <c r="V529">
        <f>IF(P529="Yes",COUNTIF($P$5:P529,"Yes"),"")</f>
        <v/>
      </c>
      <c r="W529">
        <f>IF(A529="","",COUNTIF($A$5:$A$1004,"&lt;"&amp;A529)+COUNTIF($A$5:A529,A529))</f>
        <v/>
      </c>
      <c r="X529">
        <f>","&amp;SUBSTITUTE(SUBSTITUTE(SUBSTITUTE(UPPER(C529)," ",""),";",","),"/",",")&amp;","</f>
        <v/>
      </c>
      <c r="Y529">
        <f>IF(AND(A529&lt;&gt;"",B529="Active",'State Search'!$C$5&lt;&gt;"",OR(X529=",ALL,",ISNUMBER(SEARCH(","&amp;'State Search'!$C$5&amp;",",X529)))),W529,"")</f>
        <v/>
      </c>
    </row>
    <row r="530">
      <c r="A530" s="64" t="n"/>
      <c r="B530" s="65" t="n"/>
      <c r="C530" s="64" t="n"/>
      <c r="D530" s="66" t="n"/>
      <c r="E530" s="66" t="n"/>
      <c r="F530" s="67" t="n"/>
      <c r="G530" s="67" t="n"/>
      <c r="H530" s="67" t="n"/>
      <c r="I530" s="67" t="n"/>
      <c r="J530" s="67" t="n"/>
      <c r="K530" s="67" t="n"/>
      <c r="L530" s="67" t="n"/>
      <c r="M530" s="67" t="n"/>
      <c r="N530" s="65" t="n"/>
      <c r="O530" s="84">
        <f>IF(A530="","",IF(E530="","No date",IF(TODAY()&gt;=EDATE(E530,Review_Months),"Review Due","Current")))</f>
        <v/>
      </c>
      <c r="P530" s="84">
        <f>IF(A530="","",IF(COUNTIFS('AFA Rates'!$A$5:$A$1004,A530,'AFA Rates'!$O$5:$O$1004,"&lt;&gt;Expired")&gt;0,"Yes",IF(COUNTIF('AFA Rates'!$A$5:$A$1004,A530)&gt;0,"Expired only","No")))</f>
        <v/>
      </c>
      <c r="Q530" s="84">
        <f>IF(A530="","",COUNTIFS('AFA Rates'!$A$5:$A$1004,A530,'AFA Rates'!$O$5:$O$1004,"&lt;&gt;Expired"))</f>
        <v/>
      </c>
      <c r="R530" s="66" t="n"/>
      <c r="S530" s="64" t="n"/>
      <c r="T530" s="64" t="n"/>
      <c r="U530">
        <f>IF(AND(A530&lt;&gt;"",B530="Paused"),COUNTIFS($A$5:A530,"&lt;&gt;",$B$5:B530,"Paused"),"")</f>
        <v/>
      </c>
      <c r="V530">
        <f>IF(P530="Yes",COUNTIF($P$5:P530,"Yes"),"")</f>
        <v/>
      </c>
      <c r="W530">
        <f>IF(A530="","",COUNTIF($A$5:$A$1004,"&lt;"&amp;A530)+COUNTIF($A$5:A530,A530))</f>
        <v/>
      </c>
      <c r="X530">
        <f>","&amp;SUBSTITUTE(SUBSTITUTE(SUBSTITUTE(UPPER(C530)," ",""),";",","),"/",",")&amp;","</f>
        <v/>
      </c>
      <c r="Y530">
        <f>IF(AND(A530&lt;&gt;"",B530="Active",'State Search'!$C$5&lt;&gt;"",OR(X530=",ALL,",ISNUMBER(SEARCH(","&amp;'State Search'!$C$5&amp;",",X530)))),W530,"")</f>
        <v/>
      </c>
    </row>
    <row r="531">
      <c r="A531" s="64" t="n"/>
      <c r="B531" s="65" t="n"/>
      <c r="C531" s="64" t="n"/>
      <c r="D531" s="66" t="n"/>
      <c r="E531" s="66" t="n"/>
      <c r="F531" s="67" t="n"/>
      <c r="G531" s="67" t="n"/>
      <c r="H531" s="67" t="n"/>
      <c r="I531" s="67" t="n"/>
      <c r="J531" s="67" t="n"/>
      <c r="K531" s="67" t="n"/>
      <c r="L531" s="67" t="n"/>
      <c r="M531" s="67" t="n"/>
      <c r="N531" s="65" t="n"/>
      <c r="O531" s="84">
        <f>IF(A531="","",IF(E531="","No date",IF(TODAY()&gt;=EDATE(E531,Review_Months),"Review Due","Current")))</f>
        <v/>
      </c>
      <c r="P531" s="84">
        <f>IF(A531="","",IF(COUNTIFS('AFA Rates'!$A$5:$A$1004,A531,'AFA Rates'!$O$5:$O$1004,"&lt;&gt;Expired")&gt;0,"Yes",IF(COUNTIF('AFA Rates'!$A$5:$A$1004,A531)&gt;0,"Expired only","No")))</f>
        <v/>
      </c>
      <c r="Q531" s="84">
        <f>IF(A531="","",COUNTIFS('AFA Rates'!$A$5:$A$1004,A531,'AFA Rates'!$O$5:$O$1004,"&lt;&gt;Expired"))</f>
        <v/>
      </c>
      <c r="R531" s="66" t="n"/>
      <c r="S531" s="64" t="n"/>
      <c r="T531" s="64" t="n"/>
      <c r="U531">
        <f>IF(AND(A531&lt;&gt;"",B531="Paused"),COUNTIFS($A$5:A531,"&lt;&gt;",$B$5:B531,"Paused"),"")</f>
        <v/>
      </c>
      <c r="V531">
        <f>IF(P531="Yes",COUNTIF($P$5:P531,"Yes"),"")</f>
        <v/>
      </c>
      <c r="W531">
        <f>IF(A531="","",COUNTIF($A$5:$A$1004,"&lt;"&amp;A531)+COUNTIF($A$5:A531,A531))</f>
        <v/>
      </c>
      <c r="X531">
        <f>","&amp;SUBSTITUTE(SUBSTITUTE(SUBSTITUTE(UPPER(C531)," ",""),";",","),"/",",")&amp;","</f>
        <v/>
      </c>
      <c r="Y531">
        <f>IF(AND(A531&lt;&gt;"",B531="Active",'State Search'!$C$5&lt;&gt;"",OR(X531=",ALL,",ISNUMBER(SEARCH(","&amp;'State Search'!$C$5&amp;",",X531)))),W531,"")</f>
        <v/>
      </c>
    </row>
    <row r="532">
      <c r="A532" s="64" t="n"/>
      <c r="B532" s="65" t="n"/>
      <c r="C532" s="64" t="n"/>
      <c r="D532" s="66" t="n"/>
      <c r="E532" s="66" t="n"/>
      <c r="F532" s="67" t="n"/>
      <c r="G532" s="67" t="n"/>
      <c r="H532" s="67" t="n"/>
      <c r="I532" s="67" t="n"/>
      <c r="J532" s="67" t="n"/>
      <c r="K532" s="67" t="n"/>
      <c r="L532" s="67" t="n"/>
      <c r="M532" s="67" t="n"/>
      <c r="N532" s="65" t="n"/>
      <c r="O532" s="84">
        <f>IF(A532="","",IF(E532="","No date",IF(TODAY()&gt;=EDATE(E532,Review_Months),"Review Due","Current")))</f>
        <v/>
      </c>
      <c r="P532" s="84">
        <f>IF(A532="","",IF(COUNTIFS('AFA Rates'!$A$5:$A$1004,A532,'AFA Rates'!$O$5:$O$1004,"&lt;&gt;Expired")&gt;0,"Yes",IF(COUNTIF('AFA Rates'!$A$5:$A$1004,A532)&gt;0,"Expired only","No")))</f>
        <v/>
      </c>
      <c r="Q532" s="84">
        <f>IF(A532="","",COUNTIFS('AFA Rates'!$A$5:$A$1004,A532,'AFA Rates'!$O$5:$O$1004,"&lt;&gt;Expired"))</f>
        <v/>
      </c>
      <c r="R532" s="66" t="n"/>
      <c r="S532" s="64" t="n"/>
      <c r="T532" s="64" t="n"/>
      <c r="U532">
        <f>IF(AND(A532&lt;&gt;"",B532="Paused"),COUNTIFS($A$5:A532,"&lt;&gt;",$B$5:B532,"Paused"),"")</f>
        <v/>
      </c>
      <c r="V532">
        <f>IF(P532="Yes",COUNTIF($P$5:P532,"Yes"),"")</f>
        <v/>
      </c>
      <c r="W532">
        <f>IF(A532="","",COUNTIF($A$5:$A$1004,"&lt;"&amp;A532)+COUNTIF($A$5:A532,A532))</f>
        <v/>
      </c>
      <c r="X532">
        <f>","&amp;SUBSTITUTE(SUBSTITUTE(SUBSTITUTE(UPPER(C532)," ",""),";",","),"/",",")&amp;","</f>
        <v/>
      </c>
      <c r="Y532">
        <f>IF(AND(A532&lt;&gt;"",B532="Active",'State Search'!$C$5&lt;&gt;"",OR(X532=",ALL,",ISNUMBER(SEARCH(","&amp;'State Search'!$C$5&amp;",",X532)))),W532,"")</f>
        <v/>
      </c>
    </row>
    <row r="533">
      <c r="A533" s="64" t="n"/>
      <c r="B533" s="65" t="n"/>
      <c r="C533" s="64" t="n"/>
      <c r="D533" s="66" t="n"/>
      <c r="E533" s="66" t="n"/>
      <c r="F533" s="67" t="n"/>
      <c r="G533" s="67" t="n"/>
      <c r="H533" s="67" t="n"/>
      <c r="I533" s="67" t="n"/>
      <c r="J533" s="67" t="n"/>
      <c r="K533" s="67" t="n"/>
      <c r="L533" s="67" t="n"/>
      <c r="M533" s="67" t="n"/>
      <c r="N533" s="65" t="n"/>
      <c r="O533" s="84">
        <f>IF(A533="","",IF(E533="","No date",IF(TODAY()&gt;=EDATE(E533,Review_Months),"Review Due","Current")))</f>
        <v/>
      </c>
      <c r="P533" s="84">
        <f>IF(A533="","",IF(COUNTIFS('AFA Rates'!$A$5:$A$1004,A533,'AFA Rates'!$O$5:$O$1004,"&lt;&gt;Expired")&gt;0,"Yes",IF(COUNTIF('AFA Rates'!$A$5:$A$1004,A533)&gt;0,"Expired only","No")))</f>
        <v/>
      </c>
      <c r="Q533" s="84">
        <f>IF(A533="","",COUNTIFS('AFA Rates'!$A$5:$A$1004,A533,'AFA Rates'!$O$5:$O$1004,"&lt;&gt;Expired"))</f>
        <v/>
      </c>
      <c r="R533" s="66" t="n"/>
      <c r="S533" s="64" t="n"/>
      <c r="T533" s="64" t="n"/>
      <c r="U533">
        <f>IF(AND(A533&lt;&gt;"",B533="Paused"),COUNTIFS($A$5:A533,"&lt;&gt;",$B$5:B533,"Paused"),"")</f>
        <v/>
      </c>
      <c r="V533">
        <f>IF(P533="Yes",COUNTIF($P$5:P533,"Yes"),"")</f>
        <v/>
      </c>
      <c r="W533">
        <f>IF(A533="","",COUNTIF($A$5:$A$1004,"&lt;"&amp;A533)+COUNTIF($A$5:A533,A533))</f>
        <v/>
      </c>
      <c r="X533">
        <f>","&amp;SUBSTITUTE(SUBSTITUTE(SUBSTITUTE(UPPER(C533)," ",""),";",","),"/",",")&amp;","</f>
        <v/>
      </c>
      <c r="Y533">
        <f>IF(AND(A533&lt;&gt;"",B533="Active",'State Search'!$C$5&lt;&gt;"",OR(X533=",ALL,",ISNUMBER(SEARCH(","&amp;'State Search'!$C$5&amp;",",X533)))),W533,"")</f>
        <v/>
      </c>
    </row>
    <row r="534">
      <c r="A534" s="64" t="n"/>
      <c r="B534" s="65" t="n"/>
      <c r="C534" s="64" t="n"/>
      <c r="D534" s="66" t="n"/>
      <c r="E534" s="66" t="n"/>
      <c r="F534" s="67" t="n"/>
      <c r="G534" s="67" t="n"/>
      <c r="H534" s="67" t="n"/>
      <c r="I534" s="67" t="n"/>
      <c r="J534" s="67" t="n"/>
      <c r="K534" s="67" t="n"/>
      <c r="L534" s="67" t="n"/>
      <c r="M534" s="67" t="n"/>
      <c r="N534" s="65" t="n"/>
      <c r="O534" s="84">
        <f>IF(A534="","",IF(E534="","No date",IF(TODAY()&gt;=EDATE(E534,Review_Months),"Review Due","Current")))</f>
        <v/>
      </c>
      <c r="P534" s="84">
        <f>IF(A534="","",IF(COUNTIFS('AFA Rates'!$A$5:$A$1004,A534,'AFA Rates'!$O$5:$O$1004,"&lt;&gt;Expired")&gt;0,"Yes",IF(COUNTIF('AFA Rates'!$A$5:$A$1004,A534)&gt;0,"Expired only","No")))</f>
        <v/>
      </c>
      <c r="Q534" s="84">
        <f>IF(A534="","",COUNTIFS('AFA Rates'!$A$5:$A$1004,A534,'AFA Rates'!$O$5:$O$1004,"&lt;&gt;Expired"))</f>
        <v/>
      </c>
      <c r="R534" s="66" t="n"/>
      <c r="S534" s="64" t="n"/>
      <c r="T534" s="64" t="n"/>
      <c r="U534">
        <f>IF(AND(A534&lt;&gt;"",B534="Paused"),COUNTIFS($A$5:A534,"&lt;&gt;",$B$5:B534,"Paused"),"")</f>
        <v/>
      </c>
      <c r="V534">
        <f>IF(P534="Yes",COUNTIF($P$5:P534,"Yes"),"")</f>
        <v/>
      </c>
      <c r="W534">
        <f>IF(A534="","",COUNTIF($A$5:$A$1004,"&lt;"&amp;A534)+COUNTIF($A$5:A534,A534))</f>
        <v/>
      </c>
      <c r="X534">
        <f>","&amp;SUBSTITUTE(SUBSTITUTE(SUBSTITUTE(UPPER(C534)," ",""),";",","),"/",",")&amp;","</f>
        <v/>
      </c>
      <c r="Y534">
        <f>IF(AND(A534&lt;&gt;"",B534="Active",'State Search'!$C$5&lt;&gt;"",OR(X534=",ALL,",ISNUMBER(SEARCH(","&amp;'State Search'!$C$5&amp;",",X534)))),W534,"")</f>
        <v/>
      </c>
    </row>
    <row r="535">
      <c r="A535" s="64" t="n"/>
      <c r="B535" s="65" t="n"/>
      <c r="C535" s="64" t="n"/>
      <c r="D535" s="66" t="n"/>
      <c r="E535" s="66" t="n"/>
      <c r="F535" s="67" t="n"/>
      <c r="G535" s="67" t="n"/>
      <c r="H535" s="67" t="n"/>
      <c r="I535" s="67" t="n"/>
      <c r="J535" s="67" t="n"/>
      <c r="K535" s="67" t="n"/>
      <c r="L535" s="67" t="n"/>
      <c r="M535" s="67" t="n"/>
      <c r="N535" s="65" t="n"/>
      <c r="O535" s="84">
        <f>IF(A535="","",IF(E535="","No date",IF(TODAY()&gt;=EDATE(E535,Review_Months),"Review Due","Current")))</f>
        <v/>
      </c>
      <c r="P535" s="84">
        <f>IF(A535="","",IF(COUNTIFS('AFA Rates'!$A$5:$A$1004,A535,'AFA Rates'!$O$5:$O$1004,"&lt;&gt;Expired")&gt;0,"Yes",IF(COUNTIF('AFA Rates'!$A$5:$A$1004,A535)&gt;0,"Expired only","No")))</f>
        <v/>
      </c>
      <c r="Q535" s="84">
        <f>IF(A535="","",COUNTIFS('AFA Rates'!$A$5:$A$1004,A535,'AFA Rates'!$O$5:$O$1004,"&lt;&gt;Expired"))</f>
        <v/>
      </c>
      <c r="R535" s="66" t="n"/>
      <c r="S535" s="64" t="n"/>
      <c r="T535" s="64" t="n"/>
      <c r="U535">
        <f>IF(AND(A535&lt;&gt;"",B535="Paused"),COUNTIFS($A$5:A535,"&lt;&gt;",$B$5:B535,"Paused"),"")</f>
        <v/>
      </c>
      <c r="V535">
        <f>IF(P535="Yes",COUNTIF($P$5:P535,"Yes"),"")</f>
        <v/>
      </c>
      <c r="W535">
        <f>IF(A535="","",COUNTIF($A$5:$A$1004,"&lt;"&amp;A535)+COUNTIF($A$5:A535,A535))</f>
        <v/>
      </c>
      <c r="X535">
        <f>","&amp;SUBSTITUTE(SUBSTITUTE(SUBSTITUTE(UPPER(C535)," ",""),";",","),"/",",")&amp;","</f>
        <v/>
      </c>
      <c r="Y535">
        <f>IF(AND(A535&lt;&gt;"",B535="Active",'State Search'!$C$5&lt;&gt;"",OR(X535=",ALL,",ISNUMBER(SEARCH(","&amp;'State Search'!$C$5&amp;",",X535)))),W535,"")</f>
        <v/>
      </c>
    </row>
    <row r="536">
      <c r="A536" s="64" t="n"/>
      <c r="B536" s="65" t="n"/>
      <c r="C536" s="64" t="n"/>
      <c r="D536" s="66" t="n"/>
      <c r="E536" s="66" t="n"/>
      <c r="F536" s="67" t="n"/>
      <c r="G536" s="67" t="n"/>
      <c r="H536" s="67" t="n"/>
      <c r="I536" s="67" t="n"/>
      <c r="J536" s="67" t="n"/>
      <c r="K536" s="67" t="n"/>
      <c r="L536" s="67" t="n"/>
      <c r="M536" s="67" t="n"/>
      <c r="N536" s="65" t="n"/>
      <c r="O536" s="84">
        <f>IF(A536="","",IF(E536="","No date",IF(TODAY()&gt;=EDATE(E536,Review_Months),"Review Due","Current")))</f>
        <v/>
      </c>
      <c r="P536" s="84">
        <f>IF(A536="","",IF(COUNTIFS('AFA Rates'!$A$5:$A$1004,A536,'AFA Rates'!$O$5:$O$1004,"&lt;&gt;Expired")&gt;0,"Yes",IF(COUNTIF('AFA Rates'!$A$5:$A$1004,A536)&gt;0,"Expired only","No")))</f>
        <v/>
      </c>
      <c r="Q536" s="84">
        <f>IF(A536="","",COUNTIFS('AFA Rates'!$A$5:$A$1004,A536,'AFA Rates'!$O$5:$O$1004,"&lt;&gt;Expired"))</f>
        <v/>
      </c>
      <c r="R536" s="66" t="n"/>
      <c r="S536" s="64" t="n"/>
      <c r="T536" s="64" t="n"/>
      <c r="U536">
        <f>IF(AND(A536&lt;&gt;"",B536="Paused"),COUNTIFS($A$5:A536,"&lt;&gt;",$B$5:B536,"Paused"),"")</f>
        <v/>
      </c>
      <c r="V536">
        <f>IF(P536="Yes",COUNTIF($P$5:P536,"Yes"),"")</f>
        <v/>
      </c>
      <c r="W536">
        <f>IF(A536="","",COUNTIF($A$5:$A$1004,"&lt;"&amp;A536)+COUNTIF($A$5:A536,A536))</f>
        <v/>
      </c>
      <c r="X536">
        <f>","&amp;SUBSTITUTE(SUBSTITUTE(SUBSTITUTE(UPPER(C536)," ",""),";",","),"/",",")&amp;","</f>
        <v/>
      </c>
      <c r="Y536">
        <f>IF(AND(A536&lt;&gt;"",B536="Active",'State Search'!$C$5&lt;&gt;"",OR(X536=",ALL,",ISNUMBER(SEARCH(","&amp;'State Search'!$C$5&amp;",",X536)))),W536,"")</f>
        <v/>
      </c>
    </row>
    <row r="537">
      <c r="A537" s="64" t="n"/>
      <c r="B537" s="65" t="n"/>
      <c r="C537" s="64" t="n"/>
      <c r="D537" s="66" t="n"/>
      <c r="E537" s="66" t="n"/>
      <c r="F537" s="67" t="n"/>
      <c r="G537" s="67" t="n"/>
      <c r="H537" s="67" t="n"/>
      <c r="I537" s="67" t="n"/>
      <c r="J537" s="67" t="n"/>
      <c r="K537" s="67" t="n"/>
      <c r="L537" s="67" t="n"/>
      <c r="M537" s="67" t="n"/>
      <c r="N537" s="65" t="n"/>
      <c r="O537" s="84">
        <f>IF(A537="","",IF(E537="","No date",IF(TODAY()&gt;=EDATE(E537,Review_Months),"Review Due","Current")))</f>
        <v/>
      </c>
      <c r="P537" s="84">
        <f>IF(A537="","",IF(COUNTIFS('AFA Rates'!$A$5:$A$1004,A537,'AFA Rates'!$O$5:$O$1004,"&lt;&gt;Expired")&gt;0,"Yes",IF(COUNTIF('AFA Rates'!$A$5:$A$1004,A537)&gt;0,"Expired only","No")))</f>
        <v/>
      </c>
      <c r="Q537" s="84">
        <f>IF(A537="","",COUNTIFS('AFA Rates'!$A$5:$A$1004,A537,'AFA Rates'!$O$5:$O$1004,"&lt;&gt;Expired"))</f>
        <v/>
      </c>
      <c r="R537" s="66" t="n"/>
      <c r="S537" s="64" t="n"/>
      <c r="T537" s="64" t="n"/>
      <c r="U537">
        <f>IF(AND(A537&lt;&gt;"",B537="Paused"),COUNTIFS($A$5:A537,"&lt;&gt;",$B$5:B537,"Paused"),"")</f>
        <v/>
      </c>
      <c r="V537">
        <f>IF(P537="Yes",COUNTIF($P$5:P537,"Yes"),"")</f>
        <v/>
      </c>
      <c r="W537">
        <f>IF(A537="","",COUNTIF($A$5:$A$1004,"&lt;"&amp;A537)+COUNTIF($A$5:A537,A537))</f>
        <v/>
      </c>
      <c r="X537">
        <f>","&amp;SUBSTITUTE(SUBSTITUTE(SUBSTITUTE(UPPER(C537)," ",""),";",","),"/",",")&amp;","</f>
        <v/>
      </c>
      <c r="Y537">
        <f>IF(AND(A537&lt;&gt;"",B537="Active",'State Search'!$C$5&lt;&gt;"",OR(X537=",ALL,",ISNUMBER(SEARCH(","&amp;'State Search'!$C$5&amp;",",X537)))),W537,"")</f>
        <v/>
      </c>
    </row>
    <row r="538">
      <c r="A538" s="64" t="n"/>
      <c r="B538" s="65" t="n"/>
      <c r="C538" s="64" t="n"/>
      <c r="D538" s="66" t="n"/>
      <c r="E538" s="66" t="n"/>
      <c r="F538" s="67" t="n"/>
      <c r="G538" s="67" t="n"/>
      <c r="H538" s="67" t="n"/>
      <c r="I538" s="67" t="n"/>
      <c r="J538" s="67" t="n"/>
      <c r="K538" s="67" t="n"/>
      <c r="L538" s="67" t="n"/>
      <c r="M538" s="67" t="n"/>
      <c r="N538" s="65" t="n"/>
      <c r="O538" s="84">
        <f>IF(A538="","",IF(E538="","No date",IF(TODAY()&gt;=EDATE(E538,Review_Months),"Review Due","Current")))</f>
        <v/>
      </c>
      <c r="P538" s="84">
        <f>IF(A538="","",IF(COUNTIFS('AFA Rates'!$A$5:$A$1004,A538,'AFA Rates'!$O$5:$O$1004,"&lt;&gt;Expired")&gt;0,"Yes",IF(COUNTIF('AFA Rates'!$A$5:$A$1004,A538)&gt;0,"Expired only","No")))</f>
        <v/>
      </c>
      <c r="Q538" s="84">
        <f>IF(A538="","",COUNTIFS('AFA Rates'!$A$5:$A$1004,A538,'AFA Rates'!$O$5:$O$1004,"&lt;&gt;Expired"))</f>
        <v/>
      </c>
      <c r="R538" s="66" t="n"/>
      <c r="S538" s="64" t="n"/>
      <c r="T538" s="64" t="n"/>
      <c r="U538">
        <f>IF(AND(A538&lt;&gt;"",B538="Paused"),COUNTIFS($A$5:A538,"&lt;&gt;",$B$5:B538,"Paused"),"")</f>
        <v/>
      </c>
      <c r="V538">
        <f>IF(P538="Yes",COUNTIF($P$5:P538,"Yes"),"")</f>
        <v/>
      </c>
      <c r="W538">
        <f>IF(A538="","",COUNTIF($A$5:$A$1004,"&lt;"&amp;A538)+COUNTIF($A$5:A538,A538))</f>
        <v/>
      </c>
      <c r="X538">
        <f>","&amp;SUBSTITUTE(SUBSTITUTE(SUBSTITUTE(UPPER(C538)," ",""),";",","),"/",",")&amp;","</f>
        <v/>
      </c>
      <c r="Y538">
        <f>IF(AND(A538&lt;&gt;"",B538="Active",'State Search'!$C$5&lt;&gt;"",OR(X538=",ALL,",ISNUMBER(SEARCH(","&amp;'State Search'!$C$5&amp;",",X538)))),W538,"")</f>
        <v/>
      </c>
    </row>
    <row r="539">
      <c r="A539" s="64" t="n"/>
      <c r="B539" s="65" t="n"/>
      <c r="C539" s="64" t="n"/>
      <c r="D539" s="66" t="n"/>
      <c r="E539" s="66" t="n"/>
      <c r="F539" s="67" t="n"/>
      <c r="G539" s="67" t="n"/>
      <c r="H539" s="67" t="n"/>
      <c r="I539" s="67" t="n"/>
      <c r="J539" s="67" t="n"/>
      <c r="K539" s="67" t="n"/>
      <c r="L539" s="67" t="n"/>
      <c r="M539" s="67" t="n"/>
      <c r="N539" s="65" t="n"/>
      <c r="O539" s="84">
        <f>IF(A539="","",IF(E539="","No date",IF(TODAY()&gt;=EDATE(E539,Review_Months),"Review Due","Current")))</f>
        <v/>
      </c>
      <c r="P539" s="84">
        <f>IF(A539="","",IF(COUNTIFS('AFA Rates'!$A$5:$A$1004,A539,'AFA Rates'!$O$5:$O$1004,"&lt;&gt;Expired")&gt;0,"Yes",IF(COUNTIF('AFA Rates'!$A$5:$A$1004,A539)&gt;0,"Expired only","No")))</f>
        <v/>
      </c>
      <c r="Q539" s="84">
        <f>IF(A539="","",COUNTIFS('AFA Rates'!$A$5:$A$1004,A539,'AFA Rates'!$O$5:$O$1004,"&lt;&gt;Expired"))</f>
        <v/>
      </c>
      <c r="R539" s="66" t="n"/>
      <c r="S539" s="64" t="n"/>
      <c r="T539" s="64" t="n"/>
      <c r="U539">
        <f>IF(AND(A539&lt;&gt;"",B539="Paused"),COUNTIFS($A$5:A539,"&lt;&gt;",$B$5:B539,"Paused"),"")</f>
        <v/>
      </c>
      <c r="V539">
        <f>IF(P539="Yes",COUNTIF($P$5:P539,"Yes"),"")</f>
        <v/>
      </c>
      <c r="W539">
        <f>IF(A539="","",COUNTIF($A$5:$A$1004,"&lt;"&amp;A539)+COUNTIF($A$5:A539,A539))</f>
        <v/>
      </c>
      <c r="X539">
        <f>","&amp;SUBSTITUTE(SUBSTITUTE(SUBSTITUTE(UPPER(C539)," ",""),";",","),"/",",")&amp;","</f>
        <v/>
      </c>
      <c r="Y539">
        <f>IF(AND(A539&lt;&gt;"",B539="Active",'State Search'!$C$5&lt;&gt;"",OR(X539=",ALL,",ISNUMBER(SEARCH(","&amp;'State Search'!$C$5&amp;",",X539)))),W539,"")</f>
        <v/>
      </c>
    </row>
    <row r="540">
      <c r="A540" s="64" t="n"/>
      <c r="B540" s="65" t="n"/>
      <c r="C540" s="64" t="n"/>
      <c r="D540" s="66" t="n"/>
      <c r="E540" s="66" t="n"/>
      <c r="F540" s="67" t="n"/>
      <c r="G540" s="67" t="n"/>
      <c r="H540" s="67" t="n"/>
      <c r="I540" s="67" t="n"/>
      <c r="J540" s="67" t="n"/>
      <c r="K540" s="67" t="n"/>
      <c r="L540" s="67" t="n"/>
      <c r="M540" s="67" t="n"/>
      <c r="N540" s="65" t="n"/>
      <c r="O540" s="84">
        <f>IF(A540="","",IF(E540="","No date",IF(TODAY()&gt;=EDATE(E540,Review_Months),"Review Due","Current")))</f>
        <v/>
      </c>
      <c r="P540" s="84">
        <f>IF(A540="","",IF(COUNTIFS('AFA Rates'!$A$5:$A$1004,A540,'AFA Rates'!$O$5:$O$1004,"&lt;&gt;Expired")&gt;0,"Yes",IF(COUNTIF('AFA Rates'!$A$5:$A$1004,A540)&gt;0,"Expired only","No")))</f>
        <v/>
      </c>
      <c r="Q540" s="84">
        <f>IF(A540="","",COUNTIFS('AFA Rates'!$A$5:$A$1004,A540,'AFA Rates'!$O$5:$O$1004,"&lt;&gt;Expired"))</f>
        <v/>
      </c>
      <c r="R540" s="66" t="n"/>
      <c r="S540" s="64" t="n"/>
      <c r="T540" s="64" t="n"/>
      <c r="U540">
        <f>IF(AND(A540&lt;&gt;"",B540="Paused"),COUNTIFS($A$5:A540,"&lt;&gt;",$B$5:B540,"Paused"),"")</f>
        <v/>
      </c>
      <c r="V540">
        <f>IF(P540="Yes",COUNTIF($P$5:P540,"Yes"),"")</f>
        <v/>
      </c>
      <c r="W540">
        <f>IF(A540="","",COUNTIF($A$5:$A$1004,"&lt;"&amp;A540)+COUNTIF($A$5:A540,A540))</f>
        <v/>
      </c>
      <c r="X540">
        <f>","&amp;SUBSTITUTE(SUBSTITUTE(SUBSTITUTE(UPPER(C540)," ",""),";",","),"/",",")&amp;","</f>
        <v/>
      </c>
      <c r="Y540">
        <f>IF(AND(A540&lt;&gt;"",B540="Active",'State Search'!$C$5&lt;&gt;"",OR(X540=",ALL,",ISNUMBER(SEARCH(","&amp;'State Search'!$C$5&amp;",",X540)))),W540,"")</f>
        <v/>
      </c>
    </row>
    <row r="541">
      <c r="A541" s="64" t="n"/>
      <c r="B541" s="65" t="n"/>
      <c r="C541" s="64" t="n"/>
      <c r="D541" s="66" t="n"/>
      <c r="E541" s="66" t="n"/>
      <c r="F541" s="67" t="n"/>
      <c r="G541" s="67" t="n"/>
      <c r="H541" s="67" t="n"/>
      <c r="I541" s="67" t="n"/>
      <c r="J541" s="67" t="n"/>
      <c r="K541" s="67" t="n"/>
      <c r="L541" s="67" t="n"/>
      <c r="M541" s="67" t="n"/>
      <c r="N541" s="65" t="n"/>
      <c r="O541" s="84">
        <f>IF(A541="","",IF(E541="","No date",IF(TODAY()&gt;=EDATE(E541,Review_Months),"Review Due","Current")))</f>
        <v/>
      </c>
      <c r="P541" s="84">
        <f>IF(A541="","",IF(COUNTIFS('AFA Rates'!$A$5:$A$1004,A541,'AFA Rates'!$O$5:$O$1004,"&lt;&gt;Expired")&gt;0,"Yes",IF(COUNTIF('AFA Rates'!$A$5:$A$1004,A541)&gt;0,"Expired only","No")))</f>
        <v/>
      </c>
      <c r="Q541" s="84">
        <f>IF(A541="","",COUNTIFS('AFA Rates'!$A$5:$A$1004,A541,'AFA Rates'!$O$5:$O$1004,"&lt;&gt;Expired"))</f>
        <v/>
      </c>
      <c r="R541" s="66" t="n"/>
      <c r="S541" s="64" t="n"/>
      <c r="T541" s="64" t="n"/>
      <c r="U541">
        <f>IF(AND(A541&lt;&gt;"",B541="Paused"),COUNTIFS($A$5:A541,"&lt;&gt;",$B$5:B541,"Paused"),"")</f>
        <v/>
      </c>
      <c r="V541">
        <f>IF(P541="Yes",COUNTIF($P$5:P541,"Yes"),"")</f>
        <v/>
      </c>
      <c r="W541">
        <f>IF(A541="","",COUNTIF($A$5:$A$1004,"&lt;"&amp;A541)+COUNTIF($A$5:A541,A541))</f>
        <v/>
      </c>
      <c r="X541">
        <f>","&amp;SUBSTITUTE(SUBSTITUTE(SUBSTITUTE(UPPER(C541)," ",""),";",","),"/",",")&amp;","</f>
        <v/>
      </c>
      <c r="Y541">
        <f>IF(AND(A541&lt;&gt;"",B541="Active",'State Search'!$C$5&lt;&gt;"",OR(X541=",ALL,",ISNUMBER(SEARCH(","&amp;'State Search'!$C$5&amp;",",X541)))),W541,"")</f>
        <v/>
      </c>
    </row>
    <row r="542">
      <c r="A542" s="64" t="n"/>
      <c r="B542" s="65" t="n"/>
      <c r="C542" s="64" t="n"/>
      <c r="D542" s="66" t="n"/>
      <c r="E542" s="66" t="n"/>
      <c r="F542" s="67" t="n"/>
      <c r="G542" s="67" t="n"/>
      <c r="H542" s="67" t="n"/>
      <c r="I542" s="67" t="n"/>
      <c r="J542" s="67" t="n"/>
      <c r="K542" s="67" t="n"/>
      <c r="L542" s="67" t="n"/>
      <c r="M542" s="67" t="n"/>
      <c r="N542" s="65" t="n"/>
      <c r="O542" s="84">
        <f>IF(A542="","",IF(E542="","No date",IF(TODAY()&gt;=EDATE(E542,Review_Months),"Review Due","Current")))</f>
        <v/>
      </c>
      <c r="P542" s="84">
        <f>IF(A542="","",IF(COUNTIFS('AFA Rates'!$A$5:$A$1004,A542,'AFA Rates'!$O$5:$O$1004,"&lt;&gt;Expired")&gt;0,"Yes",IF(COUNTIF('AFA Rates'!$A$5:$A$1004,A542)&gt;0,"Expired only","No")))</f>
        <v/>
      </c>
      <c r="Q542" s="84">
        <f>IF(A542="","",COUNTIFS('AFA Rates'!$A$5:$A$1004,A542,'AFA Rates'!$O$5:$O$1004,"&lt;&gt;Expired"))</f>
        <v/>
      </c>
      <c r="R542" s="66" t="n"/>
      <c r="S542" s="64" t="n"/>
      <c r="T542" s="64" t="n"/>
      <c r="U542">
        <f>IF(AND(A542&lt;&gt;"",B542="Paused"),COUNTIFS($A$5:A542,"&lt;&gt;",$B$5:B542,"Paused"),"")</f>
        <v/>
      </c>
      <c r="V542">
        <f>IF(P542="Yes",COUNTIF($P$5:P542,"Yes"),"")</f>
        <v/>
      </c>
      <c r="W542">
        <f>IF(A542="","",COUNTIF($A$5:$A$1004,"&lt;"&amp;A542)+COUNTIF($A$5:A542,A542))</f>
        <v/>
      </c>
      <c r="X542">
        <f>","&amp;SUBSTITUTE(SUBSTITUTE(SUBSTITUTE(UPPER(C542)," ",""),";",","),"/",",")&amp;","</f>
        <v/>
      </c>
      <c r="Y542">
        <f>IF(AND(A542&lt;&gt;"",B542="Active",'State Search'!$C$5&lt;&gt;"",OR(X542=",ALL,",ISNUMBER(SEARCH(","&amp;'State Search'!$C$5&amp;",",X542)))),W542,"")</f>
        <v/>
      </c>
    </row>
    <row r="543">
      <c r="A543" s="64" t="n"/>
      <c r="B543" s="65" t="n"/>
      <c r="C543" s="64" t="n"/>
      <c r="D543" s="66" t="n"/>
      <c r="E543" s="66" t="n"/>
      <c r="F543" s="67" t="n"/>
      <c r="G543" s="67" t="n"/>
      <c r="H543" s="67" t="n"/>
      <c r="I543" s="67" t="n"/>
      <c r="J543" s="67" t="n"/>
      <c r="K543" s="67" t="n"/>
      <c r="L543" s="67" t="n"/>
      <c r="M543" s="67" t="n"/>
      <c r="N543" s="65" t="n"/>
      <c r="O543" s="84">
        <f>IF(A543="","",IF(E543="","No date",IF(TODAY()&gt;=EDATE(E543,Review_Months),"Review Due","Current")))</f>
        <v/>
      </c>
      <c r="P543" s="84">
        <f>IF(A543="","",IF(COUNTIFS('AFA Rates'!$A$5:$A$1004,A543,'AFA Rates'!$O$5:$O$1004,"&lt;&gt;Expired")&gt;0,"Yes",IF(COUNTIF('AFA Rates'!$A$5:$A$1004,A543)&gt;0,"Expired only","No")))</f>
        <v/>
      </c>
      <c r="Q543" s="84">
        <f>IF(A543="","",COUNTIFS('AFA Rates'!$A$5:$A$1004,A543,'AFA Rates'!$O$5:$O$1004,"&lt;&gt;Expired"))</f>
        <v/>
      </c>
      <c r="R543" s="66" t="n"/>
      <c r="S543" s="64" t="n"/>
      <c r="T543" s="64" t="n"/>
      <c r="U543">
        <f>IF(AND(A543&lt;&gt;"",B543="Paused"),COUNTIFS($A$5:A543,"&lt;&gt;",$B$5:B543,"Paused"),"")</f>
        <v/>
      </c>
      <c r="V543">
        <f>IF(P543="Yes",COUNTIF($P$5:P543,"Yes"),"")</f>
        <v/>
      </c>
      <c r="W543">
        <f>IF(A543="","",COUNTIF($A$5:$A$1004,"&lt;"&amp;A543)+COUNTIF($A$5:A543,A543))</f>
        <v/>
      </c>
      <c r="X543">
        <f>","&amp;SUBSTITUTE(SUBSTITUTE(SUBSTITUTE(UPPER(C543)," ",""),";",","),"/",",")&amp;","</f>
        <v/>
      </c>
      <c r="Y543">
        <f>IF(AND(A543&lt;&gt;"",B543="Active",'State Search'!$C$5&lt;&gt;"",OR(X543=",ALL,",ISNUMBER(SEARCH(","&amp;'State Search'!$C$5&amp;",",X543)))),W543,"")</f>
        <v/>
      </c>
    </row>
    <row r="544">
      <c r="A544" s="64" t="n"/>
      <c r="B544" s="65" t="n"/>
      <c r="C544" s="64" t="n"/>
      <c r="D544" s="66" t="n"/>
      <c r="E544" s="66" t="n"/>
      <c r="F544" s="67" t="n"/>
      <c r="G544" s="67" t="n"/>
      <c r="H544" s="67" t="n"/>
      <c r="I544" s="67" t="n"/>
      <c r="J544" s="67" t="n"/>
      <c r="K544" s="67" t="n"/>
      <c r="L544" s="67" t="n"/>
      <c r="M544" s="67" t="n"/>
      <c r="N544" s="65" t="n"/>
      <c r="O544" s="84">
        <f>IF(A544="","",IF(E544="","No date",IF(TODAY()&gt;=EDATE(E544,Review_Months),"Review Due","Current")))</f>
        <v/>
      </c>
      <c r="P544" s="84">
        <f>IF(A544="","",IF(COUNTIFS('AFA Rates'!$A$5:$A$1004,A544,'AFA Rates'!$O$5:$O$1004,"&lt;&gt;Expired")&gt;0,"Yes",IF(COUNTIF('AFA Rates'!$A$5:$A$1004,A544)&gt;0,"Expired only","No")))</f>
        <v/>
      </c>
      <c r="Q544" s="84">
        <f>IF(A544="","",COUNTIFS('AFA Rates'!$A$5:$A$1004,A544,'AFA Rates'!$O$5:$O$1004,"&lt;&gt;Expired"))</f>
        <v/>
      </c>
      <c r="R544" s="66" t="n"/>
      <c r="S544" s="64" t="n"/>
      <c r="T544" s="64" t="n"/>
      <c r="U544">
        <f>IF(AND(A544&lt;&gt;"",B544="Paused"),COUNTIFS($A$5:A544,"&lt;&gt;",$B$5:B544,"Paused"),"")</f>
        <v/>
      </c>
      <c r="V544">
        <f>IF(P544="Yes",COUNTIF($P$5:P544,"Yes"),"")</f>
        <v/>
      </c>
      <c r="W544">
        <f>IF(A544="","",COUNTIF($A$5:$A$1004,"&lt;"&amp;A544)+COUNTIF($A$5:A544,A544))</f>
        <v/>
      </c>
      <c r="X544">
        <f>","&amp;SUBSTITUTE(SUBSTITUTE(SUBSTITUTE(UPPER(C544)," ",""),";",","),"/",",")&amp;","</f>
        <v/>
      </c>
      <c r="Y544">
        <f>IF(AND(A544&lt;&gt;"",B544="Active",'State Search'!$C$5&lt;&gt;"",OR(X544=",ALL,",ISNUMBER(SEARCH(","&amp;'State Search'!$C$5&amp;",",X544)))),W544,"")</f>
        <v/>
      </c>
    </row>
    <row r="545">
      <c r="A545" s="64" t="n"/>
      <c r="B545" s="65" t="n"/>
      <c r="C545" s="64" t="n"/>
      <c r="D545" s="66" t="n"/>
      <c r="E545" s="66" t="n"/>
      <c r="F545" s="67" t="n"/>
      <c r="G545" s="67" t="n"/>
      <c r="H545" s="67" t="n"/>
      <c r="I545" s="67" t="n"/>
      <c r="J545" s="67" t="n"/>
      <c r="K545" s="67" t="n"/>
      <c r="L545" s="67" t="n"/>
      <c r="M545" s="67" t="n"/>
      <c r="N545" s="65" t="n"/>
      <c r="O545" s="84">
        <f>IF(A545="","",IF(E545="","No date",IF(TODAY()&gt;=EDATE(E545,Review_Months),"Review Due","Current")))</f>
        <v/>
      </c>
      <c r="P545" s="84">
        <f>IF(A545="","",IF(COUNTIFS('AFA Rates'!$A$5:$A$1004,A545,'AFA Rates'!$O$5:$O$1004,"&lt;&gt;Expired")&gt;0,"Yes",IF(COUNTIF('AFA Rates'!$A$5:$A$1004,A545)&gt;0,"Expired only","No")))</f>
        <v/>
      </c>
      <c r="Q545" s="84">
        <f>IF(A545="","",COUNTIFS('AFA Rates'!$A$5:$A$1004,A545,'AFA Rates'!$O$5:$O$1004,"&lt;&gt;Expired"))</f>
        <v/>
      </c>
      <c r="R545" s="66" t="n"/>
      <c r="S545" s="64" t="n"/>
      <c r="T545" s="64" t="n"/>
      <c r="U545">
        <f>IF(AND(A545&lt;&gt;"",B545="Paused"),COUNTIFS($A$5:A545,"&lt;&gt;",$B$5:B545,"Paused"),"")</f>
        <v/>
      </c>
      <c r="V545">
        <f>IF(P545="Yes",COUNTIF($P$5:P545,"Yes"),"")</f>
        <v/>
      </c>
      <c r="W545">
        <f>IF(A545="","",COUNTIF($A$5:$A$1004,"&lt;"&amp;A545)+COUNTIF($A$5:A545,A545))</f>
        <v/>
      </c>
      <c r="X545">
        <f>","&amp;SUBSTITUTE(SUBSTITUTE(SUBSTITUTE(UPPER(C545)," ",""),";",","),"/",",")&amp;","</f>
        <v/>
      </c>
      <c r="Y545">
        <f>IF(AND(A545&lt;&gt;"",B545="Active",'State Search'!$C$5&lt;&gt;"",OR(X545=",ALL,",ISNUMBER(SEARCH(","&amp;'State Search'!$C$5&amp;",",X545)))),W545,"")</f>
        <v/>
      </c>
    </row>
    <row r="546">
      <c r="A546" s="64" t="n"/>
      <c r="B546" s="65" t="n"/>
      <c r="C546" s="64" t="n"/>
      <c r="D546" s="66" t="n"/>
      <c r="E546" s="66" t="n"/>
      <c r="F546" s="67" t="n"/>
      <c r="G546" s="67" t="n"/>
      <c r="H546" s="67" t="n"/>
      <c r="I546" s="67" t="n"/>
      <c r="J546" s="67" t="n"/>
      <c r="K546" s="67" t="n"/>
      <c r="L546" s="67" t="n"/>
      <c r="M546" s="67" t="n"/>
      <c r="N546" s="65" t="n"/>
      <c r="O546" s="84">
        <f>IF(A546="","",IF(E546="","No date",IF(TODAY()&gt;=EDATE(E546,Review_Months),"Review Due","Current")))</f>
        <v/>
      </c>
      <c r="P546" s="84">
        <f>IF(A546="","",IF(COUNTIFS('AFA Rates'!$A$5:$A$1004,A546,'AFA Rates'!$O$5:$O$1004,"&lt;&gt;Expired")&gt;0,"Yes",IF(COUNTIF('AFA Rates'!$A$5:$A$1004,A546)&gt;0,"Expired only","No")))</f>
        <v/>
      </c>
      <c r="Q546" s="84">
        <f>IF(A546="","",COUNTIFS('AFA Rates'!$A$5:$A$1004,A546,'AFA Rates'!$O$5:$O$1004,"&lt;&gt;Expired"))</f>
        <v/>
      </c>
      <c r="R546" s="66" t="n"/>
      <c r="S546" s="64" t="n"/>
      <c r="T546" s="64" t="n"/>
      <c r="U546">
        <f>IF(AND(A546&lt;&gt;"",B546="Paused"),COUNTIFS($A$5:A546,"&lt;&gt;",$B$5:B546,"Paused"),"")</f>
        <v/>
      </c>
      <c r="V546">
        <f>IF(P546="Yes",COUNTIF($P$5:P546,"Yes"),"")</f>
        <v/>
      </c>
      <c r="W546">
        <f>IF(A546="","",COUNTIF($A$5:$A$1004,"&lt;"&amp;A546)+COUNTIF($A$5:A546,A546))</f>
        <v/>
      </c>
      <c r="X546">
        <f>","&amp;SUBSTITUTE(SUBSTITUTE(SUBSTITUTE(UPPER(C546)," ",""),";",","),"/",",")&amp;","</f>
        <v/>
      </c>
      <c r="Y546">
        <f>IF(AND(A546&lt;&gt;"",B546="Active",'State Search'!$C$5&lt;&gt;"",OR(X546=",ALL,",ISNUMBER(SEARCH(","&amp;'State Search'!$C$5&amp;",",X546)))),W546,"")</f>
        <v/>
      </c>
    </row>
    <row r="547">
      <c r="A547" s="64" t="n"/>
      <c r="B547" s="65" t="n"/>
      <c r="C547" s="64" t="n"/>
      <c r="D547" s="66" t="n"/>
      <c r="E547" s="66" t="n"/>
      <c r="F547" s="67" t="n"/>
      <c r="G547" s="67" t="n"/>
      <c r="H547" s="67" t="n"/>
      <c r="I547" s="67" t="n"/>
      <c r="J547" s="67" t="n"/>
      <c r="K547" s="67" t="n"/>
      <c r="L547" s="67" t="n"/>
      <c r="M547" s="67" t="n"/>
      <c r="N547" s="65" t="n"/>
      <c r="O547" s="84">
        <f>IF(A547="","",IF(E547="","No date",IF(TODAY()&gt;=EDATE(E547,Review_Months),"Review Due","Current")))</f>
        <v/>
      </c>
      <c r="P547" s="84">
        <f>IF(A547="","",IF(COUNTIFS('AFA Rates'!$A$5:$A$1004,A547,'AFA Rates'!$O$5:$O$1004,"&lt;&gt;Expired")&gt;0,"Yes",IF(COUNTIF('AFA Rates'!$A$5:$A$1004,A547)&gt;0,"Expired only","No")))</f>
        <v/>
      </c>
      <c r="Q547" s="84">
        <f>IF(A547="","",COUNTIFS('AFA Rates'!$A$5:$A$1004,A547,'AFA Rates'!$O$5:$O$1004,"&lt;&gt;Expired"))</f>
        <v/>
      </c>
      <c r="R547" s="66" t="n"/>
      <c r="S547" s="64" t="n"/>
      <c r="T547" s="64" t="n"/>
      <c r="U547">
        <f>IF(AND(A547&lt;&gt;"",B547="Paused"),COUNTIFS($A$5:A547,"&lt;&gt;",$B$5:B547,"Paused"),"")</f>
        <v/>
      </c>
      <c r="V547">
        <f>IF(P547="Yes",COUNTIF($P$5:P547,"Yes"),"")</f>
        <v/>
      </c>
      <c r="W547">
        <f>IF(A547="","",COUNTIF($A$5:$A$1004,"&lt;"&amp;A547)+COUNTIF($A$5:A547,A547))</f>
        <v/>
      </c>
      <c r="X547">
        <f>","&amp;SUBSTITUTE(SUBSTITUTE(SUBSTITUTE(UPPER(C547)," ",""),";",","),"/",",")&amp;","</f>
        <v/>
      </c>
      <c r="Y547">
        <f>IF(AND(A547&lt;&gt;"",B547="Active",'State Search'!$C$5&lt;&gt;"",OR(X547=",ALL,",ISNUMBER(SEARCH(","&amp;'State Search'!$C$5&amp;",",X547)))),W547,"")</f>
        <v/>
      </c>
    </row>
    <row r="548">
      <c r="A548" s="64" t="n"/>
      <c r="B548" s="65" t="n"/>
      <c r="C548" s="64" t="n"/>
      <c r="D548" s="66" t="n"/>
      <c r="E548" s="66" t="n"/>
      <c r="F548" s="67" t="n"/>
      <c r="G548" s="67" t="n"/>
      <c r="H548" s="67" t="n"/>
      <c r="I548" s="67" t="n"/>
      <c r="J548" s="67" t="n"/>
      <c r="K548" s="67" t="n"/>
      <c r="L548" s="67" t="n"/>
      <c r="M548" s="67" t="n"/>
      <c r="N548" s="65" t="n"/>
      <c r="O548" s="84">
        <f>IF(A548="","",IF(E548="","No date",IF(TODAY()&gt;=EDATE(E548,Review_Months),"Review Due","Current")))</f>
        <v/>
      </c>
      <c r="P548" s="84">
        <f>IF(A548="","",IF(COUNTIFS('AFA Rates'!$A$5:$A$1004,A548,'AFA Rates'!$O$5:$O$1004,"&lt;&gt;Expired")&gt;0,"Yes",IF(COUNTIF('AFA Rates'!$A$5:$A$1004,A548)&gt;0,"Expired only","No")))</f>
        <v/>
      </c>
      <c r="Q548" s="84">
        <f>IF(A548="","",COUNTIFS('AFA Rates'!$A$5:$A$1004,A548,'AFA Rates'!$O$5:$O$1004,"&lt;&gt;Expired"))</f>
        <v/>
      </c>
      <c r="R548" s="66" t="n"/>
      <c r="S548" s="64" t="n"/>
      <c r="T548" s="64" t="n"/>
      <c r="U548">
        <f>IF(AND(A548&lt;&gt;"",B548="Paused"),COUNTIFS($A$5:A548,"&lt;&gt;",$B$5:B548,"Paused"),"")</f>
        <v/>
      </c>
      <c r="V548">
        <f>IF(P548="Yes",COUNTIF($P$5:P548,"Yes"),"")</f>
        <v/>
      </c>
      <c r="W548">
        <f>IF(A548="","",COUNTIF($A$5:$A$1004,"&lt;"&amp;A548)+COUNTIF($A$5:A548,A548))</f>
        <v/>
      </c>
      <c r="X548">
        <f>","&amp;SUBSTITUTE(SUBSTITUTE(SUBSTITUTE(UPPER(C548)," ",""),";",","),"/",",")&amp;","</f>
        <v/>
      </c>
      <c r="Y548">
        <f>IF(AND(A548&lt;&gt;"",B548="Active",'State Search'!$C$5&lt;&gt;"",OR(X548=",ALL,",ISNUMBER(SEARCH(","&amp;'State Search'!$C$5&amp;",",X548)))),W548,"")</f>
        <v/>
      </c>
    </row>
    <row r="549">
      <c r="A549" s="64" t="n"/>
      <c r="B549" s="65" t="n"/>
      <c r="C549" s="64" t="n"/>
      <c r="D549" s="66" t="n"/>
      <c r="E549" s="66" t="n"/>
      <c r="F549" s="67" t="n"/>
      <c r="G549" s="67" t="n"/>
      <c r="H549" s="67" t="n"/>
      <c r="I549" s="67" t="n"/>
      <c r="J549" s="67" t="n"/>
      <c r="K549" s="67" t="n"/>
      <c r="L549" s="67" t="n"/>
      <c r="M549" s="67" t="n"/>
      <c r="N549" s="65" t="n"/>
      <c r="O549" s="84">
        <f>IF(A549="","",IF(E549="","No date",IF(TODAY()&gt;=EDATE(E549,Review_Months),"Review Due","Current")))</f>
        <v/>
      </c>
      <c r="P549" s="84">
        <f>IF(A549="","",IF(COUNTIFS('AFA Rates'!$A$5:$A$1004,A549,'AFA Rates'!$O$5:$O$1004,"&lt;&gt;Expired")&gt;0,"Yes",IF(COUNTIF('AFA Rates'!$A$5:$A$1004,A549)&gt;0,"Expired only","No")))</f>
        <v/>
      </c>
      <c r="Q549" s="84">
        <f>IF(A549="","",COUNTIFS('AFA Rates'!$A$5:$A$1004,A549,'AFA Rates'!$O$5:$O$1004,"&lt;&gt;Expired"))</f>
        <v/>
      </c>
      <c r="R549" s="66" t="n"/>
      <c r="S549" s="64" t="n"/>
      <c r="T549" s="64" t="n"/>
      <c r="U549">
        <f>IF(AND(A549&lt;&gt;"",B549="Paused"),COUNTIFS($A$5:A549,"&lt;&gt;",$B$5:B549,"Paused"),"")</f>
        <v/>
      </c>
      <c r="V549">
        <f>IF(P549="Yes",COUNTIF($P$5:P549,"Yes"),"")</f>
        <v/>
      </c>
      <c r="W549">
        <f>IF(A549="","",COUNTIF($A$5:$A$1004,"&lt;"&amp;A549)+COUNTIF($A$5:A549,A549))</f>
        <v/>
      </c>
      <c r="X549">
        <f>","&amp;SUBSTITUTE(SUBSTITUTE(SUBSTITUTE(UPPER(C549)," ",""),";",","),"/",",")&amp;","</f>
        <v/>
      </c>
      <c r="Y549">
        <f>IF(AND(A549&lt;&gt;"",B549="Active",'State Search'!$C$5&lt;&gt;"",OR(X549=",ALL,",ISNUMBER(SEARCH(","&amp;'State Search'!$C$5&amp;",",X549)))),W549,"")</f>
        <v/>
      </c>
    </row>
    <row r="550">
      <c r="A550" s="64" t="n"/>
      <c r="B550" s="65" t="n"/>
      <c r="C550" s="64" t="n"/>
      <c r="D550" s="66" t="n"/>
      <c r="E550" s="66" t="n"/>
      <c r="F550" s="67" t="n"/>
      <c r="G550" s="67" t="n"/>
      <c r="H550" s="67" t="n"/>
      <c r="I550" s="67" t="n"/>
      <c r="J550" s="67" t="n"/>
      <c r="K550" s="67" t="n"/>
      <c r="L550" s="67" t="n"/>
      <c r="M550" s="67" t="n"/>
      <c r="N550" s="65" t="n"/>
      <c r="O550" s="84">
        <f>IF(A550="","",IF(E550="","No date",IF(TODAY()&gt;=EDATE(E550,Review_Months),"Review Due","Current")))</f>
        <v/>
      </c>
      <c r="P550" s="84">
        <f>IF(A550="","",IF(COUNTIFS('AFA Rates'!$A$5:$A$1004,A550,'AFA Rates'!$O$5:$O$1004,"&lt;&gt;Expired")&gt;0,"Yes",IF(COUNTIF('AFA Rates'!$A$5:$A$1004,A550)&gt;0,"Expired only","No")))</f>
        <v/>
      </c>
      <c r="Q550" s="84">
        <f>IF(A550="","",COUNTIFS('AFA Rates'!$A$5:$A$1004,A550,'AFA Rates'!$O$5:$O$1004,"&lt;&gt;Expired"))</f>
        <v/>
      </c>
      <c r="R550" s="66" t="n"/>
      <c r="S550" s="64" t="n"/>
      <c r="T550" s="64" t="n"/>
      <c r="U550">
        <f>IF(AND(A550&lt;&gt;"",B550="Paused"),COUNTIFS($A$5:A550,"&lt;&gt;",$B$5:B550,"Paused"),"")</f>
        <v/>
      </c>
      <c r="V550">
        <f>IF(P550="Yes",COUNTIF($P$5:P550,"Yes"),"")</f>
        <v/>
      </c>
      <c r="W550">
        <f>IF(A550="","",COUNTIF($A$5:$A$1004,"&lt;"&amp;A550)+COUNTIF($A$5:A550,A550))</f>
        <v/>
      </c>
      <c r="X550">
        <f>","&amp;SUBSTITUTE(SUBSTITUTE(SUBSTITUTE(UPPER(C550)," ",""),";",","),"/",",")&amp;","</f>
        <v/>
      </c>
      <c r="Y550">
        <f>IF(AND(A550&lt;&gt;"",B550="Active",'State Search'!$C$5&lt;&gt;"",OR(X550=",ALL,",ISNUMBER(SEARCH(","&amp;'State Search'!$C$5&amp;",",X550)))),W550,"")</f>
        <v/>
      </c>
    </row>
    <row r="551">
      <c r="A551" s="64" t="n"/>
      <c r="B551" s="65" t="n"/>
      <c r="C551" s="64" t="n"/>
      <c r="D551" s="66" t="n"/>
      <c r="E551" s="66" t="n"/>
      <c r="F551" s="67" t="n"/>
      <c r="G551" s="67" t="n"/>
      <c r="H551" s="67" t="n"/>
      <c r="I551" s="67" t="n"/>
      <c r="J551" s="67" t="n"/>
      <c r="K551" s="67" t="n"/>
      <c r="L551" s="67" t="n"/>
      <c r="M551" s="67" t="n"/>
      <c r="N551" s="65" t="n"/>
      <c r="O551" s="84">
        <f>IF(A551="","",IF(E551="","No date",IF(TODAY()&gt;=EDATE(E551,Review_Months),"Review Due","Current")))</f>
        <v/>
      </c>
      <c r="P551" s="84">
        <f>IF(A551="","",IF(COUNTIFS('AFA Rates'!$A$5:$A$1004,A551,'AFA Rates'!$O$5:$O$1004,"&lt;&gt;Expired")&gt;0,"Yes",IF(COUNTIF('AFA Rates'!$A$5:$A$1004,A551)&gt;0,"Expired only","No")))</f>
        <v/>
      </c>
      <c r="Q551" s="84">
        <f>IF(A551="","",COUNTIFS('AFA Rates'!$A$5:$A$1004,A551,'AFA Rates'!$O$5:$O$1004,"&lt;&gt;Expired"))</f>
        <v/>
      </c>
      <c r="R551" s="66" t="n"/>
      <c r="S551" s="64" t="n"/>
      <c r="T551" s="64" t="n"/>
      <c r="U551">
        <f>IF(AND(A551&lt;&gt;"",B551="Paused"),COUNTIFS($A$5:A551,"&lt;&gt;",$B$5:B551,"Paused"),"")</f>
        <v/>
      </c>
      <c r="V551">
        <f>IF(P551="Yes",COUNTIF($P$5:P551,"Yes"),"")</f>
        <v/>
      </c>
      <c r="W551">
        <f>IF(A551="","",COUNTIF($A$5:$A$1004,"&lt;"&amp;A551)+COUNTIF($A$5:A551,A551))</f>
        <v/>
      </c>
      <c r="X551">
        <f>","&amp;SUBSTITUTE(SUBSTITUTE(SUBSTITUTE(UPPER(C551)," ",""),";",","),"/",",")&amp;","</f>
        <v/>
      </c>
      <c r="Y551">
        <f>IF(AND(A551&lt;&gt;"",B551="Active",'State Search'!$C$5&lt;&gt;"",OR(X551=",ALL,",ISNUMBER(SEARCH(","&amp;'State Search'!$C$5&amp;",",X551)))),W551,"")</f>
        <v/>
      </c>
    </row>
    <row r="552">
      <c r="A552" s="64" t="n"/>
      <c r="B552" s="65" t="n"/>
      <c r="C552" s="64" t="n"/>
      <c r="D552" s="66" t="n"/>
      <c r="E552" s="66" t="n"/>
      <c r="F552" s="67" t="n"/>
      <c r="G552" s="67" t="n"/>
      <c r="H552" s="67" t="n"/>
      <c r="I552" s="67" t="n"/>
      <c r="J552" s="67" t="n"/>
      <c r="K552" s="67" t="n"/>
      <c r="L552" s="67" t="n"/>
      <c r="M552" s="67" t="n"/>
      <c r="N552" s="65" t="n"/>
      <c r="O552" s="84">
        <f>IF(A552="","",IF(E552="","No date",IF(TODAY()&gt;=EDATE(E552,Review_Months),"Review Due","Current")))</f>
        <v/>
      </c>
      <c r="P552" s="84">
        <f>IF(A552="","",IF(COUNTIFS('AFA Rates'!$A$5:$A$1004,A552,'AFA Rates'!$O$5:$O$1004,"&lt;&gt;Expired")&gt;0,"Yes",IF(COUNTIF('AFA Rates'!$A$5:$A$1004,A552)&gt;0,"Expired only","No")))</f>
        <v/>
      </c>
      <c r="Q552" s="84">
        <f>IF(A552="","",COUNTIFS('AFA Rates'!$A$5:$A$1004,A552,'AFA Rates'!$O$5:$O$1004,"&lt;&gt;Expired"))</f>
        <v/>
      </c>
      <c r="R552" s="66" t="n"/>
      <c r="S552" s="64" t="n"/>
      <c r="T552" s="64" t="n"/>
      <c r="U552">
        <f>IF(AND(A552&lt;&gt;"",B552="Paused"),COUNTIFS($A$5:A552,"&lt;&gt;",$B$5:B552,"Paused"),"")</f>
        <v/>
      </c>
      <c r="V552">
        <f>IF(P552="Yes",COUNTIF($P$5:P552,"Yes"),"")</f>
        <v/>
      </c>
      <c r="W552">
        <f>IF(A552="","",COUNTIF($A$5:$A$1004,"&lt;"&amp;A552)+COUNTIF($A$5:A552,A552))</f>
        <v/>
      </c>
      <c r="X552">
        <f>","&amp;SUBSTITUTE(SUBSTITUTE(SUBSTITUTE(UPPER(C552)," ",""),";",","),"/",",")&amp;","</f>
        <v/>
      </c>
      <c r="Y552">
        <f>IF(AND(A552&lt;&gt;"",B552="Active",'State Search'!$C$5&lt;&gt;"",OR(X552=",ALL,",ISNUMBER(SEARCH(","&amp;'State Search'!$C$5&amp;",",X552)))),W552,"")</f>
        <v/>
      </c>
    </row>
    <row r="553">
      <c r="A553" s="64" t="n"/>
      <c r="B553" s="65" t="n"/>
      <c r="C553" s="64" t="n"/>
      <c r="D553" s="66" t="n"/>
      <c r="E553" s="66" t="n"/>
      <c r="F553" s="67" t="n"/>
      <c r="G553" s="67" t="n"/>
      <c r="H553" s="67" t="n"/>
      <c r="I553" s="67" t="n"/>
      <c r="J553" s="67" t="n"/>
      <c r="K553" s="67" t="n"/>
      <c r="L553" s="67" t="n"/>
      <c r="M553" s="67" t="n"/>
      <c r="N553" s="65" t="n"/>
      <c r="O553" s="84">
        <f>IF(A553="","",IF(E553="","No date",IF(TODAY()&gt;=EDATE(E553,Review_Months),"Review Due","Current")))</f>
        <v/>
      </c>
      <c r="P553" s="84">
        <f>IF(A553="","",IF(COUNTIFS('AFA Rates'!$A$5:$A$1004,A553,'AFA Rates'!$O$5:$O$1004,"&lt;&gt;Expired")&gt;0,"Yes",IF(COUNTIF('AFA Rates'!$A$5:$A$1004,A553)&gt;0,"Expired only","No")))</f>
        <v/>
      </c>
      <c r="Q553" s="84">
        <f>IF(A553="","",COUNTIFS('AFA Rates'!$A$5:$A$1004,A553,'AFA Rates'!$O$5:$O$1004,"&lt;&gt;Expired"))</f>
        <v/>
      </c>
      <c r="R553" s="66" t="n"/>
      <c r="S553" s="64" t="n"/>
      <c r="T553" s="64" t="n"/>
      <c r="U553">
        <f>IF(AND(A553&lt;&gt;"",B553="Paused"),COUNTIFS($A$5:A553,"&lt;&gt;",$B$5:B553,"Paused"),"")</f>
        <v/>
      </c>
      <c r="V553">
        <f>IF(P553="Yes",COUNTIF($P$5:P553,"Yes"),"")</f>
        <v/>
      </c>
      <c r="W553">
        <f>IF(A553="","",COUNTIF($A$5:$A$1004,"&lt;"&amp;A553)+COUNTIF($A$5:A553,A553))</f>
        <v/>
      </c>
      <c r="X553">
        <f>","&amp;SUBSTITUTE(SUBSTITUTE(SUBSTITUTE(UPPER(C553)," ",""),";",","),"/",",")&amp;","</f>
        <v/>
      </c>
      <c r="Y553">
        <f>IF(AND(A553&lt;&gt;"",B553="Active",'State Search'!$C$5&lt;&gt;"",OR(X553=",ALL,",ISNUMBER(SEARCH(","&amp;'State Search'!$C$5&amp;",",X553)))),W553,"")</f>
        <v/>
      </c>
    </row>
    <row r="554">
      <c r="A554" s="64" t="n"/>
      <c r="B554" s="65" t="n"/>
      <c r="C554" s="64" t="n"/>
      <c r="D554" s="66" t="n"/>
      <c r="E554" s="66" t="n"/>
      <c r="F554" s="67" t="n"/>
      <c r="G554" s="67" t="n"/>
      <c r="H554" s="67" t="n"/>
      <c r="I554" s="67" t="n"/>
      <c r="J554" s="67" t="n"/>
      <c r="K554" s="67" t="n"/>
      <c r="L554" s="67" t="n"/>
      <c r="M554" s="67" t="n"/>
      <c r="N554" s="65" t="n"/>
      <c r="O554" s="84">
        <f>IF(A554="","",IF(E554="","No date",IF(TODAY()&gt;=EDATE(E554,Review_Months),"Review Due","Current")))</f>
        <v/>
      </c>
      <c r="P554" s="84">
        <f>IF(A554="","",IF(COUNTIFS('AFA Rates'!$A$5:$A$1004,A554,'AFA Rates'!$O$5:$O$1004,"&lt;&gt;Expired")&gt;0,"Yes",IF(COUNTIF('AFA Rates'!$A$5:$A$1004,A554)&gt;0,"Expired only","No")))</f>
        <v/>
      </c>
      <c r="Q554" s="84">
        <f>IF(A554="","",COUNTIFS('AFA Rates'!$A$5:$A$1004,A554,'AFA Rates'!$O$5:$O$1004,"&lt;&gt;Expired"))</f>
        <v/>
      </c>
      <c r="R554" s="66" t="n"/>
      <c r="S554" s="64" t="n"/>
      <c r="T554" s="64" t="n"/>
      <c r="U554">
        <f>IF(AND(A554&lt;&gt;"",B554="Paused"),COUNTIFS($A$5:A554,"&lt;&gt;",$B$5:B554,"Paused"),"")</f>
        <v/>
      </c>
      <c r="V554">
        <f>IF(P554="Yes",COUNTIF($P$5:P554,"Yes"),"")</f>
        <v/>
      </c>
      <c r="W554">
        <f>IF(A554="","",COUNTIF($A$5:$A$1004,"&lt;"&amp;A554)+COUNTIF($A$5:A554,A554))</f>
        <v/>
      </c>
      <c r="X554">
        <f>","&amp;SUBSTITUTE(SUBSTITUTE(SUBSTITUTE(UPPER(C554)," ",""),";",","),"/",",")&amp;","</f>
        <v/>
      </c>
      <c r="Y554">
        <f>IF(AND(A554&lt;&gt;"",B554="Active",'State Search'!$C$5&lt;&gt;"",OR(X554=",ALL,",ISNUMBER(SEARCH(","&amp;'State Search'!$C$5&amp;",",X554)))),W554,"")</f>
        <v/>
      </c>
    </row>
    <row r="555">
      <c r="A555" s="64" t="n"/>
      <c r="B555" s="65" t="n"/>
      <c r="C555" s="64" t="n"/>
      <c r="D555" s="66" t="n"/>
      <c r="E555" s="66" t="n"/>
      <c r="F555" s="67" t="n"/>
      <c r="G555" s="67" t="n"/>
      <c r="H555" s="67" t="n"/>
      <c r="I555" s="67" t="n"/>
      <c r="J555" s="67" t="n"/>
      <c r="K555" s="67" t="n"/>
      <c r="L555" s="67" t="n"/>
      <c r="M555" s="67" t="n"/>
      <c r="N555" s="65" t="n"/>
      <c r="O555" s="84">
        <f>IF(A555="","",IF(E555="","No date",IF(TODAY()&gt;=EDATE(E555,Review_Months),"Review Due","Current")))</f>
        <v/>
      </c>
      <c r="P555" s="84">
        <f>IF(A555="","",IF(COUNTIFS('AFA Rates'!$A$5:$A$1004,A555,'AFA Rates'!$O$5:$O$1004,"&lt;&gt;Expired")&gt;0,"Yes",IF(COUNTIF('AFA Rates'!$A$5:$A$1004,A555)&gt;0,"Expired only","No")))</f>
        <v/>
      </c>
      <c r="Q555" s="84">
        <f>IF(A555="","",COUNTIFS('AFA Rates'!$A$5:$A$1004,A555,'AFA Rates'!$O$5:$O$1004,"&lt;&gt;Expired"))</f>
        <v/>
      </c>
      <c r="R555" s="66" t="n"/>
      <c r="S555" s="64" t="n"/>
      <c r="T555" s="64" t="n"/>
      <c r="U555">
        <f>IF(AND(A555&lt;&gt;"",B555="Paused"),COUNTIFS($A$5:A555,"&lt;&gt;",$B$5:B555,"Paused"),"")</f>
        <v/>
      </c>
      <c r="V555">
        <f>IF(P555="Yes",COUNTIF($P$5:P555,"Yes"),"")</f>
        <v/>
      </c>
      <c r="W555">
        <f>IF(A555="","",COUNTIF($A$5:$A$1004,"&lt;"&amp;A555)+COUNTIF($A$5:A555,A555))</f>
        <v/>
      </c>
      <c r="X555">
        <f>","&amp;SUBSTITUTE(SUBSTITUTE(SUBSTITUTE(UPPER(C555)," ",""),";",","),"/",",")&amp;","</f>
        <v/>
      </c>
      <c r="Y555">
        <f>IF(AND(A555&lt;&gt;"",B555="Active",'State Search'!$C$5&lt;&gt;"",OR(X555=",ALL,",ISNUMBER(SEARCH(","&amp;'State Search'!$C$5&amp;",",X555)))),W555,"")</f>
        <v/>
      </c>
    </row>
    <row r="556">
      <c r="A556" s="64" t="n"/>
      <c r="B556" s="65" t="n"/>
      <c r="C556" s="64" t="n"/>
      <c r="D556" s="66" t="n"/>
      <c r="E556" s="66" t="n"/>
      <c r="F556" s="67" t="n"/>
      <c r="G556" s="67" t="n"/>
      <c r="H556" s="67" t="n"/>
      <c r="I556" s="67" t="n"/>
      <c r="J556" s="67" t="n"/>
      <c r="K556" s="67" t="n"/>
      <c r="L556" s="67" t="n"/>
      <c r="M556" s="67" t="n"/>
      <c r="N556" s="65" t="n"/>
      <c r="O556" s="84">
        <f>IF(A556="","",IF(E556="","No date",IF(TODAY()&gt;=EDATE(E556,Review_Months),"Review Due","Current")))</f>
        <v/>
      </c>
      <c r="P556" s="84">
        <f>IF(A556="","",IF(COUNTIFS('AFA Rates'!$A$5:$A$1004,A556,'AFA Rates'!$O$5:$O$1004,"&lt;&gt;Expired")&gt;0,"Yes",IF(COUNTIF('AFA Rates'!$A$5:$A$1004,A556)&gt;0,"Expired only","No")))</f>
        <v/>
      </c>
      <c r="Q556" s="84">
        <f>IF(A556="","",COUNTIFS('AFA Rates'!$A$5:$A$1004,A556,'AFA Rates'!$O$5:$O$1004,"&lt;&gt;Expired"))</f>
        <v/>
      </c>
      <c r="R556" s="66" t="n"/>
      <c r="S556" s="64" t="n"/>
      <c r="T556" s="64" t="n"/>
      <c r="U556">
        <f>IF(AND(A556&lt;&gt;"",B556="Paused"),COUNTIFS($A$5:A556,"&lt;&gt;",$B$5:B556,"Paused"),"")</f>
        <v/>
      </c>
      <c r="V556">
        <f>IF(P556="Yes",COUNTIF($P$5:P556,"Yes"),"")</f>
        <v/>
      </c>
      <c r="W556">
        <f>IF(A556="","",COUNTIF($A$5:$A$1004,"&lt;"&amp;A556)+COUNTIF($A$5:A556,A556))</f>
        <v/>
      </c>
      <c r="X556">
        <f>","&amp;SUBSTITUTE(SUBSTITUTE(SUBSTITUTE(UPPER(C556)," ",""),";",","),"/",",")&amp;","</f>
        <v/>
      </c>
      <c r="Y556">
        <f>IF(AND(A556&lt;&gt;"",B556="Active",'State Search'!$C$5&lt;&gt;"",OR(X556=",ALL,",ISNUMBER(SEARCH(","&amp;'State Search'!$C$5&amp;",",X556)))),W556,"")</f>
        <v/>
      </c>
    </row>
    <row r="557">
      <c r="A557" s="64" t="n"/>
      <c r="B557" s="65" t="n"/>
      <c r="C557" s="64" t="n"/>
      <c r="D557" s="66" t="n"/>
      <c r="E557" s="66" t="n"/>
      <c r="F557" s="67" t="n"/>
      <c r="G557" s="67" t="n"/>
      <c r="H557" s="67" t="n"/>
      <c r="I557" s="67" t="n"/>
      <c r="J557" s="67" t="n"/>
      <c r="K557" s="67" t="n"/>
      <c r="L557" s="67" t="n"/>
      <c r="M557" s="67" t="n"/>
      <c r="N557" s="65" t="n"/>
      <c r="O557" s="84">
        <f>IF(A557="","",IF(E557="","No date",IF(TODAY()&gt;=EDATE(E557,Review_Months),"Review Due","Current")))</f>
        <v/>
      </c>
      <c r="P557" s="84">
        <f>IF(A557="","",IF(COUNTIFS('AFA Rates'!$A$5:$A$1004,A557,'AFA Rates'!$O$5:$O$1004,"&lt;&gt;Expired")&gt;0,"Yes",IF(COUNTIF('AFA Rates'!$A$5:$A$1004,A557)&gt;0,"Expired only","No")))</f>
        <v/>
      </c>
      <c r="Q557" s="84">
        <f>IF(A557="","",COUNTIFS('AFA Rates'!$A$5:$A$1004,A557,'AFA Rates'!$O$5:$O$1004,"&lt;&gt;Expired"))</f>
        <v/>
      </c>
      <c r="R557" s="66" t="n"/>
      <c r="S557" s="64" t="n"/>
      <c r="T557" s="64" t="n"/>
      <c r="U557">
        <f>IF(AND(A557&lt;&gt;"",B557="Paused"),COUNTIFS($A$5:A557,"&lt;&gt;",$B$5:B557,"Paused"),"")</f>
        <v/>
      </c>
      <c r="V557">
        <f>IF(P557="Yes",COUNTIF($P$5:P557,"Yes"),"")</f>
        <v/>
      </c>
      <c r="W557">
        <f>IF(A557="","",COUNTIF($A$5:$A$1004,"&lt;"&amp;A557)+COUNTIF($A$5:A557,A557))</f>
        <v/>
      </c>
      <c r="X557">
        <f>","&amp;SUBSTITUTE(SUBSTITUTE(SUBSTITUTE(UPPER(C557)," ",""),";",","),"/",",")&amp;","</f>
        <v/>
      </c>
      <c r="Y557">
        <f>IF(AND(A557&lt;&gt;"",B557="Active",'State Search'!$C$5&lt;&gt;"",OR(X557=",ALL,",ISNUMBER(SEARCH(","&amp;'State Search'!$C$5&amp;",",X557)))),W557,"")</f>
        <v/>
      </c>
    </row>
    <row r="558">
      <c r="A558" s="64" t="n"/>
      <c r="B558" s="65" t="n"/>
      <c r="C558" s="64" t="n"/>
      <c r="D558" s="66" t="n"/>
      <c r="E558" s="66" t="n"/>
      <c r="F558" s="67" t="n"/>
      <c r="G558" s="67" t="n"/>
      <c r="H558" s="67" t="n"/>
      <c r="I558" s="67" t="n"/>
      <c r="J558" s="67" t="n"/>
      <c r="K558" s="67" t="n"/>
      <c r="L558" s="67" t="n"/>
      <c r="M558" s="67" t="n"/>
      <c r="N558" s="65" t="n"/>
      <c r="O558" s="84">
        <f>IF(A558="","",IF(E558="","No date",IF(TODAY()&gt;=EDATE(E558,Review_Months),"Review Due","Current")))</f>
        <v/>
      </c>
      <c r="P558" s="84">
        <f>IF(A558="","",IF(COUNTIFS('AFA Rates'!$A$5:$A$1004,A558,'AFA Rates'!$O$5:$O$1004,"&lt;&gt;Expired")&gt;0,"Yes",IF(COUNTIF('AFA Rates'!$A$5:$A$1004,A558)&gt;0,"Expired only","No")))</f>
        <v/>
      </c>
      <c r="Q558" s="84">
        <f>IF(A558="","",COUNTIFS('AFA Rates'!$A$5:$A$1004,A558,'AFA Rates'!$O$5:$O$1004,"&lt;&gt;Expired"))</f>
        <v/>
      </c>
      <c r="R558" s="66" t="n"/>
      <c r="S558" s="64" t="n"/>
      <c r="T558" s="64" t="n"/>
      <c r="U558">
        <f>IF(AND(A558&lt;&gt;"",B558="Paused"),COUNTIFS($A$5:A558,"&lt;&gt;",$B$5:B558,"Paused"),"")</f>
        <v/>
      </c>
      <c r="V558">
        <f>IF(P558="Yes",COUNTIF($P$5:P558,"Yes"),"")</f>
        <v/>
      </c>
      <c r="W558">
        <f>IF(A558="","",COUNTIF($A$5:$A$1004,"&lt;"&amp;A558)+COUNTIF($A$5:A558,A558))</f>
        <v/>
      </c>
      <c r="X558">
        <f>","&amp;SUBSTITUTE(SUBSTITUTE(SUBSTITUTE(UPPER(C558)," ",""),";",","),"/",",")&amp;","</f>
        <v/>
      </c>
      <c r="Y558">
        <f>IF(AND(A558&lt;&gt;"",B558="Active",'State Search'!$C$5&lt;&gt;"",OR(X558=",ALL,",ISNUMBER(SEARCH(","&amp;'State Search'!$C$5&amp;",",X558)))),W558,"")</f>
        <v/>
      </c>
    </row>
    <row r="559">
      <c r="A559" s="64" t="n"/>
      <c r="B559" s="65" t="n"/>
      <c r="C559" s="64" t="n"/>
      <c r="D559" s="66" t="n"/>
      <c r="E559" s="66" t="n"/>
      <c r="F559" s="67" t="n"/>
      <c r="G559" s="67" t="n"/>
      <c r="H559" s="67" t="n"/>
      <c r="I559" s="67" t="n"/>
      <c r="J559" s="67" t="n"/>
      <c r="K559" s="67" t="n"/>
      <c r="L559" s="67" t="n"/>
      <c r="M559" s="67" t="n"/>
      <c r="N559" s="65" t="n"/>
      <c r="O559" s="84">
        <f>IF(A559="","",IF(E559="","No date",IF(TODAY()&gt;=EDATE(E559,Review_Months),"Review Due","Current")))</f>
        <v/>
      </c>
      <c r="P559" s="84">
        <f>IF(A559="","",IF(COUNTIFS('AFA Rates'!$A$5:$A$1004,A559,'AFA Rates'!$O$5:$O$1004,"&lt;&gt;Expired")&gt;0,"Yes",IF(COUNTIF('AFA Rates'!$A$5:$A$1004,A559)&gt;0,"Expired only","No")))</f>
        <v/>
      </c>
      <c r="Q559" s="84">
        <f>IF(A559="","",COUNTIFS('AFA Rates'!$A$5:$A$1004,A559,'AFA Rates'!$O$5:$O$1004,"&lt;&gt;Expired"))</f>
        <v/>
      </c>
      <c r="R559" s="66" t="n"/>
      <c r="S559" s="64" t="n"/>
      <c r="T559" s="64" t="n"/>
      <c r="U559">
        <f>IF(AND(A559&lt;&gt;"",B559="Paused"),COUNTIFS($A$5:A559,"&lt;&gt;",$B$5:B559,"Paused"),"")</f>
        <v/>
      </c>
      <c r="V559">
        <f>IF(P559="Yes",COUNTIF($P$5:P559,"Yes"),"")</f>
        <v/>
      </c>
      <c r="W559">
        <f>IF(A559="","",COUNTIF($A$5:$A$1004,"&lt;"&amp;A559)+COUNTIF($A$5:A559,A559))</f>
        <v/>
      </c>
      <c r="X559">
        <f>","&amp;SUBSTITUTE(SUBSTITUTE(SUBSTITUTE(UPPER(C559)," ",""),";",","),"/",",")&amp;","</f>
        <v/>
      </c>
      <c r="Y559">
        <f>IF(AND(A559&lt;&gt;"",B559="Active",'State Search'!$C$5&lt;&gt;"",OR(X559=",ALL,",ISNUMBER(SEARCH(","&amp;'State Search'!$C$5&amp;",",X559)))),W559,"")</f>
        <v/>
      </c>
    </row>
    <row r="560">
      <c r="A560" s="64" t="n"/>
      <c r="B560" s="65" t="n"/>
      <c r="C560" s="64" t="n"/>
      <c r="D560" s="66" t="n"/>
      <c r="E560" s="66" t="n"/>
      <c r="F560" s="67" t="n"/>
      <c r="G560" s="67" t="n"/>
      <c r="H560" s="67" t="n"/>
      <c r="I560" s="67" t="n"/>
      <c r="J560" s="67" t="n"/>
      <c r="K560" s="67" t="n"/>
      <c r="L560" s="67" t="n"/>
      <c r="M560" s="67" t="n"/>
      <c r="N560" s="65" t="n"/>
      <c r="O560" s="84">
        <f>IF(A560="","",IF(E560="","No date",IF(TODAY()&gt;=EDATE(E560,Review_Months),"Review Due","Current")))</f>
        <v/>
      </c>
      <c r="P560" s="84">
        <f>IF(A560="","",IF(COUNTIFS('AFA Rates'!$A$5:$A$1004,A560,'AFA Rates'!$O$5:$O$1004,"&lt;&gt;Expired")&gt;0,"Yes",IF(COUNTIF('AFA Rates'!$A$5:$A$1004,A560)&gt;0,"Expired only","No")))</f>
        <v/>
      </c>
      <c r="Q560" s="84">
        <f>IF(A560="","",COUNTIFS('AFA Rates'!$A$5:$A$1004,A560,'AFA Rates'!$O$5:$O$1004,"&lt;&gt;Expired"))</f>
        <v/>
      </c>
      <c r="R560" s="66" t="n"/>
      <c r="S560" s="64" t="n"/>
      <c r="T560" s="64" t="n"/>
      <c r="U560">
        <f>IF(AND(A560&lt;&gt;"",B560="Paused"),COUNTIFS($A$5:A560,"&lt;&gt;",$B$5:B560,"Paused"),"")</f>
        <v/>
      </c>
      <c r="V560">
        <f>IF(P560="Yes",COUNTIF($P$5:P560,"Yes"),"")</f>
        <v/>
      </c>
      <c r="W560">
        <f>IF(A560="","",COUNTIF($A$5:$A$1004,"&lt;"&amp;A560)+COUNTIF($A$5:A560,A560))</f>
        <v/>
      </c>
      <c r="X560">
        <f>","&amp;SUBSTITUTE(SUBSTITUTE(SUBSTITUTE(UPPER(C560)," ",""),";",","),"/",",")&amp;","</f>
        <v/>
      </c>
      <c r="Y560">
        <f>IF(AND(A560&lt;&gt;"",B560="Active",'State Search'!$C$5&lt;&gt;"",OR(X560=",ALL,",ISNUMBER(SEARCH(","&amp;'State Search'!$C$5&amp;",",X560)))),W560,"")</f>
        <v/>
      </c>
    </row>
    <row r="561">
      <c r="A561" s="64" t="n"/>
      <c r="B561" s="65" t="n"/>
      <c r="C561" s="64" t="n"/>
      <c r="D561" s="66" t="n"/>
      <c r="E561" s="66" t="n"/>
      <c r="F561" s="67" t="n"/>
      <c r="G561" s="67" t="n"/>
      <c r="H561" s="67" t="n"/>
      <c r="I561" s="67" t="n"/>
      <c r="J561" s="67" t="n"/>
      <c r="K561" s="67" t="n"/>
      <c r="L561" s="67" t="n"/>
      <c r="M561" s="67" t="n"/>
      <c r="N561" s="65" t="n"/>
      <c r="O561" s="84">
        <f>IF(A561="","",IF(E561="","No date",IF(TODAY()&gt;=EDATE(E561,Review_Months),"Review Due","Current")))</f>
        <v/>
      </c>
      <c r="P561" s="84">
        <f>IF(A561="","",IF(COUNTIFS('AFA Rates'!$A$5:$A$1004,A561,'AFA Rates'!$O$5:$O$1004,"&lt;&gt;Expired")&gt;0,"Yes",IF(COUNTIF('AFA Rates'!$A$5:$A$1004,A561)&gt;0,"Expired only","No")))</f>
        <v/>
      </c>
      <c r="Q561" s="84">
        <f>IF(A561="","",COUNTIFS('AFA Rates'!$A$5:$A$1004,A561,'AFA Rates'!$O$5:$O$1004,"&lt;&gt;Expired"))</f>
        <v/>
      </c>
      <c r="R561" s="66" t="n"/>
      <c r="S561" s="64" t="n"/>
      <c r="T561" s="64" t="n"/>
      <c r="U561">
        <f>IF(AND(A561&lt;&gt;"",B561="Paused"),COUNTIFS($A$5:A561,"&lt;&gt;",$B$5:B561,"Paused"),"")</f>
        <v/>
      </c>
      <c r="V561">
        <f>IF(P561="Yes",COUNTIF($P$5:P561,"Yes"),"")</f>
        <v/>
      </c>
      <c r="W561">
        <f>IF(A561="","",COUNTIF($A$5:$A$1004,"&lt;"&amp;A561)+COUNTIF($A$5:A561,A561))</f>
        <v/>
      </c>
      <c r="X561">
        <f>","&amp;SUBSTITUTE(SUBSTITUTE(SUBSTITUTE(UPPER(C561)," ",""),";",","),"/",",")&amp;","</f>
        <v/>
      </c>
      <c r="Y561">
        <f>IF(AND(A561&lt;&gt;"",B561="Active",'State Search'!$C$5&lt;&gt;"",OR(X561=",ALL,",ISNUMBER(SEARCH(","&amp;'State Search'!$C$5&amp;",",X561)))),W561,"")</f>
        <v/>
      </c>
    </row>
    <row r="562">
      <c r="A562" s="64" t="n"/>
      <c r="B562" s="65" t="n"/>
      <c r="C562" s="64" t="n"/>
      <c r="D562" s="66" t="n"/>
      <c r="E562" s="66" t="n"/>
      <c r="F562" s="67" t="n"/>
      <c r="G562" s="67" t="n"/>
      <c r="H562" s="67" t="n"/>
      <c r="I562" s="67" t="n"/>
      <c r="J562" s="67" t="n"/>
      <c r="K562" s="67" t="n"/>
      <c r="L562" s="67" t="n"/>
      <c r="M562" s="67" t="n"/>
      <c r="N562" s="65" t="n"/>
      <c r="O562" s="84">
        <f>IF(A562="","",IF(E562="","No date",IF(TODAY()&gt;=EDATE(E562,Review_Months),"Review Due","Current")))</f>
        <v/>
      </c>
      <c r="P562" s="84">
        <f>IF(A562="","",IF(COUNTIFS('AFA Rates'!$A$5:$A$1004,A562,'AFA Rates'!$O$5:$O$1004,"&lt;&gt;Expired")&gt;0,"Yes",IF(COUNTIF('AFA Rates'!$A$5:$A$1004,A562)&gt;0,"Expired only","No")))</f>
        <v/>
      </c>
      <c r="Q562" s="84">
        <f>IF(A562="","",COUNTIFS('AFA Rates'!$A$5:$A$1004,A562,'AFA Rates'!$O$5:$O$1004,"&lt;&gt;Expired"))</f>
        <v/>
      </c>
      <c r="R562" s="66" t="n"/>
      <c r="S562" s="64" t="n"/>
      <c r="T562" s="64" t="n"/>
      <c r="U562">
        <f>IF(AND(A562&lt;&gt;"",B562="Paused"),COUNTIFS($A$5:A562,"&lt;&gt;",$B$5:B562,"Paused"),"")</f>
        <v/>
      </c>
      <c r="V562">
        <f>IF(P562="Yes",COUNTIF($P$5:P562,"Yes"),"")</f>
        <v/>
      </c>
      <c r="W562">
        <f>IF(A562="","",COUNTIF($A$5:$A$1004,"&lt;"&amp;A562)+COUNTIF($A$5:A562,A562))</f>
        <v/>
      </c>
      <c r="X562">
        <f>","&amp;SUBSTITUTE(SUBSTITUTE(SUBSTITUTE(UPPER(C562)," ",""),";",","),"/",",")&amp;","</f>
        <v/>
      </c>
      <c r="Y562">
        <f>IF(AND(A562&lt;&gt;"",B562="Active",'State Search'!$C$5&lt;&gt;"",OR(X562=",ALL,",ISNUMBER(SEARCH(","&amp;'State Search'!$C$5&amp;",",X562)))),W562,"")</f>
        <v/>
      </c>
    </row>
    <row r="563">
      <c r="A563" s="64" t="n"/>
      <c r="B563" s="65" t="n"/>
      <c r="C563" s="64" t="n"/>
      <c r="D563" s="66" t="n"/>
      <c r="E563" s="66" t="n"/>
      <c r="F563" s="67" t="n"/>
      <c r="G563" s="67" t="n"/>
      <c r="H563" s="67" t="n"/>
      <c r="I563" s="67" t="n"/>
      <c r="J563" s="67" t="n"/>
      <c r="K563" s="67" t="n"/>
      <c r="L563" s="67" t="n"/>
      <c r="M563" s="67" t="n"/>
      <c r="N563" s="65" t="n"/>
      <c r="O563" s="84">
        <f>IF(A563="","",IF(E563="","No date",IF(TODAY()&gt;=EDATE(E563,Review_Months),"Review Due","Current")))</f>
        <v/>
      </c>
      <c r="P563" s="84">
        <f>IF(A563="","",IF(COUNTIFS('AFA Rates'!$A$5:$A$1004,A563,'AFA Rates'!$O$5:$O$1004,"&lt;&gt;Expired")&gt;0,"Yes",IF(COUNTIF('AFA Rates'!$A$5:$A$1004,A563)&gt;0,"Expired only","No")))</f>
        <v/>
      </c>
      <c r="Q563" s="84">
        <f>IF(A563="","",COUNTIFS('AFA Rates'!$A$5:$A$1004,A563,'AFA Rates'!$O$5:$O$1004,"&lt;&gt;Expired"))</f>
        <v/>
      </c>
      <c r="R563" s="66" t="n"/>
      <c r="S563" s="64" t="n"/>
      <c r="T563" s="64" t="n"/>
      <c r="U563">
        <f>IF(AND(A563&lt;&gt;"",B563="Paused"),COUNTIFS($A$5:A563,"&lt;&gt;",$B$5:B563,"Paused"),"")</f>
        <v/>
      </c>
      <c r="V563">
        <f>IF(P563="Yes",COUNTIF($P$5:P563,"Yes"),"")</f>
        <v/>
      </c>
      <c r="W563">
        <f>IF(A563="","",COUNTIF($A$5:$A$1004,"&lt;"&amp;A563)+COUNTIF($A$5:A563,A563))</f>
        <v/>
      </c>
      <c r="X563">
        <f>","&amp;SUBSTITUTE(SUBSTITUTE(SUBSTITUTE(UPPER(C563)," ",""),";",","),"/",",")&amp;","</f>
        <v/>
      </c>
      <c r="Y563">
        <f>IF(AND(A563&lt;&gt;"",B563="Active",'State Search'!$C$5&lt;&gt;"",OR(X563=",ALL,",ISNUMBER(SEARCH(","&amp;'State Search'!$C$5&amp;",",X563)))),W563,"")</f>
        <v/>
      </c>
    </row>
    <row r="564">
      <c r="A564" s="64" t="n"/>
      <c r="B564" s="65" t="n"/>
      <c r="C564" s="64" t="n"/>
      <c r="D564" s="66" t="n"/>
      <c r="E564" s="66" t="n"/>
      <c r="F564" s="67" t="n"/>
      <c r="G564" s="67" t="n"/>
      <c r="H564" s="67" t="n"/>
      <c r="I564" s="67" t="n"/>
      <c r="J564" s="67" t="n"/>
      <c r="K564" s="67" t="n"/>
      <c r="L564" s="67" t="n"/>
      <c r="M564" s="67" t="n"/>
      <c r="N564" s="65" t="n"/>
      <c r="O564" s="84">
        <f>IF(A564="","",IF(E564="","No date",IF(TODAY()&gt;=EDATE(E564,Review_Months),"Review Due","Current")))</f>
        <v/>
      </c>
      <c r="P564" s="84">
        <f>IF(A564="","",IF(COUNTIFS('AFA Rates'!$A$5:$A$1004,A564,'AFA Rates'!$O$5:$O$1004,"&lt;&gt;Expired")&gt;0,"Yes",IF(COUNTIF('AFA Rates'!$A$5:$A$1004,A564)&gt;0,"Expired only","No")))</f>
        <v/>
      </c>
      <c r="Q564" s="84">
        <f>IF(A564="","",COUNTIFS('AFA Rates'!$A$5:$A$1004,A564,'AFA Rates'!$O$5:$O$1004,"&lt;&gt;Expired"))</f>
        <v/>
      </c>
      <c r="R564" s="66" t="n"/>
      <c r="S564" s="64" t="n"/>
      <c r="T564" s="64" t="n"/>
      <c r="U564">
        <f>IF(AND(A564&lt;&gt;"",B564="Paused"),COUNTIFS($A$5:A564,"&lt;&gt;",$B$5:B564,"Paused"),"")</f>
        <v/>
      </c>
      <c r="V564">
        <f>IF(P564="Yes",COUNTIF($P$5:P564,"Yes"),"")</f>
        <v/>
      </c>
      <c r="W564">
        <f>IF(A564="","",COUNTIF($A$5:$A$1004,"&lt;"&amp;A564)+COUNTIF($A$5:A564,A564))</f>
        <v/>
      </c>
      <c r="X564">
        <f>","&amp;SUBSTITUTE(SUBSTITUTE(SUBSTITUTE(UPPER(C564)," ",""),";",","),"/",",")&amp;","</f>
        <v/>
      </c>
      <c r="Y564">
        <f>IF(AND(A564&lt;&gt;"",B564="Active",'State Search'!$C$5&lt;&gt;"",OR(X564=",ALL,",ISNUMBER(SEARCH(","&amp;'State Search'!$C$5&amp;",",X564)))),W564,"")</f>
        <v/>
      </c>
    </row>
    <row r="565">
      <c r="A565" s="64" t="n"/>
      <c r="B565" s="65" t="n"/>
      <c r="C565" s="64" t="n"/>
      <c r="D565" s="66" t="n"/>
      <c r="E565" s="66" t="n"/>
      <c r="F565" s="67" t="n"/>
      <c r="G565" s="67" t="n"/>
      <c r="H565" s="67" t="n"/>
      <c r="I565" s="67" t="n"/>
      <c r="J565" s="67" t="n"/>
      <c r="K565" s="67" t="n"/>
      <c r="L565" s="67" t="n"/>
      <c r="M565" s="67" t="n"/>
      <c r="N565" s="65" t="n"/>
      <c r="O565" s="84">
        <f>IF(A565="","",IF(E565="","No date",IF(TODAY()&gt;=EDATE(E565,Review_Months),"Review Due","Current")))</f>
        <v/>
      </c>
      <c r="P565" s="84">
        <f>IF(A565="","",IF(COUNTIFS('AFA Rates'!$A$5:$A$1004,A565,'AFA Rates'!$O$5:$O$1004,"&lt;&gt;Expired")&gt;0,"Yes",IF(COUNTIF('AFA Rates'!$A$5:$A$1004,A565)&gt;0,"Expired only","No")))</f>
        <v/>
      </c>
      <c r="Q565" s="84">
        <f>IF(A565="","",COUNTIFS('AFA Rates'!$A$5:$A$1004,A565,'AFA Rates'!$O$5:$O$1004,"&lt;&gt;Expired"))</f>
        <v/>
      </c>
      <c r="R565" s="66" t="n"/>
      <c r="S565" s="64" t="n"/>
      <c r="T565" s="64" t="n"/>
      <c r="U565">
        <f>IF(AND(A565&lt;&gt;"",B565="Paused"),COUNTIFS($A$5:A565,"&lt;&gt;",$B$5:B565,"Paused"),"")</f>
        <v/>
      </c>
      <c r="V565">
        <f>IF(P565="Yes",COUNTIF($P$5:P565,"Yes"),"")</f>
        <v/>
      </c>
      <c r="W565">
        <f>IF(A565="","",COUNTIF($A$5:$A$1004,"&lt;"&amp;A565)+COUNTIF($A$5:A565,A565))</f>
        <v/>
      </c>
      <c r="X565">
        <f>","&amp;SUBSTITUTE(SUBSTITUTE(SUBSTITUTE(UPPER(C565)," ",""),";",","),"/",",")&amp;","</f>
        <v/>
      </c>
      <c r="Y565">
        <f>IF(AND(A565&lt;&gt;"",B565="Active",'State Search'!$C$5&lt;&gt;"",OR(X565=",ALL,",ISNUMBER(SEARCH(","&amp;'State Search'!$C$5&amp;",",X565)))),W565,"")</f>
        <v/>
      </c>
    </row>
    <row r="566">
      <c r="A566" s="64" t="n"/>
      <c r="B566" s="65" t="n"/>
      <c r="C566" s="64" t="n"/>
      <c r="D566" s="66" t="n"/>
      <c r="E566" s="66" t="n"/>
      <c r="F566" s="67" t="n"/>
      <c r="G566" s="67" t="n"/>
      <c r="H566" s="67" t="n"/>
      <c r="I566" s="67" t="n"/>
      <c r="J566" s="67" t="n"/>
      <c r="K566" s="67" t="n"/>
      <c r="L566" s="67" t="n"/>
      <c r="M566" s="67" t="n"/>
      <c r="N566" s="65" t="n"/>
      <c r="O566" s="84">
        <f>IF(A566="","",IF(E566="","No date",IF(TODAY()&gt;=EDATE(E566,Review_Months),"Review Due","Current")))</f>
        <v/>
      </c>
      <c r="P566" s="84">
        <f>IF(A566="","",IF(COUNTIFS('AFA Rates'!$A$5:$A$1004,A566,'AFA Rates'!$O$5:$O$1004,"&lt;&gt;Expired")&gt;0,"Yes",IF(COUNTIF('AFA Rates'!$A$5:$A$1004,A566)&gt;0,"Expired only","No")))</f>
        <v/>
      </c>
      <c r="Q566" s="84">
        <f>IF(A566="","",COUNTIFS('AFA Rates'!$A$5:$A$1004,A566,'AFA Rates'!$O$5:$O$1004,"&lt;&gt;Expired"))</f>
        <v/>
      </c>
      <c r="R566" s="66" t="n"/>
      <c r="S566" s="64" t="n"/>
      <c r="T566" s="64" t="n"/>
      <c r="U566">
        <f>IF(AND(A566&lt;&gt;"",B566="Paused"),COUNTIFS($A$5:A566,"&lt;&gt;",$B$5:B566,"Paused"),"")</f>
        <v/>
      </c>
      <c r="V566">
        <f>IF(P566="Yes",COUNTIF($P$5:P566,"Yes"),"")</f>
        <v/>
      </c>
      <c r="W566">
        <f>IF(A566="","",COUNTIF($A$5:$A$1004,"&lt;"&amp;A566)+COUNTIF($A$5:A566,A566))</f>
        <v/>
      </c>
      <c r="X566">
        <f>","&amp;SUBSTITUTE(SUBSTITUTE(SUBSTITUTE(UPPER(C566)," ",""),";",","),"/",",")&amp;","</f>
        <v/>
      </c>
      <c r="Y566">
        <f>IF(AND(A566&lt;&gt;"",B566="Active",'State Search'!$C$5&lt;&gt;"",OR(X566=",ALL,",ISNUMBER(SEARCH(","&amp;'State Search'!$C$5&amp;",",X566)))),W566,"")</f>
        <v/>
      </c>
    </row>
    <row r="567">
      <c r="A567" s="64" t="n"/>
      <c r="B567" s="65" t="n"/>
      <c r="C567" s="64" t="n"/>
      <c r="D567" s="66" t="n"/>
      <c r="E567" s="66" t="n"/>
      <c r="F567" s="67" t="n"/>
      <c r="G567" s="67" t="n"/>
      <c r="H567" s="67" t="n"/>
      <c r="I567" s="67" t="n"/>
      <c r="J567" s="67" t="n"/>
      <c r="K567" s="67" t="n"/>
      <c r="L567" s="67" t="n"/>
      <c r="M567" s="67" t="n"/>
      <c r="N567" s="65" t="n"/>
      <c r="O567" s="84">
        <f>IF(A567="","",IF(E567="","No date",IF(TODAY()&gt;=EDATE(E567,Review_Months),"Review Due","Current")))</f>
        <v/>
      </c>
      <c r="P567" s="84">
        <f>IF(A567="","",IF(COUNTIFS('AFA Rates'!$A$5:$A$1004,A567,'AFA Rates'!$O$5:$O$1004,"&lt;&gt;Expired")&gt;0,"Yes",IF(COUNTIF('AFA Rates'!$A$5:$A$1004,A567)&gt;0,"Expired only","No")))</f>
        <v/>
      </c>
      <c r="Q567" s="84">
        <f>IF(A567="","",COUNTIFS('AFA Rates'!$A$5:$A$1004,A567,'AFA Rates'!$O$5:$O$1004,"&lt;&gt;Expired"))</f>
        <v/>
      </c>
      <c r="R567" s="66" t="n"/>
      <c r="S567" s="64" t="n"/>
      <c r="T567" s="64" t="n"/>
      <c r="U567">
        <f>IF(AND(A567&lt;&gt;"",B567="Paused"),COUNTIFS($A$5:A567,"&lt;&gt;",$B$5:B567,"Paused"),"")</f>
        <v/>
      </c>
      <c r="V567">
        <f>IF(P567="Yes",COUNTIF($P$5:P567,"Yes"),"")</f>
        <v/>
      </c>
      <c r="W567">
        <f>IF(A567="","",COUNTIF($A$5:$A$1004,"&lt;"&amp;A567)+COUNTIF($A$5:A567,A567))</f>
        <v/>
      </c>
      <c r="X567">
        <f>","&amp;SUBSTITUTE(SUBSTITUTE(SUBSTITUTE(UPPER(C567)," ",""),";",","),"/",",")&amp;","</f>
        <v/>
      </c>
      <c r="Y567">
        <f>IF(AND(A567&lt;&gt;"",B567="Active",'State Search'!$C$5&lt;&gt;"",OR(X567=",ALL,",ISNUMBER(SEARCH(","&amp;'State Search'!$C$5&amp;",",X567)))),W567,"")</f>
        <v/>
      </c>
    </row>
    <row r="568">
      <c r="A568" s="64" t="n"/>
      <c r="B568" s="65" t="n"/>
      <c r="C568" s="64" t="n"/>
      <c r="D568" s="66" t="n"/>
      <c r="E568" s="66" t="n"/>
      <c r="F568" s="67" t="n"/>
      <c r="G568" s="67" t="n"/>
      <c r="H568" s="67" t="n"/>
      <c r="I568" s="67" t="n"/>
      <c r="J568" s="67" t="n"/>
      <c r="K568" s="67" t="n"/>
      <c r="L568" s="67" t="n"/>
      <c r="M568" s="67" t="n"/>
      <c r="N568" s="65" t="n"/>
      <c r="O568" s="84">
        <f>IF(A568="","",IF(E568="","No date",IF(TODAY()&gt;=EDATE(E568,Review_Months),"Review Due","Current")))</f>
        <v/>
      </c>
      <c r="P568" s="84">
        <f>IF(A568="","",IF(COUNTIFS('AFA Rates'!$A$5:$A$1004,A568,'AFA Rates'!$O$5:$O$1004,"&lt;&gt;Expired")&gt;0,"Yes",IF(COUNTIF('AFA Rates'!$A$5:$A$1004,A568)&gt;0,"Expired only","No")))</f>
        <v/>
      </c>
      <c r="Q568" s="84">
        <f>IF(A568="","",COUNTIFS('AFA Rates'!$A$5:$A$1004,A568,'AFA Rates'!$O$5:$O$1004,"&lt;&gt;Expired"))</f>
        <v/>
      </c>
      <c r="R568" s="66" t="n"/>
      <c r="S568" s="64" t="n"/>
      <c r="T568" s="64" t="n"/>
      <c r="U568">
        <f>IF(AND(A568&lt;&gt;"",B568="Paused"),COUNTIFS($A$5:A568,"&lt;&gt;",$B$5:B568,"Paused"),"")</f>
        <v/>
      </c>
      <c r="V568">
        <f>IF(P568="Yes",COUNTIF($P$5:P568,"Yes"),"")</f>
        <v/>
      </c>
      <c r="W568">
        <f>IF(A568="","",COUNTIF($A$5:$A$1004,"&lt;"&amp;A568)+COUNTIF($A$5:A568,A568))</f>
        <v/>
      </c>
      <c r="X568">
        <f>","&amp;SUBSTITUTE(SUBSTITUTE(SUBSTITUTE(UPPER(C568)," ",""),";",","),"/",",")&amp;","</f>
        <v/>
      </c>
      <c r="Y568">
        <f>IF(AND(A568&lt;&gt;"",B568="Active",'State Search'!$C$5&lt;&gt;"",OR(X568=",ALL,",ISNUMBER(SEARCH(","&amp;'State Search'!$C$5&amp;",",X568)))),W568,"")</f>
        <v/>
      </c>
    </row>
    <row r="569">
      <c r="A569" s="64" t="n"/>
      <c r="B569" s="65" t="n"/>
      <c r="C569" s="64" t="n"/>
      <c r="D569" s="66" t="n"/>
      <c r="E569" s="66" t="n"/>
      <c r="F569" s="67" t="n"/>
      <c r="G569" s="67" t="n"/>
      <c r="H569" s="67" t="n"/>
      <c r="I569" s="67" t="n"/>
      <c r="J569" s="67" t="n"/>
      <c r="K569" s="67" t="n"/>
      <c r="L569" s="67" t="n"/>
      <c r="M569" s="67" t="n"/>
      <c r="N569" s="65" t="n"/>
      <c r="O569" s="84">
        <f>IF(A569="","",IF(E569="","No date",IF(TODAY()&gt;=EDATE(E569,Review_Months),"Review Due","Current")))</f>
        <v/>
      </c>
      <c r="P569" s="84">
        <f>IF(A569="","",IF(COUNTIFS('AFA Rates'!$A$5:$A$1004,A569,'AFA Rates'!$O$5:$O$1004,"&lt;&gt;Expired")&gt;0,"Yes",IF(COUNTIF('AFA Rates'!$A$5:$A$1004,A569)&gt;0,"Expired only","No")))</f>
        <v/>
      </c>
      <c r="Q569" s="84">
        <f>IF(A569="","",COUNTIFS('AFA Rates'!$A$5:$A$1004,A569,'AFA Rates'!$O$5:$O$1004,"&lt;&gt;Expired"))</f>
        <v/>
      </c>
      <c r="R569" s="66" t="n"/>
      <c r="S569" s="64" t="n"/>
      <c r="T569" s="64" t="n"/>
      <c r="U569">
        <f>IF(AND(A569&lt;&gt;"",B569="Paused"),COUNTIFS($A$5:A569,"&lt;&gt;",$B$5:B569,"Paused"),"")</f>
        <v/>
      </c>
      <c r="V569">
        <f>IF(P569="Yes",COUNTIF($P$5:P569,"Yes"),"")</f>
        <v/>
      </c>
      <c r="W569">
        <f>IF(A569="","",COUNTIF($A$5:$A$1004,"&lt;"&amp;A569)+COUNTIF($A$5:A569,A569))</f>
        <v/>
      </c>
      <c r="X569">
        <f>","&amp;SUBSTITUTE(SUBSTITUTE(SUBSTITUTE(UPPER(C569)," ",""),";",","),"/",",")&amp;","</f>
        <v/>
      </c>
      <c r="Y569">
        <f>IF(AND(A569&lt;&gt;"",B569="Active",'State Search'!$C$5&lt;&gt;"",OR(X569=",ALL,",ISNUMBER(SEARCH(","&amp;'State Search'!$C$5&amp;",",X569)))),W569,"")</f>
        <v/>
      </c>
    </row>
    <row r="570">
      <c r="A570" s="64" t="n"/>
      <c r="B570" s="65" t="n"/>
      <c r="C570" s="64" t="n"/>
      <c r="D570" s="66" t="n"/>
      <c r="E570" s="66" t="n"/>
      <c r="F570" s="67" t="n"/>
      <c r="G570" s="67" t="n"/>
      <c r="H570" s="67" t="n"/>
      <c r="I570" s="67" t="n"/>
      <c r="J570" s="67" t="n"/>
      <c r="K570" s="67" t="n"/>
      <c r="L570" s="67" t="n"/>
      <c r="M570" s="67" t="n"/>
      <c r="N570" s="65" t="n"/>
      <c r="O570" s="84">
        <f>IF(A570="","",IF(E570="","No date",IF(TODAY()&gt;=EDATE(E570,Review_Months),"Review Due","Current")))</f>
        <v/>
      </c>
      <c r="P570" s="84">
        <f>IF(A570="","",IF(COUNTIFS('AFA Rates'!$A$5:$A$1004,A570,'AFA Rates'!$O$5:$O$1004,"&lt;&gt;Expired")&gt;0,"Yes",IF(COUNTIF('AFA Rates'!$A$5:$A$1004,A570)&gt;0,"Expired only","No")))</f>
        <v/>
      </c>
      <c r="Q570" s="84">
        <f>IF(A570="","",COUNTIFS('AFA Rates'!$A$5:$A$1004,A570,'AFA Rates'!$O$5:$O$1004,"&lt;&gt;Expired"))</f>
        <v/>
      </c>
      <c r="R570" s="66" t="n"/>
      <c r="S570" s="64" t="n"/>
      <c r="T570" s="64" t="n"/>
      <c r="U570">
        <f>IF(AND(A570&lt;&gt;"",B570="Paused"),COUNTIFS($A$5:A570,"&lt;&gt;",$B$5:B570,"Paused"),"")</f>
        <v/>
      </c>
      <c r="V570">
        <f>IF(P570="Yes",COUNTIF($P$5:P570,"Yes"),"")</f>
        <v/>
      </c>
      <c r="W570">
        <f>IF(A570="","",COUNTIF($A$5:$A$1004,"&lt;"&amp;A570)+COUNTIF($A$5:A570,A570))</f>
        <v/>
      </c>
      <c r="X570">
        <f>","&amp;SUBSTITUTE(SUBSTITUTE(SUBSTITUTE(UPPER(C570)," ",""),";",","),"/",",")&amp;","</f>
        <v/>
      </c>
      <c r="Y570">
        <f>IF(AND(A570&lt;&gt;"",B570="Active",'State Search'!$C$5&lt;&gt;"",OR(X570=",ALL,",ISNUMBER(SEARCH(","&amp;'State Search'!$C$5&amp;",",X570)))),W570,"")</f>
        <v/>
      </c>
    </row>
    <row r="571">
      <c r="A571" s="64" t="n"/>
      <c r="B571" s="65" t="n"/>
      <c r="C571" s="64" t="n"/>
      <c r="D571" s="66" t="n"/>
      <c r="E571" s="66" t="n"/>
      <c r="F571" s="67" t="n"/>
      <c r="G571" s="67" t="n"/>
      <c r="H571" s="67" t="n"/>
      <c r="I571" s="67" t="n"/>
      <c r="J571" s="67" t="n"/>
      <c r="K571" s="67" t="n"/>
      <c r="L571" s="67" t="n"/>
      <c r="M571" s="67" t="n"/>
      <c r="N571" s="65" t="n"/>
      <c r="O571" s="84">
        <f>IF(A571="","",IF(E571="","No date",IF(TODAY()&gt;=EDATE(E571,Review_Months),"Review Due","Current")))</f>
        <v/>
      </c>
      <c r="P571" s="84">
        <f>IF(A571="","",IF(COUNTIFS('AFA Rates'!$A$5:$A$1004,A571,'AFA Rates'!$O$5:$O$1004,"&lt;&gt;Expired")&gt;0,"Yes",IF(COUNTIF('AFA Rates'!$A$5:$A$1004,A571)&gt;0,"Expired only","No")))</f>
        <v/>
      </c>
      <c r="Q571" s="84">
        <f>IF(A571="","",COUNTIFS('AFA Rates'!$A$5:$A$1004,A571,'AFA Rates'!$O$5:$O$1004,"&lt;&gt;Expired"))</f>
        <v/>
      </c>
      <c r="R571" s="66" t="n"/>
      <c r="S571" s="64" t="n"/>
      <c r="T571" s="64" t="n"/>
      <c r="U571">
        <f>IF(AND(A571&lt;&gt;"",B571="Paused"),COUNTIFS($A$5:A571,"&lt;&gt;",$B$5:B571,"Paused"),"")</f>
        <v/>
      </c>
      <c r="V571">
        <f>IF(P571="Yes",COUNTIF($P$5:P571,"Yes"),"")</f>
        <v/>
      </c>
      <c r="W571">
        <f>IF(A571="","",COUNTIF($A$5:$A$1004,"&lt;"&amp;A571)+COUNTIF($A$5:A571,A571))</f>
        <v/>
      </c>
      <c r="X571">
        <f>","&amp;SUBSTITUTE(SUBSTITUTE(SUBSTITUTE(UPPER(C571)," ",""),";",","),"/",",")&amp;","</f>
        <v/>
      </c>
      <c r="Y571">
        <f>IF(AND(A571&lt;&gt;"",B571="Active",'State Search'!$C$5&lt;&gt;"",OR(X571=",ALL,",ISNUMBER(SEARCH(","&amp;'State Search'!$C$5&amp;",",X571)))),W571,"")</f>
        <v/>
      </c>
    </row>
    <row r="572">
      <c r="A572" s="64" t="n"/>
      <c r="B572" s="65" t="n"/>
      <c r="C572" s="64" t="n"/>
      <c r="D572" s="66" t="n"/>
      <c r="E572" s="66" t="n"/>
      <c r="F572" s="67" t="n"/>
      <c r="G572" s="67" t="n"/>
      <c r="H572" s="67" t="n"/>
      <c r="I572" s="67" t="n"/>
      <c r="J572" s="67" t="n"/>
      <c r="K572" s="67" t="n"/>
      <c r="L572" s="67" t="n"/>
      <c r="M572" s="67" t="n"/>
      <c r="N572" s="65" t="n"/>
      <c r="O572" s="84">
        <f>IF(A572="","",IF(E572="","No date",IF(TODAY()&gt;=EDATE(E572,Review_Months),"Review Due","Current")))</f>
        <v/>
      </c>
      <c r="P572" s="84">
        <f>IF(A572="","",IF(COUNTIFS('AFA Rates'!$A$5:$A$1004,A572,'AFA Rates'!$O$5:$O$1004,"&lt;&gt;Expired")&gt;0,"Yes",IF(COUNTIF('AFA Rates'!$A$5:$A$1004,A572)&gt;0,"Expired only","No")))</f>
        <v/>
      </c>
      <c r="Q572" s="84">
        <f>IF(A572="","",COUNTIFS('AFA Rates'!$A$5:$A$1004,A572,'AFA Rates'!$O$5:$O$1004,"&lt;&gt;Expired"))</f>
        <v/>
      </c>
      <c r="R572" s="66" t="n"/>
      <c r="S572" s="64" t="n"/>
      <c r="T572" s="64" t="n"/>
      <c r="U572">
        <f>IF(AND(A572&lt;&gt;"",B572="Paused"),COUNTIFS($A$5:A572,"&lt;&gt;",$B$5:B572,"Paused"),"")</f>
        <v/>
      </c>
      <c r="V572">
        <f>IF(P572="Yes",COUNTIF($P$5:P572,"Yes"),"")</f>
        <v/>
      </c>
      <c r="W572">
        <f>IF(A572="","",COUNTIF($A$5:$A$1004,"&lt;"&amp;A572)+COUNTIF($A$5:A572,A572))</f>
        <v/>
      </c>
      <c r="X572">
        <f>","&amp;SUBSTITUTE(SUBSTITUTE(SUBSTITUTE(UPPER(C572)," ",""),";",","),"/",",")&amp;","</f>
        <v/>
      </c>
      <c r="Y572">
        <f>IF(AND(A572&lt;&gt;"",B572="Active",'State Search'!$C$5&lt;&gt;"",OR(X572=",ALL,",ISNUMBER(SEARCH(","&amp;'State Search'!$C$5&amp;",",X572)))),W572,"")</f>
        <v/>
      </c>
    </row>
    <row r="573">
      <c r="A573" s="64" t="n"/>
      <c r="B573" s="65" t="n"/>
      <c r="C573" s="64" t="n"/>
      <c r="D573" s="66" t="n"/>
      <c r="E573" s="66" t="n"/>
      <c r="F573" s="67" t="n"/>
      <c r="G573" s="67" t="n"/>
      <c r="H573" s="67" t="n"/>
      <c r="I573" s="67" t="n"/>
      <c r="J573" s="67" t="n"/>
      <c r="K573" s="67" t="n"/>
      <c r="L573" s="67" t="n"/>
      <c r="M573" s="67" t="n"/>
      <c r="N573" s="65" t="n"/>
      <c r="O573" s="84">
        <f>IF(A573="","",IF(E573="","No date",IF(TODAY()&gt;=EDATE(E573,Review_Months),"Review Due","Current")))</f>
        <v/>
      </c>
      <c r="P573" s="84">
        <f>IF(A573="","",IF(COUNTIFS('AFA Rates'!$A$5:$A$1004,A573,'AFA Rates'!$O$5:$O$1004,"&lt;&gt;Expired")&gt;0,"Yes",IF(COUNTIF('AFA Rates'!$A$5:$A$1004,A573)&gt;0,"Expired only","No")))</f>
        <v/>
      </c>
      <c r="Q573" s="84">
        <f>IF(A573="","",COUNTIFS('AFA Rates'!$A$5:$A$1004,A573,'AFA Rates'!$O$5:$O$1004,"&lt;&gt;Expired"))</f>
        <v/>
      </c>
      <c r="R573" s="66" t="n"/>
      <c r="S573" s="64" t="n"/>
      <c r="T573" s="64" t="n"/>
      <c r="U573">
        <f>IF(AND(A573&lt;&gt;"",B573="Paused"),COUNTIFS($A$5:A573,"&lt;&gt;",$B$5:B573,"Paused"),"")</f>
        <v/>
      </c>
      <c r="V573">
        <f>IF(P573="Yes",COUNTIF($P$5:P573,"Yes"),"")</f>
        <v/>
      </c>
      <c r="W573">
        <f>IF(A573="","",COUNTIF($A$5:$A$1004,"&lt;"&amp;A573)+COUNTIF($A$5:A573,A573))</f>
        <v/>
      </c>
      <c r="X573">
        <f>","&amp;SUBSTITUTE(SUBSTITUTE(SUBSTITUTE(UPPER(C573)," ",""),";",","),"/",",")&amp;","</f>
        <v/>
      </c>
      <c r="Y573">
        <f>IF(AND(A573&lt;&gt;"",B573="Active",'State Search'!$C$5&lt;&gt;"",OR(X573=",ALL,",ISNUMBER(SEARCH(","&amp;'State Search'!$C$5&amp;",",X573)))),W573,"")</f>
        <v/>
      </c>
    </row>
    <row r="574">
      <c r="A574" s="64" t="n"/>
      <c r="B574" s="65" t="n"/>
      <c r="C574" s="64" t="n"/>
      <c r="D574" s="66" t="n"/>
      <c r="E574" s="66" t="n"/>
      <c r="F574" s="67" t="n"/>
      <c r="G574" s="67" t="n"/>
      <c r="H574" s="67" t="n"/>
      <c r="I574" s="67" t="n"/>
      <c r="J574" s="67" t="n"/>
      <c r="K574" s="67" t="n"/>
      <c r="L574" s="67" t="n"/>
      <c r="M574" s="67" t="n"/>
      <c r="N574" s="65" t="n"/>
      <c r="O574" s="84">
        <f>IF(A574="","",IF(E574="","No date",IF(TODAY()&gt;=EDATE(E574,Review_Months),"Review Due","Current")))</f>
        <v/>
      </c>
      <c r="P574" s="84">
        <f>IF(A574="","",IF(COUNTIFS('AFA Rates'!$A$5:$A$1004,A574,'AFA Rates'!$O$5:$O$1004,"&lt;&gt;Expired")&gt;0,"Yes",IF(COUNTIF('AFA Rates'!$A$5:$A$1004,A574)&gt;0,"Expired only","No")))</f>
        <v/>
      </c>
      <c r="Q574" s="84">
        <f>IF(A574="","",COUNTIFS('AFA Rates'!$A$5:$A$1004,A574,'AFA Rates'!$O$5:$O$1004,"&lt;&gt;Expired"))</f>
        <v/>
      </c>
      <c r="R574" s="66" t="n"/>
      <c r="S574" s="64" t="n"/>
      <c r="T574" s="64" t="n"/>
      <c r="U574">
        <f>IF(AND(A574&lt;&gt;"",B574="Paused"),COUNTIFS($A$5:A574,"&lt;&gt;",$B$5:B574,"Paused"),"")</f>
        <v/>
      </c>
      <c r="V574">
        <f>IF(P574="Yes",COUNTIF($P$5:P574,"Yes"),"")</f>
        <v/>
      </c>
      <c r="W574">
        <f>IF(A574="","",COUNTIF($A$5:$A$1004,"&lt;"&amp;A574)+COUNTIF($A$5:A574,A574))</f>
        <v/>
      </c>
      <c r="X574">
        <f>","&amp;SUBSTITUTE(SUBSTITUTE(SUBSTITUTE(UPPER(C574)," ",""),";",","),"/",",")&amp;","</f>
        <v/>
      </c>
      <c r="Y574">
        <f>IF(AND(A574&lt;&gt;"",B574="Active",'State Search'!$C$5&lt;&gt;"",OR(X574=",ALL,",ISNUMBER(SEARCH(","&amp;'State Search'!$C$5&amp;",",X574)))),W574,"")</f>
        <v/>
      </c>
    </row>
    <row r="575">
      <c r="A575" s="64" t="n"/>
      <c r="B575" s="65" t="n"/>
      <c r="C575" s="64" t="n"/>
      <c r="D575" s="66" t="n"/>
      <c r="E575" s="66" t="n"/>
      <c r="F575" s="67" t="n"/>
      <c r="G575" s="67" t="n"/>
      <c r="H575" s="67" t="n"/>
      <c r="I575" s="67" t="n"/>
      <c r="J575" s="67" t="n"/>
      <c r="K575" s="67" t="n"/>
      <c r="L575" s="67" t="n"/>
      <c r="M575" s="67" t="n"/>
      <c r="N575" s="65" t="n"/>
      <c r="O575" s="84">
        <f>IF(A575="","",IF(E575="","No date",IF(TODAY()&gt;=EDATE(E575,Review_Months),"Review Due","Current")))</f>
        <v/>
      </c>
      <c r="P575" s="84">
        <f>IF(A575="","",IF(COUNTIFS('AFA Rates'!$A$5:$A$1004,A575,'AFA Rates'!$O$5:$O$1004,"&lt;&gt;Expired")&gt;0,"Yes",IF(COUNTIF('AFA Rates'!$A$5:$A$1004,A575)&gt;0,"Expired only","No")))</f>
        <v/>
      </c>
      <c r="Q575" s="84">
        <f>IF(A575="","",COUNTIFS('AFA Rates'!$A$5:$A$1004,A575,'AFA Rates'!$O$5:$O$1004,"&lt;&gt;Expired"))</f>
        <v/>
      </c>
      <c r="R575" s="66" t="n"/>
      <c r="S575" s="64" t="n"/>
      <c r="T575" s="64" t="n"/>
      <c r="U575">
        <f>IF(AND(A575&lt;&gt;"",B575="Paused"),COUNTIFS($A$5:A575,"&lt;&gt;",$B$5:B575,"Paused"),"")</f>
        <v/>
      </c>
      <c r="V575">
        <f>IF(P575="Yes",COUNTIF($P$5:P575,"Yes"),"")</f>
        <v/>
      </c>
      <c r="W575">
        <f>IF(A575="","",COUNTIF($A$5:$A$1004,"&lt;"&amp;A575)+COUNTIF($A$5:A575,A575))</f>
        <v/>
      </c>
      <c r="X575">
        <f>","&amp;SUBSTITUTE(SUBSTITUTE(SUBSTITUTE(UPPER(C575)," ",""),";",","),"/",",")&amp;","</f>
        <v/>
      </c>
      <c r="Y575">
        <f>IF(AND(A575&lt;&gt;"",B575="Active",'State Search'!$C$5&lt;&gt;"",OR(X575=",ALL,",ISNUMBER(SEARCH(","&amp;'State Search'!$C$5&amp;",",X575)))),W575,"")</f>
        <v/>
      </c>
    </row>
    <row r="576">
      <c r="A576" s="64" t="n"/>
      <c r="B576" s="65" t="n"/>
      <c r="C576" s="64" t="n"/>
      <c r="D576" s="66" t="n"/>
      <c r="E576" s="66" t="n"/>
      <c r="F576" s="67" t="n"/>
      <c r="G576" s="67" t="n"/>
      <c r="H576" s="67" t="n"/>
      <c r="I576" s="67" t="n"/>
      <c r="J576" s="67" t="n"/>
      <c r="K576" s="67" t="n"/>
      <c r="L576" s="67" t="n"/>
      <c r="M576" s="67" t="n"/>
      <c r="N576" s="65" t="n"/>
      <c r="O576" s="84">
        <f>IF(A576="","",IF(E576="","No date",IF(TODAY()&gt;=EDATE(E576,Review_Months),"Review Due","Current")))</f>
        <v/>
      </c>
      <c r="P576" s="84">
        <f>IF(A576="","",IF(COUNTIFS('AFA Rates'!$A$5:$A$1004,A576,'AFA Rates'!$O$5:$O$1004,"&lt;&gt;Expired")&gt;0,"Yes",IF(COUNTIF('AFA Rates'!$A$5:$A$1004,A576)&gt;0,"Expired only","No")))</f>
        <v/>
      </c>
      <c r="Q576" s="84">
        <f>IF(A576="","",COUNTIFS('AFA Rates'!$A$5:$A$1004,A576,'AFA Rates'!$O$5:$O$1004,"&lt;&gt;Expired"))</f>
        <v/>
      </c>
      <c r="R576" s="66" t="n"/>
      <c r="S576" s="64" t="n"/>
      <c r="T576" s="64" t="n"/>
      <c r="U576">
        <f>IF(AND(A576&lt;&gt;"",B576="Paused"),COUNTIFS($A$5:A576,"&lt;&gt;",$B$5:B576,"Paused"),"")</f>
        <v/>
      </c>
      <c r="V576">
        <f>IF(P576="Yes",COUNTIF($P$5:P576,"Yes"),"")</f>
        <v/>
      </c>
      <c r="W576">
        <f>IF(A576="","",COUNTIF($A$5:$A$1004,"&lt;"&amp;A576)+COUNTIF($A$5:A576,A576))</f>
        <v/>
      </c>
      <c r="X576">
        <f>","&amp;SUBSTITUTE(SUBSTITUTE(SUBSTITUTE(UPPER(C576)," ",""),";",","),"/",",")&amp;","</f>
        <v/>
      </c>
      <c r="Y576">
        <f>IF(AND(A576&lt;&gt;"",B576="Active",'State Search'!$C$5&lt;&gt;"",OR(X576=",ALL,",ISNUMBER(SEARCH(","&amp;'State Search'!$C$5&amp;",",X576)))),W576,"")</f>
        <v/>
      </c>
    </row>
    <row r="577">
      <c r="A577" s="64" t="n"/>
      <c r="B577" s="65" t="n"/>
      <c r="C577" s="64" t="n"/>
      <c r="D577" s="66" t="n"/>
      <c r="E577" s="66" t="n"/>
      <c r="F577" s="67" t="n"/>
      <c r="G577" s="67" t="n"/>
      <c r="H577" s="67" t="n"/>
      <c r="I577" s="67" t="n"/>
      <c r="J577" s="67" t="n"/>
      <c r="K577" s="67" t="n"/>
      <c r="L577" s="67" t="n"/>
      <c r="M577" s="67" t="n"/>
      <c r="N577" s="65" t="n"/>
      <c r="O577" s="84">
        <f>IF(A577="","",IF(E577="","No date",IF(TODAY()&gt;=EDATE(E577,Review_Months),"Review Due","Current")))</f>
        <v/>
      </c>
      <c r="P577" s="84">
        <f>IF(A577="","",IF(COUNTIFS('AFA Rates'!$A$5:$A$1004,A577,'AFA Rates'!$O$5:$O$1004,"&lt;&gt;Expired")&gt;0,"Yes",IF(COUNTIF('AFA Rates'!$A$5:$A$1004,A577)&gt;0,"Expired only","No")))</f>
        <v/>
      </c>
      <c r="Q577" s="84">
        <f>IF(A577="","",COUNTIFS('AFA Rates'!$A$5:$A$1004,A577,'AFA Rates'!$O$5:$O$1004,"&lt;&gt;Expired"))</f>
        <v/>
      </c>
      <c r="R577" s="66" t="n"/>
      <c r="S577" s="64" t="n"/>
      <c r="T577" s="64" t="n"/>
      <c r="U577">
        <f>IF(AND(A577&lt;&gt;"",B577="Paused"),COUNTIFS($A$5:A577,"&lt;&gt;",$B$5:B577,"Paused"),"")</f>
        <v/>
      </c>
      <c r="V577">
        <f>IF(P577="Yes",COUNTIF($P$5:P577,"Yes"),"")</f>
        <v/>
      </c>
      <c r="W577">
        <f>IF(A577="","",COUNTIF($A$5:$A$1004,"&lt;"&amp;A577)+COUNTIF($A$5:A577,A577))</f>
        <v/>
      </c>
      <c r="X577">
        <f>","&amp;SUBSTITUTE(SUBSTITUTE(SUBSTITUTE(UPPER(C577)," ",""),";",","),"/",",")&amp;","</f>
        <v/>
      </c>
      <c r="Y577">
        <f>IF(AND(A577&lt;&gt;"",B577="Active",'State Search'!$C$5&lt;&gt;"",OR(X577=",ALL,",ISNUMBER(SEARCH(","&amp;'State Search'!$C$5&amp;",",X577)))),W577,"")</f>
        <v/>
      </c>
    </row>
    <row r="578">
      <c r="A578" s="64" t="n"/>
      <c r="B578" s="65" t="n"/>
      <c r="C578" s="64" t="n"/>
      <c r="D578" s="66" t="n"/>
      <c r="E578" s="66" t="n"/>
      <c r="F578" s="67" t="n"/>
      <c r="G578" s="67" t="n"/>
      <c r="H578" s="67" t="n"/>
      <c r="I578" s="67" t="n"/>
      <c r="J578" s="67" t="n"/>
      <c r="K578" s="67" t="n"/>
      <c r="L578" s="67" t="n"/>
      <c r="M578" s="67" t="n"/>
      <c r="N578" s="65" t="n"/>
      <c r="O578" s="84">
        <f>IF(A578="","",IF(E578="","No date",IF(TODAY()&gt;=EDATE(E578,Review_Months),"Review Due","Current")))</f>
        <v/>
      </c>
      <c r="P578" s="84">
        <f>IF(A578="","",IF(COUNTIFS('AFA Rates'!$A$5:$A$1004,A578,'AFA Rates'!$O$5:$O$1004,"&lt;&gt;Expired")&gt;0,"Yes",IF(COUNTIF('AFA Rates'!$A$5:$A$1004,A578)&gt;0,"Expired only","No")))</f>
        <v/>
      </c>
      <c r="Q578" s="84">
        <f>IF(A578="","",COUNTIFS('AFA Rates'!$A$5:$A$1004,A578,'AFA Rates'!$O$5:$O$1004,"&lt;&gt;Expired"))</f>
        <v/>
      </c>
      <c r="R578" s="66" t="n"/>
      <c r="S578" s="64" t="n"/>
      <c r="T578" s="64" t="n"/>
      <c r="U578">
        <f>IF(AND(A578&lt;&gt;"",B578="Paused"),COUNTIFS($A$5:A578,"&lt;&gt;",$B$5:B578,"Paused"),"")</f>
        <v/>
      </c>
      <c r="V578">
        <f>IF(P578="Yes",COUNTIF($P$5:P578,"Yes"),"")</f>
        <v/>
      </c>
      <c r="W578">
        <f>IF(A578="","",COUNTIF($A$5:$A$1004,"&lt;"&amp;A578)+COUNTIF($A$5:A578,A578))</f>
        <v/>
      </c>
      <c r="X578">
        <f>","&amp;SUBSTITUTE(SUBSTITUTE(SUBSTITUTE(UPPER(C578)," ",""),";",","),"/",",")&amp;","</f>
        <v/>
      </c>
      <c r="Y578">
        <f>IF(AND(A578&lt;&gt;"",B578="Active",'State Search'!$C$5&lt;&gt;"",OR(X578=",ALL,",ISNUMBER(SEARCH(","&amp;'State Search'!$C$5&amp;",",X578)))),W578,"")</f>
        <v/>
      </c>
    </row>
    <row r="579">
      <c r="A579" s="64" t="n"/>
      <c r="B579" s="65" t="n"/>
      <c r="C579" s="64" t="n"/>
      <c r="D579" s="66" t="n"/>
      <c r="E579" s="66" t="n"/>
      <c r="F579" s="67" t="n"/>
      <c r="G579" s="67" t="n"/>
      <c r="H579" s="67" t="n"/>
      <c r="I579" s="67" t="n"/>
      <c r="J579" s="67" t="n"/>
      <c r="K579" s="67" t="n"/>
      <c r="L579" s="67" t="n"/>
      <c r="M579" s="67" t="n"/>
      <c r="N579" s="65" t="n"/>
      <c r="O579" s="84">
        <f>IF(A579="","",IF(E579="","No date",IF(TODAY()&gt;=EDATE(E579,Review_Months),"Review Due","Current")))</f>
        <v/>
      </c>
      <c r="P579" s="84">
        <f>IF(A579="","",IF(COUNTIFS('AFA Rates'!$A$5:$A$1004,A579,'AFA Rates'!$O$5:$O$1004,"&lt;&gt;Expired")&gt;0,"Yes",IF(COUNTIF('AFA Rates'!$A$5:$A$1004,A579)&gt;0,"Expired only","No")))</f>
        <v/>
      </c>
      <c r="Q579" s="84">
        <f>IF(A579="","",COUNTIFS('AFA Rates'!$A$5:$A$1004,A579,'AFA Rates'!$O$5:$O$1004,"&lt;&gt;Expired"))</f>
        <v/>
      </c>
      <c r="R579" s="66" t="n"/>
      <c r="S579" s="64" t="n"/>
      <c r="T579" s="64" t="n"/>
      <c r="U579">
        <f>IF(AND(A579&lt;&gt;"",B579="Paused"),COUNTIFS($A$5:A579,"&lt;&gt;",$B$5:B579,"Paused"),"")</f>
        <v/>
      </c>
      <c r="V579">
        <f>IF(P579="Yes",COUNTIF($P$5:P579,"Yes"),"")</f>
        <v/>
      </c>
      <c r="W579">
        <f>IF(A579="","",COUNTIF($A$5:$A$1004,"&lt;"&amp;A579)+COUNTIF($A$5:A579,A579))</f>
        <v/>
      </c>
      <c r="X579">
        <f>","&amp;SUBSTITUTE(SUBSTITUTE(SUBSTITUTE(UPPER(C579)," ",""),";",","),"/",",")&amp;","</f>
        <v/>
      </c>
      <c r="Y579">
        <f>IF(AND(A579&lt;&gt;"",B579="Active",'State Search'!$C$5&lt;&gt;"",OR(X579=",ALL,",ISNUMBER(SEARCH(","&amp;'State Search'!$C$5&amp;",",X579)))),W579,"")</f>
        <v/>
      </c>
    </row>
    <row r="580">
      <c r="A580" s="64" t="n"/>
      <c r="B580" s="65" t="n"/>
      <c r="C580" s="64" t="n"/>
      <c r="D580" s="66" t="n"/>
      <c r="E580" s="66" t="n"/>
      <c r="F580" s="67" t="n"/>
      <c r="G580" s="67" t="n"/>
      <c r="H580" s="67" t="n"/>
      <c r="I580" s="67" t="n"/>
      <c r="J580" s="67" t="n"/>
      <c r="K580" s="67" t="n"/>
      <c r="L580" s="67" t="n"/>
      <c r="M580" s="67" t="n"/>
      <c r="N580" s="65" t="n"/>
      <c r="O580" s="84">
        <f>IF(A580="","",IF(E580="","No date",IF(TODAY()&gt;=EDATE(E580,Review_Months),"Review Due","Current")))</f>
        <v/>
      </c>
      <c r="P580" s="84">
        <f>IF(A580="","",IF(COUNTIFS('AFA Rates'!$A$5:$A$1004,A580,'AFA Rates'!$O$5:$O$1004,"&lt;&gt;Expired")&gt;0,"Yes",IF(COUNTIF('AFA Rates'!$A$5:$A$1004,A580)&gt;0,"Expired only","No")))</f>
        <v/>
      </c>
      <c r="Q580" s="84">
        <f>IF(A580="","",COUNTIFS('AFA Rates'!$A$5:$A$1004,A580,'AFA Rates'!$O$5:$O$1004,"&lt;&gt;Expired"))</f>
        <v/>
      </c>
      <c r="R580" s="66" t="n"/>
      <c r="S580" s="64" t="n"/>
      <c r="T580" s="64" t="n"/>
      <c r="U580">
        <f>IF(AND(A580&lt;&gt;"",B580="Paused"),COUNTIFS($A$5:A580,"&lt;&gt;",$B$5:B580,"Paused"),"")</f>
        <v/>
      </c>
      <c r="V580">
        <f>IF(P580="Yes",COUNTIF($P$5:P580,"Yes"),"")</f>
        <v/>
      </c>
      <c r="W580">
        <f>IF(A580="","",COUNTIF($A$5:$A$1004,"&lt;"&amp;A580)+COUNTIF($A$5:A580,A580))</f>
        <v/>
      </c>
      <c r="X580">
        <f>","&amp;SUBSTITUTE(SUBSTITUTE(SUBSTITUTE(UPPER(C580)," ",""),";",","),"/",",")&amp;","</f>
        <v/>
      </c>
      <c r="Y580">
        <f>IF(AND(A580&lt;&gt;"",B580="Active",'State Search'!$C$5&lt;&gt;"",OR(X580=",ALL,",ISNUMBER(SEARCH(","&amp;'State Search'!$C$5&amp;",",X580)))),W580,"")</f>
        <v/>
      </c>
    </row>
    <row r="581">
      <c r="A581" s="64" t="n"/>
      <c r="B581" s="65" t="n"/>
      <c r="C581" s="64" t="n"/>
      <c r="D581" s="66" t="n"/>
      <c r="E581" s="66" t="n"/>
      <c r="F581" s="67" t="n"/>
      <c r="G581" s="67" t="n"/>
      <c r="H581" s="67" t="n"/>
      <c r="I581" s="67" t="n"/>
      <c r="J581" s="67" t="n"/>
      <c r="K581" s="67" t="n"/>
      <c r="L581" s="67" t="n"/>
      <c r="M581" s="67" t="n"/>
      <c r="N581" s="65" t="n"/>
      <c r="O581" s="84">
        <f>IF(A581="","",IF(E581="","No date",IF(TODAY()&gt;=EDATE(E581,Review_Months),"Review Due","Current")))</f>
        <v/>
      </c>
      <c r="P581" s="84">
        <f>IF(A581="","",IF(COUNTIFS('AFA Rates'!$A$5:$A$1004,A581,'AFA Rates'!$O$5:$O$1004,"&lt;&gt;Expired")&gt;0,"Yes",IF(COUNTIF('AFA Rates'!$A$5:$A$1004,A581)&gt;0,"Expired only","No")))</f>
        <v/>
      </c>
      <c r="Q581" s="84">
        <f>IF(A581="","",COUNTIFS('AFA Rates'!$A$5:$A$1004,A581,'AFA Rates'!$O$5:$O$1004,"&lt;&gt;Expired"))</f>
        <v/>
      </c>
      <c r="R581" s="66" t="n"/>
      <c r="S581" s="64" t="n"/>
      <c r="T581" s="64" t="n"/>
      <c r="U581">
        <f>IF(AND(A581&lt;&gt;"",B581="Paused"),COUNTIFS($A$5:A581,"&lt;&gt;",$B$5:B581,"Paused"),"")</f>
        <v/>
      </c>
      <c r="V581">
        <f>IF(P581="Yes",COUNTIF($P$5:P581,"Yes"),"")</f>
        <v/>
      </c>
      <c r="W581">
        <f>IF(A581="","",COUNTIF($A$5:$A$1004,"&lt;"&amp;A581)+COUNTIF($A$5:A581,A581))</f>
        <v/>
      </c>
      <c r="X581">
        <f>","&amp;SUBSTITUTE(SUBSTITUTE(SUBSTITUTE(UPPER(C581)," ",""),";",","),"/",",")&amp;","</f>
        <v/>
      </c>
      <c r="Y581">
        <f>IF(AND(A581&lt;&gt;"",B581="Active",'State Search'!$C$5&lt;&gt;"",OR(X581=",ALL,",ISNUMBER(SEARCH(","&amp;'State Search'!$C$5&amp;",",X581)))),W581,"")</f>
        <v/>
      </c>
    </row>
    <row r="582">
      <c r="A582" s="64" t="n"/>
      <c r="B582" s="65" t="n"/>
      <c r="C582" s="64" t="n"/>
      <c r="D582" s="66" t="n"/>
      <c r="E582" s="66" t="n"/>
      <c r="F582" s="67" t="n"/>
      <c r="G582" s="67" t="n"/>
      <c r="H582" s="67" t="n"/>
      <c r="I582" s="67" t="n"/>
      <c r="J582" s="67" t="n"/>
      <c r="K582" s="67" t="n"/>
      <c r="L582" s="67" t="n"/>
      <c r="M582" s="67" t="n"/>
      <c r="N582" s="65" t="n"/>
      <c r="O582" s="84">
        <f>IF(A582="","",IF(E582="","No date",IF(TODAY()&gt;=EDATE(E582,Review_Months),"Review Due","Current")))</f>
        <v/>
      </c>
      <c r="P582" s="84">
        <f>IF(A582="","",IF(COUNTIFS('AFA Rates'!$A$5:$A$1004,A582,'AFA Rates'!$O$5:$O$1004,"&lt;&gt;Expired")&gt;0,"Yes",IF(COUNTIF('AFA Rates'!$A$5:$A$1004,A582)&gt;0,"Expired only","No")))</f>
        <v/>
      </c>
      <c r="Q582" s="84">
        <f>IF(A582="","",COUNTIFS('AFA Rates'!$A$5:$A$1004,A582,'AFA Rates'!$O$5:$O$1004,"&lt;&gt;Expired"))</f>
        <v/>
      </c>
      <c r="R582" s="66" t="n"/>
      <c r="S582" s="64" t="n"/>
      <c r="T582" s="64" t="n"/>
      <c r="U582">
        <f>IF(AND(A582&lt;&gt;"",B582="Paused"),COUNTIFS($A$5:A582,"&lt;&gt;",$B$5:B582,"Paused"),"")</f>
        <v/>
      </c>
      <c r="V582">
        <f>IF(P582="Yes",COUNTIF($P$5:P582,"Yes"),"")</f>
        <v/>
      </c>
      <c r="W582">
        <f>IF(A582="","",COUNTIF($A$5:$A$1004,"&lt;"&amp;A582)+COUNTIF($A$5:A582,A582))</f>
        <v/>
      </c>
      <c r="X582">
        <f>","&amp;SUBSTITUTE(SUBSTITUTE(SUBSTITUTE(UPPER(C582)," ",""),";",","),"/",",")&amp;","</f>
        <v/>
      </c>
      <c r="Y582">
        <f>IF(AND(A582&lt;&gt;"",B582="Active",'State Search'!$C$5&lt;&gt;"",OR(X582=",ALL,",ISNUMBER(SEARCH(","&amp;'State Search'!$C$5&amp;",",X582)))),W582,"")</f>
        <v/>
      </c>
    </row>
    <row r="583">
      <c r="A583" s="64" t="n"/>
      <c r="B583" s="65" t="n"/>
      <c r="C583" s="64" t="n"/>
      <c r="D583" s="66" t="n"/>
      <c r="E583" s="66" t="n"/>
      <c r="F583" s="67" t="n"/>
      <c r="G583" s="67" t="n"/>
      <c r="H583" s="67" t="n"/>
      <c r="I583" s="67" t="n"/>
      <c r="J583" s="67" t="n"/>
      <c r="K583" s="67" t="n"/>
      <c r="L583" s="67" t="n"/>
      <c r="M583" s="67" t="n"/>
      <c r="N583" s="65" t="n"/>
      <c r="O583" s="84">
        <f>IF(A583="","",IF(E583="","No date",IF(TODAY()&gt;=EDATE(E583,Review_Months),"Review Due","Current")))</f>
        <v/>
      </c>
      <c r="P583" s="84">
        <f>IF(A583="","",IF(COUNTIFS('AFA Rates'!$A$5:$A$1004,A583,'AFA Rates'!$O$5:$O$1004,"&lt;&gt;Expired")&gt;0,"Yes",IF(COUNTIF('AFA Rates'!$A$5:$A$1004,A583)&gt;0,"Expired only","No")))</f>
        <v/>
      </c>
      <c r="Q583" s="84">
        <f>IF(A583="","",COUNTIFS('AFA Rates'!$A$5:$A$1004,A583,'AFA Rates'!$O$5:$O$1004,"&lt;&gt;Expired"))</f>
        <v/>
      </c>
      <c r="R583" s="66" t="n"/>
      <c r="S583" s="64" t="n"/>
      <c r="T583" s="64" t="n"/>
      <c r="U583">
        <f>IF(AND(A583&lt;&gt;"",B583="Paused"),COUNTIFS($A$5:A583,"&lt;&gt;",$B$5:B583,"Paused"),"")</f>
        <v/>
      </c>
      <c r="V583">
        <f>IF(P583="Yes",COUNTIF($P$5:P583,"Yes"),"")</f>
        <v/>
      </c>
      <c r="W583">
        <f>IF(A583="","",COUNTIF($A$5:$A$1004,"&lt;"&amp;A583)+COUNTIF($A$5:A583,A583))</f>
        <v/>
      </c>
      <c r="X583">
        <f>","&amp;SUBSTITUTE(SUBSTITUTE(SUBSTITUTE(UPPER(C583)," ",""),";",","),"/",",")&amp;","</f>
        <v/>
      </c>
      <c r="Y583">
        <f>IF(AND(A583&lt;&gt;"",B583="Active",'State Search'!$C$5&lt;&gt;"",OR(X583=",ALL,",ISNUMBER(SEARCH(","&amp;'State Search'!$C$5&amp;",",X583)))),W583,"")</f>
        <v/>
      </c>
    </row>
    <row r="584">
      <c r="A584" s="64" t="n"/>
      <c r="B584" s="65" t="n"/>
      <c r="C584" s="64" t="n"/>
      <c r="D584" s="66" t="n"/>
      <c r="E584" s="66" t="n"/>
      <c r="F584" s="67" t="n"/>
      <c r="G584" s="67" t="n"/>
      <c r="H584" s="67" t="n"/>
      <c r="I584" s="67" t="n"/>
      <c r="J584" s="67" t="n"/>
      <c r="K584" s="67" t="n"/>
      <c r="L584" s="67" t="n"/>
      <c r="M584" s="67" t="n"/>
      <c r="N584" s="65" t="n"/>
      <c r="O584" s="84">
        <f>IF(A584="","",IF(E584="","No date",IF(TODAY()&gt;=EDATE(E584,Review_Months),"Review Due","Current")))</f>
        <v/>
      </c>
      <c r="P584" s="84">
        <f>IF(A584="","",IF(COUNTIFS('AFA Rates'!$A$5:$A$1004,A584,'AFA Rates'!$O$5:$O$1004,"&lt;&gt;Expired")&gt;0,"Yes",IF(COUNTIF('AFA Rates'!$A$5:$A$1004,A584)&gt;0,"Expired only","No")))</f>
        <v/>
      </c>
      <c r="Q584" s="84">
        <f>IF(A584="","",COUNTIFS('AFA Rates'!$A$5:$A$1004,A584,'AFA Rates'!$O$5:$O$1004,"&lt;&gt;Expired"))</f>
        <v/>
      </c>
      <c r="R584" s="66" t="n"/>
      <c r="S584" s="64" t="n"/>
      <c r="T584" s="64" t="n"/>
      <c r="U584">
        <f>IF(AND(A584&lt;&gt;"",B584="Paused"),COUNTIFS($A$5:A584,"&lt;&gt;",$B$5:B584,"Paused"),"")</f>
        <v/>
      </c>
      <c r="V584">
        <f>IF(P584="Yes",COUNTIF($P$5:P584,"Yes"),"")</f>
        <v/>
      </c>
      <c r="W584">
        <f>IF(A584="","",COUNTIF($A$5:$A$1004,"&lt;"&amp;A584)+COUNTIF($A$5:A584,A584))</f>
        <v/>
      </c>
      <c r="X584">
        <f>","&amp;SUBSTITUTE(SUBSTITUTE(SUBSTITUTE(UPPER(C584)," ",""),";",","),"/",",")&amp;","</f>
        <v/>
      </c>
      <c r="Y584">
        <f>IF(AND(A584&lt;&gt;"",B584="Active",'State Search'!$C$5&lt;&gt;"",OR(X584=",ALL,",ISNUMBER(SEARCH(","&amp;'State Search'!$C$5&amp;",",X584)))),W584,"")</f>
        <v/>
      </c>
    </row>
    <row r="585">
      <c r="A585" s="64" t="n"/>
      <c r="B585" s="65" t="n"/>
      <c r="C585" s="64" t="n"/>
      <c r="D585" s="66" t="n"/>
      <c r="E585" s="66" t="n"/>
      <c r="F585" s="67" t="n"/>
      <c r="G585" s="67" t="n"/>
      <c r="H585" s="67" t="n"/>
      <c r="I585" s="67" t="n"/>
      <c r="J585" s="67" t="n"/>
      <c r="K585" s="67" t="n"/>
      <c r="L585" s="67" t="n"/>
      <c r="M585" s="67" t="n"/>
      <c r="N585" s="65" t="n"/>
      <c r="O585" s="84">
        <f>IF(A585="","",IF(E585="","No date",IF(TODAY()&gt;=EDATE(E585,Review_Months),"Review Due","Current")))</f>
        <v/>
      </c>
      <c r="P585" s="84">
        <f>IF(A585="","",IF(COUNTIFS('AFA Rates'!$A$5:$A$1004,A585,'AFA Rates'!$O$5:$O$1004,"&lt;&gt;Expired")&gt;0,"Yes",IF(COUNTIF('AFA Rates'!$A$5:$A$1004,A585)&gt;0,"Expired only","No")))</f>
        <v/>
      </c>
      <c r="Q585" s="84">
        <f>IF(A585="","",COUNTIFS('AFA Rates'!$A$5:$A$1004,A585,'AFA Rates'!$O$5:$O$1004,"&lt;&gt;Expired"))</f>
        <v/>
      </c>
      <c r="R585" s="66" t="n"/>
      <c r="S585" s="64" t="n"/>
      <c r="T585" s="64" t="n"/>
      <c r="U585">
        <f>IF(AND(A585&lt;&gt;"",B585="Paused"),COUNTIFS($A$5:A585,"&lt;&gt;",$B$5:B585,"Paused"),"")</f>
        <v/>
      </c>
      <c r="V585">
        <f>IF(P585="Yes",COUNTIF($P$5:P585,"Yes"),"")</f>
        <v/>
      </c>
      <c r="W585">
        <f>IF(A585="","",COUNTIF($A$5:$A$1004,"&lt;"&amp;A585)+COUNTIF($A$5:A585,A585))</f>
        <v/>
      </c>
      <c r="X585">
        <f>","&amp;SUBSTITUTE(SUBSTITUTE(SUBSTITUTE(UPPER(C585)," ",""),";",","),"/",",")&amp;","</f>
        <v/>
      </c>
      <c r="Y585">
        <f>IF(AND(A585&lt;&gt;"",B585="Active",'State Search'!$C$5&lt;&gt;"",OR(X585=",ALL,",ISNUMBER(SEARCH(","&amp;'State Search'!$C$5&amp;",",X585)))),W585,"")</f>
        <v/>
      </c>
    </row>
    <row r="586">
      <c r="A586" s="64" t="n"/>
      <c r="B586" s="65" t="n"/>
      <c r="C586" s="64" t="n"/>
      <c r="D586" s="66" t="n"/>
      <c r="E586" s="66" t="n"/>
      <c r="F586" s="67" t="n"/>
      <c r="G586" s="67" t="n"/>
      <c r="H586" s="67" t="n"/>
      <c r="I586" s="67" t="n"/>
      <c r="J586" s="67" t="n"/>
      <c r="K586" s="67" t="n"/>
      <c r="L586" s="67" t="n"/>
      <c r="M586" s="67" t="n"/>
      <c r="N586" s="65" t="n"/>
      <c r="O586" s="84">
        <f>IF(A586="","",IF(E586="","No date",IF(TODAY()&gt;=EDATE(E586,Review_Months),"Review Due","Current")))</f>
        <v/>
      </c>
      <c r="P586" s="84">
        <f>IF(A586="","",IF(COUNTIFS('AFA Rates'!$A$5:$A$1004,A586,'AFA Rates'!$O$5:$O$1004,"&lt;&gt;Expired")&gt;0,"Yes",IF(COUNTIF('AFA Rates'!$A$5:$A$1004,A586)&gt;0,"Expired only","No")))</f>
        <v/>
      </c>
      <c r="Q586" s="84">
        <f>IF(A586="","",COUNTIFS('AFA Rates'!$A$5:$A$1004,A586,'AFA Rates'!$O$5:$O$1004,"&lt;&gt;Expired"))</f>
        <v/>
      </c>
      <c r="R586" s="66" t="n"/>
      <c r="S586" s="64" t="n"/>
      <c r="T586" s="64" t="n"/>
      <c r="U586">
        <f>IF(AND(A586&lt;&gt;"",B586="Paused"),COUNTIFS($A$5:A586,"&lt;&gt;",$B$5:B586,"Paused"),"")</f>
        <v/>
      </c>
      <c r="V586">
        <f>IF(P586="Yes",COUNTIF($P$5:P586,"Yes"),"")</f>
        <v/>
      </c>
      <c r="W586">
        <f>IF(A586="","",COUNTIF($A$5:$A$1004,"&lt;"&amp;A586)+COUNTIF($A$5:A586,A586))</f>
        <v/>
      </c>
      <c r="X586">
        <f>","&amp;SUBSTITUTE(SUBSTITUTE(SUBSTITUTE(UPPER(C586)," ",""),";",","),"/",",")&amp;","</f>
        <v/>
      </c>
      <c r="Y586">
        <f>IF(AND(A586&lt;&gt;"",B586="Active",'State Search'!$C$5&lt;&gt;"",OR(X586=",ALL,",ISNUMBER(SEARCH(","&amp;'State Search'!$C$5&amp;",",X586)))),W586,"")</f>
        <v/>
      </c>
    </row>
    <row r="587">
      <c r="A587" s="64" t="n"/>
      <c r="B587" s="65" t="n"/>
      <c r="C587" s="64" t="n"/>
      <c r="D587" s="66" t="n"/>
      <c r="E587" s="66" t="n"/>
      <c r="F587" s="67" t="n"/>
      <c r="G587" s="67" t="n"/>
      <c r="H587" s="67" t="n"/>
      <c r="I587" s="67" t="n"/>
      <c r="J587" s="67" t="n"/>
      <c r="K587" s="67" t="n"/>
      <c r="L587" s="67" t="n"/>
      <c r="M587" s="67" t="n"/>
      <c r="N587" s="65" t="n"/>
      <c r="O587" s="84">
        <f>IF(A587="","",IF(E587="","No date",IF(TODAY()&gt;=EDATE(E587,Review_Months),"Review Due","Current")))</f>
        <v/>
      </c>
      <c r="P587" s="84">
        <f>IF(A587="","",IF(COUNTIFS('AFA Rates'!$A$5:$A$1004,A587,'AFA Rates'!$O$5:$O$1004,"&lt;&gt;Expired")&gt;0,"Yes",IF(COUNTIF('AFA Rates'!$A$5:$A$1004,A587)&gt;0,"Expired only","No")))</f>
        <v/>
      </c>
      <c r="Q587" s="84">
        <f>IF(A587="","",COUNTIFS('AFA Rates'!$A$5:$A$1004,A587,'AFA Rates'!$O$5:$O$1004,"&lt;&gt;Expired"))</f>
        <v/>
      </c>
      <c r="R587" s="66" t="n"/>
      <c r="S587" s="64" t="n"/>
      <c r="T587" s="64" t="n"/>
      <c r="U587">
        <f>IF(AND(A587&lt;&gt;"",B587="Paused"),COUNTIFS($A$5:A587,"&lt;&gt;",$B$5:B587,"Paused"),"")</f>
        <v/>
      </c>
      <c r="V587">
        <f>IF(P587="Yes",COUNTIF($P$5:P587,"Yes"),"")</f>
        <v/>
      </c>
      <c r="W587">
        <f>IF(A587="","",COUNTIF($A$5:$A$1004,"&lt;"&amp;A587)+COUNTIF($A$5:A587,A587))</f>
        <v/>
      </c>
      <c r="X587">
        <f>","&amp;SUBSTITUTE(SUBSTITUTE(SUBSTITUTE(UPPER(C587)," ",""),";",","),"/",",")&amp;","</f>
        <v/>
      </c>
      <c r="Y587">
        <f>IF(AND(A587&lt;&gt;"",B587="Active",'State Search'!$C$5&lt;&gt;"",OR(X587=",ALL,",ISNUMBER(SEARCH(","&amp;'State Search'!$C$5&amp;",",X587)))),W587,"")</f>
        <v/>
      </c>
    </row>
    <row r="588">
      <c r="A588" s="64" t="n"/>
      <c r="B588" s="65" t="n"/>
      <c r="C588" s="64" t="n"/>
      <c r="D588" s="66" t="n"/>
      <c r="E588" s="66" t="n"/>
      <c r="F588" s="67" t="n"/>
      <c r="G588" s="67" t="n"/>
      <c r="H588" s="67" t="n"/>
      <c r="I588" s="67" t="n"/>
      <c r="J588" s="67" t="n"/>
      <c r="K588" s="67" t="n"/>
      <c r="L588" s="67" t="n"/>
      <c r="M588" s="67" t="n"/>
      <c r="N588" s="65" t="n"/>
      <c r="O588" s="84">
        <f>IF(A588="","",IF(E588="","No date",IF(TODAY()&gt;=EDATE(E588,Review_Months),"Review Due","Current")))</f>
        <v/>
      </c>
      <c r="P588" s="84">
        <f>IF(A588="","",IF(COUNTIFS('AFA Rates'!$A$5:$A$1004,A588,'AFA Rates'!$O$5:$O$1004,"&lt;&gt;Expired")&gt;0,"Yes",IF(COUNTIF('AFA Rates'!$A$5:$A$1004,A588)&gt;0,"Expired only","No")))</f>
        <v/>
      </c>
      <c r="Q588" s="84">
        <f>IF(A588="","",COUNTIFS('AFA Rates'!$A$5:$A$1004,A588,'AFA Rates'!$O$5:$O$1004,"&lt;&gt;Expired"))</f>
        <v/>
      </c>
      <c r="R588" s="66" t="n"/>
      <c r="S588" s="64" t="n"/>
      <c r="T588" s="64" t="n"/>
      <c r="U588">
        <f>IF(AND(A588&lt;&gt;"",B588="Paused"),COUNTIFS($A$5:A588,"&lt;&gt;",$B$5:B588,"Paused"),"")</f>
        <v/>
      </c>
      <c r="V588">
        <f>IF(P588="Yes",COUNTIF($P$5:P588,"Yes"),"")</f>
        <v/>
      </c>
      <c r="W588">
        <f>IF(A588="","",COUNTIF($A$5:$A$1004,"&lt;"&amp;A588)+COUNTIF($A$5:A588,A588))</f>
        <v/>
      </c>
      <c r="X588">
        <f>","&amp;SUBSTITUTE(SUBSTITUTE(SUBSTITUTE(UPPER(C588)," ",""),";",","),"/",",")&amp;","</f>
        <v/>
      </c>
      <c r="Y588">
        <f>IF(AND(A588&lt;&gt;"",B588="Active",'State Search'!$C$5&lt;&gt;"",OR(X588=",ALL,",ISNUMBER(SEARCH(","&amp;'State Search'!$C$5&amp;",",X588)))),W588,"")</f>
        <v/>
      </c>
    </row>
    <row r="589">
      <c r="A589" s="64" t="n"/>
      <c r="B589" s="65" t="n"/>
      <c r="C589" s="64" t="n"/>
      <c r="D589" s="66" t="n"/>
      <c r="E589" s="66" t="n"/>
      <c r="F589" s="67" t="n"/>
      <c r="G589" s="67" t="n"/>
      <c r="H589" s="67" t="n"/>
      <c r="I589" s="67" t="n"/>
      <c r="J589" s="67" t="n"/>
      <c r="K589" s="67" t="n"/>
      <c r="L589" s="67" t="n"/>
      <c r="M589" s="67" t="n"/>
      <c r="N589" s="65" t="n"/>
      <c r="O589" s="84">
        <f>IF(A589="","",IF(E589="","No date",IF(TODAY()&gt;=EDATE(E589,Review_Months),"Review Due","Current")))</f>
        <v/>
      </c>
      <c r="P589" s="84">
        <f>IF(A589="","",IF(COUNTIFS('AFA Rates'!$A$5:$A$1004,A589,'AFA Rates'!$O$5:$O$1004,"&lt;&gt;Expired")&gt;0,"Yes",IF(COUNTIF('AFA Rates'!$A$5:$A$1004,A589)&gt;0,"Expired only","No")))</f>
        <v/>
      </c>
      <c r="Q589" s="84">
        <f>IF(A589="","",COUNTIFS('AFA Rates'!$A$5:$A$1004,A589,'AFA Rates'!$O$5:$O$1004,"&lt;&gt;Expired"))</f>
        <v/>
      </c>
      <c r="R589" s="66" t="n"/>
      <c r="S589" s="64" t="n"/>
      <c r="T589" s="64" t="n"/>
      <c r="U589">
        <f>IF(AND(A589&lt;&gt;"",B589="Paused"),COUNTIFS($A$5:A589,"&lt;&gt;",$B$5:B589,"Paused"),"")</f>
        <v/>
      </c>
      <c r="V589">
        <f>IF(P589="Yes",COUNTIF($P$5:P589,"Yes"),"")</f>
        <v/>
      </c>
      <c r="W589">
        <f>IF(A589="","",COUNTIF($A$5:$A$1004,"&lt;"&amp;A589)+COUNTIF($A$5:A589,A589))</f>
        <v/>
      </c>
      <c r="X589">
        <f>","&amp;SUBSTITUTE(SUBSTITUTE(SUBSTITUTE(UPPER(C589)," ",""),";",","),"/",",")&amp;","</f>
        <v/>
      </c>
      <c r="Y589">
        <f>IF(AND(A589&lt;&gt;"",B589="Active",'State Search'!$C$5&lt;&gt;"",OR(X589=",ALL,",ISNUMBER(SEARCH(","&amp;'State Search'!$C$5&amp;",",X589)))),W589,"")</f>
        <v/>
      </c>
    </row>
    <row r="590">
      <c r="A590" s="64" t="n"/>
      <c r="B590" s="65" t="n"/>
      <c r="C590" s="64" t="n"/>
      <c r="D590" s="66" t="n"/>
      <c r="E590" s="66" t="n"/>
      <c r="F590" s="67" t="n"/>
      <c r="G590" s="67" t="n"/>
      <c r="H590" s="67" t="n"/>
      <c r="I590" s="67" t="n"/>
      <c r="J590" s="67" t="n"/>
      <c r="K590" s="67" t="n"/>
      <c r="L590" s="67" t="n"/>
      <c r="M590" s="67" t="n"/>
      <c r="N590" s="65" t="n"/>
      <c r="O590" s="84">
        <f>IF(A590="","",IF(E590="","No date",IF(TODAY()&gt;=EDATE(E590,Review_Months),"Review Due","Current")))</f>
        <v/>
      </c>
      <c r="P590" s="84">
        <f>IF(A590="","",IF(COUNTIFS('AFA Rates'!$A$5:$A$1004,A590,'AFA Rates'!$O$5:$O$1004,"&lt;&gt;Expired")&gt;0,"Yes",IF(COUNTIF('AFA Rates'!$A$5:$A$1004,A590)&gt;0,"Expired only","No")))</f>
        <v/>
      </c>
      <c r="Q590" s="84">
        <f>IF(A590="","",COUNTIFS('AFA Rates'!$A$5:$A$1004,A590,'AFA Rates'!$O$5:$O$1004,"&lt;&gt;Expired"))</f>
        <v/>
      </c>
      <c r="R590" s="66" t="n"/>
      <c r="S590" s="64" t="n"/>
      <c r="T590" s="64" t="n"/>
      <c r="U590">
        <f>IF(AND(A590&lt;&gt;"",B590="Paused"),COUNTIFS($A$5:A590,"&lt;&gt;",$B$5:B590,"Paused"),"")</f>
        <v/>
      </c>
      <c r="V590">
        <f>IF(P590="Yes",COUNTIF($P$5:P590,"Yes"),"")</f>
        <v/>
      </c>
      <c r="W590">
        <f>IF(A590="","",COUNTIF($A$5:$A$1004,"&lt;"&amp;A590)+COUNTIF($A$5:A590,A590))</f>
        <v/>
      </c>
      <c r="X590">
        <f>","&amp;SUBSTITUTE(SUBSTITUTE(SUBSTITUTE(UPPER(C590)," ",""),";",","),"/",",")&amp;","</f>
        <v/>
      </c>
      <c r="Y590">
        <f>IF(AND(A590&lt;&gt;"",B590="Active",'State Search'!$C$5&lt;&gt;"",OR(X590=",ALL,",ISNUMBER(SEARCH(","&amp;'State Search'!$C$5&amp;",",X590)))),W590,"")</f>
        <v/>
      </c>
    </row>
    <row r="591">
      <c r="A591" s="64" t="n"/>
      <c r="B591" s="65" t="n"/>
      <c r="C591" s="64" t="n"/>
      <c r="D591" s="66" t="n"/>
      <c r="E591" s="66" t="n"/>
      <c r="F591" s="67" t="n"/>
      <c r="G591" s="67" t="n"/>
      <c r="H591" s="67" t="n"/>
      <c r="I591" s="67" t="n"/>
      <c r="J591" s="67" t="n"/>
      <c r="K591" s="67" t="n"/>
      <c r="L591" s="67" t="n"/>
      <c r="M591" s="67" t="n"/>
      <c r="N591" s="65" t="n"/>
      <c r="O591" s="84">
        <f>IF(A591="","",IF(E591="","No date",IF(TODAY()&gt;=EDATE(E591,Review_Months),"Review Due","Current")))</f>
        <v/>
      </c>
      <c r="P591" s="84">
        <f>IF(A591="","",IF(COUNTIFS('AFA Rates'!$A$5:$A$1004,A591,'AFA Rates'!$O$5:$O$1004,"&lt;&gt;Expired")&gt;0,"Yes",IF(COUNTIF('AFA Rates'!$A$5:$A$1004,A591)&gt;0,"Expired only","No")))</f>
        <v/>
      </c>
      <c r="Q591" s="84">
        <f>IF(A591="","",COUNTIFS('AFA Rates'!$A$5:$A$1004,A591,'AFA Rates'!$O$5:$O$1004,"&lt;&gt;Expired"))</f>
        <v/>
      </c>
      <c r="R591" s="66" t="n"/>
      <c r="S591" s="64" t="n"/>
      <c r="T591" s="64" t="n"/>
      <c r="U591">
        <f>IF(AND(A591&lt;&gt;"",B591="Paused"),COUNTIFS($A$5:A591,"&lt;&gt;",$B$5:B591,"Paused"),"")</f>
        <v/>
      </c>
      <c r="V591">
        <f>IF(P591="Yes",COUNTIF($P$5:P591,"Yes"),"")</f>
        <v/>
      </c>
      <c r="W591">
        <f>IF(A591="","",COUNTIF($A$5:$A$1004,"&lt;"&amp;A591)+COUNTIF($A$5:A591,A591))</f>
        <v/>
      </c>
      <c r="X591">
        <f>","&amp;SUBSTITUTE(SUBSTITUTE(SUBSTITUTE(UPPER(C591)," ",""),";",","),"/",",")&amp;","</f>
        <v/>
      </c>
      <c r="Y591">
        <f>IF(AND(A591&lt;&gt;"",B591="Active",'State Search'!$C$5&lt;&gt;"",OR(X591=",ALL,",ISNUMBER(SEARCH(","&amp;'State Search'!$C$5&amp;",",X591)))),W591,"")</f>
        <v/>
      </c>
    </row>
    <row r="592">
      <c r="A592" s="64" t="n"/>
      <c r="B592" s="65" t="n"/>
      <c r="C592" s="64" t="n"/>
      <c r="D592" s="66" t="n"/>
      <c r="E592" s="66" t="n"/>
      <c r="F592" s="67" t="n"/>
      <c r="G592" s="67" t="n"/>
      <c r="H592" s="67" t="n"/>
      <c r="I592" s="67" t="n"/>
      <c r="J592" s="67" t="n"/>
      <c r="K592" s="67" t="n"/>
      <c r="L592" s="67" t="n"/>
      <c r="M592" s="67" t="n"/>
      <c r="N592" s="65" t="n"/>
      <c r="O592" s="84">
        <f>IF(A592="","",IF(E592="","No date",IF(TODAY()&gt;=EDATE(E592,Review_Months),"Review Due","Current")))</f>
        <v/>
      </c>
      <c r="P592" s="84">
        <f>IF(A592="","",IF(COUNTIFS('AFA Rates'!$A$5:$A$1004,A592,'AFA Rates'!$O$5:$O$1004,"&lt;&gt;Expired")&gt;0,"Yes",IF(COUNTIF('AFA Rates'!$A$5:$A$1004,A592)&gt;0,"Expired only","No")))</f>
        <v/>
      </c>
      <c r="Q592" s="84">
        <f>IF(A592="","",COUNTIFS('AFA Rates'!$A$5:$A$1004,A592,'AFA Rates'!$O$5:$O$1004,"&lt;&gt;Expired"))</f>
        <v/>
      </c>
      <c r="R592" s="66" t="n"/>
      <c r="S592" s="64" t="n"/>
      <c r="T592" s="64" t="n"/>
      <c r="U592">
        <f>IF(AND(A592&lt;&gt;"",B592="Paused"),COUNTIFS($A$5:A592,"&lt;&gt;",$B$5:B592,"Paused"),"")</f>
        <v/>
      </c>
      <c r="V592">
        <f>IF(P592="Yes",COUNTIF($P$5:P592,"Yes"),"")</f>
        <v/>
      </c>
      <c r="W592">
        <f>IF(A592="","",COUNTIF($A$5:$A$1004,"&lt;"&amp;A592)+COUNTIF($A$5:A592,A592))</f>
        <v/>
      </c>
      <c r="X592">
        <f>","&amp;SUBSTITUTE(SUBSTITUTE(SUBSTITUTE(UPPER(C592)," ",""),";",","),"/",",")&amp;","</f>
        <v/>
      </c>
      <c r="Y592">
        <f>IF(AND(A592&lt;&gt;"",B592="Active",'State Search'!$C$5&lt;&gt;"",OR(X592=",ALL,",ISNUMBER(SEARCH(","&amp;'State Search'!$C$5&amp;",",X592)))),W592,"")</f>
        <v/>
      </c>
    </row>
    <row r="593">
      <c r="A593" s="64" t="n"/>
      <c r="B593" s="65" t="n"/>
      <c r="C593" s="64" t="n"/>
      <c r="D593" s="66" t="n"/>
      <c r="E593" s="66" t="n"/>
      <c r="F593" s="67" t="n"/>
      <c r="G593" s="67" t="n"/>
      <c r="H593" s="67" t="n"/>
      <c r="I593" s="67" t="n"/>
      <c r="J593" s="67" t="n"/>
      <c r="K593" s="67" t="n"/>
      <c r="L593" s="67" t="n"/>
      <c r="M593" s="67" t="n"/>
      <c r="N593" s="65" t="n"/>
      <c r="O593" s="84">
        <f>IF(A593="","",IF(E593="","No date",IF(TODAY()&gt;=EDATE(E593,Review_Months),"Review Due","Current")))</f>
        <v/>
      </c>
      <c r="P593" s="84">
        <f>IF(A593="","",IF(COUNTIFS('AFA Rates'!$A$5:$A$1004,A593,'AFA Rates'!$O$5:$O$1004,"&lt;&gt;Expired")&gt;0,"Yes",IF(COUNTIF('AFA Rates'!$A$5:$A$1004,A593)&gt;0,"Expired only","No")))</f>
        <v/>
      </c>
      <c r="Q593" s="84">
        <f>IF(A593="","",COUNTIFS('AFA Rates'!$A$5:$A$1004,A593,'AFA Rates'!$O$5:$O$1004,"&lt;&gt;Expired"))</f>
        <v/>
      </c>
      <c r="R593" s="66" t="n"/>
      <c r="S593" s="64" t="n"/>
      <c r="T593" s="64" t="n"/>
      <c r="U593">
        <f>IF(AND(A593&lt;&gt;"",B593="Paused"),COUNTIFS($A$5:A593,"&lt;&gt;",$B$5:B593,"Paused"),"")</f>
        <v/>
      </c>
      <c r="V593">
        <f>IF(P593="Yes",COUNTIF($P$5:P593,"Yes"),"")</f>
        <v/>
      </c>
      <c r="W593">
        <f>IF(A593="","",COUNTIF($A$5:$A$1004,"&lt;"&amp;A593)+COUNTIF($A$5:A593,A593))</f>
        <v/>
      </c>
      <c r="X593">
        <f>","&amp;SUBSTITUTE(SUBSTITUTE(SUBSTITUTE(UPPER(C593)," ",""),";",","),"/",",")&amp;","</f>
        <v/>
      </c>
      <c r="Y593">
        <f>IF(AND(A593&lt;&gt;"",B593="Active",'State Search'!$C$5&lt;&gt;"",OR(X593=",ALL,",ISNUMBER(SEARCH(","&amp;'State Search'!$C$5&amp;",",X593)))),W593,"")</f>
        <v/>
      </c>
    </row>
    <row r="594">
      <c r="A594" s="64" t="n"/>
      <c r="B594" s="65" t="n"/>
      <c r="C594" s="64" t="n"/>
      <c r="D594" s="66" t="n"/>
      <c r="E594" s="66" t="n"/>
      <c r="F594" s="67" t="n"/>
      <c r="G594" s="67" t="n"/>
      <c r="H594" s="67" t="n"/>
      <c r="I594" s="67" t="n"/>
      <c r="J594" s="67" t="n"/>
      <c r="K594" s="67" t="n"/>
      <c r="L594" s="67" t="n"/>
      <c r="M594" s="67" t="n"/>
      <c r="N594" s="65" t="n"/>
      <c r="O594" s="84">
        <f>IF(A594="","",IF(E594="","No date",IF(TODAY()&gt;=EDATE(E594,Review_Months),"Review Due","Current")))</f>
        <v/>
      </c>
      <c r="P594" s="84">
        <f>IF(A594="","",IF(COUNTIFS('AFA Rates'!$A$5:$A$1004,A594,'AFA Rates'!$O$5:$O$1004,"&lt;&gt;Expired")&gt;0,"Yes",IF(COUNTIF('AFA Rates'!$A$5:$A$1004,A594)&gt;0,"Expired only","No")))</f>
        <v/>
      </c>
      <c r="Q594" s="84">
        <f>IF(A594="","",COUNTIFS('AFA Rates'!$A$5:$A$1004,A594,'AFA Rates'!$O$5:$O$1004,"&lt;&gt;Expired"))</f>
        <v/>
      </c>
      <c r="R594" s="66" t="n"/>
      <c r="S594" s="64" t="n"/>
      <c r="T594" s="64" t="n"/>
      <c r="U594">
        <f>IF(AND(A594&lt;&gt;"",B594="Paused"),COUNTIFS($A$5:A594,"&lt;&gt;",$B$5:B594,"Paused"),"")</f>
        <v/>
      </c>
      <c r="V594">
        <f>IF(P594="Yes",COUNTIF($P$5:P594,"Yes"),"")</f>
        <v/>
      </c>
      <c r="W594">
        <f>IF(A594="","",COUNTIF($A$5:$A$1004,"&lt;"&amp;A594)+COUNTIF($A$5:A594,A594))</f>
        <v/>
      </c>
      <c r="X594">
        <f>","&amp;SUBSTITUTE(SUBSTITUTE(SUBSTITUTE(UPPER(C594)," ",""),";",","),"/",",")&amp;","</f>
        <v/>
      </c>
      <c r="Y594">
        <f>IF(AND(A594&lt;&gt;"",B594="Active",'State Search'!$C$5&lt;&gt;"",OR(X594=",ALL,",ISNUMBER(SEARCH(","&amp;'State Search'!$C$5&amp;",",X594)))),W594,"")</f>
        <v/>
      </c>
    </row>
    <row r="595">
      <c r="A595" s="64" t="n"/>
      <c r="B595" s="65" t="n"/>
      <c r="C595" s="64" t="n"/>
      <c r="D595" s="66" t="n"/>
      <c r="E595" s="66" t="n"/>
      <c r="F595" s="67" t="n"/>
      <c r="G595" s="67" t="n"/>
      <c r="H595" s="67" t="n"/>
      <c r="I595" s="67" t="n"/>
      <c r="J595" s="67" t="n"/>
      <c r="K595" s="67" t="n"/>
      <c r="L595" s="67" t="n"/>
      <c r="M595" s="67" t="n"/>
      <c r="N595" s="65" t="n"/>
      <c r="O595" s="84">
        <f>IF(A595="","",IF(E595="","No date",IF(TODAY()&gt;=EDATE(E595,Review_Months),"Review Due","Current")))</f>
        <v/>
      </c>
      <c r="P595" s="84">
        <f>IF(A595="","",IF(COUNTIFS('AFA Rates'!$A$5:$A$1004,A595,'AFA Rates'!$O$5:$O$1004,"&lt;&gt;Expired")&gt;0,"Yes",IF(COUNTIF('AFA Rates'!$A$5:$A$1004,A595)&gt;0,"Expired only","No")))</f>
        <v/>
      </c>
      <c r="Q595" s="84">
        <f>IF(A595="","",COUNTIFS('AFA Rates'!$A$5:$A$1004,A595,'AFA Rates'!$O$5:$O$1004,"&lt;&gt;Expired"))</f>
        <v/>
      </c>
      <c r="R595" s="66" t="n"/>
      <c r="S595" s="64" t="n"/>
      <c r="T595" s="64" t="n"/>
      <c r="U595">
        <f>IF(AND(A595&lt;&gt;"",B595="Paused"),COUNTIFS($A$5:A595,"&lt;&gt;",$B$5:B595,"Paused"),"")</f>
        <v/>
      </c>
      <c r="V595">
        <f>IF(P595="Yes",COUNTIF($P$5:P595,"Yes"),"")</f>
        <v/>
      </c>
      <c r="W595">
        <f>IF(A595="","",COUNTIF($A$5:$A$1004,"&lt;"&amp;A595)+COUNTIF($A$5:A595,A595))</f>
        <v/>
      </c>
      <c r="X595">
        <f>","&amp;SUBSTITUTE(SUBSTITUTE(SUBSTITUTE(UPPER(C595)," ",""),";",","),"/",",")&amp;","</f>
        <v/>
      </c>
      <c r="Y595">
        <f>IF(AND(A595&lt;&gt;"",B595="Active",'State Search'!$C$5&lt;&gt;"",OR(X595=",ALL,",ISNUMBER(SEARCH(","&amp;'State Search'!$C$5&amp;",",X595)))),W595,"")</f>
        <v/>
      </c>
    </row>
    <row r="596">
      <c r="A596" s="64" t="n"/>
      <c r="B596" s="65" t="n"/>
      <c r="C596" s="64" t="n"/>
      <c r="D596" s="66" t="n"/>
      <c r="E596" s="66" t="n"/>
      <c r="F596" s="67" t="n"/>
      <c r="G596" s="67" t="n"/>
      <c r="H596" s="67" t="n"/>
      <c r="I596" s="67" t="n"/>
      <c r="J596" s="67" t="n"/>
      <c r="K596" s="67" t="n"/>
      <c r="L596" s="67" t="n"/>
      <c r="M596" s="67" t="n"/>
      <c r="N596" s="65" t="n"/>
      <c r="O596" s="84">
        <f>IF(A596="","",IF(E596="","No date",IF(TODAY()&gt;=EDATE(E596,Review_Months),"Review Due","Current")))</f>
        <v/>
      </c>
      <c r="P596" s="84">
        <f>IF(A596="","",IF(COUNTIFS('AFA Rates'!$A$5:$A$1004,A596,'AFA Rates'!$O$5:$O$1004,"&lt;&gt;Expired")&gt;0,"Yes",IF(COUNTIF('AFA Rates'!$A$5:$A$1004,A596)&gt;0,"Expired only","No")))</f>
        <v/>
      </c>
      <c r="Q596" s="84">
        <f>IF(A596="","",COUNTIFS('AFA Rates'!$A$5:$A$1004,A596,'AFA Rates'!$O$5:$O$1004,"&lt;&gt;Expired"))</f>
        <v/>
      </c>
      <c r="R596" s="66" t="n"/>
      <c r="S596" s="64" t="n"/>
      <c r="T596" s="64" t="n"/>
      <c r="U596">
        <f>IF(AND(A596&lt;&gt;"",B596="Paused"),COUNTIFS($A$5:A596,"&lt;&gt;",$B$5:B596,"Paused"),"")</f>
        <v/>
      </c>
      <c r="V596">
        <f>IF(P596="Yes",COUNTIF($P$5:P596,"Yes"),"")</f>
        <v/>
      </c>
      <c r="W596">
        <f>IF(A596="","",COUNTIF($A$5:$A$1004,"&lt;"&amp;A596)+COUNTIF($A$5:A596,A596))</f>
        <v/>
      </c>
      <c r="X596">
        <f>","&amp;SUBSTITUTE(SUBSTITUTE(SUBSTITUTE(UPPER(C596)," ",""),";",","),"/",",")&amp;","</f>
        <v/>
      </c>
      <c r="Y596">
        <f>IF(AND(A596&lt;&gt;"",B596="Active",'State Search'!$C$5&lt;&gt;"",OR(X596=",ALL,",ISNUMBER(SEARCH(","&amp;'State Search'!$C$5&amp;",",X596)))),W596,"")</f>
        <v/>
      </c>
    </row>
    <row r="597">
      <c r="A597" s="64" t="n"/>
      <c r="B597" s="65" t="n"/>
      <c r="C597" s="64" t="n"/>
      <c r="D597" s="66" t="n"/>
      <c r="E597" s="66" t="n"/>
      <c r="F597" s="67" t="n"/>
      <c r="G597" s="67" t="n"/>
      <c r="H597" s="67" t="n"/>
      <c r="I597" s="67" t="n"/>
      <c r="J597" s="67" t="n"/>
      <c r="K597" s="67" t="n"/>
      <c r="L597" s="67" t="n"/>
      <c r="M597" s="67" t="n"/>
      <c r="N597" s="65" t="n"/>
      <c r="O597" s="84">
        <f>IF(A597="","",IF(E597="","No date",IF(TODAY()&gt;=EDATE(E597,Review_Months),"Review Due","Current")))</f>
        <v/>
      </c>
      <c r="P597" s="84">
        <f>IF(A597="","",IF(COUNTIFS('AFA Rates'!$A$5:$A$1004,A597,'AFA Rates'!$O$5:$O$1004,"&lt;&gt;Expired")&gt;0,"Yes",IF(COUNTIF('AFA Rates'!$A$5:$A$1004,A597)&gt;0,"Expired only","No")))</f>
        <v/>
      </c>
      <c r="Q597" s="84">
        <f>IF(A597="","",COUNTIFS('AFA Rates'!$A$5:$A$1004,A597,'AFA Rates'!$O$5:$O$1004,"&lt;&gt;Expired"))</f>
        <v/>
      </c>
      <c r="R597" s="66" t="n"/>
      <c r="S597" s="64" t="n"/>
      <c r="T597" s="64" t="n"/>
      <c r="U597">
        <f>IF(AND(A597&lt;&gt;"",B597="Paused"),COUNTIFS($A$5:A597,"&lt;&gt;",$B$5:B597,"Paused"),"")</f>
        <v/>
      </c>
      <c r="V597">
        <f>IF(P597="Yes",COUNTIF($P$5:P597,"Yes"),"")</f>
        <v/>
      </c>
      <c r="W597">
        <f>IF(A597="","",COUNTIF($A$5:$A$1004,"&lt;"&amp;A597)+COUNTIF($A$5:A597,A597))</f>
        <v/>
      </c>
      <c r="X597">
        <f>","&amp;SUBSTITUTE(SUBSTITUTE(SUBSTITUTE(UPPER(C597)," ",""),";",","),"/",",")&amp;","</f>
        <v/>
      </c>
      <c r="Y597">
        <f>IF(AND(A597&lt;&gt;"",B597="Active",'State Search'!$C$5&lt;&gt;"",OR(X597=",ALL,",ISNUMBER(SEARCH(","&amp;'State Search'!$C$5&amp;",",X597)))),W597,"")</f>
        <v/>
      </c>
    </row>
    <row r="598">
      <c r="A598" s="64" t="n"/>
      <c r="B598" s="65" t="n"/>
      <c r="C598" s="64" t="n"/>
      <c r="D598" s="66" t="n"/>
      <c r="E598" s="66" t="n"/>
      <c r="F598" s="67" t="n"/>
      <c r="G598" s="67" t="n"/>
      <c r="H598" s="67" t="n"/>
      <c r="I598" s="67" t="n"/>
      <c r="J598" s="67" t="n"/>
      <c r="K598" s="67" t="n"/>
      <c r="L598" s="67" t="n"/>
      <c r="M598" s="67" t="n"/>
      <c r="N598" s="65" t="n"/>
      <c r="O598" s="84">
        <f>IF(A598="","",IF(E598="","No date",IF(TODAY()&gt;=EDATE(E598,Review_Months),"Review Due","Current")))</f>
        <v/>
      </c>
      <c r="P598" s="84">
        <f>IF(A598="","",IF(COUNTIFS('AFA Rates'!$A$5:$A$1004,A598,'AFA Rates'!$O$5:$O$1004,"&lt;&gt;Expired")&gt;0,"Yes",IF(COUNTIF('AFA Rates'!$A$5:$A$1004,A598)&gt;0,"Expired only","No")))</f>
        <v/>
      </c>
      <c r="Q598" s="84">
        <f>IF(A598="","",COUNTIFS('AFA Rates'!$A$5:$A$1004,A598,'AFA Rates'!$O$5:$O$1004,"&lt;&gt;Expired"))</f>
        <v/>
      </c>
      <c r="R598" s="66" t="n"/>
      <c r="S598" s="64" t="n"/>
      <c r="T598" s="64" t="n"/>
      <c r="U598">
        <f>IF(AND(A598&lt;&gt;"",B598="Paused"),COUNTIFS($A$5:A598,"&lt;&gt;",$B$5:B598,"Paused"),"")</f>
        <v/>
      </c>
      <c r="V598">
        <f>IF(P598="Yes",COUNTIF($P$5:P598,"Yes"),"")</f>
        <v/>
      </c>
      <c r="W598">
        <f>IF(A598="","",COUNTIF($A$5:$A$1004,"&lt;"&amp;A598)+COUNTIF($A$5:A598,A598))</f>
        <v/>
      </c>
      <c r="X598">
        <f>","&amp;SUBSTITUTE(SUBSTITUTE(SUBSTITUTE(UPPER(C598)," ",""),";",","),"/",",")&amp;","</f>
        <v/>
      </c>
      <c r="Y598">
        <f>IF(AND(A598&lt;&gt;"",B598="Active",'State Search'!$C$5&lt;&gt;"",OR(X598=",ALL,",ISNUMBER(SEARCH(","&amp;'State Search'!$C$5&amp;",",X598)))),W598,"")</f>
        <v/>
      </c>
    </row>
    <row r="599">
      <c r="A599" s="64" t="n"/>
      <c r="B599" s="65" t="n"/>
      <c r="C599" s="64" t="n"/>
      <c r="D599" s="66" t="n"/>
      <c r="E599" s="66" t="n"/>
      <c r="F599" s="67" t="n"/>
      <c r="G599" s="67" t="n"/>
      <c r="H599" s="67" t="n"/>
      <c r="I599" s="67" t="n"/>
      <c r="J599" s="67" t="n"/>
      <c r="K599" s="67" t="n"/>
      <c r="L599" s="67" t="n"/>
      <c r="M599" s="67" t="n"/>
      <c r="N599" s="65" t="n"/>
      <c r="O599" s="84">
        <f>IF(A599="","",IF(E599="","No date",IF(TODAY()&gt;=EDATE(E599,Review_Months),"Review Due","Current")))</f>
        <v/>
      </c>
      <c r="P599" s="84">
        <f>IF(A599="","",IF(COUNTIFS('AFA Rates'!$A$5:$A$1004,A599,'AFA Rates'!$O$5:$O$1004,"&lt;&gt;Expired")&gt;0,"Yes",IF(COUNTIF('AFA Rates'!$A$5:$A$1004,A599)&gt;0,"Expired only","No")))</f>
        <v/>
      </c>
      <c r="Q599" s="84">
        <f>IF(A599="","",COUNTIFS('AFA Rates'!$A$5:$A$1004,A599,'AFA Rates'!$O$5:$O$1004,"&lt;&gt;Expired"))</f>
        <v/>
      </c>
      <c r="R599" s="66" t="n"/>
      <c r="S599" s="64" t="n"/>
      <c r="T599" s="64" t="n"/>
      <c r="U599">
        <f>IF(AND(A599&lt;&gt;"",B599="Paused"),COUNTIFS($A$5:A599,"&lt;&gt;",$B$5:B599,"Paused"),"")</f>
        <v/>
      </c>
      <c r="V599">
        <f>IF(P599="Yes",COUNTIF($P$5:P599,"Yes"),"")</f>
        <v/>
      </c>
      <c r="W599">
        <f>IF(A599="","",COUNTIF($A$5:$A$1004,"&lt;"&amp;A599)+COUNTIF($A$5:A599,A599))</f>
        <v/>
      </c>
      <c r="X599">
        <f>","&amp;SUBSTITUTE(SUBSTITUTE(SUBSTITUTE(UPPER(C599)," ",""),";",","),"/",",")&amp;","</f>
        <v/>
      </c>
      <c r="Y599">
        <f>IF(AND(A599&lt;&gt;"",B599="Active",'State Search'!$C$5&lt;&gt;"",OR(X599=",ALL,",ISNUMBER(SEARCH(","&amp;'State Search'!$C$5&amp;",",X599)))),W599,"")</f>
        <v/>
      </c>
    </row>
    <row r="600">
      <c r="A600" s="64" t="n"/>
      <c r="B600" s="65" t="n"/>
      <c r="C600" s="64" t="n"/>
      <c r="D600" s="66" t="n"/>
      <c r="E600" s="66" t="n"/>
      <c r="F600" s="67" t="n"/>
      <c r="G600" s="67" t="n"/>
      <c r="H600" s="67" t="n"/>
      <c r="I600" s="67" t="n"/>
      <c r="J600" s="67" t="n"/>
      <c r="K600" s="67" t="n"/>
      <c r="L600" s="67" t="n"/>
      <c r="M600" s="67" t="n"/>
      <c r="N600" s="65" t="n"/>
      <c r="O600" s="84">
        <f>IF(A600="","",IF(E600="","No date",IF(TODAY()&gt;=EDATE(E600,Review_Months),"Review Due","Current")))</f>
        <v/>
      </c>
      <c r="P600" s="84">
        <f>IF(A600="","",IF(COUNTIFS('AFA Rates'!$A$5:$A$1004,A600,'AFA Rates'!$O$5:$O$1004,"&lt;&gt;Expired")&gt;0,"Yes",IF(COUNTIF('AFA Rates'!$A$5:$A$1004,A600)&gt;0,"Expired only","No")))</f>
        <v/>
      </c>
      <c r="Q600" s="84">
        <f>IF(A600="","",COUNTIFS('AFA Rates'!$A$5:$A$1004,A600,'AFA Rates'!$O$5:$O$1004,"&lt;&gt;Expired"))</f>
        <v/>
      </c>
      <c r="R600" s="66" t="n"/>
      <c r="S600" s="64" t="n"/>
      <c r="T600" s="64" t="n"/>
      <c r="U600">
        <f>IF(AND(A600&lt;&gt;"",B600="Paused"),COUNTIFS($A$5:A600,"&lt;&gt;",$B$5:B600,"Paused"),"")</f>
        <v/>
      </c>
      <c r="V600">
        <f>IF(P600="Yes",COUNTIF($P$5:P600,"Yes"),"")</f>
        <v/>
      </c>
      <c r="W600">
        <f>IF(A600="","",COUNTIF($A$5:$A$1004,"&lt;"&amp;A600)+COUNTIF($A$5:A600,A600))</f>
        <v/>
      </c>
      <c r="X600">
        <f>","&amp;SUBSTITUTE(SUBSTITUTE(SUBSTITUTE(UPPER(C600)," ",""),";",","),"/",",")&amp;","</f>
        <v/>
      </c>
      <c r="Y600">
        <f>IF(AND(A600&lt;&gt;"",B600="Active",'State Search'!$C$5&lt;&gt;"",OR(X600=",ALL,",ISNUMBER(SEARCH(","&amp;'State Search'!$C$5&amp;",",X600)))),W600,"")</f>
        <v/>
      </c>
    </row>
    <row r="601">
      <c r="A601" s="64" t="n"/>
      <c r="B601" s="65" t="n"/>
      <c r="C601" s="64" t="n"/>
      <c r="D601" s="66" t="n"/>
      <c r="E601" s="66" t="n"/>
      <c r="F601" s="67" t="n"/>
      <c r="G601" s="67" t="n"/>
      <c r="H601" s="67" t="n"/>
      <c r="I601" s="67" t="n"/>
      <c r="J601" s="67" t="n"/>
      <c r="K601" s="67" t="n"/>
      <c r="L601" s="67" t="n"/>
      <c r="M601" s="67" t="n"/>
      <c r="N601" s="65" t="n"/>
      <c r="O601" s="84">
        <f>IF(A601="","",IF(E601="","No date",IF(TODAY()&gt;=EDATE(E601,Review_Months),"Review Due","Current")))</f>
        <v/>
      </c>
      <c r="P601" s="84">
        <f>IF(A601="","",IF(COUNTIFS('AFA Rates'!$A$5:$A$1004,A601,'AFA Rates'!$O$5:$O$1004,"&lt;&gt;Expired")&gt;0,"Yes",IF(COUNTIF('AFA Rates'!$A$5:$A$1004,A601)&gt;0,"Expired only","No")))</f>
        <v/>
      </c>
      <c r="Q601" s="84">
        <f>IF(A601="","",COUNTIFS('AFA Rates'!$A$5:$A$1004,A601,'AFA Rates'!$O$5:$O$1004,"&lt;&gt;Expired"))</f>
        <v/>
      </c>
      <c r="R601" s="66" t="n"/>
      <c r="S601" s="64" t="n"/>
      <c r="T601" s="64" t="n"/>
      <c r="U601">
        <f>IF(AND(A601&lt;&gt;"",B601="Paused"),COUNTIFS($A$5:A601,"&lt;&gt;",$B$5:B601,"Paused"),"")</f>
        <v/>
      </c>
      <c r="V601">
        <f>IF(P601="Yes",COUNTIF($P$5:P601,"Yes"),"")</f>
        <v/>
      </c>
      <c r="W601">
        <f>IF(A601="","",COUNTIF($A$5:$A$1004,"&lt;"&amp;A601)+COUNTIF($A$5:A601,A601))</f>
        <v/>
      </c>
      <c r="X601">
        <f>","&amp;SUBSTITUTE(SUBSTITUTE(SUBSTITUTE(UPPER(C601)," ",""),";",","),"/",",")&amp;","</f>
        <v/>
      </c>
      <c r="Y601">
        <f>IF(AND(A601&lt;&gt;"",B601="Active",'State Search'!$C$5&lt;&gt;"",OR(X601=",ALL,",ISNUMBER(SEARCH(","&amp;'State Search'!$C$5&amp;",",X601)))),W601,"")</f>
        <v/>
      </c>
    </row>
    <row r="602">
      <c r="A602" s="64" t="n"/>
      <c r="B602" s="65" t="n"/>
      <c r="C602" s="64" t="n"/>
      <c r="D602" s="66" t="n"/>
      <c r="E602" s="66" t="n"/>
      <c r="F602" s="67" t="n"/>
      <c r="G602" s="67" t="n"/>
      <c r="H602" s="67" t="n"/>
      <c r="I602" s="67" t="n"/>
      <c r="J602" s="67" t="n"/>
      <c r="K602" s="67" t="n"/>
      <c r="L602" s="67" t="n"/>
      <c r="M602" s="67" t="n"/>
      <c r="N602" s="65" t="n"/>
      <c r="O602" s="84">
        <f>IF(A602="","",IF(E602="","No date",IF(TODAY()&gt;=EDATE(E602,Review_Months),"Review Due","Current")))</f>
        <v/>
      </c>
      <c r="P602" s="84">
        <f>IF(A602="","",IF(COUNTIFS('AFA Rates'!$A$5:$A$1004,A602,'AFA Rates'!$O$5:$O$1004,"&lt;&gt;Expired")&gt;0,"Yes",IF(COUNTIF('AFA Rates'!$A$5:$A$1004,A602)&gt;0,"Expired only","No")))</f>
        <v/>
      </c>
      <c r="Q602" s="84">
        <f>IF(A602="","",COUNTIFS('AFA Rates'!$A$5:$A$1004,A602,'AFA Rates'!$O$5:$O$1004,"&lt;&gt;Expired"))</f>
        <v/>
      </c>
      <c r="R602" s="66" t="n"/>
      <c r="S602" s="64" t="n"/>
      <c r="T602" s="64" t="n"/>
      <c r="U602">
        <f>IF(AND(A602&lt;&gt;"",B602="Paused"),COUNTIFS($A$5:A602,"&lt;&gt;",$B$5:B602,"Paused"),"")</f>
        <v/>
      </c>
      <c r="V602">
        <f>IF(P602="Yes",COUNTIF($P$5:P602,"Yes"),"")</f>
        <v/>
      </c>
      <c r="W602">
        <f>IF(A602="","",COUNTIF($A$5:$A$1004,"&lt;"&amp;A602)+COUNTIF($A$5:A602,A602))</f>
        <v/>
      </c>
      <c r="X602">
        <f>","&amp;SUBSTITUTE(SUBSTITUTE(SUBSTITUTE(UPPER(C602)," ",""),";",","),"/",",")&amp;","</f>
        <v/>
      </c>
      <c r="Y602">
        <f>IF(AND(A602&lt;&gt;"",B602="Active",'State Search'!$C$5&lt;&gt;"",OR(X602=",ALL,",ISNUMBER(SEARCH(","&amp;'State Search'!$C$5&amp;",",X602)))),W602,"")</f>
        <v/>
      </c>
    </row>
    <row r="603">
      <c r="A603" s="64" t="n"/>
      <c r="B603" s="65" t="n"/>
      <c r="C603" s="64" t="n"/>
      <c r="D603" s="66" t="n"/>
      <c r="E603" s="66" t="n"/>
      <c r="F603" s="67" t="n"/>
      <c r="G603" s="67" t="n"/>
      <c r="H603" s="67" t="n"/>
      <c r="I603" s="67" t="n"/>
      <c r="J603" s="67" t="n"/>
      <c r="K603" s="67" t="n"/>
      <c r="L603" s="67" t="n"/>
      <c r="M603" s="67" t="n"/>
      <c r="N603" s="65" t="n"/>
      <c r="O603" s="84">
        <f>IF(A603="","",IF(E603="","No date",IF(TODAY()&gt;=EDATE(E603,Review_Months),"Review Due","Current")))</f>
        <v/>
      </c>
      <c r="P603" s="84">
        <f>IF(A603="","",IF(COUNTIFS('AFA Rates'!$A$5:$A$1004,A603,'AFA Rates'!$O$5:$O$1004,"&lt;&gt;Expired")&gt;0,"Yes",IF(COUNTIF('AFA Rates'!$A$5:$A$1004,A603)&gt;0,"Expired only","No")))</f>
        <v/>
      </c>
      <c r="Q603" s="84">
        <f>IF(A603="","",COUNTIFS('AFA Rates'!$A$5:$A$1004,A603,'AFA Rates'!$O$5:$O$1004,"&lt;&gt;Expired"))</f>
        <v/>
      </c>
      <c r="R603" s="66" t="n"/>
      <c r="S603" s="64" t="n"/>
      <c r="T603" s="64" t="n"/>
      <c r="U603">
        <f>IF(AND(A603&lt;&gt;"",B603="Paused"),COUNTIFS($A$5:A603,"&lt;&gt;",$B$5:B603,"Paused"),"")</f>
        <v/>
      </c>
      <c r="V603">
        <f>IF(P603="Yes",COUNTIF($P$5:P603,"Yes"),"")</f>
        <v/>
      </c>
      <c r="W603">
        <f>IF(A603="","",COUNTIF($A$5:$A$1004,"&lt;"&amp;A603)+COUNTIF($A$5:A603,A603))</f>
        <v/>
      </c>
      <c r="X603">
        <f>","&amp;SUBSTITUTE(SUBSTITUTE(SUBSTITUTE(UPPER(C603)," ",""),";",","),"/",",")&amp;","</f>
        <v/>
      </c>
      <c r="Y603">
        <f>IF(AND(A603&lt;&gt;"",B603="Active",'State Search'!$C$5&lt;&gt;"",OR(X603=",ALL,",ISNUMBER(SEARCH(","&amp;'State Search'!$C$5&amp;",",X603)))),W603,"")</f>
        <v/>
      </c>
    </row>
    <row r="604">
      <c r="A604" s="64" t="n"/>
      <c r="B604" s="65" t="n"/>
      <c r="C604" s="64" t="n"/>
      <c r="D604" s="66" t="n"/>
      <c r="E604" s="66" t="n"/>
      <c r="F604" s="67" t="n"/>
      <c r="G604" s="67" t="n"/>
      <c r="H604" s="67" t="n"/>
      <c r="I604" s="67" t="n"/>
      <c r="J604" s="67" t="n"/>
      <c r="K604" s="67" t="n"/>
      <c r="L604" s="67" t="n"/>
      <c r="M604" s="67" t="n"/>
      <c r="N604" s="65" t="n"/>
      <c r="O604" s="84">
        <f>IF(A604="","",IF(E604="","No date",IF(TODAY()&gt;=EDATE(E604,Review_Months),"Review Due","Current")))</f>
        <v/>
      </c>
      <c r="P604" s="84">
        <f>IF(A604="","",IF(COUNTIFS('AFA Rates'!$A$5:$A$1004,A604,'AFA Rates'!$O$5:$O$1004,"&lt;&gt;Expired")&gt;0,"Yes",IF(COUNTIF('AFA Rates'!$A$5:$A$1004,A604)&gt;0,"Expired only","No")))</f>
        <v/>
      </c>
      <c r="Q604" s="84">
        <f>IF(A604="","",COUNTIFS('AFA Rates'!$A$5:$A$1004,A604,'AFA Rates'!$O$5:$O$1004,"&lt;&gt;Expired"))</f>
        <v/>
      </c>
      <c r="R604" s="66" t="n"/>
      <c r="S604" s="64" t="n"/>
      <c r="T604" s="64" t="n"/>
      <c r="U604">
        <f>IF(AND(A604&lt;&gt;"",B604="Paused"),COUNTIFS($A$5:A604,"&lt;&gt;",$B$5:B604,"Paused"),"")</f>
        <v/>
      </c>
      <c r="V604">
        <f>IF(P604="Yes",COUNTIF($P$5:P604,"Yes"),"")</f>
        <v/>
      </c>
      <c r="W604">
        <f>IF(A604="","",COUNTIF($A$5:$A$1004,"&lt;"&amp;A604)+COUNTIF($A$5:A604,A604))</f>
        <v/>
      </c>
      <c r="X604">
        <f>","&amp;SUBSTITUTE(SUBSTITUTE(SUBSTITUTE(UPPER(C604)," ",""),";",","),"/",",")&amp;","</f>
        <v/>
      </c>
      <c r="Y604">
        <f>IF(AND(A604&lt;&gt;"",B604="Active",'State Search'!$C$5&lt;&gt;"",OR(X604=",ALL,",ISNUMBER(SEARCH(","&amp;'State Search'!$C$5&amp;",",X604)))),W604,"")</f>
        <v/>
      </c>
    </row>
    <row r="605">
      <c r="A605" s="64" t="n"/>
      <c r="B605" s="65" t="n"/>
      <c r="C605" s="64" t="n"/>
      <c r="D605" s="66" t="n"/>
      <c r="E605" s="66" t="n"/>
      <c r="F605" s="67" t="n"/>
      <c r="G605" s="67" t="n"/>
      <c r="H605" s="67" t="n"/>
      <c r="I605" s="67" t="n"/>
      <c r="J605" s="67" t="n"/>
      <c r="K605" s="67" t="n"/>
      <c r="L605" s="67" t="n"/>
      <c r="M605" s="67" t="n"/>
      <c r="N605" s="65" t="n"/>
      <c r="O605" s="84">
        <f>IF(A605="","",IF(E605="","No date",IF(TODAY()&gt;=EDATE(E605,Review_Months),"Review Due","Current")))</f>
        <v/>
      </c>
      <c r="P605" s="84">
        <f>IF(A605="","",IF(COUNTIFS('AFA Rates'!$A$5:$A$1004,A605,'AFA Rates'!$O$5:$O$1004,"&lt;&gt;Expired")&gt;0,"Yes",IF(COUNTIF('AFA Rates'!$A$5:$A$1004,A605)&gt;0,"Expired only","No")))</f>
        <v/>
      </c>
      <c r="Q605" s="84">
        <f>IF(A605="","",COUNTIFS('AFA Rates'!$A$5:$A$1004,A605,'AFA Rates'!$O$5:$O$1004,"&lt;&gt;Expired"))</f>
        <v/>
      </c>
      <c r="R605" s="66" t="n"/>
      <c r="S605" s="64" t="n"/>
      <c r="T605" s="64" t="n"/>
      <c r="U605">
        <f>IF(AND(A605&lt;&gt;"",B605="Paused"),COUNTIFS($A$5:A605,"&lt;&gt;",$B$5:B605,"Paused"),"")</f>
        <v/>
      </c>
      <c r="V605">
        <f>IF(P605="Yes",COUNTIF($P$5:P605,"Yes"),"")</f>
        <v/>
      </c>
      <c r="W605">
        <f>IF(A605="","",COUNTIF($A$5:$A$1004,"&lt;"&amp;A605)+COUNTIF($A$5:A605,A605))</f>
        <v/>
      </c>
      <c r="X605">
        <f>","&amp;SUBSTITUTE(SUBSTITUTE(SUBSTITUTE(UPPER(C605)," ",""),";",","),"/",",")&amp;","</f>
        <v/>
      </c>
      <c r="Y605">
        <f>IF(AND(A605&lt;&gt;"",B605="Active",'State Search'!$C$5&lt;&gt;"",OR(X605=",ALL,",ISNUMBER(SEARCH(","&amp;'State Search'!$C$5&amp;",",X605)))),W605,"")</f>
        <v/>
      </c>
    </row>
    <row r="606">
      <c r="A606" s="64" t="n"/>
      <c r="B606" s="65" t="n"/>
      <c r="C606" s="64" t="n"/>
      <c r="D606" s="66" t="n"/>
      <c r="E606" s="66" t="n"/>
      <c r="F606" s="67" t="n"/>
      <c r="G606" s="67" t="n"/>
      <c r="H606" s="67" t="n"/>
      <c r="I606" s="67" t="n"/>
      <c r="J606" s="67" t="n"/>
      <c r="K606" s="67" t="n"/>
      <c r="L606" s="67" t="n"/>
      <c r="M606" s="67" t="n"/>
      <c r="N606" s="65" t="n"/>
      <c r="O606" s="84">
        <f>IF(A606="","",IF(E606="","No date",IF(TODAY()&gt;=EDATE(E606,Review_Months),"Review Due","Current")))</f>
        <v/>
      </c>
      <c r="P606" s="84">
        <f>IF(A606="","",IF(COUNTIFS('AFA Rates'!$A$5:$A$1004,A606,'AFA Rates'!$O$5:$O$1004,"&lt;&gt;Expired")&gt;0,"Yes",IF(COUNTIF('AFA Rates'!$A$5:$A$1004,A606)&gt;0,"Expired only","No")))</f>
        <v/>
      </c>
      <c r="Q606" s="84">
        <f>IF(A606="","",COUNTIFS('AFA Rates'!$A$5:$A$1004,A606,'AFA Rates'!$O$5:$O$1004,"&lt;&gt;Expired"))</f>
        <v/>
      </c>
      <c r="R606" s="66" t="n"/>
      <c r="S606" s="64" t="n"/>
      <c r="T606" s="64" t="n"/>
      <c r="U606">
        <f>IF(AND(A606&lt;&gt;"",B606="Paused"),COUNTIFS($A$5:A606,"&lt;&gt;",$B$5:B606,"Paused"),"")</f>
        <v/>
      </c>
      <c r="V606">
        <f>IF(P606="Yes",COUNTIF($P$5:P606,"Yes"),"")</f>
        <v/>
      </c>
      <c r="W606">
        <f>IF(A606="","",COUNTIF($A$5:$A$1004,"&lt;"&amp;A606)+COUNTIF($A$5:A606,A606))</f>
        <v/>
      </c>
      <c r="X606">
        <f>","&amp;SUBSTITUTE(SUBSTITUTE(SUBSTITUTE(UPPER(C606)," ",""),";",","),"/",",")&amp;","</f>
        <v/>
      </c>
      <c r="Y606">
        <f>IF(AND(A606&lt;&gt;"",B606="Active",'State Search'!$C$5&lt;&gt;"",OR(X606=",ALL,",ISNUMBER(SEARCH(","&amp;'State Search'!$C$5&amp;",",X606)))),W606,"")</f>
        <v/>
      </c>
    </row>
    <row r="607">
      <c r="A607" s="64" t="n"/>
      <c r="B607" s="65" t="n"/>
      <c r="C607" s="64" t="n"/>
      <c r="D607" s="66" t="n"/>
      <c r="E607" s="66" t="n"/>
      <c r="F607" s="67" t="n"/>
      <c r="G607" s="67" t="n"/>
      <c r="H607" s="67" t="n"/>
      <c r="I607" s="67" t="n"/>
      <c r="J607" s="67" t="n"/>
      <c r="K607" s="67" t="n"/>
      <c r="L607" s="67" t="n"/>
      <c r="M607" s="67" t="n"/>
      <c r="N607" s="65" t="n"/>
      <c r="O607" s="84">
        <f>IF(A607="","",IF(E607="","No date",IF(TODAY()&gt;=EDATE(E607,Review_Months),"Review Due","Current")))</f>
        <v/>
      </c>
      <c r="P607" s="84">
        <f>IF(A607="","",IF(COUNTIFS('AFA Rates'!$A$5:$A$1004,A607,'AFA Rates'!$O$5:$O$1004,"&lt;&gt;Expired")&gt;0,"Yes",IF(COUNTIF('AFA Rates'!$A$5:$A$1004,A607)&gt;0,"Expired only","No")))</f>
        <v/>
      </c>
      <c r="Q607" s="84">
        <f>IF(A607="","",COUNTIFS('AFA Rates'!$A$5:$A$1004,A607,'AFA Rates'!$O$5:$O$1004,"&lt;&gt;Expired"))</f>
        <v/>
      </c>
      <c r="R607" s="66" t="n"/>
      <c r="S607" s="64" t="n"/>
      <c r="T607" s="64" t="n"/>
      <c r="U607">
        <f>IF(AND(A607&lt;&gt;"",B607="Paused"),COUNTIFS($A$5:A607,"&lt;&gt;",$B$5:B607,"Paused"),"")</f>
        <v/>
      </c>
      <c r="V607">
        <f>IF(P607="Yes",COUNTIF($P$5:P607,"Yes"),"")</f>
        <v/>
      </c>
      <c r="W607">
        <f>IF(A607="","",COUNTIF($A$5:$A$1004,"&lt;"&amp;A607)+COUNTIF($A$5:A607,A607))</f>
        <v/>
      </c>
      <c r="X607">
        <f>","&amp;SUBSTITUTE(SUBSTITUTE(SUBSTITUTE(UPPER(C607)," ",""),";",","),"/",",")&amp;","</f>
        <v/>
      </c>
      <c r="Y607">
        <f>IF(AND(A607&lt;&gt;"",B607="Active",'State Search'!$C$5&lt;&gt;"",OR(X607=",ALL,",ISNUMBER(SEARCH(","&amp;'State Search'!$C$5&amp;",",X607)))),W607,"")</f>
        <v/>
      </c>
    </row>
    <row r="608">
      <c r="A608" s="64" t="n"/>
      <c r="B608" s="65" t="n"/>
      <c r="C608" s="64" t="n"/>
      <c r="D608" s="66" t="n"/>
      <c r="E608" s="66" t="n"/>
      <c r="F608" s="67" t="n"/>
      <c r="G608" s="67" t="n"/>
      <c r="H608" s="67" t="n"/>
      <c r="I608" s="67" t="n"/>
      <c r="J608" s="67" t="n"/>
      <c r="K608" s="67" t="n"/>
      <c r="L608" s="67" t="n"/>
      <c r="M608" s="67" t="n"/>
      <c r="N608" s="65" t="n"/>
      <c r="O608" s="84">
        <f>IF(A608="","",IF(E608="","No date",IF(TODAY()&gt;=EDATE(E608,Review_Months),"Review Due","Current")))</f>
        <v/>
      </c>
      <c r="P608" s="84">
        <f>IF(A608="","",IF(COUNTIFS('AFA Rates'!$A$5:$A$1004,A608,'AFA Rates'!$O$5:$O$1004,"&lt;&gt;Expired")&gt;0,"Yes",IF(COUNTIF('AFA Rates'!$A$5:$A$1004,A608)&gt;0,"Expired only","No")))</f>
        <v/>
      </c>
      <c r="Q608" s="84">
        <f>IF(A608="","",COUNTIFS('AFA Rates'!$A$5:$A$1004,A608,'AFA Rates'!$O$5:$O$1004,"&lt;&gt;Expired"))</f>
        <v/>
      </c>
      <c r="R608" s="66" t="n"/>
      <c r="S608" s="64" t="n"/>
      <c r="T608" s="64" t="n"/>
      <c r="U608">
        <f>IF(AND(A608&lt;&gt;"",B608="Paused"),COUNTIFS($A$5:A608,"&lt;&gt;",$B$5:B608,"Paused"),"")</f>
        <v/>
      </c>
      <c r="V608">
        <f>IF(P608="Yes",COUNTIF($P$5:P608,"Yes"),"")</f>
        <v/>
      </c>
      <c r="W608">
        <f>IF(A608="","",COUNTIF($A$5:$A$1004,"&lt;"&amp;A608)+COUNTIF($A$5:A608,A608))</f>
        <v/>
      </c>
      <c r="X608">
        <f>","&amp;SUBSTITUTE(SUBSTITUTE(SUBSTITUTE(UPPER(C608)," ",""),";",","),"/",",")&amp;","</f>
        <v/>
      </c>
      <c r="Y608">
        <f>IF(AND(A608&lt;&gt;"",B608="Active",'State Search'!$C$5&lt;&gt;"",OR(X608=",ALL,",ISNUMBER(SEARCH(","&amp;'State Search'!$C$5&amp;",",X608)))),W608,"")</f>
        <v/>
      </c>
    </row>
    <row r="609">
      <c r="A609" s="64" t="n"/>
      <c r="B609" s="65" t="n"/>
      <c r="C609" s="64" t="n"/>
      <c r="D609" s="66" t="n"/>
      <c r="E609" s="66" t="n"/>
      <c r="F609" s="67" t="n"/>
      <c r="G609" s="67" t="n"/>
      <c r="H609" s="67" t="n"/>
      <c r="I609" s="67" t="n"/>
      <c r="J609" s="67" t="n"/>
      <c r="K609" s="67" t="n"/>
      <c r="L609" s="67" t="n"/>
      <c r="M609" s="67" t="n"/>
      <c r="N609" s="65" t="n"/>
      <c r="O609" s="84">
        <f>IF(A609="","",IF(E609="","No date",IF(TODAY()&gt;=EDATE(E609,Review_Months),"Review Due","Current")))</f>
        <v/>
      </c>
      <c r="P609" s="84">
        <f>IF(A609="","",IF(COUNTIFS('AFA Rates'!$A$5:$A$1004,A609,'AFA Rates'!$O$5:$O$1004,"&lt;&gt;Expired")&gt;0,"Yes",IF(COUNTIF('AFA Rates'!$A$5:$A$1004,A609)&gt;0,"Expired only","No")))</f>
        <v/>
      </c>
      <c r="Q609" s="84">
        <f>IF(A609="","",COUNTIFS('AFA Rates'!$A$5:$A$1004,A609,'AFA Rates'!$O$5:$O$1004,"&lt;&gt;Expired"))</f>
        <v/>
      </c>
      <c r="R609" s="66" t="n"/>
      <c r="S609" s="64" t="n"/>
      <c r="T609" s="64" t="n"/>
      <c r="U609">
        <f>IF(AND(A609&lt;&gt;"",B609="Paused"),COUNTIFS($A$5:A609,"&lt;&gt;",$B$5:B609,"Paused"),"")</f>
        <v/>
      </c>
      <c r="V609">
        <f>IF(P609="Yes",COUNTIF($P$5:P609,"Yes"),"")</f>
        <v/>
      </c>
      <c r="W609">
        <f>IF(A609="","",COUNTIF($A$5:$A$1004,"&lt;"&amp;A609)+COUNTIF($A$5:A609,A609))</f>
        <v/>
      </c>
      <c r="X609">
        <f>","&amp;SUBSTITUTE(SUBSTITUTE(SUBSTITUTE(UPPER(C609)," ",""),";",","),"/",",")&amp;","</f>
        <v/>
      </c>
      <c r="Y609">
        <f>IF(AND(A609&lt;&gt;"",B609="Active",'State Search'!$C$5&lt;&gt;"",OR(X609=",ALL,",ISNUMBER(SEARCH(","&amp;'State Search'!$C$5&amp;",",X609)))),W609,"")</f>
        <v/>
      </c>
    </row>
    <row r="610">
      <c r="A610" s="64" t="n"/>
      <c r="B610" s="65" t="n"/>
      <c r="C610" s="64" t="n"/>
      <c r="D610" s="66" t="n"/>
      <c r="E610" s="66" t="n"/>
      <c r="F610" s="67" t="n"/>
      <c r="G610" s="67" t="n"/>
      <c r="H610" s="67" t="n"/>
      <c r="I610" s="67" t="n"/>
      <c r="J610" s="67" t="n"/>
      <c r="K610" s="67" t="n"/>
      <c r="L610" s="67" t="n"/>
      <c r="M610" s="67" t="n"/>
      <c r="N610" s="65" t="n"/>
      <c r="O610" s="84">
        <f>IF(A610="","",IF(E610="","No date",IF(TODAY()&gt;=EDATE(E610,Review_Months),"Review Due","Current")))</f>
        <v/>
      </c>
      <c r="P610" s="84">
        <f>IF(A610="","",IF(COUNTIFS('AFA Rates'!$A$5:$A$1004,A610,'AFA Rates'!$O$5:$O$1004,"&lt;&gt;Expired")&gt;0,"Yes",IF(COUNTIF('AFA Rates'!$A$5:$A$1004,A610)&gt;0,"Expired only","No")))</f>
        <v/>
      </c>
      <c r="Q610" s="84">
        <f>IF(A610="","",COUNTIFS('AFA Rates'!$A$5:$A$1004,A610,'AFA Rates'!$O$5:$O$1004,"&lt;&gt;Expired"))</f>
        <v/>
      </c>
      <c r="R610" s="66" t="n"/>
      <c r="S610" s="64" t="n"/>
      <c r="T610" s="64" t="n"/>
      <c r="U610">
        <f>IF(AND(A610&lt;&gt;"",B610="Paused"),COUNTIFS($A$5:A610,"&lt;&gt;",$B$5:B610,"Paused"),"")</f>
        <v/>
      </c>
      <c r="V610">
        <f>IF(P610="Yes",COUNTIF($P$5:P610,"Yes"),"")</f>
        <v/>
      </c>
      <c r="W610">
        <f>IF(A610="","",COUNTIF($A$5:$A$1004,"&lt;"&amp;A610)+COUNTIF($A$5:A610,A610))</f>
        <v/>
      </c>
      <c r="X610">
        <f>","&amp;SUBSTITUTE(SUBSTITUTE(SUBSTITUTE(UPPER(C610)," ",""),";",","),"/",",")&amp;","</f>
        <v/>
      </c>
      <c r="Y610">
        <f>IF(AND(A610&lt;&gt;"",B610="Active",'State Search'!$C$5&lt;&gt;"",OR(X610=",ALL,",ISNUMBER(SEARCH(","&amp;'State Search'!$C$5&amp;",",X610)))),W610,"")</f>
        <v/>
      </c>
    </row>
    <row r="611">
      <c r="A611" s="64" t="n"/>
      <c r="B611" s="65" t="n"/>
      <c r="C611" s="64" t="n"/>
      <c r="D611" s="66" t="n"/>
      <c r="E611" s="66" t="n"/>
      <c r="F611" s="67" t="n"/>
      <c r="G611" s="67" t="n"/>
      <c r="H611" s="67" t="n"/>
      <c r="I611" s="67" t="n"/>
      <c r="J611" s="67" t="n"/>
      <c r="K611" s="67" t="n"/>
      <c r="L611" s="67" t="n"/>
      <c r="M611" s="67" t="n"/>
      <c r="N611" s="65" t="n"/>
      <c r="O611" s="84">
        <f>IF(A611="","",IF(E611="","No date",IF(TODAY()&gt;=EDATE(E611,Review_Months),"Review Due","Current")))</f>
        <v/>
      </c>
      <c r="P611" s="84">
        <f>IF(A611="","",IF(COUNTIFS('AFA Rates'!$A$5:$A$1004,A611,'AFA Rates'!$O$5:$O$1004,"&lt;&gt;Expired")&gt;0,"Yes",IF(COUNTIF('AFA Rates'!$A$5:$A$1004,A611)&gt;0,"Expired only","No")))</f>
        <v/>
      </c>
      <c r="Q611" s="84">
        <f>IF(A611="","",COUNTIFS('AFA Rates'!$A$5:$A$1004,A611,'AFA Rates'!$O$5:$O$1004,"&lt;&gt;Expired"))</f>
        <v/>
      </c>
      <c r="R611" s="66" t="n"/>
      <c r="S611" s="64" t="n"/>
      <c r="T611" s="64" t="n"/>
      <c r="U611">
        <f>IF(AND(A611&lt;&gt;"",B611="Paused"),COUNTIFS($A$5:A611,"&lt;&gt;",$B$5:B611,"Paused"),"")</f>
        <v/>
      </c>
      <c r="V611">
        <f>IF(P611="Yes",COUNTIF($P$5:P611,"Yes"),"")</f>
        <v/>
      </c>
      <c r="W611">
        <f>IF(A611="","",COUNTIF($A$5:$A$1004,"&lt;"&amp;A611)+COUNTIF($A$5:A611,A611))</f>
        <v/>
      </c>
      <c r="X611">
        <f>","&amp;SUBSTITUTE(SUBSTITUTE(SUBSTITUTE(UPPER(C611)," ",""),";",","),"/",",")&amp;","</f>
        <v/>
      </c>
      <c r="Y611">
        <f>IF(AND(A611&lt;&gt;"",B611="Active",'State Search'!$C$5&lt;&gt;"",OR(X611=",ALL,",ISNUMBER(SEARCH(","&amp;'State Search'!$C$5&amp;",",X611)))),W611,"")</f>
        <v/>
      </c>
    </row>
    <row r="612">
      <c r="A612" s="64" t="n"/>
      <c r="B612" s="65" t="n"/>
      <c r="C612" s="64" t="n"/>
      <c r="D612" s="66" t="n"/>
      <c r="E612" s="66" t="n"/>
      <c r="F612" s="67" t="n"/>
      <c r="G612" s="67" t="n"/>
      <c r="H612" s="67" t="n"/>
      <c r="I612" s="67" t="n"/>
      <c r="J612" s="67" t="n"/>
      <c r="K612" s="67" t="n"/>
      <c r="L612" s="67" t="n"/>
      <c r="M612" s="67" t="n"/>
      <c r="N612" s="65" t="n"/>
      <c r="O612" s="84">
        <f>IF(A612="","",IF(E612="","No date",IF(TODAY()&gt;=EDATE(E612,Review_Months),"Review Due","Current")))</f>
        <v/>
      </c>
      <c r="P612" s="84">
        <f>IF(A612="","",IF(COUNTIFS('AFA Rates'!$A$5:$A$1004,A612,'AFA Rates'!$O$5:$O$1004,"&lt;&gt;Expired")&gt;0,"Yes",IF(COUNTIF('AFA Rates'!$A$5:$A$1004,A612)&gt;0,"Expired only","No")))</f>
        <v/>
      </c>
      <c r="Q612" s="84">
        <f>IF(A612="","",COUNTIFS('AFA Rates'!$A$5:$A$1004,A612,'AFA Rates'!$O$5:$O$1004,"&lt;&gt;Expired"))</f>
        <v/>
      </c>
      <c r="R612" s="66" t="n"/>
      <c r="S612" s="64" t="n"/>
      <c r="T612" s="64" t="n"/>
      <c r="U612">
        <f>IF(AND(A612&lt;&gt;"",B612="Paused"),COUNTIFS($A$5:A612,"&lt;&gt;",$B$5:B612,"Paused"),"")</f>
        <v/>
      </c>
      <c r="V612">
        <f>IF(P612="Yes",COUNTIF($P$5:P612,"Yes"),"")</f>
        <v/>
      </c>
      <c r="W612">
        <f>IF(A612="","",COUNTIF($A$5:$A$1004,"&lt;"&amp;A612)+COUNTIF($A$5:A612,A612))</f>
        <v/>
      </c>
      <c r="X612">
        <f>","&amp;SUBSTITUTE(SUBSTITUTE(SUBSTITUTE(UPPER(C612)," ",""),";",","),"/",",")&amp;","</f>
        <v/>
      </c>
      <c r="Y612">
        <f>IF(AND(A612&lt;&gt;"",B612="Active",'State Search'!$C$5&lt;&gt;"",OR(X612=",ALL,",ISNUMBER(SEARCH(","&amp;'State Search'!$C$5&amp;",",X612)))),W612,"")</f>
        <v/>
      </c>
    </row>
    <row r="613">
      <c r="A613" s="64" t="n"/>
      <c r="B613" s="65" t="n"/>
      <c r="C613" s="64" t="n"/>
      <c r="D613" s="66" t="n"/>
      <c r="E613" s="66" t="n"/>
      <c r="F613" s="67" t="n"/>
      <c r="G613" s="67" t="n"/>
      <c r="H613" s="67" t="n"/>
      <c r="I613" s="67" t="n"/>
      <c r="J613" s="67" t="n"/>
      <c r="K613" s="67" t="n"/>
      <c r="L613" s="67" t="n"/>
      <c r="M613" s="67" t="n"/>
      <c r="N613" s="65" t="n"/>
      <c r="O613" s="84">
        <f>IF(A613="","",IF(E613="","No date",IF(TODAY()&gt;=EDATE(E613,Review_Months),"Review Due","Current")))</f>
        <v/>
      </c>
      <c r="P613" s="84">
        <f>IF(A613="","",IF(COUNTIFS('AFA Rates'!$A$5:$A$1004,A613,'AFA Rates'!$O$5:$O$1004,"&lt;&gt;Expired")&gt;0,"Yes",IF(COUNTIF('AFA Rates'!$A$5:$A$1004,A613)&gt;0,"Expired only","No")))</f>
        <v/>
      </c>
      <c r="Q613" s="84">
        <f>IF(A613="","",COUNTIFS('AFA Rates'!$A$5:$A$1004,A613,'AFA Rates'!$O$5:$O$1004,"&lt;&gt;Expired"))</f>
        <v/>
      </c>
      <c r="R613" s="66" t="n"/>
      <c r="S613" s="64" t="n"/>
      <c r="T613" s="64" t="n"/>
      <c r="U613">
        <f>IF(AND(A613&lt;&gt;"",B613="Paused"),COUNTIFS($A$5:A613,"&lt;&gt;",$B$5:B613,"Paused"),"")</f>
        <v/>
      </c>
      <c r="V613">
        <f>IF(P613="Yes",COUNTIF($P$5:P613,"Yes"),"")</f>
        <v/>
      </c>
      <c r="W613">
        <f>IF(A613="","",COUNTIF($A$5:$A$1004,"&lt;"&amp;A613)+COUNTIF($A$5:A613,A613))</f>
        <v/>
      </c>
      <c r="X613">
        <f>","&amp;SUBSTITUTE(SUBSTITUTE(SUBSTITUTE(UPPER(C613)," ",""),";",","),"/",",")&amp;","</f>
        <v/>
      </c>
      <c r="Y613">
        <f>IF(AND(A613&lt;&gt;"",B613="Active",'State Search'!$C$5&lt;&gt;"",OR(X613=",ALL,",ISNUMBER(SEARCH(","&amp;'State Search'!$C$5&amp;",",X613)))),W613,"")</f>
        <v/>
      </c>
    </row>
    <row r="614">
      <c r="A614" s="64" t="n"/>
      <c r="B614" s="65" t="n"/>
      <c r="C614" s="64" t="n"/>
      <c r="D614" s="66" t="n"/>
      <c r="E614" s="66" t="n"/>
      <c r="F614" s="67" t="n"/>
      <c r="G614" s="67" t="n"/>
      <c r="H614" s="67" t="n"/>
      <c r="I614" s="67" t="n"/>
      <c r="J614" s="67" t="n"/>
      <c r="K614" s="67" t="n"/>
      <c r="L614" s="67" t="n"/>
      <c r="M614" s="67" t="n"/>
      <c r="N614" s="65" t="n"/>
      <c r="O614" s="84">
        <f>IF(A614="","",IF(E614="","No date",IF(TODAY()&gt;=EDATE(E614,Review_Months),"Review Due","Current")))</f>
        <v/>
      </c>
      <c r="P614" s="84">
        <f>IF(A614="","",IF(COUNTIFS('AFA Rates'!$A$5:$A$1004,A614,'AFA Rates'!$O$5:$O$1004,"&lt;&gt;Expired")&gt;0,"Yes",IF(COUNTIF('AFA Rates'!$A$5:$A$1004,A614)&gt;0,"Expired only","No")))</f>
        <v/>
      </c>
      <c r="Q614" s="84">
        <f>IF(A614="","",COUNTIFS('AFA Rates'!$A$5:$A$1004,A614,'AFA Rates'!$O$5:$O$1004,"&lt;&gt;Expired"))</f>
        <v/>
      </c>
      <c r="R614" s="66" t="n"/>
      <c r="S614" s="64" t="n"/>
      <c r="T614" s="64" t="n"/>
      <c r="U614">
        <f>IF(AND(A614&lt;&gt;"",B614="Paused"),COUNTIFS($A$5:A614,"&lt;&gt;",$B$5:B614,"Paused"),"")</f>
        <v/>
      </c>
      <c r="V614">
        <f>IF(P614="Yes",COUNTIF($P$5:P614,"Yes"),"")</f>
        <v/>
      </c>
      <c r="W614">
        <f>IF(A614="","",COUNTIF($A$5:$A$1004,"&lt;"&amp;A614)+COUNTIF($A$5:A614,A614))</f>
        <v/>
      </c>
      <c r="X614">
        <f>","&amp;SUBSTITUTE(SUBSTITUTE(SUBSTITUTE(UPPER(C614)," ",""),";",","),"/",",")&amp;","</f>
        <v/>
      </c>
      <c r="Y614">
        <f>IF(AND(A614&lt;&gt;"",B614="Active",'State Search'!$C$5&lt;&gt;"",OR(X614=",ALL,",ISNUMBER(SEARCH(","&amp;'State Search'!$C$5&amp;",",X614)))),W614,"")</f>
        <v/>
      </c>
    </row>
    <row r="615">
      <c r="A615" s="64" t="n"/>
      <c r="B615" s="65" t="n"/>
      <c r="C615" s="64" t="n"/>
      <c r="D615" s="66" t="n"/>
      <c r="E615" s="66" t="n"/>
      <c r="F615" s="67" t="n"/>
      <c r="G615" s="67" t="n"/>
      <c r="H615" s="67" t="n"/>
      <c r="I615" s="67" t="n"/>
      <c r="J615" s="67" t="n"/>
      <c r="K615" s="67" t="n"/>
      <c r="L615" s="67" t="n"/>
      <c r="M615" s="67" t="n"/>
      <c r="N615" s="65" t="n"/>
      <c r="O615" s="84">
        <f>IF(A615="","",IF(E615="","No date",IF(TODAY()&gt;=EDATE(E615,Review_Months),"Review Due","Current")))</f>
        <v/>
      </c>
      <c r="P615" s="84">
        <f>IF(A615="","",IF(COUNTIFS('AFA Rates'!$A$5:$A$1004,A615,'AFA Rates'!$O$5:$O$1004,"&lt;&gt;Expired")&gt;0,"Yes",IF(COUNTIF('AFA Rates'!$A$5:$A$1004,A615)&gt;0,"Expired only","No")))</f>
        <v/>
      </c>
      <c r="Q615" s="84">
        <f>IF(A615="","",COUNTIFS('AFA Rates'!$A$5:$A$1004,A615,'AFA Rates'!$O$5:$O$1004,"&lt;&gt;Expired"))</f>
        <v/>
      </c>
      <c r="R615" s="66" t="n"/>
      <c r="S615" s="64" t="n"/>
      <c r="T615" s="64" t="n"/>
      <c r="U615">
        <f>IF(AND(A615&lt;&gt;"",B615="Paused"),COUNTIFS($A$5:A615,"&lt;&gt;",$B$5:B615,"Paused"),"")</f>
        <v/>
      </c>
      <c r="V615">
        <f>IF(P615="Yes",COUNTIF($P$5:P615,"Yes"),"")</f>
        <v/>
      </c>
      <c r="W615">
        <f>IF(A615="","",COUNTIF($A$5:$A$1004,"&lt;"&amp;A615)+COUNTIF($A$5:A615,A615))</f>
        <v/>
      </c>
      <c r="X615">
        <f>","&amp;SUBSTITUTE(SUBSTITUTE(SUBSTITUTE(UPPER(C615)," ",""),";",","),"/",",")&amp;","</f>
        <v/>
      </c>
      <c r="Y615">
        <f>IF(AND(A615&lt;&gt;"",B615="Active",'State Search'!$C$5&lt;&gt;"",OR(X615=",ALL,",ISNUMBER(SEARCH(","&amp;'State Search'!$C$5&amp;",",X615)))),W615,"")</f>
        <v/>
      </c>
    </row>
    <row r="616">
      <c r="A616" s="64" t="n"/>
      <c r="B616" s="65" t="n"/>
      <c r="C616" s="64" t="n"/>
      <c r="D616" s="66" t="n"/>
      <c r="E616" s="66" t="n"/>
      <c r="F616" s="67" t="n"/>
      <c r="G616" s="67" t="n"/>
      <c r="H616" s="67" t="n"/>
      <c r="I616" s="67" t="n"/>
      <c r="J616" s="67" t="n"/>
      <c r="K616" s="67" t="n"/>
      <c r="L616" s="67" t="n"/>
      <c r="M616" s="67" t="n"/>
      <c r="N616" s="65" t="n"/>
      <c r="O616" s="84">
        <f>IF(A616="","",IF(E616="","No date",IF(TODAY()&gt;=EDATE(E616,Review_Months),"Review Due","Current")))</f>
        <v/>
      </c>
      <c r="P616" s="84">
        <f>IF(A616="","",IF(COUNTIFS('AFA Rates'!$A$5:$A$1004,A616,'AFA Rates'!$O$5:$O$1004,"&lt;&gt;Expired")&gt;0,"Yes",IF(COUNTIF('AFA Rates'!$A$5:$A$1004,A616)&gt;0,"Expired only","No")))</f>
        <v/>
      </c>
      <c r="Q616" s="84">
        <f>IF(A616="","",COUNTIFS('AFA Rates'!$A$5:$A$1004,A616,'AFA Rates'!$O$5:$O$1004,"&lt;&gt;Expired"))</f>
        <v/>
      </c>
      <c r="R616" s="66" t="n"/>
      <c r="S616" s="64" t="n"/>
      <c r="T616" s="64" t="n"/>
      <c r="U616">
        <f>IF(AND(A616&lt;&gt;"",B616="Paused"),COUNTIFS($A$5:A616,"&lt;&gt;",$B$5:B616,"Paused"),"")</f>
        <v/>
      </c>
      <c r="V616">
        <f>IF(P616="Yes",COUNTIF($P$5:P616,"Yes"),"")</f>
        <v/>
      </c>
      <c r="W616">
        <f>IF(A616="","",COUNTIF($A$5:$A$1004,"&lt;"&amp;A616)+COUNTIF($A$5:A616,A616))</f>
        <v/>
      </c>
      <c r="X616">
        <f>","&amp;SUBSTITUTE(SUBSTITUTE(SUBSTITUTE(UPPER(C616)," ",""),";",","),"/",",")&amp;","</f>
        <v/>
      </c>
      <c r="Y616">
        <f>IF(AND(A616&lt;&gt;"",B616="Active",'State Search'!$C$5&lt;&gt;"",OR(X616=",ALL,",ISNUMBER(SEARCH(","&amp;'State Search'!$C$5&amp;",",X616)))),W616,"")</f>
        <v/>
      </c>
    </row>
    <row r="617">
      <c r="A617" s="64" t="n"/>
      <c r="B617" s="65" t="n"/>
      <c r="C617" s="64" t="n"/>
      <c r="D617" s="66" t="n"/>
      <c r="E617" s="66" t="n"/>
      <c r="F617" s="67" t="n"/>
      <c r="G617" s="67" t="n"/>
      <c r="H617" s="67" t="n"/>
      <c r="I617" s="67" t="n"/>
      <c r="J617" s="67" t="n"/>
      <c r="K617" s="67" t="n"/>
      <c r="L617" s="67" t="n"/>
      <c r="M617" s="67" t="n"/>
      <c r="N617" s="65" t="n"/>
      <c r="O617" s="84">
        <f>IF(A617="","",IF(E617="","No date",IF(TODAY()&gt;=EDATE(E617,Review_Months),"Review Due","Current")))</f>
        <v/>
      </c>
      <c r="P617" s="84">
        <f>IF(A617="","",IF(COUNTIFS('AFA Rates'!$A$5:$A$1004,A617,'AFA Rates'!$O$5:$O$1004,"&lt;&gt;Expired")&gt;0,"Yes",IF(COUNTIF('AFA Rates'!$A$5:$A$1004,A617)&gt;0,"Expired only","No")))</f>
        <v/>
      </c>
      <c r="Q617" s="84">
        <f>IF(A617="","",COUNTIFS('AFA Rates'!$A$5:$A$1004,A617,'AFA Rates'!$O$5:$O$1004,"&lt;&gt;Expired"))</f>
        <v/>
      </c>
      <c r="R617" s="66" t="n"/>
      <c r="S617" s="64" t="n"/>
      <c r="T617" s="64" t="n"/>
      <c r="U617">
        <f>IF(AND(A617&lt;&gt;"",B617="Paused"),COUNTIFS($A$5:A617,"&lt;&gt;",$B$5:B617,"Paused"),"")</f>
        <v/>
      </c>
      <c r="V617">
        <f>IF(P617="Yes",COUNTIF($P$5:P617,"Yes"),"")</f>
        <v/>
      </c>
      <c r="W617">
        <f>IF(A617="","",COUNTIF($A$5:$A$1004,"&lt;"&amp;A617)+COUNTIF($A$5:A617,A617))</f>
        <v/>
      </c>
      <c r="X617">
        <f>","&amp;SUBSTITUTE(SUBSTITUTE(SUBSTITUTE(UPPER(C617)," ",""),";",","),"/",",")&amp;","</f>
        <v/>
      </c>
      <c r="Y617">
        <f>IF(AND(A617&lt;&gt;"",B617="Active",'State Search'!$C$5&lt;&gt;"",OR(X617=",ALL,",ISNUMBER(SEARCH(","&amp;'State Search'!$C$5&amp;",",X617)))),W617,"")</f>
        <v/>
      </c>
    </row>
    <row r="618">
      <c r="A618" s="64" t="n"/>
      <c r="B618" s="65" t="n"/>
      <c r="C618" s="64" t="n"/>
      <c r="D618" s="66" t="n"/>
      <c r="E618" s="66" t="n"/>
      <c r="F618" s="67" t="n"/>
      <c r="G618" s="67" t="n"/>
      <c r="H618" s="67" t="n"/>
      <c r="I618" s="67" t="n"/>
      <c r="J618" s="67" t="n"/>
      <c r="K618" s="67" t="n"/>
      <c r="L618" s="67" t="n"/>
      <c r="M618" s="67" t="n"/>
      <c r="N618" s="65" t="n"/>
      <c r="O618" s="84">
        <f>IF(A618="","",IF(E618="","No date",IF(TODAY()&gt;=EDATE(E618,Review_Months),"Review Due","Current")))</f>
        <v/>
      </c>
      <c r="P618" s="84">
        <f>IF(A618="","",IF(COUNTIFS('AFA Rates'!$A$5:$A$1004,A618,'AFA Rates'!$O$5:$O$1004,"&lt;&gt;Expired")&gt;0,"Yes",IF(COUNTIF('AFA Rates'!$A$5:$A$1004,A618)&gt;0,"Expired only","No")))</f>
        <v/>
      </c>
      <c r="Q618" s="84">
        <f>IF(A618="","",COUNTIFS('AFA Rates'!$A$5:$A$1004,A618,'AFA Rates'!$O$5:$O$1004,"&lt;&gt;Expired"))</f>
        <v/>
      </c>
      <c r="R618" s="66" t="n"/>
      <c r="S618" s="64" t="n"/>
      <c r="T618" s="64" t="n"/>
      <c r="U618">
        <f>IF(AND(A618&lt;&gt;"",B618="Paused"),COUNTIFS($A$5:A618,"&lt;&gt;",$B$5:B618,"Paused"),"")</f>
        <v/>
      </c>
      <c r="V618">
        <f>IF(P618="Yes",COUNTIF($P$5:P618,"Yes"),"")</f>
        <v/>
      </c>
      <c r="W618">
        <f>IF(A618="","",COUNTIF($A$5:$A$1004,"&lt;"&amp;A618)+COUNTIF($A$5:A618,A618))</f>
        <v/>
      </c>
      <c r="X618">
        <f>","&amp;SUBSTITUTE(SUBSTITUTE(SUBSTITUTE(UPPER(C618)," ",""),";",","),"/",",")&amp;","</f>
        <v/>
      </c>
      <c r="Y618">
        <f>IF(AND(A618&lt;&gt;"",B618="Active",'State Search'!$C$5&lt;&gt;"",OR(X618=",ALL,",ISNUMBER(SEARCH(","&amp;'State Search'!$C$5&amp;",",X618)))),W618,"")</f>
        <v/>
      </c>
    </row>
    <row r="619">
      <c r="A619" s="64" t="n"/>
      <c r="B619" s="65" t="n"/>
      <c r="C619" s="64" t="n"/>
      <c r="D619" s="66" t="n"/>
      <c r="E619" s="66" t="n"/>
      <c r="F619" s="67" t="n"/>
      <c r="G619" s="67" t="n"/>
      <c r="H619" s="67" t="n"/>
      <c r="I619" s="67" t="n"/>
      <c r="J619" s="67" t="n"/>
      <c r="K619" s="67" t="n"/>
      <c r="L619" s="67" t="n"/>
      <c r="M619" s="67" t="n"/>
      <c r="N619" s="65" t="n"/>
      <c r="O619" s="84">
        <f>IF(A619="","",IF(E619="","No date",IF(TODAY()&gt;=EDATE(E619,Review_Months),"Review Due","Current")))</f>
        <v/>
      </c>
      <c r="P619" s="84">
        <f>IF(A619="","",IF(COUNTIFS('AFA Rates'!$A$5:$A$1004,A619,'AFA Rates'!$O$5:$O$1004,"&lt;&gt;Expired")&gt;0,"Yes",IF(COUNTIF('AFA Rates'!$A$5:$A$1004,A619)&gt;0,"Expired only","No")))</f>
        <v/>
      </c>
      <c r="Q619" s="84">
        <f>IF(A619="","",COUNTIFS('AFA Rates'!$A$5:$A$1004,A619,'AFA Rates'!$O$5:$O$1004,"&lt;&gt;Expired"))</f>
        <v/>
      </c>
      <c r="R619" s="66" t="n"/>
      <c r="S619" s="64" t="n"/>
      <c r="T619" s="64" t="n"/>
      <c r="U619">
        <f>IF(AND(A619&lt;&gt;"",B619="Paused"),COUNTIFS($A$5:A619,"&lt;&gt;",$B$5:B619,"Paused"),"")</f>
        <v/>
      </c>
      <c r="V619">
        <f>IF(P619="Yes",COUNTIF($P$5:P619,"Yes"),"")</f>
        <v/>
      </c>
      <c r="W619">
        <f>IF(A619="","",COUNTIF($A$5:$A$1004,"&lt;"&amp;A619)+COUNTIF($A$5:A619,A619))</f>
        <v/>
      </c>
      <c r="X619">
        <f>","&amp;SUBSTITUTE(SUBSTITUTE(SUBSTITUTE(UPPER(C619)," ",""),";",","),"/",",")&amp;","</f>
        <v/>
      </c>
      <c r="Y619">
        <f>IF(AND(A619&lt;&gt;"",B619="Active",'State Search'!$C$5&lt;&gt;"",OR(X619=",ALL,",ISNUMBER(SEARCH(","&amp;'State Search'!$C$5&amp;",",X619)))),W619,"")</f>
        <v/>
      </c>
    </row>
    <row r="620">
      <c r="A620" s="64" t="n"/>
      <c r="B620" s="65" t="n"/>
      <c r="C620" s="64" t="n"/>
      <c r="D620" s="66" t="n"/>
      <c r="E620" s="66" t="n"/>
      <c r="F620" s="67" t="n"/>
      <c r="G620" s="67" t="n"/>
      <c r="H620" s="67" t="n"/>
      <c r="I620" s="67" t="n"/>
      <c r="J620" s="67" t="n"/>
      <c r="K620" s="67" t="n"/>
      <c r="L620" s="67" t="n"/>
      <c r="M620" s="67" t="n"/>
      <c r="N620" s="65" t="n"/>
      <c r="O620" s="84">
        <f>IF(A620="","",IF(E620="","No date",IF(TODAY()&gt;=EDATE(E620,Review_Months),"Review Due","Current")))</f>
        <v/>
      </c>
      <c r="P620" s="84">
        <f>IF(A620="","",IF(COUNTIFS('AFA Rates'!$A$5:$A$1004,A620,'AFA Rates'!$O$5:$O$1004,"&lt;&gt;Expired")&gt;0,"Yes",IF(COUNTIF('AFA Rates'!$A$5:$A$1004,A620)&gt;0,"Expired only","No")))</f>
        <v/>
      </c>
      <c r="Q620" s="84">
        <f>IF(A620="","",COUNTIFS('AFA Rates'!$A$5:$A$1004,A620,'AFA Rates'!$O$5:$O$1004,"&lt;&gt;Expired"))</f>
        <v/>
      </c>
      <c r="R620" s="66" t="n"/>
      <c r="S620" s="64" t="n"/>
      <c r="T620" s="64" t="n"/>
      <c r="U620">
        <f>IF(AND(A620&lt;&gt;"",B620="Paused"),COUNTIFS($A$5:A620,"&lt;&gt;",$B$5:B620,"Paused"),"")</f>
        <v/>
      </c>
      <c r="V620">
        <f>IF(P620="Yes",COUNTIF($P$5:P620,"Yes"),"")</f>
        <v/>
      </c>
      <c r="W620">
        <f>IF(A620="","",COUNTIF($A$5:$A$1004,"&lt;"&amp;A620)+COUNTIF($A$5:A620,A620))</f>
        <v/>
      </c>
      <c r="X620">
        <f>","&amp;SUBSTITUTE(SUBSTITUTE(SUBSTITUTE(UPPER(C620)," ",""),";",","),"/",",")&amp;","</f>
        <v/>
      </c>
      <c r="Y620">
        <f>IF(AND(A620&lt;&gt;"",B620="Active",'State Search'!$C$5&lt;&gt;"",OR(X620=",ALL,",ISNUMBER(SEARCH(","&amp;'State Search'!$C$5&amp;",",X620)))),W620,"")</f>
        <v/>
      </c>
    </row>
    <row r="621">
      <c r="A621" s="64" t="n"/>
      <c r="B621" s="65" t="n"/>
      <c r="C621" s="64" t="n"/>
      <c r="D621" s="66" t="n"/>
      <c r="E621" s="66" t="n"/>
      <c r="F621" s="67" t="n"/>
      <c r="G621" s="67" t="n"/>
      <c r="H621" s="67" t="n"/>
      <c r="I621" s="67" t="n"/>
      <c r="J621" s="67" t="n"/>
      <c r="K621" s="67" t="n"/>
      <c r="L621" s="67" t="n"/>
      <c r="M621" s="67" t="n"/>
      <c r="N621" s="65" t="n"/>
      <c r="O621" s="84">
        <f>IF(A621="","",IF(E621="","No date",IF(TODAY()&gt;=EDATE(E621,Review_Months),"Review Due","Current")))</f>
        <v/>
      </c>
      <c r="P621" s="84">
        <f>IF(A621="","",IF(COUNTIFS('AFA Rates'!$A$5:$A$1004,A621,'AFA Rates'!$O$5:$O$1004,"&lt;&gt;Expired")&gt;0,"Yes",IF(COUNTIF('AFA Rates'!$A$5:$A$1004,A621)&gt;0,"Expired only","No")))</f>
        <v/>
      </c>
      <c r="Q621" s="84">
        <f>IF(A621="","",COUNTIFS('AFA Rates'!$A$5:$A$1004,A621,'AFA Rates'!$O$5:$O$1004,"&lt;&gt;Expired"))</f>
        <v/>
      </c>
      <c r="R621" s="66" t="n"/>
      <c r="S621" s="64" t="n"/>
      <c r="T621" s="64" t="n"/>
      <c r="U621">
        <f>IF(AND(A621&lt;&gt;"",B621="Paused"),COUNTIFS($A$5:A621,"&lt;&gt;",$B$5:B621,"Paused"),"")</f>
        <v/>
      </c>
      <c r="V621">
        <f>IF(P621="Yes",COUNTIF($P$5:P621,"Yes"),"")</f>
        <v/>
      </c>
      <c r="W621">
        <f>IF(A621="","",COUNTIF($A$5:$A$1004,"&lt;"&amp;A621)+COUNTIF($A$5:A621,A621))</f>
        <v/>
      </c>
      <c r="X621">
        <f>","&amp;SUBSTITUTE(SUBSTITUTE(SUBSTITUTE(UPPER(C621)," ",""),";",","),"/",",")&amp;","</f>
        <v/>
      </c>
      <c r="Y621">
        <f>IF(AND(A621&lt;&gt;"",B621="Active",'State Search'!$C$5&lt;&gt;"",OR(X621=",ALL,",ISNUMBER(SEARCH(","&amp;'State Search'!$C$5&amp;",",X621)))),W621,"")</f>
        <v/>
      </c>
    </row>
    <row r="622">
      <c r="A622" s="64" t="n"/>
      <c r="B622" s="65" t="n"/>
      <c r="C622" s="64" t="n"/>
      <c r="D622" s="66" t="n"/>
      <c r="E622" s="66" t="n"/>
      <c r="F622" s="67" t="n"/>
      <c r="G622" s="67" t="n"/>
      <c r="H622" s="67" t="n"/>
      <c r="I622" s="67" t="n"/>
      <c r="J622" s="67" t="n"/>
      <c r="K622" s="67" t="n"/>
      <c r="L622" s="67" t="n"/>
      <c r="M622" s="67" t="n"/>
      <c r="N622" s="65" t="n"/>
      <c r="O622" s="84">
        <f>IF(A622="","",IF(E622="","No date",IF(TODAY()&gt;=EDATE(E622,Review_Months),"Review Due","Current")))</f>
        <v/>
      </c>
      <c r="P622" s="84">
        <f>IF(A622="","",IF(COUNTIFS('AFA Rates'!$A$5:$A$1004,A622,'AFA Rates'!$O$5:$O$1004,"&lt;&gt;Expired")&gt;0,"Yes",IF(COUNTIF('AFA Rates'!$A$5:$A$1004,A622)&gt;0,"Expired only","No")))</f>
        <v/>
      </c>
      <c r="Q622" s="84">
        <f>IF(A622="","",COUNTIFS('AFA Rates'!$A$5:$A$1004,A622,'AFA Rates'!$O$5:$O$1004,"&lt;&gt;Expired"))</f>
        <v/>
      </c>
      <c r="R622" s="66" t="n"/>
      <c r="S622" s="64" t="n"/>
      <c r="T622" s="64" t="n"/>
      <c r="U622">
        <f>IF(AND(A622&lt;&gt;"",B622="Paused"),COUNTIFS($A$5:A622,"&lt;&gt;",$B$5:B622,"Paused"),"")</f>
        <v/>
      </c>
      <c r="V622">
        <f>IF(P622="Yes",COUNTIF($P$5:P622,"Yes"),"")</f>
        <v/>
      </c>
      <c r="W622">
        <f>IF(A622="","",COUNTIF($A$5:$A$1004,"&lt;"&amp;A622)+COUNTIF($A$5:A622,A622))</f>
        <v/>
      </c>
      <c r="X622">
        <f>","&amp;SUBSTITUTE(SUBSTITUTE(SUBSTITUTE(UPPER(C622)," ",""),";",","),"/",",")&amp;","</f>
        <v/>
      </c>
      <c r="Y622">
        <f>IF(AND(A622&lt;&gt;"",B622="Active",'State Search'!$C$5&lt;&gt;"",OR(X622=",ALL,",ISNUMBER(SEARCH(","&amp;'State Search'!$C$5&amp;",",X622)))),W622,"")</f>
        <v/>
      </c>
    </row>
    <row r="623">
      <c r="A623" s="64" t="n"/>
      <c r="B623" s="65" t="n"/>
      <c r="C623" s="64" t="n"/>
      <c r="D623" s="66" t="n"/>
      <c r="E623" s="66" t="n"/>
      <c r="F623" s="67" t="n"/>
      <c r="G623" s="67" t="n"/>
      <c r="H623" s="67" t="n"/>
      <c r="I623" s="67" t="n"/>
      <c r="J623" s="67" t="n"/>
      <c r="K623" s="67" t="n"/>
      <c r="L623" s="67" t="n"/>
      <c r="M623" s="67" t="n"/>
      <c r="N623" s="65" t="n"/>
      <c r="O623" s="84">
        <f>IF(A623="","",IF(E623="","No date",IF(TODAY()&gt;=EDATE(E623,Review_Months),"Review Due","Current")))</f>
        <v/>
      </c>
      <c r="P623" s="84">
        <f>IF(A623="","",IF(COUNTIFS('AFA Rates'!$A$5:$A$1004,A623,'AFA Rates'!$O$5:$O$1004,"&lt;&gt;Expired")&gt;0,"Yes",IF(COUNTIF('AFA Rates'!$A$5:$A$1004,A623)&gt;0,"Expired only","No")))</f>
        <v/>
      </c>
      <c r="Q623" s="84">
        <f>IF(A623="","",COUNTIFS('AFA Rates'!$A$5:$A$1004,A623,'AFA Rates'!$O$5:$O$1004,"&lt;&gt;Expired"))</f>
        <v/>
      </c>
      <c r="R623" s="66" t="n"/>
      <c r="S623" s="64" t="n"/>
      <c r="T623" s="64" t="n"/>
      <c r="U623">
        <f>IF(AND(A623&lt;&gt;"",B623="Paused"),COUNTIFS($A$5:A623,"&lt;&gt;",$B$5:B623,"Paused"),"")</f>
        <v/>
      </c>
      <c r="V623">
        <f>IF(P623="Yes",COUNTIF($P$5:P623,"Yes"),"")</f>
        <v/>
      </c>
      <c r="W623">
        <f>IF(A623="","",COUNTIF($A$5:$A$1004,"&lt;"&amp;A623)+COUNTIF($A$5:A623,A623))</f>
        <v/>
      </c>
      <c r="X623">
        <f>","&amp;SUBSTITUTE(SUBSTITUTE(SUBSTITUTE(UPPER(C623)," ",""),";",","),"/",",")&amp;","</f>
        <v/>
      </c>
      <c r="Y623">
        <f>IF(AND(A623&lt;&gt;"",B623="Active",'State Search'!$C$5&lt;&gt;"",OR(X623=",ALL,",ISNUMBER(SEARCH(","&amp;'State Search'!$C$5&amp;",",X623)))),W623,"")</f>
        <v/>
      </c>
    </row>
    <row r="624">
      <c r="A624" s="64" t="n"/>
      <c r="B624" s="65" t="n"/>
      <c r="C624" s="64" t="n"/>
      <c r="D624" s="66" t="n"/>
      <c r="E624" s="66" t="n"/>
      <c r="F624" s="67" t="n"/>
      <c r="G624" s="67" t="n"/>
      <c r="H624" s="67" t="n"/>
      <c r="I624" s="67" t="n"/>
      <c r="J624" s="67" t="n"/>
      <c r="K624" s="67" t="n"/>
      <c r="L624" s="67" t="n"/>
      <c r="M624" s="67" t="n"/>
      <c r="N624" s="65" t="n"/>
      <c r="O624" s="84">
        <f>IF(A624="","",IF(E624="","No date",IF(TODAY()&gt;=EDATE(E624,Review_Months),"Review Due","Current")))</f>
        <v/>
      </c>
      <c r="P624" s="84">
        <f>IF(A624="","",IF(COUNTIFS('AFA Rates'!$A$5:$A$1004,A624,'AFA Rates'!$O$5:$O$1004,"&lt;&gt;Expired")&gt;0,"Yes",IF(COUNTIF('AFA Rates'!$A$5:$A$1004,A624)&gt;0,"Expired only","No")))</f>
        <v/>
      </c>
      <c r="Q624" s="84">
        <f>IF(A624="","",COUNTIFS('AFA Rates'!$A$5:$A$1004,A624,'AFA Rates'!$O$5:$O$1004,"&lt;&gt;Expired"))</f>
        <v/>
      </c>
      <c r="R624" s="66" t="n"/>
      <c r="S624" s="64" t="n"/>
      <c r="T624" s="64" t="n"/>
      <c r="U624">
        <f>IF(AND(A624&lt;&gt;"",B624="Paused"),COUNTIFS($A$5:A624,"&lt;&gt;",$B$5:B624,"Paused"),"")</f>
        <v/>
      </c>
      <c r="V624">
        <f>IF(P624="Yes",COUNTIF($P$5:P624,"Yes"),"")</f>
        <v/>
      </c>
      <c r="W624">
        <f>IF(A624="","",COUNTIF($A$5:$A$1004,"&lt;"&amp;A624)+COUNTIF($A$5:A624,A624))</f>
        <v/>
      </c>
      <c r="X624">
        <f>","&amp;SUBSTITUTE(SUBSTITUTE(SUBSTITUTE(UPPER(C624)," ",""),";",","),"/",",")&amp;","</f>
        <v/>
      </c>
      <c r="Y624">
        <f>IF(AND(A624&lt;&gt;"",B624="Active",'State Search'!$C$5&lt;&gt;"",OR(X624=",ALL,",ISNUMBER(SEARCH(","&amp;'State Search'!$C$5&amp;",",X624)))),W624,"")</f>
        <v/>
      </c>
    </row>
    <row r="625">
      <c r="A625" s="64" t="n"/>
      <c r="B625" s="65" t="n"/>
      <c r="C625" s="64" t="n"/>
      <c r="D625" s="66" t="n"/>
      <c r="E625" s="66" t="n"/>
      <c r="F625" s="67" t="n"/>
      <c r="G625" s="67" t="n"/>
      <c r="H625" s="67" t="n"/>
      <c r="I625" s="67" t="n"/>
      <c r="J625" s="67" t="n"/>
      <c r="K625" s="67" t="n"/>
      <c r="L625" s="67" t="n"/>
      <c r="M625" s="67" t="n"/>
      <c r="N625" s="65" t="n"/>
      <c r="O625" s="84">
        <f>IF(A625="","",IF(E625="","No date",IF(TODAY()&gt;=EDATE(E625,Review_Months),"Review Due","Current")))</f>
        <v/>
      </c>
      <c r="P625" s="84">
        <f>IF(A625="","",IF(COUNTIFS('AFA Rates'!$A$5:$A$1004,A625,'AFA Rates'!$O$5:$O$1004,"&lt;&gt;Expired")&gt;0,"Yes",IF(COUNTIF('AFA Rates'!$A$5:$A$1004,A625)&gt;0,"Expired only","No")))</f>
        <v/>
      </c>
      <c r="Q625" s="84">
        <f>IF(A625="","",COUNTIFS('AFA Rates'!$A$5:$A$1004,A625,'AFA Rates'!$O$5:$O$1004,"&lt;&gt;Expired"))</f>
        <v/>
      </c>
      <c r="R625" s="66" t="n"/>
      <c r="S625" s="64" t="n"/>
      <c r="T625" s="64" t="n"/>
      <c r="U625">
        <f>IF(AND(A625&lt;&gt;"",B625="Paused"),COUNTIFS($A$5:A625,"&lt;&gt;",$B$5:B625,"Paused"),"")</f>
        <v/>
      </c>
      <c r="V625">
        <f>IF(P625="Yes",COUNTIF($P$5:P625,"Yes"),"")</f>
        <v/>
      </c>
      <c r="W625">
        <f>IF(A625="","",COUNTIF($A$5:$A$1004,"&lt;"&amp;A625)+COUNTIF($A$5:A625,A625))</f>
        <v/>
      </c>
      <c r="X625">
        <f>","&amp;SUBSTITUTE(SUBSTITUTE(SUBSTITUTE(UPPER(C625)," ",""),";",","),"/",",")&amp;","</f>
        <v/>
      </c>
      <c r="Y625">
        <f>IF(AND(A625&lt;&gt;"",B625="Active",'State Search'!$C$5&lt;&gt;"",OR(X625=",ALL,",ISNUMBER(SEARCH(","&amp;'State Search'!$C$5&amp;",",X625)))),W625,"")</f>
        <v/>
      </c>
    </row>
    <row r="626">
      <c r="A626" s="64" t="n"/>
      <c r="B626" s="65" t="n"/>
      <c r="C626" s="64" t="n"/>
      <c r="D626" s="66" t="n"/>
      <c r="E626" s="66" t="n"/>
      <c r="F626" s="67" t="n"/>
      <c r="G626" s="67" t="n"/>
      <c r="H626" s="67" t="n"/>
      <c r="I626" s="67" t="n"/>
      <c r="J626" s="67" t="n"/>
      <c r="K626" s="67" t="n"/>
      <c r="L626" s="67" t="n"/>
      <c r="M626" s="67" t="n"/>
      <c r="N626" s="65" t="n"/>
      <c r="O626" s="84">
        <f>IF(A626="","",IF(E626="","No date",IF(TODAY()&gt;=EDATE(E626,Review_Months),"Review Due","Current")))</f>
        <v/>
      </c>
      <c r="P626" s="84">
        <f>IF(A626="","",IF(COUNTIFS('AFA Rates'!$A$5:$A$1004,A626,'AFA Rates'!$O$5:$O$1004,"&lt;&gt;Expired")&gt;0,"Yes",IF(COUNTIF('AFA Rates'!$A$5:$A$1004,A626)&gt;0,"Expired only","No")))</f>
        <v/>
      </c>
      <c r="Q626" s="84">
        <f>IF(A626="","",COUNTIFS('AFA Rates'!$A$5:$A$1004,A626,'AFA Rates'!$O$5:$O$1004,"&lt;&gt;Expired"))</f>
        <v/>
      </c>
      <c r="R626" s="66" t="n"/>
      <c r="S626" s="64" t="n"/>
      <c r="T626" s="64" t="n"/>
      <c r="U626">
        <f>IF(AND(A626&lt;&gt;"",B626="Paused"),COUNTIFS($A$5:A626,"&lt;&gt;",$B$5:B626,"Paused"),"")</f>
        <v/>
      </c>
      <c r="V626">
        <f>IF(P626="Yes",COUNTIF($P$5:P626,"Yes"),"")</f>
        <v/>
      </c>
      <c r="W626">
        <f>IF(A626="","",COUNTIF($A$5:$A$1004,"&lt;"&amp;A626)+COUNTIF($A$5:A626,A626))</f>
        <v/>
      </c>
      <c r="X626">
        <f>","&amp;SUBSTITUTE(SUBSTITUTE(SUBSTITUTE(UPPER(C626)," ",""),";",","),"/",",")&amp;","</f>
        <v/>
      </c>
      <c r="Y626">
        <f>IF(AND(A626&lt;&gt;"",B626="Active",'State Search'!$C$5&lt;&gt;"",OR(X626=",ALL,",ISNUMBER(SEARCH(","&amp;'State Search'!$C$5&amp;",",X626)))),W626,"")</f>
        <v/>
      </c>
    </row>
    <row r="627">
      <c r="A627" s="64" t="n"/>
      <c r="B627" s="65" t="n"/>
      <c r="C627" s="64" t="n"/>
      <c r="D627" s="66" t="n"/>
      <c r="E627" s="66" t="n"/>
      <c r="F627" s="67" t="n"/>
      <c r="G627" s="67" t="n"/>
      <c r="H627" s="67" t="n"/>
      <c r="I627" s="67" t="n"/>
      <c r="J627" s="67" t="n"/>
      <c r="K627" s="67" t="n"/>
      <c r="L627" s="67" t="n"/>
      <c r="M627" s="67" t="n"/>
      <c r="N627" s="65" t="n"/>
      <c r="O627" s="84">
        <f>IF(A627="","",IF(E627="","No date",IF(TODAY()&gt;=EDATE(E627,Review_Months),"Review Due","Current")))</f>
        <v/>
      </c>
      <c r="P627" s="84">
        <f>IF(A627="","",IF(COUNTIFS('AFA Rates'!$A$5:$A$1004,A627,'AFA Rates'!$O$5:$O$1004,"&lt;&gt;Expired")&gt;0,"Yes",IF(COUNTIF('AFA Rates'!$A$5:$A$1004,A627)&gt;0,"Expired only","No")))</f>
        <v/>
      </c>
      <c r="Q627" s="84">
        <f>IF(A627="","",COUNTIFS('AFA Rates'!$A$5:$A$1004,A627,'AFA Rates'!$O$5:$O$1004,"&lt;&gt;Expired"))</f>
        <v/>
      </c>
      <c r="R627" s="66" t="n"/>
      <c r="S627" s="64" t="n"/>
      <c r="T627" s="64" t="n"/>
      <c r="U627">
        <f>IF(AND(A627&lt;&gt;"",B627="Paused"),COUNTIFS($A$5:A627,"&lt;&gt;",$B$5:B627,"Paused"),"")</f>
        <v/>
      </c>
      <c r="V627">
        <f>IF(P627="Yes",COUNTIF($P$5:P627,"Yes"),"")</f>
        <v/>
      </c>
      <c r="W627">
        <f>IF(A627="","",COUNTIF($A$5:$A$1004,"&lt;"&amp;A627)+COUNTIF($A$5:A627,A627))</f>
        <v/>
      </c>
      <c r="X627">
        <f>","&amp;SUBSTITUTE(SUBSTITUTE(SUBSTITUTE(UPPER(C627)," ",""),";",","),"/",",")&amp;","</f>
        <v/>
      </c>
      <c r="Y627">
        <f>IF(AND(A627&lt;&gt;"",B627="Active",'State Search'!$C$5&lt;&gt;"",OR(X627=",ALL,",ISNUMBER(SEARCH(","&amp;'State Search'!$C$5&amp;",",X627)))),W627,"")</f>
        <v/>
      </c>
    </row>
    <row r="628">
      <c r="A628" s="64" t="n"/>
      <c r="B628" s="65" t="n"/>
      <c r="C628" s="64" t="n"/>
      <c r="D628" s="66" t="n"/>
      <c r="E628" s="66" t="n"/>
      <c r="F628" s="67" t="n"/>
      <c r="G628" s="67" t="n"/>
      <c r="H628" s="67" t="n"/>
      <c r="I628" s="67" t="n"/>
      <c r="J628" s="67" t="n"/>
      <c r="K628" s="67" t="n"/>
      <c r="L628" s="67" t="n"/>
      <c r="M628" s="67" t="n"/>
      <c r="N628" s="65" t="n"/>
      <c r="O628" s="84">
        <f>IF(A628="","",IF(E628="","No date",IF(TODAY()&gt;=EDATE(E628,Review_Months),"Review Due","Current")))</f>
        <v/>
      </c>
      <c r="P628" s="84">
        <f>IF(A628="","",IF(COUNTIFS('AFA Rates'!$A$5:$A$1004,A628,'AFA Rates'!$O$5:$O$1004,"&lt;&gt;Expired")&gt;0,"Yes",IF(COUNTIF('AFA Rates'!$A$5:$A$1004,A628)&gt;0,"Expired only","No")))</f>
        <v/>
      </c>
      <c r="Q628" s="84">
        <f>IF(A628="","",COUNTIFS('AFA Rates'!$A$5:$A$1004,A628,'AFA Rates'!$O$5:$O$1004,"&lt;&gt;Expired"))</f>
        <v/>
      </c>
      <c r="R628" s="66" t="n"/>
      <c r="S628" s="64" t="n"/>
      <c r="T628" s="64" t="n"/>
      <c r="U628">
        <f>IF(AND(A628&lt;&gt;"",B628="Paused"),COUNTIFS($A$5:A628,"&lt;&gt;",$B$5:B628,"Paused"),"")</f>
        <v/>
      </c>
      <c r="V628">
        <f>IF(P628="Yes",COUNTIF($P$5:P628,"Yes"),"")</f>
        <v/>
      </c>
      <c r="W628">
        <f>IF(A628="","",COUNTIF($A$5:$A$1004,"&lt;"&amp;A628)+COUNTIF($A$5:A628,A628))</f>
        <v/>
      </c>
      <c r="X628">
        <f>","&amp;SUBSTITUTE(SUBSTITUTE(SUBSTITUTE(UPPER(C628)," ",""),";",","),"/",",")&amp;","</f>
        <v/>
      </c>
      <c r="Y628">
        <f>IF(AND(A628&lt;&gt;"",B628="Active",'State Search'!$C$5&lt;&gt;"",OR(X628=",ALL,",ISNUMBER(SEARCH(","&amp;'State Search'!$C$5&amp;",",X628)))),W628,"")</f>
        <v/>
      </c>
    </row>
    <row r="629">
      <c r="A629" s="64" t="n"/>
      <c r="B629" s="65" t="n"/>
      <c r="C629" s="64" t="n"/>
      <c r="D629" s="66" t="n"/>
      <c r="E629" s="66" t="n"/>
      <c r="F629" s="67" t="n"/>
      <c r="G629" s="67" t="n"/>
      <c r="H629" s="67" t="n"/>
      <c r="I629" s="67" t="n"/>
      <c r="J629" s="67" t="n"/>
      <c r="K629" s="67" t="n"/>
      <c r="L629" s="67" t="n"/>
      <c r="M629" s="67" t="n"/>
      <c r="N629" s="65" t="n"/>
      <c r="O629" s="84">
        <f>IF(A629="","",IF(E629="","No date",IF(TODAY()&gt;=EDATE(E629,Review_Months),"Review Due","Current")))</f>
        <v/>
      </c>
      <c r="P629" s="84">
        <f>IF(A629="","",IF(COUNTIFS('AFA Rates'!$A$5:$A$1004,A629,'AFA Rates'!$O$5:$O$1004,"&lt;&gt;Expired")&gt;0,"Yes",IF(COUNTIF('AFA Rates'!$A$5:$A$1004,A629)&gt;0,"Expired only","No")))</f>
        <v/>
      </c>
      <c r="Q629" s="84">
        <f>IF(A629="","",COUNTIFS('AFA Rates'!$A$5:$A$1004,A629,'AFA Rates'!$O$5:$O$1004,"&lt;&gt;Expired"))</f>
        <v/>
      </c>
      <c r="R629" s="66" t="n"/>
      <c r="S629" s="64" t="n"/>
      <c r="T629" s="64" t="n"/>
      <c r="U629">
        <f>IF(AND(A629&lt;&gt;"",B629="Paused"),COUNTIFS($A$5:A629,"&lt;&gt;",$B$5:B629,"Paused"),"")</f>
        <v/>
      </c>
      <c r="V629">
        <f>IF(P629="Yes",COUNTIF($P$5:P629,"Yes"),"")</f>
        <v/>
      </c>
      <c r="W629">
        <f>IF(A629="","",COUNTIF($A$5:$A$1004,"&lt;"&amp;A629)+COUNTIF($A$5:A629,A629))</f>
        <v/>
      </c>
      <c r="X629">
        <f>","&amp;SUBSTITUTE(SUBSTITUTE(SUBSTITUTE(UPPER(C629)," ",""),";",","),"/",",")&amp;","</f>
        <v/>
      </c>
      <c r="Y629">
        <f>IF(AND(A629&lt;&gt;"",B629="Active",'State Search'!$C$5&lt;&gt;"",OR(X629=",ALL,",ISNUMBER(SEARCH(","&amp;'State Search'!$C$5&amp;",",X629)))),W629,"")</f>
        <v/>
      </c>
    </row>
    <row r="630">
      <c r="A630" s="64" t="n"/>
      <c r="B630" s="65" t="n"/>
      <c r="C630" s="64" t="n"/>
      <c r="D630" s="66" t="n"/>
      <c r="E630" s="66" t="n"/>
      <c r="F630" s="67" t="n"/>
      <c r="G630" s="67" t="n"/>
      <c r="H630" s="67" t="n"/>
      <c r="I630" s="67" t="n"/>
      <c r="J630" s="67" t="n"/>
      <c r="K630" s="67" t="n"/>
      <c r="L630" s="67" t="n"/>
      <c r="M630" s="67" t="n"/>
      <c r="N630" s="65" t="n"/>
      <c r="O630" s="84">
        <f>IF(A630="","",IF(E630="","No date",IF(TODAY()&gt;=EDATE(E630,Review_Months),"Review Due","Current")))</f>
        <v/>
      </c>
      <c r="P630" s="84">
        <f>IF(A630="","",IF(COUNTIFS('AFA Rates'!$A$5:$A$1004,A630,'AFA Rates'!$O$5:$O$1004,"&lt;&gt;Expired")&gt;0,"Yes",IF(COUNTIF('AFA Rates'!$A$5:$A$1004,A630)&gt;0,"Expired only","No")))</f>
        <v/>
      </c>
      <c r="Q630" s="84">
        <f>IF(A630="","",COUNTIFS('AFA Rates'!$A$5:$A$1004,A630,'AFA Rates'!$O$5:$O$1004,"&lt;&gt;Expired"))</f>
        <v/>
      </c>
      <c r="R630" s="66" t="n"/>
      <c r="S630" s="64" t="n"/>
      <c r="T630" s="64" t="n"/>
      <c r="U630">
        <f>IF(AND(A630&lt;&gt;"",B630="Paused"),COUNTIFS($A$5:A630,"&lt;&gt;",$B$5:B630,"Paused"),"")</f>
        <v/>
      </c>
      <c r="V630">
        <f>IF(P630="Yes",COUNTIF($P$5:P630,"Yes"),"")</f>
        <v/>
      </c>
      <c r="W630">
        <f>IF(A630="","",COUNTIF($A$5:$A$1004,"&lt;"&amp;A630)+COUNTIF($A$5:A630,A630))</f>
        <v/>
      </c>
      <c r="X630">
        <f>","&amp;SUBSTITUTE(SUBSTITUTE(SUBSTITUTE(UPPER(C630)," ",""),";",","),"/",",")&amp;","</f>
        <v/>
      </c>
      <c r="Y630">
        <f>IF(AND(A630&lt;&gt;"",B630="Active",'State Search'!$C$5&lt;&gt;"",OR(X630=",ALL,",ISNUMBER(SEARCH(","&amp;'State Search'!$C$5&amp;",",X630)))),W630,"")</f>
        <v/>
      </c>
    </row>
    <row r="631">
      <c r="A631" s="64" t="n"/>
      <c r="B631" s="65" t="n"/>
      <c r="C631" s="64" t="n"/>
      <c r="D631" s="66" t="n"/>
      <c r="E631" s="66" t="n"/>
      <c r="F631" s="67" t="n"/>
      <c r="G631" s="67" t="n"/>
      <c r="H631" s="67" t="n"/>
      <c r="I631" s="67" t="n"/>
      <c r="J631" s="67" t="n"/>
      <c r="K631" s="67" t="n"/>
      <c r="L631" s="67" t="n"/>
      <c r="M631" s="67" t="n"/>
      <c r="N631" s="65" t="n"/>
      <c r="O631" s="84">
        <f>IF(A631="","",IF(E631="","No date",IF(TODAY()&gt;=EDATE(E631,Review_Months),"Review Due","Current")))</f>
        <v/>
      </c>
      <c r="P631" s="84">
        <f>IF(A631="","",IF(COUNTIFS('AFA Rates'!$A$5:$A$1004,A631,'AFA Rates'!$O$5:$O$1004,"&lt;&gt;Expired")&gt;0,"Yes",IF(COUNTIF('AFA Rates'!$A$5:$A$1004,A631)&gt;0,"Expired only","No")))</f>
        <v/>
      </c>
      <c r="Q631" s="84">
        <f>IF(A631="","",COUNTIFS('AFA Rates'!$A$5:$A$1004,A631,'AFA Rates'!$O$5:$O$1004,"&lt;&gt;Expired"))</f>
        <v/>
      </c>
      <c r="R631" s="66" t="n"/>
      <c r="S631" s="64" t="n"/>
      <c r="T631" s="64" t="n"/>
      <c r="U631">
        <f>IF(AND(A631&lt;&gt;"",B631="Paused"),COUNTIFS($A$5:A631,"&lt;&gt;",$B$5:B631,"Paused"),"")</f>
        <v/>
      </c>
      <c r="V631">
        <f>IF(P631="Yes",COUNTIF($P$5:P631,"Yes"),"")</f>
        <v/>
      </c>
      <c r="W631">
        <f>IF(A631="","",COUNTIF($A$5:$A$1004,"&lt;"&amp;A631)+COUNTIF($A$5:A631,A631))</f>
        <v/>
      </c>
      <c r="X631">
        <f>","&amp;SUBSTITUTE(SUBSTITUTE(SUBSTITUTE(UPPER(C631)," ",""),";",","),"/",",")&amp;","</f>
        <v/>
      </c>
      <c r="Y631">
        <f>IF(AND(A631&lt;&gt;"",B631="Active",'State Search'!$C$5&lt;&gt;"",OR(X631=",ALL,",ISNUMBER(SEARCH(","&amp;'State Search'!$C$5&amp;",",X631)))),W631,"")</f>
        <v/>
      </c>
    </row>
    <row r="632">
      <c r="A632" s="64" t="n"/>
      <c r="B632" s="65" t="n"/>
      <c r="C632" s="64" t="n"/>
      <c r="D632" s="66" t="n"/>
      <c r="E632" s="66" t="n"/>
      <c r="F632" s="67" t="n"/>
      <c r="G632" s="67" t="n"/>
      <c r="H632" s="67" t="n"/>
      <c r="I632" s="67" t="n"/>
      <c r="J632" s="67" t="n"/>
      <c r="K632" s="67" t="n"/>
      <c r="L632" s="67" t="n"/>
      <c r="M632" s="67" t="n"/>
      <c r="N632" s="65" t="n"/>
      <c r="O632" s="84">
        <f>IF(A632="","",IF(E632="","No date",IF(TODAY()&gt;=EDATE(E632,Review_Months),"Review Due","Current")))</f>
        <v/>
      </c>
      <c r="P632" s="84">
        <f>IF(A632="","",IF(COUNTIFS('AFA Rates'!$A$5:$A$1004,A632,'AFA Rates'!$O$5:$O$1004,"&lt;&gt;Expired")&gt;0,"Yes",IF(COUNTIF('AFA Rates'!$A$5:$A$1004,A632)&gt;0,"Expired only","No")))</f>
        <v/>
      </c>
      <c r="Q632" s="84">
        <f>IF(A632="","",COUNTIFS('AFA Rates'!$A$5:$A$1004,A632,'AFA Rates'!$O$5:$O$1004,"&lt;&gt;Expired"))</f>
        <v/>
      </c>
      <c r="R632" s="66" t="n"/>
      <c r="S632" s="64" t="n"/>
      <c r="T632" s="64" t="n"/>
      <c r="U632">
        <f>IF(AND(A632&lt;&gt;"",B632="Paused"),COUNTIFS($A$5:A632,"&lt;&gt;",$B$5:B632,"Paused"),"")</f>
        <v/>
      </c>
      <c r="V632">
        <f>IF(P632="Yes",COUNTIF($P$5:P632,"Yes"),"")</f>
        <v/>
      </c>
      <c r="W632">
        <f>IF(A632="","",COUNTIF($A$5:$A$1004,"&lt;"&amp;A632)+COUNTIF($A$5:A632,A632))</f>
        <v/>
      </c>
      <c r="X632">
        <f>","&amp;SUBSTITUTE(SUBSTITUTE(SUBSTITUTE(UPPER(C632)," ",""),";",","),"/",",")&amp;","</f>
        <v/>
      </c>
      <c r="Y632">
        <f>IF(AND(A632&lt;&gt;"",B632="Active",'State Search'!$C$5&lt;&gt;"",OR(X632=",ALL,",ISNUMBER(SEARCH(","&amp;'State Search'!$C$5&amp;",",X632)))),W632,"")</f>
        <v/>
      </c>
    </row>
    <row r="633">
      <c r="A633" s="64" t="n"/>
      <c r="B633" s="65" t="n"/>
      <c r="C633" s="64" t="n"/>
      <c r="D633" s="66" t="n"/>
      <c r="E633" s="66" t="n"/>
      <c r="F633" s="67" t="n"/>
      <c r="G633" s="67" t="n"/>
      <c r="H633" s="67" t="n"/>
      <c r="I633" s="67" t="n"/>
      <c r="J633" s="67" t="n"/>
      <c r="K633" s="67" t="n"/>
      <c r="L633" s="67" t="n"/>
      <c r="M633" s="67" t="n"/>
      <c r="N633" s="65" t="n"/>
      <c r="O633" s="84">
        <f>IF(A633="","",IF(E633="","No date",IF(TODAY()&gt;=EDATE(E633,Review_Months),"Review Due","Current")))</f>
        <v/>
      </c>
      <c r="P633" s="84">
        <f>IF(A633="","",IF(COUNTIFS('AFA Rates'!$A$5:$A$1004,A633,'AFA Rates'!$O$5:$O$1004,"&lt;&gt;Expired")&gt;0,"Yes",IF(COUNTIF('AFA Rates'!$A$5:$A$1004,A633)&gt;0,"Expired only","No")))</f>
        <v/>
      </c>
      <c r="Q633" s="84">
        <f>IF(A633="","",COUNTIFS('AFA Rates'!$A$5:$A$1004,A633,'AFA Rates'!$O$5:$O$1004,"&lt;&gt;Expired"))</f>
        <v/>
      </c>
      <c r="R633" s="66" t="n"/>
      <c r="S633" s="64" t="n"/>
      <c r="T633" s="64" t="n"/>
      <c r="U633">
        <f>IF(AND(A633&lt;&gt;"",B633="Paused"),COUNTIFS($A$5:A633,"&lt;&gt;",$B$5:B633,"Paused"),"")</f>
        <v/>
      </c>
      <c r="V633">
        <f>IF(P633="Yes",COUNTIF($P$5:P633,"Yes"),"")</f>
        <v/>
      </c>
      <c r="W633">
        <f>IF(A633="","",COUNTIF($A$5:$A$1004,"&lt;"&amp;A633)+COUNTIF($A$5:A633,A633))</f>
        <v/>
      </c>
      <c r="X633">
        <f>","&amp;SUBSTITUTE(SUBSTITUTE(SUBSTITUTE(UPPER(C633)," ",""),";",","),"/",",")&amp;","</f>
        <v/>
      </c>
      <c r="Y633">
        <f>IF(AND(A633&lt;&gt;"",B633="Active",'State Search'!$C$5&lt;&gt;"",OR(X633=",ALL,",ISNUMBER(SEARCH(","&amp;'State Search'!$C$5&amp;",",X633)))),W633,"")</f>
        <v/>
      </c>
    </row>
    <row r="634">
      <c r="A634" s="64" t="n"/>
      <c r="B634" s="65" t="n"/>
      <c r="C634" s="64" t="n"/>
      <c r="D634" s="66" t="n"/>
      <c r="E634" s="66" t="n"/>
      <c r="F634" s="67" t="n"/>
      <c r="G634" s="67" t="n"/>
      <c r="H634" s="67" t="n"/>
      <c r="I634" s="67" t="n"/>
      <c r="J634" s="67" t="n"/>
      <c r="K634" s="67" t="n"/>
      <c r="L634" s="67" t="n"/>
      <c r="M634" s="67" t="n"/>
      <c r="N634" s="65" t="n"/>
      <c r="O634" s="84">
        <f>IF(A634="","",IF(E634="","No date",IF(TODAY()&gt;=EDATE(E634,Review_Months),"Review Due","Current")))</f>
        <v/>
      </c>
      <c r="P634" s="84">
        <f>IF(A634="","",IF(COUNTIFS('AFA Rates'!$A$5:$A$1004,A634,'AFA Rates'!$O$5:$O$1004,"&lt;&gt;Expired")&gt;0,"Yes",IF(COUNTIF('AFA Rates'!$A$5:$A$1004,A634)&gt;0,"Expired only","No")))</f>
        <v/>
      </c>
      <c r="Q634" s="84">
        <f>IF(A634="","",COUNTIFS('AFA Rates'!$A$5:$A$1004,A634,'AFA Rates'!$O$5:$O$1004,"&lt;&gt;Expired"))</f>
        <v/>
      </c>
      <c r="R634" s="66" t="n"/>
      <c r="S634" s="64" t="n"/>
      <c r="T634" s="64" t="n"/>
      <c r="U634">
        <f>IF(AND(A634&lt;&gt;"",B634="Paused"),COUNTIFS($A$5:A634,"&lt;&gt;",$B$5:B634,"Paused"),"")</f>
        <v/>
      </c>
      <c r="V634">
        <f>IF(P634="Yes",COUNTIF($P$5:P634,"Yes"),"")</f>
        <v/>
      </c>
      <c r="W634">
        <f>IF(A634="","",COUNTIF($A$5:$A$1004,"&lt;"&amp;A634)+COUNTIF($A$5:A634,A634))</f>
        <v/>
      </c>
      <c r="X634">
        <f>","&amp;SUBSTITUTE(SUBSTITUTE(SUBSTITUTE(UPPER(C634)," ",""),";",","),"/",",")&amp;","</f>
        <v/>
      </c>
      <c r="Y634">
        <f>IF(AND(A634&lt;&gt;"",B634="Active",'State Search'!$C$5&lt;&gt;"",OR(X634=",ALL,",ISNUMBER(SEARCH(","&amp;'State Search'!$C$5&amp;",",X634)))),W634,"")</f>
        <v/>
      </c>
    </row>
    <row r="635">
      <c r="A635" s="64" t="n"/>
      <c r="B635" s="65" t="n"/>
      <c r="C635" s="64" t="n"/>
      <c r="D635" s="66" t="n"/>
      <c r="E635" s="66" t="n"/>
      <c r="F635" s="67" t="n"/>
      <c r="G635" s="67" t="n"/>
      <c r="H635" s="67" t="n"/>
      <c r="I635" s="67" t="n"/>
      <c r="J635" s="67" t="n"/>
      <c r="K635" s="67" t="n"/>
      <c r="L635" s="67" t="n"/>
      <c r="M635" s="67" t="n"/>
      <c r="N635" s="65" t="n"/>
      <c r="O635" s="84">
        <f>IF(A635="","",IF(E635="","No date",IF(TODAY()&gt;=EDATE(E635,Review_Months),"Review Due","Current")))</f>
        <v/>
      </c>
      <c r="P635" s="84">
        <f>IF(A635="","",IF(COUNTIFS('AFA Rates'!$A$5:$A$1004,A635,'AFA Rates'!$O$5:$O$1004,"&lt;&gt;Expired")&gt;0,"Yes",IF(COUNTIF('AFA Rates'!$A$5:$A$1004,A635)&gt;0,"Expired only","No")))</f>
        <v/>
      </c>
      <c r="Q635" s="84">
        <f>IF(A635="","",COUNTIFS('AFA Rates'!$A$5:$A$1004,A635,'AFA Rates'!$O$5:$O$1004,"&lt;&gt;Expired"))</f>
        <v/>
      </c>
      <c r="R635" s="66" t="n"/>
      <c r="S635" s="64" t="n"/>
      <c r="T635" s="64" t="n"/>
      <c r="U635">
        <f>IF(AND(A635&lt;&gt;"",B635="Paused"),COUNTIFS($A$5:A635,"&lt;&gt;",$B$5:B635,"Paused"),"")</f>
        <v/>
      </c>
      <c r="V635">
        <f>IF(P635="Yes",COUNTIF($P$5:P635,"Yes"),"")</f>
        <v/>
      </c>
      <c r="W635">
        <f>IF(A635="","",COUNTIF($A$5:$A$1004,"&lt;"&amp;A635)+COUNTIF($A$5:A635,A635))</f>
        <v/>
      </c>
      <c r="X635">
        <f>","&amp;SUBSTITUTE(SUBSTITUTE(SUBSTITUTE(UPPER(C635)," ",""),";",","),"/",",")&amp;","</f>
        <v/>
      </c>
      <c r="Y635">
        <f>IF(AND(A635&lt;&gt;"",B635="Active",'State Search'!$C$5&lt;&gt;"",OR(X635=",ALL,",ISNUMBER(SEARCH(","&amp;'State Search'!$C$5&amp;",",X635)))),W635,"")</f>
        <v/>
      </c>
    </row>
    <row r="636">
      <c r="A636" s="64" t="n"/>
      <c r="B636" s="65" t="n"/>
      <c r="C636" s="64" t="n"/>
      <c r="D636" s="66" t="n"/>
      <c r="E636" s="66" t="n"/>
      <c r="F636" s="67" t="n"/>
      <c r="G636" s="67" t="n"/>
      <c r="H636" s="67" t="n"/>
      <c r="I636" s="67" t="n"/>
      <c r="J636" s="67" t="n"/>
      <c r="K636" s="67" t="n"/>
      <c r="L636" s="67" t="n"/>
      <c r="M636" s="67" t="n"/>
      <c r="N636" s="65" t="n"/>
      <c r="O636" s="84">
        <f>IF(A636="","",IF(E636="","No date",IF(TODAY()&gt;=EDATE(E636,Review_Months),"Review Due","Current")))</f>
        <v/>
      </c>
      <c r="P636" s="84">
        <f>IF(A636="","",IF(COUNTIFS('AFA Rates'!$A$5:$A$1004,A636,'AFA Rates'!$O$5:$O$1004,"&lt;&gt;Expired")&gt;0,"Yes",IF(COUNTIF('AFA Rates'!$A$5:$A$1004,A636)&gt;0,"Expired only","No")))</f>
        <v/>
      </c>
      <c r="Q636" s="84">
        <f>IF(A636="","",COUNTIFS('AFA Rates'!$A$5:$A$1004,A636,'AFA Rates'!$O$5:$O$1004,"&lt;&gt;Expired"))</f>
        <v/>
      </c>
      <c r="R636" s="66" t="n"/>
      <c r="S636" s="64" t="n"/>
      <c r="T636" s="64" t="n"/>
      <c r="U636">
        <f>IF(AND(A636&lt;&gt;"",B636="Paused"),COUNTIFS($A$5:A636,"&lt;&gt;",$B$5:B636,"Paused"),"")</f>
        <v/>
      </c>
      <c r="V636">
        <f>IF(P636="Yes",COUNTIF($P$5:P636,"Yes"),"")</f>
        <v/>
      </c>
      <c r="W636">
        <f>IF(A636="","",COUNTIF($A$5:$A$1004,"&lt;"&amp;A636)+COUNTIF($A$5:A636,A636))</f>
        <v/>
      </c>
      <c r="X636">
        <f>","&amp;SUBSTITUTE(SUBSTITUTE(SUBSTITUTE(UPPER(C636)," ",""),";",","),"/",",")&amp;","</f>
        <v/>
      </c>
      <c r="Y636">
        <f>IF(AND(A636&lt;&gt;"",B636="Active",'State Search'!$C$5&lt;&gt;"",OR(X636=",ALL,",ISNUMBER(SEARCH(","&amp;'State Search'!$C$5&amp;",",X636)))),W636,"")</f>
        <v/>
      </c>
    </row>
    <row r="637">
      <c r="A637" s="64" t="n"/>
      <c r="B637" s="65" t="n"/>
      <c r="C637" s="64" t="n"/>
      <c r="D637" s="66" t="n"/>
      <c r="E637" s="66" t="n"/>
      <c r="F637" s="67" t="n"/>
      <c r="G637" s="67" t="n"/>
      <c r="H637" s="67" t="n"/>
      <c r="I637" s="67" t="n"/>
      <c r="J637" s="67" t="n"/>
      <c r="K637" s="67" t="n"/>
      <c r="L637" s="67" t="n"/>
      <c r="M637" s="67" t="n"/>
      <c r="N637" s="65" t="n"/>
      <c r="O637" s="84">
        <f>IF(A637="","",IF(E637="","No date",IF(TODAY()&gt;=EDATE(E637,Review_Months),"Review Due","Current")))</f>
        <v/>
      </c>
      <c r="P637" s="84">
        <f>IF(A637="","",IF(COUNTIFS('AFA Rates'!$A$5:$A$1004,A637,'AFA Rates'!$O$5:$O$1004,"&lt;&gt;Expired")&gt;0,"Yes",IF(COUNTIF('AFA Rates'!$A$5:$A$1004,A637)&gt;0,"Expired only","No")))</f>
        <v/>
      </c>
      <c r="Q637" s="84">
        <f>IF(A637="","",COUNTIFS('AFA Rates'!$A$5:$A$1004,A637,'AFA Rates'!$O$5:$O$1004,"&lt;&gt;Expired"))</f>
        <v/>
      </c>
      <c r="R637" s="66" t="n"/>
      <c r="S637" s="64" t="n"/>
      <c r="T637" s="64" t="n"/>
      <c r="U637">
        <f>IF(AND(A637&lt;&gt;"",B637="Paused"),COUNTIFS($A$5:A637,"&lt;&gt;",$B$5:B637,"Paused"),"")</f>
        <v/>
      </c>
      <c r="V637">
        <f>IF(P637="Yes",COUNTIF($P$5:P637,"Yes"),"")</f>
        <v/>
      </c>
      <c r="W637">
        <f>IF(A637="","",COUNTIF($A$5:$A$1004,"&lt;"&amp;A637)+COUNTIF($A$5:A637,A637))</f>
        <v/>
      </c>
      <c r="X637">
        <f>","&amp;SUBSTITUTE(SUBSTITUTE(SUBSTITUTE(UPPER(C637)," ",""),";",","),"/",",")&amp;","</f>
        <v/>
      </c>
      <c r="Y637">
        <f>IF(AND(A637&lt;&gt;"",B637="Active",'State Search'!$C$5&lt;&gt;"",OR(X637=",ALL,",ISNUMBER(SEARCH(","&amp;'State Search'!$C$5&amp;",",X637)))),W637,"")</f>
        <v/>
      </c>
    </row>
    <row r="638">
      <c r="A638" s="64" t="n"/>
      <c r="B638" s="65" t="n"/>
      <c r="C638" s="64" t="n"/>
      <c r="D638" s="66" t="n"/>
      <c r="E638" s="66" t="n"/>
      <c r="F638" s="67" t="n"/>
      <c r="G638" s="67" t="n"/>
      <c r="H638" s="67" t="n"/>
      <c r="I638" s="67" t="n"/>
      <c r="J638" s="67" t="n"/>
      <c r="K638" s="67" t="n"/>
      <c r="L638" s="67" t="n"/>
      <c r="M638" s="67" t="n"/>
      <c r="N638" s="65" t="n"/>
      <c r="O638" s="84">
        <f>IF(A638="","",IF(E638="","No date",IF(TODAY()&gt;=EDATE(E638,Review_Months),"Review Due","Current")))</f>
        <v/>
      </c>
      <c r="P638" s="84">
        <f>IF(A638="","",IF(COUNTIFS('AFA Rates'!$A$5:$A$1004,A638,'AFA Rates'!$O$5:$O$1004,"&lt;&gt;Expired")&gt;0,"Yes",IF(COUNTIF('AFA Rates'!$A$5:$A$1004,A638)&gt;0,"Expired only","No")))</f>
        <v/>
      </c>
      <c r="Q638" s="84">
        <f>IF(A638="","",COUNTIFS('AFA Rates'!$A$5:$A$1004,A638,'AFA Rates'!$O$5:$O$1004,"&lt;&gt;Expired"))</f>
        <v/>
      </c>
      <c r="R638" s="66" t="n"/>
      <c r="S638" s="64" t="n"/>
      <c r="T638" s="64" t="n"/>
      <c r="U638">
        <f>IF(AND(A638&lt;&gt;"",B638="Paused"),COUNTIFS($A$5:A638,"&lt;&gt;",$B$5:B638,"Paused"),"")</f>
        <v/>
      </c>
      <c r="V638">
        <f>IF(P638="Yes",COUNTIF($P$5:P638,"Yes"),"")</f>
        <v/>
      </c>
      <c r="W638">
        <f>IF(A638="","",COUNTIF($A$5:$A$1004,"&lt;"&amp;A638)+COUNTIF($A$5:A638,A638))</f>
        <v/>
      </c>
      <c r="X638">
        <f>","&amp;SUBSTITUTE(SUBSTITUTE(SUBSTITUTE(UPPER(C638)," ",""),";",","),"/",",")&amp;","</f>
        <v/>
      </c>
      <c r="Y638">
        <f>IF(AND(A638&lt;&gt;"",B638="Active",'State Search'!$C$5&lt;&gt;"",OR(X638=",ALL,",ISNUMBER(SEARCH(","&amp;'State Search'!$C$5&amp;",",X638)))),W638,"")</f>
        <v/>
      </c>
    </row>
    <row r="639">
      <c r="A639" s="64" t="n"/>
      <c r="B639" s="65" t="n"/>
      <c r="C639" s="64" t="n"/>
      <c r="D639" s="66" t="n"/>
      <c r="E639" s="66" t="n"/>
      <c r="F639" s="67" t="n"/>
      <c r="G639" s="67" t="n"/>
      <c r="H639" s="67" t="n"/>
      <c r="I639" s="67" t="n"/>
      <c r="J639" s="67" t="n"/>
      <c r="K639" s="67" t="n"/>
      <c r="L639" s="67" t="n"/>
      <c r="M639" s="67" t="n"/>
      <c r="N639" s="65" t="n"/>
      <c r="O639" s="84">
        <f>IF(A639="","",IF(E639="","No date",IF(TODAY()&gt;=EDATE(E639,Review_Months),"Review Due","Current")))</f>
        <v/>
      </c>
      <c r="P639" s="84">
        <f>IF(A639="","",IF(COUNTIFS('AFA Rates'!$A$5:$A$1004,A639,'AFA Rates'!$O$5:$O$1004,"&lt;&gt;Expired")&gt;0,"Yes",IF(COUNTIF('AFA Rates'!$A$5:$A$1004,A639)&gt;0,"Expired only","No")))</f>
        <v/>
      </c>
      <c r="Q639" s="84">
        <f>IF(A639="","",COUNTIFS('AFA Rates'!$A$5:$A$1004,A639,'AFA Rates'!$O$5:$O$1004,"&lt;&gt;Expired"))</f>
        <v/>
      </c>
      <c r="R639" s="66" t="n"/>
      <c r="S639" s="64" t="n"/>
      <c r="T639" s="64" t="n"/>
      <c r="U639">
        <f>IF(AND(A639&lt;&gt;"",B639="Paused"),COUNTIFS($A$5:A639,"&lt;&gt;",$B$5:B639,"Paused"),"")</f>
        <v/>
      </c>
      <c r="V639">
        <f>IF(P639="Yes",COUNTIF($P$5:P639,"Yes"),"")</f>
        <v/>
      </c>
      <c r="W639">
        <f>IF(A639="","",COUNTIF($A$5:$A$1004,"&lt;"&amp;A639)+COUNTIF($A$5:A639,A639))</f>
        <v/>
      </c>
      <c r="X639">
        <f>","&amp;SUBSTITUTE(SUBSTITUTE(SUBSTITUTE(UPPER(C639)," ",""),";",","),"/",",")&amp;","</f>
        <v/>
      </c>
      <c r="Y639">
        <f>IF(AND(A639&lt;&gt;"",B639="Active",'State Search'!$C$5&lt;&gt;"",OR(X639=",ALL,",ISNUMBER(SEARCH(","&amp;'State Search'!$C$5&amp;",",X639)))),W639,"")</f>
        <v/>
      </c>
    </row>
    <row r="640">
      <c r="A640" s="64" t="n"/>
      <c r="B640" s="65" t="n"/>
      <c r="C640" s="64" t="n"/>
      <c r="D640" s="66" t="n"/>
      <c r="E640" s="66" t="n"/>
      <c r="F640" s="67" t="n"/>
      <c r="G640" s="67" t="n"/>
      <c r="H640" s="67" t="n"/>
      <c r="I640" s="67" t="n"/>
      <c r="J640" s="67" t="n"/>
      <c r="K640" s="67" t="n"/>
      <c r="L640" s="67" t="n"/>
      <c r="M640" s="67" t="n"/>
      <c r="N640" s="65" t="n"/>
      <c r="O640" s="84">
        <f>IF(A640="","",IF(E640="","No date",IF(TODAY()&gt;=EDATE(E640,Review_Months),"Review Due","Current")))</f>
        <v/>
      </c>
      <c r="P640" s="84">
        <f>IF(A640="","",IF(COUNTIFS('AFA Rates'!$A$5:$A$1004,A640,'AFA Rates'!$O$5:$O$1004,"&lt;&gt;Expired")&gt;0,"Yes",IF(COUNTIF('AFA Rates'!$A$5:$A$1004,A640)&gt;0,"Expired only","No")))</f>
        <v/>
      </c>
      <c r="Q640" s="84">
        <f>IF(A640="","",COUNTIFS('AFA Rates'!$A$5:$A$1004,A640,'AFA Rates'!$O$5:$O$1004,"&lt;&gt;Expired"))</f>
        <v/>
      </c>
      <c r="R640" s="66" t="n"/>
      <c r="S640" s="64" t="n"/>
      <c r="T640" s="64" t="n"/>
      <c r="U640">
        <f>IF(AND(A640&lt;&gt;"",B640="Paused"),COUNTIFS($A$5:A640,"&lt;&gt;",$B$5:B640,"Paused"),"")</f>
        <v/>
      </c>
      <c r="V640">
        <f>IF(P640="Yes",COUNTIF($P$5:P640,"Yes"),"")</f>
        <v/>
      </c>
      <c r="W640">
        <f>IF(A640="","",COUNTIF($A$5:$A$1004,"&lt;"&amp;A640)+COUNTIF($A$5:A640,A640))</f>
        <v/>
      </c>
      <c r="X640">
        <f>","&amp;SUBSTITUTE(SUBSTITUTE(SUBSTITUTE(UPPER(C640)," ",""),";",","),"/",",")&amp;","</f>
        <v/>
      </c>
      <c r="Y640">
        <f>IF(AND(A640&lt;&gt;"",B640="Active",'State Search'!$C$5&lt;&gt;"",OR(X640=",ALL,",ISNUMBER(SEARCH(","&amp;'State Search'!$C$5&amp;",",X640)))),W640,"")</f>
        <v/>
      </c>
    </row>
    <row r="641">
      <c r="A641" s="64" t="n"/>
      <c r="B641" s="65" t="n"/>
      <c r="C641" s="64" t="n"/>
      <c r="D641" s="66" t="n"/>
      <c r="E641" s="66" t="n"/>
      <c r="F641" s="67" t="n"/>
      <c r="G641" s="67" t="n"/>
      <c r="H641" s="67" t="n"/>
      <c r="I641" s="67" t="n"/>
      <c r="J641" s="67" t="n"/>
      <c r="K641" s="67" t="n"/>
      <c r="L641" s="67" t="n"/>
      <c r="M641" s="67" t="n"/>
      <c r="N641" s="65" t="n"/>
      <c r="O641" s="84">
        <f>IF(A641="","",IF(E641="","No date",IF(TODAY()&gt;=EDATE(E641,Review_Months),"Review Due","Current")))</f>
        <v/>
      </c>
      <c r="P641" s="84">
        <f>IF(A641="","",IF(COUNTIFS('AFA Rates'!$A$5:$A$1004,A641,'AFA Rates'!$O$5:$O$1004,"&lt;&gt;Expired")&gt;0,"Yes",IF(COUNTIF('AFA Rates'!$A$5:$A$1004,A641)&gt;0,"Expired only","No")))</f>
        <v/>
      </c>
      <c r="Q641" s="84">
        <f>IF(A641="","",COUNTIFS('AFA Rates'!$A$5:$A$1004,A641,'AFA Rates'!$O$5:$O$1004,"&lt;&gt;Expired"))</f>
        <v/>
      </c>
      <c r="R641" s="66" t="n"/>
      <c r="S641" s="64" t="n"/>
      <c r="T641" s="64" t="n"/>
      <c r="U641">
        <f>IF(AND(A641&lt;&gt;"",B641="Paused"),COUNTIFS($A$5:A641,"&lt;&gt;",$B$5:B641,"Paused"),"")</f>
        <v/>
      </c>
      <c r="V641">
        <f>IF(P641="Yes",COUNTIF($P$5:P641,"Yes"),"")</f>
        <v/>
      </c>
      <c r="W641">
        <f>IF(A641="","",COUNTIF($A$5:$A$1004,"&lt;"&amp;A641)+COUNTIF($A$5:A641,A641))</f>
        <v/>
      </c>
      <c r="X641">
        <f>","&amp;SUBSTITUTE(SUBSTITUTE(SUBSTITUTE(UPPER(C641)," ",""),";",","),"/",",")&amp;","</f>
        <v/>
      </c>
      <c r="Y641">
        <f>IF(AND(A641&lt;&gt;"",B641="Active",'State Search'!$C$5&lt;&gt;"",OR(X641=",ALL,",ISNUMBER(SEARCH(","&amp;'State Search'!$C$5&amp;",",X641)))),W641,"")</f>
        <v/>
      </c>
    </row>
    <row r="642">
      <c r="A642" s="64" t="n"/>
      <c r="B642" s="65" t="n"/>
      <c r="C642" s="64" t="n"/>
      <c r="D642" s="66" t="n"/>
      <c r="E642" s="66" t="n"/>
      <c r="F642" s="67" t="n"/>
      <c r="G642" s="67" t="n"/>
      <c r="H642" s="67" t="n"/>
      <c r="I642" s="67" t="n"/>
      <c r="J642" s="67" t="n"/>
      <c r="K642" s="67" t="n"/>
      <c r="L642" s="67" t="n"/>
      <c r="M642" s="67" t="n"/>
      <c r="N642" s="65" t="n"/>
      <c r="O642" s="84">
        <f>IF(A642="","",IF(E642="","No date",IF(TODAY()&gt;=EDATE(E642,Review_Months),"Review Due","Current")))</f>
        <v/>
      </c>
      <c r="P642" s="84">
        <f>IF(A642="","",IF(COUNTIFS('AFA Rates'!$A$5:$A$1004,A642,'AFA Rates'!$O$5:$O$1004,"&lt;&gt;Expired")&gt;0,"Yes",IF(COUNTIF('AFA Rates'!$A$5:$A$1004,A642)&gt;0,"Expired only","No")))</f>
        <v/>
      </c>
      <c r="Q642" s="84">
        <f>IF(A642="","",COUNTIFS('AFA Rates'!$A$5:$A$1004,A642,'AFA Rates'!$O$5:$O$1004,"&lt;&gt;Expired"))</f>
        <v/>
      </c>
      <c r="R642" s="66" t="n"/>
      <c r="S642" s="64" t="n"/>
      <c r="T642" s="64" t="n"/>
      <c r="U642">
        <f>IF(AND(A642&lt;&gt;"",B642="Paused"),COUNTIFS($A$5:A642,"&lt;&gt;",$B$5:B642,"Paused"),"")</f>
        <v/>
      </c>
      <c r="V642">
        <f>IF(P642="Yes",COUNTIF($P$5:P642,"Yes"),"")</f>
        <v/>
      </c>
      <c r="W642">
        <f>IF(A642="","",COUNTIF($A$5:$A$1004,"&lt;"&amp;A642)+COUNTIF($A$5:A642,A642))</f>
        <v/>
      </c>
      <c r="X642">
        <f>","&amp;SUBSTITUTE(SUBSTITUTE(SUBSTITUTE(UPPER(C642)," ",""),";",","),"/",",")&amp;","</f>
        <v/>
      </c>
      <c r="Y642">
        <f>IF(AND(A642&lt;&gt;"",B642="Active",'State Search'!$C$5&lt;&gt;"",OR(X642=",ALL,",ISNUMBER(SEARCH(","&amp;'State Search'!$C$5&amp;",",X642)))),W642,"")</f>
        <v/>
      </c>
    </row>
    <row r="643">
      <c r="A643" s="64" t="n"/>
      <c r="B643" s="65" t="n"/>
      <c r="C643" s="64" t="n"/>
      <c r="D643" s="66" t="n"/>
      <c r="E643" s="66" t="n"/>
      <c r="F643" s="67" t="n"/>
      <c r="G643" s="67" t="n"/>
      <c r="H643" s="67" t="n"/>
      <c r="I643" s="67" t="n"/>
      <c r="J643" s="67" t="n"/>
      <c r="K643" s="67" t="n"/>
      <c r="L643" s="67" t="n"/>
      <c r="M643" s="67" t="n"/>
      <c r="N643" s="65" t="n"/>
      <c r="O643" s="84">
        <f>IF(A643="","",IF(E643="","No date",IF(TODAY()&gt;=EDATE(E643,Review_Months),"Review Due","Current")))</f>
        <v/>
      </c>
      <c r="P643" s="84">
        <f>IF(A643="","",IF(COUNTIFS('AFA Rates'!$A$5:$A$1004,A643,'AFA Rates'!$O$5:$O$1004,"&lt;&gt;Expired")&gt;0,"Yes",IF(COUNTIF('AFA Rates'!$A$5:$A$1004,A643)&gt;0,"Expired only","No")))</f>
        <v/>
      </c>
      <c r="Q643" s="84">
        <f>IF(A643="","",COUNTIFS('AFA Rates'!$A$5:$A$1004,A643,'AFA Rates'!$O$5:$O$1004,"&lt;&gt;Expired"))</f>
        <v/>
      </c>
      <c r="R643" s="66" t="n"/>
      <c r="S643" s="64" t="n"/>
      <c r="T643" s="64" t="n"/>
      <c r="U643">
        <f>IF(AND(A643&lt;&gt;"",B643="Paused"),COUNTIFS($A$5:A643,"&lt;&gt;",$B$5:B643,"Paused"),"")</f>
        <v/>
      </c>
      <c r="V643">
        <f>IF(P643="Yes",COUNTIF($P$5:P643,"Yes"),"")</f>
        <v/>
      </c>
      <c r="W643">
        <f>IF(A643="","",COUNTIF($A$5:$A$1004,"&lt;"&amp;A643)+COUNTIF($A$5:A643,A643))</f>
        <v/>
      </c>
      <c r="X643">
        <f>","&amp;SUBSTITUTE(SUBSTITUTE(SUBSTITUTE(UPPER(C643)," ",""),";",","),"/",",")&amp;","</f>
        <v/>
      </c>
      <c r="Y643">
        <f>IF(AND(A643&lt;&gt;"",B643="Active",'State Search'!$C$5&lt;&gt;"",OR(X643=",ALL,",ISNUMBER(SEARCH(","&amp;'State Search'!$C$5&amp;",",X643)))),W643,"")</f>
        <v/>
      </c>
    </row>
    <row r="644">
      <c r="A644" s="64" t="n"/>
      <c r="B644" s="65" t="n"/>
      <c r="C644" s="64" t="n"/>
      <c r="D644" s="66" t="n"/>
      <c r="E644" s="66" t="n"/>
      <c r="F644" s="67" t="n"/>
      <c r="G644" s="67" t="n"/>
      <c r="H644" s="67" t="n"/>
      <c r="I644" s="67" t="n"/>
      <c r="J644" s="67" t="n"/>
      <c r="K644" s="67" t="n"/>
      <c r="L644" s="67" t="n"/>
      <c r="M644" s="67" t="n"/>
      <c r="N644" s="65" t="n"/>
      <c r="O644" s="84">
        <f>IF(A644="","",IF(E644="","No date",IF(TODAY()&gt;=EDATE(E644,Review_Months),"Review Due","Current")))</f>
        <v/>
      </c>
      <c r="P644" s="84">
        <f>IF(A644="","",IF(COUNTIFS('AFA Rates'!$A$5:$A$1004,A644,'AFA Rates'!$O$5:$O$1004,"&lt;&gt;Expired")&gt;0,"Yes",IF(COUNTIF('AFA Rates'!$A$5:$A$1004,A644)&gt;0,"Expired only","No")))</f>
        <v/>
      </c>
      <c r="Q644" s="84">
        <f>IF(A644="","",COUNTIFS('AFA Rates'!$A$5:$A$1004,A644,'AFA Rates'!$O$5:$O$1004,"&lt;&gt;Expired"))</f>
        <v/>
      </c>
      <c r="R644" s="66" t="n"/>
      <c r="S644" s="64" t="n"/>
      <c r="T644" s="64" t="n"/>
      <c r="U644">
        <f>IF(AND(A644&lt;&gt;"",B644="Paused"),COUNTIFS($A$5:A644,"&lt;&gt;",$B$5:B644,"Paused"),"")</f>
        <v/>
      </c>
      <c r="V644">
        <f>IF(P644="Yes",COUNTIF($P$5:P644,"Yes"),"")</f>
        <v/>
      </c>
      <c r="W644">
        <f>IF(A644="","",COUNTIF($A$5:$A$1004,"&lt;"&amp;A644)+COUNTIF($A$5:A644,A644))</f>
        <v/>
      </c>
      <c r="X644">
        <f>","&amp;SUBSTITUTE(SUBSTITUTE(SUBSTITUTE(UPPER(C644)," ",""),";",","),"/",",")&amp;","</f>
        <v/>
      </c>
      <c r="Y644">
        <f>IF(AND(A644&lt;&gt;"",B644="Active",'State Search'!$C$5&lt;&gt;"",OR(X644=",ALL,",ISNUMBER(SEARCH(","&amp;'State Search'!$C$5&amp;",",X644)))),W644,"")</f>
        <v/>
      </c>
    </row>
    <row r="645">
      <c r="A645" s="64" t="n"/>
      <c r="B645" s="65" t="n"/>
      <c r="C645" s="64" t="n"/>
      <c r="D645" s="66" t="n"/>
      <c r="E645" s="66" t="n"/>
      <c r="F645" s="67" t="n"/>
      <c r="G645" s="67" t="n"/>
      <c r="H645" s="67" t="n"/>
      <c r="I645" s="67" t="n"/>
      <c r="J645" s="67" t="n"/>
      <c r="K645" s="67" t="n"/>
      <c r="L645" s="67" t="n"/>
      <c r="M645" s="67" t="n"/>
      <c r="N645" s="65" t="n"/>
      <c r="O645" s="84">
        <f>IF(A645="","",IF(E645="","No date",IF(TODAY()&gt;=EDATE(E645,Review_Months),"Review Due","Current")))</f>
        <v/>
      </c>
      <c r="P645" s="84">
        <f>IF(A645="","",IF(COUNTIFS('AFA Rates'!$A$5:$A$1004,A645,'AFA Rates'!$O$5:$O$1004,"&lt;&gt;Expired")&gt;0,"Yes",IF(COUNTIF('AFA Rates'!$A$5:$A$1004,A645)&gt;0,"Expired only","No")))</f>
        <v/>
      </c>
      <c r="Q645" s="84">
        <f>IF(A645="","",COUNTIFS('AFA Rates'!$A$5:$A$1004,A645,'AFA Rates'!$O$5:$O$1004,"&lt;&gt;Expired"))</f>
        <v/>
      </c>
      <c r="R645" s="66" t="n"/>
      <c r="S645" s="64" t="n"/>
      <c r="T645" s="64" t="n"/>
      <c r="U645">
        <f>IF(AND(A645&lt;&gt;"",B645="Paused"),COUNTIFS($A$5:A645,"&lt;&gt;",$B$5:B645,"Paused"),"")</f>
        <v/>
      </c>
      <c r="V645">
        <f>IF(P645="Yes",COUNTIF($P$5:P645,"Yes"),"")</f>
        <v/>
      </c>
      <c r="W645">
        <f>IF(A645="","",COUNTIF($A$5:$A$1004,"&lt;"&amp;A645)+COUNTIF($A$5:A645,A645))</f>
        <v/>
      </c>
      <c r="X645">
        <f>","&amp;SUBSTITUTE(SUBSTITUTE(SUBSTITUTE(UPPER(C645)," ",""),";",","),"/",",")&amp;","</f>
        <v/>
      </c>
      <c r="Y645">
        <f>IF(AND(A645&lt;&gt;"",B645="Active",'State Search'!$C$5&lt;&gt;"",OR(X645=",ALL,",ISNUMBER(SEARCH(","&amp;'State Search'!$C$5&amp;",",X645)))),W645,"")</f>
        <v/>
      </c>
    </row>
    <row r="646">
      <c r="A646" s="64" t="n"/>
      <c r="B646" s="65" t="n"/>
      <c r="C646" s="64" t="n"/>
      <c r="D646" s="66" t="n"/>
      <c r="E646" s="66" t="n"/>
      <c r="F646" s="67" t="n"/>
      <c r="G646" s="67" t="n"/>
      <c r="H646" s="67" t="n"/>
      <c r="I646" s="67" t="n"/>
      <c r="J646" s="67" t="n"/>
      <c r="K646" s="67" t="n"/>
      <c r="L646" s="67" t="n"/>
      <c r="M646" s="67" t="n"/>
      <c r="N646" s="65" t="n"/>
      <c r="O646" s="84">
        <f>IF(A646="","",IF(E646="","No date",IF(TODAY()&gt;=EDATE(E646,Review_Months),"Review Due","Current")))</f>
        <v/>
      </c>
      <c r="P646" s="84">
        <f>IF(A646="","",IF(COUNTIFS('AFA Rates'!$A$5:$A$1004,A646,'AFA Rates'!$O$5:$O$1004,"&lt;&gt;Expired")&gt;0,"Yes",IF(COUNTIF('AFA Rates'!$A$5:$A$1004,A646)&gt;0,"Expired only","No")))</f>
        <v/>
      </c>
      <c r="Q646" s="84">
        <f>IF(A646="","",COUNTIFS('AFA Rates'!$A$5:$A$1004,A646,'AFA Rates'!$O$5:$O$1004,"&lt;&gt;Expired"))</f>
        <v/>
      </c>
      <c r="R646" s="66" t="n"/>
      <c r="S646" s="64" t="n"/>
      <c r="T646" s="64" t="n"/>
      <c r="U646">
        <f>IF(AND(A646&lt;&gt;"",B646="Paused"),COUNTIFS($A$5:A646,"&lt;&gt;",$B$5:B646,"Paused"),"")</f>
        <v/>
      </c>
      <c r="V646">
        <f>IF(P646="Yes",COUNTIF($P$5:P646,"Yes"),"")</f>
        <v/>
      </c>
      <c r="W646">
        <f>IF(A646="","",COUNTIF($A$5:$A$1004,"&lt;"&amp;A646)+COUNTIF($A$5:A646,A646))</f>
        <v/>
      </c>
      <c r="X646">
        <f>","&amp;SUBSTITUTE(SUBSTITUTE(SUBSTITUTE(UPPER(C646)," ",""),";",","),"/",",")&amp;","</f>
        <v/>
      </c>
      <c r="Y646">
        <f>IF(AND(A646&lt;&gt;"",B646="Active",'State Search'!$C$5&lt;&gt;"",OR(X646=",ALL,",ISNUMBER(SEARCH(","&amp;'State Search'!$C$5&amp;",",X646)))),W646,"")</f>
        <v/>
      </c>
    </row>
    <row r="647">
      <c r="A647" s="64" t="n"/>
      <c r="B647" s="65" t="n"/>
      <c r="C647" s="64" t="n"/>
      <c r="D647" s="66" t="n"/>
      <c r="E647" s="66" t="n"/>
      <c r="F647" s="67" t="n"/>
      <c r="G647" s="67" t="n"/>
      <c r="H647" s="67" t="n"/>
      <c r="I647" s="67" t="n"/>
      <c r="J647" s="67" t="n"/>
      <c r="K647" s="67" t="n"/>
      <c r="L647" s="67" t="n"/>
      <c r="M647" s="67" t="n"/>
      <c r="N647" s="65" t="n"/>
      <c r="O647" s="84">
        <f>IF(A647="","",IF(E647="","No date",IF(TODAY()&gt;=EDATE(E647,Review_Months),"Review Due","Current")))</f>
        <v/>
      </c>
      <c r="P647" s="84">
        <f>IF(A647="","",IF(COUNTIFS('AFA Rates'!$A$5:$A$1004,A647,'AFA Rates'!$O$5:$O$1004,"&lt;&gt;Expired")&gt;0,"Yes",IF(COUNTIF('AFA Rates'!$A$5:$A$1004,A647)&gt;0,"Expired only","No")))</f>
        <v/>
      </c>
      <c r="Q647" s="84">
        <f>IF(A647="","",COUNTIFS('AFA Rates'!$A$5:$A$1004,A647,'AFA Rates'!$O$5:$O$1004,"&lt;&gt;Expired"))</f>
        <v/>
      </c>
      <c r="R647" s="66" t="n"/>
      <c r="S647" s="64" t="n"/>
      <c r="T647" s="64" t="n"/>
      <c r="U647">
        <f>IF(AND(A647&lt;&gt;"",B647="Paused"),COUNTIFS($A$5:A647,"&lt;&gt;",$B$5:B647,"Paused"),"")</f>
        <v/>
      </c>
      <c r="V647">
        <f>IF(P647="Yes",COUNTIF($P$5:P647,"Yes"),"")</f>
        <v/>
      </c>
      <c r="W647">
        <f>IF(A647="","",COUNTIF($A$5:$A$1004,"&lt;"&amp;A647)+COUNTIF($A$5:A647,A647))</f>
        <v/>
      </c>
      <c r="X647">
        <f>","&amp;SUBSTITUTE(SUBSTITUTE(SUBSTITUTE(UPPER(C647)," ",""),";",","),"/",",")&amp;","</f>
        <v/>
      </c>
      <c r="Y647">
        <f>IF(AND(A647&lt;&gt;"",B647="Active",'State Search'!$C$5&lt;&gt;"",OR(X647=",ALL,",ISNUMBER(SEARCH(","&amp;'State Search'!$C$5&amp;",",X647)))),W647,"")</f>
        <v/>
      </c>
    </row>
    <row r="648">
      <c r="A648" s="64" t="n"/>
      <c r="B648" s="65" t="n"/>
      <c r="C648" s="64" t="n"/>
      <c r="D648" s="66" t="n"/>
      <c r="E648" s="66" t="n"/>
      <c r="F648" s="67" t="n"/>
      <c r="G648" s="67" t="n"/>
      <c r="H648" s="67" t="n"/>
      <c r="I648" s="67" t="n"/>
      <c r="J648" s="67" t="n"/>
      <c r="K648" s="67" t="n"/>
      <c r="L648" s="67" t="n"/>
      <c r="M648" s="67" t="n"/>
      <c r="N648" s="65" t="n"/>
      <c r="O648" s="84">
        <f>IF(A648="","",IF(E648="","No date",IF(TODAY()&gt;=EDATE(E648,Review_Months),"Review Due","Current")))</f>
        <v/>
      </c>
      <c r="P648" s="84">
        <f>IF(A648="","",IF(COUNTIFS('AFA Rates'!$A$5:$A$1004,A648,'AFA Rates'!$O$5:$O$1004,"&lt;&gt;Expired")&gt;0,"Yes",IF(COUNTIF('AFA Rates'!$A$5:$A$1004,A648)&gt;0,"Expired only","No")))</f>
        <v/>
      </c>
      <c r="Q648" s="84">
        <f>IF(A648="","",COUNTIFS('AFA Rates'!$A$5:$A$1004,A648,'AFA Rates'!$O$5:$O$1004,"&lt;&gt;Expired"))</f>
        <v/>
      </c>
      <c r="R648" s="66" t="n"/>
      <c r="S648" s="64" t="n"/>
      <c r="T648" s="64" t="n"/>
      <c r="U648">
        <f>IF(AND(A648&lt;&gt;"",B648="Paused"),COUNTIFS($A$5:A648,"&lt;&gt;",$B$5:B648,"Paused"),"")</f>
        <v/>
      </c>
      <c r="V648">
        <f>IF(P648="Yes",COUNTIF($P$5:P648,"Yes"),"")</f>
        <v/>
      </c>
      <c r="W648">
        <f>IF(A648="","",COUNTIF($A$5:$A$1004,"&lt;"&amp;A648)+COUNTIF($A$5:A648,A648))</f>
        <v/>
      </c>
      <c r="X648">
        <f>","&amp;SUBSTITUTE(SUBSTITUTE(SUBSTITUTE(UPPER(C648)," ",""),";",","),"/",",")&amp;","</f>
        <v/>
      </c>
      <c r="Y648">
        <f>IF(AND(A648&lt;&gt;"",B648="Active",'State Search'!$C$5&lt;&gt;"",OR(X648=",ALL,",ISNUMBER(SEARCH(","&amp;'State Search'!$C$5&amp;",",X648)))),W648,"")</f>
        <v/>
      </c>
    </row>
    <row r="649">
      <c r="A649" s="64" t="n"/>
      <c r="B649" s="65" t="n"/>
      <c r="C649" s="64" t="n"/>
      <c r="D649" s="66" t="n"/>
      <c r="E649" s="66" t="n"/>
      <c r="F649" s="67" t="n"/>
      <c r="G649" s="67" t="n"/>
      <c r="H649" s="67" t="n"/>
      <c r="I649" s="67" t="n"/>
      <c r="J649" s="67" t="n"/>
      <c r="K649" s="67" t="n"/>
      <c r="L649" s="67" t="n"/>
      <c r="M649" s="67" t="n"/>
      <c r="N649" s="65" t="n"/>
      <c r="O649" s="84">
        <f>IF(A649="","",IF(E649="","No date",IF(TODAY()&gt;=EDATE(E649,Review_Months),"Review Due","Current")))</f>
        <v/>
      </c>
      <c r="P649" s="84">
        <f>IF(A649="","",IF(COUNTIFS('AFA Rates'!$A$5:$A$1004,A649,'AFA Rates'!$O$5:$O$1004,"&lt;&gt;Expired")&gt;0,"Yes",IF(COUNTIF('AFA Rates'!$A$5:$A$1004,A649)&gt;0,"Expired only","No")))</f>
        <v/>
      </c>
      <c r="Q649" s="84">
        <f>IF(A649="","",COUNTIFS('AFA Rates'!$A$5:$A$1004,A649,'AFA Rates'!$O$5:$O$1004,"&lt;&gt;Expired"))</f>
        <v/>
      </c>
      <c r="R649" s="66" t="n"/>
      <c r="S649" s="64" t="n"/>
      <c r="T649" s="64" t="n"/>
      <c r="U649">
        <f>IF(AND(A649&lt;&gt;"",B649="Paused"),COUNTIFS($A$5:A649,"&lt;&gt;",$B$5:B649,"Paused"),"")</f>
        <v/>
      </c>
      <c r="V649">
        <f>IF(P649="Yes",COUNTIF($P$5:P649,"Yes"),"")</f>
        <v/>
      </c>
      <c r="W649">
        <f>IF(A649="","",COUNTIF($A$5:$A$1004,"&lt;"&amp;A649)+COUNTIF($A$5:A649,A649))</f>
        <v/>
      </c>
      <c r="X649">
        <f>","&amp;SUBSTITUTE(SUBSTITUTE(SUBSTITUTE(UPPER(C649)," ",""),";",","),"/",",")&amp;","</f>
        <v/>
      </c>
      <c r="Y649">
        <f>IF(AND(A649&lt;&gt;"",B649="Active",'State Search'!$C$5&lt;&gt;"",OR(X649=",ALL,",ISNUMBER(SEARCH(","&amp;'State Search'!$C$5&amp;",",X649)))),W649,"")</f>
        <v/>
      </c>
    </row>
    <row r="650">
      <c r="A650" s="64" t="n"/>
      <c r="B650" s="65" t="n"/>
      <c r="C650" s="64" t="n"/>
      <c r="D650" s="66" t="n"/>
      <c r="E650" s="66" t="n"/>
      <c r="F650" s="67" t="n"/>
      <c r="G650" s="67" t="n"/>
      <c r="H650" s="67" t="n"/>
      <c r="I650" s="67" t="n"/>
      <c r="J650" s="67" t="n"/>
      <c r="K650" s="67" t="n"/>
      <c r="L650" s="67" t="n"/>
      <c r="M650" s="67" t="n"/>
      <c r="N650" s="65" t="n"/>
      <c r="O650" s="84">
        <f>IF(A650="","",IF(E650="","No date",IF(TODAY()&gt;=EDATE(E650,Review_Months),"Review Due","Current")))</f>
        <v/>
      </c>
      <c r="P650" s="84">
        <f>IF(A650="","",IF(COUNTIFS('AFA Rates'!$A$5:$A$1004,A650,'AFA Rates'!$O$5:$O$1004,"&lt;&gt;Expired")&gt;0,"Yes",IF(COUNTIF('AFA Rates'!$A$5:$A$1004,A650)&gt;0,"Expired only","No")))</f>
        <v/>
      </c>
      <c r="Q650" s="84">
        <f>IF(A650="","",COUNTIFS('AFA Rates'!$A$5:$A$1004,A650,'AFA Rates'!$O$5:$O$1004,"&lt;&gt;Expired"))</f>
        <v/>
      </c>
      <c r="R650" s="66" t="n"/>
      <c r="S650" s="64" t="n"/>
      <c r="T650" s="64" t="n"/>
      <c r="U650">
        <f>IF(AND(A650&lt;&gt;"",B650="Paused"),COUNTIFS($A$5:A650,"&lt;&gt;",$B$5:B650,"Paused"),"")</f>
        <v/>
      </c>
      <c r="V650">
        <f>IF(P650="Yes",COUNTIF($P$5:P650,"Yes"),"")</f>
        <v/>
      </c>
      <c r="W650">
        <f>IF(A650="","",COUNTIF($A$5:$A$1004,"&lt;"&amp;A650)+COUNTIF($A$5:A650,A650))</f>
        <v/>
      </c>
      <c r="X650">
        <f>","&amp;SUBSTITUTE(SUBSTITUTE(SUBSTITUTE(UPPER(C650)," ",""),";",","),"/",",")&amp;","</f>
        <v/>
      </c>
      <c r="Y650">
        <f>IF(AND(A650&lt;&gt;"",B650="Active",'State Search'!$C$5&lt;&gt;"",OR(X650=",ALL,",ISNUMBER(SEARCH(","&amp;'State Search'!$C$5&amp;",",X650)))),W650,"")</f>
        <v/>
      </c>
    </row>
    <row r="651">
      <c r="A651" s="64" t="n"/>
      <c r="B651" s="65" t="n"/>
      <c r="C651" s="64" t="n"/>
      <c r="D651" s="66" t="n"/>
      <c r="E651" s="66" t="n"/>
      <c r="F651" s="67" t="n"/>
      <c r="G651" s="67" t="n"/>
      <c r="H651" s="67" t="n"/>
      <c r="I651" s="67" t="n"/>
      <c r="J651" s="67" t="n"/>
      <c r="K651" s="67" t="n"/>
      <c r="L651" s="67" t="n"/>
      <c r="M651" s="67" t="n"/>
      <c r="N651" s="65" t="n"/>
      <c r="O651" s="84">
        <f>IF(A651="","",IF(E651="","No date",IF(TODAY()&gt;=EDATE(E651,Review_Months),"Review Due","Current")))</f>
        <v/>
      </c>
      <c r="P651" s="84">
        <f>IF(A651="","",IF(COUNTIFS('AFA Rates'!$A$5:$A$1004,A651,'AFA Rates'!$O$5:$O$1004,"&lt;&gt;Expired")&gt;0,"Yes",IF(COUNTIF('AFA Rates'!$A$5:$A$1004,A651)&gt;0,"Expired only","No")))</f>
        <v/>
      </c>
      <c r="Q651" s="84">
        <f>IF(A651="","",COUNTIFS('AFA Rates'!$A$5:$A$1004,A651,'AFA Rates'!$O$5:$O$1004,"&lt;&gt;Expired"))</f>
        <v/>
      </c>
      <c r="R651" s="66" t="n"/>
      <c r="S651" s="64" t="n"/>
      <c r="T651" s="64" t="n"/>
      <c r="U651">
        <f>IF(AND(A651&lt;&gt;"",B651="Paused"),COUNTIFS($A$5:A651,"&lt;&gt;",$B$5:B651,"Paused"),"")</f>
        <v/>
      </c>
      <c r="V651">
        <f>IF(P651="Yes",COUNTIF($P$5:P651,"Yes"),"")</f>
        <v/>
      </c>
      <c r="W651">
        <f>IF(A651="","",COUNTIF($A$5:$A$1004,"&lt;"&amp;A651)+COUNTIF($A$5:A651,A651))</f>
        <v/>
      </c>
      <c r="X651">
        <f>","&amp;SUBSTITUTE(SUBSTITUTE(SUBSTITUTE(UPPER(C651)," ",""),";",","),"/",",")&amp;","</f>
        <v/>
      </c>
      <c r="Y651">
        <f>IF(AND(A651&lt;&gt;"",B651="Active",'State Search'!$C$5&lt;&gt;"",OR(X651=",ALL,",ISNUMBER(SEARCH(","&amp;'State Search'!$C$5&amp;",",X651)))),W651,"")</f>
        <v/>
      </c>
    </row>
    <row r="652">
      <c r="A652" s="64" t="n"/>
      <c r="B652" s="65" t="n"/>
      <c r="C652" s="64" t="n"/>
      <c r="D652" s="66" t="n"/>
      <c r="E652" s="66" t="n"/>
      <c r="F652" s="67" t="n"/>
      <c r="G652" s="67" t="n"/>
      <c r="H652" s="67" t="n"/>
      <c r="I652" s="67" t="n"/>
      <c r="J652" s="67" t="n"/>
      <c r="K652" s="67" t="n"/>
      <c r="L652" s="67" t="n"/>
      <c r="M652" s="67" t="n"/>
      <c r="N652" s="65" t="n"/>
      <c r="O652" s="84">
        <f>IF(A652="","",IF(E652="","No date",IF(TODAY()&gt;=EDATE(E652,Review_Months),"Review Due","Current")))</f>
        <v/>
      </c>
      <c r="P652" s="84">
        <f>IF(A652="","",IF(COUNTIFS('AFA Rates'!$A$5:$A$1004,A652,'AFA Rates'!$O$5:$O$1004,"&lt;&gt;Expired")&gt;0,"Yes",IF(COUNTIF('AFA Rates'!$A$5:$A$1004,A652)&gt;0,"Expired only","No")))</f>
        <v/>
      </c>
      <c r="Q652" s="84">
        <f>IF(A652="","",COUNTIFS('AFA Rates'!$A$5:$A$1004,A652,'AFA Rates'!$O$5:$O$1004,"&lt;&gt;Expired"))</f>
        <v/>
      </c>
      <c r="R652" s="66" t="n"/>
      <c r="S652" s="64" t="n"/>
      <c r="T652" s="64" t="n"/>
      <c r="U652">
        <f>IF(AND(A652&lt;&gt;"",B652="Paused"),COUNTIFS($A$5:A652,"&lt;&gt;",$B$5:B652,"Paused"),"")</f>
        <v/>
      </c>
      <c r="V652">
        <f>IF(P652="Yes",COUNTIF($P$5:P652,"Yes"),"")</f>
        <v/>
      </c>
      <c r="W652">
        <f>IF(A652="","",COUNTIF($A$5:$A$1004,"&lt;"&amp;A652)+COUNTIF($A$5:A652,A652))</f>
        <v/>
      </c>
      <c r="X652">
        <f>","&amp;SUBSTITUTE(SUBSTITUTE(SUBSTITUTE(UPPER(C652)," ",""),";",","),"/",",")&amp;","</f>
        <v/>
      </c>
      <c r="Y652">
        <f>IF(AND(A652&lt;&gt;"",B652="Active",'State Search'!$C$5&lt;&gt;"",OR(X652=",ALL,",ISNUMBER(SEARCH(","&amp;'State Search'!$C$5&amp;",",X652)))),W652,"")</f>
        <v/>
      </c>
    </row>
    <row r="653">
      <c r="A653" s="64" t="n"/>
      <c r="B653" s="65" t="n"/>
      <c r="C653" s="64" t="n"/>
      <c r="D653" s="66" t="n"/>
      <c r="E653" s="66" t="n"/>
      <c r="F653" s="67" t="n"/>
      <c r="G653" s="67" t="n"/>
      <c r="H653" s="67" t="n"/>
      <c r="I653" s="67" t="n"/>
      <c r="J653" s="67" t="n"/>
      <c r="K653" s="67" t="n"/>
      <c r="L653" s="67" t="n"/>
      <c r="M653" s="67" t="n"/>
      <c r="N653" s="65" t="n"/>
      <c r="O653" s="84">
        <f>IF(A653="","",IF(E653="","No date",IF(TODAY()&gt;=EDATE(E653,Review_Months),"Review Due","Current")))</f>
        <v/>
      </c>
      <c r="P653" s="84">
        <f>IF(A653="","",IF(COUNTIFS('AFA Rates'!$A$5:$A$1004,A653,'AFA Rates'!$O$5:$O$1004,"&lt;&gt;Expired")&gt;0,"Yes",IF(COUNTIF('AFA Rates'!$A$5:$A$1004,A653)&gt;0,"Expired only","No")))</f>
        <v/>
      </c>
      <c r="Q653" s="84">
        <f>IF(A653="","",COUNTIFS('AFA Rates'!$A$5:$A$1004,A653,'AFA Rates'!$O$5:$O$1004,"&lt;&gt;Expired"))</f>
        <v/>
      </c>
      <c r="R653" s="66" t="n"/>
      <c r="S653" s="64" t="n"/>
      <c r="T653" s="64" t="n"/>
      <c r="U653">
        <f>IF(AND(A653&lt;&gt;"",B653="Paused"),COUNTIFS($A$5:A653,"&lt;&gt;",$B$5:B653,"Paused"),"")</f>
        <v/>
      </c>
      <c r="V653">
        <f>IF(P653="Yes",COUNTIF($P$5:P653,"Yes"),"")</f>
        <v/>
      </c>
      <c r="W653">
        <f>IF(A653="","",COUNTIF($A$5:$A$1004,"&lt;"&amp;A653)+COUNTIF($A$5:A653,A653))</f>
        <v/>
      </c>
      <c r="X653">
        <f>","&amp;SUBSTITUTE(SUBSTITUTE(SUBSTITUTE(UPPER(C653)," ",""),";",","),"/",",")&amp;","</f>
        <v/>
      </c>
      <c r="Y653">
        <f>IF(AND(A653&lt;&gt;"",B653="Active",'State Search'!$C$5&lt;&gt;"",OR(X653=",ALL,",ISNUMBER(SEARCH(","&amp;'State Search'!$C$5&amp;",",X653)))),W653,"")</f>
        <v/>
      </c>
    </row>
    <row r="654">
      <c r="A654" s="64" t="n"/>
      <c r="B654" s="65" t="n"/>
      <c r="C654" s="64" t="n"/>
      <c r="D654" s="66" t="n"/>
      <c r="E654" s="66" t="n"/>
      <c r="F654" s="67" t="n"/>
      <c r="G654" s="67" t="n"/>
      <c r="H654" s="67" t="n"/>
      <c r="I654" s="67" t="n"/>
      <c r="J654" s="67" t="n"/>
      <c r="K654" s="67" t="n"/>
      <c r="L654" s="67" t="n"/>
      <c r="M654" s="67" t="n"/>
      <c r="N654" s="65" t="n"/>
      <c r="O654" s="84">
        <f>IF(A654="","",IF(E654="","No date",IF(TODAY()&gt;=EDATE(E654,Review_Months),"Review Due","Current")))</f>
        <v/>
      </c>
      <c r="P654" s="84">
        <f>IF(A654="","",IF(COUNTIFS('AFA Rates'!$A$5:$A$1004,A654,'AFA Rates'!$O$5:$O$1004,"&lt;&gt;Expired")&gt;0,"Yes",IF(COUNTIF('AFA Rates'!$A$5:$A$1004,A654)&gt;0,"Expired only","No")))</f>
        <v/>
      </c>
      <c r="Q654" s="84">
        <f>IF(A654="","",COUNTIFS('AFA Rates'!$A$5:$A$1004,A654,'AFA Rates'!$O$5:$O$1004,"&lt;&gt;Expired"))</f>
        <v/>
      </c>
      <c r="R654" s="66" t="n"/>
      <c r="S654" s="64" t="n"/>
      <c r="T654" s="64" t="n"/>
      <c r="U654">
        <f>IF(AND(A654&lt;&gt;"",B654="Paused"),COUNTIFS($A$5:A654,"&lt;&gt;",$B$5:B654,"Paused"),"")</f>
        <v/>
      </c>
      <c r="V654">
        <f>IF(P654="Yes",COUNTIF($P$5:P654,"Yes"),"")</f>
        <v/>
      </c>
      <c r="W654">
        <f>IF(A654="","",COUNTIF($A$5:$A$1004,"&lt;"&amp;A654)+COUNTIF($A$5:A654,A654))</f>
        <v/>
      </c>
      <c r="X654">
        <f>","&amp;SUBSTITUTE(SUBSTITUTE(SUBSTITUTE(UPPER(C654)," ",""),";",","),"/",",")&amp;","</f>
        <v/>
      </c>
      <c r="Y654">
        <f>IF(AND(A654&lt;&gt;"",B654="Active",'State Search'!$C$5&lt;&gt;"",OR(X654=",ALL,",ISNUMBER(SEARCH(","&amp;'State Search'!$C$5&amp;",",X654)))),W654,"")</f>
        <v/>
      </c>
    </row>
    <row r="655">
      <c r="A655" s="64" t="n"/>
      <c r="B655" s="65" t="n"/>
      <c r="C655" s="64" t="n"/>
      <c r="D655" s="66" t="n"/>
      <c r="E655" s="66" t="n"/>
      <c r="F655" s="67" t="n"/>
      <c r="G655" s="67" t="n"/>
      <c r="H655" s="67" t="n"/>
      <c r="I655" s="67" t="n"/>
      <c r="J655" s="67" t="n"/>
      <c r="K655" s="67" t="n"/>
      <c r="L655" s="67" t="n"/>
      <c r="M655" s="67" t="n"/>
      <c r="N655" s="65" t="n"/>
      <c r="O655" s="84">
        <f>IF(A655="","",IF(E655="","No date",IF(TODAY()&gt;=EDATE(E655,Review_Months),"Review Due","Current")))</f>
        <v/>
      </c>
      <c r="P655" s="84">
        <f>IF(A655="","",IF(COUNTIFS('AFA Rates'!$A$5:$A$1004,A655,'AFA Rates'!$O$5:$O$1004,"&lt;&gt;Expired")&gt;0,"Yes",IF(COUNTIF('AFA Rates'!$A$5:$A$1004,A655)&gt;0,"Expired only","No")))</f>
        <v/>
      </c>
      <c r="Q655" s="84">
        <f>IF(A655="","",COUNTIFS('AFA Rates'!$A$5:$A$1004,A655,'AFA Rates'!$O$5:$O$1004,"&lt;&gt;Expired"))</f>
        <v/>
      </c>
      <c r="R655" s="66" t="n"/>
      <c r="S655" s="64" t="n"/>
      <c r="T655" s="64" t="n"/>
      <c r="U655">
        <f>IF(AND(A655&lt;&gt;"",B655="Paused"),COUNTIFS($A$5:A655,"&lt;&gt;",$B$5:B655,"Paused"),"")</f>
        <v/>
      </c>
      <c r="V655">
        <f>IF(P655="Yes",COUNTIF($P$5:P655,"Yes"),"")</f>
        <v/>
      </c>
      <c r="W655">
        <f>IF(A655="","",COUNTIF($A$5:$A$1004,"&lt;"&amp;A655)+COUNTIF($A$5:A655,A655))</f>
        <v/>
      </c>
      <c r="X655">
        <f>","&amp;SUBSTITUTE(SUBSTITUTE(SUBSTITUTE(UPPER(C655)," ",""),";",","),"/",",")&amp;","</f>
        <v/>
      </c>
      <c r="Y655">
        <f>IF(AND(A655&lt;&gt;"",B655="Active",'State Search'!$C$5&lt;&gt;"",OR(X655=",ALL,",ISNUMBER(SEARCH(","&amp;'State Search'!$C$5&amp;",",X655)))),W655,"")</f>
        <v/>
      </c>
    </row>
    <row r="656">
      <c r="A656" s="64" t="n"/>
      <c r="B656" s="65" t="n"/>
      <c r="C656" s="64" t="n"/>
      <c r="D656" s="66" t="n"/>
      <c r="E656" s="66" t="n"/>
      <c r="F656" s="67" t="n"/>
      <c r="G656" s="67" t="n"/>
      <c r="H656" s="67" t="n"/>
      <c r="I656" s="67" t="n"/>
      <c r="J656" s="67" t="n"/>
      <c r="K656" s="67" t="n"/>
      <c r="L656" s="67" t="n"/>
      <c r="M656" s="67" t="n"/>
      <c r="N656" s="65" t="n"/>
      <c r="O656" s="84">
        <f>IF(A656="","",IF(E656="","No date",IF(TODAY()&gt;=EDATE(E656,Review_Months),"Review Due","Current")))</f>
        <v/>
      </c>
      <c r="P656" s="84">
        <f>IF(A656="","",IF(COUNTIFS('AFA Rates'!$A$5:$A$1004,A656,'AFA Rates'!$O$5:$O$1004,"&lt;&gt;Expired")&gt;0,"Yes",IF(COUNTIF('AFA Rates'!$A$5:$A$1004,A656)&gt;0,"Expired only","No")))</f>
        <v/>
      </c>
      <c r="Q656" s="84">
        <f>IF(A656="","",COUNTIFS('AFA Rates'!$A$5:$A$1004,A656,'AFA Rates'!$O$5:$O$1004,"&lt;&gt;Expired"))</f>
        <v/>
      </c>
      <c r="R656" s="66" t="n"/>
      <c r="S656" s="64" t="n"/>
      <c r="T656" s="64" t="n"/>
      <c r="U656">
        <f>IF(AND(A656&lt;&gt;"",B656="Paused"),COUNTIFS($A$5:A656,"&lt;&gt;",$B$5:B656,"Paused"),"")</f>
        <v/>
      </c>
      <c r="V656">
        <f>IF(P656="Yes",COUNTIF($P$5:P656,"Yes"),"")</f>
        <v/>
      </c>
      <c r="W656">
        <f>IF(A656="","",COUNTIF($A$5:$A$1004,"&lt;"&amp;A656)+COUNTIF($A$5:A656,A656))</f>
        <v/>
      </c>
      <c r="X656">
        <f>","&amp;SUBSTITUTE(SUBSTITUTE(SUBSTITUTE(UPPER(C656)," ",""),";",","),"/",",")&amp;","</f>
        <v/>
      </c>
      <c r="Y656">
        <f>IF(AND(A656&lt;&gt;"",B656="Active",'State Search'!$C$5&lt;&gt;"",OR(X656=",ALL,",ISNUMBER(SEARCH(","&amp;'State Search'!$C$5&amp;",",X656)))),W656,"")</f>
        <v/>
      </c>
    </row>
    <row r="657">
      <c r="A657" s="64" t="n"/>
      <c r="B657" s="65" t="n"/>
      <c r="C657" s="64" t="n"/>
      <c r="D657" s="66" t="n"/>
      <c r="E657" s="66" t="n"/>
      <c r="F657" s="67" t="n"/>
      <c r="G657" s="67" t="n"/>
      <c r="H657" s="67" t="n"/>
      <c r="I657" s="67" t="n"/>
      <c r="J657" s="67" t="n"/>
      <c r="K657" s="67" t="n"/>
      <c r="L657" s="67" t="n"/>
      <c r="M657" s="67" t="n"/>
      <c r="N657" s="65" t="n"/>
      <c r="O657" s="84">
        <f>IF(A657="","",IF(E657="","No date",IF(TODAY()&gt;=EDATE(E657,Review_Months),"Review Due","Current")))</f>
        <v/>
      </c>
      <c r="P657" s="84">
        <f>IF(A657="","",IF(COUNTIFS('AFA Rates'!$A$5:$A$1004,A657,'AFA Rates'!$O$5:$O$1004,"&lt;&gt;Expired")&gt;0,"Yes",IF(COUNTIF('AFA Rates'!$A$5:$A$1004,A657)&gt;0,"Expired only","No")))</f>
        <v/>
      </c>
      <c r="Q657" s="84">
        <f>IF(A657="","",COUNTIFS('AFA Rates'!$A$5:$A$1004,A657,'AFA Rates'!$O$5:$O$1004,"&lt;&gt;Expired"))</f>
        <v/>
      </c>
      <c r="R657" s="66" t="n"/>
      <c r="S657" s="64" t="n"/>
      <c r="T657" s="64" t="n"/>
      <c r="U657">
        <f>IF(AND(A657&lt;&gt;"",B657="Paused"),COUNTIFS($A$5:A657,"&lt;&gt;",$B$5:B657,"Paused"),"")</f>
        <v/>
      </c>
      <c r="V657">
        <f>IF(P657="Yes",COUNTIF($P$5:P657,"Yes"),"")</f>
        <v/>
      </c>
      <c r="W657">
        <f>IF(A657="","",COUNTIF($A$5:$A$1004,"&lt;"&amp;A657)+COUNTIF($A$5:A657,A657))</f>
        <v/>
      </c>
      <c r="X657">
        <f>","&amp;SUBSTITUTE(SUBSTITUTE(SUBSTITUTE(UPPER(C657)," ",""),";",","),"/",",")&amp;","</f>
        <v/>
      </c>
      <c r="Y657">
        <f>IF(AND(A657&lt;&gt;"",B657="Active",'State Search'!$C$5&lt;&gt;"",OR(X657=",ALL,",ISNUMBER(SEARCH(","&amp;'State Search'!$C$5&amp;",",X657)))),W657,"")</f>
        <v/>
      </c>
    </row>
    <row r="658">
      <c r="A658" s="64" t="n"/>
      <c r="B658" s="65" t="n"/>
      <c r="C658" s="64" t="n"/>
      <c r="D658" s="66" t="n"/>
      <c r="E658" s="66" t="n"/>
      <c r="F658" s="67" t="n"/>
      <c r="G658" s="67" t="n"/>
      <c r="H658" s="67" t="n"/>
      <c r="I658" s="67" t="n"/>
      <c r="J658" s="67" t="n"/>
      <c r="K658" s="67" t="n"/>
      <c r="L658" s="67" t="n"/>
      <c r="M658" s="67" t="n"/>
      <c r="N658" s="65" t="n"/>
      <c r="O658" s="84">
        <f>IF(A658="","",IF(E658="","No date",IF(TODAY()&gt;=EDATE(E658,Review_Months),"Review Due","Current")))</f>
        <v/>
      </c>
      <c r="P658" s="84">
        <f>IF(A658="","",IF(COUNTIFS('AFA Rates'!$A$5:$A$1004,A658,'AFA Rates'!$O$5:$O$1004,"&lt;&gt;Expired")&gt;0,"Yes",IF(COUNTIF('AFA Rates'!$A$5:$A$1004,A658)&gt;0,"Expired only","No")))</f>
        <v/>
      </c>
      <c r="Q658" s="84">
        <f>IF(A658="","",COUNTIFS('AFA Rates'!$A$5:$A$1004,A658,'AFA Rates'!$O$5:$O$1004,"&lt;&gt;Expired"))</f>
        <v/>
      </c>
      <c r="R658" s="66" t="n"/>
      <c r="S658" s="64" t="n"/>
      <c r="T658" s="64" t="n"/>
      <c r="U658">
        <f>IF(AND(A658&lt;&gt;"",B658="Paused"),COUNTIFS($A$5:A658,"&lt;&gt;",$B$5:B658,"Paused"),"")</f>
        <v/>
      </c>
      <c r="V658">
        <f>IF(P658="Yes",COUNTIF($P$5:P658,"Yes"),"")</f>
        <v/>
      </c>
      <c r="W658">
        <f>IF(A658="","",COUNTIF($A$5:$A$1004,"&lt;"&amp;A658)+COUNTIF($A$5:A658,A658))</f>
        <v/>
      </c>
      <c r="X658">
        <f>","&amp;SUBSTITUTE(SUBSTITUTE(SUBSTITUTE(UPPER(C658)," ",""),";",","),"/",",")&amp;","</f>
        <v/>
      </c>
      <c r="Y658">
        <f>IF(AND(A658&lt;&gt;"",B658="Active",'State Search'!$C$5&lt;&gt;"",OR(X658=",ALL,",ISNUMBER(SEARCH(","&amp;'State Search'!$C$5&amp;",",X658)))),W658,"")</f>
        <v/>
      </c>
    </row>
    <row r="659">
      <c r="A659" s="64" t="n"/>
      <c r="B659" s="65" t="n"/>
      <c r="C659" s="64" t="n"/>
      <c r="D659" s="66" t="n"/>
      <c r="E659" s="66" t="n"/>
      <c r="F659" s="67" t="n"/>
      <c r="G659" s="67" t="n"/>
      <c r="H659" s="67" t="n"/>
      <c r="I659" s="67" t="n"/>
      <c r="J659" s="67" t="n"/>
      <c r="K659" s="67" t="n"/>
      <c r="L659" s="67" t="n"/>
      <c r="M659" s="67" t="n"/>
      <c r="N659" s="65" t="n"/>
      <c r="O659" s="84">
        <f>IF(A659="","",IF(E659="","No date",IF(TODAY()&gt;=EDATE(E659,Review_Months),"Review Due","Current")))</f>
        <v/>
      </c>
      <c r="P659" s="84">
        <f>IF(A659="","",IF(COUNTIFS('AFA Rates'!$A$5:$A$1004,A659,'AFA Rates'!$O$5:$O$1004,"&lt;&gt;Expired")&gt;0,"Yes",IF(COUNTIF('AFA Rates'!$A$5:$A$1004,A659)&gt;0,"Expired only","No")))</f>
        <v/>
      </c>
      <c r="Q659" s="84">
        <f>IF(A659="","",COUNTIFS('AFA Rates'!$A$5:$A$1004,A659,'AFA Rates'!$O$5:$O$1004,"&lt;&gt;Expired"))</f>
        <v/>
      </c>
      <c r="R659" s="66" t="n"/>
      <c r="S659" s="64" t="n"/>
      <c r="T659" s="64" t="n"/>
      <c r="U659">
        <f>IF(AND(A659&lt;&gt;"",B659="Paused"),COUNTIFS($A$5:A659,"&lt;&gt;",$B$5:B659,"Paused"),"")</f>
        <v/>
      </c>
      <c r="V659">
        <f>IF(P659="Yes",COUNTIF($P$5:P659,"Yes"),"")</f>
        <v/>
      </c>
      <c r="W659">
        <f>IF(A659="","",COUNTIF($A$5:$A$1004,"&lt;"&amp;A659)+COUNTIF($A$5:A659,A659))</f>
        <v/>
      </c>
      <c r="X659">
        <f>","&amp;SUBSTITUTE(SUBSTITUTE(SUBSTITUTE(UPPER(C659)," ",""),";",","),"/",",")&amp;","</f>
        <v/>
      </c>
      <c r="Y659">
        <f>IF(AND(A659&lt;&gt;"",B659="Active",'State Search'!$C$5&lt;&gt;"",OR(X659=",ALL,",ISNUMBER(SEARCH(","&amp;'State Search'!$C$5&amp;",",X659)))),W659,"")</f>
        <v/>
      </c>
    </row>
    <row r="660">
      <c r="A660" s="64" t="n"/>
      <c r="B660" s="65" t="n"/>
      <c r="C660" s="64" t="n"/>
      <c r="D660" s="66" t="n"/>
      <c r="E660" s="66" t="n"/>
      <c r="F660" s="67" t="n"/>
      <c r="G660" s="67" t="n"/>
      <c r="H660" s="67" t="n"/>
      <c r="I660" s="67" t="n"/>
      <c r="J660" s="67" t="n"/>
      <c r="K660" s="67" t="n"/>
      <c r="L660" s="67" t="n"/>
      <c r="M660" s="67" t="n"/>
      <c r="N660" s="65" t="n"/>
      <c r="O660" s="84">
        <f>IF(A660="","",IF(E660="","No date",IF(TODAY()&gt;=EDATE(E660,Review_Months),"Review Due","Current")))</f>
        <v/>
      </c>
      <c r="P660" s="84">
        <f>IF(A660="","",IF(COUNTIFS('AFA Rates'!$A$5:$A$1004,A660,'AFA Rates'!$O$5:$O$1004,"&lt;&gt;Expired")&gt;0,"Yes",IF(COUNTIF('AFA Rates'!$A$5:$A$1004,A660)&gt;0,"Expired only","No")))</f>
        <v/>
      </c>
      <c r="Q660" s="84">
        <f>IF(A660="","",COUNTIFS('AFA Rates'!$A$5:$A$1004,A660,'AFA Rates'!$O$5:$O$1004,"&lt;&gt;Expired"))</f>
        <v/>
      </c>
      <c r="R660" s="66" t="n"/>
      <c r="S660" s="64" t="n"/>
      <c r="T660" s="64" t="n"/>
      <c r="U660">
        <f>IF(AND(A660&lt;&gt;"",B660="Paused"),COUNTIFS($A$5:A660,"&lt;&gt;",$B$5:B660,"Paused"),"")</f>
        <v/>
      </c>
      <c r="V660">
        <f>IF(P660="Yes",COUNTIF($P$5:P660,"Yes"),"")</f>
        <v/>
      </c>
      <c r="W660">
        <f>IF(A660="","",COUNTIF($A$5:$A$1004,"&lt;"&amp;A660)+COUNTIF($A$5:A660,A660))</f>
        <v/>
      </c>
      <c r="X660">
        <f>","&amp;SUBSTITUTE(SUBSTITUTE(SUBSTITUTE(UPPER(C660)," ",""),";",","),"/",",")&amp;","</f>
        <v/>
      </c>
      <c r="Y660">
        <f>IF(AND(A660&lt;&gt;"",B660="Active",'State Search'!$C$5&lt;&gt;"",OR(X660=",ALL,",ISNUMBER(SEARCH(","&amp;'State Search'!$C$5&amp;",",X660)))),W660,"")</f>
        <v/>
      </c>
    </row>
    <row r="661">
      <c r="A661" s="64" t="n"/>
      <c r="B661" s="65" t="n"/>
      <c r="C661" s="64" t="n"/>
      <c r="D661" s="66" t="n"/>
      <c r="E661" s="66" t="n"/>
      <c r="F661" s="67" t="n"/>
      <c r="G661" s="67" t="n"/>
      <c r="H661" s="67" t="n"/>
      <c r="I661" s="67" t="n"/>
      <c r="J661" s="67" t="n"/>
      <c r="K661" s="67" t="n"/>
      <c r="L661" s="67" t="n"/>
      <c r="M661" s="67" t="n"/>
      <c r="N661" s="65" t="n"/>
      <c r="O661" s="84">
        <f>IF(A661="","",IF(E661="","No date",IF(TODAY()&gt;=EDATE(E661,Review_Months),"Review Due","Current")))</f>
        <v/>
      </c>
      <c r="P661" s="84">
        <f>IF(A661="","",IF(COUNTIFS('AFA Rates'!$A$5:$A$1004,A661,'AFA Rates'!$O$5:$O$1004,"&lt;&gt;Expired")&gt;0,"Yes",IF(COUNTIF('AFA Rates'!$A$5:$A$1004,A661)&gt;0,"Expired only","No")))</f>
        <v/>
      </c>
      <c r="Q661" s="84">
        <f>IF(A661="","",COUNTIFS('AFA Rates'!$A$5:$A$1004,A661,'AFA Rates'!$O$5:$O$1004,"&lt;&gt;Expired"))</f>
        <v/>
      </c>
      <c r="R661" s="66" t="n"/>
      <c r="S661" s="64" t="n"/>
      <c r="T661" s="64" t="n"/>
      <c r="U661">
        <f>IF(AND(A661&lt;&gt;"",B661="Paused"),COUNTIFS($A$5:A661,"&lt;&gt;",$B$5:B661,"Paused"),"")</f>
        <v/>
      </c>
      <c r="V661">
        <f>IF(P661="Yes",COUNTIF($P$5:P661,"Yes"),"")</f>
        <v/>
      </c>
      <c r="W661">
        <f>IF(A661="","",COUNTIF($A$5:$A$1004,"&lt;"&amp;A661)+COUNTIF($A$5:A661,A661))</f>
        <v/>
      </c>
      <c r="X661">
        <f>","&amp;SUBSTITUTE(SUBSTITUTE(SUBSTITUTE(UPPER(C661)," ",""),";",","),"/",",")&amp;","</f>
        <v/>
      </c>
      <c r="Y661">
        <f>IF(AND(A661&lt;&gt;"",B661="Active",'State Search'!$C$5&lt;&gt;"",OR(X661=",ALL,",ISNUMBER(SEARCH(","&amp;'State Search'!$C$5&amp;",",X661)))),W661,"")</f>
        <v/>
      </c>
    </row>
    <row r="662">
      <c r="A662" s="64" t="n"/>
      <c r="B662" s="65" t="n"/>
      <c r="C662" s="64" t="n"/>
      <c r="D662" s="66" t="n"/>
      <c r="E662" s="66" t="n"/>
      <c r="F662" s="67" t="n"/>
      <c r="G662" s="67" t="n"/>
      <c r="H662" s="67" t="n"/>
      <c r="I662" s="67" t="n"/>
      <c r="J662" s="67" t="n"/>
      <c r="K662" s="67" t="n"/>
      <c r="L662" s="67" t="n"/>
      <c r="M662" s="67" t="n"/>
      <c r="N662" s="65" t="n"/>
      <c r="O662" s="84">
        <f>IF(A662="","",IF(E662="","No date",IF(TODAY()&gt;=EDATE(E662,Review_Months),"Review Due","Current")))</f>
        <v/>
      </c>
      <c r="P662" s="84">
        <f>IF(A662="","",IF(COUNTIFS('AFA Rates'!$A$5:$A$1004,A662,'AFA Rates'!$O$5:$O$1004,"&lt;&gt;Expired")&gt;0,"Yes",IF(COUNTIF('AFA Rates'!$A$5:$A$1004,A662)&gt;0,"Expired only","No")))</f>
        <v/>
      </c>
      <c r="Q662" s="84">
        <f>IF(A662="","",COUNTIFS('AFA Rates'!$A$5:$A$1004,A662,'AFA Rates'!$O$5:$O$1004,"&lt;&gt;Expired"))</f>
        <v/>
      </c>
      <c r="R662" s="66" t="n"/>
      <c r="S662" s="64" t="n"/>
      <c r="T662" s="64" t="n"/>
      <c r="U662">
        <f>IF(AND(A662&lt;&gt;"",B662="Paused"),COUNTIFS($A$5:A662,"&lt;&gt;",$B$5:B662,"Paused"),"")</f>
        <v/>
      </c>
      <c r="V662">
        <f>IF(P662="Yes",COUNTIF($P$5:P662,"Yes"),"")</f>
        <v/>
      </c>
      <c r="W662">
        <f>IF(A662="","",COUNTIF($A$5:$A$1004,"&lt;"&amp;A662)+COUNTIF($A$5:A662,A662))</f>
        <v/>
      </c>
      <c r="X662">
        <f>","&amp;SUBSTITUTE(SUBSTITUTE(SUBSTITUTE(UPPER(C662)," ",""),";",","),"/",",")&amp;","</f>
        <v/>
      </c>
      <c r="Y662">
        <f>IF(AND(A662&lt;&gt;"",B662="Active",'State Search'!$C$5&lt;&gt;"",OR(X662=",ALL,",ISNUMBER(SEARCH(","&amp;'State Search'!$C$5&amp;",",X662)))),W662,"")</f>
        <v/>
      </c>
    </row>
    <row r="663">
      <c r="A663" s="64" t="n"/>
      <c r="B663" s="65" t="n"/>
      <c r="C663" s="64" t="n"/>
      <c r="D663" s="66" t="n"/>
      <c r="E663" s="66" t="n"/>
      <c r="F663" s="67" t="n"/>
      <c r="G663" s="67" t="n"/>
      <c r="H663" s="67" t="n"/>
      <c r="I663" s="67" t="n"/>
      <c r="J663" s="67" t="n"/>
      <c r="K663" s="67" t="n"/>
      <c r="L663" s="67" t="n"/>
      <c r="M663" s="67" t="n"/>
      <c r="N663" s="65" t="n"/>
      <c r="O663" s="84">
        <f>IF(A663="","",IF(E663="","No date",IF(TODAY()&gt;=EDATE(E663,Review_Months),"Review Due","Current")))</f>
        <v/>
      </c>
      <c r="P663" s="84">
        <f>IF(A663="","",IF(COUNTIFS('AFA Rates'!$A$5:$A$1004,A663,'AFA Rates'!$O$5:$O$1004,"&lt;&gt;Expired")&gt;0,"Yes",IF(COUNTIF('AFA Rates'!$A$5:$A$1004,A663)&gt;0,"Expired only","No")))</f>
        <v/>
      </c>
      <c r="Q663" s="84">
        <f>IF(A663="","",COUNTIFS('AFA Rates'!$A$5:$A$1004,A663,'AFA Rates'!$O$5:$O$1004,"&lt;&gt;Expired"))</f>
        <v/>
      </c>
      <c r="R663" s="66" t="n"/>
      <c r="S663" s="64" t="n"/>
      <c r="T663" s="64" t="n"/>
      <c r="U663">
        <f>IF(AND(A663&lt;&gt;"",B663="Paused"),COUNTIFS($A$5:A663,"&lt;&gt;",$B$5:B663,"Paused"),"")</f>
        <v/>
      </c>
      <c r="V663">
        <f>IF(P663="Yes",COUNTIF($P$5:P663,"Yes"),"")</f>
        <v/>
      </c>
      <c r="W663">
        <f>IF(A663="","",COUNTIF($A$5:$A$1004,"&lt;"&amp;A663)+COUNTIF($A$5:A663,A663))</f>
        <v/>
      </c>
      <c r="X663">
        <f>","&amp;SUBSTITUTE(SUBSTITUTE(SUBSTITUTE(UPPER(C663)," ",""),";",","),"/",",")&amp;","</f>
        <v/>
      </c>
      <c r="Y663">
        <f>IF(AND(A663&lt;&gt;"",B663="Active",'State Search'!$C$5&lt;&gt;"",OR(X663=",ALL,",ISNUMBER(SEARCH(","&amp;'State Search'!$C$5&amp;",",X663)))),W663,"")</f>
        <v/>
      </c>
    </row>
    <row r="664">
      <c r="A664" s="64" t="n"/>
      <c r="B664" s="65" t="n"/>
      <c r="C664" s="64" t="n"/>
      <c r="D664" s="66" t="n"/>
      <c r="E664" s="66" t="n"/>
      <c r="F664" s="67" t="n"/>
      <c r="G664" s="67" t="n"/>
      <c r="H664" s="67" t="n"/>
      <c r="I664" s="67" t="n"/>
      <c r="J664" s="67" t="n"/>
      <c r="K664" s="67" t="n"/>
      <c r="L664" s="67" t="n"/>
      <c r="M664" s="67" t="n"/>
      <c r="N664" s="65" t="n"/>
      <c r="O664" s="84">
        <f>IF(A664="","",IF(E664="","No date",IF(TODAY()&gt;=EDATE(E664,Review_Months),"Review Due","Current")))</f>
        <v/>
      </c>
      <c r="P664" s="84">
        <f>IF(A664="","",IF(COUNTIFS('AFA Rates'!$A$5:$A$1004,A664,'AFA Rates'!$O$5:$O$1004,"&lt;&gt;Expired")&gt;0,"Yes",IF(COUNTIF('AFA Rates'!$A$5:$A$1004,A664)&gt;0,"Expired only","No")))</f>
        <v/>
      </c>
      <c r="Q664" s="84">
        <f>IF(A664="","",COUNTIFS('AFA Rates'!$A$5:$A$1004,A664,'AFA Rates'!$O$5:$O$1004,"&lt;&gt;Expired"))</f>
        <v/>
      </c>
      <c r="R664" s="66" t="n"/>
      <c r="S664" s="64" t="n"/>
      <c r="T664" s="64" t="n"/>
      <c r="U664">
        <f>IF(AND(A664&lt;&gt;"",B664="Paused"),COUNTIFS($A$5:A664,"&lt;&gt;",$B$5:B664,"Paused"),"")</f>
        <v/>
      </c>
      <c r="V664">
        <f>IF(P664="Yes",COUNTIF($P$5:P664,"Yes"),"")</f>
        <v/>
      </c>
      <c r="W664">
        <f>IF(A664="","",COUNTIF($A$5:$A$1004,"&lt;"&amp;A664)+COUNTIF($A$5:A664,A664))</f>
        <v/>
      </c>
      <c r="X664">
        <f>","&amp;SUBSTITUTE(SUBSTITUTE(SUBSTITUTE(UPPER(C664)," ",""),";",","),"/",",")&amp;","</f>
        <v/>
      </c>
      <c r="Y664">
        <f>IF(AND(A664&lt;&gt;"",B664="Active",'State Search'!$C$5&lt;&gt;"",OR(X664=",ALL,",ISNUMBER(SEARCH(","&amp;'State Search'!$C$5&amp;",",X664)))),W664,"")</f>
        <v/>
      </c>
    </row>
    <row r="665">
      <c r="A665" s="64" t="n"/>
      <c r="B665" s="65" t="n"/>
      <c r="C665" s="64" t="n"/>
      <c r="D665" s="66" t="n"/>
      <c r="E665" s="66" t="n"/>
      <c r="F665" s="67" t="n"/>
      <c r="G665" s="67" t="n"/>
      <c r="H665" s="67" t="n"/>
      <c r="I665" s="67" t="n"/>
      <c r="J665" s="67" t="n"/>
      <c r="K665" s="67" t="n"/>
      <c r="L665" s="67" t="n"/>
      <c r="M665" s="67" t="n"/>
      <c r="N665" s="65" t="n"/>
      <c r="O665" s="84">
        <f>IF(A665="","",IF(E665="","No date",IF(TODAY()&gt;=EDATE(E665,Review_Months),"Review Due","Current")))</f>
        <v/>
      </c>
      <c r="P665" s="84">
        <f>IF(A665="","",IF(COUNTIFS('AFA Rates'!$A$5:$A$1004,A665,'AFA Rates'!$O$5:$O$1004,"&lt;&gt;Expired")&gt;0,"Yes",IF(COUNTIF('AFA Rates'!$A$5:$A$1004,A665)&gt;0,"Expired only","No")))</f>
        <v/>
      </c>
      <c r="Q665" s="84">
        <f>IF(A665="","",COUNTIFS('AFA Rates'!$A$5:$A$1004,A665,'AFA Rates'!$O$5:$O$1004,"&lt;&gt;Expired"))</f>
        <v/>
      </c>
      <c r="R665" s="66" t="n"/>
      <c r="S665" s="64" t="n"/>
      <c r="T665" s="64" t="n"/>
      <c r="U665">
        <f>IF(AND(A665&lt;&gt;"",B665="Paused"),COUNTIFS($A$5:A665,"&lt;&gt;",$B$5:B665,"Paused"),"")</f>
        <v/>
      </c>
      <c r="V665">
        <f>IF(P665="Yes",COUNTIF($P$5:P665,"Yes"),"")</f>
        <v/>
      </c>
      <c r="W665">
        <f>IF(A665="","",COUNTIF($A$5:$A$1004,"&lt;"&amp;A665)+COUNTIF($A$5:A665,A665))</f>
        <v/>
      </c>
      <c r="X665">
        <f>","&amp;SUBSTITUTE(SUBSTITUTE(SUBSTITUTE(UPPER(C665)," ",""),";",","),"/",",")&amp;","</f>
        <v/>
      </c>
      <c r="Y665">
        <f>IF(AND(A665&lt;&gt;"",B665="Active",'State Search'!$C$5&lt;&gt;"",OR(X665=",ALL,",ISNUMBER(SEARCH(","&amp;'State Search'!$C$5&amp;",",X665)))),W665,"")</f>
        <v/>
      </c>
    </row>
    <row r="666">
      <c r="A666" s="64" t="n"/>
      <c r="B666" s="65" t="n"/>
      <c r="C666" s="64" t="n"/>
      <c r="D666" s="66" t="n"/>
      <c r="E666" s="66" t="n"/>
      <c r="F666" s="67" t="n"/>
      <c r="G666" s="67" t="n"/>
      <c r="H666" s="67" t="n"/>
      <c r="I666" s="67" t="n"/>
      <c r="J666" s="67" t="n"/>
      <c r="K666" s="67" t="n"/>
      <c r="L666" s="67" t="n"/>
      <c r="M666" s="67" t="n"/>
      <c r="N666" s="65" t="n"/>
      <c r="O666" s="84">
        <f>IF(A666="","",IF(E666="","No date",IF(TODAY()&gt;=EDATE(E666,Review_Months),"Review Due","Current")))</f>
        <v/>
      </c>
      <c r="P666" s="84">
        <f>IF(A666="","",IF(COUNTIFS('AFA Rates'!$A$5:$A$1004,A666,'AFA Rates'!$O$5:$O$1004,"&lt;&gt;Expired")&gt;0,"Yes",IF(COUNTIF('AFA Rates'!$A$5:$A$1004,A666)&gt;0,"Expired only","No")))</f>
        <v/>
      </c>
      <c r="Q666" s="84">
        <f>IF(A666="","",COUNTIFS('AFA Rates'!$A$5:$A$1004,A666,'AFA Rates'!$O$5:$O$1004,"&lt;&gt;Expired"))</f>
        <v/>
      </c>
      <c r="R666" s="66" t="n"/>
      <c r="S666" s="64" t="n"/>
      <c r="T666" s="64" t="n"/>
      <c r="U666">
        <f>IF(AND(A666&lt;&gt;"",B666="Paused"),COUNTIFS($A$5:A666,"&lt;&gt;",$B$5:B666,"Paused"),"")</f>
        <v/>
      </c>
      <c r="V666">
        <f>IF(P666="Yes",COUNTIF($P$5:P666,"Yes"),"")</f>
        <v/>
      </c>
      <c r="W666">
        <f>IF(A666="","",COUNTIF($A$5:$A$1004,"&lt;"&amp;A666)+COUNTIF($A$5:A666,A666))</f>
        <v/>
      </c>
      <c r="X666">
        <f>","&amp;SUBSTITUTE(SUBSTITUTE(SUBSTITUTE(UPPER(C666)," ",""),";",","),"/",",")&amp;","</f>
        <v/>
      </c>
      <c r="Y666">
        <f>IF(AND(A666&lt;&gt;"",B666="Active",'State Search'!$C$5&lt;&gt;"",OR(X666=",ALL,",ISNUMBER(SEARCH(","&amp;'State Search'!$C$5&amp;",",X666)))),W666,"")</f>
        <v/>
      </c>
    </row>
    <row r="667">
      <c r="A667" s="64" t="n"/>
      <c r="B667" s="65" t="n"/>
      <c r="C667" s="64" t="n"/>
      <c r="D667" s="66" t="n"/>
      <c r="E667" s="66" t="n"/>
      <c r="F667" s="67" t="n"/>
      <c r="G667" s="67" t="n"/>
      <c r="H667" s="67" t="n"/>
      <c r="I667" s="67" t="n"/>
      <c r="J667" s="67" t="n"/>
      <c r="K667" s="67" t="n"/>
      <c r="L667" s="67" t="n"/>
      <c r="M667" s="67" t="n"/>
      <c r="N667" s="65" t="n"/>
      <c r="O667" s="84">
        <f>IF(A667="","",IF(E667="","No date",IF(TODAY()&gt;=EDATE(E667,Review_Months),"Review Due","Current")))</f>
        <v/>
      </c>
      <c r="P667" s="84">
        <f>IF(A667="","",IF(COUNTIFS('AFA Rates'!$A$5:$A$1004,A667,'AFA Rates'!$O$5:$O$1004,"&lt;&gt;Expired")&gt;0,"Yes",IF(COUNTIF('AFA Rates'!$A$5:$A$1004,A667)&gt;0,"Expired only","No")))</f>
        <v/>
      </c>
      <c r="Q667" s="84">
        <f>IF(A667="","",COUNTIFS('AFA Rates'!$A$5:$A$1004,A667,'AFA Rates'!$O$5:$O$1004,"&lt;&gt;Expired"))</f>
        <v/>
      </c>
      <c r="R667" s="66" t="n"/>
      <c r="S667" s="64" t="n"/>
      <c r="T667" s="64" t="n"/>
      <c r="U667">
        <f>IF(AND(A667&lt;&gt;"",B667="Paused"),COUNTIFS($A$5:A667,"&lt;&gt;",$B$5:B667,"Paused"),"")</f>
        <v/>
      </c>
      <c r="V667">
        <f>IF(P667="Yes",COUNTIF($P$5:P667,"Yes"),"")</f>
        <v/>
      </c>
      <c r="W667">
        <f>IF(A667="","",COUNTIF($A$5:$A$1004,"&lt;"&amp;A667)+COUNTIF($A$5:A667,A667))</f>
        <v/>
      </c>
      <c r="X667">
        <f>","&amp;SUBSTITUTE(SUBSTITUTE(SUBSTITUTE(UPPER(C667)," ",""),";",","),"/",",")&amp;","</f>
        <v/>
      </c>
      <c r="Y667">
        <f>IF(AND(A667&lt;&gt;"",B667="Active",'State Search'!$C$5&lt;&gt;"",OR(X667=",ALL,",ISNUMBER(SEARCH(","&amp;'State Search'!$C$5&amp;",",X667)))),W667,"")</f>
        <v/>
      </c>
    </row>
    <row r="668">
      <c r="A668" s="64" t="n"/>
      <c r="B668" s="65" t="n"/>
      <c r="C668" s="64" t="n"/>
      <c r="D668" s="66" t="n"/>
      <c r="E668" s="66" t="n"/>
      <c r="F668" s="67" t="n"/>
      <c r="G668" s="67" t="n"/>
      <c r="H668" s="67" t="n"/>
      <c r="I668" s="67" t="n"/>
      <c r="J668" s="67" t="n"/>
      <c r="K668" s="67" t="n"/>
      <c r="L668" s="67" t="n"/>
      <c r="M668" s="67" t="n"/>
      <c r="N668" s="65" t="n"/>
      <c r="O668" s="84">
        <f>IF(A668="","",IF(E668="","No date",IF(TODAY()&gt;=EDATE(E668,Review_Months),"Review Due","Current")))</f>
        <v/>
      </c>
      <c r="P668" s="84">
        <f>IF(A668="","",IF(COUNTIFS('AFA Rates'!$A$5:$A$1004,A668,'AFA Rates'!$O$5:$O$1004,"&lt;&gt;Expired")&gt;0,"Yes",IF(COUNTIF('AFA Rates'!$A$5:$A$1004,A668)&gt;0,"Expired only","No")))</f>
        <v/>
      </c>
      <c r="Q668" s="84">
        <f>IF(A668="","",COUNTIFS('AFA Rates'!$A$5:$A$1004,A668,'AFA Rates'!$O$5:$O$1004,"&lt;&gt;Expired"))</f>
        <v/>
      </c>
      <c r="R668" s="66" t="n"/>
      <c r="S668" s="64" t="n"/>
      <c r="T668" s="64" t="n"/>
      <c r="U668">
        <f>IF(AND(A668&lt;&gt;"",B668="Paused"),COUNTIFS($A$5:A668,"&lt;&gt;",$B$5:B668,"Paused"),"")</f>
        <v/>
      </c>
      <c r="V668">
        <f>IF(P668="Yes",COUNTIF($P$5:P668,"Yes"),"")</f>
        <v/>
      </c>
      <c r="W668">
        <f>IF(A668="","",COUNTIF($A$5:$A$1004,"&lt;"&amp;A668)+COUNTIF($A$5:A668,A668))</f>
        <v/>
      </c>
      <c r="X668">
        <f>","&amp;SUBSTITUTE(SUBSTITUTE(SUBSTITUTE(UPPER(C668)," ",""),";",","),"/",",")&amp;","</f>
        <v/>
      </c>
      <c r="Y668">
        <f>IF(AND(A668&lt;&gt;"",B668="Active",'State Search'!$C$5&lt;&gt;"",OR(X668=",ALL,",ISNUMBER(SEARCH(","&amp;'State Search'!$C$5&amp;",",X668)))),W668,"")</f>
        <v/>
      </c>
    </row>
    <row r="669">
      <c r="A669" s="64" t="n"/>
      <c r="B669" s="65" t="n"/>
      <c r="C669" s="64" t="n"/>
      <c r="D669" s="66" t="n"/>
      <c r="E669" s="66" t="n"/>
      <c r="F669" s="67" t="n"/>
      <c r="G669" s="67" t="n"/>
      <c r="H669" s="67" t="n"/>
      <c r="I669" s="67" t="n"/>
      <c r="J669" s="67" t="n"/>
      <c r="K669" s="67" t="n"/>
      <c r="L669" s="67" t="n"/>
      <c r="M669" s="67" t="n"/>
      <c r="N669" s="65" t="n"/>
      <c r="O669" s="84">
        <f>IF(A669="","",IF(E669="","No date",IF(TODAY()&gt;=EDATE(E669,Review_Months),"Review Due","Current")))</f>
        <v/>
      </c>
      <c r="P669" s="84">
        <f>IF(A669="","",IF(COUNTIFS('AFA Rates'!$A$5:$A$1004,A669,'AFA Rates'!$O$5:$O$1004,"&lt;&gt;Expired")&gt;0,"Yes",IF(COUNTIF('AFA Rates'!$A$5:$A$1004,A669)&gt;0,"Expired only","No")))</f>
        <v/>
      </c>
      <c r="Q669" s="84">
        <f>IF(A669="","",COUNTIFS('AFA Rates'!$A$5:$A$1004,A669,'AFA Rates'!$O$5:$O$1004,"&lt;&gt;Expired"))</f>
        <v/>
      </c>
      <c r="R669" s="66" t="n"/>
      <c r="S669" s="64" t="n"/>
      <c r="T669" s="64" t="n"/>
      <c r="U669">
        <f>IF(AND(A669&lt;&gt;"",B669="Paused"),COUNTIFS($A$5:A669,"&lt;&gt;",$B$5:B669,"Paused"),"")</f>
        <v/>
      </c>
      <c r="V669">
        <f>IF(P669="Yes",COUNTIF($P$5:P669,"Yes"),"")</f>
        <v/>
      </c>
      <c r="W669">
        <f>IF(A669="","",COUNTIF($A$5:$A$1004,"&lt;"&amp;A669)+COUNTIF($A$5:A669,A669))</f>
        <v/>
      </c>
      <c r="X669">
        <f>","&amp;SUBSTITUTE(SUBSTITUTE(SUBSTITUTE(UPPER(C669)," ",""),";",","),"/",",")&amp;","</f>
        <v/>
      </c>
      <c r="Y669">
        <f>IF(AND(A669&lt;&gt;"",B669="Active",'State Search'!$C$5&lt;&gt;"",OR(X669=",ALL,",ISNUMBER(SEARCH(","&amp;'State Search'!$C$5&amp;",",X669)))),W669,"")</f>
        <v/>
      </c>
    </row>
    <row r="670">
      <c r="A670" s="64" t="n"/>
      <c r="B670" s="65" t="n"/>
      <c r="C670" s="64" t="n"/>
      <c r="D670" s="66" t="n"/>
      <c r="E670" s="66" t="n"/>
      <c r="F670" s="67" t="n"/>
      <c r="G670" s="67" t="n"/>
      <c r="H670" s="67" t="n"/>
      <c r="I670" s="67" t="n"/>
      <c r="J670" s="67" t="n"/>
      <c r="K670" s="67" t="n"/>
      <c r="L670" s="67" t="n"/>
      <c r="M670" s="67" t="n"/>
      <c r="N670" s="65" t="n"/>
      <c r="O670" s="84">
        <f>IF(A670="","",IF(E670="","No date",IF(TODAY()&gt;=EDATE(E670,Review_Months),"Review Due","Current")))</f>
        <v/>
      </c>
      <c r="P670" s="84">
        <f>IF(A670="","",IF(COUNTIFS('AFA Rates'!$A$5:$A$1004,A670,'AFA Rates'!$O$5:$O$1004,"&lt;&gt;Expired")&gt;0,"Yes",IF(COUNTIF('AFA Rates'!$A$5:$A$1004,A670)&gt;0,"Expired only","No")))</f>
        <v/>
      </c>
      <c r="Q670" s="84">
        <f>IF(A670="","",COUNTIFS('AFA Rates'!$A$5:$A$1004,A670,'AFA Rates'!$O$5:$O$1004,"&lt;&gt;Expired"))</f>
        <v/>
      </c>
      <c r="R670" s="66" t="n"/>
      <c r="S670" s="64" t="n"/>
      <c r="T670" s="64" t="n"/>
      <c r="U670">
        <f>IF(AND(A670&lt;&gt;"",B670="Paused"),COUNTIFS($A$5:A670,"&lt;&gt;",$B$5:B670,"Paused"),"")</f>
        <v/>
      </c>
      <c r="V670">
        <f>IF(P670="Yes",COUNTIF($P$5:P670,"Yes"),"")</f>
        <v/>
      </c>
      <c r="W670">
        <f>IF(A670="","",COUNTIF($A$5:$A$1004,"&lt;"&amp;A670)+COUNTIF($A$5:A670,A670))</f>
        <v/>
      </c>
      <c r="X670">
        <f>","&amp;SUBSTITUTE(SUBSTITUTE(SUBSTITUTE(UPPER(C670)," ",""),";",","),"/",",")&amp;","</f>
        <v/>
      </c>
      <c r="Y670">
        <f>IF(AND(A670&lt;&gt;"",B670="Active",'State Search'!$C$5&lt;&gt;"",OR(X670=",ALL,",ISNUMBER(SEARCH(","&amp;'State Search'!$C$5&amp;",",X670)))),W670,"")</f>
        <v/>
      </c>
    </row>
    <row r="671">
      <c r="A671" s="64" t="n"/>
      <c r="B671" s="65" t="n"/>
      <c r="C671" s="64" t="n"/>
      <c r="D671" s="66" t="n"/>
      <c r="E671" s="66" t="n"/>
      <c r="F671" s="67" t="n"/>
      <c r="G671" s="67" t="n"/>
      <c r="H671" s="67" t="n"/>
      <c r="I671" s="67" t="n"/>
      <c r="J671" s="67" t="n"/>
      <c r="K671" s="67" t="n"/>
      <c r="L671" s="67" t="n"/>
      <c r="M671" s="67" t="n"/>
      <c r="N671" s="65" t="n"/>
      <c r="O671" s="84">
        <f>IF(A671="","",IF(E671="","No date",IF(TODAY()&gt;=EDATE(E671,Review_Months),"Review Due","Current")))</f>
        <v/>
      </c>
      <c r="P671" s="84">
        <f>IF(A671="","",IF(COUNTIFS('AFA Rates'!$A$5:$A$1004,A671,'AFA Rates'!$O$5:$O$1004,"&lt;&gt;Expired")&gt;0,"Yes",IF(COUNTIF('AFA Rates'!$A$5:$A$1004,A671)&gt;0,"Expired only","No")))</f>
        <v/>
      </c>
      <c r="Q671" s="84">
        <f>IF(A671="","",COUNTIFS('AFA Rates'!$A$5:$A$1004,A671,'AFA Rates'!$O$5:$O$1004,"&lt;&gt;Expired"))</f>
        <v/>
      </c>
      <c r="R671" s="66" t="n"/>
      <c r="S671" s="64" t="n"/>
      <c r="T671" s="64" t="n"/>
      <c r="U671">
        <f>IF(AND(A671&lt;&gt;"",B671="Paused"),COUNTIFS($A$5:A671,"&lt;&gt;",$B$5:B671,"Paused"),"")</f>
        <v/>
      </c>
      <c r="V671">
        <f>IF(P671="Yes",COUNTIF($P$5:P671,"Yes"),"")</f>
        <v/>
      </c>
      <c r="W671">
        <f>IF(A671="","",COUNTIF($A$5:$A$1004,"&lt;"&amp;A671)+COUNTIF($A$5:A671,A671))</f>
        <v/>
      </c>
      <c r="X671">
        <f>","&amp;SUBSTITUTE(SUBSTITUTE(SUBSTITUTE(UPPER(C671)," ",""),";",","),"/",",")&amp;","</f>
        <v/>
      </c>
      <c r="Y671">
        <f>IF(AND(A671&lt;&gt;"",B671="Active",'State Search'!$C$5&lt;&gt;"",OR(X671=",ALL,",ISNUMBER(SEARCH(","&amp;'State Search'!$C$5&amp;",",X671)))),W671,"")</f>
        <v/>
      </c>
    </row>
    <row r="672">
      <c r="A672" s="64" t="n"/>
      <c r="B672" s="65" t="n"/>
      <c r="C672" s="64" t="n"/>
      <c r="D672" s="66" t="n"/>
      <c r="E672" s="66" t="n"/>
      <c r="F672" s="67" t="n"/>
      <c r="G672" s="67" t="n"/>
      <c r="H672" s="67" t="n"/>
      <c r="I672" s="67" t="n"/>
      <c r="J672" s="67" t="n"/>
      <c r="K672" s="67" t="n"/>
      <c r="L672" s="67" t="n"/>
      <c r="M672" s="67" t="n"/>
      <c r="N672" s="65" t="n"/>
      <c r="O672" s="84">
        <f>IF(A672="","",IF(E672="","No date",IF(TODAY()&gt;=EDATE(E672,Review_Months),"Review Due","Current")))</f>
        <v/>
      </c>
      <c r="P672" s="84">
        <f>IF(A672="","",IF(COUNTIFS('AFA Rates'!$A$5:$A$1004,A672,'AFA Rates'!$O$5:$O$1004,"&lt;&gt;Expired")&gt;0,"Yes",IF(COUNTIF('AFA Rates'!$A$5:$A$1004,A672)&gt;0,"Expired only","No")))</f>
        <v/>
      </c>
      <c r="Q672" s="84">
        <f>IF(A672="","",COUNTIFS('AFA Rates'!$A$5:$A$1004,A672,'AFA Rates'!$O$5:$O$1004,"&lt;&gt;Expired"))</f>
        <v/>
      </c>
      <c r="R672" s="66" t="n"/>
      <c r="S672" s="64" t="n"/>
      <c r="T672" s="64" t="n"/>
      <c r="U672">
        <f>IF(AND(A672&lt;&gt;"",B672="Paused"),COUNTIFS($A$5:A672,"&lt;&gt;",$B$5:B672,"Paused"),"")</f>
        <v/>
      </c>
      <c r="V672">
        <f>IF(P672="Yes",COUNTIF($P$5:P672,"Yes"),"")</f>
        <v/>
      </c>
      <c r="W672">
        <f>IF(A672="","",COUNTIF($A$5:$A$1004,"&lt;"&amp;A672)+COUNTIF($A$5:A672,A672))</f>
        <v/>
      </c>
      <c r="X672">
        <f>","&amp;SUBSTITUTE(SUBSTITUTE(SUBSTITUTE(UPPER(C672)," ",""),";",","),"/",",")&amp;","</f>
        <v/>
      </c>
      <c r="Y672">
        <f>IF(AND(A672&lt;&gt;"",B672="Active",'State Search'!$C$5&lt;&gt;"",OR(X672=",ALL,",ISNUMBER(SEARCH(","&amp;'State Search'!$C$5&amp;",",X672)))),W672,"")</f>
        <v/>
      </c>
    </row>
    <row r="673">
      <c r="A673" s="64" t="n"/>
      <c r="B673" s="65" t="n"/>
      <c r="C673" s="64" t="n"/>
      <c r="D673" s="66" t="n"/>
      <c r="E673" s="66" t="n"/>
      <c r="F673" s="67" t="n"/>
      <c r="G673" s="67" t="n"/>
      <c r="H673" s="67" t="n"/>
      <c r="I673" s="67" t="n"/>
      <c r="J673" s="67" t="n"/>
      <c r="K673" s="67" t="n"/>
      <c r="L673" s="67" t="n"/>
      <c r="M673" s="67" t="n"/>
      <c r="N673" s="65" t="n"/>
      <c r="O673" s="84">
        <f>IF(A673="","",IF(E673="","No date",IF(TODAY()&gt;=EDATE(E673,Review_Months),"Review Due","Current")))</f>
        <v/>
      </c>
      <c r="P673" s="84">
        <f>IF(A673="","",IF(COUNTIFS('AFA Rates'!$A$5:$A$1004,A673,'AFA Rates'!$O$5:$O$1004,"&lt;&gt;Expired")&gt;0,"Yes",IF(COUNTIF('AFA Rates'!$A$5:$A$1004,A673)&gt;0,"Expired only","No")))</f>
        <v/>
      </c>
      <c r="Q673" s="84">
        <f>IF(A673="","",COUNTIFS('AFA Rates'!$A$5:$A$1004,A673,'AFA Rates'!$O$5:$O$1004,"&lt;&gt;Expired"))</f>
        <v/>
      </c>
      <c r="R673" s="66" t="n"/>
      <c r="S673" s="64" t="n"/>
      <c r="T673" s="64" t="n"/>
      <c r="U673">
        <f>IF(AND(A673&lt;&gt;"",B673="Paused"),COUNTIFS($A$5:A673,"&lt;&gt;",$B$5:B673,"Paused"),"")</f>
        <v/>
      </c>
      <c r="V673">
        <f>IF(P673="Yes",COUNTIF($P$5:P673,"Yes"),"")</f>
        <v/>
      </c>
      <c r="W673">
        <f>IF(A673="","",COUNTIF($A$5:$A$1004,"&lt;"&amp;A673)+COUNTIF($A$5:A673,A673))</f>
        <v/>
      </c>
      <c r="X673">
        <f>","&amp;SUBSTITUTE(SUBSTITUTE(SUBSTITUTE(UPPER(C673)," ",""),";",","),"/",",")&amp;","</f>
        <v/>
      </c>
      <c r="Y673">
        <f>IF(AND(A673&lt;&gt;"",B673="Active",'State Search'!$C$5&lt;&gt;"",OR(X673=",ALL,",ISNUMBER(SEARCH(","&amp;'State Search'!$C$5&amp;",",X673)))),W673,"")</f>
        <v/>
      </c>
    </row>
    <row r="674">
      <c r="A674" s="64" t="n"/>
      <c r="B674" s="65" t="n"/>
      <c r="C674" s="64" t="n"/>
      <c r="D674" s="66" t="n"/>
      <c r="E674" s="66" t="n"/>
      <c r="F674" s="67" t="n"/>
      <c r="G674" s="67" t="n"/>
      <c r="H674" s="67" t="n"/>
      <c r="I674" s="67" t="n"/>
      <c r="J674" s="67" t="n"/>
      <c r="K674" s="67" t="n"/>
      <c r="L674" s="67" t="n"/>
      <c r="M674" s="67" t="n"/>
      <c r="N674" s="65" t="n"/>
      <c r="O674" s="84">
        <f>IF(A674="","",IF(E674="","No date",IF(TODAY()&gt;=EDATE(E674,Review_Months),"Review Due","Current")))</f>
        <v/>
      </c>
      <c r="P674" s="84">
        <f>IF(A674="","",IF(COUNTIFS('AFA Rates'!$A$5:$A$1004,A674,'AFA Rates'!$O$5:$O$1004,"&lt;&gt;Expired")&gt;0,"Yes",IF(COUNTIF('AFA Rates'!$A$5:$A$1004,A674)&gt;0,"Expired only","No")))</f>
        <v/>
      </c>
      <c r="Q674" s="84">
        <f>IF(A674="","",COUNTIFS('AFA Rates'!$A$5:$A$1004,A674,'AFA Rates'!$O$5:$O$1004,"&lt;&gt;Expired"))</f>
        <v/>
      </c>
      <c r="R674" s="66" t="n"/>
      <c r="S674" s="64" t="n"/>
      <c r="T674" s="64" t="n"/>
      <c r="U674">
        <f>IF(AND(A674&lt;&gt;"",B674="Paused"),COUNTIFS($A$5:A674,"&lt;&gt;",$B$5:B674,"Paused"),"")</f>
        <v/>
      </c>
      <c r="V674">
        <f>IF(P674="Yes",COUNTIF($P$5:P674,"Yes"),"")</f>
        <v/>
      </c>
      <c r="W674">
        <f>IF(A674="","",COUNTIF($A$5:$A$1004,"&lt;"&amp;A674)+COUNTIF($A$5:A674,A674))</f>
        <v/>
      </c>
      <c r="X674">
        <f>","&amp;SUBSTITUTE(SUBSTITUTE(SUBSTITUTE(UPPER(C674)," ",""),";",","),"/",",")&amp;","</f>
        <v/>
      </c>
      <c r="Y674">
        <f>IF(AND(A674&lt;&gt;"",B674="Active",'State Search'!$C$5&lt;&gt;"",OR(X674=",ALL,",ISNUMBER(SEARCH(","&amp;'State Search'!$C$5&amp;",",X674)))),W674,"")</f>
        <v/>
      </c>
    </row>
    <row r="675">
      <c r="A675" s="64" t="n"/>
      <c r="B675" s="65" t="n"/>
      <c r="C675" s="64" t="n"/>
      <c r="D675" s="66" t="n"/>
      <c r="E675" s="66" t="n"/>
      <c r="F675" s="67" t="n"/>
      <c r="G675" s="67" t="n"/>
      <c r="H675" s="67" t="n"/>
      <c r="I675" s="67" t="n"/>
      <c r="J675" s="67" t="n"/>
      <c r="K675" s="67" t="n"/>
      <c r="L675" s="67" t="n"/>
      <c r="M675" s="67" t="n"/>
      <c r="N675" s="65" t="n"/>
      <c r="O675" s="84">
        <f>IF(A675="","",IF(E675="","No date",IF(TODAY()&gt;=EDATE(E675,Review_Months),"Review Due","Current")))</f>
        <v/>
      </c>
      <c r="P675" s="84">
        <f>IF(A675="","",IF(COUNTIFS('AFA Rates'!$A$5:$A$1004,A675,'AFA Rates'!$O$5:$O$1004,"&lt;&gt;Expired")&gt;0,"Yes",IF(COUNTIF('AFA Rates'!$A$5:$A$1004,A675)&gt;0,"Expired only","No")))</f>
        <v/>
      </c>
      <c r="Q675" s="84">
        <f>IF(A675="","",COUNTIFS('AFA Rates'!$A$5:$A$1004,A675,'AFA Rates'!$O$5:$O$1004,"&lt;&gt;Expired"))</f>
        <v/>
      </c>
      <c r="R675" s="66" t="n"/>
      <c r="S675" s="64" t="n"/>
      <c r="T675" s="64" t="n"/>
      <c r="U675">
        <f>IF(AND(A675&lt;&gt;"",B675="Paused"),COUNTIFS($A$5:A675,"&lt;&gt;",$B$5:B675,"Paused"),"")</f>
        <v/>
      </c>
      <c r="V675">
        <f>IF(P675="Yes",COUNTIF($P$5:P675,"Yes"),"")</f>
        <v/>
      </c>
      <c r="W675">
        <f>IF(A675="","",COUNTIF($A$5:$A$1004,"&lt;"&amp;A675)+COUNTIF($A$5:A675,A675))</f>
        <v/>
      </c>
      <c r="X675">
        <f>","&amp;SUBSTITUTE(SUBSTITUTE(SUBSTITUTE(UPPER(C675)," ",""),";",","),"/",",")&amp;","</f>
        <v/>
      </c>
      <c r="Y675">
        <f>IF(AND(A675&lt;&gt;"",B675="Active",'State Search'!$C$5&lt;&gt;"",OR(X675=",ALL,",ISNUMBER(SEARCH(","&amp;'State Search'!$C$5&amp;",",X675)))),W675,"")</f>
        <v/>
      </c>
    </row>
    <row r="676">
      <c r="A676" s="64" t="n"/>
      <c r="B676" s="65" t="n"/>
      <c r="C676" s="64" t="n"/>
      <c r="D676" s="66" t="n"/>
      <c r="E676" s="66" t="n"/>
      <c r="F676" s="67" t="n"/>
      <c r="G676" s="67" t="n"/>
      <c r="H676" s="67" t="n"/>
      <c r="I676" s="67" t="n"/>
      <c r="J676" s="67" t="n"/>
      <c r="K676" s="67" t="n"/>
      <c r="L676" s="67" t="n"/>
      <c r="M676" s="67" t="n"/>
      <c r="N676" s="65" t="n"/>
      <c r="O676" s="84">
        <f>IF(A676="","",IF(E676="","No date",IF(TODAY()&gt;=EDATE(E676,Review_Months),"Review Due","Current")))</f>
        <v/>
      </c>
      <c r="P676" s="84">
        <f>IF(A676="","",IF(COUNTIFS('AFA Rates'!$A$5:$A$1004,A676,'AFA Rates'!$O$5:$O$1004,"&lt;&gt;Expired")&gt;0,"Yes",IF(COUNTIF('AFA Rates'!$A$5:$A$1004,A676)&gt;0,"Expired only","No")))</f>
        <v/>
      </c>
      <c r="Q676" s="84">
        <f>IF(A676="","",COUNTIFS('AFA Rates'!$A$5:$A$1004,A676,'AFA Rates'!$O$5:$O$1004,"&lt;&gt;Expired"))</f>
        <v/>
      </c>
      <c r="R676" s="66" t="n"/>
      <c r="S676" s="64" t="n"/>
      <c r="T676" s="64" t="n"/>
      <c r="U676">
        <f>IF(AND(A676&lt;&gt;"",B676="Paused"),COUNTIFS($A$5:A676,"&lt;&gt;",$B$5:B676,"Paused"),"")</f>
        <v/>
      </c>
      <c r="V676">
        <f>IF(P676="Yes",COUNTIF($P$5:P676,"Yes"),"")</f>
        <v/>
      </c>
      <c r="W676">
        <f>IF(A676="","",COUNTIF($A$5:$A$1004,"&lt;"&amp;A676)+COUNTIF($A$5:A676,A676))</f>
        <v/>
      </c>
      <c r="X676">
        <f>","&amp;SUBSTITUTE(SUBSTITUTE(SUBSTITUTE(UPPER(C676)," ",""),";",","),"/",",")&amp;","</f>
        <v/>
      </c>
      <c r="Y676">
        <f>IF(AND(A676&lt;&gt;"",B676="Active",'State Search'!$C$5&lt;&gt;"",OR(X676=",ALL,",ISNUMBER(SEARCH(","&amp;'State Search'!$C$5&amp;",",X676)))),W676,"")</f>
        <v/>
      </c>
    </row>
    <row r="677">
      <c r="A677" s="64" t="n"/>
      <c r="B677" s="65" t="n"/>
      <c r="C677" s="64" t="n"/>
      <c r="D677" s="66" t="n"/>
      <c r="E677" s="66" t="n"/>
      <c r="F677" s="67" t="n"/>
      <c r="G677" s="67" t="n"/>
      <c r="H677" s="67" t="n"/>
      <c r="I677" s="67" t="n"/>
      <c r="J677" s="67" t="n"/>
      <c r="K677" s="67" t="n"/>
      <c r="L677" s="67" t="n"/>
      <c r="M677" s="67" t="n"/>
      <c r="N677" s="65" t="n"/>
      <c r="O677" s="84">
        <f>IF(A677="","",IF(E677="","No date",IF(TODAY()&gt;=EDATE(E677,Review_Months),"Review Due","Current")))</f>
        <v/>
      </c>
      <c r="P677" s="84">
        <f>IF(A677="","",IF(COUNTIFS('AFA Rates'!$A$5:$A$1004,A677,'AFA Rates'!$O$5:$O$1004,"&lt;&gt;Expired")&gt;0,"Yes",IF(COUNTIF('AFA Rates'!$A$5:$A$1004,A677)&gt;0,"Expired only","No")))</f>
        <v/>
      </c>
      <c r="Q677" s="84">
        <f>IF(A677="","",COUNTIFS('AFA Rates'!$A$5:$A$1004,A677,'AFA Rates'!$O$5:$O$1004,"&lt;&gt;Expired"))</f>
        <v/>
      </c>
      <c r="R677" s="66" t="n"/>
      <c r="S677" s="64" t="n"/>
      <c r="T677" s="64" t="n"/>
      <c r="U677">
        <f>IF(AND(A677&lt;&gt;"",B677="Paused"),COUNTIFS($A$5:A677,"&lt;&gt;",$B$5:B677,"Paused"),"")</f>
        <v/>
      </c>
      <c r="V677">
        <f>IF(P677="Yes",COUNTIF($P$5:P677,"Yes"),"")</f>
        <v/>
      </c>
      <c r="W677">
        <f>IF(A677="","",COUNTIF($A$5:$A$1004,"&lt;"&amp;A677)+COUNTIF($A$5:A677,A677))</f>
        <v/>
      </c>
      <c r="X677">
        <f>","&amp;SUBSTITUTE(SUBSTITUTE(SUBSTITUTE(UPPER(C677)," ",""),";",","),"/",",")&amp;","</f>
        <v/>
      </c>
      <c r="Y677">
        <f>IF(AND(A677&lt;&gt;"",B677="Active",'State Search'!$C$5&lt;&gt;"",OR(X677=",ALL,",ISNUMBER(SEARCH(","&amp;'State Search'!$C$5&amp;",",X677)))),W677,"")</f>
        <v/>
      </c>
    </row>
    <row r="678">
      <c r="A678" s="64" t="n"/>
      <c r="B678" s="65" t="n"/>
      <c r="C678" s="64" t="n"/>
      <c r="D678" s="66" t="n"/>
      <c r="E678" s="66" t="n"/>
      <c r="F678" s="67" t="n"/>
      <c r="G678" s="67" t="n"/>
      <c r="H678" s="67" t="n"/>
      <c r="I678" s="67" t="n"/>
      <c r="J678" s="67" t="n"/>
      <c r="K678" s="67" t="n"/>
      <c r="L678" s="67" t="n"/>
      <c r="M678" s="67" t="n"/>
      <c r="N678" s="65" t="n"/>
      <c r="O678" s="84">
        <f>IF(A678="","",IF(E678="","No date",IF(TODAY()&gt;=EDATE(E678,Review_Months),"Review Due","Current")))</f>
        <v/>
      </c>
      <c r="P678" s="84">
        <f>IF(A678="","",IF(COUNTIFS('AFA Rates'!$A$5:$A$1004,A678,'AFA Rates'!$O$5:$O$1004,"&lt;&gt;Expired")&gt;0,"Yes",IF(COUNTIF('AFA Rates'!$A$5:$A$1004,A678)&gt;0,"Expired only","No")))</f>
        <v/>
      </c>
      <c r="Q678" s="84">
        <f>IF(A678="","",COUNTIFS('AFA Rates'!$A$5:$A$1004,A678,'AFA Rates'!$O$5:$O$1004,"&lt;&gt;Expired"))</f>
        <v/>
      </c>
      <c r="R678" s="66" t="n"/>
      <c r="S678" s="64" t="n"/>
      <c r="T678" s="64" t="n"/>
      <c r="U678">
        <f>IF(AND(A678&lt;&gt;"",B678="Paused"),COUNTIFS($A$5:A678,"&lt;&gt;",$B$5:B678,"Paused"),"")</f>
        <v/>
      </c>
      <c r="V678">
        <f>IF(P678="Yes",COUNTIF($P$5:P678,"Yes"),"")</f>
        <v/>
      </c>
      <c r="W678">
        <f>IF(A678="","",COUNTIF($A$5:$A$1004,"&lt;"&amp;A678)+COUNTIF($A$5:A678,A678))</f>
        <v/>
      </c>
      <c r="X678">
        <f>","&amp;SUBSTITUTE(SUBSTITUTE(SUBSTITUTE(UPPER(C678)," ",""),";",","),"/",",")&amp;","</f>
        <v/>
      </c>
      <c r="Y678">
        <f>IF(AND(A678&lt;&gt;"",B678="Active",'State Search'!$C$5&lt;&gt;"",OR(X678=",ALL,",ISNUMBER(SEARCH(","&amp;'State Search'!$C$5&amp;",",X678)))),W678,"")</f>
        <v/>
      </c>
    </row>
    <row r="679">
      <c r="A679" s="64" t="n"/>
      <c r="B679" s="65" t="n"/>
      <c r="C679" s="64" t="n"/>
      <c r="D679" s="66" t="n"/>
      <c r="E679" s="66" t="n"/>
      <c r="F679" s="67" t="n"/>
      <c r="G679" s="67" t="n"/>
      <c r="H679" s="67" t="n"/>
      <c r="I679" s="67" t="n"/>
      <c r="J679" s="67" t="n"/>
      <c r="K679" s="67" t="n"/>
      <c r="L679" s="67" t="n"/>
      <c r="M679" s="67" t="n"/>
      <c r="N679" s="65" t="n"/>
      <c r="O679" s="84">
        <f>IF(A679="","",IF(E679="","No date",IF(TODAY()&gt;=EDATE(E679,Review_Months),"Review Due","Current")))</f>
        <v/>
      </c>
      <c r="P679" s="84">
        <f>IF(A679="","",IF(COUNTIFS('AFA Rates'!$A$5:$A$1004,A679,'AFA Rates'!$O$5:$O$1004,"&lt;&gt;Expired")&gt;0,"Yes",IF(COUNTIF('AFA Rates'!$A$5:$A$1004,A679)&gt;0,"Expired only","No")))</f>
        <v/>
      </c>
      <c r="Q679" s="84">
        <f>IF(A679="","",COUNTIFS('AFA Rates'!$A$5:$A$1004,A679,'AFA Rates'!$O$5:$O$1004,"&lt;&gt;Expired"))</f>
        <v/>
      </c>
      <c r="R679" s="66" t="n"/>
      <c r="S679" s="64" t="n"/>
      <c r="T679" s="64" t="n"/>
      <c r="U679">
        <f>IF(AND(A679&lt;&gt;"",B679="Paused"),COUNTIFS($A$5:A679,"&lt;&gt;",$B$5:B679,"Paused"),"")</f>
        <v/>
      </c>
      <c r="V679">
        <f>IF(P679="Yes",COUNTIF($P$5:P679,"Yes"),"")</f>
        <v/>
      </c>
      <c r="W679">
        <f>IF(A679="","",COUNTIF($A$5:$A$1004,"&lt;"&amp;A679)+COUNTIF($A$5:A679,A679))</f>
        <v/>
      </c>
      <c r="X679">
        <f>","&amp;SUBSTITUTE(SUBSTITUTE(SUBSTITUTE(UPPER(C679)," ",""),";",","),"/",",")&amp;","</f>
        <v/>
      </c>
      <c r="Y679">
        <f>IF(AND(A679&lt;&gt;"",B679="Active",'State Search'!$C$5&lt;&gt;"",OR(X679=",ALL,",ISNUMBER(SEARCH(","&amp;'State Search'!$C$5&amp;",",X679)))),W679,"")</f>
        <v/>
      </c>
    </row>
    <row r="680">
      <c r="A680" s="64" t="n"/>
      <c r="B680" s="65" t="n"/>
      <c r="C680" s="64" t="n"/>
      <c r="D680" s="66" t="n"/>
      <c r="E680" s="66" t="n"/>
      <c r="F680" s="67" t="n"/>
      <c r="G680" s="67" t="n"/>
      <c r="H680" s="67" t="n"/>
      <c r="I680" s="67" t="n"/>
      <c r="J680" s="67" t="n"/>
      <c r="K680" s="67" t="n"/>
      <c r="L680" s="67" t="n"/>
      <c r="M680" s="67" t="n"/>
      <c r="N680" s="65" t="n"/>
      <c r="O680" s="84">
        <f>IF(A680="","",IF(E680="","No date",IF(TODAY()&gt;=EDATE(E680,Review_Months),"Review Due","Current")))</f>
        <v/>
      </c>
      <c r="P680" s="84">
        <f>IF(A680="","",IF(COUNTIFS('AFA Rates'!$A$5:$A$1004,A680,'AFA Rates'!$O$5:$O$1004,"&lt;&gt;Expired")&gt;0,"Yes",IF(COUNTIF('AFA Rates'!$A$5:$A$1004,A680)&gt;0,"Expired only","No")))</f>
        <v/>
      </c>
      <c r="Q680" s="84">
        <f>IF(A680="","",COUNTIFS('AFA Rates'!$A$5:$A$1004,A680,'AFA Rates'!$O$5:$O$1004,"&lt;&gt;Expired"))</f>
        <v/>
      </c>
      <c r="R680" s="66" t="n"/>
      <c r="S680" s="64" t="n"/>
      <c r="T680" s="64" t="n"/>
      <c r="U680">
        <f>IF(AND(A680&lt;&gt;"",B680="Paused"),COUNTIFS($A$5:A680,"&lt;&gt;",$B$5:B680,"Paused"),"")</f>
        <v/>
      </c>
      <c r="V680">
        <f>IF(P680="Yes",COUNTIF($P$5:P680,"Yes"),"")</f>
        <v/>
      </c>
      <c r="W680">
        <f>IF(A680="","",COUNTIF($A$5:$A$1004,"&lt;"&amp;A680)+COUNTIF($A$5:A680,A680))</f>
        <v/>
      </c>
      <c r="X680">
        <f>","&amp;SUBSTITUTE(SUBSTITUTE(SUBSTITUTE(UPPER(C680)," ",""),";",","),"/",",")&amp;","</f>
        <v/>
      </c>
      <c r="Y680">
        <f>IF(AND(A680&lt;&gt;"",B680="Active",'State Search'!$C$5&lt;&gt;"",OR(X680=",ALL,",ISNUMBER(SEARCH(","&amp;'State Search'!$C$5&amp;",",X680)))),W680,"")</f>
        <v/>
      </c>
    </row>
    <row r="681">
      <c r="A681" s="64" t="n"/>
      <c r="B681" s="65" t="n"/>
      <c r="C681" s="64" t="n"/>
      <c r="D681" s="66" t="n"/>
      <c r="E681" s="66" t="n"/>
      <c r="F681" s="67" t="n"/>
      <c r="G681" s="67" t="n"/>
      <c r="H681" s="67" t="n"/>
      <c r="I681" s="67" t="n"/>
      <c r="J681" s="67" t="n"/>
      <c r="K681" s="67" t="n"/>
      <c r="L681" s="67" t="n"/>
      <c r="M681" s="67" t="n"/>
      <c r="N681" s="65" t="n"/>
      <c r="O681" s="84">
        <f>IF(A681="","",IF(E681="","No date",IF(TODAY()&gt;=EDATE(E681,Review_Months),"Review Due","Current")))</f>
        <v/>
      </c>
      <c r="P681" s="84">
        <f>IF(A681="","",IF(COUNTIFS('AFA Rates'!$A$5:$A$1004,A681,'AFA Rates'!$O$5:$O$1004,"&lt;&gt;Expired")&gt;0,"Yes",IF(COUNTIF('AFA Rates'!$A$5:$A$1004,A681)&gt;0,"Expired only","No")))</f>
        <v/>
      </c>
      <c r="Q681" s="84">
        <f>IF(A681="","",COUNTIFS('AFA Rates'!$A$5:$A$1004,A681,'AFA Rates'!$O$5:$O$1004,"&lt;&gt;Expired"))</f>
        <v/>
      </c>
      <c r="R681" s="66" t="n"/>
      <c r="S681" s="64" t="n"/>
      <c r="T681" s="64" t="n"/>
      <c r="U681">
        <f>IF(AND(A681&lt;&gt;"",B681="Paused"),COUNTIFS($A$5:A681,"&lt;&gt;",$B$5:B681,"Paused"),"")</f>
        <v/>
      </c>
      <c r="V681">
        <f>IF(P681="Yes",COUNTIF($P$5:P681,"Yes"),"")</f>
        <v/>
      </c>
      <c r="W681">
        <f>IF(A681="","",COUNTIF($A$5:$A$1004,"&lt;"&amp;A681)+COUNTIF($A$5:A681,A681))</f>
        <v/>
      </c>
      <c r="X681">
        <f>","&amp;SUBSTITUTE(SUBSTITUTE(SUBSTITUTE(UPPER(C681)," ",""),";",","),"/",",")&amp;","</f>
        <v/>
      </c>
      <c r="Y681">
        <f>IF(AND(A681&lt;&gt;"",B681="Active",'State Search'!$C$5&lt;&gt;"",OR(X681=",ALL,",ISNUMBER(SEARCH(","&amp;'State Search'!$C$5&amp;",",X681)))),W681,"")</f>
        <v/>
      </c>
    </row>
    <row r="682">
      <c r="A682" s="64" t="n"/>
      <c r="B682" s="65" t="n"/>
      <c r="C682" s="64" t="n"/>
      <c r="D682" s="66" t="n"/>
      <c r="E682" s="66" t="n"/>
      <c r="F682" s="67" t="n"/>
      <c r="G682" s="67" t="n"/>
      <c r="H682" s="67" t="n"/>
      <c r="I682" s="67" t="n"/>
      <c r="J682" s="67" t="n"/>
      <c r="K682" s="67" t="n"/>
      <c r="L682" s="67" t="n"/>
      <c r="M682" s="67" t="n"/>
      <c r="N682" s="65" t="n"/>
      <c r="O682" s="84">
        <f>IF(A682="","",IF(E682="","No date",IF(TODAY()&gt;=EDATE(E682,Review_Months),"Review Due","Current")))</f>
        <v/>
      </c>
      <c r="P682" s="84">
        <f>IF(A682="","",IF(COUNTIFS('AFA Rates'!$A$5:$A$1004,A682,'AFA Rates'!$O$5:$O$1004,"&lt;&gt;Expired")&gt;0,"Yes",IF(COUNTIF('AFA Rates'!$A$5:$A$1004,A682)&gt;0,"Expired only","No")))</f>
        <v/>
      </c>
      <c r="Q682" s="84">
        <f>IF(A682="","",COUNTIFS('AFA Rates'!$A$5:$A$1004,A682,'AFA Rates'!$O$5:$O$1004,"&lt;&gt;Expired"))</f>
        <v/>
      </c>
      <c r="R682" s="66" t="n"/>
      <c r="S682" s="64" t="n"/>
      <c r="T682" s="64" t="n"/>
      <c r="U682">
        <f>IF(AND(A682&lt;&gt;"",B682="Paused"),COUNTIFS($A$5:A682,"&lt;&gt;",$B$5:B682,"Paused"),"")</f>
        <v/>
      </c>
      <c r="V682">
        <f>IF(P682="Yes",COUNTIF($P$5:P682,"Yes"),"")</f>
        <v/>
      </c>
      <c r="W682">
        <f>IF(A682="","",COUNTIF($A$5:$A$1004,"&lt;"&amp;A682)+COUNTIF($A$5:A682,A682))</f>
        <v/>
      </c>
      <c r="X682">
        <f>","&amp;SUBSTITUTE(SUBSTITUTE(SUBSTITUTE(UPPER(C682)," ",""),";",","),"/",",")&amp;","</f>
        <v/>
      </c>
      <c r="Y682">
        <f>IF(AND(A682&lt;&gt;"",B682="Active",'State Search'!$C$5&lt;&gt;"",OR(X682=",ALL,",ISNUMBER(SEARCH(","&amp;'State Search'!$C$5&amp;",",X682)))),W682,"")</f>
        <v/>
      </c>
    </row>
    <row r="683">
      <c r="A683" s="64" t="n"/>
      <c r="B683" s="65" t="n"/>
      <c r="C683" s="64" t="n"/>
      <c r="D683" s="66" t="n"/>
      <c r="E683" s="66" t="n"/>
      <c r="F683" s="67" t="n"/>
      <c r="G683" s="67" t="n"/>
      <c r="H683" s="67" t="n"/>
      <c r="I683" s="67" t="n"/>
      <c r="J683" s="67" t="n"/>
      <c r="K683" s="67" t="n"/>
      <c r="L683" s="67" t="n"/>
      <c r="M683" s="67" t="n"/>
      <c r="N683" s="65" t="n"/>
      <c r="O683" s="84">
        <f>IF(A683="","",IF(E683="","No date",IF(TODAY()&gt;=EDATE(E683,Review_Months),"Review Due","Current")))</f>
        <v/>
      </c>
      <c r="P683" s="84">
        <f>IF(A683="","",IF(COUNTIFS('AFA Rates'!$A$5:$A$1004,A683,'AFA Rates'!$O$5:$O$1004,"&lt;&gt;Expired")&gt;0,"Yes",IF(COUNTIF('AFA Rates'!$A$5:$A$1004,A683)&gt;0,"Expired only","No")))</f>
        <v/>
      </c>
      <c r="Q683" s="84">
        <f>IF(A683="","",COUNTIFS('AFA Rates'!$A$5:$A$1004,A683,'AFA Rates'!$O$5:$O$1004,"&lt;&gt;Expired"))</f>
        <v/>
      </c>
      <c r="R683" s="66" t="n"/>
      <c r="S683" s="64" t="n"/>
      <c r="T683" s="64" t="n"/>
      <c r="U683">
        <f>IF(AND(A683&lt;&gt;"",B683="Paused"),COUNTIFS($A$5:A683,"&lt;&gt;",$B$5:B683,"Paused"),"")</f>
        <v/>
      </c>
      <c r="V683">
        <f>IF(P683="Yes",COUNTIF($P$5:P683,"Yes"),"")</f>
        <v/>
      </c>
      <c r="W683">
        <f>IF(A683="","",COUNTIF($A$5:$A$1004,"&lt;"&amp;A683)+COUNTIF($A$5:A683,A683))</f>
        <v/>
      </c>
      <c r="X683">
        <f>","&amp;SUBSTITUTE(SUBSTITUTE(SUBSTITUTE(UPPER(C683)," ",""),";",","),"/",",")&amp;","</f>
        <v/>
      </c>
      <c r="Y683">
        <f>IF(AND(A683&lt;&gt;"",B683="Active",'State Search'!$C$5&lt;&gt;"",OR(X683=",ALL,",ISNUMBER(SEARCH(","&amp;'State Search'!$C$5&amp;",",X683)))),W683,"")</f>
        <v/>
      </c>
    </row>
    <row r="684">
      <c r="A684" s="64" t="n"/>
      <c r="B684" s="65" t="n"/>
      <c r="C684" s="64" t="n"/>
      <c r="D684" s="66" t="n"/>
      <c r="E684" s="66" t="n"/>
      <c r="F684" s="67" t="n"/>
      <c r="G684" s="67" t="n"/>
      <c r="H684" s="67" t="n"/>
      <c r="I684" s="67" t="n"/>
      <c r="J684" s="67" t="n"/>
      <c r="K684" s="67" t="n"/>
      <c r="L684" s="67" t="n"/>
      <c r="M684" s="67" t="n"/>
      <c r="N684" s="65" t="n"/>
      <c r="O684" s="84">
        <f>IF(A684="","",IF(E684="","No date",IF(TODAY()&gt;=EDATE(E684,Review_Months),"Review Due","Current")))</f>
        <v/>
      </c>
      <c r="P684" s="84">
        <f>IF(A684="","",IF(COUNTIFS('AFA Rates'!$A$5:$A$1004,A684,'AFA Rates'!$O$5:$O$1004,"&lt;&gt;Expired")&gt;0,"Yes",IF(COUNTIF('AFA Rates'!$A$5:$A$1004,A684)&gt;0,"Expired only","No")))</f>
        <v/>
      </c>
      <c r="Q684" s="84">
        <f>IF(A684="","",COUNTIFS('AFA Rates'!$A$5:$A$1004,A684,'AFA Rates'!$O$5:$O$1004,"&lt;&gt;Expired"))</f>
        <v/>
      </c>
      <c r="R684" s="66" t="n"/>
      <c r="S684" s="64" t="n"/>
      <c r="T684" s="64" t="n"/>
      <c r="U684">
        <f>IF(AND(A684&lt;&gt;"",B684="Paused"),COUNTIFS($A$5:A684,"&lt;&gt;",$B$5:B684,"Paused"),"")</f>
        <v/>
      </c>
      <c r="V684">
        <f>IF(P684="Yes",COUNTIF($P$5:P684,"Yes"),"")</f>
        <v/>
      </c>
      <c r="W684">
        <f>IF(A684="","",COUNTIF($A$5:$A$1004,"&lt;"&amp;A684)+COUNTIF($A$5:A684,A684))</f>
        <v/>
      </c>
      <c r="X684">
        <f>","&amp;SUBSTITUTE(SUBSTITUTE(SUBSTITUTE(UPPER(C684)," ",""),";",","),"/",",")&amp;","</f>
        <v/>
      </c>
      <c r="Y684">
        <f>IF(AND(A684&lt;&gt;"",B684="Active",'State Search'!$C$5&lt;&gt;"",OR(X684=",ALL,",ISNUMBER(SEARCH(","&amp;'State Search'!$C$5&amp;",",X684)))),W684,"")</f>
        <v/>
      </c>
    </row>
    <row r="685">
      <c r="A685" s="64" t="n"/>
      <c r="B685" s="65" t="n"/>
      <c r="C685" s="64" t="n"/>
      <c r="D685" s="66" t="n"/>
      <c r="E685" s="66" t="n"/>
      <c r="F685" s="67" t="n"/>
      <c r="G685" s="67" t="n"/>
      <c r="H685" s="67" t="n"/>
      <c r="I685" s="67" t="n"/>
      <c r="J685" s="67" t="n"/>
      <c r="K685" s="67" t="n"/>
      <c r="L685" s="67" t="n"/>
      <c r="M685" s="67" t="n"/>
      <c r="N685" s="65" t="n"/>
      <c r="O685" s="84">
        <f>IF(A685="","",IF(E685="","No date",IF(TODAY()&gt;=EDATE(E685,Review_Months),"Review Due","Current")))</f>
        <v/>
      </c>
      <c r="P685" s="84">
        <f>IF(A685="","",IF(COUNTIFS('AFA Rates'!$A$5:$A$1004,A685,'AFA Rates'!$O$5:$O$1004,"&lt;&gt;Expired")&gt;0,"Yes",IF(COUNTIF('AFA Rates'!$A$5:$A$1004,A685)&gt;0,"Expired only","No")))</f>
        <v/>
      </c>
      <c r="Q685" s="84">
        <f>IF(A685="","",COUNTIFS('AFA Rates'!$A$5:$A$1004,A685,'AFA Rates'!$O$5:$O$1004,"&lt;&gt;Expired"))</f>
        <v/>
      </c>
      <c r="R685" s="66" t="n"/>
      <c r="S685" s="64" t="n"/>
      <c r="T685" s="64" t="n"/>
      <c r="U685">
        <f>IF(AND(A685&lt;&gt;"",B685="Paused"),COUNTIFS($A$5:A685,"&lt;&gt;",$B$5:B685,"Paused"),"")</f>
        <v/>
      </c>
      <c r="V685">
        <f>IF(P685="Yes",COUNTIF($P$5:P685,"Yes"),"")</f>
        <v/>
      </c>
      <c r="W685">
        <f>IF(A685="","",COUNTIF($A$5:$A$1004,"&lt;"&amp;A685)+COUNTIF($A$5:A685,A685))</f>
        <v/>
      </c>
      <c r="X685">
        <f>","&amp;SUBSTITUTE(SUBSTITUTE(SUBSTITUTE(UPPER(C685)," ",""),";",","),"/",",")&amp;","</f>
        <v/>
      </c>
      <c r="Y685">
        <f>IF(AND(A685&lt;&gt;"",B685="Active",'State Search'!$C$5&lt;&gt;"",OR(X685=",ALL,",ISNUMBER(SEARCH(","&amp;'State Search'!$C$5&amp;",",X685)))),W685,"")</f>
        <v/>
      </c>
    </row>
    <row r="686">
      <c r="A686" s="64" t="n"/>
      <c r="B686" s="65" t="n"/>
      <c r="C686" s="64" t="n"/>
      <c r="D686" s="66" t="n"/>
      <c r="E686" s="66" t="n"/>
      <c r="F686" s="67" t="n"/>
      <c r="G686" s="67" t="n"/>
      <c r="H686" s="67" t="n"/>
      <c r="I686" s="67" t="n"/>
      <c r="J686" s="67" t="n"/>
      <c r="K686" s="67" t="n"/>
      <c r="L686" s="67" t="n"/>
      <c r="M686" s="67" t="n"/>
      <c r="N686" s="65" t="n"/>
      <c r="O686" s="84">
        <f>IF(A686="","",IF(E686="","No date",IF(TODAY()&gt;=EDATE(E686,Review_Months),"Review Due","Current")))</f>
        <v/>
      </c>
      <c r="P686" s="84">
        <f>IF(A686="","",IF(COUNTIFS('AFA Rates'!$A$5:$A$1004,A686,'AFA Rates'!$O$5:$O$1004,"&lt;&gt;Expired")&gt;0,"Yes",IF(COUNTIF('AFA Rates'!$A$5:$A$1004,A686)&gt;0,"Expired only","No")))</f>
        <v/>
      </c>
      <c r="Q686" s="84">
        <f>IF(A686="","",COUNTIFS('AFA Rates'!$A$5:$A$1004,A686,'AFA Rates'!$O$5:$O$1004,"&lt;&gt;Expired"))</f>
        <v/>
      </c>
      <c r="R686" s="66" t="n"/>
      <c r="S686" s="64" t="n"/>
      <c r="T686" s="64" t="n"/>
      <c r="U686">
        <f>IF(AND(A686&lt;&gt;"",B686="Paused"),COUNTIFS($A$5:A686,"&lt;&gt;",$B$5:B686,"Paused"),"")</f>
        <v/>
      </c>
      <c r="V686">
        <f>IF(P686="Yes",COUNTIF($P$5:P686,"Yes"),"")</f>
        <v/>
      </c>
      <c r="W686">
        <f>IF(A686="","",COUNTIF($A$5:$A$1004,"&lt;"&amp;A686)+COUNTIF($A$5:A686,A686))</f>
        <v/>
      </c>
      <c r="X686">
        <f>","&amp;SUBSTITUTE(SUBSTITUTE(SUBSTITUTE(UPPER(C686)," ",""),";",","),"/",",")&amp;","</f>
        <v/>
      </c>
      <c r="Y686">
        <f>IF(AND(A686&lt;&gt;"",B686="Active",'State Search'!$C$5&lt;&gt;"",OR(X686=",ALL,",ISNUMBER(SEARCH(","&amp;'State Search'!$C$5&amp;",",X686)))),W686,"")</f>
        <v/>
      </c>
    </row>
    <row r="687">
      <c r="A687" s="64" t="n"/>
      <c r="B687" s="65" t="n"/>
      <c r="C687" s="64" t="n"/>
      <c r="D687" s="66" t="n"/>
      <c r="E687" s="66" t="n"/>
      <c r="F687" s="67" t="n"/>
      <c r="G687" s="67" t="n"/>
      <c r="H687" s="67" t="n"/>
      <c r="I687" s="67" t="n"/>
      <c r="J687" s="67" t="n"/>
      <c r="K687" s="67" t="n"/>
      <c r="L687" s="67" t="n"/>
      <c r="M687" s="67" t="n"/>
      <c r="N687" s="65" t="n"/>
      <c r="O687" s="84">
        <f>IF(A687="","",IF(E687="","No date",IF(TODAY()&gt;=EDATE(E687,Review_Months),"Review Due","Current")))</f>
        <v/>
      </c>
      <c r="P687" s="84">
        <f>IF(A687="","",IF(COUNTIFS('AFA Rates'!$A$5:$A$1004,A687,'AFA Rates'!$O$5:$O$1004,"&lt;&gt;Expired")&gt;0,"Yes",IF(COUNTIF('AFA Rates'!$A$5:$A$1004,A687)&gt;0,"Expired only","No")))</f>
        <v/>
      </c>
      <c r="Q687" s="84">
        <f>IF(A687="","",COUNTIFS('AFA Rates'!$A$5:$A$1004,A687,'AFA Rates'!$O$5:$O$1004,"&lt;&gt;Expired"))</f>
        <v/>
      </c>
      <c r="R687" s="66" t="n"/>
      <c r="S687" s="64" t="n"/>
      <c r="T687" s="64" t="n"/>
      <c r="U687">
        <f>IF(AND(A687&lt;&gt;"",B687="Paused"),COUNTIFS($A$5:A687,"&lt;&gt;",$B$5:B687,"Paused"),"")</f>
        <v/>
      </c>
      <c r="V687">
        <f>IF(P687="Yes",COUNTIF($P$5:P687,"Yes"),"")</f>
        <v/>
      </c>
      <c r="W687">
        <f>IF(A687="","",COUNTIF($A$5:$A$1004,"&lt;"&amp;A687)+COUNTIF($A$5:A687,A687))</f>
        <v/>
      </c>
      <c r="X687">
        <f>","&amp;SUBSTITUTE(SUBSTITUTE(SUBSTITUTE(UPPER(C687)," ",""),";",","),"/",",")&amp;","</f>
        <v/>
      </c>
      <c r="Y687">
        <f>IF(AND(A687&lt;&gt;"",B687="Active",'State Search'!$C$5&lt;&gt;"",OR(X687=",ALL,",ISNUMBER(SEARCH(","&amp;'State Search'!$C$5&amp;",",X687)))),W687,"")</f>
        <v/>
      </c>
    </row>
    <row r="688">
      <c r="A688" s="64" t="n"/>
      <c r="B688" s="65" t="n"/>
      <c r="C688" s="64" t="n"/>
      <c r="D688" s="66" t="n"/>
      <c r="E688" s="66" t="n"/>
      <c r="F688" s="67" t="n"/>
      <c r="G688" s="67" t="n"/>
      <c r="H688" s="67" t="n"/>
      <c r="I688" s="67" t="n"/>
      <c r="J688" s="67" t="n"/>
      <c r="K688" s="67" t="n"/>
      <c r="L688" s="67" t="n"/>
      <c r="M688" s="67" t="n"/>
      <c r="N688" s="65" t="n"/>
      <c r="O688" s="84">
        <f>IF(A688="","",IF(E688="","No date",IF(TODAY()&gt;=EDATE(E688,Review_Months),"Review Due","Current")))</f>
        <v/>
      </c>
      <c r="P688" s="84">
        <f>IF(A688="","",IF(COUNTIFS('AFA Rates'!$A$5:$A$1004,A688,'AFA Rates'!$O$5:$O$1004,"&lt;&gt;Expired")&gt;0,"Yes",IF(COUNTIF('AFA Rates'!$A$5:$A$1004,A688)&gt;0,"Expired only","No")))</f>
        <v/>
      </c>
      <c r="Q688" s="84">
        <f>IF(A688="","",COUNTIFS('AFA Rates'!$A$5:$A$1004,A688,'AFA Rates'!$O$5:$O$1004,"&lt;&gt;Expired"))</f>
        <v/>
      </c>
      <c r="R688" s="66" t="n"/>
      <c r="S688" s="64" t="n"/>
      <c r="T688" s="64" t="n"/>
      <c r="U688">
        <f>IF(AND(A688&lt;&gt;"",B688="Paused"),COUNTIFS($A$5:A688,"&lt;&gt;",$B$5:B688,"Paused"),"")</f>
        <v/>
      </c>
      <c r="V688">
        <f>IF(P688="Yes",COUNTIF($P$5:P688,"Yes"),"")</f>
        <v/>
      </c>
      <c r="W688">
        <f>IF(A688="","",COUNTIF($A$5:$A$1004,"&lt;"&amp;A688)+COUNTIF($A$5:A688,A688))</f>
        <v/>
      </c>
      <c r="X688">
        <f>","&amp;SUBSTITUTE(SUBSTITUTE(SUBSTITUTE(UPPER(C688)," ",""),";",","),"/",",")&amp;","</f>
        <v/>
      </c>
      <c r="Y688">
        <f>IF(AND(A688&lt;&gt;"",B688="Active",'State Search'!$C$5&lt;&gt;"",OR(X688=",ALL,",ISNUMBER(SEARCH(","&amp;'State Search'!$C$5&amp;",",X688)))),W688,"")</f>
        <v/>
      </c>
    </row>
    <row r="689">
      <c r="A689" s="64" t="n"/>
      <c r="B689" s="65" t="n"/>
      <c r="C689" s="64" t="n"/>
      <c r="D689" s="66" t="n"/>
      <c r="E689" s="66" t="n"/>
      <c r="F689" s="67" t="n"/>
      <c r="G689" s="67" t="n"/>
      <c r="H689" s="67" t="n"/>
      <c r="I689" s="67" t="n"/>
      <c r="J689" s="67" t="n"/>
      <c r="K689" s="67" t="n"/>
      <c r="L689" s="67" t="n"/>
      <c r="M689" s="67" t="n"/>
      <c r="N689" s="65" t="n"/>
      <c r="O689" s="84">
        <f>IF(A689="","",IF(E689="","No date",IF(TODAY()&gt;=EDATE(E689,Review_Months),"Review Due","Current")))</f>
        <v/>
      </c>
      <c r="P689" s="84">
        <f>IF(A689="","",IF(COUNTIFS('AFA Rates'!$A$5:$A$1004,A689,'AFA Rates'!$O$5:$O$1004,"&lt;&gt;Expired")&gt;0,"Yes",IF(COUNTIF('AFA Rates'!$A$5:$A$1004,A689)&gt;0,"Expired only","No")))</f>
        <v/>
      </c>
      <c r="Q689" s="84">
        <f>IF(A689="","",COUNTIFS('AFA Rates'!$A$5:$A$1004,A689,'AFA Rates'!$O$5:$O$1004,"&lt;&gt;Expired"))</f>
        <v/>
      </c>
      <c r="R689" s="66" t="n"/>
      <c r="S689" s="64" t="n"/>
      <c r="T689" s="64" t="n"/>
      <c r="U689">
        <f>IF(AND(A689&lt;&gt;"",B689="Paused"),COUNTIFS($A$5:A689,"&lt;&gt;",$B$5:B689,"Paused"),"")</f>
        <v/>
      </c>
      <c r="V689">
        <f>IF(P689="Yes",COUNTIF($P$5:P689,"Yes"),"")</f>
        <v/>
      </c>
      <c r="W689">
        <f>IF(A689="","",COUNTIF($A$5:$A$1004,"&lt;"&amp;A689)+COUNTIF($A$5:A689,A689))</f>
        <v/>
      </c>
      <c r="X689">
        <f>","&amp;SUBSTITUTE(SUBSTITUTE(SUBSTITUTE(UPPER(C689)," ",""),";",","),"/",",")&amp;","</f>
        <v/>
      </c>
      <c r="Y689">
        <f>IF(AND(A689&lt;&gt;"",B689="Active",'State Search'!$C$5&lt;&gt;"",OR(X689=",ALL,",ISNUMBER(SEARCH(","&amp;'State Search'!$C$5&amp;",",X689)))),W689,"")</f>
        <v/>
      </c>
    </row>
    <row r="690">
      <c r="A690" s="64" t="n"/>
      <c r="B690" s="65" t="n"/>
      <c r="C690" s="64" t="n"/>
      <c r="D690" s="66" t="n"/>
      <c r="E690" s="66" t="n"/>
      <c r="F690" s="67" t="n"/>
      <c r="G690" s="67" t="n"/>
      <c r="H690" s="67" t="n"/>
      <c r="I690" s="67" t="n"/>
      <c r="J690" s="67" t="n"/>
      <c r="K690" s="67" t="n"/>
      <c r="L690" s="67" t="n"/>
      <c r="M690" s="67" t="n"/>
      <c r="N690" s="65" t="n"/>
      <c r="O690" s="84">
        <f>IF(A690="","",IF(E690="","No date",IF(TODAY()&gt;=EDATE(E690,Review_Months),"Review Due","Current")))</f>
        <v/>
      </c>
      <c r="P690" s="84">
        <f>IF(A690="","",IF(COUNTIFS('AFA Rates'!$A$5:$A$1004,A690,'AFA Rates'!$O$5:$O$1004,"&lt;&gt;Expired")&gt;0,"Yes",IF(COUNTIF('AFA Rates'!$A$5:$A$1004,A690)&gt;0,"Expired only","No")))</f>
        <v/>
      </c>
      <c r="Q690" s="84">
        <f>IF(A690="","",COUNTIFS('AFA Rates'!$A$5:$A$1004,A690,'AFA Rates'!$O$5:$O$1004,"&lt;&gt;Expired"))</f>
        <v/>
      </c>
      <c r="R690" s="66" t="n"/>
      <c r="S690" s="64" t="n"/>
      <c r="T690" s="64" t="n"/>
      <c r="U690">
        <f>IF(AND(A690&lt;&gt;"",B690="Paused"),COUNTIFS($A$5:A690,"&lt;&gt;",$B$5:B690,"Paused"),"")</f>
        <v/>
      </c>
      <c r="V690">
        <f>IF(P690="Yes",COUNTIF($P$5:P690,"Yes"),"")</f>
        <v/>
      </c>
      <c r="W690">
        <f>IF(A690="","",COUNTIF($A$5:$A$1004,"&lt;"&amp;A690)+COUNTIF($A$5:A690,A690))</f>
        <v/>
      </c>
      <c r="X690">
        <f>","&amp;SUBSTITUTE(SUBSTITUTE(SUBSTITUTE(UPPER(C690)," ",""),";",","),"/",",")&amp;","</f>
        <v/>
      </c>
      <c r="Y690">
        <f>IF(AND(A690&lt;&gt;"",B690="Active",'State Search'!$C$5&lt;&gt;"",OR(X690=",ALL,",ISNUMBER(SEARCH(","&amp;'State Search'!$C$5&amp;",",X690)))),W690,"")</f>
        <v/>
      </c>
    </row>
    <row r="691">
      <c r="A691" s="64" t="n"/>
      <c r="B691" s="65" t="n"/>
      <c r="C691" s="64" t="n"/>
      <c r="D691" s="66" t="n"/>
      <c r="E691" s="66" t="n"/>
      <c r="F691" s="67" t="n"/>
      <c r="G691" s="67" t="n"/>
      <c r="H691" s="67" t="n"/>
      <c r="I691" s="67" t="n"/>
      <c r="J691" s="67" t="n"/>
      <c r="K691" s="67" t="n"/>
      <c r="L691" s="67" t="n"/>
      <c r="M691" s="67" t="n"/>
      <c r="N691" s="65" t="n"/>
      <c r="O691" s="84">
        <f>IF(A691="","",IF(E691="","No date",IF(TODAY()&gt;=EDATE(E691,Review_Months),"Review Due","Current")))</f>
        <v/>
      </c>
      <c r="P691" s="84">
        <f>IF(A691="","",IF(COUNTIFS('AFA Rates'!$A$5:$A$1004,A691,'AFA Rates'!$O$5:$O$1004,"&lt;&gt;Expired")&gt;0,"Yes",IF(COUNTIF('AFA Rates'!$A$5:$A$1004,A691)&gt;0,"Expired only","No")))</f>
        <v/>
      </c>
      <c r="Q691" s="84">
        <f>IF(A691="","",COUNTIFS('AFA Rates'!$A$5:$A$1004,A691,'AFA Rates'!$O$5:$O$1004,"&lt;&gt;Expired"))</f>
        <v/>
      </c>
      <c r="R691" s="66" t="n"/>
      <c r="S691" s="64" t="n"/>
      <c r="T691" s="64" t="n"/>
      <c r="U691">
        <f>IF(AND(A691&lt;&gt;"",B691="Paused"),COUNTIFS($A$5:A691,"&lt;&gt;",$B$5:B691,"Paused"),"")</f>
        <v/>
      </c>
      <c r="V691">
        <f>IF(P691="Yes",COUNTIF($P$5:P691,"Yes"),"")</f>
        <v/>
      </c>
      <c r="W691">
        <f>IF(A691="","",COUNTIF($A$5:$A$1004,"&lt;"&amp;A691)+COUNTIF($A$5:A691,A691))</f>
        <v/>
      </c>
      <c r="X691">
        <f>","&amp;SUBSTITUTE(SUBSTITUTE(SUBSTITUTE(UPPER(C691)," ",""),";",","),"/",",")&amp;","</f>
        <v/>
      </c>
      <c r="Y691">
        <f>IF(AND(A691&lt;&gt;"",B691="Active",'State Search'!$C$5&lt;&gt;"",OR(X691=",ALL,",ISNUMBER(SEARCH(","&amp;'State Search'!$C$5&amp;",",X691)))),W691,"")</f>
        <v/>
      </c>
    </row>
    <row r="692">
      <c r="A692" s="64" t="n"/>
      <c r="B692" s="65" t="n"/>
      <c r="C692" s="64" t="n"/>
      <c r="D692" s="66" t="n"/>
      <c r="E692" s="66" t="n"/>
      <c r="F692" s="67" t="n"/>
      <c r="G692" s="67" t="n"/>
      <c r="H692" s="67" t="n"/>
      <c r="I692" s="67" t="n"/>
      <c r="J692" s="67" t="n"/>
      <c r="K692" s="67" t="n"/>
      <c r="L692" s="67" t="n"/>
      <c r="M692" s="67" t="n"/>
      <c r="N692" s="65" t="n"/>
      <c r="O692" s="84">
        <f>IF(A692="","",IF(E692="","No date",IF(TODAY()&gt;=EDATE(E692,Review_Months),"Review Due","Current")))</f>
        <v/>
      </c>
      <c r="P692" s="84">
        <f>IF(A692="","",IF(COUNTIFS('AFA Rates'!$A$5:$A$1004,A692,'AFA Rates'!$O$5:$O$1004,"&lt;&gt;Expired")&gt;0,"Yes",IF(COUNTIF('AFA Rates'!$A$5:$A$1004,A692)&gt;0,"Expired only","No")))</f>
        <v/>
      </c>
      <c r="Q692" s="84">
        <f>IF(A692="","",COUNTIFS('AFA Rates'!$A$5:$A$1004,A692,'AFA Rates'!$O$5:$O$1004,"&lt;&gt;Expired"))</f>
        <v/>
      </c>
      <c r="R692" s="66" t="n"/>
      <c r="S692" s="64" t="n"/>
      <c r="T692" s="64" t="n"/>
      <c r="U692">
        <f>IF(AND(A692&lt;&gt;"",B692="Paused"),COUNTIFS($A$5:A692,"&lt;&gt;",$B$5:B692,"Paused"),"")</f>
        <v/>
      </c>
      <c r="V692">
        <f>IF(P692="Yes",COUNTIF($P$5:P692,"Yes"),"")</f>
        <v/>
      </c>
      <c r="W692">
        <f>IF(A692="","",COUNTIF($A$5:$A$1004,"&lt;"&amp;A692)+COUNTIF($A$5:A692,A692))</f>
        <v/>
      </c>
      <c r="X692">
        <f>","&amp;SUBSTITUTE(SUBSTITUTE(SUBSTITUTE(UPPER(C692)," ",""),";",","),"/",",")&amp;","</f>
        <v/>
      </c>
      <c r="Y692">
        <f>IF(AND(A692&lt;&gt;"",B692="Active",'State Search'!$C$5&lt;&gt;"",OR(X692=",ALL,",ISNUMBER(SEARCH(","&amp;'State Search'!$C$5&amp;",",X692)))),W692,"")</f>
        <v/>
      </c>
    </row>
    <row r="693">
      <c r="A693" s="64" t="n"/>
      <c r="B693" s="65" t="n"/>
      <c r="C693" s="64" t="n"/>
      <c r="D693" s="66" t="n"/>
      <c r="E693" s="66" t="n"/>
      <c r="F693" s="67" t="n"/>
      <c r="G693" s="67" t="n"/>
      <c r="H693" s="67" t="n"/>
      <c r="I693" s="67" t="n"/>
      <c r="J693" s="67" t="n"/>
      <c r="K693" s="67" t="n"/>
      <c r="L693" s="67" t="n"/>
      <c r="M693" s="67" t="n"/>
      <c r="N693" s="65" t="n"/>
      <c r="O693" s="84">
        <f>IF(A693="","",IF(E693="","No date",IF(TODAY()&gt;=EDATE(E693,Review_Months),"Review Due","Current")))</f>
        <v/>
      </c>
      <c r="P693" s="84">
        <f>IF(A693="","",IF(COUNTIFS('AFA Rates'!$A$5:$A$1004,A693,'AFA Rates'!$O$5:$O$1004,"&lt;&gt;Expired")&gt;0,"Yes",IF(COUNTIF('AFA Rates'!$A$5:$A$1004,A693)&gt;0,"Expired only","No")))</f>
        <v/>
      </c>
      <c r="Q693" s="84">
        <f>IF(A693="","",COUNTIFS('AFA Rates'!$A$5:$A$1004,A693,'AFA Rates'!$O$5:$O$1004,"&lt;&gt;Expired"))</f>
        <v/>
      </c>
      <c r="R693" s="66" t="n"/>
      <c r="S693" s="64" t="n"/>
      <c r="T693" s="64" t="n"/>
      <c r="U693">
        <f>IF(AND(A693&lt;&gt;"",B693="Paused"),COUNTIFS($A$5:A693,"&lt;&gt;",$B$5:B693,"Paused"),"")</f>
        <v/>
      </c>
      <c r="V693">
        <f>IF(P693="Yes",COUNTIF($P$5:P693,"Yes"),"")</f>
        <v/>
      </c>
      <c r="W693">
        <f>IF(A693="","",COUNTIF($A$5:$A$1004,"&lt;"&amp;A693)+COUNTIF($A$5:A693,A693))</f>
        <v/>
      </c>
      <c r="X693">
        <f>","&amp;SUBSTITUTE(SUBSTITUTE(SUBSTITUTE(UPPER(C693)," ",""),";",","),"/",",")&amp;","</f>
        <v/>
      </c>
      <c r="Y693">
        <f>IF(AND(A693&lt;&gt;"",B693="Active",'State Search'!$C$5&lt;&gt;"",OR(X693=",ALL,",ISNUMBER(SEARCH(","&amp;'State Search'!$C$5&amp;",",X693)))),W693,"")</f>
        <v/>
      </c>
    </row>
    <row r="694">
      <c r="A694" s="64" t="n"/>
      <c r="B694" s="65" t="n"/>
      <c r="C694" s="64" t="n"/>
      <c r="D694" s="66" t="n"/>
      <c r="E694" s="66" t="n"/>
      <c r="F694" s="67" t="n"/>
      <c r="G694" s="67" t="n"/>
      <c r="H694" s="67" t="n"/>
      <c r="I694" s="67" t="n"/>
      <c r="J694" s="67" t="n"/>
      <c r="K694" s="67" t="n"/>
      <c r="L694" s="67" t="n"/>
      <c r="M694" s="67" t="n"/>
      <c r="N694" s="65" t="n"/>
      <c r="O694" s="84">
        <f>IF(A694="","",IF(E694="","No date",IF(TODAY()&gt;=EDATE(E694,Review_Months),"Review Due","Current")))</f>
        <v/>
      </c>
      <c r="P694" s="84">
        <f>IF(A694="","",IF(COUNTIFS('AFA Rates'!$A$5:$A$1004,A694,'AFA Rates'!$O$5:$O$1004,"&lt;&gt;Expired")&gt;0,"Yes",IF(COUNTIF('AFA Rates'!$A$5:$A$1004,A694)&gt;0,"Expired only","No")))</f>
        <v/>
      </c>
      <c r="Q694" s="84">
        <f>IF(A694="","",COUNTIFS('AFA Rates'!$A$5:$A$1004,A694,'AFA Rates'!$O$5:$O$1004,"&lt;&gt;Expired"))</f>
        <v/>
      </c>
      <c r="R694" s="66" t="n"/>
      <c r="S694" s="64" t="n"/>
      <c r="T694" s="64" t="n"/>
      <c r="U694">
        <f>IF(AND(A694&lt;&gt;"",B694="Paused"),COUNTIFS($A$5:A694,"&lt;&gt;",$B$5:B694,"Paused"),"")</f>
        <v/>
      </c>
      <c r="V694">
        <f>IF(P694="Yes",COUNTIF($P$5:P694,"Yes"),"")</f>
        <v/>
      </c>
      <c r="W694">
        <f>IF(A694="","",COUNTIF($A$5:$A$1004,"&lt;"&amp;A694)+COUNTIF($A$5:A694,A694))</f>
        <v/>
      </c>
      <c r="X694">
        <f>","&amp;SUBSTITUTE(SUBSTITUTE(SUBSTITUTE(UPPER(C694)," ",""),";",","),"/",",")&amp;","</f>
        <v/>
      </c>
      <c r="Y694">
        <f>IF(AND(A694&lt;&gt;"",B694="Active",'State Search'!$C$5&lt;&gt;"",OR(X694=",ALL,",ISNUMBER(SEARCH(","&amp;'State Search'!$C$5&amp;",",X694)))),W694,"")</f>
        <v/>
      </c>
    </row>
    <row r="695">
      <c r="A695" s="64" t="n"/>
      <c r="B695" s="65" t="n"/>
      <c r="C695" s="64" t="n"/>
      <c r="D695" s="66" t="n"/>
      <c r="E695" s="66" t="n"/>
      <c r="F695" s="67" t="n"/>
      <c r="G695" s="67" t="n"/>
      <c r="H695" s="67" t="n"/>
      <c r="I695" s="67" t="n"/>
      <c r="J695" s="67" t="n"/>
      <c r="K695" s="67" t="n"/>
      <c r="L695" s="67" t="n"/>
      <c r="M695" s="67" t="n"/>
      <c r="N695" s="65" t="n"/>
      <c r="O695" s="84">
        <f>IF(A695="","",IF(E695="","No date",IF(TODAY()&gt;=EDATE(E695,Review_Months),"Review Due","Current")))</f>
        <v/>
      </c>
      <c r="P695" s="84">
        <f>IF(A695="","",IF(COUNTIFS('AFA Rates'!$A$5:$A$1004,A695,'AFA Rates'!$O$5:$O$1004,"&lt;&gt;Expired")&gt;0,"Yes",IF(COUNTIF('AFA Rates'!$A$5:$A$1004,A695)&gt;0,"Expired only","No")))</f>
        <v/>
      </c>
      <c r="Q695" s="84">
        <f>IF(A695="","",COUNTIFS('AFA Rates'!$A$5:$A$1004,A695,'AFA Rates'!$O$5:$O$1004,"&lt;&gt;Expired"))</f>
        <v/>
      </c>
      <c r="R695" s="66" t="n"/>
      <c r="S695" s="64" t="n"/>
      <c r="T695" s="64" t="n"/>
      <c r="U695">
        <f>IF(AND(A695&lt;&gt;"",B695="Paused"),COUNTIFS($A$5:A695,"&lt;&gt;",$B$5:B695,"Paused"),"")</f>
        <v/>
      </c>
      <c r="V695">
        <f>IF(P695="Yes",COUNTIF($P$5:P695,"Yes"),"")</f>
        <v/>
      </c>
      <c r="W695">
        <f>IF(A695="","",COUNTIF($A$5:$A$1004,"&lt;"&amp;A695)+COUNTIF($A$5:A695,A695))</f>
        <v/>
      </c>
      <c r="X695">
        <f>","&amp;SUBSTITUTE(SUBSTITUTE(SUBSTITUTE(UPPER(C695)," ",""),";",","),"/",",")&amp;","</f>
        <v/>
      </c>
      <c r="Y695">
        <f>IF(AND(A695&lt;&gt;"",B695="Active",'State Search'!$C$5&lt;&gt;"",OR(X695=",ALL,",ISNUMBER(SEARCH(","&amp;'State Search'!$C$5&amp;",",X695)))),W695,"")</f>
        <v/>
      </c>
    </row>
    <row r="696">
      <c r="A696" s="64" t="n"/>
      <c r="B696" s="65" t="n"/>
      <c r="C696" s="64" t="n"/>
      <c r="D696" s="66" t="n"/>
      <c r="E696" s="66" t="n"/>
      <c r="F696" s="67" t="n"/>
      <c r="G696" s="67" t="n"/>
      <c r="H696" s="67" t="n"/>
      <c r="I696" s="67" t="n"/>
      <c r="J696" s="67" t="n"/>
      <c r="K696" s="67" t="n"/>
      <c r="L696" s="67" t="n"/>
      <c r="M696" s="67" t="n"/>
      <c r="N696" s="65" t="n"/>
      <c r="O696" s="84">
        <f>IF(A696="","",IF(E696="","No date",IF(TODAY()&gt;=EDATE(E696,Review_Months),"Review Due","Current")))</f>
        <v/>
      </c>
      <c r="P696" s="84">
        <f>IF(A696="","",IF(COUNTIFS('AFA Rates'!$A$5:$A$1004,A696,'AFA Rates'!$O$5:$O$1004,"&lt;&gt;Expired")&gt;0,"Yes",IF(COUNTIF('AFA Rates'!$A$5:$A$1004,A696)&gt;0,"Expired only","No")))</f>
        <v/>
      </c>
      <c r="Q696" s="84">
        <f>IF(A696="","",COUNTIFS('AFA Rates'!$A$5:$A$1004,A696,'AFA Rates'!$O$5:$O$1004,"&lt;&gt;Expired"))</f>
        <v/>
      </c>
      <c r="R696" s="66" t="n"/>
      <c r="S696" s="64" t="n"/>
      <c r="T696" s="64" t="n"/>
      <c r="U696">
        <f>IF(AND(A696&lt;&gt;"",B696="Paused"),COUNTIFS($A$5:A696,"&lt;&gt;",$B$5:B696,"Paused"),"")</f>
        <v/>
      </c>
      <c r="V696">
        <f>IF(P696="Yes",COUNTIF($P$5:P696,"Yes"),"")</f>
        <v/>
      </c>
      <c r="W696">
        <f>IF(A696="","",COUNTIF($A$5:$A$1004,"&lt;"&amp;A696)+COUNTIF($A$5:A696,A696))</f>
        <v/>
      </c>
      <c r="X696">
        <f>","&amp;SUBSTITUTE(SUBSTITUTE(SUBSTITUTE(UPPER(C696)," ",""),";",","),"/",",")&amp;","</f>
        <v/>
      </c>
      <c r="Y696">
        <f>IF(AND(A696&lt;&gt;"",B696="Active",'State Search'!$C$5&lt;&gt;"",OR(X696=",ALL,",ISNUMBER(SEARCH(","&amp;'State Search'!$C$5&amp;",",X696)))),W696,"")</f>
        <v/>
      </c>
    </row>
    <row r="697">
      <c r="A697" s="64" t="n"/>
      <c r="B697" s="65" t="n"/>
      <c r="C697" s="64" t="n"/>
      <c r="D697" s="66" t="n"/>
      <c r="E697" s="66" t="n"/>
      <c r="F697" s="67" t="n"/>
      <c r="G697" s="67" t="n"/>
      <c r="H697" s="67" t="n"/>
      <c r="I697" s="67" t="n"/>
      <c r="J697" s="67" t="n"/>
      <c r="K697" s="67" t="n"/>
      <c r="L697" s="67" t="n"/>
      <c r="M697" s="67" t="n"/>
      <c r="N697" s="65" t="n"/>
      <c r="O697" s="84">
        <f>IF(A697="","",IF(E697="","No date",IF(TODAY()&gt;=EDATE(E697,Review_Months),"Review Due","Current")))</f>
        <v/>
      </c>
      <c r="P697" s="84">
        <f>IF(A697="","",IF(COUNTIFS('AFA Rates'!$A$5:$A$1004,A697,'AFA Rates'!$O$5:$O$1004,"&lt;&gt;Expired")&gt;0,"Yes",IF(COUNTIF('AFA Rates'!$A$5:$A$1004,A697)&gt;0,"Expired only","No")))</f>
        <v/>
      </c>
      <c r="Q697" s="84">
        <f>IF(A697="","",COUNTIFS('AFA Rates'!$A$5:$A$1004,A697,'AFA Rates'!$O$5:$O$1004,"&lt;&gt;Expired"))</f>
        <v/>
      </c>
      <c r="R697" s="66" t="n"/>
      <c r="S697" s="64" t="n"/>
      <c r="T697" s="64" t="n"/>
      <c r="U697">
        <f>IF(AND(A697&lt;&gt;"",B697="Paused"),COUNTIFS($A$5:A697,"&lt;&gt;",$B$5:B697,"Paused"),"")</f>
        <v/>
      </c>
      <c r="V697">
        <f>IF(P697="Yes",COUNTIF($P$5:P697,"Yes"),"")</f>
        <v/>
      </c>
      <c r="W697">
        <f>IF(A697="","",COUNTIF($A$5:$A$1004,"&lt;"&amp;A697)+COUNTIF($A$5:A697,A697))</f>
        <v/>
      </c>
      <c r="X697">
        <f>","&amp;SUBSTITUTE(SUBSTITUTE(SUBSTITUTE(UPPER(C697)," ",""),";",","),"/",",")&amp;","</f>
        <v/>
      </c>
      <c r="Y697">
        <f>IF(AND(A697&lt;&gt;"",B697="Active",'State Search'!$C$5&lt;&gt;"",OR(X697=",ALL,",ISNUMBER(SEARCH(","&amp;'State Search'!$C$5&amp;",",X697)))),W697,"")</f>
        <v/>
      </c>
    </row>
    <row r="698">
      <c r="A698" s="64" t="n"/>
      <c r="B698" s="65" t="n"/>
      <c r="C698" s="64" t="n"/>
      <c r="D698" s="66" t="n"/>
      <c r="E698" s="66" t="n"/>
      <c r="F698" s="67" t="n"/>
      <c r="G698" s="67" t="n"/>
      <c r="H698" s="67" t="n"/>
      <c r="I698" s="67" t="n"/>
      <c r="J698" s="67" t="n"/>
      <c r="K698" s="67" t="n"/>
      <c r="L698" s="67" t="n"/>
      <c r="M698" s="67" t="n"/>
      <c r="N698" s="65" t="n"/>
      <c r="O698" s="84">
        <f>IF(A698="","",IF(E698="","No date",IF(TODAY()&gt;=EDATE(E698,Review_Months),"Review Due","Current")))</f>
        <v/>
      </c>
      <c r="P698" s="84">
        <f>IF(A698="","",IF(COUNTIFS('AFA Rates'!$A$5:$A$1004,A698,'AFA Rates'!$O$5:$O$1004,"&lt;&gt;Expired")&gt;0,"Yes",IF(COUNTIF('AFA Rates'!$A$5:$A$1004,A698)&gt;0,"Expired only","No")))</f>
        <v/>
      </c>
      <c r="Q698" s="84">
        <f>IF(A698="","",COUNTIFS('AFA Rates'!$A$5:$A$1004,A698,'AFA Rates'!$O$5:$O$1004,"&lt;&gt;Expired"))</f>
        <v/>
      </c>
      <c r="R698" s="66" t="n"/>
      <c r="S698" s="64" t="n"/>
      <c r="T698" s="64" t="n"/>
      <c r="U698">
        <f>IF(AND(A698&lt;&gt;"",B698="Paused"),COUNTIFS($A$5:A698,"&lt;&gt;",$B$5:B698,"Paused"),"")</f>
        <v/>
      </c>
      <c r="V698">
        <f>IF(P698="Yes",COUNTIF($P$5:P698,"Yes"),"")</f>
        <v/>
      </c>
      <c r="W698">
        <f>IF(A698="","",COUNTIF($A$5:$A$1004,"&lt;"&amp;A698)+COUNTIF($A$5:A698,A698))</f>
        <v/>
      </c>
      <c r="X698">
        <f>","&amp;SUBSTITUTE(SUBSTITUTE(SUBSTITUTE(UPPER(C698)," ",""),";",","),"/",",")&amp;","</f>
        <v/>
      </c>
      <c r="Y698">
        <f>IF(AND(A698&lt;&gt;"",B698="Active",'State Search'!$C$5&lt;&gt;"",OR(X698=",ALL,",ISNUMBER(SEARCH(","&amp;'State Search'!$C$5&amp;",",X698)))),W698,"")</f>
        <v/>
      </c>
    </row>
    <row r="699">
      <c r="A699" s="64" t="n"/>
      <c r="B699" s="65" t="n"/>
      <c r="C699" s="64" t="n"/>
      <c r="D699" s="66" t="n"/>
      <c r="E699" s="66" t="n"/>
      <c r="F699" s="67" t="n"/>
      <c r="G699" s="67" t="n"/>
      <c r="H699" s="67" t="n"/>
      <c r="I699" s="67" t="n"/>
      <c r="J699" s="67" t="n"/>
      <c r="K699" s="67" t="n"/>
      <c r="L699" s="67" t="n"/>
      <c r="M699" s="67" t="n"/>
      <c r="N699" s="65" t="n"/>
      <c r="O699" s="84">
        <f>IF(A699="","",IF(E699="","No date",IF(TODAY()&gt;=EDATE(E699,Review_Months),"Review Due","Current")))</f>
        <v/>
      </c>
      <c r="P699" s="84">
        <f>IF(A699="","",IF(COUNTIFS('AFA Rates'!$A$5:$A$1004,A699,'AFA Rates'!$O$5:$O$1004,"&lt;&gt;Expired")&gt;0,"Yes",IF(COUNTIF('AFA Rates'!$A$5:$A$1004,A699)&gt;0,"Expired only","No")))</f>
        <v/>
      </c>
      <c r="Q699" s="84">
        <f>IF(A699="","",COUNTIFS('AFA Rates'!$A$5:$A$1004,A699,'AFA Rates'!$O$5:$O$1004,"&lt;&gt;Expired"))</f>
        <v/>
      </c>
      <c r="R699" s="66" t="n"/>
      <c r="S699" s="64" t="n"/>
      <c r="T699" s="64" t="n"/>
      <c r="U699">
        <f>IF(AND(A699&lt;&gt;"",B699="Paused"),COUNTIFS($A$5:A699,"&lt;&gt;",$B$5:B699,"Paused"),"")</f>
        <v/>
      </c>
      <c r="V699">
        <f>IF(P699="Yes",COUNTIF($P$5:P699,"Yes"),"")</f>
        <v/>
      </c>
      <c r="W699">
        <f>IF(A699="","",COUNTIF($A$5:$A$1004,"&lt;"&amp;A699)+COUNTIF($A$5:A699,A699))</f>
        <v/>
      </c>
      <c r="X699">
        <f>","&amp;SUBSTITUTE(SUBSTITUTE(SUBSTITUTE(UPPER(C699)," ",""),";",","),"/",",")&amp;","</f>
        <v/>
      </c>
      <c r="Y699">
        <f>IF(AND(A699&lt;&gt;"",B699="Active",'State Search'!$C$5&lt;&gt;"",OR(X699=",ALL,",ISNUMBER(SEARCH(","&amp;'State Search'!$C$5&amp;",",X699)))),W699,"")</f>
        <v/>
      </c>
    </row>
    <row r="700">
      <c r="A700" s="64" t="n"/>
      <c r="B700" s="65" t="n"/>
      <c r="C700" s="64" t="n"/>
      <c r="D700" s="66" t="n"/>
      <c r="E700" s="66" t="n"/>
      <c r="F700" s="67" t="n"/>
      <c r="G700" s="67" t="n"/>
      <c r="H700" s="67" t="n"/>
      <c r="I700" s="67" t="n"/>
      <c r="J700" s="67" t="n"/>
      <c r="K700" s="67" t="n"/>
      <c r="L700" s="67" t="n"/>
      <c r="M700" s="67" t="n"/>
      <c r="N700" s="65" t="n"/>
      <c r="O700" s="84">
        <f>IF(A700="","",IF(E700="","No date",IF(TODAY()&gt;=EDATE(E700,Review_Months),"Review Due","Current")))</f>
        <v/>
      </c>
      <c r="P700" s="84">
        <f>IF(A700="","",IF(COUNTIFS('AFA Rates'!$A$5:$A$1004,A700,'AFA Rates'!$O$5:$O$1004,"&lt;&gt;Expired")&gt;0,"Yes",IF(COUNTIF('AFA Rates'!$A$5:$A$1004,A700)&gt;0,"Expired only","No")))</f>
        <v/>
      </c>
      <c r="Q700" s="84">
        <f>IF(A700="","",COUNTIFS('AFA Rates'!$A$5:$A$1004,A700,'AFA Rates'!$O$5:$O$1004,"&lt;&gt;Expired"))</f>
        <v/>
      </c>
      <c r="R700" s="66" t="n"/>
      <c r="S700" s="64" t="n"/>
      <c r="T700" s="64" t="n"/>
      <c r="U700">
        <f>IF(AND(A700&lt;&gt;"",B700="Paused"),COUNTIFS($A$5:A700,"&lt;&gt;",$B$5:B700,"Paused"),"")</f>
        <v/>
      </c>
      <c r="V700">
        <f>IF(P700="Yes",COUNTIF($P$5:P700,"Yes"),"")</f>
        <v/>
      </c>
      <c r="W700">
        <f>IF(A700="","",COUNTIF($A$5:$A$1004,"&lt;"&amp;A700)+COUNTIF($A$5:A700,A700))</f>
        <v/>
      </c>
      <c r="X700">
        <f>","&amp;SUBSTITUTE(SUBSTITUTE(SUBSTITUTE(UPPER(C700)," ",""),";",","),"/",",")&amp;","</f>
        <v/>
      </c>
      <c r="Y700">
        <f>IF(AND(A700&lt;&gt;"",B700="Active",'State Search'!$C$5&lt;&gt;"",OR(X700=",ALL,",ISNUMBER(SEARCH(","&amp;'State Search'!$C$5&amp;",",X700)))),W700,"")</f>
        <v/>
      </c>
    </row>
    <row r="701">
      <c r="A701" s="64" t="n"/>
      <c r="B701" s="65" t="n"/>
      <c r="C701" s="64" t="n"/>
      <c r="D701" s="66" t="n"/>
      <c r="E701" s="66" t="n"/>
      <c r="F701" s="67" t="n"/>
      <c r="G701" s="67" t="n"/>
      <c r="H701" s="67" t="n"/>
      <c r="I701" s="67" t="n"/>
      <c r="J701" s="67" t="n"/>
      <c r="K701" s="67" t="n"/>
      <c r="L701" s="67" t="n"/>
      <c r="M701" s="67" t="n"/>
      <c r="N701" s="65" t="n"/>
      <c r="O701" s="84">
        <f>IF(A701="","",IF(E701="","No date",IF(TODAY()&gt;=EDATE(E701,Review_Months),"Review Due","Current")))</f>
        <v/>
      </c>
      <c r="P701" s="84">
        <f>IF(A701="","",IF(COUNTIFS('AFA Rates'!$A$5:$A$1004,A701,'AFA Rates'!$O$5:$O$1004,"&lt;&gt;Expired")&gt;0,"Yes",IF(COUNTIF('AFA Rates'!$A$5:$A$1004,A701)&gt;0,"Expired only","No")))</f>
        <v/>
      </c>
      <c r="Q701" s="84">
        <f>IF(A701="","",COUNTIFS('AFA Rates'!$A$5:$A$1004,A701,'AFA Rates'!$O$5:$O$1004,"&lt;&gt;Expired"))</f>
        <v/>
      </c>
      <c r="R701" s="66" t="n"/>
      <c r="S701" s="64" t="n"/>
      <c r="T701" s="64" t="n"/>
      <c r="U701">
        <f>IF(AND(A701&lt;&gt;"",B701="Paused"),COUNTIFS($A$5:A701,"&lt;&gt;",$B$5:B701,"Paused"),"")</f>
        <v/>
      </c>
      <c r="V701">
        <f>IF(P701="Yes",COUNTIF($P$5:P701,"Yes"),"")</f>
        <v/>
      </c>
      <c r="W701">
        <f>IF(A701="","",COUNTIF($A$5:$A$1004,"&lt;"&amp;A701)+COUNTIF($A$5:A701,A701))</f>
        <v/>
      </c>
      <c r="X701">
        <f>","&amp;SUBSTITUTE(SUBSTITUTE(SUBSTITUTE(UPPER(C701)," ",""),";",","),"/",",")&amp;","</f>
        <v/>
      </c>
      <c r="Y701">
        <f>IF(AND(A701&lt;&gt;"",B701="Active",'State Search'!$C$5&lt;&gt;"",OR(X701=",ALL,",ISNUMBER(SEARCH(","&amp;'State Search'!$C$5&amp;",",X701)))),W701,"")</f>
        <v/>
      </c>
    </row>
    <row r="702">
      <c r="A702" s="64" t="n"/>
      <c r="B702" s="65" t="n"/>
      <c r="C702" s="64" t="n"/>
      <c r="D702" s="66" t="n"/>
      <c r="E702" s="66" t="n"/>
      <c r="F702" s="67" t="n"/>
      <c r="G702" s="67" t="n"/>
      <c r="H702" s="67" t="n"/>
      <c r="I702" s="67" t="n"/>
      <c r="J702" s="67" t="n"/>
      <c r="K702" s="67" t="n"/>
      <c r="L702" s="67" t="n"/>
      <c r="M702" s="67" t="n"/>
      <c r="N702" s="65" t="n"/>
      <c r="O702" s="84">
        <f>IF(A702="","",IF(E702="","No date",IF(TODAY()&gt;=EDATE(E702,Review_Months),"Review Due","Current")))</f>
        <v/>
      </c>
      <c r="P702" s="84">
        <f>IF(A702="","",IF(COUNTIFS('AFA Rates'!$A$5:$A$1004,A702,'AFA Rates'!$O$5:$O$1004,"&lt;&gt;Expired")&gt;0,"Yes",IF(COUNTIF('AFA Rates'!$A$5:$A$1004,A702)&gt;0,"Expired only","No")))</f>
        <v/>
      </c>
      <c r="Q702" s="84">
        <f>IF(A702="","",COUNTIFS('AFA Rates'!$A$5:$A$1004,A702,'AFA Rates'!$O$5:$O$1004,"&lt;&gt;Expired"))</f>
        <v/>
      </c>
      <c r="R702" s="66" t="n"/>
      <c r="S702" s="64" t="n"/>
      <c r="T702" s="64" t="n"/>
      <c r="U702">
        <f>IF(AND(A702&lt;&gt;"",B702="Paused"),COUNTIFS($A$5:A702,"&lt;&gt;",$B$5:B702,"Paused"),"")</f>
        <v/>
      </c>
      <c r="V702">
        <f>IF(P702="Yes",COUNTIF($P$5:P702,"Yes"),"")</f>
        <v/>
      </c>
      <c r="W702">
        <f>IF(A702="","",COUNTIF($A$5:$A$1004,"&lt;"&amp;A702)+COUNTIF($A$5:A702,A702))</f>
        <v/>
      </c>
      <c r="X702">
        <f>","&amp;SUBSTITUTE(SUBSTITUTE(SUBSTITUTE(UPPER(C702)," ",""),";",","),"/",",")&amp;","</f>
        <v/>
      </c>
      <c r="Y702">
        <f>IF(AND(A702&lt;&gt;"",B702="Active",'State Search'!$C$5&lt;&gt;"",OR(X702=",ALL,",ISNUMBER(SEARCH(","&amp;'State Search'!$C$5&amp;",",X702)))),W702,"")</f>
        <v/>
      </c>
    </row>
    <row r="703">
      <c r="A703" s="64" t="n"/>
      <c r="B703" s="65" t="n"/>
      <c r="C703" s="64" t="n"/>
      <c r="D703" s="66" t="n"/>
      <c r="E703" s="66" t="n"/>
      <c r="F703" s="67" t="n"/>
      <c r="G703" s="67" t="n"/>
      <c r="H703" s="67" t="n"/>
      <c r="I703" s="67" t="n"/>
      <c r="J703" s="67" t="n"/>
      <c r="K703" s="67" t="n"/>
      <c r="L703" s="67" t="n"/>
      <c r="M703" s="67" t="n"/>
      <c r="N703" s="65" t="n"/>
      <c r="O703" s="84">
        <f>IF(A703="","",IF(E703="","No date",IF(TODAY()&gt;=EDATE(E703,Review_Months),"Review Due","Current")))</f>
        <v/>
      </c>
      <c r="P703" s="84">
        <f>IF(A703="","",IF(COUNTIFS('AFA Rates'!$A$5:$A$1004,A703,'AFA Rates'!$O$5:$O$1004,"&lt;&gt;Expired")&gt;0,"Yes",IF(COUNTIF('AFA Rates'!$A$5:$A$1004,A703)&gt;0,"Expired only","No")))</f>
        <v/>
      </c>
      <c r="Q703" s="84">
        <f>IF(A703="","",COUNTIFS('AFA Rates'!$A$5:$A$1004,A703,'AFA Rates'!$O$5:$O$1004,"&lt;&gt;Expired"))</f>
        <v/>
      </c>
      <c r="R703" s="66" t="n"/>
      <c r="S703" s="64" t="n"/>
      <c r="T703" s="64" t="n"/>
      <c r="U703">
        <f>IF(AND(A703&lt;&gt;"",B703="Paused"),COUNTIFS($A$5:A703,"&lt;&gt;",$B$5:B703,"Paused"),"")</f>
        <v/>
      </c>
      <c r="V703">
        <f>IF(P703="Yes",COUNTIF($P$5:P703,"Yes"),"")</f>
        <v/>
      </c>
      <c r="W703">
        <f>IF(A703="","",COUNTIF($A$5:$A$1004,"&lt;"&amp;A703)+COUNTIF($A$5:A703,A703))</f>
        <v/>
      </c>
      <c r="X703">
        <f>","&amp;SUBSTITUTE(SUBSTITUTE(SUBSTITUTE(UPPER(C703)," ",""),";",","),"/",",")&amp;","</f>
        <v/>
      </c>
      <c r="Y703">
        <f>IF(AND(A703&lt;&gt;"",B703="Active",'State Search'!$C$5&lt;&gt;"",OR(X703=",ALL,",ISNUMBER(SEARCH(","&amp;'State Search'!$C$5&amp;",",X703)))),W703,"")</f>
        <v/>
      </c>
    </row>
    <row r="704">
      <c r="A704" s="64" t="n"/>
      <c r="B704" s="65" t="n"/>
      <c r="C704" s="64" t="n"/>
      <c r="D704" s="66" t="n"/>
      <c r="E704" s="66" t="n"/>
      <c r="F704" s="67" t="n"/>
      <c r="G704" s="67" t="n"/>
      <c r="H704" s="67" t="n"/>
      <c r="I704" s="67" t="n"/>
      <c r="J704" s="67" t="n"/>
      <c r="K704" s="67" t="n"/>
      <c r="L704" s="67" t="n"/>
      <c r="M704" s="67" t="n"/>
      <c r="N704" s="65" t="n"/>
      <c r="O704" s="84">
        <f>IF(A704="","",IF(E704="","No date",IF(TODAY()&gt;=EDATE(E704,Review_Months),"Review Due","Current")))</f>
        <v/>
      </c>
      <c r="P704" s="84">
        <f>IF(A704="","",IF(COUNTIFS('AFA Rates'!$A$5:$A$1004,A704,'AFA Rates'!$O$5:$O$1004,"&lt;&gt;Expired")&gt;0,"Yes",IF(COUNTIF('AFA Rates'!$A$5:$A$1004,A704)&gt;0,"Expired only","No")))</f>
        <v/>
      </c>
      <c r="Q704" s="84">
        <f>IF(A704="","",COUNTIFS('AFA Rates'!$A$5:$A$1004,A704,'AFA Rates'!$O$5:$O$1004,"&lt;&gt;Expired"))</f>
        <v/>
      </c>
      <c r="R704" s="66" t="n"/>
      <c r="S704" s="64" t="n"/>
      <c r="T704" s="64" t="n"/>
      <c r="U704">
        <f>IF(AND(A704&lt;&gt;"",B704="Paused"),COUNTIFS($A$5:A704,"&lt;&gt;",$B$5:B704,"Paused"),"")</f>
        <v/>
      </c>
      <c r="V704">
        <f>IF(P704="Yes",COUNTIF($P$5:P704,"Yes"),"")</f>
        <v/>
      </c>
      <c r="W704">
        <f>IF(A704="","",COUNTIF($A$5:$A$1004,"&lt;"&amp;A704)+COUNTIF($A$5:A704,A704))</f>
        <v/>
      </c>
      <c r="X704">
        <f>","&amp;SUBSTITUTE(SUBSTITUTE(SUBSTITUTE(UPPER(C704)," ",""),";",","),"/",",")&amp;","</f>
        <v/>
      </c>
      <c r="Y704">
        <f>IF(AND(A704&lt;&gt;"",B704="Active",'State Search'!$C$5&lt;&gt;"",OR(X704=",ALL,",ISNUMBER(SEARCH(","&amp;'State Search'!$C$5&amp;",",X704)))),W704,"")</f>
        <v/>
      </c>
    </row>
    <row r="705">
      <c r="A705" s="64" t="n"/>
      <c r="B705" s="65" t="n"/>
      <c r="C705" s="64" t="n"/>
      <c r="D705" s="66" t="n"/>
      <c r="E705" s="66" t="n"/>
      <c r="F705" s="67" t="n"/>
      <c r="G705" s="67" t="n"/>
      <c r="H705" s="67" t="n"/>
      <c r="I705" s="67" t="n"/>
      <c r="J705" s="67" t="n"/>
      <c r="K705" s="67" t="n"/>
      <c r="L705" s="67" t="n"/>
      <c r="M705" s="67" t="n"/>
      <c r="N705" s="65" t="n"/>
      <c r="O705" s="84">
        <f>IF(A705="","",IF(E705="","No date",IF(TODAY()&gt;=EDATE(E705,Review_Months),"Review Due","Current")))</f>
        <v/>
      </c>
      <c r="P705" s="84">
        <f>IF(A705="","",IF(COUNTIFS('AFA Rates'!$A$5:$A$1004,A705,'AFA Rates'!$O$5:$O$1004,"&lt;&gt;Expired")&gt;0,"Yes",IF(COUNTIF('AFA Rates'!$A$5:$A$1004,A705)&gt;0,"Expired only","No")))</f>
        <v/>
      </c>
      <c r="Q705" s="84">
        <f>IF(A705="","",COUNTIFS('AFA Rates'!$A$5:$A$1004,A705,'AFA Rates'!$O$5:$O$1004,"&lt;&gt;Expired"))</f>
        <v/>
      </c>
      <c r="R705" s="66" t="n"/>
      <c r="S705" s="64" t="n"/>
      <c r="T705" s="64" t="n"/>
      <c r="U705">
        <f>IF(AND(A705&lt;&gt;"",B705="Paused"),COUNTIFS($A$5:A705,"&lt;&gt;",$B$5:B705,"Paused"),"")</f>
        <v/>
      </c>
      <c r="V705">
        <f>IF(P705="Yes",COUNTIF($P$5:P705,"Yes"),"")</f>
        <v/>
      </c>
      <c r="W705">
        <f>IF(A705="","",COUNTIF($A$5:$A$1004,"&lt;"&amp;A705)+COUNTIF($A$5:A705,A705))</f>
        <v/>
      </c>
      <c r="X705">
        <f>","&amp;SUBSTITUTE(SUBSTITUTE(SUBSTITUTE(UPPER(C705)," ",""),";",","),"/",",")&amp;","</f>
        <v/>
      </c>
      <c r="Y705">
        <f>IF(AND(A705&lt;&gt;"",B705="Active",'State Search'!$C$5&lt;&gt;"",OR(X705=",ALL,",ISNUMBER(SEARCH(","&amp;'State Search'!$C$5&amp;",",X705)))),W705,"")</f>
        <v/>
      </c>
    </row>
    <row r="706">
      <c r="A706" s="64" t="n"/>
      <c r="B706" s="65" t="n"/>
      <c r="C706" s="64" t="n"/>
      <c r="D706" s="66" t="n"/>
      <c r="E706" s="66" t="n"/>
      <c r="F706" s="67" t="n"/>
      <c r="G706" s="67" t="n"/>
      <c r="H706" s="67" t="n"/>
      <c r="I706" s="67" t="n"/>
      <c r="J706" s="67" t="n"/>
      <c r="K706" s="67" t="n"/>
      <c r="L706" s="67" t="n"/>
      <c r="M706" s="67" t="n"/>
      <c r="N706" s="65" t="n"/>
      <c r="O706" s="84">
        <f>IF(A706="","",IF(E706="","No date",IF(TODAY()&gt;=EDATE(E706,Review_Months),"Review Due","Current")))</f>
        <v/>
      </c>
      <c r="P706" s="84">
        <f>IF(A706="","",IF(COUNTIFS('AFA Rates'!$A$5:$A$1004,A706,'AFA Rates'!$O$5:$O$1004,"&lt;&gt;Expired")&gt;0,"Yes",IF(COUNTIF('AFA Rates'!$A$5:$A$1004,A706)&gt;0,"Expired only","No")))</f>
        <v/>
      </c>
      <c r="Q706" s="84">
        <f>IF(A706="","",COUNTIFS('AFA Rates'!$A$5:$A$1004,A706,'AFA Rates'!$O$5:$O$1004,"&lt;&gt;Expired"))</f>
        <v/>
      </c>
      <c r="R706" s="66" t="n"/>
      <c r="S706" s="64" t="n"/>
      <c r="T706" s="64" t="n"/>
      <c r="U706">
        <f>IF(AND(A706&lt;&gt;"",B706="Paused"),COUNTIFS($A$5:A706,"&lt;&gt;",$B$5:B706,"Paused"),"")</f>
        <v/>
      </c>
      <c r="V706">
        <f>IF(P706="Yes",COUNTIF($P$5:P706,"Yes"),"")</f>
        <v/>
      </c>
      <c r="W706">
        <f>IF(A706="","",COUNTIF($A$5:$A$1004,"&lt;"&amp;A706)+COUNTIF($A$5:A706,A706))</f>
        <v/>
      </c>
      <c r="X706">
        <f>","&amp;SUBSTITUTE(SUBSTITUTE(SUBSTITUTE(UPPER(C706)," ",""),";",","),"/",",")&amp;","</f>
        <v/>
      </c>
      <c r="Y706">
        <f>IF(AND(A706&lt;&gt;"",B706="Active",'State Search'!$C$5&lt;&gt;"",OR(X706=",ALL,",ISNUMBER(SEARCH(","&amp;'State Search'!$C$5&amp;",",X706)))),W706,"")</f>
        <v/>
      </c>
    </row>
    <row r="707">
      <c r="A707" s="64" t="n"/>
      <c r="B707" s="65" t="n"/>
      <c r="C707" s="64" t="n"/>
      <c r="D707" s="66" t="n"/>
      <c r="E707" s="66" t="n"/>
      <c r="F707" s="67" t="n"/>
      <c r="G707" s="67" t="n"/>
      <c r="H707" s="67" t="n"/>
      <c r="I707" s="67" t="n"/>
      <c r="J707" s="67" t="n"/>
      <c r="K707" s="67" t="n"/>
      <c r="L707" s="67" t="n"/>
      <c r="M707" s="67" t="n"/>
      <c r="N707" s="65" t="n"/>
      <c r="O707" s="84">
        <f>IF(A707="","",IF(E707="","No date",IF(TODAY()&gt;=EDATE(E707,Review_Months),"Review Due","Current")))</f>
        <v/>
      </c>
      <c r="P707" s="84">
        <f>IF(A707="","",IF(COUNTIFS('AFA Rates'!$A$5:$A$1004,A707,'AFA Rates'!$O$5:$O$1004,"&lt;&gt;Expired")&gt;0,"Yes",IF(COUNTIF('AFA Rates'!$A$5:$A$1004,A707)&gt;0,"Expired only","No")))</f>
        <v/>
      </c>
      <c r="Q707" s="84">
        <f>IF(A707="","",COUNTIFS('AFA Rates'!$A$5:$A$1004,A707,'AFA Rates'!$O$5:$O$1004,"&lt;&gt;Expired"))</f>
        <v/>
      </c>
      <c r="R707" s="66" t="n"/>
      <c r="S707" s="64" t="n"/>
      <c r="T707" s="64" t="n"/>
      <c r="U707">
        <f>IF(AND(A707&lt;&gt;"",B707="Paused"),COUNTIFS($A$5:A707,"&lt;&gt;",$B$5:B707,"Paused"),"")</f>
        <v/>
      </c>
      <c r="V707">
        <f>IF(P707="Yes",COUNTIF($P$5:P707,"Yes"),"")</f>
        <v/>
      </c>
      <c r="W707">
        <f>IF(A707="","",COUNTIF($A$5:$A$1004,"&lt;"&amp;A707)+COUNTIF($A$5:A707,A707))</f>
        <v/>
      </c>
      <c r="X707">
        <f>","&amp;SUBSTITUTE(SUBSTITUTE(SUBSTITUTE(UPPER(C707)," ",""),";",","),"/",",")&amp;","</f>
        <v/>
      </c>
      <c r="Y707">
        <f>IF(AND(A707&lt;&gt;"",B707="Active",'State Search'!$C$5&lt;&gt;"",OR(X707=",ALL,",ISNUMBER(SEARCH(","&amp;'State Search'!$C$5&amp;",",X707)))),W707,"")</f>
        <v/>
      </c>
    </row>
    <row r="708">
      <c r="A708" s="64" t="n"/>
      <c r="B708" s="65" t="n"/>
      <c r="C708" s="64" t="n"/>
      <c r="D708" s="66" t="n"/>
      <c r="E708" s="66" t="n"/>
      <c r="F708" s="67" t="n"/>
      <c r="G708" s="67" t="n"/>
      <c r="H708" s="67" t="n"/>
      <c r="I708" s="67" t="n"/>
      <c r="J708" s="67" t="n"/>
      <c r="K708" s="67" t="n"/>
      <c r="L708" s="67" t="n"/>
      <c r="M708" s="67" t="n"/>
      <c r="N708" s="65" t="n"/>
      <c r="O708" s="84">
        <f>IF(A708="","",IF(E708="","No date",IF(TODAY()&gt;=EDATE(E708,Review_Months),"Review Due","Current")))</f>
        <v/>
      </c>
      <c r="P708" s="84">
        <f>IF(A708="","",IF(COUNTIFS('AFA Rates'!$A$5:$A$1004,A708,'AFA Rates'!$O$5:$O$1004,"&lt;&gt;Expired")&gt;0,"Yes",IF(COUNTIF('AFA Rates'!$A$5:$A$1004,A708)&gt;0,"Expired only","No")))</f>
        <v/>
      </c>
      <c r="Q708" s="84">
        <f>IF(A708="","",COUNTIFS('AFA Rates'!$A$5:$A$1004,A708,'AFA Rates'!$O$5:$O$1004,"&lt;&gt;Expired"))</f>
        <v/>
      </c>
      <c r="R708" s="66" t="n"/>
      <c r="S708" s="64" t="n"/>
      <c r="T708" s="64" t="n"/>
      <c r="U708">
        <f>IF(AND(A708&lt;&gt;"",B708="Paused"),COUNTIFS($A$5:A708,"&lt;&gt;",$B$5:B708,"Paused"),"")</f>
        <v/>
      </c>
      <c r="V708">
        <f>IF(P708="Yes",COUNTIF($P$5:P708,"Yes"),"")</f>
        <v/>
      </c>
      <c r="W708">
        <f>IF(A708="","",COUNTIF($A$5:$A$1004,"&lt;"&amp;A708)+COUNTIF($A$5:A708,A708))</f>
        <v/>
      </c>
      <c r="X708">
        <f>","&amp;SUBSTITUTE(SUBSTITUTE(SUBSTITUTE(UPPER(C708)," ",""),";",","),"/",",")&amp;","</f>
        <v/>
      </c>
      <c r="Y708">
        <f>IF(AND(A708&lt;&gt;"",B708="Active",'State Search'!$C$5&lt;&gt;"",OR(X708=",ALL,",ISNUMBER(SEARCH(","&amp;'State Search'!$C$5&amp;",",X708)))),W708,"")</f>
        <v/>
      </c>
    </row>
    <row r="709">
      <c r="A709" s="64" t="n"/>
      <c r="B709" s="65" t="n"/>
      <c r="C709" s="64" t="n"/>
      <c r="D709" s="66" t="n"/>
      <c r="E709" s="66" t="n"/>
      <c r="F709" s="67" t="n"/>
      <c r="G709" s="67" t="n"/>
      <c r="H709" s="67" t="n"/>
      <c r="I709" s="67" t="n"/>
      <c r="J709" s="67" t="n"/>
      <c r="K709" s="67" t="n"/>
      <c r="L709" s="67" t="n"/>
      <c r="M709" s="67" t="n"/>
      <c r="N709" s="65" t="n"/>
      <c r="O709" s="84">
        <f>IF(A709="","",IF(E709="","No date",IF(TODAY()&gt;=EDATE(E709,Review_Months),"Review Due","Current")))</f>
        <v/>
      </c>
      <c r="P709" s="84">
        <f>IF(A709="","",IF(COUNTIFS('AFA Rates'!$A$5:$A$1004,A709,'AFA Rates'!$O$5:$O$1004,"&lt;&gt;Expired")&gt;0,"Yes",IF(COUNTIF('AFA Rates'!$A$5:$A$1004,A709)&gt;0,"Expired only","No")))</f>
        <v/>
      </c>
      <c r="Q709" s="84">
        <f>IF(A709="","",COUNTIFS('AFA Rates'!$A$5:$A$1004,A709,'AFA Rates'!$O$5:$O$1004,"&lt;&gt;Expired"))</f>
        <v/>
      </c>
      <c r="R709" s="66" t="n"/>
      <c r="S709" s="64" t="n"/>
      <c r="T709" s="64" t="n"/>
      <c r="U709">
        <f>IF(AND(A709&lt;&gt;"",B709="Paused"),COUNTIFS($A$5:A709,"&lt;&gt;",$B$5:B709,"Paused"),"")</f>
        <v/>
      </c>
      <c r="V709">
        <f>IF(P709="Yes",COUNTIF($P$5:P709,"Yes"),"")</f>
        <v/>
      </c>
      <c r="W709">
        <f>IF(A709="","",COUNTIF($A$5:$A$1004,"&lt;"&amp;A709)+COUNTIF($A$5:A709,A709))</f>
        <v/>
      </c>
      <c r="X709">
        <f>","&amp;SUBSTITUTE(SUBSTITUTE(SUBSTITUTE(UPPER(C709)," ",""),";",","),"/",",")&amp;","</f>
        <v/>
      </c>
      <c r="Y709">
        <f>IF(AND(A709&lt;&gt;"",B709="Active",'State Search'!$C$5&lt;&gt;"",OR(X709=",ALL,",ISNUMBER(SEARCH(","&amp;'State Search'!$C$5&amp;",",X709)))),W709,"")</f>
        <v/>
      </c>
    </row>
    <row r="710">
      <c r="A710" s="64" t="n"/>
      <c r="B710" s="65" t="n"/>
      <c r="C710" s="64" t="n"/>
      <c r="D710" s="66" t="n"/>
      <c r="E710" s="66" t="n"/>
      <c r="F710" s="67" t="n"/>
      <c r="G710" s="67" t="n"/>
      <c r="H710" s="67" t="n"/>
      <c r="I710" s="67" t="n"/>
      <c r="J710" s="67" t="n"/>
      <c r="K710" s="67" t="n"/>
      <c r="L710" s="67" t="n"/>
      <c r="M710" s="67" t="n"/>
      <c r="N710" s="65" t="n"/>
      <c r="O710" s="84">
        <f>IF(A710="","",IF(E710="","No date",IF(TODAY()&gt;=EDATE(E710,Review_Months),"Review Due","Current")))</f>
        <v/>
      </c>
      <c r="P710" s="84">
        <f>IF(A710="","",IF(COUNTIFS('AFA Rates'!$A$5:$A$1004,A710,'AFA Rates'!$O$5:$O$1004,"&lt;&gt;Expired")&gt;0,"Yes",IF(COUNTIF('AFA Rates'!$A$5:$A$1004,A710)&gt;0,"Expired only","No")))</f>
        <v/>
      </c>
      <c r="Q710" s="84">
        <f>IF(A710="","",COUNTIFS('AFA Rates'!$A$5:$A$1004,A710,'AFA Rates'!$O$5:$O$1004,"&lt;&gt;Expired"))</f>
        <v/>
      </c>
      <c r="R710" s="66" t="n"/>
      <c r="S710" s="64" t="n"/>
      <c r="T710" s="64" t="n"/>
      <c r="U710">
        <f>IF(AND(A710&lt;&gt;"",B710="Paused"),COUNTIFS($A$5:A710,"&lt;&gt;",$B$5:B710,"Paused"),"")</f>
        <v/>
      </c>
      <c r="V710">
        <f>IF(P710="Yes",COUNTIF($P$5:P710,"Yes"),"")</f>
        <v/>
      </c>
      <c r="W710">
        <f>IF(A710="","",COUNTIF($A$5:$A$1004,"&lt;"&amp;A710)+COUNTIF($A$5:A710,A710))</f>
        <v/>
      </c>
      <c r="X710">
        <f>","&amp;SUBSTITUTE(SUBSTITUTE(SUBSTITUTE(UPPER(C710)," ",""),";",","),"/",",")&amp;","</f>
        <v/>
      </c>
      <c r="Y710">
        <f>IF(AND(A710&lt;&gt;"",B710="Active",'State Search'!$C$5&lt;&gt;"",OR(X710=",ALL,",ISNUMBER(SEARCH(","&amp;'State Search'!$C$5&amp;",",X710)))),W710,"")</f>
        <v/>
      </c>
    </row>
    <row r="711">
      <c r="A711" s="64" t="n"/>
      <c r="B711" s="65" t="n"/>
      <c r="C711" s="64" t="n"/>
      <c r="D711" s="66" t="n"/>
      <c r="E711" s="66" t="n"/>
      <c r="F711" s="67" t="n"/>
      <c r="G711" s="67" t="n"/>
      <c r="H711" s="67" t="n"/>
      <c r="I711" s="67" t="n"/>
      <c r="J711" s="67" t="n"/>
      <c r="K711" s="67" t="n"/>
      <c r="L711" s="67" t="n"/>
      <c r="M711" s="67" t="n"/>
      <c r="N711" s="65" t="n"/>
      <c r="O711" s="84">
        <f>IF(A711="","",IF(E711="","No date",IF(TODAY()&gt;=EDATE(E711,Review_Months),"Review Due","Current")))</f>
        <v/>
      </c>
      <c r="P711" s="84">
        <f>IF(A711="","",IF(COUNTIFS('AFA Rates'!$A$5:$A$1004,A711,'AFA Rates'!$O$5:$O$1004,"&lt;&gt;Expired")&gt;0,"Yes",IF(COUNTIF('AFA Rates'!$A$5:$A$1004,A711)&gt;0,"Expired only","No")))</f>
        <v/>
      </c>
      <c r="Q711" s="84">
        <f>IF(A711="","",COUNTIFS('AFA Rates'!$A$5:$A$1004,A711,'AFA Rates'!$O$5:$O$1004,"&lt;&gt;Expired"))</f>
        <v/>
      </c>
      <c r="R711" s="66" t="n"/>
      <c r="S711" s="64" t="n"/>
      <c r="T711" s="64" t="n"/>
      <c r="U711">
        <f>IF(AND(A711&lt;&gt;"",B711="Paused"),COUNTIFS($A$5:A711,"&lt;&gt;",$B$5:B711,"Paused"),"")</f>
        <v/>
      </c>
      <c r="V711">
        <f>IF(P711="Yes",COUNTIF($P$5:P711,"Yes"),"")</f>
        <v/>
      </c>
      <c r="W711">
        <f>IF(A711="","",COUNTIF($A$5:$A$1004,"&lt;"&amp;A711)+COUNTIF($A$5:A711,A711))</f>
        <v/>
      </c>
      <c r="X711">
        <f>","&amp;SUBSTITUTE(SUBSTITUTE(SUBSTITUTE(UPPER(C711)," ",""),";",","),"/",",")&amp;","</f>
        <v/>
      </c>
      <c r="Y711">
        <f>IF(AND(A711&lt;&gt;"",B711="Active",'State Search'!$C$5&lt;&gt;"",OR(X711=",ALL,",ISNUMBER(SEARCH(","&amp;'State Search'!$C$5&amp;",",X711)))),W711,"")</f>
        <v/>
      </c>
    </row>
    <row r="712">
      <c r="A712" s="64" t="n"/>
      <c r="B712" s="65" t="n"/>
      <c r="C712" s="64" t="n"/>
      <c r="D712" s="66" t="n"/>
      <c r="E712" s="66" t="n"/>
      <c r="F712" s="67" t="n"/>
      <c r="G712" s="67" t="n"/>
      <c r="H712" s="67" t="n"/>
      <c r="I712" s="67" t="n"/>
      <c r="J712" s="67" t="n"/>
      <c r="K712" s="67" t="n"/>
      <c r="L712" s="67" t="n"/>
      <c r="M712" s="67" t="n"/>
      <c r="N712" s="65" t="n"/>
      <c r="O712" s="84">
        <f>IF(A712="","",IF(E712="","No date",IF(TODAY()&gt;=EDATE(E712,Review_Months),"Review Due","Current")))</f>
        <v/>
      </c>
      <c r="P712" s="84">
        <f>IF(A712="","",IF(COUNTIFS('AFA Rates'!$A$5:$A$1004,A712,'AFA Rates'!$O$5:$O$1004,"&lt;&gt;Expired")&gt;0,"Yes",IF(COUNTIF('AFA Rates'!$A$5:$A$1004,A712)&gt;0,"Expired only","No")))</f>
        <v/>
      </c>
      <c r="Q712" s="84">
        <f>IF(A712="","",COUNTIFS('AFA Rates'!$A$5:$A$1004,A712,'AFA Rates'!$O$5:$O$1004,"&lt;&gt;Expired"))</f>
        <v/>
      </c>
      <c r="R712" s="66" t="n"/>
      <c r="S712" s="64" t="n"/>
      <c r="T712" s="64" t="n"/>
      <c r="U712">
        <f>IF(AND(A712&lt;&gt;"",B712="Paused"),COUNTIFS($A$5:A712,"&lt;&gt;",$B$5:B712,"Paused"),"")</f>
        <v/>
      </c>
      <c r="V712">
        <f>IF(P712="Yes",COUNTIF($P$5:P712,"Yes"),"")</f>
        <v/>
      </c>
      <c r="W712">
        <f>IF(A712="","",COUNTIF($A$5:$A$1004,"&lt;"&amp;A712)+COUNTIF($A$5:A712,A712))</f>
        <v/>
      </c>
      <c r="X712">
        <f>","&amp;SUBSTITUTE(SUBSTITUTE(SUBSTITUTE(UPPER(C712)," ",""),";",","),"/",",")&amp;","</f>
        <v/>
      </c>
      <c r="Y712">
        <f>IF(AND(A712&lt;&gt;"",B712="Active",'State Search'!$C$5&lt;&gt;"",OR(X712=",ALL,",ISNUMBER(SEARCH(","&amp;'State Search'!$C$5&amp;",",X712)))),W712,"")</f>
        <v/>
      </c>
    </row>
    <row r="713">
      <c r="A713" s="64" t="n"/>
      <c r="B713" s="65" t="n"/>
      <c r="C713" s="64" t="n"/>
      <c r="D713" s="66" t="n"/>
      <c r="E713" s="66" t="n"/>
      <c r="F713" s="67" t="n"/>
      <c r="G713" s="67" t="n"/>
      <c r="H713" s="67" t="n"/>
      <c r="I713" s="67" t="n"/>
      <c r="J713" s="67" t="n"/>
      <c r="K713" s="67" t="n"/>
      <c r="L713" s="67" t="n"/>
      <c r="M713" s="67" t="n"/>
      <c r="N713" s="65" t="n"/>
      <c r="O713" s="84">
        <f>IF(A713="","",IF(E713="","No date",IF(TODAY()&gt;=EDATE(E713,Review_Months),"Review Due","Current")))</f>
        <v/>
      </c>
      <c r="P713" s="84">
        <f>IF(A713="","",IF(COUNTIFS('AFA Rates'!$A$5:$A$1004,A713,'AFA Rates'!$O$5:$O$1004,"&lt;&gt;Expired")&gt;0,"Yes",IF(COUNTIF('AFA Rates'!$A$5:$A$1004,A713)&gt;0,"Expired only","No")))</f>
        <v/>
      </c>
      <c r="Q713" s="84">
        <f>IF(A713="","",COUNTIFS('AFA Rates'!$A$5:$A$1004,A713,'AFA Rates'!$O$5:$O$1004,"&lt;&gt;Expired"))</f>
        <v/>
      </c>
      <c r="R713" s="66" t="n"/>
      <c r="S713" s="64" t="n"/>
      <c r="T713" s="64" t="n"/>
      <c r="U713">
        <f>IF(AND(A713&lt;&gt;"",B713="Paused"),COUNTIFS($A$5:A713,"&lt;&gt;",$B$5:B713,"Paused"),"")</f>
        <v/>
      </c>
      <c r="V713">
        <f>IF(P713="Yes",COUNTIF($P$5:P713,"Yes"),"")</f>
        <v/>
      </c>
      <c r="W713">
        <f>IF(A713="","",COUNTIF($A$5:$A$1004,"&lt;"&amp;A713)+COUNTIF($A$5:A713,A713))</f>
        <v/>
      </c>
      <c r="X713">
        <f>","&amp;SUBSTITUTE(SUBSTITUTE(SUBSTITUTE(UPPER(C713)," ",""),";",","),"/",",")&amp;","</f>
        <v/>
      </c>
      <c r="Y713">
        <f>IF(AND(A713&lt;&gt;"",B713="Active",'State Search'!$C$5&lt;&gt;"",OR(X713=",ALL,",ISNUMBER(SEARCH(","&amp;'State Search'!$C$5&amp;",",X713)))),W713,"")</f>
        <v/>
      </c>
    </row>
    <row r="714">
      <c r="A714" s="64" t="n"/>
      <c r="B714" s="65" t="n"/>
      <c r="C714" s="64" t="n"/>
      <c r="D714" s="66" t="n"/>
      <c r="E714" s="66" t="n"/>
      <c r="F714" s="67" t="n"/>
      <c r="G714" s="67" t="n"/>
      <c r="H714" s="67" t="n"/>
      <c r="I714" s="67" t="n"/>
      <c r="J714" s="67" t="n"/>
      <c r="K714" s="67" t="n"/>
      <c r="L714" s="67" t="n"/>
      <c r="M714" s="67" t="n"/>
      <c r="N714" s="65" t="n"/>
      <c r="O714" s="84">
        <f>IF(A714="","",IF(E714="","No date",IF(TODAY()&gt;=EDATE(E714,Review_Months),"Review Due","Current")))</f>
        <v/>
      </c>
      <c r="P714" s="84">
        <f>IF(A714="","",IF(COUNTIFS('AFA Rates'!$A$5:$A$1004,A714,'AFA Rates'!$O$5:$O$1004,"&lt;&gt;Expired")&gt;0,"Yes",IF(COUNTIF('AFA Rates'!$A$5:$A$1004,A714)&gt;0,"Expired only","No")))</f>
        <v/>
      </c>
      <c r="Q714" s="84">
        <f>IF(A714="","",COUNTIFS('AFA Rates'!$A$5:$A$1004,A714,'AFA Rates'!$O$5:$O$1004,"&lt;&gt;Expired"))</f>
        <v/>
      </c>
      <c r="R714" s="66" t="n"/>
      <c r="S714" s="64" t="n"/>
      <c r="T714" s="64" t="n"/>
      <c r="U714">
        <f>IF(AND(A714&lt;&gt;"",B714="Paused"),COUNTIFS($A$5:A714,"&lt;&gt;",$B$5:B714,"Paused"),"")</f>
        <v/>
      </c>
      <c r="V714">
        <f>IF(P714="Yes",COUNTIF($P$5:P714,"Yes"),"")</f>
        <v/>
      </c>
      <c r="W714">
        <f>IF(A714="","",COUNTIF($A$5:$A$1004,"&lt;"&amp;A714)+COUNTIF($A$5:A714,A714))</f>
        <v/>
      </c>
      <c r="X714">
        <f>","&amp;SUBSTITUTE(SUBSTITUTE(SUBSTITUTE(UPPER(C714)," ",""),";",","),"/",",")&amp;","</f>
        <v/>
      </c>
      <c r="Y714">
        <f>IF(AND(A714&lt;&gt;"",B714="Active",'State Search'!$C$5&lt;&gt;"",OR(X714=",ALL,",ISNUMBER(SEARCH(","&amp;'State Search'!$C$5&amp;",",X714)))),W714,"")</f>
        <v/>
      </c>
    </row>
    <row r="715">
      <c r="A715" s="64" t="n"/>
      <c r="B715" s="65" t="n"/>
      <c r="C715" s="64" t="n"/>
      <c r="D715" s="66" t="n"/>
      <c r="E715" s="66" t="n"/>
      <c r="F715" s="67" t="n"/>
      <c r="G715" s="67" t="n"/>
      <c r="H715" s="67" t="n"/>
      <c r="I715" s="67" t="n"/>
      <c r="J715" s="67" t="n"/>
      <c r="K715" s="67" t="n"/>
      <c r="L715" s="67" t="n"/>
      <c r="M715" s="67" t="n"/>
      <c r="N715" s="65" t="n"/>
      <c r="O715" s="84">
        <f>IF(A715="","",IF(E715="","No date",IF(TODAY()&gt;=EDATE(E715,Review_Months),"Review Due","Current")))</f>
        <v/>
      </c>
      <c r="P715" s="84">
        <f>IF(A715="","",IF(COUNTIFS('AFA Rates'!$A$5:$A$1004,A715,'AFA Rates'!$O$5:$O$1004,"&lt;&gt;Expired")&gt;0,"Yes",IF(COUNTIF('AFA Rates'!$A$5:$A$1004,A715)&gt;0,"Expired only","No")))</f>
        <v/>
      </c>
      <c r="Q715" s="84">
        <f>IF(A715="","",COUNTIFS('AFA Rates'!$A$5:$A$1004,A715,'AFA Rates'!$O$5:$O$1004,"&lt;&gt;Expired"))</f>
        <v/>
      </c>
      <c r="R715" s="66" t="n"/>
      <c r="S715" s="64" t="n"/>
      <c r="T715" s="64" t="n"/>
      <c r="U715">
        <f>IF(AND(A715&lt;&gt;"",B715="Paused"),COUNTIFS($A$5:A715,"&lt;&gt;",$B$5:B715,"Paused"),"")</f>
        <v/>
      </c>
      <c r="V715">
        <f>IF(P715="Yes",COUNTIF($P$5:P715,"Yes"),"")</f>
        <v/>
      </c>
      <c r="W715">
        <f>IF(A715="","",COUNTIF($A$5:$A$1004,"&lt;"&amp;A715)+COUNTIF($A$5:A715,A715))</f>
        <v/>
      </c>
      <c r="X715">
        <f>","&amp;SUBSTITUTE(SUBSTITUTE(SUBSTITUTE(UPPER(C715)," ",""),";",","),"/",",")&amp;","</f>
        <v/>
      </c>
      <c r="Y715">
        <f>IF(AND(A715&lt;&gt;"",B715="Active",'State Search'!$C$5&lt;&gt;"",OR(X715=",ALL,",ISNUMBER(SEARCH(","&amp;'State Search'!$C$5&amp;",",X715)))),W715,"")</f>
        <v/>
      </c>
    </row>
    <row r="716">
      <c r="A716" s="64" t="n"/>
      <c r="B716" s="65" t="n"/>
      <c r="C716" s="64" t="n"/>
      <c r="D716" s="66" t="n"/>
      <c r="E716" s="66" t="n"/>
      <c r="F716" s="67" t="n"/>
      <c r="G716" s="67" t="n"/>
      <c r="H716" s="67" t="n"/>
      <c r="I716" s="67" t="n"/>
      <c r="J716" s="67" t="n"/>
      <c r="K716" s="67" t="n"/>
      <c r="L716" s="67" t="n"/>
      <c r="M716" s="67" t="n"/>
      <c r="N716" s="65" t="n"/>
      <c r="O716" s="84">
        <f>IF(A716="","",IF(E716="","No date",IF(TODAY()&gt;=EDATE(E716,Review_Months),"Review Due","Current")))</f>
        <v/>
      </c>
      <c r="P716" s="84">
        <f>IF(A716="","",IF(COUNTIFS('AFA Rates'!$A$5:$A$1004,A716,'AFA Rates'!$O$5:$O$1004,"&lt;&gt;Expired")&gt;0,"Yes",IF(COUNTIF('AFA Rates'!$A$5:$A$1004,A716)&gt;0,"Expired only","No")))</f>
        <v/>
      </c>
      <c r="Q716" s="84">
        <f>IF(A716="","",COUNTIFS('AFA Rates'!$A$5:$A$1004,A716,'AFA Rates'!$O$5:$O$1004,"&lt;&gt;Expired"))</f>
        <v/>
      </c>
      <c r="R716" s="66" t="n"/>
      <c r="S716" s="64" t="n"/>
      <c r="T716" s="64" t="n"/>
      <c r="U716">
        <f>IF(AND(A716&lt;&gt;"",B716="Paused"),COUNTIFS($A$5:A716,"&lt;&gt;",$B$5:B716,"Paused"),"")</f>
        <v/>
      </c>
      <c r="V716">
        <f>IF(P716="Yes",COUNTIF($P$5:P716,"Yes"),"")</f>
        <v/>
      </c>
      <c r="W716">
        <f>IF(A716="","",COUNTIF($A$5:$A$1004,"&lt;"&amp;A716)+COUNTIF($A$5:A716,A716))</f>
        <v/>
      </c>
      <c r="X716">
        <f>","&amp;SUBSTITUTE(SUBSTITUTE(SUBSTITUTE(UPPER(C716)," ",""),";",","),"/",",")&amp;","</f>
        <v/>
      </c>
      <c r="Y716">
        <f>IF(AND(A716&lt;&gt;"",B716="Active",'State Search'!$C$5&lt;&gt;"",OR(X716=",ALL,",ISNUMBER(SEARCH(","&amp;'State Search'!$C$5&amp;",",X716)))),W716,"")</f>
        <v/>
      </c>
    </row>
    <row r="717">
      <c r="A717" s="64" t="n"/>
      <c r="B717" s="65" t="n"/>
      <c r="C717" s="64" t="n"/>
      <c r="D717" s="66" t="n"/>
      <c r="E717" s="66" t="n"/>
      <c r="F717" s="67" t="n"/>
      <c r="G717" s="67" t="n"/>
      <c r="H717" s="67" t="n"/>
      <c r="I717" s="67" t="n"/>
      <c r="J717" s="67" t="n"/>
      <c r="K717" s="67" t="n"/>
      <c r="L717" s="67" t="n"/>
      <c r="M717" s="67" t="n"/>
      <c r="N717" s="65" t="n"/>
      <c r="O717" s="84">
        <f>IF(A717="","",IF(E717="","No date",IF(TODAY()&gt;=EDATE(E717,Review_Months),"Review Due","Current")))</f>
        <v/>
      </c>
      <c r="P717" s="84">
        <f>IF(A717="","",IF(COUNTIFS('AFA Rates'!$A$5:$A$1004,A717,'AFA Rates'!$O$5:$O$1004,"&lt;&gt;Expired")&gt;0,"Yes",IF(COUNTIF('AFA Rates'!$A$5:$A$1004,A717)&gt;0,"Expired only","No")))</f>
        <v/>
      </c>
      <c r="Q717" s="84">
        <f>IF(A717="","",COUNTIFS('AFA Rates'!$A$5:$A$1004,A717,'AFA Rates'!$O$5:$O$1004,"&lt;&gt;Expired"))</f>
        <v/>
      </c>
      <c r="R717" s="66" t="n"/>
      <c r="S717" s="64" t="n"/>
      <c r="T717" s="64" t="n"/>
      <c r="U717">
        <f>IF(AND(A717&lt;&gt;"",B717="Paused"),COUNTIFS($A$5:A717,"&lt;&gt;",$B$5:B717,"Paused"),"")</f>
        <v/>
      </c>
      <c r="V717">
        <f>IF(P717="Yes",COUNTIF($P$5:P717,"Yes"),"")</f>
        <v/>
      </c>
      <c r="W717">
        <f>IF(A717="","",COUNTIF($A$5:$A$1004,"&lt;"&amp;A717)+COUNTIF($A$5:A717,A717))</f>
        <v/>
      </c>
      <c r="X717">
        <f>","&amp;SUBSTITUTE(SUBSTITUTE(SUBSTITUTE(UPPER(C717)," ",""),";",","),"/",",")&amp;","</f>
        <v/>
      </c>
      <c r="Y717">
        <f>IF(AND(A717&lt;&gt;"",B717="Active",'State Search'!$C$5&lt;&gt;"",OR(X717=",ALL,",ISNUMBER(SEARCH(","&amp;'State Search'!$C$5&amp;",",X717)))),W717,"")</f>
        <v/>
      </c>
    </row>
    <row r="718">
      <c r="A718" s="64" t="n"/>
      <c r="B718" s="65" t="n"/>
      <c r="C718" s="64" t="n"/>
      <c r="D718" s="66" t="n"/>
      <c r="E718" s="66" t="n"/>
      <c r="F718" s="67" t="n"/>
      <c r="G718" s="67" t="n"/>
      <c r="H718" s="67" t="n"/>
      <c r="I718" s="67" t="n"/>
      <c r="J718" s="67" t="n"/>
      <c r="K718" s="67" t="n"/>
      <c r="L718" s="67" t="n"/>
      <c r="M718" s="67" t="n"/>
      <c r="N718" s="65" t="n"/>
      <c r="O718" s="84">
        <f>IF(A718="","",IF(E718="","No date",IF(TODAY()&gt;=EDATE(E718,Review_Months),"Review Due","Current")))</f>
        <v/>
      </c>
      <c r="P718" s="84">
        <f>IF(A718="","",IF(COUNTIFS('AFA Rates'!$A$5:$A$1004,A718,'AFA Rates'!$O$5:$O$1004,"&lt;&gt;Expired")&gt;0,"Yes",IF(COUNTIF('AFA Rates'!$A$5:$A$1004,A718)&gt;0,"Expired only","No")))</f>
        <v/>
      </c>
      <c r="Q718" s="84">
        <f>IF(A718="","",COUNTIFS('AFA Rates'!$A$5:$A$1004,A718,'AFA Rates'!$O$5:$O$1004,"&lt;&gt;Expired"))</f>
        <v/>
      </c>
      <c r="R718" s="66" t="n"/>
      <c r="S718" s="64" t="n"/>
      <c r="T718" s="64" t="n"/>
      <c r="U718">
        <f>IF(AND(A718&lt;&gt;"",B718="Paused"),COUNTIFS($A$5:A718,"&lt;&gt;",$B$5:B718,"Paused"),"")</f>
        <v/>
      </c>
      <c r="V718">
        <f>IF(P718="Yes",COUNTIF($P$5:P718,"Yes"),"")</f>
        <v/>
      </c>
      <c r="W718">
        <f>IF(A718="","",COUNTIF($A$5:$A$1004,"&lt;"&amp;A718)+COUNTIF($A$5:A718,A718))</f>
        <v/>
      </c>
      <c r="X718">
        <f>","&amp;SUBSTITUTE(SUBSTITUTE(SUBSTITUTE(UPPER(C718)," ",""),";",","),"/",",")&amp;","</f>
        <v/>
      </c>
      <c r="Y718">
        <f>IF(AND(A718&lt;&gt;"",B718="Active",'State Search'!$C$5&lt;&gt;"",OR(X718=",ALL,",ISNUMBER(SEARCH(","&amp;'State Search'!$C$5&amp;",",X718)))),W718,"")</f>
        <v/>
      </c>
    </row>
    <row r="719">
      <c r="A719" s="64" t="n"/>
      <c r="B719" s="65" t="n"/>
      <c r="C719" s="64" t="n"/>
      <c r="D719" s="66" t="n"/>
      <c r="E719" s="66" t="n"/>
      <c r="F719" s="67" t="n"/>
      <c r="G719" s="67" t="n"/>
      <c r="H719" s="67" t="n"/>
      <c r="I719" s="67" t="n"/>
      <c r="J719" s="67" t="n"/>
      <c r="K719" s="67" t="n"/>
      <c r="L719" s="67" t="n"/>
      <c r="M719" s="67" t="n"/>
      <c r="N719" s="65" t="n"/>
      <c r="O719" s="84">
        <f>IF(A719="","",IF(E719="","No date",IF(TODAY()&gt;=EDATE(E719,Review_Months),"Review Due","Current")))</f>
        <v/>
      </c>
      <c r="P719" s="84">
        <f>IF(A719="","",IF(COUNTIFS('AFA Rates'!$A$5:$A$1004,A719,'AFA Rates'!$O$5:$O$1004,"&lt;&gt;Expired")&gt;0,"Yes",IF(COUNTIF('AFA Rates'!$A$5:$A$1004,A719)&gt;0,"Expired only","No")))</f>
        <v/>
      </c>
      <c r="Q719" s="84">
        <f>IF(A719="","",COUNTIFS('AFA Rates'!$A$5:$A$1004,A719,'AFA Rates'!$O$5:$O$1004,"&lt;&gt;Expired"))</f>
        <v/>
      </c>
      <c r="R719" s="66" t="n"/>
      <c r="S719" s="64" t="n"/>
      <c r="T719" s="64" t="n"/>
      <c r="U719">
        <f>IF(AND(A719&lt;&gt;"",B719="Paused"),COUNTIFS($A$5:A719,"&lt;&gt;",$B$5:B719,"Paused"),"")</f>
        <v/>
      </c>
      <c r="V719">
        <f>IF(P719="Yes",COUNTIF($P$5:P719,"Yes"),"")</f>
        <v/>
      </c>
      <c r="W719">
        <f>IF(A719="","",COUNTIF($A$5:$A$1004,"&lt;"&amp;A719)+COUNTIF($A$5:A719,A719))</f>
        <v/>
      </c>
      <c r="X719">
        <f>","&amp;SUBSTITUTE(SUBSTITUTE(SUBSTITUTE(UPPER(C719)," ",""),";",","),"/",",")&amp;","</f>
        <v/>
      </c>
      <c r="Y719">
        <f>IF(AND(A719&lt;&gt;"",B719="Active",'State Search'!$C$5&lt;&gt;"",OR(X719=",ALL,",ISNUMBER(SEARCH(","&amp;'State Search'!$C$5&amp;",",X719)))),W719,"")</f>
        <v/>
      </c>
    </row>
    <row r="720">
      <c r="A720" s="64" t="n"/>
      <c r="B720" s="65" t="n"/>
      <c r="C720" s="64" t="n"/>
      <c r="D720" s="66" t="n"/>
      <c r="E720" s="66" t="n"/>
      <c r="F720" s="67" t="n"/>
      <c r="G720" s="67" t="n"/>
      <c r="H720" s="67" t="n"/>
      <c r="I720" s="67" t="n"/>
      <c r="J720" s="67" t="n"/>
      <c r="K720" s="67" t="n"/>
      <c r="L720" s="67" t="n"/>
      <c r="M720" s="67" t="n"/>
      <c r="N720" s="65" t="n"/>
      <c r="O720" s="84">
        <f>IF(A720="","",IF(E720="","No date",IF(TODAY()&gt;=EDATE(E720,Review_Months),"Review Due","Current")))</f>
        <v/>
      </c>
      <c r="P720" s="84">
        <f>IF(A720="","",IF(COUNTIFS('AFA Rates'!$A$5:$A$1004,A720,'AFA Rates'!$O$5:$O$1004,"&lt;&gt;Expired")&gt;0,"Yes",IF(COUNTIF('AFA Rates'!$A$5:$A$1004,A720)&gt;0,"Expired only","No")))</f>
        <v/>
      </c>
      <c r="Q720" s="84">
        <f>IF(A720="","",COUNTIFS('AFA Rates'!$A$5:$A$1004,A720,'AFA Rates'!$O$5:$O$1004,"&lt;&gt;Expired"))</f>
        <v/>
      </c>
      <c r="R720" s="66" t="n"/>
      <c r="S720" s="64" t="n"/>
      <c r="T720" s="64" t="n"/>
      <c r="U720">
        <f>IF(AND(A720&lt;&gt;"",B720="Paused"),COUNTIFS($A$5:A720,"&lt;&gt;",$B$5:B720,"Paused"),"")</f>
        <v/>
      </c>
      <c r="V720">
        <f>IF(P720="Yes",COUNTIF($P$5:P720,"Yes"),"")</f>
        <v/>
      </c>
      <c r="W720">
        <f>IF(A720="","",COUNTIF($A$5:$A$1004,"&lt;"&amp;A720)+COUNTIF($A$5:A720,A720))</f>
        <v/>
      </c>
      <c r="X720">
        <f>","&amp;SUBSTITUTE(SUBSTITUTE(SUBSTITUTE(UPPER(C720)," ",""),";",","),"/",",")&amp;","</f>
        <v/>
      </c>
      <c r="Y720">
        <f>IF(AND(A720&lt;&gt;"",B720="Active",'State Search'!$C$5&lt;&gt;"",OR(X720=",ALL,",ISNUMBER(SEARCH(","&amp;'State Search'!$C$5&amp;",",X720)))),W720,"")</f>
        <v/>
      </c>
    </row>
    <row r="721">
      <c r="A721" s="64" t="n"/>
      <c r="B721" s="65" t="n"/>
      <c r="C721" s="64" t="n"/>
      <c r="D721" s="66" t="n"/>
      <c r="E721" s="66" t="n"/>
      <c r="F721" s="67" t="n"/>
      <c r="G721" s="67" t="n"/>
      <c r="H721" s="67" t="n"/>
      <c r="I721" s="67" t="n"/>
      <c r="J721" s="67" t="n"/>
      <c r="K721" s="67" t="n"/>
      <c r="L721" s="67" t="n"/>
      <c r="M721" s="67" t="n"/>
      <c r="N721" s="65" t="n"/>
      <c r="O721" s="84">
        <f>IF(A721="","",IF(E721="","No date",IF(TODAY()&gt;=EDATE(E721,Review_Months),"Review Due","Current")))</f>
        <v/>
      </c>
      <c r="P721" s="84">
        <f>IF(A721="","",IF(COUNTIFS('AFA Rates'!$A$5:$A$1004,A721,'AFA Rates'!$O$5:$O$1004,"&lt;&gt;Expired")&gt;0,"Yes",IF(COUNTIF('AFA Rates'!$A$5:$A$1004,A721)&gt;0,"Expired only","No")))</f>
        <v/>
      </c>
      <c r="Q721" s="84">
        <f>IF(A721="","",COUNTIFS('AFA Rates'!$A$5:$A$1004,A721,'AFA Rates'!$O$5:$O$1004,"&lt;&gt;Expired"))</f>
        <v/>
      </c>
      <c r="R721" s="66" t="n"/>
      <c r="S721" s="64" t="n"/>
      <c r="T721" s="64" t="n"/>
      <c r="U721">
        <f>IF(AND(A721&lt;&gt;"",B721="Paused"),COUNTIFS($A$5:A721,"&lt;&gt;",$B$5:B721,"Paused"),"")</f>
        <v/>
      </c>
      <c r="V721">
        <f>IF(P721="Yes",COUNTIF($P$5:P721,"Yes"),"")</f>
        <v/>
      </c>
      <c r="W721">
        <f>IF(A721="","",COUNTIF($A$5:$A$1004,"&lt;"&amp;A721)+COUNTIF($A$5:A721,A721))</f>
        <v/>
      </c>
      <c r="X721">
        <f>","&amp;SUBSTITUTE(SUBSTITUTE(SUBSTITUTE(UPPER(C721)," ",""),";",","),"/",",")&amp;","</f>
        <v/>
      </c>
      <c r="Y721">
        <f>IF(AND(A721&lt;&gt;"",B721="Active",'State Search'!$C$5&lt;&gt;"",OR(X721=",ALL,",ISNUMBER(SEARCH(","&amp;'State Search'!$C$5&amp;",",X721)))),W721,"")</f>
        <v/>
      </c>
    </row>
    <row r="722">
      <c r="A722" s="64" t="n"/>
      <c r="B722" s="65" t="n"/>
      <c r="C722" s="64" t="n"/>
      <c r="D722" s="66" t="n"/>
      <c r="E722" s="66" t="n"/>
      <c r="F722" s="67" t="n"/>
      <c r="G722" s="67" t="n"/>
      <c r="H722" s="67" t="n"/>
      <c r="I722" s="67" t="n"/>
      <c r="J722" s="67" t="n"/>
      <c r="K722" s="67" t="n"/>
      <c r="L722" s="67" t="n"/>
      <c r="M722" s="67" t="n"/>
      <c r="N722" s="65" t="n"/>
      <c r="O722" s="84">
        <f>IF(A722="","",IF(E722="","No date",IF(TODAY()&gt;=EDATE(E722,Review_Months),"Review Due","Current")))</f>
        <v/>
      </c>
      <c r="P722" s="84">
        <f>IF(A722="","",IF(COUNTIFS('AFA Rates'!$A$5:$A$1004,A722,'AFA Rates'!$O$5:$O$1004,"&lt;&gt;Expired")&gt;0,"Yes",IF(COUNTIF('AFA Rates'!$A$5:$A$1004,A722)&gt;0,"Expired only","No")))</f>
        <v/>
      </c>
      <c r="Q722" s="84">
        <f>IF(A722="","",COUNTIFS('AFA Rates'!$A$5:$A$1004,A722,'AFA Rates'!$O$5:$O$1004,"&lt;&gt;Expired"))</f>
        <v/>
      </c>
      <c r="R722" s="66" t="n"/>
      <c r="S722" s="64" t="n"/>
      <c r="T722" s="64" t="n"/>
      <c r="U722">
        <f>IF(AND(A722&lt;&gt;"",B722="Paused"),COUNTIFS($A$5:A722,"&lt;&gt;",$B$5:B722,"Paused"),"")</f>
        <v/>
      </c>
      <c r="V722">
        <f>IF(P722="Yes",COUNTIF($P$5:P722,"Yes"),"")</f>
        <v/>
      </c>
      <c r="W722">
        <f>IF(A722="","",COUNTIF($A$5:$A$1004,"&lt;"&amp;A722)+COUNTIF($A$5:A722,A722))</f>
        <v/>
      </c>
      <c r="X722">
        <f>","&amp;SUBSTITUTE(SUBSTITUTE(SUBSTITUTE(UPPER(C722)," ",""),";",","),"/",",")&amp;","</f>
        <v/>
      </c>
      <c r="Y722">
        <f>IF(AND(A722&lt;&gt;"",B722="Active",'State Search'!$C$5&lt;&gt;"",OR(X722=",ALL,",ISNUMBER(SEARCH(","&amp;'State Search'!$C$5&amp;",",X722)))),W722,"")</f>
        <v/>
      </c>
    </row>
    <row r="723">
      <c r="A723" s="64" t="n"/>
      <c r="B723" s="65" t="n"/>
      <c r="C723" s="64" t="n"/>
      <c r="D723" s="66" t="n"/>
      <c r="E723" s="66" t="n"/>
      <c r="F723" s="67" t="n"/>
      <c r="G723" s="67" t="n"/>
      <c r="H723" s="67" t="n"/>
      <c r="I723" s="67" t="n"/>
      <c r="J723" s="67" t="n"/>
      <c r="K723" s="67" t="n"/>
      <c r="L723" s="67" t="n"/>
      <c r="M723" s="67" t="n"/>
      <c r="N723" s="65" t="n"/>
      <c r="O723" s="84">
        <f>IF(A723="","",IF(E723="","No date",IF(TODAY()&gt;=EDATE(E723,Review_Months),"Review Due","Current")))</f>
        <v/>
      </c>
      <c r="P723" s="84">
        <f>IF(A723="","",IF(COUNTIFS('AFA Rates'!$A$5:$A$1004,A723,'AFA Rates'!$O$5:$O$1004,"&lt;&gt;Expired")&gt;0,"Yes",IF(COUNTIF('AFA Rates'!$A$5:$A$1004,A723)&gt;0,"Expired only","No")))</f>
        <v/>
      </c>
      <c r="Q723" s="84">
        <f>IF(A723="","",COUNTIFS('AFA Rates'!$A$5:$A$1004,A723,'AFA Rates'!$O$5:$O$1004,"&lt;&gt;Expired"))</f>
        <v/>
      </c>
      <c r="R723" s="66" t="n"/>
      <c r="S723" s="64" t="n"/>
      <c r="T723" s="64" t="n"/>
      <c r="U723">
        <f>IF(AND(A723&lt;&gt;"",B723="Paused"),COUNTIFS($A$5:A723,"&lt;&gt;",$B$5:B723,"Paused"),"")</f>
        <v/>
      </c>
      <c r="V723">
        <f>IF(P723="Yes",COUNTIF($P$5:P723,"Yes"),"")</f>
        <v/>
      </c>
      <c r="W723">
        <f>IF(A723="","",COUNTIF($A$5:$A$1004,"&lt;"&amp;A723)+COUNTIF($A$5:A723,A723))</f>
        <v/>
      </c>
      <c r="X723">
        <f>","&amp;SUBSTITUTE(SUBSTITUTE(SUBSTITUTE(UPPER(C723)," ",""),";",","),"/",",")&amp;","</f>
        <v/>
      </c>
      <c r="Y723">
        <f>IF(AND(A723&lt;&gt;"",B723="Active",'State Search'!$C$5&lt;&gt;"",OR(X723=",ALL,",ISNUMBER(SEARCH(","&amp;'State Search'!$C$5&amp;",",X723)))),W723,"")</f>
        <v/>
      </c>
    </row>
    <row r="724">
      <c r="A724" s="64" t="n"/>
      <c r="B724" s="65" t="n"/>
      <c r="C724" s="64" t="n"/>
      <c r="D724" s="66" t="n"/>
      <c r="E724" s="66" t="n"/>
      <c r="F724" s="67" t="n"/>
      <c r="G724" s="67" t="n"/>
      <c r="H724" s="67" t="n"/>
      <c r="I724" s="67" t="n"/>
      <c r="J724" s="67" t="n"/>
      <c r="K724" s="67" t="n"/>
      <c r="L724" s="67" t="n"/>
      <c r="M724" s="67" t="n"/>
      <c r="N724" s="65" t="n"/>
      <c r="O724" s="84">
        <f>IF(A724="","",IF(E724="","No date",IF(TODAY()&gt;=EDATE(E724,Review_Months),"Review Due","Current")))</f>
        <v/>
      </c>
      <c r="P724" s="84">
        <f>IF(A724="","",IF(COUNTIFS('AFA Rates'!$A$5:$A$1004,A724,'AFA Rates'!$O$5:$O$1004,"&lt;&gt;Expired")&gt;0,"Yes",IF(COUNTIF('AFA Rates'!$A$5:$A$1004,A724)&gt;0,"Expired only","No")))</f>
        <v/>
      </c>
      <c r="Q724" s="84">
        <f>IF(A724="","",COUNTIFS('AFA Rates'!$A$5:$A$1004,A724,'AFA Rates'!$O$5:$O$1004,"&lt;&gt;Expired"))</f>
        <v/>
      </c>
      <c r="R724" s="66" t="n"/>
      <c r="S724" s="64" t="n"/>
      <c r="T724" s="64" t="n"/>
      <c r="U724">
        <f>IF(AND(A724&lt;&gt;"",B724="Paused"),COUNTIFS($A$5:A724,"&lt;&gt;",$B$5:B724,"Paused"),"")</f>
        <v/>
      </c>
      <c r="V724">
        <f>IF(P724="Yes",COUNTIF($P$5:P724,"Yes"),"")</f>
        <v/>
      </c>
      <c r="W724">
        <f>IF(A724="","",COUNTIF($A$5:$A$1004,"&lt;"&amp;A724)+COUNTIF($A$5:A724,A724))</f>
        <v/>
      </c>
      <c r="X724">
        <f>","&amp;SUBSTITUTE(SUBSTITUTE(SUBSTITUTE(UPPER(C724)," ",""),";",","),"/",",")&amp;","</f>
        <v/>
      </c>
      <c r="Y724">
        <f>IF(AND(A724&lt;&gt;"",B724="Active",'State Search'!$C$5&lt;&gt;"",OR(X724=",ALL,",ISNUMBER(SEARCH(","&amp;'State Search'!$C$5&amp;",",X724)))),W724,"")</f>
        <v/>
      </c>
    </row>
    <row r="725">
      <c r="A725" s="64" t="n"/>
      <c r="B725" s="65" t="n"/>
      <c r="C725" s="64" t="n"/>
      <c r="D725" s="66" t="n"/>
      <c r="E725" s="66" t="n"/>
      <c r="F725" s="67" t="n"/>
      <c r="G725" s="67" t="n"/>
      <c r="H725" s="67" t="n"/>
      <c r="I725" s="67" t="n"/>
      <c r="J725" s="67" t="n"/>
      <c r="K725" s="67" t="n"/>
      <c r="L725" s="67" t="n"/>
      <c r="M725" s="67" t="n"/>
      <c r="N725" s="65" t="n"/>
      <c r="O725" s="84">
        <f>IF(A725="","",IF(E725="","No date",IF(TODAY()&gt;=EDATE(E725,Review_Months),"Review Due","Current")))</f>
        <v/>
      </c>
      <c r="P725" s="84">
        <f>IF(A725="","",IF(COUNTIFS('AFA Rates'!$A$5:$A$1004,A725,'AFA Rates'!$O$5:$O$1004,"&lt;&gt;Expired")&gt;0,"Yes",IF(COUNTIF('AFA Rates'!$A$5:$A$1004,A725)&gt;0,"Expired only","No")))</f>
        <v/>
      </c>
      <c r="Q725" s="84">
        <f>IF(A725="","",COUNTIFS('AFA Rates'!$A$5:$A$1004,A725,'AFA Rates'!$O$5:$O$1004,"&lt;&gt;Expired"))</f>
        <v/>
      </c>
      <c r="R725" s="66" t="n"/>
      <c r="S725" s="64" t="n"/>
      <c r="T725" s="64" t="n"/>
      <c r="U725">
        <f>IF(AND(A725&lt;&gt;"",B725="Paused"),COUNTIFS($A$5:A725,"&lt;&gt;",$B$5:B725,"Paused"),"")</f>
        <v/>
      </c>
      <c r="V725">
        <f>IF(P725="Yes",COUNTIF($P$5:P725,"Yes"),"")</f>
        <v/>
      </c>
      <c r="W725">
        <f>IF(A725="","",COUNTIF($A$5:$A$1004,"&lt;"&amp;A725)+COUNTIF($A$5:A725,A725))</f>
        <v/>
      </c>
      <c r="X725">
        <f>","&amp;SUBSTITUTE(SUBSTITUTE(SUBSTITUTE(UPPER(C725)," ",""),";",","),"/",",")&amp;","</f>
        <v/>
      </c>
      <c r="Y725">
        <f>IF(AND(A725&lt;&gt;"",B725="Active",'State Search'!$C$5&lt;&gt;"",OR(X725=",ALL,",ISNUMBER(SEARCH(","&amp;'State Search'!$C$5&amp;",",X725)))),W725,"")</f>
        <v/>
      </c>
    </row>
    <row r="726">
      <c r="A726" s="64" t="n"/>
      <c r="B726" s="65" t="n"/>
      <c r="C726" s="64" t="n"/>
      <c r="D726" s="66" t="n"/>
      <c r="E726" s="66" t="n"/>
      <c r="F726" s="67" t="n"/>
      <c r="G726" s="67" t="n"/>
      <c r="H726" s="67" t="n"/>
      <c r="I726" s="67" t="n"/>
      <c r="J726" s="67" t="n"/>
      <c r="K726" s="67" t="n"/>
      <c r="L726" s="67" t="n"/>
      <c r="M726" s="67" t="n"/>
      <c r="N726" s="65" t="n"/>
      <c r="O726" s="84">
        <f>IF(A726="","",IF(E726="","No date",IF(TODAY()&gt;=EDATE(E726,Review_Months),"Review Due","Current")))</f>
        <v/>
      </c>
      <c r="P726" s="84">
        <f>IF(A726="","",IF(COUNTIFS('AFA Rates'!$A$5:$A$1004,A726,'AFA Rates'!$O$5:$O$1004,"&lt;&gt;Expired")&gt;0,"Yes",IF(COUNTIF('AFA Rates'!$A$5:$A$1004,A726)&gt;0,"Expired only","No")))</f>
        <v/>
      </c>
      <c r="Q726" s="84">
        <f>IF(A726="","",COUNTIFS('AFA Rates'!$A$5:$A$1004,A726,'AFA Rates'!$O$5:$O$1004,"&lt;&gt;Expired"))</f>
        <v/>
      </c>
      <c r="R726" s="66" t="n"/>
      <c r="S726" s="64" t="n"/>
      <c r="T726" s="64" t="n"/>
      <c r="U726">
        <f>IF(AND(A726&lt;&gt;"",B726="Paused"),COUNTIFS($A$5:A726,"&lt;&gt;",$B$5:B726,"Paused"),"")</f>
        <v/>
      </c>
      <c r="V726">
        <f>IF(P726="Yes",COUNTIF($P$5:P726,"Yes"),"")</f>
        <v/>
      </c>
      <c r="W726">
        <f>IF(A726="","",COUNTIF($A$5:$A$1004,"&lt;"&amp;A726)+COUNTIF($A$5:A726,A726))</f>
        <v/>
      </c>
      <c r="X726">
        <f>","&amp;SUBSTITUTE(SUBSTITUTE(SUBSTITUTE(UPPER(C726)," ",""),";",","),"/",",")&amp;","</f>
        <v/>
      </c>
      <c r="Y726">
        <f>IF(AND(A726&lt;&gt;"",B726="Active",'State Search'!$C$5&lt;&gt;"",OR(X726=",ALL,",ISNUMBER(SEARCH(","&amp;'State Search'!$C$5&amp;",",X726)))),W726,"")</f>
        <v/>
      </c>
    </row>
    <row r="727">
      <c r="A727" s="64" t="n"/>
      <c r="B727" s="65" t="n"/>
      <c r="C727" s="64" t="n"/>
      <c r="D727" s="66" t="n"/>
      <c r="E727" s="66" t="n"/>
      <c r="F727" s="67" t="n"/>
      <c r="G727" s="67" t="n"/>
      <c r="H727" s="67" t="n"/>
      <c r="I727" s="67" t="n"/>
      <c r="J727" s="67" t="n"/>
      <c r="K727" s="67" t="n"/>
      <c r="L727" s="67" t="n"/>
      <c r="M727" s="67" t="n"/>
      <c r="N727" s="65" t="n"/>
      <c r="O727" s="84">
        <f>IF(A727="","",IF(E727="","No date",IF(TODAY()&gt;=EDATE(E727,Review_Months),"Review Due","Current")))</f>
        <v/>
      </c>
      <c r="P727" s="84">
        <f>IF(A727="","",IF(COUNTIFS('AFA Rates'!$A$5:$A$1004,A727,'AFA Rates'!$O$5:$O$1004,"&lt;&gt;Expired")&gt;0,"Yes",IF(COUNTIF('AFA Rates'!$A$5:$A$1004,A727)&gt;0,"Expired only","No")))</f>
        <v/>
      </c>
      <c r="Q727" s="84">
        <f>IF(A727="","",COUNTIFS('AFA Rates'!$A$5:$A$1004,A727,'AFA Rates'!$O$5:$O$1004,"&lt;&gt;Expired"))</f>
        <v/>
      </c>
      <c r="R727" s="66" t="n"/>
      <c r="S727" s="64" t="n"/>
      <c r="T727" s="64" t="n"/>
      <c r="U727">
        <f>IF(AND(A727&lt;&gt;"",B727="Paused"),COUNTIFS($A$5:A727,"&lt;&gt;",$B$5:B727,"Paused"),"")</f>
        <v/>
      </c>
      <c r="V727">
        <f>IF(P727="Yes",COUNTIF($P$5:P727,"Yes"),"")</f>
        <v/>
      </c>
      <c r="W727">
        <f>IF(A727="","",COUNTIF($A$5:$A$1004,"&lt;"&amp;A727)+COUNTIF($A$5:A727,A727))</f>
        <v/>
      </c>
      <c r="X727">
        <f>","&amp;SUBSTITUTE(SUBSTITUTE(SUBSTITUTE(UPPER(C727)," ",""),";",","),"/",",")&amp;","</f>
        <v/>
      </c>
      <c r="Y727">
        <f>IF(AND(A727&lt;&gt;"",B727="Active",'State Search'!$C$5&lt;&gt;"",OR(X727=",ALL,",ISNUMBER(SEARCH(","&amp;'State Search'!$C$5&amp;",",X727)))),W727,"")</f>
        <v/>
      </c>
    </row>
    <row r="728">
      <c r="A728" s="64" t="n"/>
      <c r="B728" s="65" t="n"/>
      <c r="C728" s="64" t="n"/>
      <c r="D728" s="66" t="n"/>
      <c r="E728" s="66" t="n"/>
      <c r="F728" s="67" t="n"/>
      <c r="G728" s="67" t="n"/>
      <c r="H728" s="67" t="n"/>
      <c r="I728" s="67" t="n"/>
      <c r="J728" s="67" t="n"/>
      <c r="K728" s="67" t="n"/>
      <c r="L728" s="67" t="n"/>
      <c r="M728" s="67" t="n"/>
      <c r="N728" s="65" t="n"/>
      <c r="O728" s="84">
        <f>IF(A728="","",IF(E728="","No date",IF(TODAY()&gt;=EDATE(E728,Review_Months),"Review Due","Current")))</f>
        <v/>
      </c>
      <c r="P728" s="84">
        <f>IF(A728="","",IF(COUNTIFS('AFA Rates'!$A$5:$A$1004,A728,'AFA Rates'!$O$5:$O$1004,"&lt;&gt;Expired")&gt;0,"Yes",IF(COUNTIF('AFA Rates'!$A$5:$A$1004,A728)&gt;0,"Expired only","No")))</f>
        <v/>
      </c>
      <c r="Q728" s="84">
        <f>IF(A728="","",COUNTIFS('AFA Rates'!$A$5:$A$1004,A728,'AFA Rates'!$O$5:$O$1004,"&lt;&gt;Expired"))</f>
        <v/>
      </c>
      <c r="R728" s="66" t="n"/>
      <c r="S728" s="64" t="n"/>
      <c r="T728" s="64" t="n"/>
      <c r="U728">
        <f>IF(AND(A728&lt;&gt;"",B728="Paused"),COUNTIFS($A$5:A728,"&lt;&gt;",$B$5:B728,"Paused"),"")</f>
        <v/>
      </c>
      <c r="V728">
        <f>IF(P728="Yes",COUNTIF($P$5:P728,"Yes"),"")</f>
        <v/>
      </c>
      <c r="W728">
        <f>IF(A728="","",COUNTIF($A$5:$A$1004,"&lt;"&amp;A728)+COUNTIF($A$5:A728,A728))</f>
        <v/>
      </c>
      <c r="X728">
        <f>","&amp;SUBSTITUTE(SUBSTITUTE(SUBSTITUTE(UPPER(C728)," ",""),";",","),"/",",")&amp;","</f>
        <v/>
      </c>
      <c r="Y728">
        <f>IF(AND(A728&lt;&gt;"",B728="Active",'State Search'!$C$5&lt;&gt;"",OR(X728=",ALL,",ISNUMBER(SEARCH(","&amp;'State Search'!$C$5&amp;",",X728)))),W728,"")</f>
        <v/>
      </c>
    </row>
    <row r="729">
      <c r="A729" s="64" t="n"/>
      <c r="B729" s="65" t="n"/>
      <c r="C729" s="64" t="n"/>
      <c r="D729" s="66" t="n"/>
      <c r="E729" s="66" t="n"/>
      <c r="F729" s="67" t="n"/>
      <c r="G729" s="67" t="n"/>
      <c r="H729" s="67" t="n"/>
      <c r="I729" s="67" t="n"/>
      <c r="J729" s="67" t="n"/>
      <c r="K729" s="67" t="n"/>
      <c r="L729" s="67" t="n"/>
      <c r="M729" s="67" t="n"/>
      <c r="N729" s="65" t="n"/>
      <c r="O729" s="84">
        <f>IF(A729="","",IF(E729="","No date",IF(TODAY()&gt;=EDATE(E729,Review_Months),"Review Due","Current")))</f>
        <v/>
      </c>
      <c r="P729" s="84">
        <f>IF(A729="","",IF(COUNTIFS('AFA Rates'!$A$5:$A$1004,A729,'AFA Rates'!$O$5:$O$1004,"&lt;&gt;Expired")&gt;0,"Yes",IF(COUNTIF('AFA Rates'!$A$5:$A$1004,A729)&gt;0,"Expired only","No")))</f>
        <v/>
      </c>
      <c r="Q729" s="84">
        <f>IF(A729="","",COUNTIFS('AFA Rates'!$A$5:$A$1004,A729,'AFA Rates'!$O$5:$O$1004,"&lt;&gt;Expired"))</f>
        <v/>
      </c>
      <c r="R729" s="66" t="n"/>
      <c r="S729" s="64" t="n"/>
      <c r="T729" s="64" t="n"/>
      <c r="U729">
        <f>IF(AND(A729&lt;&gt;"",B729="Paused"),COUNTIFS($A$5:A729,"&lt;&gt;",$B$5:B729,"Paused"),"")</f>
        <v/>
      </c>
      <c r="V729">
        <f>IF(P729="Yes",COUNTIF($P$5:P729,"Yes"),"")</f>
        <v/>
      </c>
      <c r="W729">
        <f>IF(A729="","",COUNTIF($A$5:$A$1004,"&lt;"&amp;A729)+COUNTIF($A$5:A729,A729))</f>
        <v/>
      </c>
      <c r="X729">
        <f>","&amp;SUBSTITUTE(SUBSTITUTE(SUBSTITUTE(UPPER(C729)," ",""),";",","),"/",",")&amp;","</f>
        <v/>
      </c>
      <c r="Y729">
        <f>IF(AND(A729&lt;&gt;"",B729="Active",'State Search'!$C$5&lt;&gt;"",OR(X729=",ALL,",ISNUMBER(SEARCH(","&amp;'State Search'!$C$5&amp;",",X729)))),W729,"")</f>
        <v/>
      </c>
    </row>
    <row r="730">
      <c r="A730" s="64" t="n"/>
      <c r="B730" s="65" t="n"/>
      <c r="C730" s="64" t="n"/>
      <c r="D730" s="66" t="n"/>
      <c r="E730" s="66" t="n"/>
      <c r="F730" s="67" t="n"/>
      <c r="G730" s="67" t="n"/>
      <c r="H730" s="67" t="n"/>
      <c r="I730" s="67" t="n"/>
      <c r="J730" s="67" t="n"/>
      <c r="K730" s="67" t="n"/>
      <c r="L730" s="67" t="n"/>
      <c r="M730" s="67" t="n"/>
      <c r="N730" s="65" t="n"/>
      <c r="O730" s="84">
        <f>IF(A730="","",IF(E730="","No date",IF(TODAY()&gt;=EDATE(E730,Review_Months),"Review Due","Current")))</f>
        <v/>
      </c>
      <c r="P730" s="84">
        <f>IF(A730="","",IF(COUNTIFS('AFA Rates'!$A$5:$A$1004,A730,'AFA Rates'!$O$5:$O$1004,"&lt;&gt;Expired")&gt;0,"Yes",IF(COUNTIF('AFA Rates'!$A$5:$A$1004,A730)&gt;0,"Expired only","No")))</f>
        <v/>
      </c>
      <c r="Q730" s="84">
        <f>IF(A730="","",COUNTIFS('AFA Rates'!$A$5:$A$1004,A730,'AFA Rates'!$O$5:$O$1004,"&lt;&gt;Expired"))</f>
        <v/>
      </c>
      <c r="R730" s="66" t="n"/>
      <c r="S730" s="64" t="n"/>
      <c r="T730" s="64" t="n"/>
      <c r="U730">
        <f>IF(AND(A730&lt;&gt;"",B730="Paused"),COUNTIFS($A$5:A730,"&lt;&gt;",$B$5:B730,"Paused"),"")</f>
        <v/>
      </c>
      <c r="V730">
        <f>IF(P730="Yes",COUNTIF($P$5:P730,"Yes"),"")</f>
        <v/>
      </c>
      <c r="W730">
        <f>IF(A730="","",COUNTIF($A$5:$A$1004,"&lt;"&amp;A730)+COUNTIF($A$5:A730,A730))</f>
        <v/>
      </c>
      <c r="X730">
        <f>","&amp;SUBSTITUTE(SUBSTITUTE(SUBSTITUTE(UPPER(C730)," ",""),";",","),"/",",")&amp;","</f>
        <v/>
      </c>
      <c r="Y730">
        <f>IF(AND(A730&lt;&gt;"",B730="Active",'State Search'!$C$5&lt;&gt;"",OR(X730=",ALL,",ISNUMBER(SEARCH(","&amp;'State Search'!$C$5&amp;",",X730)))),W730,"")</f>
        <v/>
      </c>
    </row>
    <row r="731">
      <c r="A731" s="64" t="n"/>
      <c r="B731" s="65" t="n"/>
      <c r="C731" s="64" t="n"/>
      <c r="D731" s="66" t="n"/>
      <c r="E731" s="66" t="n"/>
      <c r="F731" s="67" t="n"/>
      <c r="G731" s="67" t="n"/>
      <c r="H731" s="67" t="n"/>
      <c r="I731" s="67" t="n"/>
      <c r="J731" s="67" t="n"/>
      <c r="K731" s="67" t="n"/>
      <c r="L731" s="67" t="n"/>
      <c r="M731" s="67" t="n"/>
      <c r="N731" s="65" t="n"/>
      <c r="O731" s="84">
        <f>IF(A731="","",IF(E731="","No date",IF(TODAY()&gt;=EDATE(E731,Review_Months),"Review Due","Current")))</f>
        <v/>
      </c>
      <c r="P731" s="84">
        <f>IF(A731="","",IF(COUNTIFS('AFA Rates'!$A$5:$A$1004,A731,'AFA Rates'!$O$5:$O$1004,"&lt;&gt;Expired")&gt;0,"Yes",IF(COUNTIF('AFA Rates'!$A$5:$A$1004,A731)&gt;0,"Expired only","No")))</f>
        <v/>
      </c>
      <c r="Q731" s="84">
        <f>IF(A731="","",COUNTIFS('AFA Rates'!$A$5:$A$1004,A731,'AFA Rates'!$O$5:$O$1004,"&lt;&gt;Expired"))</f>
        <v/>
      </c>
      <c r="R731" s="66" t="n"/>
      <c r="S731" s="64" t="n"/>
      <c r="T731" s="64" t="n"/>
      <c r="U731">
        <f>IF(AND(A731&lt;&gt;"",B731="Paused"),COUNTIFS($A$5:A731,"&lt;&gt;",$B$5:B731,"Paused"),"")</f>
        <v/>
      </c>
      <c r="V731">
        <f>IF(P731="Yes",COUNTIF($P$5:P731,"Yes"),"")</f>
        <v/>
      </c>
      <c r="W731">
        <f>IF(A731="","",COUNTIF($A$5:$A$1004,"&lt;"&amp;A731)+COUNTIF($A$5:A731,A731))</f>
        <v/>
      </c>
      <c r="X731">
        <f>","&amp;SUBSTITUTE(SUBSTITUTE(SUBSTITUTE(UPPER(C731)," ",""),";",","),"/",",")&amp;","</f>
        <v/>
      </c>
      <c r="Y731">
        <f>IF(AND(A731&lt;&gt;"",B731="Active",'State Search'!$C$5&lt;&gt;"",OR(X731=",ALL,",ISNUMBER(SEARCH(","&amp;'State Search'!$C$5&amp;",",X731)))),W731,"")</f>
        <v/>
      </c>
    </row>
    <row r="732">
      <c r="A732" s="64" t="n"/>
      <c r="B732" s="65" t="n"/>
      <c r="C732" s="64" t="n"/>
      <c r="D732" s="66" t="n"/>
      <c r="E732" s="66" t="n"/>
      <c r="F732" s="67" t="n"/>
      <c r="G732" s="67" t="n"/>
      <c r="H732" s="67" t="n"/>
      <c r="I732" s="67" t="n"/>
      <c r="J732" s="67" t="n"/>
      <c r="K732" s="67" t="n"/>
      <c r="L732" s="67" t="n"/>
      <c r="M732" s="67" t="n"/>
      <c r="N732" s="65" t="n"/>
      <c r="O732" s="84">
        <f>IF(A732="","",IF(E732="","No date",IF(TODAY()&gt;=EDATE(E732,Review_Months),"Review Due","Current")))</f>
        <v/>
      </c>
      <c r="P732" s="84">
        <f>IF(A732="","",IF(COUNTIFS('AFA Rates'!$A$5:$A$1004,A732,'AFA Rates'!$O$5:$O$1004,"&lt;&gt;Expired")&gt;0,"Yes",IF(COUNTIF('AFA Rates'!$A$5:$A$1004,A732)&gt;0,"Expired only","No")))</f>
        <v/>
      </c>
      <c r="Q732" s="84">
        <f>IF(A732="","",COUNTIFS('AFA Rates'!$A$5:$A$1004,A732,'AFA Rates'!$O$5:$O$1004,"&lt;&gt;Expired"))</f>
        <v/>
      </c>
      <c r="R732" s="66" t="n"/>
      <c r="S732" s="64" t="n"/>
      <c r="T732" s="64" t="n"/>
      <c r="U732">
        <f>IF(AND(A732&lt;&gt;"",B732="Paused"),COUNTIFS($A$5:A732,"&lt;&gt;",$B$5:B732,"Paused"),"")</f>
        <v/>
      </c>
      <c r="V732">
        <f>IF(P732="Yes",COUNTIF($P$5:P732,"Yes"),"")</f>
        <v/>
      </c>
      <c r="W732">
        <f>IF(A732="","",COUNTIF($A$5:$A$1004,"&lt;"&amp;A732)+COUNTIF($A$5:A732,A732))</f>
        <v/>
      </c>
      <c r="X732">
        <f>","&amp;SUBSTITUTE(SUBSTITUTE(SUBSTITUTE(UPPER(C732)," ",""),";",","),"/",",")&amp;","</f>
        <v/>
      </c>
      <c r="Y732">
        <f>IF(AND(A732&lt;&gt;"",B732="Active",'State Search'!$C$5&lt;&gt;"",OR(X732=",ALL,",ISNUMBER(SEARCH(","&amp;'State Search'!$C$5&amp;",",X732)))),W732,"")</f>
        <v/>
      </c>
    </row>
    <row r="733">
      <c r="A733" s="64" t="n"/>
      <c r="B733" s="65" t="n"/>
      <c r="C733" s="64" t="n"/>
      <c r="D733" s="66" t="n"/>
      <c r="E733" s="66" t="n"/>
      <c r="F733" s="67" t="n"/>
      <c r="G733" s="67" t="n"/>
      <c r="H733" s="67" t="n"/>
      <c r="I733" s="67" t="n"/>
      <c r="J733" s="67" t="n"/>
      <c r="K733" s="67" t="n"/>
      <c r="L733" s="67" t="n"/>
      <c r="M733" s="67" t="n"/>
      <c r="N733" s="65" t="n"/>
      <c r="O733" s="84">
        <f>IF(A733="","",IF(E733="","No date",IF(TODAY()&gt;=EDATE(E733,Review_Months),"Review Due","Current")))</f>
        <v/>
      </c>
      <c r="P733" s="84">
        <f>IF(A733="","",IF(COUNTIFS('AFA Rates'!$A$5:$A$1004,A733,'AFA Rates'!$O$5:$O$1004,"&lt;&gt;Expired")&gt;0,"Yes",IF(COUNTIF('AFA Rates'!$A$5:$A$1004,A733)&gt;0,"Expired only","No")))</f>
        <v/>
      </c>
      <c r="Q733" s="84">
        <f>IF(A733="","",COUNTIFS('AFA Rates'!$A$5:$A$1004,A733,'AFA Rates'!$O$5:$O$1004,"&lt;&gt;Expired"))</f>
        <v/>
      </c>
      <c r="R733" s="66" t="n"/>
      <c r="S733" s="64" t="n"/>
      <c r="T733" s="64" t="n"/>
      <c r="U733">
        <f>IF(AND(A733&lt;&gt;"",B733="Paused"),COUNTIFS($A$5:A733,"&lt;&gt;",$B$5:B733,"Paused"),"")</f>
        <v/>
      </c>
      <c r="V733">
        <f>IF(P733="Yes",COUNTIF($P$5:P733,"Yes"),"")</f>
        <v/>
      </c>
      <c r="W733">
        <f>IF(A733="","",COUNTIF($A$5:$A$1004,"&lt;"&amp;A733)+COUNTIF($A$5:A733,A733))</f>
        <v/>
      </c>
      <c r="X733">
        <f>","&amp;SUBSTITUTE(SUBSTITUTE(SUBSTITUTE(UPPER(C733)," ",""),";",","),"/",",")&amp;","</f>
        <v/>
      </c>
      <c r="Y733">
        <f>IF(AND(A733&lt;&gt;"",B733="Active",'State Search'!$C$5&lt;&gt;"",OR(X733=",ALL,",ISNUMBER(SEARCH(","&amp;'State Search'!$C$5&amp;",",X733)))),W733,"")</f>
        <v/>
      </c>
    </row>
    <row r="734">
      <c r="A734" s="64" t="n"/>
      <c r="B734" s="65" t="n"/>
      <c r="C734" s="64" t="n"/>
      <c r="D734" s="66" t="n"/>
      <c r="E734" s="66" t="n"/>
      <c r="F734" s="67" t="n"/>
      <c r="G734" s="67" t="n"/>
      <c r="H734" s="67" t="n"/>
      <c r="I734" s="67" t="n"/>
      <c r="J734" s="67" t="n"/>
      <c r="K734" s="67" t="n"/>
      <c r="L734" s="67" t="n"/>
      <c r="M734" s="67" t="n"/>
      <c r="N734" s="65" t="n"/>
      <c r="O734" s="84">
        <f>IF(A734="","",IF(E734="","No date",IF(TODAY()&gt;=EDATE(E734,Review_Months),"Review Due","Current")))</f>
        <v/>
      </c>
      <c r="P734" s="84">
        <f>IF(A734="","",IF(COUNTIFS('AFA Rates'!$A$5:$A$1004,A734,'AFA Rates'!$O$5:$O$1004,"&lt;&gt;Expired")&gt;0,"Yes",IF(COUNTIF('AFA Rates'!$A$5:$A$1004,A734)&gt;0,"Expired only","No")))</f>
        <v/>
      </c>
      <c r="Q734" s="84">
        <f>IF(A734="","",COUNTIFS('AFA Rates'!$A$5:$A$1004,A734,'AFA Rates'!$O$5:$O$1004,"&lt;&gt;Expired"))</f>
        <v/>
      </c>
      <c r="R734" s="66" t="n"/>
      <c r="S734" s="64" t="n"/>
      <c r="T734" s="64" t="n"/>
      <c r="U734">
        <f>IF(AND(A734&lt;&gt;"",B734="Paused"),COUNTIFS($A$5:A734,"&lt;&gt;",$B$5:B734,"Paused"),"")</f>
        <v/>
      </c>
      <c r="V734">
        <f>IF(P734="Yes",COUNTIF($P$5:P734,"Yes"),"")</f>
        <v/>
      </c>
      <c r="W734">
        <f>IF(A734="","",COUNTIF($A$5:$A$1004,"&lt;"&amp;A734)+COUNTIF($A$5:A734,A734))</f>
        <v/>
      </c>
      <c r="X734">
        <f>","&amp;SUBSTITUTE(SUBSTITUTE(SUBSTITUTE(UPPER(C734)," ",""),";",","),"/",",")&amp;","</f>
        <v/>
      </c>
      <c r="Y734">
        <f>IF(AND(A734&lt;&gt;"",B734="Active",'State Search'!$C$5&lt;&gt;"",OR(X734=",ALL,",ISNUMBER(SEARCH(","&amp;'State Search'!$C$5&amp;",",X734)))),W734,"")</f>
        <v/>
      </c>
    </row>
    <row r="735">
      <c r="A735" s="64" t="n"/>
      <c r="B735" s="65" t="n"/>
      <c r="C735" s="64" t="n"/>
      <c r="D735" s="66" t="n"/>
      <c r="E735" s="66" t="n"/>
      <c r="F735" s="67" t="n"/>
      <c r="G735" s="67" t="n"/>
      <c r="H735" s="67" t="n"/>
      <c r="I735" s="67" t="n"/>
      <c r="J735" s="67" t="n"/>
      <c r="K735" s="67" t="n"/>
      <c r="L735" s="67" t="n"/>
      <c r="M735" s="67" t="n"/>
      <c r="N735" s="65" t="n"/>
      <c r="O735" s="84">
        <f>IF(A735="","",IF(E735="","No date",IF(TODAY()&gt;=EDATE(E735,Review_Months),"Review Due","Current")))</f>
        <v/>
      </c>
      <c r="P735" s="84">
        <f>IF(A735="","",IF(COUNTIFS('AFA Rates'!$A$5:$A$1004,A735,'AFA Rates'!$O$5:$O$1004,"&lt;&gt;Expired")&gt;0,"Yes",IF(COUNTIF('AFA Rates'!$A$5:$A$1004,A735)&gt;0,"Expired only","No")))</f>
        <v/>
      </c>
      <c r="Q735" s="84">
        <f>IF(A735="","",COUNTIFS('AFA Rates'!$A$5:$A$1004,A735,'AFA Rates'!$O$5:$O$1004,"&lt;&gt;Expired"))</f>
        <v/>
      </c>
      <c r="R735" s="66" t="n"/>
      <c r="S735" s="64" t="n"/>
      <c r="T735" s="64" t="n"/>
      <c r="U735">
        <f>IF(AND(A735&lt;&gt;"",B735="Paused"),COUNTIFS($A$5:A735,"&lt;&gt;",$B$5:B735,"Paused"),"")</f>
        <v/>
      </c>
      <c r="V735">
        <f>IF(P735="Yes",COUNTIF($P$5:P735,"Yes"),"")</f>
        <v/>
      </c>
      <c r="W735">
        <f>IF(A735="","",COUNTIF($A$5:$A$1004,"&lt;"&amp;A735)+COUNTIF($A$5:A735,A735))</f>
        <v/>
      </c>
      <c r="X735">
        <f>","&amp;SUBSTITUTE(SUBSTITUTE(SUBSTITUTE(UPPER(C735)," ",""),";",","),"/",",")&amp;","</f>
        <v/>
      </c>
      <c r="Y735">
        <f>IF(AND(A735&lt;&gt;"",B735="Active",'State Search'!$C$5&lt;&gt;"",OR(X735=",ALL,",ISNUMBER(SEARCH(","&amp;'State Search'!$C$5&amp;",",X735)))),W735,"")</f>
        <v/>
      </c>
    </row>
    <row r="736">
      <c r="A736" s="64" t="n"/>
      <c r="B736" s="65" t="n"/>
      <c r="C736" s="64" t="n"/>
      <c r="D736" s="66" t="n"/>
      <c r="E736" s="66" t="n"/>
      <c r="F736" s="67" t="n"/>
      <c r="G736" s="67" t="n"/>
      <c r="H736" s="67" t="n"/>
      <c r="I736" s="67" t="n"/>
      <c r="J736" s="67" t="n"/>
      <c r="K736" s="67" t="n"/>
      <c r="L736" s="67" t="n"/>
      <c r="M736" s="67" t="n"/>
      <c r="N736" s="65" t="n"/>
      <c r="O736" s="84">
        <f>IF(A736="","",IF(E736="","No date",IF(TODAY()&gt;=EDATE(E736,Review_Months),"Review Due","Current")))</f>
        <v/>
      </c>
      <c r="P736" s="84">
        <f>IF(A736="","",IF(COUNTIFS('AFA Rates'!$A$5:$A$1004,A736,'AFA Rates'!$O$5:$O$1004,"&lt;&gt;Expired")&gt;0,"Yes",IF(COUNTIF('AFA Rates'!$A$5:$A$1004,A736)&gt;0,"Expired only","No")))</f>
        <v/>
      </c>
      <c r="Q736" s="84">
        <f>IF(A736="","",COUNTIFS('AFA Rates'!$A$5:$A$1004,A736,'AFA Rates'!$O$5:$O$1004,"&lt;&gt;Expired"))</f>
        <v/>
      </c>
      <c r="R736" s="66" t="n"/>
      <c r="S736" s="64" t="n"/>
      <c r="T736" s="64" t="n"/>
      <c r="U736">
        <f>IF(AND(A736&lt;&gt;"",B736="Paused"),COUNTIFS($A$5:A736,"&lt;&gt;",$B$5:B736,"Paused"),"")</f>
        <v/>
      </c>
      <c r="V736">
        <f>IF(P736="Yes",COUNTIF($P$5:P736,"Yes"),"")</f>
        <v/>
      </c>
      <c r="W736">
        <f>IF(A736="","",COUNTIF($A$5:$A$1004,"&lt;"&amp;A736)+COUNTIF($A$5:A736,A736))</f>
        <v/>
      </c>
      <c r="X736">
        <f>","&amp;SUBSTITUTE(SUBSTITUTE(SUBSTITUTE(UPPER(C736)," ",""),";",","),"/",",")&amp;","</f>
        <v/>
      </c>
      <c r="Y736">
        <f>IF(AND(A736&lt;&gt;"",B736="Active",'State Search'!$C$5&lt;&gt;"",OR(X736=",ALL,",ISNUMBER(SEARCH(","&amp;'State Search'!$C$5&amp;",",X736)))),W736,"")</f>
        <v/>
      </c>
    </row>
    <row r="737">
      <c r="A737" s="64" t="n"/>
      <c r="B737" s="65" t="n"/>
      <c r="C737" s="64" t="n"/>
      <c r="D737" s="66" t="n"/>
      <c r="E737" s="66" t="n"/>
      <c r="F737" s="67" t="n"/>
      <c r="G737" s="67" t="n"/>
      <c r="H737" s="67" t="n"/>
      <c r="I737" s="67" t="n"/>
      <c r="J737" s="67" t="n"/>
      <c r="K737" s="67" t="n"/>
      <c r="L737" s="67" t="n"/>
      <c r="M737" s="67" t="n"/>
      <c r="N737" s="65" t="n"/>
      <c r="O737" s="84">
        <f>IF(A737="","",IF(E737="","No date",IF(TODAY()&gt;=EDATE(E737,Review_Months),"Review Due","Current")))</f>
        <v/>
      </c>
      <c r="P737" s="84">
        <f>IF(A737="","",IF(COUNTIFS('AFA Rates'!$A$5:$A$1004,A737,'AFA Rates'!$O$5:$O$1004,"&lt;&gt;Expired")&gt;0,"Yes",IF(COUNTIF('AFA Rates'!$A$5:$A$1004,A737)&gt;0,"Expired only","No")))</f>
        <v/>
      </c>
      <c r="Q737" s="84">
        <f>IF(A737="","",COUNTIFS('AFA Rates'!$A$5:$A$1004,A737,'AFA Rates'!$O$5:$O$1004,"&lt;&gt;Expired"))</f>
        <v/>
      </c>
      <c r="R737" s="66" t="n"/>
      <c r="S737" s="64" t="n"/>
      <c r="T737" s="64" t="n"/>
      <c r="U737">
        <f>IF(AND(A737&lt;&gt;"",B737="Paused"),COUNTIFS($A$5:A737,"&lt;&gt;",$B$5:B737,"Paused"),"")</f>
        <v/>
      </c>
      <c r="V737">
        <f>IF(P737="Yes",COUNTIF($P$5:P737,"Yes"),"")</f>
        <v/>
      </c>
      <c r="W737">
        <f>IF(A737="","",COUNTIF($A$5:$A$1004,"&lt;"&amp;A737)+COUNTIF($A$5:A737,A737))</f>
        <v/>
      </c>
      <c r="X737">
        <f>","&amp;SUBSTITUTE(SUBSTITUTE(SUBSTITUTE(UPPER(C737)," ",""),";",","),"/",",")&amp;","</f>
        <v/>
      </c>
      <c r="Y737">
        <f>IF(AND(A737&lt;&gt;"",B737="Active",'State Search'!$C$5&lt;&gt;"",OR(X737=",ALL,",ISNUMBER(SEARCH(","&amp;'State Search'!$C$5&amp;",",X737)))),W737,"")</f>
        <v/>
      </c>
    </row>
    <row r="738">
      <c r="A738" s="64" t="n"/>
      <c r="B738" s="65" t="n"/>
      <c r="C738" s="64" t="n"/>
      <c r="D738" s="66" t="n"/>
      <c r="E738" s="66" t="n"/>
      <c r="F738" s="67" t="n"/>
      <c r="G738" s="67" t="n"/>
      <c r="H738" s="67" t="n"/>
      <c r="I738" s="67" t="n"/>
      <c r="J738" s="67" t="n"/>
      <c r="K738" s="67" t="n"/>
      <c r="L738" s="67" t="n"/>
      <c r="M738" s="67" t="n"/>
      <c r="N738" s="65" t="n"/>
      <c r="O738" s="84">
        <f>IF(A738="","",IF(E738="","No date",IF(TODAY()&gt;=EDATE(E738,Review_Months),"Review Due","Current")))</f>
        <v/>
      </c>
      <c r="P738" s="84">
        <f>IF(A738="","",IF(COUNTIFS('AFA Rates'!$A$5:$A$1004,A738,'AFA Rates'!$O$5:$O$1004,"&lt;&gt;Expired")&gt;0,"Yes",IF(COUNTIF('AFA Rates'!$A$5:$A$1004,A738)&gt;0,"Expired only","No")))</f>
        <v/>
      </c>
      <c r="Q738" s="84">
        <f>IF(A738="","",COUNTIFS('AFA Rates'!$A$5:$A$1004,A738,'AFA Rates'!$O$5:$O$1004,"&lt;&gt;Expired"))</f>
        <v/>
      </c>
      <c r="R738" s="66" t="n"/>
      <c r="S738" s="64" t="n"/>
      <c r="T738" s="64" t="n"/>
      <c r="U738">
        <f>IF(AND(A738&lt;&gt;"",B738="Paused"),COUNTIFS($A$5:A738,"&lt;&gt;",$B$5:B738,"Paused"),"")</f>
        <v/>
      </c>
      <c r="V738">
        <f>IF(P738="Yes",COUNTIF($P$5:P738,"Yes"),"")</f>
        <v/>
      </c>
      <c r="W738">
        <f>IF(A738="","",COUNTIF($A$5:$A$1004,"&lt;"&amp;A738)+COUNTIF($A$5:A738,A738))</f>
        <v/>
      </c>
      <c r="X738">
        <f>","&amp;SUBSTITUTE(SUBSTITUTE(SUBSTITUTE(UPPER(C738)," ",""),";",","),"/",",")&amp;","</f>
        <v/>
      </c>
      <c r="Y738">
        <f>IF(AND(A738&lt;&gt;"",B738="Active",'State Search'!$C$5&lt;&gt;"",OR(X738=",ALL,",ISNUMBER(SEARCH(","&amp;'State Search'!$C$5&amp;",",X738)))),W738,"")</f>
        <v/>
      </c>
    </row>
    <row r="739">
      <c r="A739" s="64" t="n"/>
      <c r="B739" s="65" t="n"/>
      <c r="C739" s="64" t="n"/>
      <c r="D739" s="66" t="n"/>
      <c r="E739" s="66" t="n"/>
      <c r="F739" s="67" t="n"/>
      <c r="G739" s="67" t="n"/>
      <c r="H739" s="67" t="n"/>
      <c r="I739" s="67" t="n"/>
      <c r="J739" s="67" t="n"/>
      <c r="K739" s="67" t="n"/>
      <c r="L739" s="67" t="n"/>
      <c r="M739" s="67" t="n"/>
      <c r="N739" s="65" t="n"/>
      <c r="O739" s="84">
        <f>IF(A739="","",IF(E739="","No date",IF(TODAY()&gt;=EDATE(E739,Review_Months),"Review Due","Current")))</f>
        <v/>
      </c>
      <c r="P739" s="84">
        <f>IF(A739="","",IF(COUNTIFS('AFA Rates'!$A$5:$A$1004,A739,'AFA Rates'!$O$5:$O$1004,"&lt;&gt;Expired")&gt;0,"Yes",IF(COUNTIF('AFA Rates'!$A$5:$A$1004,A739)&gt;0,"Expired only","No")))</f>
        <v/>
      </c>
      <c r="Q739" s="84">
        <f>IF(A739="","",COUNTIFS('AFA Rates'!$A$5:$A$1004,A739,'AFA Rates'!$O$5:$O$1004,"&lt;&gt;Expired"))</f>
        <v/>
      </c>
      <c r="R739" s="66" t="n"/>
      <c r="S739" s="64" t="n"/>
      <c r="T739" s="64" t="n"/>
      <c r="U739">
        <f>IF(AND(A739&lt;&gt;"",B739="Paused"),COUNTIFS($A$5:A739,"&lt;&gt;",$B$5:B739,"Paused"),"")</f>
        <v/>
      </c>
      <c r="V739">
        <f>IF(P739="Yes",COUNTIF($P$5:P739,"Yes"),"")</f>
        <v/>
      </c>
      <c r="W739">
        <f>IF(A739="","",COUNTIF($A$5:$A$1004,"&lt;"&amp;A739)+COUNTIF($A$5:A739,A739))</f>
        <v/>
      </c>
      <c r="X739">
        <f>","&amp;SUBSTITUTE(SUBSTITUTE(SUBSTITUTE(UPPER(C739)," ",""),";",","),"/",",")&amp;","</f>
        <v/>
      </c>
      <c r="Y739">
        <f>IF(AND(A739&lt;&gt;"",B739="Active",'State Search'!$C$5&lt;&gt;"",OR(X739=",ALL,",ISNUMBER(SEARCH(","&amp;'State Search'!$C$5&amp;",",X739)))),W739,"")</f>
        <v/>
      </c>
    </row>
    <row r="740">
      <c r="A740" s="64" t="n"/>
      <c r="B740" s="65" t="n"/>
      <c r="C740" s="64" t="n"/>
      <c r="D740" s="66" t="n"/>
      <c r="E740" s="66" t="n"/>
      <c r="F740" s="67" t="n"/>
      <c r="G740" s="67" t="n"/>
      <c r="H740" s="67" t="n"/>
      <c r="I740" s="67" t="n"/>
      <c r="J740" s="67" t="n"/>
      <c r="K740" s="67" t="n"/>
      <c r="L740" s="67" t="n"/>
      <c r="M740" s="67" t="n"/>
      <c r="N740" s="65" t="n"/>
      <c r="O740" s="84">
        <f>IF(A740="","",IF(E740="","No date",IF(TODAY()&gt;=EDATE(E740,Review_Months),"Review Due","Current")))</f>
        <v/>
      </c>
      <c r="P740" s="84">
        <f>IF(A740="","",IF(COUNTIFS('AFA Rates'!$A$5:$A$1004,A740,'AFA Rates'!$O$5:$O$1004,"&lt;&gt;Expired")&gt;0,"Yes",IF(COUNTIF('AFA Rates'!$A$5:$A$1004,A740)&gt;0,"Expired only","No")))</f>
        <v/>
      </c>
      <c r="Q740" s="84">
        <f>IF(A740="","",COUNTIFS('AFA Rates'!$A$5:$A$1004,A740,'AFA Rates'!$O$5:$O$1004,"&lt;&gt;Expired"))</f>
        <v/>
      </c>
      <c r="R740" s="66" t="n"/>
      <c r="S740" s="64" t="n"/>
      <c r="T740" s="64" t="n"/>
      <c r="U740">
        <f>IF(AND(A740&lt;&gt;"",B740="Paused"),COUNTIFS($A$5:A740,"&lt;&gt;",$B$5:B740,"Paused"),"")</f>
        <v/>
      </c>
      <c r="V740">
        <f>IF(P740="Yes",COUNTIF($P$5:P740,"Yes"),"")</f>
        <v/>
      </c>
      <c r="W740">
        <f>IF(A740="","",COUNTIF($A$5:$A$1004,"&lt;"&amp;A740)+COUNTIF($A$5:A740,A740))</f>
        <v/>
      </c>
      <c r="X740">
        <f>","&amp;SUBSTITUTE(SUBSTITUTE(SUBSTITUTE(UPPER(C740)," ",""),";",","),"/",",")&amp;","</f>
        <v/>
      </c>
      <c r="Y740">
        <f>IF(AND(A740&lt;&gt;"",B740="Active",'State Search'!$C$5&lt;&gt;"",OR(X740=",ALL,",ISNUMBER(SEARCH(","&amp;'State Search'!$C$5&amp;",",X740)))),W740,"")</f>
        <v/>
      </c>
    </row>
    <row r="741">
      <c r="A741" s="64" t="n"/>
      <c r="B741" s="65" t="n"/>
      <c r="C741" s="64" t="n"/>
      <c r="D741" s="66" t="n"/>
      <c r="E741" s="66" t="n"/>
      <c r="F741" s="67" t="n"/>
      <c r="G741" s="67" t="n"/>
      <c r="H741" s="67" t="n"/>
      <c r="I741" s="67" t="n"/>
      <c r="J741" s="67" t="n"/>
      <c r="K741" s="67" t="n"/>
      <c r="L741" s="67" t="n"/>
      <c r="M741" s="67" t="n"/>
      <c r="N741" s="65" t="n"/>
      <c r="O741" s="84">
        <f>IF(A741="","",IF(E741="","No date",IF(TODAY()&gt;=EDATE(E741,Review_Months),"Review Due","Current")))</f>
        <v/>
      </c>
      <c r="P741" s="84">
        <f>IF(A741="","",IF(COUNTIFS('AFA Rates'!$A$5:$A$1004,A741,'AFA Rates'!$O$5:$O$1004,"&lt;&gt;Expired")&gt;0,"Yes",IF(COUNTIF('AFA Rates'!$A$5:$A$1004,A741)&gt;0,"Expired only","No")))</f>
        <v/>
      </c>
      <c r="Q741" s="84">
        <f>IF(A741="","",COUNTIFS('AFA Rates'!$A$5:$A$1004,A741,'AFA Rates'!$O$5:$O$1004,"&lt;&gt;Expired"))</f>
        <v/>
      </c>
      <c r="R741" s="66" t="n"/>
      <c r="S741" s="64" t="n"/>
      <c r="T741" s="64" t="n"/>
      <c r="U741">
        <f>IF(AND(A741&lt;&gt;"",B741="Paused"),COUNTIFS($A$5:A741,"&lt;&gt;",$B$5:B741,"Paused"),"")</f>
        <v/>
      </c>
      <c r="V741">
        <f>IF(P741="Yes",COUNTIF($P$5:P741,"Yes"),"")</f>
        <v/>
      </c>
      <c r="W741">
        <f>IF(A741="","",COUNTIF($A$5:$A$1004,"&lt;"&amp;A741)+COUNTIF($A$5:A741,A741))</f>
        <v/>
      </c>
      <c r="X741">
        <f>","&amp;SUBSTITUTE(SUBSTITUTE(SUBSTITUTE(UPPER(C741)," ",""),";",","),"/",",")&amp;","</f>
        <v/>
      </c>
      <c r="Y741">
        <f>IF(AND(A741&lt;&gt;"",B741="Active",'State Search'!$C$5&lt;&gt;"",OR(X741=",ALL,",ISNUMBER(SEARCH(","&amp;'State Search'!$C$5&amp;",",X741)))),W741,"")</f>
        <v/>
      </c>
    </row>
    <row r="742">
      <c r="A742" s="64" t="n"/>
      <c r="B742" s="65" t="n"/>
      <c r="C742" s="64" t="n"/>
      <c r="D742" s="66" t="n"/>
      <c r="E742" s="66" t="n"/>
      <c r="F742" s="67" t="n"/>
      <c r="G742" s="67" t="n"/>
      <c r="H742" s="67" t="n"/>
      <c r="I742" s="67" t="n"/>
      <c r="J742" s="67" t="n"/>
      <c r="K742" s="67" t="n"/>
      <c r="L742" s="67" t="n"/>
      <c r="M742" s="67" t="n"/>
      <c r="N742" s="65" t="n"/>
      <c r="O742" s="84">
        <f>IF(A742="","",IF(E742="","No date",IF(TODAY()&gt;=EDATE(E742,Review_Months),"Review Due","Current")))</f>
        <v/>
      </c>
      <c r="P742" s="84">
        <f>IF(A742="","",IF(COUNTIFS('AFA Rates'!$A$5:$A$1004,A742,'AFA Rates'!$O$5:$O$1004,"&lt;&gt;Expired")&gt;0,"Yes",IF(COUNTIF('AFA Rates'!$A$5:$A$1004,A742)&gt;0,"Expired only","No")))</f>
        <v/>
      </c>
      <c r="Q742" s="84">
        <f>IF(A742="","",COUNTIFS('AFA Rates'!$A$5:$A$1004,A742,'AFA Rates'!$O$5:$O$1004,"&lt;&gt;Expired"))</f>
        <v/>
      </c>
      <c r="R742" s="66" t="n"/>
      <c r="S742" s="64" t="n"/>
      <c r="T742" s="64" t="n"/>
      <c r="U742">
        <f>IF(AND(A742&lt;&gt;"",B742="Paused"),COUNTIFS($A$5:A742,"&lt;&gt;",$B$5:B742,"Paused"),"")</f>
        <v/>
      </c>
      <c r="V742">
        <f>IF(P742="Yes",COUNTIF($P$5:P742,"Yes"),"")</f>
        <v/>
      </c>
      <c r="W742">
        <f>IF(A742="","",COUNTIF($A$5:$A$1004,"&lt;"&amp;A742)+COUNTIF($A$5:A742,A742))</f>
        <v/>
      </c>
      <c r="X742">
        <f>","&amp;SUBSTITUTE(SUBSTITUTE(SUBSTITUTE(UPPER(C742)," ",""),";",","),"/",",")&amp;","</f>
        <v/>
      </c>
      <c r="Y742">
        <f>IF(AND(A742&lt;&gt;"",B742="Active",'State Search'!$C$5&lt;&gt;"",OR(X742=",ALL,",ISNUMBER(SEARCH(","&amp;'State Search'!$C$5&amp;",",X742)))),W742,"")</f>
        <v/>
      </c>
    </row>
    <row r="743">
      <c r="A743" s="64" t="n"/>
      <c r="B743" s="65" t="n"/>
      <c r="C743" s="64" t="n"/>
      <c r="D743" s="66" t="n"/>
      <c r="E743" s="66" t="n"/>
      <c r="F743" s="67" t="n"/>
      <c r="G743" s="67" t="n"/>
      <c r="H743" s="67" t="n"/>
      <c r="I743" s="67" t="n"/>
      <c r="J743" s="67" t="n"/>
      <c r="K743" s="67" t="n"/>
      <c r="L743" s="67" t="n"/>
      <c r="M743" s="67" t="n"/>
      <c r="N743" s="65" t="n"/>
      <c r="O743" s="84">
        <f>IF(A743="","",IF(E743="","No date",IF(TODAY()&gt;=EDATE(E743,Review_Months),"Review Due","Current")))</f>
        <v/>
      </c>
      <c r="P743" s="84">
        <f>IF(A743="","",IF(COUNTIFS('AFA Rates'!$A$5:$A$1004,A743,'AFA Rates'!$O$5:$O$1004,"&lt;&gt;Expired")&gt;0,"Yes",IF(COUNTIF('AFA Rates'!$A$5:$A$1004,A743)&gt;0,"Expired only","No")))</f>
        <v/>
      </c>
      <c r="Q743" s="84">
        <f>IF(A743="","",COUNTIFS('AFA Rates'!$A$5:$A$1004,A743,'AFA Rates'!$O$5:$O$1004,"&lt;&gt;Expired"))</f>
        <v/>
      </c>
      <c r="R743" s="66" t="n"/>
      <c r="S743" s="64" t="n"/>
      <c r="T743" s="64" t="n"/>
      <c r="U743">
        <f>IF(AND(A743&lt;&gt;"",B743="Paused"),COUNTIFS($A$5:A743,"&lt;&gt;",$B$5:B743,"Paused"),"")</f>
        <v/>
      </c>
      <c r="V743">
        <f>IF(P743="Yes",COUNTIF($P$5:P743,"Yes"),"")</f>
        <v/>
      </c>
      <c r="W743">
        <f>IF(A743="","",COUNTIF($A$5:$A$1004,"&lt;"&amp;A743)+COUNTIF($A$5:A743,A743))</f>
        <v/>
      </c>
      <c r="X743">
        <f>","&amp;SUBSTITUTE(SUBSTITUTE(SUBSTITUTE(UPPER(C743)," ",""),";",","),"/",",")&amp;","</f>
        <v/>
      </c>
      <c r="Y743">
        <f>IF(AND(A743&lt;&gt;"",B743="Active",'State Search'!$C$5&lt;&gt;"",OR(X743=",ALL,",ISNUMBER(SEARCH(","&amp;'State Search'!$C$5&amp;",",X743)))),W743,"")</f>
        <v/>
      </c>
    </row>
    <row r="744">
      <c r="A744" s="64" t="n"/>
      <c r="B744" s="65" t="n"/>
      <c r="C744" s="64" t="n"/>
      <c r="D744" s="66" t="n"/>
      <c r="E744" s="66" t="n"/>
      <c r="F744" s="67" t="n"/>
      <c r="G744" s="67" t="n"/>
      <c r="H744" s="67" t="n"/>
      <c r="I744" s="67" t="n"/>
      <c r="J744" s="67" t="n"/>
      <c r="K744" s="67" t="n"/>
      <c r="L744" s="67" t="n"/>
      <c r="M744" s="67" t="n"/>
      <c r="N744" s="65" t="n"/>
      <c r="O744" s="84">
        <f>IF(A744="","",IF(E744="","No date",IF(TODAY()&gt;=EDATE(E744,Review_Months),"Review Due","Current")))</f>
        <v/>
      </c>
      <c r="P744" s="84">
        <f>IF(A744="","",IF(COUNTIFS('AFA Rates'!$A$5:$A$1004,A744,'AFA Rates'!$O$5:$O$1004,"&lt;&gt;Expired")&gt;0,"Yes",IF(COUNTIF('AFA Rates'!$A$5:$A$1004,A744)&gt;0,"Expired only","No")))</f>
        <v/>
      </c>
      <c r="Q744" s="84">
        <f>IF(A744="","",COUNTIFS('AFA Rates'!$A$5:$A$1004,A744,'AFA Rates'!$O$5:$O$1004,"&lt;&gt;Expired"))</f>
        <v/>
      </c>
      <c r="R744" s="66" t="n"/>
      <c r="S744" s="64" t="n"/>
      <c r="T744" s="64" t="n"/>
      <c r="U744">
        <f>IF(AND(A744&lt;&gt;"",B744="Paused"),COUNTIFS($A$5:A744,"&lt;&gt;",$B$5:B744,"Paused"),"")</f>
        <v/>
      </c>
      <c r="V744">
        <f>IF(P744="Yes",COUNTIF($P$5:P744,"Yes"),"")</f>
        <v/>
      </c>
      <c r="W744">
        <f>IF(A744="","",COUNTIF($A$5:$A$1004,"&lt;"&amp;A744)+COUNTIF($A$5:A744,A744))</f>
        <v/>
      </c>
      <c r="X744">
        <f>","&amp;SUBSTITUTE(SUBSTITUTE(SUBSTITUTE(UPPER(C744)," ",""),";",","),"/",",")&amp;","</f>
        <v/>
      </c>
      <c r="Y744">
        <f>IF(AND(A744&lt;&gt;"",B744="Active",'State Search'!$C$5&lt;&gt;"",OR(X744=",ALL,",ISNUMBER(SEARCH(","&amp;'State Search'!$C$5&amp;",",X744)))),W744,"")</f>
        <v/>
      </c>
    </row>
    <row r="745">
      <c r="A745" s="64" t="n"/>
      <c r="B745" s="65" t="n"/>
      <c r="C745" s="64" t="n"/>
      <c r="D745" s="66" t="n"/>
      <c r="E745" s="66" t="n"/>
      <c r="F745" s="67" t="n"/>
      <c r="G745" s="67" t="n"/>
      <c r="H745" s="67" t="n"/>
      <c r="I745" s="67" t="n"/>
      <c r="J745" s="67" t="n"/>
      <c r="K745" s="67" t="n"/>
      <c r="L745" s="67" t="n"/>
      <c r="M745" s="67" t="n"/>
      <c r="N745" s="65" t="n"/>
      <c r="O745" s="84">
        <f>IF(A745="","",IF(E745="","No date",IF(TODAY()&gt;=EDATE(E745,Review_Months),"Review Due","Current")))</f>
        <v/>
      </c>
      <c r="P745" s="84">
        <f>IF(A745="","",IF(COUNTIFS('AFA Rates'!$A$5:$A$1004,A745,'AFA Rates'!$O$5:$O$1004,"&lt;&gt;Expired")&gt;0,"Yes",IF(COUNTIF('AFA Rates'!$A$5:$A$1004,A745)&gt;0,"Expired only","No")))</f>
        <v/>
      </c>
      <c r="Q745" s="84">
        <f>IF(A745="","",COUNTIFS('AFA Rates'!$A$5:$A$1004,A745,'AFA Rates'!$O$5:$O$1004,"&lt;&gt;Expired"))</f>
        <v/>
      </c>
      <c r="R745" s="66" t="n"/>
      <c r="S745" s="64" t="n"/>
      <c r="T745" s="64" t="n"/>
      <c r="U745">
        <f>IF(AND(A745&lt;&gt;"",B745="Paused"),COUNTIFS($A$5:A745,"&lt;&gt;",$B$5:B745,"Paused"),"")</f>
        <v/>
      </c>
      <c r="V745">
        <f>IF(P745="Yes",COUNTIF($P$5:P745,"Yes"),"")</f>
        <v/>
      </c>
      <c r="W745">
        <f>IF(A745="","",COUNTIF($A$5:$A$1004,"&lt;"&amp;A745)+COUNTIF($A$5:A745,A745))</f>
        <v/>
      </c>
      <c r="X745">
        <f>","&amp;SUBSTITUTE(SUBSTITUTE(SUBSTITUTE(UPPER(C745)," ",""),";",","),"/",",")&amp;","</f>
        <v/>
      </c>
      <c r="Y745">
        <f>IF(AND(A745&lt;&gt;"",B745="Active",'State Search'!$C$5&lt;&gt;"",OR(X745=",ALL,",ISNUMBER(SEARCH(","&amp;'State Search'!$C$5&amp;",",X745)))),W745,"")</f>
        <v/>
      </c>
    </row>
    <row r="746">
      <c r="A746" s="64" t="n"/>
      <c r="B746" s="65" t="n"/>
      <c r="C746" s="64" t="n"/>
      <c r="D746" s="66" t="n"/>
      <c r="E746" s="66" t="n"/>
      <c r="F746" s="67" t="n"/>
      <c r="G746" s="67" t="n"/>
      <c r="H746" s="67" t="n"/>
      <c r="I746" s="67" t="n"/>
      <c r="J746" s="67" t="n"/>
      <c r="K746" s="67" t="n"/>
      <c r="L746" s="67" t="n"/>
      <c r="M746" s="67" t="n"/>
      <c r="N746" s="65" t="n"/>
      <c r="O746" s="84">
        <f>IF(A746="","",IF(E746="","No date",IF(TODAY()&gt;=EDATE(E746,Review_Months),"Review Due","Current")))</f>
        <v/>
      </c>
      <c r="P746" s="84">
        <f>IF(A746="","",IF(COUNTIFS('AFA Rates'!$A$5:$A$1004,A746,'AFA Rates'!$O$5:$O$1004,"&lt;&gt;Expired")&gt;0,"Yes",IF(COUNTIF('AFA Rates'!$A$5:$A$1004,A746)&gt;0,"Expired only","No")))</f>
        <v/>
      </c>
      <c r="Q746" s="84">
        <f>IF(A746="","",COUNTIFS('AFA Rates'!$A$5:$A$1004,A746,'AFA Rates'!$O$5:$O$1004,"&lt;&gt;Expired"))</f>
        <v/>
      </c>
      <c r="R746" s="66" t="n"/>
      <c r="S746" s="64" t="n"/>
      <c r="T746" s="64" t="n"/>
      <c r="U746">
        <f>IF(AND(A746&lt;&gt;"",B746="Paused"),COUNTIFS($A$5:A746,"&lt;&gt;",$B$5:B746,"Paused"),"")</f>
        <v/>
      </c>
      <c r="V746">
        <f>IF(P746="Yes",COUNTIF($P$5:P746,"Yes"),"")</f>
        <v/>
      </c>
      <c r="W746">
        <f>IF(A746="","",COUNTIF($A$5:$A$1004,"&lt;"&amp;A746)+COUNTIF($A$5:A746,A746))</f>
        <v/>
      </c>
      <c r="X746">
        <f>","&amp;SUBSTITUTE(SUBSTITUTE(SUBSTITUTE(UPPER(C746)," ",""),";",","),"/",",")&amp;","</f>
        <v/>
      </c>
      <c r="Y746">
        <f>IF(AND(A746&lt;&gt;"",B746="Active",'State Search'!$C$5&lt;&gt;"",OR(X746=",ALL,",ISNUMBER(SEARCH(","&amp;'State Search'!$C$5&amp;",",X746)))),W746,"")</f>
        <v/>
      </c>
    </row>
    <row r="747">
      <c r="A747" s="64" t="n"/>
      <c r="B747" s="65" t="n"/>
      <c r="C747" s="64" t="n"/>
      <c r="D747" s="66" t="n"/>
      <c r="E747" s="66" t="n"/>
      <c r="F747" s="67" t="n"/>
      <c r="G747" s="67" t="n"/>
      <c r="H747" s="67" t="n"/>
      <c r="I747" s="67" t="n"/>
      <c r="J747" s="67" t="n"/>
      <c r="K747" s="67" t="n"/>
      <c r="L747" s="67" t="n"/>
      <c r="M747" s="67" t="n"/>
      <c r="N747" s="65" t="n"/>
      <c r="O747" s="84">
        <f>IF(A747="","",IF(E747="","No date",IF(TODAY()&gt;=EDATE(E747,Review_Months),"Review Due","Current")))</f>
        <v/>
      </c>
      <c r="P747" s="84">
        <f>IF(A747="","",IF(COUNTIFS('AFA Rates'!$A$5:$A$1004,A747,'AFA Rates'!$O$5:$O$1004,"&lt;&gt;Expired")&gt;0,"Yes",IF(COUNTIF('AFA Rates'!$A$5:$A$1004,A747)&gt;0,"Expired only","No")))</f>
        <v/>
      </c>
      <c r="Q747" s="84">
        <f>IF(A747="","",COUNTIFS('AFA Rates'!$A$5:$A$1004,A747,'AFA Rates'!$O$5:$O$1004,"&lt;&gt;Expired"))</f>
        <v/>
      </c>
      <c r="R747" s="66" t="n"/>
      <c r="S747" s="64" t="n"/>
      <c r="T747" s="64" t="n"/>
      <c r="U747">
        <f>IF(AND(A747&lt;&gt;"",B747="Paused"),COUNTIFS($A$5:A747,"&lt;&gt;",$B$5:B747,"Paused"),"")</f>
        <v/>
      </c>
      <c r="V747">
        <f>IF(P747="Yes",COUNTIF($P$5:P747,"Yes"),"")</f>
        <v/>
      </c>
      <c r="W747">
        <f>IF(A747="","",COUNTIF($A$5:$A$1004,"&lt;"&amp;A747)+COUNTIF($A$5:A747,A747))</f>
        <v/>
      </c>
      <c r="X747">
        <f>","&amp;SUBSTITUTE(SUBSTITUTE(SUBSTITUTE(UPPER(C747)," ",""),";",","),"/",",")&amp;","</f>
        <v/>
      </c>
      <c r="Y747">
        <f>IF(AND(A747&lt;&gt;"",B747="Active",'State Search'!$C$5&lt;&gt;"",OR(X747=",ALL,",ISNUMBER(SEARCH(","&amp;'State Search'!$C$5&amp;",",X747)))),W747,"")</f>
        <v/>
      </c>
    </row>
    <row r="748">
      <c r="A748" s="64" t="n"/>
      <c r="B748" s="65" t="n"/>
      <c r="C748" s="64" t="n"/>
      <c r="D748" s="66" t="n"/>
      <c r="E748" s="66" t="n"/>
      <c r="F748" s="67" t="n"/>
      <c r="G748" s="67" t="n"/>
      <c r="H748" s="67" t="n"/>
      <c r="I748" s="67" t="n"/>
      <c r="J748" s="67" t="n"/>
      <c r="K748" s="67" t="n"/>
      <c r="L748" s="67" t="n"/>
      <c r="M748" s="67" t="n"/>
      <c r="N748" s="65" t="n"/>
      <c r="O748" s="84">
        <f>IF(A748="","",IF(E748="","No date",IF(TODAY()&gt;=EDATE(E748,Review_Months),"Review Due","Current")))</f>
        <v/>
      </c>
      <c r="P748" s="84">
        <f>IF(A748="","",IF(COUNTIFS('AFA Rates'!$A$5:$A$1004,A748,'AFA Rates'!$O$5:$O$1004,"&lt;&gt;Expired")&gt;0,"Yes",IF(COUNTIF('AFA Rates'!$A$5:$A$1004,A748)&gt;0,"Expired only","No")))</f>
        <v/>
      </c>
      <c r="Q748" s="84">
        <f>IF(A748="","",COUNTIFS('AFA Rates'!$A$5:$A$1004,A748,'AFA Rates'!$O$5:$O$1004,"&lt;&gt;Expired"))</f>
        <v/>
      </c>
      <c r="R748" s="66" t="n"/>
      <c r="S748" s="64" t="n"/>
      <c r="T748" s="64" t="n"/>
      <c r="U748">
        <f>IF(AND(A748&lt;&gt;"",B748="Paused"),COUNTIFS($A$5:A748,"&lt;&gt;",$B$5:B748,"Paused"),"")</f>
        <v/>
      </c>
      <c r="V748">
        <f>IF(P748="Yes",COUNTIF($P$5:P748,"Yes"),"")</f>
        <v/>
      </c>
      <c r="W748">
        <f>IF(A748="","",COUNTIF($A$5:$A$1004,"&lt;"&amp;A748)+COUNTIF($A$5:A748,A748))</f>
        <v/>
      </c>
      <c r="X748">
        <f>","&amp;SUBSTITUTE(SUBSTITUTE(SUBSTITUTE(UPPER(C748)," ",""),";",","),"/",",")&amp;","</f>
        <v/>
      </c>
      <c r="Y748">
        <f>IF(AND(A748&lt;&gt;"",B748="Active",'State Search'!$C$5&lt;&gt;"",OR(X748=",ALL,",ISNUMBER(SEARCH(","&amp;'State Search'!$C$5&amp;",",X748)))),W748,"")</f>
        <v/>
      </c>
    </row>
    <row r="749">
      <c r="A749" s="64" t="n"/>
      <c r="B749" s="65" t="n"/>
      <c r="C749" s="64" t="n"/>
      <c r="D749" s="66" t="n"/>
      <c r="E749" s="66" t="n"/>
      <c r="F749" s="67" t="n"/>
      <c r="G749" s="67" t="n"/>
      <c r="H749" s="67" t="n"/>
      <c r="I749" s="67" t="n"/>
      <c r="J749" s="67" t="n"/>
      <c r="K749" s="67" t="n"/>
      <c r="L749" s="67" t="n"/>
      <c r="M749" s="67" t="n"/>
      <c r="N749" s="65" t="n"/>
      <c r="O749" s="84">
        <f>IF(A749="","",IF(E749="","No date",IF(TODAY()&gt;=EDATE(E749,Review_Months),"Review Due","Current")))</f>
        <v/>
      </c>
      <c r="P749" s="84">
        <f>IF(A749="","",IF(COUNTIFS('AFA Rates'!$A$5:$A$1004,A749,'AFA Rates'!$O$5:$O$1004,"&lt;&gt;Expired")&gt;0,"Yes",IF(COUNTIF('AFA Rates'!$A$5:$A$1004,A749)&gt;0,"Expired only","No")))</f>
        <v/>
      </c>
      <c r="Q749" s="84">
        <f>IF(A749="","",COUNTIFS('AFA Rates'!$A$5:$A$1004,A749,'AFA Rates'!$O$5:$O$1004,"&lt;&gt;Expired"))</f>
        <v/>
      </c>
      <c r="R749" s="66" t="n"/>
      <c r="S749" s="64" t="n"/>
      <c r="T749" s="64" t="n"/>
      <c r="U749">
        <f>IF(AND(A749&lt;&gt;"",B749="Paused"),COUNTIFS($A$5:A749,"&lt;&gt;",$B$5:B749,"Paused"),"")</f>
        <v/>
      </c>
      <c r="V749">
        <f>IF(P749="Yes",COUNTIF($P$5:P749,"Yes"),"")</f>
        <v/>
      </c>
      <c r="W749">
        <f>IF(A749="","",COUNTIF($A$5:$A$1004,"&lt;"&amp;A749)+COUNTIF($A$5:A749,A749))</f>
        <v/>
      </c>
      <c r="X749">
        <f>","&amp;SUBSTITUTE(SUBSTITUTE(SUBSTITUTE(UPPER(C749)," ",""),";",","),"/",",")&amp;","</f>
        <v/>
      </c>
      <c r="Y749">
        <f>IF(AND(A749&lt;&gt;"",B749="Active",'State Search'!$C$5&lt;&gt;"",OR(X749=",ALL,",ISNUMBER(SEARCH(","&amp;'State Search'!$C$5&amp;",",X749)))),W749,"")</f>
        <v/>
      </c>
    </row>
    <row r="750">
      <c r="A750" s="64" t="n"/>
      <c r="B750" s="65" t="n"/>
      <c r="C750" s="64" t="n"/>
      <c r="D750" s="66" t="n"/>
      <c r="E750" s="66" t="n"/>
      <c r="F750" s="67" t="n"/>
      <c r="G750" s="67" t="n"/>
      <c r="H750" s="67" t="n"/>
      <c r="I750" s="67" t="n"/>
      <c r="J750" s="67" t="n"/>
      <c r="K750" s="67" t="n"/>
      <c r="L750" s="67" t="n"/>
      <c r="M750" s="67" t="n"/>
      <c r="N750" s="65" t="n"/>
      <c r="O750" s="84">
        <f>IF(A750="","",IF(E750="","No date",IF(TODAY()&gt;=EDATE(E750,Review_Months),"Review Due","Current")))</f>
        <v/>
      </c>
      <c r="P750" s="84">
        <f>IF(A750="","",IF(COUNTIFS('AFA Rates'!$A$5:$A$1004,A750,'AFA Rates'!$O$5:$O$1004,"&lt;&gt;Expired")&gt;0,"Yes",IF(COUNTIF('AFA Rates'!$A$5:$A$1004,A750)&gt;0,"Expired only","No")))</f>
        <v/>
      </c>
      <c r="Q750" s="84">
        <f>IF(A750="","",COUNTIFS('AFA Rates'!$A$5:$A$1004,A750,'AFA Rates'!$O$5:$O$1004,"&lt;&gt;Expired"))</f>
        <v/>
      </c>
      <c r="R750" s="66" t="n"/>
      <c r="S750" s="64" t="n"/>
      <c r="T750" s="64" t="n"/>
      <c r="U750">
        <f>IF(AND(A750&lt;&gt;"",B750="Paused"),COUNTIFS($A$5:A750,"&lt;&gt;",$B$5:B750,"Paused"),"")</f>
        <v/>
      </c>
      <c r="V750">
        <f>IF(P750="Yes",COUNTIF($P$5:P750,"Yes"),"")</f>
        <v/>
      </c>
      <c r="W750">
        <f>IF(A750="","",COUNTIF($A$5:$A$1004,"&lt;"&amp;A750)+COUNTIF($A$5:A750,A750))</f>
        <v/>
      </c>
      <c r="X750">
        <f>","&amp;SUBSTITUTE(SUBSTITUTE(SUBSTITUTE(UPPER(C750)," ",""),";",","),"/",",")&amp;","</f>
        <v/>
      </c>
      <c r="Y750">
        <f>IF(AND(A750&lt;&gt;"",B750="Active",'State Search'!$C$5&lt;&gt;"",OR(X750=",ALL,",ISNUMBER(SEARCH(","&amp;'State Search'!$C$5&amp;",",X750)))),W750,"")</f>
        <v/>
      </c>
    </row>
    <row r="751">
      <c r="A751" s="64" t="n"/>
      <c r="B751" s="65" t="n"/>
      <c r="C751" s="64" t="n"/>
      <c r="D751" s="66" t="n"/>
      <c r="E751" s="66" t="n"/>
      <c r="F751" s="67" t="n"/>
      <c r="G751" s="67" t="n"/>
      <c r="H751" s="67" t="n"/>
      <c r="I751" s="67" t="n"/>
      <c r="J751" s="67" t="n"/>
      <c r="K751" s="67" t="n"/>
      <c r="L751" s="67" t="n"/>
      <c r="M751" s="67" t="n"/>
      <c r="N751" s="65" t="n"/>
      <c r="O751" s="84">
        <f>IF(A751="","",IF(E751="","No date",IF(TODAY()&gt;=EDATE(E751,Review_Months),"Review Due","Current")))</f>
        <v/>
      </c>
      <c r="P751" s="84">
        <f>IF(A751="","",IF(COUNTIFS('AFA Rates'!$A$5:$A$1004,A751,'AFA Rates'!$O$5:$O$1004,"&lt;&gt;Expired")&gt;0,"Yes",IF(COUNTIF('AFA Rates'!$A$5:$A$1004,A751)&gt;0,"Expired only","No")))</f>
        <v/>
      </c>
      <c r="Q751" s="84">
        <f>IF(A751="","",COUNTIFS('AFA Rates'!$A$5:$A$1004,A751,'AFA Rates'!$O$5:$O$1004,"&lt;&gt;Expired"))</f>
        <v/>
      </c>
      <c r="R751" s="66" t="n"/>
      <c r="S751" s="64" t="n"/>
      <c r="T751" s="64" t="n"/>
      <c r="U751">
        <f>IF(AND(A751&lt;&gt;"",B751="Paused"),COUNTIFS($A$5:A751,"&lt;&gt;",$B$5:B751,"Paused"),"")</f>
        <v/>
      </c>
      <c r="V751">
        <f>IF(P751="Yes",COUNTIF($P$5:P751,"Yes"),"")</f>
        <v/>
      </c>
      <c r="W751">
        <f>IF(A751="","",COUNTIF($A$5:$A$1004,"&lt;"&amp;A751)+COUNTIF($A$5:A751,A751))</f>
        <v/>
      </c>
      <c r="X751">
        <f>","&amp;SUBSTITUTE(SUBSTITUTE(SUBSTITUTE(UPPER(C751)," ",""),";",","),"/",",")&amp;","</f>
        <v/>
      </c>
      <c r="Y751">
        <f>IF(AND(A751&lt;&gt;"",B751="Active",'State Search'!$C$5&lt;&gt;"",OR(X751=",ALL,",ISNUMBER(SEARCH(","&amp;'State Search'!$C$5&amp;",",X751)))),W751,"")</f>
        <v/>
      </c>
    </row>
    <row r="752">
      <c r="A752" s="64" t="n"/>
      <c r="B752" s="65" t="n"/>
      <c r="C752" s="64" t="n"/>
      <c r="D752" s="66" t="n"/>
      <c r="E752" s="66" t="n"/>
      <c r="F752" s="67" t="n"/>
      <c r="G752" s="67" t="n"/>
      <c r="H752" s="67" t="n"/>
      <c r="I752" s="67" t="n"/>
      <c r="J752" s="67" t="n"/>
      <c r="K752" s="67" t="n"/>
      <c r="L752" s="67" t="n"/>
      <c r="M752" s="67" t="n"/>
      <c r="N752" s="65" t="n"/>
      <c r="O752" s="84">
        <f>IF(A752="","",IF(E752="","No date",IF(TODAY()&gt;=EDATE(E752,Review_Months),"Review Due","Current")))</f>
        <v/>
      </c>
      <c r="P752" s="84">
        <f>IF(A752="","",IF(COUNTIFS('AFA Rates'!$A$5:$A$1004,A752,'AFA Rates'!$O$5:$O$1004,"&lt;&gt;Expired")&gt;0,"Yes",IF(COUNTIF('AFA Rates'!$A$5:$A$1004,A752)&gt;0,"Expired only","No")))</f>
        <v/>
      </c>
      <c r="Q752" s="84">
        <f>IF(A752="","",COUNTIFS('AFA Rates'!$A$5:$A$1004,A752,'AFA Rates'!$O$5:$O$1004,"&lt;&gt;Expired"))</f>
        <v/>
      </c>
      <c r="R752" s="66" t="n"/>
      <c r="S752" s="64" t="n"/>
      <c r="T752" s="64" t="n"/>
      <c r="U752">
        <f>IF(AND(A752&lt;&gt;"",B752="Paused"),COUNTIFS($A$5:A752,"&lt;&gt;",$B$5:B752,"Paused"),"")</f>
        <v/>
      </c>
      <c r="V752">
        <f>IF(P752="Yes",COUNTIF($P$5:P752,"Yes"),"")</f>
        <v/>
      </c>
      <c r="W752">
        <f>IF(A752="","",COUNTIF($A$5:$A$1004,"&lt;"&amp;A752)+COUNTIF($A$5:A752,A752))</f>
        <v/>
      </c>
      <c r="X752">
        <f>","&amp;SUBSTITUTE(SUBSTITUTE(SUBSTITUTE(UPPER(C752)," ",""),";",","),"/",",")&amp;","</f>
        <v/>
      </c>
      <c r="Y752">
        <f>IF(AND(A752&lt;&gt;"",B752="Active",'State Search'!$C$5&lt;&gt;"",OR(X752=",ALL,",ISNUMBER(SEARCH(","&amp;'State Search'!$C$5&amp;",",X752)))),W752,"")</f>
        <v/>
      </c>
    </row>
    <row r="753">
      <c r="A753" s="64" t="n"/>
      <c r="B753" s="65" t="n"/>
      <c r="C753" s="64" t="n"/>
      <c r="D753" s="66" t="n"/>
      <c r="E753" s="66" t="n"/>
      <c r="F753" s="67" t="n"/>
      <c r="G753" s="67" t="n"/>
      <c r="H753" s="67" t="n"/>
      <c r="I753" s="67" t="n"/>
      <c r="J753" s="67" t="n"/>
      <c r="K753" s="67" t="n"/>
      <c r="L753" s="67" t="n"/>
      <c r="M753" s="67" t="n"/>
      <c r="N753" s="65" t="n"/>
      <c r="O753" s="84">
        <f>IF(A753="","",IF(E753="","No date",IF(TODAY()&gt;=EDATE(E753,Review_Months),"Review Due","Current")))</f>
        <v/>
      </c>
      <c r="P753" s="84">
        <f>IF(A753="","",IF(COUNTIFS('AFA Rates'!$A$5:$A$1004,A753,'AFA Rates'!$O$5:$O$1004,"&lt;&gt;Expired")&gt;0,"Yes",IF(COUNTIF('AFA Rates'!$A$5:$A$1004,A753)&gt;0,"Expired only","No")))</f>
        <v/>
      </c>
      <c r="Q753" s="84">
        <f>IF(A753="","",COUNTIFS('AFA Rates'!$A$5:$A$1004,A753,'AFA Rates'!$O$5:$O$1004,"&lt;&gt;Expired"))</f>
        <v/>
      </c>
      <c r="R753" s="66" t="n"/>
      <c r="S753" s="64" t="n"/>
      <c r="T753" s="64" t="n"/>
      <c r="U753">
        <f>IF(AND(A753&lt;&gt;"",B753="Paused"),COUNTIFS($A$5:A753,"&lt;&gt;",$B$5:B753,"Paused"),"")</f>
        <v/>
      </c>
      <c r="V753">
        <f>IF(P753="Yes",COUNTIF($P$5:P753,"Yes"),"")</f>
        <v/>
      </c>
      <c r="W753">
        <f>IF(A753="","",COUNTIF($A$5:$A$1004,"&lt;"&amp;A753)+COUNTIF($A$5:A753,A753))</f>
        <v/>
      </c>
      <c r="X753">
        <f>","&amp;SUBSTITUTE(SUBSTITUTE(SUBSTITUTE(UPPER(C753)," ",""),";",","),"/",",")&amp;","</f>
        <v/>
      </c>
      <c r="Y753">
        <f>IF(AND(A753&lt;&gt;"",B753="Active",'State Search'!$C$5&lt;&gt;"",OR(X753=",ALL,",ISNUMBER(SEARCH(","&amp;'State Search'!$C$5&amp;",",X753)))),W753,"")</f>
        <v/>
      </c>
    </row>
    <row r="754">
      <c r="A754" s="64" t="n"/>
      <c r="B754" s="65" t="n"/>
      <c r="C754" s="64" t="n"/>
      <c r="D754" s="66" t="n"/>
      <c r="E754" s="66" t="n"/>
      <c r="F754" s="67" t="n"/>
      <c r="G754" s="67" t="n"/>
      <c r="H754" s="67" t="n"/>
      <c r="I754" s="67" t="n"/>
      <c r="J754" s="67" t="n"/>
      <c r="K754" s="67" t="n"/>
      <c r="L754" s="67" t="n"/>
      <c r="M754" s="67" t="n"/>
      <c r="N754" s="65" t="n"/>
      <c r="O754" s="84">
        <f>IF(A754="","",IF(E754="","No date",IF(TODAY()&gt;=EDATE(E754,Review_Months),"Review Due","Current")))</f>
        <v/>
      </c>
      <c r="P754" s="84">
        <f>IF(A754="","",IF(COUNTIFS('AFA Rates'!$A$5:$A$1004,A754,'AFA Rates'!$O$5:$O$1004,"&lt;&gt;Expired")&gt;0,"Yes",IF(COUNTIF('AFA Rates'!$A$5:$A$1004,A754)&gt;0,"Expired only","No")))</f>
        <v/>
      </c>
      <c r="Q754" s="84">
        <f>IF(A754="","",COUNTIFS('AFA Rates'!$A$5:$A$1004,A754,'AFA Rates'!$O$5:$O$1004,"&lt;&gt;Expired"))</f>
        <v/>
      </c>
      <c r="R754" s="66" t="n"/>
      <c r="S754" s="64" t="n"/>
      <c r="T754" s="64" t="n"/>
      <c r="U754">
        <f>IF(AND(A754&lt;&gt;"",B754="Paused"),COUNTIFS($A$5:A754,"&lt;&gt;",$B$5:B754,"Paused"),"")</f>
        <v/>
      </c>
      <c r="V754">
        <f>IF(P754="Yes",COUNTIF($P$5:P754,"Yes"),"")</f>
        <v/>
      </c>
      <c r="W754">
        <f>IF(A754="","",COUNTIF($A$5:$A$1004,"&lt;"&amp;A754)+COUNTIF($A$5:A754,A754))</f>
        <v/>
      </c>
      <c r="X754">
        <f>","&amp;SUBSTITUTE(SUBSTITUTE(SUBSTITUTE(UPPER(C754)," ",""),";",","),"/",",")&amp;","</f>
        <v/>
      </c>
      <c r="Y754">
        <f>IF(AND(A754&lt;&gt;"",B754="Active",'State Search'!$C$5&lt;&gt;"",OR(X754=",ALL,",ISNUMBER(SEARCH(","&amp;'State Search'!$C$5&amp;",",X754)))),W754,"")</f>
        <v/>
      </c>
    </row>
    <row r="755">
      <c r="A755" s="64" t="n"/>
      <c r="B755" s="65" t="n"/>
      <c r="C755" s="64" t="n"/>
      <c r="D755" s="66" t="n"/>
      <c r="E755" s="66" t="n"/>
      <c r="F755" s="67" t="n"/>
      <c r="G755" s="67" t="n"/>
      <c r="H755" s="67" t="n"/>
      <c r="I755" s="67" t="n"/>
      <c r="J755" s="67" t="n"/>
      <c r="K755" s="67" t="n"/>
      <c r="L755" s="67" t="n"/>
      <c r="M755" s="67" t="n"/>
      <c r="N755" s="65" t="n"/>
      <c r="O755" s="84">
        <f>IF(A755="","",IF(E755="","No date",IF(TODAY()&gt;=EDATE(E755,Review_Months),"Review Due","Current")))</f>
        <v/>
      </c>
      <c r="P755" s="84">
        <f>IF(A755="","",IF(COUNTIFS('AFA Rates'!$A$5:$A$1004,A755,'AFA Rates'!$O$5:$O$1004,"&lt;&gt;Expired")&gt;0,"Yes",IF(COUNTIF('AFA Rates'!$A$5:$A$1004,A755)&gt;0,"Expired only","No")))</f>
        <v/>
      </c>
      <c r="Q755" s="84">
        <f>IF(A755="","",COUNTIFS('AFA Rates'!$A$5:$A$1004,A755,'AFA Rates'!$O$5:$O$1004,"&lt;&gt;Expired"))</f>
        <v/>
      </c>
      <c r="R755" s="66" t="n"/>
      <c r="S755" s="64" t="n"/>
      <c r="T755" s="64" t="n"/>
      <c r="U755">
        <f>IF(AND(A755&lt;&gt;"",B755="Paused"),COUNTIFS($A$5:A755,"&lt;&gt;",$B$5:B755,"Paused"),"")</f>
        <v/>
      </c>
      <c r="V755">
        <f>IF(P755="Yes",COUNTIF($P$5:P755,"Yes"),"")</f>
        <v/>
      </c>
      <c r="W755">
        <f>IF(A755="","",COUNTIF($A$5:$A$1004,"&lt;"&amp;A755)+COUNTIF($A$5:A755,A755))</f>
        <v/>
      </c>
      <c r="X755">
        <f>","&amp;SUBSTITUTE(SUBSTITUTE(SUBSTITUTE(UPPER(C755)," ",""),";",","),"/",",")&amp;","</f>
        <v/>
      </c>
      <c r="Y755">
        <f>IF(AND(A755&lt;&gt;"",B755="Active",'State Search'!$C$5&lt;&gt;"",OR(X755=",ALL,",ISNUMBER(SEARCH(","&amp;'State Search'!$C$5&amp;",",X755)))),W755,"")</f>
        <v/>
      </c>
    </row>
    <row r="756">
      <c r="A756" s="64" t="n"/>
      <c r="B756" s="65" t="n"/>
      <c r="C756" s="64" t="n"/>
      <c r="D756" s="66" t="n"/>
      <c r="E756" s="66" t="n"/>
      <c r="F756" s="67" t="n"/>
      <c r="G756" s="67" t="n"/>
      <c r="H756" s="67" t="n"/>
      <c r="I756" s="67" t="n"/>
      <c r="J756" s="67" t="n"/>
      <c r="K756" s="67" t="n"/>
      <c r="L756" s="67" t="n"/>
      <c r="M756" s="67" t="n"/>
      <c r="N756" s="65" t="n"/>
      <c r="O756" s="84">
        <f>IF(A756="","",IF(E756="","No date",IF(TODAY()&gt;=EDATE(E756,Review_Months),"Review Due","Current")))</f>
        <v/>
      </c>
      <c r="P756" s="84">
        <f>IF(A756="","",IF(COUNTIFS('AFA Rates'!$A$5:$A$1004,A756,'AFA Rates'!$O$5:$O$1004,"&lt;&gt;Expired")&gt;0,"Yes",IF(COUNTIF('AFA Rates'!$A$5:$A$1004,A756)&gt;0,"Expired only","No")))</f>
        <v/>
      </c>
      <c r="Q756" s="84">
        <f>IF(A756="","",COUNTIFS('AFA Rates'!$A$5:$A$1004,A756,'AFA Rates'!$O$5:$O$1004,"&lt;&gt;Expired"))</f>
        <v/>
      </c>
      <c r="R756" s="66" t="n"/>
      <c r="S756" s="64" t="n"/>
      <c r="T756" s="64" t="n"/>
      <c r="U756">
        <f>IF(AND(A756&lt;&gt;"",B756="Paused"),COUNTIFS($A$5:A756,"&lt;&gt;",$B$5:B756,"Paused"),"")</f>
        <v/>
      </c>
      <c r="V756">
        <f>IF(P756="Yes",COUNTIF($P$5:P756,"Yes"),"")</f>
        <v/>
      </c>
      <c r="W756">
        <f>IF(A756="","",COUNTIF($A$5:$A$1004,"&lt;"&amp;A756)+COUNTIF($A$5:A756,A756))</f>
        <v/>
      </c>
      <c r="X756">
        <f>","&amp;SUBSTITUTE(SUBSTITUTE(SUBSTITUTE(UPPER(C756)," ",""),";",","),"/",",")&amp;","</f>
        <v/>
      </c>
      <c r="Y756">
        <f>IF(AND(A756&lt;&gt;"",B756="Active",'State Search'!$C$5&lt;&gt;"",OR(X756=",ALL,",ISNUMBER(SEARCH(","&amp;'State Search'!$C$5&amp;",",X756)))),W756,"")</f>
        <v/>
      </c>
    </row>
    <row r="757">
      <c r="A757" s="64" t="n"/>
      <c r="B757" s="65" t="n"/>
      <c r="C757" s="64" t="n"/>
      <c r="D757" s="66" t="n"/>
      <c r="E757" s="66" t="n"/>
      <c r="F757" s="67" t="n"/>
      <c r="G757" s="67" t="n"/>
      <c r="H757" s="67" t="n"/>
      <c r="I757" s="67" t="n"/>
      <c r="J757" s="67" t="n"/>
      <c r="K757" s="67" t="n"/>
      <c r="L757" s="67" t="n"/>
      <c r="M757" s="67" t="n"/>
      <c r="N757" s="65" t="n"/>
      <c r="O757" s="84">
        <f>IF(A757="","",IF(E757="","No date",IF(TODAY()&gt;=EDATE(E757,Review_Months),"Review Due","Current")))</f>
        <v/>
      </c>
      <c r="P757" s="84">
        <f>IF(A757="","",IF(COUNTIFS('AFA Rates'!$A$5:$A$1004,A757,'AFA Rates'!$O$5:$O$1004,"&lt;&gt;Expired")&gt;0,"Yes",IF(COUNTIF('AFA Rates'!$A$5:$A$1004,A757)&gt;0,"Expired only","No")))</f>
        <v/>
      </c>
      <c r="Q757" s="84">
        <f>IF(A757="","",COUNTIFS('AFA Rates'!$A$5:$A$1004,A757,'AFA Rates'!$O$5:$O$1004,"&lt;&gt;Expired"))</f>
        <v/>
      </c>
      <c r="R757" s="66" t="n"/>
      <c r="S757" s="64" t="n"/>
      <c r="T757" s="64" t="n"/>
      <c r="U757">
        <f>IF(AND(A757&lt;&gt;"",B757="Paused"),COUNTIFS($A$5:A757,"&lt;&gt;",$B$5:B757,"Paused"),"")</f>
        <v/>
      </c>
      <c r="V757">
        <f>IF(P757="Yes",COUNTIF($P$5:P757,"Yes"),"")</f>
        <v/>
      </c>
      <c r="W757">
        <f>IF(A757="","",COUNTIF($A$5:$A$1004,"&lt;"&amp;A757)+COUNTIF($A$5:A757,A757))</f>
        <v/>
      </c>
      <c r="X757">
        <f>","&amp;SUBSTITUTE(SUBSTITUTE(SUBSTITUTE(UPPER(C757)," ",""),";",","),"/",",")&amp;","</f>
        <v/>
      </c>
      <c r="Y757">
        <f>IF(AND(A757&lt;&gt;"",B757="Active",'State Search'!$C$5&lt;&gt;"",OR(X757=",ALL,",ISNUMBER(SEARCH(","&amp;'State Search'!$C$5&amp;",",X757)))),W757,"")</f>
        <v/>
      </c>
    </row>
    <row r="758">
      <c r="A758" s="64" t="n"/>
      <c r="B758" s="65" t="n"/>
      <c r="C758" s="64" t="n"/>
      <c r="D758" s="66" t="n"/>
      <c r="E758" s="66" t="n"/>
      <c r="F758" s="67" t="n"/>
      <c r="G758" s="67" t="n"/>
      <c r="H758" s="67" t="n"/>
      <c r="I758" s="67" t="n"/>
      <c r="J758" s="67" t="n"/>
      <c r="K758" s="67" t="n"/>
      <c r="L758" s="67" t="n"/>
      <c r="M758" s="67" t="n"/>
      <c r="N758" s="65" t="n"/>
      <c r="O758" s="84">
        <f>IF(A758="","",IF(E758="","No date",IF(TODAY()&gt;=EDATE(E758,Review_Months),"Review Due","Current")))</f>
        <v/>
      </c>
      <c r="P758" s="84">
        <f>IF(A758="","",IF(COUNTIFS('AFA Rates'!$A$5:$A$1004,A758,'AFA Rates'!$O$5:$O$1004,"&lt;&gt;Expired")&gt;0,"Yes",IF(COUNTIF('AFA Rates'!$A$5:$A$1004,A758)&gt;0,"Expired only","No")))</f>
        <v/>
      </c>
      <c r="Q758" s="84">
        <f>IF(A758="","",COUNTIFS('AFA Rates'!$A$5:$A$1004,A758,'AFA Rates'!$O$5:$O$1004,"&lt;&gt;Expired"))</f>
        <v/>
      </c>
      <c r="R758" s="66" t="n"/>
      <c r="S758" s="64" t="n"/>
      <c r="T758" s="64" t="n"/>
      <c r="U758">
        <f>IF(AND(A758&lt;&gt;"",B758="Paused"),COUNTIFS($A$5:A758,"&lt;&gt;",$B$5:B758,"Paused"),"")</f>
        <v/>
      </c>
      <c r="V758">
        <f>IF(P758="Yes",COUNTIF($P$5:P758,"Yes"),"")</f>
        <v/>
      </c>
      <c r="W758">
        <f>IF(A758="","",COUNTIF($A$5:$A$1004,"&lt;"&amp;A758)+COUNTIF($A$5:A758,A758))</f>
        <v/>
      </c>
      <c r="X758">
        <f>","&amp;SUBSTITUTE(SUBSTITUTE(SUBSTITUTE(UPPER(C758)," ",""),";",","),"/",",")&amp;","</f>
        <v/>
      </c>
      <c r="Y758">
        <f>IF(AND(A758&lt;&gt;"",B758="Active",'State Search'!$C$5&lt;&gt;"",OR(X758=",ALL,",ISNUMBER(SEARCH(","&amp;'State Search'!$C$5&amp;",",X758)))),W758,"")</f>
        <v/>
      </c>
    </row>
    <row r="759">
      <c r="A759" s="64" t="n"/>
      <c r="B759" s="65" t="n"/>
      <c r="C759" s="64" t="n"/>
      <c r="D759" s="66" t="n"/>
      <c r="E759" s="66" t="n"/>
      <c r="F759" s="67" t="n"/>
      <c r="G759" s="67" t="n"/>
      <c r="H759" s="67" t="n"/>
      <c r="I759" s="67" t="n"/>
      <c r="J759" s="67" t="n"/>
      <c r="K759" s="67" t="n"/>
      <c r="L759" s="67" t="n"/>
      <c r="M759" s="67" t="n"/>
      <c r="N759" s="65" t="n"/>
      <c r="O759" s="84">
        <f>IF(A759="","",IF(E759="","No date",IF(TODAY()&gt;=EDATE(E759,Review_Months),"Review Due","Current")))</f>
        <v/>
      </c>
      <c r="P759" s="84">
        <f>IF(A759="","",IF(COUNTIFS('AFA Rates'!$A$5:$A$1004,A759,'AFA Rates'!$O$5:$O$1004,"&lt;&gt;Expired")&gt;0,"Yes",IF(COUNTIF('AFA Rates'!$A$5:$A$1004,A759)&gt;0,"Expired only","No")))</f>
        <v/>
      </c>
      <c r="Q759" s="84">
        <f>IF(A759="","",COUNTIFS('AFA Rates'!$A$5:$A$1004,A759,'AFA Rates'!$O$5:$O$1004,"&lt;&gt;Expired"))</f>
        <v/>
      </c>
      <c r="R759" s="66" t="n"/>
      <c r="S759" s="64" t="n"/>
      <c r="T759" s="64" t="n"/>
      <c r="U759">
        <f>IF(AND(A759&lt;&gt;"",B759="Paused"),COUNTIFS($A$5:A759,"&lt;&gt;",$B$5:B759,"Paused"),"")</f>
        <v/>
      </c>
      <c r="V759">
        <f>IF(P759="Yes",COUNTIF($P$5:P759,"Yes"),"")</f>
        <v/>
      </c>
      <c r="W759">
        <f>IF(A759="","",COUNTIF($A$5:$A$1004,"&lt;"&amp;A759)+COUNTIF($A$5:A759,A759))</f>
        <v/>
      </c>
      <c r="X759">
        <f>","&amp;SUBSTITUTE(SUBSTITUTE(SUBSTITUTE(UPPER(C759)," ",""),";",","),"/",",")&amp;","</f>
        <v/>
      </c>
      <c r="Y759">
        <f>IF(AND(A759&lt;&gt;"",B759="Active",'State Search'!$C$5&lt;&gt;"",OR(X759=",ALL,",ISNUMBER(SEARCH(","&amp;'State Search'!$C$5&amp;",",X759)))),W759,"")</f>
        <v/>
      </c>
    </row>
    <row r="760">
      <c r="A760" s="64" t="n"/>
      <c r="B760" s="65" t="n"/>
      <c r="C760" s="64" t="n"/>
      <c r="D760" s="66" t="n"/>
      <c r="E760" s="66" t="n"/>
      <c r="F760" s="67" t="n"/>
      <c r="G760" s="67" t="n"/>
      <c r="H760" s="67" t="n"/>
      <c r="I760" s="67" t="n"/>
      <c r="J760" s="67" t="n"/>
      <c r="K760" s="67" t="n"/>
      <c r="L760" s="67" t="n"/>
      <c r="M760" s="67" t="n"/>
      <c r="N760" s="65" t="n"/>
      <c r="O760" s="84">
        <f>IF(A760="","",IF(E760="","No date",IF(TODAY()&gt;=EDATE(E760,Review_Months),"Review Due","Current")))</f>
        <v/>
      </c>
      <c r="P760" s="84">
        <f>IF(A760="","",IF(COUNTIFS('AFA Rates'!$A$5:$A$1004,A760,'AFA Rates'!$O$5:$O$1004,"&lt;&gt;Expired")&gt;0,"Yes",IF(COUNTIF('AFA Rates'!$A$5:$A$1004,A760)&gt;0,"Expired only","No")))</f>
        <v/>
      </c>
      <c r="Q760" s="84">
        <f>IF(A760="","",COUNTIFS('AFA Rates'!$A$5:$A$1004,A760,'AFA Rates'!$O$5:$O$1004,"&lt;&gt;Expired"))</f>
        <v/>
      </c>
      <c r="R760" s="66" t="n"/>
      <c r="S760" s="64" t="n"/>
      <c r="T760" s="64" t="n"/>
      <c r="U760">
        <f>IF(AND(A760&lt;&gt;"",B760="Paused"),COUNTIFS($A$5:A760,"&lt;&gt;",$B$5:B760,"Paused"),"")</f>
        <v/>
      </c>
      <c r="V760">
        <f>IF(P760="Yes",COUNTIF($P$5:P760,"Yes"),"")</f>
        <v/>
      </c>
      <c r="W760">
        <f>IF(A760="","",COUNTIF($A$5:$A$1004,"&lt;"&amp;A760)+COUNTIF($A$5:A760,A760))</f>
        <v/>
      </c>
      <c r="X760">
        <f>","&amp;SUBSTITUTE(SUBSTITUTE(SUBSTITUTE(UPPER(C760)," ",""),";",","),"/",",")&amp;","</f>
        <v/>
      </c>
      <c r="Y760">
        <f>IF(AND(A760&lt;&gt;"",B760="Active",'State Search'!$C$5&lt;&gt;"",OR(X760=",ALL,",ISNUMBER(SEARCH(","&amp;'State Search'!$C$5&amp;",",X760)))),W760,"")</f>
        <v/>
      </c>
    </row>
    <row r="761">
      <c r="A761" s="64" t="n"/>
      <c r="B761" s="65" t="n"/>
      <c r="C761" s="64" t="n"/>
      <c r="D761" s="66" t="n"/>
      <c r="E761" s="66" t="n"/>
      <c r="F761" s="67" t="n"/>
      <c r="G761" s="67" t="n"/>
      <c r="H761" s="67" t="n"/>
      <c r="I761" s="67" t="n"/>
      <c r="J761" s="67" t="n"/>
      <c r="K761" s="67" t="n"/>
      <c r="L761" s="67" t="n"/>
      <c r="M761" s="67" t="n"/>
      <c r="N761" s="65" t="n"/>
      <c r="O761" s="84">
        <f>IF(A761="","",IF(E761="","No date",IF(TODAY()&gt;=EDATE(E761,Review_Months),"Review Due","Current")))</f>
        <v/>
      </c>
      <c r="P761" s="84">
        <f>IF(A761="","",IF(COUNTIFS('AFA Rates'!$A$5:$A$1004,A761,'AFA Rates'!$O$5:$O$1004,"&lt;&gt;Expired")&gt;0,"Yes",IF(COUNTIF('AFA Rates'!$A$5:$A$1004,A761)&gt;0,"Expired only","No")))</f>
        <v/>
      </c>
      <c r="Q761" s="84">
        <f>IF(A761="","",COUNTIFS('AFA Rates'!$A$5:$A$1004,A761,'AFA Rates'!$O$5:$O$1004,"&lt;&gt;Expired"))</f>
        <v/>
      </c>
      <c r="R761" s="66" t="n"/>
      <c r="S761" s="64" t="n"/>
      <c r="T761" s="64" t="n"/>
      <c r="U761">
        <f>IF(AND(A761&lt;&gt;"",B761="Paused"),COUNTIFS($A$5:A761,"&lt;&gt;",$B$5:B761,"Paused"),"")</f>
        <v/>
      </c>
      <c r="V761">
        <f>IF(P761="Yes",COUNTIF($P$5:P761,"Yes"),"")</f>
        <v/>
      </c>
      <c r="W761">
        <f>IF(A761="","",COUNTIF($A$5:$A$1004,"&lt;"&amp;A761)+COUNTIF($A$5:A761,A761))</f>
        <v/>
      </c>
      <c r="X761">
        <f>","&amp;SUBSTITUTE(SUBSTITUTE(SUBSTITUTE(UPPER(C761)," ",""),";",","),"/",",")&amp;","</f>
        <v/>
      </c>
      <c r="Y761">
        <f>IF(AND(A761&lt;&gt;"",B761="Active",'State Search'!$C$5&lt;&gt;"",OR(X761=",ALL,",ISNUMBER(SEARCH(","&amp;'State Search'!$C$5&amp;",",X761)))),W761,"")</f>
        <v/>
      </c>
    </row>
    <row r="762">
      <c r="A762" s="64" t="n"/>
      <c r="B762" s="65" t="n"/>
      <c r="C762" s="64" t="n"/>
      <c r="D762" s="66" t="n"/>
      <c r="E762" s="66" t="n"/>
      <c r="F762" s="67" t="n"/>
      <c r="G762" s="67" t="n"/>
      <c r="H762" s="67" t="n"/>
      <c r="I762" s="67" t="n"/>
      <c r="J762" s="67" t="n"/>
      <c r="K762" s="67" t="n"/>
      <c r="L762" s="67" t="n"/>
      <c r="M762" s="67" t="n"/>
      <c r="N762" s="65" t="n"/>
      <c r="O762" s="84">
        <f>IF(A762="","",IF(E762="","No date",IF(TODAY()&gt;=EDATE(E762,Review_Months),"Review Due","Current")))</f>
        <v/>
      </c>
      <c r="P762" s="84">
        <f>IF(A762="","",IF(COUNTIFS('AFA Rates'!$A$5:$A$1004,A762,'AFA Rates'!$O$5:$O$1004,"&lt;&gt;Expired")&gt;0,"Yes",IF(COUNTIF('AFA Rates'!$A$5:$A$1004,A762)&gt;0,"Expired only","No")))</f>
        <v/>
      </c>
      <c r="Q762" s="84">
        <f>IF(A762="","",COUNTIFS('AFA Rates'!$A$5:$A$1004,A762,'AFA Rates'!$O$5:$O$1004,"&lt;&gt;Expired"))</f>
        <v/>
      </c>
      <c r="R762" s="66" t="n"/>
      <c r="S762" s="64" t="n"/>
      <c r="T762" s="64" t="n"/>
      <c r="U762">
        <f>IF(AND(A762&lt;&gt;"",B762="Paused"),COUNTIFS($A$5:A762,"&lt;&gt;",$B$5:B762,"Paused"),"")</f>
        <v/>
      </c>
      <c r="V762">
        <f>IF(P762="Yes",COUNTIF($P$5:P762,"Yes"),"")</f>
        <v/>
      </c>
      <c r="W762">
        <f>IF(A762="","",COUNTIF($A$5:$A$1004,"&lt;"&amp;A762)+COUNTIF($A$5:A762,A762))</f>
        <v/>
      </c>
      <c r="X762">
        <f>","&amp;SUBSTITUTE(SUBSTITUTE(SUBSTITUTE(UPPER(C762)," ",""),";",","),"/",",")&amp;","</f>
        <v/>
      </c>
      <c r="Y762">
        <f>IF(AND(A762&lt;&gt;"",B762="Active",'State Search'!$C$5&lt;&gt;"",OR(X762=",ALL,",ISNUMBER(SEARCH(","&amp;'State Search'!$C$5&amp;",",X762)))),W762,"")</f>
        <v/>
      </c>
    </row>
    <row r="763">
      <c r="A763" s="64" t="n"/>
      <c r="B763" s="65" t="n"/>
      <c r="C763" s="64" t="n"/>
      <c r="D763" s="66" t="n"/>
      <c r="E763" s="66" t="n"/>
      <c r="F763" s="67" t="n"/>
      <c r="G763" s="67" t="n"/>
      <c r="H763" s="67" t="n"/>
      <c r="I763" s="67" t="n"/>
      <c r="J763" s="67" t="n"/>
      <c r="K763" s="67" t="n"/>
      <c r="L763" s="67" t="n"/>
      <c r="M763" s="67" t="n"/>
      <c r="N763" s="65" t="n"/>
      <c r="O763" s="84">
        <f>IF(A763="","",IF(E763="","No date",IF(TODAY()&gt;=EDATE(E763,Review_Months),"Review Due","Current")))</f>
        <v/>
      </c>
      <c r="P763" s="84">
        <f>IF(A763="","",IF(COUNTIFS('AFA Rates'!$A$5:$A$1004,A763,'AFA Rates'!$O$5:$O$1004,"&lt;&gt;Expired")&gt;0,"Yes",IF(COUNTIF('AFA Rates'!$A$5:$A$1004,A763)&gt;0,"Expired only","No")))</f>
        <v/>
      </c>
      <c r="Q763" s="84">
        <f>IF(A763="","",COUNTIFS('AFA Rates'!$A$5:$A$1004,A763,'AFA Rates'!$O$5:$O$1004,"&lt;&gt;Expired"))</f>
        <v/>
      </c>
      <c r="R763" s="66" t="n"/>
      <c r="S763" s="64" t="n"/>
      <c r="T763" s="64" t="n"/>
      <c r="U763">
        <f>IF(AND(A763&lt;&gt;"",B763="Paused"),COUNTIFS($A$5:A763,"&lt;&gt;",$B$5:B763,"Paused"),"")</f>
        <v/>
      </c>
      <c r="V763">
        <f>IF(P763="Yes",COUNTIF($P$5:P763,"Yes"),"")</f>
        <v/>
      </c>
      <c r="W763">
        <f>IF(A763="","",COUNTIF($A$5:$A$1004,"&lt;"&amp;A763)+COUNTIF($A$5:A763,A763))</f>
        <v/>
      </c>
      <c r="X763">
        <f>","&amp;SUBSTITUTE(SUBSTITUTE(SUBSTITUTE(UPPER(C763)," ",""),";",","),"/",",")&amp;","</f>
        <v/>
      </c>
      <c r="Y763">
        <f>IF(AND(A763&lt;&gt;"",B763="Active",'State Search'!$C$5&lt;&gt;"",OR(X763=",ALL,",ISNUMBER(SEARCH(","&amp;'State Search'!$C$5&amp;",",X763)))),W763,"")</f>
        <v/>
      </c>
    </row>
    <row r="764">
      <c r="A764" s="64" t="n"/>
      <c r="B764" s="65" t="n"/>
      <c r="C764" s="64" t="n"/>
      <c r="D764" s="66" t="n"/>
      <c r="E764" s="66" t="n"/>
      <c r="F764" s="67" t="n"/>
      <c r="G764" s="67" t="n"/>
      <c r="H764" s="67" t="n"/>
      <c r="I764" s="67" t="n"/>
      <c r="J764" s="67" t="n"/>
      <c r="K764" s="67" t="n"/>
      <c r="L764" s="67" t="n"/>
      <c r="M764" s="67" t="n"/>
      <c r="N764" s="65" t="n"/>
      <c r="O764" s="84">
        <f>IF(A764="","",IF(E764="","No date",IF(TODAY()&gt;=EDATE(E764,Review_Months),"Review Due","Current")))</f>
        <v/>
      </c>
      <c r="P764" s="84">
        <f>IF(A764="","",IF(COUNTIFS('AFA Rates'!$A$5:$A$1004,A764,'AFA Rates'!$O$5:$O$1004,"&lt;&gt;Expired")&gt;0,"Yes",IF(COUNTIF('AFA Rates'!$A$5:$A$1004,A764)&gt;0,"Expired only","No")))</f>
        <v/>
      </c>
      <c r="Q764" s="84">
        <f>IF(A764="","",COUNTIFS('AFA Rates'!$A$5:$A$1004,A764,'AFA Rates'!$O$5:$O$1004,"&lt;&gt;Expired"))</f>
        <v/>
      </c>
      <c r="R764" s="66" t="n"/>
      <c r="S764" s="64" t="n"/>
      <c r="T764" s="64" t="n"/>
      <c r="U764">
        <f>IF(AND(A764&lt;&gt;"",B764="Paused"),COUNTIFS($A$5:A764,"&lt;&gt;",$B$5:B764,"Paused"),"")</f>
        <v/>
      </c>
      <c r="V764">
        <f>IF(P764="Yes",COUNTIF($P$5:P764,"Yes"),"")</f>
        <v/>
      </c>
      <c r="W764">
        <f>IF(A764="","",COUNTIF($A$5:$A$1004,"&lt;"&amp;A764)+COUNTIF($A$5:A764,A764))</f>
        <v/>
      </c>
      <c r="X764">
        <f>","&amp;SUBSTITUTE(SUBSTITUTE(SUBSTITUTE(UPPER(C764)," ",""),";",","),"/",",")&amp;","</f>
        <v/>
      </c>
      <c r="Y764">
        <f>IF(AND(A764&lt;&gt;"",B764="Active",'State Search'!$C$5&lt;&gt;"",OR(X764=",ALL,",ISNUMBER(SEARCH(","&amp;'State Search'!$C$5&amp;",",X764)))),W764,"")</f>
        <v/>
      </c>
    </row>
    <row r="765">
      <c r="A765" s="64" t="n"/>
      <c r="B765" s="65" t="n"/>
      <c r="C765" s="64" t="n"/>
      <c r="D765" s="66" t="n"/>
      <c r="E765" s="66" t="n"/>
      <c r="F765" s="67" t="n"/>
      <c r="G765" s="67" t="n"/>
      <c r="H765" s="67" t="n"/>
      <c r="I765" s="67" t="n"/>
      <c r="J765" s="67" t="n"/>
      <c r="K765" s="67" t="n"/>
      <c r="L765" s="67" t="n"/>
      <c r="M765" s="67" t="n"/>
      <c r="N765" s="65" t="n"/>
      <c r="O765" s="84">
        <f>IF(A765="","",IF(E765="","No date",IF(TODAY()&gt;=EDATE(E765,Review_Months),"Review Due","Current")))</f>
        <v/>
      </c>
      <c r="P765" s="84">
        <f>IF(A765="","",IF(COUNTIFS('AFA Rates'!$A$5:$A$1004,A765,'AFA Rates'!$O$5:$O$1004,"&lt;&gt;Expired")&gt;0,"Yes",IF(COUNTIF('AFA Rates'!$A$5:$A$1004,A765)&gt;0,"Expired only","No")))</f>
        <v/>
      </c>
      <c r="Q765" s="84">
        <f>IF(A765="","",COUNTIFS('AFA Rates'!$A$5:$A$1004,A765,'AFA Rates'!$O$5:$O$1004,"&lt;&gt;Expired"))</f>
        <v/>
      </c>
      <c r="R765" s="66" t="n"/>
      <c r="S765" s="64" t="n"/>
      <c r="T765" s="64" t="n"/>
      <c r="U765">
        <f>IF(AND(A765&lt;&gt;"",B765="Paused"),COUNTIFS($A$5:A765,"&lt;&gt;",$B$5:B765,"Paused"),"")</f>
        <v/>
      </c>
      <c r="V765">
        <f>IF(P765="Yes",COUNTIF($P$5:P765,"Yes"),"")</f>
        <v/>
      </c>
      <c r="W765">
        <f>IF(A765="","",COUNTIF($A$5:$A$1004,"&lt;"&amp;A765)+COUNTIF($A$5:A765,A765))</f>
        <v/>
      </c>
      <c r="X765">
        <f>","&amp;SUBSTITUTE(SUBSTITUTE(SUBSTITUTE(UPPER(C765)," ",""),";",","),"/",",")&amp;","</f>
        <v/>
      </c>
      <c r="Y765">
        <f>IF(AND(A765&lt;&gt;"",B765="Active",'State Search'!$C$5&lt;&gt;"",OR(X765=",ALL,",ISNUMBER(SEARCH(","&amp;'State Search'!$C$5&amp;",",X765)))),W765,"")</f>
        <v/>
      </c>
    </row>
    <row r="766">
      <c r="A766" s="64" t="n"/>
      <c r="B766" s="65" t="n"/>
      <c r="C766" s="64" t="n"/>
      <c r="D766" s="66" t="n"/>
      <c r="E766" s="66" t="n"/>
      <c r="F766" s="67" t="n"/>
      <c r="G766" s="67" t="n"/>
      <c r="H766" s="67" t="n"/>
      <c r="I766" s="67" t="n"/>
      <c r="J766" s="67" t="n"/>
      <c r="K766" s="67" t="n"/>
      <c r="L766" s="67" t="n"/>
      <c r="M766" s="67" t="n"/>
      <c r="N766" s="65" t="n"/>
      <c r="O766" s="84">
        <f>IF(A766="","",IF(E766="","No date",IF(TODAY()&gt;=EDATE(E766,Review_Months),"Review Due","Current")))</f>
        <v/>
      </c>
      <c r="P766" s="84">
        <f>IF(A766="","",IF(COUNTIFS('AFA Rates'!$A$5:$A$1004,A766,'AFA Rates'!$O$5:$O$1004,"&lt;&gt;Expired")&gt;0,"Yes",IF(COUNTIF('AFA Rates'!$A$5:$A$1004,A766)&gt;0,"Expired only","No")))</f>
        <v/>
      </c>
      <c r="Q766" s="84">
        <f>IF(A766="","",COUNTIFS('AFA Rates'!$A$5:$A$1004,A766,'AFA Rates'!$O$5:$O$1004,"&lt;&gt;Expired"))</f>
        <v/>
      </c>
      <c r="R766" s="66" t="n"/>
      <c r="S766" s="64" t="n"/>
      <c r="T766" s="64" t="n"/>
      <c r="U766">
        <f>IF(AND(A766&lt;&gt;"",B766="Paused"),COUNTIFS($A$5:A766,"&lt;&gt;",$B$5:B766,"Paused"),"")</f>
        <v/>
      </c>
      <c r="V766">
        <f>IF(P766="Yes",COUNTIF($P$5:P766,"Yes"),"")</f>
        <v/>
      </c>
      <c r="W766">
        <f>IF(A766="","",COUNTIF($A$5:$A$1004,"&lt;"&amp;A766)+COUNTIF($A$5:A766,A766))</f>
        <v/>
      </c>
      <c r="X766">
        <f>","&amp;SUBSTITUTE(SUBSTITUTE(SUBSTITUTE(UPPER(C766)," ",""),";",","),"/",",")&amp;","</f>
        <v/>
      </c>
      <c r="Y766">
        <f>IF(AND(A766&lt;&gt;"",B766="Active",'State Search'!$C$5&lt;&gt;"",OR(X766=",ALL,",ISNUMBER(SEARCH(","&amp;'State Search'!$C$5&amp;",",X766)))),W766,"")</f>
        <v/>
      </c>
    </row>
    <row r="767">
      <c r="A767" s="64" t="n"/>
      <c r="B767" s="65" t="n"/>
      <c r="C767" s="64" t="n"/>
      <c r="D767" s="66" t="n"/>
      <c r="E767" s="66" t="n"/>
      <c r="F767" s="67" t="n"/>
      <c r="G767" s="67" t="n"/>
      <c r="H767" s="67" t="n"/>
      <c r="I767" s="67" t="n"/>
      <c r="J767" s="67" t="n"/>
      <c r="K767" s="67" t="n"/>
      <c r="L767" s="67" t="n"/>
      <c r="M767" s="67" t="n"/>
      <c r="N767" s="65" t="n"/>
      <c r="O767" s="84">
        <f>IF(A767="","",IF(E767="","No date",IF(TODAY()&gt;=EDATE(E767,Review_Months),"Review Due","Current")))</f>
        <v/>
      </c>
      <c r="P767" s="84">
        <f>IF(A767="","",IF(COUNTIFS('AFA Rates'!$A$5:$A$1004,A767,'AFA Rates'!$O$5:$O$1004,"&lt;&gt;Expired")&gt;0,"Yes",IF(COUNTIF('AFA Rates'!$A$5:$A$1004,A767)&gt;0,"Expired only","No")))</f>
        <v/>
      </c>
      <c r="Q767" s="84">
        <f>IF(A767="","",COUNTIFS('AFA Rates'!$A$5:$A$1004,A767,'AFA Rates'!$O$5:$O$1004,"&lt;&gt;Expired"))</f>
        <v/>
      </c>
      <c r="R767" s="66" t="n"/>
      <c r="S767" s="64" t="n"/>
      <c r="T767" s="64" t="n"/>
      <c r="U767">
        <f>IF(AND(A767&lt;&gt;"",B767="Paused"),COUNTIFS($A$5:A767,"&lt;&gt;",$B$5:B767,"Paused"),"")</f>
        <v/>
      </c>
      <c r="V767">
        <f>IF(P767="Yes",COUNTIF($P$5:P767,"Yes"),"")</f>
        <v/>
      </c>
      <c r="W767">
        <f>IF(A767="","",COUNTIF($A$5:$A$1004,"&lt;"&amp;A767)+COUNTIF($A$5:A767,A767))</f>
        <v/>
      </c>
      <c r="X767">
        <f>","&amp;SUBSTITUTE(SUBSTITUTE(SUBSTITUTE(UPPER(C767)," ",""),";",","),"/",",")&amp;","</f>
        <v/>
      </c>
      <c r="Y767">
        <f>IF(AND(A767&lt;&gt;"",B767="Active",'State Search'!$C$5&lt;&gt;"",OR(X767=",ALL,",ISNUMBER(SEARCH(","&amp;'State Search'!$C$5&amp;",",X767)))),W767,"")</f>
        <v/>
      </c>
    </row>
    <row r="768">
      <c r="A768" s="64" t="n"/>
      <c r="B768" s="65" t="n"/>
      <c r="C768" s="64" t="n"/>
      <c r="D768" s="66" t="n"/>
      <c r="E768" s="66" t="n"/>
      <c r="F768" s="67" t="n"/>
      <c r="G768" s="67" t="n"/>
      <c r="H768" s="67" t="n"/>
      <c r="I768" s="67" t="n"/>
      <c r="J768" s="67" t="n"/>
      <c r="K768" s="67" t="n"/>
      <c r="L768" s="67" t="n"/>
      <c r="M768" s="67" t="n"/>
      <c r="N768" s="65" t="n"/>
      <c r="O768" s="84">
        <f>IF(A768="","",IF(E768="","No date",IF(TODAY()&gt;=EDATE(E768,Review_Months),"Review Due","Current")))</f>
        <v/>
      </c>
      <c r="P768" s="84">
        <f>IF(A768="","",IF(COUNTIFS('AFA Rates'!$A$5:$A$1004,A768,'AFA Rates'!$O$5:$O$1004,"&lt;&gt;Expired")&gt;0,"Yes",IF(COUNTIF('AFA Rates'!$A$5:$A$1004,A768)&gt;0,"Expired only","No")))</f>
        <v/>
      </c>
      <c r="Q768" s="84">
        <f>IF(A768="","",COUNTIFS('AFA Rates'!$A$5:$A$1004,A768,'AFA Rates'!$O$5:$O$1004,"&lt;&gt;Expired"))</f>
        <v/>
      </c>
      <c r="R768" s="66" t="n"/>
      <c r="S768" s="64" t="n"/>
      <c r="T768" s="64" t="n"/>
      <c r="U768">
        <f>IF(AND(A768&lt;&gt;"",B768="Paused"),COUNTIFS($A$5:A768,"&lt;&gt;",$B$5:B768,"Paused"),"")</f>
        <v/>
      </c>
      <c r="V768">
        <f>IF(P768="Yes",COUNTIF($P$5:P768,"Yes"),"")</f>
        <v/>
      </c>
      <c r="W768">
        <f>IF(A768="","",COUNTIF($A$5:$A$1004,"&lt;"&amp;A768)+COUNTIF($A$5:A768,A768))</f>
        <v/>
      </c>
      <c r="X768">
        <f>","&amp;SUBSTITUTE(SUBSTITUTE(SUBSTITUTE(UPPER(C768)," ",""),";",","),"/",",")&amp;","</f>
        <v/>
      </c>
      <c r="Y768">
        <f>IF(AND(A768&lt;&gt;"",B768="Active",'State Search'!$C$5&lt;&gt;"",OR(X768=",ALL,",ISNUMBER(SEARCH(","&amp;'State Search'!$C$5&amp;",",X768)))),W768,"")</f>
        <v/>
      </c>
    </row>
    <row r="769">
      <c r="A769" s="64" t="n"/>
      <c r="B769" s="65" t="n"/>
      <c r="C769" s="64" t="n"/>
      <c r="D769" s="66" t="n"/>
      <c r="E769" s="66" t="n"/>
      <c r="F769" s="67" t="n"/>
      <c r="G769" s="67" t="n"/>
      <c r="H769" s="67" t="n"/>
      <c r="I769" s="67" t="n"/>
      <c r="J769" s="67" t="n"/>
      <c r="K769" s="67" t="n"/>
      <c r="L769" s="67" t="n"/>
      <c r="M769" s="67" t="n"/>
      <c r="N769" s="65" t="n"/>
      <c r="O769" s="84">
        <f>IF(A769="","",IF(E769="","No date",IF(TODAY()&gt;=EDATE(E769,Review_Months),"Review Due","Current")))</f>
        <v/>
      </c>
      <c r="P769" s="84">
        <f>IF(A769="","",IF(COUNTIFS('AFA Rates'!$A$5:$A$1004,A769,'AFA Rates'!$O$5:$O$1004,"&lt;&gt;Expired")&gt;0,"Yes",IF(COUNTIF('AFA Rates'!$A$5:$A$1004,A769)&gt;0,"Expired only","No")))</f>
        <v/>
      </c>
      <c r="Q769" s="84">
        <f>IF(A769="","",COUNTIFS('AFA Rates'!$A$5:$A$1004,A769,'AFA Rates'!$O$5:$O$1004,"&lt;&gt;Expired"))</f>
        <v/>
      </c>
      <c r="R769" s="66" t="n"/>
      <c r="S769" s="64" t="n"/>
      <c r="T769" s="64" t="n"/>
      <c r="U769">
        <f>IF(AND(A769&lt;&gt;"",B769="Paused"),COUNTIFS($A$5:A769,"&lt;&gt;",$B$5:B769,"Paused"),"")</f>
        <v/>
      </c>
      <c r="V769">
        <f>IF(P769="Yes",COUNTIF($P$5:P769,"Yes"),"")</f>
        <v/>
      </c>
      <c r="W769">
        <f>IF(A769="","",COUNTIF($A$5:$A$1004,"&lt;"&amp;A769)+COUNTIF($A$5:A769,A769))</f>
        <v/>
      </c>
      <c r="X769">
        <f>","&amp;SUBSTITUTE(SUBSTITUTE(SUBSTITUTE(UPPER(C769)," ",""),";",","),"/",",")&amp;","</f>
        <v/>
      </c>
      <c r="Y769">
        <f>IF(AND(A769&lt;&gt;"",B769="Active",'State Search'!$C$5&lt;&gt;"",OR(X769=",ALL,",ISNUMBER(SEARCH(","&amp;'State Search'!$C$5&amp;",",X769)))),W769,"")</f>
        <v/>
      </c>
    </row>
    <row r="770">
      <c r="A770" s="64" t="n"/>
      <c r="B770" s="65" t="n"/>
      <c r="C770" s="64" t="n"/>
      <c r="D770" s="66" t="n"/>
      <c r="E770" s="66" t="n"/>
      <c r="F770" s="67" t="n"/>
      <c r="G770" s="67" t="n"/>
      <c r="H770" s="67" t="n"/>
      <c r="I770" s="67" t="n"/>
      <c r="J770" s="67" t="n"/>
      <c r="K770" s="67" t="n"/>
      <c r="L770" s="67" t="n"/>
      <c r="M770" s="67" t="n"/>
      <c r="N770" s="65" t="n"/>
      <c r="O770" s="84">
        <f>IF(A770="","",IF(E770="","No date",IF(TODAY()&gt;=EDATE(E770,Review_Months),"Review Due","Current")))</f>
        <v/>
      </c>
      <c r="P770" s="84">
        <f>IF(A770="","",IF(COUNTIFS('AFA Rates'!$A$5:$A$1004,A770,'AFA Rates'!$O$5:$O$1004,"&lt;&gt;Expired")&gt;0,"Yes",IF(COUNTIF('AFA Rates'!$A$5:$A$1004,A770)&gt;0,"Expired only","No")))</f>
        <v/>
      </c>
      <c r="Q770" s="84">
        <f>IF(A770="","",COUNTIFS('AFA Rates'!$A$5:$A$1004,A770,'AFA Rates'!$O$5:$O$1004,"&lt;&gt;Expired"))</f>
        <v/>
      </c>
      <c r="R770" s="66" t="n"/>
      <c r="S770" s="64" t="n"/>
      <c r="T770" s="64" t="n"/>
      <c r="U770">
        <f>IF(AND(A770&lt;&gt;"",B770="Paused"),COUNTIFS($A$5:A770,"&lt;&gt;",$B$5:B770,"Paused"),"")</f>
        <v/>
      </c>
      <c r="V770">
        <f>IF(P770="Yes",COUNTIF($P$5:P770,"Yes"),"")</f>
        <v/>
      </c>
      <c r="W770">
        <f>IF(A770="","",COUNTIF($A$5:$A$1004,"&lt;"&amp;A770)+COUNTIF($A$5:A770,A770))</f>
        <v/>
      </c>
      <c r="X770">
        <f>","&amp;SUBSTITUTE(SUBSTITUTE(SUBSTITUTE(UPPER(C770)," ",""),";",","),"/",",")&amp;","</f>
        <v/>
      </c>
      <c r="Y770">
        <f>IF(AND(A770&lt;&gt;"",B770="Active",'State Search'!$C$5&lt;&gt;"",OR(X770=",ALL,",ISNUMBER(SEARCH(","&amp;'State Search'!$C$5&amp;",",X770)))),W770,"")</f>
        <v/>
      </c>
    </row>
    <row r="771">
      <c r="A771" s="64" t="n"/>
      <c r="B771" s="65" t="n"/>
      <c r="C771" s="64" t="n"/>
      <c r="D771" s="66" t="n"/>
      <c r="E771" s="66" t="n"/>
      <c r="F771" s="67" t="n"/>
      <c r="G771" s="67" t="n"/>
      <c r="H771" s="67" t="n"/>
      <c r="I771" s="67" t="n"/>
      <c r="J771" s="67" t="n"/>
      <c r="K771" s="67" t="n"/>
      <c r="L771" s="67" t="n"/>
      <c r="M771" s="67" t="n"/>
      <c r="N771" s="65" t="n"/>
      <c r="O771" s="84">
        <f>IF(A771="","",IF(E771="","No date",IF(TODAY()&gt;=EDATE(E771,Review_Months),"Review Due","Current")))</f>
        <v/>
      </c>
      <c r="P771" s="84">
        <f>IF(A771="","",IF(COUNTIFS('AFA Rates'!$A$5:$A$1004,A771,'AFA Rates'!$O$5:$O$1004,"&lt;&gt;Expired")&gt;0,"Yes",IF(COUNTIF('AFA Rates'!$A$5:$A$1004,A771)&gt;0,"Expired only","No")))</f>
        <v/>
      </c>
      <c r="Q771" s="84">
        <f>IF(A771="","",COUNTIFS('AFA Rates'!$A$5:$A$1004,A771,'AFA Rates'!$O$5:$O$1004,"&lt;&gt;Expired"))</f>
        <v/>
      </c>
      <c r="R771" s="66" t="n"/>
      <c r="S771" s="64" t="n"/>
      <c r="T771" s="64" t="n"/>
      <c r="U771">
        <f>IF(AND(A771&lt;&gt;"",B771="Paused"),COUNTIFS($A$5:A771,"&lt;&gt;",$B$5:B771,"Paused"),"")</f>
        <v/>
      </c>
      <c r="V771">
        <f>IF(P771="Yes",COUNTIF($P$5:P771,"Yes"),"")</f>
        <v/>
      </c>
      <c r="W771">
        <f>IF(A771="","",COUNTIF($A$5:$A$1004,"&lt;"&amp;A771)+COUNTIF($A$5:A771,A771))</f>
        <v/>
      </c>
      <c r="X771">
        <f>","&amp;SUBSTITUTE(SUBSTITUTE(SUBSTITUTE(UPPER(C771)," ",""),";",","),"/",",")&amp;","</f>
        <v/>
      </c>
      <c r="Y771">
        <f>IF(AND(A771&lt;&gt;"",B771="Active",'State Search'!$C$5&lt;&gt;"",OR(X771=",ALL,",ISNUMBER(SEARCH(","&amp;'State Search'!$C$5&amp;",",X771)))),W771,"")</f>
        <v/>
      </c>
    </row>
    <row r="772">
      <c r="A772" s="64" t="n"/>
      <c r="B772" s="65" t="n"/>
      <c r="C772" s="64" t="n"/>
      <c r="D772" s="66" t="n"/>
      <c r="E772" s="66" t="n"/>
      <c r="F772" s="67" t="n"/>
      <c r="G772" s="67" t="n"/>
      <c r="H772" s="67" t="n"/>
      <c r="I772" s="67" t="n"/>
      <c r="J772" s="67" t="n"/>
      <c r="K772" s="67" t="n"/>
      <c r="L772" s="67" t="n"/>
      <c r="M772" s="67" t="n"/>
      <c r="N772" s="65" t="n"/>
      <c r="O772" s="84">
        <f>IF(A772="","",IF(E772="","No date",IF(TODAY()&gt;=EDATE(E772,Review_Months),"Review Due","Current")))</f>
        <v/>
      </c>
      <c r="P772" s="84">
        <f>IF(A772="","",IF(COUNTIFS('AFA Rates'!$A$5:$A$1004,A772,'AFA Rates'!$O$5:$O$1004,"&lt;&gt;Expired")&gt;0,"Yes",IF(COUNTIF('AFA Rates'!$A$5:$A$1004,A772)&gt;0,"Expired only","No")))</f>
        <v/>
      </c>
      <c r="Q772" s="84">
        <f>IF(A772="","",COUNTIFS('AFA Rates'!$A$5:$A$1004,A772,'AFA Rates'!$O$5:$O$1004,"&lt;&gt;Expired"))</f>
        <v/>
      </c>
      <c r="R772" s="66" t="n"/>
      <c r="S772" s="64" t="n"/>
      <c r="T772" s="64" t="n"/>
      <c r="U772">
        <f>IF(AND(A772&lt;&gt;"",B772="Paused"),COUNTIFS($A$5:A772,"&lt;&gt;",$B$5:B772,"Paused"),"")</f>
        <v/>
      </c>
      <c r="V772">
        <f>IF(P772="Yes",COUNTIF($P$5:P772,"Yes"),"")</f>
        <v/>
      </c>
      <c r="W772">
        <f>IF(A772="","",COUNTIF($A$5:$A$1004,"&lt;"&amp;A772)+COUNTIF($A$5:A772,A772))</f>
        <v/>
      </c>
      <c r="X772">
        <f>","&amp;SUBSTITUTE(SUBSTITUTE(SUBSTITUTE(UPPER(C772)," ",""),";",","),"/",",")&amp;","</f>
        <v/>
      </c>
      <c r="Y772">
        <f>IF(AND(A772&lt;&gt;"",B772="Active",'State Search'!$C$5&lt;&gt;"",OR(X772=",ALL,",ISNUMBER(SEARCH(","&amp;'State Search'!$C$5&amp;",",X772)))),W772,"")</f>
        <v/>
      </c>
    </row>
    <row r="773">
      <c r="A773" s="64" t="n"/>
      <c r="B773" s="65" t="n"/>
      <c r="C773" s="64" t="n"/>
      <c r="D773" s="66" t="n"/>
      <c r="E773" s="66" t="n"/>
      <c r="F773" s="67" t="n"/>
      <c r="G773" s="67" t="n"/>
      <c r="H773" s="67" t="n"/>
      <c r="I773" s="67" t="n"/>
      <c r="J773" s="67" t="n"/>
      <c r="K773" s="67" t="n"/>
      <c r="L773" s="67" t="n"/>
      <c r="M773" s="67" t="n"/>
      <c r="N773" s="65" t="n"/>
      <c r="O773" s="84">
        <f>IF(A773="","",IF(E773="","No date",IF(TODAY()&gt;=EDATE(E773,Review_Months),"Review Due","Current")))</f>
        <v/>
      </c>
      <c r="P773" s="84">
        <f>IF(A773="","",IF(COUNTIFS('AFA Rates'!$A$5:$A$1004,A773,'AFA Rates'!$O$5:$O$1004,"&lt;&gt;Expired")&gt;0,"Yes",IF(COUNTIF('AFA Rates'!$A$5:$A$1004,A773)&gt;0,"Expired only","No")))</f>
        <v/>
      </c>
      <c r="Q773" s="84">
        <f>IF(A773="","",COUNTIFS('AFA Rates'!$A$5:$A$1004,A773,'AFA Rates'!$O$5:$O$1004,"&lt;&gt;Expired"))</f>
        <v/>
      </c>
      <c r="R773" s="66" t="n"/>
      <c r="S773" s="64" t="n"/>
      <c r="T773" s="64" t="n"/>
      <c r="U773">
        <f>IF(AND(A773&lt;&gt;"",B773="Paused"),COUNTIFS($A$5:A773,"&lt;&gt;",$B$5:B773,"Paused"),"")</f>
        <v/>
      </c>
      <c r="V773">
        <f>IF(P773="Yes",COUNTIF($P$5:P773,"Yes"),"")</f>
        <v/>
      </c>
      <c r="W773">
        <f>IF(A773="","",COUNTIF($A$5:$A$1004,"&lt;"&amp;A773)+COUNTIF($A$5:A773,A773))</f>
        <v/>
      </c>
      <c r="X773">
        <f>","&amp;SUBSTITUTE(SUBSTITUTE(SUBSTITUTE(UPPER(C773)," ",""),";",","),"/",",")&amp;","</f>
        <v/>
      </c>
      <c r="Y773">
        <f>IF(AND(A773&lt;&gt;"",B773="Active",'State Search'!$C$5&lt;&gt;"",OR(X773=",ALL,",ISNUMBER(SEARCH(","&amp;'State Search'!$C$5&amp;",",X773)))),W773,"")</f>
        <v/>
      </c>
    </row>
    <row r="774">
      <c r="A774" s="64" t="n"/>
      <c r="B774" s="65" t="n"/>
      <c r="C774" s="64" t="n"/>
      <c r="D774" s="66" t="n"/>
      <c r="E774" s="66" t="n"/>
      <c r="F774" s="67" t="n"/>
      <c r="G774" s="67" t="n"/>
      <c r="H774" s="67" t="n"/>
      <c r="I774" s="67" t="n"/>
      <c r="J774" s="67" t="n"/>
      <c r="K774" s="67" t="n"/>
      <c r="L774" s="67" t="n"/>
      <c r="M774" s="67" t="n"/>
      <c r="N774" s="65" t="n"/>
      <c r="O774" s="84">
        <f>IF(A774="","",IF(E774="","No date",IF(TODAY()&gt;=EDATE(E774,Review_Months),"Review Due","Current")))</f>
        <v/>
      </c>
      <c r="P774" s="84">
        <f>IF(A774="","",IF(COUNTIFS('AFA Rates'!$A$5:$A$1004,A774,'AFA Rates'!$O$5:$O$1004,"&lt;&gt;Expired")&gt;0,"Yes",IF(COUNTIF('AFA Rates'!$A$5:$A$1004,A774)&gt;0,"Expired only","No")))</f>
        <v/>
      </c>
      <c r="Q774" s="84">
        <f>IF(A774="","",COUNTIFS('AFA Rates'!$A$5:$A$1004,A774,'AFA Rates'!$O$5:$O$1004,"&lt;&gt;Expired"))</f>
        <v/>
      </c>
      <c r="R774" s="66" t="n"/>
      <c r="S774" s="64" t="n"/>
      <c r="T774" s="64" t="n"/>
      <c r="U774">
        <f>IF(AND(A774&lt;&gt;"",B774="Paused"),COUNTIFS($A$5:A774,"&lt;&gt;",$B$5:B774,"Paused"),"")</f>
        <v/>
      </c>
      <c r="V774">
        <f>IF(P774="Yes",COUNTIF($P$5:P774,"Yes"),"")</f>
        <v/>
      </c>
      <c r="W774">
        <f>IF(A774="","",COUNTIF($A$5:$A$1004,"&lt;"&amp;A774)+COUNTIF($A$5:A774,A774))</f>
        <v/>
      </c>
      <c r="X774">
        <f>","&amp;SUBSTITUTE(SUBSTITUTE(SUBSTITUTE(UPPER(C774)," ",""),";",","),"/",",")&amp;","</f>
        <v/>
      </c>
      <c r="Y774">
        <f>IF(AND(A774&lt;&gt;"",B774="Active",'State Search'!$C$5&lt;&gt;"",OR(X774=",ALL,",ISNUMBER(SEARCH(","&amp;'State Search'!$C$5&amp;",",X774)))),W774,"")</f>
        <v/>
      </c>
    </row>
    <row r="775">
      <c r="A775" s="64" t="n"/>
      <c r="B775" s="65" t="n"/>
      <c r="C775" s="64" t="n"/>
      <c r="D775" s="66" t="n"/>
      <c r="E775" s="66" t="n"/>
      <c r="F775" s="67" t="n"/>
      <c r="G775" s="67" t="n"/>
      <c r="H775" s="67" t="n"/>
      <c r="I775" s="67" t="n"/>
      <c r="J775" s="67" t="n"/>
      <c r="K775" s="67" t="n"/>
      <c r="L775" s="67" t="n"/>
      <c r="M775" s="67" t="n"/>
      <c r="N775" s="65" t="n"/>
      <c r="O775" s="84">
        <f>IF(A775="","",IF(E775="","No date",IF(TODAY()&gt;=EDATE(E775,Review_Months),"Review Due","Current")))</f>
        <v/>
      </c>
      <c r="P775" s="84">
        <f>IF(A775="","",IF(COUNTIFS('AFA Rates'!$A$5:$A$1004,A775,'AFA Rates'!$O$5:$O$1004,"&lt;&gt;Expired")&gt;0,"Yes",IF(COUNTIF('AFA Rates'!$A$5:$A$1004,A775)&gt;0,"Expired only","No")))</f>
        <v/>
      </c>
      <c r="Q775" s="84">
        <f>IF(A775="","",COUNTIFS('AFA Rates'!$A$5:$A$1004,A775,'AFA Rates'!$O$5:$O$1004,"&lt;&gt;Expired"))</f>
        <v/>
      </c>
      <c r="R775" s="66" t="n"/>
      <c r="S775" s="64" t="n"/>
      <c r="T775" s="64" t="n"/>
      <c r="U775">
        <f>IF(AND(A775&lt;&gt;"",B775="Paused"),COUNTIFS($A$5:A775,"&lt;&gt;",$B$5:B775,"Paused"),"")</f>
        <v/>
      </c>
      <c r="V775">
        <f>IF(P775="Yes",COUNTIF($P$5:P775,"Yes"),"")</f>
        <v/>
      </c>
      <c r="W775">
        <f>IF(A775="","",COUNTIF($A$5:$A$1004,"&lt;"&amp;A775)+COUNTIF($A$5:A775,A775))</f>
        <v/>
      </c>
      <c r="X775">
        <f>","&amp;SUBSTITUTE(SUBSTITUTE(SUBSTITUTE(UPPER(C775)," ",""),";",","),"/",",")&amp;","</f>
        <v/>
      </c>
      <c r="Y775">
        <f>IF(AND(A775&lt;&gt;"",B775="Active",'State Search'!$C$5&lt;&gt;"",OR(X775=",ALL,",ISNUMBER(SEARCH(","&amp;'State Search'!$C$5&amp;",",X775)))),W775,"")</f>
        <v/>
      </c>
    </row>
    <row r="776">
      <c r="A776" s="64" t="n"/>
      <c r="B776" s="65" t="n"/>
      <c r="C776" s="64" t="n"/>
      <c r="D776" s="66" t="n"/>
      <c r="E776" s="66" t="n"/>
      <c r="F776" s="67" t="n"/>
      <c r="G776" s="67" t="n"/>
      <c r="H776" s="67" t="n"/>
      <c r="I776" s="67" t="n"/>
      <c r="J776" s="67" t="n"/>
      <c r="K776" s="67" t="n"/>
      <c r="L776" s="67" t="n"/>
      <c r="M776" s="67" t="n"/>
      <c r="N776" s="65" t="n"/>
      <c r="O776" s="84">
        <f>IF(A776="","",IF(E776="","No date",IF(TODAY()&gt;=EDATE(E776,Review_Months),"Review Due","Current")))</f>
        <v/>
      </c>
      <c r="P776" s="84">
        <f>IF(A776="","",IF(COUNTIFS('AFA Rates'!$A$5:$A$1004,A776,'AFA Rates'!$O$5:$O$1004,"&lt;&gt;Expired")&gt;0,"Yes",IF(COUNTIF('AFA Rates'!$A$5:$A$1004,A776)&gt;0,"Expired only","No")))</f>
        <v/>
      </c>
      <c r="Q776" s="84">
        <f>IF(A776="","",COUNTIFS('AFA Rates'!$A$5:$A$1004,A776,'AFA Rates'!$O$5:$O$1004,"&lt;&gt;Expired"))</f>
        <v/>
      </c>
      <c r="R776" s="66" t="n"/>
      <c r="S776" s="64" t="n"/>
      <c r="T776" s="64" t="n"/>
      <c r="U776">
        <f>IF(AND(A776&lt;&gt;"",B776="Paused"),COUNTIFS($A$5:A776,"&lt;&gt;",$B$5:B776,"Paused"),"")</f>
        <v/>
      </c>
      <c r="V776">
        <f>IF(P776="Yes",COUNTIF($P$5:P776,"Yes"),"")</f>
        <v/>
      </c>
      <c r="W776">
        <f>IF(A776="","",COUNTIF($A$5:$A$1004,"&lt;"&amp;A776)+COUNTIF($A$5:A776,A776))</f>
        <v/>
      </c>
      <c r="X776">
        <f>","&amp;SUBSTITUTE(SUBSTITUTE(SUBSTITUTE(UPPER(C776)," ",""),";",","),"/",",")&amp;","</f>
        <v/>
      </c>
      <c r="Y776">
        <f>IF(AND(A776&lt;&gt;"",B776="Active",'State Search'!$C$5&lt;&gt;"",OR(X776=",ALL,",ISNUMBER(SEARCH(","&amp;'State Search'!$C$5&amp;",",X776)))),W776,"")</f>
        <v/>
      </c>
    </row>
    <row r="777">
      <c r="A777" s="64" t="n"/>
      <c r="B777" s="65" t="n"/>
      <c r="C777" s="64" t="n"/>
      <c r="D777" s="66" t="n"/>
      <c r="E777" s="66" t="n"/>
      <c r="F777" s="67" t="n"/>
      <c r="G777" s="67" t="n"/>
      <c r="H777" s="67" t="n"/>
      <c r="I777" s="67" t="n"/>
      <c r="J777" s="67" t="n"/>
      <c r="K777" s="67" t="n"/>
      <c r="L777" s="67" t="n"/>
      <c r="M777" s="67" t="n"/>
      <c r="N777" s="65" t="n"/>
      <c r="O777" s="84">
        <f>IF(A777="","",IF(E777="","No date",IF(TODAY()&gt;=EDATE(E777,Review_Months),"Review Due","Current")))</f>
        <v/>
      </c>
      <c r="P777" s="84">
        <f>IF(A777="","",IF(COUNTIFS('AFA Rates'!$A$5:$A$1004,A777,'AFA Rates'!$O$5:$O$1004,"&lt;&gt;Expired")&gt;0,"Yes",IF(COUNTIF('AFA Rates'!$A$5:$A$1004,A777)&gt;0,"Expired only","No")))</f>
        <v/>
      </c>
      <c r="Q777" s="84">
        <f>IF(A777="","",COUNTIFS('AFA Rates'!$A$5:$A$1004,A777,'AFA Rates'!$O$5:$O$1004,"&lt;&gt;Expired"))</f>
        <v/>
      </c>
      <c r="R777" s="66" t="n"/>
      <c r="S777" s="64" t="n"/>
      <c r="T777" s="64" t="n"/>
      <c r="U777">
        <f>IF(AND(A777&lt;&gt;"",B777="Paused"),COUNTIFS($A$5:A777,"&lt;&gt;",$B$5:B777,"Paused"),"")</f>
        <v/>
      </c>
      <c r="V777">
        <f>IF(P777="Yes",COUNTIF($P$5:P777,"Yes"),"")</f>
        <v/>
      </c>
      <c r="W777">
        <f>IF(A777="","",COUNTIF($A$5:$A$1004,"&lt;"&amp;A777)+COUNTIF($A$5:A777,A777))</f>
        <v/>
      </c>
      <c r="X777">
        <f>","&amp;SUBSTITUTE(SUBSTITUTE(SUBSTITUTE(UPPER(C777)," ",""),";",","),"/",",")&amp;","</f>
        <v/>
      </c>
      <c r="Y777">
        <f>IF(AND(A777&lt;&gt;"",B777="Active",'State Search'!$C$5&lt;&gt;"",OR(X777=",ALL,",ISNUMBER(SEARCH(","&amp;'State Search'!$C$5&amp;",",X777)))),W777,"")</f>
        <v/>
      </c>
    </row>
    <row r="778">
      <c r="A778" s="64" t="n"/>
      <c r="B778" s="65" t="n"/>
      <c r="C778" s="64" t="n"/>
      <c r="D778" s="66" t="n"/>
      <c r="E778" s="66" t="n"/>
      <c r="F778" s="67" t="n"/>
      <c r="G778" s="67" t="n"/>
      <c r="H778" s="67" t="n"/>
      <c r="I778" s="67" t="n"/>
      <c r="J778" s="67" t="n"/>
      <c r="K778" s="67" t="n"/>
      <c r="L778" s="67" t="n"/>
      <c r="M778" s="67" t="n"/>
      <c r="N778" s="65" t="n"/>
      <c r="O778" s="84">
        <f>IF(A778="","",IF(E778="","No date",IF(TODAY()&gt;=EDATE(E778,Review_Months),"Review Due","Current")))</f>
        <v/>
      </c>
      <c r="P778" s="84">
        <f>IF(A778="","",IF(COUNTIFS('AFA Rates'!$A$5:$A$1004,A778,'AFA Rates'!$O$5:$O$1004,"&lt;&gt;Expired")&gt;0,"Yes",IF(COUNTIF('AFA Rates'!$A$5:$A$1004,A778)&gt;0,"Expired only","No")))</f>
        <v/>
      </c>
      <c r="Q778" s="84">
        <f>IF(A778="","",COUNTIFS('AFA Rates'!$A$5:$A$1004,A778,'AFA Rates'!$O$5:$O$1004,"&lt;&gt;Expired"))</f>
        <v/>
      </c>
      <c r="R778" s="66" t="n"/>
      <c r="S778" s="64" t="n"/>
      <c r="T778" s="64" t="n"/>
      <c r="U778">
        <f>IF(AND(A778&lt;&gt;"",B778="Paused"),COUNTIFS($A$5:A778,"&lt;&gt;",$B$5:B778,"Paused"),"")</f>
        <v/>
      </c>
      <c r="V778">
        <f>IF(P778="Yes",COUNTIF($P$5:P778,"Yes"),"")</f>
        <v/>
      </c>
      <c r="W778">
        <f>IF(A778="","",COUNTIF($A$5:$A$1004,"&lt;"&amp;A778)+COUNTIF($A$5:A778,A778))</f>
        <v/>
      </c>
      <c r="X778">
        <f>","&amp;SUBSTITUTE(SUBSTITUTE(SUBSTITUTE(UPPER(C778)," ",""),";",","),"/",",")&amp;","</f>
        <v/>
      </c>
      <c r="Y778">
        <f>IF(AND(A778&lt;&gt;"",B778="Active",'State Search'!$C$5&lt;&gt;"",OR(X778=",ALL,",ISNUMBER(SEARCH(","&amp;'State Search'!$C$5&amp;",",X778)))),W778,"")</f>
        <v/>
      </c>
    </row>
    <row r="779">
      <c r="A779" s="64" t="n"/>
      <c r="B779" s="65" t="n"/>
      <c r="C779" s="64" t="n"/>
      <c r="D779" s="66" t="n"/>
      <c r="E779" s="66" t="n"/>
      <c r="F779" s="67" t="n"/>
      <c r="G779" s="67" t="n"/>
      <c r="H779" s="67" t="n"/>
      <c r="I779" s="67" t="n"/>
      <c r="J779" s="67" t="n"/>
      <c r="K779" s="67" t="n"/>
      <c r="L779" s="67" t="n"/>
      <c r="M779" s="67" t="n"/>
      <c r="N779" s="65" t="n"/>
      <c r="O779" s="84">
        <f>IF(A779="","",IF(E779="","No date",IF(TODAY()&gt;=EDATE(E779,Review_Months),"Review Due","Current")))</f>
        <v/>
      </c>
      <c r="P779" s="84">
        <f>IF(A779="","",IF(COUNTIFS('AFA Rates'!$A$5:$A$1004,A779,'AFA Rates'!$O$5:$O$1004,"&lt;&gt;Expired")&gt;0,"Yes",IF(COUNTIF('AFA Rates'!$A$5:$A$1004,A779)&gt;0,"Expired only","No")))</f>
        <v/>
      </c>
      <c r="Q779" s="84">
        <f>IF(A779="","",COUNTIFS('AFA Rates'!$A$5:$A$1004,A779,'AFA Rates'!$O$5:$O$1004,"&lt;&gt;Expired"))</f>
        <v/>
      </c>
      <c r="R779" s="66" t="n"/>
      <c r="S779" s="64" t="n"/>
      <c r="T779" s="64" t="n"/>
      <c r="U779">
        <f>IF(AND(A779&lt;&gt;"",B779="Paused"),COUNTIFS($A$5:A779,"&lt;&gt;",$B$5:B779,"Paused"),"")</f>
        <v/>
      </c>
      <c r="V779">
        <f>IF(P779="Yes",COUNTIF($P$5:P779,"Yes"),"")</f>
        <v/>
      </c>
      <c r="W779">
        <f>IF(A779="","",COUNTIF($A$5:$A$1004,"&lt;"&amp;A779)+COUNTIF($A$5:A779,A779))</f>
        <v/>
      </c>
      <c r="X779">
        <f>","&amp;SUBSTITUTE(SUBSTITUTE(SUBSTITUTE(UPPER(C779)," ",""),";",","),"/",",")&amp;","</f>
        <v/>
      </c>
      <c r="Y779">
        <f>IF(AND(A779&lt;&gt;"",B779="Active",'State Search'!$C$5&lt;&gt;"",OR(X779=",ALL,",ISNUMBER(SEARCH(","&amp;'State Search'!$C$5&amp;",",X779)))),W779,"")</f>
        <v/>
      </c>
    </row>
    <row r="780">
      <c r="A780" s="64" t="n"/>
      <c r="B780" s="65" t="n"/>
      <c r="C780" s="64" t="n"/>
      <c r="D780" s="66" t="n"/>
      <c r="E780" s="66" t="n"/>
      <c r="F780" s="67" t="n"/>
      <c r="G780" s="67" t="n"/>
      <c r="H780" s="67" t="n"/>
      <c r="I780" s="67" t="n"/>
      <c r="J780" s="67" t="n"/>
      <c r="K780" s="67" t="n"/>
      <c r="L780" s="67" t="n"/>
      <c r="M780" s="67" t="n"/>
      <c r="N780" s="65" t="n"/>
      <c r="O780" s="84">
        <f>IF(A780="","",IF(E780="","No date",IF(TODAY()&gt;=EDATE(E780,Review_Months),"Review Due","Current")))</f>
        <v/>
      </c>
      <c r="P780" s="84">
        <f>IF(A780="","",IF(COUNTIFS('AFA Rates'!$A$5:$A$1004,A780,'AFA Rates'!$O$5:$O$1004,"&lt;&gt;Expired")&gt;0,"Yes",IF(COUNTIF('AFA Rates'!$A$5:$A$1004,A780)&gt;0,"Expired only","No")))</f>
        <v/>
      </c>
      <c r="Q780" s="84">
        <f>IF(A780="","",COUNTIFS('AFA Rates'!$A$5:$A$1004,A780,'AFA Rates'!$O$5:$O$1004,"&lt;&gt;Expired"))</f>
        <v/>
      </c>
      <c r="R780" s="66" t="n"/>
      <c r="S780" s="64" t="n"/>
      <c r="T780" s="64" t="n"/>
      <c r="U780">
        <f>IF(AND(A780&lt;&gt;"",B780="Paused"),COUNTIFS($A$5:A780,"&lt;&gt;",$B$5:B780,"Paused"),"")</f>
        <v/>
      </c>
      <c r="V780">
        <f>IF(P780="Yes",COUNTIF($P$5:P780,"Yes"),"")</f>
        <v/>
      </c>
      <c r="W780">
        <f>IF(A780="","",COUNTIF($A$5:$A$1004,"&lt;"&amp;A780)+COUNTIF($A$5:A780,A780))</f>
        <v/>
      </c>
      <c r="X780">
        <f>","&amp;SUBSTITUTE(SUBSTITUTE(SUBSTITUTE(UPPER(C780)," ",""),";",","),"/",",")&amp;","</f>
        <v/>
      </c>
      <c r="Y780">
        <f>IF(AND(A780&lt;&gt;"",B780="Active",'State Search'!$C$5&lt;&gt;"",OR(X780=",ALL,",ISNUMBER(SEARCH(","&amp;'State Search'!$C$5&amp;",",X780)))),W780,"")</f>
        <v/>
      </c>
    </row>
    <row r="781">
      <c r="A781" s="64" t="n"/>
      <c r="B781" s="65" t="n"/>
      <c r="C781" s="64" t="n"/>
      <c r="D781" s="66" t="n"/>
      <c r="E781" s="66" t="n"/>
      <c r="F781" s="67" t="n"/>
      <c r="G781" s="67" t="n"/>
      <c r="H781" s="67" t="n"/>
      <c r="I781" s="67" t="n"/>
      <c r="J781" s="67" t="n"/>
      <c r="K781" s="67" t="n"/>
      <c r="L781" s="67" t="n"/>
      <c r="M781" s="67" t="n"/>
      <c r="N781" s="65" t="n"/>
      <c r="O781" s="84">
        <f>IF(A781="","",IF(E781="","No date",IF(TODAY()&gt;=EDATE(E781,Review_Months),"Review Due","Current")))</f>
        <v/>
      </c>
      <c r="P781" s="84">
        <f>IF(A781="","",IF(COUNTIFS('AFA Rates'!$A$5:$A$1004,A781,'AFA Rates'!$O$5:$O$1004,"&lt;&gt;Expired")&gt;0,"Yes",IF(COUNTIF('AFA Rates'!$A$5:$A$1004,A781)&gt;0,"Expired only","No")))</f>
        <v/>
      </c>
      <c r="Q781" s="84">
        <f>IF(A781="","",COUNTIFS('AFA Rates'!$A$5:$A$1004,A781,'AFA Rates'!$O$5:$O$1004,"&lt;&gt;Expired"))</f>
        <v/>
      </c>
      <c r="R781" s="66" t="n"/>
      <c r="S781" s="64" t="n"/>
      <c r="T781" s="64" t="n"/>
      <c r="U781">
        <f>IF(AND(A781&lt;&gt;"",B781="Paused"),COUNTIFS($A$5:A781,"&lt;&gt;",$B$5:B781,"Paused"),"")</f>
        <v/>
      </c>
      <c r="V781">
        <f>IF(P781="Yes",COUNTIF($P$5:P781,"Yes"),"")</f>
        <v/>
      </c>
      <c r="W781">
        <f>IF(A781="","",COUNTIF($A$5:$A$1004,"&lt;"&amp;A781)+COUNTIF($A$5:A781,A781))</f>
        <v/>
      </c>
      <c r="X781">
        <f>","&amp;SUBSTITUTE(SUBSTITUTE(SUBSTITUTE(UPPER(C781)," ",""),";",","),"/",",")&amp;","</f>
        <v/>
      </c>
      <c r="Y781">
        <f>IF(AND(A781&lt;&gt;"",B781="Active",'State Search'!$C$5&lt;&gt;"",OR(X781=",ALL,",ISNUMBER(SEARCH(","&amp;'State Search'!$C$5&amp;",",X781)))),W781,"")</f>
        <v/>
      </c>
    </row>
    <row r="782">
      <c r="A782" s="64" t="n"/>
      <c r="B782" s="65" t="n"/>
      <c r="C782" s="64" t="n"/>
      <c r="D782" s="66" t="n"/>
      <c r="E782" s="66" t="n"/>
      <c r="F782" s="67" t="n"/>
      <c r="G782" s="67" t="n"/>
      <c r="H782" s="67" t="n"/>
      <c r="I782" s="67" t="n"/>
      <c r="J782" s="67" t="n"/>
      <c r="K782" s="67" t="n"/>
      <c r="L782" s="67" t="n"/>
      <c r="M782" s="67" t="n"/>
      <c r="N782" s="65" t="n"/>
      <c r="O782" s="84">
        <f>IF(A782="","",IF(E782="","No date",IF(TODAY()&gt;=EDATE(E782,Review_Months),"Review Due","Current")))</f>
        <v/>
      </c>
      <c r="P782" s="84">
        <f>IF(A782="","",IF(COUNTIFS('AFA Rates'!$A$5:$A$1004,A782,'AFA Rates'!$O$5:$O$1004,"&lt;&gt;Expired")&gt;0,"Yes",IF(COUNTIF('AFA Rates'!$A$5:$A$1004,A782)&gt;0,"Expired only","No")))</f>
        <v/>
      </c>
      <c r="Q782" s="84">
        <f>IF(A782="","",COUNTIFS('AFA Rates'!$A$5:$A$1004,A782,'AFA Rates'!$O$5:$O$1004,"&lt;&gt;Expired"))</f>
        <v/>
      </c>
      <c r="R782" s="66" t="n"/>
      <c r="S782" s="64" t="n"/>
      <c r="T782" s="64" t="n"/>
      <c r="U782">
        <f>IF(AND(A782&lt;&gt;"",B782="Paused"),COUNTIFS($A$5:A782,"&lt;&gt;",$B$5:B782,"Paused"),"")</f>
        <v/>
      </c>
      <c r="V782">
        <f>IF(P782="Yes",COUNTIF($P$5:P782,"Yes"),"")</f>
        <v/>
      </c>
      <c r="W782">
        <f>IF(A782="","",COUNTIF($A$5:$A$1004,"&lt;"&amp;A782)+COUNTIF($A$5:A782,A782))</f>
        <v/>
      </c>
      <c r="X782">
        <f>","&amp;SUBSTITUTE(SUBSTITUTE(SUBSTITUTE(UPPER(C782)," ",""),";",","),"/",",")&amp;","</f>
        <v/>
      </c>
      <c r="Y782">
        <f>IF(AND(A782&lt;&gt;"",B782="Active",'State Search'!$C$5&lt;&gt;"",OR(X782=",ALL,",ISNUMBER(SEARCH(","&amp;'State Search'!$C$5&amp;",",X782)))),W782,"")</f>
        <v/>
      </c>
    </row>
    <row r="783">
      <c r="A783" s="64" t="n"/>
      <c r="B783" s="65" t="n"/>
      <c r="C783" s="64" t="n"/>
      <c r="D783" s="66" t="n"/>
      <c r="E783" s="66" t="n"/>
      <c r="F783" s="67" t="n"/>
      <c r="G783" s="67" t="n"/>
      <c r="H783" s="67" t="n"/>
      <c r="I783" s="67" t="n"/>
      <c r="J783" s="67" t="n"/>
      <c r="K783" s="67" t="n"/>
      <c r="L783" s="67" t="n"/>
      <c r="M783" s="67" t="n"/>
      <c r="N783" s="65" t="n"/>
      <c r="O783" s="84">
        <f>IF(A783="","",IF(E783="","No date",IF(TODAY()&gt;=EDATE(E783,Review_Months),"Review Due","Current")))</f>
        <v/>
      </c>
      <c r="P783" s="84">
        <f>IF(A783="","",IF(COUNTIFS('AFA Rates'!$A$5:$A$1004,A783,'AFA Rates'!$O$5:$O$1004,"&lt;&gt;Expired")&gt;0,"Yes",IF(COUNTIF('AFA Rates'!$A$5:$A$1004,A783)&gt;0,"Expired only","No")))</f>
        <v/>
      </c>
      <c r="Q783" s="84">
        <f>IF(A783="","",COUNTIFS('AFA Rates'!$A$5:$A$1004,A783,'AFA Rates'!$O$5:$O$1004,"&lt;&gt;Expired"))</f>
        <v/>
      </c>
      <c r="R783" s="66" t="n"/>
      <c r="S783" s="64" t="n"/>
      <c r="T783" s="64" t="n"/>
      <c r="U783">
        <f>IF(AND(A783&lt;&gt;"",B783="Paused"),COUNTIFS($A$5:A783,"&lt;&gt;",$B$5:B783,"Paused"),"")</f>
        <v/>
      </c>
      <c r="V783">
        <f>IF(P783="Yes",COUNTIF($P$5:P783,"Yes"),"")</f>
        <v/>
      </c>
      <c r="W783">
        <f>IF(A783="","",COUNTIF($A$5:$A$1004,"&lt;"&amp;A783)+COUNTIF($A$5:A783,A783))</f>
        <v/>
      </c>
      <c r="X783">
        <f>","&amp;SUBSTITUTE(SUBSTITUTE(SUBSTITUTE(UPPER(C783)," ",""),";",","),"/",",")&amp;","</f>
        <v/>
      </c>
      <c r="Y783">
        <f>IF(AND(A783&lt;&gt;"",B783="Active",'State Search'!$C$5&lt;&gt;"",OR(X783=",ALL,",ISNUMBER(SEARCH(","&amp;'State Search'!$C$5&amp;",",X783)))),W783,"")</f>
        <v/>
      </c>
    </row>
    <row r="784">
      <c r="A784" s="64" t="n"/>
      <c r="B784" s="65" t="n"/>
      <c r="C784" s="64" t="n"/>
      <c r="D784" s="66" t="n"/>
      <c r="E784" s="66" t="n"/>
      <c r="F784" s="67" t="n"/>
      <c r="G784" s="67" t="n"/>
      <c r="H784" s="67" t="n"/>
      <c r="I784" s="67" t="n"/>
      <c r="J784" s="67" t="n"/>
      <c r="K784" s="67" t="n"/>
      <c r="L784" s="67" t="n"/>
      <c r="M784" s="67" t="n"/>
      <c r="N784" s="65" t="n"/>
      <c r="O784" s="84">
        <f>IF(A784="","",IF(E784="","No date",IF(TODAY()&gt;=EDATE(E784,Review_Months),"Review Due","Current")))</f>
        <v/>
      </c>
      <c r="P784" s="84">
        <f>IF(A784="","",IF(COUNTIFS('AFA Rates'!$A$5:$A$1004,A784,'AFA Rates'!$O$5:$O$1004,"&lt;&gt;Expired")&gt;0,"Yes",IF(COUNTIF('AFA Rates'!$A$5:$A$1004,A784)&gt;0,"Expired only","No")))</f>
        <v/>
      </c>
      <c r="Q784" s="84">
        <f>IF(A784="","",COUNTIFS('AFA Rates'!$A$5:$A$1004,A784,'AFA Rates'!$O$5:$O$1004,"&lt;&gt;Expired"))</f>
        <v/>
      </c>
      <c r="R784" s="66" t="n"/>
      <c r="S784" s="64" t="n"/>
      <c r="T784" s="64" t="n"/>
      <c r="U784">
        <f>IF(AND(A784&lt;&gt;"",B784="Paused"),COUNTIFS($A$5:A784,"&lt;&gt;",$B$5:B784,"Paused"),"")</f>
        <v/>
      </c>
      <c r="V784">
        <f>IF(P784="Yes",COUNTIF($P$5:P784,"Yes"),"")</f>
        <v/>
      </c>
      <c r="W784">
        <f>IF(A784="","",COUNTIF($A$5:$A$1004,"&lt;"&amp;A784)+COUNTIF($A$5:A784,A784))</f>
        <v/>
      </c>
      <c r="X784">
        <f>","&amp;SUBSTITUTE(SUBSTITUTE(SUBSTITUTE(UPPER(C784)," ",""),";",","),"/",",")&amp;","</f>
        <v/>
      </c>
      <c r="Y784">
        <f>IF(AND(A784&lt;&gt;"",B784="Active",'State Search'!$C$5&lt;&gt;"",OR(X784=",ALL,",ISNUMBER(SEARCH(","&amp;'State Search'!$C$5&amp;",",X784)))),W784,"")</f>
        <v/>
      </c>
    </row>
    <row r="785">
      <c r="A785" s="64" t="n"/>
      <c r="B785" s="65" t="n"/>
      <c r="C785" s="64" t="n"/>
      <c r="D785" s="66" t="n"/>
      <c r="E785" s="66" t="n"/>
      <c r="F785" s="67" t="n"/>
      <c r="G785" s="67" t="n"/>
      <c r="H785" s="67" t="n"/>
      <c r="I785" s="67" t="n"/>
      <c r="J785" s="67" t="n"/>
      <c r="K785" s="67" t="n"/>
      <c r="L785" s="67" t="n"/>
      <c r="M785" s="67" t="n"/>
      <c r="N785" s="65" t="n"/>
      <c r="O785" s="84">
        <f>IF(A785="","",IF(E785="","No date",IF(TODAY()&gt;=EDATE(E785,Review_Months),"Review Due","Current")))</f>
        <v/>
      </c>
      <c r="P785" s="84">
        <f>IF(A785="","",IF(COUNTIFS('AFA Rates'!$A$5:$A$1004,A785,'AFA Rates'!$O$5:$O$1004,"&lt;&gt;Expired")&gt;0,"Yes",IF(COUNTIF('AFA Rates'!$A$5:$A$1004,A785)&gt;0,"Expired only","No")))</f>
        <v/>
      </c>
      <c r="Q785" s="84">
        <f>IF(A785="","",COUNTIFS('AFA Rates'!$A$5:$A$1004,A785,'AFA Rates'!$O$5:$O$1004,"&lt;&gt;Expired"))</f>
        <v/>
      </c>
      <c r="R785" s="66" t="n"/>
      <c r="S785" s="64" t="n"/>
      <c r="T785" s="64" t="n"/>
      <c r="U785">
        <f>IF(AND(A785&lt;&gt;"",B785="Paused"),COUNTIFS($A$5:A785,"&lt;&gt;",$B$5:B785,"Paused"),"")</f>
        <v/>
      </c>
      <c r="V785">
        <f>IF(P785="Yes",COUNTIF($P$5:P785,"Yes"),"")</f>
        <v/>
      </c>
      <c r="W785">
        <f>IF(A785="","",COUNTIF($A$5:$A$1004,"&lt;"&amp;A785)+COUNTIF($A$5:A785,A785))</f>
        <v/>
      </c>
      <c r="X785">
        <f>","&amp;SUBSTITUTE(SUBSTITUTE(SUBSTITUTE(UPPER(C785)," ",""),";",","),"/",",")&amp;","</f>
        <v/>
      </c>
      <c r="Y785">
        <f>IF(AND(A785&lt;&gt;"",B785="Active",'State Search'!$C$5&lt;&gt;"",OR(X785=",ALL,",ISNUMBER(SEARCH(","&amp;'State Search'!$C$5&amp;",",X785)))),W785,"")</f>
        <v/>
      </c>
    </row>
    <row r="786">
      <c r="A786" s="64" t="n"/>
      <c r="B786" s="65" t="n"/>
      <c r="C786" s="64" t="n"/>
      <c r="D786" s="66" t="n"/>
      <c r="E786" s="66" t="n"/>
      <c r="F786" s="67" t="n"/>
      <c r="G786" s="67" t="n"/>
      <c r="H786" s="67" t="n"/>
      <c r="I786" s="67" t="n"/>
      <c r="J786" s="67" t="n"/>
      <c r="K786" s="67" t="n"/>
      <c r="L786" s="67" t="n"/>
      <c r="M786" s="67" t="n"/>
      <c r="N786" s="65" t="n"/>
      <c r="O786" s="84">
        <f>IF(A786="","",IF(E786="","No date",IF(TODAY()&gt;=EDATE(E786,Review_Months),"Review Due","Current")))</f>
        <v/>
      </c>
      <c r="P786" s="84">
        <f>IF(A786="","",IF(COUNTIFS('AFA Rates'!$A$5:$A$1004,A786,'AFA Rates'!$O$5:$O$1004,"&lt;&gt;Expired")&gt;0,"Yes",IF(COUNTIF('AFA Rates'!$A$5:$A$1004,A786)&gt;0,"Expired only","No")))</f>
        <v/>
      </c>
      <c r="Q786" s="84">
        <f>IF(A786="","",COUNTIFS('AFA Rates'!$A$5:$A$1004,A786,'AFA Rates'!$O$5:$O$1004,"&lt;&gt;Expired"))</f>
        <v/>
      </c>
      <c r="R786" s="66" t="n"/>
      <c r="S786" s="64" t="n"/>
      <c r="T786" s="64" t="n"/>
      <c r="U786">
        <f>IF(AND(A786&lt;&gt;"",B786="Paused"),COUNTIFS($A$5:A786,"&lt;&gt;",$B$5:B786,"Paused"),"")</f>
        <v/>
      </c>
      <c r="V786">
        <f>IF(P786="Yes",COUNTIF($P$5:P786,"Yes"),"")</f>
        <v/>
      </c>
      <c r="W786">
        <f>IF(A786="","",COUNTIF($A$5:$A$1004,"&lt;"&amp;A786)+COUNTIF($A$5:A786,A786))</f>
        <v/>
      </c>
      <c r="X786">
        <f>","&amp;SUBSTITUTE(SUBSTITUTE(SUBSTITUTE(UPPER(C786)," ",""),";",","),"/",",")&amp;","</f>
        <v/>
      </c>
      <c r="Y786">
        <f>IF(AND(A786&lt;&gt;"",B786="Active",'State Search'!$C$5&lt;&gt;"",OR(X786=",ALL,",ISNUMBER(SEARCH(","&amp;'State Search'!$C$5&amp;",",X786)))),W786,"")</f>
        <v/>
      </c>
    </row>
    <row r="787">
      <c r="A787" s="64" t="n"/>
      <c r="B787" s="65" t="n"/>
      <c r="C787" s="64" t="n"/>
      <c r="D787" s="66" t="n"/>
      <c r="E787" s="66" t="n"/>
      <c r="F787" s="67" t="n"/>
      <c r="G787" s="67" t="n"/>
      <c r="H787" s="67" t="n"/>
      <c r="I787" s="67" t="n"/>
      <c r="J787" s="67" t="n"/>
      <c r="K787" s="67" t="n"/>
      <c r="L787" s="67" t="n"/>
      <c r="M787" s="67" t="n"/>
      <c r="N787" s="65" t="n"/>
      <c r="O787" s="84">
        <f>IF(A787="","",IF(E787="","No date",IF(TODAY()&gt;=EDATE(E787,Review_Months),"Review Due","Current")))</f>
        <v/>
      </c>
      <c r="P787" s="84">
        <f>IF(A787="","",IF(COUNTIFS('AFA Rates'!$A$5:$A$1004,A787,'AFA Rates'!$O$5:$O$1004,"&lt;&gt;Expired")&gt;0,"Yes",IF(COUNTIF('AFA Rates'!$A$5:$A$1004,A787)&gt;0,"Expired only","No")))</f>
        <v/>
      </c>
      <c r="Q787" s="84">
        <f>IF(A787="","",COUNTIFS('AFA Rates'!$A$5:$A$1004,A787,'AFA Rates'!$O$5:$O$1004,"&lt;&gt;Expired"))</f>
        <v/>
      </c>
      <c r="R787" s="66" t="n"/>
      <c r="S787" s="64" t="n"/>
      <c r="T787" s="64" t="n"/>
      <c r="U787">
        <f>IF(AND(A787&lt;&gt;"",B787="Paused"),COUNTIFS($A$5:A787,"&lt;&gt;",$B$5:B787,"Paused"),"")</f>
        <v/>
      </c>
      <c r="V787">
        <f>IF(P787="Yes",COUNTIF($P$5:P787,"Yes"),"")</f>
        <v/>
      </c>
      <c r="W787">
        <f>IF(A787="","",COUNTIF($A$5:$A$1004,"&lt;"&amp;A787)+COUNTIF($A$5:A787,A787))</f>
        <v/>
      </c>
      <c r="X787">
        <f>","&amp;SUBSTITUTE(SUBSTITUTE(SUBSTITUTE(UPPER(C787)," ",""),";",","),"/",",")&amp;","</f>
        <v/>
      </c>
      <c r="Y787">
        <f>IF(AND(A787&lt;&gt;"",B787="Active",'State Search'!$C$5&lt;&gt;"",OR(X787=",ALL,",ISNUMBER(SEARCH(","&amp;'State Search'!$C$5&amp;",",X787)))),W787,"")</f>
        <v/>
      </c>
    </row>
    <row r="788">
      <c r="A788" s="64" t="n"/>
      <c r="B788" s="65" t="n"/>
      <c r="C788" s="64" t="n"/>
      <c r="D788" s="66" t="n"/>
      <c r="E788" s="66" t="n"/>
      <c r="F788" s="67" t="n"/>
      <c r="G788" s="67" t="n"/>
      <c r="H788" s="67" t="n"/>
      <c r="I788" s="67" t="n"/>
      <c r="J788" s="67" t="n"/>
      <c r="K788" s="67" t="n"/>
      <c r="L788" s="67" t="n"/>
      <c r="M788" s="67" t="n"/>
      <c r="N788" s="65" t="n"/>
      <c r="O788" s="84">
        <f>IF(A788="","",IF(E788="","No date",IF(TODAY()&gt;=EDATE(E788,Review_Months),"Review Due","Current")))</f>
        <v/>
      </c>
      <c r="P788" s="84">
        <f>IF(A788="","",IF(COUNTIFS('AFA Rates'!$A$5:$A$1004,A788,'AFA Rates'!$O$5:$O$1004,"&lt;&gt;Expired")&gt;0,"Yes",IF(COUNTIF('AFA Rates'!$A$5:$A$1004,A788)&gt;0,"Expired only","No")))</f>
        <v/>
      </c>
      <c r="Q788" s="84">
        <f>IF(A788="","",COUNTIFS('AFA Rates'!$A$5:$A$1004,A788,'AFA Rates'!$O$5:$O$1004,"&lt;&gt;Expired"))</f>
        <v/>
      </c>
      <c r="R788" s="66" t="n"/>
      <c r="S788" s="64" t="n"/>
      <c r="T788" s="64" t="n"/>
      <c r="U788">
        <f>IF(AND(A788&lt;&gt;"",B788="Paused"),COUNTIFS($A$5:A788,"&lt;&gt;",$B$5:B788,"Paused"),"")</f>
        <v/>
      </c>
      <c r="V788">
        <f>IF(P788="Yes",COUNTIF($P$5:P788,"Yes"),"")</f>
        <v/>
      </c>
      <c r="W788">
        <f>IF(A788="","",COUNTIF($A$5:$A$1004,"&lt;"&amp;A788)+COUNTIF($A$5:A788,A788))</f>
        <v/>
      </c>
      <c r="X788">
        <f>","&amp;SUBSTITUTE(SUBSTITUTE(SUBSTITUTE(UPPER(C788)," ",""),";",","),"/",",")&amp;","</f>
        <v/>
      </c>
      <c r="Y788">
        <f>IF(AND(A788&lt;&gt;"",B788="Active",'State Search'!$C$5&lt;&gt;"",OR(X788=",ALL,",ISNUMBER(SEARCH(","&amp;'State Search'!$C$5&amp;",",X788)))),W788,"")</f>
        <v/>
      </c>
    </row>
    <row r="789">
      <c r="A789" s="64" t="n"/>
      <c r="B789" s="65" t="n"/>
      <c r="C789" s="64" t="n"/>
      <c r="D789" s="66" t="n"/>
      <c r="E789" s="66" t="n"/>
      <c r="F789" s="67" t="n"/>
      <c r="G789" s="67" t="n"/>
      <c r="H789" s="67" t="n"/>
      <c r="I789" s="67" t="n"/>
      <c r="J789" s="67" t="n"/>
      <c r="K789" s="67" t="n"/>
      <c r="L789" s="67" t="n"/>
      <c r="M789" s="67" t="n"/>
      <c r="N789" s="65" t="n"/>
      <c r="O789" s="84">
        <f>IF(A789="","",IF(E789="","No date",IF(TODAY()&gt;=EDATE(E789,Review_Months),"Review Due","Current")))</f>
        <v/>
      </c>
      <c r="P789" s="84">
        <f>IF(A789="","",IF(COUNTIFS('AFA Rates'!$A$5:$A$1004,A789,'AFA Rates'!$O$5:$O$1004,"&lt;&gt;Expired")&gt;0,"Yes",IF(COUNTIF('AFA Rates'!$A$5:$A$1004,A789)&gt;0,"Expired only","No")))</f>
        <v/>
      </c>
      <c r="Q789" s="84">
        <f>IF(A789="","",COUNTIFS('AFA Rates'!$A$5:$A$1004,A789,'AFA Rates'!$O$5:$O$1004,"&lt;&gt;Expired"))</f>
        <v/>
      </c>
      <c r="R789" s="66" t="n"/>
      <c r="S789" s="64" t="n"/>
      <c r="T789" s="64" t="n"/>
      <c r="U789">
        <f>IF(AND(A789&lt;&gt;"",B789="Paused"),COUNTIFS($A$5:A789,"&lt;&gt;",$B$5:B789,"Paused"),"")</f>
        <v/>
      </c>
      <c r="V789">
        <f>IF(P789="Yes",COUNTIF($P$5:P789,"Yes"),"")</f>
        <v/>
      </c>
      <c r="W789">
        <f>IF(A789="","",COUNTIF($A$5:$A$1004,"&lt;"&amp;A789)+COUNTIF($A$5:A789,A789))</f>
        <v/>
      </c>
      <c r="X789">
        <f>","&amp;SUBSTITUTE(SUBSTITUTE(SUBSTITUTE(UPPER(C789)," ",""),";",","),"/",",")&amp;","</f>
        <v/>
      </c>
      <c r="Y789">
        <f>IF(AND(A789&lt;&gt;"",B789="Active",'State Search'!$C$5&lt;&gt;"",OR(X789=",ALL,",ISNUMBER(SEARCH(","&amp;'State Search'!$C$5&amp;",",X789)))),W789,"")</f>
        <v/>
      </c>
    </row>
    <row r="790">
      <c r="A790" s="64" t="n"/>
      <c r="B790" s="65" t="n"/>
      <c r="C790" s="64" t="n"/>
      <c r="D790" s="66" t="n"/>
      <c r="E790" s="66" t="n"/>
      <c r="F790" s="67" t="n"/>
      <c r="G790" s="67" t="n"/>
      <c r="H790" s="67" t="n"/>
      <c r="I790" s="67" t="n"/>
      <c r="J790" s="67" t="n"/>
      <c r="K790" s="67" t="n"/>
      <c r="L790" s="67" t="n"/>
      <c r="M790" s="67" t="n"/>
      <c r="N790" s="65" t="n"/>
      <c r="O790" s="84">
        <f>IF(A790="","",IF(E790="","No date",IF(TODAY()&gt;=EDATE(E790,Review_Months),"Review Due","Current")))</f>
        <v/>
      </c>
      <c r="P790" s="84">
        <f>IF(A790="","",IF(COUNTIFS('AFA Rates'!$A$5:$A$1004,A790,'AFA Rates'!$O$5:$O$1004,"&lt;&gt;Expired")&gt;0,"Yes",IF(COUNTIF('AFA Rates'!$A$5:$A$1004,A790)&gt;0,"Expired only","No")))</f>
        <v/>
      </c>
      <c r="Q790" s="84">
        <f>IF(A790="","",COUNTIFS('AFA Rates'!$A$5:$A$1004,A790,'AFA Rates'!$O$5:$O$1004,"&lt;&gt;Expired"))</f>
        <v/>
      </c>
      <c r="R790" s="66" t="n"/>
      <c r="S790" s="64" t="n"/>
      <c r="T790" s="64" t="n"/>
      <c r="U790">
        <f>IF(AND(A790&lt;&gt;"",B790="Paused"),COUNTIFS($A$5:A790,"&lt;&gt;",$B$5:B790,"Paused"),"")</f>
        <v/>
      </c>
      <c r="V790">
        <f>IF(P790="Yes",COUNTIF($P$5:P790,"Yes"),"")</f>
        <v/>
      </c>
      <c r="W790">
        <f>IF(A790="","",COUNTIF($A$5:$A$1004,"&lt;"&amp;A790)+COUNTIF($A$5:A790,A790))</f>
        <v/>
      </c>
      <c r="X790">
        <f>","&amp;SUBSTITUTE(SUBSTITUTE(SUBSTITUTE(UPPER(C790)," ",""),";",","),"/",",")&amp;","</f>
        <v/>
      </c>
      <c r="Y790">
        <f>IF(AND(A790&lt;&gt;"",B790="Active",'State Search'!$C$5&lt;&gt;"",OR(X790=",ALL,",ISNUMBER(SEARCH(","&amp;'State Search'!$C$5&amp;",",X790)))),W790,"")</f>
        <v/>
      </c>
    </row>
    <row r="791">
      <c r="A791" s="64" t="n"/>
      <c r="B791" s="65" t="n"/>
      <c r="C791" s="64" t="n"/>
      <c r="D791" s="66" t="n"/>
      <c r="E791" s="66" t="n"/>
      <c r="F791" s="67" t="n"/>
      <c r="G791" s="67" t="n"/>
      <c r="H791" s="67" t="n"/>
      <c r="I791" s="67" t="n"/>
      <c r="J791" s="67" t="n"/>
      <c r="K791" s="67" t="n"/>
      <c r="L791" s="67" t="n"/>
      <c r="M791" s="67" t="n"/>
      <c r="N791" s="65" t="n"/>
      <c r="O791" s="84">
        <f>IF(A791="","",IF(E791="","No date",IF(TODAY()&gt;=EDATE(E791,Review_Months),"Review Due","Current")))</f>
        <v/>
      </c>
      <c r="P791" s="84">
        <f>IF(A791="","",IF(COUNTIFS('AFA Rates'!$A$5:$A$1004,A791,'AFA Rates'!$O$5:$O$1004,"&lt;&gt;Expired")&gt;0,"Yes",IF(COUNTIF('AFA Rates'!$A$5:$A$1004,A791)&gt;0,"Expired only","No")))</f>
        <v/>
      </c>
      <c r="Q791" s="84">
        <f>IF(A791="","",COUNTIFS('AFA Rates'!$A$5:$A$1004,A791,'AFA Rates'!$O$5:$O$1004,"&lt;&gt;Expired"))</f>
        <v/>
      </c>
      <c r="R791" s="66" t="n"/>
      <c r="S791" s="64" t="n"/>
      <c r="T791" s="64" t="n"/>
      <c r="U791">
        <f>IF(AND(A791&lt;&gt;"",B791="Paused"),COUNTIFS($A$5:A791,"&lt;&gt;",$B$5:B791,"Paused"),"")</f>
        <v/>
      </c>
      <c r="V791">
        <f>IF(P791="Yes",COUNTIF($P$5:P791,"Yes"),"")</f>
        <v/>
      </c>
      <c r="W791">
        <f>IF(A791="","",COUNTIF($A$5:$A$1004,"&lt;"&amp;A791)+COUNTIF($A$5:A791,A791))</f>
        <v/>
      </c>
      <c r="X791">
        <f>","&amp;SUBSTITUTE(SUBSTITUTE(SUBSTITUTE(UPPER(C791)," ",""),";",","),"/",",")&amp;","</f>
        <v/>
      </c>
      <c r="Y791">
        <f>IF(AND(A791&lt;&gt;"",B791="Active",'State Search'!$C$5&lt;&gt;"",OR(X791=",ALL,",ISNUMBER(SEARCH(","&amp;'State Search'!$C$5&amp;",",X791)))),W791,"")</f>
        <v/>
      </c>
    </row>
    <row r="792">
      <c r="A792" s="64" t="n"/>
      <c r="B792" s="65" t="n"/>
      <c r="C792" s="64" t="n"/>
      <c r="D792" s="66" t="n"/>
      <c r="E792" s="66" t="n"/>
      <c r="F792" s="67" t="n"/>
      <c r="G792" s="67" t="n"/>
      <c r="H792" s="67" t="n"/>
      <c r="I792" s="67" t="n"/>
      <c r="J792" s="67" t="n"/>
      <c r="K792" s="67" t="n"/>
      <c r="L792" s="67" t="n"/>
      <c r="M792" s="67" t="n"/>
      <c r="N792" s="65" t="n"/>
      <c r="O792" s="84">
        <f>IF(A792="","",IF(E792="","No date",IF(TODAY()&gt;=EDATE(E792,Review_Months),"Review Due","Current")))</f>
        <v/>
      </c>
      <c r="P792" s="84">
        <f>IF(A792="","",IF(COUNTIFS('AFA Rates'!$A$5:$A$1004,A792,'AFA Rates'!$O$5:$O$1004,"&lt;&gt;Expired")&gt;0,"Yes",IF(COUNTIF('AFA Rates'!$A$5:$A$1004,A792)&gt;0,"Expired only","No")))</f>
        <v/>
      </c>
      <c r="Q792" s="84">
        <f>IF(A792="","",COUNTIFS('AFA Rates'!$A$5:$A$1004,A792,'AFA Rates'!$O$5:$O$1004,"&lt;&gt;Expired"))</f>
        <v/>
      </c>
      <c r="R792" s="66" t="n"/>
      <c r="S792" s="64" t="n"/>
      <c r="T792" s="64" t="n"/>
      <c r="U792">
        <f>IF(AND(A792&lt;&gt;"",B792="Paused"),COUNTIFS($A$5:A792,"&lt;&gt;",$B$5:B792,"Paused"),"")</f>
        <v/>
      </c>
      <c r="V792">
        <f>IF(P792="Yes",COUNTIF($P$5:P792,"Yes"),"")</f>
        <v/>
      </c>
      <c r="W792">
        <f>IF(A792="","",COUNTIF($A$5:$A$1004,"&lt;"&amp;A792)+COUNTIF($A$5:A792,A792))</f>
        <v/>
      </c>
      <c r="X792">
        <f>","&amp;SUBSTITUTE(SUBSTITUTE(SUBSTITUTE(UPPER(C792)," ",""),";",","),"/",",")&amp;","</f>
        <v/>
      </c>
      <c r="Y792">
        <f>IF(AND(A792&lt;&gt;"",B792="Active",'State Search'!$C$5&lt;&gt;"",OR(X792=",ALL,",ISNUMBER(SEARCH(","&amp;'State Search'!$C$5&amp;",",X792)))),W792,"")</f>
        <v/>
      </c>
    </row>
    <row r="793">
      <c r="A793" s="64" t="n"/>
      <c r="B793" s="65" t="n"/>
      <c r="C793" s="64" t="n"/>
      <c r="D793" s="66" t="n"/>
      <c r="E793" s="66" t="n"/>
      <c r="F793" s="67" t="n"/>
      <c r="G793" s="67" t="n"/>
      <c r="H793" s="67" t="n"/>
      <c r="I793" s="67" t="n"/>
      <c r="J793" s="67" t="n"/>
      <c r="K793" s="67" t="n"/>
      <c r="L793" s="67" t="n"/>
      <c r="M793" s="67" t="n"/>
      <c r="N793" s="65" t="n"/>
      <c r="O793" s="84">
        <f>IF(A793="","",IF(E793="","No date",IF(TODAY()&gt;=EDATE(E793,Review_Months),"Review Due","Current")))</f>
        <v/>
      </c>
      <c r="P793" s="84">
        <f>IF(A793="","",IF(COUNTIFS('AFA Rates'!$A$5:$A$1004,A793,'AFA Rates'!$O$5:$O$1004,"&lt;&gt;Expired")&gt;0,"Yes",IF(COUNTIF('AFA Rates'!$A$5:$A$1004,A793)&gt;0,"Expired only","No")))</f>
        <v/>
      </c>
      <c r="Q793" s="84">
        <f>IF(A793="","",COUNTIFS('AFA Rates'!$A$5:$A$1004,A793,'AFA Rates'!$O$5:$O$1004,"&lt;&gt;Expired"))</f>
        <v/>
      </c>
      <c r="R793" s="66" t="n"/>
      <c r="S793" s="64" t="n"/>
      <c r="T793" s="64" t="n"/>
      <c r="U793">
        <f>IF(AND(A793&lt;&gt;"",B793="Paused"),COUNTIFS($A$5:A793,"&lt;&gt;",$B$5:B793,"Paused"),"")</f>
        <v/>
      </c>
      <c r="V793">
        <f>IF(P793="Yes",COUNTIF($P$5:P793,"Yes"),"")</f>
        <v/>
      </c>
      <c r="W793">
        <f>IF(A793="","",COUNTIF($A$5:$A$1004,"&lt;"&amp;A793)+COUNTIF($A$5:A793,A793))</f>
        <v/>
      </c>
      <c r="X793">
        <f>","&amp;SUBSTITUTE(SUBSTITUTE(SUBSTITUTE(UPPER(C793)," ",""),";",","),"/",",")&amp;","</f>
        <v/>
      </c>
      <c r="Y793">
        <f>IF(AND(A793&lt;&gt;"",B793="Active",'State Search'!$C$5&lt;&gt;"",OR(X793=",ALL,",ISNUMBER(SEARCH(","&amp;'State Search'!$C$5&amp;",",X793)))),W793,"")</f>
        <v/>
      </c>
    </row>
    <row r="794">
      <c r="A794" s="64" t="n"/>
      <c r="B794" s="65" t="n"/>
      <c r="C794" s="64" t="n"/>
      <c r="D794" s="66" t="n"/>
      <c r="E794" s="66" t="n"/>
      <c r="F794" s="67" t="n"/>
      <c r="G794" s="67" t="n"/>
      <c r="H794" s="67" t="n"/>
      <c r="I794" s="67" t="n"/>
      <c r="J794" s="67" t="n"/>
      <c r="K794" s="67" t="n"/>
      <c r="L794" s="67" t="n"/>
      <c r="M794" s="67" t="n"/>
      <c r="N794" s="65" t="n"/>
      <c r="O794" s="84">
        <f>IF(A794="","",IF(E794="","No date",IF(TODAY()&gt;=EDATE(E794,Review_Months),"Review Due","Current")))</f>
        <v/>
      </c>
      <c r="P794" s="84">
        <f>IF(A794="","",IF(COUNTIFS('AFA Rates'!$A$5:$A$1004,A794,'AFA Rates'!$O$5:$O$1004,"&lt;&gt;Expired")&gt;0,"Yes",IF(COUNTIF('AFA Rates'!$A$5:$A$1004,A794)&gt;0,"Expired only","No")))</f>
        <v/>
      </c>
      <c r="Q794" s="84">
        <f>IF(A794="","",COUNTIFS('AFA Rates'!$A$5:$A$1004,A794,'AFA Rates'!$O$5:$O$1004,"&lt;&gt;Expired"))</f>
        <v/>
      </c>
      <c r="R794" s="66" t="n"/>
      <c r="S794" s="64" t="n"/>
      <c r="T794" s="64" t="n"/>
      <c r="U794">
        <f>IF(AND(A794&lt;&gt;"",B794="Paused"),COUNTIFS($A$5:A794,"&lt;&gt;",$B$5:B794,"Paused"),"")</f>
        <v/>
      </c>
      <c r="V794">
        <f>IF(P794="Yes",COUNTIF($P$5:P794,"Yes"),"")</f>
        <v/>
      </c>
      <c r="W794">
        <f>IF(A794="","",COUNTIF($A$5:$A$1004,"&lt;"&amp;A794)+COUNTIF($A$5:A794,A794))</f>
        <v/>
      </c>
      <c r="X794">
        <f>","&amp;SUBSTITUTE(SUBSTITUTE(SUBSTITUTE(UPPER(C794)," ",""),";",","),"/",",")&amp;","</f>
        <v/>
      </c>
      <c r="Y794">
        <f>IF(AND(A794&lt;&gt;"",B794="Active",'State Search'!$C$5&lt;&gt;"",OR(X794=",ALL,",ISNUMBER(SEARCH(","&amp;'State Search'!$C$5&amp;",",X794)))),W794,"")</f>
        <v/>
      </c>
    </row>
    <row r="795">
      <c r="A795" s="64" t="n"/>
      <c r="B795" s="65" t="n"/>
      <c r="C795" s="64" t="n"/>
      <c r="D795" s="66" t="n"/>
      <c r="E795" s="66" t="n"/>
      <c r="F795" s="67" t="n"/>
      <c r="G795" s="67" t="n"/>
      <c r="H795" s="67" t="n"/>
      <c r="I795" s="67" t="n"/>
      <c r="J795" s="67" t="n"/>
      <c r="K795" s="67" t="n"/>
      <c r="L795" s="67" t="n"/>
      <c r="M795" s="67" t="n"/>
      <c r="N795" s="65" t="n"/>
      <c r="O795" s="84">
        <f>IF(A795="","",IF(E795="","No date",IF(TODAY()&gt;=EDATE(E795,Review_Months),"Review Due","Current")))</f>
        <v/>
      </c>
      <c r="P795" s="84">
        <f>IF(A795="","",IF(COUNTIFS('AFA Rates'!$A$5:$A$1004,A795,'AFA Rates'!$O$5:$O$1004,"&lt;&gt;Expired")&gt;0,"Yes",IF(COUNTIF('AFA Rates'!$A$5:$A$1004,A795)&gt;0,"Expired only","No")))</f>
        <v/>
      </c>
      <c r="Q795" s="84">
        <f>IF(A795="","",COUNTIFS('AFA Rates'!$A$5:$A$1004,A795,'AFA Rates'!$O$5:$O$1004,"&lt;&gt;Expired"))</f>
        <v/>
      </c>
      <c r="R795" s="66" t="n"/>
      <c r="S795" s="64" t="n"/>
      <c r="T795" s="64" t="n"/>
      <c r="U795">
        <f>IF(AND(A795&lt;&gt;"",B795="Paused"),COUNTIFS($A$5:A795,"&lt;&gt;",$B$5:B795,"Paused"),"")</f>
        <v/>
      </c>
      <c r="V795">
        <f>IF(P795="Yes",COUNTIF($P$5:P795,"Yes"),"")</f>
        <v/>
      </c>
      <c r="W795">
        <f>IF(A795="","",COUNTIF($A$5:$A$1004,"&lt;"&amp;A795)+COUNTIF($A$5:A795,A795))</f>
        <v/>
      </c>
      <c r="X795">
        <f>","&amp;SUBSTITUTE(SUBSTITUTE(SUBSTITUTE(UPPER(C795)," ",""),";",","),"/",",")&amp;","</f>
        <v/>
      </c>
      <c r="Y795">
        <f>IF(AND(A795&lt;&gt;"",B795="Active",'State Search'!$C$5&lt;&gt;"",OR(X795=",ALL,",ISNUMBER(SEARCH(","&amp;'State Search'!$C$5&amp;",",X795)))),W795,"")</f>
        <v/>
      </c>
    </row>
    <row r="796">
      <c r="A796" s="64" t="n"/>
      <c r="B796" s="65" t="n"/>
      <c r="C796" s="64" t="n"/>
      <c r="D796" s="66" t="n"/>
      <c r="E796" s="66" t="n"/>
      <c r="F796" s="67" t="n"/>
      <c r="G796" s="67" t="n"/>
      <c r="H796" s="67" t="n"/>
      <c r="I796" s="67" t="n"/>
      <c r="J796" s="67" t="n"/>
      <c r="K796" s="67" t="n"/>
      <c r="L796" s="67" t="n"/>
      <c r="M796" s="67" t="n"/>
      <c r="N796" s="65" t="n"/>
      <c r="O796" s="84">
        <f>IF(A796="","",IF(E796="","No date",IF(TODAY()&gt;=EDATE(E796,Review_Months),"Review Due","Current")))</f>
        <v/>
      </c>
      <c r="P796" s="84">
        <f>IF(A796="","",IF(COUNTIFS('AFA Rates'!$A$5:$A$1004,A796,'AFA Rates'!$O$5:$O$1004,"&lt;&gt;Expired")&gt;0,"Yes",IF(COUNTIF('AFA Rates'!$A$5:$A$1004,A796)&gt;0,"Expired only","No")))</f>
        <v/>
      </c>
      <c r="Q796" s="84">
        <f>IF(A796="","",COUNTIFS('AFA Rates'!$A$5:$A$1004,A796,'AFA Rates'!$O$5:$O$1004,"&lt;&gt;Expired"))</f>
        <v/>
      </c>
      <c r="R796" s="66" t="n"/>
      <c r="S796" s="64" t="n"/>
      <c r="T796" s="64" t="n"/>
      <c r="U796">
        <f>IF(AND(A796&lt;&gt;"",B796="Paused"),COUNTIFS($A$5:A796,"&lt;&gt;",$B$5:B796,"Paused"),"")</f>
        <v/>
      </c>
      <c r="V796">
        <f>IF(P796="Yes",COUNTIF($P$5:P796,"Yes"),"")</f>
        <v/>
      </c>
      <c r="W796">
        <f>IF(A796="","",COUNTIF($A$5:$A$1004,"&lt;"&amp;A796)+COUNTIF($A$5:A796,A796))</f>
        <v/>
      </c>
      <c r="X796">
        <f>","&amp;SUBSTITUTE(SUBSTITUTE(SUBSTITUTE(UPPER(C796)," ",""),";",","),"/",",")&amp;","</f>
        <v/>
      </c>
      <c r="Y796">
        <f>IF(AND(A796&lt;&gt;"",B796="Active",'State Search'!$C$5&lt;&gt;"",OR(X796=",ALL,",ISNUMBER(SEARCH(","&amp;'State Search'!$C$5&amp;",",X796)))),W796,"")</f>
        <v/>
      </c>
    </row>
    <row r="797">
      <c r="A797" s="64" t="n"/>
      <c r="B797" s="65" t="n"/>
      <c r="C797" s="64" t="n"/>
      <c r="D797" s="66" t="n"/>
      <c r="E797" s="66" t="n"/>
      <c r="F797" s="67" t="n"/>
      <c r="G797" s="67" t="n"/>
      <c r="H797" s="67" t="n"/>
      <c r="I797" s="67" t="n"/>
      <c r="J797" s="67" t="n"/>
      <c r="K797" s="67" t="n"/>
      <c r="L797" s="67" t="n"/>
      <c r="M797" s="67" t="n"/>
      <c r="N797" s="65" t="n"/>
      <c r="O797" s="84">
        <f>IF(A797="","",IF(E797="","No date",IF(TODAY()&gt;=EDATE(E797,Review_Months),"Review Due","Current")))</f>
        <v/>
      </c>
      <c r="P797" s="84">
        <f>IF(A797="","",IF(COUNTIFS('AFA Rates'!$A$5:$A$1004,A797,'AFA Rates'!$O$5:$O$1004,"&lt;&gt;Expired")&gt;0,"Yes",IF(COUNTIF('AFA Rates'!$A$5:$A$1004,A797)&gt;0,"Expired only","No")))</f>
        <v/>
      </c>
      <c r="Q797" s="84">
        <f>IF(A797="","",COUNTIFS('AFA Rates'!$A$5:$A$1004,A797,'AFA Rates'!$O$5:$O$1004,"&lt;&gt;Expired"))</f>
        <v/>
      </c>
      <c r="R797" s="66" t="n"/>
      <c r="S797" s="64" t="n"/>
      <c r="T797" s="64" t="n"/>
      <c r="U797">
        <f>IF(AND(A797&lt;&gt;"",B797="Paused"),COUNTIFS($A$5:A797,"&lt;&gt;",$B$5:B797,"Paused"),"")</f>
        <v/>
      </c>
      <c r="V797">
        <f>IF(P797="Yes",COUNTIF($P$5:P797,"Yes"),"")</f>
        <v/>
      </c>
      <c r="W797">
        <f>IF(A797="","",COUNTIF($A$5:$A$1004,"&lt;"&amp;A797)+COUNTIF($A$5:A797,A797))</f>
        <v/>
      </c>
      <c r="X797">
        <f>","&amp;SUBSTITUTE(SUBSTITUTE(SUBSTITUTE(UPPER(C797)," ",""),";",","),"/",",")&amp;","</f>
        <v/>
      </c>
      <c r="Y797">
        <f>IF(AND(A797&lt;&gt;"",B797="Active",'State Search'!$C$5&lt;&gt;"",OR(X797=",ALL,",ISNUMBER(SEARCH(","&amp;'State Search'!$C$5&amp;",",X797)))),W797,"")</f>
        <v/>
      </c>
    </row>
    <row r="798">
      <c r="A798" s="64" t="n"/>
      <c r="B798" s="65" t="n"/>
      <c r="C798" s="64" t="n"/>
      <c r="D798" s="66" t="n"/>
      <c r="E798" s="66" t="n"/>
      <c r="F798" s="67" t="n"/>
      <c r="G798" s="67" t="n"/>
      <c r="H798" s="67" t="n"/>
      <c r="I798" s="67" t="n"/>
      <c r="J798" s="67" t="n"/>
      <c r="K798" s="67" t="n"/>
      <c r="L798" s="67" t="n"/>
      <c r="M798" s="67" t="n"/>
      <c r="N798" s="65" t="n"/>
      <c r="O798" s="84">
        <f>IF(A798="","",IF(E798="","No date",IF(TODAY()&gt;=EDATE(E798,Review_Months),"Review Due","Current")))</f>
        <v/>
      </c>
      <c r="P798" s="84">
        <f>IF(A798="","",IF(COUNTIFS('AFA Rates'!$A$5:$A$1004,A798,'AFA Rates'!$O$5:$O$1004,"&lt;&gt;Expired")&gt;0,"Yes",IF(COUNTIF('AFA Rates'!$A$5:$A$1004,A798)&gt;0,"Expired only","No")))</f>
        <v/>
      </c>
      <c r="Q798" s="84">
        <f>IF(A798="","",COUNTIFS('AFA Rates'!$A$5:$A$1004,A798,'AFA Rates'!$O$5:$O$1004,"&lt;&gt;Expired"))</f>
        <v/>
      </c>
      <c r="R798" s="66" t="n"/>
      <c r="S798" s="64" t="n"/>
      <c r="T798" s="64" t="n"/>
      <c r="U798">
        <f>IF(AND(A798&lt;&gt;"",B798="Paused"),COUNTIFS($A$5:A798,"&lt;&gt;",$B$5:B798,"Paused"),"")</f>
        <v/>
      </c>
      <c r="V798">
        <f>IF(P798="Yes",COUNTIF($P$5:P798,"Yes"),"")</f>
        <v/>
      </c>
      <c r="W798">
        <f>IF(A798="","",COUNTIF($A$5:$A$1004,"&lt;"&amp;A798)+COUNTIF($A$5:A798,A798))</f>
        <v/>
      </c>
      <c r="X798">
        <f>","&amp;SUBSTITUTE(SUBSTITUTE(SUBSTITUTE(UPPER(C798)," ",""),";",","),"/",",")&amp;","</f>
        <v/>
      </c>
      <c r="Y798">
        <f>IF(AND(A798&lt;&gt;"",B798="Active",'State Search'!$C$5&lt;&gt;"",OR(X798=",ALL,",ISNUMBER(SEARCH(","&amp;'State Search'!$C$5&amp;",",X798)))),W798,"")</f>
        <v/>
      </c>
    </row>
    <row r="799">
      <c r="A799" s="64" t="n"/>
      <c r="B799" s="65" t="n"/>
      <c r="C799" s="64" t="n"/>
      <c r="D799" s="66" t="n"/>
      <c r="E799" s="66" t="n"/>
      <c r="F799" s="67" t="n"/>
      <c r="G799" s="67" t="n"/>
      <c r="H799" s="67" t="n"/>
      <c r="I799" s="67" t="n"/>
      <c r="J799" s="67" t="n"/>
      <c r="K799" s="67" t="n"/>
      <c r="L799" s="67" t="n"/>
      <c r="M799" s="67" t="n"/>
      <c r="N799" s="65" t="n"/>
      <c r="O799" s="84">
        <f>IF(A799="","",IF(E799="","No date",IF(TODAY()&gt;=EDATE(E799,Review_Months),"Review Due","Current")))</f>
        <v/>
      </c>
      <c r="P799" s="84">
        <f>IF(A799="","",IF(COUNTIFS('AFA Rates'!$A$5:$A$1004,A799,'AFA Rates'!$O$5:$O$1004,"&lt;&gt;Expired")&gt;0,"Yes",IF(COUNTIF('AFA Rates'!$A$5:$A$1004,A799)&gt;0,"Expired only","No")))</f>
        <v/>
      </c>
      <c r="Q799" s="84">
        <f>IF(A799="","",COUNTIFS('AFA Rates'!$A$5:$A$1004,A799,'AFA Rates'!$O$5:$O$1004,"&lt;&gt;Expired"))</f>
        <v/>
      </c>
      <c r="R799" s="66" t="n"/>
      <c r="S799" s="64" t="n"/>
      <c r="T799" s="64" t="n"/>
      <c r="U799">
        <f>IF(AND(A799&lt;&gt;"",B799="Paused"),COUNTIFS($A$5:A799,"&lt;&gt;",$B$5:B799,"Paused"),"")</f>
        <v/>
      </c>
      <c r="V799">
        <f>IF(P799="Yes",COUNTIF($P$5:P799,"Yes"),"")</f>
        <v/>
      </c>
      <c r="W799">
        <f>IF(A799="","",COUNTIF($A$5:$A$1004,"&lt;"&amp;A799)+COUNTIF($A$5:A799,A799))</f>
        <v/>
      </c>
      <c r="X799">
        <f>","&amp;SUBSTITUTE(SUBSTITUTE(SUBSTITUTE(UPPER(C799)," ",""),";",","),"/",",")&amp;","</f>
        <v/>
      </c>
      <c r="Y799">
        <f>IF(AND(A799&lt;&gt;"",B799="Active",'State Search'!$C$5&lt;&gt;"",OR(X799=",ALL,",ISNUMBER(SEARCH(","&amp;'State Search'!$C$5&amp;",",X799)))),W799,"")</f>
        <v/>
      </c>
    </row>
    <row r="800">
      <c r="A800" s="64" t="n"/>
      <c r="B800" s="65" t="n"/>
      <c r="C800" s="64" t="n"/>
      <c r="D800" s="66" t="n"/>
      <c r="E800" s="66" t="n"/>
      <c r="F800" s="67" t="n"/>
      <c r="G800" s="67" t="n"/>
      <c r="H800" s="67" t="n"/>
      <c r="I800" s="67" t="n"/>
      <c r="J800" s="67" t="n"/>
      <c r="K800" s="67" t="n"/>
      <c r="L800" s="67" t="n"/>
      <c r="M800" s="67" t="n"/>
      <c r="N800" s="65" t="n"/>
      <c r="O800" s="84">
        <f>IF(A800="","",IF(E800="","No date",IF(TODAY()&gt;=EDATE(E800,Review_Months),"Review Due","Current")))</f>
        <v/>
      </c>
      <c r="P800" s="84">
        <f>IF(A800="","",IF(COUNTIFS('AFA Rates'!$A$5:$A$1004,A800,'AFA Rates'!$O$5:$O$1004,"&lt;&gt;Expired")&gt;0,"Yes",IF(COUNTIF('AFA Rates'!$A$5:$A$1004,A800)&gt;0,"Expired only","No")))</f>
        <v/>
      </c>
      <c r="Q800" s="84">
        <f>IF(A800="","",COUNTIFS('AFA Rates'!$A$5:$A$1004,A800,'AFA Rates'!$O$5:$O$1004,"&lt;&gt;Expired"))</f>
        <v/>
      </c>
      <c r="R800" s="66" t="n"/>
      <c r="S800" s="64" t="n"/>
      <c r="T800" s="64" t="n"/>
      <c r="U800">
        <f>IF(AND(A800&lt;&gt;"",B800="Paused"),COUNTIFS($A$5:A800,"&lt;&gt;",$B$5:B800,"Paused"),"")</f>
        <v/>
      </c>
      <c r="V800">
        <f>IF(P800="Yes",COUNTIF($P$5:P800,"Yes"),"")</f>
        <v/>
      </c>
      <c r="W800">
        <f>IF(A800="","",COUNTIF($A$5:$A$1004,"&lt;"&amp;A800)+COUNTIF($A$5:A800,A800))</f>
        <v/>
      </c>
      <c r="X800">
        <f>","&amp;SUBSTITUTE(SUBSTITUTE(SUBSTITUTE(UPPER(C800)," ",""),";",","),"/",",")&amp;","</f>
        <v/>
      </c>
      <c r="Y800">
        <f>IF(AND(A800&lt;&gt;"",B800="Active",'State Search'!$C$5&lt;&gt;"",OR(X800=",ALL,",ISNUMBER(SEARCH(","&amp;'State Search'!$C$5&amp;",",X800)))),W800,"")</f>
        <v/>
      </c>
    </row>
    <row r="801">
      <c r="A801" s="64" t="n"/>
      <c r="B801" s="65" t="n"/>
      <c r="C801" s="64" t="n"/>
      <c r="D801" s="66" t="n"/>
      <c r="E801" s="66" t="n"/>
      <c r="F801" s="67" t="n"/>
      <c r="G801" s="67" t="n"/>
      <c r="H801" s="67" t="n"/>
      <c r="I801" s="67" t="n"/>
      <c r="J801" s="67" t="n"/>
      <c r="K801" s="67" t="n"/>
      <c r="L801" s="67" t="n"/>
      <c r="M801" s="67" t="n"/>
      <c r="N801" s="65" t="n"/>
      <c r="O801" s="84">
        <f>IF(A801="","",IF(E801="","No date",IF(TODAY()&gt;=EDATE(E801,Review_Months),"Review Due","Current")))</f>
        <v/>
      </c>
      <c r="P801" s="84">
        <f>IF(A801="","",IF(COUNTIFS('AFA Rates'!$A$5:$A$1004,A801,'AFA Rates'!$O$5:$O$1004,"&lt;&gt;Expired")&gt;0,"Yes",IF(COUNTIF('AFA Rates'!$A$5:$A$1004,A801)&gt;0,"Expired only","No")))</f>
        <v/>
      </c>
      <c r="Q801" s="84">
        <f>IF(A801="","",COUNTIFS('AFA Rates'!$A$5:$A$1004,A801,'AFA Rates'!$O$5:$O$1004,"&lt;&gt;Expired"))</f>
        <v/>
      </c>
      <c r="R801" s="66" t="n"/>
      <c r="S801" s="64" t="n"/>
      <c r="T801" s="64" t="n"/>
      <c r="U801">
        <f>IF(AND(A801&lt;&gt;"",B801="Paused"),COUNTIFS($A$5:A801,"&lt;&gt;",$B$5:B801,"Paused"),"")</f>
        <v/>
      </c>
      <c r="V801">
        <f>IF(P801="Yes",COUNTIF($P$5:P801,"Yes"),"")</f>
        <v/>
      </c>
      <c r="W801">
        <f>IF(A801="","",COUNTIF($A$5:$A$1004,"&lt;"&amp;A801)+COUNTIF($A$5:A801,A801))</f>
        <v/>
      </c>
      <c r="X801">
        <f>","&amp;SUBSTITUTE(SUBSTITUTE(SUBSTITUTE(UPPER(C801)," ",""),";",","),"/",",")&amp;","</f>
        <v/>
      </c>
      <c r="Y801">
        <f>IF(AND(A801&lt;&gt;"",B801="Active",'State Search'!$C$5&lt;&gt;"",OR(X801=",ALL,",ISNUMBER(SEARCH(","&amp;'State Search'!$C$5&amp;",",X801)))),W801,"")</f>
        <v/>
      </c>
    </row>
    <row r="802">
      <c r="A802" s="64" t="n"/>
      <c r="B802" s="65" t="n"/>
      <c r="C802" s="64" t="n"/>
      <c r="D802" s="66" t="n"/>
      <c r="E802" s="66" t="n"/>
      <c r="F802" s="67" t="n"/>
      <c r="G802" s="67" t="n"/>
      <c r="H802" s="67" t="n"/>
      <c r="I802" s="67" t="n"/>
      <c r="J802" s="67" t="n"/>
      <c r="K802" s="67" t="n"/>
      <c r="L802" s="67" t="n"/>
      <c r="M802" s="67" t="n"/>
      <c r="N802" s="65" t="n"/>
      <c r="O802" s="84">
        <f>IF(A802="","",IF(E802="","No date",IF(TODAY()&gt;=EDATE(E802,Review_Months),"Review Due","Current")))</f>
        <v/>
      </c>
      <c r="P802" s="84">
        <f>IF(A802="","",IF(COUNTIFS('AFA Rates'!$A$5:$A$1004,A802,'AFA Rates'!$O$5:$O$1004,"&lt;&gt;Expired")&gt;0,"Yes",IF(COUNTIF('AFA Rates'!$A$5:$A$1004,A802)&gt;0,"Expired only","No")))</f>
        <v/>
      </c>
      <c r="Q802" s="84">
        <f>IF(A802="","",COUNTIFS('AFA Rates'!$A$5:$A$1004,A802,'AFA Rates'!$O$5:$O$1004,"&lt;&gt;Expired"))</f>
        <v/>
      </c>
      <c r="R802" s="66" t="n"/>
      <c r="S802" s="64" t="n"/>
      <c r="T802" s="64" t="n"/>
      <c r="U802">
        <f>IF(AND(A802&lt;&gt;"",B802="Paused"),COUNTIFS($A$5:A802,"&lt;&gt;",$B$5:B802,"Paused"),"")</f>
        <v/>
      </c>
      <c r="V802">
        <f>IF(P802="Yes",COUNTIF($P$5:P802,"Yes"),"")</f>
        <v/>
      </c>
      <c r="W802">
        <f>IF(A802="","",COUNTIF($A$5:$A$1004,"&lt;"&amp;A802)+COUNTIF($A$5:A802,A802))</f>
        <v/>
      </c>
      <c r="X802">
        <f>","&amp;SUBSTITUTE(SUBSTITUTE(SUBSTITUTE(UPPER(C802)," ",""),";",","),"/",",")&amp;","</f>
        <v/>
      </c>
      <c r="Y802">
        <f>IF(AND(A802&lt;&gt;"",B802="Active",'State Search'!$C$5&lt;&gt;"",OR(X802=",ALL,",ISNUMBER(SEARCH(","&amp;'State Search'!$C$5&amp;",",X802)))),W802,"")</f>
        <v/>
      </c>
    </row>
    <row r="803">
      <c r="A803" s="64" t="n"/>
      <c r="B803" s="65" t="n"/>
      <c r="C803" s="64" t="n"/>
      <c r="D803" s="66" t="n"/>
      <c r="E803" s="66" t="n"/>
      <c r="F803" s="67" t="n"/>
      <c r="G803" s="67" t="n"/>
      <c r="H803" s="67" t="n"/>
      <c r="I803" s="67" t="n"/>
      <c r="J803" s="67" t="n"/>
      <c r="K803" s="67" t="n"/>
      <c r="L803" s="67" t="n"/>
      <c r="M803" s="67" t="n"/>
      <c r="N803" s="65" t="n"/>
      <c r="O803" s="84">
        <f>IF(A803="","",IF(E803="","No date",IF(TODAY()&gt;=EDATE(E803,Review_Months),"Review Due","Current")))</f>
        <v/>
      </c>
      <c r="P803" s="84">
        <f>IF(A803="","",IF(COUNTIFS('AFA Rates'!$A$5:$A$1004,A803,'AFA Rates'!$O$5:$O$1004,"&lt;&gt;Expired")&gt;0,"Yes",IF(COUNTIF('AFA Rates'!$A$5:$A$1004,A803)&gt;0,"Expired only","No")))</f>
        <v/>
      </c>
      <c r="Q803" s="84">
        <f>IF(A803="","",COUNTIFS('AFA Rates'!$A$5:$A$1004,A803,'AFA Rates'!$O$5:$O$1004,"&lt;&gt;Expired"))</f>
        <v/>
      </c>
      <c r="R803" s="66" t="n"/>
      <c r="S803" s="64" t="n"/>
      <c r="T803" s="64" t="n"/>
      <c r="U803">
        <f>IF(AND(A803&lt;&gt;"",B803="Paused"),COUNTIFS($A$5:A803,"&lt;&gt;",$B$5:B803,"Paused"),"")</f>
        <v/>
      </c>
      <c r="V803">
        <f>IF(P803="Yes",COUNTIF($P$5:P803,"Yes"),"")</f>
        <v/>
      </c>
      <c r="W803">
        <f>IF(A803="","",COUNTIF($A$5:$A$1004,"&lt;"&amp;A803)+COUNTIF($A$5:A803,A803))</f>
        <v/>
      </c>
      <c r="X803">
        <f>","&amp;SUBSTITUTE(SUBSTITUTE(SUBSTITUTE(UPPER(C803)," ",""),";",","),"/",",")&amp;","</f>
        <v/>
      </c>
      <c r="Y803">
        <f>IF(AND(A803&lt;&gt;"",B803="Active",'State Search'!$C$5&lt;&gt;"",OR(X803=",ALL,",ISNUMBER(SEARCH(","&amp;'State Search'!$C$5&amp;",",X803)))),W803,"")</f>
        <v/>
      </c>
    </row>
    <row r="804">
      <c r="A804" s="64" t="n"/>
      <c r="B804" s="65" t="n"/>
      <c r="C804" s="64" t="n"/>
      <c r="D804" s="66" t="n"/>
      <c r="E804" s="66" t="n"/>
      <c r="F804" s="67" t="n"/>
      <c r="G804" s="67" t="n"/>
      <c r="H804" s="67" t="n"/>
      <c r="I804" s="67" t="n"/>
      <c r="J804" s="67" t="n"/>
      <c r="K804" s="67" t="n"/>
      <c r="L804" s="67" t="n"/>
      <c r="M804" s="67" t="n"/>
      <c r="N804" s="65" t="n"/>
      <c r="O804" s="84">
        <f>IF(A804="","",IF(E804="","No date",IF(TODAY()&gt;=EDATE(E804,Review_Months),"Review Due","Current")))</f>
        <v/>
      </c>
      <c r="P804" s="84">
        <f>IF(A804="","",IF(COUNTIFS('AFA Rates'!$A$5:$A$1004,A804,'AFA Rates'!$O$5:$O$1004,"&lt;&gt;Expired")&gt;0,"Yes",IF(COUNTIF('AFA Rates'!$A$5:$A$1004,A804)&gt;0,"Expired only","No")))</f>
        <v/>
      </c>
      <c r="Q804" s="84">
        <f>IF(A804="","",COUNTIFS('AFA Rates'!$A$5:$A$1004,A804,'AFA Rates'!$O$5:$O$1004,"&lt;&gt;Expired"))</f>
        <v/>
      </c>
      <c r="R804" s="66" t="n"/>
      <c r="S804" s="64" t="n"/>
      <c r="T804" s="64" t="n"/>
      <c r="U804">
        <f>IF(AND(A804&lt;&gt;"",B804="Paused"),COUNTIFS($A$5:A804,"&lt;&gt;",$B$5:B804,"Paused"),"")</f>
        <v/>
      </c>
      <c r="V804">
        <f>IF(P804="Yes",COUNTIF($P$5:P804,"Yes"),"")</f>
        <v/>
      </c>
      <c r="W804">
        <f>IF(A804="","",COUNTIF($A$5:$A$1004,"&lt;"&amp;A804)+COUNTIF($A$5:A804,A804))</f>
        <v/>
      </c>
      <c r="X804">
        <f>","&amp;SUBSTITUTE(SUBSTITUTE(SUBSTITUTE(UPPER(C804)," ",""),";",","),"/",",")&amp;","</f>
        <v/>
      </c>
      <c r="Y804">
        <f>IF(AND(A804&lt;&gt;"",B804="Active",'State Search'!$C$5&lt;&gt;"",OR(X804=",ALL,",ISNUMBER(SEARCH(","&amp;'State Search'!$C$5&amp;",",X804)))),W804,"")</f>
        <v/>
      </c>
    </row>
    <row r="805">
      <c r="A805" s="64" t="n"/>
      <c r="B805" s="65" t="n"/>
      <c r="C805" s="64" t="n"/>
      <c r="D805" s="66" t="n"/>
      <c r="E805" s="66" t="n"/>
      <c r="F805" s="67" t="n"/>
      <c r="G805" s="67" t="n"/>
      <c r="H805" s="67" t="n"/>
      <c r="I805" s="67" t="n"/>
      <c r="J805" s="67" t="n"/>
      <c r="K805" s="67" t="n"/>
      <c r="L805" s="67" t="n"/>
      <c r="M805" s="67" t="n"/>
      <c r="N805" s="65" t="n"/>
      <c r="O805" s="84">
        <f>IF(A805="","",IF(E805="","No date",IF(TODAY()&gt;=EDATE(E805,Review_Months),"Review Due","Current")))</f>
        <v/>
      </c>
      <c r="P805" s="84">
        <f>IF(A805="","",IF(COUNTIFS('AFA Rates'!$A$5:$A$1004,A805,'AFA Rates'!$O$5:$O$1004,"&lt;&gt;Expired")&gt;0,"Yes",IF(COUNTIF('AFA Rates'!$A$5:$A$1004,A805)&gt;0,"Expired only","No")))</f>
        <v/>
      </c>
      <c r="Q805" s="84">
        <f>IF(A805="","",COUNTIFS('AFA Rates'!$A$5:$A$1004,A805,'AFA Rates'!$O$5:$O$1004,"&lt;&gt;Expired"))</f>
        <v/>
      </c>
      <c r="R805" s="66" t="n"/>
      <c r="S805" s="64" t="n"/>
      <c r="T805" s="64" t="n"/>
      <c r="U805">
        <f>IF(AND(A805&lt;&gt;"",B805="Paused"),COUNTIFS($A$5:A805,"&lt;&gt;",$B$5:B805,"Paused"),"")</f>
        <v/>
      </c>
      <c r="V805">
        <f>IF(P805="Yes",COUNTIF($P$5:P805,"Yes"),"")</f>
        <v/>
      </c>
      <c r="W805">
        <f>IF(A805="","",COUNTIF($A$5:$A$1004,"&lt;"&amp;A805)+COUNTIF($A$5:A805,A805))</f>
        <v/>
      </c>
      <c r="X805">
        <f>","&amp;SUBSTITUTE(SUBSTITUTE(SUBSTITUTE(UPPER(C805)," ",""),";",","),"/",",")&amp;","</f>
        <v/>
      </c>
      <c r="Y805">
        <f>IF(AND(A805&lt;&gt;"",B805="Active",'State Search'!$C$5&lt;&gt;"",OR(X805=",ALL,",ISNUMBER(SEARCH(","&amp;'State Search'!$C$5&amp;",",X805)))),W805,"")</f>
        <v/>
      </c>
    </row>
    <row r="806">
      <c r="A806" s="64" t="n"/>
      <c r="B806" s="65" t="n"/>
      <c r="C806" s="64" t="n"/>
      <c r="D806" s="66" t="n"/>
      <c r="E806" s="66" t="n"/>
      <c r="F806" s="67" t="n"/>
      <c r="G806" s="67" t="n"/>
      <c r="H806" s="67" t="n"/>
      <c r="I806" s="67" t="n"/>
      <c r="J806" s="67" t="n"/>
      <c r="K806" s="67" t="n"/>
      <c r="L806" s="67" t="n"/>
      <c r="M806" s="67" t="n"/>
      <c r="N806" s="65" t="n"/>
      <c r="O806" s="84">
        <f>IF(A806="","",IF(E806="","No date",IF(TODAY()&gt;=EDATE(E806,Review_Months),"Review Due","Current")))</f>
        <v/>
      </c>
      <c r="P806" s="84">
        <f>IF(A806="","",IF(COUNTIFS('AFA Rates'!$A$5:$A$1004,A806,'AFA Rates'!$O$5:$O$1004,"&lt;&gt;Expired")&gt;0,"Yes",IF(COUNTIF('AFA Rates'!$A$5:$A$1004,A806)&gt;0,"Expired only","No")))</f>
        <v/>
      </c>
      <c r="Q806" s="84">
        <f>IF(A806="","",COUNTIFS('AFA Rates'!$A$5:$A$1004,A806,'AFA Rates'!$O$5:$O$1004,"&lt;&gt;Expired"))</f>
        <v/>
      </c>
      <c r="R806" s="66" t="n"/>
      <c r="S806" s="64" t="n"/>
      <c r="T806" s="64" t="n"/>
      <c r="U806">
        <f>IF(AND(A806&lt;&gt;"",B806="Paused"),COUNTIFS($A$5:A806,"&lt;&gt;",$B$5:B806,"Paused"),"")</f>
        <v/>
      </c>
      <c r="V806">
        <f>IF(P806="Yes",COUNTIF($P$5:P806,"Yes"),"")</f>
        <v/>
      </c>
      <c r="W806">
        <f>IF(A806="","",COUNTIF($A$5:$A$1004,"&lt;"&amp;A806)+COUNTIF($A$5:A806,A806))</f>
        <v/>
      </c>
      <c r="X806">
        <f>","&amp;SUBSTITUTE(SUBSTITUTE(SUBSTITUTE(UPPER(C806)," ",""),";",","),"/",",")&amp;","</f>
        <v/>
      </c>
      <c r="Y806">
        <f>IF(AND(A806&lt;&gt;"",B806="Active",'State Search'!$C$5&lt;&gt;"",OR(X806=",ALL,",ISNUMBER(SEARCH(","&amp;'State Search'!$C$5&amp;",",X806)))),W806,"")</f>
        <v/>
      </c>
    </row>
    <row r="807">
      <c r="A807" s="64" t="n"/>
      <c r="B807" s="65" t="n"/>
      <c r="C807" s="64" t="n"/>
      <c r="D807" s="66" t="n"/>
      <c r="E807" s="66" t="n"/>
      <c r="F807" s="67" t="n"/>
      <c r="G807" s="67" t="n"/>
      <c r="H807" s="67" t="n"/>
      <c r="I807" s="67" t="n"/>
      <c r="J807" s="67" t="n"/>
      <c r="K807" s="67" t="n"/>
      <c r="L807" s="67" t="n"/>
      <c r="M807" s="67" t="n"/>
      <c r="N807" s="65" t="n"/>
      <c r="O807" s="84">
        <f>IF(A807="","",IF(E807="","No date",IF(TODAY()&gt;=EDATE(E807,Review_Months),"Review Due","Current")))</f>
        <v/>
      </c>
      <c r="P807" s="84">
        <f>IF(A807="","",IF(COUNTIFS('AFA Rates'!$A$5:$A$1004,A807,'AFA Rates'!$O$5:$O$1004,"&lt;&gt;Expired")&gt;0,"Yes",IF(COUNTIF('AFA Rates'!$A$5:$A$1004,A807)&gt;0,"Expired only","No")))</f>
        <v/>
      </c>
      <c r="Q807" s="84">
        <f>IF(A807="","",COUNTIFS('AFA Rates'!$A$5:$A$1004,A807,'AFA Rates'!$O$5:$O$1004,"&lt;&gt;Expired"))</f>
        <v/>
      </c>
      <c r="R807" s="66" t="n"/>
      <c r="S807" s="64" t="n"/>
      <c r="T807" s="64" t="n"/>
      <c r="U807">
        <f>IF(AND(A807&lt;&gt;"",B807="Paused"),COUNTIFS($A$5:A807,"&lt;&gt;",$B$5:B807,"Paused"),"")</f>
        <v/>
      </c>
      <c r="V807">
        <f>IF(P807="Yes",COUNTIF($P$5:P807,"Yes"),"")</f>
        <v/>
      </c>
      <c r="W807">
        <f>IF(A807="","",COUNTIF($A$5:$A$1004,"&lt;"&amp;A807)+COUNTIF($A$5:A807,A807))</f>
        <v/>
      </c>
      <c r="X807">
        <f>","&amp;SUBSTITUTE(SUBSTITUTE(SUBSTITUTE(UPPER(C807)," ",""),";",","),"/",",")&amp;","</f>
        <v/>
      </c>
      <c r="Y807">
        <f>IF(AND(A807&lt;&gt;"",B807="Active",'State Search'!$C$5&lt;&gt;"",OR(X807=",ALL,",ISNUMBER(SEARCH(","&amp;'State Search'!$C$5&amp;",",X807)))),W807,"")</f>
        <v/>
      </c>
    </row>
    <row r="808">
      <c r="A808" s="64" t="n"/>
      <c r="B808" s="65" t="n"/>
      <c r="C808" s="64" t="n"/>
      <c r="D808" s="66" t="n"/>
      <c r="E808" s="66" t="n"/>
      <c r="F808" s="67" t="n"/>
      <c r="G808" s="67" t="n"/>
      <c r="H808" s="67" t="n"/>
      <c r="I808" s="67" t="n"/>
      <c r="J808" s="67" t="n"/>
      <c r="K808" s="67" t="n"/>
      <c r="L808" s="67" t="n"/>
      <c r="M808" s="67" t="n"/>
      <c r="N808" s="65" t="n"/>
      <c r="O808" s="84">
        <f>IF(A808="","",IF(E808="","No date",IF(TODAY()&gt;=EDATE(E808,Review_Months),"Review Due","Current")))</f>
        <v/>
      </c>
      <c r="P808" s="84">
        <f>IF(A808="","",IF(COUNTIFS('AFA Rates'!$A$5:$A$1004,A808,'AFA Rates'!$O$5:$O$1004,"&lt;&gt;Expired")&gt;0,"Yes",IF(COUNTIF('AFA Rates'!$A$5:$A$1004,A808)&gt;0,"Expired only","No")))</f>
        <v/>
      </c>
      <c r="Q808" s="84">
        <f>IF(A808="","",COUNTIFS('AFA Rates'!$A$5:$A$1004,A808,'AFA Rates'!$O$5:$O$1004,"&lt;&gt;Expired"))</f>
        <v/>
      </c>
      <c r="R808" s="66" t="n"/>
      <c r="S808" s="64" t="n"/>
      <c r="T808" s="64" t="n"/>
      <c r="U808">
        <f>IF(AND(A808&lt;&gt;"",B808="Paused"),COUNTIFS($A$5:A808,"&lt;&gt;",$B$5:B808,"Paused"),"")</f>
        <v/>
      </c>
      <c r="V808">
        <f>IF(P808="Yes",COUNTIF($P$5:P808,"Yes"),"")</f>
        <v/>
      </c>
      <c r="W808">
        <f>IF(A808="","",COUNTIF($A$5:$A$1004,"&lt;"&amp;A808)+COUNTIF($A$5:A808,A808))</f>
        <v/>
      </c>
      <c r="X808">
        <f>","&amp;SUBSTITUTE(SUBSTITUTE(SUBSTITUTE(UPPER(C808)," ",""),";",","),"/",",")&amp;","</f>
        <v/>
      </c>
      <c r="Y808">
        <f>IF(AND(A808&lt;&gt;"",B808="Active",'State Search'!$C$5&lt;&gt;"",OR(X808=",ALL,",ISNUMBER(SEARCH(","&amp;'State Search'!$C$5&amp;",",X808)))),W808,"")</f>
        <v/>
      </c>
    </row>
    <row r="809">
      <c r="A809" s="64" t="n"/>
      <c r="B809" s="65" t="n"/>
      <c r="C809" s="64" t="n"/>
      <c r="D809" s="66" t="n"/>
      <c r="E809" s="66" t="n"/>
      <c r="F809" s="67" t="n"/>
      <c r="G809" s="67" t="n"/>
      <c r="H809" s="67" t="n"/>
      <c r="I809" s="67" t="n"/>
      <c r="J809" s="67" t="n"/>
      <c r="K809" s="67" t="n"/>
      <c r="L809" s="67" t="n"/>
      <c r="M809" s="67" t="n"/>
      <c r="N809" s="65" t="n"/>
      <c r="O809" s="84">
        <f>IF(A809="","",IF(E809="","No date",IF(TODAY()&gt;=EDATE(E809,Review_Months),"Review Due","Current")))</f>
        <v/>
      </c>
      <c r="P809" s="84">
        <f>IF(A809="","",IF(COUNTIFS('AFA Rates'!$A$5:$A$1004,A809,'AFA Rates'!$O$5:$O$1004,"&lt;&gt;Expired")&gt;0,"Yes",IF(COUNTIF('AFA Rates'!$A$5:$A$1004,A809)&gt;0,"Expired only","No")))</f>
        <v/>
      </c>
      <c r="Q809" s="84">
        <f>IF(A809="","",COUNTIFS('AFA Rates'!$A$5:$A$1004,A809,'AFA Rates'!$O$5:$O$1004,"&lt;&gt;Expired"))</f>
        <v/>
      </c>
      <c r="R809" s="66" t="n"/>
      <c r="S809" s="64" t="n"/>
      <c r="T809" s="64" t="n"/>
      <c r="U809">
        <f>IF(AND(A809&lt;&gt;"",B809="Paused"),COUNTIFS($A$5:A809,"&lt;&gt;",$B$5:B809,"Paused"),"")</f>
        <v/>
      </c>
      <c r="V809">
        <f>IF(P809="Yes",COUNTIF($P$5:P809,"Yes"),"")</f>
        <v/>
      </c>
      <c r="W809">
        <f>IF(A809="","",COUNTIF($A$5:$A$1004,"&lt;"&amp;A809)+COUNTIF($A$5:A809,A809))</f>
        <v/>
      </c>
      <c r="X809">
        <f>","&amp;SUBSTITUTE(SUBSTITUTE(SUBSTITUTE(UPPER(C809)," ",""),";",","),"/",",")&amp;","</f>
        <v/>
      </c>
      <c r="Y809">
        <f>IF(AND(A809&lt;&gt;"",B809="Active",'State Search'!$C$5&lt;&gt;"",OR(X809=",ALL,",ISNUMBER(SEARCH(","&amp;'State Search'!$C$5&amp;",",X809)))),W809,"")</f>
        <v/>
      </c>
    </row>
    <row r="810">
      <c r="A810" s="64" t="n"/>
      <c r="B810" s="65" t="n"/>
      <c r="C810" s="64" t="n"/>
      <c r="D810" s="66" t="n"/>
      <c r="E810" s="66" t="n"/>
      <c r="F810" s="67" t="n"/>
      <c r="G810" s="67" t="n"/>
      <c r="H810" s="67" t="n"/>
      <c r="I810" s="67" t="n"/>
      <c r="J810" s="67" t="n"/>
      <c r="K810" s="67" t="n"/>
      <c r="L810" s="67" t="n"/>
      <c r="M810" s="67" t="n"/>
      <c r="N810" s="65" t="n"/>
      <c r="O810" s="84">
        <f>IF(A810="","",IF(E810="","No date",IF(TODAY()&gt;=EDATE(E810,Review_Months),"Review Due","Current")))</f>
        <v/>
      </c>
      <c r="P810" s="84">
        <f>IF(A810="","",IF(COUNTIFS('AFA Rates'!$A$5:$A$1004,A810,'AFA Rates'!$O$5:$O$1004,"&lt;&gt;Expired")&gt;0,"Yes",IF(COUNTIF('AFA Rates'!$A$5:$A$1004,A810)&gt;0,"Expired only","No")))</f>
        <v/>
      </c>
      <c r="Q810" s="84">
        <f>IF(A810="","",COUNTIFS('AFA Rates'!$A$5:$A$1004,A810,'AFA Rates'!$O$5:$O$1004,"&lt;&gt;Expired"))</f>
        <v/>
      </c>
      <c r="R810" s="66" t="n"/>
      <c r="S810" s="64" t="n"/>
      <c r="T810" s="64" t="n"/>
      <c r="U810">
        <f>IF(AND(A810&lt;&gt;"",B810="Paused"),COUNTIFS($A$5:A810,"&lt;&gt;",$B$5:B810,"Paused"),"")</f>
        <v/>
      </c>
      <c r="V810">
        <f>IF(P810="Yes",COUNTIF($P$5:P810,"Yes"),"")</f>
        <v/>
      </c>
      <c r="W810">
        <f>IF(A810="","",COUNTIF($A$5:$A$1004,"&lt;"&amp;A810)+COUNTIF($A$5:A810,A810))</f>
        <v/>
      </c>
      <c r="X810">
        <f>","&amp;SUBSTITUTE(SUBSTITUTE(SUBSTITUTE(UPPER(C810)," ",""),";",","),"/",",")&amp;","</f>
        <v/>
      </c>
      <c r="Y810">
        <f>IF(AND(A810&lt;&gt;"",B810="Active",'State Search'!$C$5&lt;&gt;"",OR(X810=",ALL,",ISNUMBER(SEARCH(","&amp;'State Search'!$C$5&amp;",",X810)))),W810,"")</f>
        <v/>
      </c>
    </row>
    <row r="811">
      <c r="A811" s="64" t="n"/>
      <c r="B811" s="65" t="n"/>
      <c r="C811" s="64" t="n"/>
      <c r="D811" s="66" t="n"/>
      <c r="E811" s="66" t="n"/>
      <c r="F811" s="67" t="n"/>
      <c r="G811" s="67" t="n"/>
      <c r="H811" s="67" t="n"/>
      <c r="I811" s="67" t="n"/>
      <c r="J811" s="67" t="n"/>
      <c r="K811" s="67" t="n"/>
      <c r="L811" s="67" t="n"/>
      <c r="M811" s="67" t="n"/>
      <c r="N811" s="65" t="n"/>
      <c r="O811" s="84">
        <f>IF(A811="","",IF(E811="","No date",IF(TODAY()&gt;=EDATE(E811,Review_Months),"Review Due","Current")))</f>
        <v/>
      </c>
      <c r="P811" s="84">
        <f>IF(A811="","",IF(COUNTIFS('AFA Rates'!$A$5:$A$1004,A811,'AFA Rates'!$O$5:$O$1004,"&lt;&gt;Expired")&gt;0,"Yes",IF(COUNTIF('AFA Rates'!$A$5:$A$1004,A811)&gt;0,"Expired only","No")))</f>
        <v/>
      </c>
      <c r="Q811" s="84">
        <f>IF(A811="","",COUNTIFS('AFA Rates'!$A$5:$A$1004,A811,'AFA Rates'!$O$5:$O$1004,"&lt;&gt;Expired"))</f>
        <v/>
      </c>
      <c r="R811" s="66" t="n"/>
      <c r="S811" s="64" t="n"/>
      <c r="T811" s="64" t="n"/>
      <c r="U811">
        <f>IF(AND(A811&lt;&gt;"",B811="Paused"),COUNTIFS($A$5:A811,"&lt;&gt;",$B$5:B811,"Paused"),"")</f>
        <v/>
      </c>
      <c r="V811">
        <f>IF(P811="Yes",COUNTIF($P$5:P811,"Yes"),"")</f>
        <v/>
      </c>
      <c r="W811">
        <f>IF(A811="","",COUNTIF($A$5:$A$1004,"&lt;"&amp;A811)+COUNTIF($A$5:A811,A811))</f>
        <v/>
      </c>
      <c r="X811">
        <f>","&amp;SUBSTITUTE(SUBSTITUTE(SUBSTITUTE(UPPER(C811)," ",""),";",","),"/",",")&amp;","</f>
        <v/>
      </c>
      <c r="Y811">
        <f>IF(AND(A811&lt;&gt;"",B811="Active",'State Search'!$C$5&lt;&gt;"",OR(X811=",ALL,",ISNUMBER(SEARCH(","&amp;'State Search'!$C$5&amp;",",X811)))),W811,"")</f>
        <v/>
      </c>
    </row>
    <row r="812">
      <c r="A812" s="64" t="n"/>
      <c r="B812" s="65" t="n"/>
      <c r="C812" s="64" t="n"/>
      <c r="D812" s="66" t="n"/>
      <c r="E812" s="66" t="n"/>
      <c r="F812" s="67" t="n"/>
      <c r="G812" s="67" t="n"/>
      <c r="H812" s="67" t="n"/>
      <c r="I812" s="67" t="n"/>
      <c r="J812" s="67" t="n"/>
      <c r="K812" s="67" t="n"/>
      <c r="L812" s="67" t="n"/>
      <c r="M812" s="67" t="n"/>
      <c r="N812" s="65" t="n"/>
      <c r="O812" s="84">
        <f>IF(A812="","",IF(E812="","No date",IF(TODAY()&gt;=EDATE(E812,Review_Months),"Review Due","Current")))</f>
        <v/>
      </c>
      <c r="P812" s="84">
        <f>IF(A812="","",IF(COUNTIFS('AFA Rates'!$A$5:$A$1004,A812,'AFA Rates'!$O$5:$O$1004,"&lt;&gt;Expired")&gt;0,"Yes",IF(COUNTIF('AFA Rates'!$A$5:$A$1004,A812)&gt;0,"Expired only","No")))</f>
        <v/>
      </c>
      <c r="Q812" s="84">
        <f>IF(A812="","",COUNTIFS('AFA Rates'!$A$5:$A$1004,A812,'AFA Rates'!$O$5:$O$1004,"&lt;&gt;Expired"))</f>
        <v/>
      </c>
      <c r="R812" s="66" t="n"/>
      <c r="S812" s="64" t="n"/>
      <c r="T812" s="64" t="n"/>
      <c r="U812">
        <f>IF(AND(A812&lt;&gt;"",B812="Paused"),COUNTIFS($A$5:A812,"&lt;&gt;",$B$5:B812,"Paused"),"")</f>
        <v/>
      </c>
      <c r="V812">
        <f>IF(P812="Yes",COUNTIF($P$5:P812,"Yes"),"")</f>
        <v/>
      </c>
      <c r="W812">
        <f>IF(A812="","",COUNTIF($A$5:$A$1004,"&lt;"&amp;A812)+COUNTIF($A$5:A812,A812))</f>
        <v/>
      </c>
      <c r="X812">
        <f>","&amp;SUBSTITUTE(SUBSTITUTE(SUBSTITUTE(UPPER(C812)," ",""),";",","),"/",",")&amp;","</f>
        <v/>
      </c>
      <c r="Y812">
        <f>IF(AND(A812&lt;&gt;"",B812="Active",'State Search'!$C$5&lt;&gt;"",OR(X812=",ALL,",ISNUMBER(SEARCH(","&amp;'State Search'!$C$5&amp;",",X812)))),W812,"")</f>
        <v/>
      </c>
    </row>
    <row r="813">
      <c r="A813" s="64" t="n"/>
      <c r="B813" s="65" t="n"/>
      <c r="C813" s="64" t="n"/>
      <c r="D813" s="66" t="n"/>
      <c r="E813" s="66" t="n"/>
      <c r="F813" s="67" t="n"/>
      <c r="G813" s="67" t="n"/>
      <c r="H813" s="67" t="n"/>
      <c r="I813" s="67" t="n"/>
      <c r="J813" s="67" t="n"/>
      <c r="K813" s="67" t="n"/>
      <c r="L813" s="67" t="n"/>
      <c r="M813" s="67" t="n"/>
      <c r="N813" s="65" t="n"/>
      <c r="O813" s="84">
        <f>IF(A813="","",IF(E813="","No date",IF(TODAY()&gt;=EDATE(E813,Review_Months),"Review Due","Current")))</f>
        <v/>
      </c>
      <c r="P813" s="84">
        <f>IF(A813="","",IF(COUNTIFS('AFA Rates'!$A$5:$A$1004,A813,'AFA Rates'!$O$5:$O$1004,"&lt;&gt;Expired")&gt;0,"Yes",IF(COUNTIF('AFA Rates'!$A$5:$A$1004,A813)&gt;0,"Expired only","No")))</f>
        <v/>
      </c>
      <c r="Q813" s="84">
        <f>IF(A813="","",COUNTIFS('AFA Rates'!$A$5:$A$1004,A813,'AFA Rates'!$O$5:$O$1004,"&lt;&gt;Expired"))</f>
        <v/>
      </c>
      <c r="R813" s="66" t="n"/>
      <c r="S813" s="64" t="n"/>
      <c r="T813" s="64" t="n"/>
      <c r="U813">
        <f>IF(AND(A813&lt;&gt;"",B813="Paused"),COUNTIFS($A$5:A813,"&lt;&gt;",$B$5:B813,"Paused"),"")</f>
        <v/>
      </c>
      <c r="V813">
        <f>IF(P813="Yes",COUNTIF($P$5:P813,"Yes"),"")</f>
        <v/>
      </c>
      <c r="W813">
        <f>IF(A813="","",COUNTIF($A$5:$A$1004,"&lt;"&amp;A813)+COUNTIF($A$5:A813,A813))</f>
        <v/>
      </c>
      <c r="X813">
        <f>","&amp;SUBSTITUTE(SUBSTITUTE(SUBSTITUTE(UPPER(C813)," ",""),";",","),"/",",")&amp;","</f>
        <v/>
      </c>
      <c r="Y813">
        <f>IF(AND(A813&lt;&gt;"",B813="Active",'State Search'!$C$5&lt;&gt;"",OR(X813=",ALL,",ISNUMBER(SEARCH(","&amp;'State Search'!$C$5&amp;",",X813)))),W813,"")</f>
        <v/>
      </c>
    </row>
    <row r="814">
      <c r="A814" s="64" t="n"/>
      <c r="B814" s="65" t="n"/>
      <c r="C814" s="64" t="n"/>
      <c r="D814" s="66" t="n"/>
      <c r="E814" s="66" t="n"/>
      <c r="F814" s="67" t="n"/>
      <c r="G814" s="67" t="n"/>
      <c r="H814" s="67" t="n"/>
      <c r="I814" s="67" t="n"/>
      <c r="J814" s="67" t="n"/>
      <c r="K814" s="67" t="n"/>
      <c r="L814" s="67" t="n"/>
      <c r="M814" s="67" t="n"/>
      <c r="N814" s="65" t="n"/>
      <c r="O814" s="84">
        <f>IF(A814="","",IF(E814="","No date",IF(TODAY()&gt;=EDATE(E814,Review_Months),"Review Due","Current")))</f>
        <v/>
      </c>
      <c r="P814" s="84">
        <f>IF(A814="","",IF(COUNTIFS('AFA Rates'!$A$5:$A$1004,A814,'AFA Rates'!$O$5:$O$1004,"&lt;&gt;Expired")&gt;0,"Yes",IF(COUNTIF('AFA Rates'!$A$5:$A$1004,A814)&gt;0,"Expired only","No")))</f>
        <v/>
      </c>
      <c r="Q814" s="84">
        <f>IF(A814="","",COUNTIFS('AFA Rates'!$A$5:$A$1004,A814,'AFA Rates'!$O$5:$O$1004,"&lt;&gt;Expired"))</f>
        <v/>
      </c>
      <c r="R814" s="66" t="n"/>
      <c r="S814" s="64" t="n"/>
      <c r="T814" s="64" t="n"/>
      <c r="U814">
        <f>IF(AND(A814&lt;&gt;"",B814="Paused"),COUNTIFS($A$5:A814,"&lt;&gt;",$B$5:B814,"Paused"),"")</f>
        <v/>
      </c>
      <c r="V814">
        <f>IF(P814="Yes",COUNTIF($P$5:P814,"Yes"),"")</f>
        <v/>
      </c>
      <c r="W814">
        <f>IF(A814="","",COUNTIF($A$5:$A$1004,"&lt;"&amp;A814)+COUNTIF($A$5:A814,A814))</f>
        <v/>
      </c>
      <c r="X814">
        <f>","&amp;SUBSTITUTE(SUBSTITUTE(SUBSTITUTE(UPPER(C814)," ",""),";",","),"/",",")&amp;","</f>
        <v/>
      </c>
      <c r="Y814">
        <f>IF(AND(A814&lt;&gt;"",B814="Active",'State Search'!$C$5&lt;&gt;"",OR(X814=",ALL,",ISNUMBER(SEARCH(","&amp;'State Search'!$C$5&amp;",",X814)))),W814,"")</f>
        <v/>
      </c>
    </row>
    <row r="815">
      <c r="A815" s="64" t="n"/>
      <c r="B815" s="65" t="n"/>
      <c r="C815" s="64" t="n"/>
      <c r="D815" s="66" t="n"/>
      <c r="E815" s="66" t="n"/>
      <c r="F815" s="67" t="n"/>
      <c r="G815" s="67" t="n"/>
      <c r="H815" s="67" t="n"/>
      <c r="I815" s="67" t="n"/>
      <c r="J815" s="67" t="n"/>
      <c r="K815" s="67" t="n"/>
      <c r="L815" s="67" t="n"/>
      <c r="M815" s="67" t="n"/>
      <c r="N815" s="65" t="n"/>
      <c r="O815" s="84">
        <f>IF(A815="","",IF(E815="","No date",IF(TODAY()&gt;=EDATE(E815,Review_Months),"Review Due","Current")))</f>
        <v/>
      </c>
      <c r="P815" s="84">
        <f>IF(A815="","",IF(COUNTIFS('AFA Rates'!$A$5:$A$1004,A815,'AFA Rates'!$O$5:$O$1004,"&lt;&gt;Expired")&gt;0,"Yes",IF(COUNTIF('AFA Rates'!$A$5:$A$1004,A815)&gt;0,"Expired only","No")))</f>
        <v/>
      </c>
      <c r="Q815" s="84">
        <f>IF(A815="","",COUNTIFS('AFA Rates'!$A$5:$A$1004,A815,'AFA Rates'!$O$5:$O$1004,"&lt;&gt;Expired"))</f>
        <v/>
      </c>
      <c r="R815" s="66" t="n"/>
      <c r="S815" s="64" t="n"/>
      <c r="T815" s="64" t="n"/>
      <c r="U815">
        <f>IF(AND(A815&lt;&gt;"",B815="Paused"),COUNTIFS($A$5:A815,"&lt;&gt;",$B$5:B815,"Paused"),"")</f>
        <v/>
      </c>
      <c r="V815">
        <f>IF(P815="Yes",COUNTIF($P$5:P815,"Yes"),"")</f>
        <v/>
      </c>
      <c r="W815">
        <f>IF(A815="","",COUNTIF($A$5:$A$1004,"&lt;"&amp;A815)+COUNTIF($A$5:A815,A815))</f>
        <v/>
      </c>
      <c r="X815">
        <f>","&amp;SUBSTITUTE(SUBSTITUTE(SUBSTITUTE(UPPER(C815)," ",""),";",","),"/",",")&amp;","</f>
        <v/>
      </c>
      <c r="Y815">
        <f>IF(AND(A815&lt;&gt;"",B815="Active",'State Search'!$C$5&lt;&gt;"",OR(X815=",ALL,",ISNUMBER(SEARCH(","&amp;'State Search'!$C$5&amp;",",X815)))),W815,"")</f>
        <v/>
      </c>
    </row>
    <row r="816">
      <c r="A816" s="64" t="n"/>
      <c r="B816" s="65" t="n"/>
      <c r="C816" s="64" t="n"/>
      <c r="D816" s="66" t="n"/>
      <c r="E816" s="66" t="n"/>
      <c r="F816" s="67" t="n"/>
      <c r="G816" s="67" t="n"/>
      <c r="H816" s="67" t="n"/>
      <c r="I816" s="67" t="n"/>
      <c r="J816" s="67" t="n"/>
      <c r="K816" s="67" t="n"/>
      <c r="L816" s="67" t="n"/>
      <c r="M816" s="67" t="n"/>
      <c r="N816" s="65" t="n"/>
      <c r="O816" s="84">
        <f>IF(A816="","",IF(E816="","No date",IF(TODAY()&gt;=EDATE(E816,Review_Months),"Review Due","Current")))</f>
        <v/>
      </c>
      <c r="P816" s="84">
        <f>IF(A816="","",IF(COUNTIFS('AFA Rates'!$A$5:$A$1004,A816,'AFA Rates'!$O$5:$O$1004,"&lt;&gt;Expired")&gt;0,"Yes",IF(COUNTIF('AFA Rates'!$A$5:$A$1004,A816)&gt;0,"Expired only","No")))</f>
        <v/>
      </c>
      <c r="Q816" s="84">
        <f>IF(A816="","",COUNTIFS('AFA Rates'!$A$5:$A$1004,A816,'AFA Rates'!$O$5:$O$1004,"&lt;&gt;Expired"))</f>
        <v/>
      </c>
      <c r="R816" s="66" t="n"/>
      <c r="S816" s="64" t="n"/>
      <c r="T816" s="64" t="n"/>
      <c r="U816">
        <f>IF(AND(A816&lt;&gt;"",B816="Paused"),COUNTIFS($A$5:A816,"&lt;&gt;",$B$5:B816,"Paused"),"")</f>
        <v/>
      </c>
      <c r="V816">
        <f>IF(P816="Yes",COUNTIF($P$5:P816,"Yes"),"")</f>
        <v/>
      </c>
      <c r="W816">
        <f>IF(A816="","",COUNTIF($A$5:$A$1004,"&lt;"&amp;A816)+COUNTIF($A$5:A816,A816))</f>
        <v/>
      </c>
      <c r="X816">
        <f>","&amp;SUBSTITUTE(SUBSTITUTE(SUBSTITUTE(UPPER(C816)," ",""),";",","),"/",",")&amp;","</f>
        <v/>
      </c>
      <c r="Y816">
        <f>IF(AND(A816&lt;&gt;"",B816="Active",'State Search'!$C$5&lt;&gt;"",OR(X816=",ALL,",ISNUMBER(SEARCH(","&amp;'State Search'!$C$5&amp;",",X816)))),W816,"")</f>
        <v/>
      </c>
    </row>
    <row r="817">
      <c r="A817" s="64" t="n"/>
      <c r="B817" s="65" t="n"/>
      <c r="C817" s="64" t="n"/>
      <c r="D817" s="66" t="n"/>
      <c r="E817" s="66" t="n"/>
      <c r="F817" s="67" t="n"/>
      <c r="G817" s="67" t="n"/>
      <c r="H817" s="67" t="n"/>
      <c r="I817" s="67" t="n"/>
      <c r="J817" s="67" t="n"/>
      <c r="K817" s="67" t="n"/>
      <c r="L817" s="67" t="n"/>
      <c r="M817" s="67" t="n"/>
      <c r="N817" s="65" t="n"/>
      <c r="O817" s="84">
        <f>IF(A817="","",IF(E817="","No date",IF(TODAY()&gt;=EDATE(E817,Review_Months),"Review Due","Current")))</f>
        <v/>
      </c>
      <c r="P817" s="84">
        <f>IF(A817="","",IF(COUNTIFS('AFA Rates'!$A$5:$A$1004,A817,'AFA Rates'!$O$5:$O$1004,"&lt;&gt;Expired")&gt;0,"Yes",IF(COUNTIF('AFA Rates'!$A$5:$A$1004,A817)&gt;0,"Expired only","No")))</f>
        <v/>
      </c>
      <c r="Q817" s="84">
        <f>IF(A817="","",COUNTIFS('AFA Rates'!$A$5:$A$1004,A817,'AFA Rates'!$O$5:$O$1004,"&lt;&gt;Expired"))</f>
        <v/>
      </c>
      <c r="R817" s="66" t="n"/>
      <c r="S817" s="64" t="n"/>
      <c r="T817" s="64" t="n"/>
      <c r="U817">
        <f>IF(AND(A817&lt;&gt;"",B817="Paused"),COUNTIFS($A$5:A817,"&lt;&gt;",$B$5:B817,"Paused"),"")</f>
        <v/>
      </c>
      <c r="V817">
        <f>IF(P817="Yes",COUNTIF($P$5:P817,"Yes"),"")</f>
        <v/>
      </c>
      <c r="W817">
        <f>IF(A817="","",COUNTIF($A$5:$A$1004,"&lt;"&amp;A817)+COUNTIF($A$5:A817,A817))</f>
        <v/>
      </c>
      <c r="X817">
        <f>","&amp;SUBSTITUTE(SUBSTITUTE(SUBSTITUTE(UPPER(C817)," ",""),";",","),"/",",")&amp;","</f>
        <v/>
      </c>
      <c r="Y817">
        <f>IF(AND(A817&lt;&gt;"",B817="Active",'State Search'!$C$5&lt;&gt;"",OR(X817=",ALL,",ISNUMBER(SEARCH(","&amp;'State Search'!$C$5&amp;",",X817)))),W817,"")</f>
        <v/>
      </c>
    </row>
    <row r="818">
      <c r="A818" s="64" t="n"/>
      <c r="B818" s="65" t="n"/>
      <c r="C818" s="64" t="n"/>
      <c r="D818" s="66" t="n"/>
      <c r="E818" s="66" t="n"/>
      <c r="F818" s="67" t="n"/>
      <c r="G818" s="67" t="n"/>
      <c r="H818" s="67" t="n"/>
      <c r="I818" s="67" t="n"/>
      <c r="J818" s="67" t="n"/>
      <c r="K818" s="67" t="n"/>
      <c r="L818" s="67" t="n"/>
      <c r="M818" s="67" t="n"/>
      <c r="N818" s="65" t="n"/>
      <c r="O818" s="84">
        <f>IF(A818="","",IF(E818="","No date",IF(TODAY()&gt;=EDATE(E818,Review_Months),"Review Due","Current")))</f>
        <v/>
      </c>
      <c r="P818" s="84">
        <f>IF(A818="","",IF(COUNTIFS('AFA Rates'!$A$5:$A$1004,A818,'AFA Rates'!$O$5:$O$1004,"&lt;&gt;Expired")&gt;0,"Yes",IF(COUNTIF('AFA Rates'!$A$5:$A$1004,A818)&gt;0,"Expired only","No")))</f>
        <v/>
      </c>
      <c r="Q818" s="84">
        <f>IF(A818="","",COUNTIFS('AFA Rates'!$A$5:$A$1004,A818,'AFA Rates'!$O$5:$O$1004,"&lt;&gt;Expired"))</f>
        <v/>
      </c>
      <c r="R818" s="66" t="n"/>
      <c r="S818" s="64" t="n"/>
      <c r="T818" s="64" t="n"/>
      <c r="U818">
        <f>IF(AND(A818&lt;&gt;"",B818="Paused"),COUNTIFS($A$5:A818,"&lt;&gt;",$B$5:B818,"Paused"),"")</f>
        <v/>
      </c>
      <c r="V818">
        <f>IF(P818="Yes",COUNTIF($P$5:P818,"Yes"),"")</f>
        <v/>
      </c>
      <c r="W818">
        <f>IF(A818="","",COUNTIF($A$5:$A$1004,"&lt;"&amp;A818)+COUNTIF($A$5:A818,A818))</f>
        <v/>
      </c>
      <c r="X818">
        <f>","&amp;SUBSTITUTE(SUBSTITUTE(SUBSTITUTE(UPPER(C818)," ",""),";",","),"/",",")&amp;","</f>
        <v/>
      </c>
      <c r="Y818">
        <f>IF(AND(A818&lt;&gt;"",B818="Active",'State Search'!$C$5&lt;&gt;"",OR(X818=",ALL,",ISNUMBER(SEARCH(","&amp;'State Search'!$C$5&amp;",",X818)))),W818,"")</f>
        <v/>
      </c>
    </row>
    <row r="819">
      <c r="A819" s="64" t="n"/>
      <c r="B819" s="65" t="n"/>
      <c r="C819" s="64" t="n"/>
      <c r="D819" s="66" t="n"/>
      <c r="E819" s="66" t="n"/>
      <c r="F819" s="67" t="n"/>
      <c r="G819" s="67" t="n"/>
      <c r="H819" s="67" t="n"/>
      <c r="I819" s="67" t="n"/>
      <c r="J819" s="67" t="n"/>
      <c r="K819" s="67" t="n"/>
      <c r="L819" s="67" t="n"/>
      <c r="M819" s="67" t="n"/>
      <c r="N819" s="65" t="n"/>
      <c r="O819" s="84">
        <f>IF(A819="","",IF(E819="","No date",IF(TODAY()&gt;=EDATE(E819,Review_Months),"Review Due","Current")))</f>
        <v/>
      </c>
      <c r="P819" s="84">
        <f>IF(A819="","",IF(COUNTIFS('AFA Rates'!$A$5:$A$1004,A819,'AFA Rates'!$O$5:$O$1004,"&lt;&gt;Expired")&gt;0,"Yes",IF(COUNTIF('AFA Rates'!$A$5:$A$1004,A819)&gt;0,"Expired only","No")))</f>
        <v/>
      </c>
      <c r="Q819" s="84">
        <f>IF(A819="","",COUNTIFS('AFA Rates'!$A$5:$A$1004,A819,'AFA Rates'!$O$5:$O$1004,"&lt;&gt;Expired"))</f>
        <v/>
      </c>
      <c r="R819" s="66" t="n"/>
      <c r="S819" s="64" t="n"/>
      <c r="T819" s="64" t="n"/>
      <c r="U819">
        <f>IF(AND(A819&lt;&gt;"",B819="Paused"),COUNTIFS($A$5:A819,"&lt;&gt;",$B$5:B819,"Paused"),"")</f>
        <v/>
      </c>
      <c r="V819">
        <f>IF(P819="Yes",COUNTIF($P$5:P819,"Yes"),"")</f>
        <v/>
      </c>
      <c r="W819">
        <f>IF(A819="","",COUNTIF($A$5:$A$1004,"&lt;"&amp;A819)+COUNTIF($A$5:A819,A819))</f>
        <v/>
      </c>
      <c r="X819">
        <f>","&amp;SUBSTITUTE(SUBSTITUTE(SUBSTITUTE(UPPER(C819)," ",""),";",","),"/",",")&amp;","</f>
        <v/>
      </c>
      <c r="Y819">
        <f>IF(AND(A819&lt;&gt;"",B819="Active",'State Search'!$C$5&lt;&gt;"",OR(X819=",ALL,",ISNUMBER(SEARCH(","&amp;'State Search'!$C$5&amp;",",X819)))),W819,"")</f>
        <v/>
      </c>
    </row>
    <row r="820">
      <c r="A820" s="64" t="n"/>
      <c r="B820" s="65" t="n"/>
      <c r="C820" s="64" t="n"/>
      <c r="D820" s="66" t="n"/>
      <c r="E820" s="66" t="n"/>
      <c r="F820" s="67" t="n"/>
      <c r="G820" s="67" t="n"/>
      <c r="H820" s="67" t="n"/>
      <c r="I820" s="67" t="n"/>
      <c r="J820" s="67" t="n"/>
      <c r="K820" s="67" t="n"/>
      <c r="L820" s="67" t="n"/>
      <c r="M820" s="67" t="n"/>
      <c r="N820" s="65" t="n"/>
      <c r="O820" s="84">
        <f>IF(A820="","",IF(E820="","No date",IF(TODAY()&gt;=EDATE(E820,Review_Months),"Review Due","Current")))</f>
        <v/>
      </c>
      <c r="P820" s="84">
        <f>IF(A820="","",IF(COUNTIFS('AFA Rates'!$A$5:$A$1004,A820,'AFA Rates'!$O$5:$O$1004,"&lt;&gt;Expired")&gt;0,"Yes",IF(COUNTIF('AFA Rates'!$A$5:$A$1004,A820)&gt;0,"Expired only","No")))</f>
        <v/>
      </c>
      <c r="Q820" s="84">
        <f>IF(A820="","",COUNTIFS('AFA Rates'!$A$5:$A$1004,A820,'AFA Rates'!$O$5:$O$1004,"&lt;&gt;Expired"))</f>
        <v/>
      </c>
      <c r="R820" s="66" t="n"/>
      <c r="S820" s="64" t="n"/>
      <c r="T820" s="64" t="n"/>
      <c r="U820">
        <f>IF(AND(A820&lt;&gt;"",B820="Paused"),COUNTIFS($A$5:A820,"&lt;&gt;",$B$5:B820,"Paused"),"")</f>
        <v/>
      </c>
      <c r="V820">
        <f>IF(P820="Yes",COUNTIF($P$5:P820,"Yes"),"")</f>
        <v/>
      </c>
      <c r="W820">
        <f>IF(A820="","",COUNTIF($A$5:$A$1004,"&lt;"&amp;A820)+COUNTIF($A$5:A820,A820))</f>
        <v/>
      </c>
      <c r="X820">
        <f>","&amp;SUBSTITUTE(SUBSTITUTE(SUBSTITUTE(UPPER(C820)," ",""),";",","),"/",",")&amp;","</f>
        <v/>
      </c>
      <c r="Y820">
        <f>IF(AND(A820&lt;&gt;"",B820="Active",'State Search'!$C$5&lt;&gt;"",OR(X820=",ALL,",ISNUMBER(SEARCH(","&amp;'State Search'!$C$5&amp;",",X820)))),W820,"")</f>
        <v/>
      </c>
    </row>
    <row r="821">
      <c r="A821" s="64" t="n"/>
      <c r="B821" s="65" t="n"/>
      <c r="C821" s="64" t="n"/>
      <c r="D821" s="66" t="n"/>
      <c r="E821" s="66" t="n"/>
      <c r="F821" s="67" t="n"/>
      <c r="G821" s="67" t="n"/>
      <c r="H821" s="67" t="n"/>
      <c r="I821" s="67" t="n"/>
      <c r="J821" s="67" t="n"/>
      <c r="K821" s="67" t="n"/>
      <c r="L821" s="67" t="n"/>
      <c r="M821" s="67" t="n"/>
      <c r="N821" s="65" t="n"/>
      <c r="O821" s="84">
        <f>IF(A821="","",IF(E821="","No date",IF(TODAY()&gt;=EDATE(E821,Review_Months),"Review Due","Current")))</f>
        <v/>
      </c>
      <c r="P821" s="84">
        <f>IF(A821="","",IF(COUNTIFS('AFA Rates'!$A$5:$A$1004,A821,'AFA Rates'!$O$5:$O$1004,"&lt;&gt;Expired")&gt;0,"Yes",IF(COUNTIF('AFA Rates'!$A$5:$A$1004,A821)&gt;0,"Expired only","No")))</f>
        <v/>
      </c>
      <c r="Q821" s="84">
        <f>IF(A821="","",COUNTIFS('AFA Rates'!$A$5:$A$1004,A821,'AFA Rates'!$O$5:$O$1004,"&lt;&gt;Expired"))</f>
        <v/>
      </c>
      <c r="R821" s="66" t="n"/>
      <c r="S821" s="64" t="n"/>
      <c r="T821" s="64" t="n"/>
      <c r="U821">
        <f>IF(AND(A821&lt;&gt;"",B821="Paused"),COUNTIFS($A$5:A821,"&lt;&gt;",$B$5:B821,"Paused"),"")</f>
        <v/>
      </c>
      <c r="V821">
        <f>IF(P821="Yes",COUNTIF($P$5:P821,"Yes"),"")</f>
        <v/>
      </c>
      <c r="W821">
        <f>IF(A821="","",COUNTIF($A$5:$A$1004,"&lt;"&amp;A821)+COUNTIF($A$5:A821,A821))</f>
        <v/>
      </c>
      <c r="X821">
        <f>","&amp;SUBSTITUTE(SUBSTITUTE(SUBSTITUTE(UPPER(C821)," ",""),";",","),"/",",")&amp;","</f>
        <v/>
      </c>
      <c r="Y821">
        <f>IF(AND(A821&lt;&gt;"",B821="Active",'State Search'!$C$5&lt;&gt;"",OR(X821=",ALL,",ISNUMBER(SEARCH(","&amp;'State Search'!$C$5&amp;",",X821)))),W821,"")</f>
        <v/>
      </c>
    </row>
    <row r="822">
      <c r="A822" s="64" t="n"/>
      <c r="B822" s="65" t="n"/>
      <c r="C822" s="64" t="n"/>
      <c r="D822" s="66" t="n"/>
      <c r="E822" s="66" t="n"/>
      <c r="F822" s="67" t="n"/>
      <c r="G822" s="67" t="n"/>
      <c r="H822" s="67" t="n"/>
      <c r="I822" s="67" t="n"/>
      <c r="J822" s="67" t="n"/>
      <c r="K822" s="67" t="n"/>
      <c r="L822" s="67" t="n"/>
      <c r="M822" s="67" t="n"/>
      <c r="N822" s="65" t="n"/>
      <c r="O822" s="84">
        <f>IF(A822="","",IF(E822="","No date",IF(TODAY()&gt;=EDATE(E822,Review_Months),"Review Due","Current")))</f>
        <v/>
      </c>
      <c r="P822" s="84">
        <f>IF(A822="","",IF(COUNTIFS('AFA Rates'!$A$5:$A$1004,A822,'AFA Rates'!$O$5:$O$1004,"&lt;&gt;Expired")&gt;0,"Yes",IF(COUNTIF('AFA Rates'!$A$5:$A$1004,A822)&gt;0,"Expired only","No")))</f>
        <v/>
      </c>
      <c r="Q822" s="84">
        <f>IF(A822="","",COUNTIFS('AFA Rates'!$A$5:$A$1004,A822,'AFA Rates'!$O$5:$O$1004,"&lt;&gt;Expired"))</f>
        <v/>
      </c>
      <c r="R822" s="66" t="n"/>
      <c r="S822" s="64" t="n"/>
      <c r="T822" s="64" t="n"/>
      <c r="U822">
        <f>IF(AND(A822&lt;&gt;"",B822="Paused"),COUNTIFS($A$5:A822,"&lt;&gt;",$B$5:B822,"Paused"),"")</f>
        <v/>
      </c>
      <c r="V822">
        <f>IF(P822="Yes",COUNTIF($P$5:P822,"Yes"),"")</f>
        <v/>
      </c>
      <c r="W822">
        <f>IF(A822="","",COUNTIF($A$5:$A$1004,"&lt;"&amp;A822)+COUNTIF($A$5:A822,A822))</f>
        <v/>
      </c>
      <c r="X822">
        <f>","&amp;SUBSTITUTE(SUBSTITUTE(SUBSTITUTE(UPPER(C822)," ",""),";",","),"/",",")&amp;","</f>
        <v/>
      </c>
      <c r="Y822">
        <f>IF(AND(A822&lt;&gt;"",B822="Active",'State Search'!$C$5&lt;&gt;"",OR(X822=",ALL,",ISNUMBER(SEARCH(","&amp;'State Search'!$C$5&amp;",",X822)))),W822,"")</f>
        <v/>
      </c>
    </row>
    <row r="823">
      <c r="A823" s="64" t="n"/>
      <c r="B823" s="65" t="n"/>
      <c r="C823" s="64" t="n"/>
      <c r="D823" s="66" t="n"/>
      <c r="E823" s="66" t="n"/>
      <c r="F823" s="67" t="n"/>
      <c r="G823" s="67" t="n"/>
      <c r="H823" s="67" t="n"/>
      <c r="I823" s="67" t="n"/>
      <c r="J823" s="67" t="n"/>
      <c r="K823" s="67" t="n"/>
      <c r="L823" s="67" t="n"/>
      <c r="M823" s="67" t="n"/>
      <c r="N823" s="65" t="n"/>
      <c r="O823" s="84">
        <f>IF(A823="","",IF(E823="","No date",IF(TODAY()&gt;=EDATE(E823,Review_Months),"Review Due","Current")))</f>
        <v/>
      </c>
      <c r="P823" s="84">
        <f>IF(A823="","",IF(COUNTIFS('AFA Rates'!$A$5:$A$1004,A823,'AFA Rates'!$O$5:$O$1004,"&lt;&gt;Expired")&gt;0,"Yes",IF(COUNTIF('AFA Rates'!$A$5:$A$1004,A823)&gt;0,"Expired only","No")))</f>
        <v/>
      </c>
      <c r="Q823" s="84">
        <f>IF(A823="","",COUNTIFS('AFA Rates'!$A$5:$A$1004,A823,'AFA Rates'!$O$5:$O$1004,"&lt;&gt;Expired"))</f>
        <v/>
      </c>
      <c r="R823" s="66" t="n"/>
      <c r="S823" s="64" t="n"/>
      <c r="T823" s="64" t="n"/>
      <c r="U823">
        <f>IF(AND(A823&lt;&gt;"",B823="Paused"),COUNTIFS($A$5:A823,"&lt;&gt;",$B$5:B823,"Paused"),"")</f>
        <v/>
      </c>
      <c r="V823">
        <f>IF(P823="Yes",COUNTIF($P$5:P823,"Yes"),"")</f>
        <v/>
      </c>
      <c r="W823">
        <f>IF(A823="","",COUNTIF($A$5:$A$1004,"&lt;"&amp;A823)+COUNTIF($A$5:A823,A823))</f>
        <v/>
      </c>
      <c r="X823">
        <f>","&amp;SUBSTITUTE(SUBSTITUTE(SUBSTITUTE(UPPER(C823)," ",""),";",","),"/",",")&amp;","</f>
        <v/>
      </c>
      <c r="Y823">
        <f>IF(AND(A823&lt;&gt;"",B823="Active",'State Search'!$C$5&lt;&gt;"",OR(X823=",ALL,",ISNUMBER(SEARCH(","&amp;'State Search'!$C$5&amp;",",X823)))),W823,"")</f>
        <v/>
      </c>
    </row>
    <row r="824">
      <c r="A824" s="64" t="n"/>
      <c r="B824" s="65" t="n"/>
      <c r="C824" s="64" t="n"/>
      <c r="D824" s="66" t="n"/>
      <c r="E824" s="66" t="n"/>
      <c r="F824" s="67" t="n"/>
      <c r="G824" s="67" t="n"/>
      <c r="H824" s="67" t="n"/>
      <c r="I824" s="67" t="n"/>
      <c r="J824" s="67" t="n"/>
      <c r="K824" s="67" t="n"/>
      <c r="L824" s="67" t="n"/>
      <c r="M824" s="67" t="n"/>
      <c r="N824" s="65" t="n"/>
      <c r="O824" s="84">
        <f>IF(A824="","",IF(E824="","No date",IF(TODAY()&gt;=EDATE(E824,Review_Months),"Review Due","Current")))</f>
        <v/>
      </c>
      <c r="P824" s="84">
        <f>IF(A824="","",IF(COUNTIFS('AFA Rates'!$A$5:$A$1004,A824,'AFA Rates'!$O$5:$O$1004,"&lt;&gt;Expired")&gt;0,"Yes",IF(COUNTIF('AFA Rates'!$A$5:$A$1004,A824)&gt;0,"Expired only","No")))</f>
        <v/>
      </c>
      <c r="Q824" s="84">
        <f>IF(A824="","",COUNTIFS('AFA Rates'!$A$5:$A$1004,A824,'AFA Rates'!$O$5:$O$1004,"&lt;&gt;Expired"))</f>
        <v/>
      </c>
      <c r="R824" s="66" t="n"/>
      <c r="S824" s="64" t="n"/>
      <c r="T824" s="64" t="n"/>
      <c r="U824">
        <f>IF(AND(A824&lt;&gt;"",B824="Paused"),COUNTIFS($A$5:A824,"&lt;&gt;",$B$5:B824,"Paused"),"")</f>
        <v/>
      </c>
      <c r="V824">
        <f>IF(P824="Yes",COUNTIF($P$5:P824,"Yes"),"")</f>
        <v/>
      </c>
      <c r="W824">
        <f>IF(A824="","",COUNTIF($A$5:$A$1004,"&lt;"&amp;A824)+COUNTIF($A$5:A824,A824))</f>
        <v/>
      </c>
      <c r="X824">
        <f>","&amp;SUBSTITUTE(SUBSTITUTE(SUBSTITUTE(UPPER(C824)," ",""),";",","),"/",",")&amp;","</f>
        <v/>
      </c>
      <c r="Y824">
        <f>IF(AND(A824&lt;&gt;"",B824="Active",'State Search'!$C$5&lt;&gt;"",OR(X824=",ALL,",ISNUMBER(SEARCH(","&amp;'State Search'!$C$5&amp;",",X824)))),W824,"")</f>
        <v/>
      </c>
    </row>
    <row r="825">
      <c r="A825" s="64" t="n"/>
      <c r="B825" s="65" t="n"/>
      <c r="C825" s="64" t="n"/>
      <c r="D825" s="66" t="n"/>
      <c r="E825" s="66" t="n"/>
      <c r="F825" s="67" t="n"/>
      <c r="G825" s="67" t="n"/>
      <c r="H825" s="67" t="n"/>
      <c r="I825" s="67" t="n"/>
      <c r="J825" s="67" t="n"/>
      <c r="K825" s="67" t="n"/>
      <c r="L825" s="67" t="n"/>
      <c r="M825" s="67" t="n"/>
      <c r="N825" s="65" t="n"/>
      <c r="O825" s="84">
        <f>IF(A825="","",IF(E825="","No date",IF(TODAY()&gt;=EDATE(E825,Review_Months),"Review Due","Current")))</f>
        <v/>
      </c>
      <c r="P825" s="84">
        <f>IF(A825="","",IF(COUNTIFS('AFA Rates'!$A$5:$A$1004,A825,'AFA Rates'!$O$5:$O$1004,"&lt;&gt;Expired")&gt;0,"Yes",IF(COUNTIF('AFA Rates'!$A$5:$A$1004,A825)&gt;0,"Expired only","No")))</f>
        <v/>
      </c>
      <c r="Q825" s="84">
        <f>IF(A825="","",COUNTIFS('AFA Rates'!$A$5:$A$1004,A825,'AFA Rates'!$O$5:$O$1004,"&lt;&gt;Expired"))</f>
        <v/>
      </c>
      <c r="R825" s="66" t="n"/>
      <c r="S825" s="64" t="n"/>
      <c r="T825" s="64" t="n"/>
      <c r="U825">
        <f>IF(AND(A825&lt;&gt;"",B825="Paused"),COUNTIFS($A$5:A825,"&lt;&gt;",$B$5:B825,"Paused"),"")</f>
        <v/>
      </c>
      <c r="V825">
        <f>IF(P825="Yes",COUNTIF($P$5:P825,"Yes"),"")</f>
        <v/>
      </c>
      <c r="W825">
        <f>IF(A825="","",COUNTIF($A$5:$A$1004,"&lt;"&amp;A825)+COUNTIF($A$5:A825,A825))</f>
        <v/>
      </c>
      <c r="X825">
        <f>","&amp;SUBSTITUTE(SUBSTITUTE(SUBSTITUTE(UPPER(C825)," ",""),";",","),"/",",")&amp;","</f>
        <v/>
      </c>
      <c r="Y825">
        <f>IF(AND(A825&lt;&gt;"",B825="Active",'State Search'!$C$5&lt;&gt;"",OR(X825=",ALL,",ISNUMBER(SEARCH(","&amp;'State Search'!$C$5&amp;",",X825)))),W825,"")</f>
        <v/>
      </c>
    </row>
    <row r="826">
      <c r="A826" s="64" t="n"/>
      <c r="B826" s="65" t="n"/>
      <c r="C826" s="64" t="n"/>
      <c r="D826" s="66" t="n"/>
      <c r="E826" s="66" t="n"/>
      <c r="F826" s="67" t="n"/>
      <c r="G826" s="67" t="n"/>
      <c r="H826" s="67" t="n"/>
      <c r="I826" s="67" t="n"/>
      <c r="J826" s="67" t="n"/>
      <c r="K826" s="67" t="n"/>
      <c r="L826" s="67" t="n"/>
      <c r="M826" s="67" t="n"/>
      <c r="N826" s="65" t="n"/>
      <c r="O826" s="84">
        <f>IF(A826="","",IF(E826="","No date",IF(TODAY()&gt;=EDATE(E826,Review_Months),"Review Due","Current")))</f>
        <v/>
      </c>
      <c r="P826" s="84">
        <f>IF(A826="","",IF(COUNTIFS('AFA Rates'!$A$5:$A$1004,A826,'AFA Rates'!$O$5:$O$1004,"&lt;&gt;Expired")&gt;0,"Yes",IF(COUNTIF('AFA Rates'!$A$5:$A$1004,A826)&gt;0,"Expired only","No")))</f>
        <v/>
      </c>
      <c r="Q826" s="84">
        <f>IF(A826="","",COUNTIFS('AFA Rates'!$A$5:$A$1004,A826,'AFA Rates'!$O$5:$O$1004,"&lt;&gt;Expired"))</f>
        <v/>
      </c>
      <c r="R826" s="66" t="n"/>
      <c r="S826" s="64" t="n"/>
      <c r="T826" s="64" t="n"/>
      <c r="U826">
        <f>IF(AND(A826&lt;&gt;"",B826="Paused"),COUNTIFS($A$5:A826,"&lt;&gt;",$B$5:B826,"Paused"),"")</f>
        <v/>
      </c>
      <c r="V826">
        <f>IF(P826="Yes",COUNTIF($P$5:P826,"Yes"),"")</f>
        <v/>
      </c>
      <c r="W826">
        <f>IF(A826="","",COUNTIF($A$5:$A$1004,"&lt;"&amp;A826)+COUNTIF($A$5:A826,A826))</f>
        <v/>
      </c>
      <c r="X826">
        <f>","&amp;SUBSTITUTE(SUBSTITUTE(SUBSTITUTE(UPPER(C826)," ",""),";",","),"/",",")&amp;","</f>
        <v/>
      </c>
      <c r="Y826">
        <f>IF(AND(A826&lt;&gt;"",B826="Active",'State Search'!$C$5&lt;&gt;"",OR(X826=",ALL,",ISNUMBER(SEARCH(","&amp;'State Search'!$C$5&amp;",",X826)))),W826,"")</f>
        <v/>
      </c>
    </row>
    <row r="827">
      <c r="A827" s="64" t="n"/>
      <c r="B827" s="65" t="n"/>
      <c r="C827" s="64" t="n"/>
      <c r="D827" s="66" t="n"/>
      <c r="E827" s="66" t="n"/>
      <c r="F827" s="67" t="n"/>
      <c r="G827" s="67" t="n"/>
      <c r="H827" s="67" t="n"/>
      <c r="I827" s="67" t="n"/>
      <c r="J827" s="67" t="n"/>
      <c r="K827" s="67" t="n"/>
      <c r="L827" s="67" t="n"/>
      <c r="M827" s="67" t="n"/>
      <c r="N827" s="65" t="n"/>
      <c r="O827" s="84">
        <f>IF(A827="","",IF(E827="","No date",IF(TODAY()&gt;=EDATE(E827,Review_Months),"Review Due","Current")))</f>
        <v/>
      </c>
      <c r="P827" s="84">
        <f>IF(A827="","",IF(COUNTIFS('AFA Rates'!$A$5:$A$1004,A827,'AFA Rates'!$O$5:$O$1004,"&lt;&gt;Expired")&gt;0,"Yes",IF(COUNTIF('AFA Rates'!$A$5:$A$1004,A827)&gt;0,"Expired only","No")))</f>
        <v/>
      </c>
      <c r="Q827" s="84">
        <f>IF(A827="","",COUNTIFS('AFA Rates'!$A$5:$A$1004,A827,'AFA Rates'!$O$5:$O$1004,"&lt;&gt;Expired"))</f>
        <v/>
      </c>
      <c r="R827" s="66" t="n"/>
      <c r="S827" s="64" t="n"/>
      <c r="T827" s="64" t="n"/>
      <c r="U827">
        <f>IF(AND(A827&lt;&gt;"",B827="Paused"),COUNTIFS($A$5:A827,"&lt;&gt;",$B$5:B827,"Paused"),"")</f>
        <v/>
      </c>
      <c r="V827">
        <f>IF(P827="Yes",COUNTIF($P$5:P827,"Yes"),"")</f>
        <v/>
      </c>
      <c r="W827">
        <f>IF(A827="","",COUNTIF($A$5:$A$1004,"&lt;"&amp;A827)+COUNTIF($A$5:A827,A827))</f>
        <v/>
      </c>
      <c r="X827">
        <f>","&amp;SUBSTITUTE(SUBSTITUTE(SUBSTITUTE(UPPER(C827)," ",""),";",","),"/",",")&amp;","</f>
        <v/>
      </c>
      <c r="Y827">
        <f>IF(AND(A827&lt;&gt;"",B827="Active",'State Search'!$C$5&lt;&gt;"",OR(X827=",ALL,",ISNUMBER(SEARCH(","&amp;'State Search'!$C$5&amp;",",X827)))),W827,"")</f>
        <v/>
      </c>
    </row>
    <row r="828">
      <c r="A828" s="64" t="n"/>
      <c r="B828" s="65" t="n"/>
      <c r="C828" s="64" t="n"/>
      <c r="D828" s="66" t="n"/>
      <c r="E828" s="66" t="n"/>
      <c r="F828" s="67" t="n"/>
      <c r="G828" s="67" t="n"/>
      <c r="H828" s="67" t="n"/>
      <c r="I828" s="67" t="n"/>
      <c r="J828" s="67" t="n"/>
      <c r="K828" s="67" t="n"/>
      <c r="L828" s="67" t="n"/>
      <c r="M828" s="67" t="n"/>
      <c r="N828" s="65" t="n"/>
      <c r="O828" s="84">
        <f>IF(A828="","",IF(E828="","No date",IF(TODAY()&gt;=EDATE(E828,Review_Months),"Review Due","Current")))</f>
        <v/>
      </c>
      <c r="P828" s="84">
        <f>IF(A828="","",IF(COUNTIFS('AFA Rates'!$A$5:$A$1004,A828,'AFA Rates'!$O$5:$O$1004,"&lt;&gt;Expired")&gt;0,"Yes",IF(COUNTIF('AFA Rates'!$A$5:$A$1004,A828)&gt;0,"Expired only","No")))</f>
        <v/>
      </c>
      <c r="Q828" s="84">
        <f>IF(A828="","",COUNTIFS('AFA Rates'!$A$5:$A$1004,A828,'AFA Rates'!$O$5:$O$1004,"&lt;&gt;Expired"))</f>
        <v/>
      </c>
      <c r="R828" s="66" t="n"/>
      <c r="S828" s="64" t="n"/>
      <c r="T828" s="64" t="n"/>
      <c r="U828">
        <f>IF(AND(A828&lt;&gt;"",B828="Paused"),COUNTIFS($A$5:A828,"&lt;&gt;",$B$5:B828,"Paused"),"")</f>
        <v/>
      </c>
      <c r="V828">
        <f>IF(P828="Yes",COUNTIF($P$5:P828,"Yes"),"")</f>
        <v/>
      </c>
      <c r="W828">
        <f>IF(A828="","",COUNTIF($A$5:$A$1004,"&lt;"&amp;A828)+COUNTIF($A$5:A828,A828))</f>
        <v/>
      </c>
      <c r="X828">
        <f>","&amp;SUBSTITUTE(SUBSTITUTE(SUBSTITUTE(UPPER(C828)," ",""),";",","),"/",",")&amp;","</f>
        <v/>
      </c>
      <c r="Y828">
        <f>IF(AND(A828&lt;&gt;"",B828="Active",'State Search'!$C$5&lt;&gt;"",OR(X828=",ALL,",ISNUMBER(SEARCH(","&amp;'State Search'!$C$5&amp;",",X828)))),W828,"")</f>
        <v/>
      </c>
    </row>
    <row r="829">
      <c r="A829" s="64" t="n"/>
      <c r="B829" s="65" t="n"/>
      <c r="C829" s="64" t="n"/>
      <c r="D829" s="66" t="n"/>
      <c r="E829" s="66" t="n"/>
      <c r="F829" s="67" t="n"/>
      <c r="G829" s="67" t="n"/>
      <c r="H829" s="67" t="n"/>
      <c r="I829" s="67" t="n"/>
      <c r="J829" s="67" t="n"/>
      <c r="K829" s="67" t="n"/>
      <c r="L829" s="67" t="n"/>
      <c r="M829" s="67" t="n"/>
      <c r="N829" s="65" t="n"/>
      <c r="O829" s="84">
        <f>IF(A829="","",IF(E829="","No date",IF(TODAY()&gt;=EDATE(E829,Review_Months),"Review Due","Current")))</f>
        <v/>
      </c>
      <c r="P829" s="84">
        <f>IF(A829="","",IF(COUNTIFS('AFA Rates'!$A$5:$A$1004,A829,'AFA Rates'!$O$5:$O$1004,"&lt;&gt;Expired")&gt;0,"Yes",IF(COUNTIF('AFA Rates'!$A$5:$A$1004,A829)&gt;0,"Expired only","No")))</f>
        <v/>
      </c>
      <c r="Q829" s="84">
        <f>IF(A829="","",COUNTIFS('AFA Rates'!$A$5:$A$1004,A829,'AFA Rates'!$O$5:$O$1004,"&lt;&gt;Expired"))</f>
        <v/>
      </c>
      <c r="R829" s="66" t="n"/>
      <c r="S829" s="64" t="n"/>
      <c r="T829" s="64" t="n"/>
      <c r="U829">
        <f>IF(AND(A829&lt;&gt;"",B829="Paused"),COUNTIFS($A$5:A829,"&lt;&gt;",$B$5:B829,"Paused"),"")</f>
        <v/>
      </c>
      <c r="V829">
        <f>IF(P829="Yes",COUNTIF($P$5:P829,"Yes"),"")</f>
        <v/>
      </c>
      <c r="W829">
        <f>IF(A829="","",COUNTIF($A$5:$A$1004,"&lt;"&amp;A829)+COUNTIF($A$5:A829,A829))</f>
        <v/>
      </c>
      <c r="X829">
        <f>","&amp;SUBSTITUTE(SUBSTITUTE(SUBSTITUTE(UPPER(C829)," ",""),";",","),"/",",")&amp;","</f>
        <v/>
      </c>
      <c r="Y829">
        <f>IF(AND(A829&lt;&gt;"",B829="Active",'State Search'!$C$5&lt;&gt;"",OR(X829=",ALL,",ISNUMBER(SEARCH(","&amp;'State Search'!$C$5&amp;",",X829)))),W829,"")</f>
        <v/>
      </c>
    </row>
    <row r="830">
      <c r="A830" s="64" t="n"/>
      <c r="B830" s="65" t="n"/>
      <c r="C830" s="64" t="n"/>
      <c r="D830" s="66" t="n"/>
      <c r="E830" s="66" t="n"/>
      <c r="F830" s="67" t="n"/>
      <c r="G830" s="67" t="n"/>
      <c r="H830" s="67" t="n"/>
      <c r="I830" s="67" t="n"/>
      <c r="J830" s="67" t="n"/>
      <c r="K830" s="67" t="n"/>
      <c r="L830" s="67" t="n"/>
      <c r="M830" s="67" t="n"/>
      <c r="N830" s="65" t="n"/>
      <c r="O830" s="84">
        <f>IF(A830="","",IF(E830="","No date",IF(TODAY()&gt;=EDATE(E830,Review_Months),"Review Due","Current")))</f>
        <v/>
      </c>
      <c r="P830" s="84">
        <f>IF(A830="","",IF(COUNTIFS('AFA Rates'!$A$5:$A$1004,A830,'AFA Rates'!$O$5:$O$1004,"&lt;&gt;Expired")&gt;0,"Yes",IF(COUNTIF('AFA Rates'!$A$5:$A$1004,A830)&gt;0,"Expired only","No")))</f>
        <v/>
      </c>
      <c r="Q830" s="84">
        <f>IF(A830="","",COUNTIFS('AFA Rates'!$A$5:$A$1004,A830,'AFA Rates'!$O$5:$O$1004,"&lt;&gt;Expired"))</f>
        <v/>
      </c>
      <c r="R830" s="66" t="n"/>
      <c r="S830" s="64" t="n"/>
      <c r="T830" s="64" t="n"/>
      <c r="U830">
        <f>IF(AND(A830&lt;&gt;"",B830="Paused"),COUNTIFS($A$5:A830,"&lt;&gt;",$B$5:B830,"Paused"),"")</f>
        <v/>
      </c>
      <c r="V830">
        <f>IF(P830="Yes",COUNTIF($P$5:P830,"Yes"),"")</f>
        <v/>
      </c>
      <c r="W830">
        <f>IF(A830="","",COUNTIF($A$5:$A$1004,"&lt;"&amp;A830)+COUNTIF($A$5:A830,A830))</f>
        <v/>
      </c>
      <c r="X830">
        <f>","&amp;SUBSTITUTE(SUBSTITUTE(SUBSTITUTE(UPPER(C830)," ",""),";",","),"/",",")&amp;","</f>
        <v/>
      </c>
      <c r="Y830">
        <f>IF(AND(A830&lt;&gt;"",B830="Active",'State Search'!$C$5&lt;&gt;"",OR(X830=",ALL,",ISNUMBER(SEARCH(","&amp;'State Search'!$C$5&amp;",",X830)))),W830,"")</f>
        <v/>
      </c>
    </row>
    <row r="831">
      <c r="A831" s="64" t="n"/>
      <c r="B831" s="65" t="n"/>
      <c r="C831" s="64" t="n"/>
      <c r="D831" s="66" t="n"/>
      <c r="E831" s="66" t="n"/>
      <c r="F831" s="67" t="n"/>
      <c r="G831" s="67" t="n"/>
      <c r="H831" s="67" t="n"/>
      <c r="I831" s="67" t="n"/>
      <c r="J831" s="67" t="n"/>
      <c r="K831" s="67" t="n"/>
      <c r="L831" s="67" t="n"/>
      <c r="M831" s="67" t="n"/>
      <c r="N831" s="65" t="n"/>
      <c r="O831" s="84">
        <f>IF(A831="","",IF(E831="","No date",IF(TODAY()&gt;=EDATE(E831,Review_Months),"Review Due","Current")))</f>
        <v/>
      </c>
      <c r="P831" s="84">
        <f>IF(A831="","",IF(COUNTIFS('AFA Rates'!$A$5:$A$1004,A831,'AFA Rates'!$O$5:$O$1004,"&lt;&gt;Expired")&gt;0,"Yes",IF(COUNTIF('AFA Rates'!$A$5:$A$1004,A831)&gt;0,"Expired only","No")))</f>
        <v/>
      </c>
      <c r="Q831" s="84">
        <f>IF(A831="","",COUNTIFS('AFA Rates'!$A$5:$A$1004,A831,'AFA Rates'!$O$5:$O$1004,"&lt;&gt;Expired"))</f>
        <v/>
      </c>
      <c r="R831" s="66" t="n"/>
      <c r="S831" s="64" t="n"/>
      <c r="T831" s="64" t="n"/>
      <c r="U831">
        <f>IF(AND(A831&lt;&gt;"",B831="Paused"),COUNTIFS($A$5:A831,"&lt;&gt;",$B$5:B831,"Paused"),"")</f>
        <v/>
      </c>
      <c r="V831">
        <f>IF(P831="Yes",COUNTIF($P$5:P831,"Yes"),"")</f>
        <v/>
      </c>
      <c r="W831">
        <f>IF(A831="","",COUNTIF($A$5:$A$1004,"&lt;"&amp;A831)+COUNTIF($A$5:A831,A831))</f>
        <v/>
      </c>
      <c r="X831">
        <f>","&amp;SUBSTITUTE(SUBSTITUTE(SUBSTITUTE(UPPER(C831)," ",""),";",","),"/",",")&amp;","</f>
        <v/>
      </c>
      <c r="Y831">
        <f>IF(AND(A831&lt;&gt;"",B831="Active",'State Search'!$C$5&lt;&gt;"",OR(X831=",ALL,",ISNUMBER(SEARCH(","&amp;'State Search'!$C$5&amp;",",X831)))),W831,"")</f>
        <v/>
      </c>
    </row>
    <row r="832">
      <c r="A832" s="64" t="n"/>
      <c r="B832" s="65" t="n"/>
      <c r="C832" s="64" t="n"/>
      <c r="D832" s="66" t="n"/>
      <c r="E832" s="66" t="n"/>
      <c r="F832" s="67" t="n"/>
      <c r="G832" s="67" t="n"/>
      <c r="H832" s="67" t="n"/>
      <c r="I832" s="67" t="n"/>
      <c r="J832" s="67" t="n"/>
      <c r="K832" s="67" t="n"/>
      <c r="L832" s="67" t="n"/>
      <c r="M832" s="67" t="n"/>
      <c r="N832" s="65" t="n"/>
      <c r="O832" s="84">
        <f>IF(A832="","",IF(E832="","No date",IF(TODAY()&gt;=EDATE(E832,Review_Months),"Review Due","Current")))</f>
        <v/>
      </c>
      <c r="P832" s="84">
        <f>IF(A832="","",IF(COUNTIFS('AFA Rates'!$A$5:$A$1004,A832,'AFA Rates'!$O$5:$O$1004,"&lt;&gt;Expired")&gt;0,"Yes",IF(COUNTIF('AFA Rates'!$A$5:$A$1004,A832)&gt;0,"Expired only","No")))</f>
        <v/>
      </c>
      <c r="Q832" s="84">
        <f>IF(A832="","",COUNTIFS('AFA Rates'!$A$5:$A$1004,A832,'AFA Rates'!$O$5:$O$1004,"&lt;&gt;Expired"))</f>
        <v/>
      </c>
      <c r="R832" s="66" t="n"/>
      <c r="S832" s="64" t="n"/>
      <c r="T832" s="64" t="n"/>
      <c r="U832">
        <f>IF(AND(A832&lt;&gt;"",B832="Paused"),COUNTIFS($A$5:A832,"&lt;&gt;",$B$5:B832,"Paused"),"")</f>
        <v/>
      </c>
      <c r="V832">
        <f>IF(P832="Yes",COUNTIF($P$5:P832,"Yes"),"")</f>
        <v/>
      </c>
      <c r="W832">
        <f>IF(A832="","",COUNTIF($A$5:$A$1004,"&lt;"&amp;A832)+COUNTIF($A$5:A832,A832))</f>
        <v/>
      </c>
      <c r="X832">
        <f>","&amp;SUBSTITUTE(SUBSTITUTE(SUBSTITUTE(UPPER(C832)," ",""),";",","),"/",",")&amp;","</f>
        <v/>
      </c>
      <c r="Y832">
        <f>IF(AND(A832&lt;&gt;"",B832="Active",'State Search'!$C$5&lt;&gt;"",OR(X832=",ALL,",ISNUMBER(SEARCH(","&amp;'State Search'!$C$5&amp;",",X832)))),W832,"")</f>
        <v/>
      </c>
    </row>
    <row r="833">
      <c r="A833" s="64" t="n"/>
      <c r="B833" s="65" t="n"/>
      <c r="C833" s="64" t="n"/>
      <c r="D833" s="66" t="n"/>
      <c r="E833" s="66" t="n"/>
      <c r="F833" s="67" t="n"/>
      <c r="G833" s="67" t="n"/>
      <c r="H833" s="67" t="n"/>
      <c r="I833" s="67" t="n"/>
      <c r="J833" s="67" t="n"/>
      <c r="K833" s="67" t="n"/>
      <c r="L833" s="67" t="n"/>
      <c r="M833" s="67" t="n"/>
      <c r="N833" s="65" t="n"/>
      <c r="O833" s="84">
        <f>IF(A833="","",IF(E833="","No date",IF(TODAY()&gt;=EDATE(E833,Review_Months),"Review Due","Current")))</f>
        <v/>
      </c>
      <c r="P833" s="84">
        <f>IF(A833="","",IF(COUNTIFS('AFA Rates'!$A$5:$A$1004,A833,'AFA Rates'!$O$5:$O$1004,"&lt;&gt;Expired")&gt;0,"Yes",IF(COUNTIF('AFA Rates'!$A$5:$A$1004,A833)&gt;0,"Expired only","No")))</f>
        <v/>
      </c>
      <c r="Q833" s="84">
        <f>IF(A833="","",COUNTIFS('AFA Rates'!$A$5:$A$1004,A833,'AFA Rates'!$O$5:$O$1004,"&lt;&gt;Expired"))</f>
        <v/>
      </c>
      <c r="R833" s="66" t="n"/>
      <c r="S833" s="64" t="n"/>
      <c r="T833" s="64" t="n"/>
      <c r="U833">
        <f>IF(AND(A833&lt;&gt;"",B833="Paused"),COUNTIFS($A$5:A833,"&lt;&gt;",$B$5:B833,"Paused"),"")</f>
        <v/>
      </c>
      <c r="V833">
        <f>IF(P833="Yes",COUNTIF($P$5:P833,"Yes"),"")</f>
        <v/>
      </c>
      <c r="W833">
        <f>IF(A833="","",COUNTIF($A$5:$A$1004,"&lt;"&amp;A833)+COUNTIF($A$5:A833,A833))</f>
        <v/>
      </c>
      <c r="X833">
        <f>","&amp;SUBSTITUTE(SUBSTITUTE(SUBSTITUTE(UPPER(C833)," ",""),";",","),"/",",")&amp;","</f>
        <v/>
      </c>
      <c r="Y833">
        <f>IF(AND(A833&lt;&gt;"",B833="Active",'State Search'!$C$5&lt;&gt;"",OR(X833=",ALL,",ISNUMBER(SEARCH(","&amp;'State Search'!$C$5&amp;",",X833)))),W833,"")</f>
        <v/>
      </c>
    </row>
    <row r="834">
      <c r="A834" s="64" t="n"/>
      <c r="B834" s="65" t="n"/>
      <c r="C834" s="64" t="n"/>
      <c r="D834" s="66" t="n"/>
      <c r="E834" s="66" t="n"/>
      <c r="F834" s="67" t="n"/>
      <c r="G834" s="67" t="n"/>
      <c r="H834" s="67" t="n"/>
      <c r="I834" s="67" t="n"/>
      <c r="J834" s="67" t="n"/>
      <c r="K834" s="67" t="n"/>
      <c r="L834" s="67" t="n"/>
      <c r="M834" s="67" t="n"/>
      <c r="N834" s="65" t="n"/>
      <c r="O834" s="84">
        <f>IF(A834="","",IF(E834="","No date",IF(TODAY()&gt;=EDATE(E834,Review_Months),"Review Due","Current")))</f>
        <v/>
      </c>
      <c r="P834" s="84">
        <f>IF(A834="","",IF(COUNTIFS('AFA Rates'!$A$5:$A$1004,A834,'AFA Rates'!$O$5:$O$1004,"&lt;&gt;Expired")&gt;0,"Yes",IF(COUNTIF('AFA Rates'!$A$5:$A$1004,A834)&gt;0,"Expired only","No")))</f>
        <v/>
      </c>
      <c r="Q834" s="84">
        <f>IF(A834="","",COUNTIFS('AFA Rates'!$A$5:$A$1004,A834,'AFA Rates'!$O$5:$O$1004,"&lt;&gt;Expired"))</f>
        <v/>
      </c>
      <c r="R834" s="66" t="n"/>
      <c r="S834" s="64" t="n"/>
      <c r="T834" s="64" t="n"/>
      <c r="U834">
        <f>IF(AND(A834&lt;&gt;"",B834="Paused"),COUNTIFS($A$5:A834,"&lt;&gt;",$B$5:B834,"Paused"),"")</f>
        <v/>
      </c>
      <c r="V834">
        <f>IF(P834="Yes",COUNTIF($P$5:P834,"Yes"),"")</f>
        <v/>
      </c>
      <c r="W834">
        <f>IF(A834="","",COUNTIF($A$5:$A$1004,"&lt;"&amp;A834)+COUNTIF($A$5:A834,A834))</f>
        <v/>
      </c>
      <c r="X834">
        <f>","&amp;SUBSTITUTE(SUBSTITUTE(SUBSTITUTE(UPPER(C834)," ",""),";",","),"/",",")&amp;","</f>
        <v/>
      </c>
      <c r="Y834">
        <f>IF(AND(A834&lt;&gt;"",B834="Active",'State Search'!$C$5&lt;&gt;"",OR(X834=",ALL,",ISNUMBER(SEARCH(","&amp;'State Search'!$C$5&amp;",",X834)))),W834,"")</f>
        <v/>
      </c>
    </row>
    <row r="835">
      <c r="A835" s="64" t="n"/>
      <c r="B835" s="65" t="n"/>
      <c r="C835" s="64" t="n"/>
      <c r="D835" s="66" t="n"/>
      <c r="E835" s="66" t="n"/>
      <c r="F835" s="67" t="n"/>
      <c r="G835" s="67" t="n"/>
      <c r="H835" s="67" t="n"/>
      <c r="I835" s="67" t="n"/>
      <c r="J835" s="67" t="n"/>
      <c r="K835" s="67" t="n"/>
      <c r="L835" s="67" t="n"/>
      <c r="M835" s="67" t="n"/>
      <c r="N835" s="65" t="n"/>
      <c r="O835" s="84">
        <f>IF(A835="","",IF(E835="","No date",IF(TODAY()&gt;=EDATE(E835,Review_Months),"Review Due","Current")))</f>
        <v/>
      </c>
      <c r="P835" s="84">
        <f>IF(A835="","",IF(COUNTIFS('AFA Rates'!$A$5:$A$1004,A835,'AFA Rates'!$O$5:$O$1004,"&lt;&gt;Expired")&gt;0,"Yes",IF(COUNTIF('AFA Rates'!$A$5:$A$1004,A835)&gt;0,"Expired only","No")))</f>
        <v/>
      </c>
      <c r="Q835" s="84">
        <f>IF(A835="","",COUNTIFS('AFA Rates'!$A$5:$A$1004,A835,'AFA Rates'!$O$5:$O$1004,"&lt;&gt;Expired"))</f>
        <v/>
      </c>
      <c r="R835" s="66" t="n"/>
      <c r="S835" s="64" t="n"/>
      <c r="T835" s="64" t="n"/>
      <c r="U835">
        <f>IF(AND(A835&lt;&gt;"",B835="Paused"),COUNTIFS($A$5:A835,"&lt;&gt;",$B$5:B835,"Paused"),"")</f>
        <v/>
      </c>
      <c r="V835">
        <f>IF(P835="Yes",COUNTIF($P$5:P835,"Yes"),"")</f>
        <v/>
      </c>
      <c r="W835">
        <f>IF(A835="","",COUNTIF($A$5:$A$1004,"&lt;"&amp;A835)+COUNTIF($A$5:A835,A835))</f>
        <v/>
      </c>
      <c r="X835">
        <f>","&amp;SUBSTITUTE(SUBSTITUTE(SUBSTITUTE(UPPER(C835)," ",""),";",","),"/",",")&amp;","</f>
        <v/>
      </c>
      <c r="Y835">
        <f>IF(AND(A835&lt;&gt;"",B835="Active",'State Search'!$C$5&lt;&gt;"",OR(X835=",ALL,",ISNUMBER(SEARCH(","&amp;'State Search'!$C$5&amp;",",X835)))),W835,"")</f>
        <v/>
      </c>
    </row>
    <row r="836">
      <c r="A836" s="64" t="n"/>
      <c r="B836" s="65" t="n"/>
      <c r="C836" s="64" t="n"/>
      <c r="D836" s="66" t="n"/>
      <c r="E836" s="66" t="n"/>
      <c r="F836" s="67" t="n"/>
      <c r="G836" s="67" t="n"/>
      <c r="H836" s="67" t="n"/>
      <c r="I836" s="67" t="n"/>
      <c r="J836" s="67" t="n"/>
      <c r="K836" s="67" t="n"/>
      <c r="L836" s="67" t="n"/>
      <c r="M836" s="67" t="n"/>
      <c r="N836" s="65" t="n"/>
      <c r="O836" s="84">
        <f>IF(A836="","",IF(E836="","No date",IF(TODAY()&gt;=EDATE(E836,Review_Months),"Review Due","Current")))</f>
        <v/>
      </c>
      <c r="P836" s="84">
        <f>IF(A836="","",IF(COUNTIFS('AFA Rates'!$A$5:$A$1004,A836,'AFA Rates'!$O$5:$O$1004,"&lt;&gt;Expired")&gt;0,"Yes",IF(COUNTIF('AFA Rates'!$A$5:$A$1004,A836)&gt;0,"Expired only","No")))</f>
        <v/>
      </c>
      <c r="Q836" s="84">
        <f>IF(A836="","",COUNTIFS('AFA Rates'!$A$5:$A$1004,A836,'AFA Rates'!$O$5:$O$1004,"&lt;&gt;Expired"))</f>
        <v/>
      </c>
      <c r="R836" s="66" t="n"/>
      <c r="S836" s="64" t="n"/>
      <c r="T836" s="64" t="n"/>
      <c r="U836">
        <f>IF(AND(A836&lt;&gt;"",B836="Paused"),COUNTIFS($A$5:A836,"&lt;&gt;",$B$5:B836,"Paused"),"")</f>
        <v/>
      </c>
      <c r="V836">
        <f>IF(P836="Yes",COUNTIF($P$5:P836,"Yes"),"")</f>
        <v/>
      </c>
      <c r="W836">
        <f>IF(A836="","",COUNTIF($A$5:$A$1004,"&lt;"&amp;A836)+COUNTIF($A$5:A836,A836))</f>
        <v/>
      </c>
      <c r="X836">
        <f>","&amp;SUBSTITUTE(SUBSTITUTE(SUBSTITUTE(UPPER(C836)," ",""),";",","),"/",",")&amp;","</f>
        <v/>
      </c>
      <c r="Y836">
        <f>IF(AND(A836&lt;&gt;"",B836="Active",'State Search'!$C$5&lt;&gt;"",OR(X836=",ALL,",ISNUMBER(SEARCH(","&amp;'State Search'!$C$5&amp;",",X836)))),W836,"")</f>
        <v/>
      </c>
    </row>
    <row r="837">
      <c r="A837" s="64" t="n"/>
      <c r="B837" s="65" t="n"/>
      <c r="C837" s="64" t="n"/>
      <c r="D837" s="66" t="n"/>
      <c r="E837" s="66" t="n"/>
      <c r="F837" s="67" t="n"/>
      <c r="G837" s="67" t="n"/>
      <c r="H837" s="67" t="n"/>
      <c r="I837" s="67" t="n"/>
      <c r="J837" s="67" t="n"/>
      <c r="K837" s="67" t="n"/>
      <c r="L837" s="67" t="n"/>
      <c r="M837" s="67" t="n"/>
      <c r="N837" s="65" t="n"/>
      <c r="O837" s="84">
        <f>IF(A837="","",IF(E837="","No date",IF(TODAY()&gt;=EDATE(E837,Review_Months),"Review Due","Current")))</f>
        <v/>
      </c>
      <c r="P837" s="84">
        <f>IF(A837="","",IF(COUNTIFS('AFA Rates'!$A$5:$A$1004,A837,'AFA Rates'!$O$5:$O$1004,"&lt;&gt;Expired")&gt;0,"Yes",IF(COUNTIF('AFA Rates'!$A$5:$A$1004,A837)&gt;0,"Expired only","No")))</f>
        <v/>
      </c>
      <c r="Q837" s="84">
        <f>IF(A837="","",COUNTIFS('AFA Rates'!$A$5:$A$1004,A837,'AFA Rates'!$O$5:$O$1004,"&lt;&gt;Expired"))</f>
        <v/>
      </c>
      <c r="R837" s="66" t="n"/>
      <c r="S837" s="64" t="n"/>
      <c r="T837" s="64" t="n"/>
      <c r="U837">
        <f>IF(AND(A837&lt;&gt;"",B837="Paused"),COUNTIFS($A$5:A837,"&lt;&gt;",$B$5:B837,"Paused"),"")</f>
        <v/>
      </c>
      <c r="V837">
        <f>IF(P837="Yes",COUNTIF($P$5:P837,"Yes"),"")</f>
        <v/>
      </c>
      <c r="W837">
        <f>IF(A837="","",COUNTIF($A$5:$A$1004,"&lt;"&amp;A837)+COUNTIF($A$5:A837,A837))</f>
        <v/>
      </c>
      <c r="X837">
        <f>","&amp;SUBSTITUTE(SUBSTITUTE(SUBSTITUTE(UPPER(C837)," ",""),";",","),"/",",")&amp;","</f>
        <v/>
      </c>
      <c r="Y837">
        <f>IF(AND(A837&lt;&gt;"",B837="Active",'State Search'!$C$5&lt;&gt;"",OR(X837=",ALL,",ISNUMBER(SEARCH(","&amp;'State Search'!$C$5&amp;",",X837)))),W837,"")</f>
        <v/>
      </c>
    </row>
    <row r="838">
      <c r="A838" s="64" t="n"/>
      <c r="B838" s="65" t="n"/>
      <c r="C838" s="64" t="n"/>
      <c r="D838" s="66" t="n"/>
      <c r="E838" s="66" t="n"/>
      <c r="F838" s="67" t="n"/>
      <c r="G838" s="67" t="n"/>
      <c r="H838" s="67" t="n"/>
      <c r="I838" s="67" t="n"/>
      <c r="J838" s="67" t="n"/>
      <c r="K838" s="67" t="n"/>
      <c r="L838" s="67" t="n"/>
      <c r="M838" s="67" t="n"/>
      <c r="N838" s="65" t="n"/>
      <c r="O838" s="84">
        <f>IF(A838="","",IF(E838="","No date",IF(TODAY()&gt;=EDATE(E838,Review_Months),"Review Due","Current")))</f>
        <v/>
      </c>
      <c r="P838" s="84">
        <f>IF(A838="","",IF(COUNTIFS('AFA Rates'!$A$5:$A$1004,A838,'AFA Rates'!$O$5:$O$1004,"&lt;&gt;Expired")&gt;0,"Yes",IF(COUNTIF('AFA Rates'!$A$5:$A$1004,A838)&gt;0,"Expired only","No")))</f>
        <v/>
      </c>
      <c r="Q838" s="84">
        <f>IF(A838="","",COUNTIFS('AFA Rates'!$A$5:$A$1004,A838,'AFA Rates'!$O$5:$O$1004,"&lt;&gt;Expired"))</f>
        <v/>
      </c>
      <c r="R838" s="66" t="n"/>
      <c r="S838" s="64" t="n"/>
      <c r="T838" s="64" t="n"/>
      <c r="U838">
        <f>IF(AND(A838&lt;&gt;"",B838="Paused"),COUNTIFS($A$5:A838,"&lt;&gt;",$B$5:B838,"Paused"),"")</f>
        <v/>
      </c>
      <c r="V838">
        <f>IF(P838="Yes",COUNTIF($P$5:P838,"Yes"),"")</f>
        <v/>
      </c>
      <c r="W838">
        <f>IF(A838="","",COUNTIF($A$5:$A$1004,"&lt;"&amp;A838)+COUNTIF($A$5:A838,A838))</f>
        <v/>
      </c>
      <c r="X838">
        <f>","&amp;SUBSTITUTE(SUBSTITUTE(SUBSTITUTE(UPPER(C838)," ",""),";",","),"/",",")&amp;","</f>
        <v/>
      </c>
      <c r="Y838">
        <f>IF(AND(A838&lt;&gt;"",B838="Active",'State Search'!$C$5&lt;&gt;"",OR(X838=",ALL,",ISNUMBER(SEARCH(","&amp;'State Search'!$C$5&amp;",",X838)))),W838,"")</f>
        <v/>
      </c>
    </row>
    <row r="839">
      <c r="A839" s="64" t="n"/>
      <c r="B839" s="65" t="n"/>
      <c r="C839" s="64" t="n"/>
      <c r="D839" s="66" t="n"/>
      <c r="E839" s="66" t="n"/>
      <c r="F839" s="67" t="n"/>
      <c r="G839" s="67" t="n"/>
      <c r="H839" s="67" t="n"/>
      <c r="I839" s="67" t="n"/>
      <c r="J839" s="67" t="n"/>
      <c r="K839" s="67" t="n"/>
      <c r="L839" s="67" t="n"/>
      <c r="M839" s="67" t="n"/>
      <c r="N839" s="65" t="n"/>
      <c r="O839" s="84">
        <f>IF(A839="","",IF(E839="","No date",IF(TODAY()&gt;=EDATE(E839,Review_Months),"Review Due","Current")))</f>
        <v/>
      </c>
      <c r="P839" s="84">
        <f>IF(A839="","",IF(COUNTIFS('AFA Rates'!$A$5:$A$1004,A839,'AFA Rates'!$O$5:$O$1004,"&lt;&gt;Expired")&gt;0,"Yes",IF(COUNTIF('AFA Rates'!$A$5:$A$1004,A839)&gt;0,"Expired only","No")))</f>
        <v/>
      </c>
      <c r="Q839" s="84">
        <f>IF(A839="","",COUNTIFS('AFA Rates'!$A$5:$A$1004,A839,'AFA Rates'!$O$5:$O$1004,"&lt;&gt;Expired"))</f>
        <v/>
      </c>
      <c r="R839" s="66" t="n"/>
      <c r="S839" s="64" t="n"/>
      <c r="T839" s="64" t="n"/>
      <c r="U839">
        <f>IF(AND(A839&lt;&gt;"",B839="Paused"),COUNTIFS($A$5:A839,"&lt;&gt;",$B$5:B839,"Paused"),"")</f>
        <v/>
      </c>
      <c r="V839">
        <f>IF(P839="Yes",COUNTIF($P$5:P839,"Yes"),"")</f>
        <v/>
      </c>
      <c r="W839">
        <f>IF(A839="","",COUNTIF($A$5:$A$1004,"&lt;"&amp;A839)+COUNTIF($A$5:A839,A839))</f>
        <v/>
      </c>
      <c r="X839">
        <f>","&amp;SUBSTITUTE(SUBSTITUTE(SUBSTITUTE(UPPER(C839)," ",""),";",","),"/",",")&amp;","</f>
        <v/>
      </c>
      <c r="Y839">
        <f>IF(AND(A839&lt;&gt;"",B839="Active",'State Search'!$C$5&lt;&gt;"",OR(X839=",ALL,",ISNUMBER(SEARCH(","&amp;'State Search'!$C$5&amp;",",X839)))),W839,"")</f>
        <v/>
      </c>
    </row>
    <row r="840">
      <c r="A840" s="64" t="n"/>
      <c r="B840" s="65" t="n"/>
      <c r="C840" s="64" t="n"/>
      <c r="D840" s="66" t="n"/>
      <c r="E840" s="66" t="n"/>
      <c r="F840" s="67" t="n"/>
      <c r="G840" s="67" t="n"/>
      <c r="H840" s="67" t="n"/>
      <c r="I840" s="67" t="n"/>
      <c r="J840" s="67" t="n"/>
      <c r="K840" s="67" t="n"/>
      <c r="L840" s="67" t="n"/>
      <c r="M840" s="67" t="n"/>
      <c r="N840" s="65" t="n"/>
      <c r="O840" s="84">
        <f>IF(A840="","",IF(E840="","No date",IF(TODAY()&gt;=EDATE(E840,Review_Months),"Review Due","Current")))</f>
        <v/>
      </c>
      <c r="P840" s="84">
        <f>IF(A840="","",IF(COUNTIFS('AFA Rates'!$A$5:$A$1004,A840,'AFA Rates'!$O$5:$O$1004,"&lt;&gt;Expired")&gt;0,"Yes",IF(COUNTIF('AFA Rates'!$A$5:$A$1004,A840)&gt;0,"Expired only","No")))</f>
        <v/>
      </c>
      <c r="Q840" s="84">
        <f>IF(A840="","",COUNTIFS('AFA Rates'!$A$5:$A$1004,A840,'AFA Rates'!$O$5:$O$1004,"&lt;&gt;Expired"))</f>
        <v/>
      </c>
      <c r="R840" s="66" t="n"/>
      <c r="S840" s="64" t="n"/>
      <c r="T840" s="64" t="n"/>
      <c r="U840">
        <f>IF(AND(A840&lt;&gt;"",B840="Paused"),COUNTIFS($A$5:A840,"&lt;&gt;",$B$5:B840,"Paused"),"")</f>
        <v/>
      </c>
      <c r="V840">
        <f>IF(P840="Yes",COUNTIF($P$5:P840,"Yes"),"")</f>
        <v/>
      </c>
      <c r="W840">
        <f>IF(A840="","",COUNTIF($A$5:$A$1004,"&lt;"&amp;A840)+COUNTIF($A$5:A840,A840))</f>
        <v/>
      </c>
      <c r="X840">
        <f>","&amp;SUBSTITUTE(SUBSTITUTE(SUBSTITUTE(UPPER(C840)," ",""),";",","),"/",",")&amp;","</f>
        <v/>
      </c>
      <c r="Y840">
        <f>IF(AND(A840&lt;&gt;"",B840="Active",'State Search'!$C$5&lt;&gt;"",OR(X840=",ALL,",ISNUMBER(SEARCH(","&amp;'State Search'!$C$5&amp;",",X840)))),W840,"")</f>
        <v/>
      </c>
    </row>
    <row r="841">
      <c r="A841" s="64" t="n"/>
      <c r="B841" s="65" t="n"/>
      <c r="C841" s="64" t="n"/>
      <c r="D841" s="66" t="n"/>
      <c r="E841" s="66" t="n"/>
      <c r="F841" s="67" t="n"/>
      <c r="G841" s="67" t="n"/>
      <c r="H841" s="67" t="n"/>
      <c r="I841" s="67" t="n"/>
      <c r="J841" s="67" t="n"/>
      <c r="K841" s="67" t="n"/>
      <c r="L841" s="67" t="n"/>
      <c r="M841" s="67" t="n"/>
      <c r="N841" s="65" t="n"/>
      <c r="O841" s="84">
        <f>IF(A841="","",IF(E841="","No date",IF(TODAY()&gt;=EDATE(E841,Review_Months),"Review Due","Current")))</f>
        <v/>
      </c>
      <c r="P841" s="84">
        <f>IF(A841="","",IF(COUNTIFS('AFA Rates'!$A$5:$A$1004,A841,'AFA Rates'!$O$5:$O$1004,"&lt;&gt;Expired")&gt;0,"Yes",IF(COUNTIF('AFA Rates'!$A$5:$A$1004,A841)&gt;0,"Expired only","No")))</f>
        <v/>
      </c>
      <c r="Q841" s="84">
        <f>IF(A841="","",COUNTIFS('AFA Rates'!$A$5:$A$1004,A841,'AFA Rates'!$O$5:$O$1004,"&lt;&gt;Expired"))</f>
        <v/>
      </c>
      <c r="R841" s="66" t="n"/>
      <c r="S841" s="64" t="n"/>
      <c r="T841" s="64" t="n"/>
      <c r="U841">
        <f>IF(AND(A841&lt;&gt;"",B841="Paused"),COUNTIFS($A$5:A841,"&lt;&gt;",$B$5:B841,"Paused"),"")</f>
        <v/>
      </c>
      <c r="V841">
        <f>IF(P841="Yes",COUNTIF($P$5:P841,"Yes"),"")</f>
        <v/>
      </c>
      <c r="W841">
        <f>IF(A841="","",COUNTIF($A$5:$A$1004,"&lt;"&amp;A841)+COUNTIF($A$5:A841,A841))</f>
        <v/>
      </c>
      <c r="X841">
        <f>","&amp;SUBSTITUTE(SUBSTITUTE(SUBSTITUTE(UPPER(C841)," ",""),";",","),"/",",")&amp;","</f>
        <v/>
      </c>
      <c r="Y841">
        <f>IF(AND(A841&lt;&gt;"",B841="Active",'State Search'!$C$5&lt;&gt;"",OR(X841=",ALL,",ISNUMBER(SEARCH(","&amp;'State Search'!$C$5&amp;",",X841)))),W841,"")</f>
        <v/>
      </c>
    </row>
    <row r="842">
      <c r="A842" s="64" t="n"/>
      <c r="B842" s="65" t="n"/>
      <c r="C842" s="64" t="n"/>
      <c r="D842" s="66" t="n"/>
      <c r="E842" s="66" t="n"/>
      <c r="F842" s="67" t="n"/>
      <c r="G842" s="67" t="n"/>
      <c r="H842" s="67" t="n"/>
      <c r="I842" s="67" t="n"/>
      <c r="J842" s="67" t="n"/>
      <c r="K842" s="67" t="n"/>
      <c r="L842" s="67" t="n"/>
      <c r="M842" s="67" t="n"/>
      <c r="N842" s="65" t="n"/>
      <c r="O842" s="84">
        <f>IF(A842="","",IF(E842="","No date",IF(TODAY()&gt;=EDATE(E842,Review_Months),"Review Due","Current")))</f>
        <v/>
      </c>
      <c r="P842" s="84">
        <f>IF(A842="","",IF(COUNTIFS('AFA Rates'!$A$5:$A$1004,A842,'AFA Rates'!$O$5:$O$1004,"&lt;&gt;Expired")&gt;0,"Yes",IF(COUNTIF('AFA Rates'!$A$5:$A$1004,A842)&gt;0,"Expired only","No")))</f>
        <v/>
      </c>
      <c r="Q842" s="84">
        <f>IF(A842="","",COUNTIFS('AFA Rates'!$A$5:$A$1004,A842,'AFA Rates'!$O$5:$O$1004,"&lt;&gt;Expired"))</f>
        <v/>
      </c>
      <c r="R842" s="66" t="n"/>
      <c r="S842" s="64" t="n"/>
      <c r="T842" s="64" t="n"/>
      <c r="U842">
        <f>IF(AND(A842&lt;&gt;"",B842="Paused"),COUNTIFS($A$5:A842,"&lt;&gt;",$B$5:B842,"Paused"),"")</f>
        <v/>
      </c>
      <c r="V842">
        <f>IF(P842="Yes",COUNTIF($P$5:P842,"Yes"),"")</f>
        <v/>
      </c>
      <c r="W842">
        <f>IF(A842="","",COUNTIF($A$5:$A$1004,"&lt;"&amp;A842)+COUNTIF($A$5:A842,A842))</f>
        <v/>
      </c>
      <c r="X842">
        <f>","&amp;SUBSTITUTE(SUBSTITUTE(SUBSTITUTE(UPPER(C842)," ",""),";",","),"/",",")&amp;","</f>
        <v/>
      </c>
      <c r="Y842">
        <f>IF(AND(A842&lt;&gt;"",B842="Active",'State Search'!$C$5&lt;&gt;"",OR(X842=",ALL,",ISNUMBER(SEARCH(","&amp;'State Search'!$C$5&amp;",",X842)))),W842,"")</f>
        <v/>
      </c>
    </row>
    <row r="843">
      <c r="A843" s="64" t="n"/>
      <c r="B843" s="65" t="n"/>
      <c r="C843" s="64" t="n"/>
      <c r="D843" s="66" t="n"/>
      <c r="E843" s="66" t="n"/>
      <c r="F843" s="67" t="n"/>
      <c r="G843" s="67" t="n"/>
      <c r="H843" s="67" t="n"/>
      <c r="I843" s="67" t="n"/>
      <c r="J843" s="67" t="n"/>
      <c r="K843" s="67" t="n"/>
      <c r="L843" s="67" t="n"/>
      <c r="M843" s="67" t="n"/>
      <c r="N843" s="65" t="n"/>
      <c r="O843" s="84">
        <f>IF(A843="","",IF(E843="","No date",IF(TODAY()&gt;=EDATE(E843,Review_Months),"Review Due","Current")))</f>
        <v/>
      </c>
      <c r="P843" s="84">
        <f>IF(A843="","",IF(COUNTIFS('AFA Rates'!$A$5:$A$1004,A843,'AFA Rates'!$O$5:$O$1004,"&lt;&gt;Expired")&gt;0,"Yes",IF(COUNTIF('AFA Rates'!$A$5:$A$1004,A843)&gt;0,"Expired only","No")))</f>
        <v/>
      </c>
      <c r="Q843" s="84">
        <f>IF(A843="","",COUNTIFS('AFA Rates'!$A$5:$A$1004,A843,'AFA Rates'!$O$5:$O$1004,"&lt;&gt;Expired"))</f>
        <v/>
      </c>
      <c r="R843" s="66" t="n"/>
      <c r="S843" s="64" t="n"/>
      <c r="T843" s="64" t="n"/>
      <c r="U843">
        <f>IF(AND(A843&lt;&gt;"",B843="Paused"),COUNTIFS($A$5:A843,"&lt;&gt;",$B$5:B843,"Paused"),"")</f>
        <v/>
      </c>
      <c r="V843">
        <f>IF(P843="Yes",COUNTIF($P$5:P843,"Yes"),"")</f>
        <v/>
      </c>
      <c r="W843">
        <f>IF(A843="","",COUNTIF($A$5:$A$1004,"&lt;"&amp;A843)+COUNTIF($A$5:A843,A843))</f>
        <v/>
      </c>
      <c r="X843">
        <f>","&amp;SUBSTITUTE(SUBSTITUTE(SUBSTITUTE(UPPER(C843)," ",""),";",","),"/",",")&amp;","</f>
        <v/>
      </c>
      <c r="Y843">
        <f>IF(AND(A843&lt;&gt;"",B843="Active",'State Search'!$C$5&lt;&gt;"",OR(X843=",ALL,",ISNUMBER(SEARCH(","&amp;'State Search'!$C$5&amp;",",X843)))),W843,"")</f>
        <v/>
      </c>
    </row>
    <row r="844">
      <c r="A844" s="64" t="n"/>
      <c r="B844" s="65" t="n"/>
      <c r="C844" s="64" t="n"/>
      <c r="D844" s="66" t="n"/>
      <c r="E844" s="66" t="n"/>
      <c r="F844" s="67" t="n"/>
      <c r="G844" s="67" t="n"/>
      <c r="H844" s="67" t="n"/>
      <c r="I844" s="67" t="n"/>
      <c r="J844" s="67" t="n"/>
      <c r="K844" s="67" t="n"/>
      <c r="L844" s="67" t="n"/>
      <c r="M844" s="67" t="n"/>
      <c r="N844" s="65" t="n"/>
      <c r="O844" s="84">
        <f>IF(A844="","",IF(E844="","No date",IF(TODAY()&gt;=EDATE(E844,Review_Months),"Review Due","Current")))</f>
        <v/>
      </c>
      <c r="P844" s="84">
        <f>IF(A844="","",IF(COUNTIFS('AFA Rates'!$A$5:$A$1004,A844,'AFA Rates'!$O$5:$O$1004,"&lt;&gt;Expired")&gt;0,"Yes",IF(COUNTIF('AFA Rates'!$A$5:$A$1004,A844)&gt;0,"Expired only","No")))</f>
        <v/>
      </c>
      <c r="Q844" s="84">
        <f>IF(A844="","",COUNTIFS('AFA Rates'!$A$5:$A$1004,A844,'AFA Rates'!$O$5:$O$1004,"&lt;&gt;Expired"))</f>
        <v/>
      </c>
      <c r="R844" s="66" t="n"/>
      <c r="S844" s="64" t="n"/>
      <c r="T844" s="64" t="n"/>
      <c r="U844">
        <f>IF(AND(A844&lt;&gt;"",B844="Paused"),COUNTIFS($A$5:A844,"&lt;&gt;",$B$5:B844,"Paused"),"")</f>
        <v/>
      </c>
      <c r="V844">
        <f>IF(P844="Yes",COUNTIF($P$5:P844,"Yes"),"")</f>
        <v/>
      </c>
      <c r="W844">
        <f>IF(A844="","",COUNTIF($A$5:$A$1004,"&lt;"&amp;A844)+COUNTIF($A$5:A844,A844))</f>
        <v/>
      </c>
      <c r="X844">
        <f>","&amp;SUBSTITUTE(SUBSTITUTE(SUBSTITUTE(UPPER(C844)," ",""),";",","),"/",",")&amp;","</f>
        <v/>
      </c>
      <c r="Y844">
        <f>IF(AND(A844&lt;&gt;"",B844="Active",'State Search'!$C$5&lt;&gt;"",OR(X844=",ALL,",ISNUMBER(SEARCH(","&amp;'State Search'!$C$5&amp;",",X844)))),W844,"")</f>
        <v/>
      </c>
    </row>
    <row r="845">
      <c r="A845" s="64" t="n"/>
      <c r="B845" s="65" t="n"/>
      <c r="C845" s="64" t="n"/>
      <c r="D845" s="66" t="n"/>
      <c r="E845" s="66" t="n"/>
      <c r="F845" s="67" t="n"/>
      <c r="G845" s="67" t="n"/>
      <c r="H845" s="67" t="n"/>
      <c r="I845" s="67" t="n"/>
      <c r="J845" s="67" t="n"/>
      <c r="K845" s="67" t="n"/>
      <c r="L845" s="67" t="n"/>
      <c r="M845" s="67" t="n"/>
      <c r="N845" s="65" t="n"/>
      <c r="O845" s="84">
        <f>IF(A845="","",IF(E845="","No date",IF(TODAY()&gt;=EDATE(E845,Review_Months),"Review Due","Current")))</f>
        <v/>
      </c>
      <c r="P845" s="84">
        <f>IF(A845="","",IF(COUNTIFS('AFA Rates'!$A$5:$A$1004,A845,'AFA Rates'!$O$5:$O$1004,"&lt;&gt;Expired")&gt;0,"Yes",IF(COUNTIF('AFA Rates'!$A$5:$A$1004,A845)&gt;0,"Expired only","No")))</f>
        <v/>
      </c>
      <c r="Q845" s="84">
        <f>IF(A845="","",COUNTIFS('AFA Rates'!$A$5:$A$1004,A845,'AFA Rates'!$O$5:$O$1004,"&lt;&gt;Expired"))</f>
        <v/>
      </c>
      <c r="R845" s="66" t="n"/>
      <c r="S845" s="64" t="n"/>
      <c r="T845" s="64" t="n"/>
      <c r="U845">
        <f>IF(AND(A845&lt;&gt;"",B845="Paused"),COUNTIFS($A$5:A845,"&lt;&gt;",$B$5:B845,"Paused"),"")</f>
        <v/>
      </c>
      <c r="V845">
        <f>IF(P845="Yes",COUNTIF($P$5:P845,"Yes"),"")</f>
        <v/>
      </c>
      <c r="W845">
        <f>IF(A845="","",COUNTIF($A$5:$A$1004,"&lt;"&amp;A845)+COUNTIF($A$5:A845,A845))</f>
        <v/>
      </c>
      <c r="X845">
        <f>","&amp;SUBSTITUTE(SUBSTITUTE(SUBSTITUTE(UPPER(C845)," ",""),";",","),"/",",")&amp;","</f>
        <v/>
      </c>
      <c r="Y845">
        <f>IF(AND(A845&lt;&gt;"",B845="Active",'State Search'!$C$5&lt;&gt;"",OR(X845=",ALL,",ISNUMBER(SEARCH(","&amp;'State Search'!$C$5&amp;",",X845)))),W845,"")</f>
        <v/>
      </c>
    </row>
    <row r="846">
      <c r="A846" s="64" t="n"/>
      <c r="B846" s="65" t="n"/>
      <c r="C846" s="64" t="n"/>
      <c r="D846" s="66" t="n"/>
      <c r="E846" s="66" t="n"/>
      <c r="F846" s="67" t="n"/>
      <c r="G846" s="67" t="n"/>
      <c r="H846" s="67" t="n"/>
      <c r="I846" s="67" t="n"/>
      <c r="J846" s="67" t="n"/>
      <c r="K846" s="67" t="n"/>
      <c r="L846" s="67" t="n"/>
      <c r="M846" s="67" t="n"/>
      <c r="N846" s="65" t="n"/>
      <c r="O846" s="84">
        <f>IF(A846="","",IF(E846="","No date",IF(TODAY()&gt;=EDATE(E846,Review_Months),"Review Due","Current")))</f>
        <v/>
      </c>
      <c r="P846" s="84">
        <f>IF(A846="","",IF(COUNTIFS('AFA Rates'!$A$5:$A$1004,A846,'AFA Rates'!$O$5:$O$1004,"&lt;&gt;Expired")&gt;0,"Yes",IF(COUNTIF('AFA Rates'!$A$5:$A$1004,A846)&gt;0,"Expired only","No")))</f>
        <v/>
      </c>
      <c r="Q846" s="84">
        <f>IF(A846="","",COUNTIFS('AFA Rates'!$A$5:$A$1004,A846,'AFA Rates'!$O$5:$O$1004,"&lt;&gt;Expired"))</f>
        <v/>
      </c>
      <c r="R846" s="66" t="n"/>
      <c r="S846" s="64" t="n"/>
      <c r="T846" s="64" t="n"/>
      <c r="U846">
        <f>IF(AND(A846&lt;&gt;"",B846="Paused"),COUNTIFS($A$5:A846,"&lt;&gt;",$B$5:B846,"Paused"),"")</f>
        <v/>
      </c>
      <c r="V846">
        <f>IF(P846="Yes",COUNTIF($P$5:P846,"Yes"),"")</f>
        <v/>
      </c>
      <c r="W846">
        <f>IF(A846="","",COUNTIF($A$5:$A$1004,"&lt;"&amp;A846)+COUNTIF($A$5:A846,A846))</f>
        <v/>
      </c>
      <c r="X846">
        <f>","&amp;SUBSTITUTE(SUBSTITUTE(SUBSTITUTE(UPPER(C846)," ",""),";",","),"/",",")&amp;","</f>
        <v/>
      </c>
      <c r="Y846">
        <f>IF(AND(A846&lt;&gt;"",B846="Active",'State Search'!$C$5&lt;&gt;"",OR(X846=",ALL,",ISNUMBER(SEARCH(","&amp;'State Search'!$C$5&amp;",",X846)))),W846,"")</f>
        <v/>
      </c>
    </row>
    <row r="847">
      <c r="A847" s="64" t="n"/>
      <c r="B847" s="65" t="n"/>
      <c r="C847" s="64" t="n"/>
      <c r="D847" s="66" t="n"/>
      <c r="E847" s="66" t="n"/>
      <c r="F847" s="67" t="n"/>
      <c r="G847" s="67" t="n"/>
      <c r="H847" s="67" t="n"/>
      <c r="I847" s="67" t="n"/>
      <c r="J847" s="67" t="n"/>
      <c r="K847" s="67" t="n"/>
      <c r="L847" s="67" t="n"/>
      <c r="M847" s="67" t="n"/>
      <c r="N847" s="65" t="n"/>
      <c r="O847" s="84">
        <f>IF(A847="","",IF(E847="","No date",IF(TODAY()&gt;=EDATE(E847,Review_Months),"Review Due","Current")))</f>
        <v/>
      </c>
      <c r="P847" s="84">
        <f>IF(A847="","",IF(COUNTIFS('AFA Rates'!$A$5:$A$1004,A847,'AFA Rates'!$O$5:$O$1004,"&lt;&gt;Expired")&gt;0,"Yes",IF(COUNTIF('AFA Rates'!$A$5:$A$1004,A847)&gt;0,"Expired only","No")))</f>
        <v/>
      </c>
      <c r="Q847" s="84">
        <f>IF(A847="","",COUNTIFS('AFA Rates'!$A$5:$A$1004,A847,'AFA Rates'!$O$5:$O$1004,"&lt;&gt;Expired"))</f>
        <v/>
      </c>
      <c r="R847" s="66" t="n"/>
      <c r="S847" s="64" t="n"/>
      <c r="T847" s="64" t="n"/>
      <c r="U847">
        <f>IF(AND(A847&lt;&gt;"",B847="Paused"),COUNTIFS($A$5:A847,"&lt;&gt;",$B$5:B847,"Paused"),"")</f>
        <v/>
      </c>
      <c r="V847">
        <f>IF(P847="Yes",COUNTIF($P$5:P847,"Yes"),"")</f>
        <v/>
      </c>
      <c r="W847">
        <f>IF(A847="","",COUNTIF($A$5:$A$1004,"&lt;"&amp;A847)+COUNTIF($A$5:A847,A847))</f>
        <v/>
      </c>
      <c r="X847">
        <f>","&amp;SUBSTITUTE(SUBSTITUTE(SUBSTITUTE(UPPER(C847)," ",""),";",","),"/",",")&amp;","</f>
        <v/>
      </c>
      <c r="Y847">
        <f>IF(AND(A847&lt;&gt;"",B847="Active",'State Search'!$C$5&lt;&gt;"",OR(X847=",ALL,",ISNUMBER(SEARCH(","&amp;'State Search'!$C$5&amp;",",X847)))),W847,"")</f>
        <v/>
      </c>
    </row>
    <row r="848">
      <c r="A848" s="64" t="n"/>
      <c r="B848" s="65" t="n"/>
      <c r="C848" s="64" t="n"/>
      <c r="D848" s="66" t="n"/>
      <c r="E848" s="66" t="n"/>
      <c r="F848" s="67" t="n"/>
      <c r="G848" s="67" t="n"/>
      <c r="H848" s="67" t="n"/>
      <c r="I848" s="67" t="n"/>
      <c r="J848" s="67" t="n"/>
      <c r="K848" s="67" t="n"/>
      <c r="L848" s="67" t="n"/>
      <c r="M848" s="67" t="n"/>
      <c r="N848" s="65" t="n"/>
      <c r="O848" s="84">
        <f>IF(A848="","",IF(E848="","No date",IF(TODAY()&gt;=EDATE(E848,Review_Months),"Review Due","Current")))</f>
        <v/>
      </c>
      <c r="P848" s="84">
        <f>IF(A848="","",IF(COUNTIFS('AFA Rates'!$A$5:$A$1004,A848,'AFA Rates'!$O$5:$O$1004,"&lt;&gt;Expired")&gt;0,"Yes",IF(COUNTIF('AFA Rates'!$A$5:$A$1004,A848)&gt;0,"Expired only","No")))</f>
        <v/>
      </c>
      <c r="Q848" s="84">
        <f>IF(A848="","",COUNTIFS('AFA Rates'!$A$5:$A$1004,A848,'AFA Rates'!$O$5:$O$1004,"&lt;&gt;Expired"))</f>
        <v/>
      </c>
      <c r="R848" s="66" t="n"/>
      <c r="S848" s="64" t="n"/>
      <c r="T848" s="64" t="n"/>
      <c r="U848">
        <f>IF(AND(A848&lt;&gt;"",B848="Paused"),COUNTIFS($A$5:A848,"&lt;&gt;",$B$5:B848,"Paused"),"")</f>
        <v/>
      </c>
      <c r="V848">
        <f>IF(P848="Yes",COUNTIF($P$5:P848,"Yes"),"")</f>
        <v/>
      </c>
      <c r="W848">
        <f>IF(A848="","",COUNTIF($A$5:$A$1004,"&lt;"&amp;A848)+COUNTIF($A$5:A848,A848))</f>
        <v/>
      </c>
      <c r="X848">
        <f>","&amp;SUBSTITUTE(SUBSTITUTE(SUBSTITUTE(UPPER(C848)," ",""),";",","),"/",",")&amp;","</f>
        <v/>
      </c>
      <c r="Y848">
        <f>IF(AND(A848&lt;&gt;"",B848="Active",'State Search'!$C$5&lt;&gt;"",OR(X848=",ALL,",ISNUMBER(SEARCH(","&amp;'State Search'!$C$5&amp;",",X848)))),W848,"")</f>
        <v/>
      </c>
    </row>
    <row r="849">
      <c r="A849" s="64" t="n"/>
      <c r="B849" s="65" t="n"/>
      <c r="C849" s="64" t="n"/>
      <c r="D849" s="66" t="n"/>
      <c r="E849" s="66" t="n"/>
      <c r="F849" s="67" t="n"/>
      <c r="G849" s="67" t="n"/>
      <c r="H849" s="67" t="n"/>
      <c r="I849" s="67" t="n"/>
      <c r="J849" s="67" t="n"/>
      <c r="K849" s="67" t="n"/>
      <c r="L849" s="67" t="n"/>
      <c r="M849" s="67" t="n"/>
      <c r="N849" s="65" t="n"/>
      <c r="O849" s="84">
        <f>IF(A849="","",IF(E849="","No date",IF(TODAY()&gt;=EDATE(E849,Review_Months),"Review Due","Current")))</f>
        <v/>
      </c>
      <c r="P849" s="84">
        <f>IF(A849="","",IF(COUNTIFS('AFA Rates'!$A$5:$A$1004,A849,'AFA Rates'!$O$5:$O$1004,"&lt;&gt;Expired")&gt;0,"Yes",IF(COUNTIF('AFA Rates'!$A$5:$A$1004,A849)&gt;0,"Expired only","No")))</f>
        <v/>
      </c>
      <c r="Q849" s="84">
        <f>IF(A849="","",COUNTIFS('AFA Rates'!$A$5:$A$1004,A849,'AFA Rates'!$O$5:$O$1004,"&lt;&gt;Expired"))</f>
        <v/>
      </c>
      <c r="R849" s="66" t="n"/>
      <c r="S849" s="64" t="n"/>
      <c r="T849" s="64" t="n"/>
      <c r="U849">
        <f>IF(AND(A849&lt;&gt;"",B849="Paused"),COUNTIFS($A$5:A849,"&lt;&gt;",$B$5:B849,"Paused"),"")</f>
        <v/>
      </c>
      <c r="V849">
        <f>IF(P849="Yes",COUNTIF($P$5:P849,"Yes"),"")</f>
        <v/>
      </c>
      <c r="W849">
        <f>IF(A849="","",COUNTIF($A$5:$A$1004,"&lt;"&amp;A849)+COUNTIF($A$5:A849,A849))</f>
        <v/>
      </c>
      <c r="X849">
        <f>","&amp;SUBSTITUTE(SUBSTITUTE(SUBSTITUTE(UPPER(C849)," ",""),";",","),"/",",")&amp;","</f>
        <v/>
      </c>
      <c r="Y849">
        <f>IF(AND(A849&lt;&gt;"",B849="Active",'State Search'!$C$5&lt;&gt;"",OR(X849=",ALL,",ISNUMBER(SEARCH(","&amp;'State Search'!$C$5&amp;",",X849)))),W849,"")</f>
        <v/>
      </c>
    </row>
    <row r="850">
      <c r="A850" s="64" t="n"/>
      <c r="B850" s="65" t="n"/>
      <c r="C850" s="64" t="n"/>
      <c r="D850" s="66" t="n"/>
      <c r="E850" s="66" t="n"/>
      <c r="F850" s="67" t="n"/>
      <c r="G850" s="67" t="n"/>
      <c r="H850" s="67" t="n"/>
      <c r="I850" s="67" t="n"/>
      <c r="J850" s="67" t="n"/>
      <c r="K850" s="67" t="n"/>
      <c r="L850" s="67" t="n"/>
      <c r="M850" s="67" t="n"/>
      <c r="N850" s="65" t="n"/>
      <c r="O850" s="84">
        <f>IF(A850="","",IF(E850="","No date",IF(TODAY()&gt;=EDATE(E850,Review_Months),"Review Due","Current")))</f>
        <v/>
      </c>
      <c r="P850" s="84">
        <f>IF(A850="","",IF(COUNTIFS('AFA Rates'!$A$5:$A$1004,A850,'AFA Rates'!$O$5:$O$1004,"&lt;&gt;Expired")&gt;0,"Yes",IF(COUNTIF('AFA Rates'!$A$5:$A$1004,A850)&gt;0,"Expired only","No")))</f>
        <v/>
      </c>
      <c r="Q850" s="84">
        <f>IF(A850="","",COUNTIFS('AFA Rates'!$A$5:$A$1004,A850,'AFA Rates'!$O$5:$O$1004,"&lt;&gt;Expired"))</f>
        <v/>
      </c>
      <c r="R850" s="66" t="n"/>
      <c r="S850" s="64" t="n"/>
      <c r="T850" s="64" t="n"/>
      <c r="U850">
        <f>IF(AND(A850&lt;&gt;"",B850="Paused"),COUNTIFS($A$5:A850,"&lt;&gt;",$B$5:B850,"Paused"),"")</f>
        <v/>
      </c>
      <c r="V850">
        <f>IF(P850="Yes",COUNTIF($P$5:P850,"Yes"),"")</f>
        <v/>
      </c>
      <c r="W850">
        <f>IF(A850="","",COUNTIF($A$5:$A$1004,"&lt;"&amp;A850)+COUNTIF($A$5:A850,A850))</f>
        <v/>
      </c>
      <c r="X850">
        <f>","&amp;SUBSTITUTE(SUBSTITUTE(SUBSTITUTE(UPPER(C850)," ",""),";",","),"/",",")&amp;","</f>
        <v/>
      </c>
      <c r="Y850">
        <f>IF(AND(A850&lt;&gt;"",B850="Active",'State Search'!$C$5&lt;&gt;"",OR(X850=",ALL,",ISNUMBER(SEARCH(","&amp;'State Search'!$C$5&amp;",",X850)))),W850,"")</f>
        <v/>
      </c>
    </row>
    <row r="851">
      <c r="A851" s="64" t="n"/>
      <c r="B851" s="65" t="n"/>
      <c r="C851" s="64" t="n"/>
      <c r="D851" s="66" t="n"/>
      <c r="E851" s="66" t="n"/>
      <c r="F851" s="67" t="n"/>
      <c r="G851" s="67" t="n"/>
      <c r="H851" s="67" t="n"/>
      <c r="I851" s="67" t="n"/>
      <c r="J851" s="67" t="n"/>
      <c r="K851" s="67" t="n"/>
      <c r="L851" s="67" t="n"/>
      <c r="M851" s="67" t="n"/>
      <c r="N851" s="65" t="n"/>
      <c r="O851" s="84">
        <f>IF(A851="","",IF(E851="","No date",IF(TODAY()&gt;=EDATE(E851,Review_Months),"Review Due","Current")))</f>
        <v/>
      </c>
      <c r="P851" s="84">
        <f>IF(A851="","",IF(COUNTIFS('AFA Rates'!$A$5:$A$1004,A851,'AFA Rates'!$O$5:$O$1004,"&lt;&gt;Expired")&gt;0,"Yes",IF(COUNTIF('AFA Rates'!$A$5:$A$1004,A851)&gt;0,"Expired only","No")))</f>
        <v/>
      </c>
      <c r="Q851" s="84">
        <f>IF(A851="","",COUNTIFS('AFA Rates'!$A$5:$A$1004,A851,'AFA Rates'!$O$5:$O$1004,"&lt;&gt;Expired"))</f>
        <v/>
      </c>
      <c r="R851" s="66" t="n"/>
      <c r="S851" s="64" t="n"/>
      <c r="T851" s="64" t="n"/>
      <c r="U851">
        <f>IF(AND(A851&lt;&gt;"",B851="Paused"),COUNTIFS($A$5:A851,"&lt;&gt;",$B$5:B851,"Paused"),"")</f>
        <v/>
      </c>
      <c r="V851">
        <f>IF(P851="Yes",COUNTIF($P$5:P851,"Yes"),"")</f>
        <v/>
      </c>
      <c r="W851">
        <f>IF(A851="","",COUNTIF($A$5:$A$1004,"&lt;"&amp;A851)+COUNTIF($A$5:A851,A851))</f>
        <v/>
      </c>
      <c r="X851">
        <f>","&amp;SUBSTITUTE(SUBSTITUTE(SUBSTITUTE(UPPER(C851)," ",""),";",","),"/",",")&amp;","</f>
        <v/>
      </c>
      <c r="Y851">
        <f>IF(AND(A851&lt;&gt;"",B851="Active",'State Search'!$C$5&lt;&gt;"",OR(X851=",ALL,",ISNUMBER(SEARCH(","&amp;'State Search'!$C$5&amp;",",X851)))),W851,"")</f>
        <v/>
      </c>
    </row>
    <row r="852">
      <c r="A852" s="64" t="n"/>
      <c r="B852" s="65" t="n"/>
      <c r="C852" s="64" t="n"/>
      <c r="D852" s="66" t="n"/>
      <c r="E852" s="66" t="n"/>
      <c r="F852" s="67" t="n"/>
      <c r="G852" s="67" t="n"/>
      <c r="H852" s="67" t="n"/>
      <c r="I852" s="67" t="n"/>
      <c r="J852" s="67" t="n"/>
      <c r="K852" s="67" t="n"/>
      <c r="L852" s="67" t="n"/>
      <c r="M852" s="67" t="n"/>
      <c r="N852" s="65" t="n"/>
      <c r="O852" s="84">
        <f>IF(A852="","",IF(E852="","No date",IF(TODAY()&gt;=EDATE(E852,Review_Months),"Review Due","Current")))</f>
        <v/>
      </c>
      <c r="P852" s="84">
        <f>IF(A852="","",IF(COUNTIFS('AFA Rates'!$A$5:$A$1004,A852,'AFA Rates'!$O$5:$O$1004,"&lt;&gt;Expired")&gt;0,"Yes",IF(COUNTIF('AFA Rates'!$A$5:$A$1004,A852)&gt;0,"Expired only","No")))</f>
        <v/>
      </c>
      <c r="Q852" s="84">
        <f>IF(A852="","",COUNTIFS('AFA Rates'!$A$5:$A$1004,A852,'AFA Rates'!$O$5:$O$1004,"&lt;&gt;Expired"))</f>
        <v/>
      </c>
      <c r="R852" s="66" t="n"/>
      <c r="S852" s="64" t="n"/>
      <c r="T852" s="64" t="n"/>
      <c r="U852">
        <f>IF(AND(A852&lt;&gt;"",B852="Paused"),COUNTIFS($A$5:A852,"&lt;&gt;",$B$5:B852,"Paused"),"")</f>
        <v/>
      </c>
      <c r="V852">
        <f>IF(P852="Yes",COUNTIF($P$5:P852,"Yes"),"")</f>
        <v/>
      </c>
      <c r="W852">
        <f>IF(A852="","",COUNTIF($A$5:$A$1004,"&lt;"&amp;A852)+COUNTIF($A$5:A852,A852))</f>
        <v/>
      </c>
      <c r="X852">
        <f>","&amp;SUBSTITUTE(SUBSTITUTE(SUBSTITUTE(UPPER(C852)," ",""),";",","),"/",",")&amp;","</f>
        <v/>
      </c>
      <c r="Y852">
        <f>IF(AND(A852&lt;&gt;"",B852="Active",'State Search'!$C$5&lt;&gt;"",OR(X852=",ALL,",ISNUMBER(SEARCH(","&amp;'State Search'!$C$5&amp;",",X852)))),W852,"")</f>
        <v/>
      </c>
    </row>
    <row r="853">
      <c r="A853" s="64" t="n"/>
      <c r="B853" s="65" t="n"/>
      <c r="C853" s="64" t="n"/>
      <c r="D853" s="66" t="n"/>
      <c r="E853" s="66" t="n"/>
      <c r="F853" s="67" t="n"/>
      <c r="G853" s="67" t="n"/>
      <c r="H853" s="67" t="n"/>
      <c r="I853" s="67" t="n"/>
      <c r="J853" s="67" t="n"/>
      <c r="K853" s="67" t="n"/>
      <c r="L853" s="67" t="n"/>
      <c r="M853" s="67" t="n"/>
      <c r="N853" s="65" t="n"/>
      <c r="O853" s="84">
        <f>IF(A853="","",IF(E853="","No date",IF(TODAY()&gt;=EDATE(E853,Review_Months),"Review Due","Current")))</f>
        <v/>
      </c>
      <c r="P853" s="84">
        <f>IF(A853="","",IF(COUNTIFS('AFA Rates'!$A$5:$A$1004,A853,'AFA Rates'!$O$5:$O$1004,"&lt;&gt;Expired")&gt;0,"Yes",IF(COUNTIF('AFA Rates'!$A$5:$A$1004,A853)&gt;0,"Expired only","No")))</f>
        <v/>
      </c>
      <c r="Q853" s="84">
        <f>IF(A853="","",COUNTIFS('AFA Rates'!$A$5:$A$1004,A853,'AFA Rates'!$O$5:$O$1004,"&lt;&gt;Expired"))</f>
        <v/>
      </c>
      <c r="R853" s="66" t="n"/>
      <c r="S853" s="64" t="n"/>
      <c r="T853" s="64" t="n"/>
      <c r="U853">
        <f>IF(AND(A853&lt;&gt;"",B853="Paused"),COUNTIFS($A$5:A853,"&lt;&gt;",$B$5:B853,"Paused"),"")</f>
        <v/>
      </c>
      <c r="V853">
        <f>IF(P853="Yes",COUNTIF($P$5:P853,"Yes"),"")</f>
        <v/>
      </c>
      <c r="W853">
        <f>IF(A853="","",COUNTIF($A$5:$A$1004,"&lt;"&amp;A853)+COUNTIF($A$5:A853,A853))</f>
        <v/>
      </c>
      <c r="X853">
        <f>","&amp;SUBSTITUTE(SUBSTITUTE(SUBSTITUTE(UPPER(C853)," ",""),";",","),"/",",")&amp;","</f>
        <v/>
      </c>
      <c r="Y853">
        <f>IF(AND(A853&lt;&gt;"",B853="Active",'State Search'!$C$5&lt;&gt;"",OR(X853=",ALL,",ISNUMBER(SEARCH(","&amp;'State Search'!$C$5&amp;",",X853)))),W853,"")</f>
        <v/>
      </c>
    </row>
    <row r="854">
      <c r="A854" s="64" t="n"/>
      <c r="B854" s="65" t="n"/>
      <c r="C854" s="64" t="n"/>
      <c r="D854" s="66" t="n"/>
      <c r="E854" s="66" t="n"/>
      <c r="F854" s="67" t="n"/>
      <c r="G854" s="67" t="n"/>
      <c r="H854" s="67" t="n"/>
      <c r="I854" s="67" t="n"/>
      <c r="J854" s="67" t="n"/>
      <c r="K854" s="67" t="n"/>
      <c r="L854" s="67" t="n"/>
      <c r="M854" s="67" t="n"/>
      <c r="N854" s="65" t="n"/>
      <c r="O854" s="84">
        <f>IF(A854="","",IF(E854="","No date",IF(TODAY()&gt;=EDATE(E854,Review_Months),"Review Due","Current")))</f>
        <v/>
      </c>
      <c r="P854" s="84">
        <f>IF(A854="","",IF(COUNTIFS('AFA Rates'!$A$5:$A$1004,A854,'AFA Rates'!$O$5:$O$1004,"&lt;&gt;Expired")&gt;0,"Yes",IF(COUNTIF('AFA Rates'!$A$5:$A$1004,A854)&gt;0,"Expired only","No")))</f>
        <v/>
      </c>
      <c r="Q854" s="84">
        <f>IF(A854="","",COUNTIFS('AFA Rates'!$A$5:$A$1004,A854,'AFA Rates'!$O$5:$O$1004,"&lt;&gt;Expired"))</f>
        <v/>
      </c>
      <c r="R854" s="66" t="n"/>
      <c r="S854" s="64" t="n"/>
      <c r="T854" s="64" t="n"/>
      <c r="U854">
        <f>IF(AND(A854&lt;&gt;"",B854="Paused"),COUNTIFS($A$5:A854,"&lt;&gt;",$B$5:B854,"Paused"),"")</f>
        <v/>
      </c>
      <c r="V854">
        <f>IF(P854="Yes",COUNTIF($P$5:P854,"Yes"),"")</f>
        <v/>
      </c>
      <c r="W854">
        <f>IF(A854="","",COUNTIF($A$5:$A$1004,"&lt;"&amp;A854)+COUNTIF($A$5:A854,A854))</f>
        <v/>
      </c>
      <c r="X854">
        <f>","&amp;SUBSTITUTE(SUBSTITUTE(SUBSTITUTE(UPPER(C854)," ",""),";",","),"/",",")&amp;","</f>
        <v/>
      </c>
      <c r="Y854">
        <f>IF(AND(A854&lt;&gt;"",B854="Active",'State Search'!$C$5&lt;&gt;"",OR(X854=",ALL,",ISNUMBER(SEARCH(","&amp;'State Search'!$C$5&amp;",",X854)))),W854,"")</f>
        <v/>
      </c>
    </row>
    <row r="855">
      <c r="A855" s="64" t="n"/>
      <c r="B855" s="65" t="n"/>
      <c r="C855" s="64" t="n"/>
      <c r="D855" s="66" t="n"/>
      <c r="E855" s="66" t="n"/>
      <c r="F855" s="67" t="n"/>
      <c r="G855" s="67" t="n"/>
      <c r="H855" s="67" t="n"/>
      <c r="I855" s="67" t="n"/>
      <c r="J855" s="67" t="n"/>
      <c r="K855" s="67" t="n"/>
      <c r="L855" s="67" t="n"/>
      <c r="M855" s="67" t="n"/>
      <c r="N855" s="65" t="n"/>
      <c r="O855" s="84">
        <f>IF(A855="","",IF(E855="","No date",IF(TODAY()&gt;=EDATE(E855,Review_Months),"Review Due","Current")))</f>
        <v/>
      </c>
      <c r="P855" s="84">
        <f>IF(A855="","",IF(COUNTIFS('AFA Rates'!$A$5:$A$1004,A855,'AFA Rates'!$O$5:$O$1004,"&lt;&gt;Expired")&gt;0,"Yes",IF(COUNTIF('AFA Rates'!$A$5:$A$1004,A855)&gt;0,"Expired only","No")))</f>
        <v/>
      </c>
      <c r="Q855" s="84">
        <f>IF(A855="","",COUNTIFS('AFA Rates'!$A$5:$A$1004,A855,'AFA Rates'!$O$5:$O$1004,"&lt;&gt;Expired"))</f>
        <v/>
      </c>
      <c r="R855" s="66" t="n"/>
      <c r="S855" s="64" t="n"/>
      <c r="T855" s="64" t="n"/>
      <c r="U855">
        <f>IF(AND(A855&lt;&gt;"",B855="Paused"),COUNTIFS($A$5:A855,"&lt;&gt;",$B$5:B855,"Paused"),"")</f>
        <v/>
      </c>
      <c r="V855">
        <f>IF(P855="Yes",COUNTIF($P$5:P855,"Yes"),"")</f>
        <v/>
      </c>
      <c r="W855">
        <f>IF(A855="","",COUNTIF($A$5:$A$1004,"&lt;"&amp;A855)+COUNTIF($A$5:A855,A855))</f>
        <v/>
      </c>
      <c r="X855">
        <f>","&amp;SUBSTITUTE(SUBSTITUTE(SUBSTITUTE(UPPER(C855)," ",""),";",","),"/",",")&amp;","</f>
        <v/>
      </c>
      <c r="Y855">
        <f>IF(AND(A855&lt;&gt;"",B855="Active",'State Search'!$C$5&lt;&gt;"",OR(X855=",ALL,",ISNUMBER(SEARCH(","&amp;'State Search'!$C$5&amp;",",X855)))),W855,"")</f>
        <v/>
      </c>
    </row>
    <row r="856">
      <c r="A856" s="64" t="n"/>
      <c r="B856" s="65" t="n"/>
      <c r="C856" s="64" t="n"/>
      <c r="D856" s="66" t="n"/>
      <c r="E856" s="66" t="n"/>
      <c r="F856" s="67" t="n"/>
      <c r="G856" s="67" t="n"/>
      <c r="H856" s="67" t="n"/>
      <c r="I856" s="67" t="n"/>
      <c r="J856" s="67" t="n"/>
      <c r="K856" s="67" t="n"/>
      <c r="L856" s="67" t="n"/>
      <c r="M856" s="67" t="n"/>
      <c r="N856" s="65" t="n"/>
      <c r="O856" s="84">
        <f>IF(A856="","",IF(E856="","No date",IF(TODAY()&gt;=EDATE(E856,Review_Months),"Review Due","Current")))</f>
        <v/>
      </c>
      <c r="P856" s="84">
        <f>IF(A856="","",IF(COUNTIFS('AFA Rates'!$A$5:$A$1004,A856,'AFA Rates'!$O$5:$O$1004,"&lt;&gt;Expired")&gt;0,"Yes",IF(COUNTIF('AFA Rates'!$A$5:$A$1004,A856)&gt;0,"Expired only","No")))</f>
        <v/>
      </c>
      <c r="Q856" s="84">
        <f>IF(A856="","",COUNTIFS('AFA Rates'!$A$5:$A$1004,A856,'AFA Rates'!$O$5:$O$1004,"&lt;&gt;Expired"))</f>
        <v/>
      </c>
      <c r="R856" s="66" t="n"/>
      <c r="S856" s="64" t="n"/>
      <c r="T856" s="64" t="n"/>
      <c r="U856">
        <f>IF(AND(A856&lt;&gt;"",B856="Paused"),COUNTIFS($A$5:A856,"&lt;&gt;",$B$5:B856,"Paused"),"")</f>
        <v/>
      </c>
      <c r="V856">
        <f>IF(P856="Yes",COUNTIF($P$5:P856,"Yes"),"")</f>
        <v/>
      </c>
      <c r="W856">
        <f>IF(A856="","",COUNTIF($A$5:$A$1004,"&lt;"&amp;A856)+COUNTIF($A$5:A856,A856))</f>
        <v/>
      </c>
      <c r="X856">
        <f>","&amp;SUBSTITUTE(SUBSTITUTE(SUBSTITUTE(UPPER(C856)," ",""),";",","),"/",",")&amp;","</f>
        <v/>
      </c>
      <c r="Y856">
        <f>IF(AND(A856&lt;&gt;"",B856="Active",'State Search'!$C$5&lt;&gt;"",OR(X856=",ALL,",ISNUMBER(SEARCH(","&amp;'State Search'!$C$5&amp;",",X856)))),W856,"")</f>
        <v/>
      </c>
    </row>
    <row r="857">
      <c r="A857" s="64" t="n"/>
      <c r="B857" s="65" t="n"/>
      <c r="C857" s="64" t="n"/>
      <c r="D857" s="66" t="n"/>
      <c r="E857" s="66" t="n"/>
      <c r="F857" s="67" t="n"/>
      <c r="G857" s="67" t="n"/>
      <c r="H857" s="67" t="n"/>
      <c r="I857" s="67" t="n"/>
      <c r="J857" s="67" t="n"/>
      <c r="K857" s="67" t="n"/>
      <c r="L857" s="67" t="n"/>
      <c r="M857" s="67" t="n"/>
      <c r="N857" s="65" t="n"/>
      <c r="O857" s="84">
        <f>IF(A857="","",IF(E857="","No date",IF(TODAY()&gt;=EDATE(E857,Review_Months),"Review Due","Current")))</f>
        <v/>
      </c>
      <c r="P857" s="84">
        <f>IF(A857="","",IF(COUNTIFS('AFA Rates'!$A$5:$A$1004,A857,'AFA Rates'!$O$5:$O$1004,"&lt;&gt;Expired")&gt;0,"Yes",IF(COUNTIF('AFA Rates'!$A$5:$A$1004,A857)&gt;0,"Expired only","No")))</f>
        <v/>
      </c>
      <c r="Q857" s="84">
        <f>IF(A857="","",COUNTIFS('AFA Rates'!$A$5:$A$1004,A857,'AFA Rates'!$O$5:$O$1004,"&lt;&gt;Expired"))</f>
        <v/>
      </c>
      <c r="R857" s="66" t="n"/>
      <c r="S857" s="64" t="n"/>
      <c r="T857" s="64" t="n"/>
      <c r="U857">
        <f>IF(AND(A857&lt;&gt;"",B857="Paused"),COUNTIFS($A$5:A857,"&lt;&gt;",$B$5:B857,"Paused"),"")</f>
        <v/>
      </c>
      <c r="V857">
        <f>IF(P857="Yes",COUNTIF($P$5:P857,"Yes"),"")</f>
        <v/>
      </c>
      <c r="W857">
        <f>IF(A857="","",COUNTIF($A$5:$A$1004,"&lt;"&amp;A857)+COUNTIF($A$5:A857,A857))</f>
        <v/>
      </c>
      <c r="X857">
        <f>","&amp;SUBSTITUTE(SUBSTITUTE(SUBSTITUTE(UPPER(C857)," ",""),";",","),"/",",")&amp;","</f>
        <v/>
      </c>
      <c r="Y857">
        <f>IF(AND(A857&lt;&gt;"",B857="Active",'State Search'!$C$5&lt;&gt;"",OR(X857=",ALL,",ISNUMBER(SEARCH(","&amp;'State Search'!$C$5&amp;",",X857)))),W857,"")</f>
        <v/>
      </c>
    </row>
    <row r="858">
      <c r="A858" s="64" t="n"/>
      <c r="B858" s="65" t="n"/>
      <c r="C858" s="64" t="n"/>
      <c r="D858" s="66" t="n"/>
      <c r="E858" s="66" t="n"/>
      <c r="F858" s="67" t="n"/>
      <c r="G858" s="67" t="n"/>
      <c r="H858" s="67" t="n"/>
      <c r="I858" s="67" t="n"/>
      <c r="J858" s="67" t="n"/>
      <c r="K858" s="67" t="n"/>
      <c r="L858" s="67" t="n"/>
      <c r="M858" s="67" t="n"/>
      <c r="N858" s="65" t="n"/>
      <c r="O858" s="84">
        <f>IF(A858="","",IF(E858="","No date",IF(TODAY()&gt;=EDATE(E858,Review_Months),"Review Due","Current")))</f>
        <v/>
      </c>
      <c r="P858" s="84">
        <f>IF(A858="","",IF(COUNTIFS('AFA Rates'!$A$5:$A$1004,A858,'AFA Rates'!$O$5:$O$1004,"&lt;&gt;Expired")&gt;0,"Yes",IF(COUNTIF('AFA Rates'!$A$5:$A$1004,A858)&gt;0,"Expired only","No")))</f>
        <v/>
      </c>
      <c r="Q858" s="84">
        <f>IF(A858="","",COUNTIFS('AFA Rates'!$A$5:$A$1004,A858,'AFA Rates'!$O$5:$O$1004,"&lt;&gt;Expired"))</f>
        <v/>
      </c>
      <c r="R858" s="66" t="n"/>
      <c r="S858" s="64" t="n"/>
      <c r="T858" s="64" t="n"/>
      <c r="U858">
        <f>IF(AND(A858&lt;&gt;"",B858="Paused"),COUNTIFS($A$5:A858,"&lt;&gt;",$B$5:B858,"Paused"),"")</f>
        <v/>
      </c>
      <c r="V858">
        <f>IF(P858="Yes",COUNTIF($P$5:P858,"Yes"),"")</f>
        <v/>
      </c>
      <c r="W858">
        <f>IF(A858="","",COUNTIF($A$5:$A$1004,"&lt;"&amp;A858)+COUNTIF($A$5:A858,A858))</f>
        <v/>
      </c>
      <c r="X858">
        <f>","&amp;SUBSTITUTE(SUBSTITUTE(SUBSTITUTE(UPPER(C858)," ",""),";",","),"/",",")&amp;","</f>
        <v/>
      </c>
      <c r="Y858">
        <f>IF(AND(A858&lt;&gt;"",B858="Active",'State Search'!$C$5&lt;&gt;"",OR(X858=",ALL,",ISNUMBER(SEARCH(","&amp;'State Search'!$C$5&amp;",",X858)))),W858,"")</f>
        <v/>
      </c>
    </row>
    <row r="859">
      <c r="A859" s="64" t="n"/>
      <c r="B859" s="65" t="n"/>
      <c r="C859" s="64" t="n"/>
      <c r="D859" s="66" t="n"/>
      <c r="E859" s="66" t="n"/>
      <c r="F859" s="67" t="n"/>
      <c r="G859" s="67" t="n"/>
      <c r="H859" s="67" t="n"/>
      <c r="I859" s="67" t="n"/>
      <c r="J859" s="67" t="n"/>
      <c r="K859" s="67" t="n"/>
      <c r="L859" s="67" t="n"/>
      <c r="M859" s="67" t="n"/>
      <c r="N859" s="65" t="n"/>
      <c r="O859" s="84">
        <f>IF(A859="","",IF(E859="","No date",IF(TODAY()&gt;=EDATE(E859,Review_Months),"Review Due","Current")))</f>
        <v/>
      </c>
      <c r="P859" s="84">
        <f>IF(A859="","",IF(COUNTIFS('AFA Rates'!$A$5:$A$1004,A859,'AFA Rates'!$O$5:$O$1004,"&lt;&gt;Expired")&gt;0,"Yes",IF(COUNTIF('AFA Rates'!$A$5:$A$1004,A859)&gt;0,"Expired only","No")))</f>
        <v/>
      </c>
      <c r="Q859" s="84">
        <f>IF(A859="","",COUNTIFS('AFA Rates'!$A$5:$A$1004,A859,'AFA Rates'!$O$5:$O$1004,"&lt;&gt;Expired"))</f>
        <v/>
      </c>
      <c r="R859" s="66" t="n"/>
      <c r="S859" s="64" t="n"/>
      <c r="T859" s="64" t="n"/>
      <c r="U859">
        <f>IF(AND(A859&lt;&gt;"",B859="Paused"),COUNTIFS($A$5:A859,"&lt;&gt;",$B$5:B859,"Paused"),"")</f>
        <v/>
      </c>
      <c r="V859">
        <f>IF(P859="Yes",COUNTIF($P$5:P859,"Yes"),"")</f>
        <v/>
      </c>
      <c r="W859">
        <f>IF(A859="","",COUNTIF($A$5:$A$1004,"&lt;"&amp;A859)+COUNTIF($A$5:A859,A859))</f>
        <v/>
      </c>
      <c r="X859">
        <f>","&amp;SUBSTITUTE(SUBSTITUTE(SUBSTITUTE(UPPER(C859)," ",""),";",","),"/",",")&amp;","</f>
        <v/>
      </c>
      <c r="Y859">
        <f>IF(AND(A859&lt;&gt;"",B859="Active",'State Search'!$C$5&lt;&gt;"",OR(X859=",ALL,",ISNUMBER(SEARCH(","&amp;'State Search'!$C$5&amp;",",X859)))),W859,"")</f>
        <v/>
      </c>
    </row>
    <row r="860">
      <c r="A860" s="64" t="n"/>
      <c r="B860" s="65" t="n"/>
      <c r="C860" s="64" t="n"/>
      <c r="D860" s="66" t="n"/>
      <c r="E860" s="66" t="n"/>
      <c r="F860" s="67" t="n"/>
      <c r="G860" s="67" t="n"/>
      <c r="H860" s="67" t="n"/>
      <c r="I860" s="67" t="n"/>
      <c r="J860" s="67" t="n"/>
      <c r="K860" s="67" t="n"/>
      <c r="L860" s="67" t="n"/>
      <c r="M860" s="67" t="n"/>
      <c r="N860" s="65" t="n"/>
      <c r="O860" s="84">
        <f>IF(A860="","",IF(E860="","No date",IF(TODAY()&gt;=EDATE(E860,Review_Months),"Review Due","Current")))</f>
        <v/>
      </c>
      <c r="P860" s="84">
        <f>IF(A860="","",IF(COUNTIFS('AFA Rates'!$A$5:$A$1004,A860,'AFA Rates'!$O$5:$O$1004,"&lt;&gt;Expired")&gt;0,"Yes",IF(COUNTIF('AFA Rates'!$A$5:$A$1004,A860)&gt;0,"Expired only","No")))</f>
        <v/>
      </c>
      <c r="Q860" s="84">
        <f>IF(A860="","",COUNTIFS('AFA Rates'!$A$5:$A$1004,A860,'AFA Rates'!$O$5:$O$1004,"&lt;&gt;Expired"))</f>
        <v/>
      </c>
      <c r="R860" s="66" t="n"/>
      <c r="S860" s="64" t="n"/>
      <c r="T860" s="64" t="n"/>
      <c r="U860">
        <f>IF(AND(A860&lt;&gt;"",B860="Paused"),COUNTIFS($A$5:A860,"&lt;&gt;",$B$5:B860,"Paused"),"")</f>
        <v/>
      </c>
      <c r="V860">
        <f>IF(P860="Yes",COUNTIF($P$5:P860,"Yes"),"")</f>
        <v/>
      </c>
      <c r="W860">
        <f>IF(A860="","",COUNTIF($A$5:$A$1004,"&lt;"&amp;A860)+COUNTIF($A$5:A860,A860))</f>
        <v/>
      </c>
      <c r="X860">
        <f>","&amp;SUBSTITUTE(SUBSTITUTE(SUBSTITUTE(UPPER(C860)," ",""),";",","),"/",",")&amp;","</f>
        <v/>
      </c>
      <c r="Y860">
        <f>IF(AND(A860&lt;&gt;"",B860="Active",'State Search'!$C$5&lt;&gt;"",OR(X860=",ALL,",ISNUMBER(SEARCH(","&amp;'State Search'!$C$5&amp;",",X860)))),W860,"")</f>
        <v/>
      </c>
    </row>
    <row r="861">
      <c r="A861" s="64" t="n"/>
      <c r="B861" s="65" t="n"/>
      <c r="C861" s="64" t="n"/>
      <c r="D861" s="66" t="n"/>
      <c r="E861" s="66" t="n"/>
      <c r="F861" s="67" t="n"/>
      <c r="G861" s="67" t="n"/>
      <c r="H861" s="67" t="n"/>
      <c r="I861" s="67" t="n"/>
      <c r="J861" s="67" t="n"/>
      <c r="K861" s="67" t="n"/>
      <c r="L861" s="67" t="n"/>
      <c r="M861" s="67" t="n"/>
      <c r="N861" s="65" t="n"/>
      <c r="O861" s="84">
        <f>IF(A861="","",IF(E861="","No date",IF(TODAY()&gt;=EDATE(E861,Review_Months),"Review Due","Current")))</f>
        <v/>
      </c>
      <c r="P861" s="84">
        <f>IF(A861="","",IF(COUNTIFS('AFA Rates'!$A$5:$A$1004,A861,'AFA Rates'!$O$5:$O$1004,"&lt;&gt;Expired")&gt;0,"Yes",IF(COUNTIF('AFA Rates'!$A$5:$A$1004,A861)&gt;0,"Expired only","No")))</f>
        <v/>
      </c>
      <c r="Q861" s="84">
        <f>IF(A861="","",COUNTIFS('AFA Rates'!$A$5:$A$1004,A861,'AFA Rates'!$O$5:$O$1004,"&lt;&gt;Expired"))</f>
        <v/>
      </c>
      <c r="R861" s="66" t="n"/>
      <c r="S861" s="64" t="n"/>
      <c r="T861" s="64" t="n"/>
      <c r="U861">
        <f>IF(AND(A861&lt;&gt;"",B861="Paused"),COUNTIFS($A$5:A861,"&lt;&gt;",$B$5:B861,"Paused"),"")</f>
        <v/>
      </c>
      <c r="V861">
        <f>IF(P861="Yes",COUNTIF($P$5:P861,"Yes"),"")</f>
        <v/>
      </c>
      <c r="W861">
        <f>IF(A861="","",COUNTIF($A$5:$A$1004,"&lt;"&amp;A861)+COUNTIF($A$5:A861,A861))</f>
        <v/>
      </c>
      <c r="X861">
        <f>","&amp;SUBSTITUTE(SUBSTITUTE(SUBSTITUTE(UPPER(C861)," ",""),";",","),"/",",")&amp;","</f>
        <v/>
      </c>
      <c r="Y861">
        <f>IF(AND(A861&lt;&gt;"",B861="Active",'State Search'!$C$5&lt;&gt;"",OR(X861=",ALL,",ISNUMBER(SEARCH(","&amp;'State Search'!$C$5&amp;",",X861)))),W861,"")</f>
        <v/>
      </c>
    </row>
    <row r="862">
      <c r="A862" s="64" t="n"/>
      <c r="B862" s="65" t="n"/>
      <c r="C862" s="64" t="n"/>
      <c r="D862" s="66" t="n"/>
      <c r="E862" s="66" t="n"/>
      <c r="F862" s="67" t="n"/>
      <c r="G862" s="67" t="n"/>
      <c r="H862" s="67" t="n"/>
      <c r="I862" s="67" t="n"/>
      <c r="J862" s="67" t="n"/>
      <c r="K862" s="67" t="n"/>
      <c r="L862" s="67" t="n"/>
      <c r="M862" s="67" t="n"/>
      <c r="N862" s="65" t="n"/>
      <c r="O862" s="84">
        <f>IF(A862="","",IF(E862="","No date",IF(TODAY()&gt;=EDATE(E862,Review_Months),"Review Due","Current")))</f>
        <v/>
      </c>
      <c r="P862" s="84">
        <f>IF(A862="","",IF(COUNTIFS('AFA Rates'!$A$5:$A$1004,A862,'AFA Rates'!$O$5:$O$1004,"&lt;&gt;Expired")&gt;0,"Yes",IF(COUNTIF('AFA Rates'!$A$5:$A$1004,A862)&gt;0,"Expired only","No")))</f>
        <v/>
      </c>
      <c r="Q862" s="84">
        <f>IF(A862="","",COUNTIFS('AFA Rates'!$A$5:$A$1004,A862,'AFA Rates'!$O$5:$O$1004,"&lt;&gt;Expired"))</f>
        <v/>
      </c>
      <c r="R862" s="66" t="n"/>
      <c r="S862" s="64" t="n"/>
      <c r="T862" s="64" t="n"/>
      <c r="U862">
        <f>IF(AND(A862&lt;&gt;"",B862="Paused"),COUNTIFS($A$5:A862,"&lt;&gt;",$B$5:B862,"Paused"),"")</f>
        <v/>
      </c>
      <c r="V862">
        <f>IF(P862="Yes",COUNTIF($P$5:P862,"Yes"),"")</f>
        <v/>
      </c>
      <c r="W862">
        <f>IF(A862="","",COUNTIF($A$5:$A$1004,"&lt;"&amp;A862)+COUNTIF($A$5:A862,A862))</f>
        <v/>
      </c>
      <c r="X862">
        <f>","&amp;SUBSTITUTE(SUBSTITUTE(SUBSTITUTE(UPPER(C862)," ",""),";",","),"/",",")&amp;","</f>
        <v/>
      </c>
      <c r="Y862">
        <f>IF(AND(A862&lt;&gt;"",B862="Active",'State Search'!$C$5&lt;&gt;"",OR(X862=",ALL,",ISNUMBER(SEARCH(","&amp;'State Search'!$C$5&amp;",",X862)))),W862,"")</f>
        <v/>
      </c>
    </row>
    <row r="863">
      <c r="A863" s="64" t="n"/>
      <c r="B863" s="65" t="n"/>
      <c r="C863" s="64" t="n"/>
      <c r="D863" s="66" t="n"/>
      <c r="E863" s="66" t="n"/>
      <c r="F863" s="67" t="n"/>
      <c r="G863" s="67" t="n"/>
      <c r="H863" s="67" t="n"/>
      <c r="I863" s="67" t="n"/>
      <c r="J863" s="67" t="n"/>
      <c r="K863" s="67" t="n"/>
      <c r="L863" s="67" t="n"/>
      <c r="M863" s="67" t="n"/>
      <c r="N863" s="65" t="n"/>
      <c r="O863" s="84">
        <f>IF(A863="","",IF(E863="","No date",IF(TODAY()&gt;=EDATE(E863,Review_Months),"Review Due","Current")))</f>
        <v/>
      </c>
      <c r="P863" s="84">
        <f>IF(A863="","",IF(COUNTIFS('AFA Rates'!$A$5:$A$1004,A863,'AFA Rates'!$O$5:$O$1004,"&lt;&gt;Expired")&gt;0,"Yes",IF(COUNTIF('AFA Rates'!$A$5:$A$1004,A863)&gt;0,"Expired only","No")))</f>
        <v/>
      </c>
      <c r="Q863" s="84">
        <f>IF(A863="","",COUNTIFS('AFA Rates'!$A$5:$A$1004,A863,'AFA Rates'!$O$5:$O$1004,"&lt;&gt;Expired"))</f>
        <v/>
      </c>
      <c r="R863" s="66" t="n"/>
      <c r="S863" s="64" t="n"/>
      <c r="T863" s="64" t="n"/>
      <c r="U863">
        <f>IF(AND(A863&lt;&gt;"",B863="Paused"),COUNTIFS($A$5:A863,"&lt;&gt;",$B$5:B863,"Paused"),"")</f>
        <v/>
      </c>
      <c r="V863">
        <f>IF(P863="Yes",COUNTIF($P$5:P863,"Yes"),"")</f>
        <v/>
      </c>
      <c r="W863">
        <f>IF(A863="","",COUNTIF($A$5:$A$1004,"&lt;"&amp;A863)+COUNTIF($A$5:A863,A863))</f>
        <v/>
      </c>
      <c r="X863">
        <f>","&amp;SUBSTITUTE(SUBSTITUTE(SUBSTITUTE(UPPER(C863)," ",""),";",","),"/",",")&amp;","</f>
        <v/>
      </c>
      <c r="Y863">
        <f>IF(AND(A863&lt;&gt;"",B863="Active",'State Search'!$C$5&lt;&gt;"",OR(X863=",ALL,",ISNUMBER(SEARCH(","&amp;'State Search'!$C$5&amp;",",X863)))),W863,"")</f>
        <v/>
      </c>
    </row>
    <row r="864">
      <c r="A864" s="64" t="n"/>
      <c r="B864" s="65" t="n"/>
      <c r="C864" s="64" t="n"/>
      <c r="D864" s="66" t="n"/>
      <c r="E864" s="66" t="n"/>
      <c r="F864" s="67" t="n"/>
      <c r="G864" s="67" t="n"/>
      <c r="H864" s="67" t="n"/>
      <c r="I864" s="67" t="n"/>
      <c r="J864" s="67" t="n"/>
      <c r="K864" s="67" t="n"/>
      <c r="L864" s="67" t="n"/>
      <c r="M864" s="67" t="n"/>
      <c r="N864" s="65" t="n"/>
      <c r="O864" s="84">
        <f>IF(A864="","",IF(E864="","No date",IF(TODAY()&gt;=EDATE(E864,Review_Months),"Review Due","Current")))</f>
        <v/>
      </c>
      <c r="P864" s="84">
        <f>IF(A864="","",IF(COUNTIFS('AFA Rates'!$A$5:$A$1004,A864,'AFA Rates'!$O$5:$O$1004,"&lt;&gt;Expired")&gt;0,"Yes",IF(COUNTIF('AFA Rates'!$A$5:$A$1004,A864)&gt;0,"Expired only","No")))</f>
        <v/>
      </c>
      <c r="Q864" s="84">
        <f>IF(A864="","",COUNTIFS('AFA Rates'!$A$5:$A$1004,A864,'AFA Rates'!$O$5:$O$1004,"&lt;&gt;Expired"))</f>
        <v/>
      </c>
      <c r="R864" s="66" t="n"/>
      <c r="S864" s="64" t="n"/>
      <c r="T864" s="64" t="n"/>
      <c r="U864">
        <f>IF(AND(A864&lt;&gt;"",B864="Paused"),COUNTIFS($A$5:A864,"&lt;&gt;",$B$5:B864,"Paused"),"")</f>
        <v/>
      </c>
      <c r="V864">
        <f>IF(P864="Yes",COUNTIF($P$5:P864,"Yes"),"")</f>
        <v/>
      </c>
      <c r="W864">
        <f>IF(A864="","",COUNTIF($A$5:$A$1004,"&lt;"&amp;A864)+COUNTIF($A$5:A864,A864))</f>
        <v/>
      </c>
      <c r="X864">
        <f>","&amp;SUBSTITUTE(SUBSTITUTE(SUBSTITUTE(UPPER(C864)," ",""),";",","),"/",",")&amp;","</f>
        <v/>
      </c>
      <c r="Y864">
        <f>IF(AND(A864&lt;&gt;"",B864="Active",'State Search'!$C$5&lt;&gt;"",OR(X864=",ALL,",ISNUMBER(SEARCH(","&amp;'State Search'!$C$5&amp;",",X864)))),W864,"")</f>
        <v/>
      </c>
    </row>
    <row r="865">
      <c r="A865" s="64" t="n"/>
      <c r="B865" s="65" t="n"/>
      <c r="C865" s="64" t="n"/>
      <c r="D865" s="66" t="n"/>
      <c r="E865" s="66" t="n"/>
      <c r="F865" s="67" t="n"/>
      <c r="G865" s="67" t="n"/>
      <c r="H865" s="67" t="n"/>
      <c r="I865" s="67" t="n"/>
      <c r="J865" s="67" t="n"/>
      <c r="K865" s="67" t="n"/>
      <c r="L865" s="67" t="n"/>
      <c r="M865" s="67" t="n"/>
      <c r="N865" s="65" t="n"/>
      <c r="O865" s="84">
        <f>IF(A865="","",IF(E865="","No date",IF(TODAY()&gt;=EDATE(E865,Review_Months),"Review Due","Current")))</f>
        <v/>
      </c>
      <c r="P865" s="84">
        <f>IF(A865="","",IF(COUNTIFS('AFA Rates'!$A$5:$A$1004,A865,'AFA Rates'!$O$5:$O$1004,"&lt;&gt;Expired")&gt;0,"Yes",IF(COUNTIF('AFA Rates'!$A$5:$A$1004,A865)&gt;0,"Expired only","No")))</f>
        <v/>
      </c>
      <c r="Q865" s="84">
        <f>IF(A865="","",COUNTIFS('AFA Rates'!$A$5:$A$1004,A865,'AFA Rates'!$O$5:$O$1004,"&lt;&gt;Expired"))</f>
        <v/>
      </c>
      <c r="R865" s="66" t="n"/>
      <c r="S865" s="64" t="n"/>
      <c r="T865" s="64" t="n"/>
      <c r="U865">
        <f>IF(AND(A865&lt;&gt;"",B865="Paused"),COUNTIFS($A$5:A865,"&lt;&gt;",$B$5:B865,"Paused"),"")</f>
        <v/>
      </c>
      <c r="V865">
        <f>IF(P865="Yes",COUNTIF($P$5:P865,"Yes"),"")</f>
        <v/>
      </c>
      <c r="W865">
        <f>IF(A865="","",COUNTIF($A$5:$A$1004,"&lt;"&amp;A865)+COUNTIF($A$5:A865,A865))</f>
        <v/>
      </c>
      <c r="X865">
        <f>","&amp;SUBSTITUTE(SUBSTITUTE(SUBSTITUTE(UPPER(C865)," ",""),";",","),"/",",")&amp;","</f>
        <v/>
      </c>
      <c r="Y865">
        <f>IF(AND(A865&lt;&gt;"",B865="Active",'State Search'!$C$5&lt;&gt;"",OR(X865=",ALL,",ISNUMBER(SEARCH(","&amp;'State Search'!$C$5&amp;",",X865)))),W865,"")</f>
        <v/>
      </c>
    </row>
    <row r="866">
      <c r="A866" s="64" t="n"/>
      <c r="B866" s="65" t="n"/>
      <c r="C866" s="64" t="n"/>
      <c r="D866" s="66" t="n"/>
      <c r="E866" s="66" t="n"/>
      <c r="F866" s="67" t="n"/>
      <c r="G866" s="67" t="n"/>
      <c r="H866" s="67" t="n"/>
      <c r="I866" s="67" t="n"/>
      <c r="J866" s="67" t="n"/>
      <c r="K866" s="67" t="n"/>
      <c r="L866" s="67" t="n"/>
      <c r="M866" s="67" t="n"/>
      <c r="N866" s="65" t="n"/>
      <c r="O866" s="84">
        <f>IF(A866="","",IF(E866="","No date",IF(TODAY()&gt;=EDATE(E866,Review_Months),"Review Due","Current")))</f>
        <v/>
      </c>
      <c r="P866" s="84">
        <f>IF(A866="","",IF(COUNTIFS('AFA Rates'!$A$5:$A$1004,A866,'AFA Rates'!$O$5:$O$1004,"&lt;&gt;Expired")&gt;0,"Yes",IF(COUNTIF('AFA Rates'!$A$5:$A$1004,A866)&gt;0,"Expired only","No")))</f>
        <v/>
      </c>
      <c r="Q866" s="84">
        <f>IF(A866="","",COUNTIFS('AFA Rates'!$A$5:$A$1004,A866,'AFA Rates'!$O$5:$O$1004,"&lt;&gt;Expired"))</f>
        <v/>
      </c>
      <c r="R866" s="66" t="n"/>
      <c r="S866" s="64" t="n"/>
      <c r="T866" s="64" t="n"/>
      <c r="U866">
        <f>IF(AND(A866&lt;&gt;"",B866="Paused"),COUNTIFS($A$5:A866,"&lt;&gt;",$B$5:B866,"Paused"),"")</f>
        <v/>
      </c>
      <c r="V866">
        <f>IF(P866="Yes",COUNTIF($P$5:P866,"Yes"),"")</f>
        <v/>
      </c>
      <c r="W866">
        <f>IF(A866="","",COUNTIF($A$5:$A$1004,"&lt;"&amp;A866)+COUNTIF($A$5:A866,A866))</f>
        <v/>
      </c>
      <c r="X866">
        <f>","&amp;SUBSTITUTE(SUBSTITUTE(SUBSTITUTE(UPPER(C866)," ",""),";",","),"/",",")&amp;","</f>
        <v/>
      </c>
      <c r="Y866">
        <f>IF(AND(A866&lt;&gt;"",B866="Active",'State Search'!$C$5&lt;&gt;"",OR(X866=",ALL,",ISNUMBER(SEARCH(","&amp;'State Search'!$C$5&amp;",",X866)))),W866,"")</f>
        <v/>
      </c>
    </row>
    <row r="867">
      <c r="A867" s="64" t="n"/>
      <c r="B867" s="65" t="n"/>
      <c r="C867" s="64" t="n"/>
      <c r="D867" s="66" t="n"/>
      <c r="E867" s="66" t="n"/>
      <c r="F867" s="67" t="n"/>
      <c r="G867" s="67" t="n"/>
      <c r="H867" s="67" t="n"/>
      <c r="I867" s="67" t="n"/>
      <c r="J867" s="67" t="n"/>
      <c r="K867" s="67" t="n"/>
      <c r="L867" s="67" t="n"/>
      <c r="M867" s="67" t="n"/>
      <c r="N867" s="65" t="n"/>
      <c r="O867" s="84">
        <f>IF(A867="","",IF(E867="","No date",IF(TODAY()&gt;=EDATE(E867,Review_Months),"Review Due","Current")))</f>
        <v/>
      </c>
      <c r="P867" s="84">
        <f>IF(A867="","",IF(COUNTIFS('AFA Rates'!$A$5:$A$1004,A867,'AFA Rates'!$O$5:$O$1004,"&lt;&gt;Expired")&gt;0,"Yes",IF(COUNTIF('AFA Rates'!$A$5:$A$1004,A867)&gt;0,"Expired only","No")))</f>
        <v/>
      </c>
      <c r="Q867" s="84">
        <f>IF(A867="","",COUNTIFS('AFA Rates'!$A$5:$A$1004,A867,'AFA Rates'!$O$5:$O$1004,"&lt;&gt;Expired"))</f>
        <v/>
      </c>
      <c r="R867" s="66" t="n"/>
      <c r="S867" s="64" t="n"/>
      <c r="T867" s="64" t="n"/>
      <c r="U867">
        <f>IF(AND(A867&lt;&gt;"",B867="Paused"),COUNTIFS($A$5:A867,"&lt;&gt;",$B$5:B867,"Paused"),"")</f>
        <v/>
      </c>
      <c r="V867">
        <f>IF(P867="Yes",COUNTIF($P$5:P867,"Yes"),"")</f>
        <v/>
      </c>
      <c r="W867">
        <f>IF(A867="","",COUNTIF($A$5:$A$1004,"&lt;"&amp;A867)+COUNTIF($A$5:A867,A867))</f>
        <v/>
      </c>
      <c r="X867">
        <f>","&amp;SUBSTITUTE(SUBSTITUTE(SUBSTITUTE(UPPER(C867)," ",""),";",","),"/",",")&amp;","</f>
        <v/>
      </c>
      <c r="Y867">
        <f>IF(AND(A867&lt;&gt;"",B867="Active",'State Search'!$C$5&lt;&gt;"",OR(X867=",ALL,",ISNUMBER(SEARCH(","&amp;'State Search'!$C$5&amp;",",X867)))),W867,"")</f>
        <v/>
      </c>
    </row>
    <row r="868">
      <c r="A868" s="64" t="n"/>
      <c r="B868" s="65" t="n"/>
      <c r="C868" s="64" t="n"/>
      <c r="D868" s="66" t="n"/>
      <c r="E868" s="66" t="n"/>
      <c r="F868" s="67" t="n"/>
      <c r="G868" s="67" t="n"/>
      <c r="H868" s="67" t="n"/>
      <c r="I868" s="67" t="n"/>
      <c r="J868" s="67" t="n"/>
      <c r="K868" s="67" t="n"/>
      <c r="L868" s="67" t="n"/>
      <c r="M868" s="67" t="n"/>
      <c r="N868" s="65" t="n"/>
      <c r="O868" s="84">
        <f>IF(A868="","",IF(E868="","No date",IF(TODAY()&gt;=EDATE(E868,Review_Months),"Review Due","Current")))</f>
        <v/>
      </c>
      <c r="P868" s="84">
        <f>IF(A868="","",IF(COUNTIFS('AFA Rates'!$A$5:$A$1004,A868,'AFA Rates'!$O$5:$O$1004,"&lt;&gt;Expired")&gt;0,"Yes",IF(COUNTIF('AFA Rates'!$A$5:$A$1004,A868)&gt;0,"Expired only","No")))</f>
        <v/>
      </c>
      <c r="Q868" s="84">
        <f>IF(A868="","",COUNTIFS('AFA Rates'!$A$5:$A$1004,A868,'AFA Rates'!$O$5:$O$1004,"&lt;&gt;Expired"))</f>
        <v/>
      </c>
      <c r="R868" s="66" t="n"/>
      <c r="S868" s="64" t="n"/>
      <c r="T868" s="64" t="n"/>
      <c r="U868">
        <f>IF(AND(A868&lt;&gt;"",B868="Paused"),COUNTIFS($A$5:A868,"&lt;&gt;",$B$5:B868,"Paused"),"")</f>
        <v/>
      </c>
      <c r="V868">
        <f>IF(P868="Yes",COUNTIF($P$5:P868,"Yes"),"")</f>
        <v/>
      </c>
      <c r="W868">
        <f>IF(A868="","",COUNTIF($A$5:$A$1004,"&lt;"&amp;A868)+COUNTIF($A$5:A868,A868))</f>
        <v/>
      </c>
      <c r="X868">
        <f>","&amp;SUBSTITUTE(SUBSTITUTE(SUBSTITUTE(UPPER(C868)," ",""),";",","),"/",",")&amp;","</f>
        <v/>
      </c>
      <c r="Y868">
        <f>IF(AND(A868&lt;&gt;"",B868="Active",'State Search'!$C$5&lt;&gt;"",OR(X868=",ALL,",ISNUMBER(SEARCH(","&amp;'State Search'!$C$5&amp;",",X868)))),W868,"")</f>
        <v/>
      </c>
    </row>
    <row r="869">
      <c r="A869" s="64" t="n"/>
      <c r="B869" s="65" t="n"/>
      <c r="C869" s="64" t="n"/>
      <c r="D869" s="66" t="n"/>
      <c r="E869" s="66" t="n"/>
      <c r="F869" s="67" t="n"/>
      <c r="G869" s="67" t="n"/>
      <c r="H869" s="67" t="n"/>
      <c r="I869" s="67" t="n"/>
      <c r="J869" s="67" t="n"/>
      <c r="K869" s="67" t="n"/>
      <c r="L869" s="67" t="n"/>
      <c r="M869" s="67" t="n"/>
      <c r="N869" s="65" t="n"/>
      <c r="O869" s="84">
        <f>IF(A869="","",IF(E869="","No date",IF(TODAY()&gt;=EDATE(E869,Review_Months),"Review Due","Current")))</f>
        <v/>
      </c>
      <c r="P869" s="84">
        <f>IF(A869="","",IF(COUNTIFS('AFA Rates'!$A$5:$A$1004,A869,'AFA Rates'!$O$5:$O$1004,"&lt;&gt;Expired")&gt;0,"Yes",IF(COUNTIF('AFA Rates'!$A$5:$A$1004,A869)&gt;0,"Expired only","No")))</f>
        <v/>
      </c>
      <c r="Q869" s="84">
        <f>IF(A869="","",COUNTIFS('AFA Rates'!$A$5:$A$1004,A869,'AFA Rates'!$O$5:$O$1004,"&lt;&gt;Expired"))</f>
        <v/>
      </c>
      <c r="R869" s="66" t="n"/>
      <c r="S869" s="64" t="n"/>
      <c r="T869" s="64" t="n"/>
      <c r="U869">
        <f>IF(AND(A869&lt;&gt;"",B869="Paused"),COUNTIFS($A$5:A869,"&lt;&gt;",$B$5:B869,"Paused"),"")</f>
        <v/>
      </c>
      <c r="V869">
        <f>IF(P869="Yes",COUNTIF($P$5:P869,"Yes"),"")</f>
        <v/>
      </c>
      <c r="W869">
        <f>IF(A869="","",COUNTIF($A$5:$A$1004,"&lt;"&amp;A869)+COUNTIF($A$5:A869,A869))</f>
        <v/>
      </c>
      <c r="X869">
        <f>","&amp;SUBSTITUTE(SUBSTITUTE(SUBSTITUTE(UPPER(C869)," ",""),";",","),"/",",")&amp;","</f>
        <v/>
      </c>
      <c r="Y869">
        <f>IF(AND(A869&lt;&gt;"",B869="Active",'State Search'!$C$5&lt;&gt;"",OR(X869=",ALL,",ISNUMBER(SEARCH(","&amp;'State Search'!$C$5&amp;",",X869)))),W869,"")</f>
        <v/>
      </c>
    </row>
    <row r="870">
      <c r="A870" s="64" t="n"/>
      <c r="B870" s="65" t="n"/>
      <c r="C870" s="64" t="n"/>
      <c r="D870" s="66" t="n"/>
      <c r="E870" s="66" t="n"/>
      <c r="F870" s="67" t="n"/>
      <c r="G870" s="67" t="n"/>
      <c r="H870" s="67" t="n"/>
      <c r="I870" s="67" t="n"/>
      <c r="J870" s="67" t="n"/>
      <c r="K870" s="67" t="n"/>
      <c r="L870" s="67" t="n"/>
      <c r="M870" s="67" t="n"/>
      <c r="N870" s="65" t="n"/>
      <c r="O870" s="84">
        <f>IF(A870="","",IF(E870="","No date",IF(TODAY()&gt;=EDATE(E870,Review_Months),"Review Due","Current")))</f>
        <v/>
      </c>
      <c r="P870" s="84">
        <f>IF(A870="","",IF(COUNTIFS('AFA Rates'!$A$5:$A$1004,A870,'AFA Rates'!$O$5:$O$1004,"&lt;&gt;Expired")&gt;0,"Yes",IF(COUNTIF('AFA Rates'!$A$5:$A$1004,A870)&gt;0,"Expired only","No")))</f>
        <v/>
      </c>
      <c r="Q870" s="84">
        <f>IF(A870="","",COUNTIFS('AFA Rates'!$A$5:$A$1004,A870,'AFA Rates'!$O$5:$O$1004,"&lt;&gt;Expired"))</f>
        <v/>
      </c>
      <c r="R870" s="66" t="n"/>
      <c r="S870" s="64" t="n"/>
      <c r="T870" s="64" t="n"/>
      <c r="U870">
        <f>IF(AND(A870&lt;&gt;"",B870="Paused"),COUNTIFS($A$5:A870,"&lt;&gt;",$B$5:B870,"Paused"),"")</f>
        <v/>
      </c>
      <c r="V870">
        <f>IF(P870="Yes",COUNTIF($P$5:P870,"Yes"),"")</f>
        <v/>
      </c>
      <c r="W870">
        <f>IF(A870="","",COUNTIF($A$5:$A$1004,"&lt;"&amp;A870)+COUNTIF($A$5:A870,A870))</f>
        <v/>
      </c>
      <c r="X870">
        <f>","&amp;SUBSTITUTE(SUBSTITUTE(SUBSTITUTE(UPPER(C870)," ",""),";",","),"/",",")&amp;","</f>
        <v/>
      </c>
      <c r="Y870">
        <f>IF(AND(A870&lt;&gt;"",B870="Active",'State Search'!$C$5&lt;&gt;"",OR(X870=",ALL,",ISNUMBER(SEARCH(","&amp;'State Search'!$C$5&amp;",",X870)))),W870,"")</f>
        <v/>
      </c>
    </row>
    <row r="871">
      <c r="A871" s="64" t="n"/>
      <c r="B871" s="65" t="n"/>
      <c r="C871" s="64" t="n"/>
      <c r="D871" s="66" t="n"/>
      <c r="E871" s="66" t="n"/>
      <c r="F871" s="67" t="n"/>
      <c r="G871" s="67" t="n"/>
      <c r="H871" s="67" t="n"/>
      <c r="I871" s="67" t="n"/>
      <c r="J871" s="67" t="n"/>
      <c r="K871" s="67" t="n"/>
      <c r="L871" s="67" t="n"/>
      <c r="M871" s="67" t="n"/>
      <c r="N871" s="65" t="n"/>
      <c r="O871" s="84">
        <f>IF(A871="","",IF(E871="","No date",IF(TODAY()&gt;=EDATE(E871,Review_Months),"Review Due","Current")))</f>
        <v/>
      </c>
      <c r="P871" s="84">
        <f>IF(A871="","",IF(COUNTIFS('AFA Rates'!$A$5:$A$1004,A871,'AFA Rates'!$O$5:$O$1004,"&lt;&gt;Expired")&gt;0,"Yes",IF(COUNTIF('AFA Rates'!$A$5:$A$1004,A871)&gt;0,"Expired only","No")))</f>
        <v/>
      </c>
      <c r="Q871" s="84">
        <f>IF(A871="","",COUNTIFS('AFA Rates'!$A$5:$A$1004,A871,'AFA Rates'!$O$5:$O$1004,"&lt;&gt;Expired"))</f>
        <v/>
      </c>
      <c r="R871" s="66" t="n"/>
      <c r="S871" s="64" t="n"/>
      <c r="T871" s="64" t="n"/>
      <c r="U871">
        <f>IF(AND(A871&lt;&gt;"",B871="Paused"),COUNTIFS($A$5:A871,"&lt;&gt;",$B$5:B871,"Paused"),"")</f>
        <v/>
      </c>
      <c r="V871">
        <f>IF(P871="Yes",COUNTIF($P$5:P871,"Yes"),"")</f>
        <v/>
      </c>
      <c r="W871">
        <f>IF(A871="","",COUNTIF($A$5:$A$1004,"&lt;"&amp;A871)+COUNTIF($A$5:A871,A871))</f>
        <v/>
      </c>
      <c r="X871">
        <f>","&amp;SUBSTITUTE(SUBSTITUTE(SUBSTITUTE(UPPER(C871)," ",""),";",","),"/",",")&amp;","</f>
        <v/>
      </c>
      <c r="Y871">
        <f>IF(AND(A871&lt;&gt;"",B871="Active",'State Search'!$C$5&lt;&gt;"",OR(X871=",ALL,",ISNUMBER(SEARCH(","&amp;'State Search'!$C$5&amp;",",X871)))),W871,"")</f>
        <v/>
      </c>
    </row>
    <row r="872">
      <c r="A872" s="64" t="n"/>
      <c r="B872" s="65" t="n"/>
      <c r="C872" s="64" t="n"/>
      <c r="D872" s="66" t="n"/>
      <c r="E872" s="66" t="n"/>
      <c r="F872" s="67" t="n"/>
      <c r="G872" s="67" t="n"/>
      <c r="H872" s="67" t="n"/>
      <c r="I872" s="67" t="n"/>
      <c r="J872" s="67" t="n"/>
      <c r="K872" s="67" t="n"/>
      <c r="L872" s="67" t="n"/>
      <c r="M872" s="67" t="n"/>
      <c r="N872" s="65" t="n"/>
      <c r="O872" s="84">
        <f>IF(A872="","",IF(E872="","No date",IF(TODAY()&gt;=EDATE(E872,Review_Months),"Review Due","Current")))</f>
        <v/>
      </c>
      <c r="P872" s="84">
        <f>IF(A872="","",IF(COUNTIFS('AFA Rates'!$A$5:$A$1004,A872,'AFA Rates'!$O$5:$O$1004,"&lt;&gt;Expired")&gt;0,"Yes",IF(COUNTIF('AFA Rates'!$A$5:$A$1004,A872)&gt;0,"Expired only","No")))</f>
        <v/>
      </c>
      <c r="Q872" s="84">
        <f>IF(A872="","",COUNTIFS('AFA Rates'!$A$5:$A$1004,A872,'AFA Rates'!$O$5:$O$1004,"&lt;&gt;Expired"))</f>
        <v/>
      </c>
      <c r="R872" s="66" t="n"/>
      <c r="S872" s="64" t="n"/>
      <c r="T872" s="64" t="n"/>
      <c r="U872">
        <f>IF(AND(A872&lt;&gt;"",B872="Paused"),COUNTIFS($A$5:A872,"&lt;&gt;",$B$5:B872,"Paused"),"")</f>
        <v/>
      </c>
      <c r="V872">
        <f>IF(P872="Yes",COUNTIF($P$5:P872,"Yes"),"")</f>
        <v/>
      </c>
      <c r="W872">
        <f>IF(A872="","",COUNTIF($A$5:$A$1004,"&lt;"&amp;A872)+COUNTIF($A$5:A872,A872))</f>
        <v/>
      </c>
      <c r="X872">
        <f>","&amp;SUBSTITUTE(SUBSTITUTE(SUBSTITUTE(UPPER(C872)," ",""),";",","),"/",",")&amp;","</f>
        <v/>
      </c>
      <c r="Y872">
        <f>IF(AND(A872&lt;&gt;"",B872="Active",'State Search'!$C$5&lt;&gt;"",OR(X872=",ALL,",ISNUMBER(SEARCH(","&amp;'State Search'!$C$5&amp;",",X872)))),W872,"")</f>
        <v/>
      </c>
    </row>
    <row r="873">
      <c r="A873" s="64" t="n"/>
      <c r="B873" s="65" t="n"/>
      <c r="C873" s="64" t="n"/>
      <c r="D873" s="66" t="n"/>
      <c r="E873" s="66" t="n"/>
      <c r="F873" s="67" t="n"/>
      <c r="G873" s="67" t="n"/>
      <c r="H873" s="67" t="n"/>
      <c r="I873" s="67" t="n"/>
      <c r="J873" s="67" t="n"/>
      <c r="K873" s="67" t="n"/>
      <c r="L873" s="67" t="n"/>
      <c r="M873" s="67" t="n"/>
      <c r="N873" s="65" t="n"/>
      <c r="O873" s="84">
        <f>IF(A873="","",IF(E873="","No date",IF(TODAY()&gt;=EDATE(E873,Review_Months),"Review Due","Current")))</f>
        <v/>
      </c>
      <c r="P873" s="84">
        <f>IF(A873="","",IF(COUNTIFS('AFA Rates'!$A$5:$A$1004,A873,'AFA Rates'!$O$5:$O$1004,"&lt;&gt;Expired")&gt;0,"Yes",IF(COUNTIF('AFA Rates'!$A$5:$A$1004,A873)&gt;0,"Expired only","No")))</f>
        <v/>
      </c>
      <c r="Q873" s="84">
        <f>IF(A873="","",COUNTIFS('AFA Rates'!$A$5:$A$1004,A873,'AFA Rates'!$O$5:$O$1004,"&lt;&gt;Expired"))</f>
        <v/>
      </c>
      <c r="R873" s="66" t="n"/>
      <c r="S873" s="64" t="n"/>
      <c r="T873" s="64" t="n"/>
      <c r="U873">
        <f>IF(AND(A873&lt;&gt;"",B873="Paused"),COUNTIFS($A$5:A873,"&lt;&gt;",$B$5:B873,"Paused"),"")</f>
        <v/>
      </c>
      <c r="V873">
        <f>IF(P873="Yes",COUNTIF($P$5:P873,"Yes"),"")</f>
        <v/>
      </c>
      <c r="W873">
        <f>IF(A873="","",COUNTIF($A$5:$A$1004,"&lt;"&amp;A873)+COUNTIF($A$5:A873,A873))</f>
        <v/>
      </c>
      <c r="X873">
        <f>","&amp;SUBSTITUTE(SUBSTITUTE(SUBSTITUTE(UPPER(C873)," ",""),";",","),"/",",")&amp;","</f>
        <v/>
      </c>
      <c r="Y873">
        <f>IF(AND(A873&lt;&gt;"",B873="Active",'State Search'!$C$5&lt;&gt;"",OR(X873=",ALL,",ISNUMBER(SEARCH(","&amp;'State Search'!$C$5&amp;",",X873)))),W873,"")</f>
        <v/>
      </c>
    </row>
    <row r="874">
      <c r="A874" s="64" t="n"/>
      <c r="B874" s="65" t="n"/>
      <c r="C874" s="64" t="n"/>
      <c r="D874" s="66" t="n"/>
      <c r="E874" s="66" t="n"/>
      <c r="F874" s="67" t="n"/>
      <c r="G874" s="67" t="n"/>
      <c r="H874" s="67" t="n"/>
      <c r="I874" s="67" t="n"/>
      <c r="J874" s="67" t="n"/>
      <c r="K874" s="67" t="n"/>
      <c r="L874" s="67" t="n"/>
      <c r="M874" s="67" t="n"/>
      <c r="N874" s="65" t="n"/>
      <c r="O874" s="84">
        <f>IF(A874="","",IF(E874="","No date",IF(TODAY()&gt;=EDATE(E874,Review_Months),"Review Due","Current")))</f>
        <v/>
      </c>
      <c r="P874" s="84">
        <f>IF(A874="","",IF(COUNTIFS('AFA Rates'!$A$5:$A$1004,A874,'AFA Rates'!$O$5:$O$1004,"&lt;&gt;Expired")&gt;0,"Yes",IF(COUNTIF('AFA Rates'!$A$5:$A$1004,A874)&gt;0,"Expired only","No")))</f>
        <v/>
      </c>
      <c r="Q874" s="84">
        <f>IF(A874="","",COUNTIFS('AFA Rates'!$A$5:$A$1004,A874,'AFA Rates'!$O$5:$O$1004,"&lt;&gt;Expired"))</f>
        <v/>
      </c>
      <c r="R874" s="66" t="n"/>
      <c r="S874" s="64" t="n"/>
      <c r="T874" s="64" t="n"/>
      <c r="U874">
        <f>IF(AND(A874&lt;&gt;"",B874="Paused"),COUNTIFS($A$5:A874,"&lt;&gt;",$B$5:B874,"Paused"),"")</f>
        <v/>
      </c>
      <c r="V874">
        <f>IF(P874="Yes",COUNTIF($P$5:P874,"Yes"),"")</f>
        <v/>
      </c>
      <c r="W874">
        <f>IF(A874="","",COUNTIF($A$5:$A$1004,"&lt;"&amp;A874)+COUNTIF($A$5:A874,A874))</f>
        <v/>
      </c>
      <c r="X874">
        <f>","&amp;SUBSTITUTE(SUBSTITUTE(SUBSTITUTE(UPPER(C874)," ",""),";",","),"/",",")&amp;","</f>
        <v/>
      </c>
      <c r="Y874">
        <f>IF(AND(A874&lt;&gt;"",B874="Active",'State Search'!$C$5&lt;&gt;"",OR(X874=",ALL,",ISNUMBER(SEARCH(","&amp;'State Search'!$C$5&amp;",",X874)))),W874,"")</f>
        <v/>
      </c>
    </row>
    <row r="875">
      <c r="A875" s="64" t="n"/>
      <c r="B875" s="65" t="n"/>
      <c r="C875" s="64" t="n"/>
      <c r="D875" s="66" t="n"/>
      <c r="E875" s="66" t="n"/>
      <c r="F875" s="67" t="n"/>
      <c r="G875" s="67" t="n"/>
      <c r="H875" s="67" t="n"/>
      <c r="I875" s="67" t="n"/>
      <c r="J875" s="67" t="n"/>
      <c r="K875" s="67" t="n"/>
      <c r="L875" s="67" t="n"/>
      <c r="M875" s="67" t="n"/>
      <c r="N875" s="65" t="n"/>
      <c r="O875" s="84">
        <f>IF(A875="","",IF(E875="","No date",IF(TODAY()&gt;=EDATE(E875,Review_Months),"Review Due","Current")))</f>
        <v/>
      </c>
      <c r="P875" s="84">
        <f>IF(A875="","",IF(COUNTIFS('AFA Rates'!$A$5:$A$1004,A875,'AFA Rates'!$O$5:$O$1004,"&lt;&gt;Expired")&gt;0,"Yes",IF(COUNTIF('AFA Rates'!$A$5:$A$1004,A875)&gt;0,"Expired only","No")))</f>
        <v/>
      </c>
      <c r="Q875" s="84">
        <f>IF(A875="","",COUNTIFS('AFA Rates'!$A$5:$A$1004,A875,'AFA Rates'!$O$5:$O$1004,"&lt;&gt;Expired"))</f>
        <v/>
      </c>
      <c r="R875" s="66" t="n"/>
      <c r="S875" s="64" t="n"/>
      <c r="T875" s="64" t="n"/>
      <c r="U875">
        <f>IF(AND(A875&lt;&gt;"",B875="Paused"),COUNTIFS($A$5:A875,"&lt;&gt;",$B$5:B875,"Paused"),"")</f>
        <v/>
      </c>
      <c r="V875">
        <f>IF(P875="Yes",COUNTIF($P$5:P875,"Yes"),"")</f>
        <v/>
      </c>
      <c r="W875">
        <f>IF(A875="","",COUNTIF($A$5:$A$1004,"&lt;"&amp;A875)+COUNTIF($A$5:A875,A875))</f>
        <v/>
      </c>
      <c r="X875">
        <f>","&amp;SUBSTITUTE(SUBSTITUTE(SUBSTITUTE(UPPER(C875)," ",""),";",","),"/",",")&amp;","</f>
        <v/>
      </c>
      <c r="Y875">
        <f>IF(AND(A875&lt;&gt;"",B875="Active",'State Search'!$C$5&lt;&gt;"",OR(X875=",ALL,",ISNUMBER(SEARCH(","&amp;'State Search'!$C$5&amp;",",X875)))),W875,"")</f>
        <v/>
      </c>
    </row>
    <row r="876">
      <c r="A876" s="64" t="n"/>
      <c r="B876" s="65" t="n"/>
      <c r="C876" s="64" t="n"/>
      <c r="D876" s="66" t="n"/>
      <c r="E876" s="66" t="n"/>
      <c r="F876" s="67" t="n"/>
      <c r="G876" s="67" t="n"/>
      <c r="H876" s="67" t="n"/>
      <c r="I876" s="67" t="n"/>
      <c r="J876" s="67" t="n"/>
      <c r="K876" s="67" t="n"/>
      <c r="L876" s="67" t="n"/>
      <c r="M876" s="67" t="n"/>
      <c r="N876" s="65" t="n"/>
      <c r="O876" s="84">
        <f>IF(A876="","",IF(E876="","No date",IF(TODAY()&gt;=EDATE(E876,Review_Months),"Review Due","Current")))</f>
        <v/>
      </c>
      <c r="P876" s="84">
        <f>IF(A876="","",IF(COUNTIFS('AFA Rates'!$A$5:$A$1004,A876,'AFA Rates'!$O$5:$O$1004,"&lt;&gt;Expired")&gt;0,"Yes",IF(COUNTIF('AFA Rates'!$A$5:$A$1004,A876)&gt;0,"Expired only","No")))</f>
        <v/>
      </c>
      <c r="Q876" s="84">
        <f>IF(A876="","",COUNTIFS('AFA Rates'!$A$5:$A$1004,A876,'AFA Rates'!$O$5:$O$1004,"&lt;&gt;Expired"))</f>
        <v/>
      </c>
      <c r="R876" s="66" t="n"/>
      <c r="S876" s="64" t="n"/>
      <c r="T876" s="64" t="n"/>
      <c r="U876">
        <f>IF(AND(A876&lt;&gt;"",B876="Paused"),COUNTIFS($A$5:A876,"&lt;&gt;",$B$5:B876,"Paused"),"")</f>
        <v/>
      </c>
      <c r="V876">
        <f>IF(P876="Yes",COUNTIF($P$5:P876,"Yes"),"")</f>
        <v/>
      </c>
      <c r="W876">
        <f>IF(A876="","",COUNTIF($A$5:$A$1004,"&lt;"&amp;A876)+COUNTIF($A$5:A876,A876))</f>
        <v/>
      </c>
      <c r="X876">
        <f>","&amp;SUBSTITUTE(SUBSTITUTE(SUBSTITUTE(UPPER(C876)," ",""),";",","),"/",",")&amp;","</f>
        <v/>
      </c>
      <c r="Y876">
        <f>IF(AND(A876&lt;&gt;"",B876="Active",'State Search'!$C$5&lt;&gt;"",OR(X876=",ALL,",ISNUMBER(SEARCH(","&amp;'State Search'!$C$5&amp;",",X876)))),W876,"")</f>
        <v/>
      </c>
    </row>
    <row r="877">
      <c r="A877" s="64" t="n"/>
      <c r="B877" s="65" t="n"/>
      <c r="C877" s="64" t="n"/>
      <c r="D877" s="66" t="n"/>
      <c r="E877" s="66" t="n"/>
      <c r="F877" s="67" t="n"/>
      <c r="G877" s="67" t="n"/>
      <c r="H877" s="67" t="n"/>
      <c r="I877" s="67" t="n"/>
      <c r="J877" s="67" t="n"/>
      <c r="K877" s="67" t="n"/>
      <c r="L877" s="67" t="n"/>
      <c r="M877" s="67" t="n"/>
      <c r="N877" s="65" t="n"/>
      <c r="O877" s="84">
        <f>IF(A877="","",IF(E877="","No date",IF(TODAY()&gt;=EDATE(E877,Review_Months),"Review Due","Current")))</f>
        <v/>
      </c>
      <c r="P877" s="84">
        <f>IF(A877="","",IF(COUNTIFS('AFA Rates'!$A$5:$A$1004,A877,'AFA Rates'!$O$5:$O$1004,"&lt;&gt;Expired")&gt;0,"Yes",IF(COUNTIF('AFA Rates'!$A$5:$A$1004,A877)&gt;0,"Expired only","No")))</f>
        <v/>
      </c>
      <c r="Q877" s="84">
        <f>IF(A877="","",COUNTIFS('AFA Rates'!$A$5:$A$1004,A877,'AFA Rates'!$O$5:$O$1004,"&lt;&gt;Expired"))</f>
        <v/>
      </c>
      <c r="R877" s="66" t="n"/>
      <c r="S877" s="64" t="n"/>
      <c r="T877" s="64" t="n"/>
      <c r="U877">
        <f>IF(AND(A877&lt;&gt;"",B877="Paused"),COUNTIFS($A$5:A877,"&lt;&gt;",$B$5:B877,"Paused"),"")</f>
        <v/>
      </c>
      <c r="V877">
        <f>IF(P877="Yes",COUNTIF($P$5:P877,"Yes"),"")</f>
        <v/>
      </c>
      <c r="W877">
        <f>IF(A877="","",COUNTIF($A$5:$A$1004,"&lt;"&amp;A877)+COUNTIF($A$5:A877,A877))</f>
        <v/>
      </c>
      <c r="X877">
        <f>","&amp;SUBSTITUTE(SUBSTITUTE(SUBSTITUTE(UPPER(C877)," ",""),";",","),"/",",")&amp;","</f>
        <v/>
      </c>
      <c r="Y877">
        <f>IF(AND(A877&lt;&gt;"",B877="Active",'State Search'!$C$5&lt;&gt;"",OR(X877=",ALL,",ISNUMBER(SEARCH(","&amp;'State Search'!$C$5&amp;",",X877)))),W877,"")</f>
        <v/>
      </c>
    </row>
    <row r="878">
      <c r="A878" s="64" t="n"/>
      <c r="B878" s="65" t="n"/>
      <c r="C878" s="64" t="n"/>
      <c r="D878" s="66" t="n"/>
      <c r="E878" s="66" t="n"/>
      <c r="F878" s="67" t="n"/>
      <c r="G878" s="67" t="n"/>
      <c r="H878" s="67" t="n"/>
      <c r="I878" s="67" t="n"/>
      <c r="J878" s="67" t="n"/>
      <c r="K878" s="67" t="n"/>
      <c r="L878" s="67" t="n"/>
      <c r="M878" s="67" t="n"/>
      <c r="N878" s="65" t="n"/>
      <c r="O878" s="84">
        <f>IF(A878="","",IF(E878="","No date",IF(TODAY()&gt;=EDATE(E878,Review_Months),"Review Due","Current")))</f>
        <v/>
      </c>
      <c r="P878" s="84">
        <f>IF(A878="","",IF(COUNTIFS('AFA Rates'!$A$5:$A$1004,A878,'AFA Rates'!$O$5:$O$1004,"&lt;&gt;Expired")&gt;0,"Yes",IF(COUNTIF('AFA Rates'!$A$5:$A$1004,A878)&gt;0,"Expired only","No")))</f>
        <v/>
      </c>
      <c r="Q878" s="84">
        <f>IF(A878="","",COUNTIFS('AFA Rates'!$A$5:$A$1004,A878,'AFA Rates'!$O$5:$O$1004,"&lt;&gt;Expired"))</f>
        <v/>
      </c>
      <c r="R878" s="66" t="n"/>
      <c r="S878" s="64" t="n"/>
      <c r="T878" s="64" t="n"/>
      <c r="U878">
        <f>IF(AND(A878&lt;&gt;"",B878="Paused"),COUNTIFS($A$5:A878,"&lt;&gt;",$B$5:B878,"Paused"),"")</f>
        <v/>
      </c>
      <c r="V878">
        <f>IF(P878="Yes",COUNTIF($P$5:P878,"Yes"),"")</f>
        <v/>
      </c>
      <c r="W878">
        <f>IF(A878="","",COUNTIF($A$5:$A$1004,"&lt;"&amp;A878)+COUNTIF($A$5:A878,A878))</f>
        <v/>
      </c>
      <c r="X878">
        <f>","&amp;SUBSTITUTE(SUBSTITUTE(SUBSTITUTE(UPPER(C878)," ",""),";",","),"/",",")&amp;","</f>
        <v/>
      </c>
      <c r="Y878">
        <f>IF(AND(A878&lt;&gt;"",B878="Active",'State Search'!$C$5&lt;&gt;"",OR(X878=",ALL,",ISNUMBER(SEARCH(","&amp;'State Search'!$C$5&amp;",",X878)))),W878,"")</f>
        <v/>
      </c>
    </row>
    <row r="879">
      <c r="A879" s="64" t="n"/>
      <c r="B879" s="65" t="n"/>
      <c r="C879" s="64" t="n"/>
      <c r="D879" s="66" t="n"/>
      <c r="E879" s="66" t="n"/>
      <c r="F879" s="67" t="n"/>
      <c r="G879" s="67" t="n"/>
      <c r="H879" s="67" t="n"/>
      <c r="I879" s="67" t="n"/>
      <c r="J879" s="67" t="n"/>
      <c r="K879" s="67" t="n"/>
      <c r="L879" s="67" t="n"/>
      <c r="M879" s="67" t="n"/>
      <c r="N879" s="65" t="n"/>
      <c r="O879" s="84">
        <f>IF(A879="","",IF(E879="","No date",IF(TODAY()&gt;=EDATE(E879,Review_Months),"Review Due","Current")))</f>
        <v/>
      </c>
      <c r="P879" s="84">
        <f>IF(A879="","",IF(COUNTIFS('AFA Rates'!$A$5:$A$1004,A879,'AFA Rates'!$O$5:$O$1004,"&lt;&gt;Expired")&gt;0,"Yes",IF(COUNTIF('AFA Rates'!$A$5:$A$1004,A879)&gt;0,"Expired only","No")))</f>
        <v/>
      </c>
      <c r="Q879" s="84">
        <f>IF(A879="","",COUNTIFS('AFA Rates'!$A$5:$A$1004,A879,'AFA Rates'!$O$5:$O$1004,"&lt;&gt;Expired"))</f>
        <v/>
      </c>
      <c r="R879" s="66" t="n"/>
      <c r="S879" s="64" t="n"/>
      <c r="T879" s="64" t="n"/>
      <c r="U879">
        <f>IF(AND(A879&lt;&gt;"",B879="Paused"),COUNTIFS($A$5:A879,"&lt;&gt;",$B$5:B879,"Paused"),"")</f>
        <v/>
      </c>
      <c r="V879">
        <f>IF(P879="Yes",COUNTIF($P$5:P879,"Yes"),"")</f>
        <v/>
      </c>
      <c r="W879">
        <f>IF(A879="","",COUNTIF($A$5:$A$1004,"&lt;"&amp;A879)+COUNTIF($A$5:A879,A879))</f>
        <v/>
      </c>
      <c r="X879">
        <f>","&amp;SUBSTITUTE(SUBSTITUTE(SUBSTITUTE(UPPER(C879)," ",""),";",","),"/",",")&amp;","</f>
        <v/>
      </c>
      <c r="Y879">
        <f>IF(AND(A879&lt;&gt;"",B879="Active",'State Search'!$C$5&lt;&gt;"",OR(X879=",ALL,",ISNUMBER(SEARCH(","&amp;'State Search'!$C$5&amp;",",X879)))),W879,"")</f>
        <v/>
      </c>
    </row>
    <row r="880">
      <c r="A880" s="64" t="n"/>
      <c r="B880" s="65" t="n"/>
      <c r="C880" s="64" t="n"/>
      <c r="D880" s="66" t="n"/>
      <c r="E880" s="66" t="n"/>
      <c r="F880" s="67" t="n"/>
      <c r="G880" s="67" t="n"/>
      <c r="H880" s="67" t="n"/>
      <c r="I880" s="67" t="n"/>
      <c r="J880" s="67" t="n"/>
      <c r="K880" s="67" t="n"/>
      <c r="L880" s="67" t="n"/>
      <c r="M880" s="67" t="n"/>
      <c r="N880" s="65" t="n"/>
      <c r="O880" s="84">
        <f>IF(A880="","",IF(E880="","No date",IF(TODAY()&gt;=EDATE(E880,Review_Months),"Review Due","Current")))</f>
        <v/>
      </c>
      <c r="P880" s="84">
        <f>IF(A880="","",IF(COUNTIFS('AFA Rates'!$A$5:$A$1004,A880,'AFA Rates'!$O$5:$O$1004,"&lt;&gt;Expired")&gt;0,"Yes",IF(COUNTIF('AFA Rates'!$A$5:$A$1004,A880)&gt;0,"Expired only","No")))</f>
        <v/>
      </c>
      <c r="Q880" s="84">
        <f>IF(A880="","",COUNTIFS('AFA Rates'!$A$5:$A$1004,A880,'AFA Rates'!$O$5:$O$1004,"&lt;&gt;Expired"))</f>
        <v/>
      </c>
      <c r="R880" s="66" t="n"/>
      <c r="S880" s="64" t="n"/>
      <c r="T880" s="64" t="n"/>
      <c r="U880">
        <f>IF(AND(A880&lt;&gt;"",B880="Paused"),COUNTIFS($A$5:A880,"&lt;&gt;",$B$5:B880,"Paused"),"")</f>
        <v/>
      </c>
      <c r="V880">
        <f>IF(P880="Yes",COUNTIF($P$5:P880,"Yes"),"")</f>
        <v/>
      </c>
      <c r="W880">
        <f>IF(A880="","",COUNTIF($A$5:$A$1004,"&lt;"&amp;A880)+COUNTIF($A$5:A880,A880))</f>
        <v/>
      </c>
      <c r="X880">
        <f>","&amp;SUBSTITUTE(SUBSTITUTE(SUBSTITUTE(UPPER(C880)," ",""),";",","),"/",",")&amp;","</f>
        <v/>
      </c>
      <c r="Y880">
        <f>IF(AND(A880&lt;&gt;"",B880="Active",'State Search'!$C$5&lt;&gt;"",OR(X880=",ALL,",ISNUMBER(SEARCH(","&amp;'State Search'!$C$5&amp;",",X880)))),W880,"")</f>
        <v/>
      </c>
    </row>
    <row r="881">
      <c r="A881" s="64" t="n"/>
      <c r="B881" s="65" t="n"/>
      <c r="C881" s="64" t="n"/>
      <c r="D881" s="66" t="n"/>
      <c r="E881" s="66" t="n"/>
      <c r="F881" s="67" t="n"/>
      <c r="G881" s="67" t="n"/>
      <c r="H881" s="67" t="n"/>
      <c r="I881" s="67" t="n"/>
      <c r="J881" s="67" t="n"/>
      <c r="K881" s="67" t="n"/>
      <c r="L881" s="67" t="n"/>
      <c r="M881" s="67" t="n"/>
      <c r="N881" s="65" t="n"/>
      <c r="O881" s="84">
        <f>IF(A881="","",IF(E881="","No date",IF(TODAY()&gt;=EDATE(E881,Review_Months),"Review Due","Current")))</f>
        <v/>
      </c>
      <c r="P881" s="84">
        <f>IF(A881="","",IF(COUNTIFS('AFA Rates'!$A$5:$A$1004,A881,'AFA Rates'!$O$5:$O$1004,"&lt;&gt;Expired")&gt;0,"Yes",IF(COUNTIF('AFA Rates'!$A$5:$A$1004,A881)&gt;0,"Expired only","No")))</f>
        <v/>
      </c>
      <c r="Q881" s="84">
        <f>IF(A881="","",COUNTIFS('AFA Rates'!$A$5:$A$1004,A881,'AFA Rates'!$O$5:$O$1004,"&lt;&gt;Expired"))</f>
        <v/>
      </c>
      <c r="R881" s="66" t="n"/>
      <c r="S881" s="64" t="n"/>
      <c r="T881" s="64" t="n"/>
      <c r="U881">
        <f>IF(AND(A881&lt;&gt;"",B881="Paused"),COUNTIFS($A$5:A881,"&lt;&gt;",$B$5:B881,"Paused"),"")</f>
        <v/>
      </c>
      <c r="V881">
        <f>IF(P881="Yes",COUNTIF($P$5:P881,"Yes"),"")</f>
        <v/>
      </c>
      <c r="W881">
        <f>IF(A881="","",COUNTIF($A$5:$A$1004,"&lt;"&amp;A881)+COUNTIF($A$5:A881,A881))</f>
        <v/>
      </c>
      <c r="X881">
        <f>","&amp;SUBSTITUTE(SUBSTITUTE(SUBSTITUTE(UPPER(C881)," ",""),";",","),"/",",")&amp;","</f>
        <v/>
      </c>
      <c r="Y881">
        <f>IF(AND(A881&lt;&gt;"",B881="Active",'State Search'!$C$5&lt;&gt;"",OR(X881=",ALL,",ISNUMBER(SEARCH(","&amp;'State Search'!$C$5&amp;",",X881)))),W881,"")</f>
        <v/>
      </c>
    </row>
    <row r="882">
      <c r="A882" s="64" t="n"/>
      <c r="B882" s="65" t="n"/>
      <c r="C882" s="64" t="n"/>
      <c r="D882" s="66" t="n"/>
      <c r="E882" s="66" t="n"/>
      <c r="F882" s="67" t="n"/>
      <c r="G882" s="67" t="n"/>
      <c r="H882" s="67" t="n"/>
      <c r="I882" s="67" t="n"/>
      <c r="J882" s="67" t="n"/>
      <c r="K882" s="67" t="n"/>
      <c r="L882" s="67" t="n"/>
      <c r="M882" s="67" t="n"/>
      <c r="N882" s="65" t="n"/>
      <c r="O882" s="84">
        <f>IF(A882="","",IF(E882="","No date",IF(TODAY()&gt;=EDATE(E882,Review_Months),"Review Due","Current")))</f>
        <v/>
      </c>
      <c r="P882" s="84">
        <f>IF(A882="","",IF(COUNTIFS('AFA Rates'!$A$5:$A$1004,A882,'AFA Rates'!$O$5:$O$1004,"&lt;&gt;Expired")&gt;0,"Yes",IF(COUNTIF('AFA Rates'!$A$5:$A$1004,A882)&gt;0,"Expired only","No")))</f>
        <v/>
      </c>
      <c r="Q882" s="84">
        <f>IF(A882="","",COUNTIFS('AFA Rates'!$A$5:$A$1004,A882,'AFA Rates'!$O$5:$O$1004,"&lt;&gt;Expired"))</f>
        <v/>
      </c>
      <c r="R882" s="66" t="n"/>
      <c r="S882" s="64" t="n"/>
      <c r="T882" s="64" t="n"/>
      <c r="U882">
        <f>IF(AND(A882&lt;&gt;"",B882="Paused"),COUNTIFS($A$5:A882,"&lt;&gt;",$B$5:B882,"Paused"),"")</f>
        <v/>
      </c>
      <c r="V882">
        <f>IF(P882="Yes",COUNTIF($P$5:P882,"Yes"),"")</f>
        <v/>
      </c>
      <c r="W882">
        <f>IF(A882="","",COUNTIF($A$5:$A$1004,"&lt;"&amp;A882)+COUNTIF($A$5:A882,A882))</f>
        <v/>
      </c>
      <c r="X882">
        <f>","&amp;SUBSTITUTE(SUBSTITUTE(SUBSTITUTE(UPPER(C882)," ",""),";",","),"/",",")&amp;","</f>
        <v/>
      </c>
      <c r="Y882">
        <f>IF(AND(A882&lt;&gt;"",B882="Active",'State Search'!$C$5&lt;&gt;"",OR(X882=",ALL,",ISNUMBER(SEARCH(","&amp;'State Search'!$C$5&amp;",",X882)))),W882,"")</f>
        <v/>
      </c>
    </row>
    <row r="883">
      <c r="A883" s="64" t="n"/>
      <c r="B883" s="65" t="n"/>
      <c r="C883" s="64" t="n"/>
      <c r="D883" s="66" t="n"/>
      <c r="E883" s="66" t="n"/>
      <c r="F883" s="67" t="n"/>
      <c r="G883" s="67" t="n"/>
      <c r="H883" s="67" t="n"/>
      <c r="I883" s="67" t="n"/>
      <c r="J883" s="67" t="n"/>
      <c r="K883" s="67" t="n"/>
      <c r="L883" s="67" t="n"/>
      <c r="M883" s="67" t="n"/>
      <c r="N883" s="65" t="n"/>
      <c r="O883" s="84">
        <f>IF(A883="","",IF(E883="","No date",IF(TODAY()&gt;=EDATE(E883,Review_Months),"Review Due","Current")))</f>
        <v/>
      </c>
      <c r="P883" s="84">
        <f>IF(A883="","",IF(COUNTIFS('AFA Rates'!$A$5:$A$1004,A883,'AFA Rates'!$O$5:$O$1004,"&lt;&gt;Expired")&gt;0,"Yes",IF(COUNTIF('AFA Rates'!$A$5:$A$1004,A883)&gt;0,"Expired only","No")))</f>
        <v/>
      </c>
      <c r="Q883" s="84">
        <f>IF(A883="","",COUNTIFS('AFA Rates'!$A$5:$A$1004,A883,'AFA Rates'!$O$5:$O$1004,"&lt;&gt;Expired"))</f>
        <v/>
      </c>
      <c r="R883" s="66" t="n"/>
      <c r="S883" s="64" t="n"/>
      <c r="T883" s="64" t="n"/>
      <c r="U883">
        <f>IF(AND(A883&lt;&gt;"",B883="Paused"),COUNTIFS($A$5:A883,"&lt;&gt;",$B$5:B883,"Paused"),"")</f>
        <v/>
      </c>
      <c r="V883">
        <f>IF(P883="Yes",COUNTIF($P$5:P883,"Yes"),"")</f>
        <v/>
      </c>
      <c r="W883">
        <f>IF(A883="","",COUNTIF($A$5:$A$1004,"&lt;"&amp;A883)+COUNTIF($A$5:A883,A883))</f>
        <v/>
      </c>
      <c r="X883">
        <f>","&amp;SUBSTITUTE(SUBSTITUTE(SUBSTITUTE(UPPER(C883)," ",""),";",","),"/",",")&amp;","</f>
        <v/>
      </c>
      <c r="Y883">
        <f>IF(AND(A883&lt;&gt;"",B883="Active",'State Search'!$C$5&lt;&gt;"",OR(X883=",ALL,",ISNUMBER(SEARCH(","&amp;'State Search'!$C$5&amp;",",X883)))),W883,"")</f>
        <v/>
      </c>
    </row>
    <row r="884">
      <c r="A884" s="64" t="n"/>
      <c r="B884" s="65" t="n"/>
      <c r="C884" s="64" t="n"/>
      <c r="D884" s="66" t="n"/>
      <c r="E884" s="66" t="n"/>
      <c r="F884" s="67" t="n"/>
      <c r="G884" s="67" t="n"/>
      <c r="H884" s="67" t="n"/>
      <c r="I884" s="67" t="n"/>
      <c r="J884" s="67" t="n"/>
      <c r="K884" s="67" t="n"/>
      <c r="L884" s="67" t="n"/>
      <c r="M884" s="67" t="n"/>
      <c r="N884" s="65" t="n"/>
      <c r="O884" s="84">
        <f>IF(A884="","",IF(E884="","No date",IF(TODAY()&gt;=EDATE(E884,Review_Months),"Review Due","Current")))</f>
        <v/>
      </c>
      <c r="P884" s="84">
        <f>IF(A884="","",IF(COUNTIFS('AFA Rates'!$A$5:$A$1004,A884,'AFA Rates'!$O$5:$O$1004,"&lt;&gt;Expired")&gt;0,"Yes",IF(COUNTIF('AFA Rates'!$A$5:$A$1004,A884)&gt;0,"Expired only","No")))</f>
        <v/>
      </c>
      <c r="Q884" s="84">
        <f>IF(A884="","",COUNTIFS('AFA Rates'!$A$5:$A$1004,A884,'AFA Rates'!$O$5:$O$1004,"&lt;&gt;Expired"))</f>
        <v/>
      </c>
      <c r="R884" s="66" t="n"/>
      <c r="S884" s="64" t="n"/>
      <c r="T884" s="64" t="n"/>
      <c r="U884">
        <f>IF(AND(A884&lt;&gt;"",B884="Paused"),COUNTIFS($A$5:A884,"&lt;&gt;",$B$5:B884,"Paused"),"")</f>
        <v/>
      </c>
      <c r="V884">
        <f>IF(P884="Yes",COUNTIF($P$5:P884,"Yes"),"")</f>
        <v/>
      </c>
      <c r="W884">
        <f>IF(A884="","",COUNTIF($A$5:$A$1004,"&lt;"&amp;A884)+COUNTIF($A$5:A884,A884))</f>
        <v/>
      </c>
      <c r="X884">
        <f>","&amp;SUBSTITUTE(SUBSTITUTE(SUBSTITUTE(UPPER(C884)," ",""),";",","),"/",",")&amp;","</f>
        <v/>
      </c>
      <c r="Y884">
        <f>IF(AND(A884&lt;&gt;"",B884="Active",'State Search'!$C$5&lt;&gt;"",OR(X884=",ALL,",ISNUMBER(SEARCH(","&amp;'State Search'!$C$5&amp;",",X884)))),W884,"")</f>
        <v/>
      </c>
    </row>
    <row r="885">
      <c r="A885" s="64" t="n"/>
      <c r="B885" s="65" t="n"/>
      <c r="C885" s="64" t="n"/>
      <c r="D885" s="66" t="n"/>
      <c r="E885" s="66" t="n"/>
      <c r="F885" s="67" t="n"/>
      <c r="G885" s="67" t="n"/>
      <c r="H885" s="67" t="n"/>
      <c r="I885" s="67" t="n"/>
      <c r="J885" s="67" t="n"/>
      <c r="K885" s="67" t="n"/>
      <c r="L885" s="67" t="n"/>
      <c r="M885" s="67" t="n"/>
      <c r="N885" s="65" t="n"/>
      <c r="O885" s="84">
        <f>IF(A885="","",IF(E885="","No date",IF(TODAY()&gt;=EDATE(E885,Review_Months),"Review Due","Current")))</f>
        <v/>
      </c>
      <c r="P885" s="84">
        <f>IF(A885="","",IF(COUNTIFS('AFA Rates'!$A$5:$A$1004,A885,'AFA Rates'!$O$5:$O$1004,"&lt;&gt;Expired")&gt;0,"Yes",IF(COUNTIF('AFA Rates'!$A$5:$A$1004,A885)&gt;0,"Expired only","No")))</f>
        <v/>
      </c>
      <c r="Q885" s="84">
        <f>IF(A885="","",COUNTIFS('AFA Rates'!$A$5:$A$1004,A885,'AFA Rates'!$O$5:$O$1004,"&lt;&gt;Expired"))</f>
        <v/>
      </c>
      <c r="R885" s="66" t="n"/>
      <c r="S885" s="64" t="n"/>
      <c r="T885" s="64" t="n"/>
      <c r="U885">
        <f>IF(AND(A885&lt;&gt;"",B885="Paused"),COUNTIFS($A$5:A885,"&lt;&gt;",$B$5:B885,"Paused"),"")</f>
        <v/>
      </c>
      <c r="V885">
        <f>IF(P885="Yes",COUNTIF($P$5:P885,"Yes"),"")</f>
        <v/>
      </c>
      <c r="W885">
        <f>IF(A885="","",COUNTIF($A$5:$A$1004,"&lt;"&amp;A885)+COUNTIF($A$5:A885,A885))</f>
        <v/>
      </c>
      <c r="X885">
        <f>","&amp;SUBSTITUTE(SUBSTITUTE(SUBSTITUTE(UPPER(C885)," ",""),";",","),"/",",")&amp;","</f>
        <v/>
      </c>
      <c r="Y885">
        <f>IF(AND(A885&lt;&gt;"",B885="Active",'State Search'!$C$5&lt;&gt;"",OR(X885=",ALL,",ISNUMBER(SEARCH(","&amp;'State Search'!$C$5&amp;",",X885)))),W885,"")</f>
        <v/>
      </c>
    </row>
    <row r="886">
      <c r="A886" s="64" t="n"/>
      <c r="B886" s="65" t="n"/>
      <c r="C886" s="64" t="n"/>
      <c r="D886" s="66" t="n"/>
      <c r="E886" s="66" t="n"/>
      <c r="F886" s="67" t="n"/>
      <c r="G886" s="67" t="n"/>
      <c r="H886" s="67" t="n"/>
      <c r="I886" s="67" t="n"/>
      <c r="J886" s="67" t="n"/>
      <c r="K886" s="67" t="n"/>
      <c r="L886" s="67" t="n"/>
      <c r="M886" s="67" t="n"/>
      <c r="N886" s="65" t="n"/>
      <c r="O886" s="84">
        <f>IF(A886="","",IF(E886="","No date",IF(TODAY()&gt;=EDATE(E886,Review_Months),"Review Due","Current")))</f>
        <v/>
      </c>
      <c r="P886" s="84">
        <f>IF(A886="","",IF(COUNTIFS('AFA Rates'!$A$5:$A$1004,A886,'AFA Rates'!$O$5:$O$1004,"&lt;&gt;Expired")&gt;0,"Yes",IF(COUNTIF('AFA Rates'!$A$5:$A$1004,A886)&gt;0,"Expired only","No")))</f>
        <v/>
      </c>
      <c r="Q886" s="84">
        <f>IF(A886="","",COUNTIFS('AFA Rates'!$A$5:$A$1004,A886,'AFA Rates'!$O$5:$O$1004,"&lt;&gt;Expired"))</f>
        <v/>
      </c>
      <c r="R886" s="66" t="n"/>
      <c r="S886" s="64" t="n"/>
      <c r="T886" s="64" t="n"/>
      <c r="U886">
        <f>IF(AND(A886&lt;&gt;"",B886="Paused"),COUNTIFS($A$5:A886,"&lt;&gt;",$B$5:B886,"Paused"),"")</f>
        <v/>
      </c>
      <c r="V886">
        <f>IF(P886="Yes",COUNTIF($P$5:P886,"Yes"),"")</f>
        <v/>
      </c>
      <c r="W886">
        <f>IF(A886="","",COUNTIF($A$5:$A$1004,"&lt;"&amp;A886)+COUNTIF($A$5:A886,A886))</f>
        <v/>
      </c>
      <c r="X886">
        <f>","&amp;SUBSTITUTE(SUBSTITUTE(SUBSTITUTE(UPPER(C886)," ",""),";",","),"/",",")&amp;","</f>
        <v/>
      </c>
      <c r="Y886">
        <f>IF(AND(A886&lt;&gt;"",B886="Active",'State Search'!$C$5&lt;&gt;"",OR(X886=",ALL,",ISNUMBER(SEARCH(","&amp;'State Search'!$C$5&amp;",",X886)))),W886,"")</f>
        <v/>
      </c>
    </row>
    <row r="887">
      <c r="A887" s="64" t="n"/>
      <c r="B887" s="65" t="n"/>
      <c r="C887" s="64" t="n"/>
      <c r="D887" s="66" t="n"/>
      <c r="E887" s="66" t="n"/>
      <c r="F887" s="67" t="n"/>
      <c r="G887" s="67" t="n"/>
      <c r="H887" s="67" t="n"/>
      <c r="I887" s="67" t="n"/>
      <c r="J887" s="67" t="n"/>
      <c r="K887" s="67" t="n"/>
      <c r="L887" s="67" t="n"/>
      <c r="M887" s="67" t="n"/>
      <c r="N887" s="65" t="n"/>
      <c r="O887" s="84">
        <f>IF(A887="","",IF(E887="","No date",IF(TODAY()&gt;=EDATE(E887,Review_Months),"Review Due","Current")))</f>
        <v/>
      </c>
      <c r="P887" s="84">
        <f>IF(A887="","",IF(COUNTIFS('AFA Rates'!$A$5:$A$1004,A887,'AFA Rates'!$O$5:$O$1004,"&lt;&gt;Expired")&gt;0,"Yes",IF(COUNTIF('AFA Rates'!$A$5:$A$1004,A887)&gt;0,"Expired only","No")))</f>
        <v/>
      </c>
      <c r="Q887" s="84">
        <f>IF(A887="","",COUNTIFS('AFA Rates'!$A$5:$A$1004,A887,'AFA Rates'!$O$5:$O$1004,"&lt;&gt;Expired"))</f>
        <v/>
      </c>
      <c r="R887" s="66" t="n"/>
      <c r="S887" s="64" t="n"/>
      <c r="T887" s="64" t="n"/>
      <c r="U887">
        <f>IF(AND(A887&lt;&gt;"",B887="Paused"),COUNTIFS($A$5:A887,"&lt;&gt;",$B$5:B887,"Paused"),"")</f>
        <v/>
      </c>
      <c r="V887">
        <f>IF(P887="Yes",COUNTIF($P$5:P887,"Yes"),"")</f>
        <v/>
      </c>
      <c r="W887">
        <f>IF(A887="","",COUNTIF($A$5:$A$1004,"&lt;"&amp;A887)+COUNTIF($A$5:A887,A887))</f>
        <v/>
      </c>
      <c r="X887">
        <f>","&amp;SUBSTITUTE(SUBSTITUTE(SUBSTITUTE(UPPER(C887)," ",""),";",","),"/",",")&amp;","</f>
        <v/>
      </c>
      <c r="Y887">
        <f>IF(AND(A887&lt;&gt;"",B887="Active",'State Search'!$C$5&lt;&gt;"",OR(X887=",ALL,",ISNUMBER(SEARCH(","&amp;'State Search'!$C$5&amp;",",X887)))),W887,"")</f>
        <v/>
      </c>
    </row>
    <row r="888">
      <c r="A888" s="64" t="n"/>
      <c r="B888" s="65" t="n"/>
      <c r="C888" s="64" t="n"/>
      <c r="D888" s="66" t="n"/>
      <c r="E888" s="66" t="n"/>
      <c r="F888" s="67" t="n"/>
      <c r="G888" s="67" t="n"/>
      <c r="H888" s="67" t="n"/>
      <c r="I888" s="67" t="n"/>
      <c r="J888" s="67" t="n"/>
      <c r="K888" s="67" t="n"/>
      <c r="L888" s="67" t="n"/>
      <c r="M888" s="67" t="n"/>
      <c r="N888" s="65" t="n"/>
      <c r="O888" s="84">
        <f>IF(A888="","",IF(E888="","No date",IF(TODAY()&gt;=EDATE(E888,Review_Months),"Review Due","Current")))</f>
        <v/>
      </c>
      <c r="P888" s="84">
        <f>IF(A888="","",IF(COUNTIFS('AFA Rates'!$A$5:$A$1004,A888,'AFA Rates'!$O$5:$O$1004,"&lt;&gt;Expired")&gt;0,"Yes",IF(COUNTIF('AFA Rates'!$A$5:$A$1004,A888)&gt;0,"Expired only","No")))</f>
        <v/>
      </c>
      <c r="Q888" s="84">
        <f>IF(A888="","",COUNTIFS('AFA Rates'!$A$5:$A$1004,A888,'AFA Rates'!$O$5:$O$1004,"&lt;&gt;Expired"))</f>
        <v/>
      </c>
      <c r="R888" s="66" t="n"/>
      <c r="S888" s="64" t="n"/>
      <c r="T888" s="64" t="n"/>
      <c r="U888">
        <f>IF(AND(A888&lt;&gt;"",B888="Paused"),COUNTIFS($A$5:A888,"&lt;&gt;",$B$5:B888,"Paused"),"")</f>
        <v/>
      </c>
      <c r="V888">
        <f>IF(P888="Yes",COUNTIF($P$5:P888,"Yes"),"")</f>
        <v/>
      </c>
      <c r="W888">
        <f>IF(A888="","",COUNTIF($A$5:$A$1004,"&lt;"&amp;A888)+COUNTIF($A$5:A888,A888))</f>
        <v/>
      </c>
      <c r="X888">
        <f>","&amp;SUBSTITUTE(SUBSTITUTE(SUBSTITUTE(UPPER(C888)," ",""),";",","),"/",",")&amp;","</f>
        <v/>
      </c>
      <c r="Y888">
        <f>IF(AND(A888&lt;&gt;"",B888="Active",'State Search'!$C$5&lt;&gt;"",OR(X888=",ALL,",ISNUMBER(SEARCH(","&amp;'State Search'!$C$5&amp;",",X888)))),W888,"")</f>
        <v/>
      </c>
    </row>
    <row r="889">
      <c r="A889" s="64" t="n"/>
      <c r="B889" s="65" t="n"/>
      <c r="C889" s="64" t="n"/>
      <c r="D889" s="66" t="n"/>
      <c r="E889" s="66" t="n"/>
      <c r="F889" s="67" t="n"/>
      <c r="G889" s="67" t="n"/>
      <c r="H889" s="67" t="n"/>
      <c r="I889" s="67" t="n"/>
      <c r="J889" s="67" t="n"/>
      <c r="K889" s="67" t="n"/>
      <c r="L889" s="67" t="n"/>
      <c r="M889" s="67" t="n"/>
      <c r="N889" s="65" t="n"/>
      <c r="O889" s="84">
        <f>IF(A889="","",IF(E889="","No date",IF(TODAY()&gt;=EDATE(E889,Review_Months),"Review Due","Current")))</f>
        <v/>
      </c>
      <c r="P889" s="84">
        <f>IF(A889="","",IF(COUNTIFS('AFA Rates'!$A$5:$A$1004,A889,'AFA Rates'!$O$5:$O$1004,"&lt;&gt;Expired")&gt;0,"Yes",IF(COUNTIF('AFA Rates'!$A$5:$A$1004,A889)&gt;0,"Expired only","No")))</f>
        <v/>
      </c>
      <c r="Q889" s="84">
        <f>IF(A889="","",COUNTIFS('AFA Rates'!$A$5:$A$1004,A889,'AFA Rates'!$O$5:$O$1004,"&lt;&gt;Expired"))</f>
        <v/>
      </c>
      <c r="R889" s="66" t="n"/>
      <c r="S889" s="64" t="n"/>
      <c r="T889" s="64" t="n"/>
      <c r="U889">
        <f>IF(AND(A889&lt;&gt;"",B889="Paused"),COUNTIFS($A$5:A889,"&lt;&gt;",$B$5:B889,"Paused"),"")</f>
        <v/>
      </c>
      <c r="V889">
        <f>IF(P889="Yes",COUNTIF($P$5:P889,"Yes"),"")</f>
        <v/>
      </c>
      <c r="W889">
        <f>IF(A889="","",COUNTIF($A$5:$A$1004,"&lt;"&amp;A889)+COUNTIF($A$5:A889,A889))</f>
        <v/>
      </c>
      <c r="X889">
        <f>","&amp;SUBSTITUTE(SUBSTITUTE(SUBSTITUTE(UPPER(C889)," ",""),";",","),"/",",")&amp;","</f>
        <v/>
      </c>
      <c r="Y889">
        <f>IF(AND(A889&lt;&gt;"",B889="Active",'State Search'!$C$5&lt;&gt;"",OR(X889=",ALL,",ISNUMBER(SEARCH(","&amp;'State Search'!$C$5&amp;",",X889)))),W889,"")</f>
        <v/>
      </c>
    </row>
    <row r="890">
      <c r="A890" s="64" t="n"/>
      <c r="B890" s="65" t="n"/>
      <c r="C890" s="64" t="n"/>
      <c r="D890" s="66" t="n"/>
      <c r="E890" s="66" t="n"/>
      <c r="F890" s="67" t="n"/>
      <c r="G890" s="67" t="n"/>
      <c r="H890" s="67" t="n"/>
      <c r="I890" s="67" t="n"/>
      <c r="J890" s="67" t="n"/>
      <c r="K890" s="67" t="n"/>
      <c r="L890" s="67" t="n"/>
      <c r="M890" s="67" t="n"/>
      <c r="N890" s="65" t="n"/>
      <c r="O890" s="84">
        <f>IF(A890="","",IF(E890="","No date",IF(TODAY()&gt;=EDATE(E890,Review_Months),"Review Due","Current")))</f>
        <v/>
      </c>
      <c r="P890" s="84">
        <f>IF(A890="","",IF(COUNTIFS('AFA Rates'!$A$5:$A$1004,A890,'AFA Rates'!$O$5:$O$1004,"&lt;&gt;Expired")&gt;0,"Yes",IF(COUNTIF('AFA Rates'!$A$5:$A$1004,A890)&gt;0,"Expired only","No")))</f>
        <v/>
      </c>
      <c r="Q890" s="84">
        <f>IF(A890="","",COUNTIFS('AFA Rates'!$A$5:$A$1004,A890,'AFA Rates'!$O$5:$O$1004,"&lt;&gt;Expired"))</f>
        <v/>
      </c>
      <c r="R890" s="66" t="n"/>
      <c r="S890" s="64" t="n"/>
      <c r="T890" s="64" t="n"/>
      <c r="U890">
        <f>IF(AND(A890&lt;&gt;"",B890="Paused"),COUNTIFS($A$5:A890,"&lt;&gt;",$B$5:B890,"Paused"),"")</f>
        <v/>
      </c>
      <c r="V890">
        <f>IF(P890="Yes",COUNTIF($P$5:P890,"Yes"),"")</f>
        <v/>
      </c>
      <c r="W890">
        <f>IF(A890="","",COUNTIF($A$5:$A$1004,"&lt;"&amp;A890)+COUNTIF($A$5:A890,A890))</f>
        <v/>
      </c>
      <c r="X890">
        <f>","&amp;SUBSTITUTE(SUBSTITUTE(SUBSTITUTE(UPPER(C890)," ",""),";",","),"/",",")&amp;","</f>
        <v/>
      </c>
      <c r="Y890">
        <f>IF(AND(A890&lt;&gt;"",B890="Active",'State Search'!$C$5&lt;&gt;"",OR(X890=",ALL,",ISNUMBER(SEARCH(","&amp;'State Search'!$C$5&amp;",",X890)))),W890,"")</f>
        <v/>
      </c>
    </row>
    <row r="891">
      <c r="A891" s="64" t="n"/>
      <c r="B891" s="65" t="n"/>
      <c r="C891" s="64" t="n"/>
      <c r="D891" s="66" t="n"/>
      <c r="E891" s="66" t="n"/>
      <c r="F891" s="67" t="n"/>
      <c r="G891" s="67" t="n"/>
      <c r="H891" s="67" t="n"/>
      <c r="I891" s="67" t="n"/>
      <c r="J891" s="67" t="n"/>
      <c r="K891" s="67" t="n"/>
      <c r="L891" s="67" t="n"/>
      <c r="M891" s="67" t="n"/>
      <c r="N891" s="65" t="n"/>
      <c r="O891" s="84">
        <f>IF(A891="","",IF(E891="","No date",IF(TODAY()&gt;=EDATE(E891,Review_Months),"Review Due","Current")))</f>
        <v/>
      </c>
      <c r="P891" s="84">
        <f>IF(A891="","",IF(COUNTIFS('AFA Rates'!$A$5:$A$1004,A891,'AFA Rates'!$O$5:$O$1004,"&lt;&gt;Expired")&gt;0,"Yes",IF(COUNTIF('AFA Rates'!$A$5:$A$1004,A891)&gt;0,"Expired only","No")))</f>
        <v/>
      </c>
      <c r="Q891" s="84">
        <f>IF(A891="","",COUNTIFS('AFA Rates'!$A$5:$A$1004,A891,'AFA Rates'!$O$5:$O$1004,"&lt;&gt;Expired"))</f>
        <v/>
      </c>
      <c r="R891" s="66" t="n"/>
      <c r="S891" s="64" t="n"/>
      <c r="T891" s="64" t="n"/>
      <c r="U891">
        <f>IF(AND(A891&lt;&gt;"",B891="Paused"),COUNTIFS($A$5:A891,"&lt;&gt;",$B$5:B891,"Paused"),"")</f>
        <v/>
      </c>
      <c r="V891">
        <f>IF(P891="Yes",COUNTIF($P$5:P891,"Yes"),"")</f>
        <v/>
      </c>
      <c r="W891">
        <f>IF(A891="","",COUNTIF($A$5:$A$1004,"&lt;"&amp;A891)+COUNTIF($A$5:A891,A891))</f>
        <v/>
      </c>
      <c r="X891">
        <f>","&amp;SUBSTITUTE(SUBSTITUTE(SUBSTITUTE(UPPER(C891)," ",""),";",","),"/",",")&amp;","</f>
        <v/>
      </c>
      <c r="Y891">
        <f>IF(AND(A891&lt;&gt;"",B891="Active",'State Search'!$C$5&lt;&gt;"",OR(X891=",ALL,",ISNUMBER(SEARCH(","&amp;'State Search'!$C$5&amp;",",X891)))),W891,"")</f>
        <v/>
      </c>
    </row>
    <row r="892">
      <c r="A892" s="64" t="n"/>
      <c r="B892" s="65" t="n"/>
      <c r="C892" s="64" t="n"/>
      <c r="D892" s="66" t="n"/>
      <c r="E892" s="66" t="n"/>
      <c r="F892" s="67" t="n"/>
      <c r="G892" s="67" t="n"/>
      <c r="H892" s="67" t="n"/>
      <c r="I892" s="67" t="n"/>
      <c r="J892" s="67" t="n"/>
      <c r="K892" s="67" t="n"/>
      <c r="L892" s="67" t="n"/>
      <c r="M892" s="67" t="n"/>
      <c r="N892" s="65" t="n"/>
      <c r="O892" s="84">
        <f>IF(A892="","",IF(E892="","No date",IF(TODAY()&gt;=EDATE(E892,Review_Months),"Review Due","Current")))</f>
        <v/>
      </c>
      <c r="P892" s="84">
        <f>IF(A892="","",IF(COUNTIFS('AFA Rates'!$A$5:$A$1004,A892,'AFA Rates'!$O$5:$O$1004,"&lt;&gt;Expired")&gt;0,"Yes",IF(COUNTIF('AFA Rates'!$A$5:$A$1004,A892)&gt;0,"Expired only","No")))</f>
        <v/>
      </c>
      <c r="Q892" s="84">
        <f>IF(A892="","",COUNTIFS('AFA Rates'!$A$5:$A$1004,A892,'AFA Rates'!$O$5:$O$1004,"&lt;&gt;Expired"))</f>
        <v/>
      </c>
      <c r="R892" s="66" t="n"/>
      <c r="S892" s="64" t="n"/>
      <c r="T892" s="64" t="n"/>
      <c r="U892">
        <f>IF(AND(A892&lt;&gt;"",B892="Paused"),COUNTIFS($A$5:A892,"&lt;&gt;",$B$5:B892,"Paused"),"")</f>
        <v/>
      </c>
      <c r="V892">
        <f>IF(P892="Yes",COUNTIF($P$5:P892,"Yes"),"")</f>
        <v/>
      </c>
      <c r="W892">
        <f>IF(A892="","",COUNTIF($A$5:$A$1004,"&lt;"&amp;A892)+COUNTIF($A$5:A892,A892))</f>
        <v/>
      </c>
      <c r="X892">
        <f>","&amp;SUBSTITUTE(SUBSTITUTE(SUBSTITUTE(UPPER(C892)," ",""),";",","),"/",",")&amp;","</f>
        <v/>
      </c>
      <c r="Y892">
        <f>IF(AND(A892&lt;&gt;"",B892="Active",'State Search'!$C$5&lt;&gt;"",OR(X892=",ALL,",ISNUMBER(SEARCH(","&amp;'State Search'!$C$5&amp;",",X892)))),W892,"")</f>
        <v/>
      </c>
    </row>
    <row r="893">
      <c r="A893" s="64" t="n"/>
      <c r="B893" s="65" t="n"/>
      <c r="C893" s="64" t="n"/>
      <c r="D893" s="66" t="n"/>
      <c r="E893" s="66" t="n"/>
      <c r="F893" s="67" t="n"/>
      <c r="G893" s="67" t="n"/>
      <c r="H893" s="67" t="n"/>
      <c r="I893" s="67" t="n"/>
      <c r="J893" s="67" t="n"/>
      <c r="K893" s="67" t="n"/>
      <c r="L893" s="67" t="n"/>
      <c r="M893" s="67" t="n"/>
      <c r="N893" s="65" t="n"/>
      <c r="O893" s="84">
        <f>IF(A893="","",IF(E893="","No date",IF(TODAY()&gt;=EDATE(E893,Review_Months),"Review Due","Current")))</f>
        <v/>
      </c>
      <c r="P893" s="84">
        <f>IF(A893="","",IF(COUNTIFS('AFA Rates'!$A$5:$A$1004,A893,'AFA Rates'!$O$5:$O$1004,"&lt;&gt;Expired")&gt;0,"Yes",IF(COUNTIF('AFA Rates'!$A$5:$A$1004,A893)&gt;0,"Expired only","No")))</f>
        <v/>
      </c>
      <c r="Q893" s="84">
        <f>IF(A893="","",COUNTIFS('AFA Rates'!$A$5:$A$1004,A893,'AFA Rates'!$O$5:$O$1004,"&lt;&gt;Expired"))</f>
        <v/>
      </c>
      <c r="R893" s="66" t="n"/>
      <c r="S893" s="64" t="n"/>
      <c r="T893" s="64" t="n"/>
      <c r="U893">
        <f>IF(AND(A893&lt;&gt;"",B893="Paused"),COUNTIFS($A$5:A893,"&lt;&gt;",$B$5:B893,"Paused"),"")</f>
        <v/>
      </c>
      <c r="V893">
        <f>IF(P893="Yes",COUNTIF($P$5:P893,"Yes"),"")</f>
        <v/>
      </c>
      <c r="W893">
        <f>IF(A893="","",COUNTIF($A$5:$A$1004,"&lt;"&amp;A893)+COUNTIF($A$5:A893,A893))</f>
        <v/>
      </c>
      <c r="X893">
        <f>","&amp;SUBSTITUTE(SUBSTITUTE(SUBSTITUTE(UPPER(C893)," ",""),";",","),"/",",")&amp;","</f>
        <v/>
      </c>
      <c r="Y893">
        <f>IF(AND(A893&lt;&gt;"",B893="Active",'State Search'!$C$5&lt;&gt;"",OR(X893=",ALL,",ISNUMBER(SEARCH(","&amp;'State Search'!$C$5&amp;",",X893)))),W893,"")</f>
        <v/>
      </c>
    </row>
    <row r="894">
      <c r="A894" s="64" t="n"/>
      <c r="B894" s="65" t="n"/>
      <c r="C894" s="64" t="n"/>
      <c r="D894" s="66" t="n"/>
      <c r="E894" s="66" t="n"/>
      <c r="F894" s="67" t="n"/>
      <c r="G894" s="67" t="n"/>
      <c r="H894" s="67" t="n"/>
      <c r="I894" s="67" t="n"/>
      <c r="J894" s="67" t="n"/>
      <c r="K894" s="67" t="n"/>
      <c r="L894" s="67" t="n"/>
      <c r="M894" s="67" t="n"/>
      <c r="N894" s="65" t="n"/>
      <c r="O894" s="84">
        <f>IF(A894="","",IF(E894="","No date",IF(TODAY()&gt;=EDATE(E894,Review_Months),"Review Due","Current")))</f>
        <v/>
      </c>
      <c r="P894" s="84">
        <f>IF(A894="","",IF(COUNTIFS('AFA Rates'!$A$5:$A$1004,A894,'AFA Rates'!$O$5:$O$1004,"&lt;&gt;Expired")&gt;0,"Yes",IF(COUNTIF('AFA Rates'!$A$5:$A$1004,A894)&gt;0,"Expired only","No")))</f>
        <v/>
      </c>
      <c r="Q894" s="84">
        <f>IF(A894="","",COUNTIFS('AFA Rates'!$A$5:$A$1004,A894,'AFA Rates'!$O$5:$O$1004,"&lt;&gt;Expired"))</f>
        <v/>
      </c>
      <c r="R894" s="66" t="n"/>
      <c r="S894" s="64" t="n"/>
      <c r="T894" s="64" t="n"/>
      <c r="U894">
        <f>IF(AND(A894&lt;&gt;"",B894="Paused"),COUNTIFS($A$5:A894,"&lt;&gt;",$B$5:B894,"Paused"),"")</f>
        <v/>
      </c>
      <c r="V894">
        <f>IF(P894="Yes",COUNTIF($P$5:P894,"Yes"),"")</f>
        <v/>
      </c>
      <c r="W894">
        <f>IF(A894="","",COUNTIF($A$5:$A$1004,"&lt;"&amp;A894)+COUNTIF($A$5:A894,A894))</f>
        <v/>
      </c>
      <c r="X894">
        <f>","&amp;SUBSTITUTE(SUBSTITUTE(SUBSTITUTE(UPPER(C894)," ",""),";",","),"/",",")&amp;","</f>
        <v/>
      </c>
      <c r="Y894">
        <f>IF(AND(A894&lt;&gt;"",B894="Active",'State Search'!$C$5&lt;&gt;"",OR(X894=",ALL,",ISNUMBER(SEARCH(","&amp;'State Search'!$C$5&amp;",",X894)))),W894,"")</f>
        <v/>
      </c>
    </row>
    <row r="895">
      <c r="A895" s="64" t="n"/>
      <c r="B895" s="65" t="n"/>
      <c r="C895" s="64" t="n"/>
      <c r="D895" s="66" t="n"/>
      <c r="E895" s="66" t="n"/>
      <c r="F895" s="67" t="n"/>
      <c r="G895" s="67" t="n"/>
      <c r="H895" s="67" t="n"/>
      <c r="I895" s="67" t="n"/>
      <c r="J895" s="67" t="n"/>
      <c r="K895" s="67" t="n"/>
      <c r="L895" s="67" t="n"/>
      <c r="M895" s="67" t="n"/>
      <c r="N895" s="65" t="n"/>
      <c r="O895" s="84">
        <f>IF(A895="","",IF(E895="","No date",IF(TODAY()&gt;=EDATE(E895,Review_Months),"Review Due","Current")))</f>
        <v/>
      </c>
      <c r="P895" s="84">
        <f>IF(A895="","",IF(COUNTIFS('AFA Rates'!$A$5:$A$1004,A895,'AFA Rates'!$O$5:$O$1004,"&lt;&gt;Expired")&gt;0,"Yes",IF(COUNTIF('AFA Rates'!$A$5:$A$1004,A895)&gt;0,"Expired only","No")))</f>
        <v/>
      </c>
      <c r="Q895" s="84">
        <f>IF(A895="","",COUNTIFS('AFA Rates'!$A$5:$A$1004,A895,'AFA Rates'!$O$5:$O$1004,"&lt;&gt;Expired"))</f>
        <v/>
      </c>
      <c r="R895" s="66" t="n"/>
      <c r="S895" s="64" t="n"/>
      <c r="T895" s="64" t="n"/>
      <c r="U895">
        <f>IF(AND(A895&lt;&gt;"",B895="Paused"),COUNTIFS($A$5:A895,"&lt;&gt;",$B$5:B895,"Paused"),"")</f>
        <v/>
      </c>
      <c r="V895">
        <f>IF(P895="Yes",COUNTIF($P$5:P895,"Yes"),"")</f>
        <v/>
      </c>
      <c r="W895">
        <f>IF(A895="","",COUNTIF($A$5:$A$1004,"&lt;"&amp;A895)+COUNTIF($A$5:A895,A895))</f>
        <v/>
      </c>
      <c r="X895">
        <f>","&amp;SUBSTITUTE(SUBSTITUTE(SUBSTITUTE(UPPER(C895)," ",""),";",","),"/",",")&amp;","</f>
        <v/>
      </c>
      <c r="Y895">
        <f>IF(AND(A895&lt;&gt;"",B895="Active",'State Search'!$C$5&lt;&gt;"",OR(X895=",ALL,",ISNUMBER(SEARCH(","&amp;'State Search'!$C$5&amp;",",X895)))),W895,"")</f>
        <v/>
      </c>
    </row>
    <row r="896">
      <c r="A896" s="64" t="n"/>
      <c r="B896" s="65" t="n"/>
      <c r="C896" s="64" t="n"/>
      <c r="D896" s="66" t="n"/>
      <c r="E896" s="66" t="n"/>
      <c r="F896" s="67" t="n"/>
      <c r="G896" s="67" t="n"/>
      <c r="H896" s="67" t="n"/>
      <c r="I896" s="67" t="n"/>
      <c r="J896" s="67" t="n"/>
      <c r="K896" s="67" t="n"/>
      <c r="L896" s="67" t="n"/>
      <c r="M896" s="67" t="n"/>
      <c r="N896" s="65" t="n"/>
      <c r="O896" s="84">
        <f>IF(A896="","",IF(E896="","No date",IF(TODAY()&gt;=EDATE(E896,Review_Months),"Review Due","Current")))</f>
        <v/>
      </c>
      <c r="P896" s="84">
        <f>IF(A896="","",IF(COUNTIFS('AFA Rates'!$A$5:$A$1004,A896,'AFA Rates'!$O$5:$O$1004,"&lt;&gt;Expired")&gt;0,"Yes",IF(COUNTIF('AFA Rates'!$A$5:$A$1004,A896)&gt;0,"Expired only","No")))</f>
        <v/>
      </c>
      <c r="Q896" s="84">
        <f>IF(A896="","",COUNTIFS('AFA Rates'!$A$5:$A$1004,A896,'AFA Rates'!$O$5:$O$1004,"&lt;&gt;Expired"))</f>
        <v/>
      </c>
      <c r="R896" s="66" t="n"/>
      <c r="S896" s="64" t="n"/>
      <c r="T896" s="64" t="n"/>
      <c r="U896">
        <f>IF(AND(A896&lt;&gt;"",B896="Paused"),COUNTIFS($A$5:A896,"&lt;&gt;",$B$5:B896,"Paused"),"")</f>
        <v/>
      </c>
      <c r="V896">
        <f>IF(P896="Yes",COUNTIF($P$5:P896,"Yes"),"")</f>
        <v/>
      </c>
      <c r="W896">
        <f>IF(A896="","",COUNTIF($A$5:$A$1004,"&lt;"&amp;A896)+COUNTIF($A$5:A896,A896))</f>
        <v/>
      </c>
      <c r="X896">
        <f>","&amp;SUBSTITUTE(SUBSTITUTE(SUBSTITUTE(UPPER(C896)," ",""),";",","),"/",",")&amp;","</f>
        <v/>
      </c>
      <c r="Y896">
        <f>IF(AND(A896&lt;&gt;"",B896="Active",'State Search'!$C$5&lt;&gt;"",OR(X896=",ALL,",ISNUMBER(SEARCH(","&amp;'State Search'!$C$5&amp;",",X896)))),W896,"")</f>
        <v/>
      </c>
    </row>
    <row r="897">
      <c r="A897" s="64" t="n"/>
      <c r="B897" s="65" t="n"/>
      <c r="C897" s="64" t="n"/>
      <c r="D897" s="66" t="n"/>
      <c r="E897" s="66" t="n"/>
      <c r="F897" s="67" t="n"/>
      <c r="G897" s="67" t="n"/>
      <c r="H897" s="67" t="n"/>
      <c r="I897" s="67" t="n"/>
      <c r="J897" s="67" t="n"/>
      <c r="K897" s="67" t="n"/>
      <c r="L897" s="67" t="n"/>
      <c r="M897" s="67" t="n"/>
      <c r="N897" s="65" t="n"/>
      <c r="O897" s="84">
        <f>IF(A897="","",IF(E897="","No date",IF(TODAY()&gt;=EDATE(E897,Review_Months),"Review Due","Current")))</f>
        <v/>
      </c>
      <c r="P897" s="84">
        <f>IF(A897="","",IF(COUNTIFS('AFA Rates'!$A$5:$A$1004,A897,'AFA Rates'!$O$5:$O$1004,"&lt;&gt;Expired")&gt;0,"Yes",IF(COUNTIF('AFA Rates'!$A$5:$A$1004,A897)&gt;0,"Expired only","No")))</f>
        <v/>
      </c>
      <c r="Q897" s="84">
        <f>IF(A897="","",COUNTIFS('AFA Rates'!$A$5:$A$1004,A897,'AFA Rates'!$O$5:$O$1004,"&lt;&gt;Expired"))</f>
        <v/>
      </c>
      <c r="R897" s="66" t="n"/>
      <c r="S897" s="64" t="n"/>
      <c r="T897" s="64" t="n"/>
      <c r="U897">
        <f>IF(AND(A897&lt;&gt;"",B897="Paused"),COUNTIFS($A$5:A897,"&lt;&gt;",$B$5:B897,"Paused"),"")</f>
        <v/>
      </c>
      <c r="V897">
        <f>IF(P897="Yes",COUNTIF($P$5:P897,"Yes"),"")</f>
        <v/>
      </c>
      <c r="W897">
        <f>IF(A897="","",COUNTIF($A$5:$A$1004,"&lt;"&amp;A897)+COUNTIF($A$5:A897,A897))</f>
        <v/>
      </c>
      <c r="X897">
        <f>","&amp;SUBSTITUTE(SUBSTITUTE(SUBSTITUTE(UPPER(C897)," ",""),";",","),"/",",")&amp;","</f>
        <v/>
      </c>
      <c r="Y897">
        <f>IF(AND(A897&lt;&gt;"",B897="Active",'State Search'!$C$5&lt;&gt;"",OR(X897=",ALL,",ISNUMBER(SEARCH(","&amp;'State Search'!$C$5&amp;",",X897)))),W897,"")</f>
        <v/>
      </c>
    </row>
    <row r="898">
      <c r="A898" s="64" t="n"/>
      <c r="B898" s="65" t="n"/>
      <c r="C898" s="64" t="n"/>
      <c r="D898" s="66" t="n"/>
      <c r="E898" s="66" t="n"/>
      <c r="F898" s="67" t="n"/>
      <c r="G898" s="67" t="n"/>
      <c r="H898" s="67" t="n"/>
      <c r="I898" s="67" t="n"/>
      <c r="J898" s="67" t="n"/>
      <c r="K898" s="67" t="n"/>
      <c r="L898" s="67" t="n"/>
      <c r="M898" s="67" t="n"/>
      <c r="N898" s="65" t="n"/>
      <c r="O898" s="84">
        <f>IF(A898="","",IF(E898="","No date",IF(TODAY()&gt;=EDATE(E898,Review_Months),"Review Due","Current")))</f>
        <v/>
      </c>
      <c r="P898" s="84">
        <f>IF(A898="","",IF(COUNTIFS('AFA Rates'!$A$5:$A$1004,A898,'AFA Rates'!$O$5:$O$1004,"&lt;&gt;Expired")&gt;0,"Yes",IF(COUNTIF('AFA Rates'!$A$5:$A$1004,A898)&gt;0,"Expired only","No")))</f>
        <v/>
      </c>
      <c r="Q898" s="84">
        <f>IF(A898="","",COUNTIFS('AFA Rates'!$A$5:$A$1004,A898,'AFA Rates'!$O$5:$O$1004,"&lt;&gt;Expired"))</f>
        <v/>
      </c>
      <c r="R898" s="66" t="n"/>
      <c r="S898" s="64" t="n"/>
      <c r="T898" s="64" t="n"/>
      <c r="U898">
        <f>IF(AND(A898&lt;&gt;"",B898="Paused"),COUNTIFS($A$5:A898,"&lt;&gt;",$B$5:B898,"Paused"),"")</f>
        <v/>
      </c>
      <c r="V898">
        <f>IF(P898="Yes",COUNTIF($P$5:P898,"Yes"),"")</f>
        <v/>
      </c>
      <c r="W898">
        <f>IF(A898="","",COUNTIF($A$5:$A$1004,"&lt;"&amp;A898)+COUNTIF($A$5:A898,A898))</f>
        <v/>
      </c>
      <c r="X898">
        <f>","&amp;SUBSTITUTE(SUBSTITUTE(SUBSTITUTE(UPPER(C898)," ",""),";",","),"/",",")&amp;","</f>
        <v/>
      </c>
      <c r="Y898">
        <f>IF(AND(A898&lt;&gt;"",B898="Active",'State Search'!$C$5&lt;&gt;"",OR(X898=",ALL,",ISNUMBER(SEARCH(","&amp;'State Search'!$C$5&amp;",",X898)))),W898,"")</f>
        <v/>
      </c>
    </row>
    <row r="899">
      <c r="A899" s="64" t="n"/>
      <c r="B899" s="65" t="n"/>
      <c r="C899" s="64" t="n"/>
      <c r="D899" s="66" t="n"/>
      <c r="E899" s="66" t="n"/>
      <c r="F899" s="67" t="n"/>
      <c r="G899" s="67" t="n"/>
      <c r="H899" s="67" t="n"/>
      <c r="I899" s="67" t="n"/>
      <c r="J899" s="67" t="n"/>
      <c r="K899" s="67" t="n"/>
      <c r="L899" s="67" t="n"/>
      <c r="M899" s="67" t="n"/>
      <c r="N899" s="65" t="n"/>
      <c r="O899" s="84">
        <f>IF(A899="","",IF(E899="","No date",IF(TODAY()&gt;=EDATE(E899,Review_Months),"Review Due","Current")))</f>
        <v/>
      </c>
      <c r="P899" s="84">
        <f>IF(A899="","",IF(COUNTIFS('AFA Rates'!$A$5:$A$1004,A899,'AFA Rates'!$O$5:$O$1004,"&lt;&gt;Expired")&gt;0,"Yes",IF(COUNTIF('AFA Rates'!$A$5:$A$1004,A899)&gt;0,"Expired only","No")))</f>
        <v/>
      </c>
      <c r="Q899" s="84">
        <f>IF(A899="","",COUNTIFS('AFA Rates'!$A$5:$A$1004,A899,'AFA Rates'!$O$5:$O$1004,"&lt;&gt;Expired"))</f>
        <v/>
      </c>
      <c r="R899" s="66" t="n"/>
      <c r="S899" s="64" t="n"/>
      <c r="T899" s="64" t="n"/>
      <c r="U899">
        <f>IF(AND(A899&lt;&gt;"",B899="Paused"),COUNTIFS($A$5:A899,"&lt;&gt;",$B$5:B899,"Paused"),"")</f>
        <v/>
      </c>
      <c r="V899">
        <f>IF(P899="Yes",COUNTIF($P$5:P899,"Yes"),"")</f>
        <v/>
      </c>
      <c r="W899">
        <f>IF(A899="","",COUNTIF($A$5:$A$1004,"&lt;"&amp;A899)+COUNTIF($A$5:A899,A899))</f>
        <v/>
      </c>
      <c r="X899">
        <f>","&amp;SUBSTITUTE(SUBSTITUTE(SUBSTITUTE(UPPER(C899)," ",""),";",","),"/",",")&amp;","</f>
        <v/>
      </c>
      <c r="Y899">
        <f>IF(AND(A899&lt;&gt;"",B899="Active",'State Search'!$C$5&lt;&gt;"",OR(X899=",ALL,",ISNUMBER(SEARCH(","&amp;'State Search'!$C$5&amp;",",X899)))),W899,"")</f>
        <v/>
      </c>
    </row>
    <row r="900">
      <c r="A900" s="64" t="n"/>
      <c r="B900" s="65" t="n"/>
      <c r="C900" s="64" t="n"/>
      <c r="D900" s="66" t="n"/>
      <c r="E900" s="66" t="n"/>
      <c r="F900" s="67" t="n"/>
      <c r="G900" s="67" t="n"/>
      <c r="H900" s="67" t="n"/>
      <c r="I900" s="67" t="n"/>
      <c r="J900" s="67" t="n"/>
      <c r="K900" s="67" t="n"/>
      <c r="L900" s="67" t="n"/>
      <c r="M900" s="67" t="n"/>
      <c r="N900" s="65" t="n"/>
      <c r="O900" s="84">
        <f>IF(A900="","",IF(E900="","No date",IF(TODAY()&gt;=EDATE(E900,Review_Months),"Review Due","Current")))</f>
        <v/>
      </c>
      <c r="P900" s="84">
        <f>IF(A900="","",IF(COUNTIFS('AFA Rates'!$A$5:$A$1004,A900,'AFA Rates'!$O$5:$O$1004,"&lt;&gt;Expired")&gt;0,"Yes",IF(COUNTIF('AFA Rates'!$A$5:$A$1004,A900)&gt;0,"Expired only","No")))</f>
        <v/>
      </c>
      <c r="Q900" s="84">
        <f>IF(A900="","",COUNTIFS('AFA Rates'!$A$5:$A$1004,A900,'AFA Rates'!$O$5:$O$1004,"&lt;&gt;Expired"))</f>
        <v/>
      </c>
      <c r="R900" s="66" t="n"/>
      <c r="S900" s="64" t="n"/>
      <c r="T900" s="64" t="n"/>
      <c r="U900">
        <f>IF(AND(A900&lt;&gt;"",B900="Paused"),COUNTIFS($A$5:A900,"&lt;&gt;",$B$5:B900,"Paused"),"")</f>
        <v/>
      </c>
      <c r="V900">
        <f>IF(P900="Yes",COUNTIF($P$5:P900,"Yes"),"")</f>
        <v/>
      </c>
      <c r="W900">
        <f>IF(A900="","",COUNTIF($A$5:$A$1004,"&lt;"&amp;A900)+COUNTIF($A$5:A900,A900))</f>
        <v/>
      </c>
      <c r="X900">
        <f>","&amp;SUBSTITUTE(SUBSTITUTE(SUBSTITUTE(UPPER(C900)," ",""),";",","),"/",",")&amp;","</f>
        <v/>
      </c>
      <c r="Y900">
        <f>IF(AND(A900&lt;&gt;"",B900="Active",'State Search'!$C$5&lt;&gt;"",OR(X900=",ALL,",ISNUMBER(SEARCH(","&amp;'State Search'!$C$5&amp;",",X900)))),W900,"")</f>
        <v/>
      </c>
    </row>
    <row r="901">
      <c r="A901" s="64" t="n"/>
      <c r="B901" s="65" t="n"/>
      <c r="C901" s="64" t="n"/>
      <c r="D901" s="66" t="n"/>
      <c r="E901" s="66" t="n"/>
      <c r="F901" s="67" t="n"/>
      <c r="G901" s="67" t="n"/>
      <c r="H901" s="67" t="n"/>
      <c r="I901" s="67" t="n"/>
      <c r="J901" s="67" t="n"/>
      <c r="K901" s="67" t="n"/>
      <c r="L901" s="67" t="n"/>
      <c r="M901" s="67" t="n"/>
      <c r="N901" s="65" t="n"/>
      <c r="O901" s="84">
        <f>IF(A901="","",IF(E901="","No date",IF(TODAY()&gt;=EDATE(E901,Review_Months),"Review Due","Current")))</f>
        <v/>
      </c>
      <c r="P901" s="84">
        <f>IF(A901="","",IF(COUNTIFS('AFA Rates'!$A$5:$A$1004,A901,'AFA Rates'!$O$5:$O$1004,"&lt;&gt;Expired")&gt;0,"Yes",IF(COUNTIF('AFA Rates'!$A$5:$A$1004,A901)&gt;0,"Expired only","No")))</f>
        <v/>
      </c>
      <c r="Q901" s="84">
        <f>IF(A901="","",COUNTIFS('AFA Rates'!$A$5:$A$1004,A901,'AFA Rates'!$O$5:$O$1004,"&lt;&gt;Expired"))</f>
        <v/>
      </c>
      <c r="R901" s="66" t="n"/>
      <c r="S901" s="64" t="n"/>
      <c r="T901" s="64" t="n"/>
      <c r="U901">
        <f>IF(AND(A901&lt;&gt;"",B901="Paused"),COUNTIFS($A$5:A901,"&lt;&gt;",$B$5:B901,"Paused"),"")</f>
        <v/>
      </c>
      <c r="V901">
        <f>IF(P901="Yes",COUNTIF($P$5:P901,"Yes"),"")</f>
        <v/>
      </c>
      <c r="W901">
        <f>IF(A901="","",COUNTIF($A$5:$A$1004,"&lt;"&amp;A901)+COUNTIF($A$5:A901,A901))</f>
        <v/>
      </c>
      <c r="X901">
        <f>","&amp;SUBSTITUTE(SUBSTITUTE(SUBSTITUTE(UPPER(C901)," ",""),";",","),"/",",")&amp;","</f>
        <v/>
      </c>
      <c r="Y901">
        <f>IF(AND(A901&lt;&gt;"",B901="Active",'State Search'!$C$5&lt;&gt;"",OR(X901=",ALL,",ISNUMBER(SEARCH(","&amp;'State Search'!$C$5&amp;",",X901)))),W901,"")</f>
        <v/>
      </c>
    </row>
    <row r="902">
      <c r="A902" s="64" t="n"/>
      <c r="B902" s="65" t="n"/>
      <c r="C902" s="64" t="n"/>
      <c r="D902" s="66" t="n"/>
      <c r="E902" s="66" t="n"/>
      <c r="F902" s="67" t="n"/>
      <c r="G902" s="67" t="n"/>
      <c r="H902" s="67" t="n"/>
      <c r="I902" s="67" t="n"/>
      <c r="J902" s="67" t="n"/>
      <c r="K902" s="67" t="n"/>
      <c r="L902" s="67" t="n"/>
      <c r="M902" s="67" t="n"/>
      <c r="N902" s="65" t="n"/>
      <c r="O902" s="84">
        <f>IF(A902="","",IF(E902="","No date",IF(TODAY()&gt;=EDATE(E902,Review_Months),"Review Due","Current")))</f>
        <v/>
      </c>
      <c r="P902" s="84">
        <f>IF(A902="","",IF(COUNTIFS('AFA Rates'!$A$5:$A$1004,A902,'AFA Rates'!$O$5:$O$1004,"&lt;&gt;Expired")&gt;0,"Yes",IF(COUNTIF('AFA Rates'!$A$5:$A$1004,A902)&gt;0,"Expired only","No")))</f>
        <v/>
      </c>
      <c r="Q902" s="84">
        <f>IF(A902="","",COUNTIFS('AFA Rates'!$A$5:$A$1004,A902,'AFA Rates'!$O$5:$O$1004,"&lt;&gt;Expired"))</f>
        <v/>
      </c>
      <c r="R902" s="66" t="n"/>
      <c r="S902" s="64" t="n"/>
      <c r="T902" s="64" t="n"/>
      <c r="U902">
        <f>IF(AND(A902&lt;&gt;"",B902="Paused"),COUNTIFS($A$5:A902,"&lt;&gt;",$B$5:B902,"Paused"),"")</f>
        <v/>
      </c>
      <c r="V902">
        <f>IF(P902="Yes",COUNTIF($P$5:P902,"Yes"),"")</f>
        <v/>
      </c>
      <c r="W902">
        <f>IF(A902="","",COUNTIF($A$5:$A$1004,"&lt;"&amp;A902)+COUNTIF($A$5:A902,A902))</f>
        <v/>
      </c>
      <c r="X902">
        <f>","&amp;SUBSTITUTE(SUBSTITUTE(SUBSTITUTE(UPPER(C902)," ",""),";",","),"/",",")&amp;","</f>
        <v/>
      </c>
      <c r="Y902">
        <f>IF(AND(A902&lt;&gt;"",B902="Active",'State Search'!$C$5&lt;&gt;"",OR(X902=",ALL,",ISNUMBER(SEARCH(","&amp;'State Search'!$C$5&amp;",",X902)))),W902,"")</f>
        <v/>
      </c>
    </row>
    <row r="903">
      <c r="A903" s="64" t="n"/>
      <c r="B903" s="65" t="n"/>
      <c r="C903" s="64" t="n"/>
      <c r="D903" s="66" t="n"/>
      <c r="E903" s="66" t="n"/>
      <c r="F903" s="67" t="n"/>
      <c r="G903" s="67" t="n"/>
      <c r="H903" s="67" t="n"/>
      <c r="I903" s="67" t="n"/>
      <c r="J903" s="67" t="n"/>
      <c r="K903" s="67" t="n"/>
      <c r="L903" s="67" t="n"/>
      <c r="M903" s="67" t="n"/>
      <c r="N903" s="65" t="n"/>
      <c r="O903" s="84">
        <f>IF(A903="","",IF(E903="","No date",IF(TODAY()&gt;=EDATE(E903,Review_Months),"Review Due","Current")))</f>
        <v/>
      </c>
      <c r="P903" s="84">
        <f>IF(A903="","",IF(COUNTIFS('AFA Rates'!$A$5:$A$1004,A903,'AFA Rates'!$O$5:$O$1004,"&lt;&gt;Expired")&gt;0,"Yes",IF(COUNTIF('AFA Rates'!$A$5:$A$1004,A903)&gt;0,"Expired only","No")))</f>
        <v/>
      </c>
      <c r="Q903" s="84">
        <f>IF(A903="","",COUNTIFS('AFA Rates'!$A$5:$A$1004,A903,'AFA Rates'!$O$5:$O$1004,"&lt;&gt;Expired"))</f>
        <v/>
      </c>
      <c r="R903" s="66" t="n"/>
      <c r="S903" s="64" t="n"/>
      <c r="T903" s="64" t="n"/>
      <c r="U903">
        <f>IF(AND(A903&lt;&gt;"",B903="Paused"),COUNTIFS($A$5:A903,"&lt;&gt;",$B$5:B903,"Paused"),"")</f>
        <v/>
      </c>
      <c r="V903">
        <f>IF(P903="Yes",COUNTIF($P$5:P903,"Yes"),"")</f>
        <v/>
      </c>
      <c r="W903">
        <f>IF(A903="","",COUNTIF($A$5:$A$1004,"&lt;"&amp;A903)+COUNTIF($A$5:A903,A903))</f>
        <v/>
      </c>
      <c r="X903">
        <f>","&amp;SUBSTITUTE(SUBSTITUTE(SUBSTITUTE(UPPER(C903)," ",""),";",","),"/",",")&amp;","</f>
        <v/>
      </c>
      <c r="Y903">
        <f>IF(AND(A903&lt;&gt;"",B903="Active",'State Search'!$C$5&lt;&gt;"",OR(X903=",ALL,",ISNUMBER(SEARCH(","&amp;'State Search'!$C$5&amp;",",X903)))),W903,"")</f>
        <v/>
      </c>
    </row>
    <row r="904">
      <c r="A904" s="64" t="n"/>
      <c r="B904" s="65" t="n"/>
      <c r="C904" s="64" t="n"/>
      <c r="D904" s="66" t="n"/>
      <c r="E904" s="66" t="n"/>
      <c r="F904" s="67" t="n"/>
      <c r="G904" s="67" t="n"/>
      <c r="H904" s="67" t="n"/>
      <c r="I904" s="67" t="n"/>
      <c r="J904" s="67" t="n"/>
      <c r="K904" s="67" t="n"/>
      <c r="L904" s="67" t="n"/>
      <c r="M904" s="67" t="n"/>
      <c r="N904" s="65" t="n"/>
      <c r="O904" s="84">
        <f>IF(A904="","",IF(E904="","No date",IF(TODAY()&gt;=EDATE(E904,Review_Months),"Review Due","Current")))</f>
        <v/>
      </c>
      <c r="P904" s="84">
        <f>IF(A904="","",IF(COUNTIFS('AFA Rates'!$A$5:$A$1004,A904,'AFA Rates'!$O$5:$O$1004,"&lt;&gt;Expired")&gt;0,"Yes",IF(COUNTIF('AFA Rates'!$A$5:$A$1004,A904)&gt;0,"Expired only","No")))</f>
        <v/>
      </c>
      <c r="Q904" s="84">
        <f>IF(A904="","",COUNTIFS('AFA Rates'!$A$5:$A$1004,A904,'AFA Rates'!$O$5:$O$1004,"&lt;&gt;Expired"))</f>
        <v/>
      </c>
      <c r="R904" s="66" t="n"/>
      <c r="S904" s="64" t="n"/>
      <c r="T904" s="64" t="n"/>
      <c r="U904">
        <f>IF(AND(A904&lt;&gt;"",B904="Paused"),COUNTIFS($A$5:A904,"&lt;&gt;",$B$5:B904,"Paused"),"")</f>
        <v/>
      </c>
      <c r="V904">
        <f>IF(P904="Yes",COUNTIF($P$5:P904,"Yes"),"")</f>
        <v/>
      </c>
      <c r="W904">
        <f>IF(A904="","",COUNTIF($A$5:$A$1004,"&lt;"&amp;A904)+COUNTIF($A$5:A904,A904))</f>
        <v/>
      </c>
      <c r="X904">
        <f>","&amp;SUBSTITUTE(SUBSTITUTE(SUBSTITUTE(UPPER(C904)," ",""),";",","),"/",",")&amp;","</f>
        <v/>
      </c>
      <c r="Y904">
        <f>IF(AND(A904&lt;&gt;"",B904="Active",'State Search'!$C$5&lt;&gt;"",OR(X904=",ALL,",ISNUMBER(SEARCH(","&amp;'State Search'!$C$5&amp;",",X904)))),W904,"")</f>
        <v/>
      </c>
    </row>
    <row r="905">
      <c r="A905" s="64" t="n"/>
      <c r="B905" s="65" t="n"/>
      <c r="C905" s="64" t="n"/>
      <c r="D905" s="66" t="n"/>
      <c r="E905" s="66" t="n"/>
      <c r="F905" s="67" t="n"/>
      <c r="G905" s="67" t="n"/>
      <c r="H905" s="67" t="n"/>
      <c r="I905" s="67" t="n"/>
      <c r="J905" s="67" t="n"/>
      <c r="K905" s="67" t="n"/>
      <c r="L905" s="67" t="n"/>
      <c r="M905" s="67" t="n"/>
      <c r="N905" s="65" t="n"/>
      <c r="O905" s="84">
        <f>IF(A905="","",IF(E905="","No date",IF(TODAY()&gt;=EDATE(E905,Review_Months),"Review Due","Current")))</f>
        <v/>
      </c>
      <c r="P905" s="84">
        <f>IF(A905="","",IF(COUNTIFS('AFA Rates'!$A$5:$A$1004,A905,'AFA Rates'!$O$5:$O$1004,"&lt;&gt;Expired")&gt;0,"Yes",IF(COUNTIF('AFA Rates'!$A$5:$A$1004,A905)&gt;0,"Expired only","No")))</f>
        <v/>
      </c>
      <c r="Q905" s="84">
        <f>IF(A905="","",COUNTIFS('AFA Rates'!$A$5:$A$1004,A905,'AFA Rates'!$O$5:$O$1004,"&lt;&gt;Expired"))</f>
        <v/>
      </c>
      <c r="R905" s="66" t="n"/>
      <c r="S905" s="64" t="n"/>
      <c r="T905" s="64" t="n"/>
      <c r="U905">
        <f>IF(AND(A905&lt;&gt;"",B905="Paused"),COUNTIFS($A$5:A905,"&lt;&gt;",$B$5:B905,"Paused"),"")</f>
        <v/>
      </c>
      <c r="V905">
        <f>IF(P905="Yes",COUNTIF($P$5:P905,"Yes"),"")</f>
        <v/>
      </c>
      <c r="W905">
        <f>IF(A905="","",COUNTIF($A$5:$A$1004,"&lt;"&amp;A905)+COUNTIF($A$5:A905,A905))</f>
        <v/>
      </c>
      <c r="X905">
        <f>","&amp;SUBSTITUTE(SUBSTITUTE(SUBSTITUTE(UPPER(C905)," ",""),";",","),"/",",")&amp;","</f>
        <v/>
      </c>
      <c r="Y905">
        <f>IF(AND(A905&lt;&gt;"",B905="Active",'State Search'!$C$5&lt;&gt;"",OR(X905=",ALL,",ISNUMBER(SEARCH(","&amp;'State Search'!$C$5&amp;",",X905)))),W905,"")</f>
        <v/>
      </c>
    </row>
    <row r="906">
      <c r="A906" s="64" t="n"/>
      <c r="B906" s="65" t="n"/>
      <c r="C906" s="64" t="n"/>
      <c r="D906" s="66" t="n"/>
      <c r="E906" s="66" t="n"/>
      <c r="F906" s="67" t="n"/>
      <c r="G906" s="67" t="n"/>
      <c r="H906" s="67" t="n"/>
      <c r="I906" s="67" t="n"/>
      <c r="J906" s="67" t="n"/>
      <c r="K906" s="67" t="n"/>
      <c r="L906" s="67" t="n"/>
      <c r="M906" s="67" t="n"/>
      <c r="N906" s="65" t="n"/>
      <c r="O906" s="84">
        <f>IF(A906="","",IF(E906="","No date",IF(TODAY()&gt;=EDATE(E906,Review_Months),"Review Due","Current")))</f>
        <v/>
      </c>
      <c r="P906" s="84">
        <f>IF(A906="","",IF(COUNTIFS('AFA Rates'!$A$5:$A$1004,A906,'AFA Rates'!$O$5:$O$1004,"&lt;&gt;Expired")&gt;0,"Yes",IF(COUNTIF('AFA Rates'!$A$5:$A$1004,A906)&gt;0,"Expired only","No")))</f>
        <v/>
      </c>
      <c r="Q906" s="84">
        <f>IF(A906="","",COUNTIFS('AFA Rates'!$A$5:$A$1004,A906,'AFA Rates'!$O$5:$O$1004,"&lt;&gt;Expired"))</f>
        <v/>
      </c>
      <c r="R906" s="66" t="n"/>
      <c r="S906" s="64" t="n"/>
      <c r="T906" s="64" t="n"/>
      <c r="U906">
        <f>IF(AND(A906&lt;&gt;"",B906="Paused"),COUNTIFS($A$5:A906,"&lt;&gt;",$B$5:B906,"Paused"),"")</f>
        <v/>
      </c>
      <c r="V906">
        <f>IF(P906="Yes",COUNTIF($P$5:P906,"Yes"),"")</f>
        <v/>
      </c>
      <c r="W906">
        <f>IF(A906="","",COUNTIF($A$5:$A$1004,"&lt;"&amp;A906)+COUNTIF($A$5:A906,A906))</f>
        <v/>
      </c>
      <c r="X906">
        <f>","&amp;SUBSTITUTE(SUBSTITUTE(SUBSTITUTE(UPPER(C906)," ",""),";",","),"/",",")&amp;","</f>
        <v/>
      </c>
      <c r="Y906">
        <f>IF(AND(A906&lt;&gt;"",B906="Active",'State Search'!$C$5&lt;&gt;"",OR(X906=",ALL,",ISNUMBER(SEARCH(","&amp;'State Search'!$C$5&amp;",",X906)))),W906,"")</f>
        <v/>
      </c>
    </row>
    <row r="907">
      <c r="A907" s="64" t="n"/>
      <c r="B907" s="65" t="n"/>
      <c r="C907" s="64" t="n"/>
      <c r="D907" s="66" t="n"/>
      <c r="E907" s="66" t="n"/>
      <c r="F907" s="67" t="n"/>
      <c r="G907" s="67" t="n"/>
      <c r="H907" s="67" t="n"/>
      <c r="I907" s="67" t="n"/>
      <c r="J907" s="67" t="n"/>
      <c r="K907" s="67" t="n"/>
      <c r="L907" s="67" t="n"/>
      <c r="M907" s="67" t="n"/>
      <c r="N907" s="65" t="n"/>
      <c r="O907" s="84">
        <f>IF(A907="","",IF(E907="","No date",IF(TODAY()&gt;=EDATE(E907,Review_Months),"Review Due","Current")))</f>
        <v/>
      </c>
      <c r="P907" s="84">
        <f>IF(A907="","",IF(COUNTIFS('AFA Rates'!$A$5:$A$1004,A907,'AFA Rates'!$O$5:$O$1004,"&lt;&gt;Expired")&gt;0,"Yes",IF(COUNTIF('AFA Rates'!$A$5:$A$1004,A907)&gt;0,"Expired only","No")))</f>
        <v/>
      </c>
      <c r="Q907" s="84">
        <f>IF(A907="","",COUNTIFS('AFA Rates'!$A$5:$A$1004,A907,'AFA Rates'!$O$5:$O$1004,"&lt;&gt;Expired"))</f>
        <v/>
      </c>
      <c r="R907" s="66" t="n"/>
      <c r="S907" s="64" t="n"/>
      <c r="T907" s="64" t="n"/>
      <c r="U907">
        <f>IF(AND(A907&lt;&gt;"",B907="Paused"),COUNTIFS($A$5:A907,"&lt;&gt;",$B$5:B907,"Paused"),"")</f>
        <v/>
      </c>
      <c r="V907">
        <f>IF(P907="Yes",COUNTIF($P$5:P907,"Yes"),"")</f>
        <v/>
      </c>
      <c r="W907">
        <f>IF(A907="","",COUNTIF($A$5:$A$1004,"&lt;"&amp;A907)+COUNTIF($A$5:A907,A907))</f>
        <v/>
      </c>
      <c r="X907">
        <f>","&amp;SUBSTITUTE(SUBSTITUTE(SUBSTITUTE(UPPER(C907)," ",""),";",","),"/",",")&amp;","</f>
        <v/>
      </c>
      <c r="Y907">
        <f>IF(AND(A907&lt;&gt;"",B907="Active",'State Search'!$C$5&lt;&gt;"",OR(X907=",ALL,",ISNUMBER(SEARCH(","&amp;'State Search'!$C$5&amp;",",X907)))),W907,"")</f>
        <v/>
      </c>
    </row>
    <row r="908">
      <c r="A908" s="64" t="n"/>
      <c r="B908" s="65" t="n"/>
      <c r="C908" s="64" t="n"/>
      <c r="D908" s="66" t="n"/>
      <c r="E908" s="66" t="n"/>
      <c r="F908" s="67" t="n"/>
      <c r="G908" s="67" t="n"/>
      <c r="H908" s="67" t="n"/>
      <c r="I908" s="67" t="n"/>
      <c r="J908" s="67" t="n"/>
      <c r="K908" s="67" t="n"/>
      <c r="L908" s="67" t="n"/>
      <c r="M908" s="67" t="n"/>
      <c r="N908" s="65" t="n"/>
      <c r="O908" s="84">
        <f>IF(A908="","",IF(E908="","No date",IF(TODAY()&gt;=EDATE(E908,Review_Months),"Review Due","Current")))</f>
        <v/>
      </c>
      <c r="P908" s="84">
        <f>IF(A908="","",IF(COUNTIFS('AFA Rates'!$A$5:$A$1004,A908,'AFA Rates'!$O$5:$O$1004,"&lt;&gt;Expired")&gt;0,"Yes",IF(COUNTIF('AFA Rates'!$A$5:$A$1004,A908)&gt;0,"Expired only","No")))</f>
        <v/>
      </c>
      <c r="Q908" s="84">
        <f>IF(A908="","",COUNTIFS('AFA Rates'!$A$5:$A$1004,A908,'AFA Rates'!$O$5:$O$1004,"&lt;&gt;Expired"))</f>
        <v/>
      </c>
      <c r="R908" s="66" t="n"/>
      <c r="S908" s="64" t="n"/>
      <c r="T908" s="64" t="n"/>
      <c r="U908">
        <f>IF(AND(A908&lt;&gt;"",B908="Paused"),COUNTIFS($A$5:A908,"&lt;&gt;",$B$5:B908,"Paused"),"")</f>
        <v/>
      </c>
      <c r="V908">
        <f>IF(P908="Yes",COUNTIF($P$5:P908,"Yes"),"")</f>
        <v/>
      </c>
      <c r="W908">
        <f>IF(A908="","",COUNTIF($A$5:$A$1004,"&lt;"&amp;A908)+COUNTIF($A$5:A908,A908))</f>
        <v/>
      </c>
      <c r="X908">
        <f>","&amp;SUBSTITUTE(SUBSTITUTE(SUBSTITUTE(UPPER(C908)," ",""),";",","),"/",",")&amp;","</f>
        <v/>
      </c>
      <c r="Y908">
        <f>IF(AND(A908&lt;&gt;"",B908="Active",'State Search'!$C$5&lt;&gt;"",OR(X908=",ALL,",ISNUMBER(SEARCH(","&amp;'State Search'!$C$5&amp;",",X908)))),W908,"")</f>
        <v/>
      </c>
    </row>
    <row r="909">
      <c r="A909" s="64" t="n"/>
      <c r="B909" s="65" t="n"/>
      <c r="C909" s="64" t="n"/>
      <c r="D909" s="66" t="n"/>
      <c r="E909" s="66" t="n"/>
      <c r="F909" s="67" t="n"/>
      <c r="G909" s="67" t="n"/>
      <c r="H909" s="67" t="n"/>
      <c r="I909" s="67" t="n"/>
      <c r="J909" s="67" t="n"/>
      <c r="K909" s="67" t="n"/>
      <c r="L909" s="67" t="n"/>
      <c r="M909" s="67" t="n"/>
      <c r="N909" s="65" t="n"/>
      <c r="O909" s="84">
        <f>IF(A909="","",IF(E909="","No date",IF(TODAY()&gt;=EDATE(E909,Review_Months),"Review Due","Current")))</f>
        <v/>
      </c>
      <c r="P909" s="84">
        <f>IF(A909="","",IF(COUNTIFS('AFA Rates'!$A$5:$A$1004,A909,'AFA Rates'!$O$5:$O$1004,"&lt;&gt;Expired")&gt;0,"Yes",IF(COUNTIF('AFA Rates'!$A$5:$A$1004,A909)&gt;0,"Expired only","No")))</f>
        <v/>
      </c>
      <c r="Q909" s="84">
        <f>IF(A909="","",COUNTIFS('AFA Rates'!$A$5:$A$1004,A909,'AFA Rates'!$O$5:$O$1004,"&lt;&gt;Expired"))</f>
        <v/>
      </c>
      <c r="R909" s="66" t="n"/>
      <c r="S909" s="64" t="n"/>
      <c r="T909" s="64" t="n"/>
      <c r="U909">
        <f>IF(AND(A909&lt;&gt;"",B909="Paused"),COUNTIFS($A$5:A909,"&lt;&gt;",$B$5:B909,"Paused"),"")</f>
        <v/>
      </c>
      <c r="V909">
        <f>IF(P909="Yes",COUNTIF($P$5:P909,"Yes"),"")</f>
        <v/>
      </c>
      <c r="W909">
        <f>IF(A909="","",COUNTIF($A$5:$A$1004,"&lt;"&amp;A909)+COUNTIF($A$5:A909,A909))</f>
        <v/>
      </c>
      <c r="X909">
        <f>","&amp;SUBSTITUTE(SUBSTITUTE(SUBSTITUTE(UPPER(C909)," ",""),";",","),"/",",")&amp;","</f>
        <v/>
      </c>
      <c r="Y909">
        <f>IF(AND(A909&lt;&gt;"",B909="Active",'State Search'!$C$5&lt;&gt;"",OR(X909=",ALL,",ISNUMBER(SEARCH(","&amp;'State Search'!$C$5&amp;",",X909)))),W909,"")</f>
        <v/>
      </c>
    </row>
    <row r="910">
      <c r="A910" s="64" t="n"/>
      <c r="B910" s="65" t="n"/>
      <c r="C910" s="64" t="n"/>
      <c r="D910" s="66" t="n"/>
      <c r="E910" s="66" t="n"/>
      <c r="F910" s="67" t="n"/>
      <c r="G910" s="67" t="n"/>
      <c r="H910" s="67" t="n"/>
      <c r="I910" s="67" t="n"/>
      <c r="J910" s="67" t="n"/>
      <c r="K910" s="67" t="n"/>
      <c r="L910" s="67" t="n"/>
      <c r="M910" s="67" t="n"/>
      <c r="N910" s="65" t="n"/>
      <c r="O910" s="84">
        <f>IF(A910="","",IF(E910="","No date",IF(TODAY()&gt;=EDATE(E910,Review_Months),"Review Due","Current")))</f>
        <v/>
      </c>
      <c r="P910" s="84">
        <f>IF(A910="","",IF(COUNTIFS('AFA Rates'!$A$5:$A$1004,A910,'AFA Rates'!$O$5:$O$1004,"&lt;&gt;Expired")&gt;0,"Yes",IF(COUNTIF('AFA Rates'!$A$5:$A$1004,A910)&gt;0,"Expired only","No")))</f>
        <v/>
      </c>
      <c r="Q910" s="84">
        <f>IF(A910="","",COUNTIFS('AFA Rates'!$A$5:$A$1004,A910,'AFA Rates'!$O$5:$O$1004,"&lt;&gt;Expired"))</f>
        <v/>
      </c>
      <c r="R910" s="66" t="n"/>
      <c r="S910" s="64" t="n"/>
      <c r="T910" s="64" t="n"/>
      <c r="U910">
        <f>IF(AND(A910&lt;&gt;"",B910="Paused"),COUNTIFS($A$5:A910,"&lt;&gt;",$B$5:B910,"Paused"),"")</f>
        <v/>
      </c>
      <c r="V910">
        <f>IF(P910="Yes",COUNTIF($P$5:P910,"Yes"),"")</f>
        <v/>
      </c>
      <c r="W910">
        <f>IF(A910="","",COUNTIF($A$5:$A$1004,"&lt;"&amp;A910)+COUNTIF($A$5:A910,A910))</f>
        <v/>
      </c>
      <c r="X910">
        <f>","&amp;SUBSTITUTE(SUBSTITUTE(SUBSTITUTE(UPPER(C910)," ",""),";",","),"/",",")&amp;","</f>
        <v/>
      </c>
      <c r="Y910">
        <f>IF(AND(A910&lt;&gt;"",B910="Active",'State Search'!$C$5&lt;&gt;"",OR(X910=",ALL,",ISNUMBER(SEARCH(","&amp;'State Search'!$C$5&amp;",",X910)))),W910,"")</f>
        <v/>
      </c>
    </row>
    <row r="911">
      <c r="A911" s="64" t="n"/>
      <c r="B911" s="65" t="n"/>
      <c r="C911" s="64" t="n"/>
      <c r="D911" s="66" t="n"/>
      <c r="E911" s="66" t="n"/>
      <c r="F911" s="67" t="n"/>
      <c r="G911" s="67" t="n"/>
      <c r="H911" s="67" t="n"/>
      <c r="I911" s="67" t="n"/>
      <c r="J911" s="67" t="n"/>
      <c r="K911" s="67" t="n"/>
      <c r="L911" s="67" t="n"/>
      <c r="M911" s="67" t="n"/>
      <c r="N911" s="65" t="n"/>
      <c r="O911" s="84">
        <f>IF(A911="","",IF(E911="","No date",IF(TODAY()&gt;=EDATE(E911,Review_Months),"Review Due","Current")))</f>
        <v/>
      </c>
      <c r="P911" s="84">
        <f>IF(A911="","",IF(COUNTIFS('AFA Rates'!$A$5:$A$1004,A911,'AFA Rates'!$O$5:$O$1004,"&lt;&gt;Expired")&gt;0,"Yes",IF(COUNTIF('AFA Rates'!$A$5:$A$1004,A911)&gt;0,"Expired only","No")))</f>
        <v/>
      </c>
      <c r="Q911" s="84">
        <f>IF(A911="","",COUNTIFS('AFA Rates'!$A$5:$A$1004,A911,'AFA Rates'!$O$5:$O$1004,"&lt;&gt;Expired"))</f>
        <v/>
      </c>
      <c r="R911" s="66" t="n"/>
      <c r="S911" s="64" t="n"/>
      <c r="T911" s="64" t="n"/>
      <c r="U911">
        <f>IF(AND(A911&lt;&gt;"",B911="Paused"),COUNTIFS($A$5:A911,"&lt;&gt;",$B$5:B911,"Paused"),"")</f>
        <v/>
      </c>
      <c r="V911">
        <f>IF(P911="Yes",COUNTIF($P$5:P911,"Yes"),"")</f>
        <v/>
      </c>
      <c r="W911">
        <f>IF(A911="","",COUNTIF($A$5:$A$1004,"&lt;"&amp;A911)+COUNTIF($A$5:A911,A911))</f>
        <v/>
      </c>
      <c r="X911">
        <f>","&amp;SUBSTITUTE(SUBSTITUTE(SUBSTITUTE(UPPER(C911)," ",""),";",","),"/",",")&amp;","</f>
        <v/>
      </c>
      <c r="Y911">
        <f>IF(AND(A911&lt;&gt;"",B911="Active",'State Search'!$C$5&lt;&gt;"",OR(X911=",ALL,",ISNUMBER(SEARCH(","&amp;'State Search'!$C$5&amp;",",X911)))),W911,"")</f>
        <v/>
      </c>
    </row>
    <row r="912">
      <c r="A912" s="64" t="n"/>
      <c r="B912" s="65" t="n"/>
      <c r="C912" s="64" t="n"/>
      <c r="D912" s="66" t="n"/>
      <c r="E912" s="66" t="n"/>
      <c r="F912" s="67" t="n"/>
      <c r="G912" s="67" t="n"/>
      <c r="H912" s="67" t="n"/>
      <c r="I912" s="67" t="n"/>
      <c r="J912" s="67" t="n"/>
      <c r="K912" s="67" t="n"/>
      <c r="L912" s="67" t="n"/>
      <c r="M912" s="67" t="n"/>
      <c r="N912" s="65" t="n"/>
      <c r="O912" s="84">
        <f>IF(A912="","",IF(E912="","No date",IF(TODAY()&gt;=EDATE(E912,Review_Months),"Review Due","Current")))</f>
        <v/>
      </c>
      <c r="P912" s="84">
        <f>IF(A912="","",IF(COUNTIFS('AFA Rates'!$A$5:$A$1004,A912,'AFA Rates'!$O$5:$O$1004,"&lt;&gt;Expired")&gt;0,"Yes",IF(COUNTIF('AFA Rates'!$A$5:$A$1004,A912)&gt;0,"Expired only","No")))</f>
        <v/>
      </c>
      <c r="Q912" s="84">
        <f>IF(A912="","",COUNTIFS('AFA Rates'!$A$5:$A$1004,A912,'AFA Rates'!$O$5:$O$1004,"&lt;&gt;Expired"))</f>
        <v/>
      </c>
      <c r="R912" s="66" t="n"/>
      <c r="S912" s="64" t="n"/>
      <c r="T912" s="64" t="n"/>
      <c r="U912">
        <f>IF(AND(A912&lt;&gt;"",B912="Paused"),COUNTIFS($A$5:A912,"&lt;&gt;",$B$5:B912,"Paused"),"")</f>
        <v/>
      </c>
      <c r="V912">
        <f>IF(P912="Yes",COUNTIF($P$5:P912,"Yes"),"")</f>
        <v/>
      </c>
      <c r="W912">
        <f>IF(A912="","",COUNTIF($A$5:$A$1004,"&lt;"&amp;A912)+COUNTIF($A$5:A912,A912))</f>
        <v/>
      </c>
      <c r="X912">
        <f>","&amp;SUBSTITUTE(SUBSTITUTE(SUBSTITUTE(UPPER(C912)," ",""),";",","),"/",",")&amp;","</f>
        <v/>
      </c>
      <c r="Y912">
        <f>IF(AND(A912&lt;&gt;"",B912="Active",'State Search'!$C$5&lt;&gt;"",OR(X912=",ALL,",ISNUMBER(SEARCH(","&amp;'State Search'!$C$5&amp;",",X912)))),W912,"")</f>
        <v/>
      </c>
    </row>
    <row r="913">
      <c r="A913" s="64" t="n"/>
      <c r="B913" s="65" t="n"/>
      <c r="C913" s="64" t="n"/>
      <c r="D913" s="66" t="n"/>
      <c r="E913" s="66" t="n"/>
      <c r="F913" s="67" t="n"/>
      <c r="G913" s="67" t="n"/>
      <c r="H913" s="67" t="n"/>
      <c r="I913" s="67" t="n"/>
      <c r="J913" s="67" t="n"/>
      <c r="K913" s="67" t="n"/>
      <c r="L913" s="67" t="n"/>
      <c r="M913" s="67" t="n"/>
      <c r="N913" s="65" t="n"/>
      <c r="O913" s="84">
        <f>IF(A913="","",IF(E913="","No date",IF(TODAY()&gt;=EDATE(E913,Review_Months),"Review Due","Current")))</f>
        <v/>
      </c>
      <c r="P913" s="84">
        <f>IF(A913="","",IF(COUNTIFS('AFA Rates'!$A$5:$A$1004,A913,'AFA Rates'!$O$5:$O$1004,"&lt;&gt;Expired")&gt;0,"Yes",IF(COUNTIF('AFA Rates'!$A$5:$A$1004,A913)&gt;0,"Expired only","No")))</f>
        <v/>
      </c>
      <c r="Q913" s="84">
        <f>IF(A913="","",COUNTIFS('AFA Rates'!$A$5:$A$1004,A913,'AFA Rates'!$O$5:$O$1004,"&lt;&gt;Expired"))</f>
        <v/>
      </c>
      <c r="R913" s="66" t="n"/>
      <c r="S913" s="64" t="n"/>
      <c r="T913" s="64" t="n"/>
      <c r="U913">
        <f>IF(AND(A913&lt;&gt;"",B913="Paused"),COUNTIFS($A$5:A913,"&lt;&gt;",$B$5:B913,"Paused"),"")</f>
        <v/>
      </c>
      <c r="V913">
        <f>IF(P913="Yes",COUNTIF($P$5:P913,"Yes"),"")</f>
        <v/>
      </c>
      <c r="W913">
        <f>IF(A913="","",COUNTIF($A$5:$A$1004,"&lt;"&amp;A913)+COUNTIF($A$5:A913,A913))</f>
        <v/>
      </c>
      <c r="X913">
        <f>","&amp;SUBSTITUTE(SUBSTITUTE(SUBSTITUTE(UPPER(C913)," ",""),";",","),"/",",")&amp;","</f>
        <v/>
      </c>
      <c r="Y913">
        <f>IF(AND(A913&lt;&gt;"",B913="Active",'State Search'!$C$5&lt;&gt;"",OR(X913=",ALL,",ISNUMBER(SEARCH(","&amp;'State Search'!$C$5&amp;",",X913)))),W913,"")</f>
        <v/>
      </c>
    </row>
    <row r="914">
      <c r="A914" s="64" t="n"/>
      <c r="B914" s="65" t="n"/>
      <c r="C914" s="64" t="n"/>
      <c r="D914" s="66" t="n"/>
      <c r="E914" s="66" t="n"/>
      <c r="F914" s="67" t="n"/>
      <c r="G914" s="67" t="n"/>
      <c r="H914" s="67" t="n"/>
      <c r="I914" s="67" t="n"/>
      <c r="J914" s="67" t="n"/>
      <c r="K914" s="67" t="n"/>
      <c r="L914" s="67" t="n"/>
      <c r="M914" s="67" t="n"/>
      <c r="N914" s="65" t="n"/>
      <c r="O914" s="84">
        <f>IF(A914="","",IF(E914="","No date",IF(TODAY()&gt;=EDATE(E914,Review_Months),"Review Due","Current")))</f>
        <v/>
      </c>
      <c r="P914" s="84">
        <f>IF(A914="","",IF(COUNTIFS('AFA Rates'!$A$5:$A$1004,A914,'AFA Rates'!$O$5:$O$1004,"&lt;&gt;Expired")&gt;0,"Yes",IF(COUNTIF('AFA Rates'!$A$5:$A$1004,A914)&gt;0,"Expired only","No")))</f>
        <v/>
      </c>
      <c r="Q914" s="84">
        <f>IF(A914="","",COUNTIFS('AFA Rates'!$A$5:$A$1004,A914,'AFA Rates'!$O$5:$O$1004,"&lt;&gt;Expired"))</f>
        <v/>
      </c>
      <c r="R914" s="66" t="n"/>
      <c r="S914" s="64" t="n"/>
      <c r="T914" s="64" t="n"/>
      <c r="U914">
        <f>IF(AND(A914&lt;&gt;"",B914="Paused"),COUNTIFS($A$5:A914,"&lt;&gt;",$B$5:B914,"Paused"),"")</f>
        <v/>
      </c>
      <c r="V914">
        <f>IF(P914="Yes",COUNTIF($P$5:P914,"Yes"),"")</f>
        <v/>
      </c>
      <c r="W914">
        <f>IF(A914="","",COUNTIF($A$5:$A$1004,"&lt;"&amp;A914)+COUNTIF($A$5:A914,A914))</f>
        <v/>
      </c>
      <c r="X914">
        <f>","&amp;SUBSTITUTE(SUBSTITUTE(SUBSTITUTE(UPPER(C914)," ",""),";",","),"/",",")&amp;","</f>
        <v/>
      </c>
      <c r="Y914">
        <f>IF(AND(A914&lt;&gt;"",B914="Active",'State Search'!$C$5&lt;&gt;"",OR(X914=",ALL,",ISNUMBER(SEARCH(","&amp;'State Search'!$C$5&amp;",",X914)))),W914,"")</f>
        <v/>
      </c>
    </row>
    <row r="915">
      <c r="A915" s="64" t="n"/>
      <c r="B915" s="65" t="n"/>
      <c r="C915" s="64" t="n"/>
      <c r="D915" s="66" t="n"/>
      <c r="E915" s="66" t="n"/>
      <c r="F915" s="67" t="n"/>
      <c r="G915" s="67" t="n"/>
      <c r="H915" s="67" t="n"/>
      <c r="I915" s="67" t="n"/>
      <c r="J915" s="67" t="n"/>
      <c r="K915" s="67" t="n"/>
      <c r="L915" s="67" t="n"/>
      <c r="M915" s="67" t="n"/>
      <c r="N915" s="65" t="n"/>
      <c r="O915" s="84">
        <f>IF(A915="","",IF(E915="","No date",IF(TODAY()&gt;=EDATE(E915,Review_Months),"Review Due","Current")))</f>
        <v/>
      </c>
      <c r="P915" s="84">
        <f>IF(A915="","",IF(COUNTIFS('AFA Rates'!$A$5:$A$1004,A915,'AFA Rates'!$O$5:$O$1004,"&lt;&gt;Expired")&gt;0,"Yes",IF(COUNTIF('AFA Rates'!$A$5:$A$1004,A915)&gt;0,"Expired only","No")))</f>
        <v/>
      </c>
      <c r="Q915" s="84">
        <f>IF(A915="","",COUNTIFS('AFA Rates'!$A$5:$A$1004,A915,'AFA Rates'!$O$5:$O$1004,"&lt;&gt;Expired"))</f>
        <v/>
      </c>
      <c r="R915" s="66" t="n"/>
      <c r="S915" s="64" t="n"/>
      <c r="T915" s="64" t="n"/>
      <c r="U915">
        <f>IF(AND(A915&lt;&gt;"",B915="Paused"),COUNTIFS($A$5:A915,"&lt;&gt;",$B$5:B915,"Paused"),"")</f>
        <v/>
      </c>
      <c r="V915">
        <f>IF(P915="Yes",COUNTIF($P$5:P915,"Yes"),"")</f>
        <v/>
      </c>
      <c r="W915">
        <f>IF(A915="","",COUNTIF($A$5:$A$1004,"&lt;"&amp;A915)+COUNTIF($A$5:A915,A915))</f>
        <v/>
      </c>
      <c r="X915">
        <f>","&amp;SUBSTITUTE(SUBSTITUTE(SUBSTITUTE(UPPER(C915)," ",""),";",","),"/",",")&amp;","</f>
        <v/>
      </c>
      <c r="Y915">
        <f>IF(AND(A915&lt;&gt;"",B915="Active",'State Search'!$C$5&lt;&gt;"",OR(X915=",ALL,",ISNUMBER(SEARCH(","&amp;'State Search'!$C$5&amp;",",X915)))),W915,"")</f>
        <v/>
      </c>
    </row>
    <row r="916">
      <c r="A916" s="64" t="n"/>
      <c r="B916" s="65" t="n"/>
      <c r="C916" s="64" t="n"/>
      <c r="D916" s="66" t="n"/>
      <c r="E916" s="66" t="n"/>
      <c r="F916" s="67" t="n"/>
      <c r="G916" s="67" t="n"/>
      <c r="H916" s="67" t="n"/>
      <c r="I916" s="67" t="n"/>
      <c r="J916" s="67" t="n"/>
      <c r="K916" s="67" t="n"/>
      <c r="L916" s="67" t="n"/>
      <c r="M916" s="67" t="n"/>
      <c r="N916" s="65" t="n"/>
      <c r="O916" s="84">
        <f>IF(A916="","",IF(E916="","No date",IF(TODAY()&gt;=EDATE(E916,Review_Months),"Review Due","Current")))</f>
        <v/>
      </c>
      <c r="P916" s="84">
        <f>IF(A916="","",IF(COUNTIFS('AFA Rates'!$A$5:$A$1004,A916,'AFA Rates'!$O$5:$O$1004,"&lt;&gt;Expired")&gt;0,"Yes",IF(COUNTIF('AFA Rates'!$A$5:$A$1004,A916)&gt;0,"Expired only","No")))</f>
        <v/>
      </c>
      <c r="Q916" s="84">
        <f>IF(A916="","",COUNTIFS('AFA Rates'!$A$5:$A$1004,A916,'AFA Rates'!$O$5:$O$1004,"&lt;&gt;Expired"))</f>
        <v/>
      </c>
      <c r="R916" s="66" t="n"/>
      <c r="S916" s="64" t="n"/>
      <c r="T916" s="64" t="n"/>
      <c r="U916">
        <f>IF(AND(A916&lt;&gt;"",B916="Paused"),COUNTIFS($A$5:A916,"&lt;&gt;",$B$5:B916,"Paused"),"")</f>
        <v/>
      </c>
      <c r="V916">
        <f>IF(P916="Yes",COUNTIF($P$5:P916,"Yes"),"")</f>
        <v/>
      </c>
      <c r="W916">
        <f>IF(A916="","",COUNTIF($A$5:$A$1004,"&lt;"&amp;A916)+COUNTIF($A$5:A916,A916))</f>
        <v/>
      </c>
      <c r="X916">
        <f>","&amp;SUBSTITUTE(SUBSTITUTE(SUBSTITUTE(UPPER(C916)," ",""),";",","),"/",",")&amp;","</f>
        <v/>
      </c>
      <c r="Y916">
        <f>IF(AND(A916&lt;&gt;"",B916="Active",'State Search'!$C$5&lt;&gt;"",OR(X916=",ALL,",ISNUMBER(SEARCH(","&amp;'State Search'!$C$5&amp;",",X916)))),W916,"")</f>
        <v/>
      </c>
    </row>
    <row r="917">
      <c r="A917" s="64" t="n"/>
      <c r="B917" s="65" t="n"/>
      <c r="C917" s="64" t="n"/>
      <c r="D917" s="66" t="n"/>
      <c r="E917" s="66" t="n"/>
      <c r="F917" s="67" t="n"/>
      <c r="G917" s="67" t="n"/>
      <c r="H917" s="67" t="n"/>
      <c r="I917" s="67" t="n"/>
      <c r="J917" s="67" t="n"/>
      <c r="K917" s="67" t="n"/>
      <c r="L917" s="67" t="n"/>
      <c r="M917" s="67" t="n"/>
      <c r="N917" s="65" t="n"/>
      <c r="O917" s="84">
        <f>IF(A917="","",IF(E917="","No date",IF(TODAY()&gt;=EDATE(E917,Review_Months),"Review Due","Current")))</f>
        <v/>
      </c>
      <c r="P917" s="84">
        <f>IF(A917="","",IF(COUNTIFS('AFA Rates'!$A$5:$A$1004,A917,'AFA Rates'!$O$5:$O$1004,"&lt;&gt;Expired")&gt;0,"Yes",IF(COUNTIF('AFA Rates'!$A$5:$A$1004,A917)&gt;0,"Expired only","No")))</f>
        <v/>
      </c>
      <c r="Q917" s="84">
        <f>IF(A917="","",COUNTIFS('AFA Rates'!$A$5:$A$1004,A917,'AFA Rates'!$O$5:$O$1004,"&lt;&gt;Expired"))</f>
        <v/>
      </c>
      <c r="R917" s="66" t="n"/>
      <c r="S917" s="64" t="n"/>
      <c r="T917" s="64" t="n"/>
      <c r="U917">
        <f>IF(AND(A917&lt;&gt;"",B917="Paused"),COUNTIFS($A$5:A917,"&lt;&gt;",$B$5:B917,"Paused"),"")</f>
        <v/>
      </c>
      <c r="V917">
        <f>IF(P917="Yes",COUNTIF($P$5:P917,"Yes"),"")</f>
        <v/>
      </c>
      <c r="W917">
        <f>IF(A917="","",COUNTIF($A$5:$A$1004,"&lt;"&amp;A917)+COUNTIF($A$5:A917,A917))</f>
        <v/>
      </c>
      <c r="X917">
        <f>","&amp;SUBSTITUTE(SUBSTITUTE(SUBSTITUTE(UPPER(C917)," ",""),";",","),"/",",")&amp;","</f>
        <v/>
      </c>
      <c r="Y917">
        <f>IF(AND(A917&lt;&gt;"",B917="Active",'State Search'!$C$5&lt;&gt;"",OR(X917=",ALL,",ISNUMBER(SEARCH(","&amp;'State Search'!$C$5&amp;",",X917)))),W917,"")</f>
        <v/>
      </c>
    </row>
    <row r="918">
      <c r="A918" s="64" t="n"/>
      <c r="B918" s="65" t="n"/>
      <c r="C918" s="64" t="n"/>
      <c r="D918" s="66" t="n"/>
      <c r="E918" s="66" t="n"/>
      <c r="F918" s="67" t="n"/>
      <c r="G918" s="67" t="n"/>
      <c r="H918" s="67" t="n"/>
      <c r="I918" s="67" t="n"/>
      <c r="J918" s="67" t="n"/>
      <c r="K918" s="67" t="n"/>
      <c r="L918" s="67" t="n"/>
      <c r="M918" s="67" t="n"/>
      <c r="N918" s="65" t="n"/>
      <c r="O918" s="84">
        <f>IF(A918="","",IF(E918="","No date",IF(TODAY()&gt;=EDATE(E918,Review_Months),"Review Due","Current")))</f>
        <v/>
      </c>
      <c r="P918" s="84">
        <f>IF(A918="","",IF(COUNTIFS('AFA Rates'!$A$5:$A$1004,A918,'AFA Rates'!$O$5:$O$1004,"&lt;&gt;Expired")&gt;0,"Yes",IF(COUNTIF('AFA Rates'!$A$5:$A$1004,A918)&gt;0,"Expired only","No")))</f>
        <v/>
      </c>
      <c r="Q918" s="84">
        <f>IF(A918="","",COUNTIFS('AFA Rates'!$A$5:$A$1004,A918,'AFA Rates'!$O$5:$O$1004,"&lt;&gt;Expired"))</f>
        <v/>
      </c>
      <c r="R918" s="66" t="n"/>
      <c r="S918" s="64" t="n"/>
      <c r="T918" s="64" t="n"/>
      <c r="U918">
        <f>IF(AND(A918&lt;&gt;"",B918="Paused"),COUNTIFS($A$5:A918,"&lt;&gt;",$B$5:B918,"Paused"),"")</f>
        <v/>
      </c>
      <c r="V918">
        <f>IF(P918="Yes",COUNTIF($P$5:P918,"Yes"),"")</f>
        <v/>
      </c>
      <c r="W918">
        <f>IF(A918="","",COUNTIF($A$5:$A$1004,"&lt;"&amp;A918)+COUNTIF($A$5:A918,A918))</f>
        <v/>
      </c>
      <c r="X918">
        <f>","&amp;SUBSTITUTE(SUBSTITUTE(SUBSTITUTE(UPPER(C918)," ",""),";",","),"/",",")&amp;","</f>
        <v/>
      </c>
      <c r="Y918">
        <f>IF(AND(A918&lt;&gt;"",B918="Active",'State Search'!$C$5&lt;&gt;"",OR(X918=",ALL,",ISNUMBER(SEARCH(","&amp;'State Search'!$C$5&amp;",",X918)))),W918,"")</f>
        <v/>
      </c>
    </row>
    <row r="919">
      <c r="A919" s="64" t="n"/>
      <c r="B919" s="65" t="n"/>
      <c r="C919" s="64" t="n"/>
      <c r="D919" s="66" t="n"/>
      <c r="E919" s="66" t="n"/>
      <c r="F919" s="67" t="n"/>
      <c r="G919" s="67" t="n"/>
      <c r="H919" s="67" t="n"/>
      <c r="I919" s="67" t="n"/>
      <c r="J919" s="67" t="n"/>
      <c r="K919" s="67" t="n"/>
      <c r="L919" s="67" t="n"/>
      <c r="M919" s="67" t="n"/>
      <c r="N919" s="65" t="n"/>
      <c r="O919" s="84">
        <f>IF(A919="","",IF(E919="","No date",IF(TODAY()&gt;=EDATE(E919,Review_Months),"Review Due","Current")))</f>
        <v/>
      </c>
      <c r="P919" s="84">
        <f>IF(A919="","",IF(COUNTIFS('AFA Rates'!$A$5:$A$1004,A919,'AFA Rates'!$O$5:$O$1004,"&lt;&gt;Expired")&gt;0,"Yes",IF(COUNTIF('AFA Rates'!$A$5:$A$1004,A919)&gt;0,"Expired only","No")))</f>
        <v/>
      </c>
      <c r="Q919" s="84">
        <f>IF(A919="","",COUNTIFS('AFA Rates'!$A$5:$A$1004,A919,'AFA Rates'!$O$5:$O$1004,"&lt;&gt;Expired"))</f>
        <v/>
      </c>
      <c r="R919" s="66" t="n"/>
      <c r="S919" s="64" t="n"/>
      <c r="T919" s="64" t="n"/>
      <c r="U919">
        <f>IF(AND(A919&lt;&gt;"",B919="Paused"),COUNTIFS($A$5:A919,"&lt;&gt;",$B$5:B919,"Paused"),"")</f>
        <v/>
      </c>
      <c r="V919">
        <f>IF(P919="Yes",COUNTIF($P$5:P919,"Yes"),"")</f>
        <v/>
      </c>
      <c r="W919">
        <f>IF(A919="","",COUNTIF($A$5:$A$1004,"&lt;"&amp;A919)+COUNTIF($A$5:A919,A919))</f>
        <v/>
      </c>
      <c r="X919">
        <f>","&amp;SUBSTITUTE(SUBSTITUTE(SUBSTITUTE(UPPER(C919)," ",""),";",","),"/",",")&amp;","</f>
        <v/>
      </c>
      <c r="Y919">
        <f>IF(AND(A919&lt;&gt;"",B919="Active",'State Search'!$C$5&lt;&gt;"",OR(X919=",ALL,",ISNUMBER(SEARCH(","&amp;'State Search'!$C$5&amp;",",X919)))),W919,"")</f>
        <v/>
      </c>
    </row>
    <row r="920">
      <c r="A920" s="64" t="n"/>
      <c r="B920" s="65" t="n"/>
      <c r="C920" s="64" t="n"/>
      <c r="D920" s="66" t="n"/>
      <c r="E920" s="66" t="n"/>
      <c r="F920" s="67" t="n"/>
      <c r="G920" s="67" t="n"/>
      <c r="H920" s="67" t="n"/>
      <c r="I920" s="67" t="n"/>
      <c r="J920" s="67" t="n"/>
      <c r="K920" s="67" t="n"/>
      <c r="L920" s="67" t="n"/>
      <c r="M920" s="67" t="n"/>
      <c r="N920" s="65" t="n"/>
      <c r="O920" s="84">
        <f>IF(A920="","",IF(E920="","No date",IF(TODAY()&gt;=EDATE(E920,Review_Months),"Review Due","Current")))</f>
        <v/>
      </c>
      <c r="P920" s="84">
        <f>IF(A920="","",IF(COUNTIFS('AFA Rates'!$A$5:$A$1004,A920,'AFA Rates'!$O$5:$O$1004,"&lt;&gt;Expired")&gt;0,"Yes",IF(COUNTIF('AFA Rates'!$A$5:$A$1004,A920)&gt;0,"Expired only","No")))</f>
        <v/>
      </c>
      <c r="Q920" s="84">
        <f>IF(A920="","",COUNTIFS('AFA Rates'!$A$5:$A$1004,A920,'AFA Rates'!$O$5:$O$1004,"&lt;&gt;Expired"))</f>
        <v/>
      </c>
      <c r="R920" s="66" t="n"/>
      <c r="S920" s="64" t="n"/>
      <c r="T920" s="64" t="n"/>
      <c r="U920">
        <f>IF(AND(A920&lt;&gt;"",B920="Paused"),COUNTIFS($A$5:A920,"&lt;&gt;",$B$5:B920,"Paused"),"")</f>
        <v/>
      </c>
      <c r="V920">
        <f>IF(P920="Yes",COUNTIF($P$5:P920,"Yes"),"")</f>
        <v/>
      </c>
      <c r="W920">
        <f>IF(A920="","",COUNTIF($A$5:$A$1004,"&lt;"&amp;A920)+COUNTIF($A$5:A920,A920))</f>
        <v/>
      </c>
      <c r="X920">
        <f>","&amp;SUBSTITUTE(SUBSTITUTE(SUBSTITUTE(UPPER(C920)," ",""),";",","),"/",",")&amp;","</f>
        <v/>
      </c>
      <c r="Y920">
        <f>IF(AND(A920&lt;&gt;"",B920="Active",'State Search'!$C$5&lt;&gt;"",OR(X920=",ALL,",ISNUMBER(SEARCH(","&amp;'State Search'!$C$5&amp;",",X920)))),W920,"")</f>
        <v/>
      </c>
    </row>
    <row r="921">
      <c r="A921" s="64" t="n"/>
      <c r="B921" s="65" t="n"/>
      <c r="C921" s="64" t="n"/>
      <c r="D921" s="66" t="n"/>
      <c r="E921" s="66" t="n"/>
      <c r="F921" s="67" t="n"/>
      <c r="G921" s="67" t="n"/>
      <c r="H921" s="67" t="n"/>
      <c r="I921" s="67" t="n"/>
      <c r="J921" s="67" t="n"/>
      <c r="K921" s="67" t="n"/>
      <c r="L921" s="67" t="n"/>
      <c r="M921" s="67" t="n"/>
      <c r="N921" s="65" t="n"/>
      <c r="O921" s="84">
        <f>IF(A921="","",IF(E921="","No date",IF(TODAY()&gt;=EDATE(E921,Review_Months),"Review Due","Current")))</f>
        <v/>
      </c>
      <c r="P921" s="84">
        <f>IF(A921="","",IF(COUNTIFS('AFA Rates'!$A$5:$A$1004,A921,'AFA Rates'!$O$5:$O$1004,"&lt;&gt;Expired")&gt;0,"Yes",IF(COUNTIF('AFA Rates'!$A$5:$A$1004,A921)&gt;0,"Expired only","No")))</f>
        <v/>
      </c>
      <c r="Q921" s="84">
        <f>IF(A921="","",COUNTIFS('AFA Rates'!$A$5:$A$1004,A921,'AFA Rates'!$O$5:$O$1004,"&lt;&gt;Expired"))</f>
        <v/>
      </c>
      <c r="R921" s="66" t="n"/>
      <c r="S921" s="64" t="n"/>
      <c r="T921" s="64" t="n"/>
      <c r="U921">
        <f>IF(AND(A921&lt;&gt;"",B921="Paused"),COUNTIFS($A$5:A921,"&lt;&gt;",$B$5:B921,"Paused"),"")</f>
        <v/>
      </c>
      <c r="V921">
        <f>IF(P921="Yes",COUNTIF($P$5:P921,"Yes"),"")</f>
        <v/>
      </c>
      <c r="W921">
        <f>IF(A921="","",COUNTIF($A$5:$A$1004,"&lt;"&amp;A921)+COUNTIF($A$5:A921,A921))</f>
        <v/>
      </c>
      <c r="X921">
        <f>","&amp;SUBSTITUTE(SUBSTITUTE(SUBSTITUTE(UPPER(C921)," ",""),";",","),"/",",")&amp;","</f>
        <v/>
      </c>
      <c r="Y921">
        <f>IF(AND(A921&lt;&gt;"",B921="Active",'State Search'!$C$5&lt;&gt;"",OR(X921=",ALL,",ISNUMBER(SEARCH(","&amp;'State Search'!$C$5&amp;",",X921)))),W921,"")</f>
        <v/>
      </c>
    </row>
    <row r="922">
      <c r="A922" s="64" t="n"/>
      <c r="B922" s="65" t="n"/>
      <c r="C922" s="64" t="n"/>
      <c r="D922" s="66" t="n"/>
      <c r="E922" s="66" t="n"/>
      <c r="F922" s="67" t="n"/>
      <c r="G922" s="67" t="n"/>
      <c r="H922" s="67" t="n"/>
      <c r="I922" s="67" t="n"/>
      <c r="J922" s="67" t="n"/>
      <c r="K922" s="67" t="n"/>
      <c r="L922" s="67" t="n"/>
      <c r="M922" s="67" t="n"/>
      <c r="N922" s="65" t="n"/>
      <c r="O922" s="84">
        <f>IF(A922="","",IF(E922="","No date",IF(TODAY()&gt;=EDATE(E922,Review_Months),"Review Due","Current")))</f>
        <v/>
      </c>
      <c r="P922" s="84">
        <f>IF(A922="","",IF(COUNTIFS('AFA Rates'!$A$5:$A$1004,A922,'AFA Rates'!$O$5:$O$1004,"&lt;&gt;Expired")&gt;0,"Yes",IF(COUNTIF('AFA Rates'!$A$5:$A$1004,A922)&gt;0,"Expired only","No")))</f>
        <v/>
      </c>
      <c r="Q922" s="84">
        <f>IF(A922="","",COUNTIFS('AFA Rates'!$A$5:$A$1004,A922,'AFA Rates'!$O$5:$O$1004,"&lt;&gt;Expired"))</f>
        <v/>
      </c>
      <c r="R922" s="66" t="n"/>
      <c r="S922" s="64" t="n"/>
      <c r="T922" s="64" t="n"/>
      <c r="U922">
        <f>IF(AND(A922&lt;&gt;"",B922="Paused"),COUNTIFS($A$5:A922,"&lt;&gt;",$B$5:B922,"Paused"),"")</f>
        <v/>
      </c>
      <c r="V922">
        <f>IF(P922="Yes",COUNTIF($P$5:P922,"Yes"),"")</f>
        <v/>
      </c>
      <c r="W922">
        <f>IF(A922="","",COUNTIF($A$5:$A$1004,"&lt;"&amp;A922)+COUNTIF($A$5:A922,A922))</f>
        <v/>
      </c>
      <c r="X922">
        <f>","&amp;SUBSTITUTE(SUBSTITUTE(SUBSTITUTE(UPPER(C922)," ",""),";",","),"/",",")&amp;","</f>
        <v/>
      </c>
      <c r="Y922">
        <f>IF(AND(A922&lt;&gt;"",B922="Active",'State Search'!$C$5&lt;&gt;"",OR(X922=",ALL,",ISNUMBER(SEARCH(","&amp;'State Search'!$C$5&amp;",",X922)))),W922,"")</f>
        <v/>
      </c>
    </row>
    <row r="923">
      <c r="A923" s="64" t="n"/>
      <c r="B923" s="65" t="n"/>
      <c r="C923" s="64" t="n"/>
      <c r="D923" s="66" t="n"/>
      <c r="E923" s="66" t="n"/>
      <c r="F923" s="67" t="n"/>
      <c r="G923" s="67" t="n"/>
      <c r="H923" s="67" t="n"/>
      <c r="I923" s="67" t="n"/>
      <c r="J923" s="67" t="n"/>
      <c r="K923" s="67" t="n"/>
      <c r="L923" s="67" t="n"/>
      <c r="M923" s="67" t="n"/>
      <c r="N923" s="65" t="n"/>
      <c r="O923" s="84">
        <f>IF(A923="","",IF(E923="","No date",IF(TODAY()&gt;=EDATE(E923,Review_Months),"Review Due","Current")))</f>
        <v/>
      </c>
      <c r="P923" s="84">
        <f>IF(A923="","",IF(COUNTIFS('AFA Rates'!$A$5:$A$1004,A923,'AFA Rates'!$O$5:$O$1004,"&lt;&gt;Expired")&gt;0,"Yes",IF(COUNTIF('AFA Rates'!$A$5:$A$1004,A923)&gt;0,"Expired only","No")))</f>
        <v/>
      </c>
      <c r="Q923" s="84">
        <f>IF(A923="","",COUNTIFS('AFA Rates'!$A$5:$A$1004,A923,'AFA Rates'!$O$5:$O$1004,"&lt;&gt;Expired"))</f>
        <v/>
      </c>
      <c r="R923" s="66" t="n"/>
      <c r="S923" s="64" t="n"/>
      <c r="T923" s="64" t="n"/>
      <c r="U923">
        <f>IF(AND(A923&lt;&gt;"",B923="Paused"),COUNTIFS($A$5:A923,"&lt;&gt;",$B$5:B923,"Paused"),"")</f>
        <v/>
      </c>
      <c r="V923">
        <f>IF(P923="Yes",COUNTIF($P$5:P923,"Yes"),"")</f>
        <v/>
      </c>
      <c r="W923">
        <f>IF(A923="","",COUNTIF($A$5:$A$1004,"&lt;"&amp;A923)+COUNTIF($A$5:A923,A923))</f>
        <v/>
      </c>
      <c r="X923">
        <f>","&amp;SUBSTITUTE(SUBSTITUTE(SUBSTITUTE(UPPER(C923)," ",""),";",","),"/",",")&amp;","</f>
        <v/>
      </c>
      <c r="Y923">
        <f>IF(AND(A923&lt;&gt;"",B923="Active",'State Search'!$C$5&lt;&gt;"",OR(X923=",ALL,",ISNUMBER(SEARCH(","&amp;'State Search'!$C$5&amp;",",X923)))),W923,"")</f>
        <v/>
      </c>
    </row>
    <row r="924">
      <c r="A924" s="64" t="n"/>
      <c r="B924" s="65" t="n"/>
      <c r="C924" s="64" t="n"/>
      <c r="D924" s="66" t="n"/>
      <c r="E924" s="66" t="n"/>
      <c r="F924" s="67" t="n"/>
      <c r="G924" s="67" t="n"/>
      <c r="H924" s="67" t="n"/>
      <c r="I924" s="67" t="n"/>
      <c r="J924" s="67" t="n"/>
      <c r="K924" s="67" t="n"/>
      <c r="L924" s="67" t="n"/>
      <c r="M924" s="67" t="n"/>
      <c r="N924" s="65" t="n"/>
      <c r="O924" s="84">
        <f>IF(A924="","",IF(E924="","No date",IF(TODAY()&gt;=EDATE(E924,Review_Months),"Review Due","Current")))</f>
        <v/>
      </c>
      <c r="P924" s="84">
        <f>IF(A924="","",IF(COUNTIFS('AFA Rates'!$A$5:$A$1004,A924,'AFA Rates'!$O$5:$O$1004,"&lt;&gt;Expired")&gt;0,"Yes",IF(COUNTIF('AFA Rates'!$A$5:$A$1004,A924)&gt;0,"Expired only","No")))</f>
        <v/>
      </c>
      <c r="Q924" s="84">
        <f>IF(A924="","",COUNTIFS('AFA Rates'!$A$5:$A$1004,A924,'AFA Rates'!$O$5:$O$1004,"&lt;&gt;Expired"))</f>
        <v/>
      </c>
      <c r="R924" s="66" t="n"/>
      <c r="S924" s="64" t="n"/>
      <c r="T924" s="64" t="n"/>
      <c r="U924">
        <f>IF(AND(A924&lt;&gt;"",B924="Paused"),COUNTIFS($A$5:A924,"&lt;&gt;",$B$5:B924,"Paused"),"")</f>
        <v/>
      </c>
      <c r="V924">
        <f>IF(P924="Yes",COUNTIF($P$5:P924,"Yes"),"")</f>
        <v/>
      </c>
      <c r="W924">
        <f>IF(A924="","",COUNTIF($A$5:$A$1004,"&lt;"&amp;A924)+COUNTIF($A$5:A924,A924))</f>
        <v/>
      </c>
      <c r="X924">
        <f>","&amp;SUBSTITUTE(SUBSTITUTE(SUBSTITUTE(UPPER(C924)," ",""),";",","),"/",",")&amp;","</f>
        <v/>
      </c>
      <c r="Y924">
        <f>IF(AND(A924&lt;&gt;"",B924="Active",'State Search'!$C$5&lt;&gt;"",OR(X924=",ALL,",ISNUMBER(SEARCH(","&amp;'State Search'!$C$5&amp;",",X924)))),W924,"")</f>
        <v/>
      </c>
    </row>
    <row r="925">
      <c r="A925" s="64" t="n"/>
      <c r="B925" s="65" t="n"/>
      <c r="C925" s="64" t="n"/>
      <c r="D925" s="66" t="n"/>
      <c r="E925" s="66" t="n"/>
      <c r="F925" s="67" t="n"/>
      <c r="G925" s="67" t="n"/>
      <c r="H925" s="67" t="n"/>
      <c r="I925" s="67" t="n"/>
      <c r="J925" s="67" t="n"/>
      <c r="K925" s="67" t="n"/>
      <c r="L925" s="67" t="n"/>
      <c r="M925" s="67" t="n"/>
      <c r="N925" s="65" t="n"/>
      <c r="O925" s="84">
        <f>IF(A925="","",IF(E925="","No date",IF(TODAY()&gt;=EDATE(E925,Review_Months),"Review Due","Current")))</f>
        <v/>
      </c>
      <c r="P925" s="84">
        <f>IF(A925="","",IF(COUNTIFS('AFA Rates'!$A$5:$A$1004,A925,'AFA Rates'!$O$5:$O$1004,"&lt;&gt;Expired")&gt;0,"Yes",IF(COUNTIF('AFA Rates'!$A$5:$A$1004,A925)&gt;0,"Expired only","No")))</f>
        <v/>
      </c>
      <c r="Q925" s="84">
        <f>IF(A925="","",COUNTIFS('AFA Rates'!$A$5:$A$1004,A925,'AFA Rates'!$O$5:$O$1004,"&lt;&gt;Expired"))</f>
        <v/>
      </c>
      <c r="R925" s="66" t="n"/>
      <c r="S925" s="64" t="n"/>
      <c r="T925" s="64" t="n"/>
      <c r="U925">
        <f>IF(AND(A925&lt;&gt;"",B925="Paused"),COUNTIFS($A$5:A925,"&lt;&gt;",$B$5:B925,"Paused"),"")</f>
        <v/>
      </c>
      <c r="V925">
        <f>IF(P925="Yes",COUNTIF($P$5:P925,"Yes"),"")</f>
        <v/>
      </c>
      <c r="W925">
        <f>IF(A925="","",COUNTIF($A$5:$A$1004,"&lt;"&amp;A925)+COUNTIF($A$5:A925,A925))</f>
        <v/>
      </c>
      <c r="X925">
        <f>","&amp;SUBSTITUTE(SUBSTITUTE(SUBSTITUTE(UPPER(C925)," ",""),";",","),"/",",")&amp;","</f>
        <v/>
      </c>
      <c r="Y925">
        <f>IF(AND(A925&lt;&gt;"",B925="Active",'State Search'!$C$5&lt;&gt;"",OR(X925=",ALL,",ISNUMBER(SEARCH(","&amp;'State Search'!$C$5&amp;",",X925)))),W925,"")</f>
        <v/>
      </c>
    </row>
    <row r="926">
      <c r="A926" s="64" t="n"/>
      <c r="B926" s="65" t="n"/>
      <c r="C926" s="64" t="n"/>
      <c r="D926" s="66" t="n"/>
      <c r="E926" s="66" t="n"/>
      <c r="F926" s="67" t="n"/>
      <c r="G926" s="67" t="n"/>
      <c r="H926" s="67" t="n"/>
      <c r="I926" s="67" t="n"/>
      <c r="J926" s="67" t="n"/>
      <c r="K926" s="67" t="n"/>
      <c r="L926" s="67" t="n"/>
      <c r="M926" s="67" t="n"/>
      <c r="N926" s="65" t="n"/>
      <c r="O926" s="84">
        <f>IF(A926="","",IF(E926="","No date",IF(TODAY()&gt;=EDATE(E926,Review_Months),"Review Due","Current")))</f>
        <v/>
      </c>
      <c r="P926" s="84">
        <f>IF(A926="","",IF(COUNTIFS('AFA Rates'!$A$5:$A$1004,A926,'AFA Rates'!$O$5:$O$1004,"&lt;&gt;Expired")&gt;0,"Yes",IF(COUNTIF('AFA Rates'!$A$5:$A$1004,A926)&gt;0,"Expired only","No")))</f>
        <v/>
      </c>
      <c r="Q926" s="84">
        <f>IF(A926="","",COUNTIFS('AFA Rates'!$A$5:$A$1004,A926,'AFA Rates'!$O$5:$O$1004,"&lt;&gt;Expired"))</f>
        <v/>
      </c>
      <c r="R926" s="66" t="n"/>
      <c r="S926" s="64" t="n"/>
      <c r="T926" s="64" t="n"/>
      <c r="U926">
        <f>IF(AND(A926&lt;&gt;"",B926="Paused"),COUNTIFS($A$5:A926,"&lt;&gt;",$B$5:B926,"Paused"),"")</f>
        <v/>
      </c>
      <c r="V926">
        <f>IF(P926="Yes",COUNTIF($P$5:P926,"Yes"),"")</f>
        <v/>
      </c>
      <c r="W926">
        <f>IF(A926="","",COUNTIF($A$5:$A$1004,"&lt;"&amp;A926)+COUNTIF($A$5:A926,A926))</f>
        <v/>
      </c>
      <c r="X926">
        <f>","&amp;SUBSTITUTE(SUBSTITUTE(SUBSTITUTE(UPPER(C926)," ",""),";",","),"/",",")&amp;","</f>
        <v/>
      </c>
      <c r="Y926">
        <f>IF(AND(A926&lt;&gt;"",B926="Active",'State Search'!$C$5&lt;&gt;"",OR(X926=",ALL,",ISNUMBER(SEARCH(","&amp;'State Search'!$C$5&amp;",",X926)))),W926,"")</f>
        <v/>
      </c>
    </row>
    <row r="927">
      <c r="A927" s="64" t="n"/>
      <c r="B927" s="65" t="n"/>
      <c r="C927" s="64" t="n"/>
      <c r="D927" s="66" t="n"/>
      <c r="E927" s="66" t="n"/>
      <c r="F927" s="67" t="n"/>
      <c r="G927" s="67" t="n"/>
      <c r="H927" s="67" t="n"/>
      <c r="I927" s="67" t="n"/>
      <c r="J927" s="67" t="n"/>
      <c r="K927" s="67" t="n"/>
      <c r="L927" s="67" t="n"/>
      <c r="M927" s="67" t="n"/>
      <c r="N927" s="65" t="n"/>
      <c r="O927" s="84">
        <f>IF(A927="","",IF(E927="","No date",IF(TODAY()&gt;=EDATE(E927,Review_Months),"Review Due","Current")))</f>
        <v/>
      </c>
      <c r="P927" s="84">
        <f>IF(A927="","",IF(COUNTIFS('AFA Rates'!$A$5:$A$1004,A927,'AFA Rates'!$O$5:$O$1004,"&lt;&gt;Expired")&gt;0,"Yes",IF(COUNTIF('AFA Rates'!$A$5:$A$1004,A927)&gt;0,"Expired only","No")))</f>
        <v/>
      </c>
      <c r="Q927" s="84">
        <f>IF(A927="","",COUNTIFS('AFA Rates'!$A$5:$A$1004,A927,'AFA Rates'!$O$5:$O$1004,"&lt;&gt;Expired"))</f>
        <v/>
      </c>
      <c r="R927" s="66" t="n"/>
      <c r="S927" s="64" t="n"/>
      <c r="T927" s="64" t="n"/>
      <c r="U927">
        <f>IF(AND(A927&lt;&gt;"",B927="Paused"),COUNTIFS($A$5:A927,"&lt;&gt;",$B$5:B927,"Paused"),"")</f>
        <v/>
      </c>
      <c r="V927">
        <f>IF(P927="Yes",COUNTIF($P$5:P927,"Yes"),"")</f>
        <v/>
      </c>
      <c r="W927">
        <f>IF(A927="","",COUNTIF($A$5:$A$1004,"&lt;"&amp;A927)+COUNTIF($A$5:A927,A927))</f>
        <v/>
      </c>
      <c r="X927">
        <f>","&amp;SUBSTITUTE(SUBSTITUTE(SUBSTITUTE(UPPER(C927)," ",""),";",","),"/",",")&amp;","</f>
        <v/>
      </c>
      <c r="Y927">
        <f>IF(AND(A927&lt;&gt;"",B927="Active",'State Search'!$C$5&lt;&gt;"",OR(X927=",ALL,",ISNUMBER(SEARCH(","&amp;'State Search'!$C$5&amp;",",X927)))),W927,"")</f>
        <v/>
      </c>
    </row>
    <row r="928">
      <c r="A928" s="64" t="n"/>
      <c r="B928" s="65" t="n"/>
      <c r="C928" s="64" t="n"/>
      <c r="D928" s="66" t="n"/>
      <c r="E928" s="66" t="n"/>
      <c r="F928" s="67" t="n"/>
      <c r="G928" s="67" t="n"/>
      <c r="H928" s="67" t="n"/>
      <c r="I928" s="67" t="n"/>
      <c r="J928" s="67" t="n"/>
      <c r="K928" s="67" t="n"/>
      <c r="L928" s="67" t="n"/>
      <c r="M928" s="67" t="n"/>
      <c r="N928" s="65" t="n"/>
      <c r="O928" s="84">
        <f>IF(A928="","",IF(E928="","No date",IF(TODAY()&gt;=EDATE(E928,Review_Months),"Review Due","Current")))</f>
        <v/>
      </c>
      <c r="P928" s="84">
        <f>IF(A928="","",IF(COUNTIFS('AFA Rates'!$A$5:$A$1004,A928,'AFA Rates'!$O$5:$O$1004,"&lt;&gt;Expired")&gt;0,"Yes",IF(COUNTIF('AFA Rates'!$A$5:$A$1004,A928)&gt;0,"Expired only","No")))</f>
        <v/>
      </c>
      <c r="Q928" s="84">
        <f>IF(A928="","",COUNTIFS('AFA Rates'!$A$5:$A$1004,A928,'AFA Rates'!$O$5:$O$1004,"&lt;&gt;Expired"))</f>
        <v/>
      </c>
      <c r="R928" s="66" t="n"/>
      <c r="S928" s="64" t="n"/>
      <c r="T928" s="64" t="n"/>
      <c r="U928">
        <f>IF(AND(A928&lt;&gt;"",B928="Paused"),COUNTIFS($A$5:A928,"&lt;&gt;",$B$5:B928,"Paused"),"")</f>
        <v/>
      </c>
      <c r="V928">
        <f>IF(P928="Yes",COUNTIF($P$5:P928,"Yes"),"")</f>
        <v/>
      </c>
      <c r="W928">
        <f>IF(A928="","",COUNTIF($A$5:$A$1004,"&lt;"&amp;A928)+COUNTIF($A$5:A928,A928))</f>
        <v/>
      </c>
      <c r="X928">
        <f>","&amp;SUBSTITUTE(SUBSTITUTE(SUBSTITUTE(UPPER(C928)," ",""),";",","),"/",",")&amp;","</f>
        <v/>
      </c>
      <c r="Y928">
        <f>IF(AND(A928&lt;&gt;"",B928="Active",'State Search'!$C$5&lt;&gt;"",OR(X928=",ALL,",ISNUMBER(SEARCH(","&amp;'State Search'!$C$5&amp;",",X928)))),W928,"")</f>
        <v/>
      </c>
    </row>
    <row r="929">
      <c r="A929" s="64" t="n"/>
      <c r="B929" s="65" t="n"/>
      <c r="C929" s="64" t="n"/>
      <c r="D929" s="66" t="n"/>
      <c r="E929" s="66" t="n"/>
      <c r="F929" s="67" t="n"/>
      <c r="G929" s="67" t="n"/>
      <c r="H929" s="67" t="n"/>
      <c r="I929" s="67" t="n"/>
      <c r="J929" s="67" t="n"/>
      <c r="K929" s="67" t="n"/>
      <c r="L929" s="67" t="n"/>
      <c r="M929" s="67" t="n"/>
      <c r="N929" s="65" t="n"/>
      <c r="O929" s="84">
        <f>IF(A929="","",IF(E929="","No date",IF(TODAY()&gt;=EDATE(E929,Review_Months),"Review Due","Current")))</f>
        <v/>
      </c>
      <c r="P929" s="84">
        <f>IF(A929="","",IF(COUNTIFS('AFA Rates'!$A$5:$A$1004,A929,'AFA Rates'!$O$5:$O$1004,"&lt;&gt;Expired")&gt;0,"Yes",IF(COUNTIF('AFA Rates'!$A$5:$A$1004,A929)&gt;0,"Expired only","No")))</f>
        <v/>
      </c>
      <c r="Q929" s="84">
        <f>IF(A929="","",COUNTIFS('AFA Rates'!$A$5:$A$1004,A929,'AFA Rates'!$O$5:$O$1004,"&lt;&gt;Expired"))</f>
        <v/>
      </c>
      <c r="R929" s="66" t="n"/>
      <c r="S929" s="64" t="n"/>
      <c r="T929" s="64" t="n"/>
      <c r="U929">
        <f>IF(AND(A929&lt;&gt;"",B929="Paused"),COUNTIFS($A$5:A929,"&lt;&gt;",$B$5:B929,"Paused"),"")</f>
        <v/>
      </c>
      <c r="V929">
        <f>IF(P929="Yes",COUNTIF($P$5:P929,"Yes"),"")</f>
        <v/>
      </c>
      <c r="W929">
        <f>IF(A929="","",COUNTIF($A$5:$A$1004,"&lt;"&amp;A929)+COUNTIF($A$5:A929,A929))</f>
        <v/>
      </c>
      <c r="X929">
        <f>","&amp;SUBSTITUTE(SUBSTITUTE(SUBSTITUTE(UPPER(C929)," ",""),";",","),"/",",")&amp;","</f>
        <v/>
      </c>
      <c r="Y929">
        <f>IF(AND(A929&lt;&gt;"",B929="Active",'State Search'!$C$5&lt;&gt;"",OR(X929=",ALL,",ISNUMBER(SEARCH(","&amp;'State Search'!$C$5&amp;",",X929)))),W929,"")</f>
        <v/>
      </c>
    </row>
    <row r="930">
      <c r="A930" s="64" t="n"/>
      <c r="B930" s="65" t="n"/>
      <c r="C930" s="64" t="n"/>
      <c r="D930" s="66" t="n"/>
      <c r="E930" s="66" t="n"/>
      <c r="F930" s="67" t="n"/>
      <c r="G930" s="67" t="n"/>
      <c r="H930" s="67" t="n"/>
      <c r="I930" s="67" t="n"/>
      <c r="J930" s="67" t="n"/>
      <c r="K930" s="67" t="n"/>
      <c r="L930" s="67" t="n"/>
      <c r="M930" s="67" t="n"/>
      <c r="N930" s="65" t="n"/>
      <c r="O930" s="84">
        <f>IF(A930="","",IF(E930="","No date",IF(TODAY()&gt;=EDATE(E930,Review_Months),"Review Due","Current")))</f>
        <v/>
      </c>
      <c r="P930" s="84">
        <f>IF(A930="","",IF(COUNTIFS('AFA Rates'!$A$5:$A$1004,A930,'AFA Rates'!$O$5:$O$1004,"&lt;&gt;Expired")&gt;0,"Yes",IF(COUNTIF('AFA Rates'!$A$5:$A$1004,A930)&gt;0,"Expired only","No")))</f>
        <v/>
      </c>
      <c r="Q930" s="84">
        <f>IF(A930="","",COUNTIFS('AFA Rates'!$A$5:$A$1004,A930,'AFA Rates'!$O$5:$O$1004,"&lt;&gt;Expired"))</f>
        <v/>
      </c>
      <c r="R930" s="66" t="n"/>
      <c r="S930" s="64" t="n"/>
      <c r="T930" s="64" t="n"/>
      <c r="U930">
        <f>IF(AND(A930&lt;&gt;"",B930="Paused"),COUNTIFS($A$5:A930,"&lt;&gt;",$B$5:B930,"Paused"),"")</f>
        <v/>
      </c>
      <c r="V930">
        <f>IF(P930="Yes",COUNTIF($P$5:P930,"Yes"),"")</f>
        <v/>
      </c>
      <c r="W930">
        <f>IF(A930="","",COUNTIF($A$5:$A$1004,"&lt;"&amp;A930)+COUNTIF($A$5:A930,A930))</f>
        <v/>
      </c>
      <c r="X930">
        <f>","&amp;SUBSTITUTE(SUBSTITUTE(SUBSTITUTE(UPPER(C930)," ",""),";",","),"/",",")&amp;","</f>
        <v/>
      </c>
      <c r="Y930">
        <f>IF(AND(A930&lt;&gt;"",B930="Active",'State Search'!$C$5&lt;&gt;"",OR(X930=",ALL,",ISNUMBER(SEARCH(","&amp;'State Search'!$C$5&amp;",",X930)))),W930,"")</f>
        <v/>
      </c>
    </row>
    <row r="931">
      <c r="A931" s="64" t="n"/>
      <c r="B931" s="65" t="n"/>
      <c r="C931" s="64" t="n"/>
      <c r="D931" s="66" t="n"/>
      <c r="E931" s="66" t="n"/>
      <c r="F931" s="67" t="n"/>
      <c r="G931" s="67" t="n"/>
      <c r="H931" s="67" t="n"/>
      <c r="I931" s="67" t="n"/>
      <c r="J931" s="67" t="n"/>
      <c r="K931" s="67" t="n"/>
      <c r="L931" s="67" t="n"/>
      <c r="M931" s="67" t="n"/>
      <c r="N931" s="65" t="n"/>
      <c r="O931" s="84">
        <f>IF(A931="","",IF(E931="","No date",IF(TODAY()&gt;=EDATE(E931,Review_Months),"Review Due","Current")))</f>
        <v/>
      </c>
      <c r="P931" s="84">
        <f>IF(A931="","",IF(COUNTIFS('AFA Rates'!$A$5:$A$1004,A931,'AFA Rates'!$O$5:$O$1004,"&lt;&gt;Expired")&gt;0,"Yes",IF(COUNTIF('AFA Rates'!$A$5:$A$1004,A931)&gt;0,"Expired only","No")))</f>
        <v/>
      </c>
      <c r="Q931" s="84">
        <f>IF(A931="","",COUNTIFS('AFA Rates'!$A$5:$A$1004,A931,'AFA Rates'!$O$5:$O$1004,"&lt;&gt;Expired"))</f>
        <v/>
      </c>
      <c r="R931" s="66" t="n"/>
      <c r="S931" s="64" t="n"/>
      <c r="T931" s="64" t="n"/>
      <c r="U931">
        <f>IF(AND(A931&lt;&gt;"",B931="Paused"),COUNTIFS($A$5:A931,"&lt;&gt;",$B$5:B931,"Paused"),"")</f>
        <v/>
      </c>
      <c r="V931">
        <f>IF(P931="Yes",COUNTIF($P$5:P931,"Yes"),"")</f>
        <v/>
      </c>
      <c r="W931">
        <f>IF(A931="","",COUNTIF($A$5:$A$1004,"&lt;"&amp;A931)+COUNTIF($A$5:A931,A931))</f>
        <v/>
      </c>
      <c r="X931">
        <f>","&amp;SUBSTITUTE(SUBSTITUTE(SUBSTITUTE(UPPER(C931)," ",""),";",","),"/",",")&amp;","</f>
        <v/>
      </c>
      <c r="Y931">
        <f>IF(AND(A931&lt;&gt;"",B931="Active",'State Search'!$C$5&lt;&gt;"",OR(X931=",ALL,",ISNUMBER(SEARCH(","&amp;'State Search'!$C$5&amp;",",X931)))),W931,"")</f>
        <v/>
      </c>
    </row>
    <row r="932">
      <c r="A932" s="64" t="n"/>
      <c r="B932" s="65" t="n"/>
      <c r="C932" s="64" t="n"/>
      <c r="D932" s="66" t="n"/>
      <c r="E932" s="66" t="n"/>
      <c r="F932" s="67" t="n"/>
      <c r="G932" s="67" t="n"/>
      <c r="H932" s="67" t="n"/>
      <c r="I932" s="67" t="n"/>
      <c r="J932" s="67" t="n"/>
      <c r="K932" s="67" t="n"/>
      <c r="L932" s="67" t="n"/>
      <c r="M932" s="67" t="n"/>
      <c r="N932" s="65" t="n"/>
      <c r="O932" s="84">
        <f>IF(A932="","",IF(E932="","No date",IF(TODAY()&gt;=EDATE(E932,Review_Months),"Review Due","Current")))</f>
        <v/>
      </c>
      <c r="P932" s="84">
        <f>IF(A932="","",IF(COUNTIFS('AFA Rates'!$A$5:$A$1004,A932,'AFA Rates'!$O$5:$O$1004,"&lt;&gt;Expired")&gt;0,"Yes",IF(COUNTIF('AFA Rates'!$A$5:$A$1004,A932)&gt;0,"Expired only","No")))</f>
        <v/>
      </c>
      <c r="Q932" s="84">
        <f>IF(A932="","",COUNTIFS('AFA Rates'!$A$5:$A$1004,A932,'AFA Rates'!$O$5:$O$1004,"&lt;&gt;Expired"))</f>
        <v/>
      </c>
      <c r="R932" s="66" t="n"/>
      <c r="S932" s="64" t="n"/>
      <c r="T932" s="64" t="n"/>
      <c r="U932">
        <f>IF(AND(A932&lt;&gt;"",B932="Paused"),COUNTIFS($A$5:A932,"&lt;&gt;",$B$5:B932,"Paused"),"")</f>
        <v/>
      </c>
      <c r="V932">
        <f>IF(P932="Yes",COUNTIF($P$5:P932,"Yes"),"")</f>
        <v/>
      </c>
      <c r="W932">
        <f>IF(A932="","",COUNTIF($A$5:$A$1004,"&lt;"&amp;A932)+COUNTIF($A$5:A932,A932))</f>
        <v/>
      </c>
      <c r="X932">
        <f>","&amp;SUBSTITUTE(SUBSTITUTE(SUBSTITUTE(UPPER(C932)," ",""),";",","),"/",",")&amp;","</f>
        <v/>
      </c>
      <c r="Y932">
        <f>IF(AND(A932&lt;&gt;"",B932="Active",'State Search'!$C$5&lt;&gt;"",OR(X932=",ALL,",ISNUMBER(SEARCH(","&amp;'State Search'!$C$5&amp;",",X932)))),W932,"")</f>
        <v/>
      </c>
    </row>
    <row r="933">
      <c r="A933" s="64" t="n"/>
      <c r="B933" s="65" t="n"/>
      <c r="C933" s="64" t="n"/>
      <c r="D933" s="66" t="n"/>
      <c r="E933" s="66" t="n"/>
      <c r="F933" s="67" t="n"/>
      <c r="G933" s="67" t="n"/>
      <c r="H933" s="67" t="n"/>
      <c r="I933" s="67" t="n"/>
      <c r="J933" s="67" t="n"/>
      <c r="K933" s="67" t="n"/>
      <c r="L933" s="67" t="n"/>
      <c r="M933" s="67" t="n"/>
      <c r="N933" s="65" t="n"/>
      <c r="O933" s="84">
        <f>IF(A933="","",IF(E933="","No date",IF(TODAY()&gt;=EDATE(E933,Review_Months),"Review Due","Current")))</f>
        <v/>
      </c>
      <c r="P933" s="84">
        <f>IF(A933="","",IF(COUNTIFS('AFA Rates'!$A$5:$A$1004,A933,'AFA Rates'!$O$5:$O$1004,"&lt;&gt;Expired")&gt;0,"Yes",IF(COUNTIF('AFA Rates'!$A$5:$A$1004,A933)&gt;0,"Expired only","No")))</f>
        <v/>
      </c>
      <c r="Q933" s="84">
        <f>IF(A933="","",COUNTIFS('AFA Rates'!$A$5:$A$1004,A933,'AFA Rates'!$O$5:$O$1004,"&lt;&gt;Expired"))</f>
        <v/>
      </c>
      <c r="R933" s="66" t="n"/>
      <c r="S933" s="64" t="n"/>
      <c r="T933" s="64" t="n"/>
      <c r="U933">
        <f>IF(AND(A933&lt;&gt;"",B933="Paused"),COUNTIFS($A$5:A933,"&lt;&gt;",$B$5:B933,"Paused"),"")</f>
        <v/>
      </c>
      <c r="V933">
        <f>IF(P933="Yes",COUNTIF($P$5:P933,"Yes"),"")</f>
        <v/>
      </c>
      <c r="W933">
        <f>IF(A933="","",COUNTIF($A$5:$A$1004,"&lt;"&amp;A933)+COUNTIF($A$5:A933,A933))</f>
        <v/>
      </c>
      <c r="X933">
        <f>","&amp;SUBSTITUTE(SUBSTITUTE(SUBSTITUTE(UPPER(C933)," ",""),";",","),"/",",")&amp;","</f>
        <v/>
      </c>
      <c r="Y933">
        <f>IF(AND(A933&lt;&gt;"",B933="Active",'State Search'!$C$5&lt;&gt;"",OR(X933=",ALL,",ISNUMBER(SEARCH(","&amp;'State Search'!$C$5&amp;",",X933)))),W933,"")</f>
        <v/>
      </c>
    </row>
    <row r="934">
      <c r="A934" s="64" t="n"/>
      <c r="B934" s="65" t="n"/>
      <c r="C934" s="64" t="n"/>
      <c r="D934" s="66" t="n"/>
      <c r="E934" s="66" t="n"/>
      <c r="F934" s="67" t="n"/>
      <c r="G934" s="67" t="n"/>
      <c r="H934" s="67" t="n"/>
      <c r="I934" s="67" t="n"/>
      <c r="J934" s="67" t="n"/>
      <c r="K934" s="67" t="n"/>
      <c r="L934" s="67" t="n"/>
      <c r="M934" s="67" t="n"/>
      <c r="N934" s="65" t="n"/>
      <c r="O934" s="84">
        <f>IF(A934="","",IF(E934="","No date",IF(TODAY()&gt;=EDATE(E934,Review_Months),"Review Due","Current")))</f>
        <v/>
      </c>
      <c r="P934" s="84">
        <f>IF(A934="","",IF(COUNTIFS('AFA Rates'!$A$5:$A$1004,A934,'AFA Rates'!$O$5:$O$1004,"&lt;&gt;Expired")&gt;0,"Yes",IF(COUNTIF('AFA Rates'!$A$5:$A$1004,A934)&gt;0,"Expired only","No")))</f>
        <v/>
      </c>
      <c r="Q934" s="84">
        <f>IF(A934="","",COUNTIFS('AFA Rates'!$A$5:$A$1004,A934,'AFA Rates'!$O$5:$O$1004,"&lt;&gt;Expired"))</f>
        <v/>
      </c>
      <c r="R934" s="66" t="n"/>
      <c r="S934" s="64" t="n"/>
      <c r="T934" s="64" t="n"/>
      <c r="U934">
        <f>IF(AND(A934&lt;&gt;"",B934="Paused"),COUNTIFS($A$5:A934,"&lt;&gt;",$B$5:B934,"Paused"),"")</f>
        <v/>
      </c>
      <c r="V934">
        <f>IF(P934="Yes",COUNTIF($P$5:P934,"Yes"),"")</f>
        <v/>
      </c>
      <c r="W934">
        <f>IF(A934="","",COUNTIF($A$5:$A$1004,"&lt;"&amp;A934)+COUNTIF($A$5:A934,A934))</f>
        <v/>
      </c>
      <c r="X934">
        <f>","&amp;SUBSTITUTE(SUBSTITUTE(SUBSTITUTE(UPPER(C934)," ",""),";",","),"/",",")&amp;","</f>
        <v/>
      </c>
      <c r="Y934">
        <f>IF(AND(A934&lt;&gt;"",B934="Active",'State Search'!$C$5&lt;&gt;"",OR(X934=",ALL,",ISNUMBER(SEARCH(","&amp;'State Search'!$C$5&amp;",",X934)))),W934,"")</f>
        <v/>
      </c>
    </row>
    <row r="935">
      <c r="A935" s="64" t="n"/>
      <c r="B935" s="65" t="n"/>
      <c r="C935" s="64" t="n"/>
      <c r="D935" s="66" t="n"/>
      <c r="E935" s="66" t="n"/>
      <c r="F935" s="67" t="n"/>
      <c r="G935" s="67" t="n"/>
      <c r="H935" s="67" t="n"/>
      <c r="I935" s="67" t="n"/>
      <c r="J935" s="67" t="n"/>
      <c r="K935" s="67" t="n"/>
      <c r="L935" s="67" t="n"/>
      <c r="M935" s="67" t="n"/>
      <c r="N935" s="65" t="n"/>
      <c r="O935" s="84">
        <f>IF(A935="","",IF(E935="","No date",IF(TODAY()&gt;=EDATE(E935,Review_Months),"Review Due","Current")))</f>
        <v/>
      </c>
      <c r="P935" s="84">
        <f>IF(A935="","",IF(COUNTIFS('AFA Rates'!$A$5:$A$1004,A935,'AFA Rates'!$O$5:$O$1004,"&lt;&gt;Expired")&gt;0,"Yes",IF(COUNTIF('AFA Rates'!$A$5:$A$1004,A935)&gt;0,"Expired only","No")))</f>
        <v/>
      </c>
      <c r="Q935" s="84">
        <f>IF(A935="","",COUNTIFS('AFA Rates'!$A$5:$A$1004,A935,'AFA Rates'!$O$5:$O$1004,"&lt;&gt;Expired"))</f>
        <v/>
      </c>
      <c r="R935" s="66" t="n"/>
      <c r="S935" s="64" t="n"/>
      <c r="T935" s="64" t="n"/>
      <c r="U935">
        <f>IF(AND(A935&lt;&gt;"",B935="Paused"),COUNTIFS($A$5:A935,"&lt;&gt;",$B$5:B935,"Paused"),"")</f>
        <v/>
      </c>
      <c r="V935">
        <f>IF(P935="Yes",COUNTIF($P$5:P935,"Yes"),"")</f>
        <v/>
      </c>
      <c r="W935">
        <f>IF(A935="","",COUNTIF($A$5:$A$1004,"&lt;"&amp;A935)+COUNTIF($A$5:A935,A935))</f>
        <v/>
      </c>
      <c r="X935">
        <f>","&amp;SUBSTITUTE(SUBSTITUTE(SUBSTITUTE(UPPER(C935)," ",""),";",","),"/",",")&amp;","</f>
        <v/>
      </c>
      <c r="Y935">
        <f>IF(AND(A935&lt;&gt;"",B935="Active",'State Search'!$C$5&lt;&gt;"",OR(X935=",ALL,",ISNUMBER(SEARCH(","&amp;'State Search'!$C$5&amp;",",X935)))),W935,"")</f>
        <v/>
      </c>
    </row>
    <row r="936">
      <c r="A936" s="64" t="n"/>
      <c r="B936" s="65" t="n"/>
      <c r="C936" s="64" t="n"/>
      <c r="D936" s="66" t="n"/>
      <c r="E936" s="66" t="n"/>
      <c r="F936" s="67" t="n"/>
      <c r="G936" s="67" t="n"/>
      <c r="H936" s="67" t="n"/>
      <c r="I936" s="67" t="n"/>
      <c r="J936" s="67" t="n"/>
      <c r="K936" s="67" t="n"/>
      <c r="L936" s="67" t="n"/>
      <c r="M936" s="67" t="n"/>
      <c r="N936" s="65" t="n"/>
      <c r="O936" s="84">
        <f>IF(A936="","",IF(E936="","No date",IF(TODAY()&gt;=EDATE(E936,Review_Months),"Review Due","Current")))</f>
        <v/>
      </c>
      <c r="P936" s="84">
        <f>IF(A936="","",IF(COUNTIFS('AFA Rates'!$A$5:$A$1004,A936,'AFA Rates'!$O$5:$O$1004,"&lt;&gt;Expired")&gt;0,"Yes",IF(COUNTIF('AFA Rates'!$A$5:$A$1004,A936)&gt;0,"Expired only","No")))</f>
        <v/>
      </c>
      <c r="Q936" s="84">
        <f>IF(A936="","",COUNTIFS('AFA Rates'!$A$5:$A$1004,A936,'AFA Rates'!$O$5:$O$1004,"&lt;&gt;Expired"))</f>
        <v/>
      </c>
      <c r="R936" s="66" t="n"/>
      <c r="S936" s="64" t="n"/>
      <c r="T936" s="64" t="n"/>
      <c r="U936">
        <f>IF(AND(A936&lt;&gt;"",B936="Paused"),COUNTIFS($A$5:A936,"&lt;&gt;",$B$5:B936,"Paused"),"")</f>
        <v/>
      </c>
      <c r="V936">
        <f>IF(P936="Yes",COUNTIF($P$5:P936,"Yes"),"")</f>
        <v/>
      </c>
      <c r="W936">
        <f>IF(A936="","",COUNTIF($A$5:$A$1004,"&lt;"&amp;A936)+COUNTIF($A$5:A936,A936))</f>
        <v/>
      </c>
      <c r="X936">
        <f>","&amp;SUBSTITUTE(SUBSTITUTE(SUBSTITUTE(UPPER(C936)," ",""),";",","),"/",",")&amp;","</f>
        <v/>
      </c>
      <c r="Y936">
        <f>IF(AND(A936&lt;&gt;"",B936="Active",'State Search'!$C$5&lt;&gt;"",OR(X936=",ALL,",ISNUMBER(SEARCH(","&amp;'State Search'!$C$5&amp;",",X936)))),W936,"")</f>
        <v/>
      </c>
    </row>
    <row r="937">
      <c r="A937" s="64" t="n"/>
      <c r="B937" s="65" t="n"/>
      <c r="C937" s="64" t="n"/>
      <c r="D937" s="66" t="n"/>
      <c r="E937" s="66" t="n"/>
      <c r="F937" s="67" t="n"/>
      <c r="G937" s="67" t="n"/>
      <c r="H937" s="67" t="n"/>
      <c r="I937" s="67" t="n"/>
      <c r="J937" s="67" t="n"/>
      <c r="K937" s="67" t="n"/>
      <c r="L937" s="67" t="n"/>
      <c r="M937" s="67" t="n"/>
      <c r="N937" s="65" t="n"/>
      <c r="O937" s="84">
        <f>IF(A937="","",IF(E937="","No date",IF(TODAY()&gt;=EDATE(E937,Review_Months),"Review Due","Current")))</f>
        <v/>
      </c>
      <c r="P937" s="84">
        <f>IF(A937="","",IF(COUNTIFS('AFA Rates'!$A$5:$A$1004,A937,'AFA Rates'!$O$5:$O$1004,"&lt;&gt;Expired")&gt;0,"Yes",IF(COUNTIF('AFA Rates'!$A$5:$A$1004,A937)&gt;0,"Expired only","No")))</f>
        <v/>
      </c>
      <c r="Q937" s="84">
        <f>IF(A937="","",COUNTIFS('AFA Rates'!$A$5:$A$1004,A937,'AFA Rates'!$O$5:$O$1004,"&lt;&gt;Expired"))</f>
        <v/>
      </c>
      <c r="R937" s="66" t="n"/>
      <c r="S937" s="64" t="n"/>
      <c r="T937" s="64" t="n"/>
      <c r="U937">
        <f>IF(AND(A937&lt;&gt;"",B937="Paused"),COUNTIFS($A$5:A937,"&lt;&gt;",$B$5:B937,"Paused"),"")</f>
        <v/>
      </c>
      <c r="V937">
        <f>IF(P937="Yes",COUNTIF($P$5:P937,"Yes"),"")</f>
        <v/>
      </c>
      <c r="W937">
        <f>IF(A937="","",COUNTIF($A$5:$A$1004,"&lt;"&amp;A937)+COUNTIF($A$5:A937,A937))</f>
        <v/>
      </c>
      <c r="X937">
        <f>","&amp;SUBSTITUTE(SUBSTITUTE(SUBSTITUTE(UPPER(C937)," ",""),";",","),"/",",")&amp;","</f>
        <v/>
      </c>
      <c r="Y937">
        <f>IF(AND(A937&lt;&gt;"",B937="Active",'State Search'!$C$5&lt;&gt;"",OR(X937=",ALL,",ISNUMBER(SEARCH(","&amp;'State Search'!$C$5&amp;",",X937)))),W937,"")</f>
        <v/>
      </c>
    </row>
    <row r="938">
      <c r="A938" s="64" t="n"/>
      <c r="B938" s="65" t="n"/>
      <c r="C938" s="64" t="n"/>
      <c r="D938" s="66" t="n"/>
      <c r="E938" s="66" t="n"/>
      <c r="F938" s="67" t="n"/>
      <c r="G938" s="67" t="n"/>
      <c r="H938" s="67" t="n"/>
      <c r="I938" s="67" t="n"/>
      <c r="J938" s="67" t="n"/>
      <c r="K938" s="67" t="n"/>
      <c r="L938" s="67" t="n"/>
      <c r="M938" s="67" t="n"/>
      <c r="N938" s="65" t="n"/>
      <c r="O938" s="84">
        <f>IF(A938="","",IF(E938="","No date",IF(TODAY()&gt;=EDATE(E938,Review_Months),"Review Due","Current")))</f>
        <v/>
      </c>
      <c r="P938" s="84">
        <f>IF(A938="","",IF(COUNTIFS('AFA Rates'!$A$5:$A$1004,A938,'AFA Rates'!$O$5:$O$1004,"&lt;&gt;Expired")&gt;0,"Yes",IF(COUNTIF('AFA Rates'!$A$5:$A$1004,A938)&gt;0,"Expired only","No")))</f>
        <v/>
      </c>
      <c r="Q938" s="84">
        <f>IF(A938="","",COUNTIFS('AFA Rates'!$A$5:$A$1004,A938,'AFA Rates'!$O$5:$O$1004,"&lt;&gt;Expired"))</f>
        <v/>
      </c>
      <c r="R938" s="66" t="n"/>
      <c r="S938" s="64" t="n"/>
      <c r="T938" s="64" t="n"/>
      <c r="U938">
        <f>IF(AND(A938&lt;&gt;"",B938="Paused"),COUNTIFS($A$5:A938,"&lt;&gt;",$B$5:B938,"Paused"),"")</f>
        <v/>
      </c>
      <c r="V938">
        <f>IF(P938="Yes",COUNTIF($P$5:P938,"Yes"),"")</f>
        <v/>
      </c>
      <c r="W938">
        <f>IF(A938="","",COUNTIF($A$5:$A$1004,"&lt;"&amp;A938)+COUNTIF($A$5:A938,A938))</f>
        <v/>
      </c>
      <c r="X938">
        <f>","&amp;SUBSTITUTE(SUBSTITUTE(SUBSTITUTE(UPPER(C938)," ",""),";",","),"/",",")&amp;","</f>
        <v/>
      </c>
      <c r="Y938">
        <f>IF(AND(A938&lt;&gt;"",B938="Active",'State Search'!$C$5&lt;&gt;"",OR(X938=",ALL,",ISNUMBER(SEARCH(","&amp;'State Search'!$C$5&amp;",",X938)))),W938,"")</f>
        <v/>
      </c>
    </row>
    <row r="939">
      <c r="A939" s="64" t="n"/>
      <c r="B939" s="65" t="n"/>
      <c r="C939" s="64" t="n"/>
      <c r="D939" s="66" t="n"/>
      <c r="E939" s="66" t="n"/>
      <c r="F939" s="67" t="n"/>
      <c r="G939" s="67" t="n"/>
      <c r="H939" s="67" t="n"/>
      <c r="I939" s="67" t="n"/>
      <c r="J939" s="67" t="n"/>
      <c r="K939" s="67" t="n"/>
      <c r="L939" s="67" t="n"/>
      <c r="M939" s="67" t="n"/>
      <c r="N939" s="65" t="n"/>
      <c r="O939" s="84">
        <f>IF(A939="","",IF(E939="","No date",IF(TODAY()&gt;=EDATE(E939,Review_Months),"Review Due","Current")))</f>
        <v/>
      </c>
      <c r="P939" s="84">
        <f>IF(A939="","",IF(COUNTIFS('AFA Rates'!$A$5:$A$1004,A939,'AFA Rates'!$O$5:$O$1004,"&lt;&gt;Expired")&gt;0,"Yes",IF(COUNTIF('AFA Rates'!$A$5:$A$1004,A939)&gt;0,"Expired only","No")))</f>
        <v/>
      </c>
      <c r="Q939" s="84">
        <f>IF(A939="","",COUNTIFS('AFA Rates'!$A$5:$A$1004,A939,'AFA Rates'!$O$5:$O$1004,"&lt;&gt;Expired"))</f>
        <v/>
      </c>
      <c r="R939" s="66" t="n"/>
      <c r="S939" s="64" t="n"/>
      <c r="T939" s="64" t="n"/>
      <c r="U939">
        <f>IF(AND(A939&lt;&gt;"",B939="Paused"),COUNTIFS($A$5:A939,"&lt;&gt;",$B$5:B939,"Paused"),"")</f>
        <v/>
      </c>
      <c r="V939">
        <f>IF(P939="Yes",COUNTIF($P$5:P939,"Yes"),"")</f>
        <v/>
      </c>
      <c r="W939">
        <f>IF(A939="","",COUNTIF($A$5:$A$1004,"&lt;"&amp;A939)+COUNTIF($A$5:A939,A939))</f>
        <v/>
      </c>
      <c r="X939">
        <f>","&amp;SUBSTITUTE(SUBSTITUTE(SUBSTITUTE(UPPER(C939)," ",""),";",","),"/",",")&amp;","</f>
        <v/>
      </c>
      <c r="Y939">
        <f>IF(AND(A939&lt;&gt;"",B939="Active",'State Search'!$C$5&lt;&gt;"",OR(X939=",ALL,",ISNUMBER(SEARCH(","&amp;'State Search'!$C$5&amp;",",X939)))),W939,"")</f>
        <v/>
      </c>
    </row>
    <row r="940">
      <c r="A940" s="64" t="n"/>
      <c r="B940" s="65" t="n"/>
      <c r="C940" s="64" t="n"/>
      <c r="D940" s="66" t="n"/>
      <c r="E940" s="66" t="n"/>
      <c r="F940" s="67" t="n"/>
      <c r="G940" s="67" t="n"/>
      <c r="H940" s="67" t="n"/>
      <c r="I940" s="67" t="n"/>
      <c r="J940" s="67" t="n"/>
      <c r="K940" s="67" t="n"/>
      <c r="L940" s="67" t="n"/>
      <c r="M940" s="67" t="n"/>
      <c r="N940" s="65" t="n"/>
      <c r="O940" s="84">
        <f>IF(A940="","",IF(E940="","No date",IF(TODAY()&gt;=EDATE(E940,Review_Months),"Review Due","Current")))</f>
        <v/>
      </c>
      <c r="P940" s="84">
        <f>IF(A940="","",IF(COUNTIFS('AFA Rates'!$A$5:$A$1004,A940,'AFA Rates'!$O$5:$O$1004,"&lt;&gt;Expired")&gt;0,"Yes",IF(COUNTIF('AFA Rates'!$A$5:$A$1004,A940)&gt;0,"Expired only","No")))</f>
        <v/>
      </c>
      <c r="Q940" s="84">
        <f>IF(A940="","",COUNTIFS('AFA Rates'!$A$5:$A$1004,A940,'AFA Rates'!$O$5:$O$1004,"&lt;&gt;Expired"))</f>
        <v/>
      </c>
      <c r="R940" s="66" t="n"/>
      <c r="S940" s="64" t="n"/>
      <c r="T940" s="64" t="n"/>
      <c r="U940">
        <f>IF(AND(A940&lt;&gt;"",B940="Paused"),COUNTIFS($A$5:A940,"&lt;&gt;",$B$5:B940,"Paused"),"")</f>
        <v/>
      </c>
      <c r="V940">
        <f>IF(P940="Yes",COUNTIF($P$5:P940,"Yes"),"")</f>
        <v/>
      </c>
      <c r="W940">
        <f>IF(A940="","",COUNTIF($A$5:$A$1004,"&lt;"&amp;A940)+COUNTIF($A$5:A940,A940))</f>
        <v/>
      </c>
      <c r="X940">
        <f>","&amp;SUBSTITUTE(SUBSTITUTE(SUBSTITUTE(UPPER(C940)," ",""),";",","),"/",",")&amp;","</f>
        <v/>
      </c>
      <c r="Y940">
        <f>IF(AND(A940&lt;&gt;"",B940="Active",'State Search'!$C$5&lt;&gt;"",OR(X940=",ALL,",ISNUMBER(SEARCH(","&amp;'State Search'!$C$5&amp;",",X940)))),W940,"")</f>
        <v/>
      </c>
    </row>
    <row r="941">
      <c r="A941" s="64" t="n"/>
      <c r="B941" s="65" t="n"/>
      <c r="C941" s="64" t="n"/>
      <c r="D941" s="66" t="n"/>
      <c r="E941" s="66" t="n"/>
      <c r="F941" s="67" t="n"/>
      <c r="G941" s="67" t="n"/>
      <c r="H941" s="67" t="n"/>
      <c r="I941" s="67" t="n"/>
      <c r="J941" s="67" t="n"/>
      <c r="K941" s="67" t="n"/>
      <c r="L941" s="67" t="n"/>
      <c r="M941" s="67" t="n"/>
      <c r="N941" s="65" t="n"/>
      <c r="O941" s="84">
        <f>IF(A941="","",IF(E941="","No date",IF(TODAY()&gt;=EDATE(E941,Review_Months),"Review Due","Current")))</f>
        <v/>
      </c>
      <c r="P941" s="84">
        <f>IF(A941="","",IF(COUNTIFS('AFA Rates'!$A$5:$A$1004,A941,'AFA Rates'!$O$5:$O$1004,"&lt;&gt;Expired")&gt;0,"Yes",IF(COUNTIF('AFA Rates'!$A$5:$A$1004,A941)&gt;0,"Expired only","No")))</f>
        <v/>
      </c>
      <c r="Q941" s="84">
        <f>IF(A941="","",COUNTIFS('AFA Rates'!$A$5:$A$1004,A941,'AFA Rates'!$O$5:$O$1004,"&lt;&gt;Expired"))</f>
        <v/>
      </c>
      <c r="R941" s="66" t="n"/>
      <c r="S941" s="64" t="n"/>
      <c r="T941" s="64" t="n"/>
      <c r="U941">
        <f>IF(AND(A941&lt;&gt;"",B941="Paused"),COUNTIFS($A$5:A941,"&lt;&gt;",$B$5:B941,"Paused"),"")</f>
        <v/>
      </c>
      <c r="V941">
        <f>IF(P941="Yes",COUNTIF($P$5:P941,"Yes"),"")</f>
        <v/>
      </c>
      <c r="W941">
        <f>IF(A941="","",COUNTIF($A$5:$A$1004,"&lt;"&amp;A941)+COUNTIF($A$5:A941,A941))</f>
        <v/>
      </c>
      <c r="X941">
        <f>","&amp;SUBSTITUTE(SUBSTITUTE(SUBSTITUTE(UPPER(C941)," ",""),";",","),"/",",")&amp;","</f>
        <v/>
      </c>
      <c r="Y941">
        <f>IF(AND(A941&lt;&gt;"",B941="Active",'State Search'!$C$5&lt;&gt;"",OR(X941=",ALL,",ISNUMBER(SEARCH(","&amp;'State Search'!$C$5&amp;",",X941)))),W941,"")</f>
        <v/>
      </c>
    </row>
    <row r="942">
      <c r="A942" s="64" t="n"/>
      <c r="B942" s="65" t="n"/>
      <c r="C942" s="64" t="n"/>
      <c r="D942" s="66" t="n"/>
      <c r="E942" s="66" t="n"/>
      <c r="F942" s="67" t="n"/>
      <c r="G942" s="67" t="n"/>
      <c r="H942" s="67" t="n"/>
      <c r="I942" s="67" t="n"/>
      <c r="J942" s="67" t="n"/>
      <c r="K942" s="67" t="n"/>
      <c r="L942" s="67" t="n"/>
      <c r="M942" s="67" t="n"/>
      <c r="N942" s="65" t="n"/>
      <c r="O942" s="84">
        <f>IF(A942="","",IF(E942="","No date",IF(TODAY()&gt;=EDATE(E942,Review_Months),"Review Due","Current")))</f>
        <v/>
      </c>
      <c r="P942" s="84">
        <f>IF(A942="","",IF(COUNTIFS('AFA Rates'!$A$5:$A$1004,A942,'AFA Rates'!$O$5:$O$1004,"&lt;&gt;Expired")&gt;0,"Yes",IF(COUNTIF('AFA Rates'!$A$5:$A$1004,A942)&gt;0,"Expired only","No")))</f>
        <v/>
      </c>
      <c r="Q942" s="84">
        <f>IF(A942="","",COUNTIFS('AFA Rates'!$A$5:$A$1004,A942,'AFA Rates'!$O$5:$O$1004,"&lt;&gt;Expired"))</f>
        <v/>
      </c>
      <c r="R942" s="66" t="n"/>
      <c r="S942" s="64" t="n"/>
      <c r="T942" s="64" t="n"/>
      <c r="U942">
        <f>IF(AND(A942&lt;&gt;"",B942="Paused"),COUNTIFS($A$5:A942,"&lt;&gt;",$B$5:B942,"Paused"),"")</f>
        <v/>
      </c>
      <c r="V942">
        <f>IF(P942="Yes",COUNTIF($P$5:P942,"Yes"),"")</f>
        <v/>
      </c>
      <c r="W942">
        <f>IF(A942="","",COUNTIF($A$5:$A$1004,"&lt;"&amp;A942)+COUNTIF($A$5:A942,A942))</f>
        <v/>
      </c>
      <c r="X942">
        <f>","&amp;SUBSTITUTE(SUBSTITUTE(SUBSTITUTE(UPPER(C942)," ",""),";",","),"/",",")&amp;","</f>
        <v/>
      </c>
      <c r="Y942">
        <f>IF(AND(A942&lt;&gt;"",B942="Active",'State Search'!$C$5&lt;&gt;"",OR(X942=",ALL,",ISNUMBER(SEARCH(","&amp;'State Search'!$C$5&amp;",",X942)))),W942,"")</f>
        <v/>
      </c>
    </row>
    <row r="943">
      <c r="A943" s="64" t="n"/>
      <c r="B943" s="65" t="n"/>
      <c r="C943" s="64" t="n"/>
      <c r="D943" s="66" t="n"/>
      <c r="E943" s="66" t="n"/>
      <c r="F943" s="67" t="n"/>
      <c r="G943" s="67" t="n"/>
      <c r="H943" s="67" t="n"/>
      <c r="I943" s="67" t="n"/>
      <c r="J943" s="67" t="n"/>
      <c r="K943" s="67" t="n"/>
      <c r="L943" s="67" t="n"/>
      <c r="M943" s="67" t="n"/>
      <c r="N943" s="65" t="n"/>
      <c r="O943" s="84">
        <f>IF(A943="","",IF(E943="","No date",IF(TODAY()&gt;=EDATE(E943,Review_Months),"Review Due","Current")))</f>
        <v/>
      </c>
      <c r="P943" s="84">
        <f>IF(A943="","",IF(COUNTIFS('AFA Rates'!$A$5:$A$1004,A943,'AFA Rates'!$O$5:$O$1004,"&lt;&gt;Expired")&gt;0,"Yes",IF(COUNTIF('AFA Rates'!$A$5:$A$1004,A943)&gt;0,"Expired only","No")))</f>
        <v/>
      </c>
      <c r="Q943" s="84">
        <f>IF(A943="","",COUNTIFS('AFA Rates'!$A$5:$A$1004,A943,'AFA Rates'!$O$5:$O$1004,"&lt;&gt;Expired"))</f>
        <v/>
      </c>
      <c r="R943" s="66" t="n"/>
      <c r="S943" s="64" t="n"/>
      <c r="T943" s="64" t="n"/>
      <c r="U943">
        <f>IF(AND(A943&lt;&gt;"",B943="Paused"),COUNTIFS($A$5:A943,"&lt;&gt;",$B$5:B943,"Paused"),"")</f>
        <v/>
      </c>
      <c r="V943">
        <f>IF(P943="Yes",COUNTIF($P$5:P943,"Yes"),"")</f>
        <v/>
      </c>
      <c r="W943">
        <f>IF(A943="","",COUNTIF($A$5:$A$1004,"&lt;"&amp;A943)+COUNTIF($A$5:A943,A943))</f>
        <v/>
      </c>
      <c r="X943">
        <f>","&amp;SUBSTITUTE(SUBSTITUTE(SUBSTITUTE(UPPER(C943)," ",""),";",","),"/",",")&amp;","</f>
        <v/>
      </c>
      <c r="Y943">
        <f>IF(AND(A943&lt;&gt;"",B943="Active",'State Search'!$C$5&lt;&gt;"",OR(X943=",ALL,",ISNUMBER(SEARCH(","&amp;'State Search'!$C$5&amp;",",X943)))),W943,"")</f>
        <v/>
      </c>
    </row>
    <row r="944">
      <c r="A944" s="64" t="n"/>
      <c r="B944" s="65" t="n"/>
      <c r="C944" s="64" t="n"/>
      <c r="D944" s="66" t="n"/>
      <c r="E944" s="66" t="n"/>
      <c r="F944" s="67" t="n"/>
      <c r="G944" s="67" t="n"/>
      <c r="H944" s="67" t="n"/>
      <c r="I944" s="67" t="n"/>
      <c r="J944" s="67" t="n"/>
      <c r="K944" s="67" t="n"/>
      <c r="L944" s="67" t="n"/>
      <c r="M944" s="67" t="n"/>
      <c r="N944" s="65" t="n"/>
      <c r="O944" s="84">
        <f>IF(A944="","",IF(E944="","No date",IF(TODAY()&gt;=EDATE(E944,Review_Months),"Review Due","Current")))</f>
        <v/>
      </c>
      <c r="P944" s="84">
        <f>IF(A944="","",IF(COUNTIFS('AFA Rates'!$A$5:$A$1004,A944,'AFA Rates'!$O$5:$O$1004,"&lt;&gt;Expired")&gt;0,"Yes",IF(COUNTIF('AFA Rates'!$A$5:$A$1004,A944)&gt;0,"Expired only","No")))</f>
        <v/>
      </c>
      <c r="Q944" s="84">
        <f>IF(A944="","",COUNTIFS('AFA Rates'!$A$5:$A$1004,A944,'AFA Rates'!$O$5:$O$1004,"&lt;&gt;Expired"))</f>
        <v/>
      </c>
      <c r="R944" s="66" t="n"/>
      <c r="S944" s="64" t="n"/>
      <c r="T944" s="64" t="n"/>
      <c r="U944">
        <f>IF(AND(A944&lt;&gt;"",B944="Paused"),COUNTIFS($A$5:A944,"&lt;&gt;",$B$5:B944,"Paused"),"")</f>
        <v/>
      </c>
      <c r="V944">
        <f>IF(P944="Yes",COUNTIF($P$5:P944,"Yes"),"")</f>
        <v/>
      </c>
      <c r="W944">
        <f>IF(A944="","",COUNTIF($A$5:$A$1004,"&lt;"&amp;A944)+COUNTIF($A$5:A944,A944))</f>
        <v/>
      </c>
      <c r="X944">
        <f>","&amp;SUBSTITUTE(SUBSTITUTE(SUBSTITUTE(UPPER(C944)," ",""),";",","),"/",",")&amp;","</f>
        <v/>
      </c>
      <c r="Y944">
        <f>IF(AND(A944&lt;&gt;"",B944="Active",'State Search'!$C$5&lt;&gt;"",OR(X944=",ALL,",ISNUMBER(SEARCH(","&amp;'State Search'!$C$5&amp;",",X944)))),W944,"")</f>
        <v/>
      </c>
    </row>
    <row r="945">
      <c r="A945" s="64" t="n"/>
      <c r="B945" s="65" t="n"/>
      <c r="C945" s="64" t="n"/>
      <c r="D945" s="66" t="n"/>
      <c r="E945" s="66" t="n"/>
      <c r="F945" s="67" t="n"/>
      <c r="G945" s="67" t="n"/>
      <c r="H945" s="67" t="n"/>
      <c r="I945" s="67" t="n"/>
      <c r="J945" s="67" t="n"/>
      <c r="K945" s="67" t="n"/>
      <c r="L945" s="67" t="n"/>
      <c r="M945" s="67" t="n"/>
      <c r="N945" s="65" t="n"/>
      <c r="O945" s="84">
        <f>IF(A945="","",IF(E945="","No date",IF(TODAY()&gt;=EDATE(E945,Review_Months),"Review Due","Current")))</f>
        <v/>
      </c>
      <c r="P945" s="84">
        <f>IF(A945="","",IF(COUNTIFS('AFA Rates'!$A$5:$A$1004,A945,'AFA Rates'!$O$5:$O$1004,"&lt;&gt;Expired")&gt;0,"Yes",IF(COUNTIF('AFA Rates'!$A$5:$A$1004,A945)&gt;0,"Expired only","No")))</f>
        <v/>
      </c>
      <c r="Q945" s="84">
        <f>IF(A945="","",COUNTIFS('AFA Rates'!$A$5:$A$1004,A945,'AFA Rates'!$O$5:$O$1004,"&lt;&gt;Expired"))</f>
        <v/>
      </c>
      <c r="R945" s="66" t="n"/>
      <c r="S945" s="64" t="n"/>
      <c r="T945" s="64" t="n"/>
      <c r="U945">
        <f>IF(AND(A945&lt;&gt;"",B945="Paused"),COUNTIFS($A$5:A945,"&lt;&gt;",$B$5:B945,"Paused"),"")</f>
        <v/>
      </c>
      <c r="V945">
        <f>IF(P945="Yes",COUNTIF($P$5:P945,"Yes"),"")</f>
        <v/>
      </c>
      <c r="W945">
        <f>IF(A945="","",COUNTIF($A$5:$A$1004,"&lt;"&amp;A945)+COUNTIF($A$5:A945,A945))</f>
        <v/>
      </c>
      <c r="X945">
        <f>","&amp;SUBSTITUTE(SUBSTITUTE(SUBSTITUTE(UPPER(C945)," ",""),";",","),"/",",")&amp;","</f>
        <v/>
      </c>
      <c r="Y945">
        <f>IF(AND(A945&lt;&gt;"",B945="Active",'State Search'!$C$5&lt;&gt;"",OR(X945=",ALL,",ISNUMBER(SEARCH(","&amp;'State Search'!$C$5&amp;",",X945)))),W945,"")</f>
        <v/>
      </c>
    </row>
    <row r="946">
      <c r="A946" s="64" t="n"/>
      <c r="B946" s="65" t="n"/>
      <c r="C946" s="64" t="n"/>
      <c r="D946" s="66" t="n"/>
      <c r="E946" s="66" t="n"/>
      <c r="F946" s="67" t="n"/>
      <c r="G946" s="67" t="n"/>
      <c r="H946" s="67" t="n"/>
      <c r="I946" s="67" t="n"/>
      <c r="J946" s="67" t="n"/>
      <c r="K946" s="67" t="n"/>
      <c r="L946" s="67" t="n"/>
      <c r="M946" s="67" t="n"/>
      <c r="N946" s="65" t="n"/>
      <c r="O946" s="84">
        <f>IF(A946="","",IF(E946="","No date",IF(TODAY()&gt;=EDATE(E946,Review_Months),"Review Due","Current")))</f>
        <v/>
      </c>
      <c r="P946" s="84">
        <f>IF(A946="","",IF(COUNTIFS('AFA Rates'!$A$5:$A$1004,A946,'AFA Rates'!$O$5:$O$1004,"&lt;&gt;Expired")&gt;0,"Yes",IF(COUNTIF('AFA Rates'!$A$5:$A$1004,A946)&gt;0,"Expired only","No")))</f>
        <v/>
      </c>
      <c r="Q946" s="84">
        <f>IF(A946="","",COUNTIFS('AFA Rates'!$A$5:$A$1004,A946,'AFA Rates'!$O$5:$O$1004,"&lt;&gt;Expired"))</f>
        <v/>
      </c>
      <c r="R946" s="66" t="n"/>
      <c r="S946" s="64" t="n"/>
      <c r="T946" s="64" t="n"/>
      <c r="U946">
        <f>IF(AND(A946&lt;&gt;"",B946="Paused"),COUNTIFS($A$5:A946,"&lt;&gt;",$B$5:B946,"Paused"),"")</f>
        <v/>
      </c>
      <c r="V946">
        <f>IF(P946="Yes",COUNTIF($P$5:P946,"Yes"),"")</f>
        <v/>
      </c>
      <c r="W946">
        <f>IF(A946="","",COUNTIF($A$5:$A$1004,"&lt;"&amp;A946)+COUNTIF($A$5:A946,A946))</f>
        <v/>
      </c>
      <c r="X946">
        <f>","&amp;SUBSTITUTE(SUBSTITUTE(SUBSTITUTE(UPPER(C946)," ",""),";",","),"/",",")&amp;","</f>
        <v/>
      </c>
      <c r="Y946">
        <f>IF(AND(A946&lt;&gt;"",B946="Active",'State Search'!$C$5&lt;&gt;"",OR(X946=",ALL,",ISNUMBER(SEARCH(","&amp;'State Search'!$C$5&amp;",",X946)))),W946,"")</f>
        <v/>
      </c>
    </row>
    <row r="947">
      <c r="A947" s="64" t="n"/>
      <c r="B947" s="65" t="n"/>
      <c r="C947" s="64" t="n"/>
      <c r="D947" s="66" t="n"/>
      <c r="E947" s="66" t="n"/>
      <c r="F947" s="67" t="n"/>
      <c r="G947" s="67" t="n"/>
      <c r="H947" s="67" t="n"/>
      <c r="I947" s="67" t="n"/>
      <c r="J947" s="67" t="n"/>
      <c r="K947" s="67" t="n"/>
      <c r="L947" s="67" t="n"/>
      <c r="M947" s="67" t="n"/>
      <c r="N947" s="65" t="n"/>
      <c r="O947" s="84">
        <f>IF(A947="","",IF(E947="","No date",IF(TODAY()&gt;=EDATE(E947,Review_Months),"Review Due","Current")))</f>
        <v/>
      </c>
      <c r="P947" s="84">
        <f>IF(A947="","",IF(COUNTIFS('AFA Rates'!$A$5:$A$1004,A947,'AFA Rates'!$O$5:$O$1004,"&lt;&gt;Expired")&gt;0,"Yes",IF(COUNTIF('AFA Rates'!$A$5:$A$1004,A947)&gt;0,"Expired only","No")))</f>
        <v/>
      </c>
      <c r="Q947" s="84">
        <f>IF(A947="","",COUNTIFS('AFA Rates'!$A$5:$A$1004,A947,'AFA Rates'!$O$5:$O$1004,"&lt;&gt;Expired"))</f>
        <v/>
      </c>
      <c r="R947" s="66" t="n"/>
      <c r="S947" s="64" t="n"/>
      <c r="T947" s="64" t="n"/>
      <c r="U947">
        <f>IF(AND(A947&lt;&gt;"",B947="Paused"),COUNTIFS($A$5:A947,"&lt;&gt;",$B$5:B947,"Paused"),"")</f>
        <v/>
      </c>
      <c r="V947">
        <f>IF(P947="Yes",COUNTIF($P$5:P947,"Yes"),"")</f>
        <v/>
      </c>
      <c r="W947">
        <f>IF(A947="","",COUNTIF($A$5:$A$1004,"&lt;"&amp;A947)+COUNTIF($A$5:A947,A947))</f>
        <v/>
      </c>
      <c r="X947">
        <f>","&amp;SUBSTITUTE(SUBSTITUTE(SUBSTITUTE(UPPER(C947)," ",""),";",","),"/",",")&amp;","</f>
        <v/>
      </c>
      <c r="Y947">
        <f>IF(AND(A947&lt;&gt;"",B947="Active",'State Search'!$C$5&lt;&gt;"",OR(X947=",ALL,",ISNUMBER(SEARCH(","&amp;'State Search'!$C$5&amp;",",X947)))),W947,"")</f>
        <v/>
      </c>
    </row>
    <row r="948">
      <c r="A948" s="64" t="n"/>
      <c r="B948" s="65" t="n"/>
      <c r="C948" s="64" t="n"/>
      <c r="D948" s="66" t="n"/>
      <c r="E948" s="66" t="n"/>
      <c r="F948" s="67" t="n"/>
      <c r="G948" s="67" t="n"/>
      <c r="H948" s="67" t="n"/>
      <c r="I948" s="67" t="n"/>
      <c r="J948" s="67" t="n"/>
      <c r="K948" s="67" t="n"/>
      <c r="L948" s="67" t="n"/>
      <c r="M948" s="67" t="n"/>
      <c r="N948" s="65" t="n"/>
      <c r="O948" s="84">
        <f>IF(A948="","",IF(E948="","No date",IF(TODAY()&gt;=EDATE(E948,Review_Months),"Review Due","Current")))</f>
        <v/>
      </c>
      <c r="P948" s="84">
        <f>IF(A948="","",IF(COUNTIFS('AFA Rates'!$A$5:$A$1004,A948,'AFA Rates'!$O$5:$O$1004,"&lt;&gt;Expired")&gt;0,"Yes",IF(COUNTIF('AFA Rates'!$A$5:$A$1004,A948)&gt;0,"Expired only","No")))</f>
        <v/>
      </c>
      <c r="Q948" s="84">
        <f>IF(A948="","",COUNTIFS('AFA Rates'!$A$5:$A$1004,A948,'AFA Rates'!$O$5:$O$1004,"&lt;&gt;Expired"))</f>
        <v/>
      </c>
      <c r="R948" s="66" t="n"/>
      <c r="S948" s="64" t="n"/>
      <c r="T948" s="64" t="n"/>
      <c r="U948">
        <f>IF(AND(A948&lt;&gt;"",B948="Paused"),COUNTIFS($A$5:A948,"&lt;&gt;",$B$5:B948,"Paused"),"")</f>
        <v/>
      </c>
      <c r="V948">
        <f>IF(P948="Yes",COUNTIF($P$5:P948,"Yes"),"")</f>
        <v/>
      </c>
      <c r="W948">
        <f>IF(A948="","",COUNTIF($A$5:$A$1004,"&lt;"&amp;A948)+COUNTIF($A$5:A948,A948))</f>
        <v/>
      </c>
      <c r="X948">
        <f>","&amp;SUBSTITUTE(SUBSTITUTE(SUBSTITUTE(UPPER(C948)," ",""),";",","),"/",",")&amp;","</f>
        <v/>
      </c>
      <c r="Y948">
        <f>IF(AND(A948&lt;&gt;"",B948="Active",'State Search'!$C$5&lt;&gt;"",OR(X948=",ALL,",ISNUMBER(SEARCH(","&amp;'State Search'!$C$5&amp;",",X948)))),W948,"")</f>
        <v/>
      </c>
    </row>
    <row r="949">
      <c r="A949" s="64" t="n"/>
      <c r="B949" s="65" t="n"/>
      <c r="C949" s="64" t="n"/>
      <c r="D949" s="66" t="n"/>
      <c r="E949" s="66" t="n"/>
      <c r="F949" s="67" t="n"/>
      <c r="G949" s="67" t="n"/>
      <c r="H949" s="67" t="n"/>
      <c r="I949" s="67" t="n"/>
      <c r="J949" s="67" t="n"/>
      <c r="K949" s="67" t="n"/>
      <c r="L949" s="67" t="n"/>
      <c r="M949" s="67" t="n"/>
      <c r="N949" s="65" t="n"/>
      <c r="O949" s="84">
        <f>IF(A949="","",IF(E949="","No date",IF(TODAY()&gt;=EDATE(E949,Review_Months),"Review Due","Current")))</f>
        <v/>
      </c>
      <c r="P949" s="84">
        <f>IF(A949="","",IF(COUNTIFS('AFA Rates'!$A$5:$A$1004,A949,'AFA Rates'!$O$5:$O$1004,"&lt;&gt;Expired")&gt;0,"Yes",IF(COUNTIF('AFA Rates'!$A$5:$A$1004,A949)&gt;0,"Expired only","No")))</f>
        <v/>
      </c>
      <c r="Q949" s="84">
        <f>IF(A949="","",COUNTIFS('AFA Rates'!$A$5:$A$1004,A949,'AFA Rates'!$O$5:$O$1004,"&lt;&gt;Expired"))</f>
        <v/>
      </c>
      <c r="R949" s="66" t="n"/>
      <c r="S949" s="64" t="n"/>
      <c r="T949" s="64" t="n"/>
      <c r="U949">
        <f>IF(AND(A949&lt;&gt;"",B949="Paused"),COUNTIFS($A$5:A949,"&lt;&gt;",$B$5:B949,"Paused"),"")</f>
        <v/>
      </c>
      <c r="V949">
        <f>IF(P949="Yes",COUNTIF($P$5:P949,"Yes"),"")</f>
        <v/>
      </c>
      <c r="W949">
        <f>IF(A949="","",COUNTIF($A$5:$A$1004,"&lt;"&amp;A949)+COUNTIF($A$5:A949,A949))</f>
        <v/>
      </c>
      <c r="X949">
        <f>","&amp;SUBSTITUTE(SUBSTITUTE(SUBSTITUTE(UPPER(C949)," ",""),";",","),"/",",")&amp;","</f>
        <v/>
      </c>
      <c r="Y949">
        <f>IF(AND(A949&lt;&gt;"",B949="Active",'State Search'!$C$5&lt;&gt;"",OR(X949=",ALL,",ISNUMBER(SEARCH(","&amp;'State Search'!$C$5&amp;",",X949)))),W949,"")</f>
        <v/>
      </c>
    </row>
    <row r="950">
      <c r="A950" s="64" t="n"/>
      <c r="B950" s="65" t="n"/>
      <c r="C950" s="64" t="n"/>
      <c r="D950" s="66" t="n"/>
      <c r="E950" s="66" t="n"/>
      <c r="F950" s="67" t="n"/>
      <c r="G950" s="67" t="n"/>
      <c r="H950" s="67" t="n"/>
      <c r="I950" s="67" t="n"/>
      <c r="J950" s="67" t="n"/>
      <c r="K950" s="67" t="n"/>
      <c r="L950" s="67" t="n"/>
      <c r="M950" s="67" t="n"/>
      <c r="N950" s="65" t="n"/>
      <c r="O950" s="84">
        <f>IF(A950="","",IF(E950="","No date",IF(TODAY()&gt;=EDATE(E950,Review_Months),"Review Due","Current")))</f>
        <v/>
      </c>
      <c r="P950" s="84">
        <f>IF(A950="","",IF(COUNTIFS('AFA Rates'!$A$5:$A$1004,A950,'AFA Rates'!$O$5:$O$1004,"&lt;&gt;Expired")&gt;0,"Yes",IF(COUNTIF('AFA Rates'!$A$5:$A$1004,A950)&gt;0,"Expired only","No")))</f>
        <v/>
      </c>
      <c r="Q950" s="84">
        <f>IF(A950="","",COUNTIFS('AFA Rates'!$A$5:$A$1004,A950,'AFA Rates'!$O$5:$O$1004,"&lt;&gt;Expired"))</f>
        <v/>
      </c>
      <c r="R950" s="66" t="n"/>
      <c r="S950" s="64" t="n"/>
      <c r="T950" s="64" t="n"/>
      <c r="U950">
        <f>IF(AND(A950&lt;&gt;"",B950="Paused"),COUNTIFS($A$5:A950,"&lt;&gt;",$B$5:B950,"Paused"),"")</f>
        <v/>
      </c>
      <c r="V950">
        <f>IF(P950="Yes",COUNTIF($P$5:P950,"Yes"),"")</f>
        <v/>
      </c>
      <c r="W950">
        <f>IF(A950="","",COUNTIF($A$5:$A$1004,"&lt;"&amp;A950)+COUNTIF($A$5:A950,A950))</f>
        <v/>
      </c>
      <c r="X950">
        <f>","&amp;SUBSTITUTE(SUBSTITUTE(SUBSTITUTE(UPPER(C950)," ",""),";",","),"/",",")&amp;","</f>
        <v/>
      </c>
      <c r="Y950">
        <f>IF(AND(A950&lt;&gt;"",B950="Active",'State Search'!$C$5&lt;&gt;"",OR(X950=",ALL,",ISNUMBER(SEARCH(","&amp;'State Search'!$C$5&amp;",",X950)))),W950,"")</f>
        <v/>
      </c>
    </row>
    <row r="951">
      <c r="A951" s="64" t="n"/>
      <c r="B951" s="65" t="n"/>
      <c r="C951" s="64" t="n"/>
      <c r="D951" s="66" t="n"/>
      <c r="E951" s="66" t="n"/>
      <c r="F951" s="67" t="n"/>
      <c r="G951" s="67" t="n"/>
      <c r="H951" s="67" t="n"/>
      <c r="I951" s="67" t="n"/>
      <c r="J951" s="67" t="n"/>
      <c r="K951" s="67" t="n"/>
      <c r="L951" s="67" t="n"/>
      <c r="M951" s="67" t="n"/>
      <c r="N951" s="65" t="n"/>
      <c r="O951" s="84">
        <f>IF(A951="","",IF(E951="","No date",IF(TODAY()&gt;=EDATE(E951,Review_Months),"Review Due","Current")))</f>
        <v/>
      </c>
      <c r="P951" s="84">
        <f>IF(A951="","",IF(COUNTIFS('AFA Rates'!$A$5:$A$1004,A951,'AFA Rates'!$O$5:$O$1004,"&lt;&gt;Expired")&gt;0,"Yes",IF(COUNTIF('AFA Rates'!$A$5:$A$1004,A951)&gt;0,"Expired only","No")))</f>
        <v/>
      </c>
      <c r="Q951" s="84">
        <f>IF(A951="","",COUNTIFS('AFA Rates'!$A$5:$A$1004,A951,'AFA Rates'!$O$5:$O$1004,"&lt;&gt;Expired"))</f>
        <v/>
      </c>
      <c r="R951" s="66" t="n"/>
      <c r="S951" s="64" t="n"/>
      <c r="T951" s="64" t="n"/>
      <c r="U951">
        <f>IF(AND(A951&lt;&gt;"",B951="Paused"),COUNTIFS($A$5:A951,"&lt;&gt;",$B$5:B951,"Paused"),"")</f>
        <v/>
      </c>
      <c r="V951">
        <f>IF(P951="Yes",COUNTIF($P$5:P951,"Yes"),"")</f>
        <v/>
      </c>
      <c r="W951">
        <f>IF(A951="","",COUNTIF($A$5:$A$1004,"&lt;"&amp;A951)+COUNTIF($A$5:A951,A951))</f>
        <v/>
      </c>
      <c r="X951">
        <f>","&amp;SUBSTITUTE(SUBSTITUTE(SUBSTITUTE(UPPER(C951)," ",""),";",","),"/",",")&amp;","</f>
        <v/>
      </c>
      <c r="Y951">
        <f>IF(AND(A951&lt;&gt;"",B951="Active",'State Search'!$C$5&lt;&gt;"",OR(X951=",ALL,",ISNUMBER(SEARCH(","&amp;'State Search'!$C$5&amp;",",X951)))),W951,"")</f>
        <v/>
      </c>
    </row>
    <row r="952">
      <c r="A952" s="64" t="n"/>
      <c r="B952" s="65" t="n"/>
      <c r="C952" s="64" t="n"/>
      <c r="D952" s="66" t="n"/>
      <c r="E952" s="66" t="n"/>
      <c r="F952" s="67" t="n"/>
      <c r="G952" s="67" t="n"/>
      <c r="H952" s="67" t="n"/>
      <c r="I952" s="67" t="n"/>
      <c r="J952" s="67" t="n"/>
      <c r="K952" s="67" t="n"/>
      <c r="L952" s="67" t="n"/>
      <c r="M952" s="67" t="n"/>
      <c r="N952" s="65" t="n"/>
      <c r="O952" s="84">
        <f>IF(A952="","",IF(E952="","No date",IF(TODAY()&gt;=EDATE(E952,Review_Months),"Review Due","Current")))</f>
        <v/>
      </c>
      <c r="P952" s="84">
        <f>IF(A952="","",IF(COUNTIFS('AFA Rates'!$A$5:$A$1004,A952,'AFA Rates'!$O$5:$O$1004,"&lt;&gt;Expired")&gt;0,"Yes",IF(COUNTIF('AFA Rates'!$A$5:$A$1004,A952)&gt;0,"Expired only","No")))</f>
        <v/>
      </c>
      <c r="Q952" s="84">
        <f>IF(A952="","",COUNTIFS('AFA Rates'!$A$5:$A$1004,A952,'AFA Rates'!$O$5:$O$1004,"&lt;&gt;Expired"))</f>
        <v/>
      </c>
      <c r="R952" s="66" t="n"/>
      <c r="S952" s="64" t="n"/>
      <c r="T952" s="64" t="n"/>
      <c r="U952">
        <f>IF(AND(A952&lt;&gt;"",B952="Paused"),COUNTIFS($A$5:A952,"&lt;&gt;",$B$5:B952,"Paused"),"")</f>
        <v/>
      </c>
      <c r="V952">
        <f>IF(P952="Yes",COUNTIF($P$5:P952,"Yes"),"")</f>
        <v/>
      </c>
      <c r="W952">
        <f>IF(A952="","",COUNTIF($A$5:$A$1004,"&lt;"&amp;A952)+COUNTIF($A$5:A952,A952))</f>
        <v/>
      </c>
      <c r="X952">
        <f>","&amp;SUBSTITUTE(SUBSTITUTE(SUBSTITUTE(UPPER(C952)," ",""),";",","),"/",",")&amp;","</f>
        <v/>
      </c>
      <c r="Y952">
        <f>IF(AND(A952&lt;&gt;"",B952="Active",'State Search'!$C$5&lt;&gt;"",OR(X952=",ALL,",ISNUMBER(SEARCH(","&amp;'State Search'!$C$5&amp;",",X952)))),W952,"")</f>
        <v/>
      </c>
    </row>
    <row r="953">
      <c r="A953" s="64" t="n"/>
      <c r="B953" s="65" t="n"/>
      <c r="C953" s="64" t="n"/>
      <c r="D953" s="66" t="n"/>
      <c r="E953" s="66" t="n"/>
      <c r="F953" s="67" t="n"/>
      <c r="G953" s="67" t="n"/>
      <c r="H953" s="67" t="n"/>
      <c r="I953" s="67" t="n"/>
      <c r="J953" s="67" t="n"/>
      <c r="K953" s="67" t="n"/>
      <c r="L953" s="67" t="n"/>
      <c r="M953" s="67" t="n"/>
      <c r="N953" s="65" t="n"/>
      <c r="O953" s="84">
        <f>IF(A953="","",IF(E953="","No date",IF(TODAY()&gt;=EDATE(E953,Review_Months),"Review Due","Current")))</f>
        <v/>
      </c>
      <c r="P953" s="84">
        <f>IF(A953="","",IF(COUNTIFS('AFA Rates'!$A$5:$A$1004,A953,'AFA Rates'!$O$5:$O$1004,"&lt;&gt;Expired")&gt;0,"Yes",IF(COUNTIF('AFA Rates'!$A$5:$A$1004,A953)&gt;0,"Expired only","No")))</f>
        <v/>
      </c>
      <c r="Q953" s="84">
        <f>IF(A953="","",COUNTIFS('AFA Rates'!$A$5:$A$1004,A953,'AFA Rates'!$O$5:$O$1004,"&lt;&gt;Expired"))</f>
        <v/>
      </c>
      <c r="R953" s="66" t="n"/>
      <c r="S953" s="64" t="n"/>
      <c r="T953" s="64" t="n"/>
      <c r="U953">
        <f>IF(AND(A953&lt;&gt;"",B953="Paused"),COUNTIFS($A$5:A953,"&lt;&gt;",$B$5:B953,"Paused"),"")</f>
        <v/>
      </c>
      <c r="V953">
        <f>IF(P953="Yes",COUNTIF($P$5:P953,"Yes"),"")</f>
        <v/>
      </c>
      <c r="W953">
        <f>IF(A953="","",COUNTIF($A$5:$A$1004,"&lt;"&amp;A953)+COUNTIF($A$5:A953,A953))</f>
        <v/>
      </c>
      <c r="X953">
        <f>","&amp;SUBSTITUTE(SUBSTITUTE(SUBSTITUTE(UPPER(C953)," ",""),";",","),"/",",")&amp;","</f>
        <v/>
      </c>
      <c r="Y953">
        <f>IF(AND(A953&lt;&gt;"",B953="Active",'State Search'!$C$5&lt;&gt;"",OR(X953=",ALL,",ISNUMBER(SEARCH(","&amp;'State Search'!$C$5&amp;",",X953)))),W953,"")</f>
        <v/>
      </c>
    </row>
    <row r="954">
      <c r="A954" s="64" t="n"/>
      <c r="B954" s="65" t="n"/>
      <c r="C954" s="64" t="n"/>
      <c r="D954" s="66" t="n"/>
      <c r="E954" s="66" t="n"/>
      <c r="F954" s="67" t="n"/>
      <c r="G954" s="67" t="n"/>
      <c r="H954" s="67" t="n"/>
      <c r="I954" s="67" t="n"/>
      <c r="J954" s="67" t="n"/>
      <c r="K954" s="67" t="n"/>
      <c r="L954" s="67" t="n"/>
      <c r="M954" s="67" t="n"/>
      <c r="N954" s="65" t="n"/>
      <c r="O954" s="84">
        <f>IF(A954="","",IF(E954="","No date",IF(TODAY()&gt;=EDATE(E954,Review_Months),"Review Due","Current")))</f>
        <v/>
      </c>
      <c r="P954" s="84">
        <f>IF(A954="","",IF(COUNTIFS('AFA Rates'!$A$5:$A$1004,A954,'AFA Rates'!$O$5:$O$1004,"&lt;&gt;Expired")&gt;0,"Yes",IF(COUNTIF('AFA Rates'!$A$5:$A$1004,A954)&gt;0,"Expired only","No")))</f>
        <v/>
      </c>
      <c r="Q954" s="84">
        <f>IF(A954="","",COUNTIFS('AFA Rates'!$A$5:$A$1004,A954,'AFA Rates'!$O$5:$O$1004,"&lt;&gt;Expired"))</f>
        <v/>
      </c>
      <c r="R954" s="66" t="n"/>
      <c r="S954" s="64" t="n"/>
      <c r="T954" s="64" t="n"/>
      <c r="U954">
        <f>IF(AND(A954&lt;&gt;"",B954="Paused"),COUNTIFS($A$5:A954,"&lt;&gt;",$B$5:B954,"Paused"),"")</f>
        <v/>
      </c>
      <c r="V954">
        <f>IF(P954="Yes",COUNTIF($P$5:P954,"Yes"),"")</f>
        <v/>
      </c>
      <c r="W954">
        <f>IF(A954="","",COUNTIF($A$5:$A$1004,"&lt;"&amp;A954)+COUNTIF($A$5:A954,A954))</f>
        <v/>
      </c>
      <c r="X954">
        <f>","&amp;SUBSTITUTE(SUBSTITUTE(SUBSTITUTE(UPPER(C954)," ",""),";",","),"/",",")&amp;","</f>
        <v/>
      </c>
      <c r="Y954">
        <f>IF(AND(A954&lt;&gt;"",B954="Active",'State Search'!$C$5&lt;&gt;"",OR(X954=",ALL,",ISNUMBER(SEARCH(","&amp;'State Search'!$C$5&amp;",",X954)))),W954,"")</f>
        <v/>
      </c>
    </row>
    <row r="955">
      <c r="A955" s="64" t="n"/>
      <c r="B955" s="65" t="n"/>
      <c r="C955" s="64" t="n"/>
      <c r="D955" s="66" t="n"/>
      <c r="E955" s="66" t="n"/>
      <c r="F955" s="67" t="n"/>
      <c r="G955" s="67" t="n"/>
      <c r="H955" s="67" t="n"/>
      <c r="I955" s="67" t="n"/>
      <c r="J955" s="67" t="n"/>
      <c r="K955" s="67" t="n"/>
      <c r="L955" s="67" t="n"/>
      <c r="M955" s="67" t="n"/>
      <c r="N955" s="65" t="n"/>
      <c r="O955" s="84">
        <f>IF(A955="","",IF(E955="","No date",IF(TODAY()&gt;=EDATE(E955,Review_Months),"Review Due","Current")))</f>
        <v/>
      </c>
      <c r="P955" s="84">
        <f>IF(A955="","",IF(COUNTIFS('AFA Rates'!$A$5:$A$1004,A955,'AFA Rates'!$O$5:$O$1004,"&lt;&gt;Expired")&gt;0,"Yes",IF(COUNTIF('AFA Rates'!$A$5:$A$1004,A955)&gt;0,"Expired only","No")))</f>
        <v/>
      </c>
      <c r="Q955" s="84">
        <f>IF(A955="","",COUNTIFS('AFA Rates'!$A$5:$A$1004,A955,'AFA Rates'!$O$5:$O$1004,"&lt;&gt;Expired"))</f>
        <v/>
      </c>
      <c r="R955" s="66" t="n"/>
      <c r="S955" s="64" t="n"/>
      <c r="T955" s="64" t="n"/>
      <c r="U955">
        <f>IF(AND(A955&lt;&gt;"",B955="Paused"),COUNTIFS($A$5:A955,"&lt;&gt;",$B$5:B955,"Paused"),"")</f>
        <v/>
      </c>
      <c r="V955">
        <f>IF(P955="Yes",COUNTIF($P$5:P955,"Yes"),"")</f>
        <v/>
      </c>
      <c r="W955">
        <f>IF(A955="","",COUNTIF($A$5:$A$1004,"&lt;"&amp;A955)+COUNTIF($A$5:A955,A955))</f>
        <v/>
      </c>
      <c r="X955">
        <f>","&amp;SUBSTITUTE(SUBSTITUTE(SUBSTITUTE(UPPER(C955)," ",""),";",","),"/",",")&amp;","</f>
        <v/>
      </c>
      <c r="Y955">
        <f>IF(AND(A955&lt;&gt;"",B955="Active",'State Search'!$C$5&lt;&gt;"",OR(X955=",ALL,",ISNUMBER(SEARCH(","&amp;'State Search'!$C$5&amp;",",X955)))),W955,"")</f>
        <v/>
      </c>
    </row>
    <row r="956">
      <c r="A956" s="64" t="n"/>
      <c r="B956" s="65" t="n"/>
      <c r="C956" s="64" t="n"/>
      <c r="D956" s="66" t="n"/>
      <c r="E956" s="66" t="n"/>
      <c r="F956" s="67" t="n"/>
      <c r="G956" s="67" t="n"/>
      <c r="H956" s="67" t="n"/>
      <c r="I956" s="67" t="n"/>
      <c r="J956" s="67" t="n"/>
      <c r="K956" s="67" t="n"/>
      <c r="L956" s="67" t="n"/>
      <c r="M956" s="67" t="n"/>
      <c r="N956" s="65" t="n"/>
      <c r="O956" s="84">
        <f>IF(A956="","",IF(E956="","No date",IF(TODAY()&gt;=EDATE(E956,Review_Months),"Review Due","Current")))</f>
        <v/>
      </c>
      <c r="P956" s="84">
        <f>IF(A956="","",IF(COUNTIFS('AFA Rates'!$A$5:$A$1004,A956,'AFA Rates'!$O$5:$O$1004,"&lt;&gt;Expired")&gt;0,"Yes",IF(COUNTIF('AFA Rates'!$A$5:$A$1004,A956)&gt;0,"Expired only","No")))</f>
        <v/>
      </c>
      <c r="Q956" s="84">
        <f>IF(A956="","",COUNTIFS('AFA Rates'!$A$5:$A$1004,A956,'AFA Rates'!$O$5:$O$1004,"&lt;&gt;Expired"))</f>
        <v/>
      </c>
      <c r="R956" s="66" t="n"/>
      <c r="S956" s="64" t="n"/>
      <c r="T956" s="64" t="n"/>
      <c r="U956">
        <f>IF(AND(A956&lt;&gt;"",B956="Paused"),COUNTIFS($A$5:A956,"&lt;&gt;",$B$5:B956,"Paused"),"")</f>
        <v/>
      </c>
      <c r="V956">
        <f>IF(P956="Yes",COUNTIF($P$5:P956,"Yes"),"")</f>
        <v/>
      </c>
      <c r="W956">
        <f>IF(A956="","",COUNTIF($A$5:$A$1004,"&lt;"&amp;A956)+COUNTIF($A$5:A956,A956))</f>
        <v/>
      </c>
      <c r="X956">
        <f>","&amp;SUBSTITUTE(SUBSTITUTE(SUBSTITUTE(UPPER(C956)," ",""),";",","),"/",",")&amp;","</f>
        <v/>
      </c>
      <c r="Y956">
        <f>IF(AND(A956&lt;&gt;"",B956="Active",'State Search'!$C$5&lt;&gt;"",OR(X956=",ALL,",ISNUMBER(SEARCH(","&amp;'State Search'!$C$5&amp;",",X956)))),W956,"")</f>
        <v/>
      </c>
    </row>
    <row r="957">
      <c r="A957" s="64" t="n"/>
      <c r="B957" s="65" t="n"/>
      <c r="C957" s="64" t="n"/>
      <c r="D957" s="66" t="n"/>
      <c r="E957" s="66" t="n"/>
      <c r="F957" s="67" t="n"/>
      <c r="G957" s="67" t="n"/>
      <c r="H957" s="67" t="n"/>
      <c r="I957" s="67" t="n"/>
      <c r="J957" s="67" t="n"/>
      <c r="K957" s="67" t="n"/>
      <c r="L957" s="67" t="n"/>
      <c r="M957" s="67" t="n"/>
      <c r="N957" s="65" t="n"/>
      <c r="O957" s="84">
        <f>IF(A957="","",IF(E957="","No date",IF(TODAY()&gt;=EDATE(E957,Review_Months),"Review Due","Current")))</f>
        <v/>
      </c>
      <c r="P957" s="84">
        <f>IF(A957="","",IF(COUNTIFS('AFA Rates'!$A$5:$A$1004,A957,'AFA Rates'!$O$5:$O$1004,"&lt;&gt;Expired")&gt;0,"Yes",IF(COUNTIF('AFA Rates'!$A$5:$A$1004,A957)&gt;0,"Expired only","No")))</f>
        <v/>
      </c>
      <c r="Q957" s="84">
        <f>IF(A957="","",COUNTIFS('AFA Rates'!$A$5:$A$1004,A957,'AFA Rates'!$O$5:$O$1004,"&lt;&gt;Expired"))</f>
        <v/>
      </c>
      <c r="R957" s="66" t="n"/>
      <c r="S957" s="64" t="n"/>
      <c r="T957" s="64" t="n"/>
      <c r="U957">
        <f>IF(AND(A957&lt;&gt;"",B957="Paused"),COUNTIFS($A$5:A957,"&lt;&gt;",$B$5:B957,"Paused"),"")</f>
        <v/>
      </c>
      <c r="V957">
        <f>IF(P957="Yes",COUNTIF($P$5:P957,"Yes"),"")</f>
        <v/>
      </c>
      <c r="W957">
        <f>IF(A957="","",COUNTIF($A$5:$A$1004,"&lt;"&amp;A957)+COUNTIF($A$5:A957,A957))</f>
        <v/>
      </c>
      <c r="X957">
        <f>","&amp;SUBSTITUTE(SUBSTITUTE(SUBSTITUTE(UPPER(C957)," ",""),";",","),"/",",")&amp;","</f>
        <v/>
      </c>
      <c r="Y957">
        <f>IF(AND(A957&lt;&gt;"",B957="Active",'State Search'!$C$5&lt;&gt;"",OR(X957=",ALL,",ISNUMBER(SEARCH(","&amp;'State Search'!$C$5&amp;",",X957)))),W957,"")</f>
        <v/>
      </c>
    </row>
    <row r="958">
      <c r="A958" s="64" t="n"/>
      <c r="B958" s="65" t="n"/>
      <c r="C958" s="64" t="n"/>
      <c r="D958" s="66" t="n"/>
      <c r="E958" s="66" t="n"/>
      <c r="F958" s="67" t="n"/>
      <c r="G958" s="67" t="n"/>
      <c r="H958" s="67" t="n"/>
      <c r="I958" s="67" t="n"/>
      <c r="J958" s="67" t="n"/>
      <c r="K958" s="67" t="n"/>
      <c r="L958" s="67" t="n"/>
      <c r="M958" s="67" t="n"/>
      <c r="N958" s="65" t="n"/>
      <c r="O958" s="84">
        <f>IF(A958="","",IF(E958="","No date",IF(TODAY()&gt;=EDATE(E958,Review_Months),"Review Due","Current")))</f>
        <v/>
      </c>
      <c r="P958" s="84">
        <f>IF(A958="","",IF(COUNTIFS('AFA Rates'!$A$5:$A$1004,A958,'AFA Rates'!$O$5:$O$1004,"&lt;&gt;Expired")&gt;0,"Yes",IF(COUNTIF('AFA Rates'!$A$5:$A$1004,A958)&gt;0,"Expired only","No")))</f>
        <v/>
      </c>
      <c r="Q958" s="84">
        <f>IF(A958="","",COUNTIFS('AFA Rates'!$A$5:$A$1004,A958,'AFA Rates'!$O$5:$O$1004,"&lt;&gt;Expired"))</f>
        <v/>
      </c>
      <c r="R958" s="66" t="n"/>
      <c r="S958" s="64" t="n"/>
      <c r="T958" s="64" t="n"/>
      <c r="U958">
        <f>IF(AND(A958&lt;&gt;"",B958="Paused"),COUNTIFS($A$5:A958,"&lt;&gt;",$B$5:B958,"Paused"),"")</f>
        <v/>
      </c>
      <c r="V958">
        <f>IF(P958="Yes",COUNTIF($P$5:P958,"Yes"),"")</f>
        <v/>
      </c>
      <c r="W958">
        <f>IF(A958="","",COUNTIF($A$5:$A$1004,"&lt;"&amp;A958)+COUNTIF($A$5:A958,A958))</f>
        <v/>
      </c>
      <c r="X958">
        <f>","&amp;SUBSTITUTE(SUBSTITUTE(SUBSTITUTE(UPPER(C958)," ",""),";",","),"/",",")&amp;","</f>
        <v/>
      </c>
      <c r="Y958">
        <f>IF(AND(A958&lt;&gt;"",B958="Active",'State Search'!$C$5&lt;&gt;"",OR(X958=",ALL,",ISNUMBER(SEARCH(","&amp;'State Search'!$C$5&amp;",",X958)))),W958,"")</f>
        <v/>
      </c>
    </row>
    <row r="959">
      <c r="A959" s="64" t="n"/>
      <c r="B959" s="65" t="n"/>
      <c r="C959" s="64" t="n"/>
      <c r="D959" s="66" t="n"/>
      <c r="E959" s="66" t="n"/>
      <c r="F959" s="67" t="n"/>
      <c r="G959" s="67" t="n"/>
      <c r="H959" s="67" t="n"/>
      <c r="I959" s="67" t="n"/>
      <c r="J959" s="67" t="n"/>
      <c r="K959" s="67" t="n"/>
      <c r="L959" s="67" t="n"/>
      <c r="M959" s="67" t="n"/>
      <c r="N959" s="65" t="n"/>
      <c r="O959" s="84">
        <f>IF(A959="","",IF(E959="","No date",IF(TODAY()&gt;=EDATE(E959,Review_Months),"Review Due","Current")))</f>
        <v/>
      </c>
      <c r="P959" s="84">
        <f>IF(A959="","",IF(COUNTIFS('AFA Rates'!$A$5:$A$1004,A959,'AFA Rates'!$O$5:$O$1004,"&lt;&gt;Expired")&gt;0,"Yes",IF(COUNTIF('AFA Rates'!$A$5:$A$1004,A959)&gt;0,"Expired only","No")))</f>
        <v/>
      </c>
      <c r="Q959" s="84">
        <f>IF(A959="","",COUNTIFS('AFA Rates'!$A$5:$A$1004,A959,'AFA Rates'!$O$5:$O$1004,"&lt;&gt;Expired"))</f>
        <v/>
      </c>
      <c r="R959" s="66" t="n"/>
      <c r="S959" s="64" t="n"/>
      <c r="T959" s="64" t="n"/>
      <c r="U959">
        <f>IF(AND(A959&lt;&gt;"",B959="Paused"),COUNTIFS($A$5:A959,"&lt;&gt;",$B$5:B959,"Paused"),"")</f>
        <v/>
      </c>
      <c r="V959">
        <f>IF(P959="Yes",COUNTIF($P$5:P959,"Yes"),"")</f>
        <v/>
      </c>
      <c r="W959">
        <f>IF(A959="","",COUNTIF($A$5:$A$1004,"&lt;"&amp;A959)+COUNTIF($A$5:A959,A959))</f>
        <v/>
      </c>
      <c r="X959">
        <f>","&amp;SUBSTITUTE(SUBSTITUTE(SUBSTITUTE(UPPER(C959)," ",""),";",","),"/",",")&amp;","</f>
        <v/>
      </c>
      <c r="Y959">
        <f>IF(AND(A959&lt;&gt;"",B959="Active",'State Search'!$C$5&lt;&gt;"",OR(X959=",ALL,",ISNUMBER(SEARCH(","&amp;'State Search'!$C$5&amp;",",X959)))),W959,"")</f>
        <v/>
      </c>
    </row>
    <row r="960">
      <c r="A960" s="64" t="n"/>
      <c r="B960" s="65" t="n"/>
      <c r="C960" s="64" t="n"/>
      <c r="D960" s="66" t="n"/>
      <c r="E960" s="66" t="n"/>
      <c r="F960" s="67" t="n"/>
      <c r="G960" s="67" t="n"/>
      <c r="H960" s="67" t="n"/>
      <c r="I960" s="67" t="n"/>
      <c r="J960" s="67" t="n"/>
      <c r="K960" s="67" t="n"/>
      <c r="L960" s="67" t="n"/>
      <c r="M960" s="67" t="n"/>
      <c r="N960" s="65" t="n"/>
      <c r="O960" s="84">
        <f>IF(A960="","",IF(E960="","No date",IF(TODAY()&gt;=EDATE(E960,Review_Months),"Review Due","Current")))</f>
        <v/>
      </c>
      <c r="P960" s="84">
        <f>IF(A960="","",IF(COUNTIFS('AFA Rates'!$A$5:$A$1004,A960,'AFA Rates'!$O$5:$O$1004,"&lt;&gt;Expired")&gt;0,"Yes",IF(COUNTIF('AFA Rates'!$A$5:$A$1004,A960)&gt;0,"Expired only","No")))</f>
        <v/>
      </c>
      <c r="Q960" s="84">
        <f>IF(A960="","",COUNTIFS('AFA Rates'!$A$5:$A$1004,A960,'AFA Rates'!$O$5:$O$1004,"&lt;&gt;Expired"))</f>
        <v/>
      </c>
      <c r="R960" s="66" t="n"/>
      <c r="S960" s="64" t="n"/>
      <c r="T960" s="64" t="n"/>
      <c r="U960">
        <f>IF(AND(A960&lt;&gt;"",B960="Paused"),COUNTIFS($A$5:A960,"&lt;&gt;",$B$5:B960,"Paused"),"")</f>
        <v/>
      </c>
      <c r="V960">
        <f>IF(P960="Yes",COUNTIF($P$5:P960,"Yes"),"")</f>
        <v/>
      </c>
      <c r="W960">
        <f>IF(A960="","",COUNTIF($A$5:$A$1004,"&lt;"&amp;A960)+COUNTIF($A$5:A960,A960))</f>
        <v/>
      </c>
      <c r="X960">
        <f>","&amp;SUBSTITUTE(SUBSTITUTE(SUBSTITUTE(UPPER(C960)," ",""),";",","),"/",",")&amp;","</f>
        <v/>
      </c>
      <c r="Y960">
        <f>IF(AND(A960&lt;&gt;"",B960="Active",'State Search'!$C$5&lt;&gt;"",OR(X960=",ALL,",ISNUMBER(SEARCH(","&amp;'State Search'!$C$5&amp;",",X960)))),W960,"")</f>
        <v/>
      </c>
    </row>
    <row r="961">
      <c r="A961" s="64" t="n"/>
      <c r="B961" s="65" t="n"/>
      <c r="C961" s="64" t="n"/>
      <c r="D961" s="66" t="n"/>
      <c r="E961" s="66" t="n"/>
      <c r="F961" s="67" t="n"/>
      <c r="G961" s="67" t="n"/>
      <c r="H961" s="67" t="n"/>
      <c r="I961" s="67" t="n"/>
      <c r="J961" s="67" t="n"/>
      <c r="K961" s="67" t="n"/>
      <c r="L961" s="67" t="n"/>
      <c r="M961" s="67" t="n"/>
      <c r="N961" s="65" t="n"/>
      <c r="O961" s="84">
        <f>IF(A961="","",IF(E961="","No date",IF(TODAY()&gt;=EDATE(E961,Review_Months),"Review Due","Current")))</f>
        <v/>
      </c>
      <c r="P961" s="84">
        <f>IF(A961="","",IF(COUNTIFS('AFA Rates'!$A$5:$A$1004,A961,'AFA Rates'!$O$5:$O$1004,"&lt;&gt;Expired")&gt;0,"Yes",IF(COUNTIF('AFA Rates'!$A$5:$A$1004,A961)&gt;0,"Expired only","No")))</f>
        <v/>
      </c>
      <c r="Q961" s="84">
        <f>IF(A961="","",COUNTIFS('AFA Rates'!$A$5:$A$1004,A961,'AFA Rates'!$O$5:$O$1004,"&lt;&gt;Expired"))</f>
        <v/>
      </c>
      <c r="R961" s="66" t="n"/>
      <c r="S961" s="64" t="n"/>
      <c r="T961" s="64" t="n"/>
      <c r="U961">
        <f>IF(AND(A961&lt;&gt;"",B961="Paused"),COUNTIFS($A$5:A961,"&lt;&gt;",$B$5:B961,"Paused"),"")</f>
        <v/>
      </c>
      <c r="V961">
        <f>IF(P961="Yes",COUNTIF($P$5:P961,"Yes"),"")</f>
        <v/>
      </c>
      <c r="W961">
        <f>IF(A961="","",COUNTIF($A$5:$A$1004,"&lt;"&amp;A961)+COUNTIF($A$5:A961,A961))</f>
        <v/>
      </c>
      <c r="X961">
        <f>","&amp;SUBSTITUTE(SUBSTITUTE(SUBSTITUTE(UPPER(C961)," ",""),";",","),"/",",")&amp;","</f>
        <v/>
      </c>
      <c r="Y961">
        <f>IF(AND(A961&lt;&gt;"",B961="Active",'State Search'!$C$5&lt;&gt;"",OR(X961=",ALL,",ISNUMBER(SEARCH(","&amp;'State Search'!$C$5&amp;",",X961)))),W961,"")</f>
        <v/>
      </c>
    </row>
    <row r="962">
      <c r="A962" s="64" t="n"/>
      <c r="B962" s="65" t="n"/>
      <c r="C962" s="64" t="n"/>
      <c r="D962" s="66" t="n"/>
      <c r="E962" s="66" t="n"/>
      <c r="F962" s="67" t="n"/>
      <c r="G962" s="67" t="n"/>
      <c r="H962" s="67" t="n"/>
      <c r="I962" s="67" t="n"/>
      <c r="J962" s="67" t="n"/>
      <c r="K962" s="67" t="n"/>
      <c r="L962" s="67" t="n"/>
      <c r="M962" s="67" t="n"/>
      <c r="N962" s="65" t="n"/>
      <c r="O962" s="84">
        <f>IF(A962="","",IF(E962="","No date",IF(TODAY()&gt;=EDATE(E962,Review_Months),"Review Due","Current")))</f>
        <v/>
      </c>
      <c r="P962" s="84">
        <f>IF(A962="","",IF(COUNTIFS('AFA Rates'!$A$5:$A$1004,A962,'AFA Rates'!$O$5:$O$1004,"&lt;&gt;Expired")&gt;0,"Yes",IF(COUNTIF('AFA Rates'!$A$5:$A$1004,A962)&gt;0,"Expired only","No")))</f>
        <v/>
      </c>
      <c r="Q962" s="84">
        <f>IF(A962="","",COUNTIFS('AFA Rates'!$A$5:$A$1004,A962,'AFA Rates'!$O$5:$O$1004,"&lt;&gt;Expired"))</f>
        <v/>
      </c>
      <c r="R962" s="66" t="n"/>
      <c r="S962" s="64" t="n"/>
      <c r="T962" s="64" t="n"/>
      <c r="U962">
        <f>IF(AND(A962&lt;&gt;"",B962="Paused"),COUNTIFS($A$5:A962,"&lt;&gt;",$B$5:B962,"Paused"),"")</f>
        <v/>
      </c>
      <c r="V962">
        <f>IF(P962="Yes",COUNTIF($P$5:P962,"Yes"),"")</f>
        <v/>
      </c>
      <c r="W962">
        <f>IF(A962="","",COUNTIF($A$5:$A$1004,"&lt;"&amp;A962)+COUNTIF($A$5:A962,A962))</f>
        <v/>
      </c>
      <c r="X962">
        <f>","&amp;SUBSTITUTE(SUBSTITUTE(SUBSTITUTE(UPPER(C962)," ",""),";",","),"/",",")&amp;","</f>
        <v/>
      </c>
      <c r="Y962">
        <f>IF(AND(A962&lt;&gt;"",B962="Active",'State Search'!$C$5&lt;&gt;"",OR(X962=",ALL,",ISNUMBER(SEARCH(","&amp;'State Search'!$C$5&amp;",",X962)))),W962,"")</f>
        <v/>
      </c>
    </row>
    <row r="963">
      <c r="A963" s="64" t="n"/>
      <c r="B963" s="65" t="n"/>
      <c r="C963" s="64" t="n"/>
      <c r="D963" s="66" t="n"/>
      <c r="E963" s="66" t="n"/>
      <c r="F963" s="67" t="n"/>
      <c r="G963" s="67" t="n"/>
      <c r="H963" s="67" t="n"/>
      <c r="I963" s="67" t="n"/>
      <c r="J963" s="67" t="n"/>
      <c r="K963" s="67" t="n"/>
      <c r="L963" s="67" t="n"/>
      <c r="M963" s="67" t="n"/>
      <c r="N963" s="65" t="n"/>
      <c r="O963" s="84">
        <f>IF(A963="","",IF(E963="","No date",IF(TODAY()&gt;=EDATE(E963,Review_Months),"Review Due","Current")))</f>
        <v/>
      </c>
      <c r="P963" s="84">
        <f>IF(A963="","",IF(COUNTIFS('AFA Rates'!$A$5:$A$1004,A963,'AFA Rates'!$O$5:$O$1004,"&lt;&gt;Expired")&gt;0,"Yes",IF(COUNTIF('AFA Rates'!$A$5:$A$1004,A963)&gt;0,"Expired only","No")))</f>
        <v/>
      </c>
      <c r="Q963" s="84">
        <f>IF(A963="","",COUNTIFS('AFA Rates'!$A$5:$A$1004,A963,'AFA Rates'!$O$5:$O$1004,"&lt;&gt;Expired"))</f>
        <v/>
      </c>
      <c r="R963" s="66" t="n"/>
      <c r="S963" s="64" t="n"/>
      <c r="T963" s="64" t="n"/>
      <c r="U963">
        <f>IF(AND(A963&lt;&gt;"",B963="Paused"),COUNTIFS($A$5:A963,"&lt;&gt;",$B$5:B963,"Paused"),"")</f>
        <v/>
      </c>
      <c r="V963">
        <f>IF(P963="Yes",COUNTIF($P$5:P963,"Yes"),"")</f>
        <v/>
      </c>
      <c r="W963">
        <f>IF(A963="","",COUNTIF($A$5:$A$1004,"&lt;"&amp;A963)+COUNTIF($A$5:A963,A963))</f>
        <v/>
      </c>
      <c r="X963">
        <f>","&amp;SUBSTITUTE(SUBSTITUTE(SUBSTITUTE(UPPER(C963)," ",""),";",","),"/",",")&amp;","</f>
        <v/>
      </c>
      <c r="Y963">
        <f>IF(AND(A963&lt;&gt;"",B963="Active",'State Search'!$C$5&lt;&gt;"",OR(X963=",ALL,",ISNUMBER(SEARCH(","&amp;'State Search'!$C$5&amp;",",X963)))),W963,"")</f>
        <v/>
      </c>
    </row>
    <row r="964">
      <c r="A964" s="64" t="n"/>
      <c r="B964" s="65" t="n"/>
      <c r="C964" s="64" t="n"/>
      <c r="D964" s="66" t="n"/>
      <c r="E964" s="66" t="n"/>
      <c r="F964" s="67" t="n"/>
      <c r="G964" s="67" t="n"/>
      <c r="H964" s="67" t="n"/>
      <c r="I964" s="67" t="n"/>
      <c r="J964" s="67" t="n"/>
      <c r="K964" s="67" t="n"/>
      <c r="L964" s="67" t="n"/>
      <c r="M964" s="67" t="n"/>
      <c r="N964" s="65" t="n"/>
      <c r="O964" s="84">
        <f>IF(A964="","",IF(E964="","No date",IF(TODAY()&gt;=EDATE(E964,Review_Months),"Review Due","Current")))</f>
        <v/>
      </c>
      <c r="P964" s="84">
        <f>IF(A964="","",IF(COUNTIFS('AFA Rates'!$A$5:$A$1004,A964,'AFA Rates'!$O$5:$O$1004,"&lt;&gt;Expired")&gt;0,"Yes",IF(COUNTIF('AFA Rates'!$A$5:$A$1004,A964)&gt;0,"Expired only","No")))</f>
        <v/>
      </c>
      <c r="Q964" s="84">
        <f>IF(A964="","",COUNTIFS('AFA Rates'!$A$5:$A$1004,A964,'AFA Rates'!$O$5:$O$1004,"&lt;&gt;Expired"))</f>
        <v/>
      </c>
      <c r="R964" s="66" t="n"/>
      <c r="S964" s="64" t="n"/>
      <c r="T964" s="64" t="n"/>
      <c r="U964">
        <f>IF(AND(A964&lt;&gt;"",B964="Paused"),COUNTIFS($A$5:A964,"&lt;&gt;",$B$5:B964,"Paused"),"")</f>
        <v/>
      </c>
      <c r="V964">
        <f>IF(P964="Yes",COUNTIF($P$5:P964,"Yes"),"")</f>
        <v/>
      </c>
      <c r="W964">
        <f>IF(A964="","",COUNTIF($A$5:$A$1004,"&lt;"&amp;A964)+COUNTIF($A$5:A964,A964))</f>
        <v/>
      </c>
      <c r="X964">
        <f>","&amp;SUBSTITUTE(SUBSTITUTE(SUBSTITUTE(UPPER(C964)," ",""),";",","),"/",",")&amp;","</f>
        <v/>
      </c>
      <c r="Y964">
        <f>IF(AND(A964&lt;&gt;"",B964="Active",'State Search'!$C$5&lt;&gt;"",OR(X964=",ALL,",ISNUMBER(SEARCH(","&amp;'State Search'!$C$5&amp;",",X964)))),W964,"")</f>
        <v/>
      </c>
    </row>
    <row r="965">
      <c r="A965" s="64" t="n"/>
      <c r="B965" s="65" t="n"/>
      <c r="C965" s="64" t="n"/>
      <c r="D965" s="66" t="n"/>
      <c r="E965" s="66" t="n"/>
      <c r="F965" s="67" t="n"/>
      <c r="G965" s="67" t="n"/>
      <c r="H965" s="67" t="n"/>
      <c r="I965" s="67" t="n"/>
      <c r="J965" s="67" t="n"/>
      <c r="K965" s="67" t="n"/>
      <c r="L965" s="67" t="n"/>
      <c r="M965" s="67" t="n"/>
      <c r="N965" s="65" t="n"/>
      <c r="O965" s="84">
        <f>IF(A965="","",IF(E965="","No date",IF(TODAY()&gt;=EDATE(E965,Review_Months),"Review Due","Current")))</f>
        <v/>
      </c>
      <c r="P965" s="84">
        <f>IF(A965="","",IF(COUNTIFS('AFA Rates'!$A$5:$A$1004,A965,'AFA Rates'!$O$5:$O$1004,"&lt;&gt;Expired")&gt;0,"Yes",IF(COUNTIF('AFA Rates'!$A$5:$A$1004,A965)&gt;0,"Expired only","No")))</f>
        <v/>
      </c>
      <c r="Q965" s="84">
        <f>IF(A965="","",COUNTIFS('AFA Rates'!$A$5:$A$1004,A965,'AFA Rates'!$O$5:$O$1004,"&lt;&gt;Expired"))</f>
        <v/>
      </c>
      <c r="R965" s="66" t="n"/>
      <c r="S965" s="64" t="n"/>
      <c r="T965" s="64" t="n"/>
      <c r="U965">
        <f>IF(AND(A965&lt;&gt;"",B965="Paused"),COUNTIFS($A$5:A965,"&lt;&gt;",$B$5:B965,"Paused"),"")</f>
        <v/>
      </c>
      <c r="V965">
        <f>IF(P965="Yes",COUNTIF($P$5:P965,"Yes"),"")</f>
        <v/>
      </c>
      <c r="W965">
        <f>IF(A965="","",COUNTIF($A$5:$A$1004,"&lt;"&amp;A965)+COUNTIF($A$5:A965,A965))</f>
        <v/>
      </c>
      <c r="X965">
        <f>","&amp;SUBSTITUTE(SUBSTITUTE(SUBSTITUTE(UPPER(C965)," ",""),";",","),"/",",")&amp;","</f>
        <v/>
      </c>
      <c r="Y965">
        <f>IF(AND(A965&lt;&gt;"",B965="Active",'State Search'!$C$5&lt;&gt;"",OR(X965=",ALL,",ISNUMBER(SEARCH(","&amp;'State Search'!$C$5&amp;",",X965)))),W965,"")</f>
        <v/>
      </c>
    </row>
    <row r="966">
      <c r="A966" s="64" t="n"/>
      <c r="B966" s="65" t="n"/>
      <c r="C966" s="64" t="n"/>
      <c r="D966" s="66" t="n"/>
      <c r="E966" s="66" t="n"/>
      <c r="F966" s="67" t="n"/>
      <c r="G966" s="67" t="n"/>
      <c r="H966" s="67" t="n"/>
      <c r="I966" s="67" t="n"/>
      <c r="J966" s="67" t="n"/>
      <c r="K966" s="67" t="n"/>
      <c r="L966" s="67" t="n"/>
      <c r="M966" s="67" t="n"/>
      <c r="N966" s="65" t="n"/>
      <c r="O966" s="84">
        <f>IF(A966="","",IF(E966="","No date",IF(TODAY()&gt;=EDATE(E966,Review_Months),"Review Due","Current")))</f>
        <v/>
      </c>
      <c r="P966" s="84">
        <f>IF(A966="","",IF(COUNTIFS('AFA Rates'!$A$5:$A$1004,A966,'AFA Rates'!$O$5:$O$1004,"&lt;&gt;Expired")&gt;0,"Yes",IF(COUNTIF('AFA Rates'!$A$5:$A$1004,A966)&gt;0,"Expired only","No")))</f>
        <v/>
      </c>
      <c r="Q966" s="84">
        <f>IF(A966="","",COUNTIFS('AFA Rates'!$A$5:$A$1004,A966,'AFA Rates'!$O$5:$O$1004,"&lt;&gt;Expired"))</f>
        <v/>
      </c>
      <c r="R966" s="66" t="n"/>
      <c r="S966" s="64" t="n"/>
      <c r="T966" s="64" t="n"/>
      <c r="U966">
        <f>IF(AND(A966&lt;&gt;"",B966="Paused"),COUNTIFS($A$5:A966,"&lt;&gt;",$B$5:B966,"Paused"),"")</f>
        <v/>
      </c>
      <c r="V966">
        <f>IF(P966="Yes",COUNTIF($P$5:P966,"Yes"),"")</f>
        <v/>
      </c>
      <c r="W966">
        <f>IF(A966="","",COUNTIF($A$5:$A$1004,"&lt;"&amp;A966)+COUNTIF($A$5:A966,A966))</f>
        <v/>
      </c>
      <c r="X966">
        <f>","&amp;SUBSTITUTE(SUBSTITUTE(SUBSTITUTE(UPPER(C966)," ",""),";",","),"/",",")&amp;","</f>
        <v/>
      </c>
      <c r="Y966">
        <f>IF(AND(A966&lt;&gt;"",B966="Active",'State Search'!$C$5&lt;&gt;"",OR(X966=",ALL,",ISNUMBER(SEARCH(","&amp;'State Search'!$C$5&amp;",",X966)))),W966,"")</f>
        <v/>
      </c>
    </row>
    <row r="967">
      <c r="A967" s="64" t="n"/>
      <c r="B967" s="65" t="n"/>
      <c r="C967" s="64" t="n"/>
      <c r="D967" s="66" t="n"/>
      <c r="E967" s="66" t="n"/>
      <c r="F967" s="67" t="n"/>
      <c r="G967" s="67" t="n"/>
      <c r="H967" s="67" t="n"/>
      <c r="I967" s="67" t="n"/>
      <c r="J967" s="67" t="n"/>
      <c r="K967" s="67" t="n"/>
      <c r="L967" s="67" t="n"/>
      <c r="M967" s="67" t="n"/>
      <c r="N967" s="65" t="n"/>
      <c r="O967" s="84">
        <f>IF(A967="","",IF(E967="","No date",IF(TODAY()&gt;=EDATE(E967,Review_Months),"Review Due","Current")))</f>
        <v/>
      </c>
      <c r="P967" s="84">
        <f>IF(A967="","",IF(COUNTIFS('AFA Rates'!$A$5:$A$1004,A967,'AFA Rates'!$O$5:$O$1004,"&lt;&gt;Expired")&gt;0,"Yes",IF(COUNTIF('AFA Rates'!$A$5:$A$1004,A967)&gt;0,"Expired only","No")))</f>
        <v/>
      </c>
      <c r="Q967" s="84">
        <f>IF(A967="","",COUNTIFS('AFA Rates'!$A$5:$A$1004,A967,'AFA Rates'!$O$5:$O$1004,"&lt;&gt;Expired"))</f>
        <v/>
      </c>
      <c r="R967" s="66" t="n"/>
      <c r="S967" s="64" t="n"/>
      <c r="T967" s="64" t="n"/>
      <c r="U967">
        <f>IF(AND(A967&lt;&gt;"",B967="Paused"),COUNTIFS($A$5:A967,"&lt;&gt;",$B$5:B967,"Paused"),"")</f>
        <v/>
      </c>
      <c r="V967">
        <f>IF(P967="Yes",COUNTIF($P$5:P967,"Yes"),"")</f>
        <v/>
      </c>
      <c r="W967">
        <f>IF(A967="","",COUNTIF($A$5:$A$1004,"&lt;"&amp;A967)+COUNTIF($A$5:A967,A967))</f>
        <v/>
      </c>
      <c r="X967">
        <f>","&amp;SUBSTITUTE(SUBSTITUTE(SUBSTITUTE(UPPER(C967)," ",""),";",","),"/",",")&amp;","</f>
        <v/>
      </c>
      <c r="Y967">
        <f>IF(AND(A967&lt;&gt;"",B967="Active",'State Search'!$C$5&lt;&gt;"",OR(X967=",ALL,",ISNUMBER(SEARCH(","&amp;'State Search'!$C$5&amp;",",X967)))),W967,"")</f>
        <v/>
      </c>
    </row>
    <row r="968">
      <c r="A968" s="64" t="n"/>
      <c r="B968" s="65" t="n"/>
      <c r="C968" s="64" t="n"/>
      <c r="D968" s="66" t="n"/>
      <c r="E968" s="66" t="n"/>
      <c r="F968" s="67" t="n"/>
      <c r="G968" s="67" t="n"/>
      <c r="H968" s="67" t="n"/>
      <c r="I968" s="67" t="n"/>
      <c r="J968" s="67" t="n"/>
      <c r="K968" s="67" t="n"/>
      <c r="L968" s="67" t="n"/>
      <c r="M968" s="67" t="n"/>
      <c r="N968" s="65" t="n"/>
      <c r="O968" s="84">
        <f>IF(A968="","",IF(E968="","No date",IF(TODAY()&gt;=EDATE(E968,Review_Months),"Review Due","Current")))</f>
        <v/>
      </c>
      <c r="P968" s="84">
        <f>IF(A968="","",IF(COUNTIFS('AFA Rates'!$A$5:$A$1004,A968,'AFA Rates'!$O$5:$O$1004,"&lt;&gt;Expired")&gt;0,"Yes",IF(COUNTIF('AFA Rates'!$A$5:$A$1004,A968)&gt;0,"Expired only","No")))</f>
        <v/>
      </c>
      <c r="Q968" s="84">
        <f>IF(A968="","",COUNTIFS('AFA Rates'!$A$5:$A$1004,A968,'AFA Rates'!$O$5:$O$1004,"&lt;&gt;Expired"))</f>
        <v/>
      </c>
      <c r="R968" s="66" t="n"/>
      <c r="S968" s="64" t="n"/>
      <c r="T968" s="64" t="n"/>
      <c r="U968">
        <f>IF(AND(A968&lt;&gt;"",B968="Paused"),COUNTIFS($A$5:A968,"&lt;&gt;",$B$5:B968,"Paused"),"")</f>
        <v/>
      </c>
      <c r="V968">
        <f>IF(P968="Yes",COUNTIF($P$5:P968,"Yes"),"")</f>
        <v/>
      </c>
      <c r="W968">
        <f>IF(A968="","",COUNTIF($A$5:$A$1004,"&lt;"&amp;A968)+COUNTIF($A$5:A968,A968))</f>
        <v/>
      </c>
      <c r="X968">
        <f>","&amp;SUBSTITUTE(SUBSTITUTE(SUBSTITUTE(UPPER(C968)," ",""),";",","),"/",",")&amp;","</f>
        <v/>
      </c>
      <c r="Y968">
        <f>IF(AND(A968&lt;&gt;"",B968="Active",'State Search'!$C$5&lt;&gt;"",OR(X968=",ALL,",ISNUMBER(SEARCH(","&amp;'State Search'!$C$5&amp;",",X968)))),W968,"")</f>
        <v/>
      </c>
    </row>
    <row r="969">
      <c r="A969" s="64" t="n"/>
      <c r="B969" s="65" t="n"/>
      <c r="C969" s="64" t="n"/>
      <c r="D969" s="66" t="n"/>
      <c r="E969" s="66" t="n"/>
      <c r="F969" s="67" t="n"/>
      <c r="G969" s="67" t="n"/>
      <c r="H969" s="67" t="n"/>
      <c r="I969" s="67" t="n"/>
      <c r="J969" s="67" t="n"/>
      <c r="K969" s="67" t="n"/>
      <c r="L969" s="67" t="n"/>
      <c r="M969" s="67" t="n"/>
      <c r="N969" s="65" t="n"/>
      <c r="O969" s="84">
        <f>IF(A969="","",IF(E969="","No date",IF(TODAY()&gt;=EDATE(E969,Review_Months),"Review Due","Current")))</f>
        <v/>
      </c>
      <c r="P969" s="84">
        <f>IF(A969="","",IF(COUNTIFS('AFA Rates'!$A$5:$A$1004,A969,'AFA Rates'!$O$5:$O$1004,"&lt;&gt;Expired")&gt;0,"Yes",IF(COUNTIF('AFA Rates'!$A$5:$A$1004,A969)&gt;0,"Expired only","No")))</f>
        <v/>
      </c>
      <c r="Q969" s="84">
        <f>IF(A969="","",COUNTIFS('AFA Rates'!$A$5:$A$1004,A969,'AFA Rates'!$O$5:$O$1004,"&lt;&gt;Expired"))</f>
        <v/>
      </c>
      <c r="R969" s="66" t="n"/>
      <c r="S969" s="64" t="n"/>
      <c r="T969" s="64" t="n"/>
      <c r="U969">
        <f>IF(AND(A969&lt;&gt;"",B969="Paused"),COUNTIFS($A$5:A969,"&lt;&gt;",$B$5:B969,"Paused"),"")</f>
        <v/>
      </c>
      <c r="V969">
        <f>IF(P969="Yes",COUNTIF($P$5:P969,"Yes"),"")</f>
        <v/>
      </c>
      <c r="W969">
        <f>IF(A969="","",COUNTIF($A$5:$A$1004,"&lt;"&amp;A969)+COUNTIF($A$5:A969,A969))</f>
        <v/>
      </c>
      <c r="X969">
        <f>","&amp;SUBSTITUTE(SUBSTITUTE(SUBSTITUTE(UPPER(C969)," ",""),";",","),"/",",")&amp;","</f>
        <v/>
      </c>
      <c r="Y969">
        <f>IF(AND(A969&lt;&gt;"",B969="Active",'State Search'!$C$5&lt;&gt;"",OR(X969=",ALL,",ISNUMBER(SEARCH(","&amp;'State Search'!$C$5&amp;",",X969)))),W969,"")</f>
        <v/>
      </c>
    </row>
    <row r="970">
      <c r="A970" s="64" t="n"/>
      <c r="B970" s="65" t="n"/>
      <c r="C970" s="64" t="n"/>
      <c r="D970" s="66" t="n"/>
      <c r="E970" s="66" t="n"/>
      <c r="F970" s="67" t="n"/>
      <c r="G970" s="67" t="n"/>
      <c r="H970" s="67" t="n"/>
      <c r="I970" s="67" t="n"/>
      <c r="J970" s="67" t="n"/>
      <c r="K970" s="67" t="n"/>
      <c r="L970" s="67" t="n"/>
      <c r="M970" s="67" t="n"/>
      <c r="N970" s="65" t="n"/>
      <c r="O970" s="84">
        <f>IF(A970="","",IF(E970="","No date",IF(TODAY()&gt;=EDATE(E970,Review_Months),"Review Due","Current")))</f>
        <v/>
      </c>
      <c r="P970" s="84">
        <f>IF(A970="","",IF(COUNTIFS('AFA Rates'!$A$5:$A$1004,A970,'AFA Rates'!$O$5:$O$1004,"&lt;&gt;Expired")&gt;0,"Yes",IF(COUNTIF('AFA Rates'!$A$5:$A$1004,A970)&gt;0,"Expired only","No")))</f>
        <v/>
      </c>
      <c r="Q970" s="84">
        <f>IF(A970="","",COUNTIFS('AFA Rates'!$A$5:$A$1004,A970,'AFA Rates'!$O$5:$O$1004,"&lt;&gt;Expired"))</f>
        <v/>
      </c>
      <c r="R970" s="66" t="n"/>
      <c r="S970" s="64" t="n"/>
      <c r="T970" s="64" t="n"/>
      <c r="U970">
        <f>IF(AND(A970&lt;&gt;"",B970="Paused"),COUNTIFS($A$5:A970,"&lt;&gt;",$B$5:B970,"Paused"),"")</f>
        <v/>
      </c>
      <c r="V970">
        <f>IF(P970="Yes",COUNTIF($P$5:P970,"Yes"),"")</f>
        <v/>
      </c>
      <c r="W970">
        <f>IF(A970="","",COUNTIF($A$5:$A$1004,"&lt;"&amp;A970)+COUNTIF($A$5:A970,A970))</f>
        <v/>
      </c>
      <c r="X970">
        <f>","&amp;SUBSTITUTE(SUBSTITUTE(SUBSTITUTE(UPPER(C970)," ",""),";",","),"/",",")&amp;","</f>
        <v/>
      </c>
      <c r="Y970">
        <f>IF(AND(A970&lt;&gt;"",B970="Active",'State Search'!$C$5&lt;&gt;"",OR(X970=",ALL,",ISNUMBER(SEARCH(","&amp;'State Search'!$C$5&amp;",",X970)))),W970,"")</f>
        <v/>
      </c>
    </row>
    <row r="971">
      <c r="A971" s="64" t="n"/>
      <c r="B971" s="65" t="n"/>
      <c r="C971" s="64" t="n"/>
      <c r="D971" s="66" t="n"/>
      <c r="E971" s="66" t="n"/>
      <c r="F971" s="67" t="n"/>
      <c r="G971" s="67" t="n"/>
      <c r="H971" s="67" t="n"/>
      <c r="I971" s="67" t="n"/>
      <c r="J971" s="67" t="n"/>
      <c r="K971" s="67" t="n"/>
      <c r="L971" s="67" t="n"/>
      <c r="M971" s="67" t="n"/>
      <c r="N971" s="65" t="n"/>
      <c r="O971" s="84">
        <f>IF(A971="","",IF(E971="","No date",IF(TODAY()&gt;=EDATE(E971,Review_Months),"Review Due","Current")))</f>
        <v/>
      </c>
      <c r="P971" s="84">
        <f>IF(A971="","",IF(COUNTIFS('AFA Rates'!$A$5:$A$1004,A971,'AFA Rates'!$O$5:$O$1004,"&lt;&gt;Expired")&gt;0,"Yes",IF(COUNTIF('AFA Rates'!$A$5:$A$1004,A971)&gt;0,"Expired only","No")))</f>
        <v/>
      </c>
      <c r="Q971" s="84">
        <f>IF(A971="","",COUNTIFS('AFA Rates'!$A$5:$A$1004,A971,'AFA Rates'!$O$5:$O$1004,"&lt;&gt;Expired"))</f>
        <v/>
      </c>
      <c r="R971" s="66" t="n"/>
      <c r="S971" s="64" t="n"/>
      <c r="T971" s="64" t="n"/>
      <c r="U971">
        <f>IF(AND(A971&lt;&gt;"",B971="Paused"),COUNTIFS($A$5:A971,"&lt;&gt;",$B$5:B971,"Paused"),"")</f>
        <v/>
      </c>
      <c r="V971">
        <f>IF(P971="Yes",COUNTIF($P$5:P971,"Yes"),"")</f>
        <v/>
      </c>
      <c r="W971">
        <f>IF(A971="","",COUNTIF($A$5:$A$1004,"&lt;"&amp;A971)+COUNTIF($A$5:A971,A971))</f>
        <v/>
      </c>
      <c r="X971">
        <f>","&amp;SUBSTITUTE(SUBSTITUTE(SUBSTITUTE(UPPER(C971)," ",""),";",","),"/",",")&amp;","</f>
        <v/>
      </c>
      <c r="Y971">
        <f>IF(AND(A971&lt;&gt;"",B971="Active",'State Search'!$C$5&lt;&gt;"",OR(X971=",ALL,",ISNUMBER(SEARCH(","&amp;'State Search'!$C$5&amp;",",X971)))),W971,"")</f>
        <v/>
      </c>
    </row>
    <row r="972">
      <c r="A972" s="64" t="n"/>
      <c r="B972" s="65" t="n"/>
      <c r="C972" s="64" t="n"/>
      <c r="D972" s="66" t="n"/>
      <c r="E972" s="66" t="n"/>
      <c r="F972" s="67" t="n"/>
      <c r="G972" s="67" t="n"/>
      <c r="H972" s="67" t="n"/>
      <c r="I972" s="67" t="n"/>
      <c r="J972" s="67" t="n"/>
      <c r="K972" s="67" t="n"/>
      <c r="L972" s="67" t="n"/>
      <c r="M972" s="67" t="n"/>
      <c r="N972" s="65" t="n"/>
      <c r="O972" s="84">
        <f>IF(A972="","",IF(E972="","No date",IF(TODAY()&gt;=EDATE(E972,Review_Months),"Review Due","Current")))</f>
        <v/>
      </c>
      <c r="P972" s="84">
        <f>IF(A972="","",IF(COUNTIFS('AFA Rates'!$A$5:$A$1004,A972,'AFA Rates'!$O$5:$O$1004,"&lt;&gt;Expired")&gt;0,"Yes",IF(COUNTIF('AFA Rates'!$A$5:$A$1004,A972)&gt;0,"Expired only","No")))</f>
        <v/>
      </c>
      <c r="Q972" s="84">
        <f>IF(A972="","",COUNTIFS('AFA Rates'!$A$5:$A$1004,A972,'AFA Rates'!$O$5:$O$1004,"&lt;&gt;Expired"))</f>
        <v/>
      </c>
      <c r="R972" s="66" t="n"/>
      <c r="S972" s="64" t="n"/>
      <c r="T972" s="64" t="n"/>
      <c r="U972">
        <f>IF(AND(A972&lt;&gt;"",B972="Paused"),COUNTIFS($A$5:A972,"&lt;&gt;",$B$5:B972,"Paused"),"")</f>
        <v/>
      </c>
      <c r="V972">
        <f>IF(P972="Yes",COUNTIF($P$5:P972,"Yes"),"")</f>
        <v/>
      </c>
      <c r="W972">
        <f>IF(A972="","",COUNTIF($A$5:$A$1004,"&lt;"&amp;A972)+COUNTIF($A$5:A972,A972))</f>
        <v/>
      </c>
      <c r="X972">
        <f>","&amp;SUBSTITUTE(SUBSTITUTE(SUBSTITUTE(UPPER(C972)," ",""),";",","),"/",",")&amp;","</f>
        <v/>
      </c>
      <c r="Y972">
        <f>IF(AND(A972&lt;&gt;"",B972="Active",'State Search'!$C$5&lt;&gt;"",OR(X972=",ALL,",ISNUMBER(SEARCH(","&amp;'State Search'!$C$5&amp;",",X972)))),W972,"")</f>
        <v/>
      </c>
    </row>
    <row r="973">
      <c r="A973" s="64" t="n"/>
      <c r="B973" s="65" t="n"/>
      <c r="C973" s="64" t="n"/>
      <c r="D973" s="66" t="n"/>
      <c r="E973" s="66" t="n"/>
      <c r="F973" s="67" t="n"/>
      <c r="G973" s="67" t="n"/>
      <c r="H973" s="67" t="n"/>
      <c r="I973" s="67" t="n"/>
      <c r="J973" s="67" t="n"/>
      <c r="K973" s="67" t="n"/>
      <c r="L973" s="67" t="n"/>
      <c r="M973" s="67" t="n"/>
      <c r="N973" s="65" t="n"/>
      <c r="O973" s="84">
        <f>IF(A973="","",IF(E973="","No date",IF(TODAY()&gt;=EDATE(E973,Review_Months),"Review Due","Current")))</f>
        <v/>
      </c>
      <c r="P973" s="84">
        <f>IF(A973="","",IF(COUNTIFS('AFA Rates'!$A$5:$A$1004,A973,'AFA Rates'!$O$5:$O$1004,"&lt;&gt;Expired")&gt;0,"Yes",IF(COUNTIF('AFA Rates'!$A$5:$A$1004,A973)&gt;0,"Expired only","No")))</f>
        <v/>
      </c>
      <c r="Q973" s="84">
        <f>IF(A973="","",COUNTIFS('AFA Rates'!$A$5:$A$1004,A973,'AFA Rates'!$O$5:$O$1004,"&lt;&gt;Expired"))</f>
        <v/>
      </c>
      <c r="R973" s="66" t="n"/>
      <c r="S973" s="64" t="n"/>
      <c r="T973" s="64" t="n"/>
      <c r="U973">
        <f>IF(AND(A973&lt;&gt;"",B973="Paused"),COUNTIFS($A$5:A973,"&lt;&gt;",$B$5:B973,"Paused"),"")</f>
        <v/>
      </c>
      <c r="V973">
        <f>IF(P973="Yes",COUNTIF($P$5:P973,"Yes"),"")</f>
        <v/>
      </c>
      <c r="W973">
        <f>IF(A973="","",COUNTIF($A$5:$A$1004,"&lt;"&amp;A973)+COUNTIF($A$5:A973,A973))</f>
        <v/>
      </c>
      <c r="X973">
        <f>","&amp;SUBSTITUTE(SUBSTITUTE(SUBSTITUTE(UPPER(C973)," ",""),";",","),"/",",")&amp;","</f>
        <v/>
      </c>
      <c r="Y973">
        <f>IF(AND(A973&lt;&gt;"",B973="Active",'State Search'!$C$5&lt;&gt;"",OR(X973=",ALL,",ISNUMBER(SEARCH(","&amp;'State Search'!$C$5&amp;",",X973)))),W973,"")</f>
        <v/>
      </c>
    </row>
    <row r="974">
      <c r="A974" s="64" t="n"/>
      <c r="B974" s="65" t="n"/>
      <c r="C974" s="64" t="n"/>
      <c r="D974" s="66" t="n"/>
      <c r="E974" s="66" t="n"/>
      <c r="F974" s="67" t="n"/>
      <c r="G974" s="67" t="n"/>
      <c r="H974" s="67" t="n"/>
      <c r="I974" s="67" t="n"/>
      <c r="J974" s="67" t="n"/>
      <c r="K974" s="67" t="n"/>
      <c r="L974" s="67" t="n"/>
      <c r="M974" s="67" t="n"/>
      <c r="N974" s="65" t="n"/>
      <c r="O974" s="84">
        <f>IF(A974="","",IF(E974="","No date",IF(TODAY()&gt;=EDATE(E974,Review_Months),"Review Due","Current")))</f>
        <v/>
      </c>
      <c r="P974" s="84">
        <f>IF(A974="","",IF(COUNTIFS('AFA Rates'!$A$5:$A$1004,A974,'AFA Rates'!$O$5:$O$1004,"&lt;&gt;Expired")&gt;0,"Yes",IF(COUNTIF('AFA Rates'!$A$5:$A$1004,A974)&gt;0,"Expired only","No")))</f>
        <v/>
      </c>
      <c r="Q974" s="84">
        <f>IF(A974="","",COUNTIFS('AFA Rates'!$A$5:$A$1004,A974,'AFA Rates'!$O$5:$O$1004,"&lt;&gt;Expired"))</f>
        <v/>
      </c>
      <c r="R974" s="66" t="n"/>
      <c r="S974" s="64" t="n"/>
      <c r="T974" s="64" t="n"/>
      <c r="U974">
        <f>IF(AND(A974&lt;&gt;"",B974="Paused"),COUNTIFS($A$5:A974,"&lt;&gt;",$B$5:B974,"Paused"),"")</f>
        <v/>
      </c>
      <c r="V974">
        <f>IF(P974="Yes",COUNTIF($P$5:P974,"Yes"),"")</f>
        <v/>
      </c>
      <c r="W974">
        <f>IF(A974="","",COUNTIF($A$5:$A$1004,"&lt;"&amp;A974)+COUNTIF($A$5:A974,A974))</f>
        <v/>
      </c>
      <c r="X974">
        <f>","&amp;SUBSTITUTE(SUBSTITUTE(SUBSTITUTE(UPPER(C974)," ",""),";",","),"/",",")&amp;","</f>
        <v/>
      </c>
      <c r="Y974">
        <f>IF(AND(A974&lt;&gt;"",B974="Active",'State Search'!$C$5&lt;&gt;"",OR(X974=",ALL,",ISNUMBER(SEARCH(","&amp;'State Search'!$C$5&amp;",",X974)))),W974,"")</f>
        <v/>
      </c>
    </row>
    <row r="975">
      <c r="A975" s="64" t="n"/>
      <c r="B975" s="65" t="n"/>
      <c r="C975" s="64" t="n"/>
      <c r="D975" s="66" t="n"/>
      <c r="E975" s="66" t="n"/>
      <c r="F975" s="67" t="n"/>
      <c r="G975" s="67" t="n"/>
      <c r="H975" s="67" t="n"/>
      <c r="I975" s="67" t="n"/>
      <c r="J975" s="67" t="n"/>
      <c r="K975" s="67" t="n"/>
      <c r="L975" s="67" t="n"/>
      <c r="M975" s="67" t="n"/>
      <c r="N975" s="65" t="n"/>
      <c r="O975" s="84">
        <f>IF(A975="","",IF(E975="","No date",IF(TODAY()&gt;=EDATE(E975,Review_Months),"Review Due","Current")))</f>
        <v/>
      </c>
      <c r="P975" s="84">
        <f>IF(A975="","",IF(COUNTIFS('AFA Rates'!$A$5:$A$1004,A975,'AFA Rates'!$O$5:$O$1004,"&lt;&gt;Expired")&gt;0,"Yes",IF(COUNTIF('AFA Rates'!$A$5:$A$1004,A975)&gt;0,"Expired only","No")))</f>
        <v/>
      </c>
      <c r="Q975" s="84">
        <f>IF(A975="","",COUNTIFS('AFA Rates'!$A$5:$A$1004,A975,'AFA Rates'!$O$5:$O$1004,"&lt;&gt;Expired"))</f>
        <v/>
      </c>
      <c r="R975" s="66" t="n"/>
      <c r="S975" s="64" t="n"/>
      <c r="T975" s="64" t="n"/>
      <c r="U975">
        <f>IF(AND(A975&lt;&gt;"",B975="Paused"),COUNTIFS($A$5:A975,"&lt;&gt;",$B$5:B975,"Paused"),"")</f>
        <v/>
      </c>
      <c r="V975">
        <f>IF(P975="Yes",COUNTIF($P$5:P975,"Yes"),"")</f>
        <v/>
      </c>
      <c r="W975">
        <f>IF(A975="","",COUNTIF($A$5:$A$1004,"&lt;"&amp;A975)+COUNTIF($A$5:A975,A975))</f>
        <v/>
      </c>
      <c r="X975">
        <f>","&amp;SUBSTITUTE(SUBSTITUTE(SUBSTITUTE(UPPER(C975)," ",""),";",","),"/",",")&amp;","</f>
        <v/>
      </c>
      <c r="Y975">
        <f>IF(AND(A975&lt;&gt;"",B975="Active",'State Search'!$C$5&lt;&gt;"",OR(X975=",ALL,",ISNUMBER(SEARCH(","&amp;'State Search'!$C$5&amp;",",X975)))),W975,"")</f>
        <v/>
      </c>
    </row>
    <row r="976">
      <c r="A976" s="64" t="n"/>
      <c r="B976" s="65" t="n"/>
      <c r="C976" s="64" t="n"/>
      <c r="D976" s="66" t="n"/>
      <c r="E976" s="66" t="n"/>
      <c r="F976" s="67" t="n"/>
      <c r="G976" s="67" t="n"/>
      <c r="H976" s="67" t="n"/>
      <c r="I976" s="67" t="n"/>
      <c r="J976" s="67" t="n"/>
      <c r="K976" s="67" t="n"/>
      <c r="L976" s="67" t="n"/>
      <c r="M976" s="67" t="n"/>
      <c r="N976" s="65" t="n"/>
      <c r="O976" s="84">
        <f>IF(A976="","",IF(E976="","No date",IF(TODAY()&gt;=EDATE(E976,Review_Months),"Review Due","Current")))</f>
        <v/>
      </c>
      <c r="P976" s="84">
        <f>IF(A976="","",IF(COUNTIFS('AFA Rates'!$A$5:$A$1004,A976,'AFA Rates'!$O$5:$O$1004,"&lt;&gt;Expired")&gt;0,"Yes",IF(COUNTIF('AFA Rates'!$A$5:$A$1004,A976)&gt;0,"Expired only","No")))</f>
        <v/>
      </c>
      <c r="Q976" s="84">
        <f>IF(A976="","",COUNTIFS('AFA Rates'!$A$5:$A$1004,A976,'AFA Rates'!$O$5:$O$1004,"&lt;&gt;Expired"))</f>
        <v/>
      </c>
      <c r="R976" s="66" t="n"/>
      <c r="S976" s="64" t="n"/>
      <c r="T976" s="64" t="n"/>
      <c r="U976">
        <f>IF(AND(A976&lt;&gt;"",B976="Paused"),COUNTIFS($A$5:A976,"&lt;&gt;",$B$5:B976,"Paused"),"")</f>
        <v/>
      </c>
      <c r="V976">
        <f>IF(P976="Yes",COUNTIF($P$5:P976,"Yes"),"")</f>
        <v/>
      </c>
      <c r="W976">
        <f>IF(A976="","",COUNTIF($A$5:$A$1004,"&lt;"&amp;A976)+COUNTIF($A$5:A976,A976))</f>
        <v/>
      </c>
      <c r="X976">
        <f>","&amp;SUBSTITUTE(SUBSTITUTE(SUBSTITUTE(UPPER(C976)," ",""),";",","),"/",",")&amp;","</f>
        <v/>
      </c>
      <c r="Y976">
        <f>IF(AND(A976&lt;&gt;"",B976="Active",'State Search'!$C$5&lt;&gt;"",OR(X976=",ALL,",ISNUMBER(SEARCH(","&amp;'State Search'!$C$5&amp;",",X976)))),W976,"")</f>
        <v/>
      </c>
    </row>
    <row r="977">
      <c r="A977" s="64" t="n"/>
      <c r="B977" s="65" t="n"/>
      <c r="C977" s="64" t="n"/>
      <c r="D977" s="66" t="n"/>
      <c r="E977" s="66" t="n"/>
      <c r="F977" s="67" t="n"/>
      <c r="G977" s="67" t="n"/>
      <c r="H977" s="67" t="n"/>
      <c r="I977" s="67" t="n"/>
      <c r="J977" s="67" t="n"/>
      <c r="K977" s="67" t="n"/>
      <c r="L977" s="67" t="n"/>
      <c r="M977" s="67" t="n"/>
      <c r="N977" s="65" t="n"/>
      <c r="O977" s="84">
        <f>IF(A977="","",IF(E977="","No date",IF(TODAY()&gt;=EDATE(E977,Review_Months),"Review Due","Current")))</f>
        <v/>
      </c>
      <c r="P977" s="84">
        <f>IF(A977="","",IF(COUNTIFS('AFA Rates'!$A$5:$A$1004,A977,'AFA Rates'!$O$5:$O$1004,"&lt;&gt;Expired")&gt;0,"Yes",IF(COUNTIF('AFA Rates'!$A$5:$A$1004,A977)&gt;0,"Expired only","No")))</f>
        <v/>
      </c>
      <c r="Q977" s="84">
        <f>IF(A977="","",COUNTIFS('AFA Rates'!$A$5:$A$1004,A977,'AFA Rates'!$O$5:$O$1004,"&lt;&gt;Expired"))</f>
        <v/>
      </c>
      <c r="R977" s="66" t="n"/>
      <c r="S977" s="64" t="n"/>
      <c r="T977" s="64" t="n"/>
      <c r="U977">
        <f>IF(AND(A977&lt;&gt;"",B977="Paused"),COUNTIFS($A$5:A977,"&lt;&gt;",$B$5:B977,"Paused"),"")</f>
        <v/>
      </c>
      <c r="V977">
        <f>IF(P977="Yes",COUNTIF($P$5:P977,"Yes"),"")</f>
        <v/>
      </c>
      <c r="W977">
        <f>IF(A977="","",COUNTIF($A$5:$A$1004,"&lt;"&amp;A977)+COUNTIF($A$5:A977,A977))</f>
        <v/>
      </c>
      <c r="X977">
        <f>","&amp;SUBSTITUTE(SUBSTITUTE(SUBSTITUTE(UPPER(C977)," ",""),";",","),"/",",")&amp;","</f>
        <v/>
      </c>
      <c r="Y977">
        <f>IF(AND(A977&lt;&gt;"",B977="Active",'State Search'!$C$5&lt;&gt;"",OR(X977=",ALL,",ISNUMBER(SEARCH(","&amp;'State Search'!$C$5&amp;",",X977)))),W977,"")</f>
        <v/>
      </c>
    </row>
    <row r="978">
      <c r="A978" s="64" t="n"/>
      <c r="B978" s="65" t="n"/>
      <c r="C978" s="64" t="n"/>
      <c r="D978" s="66" t="n"/>
      <c r="E978" s="66" t="n"/>
      <c r="F978" s="67" t="n"/>
      <c r="G978" s="67" t="n"/>
      <c r="H978" s="67" t="n"/>
      <c r="I978" s="67" t="n"/>
      <c r="J978" s="67" t="n"/>
      <c r="K978" s="67" t="n"/>
      <c r="L978" s="67" t="n"/>
      <c r="M978" s="67" t="n"/>
      <c r="N978" s="65" t="n"/>
      <c r="O978" s="84">
        <f>IF(A978="","",IF(E978="","No date",IF(TODAY()&gt;=EDATE(E978,Review_Months),"Review Due","Current")))</f>
        <v/>
      </c>
      <c r="P978" s="84">
        <f>IF(A978="","",IF(COUNTIFS('AFA Rates'!$A$5:$A$1004,A978,'AFA Rates'!$O$5:$O$1004,"&lt;&gt;Expired")&gt;0,"Yes",IF(COUNTIF('AFA Rates'!$A$5:$A$1004,A978)&gt;0,"Expired only","No")))</f>
        <v/>
      </c>
      <c r="Q978" s="84">
        <f>IF(A978="","",COUNTIFS('AFA Rates'!$A$5:$A$1004,A978,'AFA Rates'!$O$5:$O$1004,"&lt;&gt;Expired"))</f>
        <v/>
      </c>
      <c r="R978" s="66" t="n"/>
      <c r="S978" s="64" t="n"/>
      <c r="T978" s="64" t="n"/>
      <c r="U978">
        <f>IF(AND(A978&lt;&gt;"",B978="Paused"),COUNTIFS($A$5:A978,"&lt;&gt;",$B$5:B978,"Paused"),"")</f>
        <v/>
      </c>
      <c r="V978">
        <f>IF(P978="Yes",COUNTIF($P$5:P978,"Yes"),"")</f>
        <v/>
      </c>
      <c r="W978">
        <f>IF(A978="","",COUNTIF($A$5:$A$1004,"&lt;"&amp;A978)+COUNTIF($A$5:A978,A978))</f>
        <v/>
      </c>
      <c r="X978">
        <f>","&amp;SUBSTITUTE(SUBSTITUTE(SUBSTITUTE(UPPER(C978)," ",""),";",","),"/",",")&amp;","</f>
        <v/>
      </c>
      <c r="Y978">
        <f>IF(AND(A978&lt;&gt;"",B978="Active",'State Search'!$C$5&lt;&gt;"",OR(X978=",ALL,",ISNUMBER(SEARCH(","&amp;'State Search'!$C$5&amp;",",X978)))),W978,"")</f>
        <v/>
      </c>
    </row>
    <row r="979">
      <c r="A979" s="64" t="n"/>
      <c r="B979" s="65" t="n"/>
      <c r="C979" s="64" t="n"/>
      <c r="D979" s="66" t="n"/>
      <c r="E979" s="66" t="n"/>
      <c r="F979" s="67" t="n"/>
      <c r="G979" s="67" t="n"/>
      <c r="H979" s="67" t="n"/>
      <c r="I979" s="67" t="n"/>
      <c r="J979" s="67" t="n"/>
      <c r="K979" s="67" t="n"/>
      <c r="L979" s="67" t="n"/>
      <c r="M979" s="67" t="n"/>
      <c r="N979" s="65" t="n"/>
      <c r="O979" s="84">
        <f>IF(A979="","",IF(E979="","No date",IF(TODAY()&gt;=EDATE(E979,Review_Months),"Review Due","Current")))</f>
        <v/>
      </c>
      <c r="P979" s="84">
        <f>IF(A979="","",IF(COUNTIFS('AFA Rates'!$A$5:$A$1004,A979,'AFA Rates'!$O$5:$O$1004,"&lt;&gt;Expired")&gt;0,"Yes",IF(COUNTIF('AFA Rates'!$A$5:$A$1004,A979)&gt;0,"Expired only","No")))</f>
        <v/>
      </c>
      <c r="Q979" s="84">
        <f>IF(A979="","",COUNTIFS('AFA Rates'!$A$5:$A$1004,A979,'AFA Rates'!$O$5:$O$1004,"&lt;&gt;Expired"))</f>
        <v/>
      </c>
      <c r="R979" s="66" t="n"/>
      <c r="S979" s="64" t="n"/>
      <c r="T979" s="64" t="n"/>
      <c r="U979">
        <f>IF(AND(A979&lt;&gt;"",B979="Paused"),COUNTIFS($A$5:A979,"&lt;&gt;",$B$5:B979,"Paused"),"")</f>
        <v/>
      </c>
      <c r="V979">
        <f>IF(P979="Yes",COUNTIF($P$5:P979,"Yes"),"")</f>
        <v/>
      </c>
      <c r="W979">
        <f>IF(A979="","",COUNTIF($A$5:$A$1004,"&lt;"&amp;A979)+COUNTIF($A$5:A979,A979))</f>
        <v/>
      </c>
      <c r="X979">
        <f>","&amp;SUBSTITUTE(SUBSTITUTE(SUBSTITUTE(UPPER(C979)," ",""),";",","),"/",",")&amp;","</f>
        <v/>
      </c>
      <c r="Y979">
        <f>IF(AND(A979&lt;&gt;"",B979="Active",'State Search'!$C$5&lt;&gt;"",OR(X979=",ALL,",ISNUMBER(SEARCH(","&amp;'State Search'!$C$5&amp;",",X979)))),W979,"")</f>
        <v/>
      </c>
    </row>
    <row r="980">
      <c r="A980" s="64" t="n"/>
      <c r="B980" s="65" t="n"/>
      <c r="C980" s="64" t="n"/>
      <c r="D980" s="66" t="n"/>
      <c r="E980" s="66" t="n"/>
      <c r="F980" s="67" t="n"/>
      <c r="G980" s="67" t="n"/>
      <c r="H980" s="67" t="n"/>
      <c r="I980" s="67" t="n"/>
      <c r="J980" s="67" t="n"/>
      <c r="K980" s="67" t="n"/>
      <c r="L980" s="67" t="n"/>
      <c r="M980" s="67" t="n"/>
      <c r="N980" s="65" t="n"/>
      <c r="O980" s="84">
        <f>IF(A980="","",IF(E980="","No date",IF(TODAY()&gt;=EDATE(E980,Review_Months),"Review Due","Current")))</f>
        <v/>
      </c>
      <c r="P980" s="84">
        <f>IF(A980="","",IF(COUNTIFS('AFA Rates'!$A$5:$A$1004,A980,'AFA Rates'!$O$5:$O$1004,"&lt;&gt;Expired")&gt;0,"Yes",IF(COUNTIF('AFA Rates'!$A$5:$A$1004,A980)&gt;0,"Expired only","No")))</f>
        <v/>
      </c>
      <c r="Q980" s="84">
        <f>IF(A980="","",COUNTIFS('AFA Rates'!$A$5:$A$1004,A980,'AFA Rates'!$O$5:$O$1004,"&lt;&gt;Expired"))</f>
        <v/>
      </c>
      <c r="R980" s="66" t="n"/>
      <c r="S980" s="64" t="n"/>
      <c r="T980" s="64" t="n"/>
      <c r="U980">
        <f>IF(AND(A980&lt;&gt;"",B980="Paused"),COUNTIFS($A$5:A980,"&lt;&gt;",$B$5:B980,"Paused"),"")</f>
        <v/>
      </c>
      <c r="V980">
        <f>IF(P980="Yes",COUNTIF($P$5:P980,"Yes"),"")</f>
        <v/>
      </c>
      <c r="W980">
        <f>IF(A980="","",COUNTIF($A$5:$A$1004,"&lt;"&amp;A980)+COUNTIF($A$5:A980,A980))</f>
        <v/>
      </c>
      <c r="X980">
        <f>","&amp;SUBSTITUTE(SUBSTITUTE(SUBSTITUTE(UPPER(C980)," ",""),";",","),"/",",")&amp;","</f>
        <v/>
      </c>
      <c r="Y980">
        <f>IF(AND(A980&lt;&gt;"",B980="Active",'State Search'!$C$5&lt;&gt;"",OR(X980=",ALL,",ISNUMBER(SEARCH(","&amp;'State Search'!$C$5&amp;",",X980)))),W980,"")</f>
        <v/>
      </c>
    </row>
    <row r="981">
      <c r="A981" s="64" t="n"/>
      <c r="B981" s="65" t="n"/>
      <c r="C981" s="64" t="n"/>
      <c r="D981" s="66" t="n"/>
      <c r="E981" s="66" t="n"/>
      <c r="F981" s="67" t="n"/>
      <c r="G981" s="67" t="n"/>
      <c r="H981" s="67" t="n"/>
      <c r="I981" s="67" t="n"/>
      <c r="J981" s="67" t="n"/>
      <c r="K981" s="67" t="n"/>
      <c r="L981" s="67" t="n"/>
      <c r="M981" s="67" t="n"/>
      <c r="N981" s="65" t="n"/>
      <c r="O981" s="84">
        <f>IF(A981="","",IF(E981="","No date",IF(TODAY()&gt;=EDATE(E981,Review_Months),"Review Due","Current")))</f>
        <v/>
      </c>
      <c r="P981" s="84">
        <f>IF(A981="","",IF(COUNTIFS('AFA Rates'!$A$5:$A$1004,A981,'AFA Rates'!$O$5:$O$1004,"&lt;&gt;Expired")&gt;0,"Yes",IF(COUNTIF('AFA Rates'!$A$5:$A$1004,A981)&gt;0,"Expired only","No")))</f>
        <v/>
      </c>
      <c r="Q981" s="84">
        <f>IF(A981="","",COUNTIFS('AFA Rates'!$A$5:$A$1004,A981,'AFA Rates'!$O$5:$O$1004,"&lt;&gt;Expired"))</f>
        <v/>
      </c>
      <c r="R981" s="66" t="n"/>
      <c r="S981" s="64" t="n"/>
      <c r="T981" s="64" t="n"/>
      <c r="U981">
        <f>IF(AND(A981&lt;&gt;"",B981="Paused"),COUNTIFS($A$5:A981,"&lt;&gt;",$B$5:B981,"Paused"),"")</f>
        <v/>
      </c>
      <c r="V981">
        <f>IF(P981="Yes",COUNTIF($P$5:P981,"Yes"),"")</f>
        <v/>
      </c>
      <c r="W981">
        <f>IF(A981="","",COUNTIF($A$5:$A$1004,"&lt;"&amp;A981)+COUNTIF($A$5:A981,A981))</f>
        <v/>
      </c>
      <c r="X981">
        <f>","&amp;SUBSTITUTE(SUBSTITUTE(SUBSTITUTE(UPPER(C981)," ",""),";",","),"/",",")&amp;","</f>
        <v/>
      </c>
      <c r="Y981">
        <f>IF(AND(A981&lt;&gt;"",B981="Active",'State Search'!$C$5&lt;&gt;"",OR(X981=",ALL,",ISNUMBER(SEARCH(","&amp;'State Search'!$C$5&amp;",",X981)))),W981,"")</f>
        <v/>
      </c>
    </row>
    <row r="982">
      <c r="A982" s="64" t="n"/>
      <c r="B982" s="65" t="n"/>
      <c r="C982" s="64" t="n"/>
      <c r="D982" s="66" t="n"/>
      <c r="E982" s="66" t="n"/>
      <c r="F982" s="67" t="n"/>
      <c r="G982" s="67" t="n"/>
      <c r="H982" s="67" t="n"/>
      <c r="I982" s="67" t="n"/>
      <c r="J982" s="67" t="n"/>
      <c r="K982" s="67" t="n"/>
      <c r="L982" s="67" t="n"/>
      <c r="M982" s="67" t="n"/>
      <c r="N982" s="65" t="n"/>
      <c r="O982" s="84">
        <f>IF(A982="","",IF(E982="","No date",IF(TODAY()&gt;=EDATE(E982,Review_Months),"Review Due","Current")))</f>
        <v/>
      </c>
      <c r="P982" s="84">
        <f>IF(A982="","",IF(COUNTIFS('AFA Rates'!$A$5:$A$1004,A982,'AFA Rates'!$O$5:$O$1004,"&lt;&gt;Expired")&gt;0,"Yes",IF(COUNTIF('AFA Rates'!$A$5:$A$1004,A982)&gt;0,"Expired only","No")))</f>
        <v/>
      </c>
      <c r="Q982" s="84">
        <f>IF(A982="","",COUNTIFS('AFA Rates'!$A$5:$A$1004,A982,'AFA Rates'!$O$5:$O$1004,"&lt;&gt;Expired"))</f>
        <v/>
      </c>
      <c r="R982" s="66" t="n"/>
      <c r="S982" s="64" t="n"/>
      <c r="T982" s="64" t="n"/>
      <c r="U982">
        <f>IF(AND(A982&lt;&gt;"",B982="Paused"),COUNTIFS($A$5:A982,"&lt;&gt;",$B$5:B982,"Paused"),"")</f>
        <v/>
      </c>
      <c r="V982">
        <f>IF(P982="Yes",COUNTIF($P$5:P982,"Yes"),"")</f>
        <v/>
      </c>
      <c r="W982">
        <f>IF(A982="","",COUNTIF($A$5:$A$1004,"&lt;"&amp;A982)+COUNTIF($A$5:A982,A982))</f>
        <v/>
      </c>
      <c r="X982">
        <f>","&amp;SUBSTITUTE(SUBSTITUTE(SUBSTITUTE(UPPER(C982)," ",""),";",","),"/",",")&amp;","</f>
        <v/>
      </c>
      <c r="Y982">
        <f>IF(AND(A982&lt;&gt;"",B982="Active",'State Search'!$C$5&lt;&gt;"",OR(X982=",ALL,",ISNUMBER(SEARCH(","&amp;'State Search'!$C$5&amp;",",X982)))),W982,"")</f>
        <v/>
      </c>
    </row>
    <row r="983">
      <c r="A983" s="64" t="n"/>
      <c r="B983" s="65" t="n"/>
      <c r="C983" s="64" t="n"/>
      <c r="D983" s="66" t="n"/>
      <c r="E983" s="66" t="n"/>
      <c r="F983" s="67" t="n"/>
      <c r="G983" s="67" t="n"/>
      <c r="H983" s="67" t="n"/>
      <c r="I983" s="67" t="n"/>
      <c r="J983" s="67" t="n"/>
      <c r="K983" s="67" t="n"/>
      <c r="L983" s="67" t="n"/>
      <c r="M983" s="67" t="n"/>
      <c r="N983" s="65" t="n"/>
      <c r="O983" s="84">
        <f>IF(A983="","",IF(E983="","No date",IF(TODAY()&gt;=EDATE(E983,Review_Months),"Review Due","Current")))</f>
        <v/>
      </c>
      <c r="P983" s="84">
        <f>IF(A983="","",IF(COUNTIFS('AFA Rates'!$A$5:$A$1004,A983,'AFA Rates'!$O$5:$O$1004,"&lt;&gt;Expired")&gt;0,"Yes",IF(COUNTIF('AFA Rates'!$A$5:$A$1004,A983)&gt;0,"Expired only","No")))</f>
        <v/>
      </c>
      <c r="Q983" s="84">
        <f>IF(A983="","",COUNTIFS('AFA Rates'!$A$5:$A$1004,A983,'AFA Rates'!$O$5:$O$1004,"&lt;&gt;Expired"))</f>
        <v/>
      </c>
      <c r="R983" s="66" t="n"/>
      <c r="S983" s="64" t="n"/>
      <c r="T983" s="64" t="n"/>
      <c r="U983">
        <f>IF(AND(A983&lt;&gt;"",B983="Paused"),COUNTIFS($A$5:A983,"&lt;&gt;",$B$5:B983,"Paused"),"")</f>
        <v/>
      </c>
      <c r="V983">
        <f>IF(P983="Yes",COUNTIF($P$5:P983,"Yes"),"")</f>
        <v/>
      </c>
      <c r="W983">
        <f>IF(A983="","",COUNTIF($A$5:$A$1004,"&lt;"&amp;A983)+COUNTIF($A$5:A983,A983))</f>
        <v/>
      </c>
      <c r="X983">
        <f>","&amp;SUBSTITUTE(SUBSTITUTE(SUBSTITUTE(UPPER(C983)," ",""),";",","),"/",",")&amp;","</f>
        <v/>
      </c>
      <c r="Y983">
        <f>IF(AND(A983&lt;&gt;"",B983="Active",'State Search'!$C$5&lt;&gt;"",OR(X983=",ALL,",ISNUMBER(SEARCH(","&amp;'State Search'!$C$5&amp;",",X983)))),W983,"")</f>
        <v/>
      </c>
    </row>
    <row r="984">
      <c r="A984" s="64" t="n"/>
      <c r="B984" s="65" t="n"/>
      <c r="C984" s="64" t="n"/>
      <c r="D984" s="66" t="n"/>
      <c r="E984" s="66" t="n"/>
      <c r="F984" s="67" t="n"/>
      <c r="G984" s="67" t="n"/>
      <c r="H984" s="67" t="n"/>
      <c r="I984" s="67" t="n"/>
      <c r="J984" s="67" t="n"/>
      <c r="K984" s="67" t="n"/>
      <c r="L984" s="67" t="n"/>
      <c r="M984" s="67" t="n"/>
      <c r="N984" s="65" t="n"/>
      <c r="O984" s="84">
        <f>IF(A984="","",IF(E984="","No date",IF(TODAY()&gt;=EDATE(E984,Review_Months),"Review Due","Current")))</f>
        <v/>
      </c>
      <c r="P984" s="84">
        <f>IF(A984="","",IF(COUNTIFS('AFA Rates'!$A$5:$A$1004,A984,'AFA Rates'!$O$5:$O$1004,"&lt;&gt;Expired")&gt;0,"Yes",IF(COUNTIF('AFA Rates'!$A$5:$A$1004,A984)&gt;0,"Expired only","No")))</f>
        <v/>
      </c>
      <c r="Q984" s="84">
        <f>IF(A984="","",COUNTIFS('AFA Rates'!$A$5:$A$1004,A984,'AFA Rates'!$O$5:$O$1004,"&lt;&gt;Expired"))</f>
        <v/>
      </c>
      <c r="R984" s="66" t="n"/>
      <c r="S984" s="64" t="n"/>
      <c r="T984" s="64" t="n"/>
      <c r="U984">
        <f>IF(AND(A984&lt;&gt;"",B984="Paused"),COUNTIFS($A$5:A984,"&lt;&gt;",$B$5:B984,"Paused"),"")</f>
        <v/>
      </c>
      <c r="V984">
        <f>IF(P984="Yes",COUNTIF($P$5:P984,"Yes"),"")</f>
        <v/>
      </c>
      <c r="W984">
        <f>IF(A984="","",COUNTIF($A$5:$A$1004,"&lt;"&amp;A984)+COUNTIF($A$5:A984,A984))</f>
        <v/>
      </c>
      <c r="X984">
        <f>","&amp;SUBSTITUTE(SUBSTITUTE(SUBSTITUTE(UPPER(C984)," ",""),";",","),"/",",")&amp;","</f>
        <v/>
      </c>
      <c r="Y984">
        <f>IF(AND(A984&lt;&gt;"",B984="Active",'State Search'!$C$5&lt;&gt;"",OR(X984=",ALL,",ISNUMBER(SEARCH(","&amp;'State Search'!$C$5&amp;",",X984)))),W984,"")</f>
        <v/>
      </c>
    </row>
    <row r="985">
      <c r="A985" s="64" t="n"/>
      <c r="B985" s="65" t="n"/>
      <c r="C985" s="64" t="n"/>
      <c r="D985" s="66" t="n"/>
      <c r="E985" s="66" t="n"/>
      <c r="F985" s="67" t="n"/>
      <c r="G985" s="67" t="n"/>
      <c r="H985" s="67" t="n"/>
      <c r="I985" s="67" t="n"/>
      <c r="J985" s="67" t="n"/>
      <c r="K985" s="67" t="n"/>
      <c r="L985" s="67" t="n"/>
      <c r="M985" s="67" t="n"/>
      <c r="N985" s="65" t="n"/>
      <c r="O985" s="84">
        <f>IF(A985="","",IF(E985="","No date",IF(TODAY()&gt;=EDATE(E985,Review_Months),"Review Due","Current")))</f>
        <v/>
      </c>
      <c r="P985" s="84">
        <f>IF(A985="","",IF(COUNTIFS('AFA Rates'!$A$5:$A$1004,A985,'AFA Rates'!$O$5:$O$1004,"&lt;&gt;Expired")&gt;0,"Yes",IF(COUNTIF('AFA Rates'!$A$5:$A$1004,A985)&gt;0,"Expired only","No")))</f>
        <v/>
      </c>
      <c r="Q985" s="84">
        <f>IF(A985="","",COUNTIFS('AFA Rates'!$A$5:$A$1004,A985,'AFA Rates'!$O$5:$O$1004,"&lt;&gt;Expired"))</f>
        <v/>
      </c>
      <c r="R985" s="66" t="n"/>
      <c r="S985" s="64" t="n"/>
      <c r="T985" s="64" t="n"/>
      <c r="U985">
        <f>IF(AND(A985&lt;&gt;"",B985="Paused"),COUNTIFS($A$5:A985,"&lt;&gt;",$B$5:B985,"Paused"),"")</f>
        <v/>
      </c>
      <c r="V985">
        <f>IF(P985="Yes",COUNTIF($P$5:P985,"Yes"),"")</f>
        <v/>
      </c>
      <c r="W985">
        <f>IF(A985="","",COUNTIF($A$5:$A$1004,"&lt;"&amp;A985)+COUNTIF($A$5:A985,A985))</f>
        <v/>
      </c>
      <c r="X985">
        <f>","&amp;SUBSTITUTE(SUBSTITUTE(SUBSTITUTE(UPPER(C985)," ",""),";",","),"/",",")&amp;","</f>
        <v/>
      </c>
      <c r="Y985">
        <f>IF(AND(A985&lt;&gt;"",B985="Active",'State Search'!$C$5&lt;&gt;"",OR(X985=",ALL,",ISNUMBER(SEARCH(","&amp;'State Search'!$C$5&amp;",",X985)))),W985,"")</f>
        <v/>
      </c>
    </row>
    <row r="986">
      <c r="A986" s="64" t="n"/>
      <c r="B986" s="65" t="n"/>
      <c r="C986" s="64" t="n"/>
      <c r="D986" s="66" t="n"/>
      <c r="E986" s="66" t="n"/>
      <c r="F986" s="67" t="n"/>
      <c r="G986" s="67" t="n"/>
      <c r="H986" s="67" t="n"/>
      <c r="I986" s="67" t="n"/>
      <c r="J986" s="67" t="n"/>
      <c r="K986" s="67" t="n"/>
      <c r="L986" s="67" t="n"/>
      <c r="M986" s="67" t="n"/>
      <c r="N986" s="65" t="n"/>
      <c r="O986" s="84">
        <f>IF(A986="","",IF(E986="","No date",IF(TODAY()&gt;=EDATE(E986,Review_Months),"Review Due","Current")))</f>
        <v/>
      </c>
      <c r="P986" s="84">
        <f>IF(A986="","",IF(COUNTIFS('AFA Rates'!$A$5:$A$1004,A986,'AFA Rates'!$O$5:$O$1004,"&lt;&gt;Expired")&gt;0,"Yes",IF(COUNTIF('AFA Rates'!$A$5:$A$1004,A986)&gt;0,"Expired only","No")))</f>
        <v/>
      </c>
      <c r="Q986" s="84">
        <f>IF(A986="","",COUNTIFS('AFA Rates'!$A$5:$A$1004,A986,'AFA Rates'!$O$5:$O$1004,"&lt;&gt;Expired"))</f>
        <v/>
      </c>
      <c r="R986" s="66" t="n"/>
      <c r="S986" s="64" t="n"/>
      <c r="T986" s="64" t="n"/>
      <c r="U986">
        <f>IF(AND(A986&lt;&gt;"",B986="Paused"),COUNTIFS($A$5:A986,"&lt;&gt;",$B$5:B986,"Paused"),"")</f>
        <v/>
      </c>
      <c r="V986">
        <f>IF(P986="Yes",COUNTIF($P$5:P986,"Yes"),"")</f>
        <v/>
      </c>
      <c r="W986">
        <f>IF(A986="","",COUNTIF($A$5:$A$1004,"&lt;"&amp;A986)+COUNTIF($A$5:A986,A986))</f>
        <v/>
      </c>
      <c r="X986">
        <f>","&amp;SUBSTITUTE(SUBSTITUTE(SUBSTITUTE(UPPER(C986)," ",""),";",","),"/",",")&amp;","</f>
        <v/>
      </c>
      <c r="Y986">
        <f>IF(AND(A986&lt;&gt;"",B986="Active",'State Search'!$C$5&lt;&gt;"",OR(X986=",ALL,",ISNUMBER(SEARCH(","&amp;'State Search'!$C$5&amp;",",X986)))),W986,"")</f>
        <v/>
      </c>
    </row>
    <row r="987">
      <c r="A987" s="64" t="n"/>
      <c r="B987" s="65" t="n"/>
      <c r="C987" s="64" t="n"/>
      <c r="D987" s="66" t="n"/>
      <c r="E987" s="66" t="n"/>
      <c r="F987" s="67" t="n"/>
      <c r="G987" s="67" t="n"/>
      <c r="H987" s="67" t="n"/>
      <c r="I987" s="67" t="n"/>
      <c r="J987" s="67" t="n"/>
      <c r="K987" s="67" t="n"/>
      <c r="L987" s="67" t="n"/>
      <c r="M987" s="67" t="n"/>
      <c r="N987" s="65" t="n"/>
      <c r="O987" s="84">
        <f>IF(A987="","",IF(E987="","No date",IF(TODAY()&gt;=EDATE(E987,Review_Months),"Review Due","Current")))</f>
        <v/>
      </c>
      <c r="P987" s="84">
        <f>IF(A987="","",IF(COUNTIFS('AFA Rates'!$A$5:$A$1004,A987,'AFA Rates'!$O$5:$O$1004,"&lt;&gt;Expired")&gt;0,"Yes",IF(COUNTIF('AFA Rates'!$A$5:$A$1004,A987)&gt;0,"Expired only","No")))</f>
        <v/>
      </c>
      <c r="Q987" s="84">
        <f>IF(A987="","",COUNTIFS('AFA Rates'!$A$5:$A$1004,A987,'AFA Rates'!$O$5:$O$1004,"&lt;&gt;Expired"))</f>
        <v/>
      </c>
      <c r="R987" s="66" t="n"/>
      <c r="S987" s="64" t="n"/>
      <c r="T987" s="64" t="n"/>
      <c r="U987">
        <f>IF(AND(A987&lt;&gt;"",B987="Paused"),COUNTIFS($A$5:A987,"&lt;&gt;",$B$5:B987,"Paused"),"")</f>
        <v/>
      </c>
      <c r="V987">
        <f>IF(P987="Yes",COUNTIF($P$5:P987,"Yes"),"")</f>
        <v/>
      </c>
      <c r="W987">
        <f>IF(A987="","",COUNTIF($A$5:$A$1004,"&lt;"&amp;A987)+COUNTIF($A$5:A987,A987))</f>
        <v/>
      </c>
      <c r="X987">
        <f>","&amp;SUBSTITUTE(SUBSTITUTE(SUBSTITUTE(UPPER(C987)," ",""),";",","),"/",",")&amp;","</f>
        <v/>
      </c>
      <c r="Y987">
        <f>IF(AND(A987&lt;&gt;"",B987="Active",'State Search'!$C$5&lt;&gt;"",OR(X987=",ALL,",ISNUMBER(SEARCH(","&amp;'State Search'!$C$5&amp;",",X987)))),W987,"")</f>
        <v/>
      </c>
    </row>
    <row r="988">
      <c r="A988" s="64" t="n"/>
      <c r="B988" s="65" t="n"/>
      <c r="C988" s="64" t="n"/>
      <c r="D988" s="66" t="n"/>
      <c r="E988" s="66" t="n"/>
      <c r="F988" s="67" t="n"/>
      <c r="G988" s="67" t="n"/>
      <c r="H988" s="67" t="n"/>
      <c r="I988" s="67" t="n"/>
      <c r="J988" s="67" t="n"/>
      <c r="K988" s="67" t="n"/>
      <c r="L988" s="67" t="n"/>
      <c r="M988" s="67" t="n"/>
      <c r="N988" s="65" t="n"/>
      <c r="O988" s="84">
        <f>IF(A988="","",IF(E988="","No date",IF(TODAY()&gt;=EDATE(E988,Review_Months),"Review Due","Current")))</f>
        <v/>
      </c>
      <c r="P988" s="84">
        <f>IF(A988="","",IF(COUNTIFS('AFA Rates'!$A$5:$A$1004,A988,'AFA Rates'!$O$5:$O$1004,"&lt;&gt;Expired")&gt;0,"Yes",IF(COUNTIF('AFA Rates'!$A$5:$A$1004,A988)&gt;0,"Expired only","No")))</f>
        <v/>
      </c>
      <c r="Q988" s="84">
        <f>IF(A988="","",COUNTIFS('AFA Rates'!$A$5:$A$1004,A988,'AFA Rates'!$O$5:$O$1004,"&lt;&gt;Expired"))</f>
        <v/>
      </c>
      <c r="R988" s="66" t="n"/>
      <c r="S988" s="64" t="n"/>
      <c r="T988" s="64" t="n"/>
      <c r="U988">
        <f>IF(AND(A988&lt;&gt;"",B988="Paused"),COUNTIFS($A$5:A988,"&lt;&gt;",$B$5:B988,"Paused"),"")</f>
        <v/>
      </c>
      <c r="V988">
        <f>IF(P988="Yes",COUNTIF($P$5:P988,"Yes"),"")</f>
        <v/>
      </c>
      <c r="W988">
        <f>IF(A988="","",COUNTIF($A$5:$A$1004,"&lt;"&amp;A988)+COUNTIF($A$5:A988,A988))</f>
        <v/>
      </c>
      <c r="X988">
        <f>","&amp;SUBSTITUTE(SUBSTITUTE(SUBSTITUTE(UPPER(C988)," ",""),";",","),"/",",")&amp;","</f>
        <v/>
      </c>
      <c r="Y988">
        <f>IF(AND(A988&lt;&gt;"",B988="Active",'State Search'!$C$5&lt;&gt;"",OR(X988=",ALL,",ISNUMBER(SEARCH(","&amp;'State Search'!$C$5&amp;",",X988)))),W988,"")</f>
        <v/>
      </c>
    </row>
    <row r="989">
      <c r="A989" s="64" t="n"/>
      <c r="B989" s="65" t="n"/>
      <c r="C989" s="64" t="n"/>
      <c r="D989" s="66" t="n"/>
      <c r="E989" s="66" t="n"/>
      <c r="F989" s="67" t="n"/>
      <c r="G989" s="67" t="n"/>
      <c r="H989" s="67" t="n"/>
      <c r="I989" s="67" t="n"/>
      <c r="J989" s="67" t="n"/>
      <c r="K989" s="67" t="n"/>
      <c r="L989" s="67" t="n"/>
      <c r="M989" s="67" t="n"/>
      <c r="N989" s="65" t="n"/>
      <c r="O989" s="84">
        <f>IF(A989="","",IF(E989="","No date",IF(TODAY()&gt;=EDATE(E989,Review_Months),"Review Due","Current")))</f>
        <v/>
      </c>
      <c r="P989" s="84">
        <f>IF(A989="","",IF(COUNTIFS('AFA Rates'!$A$5:$A$1004,A989,'AFA Rates'!$O$5:$O$1004,"&lt;&gt;Expired")&gt;0,"Yes",IF(COUNTIF('AFA Rates'!$A$5:$A$1004,A989)&gt;0,"Expired only","No")))</f>
        <v/>
      </c>
      <c r="Q989" s="84">
        <f>IF(A989="","",COUNTIFS('AFA Rates'!$A$5:$A$1004,A989,'AFA Rates'!$O$5:$O$1004,"&lt;&gt;Expired"))</f>
        <v/>
      </c>
      <c r="R989" s="66" t="n"/>
      <c r="S989" s="64" t="n"/>
      <c r="T989" s="64" t="n"/>
      <c r="U989">
        <f>IF(AND(A989&lt;&gt;"",B989="Paused"),COUNTIFS($A$5:A989,"&lt;&gt;",$B$5:B989,"Paused"),"")</f>
        <v/>
      </c>
      <c r="V989">
        <f>IF(P989="Yes",COUNTIF($P$5:P989,"Yes"),"")</f>
        <v/>
      </c>
      <c r="W989">
        <f>IF(A989="","",COUNTIF($A$5:$A$1004,"&lt;"&amp;A989)+COUNTIF($A$5:A989,A989))</f>
        <v/>
      </c>
      <c r="X989">
        <f>","&amp;SUBSTITUTE(SUBSTITUTE(SUBSTITUTE(UPPER(C989)," ",""),";",","),"/",",")&amp;","</f>
        <v/>
      </c>
      <c r="Y989">
        <f>IF(AND(A989&lt;&gt;"",B989="Active",'State Search'!$C$5&lt;&gt;"",OR(X989=",ALL,",ISNUMBER(SEARCH(","&amp;'State Search'!$C$5&amp;",",X989)))),W989,"")</f>
        <v/>
      </c>
    </row>
    <row r="990">
      <c r="A990" s="64" t="n"/>
      <c r="B990" s="65" t="n"/>
      <c r="C990" s="64" t="n"/>
      <c r="D990" s="66" t="n"/>
      <c r="E990" s="66" t="n"/>
      <c r="F990" s="67" t="n"/>
      <c r="G990" s="67" t="n"/>
      <c r="H990" s="67" t="n"/>
      <c r="I990" s="67" t="n"/>
      <c r="J990" s="67" t="n"/>
      <c r="K990" s="67" t="n"/>
      <c r="L990" s="67" t="n"/>
      <c r="M990" s="67" t="n"/>
      <c r="N990" s="65" t="n"/>
      <c r="O990" s="84">
        <f>IF(A990="","",IF(E990="","No date",IF(TODAY()&gt;=EDATE(E990,Review_Months),"Review Due","Current")))</f>
        <v/>
      </c>
      <c r="P990" s="84">
        <f>IF(A990="","",IF(COUNTIFS('AFA Rates'!$A$5:$A$1004,A990,'AFA Rates'!$O$5:$O$1004,"&lt;&gt;Expired")&gt;0,"Yes",IF(COUNTIF('AFA Rates'!$A$5:$A$1004,A990)&gt;0,"Expired only","No")))</f>
        <v/>
      </c>
      <c r="Q990" s="84">
        <f>IF(A990="","",COUNTIFS('AFA Rates'!$A$5:$A$1004,A990,'AFA Rates'!$O$5:$O$1004,"&lt;&gt;Expired"))</f>
        <v/>
      </c>
      <c r="R990" s="66" t="n"/>
      <c r="S990" s="64" t="n"/>
      <c r="T990" s="64" t="n"/>
      <c r="U990">
        <f>IF(AND(A990&lt;&gt;"",B990="Paused"),COUNTIFS($A$5:A990,"&lt;&gt;",$B$5:B990,"Paused"),"")</f>
        <v/>
      </c>
      <c r="V990">
        <f>IF(P990="Yes",COUNTIF($P$5:P990,"Yes"),"")</f>
        <v/>
      </c>
      <c r="W990">
        <f>IF(A990="","",COUNTIF($A$5:$A$1004,"&lt;"&amp;A990)+COUNTIF($A$5:A990,A990))</f>
        <v/>
      </c>
      <c r="X990">
        <f>","&amp;SUBSTITUTE(SUBSTITUTE(SUBSTITUTE(UPPER(C990)," ",""),";",","),"/",",")&amp;","</f>
        <v/>
      </c>
      <c r="Y990">
        <f>IF(AND(A990&lt;&gt;"",B990="Active",'State Search'!$C$5&lt;&gt;"",OR(X990=",ALL,",ISNUMBER(SEARCH(","&amp;'State Search'!$C$5&amp;",",X990)))),W990,"")</f>
        <v/>
      </c>
    </row>
    <row r="991">
      <c r="A991" s="64" t="n"/>
      <c r="B991" s="65" t="n"/>
      <c r="C991" s="64" t="n"/>
      <c r="D991" s="66" t="n"/>
      <c r="E991" s="66" t="n"/>
      <c r="F991" s="67" t="n"/>
      <c r="G991" s="67" t="n"/>
      <c r="H991" s="67" t="n"/>
      <c r="I991" s="67" t="n"/>
      <c r="J991" s="67" t="n"/>
      <c r="K991" s="67" t="n"/>
      <c r="L991" s="67" t="n"/>
      <c r="M991" s="67" t="n"/>
      <c r="N991" s="65" t="n"/>
      <c r="O991" s="84">
        <f>IF(A991="","",IF(E991="","No date",IF(TODAY()&gt;=EDATE(E991,Review_Months),"Review Due","Current")))</f>
        <v/>
      </c>
      <c r="P991" s="84">
        <f>IF(A991="","",IF(COUNTIFS('AFA Rates'!$A$5:$A$1004,A991,'AFA Rates'!$O$5:$O$1004,"&lt;&gt;Expired")&gt;0,"Yes",IF(COUNTIF('AFA Rates'!$A$5:$A$1004,A991)&gt;0,"Expired only","No")))</f>
        <v/>
      </c>
      <c r="Q991" s="84">
        <f>IF(A991="","",COUNTIFS('AFA Rates'!$A$5:$A$1004,A991,'AFA Rates'!$O$5:$O$1004,"&lt;&gt;Expired"))</f>
        <v/>
      </c>
      <c r="R991" s="66" t="n"/>
      <c r="S991" s="64" t="n"/>
      <c r="T991" s="64" t="n"/>
      <c r="U991">
        <f>IF(AND(A991&lt;&gt;"",B991="Paused"),COUNTIFS($A$5:A991,"&lt;&gt;",$B$5:B991,"Paused"),"")</f>
        <v/>
      </c>
      <c r="V991">
        <f>IF(P991="Yes",COUNTIF($P$5:P991,"Yes"),"")</f>
        <v/>
      </c>
      <c r="W991">
        <f>IF(A991="","",COUNTIF($A$5:$A$1004,"&lt;"&amp;A991)+COUNTIF($A$5:A991,A991))</f>
        <v/>
      </c>
      <c r="X991">
        <f>","&amp;SUBSTITUTE(SUBSTITUTE(SUBSTITUTE(UPPER(C991)," ",""),";",","),"/",",")&amp;","</f>
        <v/>
      </c>
      <c r="Y991">
        <f>IF(AND(A991&lt;&gt;"",B991="Active",'State Search'!$C$5&lt;&gt;"",OR(X991=",ALL,",ISNUMBER(SEARCH(","&amp;'State Search'!$C$5&amp;",",X991)))),W991,"")</f>
        <v/>
      </c>
    </row>
    <row r="992">
      <c r="A992" s="64" t="n"/>
      <c r="B992" s="65" t="n"/>
      <c r="C992" s="64" t="n"/>
      <c r="D992" s="66" t="n"/>
      <c r="E992" s="66" t="n"/>
      <c r="F992" s="67" t="n"/>
      <c r="G992" s="67" t="n"/>
      <c r="H992" s="67" t="n"/>
      <c r="I992" s="67" t="n"/>
      <c r="J992" s="67" t="n"/>
      <c r="K992" s="67" t="n"/>
      <c r="L992" s="67" t="n"/>
      <c r="M992" s="67" t="n"/>
      <c r="N992" s="65" t="n"/>
      <c r="O992" s="84">
        <f>IF(A992="","",IF(E992="","No date",IF(TODAY()&gt;=EDATE(E992,Review_Months),"Review Due","Current")))</f>
        <v/>
      </c>
      <c r="P992" s="84">
        <f>IF(A992="","",IF(COUNTIFS('AFA Rates'!$A$5:$A$1004,A992,'AFA Rates'!$O$5:$O$1004,"&lt;&gt;Expired")&gt;0,"Yes",IF(COUNTIF('AFA Rates'!$A$5:$A$1004,A992)&gt;0,"Expired only","No")))</f>
        <v/>
      </c>
      <c r="Q992" s="84">
        <f>IF(A992="","",COUNTIFS('AFA Rates'!$A$5:$A$1004,A992,'AFA Rates'!$O$5:$O$1004,"&lt;&gt;Expired"))</f>
        <v/>
      </c>
      <c r="R992" s="66" t="n"/>
      <c r="S992" s="64" t="n"/>
      <c r="T992" s="64" t="n"/>
      <c r="U992">
        <f>IF(AND(A992&lt;&gt;"",B992="Paused"),COUNTIFS($A$5:A992,"&lt;&gt;",$B$5:B992,"Paused"),"")</f>
        <v/>
      </c>
      <c r="V992">
        <f>IF(P992="Yes",COUNTIF($P$5:P992,"Yes"),"")</f>
        <v/>
      </c>
      <c r="W992">
        <f>IF(A992="","",COUNTIF($A$5:$A$1004,"&lt;"&amp;A992)+COUNTIF($A$5:A992,A992))</f>
        <v/>
      </c>
      <c r="X992">
        <f>","&amp;SUBSTITUTE(SUBSTITUTE(SUBSTITUTE(UPPER(C992)," ",""),";",","),"/",",")&amp;","</f>
        <v/>
      </c>
      <c r="Y992">
        <f>IF(AND(A992&lt;&gt;"",B992="Active",'State Search'!$C$5&lt;&gt;"",OR(X992=",ALL,",ISNUMBER(SEARCH(","&amp;'State Search'!$C$5&amp;",",X992)))),W992,"")</f>
        <v/>
      </c>
    </row>
    <row r="993">
      <c r="A993" s="64" t="n"/>
      <c r="B993" s="65" t="n"/>
      <c r="C993" s="64" t="n"/>
      <c r="D993" s="66" t="n"/>
      <c r="E993" s="66" t="n"/>
      <c r="F993" s="67" t="n"/>
      <c r="G993" s="67" t="n"/>
      <c r="H993" s="67" t="n"/>
      <c r="I993" s="67" t="n"/>
      <c r="J993" s="67" t="n"/>
      <c r="K993" s="67" t="n"/>
      <c r="L993" s="67" t="n"/>
      <c r="M993" s="67" t="n"/>
      <c r="N993" s="65" t="n"/>
      <c r="O993" s="84">
        <f>IF(A993="","",IF(E993="","No date",IF(TODAY()&gt;=EDATE(E993,Review_Months),"Review Due","Current")))</f>
        <v/>
      </c>
      <c r="P993" s="84">
        <f>IF(A993="","",IF(COUNTIFS('AFA Rates'!$A$5:$A$1004,A993,'AFA Rates'!$O$5:$O$1004,"&lt;&gt;Expired")&gt;0,"Yes",IF(COUNTIF('AFA Rates'!$A$5:$A$1004,A993)&gt;0,"Expired only","No")))</f>
        <v/>
      </c>
      <c r="Q993" s="84">
        <f>IF(A993="","",COUNTIFS('AFA Rates'!$A$5:$A$1004,A993,'AFA Rates'!$O$5:$O$1004,"&lt;&gt;Expired"))</f>
        <v/>
      </c>
      <c r="R993" s="66" t="n"/>
      <c r="S993" s="64" t="n"/>
      <c r="T993" s="64" t="n"/>
      <c r="U993">
        <f>IF(AND(A993&lt;&gt;"",B993="Paused"),COUNTIFS($A$5:A993,"&lt;&gt;",$B$5:B993,"Paused"),"")</f>
        <v/>
      </c>
      <c r="V993">
        <f>IF(P993="Yes",COUNTIF($P$5:P993,"Yes"),"")</f>
        <v/>
      </c>
      <c r="W993">
        <f>IF(A993="","",COUNTIF($A$5:$A$1004,"&lt;"&amp;A993)+COUNTIF($A$5:A993,A993))</f>
        <v/>
      </c>
      <c r="X993">
        <f>","&amp;SUBSTITUTE(SUBSTITUTE(SUBSTITUTE(UPPER(C993)," ",""),";",","),"/",",")&amp;","</f>
        <v/>
      </c>
      <c r="Y993">
        <f>IF(AND(A993&lt;&gt;"",B993="Active",'State Search'!$C$5&lt;&gt;"",OR(X993=",ALL,",ISNUMBER(SEARCH(","&amp;'State Search'!$C$5&amp;",",X993)))),W993,"")</f>
        <v/>
      </c>
    </row>
    <row r="994">
      <c r="A994" s="64" t="n"/>
      <c r="B994" s="65" t="n"/>
      <c r="C994" s="64" t="n"/>
      <c r="D994" s="66" t="n"/>
      <c r="E994" s="66" t="n"/>
      <c r="F994" s="67" t="n"/>
      <c r="G994" s="67" t="n"/>
      <c r="H994" s="67" t="n"/>
      <c r="I994" s="67" t="n"/>
      <c r="J994" s="67" t="n"/>
      <c r="K994" s="67" t="n"/>
      <c r="L994" s="67" t="n"/>
      <c r="M994" s="67" t="n"/>
      <c r="N994" s="65" t="n"/>
      <c r="O994" s="84">
        <f>IF(A994="","",IF(E994="","No date",IF(TODAY()&gt;=EDATE(E994,Review_Months),"Review Due","Current")))</f>
        <v/>
      </c>
      <c r="P994" s="84">
        <f>IF(A994="","",IF(COUNTIFS('AFA Rates'!$A$5:$A$1004,A994,'AFA Rates'!$O$5:$O$1004,"&lt;&gt;Expired")&gt;0,"Yes",IF(COUNTIF('AFA Rates'!$A$5:$A$1004,A994)&gt;0,"Expired only","No")))</f>
        <v/>
      </c>
      <c r="Q994" s="84">
        <f>IF(A994="","",COUNTIFS('AFA Rates'!$A$5:$A$1004,A994,'AFA Rates'!$O$5:$O$1004,"&lt;&gt;Expired"))</f>
        <v/>
      </c>
      <c r="R994" s="66" t="n"/>
      <c r="S994" s="64" t="n"/>
      <c r="T994" s="64" t="n"/>
      <c r="U994">
        <f>IF(AND(A994&lt;&gt;"",B994="Paused"),COUNTIFS($A$5:A994,"&lt;&gt;",$B$5:B994,"Paused"),"")</f>
        <v/>
      </c>
      <c r="V994">
        <f>IF(P994="Yes",COUNTIF($P$5:P994,"Yes"),"")</f>
        <v/>
      </c>
      <c r="W994">
        <f>IF(A994="","",COUNTIF($A$5:$A$1004,"&lt;"&amp;A994)+COUNTIF($A$5:A994,A994))</f>
        <v/>
      </c>
      <c r="X994">
        <f>","&amp;SUBSTITUTE(SUBSTITUTE(SUBSTITUTE(UPPER(C994)," ",""),";",","),"/",",")&amp;","</f>
        <v/>
      </c>
      <c r="Y994">
        <f>IF(AND(A994&lt;&gt;"",B994="Active",'State Search'!$C$5&lt;&gt;"",OR(X994=",ALL,",ISNUMBER(SEARCH(","&amp;'State Search'!$C$5&amp;",",X994)))),W994,"")</f>
        <v/>
      </c>
    </row>
    <row r="995">
      <c r="A995" s="64" t="n"/>
      <c r="B995" s="65" t="n"/>
      <c r="C995" s="64" t="n"/>
      <c r="D995" s="66" t="n"/>
      <c r="E995" s="66" t="n"/>
      <c r="F995" s="67" t="n"/>
      <c r="G995" s="67" t="n"/>
      <c r="H995" s="67" t="n"/>
      <c r="I995" s="67" t="n"/>
      <c r="J995" s="67" t="n"/>
      <c r="K995" s="67" t="n"/>
      <c r="L995" s="67" t="n"/>
      <c r="M995" s="67" t="n"/>
      <c r="N995" s="65" t="n"/>
      <c r="O995" s="84">
        <f>IF(A995="","",IF(E995="","No date",IF(TODAY()&gt;=EDATE(E995,Review_Months),"Review Due","Current")))</f>
        <v/>
      </c>
      <c r="P995" s="84">
        <f>IF(A995="","",IF(COUNTIFS('AFA Rates'!$A$5:$A$1004,A995,'AFA Rates'!$O$5:$O$1004,"&lt;&gt;Expired")&gt;0,"Yes",IF(COUNTIF('AFA Rates'!$A$5:$A$1004,A995)&gt;0,"Expired only","No")))</f>
        <v/>
      </c>
      <c r="Q995" s="84">
        <f>IF(A995="","",COUNTIFS('AFA Rates'!$A$5:$A$1004,A995,'AFA Rates'!$O$5:$O$1004,"&lt;&gt;Expired"))</f>
        <v/>
      </c>
      <c r="R995" s="66" t="n"/>
      <c r="S995" s="64" t="n"/>
      <c r="T995" s="64" t="n"/>
      <c r="U995">
        <f>IF(AND(A995&lt;&gt;"",B995="Paused"),COUNTIFS($A$5:A995,"&lt;&gt;",$B$5:B995,"Paused"),"")</f>
        <v/>
      </c>
      <c r="V995">
        <f>IF(P995="Yes",COUNTIF($P$5:P995,"Yes"),"")</f>
        <v/>
      </c>
      <c r="W995">
        <f>IF(A995="","",COUNTIF($A$5:$A$1004,"&lt;"&amp;A995)+COUNTIF($A$5:A995,A995))</f>
        <v/>
      </c>
      <c r="X995">
        <f>","&amp;SUBSTITUTE(SUBSTITUTE(SUBSTITUTE(UPPER(C995)," ",""),";",","),"/",",")&amp;","</f>
        <v/>
      </c>
      <c r="Y995">
        <f>IF(AND(A995&lt;&gt;"",B995="Active",'State Search'!$C$5&lt;&gt;"",OR(X995=",ALL,",ISNUMBER(SEARCH(","&amp;'State Search'!$C$5&amp;",",X995)))),W995,"")</f>
        <v/>
      </c>
    </row>
    <row r="996">
      <c r="A996" s="64" t="n"/>
      <c r="B996" s="65" t="n"/>
      <c r="C996" s="64" t="n"/>
      <c r="D996" s="66" t="n"/>
      <c r="E996" s="66" t="n"/>
      <c r="F996" s="67" t="n"/>
      <c r="G996" s="67" t="n"/>
      <c r="H996" s="67" t="n"/>
      <c r="I996" s="67" t="n"/>
      <c r="J996" s="67" t="n"/>
      <c r="K996" s="67" t="n"/>
      <c r="L996" s="67" t="n"/>
      <c r="M996" s="67" t="n"/>
      <c r="N996" s="65" t="n"/>
      <c r="O996" s="84">
        <f>IF(A996="","",IF(E996="","No date",IF(TODAY()&gt;=EDATE(E996,Review_Months),"Review Due","Current")))</f>
        <v/>
      </c>
      <c r="P996" s="84">
        <f>IF(A996="","",IF(COUNTIFS('AFA Rates'!$A$5:$A$1004,A996,'AFA Rates'!$O$5:$O$1004,"&lt;&gt;Expired")&gt;0,"Yes",IF(COUNTIF('AFA Rates'!$A$5:$A$1004,A996)&gt;0,"Expired only","No")))</f>
        <v/>
      </c>
      <c r="Q996" s="84">
        <f>IF(A996="","",COUNTIFS('AFA Rates'!$A$5:$A$1004,A996,'AFA Rates'!$O$5:$O$1004,"&lt;&gt;Expired"))</f>
        <v/>
      </c>
      <c r="R996" s="66" t="n"/>
      <c r="S996" s="64" t="n"/>
      <c r="T996" s="64" t="n"/>
      <c r="U996">
        <f>IF(AND(A996&lt;&gt;"",B996="Paused"),COUNTIFS($A$5:A996,"&lt;&gt;",$B$5:B996,"Paused"),"")</f>
        <v/>
      </c>
      <c r="V996">
        <f>IF(P996="Yes",COUNTIF($P$5:P996,"Yes"),"")</f>
        <v/>
      </c>
      <c r="W996">
        <f>IF(A996="","",COUNTIF($A$5:$A$1004,"&lt;"&amp;A996)+COUNTIF($A$5:A996,A996))</f>
        <v/>
      </c>
      <c r="X996">
        <f>","&amp;SUBSTITUTE(SUBSTITUTE(SUBSTITUTE(UPPER(C996)," ",""),";",","),"/",",")&amp;","</f>
        <v/>
      </c>
      <c r="Y996">
        <f>IF(AND(A996&lt;&gt;"",B996="Active",'State Search'!$C$5&lt;&gt;"",OR(X996=",ALL,",ISNUMBER(SEARCH(","&amp;'State Search'!$C$5&amp;",",X996)))),W996,"")</f>
        <v/>
      </c>
    </row>
    <row r="997">
      <c r="A997" s="64" t="n"/>
      <c r="B997" s="65" t="n"/>
      <c r="C997" s="64" t="n"/>
      <c r="D997" s="66" t="n"/>
      <c r="E997" s="66" t="n"/>
      <c r="F997" s="67" t="n"/>
      <c r="G997" s="67" t="n"/>
      <c r="H997" s="67" t="n"/>
      <c r="I997" s="67" t="n"/>
      <c r="J997" s="67" t="n"/>
      <c r="K997" s="67" t="n"/>
      <c r="L997" s="67" t="n"/>
      <c r="M997" s="67" t="n"/>
      <c r="N997" s="65" t="n"/>
      <c r="O997" s="84">
        <f>IF(A997="","",IF(E997="","No date",IF(TODAY()&gt;=EDATE(E997,Review_Months),"Review Due","Current")))</f>
        <v/>
      </c>
      <c r="P997" s="84">
        <f>IF(A997="","",IF(COUNTIFS('AFA Rates'!$A$5:$A$1004,A997,'AFA Rates'!$O$5:$O$1004,"&lt;&gt;Expired")&gt;0,"Yes",IF(COUNTIF('AFA Rates'!$A$5:$A$1004,A997)&gt;0,"Expired only","No")))</f>
        <v/>
      </c>
      <c r="Q997" s="84">
        <f>IF(A997="","",COUNTIFS('AFA Rates'!$A$5:$A$1004,A997,'AFA Rates'!$O$5:$O$1004,"&lt;&gt;Expired"))</f>
        <v/>
      </c>
      <c r="R997" s="66" t="n"/>
      <c r="S997" s="64" t="n"/>
      <c r="T997" s="64" t="n"/>
      <c r="U997">
        <f>IF(AND(A997&lt;&gt;"",B997="Paused"),COUNTIFS($A$5:A997,"&lt;&gt;",$B$5:B997,"Paused"),"")</f>
        <v/>
      </c>
      <c r="V997">
        <f>IF(P997="Yes",COUNTIF($P$5:P997,"Yes"),"")</f>
        <v/>
      </c>
      <c r="W997">
        <f>IF(A997="","",COUNTIF($A$5:$A$1004,"&lt;"&amp;A997)+COUNTIF($A$5:A997,A997))</f>
        <v/>
      </c>
      <c r="X997">
        <f>","&amp;SUBSTITUTE(SUBSTITUTE(SUBSTITUTE(UPPER(C997)," ",""),";",","),"/",",")&amp;","</f>
        <v/>
      </c>
      <c r="Y997">
        <f>IF(AND(A997&lt;&gt;"",B997="Active",'State Search'!$C$5&lt;&gt;"",OR(X997=",ALL,",ISNUMBER(SEARCH(","&amp;'State Search'!$C$5&amp;",",X997)))),W997,"")</f>
        <v/>
      </c>
    </row>
    <row r="998">
      <c r="A998" s="64" t="n"/>
      <c r="B998" s="65" t="n"/>
      <c r="C998" s="64" t="n"/>
      <c r="D998" s="66" t="n"/>
      <c r="E998" s="66" t="n"/>
      <c r="F998" s="67" t="n"/>
      <c r="G998" s="67" t="n"/>
      <c r="H998" s="67" t="n"/>
      <c r="I998" s="67" t="n"/>
      <c r="J998" s="67" t="n"/>
      <c r="K998" s="67" t="n"/>
      <c r="L998" s="67" t="n"/>
      <c r="M998" s="67" t="n"/>
      <c r="N998" s="65" t="n"/>
      <c r="O998" s="84">
        <f>IF(A998="","",IF(E998="","No date",IF(TODAY()&gt;=EDATE(E998,Review_Months),"Review Due","Current")))</f>
        <v/>
      </c>
      <c r="P998" s="84">
        <f>IF(A998="","",IF(COUNTIFS('AFA Rates'!$A$5:$A$1004,A998,'AFA Rates'!$O$5:$O$1004,"&lt;&gt;Expired")&gt;0,"Yes",IF(COUNTIF('AFA Rates'!$A$5:$A$1004,A998)&gt;0,"Expired only","No")))</f>
        <v/>
      </c>
      <c r="Q998" s="84">
        <f>IF(A998="","",COUNTIFS('AFA Rates'!$A$5:$A$1004,A998,'AFA Rates'!$O$5:$O$1004,"&lt;&gt;Expired"))</f>
        <v/>
      </c>
      <c r="R998" s="66" t="n"/>
      <c r="S998" s="64" t="n"/>
      <c r="T998" s="64" t="n"/>
      <c r="U998">
        <f>IF(AND(A998&lt;&gt;"",B998="Paused"),COUNTIFS($A$5:A998,"&lt;&gt;",$B$5:B998,"Paused"),"")</f>
        <v/>
      </c>
      <c r="V998">
        <f>IF(P998="Yes",COUNTIF($P$5:P998,"Yes"),"")</f>
        <v/>
      </c>
      <c r="W998">
        <f>IF(A998="","",COUNTIF($A$5:$A$1004,"&lt;"&amp;A998)+COUNTIF($A$5:A998,A998))</f>
        <v/>
      </c>
      <c r="X998">
        <f>","&amp;SUBSTITUTE(SUBSTITUTE(SUBSTITUTE(UPPER(C998)," ",""),";",","),"/",",")&amp;","</f>
        <v/>
      </c>
      <c r="Y998">
        <f>IF(AND(A998&lt;&gt;"",B998="Active",'State Search'!$C$5&lt;&gt;"",OR(X998=",ALL,",ISNUMBER(SEARCH(","&amp;'State Search'!$C$5&amp;",",X998)))),W998,"")</f>
        <v/>
      </c>
    </row>
    <row r="999">
      <c r="A999" s="64" t="n"/>
      <c r="B999" s="65" t="n"/>
      <c r="C999" s="64" t="n"/>
      <c r="D999" s="66" t="n"/>
      <c r="E999" s="66" t="n"/>
      <c r="F999" s="67" t="n"/>
      <c r="G999" s="67" t="n"/>
      <c r="H999" s="67" t="n"/>
      <c r="I999" s="67" t="n"/>
      <c r="J999" s="67" t="n"/>
      <c r="K999" s="67" t="n"/>
      <c r="L999" s="67" t="n"/>
      <c r="M999" s="67" t="n"/>
      <c r="N999" s="65" t="n"/>
      <c r="O999" s="84">
        <f>IF(A999="","",IF(E999="","No date",IF(TODAY()&gt;=EDATE(E999,Review_Months),"Review Due","Current")))</f>
        <v/>
      </c>
      <c r="P999" s="84">
        <f>IF(A999="","",IF(COUNTIFS('AFA Rates'!$A$5:$A$1004,A999,'AFA Rates'!$O$5:$O$1004,"&lt;&gt;Expired")&gt;0,"Yes",IF(COUNTIF('AFA Rates'!$A$5:$A$1004,A999)&gt;0,"Expired only","No")))</f>
        <v/>
      </c>
      <c r="Q999" s="84">
        <f>IF(A999="","",COUNTIFS('AFA Rates'!$A$5:$A$1004,A999,'AFA Rates'!$O$5:$O$1004,"&lt;&gt;Expired"))</f>
        <v/>
      </c>
      <c r="R999" s="66" t="n"/>
      <c r="S999" s="64" t="n"/>
      <c r="T999" s="64" t="n"/>
      <c r="U999">
        <f>IF(AND(A999&lt;&gt;"",B999="Paused"),COUNTIFS($A$5:A999,"&lt;&gt;",$B$5:B999,"Paused"),"")</f>
        <v/>
      </c>
      <c r="V999">
        <f>IF(P999="Yes",COUNTIF($P$5:P999,"Yes"),"")</f>
        <v/>
      </c>
      <c r="W999">
        <f>IF(A999="","",COUNTIF($A$5:$A$1004,"&lt;"&amp;A999)+COUNTIF($A$5:A999,A999))</f>
        <v/>
      </c>
      <c r="X999">
        <f>","&amp;SUBSTITUTE(SUBSTITUTE(SUBSTITUTE(UPPER(C999)," ",""),";",","),"/",",")&amp;","</f>
        <v/>
      </c>
      <c r="Y999">
        <f>IF(AND(A999&lt;&gt;"",B999="Active",'State Search'!$C$5&lt;&gt;"",OR(X999=",ALL,",ISNUMBER(SEARCH(","&amp;'State Search'!$C$5&amp;",",X999)))),W999,"")</f>
        <v/>
      </c>
    </row>
    <row r="1000">
      <c r="A1000" s="64" t="n"/>
      <c r="B1000" s="65" t="n"/>
      <c r="C1000" s="64" t="n"/>
      <c r="D1000" s="66" t="n"/>
      <c r="E1000" s="66" t="n"/>
      <c r="F1000" s="67" t="n"/>
      <c r="G1000" s="67" t="n"/>
      <c r="H1000" s="67" t="n"/>
      <c r="I1000" s="67" t="n"/>
      <c r="J1000" s="67" t="n"/>
      <c r="K1000" s="67" t="n"/>
      <c r="L1000" s="67" t="n"/>
      <c r="M1000" s="67" t="n"/>
      <c r="N1000" s="65" t="n"/>
      <c r="O1000" s="84">
        <f>IF(A1000="","",IF(E1000="","No date",IF(TODAY()&gt;=EDATE(E1000,Review_Months),"Review Due","Current")))</f>
        <v/>
      </c>
      <c r="P1000" s="84">
        <f>IF(A1000="","",IF(COUNTIFS('AFA Rates'!$A$5:$A$1004,A1000,'AFA Rates'!$O$5:$O$1004,"&lt;&gt;Expired")&gt;0,"Yes",IF(COUNTIF('AFA Rates'!$A$5:$A$1004,A1000)&gt;0,"Expired only","No")))</f>
        <v/>
      </c>
      <c r="Q1000" s="84">
        <f>IF(A1000="","",COUNTIFS('AFA Rates'!$A$5:$A$1004,A1000,'AFA Rates'!$O$5:$O$1004,"&lt;&gt;Expired"))</f>
        <v/>
      </c>
      <c r="R1000" s="66" t="n"/>
      <c r="S1000" s="64" t="n"/>
      <c r="T1000" s="64" t="n"/>
      <c r="U1000">
        <f>IF(AND(A1000&lt;&gt;"",B1000="Paused"),COUNTIFS($A$5:A1000,"&lt;&gt;",$B$5:B1000,"Paused"),"")</f>
        <v/>
      </c>
      <c r="V1000">
        <f>IF(P1000="Yes",COUNTIF($P$5:P1000,"Yes"),"")</f>
        <v/>
      </c>
      <c r="W1000">
        <f>IF(A1000="","",COUNTIF($A$5:$A$1004,"&lt;"&amp;A1000)+COUNTIF($A$5:A1000,A1000))</f>
        <v/>
      </c>
      <c r="X1000">
        <f>","&amp;SUBSTITUTE(SUBSTITUTE(SUBSTITUTE(UPPER(C1000)," ",""),";",","),"/",",")&amp;","</f>
        <v/>
      </c>
      <c r="Y1000">
        <f>IF(AND(A1000&lt;&gt;"",B1000="Active",'State Search'!$C$5&lt;&gt;"",OR(X1000=",ALL,",ISNUMBER(SEARCH(","&amp;'State Search'!$C$5&amp;",",X1000)))),W1000,"")</f>
        <v/>
      </c>
    </row>
    <row r="1001">
      <c r="A1001" s="64" t="n"/>
      <c r="B1001" s="65" t="n"/>
      <c r="C1001" s="64" t="n"/>
      <c r="D1001" s="66" t="n"/>
      <c r="E1001" s="66" t="n"/>
      <c r="F1001" s="67" t="n"/>
      <c r="G1001" s="67" t="n"/>
      <c r="H1001" s="67" t="n"/>
      <c r="I1001" s="67" t="n"/>
      <c r="J1001" s="67" t="n"/>
      <c r="K1001" s="67" t="n"/>
      <c r="L1001" s="67" t="n"/>
      <c r="M1001" s="67" t="n"/>
      <c r="N1001" s="65" t="n"/>
      <c r="O1001" s="84">
        <f>IF(A1001="","",IF(E1001="","No date",IF(TODAY()&gt;=EDATE(E1001,Review_Months),"Review Due","Current")))</f>
        <v/>
      </c>
      <c r="P1001" s="84">
        <f>IF(A1001="","",IF(COUNTIFS('AFA Rates'!$A$5:$A$1004,A1001,'AFA Rates'!$O$5:$O$1004,"&lt;&gt;Expired")&gt;0,"Yes",IF(COUNTIF('AFA Rates'!$A$5:$A$1004,A1001)&gt;0,"Expired only","No")))</f>
        <v/>
      </c>
      <c r="Q1001" s="84">
        <f>IF(A1001="","",COUNTIFS('AFA Rates'!$A$5:$A$1004,A1001,'AFA Rates'!$O$5:$O$1004,"&lt;&gt;Expired"))</f>
        <v/>
      </c>
      <c r="R1001" s="66" t="n"/>
      <c r="S1001" s="64" t="n"/>
      <c r="T1001" s="64" t="n"/>
      <c r="U1001">
        <f>IF(AND(A1001&lt;&gt;"",B1001="Paused"),COUNTIFS($A$5:A1001,"&lt;&gt;",$B$5:B1001,"Paused"),"")</f>
        <v/>
      </c>
      <c r="V1001">
        <f>IF(P1001="Yes",COUNTIF($P$5:P1001,"Yes"),"")</f>
        <v/>
      </c>
      <c r="W1001">
        <f>IF(A1001="","",COUNTIF($A$5:$A$1004,"&lt;"&amp;A1001)+COUNTIF($A$5:A1001,A1001))</f>
        <v/>
      </c>
      <c r="X1001">
        <f>","&amp;SUBSTITUTE(SUBSTITUTE(SUBSTITUTE(UPPER(C1001)," ",""),";",","),"/",",")&amp;","</f>
        <v/>
      </c>
      <c r="Y1001">
        <f>IF(AND(A1001&lt;&gt;"",B1001="Active",'State Search'!$C$5&lt;&gt;"",OR(X1001=",ALL,",ISNUMBER(SEARCH(","&amp;'State Search'!$C$5&amp;",",X1001)))),W1001,"")</f>
        <v/>
      </c>
    </row>
    <row r="1002">
      <c r="A1002" s="64" t="n"/>
      <c r="B1002" s="65" t="n"/>
      <c r="C1002" s="64" t="n"/>
      <c r="D1002" s="66" t="n"/>
      <c r="E1002" s="66" t="n"/>
      <c r="F1002" s="67" t="n"/>
      <c r="G1002" s="67" t="n"/>
      <c r="H1002" s="67" t="n"/>
      <c r="I1002" s="67" t="n"/>
      <c r="J1002" s="67" t="n"/>
      <c r="K1002" s="67" t="n"/>
      <c r="L1002" s="67" t="n"/>
      <c r="M1002" s="67" t="n"/>
      <c r="N1002" s="65" t="n"/>
      <c r="O1002" s="84">
        <f>IF(A1002="","",IF(E1002="","No date",IF(TODAY()&gt;=EDATE(E1002,Review_Months),"Review Due","Current")))</f>
        <v/>
      </c>
      <c r="P1002" s="84">
        <f>IF(A1002="","",IF(COUNTIFS('AFA Rates'!$A$5:$A$1004,A1002,'AFA Rates'!$O$5:$O$1004,"&lt;&gt;Expired")&gt;0,"Yes",IF(COUNTIF('AFA Rates'!$A$5:$A$1004,A1002)&gt;0,"Expired only","No")))</f>
        <v/>
      </c>
      <c r="Q1002" s="84">
        <f>IF(A1002="","",COUNTIFS('AFA Rates'!$A$5:$A$1004,A1002,'AFA Rates'!$O$5:$O$1004,"&lt;&gt;Expired"))</f>
        <v/>
      </c>
      <c r="R1002" s="66" t="n"/>
      <c r="S1002" s="64" t="n"/>
      <c r="T1002" s="64" t="n"/>
      <c r="U1002">
        <f>IF(AND(A1002&lt;&gt;"",B1002="Paused"),COUNTIFS($A$5:A1002,"&lt;&gt;",$B$5:B1002,"Paused"),"")</f>
        <v/>
      </c>
      <c r="V1002">
        <f>IF(P1002="Yes",COUNTIF($P$5:P1002,"Yes"),"")</f>
        <v/>
      </c>
      <c r="W1002">
        <f>IF(A1002="","",COUNTIF($A$5:$A$1004,"&lt;"&amp;A1002)+COUNTIF($A$5:A1002,A1002))</f>
        <v/>
      </c>
      <c r="X1002">
        <f>","&amp;SUBSTITUTE(SUBSTITUTE(SUBSTITUTE(UPPER(C1002)," ",""),";",","),"/",",")&amp;","</f>
        <v/>
      </c>
      <c r="Y1002">
        <f>IF(AND(A1002&lt;&gt;"",B1002="Active",'State Search'!$C$5&lt;&gt;"",OR(X1002=",ALL,",ISNUMBER(SEARCH(","&amp;'State Search'!$C$5&amp;",",X1002)))),W1002,"")</f>
        <v/>
      </c>
    </row>
    <row r="1003">
      <c r="A1003" s="64" t="n"/>
      <c r="B1003" s="65" t="n"/>
      <c r="C1003" s="64" t="n"/>
      <c r="D1003" s="66" t="n"/>
      <c r="E1003" s="66" t="n"/>
      <c r="F1003" s="67" t="n"/>
      <c r="G1003" s="67" t="n"/>
      <c r="H1003" s="67" t="n"/>
      <c r="I1003" s="67" t="n"/>
      <c r="J1003" s="67" t="n"/>
      <c r="K1003" s="67" t="n"/>
      <c r="L1003" s="67" t="n"/>
      <c r="M1003" s="67" t="n"/>
      <c r="N1003" s="65" t="n"/>
      <c r="O1003" s="84">
        <f>IF(A1003="","",IF(E1003="","No date",IF(TODAY()&gt;=EDATE(E1003,Review_Months),"Review Due","Current")))</f>
        <v/>
      </c>
      <c r="P1003" s="84">
        <f>IF(A1003="","",IF(COUNTIFS('AFA Rates'!$A$5:$A$1004,A1003,'AFA Rates'!$O$5:$O$1004,"&lt;&gt;Expired")&gt;0,"Yes",IF(COUNTIF('AFA Rates'!$A$5:$A$1004,A1003)&gt;0,"Expired only","No")))</f>
        <v/>
      </c>
      <c r="Q1003" s="84">
        <f>IF(A1003="","",COUNTIFS('AFA Rates'!$A$5:$A$1004,A1003,'AFA Rates'!$O$5:$O$1004,"&lt;&gt;Expired"))</f>
        <v/>
      </c>
      <c r="R1003" s="66" t="n"/>
      <c r="S1003" s="64" t="n"/>
      <c r="T1003" s="64" t="n"/>
      <c r="U1003">
        <f>IF(AND(A1003&lt;&gt;"",B1003="Paused"),COUNTIFS($A$5:A1003,"&lt;&gt;",$B$5:B1003,"Paused"),"")</f>
        <v/>
      </c>
      <c r="V1003">
        <f>IF(P1003="Yes",COUNTIF($P$5:P1003,"Yes"),"")</f>
        <v/>
      </c>
      <c r="W1003">
        <f>IF(A1003="","",COUNTIF($A$5:$A$1004,"&lt;"&amp;A1003)+COUNTIF($A$5:A1003,A1003))</f>
        <v/>
      </c>
      <c r="X1003">
        <f>","&amp;SUBSTITUTE(SUBSTITUTE(SUBSTITUTE(UPPER(C1003)," ",""),";",","),"/",",")&amp;","</f>
        <v/>
      </c>
      <c r="Y1003">
        <f>IF(AND(A1003&lt;&gt;"",B1003="Active",'State Search'!$C$5&lt;&gt;"",OR(X1003=",ALL,",ISNUMBER(SEARCH(","&amp;'State Search'!$C$5&amp;",",X1003)))),W1003,"")</f>
        <v/>
      </c>
    </row>
    <row r="1004">
      <c r="A1004" s="64" t="n"/>
      <c r="B1004" s="65" t="n"/>
      <c r="C1004" s="64" t="n"/>
      <c r="D1004" s="66" t="n"/>
      <c r="E1004" s="66" t="n"/>
      <c r="F1004" s="67" t="n"/>
      <c r="G1004" s="67" t="n"/>
      <c r="H1004" s="67" t="n"/>
      <c r="I1004" s="67" t="n"/>
      <c r="J1004" s="67" t="n"/>
      <c r="K1004" s="67" t="n"/>
      <c r="L1004" s="67" t="n"/>
      <c r="M1004" s="67" t="n"/>
      <c r="N1004" s="65" t="n"/>
      <c r="O1004" s="84">
        <f>IF(A1004="","",IF(E1004="","No date",IF(TODAY()&gt;=EDATE(E1004,Review_Months),"Review Due","Current")))</f>
        <v/>
      </c>
      <c r="P1004" s="84">
        <f>IF(A1004="","",IF(COUNTIFS('AFA Rates'!$A$5:$A$1004,A1004,'AFA Rates'!$O$5:$O$1004,"&lt;&gt;Expired")&gt;0,"Yes",IF(COUNTIF('AFA Rates'!$A$5:$A$1004,A1004)&gt;0,"Expired only","No")))</f>
        <v/>
      </c>
      <c r="Q1004" s="84">
        <f>IF(A1004="","",COUNTIFS('AFA Rates'!$A$5:$A$1004,A1004,'AFA Rates'!$O$5:$O$1004,"&lt;&gt;Expired"))</f>
        <v/>
      </c>
      <c r="R1004" s="66" t="n"/>
      <c r="S1004" s="64" t="n"/>
      <c r="T1004" s="64" t="n"/>
      <c r="U1004">
        <f>IF(AND(A1004&lt;&gt;"",B1004="Paused"),COUNTIFS($A$5:A1004,"&lt;&gt;",$B$5:B1004,"Paused"),"")</f>
        <v/>
      </c>
      <c r="V1004">
        <f>IF(P1004="Yes",COUNTIF($P$5:P1004,"Yes"),"")</f>
        <v/>
      </c>
      <c r="W1004">
        <f>IF(A1004="","",COUNTIF($A$5:$A$1004,"&lt;"&amp;A1004)+COUNTIF($A$5:A1004,A1004))</f>
        <v/>
      </c>
      <c r="X1004">
        <f>","&amp;SUBSTITUTE(SUBSTITUTE(SUBSTITUTE(UPPER(C1004)," ",""),";",","),"/",",")&amp;","</f>
        <v/>
      </c>
      <c r="Y1004">
        <f>IF(AND(A1004&lt;&gt;"",B1004="Active",'State Search'!$C$5&lt;&gt;"",OR(X1004=",ALL,",ISNUMBER(SEARCH(","&amp;'State Search'!$C$5&amp;",",X1004)))),W1004,"")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T1004"/>
  <conditionalFormatting sqref="A5:A1004">
    <cfRule type="expression" priority="1" dxfId="7" stopIfTrue="1">
      <formula>AND(A5&lt;&gt;"",COUNTIF($A$5:$A$1004,A5)&gt;1)</formula>
    </cfRule>
    <cfRule type="expression" priority="2" dxfId="10">
      <formula>$B5="Paused"</formula>
    </cfRule>
  </conditionalFormatting>
  <conditionalFormatting sqref="B5:T1004">
    <cfRule type="expression" priority="3" dxfId="11">
      <formula>$B5="Paused"</formula>
    </cfRule>
  </conditionalFormatting>
  <conditionalFormatting sqref="B5:B1004">
    <cfRule type="cellIs" priority="4" operator="equal" dxfId="1">
      <formula>"Active"</formula>
    </cfRule>
  </conditionalFormatting>
  <conditionalFormatting sqref="O5:O1004">
    <cfRule type="cellIs" priority="5" operator="equal" dxfId="4">
      <formula>"Review Due"</formula>
    </cfRule>
    <cfRule type="cellIs" priority="6" operator="equal" dxfId="12">
      <formula>"No date"</formula>
    </cfRule>
  </conditionalFormatting>
  <conditionalFormatting sqref="P5:P1004">
    <cfRule type="cellIs" priority="7" operator="equal" dxfId="13">
      <formula>"Yes"</formula>
    </cfRule>
  </conditionalFormatting>
  <conditionalFormatting sqref="A5:T1004">
    <cfRule type="expression" priority="8" dxfId="14">
      <formula>AND($A5&lt;&gt;"",MOD(ROW(),2)=0)</formula>
    </cfRule>
  </conditionalFormatting>
  <dataValidations count="4">
    <dataValidation sqref="B5:B1004" showDropDown="0" showInputMessage="0" showErrorMessage="0" allowBlank="1" errorTitle="Status" error="Choose Active or Paused." type="list">
      <formula1>=Status_List</formula1>
    </dataValidation>
    <dataValidation sqref="N5:N1004" showDropDown="0" showInputMessage="0" showErrorMessage="0" allowBlank="1" errorTitle="Cyber Status" error="Pick a value from the list (edit options on the Lists tab)." type="list">
      <formula1>=Cyber_List</formula1>
    </dataValidation>
    <dataValidation sqref="F5:M1004" showDropDown="0" showInputMessage="0" showErrorMessage="0" allowBlank="1" errorTitle="Rate" error="Enter an hourly rate as a number, e.g. 350." type="decimal" operator="greaterThanOrEqual">
      <formula1>0</formula1>
    </dataValidation>
    <dataValidation sqref="D5:E1004 R5:R1004" showDropDown="0" showInputMessage="0" showErrorMessage="0" allowBlank="1" errorTitle="Date" error="Enter a date, e.g. 1/1/2026." type="date" operator="greaterThan">
      <formula1>1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8FD1B0"/>
    <outlinePr summaryBelow="1" summaryRight="1"/>
    <pageSetUpPr fitToPage="1"/>
  </sheetPr>
  <dimension ref="A1:R10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36" customWidth="1" min="13" max="13"/>
    <col width="16" customWidth="1" min="14" max="14"/>
    <col width="16" customWidth="1" min="15" max="15"/>
    <col hidden="1" width="5" customWidth="1" min="16" max="16"/>
    <col hidden="1" width="5" customWidth="1" min="17" max="17"/>
    <col hidden="1" width="5" customWidth="1" min="18" max="18"/>
  </cols>
  <sheetData>
    <row r="1" ht="34" customHeight="1">
      <c r="A1" s="80" t="inlineStr">
        <is>
          <t>AFA Rates — Alternative Fee Arrangements</t>
        </is>
      </c>
    </row>
    <row r="2" ht="22" customHeight="1">
      <c r="A2" s="81" t="inlineStr">
        <is>
          <t>One row per firm per AFA type. Pick the firm and AFA type from the dropdowns, then enter dates and rates. Leave End Date blank if open-ended.</t>
        </is>
      </c>
    </row>
    <row r="3">
      <c r="A3" s="22" t="inlineStr">
        <is>
          <t>A firm can have several rows (one per AFA type). Duplicate firm + type turns red. When an AFA's rates change, copy the old row to Rate History first, then update this row.</t>
        </is>
      </c>
    </row>
    <row r="4" ht="36" customHeight="1">
      <c r="A4" s="82" t="inlineStr">
        <is>
          <t>Firm Name</t>
        </is>
      </c>
      <c r="B4" s="82" t="inlineStr">
        <is>
          <t>AFA Type</t>
        </is>
      </c>
      <c r="C4" s="82" t="inlineStr">
        <is>
          <t>Effective Date</t>
        </is>
      </c>
      <c r="D4" s="82" t="inlineStr">
        <is>
          <t>End Date
(optional)</t>
        </is>
      </c>
      <c r="E4" s="82" t="inlineStr">
        <is>
          <t>Counsel
AFA Rate</t>
        </is>
      </c>
      <c r="F4" s="82" t="inlineStr">
        <is>
          <t>Senior Partner
AFA Rate</t>
        </is>
      </c>
      <c r="G4" s="82" t="inlineStr">
        <is>
          <t>Junior Partner
AFA Rate</t>
        </is>
      </c>
      <c r="H4" s="82" t="inlineStr">
        <is>
          <t>Partner
AFA Rate</t>
        </is>
      </c>
      <c r="I4" s="82" t="inlineStr">
        <is>
          <t>Senior Associate
AFA Rate</t>
        </is>
      </c>
      <c r="J4" s="82" t="inlineStr">
        <is>
          <t>Junior Associate
AFA Rate</t>
        </is>
      </c>
      <c r="K4" s="82" t="inlineStr">
        <is>
          <t>Associate
AFA Rate</t>
        </is>
      </c>
      <c r="L4" s="82" t="inlineStr">
        <is>
          <t>Paralegal
AFA Rate</t>
        </is>
      </c>
      <c r="M4" s="82" t="inlineStr">
        <is>
          <t>Notes</t>
        </is>
      </c>
      <c r="N4" s="83" t="inlineStr">
        <is>
          <t>Firm Status
(auto)</t>
        </is>
      </c>
      <c r="O4" s="83" t="inlineStr">
        <is>
          <t>AFA Status
(auto)</t>
        </is>
      </c>
      <c r="P4" s="83" t="inlineStr">
        <is>
          <t>_key</t>
        </is>
      </c>
      <c r="Q4" s="83" t="inlineStr">
        <is>
          <t>_srch</t>
        </is>
      </c>
      <c r="R4" s="83" t="inlineStr">
        <is>
          <t>_rank</t>
        </is>
      </c>
    </row>
    <row r="5">
      <c r="A5" s="64" t="inlineStr">
        <is>
          <t>Sample: Alder &amp; Pine LLP</t>
        </is>
      </c>
      <c r="B5" s="64" t="inlineStr">
        <is>
          <t>Company Counsel</t>
        </is>
      </c>
      <c r="C5" s="66" t="n">
        <v>46023</v>
      </c>
      <c r="D5" s="66" t="n"/>
      <c r="E5" s="67" t="n">
        <v>425</v>
      </c>
      <c r="F5" s="67" t="n">
        <v>575</v>
      </c>
      <c r="G5" s="67" t="n">
        <v>385</v>
      </c>
      <c r="H5" s="67" t="n">
        <v>475</v>
      </c>
      <c r="I5" s="67" t="n">
        <v>355</v>
      </c>
      <c r="J5" s="67" t="n">
        <v>265</v>
      </c>
      <c r="K5" s="67" t="n">
        <v>310</v>
      </c>
      <c r="L5" s="67" t="n">
        <v>150</v>
      </c>
      <c r="M5" s="64" t="inlineStr">
        <is>
          <t>Monthly reporting included.</t>
        </is>
      </c>
      <c r="N5" s="84">
        <f>IF(A5="","",IFERROR(INDEX(Firms!$B$5:$B$1004,MATCH(A5,Firms!$A$5:$A$1004,0)),"Not on Firms tab"))</f>
        <v/>
      </c>
      <c r="O5" s="84">
        <f>IF(A5="","",IF(AND(D5&lt;&gt;"",D5&lt;TODAY()),"Expired",IF(AND(C5&lt;&gt;"",C5&gt;TODAY()),"Not yet effective",IF(C5="","No date",IF(TODAY()&gt;=EDATE(C5,Review_Months),"Review Due","Current")))))</f>
        <v/>
      </c>
      <c r="P5">
        <f>IF(A5="","",A5&amp;"|"&amp;B5)</f>
        <v/>
      </c>
      <c r="Q5">
        <f>IF(AND(A5&lt;&gt;"",A5='Firm Search'!$C$7),COUNTIF($A$5:A5,'Firm Search'!$C$7),"")</f>
        <v/>
      </c>
      <c r="R5">
        <f>IF(A5="","",COUNTIF($A$5:$A$1004,"&lt;"&amp;A5)+COUNTIF($A$5:A5,A5))</f>
        <v/>
      </c>
    </row>
    <row r="6">
      <c r="A6" s="64" t="inlineStr">
        <is>
          <t>Sample: Brookstone Legal Group</t>
        </is>
      </c>
      <c r="B6" s="64" t="inlineStr">
        <is>
          <t>Commercial Trucking</t>
        </is>
      </c>
      <c r="C6" s="66" t="n">
        <v>46023</v>
      </c>
      <c r="D6" s="66" t="n"/>
      <c r="E6" s="67" t="n">
        <v>375</v>
      </c>
      <c r="F6" s="67" t="n">
        <v>500</v>
      </c>
      <c r="G6" s="67" t="n">
        <v>350</v>
      </c>
      <c r="H6" s="67" t="n">
        <v>440</v>
      </c>
      <c r="I6" s="67" t="n">
        <v>310</v>
      </c>
      <c r="J6" s="67" t="n">
        <v>230</v>
      </c>
      <c r="K6" s="67" t="n">
        <v>275</v>
      </c>
      <c r="L6" s="67" t="n">
        <v>135</v>
      </c>
      <c r="M6" s="64" t="inlineStr">
        <is>
          <t>Includes 24/7 accident response.</t>
        </is>
      </c>
      <c r="N6" s="84">
        <f>IF(A6="","",IFERROR(INDEX(Firms!$B$5:$B$1004,MATCH(A6,Firms!$A$5:$A$1004,0)),"Not on Firms tab"))</f>
        <v/>
      </c>
      <c r="O6" s="84">
        <f>IF(A6="","",IF(AND(D6&lt;&gt;"",D6&lt;TODAY()),"Expired",IF(AND(C6&lt;&gt;"",C6&gt;TODAY()),"Not yet effective",IF(C6="","No date",IF(TODAY()&gt;=EDATE(C6,Review_Months),"Review Due","Current")))))</f>
        <v/>
      </c>
      <c r="P6">
        <f>IF(A6="","",A6&amp;"|"&amp;B6)</f>
        <v/>
      </c>
      <c r="Q6">
        <f>IF(AND(A6&lt;&gt;"",A6='Firm Search'!$C$7),COUNTIF($A$5:A6,'Firm Search'!$C$7),"")</f>
        <v/>
      </c>
      <c r="R6">
        <f>IF(A6="","",COUNTIF($A$5:$A$1004,"&lt;"&amp;A6)+COUNTIF($A$5:A6,A6))</f>
        <v/>
      </c>
    </row>
    <row r="7">
      <c r="A7" s="64" t="inlineStr">
        <is>
          <t>Sample: Brookstone Legal Group</t>
        </is>
      </c>
      <c r="B7" s="64" t="inlineStr">
        <is>
          <t>Bad Faith</t>
        </is>
      </c>
      <c r="C7" s="66" t="n">
        <v>46023</v>
      </c>
      <c r="D7" s="66" t="n"/>
      <c r="E7" s="67" t="n">
        <v>400</v>
      </c>
      <c r="F7" s="67" t="n">
        <v>540</v>
      </c>
      <c r="G7" s="67" t="n">
        <v>370</v>
      </c>
      <c r="H7" s="67" t="n">
        <v>465</v>
      </c>
      <c r="I7" s="67" t="n">
        <v>330</v>
      </c>
      <c r="J7" s="67" t="n">
        <v>245</v>
      </c>
      <c r="K7" s="67" t="n">
        <v>290</v>
      </c>
      <c r="L7" s="67" t="n">
        <v>140</v>
      </c>
      <c r="M7" s="64" t="n"/>
      <c r="N7" s="84">
        <f>IF(A7="","",IFERROR(INDEX(Firms!$B$5:$B$1004,MATCH(A7,Firms!$A$5:$A$1004,0)),"Not on Firms tab"))</f>
        <v/>
      </c>
      <c r="O7" s="84">
        <f>IF(A7="","",IF(AND(D7&lt;&gt;"",D7&lt;TODAY()),"Expired",IF(AND(C7&lt;&gt;"",C7&gt;TODAY()),"Not yet effective",IF(C7="","No date",IF(TODAY()&gt;=EDATE(C7,Review_Months),"Review Due","Current")))))</f>
        <v/>
      </c>
      <c r="P7">
        <f>IF(A7="","",A7&amp;"|"&amp;B7)</f>
        <v/>
      </c>
      <c r="Q7">
        <f>IF(AND(A7&lt;&gt;"",A7='Firm Search'!$C$7),COUNTIF($A$5:A7,'Firm Search'!$C$7),"")</f>
        <v/>
      </c>
      <c r="R7">
        <f>IF(A7="","",COUNTIF($A$5:$A$1004,"&lt;"&amp;A7)+COUNTIF($A$5:A7,A7))</f>
        <v/>
      </c>
    </row>
    <row r="8">
      <c r="A8" s="64" t="inlineStr">
        <is>
          <t>Sample: Cedar Ridge Partners</t>
        </is>
      </c>
      <c r="B8" s="64" t="inlineStr">
        <is>
          <t>Commercial Auto</t>
        </is>
      </c>
      <c r="C8" s="66" t="n">
        <v>45839</v>
      </c>
      <c r="D8" s="66" t="n">
        <v>46203</v>
      </c>
      <c r="E8" s="67" t="n">
        <v>360</v>
      </c>
      <c r="F8" s="67" t="n">
        <v>490</v>
      </c>
      <c r="G8" s="67" t="n">
        <v>340</v>
      </c>
      <c r="H8" s="67" t="n">
        <v>410</v>
      </c>
      <c r="I8" s="67" t="n">
        <v>295</v>
      </c>
      <c r="J8" s="67" t="n">
        <v>220</v>
      </c>
      <c r="K8" s="67" t="n">
        <v>260</v>
      </c>
      <c r="L8" s="67" t="n">
        <v>125</v>
      </c>
      <c r="M8" s="64" t="inlineStr">
        <is>
          <t>Expired example.</t>
        </is>
      </c>
      <c r="N8" s="84">
        <f>IF(A8="","",IFERROR(INDEX(Firms!$B$5:$B$1004,MATCH(A8,Firms!$A$5:$A$1004,0)),"Not on Firms tab"))</f>
        <v/>
      </c>
      <c r="O8" s="84">
        <f>IF(A8="","",IF(AND(D8&lt;&gt;"",D8&lt;TODAY()),"Expired",IF(AND(C8&lt;&gt;"",C8&gt;TODAY()),"Not yet effective",IF(C8="","No date",IF(TODAY()&gt;=EDATE(C8,Review_Months),"Review Due","Current")))))</f>
        <v/>
      </c>
      <c r="P8">
        <f>IF(A8="","",A8&amp;"|"&amp;B8)</f>
        <v/>
      </c>
      <c r="Q8">
        <f>IF(AND(A8&lt;&gt;"",A8='Firm Search'!$C$7),COUNTIF($A$5:A8,'Firm Search'!$C$7),"")</f>
        <v/>
      </c>
      <c r="R8">
        <f>IF(A8="","",COUNTIF($A$5:$A$1004,"&lt;"&amp;A8)+COUNTIF($A$5:A8,A8))</f>
        <v/>
      </c>
    </row>
    <row r="9">
      <c r="A9" s="64" t="inlineStr">
        <is>
          <t>Sample: Dunmore Whitfield PC</t>
        </is>
      </c>
      <c r="B9" s="64" t="inlineStr">
        <is>
          <t>Appellate</t>
        </is>
      </c>
      <c r="C9" s="66" t="n">
        <v>46113</v>
      </c>
      <c r="D9" s="66" t="n"/>
      <c r="E9" s="67" t="n">
        <v>495</v>
      </c>
      <c r="F9" s="67" t="n">
        <v>650</v>
      </c>
      <c r="G9" s="67" t="n">
        <v>450</v>
      </c>
      <c r="H9" s="67" t="n">
        <v>565</v>
      </c>
      <c r="I9" s="67" t="n">
        <v>405</v>
      </c>
      <c r="J9" s="67" t="n">
        <v>295</v>
      </c>
      <c r="K9" s="67" t="n">
        <v>355</v>
      </c>
      <c r="L9" s="67" t="n">
        <v>165</v>
      </c>
      <c r="M9" s="64" t="inlineStr">
        <is>
          <t>Blended cap per appeal.</t>
        </is>
      </c>
      <c r="N9" s="84">
        <f>IF(A9="","",IFERROR(INDEX(Firms!$B$5:$B$1004,MATCH(A9,Firms!$A$5:$A$1004,0)),"Not on Firms tab"))</f>
        <v/>
      </c>
      <c r="O9" s="84">
        <f>IF(A9="","",IF(AND(D9&lt;&gt;"",D9&lt;TODAY()),"Expired",IF(AND(C9&lt;&gt;"",C9&gt;TODAY()),"Not yet effective",IF(C9="","No date",IF(TODAY()&gt;=EDATE(C9,Review_Months),"Review Due","Current")))))</f>
        <v/>
      </c>
      <c r="P9">
        <f>IF(A9="","",A9&amp;"|"&amp;B9)</f>
        <v/>
      </c>
      <c r="Q9">
        <f>IF(AND(A9&lt;&gt;"",A9='Firm Search'!$C$7),COUNTIF($A$5:A9,'Firm Search'!$C$7),"")</f>
        <v/>
      </c>
      <c r="R9">
        <f>IF(A9="","",COUNTIF($A$5:$A$1004,"&lt;"&amp;A9)+COUNTIF($A$5:A9,A9))</f>
        <v/>
      </c>
    </row>
    <row r="10">
      <c r="A10" s="64" t="inlineStr">
        <is>
          <t>Sample: Dunmore Whitfield PC</t>
        </is>
      </c>
      <c r="B10" s="64" t="inlineStr">
        <is>
          <t>Commercial Auto</t>
        </is>
      </c>
      <c r="C10" s="66" t="n">
        <v>46113</v>
      </c>
      <c r="D10" s="66" t="n"/>
      <c r="E10" s="67" t="n">
        <v>480</v>
      </c>
      <c r="F10" s="67" t="n">
        <v>640</v>
      </c>
      <c r="G10" s="67" t="n">
        <v>440</v>
      </c>
      <c r="H10" s="67" t="n">
        <v>550</v>
      </c>
      <c r="I10" s="67" t="n">
        <v>395</v>
      </c>
      <c r="J10" s="67" t="n">
        <v>285</v>
      </c>
      <c r="K10" s="67" t="n">
        <v>345</v>
      </c>
      <c r="L10" s="67" t="n">
        <v>160</v>
      </c>
      <c r="M10" s="64" t="n"/>
      <c r="N10" s="84">
        <f>IF(A10="","",IFERROR(INDEX(Firms!$B$5:$B$1004,MATCH(A10,Firms!$A$5:$A$1004,0)),"Not on Firms tab"))</f>
        <v/>
      </c>
      <c r="O10" s="84">
        <f>IF(A10="","",IF(AND(D10&lt;&gt;"",D10&lt;TODAY()),"Expired",IF(AND(C10&lt;&gt;"",C10&gt;TODAY()),"Not yet effective",IF(C10="","No date",IF(TODAY()&gt;=EDATE(C10,Review_Months),"Review Due","Current")))))</f>
        <v/>
      </c>
      <c r="P10">
        <f>IF(A10="","",A10&amp;"|"&amp;B10)</f>
        <v/>
      </c>
      <c r="Q10">
        <f>IF(AND(A10&lt;&gt;"",A10='Firm Search'!$C$7),COUNTIF($A$5:A10,'Firm Search'!$C$7),"")</f>
        <v/>
      </c>
      <c r="R10">
        <f>IF(A10="","",COUNTIF($A$5:$A$1004,"&lt;"&amp;A10)+COUNTIF($A$5:A10,A10))</f>
        <v/>
      </c>
    </row>
    <row r="11">
      <c r="A11" s="64" t="n"/>
      <c r="B11" s="64" t="n"/>
      <c r="C11" s="66" t="n"/>
      <c r="D11" s="66" t="n"/>
      <c r="E11" s="67" t="n"/>
      <c r="F11" s="67" t="n"/>
      <c r="G11" s="67" t="n"/>
      <c r="H11" s="67" t="n"/>
      <c r="I11" s="67" t="n"/>
      <c r="J11" s="67" t="n"/>
      <c r="K11" s="67" t="n"/>
      <c r="L11" s="67" t="n"/>
      <c r="M11" s="64" t="n"/>
      <c r="N11" s="84">
        <f>IF(A11="","",IFERROR(INDEX(Firms!$B$5:$B$1004,MATCH(A11,Firms!$A$5:$A$1004,0)),"Not on Firms tab"))</f>
        <v/>
      </c>
      <c r="O11" s="84">
        <f>IF(A11="","",IF(AND(D11&lt;&gt;"",D11&lt;TODAY()),"Expired",IF(AND(C11&lt;&gt;"",C11&gt;TODAY()),"Not yet effective",IF(C11="","No date",IF(TODAY()&gt;=EDATE(C11,Review_Months),"Review Due","Current")))))</f>
        <v/>
      </c>
      <c r="P11">
        <f>IF(A11="","",A11&amp;"|"&amp;B11)</f>
        <v/>
      </c>
      <c r="Q11">
        <f>IF(AND(A11&lt;&gt;"",A11='Firm Search'!$C$7),COUNTIF($A$5:A11,'Firm Search'!$C$7),"")</f>
        <v/>
      </c>
      <c r="R11">
        <f>IF(A11="","",COUNTIF($A$5:$A$1004,"&lt;"&amp;A11)+COUNTIF($A$5:A11,A11))</f>
        <v/>
      </c>
    </row>
    <row r="12">
      <c r="A12" s="64" t="n"/>
      <c r="B12" s="64" t="n"/>
      <c r="C12" s="66" t="n"/>
      <c r="D12" s="66" t="n"/>
      <c r="E12" s="67" t="n"/>
      <c r="F12" s="67" t="n"/>
      <c r="G12" s="67" t="n"/>
      <c r="H12" s="67" t="n"/>
      <c r="I12" s="67" t="n"/>
      <c r="J12" s="67" t="n"/>
      <c r="K12" s="67" t="n"/>
      <c r="L12" s="67" t="n"/>
      <c r="M12" s="64" t="n"/>
      <c r="N12" s="84">
        <f>IF(A12="","",IFERROR(INDEX(Firms!$B$5:$B$1004,MATCH(A12,Firms!$A$5:$A$1004,0)),"Not on Firms tab"))</f>
        <v/>
      </c>
      <c r="O12" s="84">
        <f>IF(A12="","",IF(AND(D12&lt;&gt;"",D12&lt;TODAY()),"Expired",IF(AND(C12&lt;&gt;"",C12&gt;TODAY()),"Not yet effective",IF(C12="","No date",IF(TODAY()&gt;=EDATE(C12,Review_Months),"Review Due","Current")))))</f>
        <v/>
      </c>
      <c r="P12">
        <f>IF(A12="","",A12&amp;"|"&amp;B12)</f>
        <v/>
      </c>
      <c r="Q12">
        <f>IF(AND(A12&lt;&gt;"",A12='Firm Search'!$C$7),COUNTIF($A$5:A12,'Firm Search'!$C$7),"")</f>
        <v/>
      </c>
      <c r="R12">
        <f>IF(A12="","",COUNTIF($A$5:$A$1004,"&lt;"&amp;A12)+COUNTIF($A$5:A12,A12))</f>
        <v/>
      </c>
    </row>
    <row r="13">
      <c r="A13" s="64" t="n"/>
      <c r="B13" s="64" t="n"/>
      <c r="C13" s="66" t="n"/>
      <c r="D13" s="66" t="n"/>
      <c r="E13" s="67" t="n"/>
      <c r="F13" s="67" t="n"/>
      <c r="G13" s="67" t="n"/>
      <c r="H13" s="67" t="n"/>
      <c r="I13" s="67" t="n"/>
      <c r="J13" s="67" t="n"/>
      <c r="K13" s="67" t="n"/>
      <c r="L13" s="67" t="n"/>
      <c r="M13" s="64" t="n"/>
      <c r="N13" s="84">
        <f>IF(A13="","",IFERROR(INDEX(Firms!$B$5:$B$1004,MATCH(A13,Firms!$A$5:$A$1004,0)),"Not on Firms tab"))</f>
        <v/>
      </c>
      <c r="O13" s="84">
        <f>IF(A13="","",IF(AND(D13&lt;&gt;"",D13&lt;TODAY()),"Expired",IF(AND(C13&lt;&gt;"",C13&gt;TODAY()),"Not yet effective",IF(C13="","No date",IF(TODAY()&gt;=EDATE(C13,Review_Months),"Review Due","Current")))))</f>
        <v/>
      </c>
      <c r="P13">
        <f>IF(A13="","",A13&amp;"|"&amp;B13)</f>
        <v/>
      </c>
      <c r="Q13">
        <f>IF(AND(A13&lt;&gt;"",A13='Firm Search'!$C$7),COUNTIF($A$5:A13,'Firm Search'!$C$7),"")</f>
        <v/>
      </c>
      <c r="R13">
        <f>IF(A13="","",COUNTIF($A$5:$A$1004,"&lt;"&amp;A13)+COUNTIF($A$5:A13,A13))</f>
        <v/>
      </c>
    </row>
    <row r="14">
      <c r="A14" s="64" t="n"/>
      <c r="B14" s="64" t="n"/>
      <c r="C14" s="66" t="n"/>
      <c r="D14" s="66" t="n"/>
      <c r="E14" s="67" t="n"/>
      <c r="F14" s="67" t="n"/>
      <c r="G14" s="67" t="n"/>
      <c r="H14" s="67" t="n"/>
      <c r="I14" s="67" t="n"/>
      <c r="J14" s="67" t="n"/>
      <c r="K14" s="67" t="n"/>
      <c r="L14" s="67" t="n"/>
      <c r="M14" s="64" t="n"/>
      <c r="N14" s="84">
        <f>IF(A14="","",IFERROR(INDEX(Firms!$B$5:$B$1004,MATCH(A14,Firms!$A$5:$A$1004,0)),"Not on Firms tab"))</f>
        <v/>
      </c>
      <c r="O14" s="84">
        <f>IF(A14="","",IF(AND(D14&lt;&gt;"",D14&lt;TODAY()),"Expired",IF(AND(C14&lt;&gt;"",C14&gt;TODAY()),"Not yet effective",IF(C14="","No date",IF(TODAY()&gt;=EDATE(C14,Review_Months),"Review Due","Current")))))</f>
        <v/>
      </c>
      <c r="P14">
        <f>IF(A14="","",A14&amp;"|"&amp;B14)</f>
        <v/>
      </c>
      <c r="Q14">
        <f>IF(AND(A14&lt;&gt;"",A14='Firm Search'!$C$7),COUNTIF($A$5:A14,'Firm Search'!$C$7),"")</f>
        <v/>
      </c>
      <c r="R14">
        <f>IF(A14="","",COUNTIF($A$5:$A$1004,"&lt;"&amp;A14)+COUNTIF($A$5:A14,A14))</f>
        <v/>
      </c>
    </row>
    <row r="15">
      <c r="A15" s="64" t="n"/>
      <c r="B15" s="64" t="n"/>
      <c r="C15" s="66" t="n"/>
      <c r="D15" s="66" t="n"/>
      <c r="E15" s="67" t="n"/>
      <c r="F15" s="67" t="n"/>
      <c r="G15" s="67" t="n"/>
      <c r="H15" s="67" t="n"/>
      <c r="I15" s="67" t="n"/>
      <c r="J15" s="67" t="n"/>
      <c r="K15" s="67" t="n"/>
      <c r="L15" s="67" t="n"/>
      <c r="M15" s="64" t="n"/>
      <c r="N15" s="84">
        <f>IF(A15="","",IFERROR(INDEX(Firms!$B$5:$B$1004,MATCH(A15,Firms!$A$5:$A$1004,0)),"Not on Firms tab"))</f>
        <v/>
      </c>
      <c r="O15" s="84">
        <f>IF(A15="","",IF(AND(D15&lt;&gt;"",D15&lt;TODAY()),"Expired",IF(AND(C15&lt;&gt;"",C15&gt;TODAY()),"Not yet effective",IF(C15="","No date",IF(TODAY()&gt;=EDATE(C15,Review_Months),"Review Due","Current")))))</f>
        <v/>
      </c>
      <c r="P15">
        <f>IF(A15="","",A15&amp;"|"&amp;B15)</f>
        <v/>
      </c>
      <c r="Q15">
        <f>IF(AND(A15&lt;&gt;"",A15='Firm Search'!$C$7),COUNTIF($A$5:A15,'Firm Search'!$C$7),"")</f>
        <v/>
      </c>
      <c r="R15">
        <f>IF(A15="","",COUNTIF($A$5:$A$1004,"&lt;"&amp;A15)+COUNTIF($A$5:A15,A15))</f>
        <v/>
      </c>
    </row>
    <row r="16">
      <c r="A16" s="64" t="n"/>
      <c r="B16" s="64" t="n"/>
      <c r="C16" s="66" t="n"/>
      <c r="D16" s="66" t="n"/>
      <c r="E16" s="67" t="n"/>
      <c r="F16" s="67" t="n"/>
      <c r="G16" s="67" t="n"/>
      <c r="H16" s="67" t="n"/>
      <c r="I16" s="67" t="n"/>
      <c r="J16" s="67" t="n"/>
      <c r="K16" s="67" t="n"/>
      <c r="L16" s="67" t="n"/>
      <c r="M16" s="64" t="n"/>
      <c r="N16" s="84">
        <f>IF(A16="","",IFERROR(INDEX(Firms!$B$5:$B$1004,MATCH(A16,Firms!$A$5:$A$1004,0)),"Not on Firms tab"))</f>
        <v/>
      </c>
      <c r="O16" s="84">
        <f>IF(A16="","",IF(AND(D16&lt;&gt;"",D16&lt;TODAY()),"Expired",IF(AND(C16&lt;&gt;"",C16&gt;TODAY()),"Not yet effective",IF(C16="","No date",IF(TODAY()&gt;=EDATE(C16,Review_Months),"Review Due","Current")))))</f>
        <v/>
      </c>
      <c r="P16">
        <f>IF(A16="","",A16&amp;"|"&amp;B16)</f>
        <v/>
      </c>
      <c r="Q16">
        <f>IF(AND(A16&lt;&gt;"",A16='Firm Search'!$C$7),COUNTIF($A$5:A16,'Firm Search'!$C$7),"")</f>
        <v/>
      </c>
      <c r="R16">
        <f>IF(A16="","",COUNTIF($A$5:$A$1004,"&lt;"&amp;A16)+COUNTIF($A$5:A16,A16))</f>
        <v/>
      </c>
    </row>
    <row r="17">
      <c r="A17" s="64" t="n"/>
      <c r="B17" s="64" t="n"/>
      <c r="C17" s="66" t="n"/>
      <c r="D17" s="66" t="n"/>
      <c r="E17" s="67" t="n"/>
      <c r="F17" s="67" t="n"/>
      <c r="G17" s="67" t="n"/>
      <c r="H17" s="67" t="n"/>
      <c r="I17" s="67" t="n"/>
      <c r="J17" s="67" t="n"/>
      <c r="K17" s="67" t="n"/>
      <c r="L17" s="67" t="n"/>
      <c r="M17" s="64" t="n"/>
      <c r="N17" s="84">
        <f>IF(A17="","",IFERROR(INDEX(Firms!$B$5:$B$1004,MATCH(A17,Firms!$A$5:$A$1004,0)),"Not on Firms tab"))</f>
        <v/>
      </c>
      <c r="O17" s="84">
        <f>IF(A17="","",IF(AND(D17&lt;&gt;"",D17&lt;TODAY()),"Expired",IF(AND(C17&lt;&gt;"",C17&gt;TODAY()),"Not yet effective",IF(C17="","No date",IF(TODAY()&gt;=EDATE(C17,Review_Months),"Review Due","Current")))))</f>
        <v/>
      </c>
      <c r="P17">
        <f>IF(A17="","",A17&amp;"|"&amp;B17)</f>
        <v/>
      </c>
      <c r="Q17">
        <f>IF(AND(A17&lt;&gt;"",A17='Firm Search'!$C$7),COUNTIF($A$5:A17,'Firm Search'!$C$7),"")</f>
        <v/>
      </c>
      <c r="R17">
        <f>IF(A17="","",COUNTIF($A$5:$A$1004,"&lt;"&amp;A17)+COUNTIF($A$5:A17,A17))</f>
        <v/>
      </c>
    </row>
    <row r="18">
      <c r="A18" s="64" t="n"/>
      <c r="B18" s="64" t="n"/>
      <c r="C18" s="66" t="n"/>
      <c r="D18" s="66" t="n"/>
      <c r="E18" s="67" t="n"/>
      <c r="F18" s="67" t="n"/>
      <c r="G18" s="67" t="n"/>
      <c r="H18" s="67" t="n"/>
      <c r="I18" s="67" t="n"/>
      <c r="J18" s="67" t="n"/>
      <c r="K18" s="67" t="n"/>
      <c r="L18" s="67" t="n"/>
      <c r="M18" s="64" t="n"/>
      <c r="N18" s="84">
        <f>IF(A18="","",IFERROR(INDEX(Firms!$B$5:$B$1004,MATCH(A18,Firms!$A$5:$A$1004,0)),"Not on Firms tab"))</f>
        <v/>
      </c>
      <c r="O18" s="84">
        <f>IF(A18="","",IF(AND(D18&lt;&gt;"",D18&lt;TODAY()),"Expired",IF(AND(C18&lt;&gt;"",C18&gt;TODAY()),"Not yet effective",IF(C18="","No date",IF(TODAY()&gt;=EDATE(C18,Review_Months),"Review Due","Current")))))</f>
        <v/>
      </c>
      <c r="P18">
        <f>IF(A18="","",A18&amp;"|"&amp;B18)</f>
        <v/>
      </c>
      <c r="Q18">
        <f>IF(AND(A18&lt;&gt;"",A18='Firm Search'!$C$7),COUNTIF($A$5:A18,'Firm Search'!$C$7),"")</f>
        <v/>
      </c>
      <c r="R18">
        <f>IF(A18="","",COUNTIF($A$5:$A$1004,"&lt;"&amp;A18)+COUNTIF($A$5:A18,A18))</f>
        <v/>
      </c>
    </row>
    <row r="19">
      <c r="A19" s="64" t="n"/>
      <c r="B19" s="64" t="n"/>
      <c r="C19" s="66" t="n"/>
      <c r="D19" s="66" t="n"/>
      <c r="E19" s="67" t="n"/>
      <c r="F19" s="67" t="n"/>
      <c r="G19" s="67" t="n"/>
      <c r="H19" s="67" t="n"/>
      <c r="I19" s="67" t="n"/>
      <c r="J19" s="67" t="n"/>
      <c r="K19" s="67" t="n"/>
      <c r="L19" s="67" t="n"/>
      <c r="M19" s="64" t="n"/>
      <c r="N19" s="84">
        <f>IF(A19="","",IFERROR(INDEX(Firms!$B$5:$B$1004,MATCH(A19,Firms!$A$5:$A$1004,0)),"Not on Firms tab"))</f>
        <v/>
      </c>
      <c r="O19" s="84">
        <f>IF(A19="","",IF(AND(D19&lt;&gt;"",D19&lt;TODAY()),"Expired",IF(AND(C19&lt;&gt;"",C19&gt;TODAY()),"Not yet effective",IF(C19="","No date",IF(TODAY()&gt;=EDATE(C19,Review_Months),"Review Due","Current")))))</f>
        <v/>
      </c>
      <c r="P19">
        <f>IF(A19="","",A19&amp;"|"&amp;B19)</f>
        <v/>
      </c>
      <c r="Q19">
        <f>IF(AND(A19&lt;&gt;"",A19='Firm Search'!$C$7),COUNTIF($A$5:A19,'Firm Search'!$C$7),"")</f>
        <v/>
      </c>
      <c r="R19">
        <f>IF(A19="","",COUNTIF($A$5:$A$1004,"&lt;"&amp;A19)+COUNTIF($A$5:A19,A19))</f>
        <v/>
      </c>
    </row>
    <row r="20">
      <c r="A20" s="64" t="n"/>
      <c r="B20" s="64" t="n"/>
      <c r="C20" s="66" t="n"/>
      <c r="D20" s="66" t="n"/>
      <c r="E20" s="67" t="n"/>
      <c r="F20" s="67" t="n"/>
      <c r="G20" s="67" t="n"/>
      <c r="H20" s="67" t="n"/>
      <c r="I20" s="67" t="n"/>
      <c r="J20" s="67" t="n"/>
      <c r="K20" s="67" t="n"/>
      <c r="L20" s="67" t="n"/>
      <c r="M20" s="64" t="n"/>
      <c r="N20" s="84">
        <f>IF(A20="","",IFERROR(INDEX(Firms!$B$5:$B$1004,MATCH(A20,Firms!$A$5:$A$1004,0)),"Not on Firms tab"))</f>
        <v/>
      </c>
      <c r="O20" s="84">
        <f>IF(A20="","",IF(AND(D20&lt;&gt;"",D20&lt;TODAY()),"Expired",IF(AND(C20&lt;&gt;"",C20&gt;TODAY()),"Not yet effective",IF(C20="","No date",IF(TODAY()&gt;=EDATE(C20,Review_Months),"Review Due","Current")))))</f>
        <v/>
      </c>
      <c r="P20">
        <f>IF(A20="","",A20&amp;"|"&amp;B20)</f>
        <v/>
      </c>
      <c r="Q20">
        <f>IF(AND(A20&lt;&gt;"",A20='Firm Search'!$C$7),COUNTIF($A$5:A20,'Firm Search'!$C$7),"")</f>
        <v/>
      </c>
      <c r="R20">
        <f>IF(A20="","",COUNTIF($A$5:$A$1004,"&lt;"&amp;A20)+COUNTIF($A$5:A20,A20))</f>
        <v/>
      </c>
    </row>
    <row r="21">
      <c r="A21" s="64" t="n"/>
      <c r="B21" s="64" t="n"/>
      <c r="C21" s="66" t="n"/>
      <c r="D21" s="66" t="n"/>
      <c r="E21" s="67" t="n"/>
      <c r="F21" s="67" t="n"/>
      <c r="G21" s="67" t="n"/>
      <c r="H21" s="67" t="n"/>
      <c r="I21" s="67" t="n"/>
      <c r="J21" s="67" t="n"/>
      <c r="K21" s="67" t="n"/>
      <c r="L21" s="67" t="n"/>
      <c r="M21" s="64" t="n"/>
      <c r="N21" s="84">
        <f>IF(A21="","",IFERROR(INDEX(Firms!$B$5:$B$1004,MATCH(A21,Firms!$A$5:$A$1004,0)),"Not on Firms tab"))</f>
        <v/>
      </c>
      <c r="O21" s="84">
        <f>IF(A21="","",IF(AND(D21&lt;&gt;"",D21&lt;TODAY()),"Expired",IF(AND(C21&lt;&gt;"",C21&gt;TODAY()),"Not yet effective",IF(C21="","No date",IF(TODAY()&gt;=EDATE(C21,Review_Months),"Review Due","Current")))))</f>
        <v/>
      </c>
      <c r="P21">
        <f>IF(A21="","",A21&amp;"|"&amp;B21)</f>
        <v/>
      </c>
      <c r="Q21">
        <f>IF(AND(A21&lt;&gt;"",A21='Firm Search'!$C$7),COUNTIF($A$5:A21,'Firm Search'!$C$7),"")</f>
        <v/>
      </c>
      <c r="R21">
        <f>IF(A21="","",COUNTIF($A$5:$A$1004,"&lt;"&amp;A21)+COUNTIF($A$5:A21,A21))</f>
        <v/>
      </c>
    </row>
    <row r="22">
      <c r="A22" s="64" t="n"/>
      <c r="B22" s="64" t="n"/>
      <c r="C22" s="66" t="n"/>
      <c r="D22" s="66" t="n"/>
      <c r="E22" s="67" t="n"/>
      <c r="F22" s="67" t="n"/>
      <c r="G22" s="67" t="n"/>
      <c r="H22" s="67" t="n"/>
      <c r="I22" s="67" t="n"/>
      <c r="J22" s="67" t="n"/>
      <c r="K22" s="67" t="n"/>
      <c r="L22" s="67" t="n"/>
      <c r="M22" s="64" t="n"/>
      <c r="N22" s="84">
        <f>IF(A22="","",IFERROR(INDEX(Firms!$B$5:$B$1004,MATCH(A22,Firms!$A$5:$A$1004,0)),"Not on Firms tab"))</f>
        <v/>
      </c>
      <c r="O22" s="84">
        <f>IF(A22="","",IF(AND(D22&lt;&gt;"",D22&lt;TODAY()),"Expired",IF(AND(C22&lt;&gt;"",C22&gt;TODAY()),"Not yet effective",IF(C22="","No date",IF(TODAY()&gt;=EDATE(C22,Review_Months),"Review Due","Current")))))</f>
        <v/>
      </c>
      <c r="P22">
        <f>IF(A22="","",A22&amp;"|"&amp;B22)</f>
        <v/>
      </c>
      <c r="Q22">
        <f>IF(AND(A22&lt;&gt;"",A22='Firm Search'!$C$7),COUNTIF($A$5:A22,'Firm Search'!$C$7),"")</f>
        <v/>
      </c>
      <c r="R22">
        <f>IF(A22="","",COUNTIF($A$5:$A$1004,"&lt;"&amp;A22)+COUNTIF($A$5:A22,A22))</f>
        <v/>
      </c>
    </row>
    <row r="23">
      <c r="A23" s="64" t="n"/>
      <c r="B23" s="64" t="n"/>
      <c r="C23" s="66" t="n"/>
      <c r="D23" s="66" t="n"/>
      <c r="E23" s="67" t="n"/>
      <c r="F23" s="67" t="n"/>
      <c r="G23" s="67" t="n"/>
      <c r="H23" s="67" t="n"/>
      <c r="I23" s="67" t="n"/>
      <c r="J23" s="67" t="n"/>
      <c r="K23" s="67" t="n"/>
      <c r="L23" s="67" t="n"/>
      <c r="M23" s="64" t="n"/>
      <c r="N23" s="84">
        <f>IF(A23="","",IFERROR(INDEX(Firms!$B$5:$B$1004,MATCH(A23,Firms!$A$5:$A$1004,0)),"Not on Firms tab"))</f>
        <v/>
      </c>
      <c r="O23" s="84">
        <f>IF(A23="","",IF(AND(D23&lt;&gt;"",D23&lt;TODAY()),"Expired",IF(AND(C23&lt;&gt;"",C23&gt;TODAY()),"Not yet effective",IF(C23="","No date",IF(TODAY()&gt;=EDATE(C23,Review_Months),"Review Due","Current")))))</f>
        <v/>
      </c>
      <c r="P23">
        <f>IF(A23="","",A23&amp;"|"&amp;B23)</f>
        <v/>
      </c>
      <c r="Q23">
        <f>IF(AND(A23&lt;&gt;"",A23='Firm Search'!$C$7),COUNTIF($A$5:A23,'Firm Search'!$C$7),"")</f>
        <v/>
      </c>
      <c r="R23">
        <f>IF(A23="","",COUNTIF($A$5:$A$1004,"&lt;"&amp;A23)+COUNTIF($A$5:A23,A23))</f>
        <v/>
      </c>
    </row>
    <row r="24">
      <c r="A24" s="64" t="n"/>
      <c r="B24" s="64" t="n"/>
      <c r="C24" s="66" t="n"/>
      <c r="D24" s="66" t="n"/>
      <c r="E24" s="67" t="n"/>
      <c r="F24" s="67" t="n"/>
      <c r="G24" s="67" t="n"/>
      <c r="H24" s="67" t="n"/>
      <c r="I24" s="67" t="n"/>
      <c r="J24" s="67" t="n"/>
      <c r="K24" s="67" t="n"/>
      <c r="L24" s="67" t="n"/>
      <c r="M24" s="64" t="n"/>
      <c r="N24" s="84">
        <f>IF(A24="","",IFERROR(INDEX(Firms!$B$5:$B$1004,MATCH(A24,Firms!$A$5:$A$1004,0)),"Not on Firms tab"))</f>
        <v/>
      </c>
      <c r="O24" s="84">
        <f>IF(A24="","",IF(AND(D24&lt;&gt;"",D24&lt;TODAY()),"Expired",IF(AND(C24&lt;&gt;"",C24&gt;TODAY()),"Not yet effective",IF(C24="","No date",IF(TODAY()&gt;=EDATE(C24,Review_Months),"Review Due","Current")))))</f>
        <v/>
      </c>
      <c r="P24">
        <f>IF(A24="","",A24&amp;"|"&amp;B24)</f>
        <v/>
      </c>
      <c r="Q24">
        <f>IF(AND(A24&lt;&gt;"",A24='Firm Search'!$C$7),COUNTIF($A$5:A24,'Firm Search'!$C$7),"")</f>
        <v/>
      </c>
      <c r="R24">
        <f>IF(A24="","",COUNTIF($A$5:$A$1004,"&lt;"&amp;A24)+COUNTIF($A$5:A24,A24))</f>
        <v/>
      </c>
    </row>
    <row r="25">
      <c r="A25" s="64" t="n"/>
      <c r="B25" s="64" t="n"/>
      <c r="C25" s="66" t="n"/>
      <c r="D25" s="66" t="n"/>
      <c r="E25" s="67" t="n"/>
      <c r="F25" s="67" t="n"/>
      <c r="G25" s="67" t="n"/>
      <c r="H25" s="67" t="n"/>
      <c r="I25" s="67" t="n"/>
      <c r="J25" s="67" t="n"/>
      <c r="K25" s="67" t="n"/>
      <c r="L25" s="67" t="n"/>
      <c r="M25" s="64" t="n"/>
      <c r="N25" s="84">
        <f>IF(A25="","",IFERROR(INDEX(Firms!$B$5:$B$1004,MATCH(A25,Firms!$A$5:$A$1004,0)),"Not on Firms tab"))</f>
        <v/>
      </c>
      <c r="O25" s="84">
        <f>IF(A25="","",IF(AND(D25&lt;&gt;"",D25&lt;TODAY()),"Expired",IF(AND(C25&lt;&gt;"",C25&gt;TODAY()),"Not yet effective",IF(C25="","No date",IF(TODAY()&gt;=EDATE(C25,Review_Months),"Review Due","Current")))))</f>
        <v/>
      </c>
      <c r="P25">
        <f>IF(A25="","",A25&amp;"|"&amp;B25)</f>
        <v/>
      </c>
      <c r="Q25">
        <f>IF(AND(A25&lt;&gt;"",A25='Firm Search'!$C$7),COUNTIF($A$5:A25,'Firm Search'!$C$7),"")</f>
        <v/>
      </c>
      <c r="R25">
        <f>IF(A25="","",COUNTIF($A$5:$A$1004,"&lt;"&amp;A25)+COUNTIF($A$5:A25,A25))</f>
        <v/>
      </c>
    </row>
    <row r="26">
      <c r="A26" s="64" t="n"/>
      <c r="B26" s="64" t="n"/>
      <c r="C26" s="66" t="n"/>
      <c r="D26" s="66" t="n"/>
      <c r="E26" s="67" t="n"/>
      <c r="F26" s="67" t="n"/>
      <c r="G26" s="67" t="n"/>
      <c r="H26" s="67" t="n"/>
      <c r="I26" s="67" t="n"/>
      <c r="J26" s="67" t="n"/>
      <c r="K26" s="67" t="n"/>
      <c r="L26" s="67" t="n"/>
      <c r="M26" s="64" t="n"/>
      <c r="N26" s="84">
        <f>IF(A26="","",IFERROR(INDEX(Firms!$B$5:$B$1004,MATCH(A26,Firms!$A$5:$A$1004,0)),"Not on Firms tab"))</f>
        <v/>
      </c>
      <c r="O26" s="84">
        <f>IF(A26="","",IF(AND(D26&lt;&gt;"",D26&lt;TODAY()),"Expired",IF(AND(C26&lt;&gt;"",C26&gt;TODAY()),"Not yet effective",IF(C26="","No date",IF(TODAY()&gt;=EDATE(C26,Review_Months),"Review Due","Current")))))</f>
        <v/>
      </c>
      <c r="P26">
        <f>IF(A26="","",A26&amp;"|"&amp;B26)</f>
        <v/>
      </c>
      <c r="Q26">
        <f>IF(AND(A26&lt;&gt;"",A26='Firm Search'!$C$7),COUNTIF($A$5:A26,'Firm Search'!$C$7),"")</f>
        <v/>
      </c>
      <c r="R26">
        <f>IF(A26="","",COUNTIF($A$5:$A$1004,"&lt;"&amp;A26)+COUNTIF($A$5:A26,A26))</f>
        <v/>
      </c>
    </row>
    <row r="27">
      <c r="A27" s="64" t="n"/>
      <c r="B27" s="64" t="n"/>
      <c r="C27" s="66" t="n"/>
      <c r="D27" s="66" t="n"/>
      <c r="E27" s="67" t="n"/>
      <c r="F27" s="67" t="n"/>
      <c r="G27" s="67" t="n"/>
      <c r="H27" s="67" t="n"/>
      <c r="I27" s="67" t="n"/>
      <c r="J27" s="67" t="n"/>
      <c r="K27" s="67" t="n"/>
      <c r="L27" s="67" t="n"/>
      <c r="M27" s="64" t="n"/>
      <c r="N27" s="84">
        <f>IF(A27="","",IFERROR(INDEX(Firms!$B$5:$B$1004,MATCH(A27,Firms!$A$5:$A$1004,0)),"Not on Firms tab"))</f>
        <v/>
      </c>
      <c r="O27" s="84">
        <f>IF(A27="","",IF(AND(D27&lt;&gt;"",D27&lt;TODAY()),"Expired",IF(AND(C27&lt;&gt;"",C27&gt;TODAY()),"Not yet effective",IF(C27="","No date",IF(TODAY()&gt;=EDATE(C27,Review_Months),"Review Due","Current")))))</f>
        <v/>
      </c>
      <c r="P27">
        <f>IF(A27="","",A27&amp;"|"&amp;B27)</f>
        <v/>
      </c>
      <c r="Q27">
        <f>IF(AND(A27&lt;&gt;"",A27='Firm Search'!$C$7),COUNTIF($A$5:A27,'Firm Search'!$C$7),"")</f>
        <v/>
      </c>
      <c r="R27">
        <f>IF(A27="","",COUNTIF($A$5:$A$1004,"&lt;"&amp;A27)+COUNTIF($A$5:A27,A27))</f>
        <v/>
      </c>
    </row>
    <row r="28">
      <c r="A28" s="64" t="n"/>
      <c r="B28" s="64" t="n"/>
      <c r="C28" s="66" t="n"/>
      <c r="D28" s="66" t="n"/>
      <c r="E28" s="67" t="n"/>
      <c r="F28" s="67" t="n"/>
      <c r="G28" s="67" t="n"/>
      <c r="H28" s="67" t="n"/>
      <c r="I28" s="67" t="n"/>
      <c r="J28" s="67" t="n"/>
      <c r="K28" s="67" t="n"/>
      <c r="L28" s="67" t="n"/>
      <c r="M28" s="64" t="n"/>
      <c r="N28" s="84">
        <f>IF(A28="","",IFERROR(INDEX(Firms!$B$5:$B$1004,MATCH(A28,Firms!$A$5:$A$1004,0)),"Not on Firms tab"))</f>
        <v/>
      </c>
      <c r="O28" s="84">
        <f>IF(A28="","",IF(AND(D28&lt;&gt;"",D28&lt;TODAY()),"Expired",IF(AND(C28&lt;&gt;"",C28&gt;TODAY()),"Not yet effective",IF(C28="","No date",IF(TODAY()&gt;=EDATE(C28,Review_Months),"Review Due","Current")))))</f>
        <v/>
      </c>
      <c r="P28">
        <f>IF(A28="","",A28&amp;"|"&amp;B28)</f>
        <v/>
      </c>
      <c r="Q28">
        <f>IF(AND(A28&lt;&gt;"",A28='Firm Search'!$C$7),COUNTIF($A$5:A28,'Firm Search'!$C$7),"")</f>
        <v/>
      </c>
      <c r="R28">
        <f>IF(A28="","",COUNTIF($A$5:$A$1004,"&lt;"&amp;A28)+COUNTIF($A$5:A28,A28))</f>
        <v/>
      </c>
    </row>
    <row r="29">
      <c r="A29" s="64" t="n"/>
      <c r="B29" s="64" t="n"/>
      <c r="C29" s="66" t="n"/>
      <c r="D29" s="66" t="n"/>
      <c r="E29" s="67" t="n"/>
      <c r="F29" s="67" t="n"/>
      <c r="G29" s="67" t="n"/>
      <c r="H29" s="67" t="n"/>
      <c r="I29" s="67" t="n"/>
      <c r="J29" s="67" t="n"/>
      <c r="K29" s="67" t="n"/>
      <c r="L29" s="67" t="n"/>
      <c r="M29" s="64" t="n"/>
      <c r="N29" s="84">
        <f>IF(A29="","",IFERROR(INDEX(Firms!$B$5:$B$1004,MATCH(A29,Firms!$A$5:$A$1004,0)),"Not on Firms tab"))</f>
        <v/>
      </c>
      <c r="O29" s="84">
        <f>IF(A29="","",IF(AND(D29&lt;&gt;"",D29&lt;TODAY()),"Expired",IF(AND(C29&lt;&gt;"",C29&gt;TODAY()),"Not yet effective",IF(C29="","No date",IF(TODAY()&gt;=EDATE(C29,Review_Months),"Review Due","Current")))))</f>
        <v/>
      </c>
      <c r="P29">
        <f>IF(A29="","",A29&amp;"|"&amp;B29)</f>
        <v/>
      </c>
      <c r="Q29">
        <f>IF(AND(A29&lt;&gt;"",A29='Firm Search'!$C$7),COUNTIF($A$5:A29,'Firm Search'!$C$7),"")</f>
        <v/>
      </c>
      <c r="R29">
        <f>IF(A29="","",COUNTIF($A$5:$A$1004,"&lt;"&amp;A29)+COUNTIF($A$5:A29,A29))</f>
        <v/>
      </c>
    </row>
    <row r="30">
      <c r="A30" s="64" t="n"/>
      <c r="B30" s="64" t="n"/>
      <c r="C30" s="66" t="n"/>
      <c r="D30" s="66" t="n"/>
      <c r="E30" s="67" t="n"/>
      <c r="F30" s="67" t="n"/>
      <c r="G30" s="67" t="n"/>
      <c r="H30" s="67" t="n"/>
      <c r="I30" s="67" t="n"/>
      <c r="J30" s="67" t="n"/>
      <c r="K30" s="67" t="n"/>
      <c r="L30" s="67" t="n"/>
      <c r="M30" s="64" t="n"/>
      <c r="N30" s="84">
        <f>IF(A30="","",IFERROR(INDEX(Firms!$B$5:$B$1004,MATCH(A30,Firms!$A$5:$A$1004,0)),"Not on Firms tab"))</f>
        <v/>
      </c>
      <c r="O30" s="84">
        <f>IF(A30="","",IF(AND(D30&lt;&gt;"",D30&lt;TODAY()),"Expired",IF(AND(C30&lt;&gt;"",C30&gt;TODAY()),"Not yet effective",IF(C30="","No date",IF(TODAY()&gt;=EDATE(C30,Review_Months),"Review Due","Current")))))</f>
        <v/>
      </c>
      <c r="P30">
        <f>IF(A30="","",A30&amp;"|"&amp;B30)</f>
        <v/>
      </c>
      <c r="Q30">
        <f>IF(AND(A30&lt;&gt;"",A30='Firm Search'!$C$7),COUNTIF($A$5:A30,'Firm Search'!$C$7),"")</f>
        <v/>
      </c>
      <c r="R30">
        <f>IF(A30="","",COUNTIF($A$5:$A$1004,"&lt;"&amp;A30)+COUNTIF($A$5:A30,A30))</f>
        <v/>
      </c>
    </row>
    <row r="31">
      <c r="A31" s="64" t="n"/>
      <c r="B31" s="64" t="n"/>
      <c r="C31" s="66" t="n"/>
      <c r="D31" s="66" t="n"/>
      <c r="E31" s="67" t="n"/>
      <c r="F31" s="67" t="n"/>
      <c r="G31" s="67" t="n"/>
      <c r="H31" s="67" t="n"/>
      <c r="I31" s="67" t="n"/>
      <c r="J31" s="67" t="n"/>
      <c r="K31" s="67" t="n"/>
      <c r="L31" s="67" t="n"/>
      <c r="M31" s="64" t="n"/>
      <c r="N31" s="84">
        <f>IF(A31="","",IFERROR(INDEX(Firms!$B$5:$B$1004,MATCH(A31,Firms!$A$5:$A$1004,0)),"Not on Firms tab"))</f>
        <v/>
      </c>
      <c r="O31" s="84">
        <f>IF(A31="","",IF(AND(D31&lt;&gt;"",D31&lt;TODAY()),"Expired",IF(AND(C31&lt;&gt;"",C31&gt;TODAY()),"Not yet effective",IF(C31="","No date",IF(TODAY()&gt;=EDATE(C31,Review_Months),"Review Due","Current")))))</f>
        <v/>
      </c>
      <c r="P31">
        <f>IF(A31="","",A31&amp;"|"&amp;B31)</f>
        <v/>
      </c>
      <c r="Q31">
        <f>IF(AND(A31&lt;&gt;"",A31='Firm Search'!$C$7),COUNTIF($A$5:A31,'Firm Search'!$C$7),"")</f>
        <v/>
      </c>
      <c r="R31">
        <f>IF(A31="","",COUNTIF($A$5:$A$1004,"&lt;"&amp;A31)+COUNTIF($A$5:A31,A31))</f>
        <v/>
      </c>
    </row>
    <row r="32">
      <c r="A32" s="64" t="n"/>
      <c r="B32" s="64" t="n"/>
      <c r="C32" s="66" t="n"/>
      <c r="D32" s="66" t="n"/>
      <c r="E32" s="67" t="n"/>
      <c r="F32" s="67" t="n"/>
      <c r="G32" s="67" t="n"/>
      <c r="H32" s="67" t="n"/>
      <c r="I32" s="67" t="n"/>
      <c r="J32" s="67" t="n"/>
      <c r="K32" s="67" t="n"/>
      <c r="L32" s="67" t="n"/>
      <c r="M32" s="64" t="n"/>
      <c r="N32" s="84">
        <f>IF(A32="","",IFERROR(INDEX(Firms!$B$5:$B$1004,MATCH(A32,Firms!$A$5:$A$1004,0)),"Not on Firms tab"))</f>
        <v/>
      </c>
      <c r="O32" s="84">
        <f>IF(A32="","",IF(AND(D32&lt;&gt;"",D32&lt;TODAY()),"Expired",IF(AND(C32&lt;&gt;"",C32&gt;TODAY()),"Not yet effective",IF(C32="","No date",IF(TODAY()&gt;=EDATE(C32,Review_Months),"Review Due","Current")))))</f>
        <v/>
      </c>
      <c r="P32">
        <f>IF(A32="","",A32&amp;"|"&amp;B32)</f>
        <v/>
      </c>
      <c r="Q32">
        <f>IF(AND(A32&lt;&gt;"",A32='Firm Search'!$C$7),COUNTIF($A$5:A32,'Firm Search'!$C$7),"")</f>
        <v/>
      </c>
      <c r="R32">
        <f>IF(A32="","",COUNTIF($A$5:$A$1004,"&lt;"&amp;A32)+COUNTIF($A$5:A32,A32))</f>
        <v/>
      </c>
    </row>
    <row r="33">
      <c r="A33" s="64" t="n"/>
      <c r="B33" s="64" t="n"/>
      <c r="C33" s="66" t="n"/>
      <c r="D33" s="66" t="n"/>
      <c r="E33" s="67" t="n"/>
      <c r="F33" s="67" t="n"/>
      <c r="G33" s="67" t="n"/>
      <c r="H33" s="67" t="n"/>
      <c r="I33" s="67" t="n"/>
      <c r="J33" s="67" t="n"/>
      <c r="K33" s="67" t="n"/>
      <c r="L33" s="67" t="n"/>
      <c r="M33" s="64" t="n"/>
      <c r="N33" s="84">
        <f>IF(A33="","",IFERROR(INDEX(Firms!$B$5:$B$1004,MATCH(A33,Firms!$A$5:$A$1004,0)),"Not on Firms tab"))</f>
        <v/>
      </c>
      <c r="O33" s="84">
        <f>IF(A33="","",IF(AND(D33&lt;&gt;"",D33&lt;TODAY()),"Expired",IF(AND(C33&lt;&gt;"",C33&gt;TODAY()),"Not yet effective",IF(C33="","No date",IF(TODAY()&gt;=EDATE(C33,Review_Months),"Review Due","Current")))))</f>
        <v/>
      </c>
      <c r="P33">
        <f>IF(A33="","",A33&amp;"|"&amp;B33)</f>
        <v/>
      </c>
      <c r="Q33">
        <f>IF(AND(A33&lt;&gt;"",A33='Firm Search'!$C$7),COUNTIF($A$5:A33,'Firm Search'!$C$7),"")</f>
        <v/>
      </c>
      <c r="R33">
        <f>IF(A33="","",COUNTIF($A$5:$A$1004,"&lt;"&amp;A33)+COUNTIF($A$5:A33,A33))</f>
        <v/>
      </c>
    </row>
    <row r="34">
      <c r="A34" s="64" t="n"/>
      <c r="B34" s="64" t="n"/>
      <c r="C34" s="66" t="n"/>
      <c r="D34" s="66" t="n"/>
      <c r="E34" s="67" t="n"/>
      <c r="F34" s="67" t="n"/>
      <c r="G34" s="67" t="n"/>
      <c r="H34" s="67" t="n"/>
      <c r="I34" s="67" t="n"/>
      <c r="J34" s="67" t="n"/>
      <c r="K34" s="67" t="n"/>
      <c r="L34" s="67" t="n"/>
      <c r="M34" s="64" t="n"/>
      <c r="N34" s="84">
        <f>IF(A34="","",IFERROR(INDEX(Firms!$B$5:$B$1004,MATCH(A34,Firms!$A$5:$A$1004,0)),"Not on Firms tab"))</f>
        <v/>
      </c>
      <c r="O34" s="84">
        <f>IF(A34="","",IF(AND(D34&lt;&gt;"",D34&lt;TODAY()),"Expired",IF(AND(C34&lt;&gt;"",C34&gt;TODAY()),"Not yet effective",IF(C34="","No date",IF(TODAY()&gt;=EDATE(C34,Review_Months),"Review Due","Current")))))</f>
        <v/>
      </c>
      <c r="P34">
        <f>IF(A34="","",A34&amp;"|"&amp;B34)</f>
        <v/>
      </c>
      <c r="Q34">
        <f>IF(AND(A34&lt;&gt;"",A34='Firm Search'!$C$7),COUNTIF($A$5:A34,'Firm Search'!$C$7),"")</f>
        <v/>
      </c>
      <c r="R34">
        <f>IF(A34="","",COUNTIF($A$5:$A$1004,"&lt;"&amp;A34)+COUNTIF($A$5:A34,A34))</f>
        <v/>
      </c>
    </row>
    <row r="35">
      <c r="A35" s="64" t="n"/>
      <c r="B35" s="64" t="n"/>
      <c r="C35" s="66" t="n"/>
      <c r="D35" s="66" t="n"/>
      <c r="E35" s="67" t="n"/>
      <c r="F35" s="67" t="n"/>
      <c r="G35" s="67" t="n"/>
      <c r="H35" s="67" t="n"/>
      <c r="I35" s="67" t="n"/>
      <c r="J35" s="67" t="n"/>
      <c r="K35" s="67" t="n"/>
      <c r="L35" s="67" t="n"/>
      <c r="M35" s="64" t="n"/>
      <c r="N35" s="84">
        <f>IF(A35="","",IFERROR(INDEX(Firms!$B$5:$B$1004,MATCH(A35,Firms!$A$5:$A$1004,0)),"Not on Firms tab"))</f>
        <v/>
      </c>
      <c r="O35" s="84">
        <f>IF(A35="","",IF(AND(D35&lt;&gt;"",D35&lt;TODAY()),"Expired",IF(AND(C35&lt;&gt;"",C35&gt;TODAY()),"Not yet effective",IF(C35="","No date",IF(TODAY()&gt;=EDATE(C35,Review_Months),"Review Due","Current")))))</f>
        <v/>
      </c>
      <c r="P35">
        <f>IF(A35="","",A35&amp;"|"&amp;B35)</f>
        <v/>
      </c>
      <c r="Q35">
        <f>IF(AND(A35&lt;&gt;"",A35='Firm Search'!$C$7),COUNTIF($A$5:A35,'Firm Search'!$C$7),"")</f>
        <v/>
      </c>
      <c r="R35">
        <f>IF(A35="","",COUNTIF($A$5:$A$1004,"&lt;"&amp;A35)+COUNTIF($A$5:A35,A35))</f>
        <v/>
      </c>
    </row>
    <row r="36">
      <c r="A36" s="64" t="n"/>
      <c r="B36" s="64" t="n"/>
      <c r="C36" s="66" t="n"/>
      <c r="D36" s="66" t="n"/>
      <c r="E36" s="67" t="n"/>
      <c r="F36" s="67" t="n"/>
      <c r="G36" s="67" t="n"/>
      <c r="H36" s="67" t="n"/>
      <c r="I36" s="67" t="n"/>
      <c r="J36" s="67" t="n"/>
      <c r="K36" s="67" t="n"/>
      <c r="L36" s="67" t="n"/>
      <c r="M36" s="64" t="n"/>
      <c r="N36" s="84">
        <f>IF(A36="","",IFERROR(INDEX(Firms!$B$5:$B$1004,MATCH(A36,Firms!$A$5:$A$1004,0)),"Not on Firms tab"))</f>
        <v/>
      </c>
      <c r="O36" s="84">
        <f>IF(A36="","",IF(AND(D36&lt;&gt;"",D36&lt;TODAY()),"Expired",IF(AND(C36&lt;&gt;"",C36&gt;TODAY()),"Not yet effective",IF(C36="","No date",IF(TODAY()&gt;=EDATE(C36,Review_Months),"Review Due","Current")))))</f>
        <v/>
      </c>
      <c r="P36">
        <f>IF(A36="","",A36&amp;"|"&amp;B36)</f>
        <v/>
      </c>
      <c r="Q36">
        <f>IF(AND(A36&lt;&gt;"",A36='Firm Search'!$C$7),COUNTIF($A$5:A36,'Firm Search'!$C$7),"")</f>
        <v/>
      </c>
      <c r="R36">
        <f>IF(A36="","",COUNTIF($A$5:$A$1004,"&lt;"&amp;A36)+COUNTIF($A$5:A36,A36))</f>
        <v/>
      </c>
    </row>
    <row r="37">
      <c r="A37" s="64" t="n"/>
      <c r="B37" s="64" t="n"/>
      <c r="C37" s="66" t="n"/>
      <c r="D37" s="66" t="n"/>
      <c r="E37" s="67" t="n"/>
      <c r="F37" s="67" t="n"/>
      <c r="G37" s="67" t="n"/>
      <c r="H37" s="67" t="n"/>
      <c r="I37" s="67" t="n"/>
      <c r="J37" s="67" t="n"/>
      <c r="K37" s="67" t="n"/>
      <c r="L37" s="67" t="n"/>
      <c r="M37" s="64" t="n"/>
      <c r="N37" s="84">
        <f>IF(A37="","",IFERROR(INDEX(Firms!$B$5:$B$1004,MATCH(A37,Firms!$A$5:$A$1004,0)),"Not on Firms tab"))</f>
        <v/>
      </c>
      <c r="O37" s="84">
        <f>IF(A37="","",IF(AND(D37&lt;&gt;"",D37&lt;TODAY()),"Expired",IF(AND(C37&lt;&gt;"",C37&gt;TODAY()),"Not yet effective",IF(C37="","No date",IF(TODAY()&gt;=EDATE(C37,Review_Months),"Review Due","Current")))))</f>
        <v/>
      </c>
      <c r="P37">
        <f>IF(A37="","",A37&amp;"|"&amp;B37)</f>
        <v/>
      </c>
      <c r="Q37">
        <f>IF(AND(A37&lt;&gt;"",A37='Firm Search'!$C$7),COUNTIF($A$5:A37,'Firm Search'!$C$7),"")</f>
        <v/>
      </c>
      <c r="R37">
        <f>IF(A37="","",COUNTIF($A$5:$A$1004,"&lt;"&amp;A37)+COUNTIF($A$5:A37,A37))</f>
        <v/>
      </c>
    </row>
    <row r="38">
      <c r="A38" s="64" t="n"/>
      <c r="B38" s="64" t="n"/>
      <c r="C38" s="66" t="n"/>
      <c r="D38" s="66" t="n"/>
      <c r="E38" s="67" t="n"/>
      <c r="F38" s="67" t="n"/>
      <c r="G38" s="67" t="n"/>
      <c r="H38" s="67" t="n"/>
      <c r="I38" s="67" t="n"/>
      <c r="J38" s="67" t="n"/>
      <c r="K38" s="67" t="n"/>
      <c r="L38" s="67" t="n"/>
      <c r="M38" s="64" t="n"/>
      <c r="N38" s="84">
        <f>IF(A38="","",IFERROR(INDEX(Firms!$B$5:$B$1004,MATCH(A38,Firms!$A$5:$A$1004,0)),"Not on Firms tab"))</f>
        <v/>
      </c>
      <c r="O38" s="84">
        <f>IF(A38="","",IF(AND(D38&lt;&gt;"",D38&lt;TODAY()),"Expired",IF(AND(C38&lt;&gt;"",C38&gt;TODAY()),"Not yet effective",IF(C38="","No date",IF(TODAY()&gt;=EDATE(C38,Review_Months),"Review Due","Current")))))</f>
        <v/>
      </c>
      <c r="P38">
        <f>IF(A38="","",A38&amp;"|"&amp;B38)</f>
        <v/>
      </c>
      <c r="Q38">
        <f>IF(AND(A38&lt;&gt;"",A38='Firm Search'!$C$7),COUNTIF($A$5:A38,'Firm Search'!$C$7),"")</f>
        <v/>
      </c>
      <c r="R38">
        <f>IF(A38="","",COUNTIF($A$5:$A$1004,"&lt;"&amp;A38)+COUNTIF($A$5:A38,A38))</f>
        <v/>
      </c>
    </row>
    <row r="39">
      <c r="A39" s="64" t="n"/>
      <c r="B39" s="64" t="n"/>
      <c r="C39" s="66" t="n"/>
      <c r="D39" s="66" t="n"/>
      <c r="E39" s="67" t="n"/>
      <c r="F39" s="67" t="n"/>
      <c r="G39" s="67" t="n"/>
      <c r="H39" s="67" t="n"/>
      <c r="I39" s="67" t="n"/>
      <c r="J39" s="67" t="n"/>
      <c r="K39" s="67" t="n"/>
      <c r="L39" s="67" t="n"/>
      <c r="M39" s="64" t="n"/>
      <c r="N39" s="84">
        <f>IF(A39="","",IFERROR(INDEX(Firms!$B$5:$B$1004,MATCH(A39,Firms!$A$5:$A$1004,0)),"Not on Firms tab"))</f>
        <v/>
      </c>
      <c r="O39" s="84">
        <f>IF(A39="","",IF(AND(D39&lt;&gt;"",D39&lt;TODAY()),"Expired",IF(AND(C39&lt;&gt;"",C39&gt;TODAY()),"Not yet effective",IF(C39="","No date",IF(TODAY()&gt;=EDATE(C39,Review_Months),"Review Due","Current")))))</f>
        <v/>
      </c>
      <c r="P39">
        <f>IF(A39="","",A39&amp;"|"&amp;B39)</f>
        <v/>
      </c>
      <c r="Q39">
        <f>IF(AND(A39&lt;&gt;"",A39='Firm Search'!$C$7),COUNTIF($A$5:A39,'Firm Search'!$C$7),"")</f>
        <v/>
      </c>
      <c r="R39">
        <f>IF(A39="","",COUNTIF($A$5:$A$1004,"&lt;"&amp;A39)+COUNTIF($A$5:A39,A39))</f>
        <v/>
      </c>
    </row>
    <row r="40">
      <c r="A40" s="64" t="n"/>
      <c r="B40" s="64" t="n"/>
      <c r="C40" s="66" t="n"/>
      <c r="D40" s="66" t="n"/>
      <c r="E40" s="67" t="n"/>
      <c r="F40" s="67" t="n"/>
      <c r="G40" s="67" t="n"/>
      <c r="H40" s="67" t="n"/>
      <c r="I40" s="67" t="n"/>
      <c r="J40" s="67" t="n"/>
      <c r="K40" s="67" t="n"/>
      <c r="L40" s="67" t="n"/>
      <c r="M40" s="64" t="n"/>
      <c r="N40" s="84">
        <f>IF(A40="","",IFERROR(INDEX(Firms!$B$5:$B$1004,MATCH(A40,Firms!$A$5:$A$1004,0)),"Not on Firms tab"))</f>
        <v/>
      </c>
      <c r="O40" s="84">
        <f>IF(A40="","",IF(AND(D40&lt;&gt;"",D40&lt;TODAY()),"Expired",IF(AND(C40&lt;&gt;"",C40&gt;TODAY()),"Not yet effective",IF(C40="","No date",IF(TODAY()&gt;=EDATE(C40,Review_Months),"Review Due","Current")))))</f>
        <v/>
      </c>
      <c r="P40">
        <f>IF(A40="","",A40&amp;"|"&amp;B40)</f>
        <v/>
      </c>
      <c r="Q40">
        <f>IF(AND(A40&lt;&gt;"",A40='Firm Search'!$C$7),COUNTIF($A$5:A40,'Firm Search'!$C$7),"")</f>
        <v/>
      </c>
      <c r="R40">
        <f>IF(A40="","",COUNTIF($A$5:$A$1004,"&lt;"&amp;A40)+COUNTIF($A$5:A40,A40))</f>
        <v/>
      </c>
    </row>
    <row r="41">
      <c r="A41" s="64" t="n"/>
      <c r="B41" s="64" t="n"/>
      <c r="C41" s="66" t="n"/>
      <c r="D41" s="66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4" t="n"/>
      <c r="N41" s="84">
        <f>IF(A41="","",IFERROR(INDEX(Firms!$B$5:$B$1004,MATCH(A41,Firms!$A$5:$A$1004,0)),"Not on Firms tab"))</f>
        <v/>
      </c>
      <c r="O41" s="84">
        <f>IF(A41="","",IF(AND(D41&lt;&gt;"",D41&lt;TODAY()),"Expired",IF(AND(C41&lt;&gt;"",C41&gt;TODAY()),"Not yet effective",IF(C41="","No date",IF(TODAY()&gt;=EDATE(C41,Review_Months),"Review Due","Current")))))</f>
        <v/>
      </c>
      <c r="P41">
        <f>IF(A41="","",A41&amp;"|"&amp;B41)</f>
        <v/>
      </c>
      <c r="Q41">
        <f>IF(AND(A41&lt;&gt;"",A41='Firm Search'!$C$7),COUNTIF($A$5:A41,'Firm Search'!$C$7),"")</f>
        <v/>
      </c>
      <c r="R41">
        <f>IF(A41="","",COUNTIF($A$5:$A$1004,"&lt;"&amp;A41)+COUNTIF($A$5:A41,A41))</f>
        <v/>
      </c>
    </row>
    <row r="42">
      <c r="A42" s="64" t="n"/>
      <c r="B42" s="64" t="n"/>
      <c r="C42" s="66" t="n"/>
      <c r="D42" s="66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4" t="n"/>
      <c r="N42" s="84">
        <f>IF(A42="","",IFERROR(INDEX(Firms!$B$5:$B$1004,MATCH(A42,Firms!$A$5:$A$1004,0)),"Not on Firms tab"))</f>
        <v/>
      </c>
      <c r="O42" s="84">
        <f>IF(A42="","",IF(AND(D42&lt;&gt;"",D42&lt;TODAY()),"Expired",IF(AND(C42&lt;&gt;"",C42&gt;TODAY()),"Not yet effective",IF(C42="","No date",IF(TODAY()&gt;=EDATE(C42,Review_Months),"Review Due","Current")))))</f>
        <v/>
      </c>
      <c r="P42">
        <f>IF(A42="","",A42&amp;"|"&amp;B42)</f>
        <v/>
      </c>
      <c r="Q42">
        <f>IF(AND(A42&lt;&gt;"",A42='Firm Search'!$C$7),COUNTIF($A$5:A42,'Firm Search'!$C$7),"")</f>
        <v/>
      </c>
      <c r="R42">
        <f>IF(A42="","",COUNTIF($A$5:$A$1004,"&lt;"&amp;A42)+COUNTIF($A$5:A42,A42))</f>
        <v/>
      </c>
    </row>
    <row r="43">
      <c r="A43" s="64" t="n"/>
      <c r="B43" s="64" t="n"/>
      <c r="C43" s="66" t="n"/>
      <c r="D43" s="66" t="n"/>
      <c r="E43" s="67" t="n"/>
      <c r="F43" s="67" t="n"/>
      <c r="G43" s="67" t="n"/>
      <c r="H43" s="67" t="n"/>
      <c r="I43" s="67" t="n"/>
      <c r="J43" s="67" t="n"/>
      <c r="K43" s="67" t="n"/>
      <c r="L43" s="67" t="n"/>
      <c r="M43" s="64" t="n"/>
      <c r="N43" s="84">
        <f>IF(A43="","",IFERROR(INDEX(Firms!$B$5:$B$1004,MATCH(A43,Firms!$A$5:$A$1004,0)),"Not on Firms tab"))</f>
        <v/>
      </c>
      <c r="O43" s="84">
        <f>IF(A43="","",IF(AND(D43&lt;&gt;"",D43&lt;TODAY()),"Expired",IF(AND(C43&lt;&gt;"",C43&gt;TODAY()),"Not yet effective",IF(C43="","No date",IF(TODAY()&gt;=EDATE(C43,Review_Months),"Review Due","Current")))))</f>
        <v/>
      </c>
      <c r="P43">
        <f>IF(A43="","",A43&amp;"|"&amp;B43)</f>
        <v/>
      </c>
      <c r="Q43">
        <f>IF(AND(A43&lt;&gt;"",A43='Firm Search'!$C$7),COUNTIF($A$5:A43,'Firm Search'!$C$7),"")</f>
        <v/>
      </c>
      <c r="R43">
        <f>IF(A43="","",COUNTIF($A$5:$A$1004,"&lt;"&amp;A43)+COUNTIF($A$5:A43,A43))</f>
        <v/>
      </c>
    </row>
    <row r="44">
      <c r="A44" s="64" t="n"/>
      <c r="B44" s="64" t="n"/>
      <c r="C44" s="66" t="n"/>
      <c r="D44" s="66" t="n"/>
      <c r="E44" s="67" t="n"/>
      <c r="F44" s="67" t="n"/>
      <c r="G44" s="67" t="n"/>
      <c r="H44" s="67" t="n"/>
      <c r="I44" s="67" t="n"/>
      <c r="J44" s="67" t="n"/>
      <c r="K44" s="67" t="n"/>
      <c r="L44" s="67" t="n"/>
      <c r="M44" s="64" t="n"/>
      <c r="N44" s="84">
        <f>IF(A44="","",IFERROR(INDEX(Firms!$B$5:$B$1004,MATCH(A44,Firms!$A$5:$A$1004,0)),"Not on Firms tab"))</f>
        <v/>
      </c>
      <c r="O44" s="84">
        <f>IF(A44="","",IF(AND(D44&lt;&gt;"",D44&lt;TODAY()),"Expired",IF(AND(C44&lt;&gt;"",C44&gt;TODAY()),"Not yet effective",IF(C44="","No date",IF(TODAY()&gt;=EDATE(C44,Review_Months),"Review Due","Current")))))</f>
        <v/>
      </c>
      <c r="P44">
        <f>IF(A44="","",A44&amp;"|"&amp;B44)</f>
        <v/>
      </c>
      <c r="Q44">
        <f>IF(AND(A44&lt;&gt;"",A44='Firm Search'!$C$7),COUNTIF($A$5:A44,'Firm Search'!$C$7),"")</f>
        <v/>
      </c>
      <c r="R44">
        <f>IF(A44="","",COUNTIF($A$5:$A$1004,"&lt;"&amp;A44)+COUNTIF($A$5:A44,A44))</f>
        <v/>
      </c>
    </row>
    <row r="45">
      <c r="A45" s="64" t="n"/>
      <c r="B45" s="64" t="n"/>
      <c r="C45" s="66" t="n"/>
      <c r="D45" s="66" t="n"/>
      <c r="E45" s="67" t="n"/>
      <c r="F45" s="67" t="n"/>
      <c r="G45" s="67" t="n"/>
      <c r="H45" s="67" t="n"/>
      <c r="I45" s="67" t="n"/>
      <c r="J45" s="67" t="n"/>
      <c r="K45" s="67" t="n"/>
      <c r="L45" s="67" t="n"/>
      <c r="M45" s="64" t="n"/>
      <c r="N45" s="84">
        <f>IF(A45="","",IFERROR(INDEX(Firms!$B$5:$B$1004,MATCH(A45,Firms!$A$5:$A$1004,0)),"Not on Firms tab"))</f>
        <v/>
      </c>
      <c r="O45" s="84">
        <f>IF(A45="","",IF(AND(D45&lt;&gt;"",D45&lt;TODAY()),"Expired",IF(AND(C45&lt;&gt;"",C45&gt;TODAY()),"Not yet effective",IF(C45="","No date",IF(TODAY()&gt;=EDATE(C45,Review_Months),"Review Due","Current")))))</f>
        <v/>
      </c>
      <c r="P45">
        <f>IF(A45="","",A45&amp;"|"&amp;B45)</f>
        <v/>
      </c>
      <c r="Q45">
        <f>IF(AND(A45&lt;&gt;"",A45='Firm Search'!$C$7),COUNTIF($A$5:A45,'Firm Search'!$C$7),"")</f>
        <v/>
      </c>
      <c r="R45">
        <f>IF(A45="","",COUNTIF($A$5:$A$1004,"&lt;"&amp;A45)+COUNTIF($A$5:A45,A45))</f>
        <v/>
      </c>
    </row>
    <row r="46">
      <c r="A46" s="64" t="n"/>
      <c r="B46" s="64" t="n"/>
      <c r="C46" s="66" t="n"/>
      <c r="D46" s="66" t="n"/>
      <c r="E46" s="67" t="n"/>
      <c r="F46" s="67" t="n"/>
      <c r="G46" s="67" t="n"/>
      <c r="H46" s="67" t="n"/>
      <c r="I46" s="67" t="n"/>
      <c r="J46" s="67" t="n"/>
      <c r="K46" s="67" t="n"/>
      <c r="L46" s="67" t="n"/>
      <c r="M46" s="64" t="n"/>
      <c r="N46" s="84">
        <f>IF(A46="","",IFERROR(INDEX(Firms!$B$5:$B$1004,MATCH(A46,Firms!$A$5:$A$1004,0)),"Not on Firms tab"))</f>
        <v/>
      </c>
      <c r="O46" s="84">
        <f>IF(A46="","",IF(AND(D46&lt;&gt;"",D46&lt;TODAY()),"Expired",IF(AND(C46&lt;&gt;"",C46&gt;TODAY()),"Not yet effective",IF(C46="","No date",IF(TODAY()&gt;=EDATE(C46,Review_Months),"Review Due","Current")))))</f>
        <v/>
      </c>
      <c r="P46">
        <f>IF(A46="","",A46&amp;"|"&amp;B46)</f>
        <v/>
      </c>
      <c r="Q46">
        <f>IF(AND(A46&lt;&gt;"",A46='Firm Search'!$C$7),COUNTIF($A$5:A46,'Firm Search'!$C$7),"")</f>
        <v/>
      </c>
      <c r="R46">
        <f>IF(A46="","",COUNTIF($A$5:$A$1004,"&lt;"&amp;A46)+COUNTIF($A$5:A46,A46))</f>
        <v/>
      </c>
    </row>
    <row r="47">
      <c r="A47" s="64" t="n"/>
      <c r="B47" s="64" t="n"/>
      <c r="C47" s="66" t="n"/>
      <c r="D47" s="66" t="n"/>
      <c r="E47" s="67" t="n"/>
      <c r="F47" s="67" t="n"/>
      <c r="G47" s="67" t="n"/>
      <c r="H47" s="67" t="n"/>
      <c r="I47" s="67" t="n"/>
      <c r="J47" s="67" t="n"/>
      <c r="K47" s="67" t="n"/>
      <c r="L47" s="67" t="n"/>
      <c r="M47" s="64" t="n"/>
      <c r="N47" s="84">
        <f>IF(A47="","",IFERROR(INDEX(Firms!$B$5:$B$1004,MATCH(A47,Firms!$A$5:$A$1004,0)),"Not on Firms tab"))</f>
        <v/>
      </c>
      <c r="O47" s="84">
        <f>IF(A47="","",IF(AND(D47&lt;&gt;"",D47&lt;TODAY()),"Expired",IF(AND(C47&lt;&gt;"",C47&gt;TODAY()),"Not yet effective",IF(C47="","No date",IF(TODAY()&gt;=EDATE(C47,Review_Months),"Review Due","Current")))))</f>
        <v/>
      </c>
      <c r="P47">
        <f>IF(A47="","",A47&amp;"|"&amp;B47)</f>
        <v/>
      </c>
      <c r="Q47">
        <f>IF(AND(A47&lt;&gt;"",A47='Firm Search'!$C$7),COUNTIF($A$5:A47,'Firm Search'!$C$7),"")</f>
        <v/>
      </c>
      <c r="R47">
        <f>IF(A47="","",COUNTIF($A$5:$A$1004,"&lt;"&amp;A47)+COUNTIF($A$5:A47,A47))</f>
        <v/>
      </c>
    </row>
    <row r="48">
      <c r="A48" s="64" t="n"/>
      <c r="B48" s="64" t="n"/>
      <c r="C48" s="66" t="n"/>
      <c r="D48" s="66" t="n"/>
      <c r="E48" s="67" t="n"/>
      <c r="F48" s="67" t="n"/>
      <c r="G48" s="67" t="n"/>
      <c r="H48" s="67" t="n"/>
      <c r="I48" s="67" t="n"/>
      <c r="J48" s="67" t="n"/>
      <c r="K48" s="67" t="n"/>
      <c r="L48" s="67" t="n"/>
      <c r="M48" s="64" t="n"/>
      <c r="N48" s="84">
        <f>IF(A48="","",IFERROR(INDEX(Firms!$B$5:$B$1004,MATCH(A48,Firms!$A$5:$A$1004,0)),"Not on Firms tab"))</f>
        <v/>
      </c>
      <c r="O48" s="84">
        <f>IF(A48="","",IF(AND(D48&lt;&gt;"",D48&lt;TODAY()),"Expired",IF(AND(C48&lt;&gt;"",C48&gt;TODAY()),"Not yet effective",IF(C48="","No date",IF(TODAY()&gt;=EDATE(C48,Review_Months),"Review Due","Current")))))</f>
        <v/>
      </c>
      <c r="P48">
        <f>IF(A48="","",A48&amp;"|"&amp;B48)</f>
        <v/>
      </c>
      <c r="Q48">
        <f>IF(AND(A48&lt;&gt;"",A48='Firm Search'!$C$7),COUNTIF($A$5:A48,'Firm Search'!$C$7),"")</f>
        <v/>
      </c>
      <c r="R48">
        <f>IF(A48="","",COUNTIF($A$5:$A$1004,"&lt;"&amp;A48)+COUNTIF($A$5:A48,A48))</f>
        <v/>
      </c>
    </row>
    <row r="49">
      <c r="A49" s="64" t="n"/>
      <c r="B49" s="64" t="n"/>
      <c r="C49" s="66" t="n"/>
      <c r="D49" s="66" t="n"/>
      <c r="E49" s="67" t="n"/>
      <c r="F49" s="67" t="n"/>
      <c r="G49" s="67" t="n"/>
      <c r="H49" s="67" t="n"/>
      <c r="I49" s="67" t="n"/>
      <c r="J49" s="67" t="n"/>
      <c r="K49" s="67" t="n"/>
      <c r="L49" s="67" t="n"/>
      <c r="M49" s="64" t="n"/>
      <c r="N49" s="84">
        <f>IF(A49="","",IFERROR(INDEX(Firms!$B$5:$B$1004,MATCH(A49,Firms!$A$5:$A$1004,0)),"Not on Firms tab"))</f>
        <v/>
      </c>
      <c r="O49" s="84">
        <f>IF(A49="","",IF(AND(D49&lt;&gt;"",D49&lt;TODAY()),"Expired",IF(AND(C49&lt;&gt;"",C49&gt;TODAY()),"Not yet effective",IF(C49="","No date",IF(TODAY()&gt;=EDATE(C49,Review_Months),"Review Due","Current")))))</f>
        <v/>
      </c>
      <c r="P49">
        <f>IF(A49="","",A49&amp;"|"&amp;B49)</f>
        <v/>
      </c>
      <c r="Q49">
        <f>IF(AND(A49&lt;&gt;"",A49='Firm Search'!$C$7),COUNTIF($A$5:A49,'Firm Search'!$C$7),"")</f>
        <v/>
      </c>
      <c r="R49">
        <f>IF(A49="","",COUNTIF($A$5:$A$1004,"&lt;"&amp;A49)+COUNTIF($A$5:A49,A49))</f>
        <v/>
      </c>
    </row>
    <row r="50">
      <c r="A50" s="64" t="n"/>
      <c r="B50" s="64" t="n"/>
      <c r="C50" s="66" t="n"/>
      <c r="D50" s="66" t="n"/>
      <c r="E50" s="67" t="n"/>
      <c r="F50" s="67" t="n"/>
      <c r="G50" s="67" t="n"/>
      <c r="H50" s="67" t="n"/>
      <c r="I50" s="67" t="n"/>
      <c r="J50" s="67" t="n"/>
      <c r="K50" s="67" t="n"/>
      <c r="L50" s="67" t="n"/>
      <c r="M50" s="64" t="n"/>
      <c r="N50" s="84">
        <f>IF(A50="","",IFERROR(INDEX(Firms!$B$5:$B$1004,MATCH(A50,Firms!$A$5:$A$1004,0)),"Not on Firms tab"))</f>
        <v/>
      </c>
      <c r="O50" s="84">
        <f>IF(A50="","",IF(AND(D50&lt;&gt;"",D50&lt;TODAY()),"Expired",IF(AND(C50&lt;&gt;"",C50&gt;TODAY()),"Not yet effective",IF(C50="","No date",IF(TODAY()&gt;=EDATE(C50,Review_Months),"Review Due","Current")))))</f>
        <v/>
      </c>
      <c r="P50">
        <f>IF(A50="","",A50&amp;"|"&amp;B50)</f>
        <v/>
      </c>
      <c r="Q50">
        <f>IF(AND(A50&lt;&gt;"",A50='Firm Search'!$C$7),COUNTIF($A$5:A50,'Firm Search'!$C$7),"")</f>
        <v/>
      </c>
      <c r="R50">
        <f>IF(A50="","",COUNTIF($A$5:$A$1004,"&lt;"&amp;A50)+COUNTIF($A$5:A50,A50))</f>
        <v/>
      </c>
    </row>
    <row r="51">
      <c r="A51" s="64" t="n"/>
      <c r="B51" s="64" t="n"/>
      <c r="C51" s="66" t="n"/>
      <c r="D51" s="66" t="n"/>
      <c r="E51" s="67" t="n"/>
      <c r="F51" s="67" t="n"/>
      <c r="G51" s="67" t="n"/>
      <c r="H51" s="67" t="n"/>
      <c r="I51" s="67" t="n"/>
      <c r="J51" s="67" t="n"/>
      <c r="K51" s="67" t="n"/>
      <c r="L51" s="67" t="n"/>
      <c r="M51" s="64" t="n"/>
      <c r="N51" s="84">
        <f>IF(A51="","",IFERROR(INDEX(Firms!$B$5:$B$1004,MATCH(A51,Firms!$A$5:$A$1004,0)),"Not on Firms tab"))</f>
        <v/>
      </c>
      <c r="O51" s="84">
        <f>IF(A51="","",IF(AND(D51&lt;&gt;"",D51&lt;TODAY()),"Expired",IF(AND(C51&lt;&gt;"",C51&gt;TODAY()),"Not yet effective",IF(C51="","No date",IF(TODAY()&gt;=EDATE(C51,Review_Months),"Review Due","Current")))))</f>
        <v/>
      </c>
      <c r="P51">
        <f>IF(A51="","",A51&amp;"|"&amp;B51)</f>
        <v/>
      </c>
      <c r="Q51">
        <f>IF(AND(A51&lt;&gt;"",A51='Firm Search'!$C$7),COUNTIF($A$5:A51,'Firm Search'!$C$7),"")</f>
        <v/>
      </c>
      <c r="R51">
        <f>IF(A51="","",COUNTIF($A$5:$A$1004,"&lt;"&amp;A51)+COUNTIF($A$5:A51,A51))</f>
        <v/>
      </c>
    </row>
    <row r="52">
      <c r="A52" s="64" t="n"/>
      <c r="B52" s="64" t="n"/>
      <c r="C52" s="66" t="n"/>
      <c r="D52" s="66" t="n"/>
      <c r="E52" s="67" t="n"/>
      <c r="F52" s="67" t="n"/>
      <c r="G52" s="67" t="n"/>
      <c r="H52" s="67" t="n"/>
      <c r="I52" s="67" t="n"/>
      <c r="J52" s="67" t="n"/>
      <c r="K52" s="67" t="n"/>
      <c r="L52" s="67" t="n"/>
      <c r="M52" s="64" t="n"/>
      <c r="N52" s="84">
        <f>IF(A52="","",IFERROR(INDEX(Firms!$B$5:$B$1004,MATCH(A52,Firms!$A$5:$A$1004,0)),"Not on Firms tab"))</f>
        <v/>
      </c>
      <c r="O52" s="84">
        <f>IF(A52="","",IF(AND(D52&lt;&gt;"",D52&lt;TODAY()),"Expired",IF(AND(C52&lt;&gt;"",C52&gt;TODAY()),"Not yet effective",IF(C52="","No date",IF(TODAY()&gt;=EDATE(C52,Review_Months),"Review Due","Current")))))</f>
        <v/>
      </c>
      <c r="P52">
        <f>IF(A52="","",A52&amp;"|"&amp;B52)</f>
        <v/>
      </c>
      <c r="Q52">
        <f>IF(AND(A52&lt;&gt;"",A52='Firm Search'!$C$7),COUNTIF($A$5:A52,'Firm Search'!$C$7),"")</f>
        <v/>
      </c>
      <c r="R52">
        <f>IF(A52="","",COUNTIF($A$5:$A$1004,"&lt;"&amp;A52)+COUNTIF($A$5:A52,A52))</f>
        <v/>
      </c>
    </row>
    <row r="53">
      <c r="A53" s="64" t="n"/>
      <c r="B53" s="64" t="n"/>
      <c r="C53" s="66" t="n"/>
      <c r="D53" s="66" t="n"/>
      <c r="E53" s="67" t="n"/>
      <c r="F53" s="67" t="n"/>
      <c r="G53" s="67" t="n"/>
      <c r="H53" s="67" t="n"/>
      <c r="I53" s="67" t="n"/>
      <c r="J53" s="67" t="n"/>
      <c r="K53" s="67" t="n"/>
      <c r="L53" s="67" t="n"/>
      <c r="M53" s="64" t="n"/>
      <c r="N53" s="84">
        <f>IF(A53="","",IFERROR(INDEX(Firms!$B$5:$B$1004,MATCH(A53,Firms!$A$5:$A$1004,0)),"Not on Firms tab"))</f>
        <v/>
      </c>
      <c r="O53" s="84">
        <f>IF(A53="","",IF(AND(D53&lt;&gt;"",D53&lt;TODAY()),"Expired",IF(AND(C53&lt;&gt;"",C53&gt;TODAY()),"Not yet effective",IF(C53="","No date",IF(TODAY()&gt;=EDATE(C53,Review_Months),"Review Due","Current")))))</f>
        <v/>
      </c>
      <c r="P53">
        <f>IF(A53="","",A53&amp;"|"&amp;B53)</f>
        <v/>
      </c>
      <c r="Q53">
        <f>IF(AND(A53&lt;&gt;"",A53='Firm Search'!$C$7),COUNTIF($A$5:A53,'Firm Search'!$C$7),"")</f>
        <v/>
      </c>
      <c r="R53">
        <f>IF(A53="","",COUNTIF($A$5:$A$1004,"&lt;"&amp;A53)+COUNTIF($A$5:A53,A53))</f>
        <v/>
      </c>
    </row>
    <row r="54">
      <c r="A54" s="64" t="n"/>
      <c r="B54" s="64" t="n"/>
      <c r="C54" s="66" t="n"/>
      <c r="D54" s="66" t="n"/>
      <c r="E54" s="67" t="n"/>
      <c r="F54" s="67" t="n"/>
      <c r="G54" s="67" t="n"/>
      <c r="H54" s="67" t="n"/>
      <c r="I54" s="67" t="n"/>
      <c r="J54" s="67" t="n"/>
      <c r="K54" s="67" t="n"/>
      <c r="L54" s="67" t="n"/>
      <c r="M54" s="64" t="n"/>
      <c r="N54" s="84">
        <f>IF(A54="","",IFERROR(INDEX(Firms!$B$5:$B$1004,MATCH(A54,Firms!$A$5:$A$1004,0)),"Not on Firms tab"))</f>
        <v/>
      </c>
      <c r="O54" s="84">
        <f>IF(A54="","",IF(AND(D54&lt;&gt;"",D54&lt;TODAY()),"Expired",IF(AND(C54&lt;&gt;"",C54&gt;TODAY()),"Not yet effective",IF(C54="","No date",IF(TODAY()&gt;=EDATE(C54,Review_Months),"Review Due","Current")))))</f>
        <v/>
      </c>
      <c r="P54">
        <f>IF(A54="","",A54&amp;"|"&amp;B54)</f>
        <v/>
      </c>
      <c r="Q54">
        <f>IF(AND(A54&lt;&gt;"",A54='Firm Search'!$C$7),COUNTIF($A$5:A54,'Firm Search'!$C$7),"")</f>
        <v/>
      </c>
      <c r="R54">
        <f>IF(A54="","",COUNTIF($A$5:$A$1004,"&lt;"&amp;A54)+COUNTIF($A$5:A54,A54))</f>
        <v/>
      </c>
    </row>
    <row r="55">
      <c r="A55" s="64" t="n"/>
      <c r="B55" s="64" t="n"/>
      <c r="C55" s="66" t="n"/>
      <c r="D55" s="66" t="n"/>
      <c r="E55" s="67" t="n"/>
      <c r="F55" s="67" t="n"/>
      <c r="G55" s="67" t="n"/>
      <c r="H55" s="67" t="n"/>
      <c r="I55" s="67" t="n"/>
      <c r="J55" s="67" t="n"/>
      <c r="K55" s="67" t="n"/>
      <c r="L55" s="67" t="n"/>
      <c r="M55" s="64" t="n"/>
      <c r="N55" s="84">
        <f>IF(A55="","",IFERROR(INDEX(Firms!$B$5:$B$1004,MATCH(A55,Firms!$A$5:$A$1004,0)),"Not on Firms tab"))</f>
        <v/>
      </c>
      <c r="O55" s="84">
        <f>IF(A55="","",IF(AND(D55&lt;&gt;"",D55&lt;TODAY()),"Expired",IF(AND(C55&lt;&gt;"",C55&gt;TODAY()),"Not yet effective",IF(C55="","No date",IF(TODAY()&gt;=EDATE(C55,Review_Months),"Review Due","Current")))))</f>
        <v/>
      </c>
      <c r="P55">
        <f>IF(A55="","",A55&amp;"|"&amp;B55)</f>
        <v/>
      </c>
      <c r="Q55">
        <f>IF(AND(A55&lt;&gt;"",A55='Firm Search'!$C$7),COUNTIF($A$5:A55,'Firm Search'!$C$7),"")</f>
        <v/>
      </c>
      <c r="R55">
        <f>IF(A55="","",COUNTIF($A$5:$A$1004,"&lt;"&amp;A55)+COUNTIF($A$5:A55,A55))</f>
        <v/>
      </c>
    </row>
    <row r="56">
      <c r="A56" s="64" t="n"/>
      <c r="B56" s="64" t="n"/>
      <c r="C56" s="66" t="n"/>
      <c r="D56" s="66" t="n"/>
      <c r="E56" s="67" t="n"/>
      <c r="F56" s="67" t="n"/>
      <c r="G56" s="67" t="n"/>
      <c r="H56" s="67" t="n"/>
      <c r="I56" s="67" t="n"/>
      <c r="J56" s="67" t="n"/>
      <c r="K56" s="67" t="n"/>
      <c r="L56" s="67" t="n"/>
      <c r="M56" s="64" t="n"/>
      <c r="N56" s="84">
        <f>IF(A56="","",IFERROR(INDEX(Firms!$B$5:$B$1004,MATCH(A56,Firms!$A$5:$A$1004,0)),"Not on Firms tab"))</f>
        <v/>
      </c>
      <c r="O56" s="84">
        <f>IF(A56="","",IF(AND(D56&lt;&gt;"",D56&lt;TODAY()),"Expired",IF(AND(C56&lt;&gt;"",C56&gt;TODAY()),"Not yet effective",IF(C56="","No date",IF(TODAY()&gt;=EDATE(C56,Review_Months),"Review Due","Current")))))</f>
        <v/>
      </c>
      <c r="P56">
        <f>IF(A56="","",A56&amp;"|"&amp;B56)</f>
        <v/>
      </c>
      <c r="Q56">
        <f>IF(AND(A56&lt;&gt;"",A56='Firm Search'!$C$7),COUNTIF($A$5:A56,'Firm Search'!$C$7),"")</f>
        <v/>
      </c>
      <c r="R56">
        <f>IF(A56="","",COUNTIF($A$5:$A$1004,"&lt;"&amp;A56)+COUNTIF($A$5:A56,A56))</f>
        <v/>
      </c>
    </row>
    <row r="57">
      <c r="A57" s="64" t="n"/>
      <c r="B57" s="64" t="n"/>
      <c r="C57" s="66" t="n"/>
      <c r="D57" s="66" t="n"/>
      <c r="E57" s="67" t="n"/>
      <c r="F57" s="67" t="n"/>
      <c r="G57" s="67" t="n"/>
      <c r="H57" s="67" t="n"/>
      <c r="I57" s="67" t="n"/>
      <c r="J57" s="67" t="n"/>
      <c r="K57" s="67" t="n"/>
      <c r="L57" s="67" t="n"/>
      <c r="M57" s="64" t="n"/>
      <c r="N57" s="84">
        <f>IF(A57="","",IFERROR(INDEX(Firms!$B$5:$B$1004,MATCH(A57,Firms!$A$5:$A$1004,0)),"Not on Firms tab"))</f>
        <v/>
      </c>
      <c r="O57" s="84">
        <f>IF(A57="","",IF(AND(D57&lt;&gt;"",D57&lt;TODAY()),"Expired",IF(AND(C57&lt;&gt;"",C57&gt;TODAY()),"Not yet effective",IF(C57="","No date",IF(TODAY()&gt;=EDATE(C57,Review_Months),"Review Due","Current")))))</f>
        <v/>
      </c>
      <c r="P57">
        <f>IF(A57="","",A57&amp;"|"&amp;B57)</f>
        <v/>
      </c>
      <c r="Q57">
        <f>IF(AND(A57&lt;&gt;"",A57='Firm Search'!$C$7),COUNTIF($A$5:A57,'Firm Search'!$C$7),"")</f>
        <v/>
      </c>
      <c r="R57">
        <f>IF(A57="","",COUNTIF($A$5:$A$1004,"&lt;"&amp;A57)+COUNTIF($A$5:A57,A57))</f>
        <v/>
      </c>
    </row>
    <row r="58">
      <c r="A58" s="64" t="n"/>
      <c r="B58" s="64" t="n"/>
      <c r="C58" s="66" t="n"/>
      <c r="D58" s="66" t="n"/>
      <c r="E58" s="67" t="n"/>
      <c r="F58" s="67" t="n"/>
      <c r="G58" s="67" t="n"/>
      <c r="H58" s="67" t="n"/>
      <c r="I58" s="67" t="n"/>
      <c r="J58" s="67" t="n"/>
      <c r="K58" s="67" t="n"/>
      <c r="L58" s="67" t="n"/>
      <c r="M58" s="64" t="n"/>
      <c r="N58" s="84">
        <f>IF(A58="","",IFERROR(INDEX(Firms!$B$5:$B$1004,MATCH(A58,Firms!$A$5:$A$1004,0)),"Not on Firms tab"))</f>
        <v/>
      </c>
      <c r="O58" s="84">
        <f>IF(A58="","",IF(AND(D58&lt;&gt;"",D58&lt;TODAY()),"Expired",IF(AND(C58&lt;&gt;"",C58&gt;TODAY()),"Not yet effective",IF(C58="","No date",IF(TODAY()&gt;=EDATE(C58,Review_Months),"Review Due","Current")))))</f>
        <v/>
      </c>
      <c r="P58">
        <f>IF(A58="","",A58&amp;"|"&amp;B58)</f>
        <v/>
      </c>
      <c r="Q58">
        <f>IF(AND(A58&lt;&gt;"",A58='Firm Search'!$C$7),COUNTIF($A$5:A58,'Firm Search'!$C$7),"")</f>
        <v/>
      </c>
      <c r="R58">
        <f>IF(A58="","",COUNTIF($A$5:$A$1004,"&lt;"&amp;A58)+COUNTIF($A$5:A58,A58))</f>
        <v/>
      </c>
    </row>
    <row r="59">
      <c r="A59" s="64" t="n"/>
      <c r="B59" s="64" t="n"/>
      <c r="C59" s="66" t="n"/>
      <c r="D59" s="66" t="n"/>
      <c r="E59" s="67" t="n"/>
      <c r="F59" s="67" t="n"/>
      <c r="G59" s="67" t="n"/>
      <c r="H59" s="67" t="n"/>
      <c r="I59" s="67" t="n"/>
      <c r="J59" s="67" t="n"/>
      <c r="K59" s="67" t="n"/>
      <c r="L59" s="67" t="n"/>
      <c r="M59" s="64" t="n"/>
      <c r="N59" s="84">
        <f>IF(A59="","",IFERROR(INDEX(Firms!$B$5:$B$1004,MATCH(A59,Firms!$A$5:$A$1004,0)),"Not on Firms tab"))</f>
        <v/>
      </c>
      <c r="O59" s="84">
        <f>IF(A59="","",IF(AND(D59&lt;&gt;"",D59&lt;TODAY()),"Expired",IF(AND(C59&lt;&gt;"",C59&gt;TODAY()),"Not yet effective",IF(C59="","No date",IF(TODAY()&gt;=EDATE(C59,Review_Months),"Review Due","Current")))))</f>
        <v/>
      </c>
      <c r="P59">
        <f>IF(A59="","",A59&amp;"|"&amp;B59)</f>
        <v/>
      </c>
      <c r="Q59">
        <f>IF(AND(A59&lt;&gt;"",A59='Firm Search'!$C$7),COUNTIF($A$5:A59,'Firm Search'!$C$7),"")</f>
        <v/>
      </c>
      <c r="R59">
        <f>IF(A59="","",COUNTIF($A$5:$A$1004,"&lt;"&amp;A59)+COUNTIF($A$5:A59,A59))</f>
        <v/>
      </c>
    </row>
    <row r="60">
      <c r="A60" s="64" t="n"/>
      <c r="B60" s="64" t="n"/>
      <c r="C60" s="66" t="n"/>
      <c r="D60" s="66" t="n"/>
      <c r="E60" s="67" t="n"/>
      <c r="F60" s="67" t="n"/>
      <c r="G60" s="67" t="n"/>
      <c r="H60" s="67" t="n"/>
      <c r="I60" s="67" t="n"/>
      <c r="J60" s="67" t="n"/>
      <c r="K60" s="67" t="n"/>
      <c r="L60" s="67" t="n"/>
      <c r="M60" s="64" t="n"/>
      <c r="N60" s="84">
        <f>IF(A60="","",IFERROR(INDEX(Firms!$B$5:$B$1004,MATCH(A60,Firms!$A$5:$A$1004,0)),"Not on Firms tab"))</f>
        <v/>
      </c>
      <c r="O60" s="84">
        <f>IF(A60="","",IF(AND(D60&lt;&gt;"",D60&lt;TODAY()),"Expired",IF(AND(C60&lt;&gt;"",C60&gt;TODAY()),"Not yet effective",IF(C60="","No date",IF(TODAY()&gt;=EDATE(C60,Review_Months),"Review Due","Current")))))</f>
        <v/>
      </c>
      <c r="P60">
        <f>IF(A60="","",A60&amp;"|"&amp;B60)</f>
        <v/>
      </c>
      <c r="Q60">
        <f>IF(AND(A60&lt;&gt;"",A60='Firm Search'!$C$7),COUNTIF($A$5:A60,'Firm Search'!$C$7),"")</f>
        <v/>
      </c>
      <c r="R60">
        <f>IF(A60="","",COUNTIF($A$5:$A$1004,"&lt;"&amp;A60)+COUNTIF($A$5:A60,A60))</f>
        <v/>
      </c>
    </row>
    <row r="61">
      <c r="A61" s="64" t="n"/>
      <c r="B61" s="64" t="n"/>
      <c r="C61" s="66" t="n"/>
      <c r="D61" s="66" t="n"/>
      <c r="E61" s="67" t="n"/>
      <c r="F61" s="67" t="n"/>
      <c r="G61" s="67" t="n"/>
      <c r="H61" s="67" t="n"/>
      <c r="I61" s="67" t="n"/>
      <c r="J61" s="67" t="n"/>
      <c r="K61" s="67" t="n"/>
      <c r="L61" s="67" t="n"/>
      <c r="M61" s="64" t="n"/>
      <c r="N61" s="84">
        <f>IF(A61="","",IFERROR(INDEX(Firms!$B$5:$B$1004,MATCH(A61,Firms!$A$5:$A$1004,0)),"Not on Firms tab"))</f>
        <v/>
      </c>
      <c r="O61" s="84">
        <f>IF(A61="","",IF(AND(D61&lt;&gt;"",D61&lt;TODAY()),"Expired",IF(AND(C61&lt;&gt;"",C61&gt;TODAY()),"Not yet effective",IF(C61="","No date",IF(TODAY()&gt;=EDATE(C61,Review_Months),"Review Due","Current")))))</f>
        <v/>
      </c>
      <c r="P61">
        <f>IF(A61="","",A61&amp;"|"&amp;B61)</f>
        <v/>
      </c>
      <c r="Q61">
        <f>IF(AND(A61&lt;&gt;"",A61='Firm Search'!$C$7),COUNTIF($A$5:A61,'Firm Search'!$C$7),"")</f>
        <v/>
      </c>
      <c r="R61">
        <f>IF(A61="","",COUNTIF($A$5:$A$1004,"&lt;"&amp;A61)+COUNTIF($A$5:A61,A61))</f>
        <v/>
      </c>
    </row>
    <row r="62">
      <c r="A62" s="64" t="n"/>
      <c r="B62" s="64" t="n"/>
      <c r="C62" s="66" t="n"/>
      <c r="D62" s="66" t="n"/>
      <c r="E62" s="67" t="n"/>
      <c r="F62" s="67" t="n"/>
      <c r="G62" s="67" t="n"/>
      <c r="H62" s="67" t="n"/>
      <c r="I62" s="67" t="n"/>
      <c r="J62" s="67" t="n"/>
      <c r="K62" s="67" t="n"/>
      <c r="L62" s="67" t="n"/>
      <c r="M62" s="64" t="n"/>
      <c r="N62" s="84">
        <f>IF(A62="","",IFERROR(INDEX(Firms!$B$5:$B$1004,MATCH(A62,Firms!$A$5:$A$1004,0)),"Not on Firms tab"))</f>
        <v/>
      </c>
      <c r="O62" s="84">
        <f>IF(A62="","",IF(AND(D62&lt;&gt;"",D62&lt;TODAY()),"Expired",IF(AND(C62&lt;&gt;"",C62&gt;TODAY()),"Not yet effective",IF(C62="","No date",IF(TODAY()&gt;=EDATE(C62,Review_Months),"Review Due","Current")))))</f>
        <v/>
      </c>
      <c r="P62">
        <f>IF(A62="","",A62&amp;"|"&amp;B62)</f>
        <v/>
      </c>
      <c r="Q62">
        <f>IF(AND(A62&lt;&gt;"",A62='Firm Search'!$C$7),COUNTIF($A$5:A62,'Firm Search'!$C$7),"")</f>
        <v/>
      </c>
      <c r="R62">
        <f>IF(A62="","",COUNTIF($A$5:$A$1004,"&lt;"&amp;A62)+COUNTIF($A$5:A62,A62))</f>
        <v/>
      </c>
    </row>
    <row r="63">
      <c r="A63" s="64" t="n"/>
      <c r="B63" s="64" t="n"/>
      <c r="C63" s="66" t="n"/>
      <c r="D63" s="66" t="n"/>
      <c r="E63" s="67" t="n"/>
      <c r="F63" s="67" t="n"/>
      <c r="G63" s="67" t="n"/>
      <c r="H63" s="67" t="n"/>
      <c r="I63" s="67" t="n"/>
      <c r="J63" s="67" t="n"/>
      <c r="K63" s="67" t="n"/>
      <c r="L63" s="67" t="n"/>
      <c r="M63" s="64" t="n"/>
      <c r="N63" s="84">
        <f>IF(A63="","",IFERROR(INDEX(Firms!$B$5:$B$1004,MATCH(A63,Firms!$A$5:$A$1004,0)),"Not on Firms tab"))</f>
        <v/>
      </c>
      <c r="O63" s="84">
        <f>IF(A63="","",IF(AND(D63&lt;&gt;"",D63&lt;TODAY()),"Expired",IF(AND(C63&lt;&gt;"",C63&gt;TODAY()),"Not yet effective",IF(C63="","No date",IF(TODAY()&gt;=EDATE(C63,Review_Months),"Review Due","Current")))))</f>
        <v/>
      </c>
      <c r="P63">
        <f>IF(A63="","",A63&amp;"|"&amp;B63)</f>
        <v/>
      </c>
      <c r="Q63">
        <f>IF(AND(A63&lt;&gt;"",A63='Firm Search'!$C$7),COUNTIF($A$5:A63,'Firm Search'!$C$7),"")</f>
        <v/>
      </c>
      <c r="R63">
        <f>IF(A63="","",COUNTIF($A$5:$A$1004,"&lt;"&amp;A63)+COUNTIF($A$5:A63,A63))</f>
        <v/>
      </c>
    </row>
    <row r="64">
      <c r="A64" s="64" t="n"/>
      <c r="B64" s="64" t="n"/>
      <c r="C64" s="66" t="n"/>
      <c r="D64" s="66" t="n"/>
      <c r="E64" s="67" t="n"/>
      <c r="F64" s="67" t="n"/>
      <c r="G64" s="67" t="n"/>
      <c r="H64" s="67" t="n"/>
      <c r="I64" s="67" t="n"/>
      <c r="J64" s="67" t="n"/>
      <c r="K64" s="67" t="n"/>
      <c r="L64" s="67" t="n"/>
      <c r="M64" s="64" t="n"/>
      <c r="N64" s="84">
        <f>IF(A64="","",IFERROR(INDEX(Firms!$B$5:$B$1004,MATCH(A64,Firms!$A$5:$A$1004,0)),"Not on Firms tab"))</f>
        <v/>
      </c>
      <c r="O64" s="84">
        <f>IF(A64="","",IF(AND(D64&lt;&gt;"",D64&lt;TODAY()),"Expired",IF(AND(C64&lt;&gt;"",C64&gt;TODAY()),"Not yet effective",IF(C64="","No date",IF(TODAY()&gt;=EDATE(C64,Review_Months),"Review Due","Current")))))</f>
        <v/>
      </c>
      <c r="P64">
        <f>IF(A64="","",A64&amp;"|"&amp;B64)</f>
        <v/>
      </c>
      <c r="Q64">
        <f>IF(AND(A64&lt;&gt;"",A64='Firm Search'!$C$7),COUNTIF($A$5:A64,'Firm Search'!$C$7),"")</f>
        <v/>
      </c>
      <c r="R64">
        <f>IF(A64="","",COUNTIF($A$5:$A$1004,"&lt;"&amp;A64)+COUNTIF($A$5:A64,A64))</f>
        <v/>
      </c>
    </row>
    <row r="65">
      <c r="A65" s="64" t="n"/>
      <c r="B65" s="64" t="n"/>
      <c r="C65" s="66" t="n"/>
      <c r="D65" s="66" t="n"/>
      <c r="E65" s="67" t="n"/>
      <c r="F65" s="67" t="n"/>
      <c r="G65" s="67" t="n"/>
      <c r="H65" s="67" t="n"/>
      <c r="I65" s="67" t="n"/>
      <c r="J65" s="67" t="n"/>
      <c r="K65" s="67" t="n"/>
      <c r="L65" s="67" t="n"/>
      <c r="M65" s="64" t="n"/>
      <c r="N65" s="84">
        <f>IF(A65="","",IFERROR(INDEX(Firms!$B$5:$B$1004,MATCH(A65,Firms!$A$5:$A$1004,0)),"Not on Firms tab"))</f>
        <v/>
      </c>
      <c r="O65" s="84">
        <f>IF(A65="","",IF(AND(D65&lt;&gt;"",D65&lt;TODAY()),"Expired",IF(AND(C65&lt;&gt;"",C65&gt;TODAY()),"Not yet effective",IF(C65="","No date",IF(TODAY()&gt;=EDATE(C65,Review_Months),"Review Due","Current")))))</f>
        <v/>
      </c>
      <c r="P65">
        <f>IF(A65="","",A65&amp;"|"&amp;B65)</f>
        <v/>
      </c>
      <c r="Q65">
        <f>IF(AND(A65&lt;&gt;"",A65='Firm Search'!$C$7),COUNTIF($A$5:A65,'Firm Search'!$C$7),"")</f>
        <v/>
      </c>
      <c r="R65">
        <f>IF(A65="","",COUNTIF($A$5:$A$1004,"&lt;"&amp;A65)+COUNTIF($A$5:A65,A65))</f>
        <v/>
      </c>
    </row>
    <row r="66">
      <c r="A66" s="64" t="n"/>
      <c r="B66" s="64" t="n"/>
      <c r="C66" s="66" t="n"/>
      <c r="D66" s="66" t="n"/>
      <c r="E66" s="67" t="n"/>
      <c r="F66" s="67" t="n"/>
      <c r="G66" s="67" t="n"/>
      <c r="H66" s="67" t="n"/>
      <c r="I66" s="67" t="n"/>
      <c r="J66" s="67" t="n"/>
      <c r="K66" s="67" t="n"/>
      <c r="L66" s="67" t="n"/>
      <c r="M66" s="64" t="n"/>
      <c r="N66" s="84">
        <f>IF(A66="","",IFERROR(INDEX(Firms!$B$5:$B$1004,MATCH(A66,Firms!$A$5:$A$1004,0)),"Not on Firms tab"))</f>
        <v/>
      </c>
      <c r="O66" s="84">
        <f>IF(A66="","",IF(AND(D66&lt;&gt;"",D66&lt;TODAY()),"Expired",IF(AND(C66&lt;&gt;"",C66&gt;TODAY()),"Not yet effective",IF(C66="","No date",IF(TODAY()&gt;=EDATE(C66,Review_Months),"Review Due","Current")))))</f>
        <v/>
      </c>
      <c r="P66">
        <f>IF(A66="","",A66&amp;"|"&amp;B66)</f>
        <v/>
      </c>
      <c r="Q66">
        <f>IF(AND(A66&lt;&gt;"",A66='Firm Search'!$C$7),COUNTIF($A$5:A66,'Firm Search'!$C$7),"")</f>
        <v/>
      </c>
      <c r="R66">
        <f>IF(A66="","",COUNTIF($A$5:$A$1004,"&lt;"&amp;A66)+COUNTIF($A$5:A66,A66))</f>
        <v/>
      </c>
    </row>
    <row r="67">
      <c r="A67" s="64" t="n"/>
      <c r="B67" s="64" t="n"/>
      <c r="C67" s="66" t="n"/>
      <c r="D67" s="66" t="n"/>
      <c r="E67" s="67" t="n"/>
      <c r="F67" s="67" t="n"/>
      <c r="G67" s="67" t="n"/>
      <c r="H67" s="67" t="n"/>
      <c r="I67" s="67" t="n"/>
      <c r="J67" s="67" t="n"/>
      <c r="K67" s="67" t="n"/>
      <c r="L67" s="67" t="n"/>
      <c r="M67" s="64" t="n"/>
      <c r="N67" s="84">
        <f>IF(A67="","",IFERROR(INDEX(Firms!$B$5:$B$1004,MATCH(A67,Firms!$A$5:$A$1004,0)),"Not on Firms tab"))</f>
        <v/>
      </c>
      <c r="O67" s="84">
        <f>IF(A67="","",IF(AND(D67&lt;&gt;"",D67&lt;TODAY()),"Expired",IF(AND(C67&lt;&gt;"",C67&gt;TODAY()),"Not yet effective",IF(C67="","No date",IF(TODAY()&gt;=EDATE(C67,Review_Months),"Review Due","Current")))))</f>
        <v/>
      </c>
      <c r="P67">
        <f>IF(A67="","",A67&amp;"|"&amp;B67)</f>
        <v/>
      </c>
      <c r="Q67">
        <f>IF(AND(A67&lt;&gt;"",A67='Firm Search'!$C$7),COUNTIF($A$5:A67,'Firm Search'!$C$7),"")</f>
        <v/>
      </c>
      <c r="R67">
        <f>IF(A67="","",COUNTIF($A$5:$A$1004,"&lt;"&amp;A67)+COUNTIF($A$5:A67,A67))</f>
        <v/>
      </c>
    </row>
    <row r="68">
      <c r="A68" s="64" t="n"/>
      <c r="B68" s="64" t="n"/>
      <c r="C68" s="66" t="n"/>
      <c r="D68" s="66" t="n"/>
      <c r="E68" s="67" t="n"/>
      <c r="F68" s="67" t="n"/>
      <c r="G68" s="67" t="n"/>
      <c r="H68" s="67" t="n"/>
      <c r="I68" s="67" t="n"/>
      <c r="J68" s="67" t="n"/>
      <c r="K68" s="67" t="n"/>
      <c r="L68" s="67" t="n"/>
      <c r="M68" s="64" t="n"/>
      <c r="N68" s="84">
        <f>IF(A68="","",IFERROR(INDEX(Firms!$B$5:$B$1004,MATCH(A68,Firms!$A$5:$A$1004,0)),"Not on Firms tab"))</f>
        <v/>
      </c>
      <c r="O68" s="84">
        <f>IF(A68="","",IF(AND(D68&lt;&gt;"",D68&lt;TODAY()),"Expired",IF(AND(C68&lt;&gt;"",C68&gt;TODAY()),"Not yet effective",IF(C68="","No date",IF(TODAY()&gt;=EDATE(C68,Review_Months),"Review Due","Current")))))</f>
        <v/>
      </c>
      <c r="P68">
        <f>IF(A68="","",A68&amp;"|"&amp;B68)</f>
        <v/>
      </c>
      <c r="Q68">
        <f>IF(AND(A68&lt;&gt;"",A68='Firm Search'!$C$7),COUNTIF($A$5:A68,'Firm Search'!$C$7),"")</f>
        <v/>
      </c>
      <c r="R68">
        <f>IF(A68="","",COUNTIF($A$5:$A$1004,"&lt;"&amp;A68)+COUNTIF($A$5:A68,A68))</f>
        <v/>
      </c>
    </row>
    <row r="69">
      <c r="A69" s="64" t="n"/>
      <c r="B69" s="64" t="n"/>
      <c r="C69" s="66" t="n"/>
      <c r="D69" s="66" t="n"/>
      <c r="E69" s="67" t="n"/>
      <c r="F69" s="67" t="n"/>
      <c r="G69" s="67" t="n"/>
      <c r="H69" s="67" t="n"/>
      <c r="I69" s="67" t="n"/>
      <c r="J69" s="67" t="n"/>
      <c r="K69" s="67" t="n"/>
      <c r="L69" s="67" t="n"/>
      <c r="M69" s="64" t="n"/>
      <c r="N69" s="84">
        <f>IF(A69="","",IFERROR(INDEX(Firms!$B$5:$B$1004,MATCH(A69,Firms!$A$5:$A$1004,0)),"Not on Firms tab"))</f>
        <v/>
      </c>
      <c r="O69" s="84">
        <f>IF(A69="","",IF(AND(D69&lt;&gt;"",D69&lt;TODAY()),"Expired",IF(AND(C69&lt;&gt;"",C69&gt;TODAY()),"Not yet effective",IF(C69="","No date",IF(TODAY()&gt;=EDATE(C69,Review_Months),"Review Due","Current")))))</f>
        <v/>
      </c>
      <c r="P69">
        <f>IF(A69="","",A69&amp;"|"&amp;B69)</f>
        <v/>
      </c>
      <c r="Q69">
        <f>IF(AND(A69&lt;&gt;"",A69='Firm Search'!$C$7),COUNTIF($A$5:A69,'Firm Search'!$C$7),"")</f>
        <v/>
      </c>
      <c r="R69">
        <f>IF(A69="","",COUNTIF($A$5:$A$1004,"&lt;"&amp;A69)+COUNTIF($A$5:A69,A69))</f>
        <v/>
      </c>
    </row>
    <row r="70">
      <c r="A70" s="64" t="n"/>
      <c r="B70" s="64" t="n"/>
      <c r="C70" s="66" t="n"/>
      <c r="D70" s="66" t="n"/>
      <c r="E70" s="67" t="n"/>
      <c r="F70" s="67" t="n"/>
      <c r="G70" s="67" t="n"/>
      <c r="H70" s="67" t="n"/>
      <c r="I70" s="67" t="n"/>
      <c r="J70" s="67" t="n"/>
      <c r="K70" s="67" t="n"/>
      <c r="L70" s="67" t="n"/>
      <c r="M70" s="64" t="n"/>
      <c r="N70" s="84">
        <f>IF(A70="","",IFERROR(INDEX(Firms!$B$5:$B$1004,MATCH(A70,Firms!$A$5:$A$1004,0)),"Not on Firms tab"))</f>
        <v/>
      </c>
      <c r="O70" s="84">
        <f>IF(A70="","",IF(AND(D70&lt;&gt;"",D70&lt;TODAY()),"Expired",IF(AND(C70&lt;&gt;"",C70&gt;TODAY()),"Not yet effective",IF(C70="","No date",IF(TODAY()&gt;=EDATE(C70,Review_Months),"Review Due","Current")))))</f>
        <v/>
      </c>
      <c r="P70">
        <f>IF(A70="","",A70&amp;"|"&amp;B70)</f>
        <v/>
      </c>
      <c r="Q70">
        <f>IF(AND(A70&lt;&gt;"",A70='Firm Search'!$C$7),COUNTIF($A$5:A70,'Firm Search'!$C$7),"")</f>
        <v/>
      </c>
      <c r="R70">
        <f>IF(A70="","",COUNTIF($A$5:$A$1004,"&lt;"&amp;A70)+COUNTIF($A$5:A70,A70))</f>
        <v/>
      </c>
    </row>
    <row r="71">
      <c r="A71" s="64" t="n"/>
      <c r="B71" s="64" t="n"/>
      <c r="C71" s="66" t="n"/>
      <c r="D71" s="66" t="n"/>
      <c r="E71" s="67" t="n"/>
      <c r="F71" s="67" t="n"/>
      <c r="G71" s="67" t="n"/>
      <c r="H71" s="67" t="n"/>
      <c r="I71" s="67" t="n"/>
      <c r="J71" s="67" t="n"/>
      <c r="K71" s="67" t="n"/>
      <c r="L71" s="67" t="n"/>
      <c r="M71" s="64" t="n"/>
      <c r="N71" s="84">
        <f>IF(A71="","",IFERROR(INDEX(Firms!$B$5:$B$1004,MATCH(A71,Firms!$A$5:$A$1004,0)),"Not on Firms tab"))</f>
        <v/>
      </c>
      <c r="O71" s="84">
        <f>IF(A71="","",IF(AND(D71&lt;&gt;"",D71&lt;TODAY()),"Expired",IF(AND(C71&lt;&gt;"",C71&gt;TODAY()),"Not yet effective",IF(C71="","No date",IF(TODAY()&gt;=EDATE(C71,Review_Months),"Review Due","Current")))))</f>
        <v/>
      </c>
      <c r="P71">
        <f>IF(A71="","",A71&amp;"|"&amp;B71)</f>
        <v/>
      </c>
      <c r="Q71">
        <f>IF(AND(A71&lt;&gt;"",A71='Firm Search'!$C$7),COUNTIF($A$5:A71,'Firm Search'!$C$7),"")</f>
        <v/>
      </c>
      <c r="R71">
        <f>IF(A71="","",COUNTIF($A$5:$A$1004,"&lt;"&amp;A71)+COUNTIF($A$5:A71,A71))</f>
        <v/>
      </c>
    </row>
    <row r="72">
      <c r="A72" s="64" t="n"/>
      <c r="B72" s="64" t="n"/>
      <c r="C72" s="66" t="n"/>
      <c r="D72" s="66" t="n"/>
      <c r="E72" s="67" t="n"/>
      <c r="F72" s="67" t="n"/>
      <c r="G72" s="67" t="n"/>
      <c r="H72" s="67" t="n"/>
      <c r="I72" s="67" t="n"/>
      <c r="J72" s="67" t="n"/>
      <c r="K72" s="67" t="n"/>
      <c r="L72" s="67" t="n"/>
      <c r="M72" s="64" t="n"/>
      <c r="N72" s="84">
        <f>IF(A72="","",IFERROR(INDEX(Firms!$B$5:$B$1004,MATCH(A72,Firms!$A$5:$A$1004,0)),"Not on Firms tab"))</f>
        <v/>
      </c>
      <c r="O72" s="84">
        <f>IF(A72="","",IF(AND(D72&lt;&gt;"",D72&lt;TODAY()),"Expired",IF(AND(C72&lt;&gt;"",C72&gt;TODAY()),"Not yet effective",IF(C72="","No date",IF(TODAY()&gt;=EDATE(C72,Review_Months),"Review Due","Current")))))</f>
        <v/>
      </c>
      <c r="P72">
        <f>IF(A72="","",A72&amp;"|"&amp;B72)</f>
        <v/>
      </c>
      <c r="Q72">
        <f>IF(AND(A72&lt;&gt;"",A72='Firm Search'!$C$7),COUNTIF($A$5:A72,'Firm Search'!$C$7),"")</f>
        <v/>
      </c>
      <c r="R72">
        <f>IF(A72="","",COUNTIF($A$5:$A$1004,"&lt;"&amp;A72)+COUNTIF($A$5:A72,A72))</f>
        <v/>
      </c>
    </row>
    <row r="73">
      <c r="A73" s="64" t="n"/>
      <c r="B73" s="64" t="n"/>
      <c r="C73" s="66" t="n"/>
      <c r="D73" s="66" t="n"/>
      <c r="E73" s="67" t="n"/>
      <c r="F73" s="67" t="n"/>
      <c r="G73" s="67" t="n"/>
      <c r="H73" s="67" t="n"/>
      <c r="I73" s="67" t="n"/>
      <c r="J73" s="67" t="n"/>
      <c r="K73" s="67" t="n"/>
      <c r="L73" s="67" t="n"/>
      <c r="M73" s="64" t="n"/>
      <c r="N73" s="84">
        <f>IF(A73="","",IFERROR(INDEX(Firms!$B$5:$B$1004,MATCH(A73,Firms!$A$5:$A$1004,0)),"Not on Firms tab"))</f>
        <v/>
      </c>
      <c r="O73" s="84">
        <f>IF(A73="","",IF(AND(D73&lt;&gt;"",D73&lt;TODAY()),"Expired",IF(AND(C73&lt;&gt;"",C73&gt;TODAY()),"Not yet effective",IF(C73="","No date",IF(TODAY()&gt;=EDATE(C73,Review_Months),"Review Due","Current")))))</f>
        <v/>
      </c>
      <c r="P73">
        <f>IF(A73="","",A73&amp;"|"&amp;B73)</f>
        <v/>
      </c>
      <c r="Q73">
        <f>IF(AND(A73&lt;&gt;"",A73='Firm Search'!$C$7),COUNTIF($A$5:A73,'Firm Search'!$C$7),"")</f>
        <v/>
      </c>
      <c r="R73">
        <f>IF(A73="","",COUNTIF($A$5:$A$1004,"&lt;"&amp;A73)+COUNTIF($A$5:A73,A73))</f>
        <v/>
      </c>
    </row>
    <row r="74">
      <c r="A74" s="64" t="n"/>
      <c r="B74" s="64" t="n"/>
      <c r="C74" s="66" t="n"/>
      <c r="D74" s="66" t="n"/>
      <c r="E74" s="67" t="n"/>
      <c r="F74" s="67" t="n"/>
      <c r="G74" s="67" t="n"/>
      <c r="H74" s="67" t="n"/>
      <c r="I74" s="67" t="n"/>
      <c r="J74" s="67" t="n"/>
      <c r="K74" s="67" t="n"/>
      <c r="L74" s="67" t="n"/>
      <c r="M74" s="64" t="n"/>
      <c r="N74" s="84">
        <f>IF(A74="","",IFERROR(INDEX(Firms!$B$5:$B$1004,MATCH(A74,Firms!$A$5:$A$1004,0)),"Not on Firms tab"))</f>
        <v/>
      </c>
      <c r="O74" s="84">
        <f>IF(A74="","",IF(AND(D74&lt;&gt;"",D74&lt;TODAY()),"Expired",IF(AND(C74&lt;&gt;"",C74&gt;TODAY()),"Not yet effective",IF(C74="","No date",IF(TODAY()&gt;=EDATE(C74,Review_Months),"Review Due","Current")))))</f>
        <v/>
      </c>
      <c r="P74">
        <f>IF(A74="","",A74&amp;"|"&amp;B74)</f>
        <v/>
      </c>
      <c r="Q74">
        <f>IF(AND(A74&lt;&gt;"",A74='Firm Search'!$C$7),COUNTIF($A$5:A74,'Firm Search'!$C$7),"")</f>
        <v/>
      </c>
      <c r="R74">
        <f>IF(A74="","",COUNTIF($A$5:$A$1004,"&lt;"&amp;A74)+COUNTIF($A$5:A74,A74))</f>
        <v/>
      </c>
    </row>
    <row r="75">
      <c r="A75" s="64" t="n"/>
      <c r="B75" s="64" t="n"/>
      <c r="C75" s="66" t="n"/>
      <c r="D75" s="66" t="n"/>
      <c r="E75" s="67" t="n"/>
      <c r="F75" s="67" t="n"/>
      <c r="G75" s="67" t="n"/>
      <c r="H75" s="67" t="n"/>
      <c r="I75" s="67" t="n"/>
      <c r="J75" s="67" t="n"/>
      <c r="K75" s="67" t="n"/>
      <c r="L75" s="67" t="n"/>
      <c r="M75" s="64" t="n"/>
      <c r="N75" s="84">
        <f>IF(A75="","",IFERROR(INDEX(Firms!$B$5:$B$1004,MATCH(A75,Firms!$A$5:$A$1004,0)),"Not on Firms tab"))</f>
        <v/>
      </c>
      <c r="O75" s="84">
        <f>IF(A75="","",IF(AND(D75&lt;&gt;"",D75&lt;TODAY()),"Expired",IF(AND(C75&lt;&gt;"",C75&gt;TODAY()),"Not yet effective",IF(C75="","No date",IF(TODAY()&gt;=EDATE(C75,Review_Months),"Review Due","Current")))))</f>
        <v/>
      </c>
      <c r="P75">
        <f>IF(A75="","",A75&amp;"|"&amp;B75)</f>
        <v/>
      </c>
      <c r="Q75">
        <f>IF(AND(A75&lt;&gt;"",A75='Firm Search'!$C$7),COUNTIF($A$5:A75,'Firm Search'!$C$7),"")</f>
        <v/>
      </c>
      <c r="R75">
        <f>IF(A75="","",COUNTIF($A$5:$A$1004,"&lt;"&amp;A75)+COUNTIF($A$5:A75,A75))</f>
        <v/>
      </c>
    </row>
    <row r="76">
      <c r="A76" s="64" t="n"/>
      <c r="B76" s="64" t="n"/>
      <c r="C76" s="66" t="n"/>
      <c r="D76" s="66" t="n"/>
      <c r="E76" s="67" t="n"/>
      <c r="F76" s="67" t="n"/>
      <c r="G76" s="67" t="n"/>
      <c r="H76" s="67" t="n"/>
      <c r="I76" s="67" t="n"/>
      <c r="J76" s="67" t="n"/>
      <c r="K76" s="67" t="n"/>
      <c r="L76" s="67" t="n"/>
      <c r="M76" s="64" t="n"/>
      <c r="N76" s="84">
        <f>IF(A76="","",IFERROR(INDEX(Firms!$B$5:$B$1004,MATCH(A76,Firms!$A$5:$A$1004,0)),"Not on Firms tab"))</f>
        <v/>
      </c>
      <c r="O76" s="84">
        <f>IF(A76="","",IF(AND(D76&lt;&gt;"",D76&lt;TODAY()),"Expired",IF(AND(C76&lt;&gt;"",C76&gt;TODAY()),"Not yet effective",IF(C76="","No date",IF(TODAY()&gt;=EDATE(C76,Review_Months),"Review Due","Current")))))</f>
        <v/>
      </c>
      <c r="P76">
        <f>IF(A76="","",A76&amp;"|"&amp;B76)</f>
        <v/>
      </c>
      <c r="Q76">
        <f>IF(AND(A76&lt;&gt;"",A76='Firm Search'!$C$7),COUNTIF($A$5:A76,'Firm Search'!$C$7),"")</f>
        <v/>
      </c>
      <c r="R76">
        <f>IF(A76="","",COUNTIF($A$5:$A$1004,"&lt;"&amp;A76)+COUNTIF($A$5:A76,A76))</f>
        <v/>
      </c>
    </row>
    <row r="77">
      <c r="A77" s="64" t="n"/>
      <c r="B77" s="64" t="n"/>
      <c r="C77" s="66" t="n"/>
      <c r="D77" s="66" t="n"/>
      <c r="E77" s="67" t="n"/>
      <c r="F77" s="67" t="n"/>
      <c r="G77" s="67" t="n"/>
      <c r="H77" s="67" t="n"/>
      <c r="I77" s="67" t="n"/>
      <c r="J77" s="67" t="n"/>
      <c r="K77" s="67" t="n"/>
      <c r="L77" s="67" t="n"/>
      <c r="M77" s="64" t="n"/>
      <c r="N77" s="84">
        <f>IF(A77="","",IFERROR(INDEX(Firms!$B$5:$B$1004,MATCH(A77,Firms!$A$5:$A$1004,0)),"Not on Firms tab"))</f>
        <v/>
      </c>
      <c r="O77" s="84">
        <f>IF(A77="","",IF(AND(D77&lt;&gt;"",D77&lt;TODAY()),"Expired",IF(AND(C77&lt;&gt;"",C77&gt;TODAY()),"Not yet effective",IF(C77="","No date",IF(TODAY()&gt;=EDATE(C77,Review_Months),"Review Due","Current")))))</f>
        <v/>
      </c>
      <c r="P77">
        <f>IF(A77="","",A77&amp;"|"&amp;B77)</f>
        <v/>
      </c>
      <c r="Q77">
        <f>IF(AND(A77&lt;&gt;"",A77='Firm Search'!$C$7),COUNTIF($A$5:A77,'Firm Search'!$C$7),"")</f>
        <v/>
      </c>
      <c r="R77">
        <f>IF(A77="","",COUNTIF($A$5:$A$1004,"&lt;"&amp;A77)+COUNTIF($A$5:A77,A77))</f>
        <v/>
      </c>
    </row>
    <row r="78">
      <c r="A78" s="64" t="n"/>
      <c r="B78" s="64" t="n"/>
      <c r="C78" s="66" t="n"/>
      <c r="D78" s="66" t="n"/>
      <c r="E78" s="67" t="n"/>
      <c r="F78" s="67" t="n"/>
      <c r="G78" s="67" t="n"/>
      <c r="H78" s="67" t="n"/>
      <c r="I78" s="67" t="n"/>
      <c r="J78" s="67" t="n"/>
      <c r="K78" s="67" t="n"/>
      <c r="L78" s="67" t="n"/>
      <c r="M78" s="64" t="n"/>
      <c r="N78" s="84">
        <f>IF(A78="","",IFERROR(INDEX(Firms!$B$5:$B$1004,MATCH(A78,Firms!$A$5:$A$1004,0)),"Not on Firms tab"))</f>
        <v/>
      </c>
      <c r="O78" s="84">
        <f>IF(A78="","",IF(AND(D78&lt;&gt;"",D78&lt;TODAY()),"Expired",IF(AND(C78&lt;&gt;"",C78&gt;TODAY()),"Not yet effective",IF(C78="","No date",IF(TODAY()&gt;=EDATE(C78,Review_Months),"Review Due","Current")))))</f>
        <v/>
      </c>
      <c r="P78">
        <f>IF(A78="","",A78&amp;"|"&amp;B78)</f>
        <v/>
      </c>
      <c r="Q78">
        <f>IF(AND(A78&lt;&gt;"",A78='Firm Search'!$C$7),COUNTIF($A$5:A78,'Firm Search'!$C$7),"")</f>
        <v/>
      </c>
      <c r="R78">
        <f>IF(A78="","",COUNTIF($A$5:$A$1004,"&lt;"&amp;A78)+COUNTIF($A$5:A78,A78))</f>
        <v/>
      </c>
    </row>
    <row r="79">
      <c r="A79" s="64" t="n"/>
      <c r="B79" s="64" t="n"/>
      <c r="C79" s="66" t="n"/>
      <c r="D79" s="66" t="n"/>
      <c r="E79" s="67" t="n"/>
      <c r="F79" s="67" t="n"/>
      <c r="G79" s="67" t="n"/>
      <c r="H79" s="67" t="n"/>
      <c r="I79" s="67" t="n"/>
      <c r="J79" s="67" t="n"/>
      <c r="K79" s="67" t="n"/>
      <c r="L79" s="67" t="n"/>
      <c r="M79" s="64" t="n"/>
      <c r="N79" s="84">
        <f>IF(A79="","",IFERROR(INDEX(Firms!$B$5:$B$1004,MATCH(A79,Firms!$A$5:$A$1004,0)),"Not on Firms tab"))</f>
        <v/>
      </c>
      <c r="O79" s="84">
        <f>IF(A79="","",IF(AND(D79&lt;&gt;"",D79&lt;TODAY()),"Expired",IF(AND(C79&lt;&gt;"",C79&gt;TODAY()),"Not yet effective",IF(C79="","No date",IF(TODAY()&gt;=EDATE(C79,Review_Months),"Review Due","Current")))))</f>
        <v/>
      </c>
      <c r="P79">
        <f>IF(A79="","",A79&amp;"|"&amp;B79)</f>
        <v/>
      </c>
      <c r="Q79">
        <f>IF(AND(A79&lt;&gt;"",A79='Firm Search'!$C$7),COUNTIF($A$5:A79,'Firm Search'!$C$7),"")</f>
        <v/>
      </c>
      <c r="R79">
        <f>IF(A79="","",COUNTIF($A$5:$A$1004,"&lt;"&amp;A79)+COUNTIF($A$5:A79,A79))</f>
        <v/>
      </c>
    </row>
    <row r="80">
      <c r="A80" s="64" t="n"/>
      <c r="B80" s="64" t="n"/>
      <c r="C80" s="66" t="n"/>
      <c r="D80" s="66" t="n"/>
      <c r="E80" s="67" t="n"/>
      <c r="F80" s="67" t="n"/>
      <c r="G80" s="67" t="n"/>
      <c r="H80" s="67" t="n"/>
      <c r="I80" s="67" t="n"/>
      <c r="J80" s="67" t="n"/>
      <c r="K80" s="67" t="n"/>
      <c r="L80" s="67" t="n"/>
      <c r="M80" s="64" t="n"/>
      <c r="N80" s="84">
        <f>IF(A80="","",IFERROR(INDEX(Firms!$B$5:$B$1004,MATCH(A80,Firms!$A$5:$A$1004,0)),"Not on Firms tab"))</f>
        <v/>
      </c>
      <c r="O80" s="84">
        <f>IF(A80="","",IF(AND(D80&lt;&gt;"",D80&lt;TODAY()),"Expired",IF(AND(C80&lt;&gt;"",C80&gt;TODAY()),"Not yet effective",IF(C80="","No date",IF(TODAY()&gt;=EDATE(C80,Review_Months),"Review Due","Current")))))</f>
        <v/>
      </c>
      <c r="P80">
        <f>IF(A80="","",A80&amp;"|"&amp;B80)</f>
        <v/>
      </c>
      <c r="Q80">
        <f>IF(AND(A80&lt;&gt;"",A80='Firm Search'!$C$7),COUNTIF($A$5:A80,'Firm Search'!$C$7),"")</f>
        <v/>
      </c>
      <c r="R80">
        <f>IF(A80="","",COUNTIF($A$5:$A$1004,"&lt;"&amp;A80)+COUNTIF($A$5:A80,A80))</f>
        <v/>
      </c>
    </row>
    <row r="81">
      <c r="A81" s="64" t="n"/>
      <c r="B81" s="64" t="n"/>
      <c r="C81" s="66" t="n"/>
      <c r="D81" s="66" t="n"/>
      <c r="E81" s="67" t="n"/>
      <c r="F81" s="67" t="n"/>
      <c r="G81" s="67" t="n"/>
      <c r="H81" s="67" t="n"/>
      <c r="I81" s="67" t="n"/>
      <c r="J81" s="67" t="n"/>
      <c r="K81" s="67" t="n"/>
      <c r="L81" s="67" t="n"/>
      <c r="M81" s="64" t="n"/>
      <c r="N81" s="84">
        <f>IF(A81="","",IFERROR(INDEX(Firms!$B$5:$B$1004,MATCH(A81,Firms!$A$5:$A$1004,0)),"Not on Firms tab"))</f>
        <v/>
      </c>
      <c r="O81" s="84">
        <f>IF(A81="","",IF(AND(D81&lt;&gt;"",D81&lt;TODAY()),"Expired",IF(AND(C81&lt;&gt;"",C81&gt;TODAY()),"Not yet effective",IF(C81="","No date",IF(TODAY()&gt;=EDATE(C81,Review_Months),"Review Due","Current")))))</f>
        <v/>
      </c>
      <c r="P81">
        <f>IF(A81="","",A81&amp;"|"&amp;B81)</f>
        <v/>
      </c>
      <c r="Q81">
        <f>IF(AND(A81&lt;&gt;"",A81='Firm Search'!$C$7),COUNTIF($A$5:A81,'Firm Search'!$C$7),"")</f>
        <v/>
      </c>
      <c r="R81">
        <f>IF(A81="","",COUNTIF($A$5:$A$1004,"&lt;"&amp;A81)+COUNTIF($A$5:A81,A81))</f>
        <v/>
      </c>
    </row>
    <row r="82">
      <c r="A82" s="64" t="n"/>
      <c r="B82" s="64" t="n"/>
      <c r="C82" s="66" t="n"/>
      <c r="D82" s="66" t="n"/>
      <c r="E82" s="67" t="n"/>
      <c r="F82" s="67" t="n"/>
      <c r="G82" s="67" t="n"/>
      <c r="H82" s="67" t="n"/>
      <c r="I82" s="67" t="n"/>
      <c r="J82" s="67" t="n"/>
      <c r="K82" s="67" t="n"/>
      <c r="L82" s="67" t="n"/>
      <c r="M82" s="64" t="n"/>
      <c r="N82" s="84">
        <f>IF(A82="","",IFERROR(INDEX(Firms!$B$5:$B$1004,MATCH(A82,Firms!$A$5:$A$1004,0)),"Not on Firms tab"))</f>
        <v/>
      </c>
      <c r="O82" s="84">
        <f>IF(A82="","",IF(AND(D82&lt;&gt;"",D82&lt;TODAY()),"Expired",IF(AND(C82&lt;&gt;"",C82&gt;TODAY()),"Not yet effective",IF(C82="","No date",IF(TODAY()&gt;=EDATE(C82,Review_Months),"Review Due","Current")))))</f>
        <v/>
      </c>
      <c r="P82">
        <f>IF(A82="","",A82&amp;"|"&amp;B82)</f>
        <v/>
      </c>
      <c r="Q82">
        <f>IF(AND(A82&lt;&gt;"",A82='Firm Search'!$C$7),COUNTIF($A$5:A82,'Firm Search'!$C$7),"")</f>
        <v/>
      </c>
      <c r="R82">
        <f>IF(A82="","",COUNTIF($A$5:$A$1004,"&lt;"&amp;A82)+COUNTIF($A$5:A82,A82))</f>
        <v/>
      </c>
    </row>
    <row r="83">
      <c r="A83" s="64" t="n"/>
      <c r="B83" s="64" t="n"/>
      <c r="C83" s="66" t="n"/>
      <c r="D83" s="66" t="n"/>
      <c r="E83" s="67" t="n"/>
      <c r="F83" s="67" t="n"/>
      <c r="G83" s="67" t="n"/>
      <c r="H83" s="67" t="n"/>
      <c r="I83" s="67" t="n"/>
      <c r="J83" s="67" t="n"/>
      <c r="K83" s="67" t="n"/>
      <c r="L83" s="67" t="n"/>
      <c r="M83" s="64" t="n"/>
      <c r="N83" s="84">
        <f>IF(A83="","",IFERROR(INDEX(Firms!$B$5:$B$1004,MATCH(A83,Firms!$A$5:$A$1004,0)),"Not on Firms tab"))</f>
        <v/>
      </c>
      <c r="O83" s="84">
        <f>IF(A83="","",IF(AND(D83&lt;&gt;"",D83&lt;TODAY()),"Expired",IF(AND(C83&lt;&gt;"",C83&gt;TODAY()),"Not yet effective",IF(C83="","No date",IF(TODAY()&gt;=EDATE(C83,Review_Months),"Review Due","Current")))))</f>
        <v/>
      </c>
      <c r="P83">
        <f>IF(A83="","",A83&amp;"|"&amp;B83)</f>
        <v/>
      </c>
      <c r="Q83">
        <f>IF(AND(A83&lt;&gt;"",A83='Firm Search'!$C$7),COUNTIF($A$5:A83,'Firm Search'!$C$7),"")</f>
        <v/>
      </c>
      <c r="R83">
        <f>IF(A83="","",COUNTIF($A$5:$A$1004,"&lt;"&amp;A83)+COUNTIF($A$5:A83,A83))</f>
        <v/>
      </c>
    </row>
    <row r="84">
      <c r="A84" s="64" t="n"/>
      <c r="B84" s="64" t="n"/>
      <c r="C84" s="66" t="n"/>
      <c r="D84" s="66" t="n"/>
      <c r="E84" s="67" t="n"/>
      <c r="F84" s="67" t="n"/>
      <c r="G84" s="67" t="n"/>
      <c r="H84" s="67" t="n"/>
      <c r="I84" s="67" t="n"/>
      <c r="J84" s="67" t="n"/>
      <c r="K84" s="67" t="n"/>
      <c r="L84" s="67" t="n"/>
      <c r="M84" s="64" t="n"/>
      <c r="N84" s="84">
        <f>IF(A84="","",IFERROR(INDEX(Firms!$B$5:$B$1004,MATCH(A84,Firms!$A$5:$A$1004,0)),"Not on Firms tab"))</f>
        <v/>
      </c>
      <c r="O84" s="84">
        <f>IF(A84="","",IF(AND(D84&lt;&gt;"",D84&lt;TODAY()),"Expired",IF(AND(C84&lt;&gt;"",C84&gt;TODAY()),"Not yet effective",IF(C84="","No date",IF(TODAY()&gt;=EDATE(C84,Review_Months),"Review Due","Current")))))</f>
        <v/>
      </c>
      <c r="P84">
        <f>IF(A84="","",A84&amp;"|"&amp;B84)</f>
        <v/>
      </c>
      <c r="Q84">
        <f>IF(AND(A84&lt;&gt;"",A84='Firm Search'!$C$7),COUNTIF($A$5:A84,'Firm Search'!$C$7),"")</f>
        <v/>
      </c>
      <c r="R84">
        <f>IF(A84="","",COUNTIF($A$5:$A$1004,"&lt;"&amp;A84)+COUNTIF($A$5:A84,A84))</f>
        <v/>
      </c>
    </row>
    <row r="85">
      <c r="A85" s="64" t="n"/>
      <c r="B85" s="64" t="n"/>
      <c r="C85" s="66" t="n"/>
      <c r="D85" s="66" t="n"/>
      <c r="E85" s="67" t="n"/>
      <c r="F85" s="67" t="n"/>
      <c r="G85" s="67" t="n"/>
      <c r="H85" s="67" t="n"/>
      <c r="I85" s="67" t="n"/>
      <c r="J85" s="67" t="n"/>
      <c r="K85" s="67" t="n"/>
      <c r="L85" s="67" t="n"/>
      <c r="M85" s="64" t="n"/>
      <c r="N85" s="84">
        <f>IF(A85="","",IFERROR(INDEX(Firms!$B$5:$B$1004,MATCH(A85,Firms!$A$5:$A$1004,0)),"Not on Firms tab"))</f>
        <v/>
      </c>
      <c r="O85" s="84">
        <f>IF(A85="","",IF(AND(D85&lt;&gt;"",D85&lt;TODAY()),"Expired",IF(AND(C85&lt;&gt;"",C85&gt;TODAY()),"Not yet effective",IF(C85="","No date",IF(TODAY()&gt;=EDATE(C85,Review_Months),"Review Due","Current")))))</f>
        <v/>
      </c>
      <c r="P85">
        <f>IF(A85="","",A85&amp;"|"&amp;B85)</f>
        <v/>
      </c>
      <c r="Q85">
        <f>IF(AND(A85&lt;&gt;"",A85='Firm Search'!$C$7),COUNTIF($A$5:A85,'Firm Search'!$C$7),"")</f>
        <v/>
      </c>
      <c r="R85">
        <f>IF(A85="","",COUNTIF($A$5:$A$1004,"&lt;"&amp;A85)+COUNTIF($A$5:A85,A85))</f>
        <v/>
      </c>
    </row>
    <row r="86">
      <c r="A86" s="64" t="n"/>
      <c r="B86" s="64" t="n"/>
      <c r="C86" s="66" t="n"/>
      <c r="D86" s="66" t="n"/>
      <c r="E86" s="67" t="n"/>
      <c r="F86" s="67" t="n"/>
      <c r="G86" s="67" t="n"/>
      <c r="H86" s="67" t="n"/>
      <c r="I86" s="67" t="n"/>
      <c r="J86" s="67" t="n"/>
      <c r="K86" s="67" t="n"/>
      <c r="L86" s="67" t="n"/>
      <c r="M86" s="64" t="n"/>
      <c r="N86" s="84">
        <f>IF(A86="","",IFERROR(INDEX(Firms!$B$5:$B$1004,MATCH(A86,Firms!$A$5:$A$1004,0)),"Not on Firms tab"))</f>
        <v/>
      </c>
      <c r="O86" s="84">
        <f>IF(A86="","",IF(AND(D86&lt;&gt;"",D86&lt;TODAY()),"Expired",IF(AND(C86&lt;&gt;"",C86&gt;TODAY()),"Not yet effective",IF(C86="","No date",IF(TODAY()&gt;=EDATE(C86,Review_Months),"Review Due","Current")))))</f>
        <v/>
      </c>
      <c r="P86">
        <f>IF(A86="","",A86&amp;"|"&amp;B86)</f>
        <v/>
      </c>
      <c r="Q86">
        <f>IF(AND(A86&lt;&gt;"",A86='Firm Search'!$C$7),COUNTIF($A$5:A86,'Firm Search'!$C$7),"")</f>
        <v/>
      </c>
      <c r="R86">
        <f>IF(A86="","",COUNTIF($A$5:$A$1004,"&lt;"&amp;A86)+COUNTIF($A$5:A86,A86))</f>
        <v/>
      </c>
    </row>
    <row r="87">
      <c r="A87" s="64" t="n"/>
      <c r="B87" s="64" t="n"/>
      <c r="C87" s="66" t="n"/>
      <c r="D87" s="66" t="n"/>
      <c r="E87" s="67" t="n"/>
      <c r="F87" s="67" t="n"/>
      <c r="G87" s="67" t="n"/>
      <c r="H87" s="67" t="n"/>
      <c r="I87" s="67" t="n"/>
      <c r="J87" s="67" t="n"/>
      <c r="K87" s="67" t="n"/>
      <c r="L87" s="67" t="n"/>
      <c r="M87" s="64" t="n"/>
      <c r="N87" s="84">
        <f>IF(A87="","",IFERROR(INDEX(Firms!$B$5:$B$1004,MATCH(A87,Firms!$A$5:$A$1004,0)),"Not on Firms tab"))</f>
        <v/>
      </c>
      <c r="O87" s="84">
        <f>IF(A87="","",IF(AND(D87&lt;&gt;"",D87&lt;TODAY()),"Expired",IF(AND(C87&lt;&gt;"",C87&gt;TODAY()),"Not yet effective",IF(C87="","No date",IF(TODAY()&gt;=EDATE(C87,Review_Months),"Review Due","Current")))))</f>
        <v/>
      </c>
      <c r="P87">
        <f>IF(A87="","",A87&amp;"|"&amp;B87)</f>
        <v/>
      </c>
      <c r="Q87">
        <f>IF(AND(A87&lt;&gt;"",A87='Firm Search'!$C$7),COUNTIF($A$5:A87,'Firm Search'!$C$7),"")</f>
        <v/>
      </c>
      <c r="R87">
        <f>IF(A87="","",COUNTIF($A$5:$A$1004,"&lt;"&amp;A87)+COUNTIF($A$5:A87,A87))</f>
        <v/>
      </c>
    </row>
    <row r="88">
      <c r="A88" s="64" t="n"/>
      <c r="B88" s="64" t="n"/>
      <c r="C88" s="66" t="n"/>
      <c r="D88" s="66" t="n"/>
      <c r="E88" s="67" t="n"/>
      <c r="F88" s="67" t="n"/>
      <c r="G88" s="67" t="n"/>
      <c r="H88" s="67" t="n"/>
      <c r="I88" s="67" t="n"/>
      <c r="J88" s="67" t="n"/>
      <c r="K88" s="67" t="n"/>
      <c r="L88" s="67" t="n"/>
      <c r="M88" s="64" t="n"/>
      <c r="N88" s="84">
        <f>IF(A88="","",IFERROR(INDEX(Firms!$B$5:$B$1004,MATCH(A88,Firms!$A$5:$A$1004,0)),"Not on Firms tab"))</f>
        <v/>
      </c>
      <c r="O88" s="84">
        <f>IF(A88="","",IF(AND(D88&lt;&gt;"",D88&lt;TODAY()),"Expired",IF(AND(C88&lt;&gt;"",C88&gt;TODAY()),"Not yet effective",IF(C88="","No date",IF(TODAY()&gt;=EDATE(C88,Review_Months),"Review Due","Current")))))</f>
        <v/>
      </c>
      <c r="P88">
        <f>IF(A88="","",A88&amp;"|"&amp;B88)</f>
        <v/>
      </c>
      <c r="Q88">
        <f>IF(AND(A88&lt;&gt;"",A88='Firm Search'!$C$7),COUNTIF($A$5:A88,'Firm Search'!$C$7),"")</f>
        <v/>
      </c>
      <c r="R88">
        <f>IF(A88="","",COUNTIF($A$5:$A$1004,"&lt;"&amp;A88)+COUNTIF($A$5:A88,A88))</f>
        <v/>
      </c>
    </row>
    <row r="89">
      <c r="A89" s="64" t="n"/>
      <c r="B89" s="64" t="n"/>
      <c r="C89" s="66" t="n"/>
      <c r="D89" s="66" t="n"/>
      <c r="E89" s="67" t="n"/>
      <c r="F89" s="67" t="n"/>
      <c r="G89" s="67" t="n"/>
      <c r="H89" s="67" t="n"/>
      <c r="I89" s="67" t="n"/>
      <c r="J89" s="67" t="n"/>
      <c r="K89" s="67" t="n"/>
      <c r="L89" s="67" t="n"/>
      <c r="M89" s="64" t="n"/>
      <c r="N89" s="84">
        <f>IF(A89="","",IFERROR(INDEX(Firms!$B$5:$B$1004,MATCH(A89,Firms!$A$5:$A$1004,0)),"Not on Firms tab"))</f>
        <v/>
      </c>
      <c r="O89" s="84">
        <f>IF(A89="","",IF(AND(D89&lt;&gt;"",D89&lt;TODAY()),"Expired",IF(AND(C89&lt;&gt;"",C89&gt;TODAY()),"Not yet effective",IF(C89="","No date",IF(TODAY()&gt;=EDATE(C89,Review_Months),"Review Due","Current")))))</f>
        <v/>
      </c>
      <c r="P89">
        <f>IF(A89="","",A89&amp;"|"&amp;B89)</f>
        <v/>
      </c>
      <c r="Q89">
        <f>IF(AND(A89&lt;&gt;"",A89='Firm Search'!$C$7),COUNTIF($A$5:A89,'Firm Search'!$C$7),"")</f>
        <v/>
      </c>
      <c r="R89">
        <f>IF(A89="","",COUNTIF($A$5:$A$1004,"&lt;"&amp;A89)+COUNTIF($A$5:A89,A89))</f>
        <v/>
      </c>
    </row>
    <row r="90">
      <c r="A90" s="64" t="n"/>
      <c r="B90" s="64" t="n"/>
      <c r="C90" s="66" t="n"/>
      <c r="D90" s="66" t="n"/>
      <c r="E90" s="67" t="n"/>
      <c r="F90" s="67" t="n"/>
      <c r="G90" s="67" t="n"/>
      <c r="H90" s="67" t="n"/>
      <c r="I90" s="67" t="n"/>
      <c r="J90" s="67" t="n"/>
      <c r="K90" s="67" t="n"/>
      <c r="L90" s="67" t="n"/>
      <c r="M90" s="64" t="n"/>
      <c r="N90" s="84">
        <f>IF(A90="","",IFERROR(INDEX(Firms!$B$5:$B$1004,MATCH(A90,Firms!$A$5:$A$1004,0)),"Not on Firms tab"))</f>
        <v/>
      </c>
      <c r="O90" s="84">
        <f>IF(A90="","",IF(AND(D90&lt;&gt;"",D90&lt;TODAY()),"Expired",IF(AND(C90&lt;&gt;"",C90&gt;TODAY()),"Not yet effective",IF(C90="","No date",IF(TODAY()&gt;=EDATE(C90,Review_Months),"Review Due","Current")))))</f>
        <v/>
      </c>
      <c r="P90">
        <f>IF(A90="","",A90&amp;"|"&amp;B90)</f>
        <v/>
      </c>
      <c r="Q90">
        <f>IF(AND(A90&lt;&gt;"",A90='Firm Search'!$C$7),COUNTIF($A$5:A90,'Firm Search'!$C$7),"")</f>
        <v/>
      </c>
      <c r="R90">
        <f>IF(A90="","",COUNTIF($A$5:$A$1004,"&lt;"&amp;A90)+COUNTIF($A$5:A90,A90))</f>
        <v/>
      </c>
    </row>
    <row r="91">
      <c r="A91" s="64" t="n"/>
      <c r="B91" s="64" t="n"/>
      <c r="C91" s="66" t="n"/>
      <c r="D91" s="66" t="n"/>
      <c r="E91" s="67" t="n"/>
      <c r="F91" s="67" t="n"/>
      <c r="G91" s="67" t="n"/>
      <c r="H91" s="67" t="n"/>
      <c r="I91" s="67" t="n"/>
      <c r="J91" s="67" t="n"/>
      <c r="K91" s="67" t="n"/>
      <c r="L91" s="67" t="n"/>
      <c r="M91" s="64" t="n"/>
      <c r="N91" s="84">
        <f>IF(A91="","",IFERROR(INDEX(Firms!$B$5:$B$1004,MATCH(A91,Firms!$A$5:$A$1004,0)),"Not on Firms tab"))</f>
        <v/>
      </c>
      <c r="O91" s="84">
        <f>IF(A91="","",IF(AND(D91&lt;&gt;"",D91&lt;TODAY()),"Expired",IF(AND(C91&lt;&gt;"",C91&gt;TODAY()),"Not yet effective",IF(C91="","No date",IF(TODAY()&gt;=EDATE(C91,Review_Months),"Review Due","Current")))))</f>
        <v/>
      </c>
      <c r="P91">
        <f>IF(A91="","",A91&amp;"|"&amp;B91)</f>
        <v/>
      </c>
      <c r="Q91">
        <f>IF(AND(A91&lt;&gt;"",A91='Firm Search'!$C$7),COUNTIF($A$5:A91,'Firm Search'!$C$7),"")</f>
        <v/>
      </c>
      <c r="R91">
        <f>IF(A91="","",COUNTIF($A$5:$A$1004,"&lt;"&amp;A91)+COUNTIF($A$5:A91,A91))</f>
        <v/>
      </c>
    </row>
    <row r="92">
      <c r="A92" s="64" t="n"/>
      <c r="B92" s="64" t="n"/>
      <c r="C92" s="66" t="n"/>
      <c r="D92" s="66" t="n"/>
      <c r="E92" s="67" t="n"/>
      <c r="F92" s="67" t="n"/>
      <c r="G92" s="67" t="n"/>
      <c r="H92" s="67" t="n"/>
      <c r="I92" s="67" t="n"/>
      <c r="J92" s="67" t="n"/>
      <c r="K92" s="67" t="n"/>
      <c r="L92" s="67" t="n"/>
      <c r="M92" s="64" t="n"/>
      <c r="N92" s="84">
        <f>IF(A92="","",IFERROR(INDEX(Firms!$B$5:$B$1004,MATCH(A92,Firms!$A$5:$A$1004,0)),"Not on Firms tab"))</f>
        <v/>
      </c>
      <c r="O92" s="84">
        <f>IF(A92="","",IF(AND(D92&lt;&gt;"",D92&lt;TODAY()),"Expired",IF(AND(C92&lt;&gt;"",C92&gt;TODAY()),"Not yet effective",IF(C92="","No date",IF(TODAY()&gt;=EDATE(C92,Review_Months),"Review Due","Current")))))</f>
        <v/>
      </c>
      <c r="P92">
        <f>IF(A92="","",A92&amp;"|"&amp;B92)</f>
        <v/>
      </c>
      <c r="Q92">
        <f>IF(AND(A92&lt;&gt;"",A92='Firm Search'!$C$7),COUNTIF($A$5:A92,'Firm Search'!$C$7),"")</f>
        <v/>
      </c>
      <c r="R92">
        <f>IF(A92="","",COUNTIF($A$5:$A$1004,"&lt;"&amp;A92)+COUNTIF($A$5:A92,A92))</f>
        <v/>
      </c>
    </row>
    <row r="93">
      <c r="A93" s="64" t="n"/>
      <c r="B93" s="64" t="n"/>
      <c r="C93" s="66" t="n"/>
      <c r="D93" s="66" t="n"/>
      <c r="E93" s="67" t="n"/>
      <c r="F93" s="67" t="n"/>
      <c r="G93" s="67" t="n"/>
      <c r="H93" s="67" t="n"/>
      <c r="I93" s="67" t="n"/>
      <c r="J93" s="67" t="n"/>
      <c r="K93" s="67" t="n"/>
      <c r="L93" s="67" t="n"/>
      <c r="M93" s="64" t="n"/>
      <c r="N93" s="84">
        <f>IF(A93="","",IFERROR(INDEX(Firms!$B$5:$B$1004,MATCH(A93,Firms!$A$5:$A$1004,0)),"Not on Firms tab"))</f>
        <v/>
      </c>
      <c r="O93" s="84">
        <f>IF(A93="","",IF(AND(D93&lt;&gt;"",D93&lt;TODAY()),"Expired",IF(AND(C93&lt;&gt;"",C93&gt;TODAY()),"Not yet effective",IF(C93="","No date",IF(TODAY()&gt;=EDATE(C93,Review_Months),"Review Due","Current")))))</f>
        <v/>
      </c>
      <c r="P93">
        <f>IF(A93="","",A93&amp;"|"&amp;B93)</f>
        <v/>
      </c>
      <c r="Q93">
        <f>IF(AND(A93&lt;&gt;"",A93='Firm Search'!$C$7),COUNTIF($A$5:A93,'Firm Search'!$C$7),"")</f>
        <v/>
      </c>
      <c r="R93">
        <f>IF(A93="","",COUNTIF($A$5:$A$1004,"&lt;"&amp;A93)+COUNTIF($A$5:A93,A93))</f>
        <v/>
      </c>
    </row>
    <row r="94">
      <c r="A94" s="64" t="n"/>
      <c r="B94" s="64" t="n"/>
      <c r="C94" s="66" t="n"/>
      <c r="D94" s="66" t="n"/>
      <c r="E94" s="67" t="n"/>
      <c r="F94" s="67" t="n"/>
      <c r="G94" s="67" t="n"/>
      <c r="H94" s="67" t="n"/>
      <c r="I94" s="67" t="n"/>
      <c r="J94" s="67" t="n"/>
      <c r="K94" s="67" t="n"/>
      <c r="L94" s="67" t="n"/>
      <c r="M94" s="64" t="n"/>
      <c r="N94" s="84">
        <f>IF(A94="","",IFERROR(INDEX(Firms!$B$5:$B$1004,MATCH(A94,Firms!$A$5:$A$1004,0)),"Not on Firms tab"))</f>
        <v/>
      </c>
      <c r="O94" s="84">
        <f>IF(A94="","",IF(AND(D94&lt;&gt;"",D94&lt;TODAY()),"Expired",IF(AND(C94&lt;&gt;"",C94&gt;TODAY()),"Not yet effective",IF(C94="","No date",IF(TODAY()&gt;=EDATE(C94,Review_Months),"Review Due","Current")))))</f>
        <v/>
      </c>
      <c r="P94">
        <f>IF(A94="","",A94&amp;"|"&amp;B94)</f>
        <v/>
      </c>
      <c r="Q94">
        <f>IF(AND(A94&lt;&gt;"",A94='Firm Search'!$C$7),COUNTIF($A$5:A94,'Firm Search'!$C$7),"")</f>
        <v/>
      </c>
      <c r="R94">
        <f>IF(A94="","",COUNTIF($A$5:$A$1004,"&lt;"&amp;A94)+COUNTIF($A$5:A94,A94))</f>
        <v/>
      </c>
    </row>
    <row r="95">
      <c r="A95" s="64" t="n"/>
      <c r="B95" s="64" t="n"/>
      <c r="C95" s="66" t="n"/>
      <c r="D95" s="66" t="n"/>
      <c r="E95" s="67" t="n"/>
      <c r="F95" s="67" t="n"/>
      <c r="G95" s="67" t="n"/>
      <c r="H95" s="67" t="n"/>
      <c r="I95" s="67" t="n"/>
      <c r="J95" s="67" t="n"/>
      <c r="K95" s="67" t="n"/>
      <c r="L95" s="67" t="n"/>
      <c r="M95" s="64" t="n"/>
      <c r="N95" s="84">
        <f>IF(A95="","",IFERROR(INDEX(Firms!$B$5:$B$1004,MATCH(A95,Firms!$A$5:$A$1004,0)),"Not on Firms tab"))</f>
        <v/>
      </c>
      <c r="O95" s="84">
        <f>IF(A95="","",IF(AND(D95&lt;&gt;"",D95&lt;TODAY()),"Expired",IF(AND(C95&lt;&gt;"",C95&gt;TODAY()),"Not yet effective",IF(C95="","No date",IF(TODAY()&gt;=EDATE(C95,Review_Months),"Review Due","Current")))))</f>
        <v/>
      </c>
      <c r="P95">
        <f>IF(A95="","",A95&amp;"|"&amp;B95)</f>
        <v/>
      </c>
      <c r="Q95">
        <f>IF(AND(A95&lt;&gt;"",A95='Firm Search'!$C$7),COUNTIF($A$5:A95,'Firm Search'!$C$7),"")</f>
        <v/>
      </c>
      <c r="R95">
        <f>IF(A95="","",COUNTIF($A$5:$A$1004,"&lt;"&amp;A95)+COUNTIF($A$5:A95,A95))</f>
        <v/>
      </c>
    </row>
    <row r="96">
      <c r="A96" s="64" t="n"/>
      <c r="B96" s="64" t="n"/>
      <c r="C96" s="66" t="n"/>
      <c r="D96" s="66" t="n"/>
      <c r="E96" s="67" t="n"/>
      <c r="F96" s="67" t="n"/>
      <c r="G96" s="67" t="n"/>
      <c r="H96" s="67" t="n"/>
      <c r="I96" s="67" t="n"/>
      <c r="J96" s="67" t="n"/>
      <c r="K96" s="67" t="n"/>
      <c r="L96" s="67" t="n"/>
      <c r="M96" s="64" t="n"/>
      <c r="N96" s="84">
        <f>IF(A96="","",IFERROR(INDEX(Firms!$B$5:$B$1004,MATCH(A96,Firms!$A$5:$A$1004,0)),"Not on Firms tab"))</f>
        <v/>
      </c>
      <c r="O96" s="84">
        <f>IF(A96="","",IF(AND(D96&lt;&gt;"",D96&lt;TODAY()),"Expired",IF(AND(C96&lt;&gt;"",C96&gt;TODAY()),"Not yet effective",IF(C96="","No date",IF(TODAY()&gt;=EDATE(C96,Review_Months),"Review Due","Current")))))</f>
        <v/>
      </c>
      <c r="P96">
        <f>IF(A96="","",A96&amp;"|"&amp;B96)</f>
        <v/>
      </c>
      <c r="Q96">
        <f>IF(AND(A96&lt;&gt;"",A96='Firm Search'!$C$7),COUNTIF($A$5:A96,'Firm Search'!$C$7),"")</f>
        <v/>
      </c>
      <c r="R96">
        <f>IF(A96="","",COUNTIF($A$5:$A$1004,"&lt;"&amp;A96)+COUNTIF($A$5:A96,A96))</f>
        <v/>
      </c>
    </row>
    <row r="97">
      <c r="A97" s="64" t="n"/>
      <c r="B97" s="64" t="n"/>
      <c r="C97" s="66" t="n"/>
      <c r="D97" s="66" t="n"/>
      <c r="E97" s="67" t="n"/>
      <c r="F97" s="67" t="n"/>
      <c r="G97" s="67" t="n"/>
      <c r="H97" s="67" t="n"/>
      <c r="I97" s="67" t="n"/>
      <c r="J97" s="67" t="n"/>
      <c r="K97" s="67" t="n"/>
      <c r="L97" s="67" t="n"/>
      <c r="M97" s="64" t="n"/>
      <c r="N97" s="84">
        <f>IF(A97="","",IFERROR(INDEX(Firms!$B$5:$B$1004,MATCH(A97,Firms!$A$5:$A$1004,0)),"Not on Firms tab"))</f>
        <v/>
      </c>
      <c r="O97" s="84">
        <f>IF(A97="","",IF(AND(D97&lt;&gt;"",D97&lt;TODAY()),"Expired",IF(AND(C97&lt;&gt;"",C97&gt;TODAY()),"Not yet effective",IF(C97="","No date",IF(TODAY()&gt;=EDATE(C97,Review_Months),"Review Due","Current")))))</f>
        <v/>
      </c>
      <c r="P97">
        <f>IF(A97="","",A97&amp;"|"&amp;B97)</f>
        <v/>
      </c>
      <c r="Q97">
        <f>IF(AND(A97&lt;&gt;"",A97='Firm Search'!$C$7),COUNTIF($A$5:A97,'Firm Search'!$C$7),"")</f>
        <v/>
      </c>
      <c r="R97">
        <f>IF(A97="","",COUNTIF($A$5:$A$1004,"&lt;"&amp;A97)+COUNTIF($A$5:A97,A97))</f>
        <v/>
      </c>
    </row>
    <row r="98">
      <c r="A98" s="64" t="n"/>
      <c r="B98" s="64" t="n"/>
      <c r="C98" s="66" t="n"/>
      <c r="D98" s="66" t="n"/>
      <c r="E98" s="67" t="n"/>
      <c r="F98" s="67" t="n"/>
      <c r="G98" s="67" t="n"/>
      <c r="H98" s="67" t="n"/>
      <c r="I98" s="67" t="n"/>
      <c r="J98" s="67" t="n"/>
      <c r="K98" s="67" t="n"/>
      <c r="L98" s="67" t="n"/>
      <c r="M98" s="64" t="n"/>
      <c r="N98" s="84">
        <f>IF(A98="","",IFERROR(INDEX(Firms!$B$5:$B$1004,MATCH(A98,Firms!$A$5:$A$1004,0)),"Not on Firms tab"))</f>
        <v/>
      </c>
      <c r="O98" s="84">
        <f>IF(A98="","",IF(AND(D98&lt;&gt;"",D98&lt;TODAY()),"Expired",IF(AND(C98&lt;&gt;"",C98&gt;TODAY()),"Not yet effective",IF(C98="","No date",IF(TODAY()&gt;=EDATE(C98,Review_Months),"Review Due","Current")))))</f>
        <v/>
      </c>
      <c r="P98">
        <f>IF(A98="","",A98&amp;"|"&amp;B98)</f>
        <v/>
      </c>
      <c r="Q98">
        <f>IF(AND(A98&lt;&gt;"",A98='Firm Search'!$C$7),COUNTIF($A$5:A98,'Firm Search'!$C$7),"")</f>
        <v/>
      </c>
      <c r="R98">
        <f>IF(A98="","",COUNTIF($A$5:$A$1004,"&lt;"&amp;A98)+COUNTIF($A$5:A98,A98))</f>
        <v/>
      </c>
    </row>
    <row r="99">
      <c r="A99" s="64" t="n"/>
      <c r="B99" s="64" t="n"/>
      <c r="C99" s="66" t="n"/>
      <c r="D99" s="66" t="n"/>
      <c r="E99" s="67" t="n"/>
      <c r="F99" s="67" t="n"/>
      <c r="G99" s="67" t="n"/>
      <c r="H99" s="67" t="n"/>
      <c r="I99" s="67" t="n"/>
      <c r="J99" s="67" t="n"/>
      <c r="K99" s="67" t="n"/>
      <c r="L99" s="67" t="n"/>
      <c r="M99" s="64" t="n"/>
      <c r="N99" s="84">
        <f>IF(A99="","",IFERROR(INDEX(Firms!$B$5:$B$1004,MATCH(A99,Firms!$A$5:$A$1004,0)),"Not on Firms tab"))</f>
        <v/>
      </c>
      <c r="O99" s="84">
        <f>IF(A99="","",IF(AND(D99&lt;&gt;"",D99&lt;TODAY()),"Expired",IF(AND(C99&lt;&gt;"",C99&gt;TODAY()),"Not yet effective",IF(C99="","No date",IF(TODAY()&gt;=EDATE(C99,Review_Months),"Review Due","Current")))))</f>
        <v/>
      </c>
      <c r="P99">
        <f>IF(A99="","",A99&amp;"|"&amp;B99)</f>
        <v/>
      </c>
      <c r="Q99">
        <f>IF(AND(A99&lt;&gt;"",A99='Firm Search'!$C$7),COUNTIF($A$5:A99,'Firm Search'!$C$7),"")</f>
        <v/>
      </c>
      <c r="R99">
        <f>IF(A99="","",COUNTIF($A$5:$A$1004,"&lt;"&amp;A99)+COUNTIF($A$5:A99,A99))</f>
        <v/>
      </c>
    </row>
    <row r="100">
      <c r="A100" s="64" t="n"/>
      <c r="B100" s="64" t="n"/>
      <c r="C100" s="66" t="n"/>
      <c r="D100" s="66" t="n"/>
      <c r="E100" s="67" t="n"/>
      <c r="F100" s="67" t="n"/>
      <c r="G100" s="67" t="n"/>
      <c r="H100" s="67" t="n"/>
      <c r="I100" s="67" t="n"/>
      <c r="J100" s="67" t="n"/>
      <c r="K100" s="67" t="n"/>
      <c r="L100" s="67" t="n"/>
      <c r="M100" s="64" t="n"/>
      <c r="N100" s="84">
        <f>IF(A100="","",IFERROR(INDEX(Firms!$B$5:$B$1004,MATCH(A100,Firms!$A$5:$A$1004,0)),"Not on Firms tab"))</f>
        <v/>
      </c>
      <c r="O100" s="84">
        <f>IF(A100="","",IF(AND(D100&lt;&gt;"",D100&lt;TODAY()),"Expired",IF(AND(C100&lt;&gt;"",C100&gt;TODAY()),"Not yet effective",IF(C100="","No date",IF(TODAY()&gt;=EDATE(C100,Review_Months),"Review Due","Current")))))</f>
        <v/>
      </c>
      <c r="P100">
        <f>IF(A100="","",A100&amp;"|"&amp;B100)</f>
        <v/>
      </c>
      <c r="Q100">
        <f>IF(AND(A100&lt;&gt;"",A100='Firm Search'!$C$7),COUNTIF($A$5:A100,'Firm Search'!$C$7),"")</f>
        <v/>
      </c>
      <c r="R100">
        <f>IF(A100="","",COUNTIF($A$5:$A$1004,"&lt;"&amp;A100)+COUNTIF($A$5:A100,A100))</f>
        <v/>
      </c>
    </row>
    <row r="101">
      <c r="A101" s="64" t="n"/>
      <c r="B101" s="64" t="n"/>
      <c r="C101" s="66" t="n"/>
      <c r="D101" s="66" t="n"/>
      <c r="E101" s="67" t="n"/>
      <c r="F101" s="67" t="n"/>
      <c r="G101" s="67" t="n"/>
      <c r="H101" s="67" t="n"/>
      <c r="I101" s="67" t="n"/>
      <c r="J101" s="67" t="n"/>
      <c r="K101" s="67" t="n"/>
      <c r="L101" s="67" t="n"/>
      <c r="M101" s="64" t="n"/>
      <c r="N101" s="84">
        <f>IF(A101="","",IFERROR(INDEX(Firms!$B$5:$B$1004,MATCH(A101,Firms!$A$5:$A$1004,0)),"Not on Firms tab"))</f>
        <v/>
      </c>
      <c r="O101" s="84">
        <f>IF(A101="","",IF(AND(D101&lt;&gt;"",D101&lt;TODAY()),"Expired",IF(AND(C101&lt;&gt;"",C101&gt;TODAY()),"Not yet effective",IF(C101="","No date",IF(TODAY()&gt;=EDATE(C101,Review_Months),"Review Due","Current")))))</f>
        <v/>
      </c>
      <c r="P101">
        <f>IF(A101="","",A101&amp;"|"&amp;B101)</f>
        <v/>
      </c>
      <c r="Q101">
        <f>IF(AND(A101&lt;&gt;"",A101='Firm Search'!$C$7),COUNTIF($A$5:A101,'Firm Search'!$C$7),"")</f>
        <v/>
      </c>
      <c r="R101">
        <f>IF(A101="","",COUNTIF($A$5:$A$1004,"&lt;"&amp;A101)+COUNTIF($A$5:A101,A101))</f>
        <v/>
      </c>
    </row>
    <row r="102">
      <c r="A102" s="64" t="n"/>
      <c r="B102" s="64" t="n"/>
      <c r="C102" s="66" t="n"/>
      <c r="D102" s="66" t="n"/>
      <c r="E102" s="67" t="n"/>
      <c r="F102" s="67" t="n"/>
      <c r="G102" s="67" t="n"/>
      <c r="H102" s="67" t="n"/>
      <c r="I102" s="67" t="n"/>
      <c r="J102" s="67" t="n"/>
      <c r="K102" s="67" t="n"/>
      <c r="L102" s="67" t="n"/>
      <c r="M102" s="64" t="n"/>
      <c r="N102" s="84">
        <f>IF(A102="","",IFERROR(INDEX(Firms!$B$5:$B$1004,MATCH(A102,Firms!$A$5:$A$1004,0)),"Not on Firms tab"))</f>
        <v/>
      </c>
      <c r="O102" s="84">
        <f>IF(A102="","",IF(AND(D102&lt;&gt;"",D102&lt;TODAY()),"Expired",IF(AND(C102&lt;&gt;"",C102&gt;TODAY()),"Not yet effective",IF(C102="","No date",IF(TODAY()&gt;=EDATE(C102,Review_Months),"Review Due","Current")))))</f>
        <v/>
      </c>
      <c r="P102">
        <f>IF(A102="","",A102&amp;"|"&amp;B102)</f>
        <v/>
      </c>
      <c r="Q102">
        <f>IF(AND(A102&lt;&gt;"",A102='Firm Search'!$C$7),COUNTIF($A$5:A102,'Firm Search'!$C$7),"")</f>
        <v/>
      </c>
      <c r="R102">
        <f>IF(A102="","",COUNTIF($A$5:$A$1004,"&lt;"&amp;A102)+COUNTIF($A$5:A102,A102))</f>
        <v/>
      </c>
    </row>
    <row r="103">
      <c r="A103" s="64" t="n"/>
      <c r="B103" s="64" t="n"/>
      <c r="C103" s="66" t="n"/>
      <c r="D103" s="66" t="n"/>
      <c r="E103" s="67" t="n"/>
      <c r="F103" s="67" t="n"/>
      <c r="G103" s="67" t="n"/>
      <c r="H103" s="67" t="n"/>
      <c r="I103" s="67" t="n"/>
      <c r="J103" s="67" t="n"/>
      <c r="K103" s="67" t="n"/>
      <c r="L103" s="67" t="n"/>
      <c r="M103" s="64" t="n"/>
      <c r="N103" s="84">
        <f>IF(A103="","",IFERROR(INDEX(Firms!$B$5:$B$1004,MATCH(A103,Firms!$A$5:$A$1004,0)),"Not on Firms tab"))</f>
        <v/>
      </c>
      <c r="O103" s="84">
        <f>IF(A103="","",IF(AND(D103&lt;&gt;"",D103&lt;TODAY()),"Expired",IF(AND(C103&lt;&gt;"",C103&gt;TODAY()),"Not yet effective",IF(C103="","No date",IF(TODAY()&gt;=EDATE(C103,Review_Months),"Review Due","Current")))))</f>
        <v/>
      </c>
      <c r="P103">
        <f>IF(A103="","",A103&amp;"|"&amp;B103)</f>
        <v/>
      </c>
      <c r="Q103">
        <f>IF(AND(A103&lt;&gt;"",A103='Firm Search'!$C$7),COUNTIF($A$5:A103,'Firm Search'!$C$7),"")</f>
        <v/>
      </c>
      <c r="R103">
        <f>IF(A103="","",COUNTIF($A$5:$A$1004,"&lt;"&amp;A103)+COUNTIF($A$5:A103,A103))</f>
        <v/>
      </c>
    </row>
    <row r="104">
      <c r="A104" s="64" t="n"/>
      <c r="B104" s="64" t="n"/>
      <c r="C104" s="66" t="n"/>
      <c r="D104" s="66" t="n"/>
      <c r="E104" s="67" t="n"/>
      <c r="F104" s="67" t="n"/>
      <c r="G104" s="67" t="n"/>
      <c r="H104" s="67" t="n"/>
      <c r="I104" s="67" t="n"/>
      <c r="J104" s="67" t="n"/>
      <c r="K104" s="67" t="n"/>
      <c r="L104" s="67" t="n"/>
      <c r="M104" s="64" t="n"/>
      <c r="N104" s="84">
        <f>IF(A104="","",IFERROR(INDEX(Firms!$B$5:$B$1004,MATCH(A104,Firms!$A$5:$A$1004,0)),"Not on Firms tab"))</f>
        <v/>
      </c>
      <c r="O104" s="84">
        <f>IF(A104="","",IF(AND(D104&lt;&gt;"",D104&lt;TODAY()),"Expired",IF(AND(C104&lt;&gt;"",C104&gt;TODAY()),"Not yet effective",IF(C104="","No date",IF(TODAY()&gt;=EDATE(C104,Review_Months),"Review Due","Current")))))</f>
        <v/>
      </c>
      <c r="P104">
        <f>IF(A104="","",A104&amp;"|"&amp;B104)</f>
        <v/>
      </c>
      <c r="Q104">
        <f>IF(AND(A104&lt;&gt;"",A104='Firm Search'!$C$7),COUNTIF($A$5:A104,'Firm Search'!$C$7),"")</f>
        <v/>
      </c>
      <c r="R104">
        <f>IF(A104="","",COUNTIF($A$5:$A$1004,"&lt;"&amp;A104)+COUNTIF($A$5:A104,A104))</f>
        <v/>
      </c>
    </row>
    <row r="105">
      <c r="A105" s="64" t="n"/>
      <c r="B105" s="64" t="n"/>
      <c r="C105" s="66" t="n"/>
      <c r="D105" s="66" t="n"/>
      <c r="E105" s="67" t="n"/>
      <c r="F105" s="67" t="n"/>
      <c r="G105" s="67" t="n"/>
      <c r="H105" s="67" t="n"/>
      <c r="I105" s="67" t="n"/>
      <c r="J105" s="67" t="n"/>
      <c r="K105" s="67" t="n"/>
      <c r="L105" s="67" t="n"/>
      <c r="M105" s="64" t="n"/>
      <c r="N105" s="84">
        <f>IF(A105="","",IFERROR(INDEX(Firms!$B$5:$B$1004,MATCH(A105,Firms!$A$5:$A$1004,0)),"Not on Firms tab"))</f>
        <v/>
      </c>
      <c r="O105" s="84">
        <f>IF(A105="","",IF(AND(D105&lt;&gt;"",D105&lt;TODAY()),"Expired",IF(AND(C105&lt;&gt;"",C105&gt;TODAY()),"Not yet effective",IF(C105="","No date",IF(TODAY()&gt;=EDATE(C105,Review_Months),"Review Due","Current")))))</f>
        <v/>
      </c>
      <c r="P105">
        <f>IF(A105="","",A105&amp;"|"&amp;B105)</f>
        <v/>
      </c>
      <c r="Q105">
        <f>IF(AND(A105&lt;&gt;"",A105='Firm Search'!$C$7),COUNTIF($A$5:A105,'Firm Search'!$C$7),"")</f>
        <v/>
      </c>
      <c r="R105">
        <f>IF(A105="","",COUNTIF($A$5:$A$1004,"&lt;"&amp;A105)+COUNTIF($A$5:A105,A105))</f>
        <v/>
      </c>
    </row>
    <row r="106">
      <c r="A106" s="64" t="n"/>
      <c r="B106" s="64" t="n"/>
      <c r="C106" s="66" t="n"/>
      <c r="D106" s="66" t="n"/>
      <c r="E106" s="67" t="n"/>
      <c r="F106" s="67" t="n"/>
      <c r="G106" s="67" t="n"/>
      <c r="H106" s="67" t="n"/>
      <c r="I106" s="67" t="n"/>
      <c r="J106" s="67" t="n"/>
      <c r="K106" s="67" t="n"/>
      <c r="L106" s="67" t="n"/>
      <c r="M106" s="64" t="n"/>
      <c r="N106" s="84">
        <f>IF(A106="","",IFERROR(INDEX(Firms!$B$5:$B$1004,MATCH(A106,Firms!$A$5:$A$1004,0)),"Not on Firms tab"))</f>
        <v/>
      </c>
      <c r="O106" s="84">
        <f>IF(A106="","",IF(AND(D106&lt;&gt;"",D106&lt;TODAY()),"Expired",IF(AND(C106&lt;&gt;"",C106&gt;TODAY()),"Not yet effective",IF(C106="","No date",IF(TODAY()&gt;=EDATE(C106,Review_Months),"Review Due","Current")))))</f>
        <v/>
      </c>
      <c r="P106">
        <f>IF(A106="","",A106&amp;"|"&amp;B106)</f>
        <v/>
      </c>
      <c r="Q106">
        <f>IF(AND(A106&lt;&gt;"",A106='Firm Search'!$C$7),COUNTIF($A$5:A106,'Firm Search'!$C$7),"")</f>
        <v/>
      </c>
      <c r="R106">
        <f>IF(A106="","",COUNTIF($A$5:$A$1004,"&lt;"&amp;A106)+COUNTIF($A$5:A106,A106))</f>
        <v/>
      </c>
    </row>
    <row r="107">
      <c r="A107" s="64" t="n"/>
      <c r="B107" s="64" t="n"/>
      <c r="C107" s="66" t="n"/>
      <c r="D107" s="66" t="n"/>
      <c r="E107" s="67" t="n"/>
      <c r="F107" s="67" t="n"/>
      <c r="G107" s="67" t="n"/>
      <c r="H107" s="67" t="n"/>
      <c r="I107" s="67" t="n"/>
      <c r="J107" s="67" t="n"/>
      <c r="K107" s="67" t="n"/>
      <c r="L107" s="67" t="n"/>
      <c r="M107" s="64" t="n"/>
      <c r="N107" s="84">
        <f>IF(A107="","",IFERROR(INDEX(Firms!$B$5:$B$1004,MATCH(A107,Firms!$A$5:$A$1004,0)),"Not on Firms tab"))</f>
        <v/>
      </c>
      <c r="O107" s="84">
        <f>IF(A107="","",IF(AND(D107&lt;&gt;"",D107&lt;TODAY()),"Expired",IF(AND(C107&lt;&gt;"",C107&gt;TODAY()),"Not yet effective",IF(C107="","No date",IF(TODAY()&gt;=EDATE(C107,Review_Months),"Review Due","Current")))))</f>
        <v/>
      </c>
      <c r="P107">
        <f>IF(A107="","",A107&amp;"|"&amp;B107)</f>
        <v/>
      </c>
      <c r="Q107">
        <f>IF(AND(A107&lt;&gt;"",A107='Firm Search'!$C$7),COUNTIF($A$5:A107,'Firm Search'!$C$7),"")</f>
        <v/>
      </c>
      <c r="R107">
        <f>IF(A107="","",COUNTIF($A$5:$A$1004,"&lt;"&amp;A107)+COUNTIF($A$5:A107,A107))</f>
        <v/>
      </c>
    </row>
    <row r="108">
      <c r="A108" s="64" t="n"/>
      <c r="B108" s="64" t="n"/>
      <c r="C108" s="66" t="n"/>
      <c r="D108" s="66" t="n"/>
      <c r="E108" s="67" t="n"/>
      <c r="F108" s="67" t="n"/>
      <c r="G108" s="67" t="n"/>
      <c r="H108" s="67" t="n"/>
      <c r="I108" s="67" t="n"/>
      <c r="J108" s="67" t="n"/>
      <c r="K108" s="67" t="n"/>
      <c r="L108" s="67" t="n"/>
      <c r="M108" s="64" t="n"/>
      <c r="N108" s="84">
        <f>IF(A108="","",IFERROR(INDEX(Firms!$B$5:$B$1004,MATCH(A108,Firms!$A$5:$A$1004,0)),"Not on Firms tab"))</f>
        <v/>
      </c>
      <c r="O108" s="84">
        <f>IF(A108="","",IF(AND(D108&lt;&gt;"",D108&lt;TODAY()),"Expired",IF(AND(C108&lt;&gt;"",C108&gt;TODAY()),"Not yet effective",IF(C108="","No date",IF(TODAY()&gt;=EDATE(C108,Review_Months),"Review Due","Current")))))</f>
        <v/>
      </c>
      <c r="P108">
        <f>IF(A108="","",A108&amp;"|"&amp;B108)</f>
        <v/>
      </c>
      <c r="Q108">
        <f>IF(AND(A108&lt;&gt;"",A108='Firm Search'!$C$7),COUNTIF($A$5:A108,'Firm Search'!$C$7),"")</f>
        <v/>
      </c>
      <c r="R108">
        <f>IF(A108="","",COUNTIF($A$5:$A$1004,"&lt;"&amp;A108)+COUNTIF($A$5:A108,A108))</f>
        <v/>
      </c>
    </row>
    <row r="109">
      <c r="A109" s="64" t="n"/>
      <c r="B109" s="64" t="n"/>
      <c r="C109" s="66" t="n"/>
      <c r="D109" s="66" t="n"/>
      <c r="E109" s="67" t="n"/>
      <c r="F109" s="67" t="n"/>
      <c r="G109" s="67" t="n"/>
      <c r="H109" s="67" t="n"/>
      <c r="I109" s="67" t="n"/>
      <c r="J109" s="67" t="n"/>
      <c r="K109" s="67" t="n"/>
      <c r="L109" s="67" t="n"/>
      <c r="M109" s="64" t="n"/>
      <c r="N109" s="84">
        <f>IF(A109="","",IFERROR(INDEX(Firms!$B$5:$B$1004,MATCH(A109,Firms!$A$5:$A$1004,0)),"Not on Firms tab"))</f>
        <v/>
      </c>
      <c r="O109" s="84">
        <f>IF(A109="","",IF(AND(D109&lt;&gt;"",D109&lt;TODAY()),"Expired",IF(AND(C109&lt;&gt;"",C109&gt;TODAY()),"Not yet effective",IF(C109="","No date",IF(TODAY()&gt;=EDATE(C109,Review_Months),"Review Due","Current")))))</f>
        <v/>
      </c>
      <c r="P109">
        <f>IF(A109="","",A109&amp;"|"&amp;B109)</f>
        <v/>
      </c>
      <c r="Q109">
        <f>IF(AND(A109&lt;&gt;"",A109='Firm Search'!$C$7),COUNTIF($A$5:A109,'Firm Search'!$C$7),"")</f>
        <v/>
      </c>
      <c r="R109">
        <f>IF(A109="","",COUNTIF($A$5:$A$1004,"&lt;"&amp;A109)+COUNTIF($A$5:A109,A109))</f>
        <v/>
      </c>
    </row>
    <row r="110">
      <c r="A110" s="64" t="n"/>
      <c r="B110" s="64" t="n"/>
      <c r="C110" s="66" t="n"/>
      <c r="D110" s="66" t="n"/>
      <c r="E110" s="67" t="n"/>
      <c r="F110" s="67" t="n"/>
      <c r="G110" s="67" t="n"/>
      <c r="H110" s="67" t="n"/>
      <c r="I110" s="67" t="n"/>
      <c r="J110" s="67" t="n"/>
      <c r="K110" s="67" t="n"/>
      <c r="L110" s="67" t="n"/>
      <c r="M110" s="64" t="n"/>
      <c r="N110" s="84">
        <f>IF(A110="","",IFERROR(INDEX(Firms!$B$5:$B$1004,MATCH(A110,Firms!$A$5:$A$1004,0)),"Not on Firms tab"))</f>
        <v/>
      </c>
      <c r="O110" s="84">
        <f>IF(A110="","",IF(AND(D110&lt;&gt;"",D110&lt;TODAY()),"Expired",IF(AND(C110&lt;&gt;"",C110&gt;TODAY()),"Not yet effective",IF(C110="","No date",IF(TODAY()&gt;=EDATE(C110,Review_Months),"Review Due","Current")))))</f>
        <v/>
      </c>
      <c r="P110">
        <f>IF(A110="","",A110&amp;"|"&amp;B110)</f>
        <v/>
      </c>
      <c r="Q110">
        <f>IF(AND(A110&lt;&gt;"",A110='Firm Search'!$C$7),COUNTIF($A$5:A110,'Firm Search'!$C$7),"")</f>
        <v/>
      </c>
      <c r="R110">
        <f>IF(A110="","",COUNTIF($A$5:$A$1004,"&lt;"&amp;A110)+COUNTIF($A$5:A110,A110))</f>
        <v/>
      </c>
    </row>
    <row r="111">
      <c r="A111" s="64" t="n"/>
      <c r="B111" s="64" t="n"/>
      <c r="C111" s="66" t="n"/>
      <c r="D111" s="66" t="n"/>
      <c r="E111" s="67" t="n"/>
      <c r="F111" s="67" t="n"/>
      <c r="G111" s="67" t="n"/>
      <c r="H111" s="67" t="n"/>
      <c r="I111" s="67" t="n"/>
      <c r="J111" s="67" t="n"/>
      <c r="K111" s="67" t="n"/>
      <c r="L111" s="67" t="n"/>
      <c r="M111" s="64" t="n"/>
      <c r="N111" s="84">
        <f>IF(A111="","",IFERROR(INDEX(Firms!$B$5:$B$1004,MATCH(A111,Firms!$A$5:$A$1004,0)),"Not on Firms tab"))</f>
        <v/>
      </c>
      <c r="O111" s="84">
        <f>IF(A111="","",IF(AND(D111&lt;&gt;"",D111&lt;TODAY()),"Expired",IF(AND(C111&lt;&gt;"",C111&gt;TODAY()),"Not yet effective",IF(C111="","No date",IF(TODAY()&gt;=EDATE(C111,Review_Months),"Review Due","Current")))))</f>
        <v/>
      </c>
      <c r="P111">
        <f>IF(A111="","",A111&amp;"|"&amp;B111)</f>
        <v/>
      </c>
      <c r="Q111">
        <f>IF(AND(A111&lt;&gt;"",A111='Firm Search'!$C$7),COUNTIF($A$5:A111,'Firm Search'!$C$7),"")</f>
        <v/>
      </c>
      <c r="R111">
        <f>IF(A111="","",COUNTIF($A$5:$A$1004,"&lt;"&amp;A111)+COUNTIF($A$5:A111,A111))</f>
        <v/>
      </c>
    </row>
    <row r="112">
      <c r="A112" s="64" t="n"/>
      <c r="B112" s="64" t="n"/>
      <c r="C112" s="66" t="n"/>
      <c r="D112" s="66" t="n"/>
      <c r="E112" s="67" t="n"/>
      <c r="F112" s="67" t="n"/>
      <c r="G112" s="67" t="n"/>
      <c r="H112" s="67" t="n"/>
      <c r="I112" s="67" t="n"/>
      <c r="J112" s="67" t="n"/>
      <c r="K112" s="67" t="n"/>
      <c r="L112" s="67" t="n"/>
      <c r="M112" s="64" t="n"/>
      <c r="N112" s="84">
        <f>IF(A112="","",IFERROR(INDEX(Firms!$B$5:$B$1004,MATCH(A112,Firms!$A$5:$A$1004,0)),"Not on Firms tab"))</f>
        <v/>
      </c>
      <c r="O112" s="84">
        <f>IF(A112="","",IF(AND(D112&lt;&gt;"",D112&lt;TODAY()),"Expired",IF(AND(C112&lt;&gt;"",C112&gt;TODAY()),"Not yet effective",IF(C112="","No date",IF(TODAY()&gt;=EDATE(C112,Review_Months),"Review Due","Current")))))</f>
        <v/>
      </c>
      <c r="P112">
        <f>IF(A112="","",A112&amp;"|"&amp;B112)</f>
        <v/>
      </c>
      <c r="Q112">
        <f>IF(AND(A112&lt;&gt;"",A112='Firm Search'!$C$7),COUNTIF($A$5:A112,'Firm Search'!$C$7),"")</f>
        <v/>
      </c>
      <c r="R112">
        <f>IF(A112="","",COUNTIF($A$5:$A$1004,"&lt;"&amp;A112)+COUNTIF($A$5:A112,A112))</f>
        <v/>
      </c>
    </row>
    <row r="113">
      <c r="A113" s="64" t="n"/>
      <c r="B113" s="64" t="n"/>
      <c r="C113" s="66" t="n"/>
      <c r="D113" s="66" t="n"/>
      <c r="E113" s="67" t="n"/>
      <c r="F113" s="67" t="n"/>
      <c r="G113" s="67" t="n"/>
      <c r="H113" s="67" t="n"/>
      <c r="I113" s="67" t="n"/>
      <c r="J113" s="67" t="n"/>
      <c r="K113" s="67" t="n"/>
      <c r="L113" s="67" t="n"/>
      <c r="M113" s="64" t="n"/>
      <c r="N113" s="84">
        <f>IF(A113="","",IFERROR(INDEX(Firms!$B$5:$B$1004,MATCH(A113,Firms!$A$5:$A$1004,0)),"Not on Firms tab"))</f>
        <v/>
      </c>
      <c r="O113" s="84">
        <f>IF(A113="","",IF(AND(D113&lt;&gt;"",D113&lt;TODAY()),"Expired",IF(AND(C113&lt;&gt;"",C113&gt;TODAY()),"Not yet effective",IF(C113="","No date",IF(TODAY()&gt;=EDATE(C113,Review_Months),"Review Due","Current")))))</f>
        <v/>
      </c>
      <c r="P113">
        <f>IF(A113="","",A113&amp;"|"&amp;B113)</f>
        <v/>
      </c>
      <c r="Q113">
        <f>IF(AND(A113&lt;&gt;"",A113='Firm Search'!$C$7),COUNTIF($A$5:A113,'Firm Search'!$C$7),"")</f>
        <v/>
      </c>
      <c r="R113">
        <f>IF(A113="","",COUNTIF($A$5:$A$1004,"&lt;"&amp;A113)+COUNTIF($A$5:A113,A113))</f>
        <v/>
      </c>
    </row>
    <row r="114">
      <c r="A114" s="64" t="n"/>
      <c r="B114" s="64" t="n"/>
      <c r="C114" s="66" t="n"/>
      <c r="D114" s="66" t="n"/>
      <c r="E114" s="67" t="n"/>
      <c r="F114" s="67" t="n"/>
      <c r="G114" s="67" t="n"/>
      <c r="H114" s="67" t="n"/>
      <c r="I114" s="67" t="n"/>
      <c r="J114" s="67" t="n"/>
      <c r="K114" s="67" t="n"/>
      <c r="L114" s="67" t="n"/>
      <c r="M114" s="64" t="n"/>
      <c r="N114" s="84">
        <f>IF(A114="","",IFERROR(INDEX(Firms!$B$5:$B$1004,MATCH(A114,Firms!$A$5:$A$1004,0)),"Not on Firms tab"))</f>
        <v/>
      </c>
      <c r="O114" s="84">
        <f>IF(A114="","",IF(AND(D114&lt;&gt;"",D114&lt;TODAY()),"Expired",IF(AND(C114&lt;&gt;"",C114&gt;TODAY()),"Not yet effective",IF(C114="","No date",IF(TODAY()&gt;=EDATE(C114,Review_Months),"Review Due","Current")))))</f>
        <v/>
      </c>
      <c r="P114">
        <f>IF(A114="","",A114&amp;"|"&amp;B114)</f>
        <v/>
      </c>
      <c r="Q114">
        <f>IF(AND(A114&lt;&gt;"",A114='Firm Search'!$C$7),COUNTIF($A$5:A114,'Firm Search'!$C$7),"")</f>
        <v/>
      </c>
      <c r="R114">
        <f>IF(A114="","",COUNTIF($A$5:$A$1004,"&lt;"&amp;A114)+COUNTIF($A$5:A114,A114))</f>
        <v/>
      </c>
    </row>
    <row r="115">
      <c r="A115" s="64" t="n"/>
      <c r="B115" s="64" t="n"/>
      <c r="C115" s="66" t="n"/>
      <c r="D115" s="66" t="n"/>
      <c r="E115" s="67" t="n"/>
      <c r="F115" s="67" t="n"/>
      <c r="G115" s="67" t="n"/>
      <c r="H115" s="67" t="n"/>
      <c r="I115" s="67" t="n"/>
      <c r="J115" s="67" t="n"/>
      <c r="K115" s="67" t="n"/>
      <c r="L115" s="67" t="n"/>
      <c r="M115" s="64" t="n"/>
      <c r="N115" s="84">
        <f>IF(A115="","",IFERROR(INDEX(Firms!$B$5:$B$1004,MATCH(A115,Firms!$A$5:$A$1004,0)),"Not on Firms tab"))</f>
        <v/>
      </c>
      <c r="O115" s="84">
        <f>IF(A115="","",IF(AND(D115&lt;&gt;"",D115&lt;TODAY()),"Expired",IF(AND(C115&lt;&gt;"",C115&gt;TODAY()),"Not yet effective",IF(C115="","No date",IF(TODAY()&gt;=EDATE(C115,Review_Months),"Review Due","Current")))))</f>
        <v/>
      </c>
      <c r="P115">
        <f>IF(A115="","",A115&amp;"|"&amp;B115)</f>
        <v/>
      </c>
      <c r="Q115">
        <f>IF(AND(A115&lt;&gt;"",A115='Firm Search'!$C$7),COUNTIF($A$5:A115,'Firm Search'!$C$7),"")</f>
        <v/>
      </c>
      <c r="R115">
        <f>IF(A115="","",COUNTIF($A$5:$A$1004,"&lt;"&amp;A115)+COUNTIF($A$5:A115,A115))</f>
        <v/>
      </c>
    </row>
    <row r="116">
      <c r="A116" s="64" t="n"/>
      <c r="B116" s="64" t="n"/>
      <c r="C116" s="66" t="n"/>
      <c r="D116" s="66" t="n"/>
      <c r="E116" s="67" t="n"/>
      <c r="F116" s="67" t="n"/>
      <c r="G116" s="67" t="n"/>
      <c r="H116" s="67" t="n"/>
      <c r="I116" s="67" t="n"/>
      <c r="J116" s="67" t="n"/>
      <c r="K116" s="67" t="n"/>
      <c r="L116" s="67" t="n"/>
      <c r="M116" s="64" t="n"/>
      <c r="N116" s="84">
        <f>IF(A116="","",IFERROR(INDEX(Firms!$B$5:$B$1004,MATCH(A116,Firms!$A$5:$A$1004,0)),"Not on Firms tab"))</f>
        <v/>
      </c>
      <c r="O116" s="84">
        <f>IF(A116="","",IF(AND(D116&lt;&gt;"",D116&lt;TODAY()),"Expired",IF(AND(C116&lt;&gt;"",C116&gt;TODAY()),"Not yet effective",IF(C116="","No date",IF(TODAY()&gt;=EDATE(C116,Review_Months),"Review Due","Current")))))</f>
        <v/>
      </c>
      <c r="P116">
        <f>IF(A116="","",A116&amp;"|"&amp;B116)</f>
        <v/>
      </c>
      <c r="Q116">
        <f>IF(AND(A116&lt;&gt;"",A116='Firm Search'!$C$7),COUNTIF($A$5:A116,'Firm Search'!$C$7),"")</f>
        <v/>
      </c>
      <c r="R116">
        <f>IF(A116="","",COUNTIF($A$5:$A$1004,"&lt;"&amp;A116)+COUNTIF($A$5:A116,A116))</f>
        <v/>
      </c>
    </row>
    <row r="117">
      <c r="A117" s="64" t="n"/>
      <c r="B117" s="64" t="n"/>
      <c r="C117" s="66" t="n"/>
      <c r="D117" s="66" t="n"/>
      <c r="E117" s="67" t="n"/>
      <c r="F117" s="67" t="n"/>
      <c r="G117" s="67" t="n"/>
      <c r="H117" s="67" t="n"/>
      <c r="I117" s="67" t="n"/>
      <c r="J117" s="67" t="n"/>
      <c r="K117" s="67" t="n"/>
      <c r="L117" s="67" t="n"/>
      <c r="M117" s="64" t="n"/>
      <c r="N117" s="84">
        <f>IF(A117="","",IFERROR(INDEX(Firms!$B$5:$B$1004,MATCH(A117,Firms!$A$5:$A$1004,0)),"Not on Firms tab"))</f>
        <v/>
      </c>
      <c r="O117" s="84">
        <f>IF(A117="","",IF(AND(D117&lt;&gt;"",D117&lt;TODAY()),"Expired",IF(AND(C117&lt;&gt;"",C117&gt;TODAY()),"Not yet effective",IF(C117="","No date",IF(TODAY()&gt;=EDATE(C117,Review_Months),"Review Due","Current")))))</f>
        <v/>
      </c>
      <c r="P117">
        <f>IF(A117="","",A117&amp;"|"&amp;B117)</f>
        <v/>
      </c>
      <c r="Q117">
        <f>IF(AND(A117&lt;&gt;"",A117='Firm Search'!$C$7),COUNTIF($A$5:A117,'Firm Search'!$C$7),"")</f>
        <v/>
      </c>
      <c r="R117">
        <f>IF(A117="","",COUNTIF($A$5:$A$1004,"&lt;"&amp;A117)+COUNTIF($A$5:A117,A117))</f>
        <v/>
      </c>
    </row>
    <row r="118">
      <c r="A118" s="64" t="n"/>
      <c r="B118" s="64" t="n"/>
      <c r="C118" s="66" t="n"/>
      <c r="D118" s="66" t="n"/>
      <c r="E118" s="67" t="n"/>
      <c r="F118" s="67" t="n"/>
      <c r="G118" s="67" t="n"/>
      <c r="H118" s="67" t="n"/>
      <c r="I118" s="67" t="n"/>
      <c r="J118" s="67" t="n"/>
      <c r="K118" s="67" t="n"/>
      <c r="L118" s="67" t="n"/>
      <c r="M118" s="64" t="n"/>
      <c r="N118" s="84">
        <f>IF(A118="","",IFERROR(INDEX(Firms!$B$5:$B$1004,MATCH(A118,Firms!$A$5:$A$1004,0)),"Not on Firms tab"))</f>
        <v/>
      </c>
      <c r="O118" s="84">
        <f>IF(A118="","",IF(AND(D118&lt;&gt;"",D118&lt;TODAY()),"Expired",IF(AND(C118&lt;&gt;"",C118&gt;TODAY()),"Not yet effective",IF(C118="","No date",IF(TODAY()&gt;=EDATE(C118,Review_Months),"Review Due","Current")))))</f>
        <v/>
      </c>
      <c r="P118">
        <f>IF(A118="","",A118&amp;"|"&amp;B118)</f>
        <v/>
      </c>
      <c r="Q118">
        <f>IF(AND(A118&lt;&gt;"",A118='Firm Search'!$C$7),COUNTIF($A$5:A118,'Firm Search'!$C$7),"")</f>
        <v/>
      </c>
      <c r="R118">
        <f>IF(A118="","",COUNTIF($A$5:$A$1004,"&lt;"&amp;A118)+COUNTIF($A$5:A118,A118))</f>
        <v/>
      </c>
    </row>
    <row r="119">
      <c r="A119" s="64" t="n"/>
      <c r="B119" s="64" t="n"/>
      <c r="C119" s="66" t="n"/>
      <c r="D119" s="66" t="n"/>
      <c r="E119" s="67" t="n"/>
      <c r="F119" s="67" t="n"/>
      <c r="G119" s="67" t="n"/>
      <c r="H119" s="67" t="n"/>
      <c r="I119" s="67" t="n"/>
      <c r="J119" s="67" t="n"/>
      <c r="K119" s="67" t="n"/>
      <c r="L119" s="67" t="n"/>
      <c r="M119" s="64" t="n"/>
      <c r="N119" s="84">
        <f>IF(A119="","",IFERROR(INDEX(Firms!$B$5:$B$1004,MATCH(A119,Firms!$A$5:$A$1004,0)),"Not on Firms tab"))</f>
        <v/>
      </c>
      <c r="O119" s="84">
        <f>IF(A119="","",IF(AND(D119&lt;&gt;"",D119&lt;TODAY()),"Expired",IF(AND(C119&lt;&gt;"",C119&gt;TODAY()),"Not yet effective",IF(C119="","No date",IF(TODAY()&gt;=EDATE(C119,Review_Months),"Review Due","Current")))))</f>
        <v/>
      </c>
      <c r="P119">
        <f>IF(A119="","",A119&amp;"|"&amp;B119)</f>
        <v/>
      </c>
      <c r="Q119">
        <f>IF(AND(A119&lt;&gt;"",A119='Firm Search'!$C$7),COUNTIF($A$5:A119,'Firm Search'!$C$7),"")</f>
        <v/>
      </c>
      <c r="R119">
        <f>IF(A119="","",COUNTIF($A$5:$A$1004,"&lt;"&amp;A119)+COUNTIF($A$5:A119,A119))</f>
        <v/>
      </c>
    </row>
    <row r="120">
      <c r="A120" s="64" t="n"/>
      <c r="B120" s="64" t="n"/>
      <c r="C120" s="66" t="n"/>
      <c r="D120" s="66" t="n"/>
      <c r="E120" s="67" t="n"/>
      <c r="F120" s="67" t="n"/>
      <c r="G120" s="67" t="n"/>
      <c r="H120" s="67" t="n"/>
      <c r="I120" s="67" t="n"/>
      <c r="J120" s="67" t="n"/>
      <c r="K120" s="67" t="n"/>
      <c r="L120" s="67" t="n"/>
      <c r="M120" s="64" t="n"/>
      <c r="N120" s="84">
        <f>IF(A120="","",IFERROR(INDEX(Firms!$B$5:$B$1004,MATCH(A120,Firms!$A$5:$A$1004,0)),"Not on Firms tab"))</f>
        <v/>
      </c>
      <c r="O120" s="84">
        <f>IF(A120="","",IF(AND(D120&lt;&gt;"",D120&lt;TODAY()),"Expired",IF(AND(C120&lt;&gt;"",C120&gt;TODAY()),"Not yet effective",IF(C120="","No date",IF(TODAY()&gt;=EDATE(C120,Review_Months),"Review Due","Current")))))</f>
        <v/>
      </c>
      <c r="P120">
        <f>IF(A120="","",A120&amp;"|"&amp;B120)</f>
        <v/>
      </c>
      <c r="Q120">
        <f>IF(AND(A120&lt;&gt;"",A120='Firm Search'!$C$7),COUNTIF($A$5:A120,'Firm Search'!$C$7),"")</f>
        <v/>
      </c>
      <c r="R120">
        <f>IF(A120="","",COUNTIF($A$5:$A$1004,"&lt;"&amp;A120)+COUNTIF($A$5:A120,A120))</f>
        <v/>
      </c>
    </row>
    <row r="121">
      <c r="A121" s="64" t="n"/>
      <c r="B121" s="64" t="n"/>
      <c r="C121" s="66" t="n"/>
      <c r="D121" s="66" t="n"/>
      <c r="E121" s="67" t="n"/>
      <c r="F121" s="67" t="n"/>
      <c r="G121" s="67" t="n"/>
      <c r="H121" s="67" t="n"/>
      <c r="I121" s="67" t="n"/>
      <c r="J121" s="67" t="n"/>
      <c r="K121" s="67" t="n"/>
      <c r="L121" s="67" t="n"/>
      <c r="M121" s="64" t="n"/>
      <c r="N121" s="84">
        <f>IF(A121="","",IFERROR(INDEX(Firms!$B$5:$B$1004,MATCH(A121,Firms!$A$5:$A$1004,0)),"Not on Firms tab"))</f>
        <v/>
      </c>
      <c r="O121" s="84">
        <f>IF(A121="","",IF(AND(D121&lt;&gt;"",D121&lt;TODAY()),"Expired",IF(AND(C121&lt;&gt;"",C121&gt;TODAY()),"Not yet effective",IF(C121="","No date",IF(TODAY()&gt;=EDATE(C121,Review_Months),"Review Due","Current")))))</f>
        <v/>
      </c>
      <c r="P121">
        <f>IF(A121="","",A121&amp;"|"&amp;B121)</f>
        <v/>
      </c>
      <c r="Q121">
        <f>IF(AND(A121&lt;&gt;"",A121='Firm Search'!$C$7),COUNTIF($A$5:A121,'Firm Search'!$C$7),"")</f>
        <v/>
      </c>
      <c r="R121">
        <f>IF(A121="","",COUNTIF($A$5:$A$1004,"&lt;"&amp;A121)+COUNTIF($A$5:A121,A121))</f>
        <v/>
      </c>
    </row>
    <row r="122">
      <c r="A122" s="64" t="n"/>
      <c r="B122" s="64" t="n"/>
      <c r="C122" s="66" t="n"/>
      <c r="D122" s="66" t="n"/>
      <c r="E122" s="67" t="n"/>
      <c r="F122" s="67" t="n"/>
      <c r="G122" s="67" t="n"/>
      <c r="H122" s="67" t="n"/>
      <c r="I122" s="67" t="n"/>
      <c r="J122" s="67" t="n"/>
      <c r="K122" s="67" t="n"/>
      <c r="L122" s="67" t="n"/>
      <c r="M122" s="64" t="n"/>
      <c r="N122" s="84">
        <f>IF(A122="","",IFERROR(INDEX(Firms!$B$5:$B$1004,MATCH(A122,Firms!$A$5:$A$1004,0)),"Not on Firms tab"))</f>
        <v/>
      </c>
      <c r="O122" s="84">
        <f>IF(A122="","",IF(AND(D122&lt;&gt;"",D122&lt;TODAY()),"Expired",IF(AND(C122&lt;&gt;"",C122&gt;TODAY()),"Not yet effective",IF(C122="","No date",IF(TODAY()&gt;=EDATE(C122,Review_Months),"Review Due","Current")))))</f>
        <v/>
      </c>
      <c r="P122">
        <f>IF(A122="","",A122&amp;"|"&amp;B122)</f>
        <v/>
      </c>
      <c r="Q122">
        <f>IF(AND(A122&lt;&gt;"",A122='Firm Search'!$C$7),COUNTIF($A$5:A122,'Firm Search'!$C$7),"")</f>
        <v/>
      </c>
      <c r="R122">
        <f>IF(A122="","",COUNTIF($A$5:$A$1004,"&lt;"&amp;A122)+COUNTIF($A$5:A122,A122))</f>
        <v/>
      </c>
    </row>
    <row r="123">
      <c r="A123" s="64" t="n"/>
      <c r="B123" s="64" t="n"/>
      <c r="C123" s="66" t="n"/>
      <c r="D123" s="66" t="n"/>
      <c r="E123" s="67" t="n"/>
      <c r="F123" s="67" t="n"/>
      <c r="G123" s="67" t="n"/>
      <c r="H123" s="67" t="n"/>
      <c r="I123" s="67" t="n"/>
      <c r="J123" s="67" t="n"/>
      <c r="K123" s="67" t="n"/>
      <c r="L123" s="67" t="n"/>
      <c r="M123" s="64" t="n"/>
      <c r="N123" s="84">
        <f>IF(A123="","",IFERROR(INDEX(Firms!$B$5:$B$1004,MATCH(A123,Firms!$A$5:$A$1004,0)),"Not on Firms tab"))</f>
        <v/>
      </c>
      <c r="O123" s="84">
        <f>IF(A123="","",IF(AND(D123&lt;&gt;"",D123&lt;TODAY()),"Expired",IF(AND(C123&lt;&gt;"",C123&gt;TODAY()),"Not yet effective",IF(C123="","No date",IF(TODAY()&gt;=EDATE(C123,Review_Months),"Review Due","Current")))))</f>
        <v/>
      </c>
      <c r="P123">
        <f>IF(A123="","",A123&amp;"|"&amp;B123)</f>
        <v/>
      </c>
      <c r="Q123">
        <f>IF(AND(A123&lt;&gt;"",A123='Firm Search'!$C$7),COUNTIF($A$5:A123,'Firm Search'!$C$7),"")</f>
        <v/>
      </c>
      <c r="R123">
        <f>IF(A123="","",COUNTIF($A$5:$A$1004,"&lt;"&amp;A123)+COUNTIF($A$5:A123,A123))</f>
        <v/>
      </c>
    </row>
    <row r="124">
      <c r="A124" s="64" t="n"/>
      <c r="B124" s="64" t="n"/>
      <c r="C124" s="66" t="n"/>
      <c r="D124" s="66" t="n"/>
      <c r="E124" s="67" t="n"/>
      <c r="F124" s="67" t="n"/>
      <c r="G124" s="67" t="n"/>
      <c r="H124" s="67" t="n"/>
      <c r="I124" s="67" t="n"/>
      <c r="J124" s="67" t="n"/>
      <c r="K124" s="67" t="n"/>
      <c r="L124" s="67" t="n"/>
      <c r="M124" s="64" t="n"/>
      <c r="N124" s="84">
        <f>IF(A124="","",IFERROR(INDEX(Firms!$B$5:$B$1004,MATCH(A124,Firms!$A$5:$A$1004,0)),"Not on Firms tab"))</f>
        <v/>
      </c>
      <c r="O124" s="84">
        <f>IF(A124="","",IF(AND(D124&lt;&gt;"",D124&lt;TODAY()),"Expired",IF(AND(C124&lt;&gt;"",C124&gt;TODAY()),"Not yet effective",IF(C124="","No date",IF(TODAY()&gt;=EDATE(C124,Review_Months),"Review Due","Current")))))</f>
        <v/>
      </c>
      <c r="P124">
        <f>IF(A124="","",A124&amp;"|"&amp;B124)</f>
        <v/>
      </c>
      <c r="Q124">
        <f>IF(AND(A124&lt;&gt;"",A124='Firm Search'!$C$7),COUNTIF($A$5:A124,'Firm Search'!$C$7),"")</f>
        <v/>
      </c>
      <c r="R124">
        <f>IF(A124="","",COUNTIF($A$5:$A$1004,"&lt;"&amp;A124)+COUNTIF($A$5:A124,A124))</f>
        <v/>
      </c>
    </row>
    <row r="125">
      <c r="A125" s="64" t="n"/>
      <c r="B125" s="64" t="n"/>
      <c r="C125" s="66" t="n"/>
      <c r="D125" s="66" t="n"/>
      <c r="E125" s="67" t="n"/>
      <c r="F125" s="67" t="n"/>
      <c r="G125" s="67" t="n"/>
      <c r="H125" s="67" t="n"/>
      <c r="I125" s="67" t="n"/>
      <c r="J125" s="67" t="n"/>
      <c r="K125" s="67" t="n"/>
      <c r="L125" s="67" t="n"/>
      <c r="M125" s="64" t="n"/>
      <c r="N125" s="84">
        <f>IF(A125="","",IFERROR(INDEX(Firms!$B$5:$B$1004,MATCH(A125,Firms!$A$5:$A$1004,0)),"Not on Firms tab"))</f>
        <v/>
      </c>
      <c r="O125" s="84">
        <f>IF(A125="","",IF(AND(D125&lt;&gt;"",D125&lt;TODAY()),"Expired",IF(AND(C125&lt;&gt;"",C125&gt;TODAY()),"Not yet effective",IF(C125="","No date",IF(TODAY()&gt;=EDATE(C125,Review_Months),"Review Due","Current")))))</f>
        <v/>
      </c>
      <c r="P125">
        <f>IF(A125="","",A125&amp;"|"&amp;B125)</f>
        <v/>
      </c>
      <c r="Q125">
        <f>IF(AND(A125&lt;&gt;"",A125='Firm Search'!$C$7),COUNTIF($A$5:A125,'Firm Search'!$C$7),"")</f>
        <v/>
      </c>
      <c r="R125">
        <f>IF(A125="","",COUNTIF($A$5:$A$1004,"&lt;"&amp;A125)+COUNTIF($A$5:A125,A125))</f>
        <v/>
      </c>
    </row>
    <row r="126">
      <c r="A126" s="64" t="n"/>
      <c r="B126" s="64" t="n"/>
      <c r="C126" s="66" t="n"/>
      <c r="D126" s="66" t="n"/>
      <c r="E126" s="67" t="n"/>
      <c r="F126" s="67" t="n"/>
      <c r="G126" s="67" t="n"/>
      <c r="H126" s="67" t="n"/>
      <c r="I126" s="67" t="n"/>
      <c r="J126" s="67" t="n"/>
      <c r="K126" s="67" t="n"/>
      <c r="L126" s="67" t="n"/>
      <c r="M126" s="64" t="n"/>
      <c r="N126" s="84">
        <f>IF(A126="","",IFERROR(INDEX(Firms!$B$5:$B$1004,MATCH(A126,Firms!$A$5:$A$1004,0)),"Not on Firms tab"))</f>
        <v/>
      </c>
      <c r="O126" s="84">
        <f>IF(A126="","",IF(AND(D126&lt;&gt;"",D126&lt;TODAY()),"Expired",IF(AND(C126&lt;&gt;"",C126&gt;TODAY()),"Not yet effective",IF(C126="","No date",IF(TODAY()&gt;=EDATE(C126,Review_Months),"Review Due","Current")))))</f>
        <v/>
      </c>
      <c r="P126">
        <f>IF(A126="","",A126&amp;"|"&amp;B126)</f>
        <v/>
      </c>
      <c r="Q126">
        <f>IF(AND(A126&lt;&gt;"",A126='Firm Search'!$C$7),COUNTIF($A$5:A126,'Firm Search'!$C$7),"")</f>
        <v/>
      </c>
      <c r="R126">
        <f>IF(A126="","",COUNTIF($A$5:$A$1004,"&lt;"&amp;A126)+COUNTIF($A$5:A126,A126))</f>
        <v/>
      </c>
    </row>
    <row r="127">
      <c r="A127" s="64" t="n"/>
      <c r="B127" s="64" t="n"/>
      <c r="C127" s="66" t="n"/>
      <c r="D127" s="66" t="n"/>
      <c r="E127" s="67" t="n"/>
      <c r="F127" s="67" t="n"/>
      <c r="G127" s="67" t="n"/>
      <c r="H127" s="67" t="n"/>
      <c r="I127" s="67" t="n"/>
      <c r="J127" s="67" t="n"/>
      <c r="K127" s="67" t="n"/>
      <c r="L127" s="67" t="n"/>
      <c r="M127" s="64" t="n"/>
      <c r="N127" s="84">
        <f>IF(A127="","",IFERROR(INDEX(Firms!$B$5:$B$1004,MATCH(A127,Firms!$A$5:$A$1004,0)),"Not on Firms tab"))</f>
        <v/>
      </c>
      <c r="O127" s="84">
        <f>IF(A127="","",IF(AND(D127&lt;&gt;"",D127&lt;TODAY()),"Expired",IF(AND(C127&lt;&gt;"",C127&gt;TODAY()),"Not yet effective",IF(C127="","No date",IF(TODAY()&gt;=EDATE(C127,Review_Months),"Review Due","Current")))))</f>
        <v/>
      </c>
      <c r="P127">
        <f>IF(A127="","",A127&amp;"|"&amp;B127)</f>
        <v/>
      </c>
      <c r="Q127">
        <f>IF(AND(A127&lt;&gt;"",A127='Firm Search'!$C$7),COUNTIF($A$5:A127,'Firm Search'!$C$7),"")</f>
        <v/>
      </c>
      <c r="R127">
        <f>IF(A127="","",COUNTIF($A$5:$A$1004,"&lt;"&amp;A127)+COUNTIF($A$5:A127,A127))</f>
        <v/>
      </c>
    </row>
    <row r="128">
      <c r="A128" s="64" t="n"/>
      <c r="B128" s="64" t="n"/>
      <c r="C128" s="66" t="n"/>
      <c r="D128" s="66" t="n"/>
      <c r="E128" s="67" t="n"/>
      <c r="F128" s="67" t="n"/>
      <c r="G128" s="67" t="n"/>
      <c r="H128" s="67" t="n"/>
      <c r="I128" s="67" t="n"/>
      <c r="J128" s="67" t="n"/>
      <c r="K128" s="67" t="n"/>
      <c r="L128" s="67" t="n"/>
      <c r="M128" s="64" t="n"/>
      <c r="N128" s="84">
        <f>IF(A128="","",IFERROR(INDEX(Firms!$B$5:$B$1004,MATCH(A128,Firms!$A$5:$A$1004,0)),"Not on Firms tab"))</f>
        <v/>
      </c>
      <c r="O128" s="84">
        <f>IF(A128="","",IF(AND(D128&lt;&gt;"",D128&lt;TODAY()),"Expired",IF(AND(C128&lt;&gt;"",C128&gt;TODAY()),"Not yet effective",IF(C128="","No date",IF(TODAY()&gt;=EDATE(C128,Review_Months),"Review Due","Current")))))</f>
        <v/>
      </c>
      <c r="P128">
        <f>IF(A128="","",A128&amp;"|"&amp;B128)</f>
        <v/>
      </c>
      <c r="Q128">
        <f>IF(AND(A128&lt;&gt;"",A128='Firm Search'!$C$7),COUNTIF($A$5:A128,'Firm Search'!$C$7),"")</f>
        <v/>
      </c>
      <c r="R128">
        <f>IF(A128="","",COUNTIF($A$5:$A$1004,"&lt;"&amp;A128)+COUNTIF($A$5:A128,A128))</f>
        <v/>
      </c>
    </row>
    <row r="129">
      <c r="A129" s="64" t="n"/>
      <c r="B129" s="64" t="n"/>
      <c r="C129" s="66" t="n"/>
      <c r="D129" s="66" t="n"/>
      <c r="E129" s="67" t="n"/>
      <c r="F129" s="67" t="n"/>
      <c r="G129" s="67" t="n"/>
      <c r="H129" s="67" t="n"/>
      <c r="I129" s="67" t="n"/>
      <c r="J129" s="67" t="n"/>
      <c r="K129" s="67" t="n"/>
      <c r="L129" s="67" t="n"/>
      <c r="M129" s="64" t="n"/>
      <c r="N129" s="84">
        <f>IF(A129="","",IFERROR(INDEX(Firms!$B$5:$B$1004,MATCH(A129,Firms!$A$5:$A$1004,0)),"Not on Firms tab"))</f>
        <v/>
      </c>
      <c r="O129" s="84">
        <f>IF(A129="","",IF(AND(D129&lt;&gt;"",D129&lt;TODAY()),"Expired",IF(AND(C129&lt;&gt;"",C129&gt;TODAY()),"Not yet effective",IF(C129="","No date",IF(TODAY()&gt;=EDATE(C129,Review_Months),"Review Due","Current")))))</f>
        <v/>
      </c>
      <c r="P129">
        <f>IF(A129="","",A129&amp;"|"&amp;B129)</f>
        <v/>
      </c>
      <c r="Q129">
        <f>IF(AND(A129&lt;&gt;"",A129='Firm Search'!$C$7),COUNTIF($A$5:A129,'Firm Search'!$C$7),"")</f>
        <v/>
      </c>
      <c r="R129">
        <f>IF(A129="","",COUNTIF($A$5:$A$1004,"&lt;"&amp;A129)+COUNTIF($A$5:A129,A129))</f>
        <v/>
      </c>
    </row>
    <row r="130">
      <c r="A130" s="64" t="n"/>
      <c r="B130" s="64" t="n"/>
      <c r="C130" s="66" t="n"/>
      <c r="D130" s="66" t="n"/>
      <c r="E130" s="67" t="n"/>
      <c r="F130" s="67" t="n"/>
      <c r="G130" s="67" t="n"/>
      <c r="H130" s="67" t="n"/>
      <c r="I130" s="67" t="n"/>
      <c r="J130" s="67" t="n"/>
      <c r="K130" s="67" t="n"/>
      <c r="L130" s="67" t="n"/>
      <c r="M130" s="64" t="n"/>
      <c r="N130" s="84">
        <f>IF(A130="","",IFERROR(INDEX(Firms!$B$5:$B$1004,MATCH(A130,Firms!$A$5:$A$1004,0)),"Not on Firms tab"))</f>
        <v/>
      </c>
      <c r="O130" s="84">
        <f>IF(A130="","",IF(AND(D130&lt;&gt;"",D130&lt;TODAY()),"Expired",IF(AND(C130&lt;&gt;"",C130&gt;TODAY()),"Not yet effective",IF(C130="","No date",IF(TODAY()&gt;=EDATE(C130,Review_Months),"Review Due","Current")))))</f>
        <v/>
      </c>
      <c r="P130">
        <f>IF(A130="","",A130&amp;"|"&amp;B130)</f>
        <v/>
      </c>
      <c r="Q130">
        <f>IF(AND(A130&lt;&gt;"",A130='Firm Search'!$C$7),COUNTIF($A$5:A130,'Firm Search'!$C$7),"")</f>
        <v/>
      </c>
      <c r="R130">
        <f>IF(A130="","",COUNTIF($A$5:$A$1004,"&lt;"&amp;A130)+COUNTIF($A$5:A130,A130))</f>
        <v/>
      </c>
    </row>
    <row r="131">
      <c r="A131" s="64" t="n"/>
      <c r="B131" s="64" t="n"/>
      <c r="C131" s="66" t="n"/>
      <c r="D131" s="66" t="n"/>
      <c r="E131" s="67" t="n"/>
      <c r="F131" s="67" t="n"/>
      <c r="G131" s="67" t="n"/>
      <c r="H131" s="67" t="n"/>
      <c r="I131" s="67" t="n"/>
      <c r="J131" s="67" t="n"/>
      <c r="K131" s="67" t="n"/>
      <c r="L131" s="67" t="n"/>
      <c r="M131" s="64" t="n"/>
      <c r="N131" s="84">
        <f>IF(A131="","",IFERROR(INDEX(Firms!$B$5:$B$1004,MATCH(A131,Firms!$A$5:$A$1004,0)),"Not on Firms tab"))</f>
        <v/>
      </c>
      <c r="O131" s="84">
        <f>IF(A131="","",IF(AND(D131&lt;&gt;"",D131&lt;TODAY()),"Expired",IF(AND(C131&lt;&gt;"",C131&gt;TODAY()),"Not yet effective",IF(C131="","No date",IF(TODAY()&gt;=EDATE(C131,Review_Months),"Review Due","Current")))))</f>
        <v/>
      </c>
      <c r="P131">
        <f>IF(A131="","",A131&amp;"|"&amp;B131)</f>
        <v/>
      </c>
      <c r="Q131">
        <f>IF(AND(A131&lt;&gt;"",A131='Firm Search'!$C$7),COUNTIF($A$5:A131,'Firm Search'!$C$7),"")</f>
        <v/>
      </c>
      <c r="R131">
        <f>IF(A131="","",COUNTIF($A$5:$A$1004,"&lt;"&amp;A131)+COUNTIF($A$5:A131,A131))</f>
        <v/>
      </c>
    </row>
    <row r="132">
      <c r="A132" s="64" t="n"/>
      <c r="B132" s="64" t="n"/>
      <c r="C132" s="66" t="n"/>
      <c r="D132" s="66" t="n"/>
      <c r="E132" s="67" t="n"/>
      <c r="F132" s="67" t="n"/>
      <c r="G132" s="67" t="n"/>
      <c r="H132" s="67" t="n"/>
      <c r="I132" s="67" t="n"/>
      <c r="J132" s="67" t="n"/>
      <c r="K132" s="67" t="n"/>
      <c r="L132" s="67" t="n"/>
      <c r="M132" s="64" t="n"/>
      <c r="N132" s="84">
        <f>IF(A132="","",IFERROR(INDEX(Firms!$B$5:$B$1004,MATCH(A132,Firms!$A$5:$A$1004,0)),"Not on Firms tab"))</f>
        <v/>
      </c>
      <c r="O132" s="84">
        <f>IF(A132="","",IF(AND(D132&lt;&gt;"",D132&lt;TODAY()),"Expired",IF(AND(C132&lt;&gt;"",C132&gt;TODAY()),"Not yet effective",IF(C132="","No date",IF(TODAY()&gt;=EDATE(C132,Review_Months),"Review Due","Current")))))</f>
        <v/>
      </c>
      <c r="P132">
        <f>IF(A132="","",A132&amp;"|"&amp;B132)</f>
        <v/>
      </c>
      <c r="Q132">
        <f>IF(AND(A132&lt;&gt;"",A132='Firm Search'!$C$7),COUNTIF($A$5:A132,'Firm Search'!$C$7),"")</f>
        <v/>
      </c>
      <c r="R132">
        <f>IF(A132="","",COUNTIF($A$5:$A$1004,"&lt;"&amp;A132)+COUNTIF($A$5:A132,A132))</f>
        <v/>
      </c>
    </row>
    <row r="133">
      <c r="A133" s="64" t="n"/>
      <c r="B133" s="64" t="n"/>
      <c r="C133" s="66" t="n"/>
      <c r="D133" s="66" t="n"/>
      <c r="E133" s="67" t="n"/>
      <c r="F133" s="67" t="n"/>
      <c r="G133" s="67" t="n"/>
      <c r="H133" s="67" t="n"/>
      <c r="I133" s="67" t="n"/>
      <c r="J133" s="67" t="n"/>
      <c r="K133" s="67" t="n"/>
      <c r="L133" s="67" t="n"/>
      <c r="M133" s="64" t="n"/>
      <c r="N133" s="84">
        <f>IF(A133="","",IFERROR(INDEX(Firms!$B$5:$B$1004,MATCH(A133,Firms!$A$5:$A$1004,0)),"Not on Firms tab"))</f>
        <v/>
      </c>
      <c r="O133" s="84">
        <f>IF(A133="","",IF(AND(D133&lt;&gt;"",D133&lt;TODAY()),"Expired",IF(AND(C133&lt;&gt;"",C133&gt;TODAY()),"Not yet effective",IF(C133="","No date",IF(TODAY()&gt;=EDATE(C133,Review_Months),"Review Due","Current")))))</f>
        <v/>
      </c>
      <c r="P133">
        <f>IF(A133="","",A133&amp;"|"&amp;B133)</f>
        <v/>
      </c>
      <c r="Q133">
        <f>IF(AND(A133&lt;&gt;"",A133='Firm Search'!$C$7),COUNTIF($A$5:A133,'Firm Search'!$C$7),"")</f>
        <v/>
      </c>
      <c r="R133">
        <f>IF(A133="","",COUNTIF($A$5:$A$1004,"&lt;"&amp;A133)+COUNTIF($A$5:A133,A133))</f>
        <v/>
      </c>
    </row>
    <row r="134">
      <c r="A134" s="64" t="n"/>
      <c r="B134" s="64" t="n"/>
      <c r="C134" s="66" t="n"/>
      <c r="D134" s="66" t="n"/>
      <c r="E134" s="67" t="n"/>
      <c r="F134" s="67" t="n"/>
      <c r="G134" s="67" t="n"/>
      <c r="H134" s="67" t="n"/>
      <c r="I134" s="67" t="n"/>
      <c r="J134" s="67" t="n"/>
      <c r="K134" s="67" t="n"/>
      <c r="L134" s="67" t="n"/>
      <c r="M134" s="64" t="n"/>
      <c r="N134" s="84">
        <f>IF(A134="","",IFERROR(INDEX(Firms!$B$5:$B$1004,MATCH(A134,Firms!$A$5:$A$1004,0)),"Not on Firms tab"))</f>
        <v/>
      </c>
      <c r="O134" s="84">
        <f>IF(A134="","",IF(AND(D134&lt;&gt;"",D134&lt;TODAY()),"Expired",IF(AND(C134&lt;&gt;"",C134&gt;TODAY()),"Not yet effective",IF(C134="","No date",IF(TODAY()&gt;=EDATE(C134,Review_Months),"Review Due","Current")))))</f>
        <v/>
      </c>
      <c r="P134">
        <f>IF(A134="","",A134&amp;"|"&amp;B134)</f>
        <v/>
      </c>
      <c r="Q134">
        <f>IF(AND(A134&lt;&gt;"",A134='Firm Search'!$C$7),COUNTIF($A$5:A134,'Firm Search'!$C$7),"")</f>
        <v/>
      </c>
      <c r="R134">
        <f>IF(A134="","",COUNTIF($A$5:$A$1004,"&lt;"&amp;A134)+COUNTIF($A$5:A134,A134))</f>
        <v/>
      </c>
    </row>
    <row r="135">
      <c r="A135" s="64" t="n"/>
      <c r="B135" s="64" t="n"/>
      <c r="C135" s="66" t="n"/>
      <c r="D135" s="66" t="n"/>
      <c r="E135" s="67" t="n"/>
      <c r="F135" s="67" t="n"/>
      <c r="G135" s="67" t="n"/>
      <c r="H135" s="67" t="n"/>
      <c r="I135" s="67" t="n"/>
      <c r="J135" s="67" t="n"/>
      <c r="K135" s="67" t="n"/>
      <c r="L135" s="67" t="n"/>
      <c r="M135" s="64" t="n"/>
      <c r="N135" s="84">
        <f>IF(A135="","",IFERROR(INDEX(Firms!$B$5:$B$1004,MATCH(A135,Firms!$A$5:$A$1004,0)),"Not on Firms tab"))</f>
        <v/>
      </c>
      <c r="O135" s="84">
        <f>IF(A135="","",IF(AND(D135&lt;&gt;"",D135&lt;TODAY()),"Expired",IF(AND(C135&lt;&gt;"",C135&gt;TODAY()),"Not yet effective",IF(C135="","No date",IF(TODAY()&gt;=EDATE(C135,Review_Months),"Review Due","Current")))))</f>
        <v/>
      </c>
      <c r="P135">
        <f>IF(A135="","",A135&amp;"|"&amp;B135)</f>
        <v/>
      </c>
      <c r="Q135">
        <f>IF(AND(A135&lt;&gt;"",A135='Firm Search'!$C$7),COUNTIF($A$5:A135,'Firm Search'!$C$7),"")</f>
        <v/>
      </c>
      <c r="R135">
        <f>IF(A135="","",COUNTIF($A$5:$A$1004,"&lt;"&amp;A135)+COUNTIF($A$5:A135,A135))</f>
        <v/>
      </c>
    </row>
    <row r="136">
      <c r="A136" s="64" t="n"/>
      <c r="B136" s="64" t="n"/>
      <c r="C136" s="66" t="n"/>
      <c r="D136" s="66" t="n"/>
      <c r="E136" s="67" t="n"/>
      <c r="F136" s="67" t="n"/>
      <c r="G136" s="67" t="n"/>
      <c r="H136" s="67" t="n"/>
      <c r="I136" s="67" t="n"/>
      <c r="J136" s="67" t="n"/>
      <c r="K136" s="67" t="n"/>
      <c r="L136" s="67" t="n"/>
      <c r="M136" s="64" t="n"/>
      <c r="N136" s="84">
        <f>IF(A136="","",IFERROR(INDEX(Firms!$B$5:$B$1004,MATCH(A136,Firms!$A$5:$A$1004,0)),"Not on Firms tab"))</f>
        <v/>
      </c>
      <c r="O136" s="84">
        <f>IF(A136="","",IF(AND(D136&lt;&gt;"",D136&lt;TODAY()),"Expired",IF(AND(C136&lt;&gt;"",C136&gt;TODAY()),"Not yet effective",IF(C136="","No date",IF(TODAY()&gt;=EDATE(C136,Review_Months),"Review Due","Current")))))</f>
        <v/>
      </c>
      <c r="P136">
        <f>IF(A136="","",A136&amp;"|"&amp;B136)</f>
        <v/>
      </c>
      <c r="Q136">
        <f>IF(AND(A136&lt;&gt;"",A136='Firm Search'!$C$7),COUNTIF($A$5:A136,'Firm Search'!$C$7),"")</f>
        <v/>
      </c>
      <c r="R136">
        <f>IF(A136="","",COUNTIF($A$5:$A$1004,"&lt;"&amp;A136)+COUNTIF($A$5:A136,A136))</f>
        <v/>
      </c>
    </row>
    <row r="137">
      <c r="A137" s="64" t="n"/>
      <c r="B137" s="64" t="n"/>
      <c r="C137" s="66" t="n"/>
      <c r="D137" s="66" t="n"/>
      <c r="E137" s="67" t="n"/>
      <c r="F137" s="67" t="n"/>
      <c r="G137" s="67" t="n"/>
      <c r="H137" s="67" t="n"/>
      <c r="I137" s="67" t="n"/>
      <c r="J137" s="67" t="n"/>
      <c r="K137" s="67" t="n"/>
      <c r="L137" s="67" t="n"/>
      <c r="M137" s="64" t="n"/>
      <c r="N137" s="84">
        <f>IF(A137="","",IFERROR(INDEX(Firms!$B$5:$B$1004,MATCH(A137,Firms!$A$5:$A$1004,0)),"Not on Firms tab"))</f>
        <v/>
      </c>
      <c r="O137" s="84">
        <f>IF(A137="","",IF(AND(D137&lt;&gt;"",D137&lt;TODAY()),"Expired",IF(AND(C137&lt;&gt;"",C137&gt;TODAY()),"Not yet effective",IF(C137="","No date",IF(TODAY()&gt;=EDATE(C137,Review_Months),"Review Due","Current")))))</f>
        <v/>
      </c>
      <c r="P137">
        <f>IF(A137="","",A137&amp;"|"&amp;B137)</f>
        <v/>
      </c>
      <c r="Q137">
        <f>IF(AND(A137&lt;&gt;"",A137='Firm Search'!$C$7),COUNTIF($A$5:A137,'Firm Search'!$C$7),"")</f>
        <v/>
      </c>
      <c r="R137">
        <f>IF(A137="","",COUNTIF($A$5:$A$1004,"&lt;"&amp;A137)+COUNTIF($A$5:A137,A137))</f>
        <v/>
      </c>
    </row>
    <row r="138">
      <c r="A138" s="64" t="n"/>
      <c r="B138" s="64" t="n"/>
      <c r="C138" s="66" t="n"/>
      <c r="D138" s="66" t="n"/>
      <c r="E138" s="67" t="n"/>
      <c r="F138" s="67" t="n"/>
      <c r="G138" s="67" t="n"/>
      <c r="H138" s="67" t="n"/>
      <c r="I138" s="67" t="n"/>
      <c r="J138" s="67" t="n"/>
      <c r="K138" s="67" t="n"/>
      <c r="L138" s="67" t="n"/>
      <c r="M138" s="64" t="n"/>
      <c r="N138" s="84">
        <f>IF(A138="","",IFERROR(INDEX(Firms!$B$5:$B$1004,MATCH(A138,Firms!$A$5:$A$1004,0)),"Not on Firms tab"))</f>
        <v/>
      </c>
      <c r="O138" s="84">
        <f>IF(A138="","",IF(AND(D138&lt;&gt;"",D138&lt;TODAY()),"Expired",IF(AND(C138&lt;&gt;"",C138&gt;TODAY()),"Not yet effective",IF(C138="","No date",IF(TODAY()&gt;=EDATE(C138,Review_Months),"Review Due","Current")))))</f>
        <v/>
      </c>
      <c r="P138">
        <f>IF(A138="","",A138&amp;"|"&amp;B138)</f>
        <v/>
      </c>
      <c r="Q138">
        <f>IF(AND(A138&lt;&gt;"",A138='Firm Search'!$C$7),COUNTIF($A$5:A138,'Firm Search'!$C$7),"")</f>
        <v/>
      </c>
      <c r="R138">
        <f>IF(A138="","",COUNTIF($A$5:$A$1004,"&lt;"&amp;A138)+COUNTIF($A$5:A138,A138))</f>
        <v/>
      </c>
    </row>
    <row r="139">
      <c r="A139" s="64" t="n"/>
      <c r="B139" s="64" t="n"/>
      <c r="C139" s="66" t="n"/>
      <c r="D139" s="66" t="n"/>
      <c r="E139" s="67" t="n"/>
      <c r="F139" s="67" t="n"/>
      <c r="G139" s="67" t="n"/>
      <c r="H139" s="67" t="n"/>
      <c r="I139" s="67" t="n"/>
      <c r="J139" s="67" t="n"/>
      <c r="K139" s="67" t="n"/>
      <c r="L139" s="67" t="n"/>
      <c r="M139" s="64" t="n"/>
      <c r="N139" s="84">
        <f>IF(A139="","",IFERROR(INDEX(Firms!$B$5:$B$1004,MATCH(A139,Firms!$A$5:$A$1004,0)),"Not on Firms tab"))</f>
        <v/>
      </c>
      <c r="O139" s="84">
        <f>IF(A139="","",IF(AND(D139&lt;&gt;"",D139&lt;TODAY()),"Expired",IF(AND(C139&lt;&gt;"",C139&gt;TODAY()),"Not yet effective",IF(C139="","No date",IF(TODAY()&gt;=EDATE(C139,Review_Months),"Review Due","Current")))))</f>
        <v/>
      </c>
      <c r="P139">
        <f>IF(A139="","",A139&amp;"|"&amp;B139)</f>
        <v/>
      </c>
      <c r="Q139">
        <f>IF(AND(A139&lt;&gt;"",A139='Firm Search'!$C$7),COUNTIF($A$5:A139,'Firm Search'!$C$7),"")</f>
        <v/>
      </c>
      <c r="R139">
        <f>IF(A139="","",COUNTIF($A$5:$A$1004,"&lt;"&amp;A139)+COUNTIF($A$5:A139,A139))</f>
        <v/>
      </c>
    </row>
    <row r="140">
      <c r="A140" s="64" t="n"/>
      <c r="B140" s="64" t="n"/>
      <c r="C140" s="66" t="n"/>
      <c r="D140" s="66" t="n"/>
      <c r="E140" s="67" t="n"/>
      <c r="F140" s="67" t="n"/>
      <c r="G140" s="67" t="n"/>
      <c r="H140" s="67" t="n"/>
      <c r="I140" s="67" t="n"/>
      <c r="J140" s="67" t="n"/>
      <c r="K140" s="67" t="n"/>
      <c r="L140" s="67" t="n"/>
      <c r="M140" s="64" t="n"/>
      <c r="N140" s="84">
        <f>IF(A140="","",IFERROR(INDEX(Firms!$B$5:$B$1004,MATCH(A140,Firms!$A$5:$A$1004,0)),"Not on Firms tab"))</f>
        <v/>
      </c>
      <c r="O140" s="84">
        <f>IF(A140="","",IF(AND(D140&lt;&gt;"",D140&lt;TODAY()),"Expired",IF(AND(C140&lt;&gt;"",C140&gt;TODAY()),"Not yet effective",IF(C140="","No date",IF(TODAY()&gt;=EDATE(C140,Review_Months),"Review Due","Current")))))</f>
        <v/>
      </c>
      <c r="P140">
        <f>IF(A140="","",A140&amp;"|"&amp;B140)</f>
        <v/>
      </c>
      <c r="Q140">
        <f>IF(AND(A140&lt;&gt;"",A140='Firm Search'!$C$7),COUNTIF($A$5:A140,'Firm Search'!$C$7),"")</f>
        <v/>
      </c>
      <c r="R140">
        <f>IF(A140="","",COUNTIF($A$5:$A$1004,"&lt;"&amp;A140)+COUNTIF($A$5:A140,A140))</f>
        <v/>
      </c>
    </row>
    <row r="141">
      <c r="A141" s="64" t="n"/>
      <c r="B141" s="64" t="n"/>
      <c r="C141" s="66" t="n"/>
      <c r="D141" s="66" t="n"/>
      <c r="E141" s="67" t="n"/>
      <c r="F141" s="67" t="n"/>
      <c r="G141" s="67" t="n"/>
      <c r="H141" s="67" t="n"/>
      <c r="I141" s="67" t="n"/>
      <c r="J141" s="67" t="n"/>
      <c r="K141" s="67" t="n"/>
      <c r="L141" s="67" t="n"/>
      <c r="M141" s="64" t="n"/>
      <c r="N141" s="84">
        <f>IF(A141="","",IFERROR(INDEX(Firms!$B$5:$B$1004,MATCH(A141,Firms!$A$5:$A$1004,0)),"Not on Firms tab"))</f>
        <v/>
      </c>
      <c r="O141" s="84">
        <f>IF(A141="","",IF(AND(D141&lt;&gt;"",D141&lt;TODAY()),"Expired",IF(AND(C141&lt;&gt;"",C141&gt;TODAY()),"Not yet effective",IF(C141="","No date",IF(TODAY()&gt;=EDATE(C141,Review_Months),"Review Due","Current")))))</f>
        <v/>
      </c>
      <c r="P141">
        <f>IF(A141="","",A141&amp;"|"&amp;B141)</f>
        <v/>
      </c>
      <c r="Q141">
        <f>IF(AND(A141&lt;&gt;"",A141='Firm Search'!$C$7),COUNTIF($A$5:A141,'Firm Search'!$C$7),"")</f>
        <v/>
      </c>
      <c r="R141">
        <f>IF(A141="","",COUNTIF($A$5:$A$1004,"&lt;"&amp;A141)+COUNTIF($A$5:A141,A141))</f>
        <v/>
      </c>
    </row>
    <row r="142">
      <c r="A142" s="64" t="n"/>
      <c r="B142" s="64" t="n"/>
      <c r="C142" s="66" t="n"/>
      <c r="D142" s="66" t="n"/>
      <c r="E142" s="67" t="n"/>
      <c r="F142" s="67" t="n"/>
      <c r="G142" s="67" t="n"/>
      <c r="H142" s="67" t="n"/>
      <c r="I142" s="67" t="n"/>
      <c r="J142" s="67" t="n"/>
      <c r="K142" s="67" t="n"/>
      <c r="L142" s="67" t="n"/>
      <c r="M142" s="64" t="n"/>
      <c r="N142" s="84">
        <f>IF(A142="","",IFERROR(INDEX(Firms!$B$5:$B$1004,MATCH(A142,Firms!$A$5:$A$1004,0)),"Not on Firms tab"))</f>
        <v/>
      </c>
      <c r="O142" s="84">
        <f>IF(A142="","",IF(AND(D142&lt;&gt;"",D142&lt;TODAY()),"Expired",IF(AND(C142&lt;&gt;"",C142&gt;TODAY()),"Not yet effective",IF(C142="","No date",IF(TODAY()&gt;=EDATE(C142,Review_Months),"Review Due","Current")))))</f>
        <v/>
      </c>
      <c r="P142">
        <f>IF(A142="","",A142&amp;"|"&amp;B142)</f>
        <v/>
      </c>
      <c r="Q142">
        <f>IF(AND(A142&lt;&gt;"",A142='Firm Search'!$C$7),COUNTIF($A$5:A142,'Firm Search'!$C$7),"")</f>
        <v/>
      </c>
      <c r="R142">
        <f>IF(A142="","",COUNTIF($A$5:$A$1004,"&lt;"&amp;A142)+COUNTIF($A$5:A142,A142))</f>
        <v/>
      </c>
    </row>
    <row r="143">
      <c r="A143" s="64" t="n"/>
      <c r="B143" s="64" t="n"/>
      <c r="C143" s="66" t="n"/>
      <c r="D143" s="66" t="n"/>
      <c r="E143" s="67" t="n"/>
      <c r="F143" s="67" t="n"/>
      <c r="G143" s="67" t="n"/>
      <c r="H143" s="67" t="n"/>
      <c r="I143" s="67" t="n"/>
      <c r="J143" s="67" t="n"/>
      <c r="K143" s="67" t="n"/>
      <c r="L143" s="67" t="n"/>
      <c r="M143" s="64" t="n"/>
      <c r="N143" s="84">
        <f>IF(A143="","",IFERROR(INDEX(Firms!$B$5:$B$1004,MATCH(A143,Firms!$A$5:$A$1004,0)),"Not on Firms tab"))</f>
        <v/>
      </c>
      <c r="O143" s="84">
        <f>IF(A143="","",IF(AND(D143&lt;&gt;"",D143&lt;TODAY()),"Expired",IF(AND(C143&lt;&gt;"",C143&gt;TODAY()),"Not yet effective",IF(C143="","No date",IF(TODAY()&gt;=EDATE(C143,Review_Months),"Review Due","Current")))))</f>
        <v/>
      </c>
      <c r="P143">
        <f>IF(A143="","",A143&amp;"|"&amp;B143)</f>
        <v/>
      </c>
      <c r="Q143">
        <f>IF(AND(A143&lt;&gt;"",A143='Firm Search'!$C$7),COUNTIF($A$5:A143,'Firm Search'!$C$7),"")</f>
        <v/>
      </c>
      <c r="R143">
        <f>IF(A143="","",COUNTIF($A$5:$A$1004,"&lt;"&amp;A143)+COUNTIF($A$5:A143,A143))</f>
        <v/>
      </c>
    </row>
    <row r="144">
      <c r="A144" s="64" t="n"/>
      <c r="B144" s="64" t="n"/>
      <c r="C144" s="66" t="n"/>
      <c r="D144" s="66" t="n"/>
      <c r="E144" s="67" t="n"/>
      <c r="F144" s="67" t="n"/>
      <c r="G144" s="67" t="n"/>
      <c r="H144" s="67" t="n"/>
      <c r="I144" s="67" t="n"/>
      <c r="J144" s="67" t="n"/>
      <c r="K144" s="67" t="n"/>
      <c r="L144" s="67" t="n"/>
      <c r="M144" s="64" t="n"/>
      <c r="N144" s="84">
        <f>IF(A144="","",IFERROR(INDEX(Firms!$B$5:$B$1004,MATCH(A144,Firms!$A$5:$A$1004,0)),"Not on Firms tab"))</f>
        <v/>
      </c>
      <c r="O144" s="84">
        <f>IF(A144="","",IF(AND(D144&lt;&gt;"",D144&lt;TODAY()),"Expired",IF(AND(C144&lt;&gt;"",C144&gt;TODAY()),"Not yet effective",IF(C144="","No date",IF(TODAY()&gt;=EDATE(C144,Review_Months),"Review Due","Current")))))</f>
        <v/>
      </c>
      <c r="P144">
        <f>IF(A144="","",A144&amp;"|"&amp;B144)</f>
        <v/>
      </c>
      <c r="Q144">
        <f>IF(AND(A144&lt;&gt;"",A144='Firm Search'!$C$7),COUNTIF($A$5:A144,'Firm Search'!$C$7),"")</f>
        <v/>
      </c>
      <c r="R144">
        <f>IF(A144="","",COUNTIF($A$5:$A$1004,"&lt;"&amp;A144)+COUNTIF($A$5:A144,A144))</f>
        <v/>
      </c>
    </row>
    <row r="145">
      <c r="A145" s="64" t="n"/>
      <c r="B145" s="64" t="n"/>
      <c r="C145" s="66" t="n"/>
      <c r="D145" s="66" t="n"/>
      <c r="E145" s="67" t="n"/>
      <c r="F145" s="67" t="n"/>
      <c r="G145" s="67" t="n"/>
      <c r="H145" s="67" t="n"/>
      <c r="I145" s="67" t="n"/>
      <c r="J145" s="67" t="n"/>
      <c r="K145" s="67" t="n"/>
      <c r="L145" s="67" t="n"/>
      <c r="M145" s="64" t="n"/>
      <c r="N145" s="84">
        <f>IF(A145="","",IFERROR(INDEX(Firms!$B$5:$B$1004,MATCH(A145,Firms!$A$5:$A$1004,0)),"Not on Firms tab"))</f>
        <v/>
      </c>
      <c r="O145" s="84">
        <f>IF(A145="","",IF(AND(D145&lt;&gt;"",D145&lt;TODAY()),"Expired",IF(AND(C145&lt;&gt;"",C145&gt;TODAY()),"Not yet effective",IF(C145="","No date",IF(TODAY()&gt;=EDATE(C145,Review_Months),"Review Due","Current")))))</f>
        <v/>
      </c>
      <c r="P145">
        <f>IF(A145="","",A145&amp;"|"&amp;B145)</f>
        <v/>
      </c>
      <c r="Q145">
        <f>IF(AND(A145&lt;&gt;"",A145='Firm Search'!$C$7),COUNTIF($A$5:A145,'Firm Search'!$C$7),"")</f>
        <v/>
      </c>
      <c r="R145">
        <f>IF(A145="","",COUNTIF($A$5:$A$1004,"&lt;"&amp;A145)+COUNTIF($A$5:A145,A145))</f>
        <v/>
      </c>
    </row>
    <row r="146">
      <c r="A146" s="64" t="n"/>
      <c r="B146" s="64" t="n"/>
      <c r="C146" s="66" t="n"/>
      <c r="D146" s="66" t="n"/>
      <c r="E146" s="67" t="n"/>
      <c r="F146" s="67" t="n"/>
      <c r="G146" s="67" t="n"/>
      <c r="H146" s="67" t="n"/>
      <c r="I146" s="67" t="n"/>
      <c r="J146" s="67" t="n"/>
      <c r="K146" s="67" t="n"/>
      <c r="L146" s="67" t="n"/>
      <c r="M146" s="64" t="n"/>
      <c r="N146" s="84">
        <f>IF(A146="","",IFERROR(INDEX(Firms!$B$5:$B$1004,MATCH(A146,Firms!$A$5:$A$1004,0)),"Not on Firms tab"))</f>
        <v/>
      </c>
      <c r="O146" s="84">
        <f>IF(A146="","",IF(AND(D146&lt;&gt;"",D146&lt;TODAY()),"Expired",IF(AND(C146&lt;&gt;"",C146&gt;TODAY()),"Not yet effective",IF(C146="","No date",IF(TODAY()&gt;=EDATE(C146,Review_Months),"Review Due","Current")))))</f>
        <v/>
      </c>
      <c r="P146">
        <f>IF(A146="","",A146&amp;"|"&amp;B146)</f>
        <v/>
      </c>
      <c r="Q146">
        <f>IF(AND(A146&lt;&gt;"",A146='Firm Search'!$C$7),COUNTIF($A$5:A146,'Firm Search'!$C$7),"")</f>
        <v/>
      </c>
      <c r="R146">
        <f>IF(A146="","",COUNTIF($A$5:$A$1004,"&lt;"&amp;A146)+COUNTIF($A$5:A146,A146))</f>
        <v/>
      </c>
    </row>
    <row r="147">
      <c r="A147" s="64" t="n"/>
      <c r="B147" s="64" t="n"/>
      <c r="C147" s="66" t="n"/>
      <c r="D147" s="66" t="n"/>
      <c r="E147" s="67" t="n"/>
      <c r="F147" s="67" t="n"/>
      <c r="G147" s="67" t="n"/>
      <c r="H147" s="67" t="n"/>
      <c r="I147" s="67" t="n"/>
      <c r="J147" s="67" t="n"/>
      <c r="K147" s="67" t="n"/>
      <c r="L147" s="67" t="n"/>
      <c r="M147" s="64" t="n"/>
      <c r="N147" s="84">
        <f>IF(A147="","",IFERROR(INDEX(Firms!$B$5:$B$1004,MATCH(A147,Firms!$A$5:$A$1004,0)),"Not on Firms tab"))</f>
        <v/>
      </c>
      <c r="O147" s="84">
        <f>IF(A147="","",IF(AND(D147&lt;&gt;"",D147&lt;TODAY()),"Expired",IF(AND(C147&lt;&gt;"",C147&gt;TODAY()),"Not yet effective",IF(C147="","No date",IF(TODAY()&gt;=EDATE(C147,Review_Months),"Review Due","Current")))))</f>
        <v/>
      </c>
      <c r="P147">
        <f>IF(A147="","",A147&amp;"|"&amp;B147)</f>
        <v/>
      </c>
      <c r="Q147">
        <f>IF(AND(A147&lt;&gt;"",A147='Firm Search'!$C$7),COUNTIF($A$5:A147,'Firm Search'!$C$7),"")</f>
        <v/>
      </c>
      <c r="R147">
        <f>IF(A147="","",COUNTIF($A$5:$A$1004,"&lt;"&amp;A147)+COUNTIF($A$5:A147,A147))</f>
        <v/>
      </c>
    </row>
    <row r="148">
      <c r="A148" s="64" t="n"/>
      <c r="B148" s="64" t="n"/>
      <c r="C148" s="66" t="n"/>
      <c r="D148" s="66" t="n"/>
      <c r="E148" s="67" t="n"/>
      <c r="F148" s="67" t="n"/>
      <c r="G148" s="67" t="n"/>
      <c r="H148" s="67" t="n"/>
      <c r="I148" s="67" t="n"/>
      <c r="J148" s="67" t="n"/>
      <c r="K148" s="67" t="n"/>
      <c r="L148" s="67" t="n"/>
      <c r="M148" s="64" t="n"/>
      <c r="N148" s="84">
        <f>IF(A148="","",IFERROR(INDEX(Firms!$B$5:$B$1004,MATCH(A148,Firms!$A$5:$A$1004,0)),"Not on Firms tab"))</f>
        <v/>
      </c>
      <c r="O148" s="84">
        <f>IF(A148="","",IF(AND(D148&lt;&gt;"",D148&lt;TODAY()),"Expired",IF(AND(C148&lt;&gt;"",C148&gt;TODAY()),"Not yet effective",IF(C148="","No date",IF(TODAY()&gt;=EDATE(C148,Review_Months),"Review Due","Current")))))</f>
        <v/>
      </c>
      <c r="P148">
        <f>IF(A148="","",A148&amp;"|"&amp;B148)</f>
        <v/>
      </c>
      <c r="Q148">
        <f>IF(AND(A148&lt;&gt;"",A148='Firm Search'!$C$7),COUNTIF($A$5:A148,'Firm Search'!$C$7),"")</f>
        <v/>
      </c>
      <c r="R148">
        <f>IF(A148="","",COUNTIF($A$5:$A$1004,"&lt;"&amp;A148)+COUNTIF($A$5:A148,A148))</f>
        <v/>
      </c>
    </row>
    <row r="149">
      <c r="A149" s="64" t="n"/>
      <c r="B149" s="64" t="n"/>
      <c r="C149" s="66" t="n"/>
      <c r="D149" s="66" t="n"/>
      <c r="E149" s="67" t="n"/>
      <c r="F149" s="67" t="n"/>
      <c r="G149" s="67" t="n"/>
      <c r="H149" s="67" t="n"/>
      <c r="I149" s="67" t="n"/>
      <c r="J149" s="67" t="n"/>
      <c r="K149" s="67" t="n"/>
      <c r="L149" s="67" t="n"/>
      <c r="M149" s="64" t="n"/>
      <c r="N149" s="84">
        <f>IF(A149="","",IFERROR(INDEX(Firms!$B$5:$B$1004,MATCH(A149,Firms!$A$5:$A$1004,0)),"Not on Firms tab"))</f>
        <v/>
      </c>
      <c r="O149" s="84">
        <f>IF(A149="","",IF(AND(D149&lt;&gt;"",D149&lt;TODAY()),"Expired",IF(AND(C149&lt;&gt;"",C149&gt;TODAY()),"Not yet effective",IF(C149="","No date",IF(TODAY()&gt;=EDATE(C149,Review_Months),"Review Due","Current")))))</f>
        <v/>
      </c>
      <c r="P149">
        <f>IF(A149="","",A149&amp;"|"&amp;B149)</f>
        <v/>
      </c>
      <c r="Q149">
        <f>IF(AND(A149&lt;&gt;"",A149='Firm Search'!$C$7),COUNTIF($A$5:A149,'Firm Search'!$C$7),"")</f>
        <v/>
      </c>
      <c r="R149">
        <f>IF(A149="","",COUNTIF($A$5:$A$1004,"&lt;"&amp;A149)+COUNTIF($A$5:A149,A149))</f>
        <v/>
      </c>
    </row>
    <row r="150">
      <c r="A150" s="64" t="n"/>
      <c r="B150" s="64" t="n"/>
      <c r="C150" s="66" t="n"/>
      <c r="D150" s="66" t="n"/>
      <c r="E150" s="67" t="n"/>
      <c r="F150" s="67" t="n"/>
      <c r="G150" s="67" t="n"/>
      <c r="H150" s="67" t="n"/>
      <c r="I150" s="67" t="n"/>
      <c r="J150" s="67" t="n"/>
      <c r="K150" s="67" t="n"/>
      <c r="L150" s="67" t="n"/>
      <c r="M150" s="64" t="n"/>
      <c r="N150" s="84">
        <f>IF(A150="","",IFERROR(INDEX(Firms!$B$5:$B$1004,MATCH(A150,Firms!$A$5:$A$1004,0)),"Not on Firms tab"))</f>
        <v/>
      </c>
      <c r="O150" s="84">
        <f>IF(A150="","",IF(AND(D150&lt;&gt;"",D150&lt;TODAY()),"Expired",IF(AND(C150&lt;&gt;"",C150&gt;TODAY()),"Not yet effective",IF(C150="","No date",IF(TODAY()&gt;=EDATE(C150,Review_Months),"Review Due","Current")))))</f>
        <v/>
      </c>
      <c r="P150">
        <f>IF(A150="","",A150&amp;"|"&amp;B150)</f>
        <v/>
      </c>
      <c r="Q150">
        <f>IF(AND(A150&lt;&gt;"",A150='Firm Search'!$C$7),COUNTIF($A$5:A150,'Firm Search'!$C$7),"")</f>
        <v/>
      </c>
      <c r="R150">
        <f>IF(A150="","",COUNTIF($A$5:$A$1004,"&lt;"&amp;A150)+COUNTIF($A$5:A150,A150))</f>
        <v/>
      </c>
    </row>
    <row r="151">
      <c r="A151" s="64" t="n"/>
      <c r="B151" s="64" t="n"/>
      <c r="C151" s="66" t="n"/>
      <c r="D151" s="66" t="n"/>
      <c r="E151" s="67" t="n"/>
      <c r="F151" s="67" t="n"/>
      <c r="G151" s="67" t="n"/>
      <c r="H151" s="67" t="n"/>
      <c r="I151" s="67" t="n"/>
      <c r="J151" s="67" t="n"/>
      <c r="K151" s="67" t="n"/>
      <c r="L151" s="67" t="n"/>
      <c r="M151" s="64" t="n"/>
      <c r="N151" s="84">
        <f>IF(A151="","",IFERROR(INDEX(Firms!$B$5:$B$1004,MATCH(A151,Firms!$A$5:$A$1004,0)),"Not on Firms tab"))</f>
        <v/>
      </c>
      <c r="O151" s="84">
        <f>IF(A151="","",IF(AND(D151&lt;&gt;"",D151&lt;TODAY()),"Expired",IF(AND(C151&lt;&gt;"",C151&gt;TODAY()),"Not yet effective",IF(C151="","No date",IF(TODAY()&gt;=EDATE(C151,Review_Months),"Review Due","Current")))))</f>
        <v/>
      </c>
      <c r="P151">
        <f>IF(A151="","",A151&amp;"|"&amp;B151)</f>
        <v/>
      </c>
      <c r="Q151">
        <f>IF(AND(A151&lt;&gt;"",A151='Firm Search'!$C$7),COUNTIF($A$5:A151,'Firm Search'!$C$7),"")</f>
        <v/>
      </c>
      <c r="R151">
        <f>IF(A151="","",COUNTIF($A$5:$A$1004,"&lt;"&amp;A151)+COUNTIF($A$5:A151,A151))</f>
        <v/>
      </c>
    </row>
    <row r="152">
      <c r="A152" s="64" t="n"/>
      <c r="B152" s="64" t="n"/>
      <c r="C152" s="66" t="n"/>
      <c r="D152" s="66" t="n"/>
      <c r="E152" s="67" t="n"/>
      <c r="F152" s="67" t="n"/>
      <c r="G152" s="67" t="n"/>
      <c r="H152" s="67" t="n"/>
      <c r="I152" s="67" t="n"/>
      <c r="J152" s="67" t="n"/>
      <c r="K152" s="67" t="n"/>
      <c r="L152" s="67" t="n"/>
      <c r="M152" s="64" t="n"/>
      <c r="N152" s="84">
        <f>IF(A152="","",IFERROR(INDEX(Firms!$B$5:$B$1004,MATCH(A152,Firms!$A$5:$A$1004,0)),"Not on Firms tab"))</f>
        <v/>
      </c>
      <c r="O152" s="84">
        <f>IF(A152="","",IF(AND(D152&lt;&gt;"",D152&lt;TODAY()),"Expired",IF(AND(C152&lt;&gt;"",C152&gt;TODAY()),"Not yet effective",IF(C152="","No date",IF(TODAY()&gt;=EDATE(C152,Review_Months),"Review Due","Current")))))</f>
        <v/>
      </c>
      <c r="P152">
        <f>IF(A152="","",A152&amp;"|"&amp;B152)</f>
        <v/>
      </c>
      <c r="Q152">
        <f>IF(AND(A152&lt;&gt;"",A152='Firm Search'!$C$7),COUNTIF($A$5:A152,'Firm Search'!$C$7),"")</f>
        <v/>
      </c>
      <c r="R152">
        <f>IF(A152="","",COUNTIF($A$5:$A$1004,"&lt;"&amp;A152)+COUNTIF($A$5:A152,A152))</f>
        <v/>
      </c>
    </row>
    <row r="153">
      <c r="A153" s="64" t="n"/>
      <c r="B153" s="64" t="n"/>
      <c r="C153" s="66" t="n"/>
      <c r="D153" s="66" t="n"/>
      <c r="E153" s="67" t="n"/>
      <c r="F153" s="67" t="n"/>
      <c r="G153" s="67" t="n"/>
      <c r="H153" s="67" t="n"/>
      <c r="I153" s="67" t="n"/>
      <c r="J153" s="67" t="n"/>
      <c r="K153" s="67" t="n"/>
      <c r="L153" s="67" t="n"/>
      <c r="M153" s="64" t="n"/>
      <c r="N153" s="84">
        <f>IF(A153="","",IFERROR(INDEX(Firms!$B$5:$B$1004,MATCH(A153,Firms!$A$5:$A$1004,0)),"Not on Firms tab"))</f>
        <v/>
      </c>
      <c r="O153" s="84">
        <f>IF(A153="","",IF(AND(D153&lt;&gt;"",D153&lt;TODAY()),"Expired",IF(AND(C153&lt;&gt;"",C153&gt;TODAY()),"Not yet effective",IF(C153="","No date",IF(TODAY()&gt;=EDATE(C153,Review_Months),"Review Due","Current")))))</f>
        <v/>
      </c>
      <c r="P153">
        <f>IF(A153="","",A153&amp;"|"&amp;B153)</f>
        <v/>
      </c>
      <c r="Q153">
        <f>IF(AND(A153&lt;&gt;"",A153='Firm Search'!$C$7),COUNTIF($A$5:A153,'Firm Search'!$C$7),"")</f>
        <v/>
      </c>
      <c r="R153">
        <f>IF(A153="","",COUNTIF($A$5:$A$1004,"&lt;"&amp;A153)+COUNTIF($A$5:A153,A153))</f>
        <v/>
      </c>
    </row>
    <row r="154">
      <c r="A154" s="64" t="n"/>
      <c r="B154" s="64" t="n"/>
      <c r="C154" s="66" t="n"/>
      <c r="D154" s="66" t="n"/>
      <c r="E154" s="67" t="n"/>
      <c r="F154" s="67" t="n"/>
      <c r="G154" s="67" t="n"/>
      <c r="H154" s="67" t="n"/>
      <c r="I154" s="67" t="n"/>
      <c r="J154" s="67" t="n"/>
      <c r="K154" s="67" t="n"/>
      <c r="L154" s="67" t="n"/>
      <c r="M154" s="64" t="n"/>
      <c r="N154" s="84">
        <f>IF(A154="","",IFERROR(INDEX(Firms!$B$5:$B$1004,MATCH(A154,Firms!$A$5:$A$1004,0)),"Not on Firms tab"))</f>
        <v/>
      </c>
      <c r="O154" s="84">
        <f>IF(A154="","",IF(AND(D154&lt;&gt;"",D154&lt;TODAY()),"Expired",IF(AND(C154&lt;&gt;"",C154&gt;TODAY()),"Not yet effective",IF(C154="","No date",IF(TODAY()&gt;=EDATE(C154,Review_Months),"Review Due","Current")))))</f>
        <v/>
      </c>
      <c r="P154">
        <f>IF(A154="","",A154&amp;"|"&amp;B154)</f>
        <v/>
      </c>
      <c r="Q154">
        <f>IF(AND(A154&lt;&gt;"",A154='Firm Search'!$C$7),COUNTIF($A$5:A154,'Firm Search'!$C$7),"")</f>
        <v/>
      </c>
      <c r="R154">
        <f>IF(A154="","",COUNTIF($A$5:$A$1004,"&lt;"&amp;A154)+COUNTIF($A$5:A154,A154))</f>
        <v/>
      </c>
    </row>
    <row r="155">
      <c r="A155" s="64" t="n"/>
      <c r="B155" s="64" t="n"/>
      <c r="C155" s="66" t="n"/>
      <c r="D155" s="66" t="n"/>
      <c r="E155" s="67" t="n"/>
      <c r="F155" s="67" t="n"/>
      <c r="G155" s="67" t="n"/>
      <c r="H155" s="67" t="n"/>
      <c r="I155" s="67" t="n"/>
      <c r="J155" s="67" t="n"/>
      <c r="K155" s="67" t="n"/>
      <c r="L155" s="67" t="n"/>
      <c r="M155" s="64" t="n"/>
      <c r="N155" s="84">
        <f>IF(A155="","",IFERROR(INDEX(Firms!$B$5:$B$1004,MATCH(A155,Firms!$A$5:$A$1004,0)),"Not on Firms tab"))</f>
        <v/>
      </c>
      <c r="O155" s="84">
        <f>IF(A155="","",IF(AND(D155&lt;&gt;"",D155&lt;TODAY()),"Expired",IF(AND(C155&lt;&gt;"",C155&gt;TODAY()),"Not yet effective",IF(C155="","No date",IF(TODAY()&gt;=EDATE(C155,Review_Months),"Review Due","Current")))))</f>
        <v/>
      </c>
      <c r="P155">
        <f>IF(A155="","",A155&amp;"|"&amp;B155)</f>
        <v/>
      </c>
      <c r="Q155">
        <f>IF(AND(A155&lt;&gt;"",A155='Firm Search'!$C$7),COUNTIF($A$5:A155,'Firm Search'!$C$7),"")</f>
        <v/>
      </c>
      <c r="R155">
        <f>IF(A155="","",COUNTIF($A$5:$A$1004,"&lt;"&amp;A155)+COUNTIF($A$5:A155,A155))</f>
        <v/>
      </c>
    </row>
    <row r="156">
      <c r="A156" s="64" t="n"/>
      <c r="B156" s="64" t="n"/>
      <c r="C156" s="66" t="n"/>
      <c r="D156" s="66" t="n"/>
      <c r="E156" s="67" t="n"/>
      <c r="F156" s="67" t="n"/>
      <c r="G156" s="67" t="n"/>
      <c r="H156" s="67" t="n"/>
      <c r="I156" s="67" t="n"/>
      <c r="J156" s="67" t="n"/>
      <c r="K156" s="67" t="n"/>
      <c r="L156" s="67" t="n"/>
      <c r="M156" s="64" t="n"/>
      <c r="N156" s="84">
        <f>IF(A156="","",IFERROR(INDEX(Firms!$B$5:$B$1004,MATCH(A156,Firms!$A$5:$A$1004,0)),"Not on Firms tab"))</f>
        <v/>
      </c>
      <c r="O156" s="84">
        <f>IF(A156="","",IF(AND(D156&lt;&gt;"",D156&lt;TODAY()),"Expired",IF(AND(C156&lt;&gt;"",C156&gt;TODAY()),"Not yet effective",IF(C156="","No date",IF(TODAY()&gt;=EDATE(C156,Review_Months),"Review Due","Current")))))</f>
        <v/>
      </c>
      <c r="P156">
        <f>IF(A156="","",A156&amp;"|"&amp;B156)</f>
        <v/>
      </c>
      <c r="Q156">
        <f>IF(AND(A156&lt;&gt;"",A156='Firm Search'!$C$7),COUNTIF($A$5:A156,'Firm Search'!$C$7),"")</f>
        <v/>
      </c>
      <c r="R156">
        <f>IF(A156="","",COUNTIF($A$5:$A$1004,"&lt;"&amp;A156)+COUNTIF($A$5:A156,A156))</f>
        <v/>
      </c>
    </row>
    <row r="157">
      <c r="A157" s="64" t="n"/>
      <c r="B157" s="64" t="n"/>
      <c r="C157" s="66" t="n"/>
      <c r="D157" s="66" t="n"/>
      <c r="E157" s="67" t="n"/>
      <c r="F157" s="67" t="n"/>
      <c r="G157" s="67" t="n"/>
      <c r="H157" s="67" t="n"/>
      <c r="I157" s="67" t="n"/>
      <c r="J157" s="67" t="n"/>
      <c r="K157" s="67" t="n"/>
      <c r="L157" s="67" t="n"/>
      <c r="M157" s="64" t="n"/>
      <c r="N157" s="84">
        <f>IF(A157="","",IFERROR(INDEX(Firms!$B$5:$B$1004,MATCH(A157,Firms!$A$5:$A$1004,0)),"Not on Firms tab"))</f>
        <v/>
      </c>
      <c r="O157" s="84">
        <f>IF(A157="","",IF(AND(D157&lt;&gt;"",D157&lt;TODAY()),"Expired",IF(AND(C157&lt;&gt;"",C157&gt;TODAY()),"Not yet effective",IF(C157="","No date",IF(TODAY()&gt;=EDATE(C157,Review_Months),"Review Due","Current")))))</f>
        <v/>
      </c>
      <c r="P157">
        <f>IF(A157="","",A157&amp;"|"&amp;B157)</f>
        <v/>
      </c>
      <c r="Q157">
        <f>IF(AND(A157&lt;&gt;"",A157='Firm Search'!$C$7),COUNTIF($A$5:A157,'Firm Search'!$C$7),"")</f>
        <v/>
      </c>
      <c r="R157">
        <f>IF(A157="","",COUNTIF($A$5:$A$1004,"&lt;"&amp;A157)+COUNTIF($A$5:A157,A157))</f>
        <v/>
      </c>
    </row>
    <row r="158">
      <c r="A158" s="64" t="n"/>
      <c r="B158" s="64" t="n"/>
      <c r="C158" s="66" t="n"/>
      <c r="D158" s="66" t="n"/>
      <c r="E158" s="67" t="n"/>
      <c r="F158" s="67" t="n"/>
      <c r="G158" s="67" t="n"/>
      <c r="H158" s="67" t="n"/>
      <c r="I158" s="67" t="n"/>
      <c r="J158" s="67" t="n"/>
      <c r="K158" s="67" t="n"/>
      <c r="L158" s="67" t="n"/>
      <c r="M158" s="64" t="n"/>
      <c r="N158" s="84">
        <f>IF(A158="","",IFERROR(INDEX(Firms!$B$5:$B$1004,MATCH(A158,Firms!$A$5:$A$1004,0)),"Not on Firms tab"))</f>
        <v/>
      </c>
      <c r="O158" s="84">
        <f>IF(A158="","",IF(AND(D158&lt;&gt;"",D158&lt;TODAY()),"Expired",IF(AND(C158&lt;&gt;"",C158&gt;TODAY()),"Not yet effective",IF(C158="","No date",IF(TODAY()&gt;=EDATE(C158,Review_Months),"Review Due","Current")))))</f>
        <v/>
      </c>
      <c r="P158">
        <f>IF(A158="","",A158&amp;"|"&amp;B158)</f>
        <v/>
      </c>
      <c r="Q158">
        <f>IF(AND(A158&lt;&gt;"",A158='Firm Search'!$C$7),COUNTIF($A$5:A158,'Firm Search'!$C$7),"")</f>
        <v/>
      </c>
      <c r="R158">
        <f>IF(A158="","",COUNTIF($A$5:$A$1004,"&lt;"&amp;A158)+COUNTIF($A$5:A158,A158))</f>
        <v/>
      </c>
    </row>
    <row r="159">
      <c r="A159" s="64" t="n"/>
      <c r="B159" s="64" t="n"/>
      <c r="C159" s="66" t="n"/>
      <c r="D159" s="66" t="n"/>
      <c r="E159" s="67" t="n"/>
      <c r="F159" s="67" t="n"/>
      <c r="G159" s="67" t="n"/>
      <c r="H159" s="67" t="n"/>
      <c r="I159" s="67" t="n"/>
      <c r="J159" s="67" t="n"/>
      <c r="K159" s="67" t="n"/>
      <c r="L159" s="67" t="n"/>
      <c r="M159" s="64" t="n"/>
      <c r="N159" s="84">
        <f>IF(A159="","",IFERROR(INDEX(Firms!$B$5:$B$1004,MATCH(A159,Firms!$A$5:$A$1004,0)),"Not on Firms tab"))</f>
        <v/>
      </c>
      <c r="O159" s="84">
        <f>IF(A159="","",IF(AND(D159&lt;&gt;"",D159&lt;TODAY()),"Expired",IF(AND(C159&lt;&gt;"",C159&gt;TODAY()),"Not yet effective",IF(C159="","No date",IF(TODAY()&gt;=EDATE(C159,Review_Months),"Review Due","Current")))))</f>
        <v/>
      </c>
      <c r="P159">
        <f>IF(A159="","",A159&amp;"|"&amp;B159)</f>
        <v/>
      </c>
      <c r="Q159">
        <f>IF(AND(A159&lt;&gt;"",A159='Firm Search'!$C$7),COUNTIF($A$5:A159,'Firm Search'!$C$7),"")</f>
        <v/>
      </c>
      <c r="R159">
        <f>IF(A159="","",COUNTIF($A$5:$A$1004,"&lt;"&amp;A159)+COUNTIF($A$5:A159,A159))</f>
        <v/>
      </c>
    </row>
    <row r="160">
      <c r="A160" s="64" t="n"/>
      <c r="B160" s="64" t="n"/>
      <c r="C160" s="66" t="n"/>
      <c r="D160" s="66" t="n"/>
      <c r="E160" s="67" t="n"/>
      <c r="F160" s="67" t="n"/>
      <c r="G160" s="67" t="n"/>
      <c r="H160" s="67" t="n"/>
      <c r="I160" s="67" t="n"/>
      <c r="J160" s="67" t="n"/>
      <c r="K160" s="67" t="n"/>
      <c r="L160" s="67" t="n"/>
      <c r="M160" s="64" t="n"/>
      <c r="N160" s="84">
        <f>IF(A160="","",IFERROR(INDEX(Firms!$B$5:$B$1004,MATCH(A160,Firms!$A$5:$A$1004,0)),"Not on Firms tab"))</f>
        <v/>
      </c>
      <c r="O160" s="84">
        <f>IF(A160="","",IF(AND(D160&lt;&gt;"",D160&lt;TODAY()),"Expired",IF(AND(C160&lt;&gt;"",C160&gt;TODAY()),"Not yet effective",IF(C160="","No date",IF(TODAY()&gt;=EDATE(C160,Review_Months),"Review Due","Current")))))</f>
        <v/>
      </c>
      <c r="P160">
        <f>IF(A160="","",A160&amp;"|"&amp;B160)</f>
        <v/>
      </c>
      <c r="Q160">
        <f>IF(AND(A160&lt;&gt;"",A160='Firm Search'!$C$7),COUNTIF($A$5:A160,'Firm Search'!$C$7),"")</f>
        <v/>
      </c>
      <c r="R160">
        <f>IF(A160="","",COUNTIF($A$5:$A$1004,"&lt;"&amp;A160)+COUNTIF($A$5:A160,A160))</f>
        <v/>
      </c>
    </row>
    <row r="161">
      <c r="A161" s="64" t="n"/>
      <c r="B161" s="64" t="n"/>
      <c r="C161" s="66" t="n"/>
      <c r="D161" s="66" t="n"/>
      <c r="E161" s="67" t="n"/>
      <c r="F161" s="67" t="n"/>
      <c r="G161" s="67" t="n"/>
      <c r="H161" s="67" t="n"/>
      <c r="I161" s="67" t="n"/>
      <c r="J161" s="67" t="n"/>
      <c r="K161" s="67" t="n"/>
      <c r="L161" s="67" t="n"/>
      <c r="M161" s="64" t="n"/>
      <c r="N161" s="84">
        <f>IF(A161="","",IFERROR(INDEX(Firms!$B$5:$B$1004,MATCH(A161,Firms!$A$5:$A$1004,0)),"Not on Firms tab"))</f>
        <v/>
      </c>
      <c r="O161" s="84">
        <f>IF(A161="","",IF(AND(D161&lt;&gt;"",D161&lt;TODAY()),"Expired",IF(AND(C161&lt;&gt;"",C161&gt;TODAY()),"Not yet effective",IF(C161="","No date",IF(TODAY()&gt;=EDATE(C161,Review_Months),"Review Due","Current")))))</f>
        <v/>
      </c>
      <c r="P161">
        <f>IF(A161="","",A161&amp;"|"&amp;B161)</f>
        <v/>
      </c>
      <c r="Q161">
        <f>IF(AND(A161&lt;&gt;"",A161='Firm Search'!$C$7),COUNTIF($A$5:A161,'Firm Search'!$C$7),"")</f>
        <v/>
      </c>
      <c r="R161">
        <f>IF(A161="","",COUNTIF($A$5:$A$1004,"&lt;"&amp;A161)+COUNTIF($A$5:A161,A161))</f>
        <v/>
      </c>
    </row>
    <row r="162">
      <c r="A162" s="64" t="n"/>
      <c r="B162" s="64" t="n"/>
      <c r="C162" s="66" t="n"/>
      <c r="D162" s="66" t="n"/>
      <c r="E162" s="67" t="n"/>
      <c r="F162" s="67" t="n"/>
      <c r="G162" s="67" t="n"/>
      <c r="H162" s="67" t="n"/>
      <c r="I162" s="67" t="n"/>
      <c r="J162" s="67" t="n"/>
      <c r="K162" s="67" t="n"/>
      <c r="L162" s="67" t="n"/>
      <c r="M162" s="64" t="n"/>
      <c r="N162" s="84">
        <f>IF(A162="","",IFERROR(INDEX(Firms!$B$5:$B$1004,MATCH(A162,Firms!$A$5:$A$1004,0)),"Not on Firms tab"))</f>
        <v/>
      </c>
      <c r="O162" s="84">
        <f>IF(A162="","",IF(AND(D162&lt;&gt;"",D162&lt;TODAY()),"Expired",IF(AND(C162&lt;&gt;"",C162&gt;TODAY()),"Not yet effective",IF(C162="","No date",IF(TODAY()&gt;=EDATE(C162,Review_Months),"Review Due","Current")))))</f>
        <v/>
      </c>
      <c r="P162">
        <f>IF(A162="","",A162&amp;"|"&amp;B162)</f>
        <v/>
      </c>
      <c r="Q162">
        <f>IF(AND(A162&lt;&gt;"",A162='Firm Search'!$C$7),COUNTIF($A$5:A162,'Firm Search'!$C$7),"")</f>
        <v/>
      </c>
      <c r="R162">
        <f>IF(A162="","",COUNTIF($A$5:$A$1004,"&lt;"&amp;A162)+COUNTIF($A$5:A162,A162))</f>
        <v/>
      </c>
    </row>
    <row r="163">
      <c r="A163" s="64" t="n"/>
      <c r="B163" s="64" t="n"/>
      <c r="C163" s="66" t="n"/>
      <c r="D163" s="66" t="n"/>
      <c r="E163" s="67" t="n"/>
      <c r="F163" s="67" t="n"/>
      <c r="G163" s="67" t="n"/>
      <c r="H163" s="67" t="n"/>
      <c r="I163" s="67" t="n"/>
      <c r="J163" s="67" t="n"/>
      <c r="K163" s="67" t="n"/>
      <c r="L163" s="67" t="n"/>
      <c r="M163" s="64" t="n"/>
      <c r="N163" s="84">
        <f>IF(A163="","",IFERROR(INDEX(Firms!$B$5:$B$1004,MATCH(A163,Firms!$A$5:$A$1004,0)),"Not on Firms tab"))</f>
        <v/>
      </c>
      <c r="O163" s="84">
        <f>IF(A163="","",IF(AND(D163&lt;&gt;"",D163&lt;TODAY()),"Expired",IF(AND(C163&lt;&gt;"",C163&gt;TODAY()),"Not yet effective",IF(C163="","No date",IF(TODAY()&gt;=EDATE(C163,Review_Months),"Review Due","Current")))))</f>
        <v/>
      </c>
      <c r="P163">
        <f>IF(A163="","",A163&amp;"|"&amp;B163)</f>
        <v/>
      </c>
      <c r="Q163">
        <f>IF(AND(A163&lt;&gt;"",A163='Firm Search'!$C$7),COUNTIF($A$5:A163,'Firm Search'!$C$7),"")</f>
        <v/>
      </c>
      <c r="R163">
        <f>IF(A163="","",COUNTIF($A$5:$A$1004,"&lt;"&amp;A163)+COUNTIF($A$5:A163,A163))</f>
        <v/>
      </c>
    </row>
    <row r="164">
      <c r="A164" s="64" t="n"/>
      <c r="B164" s="64" t="n"/>
      <c r="C164" s="66" t="n"/>
      <c r="D164" s="66" t="n"/>
      <c r="E164" s="67" t="n"/>
      <c r="F164" s="67" t="n"/>
      <c r="G164" s="67" t="n"/>
      <c r="H164" s="67" t="n"/>
      <c r="I164" s="67" t="n"/>
      <c r="J164" s="67" t="n"/>
      <c r="K164" s="67" t="n"/>
      <c r="L164" s="67" t="n"/>
      <c r="M164" s="64" t="n"/>
      <c r="N164" s="84">
        <f>IF(A164="","",IFERROR(INDEX(Firms!$B$5:$B$1004,MATCH(A164,Firms!$A$5:$A$1004,0)),"Not on Firms tab"))</f>
        <v/>
      </c>
      <c r="O164" s="84">
        <f>IF(A164="","",IF(AND(D164&lt;&gt;"",D164&lt;TODAY()),"Expired",IF(AND(C164&lt;&gt;"",C164&gt;TODAY()),"Not yet effective",IF(C164="","No date",IF(TODAY()&gt;=EDATE(C164,Review_Months),"Review Due","Current")))))</f>
        <v/>
      </c>
      <c r="P164">
        <f>IF(A164="","",A164&amp;"|"&amp;B164)</f>
        <v/>
      </c>
      <c r="Q164">
        <f>IF(AND(A164&lt;&gt;"",A164='Firm Search'!$C$7),COUNTIF($A$5:A164,'Firm Search'!$C$7),"")</f>
        <v/>
      </c>
      <c r="R164">
        <f>IF(A164="","",COUNTIF($A$5:$A$1004,"&lt;"&amp;A164)+COUNTIF($A$5:A164,A164))</f>
        <v/>
      </c>
    </row>
    <row r="165">
      <c r="A165" s="64" t="n"/>
      <c r="B165" s="64" t="n"/>
      <c r="C165" s="66" t="n"/>
      <c r="D165" s="66" t="n"/>
      <c r="E165" s="67" t="n"/>
      <c r="F165" s="67" t="n"/>
      <c r="G165" s="67" t="n"/>
      <c r="H165" s="67" t="n"/>
      <c r="I165" s="67" t="n"/>
      <c r="J165" s="67" t="n"/>
      <c r="K165" s="67" t="n"/>
      <c r="L165" s="67" t="n"/>
      <c r="M165" s="64" t="n"/>
      <c r="N165" s="84">
        <f>IF(A165="","",IFERROR(INDEX(Firms!$B$5:$B$1004,MATCH(A165,Firms!$A$5:$A$1004,0)),"Not on Firms tab"))</f>
        <v/>
      </c>
      <c r="O165" s="84">
        <f>IF(A165="","",IF(AND(D165&lt;&gt;"",D165&lt;TODAY()),"Expired",IF(AND(C165&lt;&gt;"",C165&gt;TODAY()),"Not yet effective",IF(C165="","No date",IF(TODAY()&gt;=EDATE(C165,Review_Months),"Review Due","Current")))))</f>
        <v/>
      </c>
      <c r="P165">
        <f>IF(A165="","",A165&amp;"|"&amp;B165)</f>
        <v/>
      </c>
      <c r="Q165">
        <f>IF(AND(A165&lt;&gt;"",A165='Firm Search'!$C$7),COUNTIF($A$5:A165,'Firm Search'!$C$7),"")</f>
        <v/>
      </c>
      <c r="R165">
        <f>IF(A165="","",COUNTIF($A$5:$A$1004,"&lt;"&amp;A165)+COUNTIF($A$5:A165,A165))</f>
        <v/>
      </c>
    </row>
    <row r="166">
      <c r="A166" s="64" t="n"/>
      <c r="B166" s="64" t="n"/>
      <c r="C166" s="66" t="n"/>
      <c r="D166" s="66" t="n"/>
      <c r="E166" s="67" t="n"/>
      <c r="F166" s="67" t="n"/>
      <c r="G166" s="67" t="n"/>
      <c r="H166" s="67" t="n"/>
      <c r="I166" s="67" t="n"/>
      <c r="J166" s="67" t="n"/>
      <c r="K166" s="67" t="n"/>
      <c r="L166" s="67" t="n"/>
      <c r="M166" s="64" t="n"/>
      <c r="N166" s="84">
        <f>IF(A166="","",IFERROR(INDEX(Firms!$B$5:$B$1004,MATCH(A166,Firms!$A$5:$A$1004,0)),"Not on Firms tab"))</f>
        <v/>
      </c>
      <c r="O166" s="84">
        <f>IF(A166="","",IF(AND(D166&lt;&gt;"",D166&lt;TODAY()),"Expired",IF(AND(C166&lt;&gt;"",C166&gt;TODAY()),"Not yet effective",IF(C166="","No date",IF(TODAY()&gt;=EDATE(C166,Review_Months),"Review Due","Current")))))</f>
        <v/>
      </c>
      <c r="P166">
        <f>IF(A166="","",A166&amp;"|"&amp;B166)</f>
        <v/>
      </c>
      <c r="Q166">
        <f>IF(AND(A166&lt;&gt;"",A166='Firm Search'!$C$7),COUNTIF($A$5:A166,'Firm Search'!$C$7),"")</f>
        <v/>
      </c>
      <c r="R166">
        <f>IF(A166="","",COUNTIF($A$5:$A$1004,"&lt;"&amp;A166)+COUNTIF($A$5:A166,A166))</f>
        <v/>
      </c>
    </row>
    <row r="167">
      <c r="A167" s="64" t="n"/>
      <c r="B167" s="64" t="n"/>
      <c r="C167" s="66" t="n"/>
      <c r="D167" s="66" t="n"/>
      <c r="E167" s="67" t="n"/>
      <c r="F167" s="67" t="n"/>
      <c r="G167" s="67" t="n"/>
      <c r="H167" s="67" t="n"/>
      <c r="I167" s="67" t="n"/>
      <c r="J167" s="67" t="n"/>
      <c r="K167" s="67" t="n"/>
      <c r="L167" s="67" t="n"/>
      <c r="M167" s="64" t="n"/>
      <c r="N167" s="84">
        <f>IF(A167="","",IFERROR(INDEX(Firms!$B$5:$B$1004,MATCH(A167,Firms!$A$5:$A$1004,0)),"Not on Firms tab"))</f>
        <v/>
      </c>
      <c r="O167" s="84">
        <f>IF(A167="","",IF(AND(D167&lt;&gt;"",D167&lt;TODAY()),"Expired",IF(AND(C167&lt;&gt;"",C167&gt;TODAY()),"Not yet effective",IF(C167="","No date",IF(TODAY()&gt;=EDATE(C167,Review_Months),"Review Due","Current")))))</f>
        <v/>
      </c>
      <c r="P167">
        <f>IF(A167="","",A167&amp;"|"&amp;B167)</f>
        <v/>
      </c>
      <c r="Q167">
        <f>IF(AND(A167&lt;&gt;"",A167='Firm Search'!$C$7),COUNTIF($A$5:A167,'Firm Search'!$C$7),"")</f>
        <v/>
      </c>
      <c r="R167">
        <f>IF(A167="","",COUNTIF($A$5:$A$1004,"&lt;"&amp;A167)+COUNTIF($A$5:A167,A167))</f>
        <v/>
      </c>
    </row>
    <row r="168">
      <c r="A168" s="64" t="n"/>
      <c r="B168" s="64" t="n"/>
      <c r="C168" s="66" t="n"/>
      <c r="D168" s="66" t="n"/>
      <c r="E168" s="67" t="n"/>
      <c r="F168" s="67" t="n"/>
      <c r="G168" s="67" t="n"/>
      <c r="H168" s="67" t="n"/>
      <c r="I168" s="67" t="n"/>
      <c r="J168" s="67" t="n"/>
      <c r="K168" s="67" t="n"/>
      <c r="L168" s="67" t="n"/>
      <c r="M168" s="64" t="n"/>
      <c r="N168" s="84">
        <f>IF(A168="","",IFERROR(INDEX(Firms!$B$5:$B$1004,MATCH(A168,Firms!$A$5:$A$1004,0)),"Not on Firms tab"))</f>
        <v/>
      </c>
      <c r="O168" s="84">
        <f>IF(A168="","",IF(AND(D168&lt;&gt;"",D168&lt;TODAY()),"Expired",IF(AND(C168&lt;&gt;"",C168&gt;TODAY()),"Not yet effective",IF(C168="","No date",IF(TODAY()&gt;=EDATE(C168,Review_Months),"Review Due","Current")))))</f>
        <v/>
      </c>
      <c r="P168">
        <f>IF(A168="","",A168&amp;"|"&amp;B168)</f>
        <v/>
      </c>
      <c r="Q168">
        <f>IF(AND(A168&lt;&gt;"",A168='Firm Search'!$C$7),COUNTIF($A$5:A168,'Firm Search'!$C$7),"")</f>
        <v/>
      </c>
      <c r="R168">
        <f>IF(A168="","",COUNTIF($A$5:$A$1004,"&lt;"&amp;A168)+COUNTIF($A$5:A168,A168))</f>
        <v/>
      </c>
    </row>
    <row r="169">
      <c r="A169" s="64" t="n"/>
      <c r="B169" s="64" t="n"/>
      <c r="C169" s="66" t="n"/>
      <c r="D169" s="66" t="n"/>
      <c r="E169" s="67" t="n"/>
      <c r="F169" s="67" t="n"/>
      <c r="G169" s="67" t="n"/>
      <c r="H169" s="67" t="n"/>
      <c r="I169" s="67" t="n"/>
      <c r="J169" s="67" t="n"/>
      <c r="K169" s="67" t="n"/>
      <c r="L169" s="67" t="n"/>
      <c r="M169" s="64" t="n"/>
      <c r="N169" s="84">
        <f>IF(A169="","",IFERROR(INDEX(Firms!$B$5:$B$1004,MATCH(A169,Firms!$A$5:$A$1004,0)),"Not on Firms tab"))</f>
        <v/>
      </c>
      <c r="O169" s="84">
        <f>IF(A169="","",IF(AND(D169&lt;&gt;"",D169&lt;TODAY()),"Expired",IF(AND(C169&lt;&gt;"",C169&gt;TODAY()),"Not yet effective",IF(C169="","No date",IF(TODAY()&gt;=EDATE(C169,Review_Months),"Review Due","Current")))))</f>
        <v/>
      </c>
      <c r="P169">
        <f>IF(A169="","",A169&amp;"|"&amp;B169)</f>
        <v/>
      </c>
      <c r="Q169">
        <f>IF(AND(A169&lt;&gt;"",A169='Firm Search'!$C$7),COUNTIF($A$5:A169,'Firm Search'!$C$7),"")</f>
        <v/>
      </c>
      <c r="R169">
        <f>IF(A169="","",COUNTIF($A$5:$A$1004,"&lt;"&amp;A169)+COUNTIF($A$5:A169,A169))</f>
        <v/>
      </c>
    </row>
    <row r="170">
      <c r="A170" s="64" t="n"/>
      <c r="B170" s="64" t="n"/>
      <c r="C170" s="66" t="n"/>
      <c r="D170" s="66" t="n"/>
      <c r="E170" s="67" t="n"/>
      <c r="F170" s="67" t="n"/>
      <c r="G170" s="67" t="n"/>
      <c r="H170" s="67" t="n"/>
      <c r="I170" s="67" t="n"/>
      <c r="J170" s="67" t="n"/>
      <c r="K170" s="67" t="n"/>
      <c r="L170" s="67" t="n"/>
      <c r="M170" s="64" t="n"/>
      <c r="N170" s="84">
        <f>IF(A170="","",IFERROR(INDEX(Firms!$B$5:$B$1004,MATCH(A170,Firms!$A$5:$A$1004,0)),"Not on Firms tab"))</f>
        <v/>
      </c>
      <c r="O170" s="84">
        <f>IF(A170="","",IF(AND(D170&lt;&gt;"",D170&lt;TODAY()),"Expired",IF(AND(C170&lt;&gt;"",C170&gt;TODAY()),"Not yet effective",IF(C170="","No date",IF(TODAY()&gt;=EDATE(C170,Review_Months),"Review Due","Current")))))</f>
        <v/>
      </c>
      <c r="P170">
        <f>IF(A170="","",A170&amp;"|"&amp;B170)</f>
        <v/>
      </c>
      <c r="Q170">
        <f>IF(AND(A170&lt;&gt;"",A170='Firm Search'!$C$7),COUNTIF($A$5:A170,'Firm Search'!$C$7),"")</f>
        <v/>
      </c>
      <c r="R170">
        <f>IF(A170="","",COUNTIF($A$5:$A$1004,"&lt;"&amp;A170)+COUNTIF($A$5:A170,A170))</f>
        <v/>
      </c>
    </row>
    <row r="171">
      <c r="A171" s="64" t="n"/>
      <c r="B171" s="64" t="n"/>
      <c r="C171" s="66" t="n"/>
      <c r="D171" s="66" t="n"/>
      <c r="E171" s="67" t="n"/>
      <c r="F171" s="67" t="n"/>
      <c r="G171" s="67" t="n"/>
      <c r="H171" s="67" t="n"/>
      <c r="I171" s="67" t="n"/>
      <c r="J171" s="67" t="n"/>
      <c r="K171" s="67" t="n"/>
      <c r="L171" s="67" t="n"/>
      <c r="M171" s="64" t="n"/>
      <c r="N171" s="84">
        <f>IF(A171="","",IFERROR(INDEX(Firms!$B$5:$B$1004,MATCH(A171,Firms!$A$5:$A$1004,0)),"Not on Firms tab"))</f>
        <v/>
      </c>
      <c r="O171" s="84">
        <f>IF(A171="","",IF(AND(D171&lt;&gt;"",D171&lt;TODAY()),"Expired",IF(AND(C171&lt;&gt;"",C171&gt;TODAY()),"Not yet effective",IF(C171="","No date",IF(TODAY()&gt;=EDATE(C171,Review_Months),"Review Due","Current")))))</f>
        <v/>
      </c>
      <c r="P171">
        <f>IF(A171="","",A171&amp;"|"&amp;B171)</f>
        <v/>
      </c>
      <c r="Q171">
        <f>IF(AND(A171&lt;&gt;"",A171='Firm Search'!$C$7),COUNTIF($A$5:A171,'Firm Search'!$C$7),"")</f>
        <v/>
      </c>
      <c r="R171">
        <f>IF(A171="","",COUNTIF($A$5:$A$1004,"&lt;"&amp;A171)+COUNTIF($A$5:A171,A171))</f>
        <v/>
      </c>
    </row>
    <row r="172">
      <c r="A172" s="64" t="n"/>
      <c r="B172" s="64" t="n"/>
      <c r="C172" s="66" t="n"/>
      <c r="D172" s="66" t="n"/>
      <c r="E172" s="67" t="n"/>
      <c r="F172" s="67" t="n"/>
      <c r="G172" s="67" t="n"/>
      <c r="H172" s="67" t="n"/>
      <c r="I172" s="67" t="n"/>
      <c r="J172" s="67" t="n"/>
      <c r="K172" s="67" t="n"/>
      <c r="L172" s="67" t="n"/>
      <c r="M172" s="64" t="n"/>
      <c r="N172" s="84">
        <f>IF(A172="","",IFERROR(INDEX(Firms!$B$5:$B$1004,MATCH(A172,Firms!$A$5:$A$1004,0)),"Not on Firms tab"))</f>
        <v/>
      </c>
      <c r="O172" s="84">
        <f>IF(A172="","",IF(AND(D172&lt;&gt;"",D172&lt;TODAY()),"Expired",IF(AND(C172&lt;&gt;"",C172&gt;TODAY()),"Not yet effective",IF(C172="","No date",IF(TODAY()&gt;=EDATE(C172,Review_Months),"Review Due","Current")))))</f>
        <v/>
      </c>
      <c r="P172">
        <f>IF(A172="","",A172&amp;"|"&amp;B172)</f>
        <v/>
      </c>
      <c r="Q172">
        <f>IF(AND(A172&lt;&gt;"",A172='Firm Search'!$C$7),COUNTIF($A$5:A172,'Firm Search'!$C$7),"")</f>
        <v/>
      </c>
      <c r="R172">
        <f>IF(A172="","",COUNTIF($A$5:$A$1004,"&lt;"&amp;A172)+COUNTIF($A$5:A172,A172))</f>
        <v/>
      </c>
    </row>
    <row r="173">
      <c r="A173" s="64" t="n"/>
      <c r="B173" s="64" t="n"/>
      <c r="C173" s="66" t="n"/>
      <c r="D173" s="66" t="n"/>
      <c r="E173" s="67" t="n"/>
      <c r="F173" s="67" t="n"/>
      <c r="G173" s="67" t="n"/>
      <c r="H173" s="67" t="n"/>
      <c r="I173" s="67" t="n"/>
      <c r="J173" s="67" t="n"/>
      <c r="K173" s="67" t="n"/>
      <c r="L173" s="67" t="n"/>
      <c r="M173" s="64" t="n"/>
      <c r="N173" s="84">
        <f>IF(A173="","",IFERROR(INDEX(Firms!$B$5:$B$1004,MATCH(A173,Firms!$A$5:$A$1004,0)),"Not on Firms tab"))</f>
        <v/>
      </c>
      <c r="O173" s="84">
        <f>IF(A173="","",IF(AND(D173&lt;&gt;"",D173&lt;TODAY()),"Expired",IF(AND(C173&lt;&gt;"",C173&gt;TODAY()),"Not yet effective",IF(C173="","No date",IF(TODAY()&gt;=EDATE(C173,Review_Months),"Review Due","Current")))))</f>
        <v/>
      </c>
      <c r="P173">
        <f>IF(A173="","",A173&amp;"|"&amp;B173)</f>
        <v/>
      </c>
      <c r="Q173">
        <f>IF(AND(A173&lt;&gt;"",A173='Firm Search'!$C$7),COUNTIF($A$5:A173,'Firm Search'!$C$7),"")</f>
        <v/>
      </c>
      <c r="R173">
        <f>IF(A173="","",COUNTIF($A$5:$A$1004,"&lt;"&amp;A173)+COUNTIF($A$5:A173,A173))</f>
        <v/>
      </c>
    </row>
    <row r="174">
      <c r="A174" s="64" t="n"/>
      <c r="B174" s="64" t="n"/>
      <c r="C174" s="66" t="n"/>
      <c r="D174" s="66" t="n"/>
      <c r="E174" s="67" t="n"/>
      <c r="F174" s="67" t="n"/>
      <c r="G174" s="67" t="n"/>
      <c r="H174" s="67" t="n"/>
      <c r="I174" s="67" t="n"/>
      <c r="J174" s="67" t="n"/>
      <c r="K174" s="67" t="n"/>
      <c r="L174" s="67" t="n"/>
      <c r="M174" s="64" t="n"/>
      <c r="N174" s="84">
        <f>IF(A174="","",IFERROR(INDEX(Firms!$B$5:$B$1004,MATCH(A174,Firms!$A$5:$A$1004,0)),"Not on Firms tab"))</f>
        <v/>
      </c>
      <c r="O174" s="84">
        <f>IF(A174="","",IF(AND(D174&lt;&gt;"",D174&lt;TODAY()),"Expired",IF(AND(C174&lt;&gt;"",C174&gt;TODAY()),"Not yet effective",IF(C174="","No date",IF(TODAY()&gt;=EDATE(C174,Review_Months),"Review Due","Current")))))</f>
        <v/>
      </c>
      <c r="P174">
        <f>IF(A174="","",A174&amp;"|"&amp;B174)</f>
        <v/>
      </c>
      <c r="Q174">
        <f>IF(AND(A174&lt;&gt;"",A174='Firm Search'!$C$7),COUNTIF($A$5:A174,'Firm Search'!$C$7),"")</f>
        <v/>
      </c>
      <c r="R174">
        <f>IF(A174="","",COUNTIF($A$5:$A$1004,"&lt;"&amp;A174)+COUNTIF($A$5:A174,A174))</f>
        <v/>
      </c>
    </row>
    <row r="175">
      <c r="A175" s="64" t="n"/>
      <c r="B175" s="64" t="n"/>
      <c r="C175" s="66" t="n"/>
      <c r="D175" s="66" t="n"/>
      <c r="E175" s="67" t="n"/>
      <c r="F175" s="67" t="n"/>
      <c r="G175" s="67" t="n"/>
      <c r="H175" s="67" t="n"/>
      <c r="I175" s="67" t="n"/>
      <c r="J175" s="67" t="n"/>
      <c r="K175" s="67" t="n"/>
      <c r="L175" s="67" t="n"/>
      <c r="M175" s="64" t="n"/>
      <c r="N175" s="84">
        <f>IF(A175="","",IFERROR(INDEX(Firms!$B$5:$B$1004,MATCH(A175,Firms!$A$5:$A$1004,0)),"Not on Firms tab"))</f>
        <v/>
      </c>
      <c r="O175" s="84">
        <f>IF(A175="","",IF(AND(D175&lt;&gt;"",D175&lt;TODAY()),"Expired",IF(AND(C175&lt;&gt;"",C175&gt;TODAY()),"Not yet effective",IF(C175="","No date",IF(TODAY()&gt;=EDATE(C175,Review_Months),"Review Due","Current")))))</f>
        <v/>
      </c>
      <c r="P175">
        <f>IF(A175="","",A175&amp;"|"&amp;B175)</f>
        <v/>
      </c>
      <c r="Q175">
        <f>IF(AND(A175&lt;&gt;"",A175='Firm Search'!$C$7),COUNTIF($A$5:A175,'Firm Search'!$C$7),"")</f>
        <v/>
      </c>
      <c r="R175">
        <f>IF(A175="","",COUNTIF($A$5:$A$1004,"&lt;"&amp;A175)+COUNTIF($A$5:A175,A175))</f>
        <v/>
      </c>
    </row>
    <row r="176">
      <c r="A176" s="64" t="n"/>
      <c r="B176" s="64" t="n"/>
      <c r="C176" s="66" t="n"/>
      <c r="D176" s="66" t="n"/>
      <c r="E176" s="67" t="n"/>
      <c r="F176" s="67" t="n"/>
      <c r="G176" s="67" t="n"/>
      <c r="H176" s="67" t="n"/>
      <c r="I176" s="67" t="n"/>
      <c r="J176" s="67" t="n"/>
      <c r="K176" s="67" t="n"/>
      <c r="L176" s="67" t="n"/>
      <c r="M176" s="64" t="n"/>
      <c r="N176" s="84">
        <f>IF(A176="","",IFERROR(INDEX(Firms!$B$5:$B$1004,MATCH(A176,Firms!$A$5:$A$1004,0)),"Not on Firms tab"))</f>
        <v/>
      </c>
      <c r="O176" s="84">
        <f>IF(A176="","",IF(AND(D176&lt;&gt;"",D176&lt;TODAY()),"Expired",IF(AND(C176&lt;&gt;"",C176&gt;TODAY()),"Not yet effective",IF(C176="","No date",IF(TODAY()&gt;=EDATE(C176,Review_Months),"Review Due","Current")))))</f>
        <v/>
      </c>
      <c r="P176">
        <f>IF(A176="","",A176&amp;"|"&amp;B176)</f>
        <v/>
      </c>
      <c r="Q176">
        <f>IF(AND(A176&lt;&gt;"",A176='Firm Search'!$C$7),COUNTIF($A$5:A176,'Firm Search'!$C$7),"")</f>
        <v/>
      </c>
      <c r="R176">
        <f>IF(A176="","",COUNTIF($A$5:$A$1004,"&lt;"&amp;A176)+COUNTIF($A$5:A176,A176))</f>
        <v/>
      </c>
    </row>
    <row r="177">
      <c r="A177" s="64" t="n"/>
      <c r="B177" s="64" t="n"/>
      <c r="C177" s="66" t="n"/>
      <c r="D177" s="66" t="n"/>
      <c r="E177" s="67" t="n"/>
      <c r="F177" s="67" t="n"/>
      <c r="G177" s="67" t="n"/>
      <c r="H177" s="67" t="n"/>
      <c r="I177" s="67" t="n"/>
      <c r="J177" s="67" t="n"/>
      <c r="K177" s="67" t="n"/>
      <c r="L177" s="67" t="n"/>
      <c r="M177" s="64" t="n"/>
      <c r="N177" s="84">
        <f>IF(A177="","",IFERROR(INDEX(Firms!$B$5:$B$1004,MATCH(A177,Firms!$A$5:$A$1004,0)),"Not on Firms tab"))</f>
        <v/>
      </c>
      <c r="O177" s="84">
        <f>IF(A177="","",IF(AND(D177&lt;&gt;"",D177&lt;TODAY()),"Expired",IF(AND(C177&lt;&gt;"",C177&gt;TODAY()),"Not yet effective",IF(C177="","No date",IF(TODAY()&gt;=EDATE(C177,Review_Months),"Review Due","Current")))))</f>
        <v/>
      </c>
      <c r="P177">
        <f>IF(A177="","",A177&amp;"|"&amp;B177)</f>
        <v/>
      </c>
      <c r="Q177">
        <f>IF(AND(A177&lt;&gt;"",A177='Firm Search'!$C$7),COUNTIF($A$5:A177,'Firm Search'!$C$7),"")</f>
        <v/>
      </c>
      <c r="R177">
        <f>IF(A177="","",COUNTIF($A$5:$A$1004,"&lt;"&amp;A177)+COUNTIF($A$5:A177,A177))</f>
        <v/>
      </c>
    </row>
    <row r="178">
      <c r="A178" s="64" t="n"/>
      <c r="B178" s="64" t="n"/>
      <c r="C178" s="66" t="n"/>
      <c r="D178" s="66" t="n"/>
      <c r="E178" s="67" t="n"/>
      <c r="F178" s="67" t="n"/>
      <c r="G178" s="67" t="n"/>
      <c r="H178" s="67" t="n"/>
      <c r="I178" s="67" t="n"/>
      <c r="J178" s="67" t="n"/>
      <c r="K178" s="67" t="n"/>
      <c r="L178" s="67" t="n"/>
      <c r="M178" s="64" t="n"/>
      <c r="N178" s="84">
        <f>IF(A178="","",IFERROR(INDEX(Firms!$B$5:$B$1004,MATCH(A178,Firms!$A$5:$A$1004,0)),"Not on Firms tab"))</f>
        <v/>
      </c>
      <c r="O178" s="84">
        <f>IF(A178="","",IF(AND(D178&lt;&gt;"",D178&lt;TODAY()),"Expired",IF(AND(C178&lt;&gt;"",C178&gt;TODAY()),"Not yet effective",IF(C178="","No date",IF(TODAY()&gt;=EDATE(C178,Review_Months),"Review Due","Current")))))</f>
        <v/>
      </c>
      <c r="P178">
        <f>IF(A178="","",A178&amp;"|"&amp;B178)</f>
        <v/>
      </c>
      <c r="Q178">
        <f>IF(AND(A178&lt;&gt;"",A178='Firm Search'!$C$7),COUNTIF($A$5:A178,'Firm Search'!$C$7),"")</f>
        <v/>
      </c>
      <c r="R178">
        <f>IF(A178="","",COUNTIF($A$5:$A$1004,"&lt;"&amp;A178)+COUNTIF($A$5:A178,A178))</f>
        <v/>
      </c>
    </row>
    <row r="179">
      <c r="A179" s="64" t="n"/>
      <c r="B179" s="64" t="n"/>
      <c r="C179" s="66" t="n"/>
      <c r="D179" s="66" t="n"/>
      <c r="E179" s="67" t="n"/>
      <c r="F179" s="67" t="n"/>
      <c r="G179" s="67" t="n"/>
      <c r="H179" s="67" t="n"/>
      <c r="I179" s="67" t="n"/>
      <c r="J179" s="67" t="n"/>
      <c r="K179" s="67" t="n"/>
      <c r="L179" s="67" t="n"/>
      <c r="M179" s="64" t="n"/>
      <c r="N179" s="84">
        <f>IF(A179="","",IFERROR(INDEX(Firms!$B$5:$B$1004,MATCH(A179,Firms!$A$5:$A$1004,0)),"Not on Firms tab"))</f>
        <v/>
      </c>
      <c r="O179" s="84">
        <f>IF(A179="","",IF(AND(D179&lt;&gt;"",D179&lt;TODAY()),"Expired",IF(AND(C179&lt;&gt;"",C179&gt;TODAY()),"Not yet effective",IF(C179="","No date",IF(TODAY()&gt;=EDATE(C179,Review_Months),"Review Due","Current")))))</f>
        <v/>
      </c>
      <c r="P179">
        <f>IF(A179="","",A179&amp;"|"&amp;B179)</f>
        <v/>
      </c>
      <c r="Q179">
        <f>IF(AND(A179&lt;&gt;"",A179='Firm Search'!$C$7),COUNTIF($A$5:A179,'Firm Search'!$C$7),"")</f>
        <v/>
      </c>
      <c r="R179">
        <f>IF(A179="","",COUNTIF($A$5:$A$1004,"&lt;"&amp;A179)+COUNTIF($A$5:A179,A179))</f>
        <v/>
      </c>
    </row>
    <row r="180">
      <c r="A180" s="64" t="n"/>
      <c r="B180" s="64" t="n"/>
      <c r="C180" s="66" t="n"/>
      <c r="D180" s="66" t="n"/>
      <c r="E180" s="67" t="n"/>
      <c r="F180" s="67" t="n"/>
      <c r="G180" s="67" t="n"/>
      <c r="H180" s="67" t="n"/>
      <c r="I180" s="67" t="n"/>
      <c r="J180" s="67" t="n"/>
      <c r="K180" s="67" t="n"/>
      <c r="L180" s="67" t="n"/>
      <c r="M180" s="64" t="n"/>
      <c r="N180" s="84">
        <f>IF(A180="","",IFERROR(INDEX(Firms!$B$5:$B$1004,MATCH(A180,Firms!$A$5:$A$1004,0)),"Not on Firms tab"))</f>
        <v/>
      </c>
      <c r="O180" s="84">
        <f>IF(A180="","",IF(AND(D180&lt;&gt;"",D180&lt;TODAY()),"Expired",IF(AND(C180&lt;&gt;"",C180&gt;TODAY()),"Not yet effective",IF(C180="","No date",IF(TODAY()&gt;=EDATE(C180,Review_Months),"Review Due","Current")))))</f>
        <v/>
      </c>
      <c r="P180">
        <f>IF(A180="","",A180&amp;"|"&amp;B180)</f>
        <v/>
      </c>
      <c r="Q180">
        <f>IF(AND(A180&lt;&gt;"",A180='Firm Search'!$C$7),COUNTIF($A$5:A180,'Firm Search'!$C$7),"")</f>
        <v/>
      </c>
      <c r="R180">
        <f>IF(A180="","",COUNTIF($A$5:$A$1004,"&lt;"&amp;A180)+COUNTIF($A$5:A180,A180))</f>
        <v/>
      </c>
    </row>
    <row r="181">
      <c r="A181" s="64" t="n"/>
      <c r="B181" s="64" t="n"/>
      <c r="C181" s="66" t="n"/>
      <c r="D181" s="66" t="n"/>
      <c r="E181" s="67" t="n"/>
      <c r="F181" s="67" t="n"/>
      <c r="G181" s="67" t="n"/>
      <c r="H181" s="67" t="n"/>
      <c r="I181" s="67" t="n"/>
      <c r="J181" s="67" t="n"/>
      <c r="K181" s="67" t="n"/>
      <c r="L181" s="67" t="n"/>
      <c r="M181" s="64" t="n"/>
      <c r="N181" s="84">
        <f>IF(A181="","",IFERROR(INDEX(Firms!$B$5:$B$1004,MATCH(A181,Firms!$A$5:$A$1004,0)),"Not on Firms tab"))</f>
        <v/>
      </c>
      <c r="O181" s="84">
        <f>IF(A181="","",IF(AND(D181&lt;&gt;"",D181&lt;TODAY()),"Expired",IF(AND(C181&lt;&gt;"",C181&gt;TODAY()),"Not yet effective",IF(C181="","No date",IF(TODAY()&gt;=EDATE(C181,Review_Months),"Review Due","Current")))))</f>
        <v/>
      </c>
      <c r="P181">
        <f>IF(A181="","",A181&amp;"|"&amp;B181)</f>
        <v/>
      </c>
      <c r="Q181">
        <f>IF(AND(A181&lt;&gt;"",A181='Firm Search'!$C$7),COUNTIF($A$5:A181,'Firm Search'!$C$7),"")</f>
        <v/>
      </c>
      <c r="R181">
        <f>IF(A181="","",COUNTIF($A$5:$A$1004,"&lt;"&amp;A181)+COUNTIF($A$5:A181,A181))</f>
        <v/>
      </c>
    </row>
    <row r="182">
      <c r="A182" s="64" t="n"/>
      <c r="B182" s="64" t="n"/>
      <c r="C182" s="66" t="n"/>
      <c r="D182" s="66" t="n"/>
      <c r="E182" s="67" t="n"/>
      <c r="F182" s="67" t="n"/>
      <c r="G182" s="67" t="n"/>
      <c r="H182" s="67" t="n"/>
      <c r="I182" s="67" t="n"/>
      <c r="J182" s="67" t="n"/>
      <c r="K182" s="67" t="n"/>
      <c r="L182" s="67" t="n"/>
      <c r="M182" s="64" t="n"/>
      <c r="N182" s="84">
        <f>IF(A182="","",IFERROR(INDEX(Firms!$B$5:$B$1004,MATCH(A182,Firms!$A$5:$A$1004,0)),"Not on Firms tab"))</f>
        <v/>
      </c>
      <c r="O182" s="84">
        <f>IF(A182="","",IF(AND(D182&lt;&gt;"",D182&lt;TODAY()),"Expired",IF(AND(C182&lt;&gt;"",C182&gt;TODAY()),"Not yet effective",IF(C182="","No date",IF(TODAY()&gt;=EDATE(C182,Review_Months),"Review Due","Current")))))</f>
        <v/>
      </c>
      <c r="P182">
        <f>IF(A182="","",A182&amp;"|"&amp;B182)</f>
        <v/>
      </c>
      <c r="Q182">
        <f>IF(AND(A182&lt;&gt;"",A182='Firm Search'!$C$7),COUNTIF($A$5:A182,'Firm Search'!$C$7),"")</f>
        <v/>
      </c>
      <c r="R182">
        <f>IF(A182="","",COUNTIF($A$5:$A$1004,"&lt;"&amp;A182)+COUNTIF($A$5:A182,A182))</f>
        <v/>
      </c>
    </row>
    <row r="183">
      <c r="A183" s="64" t="n"/>
      <c r="B183" s="64" t="n"/>
      <c r="C183" s="66" t="n"/>
      <c r="D183" s="66" t="n"/>
      <c r="E183" s="67" t="n"/>
      <c r="F183" s="67" t="n"/>
      <c r="G183" s="67" t="n"/>
      <c r="H183" s="67" t="n"/>
      <c r="I183" s="67" t="n"/>
      <c r="J183" s="67" t="n"/>
      <c r="K183" s="67" t="n"/>
      <c r="L183" s="67" t="n"/>
      <c r="M183" s="64" t="n"/>
      <c r="N183" s="84">
        <f>IF(A183="","",IFERROR(INDEX(Firms!$B$5:$B$1004,MATCH(A183,Firms!$A$5:$A$1004,0)),"Not on Firms tab"))</f>
        <v/>
      </c>
      <c r="O183" s="84">
        <f>IF(A183="","",IF(AND(D183&lt;&gt;"",D183&lt;TODAY()),"Expired",IF(AND(C183&lt;&gt;"",C183&gt;TODAY()),"Not yet effective",IF(C183="","No date",IF(TODAY()&gt;=EDATE(C183,Review_Months),"Review Due","Current")))))</f>
        <v/>
      </c>
      <c r="P183">
        <f>IF(A183="","",A183&amp;"|"&amp;B183)</f>
        <v/>
      </c>
      <c r="Q183">
        <f>IF(AND(A183&lt;&gt;"",A183='Firm Search'!$C$7),COUNTIF($A$5:A183,'Firm Search'!$C$7),"")</f>
        <v/>
      </c>
      <c r="R183">
        <f>IF(A183="","",COUNTIF($A$5:$A$1004,"&lt;"&amp;A183)+COUNTIF($A$5:A183,A183))</f>
        <v/>
      </c>
    </row>
    <row r="184">
      <c r="A184" s="64" t="n"/>
      <c r="B184" s="64" t="n"/>
      <c r="C184" s="66" t="n"/>
      <c r="D184" s="66" t="n"/>
      <c r="E184" s="67" t="n"/>
      <c r="F184" s="67" t="n"/>
      <c r="G184" s="67" t="n"/>
      <c r="H184" s="67" t="n"/>
      <c r="I184" s="67" t="n"/>
      <c r="J184" s="67" t="n"/>
      <c r="K184" s="67" t="n"/>
      <c r="L184" s="67" t="n"/>
      <c r="M184" s="64" t="n"/>
      <c r="N184" s="84">
        <f>IF(A184="","",IFERROR(INDEX(Firms!$B$5:$B$1004,MATCH(A184,Firms!$A$5:$A$1004,0)),"Not on Firms tab"))</f>
        <v/>
      </c>
      <c r="O184" s="84">
        <f>IF(A184="","",IF(AND(D184&lt;&gt;"",D184&lt;TODAY()),"Expired",IF(AND(C184&lt;&gt;"",C184&gt;TODAY()),"Not yet effective",IF(C184="","No date",IF(TODAY()&gt;=EDATE(C184,Review_Months),"Review Due","Current")))))</f>
        <v/>
      </c>
      <c r="P184">
        <f>IF(A184="","",A184&amp;"|"&amp;B184)</f>
        <v/>
      </c>
      <c r="Q184">
        <f>IF(AND(A184&lt;&gt;"",A184='Firm Search'!$C$7),COUNTIF($A$5:A184,'Firm Search'!$C$7),"")</f>
        <v/>
      </c>
      <c r="R184">
        <f>IF(A184="","",COUNTIF($A$5:$A$1004,"&lt;"&amp;A184)+COUNTIF($A$5:A184,A184))</f>
        <v/>
      </c>
    </row>
    <row r="185">
      <c r="A185" s="64" t="n"/>
      <c r="B185" s="64" t="n"/>
      <c r="C185" s="66" t="n"/>
      <c r="D185" s="66" t="n"/>
      <c r="E185" s="67" t="n"/>
      <c r="F185" s="67" t="n"/>
      <c r="G185" s="67" t="n"/>
      <c r="H185" s="67" t="n"/>
      <c r="I185" s="67" t="n"/>
      <c r="J185" s="67" t="n"/>
      <c r="K185" s="67" t="n"/>
      <c r="L185" s="67" t="n"/>
      <c r="M185" s="64" t="n"/>
      <c r="N185" s="84">
        <f>IF(A185="","",IFERROR(INDEX(Firms!$B$5:$B$1004,MATCH(A185,Firms!$A$5:$A$1004,0)),"Not on Firms tab"))</f>
        <v/>
      </c>
      <c r="O185" s="84">
        <f>IF(A185="","",IF(AND(D185&lt;&gt;"",D185&lt;TODAY()),"Expired",IF(AND(C185&lt;&gt;"",C185&gt;TODAY()),"Not yet effective",IF(C185="","No date",IF(TODAY()&gt;=EDATE(C185,Review_Months),"Review Due","Current")))))</f>
        <v/>
      </c>
      <c r="P185">
        <f>IF(A185="","",A185&amp;"|"&amp;B185)</f>
        <v/>
      </c>
      <c r="Q185">
        <f>IF(AND(A185&lt;&gt;"",A185='Firm Search'!$C$7),COUNTIF($A$5:A185,'Firm Search'!$C$7),"")</f>
        <v/>
      </c>
      <c r="R185">
        <f>IF(A185="","",COUNTIF($A$5:$A$1004,"&lt;"&amp;A185)+COUNTIF($A$5:A185,A185))</f>
        <v/>
      </c>
    </row>
    <row r="186">
      <c r="A186" s="64" t="n"/>
      <c r="B186" s="64" t="n"/>
      <c r="C186" s="66" t="n"/>
      <c r="D186" s="66" t="n"/>
      <c r="E186" s="67" t="n"/>
      <c r="F186" s="67" t="n"/>
      <c r="G186" s="67" t="n"/>
      <c r="H186" s="67" t="n"/>
      <c r="I186" s="67" t="n"/>
      <c r="J186" s="67" t="n"/>
      <c r="K186" s="67" t="n"/>
      <c r="L186" s="67" t="n"/>
      <c r="M186" s="64" t="n"/>
      <c r="N186" s="84">
        <f>IF(A186="","",IFERROR(INDEX(Firms!$B$5:$B$1004,MATCH(A186,Firms!$A$5:$A$1004,0)),"Not on Firms tab"))</f>
        <v/>
      </c>
      <c r="O186" s="84">
        <f>IF(A186="","",IF(AND(D186&lt;&gt;"",D186&lt;TODAY()),"Expired",IF(AND(C186&lt;&gt;"",C186&gt;TODAY()),"Not yet effective",IF(C186="","No date",IF(TODAY()&gt;=EDATE(C186,Review_Months),"Review Due","Current")))))</f>
        <v/>
      </c>
      <c r="P186">
        <f>IF(A186="","",A186&amp;"|"&amp;B186)</f>
        <v/>
      </c>
      <c r="Q186">
        <f>IF(AND(A186&lt;&gt;"",A186='Firm Search'!$C$7),COUNTIF($A$5:A186,'Firm Search'!$C$7),"")</f>
        <v/>
      </c>
      <c r="R186">
        <f>IF(A186="","",COUNTIF($A$5:$A$1004,"&lt;"&amp;A186)+COUNTIF($A$5:A186,A186))</f>
        <v/>
      </c>
    </row>
    <row r="187">
      <c r="A187" s="64" t="n"/>
      <c r="B187" s="64" t="n"/>
      <c r="C187" s="66" t="n"/>
      <c r="D187" s="66" t="n"/>
      <c r="E187" s="67" t="n"/>
      <c r="F187" s="67" t="n"/>
      <c r="G187" s="67" t="n"/>
      <c r="H187" s="67" t="n"/>
      <c r="I187" s="67" t="n"/>
      <c r="J187" s="67" t="n"/>
      <c r="K187" s="67" t="n"/>
      <c r="L187" s="67" t="n"/>
      <c r="M187" s="64" t="n"/>
      <c r="N187" s="84">
        <f>IF(A187="","",IFERROR(INDEX(Firms!$B$5:$B$1004,MATCH(A187,Firms!$A$5:$A$1004,0)),"Not on Firms tab"))</f>
        <v/>
      </c>
      <c r="O187" s="84">
        <f>IF(A187="","",IF(AND(D187&lt;&gt;"",D187&lt;TODAY()),"Expired",IF(AND(C187&lt;&gt;"",C187&gt;TODAY()),"Not yet effective",IF(C187="","No date",IF(TODAY()&gt;=EDATE(C187,Review_Months),"Review Due","Current")))))</f>
        <v/>
      </c>
      <c r="P187">
        <f>IF(A187="","",A187&amp;"|"&amp;B187)</f>
        <v/>
      </c>
      <c r="Q187">
        <f>IF(AND(A187&lt;&gt;"",A187='Firm Search'!$C$7),COUNTIF($A$5:A187,'Firm Search'!$C$7),"")</f>
        <v/>
      </c>
      <c r="R187">
        <f>IF(A187="","",COUNTIF($A$5:$A$1004,"&lt;"&amp;A187)+COUNTIF($A$5:A187,A187))</f>
        <v/>
      </c>
    </row>
    <row r="188">
      <c r="A188" s="64" t="n"/>
      <c r="B188" s="64" t="n"/>
      <c r="C188" s="66" t="n"/>
      <c r="D188" s="66" t="n"/>
      <c r="E188" s="67" t="n"/>
      <c r="F188" s="67" t="n"/>
      <c r="G188" s="67" t="n"/>
      <c r="H188" s="67" t="n"/>
      <c r="I188" s="67" t="n"/>
      <c r="J188" s="67" t="n"/>
      <c r="K188" s="67" t="n"/>
      <c r="L188" s="67" t="n"/>
      <c r="M188" s="64" t="n"/>
      <c r="N188" s="84">
        <f>IF(A188="","",IFERROR(INDEX(Firms!$B$5:$B$1004,MATCH(A188,Firms!$A$5:$A$1004,0)),"Not on Firms tab"))</f>
        <v/>
      </c>
      <c r="O188" s="84">
        <f>IF(A188="","",IF(AND(D188&lt;&gt;"",D188&lt;TODAY()),"Expired",IF(AND(C188&lt;&gt;"",C188&gt;TODAY()),"Not yet effective",IF(C188="","No date",IF(TODAY()&gt;=EDATE(C188,Review_Months),"Review Due","Current")))))</f>
        <v/>
      </c>
      <c r="P188">
        <f>IF(A188="","",A188&amp;"|"&amp;B188)</f>
        <v/>
      </c>
      <c r="Q188">
        <f>IF(AND(A188&lt;&gt;"",A188='Firm Search'!$C$7),COUNTIF($A$5:A188,'Firm Search'!$C$7),"")</f>
        <v/>
      </c>
      <c r="R188">
        <f>IF(A188="","",COUNTIF($A$5:$A$1004,"&lt;"&amp;A188)+COUNTIF($A$5:A188,A188))</f>
        <v/>
      </c>
    </row>
    <row r="189">
      <c r="A189" s="64" t="n"/>
      <c r="B189" s="64" t="n"/>
      <c r="C189" s="66" t="n"/>
      <c r="D189" s="66" t="n"/>
      <c r="E189" s="67" t="n"/>
      <c r="F189" s="67" t="n"/>
      <c r="G189" s="67" t="n"/>
      <c r="H189" s="67" t="n"/>
      <c r="I189" s="67" t="n"/>
      <c r="J189" s="67" t="n"/>
      <c r="K189" s="67" t="n"/>
      <c r="L189" s="67" t="n"/>
      <c r="M189" s="64" t="n"/>
      <c r="N189" s="84">
        <f>IF(A189="","",IFERROR(INDEX(Firms!$B$5:$B$1004,MATCH(A189,Firms!$A$5:$A$1004,0)),"Not on Firms tab"))</f>
        <v/>
      </c>
      <c r="O189" s="84">
        <f>IF(A189="","",IF(AND(D189&lt;&gt;"",D189&lt;TODAY()),"Expired",IF(AND(C189&lt;&gt;"",C189&gt;TODAY()),"Not yet effective",IF(C189="","No date",IF(TODAY()&gt;=EDATE(C189,Review_Months),"Review Due","Current")))))</f>
        <v/>
      </c>
      <c r="P189">
        <f>IF(A189="","",A189&amp;"|"&amp;B189)</f>
        <v/>
      </c>
      <c r="Q189">
        <f>IF(AND(A189&lt;&gt;"",A189='Firm Search'!$C$7),COUNTIF($A$5:A189,'Firm Search'!$C$7),"")</f>
        <v/>
      </c>
      <c r="R189">
        <f>IF(A189="","",COUNTIF($A$5:$A$1004,"&lt;"&amp;A189)+COUNTIF($A$5:A189,A189))</f>
        <v/>
      </c>
    </row>
    <row r="190">
      <c r="A190" s="64" t="n"/>
      <c r="B190" s="64" t="n"/>
      <c r="C190" s="66" t="n"/>
      <c r="D190" s="66" t="n"/>
      <c r="E190" s="67" t="n"/>
      <c r="F190" s="67" t="n"/>
      <c r="G190" s="67" t="n"/>
      <c r="H190" s="67" t="n"/>
      <c r="I190" s="67" t="n"/>
      <c r="J190" s="67" t="n"/>
      <c r="K190" s="67" t="n"/>
      <c r="L190" s="67" t="n"/>
      <c r="M190" s="64" t="n"/>
      <c r="N190" s="84">
        <f>IF(A190="","",IFERROR(INDEX(Firms!$B$5:$B$1004,MATCH(A190,Firms!$A$5:$A$1004,0)),"Not on Firms tab"))</f>
        <v/>
      </c>
      <c r="O190" s="84">
        <f>IF(A190="","",IF(AND(D190&lt;&gt;"",D190&lt;TODAY()),"Expired",IF(AND(C190&lt;&gt;"",C190&gt;TODAY()),"Not yet effective",IF(C190="","No date",IF(TODAY()&gt;=EDATE(C190,Review_Months),"Review Due","Current")))))</f>
        <v/>
      </c>
      <c r="P190">
        <f>IF(A190="","",A190&amp;"|"&amp;B190)</f>
        <v/>
      </c>
      <c r="Q190">
        <f>IF(AND(A190&lt;&gt;"",A190='Firm Search'!$C$7),COUNTIF($A$5:A190,'Firm Search'!$C$7),"")</f>
        <v/>
      </c>
      <c r="R190">
        <f>IF(A190="","",COUNTIF($A$5:$A$1004,"&lt;"&amp;A190)+COUNTIF($A$5:A190,A190))</f>
        <v/>
      </c>
    </row>
    <row r="191">
      <c r="A191" s="64" t="n"/>
      <c r="B191" s="64" t="n"/>
      <c r="C191" s="66" t="n"/>
      <c r="D191" s="66" t="n"/>
      <c r="E191" s="67" t="n"/>
      <c r="F191" s="67" t="n"/>
      <c r="G191" s="67" t="n"/>
      <c r="H191" s="67" t="n"/>
      <c r="I191" s="67" t="n"/>
      <c r="J191" s="67" t="n"/>
      <c r="K191" s="67" t="n"/>
      <c r="L191" s="67" t="n"/>
      <c r="M191" s="64" t="n"/>
      <c r="N191" s="84">
        <f>IF(A191="","",IFERROR(INDEX(Firms!$B$5:$B$1004,MATCH(A191,Firms!$A$5:$A$1004,0)),"Not on Firms tab"))</f>
        <v/>
      </c>
      <c r="O191" s="84">
        <f>IF(A191="","",IF(AND(D191&lt;&gt;"",D191&lt;TODAY()),"Expired",IF(AND(C191&lt;&gt;"",C191&gt;TODAY()),"Not yet effective",IF(C191="","No date",IF(TODAY()&gt;=EDATE(C191,Review_Months),"Review Due","Current")))))</f>
        <v/>
      </c>
      <c r="P191">
        <f>IF(A191="","",A191&amp;"|"&amp;B191)</f>
        <v/>
      </c>
      <c r="Q191">
        <f>IF(AND(A191&lt;&gt;"",A191='Firm Search'!$C$7),COUNTIF($A$5:A191,'Firm Search'!$C$7),"")</f>
        <v/>
      </c>
      <c r="R191">
        <f>IF(A191="","",COUNTIF($A$5:$A$1004,"&lt;"&amp;A191)+COUNTIF($A$5:A191,A191))</f>
        <v/>
      </c>
    </row>
    <row r="192">
      <c r="A192" s="64" t="n"/>
      <c r="B192" s="64" t="n"/>
      <c r="C192" s="66" t="n"/>
      <c r="D192" s="66" t="n"/>
      <c r="E192" s="67" t="n"/>
      <c r="F192" s="67" t="n"/>
      <c r="G192" s="67" t="n"/>
      <c r="H192" s="67" t="n"/>
      <c r="I192" s="67" t="n"/>
      <c r="J192" s="67" t="n"/>
      <c r="K192" s="67" t="n"/>
      <c r="L192" s="67" t="n"/>
      <c r="M192" s="64" t="n"/>
      <c r="N192" s="84">
        <f>IF(A192="","",IFERROR(INDEX(Firms!$B$5:$B$1004,MATCH(A192,Firms!$A$5:$A$1004,0)),"Not on Firms tab"))</f>
        <v/>
      </c>
      <c r="O192" s="84">
        <f>IF(A192="","",IF(AND(D192&lt;&gt;"",D192&lt;TODAY()),"Expired",IF(AND(C192&lt;&gt;"",C192&gt;TODAY()),"Not yet effective",IF(C192="","No date",IF(TODAY()&gt;=EDATE(C192,Review_Months),"Review Due","Current")))))</f>
        <v/>
      </c>
      <c r="P192">
        <f>IF(A192="","",A192&amp;"|"&amp;B192)</f>
        <v/>
      </c>
      <c r="Q192">
        <f>IF(AND(A192&lt;&gt;"",A192='Firm Search'!$C$7),COUNTIF($A$5:A192,'Firm Search'!$C$7),"")</f>
        <v/>
      </c>
      <c r="R192">
        <f>IF(A192="","",COUNTIF($A$5:$A$1004,"&lt;"&amp;A192)+COUNTIF($A$5:A192,A192))</f>
        <v/>
      </c>
    </row>
    <row r="193">
      <c r="A193" s="64" t="n"/>
      <c r="B193" s="64" t="n"/>
      <c r="C193" s="66" t="n"/>
      <c r="D193" s="66" t="n"/>
      <c r="E193" s="67" t="n"/>
      <c r="F193" s="67" t="n"/>
      <c r="G193" s="67" t="n"/>
      <c r="H193" s="67" t="n"/>
      <c r="I193" s="67" t="n"/>
      <c r="J193" s="67" t="n"/>
      <c r="K193" s="67" t="n"/>
      <c r="L193" s="67" t="n"/>
      <c r="M193" s="64" t="n"/>
      <c r="N193" s="84">
        <f>IF(A193="","",IFERROR(INDEX(Firms!$B$5:$B$1004,MATCH(A193,Firms!$A$5:$A$1004,0)),"Not on Firms tab"))</f>
        <v/>
      </c>
      <c r="O193" s="84">
        <f>IF(A193="","",IF(AND(D193&lt;&gt;"",D193&lt;TODAY()),"Expired",IF(AND(C193&lt;&gt;"",C193&gt;TODAY()),"Not yet effective",IF(C193="","No date",IF(TODAY()&gt;=EDATE(C193,Review_Months),"Review Due","Current")))))</f>
        <v/>
      </c>
      <c r="P193">
        <f>IF(A193="","",A193&amp;"|"&amp;B193)</f>
        <v/>
      </c>
      <c r="Q193">
        <f>IF(AND(A193&lt;&gt;"",A193='Firm Search'!$C$7),COUNTIF($A$5:A193,'Firm Search'!$C$7),"")</f>
        <v/>
      </c>
      <c r="R193">
        <f>IF(A193="","",COUNTIF($A$5:$A$1004,"&lt;"&amp;A193)+COUNTIF($A$5:A193,A193))</f>
        <v/>
      </c>
    </row>
    <row r="194">
      <c r="A194" s="64" t="n"/>
      <c r="B194" s="64" t="n"/>
      <c r="C194" s="66" t="n"/>
      <c r="D194" s="66" t="n"/>
      <c r="E194" s="67" t="n"/>
      <c r="F194" s="67" t="n"/>
      <c r="G194" s="67" t="n"/>
      <c r="H194" s="67" t="n"/>
      <c r="I194" s="67" t="n"/>
      <c r="J194" s="67" t="n"/>
      <c r="K194" s="67" t="n"/>
      <c r="L194" s="67" t="n"/>
      <c r="M194" s="64" t="n"/>
      <c r="N194" s="84">
        <f>IF(A194="","",IFERROR(INDEX(Firms!$B$5:$B$1004,MATCH(A194,Firms!$A$5:$A$1004,0)),"Not on Firms tab"))</f>
        <v/>
      </c>
      <c r="O194" s="84">
        <f>IF(A194="","",IF(AND(D194&lt;&gt;"",D194&lt;TODAY()),"Expired",IF(AND(C194&lt;&gt;"",C194&gt;TODAY()),"Not yet effective",IF(C194="","No date",IF(TODAY()&gt;=EDATE(C194,Review_Months),"Review Due","Current")))))</f>
        <v/>
      </c>
      <c r="P194">
        <f>IF(A194="","",A194&amp;"|"&amp;B194)</f>
        <v/>
      </c>
      <c r="Q194">
        <f>IF(AND(A194&lt;&gt;"",A194='Firm Search'!$C$7),COUNTIF($A$5:A194,'Firm Search'!$C$7),"")</f>
        <v/>
      </c>
      <c r="R194">
        <f>IF(A194="","",COUNTIF($A$5:$A$1004,"&lt;"&amp;A194)+COUNTIF($A$5:A194,A194))</f>
        <v/>
      </c>
    </row>
    <row r="195">
      <c r="A195" s="64" t="n"/>
      <c r="B195" s="64" t="n"/>
      <c r="C195" s="66" t="n"/>
      <c r="D195" s="66" t="n"/>
      <c r="E195" s="67" t="n"/>
      <c r="F195" s="67" t="n"/>
      <c r="G195" s="67" t="n"/>
      <c r="H195" s="67" t="n"/>
      <c r="I195" s="67" t="n"/>
      <c r="J195" s="67" t="n"/>
      <c r="K195" s="67" t="n"/>
      <c r="L195" s="67" t="n"/>
      <c r="M195" s="64" t="n"/>
      <c r="N195" s="84">
        <f>IF(A195="","",IFERROR(INDEX(Firms!$B$5:$B$1004,MATCH(A195,Firms!$A$5:$A$1004,0)),"Not on Firms tab"))</f>
        <v/>
      </c>
      <c r="O195" s="84">
        <f>IF(A195="","",IF(AND(D195&lt;&gt;"",D195&lt;TODAY()),"Expired",IF(AND(C195&lt;&gt;"",C195&gt;TODAY()),"Not yet effective",IF(C195="","No date",IF(TODAY()&gt;=EDATE(C195,Review_Months),"Review Due","Current")))))</f>
        <v/>
      </c>
      <c r="P195">
        <f>IF(A195="","",A195&amp;"|"&amp;B195)</f>
        <v/>
      </c>
      <c r="Q195">
        <f>IF(AND(A195&lt;&gt;"",A195='Firm Search'!$C$7),COUNTIF($A$5:A195,'Firm Search'!$C$7),"")</f>
        <v/>
      </c>
      <c r="R195">
        <f>IF(A195="","",COUNTIF($A$5:$A$1004,"&lt;"&amp;A195)+COUNTIF($A$5:A195,A195))</f>
        <v/>
      </c>
    </row>
    <row r="196">
      <c r="A196" s="64" t="n"/>
      <c r="B196" s="64" t="n"/>
      <c r="C196" s="66" t="n"/>
      <c r="D196" s="66" t="n"/>
      <c r="E196" s="67" t="n"/>
      <c r="F196" s="67" t="n"/>
      <c r="G196" s="67" t="n"/>
      <c r="H196" s="67" t="n"/>
      <c r="I196" s="67" t="n"/>
      <c r="J196" s="67" t="n"/>
      <c r="K196" s="67" t="n"/>
      <c r="L196" s="67" t="n"/>
      <c r="M196" s="64" t="n"/>
      <c r="N196" s="84">
        <f>IF(A196="","",IFERROR(INDEX(Firms!$B$5:$B$1004,MATCH(A196,Firms!$A$5:$A$1004,0)),"Not on Firms tab"))</f>
        <v/>
      </c>
      <c r="O196" s="84">
        <f>IF(A196="","",IF(AND(D196&lt;&gt;"",D196&lt;TODAY()),"Expired",IF(AND(C196&lt;&gt;"",C196&gt;TODAY()),"Not yet effective",IF(C196="","No date",IF(TODAY()&gt;=EDATE(C196,Review_Months),"Review Due","Current")))))</f>
        <v/>
      </c>
      <c r="P196">
        <f>IF(A196="","",A196&amp;"|"&amp;B196)</f>
        <v/>
      </c>
      <c r="Q196">
        <f>IF(AND(A196&lt;&gt;"",A196='Firm Search'!$C$7),COUNTIF($A$5:A196,'Firm Search'!$C$7),"")</f>
        <v/>
      </c>
      <c r="R196">
        <f>IF(A196="","",COUNTIF($A$5:$A$1004,"&lt;"&amp;A196)+COUNTIF($A$5:A196,A196))</f>
        <v/>
      </c>
    </row>
    <row r="197">
      <c r="A197" s="64" t="n"/>
      <c r="B197" s="64" t="n"/>
      <c r="C197" s="66" t="n"/>
      <c r="D197" s="66" t="n"/>
      <c r="E197" s="67" t="n"/>
      <c r="F197" s="67" t="n"/>
      <c r="G197" s="67" t="n"/>
      <c r="H197" s="67" t="n"/>
      <c r="I197" s="67" t="n"/>
      <c r="J197" s="67" t="n"/>
      <c r="K197" s="67" t="n"/>
      <c r="L197" s="67" t="n"/>
      <c r="M197" s="64" t="n"/>
      <c r="N197" s="84">
        <f>IF(A197="","",IFERROR(INDEX(Firms!$B$5:$B$1004,MATCH(A197,Firms!$A$5:$A$1004,0)),"Not on Firms tab"))</f>
        <v/>
      </c>
      <c r="O197" s="84">
        <f>IF(A197="","",IF(AND(D197&lt;&gt;"",D197&lt;TODAY()),"Expired",IF(AND(C197&lt;&gt;"",C197&gt;TODAY()),"Not yet effective",IF(C197="","No date",IF(TODAY()&gt;=EDATE(C197,Review_Months),"Review Due","Current")))))</f>
        <v/>
      </c>
      <c r="P197">
        <f>IF(A197="","",A197&amp;"|"&amp;B197)</f>
        <v/>
      </c>
      <c r="Q197">
        <f>IF(AND(A197&lt;&gt;"",A197='Firm Search'!$C$7),COUNTIF($A$5:A197,'Firm Search'!$C$7),"")</f>
        <v/>
      </c>
      <c r="R197">
        <f>IF(A197="","",COUNTIF($A$5:$A$1004,"&lt;"&amp;A197)+COUNTIF($A$5:A197,A197))</f>
        <v/>
      </c>
    </row>
    <row r="198">
      <c r="A198" s="64" t="n"/>
      <c r="B198" s="64" t="n"/>
      <c r="C198" s="66" t="n"/>
      <c r="D198" s="66" t="n"/>
      <c r="E198" s="67" t="n"/>
      <c r="F198" s="67" t="n"/>
      <c r="G198" s="67" t="n"/>
      <c r="H198" s="67" t="n"/>
      <c r="I198" s="67" t="n"/>
      <c r="J198" s="67" t="n"/>
      <c r="K198" s="67" t="n"/>
      <c r="L198" s="67" t="n"/>
      <c r="M198" s="64" t="n"/>
      <c r="N198" s="84">
        <f>IF(A198="","",IFERROR(INDEX(Firms!$B$5:$B$1004,MATCH(A198,Firms!$A$5:$A$1004,0)),"Not on Firms tab"))</f>
        <v/>
      </c>
      <c r="O198" s="84">
        <f>IF(A198="","",IF(AND(D198&lt;&gt;"",D198&lt;TODAY()),"Expired",IF(AND(C198&lt;&gt;"",C198&gt;TODAY()),"Not yet effective",IF(C198="","No date",IF(TODAY()&gt;=EDATE(C198,Review_Months),"Review Due","Current")))))</f>
        <v/>
      </c>
      <c r="P198">
        <f>IF(A198="","",A198&amp;"|"&amp;B198)</f>
        <v/>
      </c>
      <c r="Q198">
        <f>IF(AND(A198&lt;&gt;"",A198='Firm Search'!$C$7),COUNTIF($A$5:A198,'Firm Search'!$C$7),"")</f>
        <v/>
      </c>
      <c r="R198">
        <f>IF(A198="","",COUNTIF($A$5:$A$1004,"&lt;"&amp;A198)+COUNTIF($A$5:A198,A198))</f>
        <v/>
      </c>
    </row>
    <row r="199">
      <c r="A199" s="64" t="n"/>
      <c r="B199" s="64" t="n"/>
      <c r="C199" s="66" t="n"/>
      <c r="D199" s="66" t="n"/>
      <c r="E199" s="67" t="n"/>
      <c r="F199" s="67" t="n"/>
      <c r="G199" s="67" t="n"/>
      <c r="H199" s="67" t="n"/>
      <c r="I199" s="67" t="n"/>
      <c r="J199" s="67" t="n"/>
      <c r="K199" s="67" t="n"/>
      <c r="L199" s="67" t="n"/>
      <c r="M199" s="64" t="n"/>
      <c r="N199" s="84">
        <f>IF(A199="","",IFERROR(INDEX(Firms!$B$5:$B$1004,MATCH(A199,Firms!$A$5:$A$1004,0)),"Not on Firms tab"))</f>
        <v/>
      </c>
      <c r="O199" s="84">
        <f>IF(A199="","",IF(AND(D199&lt;&gt;"",D199&lt;TODAY()),"Expired",IF(AND(C199&lt;&gt;"",C199&gt;TODAY()),"Not yet effective",IF(C199="","No date",IF(TODAY()&gt;=EDATE(C199,Review_Months),"Review Due","Current")))))</f>
        <v/>
      </c>
      <c r="P199">
        <f>IF(A199="","",A199&amp;"|"&amp;B199)</f>
        <v/>
      </c>
      <c r="Q199">
        <f>IF(AND(A199&lt;&gt;"",A199='Firm Search'!$C$7),COUNTIF($A$5:A199,'Firm Search'!$C$7),"")</f>
        <v/>
      </c>
      <c r="R199">
        <f>IF(A199="","",COUNTIF($A$5:$A$1004,"&lt;"&amp;A199)+COUNTIF($A$5:A199,A199))</f>
        <v/>
      </c>
    </row>
    <row r="200">
      <c r="A200" s="64" t="n"/>
      <c r="B200" s="64" t="n"/>
      <c r="C200" s="66" t="n"/>
      <c r="D200" s="66" t="n"/>
      <c r="E200" s="67" t="n"/>
      <c r="F200" s="67" t="n"/>
      <c r="G200" s="67" t="n"/>
      <c r="H200" s="67" t="n"/>
      <c r="I200" s="67" t="n"/>
      <c r="J200" s="67" t="n"/>
      <c r="K200" s="67" t="n"/>
      <c r="L200" s="67" t="n"/>
      <c r="M200" s="64" t="n"/>
      <c r="N200" s="84">
        <f>IF(A200="","",IFERROR(INDEX(Firms!$B$5:$B$1004,MATCH(A200,Firms!$A$5:$A$1004,0)),"Not on Firms tab"))</f>
        <v/>
      </c>
      <c r="O200" s="84">
        <f>IF(A200="","",IF(AND(D200&lt;&gt;"",D200&lt;TODAY()),"Expired",IF(AND(C200&lt;&gt;"",C200&gt;TODAY()),"Not yet effective",IF(C200="","No date",IF(TODAY()&gt;=EDATE(C200,Review_Months),"Review Due","Current")))))</f>
        <v/>
      </c>
      <c r="P200">
        <f>IF(A200="","",A200&amp;"|"&amp;B200)</f>
        <v/>
      </c>
      <c r="Q200">
        <f>IF(AND(A200&lt;&gt;"",A200='Firm Search'!$C$7),COUNTIF($A$5:A200,'Firm Search'!$C$7),"")</f>
        <v/>
      </c>
      <c r="R200">
        <f>IF(A200="","",COUNTIF($A$5:$A$1004,"&lt;"&amp;A200)+COUNTIF($A$5:A200,A200))</f>
        <v/>
      </c>
    </row>
    <row r="201">
      <c r="A201" s="64" t="n"/>
      <c r="B201" s="64" t="n"/>
      <c r="C201" s="66" t="n"/>
      <c r="D201" s="66" t="n"/>
      <c r="E201" s="67" t="n"/>
      <c r="F201" s="67" t="n"/>
      <c r="G201" s="67" t="n"/>
      <c r="H201" s="67" t="n"/>
      <c r="I201" s="67" t="n"/>
      <c r="J201" s="67" t="n"/>
      <c r="K201" s="67" t="n"/>
      <c r="L201" s="67" t="n"/>
      <c r="M201" s="64" t="n"/>
      <c r="N201" s="84">
        <f>IF(A201="","",IFERROR(INDEX(Firms!$B$5:$B$1004,MATCH(A201,Firms!$A$5:$A$1004,0)),"Not on Firms tab"))</f>
        <v/>
      </c>
      <c r="O201" s="84">
        <f>IF(A201="","",IF(AND(D201&lt;&gt;"",D201&lt;TODAY()),"Expired",IF(AND(C201&lt;&gt;"",C201&gt;TODAY()),"Not yet effective",IF(C201="","No date",IF(TODAY()&gt;=EDATE(C201,Review_Months),"Review Due","Current")))))</f>
        <v/>
      </c>
      <c r="P201">
        <f>IF(A201="","",A201&amp;"|"&amp;B201)</f>
        <v/>
      </c>
      <c r="Q201">
        <f>IF(AND(A201&lt;&gt;"",A201='Firm Search'!$C$7),COUNTIF($A$5:A201,'Firm Search'!$C$7),"")</f>
        <v/>
      </c>
      <c r="R201">
        <f>IF(A201="","",COUNTIF($A$5:$A$1004,"&lt;"&amp;A201)+COUNTIF($A$5:A201,A201))</f>
        <v/>
      </c>
    </row>
    <row r="202">
      <c r="A202" s="64" t="n"/>
      <c r="B202" s="64" t="n"/>
      <c r="C202" s="66" t="n"/>
      <c r="D202" s="66" t="n"/>
      <c r="E202" s="67" t="n"/>
      <c r="F202" s="67" t="n"/>
      <c r="G202" s="67" t="n"/>
      <c r="H202" s="67" t="n"/>
      <c r="I202" s="67" t="n"/>
      <c r="J202" s="67" t="n"/>
      <c r="K202" s="67" t="n"/>
      <c r="L202" s="67" t="n"/>
      <c r="M202" s="64" t="n"/>
      <c r="N202" s="84">
        <f>IF(A202="","",IFERROR(INDEX(Firms!$B$5:$B$1004,MATCH(A202,Firms!$A$5:$A$1004,0)),"Not on Firms tab"))</f>
        <v/>
      </c>
      <c r="O202" s="84">
        <f>IF(A202="","",IF(AND(D202&lt;&gt;"",D202&lt;TODAY()),"Expired",IF(AND(C202&lt;&gt;"",C202&gt;TODAY()),"Not yet effective",IF(C202="","No date",IF(TODAY()&gt;=EDATE(C202,Review_Months),"Review Due","Current")))))</f>
        <v/>
      </c>
      <c r="P202">
        <f>IF(A202="","",A202&amp;"|"&amp;B202)</f>
        <v/>
      </c>
      <c r="Q202">
        <f>IF(AND(A202&lt;&gt;"",A202='Firm Search'!$C$7),COUNTIF($A$5:A202,'Firm Search'!$C$7),"")</f>
        <v/>
      </c>
      <c r="R202">
        <f>IF(A202="","",COUNTIF($A$5:$A$1004,"&lt;"&amp;A202)+COUNTIF($A$5:A202,A202))</f>
        <v/>
      </c>
    </row>
    <row r="203">
      <c r="A203" s="64" t="n"/>
      <c r="B203" s="64" t="n"/>
      <c r="C203" s="66" t="n"/>
      <c r="D203" s="66" t="n"/>
      <c r="E203" s="67" t="n"/>
      <c r="F203" s="67" t="n"/>
      <c r="G203" s="67" t="n"/>
      <c r="H203" s="67" t="n"/>
      <c r="I203" s="67" t="n"/>
      <c r="J203" s="67" t="n"/>
      <c r="K203" s="67" t="n"/>
      <c r="L203" s="67" t="n"/>
      <c r="M203" s="64" t="n"/>
      <c r="N203" s="84">
        <f>IF(A203="","",IFERROR(INDEX(Firms!$B$5:$B$1004,MATCH(A203,Firms!$A$5:$A$1004,0)),"Not on Firms tab"))</f>
        <v/>
      </c>
      <c r="O203" s="84">
        <f>IF(A203="","",IF(AND(D203&lt;&gt;"",D203&lt;TODAY()),"Expired",IF(AND(C203&lt;&gt;"",C203&gt;TODAY()),"Not yet effective",IF(C203="","No date",IF(TODAY()&gt;=EDATE(C203,Review_Months),"Review Due","Current")))))</f>
        <v/>
      </c>
      <c r="P203">
        <f>IF(A203="","",A203&amp;"|"&amp;B203)</f>
        <v/>
      </c>
      <c r="Q203">
        <f>IF(AND(A203&lt;&gt;"",A203='Firm Search'!$C$7),COUNTIF($A$5:A203,'Firm Search'!$C$7),"")</f>
        <v/>
      </c>
      <c r="R203">
        <f>IF(A203="","",COUNTIF($A$5:$A$1004,"&lt;"&amp;A203)+COUNTIF($A$5:A203,A203))</f>
        <v/>
      </c>
    </row>
    <row r="204">
      <c r="A204" s="64" t="n"/>
      <c r="B204" s="64" t="n"/>
      <c r="C204" s="66" t="n"/>
      <c r="D204" s="66" t="n"/>
      <c r="E204" s="67" t="n"/>
      <c r="F204" s="67" t="n"/>
      <c r="G204" s="67" t="n"/>
      <c r="H204" s="67" t="n"/>
      <c r="I204" s="67" t="n"/>
      <c r="J204" s="67" t="n"/>
      <c r="K204" s="67" t="n"/>
      <c r="L204" s="67" t="n"/>
      <c r="M204" s="64" t="n"/>
      <c r="N204" s="84">
        <f>IF(A204="","",IFERROR(INDEX(Firms!$B$5:$B$1004,MATCH(A204,Firms!$A$5:$A$1004,0)),"Not on Firms tab"))</f>
        <v/>
      </c>
      <c r="O204" s="84">
        <f>IF(A204="","",IF(AND(D204&lt;&gt;"",D204&lt;TODAY()),"Expired",IF(AND(C204&lt;&gt;"",C204&gt;TODAY()),"Not yet effective",IF(C204="","No date",IF(TODAY()&gt;=EDATE(C204,Review_Months),"Review Due","Current")))))</f>
        <v/>
      </c>
      <c r="P204">
        <f>IF(A204="","",A204&amp;"|"&amp;B204)</f>
        <v/>
      </c>
      <c r="Q204">
        <f>IF(AND(A204&lt;&gt;"",A204='Firm Search'!$C$7),COUNTIF($A$5:A204,'Firm Search'!$C$7),"")</f>
        <v/>
      </c>
      <c r="R204">
        <f>IF(A204="","",COUNTIF($A$5:$A$1004,"&lt;"&amp;A204)+COUNTIF($A$5:A204,A204))</f>
        <v/>
      </c>
    </row>
    <row r="205">
      <c r="A205" s="64" t="n"/>
      <c r="B205" s="64" t="n"/>
      <c r="C205" s="66" t="n"/>
      <c r="D205" s="66" t="n"/>
      <c r="E205" s="67" t="n"/>
      <c r="F205" s="67" t="n"/>
      <c r="G205" s="67" t="n"/>
      <c r="H205" s="67" t="n"/>
      <c r="I205" s="67" t="n"/>
      <c r="J205" s="67" t="n"/>
      <c r="K205" s="67" t="n"/>
      <c r="L205" s="67" t="n"/>
      <c r="M205" s="64" t="n"/>
      <c r="N205" s="84">
        <f>IF(A205="","",IFERROR(INDEX(Firms!$B$5:$B$1004,MATCH(A205,Firms!$A$5:$A$1004,0)),"Not on Firms tab"))</f>
        <v/>
      </c>
      <c r="O205" s="84">
        <f>IF(A205="","",IF(AND(D205&lt;&gt;"",D205&lt;TODAY()),"Expired",IF(AND(C205&lt;&gt;"",C205&gt;TODAY()),"Not yet effective",IF(C205="","No date",IF(TODAY()&gt;=EDATE(C205,Review_Months),"Review Due","Current")))))</f>
        <v/>
      </c>
      <c r="P205">
        <f>IF(A205="","",A205&amp;"|"&amp;B205)</f>
        <v/>
      </c>
      <c r="Q205">
        <f>IF(AND(A205&lt;&gt;"",A205='Firm Search'!$C$7),COUNTIF($A$5:A205,'Firm Search'!$C$7),"")</f>
        <v/>
      </c>
      <c r="R205">
        <f>IF(A205="","",COUNTIF($A$5:$A$1004,"&lt;"&amp;A205)+COUNTIF($A$5:A205,A205))</f>
        <v/>
      </c>
    </row>
    <row r="206">
      <c r="A206" s="64" t="n"/>
      <c r="B206" s="64" t="n"/>
      <c r="C206" s="66" t="n"/>
      <c r="D206" s="66" t="n"/>
      <c r="E206" s="67" t="n"/>
      <c r="F206" s="67" t="n"/>
      <c r="G206" s="67" t="n"/>
      <c r="H206" s="67" t="n"/>
      <c r="I206" s="67" t="n"/>
      <c r="J206" s="67" t="n"/>
      <c r="K206" s="67" t="n"/>
      <c r="L206" s="67" t="n"/>
      <c r="M206" s="64" t="n"/>
      <c r="N206" s="84">
        <f>IF(A206="","",IFERROR(INDEX(Firms!$B$5:$B$1004,MATCH(A206,Firms!$A$5:$A$1004,0)),"Not on Firms tab"))</f>
        <v/>
      </c>
      <c r="O206" s="84">
        <f>IF(A206="","",IF(AND(D206&lt;&gt;"",D206&lt;TODAY()),"Expired",IF(AND(C206&lt;&gt;"",C206&gt;TODAY()),"Not yet effective",IF(C206="","No date",IF(TODAY()&gt;=EDATE(C206,Review_Months),"Review Due","Current")))))</f>
        <v/>
      </c>
      <c r="P206">
        <f>IF(A206="","",A206&amp;"|"&amp;B206)</f>
        <v/>
      </c>
      <c r="Q206">
        <f>IF(AND(A206&lt;&gt;"",A206='Firm Search'!$C$7),COUNTIF($A$5:A206,'Firm Search'!$C$7),"")</f>
        <v/>
      </c>
      <c r="R206">
        <f>IF(A206="","",COUNTIF($A$5:$A$1004,"&lt;"&amp;A206)+COUNTIF($A$5:A206,A206))</f>
        <v/>
      </c>
    </row>
    <row r="207">
      <c r="A207" s="64" t="n"/>
      <c r="B207" s="64" t="n"/>
      <c r="C207" s="66" t="n"/>
      <c r="D207" s="66" t="n"/>
      <c r="E207" s="67" t="n"/>
      <c r="F207" s="67" t="n"/>
      <c r="G207" s="67" t="n"/>
      <c r="H207" s="67" t="n"/>
      <c r="I207" s="67" t="n"/>
      <c r="J207" s="67" t="n"/>
      <c r="K207" s="67" t="n"/>
      <c r="L207" s="67" t="n"/>
      <c r="M207" s="64" t="n"/>
      <c r="N207" s="84">
        <f>IF(A207="","",IFERROR(INDEX(Firms!$B$5:$B$1004,MATCH(A207,Firms!$A$5:$A$1004,0)),"Not on Firms tab"))</f>
        <v/>
      </c>
      <c r="O207" s="84">
        <f>IF(A207="","",IF(AND(D207&lt;&gt;"",D207&lt;TODAY()),"Expired",IF(AND(C207&lt;&gt;"",C207&gt;TODAY()),"Not yet effective",IF(C207="","No date",IF(TODAY()&gt;=EDATE(C207,Review_Months),"Review Due","Current")))))</f>
        <v/>
      </c>
      <c r="P207">
        <f>IF(A207="","",A207&amp;"|"&amp;B207)</f>
        <v/>
      </c>
      <c r="Q207">
        <f>IF(AND(A207&lt;&gt;"",A207='Firm Search'!$C$7),COUNTIF($A$5:A207,'Firm Search'!$C$7),"")</f>
        <v/>
      </c>
      <c r="R207">
        <f>IF(A207="","",COUNTIF($A$5:$A$1004,"&lt;"&amp;A207)+COUNTIF($A$5:A207,A207))</f>
        <v/>
      </c>
    </row>
    <row r="208">
      <c r="A208" s="64" t="n"/>
      <c r="B208" s="64" t="n"/>
      <c r="C208" s="66" t="n"/>
      <c r="D208" s="66" t="n"/>
      <c r="E208" s="67" t="n"/>
      <c r="F208" s="67" t="n"/>
      <c r="G208" s="67" t="n"/>
      <c r="H208" s="67" t="n"/>
      <c r="I208" s="67" t="n"/>
      <c r="J208" s="67" t="n"/>
      <c r="K208" s="67" t="n"/>
      <c r="L208" s="67" t="n"/>
      <c r="M208" s="64" t="n"/>
      <c r="N208" s="84">
        <f>IF(A208="","",IFERROR(INDEX(Firms!$B$5:$B$1004,MATCH(A208,Firms!$A$5:$A$1004,0)),"Not on Firms tab"))</f>
        <v/>
      </c>
      <c r="O208" s="84">
        <f>IF(A208="","",IF(AND(D208&lt;&gt;"",D208&lt;TODAY()),"Expired",IF(AND(C208&lt;&gt;"",C208&gt;TODAY()),"Not yet effective",IF(C208="","No date",IF(TODAY()&gt;=EDATE(C208,Review_Months),"Review Due","Current")))))</f>
        <v/>
      </c>
      <c r="P208">
        <f>IF(A208="","",A208&amp;"|"&amp;B208)</f>
        <v/>
      </c>
      <c r="Q208">
        <f>IF(AND(A208&lt;&gt;"",A208='Firm Search'!$C$7),COUNTIF($A$5:A208,'Firm Search'!$C$7),"")</f>
        <v/>
      </c>
      <c r="R208">
        <f>IF(A208="","",COUNTIF($A$5:$A$1004,"&lt;"&amp;A208)+COUNTIF($A$5:A208,A208))</f>
        <v/>
      </c>
    </row>
    <row r="209">
      <c r="A209" s="64" t="n"/>
      <c r="B209" s="64" t="n"/>
      <c r="C209" s="66" t="n"/>
      <c r="D209" s="66" t="n"/>
      <c r="E209" s="67" t="n"/>
      <c r="F209" s="67" t="n"/>
      <c r="G209" s="67" t="n"/>
      <c r="H209" s="67" t="n"/>
      <c r="I209" s="67" t="n"/>
      <c r="J209" s="67" t="n"/>
      <c r="K209" s="67" t="n"/>
      <c r="L209" s="67" t="n"/>
      <c r="M209" s="64" t="n"/>
      <c r="N209" s="84">
        <f>IF(A209="","",IFERROR(INDEX(Firms!$B$5:$B$1004,MATCH(A209,Firms!$A$5:$A$1004,0)),"Not on Firms tab"))</f>
        <v/>
      </c>
      <c r="O209" s="84">
        <f>IF(A209="","",IF(AND(D209&lt;&gt;"",D209&lt;TODAY()),"Expired",IF(AND(C209&lt;&gt;"",C209&gt;TODAY()),"Not yet effective",IF(C209="","No date",IF(TODAY()&gt;=EDATE(C209,Review_Months),"Review Due","Current")))))</f>
        <v/>
      </c>
      <c r="P209">
        <f>IF(A209="","",A209&amp;"|"&amp;B209)</f>
        <v/>
      </c>
      <c r="Q209">
        <f>IF(AND(A209&lt;&gt;"",A209='Firm Search'!$C$7),COUNTIF($A$5:A209,'Firm Search'!$C$7),"")</f>
        <v/>
      </c>
      <c r="R209">
        <f>IF(A209="","",COUNTIF($A$5:$A$1004,"&lt;"&amp;A209)+COUNTIF($A$5:A209,A209))</f>
        <v/>
      </c>
    </row>
    <row r="210">
      <c r="A210" s="64" t="n"/>
      <c r="B210" s="64" t="n"/>
      <c r="C210" s="66" t="n"/>
      <c r="D210" s="66" t="n"/>
      <c r="E210" s="67" t="n"/>
      <c r="F210" s="67" t="n"/>
      <c r="G210" s="67" t="n"/>
      <c r="H210" s="67" t="n"/>
      <c r="I210" s="67" t="n"/>
      <c r="J210" s="67" t="n"/>
      <c r="K210" s="67" t="n"/>
      <c r="L210" s="67" t="n"/>
      <c r="M210" s="64" t="n"/>
      <c r="N210" s="84">
        <f>IF(A210="","",IFERROR(INDEX(Firms!$B$5:$B$1004,MATCH(A210,Firms!$A$5:$A$1004,0)),"Not on Firms tab"))</f>
        <v/>
      </c>
      <c r="O210" s="84">
        <f>IF(A210="","",IF(AND(D210&lt;&gt;"",D210&lt;TODAY()),"Expired",IF(AND(C210&lt;&gt;"",C210&gt;TODAY()),"Not yet effective",IF(C210="","No date",IF(TODAY()&gt;=EDATE(C210,Review_Months),"Review Due","Current")))))</f>
        <v/>
      </c>
      <c r="P210">
        <f>IF(A210="","",A210&amp;"|"&amp;B210)</f>
        <v/>
      </c>
      <c r="Q210">
        <f>IF(AND(A210&lt;&gt;"",A210='Firm Search'!$C$7),COUNTIF($A$5:A210,'Firm Search'!$C$7),"")</f>
        <v/>
      </c>
      <c r="R210">
        <f>IF(A210="","",COUNTIF($A$5:$A$1004,"&lt;"&amp;A210)+COUNTIF($A$5:A210,A210))</f>
        <v/>
      </c>
    </row>
    <row r="211">
      <c r="A211" s="64" t="n"/>
      <c r="B211" s="64" t="n"/>
      <c r="C211" s="66" t="n"/>
      <c r="D211" s="66" t="n"/>
      <c r="E211" s="67" t="n"/>
      <c r="F211" s="67" t="n"/>
      <c r="G211" s="67" t="n"/>
      <c r="H211" s="67" t="n"/>
      <c r="I211" s="67" t="n"/>
      <c r="J211" s="67" t="n"/>
      <c r="K211" s="67" t="n"/>
      <c r="L211" s="67" t="n"/>
      <c r="M211" s="64" t="n"/>
      <c r="N211" s="84">
        <f>IF(A211="","",IFERROR(INDEX(Firms!$B$5:$B$1004,MATCH(A211,Firms!$A$5:$A$1004,0)),"Not on Firms tab"))</f>
        <v/>
      </c>
      <c r="O211" s="84">
        <f>IF(A211="","",IF(AND(D211&lt;&gt;"",D211&lt;TODAY()),"Expired",IF(AND(C211&lt;&gt;"",C211&gt;TODAY()),"Not yet effective",IF(C211="","No date",IF(TODAY()&gt;=EDATE(C211,Review_Months),"Review Due","Current")))))</f>
        <v/>
      </c>
      <c r="P211">
        <f>IF(A211="","",A211&amp;"|"&amp;B211)</f>
        <v/>
      </c>
      <c r="Q211">
        <f>IF(AND(A211&lt;&gt;"",A211='Firm Search'!$C$7),COUNTIF($A$5:A211,'Firm Search'!$C$7),"")</f>
        <v/>
      </c>
      <c r="R211">
        <f>IF(A211="","",COUNTIF($A$5:$A$1004,"&lt;"&amp;A211)+COUNTIF($A$5:A211,A211))</f>
        <v/>
      </c>
    </row>
    <row r="212">
      <c r="A212" s="64" t="n"/>
      <c r="B212" s="64" t="n"/>
      <c r="C212" s="66" t="n"/>
      <c r="D212" s="66" t="n"/>
      <c r="E212" s="67" t="n"/>
      <c r="F212" s="67" t="n"/>
      <c r="G212" s="67" t="n"/>
      <c r="H212" s="67" t="n"/>
      <c r="I212" s="67" t="n"/>
      <c r="J212" s="67" t="n"/>
      <c r="K212" s="67" t="n"/>
      <c r="L212" s="67" t="n"/>
      <c r="M212" s="64" t="n"/>
      <c r="N212" s="84">
        <f>IF(A212="","",IFERROR(INDEX(Firms!$B$5:$B$1004,MATCH(A212,Firms!$A$5:$A$1004,0)),"Not on Firms tab"))</f>
        <v/>
      </c>
      <c r="O212" s="84">
        <f>IF(A212="","",IF(AND(D212&lt;&gt;"",D212&lt;TODAY()),"Expired",IF(AND(C212&lt;&gt;"",C212&gt;TODAY()),"Not yet effective",IF(C212="","No date",IF(TODAY()&gt;=EDATE(C212,Review_Months),"Review Due","Current")))))</f>
        <v/>
      </c>
      <c r="P212">
        <f>IF(A212="","",A212&amp;"|"&amp;B212)</f>
        <v/>
      </c>
      <c r="Q212">
        <f>IF(AND(A212&lt;&gt;"",A212='Firm Search'!$C$7),COUNTIF($A$5:A212,'Firm Search'!$C$7),"")</f>
        <v/>
      </c>
      <c r="R212">
        <f>IF(A212="","",COUNTIF($A$5:$A$1004,"&lt;"&amp;A212)+COUNTIF($A$5:A212,A212))</f>
        <v/>
      </c>
    </row>
    <row r="213">
      <c r="A213" s="64" t="n"/>
      <c r="B213" s="64" t="n"/>
      <c r="C213" s="66" t="n"/>
      <c r="D213" s="66" t="n"/>
      <c r="E213" s="67" t="n"/>
      <c r="F213" s="67" t="n"/>
      <c r="G213" s="67" t="n"/>
      <c r="H213" s="67" t="n"/>
      <c r="I213" s="67" t="n"/>
      <c r="J213" s="67" t="n"/>
      <c r="K213" s="67" t="n"/>
      <c r="L213" s="67" t="n"/>
      <c r="M213" s="64" t="n"/>
      <c r="N213" s="84">
        <f>IF(A213="","",IFERROR(INDEX(Firms!$B$5:$B$1004,MATCH(A213,Firms!$A$5:$A$1004,0)),"Not on Firms tab"))</f>
        <v/>
      </c>
      <c r="O213" s="84">
        <f>IF(A213="","",IF(AND(D213&lt;&gt;"",D213&lt;TODAY()),"Expired",IF(AND(C213&lt;&gt;"",C213&gt;TODAY()),"Not yet effective",IF(C213="","No date",IF(TODAY()&gt;=EDATE(C213,Review_Months),"Review Due","Current")))))</f>
        <v/>
      </c>
      <c r="P213">
        <f>IF(A213="","",A213&amp;"|"&amp;B213)</f>
        <v/>
      </c>
      <c r="Q213">
        <f>IF(AND(A213&lt;&gt;"",A213='Firm Search'!$C$7),COUNTIF($A$5:A213,'Firm Search'!$C$7),"")</f>
        <v/>
      </c>
      <c r="R213">
        <f>IF(A213="","",COUNTIF($A$5:$A$1004,"&lt;"&amp;A213)+COUNTIF($A$5:A213,A213))</f>
        <v/>
      </c>
    </row>
    <row r="214">
      <c r="A214" s="64" t="n"/>
      <c r="B214" s="64" t="n"/>
      <c r="C214" s="66" t="n"/>
      <c r="D214" s="66" t="n"/>
      <c r="E214" s="67" t="n"/>
      <c r="F214" s="67" t="n"/>
      <c r="G214" s="67" t="n"/>
      <c r="H214" s="67" t="n"/>
      <c r="I214" s="67" t="n"/>
      <c r="J214" s="67" t="n"/>
      <c r="K214" s="67" t="n"/>
      <c r="L214" s="67" t="n"/>
      <c r="M214" s="64" t="n"/>
      <c r="N214" s="84">
        <f>IF(A214="","",IFERROR(INDEX(Firms!$B$5:$B$1004,MATCH(A214,Firms!$A$5:$A$1004,0)),"Not on Firms tab"))</f>
        <v/>
      </c>
      <c r="O214" s="84">
        <f>IF(A214="","",IF(AND(D214&lt;&gt;"",D214&lt;TODAY()),"Expired",IF(AND(C214&lt;&gt;"",C214&gt;TODAY()),"Not yet effective",IF(C214="","No date",IF(TODAY()&gt;=EDATE(C214,Review_Months),"Review Due","Current")))))</f>
        <v/>
      </c>
      <c r="P214">
        <f>IF(A214="","",A214&amp;"|"&amp;B214)</f>
        <v/>
      </c>
      <c r="Q214">
        <f>IF(AND(A214&lt;&gt;"",A214='Firm Search'!$C$7),COUNTIF($A$5:A214,'Firm Search'!$C$7),"")</f>
        <v/>
      </c>
      <c r="R214">
        <f>IF(A214="","",COUNTIF($A$5:$A$1004,"&lt;"&amp;A214)+COUNTIF($A$5:A214,A214))</f>
        <v/>
      </c>
    </row>
    <row r="215">
      <c r="A215" s="64" t="n"/>
      <c r="B215" s="64" t="n"/>
      <c r="C215" s="66" t="n"/>
      <c r="D215" s="66" t="n"/>
      <c r="E215" s="67" t="n"/>
      <c r="F215" s="67" t="n"/>
      <c r="G215" s="67" t="n"/>
      <c r="H215" s="67" t="n"/>
      <c r="I215" s="67" t="n"/>
      <c r="J215" s="67" t="n"/>
      <c r="K215" s="67" t="n"/>
      <c r="L215" s="67" t="n"/>
      <c r="M215" s="64" t="n"/>
      <c r="N215" s="84">
        <f>IF(A215="","",IFERROR(INDEX(Firms!$B$5:$B$1004,MATCH(A215,Firms!$A$5:$A$1004,0)),"Not on Firms tab"))</f>
        <v/>
      </c>
      <c r="O215" s="84">
        <f>IF(A215="","",IF(AND(D215&lt;&gt;"",D215&lt;TODAY()),"Expired",IF(AND(C215&lt;&gt;"",C215&gt;TODAY()),"Not yet effective",IF(C215="","No date",IF(TODAY()&gt;=EDATE(C215,Review_Months),"Review Due","Current")))))</f>
        <v/>
      </c>
      <c r="P215">
        <f>IF(A215="","",A215&amp;"|"&amp;B215)</f>
        <v/>
      </c>
      <c r="Q215">
        <f>IF(AND(A215&lt;&gt;"",A215='Firm Search'!$C$7),COUNTIF($A$5:A215,'Firm Search'!$C$7),"")</f>
        <v/>
      </c>
      <c r="R215">
        <f>IF(A215="","",COUNTIF($A$5:$A$1004,"&lt;"&amp;A215)+COUNTIF($A$5:A215,A215))</f>
        <v/>
      </c>
    </row>
    <row r="216">
      <c r="A216" s="64" t="n"/>
      <c r="B216" s="64" t="n"/>
      <c r="C216" s="66" t="n"/>
      <c r="D216" s="66" t="n"/>
      <c r="E216" s="67" t="n"/>
      <c r="F216" s="67" t="n"/>
      <c r="G216" s="67" t="n"/>
      <c r="H216" s="67" t="n"/>
      <c r="I216" s="67" t="n"/>
      <c r="J216" s="67" t="n"/>
      <c r="K216" s="67" t="n"/>
      <c r="L216" s="67" t="n"/>
      <c r="M216" s="64" t="n"/>
      <c r="N216" s="84">
        <f>IF(A216="","",IFERROR(INDEX(Firms!$B$5:$B$1004,MATCH(A216,Firms!$A$5:$A$1004,0)),"Not on Firms tab"))</f>
        <v/>
      </c>
      <c r="O216" s="84">
        <f>IF(A216="","",IF(AND(D216&lt;&gt;"",D216&lt;TODAY()),"Expired",IF(AND(C216&lt;&gt;"",C216&gt;TODAY()),"Not yet effective",IF(C216="","No date",IF(TODAY()&gt;=EDATE(C216,Review_Months),"Review Due","Current")))))</f>
        <v/>
      </c>
      <c r="P216">
        <f>IF(A216="","",A216&amp;"|"&amp;B216)</f>
        <v/>
      </c>
      <c r="Q216">
        <f>IF(AND(A216&lt;&gt;"",A216='Firm Search'!$C$7),COUNTIF($A$5:A216,'Firm Search'!$C$7),"")</f>
        <v/>
      </c>
      <c r="R216">
        <f>IF(A216="","",COUNTIF($A$5:$A$1004,"&lt;"&amp;A216)+COUNTIF($A$5:A216,A216))</f>
        <v/>
      </c>
    </row>
    <row r="217">
      <c r="A217" s="64" t="n"/>
      <c r="B217" s="64" t="n"/>
      <c r="C217" s="66" t="n"/>
      <c r="D217" s="66" t="n"/>
      <c r="E217" s="67" t="n"/>
      <c r="F217" s="67" t="n"/>
      <c r="G217" s="67" t="n"/>
      <c r="H217" s="67" t="n"/>
      <c r="I217" s="67" t="n"/>
      <c r="J217" s="67" t="n"/>
      <c r="K217" s="67" t="n"/>
      <c r="L217" s="67" t="n"/>
      <c r="M217" s="64" t="n"/>
      <c r="N217" s="84">
        <f>IF(A217="","",IFERROR(INDEX(Firms!$B$5:$B$1004,MATCH(A217,Firms!$A$5:$A$1004,0)),"Not on Firms tab"))</f>
        <v/>
      </c>
      <c r="O217" s="84">
        <f>IF(A217="","",IF(AND(D217&lt;&gt;"",D217&lt;TODAY()),"Expired",IF(AND(C217&lt;&gt;"",C217&gt;TODAY()),"Not yet effective",IF(C217="","No date",IF(TODAY()&gt;=EDATE(C217,Review_Months),"Review Due","Current")))))</f>
        <v/>
      </c>
      <c r="P217">
        <f>IF(A217="","",A217&amp;"|"&amp;B217)</f>
        <v/>
      </c>
      <c r="Q217">
        <f>IF(AND(A217&lt;&gt;"",A217='Firm Search'!$C$7),COUNTIF($A$5:A217,'Firm Search'!$C$7),"")</f>
        <v/>
      </c>
      <c r="R217">
        <f>IF(A217="","",COUNTIF($A$5:$A$1004,"&lt;"&amp;A217)+COUNTIF($A$5:A217,A217))</f>
        <v/>
      </c>
    </row>
    <row r="218">
      <c r="A218" s="64" t="n"/>
      <c r="B218" s="64" t="n"/>
      <c r="C218" s="66" t="n"/>
      <c r="D218" s="66" t="n"/>
      <c r="E218" s="67" t="n"/>
      <c r="F218" s="67" t="n"/>
      <c r="G218" s="67" t="n"/>
      <c r="H218" s="67" t="n"/>
      <c r="I218" s="67" t="n"/>
      <c r="J218" s="67" t="n"/>
      <c r="K218" s="67" t="n"/>
      <c r="L218" s="67" t="n"/>
      <c r="M218" s="64" t="n"/>
      <c r="N218" s="84">
        <f>IF(A218="","",IFERROR(INDEX(Firms!$B$5:$B$1004,MATCH(A218,Firms!$A$5:$A$1004,0)),"Not on Firms tab"))</f>
        <v/>
      </c>
      <c r="O218" s="84">
        <f>IF(A218="","",IF(AND(D218&lt;&gt;"",D218&lt;TODAY()),"Expired",IF(AND(C218&lt;&gt;"",C218&gt;TODAY()),"Not yet effective",IF(C218="","No date",IF(TODAY()&gt;=EDATE(C218,Review_Months),"Review Due","Current")))))</f>
        <v/>
      </c>
      <c r="P218">
        <f>IF(A218="","",A218&amp;"|"&amp;B218)</f>
        <v/>
      </c>
      <c r="Q218">
        <f>IF(AND(A218&lt;&gt;"",A218='Firm Search'!$C$7),COUNTIF($A$5:A218,'Firm Search'!$C$7),"")</f>
        <v/>
      </c>
      <c r="R218">
        <f>IF(A218="","",COUNTIF($A$5:$A$1004,"&lt;"&amp;A218)+COUNTIF($A$5:A218,A218))</f>
        <v/>
      </c>
    </row>
    <row r="219">
      <c r="A219" s="64" t="n"/>
      <c r="B219" s="64" t="n"/>
      <c r="C219" s="66" t="n"/>
      <c r="D219" s="66" t="n"/>
      <c r="E219" s="67" t="n"/>
      <c r="F219" s="67" t="n"/>
      <c r="G219" s="67" t="n"/>
      <c r="H219" s="67" t="n"/>
      <c r="I219" s="67" t="n"/>
      <c r="J219" s="67" t="n"/>
      <c r="K219" s="67" t="n"/>
      <c r="L219" s="67" t="n"/>
      <c r="M219" s="64" t="n"/>
      <c r="N219" s="84">
        <f>IF(A219="","",IFERROR(INDEX(Firms!$B$5:$B$1004,MATCH(A219,Firms!$A$5:$A$1004,0)),"Not on Firms tab"))</f>
        <v/>
      </c>
      <c r="O219" s="84">
        <f>IF(A219="","",IF(AND(D219&lt;&gt;"",D219&lt;TODAY()),"Expired",IF(AND(C219&lt;&gt;"",C219&gt;TODAY()),"Not yet effective",IF(C219="","No date",IF(TODAY()&gt;=EDATE(C219,Review_Months),"Review Due","Current")))))</f>
        <v/>
      </c>
      <c r="P219">
        <f>IF(A219="","",A219&amp;"|"&amp;B219)</f>
        <v/>
      </c>
      <c r="Q219">
        <f>IF(AND(A219&lt;&gt;"",A219='Firm Search'!$C$7),COUNTIF($A$5:A219,'Firm Search'!$C$7),"")</f>
        <v/>
      </c>
      <c r="R219">
        <f>IF(A219="","",COUNTIF($A$5:$A$1004,"&lt;"&amp;A219)+COUNTIF($A$5:A219,A219))</f>
        <v/>
      </c>
    </row>
    <row r="220">
      <c r="A220" s="64" t="n"/>
      <c r="B220" s="64" t="n"/>
      <c r="C220" s="66" t="n"/>
      <c r="D220" s="66" t="n"/>
      <c r="E220" s="67" t="n"/>
      <c r="F220" s="67" t="n"/>
      <c r="G220" s="67" t="n"/>
      <c r="H220" s="67" t="n"/>
      <c r="I220" s="67" t="n"/>
      <c r="J220" s="67" t="n"/>
      <c r="K220" s="67" t="n"/>
      <c r="L220" s="67" t="n"/>
      <c r="M220" s="64" t="n"/>
      <c r="N220" s="84">
        <f>IF(A220="","",IFERROR(INDEX(Firms!$B$5:$B$1004,MATCH(A220,Firms!$A$5:$A$1004,0)),"Not on Firms tab"))</f>
        <v/>
      </c>
      <c r="O220" s="84">
        <f>IF(A220="","",IF(AND(D220&lt;&gt;"",D220&lt;TODAY()),"Expired",IF(AND(C220&lt;&gt;"",C220&gt;TODAY()),"Not yet effective",IF(C220="","No date",IF(TODAY()&gt;=EDATE(C220,Review_Months),"Review Due","Current")))))</f>
        <v/>
      </c>
      <c r="P220">
        <f>IF(A220="","",A220&amp;"|"&amp;B220)</f>
        <v/>
      </c>
      <c r="Q220">
        <f>IF(AND(A220&lt;&gt;"",A220='Firm Search'!$C$7),COUNTIF($A$5:A220,'Firm Search'!$C$7),"")</f>
        <v/>
      </c>
      <c r="R220">
        <f>IF(A220="","",COUNTIF($A$5:$A$1004,"&lt;"&amp;A220)+COUNTIF($A$5:A220,A220))</f>
        <v/>
      </c>
    </row>
    <row r="221">
      <c r="A221" s="64" t="n"/>
      <c r="B221" s="64" t="n"/>
      <c r="C221" s="66" t="n"/>
      <c r="D221" s="66" t="n"/>
      <c r="E221" s="67" t="n"/>
      <c r="F221" s="67" t="n"/>
      <c r="G221" s="67" t="n"/>
      <c r="H221" s="67" t="n"/>
      <c r="I221" s="67" t="n"/>
      <c r="J221" s="67" t="n"/>
      <c r="K221" s="67" t="n"/>
      <c r="L221" s="67" t="n"/>
      <c r="M221" s="64" t="n"/>
      <c r="N221" s="84">
        <f>IF(A221="","",IFERROR(INDEX(Firms!$B$5:$B$1004,MATCH(A221,Firms!$A$5:$A$1004,0)),"Not on Firms tab"))</f>
        <v/>
      </c>
      <c r="O221" s="84">
        <f>IF(A221="","",IF(AND(D221&lt;&gt;"",D221&lt;TODAY()),"Expired",IF(AND(C221&lt;&gt;"",C221&gt;TODAY()),"Not yet effective",IF(C221="","No date",IF(TODAY()&gt;=EDATE(C221,Review_Months),"Review Due","Current")))))</f>
        <v/>
      </c>
      <c r="P221">
        <f>IF(A221="","",A221&amp;"|"&amp;B221)</f>
        <v/>
      </c>
      <c r="Q221">
        <f>IF(AND(A221&lt;&gt;"",A221='Firm Search'!$C$7),COUNTIF($A$5:A221,'Firm Search'!$C$7),"")</f>
        <v/>
      </c>
      <c r="R221">
        <f>IF(A221="","",COUNTIF($A$5:$A$1004,"&lt;"&amp;A221)+COUNTIF($A$5:A221,A221))</f>
        <v/>
      </c>
    </row>
    <row r="222">
      <c r="A222" s="64" t="n"/>
      <c r="B222" s="64" t="n"/>
      <c r="C222" s="66" t="n"/>
      <c r="D222" s="66" t="n"/>
      <c r="E222" s="67" t="n"/>
      <c r="F222" s="67" t="n"/>
      <c r="G222" s="67" t="n"/>
      <c r="H222" s="67" t="n"/>
      <c r="I222" s="67" t="n"/>
      <c r="J222" s="67" t="n"/>
      <c r="K222" s="67" t="n"/>
      <c r="L222" s="67" t="n"/>
      <c r="M222" s="64" t="n"/>
      <c r="N222" s="84">
        <f>IF(A222="","",IFERROR(INDEX(Firms!$B$5:$B$1004,MATCH(A222,Firms!$A$5:$A$1004,0)),"Not on Firms tab"))</f>
        <v/>
      </c>
      <c r="O222" s="84">
        <f>IF(A222="","",IF(AND(D222&lt;&gt;"",D222&lt;TODAY()),"Expired",IF(AND(C222&lt;&gt;"",C222&gt;TODAY()),"Not yet effective",IF(C222="","No date",IF(TODAY()&gt;=EDATE(C222,Review_Months),"Review Due","Current")))))</f>
        <v/>
      </c>
      <c r="P222">
        <f>IF(A222="","",A222&amp;"|"&amp;B222)</f>
        <v/>
      </c>
      <c r="Q222">
        <f>IF(AND(A222&lt;&gt;"",A222='Firm Search'!$C$7),COUNTIF($A$5:A222,'Firm Search'!$C$7),"")</f>
        <v/>
      </c>
      <c r="R222">
        <f>IF(A222="","",COUNTIF($A$5:$A$1004,"&lt;"&amp;A222)+COUNTIF($A$5:A222,A222))</f>
        <v/>
      </c>
    </row>
    <row r="223">
      <c r="A223" s="64" t="n"/>
      <c r="B223" s="64" t="n"/>
      <c r="C223" s="66" t="n"/>
      <c r="D223" s="66" t="n"/>
      <c r="E223" s="67" t="n"/>
      <c r="F223" s="67" t="n"/>
      <c r="G223" s="67" t="n"/>
      <c r="H223" s="67" t="n"/>
      <c r="I223" s="67" t="n"/>
      <c r="J223" s="67" t="n"/>
      <c r="K223" s="67" t="n"/>
      <c r="L223" s="67" t="n"/>
      <c r="M223" s="64" t="n"/>
      <c r="N223" s="84">
        <f>IF(A223="","",IFERROR(INDEX(Firms!$B$5:$B$1004,MATCH(A223,Firms!$A$5:$A$1004,0)),"Not on Firms tab"))</f>
        <v/>
      </c>
      <c r="O223" s="84">
        <f>IF(A223="","",IF(AND(D223&lt;&gt;"",D223&lt;TODAY()),"Expired",IF(AND(C223&lt;&gt;"",C223&gt;TODAY()),"Not yet effective",IF(C223="","No date",IF(TODAY()&gt;=EDATE(C223,Review_Months),"Review Due","Current")))))</f>
        <v/>
      </c>
      <c r="P223">
        <f>IF(A223="","",A223&amp;"|"&amp;B223)</f>
        <v/>
      </c>
      <c r="Q223">
        <f>IF(AND(A223&lt;&gt;"",A223='Firm Search'!$C$7),COUNTIF($A$5:A223,'Firm Search'!$C$7),"")</f>
        <v/>
      </c>
      <c r="R223">
        <f>IF(A223="","",COUNTIF($A$5:$A$1004,"&lt;"&amp;A223)+COUNTIF($A$5:A223,A223))</f>
        <v/>
      </c>
    </row>
    <row r="224">
      <c r="A224" s="64" t="n"/>
      <c r="B224" s="64" t="n"/>
      <c r="C224" s="66" t="n"/>
      <c r="D224" s="66" t="n"/>
      <c r="E224" s="67" t="n"/>
      <c r="F224" s="67" t="n"/>
      <c r="G224" s="67" t="n"/>
      <c r="H224" s="67" t="n"/>
      <c r="I224" s="67" t="n"/>
      <c r="J224" s="67" t="n"/>
      <c r="K224" s="67" t="n"/>
      <c r="L224" s="67" t="n"/>
      <c r="M224" s="64" t="n"/>
      <c r="N224" s="84">
        <f>IF(A224="","",IFERROR(INDEX(Firms!$B$5:$B$1004,MATCH(A224,Firms!$A$5:$A$1004,0)),"Not on Firms tab"))</f>
        <v/>
      </c>
      <c r="O224" s="84">
        <f>IF(A224="","",IF(AND(D224&lt;&gt;"",D224&lt;TODAY()),"Expired",IF(AND(C224&lt;&gt;"",C224&gt;TODAY()),"Not yet effective",IF(C224="","No date",IF(TODAY()&gt;=EDATE(C224,Review_Months),"Review Due","Current")))))</f>
        <v/>
      </c>
      <c r="P224">
        <f>IF(A224="","",A224&amp;"|"&amp;B224)</f>
        <v/>
      </c>
      <c r="Q224">
        <f>IF(AND(A224&lt;&gt;"",A224='Firm Search'!$C$7),COUNTIF($A$5:A224,'Firm Search'!$C$7),"")</f>
        <v/>
      </c>
      <c r="R224">
        <f>IF(A224="","",COUNTIF($A$5:$A$1004,"&lt;"&amp;A224)+COUNTIF($A$5:A224,A224))</f>
        <v/>
      </c>
    </row>
    <row r="225">
      <c r="A225" s="64" t="n"/>
      <c r="B225" s="64" t="n"/>
      <c r="C225" s="66" t="n"/>
      <c r="D225" s="66" t="n"/>
      <c r="E225" s="67" t="n"/>
      <c r="F225" s="67" t="n"/>
      <c r="G225" s="67" t="n"/>
      <c r="H225" s="67" t="n"/>
      <c r="I225" s="67" t="n"/>
      <c r="J225" s="67" t="n"/>
      <c r="K225" s="67" t="n"/>
      <c r="L225" s="67" t="n"/>
      <c r="M225" s="64" t="n"/>
      <c r="N225" s="84">
        <f>IF(A225="","",IFERROR(INDEX(Firms!$B$5:$B$1004,MATCH(A225,Firms!$A$5:$A$1004,0)),"Not on Firms tab"))</f>
        <v/>
      </c>
      <c r="O225" s="84">
        <f>IF(A225="","",IF(AND(D225&lt;&gt;"",D225&lt;TODAY()),"Expired",IF(AND(C225&lt;&gt;"",C225&gt;TODAY()),"Not yet effective",IF(C225="","No date",IF(TODAY()&gt;=EDATE(C225,Review_Months),"Review Due","Current")))))</f>
        <v/>
      </c>
      <c r="P225">
        <f>IF(A225="","",A225&amp;"|"&amp;B225)</f>
        <v/>
      </c>
      <c r="Q225">
        <f>IF(AND(A225&lt;&gt;"",A225='Firm Search'!$C$7),COUNTIF($A$5:A225,'Firm Search'!$C$7),"")</f>
        <v/>
      </c>
      <c r="R225">
        <f>IF(A225="","",COUNTIF($A$5:$A$1004,"&lt;"&amp;A225)+COUNTIF($A$5:A225,A225))</f>
        <v/>
      </c>
    </row>
    <row r="226">
      <c r="A226" s="64" t="n"/>
      <c r="B226" s="64" t="n"/>
      <c r="C226" s="66" t="n"/>
      <c r="D226" s="66" t="n"/>
      <c r="E226" s="67" t="n"/>
      <c r="F226" s="67" t="n"/>
      <c r="G226" s="67" t="n"/>
      <c r="H226" s="67" t="n"/>
      <c r="I226" s="67" t="n"/>
      <c r="J226" s="67" t="n"/>
      <c r="K226" s="67" t="n"/>
      <c r="L226" s="67" t="n"/>
      <c r="M226" s="64" t="n"/>
      <c r="N226" s="84">
        <f>IF(A226="","",IFERROR(INDEX(Firms!$B$5:$B$1004,MATCH(A226,Firms!$A$5:$A$1004,0)),"Not on Firms tab"))</f>
        <v/>
      </c>
      <c r="O226" s="84">
        <f>IF(A226="","",IF(AND(D226&lt;&gt;"",D226&lt;TODAY()),"Expired",IF(AND(C226&lt;&gt;"",C226&gt;TODAY()),"Not yet effective",IF(C226="","No date",IF(TODAY()&gt;=EDATE(C226,Review_Months),"Review Due","Current")))))</f>
        <v/>
      </c>
      <c r="P226">
        <f>IF(A226="","",A226&amp;"|"&amp;B226)</f>
        <v/>
      </c>
      <c r="Q226">
        <f>IF(AND(A226&lt;&gt;"",A226='Firm Search'!$C$7),COUNTIF($A$5:A226,'Firm Search'!$C$7),"")</f>
        <v/>
      </c>
      <c r="R226">
        <f>IF(A226="","",COUNTIF($A$5:$A$1004,"&lt;"&amp;A226)+COUNTIF($A$5:A226,A226))</f>
        <v/>
      </c>
    </row>
    <row r="227">
      <c r="A227" s="64" t="n"/>
      <c r="B227" s="64" t="n"/>
      <c r="C227" s="66" t="n"/>
      <c r="D227" s="66" t="n"/>
      <c r="E227" s="67" t="n"/>
      <c r="F227" s="67" t="n"/>
      <c r="G227" s="67" t="n"/>
      <c r="H227" s="67" t="n"/>
      <c r="I227" s="67" t="n"/>
      <c r="J227" s="67" t="n"/>
      <c r="K227" s="67" t="n"/>
      <c r="L227" s="67" t="n"/>
      <c r="M227" s="64" t="n"/>
      <c r="N227" s="84">
        <f>IF(A227="","",IFERROR(INDEX(Firms!$B$5:$B$1004,MATCH(A227,Firms!$A$5:$A$1004,0)),"Not on Firms tab"))</f>
        <v/>
      </c>
      <c r="O227" s="84">
        <f>IF(A227="","",IF(AND(D227&lt;&gt;"",D227&lt;TODAY()),"Expired",IF(AND(C227&lt;&gt;"",C227&gt;TODAY()),"Not yet effective",IF(C227="","No date",IF(TODAY()&gt;=EDATE(C227,Review_Months),"Review Due","Current")))))</f>
        <v/>
      </c>
      <c r="P227">
        <f>IF(A227="","",A227&amp;"|"&amp;B227)</f>
        <v/>
      </c>
      <c r="Q227">
        <f>IF(AND(A227&lt;&gt;"",A227='Firm Search'!$C$7),COUNTIF($A$5:A227,'Firm Search'!$C$7),"")</f>
        <v/>
      </c>
      <c r="R227">
        <f>IF(A227="","",COUNTIF($A$5:$A$1004,"&lt;"&amp;A227)+COUNTIF($A$5:A227,A227))</f>
        <v/>
      </c>
    </row>
    <row r="228">
      <c r="A228" s="64" t="n"/>
      <c r="B228" s="64" t="n"/>
      <c r="C228" s="66" t="n"/>
      <c r="D228" s="66" t="n"/>
      <c r="E228" s="67" t="n"/>
      <c r="F228" s="67" t="n"/>
      <c r="G228" s="67" t="n"/>
      <c r="H228" s="67" t="n"/>
      <c r="I228" s="67" t="n"/>
      <c r="J228" s="67" t="n"/>
      <c r="K228" s="67" t="n"/>
      <c r="L228" s="67" t="n"/>
      <c r="M228" s="64" t="n"/>
      <c r="N228" s="84">
        <f>IF(A228="","",IFERROR(INDEX(Firms!$B$5:$B$1004,MATCH(A228,Firms!$A$5:$A$1004,0)),"Not on Firms tab"))</f>
        <v/>
      </c>
      <c r="O228" s="84">
        <f>IF(A228="","",IF(AND(D228&lt;&gt;"",D228&lt;TODAY()),"Expired",IF(AND(C228&lt;&gt;"",C228&gt;TODAY()),"Not yet effective",IF(C228="","No date",IF(TODAY()&gt;=EDATE(C228,Review_Months),"Review Due","Current")))))</f>
        <v/>
      </c>
      <c r="P228">
        <f>IF(A228="","",A228&amp;"|"&amp;B228)</f>
        <v/>
      </c>
      <c r="Q228">
        <f>IF(AND(A228&lt;&gt;"",A228='Firm Search'!$C$7),COUNTIF($A$5:A228,'Firm Search'!$C$7),"")</f>
        <v/>
      </c>
      <c r="R228">
        <f>IF(A228="","",COUNTIF($A$5:$A$1004,"&lt;"&amp;A228)+COUNTIF($A$5:A228,A228))</f>
        <v/>
      </c>
    </row>
    <row r="229">
      <c r="A229" s="64" t="n"/>
      <c r="B229" s="64" t="n"/>
      <c r="C229" s="66" t="n"/>
      <c r="D229" s="66" t="n"/>
      <c r="E229" s="67" t="n"/>
      <c r="F229" s="67" t="n"/>
      <c r="G229" s="67" t="n"/>
      <c r="H229" s="67" t="n"/>
      <c r="I229" s="67" t="n"/>
      <c r="J229" s="67" t="n"/>
      <c r="K229" s="67" t="n"/>
      <c r="L229" s="67" t="n"/>
      <c r="M229" s="64" t="n"/>
      <c r="N229" s="84">
        <f>IF(A229="","",IFERROR(INDEX(Firms!$B$5:$B$1004,MATCH(A229,Firms!$A$5:$A$1004,0)),"Not on Firms tab"))</f>
        <v/>
      </c>
      <c r="O229" s="84">
        <f>IF(A229="","",IF(AND(D229&lt;&gt;"",D229&lt;TODAY()),"Expired",IF(AND(C229&lt;&gt;"",C229&gt;TODAY()),"Not yet effective",IF(C229="","No date",IF(TODAY()&gt;=EDATE(C229,Review_Months),"Review Due","Current")))))</f>
        <v/>
      </c>
      <c r="P229">
        <f>IF(A229="","",A229&amp;"|"&amp;B229)</f>
        <v/>
      </c>
      <c r="Q229">
        <f>IF(AND(A229&lt;&gt;"",A229='Firm Search'!$C$7),COUNTIF($A$5:A229,'Firm Search'!$C$7),"")</f>
        <v/>
      </c>
      <c r="R229">
        <f>IF(A229="","",COUNTIF($A$5:$A$1004,"&lt;"&amp;A229)+COUNTIF($A$5:A229,A229))</f>
        <v/>
      </c>
    </row>
    <row r="230">
      <c r="A230" s="64" t="n"/>
      <c r="B230" s="64" t="n"/>
      <c r="C230" s="66" t="n"/>
      <c r="D230" s="66" t="n"/>
      <c r="E230" s="67" t="n"/>
      <c r="F230" s="67" t="n"/>
      <c r="G230" s="67" t="n"/>
      <c r="H230" s="67" t="n"/>
      <c r="I230" s="67" t="n"/>
      <c r="J230" s="67" t="n"/>
      <c r="K230" s="67" t="n"/>
      <c r="L230" s="67" t="n"/>
      <c r="M230" s="64" t="n"/>
      <c r="N230" s="84">
        <f>IF(A230="","",IFERROR(INDEX(Firms!$B$5:$B$1004,MATCH(A230,Firms!$A$5:$A$1004,0)),"Not on Firms tab"))</f>
        <v/>
      </c>
      <c r="O230" s="84">
        <f>IF(A230="","",IF(AND(D230&lt;&gt;"",D230&lt;TODAY()),"Expired",IF(AND(C230&lt;&gt;"",C230&gt;TODAY()),"Not yet effective",IF(C230="","No date",IF(TODAY()&gt;=EDATE(C230,Review_Months),"Review Due","Current")))))</f>
        <v/>
      </c>
      <c r="P230">
        <f>IF(A230="","",A230&amp;"|"&amp;B230)</f>
        <v/>
      </c>
      <c r="Q230">
        <f>IF(AND(A230&lt;&gt;"",A230='Firm Search'!$C$7),COUNTIF($A$5:A230,'Firm Search'!$C$7),"")</f>
        <v/>
      </c>
      <c r="R230">
        <f>IF(A230="","",COUNTIF($A$5:$A$1004,"&lt;"&amp;A230)+COUNTIF($A$5:A230,A230))</f>
        <v/>
      </c>
    </row>
    <row r="231">
      <c r="A231" s="64" t="n"/>
      <c r="B231" s="64" t="n"/>
      <c r="C231" s="66" t="n"/>
      <c r="D231" s="66" t="n"/>
      <c r="E231" s="67" t="n"/>
      <c r="F231" s="67" t="n"/>
      <c r="G231" s="67" t="n"/>
      <c r="H231" s="67" t="n"/>
      <c r="I231" s="67" t="n"/>
      <c r="J231" s="67" t="n"/>
      <c r="K231" s="67" t="n"/>
      <c r="L231" s="67" t="n"/>
      <c r="M231" s="64" t="n"/>
      <c r="N231" s="84">
        <f>IF(A231="","",IFERROR(INDEX(Firms!$B$5:$B$1004,MATCH(A231,Firms!$A$5:$A$1004,0)),"Not on Firms tab"))</f>
        <v/>
      </c>
      <c r="O231" s="84">
        <f>IF(A231="","",IF(AND(D231&lt;&gt;"",D231&lt;TODAY()),"Expired",IF(AND(C231&lt;&gt;"",C231&gt;TODAY()),"Not yet effective",IF(C231="","No date",IF(TODAY()&gt;=EDATE(C231,Review_Months),"Review Due","Current")))))</f>
        <v/>
      </c>
      <c r="P231">
        <f>IF(A231="","",A231&amp;"|"&amp;B231)</f>
        <v/>
      </c>
      <c r="Q231">
        <f>IF(AND(A231&lt;&gt;"",A231='Firm Search'!$C$7),COUNTIF($A$5:A231,'Firm Search'!$C$7),"")</f>
        <v/>
      </c>
      <c r="R231">
        <f>IF(A231="","",COUNTIF($A$5:$A$1004,"&lt;"&amp;A231)+COUNTIF($A$5:A231,A231))</f>
        <v/>
      </c>
    </row>
    <row r="232">
      <c r="A232" s="64" t="n"/>
      <c r="B232" s="64" t="n"/>
      <c r="C232" s="66" t="n"/>
      <c r="D232" s="66" t="n"/>
      <c r="E232" s="67" t="n"/>
      <c r="F232" s="67" t="n"/>
      <c r="G232" s="67" t="n"/>
      <c r="H232" s="67" t="n"/>
      <c r="I232" s="67" t="n"/>
      <c r="J232" s="67" t="n"/>
      <c r="K232" s="67" t="n"/>
      <c r="L232" s="67" t="n"/>
      <c r="M232" s="64" t="n"/>
      <c r="N232" s="84">
        <f>IF(A232="","",IFERROR(INDEX(Firms!$B$5:$B$1004,MATCH(A232,Firms!$A$5:$A$1004,0)),"Not on Firms tab"))</f>
        <v/>
      </c>
      <c r="O232" s="84">
        <f>IF(A232="","",IF(AND(D232&lt;&gt;"",D232&lt;TODAY()),"Expired",IF(AND(C232&lt;&gt;"",C232&gt;TODAY()),"Not yet effective",IF(C232="","No date",IF(TODAY()&gt;=EDATE(C232,Review_Months),"Review Due","Current")))))</f>
        <v/>
      </c>
      <c r="P232">
        <f>IF(A232="","",A232&amp;"|"&amp;B232)</f>
        <v/>
      </c>
      <c r="Q232">
        <f>IF(AND(A232&lt;&gt;"",A232='Firm Search'!$C$7),COUNTIF($A$5:A232,'Firm Search'!$C$7),"")</f>
        <v/>
      </c>
      <c r="R232">
        <f>IF(A232="","",COUNTIF($A$5:$A$1004,"&lt;"&amp;A232)+COUNTIF($A$5:A232,A232))</f>
        <v/>
      </c>
    </row>
    <row r="233">
      <c r="A233" s="64" t="n"/>
      <c r="B233" s="64" t="n"/>
      <c r="C233" s="66" t="n"/>
      <c r="D233" s="66" t="n"/>
      <c r="E233" s="67" t="n"/>
      <c r="F233" s="67" t="n"/>
      <c r="G233" s="67" t="n"/>
      <c r="H233" s="67" t="n"/>
      <c r="I233" s="67" t="n"/>
      <c r="J233" s="67" t="n"/>
      <c r="K233" s="67" t="n"/>
      <c r="L233" s="67" t="n"/>
      <c r="M233" s="64" t="n"/>
      <c r="N233" s="84">
        <f>IF(A233="","",IFERROR(INDEX(Firms!$B$5:$B$1004,MATCH(A233,Firms!$A$5:$A$1004,0)),"Not on Firms tab"))</f>
        <v/>
      </c>
      <c r="O233" s="84">
        <f>IF(A233="","",IF(AND(D233&lt;&gt;"",D233&lt;TODAY()),"Expired",IF(AND(C233&lt;&gt;"",C233&gt;TODAY()),"Not yet effective",IF(C233="","No date",IF(TODAY()&gt;=EDATE(C233,Review_Months),"Review Due","Current")))))</f>
        <v/>
      </c>
      <c r="P233">
        <f>IF(A233="","",A233&amp;"|"&amp;B233)</f>
        <v/>
      </c>
      <c r="Q233">
        <f>IF(AND(A233&lt;&gt;"",A233='Firm Search'!$C$7),COUNTIF($A$5:A233,'Firm Search'!$C$7),"")</f>
        <v/>
      </c>
      <c r="R233">
        <f>IF(A233="","",COUNTIF($A$5:$A$1004,"&lt;"&amp;A233)+COUNTIF($A$5:A233,A233))</f>
        <v/>
      </c>
    </row>
    <row r="234">
      <c r="A234" s="64" t="n"/>
      <c r="B234" s="64" t="n"/>
      <c r="C234" s="66" t="n"/>
      <c r="D234" s="66" t="n"/>
      <c r="E234" s="67" t="n"/>
      <c r="F234" s="67" t="n"/>
      <c r="G234" s="67" t="n"/>
      <c r="H234" s="67" t="n"/>
      <c r="I234" s="67" t="n"/>
      <c r="J234" s="67" t="n"/>
      <c r="K234" s="67" t="n"/>
      <c r="L234" s="67" t="n"/>
      <c r="M234" s="64" t="n"/>
      <c r="N234" s="84">
        <f>IF(A234="","",IFERROR(INDEX(Firms!$B$5:$B$1004,MATCH(A234,Firms!$A$5:$A$1004,0)),"Not on Firms tab"))</f>
        <v/>
      </c>
      <c r="O234" s="84">
        <f>IF(A234="","",IF(AND(D234&lt;&gt;"",D234&lt;TODAY()),"Expired",IF(AND(C234&lt;&gt;"",C234&gt;TODAY()),"Not yet effective",IF(C234="","No date",IF(TODAY()&gt;=EDATE(C234,Review_Months),"Review Due","Current")))))</f>
        <v/>
      </c>
      <c r="P234">
        <f>IF(A234="","",A234&amp;"|"&amp;B234)</f>
        <v/>
      </c>
      <c r="Q234">
        <f>IF(AND(A234&lt;&gt;"",A234='Firm Search'!$C$7),COUNTIF($A$5:A234,'Firm Search'!$C$7),"")</f>
        <v/>
      </c>
      <c r="R234">
        <f>IF(A234="","",COUNTIF($A$5:$A$1004,"&lt;"&amp;A234)+COUNTIF($A$5:A234,A234))</f>
        <v/>
      </c>
    </row>
    <row r="235">
      <c r="A235" s="64" t="n"/>
      <c r="B235" s="64" t="n"/>
      <c r="C235" s="66" t="n"/>
      <c r="D235" s="66" t="n"/>
      <c r="E235" s="67" t="n"/>
      <c r="F235" s="67" t="n"/>
      <c r="G235" s="67" t="n"/>
      <c r="H235" s="67" t="n"/>
      <c r="I235" s="67" t="n"/>
      <c r="J235" s="67" t="n"/>
      <c r="K235" s="67" t="n"/>
      <c r="L235" s="67" t="n"/>
      <c r="M235" s="64" t="n"/>
      <c r="N235" s="84">
        <f>IF(A235="","",IFERROR(INDEX(Firms!$B$5:$B$1004,MATCH(A235,Firms!$A$5:$A$1004,0)),"Not on Firms tab"))</f>
        <v/>
      </c>
      <c r="O235" s="84">
        <f>IF(A235="","",IF(AND(D235&lt;&gt;"",D235&lt;TODAY()),"Expired",IF(AND(C235&lt;&gt;"",C235&gt;TODAY()),"Not yet effective",IF(C235="","No date",IF(TODAY()&gt;=EDATE(C235,Review_Months),"Review Due","Current")))))</f>
        <v/>
      </c>
      <c r="P235">
        <f>IF(A235="","",A235&amp;"|"&amp;B235)</f>
        <v/>
      </c>
      <c r="Q235">
        <f>IF(AND(A235&lt;&gt;"",A235='Firm Search'!$C$7),COUNTIF($A$5:A235,'Firm Search'!$C$7),"")</f>
        <v/>
      </c>
      <c r="R235">
        <f>IF(A235="","",COUNTIF($A$5:$A$1004,"&lt;"&amp;A235)+COUNTIF($A$5:A235,A235))</f>
        <v/>
      </c>
    </row>
    <row r="236">
      <c r="A236" s="64" t="n"/>
      <c r="B236" s="64" t="n"/>
      <c r="C236" s="66" t="n"/>
      <c r="D236" s="66" t="n"/>
      <c r="E236" s="67" t="n"/>
      <c r="F236" s="67" t="n"/>
      <c r="G236" s="67" t="n"/>
      <c r="H236" s="67" t="n"/>
      <c r="I236" s="67" t="n"/>
      <c r="J236" s="67" t="n"/>
      <c r="K236" s="67" t="n"/>
      <c r="L236" s="67" t="n"/>
      <c r="M236" s="64" t="n"/>
      <c r="N236" s="84">
        <f>IF(A236="","",IFERROR(INDEX(Firms!$B$5:$B$1004,MATCH(A236,Firms!$A$5:$A$1004,0)),"Not on Firms tab"))</f>
        <v/>
      </c>
      <c r="O236" s="84">
        <f>IF(A236="","",IF(AND(D236&lt;&gt;"",D236&lt;TODAY()),"Expired",IF(AND(C236&lt;&gt;"",C236&gt;TODAY()),"Not yet effective",IF(C236="","No date",IF(TODAY()&gt;=EDATE(C236,Review_Months),"Review Due","Current")))))</f>
        <v/>
      </c>
      <c r="P236">
        <f>IF(A236="","",A236&amp;"|"&amp;B236)</f>
        <v/>
      </c>
      <c r="Q236">
        <f>IF(AND(A236&lt;&gt;"",A236='Firm Search'!$C$7),COUNTIF($A$5:A236,'Firm Search'!$C$7),"")</f>
        <v/>
      </c>
      <c r="R236">
        <f>IF(A236="","",COUNTIF($A$5:$A$1004,"&lt;"&amp;A236)+COUNTIF($A$5:A236,A236))</f>
        <v/>
      </c>
    </row>
    <row r="237">
      <c r="A237" s="64" t="n"/>
      <c r="B237" s="64" t="n"/>
      <c r="C237" s="66" t="n"/>
      <c r="D237" s="66" t="n"/>
      <c r="E237" s="67" t="n"/>
      <c r="F237" s="67" t="n"/>
      <c r="G237" s="67" t="n"/>
      <c r="H237" s="67" t="n"/>
      <c r="I237" s="67" t="n"/>
      <c r="J237" s="67" t="n"/>
      <c r="K237" s="67" t="n"/>
      <c r="L237" s="67" t="n"/>
      <c r="M237" s="64" t="n"/>
      <c r="N237" s="84">
        <f>IF(A237="","",IFERROR(INDEX(Firms!$B$5:$B$1004,MATCH(A237,Firms!$A$5:$A$1004,0)),"Not on Firms tab"))</f>
        <v/>
      </c>
      <c r="O237" s="84">
        <f>IF(A237="","",IF(AND(D237&lt;&gt;"",D237&lt;TODAY()),"Expired",IF(AND(C237&lt;&gt;"",C237&gt;TODAY()),"Not yet effective",IF(C237="","No date",IF(TODAY()&gt;=EDATE(C237,Review_Months),"Review Due","Current")))))</f>
        <v/>
      </c>
      <c r="P237">
        <f>IF(A237="","",A237&amp;"|"&amp;B237)</f>
        <v/>
      </c>
      <c r="Q237">
        <f>IF(AND(A237&lt;&gt;"",A237='Firm Search'!$C$7),COUNTIF($A$5:A237,'Firm Search'!$C$7),"")</f>
        <v/>
      </c>
      <c r="R237">
        <f>IF(A237="","",COUNTIF($A$5:$A$1004,"&lt;"&amp;A237)+COUNTIF($A$5:A237,A237))</f>
        <v/>
      </c>
    </row>
    <row r="238">
      <c r="A238" s="64" t="n"/>
      <c r="B238" s="64" t="n"/>
      <c r="C238" s="66" t="n"/>
      <c r="D238" s="66" t="n"/>
      <c r="E238" s="67" t="n"/>
      <c r="F238" s="67" t="n"/>
      <c r="G238" s="67" t="n"/>
      <c r="H238" s="67" t="n"/>
      <c r="I238" s="67" t="n"/>
      <c r="J238" s="67" t="n"/>
      <c r="K238" s="67" t="n"/>
      <c r="L238" s="67" t="n"/>
      <c r="M238" s="64" t="n"/>
      <c r="N238" s="84">
        <f>IF(A238="","",IFERROR(INDEX(Firms!$B$5:$B$1004,MATCH(A238,Firms!$A$5:$A$1004,0)),"Not on Firms tab"))</f>
        <v/>
      </c>
      <c r="O238" s="84">
        <f>IF(A238="","",IF(AND(D238&lt;&gt;"",D238&lt;TODAY()),"Expired",IF(AND(C238&lt;&gt;"",C238&gt;TODAY()),"Not yet effective",IF(C238="","No date",IF(TODAY()&gt;=EDATE(C238,Review_Months),"Review Due","Current")))))</f>
        <v/>
      </c>
      <c r="P238">
        <f>IF(A238="","",A238&amp;"|"&amp;B238)</f>
        <v/>
      </c>
      <c r="Q238">
        <f>IF(AND(A238&lt;&gt;"",A238='Firm Search'!$C$7),COUNTIF($A$5:A238,'Firm Search'!$C$7),"")</f>
        <v/>
      </c>
      <c r="R238">
        <f>IF(A238="","",COUNTIF($A$5:$A$1004,"&lt;"&amp;A238)+COUNTIF($A$5:A238,A238))</f>
        <v/>
      </c>
    </row>
    <row r="239">
      <c r="A239" s="64" t="n"/>
      <c r="B239" s="64" t="n"/>
      <c r="C239" s="66" t="n"/>
      <c r="D239" s="66" t="n"/>
      <c r="E239" s="67" t="n"/>
      <c r="F239" s="67" t="n"/>
      <c r="G239" s="67" t="n"/>
      <c r="H239" s="67" t="n"/>
      <c r="I239" s="67" t="n"/>
      <c r="J239" s="67" t="n"/>
      <c r="K239" s="67" t="n"/>
      <c r="L239" s="67" t="n"/>
      <c r="M239" s="64" t="n"/>
      <c r="N239" s="84">
        <f>IF(A239="","",IFERROR(INDEX(Firms!$B$5:$B$1004,MATCH(A239,Firms!$A$5:$A$1004,0)),"Not on Firms tab"))</f>
        <v/>
      </c>
      <c r="O239" s="84">
        <f>IF(A239="","",IF(AND(D239&lt;&gt;"",D239&lt;TODAY()),"Expired",IF(AND(C239&lt;&gt;"",C239&gt;TODAY()),"Not yet effective",IF(C239="","No date",IF(TODAY()&gt;=EDATE(C239,Review_Months),"Review Due","Current")))))</f>
        <v/>
      </c>
      <c r="P239">
        <f>IF(A239="","",A239&amp;"|"&amp;B239)</f>
        <v/>
      </c>
      <c r="Q239">
        <f>IF(AND(A239&lt;&gt;"",A239='Firm Search'!$C$7),COUNTIF($A$5:A239,'Firm Search'!$C$7),"")</f>
        <v/>
      </c>
      <c r="R239">
        <f>IF(A239="","",COUNTIF($A$5:$A$1004,"&lt;"&amp;A239)+COUNTIF($A$5:A239,A239))</f>
        <v/>
      </c>
    </row>
    <row r="240">
      <c r="A240" s="64" t="n"/>
      <c r="B240" s="64" t="n"/>
      <c r="C240" s="66" t="n"/>
      <c r="D240" s="66" t="n"/>
      <c r="E240" s="67" t="n"/>
      <c r="F240" s="67" t="n"/>
      <c r="G240" s="67" t="n"/>
      <c r="H240" s="67" t="n"/>
      <c r="I240" s="67" t="n"/>
      <c r="J240" s="67" t="n"/>
      <c r="K240" s="67" t="n"/>
      <c r="L240" s="67" t="n"/>
      <c r="M240" s="64" t="n"/>
      <c r="N240" s="84">
        <f>IF(A240="","",IFERROR(INDEX(Firms!$B$5:$B$1004,MATCH(A240,Firms!$A$5:$A$1004,0)),"Not on Firms tab"))</f>
        <v/>
      </c>
      <c r="O240" s="84">
        <f>IF(A240="","",IF(AND(D240&lt;&gt;"",D240&lt;TODAY()),"Expired",IF(AND(C240&lt;&gt;"",C240&gt;TODAY()),"Not yet effective",IF(C240="","No date",IF(TODAY()&gt;=EDATE(C240,Review_Months),"Review Due","Current")))))</f>
        <v/>
      </c>
      <c r="P240">
        <f>IF(A240="","",A240&amp;"|"&amp;B240)</f>
        <v/>
      </c>
      <c r="Q240">
        <f>IF(AND(A240&lt;&gt;"",A240='Firm Search'!$C$7),COUNTIF($A$5:A240,'Firm Search'!$C$7),"")</f>
        <v/>
      </c>
      <c r="R240">
        <f>IF(A240="","",COUNTIF($A$5:$A$1004,"&lt;"&amp;A240)+COUNTIF($A$5:A240,A240))</f>
        <v/>
      </c>
    </row>
    <row r="241">
      <c r="A241" s="64" t="n"/>
      <c r="B241" s="64" t="n"/>
      <c r="C241" s="66" t="n"/>
      <c r="D241" s="66" t="n"/>
      <c r="E241" s="67" t="n"/>
      <c r="F241" s="67" t="n"/>
      <c r="G241" s="67" t="n"/>
      <c r="H241" s="67" t="n"/>
      <c r="I241" s="67" t="n"/>
      <c r="J241" s="67" t="n"/>
      <c r="K241" s="67" t="n"/>
      <c r="L241" s="67" t="n"/>
      <c r="M241" s="64" t="n"/>
      <c r="N241" s="84">
        <f>IF(A241="","",IFERROR(INDEX(Firms!$B$5:$B$1004,MATCH(A241,Firms!$A$5:$A$1004,0)),"Not on Firms tab"))</f>
        <v/>
      </c>
      <c r="O241" s="84">
        <f>IF(A241="","",IF(AND(D241&lt;&gt;"",D241&lt;TODAY()),"Expired",IF(AND(C241&lt;&gt;"",C241&gt;TODAY()),"Not yet effective",IF(C241="","No date",IF(TODAY()&gt;=EDATE(C241,Review_Months),"Review Due","Current")))))</f>
        <v/>
      </c>
      <c r="P241">
        <f>IF(A241="","",A241&amp;"|"&amp;B241)</f>
        <v/>
      </c>
      <c r="Q241">
        <f>IF(AND(A241&lt;&gt;"",A241='Firm Search'!$C$7),COUNTIF($A$5:A241,'Firm Search'!$C$7),"")</f>
        <v/>
      </c>
      <c r="R241">
        <f>IF(A241="","",COUNTIF($A$5:$A$1004,"&lt;"&amp;A241)+COUNTIF($A$5:A241,A241))</f>
        <v/>
      </c>
    </row>
    <row r="242">
      <c r="A242" s="64" t="n"/>
      <c r="B242" s="64" t="n"/>
      <c r="C242" s="66" t="n"/>
      <c r="D242" s="66" t="n"/>
      <c r="E242" s="67" t="n"/>
      <c r="F242" s="67" t="n"/>
      <c r="G242" s="67" t="n"/>
      <c r="H242" s="67" t="n"/>
      <c r="I242" s="67" t="n"/>
      <c r="J242" s="67" t="n"/>
      <c r="K242" s="67" t="n"/>
      <c r="L242" s="67" t="n"/>
      <c r="M242" s="64" t="n"/>
      <c r="N242" s="84">
        <f>IF(A242="","",IFERROR(INDEX(Firms!$B$5:$B$1004,MATCH(A242,Firms!$A$5:$A$1004,0)),"Not on Firms tab"))</f>
        <v/>
      </c>
      <c r="O242" s="84">
        <f>IF(A242="","",IF(AND(D242&lt;&gt;"",D242&lt;TODAY()),"Expired",IF(AND(C242&lt;&gt;"",C242&gt;TODAY()),"Not yet effective",IF(C242="","No date",IF(TODAY()&gt;=EDATE(C242,Review_Months),"Review Due","Current")))))</f>
        <v/>
      </c>
      <c r="P242">
        <f>IF(A242="","",A242&amp;"|"&amp;B242)</f>
        <v/>
      </c>
      <c r="Q242">
        <f>IF(AND(A242&lt;&gt;"",A242='Firm Search'!$C$7),COUNTIF($A$5:A242,'Firm Search'!$C$7),"")</f>
        <v/>
      </c>
      <c r="R242">
        <f>IF(A242="","",COUNTIF($A$5:$A$1004,"&lt;"&amp;A242)+COUNTIF($A$5:A242,A242))</f>
        <v/>
      </c>
    </row>
    <row r="243">
      <c r="A243" s="64" t="n"/>
      <c r="B243" s="64" t="n"/>
      <c r="C243" s="66" t="n"/>
      <c r="D243" s="66" t="n"/>
      <c r="E243" s="67" t="n"/>
      <c r="F243" s="67" t="n"/>
      <c r="G243" s="67" t="n"/>
      <c r="H243" s="67" t="n"/>
      <c r="I243" s="67" t="n"/>
      <c r="J243" s="67" t="n"/>
      <c r="K243" s="67" t="n"/>
      <c r="L243" s="67" t="n"/>
      <c r="M243" s="64" t="n"/>
      <c r="N243" s="84">
        <f>IF(A243="","",IFERROR(INDEX(Firms!$B$5:$B$1004,MATCH(A243,Firms!$A$5:$A$1004,0)),"Not on Firms tab"))</f>
        <v/>
      </c>
      <c r="O243" s="84">
        <f>IF(A243="","",IF(AND(D243&lt;&gt;"",D243&lt;TODAY()),"Expired",IF(AND(C243&lt;&gt;"",C243&gt;TODAY()),"Not yet effective",IF(C243="","No date",IF(TODAY()&gt;=EDATE(C243,Review_Months),"Review Due","Current")))))</f>
        <v/>
      </c>
      <c r="P243">
        <f>IF(A243="","",A243&amp;"|"&amp;B243)</f>
        <v/>
      </c>
      <c r="Q243">
        <f>IF(AND(A243&lt;&gt;"",A243='Firm Search'!$C$7),COUNTIF($A$5:A243,'Firm Search'!$C$7),"")</f>
        <v/>
      </c>
      <c r="R243">
        <f>IF(A243="","",COUNTIF($A$5:$A$1004,"&lt;"&amp;A243)+COUNTIF($A$5:A243,A243))</f>
        <v/>
      </c>
    </row>
    <row r="244">
      <c r="A244" s="64" t="n"/>
      <c r="B244" s="64" t="n"/>
      <c r="C244" s="66" t="n"/>
      <c r="D244" s="66" t="n"/>
      <c r="E244" s="67" t="n"/>
      <c r="F244" s="67" t="n"/>
      <c r="G244" s="67" t="n"/>
      <c r="H244" s="67" t="n"/>
      <c r="I244" s="67" t="n"/>
      <c r="J244" s="67" t="n"/>
      <c r="K244" s="67" t="n"/>
      <c r="L244" s="67" t="n"/>
      <c r="M244" s="64" t="n"/>
      <c r="N244" s="84">
        <f>IF(A244="","",IFERROR(INDEX(Firms!$B$5:$B$1004,MATCH(A244,Firms!$A$5:$A$1004,0)),"Not on Firms tab"))</f>
        <v/>
      </c>
      <c r="O244" s="84">
        <f>IF(A244="","",IF(AND(D244&lt;&gt;"",D244&lt;TODAY()),"Expired",IF(AND(C244&lt;&gt;"",C244&gt;TODAY()),"Not yet effective",IF(C244="","No date",IF(TODAY()&gt;=EDATE(C244,Review_Months),"Review Due","Current")))))</f>
        <v/>
      </c>
      <c r="P244">
        <f>IF(A244="","",A244&amp;"|"&amp;B244)</f>
        <v/>
      </c>
      <c r="Q244">
        <f>IF(AND(A244&lt;&gt;"",A244='Firm Search'!$C$7),COUNTIF($A$5:A244,'Firm Search'!$C$7),"")</f>
        <v/>
      </c>
      <c r="R244">
        <f>IF(A244="","",COUNTIF($A$5:$A$1004,"&lt;"&amp;A244)+COUNTIF($A$5:A244,A244))</f>
        <v/>
      </c>
    </row>
    <row r="245">
      <c r="A245" s="64" t="n"/>
      <c r="B245" s="64" t="n"/>
      <c r="C245" s="66" t="n"/>
      <c r="D245" s="66" t="n"/>
      <c r="E245" s="67" t="n"/>
      <c r="F245" s="67" t="n"/>
      <c r="G245" s="67" t="n"/>
      <c r="H245" s="67" t="n"/>
      <c r="I245" s="67" t="n"/>
      <c r="J245" s="67" t="n"/>
      <c r="K245" s="67" t="n"/>
      <c r="L245" s="67" t="n"/>
      <c r="M245" s="64" t="n"/>
      <c r="N245" s="84">
        <f>IF(A245="","",IFERROR(INDEX(Firms!$B$5:$B$1004,MATCH(A245,Firms!$A$5:$A$1004,0)),"Not on Firms tab"))</f>
        <v/>
      </c>
      <c r="O245" s="84">
        <f>IF(A245="","",IF(AND(D245&lt;&gt;"",D245&lt;TODAY()),"Expired",IF(AND(C245&lt;&gt;"",C245&gt;TODAY()),"Not yet effective",IF(C245="","No date",IF(TODAY()&gt;=EDATE(C245,Review_Months),"Review Due","Current")))))</f>
        <v/>
      </c>
      <c r="P245">
        <f>IF(A245="","",A245&amp;"|"&amp;B245)</f>
        <v/>
      </c>
      <c r="Q245">
        <f>IF(AND(A245&lt;&gt;"",A245='Firm Search'!$C$7),COUNTIF($A$5:A245,'Firm Search'!$C$7),"")</f>
        <v/>
      </c>
      <c r="R245">
        <f>IF(A245="","",COUNTIF($A$5:$A$1004,"&lt;"&amp;A245)+COUNTIF($A$5:A245,A245))</f>
        <v/>
      </c>
    </row>
    <row r="246">
      <c r="A246" s="64" t="n"/>
      <c r="B246" s="64" t="n"/>
      <c r="C246" s="66" t="n"/>
      <c r="D246" s="66" t="n"/>
      <c r="E246" s="67" t="n"/>
      <c r="F246" s="67" t="n"/>
      <c r="G246" s="67" t="n"/>
      <c r="H246" s="67" t="n"/>
      <c r="I246" s="67" t="n"/>
      <c r="J246" s="67" t="n"/>
      <c r="K246" s="67" t="n"/>
      <c r="L246" s="67" t="n"/>
      <c r="M246" s="64" t="n"/>
      <c r="N246" s="84">
        <f>IF(A246="","",IFERROR(INDEX(Firms!$B$5:$B$1004,MATCH(A246,Firms!$A$5:$A$1004,0)),"Not on Firms tab"))</f>
        <v/>
      </c>
      <c r="O246" s="84">
        <f>IF(A246="","",IF(AND(D246&lt;&gt;"",D246&lt;TODAY()),"Expired",IF(AND(C246&lt;&gt;"",C246&gt;TODAY()),"Not yet effective",IF(C246="","No date",IF(TODAY()&gt;=EDATE(C246,Review_Months),"Review Due","Current")))))</f>
        <v/>
      </c>
      <c r="P246">
        <f>IF(A246="","",A246&amp;"|"&amp;B246)</f>
        <v/>
      </c>
      <c r="Q246">
        <f>IF(AND(A246&lt;&gt;"",A246='Firm Search'!$C$7),COUNTIF($A$5:A246,'Firm Search'!$C$7),"")</f>
        <v/>
      </c>
      <c r="R246">
        <f>IF(A246="","",COUNTIF($A$5:$A$1004,"&lt;"&amp;A246)+COUNTIF($A$5:A246,A246))</f>
        <v/>
      </c>
    </row>
    <row r="247">
      <c r="A247" s="64" t="n"/>
      <c r="B247" s="64" t="n"/>
      <c r="C247" s="66" t="n"/>
      <c r="D247" s="66" t="n"/>
      <c r="E247" s="67" t="n"/>
      <c r="F247" s="67" t="n"/>
      <c r="G247" s="67" t="n"/>
      <c r="H247" s="67" t="n"/>
      <c r="I247" s="67" t="n"/>
      <c r="J247" s="67" t="n"/>
      <c r="K247" s="67" t="n"/>
      <c r="L247" s="67" t="n"/>
      <c r="M247" s="64" t="n"/>
      <c r="N247" s="84">
        <f>IF(A247="","",IFERROR(INDEX(Firms!$B$5:$B$1004,MATCH(A247,Firms!$A$5:$A$1004,0)),"Not on Firms tab"))</f>
        <v/>
      </c>
      <c r="O247" s="84">
        <f>IF(A247="","",IF(AND(D247&lt;&gt;"",D247&lt;TODAY()),"Expired",IF(AND(C247&lt;&gt;"",C247&gt;TODAY()),"Not yet effective",IF(C247="","No date",IF(TODAY()&gt;=EDATE(C247,Review_Months),"Review Due","Current")))))</f>
        <v/>
      </c>
      <c r="P247">
        <f>IF(A247="","",A247&amp;"|"&amp;B247)</f>
        <v/>
      </c>
      <c r="Q247">
        <f>IF(AND(A247&lt;&gt;"",A247='Firm Search'!$C$7),COUNTIF($A$5:A247,'Firm Search'!$C$7),"")</f>
        <v/>
      </c>
      <c r="R247">
        <f>IF(A247="","",COUNTIF($A$5:$A$1004,"&lt;"&amp;A247)+COUNTIF($A$5:A247,A247))</f>
        <v/>
      </c>
    </row>
    <row r="248">
      <c r="A248" s="64" t="n"/>
      <c r="B248" s="64" t="n"/>
      <c r="C248" s="66" t="n"/>
      <c r="D248" s="66" t="n"/>
      <c r="E248" s="67" t="n"/>
      <c r="F248" s="67" t="n"/>
      <c r="G248" s="67" t="n"/>
      <c r="H248" s="67" t="n"/>
      <c r="I248" s="67" t="n"/>
      <c r="J248" s="67" t="n"/>
      <c r="K248" s="67" t="n"/>
      <c r="L248" s="67" t="n"/>
      <c r="M248" s="64" t="n"/>
      <c r="N248" s="84">
        <f>IF(A248="","",IFERROR(INDEX(Firms!$B$5:$B$1004,MATCH(A248,Firms!$A$5:$A$1004,0)),"Not on Firms tab"))</f>
        <v/>
      </c>
      <c r="O248" s="84">
        <f>IF(A248="","",IF(AND(D248&lt;&gt;"",D248&lt;TODAY()),"Expired",IF(AND(C248&lt;&gt;"",C248&gt;TODAY()),"Not yet effective",IF(C248="","No date",IF(TODAY()&gt;=EDATE(C248,Review_Months),"Review Due","Current")))))</f>
        <v/>
      </c>
      <c r="P248">
        <f>IF(A248="","",A248&amp;"|"&amp;B248)</f>
        <v/>
      </c>
      <c r="Q248">
        <f>IF(AND(A248&lt;&gt;"",A248='Firm Search'!$C$7),COUNTIF($A$5:A248,'Firm Search'!$C$7),"")</f>
        <v/>
      </c>
      <c r="R248">
        <f>IF(A248="","",COUNTIF($A$5:$A$1004,"&lt;"&amp;A248)+COUNTIF($A$5:A248,A248))</f>
        <v/>
      </c>
    </row>
    <row r="249">
      <c r="A249" s="64" t="n"/>
      <c r="B249" s="64" t="n"/>
      <c r="C249" s="66" t="n"/>
      <c r="D249" s="66" t="n"/>
      <c r="E249" s="67" t="n"/>
      <c r="F249" s="67" t="n"/>
      <c r="G249" s="67" t="n"/>
      <c r="H249" s="67" t="n"/>
      <c r="I249" s="67" t="n"/>
      <c r="J249" s="67" t="n"/>
      <c r="K249" s="67" t="n"/>
      <c r="L249" s="67" t="n"/>
      <c r="M249" s="64" t="n"/>
      <c r="N249" s="84">
        <f>IF(A249="","",IFERROR(INDEX(Firms!$B$5:$B$1004,MATCH(A249,Firms!$A$5:$A$1004,0)),"Not on Firms tab"))</f>
        <v/>
      </c>
      <c r="O249" s="84">
        <f>IF(A249="","",IF(AND(D249&lt;&gt;"",D249&lt;TODAY()),"Expired",IF(AND(C249&lt;&gt;"",C249&gt;TODAY()),"Not yet effective",IF(C249="","No date",IF(TODAY()&gt;=EDATE(C249,Review_Months),"Review Due","Current")))))</f>
        <v/>
      </c>
      <c r="P249">
        <f>IF(A249="","",A249&amp;"|"&amp;B249)</f>
        <v/>
      </c>
      <c r="Q249">
        <f>IF(AND(A249&lt;&gt;"",A249='Firm Search'!$C$7),COUNTIF($A$5:A249,'Firm Search'!$C$7),"")</f>
        <v/>
      </c>
      <c r="R249">
        <f>IF(A249="","",COUNTIF($A$5:$A$1004,"&lt;"&amp;A249)+COUNTIF($A$5:A249,A249))</f>
        <v/>
      </c>
    </row>
    <row r="250">
      <c r="A250" s="64" t="n"/>
      <c r="B250" s="64" t="n"/>
      <c r="C250" s="66" t="n"/>
      <c r="D250" s="66" t="n"/>
      <c r="E250" s="67" t="n"/>
      <c r="F250" s="67" t="n"/>
      <c r="G250" s="67" t="n"/>
      <c r="H250" s="67" t="n"/>
      <c r="I250" s="67" t="n"/>
      <c r="J250" s="67" t="n"/>
      <c r="K250" s="67" t="n"/>
      <c r="L250" s="67" t="n"/>
      <c r="M250" s="64" t="n"/>
      <c r="N250" s="84">
        <f>IF(A250="","",IFERROR(INDEX(Firms!$B$5:$B$1004,MATCH(A250,Firms!$A$5:$A$1004,0)),"Not on Firms tab"))</f>
        <v/>
      </c>
      <c r="O250" s="84">
        <f>IF(A250="","",IF(AND(D250&lt;&gt;"",D250&lt;TODAY()),"Expired",IF(AND(C250&lt;&gt;"",C250&gt;TODAY()),"Not yet effective",IF(C250="","No date",IF(TODAY()&gt;=EDATE(C250,Review_Months),"Review Due","Current")))))</f>
        <v/>
      </c>
      <c r="P250">
        <f>IF(A250="","",A250&amp;"|"&amp;B250)</f>
        <v/>
      </c>
      <c r="Q250">
        <f>IF(AND(A250&lt;&gt;"",A250='Firm Search'!$C$7),COUNTIF($A$5:A250,'Firm Search'!$C$7),"")</f>
        <v/>
      </c>
      <c r="R250">
        <f>IF(A250="","",COUNTIF($A$5:$A$1004,"&lt;"&amp;A250)+COUNTIF($A$5:A250,A250))</f>
        <v/>
      </c>
    </row>
    <row r="251">
      <c r="A251" s="64" t="n"/>
      <c r="B251" s="64" t="n"/>
      <c r="C251" s="66" t="n"/>
      <c r="D251" s="66" t="n"/>
      <c r="E251" s="67" t="n"/>
      <c r="F251" s="67" t="n"/>
      <c r="G251" s="67" t="n"/>
      <c r="H251" s="67" t="n"/>
      <c r="I251" s="67" t="n"/>
      <c r="J251" s="67" t="n"/>
      <c r="K251" s="67" t="n"/>
      <c r="L251" s="67" t="n"/>
      <c r="M251" s="64" t="n"/>
      <c r="N251" s="84">
        <f>IF(A251="","",IFERROR(INDEX(Firms!$B$5:$B$1004,MATCH(A251,Firms!$A$5:$A$1004,0)),"Not on Firms tab"))</f>
        <v/>
      </c>
      <c r="O251" s="84">
        <f>IF(A251="","",IF(AND(D251&lt;&gt;"",D251&lt;TODAY()),"Expired",IF(AND(C251&lt;&gt;"",C251&gt;TODAY()),"Not yet effective",IF(C251="","No date",IF(TODAY()&gt;=EDATE(C251,Review_Months),"Review Due","Current")))))</f>
        <v/>
      </c>
      <c r="P251">
        <f>IF(A251="","",A251&amp;"|"&amp;B251)</f>
        <v/>
      </c>
      <c r="Q251">
        <f>IF(AND(A251&lt;&gt;"",A251='Firm Search'!$C$7),COUNTIF($A$5:A251,'Firm Search'!$C$7),"")</f>
        <v/>
      </c>
      <c r="R251">
        <f>IF(A251="","",COUNTIF($A$5:$A$1004,"&lt;"&amp;A251)+COUNTIF($A$5:A251,A251))</f>
        <v/>
      </c>
    </row>
    <row r="252">
      <c r="A252" s="64" t="n"/>
      <c r="B252" s="64" t="n"/>
      <c r="C252" s="66" t="n"/>
      <c r="D252" s="66" t="n"/>
      <c r="E252" s="67" t="n"/>
      <c r="F252" s="67" t="n"/>
      <c r="G252" s="67" t="n"/>
      <c r="H252" s="67" t="n"/>
      <c r="I252" s="67" t="n"/>
      <c r="J252" s="67" t="n"/>
      <c r="K252" s="67" t="n"/>
      <c r="L252" s="67" t="n"/>
      <c r="M252" s="64" t="n"/>
      <c r="N252" s="84">
        <f>IF(A252="","",IFERROR(INDEX(Firms!$B$5:$B$1004,MATCH(A252,Firms!$A$5:$A$1004,0)),"Not on Firms tab"))</f>
        <v/>
      </c>
      <c r="O252" s="84">
        <f>IF(A252="","",IF(AND(D252&lt;&gt;"",D252&lt;TODAY()),"Expired",IF(AND(C252&lt;&gt;"",C252&gt;TODAY()),"Not yet effective",IF(C252="","No date",IF(TODAY()&gt;=EDATE(C252,Review_Months),"Review Due","Current")))))</f>
        <v/>
      </c>
      <c r="P252">
        <f>IF(A252="","",A252&amp;"|"&amp;B252)</f>
        <v/>
      </c>
      <c r="Q252">
        <f>IF(AND(A252&lt;&gt;"",A252='Firm Search'!$C$7),COUNTIF($A$5:A252,'Firm Search'!$C$7),"")</f>
        <v/>
      </c>
      <c r="R252">
        <f>IF(A252="","",COUNTIF($A$5:$A$1004,"&lt;"&amp;A252)+COUNTIF($A$5:A252,A252))</f>
        <v/>
      </c>
    </row>
    <row r="253">
      <c r="A253" s="64" t="n"/>
      <c r="B253" s="64" t="n"/>
      <c r="C253" s="66" t="n"/>
      <c r="D253" s="66" t="n"/>
      <c r="E253" s="67" t="n"/>
      <c r="F253" s="67" t="n"/>
      <c r="G253" s="67" t="n"/>
      <c r="H253" s="67" t="n"/>
      <c r="I253" s="67" t="n"/>
      <c r="J253" s="67" t="n"/>
      <c r="K253" s="67" t="n"/>
      <c r="L253" s="67" t="n"/>
      <c r="M253" s="64" t="n"/>
      <c r="N253" s="84">
        <f>IF(A253="","",IFERROR(INDEX(Firms!$B$5:$B$1004,MATCH(A253,Firms!$A$5:$A$1004,0)),"Not on Firms tab"))</f>
        <v/>
      </c>
      <c r="O253" s="84">
        <f>IF(A253="","",IF(AND(D253&lt;&gt;"",D253&lt;TODAY()),"Expired",IF(AND(C253&lt;&gt;"",C253&gt;TODAY()),"Not yet effective",IF(C253="","No date",IF(TODAY()&gt;=EDATE(C253,Review_Months),"Review Due","Current")))))</f>
        <v/>
      </c>
      <c r="P253">
        <f>IF(A253="","",A253&amp;"|"&amp;B253)</f>
        <v/>
      </c>
      <c r="Q253">
        <f>IF(AND(A253&lt;&gt;"",A253='Firm Search'!$C$7),COUNTIF($A$5:A253,'Firm Search'!$C$7),"")</f>
        <v/>
      </c>
      <c r="R253">
        <f>IF(A253="","",COUNTIF($A$5:$A$1004,"&lt;"&amp;A253)+COUNTIF($A$5:A253,A253))</f>
        <v/>
      </c>
    </row>
    <row r="254">
      <c r="A254" s="64" t="n"/>
      <c r="B254" s="64" t="n"/>
      <c r="C254" s="66" t="n"/>
      <c r="D254" s="66" t="n"/>
      <c r="E254" s="67" t="n"/>
      <c r="F254" s="67" t="n"/>
      <c r="G254" s="67" t="n"/>
      <c r="H254" s="67" t="n"/>
      <c r="I254" s="67" t="n"/>
      <c r="J254" s="67" t="n"/>
      <c r="K254" s="67" t="n"/>
      <c r="L254" s="67" t="n"/>
      <c r="M254" s="64" t="n"/>
      <c r="N254" s="84">
        <f>IF(A254="","",IFERROR(INDEX(Firms!$B$5:$B$1004,MATCH(A254,Firms!$A$5:$A$1004,0)),"Not on Firms tab"))</f>
        <v/>
      </c>
      <c r="O254" s="84">
        <f>IF(A254="","",IF(AND(D254&lt;&gt;"",D254&lt;TODAY()),"Expired",IF(AND(C254&lt;&gt;"",C254&gt;TODAY()),"Not yet effective",IF(C254="","No date",IF(TODAY()&gt;=EDATE(C254,Review_Months),"Review Due","Current")))))</f>
        <v/>
      </c>
      <c r="P254">
        <f>IF(A254="","",A254&amp;"|"&amp;B254)</f>
        <v/>
      </c>
      <c r="Q254">
        <f>IF(AND(A254&lt;&gt;"",A254='Firm Search'!$C$7),COUNTIF($A$5:A254,'Firm Search'!$C$7),"")</f>
        <v/>
      </c>
      <c r="R254">
        <f>IF(A254="","",COUNTIF($A$5:$A$1004,"&lt;"&amp;A254)+COUNTIF($A$5:A254,A254))</f>
        <v/>
      </c>
    </row>
    <row r="255">
      <c r="A255" s="64" t="n"/>
      <c r="B255" s="64" t="n"/>
      <c r="C255" s="66" t="n"/>
      <c r="D255" s="66" t="n"/>
      <c r="E255" s="67" t="n"/>
      <c r="F255" s="67" t="n"/>
      <c r="G255" s="67" t="n"/>
      <c r="H255" s="67" t="n"/>
      <c r="I255" s="67" t="n"/>
      <c r="J255" s="67" t="n"/>
      <c r="K255" s="67" t="n"/>
      <c r="L255" s="67" t="n"/>
      <c r="M255" s="64" t="n"/>
      <c r="N255" s="84">
        <f>IF(A255="","",IFERROR(INDEX(Firms!$B$5:$B$1004,MATCH(A255,Firms!$A$5:$A$1004,0)),"Not on Firms tab"))</f>
        <v/>
      </c>
      <c r="O255" s="84">
        <f>IF(A255="","",IF(AND(D255&lt;&gt;"",D255&lt;TODAY()),"Expired",IF(AND(C255&lt;&gt;"",C255&gt;TODAY()),"Not yet effective",IF(C255="","No date",IF(TODAY()&gt;=EDATE(C255,Review_Months),"Review Due","Current")))))</f>
        <v/>
      </c>
      <c r="P255">
        <f>IF(A255="","",A255&amp;"|"&amp;B255)</f>
        <v/>
      </c>
      <c r="Q255">
        <f>IF(AND(A255&lt;&gt;"",A255='Firm Search'!$C$7),COUNTIF($A$5:A255,'Firm Search'!$C$7),"")</f>
        <v/>
      </c>
      <c r="R255">
        <f>IF(A255="","",COUNTIF($A$5:$A$1004,"&lt;"&amp;A255)+COUNTIF($A$5:A255,A255))</f>
        <v/>
      </c>
    </row>
    <row r="256">
      <c r="A256" s="64" t="n"/>
      <c r="B256" s="64" t="n"/>
      <c r="C256" s="66" t="n"/>
      <c r="D256" s="66" t="n"/>
      <c r="E256" s="67" t="n"/>
      <c r="F256" s="67" t="n"/>
      <c r="G256" s="67" t="n"/>
      <c r="H256" s="67" t="n"/>
      <c r="I256" s="67" t="n"/>
      <c r="J256" s="67" t="n"/>
      <c r="K256" s="67" t="n"/>
      <c r="L256" s="67" t="n"/>
      <c r="M256" s="64" t="n"/>
      <c r="N256" s="84">
        <f>IF(A256="","",IFERROR(INDEX(Firms!$B$5:$B$1004,MATCH(A256,Firms!$A$5:$A$1004,0)),"Not on Firms tab"))</f>
        <v/>
      </c>
      <c r="O256" s="84">
        <f>IF(A256="","",IF(AND(D256&lt;&gt;"",D256&lt;TODAY()),"Expired",IF(AND(C256&lt;&gt;"",C256&gt;TODAY()),"Not yet effective",IF(C256="","No date",IF(TODAY()&gt;=EDATE(C256,Review_Months),"Review Due","Current")))))</f>
        <v/>
      </c>
      <c r="P256">
        <f>IF(A256="","",A256&amp;"|"&amp;B256)</f>
        <v/>
      </c>
      <c r="Q256">
        <f>IF(AND(A256&lt;&gt;"",A256='Firm Search'!$C$7),COUNTIF($A$5:A256,'Firm Search'!$C$7),"")</f>
        <v/>
      </c>
      <c r="R256">
        <f>IF(A256="","",COUNTIF($A$5:$A$1004,"&lt;"&amp;A256)+COUNTIF($A$5:A256,A256))</f>
        <v/>
      </c>
    </row>
    <row r="257">
      <c r="A257" s="64" t="n"/>
      <c r="B257" s="64" t="n"/>
      <c r="C257" s="66" t="n"/>
      <c r="D257" s="66" t="n"/>
      <c r="E257" s="67" t="n"/>
      <c r="F257" s="67" t="n"/>
      <c r="G257" s="67" t="n"/>
      <c r="H257" s="67" t="n"/>
      <c r="I257" s="67" t="n"/>
      <c r="J257" s="67" t="n"/>
      <c r="K257" s="67" t="n"/>
      <c r="L257" s="67" t="n"/>
      <c r="M257" s="64" t="n"/>
      <c r="N257" s="84">
        <f>IF(A257="","",IFERROR(INDEX(Firms!$B$5:$B$1004,MATCH(A257,Firms!$A$5:$A$1004,0)),"Not on Firms tab"))</f>
        <v/>
      </c>
      <c r="O257" s="84">
        <f>IF(A257="","",IF(AND(D257&lt;&gt;"",D257&lt;TODAY()),"Expired",IF(AND(C257&lt;&gt;"",C257&gt;TODAY()),"Not yet effective",IF(C257="","No date",IF(TODAY()&gt;=EDATE(C257,Review_Months),"Review Due","Current")))))</f>
        <v/>
      </c>
      <c r="P257">
        <f>IF(A257="","",A257&amp;"|"&amp;B257)</f>
        <v/>
      </c>
      <c r="Q257">
        <f>IF(AND(A257&lt;&gt;"",A257='Firm Search'!$C$7),COUNTIF($A$5:A257,'Firm Search'!$C$7),"")</f>
        <v/>
      </c>
      <c r="R257">
        <f>IF(A257="","",COUNTIF($A$5:$A$1004,"&lt;"&amp;A257)+COUNTIF($A$5:A257,A257))</f>
        <v/>
      </c>
    </row>
    <row r="258">
      <c r="A258" s="64" t="n"/>
      <c r="B258" s="64" t="n"/>
      <c r="C258" s="66" t="n"/>
      <c r="D258" s="66" t="n"/>
      <c r="E258" s="67" t="n"/>
      <c r="F258" s="67" t="n"/>
      <c r="G258" s="67" t="n"/>
      <c r="H258" s="67" t="n"/>
      <c r="I258" s="67" t="n"/>
      <c r="J258" s="67" t="n"/>
      <c r="K258" s="67" t="n"/>
      <c r="L258" s="67" t="n"/>
      <c r="M258" s="64" t="n"/>
      <c r="N258" s="84">
        <f>IF(A258="","",IFERROR(INDEX(Firms!$B$5:$B$1004,MATCH(A258,Firms!$A$5:$A$1004,0)),"Not on Firms tab"))</f>
        <v/>
      </c>
      <c r="O258" s="84">
        <f>IF(A258="","",IF(AND(D258&lt;&gt;"",D258&lt;TODAY()),"Expired",IF(AND(C258&lt;&gt;"",C258&gt;TODAY()),"Not yet effective",IF(C258="","No date",IF(TODAY()&gt;=EDATE(C258,Review_Months),"Review Due","Current")))))</f>
        <v/>
      </c>
      <c r="P258">
        <f>IF(A258="","",A258&amp;"|"&amp;B258)</f>
        <v/>
      </c>
      <c r="Q258">
        <f>IF(AND(A258&lt;&gt;"",A258='Firm Search'!$C$7),COUNTIF($A$5:A258,'Firm Search'!$C$7),"")</f>
        <v/>
      </c>
      <c r="R258">
        <f>IF(A258="","",COUNTIF($A$5:$A$1004,"&lt;"&amp;A258)+COUNTIF($A$5:A258,A258))</f>
        <v/>
      </c>
    </row>
    <row r="259">
      <c r="A259" s="64" t="n"/>
      <c r="B259" s="64" t="n"/>
      <c r="C259" s="66" t="n"/>
      <c r="D259" s="66" t="n"/>
      <c r="E259" s="67" t="n"/>
      <c r="F259" s="67" t="n"/>
      <c r="G259" s="67" t="n"/>
      <c r="H259" s="67" t="n"/>
      <c r="I259" s="67" t="n"/>
      <c r="J259" s="67" t="n"/>
      <c r="K259" s="67" t="n"/>
      <c r="L259" s="67" t="n"/>
      <c r="M259" s="64" t="n"/>
      <c r="N259" s="84">
        <f>IF(A259="","",IFERROR(INDEX(Firms!$B$5:$B$1004,MATCH(A259,Firms!$A$5:$A$1004,0)),"Not on Firms tab"))</f>
        <v/>
      </c>
      <c r="O259" s="84">
        <f>IF(A259="","",IF(AND(D259&lt;&gt;"",D259&lt;TODAY()),"Expired",IF(AND(C259&lt;&gt;"",C259&gt;TODAY()),"Not yet effective",IF(C259="","No date",IF(TODAY()&gt;=EDATE(C259,Review_Months),"Review Due","Current")))))</f>
        <v/>
      </c>
      <c r="P259">
        <f>IF(A259="","",A259&amp;"|"&amp;B259)</f>
        <v/>
      </c>
      <c r="Q259">
        <f>IF(AND(A259&lt;&gt;"",A259='Firm Search'!$C$7),COUNTIF($A$5:A259,'Firm Search'!$C$7),"")</f>
        <v/>
      </c>
      <c r="R259">
        <f>IF(A259="","",COUNTIF($A$5:$A$1004,"&lt;"&amp;A259)+COUNTIF($A$5:A259,A259))</f>
        <v/>
      </c>
    </row>
    <row r="260">
      <c r="A260" s="64" t="n"/>
      <c r="B260" s="64" t="n"/>
      <c r="C260" s="66" t="n"/>
      <c r="D260" s="66" t="n"/>
      <c r="E260" s="67" t="n"/>
      <c r="F260" s="67" t="n"/>
      <c r="G260" s="67" t="n"/>
      <c r="H260" s="67" t="n"/>
      <c r="I260" s="67" t="n"/>
      <c r="J260" s="67" t="n"/>
      <c r="K260" s="67" t="n"/>
      <c r="L260" s="67" t="n"/>
      <c r="M260" s="64" t="n"/>
      <c r="N260" s="84">
        <f>IF(A260="","",IFERROR(INDEX(Firms!$B$5:$B$1004,MATCH(A260,Firms!$A$5:$A$1004,0)),"Not on Firms tab"))</f>
        <v/>
      </c>
      <c r="O260" s="84">
        <f>IF(A260="","",IF(AND(D260&lt;&gt;"",D260&lt;TODAY()),"Expired",IF(AND(C260&lt;&gt;"",C260&gt;TODAY()),"Not yet effective",IF(C260="","No date",IF(TODAY()&gt;=EDATE(C260,Review_Months),"Review Due","Current")))))</f>
        <v/>
      </c>
      <c r="P260">
        <f>IF(A260="","",A260&amp;"|"&amp;B260)</f>
        <v/>
      </c>
      <c r="Q260">
        <f>IF(AND(A260&lt;&gt;"",A260='Firm Search'!$C$7),COUNTIF($A$5:A260,'Firm Search'!$C$7),"")</f>
        <v/>
      </c>
      <c r="R260">
        <f>IF(A260="","",COUNTIF($A$5:$A$1004,"&lt;"&amp;A260)+COUNTIF($A$5:A260,A260))</f>
        <v/>
      </c>
    </row>
    <row r="261">
      <c r="A261" s="64" t="n"/>
      <c r="B261" s="64" t="n"/>
      <c r="C261" s="66" t="n"/>
      <c r="D261" s="66" t="n"/>
      <c r="E261" s="67" t="n"/>
      <c r="F261" s="67" t="n"/>
      <c r="G261" s="67" t="n"/>
      <c r="H261" s="67" t="n"/>
      <c r="I261" s="67" t="n"/>
      <c r="J261" s="67" t="n"/>
      <c r="K261" s="67" t="n"/>
      <c r="L261" s="67" t="n"/>
      <c r="M261" s="64" t="n"/>
      <c r="N261" s="84">
        <f>IF(A261="","",IFERROR(INDEX(Firms!$B$5:$B$1004,MATCH(A261,Firms!$A$5:$A$1004,0)),"Not on Firms tab"))</f>
        <v/>
      </c>
      <c r="O261" s="84">
        <f>IF(A261="","",IF(AND(D261&lt;&gt;"",D261&lt;TODAY()),"Expired",IF(AND(C261&lt;&gt;"",C261&gt;TODAY()),"Not yet effective",IF(C261="","No date",IF(TODAY()&gt;=EDATE(C261,Review_Months),"Review Due","Current")))))</f>
        <v/>
      </c>
      <c r="P261">
        <f>IF(A261="","",A261&amp;"|"&amp;B261)</f>
        <v/>
      </c>
      <c r="Q261">
        <f>IF(AND(A261&lt;&gt;"",A261='Firm Search'!$C$7),COUNTIF($A$5:A261,'Firm Search'!$C$7),"")</f>
        <v/>
      </c>
      <c r="R261">
        <f>IF(A261="","",COUNTIF($A$5:$A$1004,"&lt;"&amp;A261)+COUNTIF($A$5:A261,A261))</f>
        <v/>
      </c>
    </row>
    <row r="262">
      <c r="A262" s="64" t="n"/>
      <c r="B262" s="64" t="n"/>
      <c r="C262" s="66" t="n"/>
      <c r="D262" s="66" t="n"/>
      <c r="E262" s="67" t="n"/>
      <c r="F262" s="67" t="n"/>
      <c r="G262" s="67" t="n"/>
      <c r="H262" s="67" t="n"/>
      <c r="I262" s="67" t="n"/>
      <c r="J262" s="67" t="n"/>
      <c r="K262" s="67" t="n"/>
      <c r="L262" s="67" t="n"/>
      <c r="M262" s="64" t="n"/>
      <c r="N262" s="84">
        <f>IF(A262="","",IFERROR(INDEX(Firms!$B$5:$B$1004,MATCH(A262,Firms!$A$5:$A$1004,0)),"Not on Firms tab"))</f>
        <v/>
      </c>
      <c r="O262" s="84">
        <f>IF(A262="","",IF(AND(D262&lt;&gt;"",D262&lt;TODAY()),"Expired",IF(AND(C262&lt;&gt;"",C262&gt;TODAY()),"Not yet effective",IF(C262="","No date",IF(TODAY()&gt;=EDATE(C262,Review_Months),"Review Due","Current")))))</f>
        <v/>
      </c>
      <c r="P262">
        <f>IF(A262="","",A262&amp;"|"&amp;B262)</f>
        <v/>
      </c>
      <c r="Q262">
        <f>IF(AND(A262&lt;&gt;"",A262='Firm Search'!$C$7),COUNTIF($A$5:A262,'Firm Search'!$C$7),"")</f>
        <v/>
      </c>
      <c r="R262">
        <f>IF(A262="","",COUNTIF($A$5:$A$1004,"&lt;"&amp;A262)+COUNTIF($A$5:A262,A262))</f>
        <v/>
      </c>
    </row>
    <row r="263">
      <c r="A263" s="64" t="n"/>
      <c r="B263" s="64" t="n"/>
      <c r="C263" s="66" t="n"/>
      <c r="D263" s="66" t="n"/>
      <c r="E263" s="67" t="n"/>
      <c r="F263" s="67" t="n"/>
      <c r="G263" s="67" t="n"/>
      <c r="H263" s="67" t="n"/>
      <c r="I263" s="67" t="n"/>
      <c r="J263" s="67" t="n"/>
      <c r="K263" s="67" t="n"/>
      <c r="L263" s="67" t="n"/>
      <c r="M263" s="64" t="n"/>
      <c r="N263" s="84">
        <f>IF(A263="","",IFERROR(INDEX(Firms!$B$5:$B$1004,MATCH(A263,Firms!$A$5:$A$1004,0)),"Not on Firms tab"))</f>
        <v/>
      </c>
      <c r="O263" s="84">
        <f>IF(A263="","",IF(AND(D263&lt;&gt;"",D263&lt;TODAY()),"Expired",IF(AND(C263&lt;&gt;"",C263&gt;TODAY()),"Not yet effective",IF(C263="","No date",IF(TODAY()&gt;=EDATE(C263,Review_Months),"Review Due","Current")))))</f>
        <v/>
      </c>
      <c r="P263">
        <f>IF(A263="","",A263&amp;"|"&amp;B263)</f>
        <v/>
      </c>
      <c r="Q263">
        <f>IF(AND(A263&lt;&gt;"",A263='Firm Search'!$C$7),COUNTIF($A$5:A263,'Firm Search'!$C$7),"")</f>
        <v/>
      </c>
      <c r="R263">
        <f>IF(A263="","",COUNTIF($A$5:$A$1004,"&lt;"&amp;A263)+COUNTIF($A$5:A263,A263))</f>
        <v/>
      </c>
    </row>
    <row r="264">
      <c r="A264" s="64" t="n"/>
      <c r="B264" s="64" t="n"/>
      <c r="C264" s="66" t="n"/>
      <c r="D264" s="66" t="n"/>
      <c r="E264" s="67" t="n"/>
      <c r="F264" s="67" t="n"/>
      <c r="G264" s="67" t="n"/>
      <c r="H264" s="67" t="n"/>
      <c r="I264" s="67" t="n"/>
      <c r="J264" s="67" t="n"/>
      <c r="K264" s="67" t="n"/>
      <c r="L264" s="67" t="n"/>
      <c r="M264" s="64" t="n"/>
      <c r="N264" s="84">
        <f>IF(A264="","",IFERROR(INDEX(Firms!$B$5:$B$1004,MATCH(A264,Firms!$A$5:$A$1004,0)),"Not on Firms tab"))</f>
        <v/>
      </c>
      <c r="O264" s="84">
        <f>IF(A264="","",IF(AND(D264&lt;&gt;"",D264&lt;TODAY()),"Expired",IF(AND(C264&lt;&gt;"",C264&gt;TODAY()),"Not yet effective",IF(C264="","No date",IF(TODAY()&gt;=EDATE(C264,Review_Months),"Review Due","Current")))))</f>
        <v/>
      </c>
      <c r="P264">
        <f>IF(A264="","",A264&amp;"|"&amp;B264)</f>
        <v/>
      </c>
      <c r="Q264">
        <f>IF(AND(A264&lt;&gt;"",A264='Firm Search'!$C$7),COUNTIF($A$5:A264,'Firm Search'!$C$7),"")</f>
        <v/>
      </c>
      <c r="R264">
        <f>IF(A264="","",COUNTIF($A$5:$A$1004,"&lt;"&amp;A264)+COUNTIF($A$5:A264,A264))</f>
        <v/>
      </c>
    </row>
    <row r="265">
      <c r="A265" s="64" t="n"/>
      <c r="B265" s="64" t="n"/>
      <c r="C265" s="66" t="n"/>
      <c r="D265" s="66" t="n"/>
      <c r="E265" s="67" t="n"/>
      <c r="F265" s="67" t="n"/>
      <c r="G265" s="67" t="n"/>
      <c r="H265" s="67" t="n"/>
      <c r="I265" s="67" t="n"/>
      <c r="J265" s="67" t="n"/>
      <c r="K265" s="67" t="n"/>
      <c r="L265" s="67" t="n"/>
      <c r="M265" s="64" t="n"/>
      <c r="N265" s="84">
        <f>IF(A265="","",IFERROR(INDEX(Firms!$B$5:$B$1004,MATCH(A265,Firms!$A$5:$A$1004,0)),"Not on Firms tab"))</f>
        <v/>
      </c>
      <c r="O265" s="84">
        <f>IF(A265="","",IF(AND(D265&lt;&gt;"",D265&lt;TODAY()),"Expired",IF(AND(C265&lt;&gt;"",C265&gt;TODAY()),"Not yet effective",IF(C265="","No date",IF(TODAY()&gt;=EDATE(C265,Review_Months),"Review Due","Current")))))</f>
        <v/>
      </c>
      <c r="P265">
        <f>IF(A265="","",A265&amp;"|"&amp;B265)</f>
        <v/>
      </c>
      <c r="Q265">
        <f>IF(AND(A265&lt;&gt;"",A265='Firm Search'!$C$7),COUNTIF($A$5:A265,'Firm Search'!$C$7),"")</f>
        <v/>
      </c>
      <c r="R265">
        <f>IF(A265="","",COUNTIF($A$5:$A$1004,"&lt;"&amp;A265)+COUNTIF($A$5:A265,A265))</f>
        <v/>
      </c>
    </row>
    <row r="266">
      <c r="A266" s="64" t="n"/>
      <c r="B266" s="64" t="n"/>
      <c r="C266" s="66" t="n"/>
      <c r="D266" s="66" t="n"/>
      <c r="E266" s="67" t="n"/>
      <c r="F266" s="67" t="n"/>
      <c r="G266" s="67" t="n"/>
      <c r="H266" s="67" t="n"/>
      <c r="I266" s="67" t="n"/>
      <c r="J266" s="67" t="n"/>
      <c r="K266" s="67" t="n"/>
      <c r="L266" s="67" t="n"/>
      <c r="M266" s="64" t="n"/>
      <c r="N266" s="84">
        <f>IF(A266="","",IFERROR(INDEX(Firms!$B$5:$B$1004,MATCH(A266,Firms!$A$5:$A$1004,0)),"Not on Firms tab"))</f>
        <v/>
      </c>
      <c r="O266" s="84">
        <f>IF(A266="","",IF(AND(D266&lt;&gt;"",D266&lt;TODAY()),"Expired",IF(AND(C266&lt;&gt;"",C266&gt;TODAY()),"Not yet effective",IF(C266="","No date",IF(TODAY()&gt;=EDATE(C266,Review_Months),"Review Due","Current")))))</f>
        <v/>
      </c>
      <c r="P266">
        <f>IF(A266="","",A266&amp;"|"&amp;B266)</f>
        <v/>
      </c>
      <c r="Q266">
        <f>IF(AND(A266&lt;&gt;"",A266='Firm Search'!$C$7),COUNTIF($A$5:A266,'Firm Search'!$C$7),"")</f>
        <v/>
      </c>
      <c r="R266">
        <f>IF(A266="","",COUNTIF($A$5:$A$1004,"&lt;"&amp;A266)+COUNTIF($A$5:A266,A266))</f>
        <v/>
      </c>
    </row>
    <row r="267">
      <c r="A267" s="64" t="n"/>
      <c r="B267" s="64" t="n"/>
      <c r="C267" s="66" t="n"/>
      <c r="D267" s="66" t="n"/>
      <c r="E267" s="67" t="n"/>
      <c r="F267" s="67" t="n"/>
      <c r="G267" s="67" t="n"/>
      <c r="H267" s="67" t="n"/>
      <c r="I267" s="67" t="n"/>
      <c r="J267" s="67" t="n"/>
      <c r="K267" s="67" t="n"/>
      <c r="L267" s="67" t="n"/>
      <c r="M267" s="64" t="n"/>
      <c r="N267" s="84">
        <f>IF(A267="","",IFERROR(INDEX(Firms!$B$5:$B$1004,MATCH(A267,Firms!$A$5:$A$1004,0)),"Not on Firms tab"))</f>
        <v/>
      </c>
      <c r="O267" s="84">
        <f>IF(A267="","",IF(AND(D267&lt;&gt;"",D267&lt;TODAY()),"Expired",IF(AND(C267&lt;&gt;"",C267&gt;TODAY()),"Not yet effective",IF(C267="","No date",IF(TODAY()&gt;=EDATE(C267,Review_Months),"Review Due","Current")))))</f>
        <v/>
      </c>
      <c r="P267">
        <f>IF(A267="","",A267&amp;"|"&amp;B267)</f>
        <v/>
      </c>
      <c r="Q267">
        <f>IF(AND(A267&lt;&gt;"",A267='Firm Search'!$C$7),COUNTIF($A$5:A267,'Firm Search'!$C$7),"")</f>
        <v/>
      </c>
      <c r="R267">
        <f>IF(A267="","",COUNTIF($A$5:$A$1004,"&lt;"&amp;A267)+COUNTIF($A$5:A267,A267))</f>
        <v/>
      </c>
    </row>
    <row r="268">
      <c r="A268" s="64" t="n"/>
      <c r="B268" s="64" t="n"/>
      <c r="C268" s="66" t="n"/>
      <c r="D268" s="66" t="n"/>
      <c r="E268" s="67" t="n"/>
      <c r="F268" s="67" t="n"/>
      <c r="G268" s="67" t="n"/>
      <c r="H268" s="67" t="n"/>
      <c r="I268" s="67" t="n"/>
      <c r="J268" s="67" t="n"/>
      <c r="K268" s="67" t="n"/>
      <c r="L268" s="67" t="n"/>
      <c r="M268" s="64" t="n"/>
      <c r="N268" s="84">
        <f>IF(A268="","",IFERROR(INDEX(Firms!$B$5:$B$1004,MATCH(A268,Firms!$A$5:$A$1004,0)),"Not on Firms tab"))</f>
        <v/>
      </c>
      <c r="O268" s="84">
        <f>IF(A268="","",IF(AND(D268&lt;&gt;"",D268&lt;TODAY()),"Expired",IF(AND(C268&lt;&gt;"",C268&gt;TODAY()),"Not yet effective",IF(C268="","No date",IF(TODAY()&gt;=EDATE(C268,Review_Months),"Review Due","Current")))))</f>
        <v/>
      </c>
      <c r="P268">
        <f>IF(A268="","",A268&amp;"|"&amp;B268)</f>
        <v/>
      </c>
      <c r="Q268">
        <f>IF(AND(A268&lt;&gt;"",A268='Firm Search'!$C$7),COUNTIF($A$5:A268,'Firm Search'!$C$7),"")</f>
        <v/>
      </c>
      <c r="R268">
        <f>IF(A268="","",COUNTIF($A$5:$A$1004,"&lt;"&amp;A268)+COUNTIF($A$5:A268,A268))</f>
        <v/>
      </c>
    </row>
    <row r="269">
      <c r="A269" s="64" t="n"/>
      <c r="B269" s="64" t="n"/>
      <c r="C269" s="66" t="n"/>
      <c r="D269" s="66" t="n"/>
      <c r="E269" s="67" t="n"/>
      <c r="F269" s="67" t="n"/>
      <c r="G269" s="67" t="n"/>
      <c r="H269" s="67" t="n"/>
      <c r="I269" s="67" t="n"/>
      <c r="J269" s="67" t="n"/>
      <c r="K269" s="67" t="n"/>
      <c r="L269" s="67" t="n"/>
      <c r="M269" s="64" t="n"/>
      <c r="N269" s="84">
        <f>IF(A269="","",IFERROR(INDEX(Firms!$B$5:$B$1004,MATCH(A269,Firms!$A$5:$A$1004,0)),"Not on Firms tab"))</f>
        <v/>
      </c>
      <c r="O269" s="84">
        <f>IF(A269="","",IF(AND(D269&lt;&gt;"",D269&lt;TODAY()),"Expired",IF(AND(C269&lt;&gt;"",C269&gt;TODAY()),"Not yet effective",IF(C269="","No date",IF(TODAY()&gt;=EDATE(C269,Review_Months),"Review Due","Current")))))</f>
        <v/>
      </c>
      <c r="P269">
        <f>IF(A269="","",A269&amp;"|"&amp;B269)</f>
        <v/>
      </c>
      <c r="Q269">
        <f>IF(AND(A269&lt;&gt;"",A269='Firm Search'!$C$7),COUNTIF($A$5:A269,'Firm Search'!$C$7),"")</f>
        <v/>
      </c>
      <c r="R269">
        <f>IF(A269="","",COUNTIF($A$5:$A$1004,"&lt;"&amp;A269)+COUNTIF($A$5:A269,A269))</f>
        <v/>
      </c>
    </row>
    <row r="270">
      <c r="A270" s="64" t="n"/>
      <c r="B270" s="64" t="n"/>
      <c r="C270" s="66" t="n"/>
      <c r="D270" s="66" t="n"/>
      <c r="E270" s="67" t="n"/>
      <c r="F270" s="67" t="n"/>
      <c r="G270" s="67" t="n"/>
      <c r="H270" s="67" t="n"/>
      <c r="I270" s="67" t="n"/>
      <c r="J270" s="67" t="n"/>
      <c r="K270" s="67" t="n"/>
      <c r="L270" s="67" t="n"/>
      <c r="M270" s="64" t="n"/>
      <c r="N270" s="84">
        <f>IF(A270="","",IFERROR(INDEX(Firms!$B$5:$B$1004,MATCH(A270,Firms!$A$5:$A$1004,0)),"Not on Firms tab"))</f>
        <v/>
      </c>
      <c r="O270" s="84">
        <f>IF(A270="","",IF(AND(D270&lt;&gt;"",D270&lt;TODAY()),"Expired",IF(AND(C270&lt;&gt;"",C270&gt;TODAY()),"Not yet effective",IF(C270="","No date",IF(TODAY()&gt;=EDATE(C270,Review_Months),"Review Due","Current")))))</f>
        <v/>
      </c>
      <c r="P270">
        <f>IF(A270="","",A270&amp;"|"&amp;B270)</f>
        <v/>
      </c>
      <c r="Q270">
        <f>IF(AND(A270&lt;&gt;"",A270='Firm Search'!$C$7),COUNTIF($A$5:A270,'Firm Search'!$C$7),"")</f>
        <v/>
      </c>
      <c r="R270">
        <f>IF(A270="","",COUNTIF($A$5:$A$1004,"&lt;"&amp;A270)+COUNTIF($A$5:A270,A270))</f>
        <v/>
      </c>
    </row>
    <row r="271">
      <c r="A271" s="64" t="n"/>
      <c r="B271" s="64" t="n"/>
      <c r="C271" s="66" t="n"/>
      <c r="D271" s="66" t="n"/>
      <c r="E271" s="67" t="n"/>
      <c r="F271" s="67" t="n"/>
      <c r="G271" s="67" t="n"/>
      <c r="H271" s="67" t="n"/>
      <c r="I271" s="67" t="n"/>
      <c r="J271" s="67" t="n"/>
      <c r="K271" s="67" t="n"/>
      <c r="L271" s="67" t="n"/>
      <c r="M271" s="64" t="n"/>
      <c r="N271" s="84">
        <f>IF(A271="","",IFERROR(INDEX(Firms!$B$5:$B$1004,MATCH(A271,Firms!$A$5:$A$1004,0)),"Not on Firms tab"))</f>
        <v/>
      </c>
      <c r="O271" s="84">
        <f>IF(A271="","",IF(AND(D271&lt;&gt;"",D271&lt;TODAY()),"Expired",IF(AND(C271&lt;&gt;"",C271&gt;TODAY()),"Not yet effective",IF(C271="","No date",IF(TODAY()&gt;=EDATE(C271,Review_Months),"Review Due","Current")))))</f>
        <v/>
      </c>
      <c r="P271">
        <f>IF(A271="","",A271&amp;"|"&amp;B271)</f>
        <v/>
      </c>
      <c r="Q271">
        <f>IF(AND(A271&lt;&gt;"",A271='Firm Search'!$C$7),COUNTIF($A$5:A271,'Firm Search'!$C$7),"")</f>
        <v/>
      </c>
      <c r="R271">
        <f>IF(A271="","",COUNTIF($A$5:$A$1004,"&lt;"&amp;A271)+COUNTIF($A$5:A271,A271))</f>
        <v/>
      </c>
    </row>
    <row r="272">
      <c r="A272" s="64" t="n"/>
      <c r="B272" s="64" t="n"/>
      <c r="C272" s="66" t="n"/>
      <c r="D272" s="66" t="n"/>
      <c r="E272" s="67" t="n"/>
      <c r="F272" s="67" t="n"/>
      <c r="G272" s="67" t="n"/>
      <c r="H272" s="67" t="n"/>
      <c r="I272" s="67" t="n"/>
      <c r="J272" s="67" t="n"/>
      <c r="K272" s="67" t="n"/>
      <c r="L272" s="67" t="n"/>
      <c r="M272" s="64" t="n"/>
      <c r="N272" s="84">
        <f>IF(A272="","",IFERROR(INDEX(Firms!$B$5:$B$1004,MATCH(A272,Firms!$A$5:$A$1004,0)),"Not on Firms tab"))</f>
        <v/>
      </c>
      <c r="O272" s="84">
        <f>IF(A272="","",IF(AND(D272&lt;&gt;"",D272&lt;TODAY()),"Expired",IF(AND(C272&lt;&gt;"",C272&gt;TODAY()),"Not yet effective",IF(C272="","No date",IF(TODAY()&gt;=EDATE(C272,Review_Months),"Review Due","Current")))))</f>
        <v/>
      </c>
      <c r="P272">
        <f>IF(A272="","",A272&amp;"|"&amp;B272)</f>
        <v/>
      </c>
      <c r="Q272">
        <f>IF(AND(A272&lt;&gt;"",A272='Firm Search'!$C$7),COUNTIF($A$5:A272,'Firm Search'!$C$7),"")</f>
        <v/>
      </c>
      <c r="R272">
        <f>IF(A272="","",COUNTIF($A$5:$A$1004,"&lt;"&amp;A272)+COUNTIF($A$5:A272,A272))</f>
        <v/>
      </c>
    </row>
    <row r="273">
      <c r="A273" s="64" t="n"/>
      <c r="B273" s="64" t="n"/>
      <c r="C273" s="66" t="n"/>
      <c r="D273" s="66" t="n"/>
      <c r="E273" s="67" t="n"/>
      <c r="F273" s="67" t="n"/>
      <c r="G273" s="67" t="n"/>
      <c r="H273" s="67" t="n"/>
      <c r="I273" s="67" t="n"/>
      <c r="J273" s="67" t="n"/>
      <c r="K273" s="67" t="n"/>
      <c r="L273" s="67" t="n"/>
      <c r="M273" s="64" t="n"/>
      <c r="N273" s="84">
        <f>IF(A273="","",IFERROR(INDEX(Firms!$B$5:$B$1004,MATCH(A273,Firms!$A$5:$A$1004,0)),"Not on Firms tab"))</f>
        <v/>
      </c>
      <c r="O273" s="84">
        <f>IF(A273="","",IF(AND(D273&lt;&gt;"",D273&lt;TODAY()),"Expired",IF(AND(C273&lt;&gt;"",C273&gt;TODAY()),"Not yet effective",IF(C273="","No date",IF(TODAY()&gt;=EDATE(C273,Review_Months),"Review Due","Current")))))</f>
        <v/>
      </c>
      <c r="P273">
        <f>IF(A273="","",A273&amp;"|"&amp;B273)</f>
        <v/>
      </c>
      <c r="Q273">
        <f>IF(AND(A273&lt;&gt;"",A273='Firm Search'!$C$7),COUNTIF($A$5:A273,'Firm Search'!$C$7),"")</f>
        <v/>
      </c>
      <c r="R273">
        <f>IF(A273="","",COUNTIF($A$5:$A$1004,"&lt;"&amp;A273)+COUNTIF($A$5:A273,A273))</f>
        <v/>
      </c>
    </row>
    <row r="274">
      <c r="A274" s="64" t="n"/>
      <c r="B274" s="64" t="n"/>
      <c r="C274" s="66" t="n"/>
      <c r="D274" s="66" t="n"/>
      <c r="E274" s="67" t="n"/>
      <c r="F274" s="67" t="n"/>
      <c r="G274" s="67" t="n"/>
      <c r="H274" s="67" t="n"/>
      <c r="I274" s="67" t="n"/>
      <c r="J274" s="67" t="n"/>
      <c r="K274" s="67" t="n"/>
      <c r="L274" s="67" t="n"/>
      <c r="M274" s="64" t="n"/>
      <c r="N274" s="84">
        <f>IF(A274="","",IFERROR(INDEX(Firms!$B$5:$B$1004,MATCH(A274,Firms!$A$5:$A$1004,0)),"Not on Firms tab"))</f>
        <v/>
      </c>
      <c r="O274" s="84">
        <f>IF(A274="","",IF(AND(D274&lt;&gt;"",D274&lt;TODAY()),"Expired",IF(AND(C274&lt;&gt;"",C274&gt;TODAY()),"Not yet effective",IF(C274="","No date",IF(TODAY()&gt;=EDATE(C274,Review_Months),"Review Due","Current")))))</f>
        <v/>
      </c>
      <c r="P274">
        <f>IF(A274="","",A274&amp;"|"&amp;B274)</f>
        <v/>
      </c>
      <c r="Q274">
        <f>IF(AND(A274&lt;&gt;"",A274='Firm Search'!$C$7),COUNTIF($A$5:A274,'Firm Search'!$C$7),"")</f>
        <v/>
      </c>
      <c r="R274">
        <f>IF(A274="","",COUNTIF($A$5:$A$1004,"&lt;"&amp;A274)+COUNTIF($A$5:A274,A274))</f>
        <v/>
      </c>
    </row>
    <row r="275">
      <c r="A275" s="64" t="n"/>
      <c r="B275" s="64" t="n"/>
      <c r="C275" s="66" t="n"/>
      <c r="D275" s="66" t="n"/>
      <c r="E275" s="67" t="n"/>
      <c r="F275" s="67" t="n"/>
      <c r="G275" s="67" t="n"/>
      <c r="H275" s="67" t="n"/>
      <c r="I275" s="67" t="n"/>
      <c r="J275" s="67" t="n"/>
      <c r="K275" s="67" t="n"/>
      <c r="L275" s="67" t="n"/>
      <c r="M275" s="64" t="n"/>
      <c r="N275" s="84">
        <f>IF(A275="","",IFERROR(INDEX(Firms!$B$5:$B$1004,MATCH(A275,Firms!$A$5:$A$1004,0)),"Not on Firms tab"))</f>
        <v/>
      </c>
      <c r="O275" s="84">
        <f>IF(A275="","",IF(AND(D275&lt;&gt;"",D275&lt;TODAY()),"Expired",IF(AND(C275&lt;&gt;"",C275&gt;TODAY()),"Not yet effective",IF(C275="","No date",IF(TODAY()&gt;=EDATE(C275,Review_Months),"Review Due","Current")))))</f>
        <v/>
      </c>
      <c r="P275">
        <f>IF(A275="","",A275&amp;"|"&amp;B275)</f>
        <v/>
      </c>
      <c r="Q275">
        <f>IF(AND(A275&lt;&gt;"",A275='Firm Search'!$C$7),COUNTIF($A$5:A275,'Firm Search'!$C$7),"")</f>
        <v/>
      </c>
      <c r="R275">
        <f>IF(A275="","",COUNTIF($A$5:$A$1004,"&lt;"&amp;A275)+COUNTIF($A$5:A275,A275))</f>
        <v/>
      </c>
    </row>
    <row r="276">
      <c r="A276" s="64" t="n"/>
      <c r="B276" s="64" t="n"/>
      <c r="C276" s="66" t="n"/>
      <c r="D276" s="66" t="n"/>
      <c r="E276" s="67" t="n"/>
      <c r="F276" s="67" t="n"/>
      <c r="G276" s="67" t="n"/>
      <c r="H276" s="67" t="n"/>
      <c r="I276" s="67" t="n"/>
      <c r="J276" s="67" t="n"/>
      <c r="K276" s="67" t="n"/>
      <c r="L276" s="67" t="n"/>
      <c r="M276" s="64" t="n"/>
      <c r="N276" s="84">
        <f>IF(A276="","",IFERROR(INDEX(Firms!$B$5:$B$1004,MATCH(A276,Firms!$A$5:$A$1004,0)),"Not on Firms tab"))</f>
        <v/>
      </c>
      <c r="O276" s="84">
        <f>IF(A276="","",IF(AND(D276&lt;&gt;"",D276&lt;TODAY()),"Expired",IF(AND(C276&lt;&gt;"",C276&gt;TODAY()),"Not yet effective",IF(C276="","No date",IF(TODAY()&gt;=EDATE(C276,Review_Months),"Review Due","Current")))))</f>
        <v/>
      </c>
      <c r="P276">
        <f>IF(A276="","",A276&amp;"|"&amp;B276)</f>
        <v/>
      </c>
      <c r="Q276">
        <f>IF(AND(A276&lt;&gt;"",A276='Firm Search'!$C$7),COUNTIF($A$5:A276,'Firm Search'!$C$7),"")</f>
        <v/>
      </c>
      <c r="R276">
        <f>IF(A276="","",COUNTIF($A$5:$A$1004,"&lt;"&amp;A276)+COUNTIF($A$5:A276,A276))</f>
        <v/>
      </c>
    </row>
    <row r="277">
      <c r="A277" s="64" t="n"/>
      <c r="B277" s="64" t="n"/>
      <c r="C277" s="66" t="n"/>
      <c r="D277" s="66" t="n"/>
      <c r="E277" s="67" t="n"/>
      <c r="F277" s="67" t="n"/>
      <c r="G277" s="67" t="n"/>
      <c r="H277" s="67" t="n"/>
      <c r="I277" s="67" t="n"/>
      <c r="J277" s="67" t="n"/>
      <c r="K277" s="67" t="n"/>
      <c r="L277" s="67" t="n"/>
      <c r="M277" s="64" t="n"/>
      <c r="N277" s="84">
        <f>IF(A277="","",IFERROR(INDEX(Firms!$B$5:$B$1004,MATCH(A277,Firms!$A$5:$A$1004,0)),"Not on Firms tab"))</f>
        <v/>
      </c>
      <c r="O277" s="84">
        <f>IF(A277="","",IF(AND(D277&lt;&gt;"",D277&lt;TODAY()),"Expired",IF(AND(C277&lt;&gt;"",C277&gt;TODAY()),"Not yet effective",IF(C277="","No date",IF(TODAY()&gt;=EDATE(C277,Review_Months),"Review Due","Current")))))</f>
        <v/>
      </c>
      <c r="P277">
        <f>IF(A277="","",A277&amp;"|"&amp;B277)</f>
        <v/>
      </c>
      <c r="Q277">
        <f>IF(AND(A277&lt;&gt;"",A277='Firm Search'!$C$7),COUNTIF($A$5:A277,'Firm Search'!$C$7),"")</f>
        <v/>
      </c>
      <c r="R277">
        <f>IF(A277="","",COUNTIF($A$5:$A$1004,"&lt;"&amp;A277)+COUNTIF($A$5:A277,A277))</f>
        <v/>
      </c>
    </row>
    <row r="278">
      <c r="A278" s="64" t="n"/>
      <c r="B278" s="64" t="n"/>
      <c r="C278" s="66" t="n"/>
      <c r="D278" s="66" t="n"/>
      <c r="E278" s="67" t="n"/>
      <c r="F278" s="67" t="n"/>
      <c r="G278" s="67" t="n"/>
      <c r="H278" s="67" t="n"/>
      <c r="I278" s="67" t="n"/>
      <c r="J278" s="67" t="n"/>
      <c r="K278" s="67" t="n"/>
      <c r="L278" s="67" t="n"/>
      <c r="M278" s="64" t="n"/>
      <c r="N278" s="84">
        <f>IF(A278="","",IFERROR(INDEX(Firms!$B$5:$B$1004,MATCH(A278,Firms!$A$5:$A$1004,0)),"Not on Firms tab"))</f>
        <v/>
      </c>
      <c r="O278" s="84">
        <f>IF(A278="","",IF(AND(D278&lt;&gt;"",D278&lt;TODAY()),"Expired",IF(AND(C278&lt;&gt;"",C278&gt;TODAY()),"Not yet effective",IF(C278="","No date",IF(TODAY()&gt;=EDATE(C278,Review_Months),"Review Due","Current")))))</f>
        <v/>
      </c>
      <c r="P278">
        <f>IF(A278="","",A278&amp;"|"&amp;B278)</f>
        <v/>
      </c>
      <c r="Q278">
        <f>IF(AND(A278&lt;&gt;"",A278='Firm Search'!$C$7),COUNTIF($A$5:A278,'Firm Search'!$C$7),"")</f>
        <v/>
      </c>
      <c r="R278">
        <f>IF(A278="","",COUNTIF($A$5:$A$1004,"&lt;"&amp;A278)+COUNTIF($A$5:A278,A278))</f>
        <v/>
      </c>
    </row>
    <row r="279">
      <c r="A279" s="64" t="n"/>
      <c r="B279" s="64" t="n"/>
      <c r="C279" s="66" t="n"/>
      <c r="D279" s="66" t="n"/>
      <c r="E279" s="67" t="n"/>
      <c r="F279" s="67" t="n"/>
      <c r="G279" s="67" t="n"/>
      <c r="H279" s="67" t="n"/>
      <c r="I279" s="67" t="n"/>
      <c r="J279" s="67" t="n"/>
      <c r="K279" s="67" t="n"/>
      <c r="L279" s="67" t="n"/>
      <c r="M279" s="64" t="n"/>
      <c r="N279" s="84">
        <f>IF(A279="","",IFERROR(INDEX(Firms!$B$5:$B$1004,MATCH(A279,Firms!$A$5:$A$1004,0)),"Not on Firms tab"))</f>
        <v/>
      </c>
      <c r="O279" s="84">
        <f>IF(A279="","",IF(AND(D279&lt;&gt;"",D279&lt;TODAY()),"Expired",IF(AND(C279&lt;&gt;"",C279&gt;TODAY()),"Not yet effective",IF(C279="","No date",IF(TODAY()&gt;=EDATE(C279,Review_Months),"Review Due","Current")))))</f>
        <v/>
      </c>
      <c r="P279">
        <f>IF(A279="","",A279&amp;"|"&amp;B279)</f>
        <v/>
      </c>
      <c r="Q279">
        <f>IF(AND(A279&lt;&gt;"",A279='Firm Search'!$C$7),COUNTIF($A$5:A279,'Firm Search'!$C$7),"")</f>
        <v/>
      </c>
      <c r="R279">
        <f>IF(A279="","",COUNTIF($A$5:$A$1004,"&lt;"&amp;A279)+COUNTIF($A$5:A279,A279))</f>
        <v/>
      </c>
    </row>
    <row r="280">
      <c r="A280" s="64" t="n"/>
      <c r="B280" s="64" t="n"/>
      <c r="C280" s="66" t="n"/>
      <c r="D280" s="66" t="n"/>
      <c r="E280" s="67" t="n"/>
      <c r="F280" s="67" t="n"/>
      <c r="G280" s="67" t="n"/>
      <c r="H280" s="67" t="n"/>
      <c r="I280" s="67" t="n"/>
      <c r="J280" s="67" t="n"/>
      <c r="K280" s="67" t="n"/>
      <c r="L280" s="67" t="n"/>
      <c r="M280" s="64" t="n"/>
      <c r="N280" s="84">
        <f>IF(A280="","",IFERROR(INDEX(Firms!$B$5:$B$1004,MATCH(A280,Firms!$A$5:$A$1004,0)),"Not on Firms tab"))</f>
        <v/>
      </c>
      <c r="O280" s="84">
        <f>IF(A280="","",IF(AND(D280&lt;&gt;"",D280&lt;TODAY()),"Expired",IF(AND(C280&lt;&gt;"",C280&gt;TODAY()),"Not yet effective",IF(C280="","No date",IF(TODAY()&gt;=EDATE(C280,Review_Months),"Review Due","Current")))))</f>
        <v/>
      </c>
      <c r="P280">
        <f>IF(A280="","",A280&amp;"|"&amp;B280)</f>
        <v/>
      </c>
      <c r="Q280">
        <f>IF(AND(A280&lt;&gt;"",A280='Firm Search'!$C$7),COUNTIF($A$5:A280,'Firm Search'!$C$7),"")</f>
        <v/>
      </c>
      <c r="R280">
        <f>IF(A280="","",COUNTIF($A$5:$A$1004,"&lt;"&amp;A280)+COUNTIF($A$5:A280,A280))</f>
        <v/>
      </c>
    </row>
    <row r="281">
      <c r="A281" s="64" t="n"/>
      <c r="B281" s="64" t="n"/>
      <c r="C281" s="66" t="n"/>
      <c r="D281" s="66" t="n"/>
      <c r="E281" s="67" t="n"/>
      <c r="F281" s="67" t="n"/>
      <c r="G281" s="67" t="n"/>
      <c r="H281" s="67" t="n"/>
      <c r="I281" s="67" t="n"/>
      <c r="J281" s="67" t="n"/>
      <c r="K281" s="67" t="n"/>
      <c r="L281" s="67" t="n"/>
      <c r="M281" s="64" t="n"/>
      <c r="N281" s="84">
        <f>IF(A281="","",IFERROR(INDEX(Firms!$B$5:$B$1004,MATCH(A281,Firms!$A$5:$A$1004,0)),"Not on Firms tab"))</f>
        <v/>
      </c>
      <c r="O281" s="84">
        <f>IF(A281="","",IF(AND(D281&lt;&gt;"",D281&lt;TODAY()),"Expired",IF(AND(C281&lt;&gt;"",C281&gt;TODAY()),"Not yet effective",IF(C281="","No date",IF(TODAY()&gt;=EDATE(C281,Review_Months),"Review Due","Current")))))</f>
        <v/>
      </c>
      <c r="P281">
        <f>IF(A281="","",A281&amp;"|"&amp;B281)</f>
        <v/>
      </c>
      <c r="Q281">
        <f>IF(AND(A281&lt;&gt;"",A281='Firm Search'!$C$7),COUNTIF($A$5:A281,'Firm Search'!$C$7),"")</f>
        <v/>
      </c>
      <c r="R281">
        <f>IF(A281="","",COUNTIF($A$5:$A$1004,"&lt;"&amp;A281)+COUNTIF($A$5:A281,A281))</f>
        <v/>
      </c>
    </row>
    <row r="282">
      <c r="A282" s="64" t="n"/>
      <c r="B282" s="64" t="n"/>
      <c r="C282" s="66" t="n"/>
      <c r="D282" s="66" t="n"/>
      <c r="E282" s="67" t="n"/>
      <c r="F282" s="67" t="n"/>
      <c r="G282" s="67" t="n"/>
      <c r="H282" s="67" t="n"/>
      <c r="I282" s="67" t="n"/>
      <c r="J282" s="67" t="n"/>
      <c r="K282" s="67" t="n"/>
      <c r="L282" s="67" t="n"/>
      <c r="M282" s="64" t="n"/>
      <c r="N282" s="84">
        <f>IF(A282="","",IFERROR(INDEX(Firms!$B$5:$B$1004,MATCH(A282,Firms!$A$5:$A$1004,0)),"Not on Firms tab"))</f>
        <v/>
      </c>
      <c r="O282" s="84">
        <f>IF(A282="","",IF(AND(D282&lt;&gt;"",D282&lt;TODAY()),"Expired",IF(AND(C282&lt;&gt;"",C282&gt;TODAY()),"Not yet effective",IF(C282="","No date",IF(TODAY()&gt;=EDATE(C282,Review_Months),"Review Due","Current")))))</f>
        <v/>
      </c>
      <c r="P282">
        <f>IF(A282="","",A282&amp;"|"&amp;B282)</f>
        <v/>
      </c>
      <c r="Q282">
        <f>IF(AND(A282&lt;&gt;"",A282='Firm Search'!$C$7),COUNTIF($A$5:A282,'Firm Search'!$C$7),"")</f>
        <v/>
      </c>
      <c r="R282">
        <f>IF(A282="","",COUNTIF($A$5:$A$1004,"&lt;"&amp;A282)+COUNTIF($A$5:A282,A282))</f>
        <v/>
      </c>
    </row>
    <row r="283">
      <c r="A283" s="64" t="n"/>
      <c r="B283" s="64" t="n"/>
      <c r="C283" s="66" t="n"/>
      <c r="D283" s="66" t="n"/>
      <c r="E283" s="67" t="n"/>
      <c r="F283" s="67" t="n"/>
      <c r="G283" s="67" t="n"/>
      <c r="H283" s="67" t="n"/>
      <c r="I283" s="67" t="n"/>
      <c r="J283" s="67" t="n"/>
      <c r="K283" s="67" t="n"/>
      <c r="L283" s="67" t="n"/>
      <c r="M283" s="64" t="n"/>
      <c r="N283" s="84">
        <f>IF(A283="","",IFERROR(INDEX(Firms!$B$5:$B$1004,MATCH(A283,Firms!$A$5:$A$1004,0)),"Not on Firms tab"))</f>
        <v/>
      </c>
      <c r="O283" s="84">
        <f>IF(A283="","",IF(AND(D283&lt;&gt;"",D283&lt;TODAY()),"Expired",IF(AND(C283&lt;&gt;"",C283&gt;TODAY()),"Not yet effective",IF(C283="","No date",IF(TODAY()&gt;=EDATE(C283,Review_Months),"Review Due","Current")))))</f>
        <v/>
      </c>
      <c r="P283">
        <f>IF(A283="","",A283&amp;"|"&amp;B283)</f>
        <v/>
      </c>
      <c r="Q283">
        <f>IF(AND(A283&lt;&gt;"",A283='Firm Search'!$C$7),COUNTIF($A$5:A283,'Firm Search'!$C$7),"")</f>
        <v/>
      </c>
      <c r="R283">
        <f>IF(A283="","",COUNTIF($A$5:$A$1004,"&lt;"&amp;A283)+COUNTIF($A$5:A283,A283))</f>
        <v/>
      </c>
    </row>
    <row r="284">
      <c r="A284" s="64" t="n"/>
      <c r="B284" s="64" t="n"/>
      <c r="C284" s="66" t="n"/>
      <c r="D284" s="66" t="n"/>
      <c r="E284" s="67" t="n"/>
      <c r="F284" s="67" t="n"/>
      <c r="G284" s="67" t="n"/>
      <c r="H284" s="67" t="n"/>
      <c r="I284" s="67" t="n"/>
      <c r="J284" s="67" t="n"/>
      <c r="K284" s="67" t="n"/>
      <c r="L284" s="67" t="n"/>
      <c r="M284" s="64" t="n"/>
      <c r="N284" s="84">
        <f>IF(A284="","",IFERROR(INDEX(Firms!$B$5:$B$1004,MATCH(A284,Firms!$A$5:$A$1004,0)),"Not on Firms tab"))</f>
        <v/>
      </c>
      <c r="O284" s="84">
        <f>IF(A284="","",IF(AND(D284&lt;&gt;"",D284&lt;TODAY()),"Expired",IF(AND(C284&lt;&gt;"",C284&gt;TODAY()),"Not yet effective",IF(C284="","No date",IF(TODAY()&gt;=EDATE(C284,Review_Months),"Review Due","Current")))))</f>
        <v/>
      </c>
      <c r="P284">
        <f>IF(A284="","",A284&amp;"|"&amp;B284)</f>
        <v/>
      </c>
      <c r="Q284">
        <f>IF(AND(A284&lt;&gt;"",A284='Firm Search'!$C$7),COUNTIF($A$5:A284,'Firm Search'!$C$7),"")</f>
        <v/>
      </c>
      <c r="R284">
        <f>IF(A284="","",COUNTIF($A$5:$A$1004,"&lt;"&amp;A284)+COUNTIF($A$5:A284,A284))</f>
        <v/>
      </c>
    </row>
    <row r="285">
      <c r="A285" s="64" t="n"/>
      <c r="B285" s="64" t="n"/>
      <c r="C285" s="66" t="n"/>
      <c r="D285" s="66" t="n"/>
      <c r="E285" s="67" t="n"/>
      <c r="F285" s="67" t="n"/>
      <c r="G285" s="67" t="n"/>
      <c r="H285" s="67" t="n"/>
      <c r="I285" s="67" t="n"/>
      <c r="J285" s="67" t="n"/>
      <c r="K285" s="67" t="n"/>
      <c r="L285" s="67" t="n"/>
      <c r="M285" s="64" t="n"/>
      <c r="N285" s="84">
        <f>IF(A285="","",IFERROR(INDEX(Firms!$B$5:$B$1004,MATCH(A285,Firms!$A$5:$A$1004,0)),"Not on Firms tab"))</f>
        <v/>
      </c>
      <c r="O285" s="84">
        <f>IF(A285="","",IF(AND(D285&lt;&gt;"",D285&lt;TODAY()),"Expired",IF(AND(C285&lt;&gt;"",C285&gt;TODAY()),"Not yet effective",IF(C285="","No date",IF(TODAY()&gt;=EDATE(C285,Review_Months),"Review Due","Current")))))</f>
        <v/>
      </c>
      <c r="P285">
        <f>IF(A285="","",A285&amp;"|"&amp;B285)</f>
        <v/>
      </c>
      <c r="Q285">
        <f>IF(AND(A285&lt;&gt;"",A285='Firm Search'!$C$7),COUNTIF($A$5:A285,'Firm Search'!$C$7),"")</f>
        <v/>
      </c>
      <c r="R285">
        <f>IF(A285="","",COUNTIF($A$5:$A$1004,"&lt;"&amp;A285)+COUNTIF($A$5:A285,A285))</f>
        <v/>
      </c>
    </row>
    <row r="286">
      <c r="A286" s="64" t="n"/>
      <c r="B286" s="64" t="n"/>
      <c r="C286" s="66" t="n"/>
      <c r="D286" s="66" t="n"/>
      <c r="E286" s="67" t="n"/>
      <c r="F286" s="67" t="n"/>
      <c r="G286" s="67" t="n"/>
      <c r="H286" s="67" t="n"/>
      <c r="I286" s="67" t="n"/>
      <c r="J286" s="67" t="n"/>
      <c r="K286" s="67" t="n"/>
      <c r="L286" s="67" t="n"/>
      <c r="M286" s="64" t="n"/>
      <c r="N286" s="84">
        <f>IF(A286="","",IFERROR(INDEX(Firms!$B$5:$B$1004,MATCH(A286,Firms!$A$5:$A$1004,0)),"Not on Firms tab"))</f>
        <v/>
      </c>
      <c r="O286" s="84">
        <f>IF(A286="","",IF(AND(D286&lt;&gt;"",D286&lt;TODAY()),"Expired",IF(AND(C286&lt;&gt;"",C286&gt;TODAY()),"Not yet effective",IF(C286="","No date",IF(TODAY()&gt;=EDATE(C286,Review_Months),"Review Due","Current")))))</f>
        <v/>
      </c>
      <c r="P286">
        <f>IF(A286="","",A286&amp;"|"&amp;B286)</f>
        <v/>
      </c>
      <c r="Q286">
        <f>IF(AND(A286&lt;&gt;"",A286='Firm Search'!$C$7),COUNTIF($A$5:A286,'Firm Search'!$C$7),"")</f>
        <v/>
      </c>
      <c r="R286">
        <f>IF(A286="","",COUNTIF($A$5:$A$1004,"&lt;"&amp;A286)+COUNTIF($A$5:A286,A286))</f>
        <v/>
      </c>
    </row>
    <row r="287">
      <c r="A287" s="64" t="n"/>
      <c r="B287" s="64" t="n"/>
      <c r="C287" s="66" t="n"/>
      <c r="D287" s="66" t="n"/>
      <c r="E287" s="67" t="n"/>
      <c r="F287" s="67" t="n"/>
      <c r="G287" s="67" t="n"/>
      <c r="H287" s="67" t="n"/>
      <c r="I287" s="67" t="n"/>
      <c r="J287" s="67" t="n"/>
      <c r="K287" s="67" t="n"/>
      <c r="L287" s="67" t="n"/>
      <c r="M287" s="64" t="n"/>
      <c r="N287" s="84">
        <f>IF(A287="","",IFERROR(INDEX(Firms!$B$5:$B$1004,MATCH(A287,Firms!$A$5:$A$1004,0)),"Not on Firms tab"))</f>
        <v/>
      </c>
      <c r="O287" s="84">
        <f>IF(A287="","",IF(AND(D287&lt;&gt;"",D287&lt;TODAY()),"Expired",IF(AND(C287&lt;&gt;"",C287&gt;TODAY()),"Not yet effective",IF(C287="","No date",IF(TODAY()&gt;=EDATE(C287,Review_Months),"Review Due","Current")))))</f>
        <v/>
      </c>
      <c r="P287">
        <f>IF(A287="","",A287&amp;"|"&amp;B287)</f>
        <v/>
      </c>
      <c r="Q287">
        <f>IF(AND(A287&lt;&gt;"",A287='Firm Search'!$C$7),COUNTIF($A$5:A287,'Firm Search'!$C$7),"")</f>
        <v/>
      </c>
      <c r="R287">
        <f>IF(A287="","",COUNTIF($A$5:$A$1004,"&lt;"&amp;A287)+COUNTIF($A$5:A287,A287))</f>
        <v/>
      </c>
    </row>
    <row r="288">
      <c r="A288" s="64" t="n"/>
      <c r="B288" s="64" t="n"/>
      <c r="C288" s="66" t="n"/>
      <c r="D288" s="66" t="n"/>
      <c r="E288" s="67" t="n"/>
      <c r="F288" s="67" t="n"/>
      <c r="G288" s="67" t="n"/>
      <c r="H288" s="67" t="n"/>
      <c r="I288" s="67" t="n"/>
      <c r="J288" s="67" t="n"/>
      <c r="K288" s="67" t="n"/>
      <c r="L288" s="67" t="n"/>
      <c r="M288" s="64" t="n"/>
      <c r="N288" s="84">
        <f>IF(A288="","",IFERROR(INDEX(Firms!$B$5:$B$1004,MATCH(A288,Firms!$A$5:$A$1004,0)),"Not on Firms tab"))</f>
        <v/>
      </c>
      <c r="O288" s="84">
        <f>IF(A288="","",IF(AND(D288&lt;&gt;"",D288&lt;TODAY()),"Expired",IF(AND(C288&lt;&gt;"",C288&gt;TODAY()),"Not yet effective",IF(C288="","No date",IF(TODAY()&gt;=EDATE(C288,Review_Months),"Review Due","Current")))))</f>
        <v/>
      </c>
      <c r="P288">
        <f>IF(A288="","",A288&amp;"|"&amp;B288)</f>
        <v/>
      </c>
      <c r="Q288">
        <f>IF(AND(A288&lt;&gt;"",A288='Firm Search'!$C$7),COUNTIF($A$5:A288,'Firm Search'!$C$7),"")</f>
        <v/>
      </c>
      <c r="R288">
        <f>IF(A288="","",COUNTIF($A$5:$A$1004,"&lt;"&amp;A288)+COUNTIF($A$5:A288,A288))</f>
        <v/>
      </c>
    </row>
    <row r="289">
      <c r="A289" s="64" t="n"/>
      <c r="B289" s="64" t="n"/>
      <c r="C289" s="66" t="n"/>
      <c r="D289" s="66" t="n"/>
      <c r="E289" s="67" t="n"/>
      <c r="F289" s="67" t="n"/>
      <c r="G289" s="67" t="n"/>
      <c r="H289" s="67" t="n"/>
      <c r="I289" s="67" t="n"/>
      <c r="J289" s="67" t="n"/>
      <c r="K289" s="67" t="n"/>
      <c r="L289" s="67" t="n"/>
      <c r="M289" s="64" t="n"/>
      <c r="N289" s="84">
        <f>IF(A289="","",IFERROR(INDEX(Firms!$B$5:$B$1004,MATCH(A289,Firms!$A$5:$A$1004,0)),"Not on Firms tab"))</f>
        <v/>
      </c>
      <c r="O289" s="84">
        <f>IF(A289="","",IF(AND(D289&lt;&gt;"",D289&lt;TODAY()),"Expired",IF(AND(C289&lt;&gt;"",C289&gt;TODAY()),"Not yet effective",IF(C289="","No date",IF(TODAY()&gt;=EDATE(C289,Review_Months),"Review Due","Current")))))</f>
        <v/>
      </c>
      <c r="P289">
        <f>IF(A289="","",A289&amp;"|"&amp;B289)</f>
        <v/>
      </c>
      <c r="Q289">
        <f>IF(AND(A289&lt;&gt;"",A289='Firm Search'!$C$7),COUNTIF($A$5:A289,'Firm Search'!$C$7),"")</f>
        <v/>
      </c>
      <c r="R289">
        <f>IF(A289="","",COUNTIF($A$5:$A$1004,"&lt;"&amp;A289)+COUNTIF($A$5:A289,A289))</f>
        <v/>
      </c>
    </row>
    <row r="290">
      <c r="A290" s="64" t="n"/>
      <c r="B290" s="64" t="n"/>
      <c r="C290" s="66" t="n"/>
      <c r="D290" s="66" t="n"/>
      <c r="E290" s="67" t="n"/>
      <c r="F290" s="67" t="n"/>
      <c r="G290" s="67" t="n"/>
      <c r="H290" s="67" t="n"/>
      <c r="I290" s="67" t="n"/>
      <c r="J290" s="67" t="n"/>
      <c r="K290" s="67" t="n"/>
      <c r="L290" s="67" t="n"/>
      <c r="M290" s="64" t="n"/>
      <c r="N290" s="84">
        <f>IF(A290="","",IFERROR(INDEX(Firms!$B$5:$B$1004,MATCH(A290,Firms!$A$5:$A$1004,0)),"Not on Firms tab"))</f>
        <v/>
      </c>
      <c r="O290" s="84">
        <f>IF(A290="","",IF(AND(D290&lt;&gt;"",D290&lt;TODAY()),"Expired",IF(AND(C290&lt;&gt;"",C290&gt;TODAY()),"Not yet effective",IF(C290="","No date",IF(TODAY()&gt;=EDATE(C290,Review_Months),"Review Due","Current")))))</f>
        <v/>
      </c>
      <c r="P290">
        <f>IF(A290="","",A290&amp;"|"&amp;B290)</f>
        <v/>
      </c>
      <c r="Q290">
        <f>IF(AND(A290&lt;&gt;"",A290='Firm Search'!$C$7),COUNTIF($A$5:A290,'Firm Search'!$C$7),"")</f>
        <v/>
      </c>
      <c r="R290">
        <f>IF(A290="","",COUNTIF($A$5:$A$1004,"&lt;"&amp;A290)+COUNTIF($A$5:A290,A290))</f>
        <v/>
      </c>
    </row>
    <row r="291">
      <c r="A291" s="64" t="n"/>
      <c r="B291" s="64" t="n"/>
      <c r="C291" s="66" t="n"/>
      <c r="D291" s="66" t="n"/>
      <c r="E291" s="67" t="n"/>
      <c r="F291" s="67" t="n"/>
      <c r="G291" s="67" t="n"/>
      <c r="H291" s="67" t="n"/>
      <c r="I291" s="67" t="n"/>
      <c r="J291" s="67" t="n"/>
      <c r="K291" s="67" t="n"/>
      <c r="L291" s="67" t="n"/>
      <c r="M291" s="64" t="n"/>
      <c r="N291" s="84">
        <f>IF(A291="","",IFERROR(INDEX(Firms!$B$5:$B$1004,MATCH(A291,Firms!$A$5:$A$1004,0)),"Not on Firms tab"))</f>
        <v/>
      </c>
      <c r="O291" s="84">
        <f>IF(A291="","",IF(AND(D291&lt;&gt;"",D291&lt;TODAY()),"Expired",IF(AND(C291&lt;&gt;"",C291&gt;TODAY()),"Not yet effective",IF(C291="","No date",IF(TODAY()&gt;=EDATE(C291,Review_Months),"Review Due","Current")))))</f>
        <v/>
      </c>
      <c r="P291">
        <f>IF(A291="","",A291&amp;"|"&amp;B291)</f>
        <v/>
      </c>
      <c r="Q291">
        <f>IF(AND(A291&lt;&gt;"",A291='Firm Search'!$C$7),COUNTIF($A$5:A291,'Firm Search'!$C$7),"")</f>
        <v/>
      </c>
      <c r="R291">
        <f>IF(A291="","",COUNTIF($A$5:$A$1004,"&lt;"&amp;A291)+COUNTIF($A$5:A291,A291))</f>
        <v/>
      </c>
    </row>
    <row r="292">
      <c r="A292" s="64" t="n"/>
      <c r="B292" s="64" t="n"/>
      <c r="C292" s="66" t="n"/>
      <c r="D292" s="66" t="n"/>
      <c r="E292" s="67" t="n"/>
      <c r="F292" s="67" t="n"/>
      <c r="G292" s="67" t="n"/>
      <c r="H292" s="67" t="n"/>
      <c r="I292" s="67" t="n"/>
      <c r="J292" s="67" t="n"/>
      <c r="K292" s="67" t="n"/>
      <c r="L292" s="67" t="n"/>
      <c r="M292" s="64" t="n"/>
      <c r="N292" s="84">
        <f>IF(A292="","",IFERROR(INDEX(Firms!$B$5:$B$1004,MATCH(A292,Firms!$A$5:$A$1004,0)),"Not on Firms tab"))</f>
        <v/>
      </c>
      <c r="O292" s="84">
        <f>IF(A292="","",IF(AND(D292&lt;&gt;"",D292&lt;TODAY()),"Expired",IF(AND(C292&lt;&gt;"",C292&gt;TODAY()),"Not yet effective",IF(C292="","No date",IF(TODAY()&gt;=EDATE(C292,Review_Months),"Review Due","Current")))))</f>
        <v/>
      </c>
      <c r="P292">
        <f>IF(A292="","",A292&amp;"|"&amp;B292)</f>
        <v/>
      </c>
      <c r="Q292">
        <f>IF(AND(A292&lt;&gt;"",A292='Firm Search'!$C$7),COUNTIF($A$5:A292,'Firm Search'!$C$7),"")</f>
        <v/>
      </c>
      <c r="R292">
        <f>IF(A292="","",COUNTIF($A$5:$A$1004,"&lt;"&amp;A292)+COUNTIF($A$5:A292,A292))</f>
        <v/>
      </c>
    </row>
    <row r="293">
      <c r="A293" s="64" t="n"/>
      <c r="B293" s="64" t="n"/>
      <c r="C293" s="66" t="n"/>
      <c r="D293" s="66" t="n"/>
      <c r="E293" s="67" t="n"/>
      <c r="F293" s="67" t="n"/>
      <c r="G293" s="67" t="n"/>
      <c r="H293" s="67" t="n"/>
      <c r="I293" s="67" t="n"/>
      <c r="J293" s="67" t="n"/>
      <c r="K293" s="67" t="n"/>
      <c r="L293" s="67" t="n"/>
      <c r="M293" s="64" t="n"/>
      <c r="N293" s="84">
        <f>IF(A293="","",IFERROR(INDEX(Firms!$B$5:$B$1004,MATCH(A293,Firms!$A$5:$A$1004,0)),"Not on Firms tab"))</f>
        <v/>
      </c>
      <c r="O293" s="84">
        <f>IF(A293="","",IF(AND(D293&lt;&gt;"",D293&lt;TODAY()),"Expired",IF(AND(C293&lt;&gt;"",C293&gt;TODAY()),"Not yet effective",IF(C293="","No date",IF(TODAY()&gt;=EDATE(C293,Review_Months),"Review Due","Current")))))</f>
        <v/>
      </c>
      <c r="P293">
        <f>IF(A293="","",A293&amp;"|"&amp;B293)</f>
        <v/>
      </c>
      <c r="Q293">
        <f>IF(AND(A293&lt;&gt;"",A293='Firm Search'!$C$7),COUNTIF($A$5:A293,'Firm Search'!$C$7),"")</f>
        <v/>
      </c>
      <c r="R293">
        <f>IF(A293="","",COUNTIF($A$5:$A$1004,"&lt;"&amp;A293)+COUNTIF($A$5:A293,A293))</f>
        <v/>
      </c>
    </row>
    <row r="294">
      <c r="A294" s="64" t="n"/>
      <c r="B294" s="64" t="n"/>
      <c r="C294" s="66" t="n"/>
      <c r="D294" s="66" t="n"/>
      <c r="E294" s="67" t="n"/>
      <c r="F294" s="67" t="n"/>
      <c r="G294" s="67" t="n"/>
      <c r="H294" s="67" t="n"/>
      <c r="I294" s="67" t="n"/>
      <c r="J294" s="67" t="n"/>
      <c r="K294" s="67" t="n"/>
      <c r="L294" s="67" t="n"/>
      <c r="M294" s="64" t="n"/>
      <c r="N294" s="84">
        <f>IF(A294="","",IFERROR(INDEX(Firms!$B$5:$B$1004,MATCH(A294,Firms!$A$5:$A$1004,0)),"Not on Firms tab"))</f>
        <v/>
      </c>
      <c r="O294" s="84">
        <f>IF(A294="","",IF(AND(D294&lt;&gt;"",D294&lt;TODAY()),"Expired",IF(AND(C294&lt;&gt;"",C294&gt;TODAY()),"Not yet effective",IF(C294="","No date",IF(TODAY()&gt;=EDATE(C294,Review_Months),"Review Due","Current")))))</f>
        <v/>
      </c>
      <c r="P294">
        <f>IF(A294="","",A294&amp;"|"&amp;B294)</f>
        <v/>
      </c>
      <c r="Q294">
        <f>IF(AND(A294&lt;&gt;"",A294='Firm Search'!$C$7),COUNTIF($A$5:A294,'Firm Search'!$C$7),"")</f>
        <v/>
      </c>
      <c r="R294">
        <f>IF(A294="","",COUNTIF($A$5:$A$1004,"&lt;"&amp;A294)+COUNTIF($A$5:A294,A294))</f>
        <v/>
      </c>
    </row>
    <row r="295">
      <c r="A295" s="64" t="n"/>
      <c r="B295" s="64" t="n"/>
      <c r="C295" s="66" t="n"/>
      <c r="D295" s="66" t="n"/>
      <c r="E295" s="67" t="n"/>
      <c r="F295" s="67" t="n"/>
      <c r="G295" s="67" t="n"/>
      <c r="H295" s="67" t="n"/>
      <c r="I295" s="67" t="n"/>
      <c r="J295" s="67" t="n"/>
      <c r="K295" s="67" t="n"/>
      <c r="L295" s="67" t="n"/>
      <c r="M295" s="64" t="n"/>
      <c r="N295" s="84">
        <f>IF(A295="","",IFERROR(INDEX(Firms!$B$5:$B$1004,MATCH(A295,Firms!$A$5:$A$1004,0)),"Not on Firms tab"))</f>
        <v/>
      </c>
      <c r="O295" s="84">
        <f>IF(A295="","",IF(AND(D295&lt;&gt;"",D295&lt;TODAY()),"Expired",IF(AND(C295&lt;&gt;"",C295&gt;TODAY()),"Not yet effective",IF(C295="","No date",IF(TODAY()&gt;=EDATE(C295,Review_Months),"Review Due","Current")))))</f>
        <v/>
      </c>
      <c r="P295">
        <f>IF(A295="","",A295&amp;"|"&amp;B295)</f>
        <v/>
      </c>
      <c r="Q295">
        <f>IF(AND(A295&lt;&gt;"",A295='Firm Search'!$C$7),COUNTIF($A$5:A295,'Firm Search'!$C$7),"")</f>
        <v/>
      </c>
      <c r="R295">
        <f>IF(A295="","",COUNTIF($A$5:$A$1004,"&lt;"&amp;A295)+COUNTIF($A$5:A295,A295))</f>
        <v/>
      </c>
    </row>
    <row r="296">
      <c r="A296" s="64" t="n"/>
      <c r="B296" s="64" t="n"/>
      <c r="C296" s="66" t="n"/>
      <c r="D296" s="66" t="n"/>
      <c r="E296" s="67" t="n"/>
      <c r="F296" s="67" t="n"/>
      <c r="G296" s="67" t="n"/>
      <c r="H296" s="67" t="n"/>
      <c r="I296" s="67" t="n"/>
      <c r="J296" s="67" t="n"/>
      <c r="K296" s="67" t="n"/>
      <c r="L296" s="67" t="n"/>
      <c r="M296" s="64" t="n"/>
      <c r="N296" s="84">
        <f>IF(A296="","",IFERROR(INDEX(Firms!$B$5:$B$1004,MATCH(A296,Firms!$A$5:$A$1004,0)),"Not on Firms tab"))</f>
        <v/>
      </c>
      <c r="O296" s="84">
        <f>IF(A296="","",IF(AND(D296&lt;&gt;"",D296&lt;TODAY()),"Expired",IF(AND(C296&lt;&gt;"",C296&gt;TODAY()),"Not yet effective",IF(C296="","No date",IF(TODAY()&gt;=EDATE(C296,Review_Months),"Review Due","Current")))))</f>
        <v/>
      </c>
      <c r="P296">
        <f>IF(A296="","",A296&amp;"|"&amp;B296)</f>
        <v/>
      </c>
      <c r="Q296">
        <f>IF(AND(A296&lt;&gt;"",A296='Firm Search'!$C$7),COUNTIF($A$5:A296,'Firm Search'!$C$7),"")</f>
        <v/>
      </c>
      <c r="R296">
        <f>IF(A296="","",COUNTIF($A$5:$A$1004,"&lt;"&amp;A296)+COUNTIF($A$5:A296,A296))</f>
        <v/>
      </c>
    </row>
    <row r="297">
      <c r="A297" s="64" t="n"/>
      <c r="B297" s="64" t="n"/>
      <c r="C297" s="66" t="n"/>
      <c r="D297" s="66" t="n"/>
      <c r="E297" s="67" t="n"/>
      <c r="F297" s="67" t="n"/>
      <c r="G297" s="67" t="n"/>
      <c r="H297" s="67" t="n"/>
      <c r="I297" s="67" t="n"/>
      <c r="J297" s="67" t="n"/>
      <c r="K297" s="67" t="n"/>
      <c r="L297" s="67" t="n"/>
      <c r="M297" s="64" t="n"/>
      <c r="N297" s="84">
        <f>IF(A297="","",IFERROR(INDEX(Firms!$B$5:$B$1004,MATCH(A297,Firms!$A$5:$A$1004,0)),"Not on Firms tab"))</f>
        <v/>
      </c>
      <c r="O297" s="84">
        <f>IF(A297="","",IF(AND(D297&lt;&gt;"",D297&lt;TODAY()),"Expired",IF(AND(C297&lt;&gt;"",C297&gt;TODAY()),"Not yet effective",IF(C297="","No date",IF(TODAY()&gt;=EDATE(C297,Review_Months),"Review Due","Current")))))</f>
        <v/>
      </c>
      <c r="P297">
        <f>IF(A297="","",A297&amp;"|"&amp;B297)</f>
        <v/>
      </c>
      <c r="Q297">
        <f>IF(AND(A297&lt;&gt;"",A297='Firm Search'!$C$7),COUNTIF($A$5:A297,'Firm Search'!$C$7),"")</f>
        <v/>
      </c>
      <c r="R297">
        <f>IF(A297="","",COUNTIF($A$5:$A$1004,"&lt;"&amp;A297)+COUNTIF($A$5:A297,A297))</f>
        <v/>
      </c>
    </row>
    <row r="298">
      <c r="A298" s="64" t="n"/>
      <c r="B298" s="64" t="n"/>
      <c r="C298" s="66" t="n"/>
      <c r="D298" s="66" t="n"/>
      <c r="E298" s="67" t="n"/>
      <c r="F298" s="67" t="n"/>
      <c r="G298" s="67" t="n"/>
      <c r="H298" s="67" t="n"/>
      <c r="I298" s="67" t="n"/>
      <c r="J298" s="67" t="n"/>
      <c r="K298" s="67" t="n"/>
      <c r="L298" s="67" t="n"/>
      <c r="M298" s="64" t="n"/>
      <c r="N298" s="84">
        <f>IF(A298="","",IFERROR(INDEX(Firms!$B$5:$B$1004,MATCH(A298,Firms!$A$5:$A$1004,0)),"Not on Firms tab"))</f>
        <v/>
      </c>
      <c r="O298" s="84">
        <f>IF(A298="","",IF(AND(D298&lt;&gt;"",D298&lt;TODAY()),"Expired",IF(AND(C298&lt;&gt;"",C298&gt;TODAY()),"Not yet effective",IF(C298="","No date",IF(TODAY()&gt;=EDATE(C298,Review_Months),"Review Due","Current")))))</f>
        <v/>
      </c>
      <c r="P298">
        <f>IF(A298="","",A298&amp;"|"&amp;B298)</f>
        <v/>
      </c>
      <c r="Q298">
        <f>IF(AND(A298&lt;&gt;"",A298='Firm Search'!$C$7),COUNTIF($A$5:A298,'Firm Search'!$C$7),"")</f>
        <v/>
      </c>
      <c r="R298">
        <f>IF(A298="","",COUNTIF($A$5:$A$1004,"&lt;"&amp;A298)+COUNTIF($A$5:A298,A298))</f>
        <v/>
      </c>
    </row>
    <row r="299">
      <c r="A299" s="64" t="n"/>
      <c r="B299" s="64" t="n"/>
      <c r="C299" s="66" t="n"/>
      <c r="D299" s="66" t="n"/>
      <c r="E299" s="67" t="n"/>
      <c r="F299" s="67" t="n"/>
      <c r="G299" s="67" t="n"/>
      <c r="H299" s="67" t="n"/>
      <c r="I299" s="67" t="n"/>
      <c r="J299" s="67" t="n"/>
      <c r="K299" s="67" t="n"/>
      <c r="L299" s="67" t="n"/>
      <c r="M299" s="64" t="n"/>
      <c r="N299" s="84">
        <f>IF(A299="","",IFERROR(INDEX(Firms!$B$5:$B$1004,MATCH(A299,Firms!$A$5:$A$1004,0)),"Not on Firms tab"))</f>
        <v/>
      </c>
      <c r="O299" s="84">
        <f>IF(A299="","",IF(AND(D299&lt;&gt;"",D299&lt;TODAY()),"Expired",IF(AND(C299&lt;&gt;"",C299&gt;TODAY()),"Not yet effective",IF(C299="","No date",IF(TODAY()&gt;=EDATE(C299,Review_Months),"Review Due","Current")))))</f>
        <v/>
      </c>
      <c r="P299">
        <f>IF(A299="","",A299&amp;"|"&amp;B299)</f>
        <v/>
      </c>
      <c r="Q299">
        <f>IF(AND(A299&lt;&gt;"",A299='Firm Search'!$C$7),COUNTIF($A$5:A299,'Firm Search'!$C$7),"")</f>
        <v/>
      </c>
      <c r="R299">
        <f>IF(A299="","",COUNTIF($A$5:$A$1004,"&lt;"&amp;A299)+COUNTIF($A$5:A299,A299))</f>
        <v/>
      </c>
    </row>
    <row r="300">
      <c r="A300" s="64" t="n"/>
      <c r="B300" s="64" t="n"/>
      <c r="C300" s="66" t="n"/>
      <c r="D300" s="66" t="n"/>
      <c r="E300" s="67" t="n"/>
      <c r="F300" s="67" t="n"/>
      <c r="G300" s="67" t="n"/>
      <c r="H300" s="67" t="n"/>
      <c r="I300" s="67" t="n"/>
      <c r="J300" s="67" t="n"/>
      <c r="K300" s="67" t="n"/>
      <c r="L300" s="67" t="n"/>
      <c r="M300" s="64" t="n"/>
      <c r="N300" s="84">
        <f>IF(A300="","",IFERROR(INDEX(Firms!$B$5:$B$1004,MATCH(A300,Firms!$A$5:$A$1004,0)),"Not on Firms tab"))</f>
        <v/>
      </c>
      <c r="O300" s="84">
        <f>IF(A300="","",IF(AND(D300&lt;&gt;"",D300&lt;TODAY()),"Expired",IF(AND(C300&lt;&gt;"",C300&gt;TODAY()),"Not yet effective",IF(C300="","No date",IF(TODAY()&gt;=EDATE(C300,Review_Months),"Review Due","Current")))))</f>
        <v/>
      </c>
      <c r="P300">
        <f>IF(A300="","",A300&amp;"|"&amp;B300)</f>
        <v/>
      </c>
      <c r="Q300">
        <f>IF(AND(A300&lt;&gt;"",A300='Firm Search'!$C$7),COUNTIF($A$5:A300,'Firm Search'!$C$7),"")</f>
        <v/>
      </c>
      <c r="R300">
        <f>IF(A300="","",COUNTIF($A$5:$A$1004,"&lt;"&amp;A300)+COUNTIF($A$5:A300,A300))</f>
        <v/>
      </c>
    </row>
    <row r="301">
      <c r="A301" s="64" t="n"/>
      <c r="B301" s="64" t="n"/>
      <c r="C301" s="66" t="n"/>
      <c r="D301" s="66" t="n"/>
      <c r="E301" s="67" t="n"/>
      <c r="F301" s="67" t="n"/>
      <c r="G301" s="67" t="n"/>
      <c r="H301" s="67" t="n"/>
      <c r="I301" s="67" t="n"/>
      <c r="J301" s="67" t="n"/>
      <c r="K301" s="67" t="n"/>
      <c r="L301" s="67" t="n"/>
      <c r="M301" s="64" t="n"/>
      <c r="N301" s="84">
        <f>IF(A301="","",IFERROR(INDEX(Firms!$B$5:$B$1004,MATCH(A301,Firms!$A$5:$A$1004,0)),"Not on Firms tab"))</f>
        <v/>
      </c>
      <c r="O301" s="84">
        <f>IF(A301="","",IF(AND(D301&lt;&gt;"",D301&lt;TODAY()),"Expired",IF(AND(C301&lt;&gt;"",C301&gt;TODAY()),"Not yet effective",IF(C301="","No date",IF(TODAY()&gt;=EDATE(C301,Review_Months),"Review Due","Current")))))</f>
        <v/>
      </c>
      <c r="P301">
        <f>IF(A301="","",A301&amp;"|"&amp;B301)</f>
        <v/>
      </c>
      <c r="Q301">
        <f>IF(AND(A301&lt;&gt;"",A301='Firm Search'!$C$7),COUNTIF($A$5:A301,'Firm Search'!$C$7),"")</f>
        <v/>
      </c>
      <c r="R301">
        <f>IF(A301="","",COUNTIF($A$5:$A$1004,"&lt;"&amp;A301)+COUNTIF($A$5:A301,A301))</f>
        <v/>
      </c>
    </row>
    <row r="302">
      <c r="A302" s="64" t="n"/>
      <c r="B302" s="64" t="n"/>
      <c r="C302" s="66" t="n"/>
      <c r="D302" s="66" t="n"/>
      <c r="E302" s="67" t="n"/>
      <c r="F302" s="67" t="n"/>
      <c r="G302" s="67" t="n"/>
      <c r="H302" s="67" t="n"/>
      <c r="I302" s="67" t="n"/>
      <c r="J302" s="67" t="n"/>
      <c r="K302" s="67" t="n"/>
      <c r="L302" s="67" t="n"/>
      <c r="M302" s="64" t="n"/>
      <c r="N302" s="84">
        <f>IF(A302="","",IFERROR(INDEX(Firms!$B$5:$B$1004,MATCH(A302,Firms!$A$5:$A$1004,0)),"Not on Firms tab"))</f>
        <v/>
      </c>
      <c r="O302" s="84">
        <f>IF(A302="","",IF(AND(D302&lt;&gt;"",D302&lt;TODAY()),"Expired",IF(AND(C302&lt;&gt;"",C302&gt;TODAY()),"Not yet effective",IF(C302="","No date",IF(TODAY()&gt;=EDATE(C302,Review_Months),"Review Due","Current")))))</f>
        <v/>
      </c>
      <c r="P302">
        <f>IF(A302="","",A302&amp;"|"&amp;B302)</f>
        <v/>
      </c>
      <c r="Q302">
        <f>IF(AND(A302&lt;&gt;"",A302='Firm Search'!$C$7),COUNTIF($A$5:A302,'Firm Search'!$C$7),"")</f>
        <v/>
      </c>
      <c r="R302">
        <f>IF(A302="","",COUNTIF($A$5:$A$1004,"&lt;"&amp;A302)+COUNTIF($A$5:A302,A302))</f>
        <v/>
      </c>
    </row>
    <row r="303">
      <c r="A303" s="64" t="n"/>
      <c r="B303" s="64" t="n"/>
      <c r="C303" s="66" t="n"/>
      <c r="D303" s="66" t="n"/>
      <c r="E303" s="67" t="n"/>
      <c r="F303" s="67" t="n"/>
      <c r="G303" s="67" t="n"/>
      <c r="H303" s="67" t="n"/>
      <c r="I303" s="67" t="n"/>
      <c r="J303" s="67" t="n"/>
      <c r="K303" s="67" t="n"/>
      <c r="L303" s="67" t="n"/>
      <c r="M303" s="64" t="n"/>
      <c r="N303" s="84">
        <f>IF(A303="","",IFERROR(INDEX(Firms!$B$5:$B$1004,MATCH(A303,Firms!$A$5:$A$1004,0)),"Not on Firms tab"))</f>
        <v/>
      </c>
      <c r="O303" s="84">
        <f>IF(A303="","",IF(AND(D303&lt;&gt;"",D303&lt;TODAY()),"Expired",IF(AND(C303&lt;&gt;"",C303&gt;TODAY()),"Not yet effective",IF(C303="","No date",IF(TODAY()&gt;=EDATE(C303,Review_Months),"Review Due","Current")))))</f>
        <v/>
      </c>
      <c r="P303">
        <f>IF(A303="","",A303&amp;"|"&amp;B303)</f>
        <v/>
      </c>
      <c r="Q303">
        <f>IF(AND(A303&lt;&gt;"",A303='Firm Search'!$C$7),COUNTIF($A$5:A303,'Firm Search'!$C$7),"")</f>
        <v/>
      </c>
      <c r="R303">
        <f>IF(A303="","",COUNTIF($A$5:$A$1004,"&lt;"&amp;A303)+COUNTIF($A$5:A303,A303))</f>
        <v/>
      </c>
    </row>
    <row r="304">
      <c r="A304" s="64" t="n"/>
      <c r="B304" s="64" t="n"/>
      <c r="C304" s="66" t="n"/>
      <c r="D304" s="66" t="n"/>
      <c r="E304" s="67" t="n"/>
      <c r="F304" s="67" t="n"/>
      <c r="G304" s="67" t="n"/>
      <c r="H304" s="67" t="n"/>
      <c r="I304" s="67" t="n"/>
      <c r="J304" s="67" t="n"/>
      <c r="K304" s="67" t="n"/>
      <c r="L304" s="67" t="n"/>
      <c r="M304" s="64" t="n"/>
      <c r="N304" s="84">
        <f>IF(A304="","",IFERROR(INDEX(Firms!$B$5:$B$1004,MATCH(A304,Firms!$A$5:$A$1004,0)),"Not on Firms tab"))</f>
        <v/>
      </c>
      <c r="O304" s="84">
        <f>IF(A304="","",IF(AND(D304&lt;&gt;"",D304&lt;TODAY()),"Expired",IF(AND(C304&lt;&gt;"",C304&gt;TODAY()),"Not yet effective",IF(C304="","No date",IF(TODAY()&gt;=EDATE(C304,Review_Months),"Review Due","Current")))))</f>
        <v/>
      </c>
      <c r="P304">
        <f>IF(A304="","",A304&amp;"|"&amp;B304)</f>
        <v/>
      </c>
      <c r="Q304">
        <f>IF(AND(A304&lt;&gt;"",A304='Firm Search'!$C$7),COUNTIF($A$5:A304,'Firm Search'!$C$7),"")</f>
        <v/>
      </c>
      <c r="R304">
        <f>IF(A304="","",COUNTIF($A$5:$A$1004,"&lt;"&amp;A304)+COUNTIF($A$5:A304,A304))</f>
        <v/>
      </c>
    </row>
    <row r="305">
      <c r="A305" s="64" t="n"/>
      <c r="B305" s="64" t="n"/>
      <c r="C305" s="66" t="n"/>
      <c r="D305" s="66" t="n"/>
      <c r="E305" s="67" t="n"/>
      <c r="F305" s="67" t="n"/>
      <c r="G305" s="67" t="n"/>
      <c r="H305" s="67" t="n"/>
      <c r="I305" s="67" t="n"/>
      <c r="J305" s="67" t="n"/>
      <c r="K305" s="67" t="n"/>
      <c r="L305" s="67" t="n"/>
      <c r="M305" s="64" t="n"/>
      <c r="N305" s="84">
        <f>IF(A305="","",IFERROR(INDEX(Firms!$B$5:$B$1004,MATCH(A305,Firms!$A$5:$A$1004,0)),"Not on Firms tab"))</f>
        <v/>
      </c>
      <c r="O305" s="84">
        <f>IF(A305="","",IF(AND(D305&lt;&gt;"",D305&lt;TODAY()),"Expired",IF(AND(C305&lt;&gt;"",C305&gt;TODAY()),"Not yet effective",IF(C305="","No date",IF(TODAY()&gt;=EDATE(C305,Review_Months),"Review Due","Current")))))</f>
        <v/>
      </c>
      <c r="P305">
        <f>IF(A305="","",A305&amp;"|"&amp;B305)</f>
        <v/>
      </c>
      <c r="Q305">
        <f>IF(AND(A305&lt;&gt;"",A305='Firm Search'!$C$7),COUNTIF($A$5:A305,'Firm Search'!$C$7),"")</f>
        <v/>
      </c>
      <c r="R305">
        <f>IF(A305="","",COUNTIF($A$5:$A$1004,"&lt;"&amp;A305)+COUNTIF($A$5:A305,A305))</f>
        <v/>
      </c>
    </row>
    <row r="306">
      <c r="A306" s="64" t="n"/>
      <c r="B306" s="64" t="n"/>
      <c r="C306" s="66" t="n"/>
      <c r="D306" s="66" t="n"/>
      <c r="E306" s="67" t="n"/>
      <c r="F306" s="67" t="n"/>
      <c r="G306" s="67" t="n"/>
      <c r="H306" s="67" t="n"/>
      <c r="I306" s="67" t="n"/>
      <c r="J306" s="67" t="n"/>
      <c r="K306" s="67" t="n"/>
      <c r="L306" s="67" t="n"/>
      <c r="M306" s="64" t="n"/>
      <c r="N306" s="84">
        <f>IF(A306="","",IFERROR(INDEX(Firms!$B$5:$B$1004,MATCH(A306,Firms!$A$5:$A$1004,0)),"Not on Firms tab"))</f>
        <v/>
      </c>
      <c r="O306" s="84">
        <f>IF(A306="","",IF(AND(D306&lt;&gt;"",D306&lt;TODAY()),"Expired",IF(AND(C306&lt;&gt;"",C306&gt;TODAY()),"Not yet effective",IF(C306="","No date",IF(TODAY()&gt;=EDATE(C306,Review_Months),"Review Due","Current")))))</f>
        <v/>
      </c>
      <c r="P306">
        <f>IF(A306="","",A306&amp;"|"&amp;B306)</f>
        <v/>
      </c>
      <c r="Q306">
        <f>IF(AND(A306&lt;&gt;"",A306='Firm Search'!$C$7),COUNTIF($A$5:A306,'Firm Search'!$C$7),"")</f>
        <v/>
      </c>
      <c r="R306">
        <f>IF(A306="","",COUNTIF($A$5:$A$1004,"&lt;"&amp;A306)+COUNTIF($A$5:A306,A306))</f>
        <v/>
      </c>
    </row>
    <row r="307">
      <c r="A307" s="64" t="n"/>
      <c r="B307" s="64" t="n"/>
      <c r="C307" s="66" t="n"/>
      <c r="D307" s="66" t="n"/>
      <c r="E307" s="67" t="n"/>
      <c r="F307" s="67" t="n"/>
      <c r="G307" s="67" t="n"/>
      <c r="H307" s="67" t="n"/>
      <c r="I307" s="67" t="n"/>
      <c r="J307" s="67" t="n"/>
      <c r="K307" s="67" t="n"/>
      <c r="L307" s="67" t="n"/>
      <c r="M307" s="64" t="n"/>
      <c r="N307" s="84">
        <f>IF(A307="","",IFERROR(INDEX(Firms!$B$5:$B$1004,MATCH(A307,Firms!$A$5:$A$1004,0)),"Not on Firms tab"))</f>
        <v/>
      </c>
      <c r="O307" s="84">
        <f>IF(A307="","",IF(AND(D307&lt;&gt;"",D307&lt;TODAY()),"Expired",IF(AND(C307&lt;&gt;"",C307&gt;TODAY()),"Not yet effective",IF(C307="","No date",IF(TODAY()&gt;=EDATE(C307,Review_Months),"Review Due","Current")))))</f>
        <v/>
      </c>
      <c r="P307">
        <f>IF(A307="","",A307&amp;"|"&amp;B307)</f>
        <v/>
      </c>
      <c r="Q307">
        <f>IF(AND(A307&lt;&gt;"",A307='Firm Search'!$C$7),COUNTIF($A$5:A307,'Firm Search'!$C$7),"")</f>
        <v/>
      </c>
      <c r="R307">
        <f>IF(A307="","",COUNTIF($A$5:$A$1004,"&lt;"&amp;A307)+COUNTIF($A$5:A307,A307))</f>
        <v/>
      </c>
    </row>
    <row r="308">
      <c r="A308" s="64" t="n"/>
      <c r="B308" s="64" t="n"/>
      <c r="C308" s="66" t="n"/>
      <c r="D308" s="66" t="n"/>
      <c r="E308" s="67" t="n"/>
      <c r="F308" s="67" t="n"/>
      <c r="G308" s="67" t="n"/>
      <c r="H308" s="67" t="n"/>
      <c r="I308" s="67" t="n"/>
      <c r="J308" s="67" t="n"/>
      <c r="K308" s="67" t="n"/>
      <c r="L308" s="67" t="n"/>
      <c r="M308" s="64" t="n"/>
      <c r="N308" s="84">
        <f>IF(A308="","",IFERROR(INDEX(Firms!$B$5:$B$1004,MATCH(A308,Firms!$A$5:$A$1004,0)),"Not on Firms tab"))</f>
        <v/>
      </c>
      <c r="O308" s="84">
        <f>IF(A308="","",IF(AND(D308&lt;&gt;"",D308&lt;TODAY()),"Expired",IF(AND(C308&lt;&gt;"",C308&gt;TODAY()),"Not yet effective",IF(C308="","No date",IF(TODAY()&gt;=EDATE(C308,Review_Months),"Review Due","Current")))))</f>
        <v/>
      </c>
      <c r="P308">
        <f>IF(A308="","",A308&amp;"|"&amp;B308)</f>
        <v/>
      </c>
      <c r="Q308">
        <f>IF(AND(A308&lt;&gt;"",A308='Firm Search'!$C$7),COUNTIF($A$5:A308,'Firm Search'!$C$7),"")</f>
        <v/>
      </c>
      <c r="R308">
        <f>IF(A308="","",COUNTIF($A$5:$A$1004,"&lt;"&amp;A308)+COUNTIF($A$5:A308,A308))</f>
        <v/>
      </c>
    </row>
    <row r="309">
      <c r="A309" s="64" t="n"/>
      <c r="B309" s="64" t="n"/>
      <c r="C309" s="66" t="n"/>
      <c r="D309" s="66" t="n"/>
      <c r="E309" s="67" t="n"/>
      <c r="F309" s="67" t="n"/>
      <c r="G309" s="67" t="n"/>
      <c r="H309" s="67" t="n"/>
      <c r="I309" s="67" t="n"/>
      <c r="J309" s="67" t="n"/>
      <c r="K309" s="67" t="n"/>
      <c r="L309" s="67" t="n"/>
      <c r="M309" s="64" t="n"/>
      <c r="N309" s="84">
        <f>IF(A309="","",IFERROR(INDEX(Firms!$B$5:$B$1004,MATCH(A309,Firms!$A$5:$A$1004,0)),"Not on Firms tab"))</f>
        <v/>
      </c>
      <c r="O309" s="84">
        <f>IF(A309="","",IF(AND(D309&lt;&gt;"",D309&lt;TODAY()),"Expired",IF(AND(C309&lt;&gt;"",C309&gt;TODAY()),"Not yet effective",IF(C309="","No date",IF(TODAY()&gt;=EDATE(C309,Review_Months),"Review Due","Current")))))</f>
        <v/>
      </c>
      <c r="P309">
        <f>IF(A309="","",A309&amp;"|"&amp;B309)</f>
        <v/>
      </c>
      <c r="Q309">
        <f>IF(AND(A309&lt;&gt;"",A309='Firm Search'!$C$7),COUNTIF($A$5:A309,'Firm Search'!$C$7),"")</f>
        <v/>
      </c>
      <c r="R309">
        <f>IF(A309="","",COUNTIF($A$5:$A$1004,"&lt;"&amp;A309)+COUNTIF($A$5:A309,A309))</f>
        <v/>
      </c>
    </row>
    <row r="310">
      <c r="A310" s="64" t="n"/>
      <c r="B310" s="64" t="n"/>
      <c r="C310" s="66" t="n"/>
      <c r="D310" s="66" t="n"/>
      <c r="E310" s="67" t="n"/>
      <c r="F310" s="67" t="n"/>
      <c r="G310" s="67" t="n"/>
      <c r="H310" s="67" t="n"/>
      <c r="I310" s="67" t="n"/>
      <c r="J310" s="67" t="n"/>
      <c r="K310" s="67" t="n"/>
      <c r="L310" s="67" t="n"/>
      <c r="M310" s="64" t="n"/>
      <c r="N310" s="84">
        <f>IF(A310="","",IFERROR(INDEX(Firms!$B$5:$B$1004,MATCH(A310,Firms!$A$5:$A$1004,0)),"Not on Firms tab"))</f>
        <v/>
      </c>
      <c r="O310" s="84">
        <f>IF(A310="","",IF(AND(D310&lt;&gt;"",D310&lt;TODAY()),"Expired",IF(AND(C310&lt;&gt;"",C310&gt;TODAY()),"Not yet effective",IF(C310="","No date",IF(TODAY()&gt;=EDATE(C310,Review_Months),"Review Due","Current")))))</f>
        <v/>
      </c>
      <c r="P310">
        <f>IF(A310="","",A310&amp;"|"&amp;B310)</f>
        <v/>
      </c>
      <c r="Q310">
        <f>IF(AND(A310&lt;&gt;"",A310='Firm Search'!$C$7),COUNTIF($A$5:A310,'Firm Search'!$C$7),"")</f>
        <v/>
      </c>
      <c r="R310">
        <f>IF(A310="","",COUNTIF($A$5:$A$1004,"&lt;"&amp;A310)+COUNTIF($A$5:A310,A310))</f>
        <v/>
      </c>
    </row>
    <row r="311">
      <c r="A311" s="64" t="n"/>
      <c r="B311" s="64" t="n"/>
      <c r="C311" s="66" t="n"/>
      <c r="D311" s="66" t="n"/>
      <c r="E311" s="67" t="n"/>
      <c r="F311" s="67" t="n"/>
      <c r="G311" s="67" t="n"/>
      <c r="H311" s="67" t="n"/>
      <c r="I311" s="67" t="n"/>
      <c r="J311" s="67" t="n"/>
      <c r="K311" s="67" t="n"/>
      <c r="L311" s="67" t="n"/>
      <c r="M311" s="64" t="n"/>
      <c r="N311" s="84">
        <f>IF(A311="","",IFERROR(INDEX(Firms!$B$5:$B$1004,MATCH(A311,Firms!$A$5:$A$1004,0)),"Not on Firms tab"))</f>
        <v/>
      </c>
      <c r="O311" s="84">
        <f>IF(A311="","",IF(AND(D311&lt;&gt;"",D311&lt;TODAY()),"Expired",IF(AND(C311&lt;&gt;"",C311&gt;TODAY()),"Not yet effective",IF(C311="","No date",IF(TODAY()&gt;=EDATE(C311,Review_Months),"Review Due","Current")))))</f>
        <v/>
      </c>
      <c r="P311">
        <f>IF(A311="","",A311&amp;"|"&amp;B311)</f>
        <v/>
      </c>
      <c r="Q311">
        <f>IF(AND(A311&lt;&gt;"",A311='Firm Search'!$C$7),COUNTIF($A$5:A311,'Firm Search'!$C$7),"")</f>
        <v/>
      </c>
      <c r="R311">
        <f>IF(A311="","",COUNTIF($A$5:$A$1004,"&lt;"&amp;A311)+COUNTIF($A$5:A311,A311))</f>
        <v/>
      </c>
    </row>
    <row r="312">
      <c r="A312" s="64" t="n"/>
      <c r="B312" s="64" t="n"/>
      <c r="C312" s="66" t="n"/>
      <c r="D312" s="66" t="n"/>
      <c r="E312" s="67" t="n"/>
      <c r="F312" s="67" t="n"/>
      <c r="G312" s="67" t="n"/>
      <c r="H312" s="67" t="n"/>
      <c r="I312" s="67" t="n"/>
      <c r="J312" s="67" t="n"/>
      <c r="K312" s="67" t="n"/>
      <c r="L312" s="67" t="n"/>
      <c r="M312" s="64" t="n"/>
      <c r="N312" s="84">
        <f>IF(A312="","",IFERROR(INDEX(Firms!$B$5:$B$1004,MATCH(A312,Firms!$A$5:$A$1004,0)),"Not on Firms tab"))</f>
        <v/>
      </c>
      <c r="O312" s="84">
        <f>IF(A312="","",IF(AND(D312&lt;&gt;"",D312&lt;TODAY()),"Expired",IF(AND(C312&lt;&gt;"",C312&gt;TODAY()),"Not yet effective",IF(C312="","No date",IF(TODAY()&gt;=EDATE(C312,Review_Months),"Review Due","Current")))))</f>
        <v/>
      </c>
      <c r="P312">
        <f>IF(A312="","",A312&amp;"|"&amp;B312)</f>
        <v/>
      </c>
      <c r="Q312">
        <f>IF(AND(A312&lt;&gt;"",A312='Firm Search'!$C$7),COUNTIF($A$5:A312,'Firm Search'!$C$7),"")</f>
        <v/>
      </c>
      <c r="R312">
        <f>IF(A312="","",COUNTIF($A$5:$A$1004,"&lt;"&amp;A312)+COUNTIF($A$5:A312,A312))</f>
        <v/>
      </c>
    </row>
    <row r="313">
      <c r="A313" s="64" t="n"/>
      <c r="B313" s="64" t="n"/>
      <c r="C313" s="66" t="n"/>
      <c r="D313" s="66" t="n"/>
      <c r="E313" s="67" t="n"/>
      <c r="F313" s="67" t="n"/>
      <c r="G313" s="67" t="n"/>
      <c r="H313" s="67" t="n"/>
      <c r="I313" s="67" t="n"/>
      <c r="J313" s="67" t="n"/>
      <c r="K313" s="67" t="n"/>
      <c r="L313" s="67" t="n"/>
      <c r="M313" s="64" t="n"/>
      <c r="N313" s="84">
        <f>IF(A313="","",IFERROR(INDEX(Firms!$B$5:$B$1004,MATCH(A313,Firms!$A$5:$A$1004,0)),"Not on Firms tab"))</f>
        <v/>
      </c>
      <c r="O313" s="84">
        <f>IF(A313="","",IF(AND(D313&lt;&gt;"",D313&lt;TODAY()),"Expired",IF(AND(C313&lt;&gt;"",C313&gt;TODAY()),"Not yet effective",IF(C313="","No date",IF(TODAY()&gt;=EDATE(C313,Review_Months),"Review Due","Current")))))</f>
        <v/>
      </c>
      <c r="P313">
        <f>IF(A313="","",A313&amp;"|"&amp;B313)</f>
        <v/>
      </c>
      <c r="Q313">
        <f>IF(AND(A313&lt;&gt;"",A313='Firm Search'!$C$7),COUNTIF($A$5:A313,'Firm Search'!$C$7),"")</f>
        <v/>
      </c>
      <c r="R313">
        <f>IF(A313="","",COUNTIF($A$5:$A$1004,"&lt;"&amp;A313)+COUNTIF($A$5:A313,A313))</f>
        <v/>
      </c>
    </row>
    <row r="314">
      <c r="A314" s="64" t="n"/>
      <c r="B314" s="64" t="n"/>
      <c r="C314" s="66" t="n"/>
      <c r="D314" s="66" t="n"/>
      <c r="E314" s="67" t="n"/>
      <c r="F314" s="67" t="n"/>
      <c r="G314" s="67" t="n"/>
      <c r="H314" s="67" t="n"/>
      <c r="I314" s="67" t="n"/>
      <c r="J314" s="67" t="n"/>
      <c r="K314" s="67" t="n"/>
      <c r="L314" s="67" t="n"/>
      <c r="M314" s="64" t="n"/>
      <c r="N314" s="84">
        <f>IF(A314="","",IFERROR(INDEX(Firms!$B$5:$B$1004,MATCH(A314,Firms!$A$5:$A$1004,0)),"Not on Firms tab"))</f>
        <v/>
      </c>
      <c r="O314" s="84">
        <f>IF(A314="","",IF(AND(D314&lt;&gt;"",D314&lt;TODAY()),"Expired",IF(AND(C314&lt;&gt;"",C314&gt;TODAY()),"Not yet effective",IF(C314="","No date",IF(TODAY()&gt;=EDATE(C314,Review_Months),"Review Due","Current")))))</f>
        <v/>
      </c>
      <c r="P314">
        <f>IF(A314="","",A314&amp;"|"&amp;B314)</f>
        <v/>
      </c>
      <c r="Q314">
        <f>IF(AND(A314&lt;&gt;"",A314='Firm Search'!$C$7),COUNTIF($A$5:A314,'Firm Search'!$C$7),"")</f>
        <v/>
      </c>
      <c r="R314">
        <f>IF(A314="","",COUNTIF($A$5:$A$1004,"&lt;"&amp;A314)+COUNTIF($A$5:A314,A314))</f>
        <v/>
      </c>
    </row>
    <row r="315">
      <c r="A315" s="64" t="n"/>
      <c r="B315" s="64" t="n"/>
      <c r="C315" s="66" t="n"/>
      <c r="D315" s="66" t="n"/>
      <c r="E315" s="67" t="n"/>
      <c r="F315" s="67" t="n"/>
      <c r="G315" s="67" t="n"/>
      <c r="H315" s="67" t="n"/>
      <c r="I315" s="67" t="n"/>
      <c r="J315" s="67" t="n"/>
      <c r="K315" s="67" t="n"/>
      <c r="L315" s="67" t="n"/>
      <c r="M315" s="64" t="n"/>
      <c r="N315" s="84">
        <f>IF(A315="","",IFERROR(INDEX(Firms!$B$5:$B$1004,MATCH(A315,Firms!$A$5:$A$1004,0)),"Not on Firms tab"))</f>
        <v/>
      </c>
      <c r="O315" s="84">
        <f>IF(A315="","",IF(AND(D315&lt;&gt;"",D315&lt;TODAY()),"Expired",IF(AND(C315&lt;&gt;"",C315&gt;TODAY()),"Not yet effective",IF(C315="","No date",IF(TODAY()&gt;=EDATE(C315,Review_Months),"Review Due","Current")))))</f>
        <v/>
      </c>
      <c r="P315">
        <f>IF(A315="","",A315&amp;"|"&amp;B315)</f>
        <v/>
      </c>
      <c r="Q315">
        <f>IF(AND(A315&lt;&gt;"",A315='Firm Search'!$C$7),COUNTIF($A$5:A315,'Firm Search'!$C$7),"")</f>
        <v/>
      </c>
      <c r="R315">
        <f>IF(A315="","",COUNTIF($A$5:$A$1004,"&lt;"&amp;A315)+COUNTIF($A$5:A315,A315))</f>
        <v/>
      </c>
    </row>
    <row r="316">
      <c r="A316" s="64" t="n"/>
      <c r="B316" s="64" t="n"/>
      <c r="C316" s="66" t="n"/>
      <c r="D316" s="66" t="n"/>
      <c r="E316" s="67" t="n"/>
      <c r="F316" s="67" t="n"/>
      <c r="G316" s="67" t="n"/>
      <c r="H316" s="67" t="n"/>
      <c r="I316" s="67" t="n"/>
      <c r="J316" s="67" t="n"/>
      <c r="K316" s="67" t="n"/>
      <c r="L316" s="67" t="n"/>
      <c r="M316" s="64" t="n"/>
      <c r="N316" s="84">
        <f>IF(A316="","",IFERROR(INDEX(Firms!$B$5:$B$1004,MATCH(A316,Firms!$A$5:$A$1004,0)),"Not on Firms tab"))</f>
        <v/>
      </c>
      <c r="O316" s="84">
        <f>IF(A316="","",IF(AND(D316&lt;&gt;"",D316&lt;TODAY()),"Expired",IF(AND(C316&lt;&gt;"",C316&gt;TODAY()),"Not yet effective",IF(C316="","No date",IF(TODAY()&gt;=EDATE(C316,Review_Months),"Review Due","Current")))))</f>
        <v/>
      </c>
      <c r="P316">
        <f>IF(A316="","",A316&amp;"|"&amp;B316)</f>
        <v/>
      </c>
      <c r="Q316">
        <f>IF(AND(A316&lt;&gt;"",A316='Firm Search'!$C$7),COUNTIF($A$5:A316,'Firm Search'!$C$7),"")</f>
        <v/>
      </c>
      <c r="R316">
        <f>IF(A316="","",COUNTIF($A$5:$A$1004,"&lt;"&amp;A316)+COUNTIF($A$5:A316,A316))</f>
        <v/>
      </c>
    </row>
    <row r="317">
      <c r="A317" s="64" t="n"/>
      <c r="B317" s="64" t="n"/>
      <c r="C317" s="66" t="n"/>
      <c r="D317" s="66" t="n"/>
      <c r="E317" s="67" t="n"/>
      <c r="F317" s="67" t="n"/>
      <c r="G317" s="67" t="n"/>
      <c r="H317" s="67" t="n"/>
      <c r="I317" s="67" t="n"/>
      <c r="J317" s="67" t="n"/>
      <c r="K317" s="67" t="n"/>
      <c r="L317" s="67" t="n"/>
      <c r="M317" s="64" t="n"/>
      <c r="N317" s="84">
        <f>IF(A317="","",IFERROR(INDEX(Firms!$B$5:$B$1004,MATCH(A317,Firms!$A$5:$A$1004,0)),"Not on Firms tab"))</f>
        <v/>
      </c>
      <c r="O317" s="84">
        <f>IF(A317="","",IF(AND(D317&lt;&gt;"",D317&lt;TODAY()),"Expired",IF(AND(C317&lt;&gt;"",C317&gt;TODAY()),"Not yet effective",IF(C317="","No date",IF(TODAY()&gt;=EDATE(C317,Review_Months),"Review Due","Current")))))</f>
        <v/>
      </c>
      <c r="P317">
        <f>IF(A317="","",A317&amp;"|"&amp;B317)</f>
        <v/>
      </c>
      <c r="Q317">
        <f>IF(AND(A317&lt;&gt;"",A317='Firm Search'!$C$7),COUNTIF($A$5:A317,'Firm Search'!$C$7),"")</f>
        <v/>
      </c>
      <c r="R317">
        <f>IF(A317="","",COUNTIF($A$5:$A$1004,"&lt;"&amp;A317)+COUNTIF($A$5:A317,A317))</f>
        <v/>
      </c>
    </row>
    <row r="318">
      <c r="A318" s="64" t="n"/>
      <c r="B318" s="64" t="n"/>
      <c r="C318" s="66" t="n"/>
      <c r="D318" s="66" t="n"/>
      <c r="E318" s="67" t="n"/>
      <c r="F318" s="67" t="n"/>
      <c r="G318" s="67" t="n"/>
      <c r="H318" s="67" t="n"/>
      <c r="I318" s="67" t="n"/>
      <c r="J318" s="67" t="n"/>
      <c r="K318" s="67" t="n"/>
      <c r="L318" s="67" t="n"/>
      <c r="M318" s="64" t="n"/>
      <c r="N318" s="84">
        <f>IF(A318="","",IFERROR(INDEX(Firms!$B$5:$B$1004,MATCH(A318,Firms!$A$5:$A$1004,0)),"Not on Firms tab"))</f>
        <v/>
      </c>
      <c r="O318" s="84">
        <f>IF(A318="","",IF(AND(D318&lt;&gt;"",D318&lt;TODAY()),"Expired",IF(AND(C318&lt;&gt;"",C318&gt;TODAY()),"Not yet effective",IF(C318="","No date",IF(TODAY()&gt;=EDATE(C318,Review_Months),"Review Due","Current")))))</f>
        <v/>
      </c>
      <c r="P318">
        <f>IF(A318="","",A318&amp;"|"&amp;B318)</f>
        <v/>
      </c>
      <c r="Q318">
        <f>IF(AND(A318&lt;&gt;"",A318='Firm Search'!$C$7),COUNTIF($A$5:A318,'Firm Search'!$C$7),"")</f>
        <v/>
      </c>
      <c r="R318">
        <f>IF(A318="","",COUNTIF($A$5:$A$1004,"&lt;"&amp;A318)+COUNTIF($A$5:A318,A318))</f>
        <v/>
      </c>
    </row>
    <row r="319">
      <c r="A319" s="64" t="n"/>
      <c r="B319" s="64" t="n"/>
      <c r="C319" s="66" t="n"/>
      <c r="D319" s="66" t="n"/>
      <c r="E319" s="67" t="n"/>
      <c r="F319" s="67" t="n"/>
      <c r="G319" s="67" t="n"/>
      <c r="H319" s="67" t="n"/>
      <c r="I319" s="67" t="n"/>
      <c r="J319" s="67" t="n"/>
      <c r="K319" s="67" t="n"/>
      <c r="L319" s="67" t="n"/>
      <c r="M319" s="64" t="n"/>
      <c r="N319" s="84">
        <f>IF(A319="","",IFERROR(INDEX(Firms!$B$5:$B$1004,MATCH(A319,Firms!$A$5:$A$1004,0)),"Not on Firms tab"))</f>
        <v/>
      </c>
      <c r="O319" s="84">
        <f>IF(A319="","",IF(AND(D319&lt;&gt;"",D319&lt;TODAY()),"Expired",IF(AND(C319&lt;&gt;"",C319&gt;TODAY()),"Not yet effective",IF(C319="","No date",IF(TODAY()&gt;=EDATE(C319,Review_Months),"Review Due","Current")))))</f>
        <v/>
      </c>
      <c r="P319">
        <f>IF(A319="","",A319&amp;"|"&amp;B319)</f>
        <v/>
      </c>
      <c r="Q319">
        <f>IF(AND(A319&lt;&gt;"",A319='Firm Search'!$C$7),COUNTIF($A$5:A319,'Firm Search'!$C$7),"")</f>
        <v/>
      </c>
      <c r="R319">
        <f>IF(A319="","",COUNTIF($A$5:$A$1004,"&lt;"&amp;A319)+COUNTIF($A$5:A319,A319))</f>
        <v/>
      </c>
    </row>
    <row r="320">
      <c r="A320" s="64" t="n"/>
      <c r="B320" s="64" t="n"/>
      <c r="C320" s="66" t="n"/>
      <c r="D320" s="66" t="n"/>
      <c r="E320" s="67" t="n"/>
      <c r="F320" s="67" t="n"/>
      <c r="G320" s="67" t="n"/>
      <c r="H320" s="67" t="n"/>
      <c r="I320" s="67" t="n"/>
      <c r="J320" s="67" t="n"/>
      <c r="K320" s="67" t="n"/>
      <c r="L320" s="67" t="n"/>
      <c r="M320" s="64" t="n"/>
      <c r="N320" s="84">
        <f>IF(A320="","",IFERROR(INDEX(Firms!$B$5:$B$1004,MATCH(A320,Firms!$A$5:$A$1004,0)),"Not on Firms tab"))</f>
        <v/>
      </c>
      <c r="O320" s="84">
        <f>IF(A320="","",IF(AND(D320&lt;&gt;"",D320&lt;TODAY()),"Expired",IF(AND(C320&lt;&gt;"",C320&gt;TODAY()),"Not yet effective",IF(C320="","No date",IF(TODAY()&gt;=EDATE(C320,Review_Months),"Review Due","Current")))))</f>
        <v/>
      </c>
      <c r="P320">
        <f>IF(A320="","",A320&amp;"|"&amp;B320)</f>
        <v/>
      </c>
      <c r="Q320">
        <f>IF(AND(A320&lt;&gt;"",A320='Firm Search'!$C$7),COUNTIF($A$5:A320,'Firm Search'!$C$7),"")</f>
        <v/>
      </c>
      <c r="R320">
        <f>IF(A320="","",COUNTIF($A$5:$A$1004,"&lt;"&amp;A320)+COUNTIF($A$5:A320,A320))</f>
        <v/>
      </c>
    </row>
    <row r="321">
      <c r="A321" s="64" t="n"/>
      <c r="B321" s="64" t="n"/>
      <c r="C321" s="66" t="n"/>
      <c r="D321" s="66" t="n"/>
      <c r="E321" s="67" t="n"/>
      <c r="F321" s="67" t="n"/>
      <c r="G321" s="67" t="n"/>
      <c r="H321" s="67" t="n"/>
      <c r="I321" s="67" t="n"/>
      <c r="J321" s="67" t="n"/>
      <c r="K321" s="67" t="n"/>
      <c r="L321" s="67" t="n"/>
      <c r="M321" s="64" t="n"/>
      <c r="N321" s="84">
        <f>IF(A321="","",IFERROR(INDEX(Firms!$B$5:$B$1004,MATCH(A321,Firms!$A$5:$A$1004,0)),"Not on Firms tab"))</f>
        <v/>
      </c>
      <c r="O321" s="84">
        <f>IF(A321="","",IF(AND(D321&lt;&gt;"",D321&lt;TODAY()),"Expired",IF(AND(C321&lt;&gt;"",C321&gt;TODAY()),"Not yet effective",IF(C321="","No date",IF(TODAY()&gt;=EDATE(C321,Review_Months),"Review Due","Current")))))</f>
        <v/>
      </c>
      <c r="P321">
        <f>IF(A321="","",A321&amp;"|"&amp;B321)</f>
        <v/>
      </c>
      <c r="Q321">
        <f>IF(AND(A321&lt;&gt;"",A321='Firm Search'!$C$7),COUNTIF($A$5:A321,'Firm Search'!$C$7),"")</f>
        <v/>
      </c>
      <c r="R321">
        <f>IF(A321="","",COUNTIF($A$5:$A$1004,"&lt;"&amp;A321)+COUNTIF($A$5:A321,A321))</f>
        <v/>
      </c>
    </row>
    <row r="322">
      <c r="A322" s="64" t="n"/>
      <c r="B322" s="64" t="n"/>
      <c r="C322" s="66" t="n"/>
      <c r="D322" s="66" t="n"/>
      <c r="E322" s="67" t="n"/>
      <c r="F322" s="67" t="n"/>
      <c r="G322" s="67" t="n"/>
      <c r="H322" s="67" t="n"/>
      <c r="I322" s="67" t="n"/>
      <c r="J322" s="67" t="n"/>
      <c r="K322" s="67" t="n"/>
      <c r="L322" s="67" t="n"/>
      <c r="M322" s="64" t="n"/>
      <c r="N322" s="84">
        <f>IF(A322="","",IFERROR(INDEX(Firms!$B$5:$B$1004,MATCH(A322,Firms!$A$5:$A$1004,0)),"Not on Firms tab"))</f>
        <v/>
      </c>
      <c r="O322" s="84">
        <f>IF(A322="","",IF(AND(D322&lt;&gt;"",D322&lt;TODAY()),"Expired",IF(AND(C322&lt;&gt;"",C322&gt;TODAY()),"Not yet effective",IF(C322="","No date",IF(TODAY()&gt;=EDATE(C322,Review_Months),"Review Due","Current")))))</f>
        <v/>
      </c>
      <c r="P322">
        <f>IF(A322="","",A322&amp;"|"&amp;B322)</f>
        <v/>
      </c>
      <c r="Q322">
        <f>IF(AND(A322&lt;&gt;"",A322='Firm Search'!$C$7),COUNTIF($A$5:A322,'Firm Search'!$C$7),"")</f>
        <v/>
      </c>
      <c r="R322">
        <f>IF(A322="","",COUNTIF($A$5:$A$1004,"&lt;"&amp;A322)+COUNTIF($A$5:A322,A322))</f>
        <v/>
      </c>
    </row>
    <row r="323">
      <c r="A323" s="64" t="n"/>
      <c r="B323" s="64" t="n"/>
      <c r="C323" s="66" t="n"/>
      <c r="D323" s="66" t="n"/>
      <c r="E323" s="67" t="n"/>
      <c r="F323" s="67" t="n"/>
      <c r="G323" s="67" t="n"/>
      <c r="H323" s="67" t="n"/>
      <c r="I323" s="67" t="n"/>
      <c r="J323" s="67" t="n"/>
      <c r="K323" s="67" t="n"/>
      <c r="L323" s="67" t="n"/>
      <c r="M323" s="64" t="n"/>
      <c r="N323" s="84">
        <f>IF(A323="","",IFERROR(INDEX(Firms!$B$5:$B$1004,MATCH(A323,Firms!$A$5:$A$1004,0)),"Not on Firms tab"))</f>
        <v/>
      </c>
      <c r="O323" s="84">
        <f>IF(A323="","",IF(AND(D323&lt;&gt;"",D323&lt;TODAY()),"Expired",IF(AND(C323&lt;&gt;"",C323&gt;TODAY()),"Not yet effective",IF(C323="","No date",IF(TODAY()&gt;=EDATE(C323,Review_Months),"Review Due","Current")))))</f>
        <v/>
      </c>
      <c r="P323">
        <f>IF(A323="","",A323&amp;"|"&amp;B323)</f>
        <v/>
      </c>
      <c r="Q323">
        <f>IF(AND(A323&lt;&gt;"",A323='Firm Search'!$C$7),COUNTIF($A$5:A323,'Firm Search'!$C$7),"")</f>
        <v/>
      </c>
      <c r="R323">
        <f>IF(A323="","",COUNTIF($A$5:$A$1004,"&lt;"&amp;A323)+COUNTIF($A$5:A323,A323))</f>
        <v/>
      </c>
    </row>
    <row r="324">
      <c r="A324" s="64" t="n"/>
      <c r="B324" s="64" t="n"/>
      <c r="C324" s="66" t="n"/>
      <c r="D324" s="66" t="n"/>
      <c r="E324" s="67" t="n"/>
      <c r="F324" s="67" t="n"/>
      <c r="G324" s="67" t="n"/>
      <c r="H324" s="67" t="n"/>
      <c r="I324" s="67" t="n"/>
      <c r="J324" s="67" t="n"/>
      <c r="K324" s="67" t="n"/>
      <c r="L324" s="67" t="n"/>
      <c r="M324" s="64" t="n"/>
      <c r="N324" s="84">
        <f>IF(A324="","",IFERROR(INDEX(Firms!$B$5:$B$1004,MATCH(A324,Firms!$A$5:$A$1004,0)),"Not on Firms tab"))</f>
        <v/>
      </c>
      <c r="O324" s="84">
        <f>IF(A324="","",IF(AND(D324&lt;&gt;"",D324&lt;TODAY()),"Expired",IF(AND(C324&lt;&gt;"",C324&gt;TODAY()),"Not yet effective",IF(C324="","No date",IF(TODAY()&gt;=EDATE(C324,Review_Months),"Review Due","Current")))))</f>
        <v/>
      </c>
      <c r="P324">
        <f>IF(A324="","",A324&amp;"|"&amp;B324)</f>
        <v/>
      </c>
      <c r="Q324">
        <f>IF(AND(A324&lt;&gt;"",A324='Firm Search'!$C$7),COUNTIF($A$5:A324,'Firm Search'!$C$7),"")</f>
        <v/>
      </c>
      <c r="R324">
        <f>IF(A324="","",COUNTIF($A$5:$A$1004,"&lt;"&amp;A324)+COUNTIF($A$5:A324,A324))</f>
        <v/>
      </c>
    </row>
    <row r="325">
      <c r="A325" s="64" t="n"/>
      <c r="B325" s="64" t="n"/>
      <c r="C325" s="66" t="n"/>
      <c r="D325" s="66" t="n"/>
      <c r="E325" s="67" t="n"/>
      <c r="F325" s="67" t="n"/>
      <c r="G325" s="67" t="n"/>
      <c r="H325" s="67" t="n"/>
      <c r="I325" s="67" t="n"/>
      <c r="J325" s="67" t="n"/>
      <c r="K325" s="67" t="n"/>
      <c r="L325" s="67" t="n"/>
      <c r="M325" s="64" t="n"/>
      <c r="N325" s="84">
        <f>IF(A325="","",IFERROR(INDEX(Firms!$B$5:$B$1004,MATCH(A325,Firms!$A$5:$A$1004,0)),"Not on Firms tab"))</f>
        <v/>
      </c>
      <c r="O325" s="84">
        <f>IF(A325="","",IF(AND(D325&lt;&gt;"",D325&lt;TODAY()),"Expired",IF(AND(C325&lt;&gt;"",C325&gt;TODAY()),"Not yet effective",IF(C325="","No date",IF(TODAY()&gt;=EDATE(C325,Review_Months),"Review Due","Current")))))</f>
        <v/>
      </c>
      <c r="P325">
        <f>IF(A325="","",A325&amp;"|"&amp;B325)</f>
        <v/>
      </c>
      <c r="Q325">
        <f>IF(AND(A325&lt;&gt;"",A325='Firm Search'!$C$7),COUNTIF($A$5:A325,'Firm Search'!$C$7),"")</f>
        <v/>
      </c>
      <c r="R325">
        <f>IF(A325="","",COUNTIF($A$5:$A$1004,"&lt;"&amp;A325)+COUNTIF($A$5:A325,A325))</f>
        <v/>
      </c>
    </row>
    <row r="326">
      <c r="A326" s="64" t="n"/>
      <c r="B326" s="64" t="n"/>
      <c r="C326" s="66" t="n"/>
      <c r="D326" s="66" t="n"/>
      <c r="E326" s="67" t="n"/>
      <c r="F326" s="67" t="n"/>
      <c r="G326" s="67" t="n"/>
      <c r="H326" s="67" t="n"/>
      <c r="I326" s="67" t="n"/>
      <c r="J326" s="67" t="n"/>
      <c r="K326" s="67" t="n"/>
      <c r="L326" s="67" t="n"/>
      <c r="M326" s="64" t="n"/>
      <c r="N326" s="84">
        <f>IF(A326="","",IFERROR(INDEX(Firms!$B$5:$B$1004,MATCH(A326,Firms!$A$5:$A$1004,0)),"Not on Firms tab"))</f>
        <v/>
      </c>
      <c r="O326" s="84">
        <f>IF(A326="","",IF(AND(D326&lt;&gt;"",D326&lt;TODAY()),"Expired",IF(AND(C326&lt;&gt;"",C326&gt;TODAY()),"Not yet effective",IF(C326="","No date",IF(TODAY()&gt;=EDATE(C326,Review_Months),"Review Due","Current")))))</f>
        <v/>
      </c>
      <c r="P326">
        <f>IF(A326="","",A326&amp;"|"&amp;B326)</f>
        <v/>
      </c>
      <c r="Q326">
        <f>IF(AND(A326&lt;&gt;"",A326='Firm Search'!$C$7),COUNTIF($A$5:A326,'Firm Search'!$C$7),"")</f>
        <v/>
      </c>
      <c r="R326">
        <f>IF(A326="","",COUNTIF($A$5:$A$1004,"&lt;"&amp;A326)+COUNTIF($A$5:A326,A326))</f>
        <v/>
      </c>
    </row>
    <row r="327">
      <c r="A327" s="64" t="n"/>
      <c r="B327" s="64" t="n"/>
      <c r="C327" s="66" t="n"/>
      <c r="D327" s="66" t="n"/>
      <c r="E327" s="67" t="n"/>
      <c r="F327" s="67" t="n"/>
      <c r="G327" s="67" t="n"/>
      <c r="H327" s="67" t="n"/>
      <c r="I327" s="67" t="n"/>
      <c r="J327" s="67" t="n"/>
      <c r="K327" s="67" t="n"/>
      <c r="L327" s="67" t="n"/>
      <c r="M327" s="64" t="n"/>
      <c r="N327" s="84">
        <f>IF(A327="","",IFERROR(INDEX(Firms!$B$5:$B$1004,MATCH(A327,Firms!$A$5:$A$1004,0)),"Not on Firms tab"))</f>
        <v/>
      </c>
      <c r="O327" s="84">
        <f>IF(A327="","",IF(AND(D327&lt;&gt;"",D327&lt;TODAY()),"Expired",IF(AND(C327&lt;&gt;"",C327&gt;TODAY()),"Not yet effective",IF(C327="","No date",IF(TODAY()&gt;=EDATE(C327,Review_Months),"Review Due","Current")))))</f>
        <v/>
      </c>
      <c r="P327">
        <f>IF(A327="","",A327&amp;"|"&amp;B327)</f>
        <v/>
      </c>
      <c r="Q327">
        <f>IF(AND(A327&lt;&gt;"",A327='Firm Search'!$C$7),COUNTIF($A$5:A327,'Firm Search'!$C$7),"")</f>
        <v/>
      </c>
      <c r="R327">
        <f>IF(A327="","",COUNTIF($A$5:$A$1004,"&lt;"&amp;A327)+COUNTIF($A$5:A327,A327))</f>
        <v/>
      </c>
    </row>
    <row r="328">
      <c r="A328" s="64" t="n"/>
      <c r="B328" s="64" t="n"/>
      <c r="C328" s="66" t="n"/>
      <c r="D328" s="66" t="n"/>
      <c r="E328" s="67" t="n"/>
      <c r="F328" s="67" t="n"/>
      <c r="G328" s="67" t="n"/>
      <c r="H328" s="67" t="n"/>
      <c r="I328" s="67" t="n"/>
      <c r="J328" s="67" t="n"/>
      <c r="K328" s="67" t="n"/>
      <c r="L328" s="67" t="n"/>
      <c r="M328" s="64" t="n"/>
      <c r="N328" s="84">
        <f>IF(A328="","",IFERROR(INDEX(Firms!$B$5:$B$1004,MATCH(A328,Firms!$A$5:$A$1004,0)),"Not on Firms tab"))</f>
        <v/>
      </c>
      <c r="O328" s="84">
        <f>IF(A328="","",IF(AND(D328&lt;&gt;"",D328&lt;TODAY()),"Expired",IF(AND(C328&lt;&gt;"",C328&gt;TODAY()),"Not yet effective",IF(C328="","No date",IF(TODAY()&gt;=EDATE(C328,Review_Months),"Review Due","Current")))))</f>
        <v/>
      </c>
      <c r="P328">
        <f>IF(A328="","",A328&amp;"|"&amp;B328)</f>
        <v/>
      </c>
      <c r="Q328">
        <f>IF(AND(A328&lt;&gt;"",A328='Firm Search'!$C$7),COUNTIF($A$5:A328,'Firm Search'!$C$7),"")</f>
        <v/>
      </c>
      <c r="R328">
        <f>IF(A328="","",COUNTIF($A$5:$A$1004,"&lt;"&amp;A328)+COUNTIF($A$5:A328,A328))</f>
        <v/>
      </c>
    </row>
    <row r="329">
      <c r="A329" s="64" t="n"/>
      <c r="B329" s="64" t="n"/>
      <c r="C329" s="66" t="n"/>
      <c r="D329" s="66" t="n"/>
      <c r="E329" s="67" t="n"/>
      <c r="F329" s="67" t="n"/>
      <c r="G329" s="67" t="n"/>
      <c r="H329" s="67" t="n"/>
      <c r="I329" s="67" t="n"/>
      <c r="J329" s="67" t="n"/>
      <c r="K329" s="67" t="n"/>
      <c r="L329" s="67" t="n"/>
      <c r="M329" s="64" t="n"/>
      <c r="N329" s="84">
        <f>IF(A329="","",IFERROR(INDEX(Firms!$B$5:$B$1004,MATCH(A329,Firms!$A$5:$A$1004,0)),"Not on Firms tab"))</f>
        <v/>
      </c>
      <c r="O329" s="84">
        <f>IF(A329="","",IF(AND(D329&lt;&gt;"",D329&lt;TODAY()),"Expired",IF(AND(C329&lt;&gt;"",C329&gt;TODAY()),"Not yet effective",IF(C329="","No date",IF(TODAY()&gt;=EDATE(C329,Review_Months),"Review Due","Current")))))</f>
        <v/>
      </c>
      <c r="P329">
        <f>IF(A329="","",A329&amp;"|"&amp;B329)</f>
        <v/>
      </c>
      <c r="Q329">
        <f>IF(AND(A329&lt;&gt;"",A329='Firm Search'!$C$7),COUNTIF($A$5:A329,'Firm Search'!$C$7),"")</f>
        <v/>
      </c>
      <c r="R329">
        <f>IF(A329="","",COUNTIF($A$5:$A$1004,"&lt;"&amp;A329)+COUNTIF($A$5:A329,A329))</f>
        <v/>
      </c>
    </row>
    <row r="330">
      <c r="A330" s="64" t="n"/>
      <c r="B330" s="64" t="n"/>
      <c r="C330" s="66" t="n"/>
      <c r="D330" s="66" t="n"/>
      <c r="E330" s="67" t="n"/>
      <c r="F330" s="67" t="n"/>
      <c r="G330" s="67" t="n"/>
      <c r="H330" s="67" t="n"/>
      <c r="I330" s="67" t="n"/>
      <c r="J330" s="67" t="n"/>
      <c r="K330" s="67" t="n"/>
      <c r="L330" s="67" t="n"/>
      <c r="M330" s="64" t="n"/>
      <c r="N330" s="84">
        <f>IF(A330="","",IFERROR(INDEX(Firms!$B$5:$B$1004,MATCH(A330,Firms!$A$5:$A$1004,0)),"Not on Firms tab"))</f>
        <v/>
      </c>
      <c r="O330" s="84">
        <f>IF(A330="","",IF(AND(D330&lt;&gt;"",D330&lt;TODAY()),"Expired",IF(AND(C330&lt;&gt;"",C330&gt;TODAY()),"Not yet effective",IF(C330="","No date",IF(TODAY()&gt;=EDATE(C330,Review_Months),"Review Due","Current")))))</f>
        <v/>
      </c>
      <c r="P330">
        <f>IF(A330="","",A330&amp;"|"&amp;B330)</f>
        <v/>
      </c>
      <c r="Q330">
        <f>IF(AND(A330&lt;&gt;"",A330='Firm Search'!$C$7),COUNTIF($A$5:A330,'Firm Search'!$C$7),"")</f>
        <v/>
      </c>
      <c r="R330">
        <f>IF(A330="","",COUNTIF($A$5:$A$1004,"&lt;"&amp;A330)+COUNTIF($A$5:A330,A330))</f>
        <v/>
      </c>
    </row>
    <row r="331">
      <c r="A331" s="64" t="n"/>
      <c r="B331" s="64" t="n"/>
      <c r="C331" s="66" t="n"/>
      <c r="D331" s="66" t="n"/>
      <c r="E331" s="67" t="n"/>
      <c r="F331" s="67" t="n"/>
      <c r="G331" s="67" t="n"/>
      <c r="H331" s="67" t="n"/>
      <c r="I331" s="67" t="n"/>
      <c r="J331" s="67" t="n"/>
      <c r="K331" s="67" t="n"/>
      <c r="L331" s="67" t="n"/>
      <c r="M331" s="64" t="n"/>
      <c r="N331" s="84">
        <f>IF(A331="","",IFERROR(INDEX(Firms!$B$5:$B$1004,MATCH(A331,Firms!$A$5:$A$1004,0)),"Not on Firms tab"))</f>
        <v/>
      </c>
      <c r="O331" s="84">
        <f>IF(A331="","",IF(AND(D331&lt;&gt;"",D331&lt;TODAY()),"Expired",IF(AND(C331&lt;&gt;"",C331&gt;TODAY()),"Not yet effective",IF(C331="","No date",IF(TODAY()&gt;=EDATE(C331,Review_Months),"Review Due","Current")))))</f>
        <v/>
      </c>
      <c r="P331">
        <f>IF(A331="","",A331&amp;"|"&amp;B331)</f>
        <v/>
      </c>
      <c r="Q331">
        <f>IF(AND(A331&lt;&gt;"",A331='Firm Search'!$C$7),COUNTIF($A$5:A331,'Firm Search'!$C$7),"")</f>
        <v/>
      </c>
      <c r="R331">
        <f>IF(A331="","",COUNTIF($A$5:$A$1004,"&lt;"&amp;A331)+COUNTIF($A$5:A331,A331))</f>
        <v/>
      </c>
    </row>
    <row r="332">
      <c r="A332" s="64" t="n"/>
      <c r="B332" s="64" t="n"/>
      <c r="C332" s="66" t="n"/>
      <c r="D332" s="66" t="n"/>
      <c r="E332" s="67" t="n"/>
      <c r="F332" s="67" t="n"/>
      <c r="G332" s="67" t="n"/>
      <c r="H332" s="67" t="n"/>
      <c r="I332" s="67" t="n"/>
      <c r="J332" s="67" t="n"/>
      <c r="K332" s="67" t="n"/>
      <c r="L332" s="67" t="n"/>
      <c r="M332" s="64" t="n"/>
      <c r="N332" s="84">
        <f>IF(A332="","",IFERROR(INDEX(Firms!$B$5:$B$1004,MATCH(A332,Firms!$A$5:$A$1004,0)),"Not on Firms tab"))</f>
        <v/>
      </c>
      <c r="O332" s="84">
        <f>IF(A332="","",IF(AND(D332&lt;&gt;"",D332&lt;TODAY()),"Expired",IF(AND(C332&lt;&gt;"",C332&gt;TODAY()),"Not yet effective",IF(C332="","No date",IF(TODAY()&gt;=EDATE(C332,Review_Months),"Review Due","Current")))))</f>
        <v/>
      </c>
      <c r="P332">
        <f>IF(A332="","",A332&amp;"|"&amp;B332)</f>
        <v/>
      </c>
      <c r="Q332">
        <f>IF(AND(A332&lt;&gt;"",A332='Firm Search'!$C$7),COUNTIF($A$5:A332,'Firm Search'!$C$7),"")</f>
        <v/>
      </c>
      <c r="R332">
        <f>IF(A332="","",COUNTIF($A$5:$A$1004,"&lt;"&amp;A332)+COUNTIF($A$5:A332,A332))</f>
        <v/>
      </c>
    </row>
    <row r="333">
      <c r="A333" s="64" t="n"/>
      <c r="B333" s="64" t="n"/>
      <c r="C333" s="66" t="n"/>
      <c r="D333" s="66" t="n"/>
      <c r="E333" s="67" t="n"/>
      <c r="F333" s="67" t="n"/>
      <c r="G333" s="67" t="n"/>
      <c r="H333" s="67" t="n"/>
      <c r="I333" s="67" t="n"/>
      <c r="J333" s="67" t="n"/>
      <c r="K333" s="67" t="n"/>
      <c r="L333" s="67" t="n"/>
      <c r="M333" s="64" t="n"/>
      <c r="N333" s="84">
        <f>IF(A333="","",IFERROR(INDEX(Firms!$B$5:$B$1004,MATCH(A333,Firms!$A$5:$A$1004,0)),"Not on Firms tab"))</f>
        <v/>
      </c>
      <c r="O333" s="84">
        <f>IF(A333="","",IF(AND(D333&lt;&gt;"",D333&lt;TODAY()),"Expired",IF(AND(C333&lt;&gt;"",C333&gt;TODAY()),"Not yet effective",IF(C333="","No date",IF(TODAY()&gt;=EDATE(C333,Review_Months),"Review Due","Current")))))</f>
        <v/>
      </c>
      <c r="P333">
        <f>IF(A333="","",A333&amp;"|"&amp;B333)</f>
        <v/>
      </c>
      <c r="Q333">
        <f>IF(AND(A333&lt;&gt;"",A333='Firm Search'!$C$7),COUNTIF($A$5:A333,'Firm Search'!$C$7),"")</f>
        <v/>
      </c>
      <c r="R333">
        <f>IF(A333="","",COUNTIF($A$5:$A$1004,"&lt;"&amp;A333)+COUNTIF($A$5:A333,A333))</f>
        <v/>
      </c>
    </row>
    <row r="334">
      <c r="A334" s="64" t="n"/>
      <c r="B334" s="64" t="n"/>
      <c r="C334" s="66" t="n"/>
      <c r="D334" s="66" t="n"/>
      <c r="E334" s="67" t="n"/>
      <c r="F334" s="67" t="n"/>
      <c r="G334" s="67" t="n"/>
      <c r="H334" s="67" t="n"/>
      <c r="I334" s="67" t="n"/>
      <c r="J334" s="67" t="n"/>
      <c r="K334" s="67" t="n"/>
      <c r="L334" s="67" t="n"/>
      <c r="M334" s="64" t="n"/>
      <c r="N334" s="84">
        <f>IF(A334="","",IFERROR(INDEX(Firms!$B$5:$B$1004,MATCH(A334,Firms!$A$5:$A$1004,0)),"Not on Firms tab"))</f>
        <v/>
      </c>
      <c r="O334" s="84">
        <f>IF(A334="","",IF(AND(D334&lt;&gt;"",D334&lt;TODAY()),"Expired",IF(AND(C334&lt;&gt;"",C334&gt;TODAY()),"Not yet effective",IF(C334="","No date",IF(TODAY()&gt;=EDATE(C334,Review_Months),"Review Due","Current")))))</f>
        <v/>
      </c>
      <c r="P334">
        <f>IF(A334="","",A334&amp;"|"&amp;B334)</f>
        <v/>
      </c>
      <c r="Q334">
        <f>IF(AND(A334&lt;&gt;"",A334='Firm Search'!$C$7),COUNTIF($A$5:A334,'Firm Search'!$C$7),"")</f>
        <v/>
      </c>
      <c r="R334">
        <f>IF(A334="","",COUNTIF($A$5:$A$1004,"&lt;"&amp;A334)+COUNTIF($A$5:A334,A334))</f>
        <v/>
      </c>
    </row>
    <row r="335">
      <c r="A335" s="64" t="n"/>
      <c r="B335" s="64" t="n"/>
      <c r="C335" s="66" t="n"/>
      <c r="D335" s="66" t="n"/>
      <c r="E335" s="67" t="n"/>
      <c r="F335" s="67" t="n"/>
      <c r="G335" s="67" t="n"/>
      <c r="H335" s="67" t="n"/>
      <c r="I335" s="67" t="n"/>
      <c r="J335" s="67" t="n"/>
      <c r="K335" s="67" t="n"/>
      <c r="L335" s="67" t="n"/>
      <c r="M335" s="64" t="n"/>
      <c r="N335" s="84">
        <f>IF(A335="","",IFERROR(INDEX(Firms!$B$5:$B$1004,MATCH(A335,Firms!$A$5:$A$1004,0)),"Not on Firms tab"))</f>
        <v/>
      </c>
      <c r="O335" s="84">
        <f>IF(A335="","",IF(AND(D335&lt;&gt;"",D335&lt;TODAY()),"Expired",IF(AND(C335&lt;&gt;"",C335&gt;TODAY()),"Not yet effective",IF(C335="","No date",IF(TODAY()&gt;=EDATE(C335,Review_Months),"Review Due","Current")))))</f>
        <v/>
      </c>
      <c r="P335">
        <f>IF(A335="","",A335&amp;"|"&amp;B335)</f>
        <v/>
      </c>
      <c r="Q335">
        <f>IF(AND(A335&lt;&gt;"",A335='Firm Search'!$C$7),COUNTIF($A$5:A335,'Firm Search'!$C$7),"")</f>
        <v/>
      </c>
      <c r="R335">
        <f>IF(A335="","",COUNTIF($A$5:$A$1004,"&lt;"&amp;A335)+COUNTIF($A$5:A335,A335))</f>
        <v/>
      </c>
    </row>
    <row r="336">
      <c r="A336" s="64" t="n"/>
      <c r="B336" s="64" t="n"/>
      <c r="C336" s="66" t="n"/>
      <c r="D336" s="66" t="n"/>
      <c r="E336" s="67" t="n"/>
      <c r="F336" s="67" t="n"/>
      <c r="G336" s="67" t="n"/>
      <c r="H336" s="67" t="n"/>
      <c r="I336" s="67" t="n"/>
      <c r="J336" s="67" t="n"/>
      <c r="K336" s="67" t="n"/>
      <c r="L336" s="67" t="n"/>
      <c r="M336" s="64" t="n"/>
      <c r="N336" s="84">
        <f>IF(A336="","",IFERROR(INDEX(Firms!$B$5:$B$1004,MATCH(A336,Firms!$A$5:$A$1004,0)),"Not on Firms tab"))</f>
        <v/>
      </c>
      <c r="O336" s="84">
        <f>IF(A336="","",IF(AND(D336&lt;&gt;"",D336&lt;TODAY()),"Expired",IF(AND(C336&lt;&gt;"",C336&gt;TODAY()),"Not yet effective",IF(C336="","No date",IF(TODAY()&gt;=EDATE(C336,Review_Months),"Review Due","Current")))))</f>
        <v/>
      </c>
      <c r="P336">
        <f>IF(A336="","",A336&amp;"|"&amp;B336)</f>
        <v/>
      </c>
      <c r="Q336">
        <f>IF(AND(A336&lt;&gt;"",A336='Firm Search'!$C$7),COUNTIF($A$5:A336,'Firm Search'!$C$7),"")</f>
        <v/>
      </c>
      <c r="R336">
        <f>IF(A336="","",COUNTIF($A$5:$A$1004,"&lt;"&amp;A336)+COUNTIF($A$5:A336,A336))</f>
        <v/>
      </c>
    </row>
    <row r="337">
      <c r="A337" s="64" t="n"/>
      <c r="B337" s="64" t="n"/>
      <c r="C337" s="66" t="n"/>
      <c r="D337" s="66" t="n"/>
      <c r="E337" s="67" t="n"/>
      <c r="F337" s="67" t="n"/>
      <c r="G337" s="67" t="n"/>
      <c r="H337" s="67" t="n"/>
      <c r="I337" s="67" t="n"/>
      <c r="J337" s="67" t="n"/>
      <c r="K337" s="67" t="n"/>
      <c r="L337" s="67" t="n"/>
      <c r="M337" s="64" t="n"/>
      <c r="N337" s="84">
        <f>IF(A337="","",IFERROR(INDEX(Firms!$B$5:$B$1004,MATCH(A337,Firms!$A$5:$A$1004,0)),"Not on Firms tab"))</f>
        <v/>
      </c>
      <c r="O337" s="84">
        <f>IF(A337="","",IF(AND(D337&lt;&gt;"",D337&lt;TODAY()),"Expired",IF(AND(C337&lt;&gt;"",C337&gt;TODAY()),"Not yet effective",IF(C337="","No date",IF(TODAY()&gt;=EDATE(C337,Review_Months),"Review Due","Current")))))</f>
        <v/>
      </c>
      <c r="P337">
        <f>IF(A337="","",A337&amp;"|"&amp;B337)</f>
        <v/>
      </c>
      <c r="Q337">
        <f>IF(AND(A337&lt;&gt;"",A337='Firm Search'!$C$7),COUNTIF($A$5:A337,'Firm Search'!$C$7),"")</f>
        <v/>
      </c>
      <c r="R337">
        <f>IF(A337="","",COUNTIF($A$5:$A$1004,"&lt;"&amp;A337)+COUNTIF($A$5:A337,A337))</f>
        <v/>
      </c>
    </row>
    <row r="338">
      <c r="A338" s="64" t="n"/>
      <c r="B338" s="64" t="n"/>
      <c r="C338" s="66" t="n"/>
      <c r="D338" s="66" t="n"/>
      <c r="E338" s="67" t="n"/>
      <c r="F338" s="67" t="n"/>
      <c r="G338" s="67" t="n"/>
      <c r="H338" s="67" t="n"/>
      <c r="I338" s="67" t="n"/>
      <c r="J338" s="67" t="n"/>
      <c r="K338" s="67" t="n"/>
      <c r="L338" s="67" t="n"/>
      <c r="M338" s="64" t="n"/>
      <c r="N338" s="84">
        <f>IF(A338="","",IFERROR(INDEX(Firms!$B$5:$B$1004,MATCH(A338,Firms!$A$5:$A$1004,0)),"Not on Firms tab"))</f>
        <v/>
      </c>
      <c r="O338" s="84">
        <f>IF(A338="","",IF(AND(D338&lt;&gt;"",D338&lt;TODAY()),"Expired",IF(AND(C338&lt;&gt;"",C338&gt;TODAY()),"Not yet effective",IF(C338="","No date",IF(TODAY()&gt;=EDATE(C338,Review_Months),"Review Due","Current")))))</f>
        <v/>
      </c>
      <c r="P338">
        <f>IF(A338="","",A338&amp;"|"&amp;B338)</f>
        <v/>
      </c>
      <c r="Q338">
        <f>IF(AND(A338&lt;&gt;"",A338='Firm Search'!$C$7),COUNTIF($A$5:A338,'Firm Search'!$C$7),"")</f>
        <v/>
      </c>
      <c r="R338">
        <f>IF(A338="","",COUNTIF($A$5:$A$1004,"&lt;"&amp;A338)+COUNTIF($A$5:A338,A338))</f>
        <v/>
      </c>
    </row>
    <row r="339">
      <c r="A339" s="64" t="n"/>
      <c r="B339" s="64" t="n"/>
      <c r="C339" s="66" t="n"/>
      <c r="D339" s="66" t="n"/>
      <c r="E339" s="67" t="n"/>
      <c r="F339" s="67" t="n"/>
      <c r="G339" s="67" t="n"/>
      <c r="H339" s="67" t="n"/>
      <c r="I339" s="67" t="n"/>
      <c r="J339" s="67" t="n"/>
      <c r="K339" s="67" t="n"/>
      <c r="L339" s="67" t="n"/>
      <c r="M339" s="64" t="n"/>
      <c r="N339" s="84">
        <f>IF(A339="","",IFERROR(INDEX(Firms!$B$5:$B$1004,MATCH(A339,Firms!$A$5:$A$1004,0)),"Not on Firms tab"))</f>
        <v/>
      </c>
      <c r="O339" s="84">
        <f>IF(A339="","",IF(AND(D339&lt;&gt;"",D339&lt;TODAY()),"Expired",IF(AND(C339&lt;&gt;"",C339&gt;TODAY()),"Not yet effective",IF(C339="","No date",IF(TODAY()&gt;=EDATE(C339,Review_Months),"Review Due","Current")))))</f>
        <v/>
      </c>
      <c r="P339">
        <f>IF(A339="","",A339&amp;"|"&amp;B339)</f>
        <v/>
      </c>
      <c r="Q339">
        <f>IF(AND(A339&lt;&gt;"",A339='Firm Search'!$C$7),COUNTIF($A$5:A339,'Firm Search'!$C$7),"")</f>
        <v/>
      </c>
      <c r="R339">
        <f>IF(A339="","",COUNTIF($A$5:$A$1004,"&lt;"&amp;A339)+COUNTIF($A$5:A339,A339))</f>
        <v/>
      </c>
    </row>
    <row r="340">
      <c r="A340" s="64" t="n"/>
      <c r="B340" s="64" t="n"/>
      <c r="C340" s="66" t="n"/>
      <c r="D340" s="66" t="n"/>
      <c r="E340" s="67" t="n"/>
      <c r="F340" s="67" t="n"/>
      <c r="G340" s="67" t="n"/>
      <c r="H340" s="67" t="n"/>
      <c r="I340" s="67" t="n"/>
      <c r="J340" s="67" t="n"/>
      <c r="K340" s="67" t="n"/>
      <c r="L340" s="67" t="n"/>
      <c r="M340" s="64" t="n"/>
      <c r="N340" s="84">
        <f>IF(A340="","",IFERROR(INDEX(Firms!$B$5:$B$1004,MATCH(A340,Firms!$A$5:$A$1004,0)),"Not on Firms tab"))</f>
        <v/>
      </c>
      <c r="O340" s="84">
        <f>IF(A340="","",IF(AND(D340&lt;&gt;"",D340&lt;TODAY()),"Expired",IF(AND(C340&lt;&gt;"",C340&gt;TODAY()),"Not yet effective",IF(C340="","No date",IF(TODAY()&gt;=EDATE(C340,Review_Months),"Review Due","Current")))))</f>
        <v/>
      </c>
      <c r="P340">
        <f>IF(A340="","",A340&amp;"|"&amp;B340)</f>
        <v/>
      </c>
      <c r="Q340">
        <f>IF(AND(A340&lt;&gt;"",A340='Firm Search'!$C$7),COUNTIF($A$5:A340,'Firm Search'!$C$7),"")</f>
        <v/>
      </c>
      <c r="R340">
        <f>IF(A340="","",COUNTIF($A$5:$A$1004,"&lt;"&amp;A340)+COUNTIF($A$5:A340,A340))</f>
        <v/>
      </c>
    </row>
    <row r="341">
      <c r="A341" s="64" t="n"/>
      <c r="B341" s="64" t="n"/>
      <c r="C341" s="66" t="n"/>
      <c r="D341" s="66" t="n"/>
      <c r="E341" s="67" t="n"/>
      <c r="F341" s="67" t="n"/>
      <c r="G341" s="67" t="n"/>
      <c r="H341" s="67" t="n"/>
      <c r="I341" s="67" t="n"/>
      <c r="J341" s="67" t="n"/>
      <c r="K341" s="67" t="n"/>
      <c r="L341" s="67" t="n"/>
      <c r="M341" s="64" t="n"/>
      <c r="N341" s="84">
        <f>IF(A341="","",IFERROR(INDEX(Firms!$B$5:$B$1004,MATCH(A341,Firms!$A$5:$A$1004,0)),"Not on Firms tab"))</f>
        <v/>
      </c>
      <c r="O341" s="84">
        <f>IF(A341="","",IF(AND(D341&lt;&gt;"",D341&lt;TODAY()),"Expired",IF(AND(C341&lt;&gt;"",C341&gt;TODAY()),"Not yet effective",IF(C341="","No date",IF(TODAY()&gt;=EDATE(C341,Review_Months),"Review Due","Current")))))</f>
        <v/>
      </c>
      <c r="P341">
        <f>IF(A341="","",A341&amp;"|"&amp;B341)</f>
        <v/>
      </c>
      <c r="Q341">
        <f>IF(AND(A341&lt;&gt;"",A341='Firm Search'!$C$7),COUNTIF($A$5:A341,'Firm Search'!$C$7),"")</f>
        <v/>
      </c>
      <c r="R341">
        <f>IF(A341="","",COUNTIF($A$5:$A$1004,"&lt;"&amp;A341)+COUNTIF($A$5:A341,A341))</f>
        <v/>
      </c>
    </row>
    <row r="342">
      <c r="A342" s="64" t="n"/>
      <c r="B342" s="64" t="n"/>
      <c r="C342" s="66" t="n"/>
      <c r="D342" s="66" t="n"/>
      <c r="E342" s="67" t="n"/>
      <c r="F342" s="67" t="n"/>
      <c r="G342" s="67" t="n"/>
      <c r="H342" s="67" t="n"/>
      <c r="I342" s="67" t="n"/>
      <c r="J342" s="67" t="n"/>
      <c r="K342" s="67" t="n"/>
      <c r="L342" s="67" t="n"/>
      <c r="M342" s="64" t="n"/>
      <c r="N342" s="84">
        <f>IF(A342="","",IFERROR(INDEX(Firms!$B$5:$B$1004,MATCH(A342,Firms!$A$5:$A$1004,0)),"Not on Firms tab"))</f>
        <v/>
      </c>
      <c r="O342" s="84">
        <f>IF(A342="","",IF(AND(D342&lt;&gt;"",D342&lt;TODAY()),"Expired",IF(AND(C342&lt;&gt;"",C342&gt;TODAY()),"Not yet effective",IF(C342="","No date",IF(TODAY()&gt;=EDATE(C342,Review_Months),"Review Due","Current")))))</f>
        <v/>
      </c>
      <c r="P342">
        <f>IF(A342="","",A342&amp;"|"&amp;B342)</f>
        <v/>
      </c>
      <c r="Q342">
        <f>IF(AND(A342&lt;&gt;"",A342='Firm Search'!$C$7),COUNTIF($A$5:A342,'Firm Search'!$C$7),"")</f>
        <v/>
      </c>
      <c r="R342">
        <f>IF(A342="","",COUNTIF($A$5:$A$1004,"&lt;"&amp;A342)+COUNTIF($A$5:A342,A342))</f>
        <v/>
      </c>
    </row>
    <row r="343">
      <c r="A343" s="64" t="n"/>
      <c r="B343" s="64" t="n"/>
      <c r="C343" s="66" t="n"/>
      <c r="D343" s="66" t="n"/>
      <c r="E343" s="67" t="n"/>
      <c r="F343" s="67" t="n"/>
      <c r="G343" s="67" t="n"/>
      <c r="H343" s="67" t="n"/>
      <c r="I343" s="67" t="n"/>
      <c r="J343" s="67" t="n"/>
      <c r="K343" s="67" t="n"/>
      <c r="L343" s="67" t="n"/>
      <c r="M343" s="64" t="n"/>
      <c r="N343" s="84">
        <f>IF(A343="","",IFERROR(INDEX(Firms!$B$5:$B$1004,MATCH(A343,Firms!$A$5:$A$1004,0)),"Not on Firms tab"))</f>
        <v/>
      </c>
      <c r="O343" s="84">
        <f>IF(A343="","",IF(AND(D343&lt;&gt;"",D343&lt;TODAY()),"Expired",IF(AND(C343&lt;&gt;"",C343&gt;TODAY()),"Not yet effective",IF(C343="","No date",IF(TODAY()&gt;=EDATE(C343,Review_Months),"Review Due","Current")))))</f>
        <v/>
      </c>
      <c r="P343">
        <f>IF(A343="","",A343&amp;"|"&amp;B343)</f>
        <v/>
      </c>
      <c r="Q343">
        <f>IF(AND(A343&lt;&gt;"",A343='Firm Search'!$C$7),COUNTIF($A$5:A343,'Firm Search'!$C$7),"")</f>
        <v/>
      </c>
      <c r="R343">
        <f>IF(A343="","",COUNTIF($A$5:$A$1004,"&lt;"&amp;A343)+COUNTIF($A$5:A343,A343))</f>
        <v/>
      </c>
    </row>
    <row r="344">
      <c r="A344" s="64" t="n"/>
      <c r="B344" s="64" t="n"/>
      <c r="C344" s="66" t="n"/>
      <c r="D344" s="66" t="n"/>
      <c r="E344" s="67" t="n"/>
      <c r="F344" s="67" t="n"/>
      <c r="G344" s="67" t="n"/>
      <c r="H344" s="67" t="n"/>
      <c r="I344" s="67" t="n"/>
      <c r="J344" s="67" t="n"/>
      <c r="K344" s="67" t="n"/>
      <c r="L344" s="67" t="n"/>
      <c r="M344" s="64" t="n"/>
      <c r="N344" s="84">
        <f>IF(A344="","",IFERROR(INDEX(Firms!$B$5:$B$1004,MATCH(A344,Firms!$A$5:$A$1004,0)),"Not on Firms tab"))</f>
        <v/>
      </c>
      <c r="O344" s="84">
        <f>IF(A344="","",IF(AND(D344&lt;&gt;"",D344&lt;TODAY()),"Expired",IF(AND(C344&lt;&gt;"",C344&gt;TODAY()),"Not yet effective",IF(C344="","No date",IF(TODAY()&gt;=EDATE(C344,Review_Months),"Review Due","Current")))))</f>
        <v/>
      </c>
      <c r="P344">
        <f>IF(A344="","",A344&amp;"|"&amp;B344)</f>
        <v/>
      </c>
      <c r="Q344">
        <f>IF(AND(A344&lt;&gt;"",A344='Firm Search'!$C$7),COUNTIF($A$5:A344,'Firm Search'!$C$7),"")</f>
        <v/>
      </c>
      <c r="R344">
        <f>IF(A344="","",COUNTIF($A$5:$A$1004,"&lt;"&amp;A344)+COUNTIF($A$5:A344,A344))</f>
        <v/>
      </c>
    </row>
    <row r="345">
      <c r="A345" s="64" t="n"/>
      <c r="B345" s="64" t="n"/>
      <c r="C345" s="66" t="n"/>
      <c r="D345" s="66" t="n"/>
      <c r="E345" s="67" t="n"/>
      <c r="F345" s="67" t="n"/>
      <c r="G345" s="67" t="n"/>
      <c r="H345" s="67" t="n"/>
      <c r="I345" s="67" t="n"/>
      <c r="J345" s="67" t="n"/>
      <c r="K345" s="67" t="n"/>
      <c r="L345" s="67" t="n"/>
      <c r="M345" s="64" t="n"/>
      <c r="N345" s="84">
        <f>IF(A345="","",IFERROR(INDEX(Firms!$B$5:$B$1004,MATCH(A345,Firms!$A$5:$A$1004,0)),"Not on Firms tab"))</f>
        <v/>
      </c>
      <c r="O345" s="84">
        <f>IF(A345="","",IF(AND(D345&lt;&gt;"",D345&lt;TODAY()),"Expired",IF(AND(C345&lt;&gt;"",C345&gt;TODAY()),"Not yet effective",IF(C345="","No date",IF(TODAY()&gt;=EDATE(C345,Review_Months),"Review Due","Current")))))</f>
        <v/>
      </c>
      <c r="P345">
        <f>IF(A345="","",A345&amp;"|"&amp;B345)</f>
        <v/>
      </c>
      <c r="Q345">
        <f>IF(AND(A345&lt;&gt;"",A345='Firm Search'!$C$7),COUNTIF($A$5:A345,'Firm Search'!$C$7),"")</f>
        <v/>
      </c>
      <c r="R345">
        <f>IF(A345="","",COUNTIF($A$5:$A$1004,"&lt;"&amp;A345)+COUNTIF($A$5:A345,A345))</f>
        <v/>
      </c>
    </row>
    <row r="346">
      <c r="A346" s="64" t="n"/>
      <c r="B346" s="64" t="n"/>
      <c r="C346" s="66" t="n"/>
      <c r="D346" s="66" t="n"/>
      <c r="E346" s="67" t="n"/>
      <c r="F346" s="67" t="n"/>
      <c r="G346" s="67" t="n"/>
      <c r="H346" s="67" t="n"/>
      <c r="I346" s="67" t="n"/>
      <c r="J346" s="67" t="n"/>
      <c r="K346" s="67" t="n"/>
      <c r="L346" s="67" t="n"/>
      <c r="M346" s="64" t="n"/>
      <c r="N346" s="84">
        <f>IF(A346="","",IFERROR(INDEX(Firms!$B$5:$B$1004,MATCH(A346,Firms!$A$5:$A$1004,0)),"Not on Firms tab"))</f>
        <v/>
      </c>
      <c r="O346" s="84">
        <f>IF(A346="","",IF(AND(D346&lt;&gt;"",D346&lt;TODAY()),"Expired",IF(AND(C346&lt;&gt;"",C346&gt;TODAY()),"Not yet effective",IF(C346="","No date",IF(TODAY()&gt;=EDATE(C346,Review_Months),"Review Due","Current")))))</f>
        <v/>
      </c>
      <c r="P346">
        <f>IF(A346="","",A346&amp;"|"&amp;B346)</f>
        <v/>
      </c>
      <c r="Q346">
        <f>IF(AND(A346&lt;&gt;"",A346='Firm Search'!$C$7),COUNTIF($A$5:A346,'Firm Search'!$C$7),"")</f>
        <v/>
      </c>
      <c r="R346">
        <f>IF(A346="","",COUNTIF($A$5:$A$1004,"&lt;"&amp;A346)+COUNTIF($A$5:A346,A346))</f>
        <v/>
      </c>
    </row>
    <row r="347">
      <c r="A347" s="64" t="n"/>
      <c r="B347" s="64" t="n"/>
      <c r="C347" s="66" t="n"/>
      <c r="D347" s="66" t="n"/>
      <c r="E347" s="67" t="n"/>
      <c r="F347" s="67" t="n"/>
      <c r="G347" s="67" t="n"/>
      <c r="H347" s="67" t="n"/>
      <c r="I347" s="67" t="n"/>
      <c r="J347" s="67" t="n"/>
      <c r="K347" s="67" t="n"/>
      <c r="L347" s="67" t="n"/>
      <c r="M347" s="64" t="n"/>
      <c r="N347" s="84">
        <f>IF(A347="","",IFERROR(INDEX(Firms!$B$5:$B$1004,MATCH(A347,Firms!$A$5:$A$1004,0)),"Not on Firms tab"))</f>
        <v/>
      </c>
      <c r="O347" s="84">
        <f>IF(A347="","",IF(AND(D347&lt;&gt;"",D347&lt;TODAY()),"Expired",IF(AND(C347&lt;&gt;"",C347&gt;TODAY()),"Not yet effective",IF(C347="","No date",IF(TODAY()&gt;=EDATE(C347,Review_Months),"Review Due","Current")))))</f>
        <v/>
      </c>
      <c r="P347">
        <f>IF(A347="","",A347&amp;"|"&amp;B347)</f>
        <v/>
      </c>
      <c r="Q347">
        <f>IF(AND(A347&lt;&gt;"",A347='Firm Search'!$C$7),COUNTIF($A$5:A347,'Firm Search'!$C$7),"")</f>
        <v/>
      </c>
      <c r="R347">
        <f>IF(A347="","",COUNTIF($A$5:$A$1004,"&lt;"&amp;A347)+COUNTIF($A$5:A347,A347))</f>
        <v/>
      </c>
    </row>
    <row r="348">
      <c r="A348" s="64" t="n"/>
      <c r="B348" s="64" t="n"/>
      <c r="C348" s="66" t="n"/>
      <c r="D348" s="66" t="n"/>
      <c r="E348" s="67" t="n"/>
      <c r="F348" s="67" t="n"/>
      <c r="G348" s="67" t="n"/>
      <c r="H348" s="67" t="n"/>
      <c r="I348" s="67" t="n"/>
      <c r="J348" s="67" t="n"/>
      <c r="K348" s="67" t="n"/>
      <c r="L348" s="67" t="n"/>
      <c r="M348" s="64" t="n"/>
      <c r="N348" s="84">
        <f>IF(A348="","",IFERROR(INDEX(Firms!$B$5:$B$1004,MATCH(A348,Firms!$A$5:$A$1004,0)),"Not on Firms tab"))</f>
        <v/>
      </c>
      <c r="O348" s="84">
        <f>IF(A348="","",IF(AND(D348&lt;&gt;"",D348&lt;TODAY()),"Expired",IF(AND(C348&lt;&gt;"",C348&gt;TODAY()),"Not yet effective",IF(C348="","No date",IF(TODAY()&gt;=EDATE(C348,Review_Months),"Review Due","Current")))))</f>
        <v/>
      </c>
      <c r="P348">
        <f>IF(A348="","",A348&amp;"|"&amp;B348)</f>
        <v/>
      </c>
      <c r="Q348">
        <f>IF(AND(A348&lt;&gt;"",A348='Firm Search'!$C$7),COUNTIF($A$5:A348,'Firm Search'!$C$7),"")</f>
        <v/>
      </c>
      <c r="R348">
        <f>IF(A348="","",COUNTIF($A$5:$A$1004,"&lt;"&amp;A348)+COUNTIF($A$5:A348,A348))</f>
        <v/>
      </c>
    </row>
    <row r="349">
      <c r="A349" s="64" t="n"/>
      <c r="B349" s="64" t="n"/>
      <c r="C349" s="66" t="n"/>
      <c r="D349" s="66" t="n"/>
      <c r="E349" s="67" t="n"/>
      <c r="F349" s="67" t="n"/>
      <c r="G349" s="67" t="n"/>
      <c r="H349" s="67" t="n"/>
      <c r="I349" s="67" t="n"/>
      <c r="J349" s="67" t="n"/>
      <c r="K349" s="67" t="n"/>
      <c r="L349" s="67" t="n"/>
      <c r="M349" s="64" t="n"/>
      <c r="N349" s="84">
        <f>IF(A349="","",IFERROR(INDEX(Firms!$B$5:$B$1004,MATCH(A349,Firms!$A$5:$A$1004,0)),"Not on Firms tab"))</f>
        <v/>
      </c>
      <c r="O349" s="84">
        <f>IF(A349="","",IF(AND(D349&lt;&gt;"",D349&lt;TODAY()),"Expired",IF(AND(C349&lt;&gt;"",C349&gt;TODAY()),"Not yet effective",IF(C349="","No date",IF(TODAY()&gt;=EDATE(C349,Review_Months),"Review Due","Current")))))</f>
        <v/>
      </c>
      <c r="P349">
        <f>IF(A349="","",A349&amp;"|"&amp;B349)</f>
        <v/>
      </c>
      <c r="Q349">
        <f>IF(AND(A349&lt;&gt;"",A349='Firm Search'!$C$7),COUNTIF($A$5:A349,'Firm Search'!$C$7),"")</f>
        <v/>
      </c>
      <c r="R349">
        <f>IF(A349="","",COUNTIF($A$5:$A$1004,"&lt;"&amp;A349)+COUNTIF($A$5:A349,A349))</f>
        <v/>
      </c>
    </row>
    <row r="350">
      <c r="A350" s="64" t="n"/>
      <c r="B350" s="64" t="n"/>
      <c r="C350" s="66" t="n"/>
      <c r="D350" s="66" t="n"/>
      <c r="E350" s="67" t="n"/>
      <c r="F350" s="67" t="n"/>
      <c r="G350" s="67" t="n"/>
      <c r="H350" s="67" t="n"/>
      <c r="I350" s="67" t="n"/>
      <c r="J350" s="67" t="n"/>
      <c r="K350" s="67" t="n"/>
      <c r="L350" s="67" t="n"/>
      <c r="M350" s="64" t="n"/>
      <c r="N350" s="84">
        <f>IF(A350="","",IFERROR(INDEX(Firms!$B$5:$B$1004,MATCH(A350,Firms!$A$5:$A$1004,0)),"Not on Firms tab"))</f>
        <v/>
      </c>
      <c r="O350" s="84">
        <f>IF(A350="","",IF(AND(D350&lt;&gt;"",D350&lt;TODAY()),"Expired",IF(AND(C350&lt;&gt;"",C350&gt;TODAY()),"Not yet effective",IF(C350="","No date",IF(TODAY()&gt;=EDATE(C350,Review_Months),"Review Due","Current")))))</f>
        <v/>
      </c>
      <c r="P350">
        <f>IF(A350="","",A350&amp;"|"&amp;B350)</f>
        <v/>
      </c>
      <c r="Q350">
        <f>IF(AND(A350&lt;&gt;"",A350='Firm Search'!$C$7),COUNTIF($A$5:A350,'Firm Search'!$C$7),"")</f>
        <v/>
      </c>
      <c r="R350">
        <f>IF(A350="","",COUNTIF($A$5:$A$1004,"&lt;"&amp;A350)+COUNTIF($A$5:A350,A350))</f>
        <v/>
      </c>
    </row>
    <row r="351">
      <c r="A351" s="64" t="n"/>
      <c r="B351" s="64" t="n"/>
      <c r="C351" s="66" t="n"/>
      <c r="D351" s="66" t="n"/>
      <c r="E351" s="67" t="n"/>
      <c r="F351" s="67" t="n"/>
      <c r="G351" s="67" t="n"/>
      <c r="H351" s="67" t="n"/>
      <c r="I351" s="67" t="n"/>
      <c r="J351" s="67" t="n"/>
      <c r="K351" s="67" t="n"/>
      <c r="L351" s="67" t="n"/>
      <c r="M351" s="64" t="n"/>
      <c r="N351" s="84">
        <f>IF(A351="","",IFERROR(INDEX(Firms!$B$5:$B$1004,MATCH(A351,Firms!$A$5:$A$1004,0)),"Not on Firms tab"))</f>
        <v/>
      </c>
      <c r="O351" s="84">
        <f>IF(A351="","",IF(AND(D351&lt;&gt;"",D351&lt;TODAY()),"Expired",IF(AND(C351&lt;&gt;"",C351&gt;TODAY()),"Not yet effective",IF(C351="","No date",IF(TODAY()&gt;=EDATE(C351,Review_Months),"Review Due","Current")))))</f>
        <v/>
      </c>
      <c r="P351">
        <f>IF(A351="","",A351&amp;"|"&amp;B351)</f>
        <v/>
      </c>
      <c r="Q351">
        <f>IF(AND(A351&lt;&gt;"",A351='Firm Search'!$C$7),COUNTIF($A$5:A351,'Firm Search'!$C$7),"")</f>
        <v/>
      </c>
      <c r="R351">
        <f>IF(A351="","",COUNTIF($A$5:$A$1004,"&lt;"&amp;A351)+COUNTIF($A$5:A351,A351))</f>
        <v/>
      </c>
    </row>
    <row r="352">
      <c r="A352" s="64" t="n"/>
      <c r="B352" s="64" t="n"/>
      <c r="C352" s="66" t="n"/>
      <c r="D352" s="66" t="n"/>
      <c r="E352" s="67" t="n"/>
      <c r="F352" s="67" t="n"/>
      <c r="G352" s="67" t="n"/>
      <c r="H352" s="67" t="n"/>
      <c r="I352" s="67" t="n"/>
      <c r="J352" s="67" t="n"/>
      <c r="K352" s="67" t="n"/>
      <c r="L352" s="67" t="n"/>
      <c r="M352" s="64" t="n"/>
      <c r="N352" s="84">
        <f>IF(A352="","",IFERROR(INDEX(Firms!$B$5:$B$1004,MATCH(A352,Firms!$A$5:$A$1004,0)),"Not on Firms tab"))</f>
        <v/>
      </c>
      <c r="O352" s="84">
        <f>IF(A352="","",IF(AND(D352&lt;&gt;"",D352&lt;TODAY()),"Expired",IF(AND(C352&lt;&gt;"",C352&gt;TODAY()),"Not yet effective",IF(C352="","No date",IF(TODAY()&gt;=EDATE(C352,Review_Months),"Review Due","Current")))))</f>
        <v/>
      </c>
      <c r="P352">
        <f>IF(A352="","",A352&amp;"|"&amp;B352)</f>
        <v/>
      </c>
      <c r="Q352">
        <f>IF(AND(A352&lt;&gt;"",A352='Firm Search'!$C$7),COUNTIF($A$5:A352,'Firm Search'!$C$7),"")</f>
        <v/>
      </c>
      <c r="R352">
        <f>IF(A352="","",COUNTIF($A$5:$A$1004,"&lt;"&amp;A352)+COUNTIF($A$5:A352,A352))</f>
        <v/>
      </c>
    </row>
    <row r="353">
      <c r="A353" s="64" t="n"/>
      <c r="B353" s="64" t="n"/>
      <c r="C353" s="66" t="n"/>
      <c r="D353" s="66" t="n"/>
      <c r="E353" s="67" t="n"/>
      <c r="F353" s="67" t="n"/>
      <c r="G353" s="67" t="n"/>
      <c r="H353" s="67" t="n"/>
      <c r="I353" s="67" t="n"/>
      <c r="J353" s="67" t="n"/>
      <c r="K353" s="67" t="n"/>
      <c r="L353" s="67" t="n"/>
      <c r="M353" s="64" t="n"/>
      <c r="N353" s="84">
        <f>IF(A353="","",IFERROR(INDEX(Firms!$B$5:$B$1004,MATCH(A353,Firms!$A$5:$A$1004,0)),"Not on Firms tab"))</f>
        <v/>
      </c>
      <c r="O353" s="84">
        <f>IF(A353="","",IF(AND(D353&lt;&gt;"",D353&lt;TODAY()),"Expired",IF(AND(C353&lt;&gt;"",C353&gt;TODAY()),"Not yet effective",IF(C353="","No date",IF(TODAY()&gt;=EDATE(C353,Review_Months),"Review Due","Current")))))</f>
        <v/>
      </c>
      <c r="P353">
        <f>IF(A353="","",A353&amp;"|"&amp;B353)</f>
        <v/>
      </c>
      <c r="Q353">
        <f>IF(AND(A353&lt;&gt;"",A353='Firm Search'!$C$7),COUNTIF($A$5:A353,'Firm Search'!$C$7),"")</f>
        <v/>
      </c>
      <c r="R353">
        <f>IF(A353="","",COUNTIF($A$5:$A$1004,"&lt;"&amp;A353)+COUNTIF($A$5:A353,A353))</f>
        <v/>
      </c>
    </row>
    <row r="354">
      <c r="A354" s="64" t="n"/>
      <c r="B354" s="64" t="n"/>
      <c r="C354" s="66" t="n"/>
      <c r="D354" s="66" t="n"/>
      <c r="E354" s="67" t="n"/>
      <c r="F354" s="67" t="n"/>
      <c r="G354" s="67" t="n"/>
      <c r="H354" s="67" t="n"/>
      <c r="I354" s="67" t="n"/>
      <c r="J354" s="67" t="n"/>
      <c r="K354" s="67" t="n"/>
      <c r="L354" s="67" t="n"/>
      <c r="M354" s="64" t="n"/>
      <c r="N354" s="84">
        <f>IF(A354="","",IFERROR(INDEX(Firms!$B$5:$B$1004,MATCH(A354,Firms!$A$5:$A$1004,0)),"Not on Firms tab"))</f>
        <v/>
      </c>
      <c r="O354" s="84">
        <f>IF(A354="","",IF(AND(D354&lt;&gt;"",D354&lt;TODAY()),"Expired",IF(AND(C354&lt;&gt;"",C354&gt;TODAY()),"Not yet effective",IF(C354="","No date",IF(TODAY()&gt;=EDATE(C354,Review_Months),"Review Due","Current")))))</f>
        <v/>
      </c>
      <c r="P354">
        <f>IF(A354="","",A354&amp;"|"&amp;B354)</f>
        <v/>
      </c>
      <c r="Q354">
        <f>IF(AND(A354&lt;&gt;"",A354='Firm Search'!$C$7),COUNTIF($A$5:A354,'Firm Search'!$C$7),"")</f>
        <v/>
      </c>
      <c r="R354">
        <f>IF(A354="","",COUNTIF($A$5:$A$1004,"&lt;"&amp;A354)+COUNTIF($A$5:A354,A354))</f>
        <v/>
      </c>
    </row>
    <row r="355">
      <c r="A355" s="64" t="n"/>
      <c r="B355" s="64" t="n"/>
      <c r="C355" s="66" t="n"/>
      <c r="D355" s="66" t="n"/>
      <c r="E355" s="67" t="n"/>
      <c r="F355" s="67" t="n"/>
      <c r="G355" s="67" t="n"/>
      <c r="H355" s="67" t="n"/>
      <c r="I355" s="67" t="n"/>
      <c r="J355" s="67" t="n"/>
      <c r="K355" s="67" t="n"/>
      <c r="L355" s="67" t="n"/>
      <c r="M355" s="64" t="n"/>
      <c r="N355" s="84">
        <f>IF(A355="","",IFERROR(INDEX(Firms!$B$5:$B$1004,MATCH(A355,Firms!$A$5:$A$1004,0)),"Not on Firms tab"))</f>
        <v/>
      </c>
      <c r="O355" s="84">
        <f>IF(A355="","",IF(AND(D355&lt;&gt;"",D355&lt;TODAY()),"Expired",IF(AND(C355&lt;&gt;"",C355&gt;TODAY()),"Not yet effective",IF(C355="","No date",IF(TODAY()&gt;=EDATE(C355,Review_Months),"Review Due","Current")))))</f>
        <v/>
      </c>
      <c r="P355">
        <f>IF(A355="","",A355&amp;"|"&amp;B355)</f>
        <v/>
      </c>
      <c r="Q355">
        <f>IF(AND(A355&lt;&gt;"",A355='Firm Search'!$C$7),COUNTIF($A$5:A355,'Firm Search'!$C$7),"")</f>
        <v/>
      </c>
      <c r="R355">
        <f>IF(A355="","",COUNTIF($A$5:$A$1004,"&lt;"&amp;A355)+COUNTIF($A$5:A355,A355))</f>
        <v/>
      </c>
    </row>
    <row r="356">
      <c r="A356" s="64" t="n"/>
      <c r="B356" s="64" t="n"/>
      <c r="C356" s="66" t="n"/>
      <c r="D356" s="66" t="n"/>
      <c r="E356" s="67" t="n"/>
      <c r="F356" s="67" t="n"/>
      <c r="G356" s="67" t="n"/>
      <c r="H356" s="67" t="n"/>
      <c r="I356" s="67" t="n"/>
      <c r="J356" s="67" t="n"/>
      <c r="K356" s="67" t="n"/>
      <c r="L356" s="67" t="n"/>
      <c r="M356" s="64" t="n"/>
      <c r="N356" s="84">
        <f>IF(A356="","",IFERROR(INDEX(Firms!$B$5:$B$1004,MATCH(A356,Firms!$A$5:$A$1004,0)),"Not on Firms tab"))</f>
        <v/>
      </c>
      <c r="O356" s="84">
        <f>IF(A356="","",IF(AND(D356&lt;&gt;"",D356&lt;TODAY()),"Expired",IF(AND(C356&lt;&gt;"",C356&gt;TODAY()),"Not yet effective",IF(C356="","No date",IF(TODAY()&gt;=EDATE(C356,Review_Months),"Review Due","Current")))))</f>
        <v/>
      </c>
      <c r="P356">
        <f>IF(A356="","",A356&amp;"|"&amp;B356)</f>
        <v/>
      </c>
      <c r="Q356">
        <f>IF(AND(A356&lt;&gt;"",A356='Firm Search'!$C$7),COUNTIF($A$5:A356,'Firm Search'!$C$7),"")</f>
        <v/>
      </c>
      <c r="R356">
        <f>IF(A356="","",COUNTIF($A$5:$A$1004,"&lt;"&amp;A356)+COUNTIF($A$5:A356,A356))</f>
        <v/>
      </c>
    </row>
    <row r="357">
      <c r="A357" s="64" t="n"/>
      <c r="B357" s="64" t="n"/>
      <c r="C357" s="66" t="n"/>
      <c r="D357" s="66" t="n"/>
      <c r="E357" s="67" t="n"/>
      <c r="F357" s="67" t="n"/>
      <c r="G357" s="67" t="n"/>
      <c r="H357" s="67" t="n"/>
      <c r="I357" s="67" t="n"/>
      <c r="J357" s="67" t="n"/>
      <c r="K357" s="67" t="n"/>
      <c r="L357" s="67" t="n"/>
      <c r="M357" s="64" t="n"/>
      <c r="N357" s="84">
        <f>IF(A357="","",IFERROR(INDEX(Firms!$B$5:$B$1004,MATCH(A357,Firms!$A$5:$A$1004,0)),"Not on Firms tab"))</f>
        <v/>
      </c>
      <c r="O357" s="84">
        <f>IF(A357="","",IF(AND(D357&lt;&gt;"",D357&lt;TODAY()),"Expired",IF(AND(C357&lt;&gt;"",C357&gt;TODAY()),"Not yet effective",IF(C357="","No date",IF(TODAY()&gt;=EDATE(C357,Review_Months),"Review Due","Current")))))</f>
        <v/>
      </c>
      <c r="P357">
        <f>IF(A357="","",A357&amp;"|"&amp;B357)</f>
        <v/>
      </c>
      <c r="Q357">
        <f>IF(AND(A357&lt;&gt;"",A357='Firm Search'!$C$7),COUNTIF($A$5:A357,'Firm Search'!$C$7),"")</f>
        <v/>
      </c>
      <c r="R357">
        <f>IF(A357="","",COUNTIF($A$5:$A$1004,"&lt;"&amp;A357)+COUNTIF($A$5:A357,A357))</f>
        <v/>
      </c>
    </row>
    <row r="358">
      <c r="A358" s="64" t="n"/>
      <c r="B358" s="64" t="n"/>
      <c r="C358" s="66" t="n"/>
      <c r="D358" s="66" t="n"/>
      <c r="E358" s="67" t="n"/>
      <c r="F358" s="67" t="n"/>
      <c r="G358" s="67" t="n"/>
      <c r="H358" s="67" t="n"/>
      <c r="I358" s="67" t="n"/>
      <c r="J358" s="67" t="n"/>
      <c r="K358" s="67" t="n"/>
      <c r="L358" s="67" t="n"/>
      <c r="M358" s="64" t="n"/>
      <c r="N358" s="84">
        <f>IF(A358="","",IFERROR(INDEX(Firms!$B$5:$B$1004,MATCH(A358,Firms!$A$5:$A$1004,0)),"Not on Firms tab"))</f>
        <v/>
      </c>
      <c r="O358" s="84">
        <f>IF(A358="","",IF(AND(D358&lt;&gt;"",D358&lt;TODAY()),"Expired",IF(AND(C358&lt;&gt;"",C358&gt;TODAY()),"Not yet effective",IF(C358="","No date",IF(TODAY()&gt;=EDATE(C358,Review_Months),"Review Due","Current")))))</f>
        <v/>
      </c>
      <c r="P358">
        <f>IF(A358="","",A358&amp;"|"&amp;B358)</f>
        <v/>
      </c>
      <c r="Q358">
        <f>IF(AND(A358&lt;&gt;"",A358='Firm Search'!$C$7),COUNTIF($A$5:A358,'Firm Search'!$C$7),"")</f>
        <v/>
      </c>
      <c r="R358">
        <f>IF(A358="","",COUNTIF($A$5:$A$1004,"&lt;"&amp;A358)+COUNTIF($A$5:A358,A358))</f>
        <v/>
      </c>
    </row>
    <row r="359">
      <c r="A359" s="64" t="n"/>
      <c r="B359" s="64" t="n"/>
      <c r="C359" s="66" t="n"/>
      <c r="D359" s="66" t="n"/>
      <c r="E359" s="67" t="n"/>
      <c r="F359" s="67" t="n"/>
      <c r="G359" s="67" t="n"/>
      <c r="H359" s="67" t="n"/>
      <c r="I359" s="67" t="n"/>
      <c r="J359" s="67" t="n"/>
      <c r="K359" s="67" t="n"/>
      <c r="L359" s="67" t="n"/>
      <c r="M359" s="64" t="n"/>
      <c r="N359" s="84">
        <f>IF(A359="","",IFERROR(INDEX(Firms!$B$5:$B$1004,MATCH(A359,Firms!$A$5:$A$1004,0)),"Not on Firms tab"))</f>
        <v/>
      </c>
      <c r="O359" s="84">
        <f>IF(A359="","",IF(AND(D359&lt;&gt;"",D359&lt;TODAY()),"Expired",IF(AND(C359&lt;&gt;"",C359&gt;TODAY()),"Not yet effective",IF(C359="","No date",IF(TODAY()&gt;=EDATE(C359,Review_Months),"Review Due","Current")))))</f>
        <v/>
      </c>
      <c r="P359">
        <f>IF(A359="","",A359&amp;"|"&amp;B359)</f>
        <v/>
      </c>
      <c r="Q359">
        <f>IF(AND(A359&lt;&gt;"",A359='Firm Search'!$C$7),COUNTIF($A$5:A359,'Firm Search'!$C$7),"")</f>
        <v/>
      </c>
      <c r="R359">
        <f>IF(A359="","",COUNTIF($A$5:$A$1004,"&lt;"&amp;A359)+COUNTIF($A$5:A359,A359))</f>
        <v/>
      </c>
    </row>
    <row r="360">
      <c r="A360" s="64" t="n"/>
      <c r="B360" s="64" t="n"/>
      <c r="C360" s="66" t="n"/>
      <c r="D360" s="66" t="n"/>
      <c r="E360" s="67" t="n"/>
      <c r="F360" s="67" t="n"/>
      <c r="G360" s="67" t="n"/>
      <c r="H360" s="67" t="n"/>
      <c r="I360" s="67" t="n"/>
      <c r="J360" s="67" t="n"/>
      <c r="K360" s="67" t="n"/>
      <c r="L360" s="67" t="n"/>
      <c r="M360" s="64" t="n"/>
      <c r="N360" s="84">
        <f>IF(A360="","",IFERROR(INDEX(Firms!$B$5:$B$1004,MATCH(A360,Firms!$A$5:$A$1004,0)),"Not on Firms tab"))</f>
        <v/>
      </c>
      <c r="O360" s="84">
        <f>IF(A360="","",IF(AND(D360&lt;&gt;"",D360&lt;TODAY()),"Expired",IF(AND(C360&lt;&gt;"",C360&gt;TODAY()),"Not yet effective",IF(C360="","No date",IF(TODAY()&gt;=EDATE(C360,Review_Months),"Review Due","Current")))))</f>
        <v/>
      </c>
      <c r="P360">
        <f>IF(A360="","",A360&amp;"|"&amp;B360)</f>
        <v/>
      </c>
      <c r="Q360">
        <f>IF(AND(A360&lt;&gt;"",A360='Firm Search'!$C$7),COUNTIF($A$5:A360,'Firm Search'!$C$7),"")</f>
        <v/>
      </c>
      <c r="R360">
        <f>IF(A360="","",COUNTIF($A$5:$A$1004,"&lt;"&amp;A360)+COUNTIF($A$5:A360,A360))</f>
        <v/>
      </c>
    </row>
    <row r="361">
      <c r="A361" s="64" t="n"/>
      <c r="B361" s="64" t="n"/>
      <c r="C361" s="66" t="n"/>
      <c r="D361" s="66" t="n"/>
      <c r="E361" s="67" t="n"/>
      <c r="F361" s="67" t="n"/>
      <c r="G361" s="67" t="n"/>
      <c r="H361" s="67" t="n"/>
      <c r="I361" s="67" t="n"/>
      <c r="J361" s="67" t="n"/>
      <c r="K361" s="67" t="n"/>
      <c r="L361" s="67" t="n"/>
      <c r="M361" s="64" t="n"/>
      <c r="N361" s="84">
        <f>IF(A361="","",IFERROR(INDEX(Firms!$B$5:$B$1004,MATCH(A361,Firms!$A$5:$A$1004,0)),"Not on Firms tab"))</f>
        <v/>
      </c>
      <c r="O361" s="84">
        <f>IF(A361="","",IF(AND(D361&lt;&gt;"",D361&lt;TODAY()),"Expired",IF(AND(C361&lt;&gt;"",C361&gt;TODAY()),"Not yet effective",IF(C361="","No date",IF(TODAY()&gt;=EDATE(C361,Review_Months),"Review Due","Current")))))</f>
        <v/>
      </c>
      <c r="P361">
        <f>IF(A361="","",A361&amp;"|"&amp;B361)</f>
        <v/>
      </c>
      <c r="Q361">
        <f>IF(AND(A361&lt;&gt;"",A361='Firm Search'!$C$7),COUNTIF($A$5:A361,'Firm Search'!$C$7),"")</f>
        <v/>
      </c>
      <c r="R361">
        <f>IF(A361="","",COUNTIF($A$5:$A$1004,"&lt;"&amp;A361)+COUNTIF($A$5:A361,A361))</f>
        <v/>
      </c>
    </row>
    <row r="362">
      <c r="A362" s="64" t="n"/>
      <c r="B362" s="64" t="n"/>
      <c r="C362" s="66" t="n"/>
      <c r="D362" s="66" t="n"/>
      <c r="E362" s="67" t="n"/>
      <c r="F362" s="67" t="n"/>
      <c r="G362" s="67" t="n"/>
      <c r="H362" s="67" t="n"/>
      <c r="I362" s="67" t="n"/>
      <c r="J362" s="67" t="n"/>
      <c r="K362" s="67" t="n"/>
      <c r="L362" s="67" t="n"/>
      <c r="M362" s="64" t="n"/>
      <c r="N362" s="84">
        <f>IF(A362="","",IFERROR(INDEX(Firms!$B$5:$B$1004,MATCH(A362,Firms!$A$5:$A$1004,0)),"Not on Firms tab"))</f>
        <v/>
      </c>
      <c r="O362" s="84">
        <f>IF(A362="","",IF(AND(D362&lt;&gt;"",D362&lt;TODAY()),"Expired",IF(AND(C362&lt;&gt;"",C362&gt;TODAY()),"Not yet effective",IF(C362="","No date",IF(TODAY()&gt;=EDATE(C362,Review_Months),"Review Due","Current")))))</f>
        <v/>
      </c>
      <c r="P362">
        <f>IF(A362="","",A362&amp;"|"&amp;B362)</f>
        <v/>
      </c>
      <c r="Q362">
        <f>IF(AND(A362&lt;&gt;"",A362='Firm Search'!$C$7),COUNTIF($A$5:A362,'Firm Search'!$C$7),"")</f>
        <v/>
      </c>
      <c r="R362">
        <f>IF(A362="","",COUNTIF($A$5:$A$1004,"&lt;"&amp;A362)+COUNTIF($A$5:A362,A362))</f>
        <v/>
      </c>
    </row>
    <row r="363">
      <c r="A363" s="64" t="n"/>
      <c r="B363" s="64" t="n"/>
      <c r="C363" s="66" t="n"/>
      <c r="D363" s="66" t="n"/>
      <c r="E363" s="67" t="n"/>
      <c r="F363" s="67" t="n"/>
      <c r="G363" s="67" t="n"/>
      <c r="H363" s="67" t="n"/>
      <c r="I363" s="67" t="n"/>
      <c r="J363" s="67" t="n"/>
      <c r="K363" s="67" t="n"/>
      <c r="L363" s="67" t="n"/>
      <c r="M363" s="64" t="n"/>
      <c r="N363" s="84">
        <f>IF(A363="","",IFERROR(INDEX(Firms!$B$5:$B$1004,MATCH(A363,Firms!$A$5:$A$1004,0)),"Not on Firms tab"))</f>
        <v/>
      </c>
      <c r="O363" s="84">
        <f>IF(A363="","",IF(AND(D363&lt;&gt;"",D363&lt;TODAY()),"Expired",IF(AND(C363&lt;&gt;"",C363&gt;TODAY()),"Not yet effective",IF(C363="","No date",IF(TODAY()&gt;=EDATE(C363,Review_Months),"Review Due","Current")))))</f>
        <v/>
      </c>
      <c r="P363">
        <f>IF(A363="","",A363&amp;"|"&amp;B363)</f>
        <v/>
      </c>
      <c r="Q363">
        <f>IF(AND(A363&lt;&gt;"",A363='Firm Search'!$C$7),COUNTIF($A$5:A363,'Firm Search'!$C$7),"")</f>
        <v/>
      </c>
      <c r="R363">
        <f>IF(A363="","",COUNTIF($A$5:$A$1004,"&lt;"&amp;A363)+COUNTIF($A$5:A363,A363))</f>
        <v/>
      </c>
    </row>
    <row r="364">
      <c r="A364" s="64" t="n"/>
      <c r="B364" s="64" t="n"/>
      <c r="C364" s="66" t="n"/>
      <c r="D364" s="66" t="n"/>
      <c r="E364" s="67" t="n"/>
      <c r="F364" s="67" t="n"/>
      <c r="G364" s="67" t="n"/>
      <c r="H364" s="67" t="n"/>
      <c r="I364" s="67" t="n"/>
      <c r="J364" s="67" t="n"/>
      <c r="K364" s="67" t="n"/>
      <c r="L364" s="67" t="n"/>
      <c r="M364" s="64" t="n"/>
      <c r="N364" s="84">
        <f>IF(A364="","",IFERROR(INDEX(Firms!$B$5:$B$1004,MATCH(A364,Firms!$A$5:$A$1004,0)),"Not on Firms tab"))</f>
        <v/>
      </c>
      <c r="O364" s="84">
        <f>IF(A364="","",IF(AND(D364&lt;&gt;"",D364&lt;TODAY()),"Expired",IF(AND(C364&lt;&gt;"",C364&gt;TODAY()),"Not yet effective",IF(C364="","No date",IF(TODAY()&gt;=EDATE(C364,Review_Months),"Review Due","Current")))))</f>
        <v/>
      </c>
      <c r="P364">
        <f>IF(A364="","",A364&amp;"|"&amp;B364)</f>
        <v/>
      </c>
      <c r="Q364">
        <f>IF(AND(A364&lt;&gt;"",A364='Firm Search'!$C$7),COUNTIF($A$5:A364,'Firm Search'!$C$7),"")</f>
        <v/>
      </c>
      <c r="R364">
        <f>IF(A364="","",COUNTIF($A$5:$A$1004,"&lt;"&amp;A364)+COUNTIF($A$5:A364,A364))</f>
        <v/>
      </c>
    </row>
    <row r="365">
      <c r="A365" s="64" t="n"/>
      <c r="B365" s="64" t="n"/>
      <c r="C365" s="66" t="n"/>
      <c r="D365" s="66" t="n"/>
      <c r="E365" s="67" t="n"/>
      <c r="F365" s="67" t="n"/>
      <c r="G365" s="67" t="n"/>
      <c r="H365" s="67" t="n"/>
      <c r="I365" s="67" t="n"/>
      <c r="J365" s="67" t="n"/>
      <c r="K365" s="67" t="n"/>
      <c r="L365" s="67" t="n"/>
      <c r="M365" s="64" t="n"/>
      <c r="N365" s="84">
        <f>IF(A365="","",IFERROR(INDEX(Firms!$B$5:$B$1004,MATCH(A365,Firms!$A$5:$A$1004,0)),"Not on Firms tab"))</f>
        <v/>
      </c>
      <c r="O365" s="84">
        <f>IF(A365="","",IF(AND(D365&lt;&gt;"",D365&lt;TODAY()),"Expired",IF(AND(C365&lt;&gt;"",C365&gt;TODAY()),"Not yet effective",IF(C365="","No date",IF(TODAY()&gt;=EDATE(C365,Review_Months),"Review Due","Current")))))</f>
        <v/>
      </c>
      <c r="P365">
        <f>IF(A365="","",A365&amp;"|"&amp;B365)</f>
        <v/>
      </c>
      <c r="Q365">
        <f>IF(AND(A365&lt;&gt;"",A365='Firm Search'!$C$7),COUNTIF($A$5:A365,'Firm Search'!$C$7),"")</f>
        <v/>
      </c>
      <c r="R365">
        <f>IF(A365="","",COUNTIF($A$5:$A$1004,"&lt;"&amp;A365)+COUNTIF($A$5:A365,A365))</f>
        <v/>
      </c>
    </row>
    <row r="366">
      <c r="A366" s="64" t="n"/>
      <c r="B366" s="64" t="n"/>
      <c r="C366" s="66" t="n"/>
      <c r="D366" s="66" t="n"/>
      <c r="E366" s="67" t="n"/>
      <c r="F366" s="67" t="n"/>
      <c r="G366" s="67" t="n"/>
      <c r="H366" s="67" t="n"/>
      <c r="I366" s="67" t="n"/>
      <c r="J366" s="67" t="n"/>
      <c r="K366" s="67" t="n"/>
      <c r="L366" s="67" t="n"/>
      <c r="M366" s="64" t="n"/>
      <c r="N366" s="84">
        <f>IF(A366="","",IFERROR(INDEX(Firms!$B$5:$B$1004,MATCH(A366,Firms!$A$5:$A$1004,0)),"Not on Firms tab"))</f>
        <v/>
      </c>
      <c r="O366" s="84">
        <f>IF(A366="","",IF(AND(D366&lt;&gt;"",D366&lt;TODAY()),"Expired",IF(AND(C366&lt;&gt;"",C366&gt;TODAY()),"Not yet effective",IF(C366="","No date",IF(TODAY()&gt;=EDATE(C366,Review_Months),"Review Due","Current")))))</f>
        <v/>
      </c>
      <c r="P366">
        <f>IF(A366="","",A366&amp;"|"&amp;B366)</f>
        <v/>
      </c>
      <c r="Q366">
        <f>IF(AND(A366&lt;&gt;"",A366='Firm Search'!$C$7),COUNTIF($A$5:A366,'Firm Search'!$C$7),"")</f>
        <v/>
      </c>
      <c r="R366">
        <f>IF(A366="","",COUNTIF($A$5:$A$1004,"&lt;"&amp;A366)+COUNTIF($A$5:A366,A366))</f>
        <v/>
      </c>
    </row>
    <row r="367">
      <c r="A367" s="64" t="n"/>
      <c r="B367" s="64" t="n"/>
      <c r="C367" s="66" t="n"/>
      <c r="D367" s="66" t="n"/>
      <c r="E367" s="67" t="n"/>
      <c r="F367" s="67" t="n"/>
      <c r="G367" s="67" t="n"/>
      <c r="H367" s="67" t="n"/>
      <c r="I367" s="67" t="n"/>
      <c r="J367" s="67" t="n"/>
      <c r="K367" s="67" t="n"/>
      <c r="L367" s="67" t="n"/>
      <c r="M367" s="64" t="n"/>
      <c r="N367" s="84">
        <f>IF(A367="","",IFERROR(INDEX(Firms!$B$5:$B$1004,MATCH(A367,Firms!$A$5:$A$1004,0)),"Not on Firms tab"))</f>
        <v/>
      </c>
      <c r="O367" s="84">
        <f>IF(A367="","",IF(AND(D367&lt;&gt;"",D367&lt;TODAY()),"Expired",IF(AND(C367&lt;&gt;"",C367&gt;TODAY()),"Not yet effective",IF(C367="","No date",IF(TODAY()&gt;=EDATE(C367,Review_Months),"Review Due","Current")))))</f>
        <v/>
      </c>
      <c r="P367">
        <f>IF(A367="","",A367&amp;"|"&amp;B367)</f>
        <v/>
      </c>
      <c r="Q367">
        <f>IF(AND(A367&lt;&gt;"",A367='Firm Search'!$C$7),COUNTIF($A$5:A367,'Firm Search'!$C$7),"")</f>
        <v/>
      </c>
      <c r="R367">
        <f>IF(A367="","",COUNTIF($A$5:$A$1004,"&lt;"&amp;A367)+COUNTIF($A$5:A367,A367))</f>
        <v/>
      </c>
    </row>
    <row r="368">
      <c r="A368" s="64" t="n"/>
      <c r="B368" s="64" t="n"/>
      <c r="C368" s="66" t="n"/>
      <c r="D368" s="66" t="n"/>
      <c r="E368" s="67" t="n"/>
      <c r="F368" s="67" t="n"/>
      <c r="G368" s="67" t="n"/>
      <c r="H368" s="67" t="n"/>
      <c r="I368" s="67" t="n"/>
      <c r="J368" s="67" t="n"/>
      <c r="K368" s="67" t="n"/>
      <c r="L368" s="67" t="n"/>
      <c r="M368" s="64" t="n"/>
      <c r="N368" s="84">
        <f>IF(A368="","",IFERROR(INDEX(Firms!$B$5:$B$1004,MATCH(A368,Firms!$A$5:$A$1004,0)),"Not on Firms tab"))</f>
        <v/>
      </c>
      <c r="O368" s="84">
        <f>IF(A368="","",IF(AND(D368&lt;&gt;"",D368&lt;TODAY()),"Expired",IF(AND(C368&lt;&gt;"",C368&gt;TODAY()),"Not yet effective",IF(C368="","No date",IF(TODAY()&gt;=EDATE(C368,Review_Months),"Review Due","Current")))))</f>
        <v/>
      </c>
      <c r="P368">
        <f>IF(A368="","",A368&amp;"|"&amp;B368)</f>
        <v/>
      </c>
      <c r="Q368">
        <f>IF(AND(A368&lt;&gt;"",A368='Firm Search'!$C$7),COUNTIF($A$5:A368,'Firm Search'!$C$7),"")</f>
        <v/>
      </c>
      <c r="R368">
        <f>IF(A368="","",COUNTIF($A$5:$A$1004,"&lt;"&amp;A368)+COUNTIF($A$5:A368,A368))</f>
        <v/>
      </c>
    </row>
    <row r="369">
      <c r="A369" s="64" t="n"/>
      <c r="B369" s="64" t="n"/>
      <c r="C369" s="66" t="n"/>
      <c r="D369" s="66" t="n"/>
      <c r="E369" s="67" t="n"/>
      <c r="F369" s="67" t="n"/>
      <c r="G369" s="67" t="n"/>
      <c r="H369" s="67" t="n"/>
      <c r="I369" s="67" t="n"/>
      <c r="J369" s="67" t="n"/>
      <c r="K369" s="67" t="n"/>
      <c r="L369" s="67" t="n"/>
      <c r="M369" s="64" t="n"/>
      <c r="N369" s="84">
        <f>IF(A369="","",IFERROR(INDEX(Firms!$B$5:$B$1004,MATCH(A369,Firms!$A$5:$A$1004,0)),"Not on Firms tab"))</f>
        <v/>
      </c>
      <c r="O369" s="84">
        <f>IF(A369="","",IF(AND(D369&lt;&gt;"",D369&lt;TODAY()),"Expired",IF(AND(C369&lt;&gt;"",C369&gt;TODAY()),"Not yet effective",IF(C369="","No date",IF(TODAY()&gt;=EDATE(C369,Review_Months),"Review Due","Current")))))</f>
        <v/>
      </c>
      <c r="P369">
        <f>IF(A369="","",A369&amp;"|"&amp;B369)</f>
        <v/>
      </c>
      <c r="Q369">
        <f>IF(AND(A369&lt;&gt;"",A369='Firm Search'!$C$7),COUNTIF($A$5:A369,'Firm Search'!$C$7),"")</f>
        <v/>
      </c>
      <c r="R369">
        <f>IF(A369="","",COUNTIF($A$5:$A$1004,"&lt;"&amp;A369)+COUNTIF($A$5:A369,A369))</f>
        <v/>
      </c>
    </row>
    <row r="370">
      <c r="A370" s="64" t="n"/>
      <c r="B370" s="64" t="n"/>
      <c r="C370" s="66" t="n"/>
      <c r="D370" s="66" t="n"/>
      <c r="E370" s="67" t="n"/>
      <c r="F370" s="67" t="n"/>
      <c r="G370" s="67" t="n"/>
      <c r="H370" s="67" t="n"/>
      <c r="I370" s="67" t="n"/>
      <c r="J370" s="67" t="n"/>
      <c r="K370" s="67" t="n"/>
      <c r="L370" s="67" t="n"/>
      <c r="M370" s="64" t="n"/>
      <c r="N370" s="84">
        <f>IF(A370="","",IFERROR(INDEX(Firms!$B$5:$B$1004,MATCH(A370,Firms!$A$5:$A$1004,0)),"Not on Firms tab"))</f>
        <v/>
      </c>
      <c r="O370" s="84">
        <f>IF(A370="","",IF(AND(D370&lt;&gt;"",D370&lt;TODAY()),"Expired",IF(AND(C370&lt;&gt;"",C370&gt;TODAY()),"Not yet effective",IF(C370="","No date",IF(TODAY()&gt;=EDATE(C370,Review_Months),"Review Due","Current")))))</f>
        <v/>
      </c>
      <c r="P370">
        <f>IF(A370="","",A370&amp;"|"&amp;B370)</f>
        <v/>
      </c>
      <c r="Q370">
        <f>IF(AND(A370&lt;&gt;"",A370='Firm Search'!$C$7),COUNTIF($A$5:A370,'Firm Search'!$C$7),"")</f>
        <v/>
      </c>
      <c r="R370">
        <f>IF(A370="","",COUNTIF($A$5:$A$1004,"&lt;"&amp;A370)+COUNTIF($A$5:A370,A370))</f>
        <v/>
      </c>
    </row>
    <row r="371">
      <c r="A371" s="64" t="n"/>
      <c r="B371" s="64" t="n"/>
      <c r="C371" s="66" t="n"/>
      <c r="D371" s="66" t="n"/>
      <c r="E371" s="67" t="n"/>
      <c r="F371" s="67" t="n"/>
      <c r="G371" s="67" t="n"/>
      <c r="H371" s="67" t="n"/>
      <c r="I371" s="67" t="n"/>
      <c r="J371" s="67" t="n"/>
      <c r="K371" s="67" t="n"/>
      <c r="L371" s="67" t="n"/>
      <c r="M371" s="64" t="n"/>
      <c r="N371" s="84">
        <f>IF(A371="","",IFERROR(INDEX(Firms!$B$5:$B$1004,MATCH(A371,Firms!$A$5:$A$1004,0)),"Not on Firms tab"))</f>
        <v/>
      </c>
      <c r="O371" s="84">
        <f>IF(A371="","",IF(AND(D371&lt;&gt;"",D371&lt;TODAY()),"Expired",IF(AND(C371&lt;&gt;"",C371&gt;TODAY()),"Not yet effective",IF(C371="","No date",IF(TODAY()&gt;=EDATE(C371,Review_Months),"Review Due","Current")))))</f>
        <v/>
      </c>
      <c r="P371">
        <f>IF(A371="","",A371&amp;"|"&amp;B371)</f>
        <v/>
      </c>
      <c r="Q371">
        <f>IF(AND(A371&lt;&gt;"",A371='Firm Search'!$C$7),COUNTIF($A$5:A371,'Firm Search'!$C$7),"")</f>
        <v/>
      </c>
      <c r="R371">
        <f>IF(A371="","",COUNTIF($A$5:$A$1004,"&lt;"&amp;A371)+COUNTIF($A$5:A371,A371))</f>
        <v/>
      </c>
    </row>
    <row r="372">
      <c r="A372" s="64" t="n"/>
      <c r="B372" s="64" t="n"/>
      <c r="C372" s="66" t="n"/>
      <c r="D372" s="66" t="n"/>
      <c r="E372" s="67" t="n"/>
      <c r="F372" s="67" t="n"/>
      <c r="G372" s="67" t="n"/>
      <c r="H372" s="67" t="n"/>
      <c r="I372" s="67" t="n"/>
      <c r="J372" s="67" t="n"/>
      <c r="K372" s="67" t="n"/>
      <c r="L372" s="67" t="n"/>
      <c r="M372" s="64" t="n"/>
      <c r="N372" s="84">
        <f>IF(A372="","",IFERROR(INDEX(Firms!$B$5:$B$1004,MATCH(A372,Firms!$A$5:$A$1004,0)),"Not on Firms tab"))</f>
        <v/>
      </c>
      <c r="O372" s="84">
        <f>IF(A372="","",IF(AND(D372&lt;&gt;"",D372&lt;TODAY()),"Expired",IF(AND(C372&lt;&gt;"",C372&gt;TODAY()),"Not yet effective",IF(C372="","No date",IF(TODAY()&gt;=EDATE(C372,Review_Months),"Review Due","Current")))))</f>
        <v/>
      </c>
      <c r="P372">
        <f>IF(A372="","",A372&amp;"|"&amp;B372)</f>
        <v/>
      </c>
      <c r="Q372">
        <f>IF(AND(A372&lt;&gt;"",A372='Firm Search'!$C$7),COUNTIF($A$5:A372,'Firm Search'!$C$7),"")</f>
        <v/>
      </c>
      <c r="R372">
        <f>IF(A372="","",COUNTIF($A$5:$A$1004,"&lt;"&amp;A372)+COUNTIF($A$5:A372,A372))</f>
        <v/>
      </c>
    </row>
    <row r="373">
      <c r="A373" s="64" t="n"/>
      <c r="B373" s="64" t="n"/>
      <c r="C373" s="66" t="n"/>
      <c r="D373" s="66" t="n"/>
      <c r="E373" s="67" t="n"/>
      <c r="F373" s="67" t="n"/>
      <c r="G373" s="67" t="n"/>
      <c r="H373" s="67" t="n"/>
      <c r="I373" s="67" t="n"/>
      <c r="J373" s="67" t="n"/>
      <c r="K373" s="67" t="n"/>
      <c r="L373" s="67" t="n"/>
      <c r="M373" s="64" t="n"/>
      <c r="N373" s="84">
        <f>IF(A373="","",IFERROR(INDEX(Firms!$B$5:$B$1004,MATCH(A373,Firms!$A$5:$A$1004,0)),"Not on Firms tab"))</f>
        <v/>
      </c>
      <c r="O373" s="84">
        <f>IF(A373="","",IF(AND(D373&lt;&gt;"",D373&lt;TODAY()),"Expired",IF(AND(C373&lt;&gt;"",C373&gt;TODAY()),"Not yet effective",IF(C373="","No date",IF(TODAY()&gt;=EDATE(C373,Review_Months),"Review Due","Current")))))</f>
        <v/>
      </c>
      <c r="P373">
        <f>IF(A373="","",A373&amp;"|"&amp;B373)</f>
        <v/>
      </c>
      <c r="Q373">
        <f>IF(AND(A373&lt;&gt;"",A373='Firm Search'!$C$7),COUNTIF($A$5:A373,'Firm Search'!$C$7),"")</f>
        <v/>
      </c>
      <c r="R373">
        <f>IF(A373="","",COUNTIF($A$5:$A$1004,"&lt;"&amp;A373)+COUNTIF($A$5:A373,A373))</f>
        <v/>
      </c>
    </row>
    <row r="374">
      <c r="A374" s="64" t="n"/>
      <c r="B374" s="64" t="n"/>
      <c r="C374" s="66" t="n"/>
      <c r="D374" s="66" t="n"/>
      <c r="E374" s="67" t="n"/>
      <c r="F374" s="67" t="n"/>
      <c r="G374" s="67" t="n"/>
      <c r="H374" s="67" t="n"/>
      <c r="I374" s="67" t="n"/>
      <c r="J374" s="67" t="n"/>
      <c r="K374" s="67" t="n"/>
      <c r="L374" s="67" t="n"/>
      <c r="M374" s="64" t="n"/>
      <c r="N374" s="84">
        <f>IF(A374="","",IFERROR(INDEX(Firms!$B$5:$B$1004,MATCH(A374,Firms!$A$5:$A$1004,0)),"Not on Firms tab"))</f>
        <v/>
      </c>
      <c r="O374" s="84">
        <f>IF(A374="","",IF(AND(D374&lt;&gt;"",D374&lt;TODAY()),"Expired",IF(AND(C374&lt;&gt;"",C374&gt;TODAY()),"Not yet effective",IF(C374="","No date",IF(TODAY()&gt;=EDATE(C374,Review_Months),"Review Due","Current")))))</f>
        <v/>
      </c>
      <c r="P374">
        <f>IF(A374="","",A374&amp;"|"&amp;B374)</f>
        <v/>
      </c>
      <c r="Q374">
        <f>IF(AND(A374&lt;&gt;"",A374='Firm Search'!$C$7),COUNTIF($A$5:A374,'Firm Search'!$C$7),"")</f>
        <v/>
      </c>
      <c r="R374">
        <f>IF(A374="","",COUNTIF($A$5:$A$1004,"&lt;"&amp;A374)+COUNTIF($A$5:A374,A374))</f>
        <v/>
      </c>
    </row>
    <row r="375">
      <c r="A375" s="64" t="n"/>
      <c r="B375" s="64" t="n"/>
      <c r="C375" s="66" t="n"/>
      <c r="D375" s="66" t="n"/>
      <c r="E375" s="67" t="n"/>
      <c r="F375" s="67" t="n"/>
      <c r="G375" s="67" t="n"/>
      <c r="H375" s="67" t="n"/>
      <c r="I375" s="67" t="n"/>
      <c r="J375" s="67" t="n"/>
      <c r="K375" s="67" t="n"/>
      <c r="L375" s="67" t="n"/>
      <c r="M375" s="64" t="n"/>
      <c r="N375" s="84">
        <f>IF(A375="","",IFERROR(INDEX(Firms!$B$5:$B$1004,MATCH(A375,Firms!$A$5:$A$1004,0)),"Not on Firms tab"))</f>
        <v/>
      </c>
      <c r="O375" s="84">
        <f>IF(A375="","",IF(AND(D375&lt;&gt;"",D375&lt;TODAY()),"Expired",IF(AND(C375&lt;&gt;"",C375&gt;TODAY()),"Not yet effective",IF(C375="","No date",IF(TODAY()&gt;=EDATE(C375,Review_Months),"Review Due","Current")))))</f>
        <v/>
      </c>
      <c r="P375">
        <f>IF(A375="","",A375&amp;"|"&amp;B375)</f>
        <v/>
      </c>
      <c r="Q375">
        <f>IF(AND(A375&lt;&gt;"",A375='Firm Search'!$C$7),COUNTIF($A$5:A375,'Firm Search'!$C$7),"")</f>
        <v/>
      </c>
      <c r="R375">
        <f>IF(A375="","",COUNTIF($A$5:$A$1004,"&lt;"&amp;A375)+COUNTIF($A$5:A375,A375))</f>
        <v/>
      </c>
    </row>
    <row r="376">
      <c r="A376" s="64" t="n"/>
      <c r="B376" s="64" t="n"/>
      <c r="C376" s="66" t="n"/>
      <c r="D376" s="66" t="n"/>
      <c r="E376" s="67" t="n"/>
      <c r="F376" s="67" t="n"/>
      <c r="G376" s="67" t="n"/>
      <c r="H376" s="67" t="n"/>
      <c r="I376" s="67" t="n"/>
      <c r="J376" s="67" t="n"/>
      <c r="K376" s="67" t="n"/>
      <c r="L376" s="67" t="n"/>
      <c r="M376" s="64" t="n"/>
      <c r="N376" s="84">
        <f>IF(A376="","",IFERROR(INDEX(Firms!$B$5:$B$1004,MATCH(A376,Firms!$A$5:$A$1004,0)),"Not on Firms tab"))</f>
        <v/>
      </c>
      <c r="O376" s="84">
        <f>IF(A376="","",IF(AND(D376&lt;&gt;"",D376&lt;TODAY()),"Expired",IF(AND(C376&lt;&gt;"",C376&gt;TODAY()),"Not yet effective",IF(C376="","No date",IF(TODAY()&gt;=EDATE(C376,Review_Months),"Review Due","Current")))))</f>
        <v/>
      </c>
      <c r="P376">
        <f>IF(A376="","",A376&amp;"|"&amp;B376)</f>
        <v/>
      </c>
      <c r="Q376">
        <f>IF(AND(A376&lt;&gt;"",A376='Firm Search'!$C$7),COUNTIF($A$5:A376,'Firm Search'!$C$7),"")</f>
        <v/>
      </c>
      <c r="R376">
        <f>IF(A376="","",COUNTIF($A$5:$A$1004,"&lt;"&amp;A376)+COUNTIF($A$5:A376,A376))</f>
        <v/>
      </c>
    </row>
    <row r="377">
      <c r="A377" s="64" t="n"/>
      <c r="B377" s="64" t="n"/>
      <c r="C377" s="66" t="n"/>
      <c r="D377" s="66" t="n"/>
      <c r="E377" s="67" t="n"/>
      <c r="F377" s="67" t="n"/>
      <c r="G377" s="67" t="n"/>
      <c r="H377" s="67" t="n"/>
      <c r="I377" s="67" t="n"/>
      <c r="J377" s="67" t="n"/>
      <c r="K377" s="67" t="n"/>
      <c r="L377" s="67" t="n"/>
      <c r="M377" s="64" t="n"/>
      <c r="N377" s="84">
        <f>IF(A377="","",IFERROR(INDEX(Firms!$B$5:$B$1004,MATCH(A377,Firms!$A$5:$A$1004,0)),"Not on Firms tab"))</f>
        <v/>
      </c>
      <c r="O377" s="84">
        <f>IF(A377="","",IF(AND(D377&lt;&gt;"",D377&lt;TODAY()),"Expired",IF(AND(C377&lt;&gt;"",C377&gt;TODAY()),"Not yet effective",IF(C377="","No date",IF(TODAY()&gt;=EDATE(C377,Review_Months),"Review Due","Current")))))</f>
        <v/>
      </c>
      <c r="P377">
        <f>IF(A377="","",A377&amp;"|"&amp;B377)</f>
        <v/>
      </c>
      <c r="Q377">
        <f>IF(AND(A377&lt;&gt;"",A377='Firm Search'!$C$7),COUNTIF($A$5:A377,'Firm Search'!$C$7),"")</f>
        <v/>
      </c>
      <c r="R377">
        <f>IF(A377="","",COUNTIF($A$5:$A$1004,"&lt;"&amp;A377)+COUNTIF($A$5:A377,A377))</f>
        <v/>
      </c>
    </row>
    <row r="378">
      <c r="A378" s="64" t="n"/>
      <c r="B378" s="64" t="n"/>
      <c r="C378" s="66" t="n"/>
      <c r="D378" s="66" t="n"/>
      <c r="E378" s="67" t="n"/>
      <c r="F378" s="67" t="n"/>
      <c r="G378" s="67" t="n"/>
      <c r="H378" s="67" t="n"/>
      <c r="I378" s="67" t="n"/>
      <c r="J378" s="67" t="n"/>
      <c r="K378" s="67" t="n"/>
      <c r="L378" s="67" t="n"/>
      <c r="M378" s="64" t="n"/>
      <c r="N378" s="84">
        <f>IF(A378="","",IFERROR(INDEX(Firms!$B$5:$B$1004,MATCH(A378,Firms!$A$5:$A$1004,0)),"Not on Firms tab"))</f>
        <v/>
      </c>
      <c r="O378" s="84">
        <f>IF(A378="","",IF(AND(D378&lt;&gt;"",D378&lt;TODAY()),"Expired",IF(AND(C378&lt;&gt;"",C378&gt;TODAY()),"Not yet effective",IF(C378="","No date",IF(TODAY()&gt;=EDATE(C378,Review_Months),"Review Due","Current")))))</f>
        <v/>
      </c>
      <c r="P378">
        <f>IF(A378="","",A378&amp;"|"&amp;B378)</f>
        <v/>
      </c>
      <c r="Q378">
        <f>IF(AND(A378&lt;&gt;"",A378='Firm Search'!$C$7),COUNTIF($A$5:A378,'Firm Search'!$C$7),"")</f>
        <v/>
      </c>
      <c r="R378">
        <f>IF(A378="","",COUNTIF($A$5:$A$1004,"&lt;"&amp;A378)+COUNTIF($A$5:A378,A378))</f>
        <v/>
      </c>
    </row>
    <row r="379">
      <c r="A379" s="64" t="n"/>
      <c r="B379" s="64" t="n"/>
      <c r="C379" s="66" t="n"/>
      <c r="D379" s="66" t="n"/>
      <c r="E379" s="67" t="n"/>
      <c r="F379" s="67" t="n"/>
      <c r="G379" s="67" t="n"/>
      <c r="H379" s="67" t="n"/>
      <c r="I379" s="67" t="n"/>
      <c r="J379" s="67" t="n"/>
      <c r="K379" s="67" t="n"/>
      <c r="L379" s="67" t="n"/>
      <c r="M379" s="64" t="n"/>
      <c r="N379" s="84">
        <f>IF(A379="","",IFERROR(INDEX(Firms!$B$5:$B$1004,MATCH(A379,Firms!$A$5:$A$1004,0)),"Not on Firms tab"))</f>
        <v/>
      </c>
      <c r="O379" s="84">
        <f>IF(A379="","",IF(AND(D379&lt;&gt;"",D379&lt;TODAY()),"Expired",IF(AND(C379&lt;&gt;"",C379&gt;TODAY()),"Not yet effective",IF(C379="","No date",IF(TODAY()&gt;=EDATE(C379,Review_Months),"Review Due","Current")))))</f>
        <v/>
      </c>
      <c r="P379">
        <f>IF(A379="","",A379&amp;"|"&amp;B379)</f>
        <v/>
      </c>
      <c r="Q379">
        <f>IF(AND(A379&lt;&gt;"",A379='Firm Search'!$C$7),COUNTIF($A$5:A379,'Firm Search'!$C$7),"")</f>
        <v/>
      </c>
      <c r="R379">
        <f>IF(A379="","",COUNTIF($A$5:$A$1004,"&lt;"&amp;A379)+COUNTIF($A$5:A379,A379))</f>
        <v/>
      </c>
    </row>
    <row r="380">
      <c r="A380" s="64" t="n"/>
      <c r="B380" s="64" t="n"/>
      <c r="C380" s="66" t="n"/>
      <c r="D380" s="66" t="n"/>
      <c r="E380" s="67" t="n"/>
      <c r="F380" s="67" t="n"/>
      <c r="G380" s="67" t="n"/>
      <c r="H380" s="67" t="n"/>
      <c r="I380" s="67" t="n"/>
      <c r="J380" s="67" t="n"/>
      <c r="K380" s="67" t="n"/>
      <c r="L380" s="67" t="n"/>
      <c r="M380" s="64" t="n"/>
      <c r="N380" s="84">
        <f>IF(A380="","",IFERROR(INDEX(Firms!$B$5:$B$1004,MATCH(A380,Firms!$A$5:$A$1004,0)),"Not on Firms tab"))</f>
        <v/>
      </c>
      <c r="O380" s="84">
        <f>IF(A380="","",IF(AND(D380&lt;&gt;"",D380&lt;TODAY()),"Expired",IF(AND(C380&lt;&gt;"",C380&gt;TODAY()),"Not yet effective",IF(C380="","No date",IF(TODAY()&gt;=EDATE(C380,Review_Months),"Review Due","Current")))))</f>
        <v/>
      </c>
      <c r="P380">
        <f>IF(A380="","",A380&amp;"|"&amp;B380)</f>
        <v/>
      </c>
      <c r="Q380">
        <f>IF(AND(A380&lt;&gt;"",A380='Firm Search'!$C$7),COUNTIF($A$5:A380,'Firm Search'!$C$7),"")</f>
        <v/>
      </c>
      <c r="R380">
        <f>IF(A380="","",COUNTIF($A$5:$A$1004,"&lt;"&amp;A380)+COUNTIF($A$5:A380,A380))</f>
        <v/>
      </c>
    </row>
    <row r="381">
      <c r="A381" s="64" t="n"/>
      <c r="B381" s="64" t="n"/>
      <c r="C381" s="66" t="n"/>
      <c r="D381" s="66" t="n"/>
      <c r="E381" s="67" t="n"/>
      <c r="F381" s="67" t="n"/>
      <c r="G381" s="67" t="n"/>
      <c r="H381" s="67" t="n"/>
      <c r="I381" s="67" t="n"/>
      <c r="J381" s="67" t="n"/>
      <c r="K381" s="67" t="n"/>
      <c r="L381" s="67" t="n"/>
      <c r="M381" s="64" t="n"/>
      <c r="N381" s="84">
        <f>IF(A381="","",IFERROR(INDEX(Firms!$B$5:$B$1004,MATCH(A381,Firms!$A$5:$A$1004,0)),"Not on Firms tab"))</f>
        <v/>
      </c>
      <c r="O381" s="84">
        <f>IF(A381="","",IF(AND(D381&lt;&gt;"",D381&lt;TODAY()),"Expired",IF(AND(C381&lt;&gt;"",C381&gt;TODAY()),"Not yet effective",IF(C381="","No date",IF(TODAY()&gt;=EDATE(C381,Review_Months),"Review Due","Current")))))</f>
        <v/>
      </c>
      <c r="P381">
        <f>IF(A381="","",A381&amp;"|"&amp;B381)</f>
        <v/>
      </c>
      <c r="Q381">
        <f>IF(AND(A381&lt;&gt;"",A381='Firm Search'!$C$7),COUNTIF($A$5:A381,'Firm Search'!$C$7),"")</f>
        <v/>
      </c>
      <c r="R381">
        <f>IF(A381="","",COUNTIF($A$5:$A$1004,"&lt;"&amp;A381)+COUNTIF($A$5:A381,A381))</f>
        <v/>
      </c>
    </row>
    <row r="382">
      <c r="A382" s="64" t="n"/>
      <c r="B382" s="64" t="n"/>
      <c r="C382" s="66" t="n"/>
      <c r="D382" s="66" t="n"/>
      <c r="E382" s="67" t="n"/>
      <c r="F382" s="67" t="n"/>
      <c r="G382" s="67" t="n"/>
      <c r="H382" s="67" t="n"/>
      <c r="I382" s="67" t="n"/>
      <c r="J382" s="67" t="n"/>
      <c r="K382" s="67" t="n"/>
      <c r="L382" s="67" t="n"/>
      <c r="M382" s="64" t="n"/>
      <c r="N382" s="84">
        <f>IF(A382="","",IFERROR(INDEX(Firms!$B$5:$B$1004,MATCH(A382,Firms!$A$5:$A$1004,0)),"Not on Firms tab"))</f>
        <v/>
      </c>
      <c r="O382" s="84">
        <f>IF(A382="","",IF(AND(D382&lt;&gt;"",D382&lt;TODAY()),"Expired",IF(AND(C382&lt;&gt;"",C382&gt;TODAY()),"Not yet effective",IF(C382="","No date",IF(TODAY()&gt;=EDATE(C382,Review_Months),"Review Due","Current")))))</f>
        <v/>
      </c>
      <c r="P382">
        <f>IF(A382="","",A382&amp;"|"&amp;B382)</f>
        <v/>
      </c>
      <c r="Q382">
        <f>IF(AND(A382&lt;&gt;"",A382='Firm Search'!$C$7),COUNTIF($A$5:A382,'Firm Search'!$C$7),"")</f>
        <v/>
      </c>
      <c r="R382">
        <f>IF(A382="","",COUNTIF($A$5:$A$1004,"&lt;"&amp;A382)+COUNTIF($A$5:A382,A382))</f>
        <v/>
      </c>
    </row>
    <row r="383">
      <c r="A383" s="64" t="n"/>
      <c r="B383" s="64" t="n"/>
      <c r="C383" s="66" t="n"/>
      <c r="D383" s="66" t="n"/>
      <c r="E383" s="67" t="n"/>
      <c r="F383" s="67" t="n"/>
      <c r="G383" s="67" t="n"/>
      <c r="H383" s="67" t="n"/>
      <c r="I383" s="67" t="n"/>
      <c r="J383" s="67" t="n"/>
      <c r="K383" s="67" t="n"/>
      <c r="L383" s="67" t="n"/>
      <c r="M383" s="64" t="n"/>
      <c r="N383" s="84">
        <f>IF(A383="","",IFERROR(INDEX(Firms!$B$5:$B$1004,MATCH(A383,Firms!$A$5:$A$1004,0)),"Not on Firms tab"))</f>
        <v/>
      </c>
      <c r="O383" s="84">
        <f>IF(A383="","",IF(AND(D383&lt;&gt;"",D383&lt;TODAY()),"Expired",IF(AND(C383&lt;&gt;"",C383&gt;TODAY()),"Not yet effective",IF(C383="","No date",IF(TODAY()&gt;=EDATE(C383,Review_Months),"Review Due","Current")))))</f>
        <v/>
      </c>
      <c r="P383">
        <f>IF(A383="","",A383&amp;"|"&amp;B383)</f>
        <v/>
      </c>
      <c r="Q383">
        <f>IF(AND(A383&lt;&gt;"",A383='Firm Search'!$C$7),COUNTIF($A$5:A383,'Firm Search'!$C$7),"")</f>
        <v/>
      </c>
      <c r="R383">
        <f>IF(A383="","",COUNTIF($A$5:$A$1004,"&lt;"&amp;A383)+COUNTIF($A$5:A383,A383))</f>
        <v/>
      </c>
    </row>
    <row r="384">
      <c r="A384" s="64" t="n"/>
      <c r="B384" s="64" t="n"/>
      <c r="C384" s="66" t="n"/>
      <c r="D384" s="66" t="n"/>
      <c r="E384" s="67" t="n"/>
      <c r="F384" s="67" t="n"/>
      <c r="G384" s="67" t="n"/>
      <c r="H384" s="67" t="n"/>
      <c r="I384" s="67" t="n"/>
      <c r="J384" s="67" t="n"/>
      <c r="K384" s="67" t="n"/>
      <c r="L384" s="67" t="n"/>
      <c r="M384" s="64" t="n"/>
      <c r="N384" s="84">
        <f>IF(A384="","",IFERROR(INDEX(Firms!$B$5:$B$1004,MATCH(A384,Firms!$A$5:$A$1004,0)),"Not on Firms tab"))</f>
        <v/>
      </c>
      <c r="O384" s="84">
        <f>IF(A384="","",IF(AND(D384&lt;&gt;"",D384&lt;TODAY()),"Expired",IF(AND(C384&lt;&gt;"",C384&gt;TODAY()),"Not yet effective",IF(C384="","No date",IF(TODAY()&gt;=EDATE(C384,Review_Months),"Review Due","Current")))))</f>
        <v/>
      </c>
      <c r="P384">
        <f>IF(A384="","",A384&amp;"|"&amp;B384)</f>
        <v/>
      </c>
      <c r="Q384">
        <f>IF(AND(A384&lt;&gt;"",A384='Firm Search'!$C$7),COUNTIF($A$5:A384,'Firm Search'!$C$7),"")</f>
        <v/>
      </c>
      <c r="R384">
        <f>IF(A384="","",COUNTIF($A$5:$A$1004,"&lt;"&amp;A384)+COUNTIF($A$5:A384,A384))</f>
        <v/>
      </c>
    </row>
    <row r="385">
      <c r="A385" s="64" t="n"/>
      <c r="B385" s="64" t="n"/>
      <c r="C385" s="66" t="n"/>
      <c r="D385" s="66" t="n"/>
      <c r="E385" s="67" t="n"/>
      <c r="F385" s="67" t="n"/>
      <c r="G385" s="67" t="n"/>
      <c r="H385" s="67" t="n"/>
      <c r="I385" s="67" t="n"/>
      <c r="J385" s="67" t="n"/>
      <c r="K385" s="67" t="n"/>
      <c r="L385" s="67" t="n"/>
      <c r="M385" s="64" t="n"/>
      <c r="N385" s="84">
        <f>IF(A385="","",IFERROR(INDEX(Firms!$B$5:$B$1004,MATCH(A385,Firms!$A$5:$A$1004,0)),"Not on Firms tab"))</f>
        <v/>
      </c>
      <c r="O385" s="84">
        <f>IF(A385="","",IF(AND(D385&lt;&gt;"",D385&lt;TODAY()),"Expired",IF(AND(C385&lt;&gt;"",C385&gt;TODAY()),"Not yet effective",IF(C385="","No date",IF(TODAY()&gt;=EDATE(C385,Review_Months),"Review Due","Current")))))</f>
        <v/>
      </c>
      <c r="P385">
        <f>IF(A385="","",A385&amp;"|"&amp;B385)</f>
        <v/>
      </c>
      <c r="Q385">
        <f>IF(AND(A385&lt;&gt;"",A385='Firm Search'!$C$7),COUNTIF($A$5:A385,'Firm Search'!$C$7),"")</f>
        <v/>
      </c>
      <c r="R385">
        <f>IF(A385="","",COUNTIF($A$5:$A$1004,"&lt;"&amp;A385)+COUNTIF($A$5:A385,A385))</f>
        <v/>
      </c>
    </row>
    <row r="386">
      <c r="A386" s="64" t="n"/>
      <c r="B386" s="64" t="n"/>
      <c r="C386" s="66" t="n"/>
      <c r="D386" s="66" t="n"/>
      <c r="E386" s="67" t="n"/>
      <c r="F386" s="67" t="n"/>
      <c r="G386" s="67" t="n"/>
      <c r="H386" s="67" t="n"/>
      <c r="I386" s="67" t="n"/>
      <c r="J386" s="67" t="n"/>
      <c r="K386" s="67" t="n"/>
      <c r="L386" s="67" t="n"/>
      <c r="M386" s="64" t="n"/>
      <c r="N386" s="84">
        <f>IF(A386="","",IFERROR(INDEX(Firms!$B$5:$B$1004,MATCH(A386,Firms!$A$5:$A$1004,0)),"Not on Firms tab"))</f>
        <v/>
      </c>
      <c r="O386" s="84">
        <f>IF(A386="","",IF(AND(D386&lt;&gt;"",D386&lt;TODAY()),"Expired",IF(AND(C386&lt;&gt;"",C386&gt;TODAY()),"Not yet effective",IF(C386="","No date",IF(TODAY()&gt;=EDATE(C386,Review_Months),"Review Due","Current")))))</f>
        <v/>
      </c>
      <c r="P386">
        <f>IF(A386="","",A386&amp;"|"&amp;B386)</f>
        <v/>
      </c>
      <c r="Q386">
        <f>IF(AND(A386&lt;&gt;"",A386='Firm Search'!$C$7),COUNTIF($A$5:A386,'Firm Search'!$C$7),"")</f>
        <v/>
      </c>
      <c r="R386">
        <f>IF(A386="","",COUNTIF($A$5:$A$1004,"&lt;"&amp;A386)+COUNTIF($A$5:A386,A386))</f>
        <v/>
      </c>
    </row>
    <row r="387">
      <c r="A387" s="64" t="n"/>
      <c r="B387" s="64" t="n"/>
      <c r="C387" s="66" t="n"/>
      <c r="D387" s="66" t="n"/>
      <c r="E387" s="67" t="n"/>
      <c r="F387" s="67" t="n"/>
      <c r="G387" s="67" t="n"/>
      <c r="H387" s="67" t="n"/>
      <c r="I387" s="67" t="n"/>
      <c r="J387" s="67" t="n"/>
      <c r="K387" s="67" t="n"/>
      <c r="L387" s="67" t="n"/>
      <c r="M387" s="64" t="n"/>
      <c r="N387" s="84">
        <f>IF(A387="","",IFERROR(INDEX(Firms!$B$5:$B$1004,MATCH(A387,Firms!$A$5:$A$1004,0)),"Not on Firms tab"))</f>
        <v/>
      </c>
      <c r="O387" s="84">
        <f>IF(A387="","",IF(AND(D387&lt;&gt;"",D387&lt;TODAY()),"Expired",IF(AND(C387&lt;&gt;"",C387&gt;TODAY()),"Not yet effective",IF(C387="","No date",IF(TODAY()&gt;=EDATE(C387,Review_Months),"Review Due","Current")))))</f>
        <v/>
      </c>
      <c r="P387">
        <f>IF(A387="","",A387&amp;"|"&amp;B387)</f>
        <v/>
      </c>
      <c r="Q387">
        <f>IF(AND(A387&lt;&gt;"",A387='Firm Search'!$C$7),COUNTIF($A$5:A387,'Firm Search'!$C$7),"")</f>
        <v/>
      </c>
      <c r="R387">
        <f>IF(A387="","",COUNTIF($A$5:$A$1004,"&lt;"&amp;A387)+COUNTIF($A$5:A387,A387))</f>
        <v/>
      </c>
    </row>
    <row r="388">
      <c r="A388" s="64" t="n"/>
      <c r="B388" s="64" t="n"/>
      <c r="C388" s="66" t="n"/>
      <c r="D388" s="66" t="n"/>
      <c r="E388" s="67" t="n"/>
      <c r="F388" s="67" t="n"/>
      <c r="G388" s="67" t="n"/>
      <c r="H388" s="67" t="n"/>
      <c r="I388" s="67" t="n"/>
      <c r="J388" s="67" t="n"/>
      <c r="K388" s="67" t="n"/>
      <c r="L388" s="67" t="n"/>
      <c r="M388" s="64" t="n"/>
      <c r="N388" s="84">
        <f>IF(A388="","",IFERROR(INDEX(Firms!$B$5:$B$1004,MATCH(A388,Firms!$A$5:$A$1004,0)),"Not on Firms tab"))</f>
        <v/>
      </c>
      <c r="O388" s="84">
        <f>IF(A388="","",IF(AND(D388&lt;&gt;"",D388&lt;TODAY()),"Expired",IF(AND(C388&lt;&gt;"",C388&gt;TODAY()),"Not yet effective",IF(C388="","No date",IF(TODAY()&gt;=EDATE(C388,Review_Months),"Review Due","Current")))))</f>
        <v/>
      </c>
      <c r="P388">
        <f>IF(A388="","",A388&amp;"|"&amp;B388)</f>
        <v/>
      </c>
      <c r="Q388">
        <f>IF(AND(A388&lt;&gt;"",A388='Firm Search'!$C$7),COUNTIF($A$5:A388,'Firm Search'!$C$7),"")</f>
        <v/>
      </c>
      <c r="R388">
        <f>IF(A388="","",COUNTIF($A$5:$A$1004,"&lt;"&amp;A388)+COUNTIF($A$5:A388,A388))</f>
        <v/>
      </c>
    </row>
    <row r="389">
      <c r="A389" s="64" t="n"/>
      <c r="B389" s="64" t="n"/>
      <c r="C389" s="66" t="n"/>
      <c r="D389" s="66" t="n"/>
      <c r="E389" s="67" t="n"/>
      <c r="F389" s="67" t="n"/>
      <c r="G389" s="67" t="n"/>
      <c r="H389" s="67" t="n"/>
      <c r="I389" s="67" t="n"/>
      <c r="J389" s="67" t="n"/>
      <c r="K389" s="67" t="n"/>
      <c r="L389" s="67" t="n"/>
      <c r="M389" s="64" t="n"/>
      <c r="N389" s="84">
        <f>IF(A389="","",IFERROR(INDEX(Firms!$B$5:$B$1004,MATCH(A389,Firms!$A$5:$A$1004,0)),"Not on Firms tab"))</f>
        <v/>
      </c>
      <c r="O389" s="84">
        <f>IF(A389="","",IF(AND(D389&lt;&gt;"",D389&lt;TODAY()),"Expired",IF(AND(C389&lt;&gt;"",C389&gt;TODAY()),"Not yet effective",IF(C389="","No date",IF(TODAY()&gt;=EDATE(C389,Review_Months),"Review Due","Current")))))</f>
        <v/>
      </c>
      <c r="P389">
        <f>IF(A389="","",A389&amp;"|"&amp;B389)</f>
        <v/>
      </c>
      <c r="Q389">
        <f>IF(AND(A389&lt;&gt;"",A389='Firm Search'!$C$7),COUNTIF($A$5:A389,'Firm Search'!$C$7),"")</f>
        <v/>
      </c>
      <c r="R389">
        <f>IF(A389="","",COUNTIF($A$5:$A$1004,"&lt;"&amp;A389)+COUNTIF($A$5:A389,A389))</f>
        <v/>
      </c>
    </row>
    <row r="390">
      <c r="A390" s="64" t="n"/>
      <c r="B390" s="64" t="n"/>
      <c r="C390" s="66" t="n"/>
      <c r="D390" s="66" t="n"/>
      <c r="E390" s="67" t="n"/>
      <c r="F390" s="67" t="n"/>
      <c r="G390" s="67" t="n"/>
      <c r="H390" s="67" t="n"/>
      <c r="I390" s="67" t="n"/>
      <c r="J390" s="67" t="n"/>
      <c r="K390" s="67" t="n"/>
      <c r="L390" s="67" t="n"/>
      <c r="M390" s="64" t="n"/>
      <c r="N390" s="84">
        <f>IF(A390="","",IFERROR(INDEX(Firms!$B$5:$B$1004,MATCH(A390,Firms!$A$5:$A$1004,0)),"Not on Firms tab"))</f>
        <v/>
      </c>
      <c r="O390" s="84">
        <f>IF(A390="","",IF(AND(D390&lt;&gt;"",D390&lt;TODAY()),"Expired",IF(AND(C390&lt;&gt;"",C390&gt;TODAY()),"Not yet effective",IF(C390="","No date",IF(TODAY()&gt;=EDATE(C390,Review_Months),"Review Due","Current")))))</f>
        <v/>
      </c>
      <c r="P390">
        <f>IF(A390="","",A390&amp;"|"&amp;B390)</f>
        <v/>
      </c>
      <c r="Q390">
        <f>IF(AND(A390&lt;&gt;"",A390='Firm Search'!$C$7),COUNTIF($A$5:A390,'Firm Search'!$C$7),"")</f>
        <v/>
      </c>
      <c r="R390">
        <f>IF(A390="","",COUNTIF($A$5:$A$1004,"&lt;"&amp;A390)+COUNTIF($A$5:A390,A390))</f>
        <v/>
      </c>
    </row>
    <row r="391">
      <c r="A391" s="64" t="n"/>
      <c r="B391" s="64" t="n"/>
      <c r="C391" s="66" t="n"/>
      <c r="D391" s="66" t="n"/>
      <c r="E391" s="67" t="n"/>
      <c r="F391" s="67" t="n"/>
      <c r="G391" s="67" t="n"/>
      <c r="H391" s="67" t="n"/>
      <c r="I391" s="67" t="n"/>
      <c r="J391" s="67" t="n"/>
      <c r="K391" s="67" t="n"/>
      <c r="L391" s="67" t="n"/>
      <c r="M391" s="64" t="n"/>
      <c r="N391" s="84">
        <f>IF(A391="","",IFERROR(INDEX(Firms!$B$5:$B$1004,MATCH(A391,Firms!$A$5:$A$1004,0)),"Not on Firms tab"))</f>
        <v/>
      </c>
      <c r="O391" s="84">
        <f>IF(A391="","",IF(AND(D391&lt;&gt;"",D391&lt;TODAY()),"Expired",IF(AND(C391&lt;&gt;"",C391&gt;TODAY()),"Not yet effective",IF(C391="","No date",IF(TODAY()&gt;=EDATE(C391,Review_Months),"Review Due","Current")))))</f>
        <v/>
      </c>
      <c r="P391">
        <f>IF(A391="","",A391&amp;"|"&amp;B391)</f>
        <v/>
      </c>
      <c r="Q391">
        <f>IF(AND(A391&lt;&gt;"",A391='Firm Search'!$C$7),COUNTIF($A$5:A391,'Firm Search'!$C$7),"")</f>
        <v/>
      </c>
      <c r="R391">
        <f>IF(A391="","",COUNTIF($A$5:$A$1004,"&lt;"&amp;A391)+COUNTIF($A$5:A391,A391))</f>
        <v/>
      </c>
    </row>
    <row r="392">
      <c r="A392" s="64" t="n"/>
      <c r="B392" s="64" t="n"/>
      <c r="C392" s="66" t="n"/>
      <c r="D392" s="66" t="n"/>
      <c r="E392" s="67" t="n"/>
      <c r="F392" s="67" t="n"/>
      <c r="G392" s="67" t="n"/>
      <c r="H392" s="67" t="n"/>
      <c r="I392" s="67" t="n"/>
      <c r="J392" s="67" t="n"/>
      <c r="K392" s="67" t="n"/>
      <c r="L392" s="67" t="n"/>
      <c r="M392" s="64" t="n"/>
      <c r="N392" s="84">
        <f>IF(A392="","",IFERROR(INDEX(Firms!$B$5:$B$1004,MATCH(A392,Firms!$A$5:$A$1004,0)),"Not on Firms tab"))</f>
        <v/>
      </c>
      <c r="O392" s="84">
        <f>IF(A392="","",IF(AND(D392&lt;&gt;"",D392&lt;TODAY()),"Expired",IF(AND(C392&lt;&gt;"",C392&gt;TODAY()),"Not yet effective",IF(C392="","No date",IF(TODAY()&gt;=EDATE(C392,Review_Months),"Review Due","Current")))))</f>
        <v/>
      </c>
      <c r="P392">
        <f>IF(A392="","",A392&amp;"|"&amp;B392)</f>
        <v/>
      </c>
      <c r="Q392">
        <f>IF(AND(A392&lt;&gt;"",A392='Firm Search'!$C$7),COUNTIF($A$5:A392,'Firm Search'!$C$7),"")</f>
        <v/>
      </c>
      <c r="R392">
        <f>IF(A392="","",COUNTIF($A$5:$A$1004,"&lt;"&amp;A392)+COUNTIF($A$5:A392,A392))</f>
        <v/>
      </c>
    </row>
    <row r="393">
      <c r="A393" s="64" t="n"/>
      <c r="B393" s="64" t="n"/>
      <c r="C393" s="66" t="n"/>
      <c r="D393" s="66" t="n"/>
      <c r="E393" s="67" t="n"/>
      <c r="F393" s="67" t="n"/>
      <c r="G393" s="67" t="n"/>
      <c r="H393" s="67" t="n"/>
      <c r="I393" s="67" t="n"/>
      <c r="J393" s="67" t="n"/>
      <c r="K393" s="67" t="n"/>
      <c r="L393" s="67" t="n"/>
      <c r="M393" s="64" t="n"/>
      <c r="N393" s="84">
        <f>IF(A393="","",IFERROR(INDEX(Firms!$B$5:$B$1004,MATCH(A393,Firms!$A$5:$A$1004,0)),"Not on Firms tab"))</f>
        <v/>
      </c>
      <c r="O393" s="84">
        <f>IF(A393="","",IF(AND(D393&lt;&gt;"",D393&lt;TODAY()),"Expired",IF(AND(C393&lt;&gt;"",C393&gt;TODAY()),"Not yet effective",IF(C393="","No date",IF(TODAY()&gt;=EDATE(C393,Review_Months),"Review Due","Current")))))</f>
        <v/>
      </c>
      <c r="P393">
        <f>IF(A393="","",A393&amp;"|"&amp;B393)</f>
        <v/>
      </c>
      <c r="Q393">
        <f>IF(AND(A393&lt;&gt;"",A393='Firm Search'!$C$7),COUNTIF($A$5:A393,'Firm Search'!$C$7),"")</f>
        <v/>
      </c>
      <c r="R393">
        <f>IF(A393="","",COUNTIF($A$5:$A$1004,"&lt;"&amp;A393)+COUNTIF($A$5:A393,A393))</f>
        <v/>
      </c>
    </row>
    <row r="394">
      <c r="A394" s="64" t="n"/>
      <c r="B394" s="64" t="n"/>
      <c r="C394" s="66" t="n"/>
      <c r="D394" s="66" t="n"/>
      <c r="E394" s="67" t="n"/>
      <c r="F394" s="67" t="n"/>
      <c r="G394" s="67" t="n"/>
      <c r="H394" s="67" t="n"/>
      <c r="I394" s="67" t="n"/>
      <c r="J394" s="67" t="n"/>
      <c r="K394" s="67" t="n"/>
      <c r="L394" s="67" t="n"/>
      <c r="M394" s="64" t="n"/>
      <c r="N394" s="84">
        <f>IF(A394="","",IFERROR(INDEX(Firms!$B$5:$B$1004,MATCH(A394,Firms!$A$5:$A$1004,0)),"Not on Firms tab"))</f>
        <v/>
      </c>
      <c r="O394" s="84">
        <f>IF(A394="","",IF(AND(D394&lt;&gt;"",D394&lt;TODAY()),"Expired",IF(AND(C394&lt;&gt;"",C394&gt;TODAY()),"Not yet effective",IF(C394="","No date",IF(TODAY()&gt;=EDATE(C394,Review_Months),"Review Due","Current")))))</f>
        <v/>
      </c>
      <c r="P394">
        <f>IF(A394="","",A394&amp;"|"&amp;B394)</f>
        <v/>
      </c>
      <c r="Q394">
        <f>IF(AND(A394&lt;&gt;"",A394='Firm Search'!$C$7),COUNTIF($A$5:A394,'Firm Search'!$C$7),"")</f>
        <v/>
      </c>
      <c r="R394">
        <f>IF(A394="","",COUNTIF($A$5:$A$1004,"&lt;"&amp;A394)+COUNTIF($A$5:A394,A394))</f>
        <v/>
      </c>
    </row>
    <row r="395">
      <c r="A395" s="64" t="n"/>
      <c r="B395" s="64" t="n"/>
      <c r="C395" s="66" t="n"/>
      <c r="D395" s="66" t="n"/>
      <c r="E395" s="67" t="n"/>
      <c r="F395" s="67" t="n"/>
      <c r="G395" s="67" t="n"/>
      <c r="H395" s="67" t="n"/>
      <c r="I395" s="67" t="n"/>
      <c r="J395" s="67" t="n"/>
      <c r="K395" s="67" t="n"/>
      <c r="L395" s="67" t="n"/>
      <c r="M395" s="64" t="n"/>
      <c r="N395" s="84">
        <f>IF(A395="","",IFERROR(INDEX(Firms!$B$5:$B$1004,MATCH(A395,Firms!$A$5:$A$1004,0)),"Not on Firms tab"))</f>
        <v/>
      </c>
      <c r="O395" s="84">
        <f>IF(A395="","",IF(AND(D395&lt;&gt;"",D395&lt;TODAY()),"Expired",IF(AND(C395&lt;&gt;"",C395&gt;TODAY()),"Not yet effective",IF(C395="","No date",IF(TODAY()&gt;=EDATE(C395,Review_Months),"Review Due","Current")))))</f>
        <v/>
      </c>
      <c r="P395">
        <f>IF(A395="","",A395&amp;"|"&amp;B395)</f>
        <v/>
      </c>
      <c r="Q395">
        <f>IF(AND(A395&lt;&gt;"",A395='Firm Search'!$C$7),COUNTIF($A$5:A395,'Firm Search'!$C$7),"")</f>
        <v/>
      </c>
      <c r="R395">
        <f>IF(A395="","",COUNTIF($A$5:$A$1004,"&lt;"&amp;A395)+COUNTIF($A$5:A395,A395))</f>
        <v/>
      </c>
    </row>
    <row r="396">
      <c r="A396" s="64" t="n"/>
      <c r="B396" s="64" t="n"/>
      <c r="C396" s="66" t="n"/>
      <c r="D396" s="66" t="n"/>
      <c r="E396" s="67" t="n"/>
      <c r="F396" s="67" t="n"/>
      <c r="G396" s="67" t="n"/>
      <c r="H396" s="67" t="n"/>
      <c r="I396" s="67" t="n"/>
      <c r="J396" s="67" t="n"/>
      <c r="K396" s="67" t="n"/>
      <c r="L396" s="67" t="n"/>
      <c r="M396" s="64" t="n"/>
      <c r="N396" s="84">
        <f>IF(A396="","",IFERROR(INDEX(Firms!$B$5:$B$1004,MATCH(A396,Firms!$A$5:$A$1004,0)),"Not on Firms tab"))</f>
        <v/>
      </c>
      <c r="O396" s="84">
        <f>IF(A396="","",IF(AND(D396&lt;&gt;"",D396&lt;TODAY()),"Expired",IF(AND(C396&lt;&gt;"",C396&gt;TODAY()),"Not yet effective",IF(C396="","No date",IF(TODAY()&gt;=EDATE(C396,Review_Months),"Review Due","Current")))))</f>
        <v/>
      </c>
      <c r="P396">
        <f>IF(A396="","",A396&amp;"|"&amp;B396)</f>
        <v/>
      </c>
      <c r="Q396">
        <f>IF(AND(A396&lt;&gt;"",A396='Firm Search'!$C$7),COUNTIF($A$5:A396,'Firm Search'!$C$7),"")</f>
        <v/>
      </c>
      <c r="R396">
        <f>IF(A396="","",COUNTIF($A$5:$A$1004,"&lt;"&amp;A396)+COUNTIF($A$5:A396,A396))</f>
        <v/>
      </c>
    </row>
    <row r="397">
      <c r="A397" s="64" t="n"/>
      <c r="B397" s="64" t="n"/>
      <c r="C397" s="66" t="n"/>
      <c r="D397" s="66" t="n"/>
      <c r="E397" s="67" t="n"/>
      <c r="F397" s="67" t="n"/>
      <c r="G397" s="67" t="n"/>
      <c r="H397" s="67" t="n"/>
      <c r="I397" s="67" t="n"/>
      <c r="J397" s="67" t="n"/>
      <c r="K397" s="67" t="n"/>
      <c r="L397" s="67" t="n"/>
      <c r="M397" s="64" t="n"/>
      <c r="N397" s="84">
        <f>IF(A397="","",IFERROR(INDEX(Firms!$B$5:$B$1004,MATCH(A397,Firms!$A$5:$A$1004,0)),"Not on Firms tab"))</f>
        <v/>
      </c>
      <c r="O397" s="84">
        <f>IF(A397="","",IF(AND(D397&lt;&gt;"",D397&lt;TODAY()),"Expired",IF(AND(C397&lt;&gt;"",C397&gt;TODAY()),"Not yet effective",IF(C397="","No date",IF(TODAY()&gt;=EDATE(C397,Review_Months),"Review Due","Current")))))</f>
        <v/>
      </c>
      <c r="P397">
        <f>IF(A397="","",A397&amp;"|"&amp;B397)</f>
        <v/>
      </c>
      <c r="Q397">
        <f>IF(AND(A397&lt;&gt;"",A397='Firm Search'!$C$7),COUNTIF($A$5:A397,'Firm Search'!$C$7),"")</f>
        <v/>
      </c>
      <c r="R397">
        <f>IF(A397="","",COUNTIF($A$5:$A$1004,"&lt;"&amp;A397)+COUNTIF($A$5:A397,A397))</f>
        <v/>
      </c>
    </row>
    <row r="398">
      <c r="A398" s="64" t="n"/>
      <c r="B398" s="64" t="n"/>
      <c r="C398" s="66" t="n"/>
      <c r="D398" s="66" t="n"/>
      <c r="E398" s="67" t="n"/>
      <c r="F398" s="67" t="n"/>
      <c r="G398" s="67" t="n"/>
      <c r="H398" s="67" t="n"/>
      <c r="I398" s="67" t="n"/>
      <c r="J398" s="67" t="n"/>
      <c r="K398" s="67" t="n"/>
      <c r="L398" s="67" t="n"/>
      <c r="M398" s="64" t="n"/>
      <c r="N398" s="84">
        <f>IF(A398="","",IFERROR(INDEX(Firms!$B$5:$B$1004,MATCH(A398,Firms!$A$5:$A$1004,0)),"Not on Firms tab"))</f>
        <v/>
      </c>
      <c r="O398" s="84">
        <f>IF(A398="","",IF(AND(D398&lt;&gt;"",D398&lt;TODAY()),"Expired",IF(AND(C398&lt;&gt;"",C398&gt;TODAY()),"Not yet effective",IF(C398="","No date",IF(TODAY()&gt;=EDATE(C398,Review_Months),"Review Due","Current")))))</f>
        <v/>
      </c>
      <c r="P398">
        <f>IF(A398="","",A398&amp;"|"&amp;B398)</f>
        <v/>
      </c>
      <c r="Q398">
        <f>IF(AND(A398&lt;&gt;"",A398='Firm Search'!$C$7),COUNTIF($A$5:A398,'Firm Search'!$C$7),"")</f>
        <v/>
      </c>
      <c r="R398">
        <f>IF(A398="","",COUNTIF($A$5:$A$1004,"&lt;"&amp;A398)+COUNTIF($A$5:A398,A398))</f>
        <v/>
      </c>
    </row>
    <row r="399">
      <c r="A399" s="64" t="n"/>
      <c r="B399" s="64" t="n"/>
      <c r="C399" s="66" t="n"/>
      <c r="D399" s="66" t="n"/>
      <c r="E399" s="67" t="n"/>
      <c r="F399" s="67" t="n"/>
      <c r="G399" s="67" t="n"/>
      <c r="H399" s="67" t="n"/>
      <c r="I399" s="67" t="n"/>
      <c r="J399" s="67" t="n"/>
      <c r="K399" s="67" t="n"/>
      <c r="L399" s="67" t="n"/>
      <c r="M399" s="64" t="n"/>
      <c r="N399" s="84">
        <f>IF(A399="","",IFERROR(INDEX(Firms!$B$5:$B$1004,MATCH(A399,Firms!$A$5:$A$1004,0)),"Not on Firms tab"))</f>
        <v/>
      </c>
      <c r="O399" s="84">
        <f>IF(A399="","",IF(AND(D399&lt;&gt;"",D399&lt;TODAY()),"Expired",IF(AND(C399&lt;&gt;"",C399&gt;TODAY()),"Not yet effective",IF(C399="","No date",IF(TODAY()&gt;=EDATE(C399,Review_Months),"Review Due","Current")))))</f>
        <v/>
      </c>
      <c r="P399">
        <f>IF(A399="","",A399&amp;"|"&amp;B399)</f>
        <v/>
      </c>
      <c r="Q399">
        <f>IF(AND(A399&lt;&gt;"",A399='Firm Search'!$C$7),COUNTIF($A$5:A399,'Firm Search'!$C$7),"")</f>
        <v/>
      </c>
      <c r="R399">
        <f>IF(A399="","",COUNTIF($A$5:$A$1004,"&lt;"&amp;A399)+COUNTIF($A$5:A399,A399))</f>
        <v/>
      </c>
    </row>
    <row r="400">
      <c r="A400" s="64" t="n"/>
      <c r="B400" s="64" t="n"/>
      <c r="C400" s="66" t="n"/>
      <c r="D400" s="66" t="n"/>
      <c r="E400" s="67" t="n"/>
      <c r="F400" s="67" t="n"/>
      <c r="G400" s="67" t="n"/>
      <c r="H400" s="67" t="n"/>
      <c r="I400" s="67" t="n"/>
      <c r="J400" s="67" t="n"/>
      <c r="K400" s="67" t="n"/>
      <c r="L400" s="67" t="n"/>
      <c r="M400" s="64" t="n"/>
      <c r="N400" s="84">
        <f>IF(A400="","",IFERROR(INDEX(Firms!$B$5:$B$1004,MATCH(A400,Firms!$A$5:$A$1004,0)),"Not on Firms tab"))</f>
        <v/>
      </c>
      <c r="O400" s="84">
        <f>IF(A400="","",IF(AND(D400&lt;&gt;"",D400&lt;TODAY()),"Expired",IF(AND(C400&lt;&gt;"",C400&gt;TODAY()),"Not yet effective",IF(C400="","No date",IF(TODAY()&gt;=EDATE(C400,Review_Months),"Review Due","Current")))))</f>
        <v/>
      </c>
      <c r="P400">
        <f>IF(A400="","",A400&amp;"|"&amp;B400)</f>
        <v/>
      </c>
      <c r="Q400">
        <f>IF(AND(A400&lt;&gt;"",A400='Firm Search'!$C$7),COUNTIF($A$5:A400,'Firm Search'!$C$7),"")</f>
        <v/>
      </c>
      <c r="R400">
        <f>IF(A400="","",COUNTIF($A$5:$A$1004,"&lt;"&amp;A400)+COUNTIF($A$5:A400,A400))</f>
        <v/>
      </c>
    </row>
    <row r="401">
      <c r="A401" s="64" t="n"/>
      <c r="B401" s="64" t="n"/>
      <c r="C401" s="66" t="n"/>
      <c r="D401" s="66" t="n"/>
      <c r="E401" s="67" t="n"/>
      <c r="F401" s="67" t="n"/>
      <c r="G401" s="67" t="n"/>
      <c r="H401" s="67" t="n"/>
      <c r="I401" s="67" t="n"/>
      <c r="J401" s="67" t="n"/>
      <c r="K401" s="67" t="n"/>
      <c r="L401" s="67" t="n"/>
      <c r="M401" s="64" t="n"/>
      <c r="N401" s="84">
        <f>IF(A401="","",IFERROR(INDEX(Firms!$B$5:$B$1004,MATCH(A401,Firms!$A$5:$A$1004,0)),"Not on Firms tab"))</f>
        <v/>
      </c>
      <c r="O401" s="84">
        <f>IF(A401="","",IF(AND(D401&lt;&gt;"",D401&lt;TODAY()),"Expired",IF(AND(C401&lt;&gt;"",C401&gt;TODAY()),"Not yet effective",IF(C401="","No date",IF(TODAY()&gt;=EDATE(C401,Review_Months),"Review Due","Current")))))</f>
        <v/>
      </c>
      <c r="P401">
        <f>IF(A401="","",A401&amp;"|"&amp;B401)</f>
        <v/>
      </c>
      <c r="Q401">
        <f>IF(AND(A401&lt;&gt;"",A401='Firm Search'!$C$7),COUNTIF($A$5:A401,'Firm Search'!$C$7),"")</f>
        <v/>
      </c>
      <c r="R401">
        <f>IF(A401="","",COUNTIF($A$5:$A$1004,"&lt;"&amp;A401)+COUNTIF($A$5:A401,A401))</f>
        <v/>
      </c>
    </row>
    <row r="402">
      <c r="A402" s="64" t="n"/>
      <c r="B402" s="64" t="n"/>
      <c r="C402" s="66" t="n"/>
      <c r="D402" s="66" t="n"/>
      <c r="E402" s="67" t="n"/>
      <c r="F402" s="67" t="n"/>
      <c r="G402" s="67" t="n"/>
      <c r="H402" s="67" t="n"/>
      <c r="I402" s="67" t="n"/>
      <c r="J402" s="67" t="n"/>
      <c r="K402" s="67" t="n"/>
      <c r="L402" s="67" t="n"/>
      <c r="M402" s="64" t="n"/>
      <c r="N402" s="84">
        <f>IF(A402="","",IFERROR(INDEX(Firms!$B$5:$B$1004,MATCH(A402,Firms!$A$5:$A$1004,0)),"Not on Firms tab"))</f>
        <v/>
      </c>
      <c r="O402" s="84">
        <f>IF(A402="","",IF(AND(D402&lt;&gt;"",D402&lt;TODAY()),"Expired",IF(AND(C402&lt;&gt;"",C402&gt;TODAY()),"Not yet effective",IF(C402="","No date",IF(TODAY()&gt;=EDATE(C402,Review_Months),"Review Due","Current")))))</f>
        <v/>
      </c>
      <c r="P402">
        <f>IF(A402="","",A402&amp;"|"&amp;B402)</f>
        <v/>
      </c>
      <c r="Q402">
        <f>IF(AND(A402&lt;&gt;"",A402='Firm Search'!$C$7),COUNTIF($A$5:A402,'Firm Search'!$C$7),"")</f>
        <v/>
      </c>
      <c r="R402">
        <f>IF(A402="","",COUNTIF($A$5:$A$1004,"&lt;"&amp;A402)+COUNTIF($A$5:A402,A402))</f>
        <v/>
      </c>
    </row>
    <row r="403">
      <c r="A403" s="64" t="n"/>
      <c r="B403" s="64" t="n"/>
      <c r="C403" s="66" t="n"/>
      <c r="D403" s="66" t="n"/>
      <c r="E403" s="67" t="n"/>
      <c r="F403" s="67" t="n"/>
      <c r="G403" s="67" t="n"/>
      <c r="H403" s="67" t="n"/>
      <c r="I403" s="67" t="n"/>
      <c r="J403" s="67" t="n"/>
      <c r="K403" s="67" t="n"/>
      <c r="L403" s="67" t="n"/>
      <c r="M403" s="64" t="n"/>
      <c r="N403" s="84">
        <f>IF(A403="","",IFERROR(INDEX(Firms!$B$5:$B$1004,MATCH(A403,Firms!$A$5:$A$1004,0)),"Not on Firms tab"))</f>
        <v/>
      </c>
      <c r="O403" s="84">
        <f>IF(A403="","",IF(AND(D403&lt;&gt;"",D403&lt;TODAY()),"Expired",IF(AND(C403&lt;&gt;"",C403&gt;TODAY()),"Not yet effective",IF(C403="","No date",IF(TODAY()&gt;=EDATE(C403,Review_Months),"Review Due","Current")))))</f>
        <v/>
      </c>
      <c r="P403">
        <f>IF(A403="","",A403&amp;"|"&amp;B403)</f>
        <v/>
      </c>
      <c r="Q403">
        <f>IF(AND(A403&lt;&gt;"",A403='Firm Search'!$C$7),COUNTIF($A$5:A403,'Firm Search'!$C$7),"")</f>
        <v/>
      </c>
      <c r="R403">
        <f>IF(A403="","",COUNTIF($A$5:$A$1004,"&lt;"&amp;A403)+COUNTIF($A$5:A403,A403))</f>
        <v/>
      </c>
    </row>
    <row r="404">
      <c r="A404" s="64" t="n"/>
      <c r="B404" s="64" t="n"/>
      <c r="C404" s="66" t="n"/>
      <c r="D404" s="66" t="n"/>
      <c r="E404" s="67" t="n"/>
      <c r="F404" s="67" t="n"/>
      <c r="G404" s="67" t="n"/>
      <c r="H404" s="67" t="n"/>
      <c r="I404" s="67" t="n"/>
      <c r="J404" s="67" t="n"/>
      <c r="K404" s="67" t="n"/>
      <c r="L404" s="67" t="n"/>
      <c r="M404" s="64" t="n"/>
      <c r="N404" s="84">
        <f>IF(A404="","",IFERROR(INDEX(Firms!$B$5:$B$1004,MATCH(A404,Firms!$A$5:$A$1004,0)),"Not on Firms tab"))</f>
        <v/>
      </c>
      <c r="O404" s="84">
        <f>IF(A404="","",IF(AND(D404&lt;&gt;"",D404&lt;TODAY()),"Expired",IF(AND(C404&lt;&gt;"",C404&gt;TODAY()),"Not yet effective",IF(C404="","No date",IF(TODAY()&gt;=EDATE(C404,Review_Months),"Review Due","Current")))))</f>
        <v/>
      </c>
      <c r="P404">
        <f>IF(A404="","",A404&amp;"|"&amp;B404)</f>
        <v/>
      </c>
      <c r="Q404">
        <f>IF(AND(A404&lt;&gt;"",A404='Firm Search'!$C$7),COUNTIF($A$5:A404,'Firm Search'!$C$7),"")</f>
        <v/>
      </c>
      <c r="R404">
        <f>IF(A404="","",COUNTIF($A$5:$A$1004,"&lt;"&amp;A404)+COUNTIF($A$5:A404,A404))</f>
        <v/>
      </c>
    </row>
    <row r="405">
      <c r="A405" s="64" t="n"/>
      <c r="B405" s="64" t="n"/>
      <c r="C405" s="66" t="n"/>
      <c r="D405" s="66" t="n"/>
      <c r="E405" s="67" t="n"/>
      <c r="F405" s="67" t="n"/>
      <c r="G405" s="67" t="n"/>
      <c r="H405" s="67" t="n"/>
      <c r="I405" s="67" t="n"/>
      <c r="J405" s="67" t="n"/>
      <c r="K405" s="67" t="n"/>
      <c r="L405" s="67" t="n"/>
      <c r="M405" s="64" t="n"/>
      <c r="N405" s="84">
        <f>IF(A405="","",IFERROR(INDEX(Firms!$B$5:$B$1004,MATCH(A405,Firms!$A$5:$A$1004,0)),"Not on Firms tab"))</f>
        <v/>
      </c>
      <c r="O405" s="84">
        <f>IF(A405="","",IF(AND(D405&lt;&gt;"",D405&lt;TODAY()),"Expired",IF(AND(C405&lt;&gt;"",C405&gt;TODAY()),"Not yet effective",IF(C405="","No date",IF(TODAY()&gt;=EDATE(C405,Review_Months),"Review Due","Current")))))</f>
        <v/>
      </c>
      <c r="P405">
        <f>IF(A405="","",A405&amp;"|"&amp;B405)</f>
        <v/>
      </c>
      <c r="Q405">
        <f>IF(AND(A405&lt;&gt;"",A405='Firm Search'!$C$7),COUNTIF($A$5:A405,'Firm Search'!$C$7),"")</f>
        <v/>
      </c>
      <c r="R405">
        <f>IF(A405="","",COUNTIF($A$5:$A$1004,"&lt;"&amp;A405)+COUNTIF($A$5:A405,A405))</f>
        <v/>
      </c>
    </row>
    <row r="406">
      <c r="A406" s="64" t="n"/>
      <c r="B406" s="64" t="n"/>
      <c r="C406" s="66" t="n"/>
      <c r="D406" s="66" t="n"/>
      <c r="E406" s="67" t="n"/>
      <c r="F406" s="67" t="n"/>
      <c r="G406" s="67" t="n"/>
      <c r="H406" s="67" t="n"/>
      <c r="I406" s="67" t="n"/>
      <c r="J406" s="67" t="n"/>
      <c r="K406" s="67" t="n"/>
      <c r="L406" s="67" t="n"/>
      <c r="M406" s="64" t="n"/>
      <c r="N406" s="84">
        <f>IF(A406="","",IFERROR(INDEX(Firms!$B$5:$B$1004,MATCH(A406,Firms!$A$5:$A$1004,0)),"Not on Firms tab"))</f>
        <v/>
      </c>
      <c r="O406" s="84">
        <f>IF(A406="","",IF(AND(D406&lt;&gt;"",D406&lt;TODAY()),"Expired",IF(AND(C406&lt;&gt;"",C406&gt;TODAY()),"Not yet effective",IF(C406="","No date",IF(TODAY()&gt;=EDATE(C406,Review_Months),"Review Due","Current")))))</f>
        <v/>
      </c>
      <c r="P406">
        <f>IF(A406="","",A406&amp;"|"&amp;B406)</f>
        <v/>
      </c>
      <c r="Q406">
        <f>IF(AND(A406&lt;&gt;"",A406='Firm Search'!$C$7),COUNTIF($A$5:A406,'Firm Search'!$C$7),"")</f>
        <v/>
      </c>
      <c r="R406">
        <f>IF(A406="","",COUNTIF($A$5:$A$1004,"&lt;"&amp;A406)+COUNTIF($A$5:A406,A406))</f>
        <v/>
      </c>
    </row>
    <row r="407">
      <c r="A407" s="64" t="n"/>
      <c r="B407" s="64" t="n"/>
      <c r="C407" s="66" t="n"/>
      <c r="D407" s="66" t="n"/>
      <c r="E407" s="67" t="n"/>
      <c r="F407" s="67" t="n"/>
      <c r="G407" s="67" t="n"/>
      <c r="H407" s="67" t="n"/>
      <c r="I407" s="67" t="n"/>
      <c r="J407" s="67" t="n"/>
      <c r="K407" s="67" t="n"/>
      <c r="L407" s="67" t="n"/>
      <c r="M407" s="64" t="n"/>
      <c r="N407" s="84">
        <f>IF(A407="","",IFERROR(INDEX(Firms!$B$5:$B$1004,MATCH(A407,Firms!$A$5:$A$1004,0)),"Not on Firms tab"))</f>
        <v/>
      </c>
      <c r="O407" s="84">
        <f>IF(A407="","",IF(AND(D407&lt;&gt;"",D407&lt;TODAY()),"Expired",IF(AND(C407&lt;&gt;"",C407&gt;TODAY()),"Not yet effective",IF(C407="","No date",IF(TODAY()&gt;=EDATE(C407,Review_Months),"Review Due","Current")))))</f>
        <v/>
      </c>
      <c r="P407">
        <f>IF(A407="","",A407&amp;"|"&amp;B407)</f>
        <v/>
      </c>
      <c r="Q407">
        <f>IF(AND(A407&lt;&gt;"",A407='Firm Search'!$C$7),COUNTIF($A$5:A407,'Firm Search'!$C$7),"")</f>
        <v/>
      </c>
      <c r="R407">
        <f>IF(A407="","",COUNTIF($A$5:$A$1004,"&lt;"&amp;A407)+COUNTIF($A$5:A407,A407))</f>
        <v/>
      </c>
    </row>
    <row r="408">
      <c r="A408" s="64" t="n"/>
      <c r="B408" s="64" t="n"/>
      <c r="C408" s="66" t="n"/>
      <c r="D408" s="66" t="n"/>
      <c r="E408" s="67" t="n"/>
      <c r="F408" s="67" t="n"/>
      <c r="G408" s="67" t="n"/>
      <c r="H408" s="67" t="n"/>
      <c r="I408" s="67" t="n"/>
      <c r="J408" s="67" t="n"/>
      <c r="K408" s="67" t="n"/>
      <c r="L408" s="67" t="n"/>
      <c r="M408" s="64" t="n"/>
      <c r="N408" s="84">
        <f>IF(A408="","",IFERROR(INDEX(Firms!$B$5:$B$1004,MATCH(A408,Firms!$A$5:$A$1004,0)),"Not on Firms tab"))</f>
        <v/>
      </c>
      <c r="O408" s="84">
        <f>IF(A408="","",IF(AND(D408&lt;&gt;"",D408&lt;TODAY()),"Expired",IF(AND(C408&lt;&gt;"",C408&gt;TODAY()),"Not yet effective",IF(C408="","No date",IF(TODAY()&gt;=EDATE(C408,Review_Months),"Review Due","Current")))))</f>
        <v/>
      </c>
      <c r="P408">
        <f>IF(A408="","",A408&amp;"|"&amp;B408)</f>
        <v/>
      </c>
      <c r="Q408">
        <f>IF(AND(A408&lt;&gt;"",A408='Firm Search'!$C$7),COUNTIF($A$5:A408,'Firm Search'!$C$7),"")</f>
        <v/>
      </c>
      <c r="R408">
        <f>IF(A408="","",COUNTIF($A$5:$A$1004,"&lt;"&amp;A408)+COUNTIF($A$5:A408,A408))</f>
        <v/>
      </c>
    </row>
    <row r="409">
      <c r="A409" s="64" t="n"/>
      <c r="B409" s="64" t="n"/>
      <c r="C409" s="66" t="n"/>
      <c r="D409" s="66" t="n"/>
      <c r="E409" s="67" t="n"/>
      <c r="F409" s="67" t="n"/>
      <c r="G409" s="67" t="n"/>
      <c r="H409" s="67" t="n"/>
      <c r="I409" s="67" t="n"/>
      <c r="J409" s="67" t="n"/>
      <c r="K409" s="67" t="n"/>
      <c r="L409" s="67" t="n"/>
      <c r="M409" s="64" t="n"/>
      <c r="N409" s="84">
        <f>IF(A409="","",IFERROR(INDEX(Firms!$B$5:$B$1004,MATCH(A409,Firms!$A$5:$A$1004,0)),"Not on Firms tab"))</f>
        <v/>
      </c>
      <c r="O409" s="84">
        <f>IF(A409="","",IF(AND(D409&lt;&gt;"",D409&lt;TODAY()),"Expired",IF(AND(C409&lt;&gt;"",C409&gt;TODAY()),"Not yet effective",IF(C409="","No date",IF(TODAY()&gt;=EDATE(C409,Review_Months),"Review Due","Current")))))</f>
        <v/>
      </c>
      <c r="P409">
        <f>IF(A409="","",A409&amp;"|"&amp;B409)</f>
        <v/>
      </c>
      <c r="Q409">
        <f>IF(AND(A409&lt;&gt;"",A409='Firm Search'!$C$7),COUNTIF($A$5:A409,'Firm Search'!$C$7),"")</f>
        <v/>
      </c>
      <c r="R409">
        <f>IF(A409="","",COUNTIF($A$5:$A$1004,"&lt;"&amp;A409)+COUNTIF($A$5:A409,A409))</f>
        <v/>
      </c>
    </row>
    <row r="410">
      <c r="A410" s="64" t="n"/>
      <c r="B410" s="64" t="n"/>
      <c r="C410" s="66" t="n"/>
      <c r="D410" s="66" t="n"/>
      <c r="E410" s="67" t="n"/>
      <c r="F410" s="67" t="n"/>
      <c r="G410" s="67" t="n"/>
      <c r="H410" s="67" t="n"/>
      <c r="I410" s="67" t="n"/>
      <c r="J410" s="67" t="n"/>
      <c r="K410" s="67" t="n"/>
      <c r="L410" s="67" t="n"/>
      <c r="M410" s="64" t="n"/>
      <c r="N410" s="84">
        <f>IF(A410="","",IFERROR(INDEX(Firms!$B$5:$B$1004,MATCH(A410,Firms!$A$5:$A$1004,0)),"Not on Firms tab"))</f>
        <v/>
      </c>
      <c r="O410" s="84">
        <f>IF(A410="","",IF(AND(D410&lt;&gt;"",D410&lt;TODAY()),"Expired",IF(AND(C410&lt;&gt;"",C410&gt;TODAY()),"Not yet effective",IF(C410="","No date",IF(TODAY()&gt;=EDATE(C410,Review_Months),"Review Due","Current")))))</f>
        <v/>
      </c>
      <c r="P410">
        <f>IF(A410="","",A410&amp;"|"&amp;B410)</f>
        <v/>
      </c>
      <c r="Q410">
        <f>IF(AND(A410&lt;&gt;"",A410='Firm Search'!$C$7),COUNTIF($A$5:A410,'Firm Search'!$C$7),"")</f>
        <v/>
      </c>
      <c r="R410">
        <f>IF(A410="","",COUNTIF($A$5:$A$1004,"&lt;"&amp;A410)+COUNTIF($A$5:A410,A410))</f>
        <v/>
      </c>
    </row>
    <row r="411">
      <c r="A411" s="64" t="n"/>
      <c r="B411" s="64" t="n"/>
      <c r="C411" s="66" t="n"/>
      <c r="D411" s="66" t="n"/>
      <c r="E411" s="67" t="n"/>
      <c r="F411" s="67" t="n"/>
      <c r="G411" s="67" t="n"/>
      <c r="H411" s="67" t="n"/>
      <c r="I411" s="67" t="n"/>
      <c r="J411" s="67" t="n"/>
      <c r="K411" s="67" t="n"/>
      <c r="L411" s="67" t="n"/>
      <c r="M411" s="64" t="n"/>
      <c r="N411" s="84">
        <f>IF(A411="","",IFERROR(INDEX(Firms!$B$5:$B$1004,MATCH(A411,Firms!$A$5:$A$1004,0)),"Not on Firms tab"))</f>
        <v/>
      </c>
      <c r="O411" s="84">
        <f>IF(A411="","",IF(AND(D411&lt;&gt;"",D411&lt;TODAY()),"Expired",IF(AND(C411&lt;&gt;"",C411&gt;TODAY()),"Not yet effective",IF(C411="","No date",IF(TODAY()&gt;=EDATE(C411,Review_Months),"Review Due","Current")))))</f>
        <v/>
      </c>
      <c r="P411">
        <f>IF(A411="","",A411&amp;"|"&amp;B411)</f>
        <v/>
      </c>
      <c r="Q411">
        <f>IF(AND(A411&lt;&gt;"",A411='Firm Search'!$C$7),COUNTIF($A$5:A411,'Firm Search'!$C$7),"")</f>
        <v/>
      </c>
      <c r="R411">
        <f>IF(A411="","",COUNTIF($A$5:$A$1004,"&lt;"&amp;A411)+COUNTIF($A$5:A411,A411))</f>
        <v/>
      </c>
    </row>
    <row r="412">
      <c r="A412" s="64" t="n"/>
      <c r="B412" s="64" t="n"/>
      <c r="C412" s="66" t="n"/>
      <c r="D412" s="66" t="n"/>
      <c r="E412" s="67" t="n"/>
      <c r="F412" s="67" t="n"/>
      <c r="G412" s="67" t="n"/>
      <c r="H412" s="67" t="n"/>
      <c r="I412" s="67" t="n"/>
      <c r="J412" s="67" t="n"/>
      <c r="K412" s="67" t="n"/>
      <c r="L412" s="67" t="n"/>
      <c r="M412" s="64" t="n"/>
      <c r="N412" s="84">
        <f>IF(A412="","",IFERROR(INDEX(Firms!$B$5:$B$1004,MATCH(A412,Firms!$A$5:$A$1004,0)),"Not on Firms tab"))</f>
        <v/>
      </c>
      <c r="O412" s="84">
        <f>IF(A412="","",IF(AND(D412&lt;&gt;"",D412&lt;TODAY()),"Expired",IF(AND(C412&lt;&gt;"",C412&gt;TODAY()),"Not yet effective",IF(C412="","No date",IF(TODAY()&gt;=EDATE(C412,Review_Months),"Review Due","Current")))))</f>
        <v/>
      </c>
      <c r="P412">
        <f>IF(A412="","",A412&amp;"|"&amp;B412)</f>
        <v/>
      </c>
      <c r="Q412">
        <f>IF(AND(A412&lt;&gt;"",A412='Firm Search'!$C$7),COUNTIF($A$5:A412,'Firm Search'!$C$7),"")</f>
        <v/>
      </c>
      <c r="R412">
        <f>IF(A412="","",COUNTIF($A$5:$A$1004,"&lt;"&amp;A412)+COUNTIF($A$5:A412,A412))</f>
        <v/>
      </c>
    </row>
    <row r="413">
      <c r="A413" s="64" t="n"/>
      <c r="B413" s="64" t="n"/>
      <c r="C413" s="66" t="n"/>
      <c r="D413" s="66" t="n"/>
      <c r="E413" s="67" t="n"/>
      <c r="F413" s="67" t="n"/>
      <c r="G413" s="67" t="n"/>
      <c r="H413" s="67" t="n"/>
      <c r="I413" s="67" t="n"/>
      <c r="J413" s="67" t="n"/>
      <c r="K413" s="67" t="n"/>
      <c r="L413" s="67" t="n"/>
      <c r="M413" s="64" t="n"/>
      <c r="N413" s="84">
        <f>IF(A413="","",IFERROR(INDEX(Firms!$B$5:$B$1004,MATCH(A413,Firms!$A$5:$A$1004,0)),"Not on Firms tab"))</f>
        <v/>
      </c>
      <c r="O413" s="84">
        <f>IF(A413="","",IF(AND(D413&lt;&gt;"",D413&lt;TODAY()),"Expired",IF(AND(C413&lt;&gt;"",C413&gt;TODAY()),"Not yet effective",IF(C413="","No date",IF(TODAY()&gt;=EDATE(C413,Review_Months),"Review Due","Current")))))</f>
        <v/>
      </c>
      <c r="P413">
        <f>IF(A413="","",A413&amp;"|"&amp;B413)</f>
        <v/>
      </c>
      <c r="Q413">
        <f>IF(AND(A413&lt;&gt;"",A413='Firm Search'!$C$7),COUNTIF($A$5:A413,'Firm Search'!$C$7),"")</f>
        <v/>
      </c>
      <c r="R413">
        <f>IF(A413="","",COUNTIF($A$5:$A$1004,"&lt;"&amp;A413)+COUNTIF($A$5:A413,A413))</f>
        <v/>
      </c>
    </row>
    <row r="414">
      <c r="A414" s="64" t="n"/>
      <c r="B414" s="64" t="n"/>
      <c r="C414" s="66" t="n"/>
      <c r="D414" s="66" t="n"/>
      <c r="E414" s="67" t="n"/>
      <c r="F414" s="67" t="n"/>
      <c r="G414" s="67" t="n"/>
      <c r="H414" s="67" t="n"/>
      <c r="I414" s="67" t="n"/>
      <c r="J414" s="67" t="n"/>
      <c r="K414" s="67" t="n"/>
      <c r="L414" s="67" t="n"/>
      <c r="M414" s="64" t="n"/>
      <c r="N414" s="84">
        <f>IF(A414="","",IFERROR(INDEX(Firms!$B$5:$B$1004,MATCH(A414,Firms!$A$5:$A$1004,0)),"Not on Firms tab"))</f>
        <v/>
      </c>
      <c r="O414" s="84">
        <f>IF(A414="","",IF(AND(D414&lt;&gt;"",D414&lt;TODAY()),"Expired",IF(AND(C414&lt;&gt;"",C414&gt;TODAY()),"Not yet effective",IF(C414="","No date",IF(TODAY()&gt;=EDATE(C414,Review_Months),"Review Due","Current")))))</f>
        <v/>
      </c>
      <c r="P414">
        <f>IF(A414="","",A414&amp;"|"&amp;B414)</f>
        <v/>
      </c>
      <c r="Q414">
        <f>IF(AND(A414&lt;&gt;"",A414='Firm Search'!$C$7),COUNTIF($A$5:A414,'Firm Search'!$C$7),"")</f>
        <v/>
      </c>
      <c r="R414">
        <f>IF(A414="","",COUNTIF($A$5:$A$1004,"&lt;"&amp;A414)+COUNTIF($A$5:A414,A414))</f>
        <v/>
      </c>
    </row>
    <row r="415">
      <c r="A415" s="64" t="n"/>
      <c r="B415" s="64" t="n"/>
      <c r="C415" s="66" t="n"/>
      <c r="D415" s="66" t="n"/>
      <c r="E415" s="67" t="n"/>
      <c r="F415" s="67" t="n"/>
      <c r="G415" s="67" t="n"/>
      <c r="H415" s="67" t="n"/>
      <c r="I415" s="67" t="n"/>
      <c r="J415" s="67" t="n"/>
      <c r="K415" s="67" t="n"/>
      <c r="L415" s="67" t="n"/>
      <c r="M415" s="64" t="n"/>
      <c r="N415" s="84">
        <f>IF(A415="","",IFERROR(INDEX(Firms!$B$5:$B$1004,MATCH(A415,Firms!$A$5:$A$1004,0)),"Not on Firms tab"))</f>
        <v/>
      </c>
      <c r="O415" s="84">
        <f>IF(A415="","",IF(AND(D415&lt;&gt;"",D415&lt;TODAY()),"Expired",IF(AND(C415&lt;&gt;"",C415&gt;TODAY()),"Not yet effective",IF(C415="","No date",IF(TODAY()&gt;=EDATE(C415,Review_Months),"Review Due","Current")))))</f>
        <v/>
      </c>
      <c r="P415">
        <f>IF(A415="","",A415&amp;"|"&amp;B415)</f>
        <v/>
      </c>
      <c r="Q415">
        <f>IF(AND(A415&lt;&gt;"",A415='Firm Search'!$C$7),COUNTIF($A$5:A415,'Firm Search'!$C$7),"")</f>
        <v/>
      </c>
      <c r="R415">
        <f>IF(A415="","",COUNTIF($A$5:$A$1004,"&lt;"&amp;A415)+COUNTIF($A$5:A415,A415))</f>
        <v/>
      </c>
    </row>
    <row r="416">
      <c r="A416" s="64" t="n"/>
      <c r="B416" s="64" t="n"/>
      <c r="C416" s="66" t="n"/>
      <c r="D416" s="66" t="n"/>
      <c r="E416" s="67" t="n"/>
      <c r="F416" s="67" t="n"/>
      <c r="G416" s="67" t="n"/>
      <c r="H416" s="67" t="n"/>
      <c r="I416" s="67" t="n"/>
      <c r="J416" s="67" t="n"/>
      <c r="K416" s="67" t="n"/>
      <c r="L416" s="67" t="n"/>
      <c r="M416" s="64" t="n"/>
      <c r="N416" s="84">
        <f>IF(A416="","",IFERROR(INDEX(Firms!$B$5:$B$1004,MATCH(A416,Firms!$A$5:$A$1004,0)),"Not on Firms tab"))</f>
        <v/>
      </c>
      <c r="O416" s="84">
        <f>IF(A416="","",IF(AND(D416&lt;&gt;"",D416&lt;TODAY()),"Expired",IF(AND(C416&lt;&gt;"",C416&gt;TODAY()),"Not yet effective",IF(C416="","No date",IF(TODAY()&gt;=EDATE(C416,Review_Months),"Review Due","Current")))))</f>
        <v/>
      </c>
      <c r="P416">
        <f>IF(A416="","",A416&amp;"|"&amp;B416)</f>
        <v/>
      </c>
      <c r="Q416">
        <f>IF(AND(A416&lt;&gt;"",A416='Firm Search'!$C$7),COUNTIF($A$5:A416,'Firm Search'!$C$7),"")</f>
        <v/>
      </c>
      <c r="R416">
        <f>IF(A416="","",COUNTIF($A$5:$A$1004,"&lt;"&amp;A416)+COUNTIF($A$5:A416,A416))</f>
        <v/>
      </c>
    </row>
    <row r="417">
      <c r="A417" s="64" t="n"/>
      <c r="B417" s="64" t="n"/>
      <c r="C417" s="66" t="n"/>
      <c r="D417" s="66" t="n"/>
      <c r="E417" s="67" t="n"/>
      <c r="F417" s="67" t="n"/>
      <c r="G417" s="67" t="n"/>
      <c r="H417" s="67" t="n"/>
      <c r="I417" s="67" t="n"/>
      <c r="J417" s="67" t="n"/>
      <c r="K417" s="67" t="n"/>
      <c r="L417" s="67" t="n"/>
      <c r="M417" s="64" t="n"/>
      <c r="N417" s="84">
        <f>IF(A417="","",IFERROR(INDEX(Firms!$B$5:$B$1004,MATCH(A417,Firms!$A$5:$A$1004,0)),"Not on Firms tab"))</f>
        <v/>
      </c>
      <c r="O417" s="84">
        <f>IF(A417="","",IF(AND(D417&lt;&gt;"",D417&lt;TODAY()),"Expired",IF(AND(C417&lt;&gt;"",C417&gt;TODAY()),"Not yet effective",IF(C417="","No date",IF(TODAY()&gt;=EDATE(C417,Review_Months),"Review Due","Current")))))</f>
        <v/>
      </c>
      <c r="P417">
        <f>IF(A417="","",A417&amp;"|"&amp;B417)</f>
        <v/>
      </c>
      <c r="Q417">
        <f>IF(AND(A417&lt;&gt;"",A417='Firm Search'!$C$7),COUNTIF($A$5:A417,'Firm Search'!$C$7),"")</f>
        <v/>
      </c>
      <c r="R417">
        <f>IF(A417="","",COUNTIF($A$5:$A$1004,"&lt;"&amp;A417)+COUNTIF($A$5:A417,A417))</f>
        <v/>
      </c>
    </row>
    <row r="418">
      <c r="A418" s="64" t="n"/>
      <c r="B418" s="64" t="n"/>
      <c r="C418" s="66" t="n"/>
      <c r="D418" s="66" t="n"/>
      <c r="E418" s="67" t="n"/>
      <c r="F418" s="67" t="n"/>
      <c r="G418" s="67" t="n"/>
      <c r="H418" s="67" t="n"/>
      <c r="I418" s="67" t="n"/>
      <c r="J418" s="67" t="n"/>
      <c r="K418" s="67" t="n"/>
      <c r="L418" s="67" t="n"/>
      <c r="M418" s="64" t="n"/>
      <c r="N418" s="84">
        <f>IF(A418="","",IFERROR(INDEX(Firms!$B$5:$B$1004,MATCH(A418,Firms!$A$5:$A$1004,0)),"Not on Firms tab"))</f>
        <v/>
      </c>
      <c r="O418" s="84">
        <f>IF(A418="","",IF(AND(D418&lt;&gt;"",D418&lt;TODAY()),"Expired",IF(AND(C418&lt;&gt;"",C418&gt;TODAY()),"Not yet effective",IF(C418="","No date",IF(TODAY()&gt;=EDATE(C418,Review_Months),"Review Due","Current")))))</f>
        <v/>
      </c>
      <c r="P418">
        <f>IF(A418="","",A418&amp;"|"&amp;B418)</f>
        <v/>
      </c>
      <c r="Q418">
        <f>IF(AND(A418&lt;&gt;"",A418='Firm Search'!$C$7),COUNTIF($A$5:A418,'Firm Search'!$C$7),"")</f>
        <v/>
      </c>
      <c r="R418">
        <f>IF(A418="","",COUNTIF($A$5:$A$1004,"&lt;"&amp;A418)+COUNTIF($A$5:A418,A418))</f>
        <v/>
      </c>
    </row>
    <row r="419">
      <c r="A419" s="64" t="n"/>
      <c r="B419" s="64" t="n"/>
      <c r="C419" s="66" t="n"/>
      <c r="D419" s="66" t="n"/>
      <c r="E419" s="67" t="n"/>
      <c r="F419" s="67" t="n"/>
      <c r="G419" s="67" t="n"/>
      <c r="H419" s="67" t="n"/>
      <c r="I419" s="67" t="n"/>
      <c r="J419" s="67" t="n"/>
      <c r="K419" s="67" t="n"/>
      <c r="L419" s="67" t="n"/>
      <c r="M419" s="64" t="n"/>
      <c r="N419" s="84">
        <f>IF(A419="","",IFERROR(INDEX(Firms!$B$5:$B$1004,MATCH(A419,Firms!$A$5:$A$1004,0)),"Not on Firms tab"))</f>
        <v/>
      </c>
      <c r="O419" s="84">
        <f>IF(A419="","",IF(AND(D419&lt;&gt;"",D419&lt;TODAY()),"Expired",IF(AND(C419&lt;&gt;"",C419&gt;TODAY()),"Not yet effective",IF(C419="","No date",IF(TODAY()&gt;=EDATE(C419,Review_Months),"Review Due","Current")))))</f>
        <v/>
      </c>
      <c r="P419">
        <f>IF(A419="","",A419&amp;"|"&amp;B419)</f>
        <v/>
      </c>
      <c r="Q419">
        <f>IF(AND(A419&lt;&gt;"",A419='Firm Search'!$C$7),COUNTIF($A$5:A419,'Firm Search'!$C$7),"")</f>
        <v/>
      </c>
      <c r="R419">
        <f>IF(A419="","",COUNTIF($A$5:$A$1004,"&lt;"&amp;A419)+COUNTIF($A$5:A419,A419))</f>
        <v/>
      </c>
    </row>
    <row r="420">
      <c r="A420" s="64" t="n"/>
      <c r="B420" s="64" t="n"/>
      <c r="C420" s="66" t="n"/>
      <c r="D420" s="66" t="n"/>
      <c r="E420" s="67" t="n"/>
      <c r="F420" s="67" t="n"/>
      <c r="G420" s="67" t="n"/>
      <c r="H420" s="67" t="n"/>
      <c r="I420" s="67" t="n"/>
      <c r="J420" s="67" t="n"/>
      <c r="K420" s="67" t="n"/>
      <c r="L420" s="67" t="n"/>
      <c r="M420" s="64" t="n"/>
      <c r="N420" s="84">
        <f>IF(A420="","",IFERROR(INDEX(Firms!$B$5:$B$1004,MATCH(A420,Firms!$A$5:$A$1004,0)),"Not on Firms tab"))</f>
        <v/>
      </c>
      <c r="O420" s="84">
        <f>IF(A420="","",IF(AND(D420&lt;&gt;"",D420&lt;TODAY()),"Expired",IF(AND(C420&lt;&gt;"",C420&gt;TODAY()),"Not yet effective",IF(C420="","No date",IF(TODAY()&gt;=EDATE(C420,Review_Months),"Review Due","Current")))))</f>
        <v/>
      </c>
      <c r="P420">
        <f>IF(A420="","",A420&amp;"|"&amp;B420)</f>
        <v/>
      </c>
      <c r="Q420">
        <f>IF(AND(A420&lt;&gt;"",A420='Firm Search'!$C$7),COUNTIF($A$5:A420,'Firm Search'!$C$7),"")</f>
        <v/>
      </c>
      <c r="R420">
        <f>IF(A420="","",COUNTIF($A$5:$A$1004,"&lt;"&amp;A420)+COUNTIF($A$5:A420,A420))</f>
        <v/>
      </c>
    </row>
    <row r="421">
      <c r="A421" s="64" t="n"/>
      <c r="B421" s="64" t="n"/>
      <c r="C421" s="66" t="n"/>
      <c r="D421" s="66" t="n"/>
      <c r="E421" s="67" t="n"/>
      <c r="F421" s="67" t="n"/>
      <c r="G421" s="67" t="n"/>
      <c r="H421" s="67" t="n"/>
      <c r="I421" s="67" t="n"/>
      <c r="J421" s="67" t="n"/>
      <c r="K421" s="67" t="n"/>
      <c r="L421" s="67" t="n"/>
      <c r="M421" s="64" t="n"/>
      <c r="N421" s="84">
        <f>IF(A421="","",IFERROR(INDEX(Firms!$B$5:$B$1004,MATCH(A421,Firms!$A$5:$A$1004,0)),"Not on Firms tab"))</f>
        <v/>
      </c>
      <c r="O421" s="84">
        <f>IF(A421="","",IF(AND(D421&lt;&gt;"",D421&lt;TODAY()),"Expired",IF(AND(C421&lt;&gt;"",C421&gt;TODAY()),"Not yet effective",IF(C421="","No date",IF(TODAY()&gt;=EDATE(C421,Review_Months),"Review Due","Current")))))</f>
        <v/>
      </c>
      <c r="P421">
        <f>IF(A421="","",A421&amp;"|"&amp;B421)</f>
        <v/>
      </c>
      <c r="Q421">
        <f>IF(AND(A421&lt;&gt;"",A421='Firm Search'!$C$7),COUNTIF($A$5:A421,'Firm Search'!$C$7),"")</f>
        <v/>
      </c>
      <c r="R421">
        <f>IF(A421="","",COUNTIF($A$5:$A$1004,"&lt;"&amp;A421)+COUNTIF($A$5:A421,A421))</f>
        <v/>
      </c>
    </row>
    <row r="422">
      <c r="A422" s="64" t="n"/>
      <c r="B422" s="64" t="n"/>
      <c r="C422" s="66" t="n"/>
      <c r="D422" s="66" t="n"/>
      <c r="E422" s="67" t="n"/>
      <c r="F422" s="67" t="n"/>
      <c r="G422" s="67" t="n"/>
      <c r="H422" s="67" t="n"/>
      <c r="I422" s="67" t="n"/>
      <c r="J422" s="67" t="n"/>
      <c r="K422" s="67" t="n"/>
      <c r="L422" s="67" t="n"/>
      <c r="M422" s="64" t="n"/>
      <c r="N422" s="84">
        <f>IF(A422="","",IFERROR(INDEX(Firms!$B$5:$B$1004,MATCH(A422,Firms!$A$5:$A$1004,0)),"Not on Firms tab"))</f>
        <v/>
      </c>
      <c r="O422" s="84">
        <f>IF(A422="","",IF(AND(D422&lt;&gt;"",D422&lt;TODAY()),"Expired",IF(AND(C422&lt;&gt;"",C422&gt;TODAY()),"Not yet effective",IF(C422="","No date",IF(TODAY()&gt;=EDATE(C422,Review_Months),"Review Due","Current")))))</f>
        <v/>
      </c>
      <c r="P422">
        <f>IF(A422="","",A422&amp;"|"&amp;B422)</f>
        <v/>
      </c>
      <c r="Q422">
        <f>IF(AND(A422&lt;&gt;"",A422='Firm Search'!$C$7),COUNTIF($A$5:A422,'Firm Search'!$C$7),"")</f>
        <v/>
      </c>
      <c r="R422">
        <f>IF(A422="","",COUNTIF($A$5:$A$1004,"&lt;"&amp;A422)+COUNTIF($A$5:A422,A422))</f>
        <v/>
      </c>
    </row>
    <row r="423">
      <c r="A423" s="64" t="n"/>
      <c r="B423" s="64" t="n"/>
      <c r="C423" s="66" t="n"/>
      <c r="D423" s="66" t="n"/>
      <c r="E423" s="67" t="n"/>
      <c r="F423" s="67" t="n"/>
      <c r="G423" s="67" t="n"/>
      <c r="H423" s="67" t="n"/>
      <c r="I423" s="67" t="n"/>
      <c r="J423" s="67" t="n"/>
      <c r="K423" s="67" t="n"/>
      <c r="L423" s="67" t="n"/>
      <c r="M423" s="64" t="n"/>
      <c r="N423" s="84">
        <f>IF(A423="","",IFERROR(INDEX(Firms!$B$5:$B$1004,MATCH(A423,Firms!$A$5:$A$1004,0)),"Not on Firms tab"))</f>
        <v/>
      </c>
      <c r="O423" s="84">
        <f>IF(A423="","",IF(AND(D423&lt;&gt;"",D423&lt;TODAY()),"Expired",IF(AND(C423&lt;&gt;"",C423&gt;TODAY()),"Not yet effective",IF(C423="","No date",IF(TODAY()&gt;=EDATE(C423,Review_Months),"Review Due","Current")))))</f>
        <v/>
      </c>
      <c r="P423">
        <f>IF(A423="","",A423&amp;"|"&amp;B423)</f>
        <v/>
      </c>
      <c r="Q423">
        <f>IF(AND(A423&lt;&gt;"",A423='Firm Search'!$C$7),COUNTIF($A$5:A423,'Firm Search'!$C$7),"")</f>
        <v/>
      </c>
      <c r="R423">
        <f>IF(A423="","",COUNTIF($A$5:$A$1004,"&lt;"&amp;A423)+COUNTIF($A$5:A423,A423))</f>
        <v/>
      </c>
    </row>
    <row r="424">
      <c r="A424" s="64" t="n"/>
      <c r="B424" s="64" t="n"/>
      <c r="C424" s="66" t="n"/>
      <c r="D424" s="66" t="n"/>
      <c r="E424" s="67" t="n"/>
      <c r="F424" s="67" t="n"/>
      <c r="G424" s="67" t="n"/>
      <c r="H424" s="67" t="n"/>
      <c r="I424" s="67" t="n"/>
      <c r="J424" s="67" t="n"/>
      <c r="K424" s="67" t="n"/>
      <c r="L424" s="67" t="n"/>
      <c r="M424" s="64" t="n"/>
      <c r="N424" s="84">
        <f>IF(A424="","",IFERROR(INDEX(Firms!$B$5:$B$1004,MATCH(A424,Firms!$A$5:$A$1004,0)),"Not on Firms tab"))</f>
        <v/>
      </c>
      <c r="O424" s="84">
        <f>IF(A424="","",IF(AND(D424&lt;&gt;"",D424&lt;TODAY()),"Expired",IF(AND(C424&lt;&gt;"",C424&gt;TODAY()),"Not yet effective",IF(C424="","No date",IF(TODAY()&gt;=EDATE(C424,Review_Months),"Review Due","Current")))))</f>
        <v/>
      </c>
      <c r="P424">
        <f>IF(A424="","",A424&amp;"|"&amp;B424)</f>
        <v/>
      </c>
      <c r="Q424">
        <f>IF(AND(A424&lt;&gt;"",A424='Firm Search'!$C$7),COUNTIF($A$5:A424,'Firm Search'!$C$7),"")</f>
        <v/>
      </c>
      <c r="R424">
        <f>IF(A424="","",COUNTIF($A$5:$A$1004,"&lt;"&amp;A424)+COUNTIF($A$5:A424,A424))</f>
        <v/>
      </c>
    </row>
    <row r="425">
      <c r="A425" s="64" t="n"/>
      <c r="B425" s="64" t="n"/>
      <c r="C425" s="66" t="n"/>
      <c r="D425" s="66" t="n"/>
      <c r="E425" s="67" t="n"/>
      <c r="F425" s="67" t="n"/>
      <c r="G425" s="67" t="n"/>
      <c r="H425" s="67" t="n"/>
      <c r="I425" s="67" t="n"/>
      <c r="J425" s="67" t="n"/>
      <c r="K425" s="67" t="n"/>
      <c r="L425" s="67" t="n"/>
      <c r="M425" s="64" t="n"/>
      <c r="N425" s="84">
        <f>IF(A425="","",IFERROR(INDEX(Firms!$B$5:$B$1004,MATCH(A425,Firms!$A$5:$A$1004,0)),"Not on Firms tab"))</f>
        <v/>
      </c>
      <c r="O425" s="84">
        <f>IF(A425="","",IF(AND(D425&lt;&gt;"",D425&lt;TODAY()),"Expired",IF(AND(C425&lt;&gt;"",C425&gt;TODAY()),"Not yet effective",IF(C425="","No date",IF(TODAY()&gt;=EDATE(C425,Review_Months),"Review Due","Current")))))</f>
        <v/>
      </c>
      <c r="P425">
        <f>IF(A425="","",A425&amp;"|"&amp;B425)</f>
        <v/>
      </c>
      <c r="Q425">
        <f>IF(AND(A425&lt;&gt;"",A425='Firm Search'!$C$7),COUNTIF($A$5:A425,'Firm Search'!$C$7),"")</f>
        <v/>
      </c>
      <c r="R425">
        <f>IF(A425="","",COUNTIF($A$5:$A$1004,"&lt;"&amp;A425)+COUNTIF($A$5:A425,A425))</f>
        <v/>
      </c>
    </row>
    <row r="426">
      <c r="A426" s="64" t="n"/>
      <c r="B426" s="64" t="n"/>
      <c r="C426" s="66" t="n"/>
      <c r="D426" s="66" t="n"/>
      <c r="E426" s="67" t="n"/>
      <c r="F426" s="67" t="n"/>
      <c r="G426" s="67" t="n"/>
      <c r="H426" s="67" t="n"/>
      <c r="I426" s="67" t="n"/>
      <c r="J426" s="67" t="n"/>
      <c r="K426" s="67" t="n"/>
      <c r="L426" s="67" t="n"/>
      <c r="M426" s="64" t="n"/>
      <c r="N426" s="84">
        <f>IF(A426="","",IFERROR(INDEX(Firms!$B$5:$B$1004,MATCH(A426,Firms!$A$5:$A$1004,0)),"Not on Firms tab"))</f>
        <v/>
      </c>
      <c r="O426" s="84">
        <f>IF(A426="","",IF(AND(D426&lt;&gt;"",D426&lt;TODAY()),"Expired",IF(AND(C426&lt;&gt;"",C426&gt;TODAY()),"Not yet effective",IF(C426="","No date",IF(TODAY()&gt;=EDATE(C426,Review_Months),"Review Due","Current")))))</f>
        <v/>
      </c>
      <c r="P426">
        <f>IF(A426="","",A426&amp;"|"&amp;B426)</f>
        <v/>
      </c>
      <c r="Q426">
        <f>IF(AND(A426&lt;&gt;"",A426='Firm Search'!$C$7),COUNTIF($A$5:A426,'Firm Search'!$C$7),"")</f>
        <v/>
      </c>
      <c r="R426">
        <f>IF(A426="","",COUNTIF($A$5:$A$1004,"&lt;"&amp;A426)+COUNTIF($A$5:A426,A426))</f>
        <v/>
      </c>
    </row>
    <row r="427">
      <c r="A427" s="64" t="n"/>
      <c r="B427" s="64" t="n"/>
      <c r="C427" s="66" t="n"/>
      <c r="D427" s="66" t="n"/>
      <c r="E427" s="67" t="n"/>
      <c r="F427" s="67" t="n"/>
      <c r="G427" s="67" t="n"/>
      <c r="H427" s="67" t="n"/>
      <c r="I427" s="67" t="n"/>
      <c r="J427" s="67" t="n"/>
      <c r="K427" s="67" t="n"/>
      <c r="L427" s="67" t="n"/>
      <c r="M427" s="64" t="n"/>
      <c r="N427" s="84">
        <f>IF(A427="","",IFERROR(INDEX(Firms!$B$5:$B$1004,MATCH(A427,Firms!$A$5:$A$1004,0)),"Not on Firms tab"))</f>
        <v/>
      </c>
      <c r="O427" s="84">
        <f>IF(A427="","",IF(AND(D427&lt;&gt;"",D427&lt;TODAY()),"Expired",IF(AND(C427&lt;&gt;"",C427&gt;TODAY()),"Not yet effective",IF(C427="","No date",IF(TODAY()&gt;=EDATE(C427,Review_Months),"Review Due","Current")))))</f>
        <v/>
      </c>
      <c r="P427">
        <f>IF(A427="","",A427&amp;"|"&amp;B427)</f>
        <v/>
      </c>
      <c r="Q427">
        <f>IF(AND(A427&lt;&gt;"",A427='Firm Search'!$C$7),COUNTIF($A$5:A427,'Firm Search'!$C$7),"")</f>
        <v/>
      </c>
      <c r="R427">
        <f>IF(A427="","",COUNTIF($A$5:$A$1004,"&lt;"&amp;A427)+COUNTIF($A$5:A427,A427))</f>
        <v/>
      </c>
    </row>
    <row r="428">
      <c r="A428" s="64" t="n"/>
      <c r="B428" s="64" t="n"/>
      <c r="C428" s="66" t="n"/>
      <c r="D428" s="66" t="n"/>
      <c r="E428" s="67" t="n"/>
      <c r="F428" s="67" t="n"/>
      <c r="G428" s="67" t="n"/>
      <c r="H428" s="67" t="n"/>
      <c r="I428" s="67" t="n"/>
      <c r="J428" s="67" t="n"/>
      <c r="K428" s="67" t="n"/>
      <c r="L428" s="67" t="n"/>
      <c r="M428" s="64" t="n"/>
      <c r="N428" s="84">
        <f>IF(A428="","",IFERROR(INDEX(Firms!$B$5:$B$1004,MATCH(A428,Firms!$A$5:$A$1004,0)),"Not on Firms tab"))</f>
        <v/>
      </c>
      <c r="O428" s="84">
        <f>IF(A428="","",IF(AND(D428&lt;&gt;"",D428&lt;TODAY()),"Expired",IF(AND(C428&lt;&gt;"",C428&gt;TODAY()),"Not yet effective",IF(C428="","No date",IF(TODAY()&gt;=EDATE(C428,Review_Months),"Review Due","Current")))))</f>
        <v/>
      </c>
      <c r="P428">
        <f>IF(A428="","",A428&amp;"|"&amp;B428)</f>
        <v/>
      </c>
      <c r="Q428">
        <f>IF(AND(A428&lt;&gt;"",A428='Firm Search'!$C$7),COUNTIF($A$5:A428,'Firm Search'!$C$7),"")</f>
        <v/>
      </c>
      <c r="R428">
        <f>IF(A428="","",COUNTIF($A$5:$A$1004,"&lt;"&amp;A428)+COUNTIF($A$5:A428,A428))</f>
        <v/>
      </c>
    </row>
    <row r="429">
      <c r="A429" s="64" t="n"/>
      <c r="B429" s="64" t="n"/>
      <c r="C429" s="66" t="n"/>
      <c r="D429" s="66" t="n"/>
      <c r="E429" s="67" t="n"/>
      <c r="F429" s="67" t="n"/>
      <c r="G429" s="67" t="n"/>
      <c r="H429" s="67" t="n"/>
      <c r="I429" s="67" t="n"/>
      <c r="J429" s="67" t="n"/>
      <c r="K429" s="67" t="n"/>
      <c r="L429" s="67" t="n"/>
      <c r="M429" s="64" t="n"/>
      <c r="N429" s="84">
        <f>IF(A429="","",IFERROR(INDEX(Firms!$B$5:$B$1004,MATCH(A429,Firms!$A$5:$A$1004,0)),"Not on Firms tab"))</f>
        <v/>
      </c>
      <c r="O429" s="84">
        <f>IF(A429="","",IF(AND(D429&lt;&gt;"",D429&lt;TODAY()),"Expired",IF(AND(C429&lt;&gt;"",C429&gt;TODAY()),"Not yet effective",IF(C429="","No date",IF(TODAY()&gt;=EDATE(C429,Review_Months),"Review Due","Current")))))</f>
        <v/>
      </c>
      <c r="P429">
        <f>IF(A429="","",A429&amp;"|"&amp;B429)</f>
        <v/>
      </c>
      <c r="Q429">
        <f>IF(AND(A429&lt;&gt;"",A429='Firm Search'!$C$7),COUNTIF($A$5:A429,'Firm Search'!$C$7),"")</f>
        <v/>
      </c>
      <c r="R429">
        <f>IF(A429="","",COUNTIF($A$5:$A$1004,"&lt;"&amp;A429)+COUNTIF($A$5:A429,A429))</f>
        <v/>
      </c>
    </row>
    <row r="430">
      <c r="A430" s="64" t="n"/>
      <c r="B430" s="64" t="n"/>
      <c r="C430" s="66" t="n"/>
      <c r="D430" s="66" t="n"/>
      <c r="E430" s="67" t="n"/>
      <c r="F430" s="67" t="n"/>
      <c r="G430" s="67" t="n"/>
      <c r="H430" s="67" t="n"/>
      <c r="I430" s="67" t="n"/>
      <c r="J430" s="67" t="n"/>
      <c r="K430" s="67" t="n"/>
      <c r="L430" s="67" t="n"/>
      <c r="M430" s="64" t="n"/>
      <c r="N430" s="84">
        <f>IF(A430="","",IFERROR(INDEX(Firms!$B$5:$B$1004,MATCH(A430,Firms!$A$5:$A$1004,0)),"Not on Firms tab"))</f>
        <v/>
      </c>
      <c r="O430" s="84">
        <f>IF(A430="","",IF(AND(D430&lt;&gt;"",D430&lt;TODAY()),"Expired",IF(AND(C430&lt;&gt;"",C430&gt;TODAY()),"Not yet effective",IF(C430="","No date",IF(TODAY()&gt;=EDATE(C430,Review_Months),"Review Due","Current")))))</f>
        <v/>
      </c>
      <c r="P430">
        <f>IF(A430="","",A430&amp;"|"&amp;B430)</f>
        <v/>
      </c>
      <c r="Q430">
        <f>IF(AND(A430&lt;&gt;"",A430='Firm Search'!$C$7),COUNTIF($A$5:A430,'Firm Search'!$C$7),"")</f>
        <v/>
      </c>
      <c r="R430">
        <f>IF(A430="","",COUNTIF($A$5:$A$1004,"&lt;"&amp;A430)+COUNTIF($A$5:A430,A430))</f>
        <v/>
      </c>
    </row>
    <row r="431">
      <c r="A431" s="64" t="n"/>
      <c r="B431" s="64" t="n"/>
      <c r="C431" s="66" t="n"/>
      <c r="D431" s="66" t="n"/>
      <c r="E431" s="67" t="n"/>
      <c r="F431" s="67" t="n"/>
      <c r="G431" s="67" t="n"/>
      <c r="H431" s="67" t="n"/>
      <c r="I431" s="67" t="n"/>
      <c r="J431" s="67" t="n"/>
      <c r="K431" s="67" t="n"/>
      <c r="L431" s="67" t="n"/>
      <c r="M431" s="64" t="n"/>
      <c r="N431" s="84">
        <f>IF(A431="","",IFERROR(INDEX(Firms!$B$5:$B$1004,MATCH(A431,Firms!$A$5:$A$1004,0)),"Not on Firms tab"))</f>
        <v/>
      </c>
      <c r="O431" s="84">
        <f>IF(A431="","",IF(AND(D431&lt;&gt;"",D431&lt;TODAY()),"Expired",IF(AND(C431&lt;&gt;"",C431&gt;TODAY()),"Not yet effective",IF(C431="","No date",IF(TODAY()&gt;=EDATE(C431,Review_Months),"Review Due","Current")))))</f>
        <v/>
      </c>
      <c r="P431">
        <f>IF(A431="","",A431&amp;"|"&amp;B431)</f>
        <v/>
      </c>
      <c r="Q431">
        <f>IF(AND(A431&lt;&gt;"",A431='Firm Search'!$C$7),COUNTIF($A$5:A431,'Firm Search'!$C$7),"")</f>
        <v/>
      </c>
      <c r="R431">
        <f>IF(A431="","",COUNTIF($A$5:$A$1004,"&lt;"&amp;A431)+COUNTIF($A$5:A431,A431))</f>
        <v/>
      </c>
    </row>
    <row r="432">
      <c r="A432" s="64" t="n"/>
      <c r="B432" s="64" t="n"/>
      <c r="C432" s="66" t="n"/>
      <c r="D432" s="66" t="n"/>
      <c r="E432" s="67" t="n"/>
      <c r="F432" s="67" t="n"/>
      <c r="G432" s="67" t="n"/>
      <c r="H432" s="67" t="n"/>
      <c r="I432" s="67" t="n"/>
      <c r="J432" s="67" t="n"/>
      <c r="K432" s="67" t="n"/>
      <c r="L432" s="67" t="n"/>
      <c r="M432" s="64" t="n"/>
      <c r="N432" s="84">
        <f>IF(A432="","",IFERROR(INDEX(Firms!$B$5:$B$1004,MATCH(A432,Firms!$A$5:$A$1004,0)),"Not on Firms tab"))</f>
        <v/>
      </c>
      <c r="O432" s="84">
        <f>IF(A432="","",IF(AND(D432&lt;&gt;"",D432&lt;TODAY()),"Expired",IF(AND(C432&lt;&gt;"",C432&gt;TODAY()),"Not yet effective",IF(C432="","No date",IF(TODAY()&gt;=EDATE(C432,Review_Months),"Review Due","Current")))))</f>
        <v/>
      </c>
      <c r="P432">
        <f>IF(A432="","",A432&amp;"|"&amp;B432)</f>
        <v/>
      </c>
      <c r="Q432">
        <f>IF(AND(A432&lt;&gt;"",A432='Firm Search'!$C$7),COUNTIF($A$5:A432,'Firm Search'!$C$7),"")</f>
        <v/>
      </c>
      <c r="R432">
        <f>IF(A432="","",COUNTIF($A$5:$A$1004,"&lt;"&amp;A432)+COUNTIF($A$5:A432,A432))</f>
        <v/>
      </c>
    </row>
    <row r="433">
      <c r="A433" s="64" t="n"/>
      <c r="B433" s="64" t="n"/>
      <c r="C433" s="66" t="n"/>
      <c r="D433" s="66" t="n"/>
      <c r="E433" s="67" t="n"/>
      <c r="F433" s="67" t="n"/>
      <c r="G433" s="67" t="n"/>
      <c r="H433" s="67" t="n"/>
      <c r="I433" s="67" t="n"/>
      <c r="J433" s="67" t="n"/>
      <c r="K433" s="67" t="n"/>
      <c r="L433" s="67" t="n"/>
      <c r="M433" s="64" t="n"/>
      <c r="N433" s="84">
        <f>IF(A433="","",IFERROR(INDEX(Firms!$B$5:$B$1004,MATCH(A433,Firms!$A$5:$A$1004,0)),"Not on Firms tab"))</f>
        <v/>
      </c>
      <c r="O433" s="84">
        <f>IF(A433="","",IF(AND(D433&lt;&gt;"",D433&lt;TODAY()),"Expired",IF(AND(C433&lt;&gt;"",C433&gt;TODAY()),"Not yet effective",IF(C433="","No date",IF(TODAY()&gt;=EDATE(C433,Review_Months),"Review Due","Current")))))</f>
        <v/>
      </c>
      <c r="P433">
        <f>IF(A433="","",A433&amp;"|"&amp;B433)</f>
        <v/>
      </c>
      <c r="Q433">
        <f>IF(AND(A433&lt;&gt;"",A433='Firm Search'!$C$7),COUNTIF($A$5:A433,'Firm Search'!$C$7),"")</f>
        <v/>
      </c>
      <c r="R433">
        <f>IF(A433="","",COUNTIF($A$5:$A$1004,"&lt;"&amp;A433)+COUNTIF($A$5:A433,A433))</f>
        <v/>
      </c>
    </row>
    <row r="434">
      <c r="A434" s="64" t="n"/>
      <c r="B434" s="64" t="n"/>
      <c r="C434" s="66" t="n"/>
      <c r="D434" s="66" t="n"/>
      <c r="E434" s="67" t="n"/>
      <c r="F434" s="67" t="n"/>
      <c r="G434" s="67" t="n"/>
      <c r="H434" s="67" t="n"/>
      <c r="I434" s="67" t="n"/>
      <c r="J434" s="67" t="n"/>
      <c r="K434" s="67" t="n"/>
      <c r="L434" s="67" t="n"/>
      <c r="M434" s="64" t="n"/>
      <c r="N434" s="84">
        <f>IF(A434="","",IFERROR(INDEX(Firms!$B$5:$B$1004,MATCH(A434,Firms!$A$5:$A$1004,0)),"Not on Firms tab"))</f>
        <v/>
      </c>
      <c r="O434" s="84">
        <f>IF(A434="","",IF(AND(D434&lt;&gt;"",D434&lt;TODAY()),"Expired",IF(AND(C434&lt;&gt;"",C434&gt;TODAY()),"Not yet effective",IF(C434="","No date",IF(TODAY()&gt;=EDATE(C434,Review_Months),"Review Due","Current")))))</f>
        <v/>
      </c>
      <c r="P434">
        <f>IF(A434="","",A434&amp;"|"&amp;B434)</f>
        <v/>
      </c>
      <c r="Q434">
        <f>IF(AND(A434&lt;&gt;"",A434='Firm Search'!$C$7),COUNTIF($A$5:A434,'Firm Search'!$C$7),"")</f>
        <v/>
      </c>
      <c r="R434">
        <f>IF(A434="","",COUNTIF($A$5:$A$1004,"&lt;"&amp;A434)+COUNTIF($A$5:A434,A434))</f>
        <v/>
      </c>
    </row>
    <row r="435">
      <c r="A435" s="64" t="n"/>
      <c r="B435" s="64" t="n"/>
      <c r="C435" s="66" t="n"/>
      <c r="D435" s="66" t="n"/>
      <c r="E435" s="67" t="n"/>
      <c r="F435" s="67" t="n"/>
      <c r="G435" s="67" t="n"/>
      <c r="H435" s="67" t="n"/>
      <c r="I435" s="67" t="n"/>
      <c r="J435" s="67" t="n"/>
      <c r="K435" s="67" t="n"/>
      <c r="L435" s="67" t="n"/>
      <c r="M435" s="64" t="n"/>
      <c r="N435" s="84">
        <f>IF(A435="","",IFERROR(INDEX(Firms!$B$5:$B$1004,MATCH(A435,Firms!$A$5:$A$1004,0)),"Not on Firms tab"))</f>
        <v/>
      </c>
      <c r="O435" s="84">
        <f>IF(A435="","",IF(AND(D435&lt;&gt;"",D435&lt;TODAY()),"Expired",IF(AND(C435&lt;&gt;"",C435&gt;TODAY()),"Not yet effective",IF(C435="","No date",IF(TODAY()&gt;=EDATE(C435,Review_Months),"Review Due","Current")))))</f>
        <v/>
      </c>
      <c r="P435">
        <f>IF(A435="","",A435&amp;"|"&amp;B435)</f>
        <v/>
      </c>
      <c r="Q435">
        <f>IF(AND(A435&lt;&gt;"",A435='Firm Search'!$C$7),COUNTIF($A$5:A435,'Firm Search'!$C$7),"")</f>
        <v/>
      </c>
      <c r="R435">
        <f>IF(A435="","",COUNTIF($A$5:$A$1004,"&lt;"&amp;A435)+COUNTIF($A$5:A435,A435))</f>
        <v/>
      </c>
    </row>
    <row r="436">
      <c r="A436" s="64" t="n"/>
      <c r="B436" s="64" t="n"/>
      <c r="C436" s="66" t="n"/>
      <c r="D436" s="66" t="n"/>
      <c r="E436" s="67" t="n"/>
      <c r="F436" s="67" t="n"/>
      <c r="G436" s="67" t="n"/>
      <c r="H436" s="67" t="n"/>
      <c r="I436" s="67" t="n"/>
      <c r="J436" s="67" t="n"/>
      <c r="K436" s="67" t="n"/>
      <c r="L436" s="67" t="n"/>
      <c r="M436" s="64" t="n"/>
      <c r="N436" s="84">
        <f>IF(A436="","",IFERROR(INDEX(Firms!$B$5:$B$1004,MATCH(A436,Firms!$A$5:$A$1004,0)),"Not on Firms tab"))</f>
        <v/>
      </c>
      <c r="O436" s="84">
        <f>IF(A436="","",IF(AND(D436&lt;&gt;"",D436&lt;TODAY()),"Expired",IF(AND(C436&lt;&gt;"",C436&gt;TODAY()),"Not yet effective",IF(C436="","No date",IF(TODAY()&gt;=EDATE(C436,Review_Months),"Review Due","Current")))))</f>
        <v/>
      </c>
      <c r="P436">
        <f>IF(A436="","",A436&amp;"|"&amp;B436)</f>
        <v/>
      </c>
      <c r="Q436">
        <f>IF(AND(A436&lt;&gt;"",A436='Firm Search'!$C$7),COUNTIF($A$5:A436,'Firm Search'!$C$7),"")</f>
        <v/>
      </c>
      <c r="R436">
        <f>IF(A436="","",COUNTIF($A$5:$A$1004,"&lt;"&amp;A436)+COUNTIF($A$5:A436,A436))</f>
        <v/>
      </c>
    </row>
    <row r="437">
      <c r="A437" s="64" t="n"/>
      <c r="B437" s="64" t="n"/>
      <c r="C437" s="66" t="n"/>
      <c r="D437" s="66" t="n"/>
      <c r="E437" s="67" t="n"/>
      <c r="F437" s="67" t="n"/>
      <c r="G437" s="67" t="n"/>
      <c r="H437" s="67" t="n"/>
      <c r="I437" s="67" t="n"/>
      <c r="J437" s="67" t="n"/>
      <c r="K437" s="67" t="n"/>
      <c r="L437" s="67" t="n"/>
      <c r="M437" s="64" t="n"/>
      <c r="N437" s="84">
        <f>IF(A437="","",IFERROR(INDEX(Firms!$B$5:$B$1004,MATCH(A437,Firms!$A$5:$A$1004,0)),"Not on Firms tab"))</f>
        <v/>
      </c>
      <c r="O437" s="84">
        <f>IF(A437="","",IF(AND(D437&lt;&gt;"",D437&lt;TODAY()),"Expired",IF(AND(C437&lt;&gt;"",C437&gt;TODAY()),"Not yet effective",IF(C437="","No date",IF(TODAY()&gt;=EDATE(C437,Review_Months),"Review Due","Current")))))</f>
        <v/>
      </c>
      <c r="P437">
        <f>IF(A437="","",A437&amp;"|"&amp;B437)</f>
        <v/>
      </c>
      <c r="Q437">
        <f>IF(AND(A437&lt;&gt;"",A437='Firm Search'!$C$7),COUNTIF($A$5:A437,'Firm Search'!$C$7),"")</f>
        <v/>
      </c>
      <c r="R437">
        <f>IF(A437="","",COUNTIF($A$5:$A$1004,"&lt;"&amp;A437)+COUNTIF($A$5:A437,A437))</f>
        <v/>
      </c>
    </row>
    <row r="438">
      <c r="A438" s="64" t="n"/>
      <c r="B438" s="64" t="n"/>
      <c r="C438" s="66" t="n"/>
      <c r="D438" s="66" t="n"/>
      <c r="E438" s="67" t="n"/>
      <c r="F438" s="67" t="n"/>
      <c r="G438" s="67" t="n"/>
      <c r="H438" s="67" t="n"/>
      <c r="I438" s="67" t="n"/>
      <c r="J438" s="67" t="n"/>
      <c r="K438" s="67" t="n"/>
      <c r="L438" s="67" t="n"/>
      <c r="M438" s="64" t="n"/>
      <c r="N438" s="84">
        <f>IF(A438="","",IFERROR(INDEX(Firms!$B$5:$B$1004,MATCH(A438,Firms!$A$5:$A$1004,0)),"Not on Firms tab"))</f>
        <v/>
      </c>
      <c r="O438" s="84">
        <f>IF(A438="","",IF(AND(D438&lt;&gt;"",D438&lt;TODAY()),"Expired",IF(AND(C438&lt;&gt;"",C438&gt;TODAY()),"Not yet effective",IF(C438="","No date",IF(TODAY()&gt;=EDATE(C438,Review_Months),"Review Due","Current")))))</f>
        <v/>
      </c>
      <c r="P438">
        <f>IF(A438="","",A438&amp;"|"&amp;B438)</f>
        <v/>
      </c>
      <c r="Q438">
        <f>IF(AND(A438&lt;&gt;"",A438='Firm Search'!$C$7),COUNTIF($A$5:A438,'Firm Search'!$C$7),"")</f>
        <v/>
      </c>
      <c r="R438">
        <f>IF(A438="","",COUNTIF($A$5:$A$1004,"&lt;"&amp;A438)+COUNTIF($A$5:A438,A438))</f>
        <v/>
      </c>
    </row>
    <row r="439">
      <c r="A439" s="64" t="n"/>
      <c r="B439" s="64" t="n"/>
      <c r="C439" s="66" t="n"/>
      <c r="D439" s="66" t="n"/>
      <c r="E439" s="67" t="n"/>
      <c r="F439" s="67" t="n"/>
      <c r="G439" s="67" t="n"/>
      <c r="H439" s="67" t="n"/>
      <c r="I439" s="67" t="n"/>
      <c r="J439" s="67" t="n"/>
      <c r="K439" s="67" t="n"/>
      <c r="L439" s="67" t="n"/>
      <c r="M439" s="64" t="n"/>
      <c r="N439" s="84">
        <f>IF(A439="","",IFERROR(INDEX(Firms!$B$5:$B$1004,MATCH(A439,Firms!$A$5:$A$1004,0)),"Not on Firms tab"))</f>
        <v/>
      </c>
      <c r="O439" s="84">
        <f>IF(A439="","",IF(AND(D439&lt;&gt;"",D439&lt;TODAY()),"Expired",IF(AND(C439&lt;&gt;"",C439&gt;TODAY()),"Not yet effective",IF(C439="","No date",IF(TODAY()&gt;=EDATE(C439,Review_Months),"Review Due","Current")))))</f>
        <v/>
      </c>
      <c r="P439">
        <f>IF(A439="","",A439&amp;"|"&amp;B439)</f>
        <v/>
      </c>
      <c r="Q439">
        <f>IF(AND(A439&lt;&gt;"",A439='Firm Search'!$C$7),COUNTIF($A$5:A439,'Firm Search'!$C$7),"")</f>
        <v/>
      </c>
      <c r="R439">
        <f>IF(A439="","",COUNTIF($A$5:$A$1004,"&lt;"&amp;A439)+COUNTIF($A$5:A439,A439))</f>
        <v/>
      </c>
    </row>
    <row r="440">
      <c r="A440" s="64" t="n"/>
      <c r="B440" s="64" t="n"/>
      <c r="C440" s="66" t="n"/>
      <c r="D440" s="66" t="n"/>
      <c r="E440" s="67" t="n"/>
      <c r="F440" s="67" t="n"/>
      <c r="G440" s="67" t="n"/>
      <c r="H440" s="67" t="n"/>
      <c r="I440" s="67" t="n"/>
      <c r="J440" s="67" t="n"/>
      <c r="K440" s="67" t="n"/>
      <c r="L440" s="67" t="n"/>
      <c r="M440" s="64" t="n"/>
      <c r="N440" s="84">
        <f>IF(A440="","",IFERROR(INDEX(Firms!$B$5:$B$1004,MATCH(A440,Firms!$A$5:$A$1004,0)),"Not on Firms tab"))</f>
        <v/>
      </c>
      <c r="O440" s="84">
        <f>IF(A440="","",IF(AND(D440&lt;&gt;"",D440&lt;TODAY()),"Expired",IF(AND(C440&lt;&gt;"",C440&gt;TODAY()),"Not yet effective",IF(C440="","No date",IF(TODAY()&gt;=EDATE(C440,Review_Months),"Review Due","Current")))))</f>
        <v/>
      </c>
      <c r="P440">
        <f>IF(A440="","",A440&amp;"|"&amp;B440)</f>
        <v/>
      </c>
      <c r="Q440">
        <f>IF(AND(A440&lt;&gt;"",A440='Firm Search'!$C$7),COUNTIF($A$5:A440,'Firm Search'!$C$7),"")</f>
        <v/>
      </c>
      <c r="R440">
        <f>IF(A440="","",COUNTIF($A$5:$A$1004,"&lt;"&amp;A440)+COUNTIF($A$5:A440,A440))</f>
        <v/>
      </c>
    </row>
    <row r="441">
      <c r="A441" s="64" t="n"/>
      <c r="B441" s="64" t="n"/>
      <c r="C441" s="66" t="n"/>
      <c r="D441" s="66" t="n"/>
      <c r="E441" s="67" t="n"/>
      <c r="F441" s="67" t="n"/>
      <c r="G441" s="67" t="n"/>
      <c r="H441" s="67" t="n"/>
      <c r="I441" s="67" t="n"/>
      <c r="J441" s="67" t="n"/>
      <c r="K441" s="67" t="n"/>
      <c r="L441" s="67" t="n"/>
      <c r="M441" s="64" t="n"/>
      <c r="N441" s="84">
        <f>IF(A441="","",IFERROR(INDEX(Firms!$B$5:$B$1004,MATCH(A441,Firms!$A$5:$A$1004,0)),"Not on Firms tab"))</f>
        <v/>
      </c>
      <c r="O441" s="84">
        <f>IF(A441="","",IF(AND(D441&lt;&gt;"",D441&lt;TODAY()),"Expired",IF(AND(C441&lt;&gt;"",C441&gt;TODAY()),"Not yet effective",IF(C441="","No date",IF(TODAY()&gt;=EDATE(C441,Review_Months),"Review Due","Current")))))</f>
        <v/>
      </c>
      <c r="P441">
        <f>IF(A441="","",A441&amp;"|"&amp;B441)</f>
        <v/>
      </c>
      <c r="Q441">
        <f>IF(AND(A441&lt;&gt;"",A441='Firm Search'!$C$7),COUNTIF($A$5:A441,'Firm Search'!$C$7),"")</f>
        <v/>
      </c>
      <c r="R441">
        <f>IF(A441="","",COUNTIF($A$5:$A$1004,"&lt;"&amp;A441)+COUNTIF($A$5:A441,A441))</f>
        <v/>
      </c>
    </row>
    <row r="442">
      <c r="A442" s="64" t="n"/>
      <c r="B442" s="64" t="n"/>
      <c r="C442" s="66" t="n"/>
      <c r="D442" s="66" t="n"/>
      <c r="E442" s="67" t="n"/>
      <c r="F442" s="67" t="n"/>
      <c r="G442" s="67" t="n"/>
      <c r="H442" s="67" t="n"/>
      <c r="I442" s="67" t="n"/>
      <c r="J442" s="67" t="n"/>
      <c r="K442" s="67" t="n"/>
      <c r="L442" s="67" t="n"/>
      <c r="M442" s="64" t="n"/>
      <c r="N442" s="84">
        <f>IF(A442="","",IFERROR(INDEX(Firms!$B$5:$B$1004,MATCH(A442,Firms!$A$5:$A$1004,0)),"Not on Firms tab"))</f>
        <v/>
      </c>
      <c r="O442" s="84">
        <f>IF(A442="","",IF(AND(D442&lt;&gt;"",D442&lt;TODAY()),"Expired",IF(AND(C442&lt;&gt;"",C442&gt;TODAY()),"Not yet effective",IF(C442="","No date",IF(TODAY()&gt;=EDATE(C442,Review_Months),"Review Due","Current")))))</f>
        <v/>
      </c>
      <c r="P442">
        <f>IF(A442="","",A442&amp;"|"&amp;B442)</f>
        <v/>
      </c>
      <c r="Q442">
        <f>IF(AND(A442&lt;&gt;"",A442='Firm Search'!$C$7),COUNTIF($A$5:A442,'Firm Search'!$C$7),"")</f>
        <v/>
      </c>
      <c r="R442">
        <f>IF(A442="","",COUNTIF($A$5:$A$1004,"&lt;"&amp;A442)+COUNTIF($A$5:A442,A442))</f>
        <v/>
      </c>
    </row>
    <row r="443">
      <c r="A443" s="64" t="n"/>
      <c r="B443" s="64" t="n"/>
      <c r="C443" s="66" t="n"/>
      <c r="D443" s="66" t="n"/>
      <c r="E443" s="67" t="n"/>
      <c r="F443" s="67" t="n"/>
      <c r="G443" s="67" t="n"/>
      <c r="H443" s="67" t="n"/>
      <c r="I443" s="67" t="n"/>
      <c r="J443" s="67" t="n"/>
      <c r="K443" s="67" t="n"/>
      <c r="L443" s="67" t="n"/>
      <c r="M443" s="64" t="n"/>
      <c r="N443" s="84">
        <f>IF(A443="","",IFERROR(INDEX(Firms!$B$5:$B$1004,MATCH(A443,Firms!$A$5:$A$1004,0)),"Not on Firms tab"))</f>
        <v/>
      </c>
      <c r="O443" s="84">
        <f>IF(A443="","",IF(AND(D443&lt;&gt;"",D443&lt;TODAY()),"Expired",IF(AND(C443&lt;&gt;"",C443&gt;TODAY()),"Not yet effective",IF(C443="","No date",IF(TODAY()&gt;=EDATE(C443,Review_Months),"Review Due","Current")))))</f>
        <v/>
      </c>
      <c r="P443">
        <f>IF(A443="","",A443&amp;"|"&amp;B443)</f>
        <v/>
      </c>
      <c r="Q443">
        <f>IF(AND(A443&lt;&gt;"",A443='Firm Search'!$C$7),COUNTIF($A$5:A443,'Firm Search'!$C$7),"")</f>
        <v/>
      </c>
      <c r="R443">
        <f>IF(A443="","",COUNTIF($A$5:$A$1004,"&lt;"&amp;A443)+COUNTIF($A$5:A443,A443))</f>
        <v/>
      </c>
    </row>
    <row r="444">
      <c r="A444" s="64" t="n"/>
      <c r="B444" s="64" t="n"/>
      <c r="C444" s="66" t="n"/>
      <c r="D444" s="66" t="n"/>
      <c r="E444" s="67" t="n"/>
      <c r="F444" s="67" t="n"/>
      <c r="G444" s="67" t="n"/>
      <c r="H444" s="67" t="n"/>
      <c r="I444" s="67" t="n"/>
      <c r="J444" s="67" t="n"/>
      <c r="K444" s="67" t="n"/>
      <c r="L444" s="67" t="n"/>
      <c r="M444" s="64" t="n"/>
      <c r="N444" s="84">
        <f>IF(A444="","",IFERROR(INDEX(Firms!$B$5:$B$1004,MATCH(A444,Firms!$A$5:$A$1004,0)),"Not on Firms tab"))</f>
        <v/>
      </c>
      <c r="O444" s="84">
        <f>IF(A444="","",IF(AND(D444&lt;&gt;"",D444&lt;TODAY()),"Expired",IF(AND(C444&lt;&gt;"",C444&gt;TODAY()),"Not yet effective",IF(C444="","No date",IF(TODAY()&gt;=EDATE(C444,Review_Months),"Review Due","Current")))))</f>
        <v/>
      </c>
      <c r="P444">
        <f>IF(A444="","",A444&amp;"|"&amp;B444)</f>
        <v/>
      </c>
      <c r="Q444">
        <f>IF(AND(A444&lt;&gt;"",A444='Firm Search'!$C$7),COUNTIF($A$5:A444,'Firm Search'!$C$7),"")</f>
        <v/>
      </c>
      <c r="R444">
        <f>IF(A444="","",COUNTIF($A$5:$A$1004,"&lt;"&amp;A444)+COUNTIF($A$5:A444,A444))</f>
        <v/>
      </c>
    </row>
    <row r="445">
      <c r="A445" s="64" t="n"/>
      <c r="B445" s="64" t="n"/>
      <c r="C445" s="66" t="n"/>
      <c r="D445" s="66" t="n"/>
      <c r="E445" s="67" t="n"/>
      <c r="F445" s="67" t="n"/>
      <c r="G445" s="67" t="n"/>
      <c r="H445" s="67" t="n"/>
      <c r="I445" s="67" t="n"/>
      <c r="J445" s="67" t="n"/>
      <c r="K445" s="67" t="n"/>
      <c r="L445" s="67" t="n"/>
      <c r="M445" s="64" t="n"/>
      <c r="N445" s="84">
        <f>IF(A445="","",IFERROR(INDEX(Firms!$B$5:$B$1004,MATCH(A445,Firms!$A$5:$A$1004,0)),"Not on Firms tab"))</f>
        <v/>
      </c>
      <c r="O445" s="84">
        <f>IF(A445="","",IF(AND(D445&lt;&gt;"",D445&lt;TODAY()),"Expired",IF(AND(C445&lt;&gt;"",C445&gt;TODAY()),"Not yet effective",IF(C445="","No date",IF(TODAY()&gt;=EDATE(C445,Review_Months),"Review Due","Current")))))</f>
        <v/>
      </c>
      <c r="P445">
        <f>IF(A445="","",A445&amp;"|"&amp;B445)</f>
        <v/>
      </c>
      <c r="Q445">
        <f>IF(AND(A445&lt;&gt;"",A445='Firm Search'!$C$7),COUNTIF($A$5:A445,'Firm Search'!$C$7),"")</f>
        <v/>
      </c>
      <c r="R445">
        <f>IF(A445="","",COUNTIF($A$5:$A$1004,"&lt;"&amp;A445)+COUNTIF($A$5:A445,A445))</f>
        <v/>
      </c>
    </row>
    <row r="446">
      <c r="A446" s="64" t="n"/>
      <c r="B446" s="64" t="n"/>
      <c r="C446" s="66" t="n"/>
      <c r="D446" s="66" t="n"/>
      <c r="E446" s="67" t="n"/>
      <c r="F446" s="67" t="n"/>
      <c r="G446" s="67" t="n"/>
      <c r="H446" s="67" t="n"/>
      <c r="I446" s="67" t="n"/>
      <c r="J446" s="67" t="n"/>
      <c r="K446" s="67" t="n"/>
      <c r="L446" s="67" t="n"/>
      <c r="M446" s="64" t="n"/>
      <c r="N446" s="84">
        <f>IF(A446="","",IFERROR(INDEX(Firms!$B$5:$B$1004,MATCH(A446,Firms!$A$5:$A$1004,0)),"Not on Firms tab"))</f>
        <v/>
      </c>
      <c r="O446" s="84">
        <f>IF(A446="","",IF(AND(D446&lt;&gt;"",D446&lt;TODAY()),"Expired",IF(AND(C446&lt;&gt;"",C446&gt;TODAY()),"Not yet effective",IF(C446="","No date",IF(TODAY()&gt;=EDATE(C446,Review_Months),"Review Due","Current")))))</f>
        <v/>
      </c>
      <c r="P446">
        <f>IF(A446="","",A446&amp;"|"&amp;B446)</f>
        <v/>
      </c>
      <c r="Q446">
        <f>IF(AND(A446&lt;&gt;"",A446='Firm Search'!$C$7),COUNTIF($A$5:A446,'Firm Search'!$C$7),"")</f>
        <v/>
      </c>
      <c r="R446">
        <f>IF(A446="","",COUNTIF($A$5:$A$1004,"&lt;"&amp;A446)+COUNTIF($A$5:A446,A446))</f>
        <v/>
      </c>
    </row>
    <row r="447">
      <c r="A447" s="64" t="n"/>
      <c r="B447" s="64" t="n"/>
      <c r="C447" s="66" t="n"/>
      <c r="D447" s="66" t="n"/>
      <c r="E447" s="67" t="n"/>
      <c r="F447" s="67" t="n"/>
      <c r="G447" s="67" t="n"/>
      <c r="H447" s="67" t="n"/>
      <c r="I447" s="67" t="n"/>
      <c r="J447" s="67" t="n"/>
      <c r="K447" s="67" t="n"/>
      <c r="L447" s="67" t="n"/>
      <c r="M447" s="64" t="n"/>
      <c r="N447" s="84">
        <f>IF(A447="","",IFERROR(INDEX(Firms!$B$5:$B$1004,MATCH(A447,Firms!$A$5:$A$1004,0)),"Not on Firms tab"))</f>
        <v/>
      </c>
      <c r="O447" s="84">
        <f>IF(A447="","",IF(AND(D447&lt;&gt;"",D447&lt;TODAY()),"Expired",IF(AND(C447&lt;&gt;"",C447&gt;TODAY()),"Not yet effective",IF(C447="","No date",IF(TODAY()&gt;=EDATE(C447,Review_Months),"Review Due","Current")))))</f>
        <v/>
      </c>
      <c r="P447">
        <f>IF(A447="","",A447&amp;"|"&amp;B447)</f>
        <v/>
      </c>
      <c r="Q447">
        <f>IF(AND(A447&lt;&gt;"",A447='Firm Search'!$C$7),COUNTIF($A$5:A447,'Firm Search'!$C$7),"")</f>
        <v/>
      </c>
      <c r="R447">
        <f>IF(A447="","",COUNTIF($A$5:$A$1004,"&lt;"&amp;A447)+COUNTIF($A$5:A447,A447))</f>
        <v/>
      </c>
    </row>
    <row r="448">
      <c r="A448" s="64" t="n"/>
      <c r="B448" s="64" t="n"/>
      <c r="C448" s="66" t="n"/>
      <c r="D448" s="66" t="n"/>
      <c r="E448" s="67" t="n"/>
      <c r="F448" s="67" t="n"/>
      <c r="G448" s="67" t="n"/>
      <c r="H448" s="67" t="n"/>
      <c r="I448" s="67" t="n"/>
      <c r="J448" s="67" t="n"/>
      <c r="K448" s="67" t="n"/>
      <c r="L448" s="67" t="n"/>
      <c r="M448" s="64" t="n"/>
      <c r="N448" s="84">
        <f>IF(A448="","",IFERROR(INDEX(Firms!$B$5:$B$1004,MATCH(A448,Firms!$A$5:$A$1004,0)),"Not on Firms tab"))</f>
        <v/>
      </c>
      <c r="O448" s="84">
        <f>IF(A448="","",IF(AND(D448&lt;&gt;"",D448&lt;TODAY()),"Expired",IF(AND(C448&lt;&gt;"",C448&gt;TODAY()),"Not yet effective",IF(C448="","No date",IF(TODAY()&gt;=EDATE(C448,Review_Months),"Review Due","Current")))))</f>
        <v/>
      </c>
      <c r="P448">
        <f>IF(A448="","",A448&amp;"|"&amp;B448)</f>
        <v/>
      </c>
      <c r="Q448">
        <f>IF(AND(A448&lt;&gt;"",A448='Firm Search'!$C$7),COUNTIF($A$5:A448,'Firm Search'!$C$7),"")</f>
        <v/>
      </c>
      <c r="R448">
        <f>IF(A448="","",COUNTIF($A$5:$A$1004,"&lt;"&amp;A448)+COUNTIF($A$5:A448,A448))</f>
        <v/>
      </c>
    </row>
    <row r="449">
      <c r="A449" s="64" t="n"/>
      <c r="B449" s="64" t="n"/>
      <c r="C449" s="66" t="n"/>
      <c r="D449" s="66" t="n"/>
      <c r="E449" s="67" t="n"/>
      <c r="F449" s="67" t="n"/>
      <c r="G449" s="67" t="n"/>
      <c r="H449" s="67" t="n"/>
      <c r="I449" s="67" t="n"/>
      <c r="J449" s="67" t="n"/>
      <c r="K449" s="67" t="n"/>
      <c r="L449" s="67" t="n"/>
      <c r="M449" s="64" t="n"/>
      <c r="N449" s="84">
        <f>IF(A449="","",IFERROR(INDEX(Firms!$B$5:$B$1004,MATCH(A449,Firms!$A$5:$A$1004,0)),"Not on Firms tab"))</f>
        <v/>
      </c>
      <c r="O449" s="84">
        <f>IF(A449="","",IF(AND(D449&lt;&gt;"",D449&lt;TODAY()),"Expired",IF(AND(C449&lt;&gt;"",C449&gt;TODAY()),"Not yet effective",IF(C449="","No date",IF(TODAY()&gt;=EDATE(C449,Review_Months),"Review Due","Current")))))</f>
        <v/>
      </c>
      <c r="P449">
        <f>IF(A449="","",A449&amp;"|"&amp;B449)</f>
        <v/>
      </c>
      <c r="Q449">
        <f>IF(AND(A449&lt;&gt;"",A449='Firm Search'!$C$7),COUNTIF($A$5:A449,'Firm Search'!$C$7),"")</f>
        <v/>
      </c>
      <c r="R449">
        <f>IF(A449="","",COUNTIF($A$5:$A$1004,"&lt;"&amp;A449)+COUNTIF($A$5:A449,A449))</f>
        <v/>
      </c>
    </row>
    <row r="450">
      <c r="A450" s="64" t="n"/>
      <c r="B450" s="64" t="n"/>
      <c r="C450" s="66" t="n"/>
      <c r="D450" s="66" t="n"/>
      <c r="E450" s="67" t="n"/>
      <c r="F450" s="67" t="n"/>
      <c r="G450" s="67" t="n"/>
      <c r="H450" s="67" t="n"/>
      <c r="I450" s="67" t="n"/>
      <c r="J450" s="67" t="n"/>
      <c r="K450" s="67" t="n"/>
      <c r="L450" s="67" t="n"/>
      <c r="M450" s="64" t="n"/>
      <c r="N450" s="84">
        <f>IF(A450="","",IFERROR(INDEX(Firms!$B$5:$B$1004,MATCH(A450,Firms!$A$5:$A$1004,0)),"Not on Firms tab"))</f>
        <v/>
      </c>
      <c r="O450" s="84">
        <f>IF(A450="","",IF(AND(D450&lt;&gt;"",D450&lt;TODAY()),"Expired",IF(AND(C450&lt;&gt;"",C450&gt;TODAY()),"Not yet effective",IF(C450="","No date",IF(TODAY()&gt;=EDATE(C450,Review_Months),"Review Due","Current")))))</f>
        <v/>
      </c>
      <c r="P450">
        <f>IF(A450="","",A450&amp;"|"&amp;B450)</f>
        <v/>
      </c>
      <c r="Q450">
        <f>IF(AND(A450&lt;&gt;"",A450='Firm Search'!$C$7),COUNTIF($A$5:A450,'Firm Search'!$C$7),"")</f>
        <v/>
      </c>
      <c r="R450">
        <f>IF(A450="","",COUNTIF($A$5:$A$1004,"&lt;"&amp;A450)+COUNTIF($A$5:A450,A450))</f>
        <v/>
      </c>
    </row>
    <row r="451">
      <c r="A451" s="64" t="n"/>
      <c r="B451" s="64" t="n"/>
      <c r="C451" s="66" t="n"/>
      <c r="D451" s="66" t="n"/>
      <c r="E451" s="67" t="n"/>
      <c r="F451" s="67" t="n"/>
      <c r="G451" s="67" t="n"/>
      <c r="H451" s="67" t="n"/>
      <c r="I451" s="67" t="n"/>
      <c r="J451" s="67" t="n"/>
      <c r="K451" s="67" t="n"/>
      <c r="L451" s="67" t="n"/>
      <c r="M451" s="64" t="n"/>
      <c r="N451" s="84">
        <f>IF(A451="","",IFERROR(INDEX(Firms!$B$5:$B$1004,MATCH(A451,Firms!$A$5:$A$1004,0)),"Not on Firms tab"))</f>
        <v/>
      </c>
      <c r="O451" s="84">
        <f>IF(A451="","",IF(AND(D451&lt;&gt;"",D451&lt;TODAY()),"Expired",IF(AND(C451&lt;&gt;"",C451&gt;TODAY()),"Not yet effective",IF(C451="","No date",IF(TODAY()&gt;=EDATE(C451,Review_Months),"Review Due","Current")))))</f>
        <v/>
      </c>
      <c r="P451">
        <f>IF(A451="","",A451&amp;"|"&amp;B451)</f>
        <v/>
      </c>
      <c r="Q451">
        <f>IF(AND(A451&lt;&gt;"",A451='Firm Search'!$C$7),COUNTIF($A$5:A451,'Firm Search'!$C$7),"")</f>
        <v/>
      </c>
      <c r="R451">
        <f>IF(A451="","",COUNTIF($A$5:$A$1004,"&lt;"&amp;A451)+COUNTIF($A$5:A451,A451))</f>
        <v/>
      </c>
    </row>
    <row r="452">
      <c r="A452" s="64" t="n"/>
      <c r="B452" s="64" t="n"/>
      <c r="C452" s="66" t="n"/>
      <c r="D452" s="66" t="n"/>
      <c r="E452" s="67" t="n"/>
      <c r="F452" s="67" t="n"/>
      <c r="G452" s="67" t="n"/>
      <c r="H452" s="67" t="n"/>
      <c r="I452" s="67" t="n"/>
      <c r="J452" s="67" t="n"/>
      <c r="K452" s="67" t="n"/>
      <c r="L452" s="67" t="n"/>
      <c r="M452" s="64" t="n"/>
      <c r="N452" s="84">
        <f>IF(A452="","",IFERROR(INDEX(Firms!$B$5:$B$1004,MATCH(A452,Firms!$A$5:$A$1004,0)),"Not on Firms tab"))</f>
        <v/>
      </c>
      <c r="O452" s="84">
        <f>IF(A452="","",IF(AND(D452&lt;&gt;"",D452&lt;TODAY()),"Expired",IF(AND(C452&lt;&gt;"",C452&gt;TODAY()),"Not yet effective",IF(C452="","No date",IF(TODAY()&gt;=EDATE(C452,Review_Months),"Review Due","Current")))))</f>
        <v/>
      </c>
      <c r="P452">
        <f>IF(A452="","",A452&amp;"|"&amp;B452)</f>
        <v/>
      </c>
      <c r="Q452">
        <f>IF(AND(A452&lt;&gt;"",A452='Firm Search'!$C$7),COUNTIF($A$5:A452,'Firm Search'!$C$7),"")</f>
        <v/>
      </c>
      <c r="R452">
        <f>IF(A452="","",COUNTIF($A$5:$A$1004,"&lt;"&amp;A452)+COUNTIF($A$5:A452,A452))</f>
        <v/>
      </c>
    </row>
    <row r="453">
      <c r="A453" s="64" t="n"/>
      <c r="B453" s="64" t="n"/>
      <c r="C453" s="66" t="n"/>
      <c r="D453" s="66" t="n"/>
      <c r="E453" s="67" t="n"/>
      <c r="F453" s="67" t="n"/>
      <c r="G453" s="67" t="n"/>
      <c r="H453" s="67" t="n"/>
      <c r="I453" s="67" t="n"/>
      <c r="J453" s="67" t="n"/>
      <c r="K453" s="67" t="n"/>
      <c r="L453" s="67" t="n"/>
      <c r="M453" s="64" t="n"/>
      <c r="N453" s="84">
        <f>IF(A453="","",IFERROR(INDEX(Firms!$B$5:$B$1004,MATCH(A453,Firms!$A$5:$A$1004,0)),"Not on Firms tab"))</f>
        <v/>
      </c>
      <c r="O453" s="84">
        <f>IF(A453="","",IF(AND(D453&lt;&gt;"",D453&lt;TODAY()),"Expired",IF(AND(C453&lt;&gt;"",C453&gt;TODAY()),"Not yet effective",IF(C453="","No date",IF(TODAY()&gt;=EDATE(C453,Review_Months),"Review Due","Current")))))</f>
        <v/>
      </c>
      <c r="P453">
        <f>IF(A453="","",A453&amp;"|"&amp;B453)</f>
        <v/>
      </c>
      <c r="Q453">
        <f>IF(AND(A453&lt;&gt;"",A453='Firm Search'!$C$7),COUNTIF($A$5:A453,'Firm Search'!$C$7),"")</f>
        <v/>
      </c>
      <c r="R453">
        <f>IF(A453="","",COUNTIF($A$5:$A$1004,"&lt;"&amp;A453)+COUNTIF($A$5:A453,A453))</f>
        <v/>
      </c>
    </row>
    <row r="454">
      <c r="A454" s="64" t="n"/>
      <c r="B454" s="64" t="n"/>
      <c r="C454" s="66" t="n"/>
      <c r="D454" s="66" t="n"/>
      <c r="E454" s="67" t="n"/>
      <c r="F454" s="67" t="n"/>
      <c r="G454" s="67" t="n"/>
      <c r="H454" s="67" t="n"/>
      <c r="I454" s="67" t="n"/>
      <c r="J454" s="67" t="n"/>
      <c r="K454" s="67" t="n"/>
      <c r="L454" s="67" t="n"/>
      <c r="M454" s="64" t="n"/>
      <c r="N454" s="84">
        <f>IF(A454="","",IFERROR(INDEX(Firms!$B$5:$B$1004,MATCH(A454,Firms!$A$5:$A$1004,0)),"Not on Firms tab"))</f>
        <v/>
      </c>
      <c r="O454" s="84">
        <f>IF(A454="","",IF(AND(D454&lt;&gt;"",D454&lt;TODAY()),"Expired",IF(AND(C454&lt;&gt;"",C454&gt;TODAY()),"Not yet effective",IF(C454="","No date",IF(TODAY()&gt;=EDATE(C454,Review_Months),"Review Due","Current")))))</f>
        <v/>
      </c>
      <c r="P454">
        <f>IF(A454="","",A454&amp;"|"&amp;B454)</f>
        <v/>
      </c>
      <c r="Q454">
        <f>IF(AND(A454&lt;&gt;"",A454='Firm Search'!$C$7),COUNTIF($A$5:A454,'Firm Search'!$C$7),"")</f>
        <v/>
      </c>
      <c r="R454">
        <f>IF(A454="","",COUNTIF($A$5:$A$1004,"&lt;"&amp;A454)+COUNTIF($A$5:A454,A454))</f>
        <v/>
      </c>
    </row>
    <row r="455">
      <c r="A455" s="64" t="n"/>
      <c r="B455" s="64" t="n"/>
      <c r="C455" s="66" t="n"/>
      <c r="D455" s="66" t="n"/>
      <c r="E455" s="67" t="n"/>
      <c r="F455" s="67" t="n"/>
      <c r="G455" s="67" t="n"/>
      <c r="H455" s="67" t="n"/>
      <c r="I455" s="67" t="n"/>
      <c r="J455" s="67" t="n"/>
      <c r="K455" s="67" t="n"/>
      <c r="L455" s="67" t="n"/>
      <c r="M455" s="64" t="n"/>
      <c r="N455" s="84">
        <f>IF(A455="","",IFERROR(INDEX(Firms!$B$5:$B$1004,MATCH(A455,Firms!$A$5:$A$1004,0)),"Not on Firms tab"))</f>
        <v/>
      </c>
      <c r="O455" s="84">
        <f>IF(A455="","",IF(AND(D455&lt;&gt;"",D455&lt;TODAY()),"Expired",IF(AND(C455&lt;&gt;"",C455&gt;TODAY()),"Not yet effective",IF(C455="","No date",IF(TODAY()&gt;=EDATE(C455,Review_Months),"Review Due","Current")))))</f>
        <v/>
      </c>
      <c r="P455">
        <f>IF(A455="","",A455&amp;"|"&amp;B455)</f>
        <v/>
      </c>
      <c r="Q455">
        <f>IF(AND(A455&lt;&gt;"",A455='Firm Search'!$C$7),COUNTIF($A$5:A455,'Firm Search'!$C$7),"")</f>
        <v/>
      </c>
      <c r="R455">
        <f>IF(A455="","",COUNTIF($A$5:$A$1004,"&lt;"&amp;A455)+COUNTIF($A$5:A455,A455))</f>
        <v/>
      </c>
    </row>
    <row r="456">
      <c r="A456" s="64" t="n"/>
      <c r="B456" s="64" t="n"/>
      <c r="C456" s="66" t="n"/>
      <c r="D456" s="66" t="n"/>
      <c r="E456" s="67" t="n"/>
      <c r="F456" s="67" t="n"/>
      <c r="G456" s="67" t="n"/>
      <c r="H456" s="67" t="n"/>
      <c r="I456" s="67" t="n"/>
      <c r="J456" s="67" t="n"/>
      <c r="K456" s="67" t="n"/>
      <c r="L456" s="67" t="n"/>
      <c r="M456" s="64" t="n"/>
      <c r="N456" s="84">
        <f>IF(A456="","",IFERROR(INDEX(Firms!$B$5:$B$1004,MATCH(A456,Firms!$A$5:$A$1004,0)),"Not on Firms tab"))</f>
        <v/>
      </c>
      <c r="O456" s="84">
        <f>IF(A456="","",IF(AND(D456&lt;&gt;"",D456&lt;TODAY()),"Expired",IF(AND(C456&lt;&gt;"",C456&gt;TODAY()),"Not yet effective",IF(C456="","No date",IF(TODAY()&gt;=EDATE(C456,Review_Months),"Review Due","Current")))))</f>
        <v/>
      </c>
      <c r="P456">
        <f>IF(A456="","",A456&amp;"|"&amp;B456)</f>
        <v/>
      </c>
      <c r="Q456">
        <f>IF(AND(A456&lt;&gt;"",A456='Firm Search'!$C$7),COUNTIF($A$5:A456,'Firm Search'!$C$7),"")</f>
        <v/>
      </c>
      <c r="R456">
        <f>IF(A456="","",COUNTIF($A$5:$A$1004,"&lt;"&amp;A456)+COUNTIF($A$5:A456,A456))</f>
        <v/>
      </c>
    </row>
    <row r="457">
      <c r="A457" s="64" t="n"/>
      <c r="B457" s="64" t="n"/>
      <c r="C457" s="66" t="n"/>
      <c r="D457" s="66" t="n"/>
      <c r="E457" s="67" t="n"/>
      <c r="F457" s="67" t="n"/>
      <c r="G457" s="67" t="n"/>
      <c r="H457" s="67" t="n"/>
      <c r="I457" s="67" t="n"/>
      <c r="J457" s="67" t="n"/>
      <c r="K457" s="67" t="n"/>
      <c r="L457" s="67" t="n"/>
      <c r="M457" s="64" t="n"/>
      <c r="N457" s="84">
        <f>IF(A457="","",IFERROR(INDEX(Firms!$B$5:$B$1004,MATCH(A457,Firms!$A$5:$A$1004,0)),"Not on Firms tab"))</f>
        <v/>
      </c>
      <c r="O457" s="84">
        <f>IF(A457="","",IF(AND(D457&lt;&gt;"",D457&lt;TODAY()),"Expired",IF(AND(C457&lt;&gt;"",C457&gt;TODAY()),"Not yet effective",IF(C457="","No date",IF(TODAY()&gt;=EDATE(C457,Review_Months),"Review Due","Current")))))</f>
        <v/>
      </c>
      <c r="P457">
        <f>IF(A457="","",A457&amp;"|"&amp;B457)</f>
        <v/>
      </c>
      <c r="Q457">
        <f>IF(AND(A457&lt;&gt;"",A457='Firm Search'!$C$7),COUNTIF($A$5:A457,'Firm Search'!$C$7),"")</f>
        <v/>
      </c>
      <c r="R457">
        <f>IF(A457="","",COUNTIF($A$5:$A$1004,"&lt;"&amp;A457)+COUNTIF($A$5:A457,A457))</f>
        <v/>
      </c>
    </row>
    <row r="458">
      <c r="A458" s="64" t="n"/>
      <c r="B458" s="64" t="n"/>
      <c r="C458" s="66" t="n"/>
      <c r="D458" s="66" t="n"/>
      <c r="E458" s="67" t="n"/>
      <c r="F458" s="67" t="n"/>
      <c r="G458" s="67" t="n"/>
      <c r="H458" s="67" t="n"/>
      <c r="I458" s="67" t="n"/>
      <c r="J458" s="67" t="n"/>
      <c r="K458" s="67" t="n"/>
      <c r="L458" s="67" t="n"/>
      <c r="M458" s="64" t="n"/>
      <c r="N458" s="84">
        <f>IF(A458="","",IFERROR(INDEX(Firms!$B$5:$B$1004,MATCH(A458,Firms!$A$5:$A$1004,0)),"Not on Firms tab"))</f>
        <v/>
      </c>
      <c r="O458" s="84">
        <f>IF(A458="","",IF(AND(D458&lt;&gt;"",D458&lt;TODAY()),"Expired",IF(AND(C458&lt;&gt;"",C458&gt;TODAY()),"Not yet effective",IF(C458="","No date",IF(TODAY()&gt;=EDATE(C458,Review_Months),"Review Due","Current")))))</f>
        <v/>
      </c>
      <c r="P458">
        <f>IF(A458="","",A458&amp;"|"&amp;B458)</f>
        <v/>
      </c>
      <c r="Q458">
        <f>IF(AND(A458&lt;&gt;"",A458='Firm Search'!$C$7),COUNTIF($A$5:A458,'Firm Search'!$C$7),"")</f>
        <v/>
      </c>
      <c r="R458">
        <f>IF(A458="","",COUNTIF($A$5:$A$1004,"&lt;"&amp;A458)+COUNTIF($A$5:A458,A458))</f>
        <v/>
      </c>
    </row>
    <row r="459">
      <c r="A459" s="64" t="n"/>
      <c r="B459" s="64" t="n"/>
      <c r="C459" s="66" t="n"/>
      <c r="D459" s="66" t="n"/>
      <c r="E459" s="67" t="n"/>
      <c r="F459" s="67" t="n"/>
      <c r="G459" s="67" t="n"/>
      <c r="H459" s="67" t="n"/>
      <c r="I459" s="67" t="n"/>
      <c r="J459" s="67" t="n"/>
      <c r="K459" s="67" t="n"/>
      <c r="L459" s="67" t="n"/>
      <c r="M459" s="64" t="n"/>
      <c r="N459" s="84">
        <f>IF(A459="","",IFERROR(INDEX(Firms!$B$5:$B$1004,MATCH(A459,Firms!$A$5:$A$1004,0)),"Not on Firms tab"))</f>
        <v/>
      </c>
      <c r="O459" s="84">
        <f>IF(A459="","",IF(AND(D459&lt;&gt;"",D459&lt;TODAY()),"Expired",IF(AND(C459&lt;&gt;"",C459&gt;TODAY()),"Not yet effective",IF(C459="","No date",IF(TODAY()&gt;=EDATE(C459,Review_Months),"Review Due","Current")))))</f>
        <v/>
      </c>
      <c r="P459">
        <f>IF(A459="","",A459&amp;"|"&amp;B459)</f>
        <v/>
      </c>
      <c r="Q459">
        <f>IF(AND(A459&lt;&gt;"",A459='Firm Search'!$C$7),COUNTIF($A$5:A459,'Firm Search'!$C$7),"")</f>
        <v/>
      </c>
      <c r="R459">
        <f>IF(A459="","",COUNTIF($A$5:$A$1004,"&lt;"&amp;A459)+COUNTIF($A$5:A459,A459))</f>
        <v/>
      </c>
    </row>
    <row r="460">
      <c r="A460" s="64" t="n"/>
      <c r="B460" s="64" t="n"/>
      <c r="C460" s="66" t="n"/>
      <c r="D460" s="66" t="n"/>
      <c r="E460" s="67" t="n"/>
      <c r="F460" s="67" t="n"/>
      <c r="G460" s="67" t="n"/>
      <c r="H460" s="67" t="n"/>
      <c r="I460" s="67" t="n"/>
      <c r="J460" s="67" t="n"/>
      <c r="K460" s="67" t="n"/>
      <c r="L460" s="67" t="n"/>
      <c r="M460" s="64" t="n"/>
      <c r="N460" s="84">
        <f>IF(A460="","",IFERROR(INDEX(Firms!$B$5:$B$1004,MATCH(A460,Firms!$A$5:$A$1004,0)),"Not on Firms tab"))</f>
        <v/>
      </c>
      <c r="O460" s="84">
        <f>IF(A460="","",IF(AND(D460&lt;&gt;"",D460&lt;TODAY()),"Expired",IF(AND(C460&lt;&gt;"",C460&gt;TODAY()),"Not yet effective",IF(C460="","No date",IF(TODAY()&gt;=EDATE(C460,Review_Months),"Review Due","Current")))))</f>
        <v/>
      </c>
      <c r="P460">
        <f>IF(A460="","",A460&amp;"|"&amp;B460)</f>
        <v/>
      </c>
      <c r="Q460">
        <f>IF(AND(A460&lt;&gt;"",A460='Firm Search'!$C$7),COUNTIF($A$5:A460,'Firm Search'!$C$7),"")</f>
        <v/>
      </c>
      <c r="R460">
        <f>IF(A460="","",COUNTIF($A$5:$A$1004,"&lt;"&amp;A460)+COUNTIF($A$5:A460,A460))</f>
        <v/>
      </c>
    </row>
    <row r="461">
      <c r="A461" s="64" t="n"/>
      <c r="B461" s="64" t="n"/>
      <c r="C461" s="66" t="n"/>
      <c r="D461" s="66" t="n"/>
      <c r="E461" s="67" t="n"/>
      <c r="F461" s="67" t="n"/>
      <c r="G461" s="67" t="n"/>
      <c r="H461" s="67" t="n"/>
      <c r="I461" s="67" t="n"/>
      <c r="J461" s="67" t="n"/>
      <c r="K461" s="67" t="n"/>
      <c r="L461" s="67" t="n"/>
      <c r="M461" s="64" t="n"/>
      <c r="N461" s="84">
        <f>IF(A461="","",IFERROR(INDEX(Firms!$B$5:$B$1004,MATCH(A461,Firms!$A$5:$A$1004,0)),"Not on Firms tab"))</f>
        <v/>
      </c>
      <c r="O461" s="84">
        <f>IF(A461="","",IF(AND(D461&lt;&gt;"",D461&lt;TODAY()),"Expired",IF(AND(C461&lt;&gt;"",C461&gt;TODAY()),"Not yet effective",IF(C461="","No date",IF(TODAY()&gt;=EDATE(C461,Review_Months),"Review Due","Current")))))</f>
        <v/>
      </c>
      <c r="P461">
        <f>IF(A461="","",A461&amp;"|"&amp;B461)</f>
        <v/>
      </c>
      <c r="Q461">
        <f>IF(AND(A461&lt;&gt;"",A461='Firm Search'!$C$7),COUNTIF($A$5:A461,'Firm Search'!$C$7),"")</f>
        <v/>
      </c>
      <c r="R461">
        <f>IF(A461="","",COUNTIF($A$5:$A$1004,"&lt;"&amp;A461)+COUNTIF($A$5:A461,A461))</f>
        <v/>
      </c>
    </row>
    <row r="462">
      <c r="A462" s="64" t="n"/>
      <c r="B462" s="64" t="n"/>
      <c r="C462" s="66" t="n"/>
      <c r="D462" s="66" t="n"/>
      <c r="E462" s="67" t="n"/>
      <c r="F462" s="67" t="n"/>
      <c r="G462" s="67" t="n"/>
      <c r="H462" s="67" t="n"/>
      <c r="I462" s="67" t="n"/>
      <c r="J462" s="67" t="n"/>
      <c r="K462" s="67" t="n"/>
      <c r="L462" s="67" t="n"/>
      <c r="M462" s="64" t="n"/>
      <c r="N462" s="84">
        <f>IF(A462="","",IFERROR(INDEX(Firms!$B$5:$B$1004,MATCH(A462,Firms!$A$5:$A$1004,0)),"Not on Firms tab"))</f>
        <v/>
      </c>
      <c r="O462" s="84">
        <f>IF(A462="","",IF(AND(D462&lt;&gt;"",D462&lt;TODAY()),"Expired",IF(AND(C462&lt;&gt;"",C462&gt;TODAY()),"Not yet effective",IF(C462="","No date",IF(TODAY()&gt;=EDATE(C462,Review_Months),"Review Due","Current")))))</f>
        <v/>
      </c>
      <c r="P462">
        <f>IF(A462="","",A462&amp;"|"&amp;B462)</f>
        <v/>
      </c>
      <c r="Q462">
        <f>IF(AND(A462&lt;&gt;"",A462='Firm Search'!$C$7),COUNTIF($A$5:A462,'Firm Search'!$C$7),"")</f>
        <v/>
      </c>
      <c r="R462">
        <f>IF(A462="","",COUNTIF($A$5:$A$1004,"&lt;"&amp;A462)+COUNTIF($A$5:A462,A462))</f>
        <v/>
      </c>
    </row>
    <row r="463">
      <c r="A463" s="64" t="n"/>
      <c r="B463" s="64" t="n"/>
      <c r="C463" s="66" t="n"/>
      <c r="D463" s="66" t="n"/>
      <c r="E463" s="67" t="n"/>
      <c r="F463" s="67" t="n"/>
      <c r="G463" s="67" t="n"/>
      <c r="H463" s="67" t="n"/>
      <c r="I463" s="67" t="n"/>
      <c r="J463" s="67" t="n"/>
      <c r="K463" s="67" t="n"/>
      <c r="L463" s="67" t="n"/>
      <c r="M463" s="64" t="n"/>
      <c r="N463" s="84">
        <f>IF(A463="","",IFERROR(INDEX(Firms!$B$5:$B$1004,MATCH(A463,Firms!$A$5:$A$1004,0)),"Not on Firms tab"))</f>
        <v/>
      </c>
      <c r="O463" s="84">
        <f>IF(A463="","",IF(AND(D463&lt;&gt;"",D463&lt;TODAY()),"Expired",IF(AND(C463&lt;&gt;"",C463&gt;TODAY()),"Not yet effective",IF(C463="","No date",IF(TODAY()&gt;=EDATE(C463,Review_Months),"Review Due","Current")))))</f>
        <v/>
      </c>
      <c r="P463">
        <f>IF(A463="","",A463&amp;"|"&amp;B463)</f>
        <v/>
      </c>
      <c r="Q463">
        <f>IF(AND(A463&lt;&gt;"",A463='Firm Search'!$C$7),COUNTIF($A$5:A463,'Firm Search'!$C$7),"")</f>
        <v/>
      </c>
      <c r="R463">
        <f>IF(A463="","",COUNTIF($A$5:$A$1004,"&lt;"&amp;A463)+COUNTIF($A$5:A463,A463))</f>
        <v/>
      </c>
    </row>
    <row r="464">
      <c r="A464" s="64" t="n"/>
      <c r="B464" s="64" t="n"/>
      <c r="C464" s="66" t="n"/>
      <c r="D464" s="66" t="n"/>
      <c r="E464" s="67" t="n"/>
      <c r="F464" s="67" t="n"/>
      <c r="G464" s="67" t="n"/>
      <c r="H464" s="67" t="n"/>
      <c r="I464" s="67" t="n"/>
      <c r="J464" s="67" t="n"/>
      <c r="K464" s="67" t="n"/>
      <c r="L464" s="67" t="n"/>
      <c r="M464" s="64" t="n"/>
      <c r="N464" s="84">
        <f>IF(A464="","",IFERROR(INDEX(Firms!$B$5:$B$1004,MATCH(A464,Firms!$A$5:$A$1004,0)),"Not on Firms tab"))</f>
        <v/>
      </c>
      <c r="O464" s="84">
        <f>IF(A464="","",IF(AND(D464&lt;&gt;"",D464&lt;TODAY()),"Expired",IF(AND(C464&lt;&gt;"",C464&gt;TODAY()),"Not yet effective",IF(C464="","No date",IF(TODAY()&gt;=EDATE(C464,Review_Months),"Review Due","Current")))))</f>
        <v/>
      </c>
      <c r="P464">
        <f>IF(A464="","",A464&amp;"|"&amp;B464)</f>
        <v/>
      </c>
      <c r="Q464">
        <f>IF(AND(A464&lt;&gt;"",A464='Firm Search'!$C$7),COUNTIF($A$5:A464,'Firm Search'!$C$7),"")</f>
        <v/>
      </c>
      <c r="R464">
        <f>IF(A464="","",COUNTIF($A$5:$A$1004,"&lt;"&amp;A464)+COUNTIF($A$5:A464,A464))</f>
        <v/>
      </c>
    </row>
    <row r="465">
      <c r="A465" s="64" t="n"/>
      <c r="B465" s="64" t="n"/>
      <c r="C465" s="66" t="n"/>
      <c r="D465" s="66" t="n"/>
      <c r="E465" s="67" t="n"/>
      <c r="F465" s="67" t="n"/>
      <c r="G465" s="67" t="n"/>
      <c r="H465" s="67" t="n"/>
      <c r="I465" s="67" t="n"/>
      <c r="J465" s="67" t="n"/>
      <c r="K465" s="67" t="n"/>
      <c r="L465" s="67" t="n"/>
      <c r="M465" s="64" t="n"/>
      <c r="N465" s="84">
        <f>IF(A465="","",IFERROR(INDEX(Firms!$B$5:$B$1004,MATCH(A465,Firms!$A$5:$A$1004,0)),"Not on Firms tab"))</f>
        <v/>
      </c>
      <c r="O465" s="84">
        <f>IF(A465="","",IF(AND(D465&lt;&gt;"",D465&lt;TODAY()),"Expired",IF(AND(C465&lt;&gt;"",C465&gt;TODAY()),"Not yet effective",IF(C465="","No date",IF(TODAY()&gt;=EDATE(C465,Review_Months),"Review Due","Current")))))</f>
        <v/>
      </c>
      <c r="P465">
        <f>IF(A465="","",A465&amp;"|"&amp;B465)</f>
        <v/>
      </c>
      <c r="Q465">
        <f>IF(AND(A465&lt;&gt;"",A465='Firm Search'!$C$7),COUNTIF($A$5:A465,'Firm Search'!$C$7),"")</f>
        <v/>
      </c>
      <c r="R465">
        <f>IF(A465="","",COUNTIF($A$5:$A$1004,"&lt;"&amp;A465)+COUNTIF($A$5:A465,A465))</f>
        <v/>
      </c>
    </row>
    <row r="466">
      <c r="A466" s="64" t="n"/>
      <c r="B466" s="64" t="n"/>
      <c r="C466" s="66" t="n"/>
      <c r="D466" s="66" t="n"/>
      <c r="E466" s="67" t="n"/>
      <c r="F466" s="67" t="n"/>
      <c r="G466" s="67" t="n"/>
      <c r="H466" s="67" t="n"/>
      <c r="I466" s="67" t="n"/>
      <c r="J466" s="67" t="n"/>
      <c r="K466" s="67" t="n"/>
      <c r="L466" s="67" t="n"/>
      <c r="M466" s="64" t="n"/>
      <c r="N466" s="84">
        <f>IF(A466="","",IFERROR(INDEX(Firms!$B$5:$B$1004,MATCH(A466,Firms!$A$5:$A$1004,0)),"Not on Firms tab"))</f>
        <v/>
      </c>
      <c r="O466" s="84">
        <f>IF(A466="","",IF(AND(D466&lt;&gt;"",D466&lt;TODAY()),"Expired",IF(AND(C466&lt;&gt;"",C466&gt;TODAY()),"Not yet effective",IF(C466="","No date",IF(TODAY()&gt;=EDATE(C466,Review_Months),"Review Due","Current")))))</f>
        <v/>
      </c>
      <c r="P466">
        <f>IF(A466="","",A466&amp;"|"&amp;B466)</f>
        <v/>
      </c>
      <c r="Q466">
        <f>IF(AND(A466&lt;&gt;"",A466='Firm Search'!$C$7),COUNTIF($A$5:A466,'Firm Search'!$C$7),"")</f>
        <v/>
      </c>
      <c r="R466">
        <f>IF(A466="","",COUNTIF($A$5:$A$1004,"&lt;"&amp;A466)+COUNTIF($A$5:A466,A466))</f>
        <v/>
      </c>
    </row>
    <row r="467">
      <c r="A467" s="64" t="n"/>
      <c r="B467" s="64" t="n"/>
      <c r="C467" s="66" t="n"/>
      <c r="D467" s="66" t="n"/>
      <c r="E467" s="67" t="n"/>
      <c r="F467" s="67" t="n"/>
      <c r="G467" s="67" t="n"/>
      <c r="H467" s="67" t="n"/>
      <c r="I467" s="67" t="n"/>
      <c r="J467" s="67" t="n"/>
      <c r="K467" s="67" t="n"/>
      <c r="L467" s="67" t="n"/>
      <c r="M467" s="64" t="n"/>
      <c r="N467" s="84">
        <f>IF(A467="","",IFERROR(INDEX(Firms!$B$5:$B$1004,MATCH(A467,Firms!$A$5:$A$1004,0)),"Not on Firms tab"))</f>
        <v/>
      </c>
      <c r="O467" s="84">
        <f>IF(A467="","",IF(AND(D467&lt;&gt;"",D467&lt;TODAY()),"Expired",IF(AND(C467&lt;&gt;"",C467&gt;TODAY()),"Not yet effective",IF(C467="","No date",IF(TODAY()&gt;=EDATE(C467,Review_Months),"Review Due","Current")))))</f>
        <v/>
      </c>
      <c r="P467">
        <f>IF(A467="","",A467&amp;"|"&amp;B467)</f>
        <v/>
      </c>
      <c r="Q467">
        <f>IF(AND(A467&lt;&gt;"",A467='Firm Search'!$C$7),COUNTIF($A$5:A467,'Firm Search'!$C$7),"")</f>
        <v/>
      </c>
      <c r="R467">
        <f>IF(A467="","",COUNTIF($A$5:$A$1004,"&lt;"&amp;A467)+COUNTIF($A$5:A467,A467))</f>
        <v/>
      </c>
    </row>
    <row r="468">
      <c r="A468" s="64" t="n"/>
      <c r="B468" s="64" t="n"/>
      <c r="C468" s="66" t="n"/>
      <c r="D468" s="66" t="n"/>
      <c r="E468" s="67" t="n"/>
      <c r="F468" s="67" t="n"/>
      <c r="G468" s="67" t="n"/>
      <c r="H468" s="67" t="n"/>
      <c r="I468" s="67" t="n"/>
      <c r="J468" s="67" t="n"/>
      <c r="K468" s="67" t="n"/>
      <c r="L468" s="67" t="n"/>
      <c r="M468" s="64" t="n"/>
      <c r="N468" s="84">
        <f>IF(A468="","",IFERROR(INDEX(Firms!$B$5:$B$1004,MATCH(A468,Firms!$A$5:$A$1004,0)),"Not on Firms tab"))</f>
        <v/>
      </c>
      <c r="O468" s="84">
        <f>IF(A468="","",IF(AND(D468&lt;&gt;"",D468&lt;TODAY()),"Expired",IF(AND(C468&lt;&gt;"",C468&gt;TODAY()),"Not yet effective",IF(C468="","No date",IF(TODAY()&gt;=EDATE(C468,Review_Months),"Review Due","Current")))))</f>
        <v/>
      </c>
      <c r="P468">
        <f>IF(A468="","",A468&amp;"|"&amp;B468)</f>
        <v/>
      </c>
      <c r="Q468">
        <f>IF(AND(A468&lt;&gt;"",A468='Firm Search'!$C$7),COUNTIF($A$5:A468,'Firm Search'!$C$7),"")</f>
        <v/>
      </c>
      <c r="R468">
        <f>IF(A468="","",COUNTIF($A$5:$A$1004,"&lt;"&amp;A468)+COUNTIF($A$5:A468,A468))</f>
        <v/>
      </c>
    </row>
    <row r="469">
      <c r="A469" s="64" t="n"/>
      <c r="B469" s="64" t="n"/>
      <c r="C469" s="66" t="n"/>
      <c r="D469" s="66" t="n"/>
      <c r="E469" s="67" t="n"/>
      <c r="F469" s="67" t="n"/>
      <c r="G469" s="67" t="n"/>
      <c r="H469" s="67" t="n"/>
      <c r="I469" s="67" t="n"/>
      <c r="J469" s="67" t="n"/>
      <c r="K469" s="67" t="n"/>
      <c r="L469" s="67" t="n"/>
      <c r="M469" s="64" t="n"/>
      <c r="N469" s="84">
        <f>IF(A469="","",IFERROR(INDEX(Firms!$B$5:$B$1004,MATCH(A469,Firms!$A$5:$A$1004,0)),"Not on Firms tab"))</f>
        <v/>
      </c>
      <c r="O469" s="84">
        <f>IF(A469="","",IF(AND(D469&lt;&gt;"",D469&lt;TODAY()),"Expired",IF(AND(C469&lt;&gt;"",C469&gt;TODAY()),"Not yet effective",IF(C469="","No date",IF(TODAY()&gt;=EDATE(C469,Review_Months),"Review Due","Current")))))</f>
        <v/>
      </c>
      <c r="P469">
        <f>IF(A469="","",A469&amp;"|"&amp;B469)</f>
        <v/>
      </c>
      <c r="Q469">
        <f>IF(AND(A469&lt;&gt;"",A469='Firm Search'!$C$7),COUNTIF($A$5:A469,'Firm Search'!$C$7),"")</f>
        <v/>
      </c>
      <c r="R469">
        <f>IF(A469="","",COUNTIF($A$5:$A$1004,"&lt;"&amp;A469)+COUNTIF($A$5:A469,A469))</f>
        <v/>
      </c>
    </row>
    <row r="470">
      <c r="A470" s="64" t="n"/>
      <c r="B470" s="64" t="n"/>
      <c r="C470" s="66" t="n"/>
      <c r="D470" s="66" t="n"/>
      <c r="E470" s="67" t="n"/>
      <c r="F470" s="67" t="n"/>
      <c r="G470" s="67" t="n"/>
      <c r="H470" s="67" t="n"/>
      <c r="I470" s="67" t="n"/>
      <c r="J470" s="67" t="n"/>
      <c r="K470" s="67" t="n"/>
      <c r="L470" s="67" t="n"/>
      <c r="M470" s="64" t="n"/>
      <c r="N470" s="84">
        <f>IF(A470="","",IFERROR(INDEX(Firms!$B$5:$B$1004,MATCH(A470,Firms!$A$5:$A$1004,0)),"Not on Firms tab"))</f>
        <v/>
      </c>
      <c r="O470" s="84">
        <f>IF(A470="","",IF(AND(D470&lt;&gt;"",D470&lt;TODAY()),"Expired",IF(AND(C470&lt;&gt;"",C470&gt;TODAY()),"Not yet effective",IF(C470="","No date",IF(TODAY()&gt;=EDATE(C470,Review_Months),"Review Due","Current")))))</f>
        <v/>
      </c>
      <c r="P470">
        <f>IF(A470="","",A470&amp;"|"&amp;B470)</f>
        <v/>
      </c>
      <c r="Q470">
        <f>IF(AND(A470&lt;&gt;"",A470='Firm Search'!$C$7),COUNTIF($A$5:A470,'Firm Search'!$C$7),"")</f>
        <v/>
      </c>
      <c r="R470">
        <f>IF(A470="","",COUNTIF($A$5:$A$1004,"&lt;"&amp;A470)+COUNTIF($A$5:A470,A470))</f>
        <v/>
      </c>
    </row>
    <row r="471">
      <c r="A471" s="64" t="n"/>
      <c r="B471" s="64" t="n"/>
      <c r="C471" s="66" t="n"/>
      <c r="D471" s="66" t="n"/>
      <c r="E471" s="67" t="n"/>
      <c r="F471" s="67" t="n"/>
      <c r="G471" s="67" t="n"/>
      <c r="H471" s="67" t="n"/>
      <c r="I471" s="67" t="n"/>
      <c r="J471" s="67" t="n"/>
      <c r="K471" s="67" t="n"/>
      <c r="L471" s="67" t="n"/>
      <c r="M471" s="64" t="n"/>
      <c r="N471" s="84">
        <f>IF(A471="","",IFERROR(INDEX(Firms!$B$5:$B$1004,MATCH(A471,Firms!$A$5:$A$1004,0)),"Not on Firms tab"))</f>
        <v/>
      </c>
      <c r="O471" s="84">
        <f>IF(A471="","",IF(AND(D471&lt;&gt;"",D471&lt;TODAY()),"Expired",IF(AND(C471&lt;&gt;"",C471&gt;TODAY()),"Not yet effective",IF(C471="","No date",IF(TODAY()&gt;=EDATE(C471,Review_Months),"Review Due","Current")))))</f>
        <v/>
      </c>
      <c r="P471">
        <f>IF(A471="","",A471&amp;"|"&amp;B471)</f>
        <v/>
      </c>
      <c r="Q471">
        <f>IF(AND(A471&lt;&gt;"",A471='Firm Search'!$C$7),COUNTIF($A$5:A471,'Firm Search'!$C$7),"")</f>
        <v/>
      </c>
      <c r="R471">
        <f>IF(A471="","",COUNTIF($A$5:$A$1004,"&lt;"&amp;A471)+COUNTIF($A$5:A471,A471))</f>
        <v/>
      </c>
    </row>
    <row r="472">
      <c r="A472" s="64" t="n"/>
      <c r="B472" s="64" t="n"/>
      <c r="C472" s="66" t="n"/>
      <c r="D472" s="66" t="n"/>
      <c r="E472" s="67" t="n"/>
      <c r="F472" s="67" t="n"/>
      <c r="G472" s="67" t="n"/>
      <c r="H472" s="67" t="n"/>
      <c r="I472" s="67" t="n"/>
      <c r="J472" s="67" t="n"/>
      <c r="K472" s="67" t="n"/>
      <c r="L472" s="67" t="n"/>
      <c r="M472" s="64" t="n"/>
      <c r="N472" s="84">
        <f>IF(A472="","",IFERROR(INDEX(Firms!$B$5:$B$1004,MATCH(A472,Firms!$A$5:$A$1004,0)),"Not on Firms tab"))</f>
        <v/>
      </c>
      <c r="O472" s="84">
        <f>IF(A472="","",IF(AND(D472&lt;&gt;"",D472&lt;TODAY()),"Expired",IF(AND(C472&lt;&gt;"",C472&gt;TODAY()),"Not yet effective",IF(C472="","No date",IF(TODAY()&gt;=EDATE(C472,Review_Months),"Review Due","Current")))))</f>
        <v/>
      </c>
      <c r="P472">
        <f>IF(A472="","",A472&amp;"|"&amp;B472)</f>
        <v/>
      </c>
      <c r="Q472">
        <f>IF(AND(A472&lt;&gt;"",A472='Firm Search'!$C$7),COUNTIF($A$5:A472,'Firm Search'!$C$7),"")</f>
        <v/>
      </c>
      <c r="R472">
        <f>IF(A472="","",COUNTIF($A$5:$A$1004,"&lt;"&amp;A472)+COUNTIF($A$5:A472,A472))</f>
        <v/>
      </c>
    </row>
    <row r="473">
      <c r="A473" s="64" t="n"/>
      <c r="B473" s="64" t="n"/>
      <c r="C473" s="66" t="n"/>
      <c r="D473" s="66" t="n"/>
      <c r="E473" s="67" t="n"/>
      <c r="F473" s="67" t="n"/>
      <c r="G473" s="67" t="n"/>
      <c r="H473" s="67" t="n"/>
      <c r="I473" s="67" t="n"/>
      <c r="J473" s="67" t="n"/>
      <c r="K473" s="67" t="n"/>
      <c r="L473" s="67" t="n"/>
      <c r="M473" s="64" t="n"/>
      <c r="N473" s="84">
        <f>IF(A473="","",IFERROR(INDEX(Firms!$B$5:$B$1004,MATCH(A473,Firms!$A$5:$A$1004,0)),"Not on Firms tab"))</f>
        <v/>
      </c>
      <c r="O473" s="84">
        <f>IF(A473="","",IF(AND(D473&lt;&gt;"",D473&lt;TODAY()),"Expired",IF(AND(C473&lt;&gt;"",C473&gt;TODAY()),"Not yet effective",IF(C473="","No date",IF(TODAY()&gt;=EDATE(C473,Review_Months),"Review Due","Current")))))</f>
        <v/>
      </c>
      <c r="P473">
        <f>IF(A473="","",A473&amp;"|"&amp;B473)</f>
        <v/>
      </c>
      <c r="Q473">
        <f>IF(AND(A473&lt;&gt;"",A473='Firm Search'!$C$7),COUNTIF($A$5:A473,'Firm Search'!$C$7),"")</f>
        <v/>
      </c>
      <c r="R473">
        <f>IF(A473="","",COUNTIF($A$5:$A$1004,"&lt;"&amp;A473)+COUNTIF($A$5:A473,A473))</f>
        <v/>
      </c>
    </row>
    <row r="474">
      <c r="A474" s="64" t="n"/>
      <c r="B474" s="64" t="n"/>
      <c r="C474" s="66" t="n"/>
      <c r="D474" s="66" t="n"/>
      <c r="E474" s="67" t="n"/>
      <c r="F474" s="67" t="n"/>
      <c r="G474" s="67" t="n"/>
      <c r="H474" s="67" t="n"/>
      <c r="I474" s="67" t="n"/>
      <c r="J474" s="67" t="n"/>
      <c r="K474" s="67" t="n"/>
      <c r="L474" s="67" t="n"/>
      <c r="M474" s="64" t="n"/>
      <c r="N474" s="84">
        <f>IF(A474="","",IFERROR(INDEX(Firms!$B$5:$B$1004,MATCH(A474,Firms!$A$5:$A$1004,0)),"Not on Firms tab"))</f>
        <v/>
      </c>
      <c r="O474" s="84">
        <f>IF(A474="","",IF(AND(D474&lt;&gt;"",D474&lt;TODAY()),"Expired",IF(AND(C474&lt;&gt;"",C474&gt;TODAY()),"Not yet effective",IF(C474="","No date",IF(TODAY()&gt;=EDATE(C474,Review_Months),"Review Due","Current")))))</f>
        <v/>
      </c>
      <c r="P474">
        <f>IF(A474="","",A474&amp;"|"&amp;B474)</f>
        <v/>
      </c>
      <c r="Q474">
        <f>IF(AND(A474&lt;&gt;"",A474='Firm Search'!$C$7),COUNTIF($A$5:A474,'Firm Search'!$C$7),"")</f>
        <v/>
      </c>
      <c r="R474">
        <f>IF(A474="","",COUNTIF($A$5:$A$1004,"&lt;"&amp;A474)+COUNTIF($A$5:A474,A474))</f>
        <v/>
      </c>
    </row>
    <row r="475">
      <c r="A475" s="64" t="n"/>
      <c r="B475" s="64" t="n"/>
      <c r="C475" s="66" t="n"/>
      <c r="D475" s="66" t="n"/>
      <c r="E475" s="67" t="n"/>
      <c r="F475" s="67" t="n"/>
      <c r="G475" s="67" t="n"/>
      <c r="H475" s="67" t="n"/>
      <c r="I475" s="67" t="n"/>
      <c r="J475" s="67" t="n"/>
      <c r="K475" s="67" t="n"/>
      <c r="L475" s="67" t="n"/>
      <c r="M475" s="64" t="n"/>
      <c r="N475" s="84">
        <f>IF(A475="","",IFERROR(INDEX(Firms!$B$5:$B$1004,MATCH(A475,Firms!$A$5:$A$1004,0)),"Not on Firms tab"))</f>
        <v/>
      </c>
      <c r="O475" s="84">
        <f>IF(A475="","",IF(AND(D475&lt;&gt;"",D475&lt;TODAY()),"Expired",IF(AND(C475&lt;&gt;"",C475&gt;TODAY()),"Not yet effective",IF(C475="","No date",IF(TODAY()&gt;=EDATE(C475,Review_Months),"Review Due","Current")))))</f>
        <v/>
      </c>
      <c r="P475">
        <f>IF(A475="","",A475&amp;"|"&amp;B475)</f>
        <v/>
      </c>
      <c r="Q475">
        <f>IF(AND(A475&lt;&gt;"",A475='Firm Search'!$C$7),COUNTIF($A$5:A475,'Firm Search'!$C$7),"")</f>
        <v/>
      </c>
      <c r="R475">
        <f>IF(A475="","",COUNTIF($A$5:$A$1004,"&lt;"&amp;A475)+COUNTIF($A$5:A475,A475))</f>
        <v/>
      </c>
    </row>
    <row r="476">
      <c r="A476" s="64" t="n"/>
      <c r="B476" s="64" t="n"/>
      <c r="C476" s="66" t="n"/>
      <c r="D476" s="66" t="n"/>
      <c r="E476" s="67" t="n"/>
      <c r="F476" s="67" t="n"/>
      <c r="G476" s="67" t="n"/>
      <c r="H476" s="67" t="n"/>
      <c r="I476" s="67" t="n"/>
      <c r="J476" s="67" t="n"/>
      <c r="K476" s="67" t="n"/>
      <c r="L476" s="67" t="n"/>
      <c r="M476" s="64" t="n"/>
      <c r="N476" s="84">
        <f>IF(A476="","",IFERROR(INDEX(Firms!$B$5:$B$1004,MATCH(A476,Firms!$A$5:$A$1004,0)),"Not on Firms tab"))</f>
        <v/>
      </c>
      <c r="O476" s="84">
        <f>IF(A476="","",IF(AND(D476&lt;&gt;"",D476&lt;TODAY()),"Expired",IF(AND(C476&lt;&gt;"",C476&gt;TODAY()),"Not yet effective",IF(C476="","No date",IF(TODAY()&gt;=EDATE(C476,Review_Months),"Review Due","Current")))))</f>
        <v/>
      </c>
      <c r="P476">
        <f>IF(A476="","",A476&amp;"|"&amp;B476)</f>
        <v/>
      </c>
      <c r="Q476">
        <f>IF(AND(A476&lt;&gt;"",A476='Firm Search'!$C$7),COUNTIF($A$5:A476,'Firm Search'!$C$7),"")</f>
        <v/>
      </c>
      <c r="R476">
        <f>IF(A476="","",COUNTIF($A$5:$A$1004,"&lt;"&amp;A476)+COUNTIF($A$5:A476,A476))</f>
        <v/>
      </c>
    </row>
    <row r="477">
      <c r="A477" s="64" t="n"/>
      <c r="B477" s="64" t="n"/>
      <c r="C477" s="66" t="n"/>
      <c r="D477" s="66" t="n"/>
      <c r="E477" s="67" t="n"/>
      <c r="F477" s="67" t="n"/>
      <c r="G477" s="67" t="n"/>
      <c r="H477" s="67" t="n"/>
      <c r="I477" s="67" t="n"/>
      <c r="J477" s="67" t="n"/>
      <c r="K477" s="67" t="n"/>
      <c r="L477" s="67" t="n"/>
      <c r="M477" s="64" t="n"/>
      <c r="N477" s="84">
        <f>IF(A477="","",IFERROR(INDEX(Firms!$B$5:$B$1004,MATCH(A477,Firms!$A$5:$A$1004,0)),"Not on Firms tab"))</f>
        <v/>
      </c>
      <c r="O477" s="84">
        <f>IF(A477="","",IF(AND(D477&lt;&gt;"",D477&lt;TODAY()),"Expired",IF(AND(C477&lt;&gt;"",C477&gt;TODAY()),"Not yet effective",IF(C477="","No date",IF(TODAY()&gt;=EDATE(C477,Review_Months),"Review Due","Current")))))</f>
        <v/>
      </c>
      <c r="P477">
        <f>IF(A477="","",A477&amp;"|"&amp;B477)</f>
        <v/>
      </c>
      <c r="Q477">
        <f>IF(AND(A477&lt;&gt;"",A477='Firm Search'!$C$7),COUNTIF($A$5:A477,'Firm Search'!$C$7),"")</f>
        <v/>
      </c>
      <c r="R477">
        <f>IF(A477="","",COUNTIF($A$5:$A$1004,"&lt;"&amp;A477)+COUNTIF($A$5:A477,A477))</f>
        <v/>
      </c>
    </row>
    <row r="478">
      <c r="A478" s="64" t="n"/>
      <c r="B478" s="64" t="n"/>
      <c r="C478" s="66" t="n"/>
      <c r="D478" s="66" t="n"/>
      <c r="E478" s="67" t="n"/>
      <c r="F478" s="67" t="n"/>
      <c r="G478" s="67" t="n"/>
      <c r="H478" s="67" t="n"/>
      <c r="I478" s="67" t="n"/>
      <c r="J478" s="67" t="n"/>
      <c r="K478" s="67" t="n"/>
      <c r="L478" s="67" t="n"/>
      <c r="M478" s="64" t="n"/>
      <c r="N478" s="84">
        <f>IF(A478="","",IFERROR(INDEX(Firms!$B$5:$B$1004,MATCH(A478,Firms!$A$5:$A$1004,0)),"Not on Firms tab"))</f>
        <v/>
      </c>
      <c r="O478" s="84">
        <f>IF(A478="","",IF(AND(D478&lt;&gt;"",D478&lt;TODAY()),"Expired",IF(AND(C478&lt;&gt;"",C478&gt;TODAY()),"Not yet effective",IF(C478="","No date",IF(TODAY()&gt;=EDATE(C478,Review_Months),"Review Due","Current")))))</f>
        <v/>
      </c>
      <c r="P478">
        <f>IF(A478="","",A478&amp;"|"&amp;B478)</f>
        <v/>
      </c>
      <c r="Q478">
        <f>IF(AND(A478&lt;&gt;"",A478='Firm Search'!$C$7),COUNTIF($A$5:A478,'Firm Search'!$C$7),"")</f>
        <v/>
      </c>
      <c r="R478">
        <f>IF(A478="","",COUNTIF($A$5:$A$1004,"&lt;"&amp;A478)+COUNTIF($A$5:A478,A478))</f>
        <v/>
      </c>
    </row>
    <row r="479">
      <c r="A479" s="64" t="n"/>
      <c r="B479" s="64" t="n"/>
      <c r="C479" s="66" t="n"/>
      <c r="D479" s="66" t="n"/>
      <c r="E479" s="67" t="n"/>
      <c r="F479" s="67" t="n"/>
      <c r="G479" s="67" t="n"/>
      <c r="H479" s="67" t="n"/>
      <c r="I479" s="67" t="n"/>
      <c r="J479" s="67" t="n"/>
      <c r="K479" s="67" t="n"/>
      <c r="L479" s="67" t="n"/>
      <c r="M479" s="64" t="n"/>
      <c r="N479" s="84">
        <f>IF(A479="","",IFERROR(INDEX(Firms!$B$5:$B$1004,MATCH(A479,Firms!$A$5:$A$1004,0)),"Not on Firms tab"))</f>
        <v/>
      </c>
      <c r="O479" s="84">
        <f>IF(A479="","",IF(AND(D479&lt;&gt;"",D479&lt;TODAY()),"Expired",IF(AND(C479&lt;&gt;"",C479&gt;TODAY()),"Not yet effective",IF(C479="","No date",IF(TODAY()&gt;=EDATE(C479,Review_Months),"Review Due","Current")))))</f>
        <v/>
      </c>
      <c r="P479">
        <f>IF(A479="","",A479&amp;"|"&amp;B479)</f>
        <v/>
      </c>
      <c r="Q479">
        <f>IF(AND(A479&lt;&gt;"",A479='Firm Search'!$C$7),COUNTIF($A$5:A479,'Firm Search'!$C$7),"")</f>
        <v/>
      </c>
      <c r="R479">
        <f>IF(A479="","",COUNTIF($A$5:$A$1004,"&lt;"&amp;A479)+COUNTIF($A$5:A479,A479))</f>
        <v/>
      </c>
    </row>
    <row r="480">
      <c r="A480" s="64" t="n"/>
      <c r="B480" s="64" t="n"/>
      <c r="C480" s="66" t="n"/>
      <c r="D480" s="66" t="n"/>
      <c r="E480" s="67" t="n"/>
      <c r="F480" s="67" t="n"/>
      <c r="G480" s="67" t="n"/>
      <c r="H480" s="67" t="n"/>
      <c r="I480" s="67" t="n"/>
      <c r="J480" s="67" t="n"/>
      <c r="K480" s="67" t="n"/>
      <c r="L480" s="67" t="n"/>
      <c r="M480" s="64" t="n"/>
      <c r="N480" s="84">
        <f>IF(A480="","",IFERROR(INDEX(Firms!$B$5:$B$1004,MATCH(A480,Firms!$A$5:$A$1004,0)),"Not on Firms tab"))</f>
        <v/>
      </c>
      <c r="O480" s="84">
        <f>IF(A480="","",IF(AND(D480&lt;&gt;"",D480&lt;TODAY()),"Expired",IF(AND(C480&lt;&gt;"",C480&gt;TODAY()),"Not yet effective",IF(C480="","No date",IF(TODAY()&gt;=EDATE(C480,Review_Months),"Review Due","Current")))))</f>
        <v/>
      </c>
      <c r="P480">
        <f>IF(A480="","",A480&amp;"|"&amp;B480)</f>
        <v/>
      </c>
      <c r="Q480">
        <f>IF(AND(A480&lt;&gt;"",A480='Firm Search'!$C$7),COUNTIF($A$5:A480,'Firm Search'!$C$7),"")</f>
        <v/>
      </c>
      <c r="R480">
        <f>IF(A480="","",COUNTIF($A$5:$A$1004,"&lt;"&amp;A480)+COUNTIF($A$5:A480,A480))</f>
        <v/>
      </c>
    </row>
    <row r="481">
      <c r="A481" s="64" t="n"/>
      <c r="B481" s="64" t="n"/>
      <c r="C481" s="66" t="n"/>
      <c r="D481" s="66" t="n"/>
      <c r="E481" s="67" t="n"/>
      <c r="F481" s="67" t="n"/>
      <c r="G481" s="67" t="n"/>
      <c r="H481" s="67" t="n"/>
      <c r="I481" s="67" t="n"/>
      <c r="J481" s="67" t="n"/>
      <c r="K481" s="67" t="n"/>
      <c r="L481" s="67" t="n"/>
      <c r="M481" s="64" t="n"/>
      <c r="N481" s="84">
        <f>IF(A481="","",IFERROR(INDEX(Firms!$B$5:$B$1004,MATCH(A481,Firms!$A$5:$A$1004,0)),"Not on Firms tab"))</f>
        <v/>
      </c>
      <c r="O481" s="84">
        <f>IF(A481="","",IF(AND(D481&lt;&gt;"",D481&lt;TODAY()),"Expired",IF(AND(C481&lt;&gt;"",C481&gt;TODAY()),"Not yet effective",IF(C481="","No date",IF(TODAY()&gt;=EDATE(C481,Review_Months),"Review Due","Current")))))</f>
        <v/>
      </c>
      <c r="P481">
        <f>IF(A481="","",A481&amp;"|"&amp;B481)</f>
        <v/>
      </c>
      <c r="Q481">
        <f>IF(AND(A481&lt;&gt;"",A481='Firm Search'!$C$7),COUNTIF($A$5:A481,'Firm Search'!$C$7),"")</f>
        <v/>
      </c>
      <c r="R481">
        <f>IF(A481="","",COUNTIF($A$5:$A$1004,"&lt;"&amp;A481)+COUNTIF($A$5:A481,A481))</f>
        <v/>
      </c>
    </row>
    <row r="482">
      <c r="A482" s="64" t="n"/>
      <c r="B482" s="64" t="n"/>
      <c r="C482" s="66" t="n"/>
      <c r="D482" s="66" t="n"/>
      <c r="E482" s="67" t="n"/>
      <c r="F482" s="67" t="n"/>
      <c r="G482" s="67" t="n"/>
      <c r="H482" s="67" t="n"/>
      <c r="I482" s="67" t="n"/>
      <c r="J482" s="67" t="n"/>
      <c r="K482" s="67" t="n"/>
      <c r="L482" s="67" t="n"/>
      <c r="M482" s="64" t="n"/>
      <c r="N482" s="84">
        <f>IF(A482="","",IFERROR(INDEX(Firms!$B$5:$B$1004,MATCH(A482,Firms!$A$5:$A$1004,0)),"Not on Firms tab"))</f>
        <v/>
      </c>
      <c r="O482" s="84">
        <f>IF(A482="","",IF(AND(D482&lt;&gt;"",D482&lt;TODAY()),"Expired",IF(AND(C482&lt;&gt;"",C482&gt;TODAY()),"Not yet effective",IF(C482="","No date",IF(TODAY()&gt;=EDATE(C482,Review_Months),"Review Due","Current")))))</f>
        <v/>
      </c>
      <c r="P482">
        <f>IF(A482="","",A482&amp;"|"&amp;B482)</f>
        <v/>
      </c>
      <c r="Q482">
        <f>IF(AND(A482&lt;&gt;"",A482='Firm Search'!$C$7),COUNTIF($A$5:A482,'Firm Search'!$C$7),"")</f>
        <v/>
      </c>
      <c r="R482">
        <f>IF(A482="","",COUNTIF($A$5:$A$1004,"&lt;"&amp;A482)+COUNTIF($A$5:A482,A482))</f>
        <v/>
      </c>
    </row>
    <row r="483">
      <c r="A483" s="64" t="n"/>
      <c r="B483" s="64" t="n"/>
      <c r="C483" s="66" t="n"/>
      <c r="D483" s="66" t="n"/>
      <c r="E483" s="67" t="n"/>
      <c r="F483" s="67" t="n"/>
      <c r="G483" s="67" t="n"/>
      <c r="H483" s="67" t="n"/>
      <c r="I483" s="67" t="n"/>
      <c r="J483" s="67" t="n"/>
      <c r="K483" s="67" t="n"/>
      <c r="L483" s="67" t="n"/>
      <c r="M483" s="64" t="n"/>
      <c r="N483" s="84">
        <f>IF(A483="","",IFERROR(INDEX(Firms!$B$5:$B$1004,MATCH(A483,Firms!$A$5:$A$1004,0)),"Not on Firms tab"))</f>
        <v/>
      </c>
      <c r="O483" s="84">
        <f>IF(A483="","",IF(AND(D483&lt;&gt;"",D483&lt;TODAY()),"Expired",IF(AND(C483&lt;&gt;"",C483&gt;TODAY()),"Not yet effective",IF(C483="","No date",IF(TODAY()&gt;=EDATE(C483,Review_Months),"Review Due","Current")))))</f>
        <v/>
      </c>
      <c r="P483">
        <f>IF(A483="","",A483&amp;"|"&amp;B483)</f>
        <v/>
      </c>
      <c r="Q483">
        <f>IF(AND(A483&lt;&gt;"",A483='Firm Search'!$C$7),COUNTIF($A$5:A483,'Firm Search'!$C$7),"")</f>
        <v/>
      </c>
      <c r="R483">
        <f>IF(A483="","",COUNTIF($A$5:$A$1004,"&lt;"&amp;A483)+COUNTIF($A$5:A483,A483))</f>
        <v/>
      </c>
    </row>
    <row r="484">
      <c r="A484" s="64" t="n"/>
      <c r="B484" s="64" t="n"/>
      <c r="C484" s="66" t="n"/>
      <c r="D484" s="66" t="n"/>
      <c r="E484" s="67" t="n"/>
      <c r="F484" s="67" t="n"/>
      <c r="G484" s="67" t="n"/>
      <c r="H484" s="67" t="n"/>
      <c r="I484" s="67" t="n"/>
      <c r="J484" s="67" t="n"/>
      <c r="K484" s="67" t="n"/>
      <c r="L484" s="67" t="n"/>
      <c r="M484" s="64" t="n"/>
      <c r="N484" s="84">
        <f>IF(A484="","",IFERROR(INDEX(Firms!$B$5:$B$1004,MATCH(A484,Firms!$A$5:$A$1004,0)),"Not on Firms tab"))</f>
        <v/>
      </c>
      <c r="O484" s="84">
        <f>IF(A484="","",IF(AND(D484&lt;&gt;"",D484&lt;TODAY()),"Expired",IF(AND(C484&lt;&gt;"",C484&gt;TODAY()),"Not yet effective",IF(C484="","No date",IF(TODAY()&gt;=EDATE(C484,Review_Months),"Review Due","Current")))))</f>
        <v/>
      </c>
      <c r="P484">
        <f>IF(A484="","",A484&amp;"|"&amp;B484)</f>
        <v/>
      </c>
      <c r="Q484">
        <f>IF(AND(A484&lt;&gt;"",A484='Firm Search'!$C$7),COUNTIF($A$5:A484,'Firm Search'!$C$7),"")</f>
        <v/>
      </c>
      <c r="R484">
        <f>IF(A484="","",COUNTIF($A$5:$A$1004,"&lt;"&amp;A484)+COUNTIF($A$5:A484,A484))</f>
        <v/>
      </c>
    </row>
    <row r="485">
      <c r="A485" s="64" t="n"/>
      <c r="B485" s="64" t="n"/>
      <c r="C485" s="66" t="n"/>
      <c r="D485" s="66" t="n"/>
      <c r="E485" s="67" t="n"/>
      <c r="F485" s="67" t="n"/>
      <c r="G485" s="67" t="n"/>
      <c r="H485" s="67" t="n"/>
      <c r="I485" s="67" t="n"/>
      <c r="J485" s="67" t="n"/>
      <c r="K485" s="67" t="n"/>
      <c r="L485" s="67" t="n"/>
      <c r="M485" s="64" t="n"/>
      <c r="N485" s="84">
        <f>IF(A485="","",IFERROR(INDEX(Firms!$B$5:$B$1004,MATCH(A485,Firms!$A$5:$A$1004,0)),"Not on Firms tab"))</f>
        <v/>
      </c>
      <c r="O485" s="84">
        <f>IF(A485="","",IF(AND(D485&lt;&gt;"",D485&lt;TODAY()),"Expired",IF(AND(C485&lt;&gt;"",C485&gt;TODAY()),"Not yet effective",IF(C485="","No date",IF(TODAY()&gt;=EDATE(C485,Review_Months),"Review Due","Current")))))</f>
        <v/>
      </c>
      <c r="P485">
        <f>IF(A485="","",A485&amp;"|"&amp;B485)</f>
        <v/>
      </c>
      <c r="Q485">
        <f>IF(AND(A485&lt;&gt;"",A485='Firm Search'!$C$7),COUNTIF($A$5:A485,'Firm Search'!$C$7),"")</f>
        <v/>
      </c>
      <c r="R485">
        <f>IF(A485="","",COUNTIF($A$5:$A$1004,"&lt;"&amp;A485)+COUNTIF($A$5:A485,A485))</f>
        <v/>
      </c>
    </row>
    <row r="486">
      <c r="A486" s="64" t="n"/>
      <c r="B486" s="64" t="n"/>
      <c r="C486" s="66" t="n"/>
      <c r="D486" s="66" t="n"/>
      <c r="E486" s="67" t="n"/>
      <c r="F486" s="67" t="n"/>
      <c r="G486" s="67" t="n"/>
      <c r="H486" s="67" t="n"/>
      <c r="I486" s="67" t="n"/>
      <c r="J486" s="67" t="n"/>
      <c r="K486" s="67" t="n"/>
      <c r="L486" s="67" t="n"/>
      <c r="M486" s="64" t="n"/>
      <c r="N486" s="84">
        <f>IF(A486="","",IFERROR(INDEX(Firms!$B$5:$B$1004,MATCH(A486,Firms!$A$5:$A$1004,0)),"Not on Firms tab"))</f>
        <v/>
      </c>
      <c r="O486" s="84">
        <f>IF(A486="","",IF(AND(D486&lt;&gt;"",D486&lt;TODAY()),"Expired",IF(AND(C486&lt;&gt;"",C486&gt;TODAY()),"Not yet effective",IF(C486="","No date",IF(TODAY()&gt;=EDATE(C486,Review_Months),"Review Due","Current")))))</f>
        <v/>
      </c>
      <c r="P486">
        <f>IF(A486="","",A486&amp;"|"&amp;B486)</f>
        <v/>
      </c>
      <c r="Q486">
        <f>IF(AND(A486&lt;&gt;"",A486='Firm Search'!$C$7),COUNTIF($A$5:A486,'Firm Search'!$C$7),"")</f>
        <v/>
      </c>
      <c r="R486">
        <f>IF(A486="","",COUNTIF($A$5:$A$1004,"&lt;"&amp;A486)+COUNTIF($A$5:A486,A486))</f>
        <v/>
      </c>
    </row>
    <row r="487">
      <c r="A487" s="64" t="n"/>
      <c r="B487" s="64" t="n"/>
      <c r="C487" s="66" t="n"/>
      <c r="D487" s="66" t="n"/>
      <c r="E487" s="67" t="n"/>
      <c r="F487" s="67" t="n"/>
      <c r="G487" s="67" t="n"/>
      <c r="H487" s="67" t="n"/>
      <c r="I487" s="67" t="n"/>
      <c r="J487" s="67" t="n"/>
      <c r="K487" s="67" t="n"/>
      <c r="L487" s="67" t="n"/>
      <c r="M487" s="64" t="n"/>
      <c r="N487" s="84">
        <f>IF(A487="","",IFERROR(INDEX(Firms!$B$5:$B$1004,MATCH(A487,Firms!$A$5:$A$1004,0)),"Not on Firms tab"))</f>
        <v/>
      </c>
      <c r="O487" s="84">
        <f>IF(A487="","",IF(AND(D487&lt;&gt;"",D487&lt;TODAY()),"Expired",IF(AND(C487&lt;&gt;"",C487&gt;TODAY()),"Not yet effective",IF(C487="","No date",IF(TODAY()&gt;=EDATE(C487,Review_Months),"Review Due","Current")))))</f>
        <v/>
      </c>
      <c r="P487">
        <f>IF(A487="","",A487&amp;"|"&amp;B487)</f>
        <v/>
      </c>
      <c r="Q487">
        <f>IF(AND(A487&lt;&gt;"",A487='Firm Search'!$C$7),COUNTIF($A$5:A487,'Firm Search'!$C$7),"")</f>
        <v/>
      </c>
      <c r="R487">
        <f>IF(A487="","",COUNTIF($A$5:$A$1004,"&lt;"&amp;A487)+COUNTIF($A$5:A487,A487))</f>
        <v/>
      </c>
    </row>
    <row r="488">
      <c r="A488" s="64" t="n"/>
      <c r="B488" s="64" t="n"/>
      <c r="C488" s="66" t="n"/>
      <c r="D488" s="66" t="n"/>
      <c r="E488" s="67" t="n"/>
      <c r="F488" s="67" t="n"/>
      <c r="G488" s="67" t="n"/>
      <c r="H488" s="67" t="n"/>
      <c r="I488" s="67" t="n"/>
      <c r="J488" s="67" t="n"/>
      <c r="K488" s="67" t="n"/>
      <c r="L488" s="67" t="n"/>
      <c r="M488" s="64" t="n"/>
      <c r="N488" s="84">
        <f>IF(A488="","",IFERROR(INDEX(Firms!$B$5:$B$1004,MATCH(A488,Firms!$A$5:$A$1004,0)),"Not on Firms tab"))</f>
        <v/>
      </c>
      <c r="O488" s="84">
        <f>IF(A488="","",IF(AND(D488&lt;&gt;"",D488&lt;TODAY()),"Expired",IF(AND(C488&lt;&gt;"",C488&gt;TODAY()),"Not yet effective",IF(C488="","No date",IF(TODAY()&gt;=EDATE(C488,Review_Months),"Review Due","Current")))))</f>
        <v/>
      </c>
      <c r="P488">
        <f>IF(A488="","",A488&amp;"|"&amp;B488)</f>
        <v/>
      </c>
      <c r="Q488">
        <f>IF(AND(A488&lt;&gt;"",A488='Firm Search'!$C$7),COUNTIF($A$5:A488,'Firm Search'!$C$7),"")</f>
        <v/>
      </c>
      <c r="R488">
        <f>IF(A488="","",COUNTIF($A$5:$A$1004,"&lt;"&amp;A488)+COUNTIF($A$5:A488,A488))</f>
        <v/>
      </c>
    </row>
    <row r="489">
      <c r="A489" s="64" t="n"/>
      <c r="B489" s="64" t="n"/>
      <c r="C489" s="66" t="n"/>
      <c r="D489" s="66" t="n"/>
      <c r="E489" s="67" t="n"/>
      <c r="F489" s="67" t="n"/>
      <c r="G489" s="67" t="n"/>
      <c r="H489" s="67" t="n"/>
      <c r="I489" s="67" t="n"/>
      <c r="J489" s="67" t="n"/>
      <c r="K489" s="67" t="n"/>
      <c r="L489" s="67" t="n"/>
      <c r="M489" s="64" t="n"/>
      <c r="N489" s="84">
        <f>IF(A489="","",IFERROR(INDEX(Firms!$B$5:$B$1004,MATCH(A489,Firms!$A$5:$A$1004,0)),"Not on Firms tab"))</f>
        <v/>
      </c>
      <c r="O489" s="84">
        <f>IF(A489="","",IF(AND(D489&lt;&gt;"",D489&lt;TODAY()),"Expired",IF(AND(C489&lt;&gt;"",C489&gt;TODAY()),"Not yet effective",IF(C489="","No date",IF(TODAY()&gt;=EDATE(C489,Review_Months),"Review Due","Current")))))</f>
        <v/>
      </c>
      <c r="P489">
        <f>IF(A489="","",A489&amp;"|"&amp;B489)</f>
        <v/>
      </c>
      <c r="Q489">
        <f>IF(AND(A489&lt;&gt;"",A489='Firm Search'!$C$7),COUNTIF($A$5:A489,'Firm Search'!$C$7),"")</f>
        <v/>
      </c>
      <c r="R489">
        <f>IF(A489="","",COUNTIF($A$5:$A$1004,"&lt;"&amp;A489)+COUNTIF($A$5:A489,A489))</f>
        <v/>
      </c>
    </row>
    <row r="490">
      <c r="A490" s="64" t="n"/>
      <c r="B490" s="64" t="n"/>
      <c r="C490" s="66" t="n"/>
      <c r="D490" s="66" t="n"/>
      <c r="E490" s="67" t="n"/>
      <c r="F490" s="67" t="n"/>
      <c r="G490" s="67" t="n"/>
      <c r="H490" s="67" t="n"/>
      <c r="I490" s="67" t="n"/>
      <c r="J490" s="67" t="n"/>
      <c r="K490" s="67" t="n"/>
      <c r="L490" s="67" t="n"/>
      <c r="M490" s="64" t="n"/>
      <c r="N490" s="84">
        <f>IF(A490="","",IFERROR(INDEX(Firms!$B$5:$B$1004,MATCH(A490,Firms!$A$5:$A$1004,0)),"Not on Firms tab"))</f>
        <v/>
      </c>
      <c r="O490" s="84">
        <f>IF(A490="","",IF(AND(D490&lt;&gt;"",D490&lt;TODAY()),"Expired",IF(AND(C490&lt;&gt;"",C490&gt;TODAY()),"Not yet effective",IF(C490="","No date",IF(TODAY()&gt;=EDATE(C490,Review_Months),"Review Due","Current")))))</f>
        <v/>
      </c>
      <c r="P490">
        <f>IF(A490="","",A490&amp;"|"&amp;B490)</f>
        <v/>
      </c>
      <c r="Q490">
        <f>IF(AND(A490&lt;&gt;"",A490='Firm Search'!$C$7),COUNTIF($A$5:A490,'Firm Search'!$C$7),"")</f>
        <v/>
      </c>
      <c r="R490">
        <f>IF(A490="","",COUNTIF($A$5:$A$1004,"&lt;"&amp;A490)+COUNTIF($A$5:A490,A490))</f>
        <v/>
      </c>
    </row>
    <row r="491">
      <c r="A491" s="64" t="n"/>
      <c r="B491" s="64" t="n"/>
      <c r="C491" s="66" t="n"/>
      <c r="D491" s="66" t="n"/>
      <c r="E491" s="67" t="n"/>
      <c r="F491" s="67" t="n"/>
      <c r="G491" s="67" t="n"/>
      <c r="H491" s="67" t="n"/>
      <c r="I491" s="67" t="n"/>
      <c r="J491" s="67" t="n"/>
      <c r="K491" s="67" t="n"/>
      <c r="L491" s="67" t="n"/>
      <c r="M491" s="64" t="n"/>
      <c r="N491" s="84">
        <f>IF(A491="","",IFERROR(INDEX(Firms!$B$5:$B$1004,MATCH(A491,Firms!$A$5:$A$1004,0)),"Not on Firms tab"))</f>
        <v/>
      </c>
      <c r="O491" s="84">
        <f>IF(A491="","",IF(AND(D491&lt;&gt;"",D491&lt;TODAY()),"Expired",IF(AND(C491&lt;&gt;"",C491&gt;TODAY()),"Not yet effective",IF(C491="","No date",IF(TODAY()&gt;=EDATE(C491,Review_Months),"Review Due","Current")))))</f>
        <v/>
      </c>
      <c r="P491">
        <f>IF(A491="","",A491&amp;"|"&amp;B491)</f>
        <v/>
      </c>
      <c r="Q491">
        <f>IF(AND(A491&lt;&gt;"",A491='Firm Search'!$C$7),COUNTIF($A$5:A491,'Firm Search'!$C$7),"")</f>
        <v/>
      </c>
      <c r="R491">
        <f>IF(A491="","",COUNTIF($A$5:$A$1004,"&lt;"&amp;A491)+COUNTIF($A$5:A491,A491))</f>
        <v/>
      </c>
    </row>
    <row r="492">
      <c r="A492" s="64" t="n"/>
      <c r="B492" s="64" t="n"/>
      <c r="C492" s="66" t="n"/>
      <c r="D492" s="66" t="n"/>
      <c r="E492" s="67" t="n"/>
      <c r="F492" s="67" t="n"/>
      <c r="G492" s="67" t="n"/>
      <c r="H492" s="67" t="n"/>
      <c r="I492" s="67" t="n"/>
      <c r="J492" s="67" t="n"/>
      <c r="K492" s="67" t="n"/>
      <c r="L492" s="67" t="n"/>
      <c r="M492" s="64" t="n"/>
      <c r="N492" s="84">
        <f>IF(A492="","",IFERROR(INDEX(Firms!$B$5:$B$1004,MATCH(A492,Firms!$A$5:$A$1004,0)),"Not on Firms tab"))</f>
        <v/>
      </c>
      <c r="O492" s="84">
        <f>IF(A492="","",IF(AND(D492&lt;&gt;"",D492&lt;TODAY()),"Expired",IF(AND(C492&lt;&gt;"",C492&gt;TODAY()),"Not yet effective",IF(C492="","No date",IF(TODAY()&gt;=EDATE(C492,Review_Months),"Review Due","Current")))))</f>
        <v/>
      </c>
      <c r="P492">
        <f>IF(A492="","",A492&amp;"|"&amp;B492)</f>
        <v/>
      </c>
      <c r="Q492">
        <f>IF(AND(A492&lt;&gt;"",A492='Firm Search'!$C$7),COUNTIF($A$5:A492,'Firm Search'!$C$7),"")</f>
        <v/>
      </c>
      <c r="R492">
        <f>IF(A492="","",COUNTIF($A$5:$A$1004,"&lt;"&amp;A492)+COUNTIF($A$5:A492,A492))</f>
        <v/>
      </c>
    </row>
    <row r="493">
      <c r="A493" s="64" t="n"/>
      <c r="B493" s="64" t="n"/>
      <c r="C493" s="66" t="n"/>
      <c r="D493" s="66" t="n"/>
      <c r="E493" s="67" t="n"/>
      <c r="F493" s="67" t="n"/>
      <c r="G493" s="67" t="n"/>
      <c r="H493" s="67" t="n"/>
      <c r="I493" s="67" t="n"/>
      <c r="J493" s="67" t="n"/>
      <c r="K493" s="67" t="n"/>
      <c r="L493" s="67" t="n"/>
      <c r="M493" s="64" t="n"/>
      <c r="N493" s="84">
        <f>IF(A493="","",IFERROR(INDEX(Firms!$B$5:$B$1004,MATCH(A493,Firms!$A$5:$A$1004,0)),"Not on Firms tab"))</f>
        <v/>
      </c>
      <c r="O493" s="84">
        <f>IF(A493="","",IF(AND(D493&lt;&gt;"",D493&lt;TODAY()),"Expired",IF(AND(C493&lt;&gt;"",C493&gt;TODAY()),"Not yet effective",IF(C493="","No date",IF(TODAY()&gt;=EDATE(C493,Review_Months),"Review Due","Current")))))</f>
        <v/>
      </c>
      <c r="P493">
        <f>IF(A493="","",A493&amp;"|"&amp;B493)</f>
        <v/>
      </c>
      <c r="Q493">
        <f>IF(AND(A493&lt;&gt;"",A493='Firm Search'!$C$7),COUNTIF($A$5:A493,'Firm Search'!$C$7),"")</f>
        <v/>
      </c>
      <c r="R493">
        <f>IF(A493="","",COUNTIF($A$5:$A$1004,"&lt;"&amp;A493)+COUNTIF($A$5:A493,A493))</f>
        <v/>
      </c>
    </row>
    <row r="494">
      <c r="A494" s="64" t="n"/>
      <c r="B494" s="64" t="n"/>
      <c r="C494" s="66" t="n"/>
      <c r="D494" s="66" t="n"/>
      <c r="E494" s="67" t="n"/>
      <c r="F494" s="67" t="n"/>
      <c r="G494" s="67" t="n"/>
      <c r="H494" s="67" t="n"/>
      <c r="I494" s="67" t="n"/>
      <c r="J494" s="67" t="n"/>
      <c r="K494" s="67" t="n"/>
      <c r="L494" s="67" t="n"/>
      <c r="M494" s="64" t="n"/>
      <c r="N494" s="84">
        <f>IF(A494="","",IFERROR(INDEX(Firms!$B$5:$B$1004,MATCH(A494,Firms!$A$5:$A$1004,0)),"Not on Firms tab"))</f>
        <v/>
      </c>
      <c r="O494" s="84">
        <f>IF(A494="","",IF(AND(D494&lt;&gt;"",D494&lt;TODAY()),"Expired",IF(AND(C494&lt;&gt;"",C494&gt;TODAY()),"Not yet effective",IF(C494="","No date",IF(TODAY()&gt;=EDATE(C494,Review_Months),"Review Due","Current")))))</f>
        <v/>
      </c>
      <c r="P494">
        <f>IF(A494="","",A494&amp;"|"&amp;B494)</f>
        <v/>
      </c>
      <c r="Q494">
        <f>IF(AND(A494&lt;&gt;"",A494='Firm Search'!$C$7),COUNTIF($A$5:A494,'Firm Search'!$C$7),"")</f>
        <v/>
      </c>
      <c r="R494">
        <f>IF(A494="","",COUNTIF($A$5:$A$1004,"&lt;"&amp;A494)+COUNTIF($A$5:A494,A494))</f>
        <v/>
      </c>
    </row>
    <row r="495">
      <c r="A495" s="64" t="n"/>
      <c r="B495" s="64" t="n"/>
      <c r="C495" s="66" t="n"/>
      <c r="D495" s="66" t="n"/>
      <c r="E495" s="67" t="n"/>
      <c r="F495" s="67" t="n"/>
      <c r="G495" s="67" t="n"/>
      <c r="H495" s="67" t="n"/>
      <c r="I495" s="67" t="n"/>
      <c r="J495" s="67" t="n"/>
      <c r="K495" s="67" t="n"/>
      <c r="L495" s="67" t="n"/>
      <c r="M495" s="64" t="n"/>
      <c r="N495" s="84">
        <f>IF(A495="","",IFERROR(INDEX(Firms!$B$5:$B$1004,MATCH(A495,Firms!$A$5:$A$1004,0)),"Not on Firms tab"))</f>
        <v/>
      </c>
      <c r="O495" s="84">
        <f>IF(A495="","",IF(AND(D495&lt;&gt;"",D495&lt;TODAY()),"Expired",IF(AND(C495&lt;&gt;"",C495&gt;TODAY()),"Not yet effective",IF(C495="","No date",IF(TODAY()&gt;=EDATE(C495,Review_Months),"Review Due","Current")))))</f>
        <v/>
      </c>
      <c r="P495">
        <f>IF(A495="","",A495&amp;"|"&amp;B495)</f>
        <v/>
      </c>
      <c r="Q495">
        <f>IF(AND(A495&lt;&gt;"",A495='Firm Search'!$C$7),COUNTIF($A$5:A495,'Firm Search'!$C$7),"")</f>
        <v/>
      </c>
      <c r="R495">
        <f>IF(A495="","",COUNTIF($A$5:$A$1004,"&lt;"&amp;A495)+COUNTIF($A$5:A495,A495))</f>
        <v/>
      </c>
    </row>
    <row r="496">
      <c r="A496" s="64" t="n"/>
      <c r="B496" s="64" t="n"/>
      <c r="C496" s="66" t="n"/>
      <c r="D496" s="66" t="n"/>
      <c r="E496" s="67" t="n"/>
      <c r="F496" s="67" t="n"/>
      <c r="G496" s="67" t="n"/>
      <c r="H496" s="67" t="n"/>
      <c r="I496" s="67" t="n"/>
      <c r="J496" s="67" t="n"/>
      <c r="K496" s="67" t="n"/>
      <c r="L496" s="67" t="n"/>
      <c r="M496" s="64" t="n"/>
      <c r="N496" s="84">
        <f>IF(A496="","",IFERROR(INDEX(Firms!$B$5:$B$1004,MATCH(A496,Firms!$A$5:$A$1004,0)),"Not on Firms tab"))</f>
        <v/>
      </c>
      <c r="O496" s="84">
        <f>IF(A496="","",IF(AND(D496&lt;&gt;"",D496&lt;TODAY()),"Expired",IF(AND(C496&lt;&gt;"",C496&gt;TODAY()),"Not yet effective",IF(C496="","No date",IF(TODAY()&gt;=EDATE(C496,Review_Months),"Review Due","Current")))))</f>
        <v/>
      </c>
      <c r="P496">
        <f>IF(A496="","",A496&amp;"|"&amp;B496)</f>
        <v/>
      </c>
      <c r="Q496">
        <f>IF(AND(A496&lt;&gt;"",A496='Firm Search'!$C$7),COUNTIF($A$5:A496,'Firm Search'!$C$7),"")</f>
        <v/>
      </c>
      <c r="R496">
        <f>IF(A496="","",COUNTIF($A$5:$A$1004,"&lt;"&amp;A496)+COUNTIF($A$5:A496,A496))</f>
        <v/>
      </c>
    </row>
    <row r="497">
      <c r="A497" s="64" t="n"/>
      <c r="B497" s="64" t="n"/>
      <c r="C497" s="66" t="n"/>
      <c r="D497" s="66" t="n"/>
      <c r="E497" s="67" t="n"/>
      <c r="F497" s="67" t="n"/>
      <c r="G497" s="67" t="n"/>
      <c r="H497" s="67" t="n"/>
      <c r="I497" s="67" t="n"/>
      <c r="J497" s="67" t="n"/>
      <c r="K497" s="67" t="n"/>
      <c r="L497" s="67" t="n"/>
      <c r="M497" s="64" t="n"/>
      <c r="N497" s="84">
        <f>IF(A497="","",IFERROR(INDEX(Firms!$B$5:$B$1004,MATCH(A497,Firms!$A$5:$A$1004,0)),"Not on Firms tab"))</f>
        <v/>
      </c>
      <c r="O497" s="84">
        <f>IF(A497="","",IF(AND(D497&lt;&gt;"",D497&lt;TODAY()),"Expired",IF(AND(C497&lt;&gt;"",C497&gt;TODAY()),"Not yet effective",IF(C497="","No date",IF(TODAY()&gt;=EDATE(C497,Review_Months),"Review Due","Current")))))</f>
        <v/>
      </c>
      <c r="P497">
        <f>IF(A497="","",A497&amp;"|"&amp;B497)</f>
        <v/>
      </c>
      <c r="Q497">
        <f>IF(AND(A497&lt;&gt;"",A497='Firm Search'!$C$7),COUNTIF($A$5:A497,'Firm Search'!$C$7),"")</f>
        <v/>
      </c>
      <c r="R497">
        <f>IF(A497="","",COUNTIF($A$5:$A$1004,"&lt;"&amp;A497)+COUNTIF($A$5:A497,A497))</f>
        <v/>
      </c>
    </row>
    <row r="498">
      <c r="A498" s="64" t="n"/>
      <c r="B498" s="64" t="n"/>
      <c r="C498" s="66" t="n"/>
      <c r="D498" s="66" t="n"/>
      <c r="E498" s="67" t="n"/>
      <c r="F498" s="67" t="n"/>
      <c r="G498" s="67" t="n"/>
      <c r="H498" s="67" t="n"/>
      <c r="I498" s="67" t="n"/>
      <c r="J498" s="67" t="n"/>
      <c r="K498" s="67" t="n"/>
      <c r="L498" s="67" t="n"/>
      <c r="M498" s="64" t="n"/>
      <c r="N498" s="84">
        <f>IF(A498="","",IFERROR(INDEX(Firms!$B$5:$B$1004,MATCH(A498,Firms!$A$5:$A$1004,0)),"Not on Firms tab"))</f>
        <v/>
      </c>
      <c r="O498" s="84">
        <f>IF(A498="","",IF(AND(D498&lt;&gt;"",D498&lt;TODAY()),"Expired",IF(AND(C498&lt;&gt;"",C498&gt;TODAY()),"Not yet effective",IF(C498="","No date",IF(TODAY()&gt;=EDATE(C498,Review_Months),"Review Due","Current")))))</f>
        <v/>
      </c>
      <c r="P498">
        <f>IF(A498="","",A498&amp;"|"&amp;B498)</f>
        <v/>
      </c>
      <c r="Q498">
        <f>IF(AND(A498&lt;&gt;"",A498='Firm Search'!$C$7),COUNTIF($A$5:A498,'Firm Search'!$C$7),"")</f>
        <v/>
      </c>
      <c r="R498">
        <f>IF(A498="","",COUNTIF($A$5:$A$1004,"&lt;"&amp;A498)+COUNTIF($A$5:A498,A498))</f>
        <v/>
      </c>
    </row>
    <row r="499">
      <c r="A499" s="64" t="n"/>
      <c r="B499" s="64" t="n"/>
      <c r="C499" s="66" t="n"/>
      <c r="D499" s="66" t="n"/>
      <c r="E499" s="67" t="n"/>
      <c r="F499" s="67" t="n"/>
      <c r="G499" s="67" t="n"/>
      <c r="H499" s="67" t="n"/>
      <c r="I499" s="67" t="n"/>
      <c r="J499" s="67" t="n"/>
      <c r="K499" s="67" t="n"/>
      <c r="L499" s="67" t="n"/>
      <c r="M499" s="64" t="n"/>
      <c r="N499" s="84">
        <f>IF(A499="","",IFERROR(INDEX(Firms!$B$5:$B$1004,MATCH(A499,Firms!$A$5:$A$1004,0)),"Not on Firms tab"))</f>
        <v/>
      </c>
      <c r="O499" s="84">
        <f>IF(A499="","",IF(AND(D499&lt;&gt;"",D499&lt;TODAY()),"Expired",IF(AND(C499&lt;&gt;"",C499&gt;TODAY()),"Not yet effective",IF(C499="","No date",IF(TODAY()&gt;=EDATE(C499,Review_Months),"Review Due","Current")))))</f>
        <v/>
      </c>
      <c r="P499">
        <f>IF(A499="","",A499&amp;"|"&amp;B499)</f>
        <v/>
      </c>
      <c r="Q499">
        <f>IF(AND(A499&lt;&gt;"",A499='Firm Search'!$C$7),COUNTIF($A$5:A499,'Firm Search'!$C$7),"")</f>
        <v/>
      </c>
      <c r="R499">
        <f>IF(A499="","",COUNTIF($A$5:$A$1004,"&lt;"&amp;A499)+COUNTIF($A$5:A499,A499))</f>
        <v/>
      </c>
    </row>
    <row r="500">
      <c r="A500" s="64" t="n"/>
      <c r="B500" s="64" t="n"/>
      <c r="C500" s="66" t="n"/>
      <c r="D500" s="66" t="n"/>
      <c r="E500" s="67" t="n"/>
      <c r="F500" s="67" t="n"/>
      <c r="G500" s="67" t="n"/>
      <c r="H500" s="67" t="n"/>
      <c r="I500" s="67" t="n"/>
      <c r="J500" s="67" t="n"/>
      <c r="K500" s="67" t="n"/>
      <c r="L500" s="67" t="n"/>
      <c r="M500" s="64" t="n"/>
      <c r="N500" s="84">
        <f>IF(A500="","",IFERROR(INDEX(Firms!$B$5:$B$1004,MATCH(A500,Firms!$A$5:$A$1004,0)),"Not on Firms tab"))</f>
        <v/>
      </c>
      <c r="O500" s="84">
        <f>IF(A500="","",IF(AND(D500&lt;&gt;"",D500&lt;TODAY()),"Expired",IF(AND(C500&lt;&gt;"",C500&gt;TODAY()),"Not yet effective",IF(C500="","No date",IF(TODAY()&gt;=EDATE(C500,Review_Months),"Review Due","Current")))))</f>
        <v/>
      </c>
      <c r="P500">
        <f>IF(A500="","",A500&amp;"|"&amp;B500)</f>
        <v/>
      </c>
      <c r="Q500">
        <f>IF(AND(A500&lt;&gt;"",A500='Firm Search'!$C$7),COUNTIF($A$5:A500,'Firm Search'!$C$7),"")</f>
        <v/>
      </c>
      <c r="R500">
        <f>IF(A500="","",COUNTIF($A$5:$A$1004,"&lt;"&amp;A500)+COUNTIF($A$5:A500,A500))</f>
        <v/>
      </c>
    </row>
    <row r="501">
      <c r="A501" s="64" t="n"/>
      <c r="B501" s="64" t="n"/>
      <c r="C501" s="66" t="n"/>
      <c r="D501" s="66" t="n"/>
      <c r="E501" s="67" t="n"/>
      <c r="F501" s="67" t="n"/>
      <c r="G501" s="67" t="n"/>
      <c r="H501" s="67" t="n"/>
      <c r="I501" s="67" t="n"/>
      <c r="J501" s="67" t="n"/>
      <c r="K501" s="67" t="n"/>
      <c r="L501" s="67" t="n"/>
      <c r="M501" s="64" t="n"/>
      <c r="N501" s="84">
        <f>IF(A501="","",IFERROR(INDEX(Firms!$B$5:$B$1004,MATCH(A501,Firms!$A$5:$A$1004,0)),"Not on Firms tab"))</f>
        <v/>
      </c>
      <c r="O501" s="84">
        <f>IF(A501="","",IF(AND(D501&lt;&gt;"",D501&lt;TODAY()),"Expired",IF(AND(C501&lt;&gt;"",C501&gt;TODAY()),"Not yet effective",IF(C501="","No date",IF(TODAY()&gt;=EDATE(C501,Review_Months),"Review Due","Current")))))</f>
        <v/>
      </c>
      <c r="P501">
        <f>IF(A501="","",A501&amp;"|"&amp;B501)</f>
        <v/>
      </c>
      <c r="Q501">
        <f>IF(AND(A501&lt;&gt;"",A501='Firm Search'!$C$7),COUNTIF($A$5:A501,'Firm Search'!$C$7),"")</f>
        <v/>
      </c>
      <c r="R501">
        <f>IF(A501="","",COUNTIF($A$5:$A$1004,"&lt;"&amp;A501)+COUNTIF($A$5:A501,A501))</f>
        <v/>
      </c>
    </row>
    <row r="502">
      <c r="A502" s="64" t="n"/>
      <c r="B502" s="64" t="n"/>
      <c r="C502" s="66" t="n"/>
      <c r="D502" s="66" t="n"/>
      <c r="E502" s="67" t="n"/>
      <c r="F502" s="67" t="n"/>
      <c r="G502" s="67" t="n"/>
      <c r="H502" s="67" t="n"/>
      <c r="I502" s="67" t="n"/>
      <c r="J502" s="67" t="n"/>
      <c r="K502" s="67" t="n"/>
      <c r="L502" s="67" t="n"/>
      <c r="M502" s="64" t="n"/>
      <c r="N502" s="84">
        <f>IF(A502="","",IFERROR(INDEX(Firms!$B$5:$B$1004,MATCH(A502,Firms!$A$5:$A$1004,0)),"Not on Firms tab"))</f>
        <v/>
      </c>
      <c r="O502" s="84">
        <f>IF(A502="","",IF(AND(D502&lt;&gt;"",D502&lt;TODAY()),"Expired",IF(AND(C502&lt;&gt;"",C502&gt;TODAY()),"Not yet effective",IF(C502="","No date",IF(TODAY()&gt;=EDATE(C502,Review_Months),"Review Due","Current")))))</f>
        <v/>
      </c>
      <c r="P502">
        <f>IF(A502="","",A502&amp;"|"&amp;B502)</f>
        <v/>
      </c>
      <c r="Q502">
        <f>IF(AND(A502&lt;&gt;"",A502='Firm Search'!$C$7),COUNTIF($A$5:A502,'Firm Search'!$C$7),"")</f>
        <v/>
      </c>
      <c r="R502">
        <f>IF(A502="","",COUNTIF($A$5:$A$1004,"&lt;"&amp;A502)+COUNTIF($A$5:A502,A502))</f>
        <v/>
      </c>
    </row>
    <row r="503">
      <c r="A503" s="64" t="n"/>
      <c r="B503" s="64" t="n"/>
      <c r="C503" s="66" t="n"/>
      <c r="D503" s="66" t="n"/>
      <c r="E503" s="67" t="n"/>
      <c r="F503" s="67" t="n"/>
      <c r="G503" s="67" t="n"/>
      <c r="H503" s="67" t="n"/>
      <c r="I503" s="67" t="n"/>
      <c r="J503" s="67" t="n"/>
      <c r="K503" s="67" t="n"/>
      <c r="L503" s="67" t="n"/>
      <c r="M503" s="64" t="n"/>
      <c r="N503" s="84">
        <f>IF(A503="","",IFERROR(INDEX(Firms!$B$5:$B$1004,MATCH(A503,Firms!$A$5:$A$1004,0)),"Not on Firms tab"))</f>
        <v/>
      </c>
      <c r="O503" s="84">
        <f>IF(A503="","",IF(AND(D503&lt;&gt;"",D503&lt;TODAY()),"Expired",IF(AND(C503&lt;&gt;"",C503&gt;TODAY()),"Not yet effective",IF(C503="","No date",IF(TODAY()&gt;=EDATE(C503,Review_Months),"Review Due","Current")))))</f>
        <v/>
      </c>
      <c r="P503">
        <f>IF(A503="","",A503&amp;"|"&amp;B503)</f>
        <v/>
      </c>
      <c r="Q503">
        <f>IF(AND(A503&lt;&gt;"",A503='Firm Search'!$C$7),COUNTIF($A$5:A503,'Firm Search'!$C$7),"")</f>
        <v/>
      </c>
      <c r="R503">
        <f>IF(A503="","",COUNTIF($A$5:$A$1004,"&lt;"&amp;A503)+COUNTIF($A$5:A503,A503))</f>
        <v/>
      </c>
    </row>
    <row r="504">
      <c r="A504" s="64" t="n"/>
      <c r="B504" s="64" t="n"/>
      <c r="C504" s="66" t="n"/>
      <c r="D504" s="66" t="n"/>
      <c r="E504" s="67" t="n"/>
      <c r="F504" s="67" t="n"/>
      <c r="G504" s="67" t="n"/>
      <c r="H504" s="67" t="n"/>
      <c r="I504" s="67" t="n"/>
      <c r="J504" s="67" t="n"/>
      <c r="K504" s="67" t="n"/>
      <c r="L504" s="67" t="n"/>
      <c r="M504" s="64" t="n"/>
      <c r="N504" s="84">
        <f>IF(A504="","",IFERROR(INDEX(Firms!$B$5:$B$1004,MATCH(A504,Firms!$A$5:$A$1004,0)),"Not on Firms tab"))</f>
        <v/>
      </c>
      <c r="O504" s="84">
        <f>IF(A504="","",IF(AND(D504&lt;&gt;"",D504&lt;TODAY()),"Expired",IF(AND(C504&lt;&gt;"",C504&gt;TODAY()),"Not yet effective",IF(C504="","No date",IF(TODAY()&gt;=EDATE(C504,Review_Months),"Review Due","Current")))))</f>
        <v/>
      </c>
      <c r="P504">
        <f>IF(A504="","",A504&amp;"|"&amp;B504)</f>
        <v/>
      </c>
      <c r="Q504">
        <f>IF(AND(A504&lt;&gt;"",A504='Firm Search'!$C$7),COUNTIF($A$5:A504,'Firm Search'!$C$7),"")</f>
        <v/>
      </c>
      <c r="R504">
        <f>IF(A504="","",COUNTIF($A$5:$A$1004,"&lt;"&amp;A504)+COUNTIF($A$5:A504,A504))</f>
        <v/>
      </c>
    </row>
    <row r="505">
      <c r="A505" s="64" t="n"/>
      <c r="B505" s="64" t="n"/>
      <c r="C505" s="66" t="n"/>
      <c r="D505" s="66" t="n"/>
      <c r="E505" s="67" t="n"/>
      <c r="F505" s="67" t="n"/>
      <c r="G505" s="67" t="n"/>
      <c r="H505" s="67" t="n"/>
      <c r="I505" s="67" t="n"/>
      <c r="J505" s="67" t="n"/>
      <c r="K505" s="67" t="n"/>
      <c r="L505" s="67" t="n"/>
      <c r="M505" s="64" t="n"/>
      <c r="N505" s="84">
        <f>IF(A505="","",IFERROR(INDEX(Firms!$B$5:$B$1004,MATCH(A505,Firms!$A$5:$A$1004,0)),"Not on Firms tab"))</f>
        <v/>
      </c>
      <c r="O505" s="84">
        <f>IF(A505="","",IF(AND(D505&lt;&gt;"",D505&lt;TODAY()),"Expired",IF(AND(C505&lt;&gt;"",C505&gt;TODAY()),"Not yet effective",IF(C505="","No date",IF(TODAY()&gt;=EDATE(C505,Review_Months),"Review Due","Current")))))</f>
        <v/>
      </c>
      <c r="P505">
        <f>IF(A505="","",A505&amp;"|"&amp;B505)</f>
        <v/>
      </c>
      <c r="Q505">
        <f>IF(AND(A505&lt;&gt;"",A505='Firm Search'!$C$7),COUNTIF($A$5:A505,'Firm Search'!$C$7),"")</f>
        <v/>
      </c>
      <c r="R505">
        <f>IF(A505="","",COUNTIF($A$5:$A$1004,"&lt;"&amp;A505)+COUNTIF($A$5:A505,A505))</f>
        <v/>
      </c>
    </row>
    <row r="506">
      <c r="A506" s="64" t="n"/>
      <c r="B506" s="64" t="n"/>
      <c r="C506" s="66" t="n"/>
      <c r="D506" s="66" t="n"/>
      <c r="E506" s="67" t="n"/>
      <c r="F506" s="67" t="n"/>
      <c r="G506" s="67" t="n"/>
      <c r="H506" s="67" t="n"/>
      <c r="I506" s="67" t="n"/>
      <c r="J506" s="67" t="n"/>
      <c r="K506" s="67" t="n"/>
      <c r="L506" s="67" t="n"/>
      <c r="M506" s="64" t="n"/>
      <c r="N506" s="84">
        <f>IF(A506="","",IFERROR(INDEX(Firms!$B$5:$B$1004,MATCH(A506,Firms!$A$5:$A$1004,0)),"Not on Firms tab"))</f>
        <v/>
      </c>
      <c r="O506" s="84">
        <f>IF(A506="","",IF(AND(D506&lt;&gt;"",D506&lt;TODAY()),"Expired",IF(AND(C506&lt;&gt;"",C506&gt;TODAY()),"Not yet effective",IF(C506="","No date",IF(TODAY()&gt;=EDATE(C506,Review_Months),"Review Due","Current")))))</f>
        <v/>
      </c>
      <c r="P506">
        <f>IF(A506="","",A506&amp;"|"&amp;B506)</f>
        <v/>
      </c>
      <c r="Q506">
        <f>IF(AND(A506&lt;&gt;"",A506='Firm Search'!$C$7),COUNTIF($A$5:A506,'Firm Search'!$C$7),"")</f>
        <v/>
      </c>
      <c r="R506">
        <f>IF(A506="","",COUNTIF($A$5:$A$1004,"&lt;"&amp;A506)+COUNTIF($A$5:A506,A506))</f>
        <v/>
      </c>
    </row>
    <row r="507">
      <c r="A507" s="64" t="n"/>
      <c r="B507" s="64" t="n"/>
      <c r="C507" s="66" t="n"/>
      <c r="D507" s="66" t="n"/>
      <c r="E507" s="67" t="n"/>
      <c r="F507" s="67" t="n"/>
      <c r="G507" s="67" t="n"/>
      <c r="H507" s="67" t="n"/>
      <c r="I507" s="67" t="n"/>
      <c r="J507" s="67" t="n"/>
      <c r="K507" s="67" t="n"/>
      <c r="L507" s="67" t="n"/>
      <c r="M507" s="64" t="n"/>
      <c r="N507" s="84">
        <f>IF(A507="","",IFERROR(INDEX(Firms!$B$5:$B$1004,MATCH(A507,Firms!$A$5:$A$1004,0)),"Not on Firms tab"))</f>
        <v/>
      </c>
      <c r="O507" s="84">
        <f>IF(A507="","",IF(AND(D507&lt;&gt;"",D507&lt;TODAY()),"Expired",IF(AND(C507&lt;&gt;"",C507&gt;TODAY()),"Not yet effective",IF(C507="","No date",IF(TODAY()&gt;=EDATE(C507,Review_Months),"Review Due","Current")))))</f>
        <v/>
      </c>
      <c r="P507">
        <f>IF(A507="","",A507&amp;"|"&amp;B507)</f>
        <v/>
      </c>
      <c r="Q507">
        <f>IF(AND(A507&lt;&gt;"",A507='Firm Search'!$C$7),COUNTIF($A$5:A507,'Firm Search'!$C$7),"")</f>
        <v/>
      </c>
      <c r="R507">
        <f>IF(A507="","",COUNTIF($A$5:$A$1004,"&lt;"&amp;A507)+COUNTIF($A$5:A507,A507))</f>
        <v/>
      </c>
    </row>
    <row r="508">
      <c r="A508" s="64" t="n"/>
      <c r="B508" s="64" t="n"/>
      <c r="C508" s="66" t="n"/>
      <c r="D508" s="66" t="n"/>
      <c r="E508" s="67" t="n"/>
      <c r="F508" s="67" t="n"/>
      <c r="G508" s="67" t="n"/>
      <c r="H508" s="67" t="n"/>
      <c r="I508" s="67" t="n"/>
      <c r="J508" s="67" t="n"/>
      <c r="K508" s="67" t="n"/>
      <c r="L508" s="67" t="n"/>
      <c r="M508" s="64" t="n"/>
      <c r="N508" s="84">
        <f>IF(A508="","",IFERROR(INDEX(Firms!$B$5:$B$1004,MATCH(A508,Firms!$A$5:$A$1004,0)),"Not on Firms tab"))</f>
        <v/>
      </c>
      <c r="O508" s="84">
        <f>IF(A508="","",IF(AND(D508&lt;&gt;"",D508&lt;TODAY()),"Expired",IF(AND(C508&lt;&gt;"",C508&gt;TODAY()),"Not yet effective",IF(C508="","No date",IF(TODAY()&gt;=EDATE(C508,Review_Months),"Review Due","Current")))))</f>
        <v/>
      </c>
      <c r="P508">
        <f>IF(A508="","",A508&amp;"|"&amp;B508)</f>
        <v/>
      </c>
      <c r="Q508">
        <f>IF(AND(A508&lt;&gt;"",A508='Firm Search'!$C$7),COUNTIF($A$5:A508,'Firm Search'!$C$7),"")</f>
        <v/>
      </c>
      <c r="R508">
        <f>IF(A508="","",COUNTIF($A$5:$A$1004,"&lt;"&amp;A508)+COUNTIF($A$5:A508,A508))</f>
        <v/>
      </c>
    </row>
    <row r="509">
      <c r="A509" s="64" t="n"/>
      <c r="B509" s="64" t="n"/>
      <c r="C509" s="66" t="n"/>
      <c r="D509" s="66" t="n"/>
      <c r="E509" s="67" t="n"/>
      <c r="F509" s="67" t="n"/>
      <c r="G509" s="67" t="n"/>
      <c r="H509" s="67" t="n"/>
      <c r="I509" s="67" t="n"/>
      <c r="J509" s="67" t="n"/>
      <c r="K509" s="67" t="n"/>
      <c r="L509" s="67" t="n"/>
      <c r="M509" s="64" t="n"/>
      <c r="N509" s="84">
        <f>IF(A509="","",IFERROR(INDEX(Firms!$B$5:$B$1004,MATCH(A509,Firms!$A$5:$A$1004,0)),"Not on Firms tab"))</f>
        <v/>
      </c>
      <c r="O509" s="84">
        <f>IF(A509="","",IF(AND(D509&lt;&gt;"",D509&lt;TODAY()),"Expired",IF(AND(C509&lt;&gt;"",C509&gt;TODAY()),"Not yet effective",IF(C509="","No date",IF(TODAY()&gt;=EDATE(C509,Review_Months),"Review Due","Current")))))</f>
        <v/>
      </c>
      <c r="P509">
        <f>IF(A509="","",A509&amp;"|"&amp;B509)</f>
        <v/>
      </c>
      <c r="Q509">
        <f>IF(AND(A509&lt;&gt;"",A509='Firm Search'!$C$7),COUNTIF($A$5:A509,'Firm Search'!$C$7),"")</f>
        <v/>
      </c>
      <c r="R509">
        <f>IF(A509="","",COUNTIF($A$5:$A$1004,"&lt;"&amp;A509)+COUNTIF($A$5:A509,A509))</f>
        <v/>
      </c>
    </row>
    <row r="510">
      <c r="A510" s="64" t="n"/>
      <c r="B510" s="64" t="n"/>
      <c r="C510" s="66" t="n"/>
      <c r="D510" s="66" t="n"/>
      <c r="E510" s="67" t="n"/>
      <c r="F510" s="67" t="n"/>
      <c r="G510" s="67" t="n"/>
      <c r="H510" s="67" t="n"/>
      <c r="I510" s="67" t="n"/>
      <c r="J510" s="67" t="n"/>
      <c r="K510" s="67" t="n"/>
      <c r="L510" s="67" t="n"/>
      <c r="M510" s="64" t="n"/>
      <c r="N510" s="84">
        <f>IF(A510="","",IFERROR(INDEX(Firms!$B$5:$B$1004,MATCH(A510,Firms!$A$5:$A$1004,0)),"Not on Firms tab"))</f>
        <v/>
      </c>
      <c r="O510" s="84">
        <f>IF(A510="","",IF(AND(D510&lt;&gt;"",D510&lt;TODAY()),"Expired",IF(AND(C510&lt;&gt;"",C510&gt;TODAY()),"Not yet effective",IF(C510="","No date",IF(TODAY()&gt;=EDATE(C510,Review_Months),"Review Due","Current")))))</f>
        <v/>
      </c>
      <c r="P510">
        <f>IF(A510="","",A510&amp;"|"&amp;B510)</f>
        <v/>
      </c>
      <c r="Q510">
        <f>IF(AND(A510&lt;&gt;"",A510='Firm Search'!$C$7),COUNTIF($A$5:A510,'Firm Search'!$C$7),"")</f>
        <v/>
      </c>
      <c r="R510">
        <f>IF(A510="","",COUNTIF($A$5:$A$1004,"&lt;"&amp;A510)+COUNTIF($A$5:A510,A510))</f>
        <v/>
      </c>
    </row>
    <row r="511">
      <c r="A511" s="64" t="n"/>
      <c r="B511" s="64" t="n"/>
      <c r="C511" s="66" t="n"/>
      <c r="D511" s="66" t="n"/>
      <c r="E511" s="67" t="n"/>
      <c r="F511" s="67" t="n"/>
      <c r="G511" s="67" t="n"/>
      <c r="H511" s="67" t="n"/>
      <c r="I511" s="67" t="n"/>
      <c r="J511" s="67" t="n"/>
      <c r="K511" s="67" t="n"/>
      <c r="L511" s="67" t="n"/>
      <c r="M511" s="64" t="n"/>
      <c r="N511" s="84">
        <f>IF(A511="","",IFERROR(INDEX(Firms!$B$5:$B$1004,MATCH(A511,Firms!$A$5:$A$1004,0)),"Not on Firms tab"))</f>
        <v/>
      </c>
      <c r="O511" s="84">
        <f>IF(A511="","",IF(AND(D511&lt;&gt;"",D511&lt;TODAY()),"Expired",IF(AND(C511&lt;&gt;"",C511&gt;TODAY()),"Not yet effective",IF(C511="","No date",IF(TODAY()&gt;=EDATE(C511,Review_Months),"Review Due","Current")))))</f>
        <v/>
      </c>
      <c r="P511">
        <f>IF(A511="","",A511&amp;"|"&amp;B511)</f>
        <v/>
      </c>
      <c r="Q511">
        <f>IF(AND(A511&lt;&gt;"",A511='Firm Search'!$C$7),COUNTIF($A$5:A511,'Firm Search'!$C$7),"")</f>
        <v/>
      </c>
      <c r="R511">
        <f>IF(A511="","",COUNTIF($A$5:$A$1004,"&lt;"&amp;A511)+COUNTIF($A$5:A511,A511))</f>
        <v/>
      </c>
    </row>
    <row r="512">
      <c r="A512" s="64" t="n"/>
      <c r="B512" s="64" t="n"/>
      <c r="C512" s="66" t="n"/>
      <c r="D512" s="66" t="n"/>
      <c r="E512" s="67" t="n"/>
      <c r="F512" s="67" t="n"/>
      <c r="G512" s="67" t="n"/>
      <c r="H512" s="67" t="n"/>
      <c r="I512" s="67" t="n"/>
      <c r="J512" s="67" t="n"/>
      <c r="K512" s="67" t="n"/>
      <c r="L512" s="67" t="n"/>
      <c r="M512" s="64" t="n"/>
      <c r="N512" s="84">
        <f>IF(A512="","",IFERROR(INDEX(Firms!$B$5:$B$1004,MATCH(A512,Firms!$A$5:$A$1004,0)),"Not on Firms tab"))</f>
        <v/>
      </c>
      <c r="O512" s="84">
        <f>IF(A512="","",IF(AND(D512&lt;&gt;"",D512&lt;TODAY()),"Expired",IF(AND(C512&lt;&gt;"",C512&gt;TODAY()),"Not yet effective",IF(C512="","No date",IF(TODAY()&gt;=EDATE(C512,Review_Months),"Review Due","Current")))))</f>
        <v/>
      </c>
      <c r="P512">
        <f>IF(A512="","",A512&amp;"|"&amp;B512)</f>
        <v/>
      </c>
      <c r="Q512">
        <f>IF(AND(A512&lt;&gt;"",A512='Firm Search'!$C$7),COUNTIF($A$5:A512,'Firm Search'!$C$7),"")</f>
        <v/>
      </c>
      <c r="R512">
        <f>IF(A512="","",COUNTIF($A$5:$A$1004,"&lt;"&amp;A512)+COUNTIF($A$5:A512,A512))</f>
        <v/>
      </c>
    </row>
    <row r="513">
      <c r="A513" s="64" t="n"/>
      <c r="B513" s="64" t="n"/>
      <c r="C513" s="66" t="n"/>
      <c r="D513" s="66" t="n"/>
      <c r="E513" s="67" t="n"/>
      <c r="F513" s="67" t="n"/>
      <c r="G513" s="67" t="n"/>
      <c r="H513" s="67" t="n"/>
      <c r="I513" s="67" t="n"/>
      <c r="J513" s="67" t="n"/>
      <c r="K513" s="67" t="n"/>
      <c r="L513" s="67" t="n"/>
      <c r="M513" s="64" t="n"/>
      <c r="N513" s="84">
        <f>IF(A513="","",IFERROR(INDEX(Firms!$B$5:$B$1004,MATCH(A513,Firms!$A$5:$A$1004,0)),"Not on Firms tab"))</f>
        <v/>
      </c>
      <c r="O513" s="84">
        <f>IF(A513="","",IF(AND(D513&lt;&gt;"",D513&lt;TODAY()),"Expired",IF(AND(C513&lt;&gt;"",C513&gt;TODAY()),"Not yet effective",IF(C513="","No date",IF(TODAY()&gt;=EDATE(C513,Review_Months),"Review Due","Current")))))</f>
        <v/>
      </c>
      <c r="P513">
        <f>IF(A513="","",A513&amp;"|"&amp;B513)</f>
        <v/>
      </c>
      <c r="Q513">
        <f>IF(AND(A513&lt;&gt;"",A513='Firm Search'!$C$7),COUNTIF($A$5:A513,'Firm Search'!$C$7),"")</f>
        <v/>
      </c>
      <c r="R513">
        <f>IF(A513="","",COUNTIF($A$5:$A$1004,"&lt;"&amp;A513)+COUNTIF($A$5:A513,A513))</f>
        <v/>
      </c>
    </row>
    <row r="514">
      <c r="A514" s="64" t="n"/>
      <c r="B514" s="64" t="n"/>
      <c r="C514" s="66" t="n"/>
      <c r="D514" s="66" t="n"/>
      <c r="E514" s="67" t="n"/>
      <c r="F514" s="67" t="n"/>
      <c r="G514" s="67" t="n"/>
      <c r="H514" s="67" t="n"/>
      <c r="I514" s="67" t="n"/>
      <c r="J514" s="67" t="n"/>
      <c r="K514" s="67" t="n"/>
      <c r="L514" s="67" t="n"/>
      <c r="M514" s="64" t="n"/>
      <c r="N514" s="84">
        <f>IF(A514="","",IFERROR(INDEX(Firms!$B$5:$B$1004,MATCH(A514,Firms!$A$5:$A$1004,0)),"Not on Firms tab"))</f>
        <v/>
      </c>
      <c r="O514" s="84">
        <f>IF(A514="","",IF(AND(D514&lt;&gt;"",D514&lt;TODAY()),"Expired",IF(AND(C514&lt;&gt;"",C514&gt;TODAY()),"Not yet effective",IF(C514="","No date",IF(TODAY()&gt;=EDATE(C514,Review_Months),"Review Due","Current")))))</f>
        <v/>
      </c>
      <c r="P514">
        <f>IF(A514="","",A514&amp;"|"&amp;B514)</f>
        <v/>
      </c>
      <c r="Q514">
        <f>IF(AND(A514&lt;&gt;"",A514='Firm Search'!$C$7),COUNTIF($A$5:A514,'Firm Search'!$C$7),"")</f>
        <v/>
      </c>
      <c r="R514">
        <f>IF(A514="","",COUNTIF($A$5:$A$1004,"&lt;"&amp;A514)+COUNTIF($A$5:A514,A514))</f>
        <v/>
      </c>
    </row>
    <row r="515">
      <c r="A515" s="64" t="n"/>
      <c r="B515" s="64" t="n"/>
      <c r="C515" s="66" t="n"/>
      <c r="D515" s="66" t="n"/>
      <c r="E515" s="67" t="n"/>
      <c r="F515" s="67" t="n"/>
      <c r="G515" s="67" t="n"/>
      <c r="H515" s="67" t="n"/>
      <c r="I515" s="67" t="n"/>
      <c r="J515" s="67" t="n"/>
      <c r="K515" s="67" t="n"/>
      <c r="L515" s="67" t="n"/>
      <c r="M515" s="64" t="n"/>
      <c r="N515" s="84">
        <f>IF(A515="","",IFERROR(INDEX(Firms!$B$5:$B$1004,MATCH(A515,Firms!$A$5:$A$1004,0)),"Not on Firms tab"))</f>
        <v/>
      </c>
      <c r="O515" s="84">
        <f>IF(A515="","",IF(AND(D515&lt;&gt;"",D515&lt;TODAY()),"Expired",IF(AND(C515&lt;&gt;"",C515&gt;TODAY()),"Not yet effective",IF(C515="","No date",IF(TODAY()&gt;=EDATE(C515,Review_Months),"Review Due","Current")))))</f>
        <v/>
      </c>
      <c r="P515">
        <f>IF(A515="","",A515&amp;"|"&amp;B515)</f>
        <v/>
      </c>
      <c r="Q515">
        <f>IF(AND(A515&lt;&gt;"",A515='Firm Search'!$C$7),COUNTIF($A$5:A515,'Firm Search'!$C$7),"")</f>
        <v/>
      </c>
      <c r="R515">
        <f>IF(A515="","",COUNTIF($A$5:$A$1004,"&lt;"&amp;A515)+COUNTIF($A$5:A515,A515))</f>
        <v/>
      </c>
    </row>
    <row r="516">
      <c r="A516" s="64" t="n"/>
      <c r="B516" s="64" t="n"/>
      <c r="C516" s="66" t="n"/>
      <c r="D516" s="66" t="n"/>
      <c r="E516" s="67" t="n"/>
      <c r="F516" s="67" t="n"/>
      <c r="G516" s="67" t="n"/>
      <c r="H516" s="67" t="n"/>
      <c r="I516" s="67" t="n"/>
      <c r="J516" s="67" t="n"/>
      <c r="K516" s="67" t="n"/>
      <c r="L516" s="67" t="n"/>
      <c r="M516" s="64" t="n"/>
      <c r="N516" s="84">
        <f>IF(A516="","",IFERROR(INDEX(Firms!$B$5:$B$1004,MATCH(A516,Firms!$A$5:$A$1004,0)),"Not on Firms tab"))</f>
        <v/>
      </c>
      <c r="O516" s="84">
        <f>IF(A516="","",IF(AND(D516&lt;&gt;"",D516&lt;TODAY()),"Expired",IF(AND(C516&lt;&gt;"",C516&gt;TODAY()),"Not yet effective",IF(C516="","No date",IF(TODAY()&gt;=EDATE(C516,Review_Months),"Review Due","Current")))))</f>
        <v/>
      </c>
      <c r="P516">
        <f>IF(A516="","",A516&amp;"|"&amp;B516)</f>
        <v/>
      </c>
      <c r="Q516">
        <f>IF(AND(A516&lt;&gt;"",A516='Firm Search'!$C$7),COUNTIF($A$5:A516,'Firm Search'!$C$7),"")</f>
        <v/>
      </c>
      <c r="R516">
        <f>IF(A516="","",COUNTIF($A$5:$A$1004,"&lt;"&amp;A516)+COUNTIF($A$5:A516,A516))</f>
        <v/>
      </c>
    </row>
    <row r="517">
      <c r="A517" s="64" t="n"/>
      <c r="B517" s="64" t="n"/>
      <c r="C517" s="66" t="n"/>
      <c r="D517" s="66" t="n"/>
      <c r="E517" s="67" t="n"/>
      <c r="F517" s="67" t="n"/>
      <c r="G517" s="67" t="n"/>
      <c r="H517" s="67" t="n"/>
      <c r="I517" s="67" t="n"/>
      <c r="J517" s="67" t="n"/>
      <c r="K517" s="67" t="n"/>
      <c r="L517" s="67" t="n"/>
      <c r="M517" s="64" t="n"/>
      <c r="N517" s="84">
        <f>IF(A517="","",IFERROR(INDEX(Firms!$B$5:$B$1004,MATCH(A517,Firms!$A$5:$A$1004,0)),"Not on Firms tab"))</f>
        <v/>
      </c>
      <c r="O517" s="84">
        <f>IF(A517="","",IF(AND(D517&lt;&gt;"",D517&lt;TODAY()),"Expired",IF(AND(C517&lt;&gt;"",C517&gt;TODAY()),"Not yet effective",IF(C517="","No date",IF(TODAY()&gt;=EDATE(C517,Review_Months),"Review Due","Current")))))</f>
        <v/>
      </c>
      <c r="P517">
        <f>IF(A517="","",A517&amp;"|"&amp;B517)</f>
        <v/>
      </c>
      <c r="Q517">
        <f>IF(AND(A517&lt;&gt;"",A517='Firm Search'!$C$7),COUNTIF($A$5:A517,'Firm Search'!$C$7),"")</f>
        <v/>
      </c>
      <c r="R517">
        <f>IF(A517="","",COUNTIF($A$5:$A$1004,"&lt;"&amp;A517)+COUNTIF($A$5:A517,A517))</f>
        <v/>
      </c>
    </row>
    <row r="518">
      <c r="A518" s="64" t="n"/>
      <c r="B518" s="64" t="n"/>
      <c r="C518" s="66" t="n"/>
      <c r="D518" s="66" t="n"/>
      <c r="E518" s="67" t="n"/>
      <c r="F518" s="67" t="n"/>
      <c r="G518" s="67" t="n"/>
      <c r="H518" s="67" t="n"/>
      <c r="I518" s="67" t="n"/>
      <c r="J518" s="67" t="n"/>
      <c r="K518" s="67" t="n"/>
      <c r="L518" s="67" t="n"/>
      <c r="M518" s="64" t="n"/>
      <c r="N518" s="84">
        <f>IF(A518="","",IFERROR(INDEX(Firms!$B$5:$B$1004,MATCH(A518,Firms!$A$5:$A$1004,0)),"Not on Firms tab"))</f>
        <v/>
      </c>
      <c r="O518" s="84">
        <f>IF(A518="","",IF(AND(D518&lt;&gt;"",D518&lt;TODAY()),"Expired",IF(AND(C518&lt;&gt;"",C518&gt;TODAY()),"Not yet effective",IF(C518="","No date",IF(TODAY()&gt;=EDATE(C518,Review_Months),"Review Due","Current")))))</f>
        <v/>
      </c>
      <c r="P518">
        <f>IF(A518="","",A518&amp;"|"&amp;B518)</f>
        <v/>
      </c>
      <c r="Q518">
        <f>IF(AND(A518&lt;&gt;"",A518='Firm Search'!$C$7),COUNTIF($A$5:A518,'Firm Search'!$C$7),"")</f>
        <v/>
      </c>
      <c r="R518">
        <f>IF(A518="","",COUNTIF($A$5:$A$1004,"&lt;"&amp;A518)+COUNTIF($A$5:A518,A518))</f>
        <v/>
      </c>
    </row>
    <row r="519">
      <c r="A519" s="64" t="n"/>
      <c r="B519" s="64" t="n"/>
      <c r="C519" s="66" t="n"/>
      <c r="D519" s="66" t="n"/>
      <c r="E519" s="67" t="n"/>
      <c r="F519" s="67" t="n"/>
      <c r="G519" s="67" t="n"/>
      <c r="H519" s="67" t="n"/>
      <c r="I519" s="67" t="n"/>
      <c r="J519" s="67" t="n"/>
      <c r="K519" s="67" t="n"/>
      <c r="L519" s="67" t="n"/>
      <c r="M519" s="64" t="n"/>
      <c r="N519" s="84">
        <f>IF(A519="","",IFERROR(INDEX(Firms!$B$5:$B$1004,MATCH(A519,Firms!$A$5:$A$1004,0)),"Not on Firms tab"))</f>
        <v/>
      </c>
      <c r="O519" s="84">
        <f>IF(A519="","",IF(AND(D519&lt;&gt;"",D519&lt;TODAY()),"Expired",IF(AND(C519&lt;&gt;"",C519&gt;TODAY()),"Not yet effective",IF(C519="","No date",IF(TODAY()&gt;=EDATE(C519,Review_Months),"Review Due","Current")))))</f>
        <v/>
      </c>
      <c r="P519">
        <f>IF(A519="","",A519&amp;"|"&amp;B519)</f>
        <v/>
      </c>
      <c r="Q519">
        <f>IF(AND(A519&lt;&gt;"",A519='Firm Search'!$C$7),COUNTIF($A$5:A519,'Firm Search'!$C$7),"")</f>
        <v/>
      </c>
      <c r="R519">
        <f>IF(A519="","",COUNTIF($A$5:$A$1004,"&lt;"&amp;A519)+COUNTIF($A$5:A519,A519))</f>
        <v/>
      </c>
    </row>
    <row r="520">
      <c r="A520" s="64" t="n"/>
      <c r="B520" s="64" t="n"/>
      <c r="C520" s="66" t="n"/>
      <c r="D520" s="66" t="n"/>
      <c r="E520" s="67" t="n"/>
      <c r="F520" s="67" t="n"/>
      <c r="G520" s="67" t="n"/>
      <c r="H520" s="67" t="n"/>
      <c r="I520" s="67" t="n"/>
      <c r="J520" s="67" t="n"/>
      <c r="K520" s="67" t="n"/>
      <c r="L520" s="67" t="n"/>
      <c r="M520" s="64" t="n"/>
      <c r="N520" s="84">
        <f>IF(A520="","",IFERROR(INDEX(Firms!$B$5:$B$1004,MATCH(A520,Firms!$A$5:$A$1004,0)),"Not on Firms tab"))</f>
        <v/>
      </c>
      <c r="O520" s="84">
        <f>IF(A520="","",IF(AND(D520&lt;&gt;"",D520&lt;TODAY()),"Expired",IF(AND(C520&lt;&gt;"",C520&gt;TODAY()),"Not yet effective",IF(C520="","No date",IF(TODAY()&gt;=EDATE(C520,Review_Months),"Review Due","Current")))))</f>
        <v/>
      </c>
      <c r="P520">
        <f>IF(A520="","",A520&amp;"|"&amp;B520)</f>
        <v/>
      </c>
      <c r="Q520">
        <f>IF(AND(A520&lt;&gt;"",A520='Firm Search'!$C$7),COUNTIF($A$5:A520,'Firm Search'!$C$7),"")</f>
        <v/>
      </c>
      <c r="R520">
        <f>IF(A520="","",COUNTIF($A$5:$A$1004,"&lt;"&amp;A520)+COUNTIF($A$5:A520,A520))</f>
        <v/>
      </c>
    </row>
    <row r="521">
      <c r="A521" s="64" t="n"/>
      <c r="B521" s="64" t="n"/>
      <c r="C521" s="66" t="n"/>
      <c r="D521" s="66" t="n"/>
      <c r="E521" s="67" t="n"/>
      <c r="F521" s="67" t="n"/>
      <c r="G521" s="67" t="n"/>
      <c r="H521" s="67" t="n"/>
      <c r="I521" s="67" t="n"/>
      <c r="J521" s="67" t="n"/>
      <c r="K521" s="67" t="n"/>
      <c r="L521" s="67" t="n"/>
      <c r="M521" s="64" t="n"/>
      <c r="N521" s="84">
        <f>IF(A521="","",IFERROR(INDEX(Firms!$B$5:$B$1004,MATCH(A521,Firms!$A$5:$A$1004,0)),"Not on Firms tab"))</f>
        <v/>
      </c>
      <c r="O521" s="84">
        <f>IF(A521="","",IF(AND(D521&lt;&gt;"",D521&lt;TODAY()),"Expired",IF(AND(C521&lt;&gt;"",C521&gt;TODAY()),"Not yet effective",IF(C521="","No date",IF(TODAY()&gt;=EDATE(C521,Review_Months),"Review Due","Current")))))</f>
        <v/>
      </c>
      <c r="P521">
        <f>IF(A521="","",A521&amp;"|"&amp;B521)</f>
        <v/>
      </c>
      <c r="Q521">
        <f>IF(AND(A521&lt;&gt;"",A521='Firm Search'!$C$7),COUNTIF($A$5:A521,'Firm Search'!$C$7),"")</f>
        <v/>
      </c>
      <c r="R521">
        <f>IF(A521="","",COUNTIF($A$5:$A$1004,"&lt;"&amp;A521)+COUNTIF($A$5:A521,A521))</f>
        <v/>
      </c>
    </row>
    <row r="522">
      <c r="A522" s="64" t="n"/>
      <c r="B522" s="64" t="n"/>
      <c r="C522" s="66" t="n"/>
      <c r="D522" s="66" t="n"/>
      <c r="E522" s="67" t="n"/>
      <c r="F522" s="67" t="n"/>
      <c r="G522" s="67" t="n"/>
      <c r="H522" s="67" t="n"/>
      <c r="I522" s="67" t="n"/>
      <c r="J522" s="67" t="n"/>
      <c r="K522" s="67" t="n"/>
      <c r="L522" s="67" t="n"/>
      <c r="M522" s="64" t="n"/>
      <c r="N522" s="84">
        <f>IF(A522="","",IFERROR(INDEX(Firms!$B$5:$B$1004,MATCH(A522,Firms!$A$5:$A$1004,0)),"Not on Firms tab"))</f>
        <v/>
      </c>
      <c r="O522" s="84">
        <f>IF(A522="","",IF(AND(D522&lt;&gt;"",D522&lt;TODAY()),"Expired",IF(AND(C522&lt;&gt;"",C522&gt;TODAY()),"Not yet effective",IF(C522="","No date",IF(TODAY()&gt;=EDATE(C522,Review_Months),"Review Due","Current")))))</f>
        <v/>
      </c>
      <c r="P522">
        <f>IF(A522="","",A522&amp;"|"&amp;B522)</f>
        <v/>
      </c>
      <c r="Q522">
        <f>IF(AND(A522&lt;&gt;"",A522='Firm Search'!$C$7),COUNTIF($A$5:A522,'Firm Search'!$C$7),"")</f>
        <v/>
      </c>
      <c r="R522">
        <f>IF(A522="","",COUNTIF($A$5:$A$1004,"&lt;"&amp;A522)+COUNTIF($A$5:A522,A522))</f>
        <v/>
      </c>
    </row>
    <row r="523">
      <c r="A523" s="64" t="n"/>
      <c r="B523" s="64" t="n"/>
      <c r="C523" s="66" t="n"/>
      <c r="D523" s="66" t="n"/>
      <c r="E523" s="67" t="n"/>
      <c r="F523" s="67" t="n"/>
      <c r="G523" s="67" t="n"/>
      <c r="H523" s="67" t="n"/>
      <c r="I523" s="67" t="n"/>
      <c r="J523" s="67" t="n"/>
      <c r="K523" s="67" t="n"/>
      <c r="L523" s="67" t="n"/>
      <c r="M523" s="64" t="n"/>
      <c r="N523" s="84">
        <f>IF(A523="","",IFERROR(INDEX(Firms!$B$5:$B$1004,MATCH(A523,Firms!$A$5:$A$1004,0)),"Not on Firms tab"))</f>
        <v/>
      </c>
      <c r="O523" s="84">
        <f>IF(A523="","",IF(AND(D523&lt;&gt;"",D523&lt;TODAY()),"Expired",IF(AND(C523&lt;&gt;"",C523&gt;TODAY()),"Not yet effective",IF(C523="","No date",IF(TODAY()&gt;=EDATE(C523,Review_Months),"Review Due","Current")))))</f>
        <v/>
      </c>
      <c r="P523">
        <f>IF(A523="","",A523&amp;"|"&amp;B523)</f>
        <v/>
      </c>
      <c r="Q523">
        <f>IF(AND(A523&lt;&gt;"",A523='Firm Search'!$C$7),COUNTIF($A$5:A523,'Firm Search'!$C$7),"")</f>
        <v/>
      </c>
      <c r="R523">
        <f>IF(A523="","",COUNTIF($A$5:$A$1004,"&lt;"&amp;A523)+COUNTIF($A$5:A523,A523))</f>
        <v/>
      </c>
    </row>
    <row r="524">
      <c r="A524" s="64" t="n"/>
      <c r="B524" s="64" t="n"/>
      <c r="C524" s="66" t="n"/>
      <c r="D524" s="66" t="n"/>
      <c r="E524" s="67" t="n"/>
      <c r="F524" s="67" t="n"/>
      <c r="G524" s="67" t="n"/>
      <c r="H524" s="67" t="n"/>
      <c r="I524" s="67" t="n"/>
      <c r="J524" s="67" t="n"/>
      <c r="K524" s="67" t="n"/>
      <c r="L524" s="67" t="n"/>
      <c r="M524" s="64" t="n"/>
      <c r="N524" s="84">
        <f>IF(A524="","",IFERROR(INDEX(Firms!$B$5:$B$1004,MATCH(A524,Firms!$A$5:$A$1004,0)),"Not on Firms tab"))</f>
        <v/>
      </c>
      <c r="O524" s="84">
        <f>IF(A524="","",IF(AND(D524&lt;&gt;"",D524&lt;TODAY()),"Expired",IF(AND(C524&lt;&gt;"",C524&gt;TODAY()),"Not yet effective",IF(C524="","No date",IF(TODAY()&gt;=EDATE(C524,Review_Months),"Review Due","Current")))))</f>
        <v/>
      </c>
      <c r="P524">
        <f>IF(A524="","",A524&amp;"|"&amp;B524)</f>
        <v/>
      </c>
      <c r="Q524">
        <f>IF(AND(A524&lt;&gt;"",A524='Firm Search'!$C$7),COUNTIF($A$5:A524,'Firm Search'!$C$7),"")</f>
        <v/>
      </c>
      <c r="R524">
        <f>IF(A524="","",COUNTIF($A$5:$A$1004,"&lt;"&amp;A524)+COUNTIF($A$5:A524,A524))</f>
        <v/>
      </c>
    </row>
    <row r="525">
      <c r="A525" s="64" t="n"/>
      <c r="B525" s="64" t="n"/>
      <c r="C525" s="66" t="n"/>
      <c r="D525" s="66" t="n"/>
      <c r="E525" s="67" t="n"/>
      <c r="F525" s="67" t="n"/>
      <c r="G525" s="67" t="n"/>
      <c r="H525" s="67" t="n"/>
      <c r="I525" s="67" t="n"/>
      <c r="J525" s="67" t="n"/>
      <c r="K525" s="67" t="n"/>
      <c r="L525" s="67" t="n"/>
      <c r="M525" s="64" t="n"/>
      <c r="N525" s="84">
        <f>IF(A525="","",IFERROR(INDEX(Firms!$B$5:$B$1004,MATCH(A525,Firms!$A$5:$A$1004,0)),"Not on Firms tab"))</f>
        <v/>
      </c>
      <c r="O525" s="84">
        <f>IF(A525="","",IF(AND(D525&lt;&gt;"",D525&lt;TODAY()),"Expired",IF(AND(C525&lt;&gt;"",C525&gt;TODAY()),"Not yet effective",IF(C525="","No date",IF(TODAY()&gt;=EDATE(C525,Review_Months),"Review Due","Current")))))</f>
        <v/>
      </c>
      <c r="P525">
        <f>IF(A525="","",A525&amp;"|"&amp;B525)</f>
        <v/>
      </c>
      <c r="Q525">
        <f>IF(AND(A525&lt;&gt;"",A525='Firm Search'!$C$7),COUNTIF($A$5:A525,'Firm Search'!$C$7),"")</f>
        <v/>
      </c>
      <c r="R525">
        <f>IF(A525="","",COUNTIF($A$5:$A$1004,"&lt;"&amp;A525)+COUNTIF($A$5:A525,A525))</f>
        <v/>
      </c>
    </row>
    <row r="526">
      <c r="A526" s="64" t="n"/>
      <c r="B526" s="64" t="n"/>
      <c r="C526" s="66" t="n"/>
      <c r="D526" s="66" t="n"/>
      <c r="E526" s="67" t="n"/>
      <c r="F526" s="67" t="n"/>
      <c r="G526" s="67" t="n"/>
      <c r="H526" s="67" t="n"/>
      <c r="I526" s="67" t="n"/>
      <c r="J526" s="67" t="n"/>
      <c r="K526" s="67" t="n"/>
      <c r="L526" s="67" t="n"/>
      <c r="M526" s="64" t="n"/>
      <c r="N526" s="84">
        <f>IF(A526="","",IFERROR(INDEX(Firms!$B$5:$B$1004,MATCH(A526,Firms!$A$5:$A$1004,0)),"Not on Firms tab"))</f>
        <v/>
      </c>
      <c r="O526" s="84">
        <f>IF(A526="","",IF(AND(D526&lt;&gt;"",D526&lt;TODAY()),"Expired",IF(AND(C526&lt;&gt;"",C526&gt;TODAY()),"Not yet effective",IF(C526="","No date",IF(TODAY()&gt;=EDATE(C526,Review_Months),"Review Due","Current")))))</f>
        <v/>
      </c>
      <c r="P526">
        <f>IF(A526="","",A526&amp;"|"&amp;B526)</f>
        <v/>
      </c>
      <c r="Q526">
        <f>IF(AND(A526&lt;&gt;"",A526='Firm Search'!$C$7),COUNTIF($A$5:A526,'Firm Search'!$C$7),"")</f>
        <v/>
      </c>
      <c r="R526">
        <f>IF(A526="","",COUNTIF($A$5:$A$1004,"&lt;"&amp;A526)+COUNTIF($A$5:A526,A526))</f>
        <v/>
      </c>
    </row>
    <row r="527">
      <c r="A527" s="64" t="n"/>
      <c r="B527" s="64" t="n"/>
      <c r="C527" s="66" t="n"/>
      <c r="D527" s="66" t="n"/>
      <c r="E527" s="67" t="n"/>
      <c r="F527" s="67" t="n"/>
      <c r="G527" s="67" t="n"/>
      <c r="H527" s="67" t="n"/>
      <c r="I527" s="67" t="n"/>
      <c r="J527" s="67" t="n"/>
      <c r="K527" s="67" t="n"/>
      <c r="L527" s="67" t="n"/>
      <c r="M527" s="64" t="n"/>
      <c r="N527" s="84">
        <f>IF(A527="","",IFERROR(INDEX(Firms!$B$5:$B$1004,MATCH(A527,Firms!$A$5:$A$1004,0)),"Not on Firms tab"))</f>
        <v/>
      </c>
      <c r="O527" s="84">
        <f>IF(A527="","",IF(AND(D527&lt;&gt;"",D527&lt;TODAY()),"Expired",IF(AND(C527&lt;&gt;"",C527&gt;TODAY()),"Not yet effective",IF(C527="","No date",IF(TODAY()&gt;=EDATE(C527,Review_Months),"Review Due","Current")))))</f>
        <v/>
      </c>
      <c r="P527">
        <f>IF(A527="","",A527&amp;"|"&amp;B527)</f>
        <v/>
      </c>
      <c r="Q527">
        <f>IF(AND(A527&lt;&gt;"",A527='Firm Search'!$C$7),COUNTIF($A$5:A527,'Firm Search'!$C$7),"")</f>
        <v/>
      </c>
      <c r="R527">
        <f>IF(A527="","",COUNTIF($A$5:$A$1004,"&lt;"&amp;A527)+COUNTIF($A$5:A527,A527))</f>
        <v/>
      </c>
    </row>
    <row r="528">
      <c r="A528" s="64" t="n"/>
      <c r="B528" s="64" t="n"/>
      <c r="C528" s="66" t="n"/>
      <c r="D528" s="66" t="n"/>
      <c r="E528" s="67" t="n"/>
      <c r="F528" s="67" t="n"/>
      <c r="G528" s="67" t="n"/>
      <c r="H528" s="67" t="n"/>
      <c r="I528" s="67" t="n"/>
      <c r="J528" s="67" t="n"/>
      <c r="K528" s="67" t="n"/>
      <c r="L528" s="67" t="n"/>
      <c r="M528" s="64" t="n"/>
      <c r="N528" s="84">
        <f>IF(A528="","",IFERROR(INDEX(Firms!$B$5:$B$1004,MATCH(A528,Firms!$A$5:$A$1004,0)),"Not on Firms tab"))</f>
        <v/>
      </c>
      <c r="O528" s="84">
        <f>IF(A528="","",IF(AND(D528&lt;&gt;"",D528&lt;TODAY()),"Expired",IF(AND(C528&lt;&gt;"",C528&gt;TODAY()),"Not yet effective",IF(C528="","No date",IF(TODAY()&gt;=EDATE(C528,Review_Months),"Review Due","Current")))))</f>
        <v/>
      </c>
      <c r="P528">
        <f>IF(A528="","",A528&amp;"|"&amp;B528)</f>
        <v/>
      </c>
      <c r="Q528">
        <f>IF(AND(A528&lt;&gt;"",A528='Firm Search'!$C$7),COUNTIF($A$5:A528,'Firm Search'!$C$7),"")</f>
        <v/>
      </c>
      <c r="R528">
        <f>IF(A528="","",COUNTIF($A$5:$A$1004,"&lt;"&amp;A528)+COUNTIF($A$5:A528,A528))</f>
        <v/>
      </c>
    </row>
    <row r="529">
      <c r="A529" s="64" t="n"/>
      <c r="B529" s="64" t="n"/>
      <c r="C529" s="66" t="n"/>
      <c r="D529" s="66" t="n"/>
      <c r="E529" s="67" t="n"/>
      <c r="F529" s="67" t="n"/>
      <c r="G529" s="67" t="n"/>
      <c r="H529" s="67" t="n"/>
      <c r="I529" s="67" t="n"/>
      <c r="J529" s="67" t="n"/>
      <c r="K529" s="67" t="n"/>
      <c r="L529" s="67" t="n"/>
      <c r="M529" s="64" t="n"/>
      <c r="N529" s="84">
        <f>IF(A529="","",IFERROR(INDEX(Firms!$B$5:$B$1004,MATCH(A529,Firms!$A$5:$A$1004,0)),"Not on Firms tab"))</f>
        <v/>
      </c>
      <c r="O529" s="84">
        <f>IF(A529="","",IF(AND(D529&lt;&gt;"",D529&lt;TODAY()),"Expired",IF(AND(C529&lt;&gt;"",C529&gt;TODAY()),"Not yet effective",IF(C529="","No date",IF(TODAY()&gt;=EDATE(C529,Review_Months),"Review Due","Current")))))</f>
        <v/>
      </c>
      <c r="P529">
        <f>IF(A529="","",A529&amp;"|"&amp;B529)</f>
        <v/>
      </c>
      <c r="Q529">
        <f>IF(AND(A529&lt;&gt;"",A529='Firm Search'!$C$7),COUNTIF($A$5:A529,'Firm Search'!$C$7),"")</f>
        <v/>
      </c>
      <c r="R529">
        <f>IF(A529="","",COUNTIF($A$5:$A$1004,"&lt;"&amp;A529)+COUNTIF($A$5:A529,A529))</f>
        <v/>
      </c>
    </row>
    <row r="530">
      <c r="A530" s="64" t="n"/>
      <c r="B530" s="64" t="n"/>
      <c r="C530" s="66" t="n"/>
      <c r="D530" s="66" t="n"/>
      <c r="E530" s="67" t="n"/>
      <c r="F530" s="67" t="n"/>
      <c r="G530" s="67" t="n"/>
      <c r="H530" s="67" t="n"/>
      <c r="I530" s="67" t="n"/>
      <c r="J530" s="67" t="n"/>
      <c r="K530" s="67" t="n"/>
      <c r="L530" s="67" t="n"/>
      <c r="M530" s="64" t="n"/>
      <c r="N530" s="84">
        <f>IF(A530="","",IFERROR(INDEX(Firms!$B$5:$B$1004,MATCH(A530,Firms!$A$5:$A$1004,0)),"Not on Firms tab"))</f>
        <v/>
      </c>
      <c r="O530" s="84">
        <f>IF(A530="","",IF(AND(D530&lt;&gt;"",D530&lt;TODAY()),"Expired",IF(AND(C530&lt;&gt;"",C530&gt;TODAY()),"Not yet effective",IF(C530="","No date",IF(TODAY()&gt;=EDATE(C530,Review_Months),"Review Due","Current")))))</f>
        <v/>
      </c>
      <c r="P530">
        <f>IF(A530="","",A530&amp;"|"&amp;B530)</f>
        <v/>
      </c>
      <c r="Q530">
        <f>IF(AND(A530&lt;&gt;"",A530='Firm Search'!$C$7),COUNTIF($A$5:A530,'Firm Search'!$C$7),"")</f>
        <v/>
      </c>
      <c r="R530">
        <f>IF(A530="","",COUNTIF($A$5:$A$1004,"&lt;"&amp;A530)+COUNTIF($A$5:A530,A530))</f>
        <v/>
      </c>
    </row>
    <row r="531">
      <c r="A531" s="64" t="n"/>
      <c r="B531" s="64" t="n"/>
      <c r="C531" s="66" t="n"/>
      <c r="D531" s="66" t="n"/>
      <c r="E531" s="67" t="n"/>
      <c r="F531" s="67" t="n"/>
      <c r="G531" s="67" t="n"/>
      <c r="H531" s="67" t="n"/>
      <c r="I531" s="67" t="n"/>
      <c r="J531" s="67" t="n"/>
      <c r="K531" s="67" t="n"/>
      <c r="L531" s="67" t="n"/>
      <c r="M531" s="64" t="n"/>
      <c r="N531" s="84">
        <f>IF(A531="","",IFERROR(INDEX(Firms!$B$5:$B$1004,MATCH(A531,Firms!$A$5:$A$1004,0)),"Not on Firms tab"))</f>
        <v/>
      </c>
      <c r="O531" s="84">
        <f>IF(A531="","",IF(AND(D531&lt;&gt;"",D531&lt;TODAY()),"Expired",IF(AND(C531&lt;&gt;"",C531&gt;TODAY()),"Not yet effective",IF(C531="","No date",IF(TODAY()&gt;=EDATE(C531,Review_Months),"Review Due","Current")))))</f>
        <v/>
      </c>
      <c r="P531">
        <f>IF(A531="","",A531&amp;"|"&amp;B531)</f>
        <v/>
      </c>
      <c r="Q531">
        <f>IF(AND(A531&lt;&gt;"",A531='Firm Search'!$C$7),COUNTIF($A$5:A531,'Firm Search'!$C$7),"")</f>
        <v/>
      </c>
      <c r="R531">
        <f>IF(A531="","",COUNTIF($A$5:$A$1004,"&lt;"&amp;A531)+COUNTIF($A$5:A531,A531))</f>
        <v/>
      </c>
    </row>
    <row r="532">
      <c r="A532" s="64" t="n"/>
      <c r="B532" s="64" t="n"/>
      <c r="C532" s="66" t="n"/>
      <c r="D532" s="66" t="n"/>
      <c r="E532" s="67" t="n"/>
      <c r="F532" s="67" t="n"/>
      <c r="G532" s="67" t="n"/>
      <c r="H532" s="67" t="n"/>
      <c r="I532" s="67" t="n"/>
      <c r="J532" s="67" t="n"/>
      <c r="K532" s="67" t="n"/>
      <c r="L532" s="67" t="n"/>
      <c r="M532" s="64" t="n"/>
      <c r="N532" s="84">
        <f>IF(A532="","",IFERROR(INDEX(Firms!$B$5:$B$1004,MATCH(A532,Firms!$A$5:$A$1004,0)),"Not on Firms tab"))</f>
        <v/>
      </c>
      <c r="O532" s="84">
        <f>IF(A532="","",IF(AND(D532&lt;&gt;"",D532&lt;TODAY()),"Expired",IF(AND(C532&lt;&gt;"",C532&gt;TODAY()),"Not yet effective",IF(C532="","No date",IF(TODAY()&gt;=EDATE(C532,Review_Months),"Review Due","Current")))))</f>
        <v/>
      </c>
      <c r="P532">
        <f>IF(A532="","",A532&amp;"|"&amp;B532)</f>
        <v/>
      </c>
      <c r="Q532">
        <f>IF(AND(A532&lt;&gt;"",A532='Firm Search'!$C$7),COUNTIF($A$5:A532,'Firm Search'!$C$7),"")</f>
        <v/>
      </c>
      <c r="R532">
        <f>IF(A532="","",COUNTIF($A$5:$A$1004,"&lt;"&amp;A532)+COUNTIF($A$5:A532,A532))</f>
        <v/>
      </c>
    </row>
    <row r="533">
      <c r="A533" s="64" t="n"/>
      <c r="B533" s="64" t="n"/>
      <c r="C533" s="66" t="n"/>
      <c r="D533" s="66" t="n"/>
      <c r="E533" s="67" t="n"/>
      <c r="F533" s="67" t="n"/>
      <c r="G533" s="67" t="n"/>
      <c r="H533" s="67" t="n"/>
      <c r="I533" s="67" t="n"/>
      <c r="J533" s="67" t="n"/>
      <c r="K533" s="67" t="n"/>
      <c r="L533" s="67" t="n"/>
      <c r="M533" s="64" t="n"/>
      <c r="N533" s="84">
        <f>IF(A533="","",IFERROR(INDEX(Firms!$B$5:$B$1004,MATCH(A533,Firms!$A$5:$A$1004,0)),"Not on Firms tab"))</f>
        <v/>
      </c>
      <c r="O533" s="84">
        <f>IF(A533="","",IF(AND(D533&lt;&gt;"",D533&lt;TODAY()),"Expired",IF(AND(C533&lt;&gt;"",C533&gt;TODAY()),"Not yet effective",IF(C533="","No date",IF(TODAY()&gt;=EDATE(C533,Review_Months),"Review Due","Current")))))</f>
        <v/>
      </c>
      <c r="P533">
        <f>IF(A533="","",A533&amp;"|"&amp;B533)</f>
        <v/>
      </c>
      <c r="Q533">
        <f>IF(AND(A533&lt;&gt;"",A533='Firm Search'!$C$7),COUNTIF($A$5:A533,'Firm Search'!$C$7),"")</f>
        <v/>
      </c>
      <c r="R533">
        <f>IF(A533="","",COUNTIF($A$5:$A$1004,"&lt;"&amp;A533)+COUNTIF($A$5:A533,A533))</f>
        <v/>
      </c>
    </row>
    <row r="534">
      <c r="A534" s="64" t="n"/>
      <c r="B534" s="64" t="n"/>
      <c r="C534" s="66" t="n"/>
      <c r="D534" s="66" t="n"/>
      <c r="E534" s="67" t="n"/>
      <c r="F534" s="67" t="n"/>
      <c r="G534" s="67" t="n"/>
      <c r="H534" s="67" t="n"/>
      <c r="I534" s="67" t="n"/>
      <c r="J534" s="67" t="n"/>
      <c r="K534" s="67" t="n"/>
      <c r="L534" s="67" t="n"/>
      <c r="M534" s="64" t="n"/>
      <c r="N534" s="84">
        <f>IF(A534="","",IFERROR(INDEX(Firms!$B$5:$B$1004,MATCH(A534,Firms!$A$5:$A$1004,0)),"Not on Firms tab"))</f>
        <v/>
      </c>
      <c r="O534" s="84">
        <f>IF(A534="","",IF(AND(D534&lt;&gt;"",D534&lt;TODAY()),"Expired",IF(AND(C534&lt;&gt;"",C534&gt;TODAY()),"Not yet effective",IF(C534="","No date",IF(TODAY()&gt;=EDATE(C534,Review_Months),"Review Due","Current")))))</f>
        <v/>
      </c>
      <c r="P534">
        <f>IF(A534="","",A534&amp;"|"&amp;B534)</f>
        <v/>
      </c>
      <c r="Q534">
        <f>IF(AND(A534&lt;&gt;"",A534='Firm Search'!$C$7),COUNTIF($A$5:A534,'Firm Search'!$C$7),"")</f>
        <v/>
      </c>
      <c r="R534">
        <f>IF(A534="","",COUNTIF($A$5:$A$1004,"&lt;"&amp;A534)+COUNTIF($A$5:A534,A534))</f>
        <v/>
      </c>
    </row>
    <row r="535">
      <c r="A535" s="64" t="n"/>
      <c r="B535" s="64" t="n"/>
      <c r="C535" s="66" t="n"/>
      <c r="D535" s="66" t="n"/>
      <c r="E535" s="67" t="n"/>
      <c r="F535" s="67" t="n"/>
      <c r="G535" s="67" t="n"/>
      <c r="H535" s="67" t="n"/>
      <c r="I535" s="67" t="n"/>
      <c r="J535" s="67" t="n"/>
      <c r="K535" s="67" t="n"/>
      <c r="L535" s="67" t="n"/>
      <c r="M535" s="64" t="n"/>
      <c r="N535" s="84">
        <f>IF(A535="","",IFERROR(INDEX(Firms!$B$5:$B$1004,MATCH(A535,Firms!$A$5:$A$1004,0)),"Not on Firms tab"))</f>
        <v/>
      </c>
      <c r="O535" s="84">
        <f>IF(A535="","",IF(AND(D535&lt;&gt;"",D535&lt;TODAY()),"Expired",IF(AND(C535&lt;&gt;"",C535&gt;TODAY()),"Not yet effective",IF(C535="","No date",IF(TODAY()&gt;=EDATE(C535,Review_Months),"Review Due","Current")))))</f>
        <v/>
      </c>
      <c r="P535">
        <f>IF(A535="","",A535&amp;"|"&amp;B535)</f>
        <v/>
      </c>
      <c r="Q535">
        <f>IF(AND(A535&lt;&gt;"",A535='Firm Search'!$C$7),COUNTIF($A$5:A535,'Firm Search'!$C$7),"")</f>
        <v/>
      </c>
      <c r="R535">
        <f>IF(A535="","",COUNTIF($A$5:$A$1004,"&lt;"&amp;A535)+COUNTIF($A$5:A535,A535))</f>
        <v/>
      </c>
    </row>
    <row r="536">
      <c r="A536" s="64" t="n"/>
      <c r="B536" s="64" t="n"/>
      <c r="C536" s="66" t="n"/>
      <c r="D536" s="66" t="n"/>
      <c r="E536" s="67" t="n"/>
      <c r="F536" s="67" t="n"/>
      <c r="G536" s="67" t="n"/>
      <c r="H536" s="67" t="n"/>
      <c r="I536" s="67" t="n"/>
      <c r="J536" s="67" t="n"/>
      <c r="K536" s="67" t="n"/>
      <c r="L536" s="67" t="n"/>
      <c r="M536" s="64" t="n"/>
      <c r="N536" s="84">
        <f>IF(A536="","",IFERROR(INDEX(Firms!$B$5:$B$1004,MATCH(A536,Firms!$A$5:$A$1004,0)),"Not on Firms tab"))</f>
        <v/>
      </c>
      <c r="O536" s="84">
        <f>IF(A536="","",IF(AND(D536&lt;&gt;"",D536&lt;TODAY()),"Expired",IF(AND(C536&lt;&gt;"",C536&gt;TODAY()),"Not yet effective",IF(C536="","No date",IF(TODAY()&gt;=EDATE(C536,Review_Months),"Review Due","Current")))))</f>
        <v/>
      </c>
      <c r="P536">
        <f>IF(A536="","",A536&amp;"|"&amp;B536)</f>
        <v/>
      </c>
      <c r="Q536">
        <f>IF(AND(A536&lt;&gt;"",A536='Firm Search'!$C$7),COUNTIF($A$5:A536,'Firm Search'!$C$7),"")</f>
        <v/>
      </c>
      <c r="R536">
        <f>IF(A536="","",COUNTIF($A$5:$A$1004,"&lt;"&amp;A536)+COUNTIF($A$5:A536,A536))</f>
        <v/>
      </c>
    </row>
    <row r="537">
      <c r="A537" s="64" t="n"/>
      <c r="B537" s="64" t="n"/>
      <c r="C537" s="66" t="n"/>
      <c r="D537" s="66" t="n"/>
      <c r="E537" s="67" t="n"/>
      <c r="F537" s="67" t="n"/>
      <c r="G537" s="67" t="n"/>
      <c r="H537" s="67" t="n"/>
      <c r="I537" s="67" t="n"/>
      <c r="J537" s="67" t="n"/>
      <c r="K537" s="67" t="n"/>
      <c r="L537" s="67" t="n"/>
      <c r="M537" s="64" t="n"/>
      <c r="N537" s="84">
        <f>IF(A537="","",IFERROR(INDEX(Firms!$B$5:$B$1004,MATCH(A537,Firms!$A$5:$A$1004,0)),"Not on Firms tab"))</f>
        <v/>
      </c>
      <c r="O537" s="84">
        <f>IF(A537="","",IF(AND(D537&lt;&gt;"",D537&lt;TODAY()),"Expired",IF(AND(C537&lt;&gt;"",C537&gt;TODAY()),"Not yet effective",IF(C537="","No date",IF(TODAY()&gt;=EDATE(C537,Review_Months),"Review Due","Current")))))</f>
        <v/>
      </c>
      <c r="P537">
        <f>IF(A537="","",A537&amp;"|"&amp;B537)</f>
        <v/>
      </c>
      <c r="Q537">
        <f>IF(AND(A537&lt;&gt;"",A537='Firm Search'!$C$7),COUNTIF($A$5:A537,'Firm Search'!$C$7),"")</f>
        <v/>
      </c>
      <c r="R537">
        <f>IF(A537="","",COUNTIF($A$5:$A$1004,"&lt;"&amp;A537)+COUNTIF($A$5:A537,A537))</f>
        <v/>
      </c>
    </row>
    <row r="538">
      <c r="A538" s="64" t="n"/>
      <c r="B538" s="64" t="n"/>
      <c r="C538" s="66" t="n"/>
      <c r="D538" s="66" t="n"/>
      <c r="E538" s="67" t="n"/>
      <c r="F538" s="67" t="n"/>
      <c r="G538" s="67" t="n"/>
      <c r="H538" s="67" t="n"/>
      <c r="I538" s="67" t="n"/>
      <c r="J538" s="67" t="n"/>
      <c r="K538" s="67" t="n"/>
      <c r="L538" s="67" t="n"/>
      <c r="M538" s="64" t="n"/>
      <c r="N538" s="84">
        <f>IF(A538="","",IFERROR(INDEX(Firms!$B$5:$B$1004,MATCH(A538,Firms!$A$5:$A$1004,0)),"Not on Firms tab"))</f>
        <v/>
      </c>
      <c r="O538" s="84">
        <f>IF(A538="","",IF(AND(D538&lt;&gt;"",D538&lt;TODAY()),"Expired",IF(AND(C538&lt;&gt;"",C538&gt;TODAY()),"Not yet effective",IF(C538="","No date",IF(TODAY()&gt;=EDATE(C538,Review_Months),"Review Due","Current")))))</f>
        <v/>
      </c>
      <c r="P538">
        <f>IF(A538="","",A538&amp;"|"&amp;B538)</f>
        <v/>
      </c>
      <c r="Q538">
        <f>IF(AND(A538&lt;&gt;"",A538='Firm Search'!$C$7),COUNTIF($A$5:A538,'Firm Search'!$C$7),"")</f>
        <v/>
      </c>
      <c r="R538">
        <f>IF(A538="","",COUNTIF($A$5:$A$1004,"&lt;"&amp;A538)+COUNTIF($A$5:A538,A538))</f>
        <v/>
      </c>
    </row>
    <row r="539">
      <c r="A539" s="64" t="n"/>
      <c r="B539" s="64" t="n"/>
      <c r="C539" s="66" t="n"/>
      <c r="D539" s="66" t="n"/>
      <c r="E539" s="67" t="n"/>
      <c r="F539" s="67" t="n"/>
      <c r="G539" s="67" t="n"/>
      <c r="H539" s="67" t="n"/>
      <c r="I539" s="67" t="n"/>
      <c r="J539" s="67" t="n"/>
      <c r="K539" s="67" t="n"/>
      <c r="L539" s="67" t="n"/>
      <c r="M539" s="64" t="n"/>
      <c r="N539" s="84">
        <f>IF(A539="","",IFERROR(INDEX(Firms!$B$5:$B$1004,MATCH(A539,Firms!$A$5:$A$1004,0)),"Not on Firms tab"))</f>
        <v/>
      </c>
      <c r="O539" s="84">
        <f>IF(A539="","",IF(AND(D539&lt;&gt;"",D539&lt;TODAY()),"Expired",IF(AND(C539&lt;&gt;"",C539&gt;TODAY()),"Not yet effective",IF(C539="","No date",IF(TODAY()&gt;=EDATE(C539,Review_Months),"Review Due","Current")))))</f>
        <v/>
      </c>
      <c r="P539">
        <f>IF(A539="","",A539&amp;"|"&amp;B539)</f>
        <v/>
      </c>
      <c r="Q539">
        <f>IF(AND(A539&lt;&gt;"",A539='Firm Search'!$C$7),COUNTIF($A$5:A539,'Firm Search'!$C$7),"")</f>
        <v/>
      </c>
      <c r="R539">
        <f>IF(A539="","",COUNTIF($A$5:$A$1004,"&lt;"&amp;A539)+COUNTIF($A$5:A539,A539))</f>
        <v/>
      </c>
    </row>
    <row r="540">
      <c r="A540" s="64" t="n"/>
      <c r="B540" s="64" t="n"/>
      <c r="C540" s="66" t="n"/>
      <c r="D540" s="66" t="n"/>
      <c r="E540" s="67" t="n"/>
      <c r="F540" s="67" t="n"/>
      <c r="G540" s="67" t="n"/>
      <c r="H540" s="67" t="n"/>
      <c r="I540" s="67" t="n"/>
      <c r="J540" s="67" t="n"/>
      <c r="K540" s="67" t="n"/>
      <c r="L540" s="67" t="n"/>
      <c r="M540" s="64" t="n"/>
      <c r="N540" s="84">
        <f>IF(A540="","",IFERROR(INDEX(Firms!$B$5:$B$1004,MATCH(A540,Firms!$A$5:$A$1004,0)),"Not on Firms tab"))</f>
        <v/>
      </c>
      <c r="O540" s="84">
        <f>IF(A540="","",IF(AND(D540&lt;&gt;"",D540&lt;TODAY()),"Expired",IF(AND(C540&lt;&gt;"",C540&gt;TODAY()),"Not yet effective",IF(C540="","No date",IF(TODAY()&gt;=EDATE(C540,Review_Months),"Review Due","Current")))))</f>
        <v/>
      </c>
      <c r="P540">
        <f>IF(A540="","",A540&amp;"|"&amp;B540)</f>
        <v/>
      </c>
      <c r="Q540">
        <f>IF(AND(A540&lt;&gt;"",A540='Firm Search'!$C$7),COUNTIF($A$5:A540,'Firm Search'!$C$7),"")</f>
        <v/>
      </c>
      <c r="R540">
        <f>IF(A540="","",COUNTIF($A$5:$A$1004,"&lt;"&amp;A540)+COUNTIF($A$5:A540,A540))</f>
        <v/>
      </c>
    </row>
    <row r="541">
      <c r="A541" s="64" t="n"/>
      <c r="B541" s="64" t="n"/>
      <c r="C541" s="66" t="n"/>
      <c r="D541" s="66" t="n"/>
      <c r="E541" s="67" t="n"/>
      <c r="F541" s="67" t="n"/>
      <c r="G541" s="67" t="n"/>
      <c r="H541" s="67" t="n"/>
      <c r="I541" s="67" t="n"/>
      <c r="J541" s="67" t="n"/>
      <c r="K541" s="67" t="n"/>
      <c r="L541" s="67" t="n"/>
      <c r="M541" s="64" t="n"/>
      <c r="N541" s="84">
        <f>IF(A541="","",IFERROR(INDEX(Firms!$B$5:$B$1004,MATCH(A541,Firms!$A$5:$A$1004,0)),"Not on Firms tab"))</f>
        <v/>
      </c>
      <c r="O541" s="84">
        <f>IF(A541="","",IF(AND(D541&lt;&gt;"",D541&lt;TODAY()),"Expired",IF(AND(C541&lt;&gt;"",C541&gt;TODAY()),"Not yet effective",IF(C541="","No date",IF(TODAY()&gt;=EDATE(C541,Review_Months),"Review Due","Current")))))</f>
        <v/>
      </c>
      <c r="P541">
        <f>IF(A541="","",A541&amp;"|"&amp;B541)</f>
        <v/>
      </c>
      <c r="Q541">
        <f>IF(AND(A541&lt;&gt;"",A541='Firm Search'!$C$7),COUNTIF($A$5:A541,'Firm Search'!$C$7),"")</f>
        <v/>
      </c>
      <c r="R541">
        <f>IF(A541="","",COUNTIF($A$5:$A$1004,"&lt;"&amp;A541)+COUNTIF($A$5:A541,A541))</f>
        <v/>
      </c>
    </row>
    <row r="542">
      <c r="A542" s="64" t="n"/>
      <c r="B542" s="64" t="n"/>
      <c r="C542" s="66" t="n"/>
      <c r="D542" s="66" t="n"/>
      <c r="E542" s="67" t="n"/>
      <c r="F542" s="67" t="n"/>
      <c r="G542" s="67" t="n"/>
      <c r="H542" s="67" t="n"/>
      <c r="I542" s="67" t="n"/>
      <c r="J542" s="67" t="n"/>
      <c r="K542" s="67" t="n"/>
      <c r="L542" s="67" t="n"/>
      <c r="M542" s="64" t="n"/>
      <c r="N542" s="84">
        <f>IF(A542="","",IFERROR(INDEX(Firms!$B$5:$B$1004,MATCH(A542,Firms!$A$5:$A$1004,0)),"Not on Firms tab"))</f>
        <v/>
      </c>
      <c r="O542" s="84">
        <f>IF(A542="","",IF(AND(D542&lt;&gt;"",D542&lt;TODAY()),"Expired",IF(AND(C542&lt;&gt;"",C542&gt;TODAY()),"Not yet effective",IF(C542="","No date",IF(TODAY()&gt;=EDATE(C542,Review_Months),"Review Due","Current")))))</f>
        <v/>
      </c>
      <c r="P542">
        <f>IF(A542="","",A542&amp;"|"&amp;B542)</f>
        <v/>
      </c>
      <c r="Q542">
        <f>IF(AND(A542&lt;&gt;"",A542='Firm Search'!$C$7),COUNTIF($A$5:A542,'Firm Search'!$C$7),"")</f>
        <v/>
      </c>
      <c r="R542">
        <f>IF(A542="","",COUNTIF($A$5:$A$1004,"&lt;"&amp;A542)+COUNTIF($A$5:A542,A542))</f>
        <v/>
      </c>
    </row>
    <row r="543">
      <c r="A543" s="64" t="n"/>
      <c r="B543" s="64" t="n"/>
      <c r="C543" s="66" t="n"/>
      <c r="D543" s="66" t="n"/>
      <c r="E543" s="67" t="n"/>
      <c r="F543" s="67" t="n"/>
      <c r="G543" s="67" t="n"/>
      <c r="H543" s="67" t="n"/>
      <c r="I543" s="67" t="n"/>
      <c r="J543" s="67" t="n"/>
      <c r="K543" s="67" t="n"/>
      <c r="L543" s="67" t="n"/>
      <c r="M543" s="64" t="n"/>
      <c r="N543" s="84">
        <f>IF(A543="","",IFERROR(INDEX(Firms!$B$5:$B$1004,MATCH(A543,Firms!$A$5:$A$1004,0)),"Not on Firms tab"))</f>
        <v/>
      </c>
      <c r="O543" s="84">
        <f>IF(A543="","",IF(AND(D543&lt;&gt;"",D543&lt;TODAY()),"Expired",IF(AND(C543&lt;&gt;"",C543&gt;TODAY()),"Not yet effective",IF(C543="","No date",IF(TODAY()&gt;=EDATE(C543,Review_Months),"Review Due","Current")))))</f>
        <v/>
      </c>
      <c r="P543">
        <f>IF(A543="","",A543&amp;"|"&amp;B543)</f>
        <v/>
      </c>
      <c r="Q543">
        <f>IF(AND(A543&lt;&gt;"",A543='Firm Search'!$C$7),COUNTIF($A$5:A543,'Firm Search'!$C$7),"")</f>
        <v/>
      </c>
      <c r="R543">
        <f>IF(A543="","",COUNTIF($A$5:$A$1004,"&lt;"&amp;A543)+COUNTIF($A$5:A543,A543))</f>
        <v/>
      </c>
    </row>
    <row r="544">
      <c r="A544" s="64" t="n"/>
      <c r="B544" s="64" t="n"/>
      <c r="C544" s="66" t="n"/>
      <c r="D544" s="66" t="n"/>
      <c r="E544" s="67" t="n"/>
      <c r="F544" s="67" t="n"/>
      <c r="G544" s="67" t="n"/>
      <c r="H544" s="67" t="n"/>
      <c r="I544" s="67" t="n"/>
      <c r="J544" s="67" t="n"/>
      <c r="K544" s="67" t="n"/>
      <c r="L544" s="67" t="n"/>
      <c r="M544" s="64" t="n"/>
      <c r="N544" s="84">
        <f>IF(A544="","",IFERROR(INDEX(Firms!$B$5:$B$1004,MATCH(A544,Firms!$A$5:$A$1004,0)),"Not on Firms tab"))</f>
        <v/>
      </c>
      <c r="O544" s="84">
        <f>IF(A544="","",IF(AND(D544&lt;&gt;"",D544&lt;TODAY()),"Expired",IF(AND(C544&lt;&gt;"",C544&gt;TODAY()),"Not yet effective",IF(C544="","No date",IF(TODAY()&gt;=EDATE(C544,Review_Months),"Review Due","Current")))))</f>
        <v/>
      </c>
      <c r="P544">
        <f>IF(A544="","",A544&amp;"|"&amp;B544)</f>
        <v/>
      </c>
      <c r="Q544">
        <f>IF(AND(A544&lt;&gt;"",A544='Firm Search'!$C$7),COUNTIF($A$5:A544,'Firm Search'!$C$7),"")</f>
        <v/>
      </c>
      <c r="R544">
        <f>IF(A544="","",COUNTIF($A$5:$A$1004,"&lt;"&amp;A544)+COUNTIF($A$5:A544,A544))</f>
        <v/>
      </c>
    </row>
    <row r="545">
      <c r="A545" s="64" t="n"/>
      <c r="B545" s="64" t="n"/>
      <c r="C545" s="66" t="n"/>
      <c r="D545" s="66" t="n"/>
      <c r="E545" s="67" t="n"/>
      <c r="F545" s="67" t="n"/>
      <c r="G545" s="67" t="n"/>
      <c r="H545" s="67" t="n"/>
      <c r="I545" s="67" t="n"/>
      <c r="J545" s="67" t="n"/>
      <c r="K545" s="67" t="n"/>
      <c r="L545" s="67" t="n"/>
      <c r="M545" s="64" t="n"/>
      <c r="N545" s="84">
        <f>IF(A545="","",IFERROR(INDEX(Firms!$B$5:$B$1004,MATCH(A545,Firms!$A$5:$A$1004,0)),"Not on Firms tab"))</f>
        <v/>
      </c>
      <c r="O545" s="84">
        <f>IF(A545="","",IF(AND(D545&lt;&gt;"",D545&lt;TODAY()),"Expired",IF(AND(C545&lt;&gt;"",C545&gt;TODAY()),"Not yet effective",IF(C545="","No date",IF(TODAY()&gt;=EDATE(C545,Review_Months),"Review Due","Current")))))</f>
        <v/>
      </c>
      <c r="P545">
        <f>IF(A545="","",A545&amp;"|"&amp;B545)</f>
        <v/>
      </c>
      <c r="Q545">
        <f>IF(AND(A545&lt;&gt;"",A545='Firm Search'!$C$7),COUNTIF($A$5:A545,'Firm Search'!$C$7),"")</f>
        <v/>
      </c>
      <c r="R545">
        <f>IF(A545="","",COUNTIF($A$5:$A$1004,"&lt;"&amp;A545)+COUNTIF($A$5:A545,A545))</f>
        <v/>
      </c>
    </row>
    <row r="546">
      <c r="A546" s="64" t="n"/>
      <c r="B546" s="64" t="n"/>
      <c r="C546" s="66" t="n"/>
      <c r="D546" s="66" t="n"/>
      <c r="E546" s="67" t="n"/>
      <c r="F546" s="67" t="n"/>
      <c r="G546" s="67" t="n"/>
      <c r="H546" s="67" t="n"/>
      <c r="I546" s="67" t="n"/>
      <c r="J546" s="67" t="n"/>
      <c r="K546" s="67" t="n"/>
      <c r="L546" s="67" t="n"/>
      <c r="M546" s="64" t="n"/>
      <c r="N546" s="84">
        <f>IF(A546="","",IFERROR(INDEX(Firms!$B$5:$B$1004,MATCH(A546,Firms!$A$5:$A$1004,0)),"Not on Firms tab"))</f>
        <v/>
      </c>
      <c r="O546" s="84">
        <f>IF(A546="","",IF(AND(D546&lt;&gt;"",D546&lt;TODAY()),"Expired",IF(AND(C546&lt;&gt;"",C546&gt;TODAY()),"Not yet effective",IF(C546="","No date",IF(TODAY()&gt;=EDATE(C546,Review_Months),"Review Due","Current")))))</f>
        <v/>
      </c>
      <c r="P546">
        <f>IF(A546="","",A546&amp;"|"&amp;B546)</f>
        <v/>
      </c>
      <c r="Q546">
        <f>IF(AND(A546&lt;&gt;"",A546='Firm Search'!$C$7),COUNTIF($A$5:A546,'Firm Search'!$C$7),"")</f>
        <v/>
      </c>
      <c r="R546">
        <f>IF(A546="","",COUNTIF($A$5:$A$1004,"&lt;"&amp;A546)+COUNTIF($A$5:A546,A546))</f>
        <v/>
      </c>
    </row>
    <row r="547">
      <c r="A547" s="64" t="n"/>
      <c r="B547" s="64" t="n"/>
      <c r="C547" s="66" t="n"/>
      <c r="D547" s="66" t="n"/>
      <c r="E547" s="67" t="n"/>
      <c r="F547" s="67" t="n"/>
      <c r="G547" s="67" t="n"/>
      <c r="H547" s="67" t="n"/>
      <c r="I547" s="67" t="n"/>
      <c r="J547" s="67" t="n"/>
      <c r="K547" s="67" t="n"/>
      <c r="L547" s="67" t="n"/>
      <c r="M547" s="64" t="n"/>
      <c r="N547" s="84">
        <f>IF(A547="","",IFERROR(INDEX(Firms!$B$5:$B$1004,MATCH(A547,Firms!$A$5:$A$1004,0)),"Not on Firms tab"))</f>
        <v/>
      </c>
      <c r="O547" s="84">
        <f>IF(A547="","",IF(AND(D547&lt;&gt;"",D547&lt;TODAY()),"Expired",IF(AND(C547&lt;&gt;"",C547&gt;TODAY()),"Not yet effective",IF(C547="","No date",IF(TODAY()&gt;=EDATE(C547,Review_Months),"Review Due","Current")))))</f>
        <v/>
      </c>
      <c r="P547">
        <f>IF(A547="","",A547&amp;"|"&amp;B547)</f>
        <v/>
      </c>
      <c r="Q547">
        <f>IF(AND(A547&lt;&gt;"",A547='Firm Search'!$C$7),COUNTIF($A$5:A547,'Firm Search'!$C$7),"")</f>
        <v/>
      </c>
      <c r="R547">
        <f>IF(A547="","",COUNTIF($A$5:$A$1004,"&lt;"&amp;A547)+COUNTIF($A$5:A547,A547))</f>
        <v/>
      </c>
    </row>
    <row r="548">
      <c r="A548" s="64" t="n"/>
      <c r="B548" s="64" t="n"/>
      <c r="C548" s="66" t="n"/>
      <c r="D548" s="66" t="n"/>
      <c r="E548" s="67" t="n"/>
      <c r="F548" s="67" t="n"/>
      <c r="G548" s="67" t="n"/>
      <c r="H548" s="67" t="n"/>
      <c r="I548" s="67" t="n"/>
      <c r="J548" s="67" t="n"/>
      <c r="K548" s="67" t="n"/>
      <c r="L548" s="67" t="n"/>
      <c r="M548" s="64" t="n"/>
      <c r="N548" s="84">
        <f>IF(A548="","",IFERROR(INDEX(Firms!$B$5:$B$1004,MATCH(A548,Firms!$A$5:$A$1004,0)),"Not on Firms tab"))</f>
        <v/>
      </c>
      <c r="O548" s="84">
        <f>IF(A548="","",IF(AND(D548&lt;&gt;"",D548&lt;TODAY()),"Expired",IF(AND(C548&lt;&gt;"",C548&gt;TODAY()),"Not yet effective",IF(C548="","No date",IF(TODAY()&gt;=EDATE(C548,Review_Months),"Review Due","Current")))))</f>
        <v/>
      </c>
      <c r="P548">
        <f>IF(A548="","",A548&amp;"|"&amp;B548)</f>
        <v/>
      </c>
      <c r="Q548">
        <f>IF(AND(A548&lt;&gt;"",A548='Firm Search'!$C$7),COUNTIF($A$5:A548,'Firm Search'!$C$7),"")</f>
        <v/>
      </c>
      <c r="R548">
        <f>IF(A548="","",COUNTIF($A$5:$A$1004,"&lt;"&amp;A548)+COUNTIF($A$5:A548,A548))</f>
        <v/>
      </c>
    </row>
    <row r="549">
      <c r="A549" s="64" t="n"/>
      <c r="B549" s="64" t="n"/>
      <c r="C549" s="66" t="n"/>
      <c r="D549" s="66" t="n"/>
      <c r="E549" s="67" t="n"/>
      <c r="F549" s="67" t="n"/>
      <c r="G549" s="67" t="n"/>
      <c r="H549" s="67" t="n"/>
      <c r="I549" s="67" t="n"/>
      <c r="J549" s="67" t="n"/>
      <c r="K549" s="67" t="n"/>
      <c r="L549" s="67" t="n"/>
      <c r="M549" s="64" t="n"/>
      <c r="N549" s="84">
        <f>IF(A549="","",IFERROR(INDEX(Firms!$B$5:$B$1004,MATCH(A549,Firms!$A$5:$A$1004,0)),"Not on Firms tab"))</f>
        <v/>
      </c>
      <c r="O549" s="84">
        <f>IF(A549="","",IF(AND(D549&lt;&gt;"",D549&lt;TODAY()),"Expired",IF(AND(C549&lt;&gt;"",C549&gt;TODAY()),"Not yet effective",IF(C549="","No date",IF(TODAY()&gt;=EDATE(C549,Review_Months),"Review Due","Current")))))</f>
        <v/>
      </c>
      <c r="P549">
        <f>IF(A549="","",A549&amp;"|"&amp;B549)</f>
        <v/>
      </c>
      <c r="Q549">
        <f>IF(AND(A549&lt;&gt;"",A549='Firm Search'!$C$7),COUNTIF($A$5:A549,'Firm Search'!$C$7),"")</f>
        <v/>
      </c>
      <c r="R549">
        <f>IF(A549="","",COUNTIF($A$5:$A$1004,"&lt;"&amp;A549)+COUNTIF($A$5:A549,A549))</f>
        <v/>
      </c>
    </row>
    <row r="550">
      <c r="A550" s="64" t="n"/>
      <c r="B550" s="64" t="n"/>
      <c r="C550" s="66" t="n"/>
      <c r="D550" s="66" t="n"/>
      <c r="E550" s="67" t="n"/>
      <c r="F550" s="67" t="n"/>
      <c r="G550" s="67" t="n"/>
      <c r="H550" s="67" t="n"/>
      <c r="I550" s="67" t="n"/>
      <c r="J550" s="67" t="n"/>
      <c r="K550" s="67" t="n"/>
      <c r="L550" s="67" t="n"/>
      <c r="M550" s="64" t="n"/>
      <c r="N550" s="84">
        <f>IF(A550="","",IFERROR(INDEX(Firms!$B$5:$B$1004,MATCH(A550,Firms!$A$5:$A$1004,0)),"Not on Firms tab"))</f>
        <v/>
      </c>
      <c r="O550" s="84">
        <f>IF(A550="","",IF(AND(D550&lt;&gt;"",D550&lt;TODAY()),"Expired",IF(AND(C550&lt;&gt;"",C550&gt;TODAY()),"Not yet effective",IF(C550="","No date",IF(TODAY()&gt;=EDATE(C550,Review_Months),"Review Due","Current")))))</f>
        <v/>
      </c>
      <c r="P550">
        <f>IF(A550="","",A550&amp;"|"&amp;B550)</f>
        <v/>
      </c>
      <c r="Q550">
        <f>IF(AND(A550&lt;&gt;"",A550='Firm Search'!$C$7),COUNTIF($A$5:A550,'Firm Search'!$C$7),"")</f>
        <v/>
      </c>
      <c r="R550">
        <f>IF(A550="","",COUNTIF($A$5:$A$1004,"&lt;"&amp;A550)+COUNTIF($A$5:A550,A550))</f>
        <v/>
      </c>
    </row>
    <row r="551">
      <c r="A551" s="64" t="n"/>
      <c r="B551" s="64" t="n"/>
      <c r="C551" s="66" t="n"/>
      <c r="D551" s="66" t="n"/>
      <c r="E551" s="67" t="n"/>
      <c r="F551" s="67" t="n"/>
      <c r="G551" s="67" t="n"/>
      <c r="H551" s="67" t="n"/>
      <c r="I551" s="67" t="n"/>
      <c r="J551" s="67" t="n"/>
      <c r="K551" s="67" t="n"/>
      <c r="L551" s="67" t="n"/>
      <c r="M551" s="64" t="n"/>
      <c r="N551" s="84">
        <f>IF(A551="","",IFERROR(INDEX(Firms!$B$5:$B$1004,MATCH(A551,Firms!$A$5:$A$1004,0)),"Not on Firms tab"))</f>
        <v/>
      </c>
      <c r="O551" s="84">
        <f>IF(A551="","",IF(AND(D551&lt;&gt;"",D551&lt;TODAY()),"Expired",IF(AND(C551&lt;&gt;"",C551&gt;TODAY()),"Not yet effective",IF(C551="","No date",IF(TODAY()&gt;=EDATE(C551,Review_Months),"Review Due","Current")))))</f>
        <v/>
      </c>
      <c r="P551">
        <f>IF(A551="","",A551&amp;"|"&amp;B551)</f>
        <v/>
      </c>
      <c r="Q551">
        <f>IF(AND(A551&lt;&gt;"",A551='Firm Search'!$C$7),COUNTIF($A$5:A551,'Firm Search'!$C$7),"")</f>
        <v/>
      </c>
      <c r="R551">
        <f>IF(A551="","",COUNTIF($A$5:$A$1004,"&lt;"&amp;A551)+COUNTIF($A$5:A551,A551))</f>
        <v/>
      </c>
    </row>
    <row r="552">
      <c r="A552" s="64" t="n"/>
      <c r="B552" s="64" t="n"/>
      <c r="C552" s="66" t="n"/>
      <c r="D552" s="66" t="n"/>
      <c r="E552" s="67" t="n"/>
      <c r="F552" s="67" t="n"/>
      <c r="G552" s="67" t="n"/>
      <c r="H552" s="67" t="n"/>
      <c r="I552" s="67" t="n"/>
      <c r="J552" s="67" t="n"/>
      <c r="K552" s="67" t="n"/>
      <c r="L552" s="67" t="n"/>
      <c r="M552" s="64" t="n"/>
      <c r="N552" s="84">
        <f>IF(A552="","",IFERROR(INDEX(Firms!$B$5:$B$1004,MATCH(A552,Firms!$A$5:$A$1004,0)),"Not on Firms tab"))</f>
        <v/>
      </c>
      <c r="O552" s="84">
        <f>IF(A552="","",IF(AND(D552&lt;&gt;"",D552&lt;TODAY()),"Expired",IF(AND(C552&lt;&gt;"",C552&gt;TODAY()),"Not yet effective",IF(C552="","No date",IF(TODAY()&gt;=EDATE(C552,Review_Months),"Review Due","Current")))))</f>
        <v/>
      </c>
      <c r="P552">
        <f>IF(A552="","",A552&amp;"|"&amp;B552)</f>
        <v/>
      </c>
      <c r="Q552">
        <f>IF(AND(A552&lt;&gt;"",A552='Firm Search'!$C$7),COUNTIF($A$5:A552,'Firm Search'!$C$7),"")</f>
        <v/>
      </c>
      <c r="R552">
        <f>IF(A552="","",COUNTIF($A$5:$A$1004,"&lt;"&amp;A552)+COUNTIF($A$5:A552,A552))</f>
        <v/>
      </c>
    </row>
    <row r="553">
      <c r="A553" s="64" t="n"/>
      <c r="B553" s="64" t="n"/>
      <c r="C553" s="66" t="n"/>
      <c r="D553" s="66" t="n"/>
      <c r="E553" s="67" t="n"/>
      <c r="F553" s="67" t="n"/>
      <c r="G553" s="67" t="n"/>
      <c r="H553" s="67" t="n"/>
      <c r="I553" s="67" t="n"/>
      <c r="J553" s="67" t="n"/>
      <c r="K553" s="67" t="n"/>
      <c r="L553" s="67" t="n"/>
      <c r="M553" s="64" t="n"/>
      <c r="N553" s="84">
        <f>IF(A553="","",IFERROR(INDEX(Firms!$B$5:$B$1004,MATCH(A553,Firms!$A$5:$A$1004,0)),"Not on Firms tab"))</f>
        <v/>
      </c>
      <c r="O553" s="84">
        <f>IF(A553="","",IF(AND(D553&lt;&gt;"",D553&lt;TODAY()),"Expired",IF(AND(C553&lt;&gt;"",C553&gt;TODAY()),"Not yet effective",IF(C553="","No date",IF(TODAY()&gt;=EDATE(C553,Review_Months),"Review Due","Current")))))</f>
        <v/>
      </c>
      <c r="P553">
        <f>IF(A553="","",A553&amp;"|"&amp;B553)</f>
        <v/>
      </c>
      <c r="Q553">
        <f>IF(AND(A553&lt;&gt;"",A553='Firm Search'!$C$7),COUNTIF($A$5:A553,'Firm Search'!$C$7),"")</f>
        <v/>
      </c>
      <c r="R553">
        <f>IF(A553="","",COUNTIF($A$5:$A$1004,"&lt;"&amp;A553)+COUNTIF($A$5:A553,A553))</f>
        <v/>
      </c>
    </row>
    <row r="554">
      <c r="A554" s="64" t="n"/>
      <c r="B554" s="64" t="n"/>
      <c r="C554" s="66" t="n"/>
      <c r="D554" s="66" t="n"/>
      <c r="E554" s="67" t="n"/>
      <c r="F554" s="67" t="n"/>
      <c r="G554" s="67" t="n"/>
      <c r="H554" s="67" t="n"/>
      <c r="I554" s="67" t="n"/>
      <c r="J554" s="67" t="n"/>
      <c r="K554" s="67" t="n"/>
      <c r="L554" s="67" t="n"/>
      <c r="M554" s="64" t="n"/>
      <c r="N554" s="84">
        <f>IF(A554="","",IFERROR(INDEX(Firms!$B$5:$B$1004,MATCH(A554,Firms!$A$5:$A$1004,0)),"Not on Firms tab"))</f>
        <v/>
      </c>
      <c r="O554" s="84">
        <f>IF(A554="","",IF(AND(D554&lt;&gt;"",D554&lt;TODAY()),"Expired",IF(AND(C554&lt;&gt;"",C554&gt;TODAY()),"Not yet effective",IF(C554="","No date",IF(TODAY()&gt;=EDATE(C554,Review_Months),"Review Due","Current")))))</f>
        <v/>
      </c>
      <c r="P554">
        <f>IF(A554="","",A554&amp;"|"&amp;B554)</f>
        <v/>
      </c>
      <c r="Q554">
        <f>IF(AND(A554&lt;&gt;"",A554='Firm Search'!$C$7),COUNTIF($A$5:A554,'Firm Search'!$C$7),"")</f>
        <v/>
      </c>
      <c r="R554">
        <f>IF(A554="","",COUNTIF($A$5:$A$1004,"&lt;"&amp;A554)+COUNTIF($A$5:A554,A554))</f>
        <v/>
      </c>
    </row>
    <row r="555">
      <c r="A555" s="64" t="n"/>
      <c r="B555" s="64" t="n"/>
      <c r="C555" s="66" t="n"/>
      <c r="D555" s="66" t="n"/>
      <c r="E555" s="67" t="n"/>
      <c r="F555" s="67" t="n"/>
      <c r="G555" s="67" t="n"/>
      <c r="H555" s="67" t="n"/>
      <c r="I555" s="67" t="n"/>
      <c r="J555" s="67" t="n"/>
      <c r="K555" s="67" t="n"/>
      <c r="L555" s="67" t="n"/>
      <c r="M555" s="64" t="n"/>
      <c r="N555" s="84">
        <f>IF(A555="","",IFERROR(INDEX(Firms!$B$5:$B$1004,MATCH(A555,Firms!$A$5:$A$1004,0)),"Not on Firms tab"))</f>
        <v/>
      </c>
      <c r="O555" s="84">
        <f>IF(A555="","",IF(AND(D555&lt;&gt;"",D555&lt;TODAY()),"Expired",IF(AND(C555&lt;&gt;"",C555&gt;TODAY()),"Not yet effective",IF(C555="","No date",IF(TODAY()&gt;=EDATE(C555,Review_Months),"Review Due","Current")))))</f>
        <v/>
      </c>
      <c r="P555">
        <f>IF(A555="","",A555&amp;"|"&amp;B555)</f>
        <v/>
      </c>
      <c r="Q555">
        <f>IF(AND(A555&lt;&gt;"",A555='Firm Search'!$C$7),COUNTIF($A$5:A555,'Firm Search'!$C$7),"")</f>
        <v/>
      </c>
      <c r="R555">
        <f>IF(A555="","",COUNTIF($A$5:$A$1004,"&lt;"&amp;A555)+COUNTIF($A$5:A555,A555))</f>
        <v/>
      </c>
    </row>
    <row r="556">
      <c r="A556" s="64" t="n"/>
      <c r="B556" s="64" t="n"/>
      <c r="C556" s="66" t="n"/>
      <c r="D556" s="66" t="n"/>
      <c r="E556" s="67" t="n"/>
      <c r="F556" s="67" t="n"/>
      <c r="G556" s="67" t="n"/>
      <c r="H556" s="67" t="n"/>
      <c r="I556" s="67" t="n"/>
      <c r="J556" s="67" t="n"/>
      <c r="K556" s="67" t="n"/>
      <c r="L556" s="67" t="n"/>
      <c r="M556" s="64" t="n"/>
      <c r="N556" s="84">
        <f>IF(A556="","",IFERROR(INDEX(Firms!$B$5:$B$1004,MATCH(A556,Firms!$A$5:$A$1004,0)),"Not on Firms tab"))</f>
        <v/>
      </c>
      <c r="O556" s="84">
        <f>IF(A556="","",IF(AND(D556&lt;&gt;"",D556&lt;TODAY()),"Expired",IF(AND(C556&lt;&gt;"",C556&gt;TODAY()),"Not yet effective",IF(C556="","No date",IF(TODAY()&gt;=EDATE(C556,Review_Months),"Review Due","Current")))))</f>
        <v/>
      </c>
      <c r="P556">
        <f>IF(A556="","",A556&amp;"|"&amp;B556)</f>
        <v/>
      </c>
      <c r="Q556">
        <f>IF(AND(A556&lt;&gt;"",A556='Firm Search'!$C$7),COUNTIF($A$5:A556,'Firm Search'!$C$7),"")</f>
        <v/>
      </c>
      <c r="R556">
        <f>IF(A556="","",COUNTIF($A$5:$A$1004,"&lt;"&amp;A556)+COUNTIF($A$5:A556,A556))</f>
        <v/>
      </c>
    </row>
    <row r="557">
      <c r="A557" s="64" t="n"/>
      <c r="B557" s="64" t="n"/>
      <c r="C557" s="66" t="n"/>
      <c r="D557" s="66" t="n"/>
      <c r="E557" s="67" t="n"/>
      <c r="F557" s="67" t="n"/>
      <c r="G557" s="67" t="n"/>
      <c r="H557" s="67" t="n"/>
      <c r="I557" s="67" t="n"/>
      <c r="J557" s="67" t="n"/>
      <c r="K557" s="67" t="n"/>
      <c r="L557" s="67" t="n"/>
      <c r="M557" s="64" t="n"/>
      <c r="N557" s="84">
        <f>IF(A557="","",IFERROR(INDEX(Firms!$B$5:$B$1004,MATCH(A557,Firms!$A$5:$A$1004,0)),"Not on Firms tab"))</f>
        <v/>
      </c>
      <c r="O557" s="84">
        <f>IF(A557="","",IF(AND(D557&lt;&gt;"",D557&lt;TODAY()),"Expired",IF(AND(C557&lt;&gt;"",C557&gt;TODAY()),"Not yet effective",IF(C557="","No date",IF(TODAY()&gt;=EDATE(C557,Review_Months),"Review Due","Current")))))</f>
        <v/>
      </c>
      <c r="P557">
        <f>IF(A557="","",A557&amp;"|"&amp;B557)</f>
        <v/>
      </c>
      <c r="Q557">
        <f>IF(AND(A557&lt;&gt;"",A557='Firm Search'!$C$7),COUNTIF($A$5:A557,'Firm Search'!$C$7),"")</f>
        <v/>
      </c>
      <c r="R557">
        <f>IF(A557="","",COUNTIF($A$5:$A$1004,"&lt;"&amp;A557)+COUNTIF($A$5:A557,A557))</f>
        <v/>
      </c>
    </row>
    <row r="558">
      <c r="A558" s="64" t="n"/>
      <c r="B558" s="64" t="n"/>
      <c r="C558" s="66" t="n"/>
      <c r="D558" s="66" t="n"/>
      <c r="E558" s="67" t="n"/>
      <c r="F558" s="67" t="n"/>
      <c r="G558" s="67" t="n"/>
      <c r="H558" s="67" t="n"/>
      <c r="I558" s="67" t="n"/>
      <c r="J558" s="67" t="n"/>
      <c r="K558" s="67" t="n"/>
      <c r="L558" s="67" t="n"/>
      <c r="M558" s="64" t="n"/>
      <c r="N558" s="84">
        <f>IF(A558="","",IFERROR(INDEX(Firms!$B$5:$B$1004,MATCH(A558,Firms!$A$5:$A$1004,0)),"Not on Firms tab"))</f>
        <v/>
      </c>
      <c r="O558" s="84">
        <f>IF(A558="","",IF(AND(D558&lt;&gt;"",D558&lt;TODAY()),"Expired",IF(AND(C558&lt;&gt;"",C558&gt;TODAY()),"Not yet effective",IF(C558="","No date",IF(TODAY()&gt;=EDATE(C558,Review_Months),"Review Due","Current")))))</f>
        <v/>
      </c>
      <c r="P558">
        <f>IF(A558="","",A558&amp;"|"&amp;B558)</f>
        <v/>
      </c>
      <c r="Q558">
        <f>IF(AND(A558&lt;&gt;"",A558='Firm Search'!$C$7),COUNTIF($A$5:A558,'Firm Search'!$C$7),"")</f>
        <v/>
      </c>
      <c r="R558">
        <f>IF(A558="","",COUNTIF($A$5:$A$1004,"&lt;"&amp;A558)+COUNTIF($A$5:A558,A558))</f>
        <v/>
      </c>
    </row>
    <row r="559">
      <c r="A559" s="64" t="n"/>
      <c r="B559" s="64" t="n"/>
      <c r="C559" s="66" t="n"/>
      <c r="D559" s="66" t="n"/>
      <c r="E559" s="67" t="n"/>
      <c r="F559" s="67" t="n"/>
      <c r="G559" s="67" t="n"/>
      <c r="H559" s="67" t="n"/>
      <c r="I559" s="67" t="n"/>
      <c r="J559" s="67" t="n"/>
      <c r="K559" s="67" t="n"/>
      <c r="L559" s="67" t="n"/>
      <c r="M559" s="64" t="n"/>
      <c r="N559" s="84">
        <f>IF(A559="","",IFERROR(INDEX(Firms!$B$5:$B$1004,MATCH(A559,Firms!$A$5:$A$1004,0)),"Not on Firms tab"))</f>
        <v/>
      </c>
      <c r="O559" s="84">
        <f>IF(A559="","",IF(AND(D559&lt;&gt;"",D559&lt;TODAY()),"Expired",IF(AND(C559&lt;&gt;"",C559&gt;TODAY()),"Not yet effective",IF(C559="","No date",IF(TODAY()&gt;=EDATE(C559,Review_Months),"Review Due","Current")))))</f>
        <v/>
      </c>
      <c r="P559">
        <f>IF(A559="","",A559&amp;"|"&amp;B559)</f>
        <v/>
      </c>
      <c r="Q559">
        <f>IF(AND(A559&lt;&gt;"",A559='Firm Search'!$C$7),COUNTIF($A$5:A559,'Firm Search'!$C$7),"")</f>
        <v/>
      </c>
      <c r="R559">
        <f>IF(A559="","",COUNTIF($A$5:$A$1004,"&lt;"&amp;A559)+COUNTIF($A$5:A559,A559))</f>
        <v/>
      </c>
    </row>
    <row r="560">
      <c r="A560" s="64" t="n"/>
      <c r="B560" s="64" t="n"/>
      <c r="C560" s="66" t="n"/>
      <c r="D560" s="66" t="n"/>
      <c r="E560" s="67" t="n"/>
      <c r="F560" s="67" t="n"/>
      <c r="G560" s="67" t="n"/>
      <c r="H560" s="67" t="n"/>
      <c r="I560" s="67" t="n"/>
      <c r="J560" s="67" t="n"/>
      <c r="K560" s="67" t="n"/>
      <c r="L560" s="67" t="n"/>
      <c r="M560" s="64" t="n"/>
      <c r="N560" s="84">
        <f>IF(A560="","",IFERROR(INDEX(Firms!$B$5:$B$1004,MATCH(A560,Firms!$A$5:$A$1004,0)),"Not on Firms tab"))</f>
        <v/>
      </c>
      <c r="O560" s="84">
        <f>IF(A560="","",IF(AND(D560&lt;&gt;"",D560&lt;TODAY()),"Expired",IF(AND(C560&lt;&gt;"",C560&gt;TODAY()),"Not yet effective",IF(C560="","No date",IF(TODAY()&gt;=EDATE(C560,Review_Months),"Review Due","Current")))))</f>
        <v/>
      </c>
      <c r="P560">
        <f>IF(A560="","",A560&amp;"|"&amp;B560)</f>
        <v/>
      </c>
      <c r="Q560">
        <f>IF(AND(A560&lt;&gt;"",A560='Firm Search'!$C$7),COUNTIF($A$5:A560,'Firm Search'!$C$7),"")</f>
        <v/>
      </c>
      <c r="R560">
        <f>IF(A560="","",COUNTIF($A$5:$A$1004,"&lt;"&amp;A560)+COUNTIF($A$5:A560,A560))</f>
        <v/>
      </c>
    </row>
    <row r="561">
      <c r="A561" s="64" t="n"/>
      <c r="B561" s="64" t="n"/>
      <c r="C561" s="66" t="n"/>
      <c r="D561" s="66" t="n"/>
      <c r="E561" s="67" t="n"/>
      <c r="F561" s="67" t="n"/>
      <c r="G561" s="67" t="n"/>
      <c r="H561" s="67" t="n"/>
      <c r="I561" s="67" t="n"/>
      <c r="J561" s="67" t="n"/>
      <c r="K561" s="67" t="n"/>
      <c r="L561" s="67" t="n"/>
      <c r="M561" s="64" t="n"/>
      <c r="N561" s="84">
        <f>IF(A561="","",IFERROR(INDEX(Firms!$B$5:$B$1004,MATCH(A561,Firms!$A$5:$A$1004,0)),"Not on Firms tab"))</f>
        <v/>
      </c>
      <c r="O561" s="84">
        <f>IF(A561="","",IF(AND(D561&lt;&gt;"",D561&lt;TODAY()),"Expired",IF(AND(C561&lt;&gt;"",C561&gt;TODAY()),"Not yet effective",IF(C561="","No date",IF(TODAY()&gt;=EDATE(C561,Review_Months),"Review Due","Current")))))</f>
        <v/>
      </c>
      <c r="P561">
        <f>IF(A561="","",A561&amp;"|"&amp;B561)</f>
        <v/>
      </c>
      <c r="Q561">
        <f>IF(AND(A561&lt;&gt;"",A561='Firm Search'!$C$7),COUNTIF($A$5:A561,'Firm Search'!$C$7),"")</f>
        <v/>
      </c>
      <c r="R561">
        <f>IF(A561="","",COUNTIF($A$5:$A$1004,"&lt;"&amp;A561)+COUNTIF($A$5:A561,A561))</f>
        <v/>
      </c>
    </row>
    <row r="562">
      <c r="A562" s="64" t="n"/>
      <c r="B562" s="64" t="n"/>
      <c r="C562" s="66" t="n"/>
      <c r="D562" s="66" t="n"/>
      <c r="E562" s="67" t="n"/>
      <c r="F562" s="67" t="n"/>
      <c r="G562" s="67" t="n"/>
      <c r="H562" s="67" t="n"/>
      <c r="I562" s="67" t="n"/>
      <c r="J562" s="67" t="n"/>
      <c r="K562" s="67" t="n"/>
      <c r="L562" s="67" t="n"/>
      <c r="M562" s="64" t="n"/>
      <c r="N562" s="84">
        <f>IF(A562="","",IFERROR(INDEX(Firms!$B$5:$B$1004,MATCH(A562,Firms!$A$5:$A$1004,0)),"Not on Firms tab"))</f>
        <v/>
      </c>
      <c r="O562" s="84">
        <f>IF(A562="","",IF(AND(D562&lt;&gt;"",D562&lt;TODAY()),"Expired",IF(AND(C562&lt;&gt;"",C562&gt;TODAY()),"Not yet effective",IF(C562="","No date",IF(TODAY()&gt;=EDATE(C562,Review_Months),"Review Due","Current")))))</f>
        <v/>
      </c>
      <c r="P562">
        <f>IF(A562="","",A562&amp;"|"&amp;B562)</f>
        <v/>
      </c>
      <c r="Q562">
        <f>IF(AND(A562&lt;&gt;"",A562='Firm Search'!$C$7),COUNTIF($A$5:A562,'Firm Search'!$C$7),"")</f>
        <v/>
      </c>
      <c r="R562">
        <f>IF(A562="","",COUNTIF($A$5:$A$1004,"&lt;"&amp;A562)+COUNTIF($A$5:A562,A562))</f>
        <v/>
      </c>
    </row>
    <row r="563">
      <c r="A563" s="64" t="n"/>
      <c r="B563" s="64" t="n"/>
      <c r="C563" s="66" t="n"/>
      <c r="D563" s="66" t="n"/>
      <c r="E563" s="67" t="n"/>
      <c r="F563" s="67" t="n"/>
      <c r="G563" s="67" t="n"/>
      <c r="H563" s="67" t="n"/>
      <c r="I563" s="67" t="n"/>
      <c r="J563" s="67" t="n"/>
      <c r="K563" s="67" t="n"/>
      <c r="L563" s="67" t="n"/>
      <c r="M563" s="64" t="n"/>
      <c r="N563" s="84">
        <f>IF(A563="","",IFERROR(INDEX(Firms!$B$5:$B$1004,MATCH(A563,Firms!$A$5:$A$1004,0)),"Not on Firms tab"))</f>
        <v/>
      </c>
      <c r="O563" s="84">
        <f>IF(A563="","",IF(AND(D563&lt;&gt;"",D563&lt;TODAY()),"Expired",IF(AND(C563&lt;&gt;"",C563&gt;TODAY()),"Not yet effective",IF(C563="","No date",IF(TODAY()&gt;=EDATE(C563,Review_Months),"Review Due","Current")))))</f>
        <v/>
      </c>
      <c r="P563">
        <f>IF(A563="","",A563&amp;"|"&amp;B563)</f>
        <v/>
      </c>
      <c r="Q563">
        <f>IF(AND(A563&lt;&gt;"",A563='Firm Search'!$C$7),COUNTIF($A$5:A563,'Firm Search'!$C$7),"")</f>
        <v/>
      </c>
      <c r="R563">
        <f>IF(A563="","",COUNTIF($A$5:$A$1004,"&lt;"&amp;A563)+COUNTIF($A$5:A563,A563))</f>
        <v/>
      </c>
    </row>
    <row r="564">
      <c r="A564" s="64" t="n"/>
      <c r="B564" s="64" t="n"/>
      <c r="C564" s="66" t="n"/>
      <c r="D564" s="66" t="n"/>
      <c r="E564" s="67" t="n"/>
      <c r="F564" s="67" t="n"/>
      <c r="G564" s="67" t="n"/>
      <c r="H564" s="67" t="n"/>
      <c r="I564" s="67" t="n"/>
      <c r="J564" s="67" t="n"/>
      <c r="K564" s="67" t="n"/>
      <c r="L564" s="67" t="n"/>
      <c r="M564" s="64" t="n"/>
      <c r="N564" s="84">
        <f>IF(A564="","",IFERROR(INDEX(Firms!$B$5:$B$1004,MATCH(A564,Firms!$A$5:$A$1004,0)),"Not on Firms tab"))</f>
        <v/>
      </c>
      <c r="O564" s="84">
        <f>IF(A564="","",IF(AND(D564&lt;&gt;"",D564&lt;TODAY()),"Expired",IF(AND(C564&lt;&gt;"",C564&gt;TODAY()),"Not yet effective",IF(C564="","No date",IF(TODAY()&gt;=EDATE(C564,Review_Months),"Review Due","Current")))))</f>
        <v/>
      </c>
      <c r="P564">
        <f>IF(A564="","",A564&amp;"|"&amp;B564)</f>
        <v/>
      </c>
      <c r="Q564">
        <f>IF(AND(A564&lt;&gt;"",A564='Firm Search'!$C$7),COUNTIF($A$5:A564,'Firm Search'!$C$7),"")</f>
        <v/>
      </c>
      <c r="R564">
        <f>IF(A564="","",COUNTIF($A$5:$A$1004,"&lt;"&amp;A564)+COUNTIF($A$5:A564,A564))</f>
        <v/>
      </c>
    </row>
    <row r="565">
      <c r="A565" s="64" t="n"/>
      <c r="B565" s="64" t="n"/>
      <c r="C565" s="66" t="n"/>
      <c r="D565" s="66" t="n"/>
      <c r="E565" s="67" t="n"/>
      <c r="F565" s="67" t="n"/>
      <c r="G565" s="67" t="n"/>
      <c r="H565" s="67" t="n"/>
      <c r="I565" s="67" t="n"/>
      <c r="J565" s="67" t="n"/>
      <c r="K565" s="67" t="n"/>
      <c r="L565" s="67" t="n"/>
      <c r="M565" s="64" t="n"/>
      <c r="N565" s="84">
        <f>IF(A565="","",IFERROR(INDEX(Firms!$B$5:$B$1004,MATCH(A565,Firms!$A$5:$A$1004,0)),"Not on Firms tab"))</f>
        <v/>
      </c>
      <c r="O565" s="84">
        <f>IF(A565="","",IF(AND(D565&lt;&gt;"",D565&lt;TODAY()),"Expired",IF(AND(C565&lt;&gt;"",C565&gt;TODAY()),"Not yet effective",IF(C565="","No date",IF(TODAY()&gt;=EDATE(C565,Review_Months),"Review Due","Current")))))</f>
        <v/>
      </c>
      <c r="P565">
        <f>IF(A565="","",A565&amp;"|"&amp;B565)</f>
        <v/>
      </c>
      <c r="Q565">
        <f>IF(AND(A565&lt;&gt;"",A565='Firm Search'!$C$7),COUNTIF($A$5:A565,'Firm Search'!$C$7),"")</f>
        <v/>
      </c>
      <c r="R565">
        <f>IF(A565="","",COUNTIF($A$5:$A$1004,"&lt;"&amp;A565)+COUNTIF($A$5:A565,A565))</f>
        <v/>
      </c>
    </row>
    <row r="566">
      <c r="A566" s="64" t="n"/>
      <c r="B566" s="64" t="n"/>
      <c r="C566" s="66" t="n"/>
      <c r="D566" s="66" t="n"/>
      <c r="E566" s="67" t="n"/>
      <c r="F566" s="67" t="n"/>
      <c r="G566" s="67" t="n"/>
      <c r="H566" s="67" t="n"/>
      <c r="I566" s="67" t="n"/>
      <c r="J566" s="67" t="n"/>
      <c r="K566" s="67" t="n"/>
      <c r="L566" s="67" t="n"/>
      <c r="M566" s="64" t="n"/>
      <c r="N566" s="84">
        <f>IF(A566="","",IFERROR(INDEX(Firms!$B$5:$B$1004,MATCH(A566,Firms!$A$5:$A$1004,0)),"Not on Firms tab"))</f>
        <v/>
      </c>
      <c r="O566" s="84">
        <f>IF(A566="","",IF(AND(D566&lt;&gt;"",D566&lt;TODAY()),"Expired",IF(AND(C566&lt;&gt;"",C566&gt;TODAY()),"Not yet effective",IF(C566="","No date",IF(TODAY()&gt;=EDATE(C566,Review_Months),"Review Due","Current")))))</f>
        <v/>
      </c>
      <c r="P566">
        <f>IF(A566="","",A566&amp;"|"&amp;B566)</f>
        <v/>
      </c>
      <c r="Q566">
        <f>IF(AND(A566&lt;&gt;"",A566='Firm Search'!$C$7),COUNTIF($A$5:A566,'Firm Search'!$C$7),"")</f>
        <v/>
      </c>
      <c r="R566">
        <f>IF(A566="","",COUNTIF($A$5:$A$1004,"&lt;"&amp;A566)+COUNTIF($A$5:A566,A566))</f>
        <v/>
      </c>
    </row>
    <row r="567">
      <c r="A567" s="64" t="n"/>
      <c r="B567" s="64" t="n"/>
      <c r="C567" s="66" t="n"/>
      <c r="D567" s="66" t="n"/>
      <c r="E567" s="67" t="n"/>
      <c r="F567" s="67" t="n"/>
      <c r="G567" s="67" t="n"/>
      <c r="H567" s="67" t="n"/>
      <c r="I567" s="67" t="n"/>
      <c r="J567" s="67" t="n"/>
      <c r="K567" s="67" t="n"/>
      <c r="L567" s="67" t="n"/>
      <c r="M567" s="64" t="n"/>
      <c r="N567" s="84">
        <f>IF(A567="","",IFERROR(INDEX(Firms!$B$5:$B$1004,MATCH(A567,Firms!$A$5:$A$1004,0)),"Not on Firms tab"))</f>
        <v/>
      </c>
      <c r="O567" s="84">
        <f>IF(A567="","",IF(AND(D567&lt;&gt;"",D567&lt;TODAY()),"Expired",IF(AND(C567&lt;&gt;"",C567&gt;TODAY()),"Not yet effective",IF(C567="","No date",IF(TODAY()&gt;=EDATE(C567,Review_Months),"Review Due","Current")))))</f>
        <v/>
      </c>
      <c r="P567">
        <f>IF(A567="","",A567&amp;"|"&amp;B567)</f>
        <v/>
      </c>
      <c r="Q567">
        <f>IF(AND(A567&lt;&gt;"",A567='Firm Search'!$C$7),COUNTIF($A$5:A567,'Firm Search'!$C$7),"")</f>
        <v/>
      </c>
      <c r="R567">
        <f>IF(A567="","",COUNTIF($A$5:$A$1004,"&lt;"&amp;A567)+COUNTIF($A$5:A567,A567))</f>
        <v/>
      </c>
    </row>
    <row r="568">
      <c r="A568" s="64" t="n"/>
      <c r="B568" s="64" t="n"/>
      <c r="C568" s="66" t="n"/>
      <c r="D568" s="66" t="n"/>
      <c r="E568" s="67" t="n"/>
      <c r="F568" s="67" t="n"/>
      <c r="G568" s="67" t="n"/>
      <c r="H568" s="67" t="n"/>
      <c r="I568" s="67" t="n"/>
      <c r="J568" s="67" t="n"/>
      <c r="K568" s="67" t="n"/>
      <c r="L568" s="67" t="n"/>
      <c r="M568" s="64" t="n"/>
      <c r="N568" s="84">
        <f>IF(A568="","",IFERROR(INDEX(Firms!$B$5:$B$1004,MATCH(A568,Firms!$A$5:$A$1004,0)),"Not on Firms tab"))</f>
        <v/>
      </c>
      <c r="O568" s="84">
        <f>IF(A568="","",IF(AND(D568&lt;&gt;"",D568&lt;TODAY()),"Expired",IF(AND(C568&lt;&gt;"",C568&gt;TODAY()),"Not yet effective",IF(C568="","No date",IF(TODAY()&gt;=EDATE(C568,Review_Months),"Review Due","Current")))))</f>
        <v/>
      </c>
      <c r="P568">
        <f>IF(A568="","",A568&amp;"|"&amp;B568)</f>
        <v/>
      </c>
      <c r="Q568">
        <f>IF(AND(A568&lt;&gt;"",A568='Firm Search'!$C$7),COUNTIF($A$5:A568,'Firm Search'!$C$7),"")</f>
        <v/>
      </c>
      <c r="R568">
        <f>IF(A568="","",COUNTIF($A$5:$A$1004,"&lt;"&amp;A568)+COUNTIF($A$5:A568,A568))</f>
        <v/>
      </c>
    </row>
    <row r="569">
      <c r="A569" s="64" t="n"/>
      <c r="B569" s="64" t="n"/>
      <c r="C569" s="66" t="n"/>
      <c r="D569" s="66" t="n"/>
      <c r="E569" s="67" t="n"/>
      <c r="F569" s="67" t="n"/>
      <c r="G569" s="67" t="n"/>
      <c r="H569" s="67" t="n"/>
      <c r="I569" s="67" t="n"/>
      <c r="J569" s="67" t="n"/>
      <c r="K569" s="67" t="n"/>
      <c r="L569" s="67" t="n"/>
      <c r="M569" s="64" t="n"/>
      <c r="N569" s="84">
        <f>IF(A569="","",IFERROR(INDEX(Firms!$B$5:$B$1004,MATCH(A569,Firms!$A$5:$A$1004,0)),"Not on Firms tab"))</f>
        <v/>
      </c>
      <c r="O569" s="84">
        <f>IF(A569="","",IF(AND(D569&lt;&gt;"",D569&lt;TODAY()),"Expired",IF(AND(C569&lt;&gt;"",C569&gt;TODAY()),"Not yet effective",IF(C569="","No date",IF(TODAY()&gt;=EDATE(C569,Review_Months),"Review Due","Current")))))</f>
        <v/>
      </c>
      <c r="P569">
        <f>IF(A569="","",A569&amp;"|"&amp;B569)</f>
        <v/>
      </c>
      <c r="Q569">
        <f>IF(AND(A569&lt;&gt;"",A569='Firm Search'!$C$7),COUNTIF($A$5:A569,'Firm Search'!$C$7),"")</f>
        <v/>
      </c>
      <c r="R569">
        <f>IF(A569="","",COUNTIF($A$5:$A$1004,"&lt;"&amp;A569)+COUNTIF($A$5:A569,A569))</f>
        <v/>
      </c>
    </row>
    <row r="570">
      <c r="A570" s="64" t="n"/>
      <c r="B570" s="64" t="n"/>
      <c r="C570" s="66" t="n"/>
      <c r="D570" s="66" t="n"/>
      <c r="E570" s="67" t="n"/>
      <c r="F570" s="67" t="n"/>
      <c r="G570" s="67" t="n"/>
      <c r="H570" s="67" t="n"/>
      <c r="I570" s="67" t="n"/>
      <c r="J570" s="67" t="n"/>
      <c r="K570" s="67" t="n"/>
      <c r="L570" s="67" t="n"/>
      <c r="M570" s="64" t="n"/>
      <c r="N570" s="84">
        <f>IF(A570="","",IFERROR(INDEX(Firms!$B$5:$B$1004,MATCH(A570,Firms!$A$5:$A$1004,0)),"Not on Firms tab"))</f>
        <v/>
      </c>
      <c r="O570" s="84">
        <f>IF(A570="","",IF(AND(D570&lt;&gt;"",D570&lt;TODAY()),"Expired",IF(AND(C570&lt;&gt;"",C570&gt;TODAY()),"Not yet effective",IF(C570="","No date",IF(TODAY()&gt;=EDATE(C570,Review_Months),"Review Due","Current")))))</f>
        <v/>
      </c>
      <c r="P570">
        <f>IF(A570="","",A570&amp;"|"&amp;B570)</f>
        <v/>
      </c>
      <c r="Q570">
        <f>IF(AND(A570&lt;&gt;"",A570='Firm Search'!$C$7),COUNTIF($A$5:A570,'Firm Search'!$C$7),"")</f>
        <v/>
      </c>
      <c r="R570">
        <f>IF(A570="","",COUNTIF($A$5:$A$1004,"&lt;"&amp;A570)+COUNTIF($A$5:A570,A570))</f>
        <v/>
      </c>
    </row>
    <row r="571">
      <c r="A571" s="64" t="n"/>
      <c r="B571" s="64" t="n"/>
      <c r="C571" s="66" t="n"/>
      <c r="D571" s="66" t="n"/>
      <c r="E571" s="67" t="n"/>
      <c r="F571" s="67" t="n"/>
      <c r="G571" s="67" t="n"/>
      <c r="H571" s="67" t="n"/>
      <c r="I571" s="67" t="n"/>
      <c r="J571" s="67" t="n"/>
      <c r="K571" s="67" t="n"/>
      <c r="L571" s="67" t="n"/>
      <c r="M571" s="64" t="n"/>
      <c r="N571" s="84">
        <f>IF(A571="","",IFERROR(INDEX(Firms!$B$5:$B$1004,MATCH(A571,Firms!$A$5:$A$1004,0)),"Not on Firms tab"))</f>
        <v/>
      </c>
      <c r="O571" s="84">
        <f>IF(A571="","",IF(AND(D571&lt;&gt;"",D571&lt;TODAY()),"Expired",IF(AND(C571&lt;&gt;"",C571&gt;TODAY()),"Not yet effective",IF(C571="","No date",IF(TODAY()&gt;=EDATE(C571,Review_Months),"Review Due","Current")))))</f>
        <v/>
      </c>
      <c r="P571">
        <f>IF(A571="","",A571&amp;"|"&amp;B571)</f>
        <v/>
      </c>
      <c r="Q571">
        <f>IF(AND(A571&lt;&gt;"",A571='Firm Search'!$C$7),COUNTIF($A$5:A571,'Firm Search'!$C$7),"")</f>
        <v/>
      </c>
      <c r="R571">
        <f>IF(A571="","",COUNTIF($A$5:$A$1004,"&lt;"&amp;A571)+COUNTIF($A$5:A571,A571))</f>
        <v/>
      </c>
    </row>
    <row r="572">
      <c r="A572" s="64" t="n"/>
      <c r="B572" s="64" t="n"/>
      <c r="C572" s="66" t="n"/>
      <c r="D572" s="66" t="n"/>
      <c r="E572" s="67" t="n"/>
      <c r="F572" s="67" t="n"/>
      <c r="G572" s="67" t="n"/>
      <c r="H572" s="67" t="n"/>
      <c r="I572" s="67" t="n"/>
      <c r="J572" s="67" t="n"/>
      <c r="K572" s="67" t="n"/>
      <c r="L572" s="67" t="n"/>
      <c r="M572" s="64" t="n"/>
      <c r="N572" s="84">
        <f>IF(A572="","",IFERROR(INDEX(Firms!$B$5:$B$1004,MATCH(A572,Firms!$A$5:$A$1004,0)),"Not on Firms tab"))</f>
        <v/>
      </c>
      <c r="O572" s="84">
        <f>IF(A572="","",IF(AND(D572&lt;&gt;"",D572&lt;TODAY()),"Expired",IF(AND(C572&lt;&gt;"",C572&gt;TODAY()),"Not yet effective",IF(C572="","No date",IF(TODAY()&gt;=EDATE(C572,Review_Months),"Review Due","Current")))))</f>
        <v/>
      </c>
      <c r="P572">
        <f>IF(A572="","",A572&amp;"|"&amp;B572)</f>
        <v/>
      </c>
      <c r="Q572">
        <f>IF(AND(A572&lt;&gt;"",A572='Firm Search'!$C$7),COUNTIF($A$5:A572,'Firm Search'!$C$7),"")</f>
        <v/>
      </c>
      <c r="R572">
        <f>IF(A572="","",COUNTIF($A$5:$A$1004,"&lt;"&amp;A572)+COUNTIF($A$5:A572,A572))</f>
        <v/>
      </c>
    </row>
    <row r="573">
      <c r="A573" s="64" t="n"/>
      <c r="B573" s="64" t="n"/>
      <c r="C573" s="66" t="n"/>
      <c r="D573" s="66" t="n"/>
      <c r="E573" s="67" t="n"/>
      <c r="F573" s="67" t="n"/>
      <c r="G573" s="67" t="n"/>
      <c r="H573" s="67" t="n"/>
      <c r="I573" s="67" t="n"/>
      <c r="J573" s="67" t="n"/>
      <c r="K573" s="67" t="n"/>
      <c r="L573" s="67" t="n"/>
      <c r="M573" s="64" t="n"/>
      <c r="N573" s="84">
        <f>IF(A573="","",IFERROR(INDEX(Firms!$B$5:$B$1004,MATCH(A573,Firms!$A$5:$A$1004,0)),"Not on Firms tab"))</f>
        <v/>
      </c>
      <c r="O573" s="84">
        <f>IF(A573="","",IF(AND(D573&lt;&gt;"",D573&lt;TODAY()),"Expired",IF(AND(C573&lt;&gt;"",C573&gt;TODAY()),"Not yet effective",IF(C573="","No date",IF(TODAY()&gt;=EDATE(C573,Review_Months),"Review Due","Current")))))</f>
        <v/>
      </c>
      <c r="P573">
        <f>IF(A573="","",A573&amp;"|"&amp;B573)</f>
        <v/>
      </c>
      <c r="Q573">
        <f>IF(AND(A573&lt;&gt;"",A573='Firm Search'!$C$7),COUNTIF($A$5:A573,'Firm Search'!$C$7),"")</f>
        <v/>
      </c>
      <c r="R573">
        <f>IF(A573="","",COUNTIF($A$5:$A$1004,"&lt;"&amp;A573)+COUNTIF($A$5:A573,A573))</f>
        <v/>
      </c>
    </row>
    <row r="574">
      <c r="A574" s="64" t="n"/>
      <c r="B574" s="64" t="n"/>
      <c r="C574" s="66" t="n"/>
      <c r="D574" s="66" t="n"/>
      <c r="E574" s="67" t="n"/>
      <c r="F574" s="67" t="n"/>
      <c r="G574" s="67" t="n"/>
      <c r="H574" s="67" t="n"/>
      <c r="I574" s="67" t="n"/>
      <c r="J574" s="67" t="n"/>
      <c r="K574" s="67" t="n"/>
      <c r="L574" s="67" t="n"/>
      <c r="M574" s="64" t="n"/>
      <c r="N574" s="84">
        <f>IF(A574="","",IFERROR(INDEX(Firms!$B$5:$B$1004,MATCH(A574,Firms!$A$5:$A$1004,0)),"Not on Firms tab"))</f>
        <v/>
      </c>
      <c r="O574" s="84">
        <f>IF(A574="","",IF(AND(D574&lt;&gt;"",D574&lt;TODAY()),"Expired",IF(AND(C574&lt;&gt;"",C574&gt;TODAY()),"Not yet effective",IF(C574="","No date",IF(TODAY()&gt;=EDATE(C574,Review_Months),"Review Due","Current")))))</f>
        <v/>
      </c>
      <c r="P574">
        <f>IF(A574="","",A574&amp;"|"&amp;B574)</f>
        <v/>
      </c>
      <c r="Q574">
        <f>IF(AND(A574&lt;&gt;"",A574='Firm Search'!$C$7),COUNTIF($A$5:A574,'Firm Search'!$C$7),"")</f>
        <v/>
      </c>
      <c r="R574">
        <f>IF(A574="","",COUNTIF($A$5:$A$1004,"&lt;"&amp;A574)+COUNTIF($A$5:A574,A574))</f>
        <v/>
      </c>
    </row>
    <row r="575">
      <c r="A575" s="64" t="n"/>
      <c r="B575" s="64" t="n"/>
      <c r="C575" s="66" t="n"/>
      <c r="D575" s="66" t="n"/>
      <c r="E575" s="67" t="n"/>
      <c r="F575" s="67" t="n"/>
      <c r="G575" s="67" t="n"/>
      <c r="H575" s="67" t="n"/>
      <c r="I575" s="67" t="n"/>
      <c r="J575" s="67" t="n"/>
      <c r="K575" s="67" t="n"/>
      <c r="L575" s="67" t="n"/>
      <c r="M575" s="64" t="n"/>
      <c r="N575" s="84">
        <f>IF(A575="","",IFERROR(INDEX(Firms!$B$5:$B$1004,MATCH(A575,Firms!$A$5:$A$1004,0)),"Not on Firms tab"))</f>
        <v/>
      </c>
      <c r="O575" s="84">
        <f>IF(A575="","",IF(AND(D575&lt;&gt;"",D575&lt;TODAY()),"Expired",IF(AND(C575&lt;&gt;"",C575&gt;TODAY()),"Not yet effective",IF(C575="","No date",IF(TODAY()&gt;=EDATE(C575,Review_Months),"Review Due","Current")))))</f>
        <v/>
      </c>
      <c r="P575">
        <f>IF(A575="","",A575&amp;"|"&amp;B575)</f>
        <v/>
      </c>
      <c r="Q575">
        <f>IF(AND(A575&lt;&gt;"",A575='Firm Search'!$C$7),COUNTIF($A$5:A575,'Firm Search'!$C$7),"")</f>
        <v/>
      </c>
      <c r="R575">
        <f>IF(A575="","",COUNTIF($A$5:$A$1004,"&lt;"&amp;A575)+COUNTIF($A$5:A575,A575))</f>
        <v/>
      </c>
    </row>
    <row r="576">
      <c r="A576" s="64" t="n"/>
      <c r="B576" s="64" t="n"/>
      <c r="C576" s="66" t="n"/>
      <c r="D576" s="66" t="n"/>
      <c r="E576" s="67" t="n"/>
      <c r="F576" s="67" t="n"/>
      <c r="G576" s="67" t="n"/>
      <c r="H576" s="67" t="n"/>
      <c r="I576" s="67" t="n"/>
      <c r="J576" s="67" t="n"/>
      <c r="K576" s="67" t="n"/>
      <c r="L576" s="67" t="n"/>
      <c r="M576" s="64" t="n"/>
      <c r="N576" s="84">
        <f>IF(A576="","",IFERROR(INDEX(Firms!$B$5:$B$1004,MATCH(A576,Firms!$A$5:$A$1004,0)),"Not on Firms tab"))</f>
        <v/>
      </c>
      <c r="O576" s="84">
        <f>IF(A576="","",IF(AND(D576&lt;&gt;"",D576&lt;TODAY()),"Expired",IF(AND(C576&lt;&gt;"",C576&gt;TODAY()),"Not yet effective",IF(C576="","No date",IF(TODAY()&gt;=EDATE(C576,Review_Months),"Review Due","Current")))))</f>
        <v/>
      </c>
      <c r="P576">
        <f>IF(A576="","",A576&amp;"|"&amp;B576)</f>
        <v/>
      </c>
      <c r="Q576">
        <f>IF(AND(A576&lt;&gt;"",A576='Firm Search'!$C$7),COUNTIF($A$5:A576,'Firm Search'!$C$7),"")</f>
        <v/>
      </c>
      <c r="R576">
        <f>IF(A576="","",COUNTIF($A$5:$A$1004,"&lt;"&amp;A576)+COUNTIF($A$5:A576,A576))</f>
        <v/>
      </c>
    </row>
    <row r="577">
      <c r="A577" s="64" t="n"/>
      <c r="B577" s="64" t="n"/>
      <c r="C577" s="66" t="n"/>
      <c r="D577" s="66" t="n"/>
      <c r="E577" s="67" t="n"/>
      <c r="F577" s="67" t="n"/>
      <c r="G577" s="67" t="n"/>
      <c r="H577" s="67" t="n"/>
      <c r="I577" s="67" t="n"/>
      <c r="J577" s="67" t="n"/>
      <c r="K577" s="67" t="n"/>
      <c r="L577" s="67" t="n"/>
      <c r="M577" s="64" t="n"/>
      <c r="N577" s="84">
        <f>IF(A577="","",IFERROR(INDEX(Firms!$B$5:$B$1004,MATCH(A577,Firms!$A$5:$A$1004,0)),"Not on Firms tab"))</f>
        <v/>
      </c>
      <c r="O577" s="84">
        <f>IF(A577="","",IF(AND(D577&lt;&gt;"",D577&lt;TODAY()),"Expired",IF(AND(C577&lt;&gt;"",C577&gt;TODAY()),"Not yet effective",IF(C577="","No date",IF(TODAY()&gt;=EDATE(C577,Review_Months),"Review Due","Current")))))</f>
        <v/>
      </c>
      <c r="P577">
        <f>IF(A577="","",A577&amp;"|"&amp;B577)</f>
        <v/>
      </c>
      <c r="Q577">
        <f>IF(AND(A577&lt;&gt;"",A577='Firm Search'!$C$7),COUNTIF($A$5:A577,'Firm Search'!$C$7),"")</f>
        <v/>
      </c>
      <c r="R577">
        <f>IF(A577="","",COUNTIF($A$5:$A$1004,"&lt;"&amp;A577)+COUNTIF($A$5:A577,A577))</f>
        <v/>
      </c>
    </row>
    <row r="578">
      <c r="A578" s="64" t="n"/>
      <c r="B578" s="64" t="n"/>
      <c r="C578" s="66" t="n"/>
      <c r="D578" s="66" t="n"/>
      <c r="E578" s="67" t="n"/>
      <c r="F578" s="67" t="n"/>
      <c r="G578" s="67" t="n"/>
      <c r="H578" s="67" t="n"/>
      <c r="I578" s="67" t="n"/>
      <c r="J578" s="67" t="n"/>
      <c r="K578" s="67" t="n"/>
      <c r="L578" s="67" t="n"/>
      <c r="M578" s="64" t="n"/>
      <c r="N578" s="84">
        <f>IF(A578="","",IFERROR(INDEX(Firms!$B$5:$B$1004,MATCH(A578,Firms!$A$5:$A$1004,0)),"Not on Firms tab"))</f>
        <v/>
      </c>
      <c r="O578" s="84">
        <f>IF(A578="","",IF(AND(D578&lt;&gt;"",D578&lt;TODAY()),"Expired",IF(AND(C578&lt;&gt;"",C578&gt;TODAY()),"Not yet effective",IF(C578="","No date",IF(TODAY()&gt;=EDATE(C578,Review_Months),"Review Due","Current")))))</f>
        <v/>
      </c>
      <c r="P578">
        <f>IF(A578="","",A578&amp;"|"&amp;B578)</f>
        <v/>
      </c>
      <c r="Q578">
        <f>IF(AND(A578&lt;&gt;"",A578='Firm Search'!$C$7),COUNTIF($A$5:A578,'Firm Search'!$C$7),"")</f>
        <v/>
      </c>
      <c r="R578">
        <f>IF(A578="","",COUNTIF($A$5:$A$1004,"&lt;"&amp;A578)+COUNTIF($A$5:A578,A578))</f>
        <v/>
      </c>
    </row>
    <row r="579">
      <c r="A579" s="64" t="n"/>
      <c r="B579" s="64" t="n"/>
      <c r="C579" s="66" t="n"/>
      <c r="D579" s="66" t="n"/>
      <c r="E579" s="67" t="n"/>
      <c r="F579" s="67" t="n"/>
      <c r="G579" s="67" t="n"/>
      <c r="H579" s="67" t="n"/>
      <c r="I579" s="67" t="n"/>
      <c r="J579" s="67" t="n"/>
      <c r="K579" s="67" t="n"/>
      <c r="L579" s="67" t="n"/>
      <c r="M579" s="64" t="n"/>
      <c r="N579" s="84">
        <f>IF(A579="","",IFERROR(INDEX(Firms!$B$5:$B$1004,MATCH(A579,Firms!$A$5:$A$1004,0)),"Not on Firms tab"))</f>
        <v/>
      </c>
      <c r="O579" s="84">
        <f>IF(A579="","",IF(AND(D579&lt;&gt;"",D579&lt;TODAY()),"Expired",IF(AND(C579&lt;&gt;"",C579&gt;TODAY()),"Not yet effective",IF(C579="","No date",IF(TODAY()&gt;=EDATE(C579,Review_Months),"Review Due","Current")))))</f>
        <v/>
      </c>
      <c r="P579">
        <f>IF(A579="","",A579&amp;"|"&amp;B579)</f>
        <v/>
      </c>
      <c r="Q579">
        <f>IF(AND(A579&lt;&gt;"",A579='Firm Search'!$C$7),COUNTIF($A$5:A579,'Firm Search'!$C$7),"")</f>
        <v/>
      </c>
      <c r="R579">
        <f>IF(A579="","",COUNTIF($A$5:$A$1004,"&lt;"&amp;A579)+COUNTIF($A$5:A579,A579))</f>
        <v/>
      </c>
    </row>
    <row r="580">
      <c r="A580" s="64" t="n"/>
      <c r="B580" s="64" t="n"/>
      <c r="C580" s="66" t="n"/>
      <c r="D580" s="66" t="n"/>
      <c r="E580" s="67" t="n"/>
      <c r="F580" s="67" t="n"/>
      <c r="G580" s="67" t="n"/>
      <c r="H580" s="67" t="n"/>
      <c r="I580" s="67" t="n"/>
      <c r="J580" s="67" t="n"/>
      <c r="K580" s="67" t="n"/>
      <c r="L580" s="67" t="n"/>
      <c r="M580" s="64" t="n"/>
      <c r="N580" s="84">
        <f>IF(A580="","",IFERROR(INDEX(Firms!$B$5:$B$1004,MATCH(A580,Firms!$A$5:$A$1004,0)),"Not on Firms tab"))</f>
        <v/>
      </c>
      <c r="O580" s="84">
        <f>IF(A580="","",IF(AND(D580&lt;&gt;"",D580&lt;TODAY()),"Expired",IF(AND(C580&lt;&gt;"",C580&gt;TODAY()),"Not yet effective",IF(C580="","No date",IF(TODAY()&gt;=EDATE(C580,Review_Months),"Review Due","Current")))))</f>
        <v/>
      </c>
      <c r="P580">
        <f>IF(A580="","",A580&amp;"|"&amp;B580)</f>
        <v/>
      </c>
      <c r="Q580">
        <f>IF(AND(A580&lt;&gt;"",A580='Firm Search'!$C$7),COUNTIF($A$5:A580,'Firm Search'!$C$7),"")</f>
        <v/>
      </c>
      <c r="R580">
        <f>IF(A580="","",COUNTIF($A$5:$A$1004,"&lt;"&amp;A580)+COUNTIF($A$5:A580,A580))</f>
        <v/>
      </c>
    </row>
    <row r="581">
      <c r="A581" s="64" t="n"/>
      <c r="B581" s="64" t="n"/>
      <c r="C581" s="66" t="n"/>
      <c r="D581" s="66" t="n"/>
      <c r="E581" s="67" t="n"/>
      <c r="F581" s="67" t="n"/>
      <c r="G581" s="67" t="n"/>
      <c r="H581" s="67" t="n"/>
      <c r="I581" s="67" t="n"/>
      <c r="J581" s="67" t="n"/>
      <c r="K581" s="67" t="n"/>
      <c r="L581" s="67" t="n"/>
      <c r="M581" s="64" t="n"/>
      <c r="N581" s="84">
        <f>IF(A581="","",IFERROR(INDEX(Firms!$B$5:$B$1004,MATCH(A581,Firms!$A$5:$A$1004,0)),"Not on Firms tab"))</f>
        <v/>
      </c>
      <c r="O581" s="84">
        <f>IF(A581="","",IF(AND(D581&lt;&gt;"",D581&lt;TODAY()),"Expired",IF(AND(C581&lt;&gt;"",C581&gt;TODAY()),"Not yet effective",IF(C581="","No date",IF(TODAY()&gt;=EDATE(C581,Review_Months),"Review Due","Current")))))</f>
        <v/>
      </c>
      <c r="P581">
        <f>IF(A581="","",A581&amp;"|"&amp;B581)</f>
        <v/>
      </c>
      <c r="Q581">
        <f>IF(AND(A581&lt;&gt;"",A581='Firm Search'!$C$7),COUNTIF($A$5:A581,'Firm Search'!$C$7),"")</f>
        <v/>
      </c>
      <c r="R581">
        <f>IF(A581="","",COUNTIF($A$5:$A$1004,"&lt;"&amp;A581)+COUNTIF($A$5:A581,A581))</f>
        <v/>
      </c>
    </row>
    <row r="582">
      <c r="A582" s="64" t="n"/>
      <c r="B582" s="64" t="n"/>
      <c r="C582" s="66" t="n"/>
      <c r="D582" s="66" t="n"/>
      <c r="E582" s="67" t="n"/>
      <c r="F582" s="67" t="n"/>
      <c r="G582" s="67" t="n"/>
      <c r="H582" s="67" t="n"/>
      <c r="I582" s="67" t="n"/>
      <c r="J582" s="67" t="n"/>
      <c r="K582" s="67" t="n"/>
      <c r="L582" s="67" t="n"/>
      <c r="M582" s="64" t="n"/>
      <c r="N582" s="84">
        <f>IF(A582="","",IFERROR(INDEX(Firms!$B$5:$B$1004,MATCH(A582,Firms!$A$5:$A$1004,0)),"Not on Firms tab"))</f>
        <v/>
      </c>
      <c r="O582" s="84">
        <f>IF(A582="","",IF(AND(D582&lt;&gt;"",D582&lt;TODAY()),"Expired",IF(AND(C582&lt;&gt;"",C582&gt;TODAY()),"Not yet effective",IF(C582="","No date",IF(TODAY()&gt;=EDATE(C582,Review_Months),"Review Due","Current")))))</f>
        <v/>
      </c>
      <c r="P582">
        <f>IF(A582="","",A582&amp;"|"&amp;B582)</f>
        <v/>
      </c>
      <c r="Q582">
        <f>IF(AND(A582&lt;&gt;"",A582='Firm Search'!$C$7),COUNTIF($A$5:A582,'Firm Search'!$C$7),"")</f>
        <v/>
      </c>
      <c r="R582">
        <f>IF(A582="","",COUNTIF($A$5:$A$1004,"&lt;"&amp;A582)+COUNTIF($A$5:A582,A582))</f>
        <v/>
      </c>
    </row>
    <row r="583">
      <c r="A583" s="64" t="n"/>
      <c r="B583" s="64" t="n"/>
      <c r="C583" s="66" t="n"/>
      <c r="D583" s="66" t="n"/>
      <c r="E583" s="67" t="n"/>
      <c r="F583" s="67" t="n"/>
      <c r="G583" s="67" t="n"/>
      <c r="H583" s="67" t="n"/>
      <c r="I583" s="67" t="n"/>
      <c r="J583" s="67" t="n"/>
      <c r="K583" s="67" t="n"/>
      <c r="L583" s="67" t="n"/>
      <c r="M583" s="64" t="n"/>
      <c r="N583" s="84">
        <f>IF(A583="","",IFERROR(INDEX(Firms!$B$5:$B$1004,MATCH(A583,Firms!$A$5:$A$1004,0)),"Not on Firms tab"))</f>
        <v/>
      </c>
      <c r="O583" s="84">
        <f>IF(A583="","",IF(AND(D583&lt;&gt;"",D583&lt;TODAY()),"Expired",IF(AND(C583&lt;&gt;"",C583&gt;TODAY()),"Not yet effective",IF(C583="","No date",IF(TODAY()&gt;=EDATE(C583,Review_Months),"Review Due","Current")))))</f>
        <v/>
      </c>
      <c r="P583">
        <f>IF(A583="","",A583&amp;"|"&amp;B583)</f>
        <v/>
      </c>
      <c r="Q583">
        <f>IF(AND(A583&lt;&gt;"",A583='Firm Search'!$C$7),COUNTIF($A$5:A583,'Firm Search'!$C$7),"")</f>
        <v/>
      </c>
      <c r="R583">
        <f>IF(A583="","",COUNTIF($A$5:$A$1004,"&lt;"&amp;A583)+COUNTIF($A$5:A583,A583))</f>
        <v/>
      </c>
    </row>
    <row r="584">
      <c r="A584" s="64" t="n"/>
      <c r="B584" s="64" t="n"/>
      <c r="C584" s="66" t="n"/>
      <c r="D584" s="66" t="n"/>
      <c r="E584" s="67" t="n"/>
      <c r="F584" s="67" t="n"/>
      <c r="G584" s="67" t="n"/>
      <c r="H584" s="67" t="n"/>
      <c r="I584" s="67" t="n"/>
      <c r="J584" s="67" t="n"/>
      <c r="K584" s="67" t="n"/>
      <c r="L584" s="67" t="n"/>
      <c r="M584" s="64" t="n"/>
      <c r="N584" s="84">
        <f>IF(A584="","",IFERROR(INDEX(Firms!$B$5:$B$1004,MATCH(A584,Firms!$A$5:$A$1004,0)),"Not on Firms tab"))</f>
        <v/>
      </c>
      <c r="O584" s="84">
        <f>IF(A584="","",IF(AND(D584&lt;&gt;"",D584&lt;TODAY()),"Expired",IF(AND(C584&lt;&gt;"",C584&gt;TODAY()),"Not yet effective",IF(C584="","No date",IF(TODAY()&gt;=EDATE(C584,Review_Months),"Review Due","Current")))))</f>
        <v/>
      </c>
      <c r="P584">
        <f>IF(A584="","",A584&amp;"|"&amp;B584)</f>
        <v/>
      </c>
      <c r="Q584">
        <f>IF(AND(A584&lt;&gt;"",A584='Firm Search'!$C$7),COUNTIF($A$5:A584,'Firm Search'!$C$7),"")</f>
        <v/>
      </c>
      <c r="R584">
        <f>IF(A584="","",COUNTIF($A$5:$A$1004,"&lt;"&amp;A584)+COUNTIF($A$5:A584,A584))</f>
        <v/>
      </c>
    </row>
    <row r="585">
      <c r="A585" s="64" t="n"/>
      <c r="B585" s="64" t="n"/>
      <c r="C585" s="66" t="n"/>
      <c r="D585" s="66" t="n"/>
      <c r="E585" s="67" t="n"/>
      <c r="F585" s="67" t="n"/>
      <c r="G585" s="67" t="n"/>
      <c r="H585" s="67" t="n"/>
      <c r="I585" s="67" t="n"/>
      <c r="J585" s="67" t="n"/>
      <c r="K585" s="67" t="n"/>
      <c r="L585" s="67" t="n"/>
      <c r="M585" s="64" t="n"/>
      <c r="N585" s="84">
        <f>IF(A585="","",IFERROR(INDEX(Firms!$B$5:$B$1004,MATCH(A585,Firms!$A$5:$A$1004,0)),"Not on Firms tab"))</f>
        <v/>
      </c>
      <c r="O585" s="84">
        <f>IF(A585="","",IF(AND(D585&lt;&gt;"",D585&lt;TODAY()),"Expired",IF(AND(C585&lt;&gt;"",C585&gt;TODAY()),"Not yet effective",IF(C585="","No date",IF(TODAY()&gt;=EDATE(C585,Review_Months),"Review Due","Current")))))</f>
        <v/>
      </c>
      <c r="P585">
        <f>IF(A585="","",A585&amp;"|"&amp;B585)</f>
        <v/>
      </c>
      <c r="Q585">
        <f>IF(AND(A585&lt;&gt;"",A585='Firm Search'!$C$7),COUNTIF($A$5:A585,'Firm Search'!$C$7),"")</f>
        <v/>
      </c>
      <c r="R585">
        <f>IF(A585="","",COUNTIF($A$5:$A$1004,"&lt;"&amp;A585)+COUNTIF($A$5:A585,A585))</f>
        <v/>
      </c>
    </row>
    <row r="586">
      <c r="A586" s="64" t="n"/>
      <c r="B586" s="64" t="n"/>
      <c r="C586" s="66" t="n"/>
      <c r="D586" s="66" t="n"/>
      <c r="E586" s="67" t="n"/>
      <c r="F586" s="67" t="n"/>
      <c r="G586" s="67" t="n"/>
      <c r="H586" s="67" t="n"/>
      <c r="I586" s="67" t="n"/>
      <c r="J586" s="67" t="n"/>
      <c r="K586" s="67" t="n"/>
      <c r="L586" s="67" t="n"/>
      <c r="M586" s="64" t="n"/>
      <c r="N586" s="84">
        <f>IF(A586="","",IFERROR(INDEX(Firms!$B$5:$B$1004,MATCH(A586,Firms!$A$5:$A$1004,0)),"Not on Firms tab"))</f>
        <v/>
      </c>
      <c r="O586" s="84">
        <f>IF(A586="","",IF(AND(D586&lt;&gt;"",D586&lt;TODAY()),"Expired",IF(AND(C586&lt;&gt;"",C586&gt;TODAY()),"Not yet effective",IF(C586="","No date",IF(TODAY()&gt;=EDATE(C586,Review_Months),"Review Due","Current")))))</f>
        <v/>
      </c>
      <c r="P586">
        <f>IF(A586="","",A586&amp;"|"&amp;B586)</f>
        <v/>
      </c>
      <c r="Q586">
        <f>IF(AND(A586&lt;&gt;"",A586='Firm Search'!$C$7),COUNTIF($A$5:A586,'Firm Search'!$C$7),"")</f>
        <v/>
      </c>
      <c r="R586">
        <f>IF(A586="","",COUNTIF($A$5:$A$1004,"&lt;"&amp;A586)+COUNTIF($A$5:A586,A586))</f>
        <v/>
      </c>
    </row>
    <row r="587">
      <c r="A587" s="64" t="n"/>
      <c r="B587" s="64" t="n"/>
      <c r="C587" s="66" t="n"/>
      <c r="D587" s="66" t="n"/>
      <c r="E587" s="67" t="n"/>
      <c r="F587" s="67" t="n"/>
      <c r="G587" s="67" t="n"/>
      <c r="H587" s="67" t="n"/>
      <c r="I587" s="67" t="n"/>
      <c r="J587" s="67" t="n"/>
      <c r="K587" s="67" t="n"/>
      <c r="L587" s="67" t="n"/>
      <c r="M587" s="64" t="n"/>
      <c r="N587" s="84">
        <f>IF(A587="","",IFERROR(INDEX(Firms!$B$5:$B$1004,MATCH(A587,Firms!$A$5:$A$1004,0)),"Not on Firms tab"))</f>
        <v/>
      </c>
      <c r="O587" s="84">
        <f>IF(A587="","",IF(AND(D587&lt;&gt;"",D587&lt;TODAY()),"Expired",IF(AND(C587&lt;&gt;"",C587&gt;TODAY()),"Not yet effective",IF(C587="","No date",IF(TODAY()&gt;=EDATE(C587,Review_Months),"Review Due","Current")))))</f>
        <v/>
      </c>
      <c r="P587">
        <f>IF(A587="","",A587&amp;"|"&amp;B587)</f>
        <v/>
      </c>
      <c r="Q587">
        <f>IF(AND(A587&lt;&gt;"",A587='Firm Search'!$C$7),COUNTIF($A$5:A587,'Firm Search'!$C$7),"")</f>
        <v/>
      </c>
      <c r="R587">
        <f>IF(A587="","",COUNTIF($A$5:$A$1004,"&lt;"&amp;A587)+COUNTIF($A$5:A587,A587))</f>
        <v/>
      </c>
    </row>
    <row r="588">
      <c r="A588" s="64" t="n"/>
      <c r="B588" s="64" t="n"/>
      <c r="C588" s="66" t="n"/>
      <c r="D588" s="66" t="n"/>
      <c r="E588" s="67" t="n"/>
      <c r="F588" s="67" t="n"/>
      <c r="G588" s="67" t="n"/>
      <c r="H588" s="67" t="n"/>
      <c r="I588" s="67" t="n"/>
      <c r="J588" s="67" t="n"/>
      <c r="K588" s="67" t="n"/>
      <c r="L588" s="67" t="n"/>
      <c r="M588" s="64" t="n"/>
      <c r="N588" s="84">
        <f>IF(A588="","",IFERROR(INDEX(Firms!$B$5:$B$1004,MATCH(A588,Firms!$A$5:$A$1004,0)),"Not on Firms tab"))</f>
        <v/>
      </c>
      <c r="O588" s="84">
        <f>IF(A588="","",IF(AND(D588&lt;&gt;"",D588&lt;TODAY()),"Expired",IF(AND(C588&lt;&gt;"",C588&gt;TODAY()),"Not yet effective",IF(C588="","No date",IF(TODAY()&gt;=EDATE(C588,Review_Months),"Review Due","Current")))))</f>
        <v/>
      </c>
      <c r="P588">
        <f>IF(A588="","",A588&amp;"|"&amp;B588)</f>
        <v/>
      </c>
      <c r="Q588">
        <f>IF(AND(A588&lt;&gt;"",A588='Firm Search'!$C$7),COUNTIF($A$5:A588,'Firm Search'!$C$7),"")</f>
        <v/>
      </c>
      <c r="R588">
        <f>IF(A588="","",COUNTIF($A$5:$A$1004,"&lt;"&amp;A588)+COUNTIF($A$5:A588,A588))</f>
        <v/>
      </c>
    </row>
    <row r="589">
      <c r="A589" s="64" t="n"/>
      <c r="B589" s="64" t="n"/>
      <c r="C589" s="66" t="n"/>
      <c r="D589" s="66" t="n"/>
      <c r="E589" s="67" t="n"/>
      <c r="F589" s="67" t="n"/>
      <c r="G589" s="67" t="n"/>
      <c r="H589" s="67" t="n"/>
      <c r="I589" s="67" t="n"/>
      <c r="J589" s="67" t="n"/>
      <c r="K589" s="67" t="n"/>
      <c r="L589" s="67" t="n"/>
      <c r="M589" s="64" t="n"/>
      <c r="N589" s="84">
        <f>IF(A589="","",IFERROR(INDEX(Firms!$B$5:$B$1004,MATCH(A589,Firms!$A$5:$A$1004,0)),"Not on Firms tab"))</f>
        <v/>
      </c>
      <c r="O589" s="84">
        <f>IF(A589="","",IF(AND(D589&lt;&gt;"",D589&lt;TODAY()),"Expired",IF(AND(C589&lt;&gt;"",C589&gt;TODAY()),"Not yet effective",IF(C589="","No date",IF(TODAY()&gt;=EDATE(C589,Review_Months),"Review Due","Current")))))</f>
        <v/>
      </c>
      <c r="P589">
        <f>IF(A589="","",A589&amp;"|"&amp;B589)</f>
        <v/>
      </c>
      <c r="Q589">
        <f>IF(AND(A589&lt;&gt;"",A589='Firm Search'!$C$7),COUNTIF($A$5:A589,'Firm Search'!$C$7),"")</f>
        <v/>
      </c>
      <c r="R589">
        <f>IF(A589="","",COUNTIF($A$5:$A$1004,"&lt;"&amp;A589)+COUNTIF($A$5:A589,A589))</f>
        <v/>
      </c>
    </row>
    <row r="590">
      <c r="A590" s="64" t="n"/>
      <c r="B590" s="64" t="n"/>
      <c r="C590" s="66" t="n"/>
      <c r="D590" s="66" t="n"/>
      <c r="E590" s="67" t="n"/>
      <c r="F590" s="67" t="n"/>
      <c r="G590" s="67" t="n"/>
      <c r="H590" s="67" t="n"/>
      <c r="I590" s="67" t="n"/>
      <c r="J590" s="67" t="n"/>
      <c r="K590" s="67" t="n"/>
      <c r="L590" s="67" t="n"/>
      <c r="M590" s="64" t="n"/>
      <c r="N590" s="84">
        <f>IF(A590="","",IFERROR(INDEX(Firms!$B$5:$B$1004,MATCH(A590,Firms!$A$5:$A$1004,0)),"Not on Firms tab"))</f>
        <v/>
      </c>
      <c r="O590" s="84">
        <f>IF(A590="","",IF(AND(D590&lt;&gt;"",D590&lt;TODAY()),"Expired",IF(AND(C590&lt;&gt;"",C590&gt;TODAY()),"Not yet effective",IF(C590="","No date",IF(TODAY()&gt;=EDATE(C590,Review_Months),"Review Due","Current")))))</f>
        <v/>
      </c>
      <c r="P590">
        <f>IF(A590="","",A590&amp;"|"&amp;B590)</f>
        <v/>
      </c>
      <c r="Q590">
        <f>IF(AND(A590&lt;&gt;"",A590='Firm Search'!$C$7),COUNTIF($A$5:A590,'Firm Search'!$C$7),"")</f>
        <v/>
      </c>
      <c r="R590">
        <f>IF(A590="","",COUNTIF($A$5:$A$1004,"&lt;"&amp;A590)+COUNTIF($A$5:A590,A590))</f>
        <v/>
      </c>
    </row>
    <row r="591">
      <c r="A591" s="64" t="n"/>
      <c r="B591" s="64" t="n"/>
      <c r="C591" s="66" t="n"/>
      <c r="D591" s="66" t="n"/>
      <c r="E591" s="67" t="n"/>
      <c r="F591" s="67" t="n"/>
      <c r="G591" s="67" t="n"/>
      <c r="H591" s="67" t="n"/>
      <c r="I591" s="67" t="n"/>
      <c r="J591" s="67" t="n"/>
      <c r="K591" s="67" t="n"/>
      <c r="L591" s="67" t="n"/>
      <c r="M591" s="64" t="n"/>
      <c r="N591" s="84">
        <f>IF(A591="","",IFERROR(INDEX(Firms!$B$5:$B$1004,MATCH(A591,Firms!$A$5:$A$1004,0)),"Not on Firms tab"))</f>
        <v/>
      </c>
      <c r="O591" s="84">
        <f>IF(A591="","",IF(AND(D591&lt;&gt;"",D591&lt;TODAY()),"Expired",IF(AND(C591&lt;&gt;"",C591&gt;TODAY()),"Not yet effective",IF(C591="","No date",IF(TODAY()&gt;=EDATE(C591,Review_Months),"Review Due","Current")))))</f>
        <v/>
      </c>
      <c r="P591">
        <f>IF(A591="","",A591&amp;"|"&amp;B591)</f>
        <v/>
      </c>
      <c r="Q591">
        <f>IF(AND(A591&lt;&gt;"",A591='Firm Search'!$C$7),COUNTIF($A$5:A591,'Firm Search'!$C$7),"")</f>
        <v/>
      </c>
      <c r="R591">
        <f>IF(A591="","",COUNTIF($A$5:$A$1004,"&lt;"&amp;A591)+COUNTIF($A$5:A591,A591))</f>
        <v/>
      </c>
    </row>
    <row r="592">
      <c r="A592" s="64" t="n"/>
      <c r="B592" s="64" t="n"/>
      <c r="C592" s="66" t="n"/>
      <c r="D592" s="66" t="n"/>
      <c r="E592" s="67" t="n"/>
      <c r="F592" s="67" t="n"/>
      <c r="G592" s="67" t="n"/>
      <c r="H592" s="67" t="n"/>
      <c r="I592" s="67" t="n"/>
      <c r="J592" s="67" t="n"/>
      <c r="K592" s="67" t="n"/>
      <c r="L592" s="67" t="n"/>
      <c r="M592" s="64" t="n"/>
      <c r="N592" s="84">
        <f>IF(A592="","",IFERROR(INDEX(Firms!$B$5:$B$1004,MATCH(A592,Firms!$A$5:$A$1004,0)),"Not on Firms tab"))</f>
        <v/>
      </c>
      <c r="O592" s="84">
        <f>IF(A592="","",IF(AND(D592&lt;&gt;"",D592&lt;TODAY()),"Expired",IF(AND(C592&lt;&gt;"",C592&gt;TODAY()),"Not yet effective",IF(C592="","No date",IF(TODAY()&gt;=EDATE(C592,Review_Months),"Review Due","Current")))))</f>
        <v/>
      </c>
      <c r="P592">
        <f>IF(A592="","",A592&amp;"|"&amp;B592)</f>
        <v/>
      </c>
      <c r="Q592">
        <f>IF(AND(A592&lt;&gt;"",A592='Firm Search'!$C$7),COUNTIF($A$5:A592,'Firm Search'!$C$7),"")</f>
        <v/>
      </c>
      <c r="R592">
        <f>IF(A592="","",COUNTIF($A$5:$A$1004,"&lt;"&amp;A592)+COUNTIF($A$5:A592,A592))</f>
        <v/>
      </c>
    </row>
    <row r="593">
      <c r="A593" s="64" t="n"/>
      <c r="B593" s="64" t="n"/>
      <c r="C593" s="66" t="n"/>
      <c r="D593" s="66" t="n"/>
      <c r="E593" s="67" t="n"/>
      <c r="F593" s="67" t="n"/>
      <c r="G593" s="67" t="n"/>
      <c r="H593" s="67" t="n"/>
      <c r="I593" s="67" t="n"/>
      <c r="J593" s="67" t="n"/>
      <c r="K593" s="67" t="n"/>
      <c r="L593" s="67" t="n"/>
      <c r="M593" s="64" t="n"/>
      <c r="N593" s="84">
        <f>IF(A593="","",IFERROR(INDEX(Firms!$B$5:$B$1004,MATCH(A593,Firms!$A$5:$A$1004,0)),"Not on Firms tab"))</f>
        <v/>
      </c>
      <c r="O593" s="84">
        <f>IF(A593="","",IF(AND(D593&lt;&gt;"",D593&lt;TODAY()),"Expired",IF(AND(C593&lt;&gt;"",C593&gt;TODAY()),"Not yet effective",IF(C593="","No date",IF(TODAY()&gt;=EDATE(C593,Review_Months),"Review Due","Current")))))</f>
        <v/>
      </c>
      <c r="P593">
        <f>IF(A593="","",A593&amp;"|"&amp;B593)</f>
        <v/>
      </c>
      <c r="Q593">
        <f>IF(AND(A593&lt;&gt;"",A593='Firm Search'!$C$7),COUNTIF($A$5:A593,'Firm Search'!$C$7),"")</f>
        <v/>
      </c>
      <c r="R593">
        <f>IF(A593="","",COUNTIF($A$5:$A$1004,"&lt;"&amp;A593)+COUNTIF($A$5:A593,A593))</f>
        <v/>
      </c>
    </row>
    <row r="594">
      <c r="A594" s="64" t="n"/>
      <c r="B594" s="64" t="n"/>
      <c r="C594" s="66" t="n"/>
      <c r="D594" s="66" t="n"/>
      <c r="E594" s="67" t="n"/>
      <c r="F594" s="67" t="n"/>
      <c r="G594" s="67" t="n"/>
      <c r="H594" s="67" t="n"/>
      <c r="I594" s="67" t="n"/>
      <c r="J594" s="67" t="n"/>
      <c r="K594" s="67" t="n"/>
      <c r="L594" s="67" t="n"/>
      <c r="M594" s="64" t="n"/>
      <c r="N594" s="84">
        <f>IF(A594="","",IFERROR(INDEX(Firms!$B$5:$B$1004,MATCH(A594,Firms!$A$5:$A$1004,0)),"Not on Firms tab"))</f>
        <v/>
      </c>
      <c r="O594" s="84">
        <f>IF(A594="","",IF(AND(D594&lt;&gt;"",D594&lt;TODAY()),"Expired",IF(AND(C594&lt;&gt;"",C594&gt;TODAY()),"Not yet effective",IF(C594="","No date",IF(TODAY()&gt;=EDATE(C594,Review_Months),"Review Due","Current")))))</f>
        <v/>
      </c>
      <c r="P594">
        <f>IF(A594="","",A594&amp;"|"&amp;B594)</f>
        <v/>
      </c>
      <c r="Q594">
        <f>IF(AND(A594&lt;&gt;"",A594='Firm Search'!$C$7),COUNTIF($A$5:A594,'Firm Search'!$C$7),"")</f>
        <v/>
      </c>
      <c r="R594">
        <f>IF(A594="","",COUNTIF($A$5:$A$1004,"&lt;"&amp;A594)+COUNTIF($A$5:A594,A594))</f>
        <v/>
      </c>
    </row>
    <row r="595">
      <c r="A595" s="64" t="n"/>
      <c r="B595" s="64" t="n"/>
      <c r="C595" s="66" t="n"/>
      <c r="D595" s="66" t="n"/>
      <c r="E595" s="67" t="n"/>
      <c r="F595" s="67" t="n"/>
      <c r="G595" s="67" t="n"/>
      <c r="H595" s="67" t="n"/>
      <c r="I595" s="67" t="n"/>
      <c r="J595" s="67" t="n"/>
      <c r="K595" s="67" t="n"/>
      <c r="L595" s="67" t="n"/>
      <c r="M595" s="64" t="n"/>
      <c r="N595" s="84">
        <f>IF(A595="","",IFERROR(INDEX(Firms!$B$5:$B$1004,MATCH(A595,Firms!$A$5:$A$1004,0)),"Not on Firms tab"))</f>
        <v/>
      </c>
      <c r="O595" s="84">
        <f>IF(A595="","",IF(AND(D595&lt;&gt;"",D595&lt;TODAY()),"Expired",IF(AND(C595&lt;&gt;"",C595&gt;TODAY()),"Not yet effective",IF(C595="","No date",IF(TODAY()&gt;=EDATE(C595,Review_Months),"Review Due","Current")))))</f>
        <v/>
      </c>
      <c r="P595">
        <f>IF(A595="","",A595&amp;"|"&amp;B595)</f>
        <v/>
      </c>
      <c r="Q595">
        <f>IF(AND(A595&lt;&gt;"",A595='Firm Search'!$C$7),COUNTIF($A$5:A595,'Firm Search'!$C$7),"")</f>
        <v/>
      </c>
      <c r="R595">
        <f>IF(A595="","",COUNTIF($A$5:$A$1004,"&lt;"&amp;A595)+COUNTIF($A$5:A595,A595))</f>
        <v/>
      </c>
    </row>
    <row r="596">
      <c r="A596" s="64" t="n"/>
      <c r="B596" s="64" t="n"/>
      <c r="C596" s="66" t="n"/>
      <c r="D596" s="66" t="n"/>
      <c r="E596" s="67" t="n"/>
      <c r="F596" s="67" t="n"/>
      <c r="G596" s="67" t="n"/>
      <c r="H596" s="67" t="n"/>
      <c r="I596" s="67" t="n"/>
      <c r="J596" s="67" t="n"/>
      <c r="K596" s="67" t="n"/>
      <c r="L596" s="67" t="n"/>
      <c r="M596" s="64" t="n"/>
      <c r="N596" s="84">
        <f>IF(A596="","",IFERROR(INDEX(Firms!$B$5:$B$1004,MATCH(A596,Firms!$A$5:$A$1004,0)),"Not on Firms tab"))</f>
        <v/>
      </c>
      <c r="O596" s="84">
        <f>IF(A596="","",IF(AND(D596&lt;&gt;"",D596&lt;TODAY()),"Expired",IF(AND(C596&lt;&gt;"",C596&gt;TODAY()),"Not yet effective",IF(C596="","No date",IF(TODAY()&gt;=EDATE(C596,Review_Months),"Review Due","Current")))))</f>
        <v/>
      </c>
      <c r="P596">
        <f>IF(A596="","",A596&amp;"|"&amp;B596)</f>
        <v/>
      </c>
      <c r="Q596">
        <f>IF(AND(A596&lt;&gt;"",A596='Firm Search'!$C$7),COUNTIF($A$5:A596,'Firm Search'!$C$7),"")</f>
        <v/>
      </c>
      <c r="R596">
        <f>IF(A596="","",COUNTIF($A$5:$A$1004,"&lt;"&amp;A596)+COUNTIF($A$5:A596,A596))</f>
        <v/>
      </c>
    </row>
    <row r="597">
      <c r="A597" s="64" t="n"/>
      <c r="B597" s="64" t="n"/>
      <c r="C597" s="66" t="n"/>
      <c r="D597" s="66" t="n"/>
      <c r="E597" s="67" t="n"/>
      <c r="F597" s="67" t="n"/>
      <c r="G597" s="67" t="n"/>
      <c r="H597" s="67" t="n"/>
      <c r="I597" s="67" t="n"/>
      <c r="J597" s="67" t="n"/>
      <c r="K597" s="67" t="n"/>
      <c r="L597" s="67" t="n"/>
      <c r="M597" s="64" t="n"/>
      <c r="N597" s="84">
        <f>IF(A597="","",IFERROR(INDEX(Firms!$B$5:$B$1004,MATCH(A597,Firms!$A$5:$A$1004,0)),"Not on Firms tab"))</f>
        <v/>
      </c>
      <c r="O597" s="84">
        <f>IF(A597="","",IF(AND(D597&lt;&gt;"",D597&lt;TODAY()),"Expired",IF(AND(C597&lt;&gt;"",C597&gt;TODAY()),"Not yet effective",IF(C597="","No date",IF(TODAY()&gt;=EDATE(C597,Review_Months),"Review Due","Current")))))</f>
        <v/>
      </c>
      <c r="P597">
        <f>IF(A597="","",A597&amp;"|"&amp;B597)</f>
        <v/>
      </c>
      <c r="Q597">
        <f>IF(AND(A597&lt;&gt;"",A597='Firm Search'!$C$7),COUNTIF($A$5:A597,'Firm Search'!$C$7),"")</f>
        <v/>
      </c>
      <c r="R597">
        <f>IF(A597="","",COUNTIF($A$5:$A$1004,"&lt;"&amp;A597)+COUNTIF($A$5:A597,A597))</f>
        <v/>
      </c>
    </row>
    <row r="598">
      <c r="A598" s="64" t="n"/>
      <c r="B598" s="64" t="n"/>
      <c r="C598" s="66" t="n"/>
      <c r="D598" s="66" t="n"/>
      <c r="E598" s="67" t="n"/>
      <c r="F598" s="67" t="n"/>
      <c r="G598" s="67" t="n"/>
      <c r="H598" s="67" t="n"/>
      <c r="I598" s="67" t="n"/>
      <c r="J598" s="67" t="n"/>
      <c r="K598" s="67" t="n"/>
      <c r="L598" s="67" t="n"/>
      <c r="M598" s="64" t="n"/>
      <c r="N598" s="84">
        <f>IF(A598="","",IFERROR(INDEX(Firms!$B$5:$B$1004,MATCH(A598,Firms!$A$5:$A$1004,0)),"Not on Firms tab"))</f>
        <v/>
      </c>
      <c r="O598" s="84">
        <f>IF(A598="","",IF(AND(D598&lt;&gt;"",D598&lt;TODAY()),"Expired",IF(AND(C598&lt;&gt;"",C598&gt;TODAY()),"Not yet effective",IF(C598="","No date",IF(TODAY()&gt;=EDATE(C598,Review_Months),"Review Due","Current")))))</f>
        <v/>
      </c>
      <c r="P598">
        <f>IF(A598="","",A598&amp;"|"&amp;B598)</f>
        <v/>
      </c>
      <c r="Q598">
        <f>IF(AND(A598&lt;&gt;"",A598='Firm Search'!$C$7),COUNTIF($A$5:A598,'Firm Search'!$C$7),"")</f>
        <v/>
      </c>
      <c r="R598">
        <f>IF(A598="","",COUNTIF($A$5:$A$1004,"&lt;"&amp;A598)+COUNTIF($A$5:A598,A598))</f>
        <v/>
      </c>
    </row>
    <row r="599">
      <c r="A599" s="64" t="n"/>
      <c r="B599" s="64" t="n"/>
      <c r="C599" s="66" t="n"/>
      <c r="D599" s="66" t="n"/>
      <c r="E599" s="67" t="n"/>
      <c r="F599" s="67" t="n"/>
      <c r="G599" s="67" t="n"/>
      <c r="H599" s="67" t="n"/>
      <c r="I599" s="67" t="n"/>
      <c r="J599" s="67" t="n"/>
      <c r="K599" s="67" t="n"/>
      <c r="L599" s="67" t="n"/>
      <c r="M599" s="64" t="n"/>
      <c r="N599" s="84">
        <f>IF(A599="","",IFERROR(INDEX(Firms!$B$5:$B$1004,MATCH(A599,Firms!$A$5:$A$1004,0)),"Not on Firms tab"))</f>
        <v/>
      </c>
      <c r="O599" s="84">
        <f>IF(A599="","",IF(AND(D599&lt;&gt;"",D599&lt;TODAY()),"Expired",IF(AND(C599&lt;&gt;"",C599&gt;TODAY()),"Not yet effective",IF(C599="","No date",IF(TODAY()&gt;=EDATE(C599,Review_Months),"Review Due","Current")))))</f>
        <v/>
      </c>
      <c r="P599">
        <f>IF(A599="","",A599&amp;"|"&amp;B599)</f>
        <v/>
      </c>
      <c r="Q599">
        <f>IF(AND(A599&lt;&gt;"",A599='Firm Search'!$C$7),COUNTIF($A$5:A599,'Firm Search'!$C$7),"")</f>
        <v/>
      </c>
      <c r="R599">
        <f>IF(A599="","",COUNTIF($A$5:$A$1004,"&lt;"&amp;A599)+COUNTIF($A$5:A599,A599))</f>
        <v/>
      </c>
    </row>
    <row r="600">
      <c r="A600" s="64" t="n"/>
      <c r="B600" s="64" t="n"/>
      <c r="C600" s="66" t="n"/>
      <c r="D600" s="66" t="n"/>
      <c r="E600" s="67" t="n"/>
      <c r="F600" s="67" t="n"/>
      <c r="G600" s="67" t="n"/>
      <c r="H600" s="67" t="n"/>
      <c r="I600" s="67" t="n"/>
      <c r="J600" s="67" t="n"/>
      <c r="K600" s="67" t="n"/>
      <c r="L600" s="67" t="n"/>
      <c r="M600" s="64" t="n"/>
      <c r="N600" s="84">
        <f>IF(A600="","",IFERROR(INDEX(Firms!$B$5:$B$1004,MATCH(A600,Firms!$A$5:$A$1004,0)),"Not on Firms tab"))</f>
        <v/>
      </c>
      <c r="O600" s="84">
        <f>IF(A600="","",IF(AND(D600&lt;&gt;"",D600&lt;TODAY()),"Expired",IF(AND(C600&lt;&gt;"",C600&gt;TODAY()),"Not yet effective",IF(C600="","No date",IF(TODAY()&gt;=EDATE(C600,Review_Months),"Review Due","Current")))))</f>
        <v/>
      </c>
      <c r="P600">
        <f>IF(A600="","",A600&amp;"|"&amp;B600)</f>
        <v/>
      </c>
      <c r="Q600">
        <f>IF(AND(A600&lt;&gt;"",A600='Firm Search'!$C$7),COUNTIF($A$5:A600,'Firm Search'!$C$7),"")</f>
        <v/>
      </c>
      <c r="R600">
        <f>IF(A600="","",COUNTIF($A$5:$A$1004,"&lt;"&amp;A600)+COUNTIF($A$5:A600,A600))</f>
        <v/>
      </c>
    </row>
    <row r="601">
      <c r="A601" s="64" t="n"/>
      <c r="B601" s="64" t="n"/>
      <c r="C601" s="66" t="n"/>
      <c r="D601" s="66" t="n"/>
      <c r="E601" s="67" t="n"/>
      <c r="F601" s="67" t="n"/>
      <c r="G601" s="67" t="n"/>
      <c r="H601" s="67" t="n"/>
      <c r="I601" s="67" t="n"/>
      <c r="J601" s="67" t="n"/>
      <c r="K601" s="67" t="n"/>
      <c r="L601" s="67" t="n"/>
      <c r="M601" s="64" t="n"/>
      <c r="N601" s="84">
        <f>IF(A601="","",IFERROR(INDEX(Firms!$B$5:$B$1004,MATCH(A601,Firms!$A$5:$A$1004,0)),"Not on Firms tab"))</f>
        <v/>
      </c>
      <c r="O601" s="84">
        <f>IF(A601="","",IF(AND(D601&lt;&gt;"",D601&lt;TODAY()),"Expired",IF(AND(C601&lt;&gt;"",C601&gt;TODAY()),"Not yet effective",IF(C601="","No date",IF(TODAY()&gt;=EDATE(C601,Review_Months),"Review Due","Current")))))</f>
        <v/>
      </c>
      <c r="P601">
        <f>IF(A601="","",A601&amp;"|"&amp;B601)</f>
        <v/>
      </c>
      <c r="Q601">
        <f>IF(AND(A601&lt;&gt;"",A601='Firm Search'!$C$7),COUNTIF($A$5:A601,'Firm Search'!$C$7),"")</f>
        <v/>
      </c>
      <c r="R601">
        <f>IF(A601="","",COUNTIF($A$5:$A$1004,"&lt;"&amp;A601)+COUNTIF($A$5:A601,A601))</f>
        <v/>
      </c>
    </row>
    <row r="602">
      <c r="A602" s="64" t="n"/>
      <c r="B602" s="64" t="n"/>
      <c r="C602" s="66" t="n"/>
      <c r="D602" s="66" t="n"/>
      <c r="E602" s="67" t="n"/>
      <c r="F602" s="67" t="n"/>
      <c r="G602" s="67" t="n"/>
      <c r="H602" s="67" t="n"/>
      <c r="I602" s="67" t="n"/>
      <c r="J602" s="67" t="n"/>
      <c r="K602" s="67" t="n"/>
      <c r="L602" s="67" t="n"/>
      <c r="M602" s="64" t="n"/>
      <c r="N602" s="84">
        <f>IF(A602="","",IFERROR(INDEX(Firms!$B$5:$B$1004,MATCH(A602,Firms!$A$5:$A$1004,0)),"Not on Firms tab"))</f>
        <v/>
      </c>
      <c r="O602" s="84">
        <f>IF(A602="","",IF(AND(D602&lt;&gt;"",D602&lt;TODAY()),"Expired",IF(AND(C602&lt;&gt;"",C602&gt;TODAY()),"Not yet effective",IF(C602="","No date",IF(TODAY()&gt;=EDATE(C602,Review_Months),"Review Due","Current")))))</f>
        <v/>
      </c>
      <c r="P602">
        <f>IF(A602="","",A602&amp;"|"&amp;B602)</f>
        <v/>
      </c>
      <c r="Q602">
        <f>IF(AND(A602&lt;&gt;"",A602='Firm Search'!$C$7),COUNTIF($A$5:A602,'Firm Search'!$C$7),"")</f>
        <v/>
      </c>
      <c r="R602">
        <f>IF(A602="","",COUNTIF($A$5:$A$1004,"&lt;"&amp;A602)+COUNTIF($A$5:A602,A602))</f>
        <v/>
      </c>
    </row>
    <row r="603">
      <c r="A603" s="64" t="n"/>
      <c r="B603" s="64" t="n"/>
      <c r="C603" s="66" t="n"/>
      <c r="D603" s="66" t="n"/>
      <c r="E603" s="67" t="n"/>
      <c r="F603" s="67" t="n"/>
      <c r="G603" s="67" t="n"/>
      <c r="H603" s="67" t="n"/>
      <c r="I603" s="67" t="n"/>
      <c r="J603" s="67" t="n"/>
      <c r="K603" s="67" t="n"/>
      <c r="L603" s="67" t="n"/>
      <c r="M603" s="64" t="n"/>
      <c r="N603" s="84">
        <f>IF(A603="","",IFERROR(INDEX(Firms!$B$5:$B$1004,MATCH(A603,Firms!$A$5:$A$1004,0)),"Not on Firms tab"))</f>
        <v/>
      </c>
      <c r="O603" s="84">
        <f>IF(A603="","",IF(AND(D603&lt;&gt;"",D603&lt;TODAY()),"Expired",IF(AND(C603&lt;&gt;"",C603&gt;TODAY()),"Not yet effective",IF(C603="","No date",IF(TODAY()&gt;=EDATE(C603,Review_Months),"Review Due","Current")))))</f>
        <v/>
      </c>
      <c r="P603">
        <f>IF(A603="","",A603&amp;"|"&amp;B603)</f>
        <v/>
      </c>
      <c r="Q603">
        <f>IF(AND(A603&lt;&gt;"",A603='Firm Search'!$C$7),COUNTIF($A$5:A603,'Firm Search'!$C$7),"")</f>
        <v/>
      </c>
      <c r="R603">
        <f>IF(A603="","",COUNTIF($A$5:$A$1004,"&lt;"&amp;A603)+COUNTIF($A$5:A603,A603))</f>
        <v/>
      </c>
    </row>
    <row r="604">
      <c r="A604" s="64" t="n"/>
      <c r="B604" s="64" t="n"/>
      <c r="C604" s="66" t="n"/>
      <c r="D604" s="66" t="n"/>
      <c r="E604" s="67" t="n"/>
      <c r="F604" s="67" t="n"/>
      <c r="G604" s="67" t="n"/>
      <c r="H604" s="67" t="n"/>
      <c r="I604" s="67" t="n"/>
      <c r="J604" s="67" t="n"/>
      <c r="K604" s="67" t="n"/>
      <c r="L604" s="67" t="n"/>
      <c r="M604" s="64" t="n"/>
      <c r="N604" s="84">
        <f>IF(A604="","",IFERROR(INDEX(Firms!$B$5:$B$1004,MATCH(A604,Firms!$A$5:$A$1004,0)),"Not on Firms tab"))</f>
        <v/>
      </c>
      <c r="O604" s="84">
        <f>IF(A604="","",IF(AND(D604&lt;&gt;"",D604&lt;TODAY()),"Expired",IF(AND(C604&lt;&gt;"",C604&gt;TODAY()),"Not yet effective",IF(C604="","No date",IF(TODAY()&gt;=EDATE(C604,Review_Months),"Review Due","Current")))))</f>
        <v/>
      </c>
      <c r="P604">
        <f>IF(A604="","",A604&amp;"|"&amp;B604)</f>
        <v/>
      </c>
      <c r="Q604">
        <f>IF(AND(A604&lt;&gt;"",A604='Firm Search'!$C$7),COUNTIF($A$5:A604,'Firm Search'!$C$7),"")</f>
        <v/>
      </c>
      <c r="R604">
        <f>IF(A604="","",COUNTIF($A$5:$A$1004,"&lt;"&amp;A604)+COUNTIF($A$5:A604,A604))</f>
        <v/>
      </c>
    </row>
    <row r="605">
      <c r="A605" s="64" t="n"/>
      <c r="B605" s="64" t="n"/>
      <c r="C605" s="66" t="n"/>
      <c r="D605" s="66" t="n"/>
      <c r="E605" s="67" t="n"/>
      <c r="F605" s="67" t="n"/>
      <c r="G605" s="67" t="n"/>
      <c r="H605" s="67" t="n"/>
      <c r="I605" s="67" t="n"/>
      <c r="J605" s="67" t="n"/>
      <c r="K605" s="67" t="n"/>
      <c r="L605" s="67" t="n"/>
      <c r="M605" s="64" t="n"/>
      <c r="N605" s="84">
        <f>IF(A605="","",IFERROR(INDEX(Firms!$B$5:$B$1004,MATCH(A605,Firms!$A$5:$A$1004,0)),"Not on Firms tab"))</f>
        <v/>
      </c>
      <c r="O605" s="84">
        <f>IF(A605="","",IF(AND(D605&lt;&gt;"",D605&lt;TODAY()),"Expired",IF(AND(C605&lt;&gt;"",C605&gt;TODAY()),"Not yet effective",IF(C605="","No date",IF(TODAY()&gt;=EDATE(C605,Review_Months),"Review Due","Current")))))</f>
        <v/>
      </c>
      <c r="P605">
        <f>IF(A605="","",A605&amp;"|"&amp;B605)</f>
        <v/>
      </c>
      <c r="Q605">
        <f>IF(AND(A605&lt;&gt;"",A605='Firm Search'!$C$7),COUNTIF($A$5:A605,'Firm Search'!$C$7),"")</f>
        <v/>
      </c>
      <c r="R605">
        <f>IF(A605="","",COUNTIF($A$5:$A$1004,"&lt;"&amp;A605)+COUNTIF($A$5:A605,A605))</f>
        <v/>
      </c>
    </row>
    <row r="606">
      <c r="A606" s="64" t="n"/>
      <c r="B606" s="64" t="n"/>
      <c r="C606" s="66" t="n"/>
      <c r="D606" s="66" t="n"/>
      <c r="E606" s="67" t="n"/>
      <c r="F606" s="67" t="n"/>
      <c r="G606" s="67" t="n"/>
      <c r="H606" s="67" t="n"/>
      <c r="I606" s="67" t="n"/>
      <c r="J606" s="67" t="n"/>
      <c r="K606" s="67" t="n"/>
      <c r="L606" s="67" t="n"/>
      <c r="M606" s="64" t="n"/>
      <c r="N606" s="84">
        <f>IF(A606="","",IFERROR(INDEX(Firms!$B$5:$B$1004,MATCH(A606,Firms!$A$5:$A$1004,0)),"Not on Firms tab"))</f>
        <v/>
      </c>
      <c r="O606" s="84">
        <f>IF(A606="","",IF(AND(D606&lt;&gt;"",D606&lt;TODAY()),"Expired",IF(AND(C606&lt;&gt;"",C606&gt;TODAY()),"Not yet effective",IF(C606="","No date",IF(TODAY()&gt;=EDATE(C606,Review_Months),"Review Due","Current")))))</f>
        <v/>
      </c>
      <c r="P606">
        <f>IF(A606="","",A606&amp;"|"&amp;B606)</f>
        <v/>
      </c>
      <c r="Q606">
        <f>IF(AND(A606&lt;&gt;"",A606='Firm Search'!$C$7),COUNTIF($A$5:A606,'Firm Search'!$C$7),"")</f>
        <v/>
      </c>
      <c r="R606">
        <f>IF(A606="","",COUNTIF($A$5:$A$1004,"&lt;"&amp;A606)+COUNTIF($A$5:A606,A606))</f>
        <v/>
      </c>
    </row>
    <row r="607">
      <c r="A607" s="64" t="n"/>
      <c r="B607" s="64" t="n"/>
      <c r="C607" s="66" t="n"/>
      <c r="D607" s="66" t="n"/>
      <c r="E607" s="67" t="n"/>
      <c r="F607" s="67" t="n"/>
      <c r="G607" s="67" t="n"/>
      <c r="H607" s="67" t="n"/>
      <c r="I607" s="67" t="n"/>
      <c r="J607" s="67" t="n"/>
      <c r="K607" s="67" t="n"/>
      <c r="L607" s="67" t="n"/>
      <c r="M607" s="64" t="n"/>
      <c r="N607" s="84">
        <f>IF(A607="","",IFERROR(INDEX(Firms!$B$5:$B$1004,MATCH(A607,Firms!$A$5:$A$1004,0)),"Not on Firms tab"))</f>
        <v/>
      </c>
      <c r="O607" s="84">
        <f>IF(A607="","",IF(AND(D607&lt;&gt;"",D607&lt;TODAY()),"Expired",IF(AND(C607&lt;&gt;"",C607&gt;TODAY()),"Not yet effective",IF(C607="","No date",IF(TODAY()&gt;=EDATE(C607,Review_Months),"Review Due","Current")))))</f>
        <v/>
      </c>
      <c r="P607">
        <f>IF(A607="","",A607&amp;"|"&amp;B607)</f>
        <v/>
      </c>
      <c r="Q607">
        <f>IF(AND(A607&lt;&gt;"",A607='Firm Search'!$C$7),COUNTIF($A$5:A607,'Firm Search'!$C$7),"")</f>
        <v/>
      </c>
      <c r="R607">
        <f>IF(A607="","",COUNTIF($A$5:$A$1004,"&lt;"&amp;A607)+COUNTIF($A$5:A607,A607))</f>
        <v/>
      </c>
    </row>
    <row r="608">
      <c r="A608" s="64" t="n"/>
      <c r="B608" s="64" t="n"/>
      <c r="C608" s="66" t="n"/>
      <c r="D608" s="66" t="n"/>
      <c r="E608" s="67" t="n"/>
      <c r="F608" s="67" t="n"/>
      <c r="G608" s="67" t="n"/>
      <c r="H608" s="67" t="n"/>
      <c r="I608" s="67" t="n"/>
      <c r="J608" s="67" t="n"/>
      <c r="K608" s="67" t="n"/>
      <c r="L608" s="67" t="n"/>
      <c r="M608" s="64" t="n"/>
      <c r="N608" s="84">
        <f>IF(A608="","",IFERROR(INDEX(Firms!$B$5:$B$1004,MATCH(A608,Firms!$A$5:$A$1004,0)),"Not on Firms tab"))</f>
        <v/>
      </c>
      <c r="O608" s="84">
        <f>IF(A608="","",IF(AND(D608&lt;&gt;"",D608&lt;TODAY()),"Expired",IF(AND(C608&lt;&gt;"",C608&gt;TODAY()),"Not yet effective",IF(C608="","No date",IF(TODAY()&gt;=EDATE(C608,Review_Months),"Review Due","Current")))))</f>
        <v/>
      </c>
      <c r="P608">
        <f>IF(A608="","",A608&amp;"|"&amp;B608)</f>
        <v/>
      </c>
      <c r="Q608">
        <f>IF(AND(A608&lt;&gt;"",A608='Firm Search'!$C$7),COUNTIF($A$5:A608,'Firm Search'!$C$7),"")</f>
        <v/>
      </c>
      <c r="R608">
        <f>IF(A608="","",COUNTIF($A$5:$A$1004,"&lt;"&amp;A608)+COUNTIF($A$5:A608,A608))</f>
        <v/>
      </c>
    </row>
    <row r="609">
      <c r="A609" s="64" t="n"/>
      <c r="B609" s="64" t="n"/>
      <c r="C609" s="66" t="n"/>
      <c r="D609" s="66" t="n"/>
      <c r="E609" s="67" t="n"/>
      <c r="F609" s="67" t="n"/>
      <c r="G609" s="67" t="n"/>
      <c r="H609" s="67" t="n"/>
      <c r="I609" s="67" t="n"/>
      <c r="J609" s="67" t="n"/>
      <c r="K609" s="67" t="n"/>
      <c r="L609" s="67" t="n"/>
      <c r="M609" s="64" t="n"/>
      <c r="N609" s="84">
        <f>IF(A609="","",IFERROR(INDEX(Firms!$B$5:$B$1004,MATCH(A609,Firms!$A$5:$A$1004,0)),"Not on Firms tab"))</f>
        <v/>
      </c>
      <c r="O609" s="84">
        <f>IF(A609="","",IF(AND(D609&lt;&gt;"",D609&lt;TODAY()),"Expired",IF(AND(C609&lt;&gt;"",C609&gt;TODAY()),"Not yet effective",IF(C609="","No date",IF(TODAY()&gt;=EDATE(C609,Review_Months),"Review Due","Current")))))</f>
        <v/>
      </c>
      <c r="P609">
        <f>IF(A609="","",A609&amp;"|"&amp;B609)</f>
        <v/>
      </c>
      <c r="Q609">
        <f>IF(AND(A609&lt;&gt;"",A609='Firm Search'!$C$7),COUNTIF($A$5:A609,'Firm Search'!$C$7),"")</f>
        <v/>
      </c>
      <c r="R609">
        <f>IF(A609="","",COUNTIF($A$5:$A$1004,"&lt;"&amp;A609)+COUNTIF($A$5:A609,A609))</f>
        <v/>
      </c>
    </row>
    <row r="610">
      <c r="A610" s="64" t="n"/>
      <c r="B610" s="64" t="n"/>
      <c r="C610" s="66" t="n"/>
      <c r="D610" s="66" t="n"/>
      <c r="E610" s="67" t="n"/>
      <c r="F610" s="67" t="n"/>
      <c r="G610" s="67" t="n"/>
      <c r="H610" s="67" t="n"/>
      <c r="I610" s="67" t="n"/>
      <c r="J610" s="67" t="n"/>
      <c r="K610" s="67" t="n"/>
      <c r="L610" s="67" t="n"/>
      <c r="M610" s="64" t="n"/>
      <c r="N610" s="84">
        <f>IF(A610="","",IFERROR(INDEX(Firms!$B$5:$B$1004,MATCH(A610,Firms!$A$5:$A$1004,0)),"Not on Firms tab"))</f>
        <v/>
      </c>
      <c r="O610" s="84">
        <f>IF(A610="","",IF(AND(D610&lt;&gt;"",D610&lt;TODAY()),"Expired",IF(AND(C610&lt;&gt;"",C610&gt;TODAY()),"Not yet effective",IF(C610="","No date",IF(TODAY()&gt;=EDATE(C610,Review_Months),"Review Due","Current")))))</f>
        <v/>
      </c>
      <c r="P610">
        <f>IF(A610="","",A610&amp;"|"&amp;B610)</f>
        <v/>
      </c>
      <c r="Q610">
        <f>IF(AND(A610&lt;&gt;"",A610='Firm Search'!$C$7),COUNTIF($A$5:A610,'Firm Search'!$C$7),"")</f>
        <v/>
      </c>
      <c r="R610">
        <f>IF(A610="","",COUNTIF($A$5:$A$1004,"&lt;"&amp;A610)+COUNTIF($A$5:A610,A610))</f>
        <v/>
      </c>
    </row>
    <row r="611">
      <c r="A611" s="64" t="n"/>
      <c r="B611" s="64" t="n"/>
      <c r="C611" s="66" t="n"/>
      <c r="D611" s="66" t="n"/>
      <c r="E611" s="67" t="n"/>
      <c r="F611" s="67" t="n"/>
      <c r="G611" s="67" t="n"/>
      <c r="H611" s="67" t="n"/>
      <c r="I611" s="67" t="n"/>
      <c r="J611" s="67" t="n"/>
      <c r="K611" s="67" t="n"/>
      <c r="L611" s="67" t="n"/>
      <c r="M611" s="64" t="n"/>
      <c r="N611" s="84">
        <f>IF(A611="","",IFERROR(INDEX(Firms!$B$5:$B$1004,MATCH(A611,Firms!$A$5:$A$1004,0)),"Not on Firms tab"))</f>
        <v/>
      </c>
      <c r="O611" s="84">
        <f>IF(A611="","",IF(AND(D611&lt;&gt;"",D611&lt;TODAY()),"Expired",IF(AND(C611&lt;&gt;"",C611&gt;TODAY()),"Not yet effective",IF(C611="","No date",IF(TODAY()&gt;=EDATE(C611,Review_Months),"Review Due","Current")))))</f>
        <v/>
      </c>
      <c r="P611">
        <f>IF(A611="","",A611&amp;"|"&amp;B611)</f>
        <v/>
      </c>
      <c r="Q611">
        <f>IF(AND(A611&lt;&gt;"",A611='Firm Search'!$C$7),COUNTIF($A$5:A611,'Firm Search'!$C$7),"")</f>
        <v/>
      </c>
      <c r="R611">
        <f>IF(A611="","",COUNTIF($A$5:$A$1004,"&lt;"&amp;A611)+COUNTIF($A$5:A611,A611))</f>
        <v/>
      </c>
    </row>
    <row r="612">
      <c r="A612" s="64" t="n"/>
      <c r="B612" s="64" t="n"/>
      <c r="C612" s="66" t="n"/>
      <c r="D612" s="66" t="n"/>
      <c r="E612" s="67" t="n"/>
      <c r="F612" s="67" t="n"/>
      <c r="G612" s="67" t="n"/>
      <c r="H612" s="67" t="n"/>
      <c r="I612" s="67" t="n"/>
      <c r="J612" s="67" t="n"/>
      <c r="K612" s="67" t="n"/>
      <c r="L612" s="67" t="n"/>
      <c r="M612" s="64" t="n"/>
      <c r="N612" s="84">
        <f>IF(A612="","",IFERROR(INDEX(Firms!$B$5:$B$1004,MATCH(A612,Firms!$A$5:$A$1004,0)),"Not on Firms tab"))</f>
        <v/>
      </c>
      <c r="O612" s="84">
        <f>IF(A612="","",IF(AND(D612&lt;&gt;"",D612&lt;TODAY()),"Expired",IF(AND(C612&lt;&gt;"",C612&gt;TODAY()),"Not yet effective",IF(C612="","No date",IF(TODAY()&gt;=EDATE(C612,Review_Months),"Review Due","Current")))))</f>
        <v/>
      </c>
      <c r="P612">
        <f>IF(A612="","",A612&amp;"|"&amp;B612)</f>
        <v/>
      </c>
      <c r="Q612">
        <f>IF(AND(A612&lt;&gt;"",A612='Firm Search'!$C$7),COUNTIF($A$5:A612,'Firm Search'!$C$7),"")</f>
        <v/>
      </c>
      <c r="R612">
        <f>IF(A612="","",COUNTIF($A$5:$A$1004,"&lt;"&amp;A612)+COUNTIF($A$5:A612,A612))</f>
        <v/>
      </c>
    </row>
    <row r="613">
      <c r="A613" s="64" t="n"/>
      <c r="B613" s="64" t="n"/>
      <c r="C613" s="66" t="n"/>
      <c r="D613" s="66" t="n"/>
      <c r="E613" s="67" t="n"/>
      <c r="F613" s="67" t="n"/>
      <c r="G613" s="67" t="n"/>
      <c r="H613" s="67" t="n"/>
      <c r="I613" s="67" t="n"/>
      <c r="J613" s="67" t="n"/>
      <c r="K613" s="67" t="n"/>
      <c r="L613" s="67" t="n"/>
      <c r="M613" s="64" t="n"/>
      <c r="N613" s="84">
        <f>IF(A613="","",IFERROR(INDEX(Firms!$B$5:$B$1004,MATCH(A613,Firms!$A$5:$A$1004,0)),"Not on Firms tab"))</f>
        <v/>
      </c>
      <c r="O613" s="84">
        <f>IF(A613="","",IF(AND(D613&lt;&gt;"",D613&lt;TODAY()),"Expired",IF(AND(C613&lt;&gt;"",C613&gt;TODAY()),"Not yet effective",IF(C613="","No date",IF(TODAY()&gt;=EDATE(C613,Review_Months),"Review Due","Current")))))</f>
        <v/>
      </c>
      <c r="P613">
        <f>IF(A613="","",A613&amp;"|"&amp;B613)</f>
        <v/>
      </c>
      <c r="Q613">
        <f>IF(AND(A613&lt;&gt;"",A613='Firm Search'!$C$7),COUNTIF($A$5:A613,'Firm Search'!$C$7),"")</f>
        <v/>
      </c>
      <c r="R613">
        <f>IF(A613="","",COUNTIF($A$5:$A$1004,"&lt;"&amp;A613)+COUNTIF($A$5:A613,A613))</f>
        <v/>
      </c>
    </row>
    <row r="614">
      <c r="A614" s="64" t="n"/>
      <c r="B614" s="64" t="n"/>
      <c r="C614" s="66" t="n"/>
      <c r="D614" s="66" t="n"/>
      <c r="E614" s="67" t="n"/>
      <c r="F614" s="67" t="n"/>
      <c r="G614" s="67" t="n"/>
      <c r="H614" s="67" t="n"/>
      <c r="I614" s="67" t="n"/>
      <c r="J614" s="67" t="n"/>
      <c r="K614" s="67" t="n"/>
      <c r="L614" s="67" t="n"/>
      <c r="M614" s="64" t="n"/>
      <c r="N614" s="84">
        <f>IF(A614="","",IFERROR(INDEX(Firms!$B$5:$B$1004,MATCH(A614,Firms!$A$5:$A$1004,0)),"Not on Firms tab"))</f>
        <v/>
      </c>
      <c r="O614" s="84">
        <f>IF(A614="","",IF(AND(D614&lt;&gt;"",D614&lt;TODAY()),"Expired",IF(AND(C614&lt;&gt;"",C614&gt;TODAY()),"Not yet effective",IF(C614="","No date",IF(TODAY()&gt;=EDATE(C614,Review_Months),"Review Due","Current")))))</f>
        <v/>
      </c>
      <c r="P614">
        <f>IF(A614="","",A614&amp;"|"&amp;B614)</f>
        <v/>
      </c>
      <c r="Q614">
        <f>IF(AND(A614&lt;&gt;"",A614='Firm Search'!$C$7),COUNTIF($A$5:A614,'Firm Search'!$C$7),"")</f>
        <v/>
      </c>
      <c r="R614">
        <f>IF(A614="","",COUNTIF($A$5:$A$1004,"&lt;"&amp;A614)+COUNTIF($A$5:A614,A614))</f>
        <v/>
      </c>
    </row>
    <row r="615">
      <c r="A615" s="64" t="n"/>
      <c r="B615" s="64" t="n"/>
      <c r="C615" s="66" t="n"/>
      <c r="D615" s="66" t="n"/>
      <c r="E615" s="67" t="n"/>
      <c r="F615" s="67" t="n"/>
      <c r="G615" s="67" t="n"/>
      <c r="H615" s="67" t="n"/>
      <c r="I615" s="67" t="n"/>
      <c r="J615" s="67" t="n"/>
      <c r="K615" s="67" t="n"/>
      <c r="L615" s="67" t="n"/>
      <c r="M615" s="64" t="n"/>
      <c r="N615" s="84">
        <f>IF(A615="","",IFERROR(INDEX(Firms!$B$5:$B$1004,MATCH(A615,Firms!$A$5:$A$1004,0)),"Not on Firms tab"))</f>
        <v/>
      </c>
      <c r="O615" s="84">
        <f>IF(A615="","",IF(AND(D615&lt;&gt;"",D615&lt;TODAY()),"Expired",IF(AND(C615&lt;&gt;"",C615&gt;TODAY()),"Not yet effective",IF(C615="","No date",IF(TODAY()&gt;=EDATE(C615,Review_Months),"Review Due","Current")))))</f>
        <v/>
      </c>
      <c r="P615">
        <f>IF(A615="","",A615&amp;"|"&amp;B615)</f>
        <v/>
      </c>
      <c r="Q615">
        <f>IF(AND(A615&lt;&gt;"",A615='Firm Search'!$C$7),COUNTIF($A$5:A615,'Firm Search'!$C$7),"")</f>
        <v/>
      </c>
      <c r="R615">
        <f>IF(A615="","",COUNTIF($A$5:$A$1004,"&lt;"&amp;A615)+COUNTIF($A$5:A615,A615))</f>
        <v/>
      </c>
    </row>
    <row r="616">
      <c r="A616" s="64" t="n"/>
      <c r="B616" s="64" t="n"/>
      <c r="C616" s="66" t="n"/>
      <c r="D616" s="66" t="n"/>
      <c r="E616" s="67" t="n"/>
      <c r="F616" s="67" t="n"/>
      <c r="G616" s="67" t="n"/>
      <c r="H616" s="67" t="n"/>
      <c r="I616" s="67" t="n"/>
      <c r="J616" s="67" t="n"/>
      <c r="K616" s="67" t="n"/>
      <c r="L616" s="67" t="n"/>
      <c r="M616" s="64" t="n"/>
      <c r="N616" s="84">
        <f>IF(A616="","",IFERROR(INDEX(Firms!$B$5:$B$1004,MATCH(A616,Firms!$A$5:$A$1004,0)),"Not on Firms tab"))</f>
        <v/>
      </c>
      <c r="O616" s="84">
        <f>IF(A616="","",IF(AND(D616&lt;&gt;"",D616&lt;TODAY()),"Expired",IF(AND(C616&lt;&gt;"",C616&gt;TODAY()),"Not yet effective",IF(C616="","No date",IF(TODAY()&gt;=EDATE(C616,Review_Months),"Review Due","Current")))))</f>
        <v/>
      </c>
      <c r="P616">
        <f>IF(A616="","",A616&amp;"|"&amp;B616)</f>
        <v/>
      </c>
      <c r="Q616">
        <f>IF(AND(A616&lt;&gt;"",A616='Firm Search'!$C$7),COUNTIF($A$5:A616,'Firm Search'!$C$7),"")</f>
        <v/>
      </c>
      <c r="R616">
        <f>IF(A616="","",COUNTIF($A$5:$A$1004,"&lt;"&amp;A616)+COUNTIF($A$5:A616,A616))</f>
        <v/>
      </c>
    </row>
    <row r="617">
      <c r="A617" s="64" t="n"/>
      <c r="B617" s="64" t="n"/>
      <c r="C617" s="66" t="n"/>
      <c r="D617" s="66" t="n"/>
      <c r="E617" s="67" t="n"/>
      <c r="F617" s="67" t="n"/>
      <c r="G617" s="67" t="n"/>
      <c r="H617" s="67" t="n"/>
      <c r="I617" s="67" t="n"/>
      <c r="J617" s="67" t="n"/>
      <c r="K617" s="67" t="n"/>
      <c r="L617" s="67" t="n"/>
      <c r="M617" s="64" t="n"/>
      <c r="N617" s="84">
        <f>IF(A617="","",IFERROR(INDEX(Firms!$B$5:$B$1004,MATCH(A617,Firms!$A$5:$A$1004,0)),"Not on Firms tab"))</f>
        <v/>
      </c>
      <c r="O617" s="84">
        <f>IF(A617="","",IF(AND(D617&lt;&gt;"",D617&lt;TODAY()),"Expired",IF(AND(C617&lt;&gt;"",C617&gt;TODAY()),"Not yet effective",IF(C617="","No date",IF(TODAY()&gt;=EDATE(C617,Review_Months),"Review Due","Current")))))</f>
        <v/>
      </c>
      <c r="P617">
        <f>IF(A617="","",A617&amp;"|"&amp;B617)</f>
        <v/>
      </c>
      <c r="Q617">
        <f>IF(AND(A617&lt;&gt;"",A617='Firm Search'!$C$7),COUNTIF($A$5:A617,'Firm Search'!$C$7),"")</f>
        <v/>
      </c>
      <c r="R617">
        <f>IF(A617="","",COUNTIF($A$5:$A$1004,"&lt;"&amp;A617)+COUNTIF($A$5:A617,A617))</f>
        <v/>
      </c>
    </row>
    <row r="618">
      <c r="A618" s="64" t="n"/>
      <c r="B618" s="64" t="n"/>
      <c r="C618" s="66" t="n"/>
      <c r="D618" s="66" t="n"/>
      <c r="E618" s="67" t="n"/>
      <c r="F618" s="67" t="n"/>
      <c r="G618" s="67" t="n"/>
      <c r="H618" s="67" t="n"/>
      <c r="I618" s="67" t="n"/>
      <c r="J618" s="67" t="n"/>
      <c r="K618" s="67" t="n"/>
      <c r="L618" s="67" t="n"/>
      <c r="M618" s="64" t="n"/>
      <c r="N618" s="84">
        <f>IF(A618="","",IFERROR(INDEX(Firms!$B$5:$B$1004,MATCH(A618,Firms!$A$5:$A$1004,0)),"Not on Firms tab"))</f>
        <v/>
      </c>
      <c r="O618" s="84">
        <f>IF(A618="","",IF(AND(D618&lt;&gt;"",D618&lt;TODAY()),"Expired",IF(AND(C618&lt;&gt;"",C618&gt;TODAY()),"Not yet effective",IF(C618="","No date",IF(TODAY()&gt;=EDATE(C618,Review_Months),"Review Due","Current")))))</f>
        <v/>
      </c>
      <c r="P618">
        <f>IF(A618="","",A618&amp;"|"&amp;B618)</f>
        <v/>
      </c>
      <c r="Q618">
        <f>IF(AND(A618&lt;&gt;"",A618='Firm Search'!$C$7),COUNTIF($A$5:A618,'Firm Search'!$C$7),"")</f>
        <v/>
      </c>
      <c r="R618">
        <f>IF(A618="","",COUNTIF($A$5:$A$1004,"&lt;"&amp;A618)+COUNTIF($A$5:A618,A618))</f>
        <v/>
      </c>
    </row>
    <row r="619">
      <c r="A619" s="64" t="n"/>
      <c r="B619" s="64" t="n"/>
      <c r="C619" s="66" t="n"/>
      <c r="D619" s="66" t="n"/>
      <c r="E619" s="67" t="n"/>
      <c r="F619" s="67" t="n"/>
      <c r="G619" s="67" t="n"/>
      <c r="H619" s="67" t="n"/>
      <c r="I619" s="67" t="n"/>
      <c r="J619" s="67" t="n"/>
      <c r="K619" s="67" t="n"/>
      <c r="L619" s="67" t="n"/>
      <c r="M619" s="64" t="n"/>
      <c r="N619" s="84">
        <f>IF(A619="","",IFERROR(INDEX(Firms!$B$5:$B$1004,MATCH(A619,Firms!$A$5:$A$1004,0)),"Not on Firms tab"))</f>
        <v/>
      </c>
      <c r="O619" s="84">
        <f>IF(A619="","",IF(AND(D619&lt;&gt;"",D619&lt;TODAY()),"Expired",IF(AND(C619&lt;&gt;"",C619&gt;TODAY()),"Not yet effective",IF(C619="","No date",IF(TODAY()&gt;=EDATE(C619,Review_Months),"Review Due","Current")))))</f>
        <v/>
      </c>
      <c r="P619">
        <f>IF(A619="","",A619&amp;"|"&amp;B619)</f>
        <v/>
      </c>
      <c r="Q619">
        <f>IF(AND(A619&lt;&gt;"",A619='Firm Search'!$C$7),COUNTIF($A$5:A619,'Firm Search'!$C$7),"")</f>
        <v/>
      </c>
      <c r="R619">
        <f>IF(A619="","",COUNTIF($A$5:$A$1004,"&lt;"&amp;A619)+COUNTIF($A$5:A619,A619))</f>
        <v/>
      </c>
    </row>
    <row r="620">
      <c r="A620" s="64" t="n"/>
      <c r="B620" s="64" t="n"/>
      <c r="C620" s="66" t="n"/>
      <c r="D620" s="66" t="n"/>
      <c r="E620" s="67" t="n"/>
      <c r="F620" s="67" t="n"/>
      <c r="G620" s="67" t="n"/>
      <c r="H620" s="67" t="n"/>
      <c r="I620" s="67" t="n"/>
      <c r="J620" s="67" t="n"/>
      <c r="K620" s="67" t="n"/>
      <c r="L620" s="67" t="n"/>
      <c r="M620" s="64" t="n"/>
      <c r="N620" s="84">
        <f>IF(A620="","",IFERROR(INDEX(Firms!$B$5:$B$1004,MATCH(A620,Firms!$A$5:$A$1004,0)),"Not on Firms tab"))</f>
        <v/>
      </c>
      <c r="O620" s="84">
        <f>IF(A620="","",IF(AND(D620&lt;&gt;"",D620&lt;TODAY()),"Expired",IF(AND(C620&lt;&gt;"",C620&gt;TODAY()),"Not yet effective",IF(C620="","No date",IF(TODAY()&gt;=EDATE(C620,Review_Months),"Review Due","Current")))))</f>
        <v/>
      </c>
      <c r="P620">
        <f>IF(A620="","",A620&amp;"|"&amp;B620)</f>
        <v/>
      </c>
      <c r="Q620">
        <f>IF(AND(A620&lt;&gt;"",A620='Firm Search'!$C$7),COUNTIF($A$5:A620,'Firm Search'!$C$7),"")</f>
        <v/>
      </c>
      <c r="R620">
        <f>IF(A620="","",COUNTIF($A$5:$A$1004,"&lt;"&amp;A620)+COUNTIF($A$5:A620,A620))</f>
        <v/>
      </c>
    </row>
    <row r="621">
      <c r="A621" s="64" t="n"/>
      <c r="B621" s="64" t="n"/>
      <c r="C621" s="66" t="n"/>
      <c r="D621" s="66" t="n"/>
      <c r="E621" s="67" t="n"/>
      <c r="F621" s="67" t="n"/>
      <c r="G621" s="67" t="n"/>
      <c r="H621" s="67" t="n"/>
      <c r="I621" s="67" t="n"/>
      <c r="J621" s="67" t="n"/>
      <c r="K621" s="67" t="n"/>
      <c r="L621" s="67" t="n"/>
      <c r="M621" s="64" t="n"/>
      <c r="N621" s="84">
        <f>IF(A621="","",IFERROR(INDEX(Firms!$B$5:$B$1004,MATCH(A621,Firms!$A$5:$A$1004,0)),"Not on Firms tab"))</f>
        <v/>
      </c>
      <c r="O621" s="84">
        <f>IF(A621="","",IF(AND(D621&lt;&gt;"",D621&lt;TODAY()),"Expired",IF(AND(C621&lt;&gt;"",C621&gt;TODAY()),"Not yet effective",IF(C621="","No date",IF(TODAY()&gt;=EDATE(C621,Review_Months),"Review Due","Current")))))</f>
        <v/>
      </c>
      <c r="P621">
        <f>IF(A621="","",A621&amp;"|"&amp;B621)</f>
        <v/>
      </c>
      <c r="Q621">
        <f>IF(AND(A621&lt;&gt;"",A621='Firm Search'!$C$7),COUNTIF($A$5:A621,'Firm Search'!$C$7),"")</f>
        <v/>
      </c>
      <c r="R621">
        <f>IF(A621="","",COUNTIF($A$5:$A$1004,"&lt;"&amp;A621)+COUNTIF($A$5:A621,A621))</f>
        <v/>
      </c>
    </row>
    <row r="622">
      <c r="A622" s="64" t="n"/>
      <c r="B622" s="64" t="n"/>
      <c r="C622" s="66" t="n"/>
      <c r="D622" s="66" t="n"/>
      <c r="E622" s="67" t="n"/>
      <c r="F622" s="67" t="n"/>
      <c r="G622" s="67" t="n"/>
      <c r="H622" s="67" t="n"/>
      <c r="I622" s="67" t="n"/>
      <c r="J622" s="67" t="n"/>
      <c r="K622" s="67" t="n"/>
      <c r="L622" s="67" t="n"/>
      <c r="M622" s="64" t="n"/>
      <c r="N622" s="84">
        <f>IF(A622="","",IFERROR(INDEX(Firms!$B$5:$B$1004,MATCH(A622,Firms!$A$5:$A$1004,0)),"Not on Firms tab"))</f>
        <v/>
      </c>
      <c r="O622" s="84">
        <f>IF(A622="","",IF(AND(D622&lt;&gt;"",D622&lt;TODAY()),"Expired",IF(AND(C622&lt;&gt;"",C622&gt;TODAY()),"Not yet effective",IF(C622="","No date",IF(TODAY()&gt;=EDATE(C622,Review_Months),"Review Due","Current")))))</f>
        <v/>
      </c>
      <c r="P622">
        <f>IF(A622="","",A622&amp;"|"&amp;B622)</f>
        <v/>
      </c>
      <c r="Q622">
        <f>IF(AND(A622&lt;&gt;"",A622='Firm Search'!$C$7),COUNTIF($A$5:A622,'Firm Search'!$C$7),"")</f>
        <v/>
      </c>
      <c r="R622">
        <f>IF(A622="","",COUNTIF($A$5:$A$1004,"&lt;"&amp;A622)+COUNTIF($A$5:A622,A622))</f>
        <v/>
      </c>
    </row>
    <row r="623">
      <c r="A623" s="64" t="n"/>
      <c r="B623" s="64" t="n"/>
      <c r="C623" s="66" t="n"/>
      <c r="D623" s="66" t="n"/>
      <c r="E623" s="67" t="n"/>
      <c r="F623" s="67" t="n"/>
      <c r="G623" s="67" t="n"/>
      <c r="H623" s="67" t="n"/>
      <c r="I623" s="67" t="n"/>
      <c r="J623" s="67" t="n"/>
      <c r="K623" s="67" t="n"/>
      <c r="L623" s="67" t="n"/>
      <c r="M623" s="64" t="n"/>
      <c r="N623" s="84">
        <f>IF(A623="","",IFERROR(INDEX(Firms!$B$5:$B$1004,MATCH(A623,Firms!$A$5:$A$1004,0)),"Not on Firms tab"))</f>
        <v/>
      </c>
      <c r="O623" s="84">
        <f>IF(A623="","",IF(AND(D623&lt;&gt;"",D623&lt;TODAY()),"Expired",IF(AND(C623&lt;&gt;"",C623&gt;TODAY()),"Not yet effective",IF(C623="","No date",IF(TODAY()&gt;=EDATE(C623,Review_Months),"Review Due","Current")))))</f>
        <v/>
      </c>
      <c r="P623">
        <f>IF(A623="","",A623&amp;"|"&amp;B623)</f>
        <v/>
      </c>
      <c r="Q623">
        <f>IF(AND(A623&lt;&gt;"",A623='Firm Search'!$C$7),COUNTIF($A$5:A623,'Firm Search'!$C$7),"")</f>
        <v/>
      </c>
      <c r="R623">
        <f>IF(A623="","",COUNTIF($A$5:$A$1004,"&lt;"&amp;A623)+COUNTIF($A$5:A623,A623))</f>
        <v/>
      </c>
    </row>
    <row r="624">
      <c r="A624" s="64" t="n"/>
      <c r="B624" s="64" t="n"/>
      <c r="C624" s="66" t="n"/>
      <c r="D624" s="66" t="n"/>
      <c r="E624" s="67" t="n"/>
      <c r="F624" s="67" t="n"/>
      <c r="G624" s="67" t="n"/>
      <c r="H624" s="67" t="n"/>
      <c r="I624" s="67" t="n"/>
      <c r="J624" s="67" t="n"/>
      <c r="K624" s="67" t="n"/>
      <c r="L624" s="67" t="n"/>
      <c r="M624" s="64" t="n"/>
      <c r="N624" s="84">
        <f>IF(A624="","",IFERROR(INDEX(Firms!$B$5:$B$1004,MATCH(A624,Firms!$A$5:$A$1004,0)),"Not on Firms tab"))</f>
        <v/>
      </c>
      <c r="O624" s="84">
        <f>IF(A624="","",IF(AND(D624&lt;&gt;"",D624&lt;TODAY()),"Expired",IF(AND(C624&lt;&gt;"",C624&gt;TODAY()),"Not yet effective",IF(C624="","No date",IF(TODAY()&gt;=EDATE(C624,Review_Months),"Review Due","Current")))))</f>
        <v/>
      </c>
      <c r="P624">
        <f>IF(A624="","",A624&amp;"|"&amp;B624)</f>
        <v/>
      </c>
      <c r="Q624">
        <f>IF(AND(A624&lt;&gt;"",A624='Firm Search'!$C$7),COUNTIF($A$5:A624,'Firm Search'!$C$7),"")</f>
        <v/>
      </c>
      <c r="R624">
        <f>IF(A624="","",COUNTIF($A$5:$A$1004,"&lt;"&amp;A624)+COUNTIF($A$5:A624,A624))</f>
        <v/>
      </c>
    </row>
    <row r="625">
      <c r="A625" s="64" t="n"/>
      <c r="B625" s="64" t="n"/>
      <c r="C625" s="66" t="n"/>
      <c r="D625" s="66" t="n"/>
      <c r="E625" s="67" t="n"/>
      <c r="F625" s="67" t="n"/>
      <c r="G625" s="67" t="n"/>
      <c r="H625" s="67" t="n"/>
      <c r="I625" s="67" t="n"/>
      <c r="J625" s="67" t="n"/>
      <c r="K625" s="67" t="n"/>
      <c r="L625" s="67" t="n"/>
      <c r="M625" s="64" t="n"/>
      <c r="N625" s="84">
        <f>IF(A625="","",IFERROR(INDEX(Firms!$B$5:$B$1004,MATCH(A625,Firms!$A$5:$A$1004,0)),"Not on Firms tab"))</f>
        <v/>
      </c>
      <c r="O625" s="84">
        <f>IF(A625="","",IF(AND(D625&lt;&gt;"",D625&lt;TODAY()),"Expired",IF(AND(C625&lt;&gt;"",C625&gt;TODAY()),"Not yet effective",IF(C625="","No date",IF(TODAY()&gt;=EDATE(C625,Review_Months),"Review Due","Current")))))</f>
        <v/>
      </c>
      <c r="P625">
        <f>IF(A625="","",A625&amp;"|"&amp;B625)</f>
        <v/>
      </c>
      <c r="Q625">
        <f>IF(AND(A625&lt;&gt;"",A625='Firm Search'!$C$7),COUNTIF($A$5:A625,'Firm Search'!$C$7),"")</f>
        <v/>
      </c>
      <c r="R625">
        <f>IF(A625="","",COUNTIF($A$5:$A$1004,"&lt;"&amp;A625)+COUNTIF($A$5:A625,A625))</f>
        <v/>
      </c>
    </row>
    <row r="626">
      <c r="A626" s="64" t="n"/>
      <c r="B626" s="64" t="n"/>
      <c r="C626" s="66" t="n"/>
      <c r="D626" s="66" t="n"/>
      <c r="E626" s="67" t="n"/>
      <c r="F626" s="67" t="n"/>
      <c r="G626" s="67" t="n"/>
      <c r="H626" s="67" t="n"/>
      <c r="I626" s="67" t="n"/>
      <c r="J626" s="67" t="n"/>
      <c r="K626" s="67" t="n"/>
      <c r="L626" s="67" t="n"/>
      <c r="M626" s="64" t="n"/>
      <c r="N626" s="84">
        <f>IF(A626="","",IFERROR(INDEX(Firms!$B$5:$B$1004,MATCH(A626,Firms!$A$5:$A$1004,0)),"Not on Firms tab"))</f>
        <v/>
      </c>
      <c r="O626" s="84">
        <f>IF(A626="","",IF(AND(D626&lt;&gt;"",D626&lt;TODAY()),"Expired",IF(AND(C626&lt;&gt;"",C626&gt;TODAY()),"Not yet effective",IF(C626="","No date",IF(TODAY()&gt;=EDATE(C626,Review_Months),"Review Due","Current")))))</f>
        <v/>
      </c>
      <c r="P626">
        <f>IF(A626="","",A626&amp;"|"&amp;B626)</f>
        <v/>
      </c>
      <c r="Q626">
        <f>IF(AND(A626&lt;&gt;"",A626='Firm Search'!$C$7),COUNTIF($A$5:A626,'Firm Search'!$C$7),"")</f>
        <v/>
      </c>
      <c r="R626">
        <f>IF(A626="","",COUNTIF($A$5:$A$1004,"&lt;"&amp;A626)+COUNTIF($A$5:A626,A626))</f>
        <v/>
      </c>
    </row>
    <row r="627">
      <c r="A627" s="64" t="n"/>
      <c r="B627" s="64" t="n"/>
      <c r="C627" s="66" t="n"/>
      <c r="D627" s="66" t="n"/>
      <c r="E627" s="67" t="n"/>
      <c r="F627" s="67" t="n"/>
      <c r="G627" s="67" t="n"/>
      <c r="H627" s="67" t="n"/>
      <c r="I627" s="67" t="n"/>
      <c r="J627" s="67" t="n"/>
      <c r="K627" s="67" t="n"/>
      <c r="L627" s="67" t="n"/>
      <c r="M627" s="64" t="n"/>
      <c r="N627" s="84">
        <f>IF(A627="","",IFERROR(INDEX(Firms!$B$5:$B$1004,MATCH(A627,Firms!$A$5:$A$1004,0)),"Not on Firms tab"))</f>
        <v/>
      </c>
      <c r="O627" s="84">
        <f>IF(A627="","",IF(AND(D627&lt;&gt;"",D627&lt;TODAY()),"Expired",IF(AND(C627&lt;&gt;"",C627&gt;TODAY()),"Not yet effective",IF(C627="","No date",IF(TODAY()&gt;=EDATE(C627,Review_Months),"Review Due","Current")))))</f>
        <v/>
      </c>
      <c r="P627">
        <f>IF(A627="","",A627&amp;"|"&amp;B627)</f>
        <v/>
      </c>
      <c r="Q627">
        <f>IF(AND(A627&lt;&gt;"",A627='Firm Search'!$C$7),COUNTIF($A$5:A627,'Firm Search'!$C$7),"")</f>
        <v/>
      </c>
      <c r="R627">
        <f>IF(A627="","",COUNTIF($A$5:$A$1004,"&lt;"&amp;A627)+COUNTIF($A$5:A627,A627))</f>
        <v/>
      </c>
    </row>
    <row r="628">
      <c r="A628" s="64" t="n"/>
      <c r="B628" s="64" t="n"/>
      <c r="C628" s="66" t="n"/>
      <c r="D628" s="66" t="n"/>
      <c r="E628" s="67" t="n"/>
      <c r="F628" s="67" t="n"/>
      <c r="G628" s="67" t="n"/>
      <c r="H628" s="67" t="n"/>
      <c r="I628" s="67" t="n"/>
      <c r="J628" s="67" t="n"/>
      <c r="K628" s="67" t="n"/>
      <c r="L628" s="67" t="n"/>
      <c r="M628" s="64" t="n"/>
      <c r="N628" s="84">
        <f>IF(A628="","",IFERROR(INDEX(Firms!$B$5:$B$1004,MATCH(A628,Firms!$A$5:$A$1004,0)),"Not on Firms tab"))</f>
        <v/>
      </c>
      <c r="O628" s="84">
        <f>IF(A628="","",IF(AND(D628&lt;&gt;"",D628&lt;TODAY()),"Expired",IF(AND(C628&lt;&gt;"",C628&gt;TODAY()),"Not yet effective",IF(C628="","No date",IF(TODAY()&gt;=EDATE(C628,Review_Months),"Review Due","Current")))))</f>
        <v/>
      </c>
      <c r="P628">
        <f>IF(A628="","",A628&amp;"|"&amp;B628)</f>
        <v/>
      </c>
      <c r="Q628">
        <f>IF(AND(A628&lt;&gt;"",A628='Firm Search'!$C$7),COUNTIF($A$5:A628,'Firm Search'!$C$7),"")</f>
        <v/>
      </c>
      <c r="R628">
        <f>IF(A628="","",COUNTIF($A$5:$A$1004,"&lt;"&amp;A628)+COUNTIF($A$5:A628,A628))</f>
        <v/>
      </c>
    </row>
    <row r="629">
      <c r="A629" s="64" t="n"/>
      <c r="B629" s="64" t="n"/>
      <c r="C629" s="66" t="n"/>
      <c r="D629" s="66" t="n"/>
      <c r="E629" s="67" t="n"/>
      <c r="F629" s="67" t="n"/>
      <c r="G629" s="67" t="n"/>
      <c r="H629" s="67" t="n"/>
      <c r="I629" s="67" t="n"/>
      <c r="J629" s="67" t="n"/>
      <c r="K629" s="67" t="n"/>
      <c r="L629" s="67" t="n"/>
      <c r="M629" s="64" t="n"/>
      <c r="N629" s="84">
        <f>IF(A629="","",IFERROR(INDEX(Firms!$B$5:$B$1004,MATCH(A629,Firms!$A$5:$A$1004,0)),"Not on Firms tab"))</f>
        <v/>
      </c>
      <c r="O629" s="84">
        <f>IF(A629="","",IF(AND(D629&lt;&gt;"",D629&lt;TODAY()),"Expired",IF(AND(C629&lt;&gt;"",C629&gt;TODAY()),"Not yet effective",IF(C629="","No date",IF(TODAY()&gt;=EDATE(C629,Review_Months),"Review Due","Current")))))</f>
        <v/>
      </c>
      <c r="P629">
        <f>IF(A629="","",A629&amp;"|"&amp;B629)</f>
        <v/>
      </c>
      <c r="Q629">
        <f>IF(AND(A629&lt;&gt;"",A629='Firm Search'!$C$7),COUNTIF($A$5:A629,'Firm Search'!$C$7),"")</f>
        <v/>
      </c>
      <c r="R629">
        <f>IF(A629="","",COUNTIF($A$5:$A$1004,"&lt;"&amp;A629)+COUNTIF($A$5:A629,A629))</f>
        <v/>
      </c>
    </row>
    <row r="630">
      <c r="A630" s="64" t="n"/>
      <c r="B630" s="64" t="n"/>
      <c r="C630" s="66" t="n"/>
      <c r="D630" s="66" t="n"/>
      <c r="E630" s="67" t="n"/>
      <c r="F630" s="67" t="n"/>
      <c r="G630" s="67" t="n"/>
      <c r="H630" s="67" t="n"/>
      <c r="I630" s="67" t="n"/>
      <c r="J630" s="67" t="n"/>
      <c r="K630" s="67" t="n"/>
      <c r="L630" s="67" t="n"/>
      <c r="M630" s="64" t="n"/>
      <c r="N630" s="84">
        <f>IF(A630="","",IFERROR(INDEX(Firms!$B$5:$B$1004,MATCH(A630,Firms!$A$5:$A$1004,0)),"Not on Firms tab"))</f>
        <v/>
      </c>
      <c r="O630" s="84">
        <f>IF(A630="","",IF(AND(D630&lt;&gt;"",D630&lt;TODAY()),"Expired",IF(AND(C630&lt;&gt;"",C630&gt;TODAY()),"Not yet effective",IF(C630="","No date",IF(TODAY()&gt;=EDATE(C630,Review_Months),"Review Due","Current")))))</f>
        <v/>
      </c>
      <c r="P630">
        <f>IF(A630="","",A630&amp;"|"&amp;B630)</f>
        <v/>
      </c>
      <c r="Q630">
        <f>IF(AND(A630&lt;&gt;"",A630='Firm Search'!$C$7),COUNTIF($A$5:A630,'Firm Search'!$C$7),"")</f>
        <v/>
      </c>
      <c r="R630">
        <f>IF(A630="","",COUNTIF($A$5:$A$1004,"&lt;"&amp;A630)+COUNTIF($A$5:A630,A630))</f>
        <v/>
      </c>
    </row>
    <row r="631">
      <c r="A631" s="64" t="n"/>
      <c r="B631" s="64" t="n"/>
      <c r="C631" s="66" t="n"/>
      <c r="D631" s="66" t="n"/>
      <c r="E631" s="67" t="n"/>
      <c r="F631" s="67" t="n"/>
      <c r="G631" s="67" t="n"/>
      <c r="H631" s="67" t="n"/>
      <c r="I631" s="67" t="n"/>
      <c r="J631" s="67" t="n"/>
      <c r="K631" s="67" t="n"/>
      <c r="L631" s="67" t="n"/>
      <c r="M631" s="64" t="n"/>
      <c r="N631" s="84">
        <f>IF(A631="","",IFERROR(INDEX(Firms!$B$5:$B$1004,MATCH(A631,Firms!$A$5:$A$1004,0)),"Not on Firms tab"))</f>
        <v/>
      </c>
      <c r="O631" s="84">
        <f>IF(A631="","",IF(AND(D631&lt;&gt;"",D631&lt;TODAY()),"Expired",IF(AND(C631&lt;&gt;"",C631&gt;TODAY()),"Not yet effective",IF(C631="","No date",IF(TODAY()&gt;=EDATE(C631,Review_Months),"Review Due","Current")))))</f>
        <v/>
      </c>
      <c r="P631">
        <f>IF(A631="","",A631&amp;"|"&amp;B631)</f>
        <v/>
      </c>
      <c r="Q631">
        <f>IF(AND(A631&lt;&gt;"",A631='Firm Search'!$C$7),COUNTIF($A$5:A631,'Firm Search'!$C$7),"")</f>
        <v/>
      </c>
      <c r="R631">
        <f>IF(A631="","",COUNTIF($A$5:$A$1004,"&lt;"&amp;A631)+COUNTIF($A$5:A631,A631))</f>
        <v/>
      </c>
    </row>
    <row r="632">
      <c r="A632" s="64" t="n"/>
      <c r="B632" s="64" t="n"/>
      <c r="C632" s="66" t="n"/>
      <c r="D632" s="66" t="n"/>
      <c r="E632" s="67" t="n"/>
      <c r="F632" s="67" t="n"/>
      <c r="G632" s="67" t="n"/>
      <c r="H632" s="67" t="n"/>
      <c r="I632" s="67" t="n"/>
      <c r="J632" s="67" t="n"/>
      <c r="K632" s="67" t="n"/>
      <c r="L632" s="67" t="n"/>
      <c r="M632" s="64" t="n"/>
      <c r="N632" s="84">
        <f>IF(A632="","",IFERROR(INDEX(Firms!$B$5:$B$1004,MATCH(A632,Firms!$A$5:$A$1004,0)),"Not on Firms tab"))</f>
        <v/>
      </c>
      <c r="O632" s="84">
        <f>IF(A632="","",IF(AND(D632&lt;&gt;"",D632&lt;TODAY()),"Expired",IF(AND(C632&lt;&gt;"",C632&gt;TODAY()),"Not yet effective",IF(C632="","No date",IF(TODAY()&gt;=EDATE(C632,Review_Months),"Review Due","Current")))))</f>
        <v/>
      </c>
      <c r="P632">
        <f>IF(A632="","",A632&amp;"|"&amp;B632)</f>
        <v/>
      </c>
      <c r="Q632">
        <f>IF(AND(A632&lt;&gt;"",A632='Firm Search'!$C$7),COUNTIF($A$5:A632,'Firm Search'!$C$7),"")</f>
        <v/>
      </c>
      <c r="R632">
        <f>IF(A632="","",COUNTIF($A$5:$A$1004,"&lt;"&amp;A632)+COUNTIF($A$5:A632,A632))</f>
        <v/>
      </c>
    </row>
    <row r="633">
      <c r="A633" s="64" t="n"/>
      <c r="B633" s="64" t="n"/>
      <c r="C633" s="66" t="n"/>
      <c r="D633" s="66" t="n"/>
      <c r="E633" s="67" t="n"/>
      <c r="F633" s="67" t="n"/>
      <c r="G633" s="67" t="n"/>
      <c r="H633" s="67" t="n"/>
      <c r="I633" s="67" t="n"/>
      <c r="J633" s="67" t="n"/>
      <c r="K633" s="67" t="n"/>
      <c r="L633" s="67" t="n"/>
      <c r="M633" s="64" t="n"/>
      <c r="N633" s="84">
        <f>IF(A633="","",IFERROR(INDEX(Firms!$B$5:$B$1004,MATCH(A633,Firms!$A$5:$A$1004,0)),"Not on Firms tab"))</f>
        <v/>
      </c>
      <c r="O633" s="84">
        <f>IF(A633="","",IF(AND(D633&lt;&gt;"",D633&lt;TODAY()),"Expired",IF(AND(C633&lt;&gt;"",C633&gt;TODAY()),"Not yet effective",IF(C633="","No date",IF(TODAY()&gt;=EDATE(C633,Review_Months),"Review Due","Current")))))</f>
        <v/>
      </c>
      <c r="P633">
        <f>IF(A633="","",A633&amp;"|"&amp;B633)</f>
        <v/>
      </c>
      <c r="Q633">
        <f>IF(AND(A633&lt;&gt;"",A633='Firm Search'!$C$7),COUNTIF($A$5:A633,'Firm Search'!$C$7),"")</f>
        <v/>
      </c>
      <c r="R633">
        <f>IF(A633="","",COUNTIF($A$5:$A$1004,"&lt;"&amp;A633)+COUNTIF($A$5:A633,A633))</f>
        <v/>
      </c>
    </row>
    <row r="634">
      <c r="A634" s="64" t="n"/>
      <c r="B634" s="64" t="n"/>
      <c r="C634" s="66" t="n"/>
      <c r="D634" s="66" t="n"/>
      <c r="E634" s="67" t="n"/>
      <c r="F634" s="67" t="n"/>
      <c r="G634" s="67" t="n"/>
      <c r="H634" s="67" t="n"/>
      <c r="I634" s="67" t="n"/>
      <c r="J634" s="67" t="n"/>
      <c r="K634" s="67" t="n"/>
      <c r="L634" s="67" t="n"/>
      <c r="M634" s="64" t="n"/>
      <c r="N634" s="84">
        <f>IF(A634="","",IFERROR(INDEX(Firms!$B$5:$B$1004,MATCH(A634,Firms!$A$5:$A$1004,0)),"Not on Firms tab"))</f>
        <v/>
      </c>
      <c r="O634" s="84">
        <f>IF(A634="","",IF(AND(D634&lt;&gt;"",D634&lt;TODAY()),"Expired",IF(AND(C634&lt;&gt;"",C634&gt;TODAY()),"Not yet effective",IF(C634="","No date",IF(TODAY()&gt;=EDATE(C634,Review_Months),"Review Due","Current")))))</f>
        <v/>
      </c>
      <c r="P634">
        <f>IF(A634="","",A634&amp;"|"&amp;B634)</f>
        <v/>
      </c>
      <c r="Q634">
        <f>IF(AND(A634&lt;&gt;"",A634='Firm Search'!$C$7),COUNTIF($A$5:A634,'Firm Search'!$C$7),"")</f>
        <v/>
      </c>
      <c r="R634">
        <f>IF(A634="","",COUNTIF($A$5:$A$1004,"&lt;"&amp;A634)+COUNTIF($A$5:A634,A634))</f>
        <v/>
      </c>
    </row>
    <row r="635">
      <c r="A635" s="64" t="n"/>
      <c r="B635" s="64" t="n"/>
      <c r="C635" s="66" t="n"/>
      <c r="D635" s="66" t="n"/>
      <c r="E635" s="67" t="n"/>
      <c r="F635" s="67" t="n"/>
      <c r="G635" s="67" t="n"/>
      <c r="H635" s="67" t="n"/>
      <c r="I635" s="67" t="n"/>
      <c r="J635" s="67" t="n"/>
      <c r="K635" s="67" t="n"/>
      <c r="L635" s="67" t="n"/>
      <c r="M635" s="64" t="n"/>
      <c r="N635" s="84">
        <f>IF(A635="","",IFERROR(INDEX(Firms!$B$5:$B$1004,MATCH(A635,Firms!$A$5:$A$1004,0)),"Not on Firms tab"))</f>
        <v/>
      </c>
      <c r="O635" s="84">
        <f>IF(A635="","",IF(AND(D635&lt;&gt;"",D635&lt;TODAY()),"Expired",IF(AND(C635&lt;&gt;"",C635&gt;TODAY()),"Not yet effective",IF(C635="","No date",IF(TODAY()&gt;=EDATE(C635,Review_Months),"Review Due","Current")))))</f>
        <v/>
      </c>
      <c r="P635">
        <f>IF(A635="","",A635&amp;"|"&amp;B635)</f>
        <v/>
      </c>
      <c r="Q635">
        <f>IF(AND(A635&lt;&gt;"",A635='Firm Search'!$C$7),COUNTIF($A$5:A635,'Firm Search'!$C$7),"")</f>
        <v/>
      </c>
      <c r="R635">
        <f>IF(A635="","",COUNTIF($A$5:$A$1004,"&lt;"&amp;A635)+COUNTIF($A$5:A635,A635))</f>
        <v/>
      </c>
    </row>
    <row r="636">
      <c r="A636" s="64" t="n"/>
      <c r="B636" s="64" t="n"/>
      <c r="C636" s="66" t="n"/>
      <c r="D636" s="66" t="n"/>
      <c r="E636" s="67" t="n"/>
      <c r="F636" s="67" t="n"/>
      <c r="G636" s="67" t="n"/>
      <c r="H636" s="67" t="n"/>
      <c r="I636" s="67" t="n"/>
      <c r="J636" s="67" t="n"/>
      <c r="K636" s="67" t="n"/>
      <c r="L636" s="67" t="n"/>
      <c r="M636" s="64" t="n"/>
      <c r="N636" s="84">
        <f>IF(A636="","",IFERROR(INDEX(Firms!$B$5:$B$1004,MATCH(A636,Firms!$A$5:$A$1004,0)),"Not on Firms tab"))</f>
        <v/>
      </c>
      <c r="O636" s="84">
        <f>IF(A636="","",IF(AND(D636&lt;&gt;"",D636&lt;TODAY()),"Expired",IF(AND(C636&lt;&gt;"",C636&gt;TODAY()),"Not yet effective",IF(C636="","No date",IF(TODAY()&gt;=EDATE(C636,Review_Months),"Review Due","Current")))))</f>
        <v/>
      </c>
      <c r="P636">
        <f>IF(A636="","",A636&amp;"|"&amp;B636)</f>
        <v/>
      </c>
      <c r="Q636">
        <f>IF(AND(A636&lt;&gt;"",A636='Firm Search'!$C$7),COUNTIF($A$5:A636,'Firm Search'!$C$7),"")</f>
        <v/>
      </c>
      <c r="R636">
        <f>IF(A636="","",COUNTIF($A$5:$A$1004,"&lt;"&amp;A636)+COUNTIF($A$5:A636,A636))</f>
        <v/>
      </c>
    </row>
    <row r="637">
      <c r="A637" s="64" t="n"/>
      <c r="B637" s="64" t="n"/>
      <c r="C637" s="66" t="n"/>
      <c r="D637" s="66" t="n"/>
      <c r="E637" s="67" t="n"/>
      <c r="F637" s="67" t="n"/>
      <c r="G637" s="67" t="n"/>
      <c r="H637" s="67" t="n"/>
      <c r="I637" s="67" t="n"/>
      <c r="J637" s="67" t="n"/>
      <c r="K637" s="67" t="n"/>
      <c r="L637" s="67" t="n"/>
      <c r="M637" s="64" t="n"/>
      <c r="N637" s="84">
        <f>IF(A637="","",IFERROR(INDEX(Firms!$B$5:$B$1004,MATCH(A637,Firms!$A$5:$A$1004,0)),"Not on Firms tab"))</f>
        <v/>
      </c>
      <c r="O637" s="84">
        <f>IF(A637="","",IF(AND(D637&lt;&gt;"",D637&lt;TODAY()),"Expired",IF(AND(C637&lt;&gt;"",C637&gt;TODAY()),"Not yet effective",IF(C637="","No date",IF(TODAY()&gt;=EDATE(C637,Review_Months),"Review Due","Current")))))</f>
        <v/>
      </c>
      <c r="P637">
        <f>IF(A637="","",A637&amp;"|"&amp;B637)</f>
        <v/>
      </c>
      <c r="Q637">
        <f>IF(AND(A637&lt;&gt;"",A637='Firm Search'!$C$7),COUNTIF($A$5:A637,'Firm Search'!$C$7),"")</f>
        <v/>
      </c>
      <c r="R637">
        <f>IF(A637="","",COUNTIF($A$5:$A$1004,"&lt;"&amp;A637)+COUNTIF($A$5:A637,A637))</f>
        <v/>
      </c>
    </row>
    <row r="638">
      <c r="A638" s="64" t="n"/>
      <c r="B638" s="64" t="n"/>
      <c r="C638" s="66" t="n"/>
      <c r="D638" s="66" t="n"/>
      <c r="E638" s="67" t="n"/>
      <c r="F638" s="67" t="n"/>
      <c r="G638" s="67" t="n"/>
      <c r="H638" s="67" t="n"/>
      <c r="I638" s="67" t="n"/>
      <c r="J638" s="67" t="n"/>
      <c r="K638" s="67" t="n"/>
      <c r="L638" s="67" t="n"/>
      <c r="M638" s="64" t="n"/>
      <c r="N638" s="84">
        <f>IF(A638="","",IFERROR(INDEX(Firms!$B$5:$B$1004,MATCH(A638,Firms!$A$5:$A$1004,0)),"Not on Firms tab"))</f>
        <v/>
      </c>
      <c r="O638" s="84">
        <f>IF(A638="","",IF(AND(D638&lt;&gt;"",D638&lt;TODAY()),"Expired",IF(AND(C638&lt;&gt;"",C638&gt;TODAY()),"Not yet effective",IF(C638="","No date",IF(TODAY()&gt;=EDATE(C638,Review_Months),"Review Due","Current")))))</f>
        <v/>
      </c>
      <c r="P638">
        <f>IF(A638="","",A638&amp;"|"&amp;B638)</f>
        <v/>
      </c>
      <c r="Q638">
        <f>IF(AND(A638&lt;&gt;"",A638='Firm Search'!$C$7),COUNTIF($A$5:A638,'Firm Search'!$C$7),"")</f>
        <v/>
      </c>
      <c r="R638">
        <f>IF(A638="","",COUNTIF($A$5:$A$1004,"&lt;"&amp;A638)+COUNTIF($A$5:A638,A638))</f>
        <v/>
      </c>
    </row>
    <row r="639">
      <c r="A639" s="64" t="n"/>
      <c r="B639" s="64" t="n"/>
      <c r="C639" s="66" t="n"/>
      <c r="D639" s="66" t="n"/>
      <c r="E639" s="67" t="n"/>
      <c r="F639" s="67" t="n"/>
      <c r="G639" s="67" t="n"/>
      <c r="H639" s="67" t="n"/>
      <c r="I639" s="67" t="n"/>
      <c r="J639" s="67" t="n"/>
      <c r="K639" s="67" t="n"/>
      <c r="L639" s="67" t="n"/>
      <c r="M639" s="64" t="n"/>
      <c r="N639" s="84">
        <f>IF(A639="","",IFERROR(INDEX(Firms!$B$5:$B$1004,MATCH(A639,Firms!$A$5:$A$1004,0)),"Not on Firms tab"))</f>
        <v/>
      </c>
      <c r="O639" s="84">
        <f>IF(A639="","",IF(AND(D639&lt;&gt;"",D639&lt;TODAY()),"Expired",IF(AND(C639&lt;&gt;"",C639&gt;TODAY()),"Not yet effective",IF(C639="","No date",IF(TODAY()&gt;=EDATE(C639,Review_Months),"Review Due","Current")))))</f>
        <v/>
      </c>
      <c r="P639">
        <f>IF(A639="","",A639&amp;"|"&amp;B639)</f>
        <v/>
      </c>
      <c r="Q639">
        <f>IF(AND(A639&lt;&gt;"",A639='Firm Search'!$C$7),COUNTIF($A$5:A639,'Firm Search'!$C$7),"")</f>
        <v/>
      </c>
      <c r="R639">
        <f>IF(A639="","",COUNTIF($A$5:$A$1004,"&lt;"&amp;A639)+COUNTIF($A$5:A639,A639))</f>
        <v/>
      </c>
    </row>
    <row r="640">
      <c r="A640" s="64" t="n"/>
      <c r="B640" s="64" t="n"/>
      <c r="C640" s="66" t="n"/>
      <c r="D640" s="66" t="n"/>
      <c r="E640" s="67" t="n"/>
      <c r="F640" s="67" t="n"/>
      <c r="G640" s="67" t="n"/>
      <c r="H640" s="67" t="n"/>
      <c r="I640" s="67" t="n"/>
      <c r="J640" s="67" t="n"/>
      <c r="K640" s="67" t="n"/>
      <c r="L640" s="67" t="n"/>
      <c r="M640" s="64" t="n"/>
      <c r="N640" s="84">
        <f>IF(A640="","",IFERROR(INDEX(Firms!$B$5:$B$1004,MATCH(A640,Firms!$A$5:$A$1004,0)),"Not on Firms tab"))</f>
        <v/>
      </c>
      <c r="O640" s="84">
        <f>IF(A640="","",IF(AND(D640&lt;&gt;"",D640&lt;TODAY()),"Expired",IF(AND(C640&lt;&gt;"",C640&gt;TODAY()),"Not yet effective",IF(C640="","No date",IF(TODAY()&gt;=EDATE(C640,Review_Months),"Review Due","Current")))))</f>
        <v/>
      </c>
      <c r="P640">
        <f>IF(A640="","",A640&amp;"|"&amp;B640)</f>
        <v/>
      </c>
      <c r="Q640">
        <f>IF(AND(A640&lt;&gt;"",A640='Firm Search'!$C$7),COUNTIF($A$5:A640,'Firm Search'!$C$7),"")</f>
        <v/>
      </c>
      <c r="R640">
        <f>IF(A640="","",COUNTIF($A$5:$A$1004,"&lt;"&amp;A640)+COUNTIF($A$5:A640,A640))</f>
        <v/>
      </c>
    </row>
    <row r="641">
      <c r="A641" s="64" t="n"/>
      <c r="B641" s="64" t="n"/>
      <c r="C641" s="66" t="n"/>
      <c r="D641" s="66" t="n"/>
      <c r="E641" s="67" t="n"/>
      <c r="F641" s="67" t="n"/>
      <c r="G641" s="67" t="n"/>
      <c r="H641" s="67" t="n"/>
      <c r="I641" s="67" t="n"/>
      <c r="J641" s="67" t="n"/>
      <c r="K641" s="67" t="n"/>
      <c r="L641" s="67" t="n"/>
      <c r="M641" s="64" t="n"/>
      <c r="N641" s="84">
        <f>IF(A641="","",IFERROR(INDEX(Firms!$B$5:$B$1004,MATCH(A641,Firms!$A$5:$A$1004,0)),"Not on Firms tab"))</f>
        <v/>
      </c>
      <c r="O641" s="84">
        <f>IF(A641="","",IF(AND(D641&lt;&gt;"",D641&lt;TODAY()),"Expired",IF(AND(C641&lt;&gt;"",C641&gt;TODAY()),"Not yet effective",IF(C641="","No date",IF(TODAY()&gt;=EDATE(C641,Review_Months),"Review Due","Current")))))</f>
        <v/>
      </c>
      <c r="P641">
        <f>IF(A641="","",A641&amp;"|"&amp;B641)</f>
        <v/>
      </c>
      <c r="Q641">
        <f>IF(AND(A641&lt;&gt;"",A641='Firm Search'!$C$7),COUNTIF($A$5:A641,'Firm Search'!$C$7),"")</f>
        <v/>
      </c>
      <c r="R641">
        <f>IF(A641="","",COUNTIF($A$5:$A$1004,"&lt;"&amp;A641)+COUNTIF($A$5:A641,A641))</f>
        <v/>
      </c>
    </row>
    <row r="642">
      <c r="A642" s="64" t="n"/>
      <c r="B642" s="64" t="n"/>
      <c r="C642" s="66" t="n"/>
      <c r="D642" s="66" t="n"/>
      <c r="E642" s="67" t="n"/>
      <c r="F642" s="67" t="n"/>
      <c r="G642" s="67" t="n"/>
      <c r="H642" s="67" t="n"/>
      <c r="I642" s="67" t="n"/>
      <c r="J642" s="67" t="n"/>
      <c r="K642" s="67" t="n"/>
      <c r="L642" s="67" t="n"/>
      <c r="M642" s="64" t="n"/>
      <c r="N642" s="84">
        <f>IF(A642="","",IFERROR(INDEX(Firms!$B$5:$B$1004,MATCH(A642,Firms!$A$5:$A$1004,0)),"Not on Firms tab"))</f>
        <v/>
      </c>
      <c r="O642" s="84">
        <f>IF(A642="","",IF(AND(D642&lt;&gt;"",D642&lt;TODAY()),"Expired",IF(AND(C642&lt;&gt;"",C642&gt;TODAY()),"Not yet effective",IF(C642="","No date",IF(TODAY()&gt;=EDATE(C642,Review_Months),"Review Due","Current")))))</f>
        <v/>
      </c>
      <c r="P642">
        <f>IF(A642="","",A642&amp;"|"&amp;B642)</f>
        <v/>
      </c>
      <c r="Q642">
        <f>IF(AND(A642&lt;&gt;"",A642='Firm Search'!$C$7),COUNTIF($A$5:A642,'Firm Search'!$C$7),"")</f>
        <v/>
      </c>
      <c r="R642">
        <f>IF(A642="","",COUNTIF($A$5:$A$1004,"&lt;"&amp;A642)+COUNTIF($A$5:A642,A642))</f>
        <v/>
      </c>
    </row>
    <row r="643">
      <c r="A643" s="64" t="n"/>
      <c r="B643" s="64" t="n"/>
      <c r="C643" s="66" t="n"/>
      <c r="D643" s="66" t="n"/>
      <c r="E643" s="67" t="n"/>
      <c r="F643" s="67" t="n"/>
      <c r="G643" s="67" t="n"/>
      <c r="H643" s="67" t="n"/>
      <c r="I643" s="67" t="n"/>
      <c r="J643" s="67" t="n"/>
      <c r="K643" s="67" t="n"/>
      <c r="L643" s="67" t="n"/>
      <c r="M643" s="64" t="n"/>
      <c r="N643" s="84">
        <f>IF(A643="","",IFERROR(INDEX(Firms!$B$5:$B$1004,MATCH(A643,Firms!$A$5:$A$1004,0)),"Not on Firms tab"))</f>
        <v/>
      </c>
      <c r="O643" s="84">
        <f>IF(A643="","",IF(AND(D643&lt;&gt;"",D643&lt;TODAY()),"Expired",IF(AND(C643&lt;&gt;"",C643&gt;TODAY()),"Not yet effective",IF(C643="","No date",IF(TODAY()&gt;=EDATE(C643,Review_Months),"Review Due","Current")))))</f>
        <v/>
      </c>
      <c r="P643">
        <f>IF(A643="","",A643&amp;"|"&amp;B643)</f>
        <v/>
      </c>
      <c r="Q643">
        <f>IF(AND(A643&lt;&gt;"",A643='Firm Search'!$C$7),COUNTIF($A$5:A643,'Firm Search'!$C$7),"")</f>
        <v/>
      </c>
      <c r="R643">
        <f>IF(A643="","",COUNTIF($A$5:$A$1004,"&lt;"&amp;A643)+COUNTIF($A$5:A643,A643))</f>
        <v/>
      </c>
    </row>
    <row r="644">
      <c r="A644" s="64" t="n"/>
      <c r="B644" s="64" t="n"/>
      <c r="C644" s="66" t="n"/>
      <c r="D644" s="66" t="n"/>
      <c r="E644" s="67" t="n"/>
      <c r="F644" s="67" t="n"/>
      <c r="G644" s="67" t="n"/>
      <c r="H644" s="67" t="n"/>
      <c r="I644" s="67" t="n"/>
      <c r="J644" s="67" t="n"/>
      <c r="K644" s="67" t="n"/>
      <c r="L644" s="67" t="n"/>
      <c r="M644" s="64" t="n"/>
      <c r="N644" s="84">
        <f>IF(A644="","",IFERROR(INDEX(Firms!$B$5:$B$1004,MATCH(A644,Firms!$A$5:$A$1004,0)),"Not on Firms tab"))</f>
        <v/>
      </c>
      <c r="O644" s="84">
        <f>IF(A644="","",IF(AND(D644&lt;&gt;"",D644&lt;TODAY()),"Expired",IF(AND(C644&lt;&gt;"",C644&gt;TODAY()),"Not yet effective",IF(C644="","No date",IF(TODAY()&gt;=EDATE(C644,Review_Months),"Review Due","Current")))))</f>
        <v/>
      </c>
      <c r="P644">
        <f>IF(A644="","",A644&amp;"|"&amp;B644)</f>
        <v/>
      </c>
      <c r="Q644">
        <f>IF(AND(A644&lt;&gt;"",A644='Firm Search'!$C$7),COUNTIF($A$5:A644,'Firm Search'!$C$7),"")</f>
        <v/>
      </c>
      <c r="R644">
        <f>IF(A644="","",COUNTIF($A$5:$A$1004,"&lt;"&amp;A644)+COUNTIF($A$5:A644,A644))</f>
        <v/>
      </c>
    </row>
    <row r="645">
      <c r="A645" s="64" t="n"/>
      <c r="B645" s="64" t="n"/>
      <c r="C645" s="66" t="n"/>
      <c r="D645" s="66" t="n"/>
      <c r="E645" s="67" t="n"/>
      <c r="F645" s="67" t="n"/>
      <c r="G645" s="67" t="n"/>
      <c r="H645" s="67" t="n"/>
      <c r="I645" s="67" t="n"/>
      <c r="J645" s="67" t="n"/>
      <c r="K645" s="67" t="n"/>
      <c r="L645" s="67" t="n"/>
      <c r="M645" s="64" t="n"/>
      <c r="N645" s="84">
        <f>IF(A645="","",IFERROR(INDEX(Firms!$B$5:$B$1004,MATCH(A645,Firms!$A$5:$A$1004,0)),"Not on Firms tab"))</f>
        <v/>
      </c>
      <c r="O645" s="84">
        <f>IF(A645="","",IF(AND(D645&lt;&gt;"",D645&lt;TODAY()),"Expired",IF(AND(C645&lt;&gt;"",C645&gt;TODAY()),"Not yet effective",IF(C645="","No date",IF(TODAY()&gt;=EDATE(C645,Review_Months),"Review Due","Current")))))</f>
        <v/>
      </c>
      <c r="P645">
        <f>IF(A645="","",A645&amp;"|"&amp;B645)</f>
        <v/>
      </c>
      <c r="Q645">
        <f>IF(AND(A645&lt;&gt;"",A645='Firm Search'!$C$7),COUNTIF($A$5:A645,'Firm Search'!$C$7),"")</f>
        <v/>
      </c>
      <c r="R645">
        <f>IF(A645="","",COUNTIF($A$5:$A$1004,"&lt;"&amp;A645)+COUNTIF($A$5:A645,A645))</f>
        <v/>
      </c>
    </row>
    <row r="646">
      <c r="A646" s="64" t="n"/>
      <c r="B646" s="64" t="n"/>
      <c r="C646" s="66" t="n"/>
      <c r="D646" s="66" t="n"/>
      <c r="E646" s="67" t="n"/>
      <c r="F646" s="67" t="n"/>
      <c r="G646" s="67" t="n"/>
      <c r="H646" s="67" t="n"/>
      <c r="I646" s="67" t="n"/>
      <c r="J646" s="67" t="n"/>
      <c r="K646" s="67" t="n"/>
      <c r="L646" s="67" t="n"/>
      <c r="M646" s="64" t="n"/>
      <c r="N646" s="84">
        <f>IF(A646="","",IFERROR(INDEX(Firms!$B$5:$B$1004,MATCH(A646,Firms!$A$5:$A$1004,0)),"Not on Firms tab"))</f>
        <v/>
      </c>
      <c r="O646" s="84">
        <f>IF(A646="","",IF(AND(D646&lt;&gt;"",D646&lt;TODAY()),"Expired",IF(AND(C646&lt;&gt;"",C646&gt;TODAY()),"Not yet effective",IF(C646="","No date",IF(TODAY()&gt;=EDATE(C646,Review_Months),"Review Due","Current")))))</f>
        <v/>
      </c>
      <c r="P646">
        <f>IF(A646="","",A646&amp;"|"&amp;B646)</f>
        <v/>
      </c>
      <c r="Q646">
        <f>IF(AND(A646&lt;&gt;"",A646='Firm Search'!$C$7),COUNTIF($A$5:A646,'Firm Search'!$C$7),"")</f>
        <v/>
      </c>
      <c r="R646">
        <f>IF(A646="","",COUNTIF($A$5:$A$1004,"&lt;"&amp;A646)+COUNTIF($A$5:A646,A646))</f>
        <v/>
      </c>
    </row>
    <row r="647">
      <c r="A647" s="64" t="n"/>
      <c r="B647" s="64" t="n"/>
      <c r="C647" s="66" t="n"/>
      <c r="D647" s="66" t="n"/>
      <c r="E647" s="67" t="n"/>
      <c r="F647" s="67" t="n"/>
      <c r="G647" s="67" t="n"/>
      <c r="H647" s="67" t="n"/>
      <c r="I647" s="67" t="n"/>
      <c r="J647" s="67" t="n"/>
      <c r="K647" s="67" t="n"/>
      <c r="L647" s="67" t="n"/>
      <c r="M647" s="64" t="n"/>
      <c r="N647" s="84">
        <f>IF(A647="","",IFERROR(INDEX(Firms!$B$5:$B$1004,MATCH(A647,Firms!$A$5:$A$1004,0)),"Not on Firms tab"))</f>
        <v/>
      </c>
      <c r="O647" s="84">
        <f>IF(A647="","",IF(AND(D647&lt;&gt;"",D647&lt;TODAY()),"Expired",IF(AND(C647&lt;&gt;"",C647&gt;TODAY()),"Not yet effective",IF(C647="","No date",IF(TODAY()&gt;=EDATE(C647,Review_Months),"Review Due","Current")))))</f>
        <v/>
      </c>
      <c r="P647">
        <f>IF(A647="","",A647&amp;"|"&amp;B647)</f>
        <v/>
      </c>
      <c r="Q647">
        <f>IF(AND(A647&lt;&gt;"",A647='Firm Search'!$C$7),COUNTIF($A$5:A647,'Firm Search'!$C$7),"")</f>
        <v/>
      </c>
      <c r="R647">
        <f>IF(A647="","",COUNTIF($A$5:$A$1004,"&lt;"&amp;A647)+COUNTIF($A$5:A647,A647))</f>
        <v/>
      </c>
    </row>
    <row r="648">
      <c r="A648" s="64" t="n"/>
      <c r="B648" s="64" t="n"/>
      <c r="C648" s="66" t="n"/>
      <c r="D648" s="66" t="n"/>
      <c r="E648" s="67" t="n"/>
      <c r="F648" s="67" t="n"/>
      <c r="G648" s="67" t="n"/>
      <c r="H648" s="67" t="n"/>
      <c r="I648" s="67" t="n"/>
      <c r="J648" s="67" t="n"/>
      <c r="K648" s="67" t="n"/>
      <c r="L648" s="67" t="n"/>
      <c r="M648" s="64" t="n"/>
      <c r="N648" s="84">
        <f>IF(A648="","",IFERROR(INDEX(Firms!$B$5:$B$1004,MATCH(A648,Firms!$A$5:$A$1004,0)),"Not on Firms tab"))</f>
        <v/>
      </c>
      <c r="O648" s="84">
        <f>IF(A648="","",IF(AND(D648&lt;&gt;"",D648&lt;TODAY()),"Expired",IF(AND(C648&lt;&gt;"",C648&gt;TODAY()),"Not yet effective",IF(C648="","No date",IF(TODAY()&gt;=EDATE(C648,Review_Months),"Review Due","Current")))))</f>
        <v/>
      </c>
      <c r="P648">
        <f>IF(A648="","",A648&amp;"|"&amp;B648)</f>
        <v/>
      </c>
      <c r="Q648">
        <f>IF(AND(A648&lt;&gt;"",A648='Firm Search'!$C$7),COUNTIF($A$5:A648,'Firm Search'!$C$7),"")</f>
        <v/>
      </c>
      <c r="R648">
        <f>IF(A648="","",COUNTIF($A$5:$A$1004,"&lt;"&amp;A648)+COUNTIF($A$5:A648,A648))</f>
        <v/>
      </c>
    </row>
    <row r="649">
      <c r="A649" s="64" t="n"/>
      <c r="B649" s="64" t="n"/>
      <c r="C649" s="66" t="n"/>
      <c r="D649" s="66" t="n"/>
      <c r="E649" s="67" t="n"/>
      <c r="F649" s="67" t="n"/>
      <c r="G649" s="67" t="n"/>
      <c r="H649" s="67" t="n"/>
      <c r="I649" s="67" t="n"/>
      <c r="J649" s="67" t="n"/>
      <c r="K649" s="67" t="n"/>
      <c r="L649" s="67" t="n"/>
      <c r="M649" s="64" t="n"/>
      <c r="N649" s="84">
        <f>IF(A649="","",IFERROR(INDEX(Firms!$B$5:$B$1004,MATCH(A649,Firms!$A$5:$A$1004,0)),"Not on Firms tab"))</f>
        <v/>
      </c>
      <c r="O649" s="84">
        <f>IF(A649="","",IF(AND(D649&lt;&gt;"",D649&lt;TODAY()),"Expired",IF(AND(C649&lt;&gt;"",C649&gt;TODAY()),"Not yet effective",IF(C649="","No date",IF(TODAY()&gt;=EDATE(C649,Review_Months),"Review Due","Current")))))</f>
        <v/>
      </c>
      <c r="P649">
        <f>IF(A649="","",A649&amp;"|"&amp;B649)</f>
        <v/>
      </c>
      <c r="Q649">
        <f>IF(AND(A649&lt;&gt;"",A649='Firm Search'!$C$7),COUNTIF($A$5:A649,'Firm Search'!$C$7),"")</f>
        <v/>
      </c>
      <c r="R649">
        <f>IF(A649="","",COUNTIF($A$5:$A$1004,"&lt;"&amp;A649)+COUNTIF($A$5:A649,A649))</f>
        <v/>
      </c>
    </row>
    <row r="650">
      <c r="A650" s="64" t="n"/>
      <c r="B650" s="64" t="n"/>
      <c r="C650" s="66" t="n"/>
      <c r="D650" s="66" t="n"/>
      <c r="E650" s="67" t="n"/>
      <c r="F650" s="67" t="n"/>
      <c r="G650" s="67" t="n"/>
      <c r="H650" s="67" t="n"/>
      <c r="I650" s="67" t="n"/>
      <c r="J650" s="67" t="n"/>
      <c r="K650" s="67" t="n"/>
      <c r="L650" s="67" t="n"/>
      <c r="M650" s="64" t="n"/>
      <c r="N650" s="84">
        <f>IF(A650="","",IFERROR(INDEX(Firms!$B$5:$B$1004,MATCH(A650,Firms!$A$5:$A$1004,0)),"Not on Firms tab"))</f>
        <v/>
      </c>
      <c r="O650" s="84">
        <f>IF(A650="","",IF(AND(D650&lt;&gt;"",D650&lt;TODAY()),"Expired",IF(AND(C650&lt;&gt;"",C650&gt;TODAY()),"Not yet effective",IF(C650="","No date",IF(TODAY()&gt;=EDATE(C650,Review_Months),"Review Due","Current")))))</f>
        <v/>
      </c>
      <c r="P650">
        <f>IF(A650="","",A650&amp;"|"&amp;B650)</f>
        <v/>
      </c>
      <c r="Q650">
        <f>IF(AND(A650&lt;&gt;"",A650='Firm Search'!$C$7),COUNTIF($A$5:A650,'Firm Search'!$C$7),"")</f>
        <v/>
      </c>
      <c r="R650">
        <f>IF(A650="","",COUNTIF($A$5:$A$1004,"&lt;"&amp;A650)+COUNTIF($A$5:A650,A650))</f>
        <v/>
      </c>
    </row>
    <row r="651">
      <c r="A651" s="64" t="n"/>
      <c r="B651" s="64" t="n"/>
      <c r="C651" s="66" t="n"/>
      <c r="D651" s="66" t="n"/>
      <c r="E651" s="67" t="n"/>
      <c r="F651" s="67" t="n"/>
      <c r="G651" s="67" t="n"/>
      <c r="H651" s="67" t="n"/>
      <c r="I651" s="67" t="n"/>
      <c r="J651" s="67" t="n"/>
      <c r="K651" s="67" t="n"/>
      <c r="L651" s="67" t="n"/>
      <c r="M651" s="64" t="n"/>
      <c r="N651" s="84">
        <f>IF(A651="","",IFERROR(INDEX(Firms!$B$5:$B$1004,MATCH(A651,Firms!$A$5:$A$1004,0)),"Not on Firms tab"))</f>
        <v/>
      </c>
      <c r="O651" s="84">
        <f>IF(A651="","",IF(AND(D651&lt;&gt;"",D651&lt;TODAY()),"Expired",IF(AND(C651&lt;&gt;"",C651&gt;TODAY()),"Not yet effective",IF(C651="","No date",IF(TODAY()&gt;=EDATE(C651,Review_Months),"Review Due","Current")))))</f>
        <v/>
      </c>
      <c r="P651">
        <f>IF(A651="","",A651&amp;"|"&amp;B651)</f>
        <v/>
      </c>
      <c r="Q651">
        <f>IF(AND(A651&lt;&gt;"",A651='Firm Search'!$C$7),COUNTIF($A$5:A651,'Firm Search'!$C$7),"")</f>
        <v/>
      </c>
      <c r="R651">
        <f>IF(A651="","",COUNTIF($A$5:$A$1004,"&lt;"&amp;A651)+COUNTIF($A$5:A651,A651))</f>
        <v/>
      </c>
    </row>
    <row r="652">
      <c r="A652" s="64" t="n"/>
      <c r="B652" s="64" t="n"/>
      <c r="C652" s="66" t="n"/>
      <c r="D652" s="66" t="n"/>
      <c r="E652" s="67" t="n"/>
      <c r="F652" s="67" t="n"/>
      <c r="G652" s="67" t="n"/>
      <c r="H652" s="67" t="n"/>
      <c r="I652" s="67" t="n"/>
      <c r="J652" s="67" t="n"/>
      <c r="K652" s="67" t="n"/>
      <c r="L652" s="67" t="n"/>
      <c r="M652" s="64" t="n"/>
      <c r="N652" s="84">
        <f>IF(A652="","",IFERROR(INDEX(Firms!$B$5:$B$1004,MATCH(A652,Firms!$A$5:$A$1004,0)),"Not on Firms tab"))</f>
        <v/>
      </c>
      <c r="O652" s="84">
        <f>IF(A652="","",IF(AND(D652&lt;&gt;"",D652&lt;TODAY()),"Expired",IF(AND(C652&lt;&gt;"",C652&gt;TODAY()),"Not yet effective",IF(C652="","No date",IF(TODAY()&gt;=EDATE(C652,Review_Months),"Review Due","Current")))))</f>
        <v/>
      </c>
      <c r="P652">
        <f>IF(A652="","",A652&amp;"|"&amp;B652)</f>
        <v/>
      </c>
      <c r="Q652">
        <f>IF(AND(A652&lt;&gt;"",A652='Firm Search'!$C$7),COUNTIF($A$5:A652,'Firm Search'!$C$7),"")</f>
        <v/>
      </c>
      <c r="R652">
        <f>IF(A652="","",COUNTIF($A$5:$A$1004,"&lt;"&amp;A652)+COUNTIF($A$5:A652,A652))</f>
        <v/>
      </c>
    </row>
    <row r="653">
      <c r="A653" s="64" t="n"/>
      <c r="B653" s="64" t="n"/>
      <c r="C653" s="66" t="n"/>
      <c r="D653" s="66" t="n"/>
      <c r="E653" s="67" t="n"/>
      <c r="F653" s="67" t="n"/>
      <c r="G653" s="67" t="n"/>
      <c r="H653" s="67" t="n"/>
      <c r="I653" s="67" t="n"/>
      <c r="J653" s="67" t="n"/>
      <c r="K653" s="67" t="n"/>
      <c r="L653" s="67" t="n"/>
      <c r="M653" s="64" t="n"/>
      <c r="N653" s="84">
        <f>IF(A653="","",IFERROR(INDEX(Firms!$B$5:$B$1004,MATCH(A653,Firms!$A$5:$A$1004,0)),"Not on Firms tab"))</f>
        <v/>
      </c>
      <c r="O653" s="84">
        <f>IF(A653="","",IF(AND(D653&lt;&gt;"",D653&lt;TODAY()),"Expired",IF(AND(C653&lt;&gt;"",C653&gt;TODAY()),"Not yet effective",IF(C653="","No date",IF(TODAY()&gt;=EDATE(C653,Review_Months),"Review Due","Current")))))</f>
        <v/>
      </c>
      <c r="P653">
        <f>IF(A653="","",A653&amp;"|"&amp;B653)</f>
        <v/>
      </c>
      <c r="Q653">
        <f>IF(AND(A653&lt;&gt;"",A653='Firm Search'!$C$7),COUNTIF($A$5:A653,'Firm Search'!$C$7),"")</f>
        <v/>
      </c>
      <c r="R653">
        <f>IF(A653="","",COUNTIF($A$5:$A$1004,"&lt;"&amp;A653)+COUNTIF($A$5:A653,A653))</f>
        <v/>
      </c>
    </row>
    <row r="654">
      <c r="A654" s="64" t="n"/>
      <c r="B654" s="64" t="n"/>
      <c r="C654" s="66" t="n"/>
      <c r="D654" s="66" t="n"/>
      <c r="E654" s="67" t="n"/>
      <c r="F654" s="67" t="n"/>
      <c r="G654" s="67" t="n"/>
      <c r="H654" s="67" t="n"/>
      <c r="I654" s="67" t="n"/>
      <c r="J654" s="67" t="n"/>
      <c r="K654" s="67" t="n"/>
      <c r="L654" s="67" t="n"/>
      <c r="M654" s="64" t="n"/>
      <c r="N654" s="84">
        <f>IF(A654="","",IFERROR(INDEX(Firms!$B$5:$B$1004,MATCH(A654,Firms!$A$5:$A$1004,0)),"Not on Firms tab"))</f>
        <v/>
      </c>
      <c r="O654" s="84">
        <f>IF(A654="","",IF(AND(D654&lt;&gt;"",D654&lt;TODAY()),"Expired",IF(AND(C654&lt;&gt;"",C654&gt;TODAY()),"Not yet effective",IF(C654="","No date",IF(TODAY()&gt;=EDATE(C654,Review_Months),"Review Due","Current")))))</f>
        <v/>
      </c>
      <c r="P654">
        <f>IF(A654="","",A654&amp;"|"&amp;B654)</f>
        <v/>
      </c>
      <c r="Q654">
        <f>IF(AND(A654&lt;&gt;"",A654='Firm Search'!$C$7),COUNTIF($A$5:A654,'Firm Search'!$C$7),"")</f>
        <v/>
      </c>
      <c r="R654">
        <f>IF(A654="","",COUNTIF($A$5:$A$1004,"&lt;"&amp;A654)+COUNTIF($A$5:A654,A654))</f>
        <v/>
      </c>
    </row>
    <row r="655">
      <c r="A655" s="64" t="n"/>
      <c r="B655" s="64" t="n"/>
      <c r="C655" s="66" t="n"/>
      <c r="D655" s="66" t="n"/>
      <c r="E655" s="67" t="n"/>
      <c r="F655" s="67" t="n"/>
      <c r="G655" s="67" t="n"/>
      <c r="H655" s="67" t="n"/>
      <c r="I655" s="67" t="n"/>
      <c r="J655" s="67" t="n"/>
      <c r="K655" s="67" t="n"/>
      <c r="L655" s="67" t="n"/>
      <c r="M655" s="64" t="n"/>
      <c r="N655" s="84">
        <f>IF(A655="","",IFERROR(INDEX(Firms!$B$5:$B$1004,MATCH(A655,Firms!$A$5:$A$1004,0)),"Not on Firms tab"))</f>
        <v/>
      </c>
      <c r="O655" s="84">
        <f>IF(A655="","",IF(AND(D655&lt;&gt;"",D655&lt;TODAY()),"Expired",IF(AND(C655&lt;&gt;"",C655&gt;TODAY()),"Not yet effective",IF(C655="","No date",IF(TODAY()&gt;=EDATE(C655,Review_Months),"Review Due","Current")))))</f>
        <v/>
      </c>
      <c r="P655">
        <f>IF(A655="","",A655&amp;"|"&amp;B655)</f>
        <v/>
      </c>
      <c r="Q655">
        <f>IF(AND(A655&lt;&gt;"",A655='Firm Search'!$C$7),COUNTIF($A$5:A655,'Firm Search'!$C$7),"")</f>
        <v/>
      </c>
      <c r="R655">
        <f>IF(A655="","",COUNTIF($A$5:$A$1004,"&lt;"&amp;A655)+COUNTIF($A$5:A655,A655))</f>
        <v/>
      </c>
    </row>
    <row r="656">
      <c r="A656" s="64" t="n"/>
      <c r="B656" s="64" t="n"/>
      <c r="C656" s="66" t="n"/>
      <c r="D656" s="66" t="n"/>
      <c r="E656" s="67" t="n"/>
      <c r="F656" s="67" t="n"/>
      <c r="G656" s="67" t="n"/>
      <c r="H656" s="67" t="n"/>
      <c r="I656" s="67" t="n"/>
      <c r="J656" s="67" t="n"/>
      <c r="K656" s="67" t="n"/>
      <c r="L656" s="67" t="n"/>
      <c r="M656" s="64" t="n"/>
      <c r="N656" s="84">
        <f>IF(A656="","",IFERROR(INDEX(Firms!$B$5:$B$1004,MATCH(A656,Firms!$A$5:$A$1004,0)),"Not on Firms tab"))</f>
        <v/>
      </c>
      <c r="O656" s="84">
        <f>IF(A656="","",IF(AND(D656&lt;&gt;"",D656&lt;TODAY()),"Expired",IF(AND(C656&lt;&gt;"",C656&gt;TODAY()),"Not yet effective",IF(C656="","No date",IF(TODAY()&gt;=EDATE(C656,Review_Months),"Review Due","Current")))))</f>
        <v/>
      </c>
      <c r="P656">
        <f>IF(A656="","",A656&amp;"|"&amp;B656)</f>
        <v/>
      </c>
      <c r="Q656">
        <f>IF(AND(A656&lt;&gt;"",A656='Firm Search'!$C$7),COUNTIF($A$5:A656,'Firm Search'!$C$7),"")</f>
        <v/>
      </c>
      <c r="R656">
        <f>IF(A656="","",COUNTIF($A$5:$A$1004,"&lt;"&amp;A656)+COUNTIF($A$5:A656,A656))</f>
        <v/>
      </c>
    </row>
    <row r="657">
      <c r="A657" s="64" t="n"/>
      <c r="B657" s="64" t="n"/>
      <c r="C657" s="66" t="n"/>
      <c r="D657" s="66" t="n"/>
      <c r="E657" s="67" t="n"/>
      <c r="F657" s="67" t="n"/>
      <c r="G657" s="67" t="n"/>
      <c r="H657" s="67" t="n"/>
      <c r="I657" s="67" t="n"/>
      <c r="J657" s="67" t="n"/>
      <c r="K657" s="67" t="n"/>
      <c r="L657" s="67" t="n"/>
      <c r="M657" s="64" t="n"/>
      <c r="N657" s="84">
        <f>IF(A657="","",IFERROR(INDEX(Firms!$B$5:$B$1004,MATCH(A657,Firms!$A$5:$A$1004,0)),"Not on Firms tab"))</f>
        <v/>
      </c>
      <c r="O657" s="84">
        <f>IF(A657="","",IF(AND(D657&lt;&gt;"",D657&lt;TODAY()),"Expired",IF(AND(C657&lt;&gt;"",C657&gt;TODAY()),"Not yet effective",IF(C657="","No date",IF(TODAY()&gt;=EDATE(C657,Review_Months),"Review Due","Current")))))</f>
        <v/>
      </c>
      <c r="P657">
        <f>IF(A657="","",A657&amp;"|"&amp;B657)</f>
        <v/>
      </c>
      <c r="Q657">
        <f>IF(AND(A657&lt;&gt;"",A657='Firm Search'!$C$7),COUNTIF($A$5:A657,'Firm Search'!$C$7),"")</f>
        <v/>
      </c>
      <c r="R657">
        <f>IF(A657="","",COUNTIF($A$5:$A$1004,"&lt;"&amp;A657)+COUNTIF($A$5:A657,A657))</f>
        <v/>
      </c>
    </row>
    <row r="658">
      <c r="A658" s="64" t="n"/>
      <c r="B658" s="64" t="n"/>
      <c r="C658" s="66" t="n"/>
      <c r="D658" s="66" t="n"/>
      <c r="E658" s="67" t="n"/>
      <c r="F658" s="67" t="n"/>
      <c r="G658" s="67" t="n"/>
      <c r="H658" s="67" t="n"/>
      <c r="I658" s="67" t="n"/>
      <c r="J658" s="67" t="n"/>
      <c r="K658" s="67" t="n"/>
      <c r="L658" s="67" t="n"/>
      <c r="M658" s="64" t="n"/>
      <c r="N658" s="84">
        <f>IF(A658="","",IFERROR(INDEX(Firms!$B$5:$B$1004,MATCH(A658,Firms!$A$5:$A$1004,0)),"Not on Firms tab"))</f>
        <v/>
      </c>
      <c r="O658" s="84">
        <f>IF(A658="","",IF(AND(D658&lt;&gt;"",D658&lt;TODAY()),"Expired",IF(AND(C658&lt;&gt;"",C658&gt;TODAY()),"Not yet effective",IF(C658="","No date",IF(TODAY()&gt;=EDATE(C658,Review_Months),"Review Due","Current")))))</f>
        <v/>
      </c>
      <c r="P658">
        <f>IF(A658="","",A658&amp;"|"&amp;B658)</f>
        <v/>
      </c>
      <c r="Q658">
        <f>IF(AND(A658&lt;&gt;"",A658='Firm Search'!$C$7),COUNTIF($A$5:A658,'Firm Search'!$C$7),"")</f>
        <v/>
      </c>
      <c r="R658">
        <f>IF(A658="","",COUNTIF($A$5:$A$1004,"&lt;"&amp;A658)+COUNTIF($A$5:A658,A658))</f>
        <v/>
      </c>
    </row>
    <row r="659">
      <c r="A659" s="64" t="n"/>
      <c r="B659" s="64" t="n"/>
      <c r="C659" s="66" t="n"/>
      <c r="D659" s="66" t="n"/>
      <c r="E659" s="67" t="n"/>
      <c r="F659" s="67" t="n"/>
      <c r="G659" s="67" t="n"/>
      <c r="H659" s="67" t="n"/>
      <c r="I659" s="67" t="n"/>
      <c r="J659" s="67" t="n"/>
      <c r="K659" s="67" t="n"/>
      <c r="L659" s="67" t="n"/>
      <c r="M659" s="64" t="n"/>
      <c r="N659" s="84">
        <f>IF(A659="","",IFERROR(INDEX(Firms!$B$5:$B$1004,MATCH(A659,Firms!$A$5:$A$1004,0)),"Not on Firms tab"))</f>
        <v/>
      </c>
      <c r="O659" s="84">
        <f>IF(A659="","",IF(AND(D659&lt;&gt;"",D659&lt;TODAY()),"Expired",IF(AND(C659&lt;&gt;"",C659&gt;TODAY()),"Not yet effective",IF(C659="","No date",IF(TODAY()&gt;=EDATE(C659,Review_Months),"Review Due","Current")))))</f>
        <v/>
      </c>
      <c r="P659">
        <f>IF(A659="","",A659&amp;"|"&amp;B659)</f>
        <v/>
      </c>
      <c r="Q659">
        <f>IF(AND(A659&lt;&gt;"",A659='Firm Search'!$C$7),COUNTIF($A$5:A659,'Firm Search'!$C$7),"")</f>
        <v/>
      </c>
      <c r="R659">
        <f>IF(A659="","",COUNTIF($A$5:$A$1004,"&lt;"&amp;A659)+COUNTIF($A$5:A659,A659))</f>
        <v/>
      </c>
    </row>
    <row r="660">
      <c r="A660" s="64" t="n"/>
      <c r="B660" s="64" t="n"/>
      <c r="C660" s="66" t="n"/>
      <c r="D660" s="66" t="n"/>
      <c r="E660" s="67" t="n"/>
      <c r="F660" s="67" t="n"/>
      <c r="G660" s="67" t="n"/>
      <c r="H660" s="67" t="n"/>
      <c r="I660" s="67" t="n"/>
      <c r="J660" s="67" t="n"/>
      <c r="K660" s="67" t="n"/>
      <c r="L660" s="67" t="n"/>
      <c r="M660" s="64" t="n"/>
      <c r="N660" s="84">
        <f>IF(A660="","",IFERROR(INDEX(Firms!$B$5:$B$1004,MATCH(A660,Firms!$A$5:$A$1004,0)),"Not on Firms tab"))</f>
        <v/>
      </c>
      <c r="O660" s="84">
        <f>IF(A660="","",IF(AND(D660&lt;&gt;"",D660&lt;TODAY()),"Expired",IF(AND(C660&lt;&gt;"",C660&gt;TODAY()),"Not yet effective",IF(C660="","No date",IF(TODAY()&gt;=EDATE(C660,Review_Months),"Review Due","Current")))))</f>
        <v/>
      </c>
      <c r="P660">
        <f>IF(A660="","",A660&amp;"|"&amp;B660)</f>
        <v/>
      </c>
      <c r="Q660">
        <f>IF(AND(A660&lt;&gt;"",A660='Firm Search'!$C$7),COUNTIF($A$5:A660,'Firm Search'!$C$7),"")</f>
        <v/>
      </c>
      <c r="R660">
        <f>IF(A660="","",COUNTIF($A$5:$A$1004,"&lt;"&amp;A660)+COUNTIF($A$5:A660,A660))</f>
        <v/>
      </c>
    </row>
    <row r="661">
      <c r="A661" s="64" t="n"/>
      <c r="B661" s="64" t="n"/>
      <c r="C661" s="66" t="n"/>
      <c r="D661" s="66" t="n"/>
      <c r="E661" s="67" t="n"/>
      <c r="F661" s="67" t="n"/>
      <c r="G661" s="67" t="n"/>
      <c r="H661" s="67" t="n"/>
      <c r="I661" s="67" t="n"/>
      <c r="J661" s="67" t="n"/>
      <c r="K661" s="67" t="n"/>
      <c r="L661" s="67" t="n"/>
      <c r="M661" s="64" t="n"/>
      <c r="N661" s="84">
        <f>IF(A661="","",IFERROR(INDEX(Firms!$B$5:$B$1004,MATCH(A661,Firms!$A$5:$A$1004,0)),"Not on Firms tab"))</f>
        <v/>
      </c>
      <c r="O661" s="84">
        <f>IF(A661="","",IF(AND(D661&lt;&gt;"",D661&lt;TODAY()),"Expired",IF(AND(C661&lt;&gt;"",C661&gt;TODAY()),"Not yet effective",IF(C661="","No date",IF(TODAY()&gt;=EDATE(C661,Review_Months),"Review Due","Current")))))</f>
        <v/>
      </c>
      <c r="P661">
        <f>IF(A661="","",A661&amp;"|"&amp;B661)</f>
        <v/>
      </c>
      <c r="Q661">
        <f>IF(AND(A661&lt;&gt;"",A661='Firm Search'!$C$7),COUNTIF($A$5:A661,'Firm Search'!$C$7),"")</f>
        <v/>
      </c>
      <c r="R661">
        <f>IF(A661="","",COUNTIF($A$5:$A$1004,"&lt;"&amp;A661)+COUNTIF($A$5:A661,A661))</f>
        <v/>
      </c>
    </row>
    <row r="662">
      <c r="A662" s="64" t="n"/>
      <c r="B662" s="64" t="n"/>
      <c r="C662" s="66" t="n"/>
      <c r="D662" s="66" t="n"/>
      <c r="E662" s="67" t="n"/>
      <c r="F662" s="67" t="n"/>
      <c r="G662" s="67" t="n"/>
      <c r="H662" s="67" t="n"/>
      <c r="I662" s="67" t="n"/>
      <c r="J662" s="67" t="n"/>
      <c r="K662" s="67" t="n"/>
      <c r="L662" s="67" t="n"/>
      <c r="M662" s="64" t="n"/>
      <c r="N662" s="84">
        <f>IF(A662="","",IFERROR(INDEX(Firms!$B$5:$B$1004,MATCH(A662,Firms!$A$5:$A$1004,0)),"Not on Firms tab"))</f>
        <v/>
      </c>
      <c r="O662" s="84">
        <f>IF(A662="","",IF(AND(D662&lt;&gt;"",D662&lt;TODAY()),"Expired",IF(AND(C662&lt;&gt;"",C662&gt;TODAY()),"Not yet effective",IF(C662="","No date",IF(TODAY()&gt;=EDATE(C662,Review_Months),"Review Due","Current")))))</f>
        <v/>
      </c>
      <c r="P662">
        <f>IF(A662="","",A662&amp;"|"&amp;B662)</f>
        <v/>
      </c>
      <c r="Q662">
        <f>IF(AND(A662&lt;&gt;"",A662='Firm Search'!$C$7),COUNTIF($A$5:A662,'Firm Search'!$C$7),"")</f>
        <v/>
      </c>
      <c r="R662">
        <f>IF(A662="","",COUNTIF($A$5:$A$1004,"&lt;"&amp;A662)+COUNTIF($A$5:A662,A662))</f>
        <v/>
      </c>
    </row>
    <row r="663">
      <c r="A663" s="64" t="n"/>
      <c r="B663" s="64" t="n"/>
      <c r="C663" s="66" t="n"/>
      <c r="D663" s="66" t="n"/>
      <c r="E663" s="67" t="n"/>
      <c r="F663" s="67" t="n"/>
      <c r="G663" s="67" t="n"/>
      <c r="H663" s="67" t="n"/>
      <c r="I663" s="67" t="n"/>
      <c r="J663" s="67" t="n"/>
      <c r="K663" s="67" t="n"/>
      <c r="L663" s="67" t="n"/>
      <c r="M663" s="64" t="n"/>
      <c r="N663" s="84">
        <f>IF(A663="","",IFERROR(INDEX(Firms!$B$5:$B$1004,MATCH(A663,Firms!$A$5:$A$1004,0)),"Not on Firms tab"))</f>
        <v/>
      </c>
      <c r="O663" s="84">
        <f>IF(A663="","",IF(AND(D663&lt;&gt;"",D663&lt;TODAY()),"Expired",IF(AND(C663&lt;&gt;"",C663&gt;TODAY()),"Not yet effective",IF(C663="","No date",IF(TODAY()&gt;=EDATE(C663,Review_Months),"Review Due","Current")))))</f>
        <v/>
      </c>
      <c r="P663">
        <f>IF(A663="","",A663&amp;"|"&amp;B663)</f>
        <v/>
      </c>
      <c r="Q663">
        <f>IF(AND(A663&lt;&gt;"",A663='Firm Search'!$C$7),COUNTIF($A$5:A663,'Firm Search'!$C$7),"")</f>
        <v/>
      </c>
      <c r="R663">
        <f>IF(A663="","",COUNTIF($A$5:$A$1004,"&lt;"&amp;A663)+COUNTIF($A$5:A663,A663))</f>
        <v/>
      </c>
    </row>
    <row r="664">
      <c r="A664" s="64" t="n"/>
      <c r="B664" s="64" t="n"/>
      <c r="C664" s="66" t="n"/>
      <c r="D664" s="66" t="n"/>
      <c r="E664" s="67" t="n"/>
      <c r="F664" s="67" t="n"/>
      <c r="G664" s="67" t="n"/>
      <c r="H664" s="67" t="n"/>
      <c r="I664" s="67" t="n"/>
      <c r="J664" s="67" t="n"/>
      <c r="K664" s="67" t="n"/>
      <c r="L664" s="67" t="n"/>
      <c r="M664" s="64" t="n"/>
      <c r="N664" s="84">
        <f>IF(A664="","",IFERROR(INDEX(Firms!$B$5:$B$1004,MATCH(A664,Firms!$A$5:$A$1004,0)),"Not on Firms tab"))</f>
        <v/>
      </c>
      <c r="O664" s="84">
        <f>IF(A664="","",IF(AND(D664&lt;&gt;"",D664&lt;TODAY()),"Expired",IF(AND(C664&lt;&gt;"",C664&gt;TODAY()),"Not yet effective",IF(C664="","No date",IF(TODAY()&gt;=EDATE(C664,Review_Months),"Review Due","Current")))))</f>
        <v/>
      </c>
      <c r="P664">
        <f>IF(A664="","",A664&amp;"|"&amp;B664)</f>
        <v/>
      </c>
      <c r="Q664">
        <f>IF(AND(A664&lt;&gt;"",A664='Firm Search'!$C$7),COUNTIF($A$5:A664,'Firm Search'!$C$7),"")</f>
        <v/>
      </c>
      <c r="R664">
        <f>IF(A664="","",COUNTIF($A$5:$A$1004,"&lt;"&amp;A664)+COUNTIF($A$5:A664,A664))</f>
        <v/>
      </c>
    </row>
    <row r="665">
      <c r="A665" s="64" t="n"/>
      <c r="B665" s="64" t="n"/>
      <c r="C665" s="66" t="n"/>
      <c r="D665" s="66" t="n"/>
      <c r="E665" s="67" t="n"/>
      <c r="F665" s="67" t="n"/>
      <c r="G665" s="67" t="n"/>
      <c r="H665" s="67" t="n"/>
      <c r="I665" s="67" t="n"/>
      <c r="J665" s="67" t="n"/>
      <c r="K665" s="67" t="n"/>
      <c r="L665" s="67" t="n"/>
      <c r="M665" s="64" t="n"/>
      <c r="N665" s="84">
        <f>IF(A665="","",IFERROR(INDEX(Firms!$B$5:$B$1004,MATCH(A665,Firms!$A$5:$A$1004,0)),"Not on Firms tab"))</f>
        <v/>
      </c>
      <c r="O665" s="84">
        <f>IF(A665="","",IF(AND(D665&lt;&gt;"",D665&lt;TODAY()),"Expired",IF(AND(C665&lt;&gt;"",C665&gt;TODAY()),"Not yet effective",IF(C665="","No date",IF(TODAY()&gt;=EDATE(C665,Review_Months),"Review Due","Current")))))</f>
        <v/>
      </c>
      <c r="P665">
        <f>IF(A665="","",A665&amp;"|"&amp;B665)</f>
        <v/>
      </c>
      <c r="Q665">
        <f>IF(AND(A665&lt;&gt;"",A665='Firm Search'!$C$7),COUNTIF($A$5:A665,'Firm Search'!$C$7),"")</f>
        <v/>
      </c>
      <c r="R665">
        <f>IF(A665="","",COUNTIF($A$5:$A$1004,"&lt;"&amp;A665)+COUNTIF($A$5:A665,A665))</f>
        <v/>
      </c>
    </row>
    <row r="666">
      <c r="A666" s="64" t="n"/>
      <c r="B666" s="64" t="n"/>
      <c r="C666" s="66" t="n"/>
      <c r="D666" s="66" t="n"/>
      <c r="E666" s="67" t="n"/>
      <c r="F666" s="67" t="n"/>
      <c r="G666" s="67" t="n"/>
      <c r="H666" s="67" t="n"/>
      <c r="I666" s="67" t="n"/>
      <c r="J666" s="67" t="n"/>
      <c r="K666" s="67" t="n"/>
      <c r="L666" s="67" t="n"/>
      <c r="M666" s="64" t="n"/>
      <c r="N666" s="84">
        <f>IF(A666="","",IFERROR(INDEX(Firms!$B$5:$B$1004,MATCH(A666,Firms!$A$5:$A$1004,0)),"Not on Firms tab"))</f>
        <v/>
      </c>
      <c r="O666" s="84">
        <f>IF(A666="","",IF(AND(D666&lt;&gt;"",D666&lt;TODAY()),"Expired",IF(AND(C666&lt;&gt;"",C666&gt;TODAY()),"Not yet effective",IF(C666="","No date",IF(TODAY()&gt;=EDATE(C666,Review_Months),"Review Due","Current")))))</f>
        <v/>
      </c>
      <c r="P666">
        <f>IF(A666="","",A666&amp;"|"&amp;B666)</f>
        <v/>
      </c>
      <c r="Q666">
        <f>IF(AND(A666&lt;&gt;"",A666='Firm Search'!$C$7),COUNTIF($A$5:A666,'Firm Search'!$C$7),"")</f>
        <v/>
      </c>
      <c r="R666">
        <f>IF(A666="","",COUNTIF($A$5:$A$1004,"&lt;"&amp;A666)+COUNTIF($A$5:A666,A666))</f>
        <v/>
      </c>
    </row>
    <row r="667">
      <c r="A667" s="64" t="n"/>
      <c r="B667" s="64" t="n"/>
      <c r="C667" s="66" t="n"/>
      <c r="D667" s="66" t="n"/>
      <c r="E667" s="67" t="n"/>
      <c r="F667" s="67" t="n"/>
      <c r="G667" s="67" t="n"/>
      <c r="H667" s="67" t="n"/>
      <c r="I667" s="67" t="n"/>
      <c r="J667" s="67" t="n"/>
      <c r="K667" s="67" t="n"/>
      <c r="L667" s="67" t="n"/>
      <c r="M667" s="64" t="n"/>
      <c r="N667" s="84">
        <f>IF(A667="","",IFERROR(INDEX(Firms!$B$5:$B$1004,MATCH(A667,Firms!$A$5:$A$1004,0)),"Not on Firms tab"))</f>
        <v/>
      </c>
      <c r="O667" s="84">
        <f>IF(A667="","",IF(AND(D667&lt;&gt;"",D667&lt;TODAY()),"Expired",IF(AND(C667&lt;&gt;"",C667&gt;TODAY()),"Not yet effective",IF(C667="","No date",IF(TODAY()&gt;=EDATE(C667,Review_Months),"Review Due","Current")))))</f>
        <v/>
      </c>
      <c r="P667">
        <f>IF(A667="","",A667&amp;"|"&amp;B667)</f>
        <v/>
      </c>
      <c r="Q667">
        <f>IF(AND(A667&lt;&gt;"",A667='Firm Search'!$C$7),COUNTIF($A$5:A667,'Firm Search'!$C$7),"")</f>
        <v/>
      </c>
      <c r="R667">
        <f>IF(A667="","",COUNTIF($A$5:$A$1004,"&lt;"&amp;A667)+COUNTIF($A$5:A667,A667))</f>
        <v/>
      </c>
    </row>
    <row r="668">
      <c r="A668" s="64" t="n"/>
      <c r="B668" s="64" t="n"/>
      <c r="C668" s="66" t="n"/>
      <c r="D668" s="66" t="n"/>
      <c r="E668" s="67" t="n"/>
      <c r="F668" s="67" t="n"/>
      <c r="G668" s="67" t="n"/>
      <c r="H668" s="67" t="n"/>
      <c r="I668" s="67" t="n"/>
      <c r="J668" s="67" t="n"/>
      <c r="K668" s="67" t="n"/>
      <c r="L668" s="67" t="n"/>
      <c r="M668" s="64" t="n"/>
      <c r="N668" s="84">
        <f>IF(A668="","",IFERROR(INDEX(Firms!$B$5:$B$1004,MATCH(A668,Firms!$A$5:$A$1004,0)),"Not on Firms tab"))</f>
        <v/>
      </c>
      <c r="O668" s="84">
        <f>IF(A668="","",IF(AND(D668&lt;&gt;"",D668&lt;TODAY()),"Expired",IF(AND(C668&lt;&gt;"",C668&gt;TODAY()),"Not yet effective",IF(C668="","No date",IF(TODAY()&gt;=EDATE(C668,Review_Months),"Review Due","Current")))))</f>
        <v/>
      </c>
      <c r="P668">
        <f>IF(A668="","",A668&amp;"|"&amp;B668)</f>
        <v/>
      </c>
      <c r="Q668">
        <f>IF(AND(A668&lt;&gt;"",A668='Firm Search'!$C$7),COUNTIF($A$5:A668,'Firm Search'!$C$7),"")</f>
        <v/>
      </c>
      <c r="R668">
        <f>IF(A668="","",COUNTIF($A$5:$A$1004,"&lt;"&amp;A668)+COUNTIF($A$5:A668,A668))</f>
        <v/>
      </c>
    </row>
    <row r="669">
      <c r="A669" s="64" t="n"/>
      <c r="B669" s="64" t="n"/>
      <c r="C669" s="66" t="n"/>
      <c r="D669" s="66" t="n"/>
      <c r="E669" s="67" t="n"/>
      <c r="F669" s="67" t="n"/>
      <c r="G669" s="67" t="n"/>
      <c r="H669" s="67" t="n"/>
      <c r="I669" s="67" t="n"/>
      <c r="J669" s="67" t="n"/>
      <c r="K669" s="67" t="n"/>
      <c r="L669" s="67" t="n"/>
      <c r="M669" s="64" t="n"/>
      <c r="N669" s="84">
        <f>IF(A669="","",IFERROR(INDEX(Firms!$B$5:$B$1004,MATCH(A669,Firms!$A$5:$A$1004,0)),"Not on Firms tab"))</f>
        <v/>
      </c>
      <c r="O669" s="84">
        <f>IF(A669="","",IF(AND(D669&lt;&gt;"",D669&lt;TODAY()),"Expired",IF(AND(C669&lt;&gt;"",C669&gt;TODAY()),"Not yet effective",IF(C669="","No date",IF(TODAY()&gt;=EDATE(C669,Review_Months),"Review Due","Current")))))</f>
        <v/>
      </c>
      <c r="P669">
        <f>IF(A669="","",A669&amp;"|"&amp;B669)</f>
        <v/>
      </c>
      <c r="Q669">
        <f>IF(AND(A669&lt;&gt;"",A669='Firm Search'!$C$7),COUNTIF($A$5:A669,'Firm Search'!$C$7),"")</f>
        <v/>
      </c>
      <c r="R669">
        <f>IF(A669="","",COUNTIF($A$5:$A$1004,"&lt;"&amp;A669)+COUNTIF($A$5:A669,A669))</f>
        <v/>
      </c>
    </row>
    <row r="670">
      <c r="A670" s="64" t="n"/>
      <c r="B670" s="64" t="n"/>
      <c r="C670" s="66" t="n"/>
      <c r="D670" s="66" t="n"/>
      <c r="E670" s="67" t="n"/>
      <c r="F670" s="67" t="n"/>
      <c r="G670" s="67" t="n"/>
      <c r="H670" s="67" t="n"/>
      <c r="I670" s="67" t="n"/>
      <c r="J670" s="67" t="n"/>
      <c r="K670" s="67" t="n"/>
      <c r="L670" s="67" t="n"/>
      <c r="M670" s="64" t="n"/>
      <c r="N670" s="84">
        <f>IF(A670="","",IFERROR(INDEX(Firms!$B$5:$B$1004,MATCH(A670,Firms!$A$5:$A$1004,0)),"Not on Firms tab"))</f>
        <v/>
      </c>
      <c r="O670" s="84">
        <f>IF(A670="","",IF(AND(D670&lt;&gt;"",D670&lt;TODAY()),"Expired",IF(AND(C670&lt;&gt;"",C670&gt;TODAY()),"Not yet effective",IF(C670="","No date",IF(TODAY()&gt;=EDATE(C670,Review_Months),"Review Due","Current")))))</f>
        <v/>
      </c>
      <c r="P670">
        <f>IF(A670="","",A670&amp;"|"&amp;B670)</f>
        <v/>
      </c>
      <c r="Q670">
        <f>IF(AND(A670&lt;&gt;"",A670='Firm Search'!$C$7),COUNTIF($A$5:A670,'Firm Search'!$C$7),"")</f>
        <v/>
      </c>
      <c r="R670">
        <f>IF(A670="","",COUNTIF($A$5:$A$1004,"&lt;"&amp;A670)+COUNTIF($A$5:A670,A670))</f>
        <v/>
      </c>
    </row>
    <row r="671">
      <c r="A671" s="64" t="n"/>
      <c r="B671" s="64" t="n"/>
      <c r="C671" s="66" t="n"/>
      <c r="D671" s="66" t="n"/>
      <c r="E671" s="67" t="n"/>
      <c r="F671" s="67" t="n"/>
      <c r="G671" s="67" t="n"/>
      <c r="H671" s="67" t="n"/>
      <c r="I671" s="67" t="n"/>
      <c r="J671" s="67" t="n"/>
      <c r="K671" s="67" t="n"/>
      <c r="L671" s="67" t="n"/>
      <c r="M671" s="64" t="n"/>
      <c r="N671" s="84">
        <f>IF(A671="","",IFERROR(INDEX(Firms!$B$5:$B$1004,MATCH(A671,Firms!$A$5:$A$1004,0)),"Not on Firms tab"))</f>
        <v/>
      </c>
      <c r="O671" s="84">
        <f>IF(A671="","",IF(AND(D671&lt;&gt;"",D671&lt;TODAY()),"Expired",IF(AND(C671&lt;&gt;"",C671&gt;TODAY()),"Not yet effective",IF(C671="","No date",IF(TODAY()&gt;=EDATE(C671,Review_Months),"Review Due","Current")))))</f>
        <v/>
      </c>
      <c r="P671">
        <f>IF(A671="","",A671&amp;"|"&amp;B671)</f>
        <v/>
      </c>
      <c r="Q671">
        <f>IF(AND(A671&lt;&gt;"",A671='Firm Search'!$C$7),COUNTIF($A$5:A671,'Firm Search'!$C$7),"")</f>
        <v/>
      </c>
      <c r="R671">
        <f>IF(A671="","",COUNTIF($A$5:$A$1004,"&lt;"&amp;A671)+COUNTIF($A$5:A671,A671))</f>
        <v/>
      </c>
    </row>
    <row r="672">
      <c r="A672" s="64" t="n"/>
      <c r="B672" s="64" t="n"/>
      <c r="C672" s="66" t="n"/>
      <c r="D672" s="66" t="n"/>
      <c r="E672" s="67" t="n"/>
      <c r="F672" s="67" t="n"/>
      <c r="G672" s="67" t="n"/>
      <c r="H672" s="67" t="n"/>
      <c r="I672" s="67" t="n"/>
      <c r="J672" s="67" t="n"/>
      <c r="K672" s="67" t="n"/>
      <c r="L672" s="67" t="n"/>
      <c r="M672" s="64" t="n"/>
      <c r="N672" s="84">
        <f>IF(A672="","",IFERROR(INDEX(Firms!$B$5:$B$1004,MATCH(A672,Firms!$A$5:$A$1004,0)),"Not on Firms tab"))</f>
        <v/>
      </c>
      <c r="O672" s="84">
        <f>IF(A672="","",IF(AND(D672&lt;&gt;"",D672&lt;TODAY()),"Expired",IF(AND(C672&lt;&gt;"",C672&gt;TODAY()),"Not yet effective",IF(C672="","No date",IF(TODAY()&gt;=EDATE(C672,Review_Months),"Review Due","Current")))))</f>
        <v/>
      </c>
      <c r="P672">
        <f>IF(A672="","",A672&amp;"|"&amp;B672)</f>
        <v/>
      </c>
      <c r="Q672">
        <f>IF(AND(A672&lt;&gt;"",A672='Firm Search'!$C$7),COUNTIF($A$5:A672,'Firm Search'!$C$7),"")</f>
        <v/>
      </c>
      <c r="R672">
        <f>IF(A672="","",COUNTIF($A$5:$A$1004,"&lt;"&amp;A672)+COUNTIF($A$5:A672,A672))</f>
        <v/>
      </c>
    </row>
    <row r="673">
      <c r="A673" s="64" t="n"/>
      <c r="B673" s="64" t="n"/>
      <c r="C673" s="66" t="n"/>
      <c r="D673" s="66" t="n"/>
      <c r="E673" s="67" t="n"/>
      <c r="F673" s="67" t="n"/>
      <c r="G673" s="67" t="n"/>
      <c r="H673" s="67" t="n"/>
      <c r="I673" s="67" t="n"/>
      <c r="J673" s="67" t="n"/>
      <c r="K673" s="67" t="n"/>
      <c r="L673" s="67" t="n"/>
      <c r="M673" s="64" t="n"/>
      <c r="N673" s="84">
        <f>IF(A673="","",IFERROR(INDEX(Firms!$B$5:$B$1004,MATCH(A673,Firms!$A$5:$A$1004,0)),"Not on Firms tab"))</f>
        <v/>
      </c>
      <c r="O673" s="84">
        <f>IF(A673="","",IF(AND(D673&lt;&gt;"",D673&lt;TODAY()),"Expired",IF(AND(C673&lt;&gt;"",C673&gt;TODAY()),"Not yet effective",IF(C673="","No date",IF(TODAY()&gt;=EDATE(C673,Review_Months),"Review Due","Current")))))</f>
        <v/>
      </c>
      <c r="P673">
        <f>IF(A673="","",A673&amp;"|"&amp;B673)</f>
        <v/>
      </c>
      <c r="Q673">
        <f>IF(AND(A673&lt;&gt;"",A673='Firm Search'!$C$7),COUNTIF($A$5:A673,'Firm Search'!$C$7),"")</f>
        <v/>
      </c>
      <c r="R673">
        <f>IF(A673="","",COUNTIF($A$5:$A$1004,"&lt;"&amp;A673)+COUNTIF($A$5:A673,A673))</f>
        <v/>
      </c>
    </row>
    <row r="674">
      <c r="A674" s="64" t="n"/>
      <c r="B674" s="64" t="n"/>
      <c r="C674" s="66" t="n"/>
      <c r="D674" s="66" t="n"/>
      <c r="E674" s="67" t="n"/>
      <c r="F674" s="67" t="n"/>
      <c r="G674" s="67" t="n"/>
      <c r="H674" s="67" t="n"/>
      <c r="I674" s="67" t="n"/>
      <c r="J674" s="67" t="n"/>
      <c r="K674" s="67" t="n"/>
      <c r="L674" s="67" t="n"/>
      <c r="M674" s="64" t="n"/>
      <c r="N674" s="84">
        <f>IF(A674="","",IFERROR(INDEX(Firms!$B$5:$B$1004,MATCH(A674,Firms!$A$5:$A$1004,0)),"Not on Firms tab"))</f>
        <v/>
      </c>
      <c r="O674" s="84">
        <f>IF(A674="","",IF(AND(D674&lt;&gt;"",D674&lt;TODAY()),"Expired",IF(AND(C674&lt;&gt;"",C674&gt;TODAY()),"Not yet effective",IF(C674="","No date",IF(TODAY()&gt;=EDATE(C674,Review_Months),"Review Due","Current")))))</f>
        <v/>
      </c>
      <c r="P674">
        <f>IF(A674="","",A674&amp;"|"&amp;B674)</f>
        <v/>
      </c>
      <c r="Q674">
        <f>IF(AND(A674&lt;&gt;"",A674='Firm Search'!$C$7),COUNTIF($A$5:A674,'Firm Search'!$C$7),"")</f>
        <v/>
      </c>
      <c r="R674">
        <f>IF(A674="","",COUNTIF($A$5:$A$1004,"&lt;"&amp;A674)+COUNTIF($A$5:A674,A674))</f>
        <v/>
      </c>
    </row>
    <row r="675">
      <c r="A675" s="64" t="n"/>
      <c r="B675" s="64" t="n"/>
      <c r="C675" s="66" t="n"/>
      <c r="D675" s="66" t="n"/>
      <c r="E675" s="67" t="n"/>
      <c r="F675" s="67" t="n"/>
      <c r="G675" s="67" t="n"/>
      <c r="H675" s="67" t="n"/>
      <c r="I675" s="67" t="n"/>
      <c r="J675" s="67" t="n"/>
      <c r="K675" s="67" t="n"/>
      <c r="L675" s="67" t="n"/>
      <c r="M675" s="64" t="n"/>
      <c r="N675" s="84">
        <f>IF(A675="","",IFERROR(INDEX(Firms!$B$5:$B$1004,MATCH(A675,Firms!$A$5:$A$1004,0)),"Not on Firms tab"))</f>
        <v/>
      </c>
      <c r="O675" s="84">
        <f>IF(A675="","",IF(AND(D675&lt;&gt;"",D675&lt;TODAY()),"Expired",IF(AND(C675&lt;&gt;"",C675&gt;TODAY()),"Not yet effective",IF(C675="","No date",IF(TODAY()&gt;=EDATE(C675,Review_Months),"Review Due","Current")))))</f>
        <v/>
      </c>
      <c r="P675">
        <f>IF(A675="","",A675&amp;"|"&amp;B675)</f>
        <v/>
      </c>
      <c r="Q675">
        <f>IF(AND(A675&lt;&gt;"",A675='Firm Search'!$C$7),COUNTIF($A$5:A675,'Firm Search'!$C$7),"")</f>
        <v/>
      </c>
      <c r="R675">
        <f>IF(A675="","",COUNTIF($A$5:$A$1004,"&lt;"&amp;A675)+COUNTIF($A$5:A675,A675))</f>
        <v/>
      </c>
    </row>
    <row r="676">
      <c r="A676" s="64" t="n"/>
      <c r="B676" s="64" t="n"/>
      <c r="C676" s="66" t="n"/>
      <c r="D676" s="66" t="n"/>
      <c r="E676" s="67" t="n"/>
      <c r="F676" s="67" t="n"/>
      <c r="G676" s="67" t="n"/>
      <c r="H676" s="67" t="n"/>
      <c r="I676" s="67" t="n"/>
      <c r="J676" s="67" t="n"/>
      <c r="K676" s="67" t="n"/>
      <c r="L676" s="67" t="n"/>
      <c r="M676" s="64" t="n"/>
      <c r="N676" s="84">
        <f>IF(A676="","",IFERROR(INDEX(Firms!$B$5:$B$1004,MATCH(A676,Firms!$A$5:$A$1004,0)),"Not on Firms tab"))</f>
        <v/>
      </c>
      <c r="O676" s="84">
        <f>IF(A676="","",IF(AND(D676&lt;&gt;"",D676&lt;TODAY()),"Expired",IF(AND(C676&lt;&gt;"",C676&gt;TODAY()),"Not yet effective",IF(C676="","No date",IF(TODAY()&gt;=EDATE(C676,Review_Months),"Review Due","Current")))))</f>
        <v/>
      </c>
      <c r="P676">
        <f>IF(A676="","",A676&amp;"|"&amp;B676)</f>
        <v/>
      </c>
      <c r="Q676">
        <f>IF(AND(A676&lt;&gt;"",A676='Firm Search'!$C$7),COUNTIF($A$5:A676,'Firm Search'!$C$7),"")</f>
        <v/>
      </c>
      <c r="R676">
        <f>IF(A676="","",COUNTIF($A$5:$A$1004,"&lt;"&amp;A676)+COUNTIF($A$5:A676,A676))</f>
        <v/>
      </c>
    </row>
    <row r="677">
      <c r="A677" s="64" t="n"/>
      <c r="B677" s="64" t="n"/>
      <c r="C677" s="66" t="n"/>
      <c r="D677" s="66" t="n"/>
      <c r="E677" s="67" t="n"/>
      <c r="F677" s="67" t="n"/>
      <c r="G677" s="67" t="n"/>
      <c r="H677" s="67" t="n"/>
      <c r="I677" s="67" t="n"/>
      <c r="J677" s="67" t="n"/>
      <c r="K677" s="67" t="n"/>
      <c r="L677" s="67" t="n"/>
      <c r="M677" s="64" t="n"/>
      <c r="N677" s="84">
        <f>IF(A677="","",IFERROR(INDEX(Firms!$B$5:$B$1004,MATCH(A677,Firms!$A$5:$A$1004,0)),"Not on Firms tab"))</f>
        <v/>
      </c>
      <c r="O677" s="84">
        <f>IF(A677="","",IF(AND(D677&lt;&gt;"",D677&lt;TODAY()),"Expired",IF(AND(C677&lt;&gt;"",C677&gt;TODAY()),"Not yet effective",IF(C677="","No date",IF(TODAY()&gt;=EDATE(C677,Review_Months),"Review Due","Current")))))</f>
        <v/>
      </c>
      <c r="P677">
        <f>IF(A677="","",A677&amp;"|"&amp;B677)</f>
        <v/>
      </c>
      <c r="Q677">
        <f>IF(AND(A677&lt;&gt;"",A677='Firm Search'!$C$7),COUNTIF($A$5:A677,'Firm Search'!$C$7),"")</f>
        <v/>
      </c>
      <c r="R677">
        <f>IF(A677="","",COUNTIF($A$5:$A$1004,"&lt;"&amp;A677)+COUNTIF($A$5:A677,A677))</f>
        <v/>
      </c>
    </row>
    <row r="678">
      <c r="A678" s="64" t="n"/>
      <c r="B678" s="64" t="n"/>
      <c r="C678" s="66" t="n"/>
      <c r="D678" s="66" t="n"/>
      <c r="E678" s="67" t="n"/>
      <c r="F678" s="67" t="n"/>
      <c r="G678" s="67" t="n"/>
      <c r="H678" s="67" t="n"/>
      <c r="I678" s="67" t="n"/>
      <c r="J678" s="67" t="n"/>
      <c r="K678" s="67" t="n"/>
      <c r="L678" s="67" t="n"/>
      <c r="M678" s="64" t="n"/>
      <c r="N678" s="84">
        <f>IF(A678="","",IFERROR(INDEX(Firms!$B$5:$B$1004,MATCH(A678,Firms!$A$5:$A$1004,0)),"Not on Firms tab"))</f>
        <v/>
      </c>
      <c r="O678" s="84">
        <f>IF(A678="","",IF(AND(D678&lt;&gt;"",D678&lt;TODAY()),"Expired",IF(AND(C678&lt;&gt;"",C678&gt;TODAY()),"Not yet effective",IF(C678="","No date",IF(TODAY()&gt;=EDATE(C678,Review_Months),"Review Due","Current")))))</f>
        <v/>
      </c>
      <c r="P678">
        <f>IF(A678="","",A678&amp;"|"&amp;B678)</f>
        <v/>
      </c>
      <c r="Q678">
        <f>IF(AND(A678&lt;&gt;"",A678='Firm Search'!$C$7),COUNTIF($A$5:A678,'Firm Search'!$C$7),"")</f>
        <v/>
      </c>
      <c r="R678">
        <f>IF(A678="","",COUNTIF($A$5:$A$1004,"&lt;"&amp;A678)+COUNTIF($A$5:A678,A678))</f>
        <v/>
      </c>
    </row>
    <row r="679">
      <c r="A679" s="64" t="n"/>
      <c r="B679" s="64" t="n"/>
      <c r="C679" s="66" t="n"/>
      <c r="D679" s="66" t="n"/>
      <c r="E679" s="67" t="n"/>
      <c r="F679" s="67" t="n"/>
      <c r="G679" s="67" t="n"/>
      <c r="H679" s="67" t="n"/>
      <c r="I679" s="67" t="n"/>
      <c r="J679" s="67" t="n"/>
      <c r="K679" s="67" t="n"/>
      <c r="L679" s="67" t="n"/>
      <c r="M679" s="64" t="n"/>
      <c r="N679" s="84">
        <f>IF(A679="","",IFERROR(INDEX(Firms!$B$5:$B$1004,MATCH(A679,Firms!$A$5:$A$1004,0)),"Not on Firms tab"))</f>
        <v/>
      </c>
      <c r="O679" s="84">
        <f>IF(A679="","",IF(AND(D679&lt;&gt;"",D679&lt;TODAY()),"Expired",IF(AND(C679&lt;&gt;"",C679&gt;TODAY()),"Not yet effective",IF(C679="","No date",IF(TODAY()&gt;=EDATE(C679,Review_Months),"Review Due","Current")))))</f>
        <v/>
      </c>
      <c r="P679">
        <f>IF(A679="","",A679&amp;"|"&amp;B679)</f>
        <v/>
      </c>
      <c r="Q679">
        <f>IF(AND(A679&lt;&gt;"",A679='Firm Search'!$C$7),COUNTIF($A$5:A679,'Firm Search'!$C$7),"")</f>
        <v/>
      </c>
      <c r="R679">
        <f>IF(A679="","",COUNTIF($A$5:$A$1004,"&lt;"&amp;A679)+COUNTIF($A$5:A679,A679))</f>
        <v/>
      </c>
    </row>
    <row r="680">
      <c r="A680" s="64" t="n"/>
      <c r="B680" s="64" t="n"/>
      <c r="C680" s="66" t="n"/>
      <c r="D680" s="66" t="n"/>
      <c r="E680" s="67" t="n"/>
      <c r="F680" s="67" t="n"/>
      <c r="G680" s="67" t="n"/>
      <c r="H680" s="67" t="n"/>
      <c r="I680" s="67" t="n"/>
      <c r="J680" s="67" t="n"/>
      <c r="K680" s="67" t="n"/>
      <c r="L680" s="67" t="n"/>
      <c r="M680" s="64" t="n"/>
      <c r="N680" s="84">
        <f>IF(A680="","",IFERROR(INDEX(Firms!$B$5:$B$1004,MATCH(A680,Firms!$A$5:$A$1004,0)),"Not on Firms tab"))</f>
        <v/>
      </c>
      <c r="O680" s="84">
        <f>IF(A680="","",IF(AND(D680&lt;&gt;"",D680&lt;TODAY()),"Expired",IF(AND(C680&lt;&gt;"",C680&gt;TODAY()),"Not yet effective",IF(C680="","No date",IF(TODAY()&gt;=EDATE(C680,Review_Months),"Review Due","Current")))))</f>
        <v/>
      </c>
      <c r="P680">
        <f>IF(A680="","",A680&amp;"|"&amp;B680)</f>
        <v/>
      </c>
      <c r="Q680">
        <f>IF(AND(A680&lt;&gt;"",A680='Firm Search'!$C$7),COUNTIF($A$5:A680,'Firm Search'!$C$7),"")</f>
        <v/>
      </c>
      <c r="R680">
        <f>IF(A680="","",COUNTIF($A$5:$A$1004,"&lt;"&amp;A680)+COUNTIF($A$5:A680,A680))</f>
        <v/>
      </c>
    </row>
    <row r="681">
      <c r="A681" s="64" t="n"/>
      <c r="B681" s="64" t="n"/>
      <c r="C681" s="66" t="n"/>
      <c r="D681" s="66" t="n"/>
      <c r="E681" s="67" t="n"/>
      <c r="F681" s="67" t="n"/>
      <c r="G681" s="67" t="n"/>
      <c r="H681" s="67" t="n"/>
      <c r="I681" s="67" t="n"/>
      <c r="J681" s="67" t="n"/>
      <c r="K681" s="67" t="n"/>
      <c r="L681" s="67" t="n"/>
      <c r="M681" s="64" t="n"/>
      <c r="N681" s="84">
        <f>IF(A681="","",IFERROR(INDEX(Firms!$B$5:$B$1004,MATCH(A681,Firms!$A$5:$A$1004,0)),"Not on Firms tab"))</f>
        <v/>
      </c>
      <c r="O681" s="84">
        <f>IF(A681="","",IF(AND(D681&lt;&gt;"",D681&lt;TODAY()),"Expired",IF(AND(C681&lt;&gt;"",C681&gt;TODAY()),"Not yet effective",IF(C681="","No date",IF(TODAY()&gt;=EDATE(C681,Review_Months),"Review Due","Current")))))</f>
        <v/>
      </c>
      <c r="P681">
        <f>IF(A681="","",A681&amp;"|"&amp;B681)</f>
        <v/>
      </c>
      <c r="Q681">
        <f>IF(AND(A681&lt;&gt;"",A681='Firm Search'!$C$7),COUNTIF($A$5:A681,'Firm Search'!$C$7),"")</f>
        <v/>
      </c>
      <c r="R681">
        <f>IF(A681="","",COUNTIF($A$5:$A$1004,"&lt;"&amp;A681)+COUNTIF($A$5:A681,A681))</f>
        <v/>
      </c>
    </row>
    <row r="682">
      <c r="A682" s="64" t="n"/>
      <c r="B682" s="64" t="n"/>
      <c r="C682" s="66" t="n"/>
      <c r="D682" s="66" t="n"/>
      <c r="E682" s="67" t="n"/>
      <c r="F682" s="67" t="n"/>
      <c r="G682" s="67" t="n"/>
      <c r="H682" s="67" t="n"/>
      <c r="I682" s="67" t="n"/>
      <c r="J682" s="67" t="n"/>
      <c r="K682" s="67" t="n"/>
      <c r="L682" s="67" t="n"/>
      <c r="M682" s="64" t="n"/>
      <c r="N682" s="84">
        <f>IF(A682="","",IFERROR(INDEX(Firms!$B$5:$B$1004,MATCH(A682,Firms!$A$5:$A$1004,0)),"Not on Firms tab"))</f>
        <v/>
      </c>
      <c r="O682" s="84">
        <f>IF(A682="","",IF(AND(D682&lt;&gt;"",D682&lt;TODAY()),"Expired",IF(AND(C682&lt;&gt;"",C682&gt;TODAY()),"Not yet effective",IF(C682="","No date",IF(TODAY()&gt;=EDATE(C682,Review_Months),"Review Due","Current")))))</f>
        <v/>
      </c>
      <c r="P682">
        <f>IF(A682="","",A682&amp;"|"&amp;B682)</f>
        <v/>
      </c>
      <c r="Q682">
        <f>IF(AND(A682&lt;&gt;"",A682='Firm Search'!$C$7),COUNTIF($A$5:A682,'Firm Search'!$C$7),"")</f>
        <v/>
      </c>
      <c r="R682">
        <f>IF(A682="","",COUNTIF($A$5:$A$1004,"&lt;"&amp;A682)+COUNTIF($A$5:A682,A682))</f>
        <v/>
      </c>
    </row>
    <row r="683">
      <c r="A683" s="64" t="n"/>
      <c r="B683" s="64" t="n"/>
      <c r="C683" s="66" t="n"/>
      <c r="D683" s="66" t="n"/>
      <c r="E683" s="67" t="n"/>
      <c r="F683" s="67" t="n"/>
      <c r="G683" s="67" t="n"/>
      <c r="H683" s="67" t="n"/>
      <c r="I683" s="67" t="n"/>
      <c r="J683" s="67" t="n"/>
      <c r="K683" s="67" t="n"/>
      <c r="L683" s="67" t="n"/>
      <c r="M683" s="64" t="n"/>
      <c r="N683" s="84">
        <f>IF(A683="","",IFERROR(INDEX(Firms!$B$5:$B$1004,MATCH(A683,Firms!$A$5:$A$1004,0)),"Not on Firms tab"))</f>
        <v/>
      </c>
      <c r="O683" s="84">
        <f>IF(A683="","",IF(AND(D683&lt;&gt;"",D683&lt;TODAY()),"Expired",IF(AND(C683&lt;&gt;"",C683&gt;TODAY()),"Not yet effective",IF(C683="","No date",IF(TODAY()&gt;=EDATE(C683,Review_Months),"Review Due","Current")))))</f>
        <v/>
      </c>
      <c r="P683">
        <f>IF(A683="","",A683&amp;"|"&amp;B683)</f>
        <v/>
      </c>
      <c r="Q683">
        <f>IF(AND(A683&lt;&gt;"",A683='Firm Search'!$C$7),COUNTIF($A$5:A683,'Firm Search'!$C$7),"")</f>
        <v/>
      </c>
      <c r="R683">
        <f>IF(A683="","",COUNTIF($A$5:$A$1004,"&lt;"&amp;A683)+COUNTIF($A$5:A683,A683))</f>
        <v/>
      </c>
    </row>
    <row r="684">
      <c r="A684" s="64" t="n"/>
      <c r="B684" s="64" t="n"/>
      <c r="C684" s="66" t="n"/>
      <c r="D684" s="66" t="n"/>
      <c r="E684" s="67" t="n"/>
      <c r="F684" s="67" t="n"/>
      <c r="G684" s="67" t="n"/>
      <c r="H684" s="67" t="n"/>
      <c r="I684" s="67" t="n"/>
      <c r="J684" s="67" t="n"/>
      <c r="K684" s="67" t="n"/>
      <c r="L684" s="67" t="n"/>
      <c r="M684" s="64" t="n"/>
      <c r="N684" s="84">
        <f>IF(A684="","",IFERROR(INDEX(Firms!$B$5:$B$1004,MATCH(A684,Firms!$A$5:$A$1004,0)),"Not on Firms tab"))</f>
        <v/>
      </c>
      <c r="O684" s="84">
        <f>IF(A684="","",IF(AND(D684&lt;&gt;"",D684&lt;TODAY()),"Expired",IF(AND(C684&lt;&gt;"",C684&gt;TODAY()),"Not yet effective",IF(C684="","No date",IF(TODAY()&gt;=EDATE(C684,Review_Months),"Review Due","Current")))))</f>
        <v/>
      </c>
      <c r="P684">
        <f>IF(A684="","",A684&amp;"|"&amp;B684)</f>
        <v/>
      </c>
      <c r="Q684">
        <f>IF(AND(A684&lt;&gt;"",A684='Firm Search'!$C$7),COUNTIF($A$5:A684,'Firm Search'!$C$7),"")</f>
        <v/>
      </c>
      <c r="R684">
        <f>IF(A684="","",COUNTIF($A$5:$A$1004,"&lt;"&amp;A684)+COUNTIF($A$5:A684,A684))</f>
        <v/>
      </c>
    </row>
    <row r="685">
      <c r="A685" s="64" t="n"/>
      <c r="B685" s="64" t="n"/>
      <c r="C685" s="66" t="n"/>
      <c r="D685" s="66" t="n"/>
      <c r="E685" s="67" t="n"/>
      <c r="F685" s="67" t="n"/>
      <c r="G685" s="67" t="n"/>
      <c r="H685" s="67" t="n"/>
      <c r="I685" s="67" t="n"/>
      <c r="J685" s="67" t="n"/>
      <c r="K685" s="67" t="n"/>
      <c r="L685" s="67" t="n"/>
      <c r="M685" s="64" t="n"/>
      <c r="N685" s="84">
        <f>IF(A685="","",IFERROR(INDEX(Firms!$B$5:$B$1004,MATCH(A685,Firms!$A$5:$A$1004,0)),"Not on Firms tab"))</f>
        <v/>
      </c>
      <c r="O685" s="84">
        <f>IF(A685="","",IF(AND(D685&lt;&gt;"",D685&lt;TODAY()),"Expired",IF(AND(C685&lt;&gt;"",C685&gt;TODAY()),"Not yet effective",IF(C685="","No date",IF(TODAY()&gt;=EDATE(C685,Review_Months),"Review Due","Current")))))</f>
        <v/>
      </c>
      <c r="P685">
        <f>IF(A685="","",A685&amp;"|"&amp;B685)</f>
        <v/>
      </c>
      <c r="Q685">
        <f>IF(AND(A685&lt;&gt;"",A685='Firm Search'!$C$7),COUNTIF($A$5:A685,'Firm Search'!$C$7),"")</f>
        <v/>
      </c>
      <c r="R685">
        <f>IF(A685="","",COUNTIF($A$5:$A$1004,"&lt;"&amp;A685)+COUNTIF($A$5:A685,A685))</f>
        <v/>
      </c>
    </row>
    <row r="686">
      <c r="A686" s="64" t="n"/>
      <c r="B686" s="64" t="n"/>
      <c r="C686" s="66" t="n"/>
      <c r="D686" s="66" t="n"/>
      <c r="E686" s="67" t="n"/>
      <c r="F686" s="67" t="n"/>
      <c r="G686" s="67" t="n"/>
      <c r="H686" s="67" t="n"/>
      <c r="I686" s="67" t="n"/>
      <c r="J686" s="67" t="n"/>
      <c r="K686" s="67" t="n"/>
      <c r="L686" s="67" t="n"/>
      <c r="M686" s="64" t="n"/>
      <c r="N686" s="84">
        <f>IF(A686="","",IFERROR(INDEX(Firms!$B$5:$B$1004,MATCH(A686,Firms!$A$5:$A$1004,0)),"Not on Firms tab"))</f>
        <v/>
      </c>
      <c r="O686" s="84">
        <f>IF(A686="","",IF(AND(D686&lt;&gt;"",D686&lt;TODAY()),"Expired",IF(AND(C686&lt;&gt;"",C686&gt;TODAY()),"Not yet effective",IF(C686="","No date",IF(TODAY()&gt;=EDATE(C686,Review_Months),"Review Due","Current")))))</f>
        <v/>
      </c>
      <c r="P686">
        <f>IF(A686="","",A686&amp;"|"&amp;B686)</f>
        <v/>
      </c>
      <c r="Q686">
        <f>IF(AND(A686&lt;&gt;"",A686='Firm Search'!$C$7),COUNTIF($A$5:A686,'Firm Search'!$C$7),"")</f>
        <v/>
      </c>
      <c r="R686">
        <f>IF(A686="","",COUNTIF($A$5:$A$1004,"&lt;"&amp;A686)+COUNTIF($A$5:A686,A686))</f>
        <v/>
      </c>
    </row>
    <row r="687">
      <c r="A687" s="64" t="n"/>
      <c r="B687" s="64" t="n"/>
      <c r="C687" s="66" t="n"/>
      <c r="D687" s="66" t="n"/>
      <c r="E687" s="67" t="n"/>
      <c r="F687" s="67" t="n"/>
      <c r="G687" s="67" t="n"/>
      <c r="H687" s="67" t="n"/>
      <c r="I687" s="67" t="n"/>
      <c r="J687" s="67" t="n"/>
      <c r="K687" s="67" t="n"/>
      <c r="L687" s="67" t="n"/>
      <c r="M687" s="64" t="n"/>
      <c r="N687" s="84">
        <f>IF(A687="","",IFERROR(INDEX(Firms!$B$5:$B$1004,MATCH(A687,Firms!$A$5:$A$1004,0)),"Not on Firms tab"))</f>
        <v/>
      </c>
      <c r="O687" s="84">
        <f>IF(A687="","",IF(AND(D687&lt;&gt;"",D687&lt;TODAY()),"Expired",IF(AND(C687&lt;&gt;"",C687&gt;TODAY()),"Not yet effective",IF(C687="","No date",IF(TODAY()&gt;=EDATE(C687,Review_Months),"Review Due","Current")))))</f>
        <v/>
      </c>
      <c r="P687">
        <f>IF(A687="","",A687&amp;"|"&amp;B687)</f>
        <v/>
      </c>
      <c r="Q687">
        <f>IF(AND(A687&lt;&gt;"",A687='Firm Search'!$C$7),COUNTIF($A$5:A687,'Firm Search'!$C$7),"")</f>
        <v/>
      </c>
      <c r="R687">
        <f>IF(A687="","",COUNTIF($A$5:$A$1004,"&lt;"&amp;A687)+COUNTIF($A$5:A687,A687))</f>
        <v/>
      </c>
    </row>
    <row r="688">
      <c r="A688" s="64" t="n"/>
      <c r="B688" s="64" t="n"/>
      <c r="C688" s="66" t="n"/>
      <c r="D688" s="66" t="n"/>
      <c r="E688" s="67" t="n"/>
      <c r="F688" s="67" t="n"/>
      <c r="G688" s="67" t="n"/>
      <c r="H688" s="67" t="n"/>
      <c r="I688" s="67" t="n"/>
      <c r="J688" s="67" t="n"/>
      <c r="K688" s="67" t="n"/>
      <c r="L688" s="67" t="n"/>
      <c r="M688" s="64" t="n"/>
      <c r="N688" s="84">
        <f>IF(A688="","",IFERROR(INDEX(Firms!$B$5:$B$1004,MATCH(A688,Firms!$A$5:$A$1004,0)),"Not on Firms tab"))</f>
        <v/>
      </c>
      <c r="O688" s="84">
        <f>IF(A688="","",IF(AND(D688&lt;&gt;"",D688&lt;TODAY()),"Expired",IF(AND(C688&lt;&gt;"",C688&gt;TODAY()),"Not yet effective",IF(C688="","No date",IF(TODAY()&gt;=EDATE(C688,Review_Months),"Review Due","Current")))))</f>
        <v/>
      </c>
      <c r="P688">
        <f>IF(A688="","",A688&amp;"|"&amp;B688)</f>
        <v/>
      </c>
      <c r="Q688">
        <f>IF(AND(A688&lt;&gt;"",A688='Firm Search'!$C$7),COUNTIF($A$5:A688,'Firm Search'!$C$7),"")</f>
        <v/>
      </c>
      <c r="R688">
        <f>IF(A688="","",COUNTIF($A$5:$A$1004,"&lt;"&amp;A688)+COUNTIF($A$5:A688,A688))</f>
        <v/>
      </c>
    </row>
    <row r="689">
      <c r="A689" s="64" t="n"/>
      <c r="B689" s="64" t="n"/>
      <c r="C689" s="66" t="n"/>
      <c r="D689" s="66" t="n"/>
      <c r="E689" s="67" t="n"/>
      <c r="F689" s="67" t="n"/>
      <c r="G689" s="67" t="n"/>
      <c r="H689" s="67" t="n"/>
      <c r="I689" s="67" t="n"/>
      <c r="J689" s="67" t="n"/>
      <c r="K689" s="67" t="n"/>
      <c r="L689" s="67" t="n"/>
      <c r="M689" s="64" t="n"/>
      <c r="N689" s="84">
        <f>IF(A689="","",IFERROR(INDEX(Firms!$B$5:$B$1004,MATCH(A689,Firms!$A$5:$A$1004,0)),"Not on Firms tab"))</f>
        <v/>
      </c>
      <c r="O689" s="84">
        <f>IF(A689="","",IF(AND(D689&lt;&gt;"",D689&lt;TODAY()),"Expired",IF(AND(C689&lt;&gt;"",C689&gt;TODAY()),"Not yet effective",IF(C689="","No date",IF(TODAY()&gt;=EDATE(C689,Review_Months),"Review Due","Current")))))</f>
        <v/>
      </c>
      <c r="P689">
        <f>IF(A689="","",A689&amp;"|"&amp;B689)</f>
        <v/>
      </c>
      <c r="Q689">
        <f>IF(AND(A689&lt;&gt;"",A689='Firm Search'!$C$7),COUNTIF($A$5:A689,'Firm Search'!$C$7),"")</f>
        <v/>
      </c>
      <c r="R689">
        <f>IF(A689="","",COUNTIF($A$5:$A$1004,"&lt;"&amp;A689)+COUNTIF($A$5:A689,A689))</f>
        <v/>
      </c>
    </row>
    <row r="690">
      <c r="A690" s="64" t="n"/>
      <c r="B690" s="64" t="n"/>
      <c r="C690" s="66" t="n"/>
      <c r="D690" s="66" t="n"/>
      <c r="E690" s="67" t="n"/>
      <c r="F690" s="67" t="n"/>
      <c r="G690" s="67" t="n"/>
      <c r="H690" s="67" t="n"/>
      <c r="I690" s="67" t="n"/>
      <c r="J690" s="67" t="n"/>
      <c r="K690" s="67" t="n"/>
      <c r="L690" s="67" t="n"/>
      <c r="M690" s="64" t="n"/>
      <c r="N690" s="84">
        <f>IF(A690="","",IFERROR(INDEX(Firms!$B$5:$B$1004,MATCH(A690,Firms!$A$5:$A$1004,0)),"Not on Firms tab"))</f>
        <v/>
      </c>
      <c r="O690" s="84">
        <f>IF(A690="","",IF(AND(D690&lt;&gt;"",D690&lt;TODAY()),"Expired",IF(AND(C690&lt;&gt;"",C690&gt;TODAY()),"Not yet effective",IF(C690="","No date",IF(TODAY()&gt;=EDATE(C690,Review_Months),"Review Due","Current")))))</f>
        <v/>
      </c>
      <c r="P690">
        <f>IF(A690="","",A690&amp;"|"&amp;B690)</f>
        <v/>
      </c>
      <c r="Q690">
        <f>IF(AND(A690&lt;&gt;"",A690='Firm Search'!$C$7),COUNTIF($A$5:A690,'Firm Search'!$C$7),"")</f>
        <v/>
      </c>
      <c r="R690">
        <f>IF(A690="","",COUNTIF($A$5:$A$1004,"&lt;"&amp;A690)+COUNTIF($A$5:A690,A690))</f>
        <v/>
      </c>
    </row>
    <row r="691">
      <c r="A691" s="64" t="n"/>
      <c r="B691" s="64" t="n"/>
      <c r="C691" s="66" t="n"/>
      <c r="D691" s="66" t="n"/>
      <c r="E691" s="67" t="n"/>
      <c r="F691" s="67" t="n"/>
      <c r="G691" s="67" t="n"/>
      <c r="H691" s="67" t="n"/>
      <c r="I691" s="67" t="n"/>
      <c r="J691" s="67" t="n"/>
      <c r="K691" s="67" t="n"/>
      <c r="L691" s="67" t="n"/>
      <c r="M691" s="64" t="n"/>
      <c r="N691" s="84">
        <f>IF(A691="","",IFERROR(INDEX(Firms!$B$5:$B$1004,MATCH(A691,Firms!$A$5:$A$1004,0)),"Not on Firms tab"))</f>
        <v/>
      </c>
      <c r="O691" s="84">
        <f>IF(A691="","",IF(AND(D691&lt;&gt;"",D691&lt;TODAY()),"Expired",IF(AND(C691&lt;&gt;"",C691&gt;TODAY()),"Not yet effective",IF(C691="","No date",IF(TODAY()&gt;=EDATE(C691,Review_Months),"Review Due","Current")))))</f>
        <v/>
      </c>
      <c r="P691">
        <f>IF(A691="","",A691&amp;"|"&amp;B691)</f>
        <v/>
      </c>
      <c r="Q691">
        <f>IF(AND(A691&lt;&gt;"",A691='Firm Search'!$C$7),COUNTIF($A$5:A691,'Firm Search'!$C$7),"")</f>
        <v/>
      </c>
      <c r="R691">
        <f>IF(A691="","",COUNTIF($A$5:$A$1004,"&lt;"&amp;A691)+COUNTIF($A$5:A691,A691))</f>
        <v/>
      </c>
    </row>
    <row r="692">
      <c r="A692" s="64" t="n"/>
      <c r="B692" s="64" t="n"/>
      <c r="C692" s="66" t="n"/>
      <c r="D692" s="66" t="n"/>
      <c r="E692" s="67" t="n"/>
      <c r="F692" s="67" t="n"/>
      <c r="G692" s="67" t="n"/>
      <c r="H692" s="67" t="n"/>
      <c r="I692" s="67" t="n"/>
      <c r="J692" s="67" t="n"/>
      <c r="K692" s="67" t="n"/>
      <c r="L692" s="67" t="n"/>
      <c r="M692" s="64" t="n"/>
      <c r="N692" s="84">
        <f>IF(A692="","",IFERROR(INDEX(Firms!$B$5:$B$1004,MATCH(A692,Firms!$A$5:$A$1004,0)),"Not on Firms tab"))</f>
        <v/>
      </c>
      <c r="O692" s="84">
        <f>IF(A692="","",IF(AND(D692&lt;&gt;"",D692&lt;TODAY()),"Expired",IF(AND(C692&lt;&gt;"",C692&gt;TODAY()),"Not yet effective",IF(C692="","No date",IF(TODAY()&gt;=EDATE(C692,Review_Months),"Review Due","Current")))))</f>
        <v/>
      </c>
      <c r="P692">
        <f>IF(A692="","",A692&amp;"|"&amp;B692)</f>
        <v/>
      </c>
      <c r="Q692">
        <f>IF(AND(A692&lt;&gt;"",A692='Firm Search'!$C$7),COUNTIF($A$5:A692,'Firm Search'!$C$7),"")</f>
        <v/>
      </c>
      <c r="R692">
        <f>IF(A692="","",COUNTIF($A$5:$A$1004,"&lt;"&amp;A692)+COUNTIF($A$5:A692,A692))</f>
        <v/>
      </c>
    </row>
    <row r="693">
      <c r="A693" s="64" t="n"/>
      <c r="B693" s="64" t="n"/>
      <c r="C693" s="66" t="n"/>
      <c r="D693" s="66" t="n"/>
      <c r="E693" s="67" t="n"/>
      <c r="F693" s="67" t="n"/>
      <c r="G693" s="67" t="n"/>
      <c r="H693" s="67" t="n"/>
      <c r="I693" s="67" t="n"/>
      <c r="J693" s="67" t="n"/>
      <c r="K693" s="67" t="n"/>
      <c r="L693" s="67" t="n"/>
      <c r="M693" s="64" t="n"/>
      <c r="N693" s="84">
        <f>IF(A693="","",IFERROR(INDEX(Firms!$B$5:$B$1004,MATCH(A693,Firms!$A$5:$A$1004,0)),"Not on Firms tab"))</f>
        <v/>
      </c>
      <c r="O693" s="84">
        <f>IF(A693="","",IF(AND(D693&lt;&gt;"",D693&lt;TODAY()),"Expired",IF(AND(C693&lt;&gt;"",C693&gt;TODAY()),"Not yet effective",IF(C693="","No date",IF(TODAY()&gt;=EDATE(C693,Review_Months),"Review Due","Current")))))</f>
        <v/>
      </c>
      <c r="P693">
        <f>IF(A693="","",A693&amp;"|"&amp;B693)</f>
        <v/>
      </c>
      <c r="Q693">
        <f>IF(AND(A693&lt;&gt;"",A693='Firm Search'!$C$7),COUNTIF($A$5:A693,'Firm Search'!$C$7),"")</f>
        <v/>
      </c>
      <c r="R693">
        <f>IF(A693="","",COUNTIF($A$5:$A$1004,"&lt;"&amp;A693)+COUNTIF($A$5:A693,A693))</f>
        <v/>
      </c>
    </row>
    <row r="694">
      <c r="A694" s="64" t="n"/>
      <c r="B694" s="64" t="n"/>
      <c r="C694" s="66" t="n"/>
      <c r="D694" s="66" t="n"/>
      <c r="E694" s="67" t="n"/>
      <c r="F694" s="67" t="n"/>
      <c r="G694" s="67" t="n"/>
      <c r="H694" s="67" t="n"/>
      <c r="I694" s="67" t="n"/>
      <c r="J694" s="67" t="n"/>
      <c r="K694" s="67" t="n"/>
      <c r="L694" s="67" t="n"/>
      <c r="M694" s="64" t="n"/>
      <c r="N694" s="84">
        <f>IF(A694="","",IFERROR(INDEX(Firms!$B$5:$B$1004,MATCH(A694,Firms!$A$5:$A$1004,0)),"Not on Firms tab"))</f>
        <v/>
      </c>
      <c r="O694" s="84">
        <f>IF(A694="","",IF(AND(D694&lt;&gt;"",D694&lt;TODAY()),"Expired",IF(AND(C694&lt;&gt;"",C694&gt;TODAY()),"Not yet effective",IF(C694="","No date",IF(TODAY()&gt;=EDATE(C694,Review_Months),"Review Due","Current")))))</f>
        <v/>
      </c>
      <c r="P694">
        <f>IF(A694="","",A694&amp;"|"&amp;B694)</f>
        <v/>
      </c>
      <c r="Q694">
        <f>IF(AND(A694&lt;&gt;"",A694='Firm Search'!$C$7),COUNTIF($A$5:A694,'Firm Search'!$C$7),"")</f>
        <v/>
      </c>
      <c r="R694">
        <f>IF(A694="","",COUNTIF($A$5:$A$1004,"&lt;"&amp;A694)+COUNTIF($A$5:A694,A694))</f>
        <v/>
      </c>
    </row>
    <row r="695">
      <c r="A695" s="64" t="n"/>
      <c r="B695" s="64" t="n"/>
      <c r="C695" s="66" t="n"/>
      <c r="D695" s="66" t="n"/>
      <c r="E695" s="67" t="n"/>
      <c r="F695" s="67" t="n"/>
      <c r="G695" s="67" t="n"/>
      <c r="H695" s="67" t="n"/>
      <c r="I695" s="67" t="n"/>
      <c r="J695" s="67" t="n"/>
      <c r="K695" s="67" t="n"/>
      <c r="L695" s="67" t="n"/>
      <c r="M695" s="64" t="n"/>
      <c r="N695" s="84">
        <f>IF(A695="","",IFERROR(INDEX(Firms!$B$5:$B$1004,MATCH(A695,Firms!$A$5:$A$1004,0)),"Not on Firms tab"))</f>
        <v/>
      </c>
      <c r="O695" s="84">
        <f>IF(A695="","",IF(AND(D695&lt;&gt;"",D695&lt;TODAY()),"Expired",IF(AND(C695&lt;&gt;"",C695&gt;TODAY()),"Not yet effective",IF(C695="","No date",IF(TODAY()&gt;=EDATE(C695,Review_Months),"Review Due","Current")))))</f>
        <v/>
      </c>
      <c r="P695">
        <f>IF(A695="","",A695&amp;"|"&amp;B695)</f>
        <v/>
      </c>
      <c r="Q695">
        <f>IF(AND(A695&lt;&gt;"",A695='Firm Search'!$C$7),COUNTIF($A$5:A695,'Firm Search'!$C$7),"")</f>
        <v/>
      </c>
      <c r="R695">
        <f>IF(A695="","",COUNTIF($A$5:$A$1004,"&lt;"&amp;A695)+COUNTIF($A$5:A695,A695))</f>
        <v/>
      </c>
    </row>
    <row r="696">
      <c r="A696" s="64" t="n"/>
      <c r="B696" s="64" t="n"/>
      <c r="C696" s="66" t="n"/>
      <c r="D696" s="66" t="n"/>
      <c r="E696" s="67" t="n"/>
      <c r="F696" s="67" t="n"/>
      <c r="G696" s="67" t="n"/>
      <c r="H696" s="67" t="n"/>
      <c r="I696" s="67" t="n"/>
      <c r="J696" s="67" t="n"/>
      <c r="K696" s="67" t="n"/>
      <c r="L696" s="67" t="n"/>
      <c r="M696" s="64" t="n"/>
      <c r="N696" s="84">
        <f>IF(A696="","",IFERROR(INDEX(Firms!$B$5:$B$1004,MATCH(A696,Firms!$A$5:$A$1004,0)),"Not on Firms tab"))</f>
        <v/>
      </c>
      <c r="O696" s="84">
        <f>IF(A696="","",IF(AND(D696&lt;&gt;"",D696&lt;TODAY()),"Expired",IF(AND(C696&lt;&gt;"",C696&gt;TODAY()),"Not yet effective",IF(C696="","No date",IF(TODAY()&gt;=EDATE(C696,Review_Months),"Review Due","Current")))))</f>
        <v/>
      </c>
      <c r="P696">
        <f>IF(A696="","",A696&amp;"|"&amp;B696)</f>
        <v/>
      </c>
      <c r="Q696">
        <f>IF(AND(A696&lt;&gt;"",A696='Firm Search'!$C$7),COUNTIF($A$5:A696,'Firm Search'!$C$7),"")</f>
        <v/>
      </c>
      <c r="R696">
        <f>IF(A696="","",COUNTIF($A$5:$A$1004,"&lt;"&amp;A696)+COUNTIF($A$5:A696,A696))</f>
        <v/>
      </c>
    </row>
    <row r="697">
      <c r="A697" s="64" t="n"/>
      <c r="B697" s="64" t="n"/>
      <c r="C697" s="66" t="n"/>
      <c r="D697" s="66" t="n"/>
      <c r="E697" s="67" t="n"/>
      <c r="F697" s="67" t="n"/>
      <c r="G697" s="67" t="n"/>
      <c r="H697" s="67" t="n"/>
      <c r="I697" s="67" t="n"/>
      <c r="J697" s="67" t="n"/>
      <c r="K697" s="67" t="n"/>
      <c r="L697" s="67" t="n"/>
      <c r="M697" s="64" t="n"/>
      <c r="N697" s="84">
        <f>IF(A697="","",IFERROR(INDEX(Firms!$B$5:$B$1004,MATCH(A697,Firms!$A$5:$A$1004,0)),"Not on Firms tab"))</f>
        <v/>
      </c>
      <c r="O697" s="84">
        <f>IF(A697="","",IF(AND(D697&lt;&gt;"",D697&lt;TODAY()),"Expired",IF(AND(C697&lt;&gt;"",C697&gt;TODAY()),"Not yet effective",IF(C697="","No date",IF(TODAY()&gt;=EDATE(C697,Review_Months),"Review Due","Current")))))</f>
        <v/>
      </c>
      <c r="P697">
        <f>IF(A697="","",A697&amp;"|"&amp;B697)</f>
        <v/>
      </c>
      <c r="Q697">
        <f>IF(AND(A697&lt;&gt;"",A697='Firm Search'!$C$7),COUNTIF($A$5:A697,'Firm Search'!$C$7),"")</f>
        <v/>
      </c>
      <c r="R697">
        <f>IF(A697="","",COUNTIF($A$5:$A$1004,"&lt;"&amp;A697)+COUNTIF($A$5:A697,A697))</f>
        <v/>
      </c>
    </row>
    <row r="698">
      <c r="A698" s="64" t="n"/>
      <c r="B698" s="64" t="n"/>
      <c r="C698" s="66" t="n"/>
      <c r="D698" s="66" t="n"/>
      <c r="E698" s="67" t="n"/>
      <c r="F698" s="67" t="n"/>
      <c r="G698" s="67" t="n"/>
      <c r="H698" s="67" t="n"/>
      <c r="I698" s="67" t="n"/>
      <c r="J698" s="67" t="n"/>
      <c r="K698" s="67" t="n"/>
      <c r="L698" s="67" t="n"/>
      <c r="M698" s="64" t="n"/>
      <c r="N698" s="84">
        <f>IF(A698="","",IFERROR(INDEX(Firms!$B$5:$B$1004,MATCH(A698,Firms!$A$5:$A$1004,0)),"Not on Firms tab"))</f>
        <v/>
      </c>
      <c r="O698" s="84">
        <f>IF(A698="","",IF(AND(D698&lt;&gt;"",D698&lt;TODAY()),"Expired",IF(AND(C698&lt;&gt;"",C698&gt;TODAY()),"Not yet effective",IF(C698="","No date",IF(TODAY()&gt;=EDATE(C698,Review_Months),"Review Due","Current")))))</f>
        <v/>
      </c>
      <c r="P698">
        <f>IF(A698="","",A698&amp;"|"&amp;B698)</f>
        <v/>
      </c>
      <c r="Q698">
        <f>IF(AND(A698&lt;&gt;"",A698='Firm Search'!$C$7),COUNTIF($A$5:A698,'Firm Search'!$C$7),"")</f>
        <v/>
      </c>
      <c r="R698">
        <f>IF(A698="","",COUNTIF($A$5:$A$1004,"&lt;"&amp;A698)+COUNTIF($A$5:A698,A698))</f>
        <v/>
      </c>
    </row>
    <row r="699">
      <c r="A699" s="64" t="n"/>
      <c r="B699" s="64" t="n"/>
      <c r="C699" s="66" t="n"/>
      <c r="D699" s="66" t="n"/>
      <c r="E699" s="67" t="n"/>
      <c r="F699" s="67" t="n"/>
      <c r="G699" s="67" t="n"/>
      <c r="H699" s="67" t="n"/>
      <c r="I699" s="67" t="n"/>
      <c r="J699" s="67" t="n"/>
      <c r="K699" s="67" t="n"/>
      <c r="L699" s="67" t="n"/>
      <c r="M699" s="64" t="n"/>
      <c r="N699" s="84">
        <f>IF(A699="","",IFERROR(INDEX(Firms!$B$5:$B$1004,MATCH(A699,Firms!$A$5:$A$1004,0)),"Not on Firms tab"))</f>
        <v/>
      </c>
      <c r="O699" s="84">
        <f>IF(A699="","",IF(AND(D699&lt;&gt;"",D699&lt;TODAY()),"Expired",IF(AND(C699&lt;&gt;"",C699&gt;TODAY()),"Not yet effective",IF(C699="","No date",IF(TODAY()&gt;=EDATE(C699,Review_Months),"Review Due","Current")))))</f>
        <v/>
      </c>
      <c r="P699">
        <f>IF(A699="","",A699&amp;"|"&amp;B699)</f>
        <v/>
      </c>
      <c r="Q699">
        <f>IF(AND(A699&lt;&gt;"",A699='Firm Search'!$C$7),COUNTIF($A$5:A699,'Firm Search'!$C$7),"")</f>
        <v/>
      </c>
      <c r="R699">
        <f>IF(A699="","",COUNTIF($A$5:$A$1004,"&lt;"&amp;A699)+COUNTIF($A$5:A699,A699))</f>
        <v/>
      </c>
    </row>
    <row r="700">
      <c r="A700" s="64" t="n"/>
      <c r="B700" s="64" t="n"/>
      <c r="C700" s="66" t="n"/>
      <c r="D700" s="66" t="n"/>
      <c r="E700" s="67" t="n"/>
      <c r="F700" s="67" t="n"/>
      <c r="G700" s="67" t="n"/>
      <c r="H700" s="67" t="n"/>
      <c r="I700" s="67" t="n"/>
      <c r="J700" s="67" t="n"/>
      <c r="K700" s="67" t="n"/>
      <c r="L700" s="67" t="n"/>
      <c r="M700" s="64" t="n"/>
      <c r="N700" s="84">
        <f>IF(A700="","",IFERROR(INDEX(Firms!$B$5:$B$1004,MATCH(A700,Firms!$A$5:$A$1004,0)),"Not on Firms tab"))</f>
        <v/>
      </c>
      <c r="O700" s="84">
        <f>IF(A700="","",IF(AND(D700&lt;&gt;"",D700&lt;TODAY()),"Expired",IF(AND(C700&lt;&gt;"",C700&gt;TODAY()),"Not yet effective",IF(C700="","No date",IF(TODAY()&gt;=EDATE(C700,Review_Months),"Review Due","Current")))))</f>
        <v/>
      </c>
      <c r="P700">
        <f>IF(A700="","",A700&amp;"|"&amp;B700)</f>
        <v/>
      </c>
      <c r="Q700">
        <f>IF(AND(A700&lt;&gt;"",A700='Firm Search'!$C$7),COUNTIF($A$5:A700,'Firm Search'!$C$7),"")</f>
        <v/>
      </c>
      <c r="R700">
        <f>IF(A700="","",COUNTIF($A$5:$A$1004,"&lt;"&amp;A700)+COUNTIF($A$5:A700,A700))</f>
        <v/>
      </c>
    </row>
    <row r="701">
      <c r="A701" s="64" t="n"/>
      <c r="B701" s="64" t="n"/>
      <c r="C701" s="66" t="n"/>
      <c r="D701" s="66" t="n"/>
      <c r="E701" s="67" t="n"/>
      <c r="F701" s="67" t="n"/>
      <c r="G701" s="67" t="n"/>
      <c r="H701" s="67" t="n"/>
      <c r="I701" s="67" t="n"/>
      <c r="J701" s="67" t="n"/>
      <c r="K701" s="67" t="n"/>
      <c r="L701" s="67" t="n"/>
      <c r="M701" s="64" t="n"/>
      <c r="N701" s="84">
        <f>IF(A701="","",IFERROR(INDEX(Firms!$B$5:$B$1004,MATCH(A701,Firms!$A$5:$A$1004,0)),"Not on Firms tab"))</f>
        <v/>
      </c>
      <c r="O701" s="84">
        <f>IF(A701="","",IF(AND(D701&lt;&gt;"",D701&lt;TODAY()),"Expired",IF(AND(C701&lt;&gt;"",C701&gt;TODAY()),"Not yet effective",IF(C701="","No date",IF(TODAY()&gt;=EDATE(C701,Review_Months),"Review Due","Current")))))</f>
        <v/>
      </c>
      <c r="P701">
        <f>IF(A701="","",A701&amp;"|"&amp;B701)</f>
        <v/>
      </c>
      <c r="Q701">
        <f>IF(AND(A701&lt;&gt;"",A701='Firm Search'!$C$7),COUNTIF($A$5:A701,'Firm Search'!$C$7),"")</f>
        <v/>
      </c>
      <c r="R701">
        <f>IF(A701="","",COUNTIF($A$5:$A$1004,"&lt;"&amp;A701)+COUNTIF($A$5:A701,A701))</f>
        <v/>
      </c>
    </row>
    <row r="702">
      <c r="A702" s="64" t="n"/>
      <c r="B702" s="64" t="n"/>
      <c r="C702" s="66" t="n"/>
      <c r="D702" s="66" t="n"/>
      <c r="E702" s="67" t="n"/>
      <c r="F702" s="67" t="n"/>
      <c r="G702" s="67" t="n"/>
      <c r="H702" s="67" t="n"/>
      <c r="I702" s="67" t="n"/>
      <c r="J702" s="67" t="n"/>
      <c r="K702" s="67" t="n"/>
      <c r="L702" s="67" t="n"/>
      <c r="M702" s="64" t="n"/>
      <c r="N702" s="84">
        <f>IF(A702="","",IFERROR(INDEX(Firms!$B$5:$B$1004,MATCH(A702,Firms!$A$5:$A$1004,0)),"Not on Firms tab"))</f>
        <v/>
      </c>
      <c r="O702" s="84">
        <f>IF(A702="","",IF(AND(D702&lt;&gt;"",D702&lt;TODAY()),"Expired",IF(AND(C702&lt;&gt;"",C702&gt;TODAY()),"Not yet effective",IF(C702="","No date",IF(TODAY()&gt;=EDATE(C702,Review_Months),"Review Due","Current")))))</f>
        <v/>
      </c>
      <c r="P702">
        <f>IF(A702="","",A702&amp;"|"&amp;B702)</f>
        <v/>
      </c>
      <c r="Q702">
        <f>IF(AND(A702&lt;&gt;"",A702='Firm Search'!$C$7),COUNTIF($A$5:A702,'Firm Search'!$C$7),"")</f>
        <v/>
      </c>
      <c r="R702">
        <f>IF(A702="","",COUNTIF($A$5:$A$1004,"&lt;"&amp;A702)+COUNTIF($A$5:A702,A702))</f>
        <v/>
      </c>
    </row>
    <row r="703">
      <c r="A703" s="64" t="n"/>
      <c r="B703" s="64" t="n"/>
      <c r="C703" s="66" t="n"/>
      <c r="D703" s="66" t="n"/>
      <c r="E703" s="67" t="n"/>
      <c r="F703" s="67" t="n"/>
      <c r="G703" s="67" t="n"/>
      <c r="H703" s="67" t="n"/>
      <c r="I703" s="67" t="n"/>
      <c r="J703" s="67" t="n"/>
      <c r="K703" s="67" t="n"/>
      <c r="L703" s="67" t="n"/>
      <c r="M703" s="64" t="n"/>
      <c r="N703" s="84">
        <f>IF(A703="","",IFERROR(INDEX(Firms!$B$5:$B$1004,MATCH(A703,Firms!$A$5:$A$1004,0)),"Not on Firms tab"))</f>
        <v/>
      </c>
      <c r="O703" s="84">
        <f>IF(A703="","",IF(AND(D703&lt;&gt;"",D703&lt;TODAY()),"Expired",IF(AND(C703&lt;&gt;"",C703&gt;TODAY()),"Not yet effective",IF(C703="","No date",IF(TODAY()&gt;=EDATE(C703,Review_Months),"Review Due","Current")))))</f>
        <v/>
      </c>
      <c r="P703">
        <f>IF(A703="","",A703&amp;"|"&amp;B703)</f>
        <v/>
      </c>
      <c r="Q703">
        <f>IF(AND(A703&lt;&gt;"",A703='Firm Search'!$C$7),COUNTIF($A$5:A703,'Firm Search'!$C$7),"")</f>
        <v/>
      </c>
      <c r="R703">
        <f>IF(A703="","",COUNTIF($A$5:$A$1004,"&lt;"&amp;A703)+COUNTIF($A$5:A703,A703))</f>
        <v/>
      </c>
    </row>
    <row r="704">
      <c r="A704" s="64" t="n"/>
      <c r="B704" s="64" t="n"/>
      <c r="C704" s="66" t="n"/>
      <c r="D704" s="66" t="n"/>
      <c r="E704" s="67" t="n"/>
      <c r="F704" s="67" t="n"/>
      <c r="G704" s="67" t="n"/>
      <c r="H704" s="67" t="n"/>
      <c r="I704" s="67" t="n"/>
      <c r="J704" s="67" t="n"/>
      <c r="K704" s="67" t="n"/>
      <c r="L704" s="67" t="n"/>
      <c r="M704" s="64" t="n"/>
      <c r="N704" s="84">
        <f>IF(A704="","",IFERROR(INDEX(Firms!$B$5:$B$1004,MATCH(A704,Firms!$A$5:$A$1004,0)),"Not on Firms tab"))</f>
        <v/>
      </c>
      <c r="O704" s="84">
        <f>IF(A704="","",IF(AND(D704&lt;&gt;"",D704&lt;TODAY()),"Expired",IF(AND(C704&lt;&gt;"",C704&gt;TODAY()),"Not yet effective",IF(C704="","No date",IF(TODAY()&gt;=EDATE(C704,Review_Months),"Review Due","Current")))))</f>
        <v/>
      </c>
      <c r="P704">
        <f>IF(A704="","",A704&amp;"|"&amp;B704)</f>
        <v/>
      </c>
      <c r="Q704">
        <f>IF(AND(A704&lt;&gt;"",A704='Firm Search'!$C$7),COUNTIF($A$5:A704,'Firm Search'!$C$7),"")</f>
        <v/>
      </c>
      <c r="R704">
        <f>IF(A704="","",COUNTIF($A$5:$A$1004,"&lt;"&amp;A704)+COUNTIF($A$5:A704,A704))</f>
        <v/>
      </c>
    </row>
    <row r="705">
      <c r="A705" s="64" t="n"/>
      <c r="B705" s="64" t="n"/>
      <c r="C705" s="66" t="n"/>
      <c r="D705" s="66" t="n"/>
      <c r="E705" s="67" t="n"/>
      <c r="F705" s="67" t="n"/>
      <c r="G705" s="67" t="n"/>
      <c r="H705" s="67" t="n"/>
      <c r="I705" s="67" t="n"/>
      <c r="J705" s="67" t="n"/>
      <c r="K705" s="67" t="n"/>
      <c r="L705" s="67" t="n"/>
      <c r="M705" s="64" t="n"/>
      <c r="N705" s="84">
        <f>IF(A705="","",IFERROR(INDEX(Firms!$B$5:$B$1004,MATCH(A705,Firms!$A$5:$A$1004,0)),"Not on Firms tab"))</f>
        <v/>
      </c>
      <c r="O705" s="84">
        <f>IF(A705="","",IF(AND(D705&lt;&gt;"",D705&lt;TODAY()),"Expired",IF(AND(C705&lt;&gt;"",C705&gt;TODAY()),"Not yet effective",IF(C705="","No date",IF(TODAY()&gt;=EDATE(C705,Review_Months),"Review Due","Current")))))</f>
        <v/>
      </c>
      <c r="P705">
        <f>IF(A705="","",A705&amp;"|"&amp;B705)</f>
        <v/>
      </c>
      <c r="Q705">
        <f>IF(AND(A705&lt;&gt;"",A705='Firm Search'!$C$7),COUNTIF($A$5:A705,'Firm Search'!$C$7),"")</f>
        <v/>
      </c>
      <c r="R705">
        <f>IF(A705="","",COUNTIF($A$5:$A$1004,"&lt;"&amp;A705)+COUNTIF($A$5:A705,A705))</f>
        <v/>
      </c>
    </row>
    <row r="706">
      <c r="A706" s="64" t="n"/>
      <c r="B706" s="64" t="n"/>
      <c r="C706" s="66" t="n"/>
      <c r="D706" s="66" t="n"/>
      <c r="E706" s="67" t="n"/>
      <c r="F706" s="67" t="n"/>
      <c r="G706" s="67" t="n"/>
      <c r="H706" s="67" t="n"/>
      <c r="I706" s="67" t="n"/>
      <c r="J706" s="67" t="n"/>
      <c r="K706" s="67" t="n"/>
      <c r="L706" s="67" t="n"/>
      <c r="M706" s="64" t="n"/>
      <c r="N706" s="84">
        <f>IF(A706="","",IFERROR(INDEX(Firms!$B$5:$B$1004,MATCH(A706,Firms!$A$5:$A$1004,0)),"Not on Firms tab"))</f>
        <v/>
      </c>
      <c r="O706" s="84">
        <f>IF(A706="","",IF(AND(D706&lt;&gt;"",D706&lt;TODAY()),"Expired",IF(AND(C706&lt;&gt;"",C706&gt;TODAY()),"Not yet effective",IF(C706="","No date",IF(TODAY()&gt;=EDATE(C706,Review_Months),"Review Due","Current")))))</f>
        <v/>
      </c>
      <c r="P706">
        <f>IF(A706="","",A706&amp;"|"&amp;B706)</f>
        <v/>
      </c>
      <c r="Q706">
        <f>IF(AND(A706&lt;&gt;"",A706='Firm Search'!$C$7),COUNTIF($A$5:A706,'Firm Search'!$C$7),"")</f>
        <v/>
      </c>
      <c r="R706">
        <f>IF(A706="","",COUNTIF($A$5:$A$1004,"&lt;"&amp;A706)+COUNTIF($A$5:A706,A706))</f>
        <v/>
      </c>
    </row>
    <row r="707">
      <c r="A707" s="64" t="n"/>
      <c r="B707" s="64" t="n"/>
      <c r="C707" s="66" t="n"/>
      <c r="D707" s="66" t="n"/>
      <c r="E707" s="67" t="n"/>
      <c r="F707" s="67" t="n"/>
      <c r="G707" s="67" t="n"/>
      <c r="H707" s="67" t="n"/>
      <c r="I707" s="67" t="n"/>
      <c r="J707" s="67" t="n"/>
      <c r="K707" s="67" t="n"/>
      <c r="L707" s="67" t="n"/>
      <c r="M707" s="64" t="n"/>
      <c r="N707" s="84">
        <f>IF(A707="","",IFERROR(INDEX(Firms!$B$5:$B$1004,MATCH(A707,Firms!$A$5:$A$1004,0)),"Not on Firms tab"))</f>
        <v/>
      </c>
      <c r="O707" s="84">
        <f>IF(A707="","",IF(AND(D707&lt;&gt;"",D707&lt;TODAY()),"Expired",IF(AND(C707&lt;&gt;"",C707&gt;TODAY()),"Not yet effective",IF(C707="","No date",IF(TODAY()&gt;=EDATE(C707,Review_Months),"Review Due","Current")))))</f>
        <v/>
      </c>
      <c r="P707">
        <f>IF(A707="","",A707&amp;"|"&amp;B707)</f>
        <v/>
      </c>
      <c r="Q707">
        <f>IF(AND(A707&lt;&gt;"",A707='Firm Search'!$C$7),COUNTIF($A$5:A707,'Firm Search'!$C$7),"")</f>
        <v/>
      </c>
      <c r="R707">
        <f>IF(A707="","",COUNTIF($A$5:$A$1004,"&lt;"&amp;A707)+COUNTIF($A$5:A707,A707))</f>
        <v/>
      </c>
    </row>
    <row r="708">
      <c r="A708" s="64" t="n"/>
      <c r="B708" s="64" t="n"/>
      <c r="C708" s="66" t="n"/>
      <c r="D708" s="66" t="n"/>
      <c r="E708" s="67" t="n"/>
      <c r="F708" s="67" t="n"/>
      <c r="G708" s="67" t="n"/>
      <c r="H708" s="67" t="n"/>
      <c r="I708" s="67" t="n"/>
      <c r="J708" s="67" t="n"/>
      <c r="K708" s="67" t="n"/>
      <c r="L708" s="67" t="n"/>
      <c r="M708" s="64" t="n"/>
      <c r="N708" s="84">
        <f>IF(A708="","",IFERROR(INDEX(Firms!$B$5:$B$1004,MATCH(A708,Firms!$A$5:$A$1004,0)),"Not on Firms tab"))</f>
        <v/>
      </c>
      <c r="O708" s="84">
        <f>IF(A708="","",IF(AND(D708&lt;&gt;"",D708&lt;TODAY()),"Expired",IF(AND(C708&lt;&gt;"",C708&gt;TODAY()),"Not yet effective",IF(C708="","No date",IF(TODAY()&gt;=EDATE(C708,Review_Months),"Review Due","Current")))))</f>
        <v/>
      </c>
      <c r="P708">
        <f>IF(A708="","",A708&amp;"|"&amp;B708)</f>
        <v/>
      </c>
      <c r="Q708">
        <f>IF(AND(A708&lt;&gt;"",A708='Firm Search'!$C$7),COUNTIF($A$5:A708,'Firm Search'!$C$7),"")</f>
        <v/>
      </c>
      <c r="R708">
        <f>IF(A708="","",COUNTIF($A$5:$A$1004,"&lt;"&amp;A708)+COUNTIF($A$5:A708,A708))</f>
        <v/>
      </c>
    </row>
    <row r="709">
      <c r="A709" s="64" t="n"/>
      <c r="B709" s="64" t="n"/>
      <c r="C709" s="66" t="n"/>
      <c r="D709" s="66" t="n"/>
      <c r="E709" s="67" t="n"/>
      <c r="F709" s="67" t="n"/>
      <c r="G709" s="67" t="n"/>
      <c r="H709" s="67" t="n"/>
      <c r="I709" s="67" t="n"/>
      <c r="J709" s="67" t="n"/>
      <c r="K709" s="67" t="n"/>
      <c r="L709" s="67" t="n"/>
      <c r="M709" s="64" t="n"/>
      <c r="N709" s="84">
        <f>IF(A709="","",IFERROR(INDEX(Firms!$B$5:$B$1004,MATCH(A709,Firms!$A$5:$A$1004,0)),"Not on Firms tab"))</f>
        <v/>
      </c>
      <c r="O709" s="84">
        <f>IF(A709="","",IF(AND(D709&lt;&gt;"",D709&lt;TODAY()),"Expired",IF(AND(C709&lt;&gt;"",C709&gt;TODAY()),"Not yet effective",IF(C709="","No date",IF(TODAY()&gt;=EDATE(C709,Review_Months),"Review Due","Current")))))</f>
        <v/>
      </c>
      <c r="P709">
        <f>IF(A709="","",A709&amp;"|"&amp;B709)</f>
        <v/>
      </c>
      <c r="Q709">
        <f>IF(AND(A709&lt;&gt;"",A709='Firm Search'!$C$7),COUNTIF($A$5:A709,'Firm Search'!$C$7),"")</f>
        <v/>
      </c>
      <c r="R709">
        <f>IF(A709="","",COUNTIF($A$5:$A$1004,"&lt;"&amp;A709)+COUNTIF($A$5:A709,A709))</f>
        <v/>
      </c>
    </row>
    <row r="710">
      <c r="A710" s="64" t="n"/>
      <c r="B710" s="64" t="n"/>
      <c r="C710" s="66" t="n"/>
      <c r="D710" s="66" t="n"/>
      <c r="E710" s="67" t="n"/>
      <c r="F710" s="67" t="n"/>
      <c r="G710" s="67" t="n"/>
      <c r="H710" s="67" t="n"/>
      <c r="I710" s="67" t="n"/>
      <c r="J710" s="67" t="n"/>
      <c r="K710" s="67" t="n"/>
      <c r="L710" s="67" t="n"/>
      <c r="M710" s="64" t="n"/>
      <c r="N710" s="84">
        <f>IF(A710="","",IFERROR(INDEX(Firms!$B$5:$B$1004,MATCH(A710,Firms!$A$5:$A$1004,0)),"Not on Firms tab"))</f>
        <v/>
      </c>
      <c r="O710" s="84">
        <f>IF(A710="","",IF(AND(D710&lt;&gt;"",D710&lt;TODAY()),"Expired",IF(AND(C710&lt;&gt;"",C710&gt;TODAY()),"Not yet effective",IF(C710="","No date",IF(TODAY()&gt;=EDATE(C710,Review_Months),"Review Due","Current")))))</f>
        <v/>
      </c>
      <c r="P710">
        <f>IF(A710="","",A710&amp;"|"&amp;B710)</f>
        <v/>
      </c>
      <c r="Q710">
        <f>IF(AND(A710&lt;&gt;"",A710='Firm Search'!$C$7),COUNTIF($A$5:A710,'Firm Search'!$C$7),"")</f>
        <v/>
      </c>
      <c r="R710">
        <f>IF(A710="","",COUNTIF($A$5:$A$1004,"&lt;"&amp;A710)+COUNTIF($A$5:A710,A710))</f>
        <v/>
      </c>
    </row>
    <row r="711">
      <c r="A711" s="64" t="n"/>
      <c r="B711" s="64" t="n"/>
      <c r="C711" s="66" t="n"/>
      <c r="D711" s="66" t="n"/>
      <c r="E711" s="67" t="n"/>
      <c r="F711" s="67" t="n"/>
      <c r="G711" s="67" t="n"/>
      <c r="H711" s="67" t="n"/>
      <c r="I711" s="67" t="n"/>
      <c r="J711" s="67" t="n"/>
      <c r="K711" s="67" t="n"/>
      <c r="L711" s="67" t="n"/>
      <c r="M711" s="64" t="n"/>
      <c r="N711" s="84">
        <f>IF(A711="","",IFERROR(INDEX(Firms!$B$5:$B$1004,MATCH(A711,Firms!$A$5:$A$1004,0)),"Not on Firms tab"))</f>
        <v/>
      </c>
      <c r="O711" s="84">
        <f>IF(A711="","",IF(AND(D711&lt;&gt;"",D711&lt;TODAY()),"Expired",IF(AND(C711&lt;&gt;"",C711&gt;TODAY()),"Not yet effective",IF(C711="","No date",IF(TODAY()&gt;=EDATE(C711,Review_Months),"Review Due","Current")))))</f>
        <v/>
      </c>
      <c r="P711">
        <f>IF(A711="","",A711&amp;"|"&amp;B711)</f>
        <v/>
      </c>
      <c r="Q711">
        <f>IF(AND(A711&lt;&gt;"",A711='Firm Search'!$C$7),COUNTIF($A$5:A711,'Firm Search'!$C$7),"")</f>
        <v/>
      </c>
      <c r="R711">
        <f>IF(A711="","",COUNTIF($A$5:$A$1004,"&lt;"&amp;A711)+COUNTIF($A$5:A711,A711))</f>
        <v/>
      </c>
    </row>
    <row r="712">
      <c r="A712" s="64" t="n"/>
      <c r="B712" s="64" t="n"/>
      <c r="C712" s="66" t="n"/>
      <c r="D712" s="66" t="n"/>
      <c r="E712" s="67" t="n"/>
      <c r="F712" s="67" t="n"/>
      <c r="G712" s="67" t="n"/>
      <c r="H712" s="67" t="n"/>
      <c r="I712" s="67" t="n"/>
      <c r="J712" s="67" t="n"/>
      <c r="K712" s="67" t="n"/>
      <c r="L712" s="67" t="n"/>
      <c r="M712" s="64" t="n"/>
      <c r="N712" s="84">
        <f>IF(A712="","",IFERROR(INDEX(Firms!$B$5:$B$1004,MATCH(A712,Firms!$A$5:$A$1004,0)),"Not on Firms tab"))</f>
        <v/>
      </c>
      <c r="O712" s="84">
        <f>IF(A712="","",IF(AND(D712&lt;&gt;"",D712&lt;TODAY()),"Expired",IF(AND(C712&lt;&gt;"",C712&gt;TODAY()),"Not yet effective",IF(C712="","No date",IF(TODAY()&gt;=EDATE(C712,Review_Months),"Review Due","Current")))))</f>
        <v/>
      </c>
      <c r="P712">
        <f>IF(A712="","",A712&amp;"|"&amp;B712)</f>
        <v/>
      </c>
      <c r="Q712">
        <f>IF(AND(A712&lt;&gt;"",A712='Firm Search'!$C$7),COUNTIF($A$5:A712,'Firm Search'!$C$7),"")</f>
        <v/>
      </c>
      <c r="R712">
        <f>IF(A712="","",COUNTIF($A$5:$A$1004,"&lt;"&amp;A712)+COUNTIF($A$5:A712,A712))</f>
        <v/>
      </c>
    </row>
    <row r="713">
      <c r="A713" s="64" t="n"/>
      <c r="B713" s="64" t="n"/>
      <c r="C713" s="66" t="n"/>
      <c r="D713" s="66" t="n"/>
      <c r="E713" s="67" t="n"/>
      <c r="F713" s="67" t="n"/>
      <c r="G713" s="67" t="n"/>
      <c r="H713" s="67" t="n"/>
      <c r="I713" s="67" t="n"/>
      <c r="J713" s="67" t="n"/>
      <c r="K713" s="67" t="n"/>
      <c r="L713" s="67" t="n"/>
      <c r="M713" s="64" t="n"/>
      <c r="N713" s="84">
        <f>IF(A713="","",IFERROR(INDEX(Firms!$B$5:$B$1004,MATCH(A713,Firms!$A$5:$A$1004,0)),"Not on Firms tab"))</f>
        <v/>
      </c>
      <c r="O713" s="84">
        <f>IF(A713="","",IF(AND(D713&lt;&gt;"",D713&lt;TODAY()),"Expired",IF(AND(C713&lt;&gt;"",C713&gt;TODAY()),"Not yet effective",IF(C713="","No date",IF(TODAY()&gt;=EDATE(C713,Review_Months),"Review Due","Current")))))</f>
        <v/>
      </c>
      <c r="P713">
        <f>IF(A713="","",A713&amp;"|"&amp;B713)</f>
        <v/>
      </c>
      <c r="Q713">
        <f>IF(AND(A713&lt;&gt;"",A713='Firm Search'!$C$7),COUNTIF($A$5:A713,'Firm Search'!$C$7),"")</f>
        <v/>
      </c>
      <c r="R713">
        <f>IF(A713="","",COUNTIF($A$5:$A$1004,"&lt;"&amp;A713)+COUNTIF($A$5:A713,A713))</f>
        <v/>
      </c>
    </row>
    <row r="714">
      <c r="A714" s="64" t="n"/>
      <c r="B714" s="64" t="n"/>
      <c r="C714" s="66" t="n"/>
      <c r="D714" s="66" t="n"/>
      <c r="E714" s="67" t="n"/>
      <c r="F714" s="67" t="n"/>
      <c r="G714" s="67" t="n"/>
      <c r="H714" s="67" t="n"/>
      <c r="I714" s="67" t="n"/>
      <c r="J714" s="67" t="n"/>
      <c r="K714" s="67" t="n"/>
      <c r="L714" s="67" t="n"/>
      <c r="M714" s="64" t="n"/>
      <c r="N714" s="84">
        <f>IF(A714="","",IFERROR(INDEX(Firms!$B$5:$B$1004,MATCH(A714,Firms!$A$5:$A$1004,0)),"Not on Firms tab"))</f>
        <v/>
      </c>
      <c r="O714" s="84">
        <f>IF(A714="","",IF(AND(D714&lt;&gt;"",D714&lt;TODAY()),"Expired",IF(AND(C714&lt;&gt;"",C714&gt;TODAY()),"Not yet effective",IF(C714="","No date",IF(TODAY()&gt;=EDATE(C714,Review_Months),"Review Due","Current")))))</f>
        <v/>
      </c>
      <c r="P714">
        <f>IF(A714="","",A714&amp;"|"&amp;B714)</f>
        <v/>
      </c>
      <c r="Q714">
        <f>IF(AND(A714&lt;&gt;"",A714='Firm Search'!$C$7),COUNTIF($A$5:A714,'Firm Search'!$C$7),"")</f>
        <v/>
      </c>
      <c r="R714">
        <f>IF(A714="","",COUNTIF($A$5:$A$1004,"&lt;"&amp;A714)+COUNTIF($A$5:A714,A714))</f>
        <v/>
      </c>
    </row>
    <row r="715">
      <c r="A715" s="64" t="n"/>
      <c r="B715" s="64" t="n"/>
      <c r="C715" s="66" t="n"/>
      <c r="D715" s="66" t="n"/>
      <c r="E715" s="67" t="n"/>
      <c r="F715" s="67" t="n"/>
      <c r="G715" s="67" t="n"/>
      <c r="H715" s="67" t="n"/>
      <c r="I715" s="67" t="n"/>
      <c r="J715" s="67" t="n"/>
      <c r="K715" s="67" t="n"/>
      <c r="L715" s="67" t="n"/>
      <c r="M715" s="64" t="n"/>
      <c r="N715" s="84">
        <f>IF(A715="","",IFERROR(INDEX(Firms!$B$5:$B$1004,MATCH(A715,Firms!$A$5:$A$1004,0)),"Not on Firms tab"))</f>
        <v/>
      </c>
      <c r="O715" s="84">
        <f>IF(A715="","",IF(AND(D715&lt;&gt;"",D715&lt;TODAY()),"Expired",IF(AND(C715&lt;&gt;"",C715&gt;TODAY()),"Not yet effective",IF(C715="","No date",IF(TODAY()&gt;=EDATE(C715,Review_Months),"Review Due","Current")))))</f>
        <v/>
      </c>
      <c r="P715">
        <f>IF(A715="","",A715&amp;"|"&amp;B715)</f>
        <v/>
      </c>
      <c r="Q715">
        <f>IF(AND(A715&lt;&gt;"",A715='Firm Search'!$C$7),COUNTIF($A$5:A715,'Firm Search'!$C$7),"")</f>
        <v/>
      </c>
      <c r="R715">
        <f>IF(A715="","",COUNTIF($A$5:$A$1004,"&lt;"&amp;A715)+COUNTIF($A$5:A715,A715))</f>
        <v/>
      </c>
    </row>
    <row r="716">
      <c r="A716" s="64" t="n"/>
      <c r="B716" s="64" t="n"/>
      <c r="C716" s="66" t="n"/>
      <c r="D716" s="66" t="n"/>
      <c r="E716" s="67" t="n"/>
      <c r="F716" s="67" t="n"/>
      <c r="G716" s="67" t="n"/>
      <c r="H716" s="67" t="n"/>
      <c r="I716" s="67" t="n"/>
      <c r="J716" s="67" t="n"/>
      <c r="K716" s="67" t="n"/>
      <c r="L716" s="67" t="n"/>
      <c r="M716" s="64" t="n"/>
      <c r="N716" s="84">
        <f>IF(A716="","",IFERROR(INDEX(Firms!$B$5:$B$1004,MATCH(A716,Firms!$A$5:$A$1004,0)),"Not on Firms tab"))</f>
        <v/>
      </c>
      <c r="O716" s="84">
        <f>IF(A716="","",IF(AND(D716&lt;&gt;"",D716&lt;TODAY()),"Expired",IF(AND(C716&lt;&gt;"",C716&gt;TODAY()),"Not yet effective",IF(C716="","No date",IF(TODAY()&gt;=EDATE(C716,Review_Months),"Review Due","Current")))))</f>
        <v/>
      </c>
      <c r="P716">
        <f>IF(A716="","",A716&amp;"|"&amp;B716)</f>
        <v/>
      </c>
      <c r="Q716">
        <f>IF(AND(A716&lt;&gt;"",A716='Firm Search'!$C$7),COUNTIF($A$5:A716,'Firm Search'!$C$7),"")</f>
        <v/>
      </c>
      <c r="R716">
        <f>IF(A716="","",COUNTIF($A$5:$A$1004,"&lt;"&amp;A716)+COUNTIF($A$5:A716,A716))</f>
        <v/>
      </c>
    </row>
    <row r="717">
      <c r="A717" s="64" t="n"/>
      <c r="B717" s="64" t="n"/>
      <c r="C717" s="66" t="n"/>
      <c r="D717" s="66" t="n"/>
      <c r="E717" s="67" t="n"/>
      <c r="F717" s="67" t="n"/>
      <c r="G717" s="67" t="n"/>
      <c r="H717" s="67" t="n"/>
      <c r="I717" s="67" t="n"/>
      <c r="J717" s="67" t="n"/>
      <c r="K717" s="67" t="n"/>
      <c r="L717" s="67" t="n"/>
      <c r="M717" s="64" t="n"/>
      <c r="N717" s="84">
        <f>IF(A717="","",IFERROR(INDEX(Firms!$B$5:$B$1004,MATCH(A717,Firms!$A$5:$A$1004,0)),"Not on Firms tab"))</f>
        <v/>
      </c>
      <c r="O717" s="84">
        <f>IF(A717="","",IF(AND(D717&lt;&gt;"",D717&lt;TODAY()),"Expired",IF(AND(C717&lt;&gt;"",C717&gt;TODAY()),"Not yet effective",IF(C717="","No date",IF(TODAY()&gt;=EDATE(C717,Review_Months),"Review Due","Current")))))</f>
        <v/>
      </c>
      <c r="P717">
        <f>IF(A717="","",A717&amp;"|"&amp;B717)</f>
        <v/>
      </c>
      <c r="Q717">
        <f>IF(AND(A717&lt;&gt;"",A717='Firm Search'!$C$7),COUNTIF($A$5:A717,'Firm Search'!$C$7),"")</f>
        <v/>
      </c>
      <c r="R717">
        <f>IF(A717="","",COUNTIF($A$5:$A$1004,"&lt;"&amp;A717)+COUNTIF($A$5:A717,A717))</f>
        <v/>
      </c>
    </row>
    <row r="718">
      <c r="A718" s="64" t="n"/>
      <c r="B718" s="64" t="n"/>
      <c r="C718" s="66" t="n"/>
      <c r="D718" s="66" t="n"/>
      <c r="E718" s="67" t="n"/>
      <c r="F718" s="67" t="n"/>
      <c r="G718" s="67" t="n"/>
      <c r="H718" s="67" t="n"/>
      <c r="I718" s="67" t="n"/>
      <c r="J718" s="67" t="n"/>
      <c r="K718" s="67" t="n"/>
      <c r="L718" s="67" t="n"/>
      <c r="M718" s="64" t="n"/>
      <c r="N718" s="84">
        <f>IF(A718="","",IFERROR(INDEX(Firms!$B$5:$B$1004,MATCH(A718,Firms!$A$5:$A$1004,0)),"Not on Firms tab"))</f>
        <v/>
      </c>
      <c r="O718" s="84">
        <f>IF(A718="","",IF(AND(D718&lt;&gt;"",D718&lt;TODAY()),"Expired",IF(AND(C718&lt;&gt;"",C718&gt;TODAY()),"Not yet effective",IF(C718="","No date",IF(TODAY()&gt;=EDATE(C718,Review_Months),"Review Due","Current")))))</f>
        <v/>
      </c>
      <c r="P718">
        <f>IF(A718="","",A718&amp;"|"&amp;B718)</f>
        <v/>
      </c>
      <c r="Q718">
        <f>IF(AND(A718&lt;&gt;"",A718='Firm Search'!$C$7),COUNTIF($A$5:A718,'Firm Search'!$C$7),"")</f>
        <v/>
      </c>
      <c r="R718">
        <f>IF(A718="","",COUNTIF($A$5:$A$1004,"&lt;"&amp;A718)+COUNTIF($A$5:A718,A718))</f>
        <v/>
      </c>
    </row>
    <row r="719">
      <c r="A719" s="64" t="n"/>
      <c r="B719" s="64" t="n"/>
      <c r="C719" s="66" t="n"/>
      <c r="D719" s="66" t="n"/>
      <c r="E719" s="67" t="n"/>
      <c r="F719" s="67" t="n"/>
      <c r="G719" s="67" t="n"/>
      <c r="H719" s="67" t="n"/>
      <c r="I719" s="67" t="n"/>
      <c r="J719" s="67" t="n"/>
      <c r="K719" s="67" t="n"/>
      <c r="L719" s="67" t="n"/>
      <c r="M719" s="64" t="n"/>
      <c r="N719" s="84">
        <f>IF(A719="","",IFERROR(INDEX(Firms!$B$5:$B$1004,MATCH(A719,Firms!$A$5:$A$1004,0)),"Not on Firms tab"))</f>
        <v/>
      </c>
      <c r="O719" s="84">
        <f>IF(A719="","",IF(AND(D719&lt;&gt;"",D719&lt;TODAY()),"Expired",IF(AND(C719&lt;&gt;"",C719&gt;TODAY()),"Not yet effective",IF(C719="","No date",IF(TODAY()&gt;=EDATE(C719,Review_Months),"Review Due","Current")))))</f>
        <v/>
      </c>
      <c r="P719">
        <f>IF(A719="","",A719&amp;"|"&amp;B719)</f>
        <v/>
      </c>
      <c r="Q719">
        <f>IF(AND(A719&lt;&gt;"",A719='Firm Search'!$C$7),COUNTIF($A$5:A719,'Firm Search'!$C$7),"")</f>
        <v/>
      </c>
      <c r="R719">
        <f>IF(A719="","",COUNTIF($A$5:$A$1004,"&lt;"&amp;A719)+COUNTIF($A$5:A719,A719))</f>
        <v/>
      </c>
    </row>
    <row r="720">
      <c r="A720" s="64" t="n"/>
      <c r="B720" s="64" t="n"/>
      <c r="C720" s="66" t="n"/>
      <c r="D720" s="66" t="n"/>
      <c r="E720" s="67" t="n"/>
      <c r="F720" s="67" t="n"/>
      <c r="G720" s="67" t="n"/>
      <c r="H720" s="67" t="n"/>
      <c r="I720" s="67" t="n"/>
      <c r="J720" s="67" t="n"/>
      <c r="K720" s="67" t="n"/>
      <c r="L720" s="67" t="n"/>
      <c r="M720" s="64" t="n"/>
      <c r="N720" s="84">
        <f>IF(A720="","",IFERROR(INDEX(Firms!$B$5:$B$1004,MATCH(A720,Firms!$A$5:$A$1004,0)),"Not on Firms tab"))</f>
        <v/>
      </c>
      <c r="O720" s="84">
        <f>IF(A720="","",IF(AND(D720&lt;&gt;"",D720&lt;TODAY()),"Expired",IF(AND(C720&lt;&gt;"",C720&gt;TODAY()),"Not yet effective",IF(C720="","No date",IF(TODAY()&gt;=EDATE(C720,Review_Months),"Review Due","Current")))))</f>
        <v/>
      </c>
      <c r="P720">
        <f>IF(A720="","",A720&amp;"|"&amp;B720)</f>
        <v/>
      </c>
      <c r="Q720">
        <f>IF(AND(A720&lt;&gt;"",A720='Firm Search'!$C$7),COUNTIF($A$5:A720,'Firm Search'!$C$7),"")</f>
        <v/>
      </c>
      <c r="R720">
        <f>IF(A720="","",COUNTIF($A$5:$A$1004,"&lt;"&amp;A720)+COUNTIF($A$5:A720,A720))</f>
        <v/>
      </c>
    </row>
    <row r="721">
      <c r="A721" s="64" t="n"/>
      <c r="B721" s="64" t="n"/>
      <c r="C721" s="66" t="n"/>
      <c r="D721" s="66" t="n"/>
      <c r="E721" s="67" t="n"/>
      <c r="F721" s="67" t="n"/>
      <c r="G721" s="67" t="n"/>
      <c r="H721" s="67" t="n"/>
      <c r="I721" s="67" t="n"/>
      <c r="J721" s="67" t="n"/>
      <c r="K721" s="67" t="n"/>
      <c r="L721" s="67" t="n"/>
      <c r="M721" s="64" t="n"/>
      <c r="N721" s="84">
        <f>IF(A721="","",IFERROR(INDEX(Firms!$B$5:$B$1004,MATCH(A721,Firms!$A$5:$A$1004,0)),"Not on Firms tab"))</f>
        <v/>
      </c>
      <c r="O721" s="84">
        <f>IF(A721="","",IF(AND(D721&lt;&gt;"",D721&lt;TODAY()),"Expired",IF(AND(C721&lt;&gt;"",C721&gt;TODAY()),"Not yet effective",IF(C721="","No date",IF(TODAY()&gt;=EDATE(C721,Review_Months),"Review Due","Current")))))</f>
        <v/>
      </c>
      <c r="P721">
        <f>IF(A721="","",A721&amp;"|"&amp;B721)</f>
        <v/>
      </c>
      <c r="Q721">
        <f>IF(AND(A721&lt;&gt;"",A721='Firm Search'!$C$7),COUNTIF($A$5:A721,'Firm Search'!$C$7),"")</f>
        <v/>
      </c>
      <c r="R721">
        <f>IF(A721="","",COUNTIF($A$5:$A$1004,"&lt;"&amp;A721)+COUNTIF($A$5:A721,A721))</f>
        <v/>
      </c>
    </row>
    <row r="722">
      <c r="A722" s="64" t="n"/>
      <c r="B722" s="64" t="n"/>
      <c r="C722" s="66" t="n"/>
      <c r="D722" s="66" t="n"/>
      <c r="E722" s="67" t="n"/>
      <c r="F722" s="67" t="n"/>
      <c r="G722" s="67" t="n"/>
      <c r="H722" s="67" t="n"/>
      <c r="I722" s="67" t="n"/>
      <c r="J722" s="67" t="n"/>
      <c r="K722" s="67" t="n"/>
      <c r="L722" s="67" t="n"/>
      <c r="M722" s="64" t="n"/>
      <c r="N722" s="84">
        <f>IF(A722="","",IFERROR(INDEX(Firms!$B$5:$B$1004,MATCH(A722,Firms!$A$5:$A$1004,0)),"Not on Firms tab"))</f>
        <v/>
      </c>
      <c r="O722" s="84">
        <f>IF(A722="","",IF(AND(D722&lt;&gt;"",D722&lt;TODAY()),"Expired",IF(AND(C722&lt;&gt;"",C722&gt;TODAY()),"Not yet effective",IF(C722="","No date",IF(TODAY()&gt;=EDATE(C722,Review_Months),"Review Due","Current")))))</f>
        <v/>
      </c>
      <c r="P722">
        <f>IF(A722="","",A722&amp;"|"&amp;B722)</f>
        <v/>
      </c>
      <c r="Q722">
        <f>IF(AND(A722&lt;&gt;"",A722='Firm Search'!$C$7),COUNTIF($A$5:A722,'Firm Search'!$C$7),"")</f>
        <v/>
      </c>
      <c r="R722">
        <f>IF(A722="","",COUNTIF($A$5:$A$1004,"&lt;"&amp;A722)+COUNTIF($A$5:A722,A722))</f>
        <v/>
      </c>
    </row>
    <row r="723">
      <c r="A723" s="64" t="n"/>
      <c r="B723" s="64" t="n"/>
      <c r="C723" s="66" t="n"/>
      <c r="D723" s="66" t="n"/>
      <c r="E723" s="67" t="n"/>
      <c r="F723" s="67" t="n"/>
      <c r="G723" s="67" t="n"/>
      <c r="H723" s="67" t="n"/>
      <c r="I723" s="67" t="n"/>
      <c r="J723" s="67" t="n"/>
      <c r="K723" s="67" t="n"/>
      <c r="L723" s="67" t="n"/>
      <c r="M723" s="64" t="n"/>
      <c r="N723" s="84">
        <f>IF(A723="","",IFERROR(INDEX(Firms!$B$5:$B$1004,MATCH(A723,Firms!$A$5:$A$1004,0)),"Not on Firms tab"))</f>
        <v/>
      </c>
      <c r="O723" s="84">
        <f>IF(A723="","",IF(AND(D723&lt;&gt;"",D723&lt;TODAY()),"Expired",IF(AND(C723&lt;&gt;"",C723&gt;TODAY()),"Not yet effective",IF(C723="","No date",IF(TODAY()&gt;=EDATE(C723,Review_Months),"Review Due","Current")))))</f>
        <v/>
      </c>
      <c r="P723">
        <f>IF(A723="","",A723&amp;"|"&amp;B723)</f>
        <v/>
      </c>
      <c r="Q723">
        <f>IF(AND(A723&lt;&gt;"",A723='Firm Search'!$C$7),COUNTIF($A$5:A723,'Firm Search'!$C$7),"")</f>
        <v/>
      </c>
      <c r="R723">
        <f>IF(A723="","",COUNTIF($A$5:$A$1004,"&lt;"&amp;A723)+COUNTIF($A$5:A723,A723))</f>
        <v/>
      </c>
    </row>
    <row r="724">
      <c r="A724" s="64" t="n"/>
      <c r="B724" s="64" t="n"/>
      <c r="C724" s="66" t="n"/>
      <c r="D724" s="66" t="n"/>
      <c r="E724" s="67" t="n"/>
      <c r="F724" s="67" t="n"/>
      <c r="G724" s="67" t="n"/>
      <c r="H724" s="67" t="n"/>
      <c r="I724" s="67" t="n"/>
      <c r="J724" s="67" t="n"/>
      <c r="K724" s="67" t="n"/>
      <c r="L724" s="67" t="n"/>
      <c r="M724" s="64" t="n"/>
      <c r="N724" s="84">
        <f>IF(A724="","",IFERROR(INDEX(Firms!$B$5:$B$1004,MATCH(A724,Firms!$A$5:$A$1004,0)),"Not on Firms tab"))</f>
        <v/>
      </c>
      <c r="O724" s="84">
        <f>IF(A724="","",IF(AND(D724&lt;&gt;"",D724&lt;TODAY()),"Expired",IF(AND(C724&lt;&gt;"",C724&gt;TODAY()),"Not yet effective",IF(C724="","No date",IF(TODAY()&gt;=EDATE(C724,Review_Months),"Review Due","Current")))))</f>
        <v/>
      </c>
      <c r="P724">
        <f>IF(A724="","",A724&amp;"|"&amp;B724)</f>
        <v/>
      </c>
      <c r="Q724">
        <f>IF(AND(A724&lt;&gt;"",A724='Firm Search'!$C$7),COUNTIF($A$5:A724,'Firm Search'!$C$7),"")</f>
        <v/>
      </c>
      <c r="R724">
        <f>IF(A724="","",COUNTIF($A$5:$A$1004,"&lt;"&amp;A724)+COUNTIF($A$5:A724,A724))</f>
        <v/>
      </c>
    </row>
    <row r="725">
      <c r="A725" s="64" t="n"/>
      <c r="B725" s="64" t="n"/>
      <c r="C725" s="66" t="n"/>
      <c r="D725" s="66" t="n"/>
      <c r="E725" s="67" t="n"/>
      <c r="F725" s="67" t="n"/>
      <c r="G725" s="67" t="n"/>
      <c r="H725" s="67" t="n"/>
      <c r="I725" s="67" t="n"/>
      <c r="J725" s="67" t="n"/>
      <c r="K725" s="67" t="n"/>
      <c r="L725" s="67" t="n"/>
      <c r="M725" s="64" t="n"/>
      <c r="N725" s="84">
        <f>IF(A725="","",IFERROR(INDEX(Firms!$B$5:$B$1004,MATCH(A725,Firms!$A$5:$A$1004,0)),"Not on Firms tab"))</f>
        <v/>
      </c>
      <c r="O725" s="84">
        <f>IF(A725="","",IF(AND(D725&lt;&gt;"",D725&lt;TODAY()),"Expired",IF(AND(C725&lt;&gt;"",C725&gt;TODAY()),"Not yet effective",IF(C725="","No date",IF(TODAY()&gt;=EDATE(C725,Review_Months),"Review Due","Current")))))</f>
        <v/>
      </c>
      <c r="P725">
        <f>IF(A725="","",A725&amp;"|"&amp;B725)</f>
        <v/>
      </c>
      <c r="Q725">
        <f>IF(AND(A725&lt;&gt;"",A725='Firm Search'!$C$7),COUNTIF($A$5:A725,'Firm Search'!$C$7),"")</f>
        <v/>
      </c>
      <c r="R725">
        <f>IF(A725="","",COUNTIF($A$5:$A$1004,"&lt;"&amp;A725)+COUNTIF($A$5:A725,A725))</f>
        <v/>
      </c>
    </row>
    <row r="726">
      <c r="A726" s="64" t="n"/>
      <c r="B726" s="64" t="n"/>
      <c r="C726" s="66" t="n"/>
      <c r="D726" s="66" t="n"/>
      <c r="E726" s="67" t="n"/>
      <c r="F726" s="67" t="n"/>
      <c r="G726" s="67" t="n"/>
      <c r="H726" s="67" t="n"/>
      <c r="I726" s="67" t="n"/>
      <c r="J726" s="67" t="n"/>
      <c r="K726" s="67" t="n"/>
      <c r="L726" s="67" t="n"/>
      <c r="M726" s="64" t="n"/>
      <c r="N726" s="84">
        <f>IF(A726="","",IFERROR(INDEX(Firms!$B$5:$B$1004,MATCH(A726,Firms!$A$5:$A$1004,0)),"Not on Firms tab"))</f>
        <v/>
      </c>
      <c r="O726" s="84">
        <f>IF(A726="","",IF(AND(D726&lt;&gt;"",D726&lt;TODAY()),"Expired",IF(AND(C726&lt;&gt;"",C726&gt;TODAY()),"Not yet effective",IF(C726="","No date",IF(TODAY()&gt;=EDATE(C726,Review_Months),"Review Due","Current")))))</f>
        <v/>
      </c>
      <c r="P726">
        <f>IF(A726="","",A726&amp;"|"&amp;B726)</f>
        <v/>
      </c>
      <c r="Q726">
        <f>IF(AND(A726&lt;&gt;"",A726='Firm Search'!$C$7),COUNTIF($A$5:A726,'Firm Search'!$C$7),"")</f>
        <v/>
      </c>
      <c r="R726">
        <f>IF(A726="","",COUNTIF($A$5:$A$1004,"&lt;"&amp;A726)+COUNTIF($A$5:A726,A726))</f>
        <v/>
      </c>
    </row>
    <row r="727">
      <c r="A727" s="64" t="n"/>
      <c r="B727" s="64" t="n"/>
      <c r="C727" s="66" t="n"/>
      <c r="D727" s="66" t="n"/>
      <c r="E727" s="67" t="n"/>
      <c r="F727" s="67" t="n"/>
      <c r="G727" s="67" t="n"/>
      <c r="H727" s="67" t="n"/>
      <c r="I727" s="67" t="n"/>
      <c r="J727" s="67" t="n"/>
      <c r="K727" s="67" t="n"/>
      <c r="L727" s="67" t="n"/>
      <c r="M727" s="64" t="n"/>
      <c r="N727" s="84">
        <f>IF(A727="","",IFERROR(INDEX(Firms!$B$5:$B$1004,MATCH(A727,Firms!$A$5:$A$1004,0)),"Not on Firms tab"))</f>
        <v/>
      </c>
      <c r="O727" s="84">
        <f>IF(A727="","",IF(AND(D727&lt;&gt;"",D727&lt;TODAY()),"Expired",IF(AND(C727&lt;&gt;"",C727&gt;TODAY()),"Not yet effective",IF(C727="","No date",IF(TODAY()&gt;=EDATE(C727,Review_Months),"Review Due","Current")))))</f>
        <v/>
      </c>
      <c r="P727">
        <f>IF(A727="","",A727&amp;"|"&amp;B727)</f>
        <v/>
      </c>
      <c r="Q727">
        <f>IF(AND(A727&lt;&gt;"",A727='Firm Search'!$C$7),COUNTIF($A$5:A727,'Firm Search'!$C$7),"")</f>
        <v/>
      </c>
      <c r="R727">
        <f>IF(A727="","",COUNTIF($A$5:$A$1004,"&lt;"&amp;A727)+COUNTIF($A$5:A727,A727))</f>
        <v/>
      </c>
    </row>
    <row r="728">
      <c r="A728" s="64" t="n"/>
      <c r="B728" s="64" t="n"/>
      <c r="C728" s="66" t="n"/>
      <c r="D728" s="66" t="n"/>
      <c r="E728" s="67" t="n"/>
      <c r="F728" s="67" t="n"/>
      <c r="G728" s="67" t="n"/>
      <c r="H728" s="67" t="n"/>
      <c r="I728" s="67" t="n"/>
      <c r="J728" s="67" t="n"/>
      <c r="K728" s="67" t="n"/>
      <c r="L728" s="67" t="n"/>
      <c r="M728" s="64" t="n"/>
      <c r="N728" s="84">
        <f>IF(A728="","",IFERROR(INDEX(Firms!$B$5:$B$1004,MATCH(A728,Firms!$A$5:$A$1004,0)),"Not on Firms tab"))</f>
        <v/>
      </c>
      <c r="O728" s="84">
        <f>IF(A728="","",IF(AND(D728&lt;&gt;"",D728&lt;TODAY()),"Expired",IF(AND(C728&lt;&gt;"",C728&gt;TODAY()),"Not yet effective",IF(C728="","No date",IF(TODAY()&gt;=EDATE(C728,Review_Months),"Review Due","Current")))))</f>
        <v/>
      </c>
      <c r="P728">
        <f>IF(A728="","",A728&amp;"|"&amp;B728)</f>
        <v/>
      </c>
      <c r="Q728">
        <f>IF(AND(A728&lt;&gt;"",A728='Firm Search'!$C$7),COUNTIF($A$5:A728,'Firm Search'!$C$7),"")</f>
        <v/>
      </c>
      <c r="R728">
        <f>IF(A728="","",COUNTIF($A$5:$A$1004,"&lt;"&amp;A728)+COUNTIF($A$5:A728,A728))</f>
        <v/>
      </c>
    </row>
    <row r="729">
      <c r="A729" s="64" t="n"/>
      <c r="B729" s="64" t="n"/>
      <c r="C729" s="66" t="n"/>
      <c r="D729" s="66" t="n"/>
      <c r="E729" s="67" t="n"/>
      <c r="F729" s="67" t="n"/>
      <c r="G729" s="67" t="n"/>
      <c r="H729" s="67" t="n"/>
      <c r="I729" s="67" t="n"/>
      <c r="J729" s="67" t="n"/>
      <c r="K729" s="67" t="n"/>
      <c r="L729" s="67" t="n"/>
      <c r="M729" s="64" t="n"/>
      <c r="N729" s="84">
        <f>IF(A729="","",IFERROR(INDEX(Firms!$B$5:$B$1004,MATCH(A729,Firms!$A$5:$A$1004,0)),"Not on Firms tab"))</f>
        <v/>
      </c>
      <c r="O729" s="84">
        <f>IF(A729="","",IF(AND(D729&lt;&gt;"",D729&lt;TODAY()),"Expired",IF(AND(C729&lt;&gt;"",C729&gt;TODAY()),"Not yet effective",IF(C729="","No date",IF(TODAY()&gt;=EDATE(C729,Review_Months),"Review Due","Current")))))</f>
        <v/>
      </c>
      <c r="P729">
        <f>IF(A729="","",A729&amp;"|"&amp;B729)</f>
        <v/>
      </c>
      <c r="Q729">
        <f>IF(AND(A729&lt;&gt;"",A729='Firm Search'!$C$7),COUNTIF($A$5:A729,'Firm Search'!$C$7),"")</f>
        <v/>
      </c>
      <c r="R729">
        <f>IF(A729="","",COUNTIF($A$5:$A$1004,"&lt;"&amp;A729)+COUNTIF($A$5:A729,A729))</f>
        <v/>
      </c>
    </row>
    <row r="730">
      <c r="A730" s="64" t="n"/>
      <c r="B730" s="64" t="n"/>
      <c r="C730" s="66" t="n"/>
      <c r="D730" s="66" t="n"/>
      <c r="E730" s="67" t="n"/>
      <c r="F730" s="67" t="n"/>
      <c r="G730" s="67" t="n"/>
      <c r="H730" s="67" t="n"/>
      <c r="I730" s="67" t="n"/>
      <c r="J730" s="67" t="n"/>
      <c r="K730" s="67" t="n"/>
      <c r="L730" s="67" t="n"/>
      <c r="M730" s="64" t="n"/>
      <c r="N730" s="84">
        <f>IF(A730="","",IFERROR(INDEX(Firms!$B$5:$B$1004,MATCH(A730,Firms!$A$5:$A$1004,0)),"Not on Firms tab"))</f>
        <v/>
      </c>
      <c r="O730" s="84">
        <f>IF(A730="","",IF(AND(D730&lt;&gt;"",D730&lt;TODAY()),"Expired",IF(AND(C730&lt;&gt;"",C730&gt;TODAY()),"Not yet effective",IF(C730="","No date",IF(TODAY()&gt;=EDATE(C730,Review_Months),"Review Due","Current")))))</f>
        <v/>
      </c>
      <c r="P730">
        <f>IF(A730="","",A730&amp;"|"&amp;B730)</f>
        <v/>
      </c>
      <c r="Q730">
        <f>IF(AND(A730&lt;&gt;"",A730='Firm Search'!$C$7),COUNTIF($A$5:A730,'Firm Search'!$C$7),"")</f>
        <v/>
      </c>
      <c r="R730">
        <f>IF(A730="","",COUNTIF($A$5:$A$1004,"&lt;"&amp;A730)+COUNTIF($A$5:A730,A730))</f>
        <v/>
      </c>
    </row>
    <row r="731">
      <c r="A731" s="64" t="n"/>
      <c r="B731" s="64" t="n"/>
      <c r="C731" s="66" t="n"/>
      <c r="D731" s="66" t="n"/>
      <c r="E731" s="67" t="n"/>
      <c r="F731" s="67" t="n"/>
      <c r="G731" s="67" t="n"/>
      <c r="H731" s="67" t="n"/>
      <c r="I731" s="67" t="n"/>
      <c r="J731" s="67" t="n"/>
      <c r="K731" s="67" t="n"/>
      <c r="L731" s="67" t="n"/>
      <c r="M731" s="64" t="n"/>
      <c r="N731" s="84">
        <f>IF(A731="","",IFERROR(INDEX(Firms!$B$5:$B$1004,MATCH(A731,Firms!$A$5:$A$1004,0)),"Not on Firms tab"))</f>
        <v/>
      </c>
      <c r="O731" s="84">
        <f>IF(A731="","",IF(AND(D731&lt;&gt;"",D731&lt;TODAY()),"Expired",IF(AND(C731&lt;&gt;"",C731&gt;TODAY()),"Not yet effective",IF(C731="","No date",IF(TODAY()&gt;=EDATE(C731,Review_Months),"Review Due","Current")))))</f>
        <v/>
      </c>
      <c r="P731">
        <f>IF(A731="","",A731&amp;"|"&amp;B731)</f>
        <v/>
      </c>
      <c r="Q731">
        <f>IF(AND(A731&lt;&gt;"",A731='Firm Search'!$C$7),COUNTIF($A$5:A731,'Firm Search'!$C$7),"")</f>
        <v/>
      </c>
      <c r="R731">
        <f>IF(A731="","",COUNTIF($A$5:$A$1004,"&lt;"&amp;A731)+COUNTIF($A$5:A731,A731))</f>
        <v/>
      </c>
    </row>
    <row r="732">
      <c r="A732" s="64" t="n"/>
      <c r="B732" s="64" t="n"/>
      <c r="C732" s="66" t="n"/>
      <c r="D732" s="66" t="n"/>
      <c r="E732" s="67" t="n"/>
      <c r="F732" s="67" t="n"/>
      <c r="G732" s="67" t="n"/>
      <c r="H732" s="67" t="n"/>
      <c r="I732" s="67" t="n"/>
      <c r="J732" s="67" t="n"/>
      <c r="K732" s="67" t="n"/>
      <c r="L732" s="67" t="n"/>
      <c r="M732" s="64" t="n"/>
      <c r="N732" s="84">
        <f>IF(A732="","",IFERROR(INDEX(Firms!$B$5:$B$1004,MATCH(A732,Firms!$A$5:$A$1004,0)),"Not on Firms tab"))</f>
        <v/>
      </c>
      <c r="O732" s="84">
        <f>IF(A732="","",IF(AND(D732&lt;&gt;"",D732&lt;TODAY()),"Expired",IF(AND(C732&lt;&gt;"",C732&gt;TODAY()),"Not yet effective",IF(C732="","No date",IF(TODAY()&gt;=EDATE(C732,Review_Months),"Review Due","Current")))))</f>
        <v/>
      </c>
      <c r="P732">
        <f>IF(A732="","",A732&amp;"|"&amp;B732)</f>
        <v/>
      </c>
      <c r="Q732">
        <f>IF(AND(A732&lt;&gt;"",A732='Firm Search'!$C$7),COUNTIF($A$5:A732,'Firm Search'!$C$7),"")</f>
        <v/>
      </c>
      <c r="R732">
        <f>IF(A732="","",COUNTIF($A$5:$A$1004,"&lt;"&amp;A732)+COUNTIF($A$5:A732,A732))</f>
        <v/>
      </c>
    </row>
    <row r="733">
      <c r="A733" s="64" t="n"/>
      <c r="B733" s="64" t="n"/>
      <c r="C733" s="66" t="n"/>
      <c r="D733" s="66" t="n"/>
      <c r="E733" s="67" t="n"/>
      <c r="F733" s="67" t="n"/>
      <c r="G733" s="67" t="n"/>
      <c r="H733" s="67" t="n"/>
      <c r="I733" s="67" t="n"/>
      <c r="J733" s="67" t="n"/>
      <c r="K733" s="67" t="n"/>
      <c r="L733" s="67" t="n"/>
      <c r="M733" s="64" t="n"/>
      <c r="N733" s="84">
        <f>IF(A733="","",IFERROR(INDEX(Firms!$B$5:$B$1004,MATCH(A733,Firms!$A$5:$A$1004,0)),"Not on Firms tab"))</f>
        <v/>
      </c>
      <c r="O733" s="84">
        <f>IF(A733="","",IF(AND(D733&lt;&gt;"",D733&lt;TODAY()),"Expired",IF(AND(C733&lt;&gt;"",C733&gt;TODAY()),"Not yet effective",IF(C733="","No date",IF(TODAY()&gt;=EDATE(C733,Review_Months),"Review Due","Current")))))</f>
        <v/>
      </c>
      <c r="P733">
        <f>IF(A733="","",A733&amp;"|"&amp;B733)</f>
        <v/>
      </c>
      <c r="Q733">
        <f>IF(AND(A733&lt;&gt;"",A733='Firm Search'!$C$7),COUNTIF($A$5:A733,'Firm Search'!$C$7),"")</f>
        <v/>
      </c>
      <c r="R733">
        <f>IF(A733="","",COUNTIF($A$5:$A$1004,"&lt;"&amp;A733)+COUNTIF($A$5:A733,A733))</f>
        <v/>
      </c>
    </row>
    <row r="734">
      <c r="A734" s="64" t="n"/>
      <c r="B734" s="64" t="n"/>
      <c r="C734" s="66" t="n"/>
      <c r="D734" s="66" t="n"/>
      <c r="E734" s="67" t="n"/>
      <c r="F734" s="67" t="n"/>
      <c r="G734" s="67" t="n"/>
      <c r="H734" s="67" t="n"/>
      <c r="I734" s="67" t="n"/>
      <c r="J734" s="67" t="n"/>
      <c r="K734" s="67" t="n"/>
      <c r="L734" s="67" t="n"/>
      <c r="M734" s="64" t="n"/>
      <c r="N734" s="84">
        <f>IF(A734="","",IFERROR(INDEX(Firms!$B$5:$B$1004,MATCH(A734,Firms!$A$5:$A$1004,0)),"Not on Firms tab"))</f>
        <v/>
      </c>
      <c r="O734" s="84">
        <f>IF(A734="","",IF(AND(D734&lt;&gt;"",D734&lt;TODAY()),"Expired",IF(AND(C734&lt;&gt;"",C734&gt;TODAY()),"Not yet effective",IF(C734="","No date",IF(TODAY()&gt;=EDATE(C734,Review_Months),"Review Due","Current")))))</f>
        <v/>
      </c>
      <c r="P734">
        <f>IF(A734="","",A734&amp;"|"&amp;B734)</f>
        <v/>
      </c>
      <c r="Q734">
        <f>IF(AND(A734&lt;&gt;"",A734='Firm Search'!$C$7),COUNTIF($A$5:A734,'Firm Search'!$C$7),"")</f>
        <v/>
      </c>
      <c r="R734">
        <f>IF(A734="","",COUNTIF($A$5:$A$1004,"&lt;"&amp;A734)+COUNTIF($A$5:A734,A734))</f>
        <v/>
      </c>
    </row>
    <row r="735">
      <c r="A735" s="64" t="n"/>
      <c r="B735" s="64" t="n"/>
      <c r="C735" s="66" t="n"/>
      <c r="D735" s="66" t="n"/>
      <c r="E735" s="67" t="n"/>
      <c r="F735" s="67" t="n"/>
      <c r="G735" s="67" t="n"/>
      <c r="H735" s="67" t="n"/>
      <c r="I735" s="67" t="n"/>
      <c r="J735" s="67" t="n"/>
      <c r="K735" s="67" t="n"/>
      <c r="L735" s="67" t="n"/>
      <c r="M735" s="64" t="n"/>
      <c r="N735" s="84">
        <f>IF(A735="","",IFERROR(INDEX(Firms!$B$5:$B$1004,MATCH(A735,Firms!$A$5:$A$1004,0)),"Not on Firms tab"))</f>
        <v/>
      </c>
      <c r="O735" s="84">
        <f>IF(A735="","",IF(AND(D735&lt;&gt;"",D735&lt;TODAY()),"Expired",IF(AND(C735&lt;&gt;"",C735&gt;TODAY()),"Not yet effective",IF(C735="","No date",IF(TODAY()&gt;=EDATE(C735,Review_Months),"Review Due","Current")))))</f>
        <v/>
      </c>
      <c r="P735">
        <f>IF(A735="","",A735&amp;"|"&amp;B735)</f>
        <v/>
      </c>
      <c r="Q735">
        <f>IF(AND(A735&lt;&gt;"",A735='Firm Search'!$C$7),COUNTIF($A$5:A735,'Firm Search'!$C$7),"")</f>
        <v/>
      </c>
      <c r="R735">
        <f>IF(A735="","",COUNTIF($A$5:$A$1004,"&lt;"&amp;A735)+COUNTIF($A$5:A735,A735))</f>
        <v/>
      </c>
    </row>
    <row r="736">
      <c r="A736" s="64" t="n"/>
      <c r="B736" s="64" t="n"/>
      <c r="C736" s="66" t="n"/>
      <c r="D736" s="66" t="n"/>
      <c r="E736" s="67" t="n"/>
      <c r="F736" s="67" t="n"/>
      <c r="G736" s="67" t="n"/>
      <c r="H736" s="67" t="n"/>
      <c r="I736" s="67" t="n"/>
      <c r="J736" s="67" t="n"/>
      <c r="K736" s="67" t="n"/>
      <c r="L736" s="67" t="n"/>
      <c r="M736" s="64" t="n"/>
      <c r="N736" s="84">
        <f>IF(A736="","",IFERROR(INDEX(Firms!$B$5:$B$1004,MATCH(A736,Firms!$A$5:$A$1004,0)),"Not on Firms tab"))</f>
        <v/>
      </c>
      <c r="O736" s="84">
        <f>IF(A736="","",IF(AND(D736&lt;&gt;"",D736&lt;TODAY()),"Expired",IF(AND(C736&lt;&gt;"",C736&gt;TODAY()),"Not yet effective",IF(C736="","No date",IF(TODAY()&gt;=EDATE(C736,Review_Months),"Review Due","Current")))))</f>
        <v/>
      </c>
      <c r="P736">
        <f>IF(A736="","",A736&amp;"|"&amp;B736)</f>
        <v/>
      </c>
      <c r="Q736">
        <f>IF(AND(A736&lt;&gt;"",A736='Firm Search'!$C$7),COUNTIF($A$5:A736,'Firm Search'!$C$7),"")</f>
        <v/>
      </c>
      <c r="R736">
        <f>IF(A736="","",COUNTIF($A$5:$A$1004,"&lt;"&amp;A736)+COUNTIF($A$5:A736,A736))</f>
        <v/>
      </c>
    </row>
    <row r="737">
      <c r="A737" s="64" t="n"/>
      <c r="B737" s="64" t="n"/>
      <c r="C737" s="66" t="n"/>
      <c r="D737" s="66" t="n"/>
      <c r="E737" s="67" t="n"/>
      <c r="F737" s="67" t="n"/>
      <c r="G737" s="67" t="n"/>
      <c r="H737" s="67" t="n"/>
      <c r="I737" s="67" t="n"/>
      <c r="J737" s="67" t="n"/>
      <c r="K737" s="67" t="n"/>
      <c r="L737" s="67" t="n"/>
      <c r="M737" s="64" t="n"/>
      <c r="N737" s="84">
        <f>IF(A737="","",IFERROR(INDEX(Firms!$B$5:$B$1004,MATCH(A737,Firms!$A$5:$A$1004,0)),"Not on Firms tab"))</f>
        <v/>
      </c>
      <c r="O737" s="84">
        <f>IF(A737="","",IF(AND(D737&lt;&gt;"",D737&lt;TODAY()),"Expired",IF(AND(C737&lt;&gt;"",C737&gt;TODAY()),"Not yet effective",IF(C737="","No date",IF(TODAY()&gt;=EDATE(C737,Review_Months),"Review Due","Current")))))</f>
        <v/>
      </c>
      <c r="P737">
        <f>IF(A737="","",A737&amp;"|"&amp;B737)</f>
        <v/>
      </c>
      <c r="Q737">
        <f>IF(AND(A737&lt;&gt;"",A737='Firm Search'!$C$7),COUNTIF($A$5:A737,'Firm Search'!$C$7),"")</f>
        <v/>
      </c>
      <c r="R737">
        <f>IF(A737="","",COUNTIF($A$5:$A$1004,"&lt;"&amp;A737)+COUNTIF($A$5:A737,A737))</f>
        <v/>
      </c>
    </row>
    <row r="738">
      <c r="A738" s="64" t="n"/>
      <c r="B738" s="64" t="n"/>
      <c r="C738" s="66" t="n"/>
      <c r="D738" s="66" t="n"/>
      <c r="E738" s="67" t="n"/>
      <c r="F738" s="67" t="n"/>
      <c r="G738" s="67" t="n"/>
      <c r="H738" s="67" t="n"/>
      <c r="I738" s="67" t="n"/>
      <c r="J738" s="67" t="n"/>
      <c r="K738" s="67" t="n"/>
      <c r="L738" s="67" t="n"/>
      <c r="M738" s="64" t="n"/>
      <c r="N738" s="84">
        <f>IF(A738="","",IFERROR(INDEX(Firms!$B$5:$B$1004,MATCH(A738,Firms!$A$5:$A$1004,0)),"Not on Firms tab"))</f>
        <v/>
      </c>
      <c r="O738" s="84">
        <f>IF(A738="","",IF(AND(D738&lt;&gt;"",D738&lt;TODAY()),"Expired",IF(AND(C738&lt;&gt;"",C738&gt;TODAY()),"Not yet effective",IF(C738="","No date",IF(TODAY()&gt;=EDATE(C738,Review_Months),"Review Due","Current")))))</f>
        <v/>
      </c>
      <c r="P738">
        <f>IF(A738="","",A738&amp;"|"&amp;B738)</f>
        <v/>
      </c>
      <c r="Q738">
        <f>IF(AND(A738&lt;&gt;"",A738='Firm Search'!$C$7),COUNTIF($A$5:A738,'Firm Search'!$C$7),"")</f>
        <v/>
      </c>
      <c r="R738">
        <f>IF(A738="","",COUNTIF($A$5:$A$1004,"&lt;"&amp;A738)+COUNTIF($A$5:A738,A738))</f>
        <v/>
      </c>
    </row>
    <row r="739">
      <c r="A739" s="64" t="n"/>
      <c r="B739" s="64" t="n"/>
      <c r="C739" s="66" t="n"/>
      <c r="D739" s="66" t="n"/>
      <c r="E739" s="67" t="n"/>
      <c r="F739" s="67" t="n"/>
      <c r="G739" s="67" t="n"/>
      <c r="H739" s="67" t="n"/>
      <c r="I739" s="67" t="n"/>
      <c r="J739" s="67" t="n"/>
      <c r="K739" s="67" t="n"/>
      <c r="L739" s="67" t="n"/>
      <c r="M739" s="64" t="n"/>
      <c r="N739" s="84">
        <f>IF(A739="","",IFERROR(INDEX(Firms!$B$5:$B$1004,MATCH(A739,Firms!$A$5:$A$1004,0)),"Not on Firms tab"))</f>
        <v/>
      </c>
      <c r="O739" s="84">
        <f>IF(A739="","",IF(AND(D739&lt;&gt;"",D739&lt;TODAY()),"Expired",IF(AND(C739&lt;&gt;"",C739&gt;TODAY()),"Not yet effective",IF(C739="","No date",IF(TODAY()&gt;=EDATE(C739,Review_Months),"Review Due","Current")))))</f>
        <v/>
      </c>
      <c r="P739">
        <f>IF(A739="","",A739&amp;"|"&amp;B739)</f>
        <v/>
      </c>
      <c r="Q739">
        <f>IF(AND(A739&lt;&gt;"",A739='Firm Search'!$C$7),COUNTIF($A$5:A739,'Firm Search'!$C$7),"")</f>
        <v/>
      </c>
      <c r="R739">
        <f>IF(A739="","",COUNTIF($A$5:$A$1004,"&lt;"&amp;A739)+COUNTIF($A$5:A739,A739))</f>
        <v/>
      </c>
    </row>
    <row r="740">
      <c r="A740" s="64" t="n"/>
      <c r="B740" s="64" t="n"/>
      <c r="C740" s="66" t="n"/>
      <c r="D740" s="66" t="n"/>
      <c r="E740" s="67" t="n"/>
      <c r="F740" s="67" t="n"/>
      <c r="G740" s="67" t="n"/>
      <c r="H740" s="67" t="n"/>
      <c r="I740" s="67" t="n"/>
      <c r="J740" s="67" t="n"/>
      <c r="K740" s="67" t="n"/>
      <c r="L740" s="67" t="n"/>
      <c r="M740" s="64" t="n"/>
      <c r="N740" s="84">
        <f>IF(A740="","",IFERROR(INDEX(Firms!$B$5:$B$1004,MATCH(A740,Firms!$A$5:$A$1004,0)),"Not on Firms tab"))</f>
        <v/>
      </c>
      <c r="O740" s="84">
        <f>IF(A740="","",IF(AND(D740&lt;&gt;"",D740&lt;TODAY()),"Expired",IF(AND(C740&lt;&gt;"",C740&gt;TODAY()),"Not yet effective",IF(C740="","No date",IF(TODAY()&gt;=EDATE(C740,Review_Months),"Review Due","Current")))))</f>
        <v/>
      </c>
      <c r="P740">
        <f>IF(A740="","",A740&amp;"|"&amp;B740)</f>
        <v/>
      </c>
      <c r="Q740">
        <f>IF(AND(A740&lt;&gt;"",A740='Firm Search'!$C$7),COUNTIF($A$5:A740,'Firm Search'!$C$7),"")</f>
        <v/>
      </c>
      <c r="R740">
        <f>IF(A740="","",COUNTIF($A$5:$A$1004,"&lt;"&amp;A740)+COUNTIF($A$5:A740,A740))</f>
        <v/>
      </c>
    </row>
    <row r="741">
      <c r="A741" s="64" t="n"/>
      <c r="B741" s="64" t="n"/>
      <c r="C741" s="66" t="n"/>
      <c r="D741" s="66" t="n"/>
      <c r="E741" s="67" t="n"/>
      <c r="F741" s="67" t="n"/>
      <c r="G741" s="67" t="n"/>
      <c r="H741" s="67" t="n"/>
      <c r="I741" s="67" t="n"/>
      <c r="J741" s="67" t="n"/>
      <c r="K741" s="67" t="n"/>
      <c r="L741" s="67" t="n"/>
      <c r="M741" s="64" t="n"/>
      <c r="N741" s="84">
        <f>IF(A741="","",IFERROR(INDEX(Firms!$B$5:$B$1004,MATCH(A741,Firms!$A$5:$A$1004,0)),"Not on Firms tab"))</f>
        <v/>
      </c>
      <c r="O741" s="84">
        <f>IF(A741="","",IF(AND(D741&lt;&gt;"",D741&lt;TODAY()),"Expired",IF(AND(C741&lt;&gt;"",C741&gt;TODAY()),"Not yet effective",IF(C741="","No date",IF(TODAY()&gt;=EDATE(C741,Review_Months),"Review Due","Current")))))</f>
        <v/>
      </c>
      <c r="P741">
        <f>IF(A741="","",A741&amp;"|"&amp;B741)</f>
        <v/>
      </c>
      <c r="Q741">
        <f>IF(AND(A741&lt;&gt;"",A741='Firm Search'!$C$7),COUNTIF($A$5:A741,'Firm Search'!$C$7),"")</f>
        <v/>
      </c>
      <c r="R741">
        <f>IF(A741="","",COUNTIF($A$5:$A$1004,"&lt;"&amp;A741)+COUNTIF($A$5:A741,A741))</f>
        <v/>
      </c>
    </row>
    <row r="742">
      <c r="A742" s="64" t="n"/>
      <c r="B742" s="64" t="n"/>
      <c r="C742" s="66" t="n"/>
      <c r="D742" s="66" t="n"/>
      <c r="E742" s="67" t="n"/>
      <c r="F742" s="67" t="n"/>
      <c r="G742" s="67" t="n"/>
      <c r="H742" s="67" t="n"/>
      <c r="I742" s="67" t="n"/>
      <c r="J742" s="67" t="n"/>
      <c r="K742" s="67" t="n"/>
      <c r="L742" s="67" t="n"/>
      <c r="M742" s="64" t="n"/>
      <c r="N742" s="84">
        <f>IF(A742="","",IFERROR(INDEX(Firms!$B$5:$B$1004,MATCH(A742,Firms!$A$5:$A$1004,0)),"Not on Firms tab"))</f>
        <v/>
      </c>
      <c r="O742" s="84">
        <f>IF(A742="","",IF(AND(D742&lt;&gt;"",D742&lt;TODAY()),"Expired",IF(AND(C742&lt;&gt;"",C742&gt;TODAY()),"Not yet effective",IF(C742="","No date",IF(TODAY()&gt;=EDATE(C742,Review_Months),"Review Due","Current")))))</f>
        <v/>
      </c>
      <c r="P742">
        <f>IF(A742="","",A742&amp;"|"&amp;B742)</f>
        <v/>
      </c>
      <c r="Q742">
        <f>IF(AND(A742&lt;&gt;"",A742='Firm Search'!$C$7),COUNTIF($A$5:A742,'Firm Search'!$C$7),"")</f>
        <v/>
      </c>
      <c r="R742">
        <f>IF(A742="","",COUNTIF($A$5:$A$1004,"&lt;"&amp;A742)+COUNTIF($A$5:A742,A742))</f>
        <v/>
      </c>
    </row>
    <row r="743">
      <c r="A743" s="64" t="n"/>
      <c r="B743" s="64" t="n"/>
      <c r="C743" s="66" t="n"/>
      <c r="D743" s="66" t="n"/>
      <c r="E743" s="67" t="n"/>
      <c r="F743" s="67" t="n"/>
      <c r="G743" s="67" t="n"/>
      <c r="H743" s="67" t="n"/>
      <c r="I743" s="67" t="n"/>
      <c r="J743" s="67" t="n"/>
      <c r="K743" s="67" t="n"/>
      <c r="L743" s="67" t="n"/>
      <c r="M743" s="64" t="n"/>
      <c r="N743" s="84">
        <f>IF(A743="","",IFERROR(INDEX(Firms!$B$5:$B$1004,MATCH(A743,Firms!$A$5:$A$1004,0)),"Not on Firms tab"))</f>
        <v/>
      </c>
      <c r="O743" s="84">
        <f>IF(A743="","",IF(AND(D743&lt;&gt;"",D743&lt;TODAY()),"Expired",IF(AND(C743&lt;&gt;"",C743&gt;TODAY()),"Not yet effective",IF(C743="","No date",IF(TODAY()&gt;=EDATE(C743,Review_Months),"Review Due","Current")))))</f>
        <v/>
      </c>
      <c r="P743">
        <f>IF(A743="","",A743&amp;"|"&amp;B743)</f>
        <v/>
      </c>
      <c r="Q743">
        <f>IF(AND(A743&lt;&gt;"",A743='Firm Search'!$C$7),COUNTIF($A$5:A743,'Firm Search'!$C$7),"")</f>
        <v/>
      </c>
      <c r="R743">
        <f>IF(A743="","",COUNTIF($A$5:$A$1004,"&lt;"&amp;A743)+COUNTIF($A$5:A743,A743))</f>
        <v/>
      </c>
    </row>
    <row r="744">
      <c r="A744" s="64" t="n"/>
      <c r="B744" s="64" t="n"/>
      <c r="C744" s="66" t="n"/>
      <c r="D744" s="66" t="n"/>
      <c r="E744" s="67" t="n"/>
      <c r="F744" s="67" t="n"/>
      <c r="G744" s="67" t="n"/>
      <c r="H744" s="67" t="n"/>
      <c r="I744" s="67" t="n"/>
      <c r="J744" s="67" t="n"/>
      <c r="K744" s="67" t="n"/>
      <c r="L744" s="67" t="n"/>
      <c r="M744" s="64" t="n"/>
      <c r="N744" s="84">
        <f>IF(A744="","",IFERROR(INDEX(Firms!$B$5:$B$1004,MATCH(A744,Firms!$A$5:$A$1004,0)),"Not on Firms tab"))</f>
        <v/>
      </c>
      <c r="O744" s="84">
        <f>IF(A744="","",IF(AND(D744&lt;&gt;"",D744&lt;TODAY()),"Expired",IF(AND(C744&lt;&gt;"",C744&gt;TODAY()),"Not yet effective",IF(C744="","No date",IF(TODAY()&gt;=EDATE(C744,Review_Months),"Review Due","Current")))))</f>
        <v/>
      </c>
      <c r="P744">
        <f>IF(A744="","",A744&amp;"|"&amp;B744)</f>
        <v/>
      </c>
      <c r="Q744">
        <f>IF(AND(A744&lt;&gt;"",A744='Firm Search'!$C$7),COUNTIF($A$5:A744,'Firm Search'!$C$7),"")</f>
        <v/>
      </c>
      <c r="R744">
        <f>IF(A744="","",COUNTIF($A$5:$A$1004,"&lt;"&amp;A744)+COUNTIF($A$5:A744,A744))</f>
        <v/>
      </c>
    </row>
    <row r="745">
      <c r="A745" s="64" t="n"/>
      <c r="B745" s="64" t="n"/>
      <c r="C745" s="66" t="n"/>
      <c r="D745" s="66" t="n"/>
      <c r="E745" s="67" t="n"/>
      <c r="F745" s="67" t="n"/>
      <c r="G745" s="67" t="n"/>
      <c r="H745" s="67" t="n"/>
      <c r="I745" s="67" t="n"/>
      <c r="J745" s="67" t="n"/>
      <c r="K745" s="67" t="n"/>
      <c r="L745" s="67" t="n"/>
      <c r="M745" s="64" t="n"/>
      <c r="N745" s="84">
        <f>IF(A745="","",IFERROR(INDEX(Firms!$B$5:$B$1004,MATCH(A745,Firms!$A$5:$A$1004,0)),"Not on Firms tab"))</f>
        <v/>
      </c>
      <c r="O745" s="84">
        <f>IF(A745="","",IF(AND(D745&lt;&gt;"",D745&lt;TODAY()),"Expired",IF(AND(C745&lt;&gt;"",C745&gt;TODAY()),"Not yet effective",IF(C745="","No date",IF(TODAY()&gt;=EDATE(C745,Review_Months),"Review Due","Current")))))</f>
        <v/>
      </c>
      <c r="P745">
        <f>IF(A745="","",A745&amp;"|"&amp;B745)</f>
        <v/>
      </c>
      <c r="Q745">
        <f>IF(AND(A745&lt;&gt;"",A745='Firm Search'!$C$7),COUNTIF($A$5:A745,'Firm Search'!$C$7),"")</f>
        <v/>
      </c>
      <c r="R745">
        <f>IF(A745="","",COUNTIF($A$5:$A$1004,"&lt;"&amp;A745)+COUNTIF($A$5:A745,A745))</f>
        <v/>
      </c>
    </row>
    <row r="746">
      <c r="A746" s="64" t="n"/>
      <c r="B746" s="64" t="n"/>
      <c r="C746" s="66" t="n"/>
      <c r="D746" s="66" t="n"/>
      <c r="E746" s="67" t="n"/>
      <c r="F746" s="67" t="n"/>
      <c r="G746" s="67" t="n"/>
      <c r="H746" s="67" t="n"/>
      <c r="I746" s="67" t="n"/>
      <c r="J746" s="67" t="n"/>
      <c r="K746" s="67" t="n"/>
      <c r="L746" s="67" t="n"/>
      <c r="M746" s="64" t="n"/>
      <c r="N746" s="84">
        <f>IF(A746="","",IFERROR(INDEX(Firms!$B$5:$B$1004,MATCH(A746,Firms!$A$5:$A$1004,0)),"Not on Firms tab"))</f>
        <v/>
      </c>
      <c r="O746" s="84">
        <f>IF(A746="","",IF(AND(D746&lt;&gt;"",D746&lt;TODAY()),"Expired",IF(AND(C746&lt;&gt;"",C746&gt;TODAY()),"Not yet effective",IF(C746="","No date",IF(TODAY()&gt;=EDATE(C746,Review_Months),"Review Due","Current")))))</f>
        <v/>
      </c>
      <c r="P746">
        <f>IF(A746="","",A746&amp;"|"&amp;B746)</f>
        <v/>
      </c>
      <c r="Q746">
        <f>IF(AND(A746&lt;&gt;"",A746='Firm Search'!$C$7),COUNTIF($A$5:A746,'Firm Search'!$C$7),"")</f>
        <v/>
      </c>
      <c r="R746">
        <f>IF(A746="","",COUNTIF($A$5:$A$1004,"&lt;"&amp;A746)+COUNTIF($A$5:A746,A746))</f>
        <v/>
      </c>
    </row>
    <row r="747">
      <c r="A747" s="64" t="n"/>
      <c r="B747" s="64" t="n"/>
      <c r="C747" s="66" t="n"/>
      <c r="D747" s="66" t="n"/>
      <c r="E747" s="67" t="n"/>
      <c r="F747" s="67" t="n"/>
      <c r="G747" s="67" t="n"/>
      <c r="H747" s="67" t="n"/>
      <c r="I747" s="67" t="n"/>
      <c r="J747" s="67" t="n"/>
      <c r="K747" s="67" t="n"/>
      <c r="L747" s="67" t="n"/>
      <c r="M747" s="64" t="n"/>
      <c r="N747" s="84">
        <f>IF(A747="","",IFERROR(INDEX(Firms!$B$5:$B$1004,MATCH(A747,Firms!$A$5:$A$1004,0)),"Not on Firms tab"))</f>
        <v/>
      </c>
      <c r="O747" s="84">
        <f>IF(A747="","",IF(AND(D747&lt;&gt;"",D747&lt;TODAY()),"Expired",IF(AND(C747&lt;&gt;"",C747&gt;TODAY()),"Not yet effective",IF(C747="","No date",IF(TODAY()&gt;=EDATE(C747,Review_Months),"Review Due","Current")))))</f>
        <v/>
      </c>
      <c r="P747">
        <f>IF(A747="","",A747&amp;"|"&amp;B747)</f>
        <v/>
      </c>
      <c r="Q747">
        <f>IF(AND(A747&lt;&gt;"",A747='Firm Search'!$C$7),COUNTIF($A$5:A747,'Firm Search'!$C$7),"")</f>
        <v/>
      </c>
      <c r="R747">
        <f>IF(A747="","",COUNTIF($A$5:$A$1004,"&lt;"&amp;A747)+COUNTIF($A$5:A747,A747))</f>
        <v/>
      </c>
    </row>
    <row r="748">
      <c r="A748" s="64" t="n"/>
      <c r="B748" s="64" t="n"/>
      <c r="C748" s="66" t="n"/>
      <c r="D748" s="66" t="n"/>
      <c r="E748" s="67" t="n"/>
      <c r="F748" s="67" t="n"/>
      <c r="G748" s="67" t="n"/>
      <c r="H748" s="67" t="n"/>
      <c r="I748" s="67" t="n"/>
      <c r="J748" s="67" t="n"/>
      <c r="K748" s="67" t="n"/>
      <c r="L748" s="67" t="n"/>
      <c r="M748" s="64" t="n"/>
      <c r="N748" s="84">
        <f>IF(A748="","",IFERROR(INDEX(Firms!$B$5:$B$1004,MATCH(A748,Firms!$A$5:$A$1004,0)),"Not on Firms tab"))</f>
        <v/>
      </c>
      <c r="O748" s="84">
        <f>IF(A748="","",IF(AND(D748&lt;&gt;"",D748&lt;TODAY()),"Expired",IF(AND(C748&lt;&gt;"",C748&gt;TODAY()),"Not yet effective",IF(C748="","No date",IF(TODAY()&gt;=EDATE(C748,Review_Months),"Review Due","Current")))))</f>
        <v/>
      </c>
      <c r="P748">
        <f>IF(A748="","",A748&amp;"|"&amp;B748)</f>
        <v/>
      </c>
      <c r="Q748">
        <f>IF(AND(A748&lt;&gt;"",A748='Firm Search'!$C$7),COUNTIF($A$5:A748,'Firm Search'!$C$7),"")</f>
        <v/>
      </c>
      <c r="R748">
        <f>IF(A748="","",COUNTIF($A$5:$A$1004,"&lt;"&amp;A748)+COUNTIF($A$5:A748,A748))</f>
        <v/>
      </c>
    </row>
    <row r="749">
      <c r="A749" s="64" t="n"/>
      <c r="B749" s="64" t="n"/>
      <c r="C749" s="66" t="n"/>
      <c r="D749" s="66" t="n"/>
      <c r="E749" s="67" t="n"/>
      <c r="F749" s="67" t="n"/>
      <c r="G749" s="67" t="n"/>
      <c r="H749" s="67" t="n"/>
      <c r="I749" s="67" t="n"/>
      <c r="J749" s="67" t="n"/>
      <c r="K749" s="67" t="n"/>
      <c r="L749" s="67" t="n"/>
      <c r="M749" s="64" t="n"/>
      <c r="N749" s="84">
        <f>IF(A749="","",IFERROR(INDEX(Firms!$B$5:$B$1004,MATCH(A749,Firms!$A$5:$A$1004,0)),"Not on Firms tab"))</f>
        <v/>
      </c>
      <c r="O749" s="84">
        <f>IF(A749="","",IF(AND(D749&lt;&gt;"",D749&lt;TODAY()),"Expired",IF(AND(C749&lt;&gt;"",C749&gt;TODAY()),"Not yet effective",IF(C749="","No date",IF(TODAY()&gt;=EDATE(C749,Review_Months),"Review Due","Current")))))</f>
        <v/>
      </c>
      <c r="P749">
        <f>IF(A749="","",A749&amp;"|"&amp;B749)</f>
        <v/>
      </c>
      <c r="Q749">
        <f>IF(AND(A749&lt;&gt;"",A749='Firm Search'!$C$7),COUNTIF($A$5:A749,'Firm Search'!$C$7),"")</f>
        <v/>
      </c>
      <c r="R749">
        <f>IF(A749="","",COUNTIF($A$5:$A$1004,"&lt;"&amp;A749)+COUNTIF($A$5:A749,A749))</f>
        <v/>
      </c>
    </row>
    <row r="750">
      <c r="A750" s="64" t="n"/>
      <c r="B750" s="64" t="n"/>
      <c r="C750" s="66" t="n"/>
      <c r="D750" s="66" t="n"/>
      <c r="E750" s="67" t="n"/>
      <c r="F750" s="67" t="n"/>
      <c r="G750" s="67" t="n"/>
      <c r="H750" s="67" t="n"/>
      <c r="I750" s="67" t="n"/>
      <c r="J750" s="67" t="n"/>
      <c r="K750" s="67" t="n"/>
      <c r="L750" s="67" t="n"/>
      <c r="M750" s="64" t="n"/>
      <c r="N750" s="84">
        <f>IF(A750="","",IFERROR(INDEX(Firms!$B$5:$B$1004,MATCH(A750,Firms!$A$5:$A$1004,0)),"Not on Firms tab"))</f>
        <v/>
      </c>
      <c r="O750" s="84">
        <f>IF(A750="","",IF(AND(D750&lt;&gt;"",D750&lt;TODAY()),"Expired",IF(AND(C750&lt;&gt;"",C750&gt;TODAY()),"Not yet effective",IF(C750="","No date",IF(TODAY()&gt;=EDATE(C750,Review_Months),"Review Due","Current")))))</f>
        <v/>
      </c>
      <c r="P750">
        <f>IF(A750="","",A750&amp;"|"&amp;B750)</f>
        <v/>
      </c>
      <c r="Q750">
        <f>IF(AND(A750&lt;&gt;"",A750='Firm Search'!$C$7),COUNTIF($A$5:A750,'Firm Search'!$C$7),"")</f>
        <v/>
      </c>
      <c r="R750">
        <f>IF(A750="","",COUNTIF($A$5:$A$1004,"&lt;"&amp;A750)+COUNTIF($A$5:A750,A750))</f>
        <v/>
      </c>
    </row>
    <row r="751">
      <c r="A751" s="64" t="n"/>
      <c r="B751" s="64" t="n"/>
      <c r="C751" s="66" t="n"/>
      <c r="D751" s="66" t="n"/>
      <c r="E751" s="67" t="n"/>
      <c r="F751" s="67" t="n"/>
      <c r="G751" s="67" t="n"/>
      <c r="H751" s="67" t="n"/>
      <c r="I751" s="67" t="n"/>
      <c r="J751" s="67" t="n"/>
      <c r="K751" s="67" t="n"/>
      <c r="L751" s="67" t="n"/>
      <c r="M751" s="64" t="n"/>
      <c r="N751" s="84">
        <f>IF(A751="","",IFERROR(INDEX(Firms!$B$5:$B$1004,MATCH(A751,Firms!$A$5:$A$1004,0)),"Not on Firms tab"))</f>
        <v/>
      </c>
      <c r="O751" s="84">
        <f>IF(A751="","",IF(AND(D751&lt;&gt;"",D751&lt;TODAY()),"Expired",IF(AND(C751&lt;&gt;"",C751&gt;TODAY()),"Not yet effective",IF(C751="","No date",IF(TODAY()&gt;=EDATE(C751,Review_Months),"Review Due","Current")))))</f>
        <v/>
      </c>
      <c r="P751">
        <f>IF(A751="","",A751&amp;"|"&amp;B751)</f>
        <v/>
      </c>
      <c r="Q751">
        <f>IF(AND(A751&lt;&gt;"",A751='Firm Search'!$C$7),COUNTIF($A$5:A751,'Firm Search'!$C$7),"")</f>
        <v/>
      </c>
      <c r="R751">
        <f>IF(A751="","",COUNTIF($A$5:$A$1004,"&lt;"&amp;A751)+COUNTIF($A$5:A751,A751))</f>
        <v/>
      </c>
    </row>
    <row r="752">
      <c r="A752" s="64" t="n"/>
      <c r="B752" s="64" t="n"/>
      <c r="C752" s="66" t="n"/>
      <c r="D752" s="66" t="n"/>
      <c r="E752" s="67" t="n"/>
      <c r="F752" s="67" t="n"/>
      <c r="G752" s="67" t="n"/>
      <c r="H752" s="67" t="n"/>
      <c r="I752" s="67" t="n"/>
      <c r="J752" s="67" t="n"/>
      <c r="K752" s="67" t="n"/>
      <c r="L752" s="67" t="n"/>
      <c r="M752" s="64" t="n"/>
      <c r="N752" s="84">
        <f>IF(A752="","",IFERROR(INDEX(Firms!$B$5:$B$1004,MATCH(A752,Firms!$A$5:$A$1004,0)),"Not on Firms tab"))</f>
        <v/>
      </c>
      <c r="O752" s="84">
        <f>IF(A752="","",IF(AND(D752&lt;&gt;"",D752&lt;TODAY()),"Expired",IF(AND(C752&lt;&gt;"",C752&gt;TODAY()),"Not yet effective",IF(C752="","No date",IF(TODAY()&gt;=EDATE(C752,Review_Months),"Review Due","Current")))))</f>
        <v/>
      </c>
      <c r="P752">
        <f>IF(A752="","",A752&amp;"|"&amp;B752)</f>
        <v/>
      </c>
      <c r="Q752">
        <f>IF(AND(A752&lt;&gt;"",A752='Firm Search'!$C$7),COUNTIF($A$5:A752,'Firm Search'!$C$7),"")</f>
        <v/>
      </c>
      <c r="R752">
        <f>IF(A752="","",COUNTIF($A$5:$A$1004,"&lt;"&amp;A752)+COUNTIF($A$5:A752,A752))</f>
        <v/>
      </c>
    </row>
    <row r="753">
      <c r="A753" s="64" t="n"/>
      <c r="B753" s="64" t="n"/>
      <c r="C753" s="66" t="n"/>
      <c r="D753" s="66" t="n"/>
      <c r="E753" s="67" t="n"/>
      <c r="F753" s="67" t="n"/>
      <c r="G753" s="67" t="n"/>
      <c r="H753" s="67" t="n"/>
      <c r="I753" s="67" t="n"/>
      <c r="J753" s="67" t="n"/>
      <c r="K753" s="67" t="n"/>
      <c r="L753" s="67" t="n"/>
      <c r="M753" s="64" t="n"/>
      <c r="N753" s="84">
        <f>IF(A753="","",IFERROR(INDEX(Firms!$B$5:$B$1004,MATCH(A753,Firms!$A$5:$A$1004,0)),"Not on Firms tab"))</f>
        <v/>
      </c>
      <c r="O753" s="84">
        <f>IF(A753="","",IF(AND(D753&lt;&gt;"",D753&lt;TODAY()),"Expired",IF(AND(C753&lt;&gt;"",C753&gt;TODAY()),"Not yet effective",IF(C753="","No date",IF(TODAY()&gt;=EDATE(C753,Review_Months),"Review Due","Current")))))</f>
        <v/>
      </c>
      <c r="P753">
        <f>IF(A753="","",A753&amp;"|"&amp;B753)</f>
        <v/>
      </c>
      <c r="Q753">
        <f>IF(AND(A753&lt;&gt;"",A753='Firm Search'!$C$7),COUNTIF($A$5:A753,'Firm Search'!$C$7),"")</f>
        <v/>
      </c>
      <c r="R753">
        <f>IF(A753="","",COUNTIF($A$5:$A$1004,"&lt;"&amp;A753)+COUNTIF($A$5:A753,A753))</f>
        <v/>
      </c>
    </row>
    <row r="754">
      <c r="A754" s="64" t="n"/>
      <c r="B754" s="64" t="n"/>
      <c r="C754" s="66" t="n"/>
      <c r="D754" s="66" t="n"/>
      <c r="E754" s="67" t="n"/>
      <c r="F754" s="67" t="n"/>
      <c r="G754" s="67" t="n"/>
      <c r="H754" s="67" t="n"/>
      <c r="I754" s="67" t="n"/>
      <c r="J754" s="67" t="n"/>
      <c r="K754" s="67" t="n"/>
      <c r="L754" s="67" t="n"/>
      <c r="M754" s="64" t="n"/>
      <c r="N754" s="84">
        <f>IF(A754="","",IFERROR(INDEX(Firms!$B$5:$B$1004,MATCH(A754,Firms!$A$5:$A$1004,0)),"Not on Firms tab"))</f>
        <v/>
      </c>
      <c r="O754" s="84">
        <f>IF(A754="","",IF(AND(D754&lt;&gt;"",D754&lt;TODAY()),"Expired",IF(AND(C754&lt;&gt;"",C754&gt;TODAY()),"Not yet effective",IF(C754="","No date",IF(TODAY()&gt;=EDATE(C754,Review_Months),"Review Due","Current")))))</f>
        <v/>
      </c>
      <c r="P754">
        <f>IF(A754="","",A754&amp;"|"&amp;B754)</f>
        <v/>
      </c>
      <c r="Q754">
        <f>IF(AND(A754&lt;&gt;"",A754='Firm Search'!$C$7),COUNTIF($A$5:A754,'Firm Search'!$C$7),"")</f>
        <v/>
      </c>
      <c r="R754">
        <f>IF(A754="","",COUNTIF($A$5:$A$1004,"&lt;"&amp;A754)+COUNTIF($A$5:A754,A754))</f>
        <v/>
      </c>
    </row>
    <row r="755">
      <c r="A755" s="64" t="n"/>
      <c r="B755" s="64" t="n"/>
      <c r="C755" s="66" t="n"/>
      <c r="D755" s="66" t="n"/>
      <c r="E755" s="67" t="n"/>
      <c r="F755" s="67" t="n"/>
      <c r="G755" s="67" t="n"/>
      <c r="H755" s="67" t="n"/>
      <c r="I755" s="67" t="n"/>
      <c r="J755" s="67" t="n"/>
      <c r="K755" s="67" t="n"/>
      <c r="L755" s="67" t="n"/>
      <c r="M755" s="64" t="n"/>
      <c r="N755" s="84">
        <f>IF(A755="","",IFERROR(INDEX(Firms!$B$5:$B$1004,MATCH(A755,Firms!$A$5:$A$1004,0)),"Not on Firms tab"))</f>
        <v/>
      </c>
      <c r="O755" s="84">
        <f>IF(A755="","",IF(AND(D755&lt;&gt;"",D755&lt;TODAY()),"Expired",IF(AND(C755&lt;&gt;"",C755&gt;TODAY()),"Not yet effective",IF(C755="","No date",IF(TODAY()&gt;=EDATE(C755,Review_Months),"Review Due","Current")))))</f>
        <v/>
      </c>
      <c r="P755">
        <f>IF(A755="","",A755&amp;"|"&amp;B755)</f>
        <v/>
      </c>
      <c r="Q755">
        <f>IF(AND(A755&lt;&gt;"",A755='Firm Search'!$C$7),COUNTIF($A$5:A755,'Firm Search'!$C$7),"")</f>
        <v/>
      </c>
      <c r="R755">
        <f>IF(A755="","",COUNTIF($A$5:$A$1004,"&lt;"&amp;A755)+COUNTIF($A$5:A755,A755))</f>
        <v/>
      </c>
    </row>
    <row r="756">
      <c r="A756" s="64" t="n"/>
      <c r="B756" s="64" t="n"/>
      <c r="C756" s="66" t="n"/>
      <c r="D756" s="66" t="n"/>
      <c r="E756" s="67" t="n"/>
      <c r="F756" s="67" t="n"/>
      <c r="G756" s="67" t="n"/>
      <c r="H756" s="67" t="n"/>
      <c r="I756" s="67" t="n"/>
      <c r="J756" s="67" t="n"/>
      <c r="K756" s="67" t="n"/>
      <c r="L756" s="67" t="n"/>
      <c r="M756" s="64" t="n"/>
      <c r="N756" s="84">
        <f>IF(A756="","",IFERROR(INDEX(Firms!$B$5:$B$1004,MATCH(A756,Firms!$A$5:$A$1004,0)),"Not on Firms tab"))</f>
        <v/>
      </c>
      <c r="O756" s="84">
        <f>IF(A756="","",IF(AND(D756&lt;&gt;"",D756&lt;TODAY()),"Expired",IF(AND(C756&lt;&gt;"",C756&gt;TODAY()),"Not yet effective",IF(C756="","No date",IF(TODAY()&gt;=EDATE(C756,Review_Months),"Review Due","Current")))))</f>
        <v/>
      </c>
      <c r="P756">
        <f>IF(A756="","",A756&amp;"|"&amp;B756)</f>
        <v/>
      </c>
      <c r="Q756">
        <f>IF(AND(A756&lt;&gt;"",A756='Firm Search'!$C$7),COUNTIF($A$5:A756,'Firm Search'!$C$7),"")</f>
        <v/>
      </c>
      <c r="R756">
        <f>IF(A756="","",COUNTIF($A$5:$A$1004,"&lt;"&amp;A756)+COUNTIF($A$5:A756,A756))</f>
        <v/>
      </c>
    </row>
    <row r="757">
      <c r="A757" s="64" t="n"/>
      <c r="B757" s="64" t="n"/>
      <c r="C757" s="66" t="n"/>
      <c r="D757" s="66" t="n"/>
      <c r="E757" s="67" t="n"/>
      <c r="F757" s="67" t="n"/>
      <c r="G757" s="67" t="n"/>
      <c r="H757" s="67" t="n"/>
      <c r="I757" s="67" t="n"/>
      <c r="J757" s="67" t="n"/>
      <c r="K757" s="67" t="n"/>
      <c r="L757" s="67" t="n"/>
      <c r="M757" s="64" t="n"/>
      <c r="N757" s="84">
        <f>IF(A757="","",IFERROR(INDEX(Firms!$B$5:$B$1004,MATCH(A757,Firms!$A$5:$A$1004,0)),"Not on Firms tab"))</f>
        <v/>
      </c>
      <c r="O757" s="84">
        <f>IF(A757="","",IF(AND(D757&lt;&gt;"",D757&lt;TODAY()),"Expired",IF(AND(C757&lt;&gt;"",C757&gt;TODAY()),"Not yet effective",IF(C757="","No date",IF(TODAY()&gt;=EDATE(C757,Review_Months),"Review Due","Current")))))</f>
        <v/>
      </c>
      <c r="P757">
        <f>IF(A757="","",A757&amp;"|"&amp;B757)</f>
        <v/>
      </c>
      <c r="Q757">
        <f>IF(AND(A757&lt;&gt;"",A757='Firm Search'!$C$7),COUNTIF($A$5:A757,'Firm Search'!$C$7),"")</f>
        <v/>
      </c>
      <c r="R757">
        <f>IF(A757="","",COUNTIF($A$5:$A$1004,"&lt;"&amp;A757)+COUNTIF($A$5:A757,A757))</f>
        <v/>
      </c>
    </row>
    <row r="758">
      <c r="A758" s="64" t="n"/>
      <c r="B758" s="64" t="n"/>
      <c r="C758" s="66" t="n"/>
      <c r="D758" s="66" t="n"/>
      <c r="E758" s="67" t="n"/>
      <c r="F758" s="67" t="n"/>
      <c r="G758" s="67" t="n"/>
      <c r="H758" s="67" t="n"/>
      <c r="I758" s="67" t="n"/>
      <c r="J758" s="67" t="n"/>
      <c r="K758" s="67" t="n"/>
      <c r="L758" s="67" t="n"/>
      <c r="M758" s="64" t="n"/>
      <c r="N758" s="84">
        <f>IF(A758="","",IFERROR(INDEX(Firms!$B$5:$B$1004,MATCH(A758,Firms!$A$5:$A$1004,0)),"Not on Firms tab"))</f>
        <v/>
      </c>
      <c r="O758" s="84">
        <f>IF(A758="","",IF(AND(D758&lt;&gt;"",D758&lt;TODAY()),"Expired",IF(AND(C758&lt;&gt;"",C758&gt;TODAY()),"Not yet effective",IF(C758="","No date",IF(TODAY()&gt;=EDATE(C758,Review_Months),"Review Due","Current")))))</f>
        <v/>
      </c>
      <c r="P758">
        <f>IF(A758="","",A758&amp;"|"&amp;B758)</f>
        <v/>
      </c>
      <c r="Q758">
        <f>IF(AND(A758&lt;&gt;"",A758='Firm Search'!$C$7),COUNTIF($A$5:A758,'Firm Search'!$C$7),"")</f>
        <v/>
      </c>
      <c r="R758">
        <f>IF(A758="","",COUNTIF($A$5:$A$1004,"&lt;"&amp;A758)+COUNTIF($A$5:A758,A758))</f>
        <v/>
      </c>
    </row>
    <row r="759">
      <c r="A759" s="64" t="n"/>
      <c r="B759" s="64" t="n"/>
      <c r="C759" s="66" t="n"/>
      <c r="D759" s="66" t="n"/>
      <c r="E759" s="67" t="n"/>
      <c r="F759" s="67" t="n"/>
      <c r="G759" s="67" t="n"/>
      <c r="H759" s="67" t="n"/>
      <c r="I759" s="67" t="n"/>
      <c r="J759" s="67" t="n"/>
      <c r="K759" s="67" t="n"/>
      <c r="L759" s="67" t="n"/>
      <c r="M759" s="64" t="n"/>
      <c r="N759" s="84">
        <f>IF(A759="","",IFERROR(INDEX(Firms!$B$5:$B$1004,MATCH(A759,Firms!$A$5:$A$1004,0)),"Not on Firms tab"))</f>
        <v/>
      </c>
      <c r="O759" s="84">
        <f>IF(A759="","",IF(AND(D759&lt;&gt;"",D759&lt;TODAY()),"Expired",IF(AND(C759&lt;&gt;"",C759&gt;TODAY()),"Not yet effective",IF(C759="","No date",IF(TODAY()&gt;=EDATE(C759,Review_Months),"Review Due","Current")))))</f>
        <v/>
      </c>
      <c r="P759">
        <f>IF(A759="","",A759&amp;"|"&amp;B759)</f>
        <v/>
      </c>
      <c r="Q759">
        <f>IF(AND(A759&lt;&gt;"",A759='Firm Search'!$C$7),COUNTIF($A$5:A759,'Firm Search'!$C$7),"")</f>
        <v/>
      </c>
      <c r="R759">
        <f>IF(A759="","",COUNTIF($A$5:$A$1004,"&lt;"&amp;A759)+COUNTIF($A$5:A759,A759))</f>
        <v/>
      </c>
    </row>
    <row r="760">
      <c r="A760" s="64" t="n"/>
      <c r="B760" s="64" t="n"/>
      <c r="C760" s="66" t="n"/>
      <c r="D760" s="66" t="n"/>
      <c r="E760" s="67" t="n"/>
      <c r="F760" s="67" t="n"/>
      <c r="G760" s="67" t="n"/>
      <c r="H760" s="67" t="n"/>
      <c r="I760" s="67" t="n"/>
      <c r="J760" s="67" t="n"/>
      <c r="K760" s="67" t="n"/>
      <c r="L760" s="67" t="n"/>
      <c r="M760" s="64" t="n"/>
      <c r="N760" s="84">
        <f>IF(A760="","",IFERROR(INDEX(Firms!$B$5:$B$1004,MATCH(A760,Firms!$A$5:$A$1004,0)),"Not on Firms tab"))</f>
        <v/>
      </c>
      <c r="O760" s="84">
        <f>IF(A760="","",IF(AND(D760&lt;&gt;"",D760&lt;TODAY()),"Expired",IF(AND(C760&lt;&gt;"",C760&gt;TODAY()),"Not yet effective",IF(C760="","No date",IF(TODAY()&gt;=EDATE(C760,Review_Months),"Review Due","Current")))))</f>
        <v/>
      </c>
      <c r="P760">
        <f>IF(A760="","",A760&amp;"|"&amp;B760)</f>
        <v/>
      </c>
      <c r="Q760">
        <f>IF(AND(A760&lt;&gt;"",A760='Firm Search'!$C$7),COUNTIF($A$5:A760,'Firm Search'!$C$7),"")</f>
        <v/>
      </c>
      <c r="R760">
        <f>IF(A760="","",COUNTIF($A$5:$A$1004,"&lt;"&amp;A760)+COUNTIF($A$5:A760,A760))</f>
        <v/>
      </c>
    </row>
    <row r="761">
      <c r="A761" s="64" t="n"/>
      <c r="B761" s="64" t="n"/>
      <c r="C761" s="66" t="n"/>
      <c r="D761" s="66" t="n"/>
      <c r="E761" s="67" t="n"/>
      <c r="F761" s="67" t="n"/>
      <c r="G761" s="67" t="n"/>
      <c r="H761" s="67" t="n"/>
      <c r="I761" s="67" t="n"/>
      <c r="J761" s="67" t="n"/>
      <c r="K761" s="67" t="n"/>
      <c r="L761" s="67" t="n"/>
      <c r="M761" s="64" t="n"/>
      <c r="N761" s="84">
        <f>IF(A761="","",IFERROR(INDEX(Firms!$B$5:$B$1004,MATCH(A761,Firms!$A$5:$A$1004,0)),"Not on Firms tab"))</f>
        <v/>
      </c>
      <c r="O761" s="84">
        <f>IF(A761="","",IF(AND(D761&lt;&gt;"",D761&lt;TODAY()),"Expired",IF(AND(C761&lt;&gt;"",C761&gt;TODAY()),"Not yet effective",IF(C761="","No date",IF(TODAY()&gt;=EDATE(C761,Review_Months),"Review Due","Current")))))</f>
        <v/>
      </c>
      <c r="P761">
        <f>IF(A761="","",A761&amp;"|"&amp;B761)</f>
        <v/>
      </c>
      <c r="Q761">
        <f>IF(AND(A761&lt;&gt;"",A761='Firm Search'!$C$7),COUNTIF($A$5:A761,'Firm Search'!$C$7),"")</f>
        <v/>
      </c>
      <c r="R761">
        <f>IF(A761="","",COUNTIF($A$5:$A$1004,"&lt;"&amp;A761)+COUNTIF($A$5:A761,A761))</f>
        <v/>
      </c>
    </row>
    <row r="762">
      <c r="A762" s="64" t="n"/>
      <c r="B762" s="64" t="n"/>
      <c r="C762" s="66" t="n"/>
      <c r="D762" s="66" t="n"/>
      <c r="E762" s="67" t="n"/>
      <c r="F762" s="67" t="n"/>
      <c r="G762" s="67" t="n"/>
      <c r="H762" s="67" t="n"/>
      <c r="I762" s="67" t="n"/>
      <c r="J762" s="67" t="n"/>
      <c r="K762" s="67" t="n"/>
      <c r="L762" s="67" t="n"/>
      <c r="M762" s="64" t="n"/>
      <c r="N762" s="84">
        <f>IF(A762="","",IFERROR(INDEX(Firms!$B$5:$B$1004,MATCH(A762,Firms!$A$5:$A$1004,0)),"Not on Firms tab"))</f>
        <v/>
      </c>
      <c r="O762" s="84">
        <f>IF(A762="","",IF(AND(D762&lt;&gt;"",D762&lt;TODAY()),"Expired",IF(AND(C762&lt;&gt;"",C762&gt;TODAY()),"Not yet effective",IF(C762="","No date",IF(TODAY()&gt;=EDATE(C762,Review_Months),"Review Due","Current")))))</f>
        <v/>
      </c>
      <c r="P762">
        <f>IF(A762="","",A762&amp;"|"&amp;B762)</f>
        <v/>
      </c>
      <c r="Q762">
        <f>IF(AND(A762&lt;&gt;"",A762='Firm Search'!$C$7),COUNTIF($A$5:A762,'Firm Search'!$C$7),"")</f>
        <v/>
      </c>
      <c r="R762">
        <f>IF(A762="","",COUNTIF($A$5:$A$1004,"&lt;"&amp;A762)+COUNTIF($A$5:A762,A762))</f>
        <v/>
      </c>
    </row>
    <row r="763">
      <c r="A763" s="64" t="n"/>
      <c r="B763" s="64" t="n"/>
      <c r="C763" s="66" t="n"/>
      <c r="D763" s="66" t="n"/>
      <c r="E763" s="67" t="n"/>
      <c r="F763" s="67" t="n"/>
      <c r="G763" s="67" t="n"/>
      <c r="H763" s="67" t="n"/>
      <c r="I763" s="67" t="n"/>
      <c r="J763" s="67" t="n"/>
      <c r="K763" s="67" t="n"/>
      <c r="L763" s="67" t="n"/>
      <c r="M763" s="64" t="n"/>
      <c r="N763" s="84">
        <f>IF(A763="","",IFERROR(INDEX(Firms!$B$5:$B$1004,MATCH(A763,Firms!$A$5:$A$1004,0)),"Not on Firms tab"))</f>
        <v/>
      </c>
      <c r="O763" s="84">
        <f>IF(A763="","",IF(AND(D763&lt;&gt;"",D763&lt;TODAY()),"Expired",IF(AND(C763&lt;&gt;"",C763&gt;TODAY()),"Not yet effective",IF(C763="","No date",IF(TODAY()&gt;=EDATE(C763,Review_Months),"Review Due","Current")))))</f>
        <v/>
      </c>
      <c r="P763">
        <f>IF(A763="","",A763&amp;"|"&amp;B763)</f>
        <v/>
      </c>
      <c r="Q763">
        <f>IF(AND(A763&lt;&gt;"",A763='Firm Search'!$C$7),COUNTIF($A$5:A763,'Firm Search'!$C$7),"")</f>
        <v/>
      </c>
      <c r="R763">
        <f>IF(A763="","",COUNTIF($A$5:$A$1004,"&lt;"&amp;A763)+COUNTIF($A$5:A763,A763))</f>
        <v/>
      </c>
    </row>
    <row r="764">
      <c r="A764" s="64" t="n"/>
      <c r="B764" s="64" t="n"/>
      <c r="C764" s="66" t="n"/>
      <c r="D764" s="66" t="n"/>
      <c r="E764" s="67" t="n"/>
      <c r="F764" s="67" t="n"/>
      <c r="G764" s="67" t="n"/>
      <c r="H764" s="67" t="n"/>
      <c r="I764" s="67" t="n"/>
      <c r="J764" s="67" t="n"/>
      <c r="K764" s="67" t="n"/>
      <c r="L764" s="67" t="n"/>
      <c r="M764" s="64" t="n"/>
      <c r="N764" s="84">
        <f>IF(A764="","",IFERROR(INDEX(Firms!$B$5:$B$1004,MATCH(A764,Firms!$A$5:$A$1004,0)),"Not on Firms tab"))</f>
        <v/>
      </c>
      <c r="O764" s="84">
        <f>IF(A764="","",IF(AND(D764&lt;&gt;"",D764&lt;TODAY()),"Expired",IF(AND(C764&lt;&gt;"",C764&gt;TODAY()),"Not yet effective",IF(C764="","No date",IF(TODAY()&gt;=EDATE(C764,Review_Months),"Review Due","Current")))))</f>
        <v/>
      </c>
      <c r="P764">
        <f>IF(A764="","",A764&amp;"|"&amp;B764)</f>
        <v/>
      </c>
      <c r="Q764">
        <f>IF(AND(A764&lt;&gt;"",A764='Firm Search'!$C$7),COUNTIF($A$5:A764,'Firm Search'!$C$7),"")</f>
        <v/>
      </c>
      <c r="R764">
        <f>IF(A764="","",COUNTIF($A$5:$A$1004,"&lt;"&amp;A764)+COUNTIF($A$5:A764,A764))</f>
        <v/>
      </c>
    </row>
    <row r="765">
      <c r="A765" s="64" t="n"/>
      <c r="B765" s="64" t="n"/>
      <c r="C765" s="66" t="n"/>
      <c r="D765" s="66" t="n"/>
      <c r="E765" s="67" t="n"/>
      <c r="F765" s="67" t="n"/>
      <c r="G765" s="67" t="n"/>
      <c r="H765" s="67" t="n"/>
      <c r="I765" s="67" t="n"/>
      <c r="J765" s="67" t="n"/>
      <c r="K765" s="67" t="n"/>
      <c r="L765" s="67" t="n"/>
      <c r="M765" s="64" t="n"/>
      <c r="N765" s="84">
        <f>IF(A765="","",IFERROR(INDEX(Firms!$B$5:$B$1004,MATCH(A765,Firms!$A$5:$A$1004,0)),"Not on Firms tab"))</f>
        <v/>
      </c>
      <c r="O765" s="84">
        <f>IF(A765="","",IF(AND(D765&lt;&gt;"",D765&lt;TODAY()),"Expired",IF(AND(C765&lt;&gt;"",C765&gt;TODAY()),"Not yet effective",IF(C765="","No date",IF(TODAY()&gt;=EDATE(C765,Review_Months),"Review Due","Current")))))</f>
        <v/>
      </c>
      <c r="P765">
        <f>IF(A765="","",A765&amp;"|"&amp;B765)</f>
        <v/>
      </c>
      <c r="Q765">
        <f>IF(AND(A765&lt;&gt;"",A765='Firm Search'!$C$7),COUNTIF($A$5:A765,'Firm Search'!$C$7),"")</f>
        <v/>
      </c>
      <c r="R765">
        <f>IF(A765="","",COUNTIF($A$5:$A$1004,"&lt;"&amp;A765)+COUNTIF($A$5:A765,A765))</f>
        <v/>
      </c>
    </row>
    <row r="766">
      <c r="A766" s="64" t="n"/>
      <c r="B766" s="64" t="n"/>
      <c r="C766" s="66" t="n"/>
      <c r="D766" s="66" t="n"/>
      <c r="E766" s="67" t="n"/>
      <c r="F766" s="67" t="n"/>
      <c r="G766" s="67" t="n"/>
      <c r="H766" s="67" t="n"/>
      <c r="I766" s="67" t="n"/>
      <c r="J766" s="67" t="n"/>
      <c r="K766" s="67" t="n"/>
      <c r="L766" s="67" t="n"/>
      <c r="M766" s="64" t="n"/>
      <c r="N766" s="84">
        <f>IF(A766="","",IFERROR(INDEX(Firms!$B$5:$B$1004,MATCH(A766,Firms!$A$5:$A$1004,0)),"Not on Firms tab"))</f>
        <v/>
      </c>
      <c r="O766" s="84">
        <f>IF(A766="","",IF(AND(D766&lt;&gt;"",D766&lt;TODAY()),"Expired",IF(AND(C766&lt;&gt;"",C766&gt;TODAY()),"Not yet effective",IF(C766="","No date",IF(TODAY()&gt;=EDATE(C766,Review_Months),"Review Due","Current")))))</f>
        <v/>
      </c>
      <c r="P766">
        <f>IF(A766="","",A766&amp;"|"&amp;B766)</f>
        <v/>
      </c>
      <c r="Q766">
        <f>IF(AND(A766&lt;&gt;"",A766='Firm Search'!$C$7),COUNTIF($A$5:A766,'Firm Search'!$C$7),"")</f>
        <v/>
      </c>
      <c r="R766">
        <f>IF(A766="","",COUNTIF($A$5:$A$1004,"&lt;"&amp;A766)+COUNTIF($A$5:A766,A766))</f>
        <v/>
      </c>
    </row>
    <row r="767">
      <c r="A767" s="64" t="n"/>
      <c r="B767" s="64" t="n"/>
      <c r="C767" s="66" t="n"/>
      <c r="D767" s="66" t="n"/>
      <c r="E767" s="67" t="n"/>
      <c r="F767" s="67" t="n"/>
      <c r="G767" s="67" t="n"/>
      <c r="H767" s="67" t="n"/>
      <c r="I767" s="67" t="n"/>
      <c r="J767" s="67" t="n"/>
      <c r="K767" s="67" t="n"/>
      <c r="L767" s="67" t="n"/>
      <c r="M767" s="64" t="n"/>
      <c r="N767" s="84">
        <f>IF(A767="","",IFERROR(INDEX(Firms!$B$5:$B$1004,MATCH(A767,Firms!$A$5:$A$1004,0)),"Not on Firms tab"))</f>
        <v/>
      </c>
      <c r="O767" s="84">
        <f>IF(A767="","",IF(AND(D767&lt;&gt;"",D767&lt;TODAY()),"Expired",IF(AND(C767&lt;&gt;"",C767&gt;TODAY()),"Not yet effective",IF(C767="","No date",IF(TODAY()&gt;=EDATE(C767,Review_Months),"Review Due","Current")))))</f>
        <v/>
      </c>
      <c r="P767">
        <f>IF(A767="","",A767&amp;"|"&amp;B767)</f>
        <v/>
      </c>
      <c r="Q767">
        <f>IF(AND(A767&lt;&gt;"",A767='Firm Search'!$C$7),COUNTIF($A$5:A767,'Firm Search'!$C$7),"")</f>
        <v/>
      </c>
      <c r="R767">
        <f>IF(A767="","",COUNTIF($A$5:$A$1004,"&lt;"&amp;A767)+COUNTIF($A$5:A767,A767))</f>
        <v/>
      </c>
    </row>
    <row r="768">
      <c r="A768" s="64" t="n"/>
      <c r="B768" s="64" t="n"/>
      <c r="C768" s="66" t="n"/>
      <c r="D768" s="66" t="n"/>
      <c r="E768" s="67" t="n"/>
      <c r="F768" s="67" t="n"/>
      <c r="G768" s="67" t="n"/>
      <c r="H768" s="67" t="n"/>
      <c r="I768" s="67" t="n"/>
      <c r="J768" s="67" t="n"/>
      <c r="K768" s="67" t="n"/>
      <c r="L768" s="67" t="n"/>
      <c r="M768" s="64" t="n"/>
      <c r="N768" s="84">
        <f>IF(A768="","",IFERROR(INDEX(Firms!$B$5:$B$1004,MATCH(A768,Firms!$A$5:$A$1004,0)),"Not on Firms tab"))</f>
        <v/>
      </c>
      <c r="O768" s="84">
        <f>IF(A768="","",IF(AND(D768&lt;&gt;"",D768&lt;TODAY()),"Expired",IF(AND(C768&lt;&gt;"",C768&gt;TODAY()),"Not yet effective",IF(C768="","No date",IF(TODAY()&gt;=EDATE(C768,Review_Months),"Review Due","Current")))))</f>
        <v/>
      </c>
      <c r="P768">
        <f>IF(A768="","",A768&amp;"|"&amp;B768)</f>
        <v/>
      </c>
      <c r="Q768">
        <f>IF(AND(A768&lt;&gt;"",A768='Firm Search'!$C$7),COUNTIF($A$5:A768,'Firm Search'!$C$7),"")</f>
        <v/>
      </c>
      <c r="R768">
        <f>IF(A768="","",COUNTIF($A$5:$A$1004,"&lt;"&amp;A768)+COUNTIF($A$5:A768,A768))</f>
        <v/>
      </c>
    </row>
    <row r="769">
      <c r="A769" s="64" t="n"/>
      <c r="B769" s="64" t="n"/>
      <c r="C769" s="66" t="n"/>
      <c r="D769" s="66" t="n"/>
      <c r="E769" s="67" t="n"/>
      <c r="F769" s="67" t="n"/>
      <c r="G769" s="67" t="n"/>
      <c r="H769" s="67" t="n"/>
      <c r="I769" s="67" t="n"/>
      <c r="J769" s="67" t="n"/>
      <c r="K769" s="67" t="n"/>
      <c r="L769" s="67" t="n"/>
      <c r="M769" s="64" t="n"/>
      <c r="N769" s="84">
        <f>IF(A769="","",IFERROR(INDEX(Firms!$B$5:$B$1004,MATCH(A769,Firms!$A$5:$A$1004,0)),"Not on Firms tab"))</f>
        <v/>
      </c>
      <c r="O769" s="84">
        <f>IF(A769="","",IF(AND(D769&lt;&gt;"",D769&lt;TODAY()),"Expired",IF(AND(C769&lt;&gt;"",C769&gt;TODAY()),"Not yet effective",IF(C769="","No date",IF(TODAY()&gt;=EDATE(C769,Review_Months),"Review Due","Current")))))</f>
        <v/>
      </c>
      <c r="P769">
        <f>IF(A769="","",A769&amp;"|"&amp;B769)</f>
        <v/>
      </c>
      <c r="Q769">
        <f>IF(AND(A769&lt;&gt;"",A769='Firm Search'!$C$7),COUNTIF($A$5:A769,'Firm Search'!$C$7),"")</f>
        <v/>
      </c>
      <c r="R769">
        <f>IF(A769="","",COUNTIF($A$5:$A$1004,"&lt;"&amp;A769)+COUNTIF($A$5:A769,A769))</f>
        <v/>
      </c>
    </row>
    <row r="770">
      <c r="A770" s="64" t="n"/>
      <c r="B770" s="64" t="n"/>
      <c r="C770" s="66" t="n"/>
      <c r="D770" s="66" t="n"/>
      <c r="E770" s="67" t="n"/>
      <c r="F770" s="67" t="n"/>
      <c r="G770" s="67" t="n"/>
      <c r="H770" s="67" t="n"/>
      <c r="I770" s="67" t="n"/>
      <c r="J770" s="67" t="n"/>
      <c r="K770" s="67" t="n"/>
      <c r="L770" s="67" t="n"/>
      <c r="M770" s="64" t="n"/>
      <c r="N770" s="84">
        <f>IF(A770="","",IFERROR(INDEX(Firms!$B$5:$B$1004,MATCH(A770,Firms!$A$5:$A$1004,0)),"Not on Firms tab"))</f>
        <v/>
      </c>
      <c r="O770" s="84">
        <f>IF(A770="","",IF(AND(D770&lt;&gt;"",D770&lt;TODAY()),"Expired",IF(AND(C770&lt;&gt;"",C770&gt;TODAY()),"Not yet effective",IF(C770="","No date",IF(TODAY()&gt;=EDATE(C770,Review_Months),"Review Due","Current")))))</f>
        <v/>
      </c>
      <c r="P770">
        <f>IF(A770="","",A770&amp;"|"&amp;B770)</f>
        <v/>
      </c>
      <c r="Q770">
        <f>IF(AND(A770&lt;&gt;"",A770='Firm Search'!$C$7),COUNTIF($A$5:A770,'Firm Search'!$C$7),"")</f>
        <v/>
      </c>
      <c r="R770">
        <f>IF(A770="","",COUNTIF($A$5:$A$1004,"&lt;"&amp;A770)+COUNTIF($A$5:A770,A770))</f>
        <v/>
      </c>
    </row>
    <row r="771">
      <c r="A771" s="64" t="n"/>
      <c r="B771" s="64" t="n"/>
      <c r="C771" s="66" t="n"/>
      <c r="D771" s="66" t="n"/>
      <c r="E771" s="67" t="n"/>
      <c r="F771" s="67" t="n"/>
      <c r="G771" s="67" t="n"/>
      <c r="H771" s="67" t="n"/>
      <c r="I771" s="67" t="n"/>
      <c r="J771" s="67" t="n"/>
      <c r="K771" s="67" t="n"/>
      <c r="L771" s="67" t="n"/>
      <c r="M771" s="64" t="n"/>
      <c r="N771" s="84">
        <f>IF(A771="","",IFERROR(INDEX(Firms!$B$5:$B$1004,MATCH(A771,Firms!$A$5:$A$1004,0)),"Not on Firms tab"))</f>
        <v/>
      </c>
      <c r="O771" s="84">
        <f>IF(A771="","",IF(AND(D771&lt;&gt;"",D771&lt;TODAY()),"Expired",IF(AND(C771&lt;&gt;"",C771&gt;TODAY()),"Not yet effective",IF(C771="","No date",IF(TODAY()&gt;=EDATE(C771,Review_Months),"Review Due","Current")))))</f>
        <v/>
      </c>
      <c r="P771">
        <f>IF(A771="","",A771&amp;"|"&amp;B771)</f>
        <v/>
      </c>
      <c r="Q771">
        <f>IF(AND(A771&lt;&gt;"",A771='Firm Search'!$C$7),COUNTIF($A$5:A771,'Firm Search'!$C$7),"")</f>
        <v/>
      </c>
      <c r="R771">
        <f>IF(A771="","",COUNTIF($A$5:$A$1004,"&lt;"&amp;A771)+COUNTIF($A$5:A771,A771))</f>
        <v/>
      </c>
    </row>
    <row r="772">
      <c r="A772" s="64" t="n"/>
      <c r="B772" s="64" t="n"/>
      <c r="C772" s="66" t="n"/>
      <c r="D772" s="66" t="n"/>
      <c r="E772" s="67" t="n"/>
      <c r="F772" s="67" t="n"/>
      <c r="G772" s="67" t="n"/>
      <c r="H772" s="67" t="n"/>
      <c r="I772" s="67" t="n"/>
      <c r="J772" s="67" t="n"/>
      <c r="K772" s="67" t="n"/>
      <c r="L772" s="67" t="n"/>
      <c r="M772" s="64" t="n"/>
      <c r="N772" s="84">
        <f>IF(A772="","",IFERROR(INDEX(Firms!$B$5:$B$1004,MATCH(A772,Firms!$A$5:$A$1004,0)),"Not on Firms tab"))</f>
        <v/>
      </c>
      <c r="O772" s="84">
        <f>IF(A772="","",IF(AND(D772&lt;&gt;"",D772&lt;TODAY()),"Expired",IF(AND(C772&lt;&gt;"",C772&gt;TODAY()),"Not yet effective",IF(C772="","No date",IF(TODAY()&gt;=EDATE(C772,Review_Months),"Review Due","Current")))))</f>
        <v/>
      </c>
      <c r="P772">
        <f>IF(A772="","",A772&amp;"|"&amp;B772)</f>
        <v/>
      </c>
      <c r="Q772">
        <f>IF(AND(A772&lt;&gt;"",A772='Firm Search'!$C$7),COUNTIF($A$5:A772,'Firm Search'!$C$7),"")</f>
        <v/>
      </c>
      <c r="R772">
        <f>IF(A772="","",COUNTIF($A$5:$A$1004,"&lt;"&amp;A772)+COUNTIF($A$5:A772,A772))</f>
        <v/>
      </c>
    </row>
    <row r="773">
      <c r="A773" s="64" t="n"/>
      <c r="B773" s="64" t="n"/>
      <c r="C773" s="66" t="n"/>
      <c r="D773" s="66" t="n"/>
      <c r="E773" s="67" t="n"/>
      <c r="F773" s="67" t="n"/>
      <c r="G773" s="67" t="n"/>
      <c r="H773" s="67" t="n"/>
      <c r="I773" s="67" t="n"/>
      <c r="J773" s="67" t="n"/>
      <c r="K773" s="67" t="n"/>
      <c r="L773" s="67" t="n"/>
      <c r="M773" s="64" t="n"/>
      <c r="N773" s="84">
        <f>IF(A773="","",IFERROR(INDEX(Firms!$B$5:$B$1004,MATCH(A773,Firms!$A$5:$A$1004,0)),"Not on Firms tab"))</f>
        <v/>
      </c>
      <c r="O773" s="84">
        <f>IF(A773="","",IF(AND(D773&lt;&gt;"",D773&lt;TODAY()),"Expired",IF(AND(C773&lt;&gt;"",C773&gt;TODAY()),"Not yet effective",IF(C773="","No date",IF(TODAY()&gt;=EDATE(C773,Review_Months),"Review Due","Current")))))</f>
        <v/>
      </c>
      <c r="P773">
        <f>IF(A773="","",A773&amp;"|"&amp;B773)</f>
        <v/>
      </c>
      <c r="Q773">
        <f>IF(AND(A773&lt;&gt;"",A773='Firm Search'!$C$7),COUNTIF($A$5:A773,'Firm Search'!$C$7),"")</f>
        <v/>
      </c>
      <c r="R773">
        <f>IF(A773="","",COUNTIF($A$5:$A$1004,"&lt;"&amp;A773)+COUNTIF($A$5:A773,A773))</f>
        <v/>
      </c>
    </row>
    <row r="774">
      <c r="A774" s="64" t="n"/>
      <c r="B774" s="64" t="n"/>
      <c r="C774" s="66" t="n"/>
      <c r="D774" s="66" t="n"/>
      <c r="E774" s="67" t="n"/>
      <c r="F774" s="67" t="n"/>
      <c r="G774" s="67" t="n"/>
      <c r="H774" s="67" t="n"/>
      <c r="I774" s="67" t="n"/>
      <c r="J774" s="67" t="n"/>
      <c r="K774" s="67" t="n"/>
      <c r="L774" s="67" t="n"/>
      <c r="M774" s="64" t="n"/>
      <c r="N774" s="84">
        <f>IF(A774="","",IFERROR(INDEX(Firms!$B$5:$B$1004,MATCH(A774,Firms!$A$5:$A$1004,0)),"Not on Firms tab"))</f>
        <v/>
      </c>
      <c r="O774" s="84">
        <f>IF(A774="","",IF(AND(D774&lt;&gt;"",D774&lt;TODAY()),"Expired",IF(AND(C774&lt;&gt;"",C774&gt;TODAY()),"Not yet effective",IF(C774="","No date",IF(TODAY()&gt;=EDATE(C774,Review_Months),"Review Due","Current")))))</f>
        <v/>
      </c>
      <c r="P774">
        <f>IF(A774="","",A774&amp;"|"&amp;B774)</f>
        <v/>
      </c>
      <c r="Q774">
        <f>IF(AND(A774&lt;&gt;"",A774='Firm Search'!$C$7),COUNTIF($A$5:A774,'Firm Search'!$C$7),"")</f>
        <v/>
      </c>
      <c r="R774">
        <f>IF(A774="","",COUNTIF($A$5:$A$1004,"&lt;"&amp;A774)+COUNTIF($A$5:A774,A774))</f>
        <v/>
      </c>
    </row>
    <row r="775">
      <c r="A775" s="64" t="n"/>
      <c r="B775" s="64" t="n"/>
      <c r="C775" s="66" t="n"/>
      <c r="D775" s="66" t="n"/>
      <c r="E775" s="67" t="n"/>
      <c r="F775" s="67" t="n"/>
      <c r="G775" s="67" t="n"/>
      <c r="H775" s="67" t="n"/>
      <c r="I775" s="67" t="n"/>
      <c r="J775" s="67" t="n"/>
      <c r="K775" s="67" t="n"/>
      <c r="L775" s="67" t="n"/>
      <c r="M775" s="64" t="n"/>
      <c r="N775" s="84">
        <f>IF(A775="","",IFERROR(INDEX(Firms!$B$5:$B$1004,MATCH(A775,Firms!$A$5:$A$1004,0)),"Not on Firms tab"))</f>
        <v/>
      </c>
      <c r="O775" s="84">
        <f>IF(A775="","",IF(AND(D775&lt;&gt;"",D775&lt;TODAY()),"Expired",IF(AND(C775&lt;&gt;"",C775&gt;TODAY()),"Not yet effective",IF(C775="","No date",IF(TODAY()&gt;=EDATE(C775,Review_Months),"Review Due","Current")))))</f>
        <v/>
      </c>
      <c r="P775">
        <f>IF(A775="","",A775&amp;"|"&amp;B775)</f>
        <v/>
      </c>
      <c r="Q775">
        <f>IF(AND(A775&lt;&gt;"",A775='Firm Search'!$C$7),COUNTIF($A$5:A775,'Firm Search'!$C$7),"")</f>
        <v/>
      </c>
      <c r="R775">
        <f>IF(A775="","",COUNTIF($A$5:$A$1004,"&lt;"&amp;A775)+COUNTIF($A$5:A775,A775))</f>
        <v/>
      </c>
    </row>
    <row r="776">
      <c r="A776" s="64" t="n"/>
      <c r="B776" s="64" t="n"/>
      <c r="C776" s="66" t="n"/>
      <c r="D776" s="66" t="n"/>
      <c r="E776" s="67" t="n"/>
      <c r="F776" s="67" t="n"/>
      <c r="G776" s="67" t="n"/>
      <c r="H776" s="67" t="n"/>
      <c r="I776" s="67" t="n"/>
      <c r="J776" s="67" t="n"/>
      <c r="K776" s="67" t="n"/>
      <c r="L776" s="67" t="n"/>
      <c r="M776" s="64" t="n"/>
      <c r="N776" s="84">
        <f>IF(A776="","",IFERROR(INDEX(Firms!$B$5:$B$1004,MATCH(A776,Firms!$A$5:$A$1004,0)),"Not on Firms tab"))</f>
        <v/>
      </c>
      <c r="O776" s="84">
        <f>IF(A776="","",IF(AND(D776&lt;&gt;"",D776&lt;TODAY()),"Expired",IF(AND(C776&lt;&gt;"",C776&gt;TODAY()),"Not yet effective",IF(C776="","No date",IF(TODAY()&gt;=EDATE(C776,Review_Months),"Review Due","Current")))))</f>
        <v/>
      </c>
      <c r="P776">
        <f>IF(A776="","",A776&amp;"|"&amp;B776)</f>
        <v/>
      </c>
      <c r="Q776">
        <f>IF(AND(A776&lt;&gt;"",A776='Firm Search'!$C$7),COUNTIF($A$5:A776,'Firm Search'!$C$7),"")</f>
        <v/>
      </c>
      <c r="R776">
        <f>IF(A776="","",COUNTIF($A$5:$A$1004,"&lt;"&amp;A776)+COUNTIF($A$5:A776,A776))</f>
        <v/>
      </c>
    </row>
    <row r="777">
      <c r="A777" s="64" t="n"/>
      <c r="B777" s="64" t="n"/>
      <c r="C777" s="66" t="n"/>
      <c r="D777" s="66" t="n"/>
      <c r="E777" s="67" t="n"/>
      <c r="F777" s="67" t="n"/>
      <c r="G777" s="67" t="n"/>
      <c r="H777" s="67" t="n"/>
      <c r="I777" s="67" t="n"/>
      <c r="J777" s="67" t="n"/>
      <c r="K777" s="67" t="n"/>
      <c r="L777" s="67" t="n"/>
      <c r="M777" s="64" t="n"/>
      <c r="N777" s="84">
        <f>IF(A777="","",IFERROR(INDEX(Firms!$B$5:$B$1004,MATCH(A777,Firms!$A$5:$A$1004,0)),"Not on Firms tab"))</f>
        <v/>
      </c>
      <c r="O777" s="84">
        <f>IF(A777="","",IF(AND(D777&lt;&gt;"",D777&lt;TODAY()),"Expired",IF(AND(C777&lt;&gt;"",C777&gt;TODAY()),"Not yet effective",IF(C777="","No date",IF(TODAY()&gt;=EDATE(C777,Review_Months),"Review Due","Current")))))</f>
        <v/>
      </c>
      <c r="P777">
        <f>IF(A777="","",A777&amp;"|"&amp;B777)</f>
        <v/>
      </c>
      <c r="Q777">
        <f>IF(AND(A777&lt;&gt;"",A777='Firm Search'!$C$7),COUNTIF($A$5:A777,'Firm Search'!$C$7),"")</f>
        <v/>
      </c>
      <c r="R777">
        <f>IF(A777="","",COUNTIF($A$5:$A$1004,"&lt;"&amp;A777)+COUNTIF($A$5:A777,A777))</f>
        <v/>
      </c>
    </row>
    <row r="778">
      <c r="A778" s="64" t="n"/>
      <c r="B778" s="64" t="n"/>
      <c r="C778" s="66" t="n"/>
      <c r="D778" s="66" t="n"/>
      <c r="E778" s="67" t="n"/>
      <c r="F778" s="67" t="n"/>
      <c r="G778" s="67" t="n"/>
      <c r="H778" s="67" t="n"/>
      <c r="I778" s="67" t="n"/>
      <c r="J778" s="67" t="n"/>
      <c r="K778" s="67" t="n"/>
      <c r="L778" s="67" t="n"/>
      <c r="M778" s="64" t="n"/>
      <c r="N778" s="84">
        <f>IF(A778="","",IFERROR(INDEX(Firms!$B$5:$B$1004,MATCH(A778,Firms!$A$5:$A$1004,0)),"Not on Firms tab"))</f>
        <v/>
      </c>
      <c r="O778" s="84">
        <f>IF(A778="","",IF(AND(D778&lt;&gt;"",D778&lt;TODAY()),"Expired",IF(AND(C778&lt;&gt;"",C778&gt;TODAY()),"Not yet effective",IF(C778="","No date",IF(TODAY()&gt;=EDATE(C778,Review_Months),"Review Due","Current")))))</f>
        <v/>
      </c>
      <c r="P778">
        <f>IF(A778="","",A778&amp;"|"&amp;B778)</f>
        <v/>
      </c>
      <c r="Q778">
        <f>IF(AND(A778&lt;&gt;"",A778='Firm Search'!$C$7),COUNTIF($A$5:A778,'Firm Search'!$C$7),"")</f>
        <v/>
      </c>
      <c r="R778">
        <f>IF(A778="","",COUNTIF($A$5:$A$1004,"&lt;"&amp;A778)+COUNTIF($A$5:A778,A778))</f>
        <v/>
      </c>
    </row>
    <row r="779">
      <c r="A779" s="64" t="n"/>
      <c r="B779" s="64" t="n"/>
      <c r="C779" s="66" t="n"/>
      <c r="D779" s="66" t="n"/>
      <c r="E779" s="67" t="n"/>
      <c r="F779" s="67" t="n"/>
      <c r="G779" s="67" t="n"/>
      <c r="H779" s="67" t="n"/>
      <c r="I779" s="67" t="n"/>
      <c r="J779" s="67" t="n"/>
      <c r="K779" s="67" t="n"/>
      <c r="L779" s="67" t="n"/>
      <c r="M779" s="64" t="n"/>
      <c r="N779" s="84">
        <f>IF(A779="","",IFERROR(INDEX(Firms!$B$5:$B$1004,MATCH(A779,Firms!$A$5:$A$1004,0)),"Not on Firms tab"))</f>
        <v/>
      </c>
      <c r="O779" s="84">
        <f>IF(A779="","",IF(AND(D779&lt;&gt;"",D779&lt;TODAY()),"Expired",IF(AND(C779&lt;&gt;"",C779&gt;TODAY()),"Not yet effective",IF(C779="","No date",IF(TODAY()&gt;=EDATE(C779,Review_Months),"Review Due","Current")))))</f>
        <v/>
      </c>
      <c r="P779">
        <f>IF(A779="","",A779&amp;"|"&amp;B779)</f>
        <v/>
      </c>
      <c r="Q779">
        <f>IF(AND(A779&lt;&gt;"",A779='Firm Search'!$C$7),COUNTIF($A$5:A779,'Firm Search'!$C$7),"")</f>
        <v/>
      </c>
      <c r="R779">
        <f>IF(A779="","",COUNTIF($A$5:$A$1004,"&lt;"&amp;A779)+COUNTIF($A$5:A779,A779))</f>
        <v/>
      </c>
    </row>
    <row r="780">
      <c r="A780" s="64" t="n"/>
      <c r="B780" s="64" t="n"/>
      <c r="C780" s="66" t="n"/>
      <c r="D780" s="66" t="n"/>
      <c r="E780" s="67" t="n"/>
      <c r="F780" s="67" t="n"/>
      <c r="G780" s="67" t="n"/>
      <c r="H780" s="67" t="n"/>
      <c r="I780" s="67" t="n"/>
      <c r="J780" s="67" t="n"/>
      <c r="K780" s="67" t="n"/>
      <c r="L780" s="67" t="n"/>
      <c r="M780" s="64" t="n"/>
      <c r="N780" s="84">
        <f>IF(A780="","",IFERROR(INDEX(Firms!$B$5:$B$1004,MATCH(A780,Firms!$A$5:$A$1004,0)),"Not on Firms tab"))</f>
        <v/>
      </c>
      <c r="O780" s="84">
        <f>IF(A780="","",IF(AND(D780&lt;&gt;"",D780&lt;TODAY()),"Expired",IF(AND(C780&lt;&gt;"",C780&gt;TODAY()),"Not yet effective",IF(C780="","No date",IF(TODAY()&gt;=EDATE(C780,Review_Months),"Review Due","Current")))))</f>
        <v/>
      </c>
      <c r="P780">
        <f>IF(A780="","",A780&amp;"|"&amp;B780)</f>
        <v/>
      </c>
      <c r="Q780">
        <f>IF(AND(A780&lt;&gt;"",A780='Firm Search'!$C$7),COUNTIF($A$5:A780,'Firm Search'!$C$7),"")</f>
        <v/>
      </c>
      <c r="R780">
        <f>IF(A780="","",COUNTIF($A$5:$A$1004,"&lt;"&amp;A780)+COUNTIF($A$5:A780,A780))</f>
        <v/>
      </c>
    </row>
    <row r="781">
      <c r="A781" s="64" t="n"/>
      <c r="B781" s="64" t="n"/>
      <c r="C781" s="66" t="n"/>
      <c r="D781" s="66" t="n"/>
      <c r="E781" s="67" t="n"/>
      <c r="F781" s="67" t="n"/>
      <c r="G781" s="67" t="n"/>
      <c r="H781" s="67" t="n"/>
      <c r="I781" s="67" t="n"/>
      <c r="J781" s="67" t="n"/>
      <c r="K781" s="67" t="n"/>
      <c r="L781" s="67" t="n"/>
      <c r="M781" s="64" t="n"/>
      <c r="N781" s="84">
        <f>IF(A781="","",IFERROR(INDEX(Firms!$B$5:$B$1004,MATCH(A781,Firms!$A$5:$A$1004,0)),"Not on Firms tab"))</f>
        <v/>
      </c>
      <c r="O781" s="84">
        <f>IF(A781="","",IF(AND(D781&lt;&gt;"",D781&lt;TODAY()),"Expired",IF(AND(C781&lt;&gt;"",C781&gt;TODAY()),"Not yet effective",IF(C781="","No date",IF(TODAY()&gt;=EDATE(C781,Review_Months),"Review Due","Current")))))</f>
        <v/>
      </c>
      <c r="P781">
        <f>IF(A781="","",A781&amp;"|"&amp;B781)</f>
        <v/>
      </c>
      <c r="Q781">
        <f>IF(AND(A781&lt;&gt;"",A781='Firm Search'!$C$7),COUNTIF($A$5:A781,'Firm Search'!$C$7),"")</f>
        <v/>
      </c>
      <c r="R781">
        <f>IF(A781="","",COUNTIF($A$5:$A$1004,"&lt;"&amp;A781)+COUNTIF($A$5:A781,A781))</f>
        <v/>
      </c>
    </row>
    <row r="782">
      <c r="A782" s="64" t="n"/>
      <c r="B782" s="64" t="n"/>
      <c r="C782" s="66" t="n"/>
      <c r="D782" s="66" t="n"/>
      <c r="E782" s="67" t="n"/>
      <c r="F782" s="67" t="n"/>
      <c r="G782" s="67" t="n"/>
      <c r="H782" s="67" t="n"/>
      <c r="I782" s="67" t="n"/>
      <c r="J782" s="67" t="n"/>
      <c r="K782" s="67" t="n"/>
      <c r="L782" s="67" t="n"/>
      <c r="M782" s="64" t="n"/>
      <c r="N782" s="84">
        <f>IF(A782="","",IFERROR(INDEX(Firms!$B$5:$B$1004,MATCH(A782,Firms!$A$5:$A$1004,0)),"Not on Firms tab"))</f>
        <v/>
      </c>
      <c r="O782" s="84">
        <f>IF(A782="","",IF(AND(D782&lt;&gt;"",D782&lt;TODAY()),"Expired",IF(AND(C782&lt;&gt;"",C782&gt;TODAY()),"Not yet effective",IF(C782="","No date",IF(TODAY()&gt;=EDATE(C782,Review_Months),"Review Due","Current")))))</f>
        <v/>
      </c>
      <c r="P782">
        <f>IF(A782="","",A782&amp;"|"&amp;B782)</f>
        <v/>
      </c>
      <c r="Q782">
        <f>IF(AND(A782&lt;&gt;"",A782='Firm Search'!$C$7),COUNTIF($A$5:A782,'Firm Search'!$C$7),"")</f>
        <v/>
      </c>
      <c r="R782">
        <f>IF(A782="","",COUNTIF($A$5:$A$1004,"&lt;"&amp;A782)+COUNTIF($A$5:A782,A782))</f>
        <v/>
      </c>
    </row>
    <row r="783">
      <c r="A783" s="64" t="n"/>
      <c r="B783" s="64" t="n"/>
      <c r="C783" s="66" t="n"/>
      <c r="D783" s="66" t="n"/>
      <c r="E783" s="67" t="n"/>
      <c r="F783" s="67" t="n"/>
      <c r="G783" s="67" t="n"/>
      <c r="H783" s="67" t="n"/>
      <c r="I783" s="67" t="n"/>
      <c r="J783" s="67" t="n"/>
      <c r="K783" s="67" t="n"/>
      <c r="L783" s="67" t="n"/>
      <c r="M783" s="64" t="n"/>
      <c r="N783" s="84">
        <f>IF(A783="","",IFERROR(INDEX(Firms!$B$5:$B$1004,MATCH(A783,Firms!$A$5:$A$1004,0)),"Not on Firms tab"))</f>
        <v/>
      </c>
      <c r="O783" s="84">
        <f>IF(A783="","",IF(AND(D783&lt;&gt;"",D783&lt;TODAY()),"Expired",IF(AND(C783&lt;&gt;"",C783&gt;TODAY()),"Not yet effective",IF(C783="","No date",IF(TODAY()&gt;=EDATE(C783,Review_Months),"Review Due","Current")))))</f>
        <v/>
      </c>
      <c r="P783">
        <f>IF(A783="","",A783&amp;"|"&amp;B783)</f>
        <v/>
      </c>
      <c r="Q783">
        <f>IF(AND(A783&lt;&gt;"",A783='Firm Search'!$C$7),COUNTIF($A$5:A783,'Firm Search'!$C$7),"")</f>
        <v/>
      </c>
      <c r="R783">
        <f>IF(A783="","",COUNTIF($A$5:$A$1004,"&lt;"&amp;A783)+COUNTIF($A$5:A783,A783))</f>
        <v/>
      </c>
    </row>
    <row r="784">
      <c r="A784" s="64" t="n"/>
      <c r="B784" s="64" t="n"/>
      <c r="C784" s="66" t="n"/>
      <c r="D784" s="66" t="n"/>
      <c r="E784" s="67" t="n"/>
      <c r="F784" s="67" t="n"/>
      <c r="G784" s="67" t="n"/>
      <c r="H784" s="67" t="n"/>
      <c r="I784" s="67" t="n"/>
      <c r="J784" s="67" t="n"/>
      <c r="K784" s="67" t="n"/>
      <c r="L784" s="67" t="n"/>
      <c r="M784" s="64" t="n"/>
      <c r="N784" s="84">
        <f>IF(A784="","",IFERROR(INDEX(Firms!$B$5:$B$1004,MATCH(A784,Firms!$A$5:$A$1004,0)),"Not on Firms tab"))</f>
        <v/>
      </c>
      <c r="O784" s="84">
        <f>IF(A784="","",IF(AND(D784&lt;&gt;"",D784&lt;TODAY()),"Expired",IF(AND(C784&lt;&gt;"",C784&gt;TODAY()),"Not yet effective",IF(C784="","No date",IF(TODAY()&gt;=EDATE(C784,Review_Months),"Review Due","Current")))))</f>
        <v/>
      </c>
      <c r="P784">
        <f>IF(A784="","",A784&amp;"|"&amp;B784)</f>
        <v/>
      </c>
      <c r="Q784">
        <f>IF(AND(A784&lt;&gt;"",A784='Firm Search'!$C$7),COUNTIF($A$5:A784,'Firm Search'!$C$7),"")</f>
        <v/>
      </c>
      <c r="R784">
        <f>IF(A784="","",COUNTIF($A$5:$A$1004,"&lt;"&amp;A784)+COUNTIF($A$5:A784,A784))</f>
        <v/>
      </c>
    </row>
    <row r="785">
      <c r="A785" s="64" t="n"/>
      <c r="B785" s="64" t="n"/>
      <c r="C785" s="66" t="n"/>
      <c r="D785" s="66" t="n"/>
      <c r="E785" s="67" t="n"/>
      <c r="F785" s="67" t="n"/>
      <c r="G785" s="67" t="n"/>
      <c r="H785" s="67" t="n"/>
      <c r="I785" s="67" t="n"/>
      <c r="J785" s="67" t="n"/>
      <c r="K785" s="67" t="n"/>
      <c r="L785" s="67" t="n"/>
      <c r="M785" s="64" t="n"/>
      <c r="N785" s="84">
        <f>IF(A785="","",IFERROR(INDEX(Firms!$B$5:$B$1004,MATCH(A785,Firms!$A$5:$A$1004,0)),"Not on Firms tab"))</f>
        <v/>
      </c>
      <c r="O785" s="84">
        <f>IF(A785="","",IF(AND(D785&lt;&gt;"",D785&lt;TODAY()),"Expired",IF(AND(C785&lt;&gt;"",C785&gt;TODAY()),"Not yet effective",IF(C785="","No date",IF(TODAY()&gt;=EDATE(C785,Review_Months),"Review Due","Current")))))</f>
        <v/>
      </c>
      <c r="P785">
        <f>IF(A785="","",A785&amp;"|"&amp;B785)</f>
        <v/>
      </c>
      <c r="Q785">
        <f>IF(AND(A785&lt;&gt;"",A785='Firm Search'!$C$7),COUNTIF($A$5:A785,'Firm Search'!$C$7),"")</f>
        <v/>
      </c>
      <c r="R785">
        <f>IF(A785="","",COUNTIF($A$5:$A$1004,"&lt;"&amp;A785)+COUNTIF($A$5:A785,A785))</f>
        <v/>
      </c>
    </row>
    <row r="786">
      <c r="A786" s="64" t="n"/>
      <c r="B786" s="64" t="n"/>
      <c r="C786" s="66" t="n"/>
      <c r="D786" s="66" t="n"/>
      <c r="E786" s="67" t="n"/>
      <c r="F786" s="67" t="n"/>
      <c r="G786" s="67" t="n"/>
      <c r="H786" s="67" t="n"/>
      <c r="I786" s="67" t="n"/>
      <c r="J786" s="67" t="n"/>
      <c r="K786" s="67" t="n"/>
      <c r="L786" s="67" t="n"/>
      <c r="M786" s="64" t="n"/>
      <c r="N786" s="84">
        <f>IF(A786="","",IFERROR(INDEX(Firms!$B$5:$B$1004,MATCH(A786,Firms!$A$5:$A$1004,0)),"Not on Firms tab"))</f>
        <v/>
      </c>
      <c r="O786" s="84">
        <f>IF(A786="","",IF(AND(D786&lt;&gt;"",D786&lt;TODAY()),"Expired",IF(AND(C786&lt;&gt;"",C786&gt;TODAY()),"Not yet effective",IF(C786="","No date",IF(TODAY()&gt;=EDATE(C786,Review_Months),"Review Due","Current")))))</f>
        <v/>
      </c>
      <c r="P786">
        <f>IF(A786="","",A786&amp;"|"&amp;B786)</f>
        <v/>
      </c>
      <c r="Q786">
        <f>IF(AND(A786&lt;&gt;"",A786='Firm Search'!$C$7),COUNTIF($A$5:A786,'Firm Search'!$C$7),"")</f>
        <v/>
      </c>
      <c r="R786">
        <f>IF(A786="","",COUNTIF($A$5:$A$1004,"&lt;"&amp;A786)+COUNTIF($A$5:A786,A786))</f>
        <v/>
      </c>
    </row>
    <row r="787">
      <c r="A787" s="64" t="n"/>
      <c r="B787" s="64" t="n"/>
      <c r="C787" s="66" t="n"/>
      <c r="D787" s="66" t="n"/>
      <c r="E787" s="67" t="n"/>
      <c r="F787" s="67" t="n"/>
      <c r="G787" s="67" t="n"/>
      <c r="H787" s="67" t="n"/>
      <c r="I787" s="67" t="n"/>
      <c r="J787" s="67" t="n"/>
      <c r="K787" s="67" t="n"/>
      <c r="L787" s="67" t="n"/>
      <c r="M787" s="64" t="n"/>
      <c r="N787" s="84">
        <f>IF(A787="","",IFERROR(INDEX(Firms!$B$5:$B$1004,MATCH(A787,Firms!$A$5:$A$1004,0)),"Not on Firms tab"))</f>
        <v/>
      </c>
      <c r="O787" s="84">
        <f>IF(A787="","",IF(AND(D787&lt;&gt;"",D787&lt;TODAY()),"Expired",IF(AND(C787&lt;&gt;"",C787&gt;TODAY()),"Not yet effective",IF(C787="","No date",IF(TODAY()&gt;=EDATE(C787,Review_Months),"Review Due","Current")))))</f>
        <v/>
      </c>
      <c r="P787">
        <f>IF(A787="","",A787&amp;"|"&amp;B787)</f>
        <v/>
      </c>
      <c r="Q787">
        <f>IF(AND(A787&lt;&gt;"",A787='Firm Search'!$C$7),COUNTIF($A$5:A787,'Firm Search'!$C$7),"")</f>
        <v/>
      </c>
      <c r="R787">
        <f>IF(A787="","",COUNTIF($A$5:$A$1004,"&lt;"&amp;A787)+COUNTIF($A$5:A787,A787))</f>
        <v/>
      </c>
    </row>
    <row r="788">
      <c r="A788" s="64" t="n"/>
      <c r="B788" s="64" t="n"/>
      <c r="C788" s="66" t="n"/>
      <c r="D788" s="66" t="n"/>
      <c r="E788" s="67" t="n"/>
      <c r="F788" s="67" t="n"/>
      <c r="G788" s="67" t="n"/>
      <c r="H788" s="67" t="n"/>
      <c r="I788" s="67" t="n"/>
      <c r="J788" s="67" t="n"/>
      <c r="K788" s="67" t="n"/>
      <c r="L788" s="67" t="n"/>
      <c r="M788" s="64" t="n"/>
      <c r="N788" s="84">
        <f>IF(A788="","",IFERROR(INDEX(Firms!$B$5:$B$1004,MATCH(A788,Firms!$A$5:$A$1004,0)),"Not on Firms tab"))</f>
        <v/>
      </c>
      <c r="O788" s="84">
        <f>IF(A788="","",IF(AND(D788&lt;&gt;"",D788&lt;TODAY()),"Expired",IF(AND(C788&lt;&gt;"",C788&gt;TODAY()),"Not yet effective",IF(C788="","No date",IF(TODAY()&gt;=EDATE(C788,Review_Months),"Review Due","Current")))))</f>
        <v/>
      </c>
      <c r="P788">
        <f>IF(A788="","",A788&amp;"|"&amp;B788)</f>
        <v/>
      </c>
      <c r="Q788">
        <f>IF(AND(A788&lt;&gt;"",A788='Firm Search'!$C$7),COUNTIF($A$5:A788,'Firm Search'!$C$7),"")</f>
        <v/>
      </c>
      <c r="R788">
        <f>IF(A788="","",COUNTIF($A$5:$A$1004,"&lt;"&amp;A788)+COUNTIF($A$5:A788,A788))</f>
        <v/>
      </c>
    </row>
    <row r="789">
      <c r="A789" s="64" t="n"/>
      <c r="B789" s="64" t="n"/>
      <c r="C789" s="66" t="n"/>
      <c r="D789" s="66" t="n"/>
      <c r="E789" s="67" t="n"/>
      <c r="F789" s="67" t="n"/>
      <c r="G789" s="67" t="n"/>
      <c r="H789" s="67" t="n"/>
      <c r="I789" s="67" t="n"/>
      <c r="J789" s="67" t="n"/>
      <c r="K789" s="67" t="n"/>
      <c r="L789" s="67" t="n"/>
      <c r="M789" s="64" t="n"/>
      <c r="N789" s="84">
        <f>IF(A789="","",IFERROR(INDEX(Firms!$B$5:$B$1004,MATCH(A789,Firms!$A$5:$A$1004,0)),"Not on Firms tab"))</f>
        <v/>
      </c>
      <c r="O789" s="84">
        <f>IF(A789="","",IF(AND(D789&lt;&gt;"",D789&lt;TODAY()),"Expired",IF(AND(C789&lt;&gt;"",C789&gt;TODAY()),"Not yet effective",IF(C789="","No date",IF(TODAY()&gt;=EDATE(C789,Review_Months),"Review Due","Current")))))</f>
        <v/>
      </c>
      <c r="P789">
        <f>IF(A789="","",A789&amp;"|"&amp;B789)</f>
        <v/>
      </c>
      <c r="Q789">
        <f>IF(AND(A789&lt;&gt;"",A789='Firm Search'!$C$7),COUNTIF($A$5:A789,'Firm Search'!$C$7),"")</f>
        <v/>
      </c>
      <c r="R789">
        <f>IF(A789="","",COUNTIF($A$5:$A$1004,"&lt;"&amp;A789)+COUNTIF($A$5:A789,A789))</f>
        <v/>
      </c>
    </row>
    <row r="790">
      <c r="A790" s="64" t="n"/>
      <c r="B790" s="64" t="n"/>
      <c r="C790" s="66" t="n"/>
      <c r="D790" s="66" t="n"/>
      <c r="E790" s="67" t="n"/>
      <c r="F790" s="67" t="n"/>
      <c r="G790" s="67" t="n"/>
      <c r="H790" s="67" t="n"/>
      <c r="I790" s="67" t="n"/>
      <c r="J790" s="67" t="n"/>
      <c r="K790" s="67" t="n"/>
      <c r="L790" s="67" t="n"/>
      <c r="M790" s="64" t="n"/>
      <c r="N790" s="84">
        <f>IF(A790="","",IFERROR(INDEX(Firms!$B$5:$B$1004,MATCH(A790,Firms!$A$5:$A$1004,0)),"Not on Firms tab"))</f>
        <v/>
      </c>
      <c r="O790" s="84">
        <f>IF(A790="","",IF(AND(D790&lt;&gt;"",D790&lt;TODAY()),"Expired",IF(AND(C790&lt;&gt;"",C790&gt;TODAY()),"Not yet effective",IF(C790="","No date",IF(TODAY()&gt;=EDATE(C790,Review_Months),"Review Due","Current")))))</f>
        <v/>
      </c>
      <c r="P790">
        <f>IF(A790="","",A790&amp;"|"&amp;B790)</f>
        <v/>
      </c>
      <c r="Q790">
        <f>IF(AND(A790&lt;&gt;"",A790='Firm Search'!$C$7),COUNTIF($A$5:A790,'Firm Search'!$C$7),"")</f>
        <v/>
      </c>
      <c r="R790">
        <f>IF(A790="","",COUNTIF($A$5:$A$1004,"&lt;"&amp;A790)+COUNTIF($A$5:A790,A790))</f>
        <v/>
      </c>
    </row>
    <row r="791">
      <c r="A791" s="64" t="n"/>
      <c r="B791" s="64" t="n"/>
      <c r="C791" s="66" t="n"/>
      <c r="D791" s="66" t="n"/>
      <c r="E791" s="67" t="n"/>
      <c r="F791" s="67" t="n"/>
      <c r="G791" s="67" t="n"/>
      <c r="H791" s="67" t="n"/>
      <c r="I791" s="67" t="n"/>
      <c r="J791" s="67" t="n"/>
      <c r="K791" s="67" t="n"/>
      <c r="L791" s="67" t="n"/>
      <c r="M791" s="64" t="n"/>
      <c r="N791" s="84">
        <f>IF(A791="","",IFERROR(INDEX(Firms!$B$5:$B$1004,MATCH(A791,Firms!$A$5:$A$1004,0)),"Not on Firms tab"))</f>
        <v/>
      </c>
      <c r="O791" s="84">
        <f>IF(A791="","",IF(AND(D791&lt;&gt;"",D791&lt;TODAY()),"Expired",IF(AND(C791&lt;&gt;"",C791&gt;TODAY()),"Not yet effective",IF(C791="","No date",IF(TODAY()&gt;=EDATE(C791,Review_Months),"Review Due","Current")))))</f>
        <v/>
      </c>
      <c r="P791">
        <f>IF(A791="","",A791&amp;"|"&amp;B791)</f>
        <v/>
      </c>
      <c r="Q791">
        <f>IF(AND(A791&lt;&gt;"",A791='Firm Search'!$C$7),COUNTIF($A$5:A791,'Firm Search'!$C$7),"")</f>
        <v/>
      </c>
      <c r="R791">
        <f>IF(A791="","",COUNTIF($A$5:$A$1004,"&lt;"&amp;A791)+COUNTIF($A$5:A791,A791))</f>
        <v/>
      </c>
    </row>
    <row r="792">
      <c r="A792" s="64" t="n"/>
      <c r="B792" s="64" t="n"/>
      <c r="C792" s="66" t="n"/>
      <c r="D792" s="66" t="n"/>
      <c r="E792" s="67" t="n"/>
      <c r="F792" s="67" t="n"/>
      <c r="G792" s="67" t="n"/>
      <c r="H792" s="67" t="n"/>
      <c r="I792" s="67" t="n"/>
      <c r="J792" s="67" t="n"/>
      <c r="K792" s="67" t="n"/>
      <c r="L792" s="67" t="n"/>
      <c r="M792" s="64" t="n"/>
      <c r="N792" s="84">
        <f>IF(A792="","",IFERROR(INDEX(Firms!$B$5:$B$1004,MATCH(A792,Firms!$A$5:$A$1004,0)),"Not on Firms tab"))</f>
        <v/>
      </c>
      <c r="O792" s="84">
        <f>IF(A792="","",IF(AND(D792&lt;&gt;"",D792&lt;TODAY()),"Expired",IF(AND(C792&lt;&gt;"",C792&gt;TODAY()),"Not yet effective",IF(C792="","No date",IF(TODAY()&gt;=EDATE(C792,Review_Months),"Review Due","Current")))))</f>
        <v/>
      </c>
      <c r="P792">
        <f>IF(A792="","",A792&amp;"|"&amp;B792)</f>
        <v/>
      </c>
      <c r="Q792">
        <f>IF(AND(A792&lt;&gt;"",A792='Firm Search'!$C$7),COUNTIF($A$5:A792,'Firm Search'!$C$7),"")</f>
        <v/>
      </c>
      <c r="R792">
        <f>IF(A792="","",COUNTIF($A$5:$A$1004,"&lt;"&amp;A792)+COUNTIF($A$5:A792,A792))</f>
        <v/>
      </c>
    </row>
    <row r="793">
      <c r="A793" s="64" t="n"/>
      <c r="B793" s="64" t="n"/>
      <c r="C793" s="66" t="n"/>
      <c r="D793" s="66" t="n"/>
      <c r="E793" s="67" t="n"/>
      <c r="F793" s="67" t="n"/>
      <c r="G793" s="67" t="n"/>
      <c r="H793" s="67" t="n"/>
      <c r="I793" s="67" t="n"/>
      <c r="J793" s="67" t="n"/>
      <c r="K793" s="67" t="n"/>
      <c r="L793" s="67" t="n"/>
      <c r="M793" s="64" t="n"/>
      <c r="N793" s="84">
        <f>IF(A793="","",IFERROR(INDEX(Firms!$B$5:$B$1004,MATCH(A793,Firms!$A$5:$A$1004,0)),"Not on Firms tab"))</f>
        <v/>
      </c>
      <c r="O793" s="84">
        <f>IF(A793="","",IF(AND(D793&lt;&gt;"",D793&lt;TODAY()),"Expired",IF(AND(C793&lt;&gt;"",C793&gt;TODAY()),"Not yet effective",IF(C793="","No date",IF(TODAY()&gt;=EDATE(C793,Review_Months),"Review Due","Current")))))</f>
        <v/>
      </c>
      <c r="P793">
        <f>IF(A793="","",A793&amp;"|"&amp;B793)</f>
        <v/>
      </c>
      <c r="Q793">
        <f>IF(AND(A793&lt;&gt;"",A793='Firm Search'!$C$7),COUNTIF($A$5:A793,'Firm Search'!$C$7),"")</f>
        <v/>
      </c>
      <c r="R793">
        <f>IF(A793="","",COUNTIF($A$5:$A$1004,"&lt;"&amp;A793)+COUNTIF($A$5:A793,A793))</f>
        <v/>
      </c>
    </row>
    <row r="794">
      <c r="A794" s="64" t="n"/>
      <c r="B794" s="64" t="n"/>
      <c r="C794" s="66" t="n"/>
      <c r="D794" s="66" t="n"/>
      <c r="E794" s="67" t="n"/>
      <c r="F794" s="67" t="n"/>
      <c r="G794" s="67" t="n"/>
      <c r="H794" s="67" t="n"/>
      <c r="I794" s="67" t="n"/>
      <c r="J794" s="67" t="n"/>
      <c r="K794" s="67" t="n"/>
      <c r="L794" s="67" t="n"/>
      <c r="M794" s="64" t="n"/>
      <c r="N794" s="84">
        <f>IF(A794="","",IFERROR(INDEX(Firms!$B$5:$B$1004,MATCH(A794,Firms!$A$5:$A$1004,0)),"Not on Firms tab"))</f>
        <v/>
      </c>
      <c r="O794" s="84">
        <f>IF(A794="","",IF(AND(D794&lt;&gt;"",D794&lt;TODAY()),"Expired",IF(AND(C794&lt;&gt;"",C794&gt;TODAY()),"Not yet effective",IF(C794="","No date",IF(TODAY()&gt;=EDATE(C794,Review_Months),"Review Due","Current")))))</f>
        <v/>
      </c>
      <c r="P794">
        <f>IF(A794="","",A794&amp;"|"&amp;B794)</f>
        <v/>
      </c>
      <c r="Q794">
        <f>IF(AND(A794&lt;&gt;"",A794='Firm Search'!$C$7),COUNTIF($A$5:A794,'Firm Search'!$C$7),"")</f>
        <v/>
      </c>
      <c r="R794">
        <f>IF(A794="","",COUNTIF($A$5:$A$1004,"&lt;"&amp;A794)+COUNTIF($A$5:A794,A794))</f>
        <v/>
      </c>
    </row>
    <row r="795">
      <c r="A795" s="64" t="n"/>
      <c r="B795" s="64" t="n"/>
      <c r="C795" s="66" t="n"/>
      <c r="D795" s="66" t="n"/>
      <c r="E795" s="67" t="n"/>
      <c r="F795" s="67" t="n"/>
      <c r="G795" s="67" t="n"/>
      <c r="H795" s="67" t="n"/>
      <c r="I795" s="67" t="n"/>
      <c r="J795" s="67" t="n"/>
      <c r="K795" s="67" t="n"/>
      <c r="L795" s="67" t="n"/>
      <c r="M795" s="64" t="n"/>
      <c r="N795" s="84">
        <f>IF(A795="","",IFERROR(INDEX(Firms!$B$5:$B$1004,MATCH(A795,Firms!$A$5:$A$1004,0)),"Not on Firms tab"))</f>
        <v/>
      </c>
      <c r="O795" s="84">
        <f>IF(A795="","",IF(AND(D795&lt;&gt;"",D795&lt;TODAY()),"Expired",IF(AND(C795&lt;&gt;"",C795&gt;TODAY()),"Not yet effective",IF(C795="","No date",IF(TODAY()&gt;=EDATE(C795,Review_Months),"Review Due","Current")))))</f>
        <v/>
      </c>
      <c r="P795">
        <f>IF(A795="","",A795&amp;"|"&amp;B795)</f>
        <v/>
      </c>
      <c r="Q795">
        <f>IF(AND(A795&lt;&gt;"",A795='Firm Search'!$C$7),COUNTIF($A$5:A795,'Firm Search'!$C$7),"")</f>
        <v/>
      </c>
      <c r="R795">
        <f>IF(A795="","",COUNTIF($A$5:$A$1004,"&lt;"&amp;A795)+COUNTIF($A$5:A795,A795))</f>
        <v/>
      </c>
    </row>
    <row r="796">
      <c r="A796" s="64" t="n"/>
      <c r="B796" s="64" t="n"/>
      <c r="C796" s="66" t="n"/>
      <c r="D796" s="66" t="n"/>
      <c r="E796" s="67" t="n"/>
      <c r="F796" s="67" t="n"/>
      <c r="G796" s="67" t="n"/>
      <c r="H796" s="67" t="n"/>
      <c r="I796" s="67" t="n"/>
      <c r="J796" s="67" t="n"/>
      <c r="K796" s="67" t="n"/>
      <c r="L796" s="67" t="n"/>
      <c r="M796" s="64" t="n"/>
      <c r="N796" s="84">
        <f>IF(A796="","",IFERROR(INDEX(Firms!$B$5:$B$1004,MATCH(A796,Firms!$A$5:$A$1004,0)),"Not on Firms tab"))</f>
        <v/>
      </c>
      <c r="O796" s="84">
        <f>IF(A796="","",IF(AND(D796&lt;&gt;"",D796&lt;TODAY()),"Expired",IF(AND(C796&lt;&gt;"",C796&gt;TODAY()),"Not yet effective",IF(C796="","No date",IF(TODAY()&gt;=EDATE(C796,Review_Months),"Review Due","Current")))))</f>
        <v/>
      </c>
      <c r="P796">
        <f>IF(A796="","",A796&amp;"|"&amp;B796)</f>
        <v/>
      </c>
      <c r="Q796">
        <f>IF(AND(A796&lt;&gt;"",A796='Firm Search'!$C$7),COUNTIF($A$5:A796,'Firm Search'!$C$7),"")</f>
        <v/>
      </c>
      <c r="R796">
        <f>IF(A796="","",COUNTIF($A$5:$A$1004,"&lt;"&amp;A796)+COUNTIF($A$5:A796,A796))</f>
        <v/>
      </c>
    </row>
    <row r="797">
      <c r="A797" s="64" t="n"/>
      <c r="B797" s="64" t="n"/>
      <c r="C797" s="66" t="n"/>
      <c r="D797" s="66" t="n"/>
      <c r="E797" s="67" t="n"/>
      <c r="F797" s="67" t="n"/>
      <c r="G797" s="67" t="n"/>
      <c r="H797" s="67" t="n"/>
      <c r="I797" s="67" t="n"/>
      <c r="J797" s="67" t="n"/>
      <c r="K797" s="67" t="n"/>
      <c r="L797" s="67" t="n"/>
      <c r="M797" s="64" t="n"/>
      <c r="N797" s="84">
        <f>IF(A797="","",IFERROR(INDEX(Firms!$B$5:$B$1004,MATCH(A797,Firms!$A$5:$A$1004,0)),"Not on Firms tab"))</f>
        <v/>
      </c>
      <c r="O797" s="84">
        <f>IF(A797="","",IF(AND(D797&lt;&gt;"",D797&lt;TODAY()),"Expired",IF(AND(C797&lt;&gt;"",C797&gt;TODAY()),"Not yet effective",IF(C797="","No date",IF(TODAY()&gt;=EDATE(C797,Review_Months),"Review Due","Current")))))</f>
        <v/>
      </c>
      <c r="P797">
        <f>IF(A797="","",A797&amp;"|"&amp;B797)</f>
        <v/>
      </c>
      <c r="Q797">
        <f>IF(AND(A797&lt;&gt;"",A797='Firm Search'!$C$7),COUNTIF($A$5:A797,'Firm Search'!$C$7),"")</f>
        <v/>
      </c>
      <c r="R797">
        <f>IF(A797="","",COUNTIF($A$5:$A$1004,"&lt;"&amp;A797)+COUNTIF($A$5:A797,A797))</f>
        <v/>
      </c>
    </row>
    <row r="798">
      <c r="A798" s="64" t="n"/>
      <c r="B798" s="64" t="n"/>
      <c r="C798" s="66" t="n"/>
      <c r="D798" s="66" t="n"/>
      <c r="E798" s="67" t="n"/>
      <c r="F798" s="67" t="n"/>
      <c r="G798" s="67" t="n"/>
      <c r="H798" s="67" t="n"/>
      <c r="I798" s="67" t="n"/>
      <c r="J798" s="67" t="n"/>
      <c r="K798" s="67" t="n"/>
      <c r="L798" s="67" t="n"/>
      <c r="M798" s="64" t="n"/>
      <c r="N798" s="84">
        <f>IF(A798="","",IFERROR(INDEX(Firms!$B$5:$B$1004,MATCH(A798,Firms!$A$5:$A$1004,0)),"Not on Firms tab"))</f>
        <v/>
      </c>
      <c r="O798" s="84">
        <f>IF(A798="","",IF(AND(D798&lt;&gt;"",D798&lt;TODAY()),"Expired",IF(AND(C798&lt;&gt;"",C798&gt;TODAY()),"Not yet effective",IF(C798="","No date",IF(TODAY()&gt;=EDATE(C798,Review_Months),"Review Due","Current")))))</f>
        <v/>
      </c>
      <c r="P798">
        <f>IF(A798="","",A798&amp;"|"&amp;B798)</f>
        <v/>
      </c>
      <c r="Q798">
        <f>IF(AND(A798&lt;&gt;"",A798='Firm Search'!$C$7),COUNTIF($A$5:A798,'Firm Search'!$C$7),"")</f>
        <v/>
      </c>
      <c r="R798">
        <f>IF(A798="","",COUNTIF($A$5:$A$1004,"&lt;"&amp;A798)+COUNTIF($A$5:A798,A798))</f>
        <v/>
      </c>
    </row>
    <row r="799">
      <c r="A799" s="64" t="n"/>
      <c r="B799" s="64" t="n"/>
      <c r="C799" s="66" t="n"/>
      <c r="D799" s="66" t="n"/>
      <c r="E799" s="67" t="n"/>
      <c r="F799" s="67" t="n"/>
      <c r="G799" s="67" t="n"/>
      <c r="H799" s="67" t="n"/>
      <c r="I799" s="67" t="n"/>
      <c r="J799" s="67" t="n"/>
      <c r="K799" s="67" t="n"/>
      <c r="L799" s="67" t="n"/>
      <c r="M799" s="64" t="n"/>
      <c r="N799" s="84">
        <f>IF(A799="","",IFERROR(INDEX(Firms!$B$5:$B$1004,MATCH(A799,Firms!$A$5:$A$1004,0)),"Not on Firms tab"))</f>
        <v/>
      </c>
      <c r="O799" s="84">
        <f>IF(A799="","",IF(AND(D799&lt;&gt;"",D799&lt;TODAY()),"Expired",IF(AND(C799&lt;&gt;"",C799&gt;TODAY()),"Not yet effective",IF(C799="","No date",IF(TODAY()&gt;=EDATE(C799,Review_Months),"Review Due","Current")))))</f>
        <v/>
      </c>
      <c r="P799">
        <f>IF(A799="","",A799&amp;"|"&amp;B799)</f>
        <v/>
      </c>
      <c r="Q799">
        <f>IF(AND(A799&lt;&gt;"",A799='Firm Search'!$C$7),COUNTIF($A$5:A799,'Firm Search'!$C$7),"")</f>
        <v/>
      </c>
      <c r="R799">
        <f>IF(A799="","",COUNTIF($A$5:$A$1004,"&lt;"&amp;A799)+COUNTIF($A$5:A799,A799))</f>
        <v/>
      </c>
    </row>
    <row r="800">
      <c r="A800" s="64" t="n"/>
      <c r="B800" s="64" t="n"/>
      <c r="C800" s="66" t="n"/>
      <c r="D800" s="66" t="n"/>
      <c r="E800" s="67" t="n"/>
      <c r="F800" s="67" t="n"/>
      <c r="G800" s="67" t="n"/>
      <c r="H800" s="67" t="n"/>
      <c r="I800" s="67" t="n"/>
      <c r="J800" s="67" t="n"/>
      <c r="K800" s="67" t="n"/>
      <c r="L800" s="67" t="n"/>
      <c r="M800" s="64" t="n"/>
      <c r="N800" s="84">
        <f>IF(A800="","",IFERROR(INDEX(Firms!$B$5:$B$1004,MATCH(A800,Firms!$A$5:$A$1004,0)),"Not on Firms tab"))</f>
        <v/>
      </c>
      <c r="O800" s="84">
        <f>IF(A800="","",IF(AND(D800&lt;&gt;"",D800&lt;TODAY()),"Expired",IF(AND(C800&lt;&gt;"",C800&gt;TODAY()),"Not yet effective",IF(C800="","No date",IF(TODAY()&gt;=EDATE(C800,Review_Months),"Review Due","Current")))))</f>
        <v/>
      </c>
      <c r="P800">
        <f>IF(A800="","",A800&amp;"|"&amp;B800)</f>
        <v/>
      </c>
      <c r="Q800">
        <f>IF(AND(A800&lt;&gt;"",A800='Firm Search'!$C$7),COUNTIF($A$5:A800,'Firm Search'!$C$7),"")</f>
        <v/>
      </c>
      <c r="R800">
        <f>IF(A800="","",COUNTIF($A$5:$A$1004,"&lt;"&amp;A800)+COUNTIF($A$5:A800,A800))</f>
        <v/>
      </c>
    </row>
    <row r="801">
      <c r="A801" s="64" t="n"/>
      <c r="B801" s="64" t="n"/>
      <c r="C801" s="66" t="n"/>
      <c r="D801" s="66" t="n"/>
      <c r="E801" s="67" t="n"/>
      <c r="F801" s="67" t="n"/>
      <c r="G801" s="67" t="n"/>
      <c r="H801" s="67" t="n"/>
      <c r="I801" s="67" t="n"/>
      <c r="J801" s="67" t="n"/>
      <c r="K801" s="67" t="n"/>
      <c r="L801" s="67" t="n"/>
      <c r="M801" s="64" t="n"/>
      <c r="N801" s="84">
        <f>IF(A801="","",IFERROR(INDEX(Firms!$B$5:$B$1004,MATCH(A801,Firms!$A$5:$A$1004,0)),"Not on Firms tab"))</f>
        <v/>
      </c>
      <c r="O801" s="84">
        <f>IF(A801="","",IF(AND(D801&lt;&gt;"",D801&lt;TODAY()),"Expired",IF(AND(C801&lt;&gt;"",C801&gt;TODAY()),"Not yet effective",IF(C801="","No date",IF(TODAY()&gt;=EDATE(C801,Review_Months),"Review Due","Current")))))</f>
        <v/>
      </c>
      <c r="P801">
        <f>IF(A801="","",A801&amp;"|"&amp;B801)</f>
        <v/>
      </c>
      <c r="Q801">
        <f>IF(AND(A801&lt;&gt;"",A801='Firm Search'!$C$7),COUNTIF($A$5:A801,'Firm Search'!$C$7),"")</f>
        <v/>
      </c>
      <c r="R801">
        <f>IF(A801="","",COUNTIF($A$5:$A$1004,"&lt;"&amp;A801)+COUNTIF($A$5:A801,A801))</f>
        <v/>
      </c>
    </row>
    <row r="802">
      <c r="A802" s="64" t="n"/>
      <c r="B802" s="64" t="n"/>
      <c r="C802" s="66" t="n"/>
      <c r="D802" s="66" t="n"/>
      <c r="E802" s="67" t="n"/>
      <c r="F802" s="67" t="n"/>
      <c r="G802" s="67" t="n"/>
      <c r="H802" s="67" t="n"/>
      <c r="I802" s="67" t="n"/>
      <c r="J802" s="67" t="n"/>
      <c r="K802" s="67" t="n"/>
      <c r="L802" s="67" t="n"/>
      <c r="M802" s="64" t="n"/>
      <c r="N802" s="84">
        <f>IF(A802="","",IFERROR(INDEX(Firms!$B$5:$B$1004,MATCH(A802,Firms!$A$5:$A$1004,0)),"Not on Firms tab"))</f>
        <v/>
      </c>
      <c r="O802" s="84">
        <f>IF(A802="","",IF(AND(D802&lt;&gt;"",D802&lt;TODAY()),"Expired",IF(AND(C802&lt;&gt;"",C802&gt;TODAY()),"Not yet effective",IF(C802="","No date",IF(TODAY()&gt;=EDATE(C802,Review_Months),"Review Due","Current")))))</f>
        <v/>
      </c>
      <c r="P802">
        <f>IF(A802="","",A802&amp;"|"&amp;B802)</f>
        <v/>
      </c>
      <c r="Q802">
        <f>IF(AND(A802&lt;&gt;"",A802='Firm Search'!$C$7),COUNTIF($A$5:A802,'Firm Search'!$C$7),"")</f>
        <v/>
      </c>
      <c r="R802">
        <f>IF(A802="","",COUNTIF($A$5:$A$1004,"&lt;"&amp;A802)+COUNTIF($A$5:A802,A802))</f>
        <v/>
      </c>
    </row>
    <row r="803">
      <c r="A803" s="64" t="n"/>
      <c r="B803" s="64" t="n"/>
      <c r="C803" s="66" t="n"/>
      <c r="D803" s="66" t="n"/>
      <c r="E803" s="67" t="n"/>
      <c r="F803" s="67" t="n"/>
      <c r="G803" s="67" t="n"/>
      <c r="H803" s="67" t="n"/>
      <c r="I803" s="67" t="n"/>
      <c r="J803" s="67" t="n"/>
      <c r="K803" s="67" t="n"/>
      <c r="L803" s="67" t="n"/>
      <c r="M803" s="64" t="n"/>
      <c r="N803" s="84">
        <f>IF(A803="","",IFERROR(INDEX(Firms!$B$5:$B$1004,MATCH(A803,Firms!$A$5:$A$1004,0)),"Not on Firms tab"))</f>
        <v/>
      </c>
      <c r="O803" s="84">
        <f>IF(A803="","",IF(AND(D803&lt;&gt;"",D803&lt;TODAY()),"Expired",IF(AND(C803&lt;&gt;"",C803&gt;TODAY()),"Not yet effective",IF(C803="","No date",IF(TODAY()&gt;=EDATE(C803,Review_Months),"Review Due","Current")))))</f>
        <v/>
      </c>
      <c r="P803">
        <f>IF(A803="","",A803&amp;"|"&amp;B803)</f>
        <v/>
      </c>
      <c r="Q803">
        <f>IF(AND(A803&lt;&gt;"",A803='Firm Search'!$C$7),COUNTIF($A$5:A803,'Firm Search'!$C$7),"")</f>
        <v/>
      </c>
      <c r="R803">
        <f>IF(A803="","",COUNTIF($A$5:$A$1004,"&lt;"&amp;A803)+COUNTIF($A$5:A803,A803))</f>
        <v/>
      </c>
    </row>
    <row r="804">
      <c r="A804" s="64" t="n"/>
      <c r="B804" s="64" t="n"/>
      <c r="C804" s="66" t="n"/>
      <c r="D804" s="66" t="n"/>
      <c r="E804" s="67" t="n"/>
      <c r="F804" s="67" t="n"/>
      <c r="G804" s="67" t="n"/>
      <c r="H804" s="67" t="n"/>
      <c r="I804" s="67" t="n"/>
      <c r="J804" s="67" t="n"/>
      <c r="K804" s="67" t="n"/>
      <c r="L804" s="67" t="n"/>
      <c r="M804" s="64" t="n"/>
      <c r="N804" s="84">
        <f>IF(A804="","",IFERROR(INDEX(Firms!$B$5:$B$1004,MATCH(A804,Firms!$A$5:$A$1004,0)),"Not on Firms tab"))</f>
        <v/>
      </c>
      <c r="O804" s="84">
        <f>IF(A804="","",IF(AND(D804&lt;&gt;"",D804&lt;TODAY()),"Expired",IF(AND(C804&lt;&gt;"",C804&gt;TODAY()),"Not yet effective",IF(C804="","No date",IF(TODAY()&gt;=EDATE(C804,Review_Months),"Review Due","Current")))))</f>
        <v/>
      </c>
      <c r="P804">
        <f>IF(A804="","",A804&amp;"|"&amp;B804)</f>
        <v/>
      </c>
      <c r="Q804">
        <f>IF(AND(A804&lt;&gt;"",A804='Firm Search'!$C$7),COUNTIF($A$5:A804,'Firm Search'!$C$7),"")</f>
        <v/>
      </c>
      <c r="R804">
        <f>IF(A804="","",COUNTIF($A$5:$A$1004,"&lt;"&amp;A804)+COUNTIF($A$5:A804,A804))</f>
        <v/>
      </c>
    </row>
    <row r="805">
      <c r="A805" s="64" t="n"/>
      <c r="B805" s="64" t="n"/>
      <c r="C805" s="66" t="n"/>
      <c r="D805" s="66" t="n"/>
      <c r="E805" s="67" t="n"/>
      <c r="F805" s="67" t="n"/>
      <c r="G805" s="67" t="n"/>
      <c r="H805" s="67" t="n"/>
      <c r="I805" s="67" t="n"/>
      <c r="J805" s="67" t="n"/>
      <c r="K805" s="67" t="n"/>
      <c r="L805" s="67" t="n"/>
      <c r="M805" s="64" t="n"/>
      <c r="N805" s="84">
        <f>IF(A805="","",IFERROR(INDEX(Firms!$B$5:$B$1004,MATCH(A805,Firms!$A$5:$A$1004,0)),"Not on Firms tab"))</f>
        <v/>
      </c>
      <c r="O805" s="84">
        <f>IF(A805="","",IF(AND(D805&lt;&gt;"",D805&lt;TODAY()),"Expired",IF(AND(C805&lt;&gt;"",C805&gt;TODAY()),"Not yet effective",IF(C805="","No date",IF(TODAY()&gt;=EDATE(C805,Review_Months),"Review Due","Current")))))</f>
        <v/>
      </c>
      <c r="P805">
        <f>IF(A805="","",A805&amp;"|"&amp;B805)</f>
        <v/>
      </c>
      <c r="Q805">
        <f>IF(AND(A805&lt;&gt;"",A805='Firm Search'!$C$7),COUNTIF($A$5:A805,'Firm Search'!$C$7),"")</f>
        <v/>
      </c>
      <c r="R805">
        <f>IF(A805="","",COUNTIF($A$5:$A$1004,"&lt;"&amp;A805)+COUNTIF($A$5:A805,A805))</f>
        <v/>
      </c>
    </row>
    <row r="806">
      <c r="A806" s="64" t="n"/>
      <c r="B806" s="64" t="n"/>
      <c r="C806" s="66" t="n"/>
      <c r="D806" s="66" t="n"/>
      <c r="E806" s="67" t="n"/>
      <c r="F806" s="67" t="n"/>
      <c r="G806" s="67" t="n"/>
      <c r="H806" s="67" t="n"/>
      <c r="I806" s="67" t="n"/>
      <c r="J806" s="67" t="n"/>
      <c r="K806" s="67" t="n"/>
      <c r="L806" s="67" t="n"/>
      <c r="M806" s="64" t="n"/>
      <c r="N806" s="84">
        <f>IF(A806="","",IFERROR(INDEX(Firms!$B$5:$B$1004,MATCH(A806,Firms!$A$5:$A$1004,0)),"Not on Firms tab"))</f>
        <v/>
      </c>
      <c r="O806" s="84">
        <f>IF(A806="","",IF(AND(D806&lt;&gt;"",D806&lt;TODAY()),"Expired",IF(AND(C806&lt;&gt;"",C806&gt;TODAY()),"Not yet effective",IF(C806="","No date",IF(TODAY()&gt;=EDATE(C806,Review_Months),"Review Due","Current")))))</f>
        <v/>
      </c>
      <c r="P806">
        <f>IF(A806="","",A806&amp;"|"&amp;B806)</f>
        <v/>
      </c>
      <c r="Q806">
        <f>IF(AND(A806&lt;&gt;"",A806='Firm Search'!$C$7),COUNTIF($A$5:A806,'Firm Search'!$C$7),"")</f>
        <v/>
      </c>
      <c r="R806">
        <f>IF(A806="","",COUNTIF($A$5:$A$1004,"&lt;"&amp;A806)+COUNTIF($A$5:A806,A806))</f>
        <v/>
      </c>
    </row>
    <row r="807">
      <c r="A807" s="64" t="n"/>
      <c r="B807" s="64" t="n"/>
      <c r="C807" s="66" t="n"/>
      <c r="D807" s="66" t="n"/>
      <c r="E807" s="67" t="n"/>
      <c r="F807" s="67" t="n"/>
      <c r="G807" s="67" t="n"/>
      <c r="H807" s="67" t="n"/>
      <c r="I807" s="67" t="n"/>
      <c r="J807" s="67" t="n"/>
      <c r="K807" s="67" t="n"/>
      <c r="L807" s="67" t="n"/>
      <c r="M807" s="64" t="n"/>
      <c r="N807" s="84">
        <f>IF(A807="","",IFERROR(INDEX(Firms!$B$5:$B$1004,MATCH(A807,Firms!$A$5:$A$1004,0)),"Not on Firms tab"))</f>
        <v/>
      </c>
      <c r="O807" s="84">
        <f>IF(A807="","",IF(AND(D807&lt;&gt;"",D807&lt;TODAY()),"Expired",IF(AND(C807&lt;&gt;"",C807&gt;TODAY()),"Not yet effective",IF(C807="","No date",IF(TODAY()&gt;=EDATE(C807,Review_Months),"Review Due","Current")))))</f>
        <v/>
      </c>
      <c r="P807">
        <f>IF(A807="","",A807&amp;"|"&amp;B807)</f>
        <v/>
      </c>
      <c r="Q807">
        <f>IF(AND(A807&lt;&gt;"",A807='Firm Search'!$C$7),COUNTIF($A$5:A807,'Firm Search'!$C$7),"")</f>
        <v/>
      </c>
      <c r="R807">
        <f>IF(A807="","",COUNTIF($A$5:$A$1004,"&lt;"&amp;A807)+COUNTIF($A$5:A807,A807))</f>
        <v/>
      </c>
    </row>
    <row r="808">
      <c r="A808" s="64" t="n"/>
      <c r="B808" s="64" t="n"/>
      <c r="C808" s="66" t="n"/>
      <c r="D808" s="66" t="n"/>
      <c r="E808" s="67" t="n"/>
      <c r="F808" s="67" t="n"/>
      <c r="G808" s="67" t="n"/>
      <c r="H808" s="67" t="n"/>
      <c r="I808" s="67" t="n"/>
      <c r="J808" s="67" t="n"/>
      <c r="K808" s="67" t="n"/>
      <c r="L808" s="67" t="n"/>
      <c r="M808" s="64" t="n"/>
      <c r="N808" s="84">
        <f>IF(A808="","",IFERROR(INDEX(Firms!$B$5:$B$1004,MATCH(A808,Firms!$A$5:$A$1004,0)),"Not on Firms tab"))</f>
        <v/>
      </c>
      <c r="O808" s="84">
        <f>IF(A808="","",IF(AND(D808&lt;&gt;"",D808&lt;TODAY()),"Expired",IF(AND(C808&lt;&gt;"",C808&gt;TODAY()),"Not yet effective",IF(C808="","No date",IF(TODAY()&gt;=EDATE(C808,Review_Months),"Review Due","Current")))))</f>
        <v/>
      </c>
      <c r="P808">
        <f>IF(A808="","",A808&amp;"|"&amp;B808)</f>
        <v/>
      </c>
      <c r="Q808">
        <f>IF(AND(A808&lt;&gt;"",A808='Firm Search'!$C$7),COUNTIF($A$5:A808,'Firm Search'!$C$7),"")</f>
        <v/>
      </c>
      <c r="R808">
        <f>IF(A808="","",COUNTIF($A$5:$A$1004,"&lt;"&amp;A808)+COUNTIF($A$5:A808,A808))</f>
        <v/>
      </c>
    </row>
    <row r="809">
      <c r="A809" s="64" t="n"/>
      <c r="B809" s="64" t="n"/>
      <c r="C809" s="66" t="n"/>
      <c r="D809" s="66" t="n"/>
      <c r="E809" s="67" t="n"/>
      <c r="F809" s="67" t="n"/>
      <c r="G809" s="67" t="n"/>
      <c r="H809" s="67" t="n"/>
      <c r="I809" s="67" t="n"/>
      <c r="J809" s="67" t="n"/>
      <c r="K809" s="67" t="n"/>
      <c r="L809" s="67" t="n"/>
      <c r="M809" s="64" t="n"/>
      <c r="N809" s="84">
        <f>IF(A809="","",IFERROR(INDEX(Firms!$B$5:$B$1004,MATCH(A809,Firms!$A$5:$A$1004,0)),"Not on Firms tab"))</f>
        <v/>
      </c>
      <c r="O809" s="84">
        <f>IF(A809="","",IF(AND(D809&lt;&gt;"",D809&lt;TODAY()),"Expired",IF(AND(C809&lt;&gt;"",C809&gt;TODAY()),"Not yet effective",IF(C809="","No date",IF(TODAY()&gt;=EDATE(C809,Review_Months),"Review Due","Current")))))</f>
        <v/>
      </c>
      <c r="P809">
        <f>IF(A809="","",A809&amp;"|"&amp;B809)</f>
        <v/>
      </c>
      <c r="Q809">
        <f>IF(AND(A809&lt;&gt;"",A809='Firm Search'!$C$7),COUNTIF($A$5:A809,'Firm Search'!$C$7),"")</f>
        <v/>
      </c>
      <c r="R809">
        <f>IF(A809="","",COUNTIF($A$5:$A$1004,"&lt;"&amp;A809)+COUNTIF($A$5:A809,A809))</f>
        <v/>
      </c>
    </row>
    <row r="810">
      <c r="A810" s="64" t="n"/>
      <c r="B810" s="64" t="n"/>
      <c r="C810" s="66" t="n"/>
      <c r="D810" s="66" t="n"/>
      <c r="E810" s="67" t="n"/>
      <c r="F810" s="67" t="n"/>
      <c r="G810" s="67" t="n"/>
      <c r="H810" s="67" t="n"/>
      <c r="I810" s="67" t="n"/>
      <c r="J810" s="67" t="n"/>
      <c r="K810" s="67" t="n"/>
      <c r="L810" s="67" t="n"/>
      <c r="M810" s="64" t="n"/>
      <c r="N810" s="84">
        <f>IF(A810="","",IFERROR(INDEX(Firms!$B$5:$B$1004,MATCH(A810,Firms!$A$5:$A$1004,0)),"Not on Firms tab"))</f>
        <v/>
      </c>
      <c r="O810" s="84">
        <f>IF(A810="","",IF(AND(D810&lt;&gt;"",D810&lt;TODAY()),"Expired",IF(AND(C810&lt;&gt;"",C810&gt;TODAY()),"Not yet effective",IF(C810="","No date",IF(TODAY()&gt;=EDATE(C810,Review_Months),"Review Due","Current")))))</f>
        <v/>
      </c>
      <c r="P810">
        <f>IF(A810="","",A810&amp;"|"&amp;B810)</f>
        <v/>
      </c>
      <c r="Q810">
        <f>IF(AND(A810&lt;&gt;"",A810='Firm Search'!$C$7),COUNTIF($A$5:A810,'Firm Search'!$C$7),"")</f>
        <v/>
      </c>
      <c r="R810">
        <f>IF(A810="","",COUNTIF($A$5:$A$1004,"&lt;"&amp;A810)+COUNTIF($A$5:A810,A810))</f>
        <v/>
      </c>
    </row>
    <row r="811">
      <c r="A811" s="64" t="n"/>
      <c r="B811" s="64" t="n"/>
      <c r="C811" s="66" t="n"/>
      <c r="D811" s="66" t="n"/>
      <c r="E811" s="67" t="n"/>
      <c r="F811" s="67" t="n"/>
      <c r="G811" s="67" t="n"/>
      <c r="H811" s="67" t="n"/>
      <c r="I811" s="67" t="n"/>
      <c r="J811" s="67" t="n"/>
      <c r="K811" s="67" t="n"/>
      <c r="L811" s="67" t="n"/>
      <c r="M811" s="64" t="n"/>
      <c r="N811" s="84">
        <f>IF(A811="","",IFERROR(INDEX(Firms!$B$5:$B$1004,MATCH(A811,Firms!$A$5:$A$1004,0)),"Not on Firms tab"))</f>
        <v/>
      </c>
      <c r="O811" s="84">
        <f>IF(A811="","",IF(AND(D811&lt;&gt;"",D811&lt;TODAY()),"Expired",IF(AND(C811&lt;&gt;"",C811&gt;TODAY()),"Not yet effective",IF(C811="","No date",IF(TODAY()&gt;=EDATE(C811,Review_Months),"Review Due","Current")))))</f>
        <v/>
      </c>
      <c r="P811">
        <f>IF(A811="","",A811&amp;"|"&amp;B811)</f>
        <v/>
      </c>
      <c r="Q811">
        <f>IF(AND(A811&lt;&gt;"",A811='Firm Search'!$C$7),COUNTIF($A$5:A811,'Firm Search'!$C$7),"")</f>
        <v/>
      </c>
      <c r="R811">
        <f>IF(A811="","",COUNTIF($A$5:$A$1004,"&lt;"&amp;A811)+COUNTIF($A$5:A811,A811))</f>
        <v/>
      </c>
    </row>
    <row r="812">
      <c r="A812" s="64" t="n"/>
      <c r="B812" s="64" t="n"/>
      <c r="C812" s="66" t="n"/>
      <c r="D812" s="66" t="n"/>
      <c r="E812" s="67" t="n"/>
      <c r="F812" s="67" t="n"/>
      <c r="G812" s="67" t="n"/>
      <c r="H812" s="67" t="n"/>
      <c r="I812" s="67" t="n"/>
      <c r="J812" s="67" t="n"/>
      <c r="K812" s="67" t="n"/>
      <c r="L812" s="67" t="n"/>
      <c r="M812" s="64" t="n"/>
      <c r="N812" s="84">
        <f>IF(A812="","",IFERROR(INDEX(Firms!$B$5:$B$1004,MATCH(A812,Firms!$A$5:$A$1004,0)),"Not on Firms tab"))</f>
        <v/>
      </c>
      <c r="O812" s="84">
        <f>IF(A812="","",IF(AND(D812&lt;&gt;"",D812&lt;TODAY()),"Expired",IF(AND(C812&lt;&gt;"",C812&gt;TODAY()),"Not yet effective",IF(C812="","No date",IF(TODAY()&gt;=EDATE(C812,Review_Months),"Review Due","Current")))))</f>
        <v/>
      </c>
      <c r="P812">
        <f>IF(A812="","",A812&amp;"|"&amp;B812)</f>
        <v/>
      </c>
      <c r="Q812">
        <f>IF(AND(A812&lt;&gt;"",A812='Firm Search'!$C$7),COUNTIF($A$5:A812,'Firm Search'!$C$7),"")</f>
        <v/>
      </c>
      <c r="R812">
        <f>IF(A812="","",COUNTIF($A$5:$A$1004,"&lt;"&amp;A812)+COUNTIF($A$5:A812,A812))</f>
        <v/>
      </c>
    </row>
    <row r="813">
      <c r="A813" s="64" t="n"/>
      <c r="B813" s="64" t="n"/>
      <c r="C813" s="66" t="n"/>
      <c r="D813" s="66" t="n"/>
      <c r="E813" s="67" t="n"/>
      <c r="F813" s="67" t="n"/>
      <c r="G813" s="67" t="n"/>
      <c r="H813" s="67" t="n"/>
      <c r="I813" s="67" t="n"/>
      <c r="J813" s="67" t="n"/>
      <c r="K813" s="67" t="n"/>
      <c r="L813" s="67" t="n"/>
      <c r="M813" s="64" t="n"/>
      <c r="N813" s="84">
        <f>IF(A813="","",IFERROR(INDEX(Firms!$B$5:$B$1004,MATCH(A813,Firms!$A$5:$A$1004,0)),"Not on Firms tab"))</f>
        <v/>
      </c>
      <c r="O813" s="84">
        <f>IF(A813="","",IF(AND(D813&lt;&gt;"",D813&lt;TODAY()),"Expired",IF(AND(C813&lt;&gt;"",C813&gt;TODAY()),"Not yet effective",IF(C813="","No date",IF(TODAY()&gt;=EDATE(C813,Review_Months),"Review Due","Current")))))</f>
        <v/>
      </c>
      <c r="P813">
        <f>IF(A813="","",A813&amp;"|"&amp;B813)</f>
        <v/>
      </c>
      <c r="Q813">
        <f>IF(AND(A813&lt;&gt;"",A813='Firm Search'!$C$7),COUNTIF($A$5:A813,'Firm Search'!$C$7),"")</f>
        <v/>
      </c>
      <c r="R813">
        <f>IF(A813="","",COUNTIF($A$5:$A$1004,"&lt;"&amp;A813)+COUNTIF($A$5:A813,A813))</f>
        <v/>
      </c>
    </row>
    <row r="814">
      <c r="A814" s="64" t="n"/>
      <c r="B814" s="64" t="n"/>
      <c r="C814" s="66" t="n"/>
      <c r="D814" s="66" t="n"/>
      <c r="E814" s="67" t="n"/>
      <c r="F814" s="67" t="n"/>
      <c r="G814" s="67" t="n"/>
      <c r="H814" s="67" t="n"/>
      <c r="I814" s="67" t="n"/>
      <c r="J814" s="67" t="n"/>
      <c r="K814" s="67" t="n"/>
      <c r="L814" s="67" t="n"/>
      <c r="M814" s="64" t="n"/>
      <c r="N814" s="84">
        <f>IF(A814="","",IFERROR(INDEX(Firms!$B$5:$B$1004,MATCH(A814,Firms!$A$5:$A$1004,0)),"Not on Firms tab"))</f>
        <v/>
      </c>
      <c r="O814" s="84">
        <f>IF(A814="","",IF(AND(D814&lt;&gt;"",D814&lt;TODAY()),"Expired",IF(AND(C814&lt;&gt;"",C814&gt;TODAY()),"Not yet effective",IF(C814="","No date",IF(TODAY()&gt;=EDATE(C814,Review_Months),"Review Due","Current")))))</f>
        <v/>
      </c>
      <c r="P814">
        <f>IF(A814="","",A814&amp;"|"&amp;B814)</f>
        <v/>
      </c>
      <c r="Q814">
        <f>IF(AND(A814&lt;&gt;"",A814='Firm Search'!$C$7),COUNTIF($A$5:A814,'Firm Search'!$C$7),"")</f>
        <v/>
      </c>
      <c r="R814">
        <f>IF(A814="","",COUNTIF($A$5:$A$1004,"&lt;"&amp;A814)+COUNTIF($A$5:A814,A814))</f>
        <v/>
      </c>
    </row>
    <row r="815">
      <c r="A815" s="64" t="n"/>
      <c r="B815" s="64" t="n"/>
      <c r="C815" s="66" t="n"/>
      <c r="D815" s="66" t="n"/>
      <c r="E815" s="67" t="n"/>
      <c r="F815" s="67" t="n"/>
      <c r="G815" s="67" t="n"/>
      <c r="H815" s="67" t="n"/>
      <c r="I815" s="67" t="n"/>
      <c r="J815" s="67" t="n"/>
      <c r="K815" s="67" t="n"/>
      <c r="L815" s="67" t="n"/>
      <c r="M815" s="64" t="n"/>
      <c r="N815" s="84">
        <f>IF(A815="","",IFERROR(INDEX(Firms!$B$5:$B$1004,MATCH(A815,Firms!$A$5:$A$1004,0)),"Not on Firms tab"))</f>
        <v/>
      </c>
      <c r="O815" s="84">
        <f>IF(A815="","",IF(AND(D815&lt;&gt;"",D815&lt;TODAY()),"Expired",IF(AND(C815&lt;&gt;"",C815&gt;TODAY()),"Not yet effective",IF(C815="","No date",IF(TODAY()&gt;=EDATE(C815,Review_Months),"Review Due","Current")))))</f>
        <v/>
      </c>
      <c r="P815">
        <f>IF(A815="","",A815&amp;"|"&amp;B815)</f>
        <v/>
      </c>
      <c r="Q815">
        <f>IF(AND(A815&lt;&gt;"",A815='Firm Search'!$C$7),COUNTIF($A$5:A815,'Firm Search'!$C$7),"")</f>
        <v/>
      </c>
      <c r="R815">
        <f>IF(A815="","",COUNTIF($A$5:$A$1004,"&lt;"&amp;A815)+COUNTIF($A$5:A815,A815))</f>
        <v/>
      </c>
    </row>
    <row r="816">
      <c r="A816" s="64" t="n"/>
      <c r="B816" s="64" t="n"/>
      <c r="C816" s="66" t="n"/>
      <c r="D816" s="66" t="n"/>
      <c r="E816" s="67" t="n"/>
      <c r="F816" s="67" t="n"/>
      <c r="G816" s="67" t="n"/>
      <c r="H816" s="67" t="n"/>
      <c r="I816" s="67" t="n"/>
      <c r="J816" s="67" t="n"/>
      <c r="K816" s="67" t="n"/>
      <c r="L816" s="67" t="n"/>
      <c r="M816" s="64" t="n"/>
      <c r="N816" s="84">
        <f>IF(A816="","",IFERROR(INDEX(Firms!$B$5:$B$1004,MATCH(A816,Firms!$A$5:$A$1004,0)),"Not on Firms tab"))</f>
        <v/>
      </c>
      <c r="O816" s="84">
        <f>IF(A816="","",IF(AND(D816&lt;&gt;"",D816&lt;TODAY()),"Expired",IF(AND(C816&lt;&gt;"",C816&gt;TODAY()),"Not yet effective",IF(C816="","No date",IF(TODAY()&gt;=EDATE(C816,Review_Months),"Review Due","Current")))))</f>
        <v/>
      </c>
      <c r="P816">
        <f>IF(A816="","",A816&amp;"|"&amp;B816)</f>
        <v/>
      </c>
      <c r="Q816">
        <f>IF(AND(A816&lt;&gt;"",A816='Firm Search'!$C$7),COUNTIF($A$5:A816,'Firm Search'!$C$7),"")</f>
        <v/>
      </c>
      <c r="R816">
        <f>IF(A816="","",COUNTIF($A$5:$A$1004,"&lt;"&amp;A816)+COUNTIF($A$5:A816,A816))</f>
        <v/>
      </c>
    </row>
    <row r="817">
      <c r="A817" s="64" t="n"/>
      <c r="B817" s="64" t="n"/>
      <c r="C817" s="66" t="n"/>
      <c r="D817" s="66" t="n"/>
      <c r="E817" s="67" t="n"/>
      <c r="F817" s="67" t="n"/>
      <c r="G817" s="67" t="n"/>
      <c r="H817" s="67" t="n"/>
      <c r="I817" s="67" t="n"/>
      <c r="J817" s="67" t="n"/>
      <c r="K817" s="67" t="n"/>
      <c r="L817" s="67" t="n"/>
      <c r="M817" s="64" t="n"/>
      <c r="N817" s="84">
        <f>IF(A817="","",IFERROR(INDEX(Firms!$B$5:$B$1004,MATCH(A817,Firms!$A$5:$A$1004,0)),"Not on Firms tab"))</f>
        <v/>
      </c>
      <c r="O817" s="84">
        <f>IF(A817="","",IF(AND(D817&lt;&gt;"",D817&lt;TODAY()),"Expired",IF(AND(C817&lt;&gt;"",C817&gt;TODAY()),"Not yet effective",IF(C817="","No date",IF(TODAY()&gt;=EDATE(C817,Review_Months),"Review Due","Current")))))</f>
        <v/>
      </c>
      <c r="P817">
        <f>IF(A817="","",A817&amp;"|"&amp;B817)</f>
        <v/>
      </c>
      <c r="Q817">
        <f>IF(AND(A817&lt;&gt;"",A817='Firm Search'!$C$7),COUNTIF($A$5:A817,'Firm Search'!$C$7),"")</f>
        <v/>
      </c>
      <c r="R817">
        <f>IF(A817="","",COUNTIF($A$5:$A$1004,"&lt;"&amp;A817)+COUNTIF($A$5:A817,A817))</f>
        <v/>
      </c>
    </row>
    <row r="818">
      <c r="A818" s="64" t="n"/>
      <c r="B818" s="64" t="n"/>
      <c r="C818" s="66" t="n"/>
      <c r="D818" s="66" t="n"/>
      <c r="E818" s="67" t="n"/>
      <c r="F818" s="67" t="n"/>
      <c r="G818" s="67" t="n"/>
      <c r="H818" s="67" t="n"/>
      <c r="I818" s="67" t="n"/>
      <c r="J818" s="67" t="n"/>
      <c r="K818" s="67" t="n"/>
      <c r="L818" s="67" t="n"/>
      <c r="M818" s="64" t="n"/>
      <c r="N818" s="84">
        <f>IF(A818="","",IFERROR(INDEX(Firms!$B$5:$B$1004,MATCH(A818,Firms!$A$5:$A$1004,0)),"Not on Firms tab"))</f>
        <v/>
      </c>
      <c r="O818" s="84">
        <f>IF(A818="","",IF(AND(D818&lt;&gt;"",D818&lt;TODAY()),"Expired",IF(AND(C818&lt;&gt;"",C818&gt;TODAY()),"Not yet effective",IF(C818="","No date",IF(TODAY()&gt;=EDATE(C818,Review_Months),"Review Due","Current")))))</f>
        <v/>
      </c>
      <c r="P818">
        <f>IF(A818="","",A818&amp;"|"&amp;B818)</f>
        <v/>
      </c>
      <c r="Q818">
        <f>IF(AND(A818&lt;&gt;"",A818='Firm Search'!$C$7),COUNTIF($A$5:A818,'Firm Search'!$C$7),"")</f>
        <v/>
      </c>
      <c r="R818">
        <f>IF(A818="","",COUNTIF($A$5:$A$1004,"&lt;"&amp;A818)+COUNTIF($A$5:A818,A818))</f>
        <v/>
      </c>
    </row>
    <row r="819">
      <c r="A819" s="64" t="n"/>
      <c r="B819" s="64" t="n"/>
      <c r="C819" s="66" t="n"/>
      <c r="D819" s="66" t="n"/>
      <c r="E819" s="67" t="n"/>
      <c r="F819" s="67" t="n"/>
      <c r="G819" s="67" t="n"/>
      <c r="H819" s="67" t="n"/>
      <c r="I819" s="67" t="n"/>
      <c r="J819" s="67" t="n"/>
      <c r="K819" s="67" t="n"/>
      <c r="L819" s="67" t="n"/>
      <c r="M819" s="64" t="n"/>
      <c r="N819" s="84">
        <f>IF(A819="","",IFERROR(INDEX(Firms!$B$5:$B$1004,MATCH(A819,Firms!$A$5:$A$1004,0)),"Not on Firms tab"))</f>
        <v/>
      </c>
      <c r="O819" s="84">
        <f>IF(A819="","",IF(AND(D819&lt;&gt;"",D819&lt;TODAY()),"Expired",IF(AND(C819&lt;&gt;"",C819&gt;TODAY()),"Not yet effective",IF(C819="","No date",IF(TODAY()&gt;=EDATE(C819,Review_Months),"Review Due","Current")))))</f>
        <v/>
      </c>
      <c r="P819">
        <f>IF(A819="","",A819&amp;"|"&amp;B819)</f>
        <v/>
      </c>
      <c r="Q819">
        <f>IF(AND(A819&lt;&gt;"",A819='Firm Search'!$C$7),COUNTIF($A$5:A819,'Firm Search'!$C$7),"")</f>
        <v/>
      </c>
      <c r="R819">
        <f>IF(A819="","",COUNTIF($A$5:$A$1004,"&lt;"&amp;A819)+COUNTIF($A$5:A819,A819))</f>
        <v/>
      </c>
    </row>
    <row r="820">
      <c r="A820" s="64" t="n"/>
      <c r="B820" s="64" t="n"/>
      <c r="C820" s="66" t="n"/>
      <c r="D820" s="66" t="n"/>
      <c r="E820" s="67" t="n"/>
      <c r="F820" s="67" t="n"/>
      <c r="G820" s="67" t="n"/>
      <c r="H820" s="67" t="n"/>
      <c r="I820" s="67" t="n"/>
      <c r="J820" s="67" t="n"/>
      <c r="K820" s="67" t="n"/>
      <c r="L820" s="67" t="n"/>
      <c r="M820" s="64" t="n"/>
      <c r="N820" s="84">
        <f>IF(A820="","",IFERROR(INDEX(Firms!$B$5:$B$1004,MATCH(A820,Firms!$A$5:$A$1004,0)),"Not on Firms tab"))</f>
        <v/>
      </c>
      <c r="O820" s="84">
        <f>IF(A820="","",IF(AND(D820&lt;&gt;"",D820&lt;TODAY()),"Expired",IF(AND(C820&lt;&gt;"",C820&gt;TODAY()),"Not yet effective",IF(C820="","No date",IF(TODAY()&gt;=EDATE(C820,Review_Months),"Review Due","Current")))))</f>
        <v/>
      </c>
      <c r="P820">
        <f>IF(A820="","",A820&amp;"|"&amp;B820)</f>
        <v/>
      </c>
      <c r="Q820">
        <f>IF(AND(A820&lt;&gt;"",A820='Firm Search'!$C$7),COUNTIF($A$5:A820,'Firm Search'!$C$7),"")</f>
        <v/>
      </c>
      <c r="R820">
        <f>IF(A820="","",COUNTIF($A$5:$A$1004,"&lt;"&amp;A820)+COUNTIF($A$5:A820,A820))</f>
        <v/>
      </c>
    </row>
    <row r="821">
      <c r="A821" s="64" t="n"/>
      <c r="B821" s="64" t="n"/>
      <c r="C821" s="66" t="n"/>
      <c r="D821" s="66" t="n"/>
      <c r="E821" s="67" t="n"/>
      <c r="F821" s="67" t="n"/>
      <c r="G821" s="67" t="n"/>
      <c r="H821" s="67" t="n"/>
      <c r="I821" s="67" t="n"/>
      <c r="J821" s="67" t="n"/>
      <c r="K821" s="67" t="n"/>
      <c r="L821" s="67" t="n"/>
      <c r="M821" s="64" t="n"/>
      <c r="N821" s="84">
        <f>IF(A821="","",IFERROR(INDEX(Firms!$B$5:$B$1004,MATCH(A821,Firms!$A$5:$A$1004,0)),"Not on Firms tab"))</f>
        <v/>
      </c>
      <c r="O821" s="84">
        <f>IF(A821="","",IF(AND(D821&lt;&gt;"",D821&lt;TODAY()),"Expired",IF(AND(C821&lt;&gt;"",C821&gt;TODAY()),"Not yet effective",IF(C821="","No date",IF(TODAY()&gt;=EDATE(C821,Review_Months),"Review Due","Current")))))</f>
        <v/>
      </c>
      <c r="P821">
        <f>IF(A821="","",A821&amp;"|"&amp;B821)</f>
        <v/>
      </c>
      <c r="Q821">
        <f>IF(AND(A821&lt;&gt;"",A821='Firm Search'!$C$7),COUNTIF($A$5:A821,'Firm Search'!$C$7),"")</f>
        <v/>
      </c>
      <c r="R821">
        <f>IF(A821="","",COUNTIF($A$5:$A$1004,"&lt;"&amp;A821)+COUNTIF($A$5:A821,A821))</f>
        <v/>
      </c>
    </row>
    <row r="822">
      <c r="A822" s="64" t="n"/>
      <c r="B822" s="64" t="n"/>
      <c r="C822" s="66" t="n"/>
      <c r="D822" s="66" t="n"/>
      <c r="E822" s="67" t="n"/>
      <c r="F822" s="67" t="n"/>
      <c r="G822" s="67" t="n"/>
      <c r="H822" s="67" t="n"/>
      <c r="I822" s="67" t="n"/>
      <c r="J822" s="67" t="n"/>
      <c r="K822" s="67" t="n"/>
      <c r="L822" s="67" t="n"/>
      <c r="M822" s="64" t="n"/>
      <c r="N822" s="84">
        <f>IF(A822="","",IFERROR(INDEX(Firms!$B$5:$B$1004,MATCH(A822,Firms!$A$5:$A$1004,0)),"Not on Firms tab"))</f>
        <v/>
      </c>
      <c r="O822" s="84">
        <f>IF(A822="","",IF(AND(D822&lt;&gt;"",D822&lt;TODAY()),"Expired",IF(AND(C822&lt;&gt;"",C822&gt;TODAY()),"Not yet effective",IF(C822="","No date",IF(TODAY()&gt;=EDATE(C822,Review_Months),"Review Due","Current")))))</f>
        <v/>
      </c>
      <c r="P822">
        <f>IF(A822="","",A822&amp;"|"&amp;B822)</f>
        <v/>
      </c>
      <c r="Q822">
        <f>IF(AND(A822&lt;&gt;"",A822='Firm Search'!$C$7),COUNTIF($A$5:A822,'Firm Search'!$C$7),"")</f>
        <v/>
      </c>
      <c r="R822">
        <f>IF(A822="","",COUNTIF($A$5:$A$1004,"&lt;"&amp;A822)+COUNTIF($A$5:A822,A822))</f>
        <v/>
      </c>
    </row>
    <row r="823">
      <c r="A823" s="64" t="n"/>
      <c r="B823" s="64" t="n"/>
      <c r="C823" s="66" t="n"/>
      <c r="D823" s="66" t="n"/>
      <c r="E823" s="67" t="n"/>
      <c r="F823" s="67" t="n"/>
      <c r="G823" s="67" t="n"/>
      <c r="H823" s="67" t="n"/>
      <c r="I823" s="67" t="n"/>
      <c r="J823" s="67" t="n"/>
      <c r="K823" s="67" t="n"/>
      <c r="L823" s="67" t="n"/>
      <c r="M823" s="64" t="n"/>
      <c r="N823" s="84">
        <f>IF(A823="","",IFERROR(INDEX(Firms!$B$5:$B$1004,MATCH(A823,Firms!$A$5:$A$1004,0)),"Not on Firms tab"))</f>
        <v/>
      </c>
      <c r="O823" s="84">
        <f>IF(A823="","",IF(AND(D823&lt;&gt;"",D823&lt;TODAY()),"Expired",IF(AND(C823&lt;&gt;"",C823&gt;TODAY()),"Not yet effective",IF(C823="","No date",IF(TODAY()&gt;=EDATE(C823,Review_Months),"Review Due","Current")))))</f>
        <v/>
      </c>
      <c r="P823">
        <f>IF(A823="","",A823&amp;"|"&amp;B823)</f>
        <v/>
      </c>
      <c r="Q823">
        <f>IF(AND(A823&lt;&gt;"",A823='Firm Search'!$C$7),COUNTIF($A$5:A823,'Firm Search'!$C$7),"")</f>
        <v/>
      </c>
      <c r="R823">
        <f>IF(A823="","",COUNTIF($A$5:$A$1004,"&lt;"&amp;A823)+COUNTIF($A$5:A823,A823))</f>
        <v/>
      </c>
    </row>
    <row r="824">
      <c r="A824" s="64" t="n"/>
      <c r="B824" s="64" t="n"/>
      <c r="C824" s="66" t="n"/>
      <c r="D824" s="66" t="n"/>
      <c r="E824" s="67" t="n"/>
      <c r="F824" s="67" t="n"/>
      <c r="G824" s="67" t="n"/>
      <c r="H824" s="67" t="n"/>
      <c r="I824" s="67" t="n"/>
      <c r="J824" s="67" t="n"/>
      <c r="K824" s="67" t="n"/>
      <c r="L824" s="67" t="n"/>
      <c r="M824" s="64" t="n"/>
      <c r="N824" s="84">
        <f>IF(A824="","",IFERROR(INDEX(Firms!$B$5:$B$1004,MATCH(A824,Firms!$A$5:$A$1004,0)),"Not on Firms tab"))</f>
        <v/>
      </c>
      <c r="O824" s="84">
        <f>IF(A824="","",IF(AND(D824&lt;&gt;"",D824&lt;TODAY()),"Expired",IF(AND(C824&lt;&gt;"",C824&gt;TODAY()),"Not yet effective",IF(C824="","No date",IF(TODAY()&gt;=EDATE(C824,Review_Months),"Review Due","Current")))))</f>
        <v/>
      </c>
      <c r="P824">
        <f>IF(A824="","",A824&amp;"|"&amp;B824)</f>
        <v/>
      </c>
      <c r="Q824">
        <f>IF(AND(A824&lt;&gt;"",A824='Firm Search'!$C$7),COUNTIF($A$5:A824,'Firm Search'!$C$7),"")</f>
        <v/>
      </c>
      <c r="R824">
        <f>IF(A824="","",COUNTIF($A$5:$A$1004,"&lt;"&amp;A824)+COUNTIF($A$5:A824,A824))</f>
        <v/>
      </c>
    </row>
    <row r="825">
      <c r="A825" s="64" t="n"/>
      <c r="B825" s="64" t="n"/>
      <c r="C825" s="66" t="n"/>
      <c r="D825" s="66" t="n"/>
      <c r="E825" s="67" t="n"/>
      <c r="F825" s="67" t="n"/>
      <c r="G825" s="67" t="n"/>
      <c r="H825" s="67" t="n"/>
      <c r="I825" s="67" t="n"/>
      <c r="J825" s="67" t="n"/>
      <c r="K825" s="67" t="n"/>
      <c r="L825" s="67" t="n"/>
      <c r="M825" s="64" t="n"/>
      <c r="N825" s="84">
        <f>IF(A825="","",IFERROR(INDEX(Firms!$B$5:$B$1004,MATCH(A825,Firms!$A$5:$A$1004,0)),"Not on Firms tab"))</f>
        <v/>
      </c>
      <c r="O825" s="84">
        <f>IF(A825="","",IF(AND(D825&lt;&gt;"",D825&lt;TODAY()),"Expired",IF(AND(C825&lt;&gt;"",C825&gt;TODAY()),"Not yet effective",IF(C825="","No date",IF(TODAY()&gt;=EDATE(C825,Review_Months),"Review Due","Current")))))</f>
        <v/>
      </c>
      <c r="P825">
        <f>IF(A825="","",A825&amp;"|"&amp;B825)</f>
        <v/>
      </c>
      <c r="Q825">
        <f>IF(AND(A825&lt;&gt;"",A825='Firm Search'!$C$7),COUNTIF($A$5:A825,'Firm Search'!$C$7),"")</f>
        <v/>
      </c>
      <c r="R825">
        <f>IF(A825="","",COUNTIF($A$5:$A$1004,"&lt;"&amp;A825)+COUNTIF($A$5:A825,A825))</f>
        <v/>
      </c>
    </row>
    <row r="826">
      <c r="A826" s="64" t="n"/>
      <c r="B826" s="64" t="n"/>
      <c r="C826" s="66" t="n"/>
      <c r="D826" s="66" t="n"/>
      <c r="E826" s="67" t="n"/>
      <c r="F826" s="67" t="n"/>
      <c r="G826" s="67" t="n"/>
      <c r="H826" s="67" t="n"/>
      <c r="I826" s="67" t="n"/>
      <c r="J826" s="67" t="n"/>
      <c r="K826" s="67" t="n"/>
      <c r="L826" s="67" t="n"/>
      <c r="M826" s="64" t="n"/>
      <c r="N826" s="84">
        <f>IF(A826="","",IFERROR(INDEX(Firms!$B$5:$B$1004,MATCH(A826,Firms!$A$5:$A$1004,0)),"Not on Firms tab"))</f>
        <v/>
      </c>
      <c r="O826" s="84">
        <f>IF(A826="","",IF(AND(D826&lt;&gt;"",D826&lt;TODAY()),"Expired",IF(AND(C826&lt;&gt;"",C826&gt;TODAY()),"Not yet effective",IF(C826="","No date",IF(TODAY()&gt;=EDATE(C826,Review_Months),"Review Due","Current")))))</f>
        <v/>
      </c>
      <c r="P826">
        <f>IF(A826="","",A826&amp;"|"&amp;B826)</f>
        <v/>
      </c>
      <c r="Q826">
        <f>IF(AND(A826&lt;&gt;"",A826='Firm Search'!$C$7),COUNTIF($A$5:A826,'Firm Search'!$C$7),"")</f>
        <v/>
      </c>
      <c r="R826">
        <f>IF(A826="","",COUNTIF($A$5:$A$1004,"&lt;"&amp;A826)+COUNTIF($A$5:A826,A826))</f>
        <v/>
      </c>
    </row>
    <row r="827">
      <c r="A827" s="64" t="n"/>
      <c r="B827" s="64" t="n"/>
      <c r="C827" s="66" t="n"/>
      <c r="D827" s="66" t="n"/>
      <c r="E827" s="67" t="n"/>
      <c r="F827" s="67" t="n"/>
      <c r="G827" s="67" t="n"/>
      <c r="H827" s="67" t="n"/>
      <c r="I827" s="67" t="n"/>
      <c r="J827" s="67" t="n"/>
      <c r="K827" s="67" t="n"/>
      <c r="L827" s="67" t="n"/>
      <c r="M827" s="64" t="n"/>
      <c r="N827" s="84">
        <f>IF(A827="","",IFERROR(INDEX(Firms!$B$5:$B$1004,MATCH(A827,Firms!$A$5:$A$1004,0)),"Not on Firms tab"))</f>
        <v/>
      </c>
      <c r="O827" s="84">
        <f>IF(A827="","",IF(AND(D827&lt;&gt;"",D827&lt;TODAY()),"Expired",IF(AND(C827&lt;&gt;"",C827&gt;TODAY()),"Not yet effective",IF(C827="","No date",IF(TODAY()&gt;=EDATE(C827,Review_Months),"Review Due","Current")))))</f>
        <v/>
      </c>
      <c r="P827">
        <f>IF(A827="","",A827&amp;"|"&amp;B827)</f>
        <v/>
      </c>
      <c r="Q827">
        <f>IF(AND(A827&lt;&gt;"",A827='Firm Search'!$C$7),COUNTIF($A$5:A827,'Firm Search'!$C$7),"")</f>
        <v/>
      </c>
      <c r="R827">
        <f>IF(A827="","",COUNTIF($A$5:$A$1004,"&lt;"&amp;A827)+COUNTIF($A$5:A827,A827))</f>
        <v/>
      </c>
    </row>
    <row r="828">
      <c r="A828" s="64" t="n"/>
      <c r="B828" s="64" t="n"/>
      <c r="C828" s="66" t="n"/>
      <c r="D828" s="66" t="n"/>
      <c r="E828" s="67" t="n"/>
      <c r="F828" s="67" t="n"/>
      <c r="G828" s="67" t="n"/>
      <c r="H828" s="67" t="n"/>
      <c r="I828" s="67" t="n"/>
      <c r="J828" s="67" t="n"/>
      <c r="K828" s="67" t="n"/>
      <c r="L828" s="67" t="n"/>
      <c r="M828" s="64" t="n"/>
      <c r="N828" s="84">
        <f>IF(A828="","",IFERROR(INDEX(Firms!$B$5:$B$1004,MATCH(A828,Firms!$A$5:$A$1004,0)),"Not on Firms tab"))</f>
        <v/>
      </c>
      <c r="O828" s="84">
        <f>IF(A828="","",IF(AND(D828&lt;&gt;"",D828&lt;TODAY()),"Expired",IF(AND(C828&lt;&gt;"",C828&gt;TODAY()),"Not yet effective",IF(C828="","No date",IF(TODAY()&gt;=EDATE(C828,Review_Months),"Review Due","Current")))))</f>
        <v/>
      </c>
      <c r="P828">
        <f>IF(A828="","",A828&amp;"|"&amp;B828)</f>
        <v/>
      </c>
      <c r="Q828">
        <f>IF(AND(A828&lt;&gt;"",A828='Firm Search'!$C$7),COUNTIF($A$5:A828,'Firm Search'!$C$7),"")</f>
        <v/>
      </c>
      <c r="R828">
        <f>IF(A828="","",COUNTIF($A$5:$A$1004,"&lt;"&amp;A828)+COUNTIF($A$5:A828,A828))</f>
        <v/>
      </c>
    </row>
    <row r="829">
      <c r="A829" s="64" t="n"/>
      <c r="B829" s="64" t="n"/>
      <c r="C829" s="66" t="n"/>
      <c r="D829" s="66" t="n"/>
      <c r="E829" s="67" t="n"/>
      <c r="F829" s="67" t="n"/>
      <c r="G829" s="67" t="n"/>
      <c r="H829" s="67" t="n"/>
      <c r="I829" s="67" t="n"/>
      <c r="J829" s="67" t="n"/>
      <c r="K829" s="67" t="n"/>
      <c r="L829" s="67" t="n"/>
      <c r="M829" s="64" t="n"/>
      <c r="N829" s="84">
        <f>IF(A829="","",IFERROR(INDEX(Firms!$B$5:$B$1004,MATCH(A829,Firms!$A$5:$A$1004,0)),"Not on Firms tab"))</f>
        <v/>
      </c>
      <c r="O829" s="84">
        <f>IF(A829="","",IF(AND(D829&lt;&gt;"",D829&lt;TODAY()),"Expired",IF(AND(C829&lt;&gt;"",C829&gt;TODAY()),"Not yet effective",IF(C829="","No date",IF(TODAY()&gt;=EDATE(C829,Review_Months),"Review Due","Current")))))</f>
        <v/>
      </c>
      <c r="P829">
        <f>IF(A829="","",A829&amp;"|"&amp;B829)</f>
        <v/>
      </c>
      <c r="Q829">
        <f>IF(AND(A829&lt;&gt;"",A829='Firm Search'!$C$7),COUNTIF($A$5:A829,'Firm Search'!$C$7),"")</f>
        <v/>
      </c>
      <c r="R829">
        <f>IF(A829="","",COUNTIF($A$5:$A$1004,"&lt;"&amp;A829)+COUNTIF($A$5:A829,A829))</f>
        <v/>
      </c>
    </row>
    <row r="830">
      <c r="A830" s="64" t="n"/>
      <c r="B830" s="64" t="n"/>
      <c r="C830" s="66" t="n"/>
      <c r="D830" s="66" t="n"/>
      <c r="E830" s="67" t="n"/>
      <c r="F830" s="67" t="n"/>
      <c r="G830" s="67" t="n"/>
      <c r="H830" s="67" t="n"/>
      <c r="I830" s="67" t="n"/>
      <c r="J830" s="67" t="n"/>
      <c r="K830" s="67" t="n"/>
      <c r="L830" s="67" t="n"/>
      <c r="M830" s="64" t="n"/>
      <c r="N830" s="84">
        <f>IF(A830="","",IFERROR(INDEX(Firms!$B$5:$B$1004,MATCH(A830,Firms!$A$5:$A$1004,0)),"Not on Firms tab"))</f>
        <v/>
      </c>
      <c r="O830" s="84">
        <f>IF(A830="","",IF(AND(D830&lt;&gt;"",D830&lt;TODAY()),"Expired",IF(AND(C830&lt;&gt;"",C830&gt;TODAY()),"Not yet effective",IF(C830="","No date",IF(TODAY()&gt;=EDATE(C830,Review_Months),"Review Due","Current")))))</f>
        <v/>
      </c>
      <c r="P830">
        <f>IF(A830="","",A830&amp;"|"&amp;B830)</f>
        <v/>
      </c>
      <c r="Q830">
        <f>IF(AND(A830&lt;&gt;"",A830='Firm Search'!$C$7),COUNTIF($A$5:A830,'Firm Search'!$C$7),"")</f>
        <v/>
      </c>
      <c r="R830">
        <f>IF(A830="","",COUNTIF($A$5:$A$1004,"&lt;"&amp;A830)+COUNTIF($A$5:A830,A830))</f>
        <v/>
      </c>
    </row>
    <row r="831">
      <c r="A831" s="64" t="n"/>
      <c r="B831" s="64" t="n"/>
      <c r="C831" s="66" t="n"/>
      <c r="D831" s="66" t="n"/>
      <c r="E831" s="67" t="n"/>
      <c r="F831" s="67" t="n"/>
      <c r="G831" s="67" t="n"/>
      <c r="H831" s="67" t="n"/>
      <c r="I831" s="67" t="n"/>
      <c r="J831" s="67" t="n"/>
      <c r="K831" s="67" t="n"/>
      <c r="L831" s="67" t="n"/>
      <c r="M831" s="64" t="n"/>
      <c r="N831" s="84">
        <f>IF(A831="","",IFERROR(INDEX(Firms!$B$5:$B$1004,MATCH(A831,Firms!$A$5:$A$1004,0)),"Not on Firms tab"))</f>
        <v/>
      </c>
      <c r="O831" s="84">
        <f>IF(A831="","",IF(AND(D831&lt;&gt;"",D831&lt;TODAY()),"Expired",IF(AND(C831&lt;&gt;"",C831&gt;TODAY()),"Not yet effective",IF(C831="","No date",IF(TODAY()&gt;=EDATE(C831,Review_Months),"Review Due","Current")))))</f>
        <v/>
      </c>
      <c r="P831">
        <f>IF(A831="","",A831&amp;"|"&amp;B831)</f>
        <v/>
      </c>
      <c r="Q831">
        <f>IF(AND(A831&lt;&gt;"",A831='Firm Search'!$C$7),COUNTIF($A$5:A831,'Firm Search'!$C$7),"")</f>
        <v/>
      </c>
      <c r="R831">
        <f>IF(A831="","",COUNTIF($A$5:$A$1004,"&lt;"&amp;A831)+COUNTIF($A$5:A831,A831))</f>
        <v/>
      </c>
    </row>
    <row r="832">
      <c r="A832" s="64" t="n"/>
      <c r="B832" s="64" t="n"/>
      <c r="C832" s="66" t="n"/>
      <c r="D832" s="66" t="n"/>
      <c r="E832" s="67" t="n"/>
      <c r="F832" s="67" t="n"/>
      <c r="G832" s="67" t="n"/>
      <c r="H832" s="67" t="n"/>
      <c r="I832" s="67" t="n"/>
      <c r="J832" s="67" t="n"/>
      <c r="K832" s="67" t="n"/>
      <c r="L832" s="67" t="n"/>
      <c r="M832" s="64" t="n"/>
      <c r="N832" s="84">
        <f>IF(A832="","",IFERROR(INDEX(Firms!$B$5:$B$1004,MATCH(A832,Firms!$A$5:$A$1004,0)),"Not on Firms tab"))</f>
        <v/>
      </c>
      <c r="O832" s="84">
        <f>IF(A832="","",IF(AND(D832&lt;&gt;"",D832&lt;TODAY()),"Expired",IF(AND(C832&lt;&gt;"",C832&gt;TODAY()),"Not yet effective",IF(C832="","No date",IF(TODAY()&gt;=EDATE(C832,Review_Months),"Review Due","Current")))))</f>
        <v/>
      </c>
      <c r="P832">
        <f>IF(A832="","",A832&amp;"|"&amp;B832)</f>
        <v/>
      </c>
      <c r="Q832">
        <f>IF(AND(A832&lt;&gt;"",A832='Firm Search'!$C$7),COUNTIF($A$5:A832,'Firm Search'!$C$7),"")</f>
        <v/>
      </c>
      <c r="R832">
        <f>IF(A832="","",COUNTIF($A$5:$A$1004,"&lt;"&amp;A832)+COUNTIF($A$5:A832,A832))</f>
        <v/>
      </c>
    </row>
    <row r="833">
      <c r="A833" s="64" t="n"/>
      <c r="B833" s="64" t="n"/>
      <c r="C833" s="66" t="n"/>
      <c r="D833" s="66" t="n"/>
      <c r="E833" s="67" t="n"/>
      <c r="F833" s="67" t="n"/>
      <c r="G833" s="67" t="n"/>
      <c r="H833" s="67" t="n"/>
      <c r="I833" s="67" t="n"/>
      <c r="J833" s="67" t="n"/>
      <c r="K833" s="67" t="n"/>
      <c r="L833" s="67" t="n"/>
      <c r="M833" s="64" t="n"/>
      <c r="N833" s="84">
        <f>IF(A833="","",IFERROR(INDEX(Firms!$B$5:$B$1004,MATCH(A833,Firms!$A$5:$A$1004,0)),"Not on Firms tab"))</f>
        <v/>
      </c>
      <c r="O833" s="84">
        <f>IF(A833="","",IF(AND(D833&lt;&gt;"",D833&lt;TODAY()),"Expired",IF(AND(C833&lt;&gt;"",C833&gt;TODAY()),"Not yet effective",IF(C833="","No date",IF(TODAY()&gt;=EDATE(C833,Review_Months),"Review Due","Current")))))</f>
        <v/>
      </c>
      <c r="P833">
        <f>IF(A833="","",A833&amp;"|"&amp;B833)</f>
        <v/>
      </c>
      <c r="Q833">
        <f>IF(AND(A833&lt;&gt;"",A833='Firm Search'!$C$7),COUNTIF($A$5:A833,'Firm Search'!$C$7),"")</f>
        <v/>
      </c>
      <c r="R833">
        <f>IF(A833="","",COUNTIF($A$5:$A$1004,"&lt;"&amp;A833)+COUNTIF($A$5:A833,A833))</f>
        <v/>
      </c>
    </row>
    <row r="834">
      <c r="A834" s="64" t="n"/>
      <c r="B834" s="64" t="n"/>
      <c r="C834" s="66" t="n"/>
      <c r="D834" s="66" t="n"/>
      <c r="E834" s="67" t="n"/>
      <c r="F834" s="67" t="n"/>
      <c r="G834" s="67" t="n"/>
      <c r="H834" s="67" t="n"/>
      <c r="I834" s="67" t="n"/>
      <c r="J834" s="67" t="n"/>
      <c r="K834" s="67" t="n"/>
      <c r="L834" s="67" t="n"/>
      <c r="M834" s="64" t="n"/>
      <c r="N834" s="84">
        <f>IF(A834="","",IFERROR(INDEX(Firms!$B$5:$B$1004,MATCH(A834,Firms!$A$5:$A$1004,0)),"Not on Firms tab"))</f>
        <v/>
      </c>
      <c r="O834" s="84">
        <f>IF(A834="","",IF(AND(D834&lt;&gt;"",D834&lt;TODAY()),"Expired",IF(AND(C834&lt;&gt;"",C834&gt;TODAY()),"Not yet effective",IF(C834="","No date",IF(TODAY()&gt;=EDATE(C834,Review_Months),"Review Due","Current")))))</f>
        <v/>
      </c>
      <c r="P834">
        <f>IF(A834="","",A834&amp;"|"&amp;B834)</f>
        <v/>
      </c>
      <c r="Q834">
        <f>IF(AND(A834&lt;&gt;"",A834='Firm Search'!$C$7),COUNTIF($A$5:A834,'Firm Search'!$C$7),"")</f>
        <v/>
      </c>
      <c r="R834">
        <f>IF(A834="","",COUNTIF($A$5:$A$1004,"&lt;"&amp;A834)+COUNTIF($A$5:A834,A834))</f>
        <v/>
      </c>
    </row>
    <row r="835">
      <c r="A835" s="64" t="n"/>
      <c r="B835" s="64" t="n"/>
      <c r="C835" s="66" t="n"/>
      <c r="D835" s="66" t="n"/>
      <c r="E835" s="67" t="n"/>
      <c r="F835" s="67" t="n"/>
      <c r="G835" s="67" t="n"/>
      <c r="H835" s="67" t="n"/>
      <c r="I835" s="67" t="n"/>
      <c r="J835" s="67" t="n"/>
      <c r="K835" s="67" t="n"/>
      <c r="L835" s="67" t="n"/>
      <c r="M835" s="64" t="n"/>
      <c r="N835" s="84">
        <f>IF(A835="","",IFERROR(INDEX(Firms!$B$5:$B$1004,MATCH(A835,Firms!$A$5:$A$1004,0)),"Not on Firms tab"))</f>
        <v/>
      </c>
      <c r="O835" s="84">
        <f>IF(A835="","",IF(AND(D835&lt;&gt;"",D835&lt;TODAY()),"Expired",IF(AND(C835&lt;&gt;"",C835&gt;TODAY()),"Not yet effective",IF(C835="","No date",IF(TODAY()&gt;=EDATE(C835,Review_Months),"Review Due","Current")))))</f>
        <v/>
      </c>
      <c r="P835">
        <f>IF(A835="","",A835&amp;"|"&amp;B835)</f>
        <v/>
      </c>
      <c r="Q835">
        <f>IF(AND(A835&lt;&gt;"",A835='Firm Search'!$C$7),COUNTIF($A$5:A835,'Firm Search'!$C$7),"")</f>
        <v/>
      </c>
      <c r="R835">
        <f>IF(A835="","",COUNTIF($A$5:$A$1004,"&lt;"&amp;A835)+COUNTIF($A$5:A835,A835))</f>
        <v/>
      </c>
    </row>
    <row r="836">
      <c r="A836" s="64" t="n"/>
      <c r="B836" s="64" t="n"/>
      <c r="C836" s="66" t="n"/>
      <c r="D836" s="66" t="n"/>
      <c r="E836" s="67" t="n"/>
      <c r="F836" s="67" t="n"/>
      <c r="G836" s="67" t="n"/>
      <c r="H836" s="67" t="n"/>
      <c r="I836" s="67" t="n"/>
      <c r="J836" s="67" t="n"/>
      <c r="K836" s="67" t="n"/>
      <c r="L836" s="67" t="n"/>
      <c r="M836" s="64" t="n"/>
      <c r="N836" s="84">
        <f>IF(A836="","",IFERROR(INDEX(Firms!$B$5:$B$1004,MATCH(A836,Firms!$A$5:$A$1004,0)),"Not on Firms tab"))</f>
        <v/>
      </c>
      <c r="O836" s="84">
        <f>IF(A836="","",IF(AND(D836&lt;&gt;"",D836&lt;TODAY()),"Expired",IF(AND(C836&lt;&gt;"",C836&gt;TODAY()),"Not yet effective",IF(C836="","No date",IF(TODAY()&gt;=EDATE(C836,Review_Months),"Review Due","Current")))))</f>
        <v/>
      </c>
      <c r="P836">
        <f>IF(A836="","",A836&amp;"|"&amp;B836)</f>
        <v/>
      </c>
      <c r="Q836">
        <f>IF(AND(A836&lt;&gt;"",A836='Firm Search'!$C$7),COUNTIF($A$5:A836,'Firm Search'!$C$7),"")</f>
        <v/>
      </c>
      <c r="R836">
        <f>IF(A836="","",COUNTIF($A$5:$A$1004,"&lt;"&amp;A836)+COUNTIF($A$5:A836,A836))</f>
        <v/>
      </c>
    </row>
    <row r="837">
      <c r="A837" s="64" t="n"/>
      <c r="B837" s="64" t="n"/>
      <c r="C837" s="66" t="n"/>
      <c r="D837" s="66" t="n"/>
      <c r="E837" s="67" t="n"/>
      <c r="F837" s="67" t="n"/>
      <c r="G837" s="67" t="n"/>
      <c r="H837" s="67" t="n"/>
      <c r="I837" s="67" t="n"/>
      <c r="J837" s="67" t="n"/>
      <c r="K837" s="67" t="n"/>
      <c r="L837" s="67" t="n"/>
      <c r="M837" s="64" t="n"/>
      <c r="N837" s="84">
        <f>IF(A837="","",IFERROR(INDEX(Firms!$B$5:$B$1004,MATCH(A837,Firms!$A$5:$A$1004,0)),"Not on Firms tab"))</f>
        <v/>
      </c>
      <c r="O837" s="84">
        <f>IF(A837="","",IF(AND(D837&lt;&gt;"",D837&lt;TODAY()),"Expired",IF(AND(C837&lt;&gt;"",C837&gt;TODAY()),"Not yet effective",IF(C837="","No date",IF(TODAY()&gt;=EDATE(C837,Review_Months),"Review Due","Current")))))</f>
        <v/>
      </c>
      <c r="P837">
        <f>IF(A837="","",A837&amp;"|"&amp;B837)</f>
        <v/>
      </c>
      <c r="Q837">
        <f>IF(AND(A837&lt;&gt;"",A837='Firm Search'!$C$7),COUNTIF($A$5:A837,'Firm Search'!$C$7),"")</f>
        <v/>
      </c>
      <c r="R837">
        <f>IF(A837="","",COUNTIF($A$5:$A$1004,"&lt;"&amp;A837)+COUNTIF($A$5:A837,A837))</f>
        <v/>
      </c>
    </row>
    <row r="838">
      <c r="A838" s="64" t="n"/>
      <c r="B838" s="64" t="n"/>
      <c r="C838" s="66" t="n"/>
      <c r="D838" s="66" t="n"/>
      <c r="E838" s="67" t="n"/>
      <c r="F838" s="67" t="n"/>
      <c r="G838" s="67" t="n"/>
      <c r="H838" s="67" t="n"/>
      <c r="I838" s="67" t="n"/>
      <c r="J838" s="67" t="n"/>
      <c r="K838" s="67" t="n"/>
      <c r="L838" s="67" t="n"/>
      <c r="M838" s="64" t="n"/>
      <c r="N838" s="84">
        <f>IF(A838="","",IFERROR(INDEX(Firms!$B$5:$B$1004,MATCH(A838,Firms!$A$5:$A$1004,0)),"Not on Firms tab"))</f>
        <v/>
      </c>
      <c r="O838" s="84">
        <f>IF(A838="","",IF(AND(D838&lt;&gt;"",D838&lt;TODAY()),"Expired",IF(AND(C838&lt;&gt;"",C838&gt;TODAY()),"Not yet effective",IF(C838="","No date",IF(TODAY()&gt;=EDATE(C838,Review_Months),"Review Due","Current")))))</f>
        <v/>
      </c>
      <c r="P838">
        <f>IF(A838="","",A838&amp;"|"&amp;B838)</f>
        <v/>
      </c>
      <c r="Q838">
        <f>IF(AND(A838&lt;&gt;"",A838='Firm Search'!$C$7),COUNTIF($A$5:A838,'Firm Search'!$C$7),"")</f>
        <v/>
      </c>
      <c r="R838">
        <f>IF(A838="","",COUNTIF($A$5:$A$1004,"&lt;"&amp;A838)+COUNTIF($A$5:A838,A838))</f>
        <v/>
      </c>
    </row>
    <row r="839">
      <c r="A839" s="64" t="n"/>
      <c r="B839" s="64" t="n"/>
      <c r="C839" s="66" t="n"/>
      <c r="D839" s="66" t="n"/>
      <c r="E839" s="67" t="n"/>
      <c r="F839" s="67" t="n"/>
      <c r="G839" s="67" t="n"/>
      <c r="H839" s="67" t="n"/>
      <c r="I839" s="67" t="n"/>
      <c r="J839" s="67" t="n"/>
      <c r="K839" s="67" t="n"/>
      <c r="L839" s="67" t="n"/>
      <c r="M839" s="64" t="n"/>
      <c r="N839" s="84">
        <f>IF(A839="","",IFERROR(INDEX(Firms!$B$5:$B$1004,MATCH(A839,Firms!$A$5:$A$1004,0)),"Not on Firms tab"))</f>
        <v/>
      </c>
      <c r="O839" s="84">
        <f>IF(A839="","",IF(AND(D839&lt;&gt;"",D839&lt;TODAY()),"Expired",IF(AND(C839&lt;&gt;"",C839&gt;TODAY()),"Not yet effective",IF(C839="","No date",IF(TODAY()&gt;=EDATE(C839,Review_Months),"Review Due","Current")))))</f>
        <v/>
      </c>
      <c r="P839">
        <f>IF(A839="","",A839&amp;"|"&amp;B839)</f>
        <v/>
      </c>
      <c r="Q839">
        <f>IF(AND(A839&lt;&gt;"",A839='Firm Search'!$C$7),COUNTIF($A$5:A839,'Firm Search'!$C$7),"")</f>
        <v/>
      </c>
      <c r="R839">
        <f>IF(A839="","",COUNTIF($A$5:$A$1004,"&lt;"&amp;A839)+COUNTIF($A$5:A839,A839))</f>
        <v/>
      </c>
    </row>
    <row r="840">
      <c r="A840" s="64" t="n"/>
      <c r="B840" s="64" t="n"/>
      <c r="C840" s="66" t="n"/>
      <c r="D840" s="66" t="n"/>
      <c r="E840" s="67" t="n"/>
      <c r="F840" s="67" t="n"/>
      <c r="G840" s="67" t="n"/>
      <c r="H840" s="67" t="n"/>
      <c r="I840" s="67" t="n"/>
      <c r="J840" s="67" t="n"/>
      <c r="K840" s="67" t="n"/>
      <c r="L840" s="67" t="n"/>
      <c r="M840" s="64" t="n"/>
      <c r="N840" s="84">
        <f>IF(A840="","",IFERROR(INDEX(Firms!$B$5:$B$1004,MATCH(A840,Firms!$A$5:$A$1004,0)),"Not on Firms tab"))</f>
        <v/>
      </c>
      <c r="O840" s="84">
        <f>IF(A840="","",IF(AND(D840&lt;&gt;"",D840&lt;TODAY()),"Expired",IF(AND(C840&lt;&gt;"",C840&gt;TODAY()),"Not yet effective",IF(C840="","No date",IF(TODAY()&gt;=EDATE(C840,Review_Months),"Review Due","Current")))))</f>
        <v/>
      </c>
      <c r="P840">
        <f>IF(A840="","",A840&amp;"|"&amp;B840)</f>
        <v/>
      </c>
      <c r="Q840">
        <f>IF(AND(A840&lt;&gt;"",A840='Firm Search'!$C$7),COUNTIF($A$5:A840,'Firm Search'!$C$7),"")</f>
        <v/>
      </c>
      <c r="R840">
        <f>IF(A840="","",COUNTIF($A$5:$A$1004,"&lt;"&amp;A840)+COUNTIF($A$5:A840,A840))</f>
        <v/>
      </c>
    </row>
    <row r="841">
      <c r="A841" s="64" t="n"/>
      <c r="B841" s="64" t="n"/>
      <c r="C841" s="66" t="n"/>
      <c r="D841" s="66" t="n"/>
      <c r="E841" s="67" t="n"/>
      <c r="F841" s="67" t="n"/>
      <c r="G841" s="67" t="n"/>
      <c r="H841" s="67" t="n"/>
      <c r="I841" s="67" t="n"/>
      <c r="J841" s="67" t="n"/>
      <c r="K841" s="67" t="n"/>
      <c r="L841" s="67" t="n"/>
      <c r="M841" s="64" t="n"/>
      <c r="N841" s="84">
        <f>IF(A841="","",IFERROR(INDEX(Firms!$B$5:$B$1004,MATCH(A841,Firms!$A$5:$A$1004,0)),"Not on Firms tab"))</f>
        <v/>
      </c>
      <c r="O841" s="84">
        <f>IF(A841="","",IF(AND(D841&lt;&gt;"",D841&lt;TODAY()),"Expired",IF(AND(C841&lt;&gt;"",C841&gt;TODAY()),"Not yet effective",IF(C841="","No date",IF(TODAY()&gt;=EDATE(C841,Review_Months),"Review Due","Current")))))</f>
        <v/>
      </c>
      <c r="P841">
        <f>IF(A841="","",A841&amp;"|"&amp;B841)</f>
        <v/>
      </c>
      <c r="Q841">
        <f>IF(AND(A841&lt;&gt;"",A841='Firm Search'!$C$7),COUNTIF($A$5:A841,'Firm Search'!$C$7),"")</f>
        <v/>
      </c>
      <c r="R841">
        <f>IF(A841="","",COUNTIF($A$5:$A$1004,"&lt;"&amp;A841)+COUNTIF($A$5:A841,A841))</f>
        <v/>
      </c>
    </row>
    <row r="842">
      <c r="A842" s="64" t="n"/>
      <c r="B842" s="64" t="n"/>
      <c r="C842" s="66" t="n"/>
      <c r="D842" s="66" t="n"/>
      <c r="E842" s="67" t="n"/>
      <c r="F842" s="67" t="n"/>
      <c r="G842" s="67" t="n"/>
      <c r="H842" s="67" t="n"/>
      <c r="I842" s="67" t="n"/>
      <c r="J842" s="67" t="n"/>
      <c r="K842" s="67" t="n"/>
      <c r="L842" s="67" t="n"/>
      <c r="M842" s="64" t="n"/>
      <c r="N842" s="84">
        <f>IF(A842="","",IFERROR(INDEX(Firms!$B$5:$B$1004,MATCH(A842,Firms!$A$5:$A$1004,0)),"Not on Firms tab"))</f>
        <v/>
      </c>
      <c r="O842" s="84">
        <f>IF(A842="","",IF(AND(D842&lt;&gt;"",D842&lt;TODAY()),"Expired",IF(AND(C842&lt;&gt;"",C842&gt;TODAY()),"Not yet effective",IF(C842="","No date",IF(TODAY()&gt;=EDATE(C842,Review_Months),"Review Due","Current")))))</f>
        <v/>
      </c>
      <c r="P842">
        <f>IF(A842="","",A842&amp;"|"&amp;B842)</f>
        <v/>
      </c>
      <c r="Q842">
        <f>IF(AND(A842&lt;&gt;"",A842='Firm Search'!$C$7),COUNTIF($A$5:A842,'Firm Search'!$C$7),"")</f>
        <v/>
      </c>
      <c r="R842">
        <f>IF(A842="","",COUNTIF($A$5:$A$1004,"&lt;"&amp;A842)+COUNTIF($A$5:A842,A842))</f>
        <v/>
      </c>
    </row>
    <row r="843">
      <c r="A843" s="64" t="n"/>
      <c r="B843" s="64" t="n"/>
      <c r="C843" s="66" t="n"/>
      <c r="D843" s="66" t="n"/>
      <c r="E843" s="67" t="n"/>
      <c r="F843" s="67" t="n"/>
      <c r="G843" s="67" t="n"/>
      <c r="H843" s="67" t="n"/>
      <c r="I843" s="67" t="n"/>
      <c r="J843" s="67" t="n"/>
      <c r="K843" s="67" t="n"/>
      <c r="L843" s="67" t="n"/>
      <c r="M843" s="64" t="n"/>
      <c r="N843" s="84">
        <f>IF(A843="","",IFERROR(INDEX(Firms!$B$5:$B$1004,MATCH(A843,Firms!$A$5:$A$1004,0)),"Not on Firms tab"))</f>
        <v/>
      </c>
      <c r="O843" s="84">
        <f>IF(A843="","",IF(AND(D843&lt;&gt;"",D843&lt;TODAY()),"Expired",IF(AND(C843&lt;&gt;"",C843&gt;TODAY()),"Not yet effective",IF(C843="","No date",IF(TODAY()&gt;=EDATE(C843,Review_Months),"Review Due","Current")))))</f>
        <v/>
      </c>
      <c r="P843">
        <f>IF(A843="","",A843&amp;"|"&amp;B843)</f>
        <v/>
      </c>
      <c r="Q843">
        <f>IF(AND(A843&lt;&gt;"",A843='Firm Search'!$C$7),COUNTIF($A$5:A843,'Firm Search'!$C$7),"")</f>
        <v/>
      </c>
      <c r="R843">
        <f>IF(A843="","",COUNTIF($A$5:$A$1004,"&lt;"&amp;A843)+COUNTIF($A$5:A843,A843))</f>
        <v/>
      </c>
    </row>
    <row r="844">
      <c r="A844" s="64" t="n"/>
      <c r="B844" s="64" t="n"/>
      <c r="C844" s="66" t="n"/>
      <c r="D844" s="66" t="n"/>
      <c r="E844" s="67" t="n"/>
      <c r="F844" s="67" t="n"/>
      <c r="G844" s="67" t="n"/>
      <c r="H844" s="67" t="n"/>
      <c r="I844" s="67" t="n"/>
      <c r="J844" s="67" t="n"/>
      <c r="K844" s="67" t="n"/>
      <c r="L844" s="67" t="n"/>
      <c r="M844" s="64" t="n"/>
      <c r="N844" s="84">
        <f>IF(A844="","",IFERROR(INDEX(Firms!$B$5:$B$1004,MATCH(A844,Firms!$A$5:$A$1004,0)),"Not on Firms tab"))</f>
        <v/>
      </c>
      <c r="O844" s="84">
        <f>IF(A844="","",IF(AND(D844&lt;&gt;"",D844&lt;TODAY()),"Expired",IF(AND(C844&lt;&gt;"",C844&gt;TODAY()),"Not yet effective",IF(C844="","No date",IF(TODAY()&gt;=EDATE(C844,Review_Months),"Review Due","Current")))))</f>
        <v/>
      </c>
      <c r="P844">
        <f>IF(A844="","",A844&amp;"|"&amp;B844)</f>
        <v/>
      </c>
      <c r="Q844">
        <f>IF(AND(A844&lt;&gt;"",A844='Firm Search'!$C$7),COUNTIF($A$5:A844,'Firm Search'!$C$7),"")</f>
        <v/>
      </c>
      <c r="R844">
        <f>IF(A844="","",COUNTIF($A$5:$A$1004,"&lt;"&amp;A844)+COUNTIF($A$5:A844,A844))</f>
        <v/>
      </c>
    </row>
    <row r="845">
      <c r="A845" s="64" t="n"/>
      <c r="B845" s="64" t="n"/>
      <c r="C845" s="66" t="n"/>
      <c r="D845" s="66" t="n"/>
      <c r="E845" s="67" t="n"/>
      <c r="F845" s="67" t="n"/>
      <c r="G845" s="67" t="n"/>
      <c r="H845" s="67" t="n"/>
      <c r="I845" s="67" t="n"/>
      <c r="J845" s="67" t="n"/>
      <c r="K845" s="67" t="n"/>
      <c r="L845" s="67" t="n"/>
      <c r="M845" s="64" t="n"/>
      <c r="N845" s="84">
        <f>IF(A845="","",IFERROR(INDEX(Firms!$B$5:$B$1004,MATCH(A845,Firms!$A$5:$A$1004,0)),"Not on Firms tab"))</f>
        <v/>
      </c>
      <c r="O845" s="84">
        <f>IF(A845="","",IF(AND(D845&lt;&gt;"",D845&lt;TODAY()),"Expired",IF(AND(C845&lt;&gt;"",C845&gt;TODAY()),"Not yet effective",IF(C845="","No date",IF(TODAY()&gt;=EDATE(C845,Review_Months),"Review Due","Current")))))</f>
        <v/>
      </c>
      <c r="P845">
        <f>IF(A845="","",A845&amp;"|"&amp;B845)</f>
        <v/>
      </c>
      <c r="Q845">
        <f>IF(AND(A845&lt;&gt;"",A845='Firm Search'!$C$7),COUNTIF($A$5:A845,'Firm Search'!$C$7),"")</f>
        <v/>
      </c>
      <c r="R845">
        <f>IF(A845="","",COUNTIF($A$5:$A$1004,"&lt;"&amp;A845)+COUNTIF($A$5:A845,A845))</f>
        <v/>
      </c>
    </row>
    <row r="846">
      <c r="A846" s="64" t="n"/>
      <c r="B846" s="64" t="n"/>
      <c r="C846" s="66" t="n"/>
      <c r="D846" s="66" t="n"/>
      <c r="E846" s="67" t="n"/>
      <c r="F846" s="67" t="n"/>
      <c r="G846" s="67" t="n"/>
      <c r="H846" s="67" t="n"/>
      <c r="I846" s="67" t="n"/>
      <c r="J846" s="67" t="n"/>
      <c r="K846" s="67" t="n"/>
      <c r="L846" s="67" t="n"/>
      <c r="M846" s="64" t="n"/>
      <c r="N846" s="84">
        <f>IF(A846="","",IFERROR(INDEX(Firms!$B$5:$B$1004,MATCH(A846,Firms!$A$5:$A$1004,0)),"Not on Firms tab"))</f>
        <v/>
      </c>
      <c r="O846" s="84">
        <f>IF(A846="","",IF(AND(D846&lt;&gt;"",D846&lt;TODAY()),"Expired",IF(AND(C846&lt;&gt;"",C846&gt;TODAY()),"Not yet effective",IF(C846="","No date",IF(TODAY()&gt;=EDATE(C846,Review_Months),"Review Due","Current")))))</f>
        <v/>
      </c>
      <c r="P846">
        <f>IF(A846="","",A846&amp;"|"&amp;B846)</f>
        <v/>
      </c>
      <c r="Q846">
        <f>IF(AND(A846&lt;&gt;"",A846='Firm Search'!$C$7),COUNTIF($A$5:A846,'Firm Search'!$C$7),"")</f>
        <v/>
      </c>
      <c r="R846">
        <f>IF(A846="","",COUNTIF($A$5:$A$1004,"&lt;"&amp;A846)+COUNTIF($A$5:A846,A846))</f>
        <v/>
      </c>
    </row>
    <row r="847">
      <c r="A847" s="64" t="n"/>
      <c r="B847" s="64" t="n"/>
      <c r="C847" s="66" t="n"/>
      <c r="D847" s="66" t="n"/>
      <c r="E847" s="67" t="n"/>
      <c r="F847" s="67" t="n"/>
      <c r="G847" s="67" t="n"/>
      <c r="H847" s="67" t="n"/>
      <c r="I847" s="67" t="n"/>
      <c r="J847" s="67" t="n"/>
      <c r="K847" s="67" t="n"/>
      <c r="L847" s="67" t="n"/>
      <c r="M847" s="64" t="n"/>
      <c r="N847" s="84">
        <f>IF(A847="","",IFERROR(INDEX(Firms!$B$5:$B$1004,MATCH(A847,Firms!$A$5:$A$1004,0)),"Not on Firms tab"))</f>
        <v/>
      </c>
      <c r="O847" s="84">
        <f>IF(A847="","",IF(AND(D847&lt;&gt;"",D847&lt;TODAY()),"Expired",IF(AND(C847&lt;&gt;"",C847&gt;TODAY()),"Not yet effective",IF(C847="","No date",IF(TODAY()&gt;=EDATE(C847,Review_Months),"Review Due","Current")))))</f>
        <v/>
      </c>
      <c r="P847">
        <f>IF(A847="","",A847&amp;"|"&amp;B847)</f>
        <v/>
      </c>
      <c r="Q847">
        <f>IF(AND(A847&lt;&gt;"",A847='Firm Search'!$C$7),COUNTIF($A$5:A847,'Firm Search'!$C$7),"")</f>
        <v/>
      </c>
      <c r="R847">
        <f>IF(A847="","",COUNTIF($A$5:$A$1004,"&lt;"&amp;A847)+COUNTIF($A$5:A847,A847))</f>
        <v/>
      </c>
    </row>
    <row r="848">
      <c r="A848" s="64" t="n"/>
      <c r="B848" s="64" t="n"/>
      <c r="C848" s="66" t="n"/>
      <c r="D848" s="66" t="n"/>
      <c r="E848" s="67" t="n"/>
      <c r="F848" s="67" t="n"/>
      <c r="G848" s="67" t="n"/>
      <c r="H848" s="67" t="n"/>
      <c r="I848" s="67" t="n"/>
      <c r="J848" s="67" t="n"/>
      <c r="K848" s="67" t="n"/>
      <c r="L848" s="67" t="n"/>
      <c r="M848" s="64" t="n"/>
      <c r="N848" s="84">
        <f>IF(A848="","",IFERROR(INDEX(Firms!$B$5:$B$1004,MATCH(A848,Firms!$A$5:$A$1004,0)),"Not on Firms tab"))</f>
        <v/>
      </c>
      <c r="O848" s="84">
        <f>IF(A848="","",IF(AND(D848&lt;&gt;"",D848&lt;TODAY()),"Expired",IF(AND(C848&lt;&gt;"",C848&gt;TODAY()),"Not yet effective",IF(C848="","No date",IF(TODAY()&gt;=EDATE(C848,Review_Months),"Review Due","Current")))))</f>
        <v/>
      </c>
      <c r="P848">
        <f>IF(A848="","",A848&amp;"|"&amp;B848)</f>
        <v/>
      </c>
      <c r="Q848">
        <f>IF(AND(A848&lt;&gt;"",A848='Firm Search'!$C$7),COUNTIF($A$5:A848,'Firm Search'!$C$7),"")</f>
        <v/>
      </c>
      <c r="R848">
        <f>IF(A848="","",COUNTIF($A$5:$A$1004,"&lt;"&amp;A848)+COUNTIF($A$5:A848,A848))</f>
        <v/>
      </c>
    </row>
    <row r="849">
      <c r="A849" s="64" t="n"/>
      <c r="B849" s="64" t="n"/>
      <c r="C849" s="66" t="n"/>
      <c r="D849" s="66" t="n"/>
      <c r="E849" s="67" t="n"/>
      <c r="F849" s="67" t="n"/>
      <c r="G849" s="67" t="n"/>
      <c r="H849" s="67" t="n"/>
      <c r="I849" s="67" t="n"/>
      <c r="J849" s="67" t="n"/>
      <c r="K849" s="67" t="n"/>
      <c r="L849" s="67" t="n"/>
      <c r="M849" s="64" t="n"/>
      <c r="N849" s="84">
        <f>IF(A849="","",IFERROR(INDEX(Firms!$B$5:$B$1004,MATCH(A849,Firms!$A$5:$A$1004,0)),"Not on Firms tab"))</f>
        <v/>
      </c>
      <c r="O849" s="84">
        <f>IF(A849="","",IF(AND(D849&lt;&gt;"",D849&lt;TODAY()),"Expired",IF(AND(C849&lt;&gt;"",C849&gt;TODAY()),"Not yet effective",IF(C849="","No date",IF(TODAY()&gt;=EDATE(C849,Review_Months),"Review Due","Current")))))</f>
        <v/>
      </c>
      <c r="P849">
        <f>IF(A849="","",A849&amp;"|"&amp;B849)</f>
        <v/>
      </c>
      <c r="Q849">
        <f>IF(AND(A849&lt;&gt;"",A849='Firm Search'!$C$7),COUNTIF($A$5:A849,'Firm Search'!$C$7),"")</f>
        <v/>
      </c>
      <c r="R849">
        <f>IF(A849="","",COUNTIF($A$5:$A$1004,"&lt;"&amp;A849)+COUNTIF($A$5:A849,A849))</f>
        <v/>
      </c>
    </row>
    <row r="850">
      <c r="A850" s="64" t="n"/>
      <c r="B850" s="64" t="n"/>
      <c r="C850" s="66" t="n"/>
      <c r="D850" s="66" t="n"/>
      <c r="E850" s="67" t="n"/>
      <c r="F850" s="67" t="n"/>
      <c r="G850" s="67" t="n"/>
      <c r="H850" s="67" t="n"/>
      <c r="I850" s="67" t="n"/>
      <c r="J850" s="67" t="n"/>
      <c r="K850" s="67" t="n"/>
      <c r="L850" s="67" t="n"/>
      <c r="M850" s="64" t="n"/>
      <c r="N850" s="84">
        <f>IF(A850="","",IFERROR(INDEX(Firms!$B$5:$B$1004,MATCH(A850,Firms!$A$5:$A$1004,0)),"Not on Firms tab"))</f>
        <v/>
      </c>
      <c r="O850" s="84">
        <f>IF(A850="","",IF(AND(D850&lt;&gt;"",D850&lt;TODAY()),"Expired",IF(AND(C850&lt;&gt;"",C850&gt;TODAY()),"Not yet effective",IF(C850="","No date",IF(TODAY()&gt;=EDATE(C850,Review_Months),"Review Due","Current")))))</f>
        <v/>
      </c>
      <c r="P850">
        <f>IF(A850="","",A850&amp;"|"&amp;B850)</f>
        <v/>
      </c>
      <c r="Q850">
        <f>IF(AND(A850&lt;&gt;"",A850='Firm Search'!$C$7),COUNTIF($A$5:A850,'Firm Search'!$C$7),"")</f>
        <v/>
      </c>
      <c r="R850">
        <f>IF(A850="","",COUNTIF($A$5:$A$1004,"&lt;"&amp;A850)+COUNTIF($A$5:A850,A850))</f>
        <v/>
      </c>
    </row>
    <row r="851">
      <c r="A851" s="64" t="n"/>
      <c r="B851" s="64" t="n"/>
      <c r="C851" s="66" t="n"/>
      <c r="D851" s="66" t="n"/>
      <c r="E851" s="67" t="n"/>
      <c r="F851" s="67" t="n"/>
      <c r="G851" s="67" t="n"/>
      <c r="H851" s="67" t="n"/>
      <c r="I851" s="67" t="n"/>
      <c r="J851" s="67" t="n"/>
      <c r="K851" s="67" t="n"/>
      <c r="L851" s="67" t="n"/>
      <c r="M851" s="64" t="n"/>
      <c r="N851" s="84">
        <f>IF(A851="","",IFERROR(INDEX(Firms!$B$5:$B$1004,MATCH(A851,Firms!$A$5:$A$1004,0)),"Not on Firms tab"))</f>
        <v/>
      </c>
      <c r="O851" s="84">
        <f>IF(A851="","",IF(AND(D851&lt;&gt;"",D851&lt;TODAY()),"Expired",IF(AND(C851&lt;&gt;"",C851&gt;TODAY()),"Not yet effective",IF(C851="","No date",IF(TODAY()&gt;=EDATE(C851,Review_Months),"Review Due","Current")))))</f>
        <v/>
      </c>
      <c r="P851">
        <f>IF(A851="","",A851&amp;"|"&amp;B851)</f>
        <v/>
      </c>
      <c r="Q851">
        <f>IF(AND(A851&lt;&gt;"",A851='Firm Search'!$C$7),COUNTIF($A$5:A851,'Firm Search'!$C$7),"")</f>
        <v/>
      </c>
      <c r="R851">
        <f>IF(A851="","",COUNTIF($A$5:$A$1004,"&lt;"&amp;A851)+COUNTIF($A$5:A851,A851))</f>
        <v/>
      </c>
    </row>
    <row r="852">
      <c r="A852" s="64" t="n"/>
      <c r="B852" s="64" t="n"/>
      <c r="C852" s="66" t="n"/>
      <c r="D852" s="66" t="n"/>
      <c r="E852" s="67" t="n"/>
      <c r="F852" s="67" t="n"/>
      <c r="G852" s="67" t="n"/>
      <c r="H852" s="67" t="n"/>
      <c r="I852" s="67" t="n"/>
      <c r="J852" s="67" t="n"/>
      <c r="K852" s="67" t="n"/>
      <c r="L852" s="67" t="n"/>
      <c r="M852" s="64" t="n"/>
      <c r="N852" s="84">
        <f>IF(A852="","",IFERROR(INDEX(Firms!$B$5:$B$1004,MATCH(A852,Firms!$A$5:$A$1004,0)),"Not on Firms tab"))</f>
        <v/>
      </c>
      <c r="O852" s="84">
        <f>IF(A852="","",IF(AND(D852&lt;&gt;"",D852&lt;TODAY()),"Expired",IF(AND(C852&lt;&gt;"",C852&gt;TODAY()),"Not yet effective",IF(C852="","No date",IF(TODAY()&gt;=EDATE(C852,Review_Months),"Review Due","Current")))))</f>
        <v/>
      </c>
      <c r="P852">
        <f>IF(A852="","",A852&amp;"|"&amp;B852)</f>
        <v/>
      </c>
      <c r="Q852">
        <f>IF(AND(A852&lt;&gt;"",A852='Firm Search'!$C$7),COUNTIF($A$5:A852,'Firm Search'!$C$7),"")</f>
        <v/>
      </c>
      <c r="R852">
        <f>IF(A852="","",COUNTIF($A$5:$A$1004,"&lt;"&amp;A852)+COUNTIF($A$5:A852,A852))</f>
        <v/>
      </c>
    </row>
    <row r="853">
      <c r="A853" s="64" t="n"/>
      <c r="B853" s="64" t="n"/>
      <c r="C853" s="66" t="n"/>
      <c r="D853" s="66" t="n"/>
      <c r="E853" s="67" t="n"/>
      <c r="F853" s="67" t="n"/>
      <c r="G853" s="67" t="n"/>
      <c r="H853" s="67" t="n"/>
      <c r="I853" s="67" t="n"/>
      <c r="J853" s="67" t="n"/>
      <c r="K853" s="67" t="n"/>
      <c r="L853" s="67" t="n"/>
      <c r="M853" s="64" t="n"/>
      <c r="N853" s="84">
        <f>IF(A853="","",IFERROR(INDEX(Firms!$B$5:$B$1004,MATCH(A853,Firms!$A$5:$A$1004,0)),"Not on Firms tab"))</f>
        <v/>
      </c>
      <c r="O853" s="84">
        <f>IF(A853="","",IF(AND(D853&lt;&gt;"",D853&lt;TODAY()),"Expired",IF(AND(C853&lt;&gt;"",C853&gt;TODAY()),"Not yet effective",IF(C853="","No date",IF(TODAY()&gt;=EDATE(C853,Review_Months),"Review Due","Current")))))</f>
        <v/>
      </c>
      <c r="P853">
        <f>IF(A853="","",A853&amp;"|"&amp;B853)</f>
        <v/>
      </c>
      <c r="Q853">
        <f>IF(AND(A853&lt;&gt;"",A853='Firm Search'!$C$7),COUNTIF($A$5:A853,'Firm Search'!$C$7),"")</f>
        <v/>
      </c>
      <c r="R853">
        <f>IF(A853="","",COUNTIF($A$5:$A$1004,"&lt;"&amp;A853)+COUNTIF($A$5:A853,A853))</f>
        <v/>
      </c>
    </row>
    <row r="854">
      <c r="A854" s="64" t="n"/>
      <c r="B854" s="64" t="n"/>
      <c r="C854" s="66" t="n"/>
      <c r="D854" s="66" t="n"/>
      <c r="E854" s="67" t="n"/>
      <c r="F854" s="67" t="n"/>
      <c r="G854" s="67" t="n"/>
      <c r="H854" s="67" t="n"/>
      <c r="I854" s="67" t="n"/>
      <c r="J854" s="67" t="n"/>
      <c r="K854" s="67" t="n"/>
      <c r="L854" s="67" t="n"/>
      <c r="M854" s="64" t="n"/>
      <c r="N854" s="84">
        <f>IF(A854="","",IFERROR(INDEX(Firms!$B$5:$B$1004,MATCH(A854,Firms!$A$5:$A$1004,0)),"Not on Firms tab"))</f>
        <v/>
      </c>
      <c r="O854" s="84">
        <f>IF(A854="","",IF(AND(D854&lt;&gt;"",D854&lt;TODAY()),"Expired",IF(AND(C854&lt;&gt;"",C854&gt;TODAY()),"Not yet effective",IF(C854="","No date",IF(TODAY()&gt;=EDATE(C854,Review_Months),"Review Due","Current")))))</f>
        <v/>
      </c>
      <c r="P854">
        <f>IF(A854="","",A854&amp;"|"&amp;B854)</f>
        <v/>
      </c>
      <c r="Q854">
        <f>IF(AND(A854&lt;&gt;"",A854='Firm Search'!$C$7),COUNTIF($A$5:A854,'Firm Search'!$C$7),"")</f>
        <v/>
      </c>
      <c r="R854">
        <f>IF(A854="","",COUNTIF($A$5:$A$1004,"&lt;"&amp;A854)+COUNTIF($A$5:A854,A854))</f>
        <v/>
      </c>
    </row>
    <row r="855">
      <c r="A855" s="64" t="n"/>
      <c r="B855" s="64" t="n"/>
      <c r="C855" s="66" t="n"/>
      <c r="D855" s="66" t="n"/>
      <c r="E855" s="67" t="n"/>
      <c r="F855" s="67" t="n"/>
      <c r="G855" s="67" t="n"/>
      <c r="H855" s="67" t="n"/>
      <c r="I855" s="67" t="n"/>
      <c r="J855" s="67" t="n"/>
      <c r="K855" s="67" t="n"/>
      <c r="L855" s="67" t="n"/>
      <c r="M855" s="64" t="n"/>
      <c r="N855" s="84">
        <f>IF(A855="","",IFERROR(INDEX(Firms!$B$5:$B$1004,MATCH(A855,Firms!$A$5:$A$1004,0)),"Not on Firms tab"))</f>
        <v/>
      </c>
      <c r="O855" s="84">
        <f>IF(A855="","",IF(AND(D855&lt;&gt;"",D855&lt;TODAY()),"Expired",IF(AND(C855&lt;&gt;"",C855&gt;TODAY()),"Not yet effective",IF(C855="","No date",IF(TODAY()&gt;=EDATE(C855,Review_Months),"Review Due","Current")))))</f>
        <v/>
      </c>
      <c r="P855">
        <f>IF(A855="","",A855&amp;"|"&amp;B855)</f>
        <v/>
      </c>
      <c r="Q855">
        <f>IF(AND(A855&lt;&gt;"",A855='Firm Search'!$C$7),COUNTIF($A$5:A855,'Firm Search'!$C$7),"")</f>
        <v/>
      </c>
      <c r="R855">
        <f>IF(A855="","",COUNTIF($A$5:$A$1004,"&lt;"&amp;A855)+COUNTIF($A$5:A855,A855))</f>
        <v/>
      </c>
    </row>
    <row r="856">
      <c r="A856" s="64" t="n"/>
      <c r="B856" s="64" t="n"/>
      <c r="C856" s="66" t="n"/>
      <c r="D856" s="66" t="n"/>
      <c r="E856" s="67" t="n"/>
      <c r="F856" s="67" t="n"/>
      <c r="G856" s="67" t="n"/>
      <c r="H856" s="67" t="n"/>
      <c r="I856" s="67" t="n"/>
      <c r="J856" s="67" t="n"/>
      <c r="K856" s="67" t="n"/>
      <c r="L856" s="67" t="n"/>
      <c r="M856" s="64" t="n"/>
      <c r="N856" s="84">
        <f>IF(A856="","",IFERROR(INDEX(Firms!$B$5:$B$1004,MATCH(A856,Firms!$A$5:$A$1004,0)),"Not on Firms tab"))</f>
        <v/>
      </c>
      <c r="O856" s="84">
        <f>IF(A856="","",IF(AND(D856&lt;&gt;"",D856&lt;TODAY()),"Expired",IF(AND(C856&lt;&gt;"",C856&gt;TODAY()),"Not yet effective",IF(C856="","No date",IF(TODAY()&gt;=EDATE(C856,Review_Months),"Review Due","Current")))))</f>
        <v/>
      </c>
      <c r="P856">
        <f>IF(A856="","",A856&amp;"|"&amp;B856)</f>
        <v/>
      </c>
      <c r="Q856">
        <f>IF(AND(A856&lt;&gt;"",A856='Firm Search'!$C$7),COUNTIF($A$5:A856,'Firm Search'!$C$7),"")</f>
        <v/>
      </c>
      <c r="R856">
        <f>IF(A856="","",COUNTIF($A$5:$A$1004,"&lt;"&amp;A856)+COUNTIF($A$5:A856,A856))</f>
        <v/>
      </c>
    </row>
    <row r="857">
      <c r="A857" s="64" t="n"/>
      <c r="B857" s="64" t="n"/>
      <c r="C857" s="66" t="n"/>
      <c r="D857" s="66" t="n"/>
      <c r="E857" s="67" t="n"/>
      <c r="F857" s="67" t="n"/>
      <c r="G857" s="67" t="n"/>
      <c r="H857" s="67" t="n"/>
      <c r="I857" s="67" t="n"/>
      <c r="J857" s="67" t="n"/>
      <c r="K857" s="67" t="n"/>
      <c r="L857" s="67" t="n"/>
      <c r="M857" s="64" t="n"/>
      <c r="N857" s="84">
        <f>IF(A857="","",IFERROR(INDEX(Firms!$B$5:$B$1004,MATCH(A857,Firms!$A$5:$A$1004,0)),"Not on Firms tab"))</f>
        <v/>
      </c>
      <c r="O857" s="84">
        <f>IF(A857="","",IF(AND(D857&lt;&gt;"",D857&lt;TODAY()),"Expired",IF(AND(C857&lt;&gt;"",C857&gt;TODAY()),"Not yet effective",IF(C857="","No date",IF(TODAY()&gt;=EDATE(C857,Review_Months),"Review Due","Current")))))</f>
        <v/>
      </c>
      <c r="P857">
        <f>IF(A857="","",A857&amp;"|"&amp;B857)</f>
        <v/>
      </c>
      <c r="Q857">
        <f>IF(AND(A857&lt;&gt;"",A857='Firm Search'!$C$7),COUNTIF($A$5:A857,'Firm Search'!$C$7),"")</f>
        <v/>
      </c>
      <c r="R857">
        <f>IF(A857="","",COUNTIF($A$5:$A$1004,"&lt;"&amp;A857)+COUNTIF($A$5:A857,A857))</f>
        <v/>
      </c>
    </row>
    <row r="858">
      <c r="A858" s="64" t="n"/>
      <c r="B858" s="64" t="n"/>
      <c r="C858" s="66" t="n"/>
      <c r="D858" s="66" t="n"/>
      <c r="E858" s="67" t="n"/>
      <c r="F858" s="67" t="n"/>
      <c r="G858" s="67" t="n"/>
      <c r="H858" s="67" t="n"/>
      <c r="I858" s="67" t="n"/>
      <c r="J858" s="67" t="n"/>
      <c r="K858" s="67" t="n"/>
      <c r="L858" s="67" t="n"/>
      <c r="M858" s="64" t="n"/>
      <c r="N858" s="84">
        <f>IF(A858="","",IFERROR(INDEX(Firms!$B$5:$B$1004,MATCH(A858,Firms!$A$5:$A$1004,0)),"Not on Firms tab"))</f>
        <v/>
      </c>
      <c r="O858" s="84">
        <f>IF(A858="","",IF(AND(D858&lt;&gt;"",D858&lt;TODAY()),"Expired",IF(AND(C858&lt;&gt;"",C858&gt;TODAY()),"Not yet effective",IF(C858="","No date",IF(TODAY()&gt;=EDATE(C858,Review_Months),"Review Due","Current")))))</f>
        <v/>
      </c>
      <c r="P858">
        <f>IF(A858="","",A858&amp;"|"&amp;B858)</f>
        <v/>
      </c>
      <c r="Q858">
        <f>IF(AND(A858&lt;&gt;"",A858='Firm Search'!$C$7),COUNTIF($A$5:A858,'Firm Search'!$C$7),"")</f>
        <v/>
      </c>
      <c r="R858">
        <f>IF(A858="","",COUNTIF($A$5:$A$1004,"&lt;"&amp;A858)+COUNTIF($A$5:A858,A858))</f>
        <v/>
      </c>
    </row>
    <row r="859">
      <c r="A859" s="64" t="n"/>
      <c r="B859" s="64" t="n"/>
      <c r="C859" s="66" t="n"/>
      <c r="D859" s="66" t="n"/>
      <c r="E859" s="67" t="n"/>
      <c r="F859" s="67" t="n"/>
      <c r="G859" s="67" t="n"/>
      <c r="H859" s="67" t="n"/>
      <c r="I859" s="67" t="n"/>
      <c r="J859" s="67" t="n"/>
      <c r="K859" s="67" t="n"/>
      <c r="L859" s="67" t="n"/>
      <c r="M859" s="64" t="n"/>
      <c r="N859" s="84">
        <f>IF(A859="","",IFERROR(INDEX(Firms!$B$5:$B$1004,MATCH(A859,Firms!$A$5:$A$1004,0)),"Not on Firms tab"))</f>
        <v/>
      </c>
      <c r="O859" s="84">
        <f>IF(A859="","",IF(AND(D859&lt;&gt;"",D859&lt;TODAY()),"Expired",IF(AND(C859&lt;&gt;"",C859&gt;TODAY()),"Not yet effective",IF(C859="","No date",IF(TODAY()&gt;=EDATE(C859,Review_Months),"Review Due","Current")))))</f>
        <v/>
      </c>
      <c r="P859">
        <f>IF(A859="","",A859&amp;"|"&amp;B859)</f>
        <v/>
      </c>
      <c r="Q859">
        <f>IF(AND(A859&lt;&gt;"",A859='Firm Search'!$C$7),COUNTIF($A$5:A859,'Firm Search'!$C$7),"")</f>
        <v/>
      </c>
      <c r="R859">
        <f>IF(A859="","",COUNTIF($A$5:$A$1004,"&lt;"&amp;A859)+COUNTIF($A$5:A859,A859))</f>
        <v/>
      </c>
    </row>
    <row r="860">
      <c r="A860" s="64" t="n"/>
      <c r="B860" s="64" t="n"/>
      <c r="C860" s="66" t="n"/>
      <c r="D860" s="66" t="n"/>
      <c r="E860" s="67" t="n"/>
      <c r="F860" s="67" t="n"/>
      <c r="G860" s="67" t="n"/>
      <c r="H860" s="67" t="n"/>
      <c r="I860" s="67" t="n"/>
      <c r="J860" s="67" t="n"/>
      <c r="K860" s="67" t="n"/>
      <c r="L860" s="67" t="n"/>
      <c r="M860" s="64" t="n"/>
      <c r="N860" s="84">
        <f>IF(A860="","",IFERROR(INDEX(Firms!$B$5:$B$1004,MATCH(A860,Firms!$A$5:$A$1004,0)),"Not on Firms tab"))</f>
        <v/>
      </c>
      <c r="O860" s="84">
        <f>IF(A860="","",IF(AND(D860&lt;&gt;"",D860&lt;TODAY()),"Expired",IF(AND(C860&lt;&gt;"",C860&gt;TODAY()),"Not yet effective",IF(C860="","No date",IF(TODAY()&gt;=EDATE(C860,Review_Months),"Review Due","Current")))))</f>
        <v/>
      </c>
      <c r="P860">
        <f>IF(A860="","",A860&amp;"|"&amp;B860)</f>
        <v/>
      </c>
      <c r="Q860">
        <f>IF(AND(A860&lt;&gt;"",A860='Firm Search'!$C$7),COUNTIF($A$5:A860,'Firm Search'!$C$7),"")</f>
        <v/>
      </c>
      <c r="R860">
        <f>IF(A860="","",COUNTIF($A$5:$A$1004,"&lt;"&amp;A860)+COUNTIF($A$5:A860,A860))</f>
        <v/>
      </c>
    </row>
    <row r="861">
      <c r="A861" s="64" t="n"/>
      <c r="B861" s="64" t="n"/>
      <c r="C861" s="66" t="n"/>
      <c r="D861" s="66" t="n"/>
      <c r="E861" s="67" t="n"/>
      <c r="F861" s="67" t="n"/>
      <c r="G861" s="67" t="n"/>
      <c r="H861" s="67" t="n"/>
      <c r="I861" s="67" t="n"/>
      <c r="J861" s="67" t="n"/>
      <c r="K861" s="67" t="n"/>
      <c r="L861" s="67" t="n"/>
      <c r="M861" s="64" t="n"/>
      <c r="N861" s="84">
        <f>IF(A861="","",IFERROR(INDEX(Firms!$B$5:$B$1004,MATCH(A861,Firms!$A$5:$A$1004,0)),"Not on Firms tab"))</f>
        <v/>
      </c>
      <c r="O861" s="84">
        <f>IF(A861="","",IF(AND(D861&lt;&gt;"",D861&lt;TODAY()),"Expired",IF(AND(C861&lt;&gt;"",C861&gt;TODAY()),"Not yet effective",IF(C861="","No date",IF(TODAY()&gt;=EDATE(C861,Review_Months),"Review Due","Current")))))</f>
        <v/>
      </c>
      <c r="P861">
        <f>IF(A861="","",A861&amp;"|"&amp;B861)</f>
        <v/>
      </c>
      <c r="Q861">
        <f>IF(AND(A861&lt;&gt;"",A861='Firm Search'!$C$7),COUNTIF($A$5:A861,'Firm Search'!$C$7),"")</f>
        <v/>
      </c>
      <c r="R861">
        <f>IF(A861="","",COUNTIF($A$5:$A$1004,"&lt;"&amp;A861)+COUNTIF($A$5:A861,A861))</f>
        <v/>
      </c>
    </row>
    <row r="862">
      <c r="A862" s="64" t="n"/>
      <c r="B862" s="64" t="n"/>
      <c r="C862" s="66" t="n"/>
      <c r="D862" s="66" t="n"/>
      <c r="E862" s="67" t="n"/>
      <c r="F862" s="67" t="n"/>
      <c r="G862" s="67" t="n"/>
      <c r="H862" s="67" t="n"/>
      <c r="I862" s="67" t="n"/>
      <c r="J862" s="67" t="n"/>
      <c r="K862" s="67" t="n"/>
      <c r="L862" s="67" t="n"/>
      <c r="M862" s="64" t="n"/>
      <c r="N862" s="84">
        <f>IF(A862="","",IFERROR(INDEX(Firms!$B$5:$B$1004,MATCH(A862,Firms!$A$5:$A$1004,0)),"Not on Firms tab"))</f>
        <v/>
      </c>
      <c r="O862" s="84">
        <f>IF(A862="","",IF(AND(D862&lt;&gt;"",D862&lt;TODAY()),"Expired",IF(AND(C862&lt;&gt;"",C862&gt;TODAY()),"Not yet effective",IF(C862="","No date",IF(TODAY()&gt;=EDATE(C862,Review_Months),"Review Due","Current")))))</f>
        <v/>
      </c>
      <c r="P862">
        <f>IF(A862="","",A862&amp;"|"&amp;B862)</f>
        <v/>
      </c>
      <c r="Q862">
        <f>IF(AND(A862&lt;&gt;"",A862='Firm Search'!$C$7),COUNTIF($A$5:A862,'Firm Search'!$C$7),"")</f>
        <v/>
      </c>
      <c r="R862">
        <f>IF(A862="","",COUNTIF($A$5:$A$1004,"&lt;"&amp;A862)+COUNTIF($A$5:A862,A862))</f>
        <v/>
      </c>
    </row>
    <row r="863">
      <c r="A863" s="64" t="n"/>
      <c r="B863" s="64" t="n"/>
      <c r="C863" s="66" t="n"/>
      <c r="D863" s="66" t="n"/>
      <c r="E863" s="67" t="n"/>
      <c r="F863" s="67" t="n"/>
      <c r="G863" s="67" t="n"/>
      <c r="H863" s="67" t="n"/>
      <c r="I863" s="67" t="n"/>
      <c r="J863" s="67" t="n"/>
      <c r="K863" s="67" t="n"/>
      <c r="L863" s="67" t="n"/>
      <c r="M863" s="64" t="n"/>
      <c r="N863" s="84">
        <f>IF(A863="","",IFERROR(INDEX(Firms!$B$5:$B$1004,MATCH(A863,Firms!$A$5:$A$1004,0)),"Not on Firms tab"))</f>
        <v/>
      </c>
      <c r="O863" s="84">
        <f>IF(A863="","",IF(AND(D863&lt;&gt;"",D863&lt;TODAY()),"Expired",IF(AND(C863&lt;&gt;"",C863&gt;TODAY()),"Not yet effective",IF(C863="","No date",IF(TODAY()&gt;=EDATE(C863,Review_Months),"Review Due","Current")))))</f>
        <v/>
      </c>
      <c r="P863">
        <f>IF(A863="","",A863&amp;"|"&amp;B863)</f>
        <v/>
      </c>
      <c r="Q863">
        <f>IF(AND(A863&lt;&gt;"",A863='Firm Search'!$C$7),COUNTIF($A$5:A863,'Firm Search'!$C$7),"")</f>
        <v/>
      </c>
      <c r="R863">
        <f>IF(A863="","",COUNTIF($A$5:$A$1004,"&lt;"&amp;A863)+COUNTIF($A$5:A863,A863))</f>
        <v/>
      </c>
    </row>
    <row r="864">
      <c r="A864" s="64" t="n"/>
      <c r="B864" s="64" t="n"/>
      <c r="C864" s="66" t="n"/>
      <c r="D864" s="66" t="n"/>
      <c r="E864" s="67" t="n"/>
      <c r="F864" s="67" t="n"/>
      <c r="G864" s="67" t="n"/>
      <c r="H864" s="67" t="n"/>
      <c r="I864" s="67" t="n"/>
      <c r="J864" s="67" t="n"/>
      <c r="K864" s="67" t="n"/>
      <c r="L864" s="67" t="n"/>
      <c r="M864" s="64" t="n"/>
      <c r="N864" s="84">
        <f>IF(A864="","",IFERROR(INDEX(Firms!$B$5:$B$1004,MATCH(A864,Firms!$A$5:$A$1004,0)),"Not on Firms tab"))</f>
        <v/>
      </c>
      <c r="O864" s="84">
        <f>IF(A864="","",IF(AND(D864&lt;&gt;"",D864&lt;TODAY()),"Expired",IF(AND(C864&lt;&gt;"",C864&gt;TODAY()),"Not yet effective",IF(C864="","No date",IF(TODAY()&gt;=EDATE(C864,Review_Months),"Review Due","Current")))))</f>
        <v/>
      </c>
      <c r="P864">
        <f>IF(A864="","",A864&amp;"|"&amp;B864)</f>
        <v/>
      </c>
      <c r="Q864">
        <f>IF(AND(A864&lt;&gt;"",A864='Firm Search'!$C$7),COUNTIF($A$5:A864,'Firm Search'!$C$7),"")</f>
        <v/>
      </c>
      <c r="R864">
        <f>IF(A864="","",COUNTIF($A$5:$A$1004,"&lt;"&amp;A864)+COUNTIF($A$5:A864,A864))</f>
        <v/>
      </c>
    </row>
    <row r="865">
      <c r="A865" s="64" t="n"/>
      <c r="B865" s="64" t="n"/>
      <c r="C865" s="66" t="n"/>
      <c r="D865" s="66" t="n"/>
      <c r="E865" s="67" t="n"/>
      <c r="F865" s="67" t="n"/>
      <c r="G865" s="67" t="n"/>
      <c r="H865" s="67" t="n"/>
      <c r="I865" s="67" t="n"/>
      <c r="J865" s="67" t="n"/>
      <c r="K865" s="67" t="n"/>
      <c r="L865" s="67" t="n"/>
      <c r="M865" s="64" t="n"/>
      <c r="N865" s="84">
        <f>IF(A865="","",IFERROR(INDEX(Firms!$B$5:$B$1004,MATCH(A865,Firms!$A$5:$A$1004,0)),"Not on Firms tab"))</f>
        <v/>
      </c>
      <c r="O865" s="84">
        <f>IF(A865="","",IF(AND(D865&lt;&gt;"",D865&lt;TODAY()),"Expired",IF(AND(C865&lt;&gt;"",C865&gt;TODAY()),"Not yet effective",IF(C865="","No date",IF(TODAY()&gt;=EDATE(C865,Review_Months),"Review Due","Current")))))</f>
        <v/>
      </c>
      <c r="P865">
        <f>IF(A865="","",A865&amp;"|"&amp;B865)</f>
        <v/>
      </c>
      <c r="Q865">
        <f>IF(AND(A865&lt;&gt;"",A865='Firm Search'!$C$7),COUNTIF($A$5:A865,'Firm Search'!$C$7),"")</f>
        <v/>
      </c>
      <c r="R865">
        <f>IF(A865="","",COUNTIF($A$5:$A$1004,"&lt;"&amp;A865)+COUNTIF($A$5:A865,A865))</f>
        <v/>
      </c>
    </row>
    <row r="866">
      <c r="A866" s="64" t="n"/>
      <c r="B866" s="64" t="n"/>
      <c r="C866" s="66" t="n"/>
      <c r="D866" s="66" t="n"/>
      <c r="E866" s="67" t="n"/>
      <c r="F866" s="67" t="n"/>
      <c r="G866" s="67" t="n"/>
      <c r="H866" s="67" t="n"/>
      <c r="I866" s="67" t="n"/>
      <c r="J866" s="67" t="n"/>
      <c r="K866" s="67" t="n"/>
      <c r="L866" s="67" t="n"/>
      <c r="M866" s="64" t="n"/>
      <c r="N866" s="84">
        <f>IF(A866="","",IFERROR(INDEX(Firms!$B$5:$B$1004,MATCH(A866,Firms!$A$5:$A$1004,0)),"Not on Firms tab"))</f>
        <v/>
      </c>
      <c r="O866" s="84">
        <f>IF(A866="","",IF(AND(D866&lt;&gt;"",D866&lt;TODAY()),"Expired",IF(AND(C866&lt;&gt;"",C866&gt;TODAY()),"Not yet effective",IF(C866="","No date",IF(TODAY()&gt;=EDATE(C866,Review_Months),"Review Due","Current")))))</f>
        <v/>
      </c>
      <c r="P866">
        <f>IF(A866="","",A866&amp;"|"&amp;B866)</f>
        <v/>
      </c>
      <c r="Q866">
        <f>IF(AND(A866&lt;&gt;"",A866='Firm Search'!$C$7),COUNTIF($A$5:A866,'Firm Search'!$C$7),"")</f>
        <v/>
      </c>
      <c r="R866">
        <f>IF(A866="","",COUNTIF($A$5:$A$1004,"&lt;"&amp;A866)+COUNTIF($A$5:A866,A866))</f>
        <v/>
      </c>
    </row>
    <row r="867">
      <c r="A867" s="64" t="n"/>
      <c r="B867" s="64" t="n"/>
      <c r="C867" s="66" t="n"/>
      <c r="D867" s="66" t="n"/>
      <c r="E867" s="67" t="n"/>
      <c r="F867" s="67" t="n"/>
      <c r="G867" s="67" t="n"/>
      <c r="H867" s="67" t="n"/>
      <c r="I867" s="67" t="n"/>
      <c r="J867" s="67" t="n"/>
      <c r="K867" s="67" t="n"/>
      <c r="L867" s="67" t="n"/>
      <c r="M867" s="64" t="n"/>
      <c r="N867" s="84">
        <f>IF(A867="","",IFERROR(INDEX(Firms!$B$5:$B$1004,MATCH(A867,Firms!$A$5:$A$1004,0)),"Not on Firms tab"))</f>
        <v/>
      </c>
      <c r="O867" s="84">
        <f>IF(A867="","",IF(AND(D867&lt;&gt;"",D867&lt;TODAY()),"Expired",IF(AND(C867&lt;&gt;"",C867&gt;TODAY()),"Not yet effective",IF(C867="","No date",IF(TODAY()&gt;=EDATE(C867,Review_Months),"Review Due","Current")))))</f>
        <v/>
      </c>
      <c r="P867">
        <f>IF(A867="","",A867&amp;"|"&amp;B867)</f>
        <v/>
      </c>
      <c r="Q867">
        <f>IF(AND(A867&lt;&gt;"",A867='Firm Search'!$C$7),COUNTIF($A$5:A867,'Firm Search'!$C$7),"")</f>
        <v/>
      </c>
      <c r="R867">
        <f>IF(A867="","",COUNTIF($A$5:$A$1004,"&lt;"&amp;A867)+COUNTIF($A$5:A867,A867))</f>
        <v/>
      </c>
    </row>
    <row r="868">
      <c r="A868" s="64" t="n"/>
      <c r="B868" s="64" t="n"/>
      <c r="C868" s="66" t="n"/>
      <c r="D868" s="66" t="n"/>
      <c r="E868" s="67" t="n"/>
      <c r="F868" s="67" t="n"/>
      <c r="G868" s="67" t="n"/>
      <c r="H868" s="67" t="n"/>
      <c r="I868" s="67" t="n"/>
      <c r="J868" s="67" t="n"/>
      <c r="K868" s="67" t="n"/>
      <c r="L868" s="67" t="n"/>
      <c r="M868" s="64" t="n"/>
      <c r="N868" s="84">
        <f>IF(A868="","",IFERROR(INDEX(Firms!$B$5:$B$1004,MATCH(A868,Firms!$A$5:$A$1004,0)),"Not on Firms tab"))</f>
        <v/>
      </c>
      <c r="O868" s="84">
        <f>IF(A868="","",IF(AND(D868&lt;&gt;"",D868&lt;TODAY()),"Expired",IF(AND(C868&lt;&gt;"",C868&gt;TODAY()),"Not yet effective",IF(C868="","No date",IF(TODAY()&gt;=EDATE(C868,Review_Months),"Review Due","Current")))))</f>
        <v/>
      </c>
      <c r="P868">
        <f>IF(A868="","",A868&amp;"|"&amp;B868)</f>
        <v/>
      </c>
      <c r="Q868">
        <f>IF(AND(A868&lt;&gt;"",A868='Firm Search'!$C$7),COUNTIF($A$5:A868,'Firm Search'!$C$7),"")</f>
        <v/>
      </c>
      <c r="R868">
        <f>IF(A868="","",COUNTIF($A$5:$A$1004,"&lt;"&amp;A868)+COUNTIF($A$5:A868,A868))</f>
        <v/>
      </c>
    </row>
    <row r="869">
      <c r="A869" s="64" t="n"/>
      <c r="B869" s="64" t="n"/>
      <c r="C869" s="66" t="n"/>
      <c r="D869" s="66" t="n"/>
      <c r="E869" s="67" t="n"/>
      <c r="F869" s="67" t="n"/>
      <c r="G869" s="67" t="n"/>
      <c r="H869" s="67" t="n"/>
      <c r="I869" s="67" t="n"/>
      <c r="J869" s="67" t="n"/>
      <c r="K869" s="67" t="n"/>
      <c r="L869" s="67" t="n"/>
      <c r="M869" s="64" t="n"/>
      <c r="N869" s="84">
        <f>IF(A869="","",IFERROR(INDEX(Firms!$B$5:$B$1004,MATCH(A869,Firms!$A$5:$A$1004,0)),"Not on Firms tab"))</f>
        <v/>
      </c>
      <c r="O869" s="84">
        <f>IF(A869="","",IF(AND(D869&lt;&gt;"",D869&lt;TODAY()),"Expired",IF(AND(C869&lt;&gt;"",C869&gt;TODAY()),"Not yet effective",IF(C869="","No date",IF(TODAY()&gt;=EDATE(C869,Review_Months),"Review Due","Current")))))</f>
        <v/>
      </c>
      <c r="P869">
        <f>IF(A869="","",A869&amp;"|"&amp;B869)</f>
        <v/>
      </c>
      <c r="Q869">
        <f>IF(AND(A869&lt;&gt;"",A869='Firm Search'!$C$7),COUNTIF($A$5:A869,'Firm Search'!$C$7),"")</f>
        <v/>
      </c>
      <c r="R869">
        <f>IF(A869="","",COUNTIF($A$5:$A$1004,"&lt;"&amp;A869)+COUNTIF($A$5:A869,A869))</f>
        <v/>
      </c>
    </row>
    <row r="870">
      <c r="A870" s="64" t="n"/>
      <c r="B870" s="64" t="n"/>
      <c r="C870" s="66" t="n"/>
      <c r="D870" s="66" t="n"/>
      <c r="E870" s="67" t="n"/>
      <c r="F870" s="67" t="n"/>
      <c r="G870" s="67" t="n"/>
      <c r="H870" s="67" t="n"/>
      <c r="I870" s="67" t="n"/>
      <c r="J870" s="67" t="n"/>
      <c r="K870" s="67" t="n"/>
      <c r="L870" s="67" t="n"/>
      <c r="M870" s="64" t="n"/>
      <c r="N870" s="84">
        <f>IF(A870="","",IFERROR(INDEX(Firms!$B$5:$B$1004,MATCH(A870,Firms!$A$5:$A$1004,0)),"Not on Firms tab"))</f>
        <v/>
      </c>
      <c r="O870" s="84">
        <f>IF(A870="","",IF(AND(D870&lt;&gt;"",D870&lt;TODAY()),"Expired",IF(AND(C870&lt;&gt;"",C870&gt;TODAY()),"Not yet effective",IF(C870="","No date",IF(TODAY()&gt;=EDATE(C870,Review_Months),"Review Due","Current")))))</f>
        <v/>
      </c>
      <c r="P870">
        <f>IF(A870="","",A870&amp;"|"&amp;B870)</f>
        <v/>
      </c>
      <c r="Q870">
        <f>IF(AND(A870&lt;&gt;"",A870='Firm Search'!$C$7),COUNTIF($A$5:A870,'Firm Search'!$C$7),"")</f>
        <v/>
      </c>
      <c r="R870">
        <f>IF(A870="","",COUNTIF($A$5:$A$1004,"&lt;"&amp;A870)+COUNTIF($A$5:A870,A870))</f>
        <v/>
      </c>
    </row>
    <row r="871">
      <c r="A871" s="64" t="n"/>
      <c r="B871" s="64" t="n"/>
      <c r="C871" s="66" t="n"/>
      <c r="D871" s="66" t="n"/>
      <c r="E871" s="67" t="n"/>
      <c r="F871" s="67" t="n"/>
      <c r="G871" s="67" t="n"/>
      <c r="H871" s="67" t="n"/>
      <c r="I871" s="67" t="n"/>
      <c r="J871" s="67" t="n"/>
      <c r="K871" s="67" t="n"/>
      <c r="L871" s="67" t="n"/>
      <c r="M871" s="64" t="n"/>
      <c r="N871" s="84">
        <f>IF(A871="","",IFERROR(INDEX(Firms!$B$5:$B$1004,MATCH(A871,Firms!$A$5:$A$1004,0)),"Not on Firms tab"))</f>
        <v/>
      </c>
      <c r="O871" s="84">
        <f>IF(A871="","",IF(AND(D871&lt;&gt;"",D871&lt;TODAY()),"Expired",IF(AND(C871&lt;&gt;"",C871&gt;TODAY()),"Not yet effective",IF(C871="","No date",IF(TODAY()&gt;=EDATE(C871,Review_Months),"Review Due","Current")))))</f>
        <v/>
      </c>
      <c r="P871">
        <f>IF(A871="","",A871&amp;"|"&amp;B871)</f>
        <v/>
      </c>
      <c r="Q871">
        <f>IF(AND(A871&lt;&gt;"",A871='Firm Search'!$C$7),COUNTIF($A$5:A871,'Firm Search'!$C$7),"")</f>
        <v/>
      </c>
      <c r="R871">
        <f>IF(A871="","",COUNTIF($A$5:$A$1004,"&lt;"&amp;A871)+COUNTIF($A$5:A871,A871))</f>
        <v/>
      </c>
    </row>
    <row r="872">
      <c r="A872" s="64" t="n"/>
      <c r="B872" s="64" t="n"/>
      <c r="C872" s="66" t="n"/>
      <c r="D872" s="66" t="n"/>
      <c r="E872" s="67" t="n"/>
      <c r="F872" s="67" t="n"/>
      <c r="G872" s="67" t="n"/>
      <c r="H872" s="67" t="n"/>
      <c r="I872" s="67" t="n"/>
      <c r="J872" s="67" t="n"/>
      <c r="K872" s="67" t="n"/>
      <c r="L872" s="67" t="n"/>
      <c r="M872" s="64" t="n"/>
      <c r="N872" s="84">
        <f>IF(A872="","",IFERROR(INDEX(Firms!$B$5:$B$1004,MATCH(A872,Firms!$A$5:$A$1004,0)),"Not on Firms tab"))</f>
        <v/>
      </c>
      <c r="O872" s="84">
        <f>IF(A872="","",IF(AND(D872&lt;&gt;"",D872&lt;TODAY()),"Expired",IF(AND(C872&lt;&gt;"",C872&gt;TODAY()),"Not yet effective",IF(C872="","No date",IF(TODAY()&gt;=EDATE(C872,Review_Months),"Review Due","Current")))))</f>
        <v/>
      </c>
      <c r="P872">
        <f>IF(A872="","",A872&amp;"|"&amp;B872)</f>
        <v/>
      </c>
      <c r="Q872">
        <f>IF(AND(A872&lt;&gt;"",A872='Firm Search'!$C$7),COUNTIF($A$5:A872,'Firm Search'!$C$7),"")</f>
        <v/>
      </c>
      <c r="R872">
        <f>IF(A872="","",COUNTIF($A$5:$A$1004,"&lt;"&amp;A872)+COUNTIF($A$5:A872,A872))</f>
        <v/>
      </c>
    </row>
    <row r="873">
      <c r="A873" s="64" t="n"/>
      <c r="B873" s="64" t="n"/>
      <c r="C873" s="66" t="n"/>
      <c r="D873" s="66" t="n"/>
      <c r="E873" s="67" t="n"/>
      <c r="F873" s="67" t="n"/>
      <c r="G873" s="67" t="n"/>
      <c r="H873" s="67" t="n"/>
      <c r="I873" s="67" t="n"/>
      <c r="J873" s="67" t="n"/>
      <c r="K873" s="67" t="n"/>
      <c r="L873" s="67" t="n"/>
      <c r="M873" s="64" t="n"/>
      <c r="N873" s="84">
        <f>IF(A873="","",IFERROR(INDEX(Firms!$B$5:$B$1004,MATCH(A873,Firms!$A$5:$A$1004,0)),"Not on Firms tab"))</f>
        <v/>
      </c>
      <c r="O873" s="84">
        <f>IF(A873="","",IF(AND(D873&lt;&gt;"",D873&lt;TODAY()),"Expired",IF(AND(C873&lt;&gt;"",C873&gt;TODAY()),"Not yet effective",IF(C873="","No date",IF(TODAY()&gt;=EDATE(C873,Review_Months),"Review Due","Current")))))</f>
        <v/>
      </c>
      <c r="P873">
        <f>IF(A873="","",A873&amp;"|"&amp;B873)</f>
        <v/>
      </c>
      <c r="Q873">
        <f>IF(AND(A873&lt;&gt;"",A873='Firm Search'!$C$7),COUNTIF($A$5:A873,'Firm Search'!$C$7),"")</f>
        <v/>
      </c>
      <c r="R873">
        <f>IF(A873="","",COUNTIF($A$5:$A$1004,"&lt;"&amp;A873)+COUNTIF($A$5:A873,A873))</f>
        <v/>
      </c>
    </row>
    <row r="874">
      <c r="A874" s="64" t="n"/>
      <c r="B874" s="64" t="n"/>
      <c r="C874" s="66" t="n"/>
      <c r="D874" s="66" t="n"/>
      <c r="E874" s="67" t="n"/>
      <c r="F874" s="67" t="n"/>
      <c r="G874" s="67" t="n"/>
      <c r="H874" s="67" t="n"/>
      <c r="I874" s="67" t="n"/>
      <c r="J874" s="67" t="n"/>
      <c r="K874" s="67" t="n"/>
      <c r="L874" s="67" t="n"/>
      <c r="M874" s="64" t="n"/>
      <c r="N874" s="84">
        <f>IF(A874="","",IFERROR(INDEX(Firms!$B$5:$B$1004,MATCH(A874,Firms!$A$5:$A$1004,0)),"Not on Firms tab"))</f>
        <v/>
      </c>
      <c r="O874" s="84">
        <f>IF(A874="","",IF(AND(D874&lt;&gt;"",D874&lt;TODAY()),"Expired",IF(AND(C874&lt;&gt;"",C874&gt;TODAY()),"Not yet effective",IF(C874="","No date",IF(TODAY()&gt;=EDATE(C874,Review_Months),"Review Due","Current")))))</f>
        <v/>
      </c>
      <c r="P874">
        <f>IF(A874="","",A874&amp;"|"&amp;B874)</f>
        <v/>
      </c>
      <c r="Q874">
        <f>IF(AND(A874&lt;&gt;"",A874='Firm Search'!$C$7),COUNTIF($A$5:A874,'Firm Search'!$C$7),"")</f>
        <v/>
      </c>
      <c r="R874">
        <f>IF(A874="","",COUNTIF($A$5:$A$1004,"&lt;"&amp;A874)+COUNTIF($A$5:A874,A874))</f>
        <v/>
      </c>
    </row>
    <row r="875">
      <c r="A875" s="64" t="n"/>
      <c r="B875" s="64" t="n"/>
      <c r="C875" s="66" t="n"/>
      <c r="D875" s="66" t="n"/>
      <c r="E875" s="67" t="n"/>
      <c r="F875" s="67" t="n"/>
      <c r="G875" s="67" t="n"/>
      <c r="H875" s="67" t="n"/>
      <c r="I875" s="67" t="n"/>
      <c r="J875" s="67" t="n"/>
      <c r="K875" s="67" t="n"/>
      <c r="L875" s="67" t="n"/>
      <c r="M875" s="64" t="n"/>
      <c r="N875" s="84">
        <f>IF(A875="","",IFERROR(INDEX(Firms!$B$5:$B$1004,MATCH(A875,Firms!$A$5:$A$1004,0)),"Not on Firms tab"))</f>
        <v/>
      </c>
      <c r="O875" s="84">
        <f>IF(A875="","",IF(AND(D875&lt;&gt;"",D875&lt;TODAY()),"Expired",IF(AND(C875&lt;&gt;"",C875&gt;TODAY()),"Not yet effective",IF(C875="","No date",IF(TODAY()&gt;=EDATE(C875,Review_Months),"Review Due","Current")))))</f>
        <v/>
      </c>
      <c r="P875">
        <f>IF(A875="","",A875&amp;"|"&amp;B875)</f>
        <v/>
      </c>
      <c r="Q875">
        <f>IF(AND(A875&lt;&gt;"",A875='Firm Search'!$C$7),COUNTIF($A$5:A875,'Firm Search'!$C$7),"")</f>
        <v/>
      </c>
      <c r="R875">
        <f>IF(A875="","",COUNTIF($A$5:$A$1004,"&lt;"&amp;A875)+COUNTIF($A$5:A875,A875))</f>
        <v/>
      </c>
    </row>
    <row r="876">
      <c r="A876" s="64" t="n"/>
      <c r="B876" s="64" t="n"/>
      <c r="C876" s="66" t="n"/>
      <c r="D876" s="66" t="n"/>
      <c r="E876" s="67" t="n"/>
      <c r="F876" s="67" t="n"/>
      <c r="G876" s="67" t="n"/>
      <c r="H876" s="67" t="n"/>
      <c r="I876" s="67" t="n"/>
      <c r="J876" s="67" t="n"/>
      <c r="K876" s="67" t="n"/>
      <c r="L876" s="67" t="n"/>
      <c r="M876" s="64" t="n"/>
      <c r="N876" s="84">
        <f>IF(A876="","",IFERROR(INDEX(Firms!$B$5:$B$1004,MATCH(A876,Firms!$A$5:$A$1004,0)),"Not on Firms tab"))</f>
        <v/>
      </c>
      <c r="O876" s="84">
        <f>IF(A876="","",IF(AND(D876&lt;&gt;"",D876&lt;TODAY()),"Expired",IF(AND(C876&lt;&gt;"",C876&gt;TODAY()),"Not yet effective",IF(C876="","No date",IF(TODAY()&gt;=EDATE(C876,Review_Months),"Review Due","Current")))))</f>
        <v/>
      </c>
      <c r="P876">
        <f>IF(A876="","",A876&amp;"|"&amp;B876)</f>
        <v/>
      </c>
      <c r="Q876">
        <f>IF(AND(A876&lt;&gt;"",A876='Firm Search'!$C$7),COUNTIF($A$5:A876,'Firm Search'!$C$7),"")</f>
        <v/>
      </c>
      <c r="R876">
        <f>IF(A876="","",COUNTIF($A$5:$A$1004,"&lt;"&amp;A876)+COUNTIF($A$5:A876,A876))</f>
        <v/>
      </c>
    </row>
    <row r="877">
      <c r="A877" s="64" t="n"/>
      <c r="B877" s="64" t="n"/>
      <c r="C877" s="66" t="n"/>
      <c r="D877" s="66" t="n"/>
      <c r="E877" s="67" t="n"/>
      <c r="F877" s="67" t="n"/>
      <c r="G877" s="67" t="n"/>
      <c r="H877" s="67" t="n"/>
      <c r="I877" s="67" t="n"/>
      <c r="J877" s="67" t="n"/>
      <c r="K877" s="67" t="n"/>
      <c r="L877" s="67" t="n"/>
      <c r="M877" s="64" t="n"/>
      <c r="N877" s="84">
        <f>IF(A877="","",IFERROR(INDEX(Firms!$B$5:$B$1004,MATCH(A877,Firms!$A$5:$A$1004,0)),"Not on Firms tab"))</f>
        <v/>
      </c>
      <c r="O877" s="84">
        <f>IF(A877="","",IF(AND(D877&lt;&gt;"",D877&lt;TODAY()),"Expired",IF(AND(C877&lt;&gt;"",C877&gt;TODAY()),"Not yet effective",IF(C877="","No date",IF(TODAY()&gt;=EDATE(C877,Review_Months),"Review Due","Current")))))</f>
        <v/>
      </c>
      <c r="P877">
        <f>IF(A877="","",A877&amp;"|"&amp;B877)</f>
        <v/>
      </c>
      <c r="Q877">
        <f>IF(AND(A877&lt;&gt;"",A877='Firm Search'!$C$7),COUNTIF($A$5:A877,'Firm Search'!$C$7),"")</f>
        <v/>
      </c>
      <c r="R877">
        <f>IF(A877="","",COUNTIF($A$5:$A$1004,"&lt;"&amp;A877)+COUNTIF($A$5:A877,A877))</f>
        <v/>
      </c>
    </row>
    <row r="878">
      <c r="A878" s="64" t="n"/>
      <c r="B878" s="64" t="n"/>
      <c r="C878" s="66" t="n"/>
      <c r="D878" s="66" t="n"/>
      <c r="E878" s="67" t="n"/>
      <c r="F878" s="67" t="n"/>
      <c r="G878" s="67" t="n"/>
      <c r="H878" s="67" t="n"/>
      <c r="I878" s="67" t="n"/>
      <c r="J878" s="67" t="n"/>
      <c r="K878" s="67" t="n"/>
      <c r="L878" s="67" t="n"/>
      <c r="M878" s="64" t="n"/>
      <c r="N878" s="84">
        <f>IF(A878="","",IFERROR(INDEX(Firms!$B$5:$B$1004,MATCH(A878,Firms!$A$5:$A$1004,0)),"Not on Firms tab"))</f>
        <v/>
      </c>
      <c r="O878" s="84">
        <f>IF(A878="","",IF(AND(D878&lt;&gt;"",D878&lt;TODAY()),"Expired",IF(AND(C878&lt;&gt;"",C878&gt;TODAY()),"Not yet effective",IF(C878="","No date",IF(TODAY()&gt;=EDATE(C878,Review_Months),"Review Due","Current")))))</f>
        <v/>
      </c>
      <c r="P878">
        <f>IF(A878="","",A878&amp;"|"&amp;B878)</f>
        <v/>
      </c>
      <c r="Q878">
        <f>IF(AND(A878&lt;&gt;"",A878='Firm Search'!$C$7),COUNTIF($A$5:A878,'Firm Search'!$C$7),"")</f>
        <v/>
      </c>
      <c r="R878">
        <f>IF(A878="","",COUNTIF($A$5:$A$1004,"&lt;"&amp;A878)+COUNTIF($A$5:A878,A878))</f>
        <v/>
      </c>
    </row>
    <row r="879">
      <c r="A879" s="64" t="n"/>
      <c r="B879" s="64" t="n"/>
      <c r="C879" s="66" t="n"/>
      <c r="D879" s="66" t="n"/>
      <c r="E879" s="67" t="n"/>
      <c r="F879" s="67" t="n"/>
      <c r="G879" s="67" t="n"/>
      <c r="H879" s="67" t="n"/>
      <c r="I879" s="67" t="n"/>
      <c r="J879" s="67" t="n"/>
      <c r="K879" s="67" t="n"/>
      <c r="L879" s="67" t="n"/>
      <c r="M879" s="64" t="n"/>
      <c r="N879" s="84">
        <f>IF(A879="","",IFERROR(INDEX(Firms!$B$5:$B$1004,MATCH(A879,Firms!$A$5:$A$1004,0)),"Not on Firms tab"))</f>
        <v/>
      </c>
      <c r="O879" s="84">
        <f>IF(A879="","",IF(AND(D879&lt;&gt;"",D879&lt;TODAY()),"Expired",IF(AND(C879&lt;&gt;"",C879&gt;TODAY()),"Not yet effective",IF(C879="","No date",IF(TODAY()&gt;=EDATE(C879,Review_Months),"Review Due","Current")))))</f>
        <v/>
      </c>
      <c r="P879">
        <f>IF(A879="","",A879&amp;"|"&amp;B879)</f>
        <v/>
      </c>
      <c r="Q879">
        <f>IF(AND(A879&lt;&gt;"",A879='Firm Search'!$C$7),COUNTIF($A$5:A879,'Firm Search'!$C$7),"")</f>
        <v/>
      </c>
      <c r="R879">
        <f>IF(A879="","",COUNTIF($A$5:$A$1004,"&lt;"&amp;A879)+COUNTIF($A$5:A879,A879))</f>
        <v/>
      </c>
    </row>
    <row r="880">
      <c r="A880" s="64" t="n"/>
      <c r="B880" s="64" t="n"/>
      <c r="C880" s="66" t="n"/>
      <c r="D880" s="66" t="n"/>
      <c r="E880" s="67" t="n"/>
      <c r="F880" s="67" t="n"/>
      <c r="G880" s="67" t="n"/>
      <c r="H880" s="67" t="n"/>
      <c r="I880" s="67" t="n"/>
      <c r="J880" s="67" t="n"/>
      <c r="K880" s="67" t="n"/>
      <c r="L880" s="67" t="n"/>
      <c r="M880" s="64" t="n"/>
      <c r="N880" s="84">
        <f>IF(A880="","",IFERROR(INDEX(Firms!$B$5:$B$1004,MATCH(A880,Firms!$A$5:$A$1004,0)),"Not on Firms tab"))</f>
        <v/>
      </c>
      <c r="O880" s="84">
        <f>IF(A880="","",IF(AND(D880&lt;&gt;"",D880&lt;TODAY()),"Expired",IF(AND(C880&lt;&gt;"",C880&gt;TODAY()),"Not yet effective",IF(C880="","No date",IF(TODAY()&gt;=EDATE(C880,Review_Months),"Review Due","Current")))))</f>
        <v/>
      </c>
      <c r="P880">
        <f>IF(A880="","",A880&amp;"|"&amp;B880)</f>
        <v/>
      </c>
      <c r="Q880">
        <f>IF(AND(A880&lt;&gt;"",A880='Firm Search'!$C$7),COUNTIF($A$5:A880,'Firm Search'!$C$7),"")</f>
        <v/>
      </c>
      <c r="R880">
        <f>IF(A880="","",COUNTIF($A$5:$A$1004,"&lt;"&amp;A880)+COUNTIF($A$5:A880,A880))</f>
        <v/>
      </c>
    </row>
    <row r="881">
      <c r="A881" s="64" t="n"/>
      <c r="B881" s="64" t="n"/>
      <c r="C881" s="66" t="n"/>
      <c r="D881" s="66" t="n"/>
      <c r="E881" s="67" t="n"/>
      <c r="F881" s="67" t="n"/>
      <c r="G881" s="67" t="n"/>
      <c r="H881" s="67" t="n"/>
      <c r="I881" s="67" t="n"/>
      <c r="J881" s="67" t="n"/>
      <c r="K881" s="67" t="n"/>
      <c r="L881" s="67" t="n"/>
      <c r="M881" s="64" t="n"/>
      <c r="N881" s="84">
        <f>IF(A881="","",IFERROR(INDEX(Firms!$B$5:$B$1004,MATCH(A881,Firms!$A$5:$A$1004,0)),"Not on Firms tab"))</f>
        <v/>
      </c>
      <c r="O881" s="84">
        <f>IF(A881="","",IF(AND(D881&lt;&gt;"",D881&lt;TODAY()),"Expired",IF(AND(C881&lt;&gt;"",C881&gt;TODAY()),"Not yet effective",IF(C881="","No date",IF(TODAY()&gt;=EDATE(C881,Review_Months),"Review Due","Current")))))</f>
        <v/>
      </c>
      <c r="P881">
        <f>IF(A881="","",A881&amp;"|"&amp;B881)</f>
        <v/>
      </c>
      <c r="Q881">
        <f>IF(AND(A881&lt;&gt;"",A881='Firm Search'!$C$7),COUNTIF($A$5:A881,'Firm Search'!$C$7),"")</f>
        <v/>
      </c>
      <c r="R881">
        <f>IF(A881="","",COUNTIF($A$5:$A$1004,"&lt;"&amp;A881)+COUNTIF($A$5:A881,A881))</f>
        <v/>
      </c>
    </row>
    <row r="882">
      <c r="A882" s="64" t="n"/>
      <c r="B882" s="64" t="n"/>
      <c r="C882" s="66" t="n"/>
      <c r="D882" s="66" t="n"/>
      <c r="E882" s="67" t="n"/>
      <c r="F882" s="67" t="n"/>
      <c r="G882" s="67" t="n"/>
      <c r="H882" s="67" t="n"/>
      <c r="I882" s="67" t="n"/>
      <c r="J882" s="67" t="n"/>
      <c r="K882" s="67" t="n"/>
      <c r="L882" s="67" t="n"/>
      <c r="M882" s="64" t="n"/>
      <c r="N882" s="84">
        <f>IF(A882="","",IFERROR(INDEX(Firms!$B$5:$B$1004,MATCH(A882,Firms!$A$5:$A$1004,0)),"Not on Firms tab"))</f>
        <v/>
      </c>
      <c r="O882" s="84">
        <f>IF(A882="","",IF(AND(D882&lt;&gt;"",D882&lt;TODAY()),"Expired",IF(AND(C882&lt;&gt;"",C882&gt;TODAY()),"Not yet effective",IF(C882="","No date",IF(TODAY()&gt;=EDATE(C882,Review_Months),"Review Due","Current")))))</f>
        <v/>
      </c>
      <c r="P882">
        <f>IF(A882="","",A882&amp;"|"&amp;B882)</f>
        <v/>
      </c>
      <c r="Q882">
        <f>IF(AND(A882&lt;&gt;"",A882='Firm Search'!$C$7),COUNTIF($A$5:A882,'Firm Search'!$C$7),"")</f>
        <v/>
      </c>
      <c r="R882">
        <f>IF(A882="","",COUNTIF($A$5:$A$1004,"&lt;"&amp;A882)+COUNTIF($A$5:A882,A882))</f>
        <v/>
      </c>
    </row>
    <row r="883">
      <c r="A883" s="64" t="n"/>
      <c r="B883" s="64" t="n"/>
      <c r="C883" s="66" t="n"/>
      <c r="D883" s="66" t="n"/>
      <c r="E883" s="67" t="n"/>
      <c r="F883" s="67" t="n"/>
      <c r="G883" s="67" t="n"/>
      <c r="H883" s="67" t="n"/>
      <c r="I883" s="67" t="n"/>
      <c r="J883" s="67" t="n"/>
      <c r="K883" s="67" t="n"/>
      <c r="L883" s="67" t="n"/>
      <c r="M883" s="64" t="n"/>
      <c r="N883" s="84">
        <f>IF(A883="","",IFERROR(INDEX(Firms!$B$5:$B$1004,MATCH(A883,Firms!$A$5:$A$1004,0)),"Not on Firms tab"))</f>
        <v/>
      </c>
      <c r="O883" s="84">
        <f>IF(A883="","",IF(AND(D883&lt;&gt;"",D883&lt;TODAY()),"Expired",IF(AND(C883&lt;&gt;"",C883&gt;TODAY()),"Not yet effective",IF(C883="","No date",IF(TODAY()&gt;=EDATE(C883,Review_Months),"Review Due","Current")))))</f>
        <v/>
      </c>
      <c r="P883">
        <f>IF(A883="","",A883&amp;"|"&amp;B883)</f>
        <v/>
      </c>
      <c r="Q883">
        <f>IF(AND(A883&lt;&gt;"",A883='Firm Search'!$C$7),COUNTIF($A$5:A883,'Firm Search'!$C$7),"")</f>
        <v/>
      </c>
      <c r="R883">
        <f>IF(A883="","",COUNTIF($A$5:$A$1004,"&lt;"&amp;A883)+COUNTIF($A$5:A883,A883))</f>
        <v/>
      </c>
    </row>
    <row r="884">
      <c r="A884" s="64" t="n"/>
      <c r="B884" s="64" t="n"/>
      <c r="C884" s="66" t="n"/>
      <c r="D884" s="66" t="n"/>
      <c r="E884" s="67" t="n"/>
      <c r="F884" s="67" t="n"/>
      <c r="G884" s="67" t="n"/>
      <c r="H884" s="67" t="n"/>
      <c r="I884" s="67" t="n"/>
      <c r="J884" s="67" t="n"/>
      <c r="K884" s="67" t="n"/>
      <c r="L884" s="67" t="n"/>
      <c r="M884" s="64" t="n"/>
      <c r="N884" s="84">
        <f>IF(A884="","",IFERROR(INDEX(Firms!$B$5:$B$1004,MATCH(A884,Firms!$A$5:$A$1004,0)),"Not on Firms tab"))</f>
        <v/>
      </c>
      <c r="O884" s="84">
        <f>IF(A884="","",IF(AND(D884&lt;&gt;"",D884&lt;TODAY()),"Expired",IF(AND(C884&lt;&gt;"",C884&gt;TODAY()),"Not yet effective",IF(C884="","No date",IF(TODAY()&gt;=EDATE(C884,Review_Months),"Review Due","Current")))))</f>
        <v/>
      </c>
      <c r="P884">
        <f>IF(A884="","",A884&amp;"|"&amp;B884)</f>
        <v/>
      </c>
      <c r="Q884">
        <f>IF(AND(A884&lt;&gt;"",A884='Firm Search'!$C$7),COUNTIF($A$5:A884,'Firm Search'!$C$7),"")</f>
        <v/>
      </c>
      <c r="R884">
        <f>IF(A884="","",COUNTIF($A$5:$A$1004,"&lt;"&amp;A884)+COUNTIF($A$5:A884,A884))</f>
        <v/>
      </c>
    </row>
    <row r="885">
      <c r="A885" s="64" t="n"/>
      <c r="B885" s="64" t="n"/>
      <c r="C885" s="66" t="n"/>
      <c r="D885" s="66" t="n"/>
      <c r="E885" s="67" t="n"/>
      <c r="F885" s="67" t="n"/>
      <c r="G885" s="67" t="n"/>
      <c r="H885" s="67" t="n"/>
      <c r="I885" s="67" t="n"/>
      <c r="J885" s="67" t="n"/>
      <c r="K885" s="67" t="n"/>
      <c r="L885" s="67" t="n"/>
      <c r="M885" s="64" t="n"/>
      <c r="N885" s="84">
        <f>IF(A885="","",IFERROR(INDEX(Firms!$B$5:$B$1004,MATCH(A885,Firms!$A$5:$A$1004,0)),"Not on Firms tab"))</f>
        <v/>
      </c>
      <c r="O885" s="84">
        <f>IF(A885="","",IF(AND(D885&lt;&gt;"",D885&lt;TODAY()),"Expired",IF(AND(C885&lt;&gt;"",C885&gt;TODAY()),"Not yet effective",IF(C885="","No date",IF(TODAY()&gt;=EDATE(C885,Review_Months),"Review Due","Current")))))</f>
        <v/>
      </c>
      <c r="P885">
        <f>IF(A885="","",A885&amp;"|"&amp;B885)</f>
        <v/>
      </c>
      <c r="Q885">
        <f>IF(AND(A885&lt;&gt;"",A885='Firm Search'!$C$7),COUNTIF($A$5:A885,'Firm Search'!$C$7),"")</f>
        <v/>
      </c>
      <c r="R885">
        <f>IF(A885="","",COUNTIF($A$5:$A$1004,"&lt;"&amp;A885)+COUNTIF($A$5:A885,A885))</f>
        <v/>
      </c>
    </row>
    <row r="886">
      <c r="A886" s="64" t="n"/>
      <c r="B886" s="64" t="n"/>
      <c r="C886" s="66" t="n"/>
      <c r="D886" s="66" t="n"/>
      <c r="E886" s="67" t="n"/>
      <c r="F886" s="67" t="n"/>
      <c r="G886" s="67" t="n"/>
      <c r="H886" s="67" t="n"/>
      <c r="I886" s="67" t="n"/>
      <c r="J886" s="67" t="n"/>
      <c r="K886" s="67" t="n"/>
      <c r="L886" s="67" t="n"/>
      <c r="M886" s="64" t="n"/>
      <c r="N886" s="84">
        <f>IF(A886="","",IFERROR(INDEX(Firms!$B$5:$B$1004,MATCH(A886,Firms!$A$5:$A$1004,0)),"Not on Firms tab"))</f>
        <v/>
      </c>
      <c r="O886" s="84">
        <f>IF(A886="","",IF(AND(D886&lt;&gt;"",D886&lt;TODAY()),"Expired",IF(AND(C886&lt;&gt;"",C886&gt;TODAY()),"Not yet effective",IF(C886="","No date",IF(TODAY()&gt;=EDATE(C886,Review_Months),"Review Due","Current")))))</f>
        <v/>
      </c>
      <c r="P886">
        <f>IF(A886="","",A886&amp;"|"&amp;B886)</f>
        <v/>
      </c>
      <c r="Q886">
        <f>IF(AND(A886&lt;&gt;"",A886='Firm Search'!$C$7),COUNTIF($A$5:A886,'Firm Search'!$C$7),"")</f>
        <v/>
      </c>
      <c r="R886">
        <f>IF(A886="","",COUNTIF($A$5:$A$1004,"&lt;"&amp;A886)+COUNTIF($A$5:A886,A886))</f>
        <v/>
      </c>
    </row>
    <row r="887">
      <c r="A887" s="64" t="n"/>
      <c r="B887" s="64" t="n"/>
      <c r="C887" s="66" t="n"/>
      <c r="D887" s="66" t="n"/>
      <c r="E887" s="67" t="n"/>
      <c r="F887" s="67" t="n"/>
      <c r="G887" s="67" t="n"/>
      <c r="H887" s="67" t="n"/>
      <c r="I887" s="67" t="n"/>
      <c r="J887" s="67" t="n"/>
      <c r="K887" s="67" t="n"/>
      <c r="L887" s="67" t="n"/>
      <c r="M887" s="64" t="n"/>
      <c r="N887" s="84">
        <f>IF(A887="","",IFERROR(INDEX(Firms!$B$5:$B$1004,MATCH(A887,Firms!$A$5:$A$1004,0)),"Not on Firms tab"))</f>
        <v/>
      </c>
      <c r="O887" s="84">
        <f>IF(A887="","",IF(AND(D887&lt;&gt;"",D887&lt;TODAY()),"Expired",IF(AND(C887&lt;&gt;"",C887&gt;TODAY()),"Not yet effective",IF(C887="","No date",IF(TODAY()&gt;=EDATE(C887,Review_Months),"Review Due","Current")))))</f>
        <v/>
      </c>
      <c r="P887">
        <f>IF(A887="","",A887&amp;"|"&amp;B887)</f>
        <v/>
      </c>
      <c r="Q887">
        <f>IF(AND(A887&lt;&gt;"",A887='Firm Search'!$C$7),COUNTIF($A$5:A887,'Firm Search'!$C$7),"")</f>
        <v/>
      </c>
      <c r="R887">
        <f>IF(A887="","",COUNTIF($A$5:$A$1004,"&lt;"&amp;A887)+COUNTIF($A$5:A887,A887))</f>
        <v/>
      </c>
    </row>
    <row r="888">
      <c r="A888" s="64" t="n"/>
      <c r="B888" s="64" t="n"/>
      <c r="C888" s="66" t="n"/>
      <c r="D888" s="66" t="n"/>
      <c r="E888" s="67" t="n"/>
      <c r="F888" s="67" t="n"/>
      <c r="G888" s="67" t="n"/>
      <c r="H888" s="67" t="n"/>
      <c r="I888" s="67" t="n"/>
      <c r="J888" s="67" t="n"/>
      <c r="K888" s="67" t="n"/>
      <c r="L888" s="67" t="n"/>
      <c r="M888" s="64" t="n"/>
      <c r="N888" s="84">
        <f>IF(A888="","",IFERROR(INDEX(Firms!$B$5:$B$1004,MATCH(A888,Firms!$A$5:$A$1004,0)),"Not on Firms tab"))</f>
        <v/>
      </c>
      <c r="O888" s="84">
        <f>IF(A888="","",IF(AND(D888&lt;&gt;"",D888&lt;TODAY()),"Expired",IF(AND(C888&lt;&gt;"",C888&gt;TODAY()),"Not yet effective",IF(C888="","No date",IF(TODAY()&gt;=EDATE(C888,Review_Months),"Review Due","Current")))))</f>
        <v/>
      </c>
      <c r="P888">
        <f>IF(A888="","",A888&amp;"|"&amp;B888)</f>
        <v/>
      </c>
      <c r="Q888">
        <f>IF(AND(A888&lt;&gt;"",A888='Firm Search'!$C$7),COUNTIF($A$5:A888,'Firm Search'!$C$7),"")</f>
        <v/>
      </c>
      <c r="R888">
        <f>IF(A888="","",COUNTIF($A$5:$A$1004,"&lt;"&amp;A888)+COUNTIF($A$5:A888,A888))</f>
        <v/>
      </c>
    </row>
    <row r="889">
      <c r="A889" s="64" t="n"/>
      <c r="B889" s="64" t="n"/>
      <c r="C889" s="66" t="n"/>
      <c r="D889" s="66" t="n"/>
      <c r="E889" s="67" t="n"/>
      <c r="F889" s="67" t="n"/>
      <c r="G889" s="67" t="n"/>
      <c r="H889" s="67" t="n"/>
      <c r="I889" s="67" t="n"/>
      <c r="J889" s="67" t="n"/>
      <c r="K889" s="67" t="n"/>
      <c r="L889" s="67" t="n"/>
      <c r="M889" s="64" t="n"/>
      <c r="N889" s="84">
        <f>IF(A889="","",IFERROR(INDEX(Firms!$B$5:$B$1004,MATCH(A889,Firms!$A$5:$A$1004,0)),"Not on Firms tab"))</f>
        <v/>
      </c>
      <c r="O889" s="84">
        <f>IF(A889="","",IF(AND(D889&lt;&gt;"",D889&lt;TODAY()),"Expired",IF(AND(C889&lt;&gt;"",C889&gt;TODAY()),"Not yet effective",IF(C889="","No date",IF(TODAY()&gt;=EDATE(C889,Review_Months),"Review Due","Current")))))</f>
        <v/>
      </c>
      <c r="P889">
        <f>IF(A889="","",A889&amp;"|"&amp;B889)</f>
        <v/>
      </c>
      <c r="Q889">
        <f>IF(AND(A889&lt;&gt;"",A889='Firm Search'!$C$7),COUNTIF($A$5:A889,'Firm Search'!$C$7),"")</f>
        <v/>
      </c>
      <c r="R889">
        <f>IF(A889="","",COUNTIF($A$5:$A$1004,"&lt;"&amp;A889)+COUNTIF($A$5:A889,A889))</f>
        <v/>
      </c>
    </row>
    <row r="890">
      <c r="A890" s="64" t="n"/>
      <c r="B890" s="64" t="n"/>
      <c r="C890" s="66" t="n"/>
      <c r="D890" s="66" t="n"/>
      <c r="E890" s="67" t="n"/>
      <c r="F890" s="67" t="n"/>
      <c r="G890" s="67" t="n"/>
      <c r="H890" s="67" t="n"/>
      <c r="I890" s="67" t="n"/>
      <c r="J890" s="67" t="n"/>
      <c r="K890" s="67" t="n"/>
      <c r="L890" s="67" t="n"/>
      <c r="M890" s="64" t="n"/>
      <c r="N890" s="84">
        <f>IF(A890="","",IFERROR(INDEX(Firms!$B$5:$B$1004,MATCH(A890,Firms!$A$5:$A$1004,0)),"Not on Firms tab"))</f>
        <v/>
      </c>
      <c r="O890" s="84">
        <f>IF(A890="","",IF(AND(D890&lt;&gt;"",D890&lt;TODAY()),"Expired",IF(AND(C890&lt;&gt;"",C890&gt;TODAY()),"Not yet effective",IF(C890="","No date",IF(TODAY()&gt;=EDATE(C890,Review_Months),"Review Due","Current")))))</f>
        <v/>
      </c>
      <c r="P890">
        <f>IF(A890="","",A890&amp;"|"&amp;B890)</f>
        <v/>
      </c>
      <c r="Q890">
        <f>IF(AND(A890&lt;&gt;"",A890='Firm Search'!$C$7),COUNTIF($A$5:A890,'Firm Search'!$C$7),"")</f>
        <v/>
      </c>
      <c r="R890">
        <f>IF(A890="","",COUNTIF($A$5:$A$1004,"&lt;"&amp;A890)+COUNTIF($A$5:A890,A890))</f>
        <v/>
      </c>
    </row>
    <row r="891">
      <c r="A891" s="64" t="n"/>
      <c r="B891" s="64" t="n"/>
      <c r="C891" s="66" t="n"/>
      <c r="D891" s="66" t="n"/>
      <c r="E891" s="67" t="n"/>
      <c r="F891" s="67" t="n"/>
      <c r="G891" s="67" t="n"/>
      <c r="H891" s="67" t="n"/>
      <c r="I891" s="67" t="n"/>
      <c r="J891" s="67" t="n"/>
      <c r="K891" s="67" t="n"/>
      <c r="L891" s="67" t="n"/>
      <c r="M891" s="64" t="n"/>
      <c r="N891" s="84">
        <f>IF(A891="","",IFERROR(INDEX(Firms!$B$5:$B$1004,MATCH(A891,Firms!$A$5:$A$1004,0)),"Not on Firms tab"))</f>
        <v/>
      </c>
      <c r="O891" s="84">
        <f>IF(A891="","",IF(AND(D891&lt;&gt;"",D891&lt;TODAY()),"Expired",IF(AND(C891&lt;&gt;"",C891&gt;TODAY()),"Not yet effective",IF(C891="","No date",IF(TODAY()&gt;=EDATE(C891,Review_Months),"Review Due","Current")))))</f>
        <v/>
      </c>
      <c r="P891">
        <f>IF(A891="","",A891&amp;"|"&amp;B891)</f>
        <v/>
      </c>
      <c r="Q891">
        <f>IF(AND(A891&lt;&gt;"",A891='Firm Search'!$C$7),COUNTIF($A$5:A891,'Firm Search'!$C$7),"")</f>
        <v/>
      </c>
      <c r="R891">
        <f>IF(A891="","",COUNTIF($A$5:$A$1004,"&lt;"&amp;A891)+COUNTIF($A$5:A891,A891))</f>
        <v/>
      </c>
    </row>
    <row r="892">
      <c r="A892" s="64" t="n"/>
      <c r="B892" s="64" t="n"/>
      <c r="C892" s="66" t="n"/>
      <c r="D892" s="66" t="n"/>
      <c r="E892" s="67" t="n"/>
      <c r="F892" s="67" t="n"/>
      <c r="G892" s="67" t="n"/>
      <c r="H892" s="67" t="n"/>
      <c r="I892" s="67" t="n"/>
      <c r="J892" s="67" t="n"/>
      <c r="K892" s="67" t="n"/>
      <c r="L892" s="67" t="n"/>
      <c r="M892" s="64" t="n"/>
      <c r="N892" s="84">
        <f>IF(A892="","",IFERROR(INDEX(Firms!$B$5:$B$1004,MATCH(A892,Firms!$A$5:$A$1004,0)),"Not on Firms tab"))</f>
        <v/>
      </c>
      <c r="O892" s="84">
        <f>IF(A892="","",IF(AND(D892&lt;&gt;"",D892&lt;TODAY()),"Expired",IF(AND(C892&lt;&gt;"",C892&gt;TODAY()),"Not yet effective",IF(C892="","No date",IF(TODAY()&gt;=EDATE(C892,Review_Months),"Review Due","Current")))))</f>
        <v/>
      </c>
      <c r="P892">
        <f>IF(A892="","",A892&amp;"|"&amp;B892)</f>
        <v/>
      </c>
      <c r="Q892">
        <f>IF(AND(A892&lt;&gt;"",A892='Firm Search'!$C$7),COUNTIF($A$5:A892,'Firm Search'!$C$7),"")</f>
        <v/>
      </c>
      <c r="R892">
        <f>IF(A892="","",COUNTIF($A$5:$A$1004,"&lt;"&amp;A892)+COUNTIF($A$5:A892,A892))</f>
        <v/>
      </c>
    </row>
    <row r="893">
      <c r="A893" s="64" t="n"/>
      <c r="B893" s="64" t="n"/>
      <c r="C893" s="66" t="n"/>
      <c r="D893" s="66" t="n"/>
      <c r="E893" s="67" t="n"/>
      <c r="F893" s="67" t="n"/>
      <c r="G893" s="67" t="n"/>
      <c r="H893" s="67" t="n"/>
      <c r="I893" s="67" t="n"/>
      <c r="J893" s="67" t="n"/>
      <c r="K893" s="67" t="n"/>
      <c r="L893" s="67" t="n"/>
      <c r="M893" s="64" t="n"/>
      <c r="N893" s="84">
        <f>IF(A893="","",IFERROR(INDEX(Firms!$B$5:$B$1004,MATCH(A893,Firms!$A$5:$A$1004,0)),"Not on Firms tab"))</f>
        <v/>
      </c>
      <c r="O893" s="84">
        <f>IF(A893="","",IF(AND(D893&lt;&gt;"",D893&lt;TODAY()),"Expired",IF(AND(C893&lt;&gt;"",C893&gt;TODAY()),"Not yet effective",IF(C893="","No date",IF(TODAY()&gt;=EDATE(C893,Review_Months),"Review Due","Current")))))</f>
        <v/>
      </c>
      <c r="P893">
        <f>IF(A893="","",A893&amp;"|"&amp;B893)</f>
        <v/>
      </c>
      <c r="Q893">
        <f>IF(AND(A893&lt;&gt;"",A893='Firm Search'!$C$7),COUNTIF($A$5:A893,'Firm Search'!$C$7),"")</f>
        <v/>
      </c>
      <c r="R893">
        <f>IF(A893="","",COUNTIF($A$5:$A$1004,"&lt;"&amp;A893)+COUNTIF($A$5:A893,A893))</f>
        <v/>
      </c>
    </row>
    <row r="894">
      <c r="A894" s="64" t="n"/>
      <c r="B894" s="64" t="n"/>
      <c r="C894" s="66" t="n"/>
      <c r="D894" s="66" t="n"/>
      <c r="E894" s="67" t="n"/>
      <c r="F894" s="67" t="n"/>
      <c r="G894" s="67" t="n"/>
      <c r="H894" s="67" t="n"/>
      <c r="I894" s="67" t="n"/>
      <c r="J894" s="67" t="n"/>
      <c r="K894" s="67" t="n"/>
      <c r="L894" s="67" t="n"/>
      <c r="M894" s="64" t="n"/>
      <c r="N894" s="84">
        <f>IF(A894="","",IFERROR(INDEX(Firms!$B$5:$B$1004,MATCH(A894,Firms!$A$5:$A$1004,0)),"Not on Firms tab"))</f>
        <v/>
      </c>
      <c r="O894" s="84">
        <f>IF(A894="","",IF(AND(D894&lt;&gt;"",D894&lt;TODAY()),"Expired",IF(AND(C894&lt;&gt;"",C894&gt;TODAY()),"Not yet effective",IF(C894="","No date",IF(TODAY()&gt;=EDATE(C894,Review_Months),"Review Due","Current")))))</f>
        <v/>
      </c>
      <c r="P894">
        <f>IF(A894="","",A894&amp;"|"&amp;B894)</f>
        <v/>
      </c>
      <c r="Q894">
        <f>IF(AND(A894&lt;&gt;"",A894='Firm Search'!$C$7),COUNTIF($A$5:A894,'Firm Search'!$C$7),"")</f>
        <v/>
      </c>
      <c r="R894">
        <f>IF(A894="","",COUNTIF($A$5:$A$1004,"&lt;"&amp;A894)+COUNTIF($A$5:A894,A894))</f>
        <v/>
      </c>
    </row>
    <row r="895">
      <c r="A895" s="64" t="n"/>
      <c r="B895" s="64" t="n"/>
      <c r="C895" s="66" t="n"/>
      <c r="D895" s="66" t="n"/>
      <c r="E895" s="67" t="n"/>
      <c r="F895" s="67" t="n"/>
      <c r="G895" s="67" t="n"/>
      <c r="H895" s="67" t="n"/>
      <c r="I895" s="67" t="n"/>
      <c r="J895" s="67" t="n"/>
      <c r="K895" s="67" t="n"/>
      <c r="L895" s="67" t="n"/>
      <c r="M895" s="64" t="n"/>
      <c r="N895" s="84">
        <f>IF(A895="","",IFERROR(INDEX(Firms!$B$5:$B$1004,MATCH(A895,Firms!$A$5:$A$1004,0)),"Not on Firms tab"))</f>
        <v/>
      </c>
      <c r="O895" s="84">
        <f>IF(A895="","",IF(AND(D895&lt;&gt;"",D895&lt;TODAY()),"Expired",IF(AND(C895&lt;&gt;"",C895&gt;TODAY()),"Not yet effective",IF(C895="","No date",IF(TODAY()&gt;=EDATE(C895,Review_Months),"Review Due","Current")))))</f>
        <v/>
      </c>
      <c r="P895">
        <f>IF(A895="","",A895&amp;"|"&amp;B895)</f>
        <v/>
      </c>
      <c r="Q895">
        <f>IF(AND(A895&lt;&gt;"",A895='Firm Search'!$C$7),COUNTIF($A$5:A895,'Firm Search'!$C$7),"")</f>
        <v/>
      </c>
      <c r="R895">
        <f>IF(A895="","",COUNTIF($A$5:$A$1004,"&lt;"&amp;A895)+COUNTIF($A$5:A895,A895))</f>
        <v/>
      </c>
    </row>
    <row r="896">
      <c r="A896" s="64" t="n"/>
      <c r="B896" s="64" t="n"/>
      <c r="C896" s="66" t="n"/>
      <c r="D896" s="66" t="n"/>
      <c r="E896" s="67" t="n"/>
      <c r="F896" s="67" t="n"/>
      <c r="G896" s="67" t="n"/>
      <c r="H896" s="67" t="n"/>
      <c r="I896" s="67" t="n"/>
      <c r="J896" s="67" t="n"/>
      <c r="K896" s="67" t="n"/>
      <c r="L896" s="67" t="n"/>
      <c r="M896" s="64" t="n"/>
      <c r="N896" s="84">
        <f>IF(A896="","",IFERROR(INDEX(Firms!$B$5:$B$1004,MATCH(A896,Firms!$A$5:$A$1004,0)),"Not on Firms tab"))</f>
        <v/>
      </c>
      <c r="O896" s="84">
        <f>IF(A896="","",IF(AND(D896&lt;&gt;"",D896&lt;TODAY()),"Expired",IF(AND(C896&lt;&gt;"",C896&gt;TODAY()),"Not yet effective",IF(C896="","No date",IF(TODAY()&gt;=EDATE(C896,Review_Months),"Review Due","Current")))))</f>
        <v/>
      </c>
      <c r="P896">
        <f>IF(A896="","",A896&amp;"|"&amp;B896)</f>
        <v/>
      </c>
      <c r="Q896">
        <f>IF(AND(A896&lt;&gt;"",A896='Firm Search'!$C$7),COUNTIF($A$5:A896,'Firm Search'!$C$7),"")</f>
        <v/>
      </c>
      <c r="R896">
        <f>IF(A896="","",COUNTIF($A$5:$A$1004,"&lt;"&amp;A896)+COUNTIF($A$5:A896,A896))</f>
        <v/>
      </c>
    </row>
    <row r="897">
      <c r="A897" s="64" t="n"/>
      <c r="B897" s="64" t="n"/>
      <c r="C897" s="66" t="n"/>
      <c r="D897" s="66" t="n"/>
      <c r="E897" s="67" t="n"/>
      <c r="F897" s="67" t="n"/>
      <c r="G897" s="67" t="n"/>
      <c r="H897" s="67" t="n"/>
      <c r="I897" s="67" t="n"/>
      <c r="J897" s="67" t="n"/>
      <c r="K897" s="67" t="n"/>
      <c r="L897" s="67" t="n"/>
      <c r="M897" s="64" t="n"/>
      <c r="N897" s="84">
        <f>IF(A897="","",IFERROR(INDEX(Firms!$B$5:$B$1004,MATCH(A897,Firms!$A$5:$A$1004,0)),"Not on Firms tab"))</f>
        <v/>
      </c>
      <c r="O897" s="84">
        <f>IF(A897="","",IF(AND(D897&lt;&gt;"",D897&lt;TODAY()),"Expired",IF(AND(C897&lt;&gt;"",C897&gt;TODAY()),"Not yet effective",IF(C897="","No date",IF(TODAY()&gt;=EDATE(C897,Review_Months),"Review Due","Current")))))</f>
        <v/>
      </c>
      <c r="P897">
        <f>IF(A897="","",A897&amp;"|"&amp;B897)</f>
        <v/>
      </c>
      <c r="Q897">
        <f>IF(AND(A897&lt;&gt;"",A897='Firm Search'!$C$7),COUNTIF($A$5:A897,'Firm Search'!$C$7),"")</f>
        <v/>
      </c>
      <c r="R897">
        <f>IF(A897="","",COUNTIF($A$5:$A$1004,"&lt;"&amp;A897)+COUNTIF($A$5:A897,A897))</f>
        <v/>
      </c>
    </row>
    <row r="898">
      <c r="A898" s="64" t="n"/>
      <c r="B898" s="64" t="n"/>
      <c r="C898" s="66" t="n"/>
      <c r="D898" s="66" t="n"/>
      <c r="E898" s="67" t="n"/>
      <c r="F898" s="67" t="n"/>
      <c r="G898" s="67" t="n"/>
      <c r="H898" s="67" t="n"/>
      <c r="I898" s="67" t="n"/>
      <c r="J898" s="67" t="n"/>
      <c r="K898" s="67" t="n"/>
      <c r="L898" s="67" t="n"/>
      <c r="M898" s="64" t="n"/>
      <c r="N898" s="84">
        <f>IF(A898="","",IFERROR(INDEX(Firms!$B$5:$B$1004,MATCH(A898,Firms!$A$5:$A$1004,0)),"Not on Firms tab"))</f>
        <v/>
      </c>
      <c r="O898" s="84">
        <f>IF(A898="","",IF(AND(D898&lt;&gt;"",D898&lt;TODAY()),"Expired",IF(AND(C898&lt;&gt;"",C898&gt;TODAY()),"Not yet effective",IF(C898="","No date",IF(TODAY()&gt;=EDATE(C898,Review_Months),"Review Due","Current")))))</f>
        <v/>
      </c>
      <c r="P898">
        <f>IF(A898="","",A898&amp;"|"&amp;B898)</f>
        <v/>
      </c>
      <c r="Q898">
        <f>IF(AND(A898&lt;&gt;"",A898='Firm Search'!$C$7),COUNTIF($A$5:A898,'Firm Search'!$C$7),"")</f>
        <v/>
      </c>
      <c r="R898">
        <f>IF(A898="","",COUNTIF($A$5:$A$1004,"&lt;"&amp;A898)+COUNTIF($A$5:A898,A898))</f>
        <v/>
      </c>
    </row>
    <row r="899">
      <c r="A899" s="64" t="n"/>
      <c r="B899" s="64" t="n"/>
      <c r="C899" s="66" t="n"/>
      <c r="D899" s="66" t="n"/>
      <c r="E899" s="67" t="n"/>
      <c r="F899" s="67" t="n"/>
      <c r="G899" s="67" t="n"/>
      <c r="H899" s="67" t="n"/>
      <c r="I899" s="67" t="n"/>
      <c r="J899" s="67" t="n"/>
      <c r="K899" s="67" t="n"/>
      <c r="L899" s="67" t="n"/>
      <c r="M899" s="64" t="n"/>
      <c r="N899" s="84">
        <f>IF(A899="","",IFERROR(INDEX(Firms!$B$5:$B$1004,MATCH(A899,Firms!$A$5:$A$1004,0)),"Not on Firms tab"))</f>
        <v/>
      </c>
      <c r="O899" s="84">
        <f>IF(A899="","",IF(AND(D899&lt;&gt;"",D899&lt;TODAY()),"Expired",IF(AND(C899&lt;&gt;"",C899&gt;TODAY()),"Not yet effective",IF(C899="","No date",IF(TODAY()&gt;=EDATE(C899,Review_Months),"Review Due","Current")))))</f>
        <v/>
      </c>
      <c r="P899">
        <f>IF(A899="","",A899&amp;"|"&amp;B899)</f>
        <v/>
      </c>
      <c r="Q899">
        <f>IF(AND(A899&lt;&gt;"",A899='Firm Search'!$C$7),COUNTIF($A$5:A899,'Firm Search'!$C$7),"")</f>
        <v/>
      </c>
      <c r="R899">
        <f>IF(A899="","",COUNTIF($A$5:$A$1004,"&lt;"&amp;A899)+COUNTIF($A$5:A899,A899))</f>
        <v/>
      </c>
    </row>
    <row r="900">
      <c r="A900" s="64" t="n"/>
      <c r="B900" s="64" t="n"/>
      <c r="C900" s="66" t="n"/>
      <c r="D900" s="66" t="n"/>
      <c r="E900" s="67" t="n"/>
      <c r="F900" s="67" t="n"/>
      <c r="G900" s="67" t="n"/>
      <c r="H900" s="67" t="n"/>
      <c r="I900" s="67" t="n"/>
      <c r="J900" s="67" t="n"/>
      <c r="K900" s="67" t="n"/>
      <c r="L900" s="67" t="n"/>
      <c r="M900" s="64" t="n"/>
      <c r="N900" s="84">
        <f>IF(A900="","",IFERROR(INDEX(Firms!$B$5:$B$1004,MATCH(A900,Firms!$A$5:$A$1004,0)),"Not on Firms tab"))</f>
        <v/>
      </c>
      <c r="O900" s="84">
        <f>IF(A900="","",IF(AND(D900&lt;&gt;"",D900&lt;TODAY()),"Expired",IF(AND(C900&lt;&gt;"",C900&gt;TODAY()),"Not yet effective",IF(C900="","No date",IF(TODAY()&gt;=EDATE(C900,Review_Months),"Review Due","Current")))))</f>
        <v/>
      </c>
      <c r="P900">
        <f>IF(A900="","",A900&amp;"|"&amp;B900)</f>
        <v/>
      </c>
      <c r="Q900">
        <f>IF(AND(A900&lt;&gt;"",A900='Firm Search'!$C$7),COUNTIF($A$5:A900,'Firm Search'!$C$7),"")</f>
        <v/>
      </c>
      <c r="R900">
        <f>IF(A900="","",COUNTIF($A$5:$A$1004,"&lt;"&amp;A900)+COUNTIF($A$5:A900,A900))</f>
        <v/>
      </c>
    </row>
    <row r="901">
      <c r="A901" s="64" t="n"/>
      <c r="B901" s="64" t="n"/>
      <c r="C901" s="66" t="n"/>
      <c r="D901" s="66" t="n"/>
      <c r="E901" s="67" t="n"/>
      <c r="F901" s="67" t="n"/>
      <c r="G901" s="67" t="n"/>
      <c r="H901" s="67" t="n"/>
      <c r="I901" s="67" t="n"/>
      <c r="J901" s="67" t="n"/>
      <c r="K901" s="67" t="n"/>
      <c r="L901" s="67" t="n"/>
      <c r="M901" s="64" t="n"/>
      <c r="N901" s="84">
        <f>IF(A901="","",IFERROR(INDEX(Firms!$B$5:$B$1004,MATCH(A901,Firms!$A$5:$A$1004,0)),"Not on Firms tab"))</f>
        <v/>
      </c>
      <c r="O901" s="84">
        <f>IF(A901="","",IF(AND(D901&lt;&gt;"",D901&lt;TODAY()),"Expired",IF(AND(C901&lt;&gt;"",C901&gt;TODAY()),"Not yet effective",IF(C901="","No date",IF(TODAY()&gt;=EDATE(C901,Review_Months),"Review Due","Current")))))</f>
        <v/>
      </c>
      <c r="P901">
        <f>IF(A901="","",A901&amp;"|"&amp;B901)</f>
        <v/>
      </c>
      <c r="Q901">
        <f>IF(AND(A901&lt;&gt;"",A901='Firm Search'!$C$7),COUNTIF($A$5:A901,'Firm Search'!$C$7),"")</f>
        <v/>
      </c>
      <c r="R901">
        <f>IF(A901="","",COUNTIF($A$5:$A$1004,"&lt;"&amp;A901)+COUNTIF($A$5:A901,A901))</f>
        <v/>
      </c>
    </row>
    <row r="902">
      <c r="A902" s="64" t="n"/>
      <c r="B902" s="64" t="n"/>
      <c r="C902" s="66" t="n"/>
      <c r="D902" s="66" t="n"/>
      <c r="E902" s="67" t="n"/>
      <c r="F902" s="67" t="n"/>
      <c r="G902" s="67" t="n"/>
      <c r="H902" s="67" t="n"/>
      <c r="I902" s="67" t="n"/>
      <c r="J902" s="67" t="n"/>
      <c r="K902" s="67" t="n"/>
      <c r="L902" s="67" t="n"/>
      <c r="M902" s="64" t="n"/>
      <c r="N902" s="84">
        <f>IF(A902="","",IFERROR(INDEX(Firms!$B$5:$B$1004,MATCH(A902,Firms!$A$5:$A$1004,0)),"Not on Firms tab"))</f>
        <v/>
      </c>
      <c r="O902" s="84">
        <f>IF(A902="","",IF(AND(D902&lt;&gt;"",D902&lt;TODAY()),"Expired",IF(AND(C902&lt;&gt;"",C902&gt;TODAY()),"Not yet effective",IF(C902="","No date",IF(TODAY()&gt;=EDATE(C902,Review_Months),"Review Due","Current")))))</f>
        <v/>
      </c>
      <c r="P902">
        <f>IF(A902="","",A902&amp;"|"&amp;B902)</f>
        <v/>
      </c>
      <c r="Q902">
        <f>IF(AND(A902&lt;&gt;"",A902='Firm Search'!$C$7),COUNTIF($A$5:A902,'Firm Search'!$C$7),"")</f>
        <v/>
      </c>
      <c r="R902">
        <f>IF(A902="","",COUNTIF($A$5:$A$1004,"&lt;"&amp;A902)+COUNTIF($A$5:A902,A902))</f>
        <v/>
      </c>
    </row>
    <row r="903">
      <c r="A903" s="64" t="n"/>
      <c r="B903" s="64" t="n"/>
      <c r="C903" s="66" t="n"/>
      <c r="D903" s="66" t="n"/>
      <c r="E903" s="67" t="n"/>
      <c r="F903" s="67" t="n"/>
      <c r="G903" s="67" t="n"/>
      <c r="H903" s="67" t="n"/>
      <c r="I903" s="67" t="n"/>
      <c r="J903" s="67" t="n"/>
      <c r="K903" s="67" t="n"/>
      <c r="L903" s="67" t="n"/>
      <c r="M903" s="64" t="n"/>
      <c r="N903" s="84">
        <f>IF(A903="","",IFERROR(INDEX(Firms!$B$5:$B$1004,MATCH(A903,Firms!$A$5:$A$1004,0)),"Not on Firms tab"))</f>
        <v/>
      </c>
      <c r="O903" s="84">
        <f>IF(A903="","",IF(AND(D903&lt;&gt;"",D903&lt;TODAY()),"Expired",IF(AND(C903&lt;&gt;"",C903&gt;TODAY()),"Not yet effective",IF(C903="","No date",IF(TODAY()&gt;=EDATE(C903,Review_Months),"Review Due","Current")))))</f>
        <v/>
      </c>
      <c r="P903">
        <f>IF(A903="","",A903&amp;"|"&amp;B903)</f>
        <v/>
      </c>
      <c r="Q903">
        <f>IF(AND(A903&lt;&gt;"",A903='Firm Search'!$C$7),COUNTIF($A$5:A903,'Firm Search'!$C$7),"")</f>
        <v/>
      </c>
      <c r="R903">
        <f>IF(A903="","",COUNTIF($A$5:$A$1004,"&lt;"&amp;A903)+COUNTIF($A$5:A903,A903))</f>
        <v/>
      </c>
    </row>
    <row r="904">
      <c r="A904" s="64" t="n"/>
      <c r="B904" s="64" t="n"/>
      <c r="C904" s="66" t="n"/>
      <c r="D904" s="66" t="n"/>
      <c r="E904" s="67" t="n"/>
      <c r="F904" s="67" t="n"/>
      <c r="G904" s="67" t="n"/>
      <c r="H904" s="67" t="n"/>
      <c r="I904" s="67" t="n"/>
      <c r="J904" s="67" t="n"/>
      <c r="K904" s="67" t="n"/>
      <c r="L904" s="67" t="n"/>
      <c r="M904" s="64" t="n"/>
      <c r="N904" s="84">
        <f>IF(A904="","",IFERROR(INDEX(Firms!$B$5:$B$1004,MATCH(A904,Firms!$A$5:$A$1004,0)),"Not on Firms tab"))</f>
        <v/>
      </c>
      <c r="O904" s="84">
        <f>IF(A904="","",IF(AND(D904&lt;&gt;"",D904&lt;TODAY()),"Expired",IF(AND(C904&lt;&gt;"",C904&gt;TODAY()),"Not yet effective",IF(C904="","No date",IF(TODAY()&gt;=EDATE(C904,Review_Months),"Review Due","Current")))))</f>
        <v/>
      </c>
      <c r="P904">
        <f>IF(A904="","",A904&amp;"|"&amp;B904)</f>
        <v/>
      </c>
      <c r="Q904">
        <f>IF(AND(A904&lt;&gt;"",A904='Firm Search'!$C$7),COUNTIF($A$5:A904,'Firm Search'!$C$7),"")</f>
        <v/>
      </c>
      <c r="R904">
        <f>IF(A904="","",COUNTIF($A$5:$A$1004,"&lt;"&amp;A904)+COUNTIF($A$5:A904,A904))</f>
        <v/>
      </c>
    </row>
    <row r="905">
      <c r="A905" s="64" t="n"/>
      <c r="B905" s="64" t="n"/>
      <c r="C905" s="66" t="n"/>
      <c r="D905" s="66" t="n"/>
      <c r="E905" s="67" t="n"/>
      <c r="F905" s="67" t="n"/>
      <c r="G905" s="67" t="n"/>
      <c r="H905" s="67" t="n"/>
      <c r="I905" s="67" t="n"/>
      <c r="J905" s="67" t="n"/>
      <c r="K905" s="67" t="n"/>
      <c r="L905" s="67" t="n"/>
      <c r="M905" s="64" t="n"/>
      <c r="N905" s="84">
        <f>IF(A905="","",IFERROR(INDEX(Firms!$B$5:$B$1004,MATCH(A905,Firms!$A$5:$A$1004,0)),"Not on Firms tab"))</f>
        <v/>
      </c>
      <c r="O905" s="84">
        <f>IF(A905="","",IF(AND(D905&lt;&gt;"",D905&lt;TODAY()),"Expired",IF(AND(C905&lt;&gt;"",C905&gt;TODAY()),"Not yet effective",IF(C905="","No date",IF(TODAY()&gt;=EDATE(C905,Review_Months),"Review Due","Current")))))</f>
        <v/>
      </c>
      <c r="P905">
        <f>IF(A905="","",A905&amp;"|"&amp;B905)</f>
        <v/>
      </c>
      <c r="Q905">
        <f>IF(AND(A905&lt;&gt;"",A905='Firm Search'!$C$7),COUNTIF($A$5:A905,'Firm Search'!$C$7),"")</f>
        <v/>
      </c>
      <c r="R905">
        <f>IF(A905="","",COUNTIF($A$5:$A$1004,"&lt;"&amp;A905)+COUNTIF($A$5:A905,A905))</f>
        <v/>
      </c>
    </row>
    <row r="906">
      <c r="A906" s="64" t="n"/>
      <c r="B906" s="64" t="n"/>
      <c r="C906" s="66" t="n"/>
      <c r="D906" s="66" t="n"/>
      <c r="E906" s="67" t="n"/>
      <c r="F906" s="67" t="n"/>
      <c r="G906" s="67" t="n"/>
      <c r="H906" s="67" t="n"/>
      <c r="I906" s="67" t="n"/>
      <c r="J906" s="67" t="n"/>
      <c r="K906" s="67" t="n"/>
      <c r="L906" s="67" t="n"/>
      <c r="M906" s="64" t="n"/>
      <c r="N906" s="84">
        <f>IF(A906="","",IFERROR(INDEX(Firms!$B$5:$B$1004,MATCH(A906,Firms!$A$5:$A$1004,0)),"Not on Firms tab"))</f>
        <v/>
      </c>
      <c r="O906" s="84">
        <f>IF(A906="","",IF(AND(D906&lt;&gt;"",D906&lt;TODAY()),"Expired",IF(AND(C906&lt;&gt;"",C906&gt;TODAY()),"Not yet effective",IF(C906="","No date",IF(TODAY()&gt;=EDATE(C906,Review_Months),"Review Due","Current")))))</f>
        <v/>
      </c>
      <c r="P906">
        <f>IF(A906="","",A906&amp;"|"&amp;B906)</f>
        <v/>
      </c>
      <c r="Q906">
        <f>IF(AND(A906&lt;&gt;"",A906='Firm Search'!$C$7),COUNTIF($A$5:A906,'Firm Search'!$C$7),"")</f>
        <v/>
      </c>
      <c r="R906">
        <f>IF(A906="","",COUNTIF($A$5:$A$1004,"&lt;"&amp;A906)+COUNTIF($A$5:A906,A906))</f>
        <v/>
      </c>
    </row>
    <row r="907">
      <c r="A907" s="64" t="n"/>
      <c r="B907" s="64" t="n"/>
      <c r="C907" s="66" t="n"/>
      <c r="D907" s="66" t="n"/>
      <c r="E907" s="67" t="n"/>
      <c r="F907" s="67" t="n"/>
      <c r="G907" s="67" t="n"/>
      <c r="H907" s="67" t="n"/>
      <c r="I907" s="67" t="n"/>
      <c r="J907" s="67" t="n"/>
      <c r="K907" s="67" t="n"/>
      <c r="L907" s="67" t="n"/>
      <c r="M907" s="64" t="n"/>
      <c r="N907" s="84">
        <f>IF(A907="","",IFERROR(INDEX(Firms!$B$5:$B$1004,MATCH(A907,Firms!$A$5:$A$1004,0)),"Not on Firms tab"))</f>
        <v/>
      </c>
      <c r="O907" s="84">
        <f>IF(A907="","",IF(AND(D907&lt;&gt;"",D907&lt;TODAY()),"Expired",IF(AND(C907&lt;&gt;"",C907&gt;TODAY()),"Not yet effective",IF(C907="","No date",IF(TODAY()&gt;=EDATE(C907,Review_Months),"Review Due","Current")))))</f>
        <v/>
      </c>
      <c r="P907">
        <f>IF(A907="","",A907&amp;"|"&amp;B907)</f>
        <v/>
      </c>
      <c r="Q907">
        <f>IF(AND(A907&lt;&gt;"",A907='Firm Search'!$C$7),COUNTIF($A$5:A907,'Firm Search'!$C$7),"")</f>
        <v/>
      </c>
      <c r="R907">
        <f>IF(A907="","",COUNTIF($A$5:$A$1004,"&lt;"&amp;A907)+COUNTIF($A$5:A907,A907))</f>
        <v/>
      </c>
    </row>
    <row r="908">
      <c r="A908" s="64" t="n"/>
      <c r="B908" s="64" t="n"/>
      <c r="C908" s="66" t="n"/>
      <c r="D908" s="66" t="n"/>
      <c r="E908" s="67" t="n"/>
      <c r="F908" s="67" t="n"/>
      <c r="G908" s="67" t="n"/>
      <c r="H908" s="67" t="n"/>
      <c r="I908" s="67" t="n"/>
      <c r="J908" s="67" t="n"/>
      <c r="K908" s="67" t="n"/>
      <c r="L908" s="67" t="n"/>
      <c r="M908" s="64" t="n"/>
      <c r="N908" s="84">
        <f>IF(A908="","",IFERROR(INDEX(Firms!$B$5:$B$1004,MATCH(A908,Firms!$A$5:$A$1004,0)),"Not on Firms tab"))</f>
        <v/>
      </c>
      <c r="O908" s="84">
        <f>IF(A908="","",IF(AND(D908&lt;&gt;"",D908&lt;TODAY()),"Expired",IF(AND(C908&lt;&gt;"",C908&gt;TODAY()),"Not yet effective",IF(C908="","No date",IF(TODAY()&gt;=EDATE(C908,Review_Months),"Review Due","Current")))))</f>
        <v/>
      </c>
      <c r="P908">
        <f>IF(A908="","",A908&amp;"|"&amp;B908)</f>
        <v/>
      </c>
      <c r="Q908">
        <f>IF(AND(A908&lt;&gt;"",A908='Firm Search'!$C$7),COUNTIF($A$5:A908,'Firm Search'!$C$7),"")</f>
        <v/>
      </c>
      <c r="R908">
        <f>IF(A908="","",COUNTIF($A$5:$A$1004,"&lt;"&amp;A908)+COUNTIF($A$5:A908,A908))</f>
        <v/>
      </c>
    </row>
    <row r="909">
      <c r="A909" s="64" t="n"/>
      <c r="B909" s="64" t="n"/>
      <c r="C909" s="66" t="n"/>
      <c r="D909" s="66" t="n"/>
      <c r="E909" s="67" t="n"/>
      <c r="F909" s="67" t="n"/>
      <c r="G909" s="67" t="n"/>
      <c r="H909" s="67" t="n"/>
      <c r="I909" s="67" t="n"/>
      <c r="J909" s="67" t="n"/>
      <c r="K909" s="67" t="n"/>
      <c r="L909" s="67" t="n"/>
      <c r="M909" s="64" t="n"/>
      <c r="N909" s="84">
        <f>IF(A909="","",IFERROR(INDEX(Firms!$B$5:$B$1004,MATCH(A909,Firms!$A$5:$A$1004,0)),"Not on Firms tab"))</f>
        <v/>
      </c>
      <c r="O909" s="84">
        <f>IF(A909="","",IF(AND(D909&lt;&gt;"",D909&lt;TODAY()),"Expired",IF(AND(C909&lt;&gt;"",C909&gt;TODAY()),"Not yet effective",IF(C909="","No date",IF(TODAY()&gt;=EDATE(C909,Review_Months),"Review Due","Current")))))</f>
        <v/>
      </c>
      <c r="P909">
        <f>IF(A909="","",A909&amp;"|"&amp;B909)</f>
        <v/>
      </c>
      <c r="Q909">
        <f>IF(AND(A909&lt;&gt;"",A909='Firm Search'!$C$7),COUNTIF($A$5:A909,'Firm Search'!$C$7),"")</f>
        <v/>
      </c>
      <c r="R909">
        <f>IF(A909="","",COUNTIF($A$5:$A$1004,"&lt;"&amp;A909)+COUNTIF($A$5:A909,A909))</f>
        <v/>
      </c>
    </row>
    <row r="910">
      <c r="A910" s="64" t="n"/>
      <c r="B910" s="64" t="n"/>
      <c r="C910" s="66" t="n"/>
      <c r="D910" s="66" t="n"/>
      <c r="E910" s="67" t="n"/>
      <c r="F910" s="67" t="n"/>
      <c r="G910" s="67" t="n"/>
      <c r="H910" s="67" t="n"/>
      <c r="I910" s="67" t="n"/>
      <c r="J910" s="67" t="n"/>
      <c r="K910" s="67" t="n"/>
      <c r="L910" s="67" t="n"/>
      <c r="M910" s="64" t="n"/>
      <c r="N910" s="84">
        <f>IF(A910="","",IFERROR(INDEX(Firms!$B$5:$B$1004,MATCH(A910,Firms!$A$5:$A$1004,0)),"Not on Firms tab"))</f>
        <v/>
      </c>
      <c r="O910" s="84">
        <f>IF(A910="","",IF(AND(D910&lt;&gt;"",D910&lt;TODAY()),"Expired",IF(AND(C910&lt;&gt;"",C910&gt;TODAY()),"Not yet effective",IF(C910="","No date",IF(TODAY()&gt;=EDATE(C910,Review_Months),"Review Due","Current")))))</f>
        <v/>
      </c>
      <c r="P910">
        <f>IF(A910="","",A910&amp;"|"&amp;B910)</f>
        <v/>
      </c>
      <c r="Q910">
        <f>IF(AND(A910&lt;&gt;"",A910='Firm Search'!$C$7),COUNTIF($A$5:A910,'Firm Search'!$C$7),"")</f>
        <v/>
      </c>
      <c r="R910">
        <f>IF(A910="","",COUNTIF($A$5:$A$1004,"&lt;"&amp;A910)+COUNTIF($A$5:A910,A910))</f>
        <v/>
      </c>
    </row>
    <row r="911">
      <c r="A911" s="64" t="n"/>
      <c r="B911" s="64" t="n"/>
      <c r="C911" s="66" t="n"/>
      <c r="D911" s="66" t="n"/>
      <c r="E911" s="67" t="n"/>
      <c r="F911" s="67" t="n"/>
      <c r="G911" s="67" t="n"/>
      <c r="H911" s="67" t="n"/>
      <c r="I911" s="67" t="n"/>
      <c r="J911" s="67" t="n"/>
      <c r="K911" s="67" t="n"/>
      <c r="L911" s="67" t="n"/>
      <c r="M911" s="64" t="n"/>
      <c r="N911" s="84">
        <f>IF(A911="","",IFERROR(INDEX(Firms!$B$5:$B$1004,MATCH(A911,Firms!$A$5:$A$1004,0)),"Not on Firms tab"))</f>
        <v/>
      </c>
      <c r="O911" s="84">
        <f>IF(A911="","",IF(AND(D911&lt;&gt;"",D911&lt;TODAY()),"Expired",IF(AND(C911&lt;&gt;"",C911&gt;TODAY()),"Not yet effective",IF(C911="","No date",IF(TODAY()&gt;=EDATE(C911,Review_Months),"Review Due","Current")))))</f>
        <v/>
      </c>
      <c r="P911">
        <f>IF(A911="","",A911&amp;"|"&amp;B911)</f>
        <v/>
      </c>
      <c r="Q911">
        <f>IF(AND(A911&lt;&gt;"",A911='Firm Search'!$C$7),COUNTIF($A$5:A911,'Firm Search'!$C$7),"")</f>
        <v/>
      </c>
      <c r="R911">
        <f>IF(A911="","",COUNTIF($A$5:$A$1004,"&lt;"&amp;A911)+COUNTIF($A$5:A911,A911))</f>
        <v/>
      </c>
    </row>
    <row r="912">
      <c r="A912" s="64" t="n"/>
      <c r="B912" s="64" t="n"/>
      <c r="C912" s="66" t="n"/>
      <c r="D912" s="66" t="n"/>
      <c r="E912" s="67" t="n"/>
      <c r="F912" s="67" t="n"/>
      <c r="G912" s="67" t="n"/>
      <c r="H912" s="67" t="n"/>
      <c r="I912" s="67" t="n"/>
      <c r="J912" s="67" t="n"/>
      <c r="K912" s="67" t="n"/>
      <c r="L912" s="67" t="n"/>
      <c r="M912" s="64" t="n"/>
      <c r="N912" s="84">
        <f>IF(A912="","",IFERROR(INDEX(Firms!$B$5:$B$1004,MATCH(A912,Firms!$A$5:$A$1004,0)),"Not on Firms tab"))</f>
        <v/>
      </c>
      <c r="O912" s="84">
        <f>IF(A912="","",IF(AND(D912&lt;&gt;"",D912&lt;TODAY()),"Expired",IF(AND(C912&lt;&gt;"",C912&gt;TODAY()),"Not yet effective",IF(C912="","No date",IF(TODAY()&gt;=EDATE(C912,Review_Months),"Review Due","Current")))))</f>
        <v/>
      </c>
      <c r="P912">
        <f>IF(A912="","",A912&amp;"|"&amp;B912)</f>
        <v/>
      </c>
      <c r="Q912">
        <f>IF(AND(A912&lt;&gt;"",A912='Firm Search'!$C$7),COUNTIF($A$5:A912,'Firm Search'!$C$7),"")</f>
        <v/>
      </c>
      <c r="R912">
        <f>IF(A912="","",COUNTIF($A$5:$A$1004,"&lt;"&amp;A912)+COUNTIF($A$5:A912,A912))</f>
        <v/>
      </c>
    </row>
    <row r="913">
      <c r="A913" s="64" t="n"/>
      <c r="B913" s="64" t="n"/>
      <c r="C913" s="66" t="n"/>
      <c r="D913" s="66" t="n"/>
      <c r="E913" s="67" t="n"/>
      <c r="F913" s="67" t="n"/>
      <c r="G913" s="67" t="n"/>
      <c r="H913" s="67" t="n"/>
      <c r="I913" s="67" t="n"/>
      <c r="J913" s="67" t="n"/>
      <c r="K913" s="67" t="n"/>
      <c r="L913" s="67" t="n"/>
      <c r="M913" s="64" t="n"/>
      <c r="N913" s="84">
        <f>IF(A913="","",IFERROR(INDEX(Firms!$B$5:$B$1004,MATCH(A913,Firms!$A$5:$A$1004,0)),"Not on Firms tab"))</f>
        <v/>
      </c>
      <c r="O913" s="84">
        <f>IF(A913="","",IF(AND(D913&lt;&gt;"",D913&lt;TODAY()),"Expired",IF(AND(C913&lt;&gt;"",C913&gt;TODAY()),"Not yet effective",IF(C913="","No date",IF(TODAY()&gt;=EDATE(C913,Review_Months),"Review Due","Current")))))</f>
        <v/>
      </c>
      <c r="P913">
        <f>IF(A913="","",A913&amp;"|"&amp;B913)</f>
        <v/>
      </c>
      <c r="Q913">
        <f>IF(AND(A913&lt;&gt;"",A913='Firm Search'!$C$7),COUNTIF($A$5:A913,'Firm Search'!$C$7),"")</f>
        <v/>
      </c>
      <c r="R913">
        <f>IF(A913="","",COUNTIF($A$5:$A$1004,"&lt;"&amp;A913)+COUNTIF($A$5:A913,A913))</f>
        <v/>
      </c>
    </row>
    <row r="914">
      <c r="A914" s="64" t="n"/>
      <c r="B914" s="64" t="n"/>
      <c r="C914" s="66" t="n"/>
      <c r="D914" s="66" t="n"/>
      <c r="E914" s="67" t="n"/>
      <c r="F914" s="67" t="n"/>
      <c r="G914" s="67" t="n"/>
      <c r="H914" s="67" t="n"/>
      <c r="I914" s="67" t="n"/>
      <c r="J914" s="67" t="n"/>
      <c r="K914" s="67" t="n"/>
      <c r="L914" s="67" t="n"/>
      <c r="M914" s="64" t="n"/>
      <c r="N914" s="84">
        <f>IF(A914="","",IFERROR(INDEX(Firms!$B$5:$B$1004,MATCH(A914,Firms!$A$5:$A$1004,0)),"Not on Firms tab"))</f>
        <v/>
      </c>
      <c r="O914" s="84">
        <f>IF(A914="","",IF(AND(D914&lt;&gt;"",D914&lt;TODAY()),"Expired",IF(AND(C914&lt;&gt;"",C914&gt;TODAY()),"Not yet effective",IF(C914="","No date",IF(TODAY()&gt;=EDATE(C914,Review_Months),"Review Due","Current")))))</f>
        <v/>
      </c>
      <c r="P914">
        <f>IF(A914="","",A914&amp;"|"&amp;B914)</f>
        <v/>
      </c>
      <c r="Q914">
        <f>IF(AND(A914&lt;&gt;"",A914='Firm Search'!$C$7),COUNTIF($A$5:A914,'Firm Search'!$C$7),"")</f>
        <v/>
      </c>
      <c r="R914">
        <f>IF(A914="","",COUNTIF($A$5:$A$1004,"&lt;"&amp;A914)+COUNTIF($A$5:A914,A914))</f>
        <v/>
      </c>
    </row>
    <row r="915">
      <c r="A915" s="64" t="n"/>
      <c r="B915" s="64" t="n"/>
      <c r="C915" s="66" t="n"/>
      <c r="D915" s="66" t="n"/>
      <c r="E915" s="67" t="n"/>
      <c r="F915" s="67" t="n"/>
      <c r="G915" s="67" t="n"/>
      <c r="H915" s="67" t="n"/>
      <c r="I915" s="67" t="n"/>
      <c r="J915" s="67" t="n"/>
      <c r="K915" s="67" t="n"/>
      <c r="L915" s="67" t="n"/>
      <c r="M915" s="64" t="n"/>
      <c r="N915" s="84">
        <f>IF(A915="","",IFERROR(INDEX(Firms!$B$5:$B$1004,MATCH(A915,Firms!$A$5:$A$1004,0)),"Not on Firms tab"))</f>
        <v/>
      </c>
      <c r="O915" s="84">
        <f>IF(A915="","",IF(AND(D915&lt;&gt;"",D915&lt;TODAY()),"Expired",IF(AND(C915&lt;&gt;"",C915&gt;TODAY()),"Not yet effective",IF(C915="","No date",IF(TODAY()&gt;=EDATE(C915,Review_Months),"Review Due","Current")))))</f>
        <v/>
      </c>
      <c r="P915">
        <f>IF(A915="","",A915&amp;"|"&amp;B915)</f>
        <v/>
      </c>
      <c r="Q915">
        <f>IF(AND(A915&lt;&gt;"",A915='Firm Search'!$C$7),COUNTIF($A$5:A915,'Firm Search'!$C$7),"")</f>
        <v/>
      </c>
      <c r="R915">
        <f>IF(A915="","",COUNTIF($A$5:$A$1004,"&lt;"&amp;A915)+COUNTIF($A$5:A915,A915))</f>
        <v/>
      </c>
    </row>
    <row r="916">
      <c r="A916" s="64" t="n"/>
      <c r="B916" s="64" t="n"/>
      <c r="C916" s="66" t="n"/>
      <c r="D916" s="66" t="n"/>
      <c r="E916" s="67" t="n"/>
      <c r="F916" s="67" t="n"/>
      <c r="G916" s="67" t="n"/>
      <c r="H916" s="67" t="n"/>
      <c r="I916" s="67" t="n"/>
      <c r="J916" s="67" t="n"/>
      <c r="K916" s="67" t="n"/>
      <c r="L916" s="67" t="n"/>
      <c r="M916" s="64" t="n"/>
      <c r="N916" s="84">
        <f>IF(A916="","",IFERROR(INDEX(Firms!$B$5:$B$1004,MATCH(A916,Firms!$A$5:$A$1004,0)),"Not on Firms tab"))</f>
        <v/>
      </c>
      <c r="O916" s="84">
        <f>IF(A916="","",IF(AND(D916&lt;&gt;"",D916&lt;TODAY()),"Expired",IF(AND(C916&lt;&gt;"",C916&gt;TODAY()),"Not yet effective",IF(C916="","No date",IF(TODAY()&gt;=EDATE(C916,Review_Months),"Review Due","Current")))))</f>
        <v/>
      </c>
      <c r="P916">
        <f>IF(A916="","",A916&amp;"|"&amp;B916)</f>
        <v/>
      </c>
      <c r="Q916">
        <f>IF(AND(A916&lt;&gt;"",A916='Firm Search'!$C$7),COUNTIF($A$5:A916,'Firm Search'!$C$7),"")</f>
        <v/>
      </c>
      <c r="R916">
        <f>IF(A916="","",COUNTIF($A$5:$A$1004,"&lt;"&amp;A916)+COUNTIF($A$5:A916,A916))</f>
        <v/>
      </c>
    </row>
    <row r="917">
      <c r="A917" s="64" t="n"/>
      <c r="B917" s="64" t="n"/>
      <c r="C917" s="66" t="n"/>
      <c r="D917" s="66" t="n"/>
      <c r="E917" s="67" t="n"/>
      <c r="F917" s="67" t="n"/>
      <c r="G917" s="67" t="n"/>
      <c r="H917" s="67" t="n"/>
      <c r="I917" s="67" t="n"/>
      <c r="J917" s="67" t="n"/>
      <c r="K917" s="67" t="n"/>
      <c r="L917" s="67" t="n"/>
      <c r="M917" s="64" t="n"/>
      <c r="N917" s="84">
        <f>IF(A917="","",IFERROR(INDEX(Firms!$B$5:$B$1004,MATCH(A917,Firms!$A$5:$A$1004,0)),"Not on Firms tab"))</f>
        <v/>
      </c>
      <c r="O917" s="84">
        <f>IF(A917="","",IF(AND(D917&lt;&gt;"",D917&lt;TODAY()),"Expired",IF(AND(C917&lt;&gt;"",C917&gt;TODAY()),"Not yet effective",IF(C917="","No date",IF(TODAY()&gt;=EDATE(C917,Review_Months),"Review Due","Current")))))</f>
        <v/>
      </c>
      <c r="P917">
        <f>IF(A917="","",A917&amp;"|"&amp;B917)</f>
        <v/>
      </c>
      <c r="Q917">
        <f>IF(AND(A917&lt;&gt;"",A917='Firm Search'!$C$7),COUNTIF($A$5:A917,'Firm Search'!$C$7),"")</f>
        <v/>
      </c>
      <c r="R917">
        <f>IF(A917="","",COUNTIF($A$5:$A$1004,"&lt;"&amp;A917)+COUNTIF($A$5:A917,A917))</f>
        <v/>
      </c>
    </row>
    <row r="918">
      <c r="A918" s="64" t="n"/>
      <c r="B918" s="64" t="n"/>
      <c r="C918" s="66" t="n"/>
      <c r="D918" s="66" t="n"/>
      <c r="E918" s="67" t="n"/>
      <c r="F918" s="67" t="n"/>
      <c r="G918" s="67" t="n"/>
      <c r="H918" s="67" t="n"/>
      <c r="I918" s="67" t="n"/>
      <c r="J918" s="67" t="n"/>
      <c r="K918" s="67" t="n"/>
      <c r="L918" s="67" t="n"/>
      <c r="M918" s="64" t="n"/>
      <c r="N918" s="84">
        <f>IF(A918="","",IFERROR(INDEX(Firms!$B$5:$B$1004,MATCH(A918,Firms!$A$5:$A$1004,0)),"Not on Firms tab"))</f>
        <v/>
      </c>
      <c r="O918" s="84">
        <f>IF(A918="","",IF(AND(D918&lt;&gt;"",D918&lt;TODAY()),"Expired",IF(AND(C918&lt;&gt;"",C918&gt;TODAY()),"Not yet effective",IF(C918="","No date",IF(TODAY()&gt;=EDATE(C918,Review_Months),"Review Due","Current")))))</f>
        <v/>
      </c>
      <c r="P918">
        <f>IF(A918="","",A918&amp;"|"&amp;B918)</f>
        <v/>
      </c>
      <c r="Q918">
        <f>IF(AND(A918&lt;&gt;"",A918='Firm Search'!$C$7),COUNTIF($A$5:A918,'Firm Search'!$C$7),"")</f>
        <v/>
      </c>
      <c r="R918">
        <f>IF(A918="","",COUNTIF($A$5:$A$1004,"&lt;"&amp;A918)+COUNTIF($A$5:A918,A918))</f>
        <v/>
      </c>
    </row>
    <row r="919">
      <c r="A919" s="64" t="n"/>
      <c r="B919" s="64" t="n"/>
      <c r="C919" s="66" t="n"/>
      <c r="D919" s="66" t="n"/>
      <c r="E919" s="67" t="n"/>
      <c r="F919" s="67" t="n"/>
      <c r="G919" s="67" t="n"/>
      <c r="H919" s="67" t="n"/>
      <c r="I919" s="67" t="n"/>
      <c r="J919" s="67" t="n"/>
      <c r="K919" s="67" t="n"/>
      <c r="L919" s="67" t="n"/>
      <c r="M919" s="64" t="n"/>
      <c r="N919" s="84">
        <f>IF(A919="","",IFERROR(INDEX(Firms!$B$5:$B$1004,MATCH(A919,Firms!$A$5:$A$1004,0)),"Not on Firms tab"))</f>
        <v/>
      </c>
      <c r="O919" s="84">
        <f>IF(A919="","",IF(AND(D919&lt;&gt;"",D919&lt;TODAY()),"Expired",IF(AND(C919&lt;&gt;"",C919&gt;TODAY()),"Not yet effective",IF(C919="","No date",IF(TODAY()&gt;=EDATE(C919,Review_Months),"Review Due","Current")))))</f>
        <v/>
      </c>
      <c r="P919">
        <f>IF(A919="","",A919&amp;"|"&amp;B919)</f>
        <v/>
      </c>
      <c r="Q919">
        <f>IF(AND(A919&lt;&gt;"",A919='Firm Search'!$C$7),COUNTIF($A$5:A919,'Firm Search'!$C$7),"")</f>
        <v/>
      </c>
      <c r="R919">
        <f>IF(A919="","",COUNTIF($A$5:$A$1004,"&lt;"&amp;A919)+COUNTIF($A$5:A919,A919))</f>
        <v/>
      </c>
    </row>
    <row r="920">
      <c r="A920" s="64" t="n"/>
      <c r="B920" s="64" t="n"/>
      <c r="C920" s="66" t="n"/>
      <c r="D920" s="66" t="n"/>
      <c r="E920" s="67" t="n"/>
      <c r="F920" s="67" t="n"/>
      <c r="G920" s="67" t="n"/>
      <c r="H920" s="67" t="n"/>
      <c r="I920" s="67" t="n"/>
      <c r="J920" s="67" t="n"/>
      <c r="K920" s="67" t="n"/>
      <c r="L920" s="67" t="n"/>
      <c r="M920" s="64" t="n"/>
      <c r="N920" s="84">
        <f>IF(A920="","",IFERROR(INDEX(Firms!$B$5:$B$1004,MATCH(A920,Firms!$A$5:$A$1004,0)),"Not on Firms tab"))</f>
        <v/>
      </c>
      <c r="O920" s="84">
        <f>IF(A920="","",IF(AND(D920&lt;&gt;"",D920&lt;TODAY()),"Expired",IF(AND(C920&lt;&gt;"",C920&gt;TODAY()),"Not yet effective",IF(C920="","No date",IF(TODAY()&gt;=EDATE(C920,Review_Months),"Review Due","Current")))))</f>
        <v/>
      </c>
      <c r="P920">
        <f>IF(A920="","",A920&amp;"|"&amp;B920)</f>
        <v/>
      </c>
      <c r="Q920">
        <f>IF(AND(A920&lt;&gt;"",A920='Firm Search'!$C$7),COUNTIF($A$5:A920,'Firm Search'!$C$7),"")</f>
        <v/>
      </c>
      <c r="R920">
        <f>IF(A920="","",COUNTIF($A$5:$A$1004,"&lt;"&amp;A920)+COUNTIF($A$5:A920,A920))</f>
        <v/>
      </c>
    </row>
    <row r="921">
      <c r="A921" s="64" t="n"/>
      <c r="B921" s="64" t="n"/>
      <c r="C921" s="66" t="n"/>
      <c r="D921" s="66" t="n"/>
      <c r="E921" s="67" t="n"/>
      <c r="F921" s="67" t="n"/>
      <c r="G921" s="67" t="n"/>
      <c r="H921" s="67" t="n"/>
      <c r="I921" s="67" t="n"/>
      <c r="J921" s="67" t="n"/>
      <c r="K921" s="67" t="n"/>
      <c r="L921" s="67" t="n"/>
      <c r="M921" s="64" t="n"/>
      <c r="N921" s="84">
        <f>IF(A921="","",IFERROR(INDEX(Firms!$B$5:$B$1004,MATCH(A921,Firms!$A$5:$A$1004,0)),"Not on Firms tab"))</f>
        <v/>
      </c>
      <c r="O921" s="84">
        <f>IF(A921="","",IF(AND(D921&lt;&gt;"",D921&lt;TODAY()),"Expired",IF(AND(C921&lt;&gt;"",C921&gt;TODAY()),"Not yet effective",IF(C921="","No date",IF(TODAY()&gt;=EDATE(C921,Review_Months),"Review Due","Current")))))</f>
        <v/>
      </c>
      <c r="P921">
        <f>IF(A921="","",A921&amp;"|"&amp;B921)</f>
        <v/>
      </c>
      <c r="Q921">
        <f>IF(AND(A921&lt;&gt;"",A921='Firm Search'!$C$7),COUNTIF($A$5:A921,'Firm Search'!$C$7),"")</f>
        <v/>
      </c>
      <c r="R921">
        <f>IF(A921="","",COUNTIF($A$5:$A$1004,"&lt;"&amp;A921)+COUNTIF($A$5:A921,A921))</f>
        <v/>
      </c>
    </row>
    <row r="922">
      <c r="A922" s="64" t="n"/>
      <c r="B922" s="64" t="n"/>
      <c r="C922" s="66" t="n"/>
      <c r="D922" s="66" t="n"/>
      <c r="E922" s="67" t="n"/>
      <c r="F922" s="67" t="n"/>
      <c r="G922" s="67" t="n"/>
      <c r="H922" s="67" t="n"/>
      <c r="I922" s="67" t="n"/>
      <c r="J922" s="67" t="n"/>
      <c r="K922" s="67" t="n"/>
      <c r="L922" s="67" t="n"/>
      <c r="M922" s="64" t="n"/>
      <c r="N922" s="84">
        <f>IF(A922="","",IFERROR(INDEX(Firms!$B$5:$B$1004,MATCH(A922,Firms!$A$5:$A$1004,0)),"Not on Firms tab"))</f>
        <v/>
      </c>
      <c r="O922" s="84">
        <f>IF(A922="","",IF(AND(D922&lt;&gt;"",D922&lt;TODAY()),"Expired",IF(AND(C922&lt;&gt;"",C922&gt;TODAY()),"Not yet effective",IF(C922="","No date",IF(TODAY()&gt;=EDATE(C922,Review_Months),"Review Due","Current")))))</f>
        <v/>
      </c>
      <c r="P922">
        <f>IF(A922="","",A922&amp;"|"&amp;B922)</f>
        <v/>
      </c>
      <c r="Q922">
        <f>IF(AND(A922&lt;&gt;"",A922='Firm Search'!$C$7),COUNTIF($A$5:A922,'Firm Search'!$C$7),"")</f>
        <v/>
      </c>
      <c r="R922">
        <f>IF(A922="","",COUNTIF($A$5:$A$1004,"&lt;"&amp;A922)+COUNTIF($A$5:A922,A922))</f>
        <v/>
      </c>
    </row>
    <row r="923">
      <c r="A923" s="64" t="n"/>
      <c r="B923" s="64" t="n"/>
      <c r="C923" s="66" t="n"/>
      <c r="D923" s="66" t="n"/>
      <c r="E923" s="67" t="n"/>
      <c r="F923" s="67" t="n"/>
      <c r="G923" s="67" t="n"/>
      <c r="H923" s="67" t="n"/>
      <c r="I923" s="67" t="n"/>
      <c r="J923" s="67" t="n"/>
      <c r="K923" s="67" t="n"/>
      <c r="L923" s="67" t="n"/>
      <c r="M923" s="64" t="n"/>
      <c r="N923" s="84">
        <f>IF(A923="","",IFERROR(INDEX(Firms!$B$5:$B$1004,MATCH(A923,Firms!$A$5:$A$1004,0)),"Not on Firms tab"))</f>
        <v/>
      </c>
      <c r="O923" s="84">
        <f>IF(A923="","",IF(AND(D923&lt;&gt;"",D923&lt;TODAY()),"Expired",IF(AND(C923&lt;&gt;"",C923&gt;TODAY()),"Not yet effective",IF(C923="","No date",IF(TODAY()&gt;=EDATE(C923,Review_Months),"Review Due","Current")))))</f>
        <v/>
      </c>
      <c r="P923">
        <f>IF(A923="","",A923&amp;"|"&amp;B923)</f>
        <v/>
      </c>
      <c r="Q923">
        <f>IF(AND(A923&lt;&gt;"",A923='Firm Search'!$C$7),COUNTIF($A$5:A923,'Firm Search'!$C$7),"")</f>
        <v/>
      </c>
      <c r="R923">
        <f>IF(A923="","",COUNTIF($A$5:$A$1004,"&lt;"&amp;A923)+COUNTIF($A$5:A923,A923))</f>
        <v/>
      </c>
    </row>
    <row r="924">
      <c r="A924" s="64" t="n"/>
      <c r="B924" s="64" t="n"/>
      <c r="C924" s="66" t="n"/>
      <c r="D924" s="66" t="n"/>
      <c r="E924" s="67" t="n"/>
      <c r="F924" s="67" t="n"/>
      <c r="G924" s="67" t="n"/>
      <c r="H924" s="67" t="n"/>
      <c r="I924" s="67" t="n"/>
      <c r="J924" s="67" t="n"/>
      <c r="K924" s="67" t="n"/>
      <c r="L924" s="67" t="n"/>
      <c r="M924" s="64" t="n"/>
      <c r="N924" s="84">
        <f>IF(A924="","",IFERROR(INDEX(Firms!$B$5:$B$1004,MATCH(A924,Firms!$A$5:$A$1004,0)),"Not on Firms tab"))</f>
        <v/>
      </c>
      <c r="O924" s="84">
        <f>IF(A924="","",IF(AND(D924&lt;&gt;"",D924&lt;TODAY()),"Expired",IF(AND(C924&lt;&gt;"",C924&gt;TODAY()),"Not yet effective",IF(C924="","No date",IF(TODAY()&gt;=EDATE(C924,Review_Months),"Review Due","Current")))))</f>
        <v/>
      </c>
      <c r="P924">
        <f>IF(A924="","",A924&amp;"|"&amp;B924)</f>
        <v/>
      </c>
      <c r="Q924">
        <f>IF(AND(A924&lt;&gt;"",A924='Firm Search'!$C$7),COUNTIF($A$5:A924,'Firm Search'!$C$7),"")</f>
        <v/>
      </c>
      <c r="R924">
        <f>IF(A924="","",COUNTIF($A$5:$A$1004,"&lt;"&amp;A924)+COUNTIF($A$5:A924,A924))</f>
        <v/>
      </c>
    </row>
    <row r="925">
      <c r="A925" s="64" t="n"/>
      <c r="B925" s="64" t="n"/>
      <c r="C925" s="66" t="n"/>
      <c r="D925" s="66" t="n"/>
      <c r="E925" s="67" t="n"/>
      <c r="F925" s="67" t="n"/>
      <c r="G925" s="67" t="n"/>
      <c r="H925" s="67" t="n"/>
      <c r="I925" s="67" t="n"/>
      <c r="J925" s="67" t="n"/>
      <c r="K925" s="67" t="n"/>
      <c r="L925" s="67" t="n"/>
      <c r="M925" s="64" t="n"/>
      <c r="N925" s="84">
        <f>IF(A925="","",IFERROR(INDEX(Firms!$B$5:$B$1004,MATCH(A925,Firms!$A$5:$A$1004,0)),"Not on Firms tab"))</f>
        <v/>
      </c>
      <c r="O925" s="84">
        <f>IF(A925="","",IF(AND(D925&lt;&gt;"",D925&lt;TODAY()),"Expired",IF(AND(C925&lt;&gt;"",C925&gt;TODAY()),"Not yet effective",IF(C925="","No date",IF(TODAY()&gt;=EDATE(C925,Review_Months),"Review Due","Current")))))</f>
        <v/>
      </c>
      <c r="P925">
        <f>IF(A925="","",A925&amp;"|"&amp;B925)</f>
        <v/>
      </c>
      <c r="Q925">
        <f>IF(AND(A925&lt;&gt;"",A925='Firm Search'!$C$7),COUNTIF($A$5:A925,'Firm Search'!$C$7),"")</f>
        <v/>
      </c>
      <c r="R925">
        <f>IF(A925="","",COUNTIF($A$5:$A$1004,"&lt;"&amp;A925)+COUNTIF($A$5:A925,A925))</f>
        <v/>
      </c>
    </row>
    <row r="926">
      <c r="A926" s="64" t="n"/>
      <c r="B926" s="64" t="n"/>
      <c r="C926" s="66" t="n"/>
      <c r="D926" s="66" t="n"/>
      <c r="E926" s="67" t="n"/>
      <c r="F926" s="67" t="n"/>
      <c r="G926" s="67" t="n"/>
      <c r="H926" s="67" t="n"/>
      <c r="I926" s="67" t="n"/>
      <c r="J926" s="67" t="n"/>
      <c r="K926" s="67" t="n"/>
      <c r="L926" s="67" t="n"/>
      <c r="M926" s="64" t="n"/>
      <c r="N926" s="84">
        <f>IF(A926="","",IFERROR(INDEX(Firms!$B$5:$B$1004,MATCH(A926,Firms!$A$5:$A$1004,0)),"Not on Firms tab"))</f>
        <v/>
      </c>
      <c r="O926" s="84">
        <f>IF(A926="","",IF(AND(D926&lt;&gt;"",D926&lt;TODAY()),"Expired",IF(AND(C926&lt;&gt;"",C926&gt;TODAY()),"Not yet effective",IF(C926="","No date",IF(TODAY()&gt;=EDATE(C926,Review_Months),"Review Due","Current")))))</f>
        <v/>
      </c>
      <c r="P926">
        <f>IF(A926="","",A926&amp;"|"&amp;B926)</f>
        <v/>
      </c>
      <c r="Q926">
        <f>IF(AND(A926&lt;&gt;"",A926='Firm Search'!$C$7),COUNTIF($A$5:A926,'Firm Search'!$C$7),"")</f>
        <v/>
      </c>
      <c r="R926">
        <f>IF(A926="","",COUNTIF($A$5:$A$1004,"&lt;"&amp;A926)+COUNTIF($A$5:A926,A926))</f>
        <v/>
      </c>
    </row>
    <row r="927">
      <c r="A927" s="64" t="n"/>
      <c r="B927" s="64" t="n"/>
      <c r="C927" s="66" t="n"/>
      <c r="D927" s="66" t="n"/>
      <c r="E927" s="67" t="n"/>
      <c r="F927" s="67" t="n"/>
      <c r="G927" s="67" t="n"/>
      <c r="H927" s="67" t="n"/>
      <c r="I927" s="67" t="n"/>
      <c r="J927" s="67" t="n"/>
      <c r="K927" s="67" t="n"/>
      <c r="L927" s="67" t="n"/>
      <c r="M927" s="64" t="n"/>
      <c r="N927" s="84">
        <f>IF(A927="","",IFERROR(INDEX(Firms!$B$5:$B$1004,MATCH(A927,Firms!$A$5:$A$1004,0)),"Not on Firms tab"))</f>
        <v/>
      </c>
      <c r="O927" s="84">
        <f>IF(A927="","",IF(AND(D927&lt;&gt;"",D927&lt;TODAY()),"Expired",IF(AND(C927&lt;&gt;"",C927&gt;TODAY()),"Not yet effective",IF(C927="","No date",IF(TODAY()&gt;=EDATE(C927,Review_Months),"Review Due","Current")))))</f>
        <v/>
      </c>
      <c r="P927">
        <f>IF(A927="","",A927&amp;"|"&amp;B927)</f>
        <v/>
      </c>
      <c r="Q927">
        <f>IF(AND(A927&lt;&gt;"",A927='Firm Search'!$C$7),COUNTIF($A$5:A927,'Firm Search'!$C$7),"")</f>
        <v/>
      </c>
      <c r="R927">
        <f>IF(A927="","",COUNTIF($A$5:$A$1004,"&lt;"&amp;A927)+COUNTIF($A$5:A927,A927))</f>
        <v/>
      </c>
    </row>
    <row r="928">
      <c r="A928" s="64" t="n"/>
      <c r="B928" s="64" t="n"/>
      <c r="C928" s="66" t="n"/>
      <c r="D928" s="66" t="n"/>
      <c r="E928" s="67" t="n"/>
      <c r="F928" s="67" t="n"/>
      <c r="G928" s="67" t="n"/>
      <c r="H928" s="67" t="n"/>
      <c r="I928" s="67" t="n"/>
      <c r="J928" s="67" t="n"/>
      <c r="K928" s="67" t="n"/>
      <c r="L928" s="67" t="n"/>
      <c r="M928" s="64" t="n"/>
      <c r="N928" s="84">
        <f>IF(A928="","",IFERROR(INDEX(Firms!$B$5:$B$1004,MATCH(A928,Firms!$A$5:$A$1004,0)),"Not on Firms tab"))</f>
        <v/>
      </c>
      <c r="O928" s="84">
        <f>IF(A928="","",IF(AND(D928&lt;&gt;"",D928&lt;TODAY()),"Expired",IF(AND(C928&lt;&gt;"",C928&gt;TODAY()),"Not yet effective",IF(C928="","No date",IF(TODAY()&gt;=EDATE(C928,Review_Months),"Review Due","Current")))))</f>
        <v/>
      </c>
      <c r="P928">
        <f>IF(A928="","",A928&amp;"|"&amp;B928)</f>
        <v/>
      </c>
      <c r="Q928">
        <f>IF(AND(A928&lt;&gt;"",A928='Firm Search'!$C$7),COUNTIF($A$5:A928,'Firm Search'!$C$7),"")</f>
        <v/>
      </c>
      <c r="R928">
        <f>IF(A928="","",COUNTIF($A$5:$A$1004,"&lt;"&amp;A928)+COUNTIF($A$5:A928,A928))</f>
        <v/>
      </c>
    </row>
    <row r="929">
      <c r="A929" s="64" t="n"/>
      <c r="B929" s="64" t="n"/>
      <c r="C929" s="66" t="n"/>
      <c r="D929" s="66" t="n"/>
      <c r="E929" s="67" t="n"/>
      <c r="F929" s="67" t="n"/>
      <c r="G929" s="67" t="n"/>
      <c r="H929" s="67" t="n"/>
      <c r="I929" s="67" t="n"/>
      <c r="J929" s="67" t="n"/>
      <c r="K929" s="67" t="n"/>
      <c r="L929" s="67" t="n"/>
      <c r="M929" s="64" t="n"/>
      <c r="N929" s="84">
        <f>IF(A929="","",IFERROR(INDEX(Firms!$B$5:$B$1004,MATCH(A929,Firms!$A$5:$A$1004,0)),"Not on Firms tab"))</f>
        <v/>
      </c>
      <c r="O929" s="84">
        <f>IF(A929="","",IF(AND(D929&lt;&gt;"",D929&lt;TODAY()),"Expired",IF(AND(C929&lt;&gt;"",C929&gt;TODAY()),"Not yet effective",IF(C929="","No date",IF(TODAY()&gt;=EDATE(C929,Review_Months),"Review Due","Current")))))</f>
        <v/>
      </c>
      <c r="P929">
        <f>IF(A929="","",A929&amp;"|"&amp;B929)</f>
        <v/>
      </c>
      <c r="Q929">
        <f>IF(AND(A929&lt;&gt;"",A929='Firm Search'!$C$7),COUNTIF($A$5:A929,'Firm Search'!$C$7),"")</f>
        <v/>
      </c>
      <c r="R929">
        <f>IF(A929="","",COUNTIF($A$5:$A$1004,"&lt;"&amp;A929)+COUNTIF($A$5:A929,A929))</f>
        <v/>
      </c>
    </row>
    <row r="930">
      <c r="A930" s="64" t="n"/>
      <c r="B930" s="64" t="n"/>
      <c r="C930" s="66" t="n"/>
      <c r="D930" s="66" t="n"/>
      <c r="E930" s="67" t="n"/>
      <c r="F930" s="67" t="n"/>
      <c r="G930" s="67" t="n"/>
      <c r="H930" s="67" t="n"/>
      <c r="I930" s="67" t="n"/>
      <c r="J930" s="67" t="n"/>
      <c r="K930" s="67" t="n"/>
      <c r="L930" s="67" t="n"/>
      <c r="M930" s="64" t="n"/>
      <c r="N930" s="84">
        <f>IF(A930="","",IFERROR(INDEX(Firms!$B$5:$B$1004,MATCH(A930,Firms!$A$5:$A$1004,0)),"Not on Firms tab"))</f>
        <v/>
      </c>
      <c r="O930" s="84">
        <f>IF(A930="","",IF(AND(D930&lt;&gt;"",D930&lt;TODAY()),"Expired",IF(AND(C930&lt;&gt;"",C930&gt;TODAY()),"Not yet effective",IF(C930="","No date",IF(TODAY()&gt;=EDATE(C930,Review_Months),"Review Due","Current")))))</f>
        <v/>
      </c>
      <c r="P930">
        <f>IF(A930="","",A930&amp;"|"&amp;B930)</f>
        <v/>
      </c>
      <c r="Q930">
        <f>IF(AND(A930&lt;&gt;"",A930='Firm Search'!$C$7),COUNTIF($A$5:A930,'Firm Search'!$C$7),"")</f>
        <v/>
      </c>
      <c r="R930">
        <f>IF(A930="","",COUNTIF($A$5:$A$1004,"&lt;"&amp;A930)+COUNTIF($A$5:A930,A930))</f>
        <v/>
      </c>
    </row>
    <row r="931">
      <c r="A931" s="64" t="n"/>
      <c r="B931" s="64" t="n"/>
      <c r="C931" s="66" t="n"/>
      <c r="D931" s="66" t="n"/>
      <c r="E931" s="67" t="n"/>
      <c r="F931" s="67" t="n"/>
      <c r="G931" s="67" t="n"/>
      <c r="H931" s="67" t="n"/>
      <c r="I931" s="67" t="n"/>
      <c r="J931" s="67" t="n"/>
      <c r="K931" s="67" t="n"/>
      <c r="L931" s="67" t="n"/>
      <c r="M931" s="64" t="n"/>
      <c r="N931" s="84">
        <f>IF(A931="","",IFERROR(INDEX(Firms!$B$5:$B$1004,MATCH(A931,Firms!$A$5:$A$1004,0)),"Not on Firms tab"))</f>
        <v/>
      </c>
      <c r="O931" s="84">
        <f>IF(A931="","",IF(AND(D931&lt;&gt;"",D931&lt;TODAY()),"Expired",IF(AND(C931&lt;&gt;"",C931&gt;TODAY()),"Not yet effective",IF(C931="","No date",IF(TODAY()&gt;=EDATE(C931,Review_Months),"Review Due","Current")))))</f>
        <v/>
      </c>
      <c r="P931">
        <f>IF(A931="","",A931&amp;"|"&amp;B931)</f>
        <v/>
      </c>
      <c r="Q931">
        <f>IF(AND(A931&lt;&gt;"",A931='Firm Search'!$C$7),COUNTIF($A$5:A931,'Firm Search'!$C$7),"")</f>
        <v/>
      </c>
      <c r="R931">
        <f>IF(A931="","",COUNTIF($A$5:$A$1004,"&lt;"&amp;A931)+COUNTIF($A$5:A931,A931))</f>
        <v/>
      </c>
    </row>
    <row r="932">
      <c r="A932" s="64" t="n"/>
      <c r="B932" s="64" t="n"/>
      <c r="C932" s="66" t="n"/>
      <c r="D932" s="66" t="n"/>
      <c r="E932" s="67" t="n"/>
      <c r="F932" s="67" t="n"/>
      <c r="G932" s="67" t="n"/>
      <c r="H932" s="67" t="n"/>
      <c r="I932" s="67" t="n"/>
      <c r="J932" s="67" t="n"/>
      <c r="K932" s="67" t="n"/>
      <c r="L932" s="67" t="n"/>
      <c r="M932" s="64" t="n"/>
      <c r="N932" s="84">
        <f>IF(A932="","",IFERROR(INDEX(Firms!$B$5:$B$1004,MATCH(A932,Firms!$A$5:$A$1004,0)),"Not on Firms tab"))</f>
        <v/>
      </c>
      <c r="O932" s="84">
        <f>IF(A932="","",IF(AND(D932&lt;&gt;"",D932&lt;TODAY()),"Expired",IF(AND(C932&lt;&gt;"",C932&gt;TODAY()),"Not yet effective",IF(C932="","No date",IF(TODAY()&gt;=EDATE(C932,Review_Months),"Review Due","Current")))))</f>
        <v/>
      </c>
      <c r="P932">
        <f>IF(A932="","",A932&amp;"|"&amp;B932)</f>
        <v/>
      </c>
      <c r="Q932">
        <f>IF(AND(A932&lt;&gt;"",A932='Firm Search'!$C$7),COUNTIF($A$5:A932,'Firm Search'!$C$7),"")</f>
        <v/>
      </c>
      <c r="R932">
        <f>IF(A932="","",COUNTIF($A$5:$A$1004,"&lt;"&amp;A932)+COUNTIF($A$5:A932,A932))</f>
        <v/>
      </c>
    </row>
    <row r="933">
      <c r="A933" s="64" t="n"/>
      <c r="B933" s="64" t="n"/>
      <c r="C933" s="66" t="n"/>
      <c r="D933" s="66" t="n"/>
      <c r="E933" s="67" t="n"/>
      <c r="F933" s="67" t="n"/>
      <c r="G933" s="67" t="n"/>
      <c r="H933" s="67" t="n"/>
      <c r="I933" s="67" t="n"/>
      <c r="J933" s="67" t="n"/>
      <c r="K933" s="67" t="n"/>
      <c r="L933" s="67" t="n"/>
      <c r="M933" s="64" t="n"/>
      <c r="N933" s="84">
        <f>IF(A933="","",IFERROR(INDEX(Firms!$B$5:$B$1004,MATCH(A933,Firms!$A$5:$A$1004,0)),"Not on Firms tab"))</f>
        <v/>
      </c>
      <c r="O933" s="84">
        <f>IF(A933="","",IF(AND(D933&lt;&gt;"",D933&lt;TODAY()),"Expired",IF(AND(C933&lt;&gt;"",C933&gt;TODAY()),"Not yet effective",IF(C933="","No date",IF(TODAY()&gt;=EDATE(C933,Review_Months),"Review Due","Current")))))</f>
        <v/>
      </c>
      <c r="P933">
        <f>IF(A933="","",A933&amp;"|"&amp;B933)</f>
        <v/>
      </c>
      <c r="Q933">
        <f>IF(AND(A933&lt;&gt;"",A933='Firm Search'!$C$7),COUNTIF($A$5:A933,'Firm Search'!$C$7),"")</f>
        <v/>
      </c>
      <c r="R933">
        <f>IF(A933="","",COUNTIF($A$5:$A$1004,"&lt;"&amp;A933)+COUNTIF($A$5:A933,A933))</f>
        <v/>
      </c>
    </row>
    <row r="934">
      <c r="A934" s="64" t="n"/>
      <c r="B934" s="64" t="n"/>
      <c r="C934" s="66" t="n"/>
      <c r="D934" s="66" t="n"/>
      <c r="E934" s="67" t="n"/>
      <c r="F934" s="67" t="n"/>
      <c r="G934" s="67" t="n"/>
      <c r="H934" s="67" t="n"/>
      <c r="I934" s="67" t="n"/>
      <c r="J934" s="67" t="n"/>
      <c r="K934" s="67" t="n"/>
      <c r="L934" s="67" t="n"/>
      <c r="M934" s="64" t="n"/>
      <c r="N934" s="84">
        <f>IF(A934="","",IFERROR(INDEX(Firms!$B$5:$B$1004,MATCH(A934,Firms!$A$5:$A$1004,0)),"Not on Firms tab"))</f>
        <v/>
      </c>
      <c r="O934" s="84">
        <f>IF(A934="","",IF(AND(D934&lt;&gt;"",D934&lt;TODAY()),"Expired",IF(AND(C934&lt;&gt;"",C934&gt;TODAY()),"Not yet effective",IF(C934="","No date",IF(TODAY()&gt;=EDATE(C934,Review_Months),"Review Due","Current")))))</f>
        <v/>
      </c>
      <c r="P934">
        <f>IF(A934="","",A934&amp;"|"&amp;B934)</f>
        <v/>
      </c>
      <c r="Q934">
        <f>IF(AND(A934&lt;&gt;"",A934='Firm Search'!$C$7),COUNTIF($A$5:A934,'Firm Search'!$C$7),"")</f>
        <v/>
      </c>
      <c r="R934">
        <f>IF(A934="","",COUNTIF($A$5:$A$1004,"&lt;"&amp;A934)+COUNTIF($A$5:A934,A934))</f>
        <v/>
      </c>
    </row>
    <row r="935">
      <c r="A935" s="64" t="n"/>
      <c r="B935" s="64" t="n"/>
      <c r="C935" s="66" t="n"/>
      <c r="D935" s="66" t="n"/>
      <c r="E935" s="67" t="n"/>
      <c r="F935" s="67" t="n"/>
      <c r="G935" s="67" t="n"/>
      <c r="H935" s="67" t="n"/>
      <c r="I935" s="67" t="n"/>
      <c r="J935" s="67" t="n"/>
      <c r="K935" s="67" t="n"/>
      <c r="L935" s="67" t="n"/>
      <c r="M935" s="64" t="n"/>
      <c r="N935" s="84">
        <f>IF(A935="","",IFERROR(INDEX(Firms!$B$5:$B$1004,MATCH(A935,Firms!$A$5:$A$1004,0)),"Not on Firms tab"))</f>
        <v/>
      </c>
      <c r="O935" s="84">
        <f>IF(A935="","",IF(AND(D935&lt;&gt;"",D935&lt;TODAY()),"Expired",IF(AND(C935&lt;&gt;"",C935&gt;TODAY()),"Not yet effective",IF(C935="","No date",IF(TODAY()&gt;=EDATE(C935,Review_Months),"Review Due","Current")))))</f>
        <v/>
      </c>
      <c r="P935">
        <f>IF(A935="","",A935&amp;"|"&amp;B935)</f>
        <v/>
      </c>
      <c r="Q935">
        <f>IF(AND(A935&lt;&gt;"",A935='Firm Search'!$C$7),COUNTIF($A$5:A935,'Firm Search'!$C$7),"")</f>
        <v/>
      </c>
      <c r="R935">
        <f>IF(A935="","",COUNTIF($A$5:$A$1004,"&lt;"&amp;A935)+COUNTIF($A$5:A935,A935))</f>
        <v/>
      </c>
    </row>
    <row r="936">
      <c r="A936" s="64" t="n"/>
      <c r="B936" s="64" t="n"/>
      <c r="C936" s="66" t="n"/>
      <c r="D936" s="66" t="n"/>
      <c r="E936" s="67" t="n"/>
      <c r="F936" s="67" t="n"/>
      <c r="G936" s="67" t="n"/>
      <c r="H936" s="67" t="n"/>
      <c r="I936" s="67" t="n"/>
      <c r="J936" s="67" t="n"/>
      <c r="K936" s="67" t="n"/>
      <c r="L936" s="67" t="n"/>
      <c r="M936" s="64" t="n"/>
      <c r="N936" s="84">
        <f>IF(A936="","",IFERROR(INDEX(Firms!$B$5:$B$1004,MATCH(A936,Firms!$A$5:$A$1004,0)),"Not on Firms tab"))</f>
        <v/>
      </c>
      <c r="O936" s="84">
        <f>IF(A936="","",IF(AND(D936&lt;&gt;"",D936&lt;TODAY()),"Expired",IF(AND(C936&lt;&gt;"",C936&gt;TODAY()),"Not yet effective",IF(C936="","No date",IF(TODAY()&gt;=EDATE(C936,Review_Months),"Review Due","Current")))))</f>
        <v/>
      </c>
      <c r="P936">
        <f>IF(A936="","",A936&amp;"|"&amp;B936)</f>
        <v/>
      </c>
      <c r="Q936">
        <f>IF(AND(A936&lt;&gt;"",A936='Firm Search'!$C$7),COUNTIF($A$5:A936,'Firm Search'!$C$7),"")</f>
        <v/>
      </c>
      <c r="R936">
        <f>IF(A936="","",COUNTIF($A$5:$A$1004,"&lt;"&amp;A936)+COUNTIF($A$5:A936,A936))</f>
        <v/>
      </c>
    </row>
    <row r="937">
      <c r="A937" s="64" t="n"/>
      <c r="B937" s="64" t="n"/>
      <c r="C937" s="66" t="n"/>
      <c r="D937" s="66" t="n"/>
      <c r="E937" s="67" t="n"/>
      <c r="F937" s="67" t="n"/>
      <c r="G937" s="67" t="n"/>
      <c r="H937" s="67" t="n"/>
      <c r="I937" s="67" t="n"/>
      <c r="J937" s="67" t="n"/>
      <c r="K937" s="67" t="n"/>
      <c r="L937" s="67" t="n"/>
      <c r="M937" s="64" t="n"/>
      <c r="N937" s="84">
        <f>IF(A937="","",IFERROR(INDEX(Firms!$B$5:$B$1004,MATCH(A937,Firms!$A$5:$A$1004,0)),"Not on Firms tab"))</f>
        <v/>
      </c>
      <c r="O937" s="84">
        <f>IF(A937="","",IF(AND(D937&lt;&gt;"",D937&lt;TODAY()),"Expired",IF(AND(C937&lt;&gt;"",C937&gt;TODAY()),"Not yet effective",IF(C937="","No date",IF(TODAY()&gt;=EDATE(C937,Review_Months),"Review Due","Current")))))</f>
        <v/>
      </c>
      <c r="P937">
        <f>IF(A937="","",A937&amp;"|"&amp;B937)</f>
        <v/>
      </c>
      <c r="Q937">
        <f>IF(AND(A937&lt;&gt;"",A937='Firm Search'!$C$7),COUNTIF($A$5:A937,'Firm Search'!$C$7),"")</f>
        <v/>
      </c>
      <c r="R937">
        <f>IF(A937="","",COUNTIF($A$5:$A$1004,"&lt;"&amp;A937)+COUNTIF($A$5:A937,A937))</f>
        <v/>
      </c>
    </row>
    <row r="938">
      <c r="A938" s="64" t="n"/>
      <c r="B938" s="64" t="n"/>
      <c r="C938" s="66" t="n"/>
      <c r="D938" s="66" t="n"/>
      <c r="E938" s="67" t="n"/>
      <c r="F938" s="67" t="n"/>
      <c r="G938" s="67" t="n"/>
      <c r="H938" s="67" t="n"/>
      <c r="I938" s="67" t="n"/>
      <c r="J938" s="67" t="n"/>
      <c r="K938" s="67" t="n"/>
      <c r="L938" s="67" t="n"/>
      <c r="M938" s="64" t="n"/>
      <c r="N938" s="84">
        <f>IF(A938="","",IFERROR(INDEX(Firms!$B$5:$B$1004,MATCH(A938,Firms!$A$5:$A$1004,0)),"Not on Firms tab"))</f>
        <v/>
      </c>
      <c r="O938" s="84">
        <f>IF(A938="","",IF(AND(D938&lt;&gt;"",D938&lt;TODAY()),"Expired",IF(AND(C938&lt;&gt;"",C938&gt;TODAY()),"Not yet effective",IF(C938="","No date",IF(TODAY()&gt;=EDATE(C938,Review_Months),"Review Due","Current")))))</f>
        <v/>
      </c>
      <c r="P938">
        <f>IF(A938="","",A938&amp;"|"&amp;B938)</f>
        <v/>
      </c>
      <c r="Q938">
        <f>IF(AND(A938&lt;&gt;"",A938='Firm Search'!$C$7),COUNTIF($A$5:A938,'Firm Search'!$C$7),"")</f>
        <v/>
      </c>
      <c r="R938">
        <f>IF(A938="","",COUNTIF($A$5:$A$1004,"&lt;"&amp;A938)+COUNTIF($A$5:A938,A938))</f>
        <v/>
      </c>
    </row>
    <row r="939">
      <c r="A939" s="64" t="n"/>
      <c r="B939" s="64" t="n"/>
      <c r="C939" s="66" t="n"/>
      <c r="D939" s="66" t="n"/>
      <c r="E939" s="67" t="n"/>
      <c r="F939" s="67" t="n"/>
      <c r="G939" s="67" t="n"/>
      <c r="H939" s="67" t="n"/>
      <c r="I939" s="67" t="n"/>
      <c r="J939" s="67" t="n"/>
      <c r="K939" s="67" t="n"/>
      <c r="L939" s="67" t="n"/>
      <c r="M939" s="64" t="n"/>
      <c r="N939" s="84">
        <f>IF(A939="","",IFERROR(INDEX(Firms!$B$5:$B$1004,MATCH(A939,Firms!$A$5:$A$1004,0)),"Not on Firms tab"))</f>
        <v/>
      </c>
      <c r="O939" s="84">
        <f>IF(A939="","",IF(AND(D939&lt;&gt;"",D939&lt;TODAY()),"Expired",IF(AND(C939&lt;&gt;"",C939&gt;TODAY()),"Not yet effective",IF(C939="","No date",IF(TODAY()&gt;=EDATE(C939,Review_Months),"Review Due","Current")))))</f>
        <v/>
      </c>
      <c r="P939">
        <f>IF(A939="","",A939&amp;"|"&amp;B939)</f>
        <v/>
      </c>
      <c r="Q939">
        <f>IF(AND(A939&lt;&gt;"",A939='Firm Search'!$C$7),COUNTIF($A$5:A939,'Firm Search'!$C$7),"")</f>
        <v/>
      </c>
      <c r="R939">
        <f>IF(A939="","",COUNTIF($A$5:$A$1004,"&lt;"&amp;A939)+COUNTIF($A$5:A939,A939))</f>
        <v/>
      </c>
    </row>
    <row r="940">
      <c r="A940" s="64" t="n"/>
      <c r="B940" s="64" t="n"/>
      <c r="C940" s="66" t="n"/>
      <c r="D940" s="66" t="n"/>
      <c r="E940" s="67" t="n"/>
      <c r="F940" s="67" t="n"/>
      <c r="G940" s="67" t="n"/>
      <c r="H940" s="67" t="n"/>
      <c r="I940" s="67" t="n"/>
      <c r="J940" s="67" t="n"/>
      <c r="K940" s="67" t="n"/>
      <c r="L940" s="67" t="n"/>
      <c r="M940" s="64" t="n"/>
      <c r="N940" s="84">
        <f>IF(A940="","",IFERROR(INDEX(Firms!$B$5:$B$1004,MATCH(A940,Firms!$A$5:$A$1004,0)),"Not on Firms tab"))</f>
        <v/>
      </c>
      <c r="O940" s="84">
        <f>IF(A940="","",IF(AND(D940&lt;&gt;"",D940&lt;TODAY()),"Expired",IF(AND(C940&lt;&gt;"",C940&gt;TODAY()),"Not yet effective",IF(C940="","No date",IF(TODAY()&gt;=EDATE(C940,Review_Months),"Review Due","Current")))))</f>
        <v/>
      </c>
      <c r="P940">
        <f>IF(A940="","",A940&amp;"|"&amp;B940)</f>
        <v/>
      </c>
      <c r="Q940">
        <f>IF(AND(A940&lt;&gt;"",A940='Firm Search'!$C$7),COUNTIF($A$5:A940,'Firm Search'!$C$7),"")</f>
        <v/>
      </c>
      <c r="R940">
        <f>IF(A940="","",COUNTIF($A$5:$A$1004,"&lt;"&amp;A940)+COUNTIF($A$5:A940,A940))</f>
        <v/>
      </c>
    </row>
    <row r="941">
      <c r="A941" s="64" t="n"/>
      <c r="B941" s="64" t="n"/>
      <c r="C941" s="66" t="n"/>
      <c r="D941" s="66" t="n"/>
      <c r="E941" s="67" t="n"/>
      <c r="F941" s="67" t="n"/>
      <c r="G941" s="67" t="n"/>
      <c r="H941" s="67" t="n"/>
      <c r="I941" s="67" t="n"/>
      <c r="J941" s="67" t="n"/>
      <c r="K941" s="67" t="n"/>
      <c r="L941" s="67" t="n"/>
      <c r="M941" s="64" t="n"/>
      <c r="N941" s="84">
        <f>IF(A941="","",IFERROR(INDEX(Firms!$B$5:$B$1004,MATCH(A941,Firms!$A$5:$A$1004,0)),"Not on Firms tab"))</f>
        <v/>
      </c>
      <c r="O941" s="84">
        <f>IF(A941="","",IF(AND(D941&lt;&gt;"",D941&lt;TODAY()),"Expired",IF(AND(C941&lt;&gt;"",C941&gt;TODAY()),"Not yet effective",IF(C941="","No date",IF(TODAY()&gt;=EDATE(C941,Review_Months),"Review Due","Current")))))</f>
        <v/>
      </c>
      <c r="P941">
        <f>IF(A941="","",A941&amp;"|"&amp;B941)</f>
        <v/>
      </c>
      <c r="Q941">
        <f>IF(AND(A941&lt;&gt;"",A941='Firm Search'!$C$7),COUNTIF($A$5:A941,'Firm Search'!$C$7),"")</f>
        <v/>
      </c>
      <c r="R941">
        <f>IF(A941="","",COUNTIF($A$5:$A$1004,"&lt;"&amp;A941)+COUNTIF($A$5:A941,A941))</f>
        <v/>
      </c>
    </row>
    <row r="942">
      <c r="A942" s="64" t="n"/>
      <c r="B942" s="64" t="n"/>
      <c r="C942" s="66" t="n"/>
      <c r="D942" s="66" t="n"/>
      <c r="E942" s="67" t="n"/>
      <c r="F942" s="67" t="n"/>
      <c r="G942" s="67" t="n"/>
      <c r="H942" s="67" t="n"/>
      <c r="I942" s="67" t="n"/>
      <c r="J942" s="67" t="n"/>
      <c r="K942" s="67" t="n"/>
      <c r="L942" s="67" t="n"/>
      <c r="M942" s="64" t="n"/>
      <c r="N942" s="84">
        <f>IF(A942="","",IFERROR(INDEX(Firms!$B$5:$B$1004,MATCH(A942,Firms!$A$5:$A$1004,0)),"Not on Firms tab"))</f>
        <v/>
      </c>
      <c r="O942" s="84">
        <f>IF(A942="","",IF(AND(D942&lt;&gt;"",D942&lt;TODAY()),"Expired",IF(AND(C942&lt;&gt;"",C942&gt;TODAY()),"Not yet effective",IF(C942="","No date",IF(TODAY()&gt;=EDATE(C942,Review_Months),"Review Due","Current")))))</f>
        <v/>
      </c>
      <c r="P942">
        <f>IF(A942="","",A942&amp;"|"&amp;B942)</f>
        <v/>
      </c>
      <c r="Q942">
        <f>IF(AND(A942&lt;&gt;"",A942='Firm Search'!$C$7),COUNTIF($A$5:A942,'Firm Search'!$C$7),"")</f>
        <v/>
      </c>
      <c r="R942">
        <f>IF(A942="","",COUNTIF($A$5:$A$1004,"&lt;"&amp;A942)+COUNTIF($A$5:A942,A942))</f>
        <v/>
      </c>
    </row>
    <row r="943">
      <c r="A943" s="64" t="n"/>
      <c r="B943" s="64" t="n"/>
      <c r="C943" s="66" t="n"/>
      <c r="D943" s="66" t="n"/>
      <c r="E943" s="67" t="n"/>
      <c r="F943" s="67" t="n"/>
      <c r="G943" s="67" t="n"/>
      <c r="H943" s="67" t="n"/>
      <c r="I943" s="67" t="n"/>
      <c r="J943" s="67" t="n"/>
      <c r="K943" s="67" t="n"/>
      <c r="L943" s="67" t="n"/>
      <c r="M943" s="64" t="n"/>
      <c r="N943" s="84">
        <f>IF(A943="","",IFERROR(INDEX(Firms!$B$5:$B$1004,MATCH(A943,Firms!$A$5:$A$1004,0)),"Not on Firms tab"))</f>
        <v/>
      </c>
      <c r="O943" s="84">
        <f>IF(A943="","",IF(AND(D943&lt;&gt;"",D943&lt;TODAY()),"Expired",IF(AND(C943&lt;&gt;"",C943&gt;TODAY()),"Not yet effective",IF(C943="","No date",IF(TODAY()&gt;=EDATE(C943,Review_Months),"Review Due","Current")))))</f>
        <v/>
      </c>
      <c r="P943">
        <f>IF(A943="","",A943&amp;"|"&amp;B943)</f>
        <v/>
      </c>
      <c r="Q943">
        <f>IF(AND(A943&lt;&gt;"",A943='Firm Search'!$C$7),COUNTIF($A$5:A943,'Firm Search'!$C$7),"")</f>
        <v/>
      </c>
      <c r="R943">
        <f>IF(A943="","",COUNTIF($A$5:$A$1004,"&lt;"&amp;A943)+COUNTIF($A$5:A943,A943))</f>
        <v/>
      </c>
    </row>
    <row r="944">
      <c r="A944" s="64" t="n"/>
      <c r="B944" s="64" t="n"/>
      <c r="C944" s="66" t="n"/>
      <c r="D944" s="66" t="n"/>
      <c r="E944" s="67" t="n"/>
      <c r="F944" s="67" t="n"/>
      <c r="G944" s="67" t="n"/>
      <c r="H944" s="67" t="n"/>
      <c r="I944" s="67" t="n"/>
      <c r="J944" s="67" t="n"/>
      <c r="K944" s="67" t="n"/>
      <c r="L944" s="67" t="n"/>
      <c r="M944" s="64" t="n"/>
      <c r="N944" s="84">
        <f>IF(A944="","",IFERROR(INDEX(Firms!$B$5:$B$1004,MATCH(A944,Firms!$A$5:$A$1004,0)),"Not on Firms tab"))</f>
        <v/>
      </c>
      <c r="O944" s="84">
        <f>IF(A944="","",IF(AND(D944&lt;&gt;"",D944&lt;TODAY()),"Expired",IF(AND(C944&lt;&gt;"",C944&gt;TODAY()),"Not yet effective",IF(C944="","No date",IF(TODAY()&gt;=EDATE(C944,Review_Months),"Review Due","Current")))))</f>
        <v/>
      </c>
      <c r="P944">
        <f>IF(A944="","",A944&amp;"|"&amp;B944)</f>
        <v/>
      </c>
      <c r="Q944">
        <f>IF(AND(A944&lt;&gt;"",A944='Firm Search'!$C$7),COUNTIF($A$5:A944,'Firm Search'!$C$7),"")</f>
        <v/>
      </c>
      <c r="R944">
        <f>IF(A944="","",COUNTIF($A$5:$A$1004,"&lt;"&amp;A944)+COUNTIF($A$5:A944,A944))</f>
        <v/>
      </c>
    </row>
    <row r="945">
      <c r="A945" s="64" t="n"/>
      <c r="B945" s="64" t="n"/>
      <c r="C945" s="66" t="n"/>
      <c r="D945" s="66" t="n"/>
      <c r="E945" s="67" t="n"/>
      <c r="F945" s="67" t="n"/>
      <c r="G945" s="67" t="n"/>
      <c r="H945" s="67" t="n"/>
      <c r="I945" s="67" t="n"/>
      <c r="J945" s="67" t="n"/>
      <c r="K945" s="67" t="n"/>
      <c r="L945" s="67" t="n"/>
      <c r="M945" s="64" t="n"/>
      <c r="N945" s="84">
        <f>IF(A945="","",IFERROR(INDEX(Firms!$B$5:$B$1004,MATCH(A945,Firms!$A$5:$A$1004,0)),"Not on Firms tab"))</f>
        <v/>
      </c>
      <c r="O945" s="84">
        <f>IF(A945="","",IF(AND(D945&lt;&gt;"",D945&lt;TODAY()),"Expired",IF(AND(C945&lt;&gt;"",C945&gt;TODAY()),"Not yet effective",IF(C945="","No date",IF(TODAY()&gt;=EDATE(C945,Review_Months),"Review Due","Current")))))</f>
        <v/>
      </c>
      <c r="P945">
        <f>IF(A945="","",A945&amp;"|"&amp;B945)</f>
        <v/>
      </c>
      <c r="Q945">
        <f>IF(AND(A945&lt;&gt;"",A945='Firm Search'!$C$7),COUNTIF($A$5:A945,'Firm Search'!$C$7),"")</f>
        <v/>
      </c>
      <c r="R945">
        <f>IF(A945="","",COUNTIF($A$5:$A$1004,"&lt;"&amp;A945)+COUNTIF($A$5:A945,A945))</f>
        <v/>
      </c>
    </row>
    <row r="946">
      <c r="A946" s="64" t="n"/>
      <c r="B946" s="64" t="n"/>
      <c r="C946" s="66" t="n"/>
      <c r="D946" s="66" t="n"/>
      <c r="E946" s="67" t="n"/>
      <c r="F946" s="67" t="n"/>
      <c r="G946" s="67" t="n"/>
      <c r="H946" s="67" t="n"/>
      <c r="I946" s="67" t="n"/>
      <c r="J946" s="67" t="n"/>
      <c r="K946" s="67" t="n"/>
      <c r="L946" s="67" t="n"/>
      <c r="M946" s="64" t="n"/>
      <c r="N946" s="84">
        <f>IF(A946="","",IFERROR(INDEX(Firms!$B$5:$B$1004,MATCH(A946,Firms!$A$5:$A$1004,0)),"Not on Firms tab"))</f>
        <v/>
      </c>
      <c r="O946" s="84">
        <f>IF(A946="","",IF(AND(D946&lt;&gt;"",D946&lt;TODAY()),"Expired",IF(AND(C946&lt;&gt;"",C946&gt;TODAY()),"Not yet effective",IF(C946="","No date",IF(TODAY()&gt;=EDATE(C946,Review_Months),"Review Due","Current")))))</f>
        <v/>
      </c>
      <c r="P946">
        <f>IF(A946="","",A946&amp;"|"&amp;B946)</f>
        <v/>
      </c>
      <c r="Q946">
        <f>IF(AND(A946&lt;&gt;"",A946='Firm Search'!$C$7),COUNTIF($A$5:A946,'Firm Search'!$C$7),"")</f>
        <v/>
      </c>
      <c r="R946">
        <f>IF(A946="","",COUNTIF($A$5:$A$1004,"&lt;"&amp;A946)+COUNTIF($A$5:A946,A946))</f>
        <v/>
      </c>
    </row>
    <row r="947">
      <c r="A947" s="64" t="n"/>
      <c r="B947" s="64" t="n"/>
      <c r="C947" s="66" t="n"/>
      <c r="D947" s="66" t="n"/>
      <c r="E947" s="67" t="n"/>
      <c r="F947" s="67" t="n"/>
      <c r="G947" s="67" t="n"/>
      <c r="H947" s="67" t="n"/>
      <c r="I947" s="67" t="n"/>
      <c r="J947" s="67" t="n"/>
      <c r="K947" s="67" t="n"/>
      <c r="L947" s="67" t="n"/>
      <c r="M947" s="64" t="n"/>
      <c r="N947" s="84">
        <f>IF(A947="","",IFERROR(INDEX(Firms!$B$5:$B$1004,MATCH(A947,Firms!$A$5:$A$1004,0)),"Not on Firms tab"))</f>
        <v/>
      </c>
      <c r="O947" s="84">
        <f>IF(A947="","",IF(AND(D947&lt;&gt;"",D947&lt;TODAY()),"Expired",IF(AND(C947&lt;&gt;"",C947&gt;TODAY()),"Not yet effective",IF(C947="","No date",IF(TODAY()&gt;=EDATE(C947,Review_Months),"Review Due","Current")))))</f>
        <v/>
      </c>
      <c r="P947">
        <f>IF(A947="","",A947&amp;"|"&amp;B947)</f>
        <v/>
      </c>
      <c r="Q947">
        <f>IF(AND(A947&lt;&gt;"",A947='Firm Search'!$C$7),COUNTIF($A$5:A947,'Firm Search'!$C$7),"")</f>
        <v/>
      </c>
      <c r="R947">
        <f>IF(A947="","",COUNTIF($A$5:$A$1004,"&lt;"&amp;A947)+COUNTIF($A$5:A947,A947))</f>
        <v/>
      </c>
    </row>
    <row r="948">
      <c r="A948" s="64" t="n"/>
      <c r="B948" s="64" t="n"/>
      <c r="C948" s="66" t="n"/>
      <c r="D948" s="66" t="n"/>
      <c r="E948" s="67" t="n"/>
      <c r="F948" s="67" t="n"/>
      <c r="G948" s="67" t="n"/>
      <c r="H948" s="67" t="n"/>
      <c r="I948" s="67" t="n"/>
      <c r="J948" s="67" t="n"/>
      <c r="K948" s="67" t="n"/>
      <c r="L948" s="67" t="n"/>
      <c r="M948" s="64" t="n"/>
      <c r="N948" s="84">
        <f>IF(A948="","",IFERROR(INDEX(Firms!$B$5:$B$1004,MATCH(A948,Firms!$A$5:$A$1004,0)),"Not on Firms tab"))</f>
        <v/>
      </c>
      <c r="O948" s="84">
        <f>IF(A948="","",IF(AND(D948&lt;&gt;"",D948&lt;TODAY()),"Expired",IF(AND(C948&lt;&gt;"",C948&gt;TODAY()),"Not yet effective",IF(C948="","No date",IF(TODAY()&gt;=EDATE(C948,Review_Months),"Review Due","Current")))))</f>
        <v/>
      </c>
      <c r="P948">
        <f>IF(A948="","",A948&amp;"|"&amp;B948)</f>
        <v/>
      </c>
      <c r="Q948">
        <f>IF(AND(A948&lt;&gt;"",A948='Firm Search'!$C$7),COUNTIF($A$5:A948,'Firm Search'!$C$7),"")</f>
        <v/>
      </c>
      <c r="R948">
        <f>IF(A948="","",COUNTIF($A$5:$A$1004,"&lt;"&amp;A948)+COUNTIF($A$5:A948,A948))</f>
        <v/>
      </c>
    </row>
    <row r="949">
      <c r="A949" s="64" t="n"/>
      <c r="B949" s="64" t="n"/>
      <c r="C949" s="66" t="n"/>
      <c r="D949" s="66" t="n"/>
      <c r="E949" s="67" t="n"/>
      <c r="F949" s="67" t="n"/>
      <c r="G949" s="67" t="n"/>
      <c r="H949" s="67" t="n"/>
      <c r="I949" s="67" t="n"/>
      <c r="J949" s="67" t="n"/>
      <c r="K949" s="67" t="n"/>
      <c r="L949" s="67" t="n"/>
      <c r="M949" s="64" t="n"/>
      <c r="N949" s="84">
        <f>IF(A949="","",IFERROR(INDEX(Firms!$B$5:$B$1004,MATCH(A949,Firms!$A$5:$A$1004,0)),"Not on Firms tab"))</f>
        <v/>
      </c>
      <c r="O949" s="84">
        <f>IF(A949="","",IF(AND(D949&lt;&gt;"",D949&lt;TODAY()),"Expired",IF(AND(C949&lt;&gt;"",C949&gt;TODAY()),"Not yet effective",IF(C949="","No date",IF(TODAY()&gt;=EDATE(C949,Review_Months),"Review Due","Current")))))</f>
        <v/>
      </c>
      <c r="P949">
        <f>IF(A949="","",A949&amp;"|"&amp;B949)</f>
        <v/>
      </c>
      <c r="Q949">
        <f>IF(AND(A949&lt;&gt;"",A949='Firm Search'!$C$7),COUNTIF($A$5:A949,'Firm Search'!$C$7),"")</f>
        <v/>
      </c>
      <c r="R949">
        <f>IF(A949="","",COUNTIF($A$5:$A$1004,"&lt;"&amp;A949)+COUNTIF($A$5:A949,A949))</f>
        <v/>
      </c>
    </row>
    <row r="950">
      <c r="A950" s="64" t="n"/>
      <c r="B950" s="64" t="n"/>
      <c r="C950" s="66" t="n"/>
      <c r="D950" s="66" t="n"/>
      <c r="E950" s="67" t="n"/>
      <c r="F950" s="67" t="n"/>
      <c r="G950" s="67" t="n"/>
      <c r="H950" s="67" t="n"/>
      <c r="I950" s="67" t="n"/>
      <c r="J950" s="67" t="n"/>
      <c r="K950" s="67" t="n"/>
      <c r="L950" s="67" t="n"/>
      <c r="M950" s="64" t="n"/>
      <c r="N950" s="84">
        <f>IF(A950="","",IFERROR(INDEX(Firms!$B$5:$B$1004,MATCH(A950,Firms!$A$5:$A$1004,0)),"Not on Firms tab"))</f>
        <v/>
      </c>
      <c r="O950" s="84">
        <f>IF(A950="","",IF(AND(D950&lt;&gt;"",D950&lt;TODAY()),"Expired",IF(AND(C950&lt;&gt;"",C950&gt;TODAY()),"Not yet effective",IF(C950="","No date",IF(TODAY()&gt;=EDATE(C950,Review_Months),"Review Due","Current")))))</f>
        <v/>
      </c>
      <c r="P950">
        <f>IF(A950="","",A950&amp;"|"&amp;B950)</f>
        <v/>
      </c>
      <c r="Q950">
        <f>IF(AND(A950&lt;&gt;"",A950='Firm Search'!$C$7),COUNTIF($A$5:A950,'Firm Search'!$C$7),"")</f>
        <v/>
      </c>
      <c r="R950">
        <f>IF(A950="","",COUNTIF($A$5:$A$1004,"&lt;"&amp;A950)+COUNTIF($A$5:A950,A950))</f>
        <v/>
      </c>
    </row>
    <row r="951">
      <c r="A951" s="64" t="n"/>
      <c r="B951" s="64" t="n"/>
      <c r="C951" s="66" t="n"/>
      <c r="D951" s="66" t="n"/>
      <c r="E951" s="67" t="n"/>
      <c r="F951" s="67" t="n"/>
      <c r="G951" s="67" t="n"/>
      <c r="H951" s="67" t="n"/>
      <c r="I951" s="67" t="n"/>
      <c r="J951" s="67" t="n"/>
      <c r="K951" s="67" t="n"/>
      <c r="L951" s="67" t="n"/>
      <c r="M951" s="64" t="n"/>
      <c r="N951" s="84">
        <f>IF(A951="","",IFERROR(INDEX(Firms!$B$5:$B$1004,MATCH(A951,Firms!$A$5:$A$1004,0)),"Not on Firms tab"))</f>
        <v/>
      </c>
      <c r="O951" s="84">
        <f>IF(A951="","",IF(AND(D951&lt;&gt;"",D951&lt;TODAY()),"Expired",IF(AND(C951&lt;&gt;"",C951&gt;TODAY()),"Not yet effective",IF(C951="","No date",IF(TODAY()&gt;=EDATE(C951,Review_Months),"Review Due","Current")))))</f>
        <v/>
      </c>
      <c r="P951">
        <f>IF(A951="","",A951&amp;"|"&amp;B951)</f>
        <v/>
      </c>
      <c r="Q951">
        <f>IF(AND(A951&lt;&gt;"",A951='Firm Search'!$C$7),COUNTIF($A$5:A951,'Firm Search'!$C$7),"")</f>
        <v/>
      </c>
      <c r="R951">
        <f>IF(A951="","",COUNTIF($A$5:$A$1004,"&lt;"&amp;A951)+COUNTIF($A$5:A951,A951))</f>
        <v/>
      </c>
    </row>
    <row r="952">
      <c r="A952" s="64" t="n"/>
      <c r="B952" s="64" t="n"/>
      <c r="C952" s="66" t="n"/>
      <c r="D952" s="66" t="n"/>
      <c r="E952" s="67" t="n"/>
      <c r="F952" s="67" t="n"/>
      <c r="G952" s="67" t="n"/>
      <c r="H952" s="67" t="n"/>
      <c r="I952" s="67" t="n"/>
      <c r="J952" s="67" t="n"/>
      <c r="K952" s="67" t="n"/>
      <c r="L952" s="67" t="n"/>
      <c r="M952" s="64" t="n"/>
      <c r="N952" s="84">
        <f>IF(A952="","",IFERROR(INDEX(Firms!$B$5:$B$1004,MATCH(A952,Firms!$A$5:$A$1004,0)),"Not on Firms tab"))</f>
        <v/>
      </c>
      <c r="O952" s="84">
        <f>IF(A952="","",IF(AND(D952&lt;&gt;"",D952&lt;TODAY()),"Expired",IF(AND(C952&lt;&gt;"",C952&gt;TODAY()),"Not yet effective",IF(C952="","No date",IF(TODAY()&gt;=EDATE(C952,Review_Months),"Review Due","Current")))))</f>
        <v/>
      </c>
      <c r="P952">
        <f>IF(A952="","",A952&amp;"|"&amp;B952)</f>
        <v/>
      </c>
      <c r="Q952">
        <f>IF(AND(A952&lt;&gt;"",A952='Firm Search'!$C$7),COUNTIF($A$5:A952,'Firm Search'!$C$7),"")</f>
        <v/>
      </c>
      <c r="R952">
        <f>IF(A952="","",COUNTIF($A$5:$A$1004,"&lt;"&amp;A952)+COUNTIF($A$5:A952,A952))</f>
        <v/>
      </c>
    </row>
    <row r="953">
      <c r="A953" s="64" t="n"/>
      <c r="B953" s="64" t="n"/>
      <c r="C953" s="66" t="n"/>
      <c r="D953" s="66" t="n"/>
      <c r="E953" s="67" t="n"/>
      <c r="F953" s="67" t="n"/>
      <c r="G953" s="67" t="n"/>
      <c r="H953" s="67" t="n"/>
      <c r="I953" s="67" t="n"/>
      <c r="J953" s="67" t="n"/>
      <c r="K953" s="67" t="n"/>
      <c r="L953" s="67" t="n"/>
      <c r="M953" s="64" t="n"/>
      <c r="N953" s="84">
        <f>IF(A953="","",IFERROR(INDEX(Firms!$B$5:$B$1004,MATCH(A953,Firms!$A$5:$A$1004,0)),"Not on Firms tab"))</f>
        <v/>
      </c>
      <c r="O953" s="84">
        <f>IF(A953="","",IF(AND(D953&lt;&gt;"",D953&lt;TODAY()),"Expired",IF(AND(C953&lt;&gt;"",C953&gt;TODAY()),"Not yet effective",IF(C953="","No date",IF(TODAY()&gt;=EDATE(C953,Review_Months),"Review Due","Current")))))</f>
        <v/>
      </c>
      <c r="P953">
        <f>IF(A953="","",A953&amp;"|"&amp;B953)</f>
        <v/>
      </c>
      <c r="Q953">
        <f>IF(AND(A953&lt;&gt;"",A953='Firm Search'!$C$7),COUNTIF($A$5:A953,'Firm Search'!$C$7),"")</f>
        <v/>
      </c>
      <c r="R953">
        <f>IF(A953="","",COUNTIF($A$5:$A$1004,"&lt;"&amp;A953)+COUNTIF($A$5:A953,A953))</f>
        <v/>
      </c>
    </row>
    <row r="954">
      <c r="A954" s="64" t="n"/>
      <c r="B954" s="64" t="n"/>
      <c r="C954" s="66" t="n"/>
      <c r="D954" s="66" t="n"/>
      <c r="E954" s="67" t="n"/>
      <c r="F954" s="67" t="n"/>
      <c r="G954" s="67" t="n"/>
      <c r="H954" s="67" t="n"/>
      <c r="I954" s="67" t="n"/>
      <c r="J954" s="67" t="n"/>
      <c r="K954" s="67" t="n"/>
      <c r="L954" s="67" t="n"/>
      <c r="M954" s="64" t="n"/>
      <c r="N954" s="84">
        <f>IF(A954="","",IFERROR(INDEX(Firms!$B$5:$B$1004,MATCH(A954,Firms!$A$5:$A$1004,0)),"Not on Firms tab"))</f>
        <v/>
      </c>
      <c r="O954" s="84">
        <f>IF(A954="","",IF(AND(D954&lt;&gt;"",D954&lt;TODAY()),"Expired",IF(AND(C954&lt;&gt;"",C954&gt;TODAY()),"Not yet effective",IF(C954="","No date",IF(TODAY()&gt;=EDATE(C954,Review_Months),"Review Due","Current")))))</f>
        <v/>
      </c>
      <c r="P954">
        <f>IF(A954="","",A954&amp;"|"&amp;B954)</f>
        <v/>
      </c>
      <c r="Q954">
        <f>IF(AND(A954&lt;&gt;"",A954='Firm Search'!$C$7),COUNTIF($A$5:A954,'Firm Search'!$C$7),"")</f>
        <v/>
      </c>
      <c r="R954">
        <f>IF(A954="","",COUNTIF($A$5:$A$1004,"&lt;"&amp;A954)+COUNTIF($A$5:A954,A954))</f>
        <v/>
      </c>
    </row>
    <row r="955">
      <c r="A955" s="64" t="n"/>
      <c r="B955" s="64" t="n"/>
      <c r="C955" s="66" t="n"/>
      <c r="D955" s="66" t="n"/>
      <c r="E955" s="67" t="n"/>
      <c r="F955" s="67" t="n"/>
      <c r="G955" s="67" t="n"/>
      <c r="H955" s="67" t="n"/>
      <c r="I955" s="67" t="n"/>
      <c r="J955" s="67" t="n"/>
      <c r="K955" s="67" t="n"/>
      <c r="L955" s="67" t="n"/>
      <c r="M955" s="64" t="n"/>
      <c r="N955" s="84">
        <f>IF(A955="","",IFERROR(INDEX(Firms!$B$5:$B$1004,MATCH(A955,Firms!$A$5:$A$1004,0)),"Not on Firms tab"))</f>
        <v/>
      </c>
      <c r="O955" s="84">
        <f>IF(A955="","",IF(AND(D955&lt;&gt;"",D955&lt;TODAY()),"Expired",IF(AND(C955&lt;&gt;"",C955&gt;TODAY()),"Not yet effective",IF(C955="","No date",IF(TODAY()&gt;=EDATE(C955,Review_Months),"Review Due","Current")))))</f>
        <v/>
      </c>
      <c r="P955">
        <f>IF(A955="","",A955&amp;"|"&amp;B955)</f>
        <v/>
      </c>
      <c r="Q955">
        <f>IF(AND(A955&lt;&gt;"",A955='Firm Search'!$C$7),COUNTIF($A$5:A955,'Firm Search'!$C$7),"")</f>
        <v/>
      </c>
      <c r="R955">
        <f>IF(A955="","",COUNTIF($A$5:$A$1004,"&lt;"&amp;A955)+COUNTIF($A$5:A955,A955))</f>
        <v/>
      </c>
    </row>
    <row r="956">
      <c r="A956" s="64" t="n"/>
      <c r="B956" s="64" t="n"/>
      <c r="C956" s="66" t="n"/>
      <c r="D956" s="66" t="n"/>
      <c r="E956" s="67" t="n"/>
      <c r="F956" s="67" t="n"/>
      <c r="G956" s="67" t="n"/>
      <c r="H956" s="67" t="n"/>
      <c r="I956" s="67" t="n"/>
      <c r="J956" s="67" t="n"/>
      <c r="K956" s="67" t="n"/>
      <c r="L956" s="67" t="n"/>
      <c r="M956" s="64" t="n"/>
      <c r="N956" s="84">
        <f>IF(A956="","",IFERROR(INDEX(Firms!$B$5:$B$1004,MATCH(A956,Firms!$A$5:$A$1004,0)),"Not on Firms tab"))</f>
        <v/>
      </c>
      <c r="O956" s="84">
        <f>IF(A956="","",IF(AND(D956&lt;&gt;"",D956&lt;TODAY()),"Expired",IF(AND(C956&lt;&gt;"",C956&gt;TODAY()),"Not yet effective",IF(C956="","No date",IF(TODAY()&gt;=EDATE(C956,Review_Months),"Review Due","Current")))))</f>
        <v/>
      </c>
      <c r="P956">
        <f>IF(A956="","",A956&amp;"|"&amp;B956)</f>
        <v/>
      </c>
      <c r="Q956">
        <f>IF(AND(A956&lt;&gt;"",A956='Firm Search'!$C$7),COUNTIF($A$5:A956,'Firm Search'!$C$7),"")</f>
        <v/>
      </c>
      <c r="R956">
        <f>IF(A956="","",COUNTIF($A$5:$A$1004,"&lt;"&amp;A956)+COUNTIF($A$5:A956,A956))</f>
        <v/>
      </c>
    </row>
    <row r="957">
      <c r="A957" s="64" t="n"/>
      <c r="B957" s="64" t="n"/>
      <c r="C957" s="66" t="n"/>
      <c r="D957" s="66" t="n"/>
      <c r="E957" s="67" t="n"/>
      <c r="F957" s="67" t="n"/>
      <c r="G957" s="67" t="n"/>
      <c r="H957" s="67" t="n"/>
      <c r="I957" s="67" t="n"/>
      <c r="J957" s="67" t="n"/>
      <c r="K957" s="67" t="n"/>
      <c r="L957" s="67" t="n"/>
      <c r="M957" s="64" t="n"/>
      <c r="N957" s="84">
        <f>IF(A957="","",IFERROR(INDEX(Firms!$B$5:$B$1004,MATCH(A957,Firms!$A$5:$A$1004,0)),"Not on Firms tab"))</f>
        <v/>
      </c>
      <c r="O957" s="84">
        <f>IF(A957="","",IF(AND(D957&lt;&gt;"",D957&lt;TODAY()),"Expired",IF(AND(C957&lt;&gt;"",C957&gt;TODAY()),"Not yet effective",IF(C957="","No date",IF(TODAY()&gt;=EDATE(C957,Review_Months),"Review Due","Current")))))</f>
        <v/>
      </c>
      <c r="P957">
        <f>IF(A957="","",A957&amp;"|"&amp;B957)</f>
        <v/>
      </c>
      <c r="Q957">
        <f>IF(AND(A957&lt;&gt;"",A957='Firm Search'!$C$7),COUNTIF($A$5:A957,'Firm Search'!$C$7),"")</f>
        <v/>
      </c>
      <c r="R957">
        <f>IF(A957="","",COUNTIF($A$5:$A$1004,"&lt;"&amp;A957)+COUNTIF($A$5:A957,A957))</f>
        <v/>
      </c>
    </row>
    <row r="958">
      <c r="A958" s="64" t="n"/>
      <c r="B958" s="64" t="n"/>
      <c r="C958" s="66" t="n"/>
      <c r="D958" s="66" t="n"/>
      <c r="E958" s="67" t="n"/>
      <c r="F958" s="67" t="n"/>
      <c r="G958" s="67" t="n"/>
      <c r="H958" s="67" t="n"/>
      <c r="I958" s="67" t="n"/>
      <c r="J958" s="67" t="n"/>
      <c r="K958" s="67" t="n"/>
      <c r="L958" s="67" t="n"/>
      <c r="M958" s="64" t="n"/>
      <c r="N958" s="84">
        <f>IF(A958="","",IFERROR(INDEX(Firms!$B$5:$B$1004,MATCH(A958,Firms!$A$5:$A$1004,0)),"Not on Firms tab"))</f>
        <v/>
      </c>
      <c r="O958" s="84">
        <f>IF(A958="","",IF(AND(D958&lt;&gt;"",D958&lt;TODAY()),"Expired",IF(AND(C958&lt;&gt;"",C958&gt;TODAY()),"Not yet effective",IF(C958="","No date",IF(TODAY()&gt;=EDATE(C958,Review_Months),"Review Due","Current")))))</f>
        <v/>
      </c>
      <c r="P958">
        <f>IF(A958="","",A958&amp;"|"&amp;B958)</f>
        <v/>
      </c>
      <c r="Q958">
        <f>IF(AND(A958&lt;&gt;"",A958='Firm Search'!$C$7),COUNTIF($A$5:A958,'Firm Search'!$C$7),"")</f>
        <v/>
      </c>
      <c r="R958">
        <f>IF(A958="","",COUNTIF($A$5:$A$1004,"&lt;"&amp;A958)+COUNTIF($A$5:A958,A958))</f>
        <v/>
      </c>
    </row>
    <row r="959">
      <c r="A959" s="64" t="n"/>
      <c r="B959" s="64" t="n"/>
      <c r="C959" s="66" t="n"/>
      <c r="D959" s="66" t="n"/>
      <c r="E959" s="67" t="n"/>
      <c r="F959" s="67" t="n"/>
      <c r="G959" s="67" t="n"/>
      <c r="H959" s="67" t="n"/>
      <c r="I959" s="67" t="n"/>
      <c r="J959" s="67" t="n"/>
      <c r="K959" s="67" t="n"/>
      <c r="L959" s="67" t="n"/>
      <c r="M959" s="64" t="n"/>
      <c r="N959" s="84">
        <f>IF(A959="","",IFERROR(INDEX(Firms!$B$5:$B$1004,MATCH(A959,Firms!$A$5:$A$1004,0)),"Not on Firms tab"))</f>
        <v/>
      </c>
      <c r="O959" s="84">
        <f>IF(A959="","",IF(AND(D959&lt;&gt;"",D959&lt;TODAY()),"Expired",IF(AND(C959&lt;&gt;"",C959&gt;TODAY()),"Not yet effective",IF(C959="","No date",IF(TODAY()&gt;=EDATE(C959,Review_Months),"Review Due","Current")))))</f>
        <v/>
      </c>
      <c r="P959">
        <f>IF(A959="","",A959&amp;"|"&amp;B959)</f>
        <v/>
      </c>
      <c r="Q959">
        <f>IF(AND(A959&lt;&gt;"",A959='Firm Search'!$C$7),COUNTIF($A$5:A959,'Firm Search'!$C$7),"")</f>
        <v/>
      </c>
      <c r="R959">
        <f>IF(A959="","",COUNTIF($A$5:$A$1004,"&lt;"&amp;A959)+COUNTIF($A$5:A959,A959))</f>
        <v/>
      </c>
    </row>
    <row r="960">
      <c r="A960" s="64" t="n"/>
      <c r="B960" s="64" t="n"/>
      <c r="C960" s="66" t="n"/>
      <c r="D960" s="66" t="n"/>
      <c r="E960" s="67" t="n"/>
      <c r="F960" s="67" t="n"/>
      <c r="G960" s="67" t="n"/>
      <c r="H960" s="67" t="n"/>
      <c r="I960" s="67" t="n"/>
      <c r="J960" s="67" t="n"/>
      <c r="K960" s="67" t="n"/>
      <c r="L960" s="67" t="n"/>
      <c r="M960" s="64" t="n"/>
      <c r="N960" s="84">
        <f>IF(A960="","",IFERROR(INDEX(Firms!$B$5:$B$1004,MATCH(A960,Firms!$A$5:$A$1004,0)),"Not on Firms tab"))</f>
        <v/>
      </c>
      <c r="O960" s="84">
        <f>IF(A960="","",IF(AND(D960&lt;&gt;"",D960&lt;TODAY()),"Expired",IF(AND(C960&lt;&gt;"",C960&gt;TODAY()),"Not yet effective",IF(C960="","No date",IF(TODAY()&gt;=EDATE(C960,Review_Months),"Review Due","Current")))))</f>
        <v/>
      </c>
      <c r="P960">
        <f>IF(A960="","",A960&amp;"|"&amp;B960)</f>
        <v/>
      </c>
      <c r="Q960">
        <f>IF(AND(A960&lt;&gt;"",A960='Firm Search'!$C$7),COUNTIF($A$5:A960,'Firm Search'!$C$7),"")</f>
        <v/>
      </c>
      <c r="R960">
        <f>IF(A960="","",COUNTIF($A$5:$A$1004,"&lt;"&amp;A960)+COUNTIF($A$5:A960,A960))</f>
        <v/>
      </c>
    </row>
    <row r="961">
      <c r="A961" s="64" t="n"/>
      <c r="B961" s="64" t="n"/>
      <c r="C961" s="66" t="n"/>
      <c r="D961" s="66" t="n"/>
      <c r="E961" s="67" t="n"/>
      <c r="F961" s="67" t="n"/>
      <c r="G961" s="67" t="n"/>
      <c r="H961" s="67" t="n"/>
      <c r="I961" s="67" t="n"/>
      <c r="J961" s="67" t="n"/>
      <c r="K961" s="67" t="n"/>
      <c r="L961" s="67" t="n"/>
      <c r="M961" s="64" t="n"/>
      <c r="N961" s="84">
        <f>IF(A961="","",IFERROR(INDEX(Firms!$B$5:$B$1004,MATCH(A961,Firms!$A$5:$A$1004,0)),"Not on Firms tab"))</f>
        <v/>
      </c>
      <c r="O961" s="84">
        <f>IF(A961="","",IF(AND(D961&lt;&gt;"",D961&lt;TODAY()),"Expired",IF(AND(C961&lt;&gt;"",C961&gt;TODAY()),"Not yet effective",IF(C961="","No date",IF(TODAY()&gt;=EDATE(C961,Review_Months),"Review Due","Current")))))</f>
        <v/>
      </c>
      <c r="P961">
        <f>IF(A961="","",A961&amp;"|"&amp;B961)</f>
        <v/>
      </c>
      <c r="Q961">
        <f>IF(AND(A961&lt;&gt;"",A961='Firm Search'!$C$7),COUNTIF($A$5:A961,'Firm Search'!$C$7),"")</f>
        <v/>
      </c>
      <c r="R961">
        <f>IF(A961="","",COUNTIF($A$5:$A$1004,"&lt;"&amp;A961)+COUNTIF($A$5:A961,A961))</f>
        <v/>
      </c>
    </row>
    <row r="962">
      <c r="A962" s="64" t="n"/>
      <c r="B962" s="64" t="n"/>
      <c r="C962" s="66" t="n"/>
      <c r="D962" s="66" t="n"/>
      <c r="E962" s="67" t="n"/>
      <c r="F962" s="67" t="n"/>
      <c r="G962" s="67" t="n"/>
      <c r="H962" s="67" t="n"/>
      <c r="I962" s="67" t="n"/>
      <c r="J962" s="67" t="n"/>
      <c r="K962" s="67" t="n"/>
      <c r="L962" s="67" t="n"/>
      <c r="M962" s="64" t="n"/>
      <c r="N962" s="84">
        <f>IF(A962="","",IFERROR(INDEX(Firms!$B$5:$B$1004,MATCH(A962,Firms!$A$5:$A$1004,0)),"Not on Firms tab"))</f>
        <v/>
      </c>
      <c r="O962" s="84">
        <f>IF(A962="","",IF(AND(D962&lt;&gt;"",D962&lt;TODAY()),"Expired",IF(AND(C962&lt;&gt;"",C962&gt;TODAY()),"Not yet effective",IF(C962="","No date",IF(TODAY()&gt;=EDATE(C962,Review_Months),"Review Due","Current")))))</f>
        <v/>
      </c>
      <c r="P962">
        <f>IF(A962="","",A962&amp;"|"&amp;B962)</f>
        <v/>
      </c>
      <c r="Q962">
        <f>IF(AND(A962&lt;&gt;"",A962='Firm Search'!$C$7),COUNTIF($A$5:A962,'Firm Search'!$C$7),"")</f>
        <v/>
      </c>
      <c r="R962">
        <f>IF(A962="","",COUNTIF($A$5:$A$1004,"&lt;"&amp;A962)+COUNTIF($A$5:A962,A962))</f>
        <v/>
      </c>
    </row>
    <row r="963">
      <c r="A963" s="64" t="n"/>
      <c r="B963" s="64" t="n"/>
      <c r="C963" s="66" t="n"/>
      <c r="D963" s="66" t="n"/>
      <c r="E963" s="67" t="n"/>
      <c r="F963" s="67" t="n"/>
      <c r="G963" s="67" t="n"/>
      <c r="H963" s="67" t="n"/>
      <c r="I963" s="67" t="n"/>
      <c r="J963" s="67" t="n"/>
      <c r="K963" s="67" t="n"/>
      <c r="L963" s="67" t="n"/>
      <c r="M963" s="64" t="n"/>
      <c r="N963" s="84">
        <f>IF(A963="","",IFERROR(INDEX(Firms!$B$5:$B$1004,MATCH(A963,Firms!$A$5:$A$1004,0)),"Not on Firms tab"))</f>
        <v/>
      </c>
      <c r="O963" s="84">
        <f>IF(A963="","",IF(AND(D963&lt;&gt;"",D963&lt;TODAY()),"Expired",IF(AND(C963&lt;&gt;"",C963&gt;TODAY()),"Not yet effective",IF(C963="","No date",IF(TODAY()&gt;=EDATE(C963,Review_Months),"Review Due","Current")))))</f>
        <v/>
      </c>
      <c r="P963">
        <f>IF(A963="","",A963&amp;"|"&amp;B963)</f>
        <v/>
      </c>
      <c r="Q963">
        <f>IF(AND(A963&lt;&gt;"",A963='Firm Search'!$C$7),COUNTIF($A$5:A963,'Firm Search'!$C$7),"")</f>
        <v/>
      </c>
      <c r="R963">
        <f>IF(A963="","",COUNTIF($A$5:$A$1004,"&lt;"&amp;A963)+COUNTIF($A$5:A963,A963))</f>
        <v/>
      </c>
    </row>
    <row r="964">
      <c r="A964" s="64" t="n"/>
      <c r="B964" s="64" t="n"/>
      <c r="C964" s="66" t="n"/>
      <c r="D964" s="66" t="n"/>
      <c r="E964" s="67" t="n"/>
      <c r="F964" s="67" t="n"/>
      <c r="G964" s="67" t="n"/>
      <c r="H964" s="67" t="n"/>
      <c r="I964" s="67" t="n"/>
      <c r="J964" s="67" t="n"/>
      <c r="K964" s="67" t="n"/>
      <c r="L964" s="67" t="n"/>
      <c r="M964" s="64" t="n"/>
      <c r="N964" s="84">
        <f>IF(A964="","",IFERROR(INDEX(Firms!$B$5:$B$1004,MATCH(A964,Firms!$A$5:$A$1004,0)),"Not on Firms tab"))</f>
        <v/>
      </c>
      <c r="O964" s="84">
        <f>IF(A964="","",IF(AND(D964&lt;&gt;"",D964&lt;TODAY()),"Expired",IF(AND(C964&lt;&gt;"",C964&gt;TODAY()),"Not yet effective",IF(C964="","No date",IF(TODAY()&gt;=EDATE(C964,Review_Months),"Review Due","Current")))))</f>
        <v/>
      </c>
      <c r="P964">
        <f>IF(A964="","",A964&amp;"|"&amp;B964)</f>
        <v/>
      </c>
      <c r="Q964">
        <f>IF(AND(A964&lt;&gt;"",A964='Firm Search'!$C$7),COUNTIF($A$5:A964,'Firm Search'!$C$7),"")</f>
        <v/>
      </c>
      <c r="R964">
        <f>IF(A964="","",COUNTIF($A$5:$A$1004,"&lt;"&amp;A964)+COUNTIF($A$5:A964,A964))</f>
        <v/>
      </c>
    </row>
    <row r="965">
      <c r="A965" s="64" t="n"/>
      <c r="B965" s="64" t="n"/>
      <c r="C965" s="66" t="n"/>
      <c r="D965" s="66" t="n"/>
      <c r="E965" s="67" t="n"/>
      <c r="F965" s="67" t="n"/>
      <c r="G965" s="67" t="n"/>
      <c r="H965" s="67" t="n"/>
      <c r="I965" s="67" t="n"/>
      <c r="J965" s="67" t="n"/>
      <c r="K965" s="67" t="n"/>
      <c r="L965" s="67" t="n"/>
      <c r="M965" s="64" t="n"/>
      <c r="N965" s="84">
        <f>IF(A965="","",IFERROR(INDEX(Firms!$B$5:$B$1004,MATCH(A965,Firms!$A$5:$A$1004,0)),"Not on Firms tab"))</f>
        <v/>
      </c>
      <c r="O965" s="84">
        <f>IF(A965="","",IF(AND(D965&lt;&gt;"",D965&lt;TODAY()),"Expired",IF(AND(C965&lt;&gt;"",C965&gt;TODAY()),"Not yet effective",IF(C965="","No date",IF(TODAY()&gt;=EDATE(C965,Review_Months),"Review Due","Current")))))</f>
        <v/>
      </c>
      <c r="P965">
        <f>IF(A965="","",A965&amp;"|"&amp;B965)</f>
        <v/>
      </c>
      <c r="Q965">
        <f>IF(AND(A965&lt;&gt;"",A965='Firm Search'!$C$7),COUNTIF($A$5:A965,'Firm Search'!$C$7),"")</f>
        <v/>
      </c>
      <c r="R965">
        <f>IF(A965="","",COUNTIF($A$5:$A$1004,"&lt;"&amp;A965)+COUNTIF($A$5:A965,A965))</f>
        <v/>
      </c>
    </row>
    <row r="966">
      <c r="A966" s="64" t="n"/>
      <c r="B966" s="64" t="n"/>
      <c r="C966" s="66" t="n"/>
      <c r="D966" s="66" t="n"/>
      <c r="E966" s="67" t="n"/>
      <c r="F966" s="67" t="n"/>
      <c r="G966" s="67" t="n"/>
      <c r="H966" s="67" t="n"/>
      <c r="I966" s="67" t="n"/>
      <c r="J966" s="67" t="n"/>
      <c r="K966" s="67" t="n"/>
      <c r="L966" s="67" t="n"/>
      <c r="M966" s="64" t="n"/>
      <c r="N966" s="84">
        <f>IF(A966="","",IFERROR(INDEX(Firms!$B$5:$B$1004,MATCH(A966,Firms!$A$5:$A$1004,0)),"Not on Firms tab"))</f>
        <v/>
      </c>
      <c r="O966" s="84">
        <f>IF(A966="","",IF(AND(D966&lt;&gt;"",D966&lt;TODAY()),"Expired",IF(AND(C966&lt;&gt;"",C966&gt;TODAY()),"Not yet effective",IF(C966="","No date",IF(TODAY()&gt;=EDATE(C966,Review_Months),"Review Due","Current")))))</f>
        <v/>
      </c>
      <c r="P966">
        <f>IF(A966="","",A966&amp;"|"&amp;B966)</f>
        <v/>
      </c>
      <c r="Q966">
        <f>IF(AND(A966&lt;&gt;"",A966='Firm Search'!$C$7),COUNTIF($A$5:A966,'Firm Search'!$C$7),"")</f>
        <v/>
      </c>
      <c r="R966">
        <f>IF(A966="","",COUNTIF($A$5:$A$1004,"&lt;"&amp;A966)+COUNTIF($A$5:A966,A966))</f>
        <v/>
      </c>
    </row>
    <row r="967">
      <c r="A967" s="64" t="n"/>
      <c r="B967" s="64" t="n"/>
      <c r="C967" s="66" t="n"/>
      <c r="D967" s="66" t="n"/>
      <c r="E967" s="67" t="n"/>
      <c r="F967" s="67" t="n"/>
      <c r="G967" s="67" t="n"/>
      <c r="H967" s="67" t="n"/>
      <c r="I967" s="67" t="n"/>
      <c r="J967" s="67" t="n"/>
      <c r="K967" s="67" t="n"/>
      <c r="L967" s="67" t="n"/>
      <c r="M967" s="64" t="n"/>
      <c r="N967" s="84">
        <f>IF(A967="","",IFERROR(INDEX(Firms!$B$5:$B$1004,MATCH(A967,Firms!$A$5:$A$1004,0)),"Not on Firms tab"))</f>
        <v/>
      </c>
      <c r="O967" s="84">
        <f>IF(A967="","",IF(AND(D967&lt;&gt;"",D967&lt;TODAY()),"Expired",IF(AND(C967&lt;&gt;"",C967&gt;TODAY()),"Not yet effective",IF(C967="","No date",IF(TODAY()&gt;=EDATE(C967,Review_Months),"Review Due","Current")))))</f>
        <v/>
      </c>
      <c r="P967">
        <f>IF(A967="","",A967&amp;"|"&amp;B967)</f>
        <v/>
      </c>
      <c r="Q967">
        <f>IF(AND(A967&lt;&gt;"",A967='Firm Search'!$C$7),COUNTIF($A$5:A967,'Firm Search'!$C$7),"")</f>
        <v/>
      </c>
      <c r="R967">
        <f>IF(A967="","",COUNTIF($A$5:$A$1004,"&lt;"&amp;A967)+COUNTIF($A$5:A967,A967))</f>
        <v/>
      </c>
    </row>
    <row r="968">
      <c r="A968" s="64" t="n"/>
      <c r="B968" s="64" t="n"/>
      <c r="C968" s="66" t="n"/>
      <c r="D968" s="66" t="n"/>
      <c r="E968" s="67" t="n"/>
      <c r="F968" s="67" t="n"/>
      <c r="G968" s="67" t="n"/>
      <c r="H968" s="67" t="n"/>
      <c r="I968" s="67" t="n"/>
      <c r="J968" s="67" t="n"/>
      <c r="K968" s="67" t="n"/>
      <c r="L968" s="67" t="n"/>
      <c r="M968" s="64" t="n"/>
      <c r="N968" s="84">
        <f>IF(A968="","",IFERROR(INDEX(Firms!$B$5:$B$1004,MATCH(A968,Firms!$A$5:$A$1004,0)),"Not on Firms tab"))</f>
        <v/>
      </c>
      <c r="O968" s="84">
        <f>IF(A968="","",IF(AND(D968&lt;&gt;"",D968&lt;TODAY()),"Expired",IF(AND(C968&lt;&gt;"",C968&gt;TODAY()),"Not yet effective",IF(C968="","No date",IF(TODAY()&gt;=EDATE(C968,Review_Months),"Review Due","Current")))))</f>
        <v/>
      </c>
      <c r="P968">
        <f>IF(A968="","",A968&amp;"|"&amp;B968)</f>
        <v/>
      </c>
      <c r="Q968">
        <f>IF(AND(A968&lt;&gt;"",A968='Firm Search'!$C$7),COUNTIF($A$5:A968,'Firm Search'!$C$7),"")</f>
        <v/>
      </c>
      <c r="R968">
        <f>IF(A968="","",COUNTIF($A$5:$A$1004,"&lt;"&amp;A968)+COUNTIF($A$5:A968,A968))</f>
        <v/>
      </c>
    </row>
    <row r="969">
      <c r="A969" s="64" t="n"/>
      <c r="B969" s="64" t="n"/>
      <c r="C969" s="66" t="n"/>
      <c r="D969" s="66" t="n"/>
      <c r="E969" s="67" t="n"/>
      <c r="F969" s="67" t="n"/>
      <c r="G969" s="67" t="n"/>
      <c r="H969" s="67" t="n"/>
      <c r="I969" s="67" t="n"/>
      <c r="J969" s="67" t="n"/>
      <c r="K969" s="67" t="n"/>
      <c r="L969" s="67" t="n"/>
      <c r="M969" s="64" t="n"/>
      <c r="N969" s="84">
        <f>IF(A969="","",IFERROR(INDEX(Firms!$B$5:$B$1004,MATCH(A969,Firms!$A$5:$A$1004,0)),"Not on Firms tab"))</f>
        <v/>
      </c>
      <c r="O969" s="84">
        <f>IF(A969="","",IF(AND(D969&lt;&gt;"",D969&lt;TODAY()),"Expired",IF(AND(C969&lt;&gt;"",C969&gt;TODAY()),"Not yet effective",IF(C969="","No date",IF(TODAY()&gt;=EDATE(C969,Review_Months),"Review Due","Current")))))</f>
        <v/>
      </c>
      <c r="P969">
        <f>IF(A969="","",A969&amp;"|"&amp;B969)</f>
        <v/>
      </c>
      <c r="Q969">
        <f>IF(AND(A969&lt;&gt;"",A969='Firm Search'!$C$7),COUNTIF($A$5:A969,'Firm Search'!$C$7),"")</f>
        <v/>
      </c>
      <c r="R969">
        <f>IF(A969="","",COUNTIF($A$5:$A$1004,"&lt;"&amp;A969)+COUNTIF($A$5:A969,A969))</f>
        <v/>
      </c>
    </row>
    <row r="970">
      <c r="A970" s="64" t="n"/>
      <c r="B970" s="64" t="n"/>
      <c r="C970" s="66" t="n"/>
      <c r="D970" s="66" t="n"/>
      <c r="E970" s="67" t="n"/>
      <c r="F970" s="67" t="n"/>
      <c r="G970" s="67" t="n"/>
      <c r="H970" s="67" t="n"/>
      <c r="I970" s="67" t="n"/>
      <c r="J970" s="67" t="n"/>
      <c r="K970" s="67" t="n"/>
      <c r="L970" s="67" t="n"/>
      <c r="M970" s="64" t="n"/>
      <c r="N970" s="84">
        <f>IF(A970="","",IFERROR(INDEX(Firms!$B$5:$B$1004,MATCH(A970,Firms!$A$5:$A$1004,0)),"Not on Firms tab"))</f>
        <v/>
      </c>
      <c r="O970" s="84">
        <f>IF(A970="","",IF(AND(D970&lt;&gt;"",D970&lt;TODAY()),"Expired",IF(AND(C970&lt;&gt;"",C970&gt;TODAY()),"Not yet effective",IF(C970="","No date",IF(TODAY()&gt;=EDATE(C970,Review_Months),"Review Due","Current")))))</f>
        <v/>
      </c>
      <c r="P970">
        <f>IF(A970="","",A970&amp;"|"&amp;B970)</f>
        <v/>
      </c>
      <c r="Q970">
        <f>IF(AND(A970&lt;&gt;"",A970='Firm Search'!$C$7),COUNTIF($A$5:A970,'Firm Search'!$C$7),"")</f>
        <v/>
      </c>
      <c r="R970">
        <f>IF(A970="","",COUNTIF($A$5:$A$1004,"&lt;"&amp;A970)+COUNTIF($A$5:A970,A970))</f>
        <v/>
      </c>
    </row>
    <row r="971">
      <c r="A971" s="64" t="n"/>
      <c r="B971" s="64" t="n"/>
      <c r="C971" s="66" t="n"/>
      <c r="D971" s="66" t="n"/>
      <c r="E971" s="67" t="n"/>
      <c r="F971" s="67" t="n"/>
      <c r="G971" s="67" t="n"/>
      <c r="H971" s="67" t="n"/>
      <c r="I971" s="67" t="n"/>
      <c r="J971" s="67" t="n"/>
      <c r="K971" s="67" t="n"/>
      <c r="L971" s="67" t="n"/>
      <c r="M971" s="64" t="n"/>
      <c r="N971" s="84">
        <f>IF(A971="","",IFERROR(INDEX(Firms!$B$5:$B$1004,MATCH(A971,Firms!$A$5:$A$1004,0)),"Not on Firms tab"))</f>
        <v/>
      </c>
      <c r="O971" s="84">
        <f>IF(A971="","",IF(AND(D971&lt;&gt;"",D971&lt;TODAY()),"Expired",IF(AND(C971&lt;&gt;"",C971&gt;TODAY()),"Not yet effective",IF(C971="","No date",IF(TODAY()&gt;=EDATE(C971,Review_Months),"Review Due","Current")))))</f>
        <v/>
      </c>
      <c r="P971">
        <f>IF(A971="","",A971&amp;"|"&amp;B971)</f>
        <v/>
      </c>
      <c r="Q971">
        <f>IF(AND(A971&lt;&gt;"",A971='Firm Search'!$C$7),COUNTIF($A$5:A971,'Firm Search'!$C$7),"")</f>
        <v/>
      </c>
      <c r="R971">
        <f>IF(A971="","",COUNTIF($A$5:$A$1004,"&lt;"&amp;A971)+COUNTIF($A$5:A971,A971))</f>
        <v/>
      </c>
    </row>
    <row r="972">
      <c r="A972" s="64" t="n"/>
      <c r="B972" s="64" t="n"/>
      <c r="C972" s="66" t="n"/>
      <c r="D972" s="66" t="n"/>
      <c r="E972" s="67" t="n"/>
      <c r="F972" s="67" t="n"/>
      <c r="G972" s="67" t="n"/>
      <c r="H972" s="67" t="n"/>
      <c r="I972" s="67" t="n"/>
      <c r="J972" s="67" t="n"/>
      <c r="K972" s="67" t="n"/>
      <c r="L972" s="67" t="n"/>
      <c r="M972" s="64" t="n"/>
      <c r="N972" s="84">
        <f>IF(A972="","",IFERROR(INDEX(Firms!$B$5:$B$1004,MATCH(A972,Firms!$A$5:$A$1004,0)),"Not on Firms tab"))</f>
        <v/>
      </c>
      <c r="O972" s="84">
        <f>IF(A972="","",IF(AND(D972&lt;&gt;"",D972&lt;TODAY()),"Expired",IF(AND(C972&lt;&gt;"",C972&gt;TODAY()),"Not yet effective",IF(C972="","No date",IF(TODAY()&gt;=EDATE(C972,Review_Months),"Review Due","Current")))))</f>
        <v/>
      </c>
      <c r="P972">
        <f>IF(A972="","",A972&amp;"|"&amp;B972)</f>
        <v/>
      </c>
      <c r="Q972">
        <f>IF(AND(A972&lt;&gt;"",A972='Firm Search'!$C$7),COUNTIF($A$5:A972,'Firm Search'!$C$7),"")</f>
        <v/>
      </c>
      <c r="R972">
        <f>IF(A972="","",COUNTIF($A$5:$A$1004,"&lt;"&amp;A972)+COUNTIF($A$5:A972,A972))</f>
        <v/>
      </c>
    </row>
    <row r="973">
      <c r="A973" s="64" t="n"/>
      <c r="B973" s="64" t="n"/>
      <c r="C973" s="66" t="n"/>
      <c r="D973" s="66" t="n"/>
      <c r="E973" s="67" t="n"/>
      <c r="F973" s="67" t="n"/>
      <c r="G973" s="67" t="n"/>
      <c r="H973" s="67" t="n"/>
      <c r="I973" s="67" t="n"/>
      <c r="J973" s="67" t="n"/>
      <c r="K973" s="67" t="n"/>
      <c r="L973" s="67" t="n"/>
      <c r="M973" s="64" t="n"/>
      <c r="N973" s="84">
        <f>IF(A973="","",IFERROR(INDEX(Firms!$B$5:$B$1004,MATCH(A973,Firms!$A$5:$A$1004,0)),"Not on Firms tab"))</f>
        <v/>
      </c>
      <c r="O973" s="84">
        <f>IF(A973="","",IF(AND(D973&lt;&gt;"",D973&lt;TODAY()),"Expired",IF(AND(C973&lt;&gt;"",C973&gt;TODAY()),"Not yet effective",IF(C973="","No date",IF(TODAY()&gt;=EDATE(C973,Review_Months),"Review Due","Current")))))</f>
        <v/>
      </c>
      <c r="P973">
        <f>IF(A973="","",A973&amp;"|"&amp;B973)</f>
        <v/>
      </c>
      <c r="Q973">
        <f>IF(AND(A973&lt;&gt;"",A973='Firm Search'!$C$7),COUNTIF($A$5:A973,'Firm Search'!$C$7),"")</f>
        <v/>
      </c>
      <c r="R973">
        <f>IF(A973="","",COUNTIF($A$5:$A$1004,"&lt;"&amp;A973)+COUNTIF($A$5:A973,A973))</f>
        <v/>
      </c>
    </row>
    <row r="974">
      <c r="A974" s="64" t="n"/>
      <c r="B974" s="64" t="n"/>
      <c r="C974" s="66" t="n"/>
      <c r="D974" s="66" t="n"/>
      <c r="E974" s="67" t="n"/>
      <c r="F974" s="67" t="n"/>
      <c r="G974" s="67" t="n"/>
      <c r="H974" s="67" t="n"/>
      <c r="I974" s="67" t="n"/>
      <c r="J974" s="67" t="n"/>
      <c r="K974" s="67" t="n"/>
      <c r="L974" s="67" t="n"/>
      <c r="M974" s="64" t="n"/>
      <c r="N974" s="84">
        <f>IF(A974="","",IFERROR(INDEX(Firms!$B$5:$B$1004,MATCH(A974,Firms!$A$5:$A$1004,0)),"Not on Firms tab"))</f>
        <v/>
      </c>
      <c r="O974" s="84">
        <f>IF(A974="","",IF(AND(D974&lt;&gt;"",D974&lt;TODAY()),"Expired",IF(AND(C974&lt;&gt;"",C974&gt;TODAY()),"Not yet effective",IF(C974="","No date",IF(TODAY()&gt;=EDATE(C974,Review_Months),"Review Due","Current")))))</f>
        <v/>
      </c>
      <c r="P974">
        <f>IF(A974="","",A974&amp;"|"&amp;B974)</f>
        <v/>
      </c>
      <c r="Q974">
        <f>IF(AND(A974&lt;&gt;"",A974='Firm Search'!$C$7),COUNTIF($A$5:A974,'Firm Search'!$C$7),"")</f>
        <v/>
      </c>
      <c r="R974">
        <f>IF(A974="","",COUNTIF($A$5:$A$1004,"&lt;"&amp;A974)+COUNTIF($A$5:A974,A974))</f>
        <v/>
      </c>
    </row>
    <row r="975">
      <c r="A975" s="64" t="n"/>
      <c r="B975" s="64" t="n"/>
      <c r="C975" s="66" t="n"/>
      <c r="D975" s="66" t="n"/>
      <c r="E975" s="67" t="n"/>
      <c r="F975" s="67" t="n"/>
      <c r="G975" s="67" t="n"/>
      <c r="H975" s="67" t="n"/>
      <c r="I975" s="67" t="n"/>
      <c r="J975" s="67" t="n"/>
      <c r="K975" s="67" t="n"/>
      <c r="L975" s="67" t="n"/>
      <c r="M975" s="64" t="n"/>
      <c r="N975" s="84">
        <f>IF(A975="","",IFERROR(INDEX(Firms!$B$5:$B$1004,MATCH(A975,Firms!$A$5:$A$1004,0)),"Not on Firms tab"))</f>
        <v/>
      </c>
      <c r="O975" s="84">
        <f>IF(A975="","",IF(AND(D975&lt;&gt;"",D975&lt;TODAY()),"Expired",IF(AND(C975&lt;&gt;"",C975&gt;TODAY()),"Not yet effective",IF(C975="","No date",IF(TODAY()&gt;=EDATE(C975,Review_Months),"Review Due","Current")))))</f>
        <v/>
      </c>
      <c r="P975">
        <f>IF(A975="","",A975&amp;"|"&amp;B975)</f>
        <v/>
      </c>
      <c r="Q975">
        <f>IF(AND(A975&lt;&gt;"",A975='Firm Search'!$C$7),COUNTIF($A$5:A975,'Firm Search'!$C$7),"")</f>
        <v/>
      </c>
      <c r="R975">
        <f>IF(A975="","",COUNTIF($A$5:$A$1004,"&lt;"&amp;A975)+COUNTIF($A$5:A975,A975))</f>
        <v/>
      </c>
    </row>
    <row r="976">
      <c r="A976" s="64" t="n"/>
      <c r="B976" s="64" t="n"/>
      <c r="C976" s="66" t="n"/>
      <c r="D976" s="66" t="n"/>
      <c r="E976" s="67" t="n"/>
      <c r="F976" s="67" t="n"/>
      <c r="G976" s="67" t="n"/>
      <c r="H976" s="67" t="n"/>
      <c r="I976" s="67" t="n"/>
      <c r="J976" s="67" t="n"/>
      <c r="K976" s="67" t="n"/>
      <c r="L976" s="67" t="n"/>
      <c r="M976" s="64" t="n"/>
      <c r="N976" s="84">
        <f>IF(A976="","",IFERROR(INDEX(Firms!$B$5:$B$1004,MATCH(A976,Firms!$A$5:$A$1004,0)),"Not on Firms tab"))</f>
        <v/>
      </c>
      <c r="O976" s="84">
        <f>IF(A976="","",IF(AND(D976&lt;&gt;"",D976&lt;TODAY()),"Expired",IF(AND(C976&lt;&gt;"",C976&gt;TODAY()),"Not yet effective",IF(C976="","No date",IF(TODAY()&gt;=EDATE(C976,Review_Months),"Review Due","Current")))))</f>
        <v/>
      </c>
      <c r="P976">
        <f>IF(A976="","",A976&amp;"|"&amp;B976)</f>
        <v/>
      </c>
      <c r="Q976">
        <f>IF(AND(A976&lt;&gt;"",A976='Firm Search'!$C$7),COUNTIF($A$5:A976,'Firm Search'!$C$7),"")</f>
        <v/>
      </c>
      <c r="R976">
        <f>IF(A976="","",COUNTIF($A$5:$A$1004,"&lt;"&amp;A976)+COUNTIF($A$5:A976,A976))</f>
        <v/>
      </c>
    </row>
    <row r="977">
      <c r="A977" s="64" t="n"/>
      <c r="B977" s="64" t="n"/>
      <c r="C977" s="66" t="n"/>
      <c r="D977" s="66" t="n"/>
      <c r="E977" s="67" t="n"/>
      <c r="F977" s="67" t="n"/>
      <c r="G977" s="67" t="n"/>
      <c r="H977" s="67" t="n"/>
      <c r="I977" s="67" t="n"/>
      <c r="J977" s="67" t="n"/>
      <c r="K977" s="67" t="n"/>
      <c r="L977" s="67" t="n"/>
      <c r="M977" s="64" t="n"/>
      <c r="N977" s="84">
        <f>IF(A977="","",IFERROR(INDEX(Firms!$B$5:$B$1004,MATCH(A977,Firms!$A$5:$A$1004,0)),"Not on Firms tab"))</f>
        <v/>
      </c>
      <c r="O977" s="84">
        <f>IF(A977="","",IF(AND(D977&lt;&gt;"",D977&lt;TODAY()),"Expired",IF(AND(C977&lt;&gt;"",C977&gt;TODAY()),"Not yet effective",IF(C977="","No date",IF(TODAY()&gt;=EDATE(C977,Review_Months),"Review Due","Current")))))</f>
        <v/>
      </c>
      <c r="P977">
        <f>IF(A977="","",A977&amp;"|"&amp;B977)</f>
        <v/>
      </c>
      <c r="Q977">
        <f>IF(AND(A977&lt;&gt;"",A977='Firm Search'!$C$7),COUNTIF($A$5:A977,'Firm Search'!$C$7),"")</f>
        <v/>
      </c>
      <c r="R977">
        <f>IF(A977="","",COUNTIF($A$5:$A$1004,"&lt;"&amp;A977)+COUNTIF($A$5:A977,A977))</f>
        <v/>
      </c>
    </row>
    <row r="978">
      <c r="A978" s="64" t="n"/>
      <c r="B978" s="64" t="n"/>
      <c r="C978" s="66" t="n"/>
      <c r="D978" s="66" t="n"/>
      <c r="E978" s="67" t="n"/>
      <c r="F978" s="67" t="n"/>
      <c r="G978" s="67" t="n"/>
      <c r="H978" s="67" t="n"/>
      <c r="I978" s="67" t="n"/>
      <c r="J978" s="67" t="n"/>
      <c r="K978" s="67" t="n"/>
      <c r="L978" s="67" t="n"/>
      <c r="M978" s="64" t="n"/>
      <c r="N978" s="84">
        <f>IF(A978="","",IFERROR(INDEX(Firms!$B$5:$B$1004,MATCH(A978,Firms!$A$5:$A$1004,0)),"Not on Firms tab"))</f>
        <v/>
      </c>
      <c r="O978" s="84">
        <f>IF(A978="","",IF(AND(D978&lt;&gt;"",D978&lt;TODAY()),"Expired",IF(AND(C978&lt;&gt;"",C978&gt;TODAY()),"Not yet effective",IF(C978="","No date",IF(TODAY()&gt;=EDATE(C978,Review_Months),"Review Due","Current")))))</f>
        <v/>
      </c>
      <c r="P978">
        <f>IF(A978="","",A978&amp;"|"&amp;B978)</f>
        <v/>
      </c>
      <c r="Q978">
        <f>IF(AND(A978&lt;&gt;"",A978='Firm Search'!$C$7),COUNTIF($A$5:A978,'Firm Search'!$C$7),"")</f>
        <v/>
      </c>
      <c r="R978">
        <f>IF(A978="","",COUNTIF($A$5:$A$1004,"&lt;"&amp;A978)+COUNTIF($A$5:A978,A978))</f>
        <v/>
      </c>
    </row>
    <row r="979">
      <c r="A979" s="64" t="n"/>
      <c r="B979" s="64" t="n"/>
      <c r="C979" s="66" t="n"/>
      <c r="D979" s="66" t="n"/>
      <c r="E979" s="67" t="n"/>
      <c r="F979" s="67" t="n"/>
      <c r="G979" s="67" t="n"/>
      <c r="H979" s="67" t="n"/>
      <c r="I979" s="67" t="n"/>
      <c r="J979" s="67" t="n"/>
      <c r="K979" s="67" t="n"/>
      <c r="L979" s="67" t="n"/>
      <c r="M979" s="64" t="n"/>
      <c r="N979" s="84">
        <f>IF(A979="","",IFERROR(INDEX(Firms!$B$5:$B$1004,MATCH(A979,Firms!$A$5:$A$1004,0)),"Not on Firms tab"))</f>
        <v/>
      </c>
      <c r="O979" s="84">
        <f>IF(A979="","",IF(AND(D979&lt;&gt;"",D979&lt;TODAY()),"Expired",IF(AND(C979&lt;&gt;"",C979&gt;TODAY()),"Not yet effective",IF(C979="","No date",IF(TODAY()&gt;=EDATE(C979,Review_Months),"Review Due","Current")))))</f>
        <v/>
      </c>
      <c r="P979">
        <f>IF(A979="","",A979&amp;"|"&amp;B979)</f>
        <v/>
      </c>
      <c r="Q979">
        <f>IF(AND(A979&lt;&gt;"",A979='Firm Search'!$C$7),COUNTIF($A$5:A979,'Firm Search'!$C$7),"")</f>
        <v/>
      </c>
      <c r="R979">
        <f>IF(A979="","",COUNTIF($A$5:$A$1004,"&lt;"&amp;A979)+COUNTIF($A$5:A979,A979))</f>
        <v/>
      </c>
    </row>
    <row r="980">
      <c r="A980" s="64" t="n"/>
      <c r="B980" s="64" t="n"/>
      <c r="C980" s="66" t="n"/>
      <c r="D980" s="66" t="n"/>
      <c r="E980" s="67" t="n"/>
      <c r="F980" s="67" t="n"/>
      <c r="G980" s="67" t="n"/>
      <c r="H980" s="67" t="n"/>
      <c r="I980" s="67" t="n"/>
      <c r="J980" s="67" t="n"/>
      <c r="K980" s="67" t="n"/>
      <c r="L980" s="67" t="n"/>
      <c r="M980" s="64" t="n"/>
      <c r="N980" s="84">
        <f>IF(A980="","",IFERROR(INDEX(Firms!$B$5:$B$1004,MATCH(A980,Firms!$A$5:$A$1004,0)),"Not on Firms tab"))</f>
        <v/>
      </c>
      <c r="O980" s="84">
        <f>IF(A980="","",IF(AND(D980&lt;&gt;"",D980&lt;TODAY()),"Expired",IF(AND(C980&lt;&gt;"",C980&gt;TODAY()),"Not yet effective",IF(C980="","No date",IF(TODAY()&gt;=EDATE(C980,Review_Months),"Review Due","Current")))))</f>
        <v/>
      </c>
      <c r="P980">
        <f>IF(A980="","",A980&amp;"|"&amp;B980)</f>
        <v/>
      </c>
      <c r="Q980">
        <f>IF(AND(A980&lt;&gt;"",A980='Firm Search'!$C$7),COUNTIF($A$5:A980,'Firm Search'!$C$7),"")</f>
        <v/>
      </c>
      <c r="R980">
        <f>IF(A980="","",COUNTIF($A$5:$A$1004,"&lt;"&amp;A980)+COUNTIF($A$5:A980,A980))</f>
        <v/>
      </c>
    </row>
    <row r="981">
      <c r="A981" s="64" t="n"/>
      <c r="B981" s="64" t="n"/>
      <c r="C981" s="66" t="n"/>
      <c r="D981" s="66" t="n"/>
      <c r="E981" s="67" t="n"/>
      <c r="F981" s="67" t="n"/>
      <c r="G981" s="67" t="n"/>
      <c r="H981" s="67" t="n"/>
      <c r="I981" s="67" t="n"/>
      <c r="J981" s="67" t="n"/>
      <c r="K981" s="67" t="n"/>
      <c r="L981" s="67" t="n"/>
      <c r="M981" s="64" t="n"/>
      <c r="N981" s="84">
        <f>IF(A981="","",IFERROR(INDEX(Firms!$B$5:$B$1004,MATCH(A981,Firms!$A$5:$A$1004,0)),"Not on Firms tab"))</f>
        <v/>
      </c>
      <c r="O981" s="84">
        <f>IF(A981="","",IF(AND(D981&lt;&gt;"",D981&lt;TODAY()),"Expired",IF(AND(C981&lt;&gt;"",C981&gt;TODAY()),"Not yet effective",IF(C981="","No date",IF(TODAY()&gt;=EDATE(C981,Review_Months),"Review Due","Current")))))</f>
        <v/>
      </c>
      <c r="P981">
        <f>IF(A981="","",A981&amp;"|"&amp;B981)</f>
        <v/>
      </c>
      <c r="Q981">
        <f>IF(AND(A981&lt;&gt;"",A981='Firm Search'!$C$7),COUNTIF($A$5:A981,'Firm Search'!$C$7),"")</f>
        <v/>
      </c>
      <c r="R981">
        <f>IF(A981="","",COUNTIF($A$5:$A$1004,"&lt;"&amp;A981)+COUNTIF($A$5:A981,A981))</f>
        <v/>
      </c>
    </row>
    <row r="982">
      <c r="A982" s="64" t="n"/>
      <c r="B982" s="64" t="n"/>
      <c r="C982" s="66" t="n"/>
      <c r="D982" s="66" t="n"/>
      <c r="E982" s="67" t="n"/>
      <c r="F982" s="67" t="n"/>
      <c r="G982" s="67" t="n"/>
      <c r="H982" s="67" t="n"/>
      <c r="I982" s="67" t="n"/>
      <c r="J982" s="67" t="n"/>
      <c r="K982" s="67" t="n"/>
      <c r="L982" s="67" t="n"/>
      <c r="M982" s="64" t="n"/>
      <c r="N982" s="84">
        <f>IF(A982="","",IFERROR(INDEX(Firms!$B$5:$B$1004,MATCH(A982,Firms!$A$5:$A$1004,0)),"Not on Firms tab"))</f>
        <v/>
      </c>
      <c r="O982" s="84">
        <f>IF(A982="","",IF(AND(D982&lt;&gt;"",D982&lt;TODAY()),"Expired",IF(AND(C982&lt;&gt;"",C982&gt;TODAY()),"Not yet effective",IF(C982="","No date",IF(TODAY()&gt;=EDATE(C982,Review_Months),"Review Due","Current")))))</f>
        <v/>
      </c>
      <c r="P982">
        <f>IF(A982="","",A982&amp;"|"&amp;B982)</f>
        <v/>
      </c>
      <c r="Q982">
        <f>IF(AND(A982&lt;&gt;"",A982='Firm Search'!$C$7),COUNTIF($A$5:A982,'Firm Search'!$C$7),"")</f>
        <v/>
      </c>
      <c r="R982">
        <f>IF(A982="","",COUNTIF($A$5:$A$1004,"&lt;"&amp;A982)+COUNTIF($A$5:A982,A982))</f>
        <v/>
      </c>
    </row>
    <row r="983">
      <c r="A983" s="64" t="n"/>
      <c r="B983" s="64" t="n"/>
      <c r="C983" s="66" t="n"/>
      <c r="D983" s="66" t="n"/>
      <c r="E983" s="67" t="n"/>
      <c r="F983" s="67" t="n"/>
      <c r="G983" s="67" t="n"/>
      <c r="H983" s="67" t="n"/>
      <c r="I983" s="67" t="n"/>
      <c r="J983" s="67" t="n"/>
      <c r="K983" s="67" t="n"/>
      <c r="L983" s="67" t="n"/>
      <c r="M983" s="64" t="n"/>
      <c r="N983" s="84">
        <f>IF(A983="","",IFERROR(INDEX(Firms!$B$5:$B$1004,MATCH(A983,Firms!$A$5:$A$1004,0)),"Not on Firms tab"))</f>
        <v/>
      </c>
      <c r="O983" s="84">
        <f>IF(A983="","",IF(AND(D983&lt;&gt;"",D983&lt;TODAY()),"Expired",IF(AND(C983&lt;&gt;"",C983&gt;TODAY()),"Not yet effective",IF(C983="","No date",IF(TODAY()&gt;=EDATE(C983,Review_Months),"Review Due","Current")))))</f>
        <v/>
      </c>
      <c r="P983">
        <f>IF(A983="","",A983&amp;"|"&amp;B983)</f>
        <v/>
      </c>
      <c r="Q983">
        <f>IF(AND(A983&lt;&gt;"",A983='Firm Search'!$C$7),COUNTIF($A$5:A983,'Firm Search'!$C$7),"")</f>
        <v/>
      </c>
      <c r="R983">
        <f>IF(A983="","",COUNTIF($A$5:$A$1004,"&lt;"&amp;A983)+COUNTIF($A$5:A983,A983))</f>
        <v/>
      </c>
    </row>
    <row r="984">
      <c r="A984" s="64" t="n"/>
      <c r="B984" s="64" t="n"/>
      <c r="C984" s="66" t="n"/>
      <c r="D984" s="66" t="n"/>
      <c r="E984" s="67" t="n"/>
      <c r="F984" s="67" t="n"/>
      <c r="G984" s="67" t="n"/>
      <c r="H984" s="67" t="n"/>
      <c r="I984" s="67" t="n"/>
      <c r="J984" s="67" t="n"/>
      <c r="K984" s="67" t="n"/>
      <c r="L984" s="67" t="n"/>
      <c r="M984" s="64" t="n"/>
      <c r="N984" s="84">
        <f>IF(A984="","",IFERROR(INDEX(Firms!$B$5:$B$1004,MATCH(A984,Firms!$A$5:$A$1004,0)),"Not on Firms tab"))</f>
        <v/>
      </c>
      <c r="O984" s="84">
        <f>IF(A984="","",IF(AND(D984&lt;&gt;"",D984&lt;TODAY()),"Expired",IF(AND(C984&lt;&gt;"",C984&gt;TODAY()),"Not yet effective",IF(C984="","No date",IF(TODAY()&gt;=EDATE(C984,Review_Months),"Review Due","Current")))))</f>
        <v/>
      </c>
      <c r="P984">
        <f>IF(A984="","",A984&amp;"|"&amp;B984)</f>
        <v/>
      </c>
      <c r="Q984">
        <f>IF(AND(A984&lt;&gt;"",A984='Firm Search'!$C$7),COUNTIF($A$5:A984,'Firm Search'!$C$7),"")</f>
        <v/>
      </c>
      <c r="R984">
        <f>IF(A984="","",COUNTIF($A$5:$A$1004,"&lt;"&amp;A984)+COUNTIF($A$5:A984,A984))</f>
        <v/>
      </c>
    </row>
    <row r="985">
      <c r="A985" s="64" t="n"/>
      <c r="B985" s="64" t="n"/>
      <c r="C985" s="66" t="n"/>
      <c r="D985" s="66" t="n"/>
      <c r="E985" s="67" t="n"/>
      <c r="F985" s="67" t="n"/>
      <c r="G985" s="67" t="n"/>
      <c r="H985" s="67" t="n"/>
      <c r="I985" s="67" t="n"/>
      <c r="J985" s="67" t="n"/>
      <c r="K985" s="67" t="n"/>
      <c r="L985" s="67" t="n"/>
      <c r="M985" s="64" t="n"/>
      <c r="N985" s="84">
        <f>IF(A985="","",IFERROR(INDEX(Firms!$B$5:$B$1004,MATCH(A985,Firms!$A$5:$A$1004,0)),"Not on Firms tab"))</f>
        <v/>
      </c>
      <c r="O985" s="84">
        <f>IF(A985="","",IF(AND(D985&lt;&gt;"",D985&lt;TODAY()),"Expired",IF(AND(C985&lt;&gt;"",C985&gt;TODAY()),"Not yet effective",IF(C985="","No date",IF(TODAY()&gt;=EDATE(C985,Review_Months),"Review Due","Current")))))</f>
        <v/>
      </c>
      <c r="P985">
        <f>IF(A985="","",A985&amp;"|"&amp;B985)</f>
        <v/>
      </c>
      <c r="Q985">
        <f>IF(AND(A985&lt;&gt;"",A985='Firm Search'!$C$7),COUNTIF($A$5:A985,'Firm Search'!$C$7),"")</f>
        <v/>
      </c>
      <c r="R985">
        <f>IF(A985="","",COUNTIF($A$5:$A$1004,"&lt;"&amp;A985)+COUNTIF($A$5:A985,A985))</f>
        <v/>
      </c>
    </row>
    <row r="986">
      <c r="A986" s="64" t="n"/>
      <c r="B986" s="64" t="n"/>
      <c r="C986" s="66" t="n"/>
      <c r="D986" s="66" t="n"/>
      <c r="E986" s="67" t="n"/>
      <c r="F986" s="67" t="n"/>
      <c r="G986" s="67" t="n"/>
      <c r="H986" s="67" t="n"/>
      <c r="I986" s="67" t="n"/>
      <c r="J986" s="67" t="n"/>
      <c r="K986" s="67" t="n"/>
      <c r="L986" s="67" t="n"/>
      <c r="M986" s="64" t="n"/>
      <c r="N986" s="84">
        <f>IF(A986="","",IFERROR(INDEX(Firms!$B$5:$B$1004,MATCH(A986,Firms!$A$5:$A$1004,0)),"Not on Firms tab"))</f>
        <v/>
      </c>
      <c r="O986" s="84">
        <f>IF(A986="","",IF(AND(D986&lt;&gt;"",D986&lt;TODAY()),"Expired",IF(AND(C986&lt;&gt;"",C986&gt;TODAY()),"Not yet effective",IF(C986="","No date",IF(TODAY()&gt;=EDATE(C986,Review_Months),"Review Due","Current")))))</f>
        <v/>
      </c>
      <c r="P986">
        <f>IF(A986="","",A986&amp;"|"&amp;B986)</f>
        <v/>
      </c>
      <c r="Q986">
        <f>IF(AND(A986&lt;&gt;"",A986='Firm Search'!$C$7),COUNTIF($A$5:A986,'Firm Search'!$C$7),"")</f>
        <v/>
      </c>
      <c r="R986">
        <f>IF(A986="","",COUNTIF($A$5:$A$1004,"&lt;"&amp;A986)+COUNTIF($A$5:A986,A986))</f>
        <v/>
      </c>
    </row>
    <row r="987">
      <c r="A987" s="64" t="n"/>
      <c r="B987" s="64" t="n"/>
      <c r="C987" s="66" t="n"/>
      <c r="D987" s="66" t="n"/>
      <c r="E987" s="67" t="n"/>
      <c r="F987" s="67" t="n"/>
      <c r="G987" s="67" t="n"/>
      <c r="H987" s="67" t="n"/>
      <c r="I987" s="67" t="n"/>
      <c r="J987" s="67" t="n"/>
      <c r="K987" s="67" t="n"/>
      <c r="L987" s="67" t="n"/>
      <c r="M987" s="64" t="n"/>
      <c r="N987" s="84">
        <f>IF(A987="","",IFERROR(INDEX(Firms!$B$5:$B$1004,MATCH(A987,Firms!$A$5:$A$1004,0)),"Not on Firms tab"))</f>
        <v/>
      </c>
      <c r="O987" s="84">
        <f>IF(A987="","",IF(AND(D987&lt;&gt;"",D987&lt;TODAY()),"Expired",IF(AND(C987&lt;&gt;"",C987&gt;TODAY()),"Not yet effective",IF(C987="","No date",IF(TODAY()&gt;=EDATE(C987,Review_Months),"Review Due","Current")))))</f>
        <v/>
      </c>
      <c r="P987">
        <f>IF(A987="","",A987&amp;"|"&amp;B987)</f>
        <v/>
      </c>
      <c r="Q987">
        <f>IF(AND(A987&lt;&gt;"",A987='Firm Search'!$C$7),COUNTIF($A$5:A987,'Firm Search'!$C$7),"")</f>
        <v/>
      </c>
      <c r="R987">
        <f>IF(A987="","",COUNTIF($A$5:$A$1004,"&lt;"&amp;A987)+COUNTIF($A$5:A987,A987))</f>
        <v/>
      </c>
    </row>
    <row r="988">
      <c r="A988" s="64" t="n"/>
      <c r="B988" s="64" t="n"/>
      <c r="C988" s="66" t="n"/>
      <c r="D988" s="66" t="n"/>
      <c r="E988" s="67" t="n"/>
      <c r="F988" s="67" t="n"/>
      <c r="G988" s="67" t="n"/>
      <c r="H988" s="67" t="n"/>
      <c r="I988" s="67" t="n"/>
      <c r="J988" s="67" t="n"/>
      <c r="K988" s="67" t="n"/>
      <c r="L988" s="67" t="n"/>
      <c r="M988" s="64" t="n"/>
      <c r="N988" s="84">
        <f>IF(A988="","",IFERROR(INDEX(Firms!$B$5:$B$1004,MATCH(A988,Firms!$A$5:$A$1004,0)),"Not on Firms tab"))</f>
        <v/>
      </c>
      <c r="O988" s="84">
        <f>IF(A988="","",IF(AND(D988&lt;&gt;"",D988&lt;TODAY()),"Expired",IF(AND(C988&lt;&gt;"",C988&gt;TODAY()),"Not yet effective",IF(C988="","No date",IF(TODAY()&gt;=EDATE(C988,Review_Months),"Review Due","Current")))))</f>
        <v/>
      </c>
      <c r="P988">
        <f>IF(A988="","",A988&amp;"|"&amp;B988)</f>
        <v/>
      </c>
      <c r="Q988">
        <f>IF(AND(A988&lt;&gt;"",A988='Firm Search'!$C$7),COUNTIF($A$5:A988,'Firm Search'!$C$7),"")</f>
        <v/>
      </c>
      <c r="R988">
        <f>IF(A988="","",COUNTIF($A$5:$A$1004,"&lt;"&amp;A988)+COUNTIF($A$5:A988,A988))</f>
        <v/>
      </c>
    </row>
    <row r="989">
      <c r="A989" s="64" t="n"/>
      <c r="B989" s="64" t="n"/>
      <c r="C989" s="66" t="n"/>
      <c r="D989" s="66" t="n"/>
      <c r="E989" s="67" t="n"/>
      <c r="F989" s="67" t="n"/>
      <c r="G989" s="67" t="n"/>
      <c r="H989" s="67" t="n"/>
      <c r="I989" s="67" t="n"/>
      <c r="J989" s="67" t="n"/>
      <c r="K989" s="67" t="n"/>
      <c r="L989" s="67" t="n"/>
      <c r="M989" s="64" t="n"/>
      <c r="N989" s="84">
        <f>IF(A989="","",IFERROR(INDEX(Firms!$B$5:$B$1004,MATCH(A989,Firms!$A$5:$A$1004,0)),"Not on Firms tab"))</f>
        <v/>
      </c>
      <c r="O989" s="84">
        <f>IF(A989="","",IF(AND(D989&lt;&gt;"",D989&lt;TODAY()),"Expired",IF(AND(C989&lt;&gt;"",C989&gt;TODAY()),"Not yet effective",IF(C989="","No date",IF(TODAY()&gt;=EDATE(C989,Review_Months),"Review Due","Current")))))</f>
        <v/>
      </c>
      <c r="P989">
        <f>IF(A989="","",A989&amp;"|"&amp;B989)</f>
        <v/>
      </c>
      <c r="Q989">
        <f>IF(AND(A989&lt;&gt;"",A989='Firm Search'!$C$7),COUNTIF($A$5:A989,'Firm Search'!$C$7),"")</f>
        <v/>
      </c>
      <c r="R989">
        <f>IF(A989="","",COUNTIF($A$5:$A$1004,"&lt;"&amp;A989)+COUNTIF($A$5:A989,A989))</f>
        <v/>
      </c>
    </row>
    <row r="990">
      <c r="A990" s="64" t="n"/>
      <c r="B990" s="64" t="n"/>
      <c r="C990" s="66" t="n"/>
      <c r="D990" s="66" t="n"/>
      <c r="E990" s="67" t="n"/>
      <c r="F990" s="67" t="n"/>
      <c r="G990" s="67" t="n"/>
      <c r="H990" s="67" t="n"/>
      <c r="I990" s="67" t="n"/>
      <c r="J990" s="67" t="n"/>
      <c r="K990" s="67" t="n"/>
      <c r="L990" s="67" t="n"/>
      <c r="M990" s="64" t="n"/>
      <c r="N990" s="84">
        <f>IF(A990="","",IFERROR(INDEX(Firms!$B$5:$B$1004,MATCH(A990,Firms!$A$5:$A$1004,0)),"Not on Firms tab"))</f>
        <v/>
      </c>
      <c r="O990" s="84">
        <f>IF(A990="","",IF(AND(D990&lt;&gt;"",D990&lt;TODAY()),"Expired",IF(AND(C990&lt;&gt;"",C990&gt;TODAY()),"Not yet effective",IF(C990="","No date",IF(TODAY()&gt;=EDATE(C990,Review_Months),"Review Due","Current")))))</f>
        <v/>
      </c>
      <c r="P990">
        <f>IF(A990="","",A990&amp;"|"&amp;B990)</f>
        <v/>
      </c>
      <c r="Q990">
        <f>IF(AND(A990&lt;&gt;"",A990='Firm Search'!$C$7),COUNTIF($A$5:A990,'Firm Search'!$C$7),"")</f>
        <v/>
      </c>
      <c r="R990">
        <f>IF(A990="","",COUNTIF($A$5:$A$1004,"&lt;"&amp;A990)+COUNTIF($A$5:A990,A990))</f>
        <v/>
      </c>
    </row>
    <row r="991">
      <c r="A991" s="64" t="n"/>
      <c r="B991" s="64" t="n"/>
      <c r="C991" s="66" t="n"/>
      <c r="D991" s="66" t="n"/>
      <c r="E991" s="67" t="n"/>
      <c r="F991" s="67" t="n"/>
      <c r="G991" s="67" t="n"/>
      <c r="H991" s="67" t="n"/>
      <c r="I991" s="67" t="n"/>
      <c r="J991" s="67" t="n"/>
      <c r="K991" s="67" t="n"/>
      <c r="L991" s="67" t="n"/>
      <c r="M991" s="64" t="n"/>
      <c r="N991" s="84">
        <f>IF(A991="","",IFERROR(INDEX(Firms!$B$5:$B$1004,MATCH(A991,Firms!$A$5:$A$1004,0)),"Not on Firms tab"))</f>
        <v/>
      </c>
      <c r="O991" s="84">
        <f>IF(A991="","",IF(AND(D991&lt;&gt;"",D991&lt;TODAY()),"Expired",IF(AND(C991&lt;&gt;"",C991&gt;TODAY()),"Not yet effective",IF(C991="","No date",IF(TODAY()&gt;=EDATE(C991,Review_Months),"Review Due","Current")))))</f>
        <v/>
      </c>
      <c r="P991">
        <f>IF(A991="","",A991&amp;"|"&amp;B991)</f>
        <v/>
      </c>
      <c r="Q991">
        <f>IF(AND(A991&lt;&gt;"",A991='Firm Search'!$C$7),COUNTIF($A$5:A991,'Firm Search'!$C$7),"")</f>
        <v/>
      </c>
      <c r="R991">
        <f>IF(A991="","",COUNTIF($A$5:$A$1004,"&lt;"&amp;A991)+COUNTIF($A$5:A991,A991))</f>
        <v/>
      </c>
    </row>
    <row r="992">
      <c r="A992" s="64" t="n"/>
      <c r="B992" s="64" t="n"/>
      <c r="C992" s="66" t="n"/>
      <c r="D992" s="66" t="n"/>
      <c r="E992" s="67" t="n"/>
      <c r="F992" s="67" t="n"/>
      <c r="G992" s="67" t="n"/>
      <c r="H992" s="67" t="n"/>
      <c r="I992" s="67" t="n"/>
      <c r="J992" s="67" t="n"/>
      <c r="K992" s="67" t="n"/>
      <c r="L992" s="67" t="n"/>
      <c r="M992" s="64" t="n"/>
      <c r="N992" s="84">
        <f>IF(A992="","",IFERROR(INDEX(Firms!$B$5:$B$1004,MATCH(A992,Firms!$A$5:$A$1004,0)),"Not on Firms tab"))</f>
        <v/>
      </c>
      <c r="O992" s="84">
        <f>IF(A992="","",IF(AND(D992&lt;&gt;"",D992&lt;TODAY()),"Expired",IF(AND(C992&lt;&gt;"",C992&gt;TODAY()),"Not yet effective",IF(C992="","No date",IF(TODAY()&gt;=EDATE(C992,Review_Months),"Review Due","Current")))))</f>
        <v/>
      </c>
      <c r="P992">
        <f>IF(A992="","",A992&amp;"|"&amp;B992)</f>
        <v/>
      </c>
      <c r="Q992">
        <f>IF(AND(A992&lt;&gt;"",A992='Firm Search'!$C$7),COUNTIF($A$5:A992,'Firm Search'!$C$7),"")</f>
        <v/>
      </c>
      <c r="R992">
        <f>IF(A992="","",COUNTIF($A$5:$A$1004,"&lt;"&amp;A992)+COUNTIF($A$5:A992,A992))</f>
        <v/>
      </c>
    </row>
    <row r="993">
      <c r="A993" s="64" t="n"/>
      <c r="B993" s="64" t="n"/>
      <c r="C993" s="66" t="n"/>
      <c r="D993" s="66" t="n"/>
      <c r="E993" s="67" t="n"/>
      <c r="F993" s="67" t="n"/>
      <c r="G993" s="67" t="n"/>
      <c r="H993" s="67" t="n"/>
      <c r="I993" s="67" t="n"/>
      <c r="J993" s="67" t="n"/>
      <c r="K993" s="67" t="n"/>
      <c r="L993" s="67" t="n"/>
      <c r="M993" s="64" t="n"/>
      <c r="N993" s="84">
        <f>IF(A993="","",IFERROR(INDEX(Firms!$B$5:$B$1004,MATCH(A993,Firms!$A$5:$A$1004,0)),"Not on Firms tab"))</f>
        <v/>
      </c>
      <c r="O993" s="84">
        <f>IF(A993="","",IF(AND(D993&lt;&gt;"",D993&lt;TODAY()),"Expired",IF(AND(C993&lt;&gt;"",C993&gt;TODAY()),"Not yet effective",IF(C993="","No date",IF(TODAY()&gt;=EDATE(C993,Review_Months),"Review Due","Current")))))</f>
        <v/>
      </c>
      <c r="P993">
        <f>IF(A993="","",A993&amp;"|"&amp;B993)</f>
        <v/>
      </c>
      <c r="Q993">
        <f>IF(AND(A993&lt;&gt;"",A993='Firm Search'!$C$7),COUNTIF($A$5:A993,'Firm Search'!$C$7),"")</f>
        <v/>
      </c>
      <c r="R993">
        <f>IF(A993="","",COUNTIF($A$5:$A$1004,"&lt;"&amp;A993)+COUNTIF($A$5:A993,A993))</f>
        <v/>
      </c>
    </row>
    <row r="994">
      <c r="A994" s="64" t="n"/>
      <c r="B994" s="64" t="n"/>
      <c r="C994" s="66" t="n"/>
      <c r="D994" s="66" t="n"/>
      <c r="E994" s="67" t="n"/>
      <c r="F994" s="67" t="n"/>
      <c r="G994" s="67" t="n"/>
      <c r="H994" s="67" t="n"/>
      <c r="I994" s="67" t="n"/>
      <c r="J994" s="67" t="n"/>
      <c r="K994" s="67" t="n"/>
      <c r="L994" s="67" t="n"/>
      <c r="M994" s="64" t="n"/>
      <c r="N994" s="84">
        <f>IF(A994="","",IFERROR(INDEX(Firms!$B$5:$B$1004,MATCH(A994,Firms!$A$5:$A$1004,0)),"Not on Firms tab"))</f>
        <v/>
      </c>
      <c r="O994" s="84">
        <f>IF(A994="","",IF(AND(D994&lt;&gt;"",D994&lt;TODAY()),"Expired",IF(AND(C994&lt;&gt;"",C994&gt;TODAY()),"Not yet effective",IF(C994="","No date",IF(TODAY()&gt;=EDATE(C994,Review_Months),"Review Due","Current")))))</f>
        <v/>
      </c>
      <c r="P994">
        <f>IF(A994="","",A994&amp;"|"&amp;B994)</f>
        <v/>
      </c>
      <c r="Q994">
        <f>IF(AND(A994&lt;&gt;"",A994='Firm Search'!$C$7),COUNTIF($A$5:A994,'Firm Search'!$C$7),"")</f>
        <v/>
      </c>
      <c r="R994">
        <f>IF(A994="","",COUNTIF($A$5:$A$1004,"&lt;"&amp;A994)+COUNTIF($A$5:A994,A994))</f>
        <v/>
      </c>
    </row>
    <row r="995">
      <c r="A995" s="64" t="n"/>
      <c r="B995" s="64" t="n"/>
      <c r="C995" s="66" t="n"/>
      <c r="D995" s="66" t="n"/>
      <c r="E995" s="67" t="n"/>
      <c r="F995" s="67" t="n"/>
      <c r="G995" s="67" t="n"/>
      <c r="H995" s="67" t="n"/>
      <c r="I995" s="67" t="n"/>
      <c r="J995" s="67" t="n"/>
      <c r="K995" s="67" t="n"/>
      <c r="L995" s="67" t="n"/>
      <c r="M995" s="64" t="n"/>
      <c r="N995" s="84">
        <f>IF(A995="","",IFERROR(INDEX(Firms!$B$5:$B$1004,MATCH(A995,Firms!$A$5:$A$1004,0)),"Not on Firms tab"))</f>
        <v/>
      </c>
      <c r="O995" s="84">
        <f>IF(A995="","",IF(AND(D995&lt;&gt;"",D995&lt;TODAY()),"Expired",IF(AND(C995&lt;&gt;"",C995&gt;TODAY()),"Not yet effective",IF(C995="","No date",IF(TODAY()&gt;=EDATE(C995,Review_Months),"Review Due","Current")))))</f>
        <v/>
      </c>
      <c r="P995">
        <f>IF(A995="","",A995&amp;"|"&amp;B995)</f>
        <v/>
      </c>
      <c r="Q995">
        <f>IF(AND(A995&lt;&gt;"",A995='Firm Search'!$C$7),COUNTIF($A$5:A995,'Firm Search'!$C$7),"")</f>
        <v/>
      </c>
      <c r="R995">
        <f>IF(A995="","",COUNTIF($A$5:$A$1004,"&lt;"&amp;A995)+COUNTIF($A$5:A995,A995))</f>
        <v/>
      </c>
    </row>
    <row r="996">
      <c r="A996" s="64" t="n"/>
      <c r="B996" s="64" t="n"/>
      <c r="C996" s="66" t="n"/>
      <c r="D996" s="66" t="n"/>
      <c r="E996" s="67" t="n"/>
      <c r="F996" s="67" t="n"/>
      <c r="G996" s="67" t="n"/>
      <c r="H996" s="67" t="n"/>
      <c r="I996" s="67" t="n"/>
      <c r="J996" s="67" t="n"/>
      <c r="K996" s="67" t="n"/>
      <c r="L996" s="67" t="n"/>
      <c r="M996" s="64" t="n"/>
      <c r="N996" s="84">
        <f>IF(A996="","",IFERROR(INDEX(Firms!$B$5:$B$1004,MATCH(A996,Firms!$A$5:$A$1004,0)),"Not on Firms tab"))</f>
        <v/>
      </c>
      <c r="O996" s="84">
        <f>IF(A996="","",IF(AND(D996&lt;&gt;"",D996&lt;TODAY()),"Expired",IF(AND(C996&lt;&gt;"",C996&gt;TODAY()),"Not yet effective",IF(C996="","No date",IF(TODAY()&gt;=EDATE(C996,Review_Months),"Review Due","Current")))))</f>
        <v/>
      </c>
      <c r="P996">
        <f>IF(A996="","",A996&amp;"|"&amp;B996)</f>
        <v/>
      </c>
      <c r="Q996">
        <f>IF(AND(A996&lt;&gt;"",A996='Firm Search'!$C$7),COUNTIF($A$5:A996,'Firm Search'!$C$7),"")</f>
        <v/>
      </c>
      <c r="R996">
        <f>IF(A996="","",COUNTIF($A$5:$A$1004,"&lt;"&amp;A996)+COUNTIF($A$5:A996,A996))</f>
        <v/>
      </c>
    </row>
    <row r="997">
      <c r="A997" s="64" t="n"/>
      <c r="B997" s="64" t="n"/>
      <c r="C997" s="66" t="n"/>
      <c r="D997" s="66" t="n"/>
      <c r="E997" s="67" t="n"/>
      <c r="F997" s="67" t="n"/>
      <c r="G997" s="67" t="n"/>
      <c r="H997" s="67" t="n"/>
      <c r="I997" s="67" t="n"/>
      <c r="J997" s="67" t="n"/>
      <c r="K997" s="67" t="n"/>
      <c r="L997" s="67" t="n"/>
      <c r="M997" s="64" t="n"/>
      <c r="N997" s="84">
        <f>IF(A997="","",IFERROR(INDEX(Firms!$B$5:$B$1004,MATCH(A997,Firms!$A$5:$A$1004,0)),"Not on Firms tab"))</f>
        <v/>
      </c>
      <c r="O997" s="84">
        <f>IF(A997="","",IF(AND(D997&lt;&gt;"",D997&lt;TODAY()),"Expired",IF(AND(C997&lt;&gt;"",C997&gt;TODAY()),"Not yet effective",IF(C997="","No date",IF(TODAY()&gt;=EDATE(C997,Review_Months),"Review Due","Current")))))</f>
        <v/>
      </c>
      <c r="P997">
        <f>IF(A997="","",A997&amp;"|"&amp;B997)</f>
        <v/>
      </c>
      <c r="Q997">
        <f>IF(AND(A997&lt;&gt;"",A997='Firm Search'!$C$7),COUNTIF($A$5:A997,'Firm Search'!$C$7),"")</f>
        <v/>
      </c>
      <c r="R997">
        <f>IF(A997="","",COUNTIF($A$5:$A$1004,"&lt;"&amp;A997)+COUNTIF($A$5:A997,A997))</f>
        <v/>
      </c>
    </row>
    <row r="998">
      <c r="A998" s="64" t="n"/>
      <c r="B998" s="64" t="n"/>
      <c r="C998" s="66" t="n"/>
      <c r="D998" s="66" t="n"/>
      <c r="E998" s="67" t="n"/>
      <c r="F998" s="67" t="n"/>
      <c r="G998" s="67" t="n"/>
      <c r="H998" s="67" t="n"/>
      <c r="I998" s="67" t="n"/>
      <c r="J998" s="67" t="n"/>
      <c r="K998" s="67" t="n"/>
      <c r="L998" s="67" t="n"/>
      <c r="M998" s="64" t="n"/>
      <c r="N998" s="84">
        <f>IF(A998="","",IFERROR(INDEX(Firms!$B$5:$B$1004,MATCH(A998,Firms!$A$5:$A$1004,0)),"Not on Firms tab"))</f>
        <v/>
      </c>
      <c r="O998" s="84">
        <f>IF(A998="","",IF(AND(D998&lt;&gt;"",D998&lt;TODAY()),"Expired",IF(AND(C998&lt;&gt;"",C998&gt;TODAY()),"Not yet effective",IF(C998="","No date",IF(TODAY()&gt;=EDATE(C998,Review_Months),"Review Due","Current")))))</f>
        <v/>
      </c>
      <c r="P998">
        <f>IF(A998="","",A998&amp;"|"&amp;B998)</f>
        <v/>
      </c>
      <c r="Q998">
        <f>IF(AND(A998&lt;&gt;"",A998='Firm Search'!$C$7),COUNTIF($A$5:A998,'Firm Search'!$C$7),"")</f>
        <v/>
      </c>
      <c r="R998">
        <f>IF(A998="","",COUNTIF($A$5:$A$1004,"&lt;"&amp;A998)+COUNTIF($A$5:A998,A998))</f>
        <v/>
      </c>
    </row>
    <row r="999">
      <c r="A999" s="64" t="n"/>
      <c r="B999" s="64" t="n"/>
      <c r="C999" s="66" t="n"/>
      <c r="D999" s="66" t="n"/>
      <c r="E999" s="67" t="n"/>
      <c r="F999" s="67" t="n"/>
      <c r="G999" s="67" t="n"/>
      <c r="H999" s="67" t="n"/>
      <c r="I999" s="67" t="n"/>
      <c r="J999" s="67" t="n"/>
      <c r="K999" s="67" t="n"/>
      <c r="L999" s="67" t="n"/>
      <c r="M999" s="64" t="n"/>
      <c r="N999" s="84">
        <f>IF(A999="","",IFERROR(INDEX(Firms!$B$5:$B$1004,MATCH(A999,Firms!$A$5:$A$1004,0)),"Not on Firms tab"))</f>
        <v/>
      </c>
      <c r="O999" s="84">
        <f>IF(A999="","",IF(AND(D999&lt;&gt;"",D999&lt;TODAY()),"Expired",IF(AND(C999&lt;&gt;"",C999&gt;TODAY()),"Not yet effective",IF(C999="","No date",IF(TODAY()&gt;=EDATE(C999,Review_Months),"Review Due","Current")))))</f>
        <v/>
      </c>
      <c r="P999">
        <f>IF(A999="","",A999&amp;"|"&amp;B999)</f>
        <v/>
      </c>
      <c r="Q999">
        <f>IF(AND(A999&lt;&gt;"",A999='Firm Search'!$C$7),COUNTIF($A$5:A999,'Firm Search'!$C$7),"")</f>
        <v/>
      </c>
      <c r="R999">
        <f>IF(A999="","",COUNTIF($A$5:$A$1004,"&lt;"&amp;A999)+COUNTIF($A$5:A999,A999))</f>
        <v/>
      </c>
    </row>
    <row r="1000">
      <c r="A1000" s="64" t="n"/>
      <c r="B1000" s="64" t="n"/>
      <c r="C1000" s="66" t="n"/>
      <c r="D1000" s="66" t="n"/>
      <c r="E1000" s="67" t="n"/>
      <c r="F1000" s="67" t="n"/>
      <c r="G1000" s="67" t="n"/>
      <c r="H1000" s="67" t="n"/>
      <c r="I1000" s="67" t="n"/>
      <c r="J1000" s="67" t="n"/>
      <c r="K1000" s="67" t="n"/>
      <c r="L1000" s="67" t="n"/>
      <c r="M1000" s="64" t="n"/>
      <c r="N1000" s="84">
        <f>IF(A1000="","",IFERROR(INDEX(Firms!$B$5:$B$1004,MATCH(A1000,Firms!$A$5:$A$1004,0)),"Not on Firms tab"))</f>
        <v/>
      </c>
      <c r="O1000" s="84">
        <f>IF(A1000="","",IF(AND(D1000&lt;&gt;"",D1000&lt;TODAY()),"Expired",IF(AND(C1000&lt;&gt;"",C1000&gt;TODAY()),"Not yet effective",IF(C1000="","No date",IF(TODAY()&gt;=EDATE(C1000,Review_Months),"Review Due","Current")))))</f>
        <v/>
      </c>
      <c r="P1000">
        <f>IF(A1000="","",A1000&amp;"|"&amp;B1000)</f>
        <v/>
      </c>
      <c r="Q1000">
        <f>IF(AND(A1000&lt;&gt;"",A1000='Firm Search'!$C$7),COUNTIF($A$5:A1000,'Firm Search'!$C$7),"")</f>
        <v/>
      </c>
      <c r="R1000">
        <f>IF(A1000="","",COUNTIF($A$5:$A$1004,"&lt;"&amp;A1000)+COUNTIF($A$5:A1000,A1000))</f>
        <v/>
      </c>
    </row>
    <row r="1001">
      <c r="A1001" s="64" t="n"/>
      <c r="B1001" s="64" t="n"/>
      <c r="C1001" s="66" t="n"/>
      <c r="D1001" s="66" t="n"/>
      <c r="E1001" s="67" t="n"/>
      <c r="F1001" s="67" t="n"/>
      <c r="G1001" s="67" t="n"/>
      <c r="H1001" s="67" t="n"/>
      <c r="I1001" s="67" t="n"/>
      <c r="J1001" s="67" t="n"/>
      <c r="K1001" s="67" t="n"/>
      <c r="L1001" s="67" t="n"/>
      <c r="M1001" s="64" t="n"/>
      <c r="N1001" s="84">
        <f>IF(A1001="","",IFERROR(INDEX(Firms!$B$5:$B$1004,MATCH(A1001,Firms!$A$5:$A$1004,0)),"Not on Firms tab"))</f>
        <v/>
      </c>
      <c r="O1001" s="84">
        <f>IF(A1001="","",IF(AND(D1001&lt;&gt;"",D1001&lt;TODAY()),"Expired",IF(AND(C1001&lt;&gt;"",C1001&gt;TODAY()),"Not yet effective",IF(C1001="","No date",IF(TODAY()&gt;=EDATE(C1001,Review_Months),"Review Due","Current")))))</f>
        <v/>
      </c>
      <c r="P1001">
        <f>IF(A1001="","",A1001&amp;"|"&amp;B1001)</f>
        <v/>
      </c>
      <c r="Q1001">
        <f>IF(AND(A1001&lt;&gt;"",A1001='Firm Search'!$C$7),COUNTIF($A$5:A1001,'Firm Search'!$C$7),"")</f>
        <v/>
      </c>
      <c r="R1001">
        <f>IF(A1001="","",COUNTIF($A$5:$A$1004,"&lt;"&amp;A1001)+COUNTIF($A$5:A1001,A1001))</f>
        <v/>
      </c>
    </row>
    <row r="1002">
      <c r="A1002" s="64" t="n"/>
      <c r="B1002" s="64" t="n"/>
      <c r="C1002" s="66" t="n"/>
      <c r="D1002" s="66" t="n"/>
      <c r="E1002" s="67" t="n"/>
      <c r="F1002" s="67" t="n"/>
      <c r="G1002" s="67" t="n"/>
      <c r="H1002" s="67" t="n"/>
      <c r="I1002" s="67" t="n"/>
      <c r="J1002" s="67" t="n"/>
      <c r="K1002" s="67" t="n"/>
      <c r="L1002" s="67" t="n"/>
      <c r="M1002" s="64" t="n"/>
      <c r="N1002" s="84">
        <f>IF(A1002="","",IFERROR(INDEX(Firms!$B$5:$B$1004,MATCH(A1002,Firms!$A$5:$A$1004,0)),"Not on Firms tab"))</f>
        <v/>
      </c>
      <c r="O1002" s="84">
        <f>IF(A1002="","",IF(AND(D1002&lt;&gt;"",D1002&lt;TODAY()),"Expired",IF(AND(C1002&lt;&gt;"",C1002&gt;TODAY()),"Not yet effective",IF(C1002="","No date",IF(TODAY()&gt;=EDATE(C1002,Review_Months),"Review Due","Current")))))</f>
        <v/>
      </c>
      <c r="P1002">
        <f>IF(A1002="","",A1002&amp;"|"&amp;B1002)</f>
        <v/>
      </c>
      <c r="Q1002">
        <f>IF(AND(A1002&lt;&gt;"",A1002='Firm Search'!$C$7),COUNTIF($A$5:A1002,'Firm Search'!$C$7),"")</f>
        <v/>
      </c>
      <c r="R1002">
        <f>IF(A1002="","",COUNTIF($A$5:$A$1004,"&lt;"&amp;A1002)+COUNTIF($A$5:A1002,A1002))</f>
        <v/>
      </c>
    </row>
    <row r="1003">
      <c r="A1003" s="64" t="n"/>
      <c r="B1003" s="64" t="n"/>
      <c r="C1003" s="66" t="n"/>
      <c r="D1003" s="66" t="n"/>
      <c r="E1003" s="67" t="n"/>
      <c r="F1003" s="67" t="n"/>
      <c r="G1003" s="67" t="n"/>
      <c r="H1003" s="67" t="n"/>
      <c r="I1003" s="67" t="n"/>
      <c r="J1003" s="67" t="n"/>
      <c r="K1003" s="67" t="n"/>
      <c r="L1003" s="67" t="n"/>
      <c r="M1003" s="64" t="n"/>
      <c r="N1003" s="84">
        <f>IF(A1003="","",IFERROR(INDEX(Firms!$B$5:$B$1004,MATCH(A1003,Firms!$A$5:$A$1004,0)),"Not on Firms tab"))</f>
        <v/>
      </c>
      <c r="O1003" s="84">
        <f>IF(A1003="","",IF(AND(D1003&lt;&gt;"",D1003&lt;TODAY()),"Expired",IF(AND(C1003&lt;&gt;"",C1003&gt;TODAY()),"Not yet effective",IF(C1003="","No date",IF(TODAY()&gt;=EDATE(C1003,Review_Months),"Review Due","Current")))))</f>
        <v/>
      </c>
      <c r="P1003">
        <f>IF(A1003="","",A1003&amp;"|"&amp;B1003)</f>
        <v/>
      </c>
      <c r="Q1003">
        <f>IF(AND(A1003&lt;&gt;"",A1003='Firm Search'!$C$7),COUNTIF($A$5:A1003,'Firm Search'!$C$7),"")</f>
        <v/>
      </c>
      <c r="R1003">
        <f>IF(A1003="","",COUNTIF($A$5:$A$1004,"&lt;"&amp;A1003)+COUNTIF($A$5:A1003,A1003))</f>
        <v/>
      </c>
    </row>
    <row r="1004">
      <c r="A1004" s="64" t="n"/>
      <c r="B1004" s="64" t="n"/>
      <c r="C1004" s="66" t="n"/>
      <c r="D1004" s="66" t="n"/>
      <c r="E1004" s="67" t="n"/>
      <c r="F1004" s="67" t="n"/>
      <c r="G1004" s="67" t="n"/>
      <c r="H1004" s="67" t="n"/>
      <c r="I1004" s="67" t="n"/>
      <c r="J1004" s="67" t="n"/>
      <c r="K1004" s="67" t="n"/>
      <c r="L1004" s="67" t="n"/>
      <c r="M1004" s="64" t="n"/>
      <c r="N1004" s="84">
        <f>IF(A1004="","",IFERROR(INDEX(Firms!$B$5:$B$1004,MATCH(A1004,Firms!$A$5:$A$1004,0)),"Not on Firms tab"))</f>
        <v/>
      </c>
      <c r="O1004" s="84">
        <f>IF(A1004="","",IF(AND(D1004&lt;&gt;"",D1004&lt;TODAY()),"Expired",IF(AND(C1004&lt;&gt;"",C1004&gt;TODAY()),"Not yet effective",IF(C1004="","No date",IF(TODAY()&gt;=EDATE(C1004,Review_Months),"Review Due","Current")))))</f>
        <v/>
      </c>
      <c r="P1004">
        <f>IF(A1004="","",A1004&amp;"|"&amp;B1004)</f>
        <v/>
      </c>
      <c r="Q1004">
        <f>IF(AND(A1004&lt;&gt;"",A1004='Firm Search'!$C$7),COUNTIF($A$5:A1004,'Firm Search'!$C$7),"")</f>
        <v/>
      </c>
      <c r="R1004">
        <f>IF(A1004="","",COUNTIF($A$5:$A$1004,"&lt;"&amp;A1004)+COUNTIF($A$5:A1004,A1004))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O1004"/>
  <conditionalFormatting sqref="N5:O1004">
    <cfRule type="cellIs" priority="1" operator="equal" dxfId="1">
      <formula>"Current"</formula>
    </cfRule>
    <cfRule type="cellIs" priority="2" operator="equal" dxfId="1">
      <formula>"Active"</formula>
    </cfRule>
    <cfRule type="cellIs" priority="3" operator="equal" dxfId="4">
      <formula>"Review Due"</formula>
    </cfRule>
    <cfRule type="cellIs" priority="4" operator="equal" dxfId="0">
      <formula>"Expired"</formula>
    </cfRule>
    <cfRule type="cellIs" priority="5" operator="equal" dxfId="0">
      <formula>"Paused"</formula>
    </cfRule>
    <cfRule type="cellIs" priority="6" operator="equal" dxfId="5">
      <formula>"Not yet effective"</formula>
    </cfRule>
    <cfRule type="cellIs" priority="7" operator="equal" dxfId="6">
      <formula>"No date"</formula>
    </cfRule>
    <cfRule type="cellIs" priority="8" operator="equal" dxfId="7">
      <formula>"Not on Firms tab"</formula>
    </cfRule>
  </conditionalFormatting>
  <conditionalFormatting sqref="A5:B1004">
    <cfRule type="expression" priority="9" dxfId="7">
      <formula>AND($A5&lt;&gt;"",$B5&lt;&gt;"",COUNTIFS($A$5:$A$1004,$A5,$B$5:$B$1004,$B5)&gt;1)</formula>
    </cfRule>
  </conditionalFormatting>
  <conditionalFormatting sqref="A5:M1004">
    <cfRule type="expression" priority="10" dxfId="14">
      <formula>AND($A5&lt;&gt;"",MOD(ROW(),2)=0)</formula>
    </cfRule>
  </conditionalFormatting>
  <dataValidations count="4">
    <dataValidation sqref="A5:A1004" showDropDown="0" showInputMessage="0" showErrorMessage="0" allowBlank="1" errorTitle="Firm" error="Pick a firm that exists on the Firms tab (add it there first)." type="list">
      <formula1>=Firm_List</formula1>
    </dataValidation>
    <dataValidation sqref="B5:B1004" showDropDown="0" showInputMessage="0" showErrorMessage="0" allowBlank="1" errorTitle="AFA Type" error="Pick an AFA type. To add a new one, type it on the Lists tab." type="list">
      <formula1>=AFA_Types</formula1>
    </dataValidation>
    <dataValidation sqref="E5:L1004" showDropDown="0" showInputMessage="0" showErrorMessage="0" allowBlank="1" errorTitle="Rate" error="Enter an hourly rate as a number, e.g. 300." type="decimal" operator="greaterThanOrEqual">
      <formula1>0</formula1>
    </dataValidation>
    <dataValidation sqref="C5:D1004" showDropDown="0" showInputMessage="0" showErrorMessage="0" allowBlank="1" errorTitle="Date" error="Enter a date, e.g. 1/1/2026." type="date" operator="greaterThan">
      <formula1>1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D9C2A7"/>
    <outlinePr summaryBelow="1" summaryRight="1"/>
    <pageSetUpPr fitToPage="1"/>
  </sheetPr>
  <dimension ref="A1:Q20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13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34" customWidth="1" min="13" max="13"/>
    <col width="12" customWidth="1" min="14" max="14"/>
    <col width="22" customWidth="1" min="15" max="15"/>
    <col hidden="1" width="5" customWidth="1" min="16" max="16"/>
    <col hidden="1" width="5" customWidth="1" min="17" max="17"/>
  </cols>
  <sheetData>
    <row r="1" ht="34" customHeight="1">
      <c r="A1" s="80" t="inlineStr">
        <is>
          <t>Rate History — Prior Agreed Rates</t>
        </is>
      </c>
    </row>
    <row r="2" ht="22" customHeight="1">
      <c r="A2" s="81" t="inlineStr">
        <is>
          <t>Log superseded rates here before overwriting them. Rate Check uses these rows for dates of service before the current effective date.</t>
        </is>
      </c>
    </row>
    <row r="3">
      <c r="A3" s="22" t="inlineStr">
        <is>
          <t>Rate Schedule = Standard or an AFA type. Both dates are required, and date ranges for the same firm + schedule must not overlap.</t>
        </is>
      </c>
    </row>
    <row r="4" ht="36" customHeight="1">
      <c r="A4" s="85" t="inlineStr">
        <is>
          <t>Firm Name</t>
        </is>
      </c>
      <c r="B4" s="85" t="inlineStr">
        <is>
          <t>Rate Schedule</t>
        </is>
      </c>
      <c r="C4" s="85" t="inlineStr">
        <is>
          <t>Effective From</t>
        </is>
      </c>
      <c r="D4" s="85" t="inlineStr">
        <is>
          <t>Effective To</t>
        </is>
      </c>
      <c r="E4" s="85" t="inlineStr">
        <is>
          <t>Counsel
Rate</t>
        </is>
      </c>
      <c r="F4" s="85" t="inlineStr">
        <is>
          <t>Senior Partner
Rate</t>
        </is>
      </c>
      <c r="G4" s="85" t="inlineStr">
        <is>
          <t>Junior Partner
Rate</t>
        </is>
      </c>
      <c r="H4" s="85" t="inlineStr">
        <is>
          <t>Partner
Rate</t>
        </is>
      </c>
      <c r="I4" s="85" t="inlineStr">
        <is>
          <t>Senior Associate
Rate</t>
        </is>
      </c>
      <c r="J4" s="85" t="inlineStr">
        <is>
          <t>Junior Associate
Rate</t>
        </is>
      </c>
      <c r="K4" s="85" t="inlineStr">
        <is>
          <t>Associate
Rate</t>
        </is>
      </c>
      <c r="L4" s="85" t="inlineStr">
        <is>
          <t>Paralegal
Rate</t>
        </is>
      </c>
      <c r="M4" s="85" t="inlineStr">
        <is>
          <t>Reason / Notes</t>
        </is>
      </c>
      <c r="N4" s="85" t="inlineStr">
        <is>
          <t>Date Logged</t>
        </is>
      </c>
      <c r="O4" s="83" t="inlineStr">
        <is>
          <t>Check
(auto)</t>
        </is>
      </c>
      <c r="P4" s="83" t="inlineStr">
        <is>
          <t>_key</t>
        </is>
      </c>
      <c r="Q4" s="83" t="inlineStr">
        <is>
          <t>_srch</t>
        </is>
      </c>
    </row>
    <row r="5">
      <c r="A5" s="64" t="inlineStr">
        <is>
          <t>Sample: Brookstone Legal Group</t>
        </is>
      </c>
      <c r="B5" s="64" t="inlineStr">
        <is>
          <t>Standard</t>
        </is>
      </c>
      <c r="C5" s="66" t="n">
        <v>45658</v>
      </c>
      <c r="D5" s="66" t="n">
        <v>46022</v>
      </c>
      <c r="E5" s="67" t="n">
        <v>400</v>
      </c>
      <c r="F5" s="67" t="n">
        <v>550</v>
      </c>
      <c r="G5" s="67" t="n">
        <v>375</v>
      </c>
      <c r="H5" s="67" t="n">
        <v>470</v>
      </c>
      <c r="I5" s="67" t="n">
        <v>330</v>
      </c>
      <c r="J5" s="67" t="n">
        <v>245</v>
      </c>
      <c r="K5" s="67" t="n">
        <v>295</v>
      </c>
      <c r="L5" s="67" t="n">
        <v>140</v>
      </c>
      <c r="M5" s="64" t="inlineStr">
        <is>
          <t>2025 rates — superseded by 2026 increase</t>
        </is>
      </c>
      <c r="N5" s="66" t="n">
        <v>46024</v>
      </c>
      <c r="O5" s="84">
        <f>IF(A5="","",IF(OR(C5="",D5=""),"Enter both dates",IF(D5&lt;C5,"To is before From",IF(COUNTIFS($P$5:$P$2004,P5,$C$5:$C$2004,"&lt;="&amp;D5,$D$5:$D$2004,"&gt;="&amp;C5)&gt;1,"Overlaps another row","OK"))))</f>
        <v/>
      </c>
      <c r="P5">
        <f>IF(A5="","",A5&amp;"|"&amp;IF(B5="","Standard",B5))</f>
        <v/>
      </c>
      <c r="Q5">
        <f>IF(AND(A5&lt;&gt;"",A5='Firm Search'!$C$7),COUNTIF($A$5:A5,'Firm Search'!$C$7),"")</f>
        <v/>
      </c>
    </row>
    <row r="6">
      <c r="A6" s="64" t="inlineStr">
        <is>
          <t>Sample: Brookstone Legal Group</t>
        </is>
      </c>
      <c r="B6" s="64" t="inlineStr">
        <is>
          <t>Commercial Trucking</t>
        </is>
      </c>
      <c r="C6" s="66" t="n">
        <v>45658</v>
      </c>
      <c r="D6" s="66" t="n">
        <v>46022</v>
      </c>
      <c r="E6" s="67" t="n">
        <v>355</v>
      </c>
      <c r="F6" s="67" t="n">
        <v>475</v>
      </c>
      <c r="G6" s="67" t="n">
        <v>330</v>
      </c>
      <c r="H6" s="67" t="n">
        <v>420</v>
      </c>
      <c r="I6" s="67" t="n">
        <v>295</v>
      </c>
      <c r="J6" s="67" t="n">
        <v>215</v>
      </c>
      <c r="K6" s="67" t="n">
        <v>260</v>
      </c>
      <c r="L6" s="67" t="n">
        <v>125</v>
      </c>
      <c r="M6" s="64" t="inlineStr">
        <is>
          <t>2025 AFA rates</t>
        </is>
      </c>
      <c r="N6" s="66" t="n">
        <v>46024</v>
      </c>
      <c r="O6" s="84">
        <f>IF(A6="","",IF(OR(C6="",D6=""),"Enter both dates",IF(D6&lt;C6,"To is before From",IF(COUNTIFS($P$5:$P$2004,P6,$C$5:$C$2004,"&lt;="&amp;D6,$D$5:$D$2004,"&gt;="&amp;C6)&gt;1,"Overlaps another row","OK"))))</f>
        <v/>
      </c>
      <c r="P6">
        <f>IF(A6="","",A6&amp;"|"&amp;IF(B6="","Standard",B6))</f>
        <v/>
      </c>
      <c r="Q6">
        <f>IF(AND(A6&lt;&gt;"",A6='Firm Search'!$C$7),COUNTIF($A$5:A6,'Firm Search'!$C$7),"")</f>
        <v/>
      </c>
    </row>
    <row r="7">
      <c r="A7" s="64" t="inlineStr">
        <is>
          <t>Sample: Dunmore Whitfield PC</t>
        </is>
      </c>
      <c r="B7" s="64" t="inlineStr">
        <is>
          <t>Standard</t>
        </is>
      </c>
      <c r="C7" s="66" t="n">
        <v>45748</v>
      </c>
      <c r="D7" s="66" t="n">
        <v>46112</v>
      </c>
      <c r="E7" s="67" t="n">
        <v>525</v>
      </c>
      <c r="F7" s="67" t="n">
        <v>700</v>
      </c>
      <c r="G7" s="67" t="n">
        <v>475</v>
      </c>
      <c r="H7" s="67" t="n">
        <v>600</v>
      </c>
      <c r="I7" s="67" t="n">
        <v>430</v>
      </c>
      <c r="J7" s="67" t="n">
        <v>310</v>
      </c>
      <c r="K7" s="67" t="n">
        <v>375</v>
      </c>
      <c r="L7" s="67" t="n">
        <v>175</v>
      </c>
      <c r="M7" s="64" t="inlineStr">
        <is>
          <t>Prior year rates</t>
        </is>
      </c>
      <c r="N7" s="66" t="n">
        <v>46113</v>
      </c>
      <c r="O7" s="84">
        <f>IF(A7="","",IF(OR(C7="",D7=""),"Enter both dates",IF(D7&lt;C7,"To is before From",IF(COUNTIFS($P$5:$P$2004,P7,$C$5:$C$2004,"&lt;="&amp;D7,$D$5:$D$2004,"&gt;="&amp;C7)&gt;1,"Overlaps another row","OK"))))</f>
        <v/>
      </c>
      <c r="P7">
        <f>IF(A7="","",A7&amp;"|"&amp;IF(B7="","Standard",B7))</f>
        <v/>
      </c>
      <c r="Q7">
        <f>IF(AND(A7&lt;&gt;"",A7='Firm Search'!$C$7),COUNTIF($A$5:A7,'Firm Search'!$C$7),"")</f>
        <v/>
      </c>
    </row>
    <row r="8">
      <c r="A8" s="64" t="n"/>
      <c r="B8" s="64" t="n"/>
      <c r="C8" s="66" t="n"/>
      <c r="D8" s="66" t="n"/>
      <c r="E8" s="67" t="n"/>
      <c r="F8" s="67" t="n"/>
      <c r="G8" s="67" t="n"/>
      <c r="H8" s="67" t="n"/>
      <c r="I8" s="67" t="n"/>
      <c r="J8" s="67" t="n"/>
      <c r="K8" s="67" t="n"/>
      <c r="L8" s="67" t="n"/>
      <c r="M8" s="64" t="n"/>
      <c r="N8" s="66" t="n"/>
      <c r="O8" s="84">
        <f>IF(A8="","",IF(OR(C8="",D8=""),"Enter both dates",IF(D8&lt;C8,"To is before From",IF(COUNTIFS($P$5:$P$2004,P8,$C$5:$C$2004,"&lt;="&amp;D8,$D$5:$D$2004,"&gt;="&amp;C8)&gt;1,"Overlaps another row","OK"))))</f>
        <v/>
      </c>
      <c r="P8">
        <f>IF(A8="","",A8&amp;"|"&amp;IF(B8="","Standard",B8))</f>
        <v/>
      </c>
      <c r="Q8">
        <f>IF(AND(A8&lt;&gt;"",A8='Firm Search'!$C$7),COUNTIF($A$5:A8,'Firm Search'!$C$7),"")</f>
        <v/>
      </c>
    </row>
    <row r="9">
      <c r="A9" s="64" t="n"/>
      <c r="B9" s="64" t="n"/>
      <c r="C9" s="66" t="n"/>
      <c r="D9" s="66" t="n"/>
      <c r="E9" s="67" t="n"/>
      <c r="F9" s="67" t="n"/>
      <c r="G9" s="67" t="n"/>
      <c r="H9" s="67" t="n"/>
      <c r="I9" s="67" t="n"/>
      <c r="J9" s="67" t="n"/>
      <c r="K9" s="67" t="n"/>
      <c r="L9" s="67" t="n"/>
      <c r="M9" s="64" t="n"/>
      <c r="N9" s="66" t="n"/>
      <c r="O9" s="84">
        <f>IF(A9="","",IF(OR(C9="",D9=""),"Enter both dates",IF(D9&lt;C9,"To is before From",IF(COUNTIFS($P$5:$P$2004,P9,$C$5:$C$2004,"&lt;="&amp;D9,$D$5:$D$2004,"&gt;="&amp;C9)&gt;1,"Overlaps another row","OK"))))</f>
        <v/>
      </c>
      <c r="P9">
        <f>IF(A9="","",A9&amp;"|"&amp;IF(B9="","Standard",B9))</f>
        <v/>
      </c>
      <c r="Q9">
        <f>IF(AND(A9&lt;&gt;"",A9='Firm Search'!$C$7),COUNTIF($A$5:A9,'Firm Search'!$C$7),"")</f>
        <v/>
      </c>
    </row>
    <row r="10">
      <c r="A10" s="64" t="n"/>
      <c r="B10" s="64" t="n"/>
      <c r="C10" s="66" t="n"/>
      <c r="D10" s="66" t="n"/>
      <c r="E10" s="67" t="n"/>
      <c r="F10" s="67" t="n"/>
      <c r="G10" s="67" t="n"/>
      <c r="H10" s="67" t="n"/>
      <c r="I10" s="67" t="n"/>
      <c r="J10" s="67" t="n"/>
      <c r="K10" s="67" t="n"/>
      <c r="L10" s="67" t="n"/>
      <c r="M10" s="64" t="n"/>
      <c r="N10" s="66" t="n"/>
      <c r="O10" s="84">
        <f>IF(A10="","",IF(OR(C10="",D10=""),"Enter both dates",IF(D10&lt;C10,"To is before From",IF(COUNTIFS($P$5:$P$2004,P10,$C$5:$C$2004,"&lt;="&amp;D10,$D$5:$D$2004,"&gt;="&amp;C10)&gt;1,"Overlaps another row","OK"))))</f>
        <v/>
      </c>
      <c r="P10">
        <f>IF(A10="","",A10&amp;"|"&amp;IF(B10="","Standard",B10))</f>
        <v/>
      </c>
      <c r="Q10">
        <f>IF(AND(A10&lt;&gt;"",A10='Firm Search'!$C$7),COUNTIF($A$5:A10,'Firm Search'!$C$7),"")</f>
        <v/>
      </c>
    </row>
    <row r="11">
      <c r="A11" s="64" t="n"/>
      <c r="B11" s="64" t="n"/>
      <c r="C11" s="66" t="n"/>
      <c r="D11" s="66" t="n"/>
      <c r="E11" s="67" t="n"/>
      <c r="F11" s="67" t="n"/>
      <c r="G11" s="67" t="n"/>
      <c r="H11" s="67" t="n"/>
      <c r="I11" s="67" t="n"/>
      <c r="J11" s="67" t="n"/>
      <c r="K11" s="67" t="n"/>
      <c r="L11" s="67" t="n"/>
      <c r="M11" s="64" t="n"/>
      <c r="N11" s="66" t="n"/>
      <c r="O11" s="84">
        <f>IF(A11="","",IF(OR(C11="",D11=""),"Enter both dates",IF(D11&lt;C11,"To is before From",IF(COUNTIFS($P$5:$P$2004,P11,$C$5:$C$2004,"&lt;="&amp;D11,$D$5:$D$2004,"&gt;="&amp;C11)&gt;1,"Overlaps another row","OK"))))</f>
        <v/>
      </c>
      <c r="P11">
        <f>IF(A11="","",A11&amp;"|"&amp;IF(B11="","Standard",B11))</f>
        <v/>
      </c>
      <c r="Q11">
        <f>IF(AND(A11&lt;&gt;"",A11='Firm Search'!$C$7),COUNTIF($A$5:A11,'Firm Search'!$C$7),"")</f>
        <v/>
      </c>
    </row>
    <row r="12">
      <c r="A12" s="64" t="n"/>
      <c r="B12" s="64" t="n"/>
      <c r="C12" s="66" t="n"/>
      <c r="D12" s="66" t="n"/>
      <c r="E12" s="67" t="n"/>
      <c r="F12" s="67" t="n"/>
      <c r="G12" s="67" t="n"/>
      <c r="H12" s="67" t="n"/>
      <c r="I12" s="67" t="n"/>
      <c r="J12" s="67" t="n"/>
      <c r="K12" s="67" t="n"/>
      <c r="L12" s="67" t="n"/>
      <c r="M12" s="64" t="n"/>
      <c r="N12" s="66" t="n"/>
      <c r="O12" s="84">
        <f>IF(A12="","",IF(OR(C12="",D12=""),"Enter both dates",IF(D12&lt;C12,"To is before From",IF(COUNTIFS($P$5:$P$2004,P12,$C$5:$C$2004,"&lt;="&amp;D12,$D$5:$D$2004,"&gt;="&amp;C12)&gt;1,"Overlaps another row","OK"))))</f>
        <v/>
      </c>
      <c r="P12">
        <f>IF(A12="","",A12&amp;"|"&amp;IF(B12="","Standard",B12))</f>
        <v/>
      </c>
      <c r="Q12">
        <f>IF(AND(A12&lt;&gt;"",A12='Firm Search'!$C$7),COUNTIF($A$5:A12,'Firm Search'!$C$7),"")</f>
        <v/>
      </c>
    </row>
    <row r="13">
      <c r="A13" s="64" t="n"/>
      <c r="B13" s="64" t="n"/>
      <c r="C13" s="66" t="n"/>
      <c r="D13" s="66" t="n"/>
      <c r="E13" s="67" t="n"/>
      <c r="F13" s="67" t="n"/>
      <c r="G13" s="67" t="n"/>
      <c r="H13" s="67" t="n"/>
      <c r="I13" s="67" t="n"/>
      <c r="J13" s="67" t="n"/>
      <c r="K13" s="67" t="n"/>
      <c r="L13" s="67" t="n"/>
      <c r="M13" s="64" t="n"/>
      <c r="N13" s="66" t="n"/>
      <c r="O13" s="84">
        <f>IF(A13="","",IF(OR(C13="",D13=""),"Enter both dates",IF(D13&lt;C13,"To is before From",IF(COUNTIFS($P$5:$P$2004,P13,$C$5:$C$2004,"&lt;="&amp;D13,$D$5:$D$2004,"&gt;="&amp;C13)&gt;1,"Overlaps another row","OK"))))</f>
        <v/>
      </c>
      <c r="P13">
        <f>IF(A13="","",A13&amp;"|"&amp;IF(B13="","Standard",B13))</f>
        <v/>
      </c>
      <c r="Q13">
        <f>IF(AND(A13&lt;&gt;"",A13='Firm Search'!$C$7),COUNTIF($A$5:A13,'Firm Search'!$C$7),"")</f>
        <v/>
      </c>
    </row>
    <row r="14">
      <c r="A14" s="64" t="n"/>
      <c r="B14" s="64" t="n"/>
      <c r="C14" s="66" t="n"/>
      <c r="D14" s="66" t="n"/>
      <c r="E14" s="67" t="n"/>
      <c r="F14" s="67" t="n"/>
      <c r="G14" s="67" t="n"/>
      <c r="H14" s="67" t="n"/>
      <c r="I14" s="67" t="n"/>
      <c r="J14" s="67" t="n"/>
      <c r="K14" s="67" t="n"/>
      <c r="L14" s="67" t="n"/>
      <c r="M14" s="64" t="n"/>
      <c r="N14" s="66" t="n"/>
      <c r="O14" s="84">
        <f>IF(A14="","",IF(OR(C14="",D14=""),"Enter both dates",IF(D14&lt;C14,"To is before From",IF(COUNTIFS($P$5:$P$2004,P14,$C$5:$C$2004,"&lt;="&amp;D14,$D$5:$D$2004,"&gt;="&amp;C14)&gt;1,"Overlaps another row","OK"))))</f>
        <v/>
      </c>
      <c r="P14">
        <f>IF(A14="","",A14&amp;"|"&amp;IF(B14="","Standard",B14))</f>
        <v/>
      </c>
      <c r="Q14">
        <f>IF(AND(A14&lt;&gt;"",A14='Firm Search'!$C$7),COUNTIF($A$5:A14,'Firm Search'!$C$7),"")</f>
        <v/>
      </c>
    </row>
    <row r="15">
      <c r="A15" s="64" t="n"/>
      <c r="B15" s="64" t="n"/>
      <c r="C15" s="66" t="n"/>
      <c r="D15" s="66" t="n"/>
      <c r="E15" s="67" t="n"/>
      <c r="F15" s="67" t="n"/>
      <c r="G15" s="67" t="n"/>
      <c r="H15" s="67" t="n"/>
      <c r="I15" s="67" t="n"/>
      <c r="J15" s="67" t="n"/>
      <c r="K15" s="67" t="n"/>
      <c r="L15" s="67" t="n"/>
      <c r="M15" s="64" t="n"/>
      <c r="N15" s="66" t="n"/>
      <c r="O15" s="84">
        <f>IF(A15="","",IF(OR(C15="",D15=""),"Enter both dates",IF(D15&lt;C15,"To is before From",IF(COUNTIFS($P$5:$P$2004,P15,$C$5:$C$2004,"&lt;="&amp;D15,$D$5:$D$2004,"&gt;="&amp;C15)&gt;1,"Overlaps another row","OK"))))</f>
        <v/>
      </c>
      <c r="P15">
        <f>IF(A15="","",A15&amp;"|"&amp;IF(B15="","Standard",B15))</f>
        <v/>
      </c>
      <c r="Q15">
        <f>IF(AND(A15&lt;&gt;"",A15='Firm Search'!$C$7),COUNTIF($A$5:A15,'Firm Search'!$C$7),"")</f>
        <v/>
      </c>
    </row>
    <row r="16">
      <c r="A16" s="64" t="n"/>
      <c r="B16" s="64" t="n"/>
      <c r="C16" s="66" t="n"/>
      <c r="D16" s="66" t="n"/>
      <c r="E16" s="67" t="n"/>
      <c r="F16" s="67" t="n"/>
      <c r="G16" s="67" t="n"/>
      <c r="H16" s="67" t="n"/>
      <c r="I16" s="67" t="n"/>
      <c r="J16" s="67" t="n"/>
      <c r="K16" s="67" t="n"/>
      <c r="L16" s="67" t="n"/>
      <c r="M16" s="64" t="n"/>
      <c r="N16" s="66" t="n"/>
      <c r="O16" s="84">
        <f>IF(A16="","",IF(OR(C16="",D16=""),"Enter both dates",IF(D16&lt;C16,"To is before From",IF(COUNTIFS($P$5:$P$2004,P16,$C$5:$C$2004,"&lt;="&amp;D16,$D$5:$D$2004,"&gt;="&amp;C16)&gt;1,"Overlaps another row","OK"))))</f>
        <v/>
      </c>
      <c r="P16">
        <f>IF(A16="","",A16&amp;"|"&amp;IF(B16="","Standard",B16))</f>
        <v/>
      </c>
      <c r="Q16">
        <f>IF(AND(A16&lt;&gt;"",A16='Firm Search'!$C$7),COUNTIF($A$5:A16,'Firm Search'!$C$7),"")</f>
        <v/>
      </c>
    </row>
    <row r="17">
      <c r="A17" s="64" t="n"/>
      <c r="B17" s="64" t="n"/>
      <c r="C17" s="66" t="n"/>
      <c r="D17" s="66" t="n"/>
      <c r="E17" s="67" t="n"/>
      <c r="F17" s="67" t="n"/>
      <c r="G17" s="67" t="n"/>
      <c r="H17" s="67" t="n"/>
      <c r="I17" s="67" t="n"/>
      <c r="J17" s="67" t="n"/>
      <c r="K17" s="67" t="n"/>
      <c r="L17" s="67" t="n"/>
      <c r="M17" s="64" t="n"/>
      <c r="N17" s="66" t="n"/>
      <c r="O17" s="84">
        <f>IF(A17="","",IF(OR(C17="",D17=""),"Enter both dates",IF(D17&lt;C17,"To is before From",IF(COUNTIFS($P$5:$P$2004,P17,$C$5:$C$2004,"&lt;="&amp;D17,$D$5:$D$2004,"&gt;="&amp;C17)&gt;1,"Overlaps another row","OK"))))</f>
        <v/>
      </c>
      <c r="P17">
        <f>IF(A17="","",A17&amp;"|"&amp;IF(B17="","Standard",B17))</f>
        <v/>
      </c>
      <c r="Q17">
        <f>IF(AND(A17&lt;&gt;"",A17='Firm Search'!$C$7),COUNTIF($A$5:A17,'Firm Search'!$C$7),"")</f>
        <v/>
      </c>
    </row>
    <row r="18">
      <c r="A18" s="64" t="n"/>
      <c r="B18" s="64" t="n"/>
      <c r="C18" s="66" t="n"/>
      <c r="D18" s="66" t="n"/>
      <c r="E18" s="67" t="n"/>
      <c r="F18" s="67" t="n"/>
      <c r="G18" s="67" t="n"/>
      <c r="H18" s="67" t="n"/>
      <c r="I18" s="67" t="n"/>
      <c r="J18" s="67" t="n"/>
      <c r="K18" s="67" t="n"/>
      <c r="L18" s="67" t="n"/>
      <c r="M18" s="64" t="n"/>
      <c r="N18" s="66" t="n"/>
      <c r="O18" s="84">
        <f>IF(A18="","",IF(OR(C18="",D18=""),"Enter both dates",IF(D18&lt;C18,"To is before From",IF(COUNTIFS($P$5:$P$2004,P18,$C$5:$C$2004,"&lt;="&amp;D18,$D$5:$D$2004,"&gt;="&amp;C18)&gt;1,"Overlaps another row","OK"))))</f>
        <v/>
      </c>
      <c r="P18">
        <f>IF(A18="","",A18&amp;"|"&amp;IF(B18="","Standard",B18))</f>
        <v/>
      </c>
      <c r="Q18">
        <f>IF(AND(A18&lt;&gt;"",A18='Firm Search'!$C$7),COUNTIF($A$5:A18,'Firm Search'!$C$7),"")</f>
        <v/>
      </c>
    </row>
    <row r="19">
      <c r="A19" s="64" t="n"/>
      <c r="B19" s="64" t="n"/>
      <c r="C19" s="66" t="n"/>
      <c r="D19" s="66" t="n"/>
      <c r="E19" s="67" t="n"/>
      <c r="F19" s="67" t="n"/>
      <c r="G19" s="67" t="n"/>
      <c r="H19" s="67" t="n"/>
      <c r="I19" s="67" t="n"/>
      <c r="J19" s="67" t="n"/>
      <c r="K19" s="67" t="n"/>
      <c r="L19" s="67" t="n"/>
      <c r="M19" s="64" t="n"/>
      <c r="N19" s="66" t="n"/>
      <c r="O19" s="84">
        <f>IF(A19="","",IF(OR(C19="",D19=""),"Enter both dates",IF(D19&lt;C19,"To is before From",IF(COUNTIFS($P$5:$P$2004,P19,$C$5:$C$2004,"&lt;="&amp;D19,$D$5:$D$2004,"&gt;="&amp;C19)&gt;1,"Overlaps another row","OK"))))</f>
        <v/>
      </c>
      <c r="P19">
        <f>IF(A19="","",A19&amp;"|"&amp;IF(B19="","Standard",B19))</f>
        <v/>
      </c>
      <c r="Q19">
        <f>IF(AND(A19&lt;&gt;"",A19='Firm Search'!$C$7),COUNTIF($A$5:A19,'Firm Search'!$C$7),"")</f>
        <v/>
      </c>
    </row>
    <row r="20">
      <c r="A20" s="64" t="n"/>
      <c r="B20" s="64" t="n"/>
      <c r="C20" s="66" t="n"/>
      <c r="D20" s="66" t="n"/>
      <c r="E20" s="67" t="n"/>
      <c r="F20" s="67" t="n"/>
      <c r="G20" s="67" t="n"/>
      <c r="H20" s="67" t="n"/>
      <c r="I20" s="67" t="n"/>
      <c r="J20" s="67" t="n"/>
      <c r="K20" s="67" t="n"/>
      <c r="L20" s="67" t="n"/>
      <c r="M20" s="64" t="n"/>
      <c r="N20" s="66" t="n"/>
      <c r="O20" s="84">
        <f>IF(A20="","",IF(OR(C20="",D20=""),"Enter both dates",IF(D20&lt;C20,"To is before From",IF(COUNTIFS($P$5:$P$2004,P20,$C$5:$C$2004,"&lt;="&amp;D20,$D$5:$D$2004,"&gt;="&amp;C20)&gt;1,"Overlaps another row","OK"))))</f>
        <v/>
      </c>
      <c r="P20">
        <f>IF(A20="","",A20&amp;"|"&amp;IF(B20="","Standard",B20))</f>
        <v/>
      </c>
      <c r="Q20">
        <f>IF(AND(A20&lt;&gt;"",A20='Firm Search'!$C$7),COUNTIF($A$5:A20,'Firm Search'!$C$7),"")</f>
        <v/>
      </c>
    </row>
    <row r="21">
      <c r="A21" s="64" t="n"/>
      <c r="B21" s="64" t="n"/>
      <c r="C21" s="66" t="n"/>
      <c r="D21" s="66" t="n"/>
      <c r="E21" s="67" t="n"/>
      <c r="F21" s="67" t="n"/>
      <c r="G21" s="67" t="n"/>
      <c r="H21" s="67" t="n"/>
      <c r="I21" s="67" t="n"/>
      <c r="J21" s="67" t="n"/>
      <c r="K21" s="67" t="n"/>
      <c r="L21" s="67" t="n"/>
      <c r="M21" s="64" t="n"/>
      <c r="N21" s="66" t="n"/>
      <c r="O21" s="84">
        <f>IF(A21="","",IF(OR(C21="",D21=""),"Enter both dates",IF(D21&lt;C21,"To is before From",IF(COUNTIFS($P$5:$P$2004,P21,$C$5:$C$2004,"&lt;="&amp;D21,$D$5:$D$2004,"&gt;="&amp;C21)&gt;1,"Overlaps another row","OK"))))</f>
        <v/>
      </c>
      <c r="P21">
        <f>IF(A21="","",A21&amp;"|"&amp;IF(B21="","Standard",B21))</f>
        <v/>
      </c>
      <c r="Q21">
        <f>IF(AND(A21&lt;&gt;"",A21='Firm Search'!$C$7),COUNTIF($A$5:A21,'Firm Search'!$C$7),"")</f>
        <v/>
      </c>
    </row>
    <row r="22">
      <c r="A22" s="64" t="n"/>
      <c r="B22" s="64" t="n"/>
      <c r="C22" s="66" t="n"/>
      <c r="D22" s="66" t="n"/>
      <c r="E22" s="67" t="n"/>
      <c r="F22" s="67" t="n"/>
      <c r="G22" s="67" t="n"/>
      <c r="H22" s="67" t="n"/>
      <c r="I22" s="67" t="n"/>
      <c r="J22" s="67" t="n"/>
      <c r="K22" s="67" t="n"/>
      <c r="L22" s="67" t="n"/>
      <c r="M22" s="64" t="n"/>
      <c r="N22" s="66" t="n"/>
      <c r="O22" s="84">
        <f>IF(A22="","",IF(OR(C22="",D22=""),"Enter both dates",IF(D22&lt;C22,"To is before From",IF(COUNTIFS($P$5:$P$2004,P22,$C$5:$C$2004,"&lt;="&amp;D22,$D$5:$D$2004,"&gt;="&amp;C22)&gt;1,"Overlaps another row","OK"))))</f>
        <v/>
      </c>
      <c r="P22">
        <f>IF(A22="","",A22&amp;"|"&amp;IF(B22="","Standard",B22))</f>
        <v/>
      </c>
      <c r="Q22">
        <f>IF(AND(A22&lt;&gt;"",A22='Firm Search'!$C$7),COUNTIF($A$5:A22,'Firm Search'!$C$7),"")</f>
        <v/>
      </c>
    </row>
    <row r="23">
      <c r="A23" s="64" t="n"/>
      <c r="B23" s="64" t="n"/>
      <c r="C23" s="66" t="n"/>
      <c r="D23" s="66" t="n"/>
      <c r="E23" s="67" t="n"/>
      <c r="F23" s="67" t="n"/>
      <c r="G23" s="67" t="n"/>
      <c r="H23" s="67" t="n"/>
      <c r="I23" s="67" t="n"/>
      <c r="J23" s="67" t="n"/>
      <c r="K23" s="67" t="n"/>
      <c r="L23" s="67" t="n"/>
      <c r="M23" s="64" t="n"/>
      <c r="N23" s="66" t="n"/>
      <c r="O23" s="84">
        <f>IF(A23="","",IF(OR(C23="",D23=""),"Enter both dates",IF(D23&lt;C23,"To is before From",IF(COUNTIFS($P$5:$P$2004,P23,$C$5:$C$2004,"&lt;="&amp;D23,$D$5:$D$2004,"&gt;="&amp;C23)&gt;1,"Overlaps another row","OK"))))</f>
        <v/>
      </c>
      <c r="P23">
        <f>IF(A23="","",A23&amp;"|"&amp;IF(B23="","Standard",B23))</f>
        <v/>
      </c>
      <c r="Q23">
        <f>IF(AND(A23&lt;&gt;"",A23='Firm Search'!$C$7),COUNTIF($A$5:A23,'Firm Search'!$C$7),"")</f>
        <v/>
      </c>
    </row>
    <row r="24">
      <c r="A24" s="64" t="n"/>
      <c r="B24" s="64" t="n"/>
      <c r="C24" s="66" t="n"/>
      <c r="D24" s="66" t="n"/>
      <c r="E24" s="67" t="n"/>
      <c r="F24" s="67" t="n"/>
      <c r="G24" s="67" t="n"/>
      <c r="H24" s="67" t="n"/>
      <c r="I24" s="67" t="n"/>
      <c r="J24" s="67" t="n"/>
      <c r="K24" s="67" t="n"/>
      <c r="L24" s="67" t="n"/>
      <c r="M24" s="64" t="n"/>
      <c r="N24" s="66" t="n"/>
      <c r="O24" s="84">
        <f>IF(A24="","",IF(OR(C24="",D24=""),"Enter both dates",IF(D24&lt;C24,"To is before From",IF(COUNTIFS($P$5:$P$2004,P24,$C$5:$C$2004,"&lt;="&amp;D24,$D$5:$D$2004,"&gt;="&amp;C24)&gt;1,"Overlaps another row","OK"))))</f>
        <v/>
      </c>
      <c r="P24">
        <f>IF(A24="","",A24&amp;"|"&amp;IF(B24="","Standard",B24))</f>
        <v/>
      </c>
      <c r="Q24">
        <f>IF(AND(A24&lt;&gt;"",A24='Firm Search'!$C$7),COUNTIF($A$5:A24,'Firm Search'!$C$7),"")</f>
        <v/>
      </c>
    </row>
    <row r="25">
      <c r="A25" s="64" t="n"/>
      <c r="B25" s="64" t="n"/>
      <c r="C25" s="66" t="n"/>
      <c r="D25" s="66" t="n"/>
      <c r="E25" s="67" t="n"/>
      <c r="F25" s="67" t="n"/>
      <c r="G25" s="67" t="n"/>
      <c r="H25" s="67" t="n"/>
      <c r="I25" s="67" t="n"/>
      <c r="J25" s="67" t="n"/>
      <c r="K25" s="67" t="n"/>
      <c r="L25" s="67" t="n"/>
      <c r="M25" s="64" t="n"/>
      <c r="N25" s="66" t="n"/>
      <c r="O25" s="84">
        <f>IF(A25="","",IF(OR(C25="",D25=""),"Enter both dates",IF(D25&lt;C25,"To is before From",IF(COUNTIFS($P$5:$P$2004,P25,$C$5:$C$2004,"&lt;="&amp;D25,$D$5:$D$2004,"&gt;="&amp;C25)&gt;1,"Overlaps another row","OK"))))</f>
        <v/>
      </c>
      <c r="P25">
        <f>IF(A25="","",A25&amp;"|"&amp;IF(B25="","Standard",B25))</f>
        <v/>
      </c>
      <c r="Q25">
        <f>IF(AND(A25&lt;&gt;"",A25='Firm Search'!$C$7),COUNTIF($A$5:A25,'Firm Search'!$C$7),"")</f>
        <v/>
      </c>
    </row>
    <row r="26">
      <c r="A26" s="64" t="n"/>
      <c r="B26" s="64" t="n"/>
      <c r="C26" s="66" t="n"/>
      <c r="D26" s="66" t="n"/>
      <c r="E26" s="67" t="n"/>
      <c r="F26" s="67" t="n"/>
      <c r="G26" s="67" t="n"/>
      <c r="H26" s="67" t="n"/>
      <c r="I26" s="67" t="n"/>
      <c r="J26" s="67" t="n"/>
      <c r="K26" s="67" t="n"/>
      <c r="L26" s="67" t="n"/>
      <c r="M26" s="64" t="n"/>
      <c r="N26" s="66" t="n"/>
      <c r="O26" s="84">
        <f>IF(A26="","",IF(OR(C26="",D26=""),"Enter both dates",IF(D26&lt;C26,"To is before From",IF(COUNTIFS($P$5:$P$2004,P26,$C$5:$C$2004,"&lt;="&amp;D26,$D$5:$D$2004,"&gt;="&amp;C26)&gt;1,"Overlaps another row","OK"))))</f>
        <v/>
      </c>
      <c r="P26">
        <f>IF(A26="","",A26&amp;"|"&amp;IF(B26="","Standard",B26))</f>
        <v/>
      </c>
      <c r="Q26">
        <f>IF(AND(A26&lt;&gt;"",A26='Firm Search'!$C$7),COUNTIF($A$5:A26,'Firm Search'!$C$7),"")</f>
        <v/>
      </c>
    </row>
    <row r="27">
      <c r="A27" s="64" t="n"/>
      <c r="B27" s="64" t="n"/>
      <c r="C27" s="66" t="n"/>
      <c r="D27" s="66" t="n"/>
      <c r="E27" s="67" t="n"/>
      <c r="F27" s="67" t="n"/>
      <c r="G27" s="67" t="n"/>
      <c r="H27" s="67" t="n"/>
      <c r="I27" s="67" t="n"/>
      <c r="J27" s="67" t="n"/>
      <c r="K27" s="67" t="n"/>
      <c r="L27" s="67" t="n"/>
      <c r="M27" s="64" t="n"/>
      <c r="N27" s="66" t="n"/>
      <c r="O27" s="84">
        <f>IF(A27="","",IF(OR(C27="",D27=""),"Enter both dates",IF(D27&lt;C27,"To is before From",IF(COUNTIFS($P$5:$P$2004,P27,$C$5:$C$2004,"&lt;="&amp;D27,$D$5:$D$2004,"&gt;="&amp;C27)&gt;1,"Overlaps another row","OK"))))</f>
        <v/>
      </c>
      <c r="P27">
        <f>IF(A27="","",A27&amp;"|"&amp;IF(B27="","Standard",B27))</f>
        <v/>
      </c>
      <c r="Q27">
        <f>IF(AND(A27&lt;&gt;"",A27='Firm Search'!$C$7),COUNTIF($A$5:A27,'Firm Search'!$C$7),"")</f>
        <v/>
      </c>
    </row>
    <row r="28">
      <c r="A28" s="64" t="n"/>
      <c r="B28" s="64" t="n"/>
      <c r="C28" s="66" t="n"/>
      <c r="D28" s="66" t="n"/>
      <c r="E28" s="67" t="n"/>
      <c r="F28" s="67" t="n"/>
      <c r="G28" s="67" t="n"/>
      <c r="H28" s="67" t="n"/>
      <c r="I28" s="67" t="n"/>
      <c r="J28" s="67" t="n"/>
      <c r="K28" s="67" t="n"/>
      <c r="L28" s="67" t="n"/>
      <c r="M28" s="64" t="n"/>
      <c r="N28" s="66" t="n"/>
      <c r="O28" s="84">
        <f>IF(A28="","",IF(OR(C28="",D28=""),"Enter both dates",IF(D28&lt;C28,"To is before From",IF(COUNTIFS($P$5:$P$2004,P28,$C$5:$C$2004,"&lt;="&amp;D28,$D$5:$D$2004,"&gt;="&amp;C28)&gt;1,"Overlaps another row","OK"))))</f>
        <v/>
      </c>
      <c r="P28">
        <f>IF(A28="","",A28&amp;"|"&amp;IF(B28="","Standard",B28))</f>
        <v/>
      </c>
      <c r="Q28">
        <f>IF(AND(A28&lt;&gt;"",A28='Firm Search'!$C$7),COUNTIF($A$5:A28,'Firm Search'!$C$7),"")</f>
        <v/>
      </c>
    </row>
    <row r="29">
      <c r="A29" s="64" t="n"/>
      <c r="B29" s="64" t="n"/>
      <c r="C29" s="66" t="n"/>
      <c r="D29" s="66" t="n"/>
      <c r="E29" s="67" t="n"/>
      <c r="F29" s="67" t="n"/>
      <c r="G29" s="67" t="n"/>
      <c r="H29" s="67" t="n"/>
      <c r="I29" s="67" t="n"/>
      <c r="J29" s="67" t="n"/>
      <c r="K29" s="67" t="n"/>
      <c r="L29" s="67" t="n"/>
      <c r="M29" s="64" t="n"/>
      <c r="N29" s="66" t="n"/>
      <c r="O29" s="84">
        <f>IF(A29="","",IF(OR(C29="",D29=""),"Enter both dates",IF(D29&lt;C29,"To is before From",IF(COUNTIFS($P$5:$P$2004,P29,$C$5:$C$2004,"&lt;="&amp;D29,$D$5:$D$2004,"&gt;="&amp;C29)&gt;1,"Overlaps another row","OK"))))</f>
        <v/>
      </c>
      <c r="P29">
        <f>IF(A29="","",A29&amp;"|"&amp;IF(B29="","Standard",B29))</f>
        <v/>
      </c>
      <c r="Q29">
        <f>IF(AND(A29&lt;&gt;"",A29='Firm Search'!$C$7),COUNTIF($A$5:A29,'Firm Search'!$C$7),"")</f>
        <v/>
      </c>
    </row>
    <row r="30">
      <c r="A30" s="64" t="n"/>
      <c r="B30" s="64" t="n"/>
      <c r="C30" s="66" t="n"/>
      <c r="D30" s="66" t="n"/>
      <c r="E30" s="67" t="n"/>
      <c r="F30" s="67" t="n"/>
      <c r="G30" s="67" t="n"/>
      <c r="H30" s="67" t="n"/>
      <c r="I30" s="67" t="n"/>
      <c r="J30" s="67" t="n"/>
      <c r="K30" s="67" t="n"/>
      <c r="L30" s="67" t="n"/>
      <c r="M30" s="64" t="n"/>
      <c r="N30" s="66" t="n"/>
      <c r="O30" s="84">
        <f>IF(A30="","",IF(OR(C30="",D30=""),"Enter both dates",IF(D30&lt;C30,"To is before From",IF(COUNTIFS($P$5:$P$2004,P30,$C$5:$C$2004,"&lt;="&amp;D30,$D$5:$D$2004,"&gt;="&amp;C30)&gt;1,"Overlaps another row","OK"))))</f>
        <v/>
      </c>
      <c r="P30">
        <f>IF(A30="","",A30&amp;"|"&amp;IF(B30="","Standard",B30))</f>
        <v/>
      </c>
      <c r="Q30">
        <f>IF(AND(A30&lt;&gt;"",A30='Firm Search'!$C$7),COUNTIF($A$5:A30,'Firm Search'!$C$7),"")</f>
        <v/>
      </c>
    </row>
    <row r="31">
      <c r="A31" s="64" t="n"/>
      <c r="B31" s="64" t="n"/>
      <c r="C31" s="66" t="n"/>
      <c r="D31" s="66" t="n"/>
      <c r="E31" s="67" t="n"/>
      <c r="F31" s="67" t="n"/>
      <c r="G31" s="67" t="n"/>
      <c r="H31" s="67" t="n"/>
      <c r="I31" s="67" t="n"/>
      <c r="J31" s="67" t="n"/>
      <c r="K31" s="67" t="n"/>
      <c r="L31" s="67" t="n"/>
      <c r="M31" s="64" t="n"/>
      <c r="N31" s="66" t="n"/>
      <c r="O31" s="84">
        <f>IF(A31="","",IF(OR(C31="",D31=""),"Enter both dates",IF(D31&lt;C31,"To is before From",IF(COUNTIFS($P$5:$P$2004,P31,$C$5:$C$2004,"&lt;="&amp;D31,$D$5:$D$2004,"&gt;="&amp;C31)&gt;1,"Overlaps another row","OK"))))</f>
        <v/>
      </c>
      <c r="P31">
        <f>IF(A31="","",A31&amp;"|"&amp;IF(B31="","Standard",B31))</f>
        <v/>
      </c>
      <c r="Q31">
        <f>IF(AND(A31&lt;&gt;"",A31='Firm Search'!$C$7),COUNTIF($A$5:A31,'Firm Search'!$C$7),"")</f>
        <v/>
      </c>
    </row>
    <row r="32">
      <c r="A32" s="64" t="n"/>
      <c r="B32" s="64" t="n"/>
      <c r="C32" s="66" t="n"/>
      <c r="D32" s="66" t="n"/>
      <c r="E32" s="67" t="n"/>
      <c r="F32" s="67" t="n"/>
      <c r="G32" s="67" t="n"/>
      <c r="H32" s="67" t="n"/>
      <c r="I32" s="67" t="n"/>
      <c r="J32" s="67" t="n"/>
      <c r="K32" s="67" t="n"/>
      <c r="L32" s="67" t="n"/>
      <c r="M32" s="64" t="n"/>
      <c r="N32" s="66" t="n"/>
      <c r="O32" s="84">
        <f>IF(A32="","",IF(OR(C32="",D32=""),"Enter both dates",IF(D32&lt;C32,"To is before From",IF(COUNTIFS($P$5:$P$2004,P32,$C$5:$C$2004,"&lt;="&amp;D32,$D$5:$D$2004,"&gt;="&amp;C32)&gt;1,"Overlaps another row","OK"))))</f>
        <v/>
      </c>
      <c r="P32">
        <f>IF(A32="","",A32&amp;"|"&amp;IF(B32="","Standard",B32))</f>
        <v/>
      </c>
      <c r="Q32">
        <f>IF(AND(A32&lt;&gt;"",A32='Firm Search'!$C$7),COUNTIF($A$5:A32,'Firm Search'!$C$7),"")</f>
        <v/>
      </c>
    </row>
    <row r="33">
      <c r="A33" s="64" t="n"/>
      <c r="B33" s="64" t="n"/>
      <c r="C33" s="66" t="n"/>
      <c r="D33" s="66" t="n"/>
      <c r="E33" s="67" t="n"/>
      <c r="F33" s="67" t="n"/>
      <c r="G33" s="67" t="n"/>
      <c r="H33" s="67" t="n"/>
      <c r="I33" s="67" t="n"/>
      <c r="J33" s="67" t="n"/>
      <c r="K33" s="67" t="n"/>
      <c r="L33" s="67" t="n"/>
      <c r="M33" s="64" t="n"/>
      <c r="N33" s="66" t="n"/>
      <c r="O33" s="84">
        <f>IF(A33="","",IF(OR(C33="",D33=""),"Enter both dates",IF(D33&lt;C33,"To is before From",IF(COUNTIFS($P$5:$P$2004,P33,$C$5:$C$2004,"&lt;="&amp;D33,$D$5:$D$2004,"&gt;="&amp;C33)&gt;1,"Overlaps another row","OK"))))</f>
        <v/>
      </c>
      <c r="P33">
        <f>IF(A33="","",A33&amp;"|"&amp;IF(B33="","Standard",B33))</f>
        <v/>
      </c>
      <c r="Q33">
        <f>IF(AND(A33&lt;&gt;"",A33='Firm Search'!$C$7),COUNTIF($A$5:A33,'Firm Search'!$C$7),"")</f>
        <v/>
      </c>
    </row>
    <row r="34">
      <c r="A34" s="64" t="n"/>
      <c r="B34" s="64" t="n"/>
      <c r="C34" s="66" t="n"/>
      <c r="D34" s="66" t="n"/>
      <c r="E34" s="67" t="n"/>
      <c r="F34" s="67" t="n"/>
      <c r="G34" s="67" t="n"/>
      <c r="H34" s="67" t="n"/>
      <c r="I34" s="67" t="n"/>
      <c r="J34" s="67" t="n"/>
      <c r="K34" s="67" t="n"/>
      <c r="L34" s="67" t="n"/>
      <c r="M34" s="64" t="n"/>
      <c r="N34" s="66" t="n"/>
      <c r="O34" s="84">
        <f>IF(A34="","",IF(OR(C34="",D34=""),"Enter both dates",IF(D34&lt;C34,"To is before From",IF(COUNTIFS($P$5:$P$2004,P34,$C$5:$C$2004,"&lt;="&amp;D34,$D$5:$D$2004,"&gt;="&amp;C34)&gt;1,"Overlaps another row","OK"))))</f>
        <v/>
      </c>
      <c r="P34">
        <f>IF(A34="","",A34&amp;"|"&amp;IF(B34="","Standard",B34))</f>
        <v/>
      </c>
      <c r="Q34">
        <f>IF(AND(A34&lt;&gt;"",A34='Firm Search'!$C$7),COUNTIF($A$5:A34,'Firm Search'!$C$7),"")</f>
        <v/>
      </c>
    </row>
    <row r="35">
      <c r="A35" s="64" t="n"/>
      <c r="B35" s="64" t="n"/>
      <c r="C35" s="66" t="n"/>
      <c r="D35" s="66" t="n"/>
      <c r="E35" s="67" t="n"/>
      <c r="F35" s="67" t="n"/>
      <c r="G35" s="67" t="n"/>
      <c r="H35" s="67" t="n"/>
      <c r="I35" s="67" t="n"/>
      <c r="J35" s="67" t="n"/>
      <c r="K35" s="67" t="n"/>
      <c r="L35" s="67" t="n"/>
      <c r="M35" s="64" t="n"/>
      <c r="N35" s="66" t="n"/>
      <c r="O35" s="84">
        <f>IF(A35="","",IF(OR(C35="",D35=""),"Enter both dates",IF(D35&lt;C35,"To is before From",IF(COUNTIFS($P$5:$P$2004,P35,$C$5:$C$2004,"&lt;="&amp;D35,$D$5:$D$2004,"&gt;="&amp;C35)&gt;1,"Overlaps another row","OK"))))</f>
        <v/>
      </c>
      <c r="P35">
        <f>IF(A35="","",A35&amp;"|"&amp;IF(B35="","Standard",B35))</f>
        <v/>
      </c>
      <c r="Q35">
        <f>IF(AND(A35&lt;&gt;"",A35='Firm Search'!$C$7),COUNTIF($A$5:A35,'Firm Search'!$C$7),"")</f>
        <v/>
      </c>
    </row>
    <row r="36">
      <c r="A36" s="64" t="n"/>
      <c r="B36" s="64" t="n"/>
      <c r="C36" s="66" t="n"/>
      <c r="D36" s="66" t="n"/>
      <c r="E36" s="67" t="n"/>
      <c r="F36" s="67" t="n"/>
      <c r="G36" s="67" t="n"/>
      <c r="H36" s="67" t="n"/>
      <c r="I36" s="67" t="n"/>
      <c r="J36" s="67" t="n"/>
      <c r="K36" s="67" t="n"/>
      <c r="L36" s="67" t="n"/>
      <c r="M36" s="64" t="n"/>
      <c r="N36" s="66" t="n"/>
      <c r="O36" s="84">
        <f>IF(A36="","",IF(OR(C36="",D36=""),"Enter both dates",IF(D36&lt;C36,"To is before From",IF(COUNTIFS($P$5:$P$2004,P36,$C$5:$C$2004,"&lt;="&amp;D36,$D$5:$D$2004,"&gt;="&amp;C36)&gt;1,"Overlaps another row","OK"))))</f>
        <v/>
      </c>
      <c r="P36">
        <f>IF(A36="","",A36&amp;"|"&amp;IF(B36="","Standard",B36))</f>
        <v/>
      </c>
      <c r="Q36">
        <f>IF(AND(A36&lt;&gt;"",A36='Firm Search'!$C$7),COUNTIF($A$5:A36,'Firm Search'!$C$7),"")</f>
        <v/>
      </c>
    </row>
    <row r="37">
      <c r="A37" s="64" t="n"/>
      <c r="B37" s="64" t="n"/>
      <c r="C37" s="66" t="n"/>
      <c r="D37" s="66" t="n"/>
      <c r="E37" s="67" t="n"/>
      <c r="F37" s="67" t="n"/>
      <c r="G37" s="67" t="n"/>
      <c r="H37" s="67" t="n"/>
      <c r="I37" s="67" t="n"/>
      <c r="J37" s="67" t="n"/>
      <c r="K37" s="67" t="n"/>
      <c r="L37" s="67" t="n"/>
      <c r="M37" s="64" t="n"/>
      <c r="N37" s="66" t="n"/>
      <c r="O37" s="84">
        <f>IF(A37="","",IF(OR(C37="",D37=""),"Enter both dates",IF(D37&lt;C37,"To is before From",IF(COUNTIFS($P$5:$P$2004,P37,$C$5:$C$2004,"&lt;="&amp;D37,$D$5:$D$2004,"&gt;="&amp;C37)&gt;1,"Overlaps another row","OK"))))</f>
        <v/>
      </c>
      <c r="P37">
        <f>IF(A37="","",A37&amp;"|"&amp;IF(B37="","Standard",B37))</f>
        <v/>
      </c>
      <c r="Q37">
        <f>IF(AND(A37&lt;&gt;"",A37='Firm Search'!$C$7),COUNTIF($A$5:A37,'Firm Search'!$C$7),"")</f>
        <v/>
      </c>
    </row>
    <row r="38">
      <c r="A38" s="64" t="n"/>
      <c r="B38" s="64" t="n"/>
      <c r="C38" s="66" t="n"/>
      <c r="D38" s="66" t="n"/>
      <c r="E38" s="67" t="n"/>
      <c r="F38" s="67" t="n"/>
      <c r="G38" s="67" t="n"/>
      <c r="H38" s="67" t="n"/>
      <c r="I38" s="67" t="n"/>
      <c r="J38" s="67" t="n"/>
      <c r="K38" s="67" t="n"/>
      <c r="L38" s="67" t="n"/>
      <c r="M38" s="64" t="n"/>
      <c r="N38" s="66" t="n"/>
      <c r="O38" s="84">
        <f>IF(A38="","",IF(OR(C38="",D38=""),"Enter both dates",IF(D38&lt;C38,"To is before From",IF(COUNTIFS($P$5:$P$2004,P38,$C$5:$C$2004,"&lt;="&amp;D38,$D$5:$D$2004,"&gt;="&amp;C38)&gt;1,"Overlaps another row","OK"))))</f>
        <v/>
      </c>
      <c r="P38">
        <f>IF(A38="","",A38&amp;"|"&amp;IF(B38="","Standard",B38))</f>
        <v/>
      </c>
      <c r="Q38">
        <f>IF(AND(A38&lt;&gt;"",A38='Firm Search'!$C$7),COUNTIF($A$5:A38,'Firm Search'!$C$7),"")</f>
        <v/>
      </c>
    </row>
    <row r="39">
      <c r="A39" s="64" t="n"/>
      <c r="B39" s="64" t="n"/>
      <c r="C39" s="66" t="n"/>
      <c r="D39" s="66" t="n"/>
      <c r="E39" s="67" t="n"/>
      <c r="F39" s="67" t="n"/>
      <c r="G39" s="67" t="n"/>
      <c r="H39" s="67" t="n"/>
      <c r="I39" s="67" t="n"/>
      <c r="J39" s="67" t="n"/>
      <c r="K39" s="67" t="n"/>
      <c r="L39" s="67" t="n"/>
      <c r="M39" s="64" t="n"/>
      <c r="N39" s="66" t="n"/>
      <c r="O39" s="84">
        <f>IF(A39="","",IF(OR(C39="",D39=""),"Enter both dates",IF(D39&lt;C39,"To is before From",IF(COUNTIFS($P$5:$P$2004,P39,$C$5:$C$2004,"&lt;="&amp;D39,$D$5:$D$2004,"&gt;="&amp;C39)&gt;1,"Overlaps another row","OK"))))</f>
        <v/>
      </c>
      <c r="P39">
        <f>IF(A39="","",A39&amp;"|"&amp;IF(B39="","Standard",B39))</f>
        <v/>
      </c>
      <c r="Q39">
        <f>IF(AND(A39&lt;&gt;"",A39='Firm Search'!$C$7),COUNTIF($A$5:A39,'Firm Search'!$C$7),"")</f>
        <v/>
      </c>
    </row>
    <row r="40">
      <c r="A40" s="64" t="n"/>
      <c r="B40" s="64" t="n"/>
      <c r="C40" s="66" t="n"/>
      <c r="D40" s="66" t="n"/>
      <c r="E40" s="67" t="n"/>
      <c r="F40" s="67" t="n"/>
      <c r="G40" s="67" t="n"/>
      <c r="H40" s="67" t="n"/>
      <c r="I40" s="67" t="n"/>
      <c r="J40" s="67" t="n"/>
      <c r="K40" s="67" t="n"/>
      <c r="L40" s="67" t="n"/>
      <c r="M40" s="64" t="n"/>
      <c r="N40" s="66" t="n"/>
      <c r="O40" s="84">
        <f>IF(A40="","",IF(OR(C40="",D40=""),"Enter both dates",IF(D40&lt;C40,"To is before From",IF(COUNTIFS($P$5:$P$2004,P40,$C$5:$C$2004,"&lt;="&amp;D40,$D$5:$D$2004,"&gt;="&amp;C40)&gt;1,"Overlaps another row","OK"))))</f>
        <v/>
      </c>
      <c r="P40">
        <f>IF(A40="","",A40&amp;"|"&amp;IF(B40="","Standard",B40))</f>
        <v/>
      </c>
      <c r="Q40">
        <f>IF(AND(A40&lt;&gt;"",A40='Firm Search'!$C$7),COUNTIF($A$5:A40,'Firm Search'!$C$7),"")</f>
        <v/>
      </c>
    </row>
    <row r="41">
      <c r="A41" s="64" t="n"/>
      <c r="B41" s="64" t="n"/>
      <c r="C41" s="66" t="n"/>
      <c r="D41" s="66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4" t="n"/>
      <c r="N41" s="66" t="n"/>
      <c r="O41" s="84">
        <f>IF(A41="","",IF(OR(C41="",D41=""),"Enter both dates",IF(D41&lt;C41,"To is before From",IF(COUNTIFS($P$5:$P$2004,P41,$C$5:$C$2004,"&lt;="&amp;D41,$D$5:$D$2004,"&gt;="&amp;C41)&gt;1,"Overlaps another row","OK"))))</f>
        <v/>
      </c>
      <c r="P41">
        <f>IF(A41="","",A41&amp;"|"&amp;IF(B41="","Standard",B41))</f>
        <v/>
      </c>
      <c r="Q41">
        <f>IF(AND(A41&lt;&gt;"",A41='Firm Search'!$C$7),COUNTIF($A$5:A41,'Firm Search'!$C$7),"")</f>
        <v/>
      </c>
    </row>
    <row r="42">
      <c r="A42" s="64" t="n"/>
      <c r="B42" s="64" t="n"/>
      <c r="C42" s="66" t="n"/>
      <c r="D42" s="66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4" t="n"/>
      <c r="N42" s="66" t="n"/>
      <c r="O42" s="84">
        <f>IF(A42="","",IF(OR(C42="",D42=""),"Enter both dates",IF(D42&lt;C42,"To is before From",IF(COUNTIFS($P$5:$P$2004,P42,$C$5:$C$2004,"&lt;="&amp;D42,$D$5:$D$2004,"&gt;="&amp;C42)&gt;1,"Overlaps another row","OK"))))</f>
        <v/>
      </c>
      <c r="P42">
        <f>IF(A42="","",A42&amp;"|"&amp;IF(B42="","Standard",B42))</f>
        <v/>
      </c>
      <c r="Q42">
        <f>IF(AND(A42&lt;&gt;"",A42='Firm Search'!$C$7),COUNTIF($A$5:A42,'Firm Search'!$C$7),"")</f>
        <v/>
      </c>
    </row>
    <row r="43">
      <c r="A43" s="64" t="n"/>
      <c r="B43" s="64" t="n"/>
      <c r="C43" s="66" t="n"/>
      <c r="D43" s="66" t="n"/>
      <c r="E43" s="67" t="n"/>
      <c r="F43" s="67" t="n"/>
      <c r="G43" s="67" t="n"/>
      <c r="H43" s="67" t="n"/>
      <c r="I43" s="67" t="n"/>
      <c r="J43" s="67" t="n"/>
      <c r="K43" s="67" t="n"/>
      <c r="L43" s="67" t="n"/>
      <c r="M43" s="64" t="n"/>
      <c r="N43" s="66" t="n"/>
      <c r="O43" s="84">
        <f>IF(A43="","",IF(OR(C43="",D43=""),"Enter both dates",IF(D43&lt;C43,"To is before From",IF(COUNTIFS($P$5:$P$2004,P43,$C$5:$C$2004,"&lt;="&amp;D43,$D$5:$D$2004,"&gt;="&amp;C43)&gt;1,"Overlaps another row","OK"))))</f>
        <v/>
      </c>
      <c r="P43">
        <f>IF(A43="","",A43&amp;"|"&amp;IF(B43="","Standard",B43))</f>
        <v/>
      </c>
      <c r="Q43">
        <f>IF(AND(A43&lt;&gt;"",A43='Firm Search'!$C$7),COUNTIF($A$5:A43,'Firm Search'!$C$7),"")</f>
        <v/>
      </c>
    </row>
    <row r="44">
      <c r="A44" s="64" t="n"/>
      <c r="B44" s="64" t="n"/>
      <c r="C44" s="66" t="n"/>
      <c r="D44" s="66" t="n"/>
      <c r="E44" s="67" t="n"/>
      <c r="F44" s="67" t="n"/>
      <c r="G44" s="67" t="n"/>
      <c r="H44" s="67" t="n"/>
      <c r="I44" s="67" t="n"/>
      <c r="J44" s="67" t="n"/>
      <c r="K44" s="67" t="n"/>
      <c r="L44" s="67" t="n"/>
      <c r="M44" s="64" t="n"/>
      <c r="N44" s="66" t="n"/>
      <c r="O44" s="84">
        <f>IF(A44="","",IF(OR(C44="",D44=""),"Enter both dates",IF(D44&lt;C44,"To is before From",IF(COUNTIFS($P$5:$P$2004,P44,$C$5:$C$2004,"&lt;="&amp;D44,$D$5:$D$2004,"&gt;="&amp;C44)&gt;1,"Overlaps another row","OK"))))</f>
        <v/>
      </c>
      <c r="P44">
        <f>IF(A44="","",A44&amp;"|"&amp;IF(B44="","Standard",B44))</f>
        <v/>
      </c>
      <c r="Q44">
        <f>IF(AND(A44&lt;&gt;"",A44='Firm Search'!$C$7),COUNTIF($A$5:A44,'Firm Search'!$C$7),"")</f>
        <v/>
      </c>
    </row>
    <row r="45">
      <c r="A45" s="64" t="n"/>
      <c r="B45" s="64" t="n"/>
      <c r="C45" s="66" t="n"/>
      <c r="D45" s="66" t="n"/>
      <c r="E45" s="67" t="n"/>
      <c r="F45" s="67" t="n"/>
      <c r="G45" s="67" t="n"/>
      <c r="H45" s="67" t="n"/>
      <c r="I45" s="67" t="n"/>
      <c r="J45" s="67" t="n"/>
      <c r="K45" s="67" t="n"/>
      <c r="L45" s="67" t="n"/>
      <c r="M45" s="64" t="n"/>
      <c r="N45" s="66" t="n"/>
      <c r="O45" s="84">
        <f>IF(A45="","",IF(OR(C45="",D45=""),"Enter both dates",IF(D45&lt;C45,"To is before From",IF(COUNTIFS($P$5:$P$2004,P45,$C$5:$C$2004,"&lt;="&amp;D45,$D$5:$D$2004,"&gt;="&amp;C45)&gt;1,"Overlaps another row","OK"))))</f>
        <v/>
      </c>
      <c r="P45">
        <f>IF(A45="","",A45&amp;"|"&amp;IF(B45="","Standard",B45))</f>
        <v/>
      </c>
      <c r="Q45">
        <f>IF(AND(A45&lt;&gt;"",A45='Firm Search'!$C$7),COUNTIF($A$5:A45,'Firm Search'!$C$7),"")</f>
        <v/>
      </c>
    </row>
    <row r="46">
      <c r="A46" s="64" t="n"/>
      <c r="B46" s="64" t="n"/>
      <c r="C46" s="66" t="n"/>
      <c r="D46" s="66" t="n"/>
      <c r="E46" s="67" t="n"/>
      <c r="F46" s="67" t="n"/>
      <c r="G46" s="67" t="n"/>
      <c r="H46" s="67" t="n"/>
      <c r="I46" s="67" t="n"/>
      <c r="J46" s="67" t="n"/>
      <c r="K46" s="67" t="n"/>
      <c r="L46" s="67" t="n"/>
      <c r="M46" s="64" t="n"/>
      <c r="N46" s="66" t="n"/>
      <c r="O46" s="84">
        <f>IF(A46="","",IF(OR(C46="",D46=""),"Enter both dates",IF(D46&lt;C46,"To is before From",IF(COUNTIFS($P$5:$P$2004,P46,$C$5:$C$2004,"&lt;="&amp;D46,$D$5:$D$2004,"&gt;="&amp;C46)&gt;1,"Overlaps another row","OK"))))</f>
        <v/>
      </c>
      <c r="P46">
        <f>IF(A46="","",A46&amp;"|"&amp;IF(B46="","Standard",B46))</f>
        <v/>
      </c>
      <c r="Q46">
        <f>IF(AND(A46&lt;&gt;"",A46='Firm Search'!$C$7),COUNTIF($A$5:A46,'Firm Search'!$C$7),"")</f>
        <v/>
      </c>
    </row>
    <row r="47">
      <c r="A47" s="64" t="n"/>
      <c r="B47" s="64" t="n"/>
      <c r="C47" s="66" t="n"/>
      <c r="D47" s="66" t="n"/>
      <c r="E47" s="67" t="n"/>
      <c r="F47" s="67" t="n"/>
      <c r="G47" s="67" t="n"/>
      <c r="H47" s="67" t="n"/>
      <c r="I47" s="67" t="n"/>
      <c r="J47" s="67" t="n"/>
      <c r="K47" s="67" t="n"/>
      <c r="L47" s="67" t="n"/>
      <c r="M47" s="64" t="n"/>
      <c r="N47" s="66" t="n"/>
      <c r="O47" s="84">
        <f>IF(A47="","",IF(OR(C47="",D47=""),"Enter both dates",IF(D47&lt;C47,"To is before From",IF(COUNTIFS($P$5:$P$2004,P47,$C$5:$C$2004,"&lt;="&amp;D47,$D$5:$D$2004,"&gt;="&amp;C47)&gt;1,"Overlaps another row","OK"))))</f>
        <v/>
      </c>
      <c r="P47">
        <f>IF(A47="","",A47&amp;"|"&amp;IF(B47="","Standard",B47))</f>
        <v/>
      </c>
      <c r="Q47">
        <f>IF(AND(A47&lt;&gt;"",A47='Firm Search'!$C$7),COUNTIF($A$5:A47,'Firm Search'!$C$7),"")</f>
        <v/>
      </c>
    </row>
    <row r="48">
      <c r="A48" s="64" t="n"/>
      <c r="B48" s="64" t="n"/>
      <c r="C48" s="66" t="n"/>
      <c r="D48" s="66" t="n"/>
      <c r="E48" s="67" t="n"/>
      <c r="F48" s="67" t="n"/>
      <c r="G48" s="67" t="n"/>
      <c r="H48" s="67" t="n"/>
      <c r="I48" s="67" t="n"/>
      <c r="J48" s="67" t="n"/>
      <c r="K48" s="67" t="n"/>
      <c r="L48" s="67" t="n"/>
      <c r="M48" s="64" t="n"/>
      <c r="N48" s="66" t="n"/>
      <c r="O48" s="84">
        <f>IF(A48="","",IF(OR(C48="",D48=""),"Enter both dates",IF(D48&lt;C48,"To is before From",IF(COUNTIFS($P$5:$P$2004,P48,$C$5:$C$2004,"&lt;="&amp;D48,$D$5:$D$2004,"&gt;="&amp;C48)&gt;1,"Overlaps another row","OK"))))</f>
        <v/>
      </c>
      <c r="P48">
        <f>IF(A48="","",A48&amp;"|"&amp;IF(B48="","Standard",B48))</f>
        <v/>
      </c>
      <c r="Q48">
        <f>IF(AND(A48&lt;&gt;"",A48='Firm Search'!$C$7),COUNTIF($A$5:A48,'Firm Search'!$C$7),"")</f>
        <v/>
      </c>
    </row>
    <row r="49">
      <c r="A49" s="64" t="n"/>
      <c r="B49" s="64" t="n"/>
      <c r="C49" s="66" t="n"/>
      <c r="D49" s="66" t="n"/>
      <c r="E49" s="67" t="n"/>
      <c r="F49" s="67" t="n"/>
      <c r="G49" s="67" t="n"/>
      <c r="H49" s="67" t="n"/>
      <c r="I49" s="67" t="n"/>
      <c r="J49" s="67" t="n"/>
      <c r="K49" s="67" t="n"/>
      <c r="L49" s="67" t="n"/>
      <c r="M49" s="64" t="n"/>
      <c r="N49" s="66" t="n"/>
      <c r="O49" s="84">
        <f>IF(A49="","",IF(OR(C49="",D49=""),"Enter both dates",IF(D49&lt;C49,"To is before From",IF(COUNTIFS($P$5:$P$2004,P49,$C$5:$C$2004,"&lt;="&amp;D49,$D$5:$D$2004,"&gt;="&amp;C49)&gt;1,"Overlaps another row","OK"))))</f>
        <v/>
      </c>
      <c r="P49">
        <f>IF(A49="","",A49&amp;"|"&amp;IF(B49="","Standard",B49))</f>
        <v/>
      </c>
      <c r="Q49">
        <f>IF(AND(A49&lt;&gt;"",A49='Firm Search'!$C$7),COUNTIF($A$5:A49,'Firm Search'!$C$7),"")</f>
        <v/>
      </c>
    </row>
    <row r="50">
      <c r="A50" s="64" t="n"/>
      <c r="B50" s="64" t="n"/>
      <c r="C50" s="66" t="n"/>
      <c r="D50" s="66" t="n"/>
      <c r="E50" s="67" t="n"/>
      <c r="F50" s="67" t="n"/>
      <c r="G50" s="67" t="n"/>
      <c r="H50" s="67" t="n"/>
      <c r="I50" s="67" t="n"/>
      <c r="J50" s="67" t="n"/>
      <c r="K50" s="67" t="n"/>
      <c r="L50" s="67" t="n"/>
      <c r="M50" s="64" t="n"/>
      <c r="N50" s="66" t="n"/>
      <c r="O50" s="84">
        <f>IF(A50="","",IF(OR(C50="",D50=""),"Enter both dates",IF(D50&lt;C50,"To is before From",IF(COUNTIFS($P$5:$P$2004,P50,$C$5:$C$2004,"&lt;="&amp;D50,$D$5:$D$2004,"&gt;="&amp;C50)&gt;1,"Overlaps another row","OK"))))</f>
        <v/>
      </c>
      <c r="P50">
        <f>IF(A50="","",A50&amp;"|"&amp;IF(B50="","Standard",B50))</f>
        <v/>
      </c>
      <c r="Q50">
        <f>IF(AND(A50&lt;&gt;"",A50='Firm Search'!$C$7),COUNTIF($A$5:A50,'Firm Search'!$C$7),"")</f>
        <v/>
      </c>
    </row>
    <row r="51">
      <c r="A51" s="64" t="n"/>
      <c r="B51" s="64" t="n"/>
      <c r="C51" s="66" t="n"/>
      <c r="D51" s="66" t="n"/>
      <c r="E51" s="67" t="n"/>
      <c r="F51" s="67" t="n"/>
      <c r="G51" s="67" t="n"/>
      <c r="H51" s="67" t="n"/>
      <c r="I51" s="67" t="n"/>
      <c r="J51" s="67" t="n"/>
      <c r="K51" s="67" t="n"/>
      <c r="L51" s="67" t="n"/>
      <c r="M51" s="64" t="n"/>
      <c r="N51" s="66" t="n"/>
      <c r="O51" s="84">
        <f>IF(A51="","",IF(OR(C51="",D51=""),"Enter both dates",IF(D51&lt;C51,"To is before From",IF(COUNTIFS($P$5:$P$2004,P51,$C$5:$C$2004,"&lt;="&amp;D51,$D$5:$D$2004,"&gt;="&amp;C51)&gt;1,"Overlaps another row","OK"))))</f>
        <v/>
      </c>
      <c r="P51">
        <f>IF(A51="","",A51&amp;"|"&amp;IF(B51="","Standard",B51))</f>
        <v/>
      </c>
      <c r="Q51">
        <f>IF(AND(A51&lt;&gt;"",A51='Firm Search'!$C$7),COUNTIF($A$5:A51,'Firm Search'!$C$7),"")</f>
        <v/>
      </c>
    </row>
    <row r="52">
      <c r="A52" s="64" t="n"/>
      <c r="B52" s="64" t="n"/>
      <c r="C52" s="66" t="n"/>
      <c r="D52" s="66" t="n"/>
      <c r="E52" s="67" t="n"/>
      <c r="F52" s="67" t="n"/>
      <c r="G52" s="67" t="n"/>
      <c r="H52" s="67" t="n"/>
      <c r="I52" s="67" t="n"/>
      <c r="J52" s="67" t="n"/>
      <c r="K52" s="67" t="n"/>
      <c r="L52" s="67" t="n"/>
      <c r="M52" s="64" t="n"/>
      <c r="N52" s="66" t="n"/>
      <c r="O52" s="84">
        <f>IF(A52="","",IF(OR(C52="",D52=""),"Enter both dates",IF(D52&lt;C52,"To is before From",IF(COUNTIFS($P$5:$P$2004,P52,$C$5:$C$2004,"&lt;="&amp;D52,$D$5:$D$2004,"&gt;="&amp;C52)&gt;1,"Overlaps another row","OK"))))</f>
        <v/>
      </c>
      <c r="P52">
        <f>IF(A52="","",A52&amp;"|"&amp;IF(B52="","Standard",B52))</f>
        <v/>
      </c>
      <c r="Q52">
        <f>IF(AND(A52&lt;&gt;"",A52='Firm Search'!$C$7),COUNTIF($A$5:A52,'Firm Search'!$C$7),"")</f>
        <v/>
      </c>
    </row>
    <row r="53">
      <c r="A53" s="64" t="n"/>
      <c r="B53" s="64" t="n"/>
      <c r="C53" s="66" t="n"/>
      <c r="D53" s="66" t="n"/>
      <c r="E53" s="67" t="n"/>
      <c r="F53" s="67" t="n"/>
      <c r="G53" s="67" t="n"/>
      <c r="H53" s="67" t="n"/>
      <c r="I53" s="67" t="n"/>
      <c r="J53" s="67" t="n"/>
      <c r="K53" s="67" t="n"/>
      <c r="L53" s="67" t="n"/>
      <c r="M53" s="64" t="n"/>
      <c r="N53" s="66" t="n"/>
      <c r="O53" s="84">
        <f>IF(A53="","",IF(OR(C53="",D53=""),"Enter both dates",IF(D53&lt;C53,"To is before From",IF(COUNTIFS($P$5:$P$2004,P53,$C$5:$C$2004,"&lt;="&amp;D53,$D$5:$D$2004,"&gt;="&amp;C53)&gt;1,"Overlaps another row","OK"))))</f>
        <v/>
      </c>
      <c r="P53">
        <f>IF(A53="","",A53&amp;"|"&amp;IF(B53="","Standard",B53))</f>
        <v/>
      </c>
      <c r="Q53">
        <f>IF(AND(A53&lt;&gt;"",A53='Firm Search'!$C$7),COUNTIF($A$5:A53,'Firm Search'!$C$7),"")</f>
        <v/>
      </c>
    </row>
    <row r="54">
      <c r="A54" s="64" t="n"/>
      <c r="B54" s="64" t="n"/>
      <c r="C54" s="66" t="n"/>
      <c r="D54" s="66" t="n"/>
      <c r="E54" s="67" t="n"/>
      <c r="F54" s="67" t="n"/>
      <c r="G54" s="67" t="n"/>
      <c r="H54" s="67" t="n"/>
      <c r="I54" s="67" t="n"/>
      <c r="J54" s="67" t="n"/>
      <c r="K54" s="67" t="n"/>
      <c r="L54" s="67" t="n"/>
      <c r="M54" s="64" t="n"/>
      <c r="N54" s="66" t="n"/>
      <c r="O54" s="84">
        <f>IF(A54="","",IF(OR(C54="",D54=""),"Enter both dates",IF(D54&lt;C54,"To is before From",IF(COUNTIFS($P$5:$P$2004,P54,$C$5:$C$2004,"&lt;="&amp;D54,$D$5:$D$2004,"&gt;="&amp;C54)&gt;1,"Overlaps another row","OK"))))</f>
        <v/>
      </c>
      <c r="P54">
        <f>IF(A54="","",A54&amp;"|"&amp;IF(B54="","Standard",B54))</f>
        <v/>
      </c>
      <c r="Q54">
        <f>IF(AND(A54&lt;&gt;"",A54='Firm Search'!$C$7),COUNTIF($A$5:A54,'Firm Search'!$C$7),"")</f>
        <v/>
      </c>
    </row>
    <row r="55">
      <c r="A55" s="64" t="n"/>
      <c r="B55" s="64" t="n"/>
      <c r="C55" s="66" t="n"/>
      <c r="D55" s="66" t="n"/>
      <c r="E55" s="67" t="n"/>
      <c r="F55" s="67" t="n"/>
      <c r="G55" s="67" t="n"/>
      <c r="H55" s="67" t="n"/>
      <c r="I55" s="67" t="n"/>
      <c r="J55" s="67" t="n"/>
      <c r="K55" s="67" t="n"/>
      <c r="L55" s="67" t="n"/>
      <c r="M55" s="64" t="n"/>
      <c r="N55" s="66" t="n"/>
      <c r="O55" s="84">
        <f>IF(A55="","",IF(OR(C55="",D55=""),"Enter both dates",IF(D55&lt;C55,"To is before From",IF(COUNTIFS($P$5:$P$2004,P55,$C$5:$C$2004,"&lt;="&amp;D55,$D$5:$D$2004,"&gt;="&amp;C55)&gt;1,"Overlaps another row","OK"))))</f>
        <v/>
      </c>
      <c r="P55">
        <f>IF(A55="","",A55&amp;"|"&amp;IF(B55="","Standard",B55))</f>
        <v/>
      </c>
      <c r="Q55">
        <f>IF(AND(A55&lt;&gt;"",A55='Firm Search'!$C$7),COUNTIF($A$5:A55,'Firm Search'!$C$7),"")</f>
        <v/>
      </c>
    </row>
    <row r="56">
      <c r="A56" s="64" t="n"/>
      <c r="B56" s="64" t="n"/>
      <c r="C56" s="66" t="n"/>
      <c r="D56" s="66" t="n"/>
      <c r="E56" s="67" t="n"/>
      <c r="F56" s="67" t="n"/>
      <c r="G56" s="67" t="n"/>
      <c r="H56" s="67" t="n"/>
      <c r="I56" s="67" t="n"/>
      <c r="J56" s="67" t="n"/>
      <c r="K56" s="67" t="n"/>
      <c r="L56" s="67" t="n"/>
      <c r="M56" s="64" t="n"/>
      <c r="N56" s="66" t="n"/>
      <c r="O56" s="84">
        <f>IF(A56="","",IF(OR(C56="",D56=""),"Enter both dates",IF(D56&lt;C56,"To is before From",IF(COUNTIFS($P$5:$P$2004,P56,$C$5:$C$2004,"&lt;="&amp;D56,$D$5:$D$2004,"&gt;="&amp;C56)&gt;1,"Overlaps another row","OK"))))</f>
        <v/>
      </c>
      <c r="P56">
        <f>IF(A56="","",A56&amp;"|"&amp;IF(B56="","Standard",B56))</f>
        <v/>
      </c>
      <c r="Q56">
        <f>IF(AND(A56&lt;&gt;"",A56='Firm Search'!$C$7),COUNTIF($A$5:A56,'Firm Search'!$C$7),"")</f>
        <v/>
      </c>
    </row>
    <row r="57">
      <c r="A57" s="64" t="n"/>
      <c r="B57" s="64" t="n"/>
      <c r="C57" s="66" t="n"/>
      <c r="D57" s="66" t="n"/>
      <c r="E57" s="67" t="n"/>
      <c r="F57" s="67" t="n"/>
      <c r="G57" s="67" t="n"/>
      <c r="H57" s="67" t="n"/>
      <c r="I57" s="67" t="n"/>
      <c r="J57" s="67" t="n"/>
      <c r="K57" s="67" t="n"/>
      <c r="L57" s="67" t="n"/>
      <c r="M57" s="64" t="n"/>
      <c r="N57" s="66" t="n"/>
      <c r="O57" s="84">
        <f>IF(A57="","",IF(OR(C57="",D57=""),"Enter both dates",IF(D57&lt;C57,"To is before From",IF(COUNTIFS($P$5:$P$2004,P57,$C$5:$C$2004,"&lt;="&amp;D57,$D$5:$D$2004,"&gt;="&amp;C57)&gt;1,"Overlaps another row","OK"))))</f>
        <v/>
      </c>
      <c r="P57">
        <f>IF(A57="","",A57&amp;"|"&amp;IF(B57="","Standard",B57))</f>
        <v/>
      </c>
      <c r="Q57">
        <f>IF(AND(A57&lt;&gt;"",A57='Firm Search'!$C$7),COUNTIF($A$5:A57,'Firm Search'!$C$7),"")</f>
        <v/>
      </c>
    </row>
    <row r="58">
      <c r="A58" s="64" t="n"/>
      <c r="B58" s="64" t="n"/>
      <c r="C58" s="66" t="n"/>
      <c r="D58" s="66" t="n"/>
      <c r="E58" s="67" t="n"/>
      <c r="F58" s="67" t="n"/>
      <c r="G58" s="67" t="n"/>
      <c r="H58" s="67" t="n"/>
      <c r="I58" s="67" t="n"/>
      <c r="J58" s="67" t="n"/>
      <c r="K58" s="67" t="n"/>
      <c r="L58" s="67" t="n"/>
      <c r="M58" s="64" t="n"/>
      <c r="N58" s="66" t="n"/>
      <c r="O58" s="84">
        <f>IF(A58="","",IF(OR(C58="",D58=""),"Enter both dates",IF(D58&lt;C58,"To is before From",IF(COUNTIFS($P$5:$P$2004,P58,$C$5:$C$2004,"&lt;="&amp;D58,$D$5:$D$2004,"&gt;="&amp;C58)&gt;1,"Overlaps another row","OK"))))</f>
        <v/>
      </c>
      <c r="P58">
        <f>IF(A58="","",A58&amp;"|"&amp;IF(B58="","Standard",B58))</f>
        <v/>
      </c>
      <c r="Q58">
        <f>IF(AND(A58&lt;&gt;"",A58='Firm Search'!$C$7),COUNTIF($A$5:A58,'Firm Search'!$C$7),"")</f>
        <v/>
      </c>
    </row>
    <row r="59">
      <c r="A59" s="64" t="n"/>
      <c r="B59" s="64" t="n"/>
      <c r="C59" s="66" t="n"/>
      <c r="D59" s="66" t="n"/>
      <c r="E59" s="67" t="n"/>
      <c r="F59" s="67" t="n"/>
      <c r="G59" s="67" t="n"/>
      <c r="H59" s="67" t="n"/>
      <c r="I59" s="67" t="n"/>
      <c r="J59" s="67" t="n"/>
      <c r="K59" s="67" t="n"/>
      <c r="L59" s="67" t="n"/>
      <c r="M59" s="64" t="n"/>
      <c r="N59" s="66" t="n"/>
      <c r="O59" s="84">
        <f>IF(A59="","",IF(OR(C59="",D59=""),"Enter both dates",IF(D59&lt;C59,"To is before From",IF(COUNTIFS($P$5:$P$2004,P59,$C$5:$C$2004,"&lt;="&amp;D59,$D$5:$D$2004,"&gt;="&amp;C59)&gt;1,"Overlaps another row","OK"))))</f>
        <v/>
      </c>
      <c r="P59">
        <f>IF(A59="","",A59&amp;"|"&amp;IF(B59="","Standard",B59))</f>
        <v/>
      </c>
      <c r="Q59">
        <f>IF(AND(A59&lt;&gt;"",A59='Firm Search'!$C$7),COUNTIF($A$5:A59,'Firm Search'!$C$7),"")</f>
        <v/>
      </c>
    </row>
    <row r="60">
      <c r="A60" s="64" t="n"/>
      <c r="B60" s="64" t="n"/>
      <c r="C60" s="66" t="n"/>
      <c r="D60" s="66" t="n"/>
      <c r="E60" s="67" t="n"/>
      <c r="F60" s="67" t="n"/>
      <c r="G60" s="67" t="n"/>
      <c r="H60" s="67" t="n"/>
      <c r="I60" s="67" t="n"/>
      <c r="J60" s="67" t="n"/>
      <c r="K60" s="67" t="n"/>
      <c r="L60" s="67" t="n"/>
      <c r="M60" s="64" t="n"/>
      <c r="N60" s="66" t="n"/>
      <c r="O60" s="84">
        <f>IF(A60="","",IF(OR(C60="",D60=""),"Enter both dates",IF(D60&lt;C60,"To is before From",IF(COUNTIFS($P$5:$P$2004,P60,$C$5:$C$2004,"&lt;="&amp;D60,$D$5:$D$2004,"&gt;="&amp;C60)&gt;1,"Overlaps another row","OK"))))</f>
        <v/>
      </c>
      <c r="P60">
        <f>IF(A60="","",A60&amp;"|"&amp;IF(B60="","Standard",B60))</f>
        <v/>
      </c>
      <c r="Q60">
        <f>IF(AND(A60&lt;&gt;"",A60='Firm Search'!$C$7),COUNTIF($A$5:A60,'Firm Search'!$C$7),"")</f>
        <v/>
      </c>
    </row>
    <row r="61">
      <c r="A61" s="64" t="n"/>
      <c r="B61" s="64" t="n"/>
      <c r="C61" s="66" t="n"/>
      <c r="D61" s="66" t="n"/>
      <c r="E61" s="67" t="n"/>
      <c r="F61" s="67" t="n"/>
      <c r="G61" s="67" t="n"/>
      <c r="H61" s="67" t="n"/>
      <c r="I61" s="67" t="n"/>
      <c r="J61" s="67" t="n"/>
      <c r="K61" s="67" t="n"/>
      <c r="L61" s="67" t="n"/>
      <c r="M61" s="64" t="n"/>
      <c r="N61" s="66" t="n"/>
      <c r="O61" s="84">
        <f>IF(A61="","",IF(OR(C61="",D61=""),"Enter both dates",IF(D61&lt;C61,"To is before From",IF(COUNTIFS($P$5:$P$2004,P61,$C$5:$C$2004,"&lt;="&amp;D61,$D$5:$D$2004,"&gt;="&amp;C61)&gt;1,"Overlaps another row","OK"))))</f>
        <v/>
      </c>
      <c r="P61">
        <f>IF(A61="","",A61&amp;"|"&amp;IF(B61="","Standard",B61))</f>
        <v/>
      </c>
      <c r="Q61">
        <f>IF(AND(A61&lt;&gt;"",A61='Firm Search'!$C$7),COUNTIF($A$5:A61,'Firm Search'!$C$7),"")</f>
        <v/>
      </c>
    </row>
    <row r="62">
      <c r="A62" s="64" t="n"/>
      <c r="B62" s="64" t="n"/>
      <c r="C62" s="66" t="n"/>
      <c r="D62" s="66" t="n"/>
      <c r="E62" s="67" t="n"/>
      <c r="F62" s="67" t="n"/>
      <c r="G62" s="67" t="n"/>
      <c r="H62" s="67" t="n"/>
      <c r="I62" s="67" t="n"/>
      <c r="J62" s="67" t="n"/>
      <c r="K62" s="67" t="n"/>
      <c r="L62" s="67" t="n"/>
      <c r="M62" s="64" t="n"/>
      <c r="N62" s="66" t="n"/>
      <c r="O62" s="84">
        <f>IF(A62="","",IF(OR(C62="",D62=""),"Enter both dates",IF(D62&lt;C62,"To is before From",IF(COUNTIFS($P$5:$P$2004,P62,$C$5:$C$2004,"&lt;="&amp;D62,$D$5:$D$2004,"&gt;="&amp;C62)&gt;1,"Overlaps another row","OK"))))</f>
        <v/>
      </c>
      <c r="P62">
        <f>IF(A62="","",A62&amp;"|"&amp;IF(B62="","Standard",B62))</f>
        <v/>
      </c>
      <c r="Q62">
        <f>IF(AND(A62&lt;&gt;"",A62='Firm Search'!$C$7),COUNTIF($A$5:A62,'Firm Search'!$C$7),"")</f>
        <v/>
      </c>
    </row>
    <row r="63">
      <c r="A63" s="64" t="n"/>
      <c r="B63" s="64" t="n"/>
      <c r="C63" s="66" t="n"/>
      <c r="D63" s="66" t="n"/>
      <c r="E63" s="67" t="n"/>
      <c r="F63" s="67" t="n"/>
      <c r="G63" s="67" t="n"/>
      <c r="H63" s="67" t="n"/>
      <c r="I63" s="67" t="n"/>
      <c r="J63" s="67" t="n"/>
      <c r="K63" s="67" t="n"/>
      <c r="L63" s="67" t="n"/>
      <c r="M63" s="64" t="n"/>
      <c r="N63" s="66" t="n"/>
      <c r="O63" s="84">
        <f>IF(A63="","",IF(OR(C63="",D63=""),"Enter both dates",IF(D63&lt;C63,"To is before From",IF(COUNTIFS($P$5:$P$2004,P63,$C$5:$C$2004,"&lt;="&amp;D63,$D$5:$D$2004,"&gt;="&amp;C63)&gt;1,"Overlaps another row","OK"))))</f>
        <v/>
      </c>
      <c r="P63">
        <f>IF(A63="","",A63&amp;"|"&amp;IF(B63="","Standard",B63))</f>
        <v/>
      </c>
      <c r="Q63">
        <f>IF(AND(A63&lt;&gt;"",A63='Firm Search'!$C$7),COUNTIF($A$5:A63,'Firm Search'!$C$7),"")</f>
        <v/>
      </c>
    </row>
    <row r="64">
      <c r="A64" s="64" t="n"/>
      <c r="B64" s="64" t="n"/>
      <c r="C64" s="66" t="n"/>
      <c r="D64" s="66" t="n"/>
      <c r="E64" s="67" t="n"/>
      <c r="F64" s="67" t="n"/>
      <c r="G64" s="67" t="n"/>
      <c r="H64" s="67" t="n"/>
      <c r="I64" s="67" t="n"/>
      <c r="J64" s="67" t="n"/>
      <c r="K64" s="67" t="n"/>
      <c r="L64" s="67" t="n"/>
      <c r="M64" s="64" t="n"/>
      <c r="N64" s="66" t="n"/>
      <c r="O64" s="84">
        <f>IF(A64="","",IF(OR(C64="",D64=""),"Enter both dates",IF(D64&lt;C64,"To is before From",IF(COUNTIFS($P$5:$P$2004,P64,$C$5:$C$2004,"&lt;="&amp;D64,$D$5:$D$2004,"&gt;="&amp;C64)&gt;1,"Overlaps another row","OK"))))</f>
        <v/>
      </c>
      <c r="P64">
        <f>IF(A64="","",A64&amp;"|"&amp;IF(B64="","Standard",B64))</f>
        <v/>
      </c>
      <c r="Q64">
        <f>IF(AND(A64&lt;&gt;"",A64='Firm Search'!$C$7),COUNTIF($A$5:A64,'Firm Search'!$C$7),"")</f>
        <v/>
      </c>
    </row>
    <row r="65">
      <c r="A65" s="64" t="n"/>
      <c r="B65" s="64" t="n"/>
      <c r="C65" s="66" t="n"/>
      <c r="D65" s="66" t="n"/>
      <c r="E65" s="67" t="n"/>
      <c r="F65" s="67" t="n"/>
      <c r="G65" s="67" t="n"/>
      <c r="H65" s="67" t="n"/>
      <c r="I65" s="67" t="n"/>
      <c r="J65" s="67" t="n"/>
      <c r="K65" s="67" t="n"/>
      <c r="L65" s="67" t="n"/>
      <c r="M65" s="64" t="n"/>
      <c r="N65" s="66" t="n"/>
      <c r="O65" s="84">
        <f>IF(A65="","",IF(OR(C65="",D65=""),"Enter both dates",IF(D65&lt;C65,"To is before From",IF(COUNTIFS($P$5:$P$2004,P65,$C$5:$C$2004,"&lt;="&amp;D65,$D$5:$D$2004,"&gt;="&amp;C65)&gt;1,"Overlaps another row","OK"))))</f>
        <v/>
      </c>
      <c r="P65">
        <f>IF(A65="","",A65&amp;"|"&amp;IF(B65="","Standard",B65))</f>
        <v/>
      </c>
      <c r="Q65">
        <f>IF(AND(A65&lt;&gt;"",A65='Firm Search'!$C$7),COUNTIF($A$5:A65,'Firm Search'!$C$7),"")</f>
        <v/>
      </c>
    </row>
    <row r="66">
      <c r="A66" s="64" t="n"/>
      <c r="B66" s="64" t="n"/>
      <c r="C66" s="66" t="n"/>
      <c r="D66" s="66" t="n"/>
      <c r="E66" s="67" t="n"/>
      <c r="F66" s="67" t="n"/>
      <c r="G66" s="67" t="n"/>
      <c r="H66" s="67" t="n"/>
      <c r="I66" s="67" t="n"/>
      <c r="J66" s="67" t="n"/>
      <c r="K66" s="67" t="n"/>
      <c r="L66" s="67" t="n"/>
      <c r="M66" s="64" t="n"/>
      <c r="N66" s="66" t="n"/>
      <c r="O66" s="84">
        <f>IF(A66="","",IF(OR(C66="",D66=""),"Enter both dates",IF(D66&lt;C66,"To is before From",IF(COUNTIFS($P$5:$P$2004,P66,$C$5:$C$2004,"&lt;="&amp;D66,$D$5:$D$2004,"&gt;="&amp;C66)&gt;1,"Overlaps another row","OK"))))</f>
        <v/>
      </c>
      <c r="P66">
        <f>IF(A66="","",A66&amp;"|"&amp;IF(B66="","Standard",B66))</f>
        <v/>
      </c>
      <c r="Q66">
        <f>IF(AND(A66&lt;&gt;"",A66='Firm Search'!$C$7),COUNTIF($A$5:A66,'Firm Search'!$C$7),"")</f>
        <v/>
      </c>
    </row>
    <row r="67">
      <c r="A67" s="64" t="n"/>
      <c r="B67" s="64" t="n"/>
      <c r="C67" s="66" t="n"/>
      <c r="D67" s="66" t="n"/>
      <c r="E67" s="67" t="n"/>
      <c r="F67" s="67" t="n"/>
      <c r="G67" s="67" t="n"/>
      <c r="H67" s="67" t="n"/>
      <c r="I67" s="67" t="n"/>
      <c r="J67" s="67" t="n"/>
      <c r="K67" s="67" t="n"/>
      <c r="L67" s="67" t="n"/>
      <c r="M67" s="64" t="n"/>
      <c r="N67" s="66" t="n"/>
      <c r="O67" s="84">
        <f>IF(A67="","",IF(OR(C67="",D67=""),"Enter both dates",IF(D67&lt;C67,"To is before From",IF(COUNTIFS($P$5:$P$2004,P67,$C$5:$C$2004,"&lt;="&amp;D67,$D$5:$D$2004,"&gt;="&amp;C67)&gt;1,"Overlaps another row","OK"))))</f>
        <v/>
      </c>
      <c r="P67">
        <f>IF(A67="","",A67&amp;"|"&amp;IF(B67="","Standard",B67))</f>
        <v/>
      </c>
      <c r="Q67">
        <f>IF(AND(A67&lt;&gt;"",A67='Firm Search'!$C$7),COUNTIF($A$5:A67,'Firm Search'!$C$7),"")</f>
        <v/>
      </c>
    </row>
    <row r="68">
      <c r="A68" s="64" t="n"/>
      <c r="B68" s="64" t="n"/>
      <c r="C68" s="66" t="n"/>
      <c r="D68" s="66" t="n"/>
      <c r="E68" s="67" t="n"/>
      <c r="F68" s="67" t="n"/>
      <c r="G68" s="67" t="n"/>
      <c r="H68" s="67" t="n"/>
      <c r="I68" s="67" t="n"/>
      <c r="J68" s="67" t="n"/>
      <c r="K68" s="67" t="n"/>
      <c r="L68" s="67" t="n"/>
      <c r="M68" s="64" t="n"/>
      <c r="N68" s="66" t="n"/>
      <c r="O68" s="84">
        <f>IF(A68="","",IF(OR(C68="",D68=""),"Enter both dates",IF(D68&lt;C68,"To is before From",IF(COUNTIFS($P$5:$P$2004,P68,$C$5:$C$2004,"&lt;="&amp;D68,$D$5:$D$2004,"&gt;="&amp;C68)&gt;1,"Overlaps another row","OK"))))</f>
        <v/>
      </c>
      <c r="P68">
        <f>IF(A68="","",A68&amp;"|"&amp;IF(B68="","Standard",B68))</f>
        <v/>
      </c>
      <c r="Q68">
        <f>IF(AND(A68&lt;&gt;"",A68='Firm Search'!$C$7),COUNTIF($A$5:A68,'Firm Search'!$C$7),"")</f>
        <v/>
      </c>
    </row>
    <row r="69">
      <c r="A69" s="64" t="n"/>
      <c r="B69" s="64" t="n"/>
      <c r="C69" s="66" t="n"/>
      <c r="D69" s="66" t="n"/>
      <c r="E69" s="67" t="n"/>
      <c r="F69" s="67" t="n"/>
      <c r="G69" s="67" t="n"/>
      <c r="H69" s="67" t="n"/>
      <c r="I69" s="67" t="n"/>
      <c r="J69" s="67" t="n"/>
      <c r="K69" s="67" t="n"/>
      <c r="L69" s="67" t="n"/>
      <c r="M69" s="64" t="n"/>
      <c r="N69" s="66" t="n"/>
      <c r="O69" s="84">
        <f>IF(A69="","",IF(OR(C69="",D69=""),"Enter both dates",IF(D69&lt;C69,"To is before From",IF(COUNTIFS($P$5:$P$2004,P69,$C$5:$C$2004,"&lt;="&amp;D69,$D$5:$D$2004,"&gt;="&amp;C69)&gt;1,"Overlaps another row","OK"))))</f>
        <v/>
      </c>
      <c r="P69">
        <f>IF(A69="","",A69&amp;"|"&amp;IF(B69="","Standard",B69))</f>
        <v/>
      </c>
      <c r="Q69">
        <f>IF(AND(A69&lt;&gt;"",A69='Firm Search'!$C$7),COUNTIF($A$5:A69,'Firm Search'!$C$7),"")</f>
        <v/>
      </c>
    </row>
    <row r="70">
      <c r="A70" s="64" t="n"/>
      <c r="B70" s="64" t="n"/>
      <c r="C70" s="66" t="n"/>
      <c r="D70" s="66" t="n"/>
      <c r="E70" s="67" t="n"/>
      <c r="F70" s="67" t="n"/>
      <c r="G70" s="67" t="n"/>
      <c r="H70" s="67" t="n"/>
      <c r="I70" s="67" t="n"/>
      <c r="J70" s="67" t="n"/>
      <c r="K70" s="67" t="n"/>
      <c r="L70" s="67" t="n"/>
      <c r="M70" s="64" t="n"/>
      <c r="N70" s="66" t="n"/>
      <c r="O70" s="84">
        <f>IF(A70="","",IF(OR(C70="",D70=""),"Enter both dates",IF(D70&lt;C70,"To is before From",IF(COUNTIFS($P$5:$P$2004,P70,$C$5:$C$2004,"&lt;="&amp;D70,$D$5:$D$2004,"&gt;="&amp;C70)&gt;1,"Overlaps another row","OK"))))</f>
        <v/>
      </c>
      <c r="P70">
        <f>IF(A70="","",A70&amp;"|"&amp;IF(B70="","Standard",B70))</f>
        <v/>
      </c>
      <c r="Q70">
        <f>IF(AND(A70&lt;&gt;"",A70='Firm Search'!$C$7),COUNTIF($A$5:A70,'Firm Search'!$C$7),"")</f>
        <v/>
      </c>
    </row>
    <row r="71">
      <c r="A71" s="64" t="n"/>
      <c r="B71" s="64" t="n"/>
      <c r="C71" s="66" t="n"/>
      <c r="D71" s="66" t="n"/>
      <c r="E71" s="67" t="n"/>
      <c r="F71" s="67" t="n"/>
      <c r="G71" s="67" t="n"/>
      <c r="H71" s="67" t="n"/>
      <c r="I71" s="67" t="n"/>
      <c r="J71" s="67" t="n"/>
      <c r="K71" s="67" t="n"/>
      <c r="L71" s="67" t="n"/>
      <c r="M71" s="64" t="n"/>
      <c r="N71" s="66" t="n"/>
      <c r="O71" s="84">
        <f>IF(A71="","",IF(OR(C71="",D71=""),"Enter both dates",IF(D71&lt;C71,"To is before From",IF(COUNTIFS($P$5:$P$2004,P71,$C$5:$C$2004,"&lt;="&amp;D71,$D$5:$D$2004,"&gt;="&amp;C71)&gt;1,"Overlaps another row","OK"))))</f>
        <v/>
      </c>
      <c r="P71">
        <f>IF(A71="","",A71&amp;"|"&amp;IF(B71="","Standard",B71))</f>
        <v/>
      </c>
      <c r="Q71">
        <f>IF(AND(A71&lt;&gt;"",A71='Firm Search'!$C$7),COUNTIF($A$5:A71,'Firm Search'!$C$7),"")</f>
        <v/>
      </c>
    </row>
    <row r="72">
      <c r="A72" s="64" t="n"/>
      <c r="B72" s="64" t="n"/>
      <c r="C72" s="66" t="n"/>
      <c r="D72" s="66" t="n"/>
      <c r="E72" s="67" t="n"/>
      <c r="F72" s="67" t="n"/>
      <c r="G72" s="67" t="n"/>
      <c r="H72" s="67" t="n"/>
      <c r="I72" s="67" t="n"/>
      <c r="J72" s="67" t="n"/>
      <c r="K72" s="67" t="n"/>
      <c r="L72" s="67" t="n"/>
      <c r="M72" s="64" t="n"/>
      <c r="N72" s="66" t="n"/>
      <c r="O72" s="84">
        <f>IF(A72="","",IF(OR(C72="",D72=""),"Enter both dates",IF(D72&lt;C72,"To is before From",IF(COUNTIFS($P$5:$P$2004,P72,$C$5:$C$2004,"&lt;="&amp;D72,$D$5:$D$2004,"&gt;="&amp;C72)&gt;1,"Overlaps another row","OK"))))</f>
        <v/>
      </c>
      <c r="P72">
        <f>IF(A72="","",A72&amp;"|"&amp;IF(B72="","Standard",B72))</f>
        <v/>
      </c>
      <c r="Q72">
        <f>IF(AND(A72&lt;&gt;"",A72='Firm Search'!$C$7),COUNTIF($A$5:A72,'Firm Search'!$C$7),"")</f>
        <v/>
      </c>
    </row>
    <row r="73">
      <c r="A73" s="64" t="n"/>
      <c r="B73" s="64" t="n"/>
      <c r="C73" s="66" t="n"/>
      <c r="D73" s="66" t="n"/>
      <c r="E73" s="67" t="n"/>
      <c r="F73" s="67" t="n"/>
      <c r="G73" s="67" t="n"/>
      <c r="H73" s="67" t="n"/>
      <c r="I73" s="67" t="n"/>
      <c r="J73" s="67" t="n"/>
      <c r="K73" s="67" t="n"/>
      <c r="L73" s="67" t="n"/>
      <c r="M73" s="64" t="n"/>
      <c r="N73" s="66" t="n"/>
      <c r="O73" s="84">
        <f>IF(A73="","",IF(OR(C73="",D73=""),"Enter both dates",IF(D73&lt;C73,"To is before From",IF(COUNTIFS($P$5:$P$2004,P73,$C$5:$C$2004,"&lt;="&amp;D73,$D$5:$D$2004,"&gt;="&amp;C73)&gt;1,"Overlaps another row","OK"))))</f>
        <v/>
      </c>
      <c r="P73">
        <f>IF(A73="","",A73&amp;"|"&amp;IF(B73="","Standard",B73))</f>
        <v/>
      </c>
      <c r="Q73">
        <f>IF(AND(A73&lt;&gt;"",A73='Firm Search'!$C$7),COUNTIF($A$5:A73,'Firm Search'!$C$7),"")</f>
        <v/>
      </c>
    </row>
    <row r="74">
      <c r="A74" s="64" t="n"/>
      <c r="B74" s="64" t="n"/>
      <c r="C74" s="66" t="n"/>
      <c r="D74" s="66" t="n"/>
      <c r="E74" s="67" t="n"/>
      <c r="F74" s="67" t="n"/>
      <c r="G74" s="67" t="n"/>
      <c r="H74" s="67" t="n"/>
      <c r="I74" s="67" t="n"/>
      <c r="J74" s="67" t="n"/>
      <c r="K74" s="67" t="n"/>
      <c r="L74" s="67" t="n"/>
      <c r="M74" s="64" t="n"/>
      <c r="N74" s="66" t="n"/>
      <c r="O74" s="84">
        <f>IF(A74="","",IF(OR(C74="",D74=""),"Enter both dates",IF(D74&lt;C74,"To is before From",IF(COUNTIFS($P$5:$P$2004,P74,$C$5:$C$2004,"&lt;="&amp;D74,$D$5:$D$2004,"&gt;="&amp;C74)&gt;1,"Overlaps another row","OK"))))</f>
        <v/>
      </c>
      <c r="P74">
        <f>IF(A74="","",A74&amp;"|"&amp;IF(B74="","Standard",B74))</f>
        <v/>
      </c>
      <c r="Q74">
        <f>IF(AND(A74&lt;&gt;"",A74='Firm Search'!$C$7),COUNTIF($A$5:A74,'Firm Search'!$C$7),"")</f>
        <v/>
      </c>
    </row>
    <row r="75">
      <c r="A75" s="64" t="n"/>
      <c r="B75" s="64" t="n"/>
      <c r="C75" s="66" t="n"/>
      <c r="D75" s="66" t="n"/>
      <c r="E75" s="67" t="n"/>
      <c r="F75" s="67" t="n"/>
      <c r="G75" s="67" t="n"/>
      <c r="H75" s="67" t="n"/>
      <c r="I75" s="67" t="n"/>
      <c r="J75" s="67" t="n"/>
      <c r="K75" s="67" t="n"/>
      <c r="L75" s="67" t="n"/>
      <c r="M75" s="64" t="n"/>
      <c r="N75" s="66" t="n"/>
      <c r="O75" s="84">
        <f>IF(A75="","",IF(OR(C75="",D75=""),"Enter both dates",IF(D75&lt;C75,"To is before From",IF(COUNTIFS($P$5:$P$2004,P75,$C$5:$C$2004,"&lt;="&amp;D75,$D$5:$D$2004,"&gt;="&amp;C75)&gt;1,"Overlaps another row","OK"))))</f>
        <v/>
      </c>
      <c r="P75">
        <f>IF(A75="","",A75&amp;"|"&amp;IF(B75="","Standard",B75))</f>
        <v/>
      </c>
      <c r="Q75">
        <f>IF(AND(A75&lt;&gt;"",A75='Firm Search'!$C$7),COUNTIF($A$5:A75,'Firm Search'!$C$7),"")</f>
        <v/>
      </c>
    </row>
    <row r="76">
      <c r="A76" s="64" t="n"/>
      <c r="B76" s="64" t="n"/>
      <c r="C76" s="66" t="n"/>
      <c r="D76" s="66" t="n"/>
      <c r="E76" s="67" t="n"/>
      <c r="F76" s="67" t="n"/>
      <c r="G76" s="67" t="n"/>
      <c r="H76" s="67" t="n"/>
      <c r="I76" s="67" t="n"/>
      <c r="J76" s="67" t="n"/>
      <c r="K76" s="67" t="n"/>
      <c r="L76" s="67" t="n"/>
      <c r="M76" s="64" t="n"/>
      <c r="N76" s="66" t="n"/>
      <c r="O76" s="84">
        <f>IF(A76="","",IF(OR(C76="",D76=""),"Enter both dates",IF(D76&lt;C76,"To is before From",IF(COUNTIFS($P$5:$P$2004,P76,$C$5:$C$2004,"&lt;="&amp;D76,$D$5:$D$2004,"&gt;="&amp;C76)&gt;1,"Overlaps another row","OK"))))</f>
        <v/>
      </c>
      <c r="P76">
        <f>IF(A76="","",A76&amp;"|"&amp;IF(B76="","Standard",B76))</f>
        <v/>
      </c>
      <c r="Q76">
        <f>IF(AND(A76&lt;&gt;"",A76='Firm Search'!$C$7),COUNTIF($A$5:A76,'Firm Search'!$C$7),"")</f>
        <v/>
      </c>
    </row>
    <row r="77">
      <c r="A77" s="64" t="n"/>
      <c r="B77" s="64" t="n"/>
      <c r="C77" s="66" t="n"/>
      <c r="D77" s="66" t="n"/>
      <c r="E77" s="67" t="n"/>
      <c r="F77" s="67" t="n"/>
      <c r="G77" s="67" t="n"/>
      <c r="H77" s="67" t="n"/>
      <c r="I77" s="67" t="n"/>
      <c r="J77" s="67" t="n"/>
      <c r="K77" s="67" t="n"/>
      <c r="L77" s="67" t="n"/>
      <c r="M77" s="64" t="n"/>
      <c r="N77" s="66" t="n"/>
      <c r="O77" s="84">
        <f>IF(A77="","",IF(OR(C77="",D77=""),"Enter both dates",IF(D77&lt;C77,"To is before From",IF(COUNTIFS($P$5:$P$2004,P77,$C$5:$C$2004,"&lt;="&amp;D77,$D$5:$D$2004,"&gt;="&amp;C77)&gt;1,"Overlaps another row","OK"))))</f>
        <v/>
      </c>
      <c r="P77">
        <f>IF(A77="","",A77&amp;"|"&amp;IF(B77="","Standard",B77))</f>
        <v/>
      </c>
      <c r="Q77">
        <f>IF(AND(A77&lt;&gt;"",A77='Firm Search'!$C$7),COUNTIF($A$5:A77,'Firm Search'!$C$7),"")</f>
        <v/>
      </c>
    </row>
    <row r="78">
      <c r="A78" s="64" t="n"/>
      <c r="B78" s="64" t="n"/>
      <c r="C78" s="66" t="n"/>
      <c r="D78" s="66" t="n"/>
      <c r="E78" s="67" t="n"/>
      <c r="F78" s="67" t="n"/>
      <c r="G78" s="67" t="n"/>
      <c r="H78" s="67" t="n"/>
      <c r="I78" s="67" t="n"/>
      <c r="J78" s="67" t="n"/>
      <c r="K78" s="67" t="n"/>
      <c r="L78" s="67" t="n"/>
      <c r="M78" s="64" t="n"/>
      <c r="N78" s="66" t="n"/>
      <c r="O78" s="84">
        <f>IF(A78="","",IF(OR(C78="",D78=""),"Enter both dates",IF(D78&lt;C78,"To is before From",IF(COUNTIFS($P$5:$P$2004,P78,$C$5:$C$2004,"&lt;="&amp;D78,$D$5:$D$2004,"&gt;="&amp;C78)&gt;1,"Overlaps another row","OK"))))</f>
        <v/>
      </c>
      <c r="P78">
        <f>IF(A78="","",A78&amp;"|"&amp;IF(B78="","Standard",B78))</f>
        <v/>
      </c>
      <c r="Q78">
        <f>IF(AND(A78&lt;&gt;"",A78='Firm Search'!$C$7),COUNTIF($A$5:A78,'Firm Search'!$C$7),"")</f>
        <v/>
      </c>
    </row>
    <row r="79">
      <c r="A79" s="64" t="n"/>
      <c r="B79" s="64" t="n"/>
      <c r="C79" s="66" t="n"/>
      <c r="D79" s="66" t="n"/>
      <c r="E79" s="67" t="n"/>
      <c r="F79" s="67" t="n"/>
      <c r="G79" s="67" t="n"/>
      <c r="H79" s="67" t="n"/>
      <c r="I79" s="67" t="n"/>
      <c r="J79" s="67" t="n"/>
      <c r="K79" s="67" t="n"/>
      <c r="L79" s="67" t="n"/>
      <c r="M79" s="64" t="n"/>
      <c r="N79" s="66" t="n"/>
      <c r="O79" s="84">
        <f>IF(A79="","",IF(OR(C79="",D79=""),"Enter both dates",IF(D79&lt;C79,"To is before From",IF(COUNTIFS($P$5:$P$2004,P79,$C$5:$C$2004,"&lt;="&amp;D79,$D$5:$D$2004,"&gt;="&amp;C79)&gt;1,"Overlaps another row","OK"))))</f>
        <v/>
      </c>
      <c r="P79">
        <f>IF(A79="","",A79&amp;"|"&amp;IF(B79="","Standard",B79))</f>
        <v/>
      </c>
      <c r="Q79">
        <f>IF(AND(A79&lt;&gt;"",A79='Firm Search'!$C$7),COUNTIF($A$5:A79,'Firm Search'!$C$7),"")</f>
        <v/>
      </c>
    </row>
    <row r="80">
      <c r="A80" s="64" t="n"/>
      <c r="B80" s="64" t="n"/>
      <c r="C80" s="66" t="n"/>
      <c r="D80" s="66" t="n"/>
      <c r="E80" s="67" t="n"/>
      <c r="F80" s="67" t="n"/>
      <c r="G80" s="67" t="n"/>
      <c r="H80" s="67" t="n"/>
      <c r="I80" s="67" t="n"/>
      <c r="J80" s="67" t="n"/>
      <c r="K80" s="67" t="n"/>
      <c r="L80" s="67" t="n"/>
      <c r="M80" s="64" t="n"/>
      <c r="N80" s="66" t="n"/>
      <c r="O80" s="84">
        <f>IF(A80="","",IF(OR(C80="",D80=""),"Enter both dates",IF(D80&lt;C80,"To is before From",IF(COUNTIFS($P$5:$P$2004,P80,$C$5:$C$2004,"&lt;="&amp;D80,$D$5:$D$2004,"&gt;="&amp;C80)&gt;1,"Overlaps another row","OK"))))</f>
        <v/>
      </c>
      <c r="P80">
        <f>IF(A80="","",A80&amp;"|"&amp;IF(B80="","Standard",B80))</f>
        <v/>
      </c>
      <c r="Q80">
        <f>IF(AND(A80&lt;&gt;"",A80='Firm Search'!$C$7),COUNTIF($A$5:A80,'Firm Search'!$C$7),"")</f>
        <v/>
      </c>
    </row>
    <row r="81">
      <c r="A81" s="64" t="n"/>
      <c r="B81" s="64" t="n"/>
      <c r="C81" s="66" t="n"/>
      <c r="D81" s="66" t="n"/>
      <c r="E81" s="67" t="n"/>
      <c r="F81" s="67" t="n"/>
      <c r="G81" s="67" t="n"/>
      <c r="H81" s="67" t="n"/>
      <c r="I81" s="67" t="n"/>
      <c r="J81" s="67" t="n"/>
      <c r="K81" s="67" t="n"/>
      <c r="L81" s="67" t="n"/>
      <c r="M81" s="64" t="n"/>
      <c r="N81" s="66" t="n"/>
      <c r="O81" s="84">
        <f>IF(A81="","",IF(OR(C81="",D81=""),"Enter both dates",IF(D81&lt;C81,"To is before From",IF(COUNTIFS($P$5:$P$2004,P81,$C$5:$C$2004,"&lt;="&amp;D81,$D$5:$D$2004,"&gt;="&amp;C81)&gt;1,"Overlaps another row","OK"))))</f>
        <v/>
      </c>
      <c r="P81">
        <f>IF(A81="","",A81&amp;"|"&amp;IF(B81="","Standard",B81))</f>
        <v/>
      </c>
      <c r="Q81">
        <f>IF(AND(A81&lt;&gt;"",A81='Firm Search'!$C$7),COUNTIF($A$5:A81,'Firm Search'!$C$7),"")</f>
        <v/>
      </c>
    </row>
    <row r="82">
      <c r="A82" s="64" t="n"/>
      <c r="B82" s="64" t="n"/>
      <c r="C82" s="66" t="n"/>
      <c r="D82" s="66" t="n"/>
      <c r="E82" s="67" t="n"/>
      <c r="F82" s="67" t="n"/>
      <c r="G82" s="67" t="n"/>
      <c r="H82" s="67" t="n"/>
      <c r="I82" s="67" t="n"/>
      <c r="J82" s="67" t="n"/>
      <c r="K82" s="67" t="n"/>
      <c r="L82" s="67" t="n"/>
      <c r="M82" s="64" t="n"/>
      <c r="N82" s="66" t="n"/>
      <c r="O82" s="84">
        <f>IF(A82="","",IF(OR(C82="",D82=""),"Enter both dates",IF(D82&lt;C82,"To is before From",IF(COUNTIFS($P$5:$P$2004,P82,$C$5:$C$2004,"&lt;="&amp;D82,$D$5:$D$2004,"&gt;="&amp;C82)&gt;1,"Overlaps another row","OK"))))</f>
        <v/>
      </c>
      <c r="P82">
        <f>IF(A82="","",A82&amp;"|"&amp;IF(B82="","Standard",B82))</f>
        <v/>
      </c>
      <c r="Q82">
        <f>IF(AND(A82&lt;&gt;"",A82='Firm Search'!$C$7),COUNTIF($A$5:A82,'Firm Search'!$C$7),"")</f>
        <v/>
      </c>
    </row>
    <row r="83">
      <c r="A83" s="64" t="n"/>
      <c r="B83" s="64" t="n"/>
      <c r="C83" s="66" t="n"/>
      <c r="D83" s="66" t="n"/>
      <c r="E83" s="67" t="n"/>
      <c r="F83" s="67" t="n"/>
      <c r="G83" s="67" t="n"/>
      <c r="H83" s="67" t="n"/>
      <c r="I83" s="67" t="n"/>
      <c r="J83" s="67" t="n"/>
      <c r="K83" s="67" t="n"/>
      <c r="L83" s="67" t="n"/>
      <c r="M83" s="64" t="n"/>
      <c r="N83" s="66" t="n"/>
      <c r="O83" s="84">
        <f>IF(A83="","",IF(OR(C83="",D83=""),"Enter both dates",IF(D83&lt;C83,"To is before From",IF(COUNTIFS($P$5:$P$2004,P83,$C$5:$C$2004,"&lt;="&amp;D83,$D$5:$D$2004,"&gt;="&amp;C83)&gt;1,"Overlaps another row","OK"))))</f>
        <v/>
      </c>
      <c r="P83">
        <f>IF(A83="","",A83&amp;"|"&amp;IF(B83="","Standard",B83))</f>
        <v/>
      </c>
      <c r="Q83">
        <f>IF(AND(A83&lt;&gt;"",A83='Firm Search'!$C$7),COUNTIF($A$5:A83,'Firm Search'!$C$7),"")</f>
        <v/>
      </c>
    </row>
    <row r="84">
      <c r="A84" s="64" t="n"/>
      <c r="B84" s="64" t="n"/>
      <c r="C84" s="66" t="n"/>
      <c r="D84" s="66" t="n"/>
      <c r="E84" s="67" t="n"/>
      <c r="F84" s="67" t="n"/>
      <c r="G84" s="67" t="n"/>
      <c r="H84" s="67" t="n"/>
      <c r="I84" s="67" t="n"/>
      <c r="J84" s="67" t="n"/>
      <c r="K84" s="67" t="n"/>
      <c r="L84" s="67" t="n"/>
      <c r="M84" s="64" t="n"/>
      <c r="N84" s="66" t="n"/>
      <c r="O84" s="84">
        <f>IF(A84="","",IF(OR(C84="",D84=""),"Enter both dates",IF(D84&lt;C84,"To is before From",IF(COUNTIFS($P$5:$P$2004,P84,$C$5:$C$2004,"&lt;="&amp;D84,$D$5:$D$2004,"&gt;="&amp;C84)&gt;1,"Overlaps another row","OK"))))</f>
        <v/>
      </c>
      <c r="P84">
        <f>IF(A84="","",A84&amp;"|"&amp;IF(B84="","Standard",B84))</f>
        <v/>
      </c>
      <c r="Q84">
        <f>IF(AND(A84&lt;&gt;"",A84='Firm Search'!$C$7),COUNTIF($A$5:A84,'Firm Search'!$C$7),"")</f>
        <v/>
      </c>
    </row>
    <row r="85">
      <c r="A85" s="64" t="n"/>
      <c r="B85" s="64" t="n"/>
      <c r="C85" s="66" t="n"/>
      <c r="D85" s="66" t="n"/>
      <c r="E85" s="67" t="n"/>
      <c r="F85" s="67" t="n"/>
      <c r="G85" s="67" t="n"/>
      <c r="H85" s="67" t="n"/>
      <c r="I85" s="67" t="n"/>
      <c r="J85" s="67" t="n"/>
      <c r="K85" s="67" t="n"/>
      <c r="L85" s="67" t="n"/>
      <c r="M85" s="64" t="n"/>
      <c r="N85" s="66" t="n"/>
      <c r="O85" s="84">
        <f>IF(A85="","",IF(OR(C85="",D85=""),"Enter both dates",IF(D85&lt;C85,"To is before From",IF(COUNTIFS($P$5:$P$2004,P85,$C$5:$C$2004,"&lt;="&amp;D85,$D$5:$D$2004,"&gt;="&amp;C85)&gt;1,"Overlaps another row","OK"))))</f>
        <v/>
      </c>
      <c r="P85">
        <f>IF(A85="","",A85&amp;"|"&amp;IF(B85="","Standard",B85))</f>
        <v/>
      </c>
      <c r="Q85">
        <f>IF(AND(A85&lt;&gt;"",A85='Firm Search'!$C$7),COUNTIF($A$5:A85,'Firm Search'!$C$7),"")</f>
        <v/>
      </c>
    </row>
    <row r="86">
      <c r="A86" s="64" t="n"/>
      <c r="B86" s="64" t="n"/>
      <c r="C86" s="66" t="n"/>
      <c r="D86" s="66" t="n"/>
      <c r="E86" s="67" t="n"/>
      <c r="F86" s="67" t="n"/>
      <c r="G86" s="67" t="n"/>
      <c r="H86" s="67" t="n"/>
      <c r="I86" s="67" t="n"/>
      <c r="J86" s="67" t="n"/>
      <c r="K86" s="67" t="n"/>
      <c r="L86" s="67" t="n"/>
      <c r="M86" s="64" t="n"/>
      <c r="N86" s="66" t="n"/>
      <c r="O86" s="84">
        <f>IF(A86="","",IF(OR(C86="",D86=""),"Enter both dates",IF(D86&lt;C86,"To is before From",IF(COUNTIFS($P$5:$P$2004,P86,$C$5:$C$2004,"&lt;="&amp;D86,$D$5:$D$2004,"&gt;="&amp;C86)&gt;1,"Overlaps another row","OK"))))</f>
        <v/>
      </c>
      <c r="P86">
        <f>IF(A86="","",A86&amp;"|"&amp;IF(B86="","Standard",B86))</f>
        <v/>
      </c>
      <c r="Q86">
        <f>IF(AND(A86&lt;&gt;"",A86='Firm Search'!$C$7),COUNTIF($A$5:A86,'Firm Search'!$C$7),"")</f>
        <v/>
      </c>
    </row>
    <row r="87">
      <c r="A87" s="64" t="n"/>
      <c r="B87" s="64" t="n"/>
      <c r="C87" s="66" t="n"/>
      <c r="D87" s="66" t="n"/>
      <c r="E87" s="67" t="n"/>
      <c r="F87" s="67" t="n"/>
      <c r="G87" s="67" t="n"/>
      <c r="H87" s="67" t="n"/>
      <c r="I87" s="67" t="n"/>
      <c r="J87" s="67" t="n"/>
      <c r="K87" s="67" t="n"/>
      <c r="L87" s="67" t="n"/>
      <c r="M87" s="64" t="n"/>
      <c r="N87" s="66" t="n"/>
      <c r="O87" s="84">
        <f>IF(A87="","",IF(OR(C87="",D87=""),"Enter both dates",IF(D87&lt;C87,"To is before From",IF(COUNTIFS($P$5:$P$2004,P87,$C$5:$C$2004,"&lt;="&amp;D87,$D$5:$D$2004,"&gt;="&amp;C87)&gt;1,"Overlaps another row","OK"))))</f>
        <v/>
      </c>
      <c r="P87">
        <f>IF(A87="","",A87&amp;"|"&amp;IF(B87="","Standard",B87))</f>
        <v/>
      </c>
      <c r="Q87">
        <f>IF(AND(A87&lt;&gt;"",A87='Firm Search'!$C$7),COUNTIF($A$5:A87,'Firm Search'!$C$7),"")</f>
        <v/>
      </c>
    </row>
    <row r="88">
      <c r="A88" s="64" t="n"/>
      <c r="B88" s="64" t="n"/>
      <c r="C88" s="66" t="n"/>
      <c r="D88" s="66" t="n"/>
      <c r="E88" s="67" t="n"/>
      <c r="F88" s="67" t="n"/>
      <c r="G88" s="67" t="n"/>
      <c r="H88" s="67" t="n"/>
      <c r="I88" s="67" t="n"/>
      <c r="J88" s="67" t="n"/>
      <c r="K88" s="67" t="n"/>
      <c r="L88" s="67" t="n"/>
      <c r="M88" s="64" t="n"/>
      <c r="N88" s="66" t="n"/>
      <c r="O88" s="84">
        <f>IF(A88="","",IF(OR(C88="",D88=""),"Enter both dates",IF(D88&lt;C88,"To is before From",IF(COUNTIFS($P$5:$P$2004,P88,$C$5:$C$2004,"&lt;="&amp;D88,$D$5:$D$2004,"&gt;="&amp;C88)&gt;1,"Overlaps another row","OK"))))</f>
        <v/>
      </c>
      <c r="P88">
        <f>IF(A88="","",A88&amp;"|"&amp;IF(B88="","Standard",B88))</f>
        <v/>
      </c>
      <c r="Q88">
        <f>IF(AND(A88&lt;&gt;"",A88='Firm Search'!$C$7),COUNTIF($A$5:A88,'Firm Search'!$C$7),"")</f>
        <v/>
      </c>
    </row>
    <row r="89">
      <c r="A89" s="64" t="n"/>
      <c r="B89" s="64" t="n"/>
      <c r="C89" s="66" t="n"/>
      <c r="D89" s="66" t="n"/>
      <c r="E89" s="67" t="n"/>
      <c r="F89" s="67" t="n"/>
      <c r="G89" s="67" t="n"/>
      <c r="H89" s="67" t="n"/>
      <c r="I89" s="67" t="n"/>
      <c r="J89" s="67" t="n"/>
      <c r="K89" s="67" t="n"/>
      <c r="L89" s="67" t="n"/>
      <c r="M89" s="64" t="n"/>
      <c r="N89" s="66" t="n"/>
      <c r="O89" s="84">
        <f>IF(A89="","",IF(OR(C89="",D89=""),"Enter both dates",IF(D89&lt;C89,"To is before From",IF(COUNTIFS($P$5:$P$2004,P89,$C$5:$C$2004,"&lt;="&amp;D89,$D$5:$D$2004,"&gt;="&amp;C89)&gt;1,"Overlaps another row","OK"))))</f>
        <v/>
      </c>
      <c r="P89">
        <f>IF(A89="","",A89&amp;"|"&amp;IF(B89="","Standard",B89))</f>
        <v/>
      </c>
      <c r="Q89">
        <f>IF(AND(A89&lt;&gt;"",A89='Firm Search'!$C$7),COUNTIF($A$5:A89,'Firm Search'!$C$7),"")</f>
        <v/>
      </c>
    </row>
    <row r="90">
      <c r="A90" s="64" t="n"/>
      <c r="B90" s="64" t="n"/>
      <c r="C90" s="66" t="n"/>
      <c r="D90" s="66" t="n"/>
      <c r="E90" s="67" t="n"/>
      <c r="F90" s="67" t="n"/>
      <c r="G90" s="67" t="n"/>
      <c r="H90" s="67" t="n"/>
      <c r="I90" s="67" t="n"/>
      <c r="J90" s="67" t="n"/>
      <c r="K90" s="67" t="n"/>
      <c r="L90" s="67" t="n"/>
      <c r="M90" s="64" t="n"/>
      <c r="N90" s="66" t="n"/>
      <c r="O90" s="84">
        <f>IF(A90="","",IF(OR(C90="",D90=""),"Enter both dates",IF(D90&lt;C90,"To is before From",IF(COUNTIFS($P$5:$P$2004,P90,$C$5:$C$2004,"&lt;="&amp;D90,$D$5:$D$2004,"&gt;="&amp;C90)&gt;1,"Overlaps another row","OK"))))</f>
        <v/>
      </c>
      <c r="P90">
        <f>IF(A90="","",A90&amp;"|"&amp;IF(B90="","Standard",B90))</f>
        <v/>
      </c>
      <c r="Q90">
        <f>IF(AND(A90&lt;&gt;"",A90='Firm Search'!$C$7),COUNTIF($A$5:A90,'Firm Search'!$C$7),"")</f>
        <v/>
      </c>
    </row>
    <row r="91">
      <c r="A91" s="64" t="n"/>
      <c r="B91" s="64" t="n"/>
      <c r="C91" s="66" t="n"/>
      <c r="D91" s="66" t="n"/>
      <c r="E91" s="67" t="n"/>
      <c r="F91" s="67" t="n"/>
      <c r="G91" s="67" t="n"/>
      <c r="H91" s="67" t="n"/>
      <c r="I91" s="67" t="n"/>
      <c r="J91" s="67" t="n"/>
      <c r="K91" s="67" t="n"/>
      <c r="L91" s="67" t="n"/>
      <c r="M91" s="64" t="n"/>
      <c r="N91" s="66" t="n"/>
      <c r="O91" s="84">
        <f>IF(A91="","",IF(OR(C91="",D91=""),"Enter both dates",IF(D91&lt;C91,"To is before From",IF(COUNTIFS($P$5:$P$2004,P91,$C$5:$C$2004,"&lt;="&amp;D91,$D$5:$D$2004,"&gt;="&amp;C91)&gt;1,"Overlaps another row","OK"))))</f>
        <v/>
      </c>
      <c r="P91">
        <f>IF(A91="","",A91&amp;"|"&amp;IF(B91="","Standard",B91))</f>
        <v/>
      </c>
      <c r="Q91">
        <f>IF(AND(A91&lt;&gt;"",A91='Firm Search'!$C$7),COUNTIF($A$5:A91,'Firm Search'!$C$7),"")</f>
        <v/>
      </c>
    </row>
    <row r="92">
      <c r="A92" s="64" t="n"/>
      <c r="B92" s="64" t="n"/>
      <c r="C92" s="66" t="n"/>
      <c r="D92" s="66" t="n"/>
      <c r="E92" s="67" t="n"/>
      <c r="F92" s="67" t="n"/>
      <c r="G92" s="67" t="n"/>
      <c r="H92" s="67" t="n"/>
      <c r="I92" s="67" t="n"/>
      <c r="J92" s="67" t="n"/>
      <c r="K92" s="67" t="n"/>
      <c r="L92" s="67" t="n"/>
      <c r="M92" s="64" t="n"/>
      <c r="N92" s="66" t="n"/>
      <c r="O92" s="84">
        <f>IF(A92="","",IF(OR(C92="",D92=""),"Enter both dates",IF(D92&lt;C92,"To is before From",IF(COUNTIFS($P$5:$P$2004,P92,$C$5:$C$2004,"&lt;="&amp;D92,$D$5:$D$2004,"&gt;="&amp;C92)&gt;1,"Overlaps another row","OK"))))</f>
        <v/>
      </c>
      <c r="P92">
        <f>IF(A92="","",A92&amp;"|"&amp;IF(B92="","Standard",B92))</f>
        <v/>
      </c>
      <c r="Q92">
        <f>IF(AND(A92&lt;&gt;"",A92='Firm Search'!$C$7),COUNTIF($A$5:A92,'Firm Search'!$C$7),"")</f>
        <v/>
      </c>
    </row>
    <row r="93">
      <c r="A93" s="64" t="n"/>
      <c r="B93" s="64" t="n"/>
      <c r="C93" s="66" t="n"/>
      <c r="D93" s="66" t="n"/>
      <c r="E93" s="67" t="n"/>
      <c r="F93" s="67" t="n"/>
      <c r="G93" s="67" t="n"/>
      <c r="H93" s="67" t="n"/>
      <c r="I93" s="67" t="n"/>
      <c r="J93" s="67" t="n"/>
      <c r="K93" s="67" t="n"/>
      <c r="L93" s="67" t="n"/>
      <c r="M93" s="64" t="n"/>
      <c r="N93" s="66" t="n"/>
      <c r="O93" s="84">
        <f>IF(A93="","",IF(OR(C93="",D93=""),"Enter both dates",IF(D93&lt;C93,"To is before From",IF(COUNTIFS($P$5:$P$2004,P93,$C$5:$C$2004,"&lt;="&amp;D93,$D$5:$D$2004,"&gt;="&amp;C93)&gt;1,"Overlaps another row","OK"))))</f>
        <v/>
      </c>
      <c r="P93">
        <f>IF(A93="","",A93&amp;"|"&amp;IF(B93="","Standard",B93))</f>
        <v/>
      </c>
      <c r="Q93">
        <f>IF(AND(A93&lt;&gt;"",A93='Firm Search'!$C$7),COUNTIF($A$5:A93,'Firm Search'!$C$7),"")</f>
        <v/>
      </c>
    </row>
    <row r="94">
      <c r="A94" s="64" t="n"/>
      <c r="B94" s="64" t="n"/>
      <c r="C94" s="66" t="n"/>
      <c r="D94" s="66" t="n"/>
      <c r="E94" s="67" t="n"/>
      <c r="F94" s="67" t="n"/>
      <c r="G94" s="67" t="n"/>
      <c r="H94" s="67" t="n"/>
      <c r="I94" s="67" t="n"/>
      <c r="J94" s="67" t="n"/>
      <c r="K94" s="67" t="n"/>
      <c r="L94" s="67" t="n"/>
      <c r="M94" s="64" t="n"/>
      <c r="N94" s="66" t="n"/>
      <c r="O94" s="84">
        <f>IF(A94="","",IF(OR(C94="",D94=""),"Enter both dates",IF(D94&lt;C94,"To is before From",IF(COUNTIFS($P$5:$P$2004,P94,$C$5:$C$2004,"&lt;="&amp;D94,$D$5:$D$2004,"&gt;="&amp;C94)&gt;1,"Overlaps another row","OK"))))</f>
        <v/>
      </c>
      <c r="P94">
        <f>IF(A94="","",A94&amp;"|"&amp;IF(B94="","Standard",B94))</f>
        <v/>
      </c>
      <c r="Q94">
        <f>IF(AND(A94&lt;&gt;"",A94='Firm Search'!$C$7),COUNTIF($A$5:A94,'Firm Search'!$C$7),"")</f>
        <v/>
      </c>
    </row>
    <row r="95">
      <c r="A95" s="64" t="n"/>
      <c r="B95" s="64" t="n"/>
      <c r="C95" s="66" t="n"/>
      <c r="D95" s="66" t="n"/>
      <c r="E95" s="67" t="n"/>
      <c r="F95" s="67" t="n"/>
      <c r="G95" s="67" t="n"/>
      <c r="H95" s="67" t="n"/>
      <c r="I95" s="67" t="n"/>
      <c r="J95" s="67" t="n"/>
      <c r="K95" s="67" t="n"/>
      <c r="L95" s="67" t="n"/>
      <c r="M95" s="64" t="n"/>
      <c r="N95" s="66" t="n"/>
      <c r="O95" s="84">
        <f>IF(A95="","",IF(OR(C95="",D95=""),"Enter both dates",IF(D95&lt;C95,"To is before From",IF(COUNTIFS($P$5:$P$2004,P95,$C$5:$C$2004,"&lt;="&amp;D95,$D$5:$D$2004,"&gt;="&amp;C95)&gt;1,"Overlaps another row","OK"))))</f>
        <v/>
      </c>
      <c r="P95">
        <f>IF(A95="","",A95&amp;"|"&amp;IF(B95="","Standard",B95))</f>
        <v/>
      </c>
      <c r="Q95">
        <f>IF(AND(A95&lt;&gt;"",A95='Firm Search'!$C$7),COUNTIF($A$5:A95,'Firm Search'!$C$7),"")</f>
        <v/>
      </c>
    </row>
    <row r="96">
      <c r="A96" s="64" t="n"/>
      <c r="B96" s="64" t="n"/>
      <c r="C96" s="66" t="n"/>
      <c r="D96" s="66" t="n"/>
      <c r="E96" s="67" t="n"/>
      <c r="F96" s="67" t="n"/>
      <c r="G96" s="67" t="n"/>
      <c r="H96" s="67" t="n"/>
      <c r="I96" s="67" t="n"/>
      <c r="J96" s="67" t="n"/>
      <c r="K96" s="67" t="n"/>
      <c r="L96" s="67" t="n"/>
      <c r="M96" s="64" t="n"/>
      <c r="N96" s="66" t="n"/>
      <c r="O96" s="84">
        <f>IF(A96="","",IF(OR(C96="",D96=""),"Enter both dates",IF(D96&lt;C96,"To is before From",IF(COUNTIFS($P$5:$P$2004,P96,$C$5:$C$2004,"&lt;="&amp;D96,$D$5:$D$2004,"&gt;="&amp;C96)&gt;1,"Overlaps another row","OK"))))</f>
        <v/>
      </c>
      <c r="P96">
        <f>IF(A96="","",A96&amp;"|"&amp;IF(B96="","Standard",B96))</f>
        <v/>
      </c>
      <c r="Q96">
        <f>IF(AND(A96&lt;&gt;"",A96='Firm Search'!$C$7),COUNTIF($A$5:A96,'Firm Search'!$C$7),"")</f>
        <v/>
      </c>
    </row>
    <row r="97">
      <c r="A97" s="64" t="n"/>
      <c r="B97" s="64" t="n"/>
      <c r="C97" s="66" t="n"/>
      <c r="D97" s="66" t="n"/>
      <c r="E97" s="67" t="n"/>
      <c r="F97" s="67" t="n"/>
      <c r="G97" s="67" t="n"/>
      <c r="H97" s="67" t="n"/>
      <c r="I97" s="67" t="n"/>
      <c r="J97" s="67" t="n"/>
      <c r="K97" s="67" t="n"/>
      <c r="L97" s="67" t="n"/>
      <c r="M97" s="64" t="n"/>
      <c r="N97" s="66" t="n"/>
      <c r="O97" s="84">
        <f>IF(A97="","",IF(OR(C97="",D97=""),"Enter both dates",IF(D97&lt;C97,"To is before From",IF(COUNTIFS($P$5:$P$2004,P97,$C$5:$C$2004,"&lt;="&amp;D97,$D$5:$D$2004,"&gt;="&amp;C97)&gt;1,"Overlaps another row","OK"))))</f>
        <v/>
      </c>
      <c r="P97">
        <f>IF(A97="","",A97&amp;"|"&amp;IF(B97="","Standard",B97))</f>
        <v/>
      </c>
      <c r="Q97">
        <f>IF(AND(A97&lt;&gt;"",A97='Firm Search'!$C$7),COUNTIF($A$5:A97,'Firm Search'!$C$7),"")</f>
        <v/>
      </c>
    </row>
    <row r="98">
      <c r="A98" s="64" t="n"/>
      <c r="B98" s="64" t="n"/>
      <c r="C98" s="66" t="n"/>
      <c r="D98" s="66" t="n"/>
      <c r="E98" s="67" t="n"/>
      <c r="F98" s="67" t="n"/>
      <c r="G98" s="67" t="n"/>
      <c r="H98" s="67" t="n"/>
      <c r="I98" s="67" t="n"/>
      <c r="J98" s="67" t="n"/>
      <c r="K98" s="67" t="n"/>
      <c r="L98" s="67" t="n"/>
      <c r="M98" s="64" t="n"/>
      <c r="N98" s="66" t="n"/>
      <c r="O98" s="84">
        <f>IF(A98="","",IF(OR(C98="",D98=""),"Enter both dates",IF(D98&lt;C98,"To is before From",IF(COUNTIFS($P$5:$P$2004,P98,$C$5:$C$2004,"&lt;="&amp;D98,$D$5:$D$2004,"&gt;="&amp;C98)&gt;1,"Overlaps another row","OK"))))</f>
        <v/>
      </c>
      <c r="P98">
        <f>IF(A98="","",A98&amp;"|"&amp;IF(B98="","Standard",B98))</f>
        <v/>
      </c>
      <c r="Q98">
        <f>IF(AND(A98&lt;&gt;"",A98='Firm Search'!$C$7),COUNTIF($A$5:A98,'Firm Search'!$C$7),"")</f>
        <v/>
      </c>
    </row>
    <row r="99">
      <c r="A99" s="64" t="n"/>
      <c r="B99" s="64" t="n"/>
      <c r="C99" s="66" t="n"/>
      <c r="D99" s="66" t="n"/>
      <c r="E99" s="67" t="n"/>
      <c r="F99" s="67" t="n"/>
      <c r="G99" s="67" t="n"/>
      <c r="H99" s="67" t="n"/>
      <c r="I99" s="67" t="n"/>
      <c r="J99" s="67" t="n"/>
      <c r="K99" s="67" t="n"/>
      <c r="L99" s="67" t="n"/>
      <c r="M99" s="64" t="n"/>
      <c r="N99" s="66" t="n"/>
      <c r="O99" s="84">
        <f>IF(A99="","",IF(OR(C99="",D99=""),"Enter both dates",IF(D99&lt;C99,"To is before From",IF(COUNTIFS($P$5:$P$2004,P99,$C$5:$C$2004,"&lt;="&amp;D99,$D$5:$D$2004,"&gt;="&amp;C99)&gt;1,"Overlaps another row","OK"))))</f>
        <v/>
      </c>
      <c r="P99">
        <f>IF(A99="","",A99&amp;"|"&amp;IF(B99="","Standard",B99))</f>
        <v/>
      </c>
      <c r="Q99">
        <f>IF(AND(A99&lt;&gt;"",A99='Firm Search'!$C$7),COUNTIF($A$5:A99,'Firm Search'!$C$7),"")</f>
        <v/>
      </c>
    </row>
    <row r="100">
      <c r="A100" s="64" t="n"/>
      <c r="B100" s="64" t="n"/>
      <c r="C100" s="66" t="n"/>
      <c r="D100" s="66" t="n"/>
      <c r="E100" s="67" t="n"/>
      <c r="F100" s="67" t="n"/>
      <c r="G100" s="67" t="n"/>
      <c r="H100" s="67" t="n"/>
      <c r="I100" s="67" t="n"/>
      <c r="J100" s="67" t="n"/>
      <c r="K100" s="67" t="n"/>
      <c r="L100" s="67" t="n"/>
      <c r="M100" s="64" t="n"/>
      <c r="N100" s="66" t="n"/>
      <c r="O100" s="84">
        <f>IF(A100="","",IF(OR(C100="",D100=""),"Enter both dates",IF(D100&lt;C100,"To is before From",IF(COUNTIFS($P$5:$P$2004,P100,$C$5:$C$2004,"&lt;="&amp;D100,$D$5:$D$2004,"&gt;="&amp;C100)&gt;1,"Overlaps another row","OK"))))</f>
        <v/>
      </c>
      <c r="P100">
        <f>IF(A100="","",A100&amp;"|"&amp;IF(B100="","Standard",B100))</f>
        <v/>
      </c>
      <c r="Q100">
        <f>IF(AND(A100&lt;&gt;"",A100='Firm Search'!$C$7),COUNTIF($A$5:A100,'Firm Search'!$C$7),"")</f>
        <v/>
      </c>
    </row>
    <row r="101">
      <c r="A101" s="64" t="n"/>
      <c r="B101" s="64" t="n"/>
      <c r="C101" s="66" t="n"/>
      <c r="D101" s="66" t="n"/>
      <c r="E101" s="67" t="n"/>
      <c r="F101" s="67" t="n"/>
      <c r="G101" s="67" t="n"/>
      <c r="H101" s="67" t="n"/>
      <c r="I101" s="67" t="n"/>
      <c r="J101" s="67" t="n"/>
      <c r="K101" s="67" t="n"/>
      <c r="L101" s="67" t="n"/>
      <c r="M101" s="64" t="n"/>
      <c r="N101" s="66" t="n"/>
      <c r="O101" s="84">
        <f>IF(A101="","",IF(OR(C101="",D101=""),"Enter both dates",IF(D101&lt;C101,"To is before From",IF(COUNTIFS($P$5:$P$2004,P101,$C$5:$C$2004,"&lt;="&amp;D101,$D$5:$D$2004,"&gt;="&amp;C101)&gt;1,"Overlaps another row","OK"))))</f>
        <v/>
      </c>
      <c r="P101">
        <f>IF(A101="","",A101&amp;"|"&amp;IF(B101="","Standard",B101))</f>
        <v/>
      </c>
      <c r="Q101">
        <f>IF(AND(A101&lt;&gt;"",A101='Firm Search'!$C$7),COUNTIF($A$5:A101,'Firm Search'!$C$7),"")</f>
        <v/>
      </c>
    </row>
    <row r="102">
      <c r="A102" s="64" t="n"/>
      <c r="B102" s="64" t="n"/>
      <c r="C102" s="66" t="n"/>
      <c r="D102" s="66" t="n"/>
      <c r="E102" s="67" t="n"/>
      <c r="F102" s="67" t="n"/>
      <c r="G102" s="67" t="n"/>
      <c r="H102" s="67" t="n"/>
      <c r="I102" s="67" t="n"/>
      <c r="J102" s="67" t="n"/>
      <c r="K102" s="67" t="n"/>
      <c r="L102" s="67" t="n"/>
      <c r="M102" s="64" t="n"/>
      <c r="N102" s="66" t="n"/>
      <c r="O102" s="84">
        <f>IF(A102="","",IF(OR(C102="",D102=""),"Enter both dates",IF(D102&lt;C102,"To is before From",IF(COUNTIFS($P$5:$P$2004,P102,$C$5:$C$2004,"&lt;="&amp;D102,$D$5:$D$2004,"&gt;="&amp;C102)&gt;1,"Overlaps another row","OK"))))</f>
        <v/>
      </c>
      <c r="P102">
        <f>IF(A102="","",A102&amp;"|"&amp;IF(B102="","Standard",B102))</f>
        <v/>
      </c>
      <c r="Q102">
        <f>IF(AND(A102&lt;&gt;"",A102='Firm Search'!$C$7),COUNTIF($A$5:A102,'Firm Search'!$C$7),"")</f>
        <v/>
      </c>
    </row>
    <row r="103">
      <c r="A103" s="64" t="n"/>
      <c r="B103" s="64" t="n"/>
      <c r="C103" s="66" t="n"/>
      <c r="D103" s="66" t="n"/>
      <c r="E103" s="67" t="n"/>
      <c r="F103" s="67" t="n"/>
      <c r="G103" s="67" t="n"/>
      <c r="H103" s="67" t="n"/>
      <c r="I103" s="67" t="n"/>
      <c r="J103" s="67" t="n"/>
      <c r="K103" s="67" t="n"/>
      <c r="L103" s="67" t="n"/>
      <c r="M103" s="64" t="n"/>
      <c r="N103" s="66" t="n"/>
      <c r="O103" s="84">
        <f>IF(A103="","",IF(OR(C103="",D103=""),"Enter both dates",IF(D103&lt;C103,"To is before From",IF(COUNTIFS($P$5:$P$2004,P103,$C$5:$C$2004,"&lt;="&amp;D103,$D$5:$D$2004,"&gt;="&amp;C103)&gt;1,"Overlaps another row","OK"))))</f>
        <v/>
      </c>
      <c r="P103">
        <f>IF(A103="","",A103&amp;"|"&amp;IF(B103="","Standard",B103))</f>
        <v/>
      </c>
      <c r="Q103">
        <f>IF(AND(A103&lt;&gt;"",A103='Firm Search'!$C$7),COUNTIF($A$5:A103,'Firm Search'!$C$7),"")</f>
        <v/>
      </c>
    </row>
    <row r="104">
      <c r="A104" s="64" t="n"/>
      <c r="B104" s="64" t="n"/>
      <c r="C104" s="66" t="n"/>
      <c r="D104" s="66" t="n"/>
      <c r="E104" s="67" t="n"/>
      <c r="F104" s="67" t="n"/>
      <c r="G104" s="67" t="n"/>
      <c r="H104" s="67" t="n"/>
      <c r="I104" s="67" t="n"/>
      <c r="J104" s="67" t="n"/>
      <c r="K104" s="67" t="n"/>
      <c r="L104" s="67" t="n"/>
      <c r="M104" s="64" t="n"/>
      <c r="N104" s="66" t="n"/>
      <c r="O104" s="84">
        <f>IF(A104="","",IF(OR(C104="",D104=""),"Enter both dates",IF(D104&lt;C104,"To is before From",IF(COUNTIFS($P$5:$P$2004,P104,$C$5:$C$2004,"&lt;="&amp;D104,$D$5:$D$2004,"&gt;="&amp;C104)&gt;1,"Overlaps another row","OK"))))</f>
        <v/>
      </c>
      <c r="P104">
        <f>IF(A104="","",A104&amp;"|"&amp;IF(B104="","Standard",B104))</f>
        <v/>
      </c>
      <c r="Q104">
        <f>IF(AND(A104&lt;&gt;"",A104='Firm Search'!$C$7),COUNTIF($A$5:A104,'Firm Search'!$C$7),"")</f>
        <v/>
      </c>
    </row>
    <row r="105">
      <c r="A105" s="64" t="n"/>
      <c r="B105" s="64" t="n"/>
      <c r="C105" s="66" t="n"/>
      <c r="D105" s="66" t="n"/>
      <c r="E105" s="67" t="n"/>
      <c r="F105" s="67" t="n"/>
      <c r="G105" s="67" t="n"/>
      <c r="H105" s="67" t="n"/>
      <c r="I105" s="67" t="n"/>
      <c r="J105" s="67" t="n"/>
      <c r="K105" s="67" t="n"/>
      <c r="L105" s="67" t="n"/>
      <c r="M105" s="64" t="n"/>
      <c r="N105" s="66" t="n"/>
      <c r="O105" s="84">
        <f>IF(A105="","",IF(OR(C105="",D105=""),"Enter both dates",IF(D105&lt;C105,"To is before From",IF(COUNTIFS($P$5:$P$2004,P105,$C$5:$C$2004,"&lt;="&amp;D105,$D$5:$D$2004,"&gt;="&amp;C105)&gt;1,"Overlaps another row","OK"))))</f>
        <v/>
      </c>
      <c r="P105">
        <f>IF(A105="","",A105&amp;"|"&amp;IF(B105="","Standard",B105))</f>
        <v/>
      </c>
      <c r="Q105">
        <f>IF(AND(A105&lt;&gt;"",A105='Firm Search'!$C$7),COUNTIF($A$5:A105,'Firm Search'!$C$7),"")</f>
        <v/>
      </c>
    </row>
    <row r="106">
      <c r="A106" s="64" t="n"/>
      <c r="B106" s="64" t="n"/>
      <c r="C106" s="66" t="n"/>
      <c r="D106" s="66" t="n"/>
      <c r="E106" s="67" t="n"/>
      <c r="F106" s="67" t="n"/>
      <c r="G106" s="67" t="n"/>
      <c r="H106" s="67" t="n"/>
      <c r="I106" s="67" t="n"/>
      <c r="J106" s="67" t="n"/>
      <c r="K106" s="67" t="n"/>
      <c r="L106" s="67" t="n"/>
      <c r="M106" s="64" t="n"/>
      <c r="N106" s="66" t="n"/>
      <c r="O106" s="84">
        <f>IF(A106="","",IF(OR(C106="",D106=""),"Enter both dates",IF(D106&lt;C106,"To is before From",IF(COUNTIFS($P$5:$P$2004,P106,$C$5:$C$2004,"&lt;="&amp;D106,$D$5:$D$2004,"&gt;="&amp;C106)&gt;1,"Overlaps another row","OK"))))</f>
        <v/>
      </c>
      <c r="P106">
        <f>IF(A106="","",A106&amp;"|"&amp;IF(B106="","Standard",B106))</f>
        <v/>
      </c>
      <c r="Q106">
        <f>IF(AND(A106&lt;&gt;"",A106='Firm Search'!$C$7),COUNTIF($A$5:A106,'Firm Search'!$C$7),"")</f>
        <v/>
      </c>
    </row>
    <row r="107">
      <c r="A107" s="64" t="n"/>
      <c r="B107" s="64" t="n"/>
      <c r="C107" s="66" t="n"/>
      <c r="D107" s="66" t="n"/>
      <c r="E107" s="67" t="n"/>
      <c r="F107" s="67" t="n"/>
      <c r="G107" s="67" t="n"/>
      <c r="H107" s="67" t="n"/>
      <c r="I107" s="67" t="n"/>
      <c r="J107" s="67" t="n"/>
      <c r="K107" s="67" t="n"/>
      <c r="L107" s="67" t="n"/>
      <c r="M107" s="64" t="n"/>
      <c r="N107" s="66" t="n"/>
      <c r="O107" s="84">
        <f>IF(A107="","",IF(OR(C107="",D107=""),"Enter both dates",IF(D107&lt;C107,"To is before From",IF(COUNTIFS($P$5:$P$2004,P107,$C$5:$C$2004,"&lt;="&amp;D107,$D$5:$D$2004,"&gt;="&amp;C107)&gt;1,"Overlaps another row","OK"))))</f>
        <v/>
      </c>
      <c r="P107">
        <f>IF(A107="","",A107&amp;"|"&amp;IF(B107="","Standard",B107))</f>
        <v/>
      </c>
      <c r="Q107">
        <f>IF(AND(A107&lt;&gt;"",A107='Firm Search'!$C$7),COUNTIF($A$5:A107,'Firm Search'!$C$7),"")</f>
        <v/>
      </c>
    </row>
    <row r="108">
      <c r="A108" s="64" t="n"/>
      <c r="B108" s="64" t="n"/>
      <c r="C108" s="66" t="n"/>
      <c r="D108" s="66" t="n"/>
      <c r="E108" s="67" t="n"/>
      <c r="F108" s="67" t="n"/>
      <c r="G108" s="67" t="n"/>
      <c r="H108" s="67" t="n"/>
      <c r="I108" s="67" t="n"/>
      <c r="J108" s="67" t="n"/>
      <c r="K108" s="67" t="n"/>
      <c r="L108" s="67" t="n"/>
      <c r="M108" s="64" t="n"/>
      <c r="N108" s="66" t="n"/>
      <c r="O108" s="84">
        <f>IF(A108="","",IF(OR(C108="",D108=""),"Enter both dates",IF(D108&lt;C108,"To is before From",IF(COUNTIFS($P$5:$P$2004,P108,$C$5:$C$2004,"&lt;="&amp;D108,$D$5:$D$2004,"&gt;="&amp;C108)&gt;1,"Overlaps another row","OK"))))</f>
        <v/>
      </c>
      <c r="P108">
        <f>IF(A108="","",A108&amp;"|"&amp;IF(B108="","Standard",B108))</f>
        <v/>
      </c>
      <c r="Q108">
        <f>IF(AND(A108&lt;&gt;"",A108='Firm Search'!$C$7),COUNTIF($A$5:A108,'Firm Search'!$C$7),"")</f>
        <v/>
      </c>
    </row>
    <row r="109">
      <c r="A109" s="64" t="n"/>
      <c r="B109" s="64" t="n"/>
      <c r="C109" s="66" t="n"/>
      <c r="D109" s="66" t="n"/>
      <c r="E109" s="67" t="n"/>
      <c r="F109" s="67" t="n"/>
      <c r="G109" s="67" t="n"/>
      <c r="H109" s="67" t="n"/>
      <c r="I109" s="67" t="n"/>
      <c r="J109" s="67" t="n"/>
      <c r="K109" s="67" t="n"/>
      <c r="L109" s="67" t="n"/>
      <c r="M109" s="64" t="n"/>
      <c r="N109" s="66" t="n"/>
      <c r="O109" s="84">
        <f>IF(A109="","",IF(OR(C109="",D109=""),"Enter both dates",IF(D109&lt;C109,"To is before From",IF(COUNTIFS($P$5:$P$2004,P109,$C$5:$C$2004,"&lt;="&amp;D109,$D$5:$D$2004,"&gt;="&amp;C109)&gt;1,"Overlaps another row","OK"))))</f>
        <v/>
      </c>
      <c r="P109">
        <f>IF(A109="","",A109&amp;"|"&amp;IF(B109="","Standard",B109))</f>
        <v/>
      </c>
      <c r="Q109">
        <f>IF(AND(A109&lt;&gt;"",A109='Firm Search'!$C$7),COUNTIF($A$5:A109,'Firm Search'!$C$7),"")</f>
        <v/>
      </c>
    </row>
    <row r="110">
      <c r="A110" s="64" t="n"/>
      <c r="B110" s="64" t="n"/>
      <c r="C110" s="66" t="n"/>
      <c r="D110" s="66" t="n"/>
      <c r="E110" s="67" t="n"/>
      <c r="F110" s="67" t="n"/>
      <c r="G110" s="67" t="n"/>
      <c r="H110" s="67" t="n"/>
      <c r="I110" s="67" t="n"/>
      <c r="J110" s="67" t="n"/>
      <c r="K110" s="67" t="n"/>
      <c r="L110" s="67" t="n"/>
      <c r="M110" s="64" t="n"/>
      <c r="N110" s="66" t="n"/>
      <c r="O110" s="84">
        <f>IF(A110="","",IF(OR(C110="",D110=""),"Enter both dates",IF(D110&lt;C110,"To is before From",IF(COUNTIFS($P$5:$P$2004,P110,$C$5:$C$2004,"&lt;="&amp;D110,$D$5:$D$2004,"&gt;="&amp;C110)&gt;1,"Overlaps another row","OK"))))</f>
        <v/>
      </c>
      <c r="P110">
        <f>IF(A110="","",A110&amp;"|"&amp;IF(B110="","Standard",B110))</f>
        <v/>
      </c>
      <c r="Q110">
        <f>IF(AND(A110&lt;&gt;"",A110='Firm Search'!$C$7),COUNTIF($A$5:A110,'Firm Search'!$C$7),"")</f>
        <v/>
      </c>
    </row>
    <row r="111">
      <c r="A111" s="64" t="n"/>
      <c r="B111" s="64" t="n"/>
      <c r="C111" s="66" t="n"/>
      <c r="D111" s="66" t="n"/>
      <c r="E111" s="67" t="n"/>
      <c r="F111" s="67" t="n"/>
      <c r="G111" s="67" t="n"/>
      <c r="H111" s="67" t="n"/>
      <c r="I111" s="67" t="n"/>
      <c r="J111" s="67" t="n"/>
      <c r="K111" s="67" t="n"/>
      <c r="L111" s="67" t="n"/>
      <c r="M111" s="64" t="n"/>
      <c r="N111" s="66" t="n"/>
      <c r="O111" s="84">
        <f>IF(A111="","",IF(OR(C111="",D111=""),"Enter both dates",IF(D111&lt;C111,"To is before From",IF(COUNTIFS($P$5:$P$2004,P111,$C$5:$C$2004,"&lt;="&amp;D111,$D$5:$D$2004,"&gt;="&amp;C111)&gt;1,"Overlaps another row","OK"))))</f>
        <v/>
      </c>
      <c r="P111">
        <f>IF(A111="","",A111&amp;"|"&amp;IF(B111="","Standard",B111))</f>
        <v/>
      </c>
      <c r="Q111">
        <f>IF(AND(A111&lt;&gt;"",A111='Firm Search'!$C$7),COUNTIF($A$5:A111,'Firm Search'!$C$7),"")</f>
        <v/>
      </c>
    </row>
    <row r="112">
      <c r="A112" s="64" t="n"/>
      <c r="B112" s="64" t="n"/>
      <c r="C112" s="66" t="n"/>
      <c r="D112" s="66" t="n"/>
      <c r="E112" s="67" t="n"/>
      <c r="F112" s="67" t="n"/>
      <c r="G112" s="67" t="n"/>
      <c r="H112" s="67" t="n"/>
      <c r="I112" s="67" t="n"/>
      <c r="J112" s="67" t="n"/>
      <c r="K112" s="67" t="n"/>
      <c r="L112" s="67" t="n"/>
      <c r="M112" s="64" t="n"/>
      <c r="N112" s="66" t="n"/>
      <c r="O112" s="84">
        <f>IF(A112="","",IF(OR(C112="",D112=""),"Enter both dates",IF(D112&lt;C112,"To is before From",IF(COUNTIFS($P$5:$P$2004,P112,$C$5:$C$2004,"&lt;="&amp;D112,$D$5:$D$2004,"&gt;="&amp;C112)&gt;1,"Overlaps another row","OK"))))</f>
        <v/>
      </c>
      <c r="P112">
        <f>IF(A112="","",A112&amp;"|"&amp;IF(B112="","Standard",B112))</f>
        <v/>
      </c>
      <c r="Q112">
        <f>IF(AND(A112&lt;&gt;"",A112='Firm Search'!$C$7),COUNTIF($A$5:A112,'Firm Search'!$C$7),"")</f>
        <v/>
      </c>
    </row>
    <row r="113">
      <c r="A113" s="64" t="n"/>
      <c r="B113" s="64" t="n"/>
      <c r="C113" s="66" t="n"/>
      <c r="D113" s="66" t="n"/>
      <c r="E113" s="67" t="n"/>
      <c r="F113" s="67" t="n"/>
      <c r="G113" s="67" t="n"/>
      <c r="H113" s="67" t="n"/>
      <c r="I113" s="67" t="n"/>
      <c r="J113" s="67" t="n"/>
      <c r="K113" s="67" t="n"/>
      <c r="L113" s="67" t="n"/>
      <c r="M113" s="64" t="n"/>
      <c r="N113" s="66" t="n"/>
      <c r="O113" s="84">
        <f>IF(A113="","",IF(OR(C113="",D113=""),"Enter both dates",IF(D113&lt;C113,"To is before From",IF(COUNTIFS($P$5:$P$2004,P113,$C$5:$C$2004,"&lt;="&amp;D113,$D$5:$D$2004,"&gt;="&amp;C113)&gt;1,"Overlaps another row","OK"))))</f>
        <v/>
      </c>
      <c r="P113">
        <f>IF(A113="","",A113&amp;"|"&amp;IF(B113="","Standard",B113))</f>
        <v/>
      </c>
      <c r="Q113">
        <f>IF(AND(A113&lt;&gt;"",A113='Firm Search'!$C$7),COUNTIF($A$5:A113,'Firm Search'!$C$7),"")</f>
        <v/>
      </c>
    </row>
    <row r="114">
      <c r="A114" s="64" t="n"/>
      <c r="B114" s="64" t="n"/>
      <c r="C114" s="66" t="n"/>
      <c r="D114" s="66" t="n"/>
      <c r="E114" s="67" t="n"/>
      <c r="F114" s="67" t="n"/>
      <c r="G114" s="67" t="n"/>
      <c r="H114" s="67" t="n"/>
      <c r="I114" s="67" t="n"/>
      <c r="J114" s="67" t="n"/>
      <c r="K114" s="67" t="n"/>
      <c r="L114" s="67" t="n"/>
      <c r="M114" s="64" t="n"/>
      <c r="N114" s="66" t="n"/>
      <c r="O114" s="84">
        <f>IF(A114="","",IF(OR(C114="",D114=""),"Enter both dates",IF(D114&lt;C114,"To is before From",IF(COUNTIFS($P$5:$P$2004,P114,$C$5:$C$2004,"&lt;="&amp;D114,$D$5:$D$2004,"&gt;="&amp;C114)&gt;1,"Overlaps another row","OK"))))</f>
        <v/>
      </c>
      <c r="P114">
        <f>IF(A114="","",A114&amp;"|"&amp;IF(B114="","Standard",B114))</f>
        <v/>
      </c>
      <c r="Q114">
        <f>IF(AND(A114&lt;&gt;"",A114='Firm Search'!$C$7),COUNTIF($A$5:A114,'Firm Search'!$C$7),"")</f>
        <v/>
      </c>
    </row>
    <row r="115">
      <c r="A115" s="64" t="n"/>
      <c r="B115" s="64" t="n"/>
      <c r="C115" s="66" t="n"/>
      <c r="D115" s="66" t="n"/>
      <c r="E115" s="67" t="n"/>
      <c r="F115" s="67" t="n"/>
      <c r="G115" s="67" t="n"/>
      <c r="H115" s="67" t="n"/>
      <c r="I115" s="67" t="n"/>
      <c r="J115" s="67" t="n"/>
      <c r="K115" s="67" t="n"/>
      <c r="L115" s="67" t="n"/>
      <c r="M115" s="64" t="n"/>
      <c r="N115" s="66" t="n"/>
      <c r="O115" s="84">
        <f>IF(A115="","",IF(OR(C115="",D115=""),"Enter both dates",IF(D115&lt;C115,"To is before From",IF(COUNTIFS($P$5:$P$2004,P115,$C$5:$C$2004,"&lt;="&amp;D115,$D$5:$D$2004,"&gt;="&amp;C115)&gt;1,"Overlaps another row","OK"))))</f>
        <v/>
      </c>
      <c r="P115">
        <f>IF(A115="","",A115&amp;"|"&amp;IF(B115="","Standard",B115))</f>
        <v/>
      </c>
      <c r="Q115">
        <f>IF(AND(A115&lt;&gt;"",A115='Firm Search'!$C$7),COUNTIF($A$5:A115,'Firm Search'!$C$7),"")</f>
        <v/>
      </c>
    </row>
    <row r="116">
      <c r="A116" s="64" t="n"/>
      <c r="B116" s="64" t="n"/>
      <c r="C116" s="66" t="n"/>
      <c r="D116" s="66" t="n"/>
      <c r="E116" s="67" t="n"/>
      <c r="F116" s="67" t="n"/>
      <c r="G116" s="67" t="n"/>
      <c r="H116" s="67" t="n"/>
      <c r="I116" s="67" t="n"/>
      <c r="J116" s="67" t="n"/>
      <c r="K116" s="67" t="n"/>
      <c r="L116" s="67" t="n"/>
      <c r="M116" s="64" t="n"/>
      <c r="N116" s="66" t="n"/>
      <c r="O116" s="84">
        <f>IF(A116="","",IF(OR(C116="",D116=""),"Enter both dates",IF(D116&lt;C116,"To is before From",IF(COUNTIFS($P$5:$P$2004,P116,$C$5:$C$2004,"&lt;="&amp;D116,$D$5:$D$2004,"&gt;="&amp;C116)&gt;1,"Overlaps another row","OK"))))</f>
        <v/>
      </c>
      <c r="P116">
        <f>IF(A116="","",A116&amp;"|"&amp;IF(B116="","Standard",B116))</f>
        <v/>
      </c>
      <c r="Q116">
        <f>IF(AND(A116&lt;&gt;"",A116='Firm Search'!$C$7),COUNTIF($A$5:A116,'Firm Search'!$C$7),"")</f>
        <v/>
      </c>
    </row>
    <row r="117">
      <c r="A117" s="64" t="n"/>
      <c r="B117" s="64" t="n"/>
      <c r="C117" s="66" t="n"/>
      <c r="D117" s="66" t="n"/>
      <c r="E117" s="67" t="n"/>
      <c r="F117" s="67" t="n"/>
      <c r="G117" s="67" t="n"/>
      <c r="H117" s="67" t="n"/>
      <c r="I117" s="67" t="n"/>
      <c r="J117" s="67" t="n"/>
      <c r="K117" s="67" t="n"/>
      <c r="L117" s="67" t="n"/>
      <c r="M117" s="64" t="n"/>
      <c r="N117" s="66" t="n"/>
      <c r="O117" s="84">
        <f>IF(A117="","",IF(OR(C117="",D117=""),"Enter both dates",IF(D117&lt;C117,"To is before From",IF(COUNTIFS($P$5:$P$2004,P117,$C$5:$C$2004,"&lt;="&amp;D117,$D$5:$D$2004,"&gt;="&amp;C117)&gt;1,"Overlaps another row","OK"))))</f>
        <v/>
      </c>
      <c r="P117">
        <f>IF(A117="","",A117&amp;"|"&amp;IF(B117="","Standard",B117))</f>
        <v/>
      </c>
      <c r="Q117">
        <f>IF(AND(A117&lt;&gt;"",A117='Firm Search'!$C$7),COUNTIF($A$5:A117,'Firm Search'!$C$7),"")</f>
        <v/>
      </c>
    </row>
    <row r="118">
      <c r="A118" s="64" t="n"/>
      <c r="B118" s="64" t="n"/>
      <c r="C118" s="66" t="n"/>
      <c r="D118" s="66" t="n"/>
      <c r="E118" s="67" t="n"/>
      <c r="F118" s="67" t="n"/>
      <c r="G118" s="67" t="n"/>
      <c r="H118" s="67" t="n"/>
      <c r="I118" s="67" t="n"/>
      <c r="J118" s="67" t="n"/>
      <c r="K118" s="67" t="n"/>
      <c r="L118" s="67" t="n"/>
      <c r="M118" s="64" t="n"/>
      <c r="N118" s="66" t="n"/>
      <c r="O118" s="84">
        <f>IF(A118="","",IF(OR(C118="",D118=""),"Enter both dates",IF(D118&lt;C118,"To is before From",IF(COUNTIFS($P$5:$P$2004,P118,$C$5:$C$2004,"&lt;="&amp;D118,$D$5:$D$2004,"&gt;="&amp;C118)&gt;1,"Overlaps another row","OK"))))</f>
        <v/>
      </c>
      <c r="P118">
        <f>IF(A118="","",A118&amp;"|"&amp;IF(B118="","Standard",B118))</f>
        <v/>
      </c>
      <c r="Q118">
        <f>IF(AND(A118&lt;&gt;"",A118='Firm Search'!$C$7),COUNTIF($A$5:A118,'Firm Search'!$C$7),"")</f>
        <v/>
      </c>
    </row>
    <row r="119">
      <c r="A119" s="64" t="n"/>
      <c r="B119" s="64" t="n"/>
      <c r="C119" s="66" t="n"/>
      <c r="D119" s="66" t="n"/>
      <c r="E119" s="67" t="n"/>
      <c r="F119" s="67" t="n"/>
      <c r="G119" s="67" t="n"/>
      <c r="H119" s="67" t="n"/>
      <c r="I119" s="67" t="n"/>
      <c r="J119" s="67" t="n"/>
      <c r="K119" s="67" t="n"/>
      <c r="L119" s="67" t="n"/>
      <c r="M119" s="64" t="n"/>
      <c r="N119" s="66" t="n"/>
      <c r="O119" s="84">
        <f>IF(A119="","",IF(OR(C119="",D119=""),"Enter both dates",IF(D119&lt;C119,"To is before From",IF(COUNTIFS($P$5:$P$2004,P119,$C$5:$C$2004,"&lt;="&amp;D119,$D$5:$D$2004,"&gt;="&amp;C119)&gt;1,"Overlaps another row","OK"))))</f>
        <v/>
      </c>
      <c r="P119">
        <f>IF(A119="","",A119&amp;"|"&amp;IF(B119="","Standard",B119))</f>
        <v/>
      </c>
      <c r="Q119">
        <f>IF(AND(A119&lt;&gt;"",A119='Firm Search'!$C$7),COUNTIF($A$5:A119,'Firm Search'!$C$7),"")</f>
        <v/>
      </c>
    </row>
    <row r="120">
      <c r="A120" s="64" t="n"/>
      <c r="B120" s="64" t="n"/>
      <c r="C120" s="66" t="n"/>
      <c r="D120" s="66" t="n"/>
      <c r="E120" s="67" t="n"/>
      <c r="F120" s="67" t="n"/>
      <c r="G120" s="67" t="n"/>
      <c r="H120" s="67" t="n"/>
      <c r="I120" s="67" t="n"/>
      <c r="J120" s="67" t="n"/>
      <c r="K120" s="67" t="n"/>
      <c r="L120" s="67" t="n"/>
      <c r="M120" s="64" t="n"/>
      <c r="N120" s="66" t="n"/>
      <c r="O120" s="84">
        <f>IF(A120="","",IF(OR(C120="",D120=""),"Enter both dates",IF(D120&lt;C120,"To is before From",IF(COUNTIFS($P$5:$P$2004,P120,$C$5:$C$2004,"&lt;="&amp;D120,$D$5:$D$2004,"&gt;="&amp;C120)&gt;1,"Overlaps another row","OK"))))</f>
        <v/>
      </c>
      <c r="P120">
        <f>IF(A120="","",A120&amp;"|"&amp;IF(B120="","Standard",B120))</f>
        <v/>
      </c>
      <c r="Q120">
        <f>IF(AND(A120&lt;&gt;"",A120='Firm Search'!$C$7),COUNTIF($A$5:A120,'Firm Search'!$C$7),"")</f>
        <v/>
      </c>
    </row>
    <row r="121">
      <c r="A121" s="64" t="n"/>
      <c r="B121" s="64" t="n"/>
      <c r="C121" s="66" t="n"/>
      <c r="D121" s="66" t="n"/>
      <c r="E121" s="67" t="n"/>
      <c r="F121" s="67" t="n"/>
      <c r="G121" s="67" t="n"/>
      <c r="H121" s="67" t="n"/>
      <c r="I121" s="67" t="n"/>
      <c r="J121" s="67" t="n"/>
      <c r="K121" s="67" t="n"/>
      <c r="L121" s="67" t="n"/>
      <c r="M121" s="64" t="n"/>
      <c r="N121" s="66" t="n"/>
      <c r="O121" s="84">
        <f>IF(A121="","",IF(OR(C121="",D121=""),"Enter both dates",IF(D121&lt;C121,"To is before From",IF(COUNTIFS($P$5:$P$2004,P121,$C$5:$C$2004,"&lt;="&amp;D121,$D$5:$D$2004,"&gt;="&amp;C121)&gt;1,"Overlaps another row","OK"))))</f>
        <v/>
      </c>
      <c r="P121">
        <f>IF(A121="","",A121&amp;"|"&amp;IF(B121="","Standard",B121))</f>
        <v/>
      </c>
      <c r="Q121">
        <f>IF(AND(A121&lt;&gt;"",A121='Firm Search'!$C$7),COUNTIF($A$5:A121,'Firm Search'!$C$7),"")</f>
        <v/>
      </c>
    </row>
    <row r="122">
      <c r="A122" s="64" t="n"/>
      <c r="B122" s="64" t="n"/>
      <c r="C122" s="66" t="n"/>
      <c r="D122" s="66" t="n"/>
      <c r="E122" s="67" t="n"/>
      <c r="F122" s="67" t="n"/>
      <c r="G122" s="67" t="n"/>
      <c r="H122" s="67" t="n"/>
      <c r="I122" s="67" t="n"/>
      <c r="J122" s="67" t="n"/>
      <c r="K122" s="67" t="n"/>
      <c r="L122" s="67" t="n"/>
      <c r="M122" s="64" t="n"/>
      <c r="N122" s="66" t="n"/>
      <c r="O122" s="84">
        <f>IF(A122="","",IF(OR(C122="",D122=""),"Enter both dates",IF(D122&lt;C122,"To is before From",IF(COUNTIFS($P$5:$P$2004,P122,$C$5:$C$2004,"&lt;="&amp;D122,$D$5:$D$2004,"&gt;="&amp;C122)&gt;1,"Overlaps another row","OK"))))</f>
        <v/>
      </c>
      <c r="P122">
        <f>IF(A122="","",A122&amp;"|"&amp;IF(B122="","Standard",B122))</f>
        <v/>
      </c>
      <c r="Q122">
        <f>IF(AND(A122&lt;&gt;"",A122='Firm Search'!$C$7),COUNTIF($A$5:A122,'Firm Search'!$C$7),"")</f>
        <v/>
      </c>
    </row>
    <row r="123">
      <c r="A123" s="64" t="n"/>
      <c r="B123" s="64" t="n"/>
      <c r="C123" s="66" t="n"/>
      <c r="D123" s="66" t="n"/>
      <c r="E123" s="67" t="n"/>
      <c r="F123" s="67" t="n"/>
      <c r="G123" s="67" t="n"/>
      <c r="H123" s="67" t="n"/>
      <c r="I123" s="67" t="n"/>
      <c r="J123" s="67" t="n"/>
      <c r="K123" s="67" t="n"/>
      <c r="L123" s="67" t="n"/>
      <c r="M123" s="64" t="n"/>
      <c r="N123" s="66" t="n"/>
      <c r="O123" s="84">
        <f>IF(A123="","",IF(OR(C123="",D123=""),"Enter both dates",IF(D123&lt;C123,"To is before From",IF(COUNTIFS($P$5:$P$2004,P123,$C$5:$C$2004,"&lt;="&amp;D123,$D$5:$D$2004,"&gt;="&amp;C123)&gt;1,"Overlaps another row","OK"))))</f>
        <v/>
      </c>
      <c r="P123">
        <f>IF(A123="","",A123&amp;"|"&amp;IF(B123="","Standard",B123))</f>
        <v/>
      </c>
      <c r="Q123">
        <f>IF(AND(A123&lt;&gt;"",A123='Firm Search'!$C$7),COUNTIF($A$5:A123,'Firm Search'!$C$7),"")</f>
        <v/>
      </c>
    </row>
    <row r="124">
      <c r="A124" s="64" t="n"/>
      <c r="B124" s="64" t="n"/>
      <c r="C124" s="66" t="n"/>
      <c r="D124" s="66" t="n"/>
      <c r="E124" s="67" t="n"/>
      <c r="F124" s="67" t="n"/>
      <c r="G124" s="67" t="n"/>
      <c r="H124" s="67" t="n"/>
      <c r="I124" s="67" t="n"/>
      <c r="J124" s="67" t="n"/>
      <c r="K124" s="67" t="n"/>
      <c r="L124" s="67" t="n"/>
      <c r="M124" s="64" t="n"/>
      <c r="N124" s="66" t="n"/>
      <c r="O124" s="84">
        <f>IF(A124="","",IF(OR(C124="",D124=""),"Enter both dates",IF(D124&lt;C124,"To is before From",IF(COUNTIFS($P$5:$P$2004,P124,$C$5:$C$2004,"&lt;="&amp;D124,$D$5:$D$2004,"&gt;="&amp;C124)&gt;1,"Overlaps another row","OK"))))</f>
        <v/>
      </c>
      <c r="P124">
        <f>IF(A124="","",A124&amp;"|"&amp;IF(B124="","Standard",B124))</f>
        <v/>
      </c>
      <c r="Q124">
        <f>IF(AND(A124&lt;&gt;"",A124='Firm Search'!$C$7),COUNTIF($A$5:A124,'Firm Search'!$C$7),"")</f>
        <v/>
      </c>
    </row>
    <row r="125">
      <c r="A125" s="64" t="n"/>
      <c r="B125" s="64" t="n"/>
      <c r="C125" s="66" t="n"/>
      <c r="D125" s="66" t="n"/>
      <c r="E125" s="67" t="n"/>
      <c r="F125" s="67" t="n"/>
      <c r="G125" s="67" t="n"/>
      <c r="H125" s="67" t="n"/>
      <c r="I125" s="67" t="n"/>
      <c r="J125" s="67" t="n"/>
      <c r="K125" s="67" t="n"/>
      <c r="L125" s="67" t="n"/>
      <c r="M125" s="64" t="n"/>
      <c r="N125" s="66" t="n"/>
      <c r="O125" s="84">
        <f>IF(A125="","",IF(OR(C125="",D125=""),"Enter both dates",IF(D125&lt;C125,"To is before From",IF(COUNTIFS($P$5:$P$2004,P125,$C$5:$C$2004,"&lt;="&amp;D125,$D$5:$D$2004,"&gt;="&amp;C125)&gt;1,"Overlaps another row","OK"))))</f>
        <v/>
      </c>
      <c r="P125">
        <f>IF(A125="","",A125&amp;"|"&amp;IF(B125="","Standard",B125))</f>
        <v/>
      </c>
      <c r="Q125">
        <f>IF(AND(A125&lt;&gt;"",A125='Firm Search'!$C$7),COUNTIF($A$5:A125,'Firm Search'!$C$7),"")</f>
        <v/>
      </c>
    </row>
    <row r="126">
      <c r="A126" s="64" t="n"/>
      <c r="B126" s="64" t="n"/>
      <c r="C126" s="66" t="n"/>
      <c r="D126" s="66" t="n"/>
      <c r="E126" s="67" t="n"/>
      <c r="F126" s="67" t="n"/>
      <c r="G126" s="67" t="n"/>
      <c r="H126" s="67" t="n"/>
      <c r="I126" s="67" t="n"/>
      <c r="J126" s="67" t="n"/>
      <c r="K126" s="67" t="n"/>
      <c r="L126" s="67" t="n"/>
      <c r="M126" s="64" t="n"/>
      <c r="N126" s="66" t="n"/>
      <c r="O126" s="84">
        <f>IF(A126="","",IF(OR(C126="",D126=""),"Enter both dates",IF(D126&lt;C126,"To is before From",IF(COUNTIFS($P$5:$P$2004,P126,$C$5:$C$2004,"&lt;="&amp;D126,$D$5:$D$2004,"&gt;="&amp;C126)&gt;1,"Overlaps another row","OK"))))</f>
        <v/>
      </c>
      <c r="P126">
        <f>IF(A126="","",A126&amp;"|"&amp;IF(B126="","Standard",B126))</f>
        <v/>
      </c>
      <c r="Q126">
        <f>IF(AND(A126&lt;&gt;"",A126='Firm Search'!$C$7),COUNTIF($A$5:A126,'Firm Search'!$C$7),"")</f>
        <v/>
      </c>
    </row>
    <row r="127">
      <c r="A127" s="64" t="n"/>
      <c r="B127" s="64" t="n"/>
      <c r="C127" s="66" t="n"/>
      <c r="D127" s="66" t="n"/>
      <c r="E127" s="67" t="n"/>
      <c r="F127" s="67" t="n"/>
      <c r="G127" s="67" t="n"/>
      <c r="H127" s="67" t="n"/>
      <c r="I127" s="67" t="n"/>
      <c r="J127" s="67" t="n"/>
      <c r="K127" s="67" t="n"/>
      <c r="L127" s="67" t="n"/>
      <c r="M127" s="64" t="n"/>
      <c r="N127" s="66" t="n"/>
      <c r="O127" s="84">
        <f>IF(A127="","",IF(OR(C127="",D127=""),"Enter both dates",IF(D127&lt;C127,"To is before From",IF(COUNTIFS($P$5:$P$2004,P127,$C$5:$C$2004,"&lt;="&amp;D127,$D$5:$D$2004,"&gt;="&amp;C127)&gt;1,"Overlaps another row","OK"))))</f>
        <v/>
      </c>
      <c r="P127">
        <f>IF(A127="","",A127&amp;"|"&amp;IF(B127="","Standard",B127))</f>
        <v/>
      </c>
      <c r="Q127">
        <f>IF(AND(A127&lt;&gt;"",A127='Firm Search'!$C$7),COUNTIF($A$5:A127,'Firm Search'!$C$7),"")</f>
        <v/>
      </c>
    </row>
    <row r="128">
      <c r="A128" s="64" t="n"/>
      <c r="B128" s="64" t="n"/>
      <c r="C128" s="66" t="n"/>
      <c r="D128" s="66" t="n"/>
      <c r="E128" s="67" t="n"/>
      <c r="F128" s="67" t="n"/>
      <c r="G128" s="67" t="n"/>
      <c r="H128" s="67" t="n"/>
      <c r="I128" s="67" t="n"/>
      <c r="J128" s="67" t="n"/>
      <c r="K128" s="67" t="n"/>
      <c r="L128" s="67" t="n"/>
      <c r="M128" s="64" t="n"/>
      <c r="N128" s="66" t="n"/>
      <c r="O128" s="84">
        <f>IF(A128="","",IF(OR(C128="",D128=""),"Enter both dates",IF(D128&lt;C128,"To is before From",IF(COUNTIFS($P$5:$P$2004,P128,$C$5:$C$2004,"&lt;="&amp;D128,$D$5:$D$2004,"&gt;="&amp;C128)&gt;1,"Overlaps another row","OK"))))</f>
        <v/>
      </c>
      <c r="P128">
        <f>IF(A128="","",A128&amp;"|"&amp;IF(B128="","Standard",B128))</f>
        <v/>
      </c>
      <c r="Q128">
        <f>IF(AND(A128&lt;&gt;"",A128='Firm Search'!$C$7),COUNTIF($A$5:A128,'Firm Search'!$C$7),"")</f>
        <v/>
      </c>
    </row>
    <row r="129">
      <c r="A129" s="64" t="n"/>
      <c r="B129" s="64" t="n"/>
      <c r="C129" s="66" t="n"/>
      <c r="D129" s="66" t="n"/>
      <c r="E129" s="67" t="n"/>
      <c r="F129" s="67" t="n"/>
      <c r="G129" s="67" t="n"/>
      <c r="H129" s="67" t="n"/>
      <c r="I129" s="67" t="n"/>
      <c r="J129" s="67" t="n"/>
      <c r="K129" s="67" t="n"/>
      <c r="L129" s="67" t="n"/>
      <c r="M129" s="64" t="n"/>
      <c r="N129" s="66" t="n"/>
      <c r="O129" s="84">
        <f>IF(A129="","",IF(OR(C129="",D129=""),"Enter both dates",IF(D129&lt;C129,"To is before From",IF(COUNTIFS($P$5:$P$2004,P129,$C$5:$C$2004,"&lt;="&amp;D129,$D$5:$D$2004,"&gt;="&amp;C129)&gt;1,"Overlaps another row","OK"))))</f>
        <v/>
      </c>
      <c r="P129">
        <f>IF(A129="","",A129&amp;"|"&amp;IF(B129="","Standard",B129))</f>
        <v/>
      </c>
      <c r="Q129">
        <f>IF(AND(A129&lt;&gt;"",A129='Firm Search'!$C$7),COUNTIF($A$5:A129,'Firm Search'!$C$7),"")</f>
        <v/>
      </c>
    </row>
    <row r="130">
      <c r="A130" s="64" t="n"/>
      <c r="B130" s="64" t="n"/>
      <c r="C130" s="66" t="n"/>
      <c r="D130" s="66" t="n"/>
      <c r="E130" s="67" t="n"/>
      <c r="F130" s="67" t="n"/>
      <c r="G130" s="67" t="n"/>
      <c r="H130" s="67" t="n"/>
      <c r="I130" s="67" t="n"/>
      <c r="J130" s="67" t="n"/>
      <c r="K130" s="67" t="n"/>
      <c r="L130" s="67" t="n"/>
      <c r="M130" s="64" t="n"/>
      <c r="N130" s="66" t="n"/>
      <c r="O130" s="84">
        <f>IF(A130="","",IF(OR(C130="",D130=""),"Enter both dates",IF(D130&lt;C130,"To is before From",IF(COUNTIFS($P$5:$P$2004,P130,$C$5:$C$2004,"&lt;="&amp;D130,$D$5:$D$2004,"&gt;="&amp;C130)&gt;1,"Overlaps another row","OK"))))</f>
        <v/>
      </c>
      <c r="P130">
        <f>IF(A130="","",A130&amp;"|"&amp;IF(B130="","Standard",B130))</f>
        <v/>
      </c>
      <c r="Q130">
        <f>IF(AND(A130&lt;&gt;"",A130='Firm Search'!$C$7),COUNTIF($A$5:A130,'Firm Search'!$C$7),"")</f>
        <v/>
      </c>
    </row>
    <row r="131">
      <c r="A131" s="64" t="n"/>
      <c r="B131" s="64" t="n"/>
      <c r="C131" s="66" t="n"/>
      <c r="D131" s="66" t="n"/>
      <c r="E131" s="67" t="n"/>
      <c r="F131" s="67" t="n"/>
      <c r="G131" s="67" t="n"/>
      <c r="H131" s="67" t="n"/>
      <c r="I131" s="67" t="n"/>
      <c r="J131" s="67" t="n"/>
      <c r="K131" s="67" t="n"/>
      <c r="L131" s="67" t="n"/>
      <c r="M131" s="64" t="n"/>
      <c r="N131" s="66" t="n"/>
      <c r="O131" s="84">
        <f>IF(A131="","",IF(OR(C131="",D131=""),"Enter both dates",IF(D131&lt;C131,"To is before From",IF(COUNTIFS($P$5:$P$2004,P131,$C$5:$C$2004,"&lt;="&amp;D131,$D$5:$D$2004,"&gt;="&amp;C131)&gt;1,"Overlaps another row","OK"))))</f>
        <v/>
      </c>
      <c r="P131">
        <f>IF(A131="","",A131&amp;"|"&amp;IF(B131="","Standard",B131))</f>
        <v/>
      </c>
      <c r="Q131">
        <f>IF(AND(A131&lt;&gt;"",A131='Firm Search'!$C$7),COUNTIF($A$5:A131,'Firm Search'!$C$7),"")</f>
        <v/>
      </c>
    </row>
    <row r="132">
      <c r="A132" s="64" t="n"/>
      <c r="B132" s="64" t="n"/>
      <c r="C132" s="66" t="n"/>
      <c r="D132" s="66" t="n"/>
      <c r="E132" s="67" t="n"/>
      <c r="F132" s="67" t="n"/>
      <c r="G132" s="67" t="n"/>
      <c r="H132" s="67" t="n"/>
      <c r="I132" s="67" t="n"/>
      <c r="J132" s="67" t="n"/>
      <c r="K132" s="67" t="n"/>
      <c r="L132" s="67" t="n"/>
      <c r="M132" s="64" t="n"/>
      <c r="N132" s="66" t="n"/>
      <c r="O132" s="84">
        <f>IF(A132="","",IF(OR(C132="",D132=""),"Enter both dates",IF(D132&lt;C132,"To is before From",IF(COUNTIFS($P$5:$P$2004,P132,$C$5:$C$2004,"&lt;="&amp;D132,$D$5:$D$2004,"&gt;="&amp;C132)&gt;1,"Overlaps another row","OK"))))</f>
        <v/>
      </c>
      <c r="P132">
        <f>IF(A132="","",A132&amp;"|"&amp;IF(B132="","Standard",B132))</f>
        <v/>
      </c>
      <c r="Q132">
        <f>IF(AND(A132&lt;&gt;"",A132='Firm Search'!$C$7),COUNTIF($A$5:A132,'Firm Search'!$C$7),"")</f>
        <v/>
      </c>
    </row>
    <row r="133">
      <c r="A133" s="64" t="n"/>
      <c r="B133" s="64" t="n"/>
      <c r="C133" s="66" t="n"/>
      <c r="D133" s="66" t="n"/>
      <c r="E133" s="67" t="n"/>
      <c r="F133" s="67" t="n"/>
      <c r="G133" s="67" t="n"/>
      <c r="H133" s="67" t="n"/>
      <c r="I133" s="67" t="n"/>
      <c r="J133" s="67" t="n"/>
      <c r="K133" s="67" t="n"/>
      <c r="L133" s="67" t="n"/>
      <c r="M133" s="64" t="n"/>
      <c r="N133" s="66" t="n"/>
      <c r="O133" s="84">
        <f>IF(A133="","",IF(OR(C133="",D133=""),"Enter both dates",IF(D133&lt;C133,"To is before From",IF(COUNTIFS($P$5:$P$2004,P133,$C$5:$C$2004,"&lt;="&amp;D133,$D$5:$D$2004,"&gt;="&amp;C133)&gt;1,"Overlaps another row","OK"))))</f>
        <v/>
      </c>
      <c r="P133">
        <f>IF(A133="","",A133&amp;"|"&amp;IF(B133="","Standard",B133))</f>
        <v/>
      </c>
      <c r="Q133">
        <f>IF(AND(A133&lt;&gt;"",A133='Firm Search'!$C$7),COUNTIF($A$5:A133,'Firm Search'!$C$7),"")</f>
        <v/>
      </c>
    </row>
    <row r="134">
      <c r="A134" s="64" t="n"/>
      <c r="B134" s="64" t="n"/>
      <c r="C134" s="66" t="n"/>
      <c r="D134" s="66" t="n"/>
      <c r="E134" s="67" t="n"/>
      <c r="F134" s="67" t="n"/>
      <c r="G134" s="67" t="n"/>
      <c r="H134" s="67" t="n"/>
      <c r="I134" s="67" t="n"/>
      <c r="J134" s="67" t="n"/>
      <c r="K134" s="67" t="n"/>
      <c r="L134" s="67" t="n"/>
      <c r="M134" s="64" t="n"/>
      <c r="N134" s="66" t="n"/>
      <c r="O134" s="84">
        <f>IF(A134="","",IF(OR(C134="",D134=""),"Enter both dates",IF(D134&lt;C134,"To is before From",IF(COUNTIFS($P$5:$P$2004,P134,$C$5:$C$2004,"&lt;="&amp;D134,$D$5:$D$2004,"&gt;="&amp;C134)&gt;1,"Overlaps another row","OK"))))</f>
        <v/>
      </c>
      <c r="P134">
        <f>IF(A134="","",A134&amp;"|"&amp;IF(B134="","Standard",B134))</f>
        <v/>
      </c>
      <c r="Q134">
        <f>IF(AND(A134&lt;&gt;"",A134='Firm Search'!$C$7),COUNTIF($A$5:A134,'Firm Search'!$C$7),"")</f>
        <v/>
      </c>
    </row>
    <row r="135">
      <c r="A135" s="64" t="n"/>
      <c r="B135" s="64" t="n"/>
      <c r="C135" s="66" t="n"/>
      <c r="D135" s="66" t="n"/>
      <c r="E135" s="67" t="n"/>
      <c r="F135" s="67" t="n"/>
      <c r="G135" s="67" t="n"/>
      <c r="H135" s="67" t="n"/>
      <c r="I135" s="67" t="n"/>
      <c r="J135" s="67" t="n"/>
      <c r="K135" s="67" t="n"/>
      <c r="L135" s="67" t="n"/>
      <c r="M135" s="64" t="n"/>
      <c r="N135" s="66" t="n"/>
      <c r="O135" s="84">
        <f>IF(A135="","",IF(OR(C135="",D135=""),"Enter both dates",IF(D135&lt;C135,"To is before From",IF(COUNTIFS($P$5:$P$2004,P135,$C$5:$C$2004,"&lt;="&amp;D135,$D$5:$D$2004,"&gt;="&amp;C135)&gt;1,"Overlaps another row","OK"))))</f>
        <v/>
      </c>
      <c r="P135">
        <f>IF(A135="","",A135&amp;"|"&amp;IF(B135="","Standard",B135))</f>
        <v/>
      </c>
      <c r="Q135">
        <f>IF(AND(A135&lt;&gt;"",A135='Firm Search'!$C$7),COUNTIF($A$5:A135,'Firm Search'!$C$7),"")</f>
        <v/>
      </c>
    </row>
    <row r="136">
      <c r="A136" s="64" t="n"/>
      <c r="B136" s="64" t="n"/>
      <c r="C136" s="66" t="n"/>
      <c r="D136" s="66" t="n"/>
      <c r="E136" s="67" t="n"/>
      <c r="F136" s="67" t="n"/>
      <c r="G136" s="67" t="n"/>
      <c r="H136" s="67" t="n"/>
      <c r="I136" s="67" t="n"/>
      <c r="J136" s="67" t="n"/>
      <c r="K136" s="67" t="n"/>
      <c r="L136" s="67" t="n"/>
      <c r="M136" s="64" t="n"/>
      <c r="N136" s="66" t="n"/>
      <c r="O136" s="84">
        <f>IF(A136="","",IF(OR(C136="",D136=""),"Enter both dates",IF(D136&lt;C136,"To is before From",IF(COUNTIFS($P$5:$P$2004,P136,$C$5:$C$2004,"&lt;="&amp;D136,$D$5:$D$2004,"&gt;="&amp;C136)&gt;1,"Overlaps another row","OK"))))</f>
        <v/>
      </c>
      <c r="P136">
        <f>IF(A136="","",A136&amp;"|"&amp;IF(B136="","Standard",B136))</f>
        <v/>
      </c>
      <c r="Q136">
        <f>IF(AND(A136&lt;&gt;"",A136='Firm Search'!$C$7),COUNTIF($A$5:A136,'Firm Search'!$C$7),"")</f>
        <v/>
      </c>
    </row>
    <row r="137">
      <c r="A137" s="64" t="n"/>
      <c r="B137" s="64" t="n"/>
      <c r="C137" s="66" t="n"/>
      <c r="D137" s="66" t="n"/>
      <c r="E137" s="67" t="n"/>
      <c r="F137" s="67" t="n"/>
      <c r="G137" s="67" t="n"/>
      <c r="H137" s="67" t="n"/>
      <c r="I137" s="67" t="n"/>
      <c r="J137" s="67" t="n"/>
      <c r="K137" s="67" t="n"/>
      <c r="L137" s="67" t="n"/>
      <c r="M137" s="64" t="n"/>
      <c r="N137" s="66" t="n"/>
      <c r="O137" s="84">
        <f>IF(A137="","",IF(OR(C137="",D137=""),"Enter both dates",IF(D137&lt;C137,"To is before From",IF(COUNTIFS($P$5:$P$2004,P137,$C$5:$C$2004,"&lt;="&amp;D137,$D$5:$D$2004,"&gt;="&amp;C137)&gt;1,"Overlaps another row","OK"))))</f>
        <v/>
      </c>
      <c r="P137">
        <f>IF(A137="","",A137&amp;"|"&amp;IF(B137="","Standard",B137))</f>
        <v/>
      </c>
      <c r="Q137">
        <f>IF(AND(A137&lt;&gt;"",A137='Firm Search'!$C$7),COUNTIF($A$5:A137,'Firm Search'!$C$7),"")</f>
        <v/>
      </c>
    </row>
    <row r="138">
      <c r="A138" s="64" t="n"/>
      <c r="B138" s="64" t="n"/>
      <c r="C138" s="66" t="n"/>
      <c r="D138" s="66" t="n"/>
      <c r="E138" s="67" t="n"/>
      <c r="F138" s="67" t="n"/>
      <c r="G138" s="67" t="n"/>
      <c r="H138" s="67" t="n"/>
      <c r="I138" s="67" t="n"/>
      <c r="J138" s="67" t="n"/>
      <c r="K138" s="67" t="n"/>
      <c r="L138" s="67" t="n"/>
      <c r="M138" s="64" t="n"/>
      <c r="N138" s="66" t="n"/>
      <c r="O138" s="84">
        <f>IF(A138="","",IF(OR(C138="",D138=""),"Enter both dates",IF(D138&lt;C138,"To is before From",IF(COUNTIFS($P$5:$P$2004,P138,$C$5:$C$2004,"&lt;="&amp;D138,$D$5:$D$2004,"&gt;="&amp;C138)&gt;1,"Overlaps another row","OK"))))</f>
        <v/>
      </c>
      <c r="P138">
        <f>IF(A138="","",A138&amp;"|"&amp;IF(B138="","Standard",B138))</f>
        <v/>
      </c>
      <c r="Q138">
        <f>IF(AND(A138&lt;&gt;"",A138='Firm Search'!$C$7),COUNTIF($A$5:A138,'Firm Search'!$C$7),"")</f>
        <v/>
      </c>
    </row>
    <row r="139">
      <c r="A139" s="64" t="n"/>
      <c r="B139" s="64" t="n"/>
      <c r="C139" s="66" t="n"/>
      <c r="D139" s="66" t="n"/>
      <c r="E139" s="67" t="n"/>
      <c r="F139" s="67" t="n"/>
      <c r="G139" s="67" t="n"/>
      <c r="H139" s="67" t="n"/>
      <c r="I139" s="67" t="n"/>
      <c r="J139" s="67" t="n"/>
      <c r="K139" s="67" t="n"/>
      <c r="L139" s="67" t="n"/>
      <c r="M139" s="64" t="n"/>
      <c r="N139" s="66" t="n"/>
      <c r="O139" s="84">
        <f>IF(A139="","",IF(OR(C139="",D139=""),"Enter both dates",IF(D139&lt;C139,"To is before From",IF(COUNTIFS($P$5:$P$2004,P139,$C$5:$C$2004,"&lt;="&amp;D139,$D$5:$D$2004,"&gt;="&amp;C139)&gt;1,"Overlaps another row","OK"))))</f>
        <v/>
      </c>
      <c r="P139">
        <f>IF(A139="","",A139&amp;"|"&amp;IF(B139="","Standard",B139))</f>
        <v/>
      </c>
      <c r="Q139">
        <f>IF(AND(A139&lt;&gt;"",A139='Firm Search'!$C$7),COUNTIF($A$5:A139,'Firm Search'!$C$7),"")</f>
        <v/>
      </c>
    </row>
    <row r="140">
      <c r="A140" s="64" t="n"/>
      <c r="B140" s="64" t="n"/>
      <c r="C140" s="66" t="n"/>
      <c r="D140" s="66" t="n"/>
      <c r="E140" s="67" t="n"/>
      <c r="F140" s="67" t="n"/>
      <c r="G140" s="67" t="n"/>
      <c r="H140" s="67" t="n"/>
      <c r="I140" s="67" t="n"/>
      <c r="J140" s="67" t="n"/>
      <c r="K140" s="67" t="n"/>
      <c r="L140" s="67" t="n"/>
      <c r="M140" s="64" t="n"/>
      <c r="N140" s="66" t="n"/>
      <c r="O140" s="84">
        <f>IF(A140="","",IF(OR(C140="",D140=""),"Enter both dates",IF(D140&lt;C140,"To is before From",IF(COUNTIFS($P$5:$P$2004,P140,$C$5:$C$2004,"&lt;="&amp;D140,$D$5:$D$2004,"&gt;="&amp;C140)&gt;1,"Overlaps another row","OK"))))</f>
        <v/>
      </c>
      <c r="P140">
        <f>IF(A140="","",A140&amp;"|"&amp;IF(B140="","Standard",B140))</f>
        <v/>
      </c>
      <c r="Q140">
        <f>IF(AND(A140&lt;&gt;"",A140='Firm Search'!$C$7),COUNTIF($A$5:A140,'Firm Search'!$C$7),"")</f>
        <v/>
      </c>
    </row>
    <row r="141">
      <c r="A141" s="64" t="n"/>
      <c r="B141" s="64" t="n"/>
      <c r="C141" s="66" t="n"/>
      <c r="D141" s="66" t="n"/>
      <c r="E141" s="67" t="n"/>
      <c r="F141" s="67" t="n"/>
      <c r="G141" s="67" t="n"/>
      <c r="H141" s="67" t="n"/>
      <c r="I141" s="67" t="n"/>
      <c r="J141" s="67" t="n"/>
      <c r="K141" s="67" t="n"/>
      <c r="L141" s="67" t="n"/>
      <c r="M141" s="64" t="n"/>
      <c r="N141" s="66" t="n"/>
      <c r="O141" s="84">
        <f>IF(A141="","",IF(OR(C141="",D141=""),"Enter both dates",IF(D141&lt;C141,"To is before From",IF(COUNTIFS($P$5:$P$2004,P141,$C$5:$C$2004,"&lt;="&amp;D141,$D$5:$D$2004,"&gt;="&amp;C141)&gt;1,"Overlaps another row","OK"))))</f>
        <v/>
      </c>
      <c r="P141">
        <f>IF(A141="","",A141&amp;"|"&amp;IF(B141="","Standard",B141))</f>
        <v/>
      </c>
      <c r="Q141">
        <f>IF(AND(A141&lt;&gt;"",A141='Firm Search'!$C$7),COUNTIF($A$5:A141,'Firm Search'!$C$7),"")</f>
        <v/>
      </c>
    </row>
    <row r="142">
      <c r="A142" s="64" t="n"/>
      <c r="B142" s="64" t="n"/>
      <c r="C142" s="66" t="n"/>
      <c r="D142" s="66" t="n"/>
      <c r="E142" s="67" t="n"/>
      <c r="F142" s="67" t="n"/>
      <c r="G142" s="67" t="n"/>
      <c r="H142" s="67" t="n"/>
      <c r="I142" s="67" t="n"/>
      <c r="J142" s="67" t="n"/>
      <c r="K142" s="67" t="n"/>
      <c r="L142" s="67" t="n"/>
      <c r="M142" s="64" t="n"/>
      <c r="N142" s="66" t="n"/>
      <c r="O142" s="84">
        <f>IF(A142="","",IF(OR(C142="",D142=""),"Enter both dates",IF(D142&lt;C142,"To is before From",IF(COUNTIFS($P$5:$P$2004,P142,$C$5:$C$2004,"&lt;="&amp;D142,$D$5:$D$2004,"&gt;="&amp;C142)&gt;1,"Overlaps another row","OK"))))</f>
        <v/>
      </c>
      <c r="P142">
        <f>IF(A142="","",A142&amp;"|"&amp;IF(B142="","Standard",B142))</f>
        <v/>
      </c>
      <c r="Q142">
        <f>IF(AND(A142&lt;&gt;"",A142='Firm Search'!$C$7),COUNTIF($A$5:A142,'Firm Search'!$C$7),"")</f>
        <v/>
      </c>
    </row>
    <row r="143">
      <c r="A143" s="64" t="n"/>
      <c r="B143" s="64" t="n"/>
      <c r="C143" s="66" t="n"/>
      <c r="D143" s="66" t="n"/>
      <c r="E143" s="67" t="n"/>
      <c r="F143" s="67" t="n"/>
      <c r="G143" s="67" t="n"/>
      <c r="H143" s="67" t="n"/>
      <c r="I143" s="67" t="n"/>
      <c r="J143" s="67" t="n"/>
      <c r="K143" s="67" t="n"/>
      <c r="L143" s="67" t="n"/>
      <c r="M143" s="64" t="n"/>
      <c r="N143" s="66" t="n"/>
      <c r="O143" s="84">
        <f>IF(A143="","",IF(OR(C143="",D143=""),"Enter both dates",IF(D143&lt;C143,"To is before From",IF(COUNTIFS($P$5:$P$2004,P143,$C$5:$C$2004,"&lt;="&amp;D143,$D$5:$D$2004,"&gt;="&amp;C143)&gt;1,"Overlaps another row","OK"))))</f>
        <v/>
      </c>
      <c r="P143">
        <f>IF(A143="","",A143&amp;"|"&amp;IF(B143="","Standard",B143))</f>
        <v/>
      </c>
      <c r="Q143">
        <f>IF(AND(A143&lt;&gt;"",A143='Firm Search'!$C$7),COUNTIF($A$5:A143,'Firm Search'!$C$7),"")</f>
        <v/>
      </c>
    </row>
    <row r="144">
      <c r="A144" s="64" t="n"/>
      <c r="B144" s="64" t="n"/>
      <c r="C144" s="66" t="n"/>
      <c r="D144" s="66" t="n"/>
      <c r="E144" s="67" t="n"/>
      <c r="F144" s="67" t="n"/>
      <c r="G144" s="67" t="n"/>
      <c r="H144" s="67" t="n"/>
      <c r="I144" s="67" t="n"/>
      <c r="J144" s="67" t="n"/>
      <c r="K144" s="67" t="n"/>
      <c r="L144" s="67" t="n"/>
      <c r="M144" s="64" t="n"/>
      <c r="N144" s="66" t="n"/>
      <c r="O144" s="84">
        <f>IF(A144="","",IF(OR(C144="",D144=""),"Enter both dates",IF(D144&lt;C144,"To is before From",IF(COUNTIFS($P$5:$P$2004,P144,$C$5:$C$2004,"&lt;="&amp;D144,$D$5:$D$2004,"&gt;="&amp;C144)&gt;1,"Overlaps another row","OK"))))</f>
        <v/>
      </c>
      <c r="P144">
        <f>IF(A144="","",A144&amp;"|"&amp;IF(B144="","Standard",B144))</f>
        <v/>
      </c>
      <c r="Q144">
        <f>IF(AND(A144&lt;&gt;"",A144='Firm Search'!$C$7),COUNTIF($A$5:A144,'Firm Search'!$C$7),"")</f>
        <v/>
      </c>
    </row>
    <row r="145">
      <c r="A145" s="64" t="n"/>
      <c r="B145" s="64" t="n"/>
      <c r="C145" s="66" t="n"/>
      <c r="D145" s="66" t="n"/>
      <c r="E145" s="67" t="n"/>
      <c r="F145" s="67" t="n"/>
      <c r="G145" s="67" t="n"/>
      <c r="H145" s="67" t="n"/>
      <c r="I145" s="67" t="n"/>
      <c r="J145" s="67" t="n"/>
      <c r="K145" s="67" t="n"/>
      <c r="L145" s="67" t="n"/>
      <c r="M145" s="64" t="n"/>
      <c r="N145" s="66" t="n"/>
      <c r="O145" s="84">
        <f>IF(A145="","",IF(OR(C145="",D145=""),"Enter both dates",IF(D145&lt;C145,"To is before From",IF(COUNTIFS($P$5:$P$2004,P145,$C$5:$C$2004,"&lt;="&amp;D145,$D$5:$D$2004,"&gt;="&amp;C145)&gt;1,"Overlaps another row","OK"))))</f>
        <v/>
      </c>
      <c r="P145">
        <f>IF(A145="","",A145&amp;"|"&amp;IF(B145="","Standard",B145))</f>
        <v/>
      </c>
      <c r="Q145">
        <f>IF(AND(A145&lt;&gt;"",A145='Firm Search'!$C$7),COUNTIF($A$5:A145,'Firm Search'!$C$7),"")</f>
        <v/>
      </c>
    </row>
    <row r="146">
      <c r="A146" s="64" t="n"/>
      <c r="B146" s="64" t="n"/>
      <c r="C146" s="66" t="n"/>
      <c r="D146" s="66" t="n"/>
      <c r="E146" s="67" t="n"/>
      <c r="F146" s="67" t="n"/>
      <c r="G146" s="67" t="n"/>
      <c r="H146" s="67" t="n"/>
      <c r="I146" s="67" t="n"/>
      <c r="J146" s="67" t="n"/>
      <c r="K146" s="67" t="n"/>
      <c r="L146" s="67" t="n"/>
      <c r="M146" s="64" t="n"/>
      <c r="N146" s="66" t="n"/>
      <c r="O146" s="84">
        <f>IF(A146="","",IF(OR(C146="",D146=""),"Enter both dates",IF(D146&lt;C146,"To is before From",IF(COUNTIFS($P$5:$P$2004,P146,$C$5:$C$2004,"&lt;="&amp;D146,$D$5:$D$2004,"&gt;="&amp;C146)&gt;1,"Overlaps another row","OK"))))</f>
        <v/>
      </c>
      <c r="P146">
        <f>IF(A146="","",A146&amp;"|"&amp;IF(B146="","Standard",B146))</f>
        <v/>
      </c>
      <c r="Q146">
        <f>IF(AND(A146&lt;&gt;"",A146='Firm Search'!$C$7),COUNTIF($A$5:A146,'Firm Search'!$C$7),"")</f>
        <v/>
      </c>
    </row>
    <row r="147">
      <c r="A147" s="64" t="n"/>
      <c r="B147" s="64" t="n"/>
      <c r="C147" s="66" t="n"/>
      <c r="D147" s="66" t="n"/>
      <c r="E147" s="67" t="n"/>
      <c r="F147" s="67" t="n"/>
      <c r="G147" s="67" t="n"/>
      <c r="H147" s="67" t="n"/>
      <c r="I147" s="67" t="n"/>
      <c r="J147" s="67" t="n"/>
      <c r="K147" s="67" t="n"/>
      <c r="L147" s="67" t="n"/>
      <c r="M147" s="64" t="n"/>
      <c r="N147" s="66" t="n"/>
      <c r="O147" s="84">
        <f>IF(A147="","",IF(OR(C147="",D147=""),"Enter both dates",IF(D147&lt;C147,"To is before From",IF(COUNTIFS($P$5:$P$2004,P147,$C$5:$C$2004,"&lt;="&amp;D147,$D$5:$D$2004,"&gt;="&amp;C147)&gt;1,"Overlaps another row","OK"))))</f>
        <v/>
      </c>
      <c r="P147">
        <f>IF(A147="","",A147&amp;"|"&amp;IF(B147="","Standard",B147))</f>
        <v/>
      </c>
      <c r="Q147">
        <f>IF(AND(A147&lt;&gt;"",A147='Firm Search'!$C$7),COUNTIF($A$5:A147,'Firm Search'!$C$7),"")</f>
        <v/>
      </c>
    </row>
    <row r="148">
      <c r="A148" s="64" t="n"/>
      <c r="B148" s="64" t="n"/>
      <c r="C148" s="66" t="n"/>
      <c r="D148" s="66" t="n"/>
      <c r="E148" s="67" t="n"/>
      <c r="F148" s="67" t="n"/>
      <c r="G148" s="67" t="n"/>
      <c r="H148" s="67" t="n"/>
      <c r="I148" s="67" t="n"/>
      <c r="J148" s="67" t="n"/>
      <c r="K148" s="67" t="n"/>
      <c r="L148" s="67" t="n"/>
      <c r="M148" s="64" t="n"/>
      <c r="N148" s="66" t="n"/>
      <c r="O148" s="84">
        <f>IF(A148="","",IF(OR(C148="",D148=""),"Enter both dates",IF(D148&lt;C148,"To is before From",IF(COUNTIFS($P$5:$P$2004,P148,$C$5:$C$2004,"&lt;="&amp;D148,$D$5:$D$2004,"&gt;="&amp;C148)&gt;1,"Overlaps another row","OK"))))</f>
        <v/>
      </c>
      <c r="P148">
        <f>IF(A148="","",A148&amp;"|"&amp;IF(B148="","Standard",B148))</f>
        <v/>
      </c>
      <c r="Q148">
        <f>IF(AND(A148&lt;&gt;"",A148='Firm Search'!$C$7),COUNTIF($A$5:A148,'Firm Search'!$C$7),"")</f>
        <v/>
      </c>
    </row>
    <row r="149">
      <c r="A149" s="64" t="n"/>
      <c r="B149" s="64" t="n"/>
      <c r="C149" s="66" t="n"/>
      <c r="D149" s="66" t="n"/>
      <c r="E149" s="67" t="n"/>
      <c r="F149" s="67" t="n"/>
      <c r="G149" s="67" t="n"/>
      <c r="H149" s="67" t="n"/>
      <c r="I149" s="67" t="n"/>
      <c r="J149" s="67" t="n"/>
      <c r="K149" s="67" t="n"/>
      <c r="L149" s="67" t="n"/>
      <c r="M149" s="64" t="n"/>
      <c r="N149" s="66" t="n"/>
      <c r="O149" s="84">
        <f>IF(A149="","",IF(OR(C149="",D149=""),"Enter both dates",IF(D149&lt;C149,"To is before From",IF(COUNTIFS($P$5:$P$2004,P149,$C$5:$C$2004,"&lt;="&amp;D149,$D$5:$D$2004,"&gt;="&amp;C149)&gt;1,"Overlaps another row","OK"))))</f>
        <v/>
      </c>
      <c r="P149">
        <f>IF(A149="","",A149&amp;"|"&amp;IF(B149="","Standard",B149))</f>
        <v/>
      </c>
      <c r="Q149">
        <f>IF(AND(A149&lt;&gt;"",A149='Firm Search'!$C$7),COUNTIF($A$5:A149,'Firm Search'!$C$7),"")</f>
        <v/>
      </c>
    </row>
    <row r="150">
      <c r="A150" s="64" t="n"/>
      <c r="B150" s="64" t="n"/>
      <c r="C150" s="66" t="n"/>
      <c r="D150" s="66" t="n"/>
      <c r="E150" s="67" t="n"/>
      <c r="F150" s="67" t="n"/>
      <c r="G150" s="67" t="n"/>
      <c r="H150" s="67" t="n"/>
      <c r="I150" s="67" t="n"/>
      <c r="J150" s="67" t="n"/>
      <c r="K150" s="67" t="n"/>
      <c r="L150" s="67" t="n"/>
      <c r="M150" s="64" t="n"/>
      <c r="N150" s="66" t="n"/>
      <c r="O150" s="84">
        <f>IF(A150="","",IF(OR(C150="",D150=""),"Enter both dates",IF(D150&lt;C150,"To is before From",IF(COUNTIFS($P$5:$P$2004,P150,$C$5:$C$2004,"&lt;="&amp;D150,$D$5:$D$2004,"&gt;="&amp;C150)&gt;1,"Overlaps another row","OK"))))</f>
        <v/>
      </c>
      <c r="P150">
        <f>IF(A150="","",A150&amp;"|"&amp;IF(B150="","Standard",B150))</f>
        <v/>
      </c>
      <c r="Q150">
        <f>IF(AND(A150&lt;&gt;"",A150='Firm Search'!$C$7),COUNTIF($A$5:A150,'Firm Search'!$C$7),"")</f>
        <v/>
      </c>
    </row>
    <row r="151">
      <c r="A151" s="64" t="n"/>
      <c r="B151" s="64" t="n"/>
      <c r="C151" s="66" t="n"/>
      <c r="D151" s="66" t="n"/>
      <c r="E151" s="67" t="n"/>
      <c r="F151" s="67" t="n"/>
      <c r="G151" s="67" t="n"/>
      <c r="H151" s="67" t="n"/>
      <c r="I151" s="67" t="n"/>
      <c r="J151" s="67" t="n"/>
      <c r="K151" s="67" t="n"/>
      <c r="L151" s="67" t="n"/>
      <c r="M151" s="64" t="n"/>
      <c r="N151" s="66" t="n"/>
      <c r="O151" s="84">
        <f>IF(A151="","",IF(OR(C151="",D151=""),"Enter both dates",IF(D151&lt;C151,"To is before From",IF(COUNTIFS($P$5:$P$2004,P151,$C$5:$C$2004,"&lt;="&amp;D151,$D$5:$D$2004,"&gt;="&amp;C151)&gt;1,"Overlaps another row","OK"))))</f>
        <v/>
      </c>
      <c r="P151">
        <f>IF(A151="","",A151&amp;"|"&amp;IF(B151="","Standard",B151))</f>
        <v/>
      </c>
      <c r="Q151">
        <f>IF(AND(A151&lt;&gt;"",A151='Firm Search'!$C$7),COUNTIF($A$5:A151,'Firm Search'!$C$7),"")</f>
        <v/>
      </c>
    </row>
    <row r="152">
      <c r="A152" s="64" t="n"/>
      <c r="B152" s="64" t="n"/>
      <c r="C152" s="66" t="n"/>
      <c r="D152" s="66" t="n"/>
      <c r="E152" s="67" t="n"/>
      <c r="F152" s="67" t="n"/>
      <c r="G152" s="67" t="n"/>
      <c r="H152" s="67" t="n"/>
      <c r="I152" s="67" t="n"/>
      <c r="J152" s="67" t="n"/>
      <c r="K152" s="67" t="n"/>
      <c r="L152" s="67" t="n"/>
      <c r="M152" s="64" t="n"/>
      <c r="N152" s="66" t="n"/>
      <c r="O152" s="84">
        <f>IF(A152="","",IF(OR(C152="",D152=""),"Enter both dates",IF(D152&lt;C152,"To is before From",IF(COUNTIFS($P$5:$P$2004,P152,$C$5:$C$2004,"&lt;="&amp;D152,$D$5:$D$2004,"&gt;="&amp;C152)&gt;1,"Overlaps another row","OK"))))</f>
        <v/>
      </c>
      <c r="P152">
        <f>IF(A152="","",A152&amp;"|"&amp;IF(B152="","Standard",B152))</f>
        <v/>
      </c>
      <c r="Q152">
        <f>IF(AND(A152&lt;&gt;"",A152='Firm Search'!$C$7),COUNTIF($A$5:A152,'Firm Search'!$C$7),"")</f>
        <v/>
      </c>
    </row>
    <row r="153">
      <c r="A153" s="64" t="n"/>
      <c r="B153" s="64" t="n"/>
      <c r="C153" s="66" t="n"/>
      <c r="D153" s="66" t="n"/>
      <c r="E153" s="67" t="n"/>
      <c r="F153" s="67" t="n"/>
      <c r="G153" s="67" t="n"/>
      <c r="H153" s="67" t="n"/>
      <c r="I153" s="67" t="n"/>
      <c r="J153" s="67" t="n"/>
      <c r="K153" s="67" t="n"/>
      <c r="L153" s="67" t="n"/>
      <c r="M153" s="64" t="n"/>
      <c r="N153" s="66" t="n"/>
      <c r="O153" s="84">
        <f>IF(A153="","",IF(OR(C153="",D153=""),"Enter both dates",IF(D153&lt;C153,"To is before From",IF(COUNTIFS($P$5:$P$2004,P153,$C$5:$C$2004,"&lt;="&amp;D153,$D$5:$D$2004,"&gt;="&amp;C153)&gt;1,"Overlaps another row","OK"))))</f>
        <v/>
      </c>
      <c r="P153">
        <f>IF(A153="","",A153&amp;"|"&amp;IF(B153="","Standard",B153))</f>
        <v/>
      </c>
      <c r="Q153">
        <f>IF(AND(A153&lt;&gt;"",A153='Firm Search'!$C$7),COUNTIF($A$5:A153,'Firm Search'!$C$7),"")</f>
        <v/>
      </c>
    </row>
    <row r="154">
      <c r="A154" s="64" t="n"/>
      <c r="B154" s="64" t="n"/>
      <c r="C154" s="66" t="n"/>
      <c r="D154" s="66" t="n"/>
      <c r="E154" s="67" t="n"/>
      <c r="F154" s="67" t="n"/>
      <c r="G154" s="67" t="n"/>
      <c r="H154" s="67" t="n"/>
      <c r="I154" s="67" t="n"/>
      <c r="J154" s="67" t="n"/>
      <c r="K154" s="67" t="n"/>
      <c r="L154" s="67" t="n"/>
      <c r="M154" s="64" t="n"/>
      <c r="N154" s="66" t="n"/>
      <c r="O154" s="84">
        <f>IF(A154="","",IF(OR(C154="",D154=""),"Enter both dates",IF(D154&lt;C154,"To is before From",IF(COUNTIFS($P$5:$P$2004,P154,$C$5:$C$2004,"&lt;="&amp;D154,$D$5:$D$2004,"&gt;="&amp;C154)&gt;1,"Overlaps another row","OK"))))</f>
        <v/>
      </c>
      <c r="P154">
        <f>IF(A154="","",A154&amp;"|"&amp;IF(B154="","Standard",B154))</f>
        <v/>
      </c>
      <c r="Q154">
        <f>IF(AND(A154&lt;&gt;"",A154='Firm Search'!$C$7),COUNTIF($A$5:A154,'Firm Search'!$C$7),"")</f>
        <v/>
      </c>
    </row>
    <row r="155">
      <c r="A155" s="64" t="n"/>
      <c r="B155" s="64" t="n"/>
      <c r="C155" s="66" t="n"/>
      <c r="D155" s="66" t="n"/>
      <c r="E155" s="67" t="n"/>
      <c r="F155" s="67" t="n"/>
      <c r="G155" s="67" t="n"/>
      <c r="H155" s="67" t="n"/>
      <c r="I155" s="67" t="n"/>
      <c r="J155" s="67" t="n"/>
      <c r="K155" s="67" t="n"/>
      <c r="L155" s="67" t="n"/>
      <c r="M155" s="64" t="n"/>
      <c r="N155" s="66" t="n"/>
      <c r="O155" s="84">
        <f>IF(A155="","",IF(OR(C155="",D155=""),"Enter both dates",IF(D155&lt;C155,"To is before From",IF(COUNTIFS($P$5:$P$2004,P155,$C$5:$C$2004,"&lt;="&amp;D155,$D$5:$D$2004,"&gt;="&amp;C155)&gt;1,"Overlaps another row","OK"))))</f>
        <v/>
      </c>
      <c r="P155">
        <f>IF(A155="","",A155&amp;"|"&amp;IF(B155="","Standard",B155))</f>
        <v/>
      </c>
      <c r="Q155">
        <f>IF(AND(A155&lt;&gt;"",A155='Firm Search'!$C$7),COUNTIF($A$5:A155,'Firm Search'!$C$7),"")</f>
        <v/>
      </c>
    </row>
    <row r="156">
      <c r="A156" s="64" t="n"/>
      <c r="B156" s="64" t="n"/>
      <c r="C156" s="66" t="n"/>
      <c r="D156" s="66" t="n"/>
      <c r="E156" s="67" t="n"/>
      <c r="F156" s="67" t="n"/>
      <c r="G156" s="67" t="n"/>
      <c r="H156" s="67" t="n"/>
      <c r="I156" s="67" t="n"/>
      <c r="J156" s="67" t="n"/>
      <c r="K156" s="67" t="n"/>
      <c r="L156" s="67" t="n"/>
      <c r="M156" s="64" t="n"/>
      <c r="N156" s="66" t="n"/>
      <c r="O156" s="84">
        <f>IF(A156="","",IF(OR(C156="",D156=""),"Enter both dates",IF(D156&lt;C156,"To is before From",IF(COUNTIFS($P$5:$P$2004,P156,$C$5:$C$2004,"&lt;="&amp;D156,$D$5:$D$2004,"&gt;="&amp;C156)&gt;1,"Overlaps another row","OK"))))</f>
        <v/>
      </c>
      <c r="P156">
        <f>IF(A156="","",A156&amp;"|"&amp;IF(B156="","Standard",B156))</f>
        <v/>
      </c>
      <c r="Q156">
        <f>IF(AND(A156&lt;&gt;"",A156='Firm Search'!$C$7),COUNTIF($A$5:A156,'Firm Search'!$C$7),"")</f>
        <v/>
      </c>
    </row>
    <row r="157">
      <c r="A157" s="64" t="n"/>
      <c r="B157" s="64" t="n"/>
      <c r="C157" s="66" t="n"/>
      <c r="D157" s="66" t="n"/>
      <c r="E157" s="67" t="n"/>
      <c r="F157" s="67" t="n"/>
      <c r="G157" s="67" t="n"/>
      <c r="H157" s="67" t="n"/>
      <c r="I157" s="67" t="n"/>
      <c r="J157" s="67" t="n"/>
      <c r="K157" s="67" t="n"/>
      <c r="L157" s="67" t="n"/>
      <c r="M157" s="64" t="n"/>
      <c r="N157" s="66" t="n"/>
      <c r="O157" s="84">
        <f>IF(A157="","",IF(OR(C157="",D157=""),"Enter both dates",IF(D157&lt;C157,"To is before From",IF(COUNTIFS($P$5:$P$2004,P157,$C$5:$C$2004,"&lt;="&amp;D157,$D$5:$D$2004,"&gt;="&amp;C157)&gt;1,"Overlaps another row","OK"))))</f>
        <v/>
      </c>
      <c r="P157">
        <f>IF(A157="","",A157&amp;"|"&amp;IF(B157="","Standard",B157))</f>
        <v/>
      </c>
      <c r="Q157">
        <f>IF(AND(A157&lt;&gt;"",A157='Firm Search'!$C$7),COUNTIF($A$5:A157,'Firm Search'!$C$7),"")</f>
        <v/>
      </c>
    </row>
    <row r="158">
      <c r="A158" s="64" t="n"/>
      <c r="B158" s="64" t="n"/>
      <c r="C158" s="66" t="n"/>
      <c r="D158" s="66" t="n"/>
      <c r="E158" s="67" t="n"/>
      <c r="F158" s="67" t="n"/>
      <c r="G158" s="67" t="n"/>
      <c r="H158" s="67" t="n"/>
      <c r="I158" s="67" t="n"/>
      <c r="J158" s="67" t="n"/>
      <c r="K158" s="67" t="n"/>
      <c r="L158" s="67" t="n"/>
      <c r="M158" s="64" t="n"/>
      <c r="N158" s="66" t="n"/>
      <c r="O158" s="84">
        <f>IF(A158="","",IF(OR(C158="",D158=""),"Enter both dates",IF(D158&lt;C158,"To is before From",IF(COUNTIFS($P$5:$P$2004,P158,$C$5:$C$2004,"&lt;="&amp;D158,$D$5:$D$2004,"&gt;="&amp;C158)&gt;1,"Overlaps another row","OK"))))</f>
        <v/>
      </c>
      <c r="P158">
        <f>IF(A158="","",A158&amp;"|"&amp;IF(B158="","Standard",B158))</f>
        <v/>
      </c>
      <c r="Q158">
        <f>IF(AND(A158&lt;&gt;"",A158='Firm Search'!$C$7),COUNTIF($A$5:A158,'Firm Search'!$C$7),"")</f>
        <v/>
      </c>
    </row>
    <row r="159">
      <c r="A159" s="64" t="n"/>
      <c r="B159" s="64" t="n"/>
      <c r="C159" s="66" t="n"/>
      <c r="D159" s="66" t="n"/>
      <c r="E159" s="67" t="n"/>
      <c r="F159" s="67" t="n"/>
      <c r="G159" s="67" t="n"/>
      <c r="H159" s="67" t="n"/>
      <c r="I159" s="67" t="n"/>
      <c r="J159" s="67" t="n"/>
      <c r="K159" s="67" t="n"/>
      <c r="L159" s="67" t="n"/>
      <c r="M159" s="64" t="n"/>
      <c r="N159" s="66" t="n"/>
      <c r="O159" s="84">
        <f>IF(A159="","",IF(OR(C159="",D159=""),"Enter both dates",IF(D159&lt;C159,"To is before From",IF(COUNTIFS($P$5:$P$2004,P159,$C$5:$C$2004,"&lt;="&amp;D159,$D$5:$D$2004,"&gt;="&amp;C159)&gt;1,"Overlaps another row","OK"))))</f>
        <v/>
      </c>
      <c r="P159">
        <f>IF(A159="","",A159&amp;"|"&amp;IF(B159="","Standard",B159))</f>
        <v/>
      </c>
      <c r="Q159">
        <f>IF(AND(A159&lt;&gt;"",A159='Firm Search'!$C$7),COUNTIF($A$5:A159,'Firm Search'!$C$7),"")</f>
        <v/>
      </c>
    </row>
    <row r="160">
      <c r="A160" s="64" t="n"/>
      <c r="B160" s="64" t="n"/>
      <c r="C160" s="66" t="n"/>
      <c r="D160" s="66" t="n"/>
      <c r="E160" s="67" t="n"/>
      <c r="F160" s="67" t="n"/>
      <c r="G160" s="67" t="n"/>
      <c r="H160" s="67" t="n"/>
      <c r="I160" s="67" t="n"/>
      <c r="J160" s="67" t="n"/>
      <c r="K160" s="67" t="n"/>
      <c r="L160" s="67" t="n"/>
      <c r="M160" s="64" t="n"/>
      <c r="N160" s="66" t="n"/>
      <c r="O160" s="84">
        <f>IF(A160="","",IF(OR(C160="",D160=""),"Enter both dates",IF(D160&lt;C160,"To is before From",IF(COUNTIFS($P$5:$P$2004,P160,$C$5:$C$2004,"&lt;="&amp;D160,$D$5:$D$2004,"&gt;="&amp;C160)&gt;1,"Overlaps another row","OK"))))</f>
        <v/>
      </c>
      <c r="P160">
        <f>IF(A160="","",A160&amp;"|"&amp;IF(B160="","Standard",B160))</f>
        <v/>
      </c>
      <c r="Q160">
        <f>IF(AND(A160&lt;&gt;"",A160='Firm Search'!$C$7),COUNTIF($A$5:A160,'Firm Search'!$C$7),"")</f>
        <v/>
      </c>
    </row>
    <row r="161">
      <c r="A161" s="64" t="n"/>
      <c r="B161" s="64" t="n"/>
      <c r="C161" s="66" t="n"/>
      <c r="D161" s="66" t="n"/>
      <c r="E161" s="67" t="n"/>
      <c r="F161" s="67" t="n"/>
      <c r="G161" s="67" t="n"/>
      <c r="H161" s="67" t="n"/>
      <c r="I161" s="67" t="n"/>
      <c r="J161" s="67" t="n"/>
      <c r="K161" s="67" t="n"/>
      <c r="L161" s="67" t="n"/>
      <c r="M161" s="64" t="n"/>
      <c r="N161" s="66" t="n"/>
      <c r="O161" s="84">
        <f>IF(A161="","",IF(OR(C161="",D161=""),"Enter both dates",IF(D161&lt;C161,"To is before From",IF(COUNTIFS($P$5:$P$2004,P161,$C$5:$C$2004,"&lt;="&amp;D161,$D$5:$D$2004,"&gt;="&amp;C161)&gt;1,"Overlaps another row","OK"))))</f>
        <v/>
      </c>
      <c r="P161">
        <f>IF(A161="","",A161&amp;"|"&amp;IF(B161="","Standard",B161))</f>
        <v/>
      </c>
      <c r="Q161">
        <f>IF(AND(A161&lt;&gt;"",A161='Firm Search'!$C$7),COUNTIF($A$5:A161,'Firm Search'!$C$7),"")</f>
        <v/>
      </c>
    </row>
    <row r="162">
      <c r="A162" s="64" t="n"/>
      <c r="B162" s="64" t="n"/>
      <c r="C162" s="66" t="n"/>
      <c r="D162" s="66" t="n"/>
      <c r="E162" s="67" t="n"/>
      <c r="F162" s="67" t="n"/>
      <c r="G162" s="67" t="n"/>
      <c r="H162" s="67" t="n"/>
      <c r="I162" s="67" t="n"/>
      <c r="J162" s="67" t="n"/>
      <c r="K162" s="67" t="n"/>
      <c r="L162" s="67" t="n"/>
      <c r="M162" s="64" t="n"/>
      <c r="N162" s="66" t="n"/>
      <c r="O162" s="84">
        <f>IF(A162="","",IF(OR(C162="",D162=""),"Enter both dates",IF(D162&lt;C162,"To is before From",IF(COUNTIFS($P$5:$P$2004,P162,$C$5:$C$2004,"&lt;="&amp;D162,$D$5:$D$2004,"&gt;="&amp;C162)&gt;1,"Overlaps another row","OK"))))</f>
        <v/>
      </c>
      <c r="P162">
        <f>IF(A162="","",A162&amp;"|"&amp;IF(B162="","Standard",B162))</f>
        <v/>
      </c>
      <c r="Q162">
        <f>IF(AND(A162&lt;&gt;"",A162='Firm Search'!$C$7),COUNTIF($A$5:A162,'Firm Search'!$C$7),"")</f>
        <v/>
      </c>
    </row>
    <row r="163">
      <c r="A163" s="64" t="n"/>
      <c r="B163" s="64" t="n"/>
      <c r="C163" s="66" t="n"/>
      <c r="D163" s="66" t="n"/>
      <c r="E163" s="67" t="n"/>
      <c r="F163" s="67" t="n"/>
      <c r="G163" s="67" t="n"/>
      <c r="H163" s="67" t="n"/>
      <c r="I163" s="67" t="n"/>
      <c r="J163" s="67" t="n"/>
      <c r="K163" s="67" t="n"/>
      <c r="L163" s="67" t="n"/>
      <c r="M163" s="64" t="n"/>
      <c r="N163" s="66" t="n"/>
      <c r="O163" s="84">
        <f>IF(A163="","",IF(OR(C163="",D163=""),"Enter both dates",IF(D163&lt;C163,"To is before From",IF(COUNTIFS($P$5:$P$2004,P163,$C$5:$C$2004,"&lt;="&amp;D163,$D$5:$D$2004,"&gt;="&amp;C163)&gt;1,"Overlaps another row","OK"))))</f>
        <v/>
      </c>
      <c r="P163">
        <f>IF(A163="","",A163&amp;"|"&amp;IF(B163="","Standard",B163))</f>
        <v/>
      </c>
      <c r="Q163">
        <f>IF(AND(A163&lt;&gt;"",A163='Firm Search'!$C$7),COUNTIF($A$5:A163,'Firm Search'!$C$7),"")</f>
        <v/>
      </c>
    </row>
    <row r="164">
      <c r="A164" s="64" t="n"/>
      <c r="B164" s="64" t="n"/>
      <c r="C164" s="66" t="n"/>
      <c r="D164" s="66" t="n"/>
      <c r="E164" s="67" t="n"/>
      <c r="F164" s="67" t="n"/>
      <c r="G164" s="67" t="n"/>
      <c r="H164" s="67" t="n"/>
      <c r="I164" s="67" t="n"/>
      <c r="J164" s="67" t="n"/>
      <c r="K164" s="67" t="n"/>
      <c r="L164" s="67" t="n"/>
      <c r="M164" s="64" t="n"/>
      <c r="N164" s="66" t="n"/>
      <c r="O164" s="84">
        <f>IF(A164="","",IF(OR(C164="",D164=""),"Enter both dates",IF(D164&lt;C164,"To is before From",IF(COUNTIFS($P$5:$P$2004,P164,$C$5:$C$2004,"&lt;="&amp;D164,$D$5:$D$2004,"&gt;="&amp;C164)&gt;1,"Overlaps another row","OK"))))</f>
        <v/>
      </c>
      <c r="P164">
        <f>IF(A164="","",A164&amp;"|"&amp;IF(B164="","Standard",B164))</f>
        <v/>
      </c>
      <c r="Q164">
        <f>IF(AND(A164&lt;&gt;"",A164='Firm Search'!$C$7),COUNTIF($A$5:A164,'Firm Search'!$C$7),"")</f>
        <v/>
      </c>
    </row>
    <row r="165">
      <c r="A165" s="64" t="n"/>
      <c r="B165" s="64" t="n"/>
      <c r="C165" s="66" t="n"/>
      <c r="D165" s="66" t="n"/>
      <c r="E165" s="67" t="n"/>
      <c r="F165" s="67" t="n"/>
      <c r="G165" s="67" t="n"/>
      <c r="H165" s="67" t="n"/>
      <c r="I165" s="67" t="n"/>
      <c r="J165" s="67" t="n"/>
      <c r="K165" s="67" t="n"/>
      <c r="L165" s="67" t="n"/>
      <c r="M165" s="64" t="n"/>
      <c r="N165" s="66" t="n"/>
      <c r="O165" s="84">
        <f>IF(A165="","",IF(OR(C165="",D165=""),"Enter both dates",IF(D165&lt;C165,"To is before From",IF(COUNTIFS($P$5:$P$2004,P165,$C$5:$C$2004,"&lt;="&amp;D165,$D$5:$D$2004,"&gt;="&amp;C165)&gt;1,"Overlaps another row","OK"))))</f>
        <v/>
      </c>
      <c r="P165">
        <f>IF(A165="","",A165&amp;"|"&amp;IF(B165="","Standard",B165))</f>
        <v/>
      </c>
      <c r="Q165">
        <f>IF(AND(A165&lt;&gt;"",A165='Firm Search'!$C$7),COUNTIF($A$5:A165,'Firm Search'!$C$7),"")</f>
        <v/>
      </c>
    </row>
    <row r="166">
      <c r="A166" s="64" t="n"/>
      <c r="B166" s="64" t="n"/>
      <c r="C166" s="66" t="n"/>
      <c r="D166" s="66" t="n"/>
      <c r="E166" s="67" t="n"/>
      <c r="F166" s="67" t="n"/>
      <c r="G166" s="67" t="n"/>
      <c r="H166" s="67" t="n"/>
      <c r="I166" s="67" t="n"/>
      <c r="J166" s="67" t="n"/>
      <c r="K166" s="67" t="n"/>
      <c r="L166" s="67" t="n"/>
      <c r="M166" s="64" t="n"/>
      <c r="N166" s="66" t="n"/>
      <c r="O166" s="84">
        <f>IF(A166="","",IF(OR(C166="",D166=""),"Enter both dates",IF(D166&lt;C166,"To is before From",IF(COUNTIFS($P$5:$P$2004,P166,$C$5:$C$2004,"&lt;="&amp;D166,$D$5:$D$2004,"&gt;="&amp;C166)&gt;1,"Overlaps another row","OK"))))</f>
        <v/>
      </c>
      <c r="P166">
        <f>IF(A166="","",A166&amp;"|"&amp;IF(B166="","Standard",B166))</f>
        <v/>
      </c>
      <c r="Q166">
        <f>IF(AND(A166&lt;&gt;"",A166='Firm Search'!$C$7),COUNTIF($A$5:A166,'Firm Search'!$C$7),"")</f>
        <v/>
      </c>
    </row>
    <row r="167">
      <c r="A167" s="64" t="n"/>
      <c r="B167" s="64" t="n"/>
      <c r="C167" s="66" t="n"/>
      <c r="D167" s="66" t="n"/>
      <c r="E167" s="67" t="n"/>
      <c r="F167" s="67" t="n"/>
      <c r="G167" s="67" t="n"/>
      <c r="H167" s="67" t="n"/>
      <c r="I167" s="67" t="n"/>
      <c r="J167" s="67" t="n"/>
      <c r="K167" s="67" t="n"/>
      <c r="L167" s="67" t="n"/>
      <c r="M167" s="64" t="n"/>
      <c r="N167" s="66" t="n"/>
      <c r="O167" s="84">
        <f>IF(A167="","",IF(OR(C167="",D167=""),"Enter both dates",IF(D167&lt;C167,"To is before From",IF(COUNTIFS($P$5:$P$2004,P167,$C$5:$C$2004,"&lt;="&amp;D167,$D$5:$D$2004,"&gt;="&amp;C167)&gt;1,"Overlaps another row","OK"))))</f>
        <v/>
      </c>
      <c r="P167">
        <f>IF(A167="","",A167&amp;"|"&amp;IF(B167="","Standard",B167))</f>
        <v/>
      </c>
      <c r="Q167">
        <f>IF(AND(A167&lt;&gt;"",A167='Firm Search'!$C$7),COUNTIF($A$5:A167,'Firm Search'!$C$7),"")</f>
        <v/>
      </c>
    </row>
    <row r="168">
      <c r="A168" s="64" t="n"/>
      <c r="B168" s="64" t="n"/>
      <c r="C168" s="66" t="n"/>
      <c r="D168" s="66" t="n"/>
      <c r="E168" s="67" t="n"/>
      <c r="F168" s="67" t="n"/>
      <c r="G168" s="67" t="n"/>
      <c r="H168" s="67" t="n"/>
      <c r="I168" s="67" t="n"/>
      <c r="J168" s="67" t="n"/>
      <c r="K168" s="67" t="n"/>
      <c r="L168" s="67" t="n"/>
      <c r="M168" s="64" t="n"/>
      <c r="N168" s="66" t="n"/>
      <c r="O168" s="84">
        <f>IF(A168="","",IF(OR(C168="",D168=""),"Enter both dates",IF(D168&lt;C168,"To is before From",IF(COUNTIFS($P$5:$P$2004,P168,$C$5:$C$2004,"&lt;="&amp;D168,$D$5:$D$2004,"&gt;="&amp;C168)&gt;1,"Overlaps another row","OK"))))</f>
        <v/>
      </c>
      <c r="P168">
        <f>IF(A168="","",A168&amp;"|"&amp;IF(B168="","Standard",B168))</f>
        <v/>
      </c>
      <c r="Q168">
        <f>IF(AND(A168&lt;&gt;"",A168='Firm Search'!$C$7),COUNTIF($A$5:A168,'Firm Search'!$C$7),"")</f>
        <v/>
      </c>
    </row>
    <row r="169">
      <c r="A169" s="64" t="n"/>
      <c r="B169" s="64" t="n"/>
      <c r="C169" s="66" t="n"/>
      <c r="D169" s="66" t="n"/>
      <c r="E169" s="67" t="n"/>
      <c r="F169" s="67" t="n"/>
      <c r="G169" s="67" t="n"/>
      <c r="H169" s="67" t="n"/>
      <c r="I169" s="67" t="n"/>
      <c r="J169" s="67" t="n"/>
      <c r="K169" s="67" t="n"/>
      <c r="L169" s="67" t="n"/>
      <c r="M169" s="64" t="n"/>
      <c r="N169" s="66" t="n"/>
      <c r="O169" s="84">
        <f>IF(A169="","",IF(OR(C169="",D169=""),"Enter both dates",IF(D169&lt;C169,"To is before From",IF(COUNTIFS($P$5:$P$2004,P169,$C$5:$C$2004,"&lt;="&amp;D169,$D$5:$D$2004,"&gt;="&amp;C169)&gt;1,"Overlaps another row","OK"))))</f>
        <v/>
      </c>
      <c r="P169">
        <f>IF(A169="","",A169&amp;"|"&amp;IF(B169="","Standard",B169))</f>
        <v/>
      </c>
      <c r="Q169">
        <f>IF(AND(A169&lt;&gt;"",A169='Firm Search'!$C$7),COUNTIF($A$5:A169,'Firm Search'!$C$7),"")</f>
        <v/>
      </c>
    </row>
    <row r="170">
      <c r="A170" s="64" t="n"/>
      <c r="B170" s="64" t="n"/>
      <c r="C170" s="66" t="n"/>
      <c r="D170" s="66" t="n"/>
      <c r="E170" s="67" t="n"/>
      <c r="F170" s="67" t="n"/>
      <c r="G170" s="67" t="n"/>
      <c r="H170" s="67" t="n"/>
      <c r="I170" s="67" t="n"/>
      <c r="J170" s="67" t="n"/>
      <c r="K170" s="67" t="n"/>
      <c r="L170" s="67" t="n"/>
      <c r="M170" s="64" t="n"/>
      <c r="N170" s="66" t="n"/>
      <c r="O170" s="84">
        <f>IF(A170="","",IF(OR(C170="",D170=""),"Enter both dates",IF(D170&lt;C170,"To is before From",IF(COUNTIFS($P$5:$P$2004,P170,$C$5:$C$2004,"&lt;="&amp;D170,$D$5:$D$2004,"&gt;="&amp;C170)&gt;1,"Overlaps another row","OK"))))</f>
        <v/>
      </c>
      <c r="P170">
        <f>IF(A170="","",A170&amp;"|"&amp;IF(B170="","Standard",B170))</f>
        <v/>
      </c>
      <c r="Q170">
        <f>IF(AND(A170&lt;&gt;"",A170='Firm Search'!$C$7),COUNTIF($A$5:A170,'Firm Search'!$C$7),"")</f>
        <v/>
      </c>
    </row>
    <row r="171">
      <c r="A171" s="64" t="n"/>
      <c r="B171" s="64" t="n"/>
      <c r="C171" s="66" t="n"/>
      <c r="D171" s="66" t="n"/>
      <c r="E171" s="67" t="n"/>
      <c r="F171" s="67" t="n"/>
      <c r="G171" s="67" t="n"/>
      <c r="H171" s="67" t="n"/>
      <c r="I171" s="67" t="n"/>
      <c r="J171" s="67" t="n"/>
      <c r="K171" s="67" t="n"/>
      <c r="L171" s="67" t="n"/>
      <c r="M171" s="64" t="n"/>
      <c r="N171" s="66" t="n"/>
      <c r="O171" s="84">
        <f>IF(A171="","",IF(OR(C171="",D171=""),"Enter both dates",IF(D171&lt;C171,"To is before From",IF(COUNTIFS($P$5:$P$2004,P171,$C$5:$C$2004,"&lt;="&amp;D171,$D$5:$D$2004,"&gt;="&amp;C171)&gt;1,"Overlaps another row","OK"))))</f>
        <v/>
      </c>
      <c r="P171">
        <f>IF(A171="","",A171&amp;"|"&amp;IF(B171="","Standard",B171))</f>
        <v/>
      </c>
      <c r="Q171">
        <f>IF(AND(A171&lt;&gt;"",A171='Firm Search'!$C$7),COUNTIF($A$5:A171,'Firm Search'!$C$7),"")</f>
        <v/>
      </c>
    </row>
    <row r="172">
      <c r="A172" s="64" t="n"/>
      <c r="B172" s="64" t="n"/>
      <c r="C172" s="66" t="n"/>
      <c r="D172" s="66" t="n"/>
      <c r="E172" s="67" t="n"/>
      <c r="F172" s="67" t="n"/>
      <c r="G172" s="67" t="n"/>
      <c r="H172" s="67" t="n"/>
      <c r="I172" s="67" t="n"/>
      <c r="J172" s="67" t="n"/>
      <c r="K172" s="67" t="n"/>
      <c r="L172" s="67" t="n"/>
      <c r="M172" s="64" t="n"/>
      <c r="N172" s="66" t="n"/>
      <c r="O172" s="84">
        <f>IF(A172="","",IF(OR(C172="",D172=""),"Enter both dates",IF(D172&lt;C172,"To is before From",IF(COUNTIFS($P$5:$P$2004,P172,$C$5:$C$2004,"&lt;="&amp;D172,$D$5:$D$2004,"&gt;="&amp;C172)&gt;1,"Overlaps another row","OK"))))</f>
        <v/>
      </c>
      <c r="P172">
        <f>IF(A172="","",A172&amp;"|"&amp;IF(B172="","Standard",B172))</f>
        <v/>
      </c>
      <c r="Q172">
        <f>IF(AND(A172&lt;&gt;"",A172='Firm Search'!$C$7),COUNTIF($A$5:A172,'Firm Search'!$C$7),"")</f>
        <v/>
      </c>
    </row>
    <row r="173">
      <c r="A173" s="64" t="n"/>
      <c r="B173" s="64" t="n"/>
      <c r="C173" s="66" t="n"/>
      <c r="D173" s="66" t="n"/>
      <c r="E173" s="67" t="n"/>
      <c r="F173" s="67" t="n"/>
      <c r="G173" s="67" t="n"/>
      <c r="H173" s="67" t="n"/>
      <c r="I173" s="67" t="n"/>
      <c r="J173" s="67" t="n"/>
      <c r="K173" s="67" t="n"/>
      <c r="L173" s="67" t="n"/>
      <c r="M173" s="64" t="n"/>
      <c r="N173" s="66" t="n"/>
      <c r="O173" s="84">
        <f>IF(A173="","",IF(OR(C173="",D173=""),"Enter both dates",IF(D173&lt;C173,"To is before From",IF(COUNTIFS($P$5:$P$2004,P173,$C$5:$C$2004,"&lt;="&amp;D173,$D$5:$D$2004,"&gt;="&amp;C173)&gt;1,"Overlaps another row","OK"))))</f>
        <v/>
      </c>
      <c r="P173">
        <f>IF(A173="","",A173&amp;"|"&amp;IF(B173="","Standard",B173))</f>
        <v/>
      </c>
      <c r="Q173">
        <f>IF(AND(A173&lt;&gt;"",A173='Firm Search'!$C$7),COUNTIF($A$5:A173,'Firm Search'!$C$7),"")</f>
        <v/>
      </c>
    </row>
    <row r="174">
      <c r="A174" s="64" t="n"/>
      <c r="B174" s="64" t="n"/>
      <c r="C174" s="66" t="n"/>
      <c r="D174" s="66" t="n"/>
      <c r="E174" s="67" t="n"/>
      <c r="F174" s="67" t="n"/>
      <c r="G174" s="67" t="n"/>
      <c r="H174" s="67" t="n"/>
      <c r="I174" s="67" t="n"/>
      <c r="J174" s="67" t="n"/>
      <c r="K174" s="67" t="n"/>
      <c r="L174" s="67" t="n"/>
      <c r="M174" s="64" t="n"/>
      <c r="N174" s="66" t="n"/>
      <c r="O174" s="84">
        <f>IF(A174="","",IF(OR(C174="",D174=""),"Enter both dates",IF(D174&lt;C174,"To is before From",IF(COUNTIFS($P$5:$P$2004,P174,$C$5:$C$2004,"&lt;="&amp;D174,$D$5:$D$2004,"&gt;="&amp;C174)&gt;1,"Overlaps another row","OK"))))</f>
        <v/>
      </c>
      <c r="P174">
        <f>IF(A174="","",A174&amp;"|"&amp;IF(B174="","Standard",B174))</f>
        <v/>
      </c>
      <c r="Q174">
        <f>IF(AND(A174&lt;&gt;"",A174='Firm Search'!$C$7),COUNTIF($A$5:A174,'Firm Search'!$C$7),"")</f>
        <v/>
      </c>
    </row>
    <row r="175">
      <c r="A175" s="64" t="n"/>
      <c r="B175" s="64" t="n"/>
      <c r="C175" s="66" t="n"/>
      <c r="D175" s="66" t="n"/>
      <c r="E175" s="67" t="n"/>
      <c r="F175" s="67" t="n"/>
      <c r="G175" s="67" t="n"/>
      <c r="H175" s="67" t="n"/>
      <c r="I175" s="67" t="n"/>
      <c r="J175" s="67" t="n"/>
      <c r="K175" s="67" t="n"/>
      <c r="L175" s="67" t="n"/>
      <c r="M175" s="64" t="n"/>
      <c r="N175" s="66" t="n"/>
      <c r="O175" s="84">
        <f>IF(A175="","",IF(OR(C175="",D175=""),"Enter both dates",IF(D175&lt;C175,"To is before From",IF(COUNTIFS($P$5:$P$2004,P175,$C$5:$C$2004,"&lt;="&amp;D175,$D$5:$D$2004,"&gt;="&amp;C175)&gt;1,"Overlaps another row","OK"))))</f>
        <v/>
      </c>
      <c r="P175">
        <f>IF(A175="","",A175&amp;"|"&amp;IF(B175="","Standard",B175))</f>
        <v/>
      </c>
      <c r="Q175">
        <f>IF(AND(A175&lt;&gt;"",A175='Firm Search'!$C$7),COUNTIF($A$5:A175,'Firm Search'!$C$7),"")</f>
        <v/>
      </c>
    </row>
    <row r="176">
      <c r="A176" s="64" t="n"/>
      <c r="B176" s="64" t="n"/>
      <c r="C176" s="66" t="n"/>
      <c r="D176" s="66" t="n"/>
      <c r="E176" s="67" t="n"/>
      <c r="F176" s="67" t="n"/>
      <c r="G176" s="67" t="n"/>
      <c r="H176" s="67" t="n"/>
      <c r="I176" s="67" t="n"/>
      <c r="J176" s="67" t="n"/>
      <c r="K176" s="67" t="n"/>
      <c r="L176" s="67" t="n"/>
      <c r="M176" s="64" t="n"/>
      <c r="N176" s="66" t="n"/>
      <c r="O176" s="84">
        <f>IF(A176="","",IF(OR(C176="",D176=""),"Enter both dates",IF(D176&lt;C176,"To is before From",IF(COUNTIFS($P$5:$P$2004,P176,$C$5:$C$2004,"&lt;="&amp;D176,$D$5:$D$2004,"&gt;="&amp;C176)&gt;1,"Overlaps another row","OK"))))</f>
        <v/>
      </c>
      <c r="P176">
        <f>IF(A176="","",A176&amp;"|"&amp;IF(B176="","Standard",B176))</f>
        <v/>
      </c>
      <c r="Q176">
        <f>IF(AND(A176&lt;&gt;"",A176='Firm Search'!$C$7),COUNTIF($A$5:A176,'Firm Search'!$C$7),"")</f>
        <v/>
      </c>
    </row>
    <row r="177">
      <c r="A177" s="64" t="n"/>
      <c r="B177" s="64" t="n"/>
      <c r="C177" s="66" t="n"/>
      <c r="D177" s="66" t="n"/>
      <c r="E177" s="67" t="n"/>
      <c r="F177" s="67" t="n"/>
      <c r="G177" s="67" t="n"/>
      <c r="H177" s="67" t="n"/>
      <c r="I177" s="67" t="n"/>
      <c r="J177" s="67" t="n"/>
      <c r="K177" s="67" t="n"/>
      <c r="L177" s="67" t="n"/>
      <c r="M177" s="64" t="n"/>
      <c r="N177" s="66" t="n"/>
      <c r="O177" s="84">
        <f>IF(A177="","",IF(OR(C177="",D177=""),"Enter both dates",IF(D177&lt;C177,"To is before From",IF(COUNTIFS($P$5:$P$2004,P177,$C$5:$C$2004,"&lt;="&amp;D177,$D$5:$D$2004,"&gt;="&amp;C177)&gt;1,"Overlaps another row","OK"))))</f>
        <v/>
      </c>
      <c r="P177">
        <f>IF(A177="","",A177&amp;"|"&amp;IF(B177="","Standard",B177))</f>
        <v/>
      </c>
      <c r="Q177">
        <f>IF(AND(A177&lt;&gt;"",A177='Firm Search'!$C$7),COUNTIF($A$5:A177,'Firm Search'!$C$7),"")</f>
        <v/>
      </c>
    </row>
    <row r="178">
      <c r="A178" s="64" t="n"/>
      <c r="B178" s="64" t="n"/>
      <c r="C178" s="66" t="n"/>
      <c r="D178" s="66" t="n"/>
      <c r="E178" s="67" t="n"/>
      <c r="F178" s="67" t="n"/>
      <c r="G178" s="67" t="n"/>
      <c r="H178" s="67" t="n"/>
      <c r="I178" s="67" t="n"/>
      <c r="J178" s="67" t="n"/>
      <c r="K178" s="67" t="n"/>
      <c r="L178" s="67" t="n"/>
      <c r="M178" s="64" t="n"/>
      <c r="N178" s="66" t="n"/>
      <c r="O178" s="84">
        <f>IF(A178="","",IF(OR(C178="",D178=""),"Enter both dates",IF(D178&lt;C178,"To is before From",IF(COUNTIFS($P$5:$P$2004,P178,$C$5:$C$2004,"&lt;="&amp;D178,$D$5:$D$2004,"&gt;="&amp;C178)&gt;1,"Overlaps another row","OK"))))</f>
        <v/>
      </c>
      <c r="P178">
        <f>IF(A178="","",A178&amp;"|"&amp;IF(B178="","Standard",B178))</f>
        <v/>
      </c>
      <c r="Q178">
        <f>IF(AND(A178&lt;&gt;"",A178='Firm Search'!$C$7),COUNTIF($A$5:A178,'Firm Search'!$C$7),"")</f>
        <v/>
      </c>
    </row>
    <row r="179">
      <c r="A179" s="64" t="n"/>
      <c r="B179" s="64" t="n"/>
      <c r="C179" s="66" t="n"/>
      <c r="D179" s="66" t="n"/>
      <c r="E179" s="67" t="n"/>
      <c r="F179" s="67" t="n"/>
      <c r="G179" s="67" t="n"/>
      <c r="H179" s="67" t="n"/>
      <c r="I179" s="67" t="n"/>
      <c r="J179" s="67" t="n"/>
      <c r="K179" s="67" t="n"/>
      <c r="L179" s="67" t="n"/>
      <c r="M179" s="64" t="n"/>
      <c r="N179" s="66" t="n"/>
      <c r="O179" s="84">
        <f>IF(A179="","",IF(OR(C179="",D179=""),"Enter both dates",IF(D179&lt;C179,"To is before From",IF(COUNTIFS($P$5:$P$2004,P179,$C$5:$C$2004,"&lt;="&amp;D179,$D$5:$D$2004,"&gt;="&amp;C179)&gt;1,"Overlaps another row","OK"))))</f>
        <v/>
      </c>
      <c r="P179">
        <f>IF(A179="","",A179&amp;"|"&amp;IF(B179="","Standard",B179))</f>
        <v/>
      </c>
      <c r="Q179">
        <f>IF(AND(A179&lt;&gt;"",A179='Firm Search'!$C$7),COUNTIF($A$5:A179,'Firm Search'!$C$7),"")</f>
        <v/>
      </c>
    </row>
    <row r="180">
      <c r="A180" s="64" t="n"/>
      <c r="B180" s="64" t="n"/>
      <c r="C180" s="66" t="n"/>
      <c r="D180" s="66" t="n"/>
      <c r="E180" s="67" t="n"/>
      <c r="F180" s="67" t="n"/>
      <c r="G180" s="67" t="n"/>
      <c r="H180" s="67" t="n"/>
      <c r="I180" s="67" t="n"/>
      <c r="J180" s="67" t="n"/>
      <c r="K180" s="67" t="n"/>
      <c r="L180" s="67" t="n"/>
      <c r="M180" s="64" t="n"/>
      <c r="N180" s="66" t="n"/>
      <c r="O180" s="84">
        <f>IF(A180="","",IF(OR(C180="",D180=""),"Enter both dates",IF(D180&lt;C180,"To is before From",IF(COUNTIFS($P$5:$P$2004,P180,$C$5:$C$2004,"&lt;="&amp;D180,$D$5:$D$2004,"&gt;="&amp;C180)&gt;1,"Overlaps another row","OK"))))</f>
        <v/>
      </c>
      <c r="P180">
        <f>IF(A180="","",A180&amp;"|"&amp;IF(B180="","Standard",B180))</f>
        <v/>
      </c>
      <c r="Q180">
        <f>IF(AND(A180&lt;&gt;"",A180='Firm Search'!$C$7),COUNTIF($A$5:A180,'Firm Search'!$C$7),"")</f>
        <v/>
      </c>
    </row>
    <row r="181">
      <c r="A181" s="64" t="n"/>
      <c r="B181" s="64" t="n"/>
      <c r="C181" s="66" t="n"/>
      <c r="D181" s="66" t="n"/>
      <c r="E181" s="67" t="n"/>
      <c r="F181" s="67" t="n"/>
      <c r="G181" s="67" t="n"/>
      <c r="H181" s="67" t="n"/>
      <c r="I181" s="67" t="n"/>
      <c r="J181" s="67" t="n"/>
      <c r="K181" s="67" t="n"/>
      <c r="L181" s="67" t="n"/>
      <c r="M181" s="64" t="n"/>
      <c r="N181" s="66" t="n"/>
      <c r="O181" s="84">
        <f>IF(A181="","",IF(OR(C181="",D181=""),"Enter both dates",IF(D181&lt;C181,"To is before From",IF(COUNTIFS($P$5:$P$2004,P181,$C$5:$C$2004,"&lt;="&amp;D181,$D$5:$D$2004,"&gt;="&amp;C181)&gt;1,"Overlaps another row","OK"))))</f>
        <v/>
      </c>
      <c r="P181">
        <f>IF(A181="","",A181&amp;"|"&amp;IF(B181="","Standard",B181))</f>
        <v/>
      </c>
      <c r="Q181">
        <f>IF(AND(A181&lt;&gt;"",A181='Firm Search'!$C$7),COUNTIF($A$5:A181,'Firm Search'!$C$7),"")</f>
        <v/>
      </c>
    </row>
    <row r="182">
      <c r="A182" s="64" t="n"/>
      <c r="B182" s="64" t="n"/>
      <c r="C182" s="66" t="n"/>
      <c r="D182" s="66" t="n"/>
      <c r="E182" s="67" t="n"/>
      <c r="F182" s="67" t="n"/>
      <c r="G182" s="67" t="n"/>
      <c r="H182" s="67" t="n"/>
      <c r="I182" s="67" t="n"/>
      <c r="J182" s="67" t="n"/>
      <c r="K182" s="67" t="n"/>
      <c r="L182" s="67" t="n"/>
      <c r="M182" s="64" t="n"/>
      <c r="N182" s="66" t="n"/>
      <c r="O182" s="84">
        <f>IF(A182="","",IF(OR(C182="",D182=""),"Enter both dates",IF(D182&lt;C182,"To is before From",IF(COUNTIFS($P$5:$P$2004,P182,$C$5:$C$2004,"&lt;="&amp;D182,$D$5:$D$2004,"&gt;="&amp;C182)&gt;1,"Overlaps another row","OK"))))</f>
        <v/>
      </c>
      <c r="P182">
        <f>IF(A182="","",A182&amp;"|"&amp;IF(B182="","Standard",B182))</f>
        <v/>
      </c>
      <c r="Q182">
        <f>IF(AND(A182&lt;&gt;"",A182='Firm Search'!$C$7),COUNTIF($A$5:A182,'Firm Search'!$C$7),"")</f>
        <v/>
      </c>
    </row>
    <row r="183">
      <c r="A183" s="64" t="n"/>
      <c r="B183" s="64" t="n"/>
      <c r="C183" s="66" t="n"/>
      <c r="D183" s="66" t="n"/>
      <c r="E183" s="67" t="n"/>
      <c r="F183" s="67" t="n"/>
      <c r="G183" s="67" t="n"/>
      <c r="H183" s="67" t="n"/>
      <c r="I183" s="67" t="n"/>
      <c r="J183" s="67" t="n"/>
      <c r="K183" s="67" t="n"/>
      <c r="L183" s="67" t="n"/>
      <c r="M183" s="64" t="n"/>
      <c r="N183" s="66" t="n"/>
      <c r="O183" s="84">
        <f>IF(A183="","",IF(OR(C183="",D183=""),"Enter both dates",IF(D183&lt;C183,"To is before From",IF(COUNTIFS($P$5:$P$2004,P183,$C$5:$C$2004,"&lt;="&amp;D183,$D$5:$D$2004,"&gt;="&amp;C183)&gt;1,"Overlaps another row","OK"))))</f>
        <v/>
      </c>
      <c r="P183">
        <f>IF(A183="","",A183&amp;"|"&amp;IF(B183="","Standard",B183))</f>
        <v/>
      </c>
      <c r="Q183">
        <f>IF(AND(A183&lt;&gt;"",A183='Firm Search'!$C$7),COUNTIF($A$5:A183,'Firm Search'!$C$7),"")</f>
        <v/>
      </c>
    </row>
    <row r="184">
      <c r="A184" s="64" t="n"/>
      <c r="B184" s="64" t="n"/>
      <c r="C184" s="66" t="n"/>
      <c r="D184" s="66" t="n"/>
      <c r="E184" s="67" t="n"/>
      <c r="F184" s="67" t="n"/>
      <c r="G184" s="67" t="n"/>
      <c r="H184" s="67" t="n"/>
      <c r="I184" s="67" t="n"/>
      <c r="J184" s="67" t="n"/>
      <c r="K184" s="67" t="n"/>
      <c r="L184" s="67" t="n"/>
      <c r="M184" s="64" t="n"/>
      <c r="N184" s="66" t="n"/>
      <c r="O184" s="84">
        <f>IF(A184="","",IF(OR(C184="",D184=""),"Enter both dates",IF(D184&lt;C184,"To is before From",IF(COUNTIFS($P$5:$P$2004,P184,$C$5:$C$2004,"&lt;="&amp;D184,$D$5:$D$2004,"&gt;="&amp;C184)&gt;1,"Overlaps another row","OK"))))</f>
        <v/>
      </c>
      <c r="P184">
        <f>IF(A184="","",A184&amp;"|"&amp;IF(B184="","Standard",B184))</f>
        <v/>
      </c>
      <c r="Q184">
        <f>IF(AND(A184&lt;&gt;"",A184='Firm Search'!$C$7),COUNTIF($A$5:A184,'Firm Search'!$C$7),"")</f>
        <v/>
      </c>
    </row>
    <row r="185">
      <c r="A185" s="64" t="n"/>
      <c r="B185" s="64" t="n"/>
      <c r="C185" s="66" t="n"/>
      <c r="D185" s="66" t="n"/>
      <c r="E185" s="67" t="n"/>
      <c r="F185" s="67" t="n"/>
      <c r="G185" s="67" t="n"/>
      <c r="H185" s="67" t="n"/>
      <c r="I185" s="67" t="n"/>
      <c r="J185" s="67" t="n"/>
      <c r="K185" s="67" t="n"/>
      <c r="L185" s="67" t="n"/>
      <c r="M185" s="64" t="n"/>
      <c r="N185" s="66" t="n"/>
      <c r="O185" s="84">
        <f>IF(A185="","",IF(OR(C185="",D185=""),"Enter both dates",IF(D185&lt;C185,"To is before From",IF(COUNTIFS($P$5:$P$2004,P185,$C$5:$C$2004,"&lt;="&amp;D185,$D$5:$D$2004,"&gt;="&amp;C185)&gt;1,"Overlaps another row","OK"))))</f>
        <v/>
      </c>
      <c r="P185">
        <f>IF(A185="","",A185&amp;"|"&amp;IF(B185="","Standard",B185))</f>
        <v/>
      </c>
      <c r="Q185">
        <f>IF(AND(A185&lt;&gt;"",A185='Firm Search'!$C$7),COUNTIF($A$5:A185,'Firm Search'!$C$7),"")</f>
        <v/>
      </c>
    </row>
    <row r="186">
      <c r="A186" s="64" t="n"/>
      <c r="B186" s="64" t="n"/>
      <c r="C186" s="66" t="n"/>
      <c r="D186" s="66" t="n"/>
      <c r="E186" s="67" t="n"/>
      <c r="F186" s="67" t="n"/>
      <c r="G186" s="67" t="n"/>
      <c r="H186" s="67" t="n"/>
      <c r="I186" s="67" t="n"/>
      <c r="J186" s="67" t="n"/>
      <c r="K186" s="67" t="n"/>
      <c r="L186" s="67" t="n"/>
      <c r="M186" s="64" t="n"/>
      <c r="N186" s="66" t="n"/>
      <c r="O186" s="84">
        <f>IF(A186="","",IF(OR(C186="",D186=""),"Enter both dates",IF(D186&lt;C186,"To is before From",IF(COUNTIFS($P$5:$P$2004,P186,$C$5:$C$2004,"&lt;="&amp;D186,$D$5:$D$2004,"&gt;="&amp;C186)&gt;1,"Overlaps another row","OK"))))</f>
        <v/>
      </c>
      <c r="P186">
        <f>IF(A186="","",A186&amp;"|"&amp;IF(B186="","Standard",B186))</f>
        <v/>
      </c>
      <c r="Q186">
        <f>IF(AND(A186&lt;&gt;"",A186='Firm Search'!$C$7),COUNTIF($A$5:A186,'Firm Search'!$C$7),"")</f>
        <v/>
      </c>
    </row>
    <row r="187">
      <c r="A187" s="64" t="n"/>
      <c r="B187" s="64" t="n"/>
      <c r="C187" s="66" t="n"/>
      <c r="D187" s="66" t="n"/>
      <c r="E187" s="67" t="n"/>
      <c r="F187" s="67" t="n"/>
      <c r="G187" s="67" t="n"/>
      <c r="H187" s="67" t="n"/>
      <c r="I187" s="67" t="n"/>
      <c r="J187" s="67" t="n"/>
      <c r="K187" s="67" t="n"/>
      <c r="L187" s="67" t="n"/>
      <c r="M187" s="64" t="n"/>
      <c r="N187" s="66" t="n"/>
      <c r="O187" s="84">
        <f>IF(A187="","",IF(OR(C187="",D187=""),"Enter both dates",IF(D187&lt;C187,"To is before From",IF(COUNTIFS($P$5:$P$2004,P187,$C$5:$C$2004,"&lt;="&amp;D187,$D$5:$D$2004,"&gt;="&amp;C187)&gt;1,"Overlaps another row","OK"))))</f>
        <v/>
      </c>
      <c r="P187">
        <f>IF(A187="","",A187&amp;"|"&amp;IF(B187="","Standard",B187))</f>
        <v/>
      </c>
      <c r="Q187">
        <f>IF(AND(A187&lt;&gt;"",A187='Firm Search'!$C$7),COUNTIF($A$5:A187,'Firm Search'!$C$7),"")</f>
        <v/>
      </c>
    </row>
    <row r="188">
      <c r="A188" s="64" t="n"/>
      <c r="B188" s="64" t="n"/>
      <c r="C188" s="66" t="n"/>
      <c r="D188" s="66" t="n"/>
      <c r="E188" s="67" t="n"/>
      <c r="F188" s="67" t="n"/>
      <c r="G188" s="67" t="n"/>
      <c r="H188" s="67" t="n"/>
      <c r="I188" s="67" t="n"/>
      <c r="J188" s="67" t="n"/>
      <c r="K188" s="67" t="n"/>
      <c r="L188" s="67" t="n"/>
      <c r="M188" s="64" t="n"/>
      <c r="N188" s="66" t="n"/>
      <c r="O188" s="84">
        <f>IF(A188="","",IF(OR(C188="",D188=""),"Enter both dates",IF(D188&lt;C188,"To is before From",IF(COUNTIFS($P$5:$P$2004,P188,$C$5:$C$2004,"&lt;="&amp;D188,$D$5:$D$2004,"&gt;="&amp;C188)&gt;1,"Overlaps another row","OK"))))</f>
        <v/>
      </c>
      <c r="P188">
        <f>IF(A188="","",A188&amp;"|"&amp;IF(B188="","Standard",B188))</f>
        <v/>
      </c>
      <c r="Q188">
        <f>IF(AND(A188&lt;&gt;"",A188='Firm Search'!$C$7),COUNTIF($A$5:A188,'Firm Search'!$C$7),"")</f>
        <v/>
      </c>
    </row>
    <row r="189">
      <c r="A189" s="64" t="n"/>
      <c r="B189" s="64" t="n"/>
      <c r="C189" s="66" t="n"/>
      <c r="D189" s="66" t="n"/>
      <c r="E189" s="67" t="n"/>
      <c r="F189" s="67" t="n"/>
      <c r="G189" s="67" t="n"/>
      <c r="H189" s="67" t="n"/>
      <c r="I189" s="67" t="n"/>
      <c r="J189" s="67" t="n"/>
      <c r="K189" s="67" t="n"/>
      <c r="L189" s="67" t="n"/>
      <c r="M189" s="64" t="n"/>
      <c r="N189" s="66" t="n"/>
      <c r="O189" s="84">
        <f>IF(A189="","",IF(OR(C189="",D189=""),"Enter both dates",IF(D189&lt;C189,"To is before From",IF(COUNTIFS($P$5:$P$2004,P189,$C$5:$C$2004,"&lt;="&amp;D189,$D$5:$D$2004,"&gt;="&amp;C189)&gt;1,"Overlaps another row","OK"))))</f>
        <v/>
      </c>
      <c r="P189">
        <f>IF(A189="","",A189&amp;"|"&amp;IF(B189="","Standard",B189))</f>
        <v/>
      </c>
      <c r="Q189">
        <f>IF(AND(A189&lt;&gt;"",A189='Firm Search'!$C$7),COUNTIF($A$5:A189,'Firm Search'!$C$7),"")</f>
        <v/>
      </c>
    </row>
    <row r="190">
      <c r="A190" s="64" t="n"/>
      <c r="B190" s="64" t="n"/>
      <c r="C190" s="66" t="n"/>
      <c r="D190" s="66" t="n"/>
      <c r="E190" s="67" t="n"/>
      <c r="F190" s="67" t="n"/>
      <c r="G190" s="67" t="n"/>
      <c r="H190" s="67" t="n"/>
      <c r="I190" s="67" t="n"/>
      <c r="J190" s="67" t="n"/>
      <c r="K190" s="67" t="n"/>
      <c r="L190" s="67" t="n"/>
      <c r="M190" s="64" t="n"/>
      <c r="N190" s="66" t="n"/>
      <c r="O190" s="84">
        <f>IF(A190="","",IF(OR(C190="",D190=""),"Enter both dates",IF(D190&lt;C190,"To is before From",IF(COUNTIFS($P$5:$P$2004,P190,$C$5:$C$2004,"&lt;="&amp;D190,$D$5:$D$2004,"&gt;="&amp;C190)&gt;1,"Overlaps another row","OK"))))</f>
        <v/>
      </c>
      <c r="P190">
        <f>IF(A190="","",A190&amp;"|"&amp;IF(B190="","Standard",B190))</f>
        <v/>
      </c>
      <c r="Q190">
        <f>IF(AND(A190&lt;&gt;"",A190='Firm Search'!$C$7),COUNTIF($A$5:A190,'Firm Search'!$C$7),"")</f>
        <v/>
      </c>
    </row>
    <row r="191">
      <c r="A191" s="64" t="n"/>
      <c r="B191" s="64" t="n"/>
      <c r="C191" s="66" t="n"/>
      <c r="D191" s="66" t="n"/>
      <c r="E191" s="67" t="n"/>
      <c r="F191" s="67" t="n"/>
      <c r="G191" s="67" t="n"/>
      <c r="H191" s="67" t="n"/>
      <c r="I191" s="67" t="n"/>
      <c r="J191" s="67" t="n"/>
      <c r="K191" s="67" t="n"/>
      <c r="L191" s="67" t="n"/>
      <c r="M191" s="64" t="n"/>
      <c r="N191" s="66" t="n"/>
      <c r="O191" s="84">
        <f>IF(A191="","",IF(OR(C191="",D191=""),"Enter both dates",IF(D191&lt;C191,"To is before From",IF(COUNTIFS($P$5:$P$2004,P191,$C$5:$C$2004,"&lt;="&amp;D191,$D$5:$D$2004,"&gt;="&amp;C191)&gt;1,"Overlaps another row","OK"))))</f>
        <v/>
      </c>
      <c r="P191">
        <f>IF(A191="","",A191&amp;"|"&amp;IF(B191="","Standard",B191))</f>
        <v/>
      </c>
      <c r="Q191">
        <f>IF(AND(A191&lt;&gt;"",A191='Firm Search'!$C$7),COUNTIF($A$5:A191,'Firm Search'!$C$7),"")</f>
        <v/>
      </c>
    </row>
    <row r="192">
      <c r="A192" s="64" t="n"/>
      <c r="B192" s="64" t="n"/>
      <c r="C192" s="66" t="n"/>
      <c r="D192" s="66" t="n"/>
      <c r="E192" s="67" t="n"/>
      <c r="F192" s="67" t="n"/>
      <c r="G192" s="67" t="n"/>
      <c r="H192" s="67" t="n"/>
      <c r="I192" s="67" t="n"/>
      <c r="J192" s="67" t="n"/>
      <c r="K192" s="67" t="n"/>
      <c r="L192" s="67" t="n"/>
      <c r="M192" s="64" t="n"/>
      <c r="N192" s="66" t="n"/>
      <c r="O192" s="84">
        <f>IF(A192="","",IF(OR(C192="",D192=""),"Enter both dates",IF(D192&lt;C192,"To is before From",IF(COUNTIFS($P$5:$P$2004,P192,$C$5:$C$2004,"&lt;="&amp;D192,$D$5:$D$2004,"&gt;="&amp;C192)&gt;1,"Overlaps another row","OK"))))</f>
        <v/>
      </c>
      <c r="P192">
        <f>IF(A192="","",A192&amp;"|"&amp;IF(B192="","Standard",B192))</f>
        <v/>
      </c>
      <c r="Q192">
        <f>IF(AND(A192&lt;&gt;"",A192='Firm Search'!$C$7),COUNTIF($A$5:A192,'Firm Search'!$C$7),"")</f>
        <v/>
      </c>
    </row>
    <row r="193">
      <c r="A193" s="64" t="n"/>
      <c r="B193" s="64" t="n"/>
      <c r="C193" s="66" t="n"/>
      <c r="D193" s="66" t="n"/>
      <c r="E193" s="67" t="n"/>
      <c r="F193" s="67" t="n"/>
      <c r="G193" s="67" t="n"/>
      <c r="H193" s="67" t="n"/>
      <c r="I193" s="67" t="n"/>
      <c r="J193" s="67" t="n"/>
      <c r="K193" s="67" t="n"/>
      <c r="L193" s="67" t="n"/>
      <c r="M193" s="64" t="n"/>
      <c r="N193" s="66" t="n"/>
      <c r="O193" s="84">
        <f>IF(A193="","",IF(OR(C193="",D193=""),"Enter both dates",IF(D193&lt;C193,"To is before From",IF(COUNTIFS($P$5:$P$2004,P193,$C$5:$C$2004,"&lt;="&amp;D193,$D$5:$D$2004,"&gt;="&amp;C193)&gt;1,"Overlaps another row","OK"))))</f>
        <v/>
      </c>
      <c r="P193">
        <f>IF(A193="","",A193&amp;"|"&amp;IF(B193="","Standard",B193))</f>
        <v/>
      </c>
      <c r="Q193">
        <f>IF(AND(A193&lt;&gt;"",A193='Firm Search'!$C$7),COUNTIF($A$5:A193,'Firm Search'!$C$7),"")</f>
        <v/>
      </c>
    </row>
    <row r="194">
      <c r="A194" s="64" t="n"/>
      <c r="B194" s="64" t="n"/>
      <c r="C194" s="66" t="n"/>
      <c r="D194" s="66" t="n"/>
      <c r="E194" s="67" t="n"/>
      <c r="F194" s="67" t="n"/>
      <c r="G194" s="67" t="n"/>
      <c r="H194" s="67" t="n"/>
      <c r="I194" s="67" t="n"/>
      <c r="J194" s="67" t="n"/>
      <c r="K194" s="67" t="n"/>
      <c r="L194" s="67" t="n"/>
      <c r="M194" s="64" t="n"/>
      <c r="N194" s="66" t="n"/>
      <c r="O194" s="84">
        <f>IF(A194="","",IF(OR(C194="",D194=""),"Enter both dates",IF(D194&lt;C194,"To is before From",IF(COUNTIFS($P$5:$P$2004,P194,$C$5:$C$2004,"&lt;="&amp;D194,$D$5:$D$2004,"&gt;="&amp;C194)&gt;1,"Overlaps another row","OK"))))</f>
        <v/>
      </c>
      <c r="P194">
        <f>IF(A194="","",A194&amp;"|"&amp;IF(B194="","Standard",B194))</f>
        <v/>
      </c>
      <c r="Q194">
        <f>IF(AND(A194&lt;&gt;"",A194='Firm Search'!$C$7),COUNTIF($A$5:A194,'Firm Search'!$C$7),"")</f>
        <v/>
      </c>
    </row>
    <row r="195">
      <c r="A195" s="64" t="n"/>
      <c r="B195" s="64" t="n"/>
      <c r="C195" s="66" t="n"/>
      <c r="D195" s="66" t="n"/>
      <c r="E195" s="67" t="n"/>
      <c r="F195" s="67" t="n"/>
      <c r="G195" s="67" t="n"/>
      <c r="H195" s="67" t="n"/>
      <c r="I195" s="67" t="n"/>
      <c r="J195" s="67" t="n"/>
      <c r="K195" s="67" t="n"/>
      <c r="L195" s="67" t="n"/>
      <c r="M195" s="64" t="n"/>
      <c r="N195" s="66" t="n"/>
      <c r="O195" s="84">
        <f>IF(A195="","",IF(OR(C195="",D195=""),"Enter both dates",IF(D195&lt;C195,"To is before From",IF(COUNTIFS($P$5:$P$2004,P195,$C$5:$C$2004,"&lt;="&amp;D195,$D$5:$D$2004,"&gt;="&amp;C195)&gt;1,"Overlaps another row","OK"))))</f>
        <v/>
      </c>
      <c r="P195">
        <f>IF(A195="","",A195&amp;"|"&amp;IF(B195="","Standard",B195))</f>
        <v/>
      </c>
      <c r="Q195">
        <f>IF(AND(A195&lt;&gt;"",A195='Firm Search'!$C$7),COUNTIF($A$5:A195,'Firm Search'!$C$7),"")</f>
        <v/>
      </c>
    </row>
    <row r="196">
      <c r="A196" s="64" t="n"/>
      <c r="B196" s="64" t="n"/>
      <c r="C196" s="66" t="n"/>
      <c r="D196" s="66" t="n"/>
      <c r="E196" s="67" t="n"/>
      <c r="F196" s="67" t="n"/>
      <c r="G196" s="67" t="n"/>
      <c r="H196" s="67" t="n"/>
      <c r="I196" s="67" t="n"/>
      <c r="J196" s="67" t="n"/>
      <c r="K196" s="67" t="n"/>
      <c r="L196" s="67" t="n"/>
      <c r="M196" s="64" t="n"/>
      <c r="N196" s="66" t="n"/>
      <c r="O196" s="84">
        <f>IF(A196="","",IF(OR(C196="",D196=""),"Enter both dates",IF(D196&lt;C196,"To is before From",IF(COUNTIFS($P$5:$P$2004,P196,$C$5:$C$2004,"&lt;="&amp;D196,$D$5:$D$2004,"&gt;="&amp;C196)&gt;1,"Overlaps another row","OK"))))</f>
        <v/>
      </c>
      <c r="P196">
        <f>IF(A196="","",A196&amp;"|"&amp;IF(B196="","Standard",B196))</f>
        <v/>
      </c>
      <c r="Q196">
        <f>IF(AND(A196&lt;&gt;"",A196='Firm Search'!$C$7),COUNTIF($A$5:A196,'Firm Search'!$C$7),"")</f>
        <v/>
      </c>
    </row>
    <row r="197">
      <c r="A197" s="64" t="n"/>
      <c r="B197" s="64" t="n"/>
      <c r="C197" s="66" t="n"/>
      <c r="D197" s="66" t="n"/>
      <c r="E197" s="67" t="n"/>
      <c r="F197" s="67" t="n"/>
      <c r="G197" s="67" t="n"/>
      <c r="H197" s="67" t="n"/>
      <c r="I197" s="67" t="n"/>
      <c r="J197" s="67" t="n"/>
      <c r="K197" s="67" t="n"/>
      <c r="L197" s="67" t="n"/>
      <c r="M197" s="64" t="n"/>
      <c r="N197" s="66" t="n"/>
      <c r="O197" s="84">
        <f>IF(A197="","",IF(OR(C197="",D197=""),"Enter both dates",IF(D197&lt;C197,"To is before From",IF(COUNTIFS($P$5:$P$2004,P197,$C$5:$C$2004,"&lt;="&amp;D197,$D$5:$D$2004,"&gt;="&amp;C197)&gt;1,"Overlaps another row","OK"))))</f>
        <v/>
      </c>
      <c r="P197">
        <f>IF(A197="","",A197&amp;"|"&amp;IF(B197="","Standard",B197))</f>
        <v/>
      </c>
      <c r="Q197">
        <f>IF(AND(A197&lt;&gt;"",A197='Firm Search'!$C$7),COUNTIF($A$5:A197,'Firm Search'!$C$7),"")</f>
        <v/>
      </c>
    </row>
    <row r="198">
      <c r="A198" s="64" t="n"/>
      <c r="B198" s="64" t="n"/>
      <c r="C198" s="66" t="n"/>
      <c r="D198" s="66" t="n"/>
      <c r="E198" s="67" t="n"/>
      <c r="F198" s="67" t="n"/>
      <c r="G198" s="67" t="n"/>
      <c r="H198" s="67" t="n"/>
      <c r="I198" s="67" t="n"/>
      <c r="J198" s="67" t="n"/>
      <c r="K198" s="67" t="n"/>
      <c r="L198" s="67" t="n"/>
      <c r="M198" s="64" t="n"/>
      <c r="N198" s="66" t="n"/>
      <c r="O198" s="84">
        <f>IF(A198="","",IF(OR(C198="",D198=""),"Enter both dates",IF(D198&lt;C198,"To is before From",IF(COUNTIFS($P$5:$P$2004,P198,$C$5:$C$2004,"&lt;="&amp;D198,$D$5:$D$2004,"&gt;="&amp;C198)&gt;1,"Overlaps another row","OK"))))</f>
        <v/>
      </c>
      <c r="P198">
        <f>IF(A198="","",A198&amp;"|"&amp;IF(B198="","Standard",B198))</f>
        <v/>
      </c>
      <c r="Q198">
        <f>IF(AND(A198&lt;&gt;"",A198='Firm Search'!$C$7),COUNTIF($A$5:A198,'Firm Search'!$C$7),"")</f>
        <v/>
      </c>
    </row>
    <row r="199">
      <c r="A199" s="64" t="n"/>
      <c r="B199" s="64" t="n"/>
      <c r="C199" s="66" t="n"/>
      <c r="D199" s="66" t="n"/>
      <c r="E199" s="67" t="n"/>
      <c r="F199" s="67" t="n"/>
      <c r="G199" s="67" t="n"/>
      <c r="H199" s="67" t="n"/>
      <c r="I199" s="67" t="n"/>
      <c r="J199" s="67" t="n"/>
      <c r="K199" s="67" t="n"/>
      <c r="L199" s="67" t="n"/>
      <c r="M199" s="64" t="n"/>
      <c r="N199" s="66" t="n"/>
      <c r="O199" s="84">
        <f>IF(A199="","",IF(OR(C199="",D199=""),"Enter both dates",IF(D199&lt;C199,"To is before From",IF(COUNTIFS($P$5:$P$2004,P199,$C$5:$C$2004,"&lt;="&amp;D199,$D$5:$D$2004,"&gt;="&amp;C199)&gt;1,"Overlaps another row","OK"))))</f>
        <v/>
      </c>
      <c r="P199">
        <f>IF(A199="","",A199&amp;"|"&amp;IF(B199="","Standard",B199))</f>
        <v/>
      </c>
      <c r="Q199">
        <f>IF(AND(A199&lt;&gt;"",A199='Firm Search'!$C$7),COUNTIF($A$5:A199,'Firm Search'!$C$7),"")</f>
        <v/>
      </c>
    </row>
    <row r="200">
      <c r="A200" s="64" t="n"/>
      <c r="B200" s="64" t="n"/>
      <c r="C200" s="66" t="n"/>
      <c r="D200" s="66" t="n"/>
      <c r="E200" s="67" t="n"/>
      <c r="F200" s="67" t="n"/>
      <c r="G200" s="67" t="n"/>
      <c r="H200" s="67" t="n"/>
      <c r="I200" s="67" t="n"/>
      <c r="J200" s="67" t="n"/>
      <c r="K200" s="67" t="n"/>
      <c r="L200" s="67" t="n"/>
      <c r="M200" s="64" t="n"/>
      <c r="N200" s="66" t="n"/>
      <c r="O200" s="84">
        <f>IF(A200="","",IF(OR(C200="",D200=""),"Enter both dates",IF(D200&lt;C200,"To is before From",IF(COUNTIFS($P$5:$P$2004,P200,$C$5:$C$2004,"&lt;="&amp;D200,$D$5:$D$2004,"&gt;="&amp;C200)&gt;1,"Overlaps another row","OK"))))</f>
        <v/>
      </c>
      <c r="P200">
        <f>IF(A200="","",A200&amp;"|"&amp;IF(B200="","Standard",B200))</f>
        <v/>
      </c>
      <c r="Q200">
        <f>IF(AND(A200&lt;&gt;"",A200='Firm Search'!$C$7),COUNTIF($A$5:A200,'Firm Search'!$C$7),"")</f>
        <v/>
      </c>
    </row>
    <row r="201">
      <c r="A201" s="64" t="n"/>
      <c r="B201" s="64" t="n"/>
      <c r="C201" s="66" t="n"/>
      <c r="D201" s="66" t="n"/>
      <c r="E201" s="67" t="n"/>
      <c r="F201" s="67" t="n"/>
      <c r="G201" s="67" t="n"/>
      <c r="H201" s="67" t="n"/>
      <c r="I201" s="67" t="n"/>
      <c r="J201" s="67" t="n"/>
      <c r="K201" s="67" t="n"/>
      <c r="L201" s="67" t="n"/>
      <c r="M201" s="64" t="n"/>
      <c r="N201" s="66" t="n"/>
      <c r="O201" s="84">
        <f>IF(A201="","",IF(OR(C201="",D201=""),"Enter both dates",IF(D201&lt;C201,"To is before From",IF(COUNTIFS($P$5:$P$2004,P201,$C$5:$C$2004,"&lt;="&amp;D201,$D$5:$D$2004,"&gt;="&amp;C201)&gt;1,"Overlaps another row","OK"))))</f>
        <v/>
      </c>
      <c r="P201">
        <f>IF(A201="","",A201&amp;"|"&amp;IF(B201="","Standard",B201))</f>
        <v/>
      </c>
      <c r="Q201">
        <f>IF(AND(A201&lt;&gt;"",A201='Firm Search'!$C$7),COUNTIF($A$5:A201,'Firm Search'!$C$7),"")</f>
        <v/>
      </c>
    </row>
    <row r="202">
      <c r="A202" s="64" t="n"/>
      <c r="B202" s="64" t="n"/>
      <c r="C202" s="66" t="n"/>
      <c r="D202" s="66" t="n"/>
      <c r="E202" s="67" t="n"/>
      <c r="F202" s="67" t="n"/>
      <c r="G202" s="67" t="n"/>
      <c r="H202" s="67" t="n"/>
      <c r="I202" s="67" t="n"/>
      <c r="J202" s="67" t="n"/>
      <c r="K202" s="67" t="n"/>
      <c r="L202" s="67" t="n"/>
      <c r="M202" s="64" t="n"/>
      <c r="N202" s="66" t="n"/>
      <c r="O202" s="84">
        <f>IF(A202="","",IF(OR(C202="",D202=""),"Enter both dates",IF(D202&lt;C202,"To is before From",IF(COUNTIFS($P$5:$P$2004,P202,$C$5:$C$2004,"&lt;="&amp;D202,$D$5:$D$2004,"&gt;="&amp;C202)&gt;1,"Overlaps another row","OK"))))</f>
        <v/>
      </c>
      <c r="P202">
        <f>IF(A202="","",A202&amp;"|"&amp;IF(B202="","Standard",B202))</f>
        <v/>
      </c>
      <c r="Q202">
        <f>IF(AND(A202&lt;&gt;"",A202='Firm Search'!$C$7),COUNTIF($A$5:A202,'Firm Search'!$C$7),"")</f>
        <v/>
      </c>
    </row>
    <row r="203">
      <c r="A203" s="64" t="n"/>
      <c r="B203" s="64" t="n"/>
      <c r="C203" s="66" t="n"/>
      <c r="D203" s="66" t="n"/>
      <c r="E203" s="67" t="n"/>
      <c r="F203" s="67" t="n"/>
      <c r="G203" s="67" t="n"/>
      <c r="H203" s="67" t="n"/>
      <c r="I203" s="67" t="n"/>
      <c r="J203" s="67" t="n"/>
      <c r="K203" s="67" t="n"/>
      <c r="L203" s="67" t="n"/>
      <c r="M203" s="64" t="n"/>
      <c r="N203" s="66" t="n"/>
      <c r="O203" s="84">
        <f>IF(A203="","",IF(OR(C203="",D203=""),"Enter both dates",IF(D203&lt;C203,"To is before From",IF(COUNTIFS($P$5:$P$2004,P203,$C$5:$C$2004,"&lt;="&amp;D203,$D$5:$D$2004,"&gt;="&amp;C203)&gt;1,"Overlaps another row","OK"))))</f>
        <v/>
      </c>
      <c r="P203">
        <f>IF(A203="","",A203&amp;"|"&amp;IF(B203="","Standard",B203))</f>
        <v/>
      </c>
      <c r="Q203">
        <f>IF(AND(A203&lt;&gt;"",A203='Firm Search'!$C$7),COUNTIF($A$5:A203,'Firm Search'!$C$7),"")</f>
        <v/>
      </c>
    </row>
    <row r="204">
      <c r="A204" s="64" t="n"/>
      <c r="B204" s="64" t="n"/>
      <c r="C204" s="66" t="n"/>
      <c r="D204" s="66" t="n"/>
      <c r="E204" s="67" t="n"/>
      <c r="F204" s="67" t="n"/>
      <c r="G204" s="67" t="n"/>
      <c r="H204" s="67" t="n"/>
      <c r="I204" s="67" t="n"/>
      <c r="J204" s="67" t="n"/>
      <c r="K204" s="67" t="n"/>
      <c r="L204" s="67" t="n"/>
      <c r="M204" s="64" t="n"/>
      <c r="N204" s="66" t="n"/>
      <c r="O204" s="84">
        <f>IF(A204="","",IF(OR(C204="",D204=""),"Enter both dates",IF(D204&lt;C204,"To is before From",IF(COUNTIFS($P$5:$P$2004,P204,$C$5:$C$2004,"&lt;="&amp;D204,$D$5:$D$2004,"&gt;="&amp;C204)&gt;1,"Overlaps another row","OK"))))</f>
        <v/>
      </c>
      <c r="P204">
        <f>IF(A204="","",A204&amp;"|"&amp;IF(B204="","Standard",B204))</f>
        <v/>
      </c>
      <c r="Q204">
        <f>IF(AND(A204&lt;&gt;"",A204='Firm Search'!$C$7),COUNTIF($A$5:A204,'Firm Search'!$C$7),"")</f>
        <v/>
      </c>
    </row>
    <row r="205">
      <c r="A205" s="64" t="n"/>
      <c r="B205" s="64" t="n"/>
      <c r="C205" s="66" t="n"/>
      <c r="D205" s="66" t="n"/>
      <c r="E205" s="67" t="n"/>
      <c r="F205" s="67" t="n"/>
      <c r="G205" s="67" t="n"/>
      <c r="H205" s="67" t="n"/>
      <c r="I205" s="67" t="n"/>
      <c r="J205" s="67" t="n"/>
      <c r="K205" s="67" t="n"/>
      <c r="L205" s="67" t="n"/>
      <c r="M205" s="64" t="n"/>
      <c r="N205" s="66" t="n"/>
      <c r="O205" s="84">
        <f>IF(A205="","",IF(OR(C205="",D205=""),"Enter both dates",IF(D205&lt;C205,"To is before From",IF(COUNTIFS($P$5:$P$2004,P205,$C$5:$C$2004,"&lt;="&amp;D205,$D$5:$D$2004,"&gt;="&amp;C205)&gt;1,"Overlaps another row","OK"))))</f>
        <v/>
      </c>
      <c r="P205">
        <f>IF(A205="","",A205&amp;"|"&amp;IF(B205="","Standard",B205))</f>
        <v/>
      </c>
      <c r="Q205">
        <f>IF(AND(A205&lt;&gt;"",A205='Firm Search'!$C$7),COUNTIF($A$5:A205,'Firm Search'!$C$7),"")</f>
        <v/>
      </c>
    </row>
    <row r="206">
      <c r="A206" s="64" t="n"/>
      <c r="B206" s="64" t="n"/>
      <c r="C206" s="66" t="n"/>
      <c r="D206" s="66" t="n"/>
      <c r="E206" s="67" t="n"/>
      <c r="F206" s="67" t="n"/>
      <c r="G206" s="67" t="n"/>
      <c r="H206" s="67" t="n"/>
      <c r="I206" s="67" t="n"/>
      <c r="J206" s="67" t="n"/>
      <c r="K206" s="67" t="n"/>
      <c r="L206" s="67" t="n"/>
      <c r="M206" s="64" t="n"/>
      <c r="N206" s="66" t="n"/>
      <c r="O206" s="84">
        <f>IF(A206="","",IF(OR(C206="",D206=""),"Enter both dates",IF(D206&lt;C206,"To is before From",IF(COUNTIFS($P$5:$P$2004,P206,$C$5:$C$2004,"&lt;="&amp;D206,$D$5:$D$2004,"&gt;="&amp;C206)&gt;1,"Overlaps another row","OK"))))</f>
        <v/>
      </c>
      <c r="P206">
        <f>IF(A206="","",A206&amp;"|"&amp;IF(B206="","Standard",B206))</f>
        <v/>
      </c>
      <c r="Q206">
        <f>IF(AND(A206&lt;&gt;"",A206='Firm Search'!$C$7),COUNTIF($A$5:A206,'Firm Search'!$C$7),"")</f>
        <v/>
      </c>
    </row>
    <row r="207">
      <c r="A207" s="64" t="n"/>
      <c r="B207" s="64" t="n"/>
      <c r="C207" s="66" t="n"/>
      <c r="D207" s="66" t="n"/>
      <c r="E207" s="67" t="n"/>
      <c r="F207" s="67" t="n"/>
      <c r="G207" s="67" t="n"/>
      <c r="H207" s="67" t="n"/>
      <c r="I207" s="67" t="n"/>
      <c r="J207" s="67" t="n"/>
      <c r="K207" s="67" t="n"/>
      <c r="L207" s="67" t="n"/>
      <c r="M207" s="64" t="n"/>
      <c r="N207" s="66" t="n"/>
      <c r="O207" s="84">
        <f>IF(A207="","",IF(OR(C207="",D207=""),"Enter both dates",IF(D207&lt;C207,"To is before From",IF(COUNTIFS($P$5:$P$2004,P207,$C$5:$C$2004,"&lt;="&amp;D207,$D$5:$D$2004,"&gt;="&amp;C207)&gt;1,"Overlaps another row","OK"))))</f>
        <v/>
      </c>
      <c r="P207">
        <f>IF(A207="","",A207&amp;"|"&amp;IF(B207="","Standard",B207))</f>
        <v/>
      </c>
      <c r="Q207">
        <f>IF(AND(A207&lt;&gt;"",A207='Firm Search'!$C$7),COUNTIF($A$5:A207,'Firm Search'!$C$7),"")</f>
        <v/>
      </c>
    </row>
    <row r="208">
      <c r="A208" s="64" t="n"/>
      <c r="B208" s="64" t="n"/>
      <c r="C208" s="66" t="n"/>
      <c r="D208" s="66" t="n"/>
      <c r="E208" s="67" t="n"/>
      <c r="F208" s="67" t="n"/>
      <c r="G208" s="67" t="n"/>
      <c r="H208" s="67" t="n"/>
      <c r="I208" s="67" t="n"/>
      <c r="J208" s="67" t="n"/>
      <c r="K208" s="67" t="n"/>
      <c r="L208" s="67" t="n"/>
      <c r="M208" s="64" t="n"/>
      <c r="N208" s="66" t="n"/>
      <c r="O208" s="84">
        <f>IF(A208="","",IF(OR(C208="",D208=""),"Enter both dates",IF(D208&lt;C208,"To is before From",IF(COUNTIFS($P$5:$P$2004,P208,$C$5:$C$2004,"&lt;="&amp;D208,$D$5:$D$2004,"&gt;="&amp;C208)&gt;1,"Overlaps another row","OK"))))</f>
        <v/>
      </c>
      <c r="P208">
        <f>IF(A208="","",A208&amp;"|"&amp;IF(B208="","Standard",B208))</f>
        <v/>
      </c>
      <c r="Q208">
        <f>IF(AND(A208&lt;&gt;"",A208='Firm Search'!$C$7),COUNTIF($A$5:A208,'Firm Search'!$C$7),"")</f>
        <v/>
      </c>
    </row>
    <row r="209">
      <c r="A209" s="64" t="n"/>
      <c r="B209" s="64" t="n"/>
      <c r="C209" s="66" t="n"/>
      <c r="D209" s="66" t="n"/>
      <c r="E209" s="67" t="n"/>
      <c r="F209" s="67" t="n"/>
      <c r="G209" s="67" t="n"/>
      <c r="H209" s="67" t="n"/>
      <c r="I209" s="67" t="n"/>
      <c r="J209" s="67" t="n"/>
      <c r="K209" s="67" t="n"/>
      <c r="L209" s="67" t="n"/>
      <c r="M209" s="64" t="n"/>
      <c r="N209" s="66" t="n"/>
      <c r="O209" s="84">
        <f>IF(A209="","",IF(OR(C209="",D209=""),"Enter both dates",IF(D209&lt;C209,"To is before From",IF(COUNTIFS($P$5:$P$2004,P209,$C$5:$C$2004,"&lt;="&amp;D209,$D$5:$D$2004,"&gt;="&amp;C209)&gt;1,"Overlaps another row","OK"))))</f>
        <v/>
      </c>
      <c r="P209">
        <f>IF(A209="","",A209&amp;"|"&amp;IF(B209="","Standard",B209))</f>
        <v/>
      </c>
      <c r="Q209">
        <f>IF(AND(A209&lt;&gt;"",A209='Firm Search'!$C$7),COUNTIF($A$5:A209,'Firm Search'!$C$7),"")</f>
        <v/>
      </c>
    </row>
    <row r="210">
      <c r="A210" s="64" t="n"/>
      <c r="B210" s="64" t="n"/>
      <c r="C210" s="66" t="n"/>
      <c r="D210" s="66" t="n"/>
      <c r="E210" s="67" t="n"/>
      <c r="F210" s="67" t="n"/>
      <c r="G210" s="67" t="n"/>
      <c r="H210" s="67" t="n"/>
      <c r="I210" s="67" t="n"/>
      <c r="J210" s="67" t="n"/>
      <c r="K210" s="67" t="n"/>
      <c r="L210" s="67" t="n"/>
      <c r="M210" s="64" t="n"/>
      <c r="N210" s="66" t="n"/>
      <c r="O210" s="84">
        <f>IF(A210="","",IF(OR(C210="",D210=""),"Enter both dates",IF(D210&lt;C210,"To is before From",IF(COUNTIFS($P$5:$P$2004,P210,$C$5:$C$2004,"&lt;="&amp;D210,$D$5:$D$2004,"&gt;="&amp;C210)&gt;1,"Overlaps another row","OK"))))</f>
        <v/>
      </c>
      <c r="P210">
        <f>IF(A210="","",A210&amp;"|"&amp;IF(B210="","Standard",B210))</f>
        <v/>
      </c>
      <c r="Q210">
        <f>IF(AND(A210&lt;&gt;"",A210='Firm Search'!$C$7),COUNTIF($A$5:A210,'Firm Search'!$C$7),"")</f>
        <v/>
      </c>
    </row>
    <row r="211">
      <c r="A211" s="64" t="n"/>
      <c r="B211" s="64" t="n"/>
      <c r="C211" s="66" t="n"/>
      <c r="D211" s="66" t="n"/>
      <c r="E211" s="67" t="n"/>
      <c r="F211" s="67" t="n"/>
      <c r="G211" s="67" t="n"/>
      <c r="H211" s="67" t="n"/>
      <c r="I211" s="67" t="n"/>
      <c r="J211" s="67" t="n"/>
      <c r="K211" s="67" t="n"/>
      <c r="L211" s="67" t="n"/>
      <c r="M211" s="64" t="n"/>
      <c r="N211" s="66" t="n"/>
      <c r="O211" s="84">
        <f>IF(A211="","",IF(OR(C211="",D211=""),"Enter both dates",IF(D211&lt;C211,"To is before From",IF(COUNTIFS($P$5:$P$2004,P211,$C$5:$C$2004,"&lt;="&amp;D211,$D$5:$D$2004,"&gt;="&amp;C211)&gt;1,"Overlaps another row","OK"))))</f>
        <v/>
      </c>
      <c r="P211">
        <f>IF(A211="","",A211&amp;"|"&amp;IF(B211="","Standard",B211))</f>
        <v/>
      </c>
      <c r="Q211">
        <f>IF(AND(A211&lt;&gt;"",A211='Firm Search'!$C$7),COUNTIF($A$5:A211,'Firm Search'!$C$7),"")</f>
        <v/>
      </c>
    </row>
    <row r="212">
      <c r="A212" s="64" t="n"/>
      <c r="B212" s="64" t="n"/>
      <c r="C212" s="66" t="n"/>
      <c r="D212" s="66" t="n"/>
      <c r="E212" s="67" t="n"/>
      <c r="F212" s="67" t="n"/>
      <c r="G212" s="67" t="n"/>
      <c r="H212" s="67" t="n"/>
      <c r="I212" s="67" t="n"/>
      <c r="J212" s="67" t="n"/>
      <c r="K212" s="67" t="n"/>
      <c r="L212" s="67" t="n"/>
      <c r="M212" s="64" t="n"/>
      <c r="N212" s="66" t="n"/>
      <c r="O212" s="84">
        <f>IF(A212="","",IF(OR(C212="",D212=""),"Enter both dates",IF(D212&lt;C212,"To is before From",IF(COUNTIFS($P$5:$P$2004,P212,$C$5:$C$2004,"&lt;="&amp;D212,$D$5:$D$2004,"&gt;="&amp;C212)&gt;1,"Overlaps another row","OK"))))</f>
        <v/>
      </c>
      <c r="P212">
        <f>IF(A212="","",A212&amp;"|"&amp;IF(B212="","Standard",B212))</f>
        <v/>
      </c>
      <c r="Q212">
        <f>IF(AND(A212&lt;&gt;"",A212='Firm Search'!$C$7),COUNTIF($A$5:A212,'Firm Search'!$C$7),"")</f>
        <v/>
      </c>
    </row>
    <row r="213">
      <c r="A213" s="64" t="n"/>
      <c r="B213" s="64" t="n"/>
      <c r="C213" s="66" t="n"/>
      <c r="D213" s="66" t="n"/>
      <c r="E213" s="67" t="n"/>
      <c r="F213" s="67" t="n"/>
      <c r="G213" s="67" t="n"/>
      <c r="H213" s="67" t="n"/>
      <c r="I213" s="67" t="n"/>
      <c r="J213" s="67" t="n"/>
      <c r="K213" s="67" t="n"/>
      <c r="L213" s="67" t="n"/>
      <c r="M213" s="64" t="n"/>
      <c r="N213" s="66" t="n"/>
      <c r="O213" s="84">
        <f>IF(A213="","",IF(OR(C213="",D213=""),"Enter both dates",IF(D213&lt;C213,"To is before From",IF(COUNTIFS($P$5:$P$2004,P213,$C$5:$C$2004,"&lt;="&amp;D213,$D$5:$D$2004,"&gt;="&amp;C213)&gt;1,"Overlaps another row","OK"))))</f>
        <v/>
      </c>
      <c r="P213">
        <f>IF(A213="","",A213&amp;"|"&amp;IF(B213="","Standard",B213))</f>
        <v/>
      </c>
      <c r="Q213">
        <f>IF(AND(A213&lt;&gt;"",A213='Firm Search'!$C$7),COUNTIF($A$5:A213,'Firm Search'!$C$7),"")</f>
        <v/>
      </c>
    </row>
    <row r="214">
      <c r="A214" s="64" t="n"/>
      <c r="B214" s="64" t="n"/>
      <c r="C214" s="66" t="n"/>
      <c r="D214" s="66" t="n"/>
      <c r="E214" s="67" t="n"/>
      <c r="F214" s="67" t="n"/>
      <c r="G214" s="67" t="n"/>
      <c r="H214" s="67" t="n"/>
      <c r="I214" s="67" t="n"/>
      <c r="J214" s="67" t="n"/>
      <c r="K214" s="67" t="n"/>
      <c r="L214" s="67" t="n"/>
      <c r="M214" s="64" t="n"/>
      <c r="N214" s="66" t="n"/>
      <c r="O214" s="84">
        <f>IF(A214="","",IF(OR(C214="",D214=""),"Enter both dates",IF(D214&lt;C214,"To is before From",IF(COUNTIFS($P$5:$P$2004,P214,$C$5:$C$2004,"&lt;="&amp;D214,$D$5:$D$2004,"&gt;="&amp;C214)&gt;1,"Overlaps another row","OK"))))</f>
        <v/>
      </c>
      <c r="P214">
        <f>IF(A214="","",A214&amp;"|"&amp;IF(B214="","Standard",B214))</f>
        <v/>
      </c>
      <c r="Q214">
        <f>IF(AND(A214&lt;&gt;"",A214='Firm Search'!$C$7),COUNTIF($A$5:A214,'Firm Search'!$C$7),"")</f>
        <v/>
      </c>
    </row>
    <row r="215">
      <c r="A215" s="64" t="n"/>
      <c r="B215" s="64" t="n"/>
      <c r="C215" s="66" t="n"/>
      <c r="D215" s="66" t="n"/>
      <c r="E215" s="67" t="n"/>
      <c r="F215" s="67" t="n"/>
      <c r="G215" s="67" t="n"/>
      <c r="H215" s="67" t="n"/>
      <c r="I215" s="67" t="n"/>
      <c r="J215" s="67" t="n"/>
      <c r="K215" s="67" t="n"/>
      <c r="L215" s="67" t="n"/>
      <c r="M215" s="64" t="n"/>
      <c r="N215" s="66" t="n"/>
      <c r="O215" s="84">
        <f>IF(A215="","",IF(OR(C215="",D215=""),"Enter both dates",IF(D215&lt;C215,"To is before From",IF(COUNTIFS($P$5:$P$2004,P215,$C$5:$C$2004,"&lt;="&amp;D215,$D$5:$D$2004,"&gt;="&amp;C215)&gt;1,"Overlaps another row","OK"))))</f>
        <v/>
      </c>
      <c r="P215">
        <f>IF(A215="","",A215&amp;"|"&amp;IF(B215="","Standard",B215))</f>
        <v/>
      </c>
      <c r="Q215">
        <f>IF(AND(A215&lt;&gt;"",A215='Firm Search'!$C$7),COUNTIF($A$5:A215,'Firm Search'!$C$7),"")</f>
        <v/>
      </c>
    </row>
    <row r="216">
      <c r="A216" s="64" t="n"/>
      <c r="B216" s="64" t="n"/>
      <c r="C216" s="66" t="n"/>
      <c r="D216" s="66" t="n"/>
      <c r="E216" s="67" t="n"/>
      <c r="F216" s="67" t="n"/>
      <c r="G216" s="67" t="n"/>
      <c r="H216" s="67" t="n"/>
      <c r="I216" s="67" t="n"/>
      <c r="J216" s="67" t="n"/>
      <c r="K216" s="67" t="n"/>
      <c r="L216" s="67" t="n"/>
      <c r="M216" s="64" t="n"/>
      <c r="N216" s="66" t="n"/>
      <c r="O216" s="84">
        <f>IF(A216="","",IF(OR(C216="",D216=""),"Enter both dates",IF(D216&lt;C216,"To is before From",IF(COUNTIFS($P$5:$P$2004,P216,$C$5:$C$2004,"&lt;="&amp;D216,$D$5:$D$2004,"&gt;="&amp;C216)&gt;1,"Overlaps another row","OK"))))</f>
        <v/>
      </c>
      <c r="P216">
        <f>IF(A216="","",A216&amp;"|"&amp;IF(B216="","Standard",B216))</f>
        <v/>
      </c>
      <c r="Q216">
        <f>IF(AND(A216&lt;&gt;"",A216='Firm Search'!$C$7),COUNTIF($A$5:A216,'Firm Search'!$C$7),"")</f>
        <v/>
      </c>
    </row>
    <row r="217">
      <c r="A217" s="64" t="n"/>
      <c r="B217" s="64" t="n"/>
      <c r="C217" s="66" t="n"/>
      <c r="D217" s="66" t="n"/>
      <c r="E217" s="67" t="n"/>
      <c r="F217" s="67" t="n"/>
      <c r="G217" s="67" t="n"/>
      <c r="H217" s="67" t="n"/>
      <c r="I217" s="67" t="n"/>
      <c r="J217" s="67" t="n"/>
      <c r="K217" s="67" t="n"/>
      <c r="L217" s="67" t="n"/>
      <c r="M217" s="64" t="n"/>
      <c r="N217" s="66" t="n"/>
      <c r="O217" s="84">
        <f>IF(A217="","",IF(OR(C217="",D217=""),"Enter both dates",IF(D217&lt;C217,"To is before From",IF(COUNTIFS($P$5:$P$2004,P217,$C$5:$C$2004,"&lt;="&amp;D217,$D$5:$D$2004,"&gt;="&amp;C217)&gt;1,"Overlaps another row","OK"))))</f>
        <v/>
      </c>
      <c r="P217">
        <f>IF(A217="","",A217&amp;"|"&amp;IF(B217="","Standard",B217))</f>
        <v/>
      </c>
      <c r="Q217">
        <f>IF(AND(A217&lt;&gt;"",A217='Firm Search'!$C$7),COUNTIF($A$5:A217,'Firm Search'!$C$7),"")</f>
        <v/>
      </c>
    </row>
    <row r="218">
      <c r="A218" s="64" t="n"/>
      <c r="B218" s="64" t="n"/>
      <c r="C218" s="66" t="n"/>
      <c r="D218" s="66" t="n"/>
      <c r="E218" s="67" t="n"/>
      <c r="F218" s="67" t="n"/>
      <c r="G218" s="67" t="n"/>
      <c r="H218" s="67" t="n"/>
      <c r="I218" s="67" t="n"/>
      <c r="J218" s="67" t="n"/>
      <c r="K218" s="67" t="n"/>
      <c r="L218" s="67" t="n"/>
      <c r="M218" s="64" t="n"/>
      <c r="N218" s="66" t="n"/>
      <c r="O218" s="84">
        <f>IF(A218="","",IF(OR(C218="",D218=""),"Enter both dates",IF(D218&lt;C218,"To is before From",IF(COUNTIFS($P$5:$P$2004,P218,$C$5:$C$2004,"&lt;="&amp;D218,$D$5:$D$2004,"&gt;="&amp;C218)&gt;1,"Overlaps another row","OK"))))</f>
        <v/>
      </c>
      <c r="P218">
        <f>IF(A218="","",A218&amp;"|"&amp;IF(B218="","Standard",B218))</f>
        <v/>
      </c>
      <c r="Q218">
        <f>IF(AND(A218&lt;&gt;"",A218='Firm Search'!$C$7),COUNTIF($A$5:A218,'Firm Search'!$C$7),"")</f>
        <v/>
      </c>
    </row>
    <row r="219">
      <c r="A219" s="64" t="n"/>
      <c r="B219" s="64" t="n"/>
      <c r="C219" s="66" t="n"/>
      <c r="D219" s="66" t="n"/>
      <c r="E219" s="67" t="n"/>
      <c r="F219" s="67" t="n"/>
      <c r="G219" s="67" t="n"/>
      <c r="H219" s="67" t="n"/>
      <c r="I219" s="67" t="n"/>
      <c r="J219" s="67" t="n"/>
      <c r="K219" s="67" t="n"/>
      <c r="L219" s="67" t="n"/>
      <c r="M219" s="64" t="n"/>
      <c r="N219" s="66" t="n"/>
      <c r="O219" s="84">
        <f>IF(A219="","",IF(OR(C219="",D219=""),"Enter both dates",IF(D219&lt;C219,"To is before From",IF(COUNTIFS($P$5:$P$2004,P219,$C$5:$C$2004,"&lt;="&amp;D219,$D$5:$D$2004,"&gt;="&amp;C219)&gt;1,"Overlaps another row","OK"))))</f>
        <v/>
      </c>
      <c r="P219">
        <f>IF(A219="","",A219&amp;"|"&amp;IF(B219="","Standard",B219))</f>
        <v/>
      </c>
      <c r="Q219">
        <f>IF(AND(A219&lt;&gt;"",A219='Firm Search'!$C$7),COUNTIF($A$5:A219,'Firm Search'!$C$7),"")</f>
        <v/>
      </c>
    </row>
    <row r="220">
      <c r="A220" s="64" t="n"/>
      <c r="B220" s="64" t="n"/>
      <c r="C220" s="66" t="n"/>
      <c r="D220" s="66" t="n"/>
      <c r="E220" s="67" t="n"/>
      <c r="F220" s="67" t="n"/>
      <c r="G220" s="67" t="n"/>
      <c r="H220" s="67" t="n"/>
      <c r="I220" s="67" t="n"/>
      <c r="J220" s="67" t="n"/>
      <c r="K220" s="67" t="n"/>
      <c r="L220" s="67" t="n"/>
      <c r="M220" s="64" t="n"/>
      <c r="N220" s="66" t="n"/>
      <c r="O220" s="84">
        <f>IF(A220="","",IF(OR(C220="",D220=""),"Enter both dates",IF(D220&lt;C220,"To is before From",IF(COUNTIFS($P$5:$P$2004,P220,$C$5:$C$2004,"&lt;="&amp;D220,$D$5:$D$2004,"&gt;="&amp;C220)&gt;1,"Overlaps another row","OK"))))</f>
        <v/>
      </c>
      <c r="P220">
        <f>IF(A220="","",A220&amp;"|"&amp;IF(B220="","Standard",B220))</f>
        <v/>
      </c>
      <c r="Q220">
        <f>IF(AND(A220&lt;&gt;"",A220='Firm Search'!$C$7),COUNTIF($A$5:A220,'Firm Search'!$C$7),"")</f>
        <v/>
      </c>
    </row>
    <row r="221">
      <c r="A221" s="64" t="n"/>
      <c r="B221" s="64" t="n"/>
      <c r="C221" s="66" t="n"/>
      <c r="D221" s="66" t="n"/>
      <c r="E221" s="67" t="n"/>
      <c r="F221" s="67" t="n"/>
      <c r="G221" s="67" t="n"/>
      <c r="H221" s="67" t="n"/>
      <c r="I221" s="67" t="n"/>
      <c r="J221" s="67" t="n"/>
      <c r="K221" s="67" t="n"/>
      <c r="L221" s="67" t="n"/>
      <c r="M221" s="64" t="n"/>
      <c r="N221" s="66" t="n"/>
      <c r="O221" s="84">
        <f>IF(A221="","",IF(OR(C221="",D221=""),"Enter both dates",IF(D221&lt;C221,"To is before From",IF(COUNTIFS($P$5:$P$2004,P221,$C$5:$C$2004,"&lt;="&amp;D221,$D$5:$D$2004,"&gt;="&amp;C221)&gt;1,"Overlaps another row","OK"))))</f>
        <v/>
      </c>
      <c r="P221">
        <f>IF(A221="","",A221&amp;"|"&amp;IF(B221="","Standard",B221))</f>
        <v/>
      </c>
      <c r="Q221">
        <f>IF(AND(A221&lt;&gt;"",A221='Firm Search'!$C$7),COUNTIF($A$5:A221,'Firm Search'!$C$7),"")</f>
        <v/>
      </c>
    </row>
    <row r="222">
      <c r="A222" s="64" t="n"/>
      <c r="B222" s="64" t="n"/>
      <c r="C222" s="66" t="n"/>
      <c r="D222" s="66" t="n"/>
      <c r="E222" s="67" t="n"/>
      <c r="F222" s="67" t="n"/>
      <c r="G222" s="67" t="n"/>
      <c r="H222" s="67" t="n"/>
      <c r="I222" s="67" t="n"/>
      <c r="J222" s="67" t="n"/>
      <c r="K222" s="67" t="n"/>
      <c r="L222" s="67" t="n"/>
      <c r="M222" s="64" t="n"/>
      <c r="N222" s="66" t="n"/>
      <c r="O222" s="84">
        <f>IF(A222="","",IF(OR(C222="",D222=""),"Enter both dates",IF(D222&lt;C222,"To is before From",IF(COUNTIFS($P$5:$P$2004,P222,$C$5:$C$2004,"&lt;="&amp;D222,$D$5:$D$2004,"&gt;="&amp;C222)&gt;1,"Overlaps another row","OK"))))</f>
        <v/>
      </c>
      <c r="P222">
        <f>IF(A222="","",A222&amp;"|"&amp;IF(B222="","Standard",B222))</f>
        <v/>
      </c>
      <c r="Q222">
        <f>IF(AND(A222&lt;&gt;"",A222='Firm Search'!$C$7),COUNTIF($A$5:A222,'Firm Search'!$C$7),"")</f>
        <v/>
      </c>
    </row>
    <row r="223">
      <c r="A223" s="64" t="n"/>
      <c r="B223" s="64" t="n"/>
      <c r="C223" s="66" t="n"/>
      <c r="D223" s="66" t="n"/>
      <c r="E223" s="67" t="n"/>
      <c r="F223" s="67" t="n"/>
      <c r="G223" s="67" t="n"/>
      <c r="H223" s="67" t="n"/>
      <c r="I223" s="67" t="n"/>
      <c r="J223" s="67" t="n"/>
      <c r="K223" s="67" t="n"/>
      <c r="L223" s="67" t="n"/>
      <c r="M223" s="64" t="n"/>
      <c r="N223" s="66" t="n"/>
      <c r="O223" s="84">
        <f>IF(A223="","",IF(OR(C223="",D223=""),"Enter both dates",IF(D223&lt;C223,"To is before From",IF(COUNTIFS($P$5:$P$2004,P223,$C$5:$C$2004,"&lt;="&amp;D223,$D$5:$D$2004,"&gt;="&amp;C223)&gt;1,"Overlaps another row","OK"))))</f>
        <v/>
      </c>
      <c r="P223">
        <f>IF(A223="","",A223&amp;"|"&amp;IF(B223="","Standard",B223))</f>
        <v/>
      </c>
      <c r="Q223">
        <f>IF(AND(A223&lt;&gt;"",A223='Firm Search'!$C$7),COUNTIF($A$5:A223,'Firm Search'!$C$7),"")</f>
        <v/>
      </c>
    </row>
    <row r="224">
      <c r="A224" s="64" t="n"/>
      <c r="B224" s="64" t="n"/>
      <c r="C224" s="66" t="n"/>
      <c r="D224" s="66" t="n"/>
      <c r="E224" s="67" t="n"/>
      <c r="F224" s="67" t="n"/>
      <c r="G224" s="67" t="n"/>
      <c r="H224" s="67" t="n"/>
      <c r="I224" s="67" t="n"/>
      <c r="J224" s="67" t="n"/>
      <c r="K224" s="67" t="n"/>
      <c r="L224" s="67" t="n"/>
      <c r="M224" s="64" t="n"/>
      <c r="N224" s="66" t="n"/>
      <c r="O224" s="84">
        <f>IF(A224="","",IF(OR(C224="",D224=""),"Enter both dates",IF(D224&lt;C224,"To is before From",IF(COUNTIFS($P$5:$P$2004,P224,$C$5:$C$2004,"&lt;="&amp;D224,$D$5:$D$2004,"&gt;="&amp;C224)&gt;1,"Overlaps another row","OK"))))</f>
        <v/>
      </c>
      <c r="P224">
        <f>IF(A224="","",A224&amp;"|"&amp;IF(B224="","Standard",B224))</f>
        <v/>
      </c>
      <c r="Q224">
        <f>IF(AND(A224&lt;&gt;"",A224='Firm Search'!$C$7),COUNTIF($A$5:A224,'Firm Search'!$C$7),"")</f>
        <v/>
      </c>
    </row>
    <row r="225">
      <c r="A225" s="64" t="n"/>
      <c r="B225" s="64" t="n"/>
      <c r="C225" s="66" t="n"/>
      <c r="D225" s="66" t="n"/>
      <c r="E225" s="67" t="n"/>
      <c r="F225" s="67" t="n"/>
      <c r="G225" s="67" t="n"/>
      <c r="H225" s="67" t="n"/>
      <c r="I225" s="67" t="n"/>
      <c r="J225" s="67" t="n"/>
      <c r="K225" s="67" t="n"/>
      <c r="L225" s="67" t="n"/>
      <c r="M225" s="64" t="n"/>
      <c r="N225" s="66" t="n"/>
      <c r="O225" s="84">
        <f>IF(A225="","",IF(OR(C225="",D225=""),"Enter both dates",IF(D225&lt;C225,"To is before From",IF(COUNTIFS($P$5:$P$2004,P225,$C$5:$C$2004,"&lt;="&amp;D225,$D$5:$D$2004,"&gt;="&amp;C225)&gt;1,"Overlaps another row","OK"))))</f>
        <v/>
      </c>
      <c r="P225">
        <f>IF(A225="","",A225&amp;"|"&amp;IF(B225="","Standard",B225))</f>
        <v/>
      </c>
      <c r="Q225">
        <f>IF(AND(A225&lt;&gt;"",A225='Firm Search'!$C$7),COUNTIF($A$5:A225,'Firm Search'!$C$7),"")</f>
        <v/>
      </c>
    </row>
    <row r="226">
      <c r="A226" s="64" t="n"/>
      <c r="B226" s="64" t="n"/>
      <c r="C226" s="66" t="n"/>
      <c r="D226" s="66" t="n"/>
      <c r="E226" s="67" t="n"/>
      <c r="F226" s="67" t="n"/>
      <c r="G226" s="67" t="n"/>
      <c r="H226" s="67" t="n"/>
      <c r="I226" s="67" t="n"/>
      <c r="J226" s="67" t="n"/>
      <c r="K226" s="67" t="n"/>
      <c r="L226" s="67" t="n"/>
      <c r="M226" s="64" t="n"/>
      <c r="N226" s="66" t="n"/>
      <c r="O226" s="84">
        <f>IF(A226="","",IF(OR(C226="",D226=""),"Enter both dates",IF(D226&lt;C226,"To is before From",IF(COUNTIFS($P$5:$P$2004,P226,$C$5:$C$2004,"&lt;="&amp;D226,$D$5:$D$2004,"&gt;="&amp;C226)&gt;1,"Overlaps another row","OK"))))</f>
        <v/>
      </c>
      <c r="P226">
        <f>IF(A226="","",A226&amp;"|"&amp;IF(B226="","Standard",B226))</f>
        <v/>
      </c>
      <c r="Q226">
        <f>IF(AND(A226&lt;&gt;"",A226='Firm Search'!$C$7),COUNTIF($A$5:A226,'Firm Search'!$C$7),"")</f>
        <v/>
      </c>
    </row>
    <row r="227">
      <c r="A227" s="64" t="n"/>
      <c r="B227" s="64" t="n"/>
      <c r="C227" s="66" t="n"/>
      <c r="D227" s="66" t="n"/>
      <c r="E227" s="67" t="n"/>
      <c r="F227" s="67" t="n"/>
      <c r="G227" s="67" t="n"/>
      <c r="H227" s="67" t="n"/>
      <c r="I227" s="67" t="n"/>
      <c r="J227" s="67" t="n"/>
      <c r="K227" s="67" t="n"/>
      <c r="L227" s="67" t="n"/>
      <c r="M227" s="64" t="n"/>
      <c r="N227" s="66" t="n"/>
      <c r="O227" s="84">
        <f>IF(A227="","",IF(OR(C227="",D227=""),"Enter both dates",IF(D227&lt;C227,"To is before From",IF(COUNTIFS($P$5:$P$2004,P227,$C$5:$C$2004,"&lt;="&amp;D227,$D$5:$D$2004,"&gt;="&amp;C227)&gt;1,"Overlaps another row","OK"))))</f>
        <v/>
      </c>
      <c r="P227">
        <f>IF(A227="","",A227&amp;"|"&amp;IF(B227="","Standard",B227))</f>
        <v/>
      </c>
      <c r="Q227">
        <f>IF(AND(A227&lt;&gt;"",A227='Firm Search'!$C$7),COUNTIF($A$5:A227,'Firm Search'!$C$7),"")</f>
        <v/>
      </c>
    </row>
    <row r="228">
      <c r="A228" s="64" t="n"/>
      <c r="B228" s="64" t="n"/>
      <c r="C228" s="66" t="n"/>
      <c r="D228" s="66" t="n"/>
      <c r="E228" s="67" t="n"/>
      <c r="F228" s="67" t="n"/>
      <c r="G228" s="67" t="n"/>
      <c r="H228" s="67" t="n"/>
      <c r="I228" s="67" t="n"/>
      <c r="J228" s="67" t="n"/>
      <c r="K228" s="67" t="n"/>
      <c r="L228" s="67" t="n"/>
      <c r="M228" s="64" t="n"/>
      <c r="N228" s="66" t="n"/>
      <c r="O228" s="84">
        <f>IF(A228="","",IF(OR(C228="",D228=""),"Enter both dates",IF(D228&lt;C228,"To is before From",IF(COUNTIFS($P$5:$P$2004,P228,$C$5:$C$2004,"&lt;="&amp;D228,$D$5:$D$2004,"&gt;="&amp;C228)&gt;1,"Overlaps another row","OK"))))</f>
        <v/>
      </c>
      <c r="P228">
        <f>IF(A228="","",A228&amp;"|"&amp;IF(B228="","Standard",B228))</f>
        <v/>
      </c>
      <c r="Q228">
        <f>IF(AND(A228&lt;&gt;"",A228='Firm Search'!$C$7),COUNTIF($A$5:A228,'Firm Search'!$C$7),"")</f>
        <v/>
      </c>
    </row>
    <row r="229">
      <c r="A229" s="64" t="n"/>
      <c r="B229" s="64" t="n"/>
      <c r="C229" s="66" t="n"/>
      <c r="D229" s="66" t="n"/>
      <c r="E229" s="67" t="n"/>
      <c r="F229" s="67" t="n"/>
      <c r="G229" s="67" t="n"/>
      <c r="H229" s="67" t="n"/>
      <c r="I229" s="67" t="n"/>
      <c r="J229" s="67" t="n"/>
      <c r="K229" s="67" t="n"/>
      <c r="L229" s="67" t="n"/>
      <c r="M229" s="64" t="n"/>
      <c r="N229" s="66" t="n"/>
      <c r="O229" s="84">
        <f>IF(A229="","",IF(OR(C229="",D229=""),"Enter both dates",IF(D229&lt;C229,"To is before From",IF(COUNTIFS($P$5:$P$2004,P229,$C$5:$C$2004,"&lt;="&amp;D229,$D$5:$D$2004,"&gt;="&amp;C229)&gt;1,"Overlaps another row","OK"))))</f>
        <v/>
      </c>
      <c r="P229">
        <f>IF(A229="","",A229&amp;"|"&amp;IF(B229="","Standard",B229))</f>
        <v/>
      </c>
      <c r="Q229">
        <f>IF(AND(A229&lt;&gt;"",A229='Firm Search'!$C$7),COUNTIF($A$5:A229,'Firm Search'!$C$7),"")</f>
        <v/>
      </c>
    </row>
    <row r="230">
      <c r="A230" s="64" t="n"/>
      <c r="B230" s="64" t="n"/>
      <c r="C230" s="66" t="n"/>
      <c r="D230" s="66" t="n"/>
      <c r="E230" s="67" t="n"/>
      <c r="F230" s="67" t="n"/>
      <c r="G230" s="67" t="n"/>
      <c r="H230" s="67" t="n"/>
      <c r="I230" s="67" t="n"/>
      <c r="J230" s="67" t="n"/>
      <c r="K230" s="67" t="n"/>
      <c r="L230" s="67" t="n"/>
      <c r="M230" s="64" t="n"/>
      <c r="N230" s="66" t="n"/>
      <c r="O230" s="84">
        <f>IF(A230="","",IF(OR(C230="",D230=""),"Enter both dates",IF(D230&lt;C230,"To is before From",IF(COUNTIFS($P$5:$P$2004,P230,$C$5:$C$2004,"&lt;="&amp;D230,$D$5:$D$2004,"&gt;="&amp;C230)&gt;1,"Overlaps another row","OK"))))</f>
        <v/>
      </c>
      <c r="P230">
        <f>IF(A230="","",A230&amp;"|"&amp;IF(B230="","Standard",B230))</f>
        <v/>
      </c>
      <c r="Q230">
        <f>IF(AND(A230&lt;&gt;"",A230='Firm Search'!$C$7),COUNTIF($A$5:A230,'Firm Search'!$C$7),"")</f>
        <v/>
      </c>
    </row>
    <row r="231">
      <c r="A231" s="64" t="n"/>
      <c r="B231" s="64" t="n"/>
      <c r="C231" s="66" t="n"/>
      <c r="D231" s="66" t="n"/>
      <c r="E231" s="67" t="n"/>
      <c r="F231" s="67" t="n"/>
      <c r="G231" s="67" t="n"/>
      <c r="H231" s="67" t="n"/>
      <c r="I231" s="67" t="n"/>
      <c r="J231" s="67" t="n"/>
      <c r="K231" s="67" t="n"/>
      <c r="L231" s="67" t="n"/>
      <c r="M231" s="64" t="n"/>
      <c r="N231" s="66" t="n"/>
      <c r="O231" s="84">
        <f>IF(A231="","",IF(OR(C231="",D231=""),"Enter both dates",IF(D231&lt;C231,"To is before From",IF(COUNTIFS($P$5:$P$2004,P231,$C$5:$C$2004,"&lt;="&amp;D231,$D$5:$D$2004,"&gt;="&amp;C231)&gt;1,"Overlaps another row","OK"))))</f>
        <v/>
      </c>
      <c r="P231">
        <f>IF(A231="","",A231&amp;"|"&amp;IF(B231="","Standard",B231))</f>
        <v/>
      </c>
      <c r="Q231">
        <f>IF(AND(A231&lt;&gt;"",A231='Firm Search'!$C$7),COUNTIF($A$5:A231,'Firm Search'!$C$7),"")</f>
        <v/>
      </c>
    </row>
    <row r="232">
      <c r="A232" s="64" t="n"/>
      <c r="B232" s="64" t="n"/>
      <c r="C232" s="66" t="n"/>
      <c r="D232" s="66" t="n"/>
      <c r="E232" s="67" t="n"/>
      <c r="F232" s="67" t="n"/>
      <c r="G232" s="67" t="n"/>
      <c r="H232" s="67" t="n"/>
      <c r="I232" s="67" t="n"/>
      <c r="J232" s="67" t="n"/>
      <c r="K232" s="67" t="n"/>
      <c r="L232" s="67" t="n"/>
      <c r="M232" s="64" t="n"/>
      <c r="N232" s="66" t="n"/>
      <c r="O232" s="84">
        <f>IF(A232="","",IF(OR(C232="",D232=""),"Enter both dates",IF(D232&lt;C232,"To is before From",IF(COUNTIFS($P$5:$P$2004,P232,$C$5:$C$2004,"&lt;="&amp;D232,$D$5:$D$2004,"&gt;="&amp;C232)&gt;1,"Overlaps another row","OK"))))</f>
        <v/>
      </c>
      <c r="P232">
        <f>IF(A232="","",A232&amp;"|"&amp;IF(B232="","Standard",B232))</f>
        <v/>
      </c>
      <c r="Q232">
        <f>IF(AND(A232&lt;&gt;"",A232='Firm Search'!$C$7),COUNTIF($A$5:A232,'Firm Search'!$C$7),"")</f>
        <v/>
      </c>
    </row>
    <row r="233">
      <c r="A233" s="64" t="n"/>
      <c r="B233" s="64" t="n"/>
      <c r="C233" s="66" t="n"/>
      <c r="D233" s="66" t="n"/>
      <c r="E233" s="67" t="n"/>
      <c r="F233" s="67" t="n"/>
      <c r="G233" s="67" t="n"/>
      <c r="H233" s="67" t="n"/>
      <c r="I233" s="67" t="n"/>
      <c r="J233" s="67" t="n"/>
      <c r="K233" s="67" t="n"/>
      <c r="L233" s="67" t="n"/>
      <c r="M233" s="64" t="n"/>
      <c r="N233" s="66" t="n"/>
      <c r="O233" s="84">
        <f>IF(A233="","",IF(OR(C233="",D233=""),"Enter both dates",IF(D233&lt;C233,"To is before From",IF(COUNTIFS($P$5:$P$2004,P233,$C$5:$C$2004,"&lt;="&amp;D233,$D$5:$D$2004,"&gt;="&amp;C233)&gt;1,"Overlaps another row","OK"))))</f>
        <v/>
      </c>
      <c r="P233">
        <f>IF(A233="","",A233&amp;"|"&amp;IF(B233="","Standard",B233))</f>
        <v/>
      </c>
      <c r="Q233">
        <f>IF(AND(A233&lt;&gt;"",A233='Firm Search'!$C$7),COUNTIF($A$5:A233,'Firm Search'!$C$7),"")</f>
        <v/>
      </c>
    </row>
    <row r="234">
      <c r="A234" s="64" t="n"/>
      <c r="B234" s="64" t="n"/>
      <c r="C234" s="66" t="n"/>
      <c r="D234" s="66" t="n"/>
      <c r="E234" s="67" t="n"/>
      <c r="F234" s="67" t="n"/>
      <c r="G234" s="67" t="n"/>
      <c r="H234" s="67" t="n"/>
      <c r="I234" s="67" t="n"/>
      <c r="J234" s="67" t="n"/>
      <c r="K234" s="67" t="n"/>
      <c r="L234" s="67" t="n"/>
      <c r="M234" s="64" t="n"/>
      <c r="N234" s="66" t="n"/>
      <c r="O234" s="84">
        <f>IF(A234="","",IF(OR(C234="",D234=""),"Enter both dates",IF(D234&lt;C234,"To is before From",IF(COUNTIFS($P$5:$P$2004,P234,$C$5:$C$2004,"&lt;="&amp;D234,$D$5:$D$2004,"&gt;="&amp;C234)&gt;1,"Overlaps another row","OK"))))</f>
        <v/>
      </c>
      <c r="P234">
        <f>IF(A234="","",A234&amp;"|"&amp;IF(B234="","Standard",B234))</f>
        <v/>
      </c>
      <c r="Q234">
        <f>IF(AND(A234&lt;&gt;"",A234='Firm Search'!$C$7),COUNTIF($A$5:A234,'Firm Search'!$C$7),"")</f>
        <v/>
      </c>
    </row>
    <row r="235">
      <c r="A235" s="64" t="n"/>
      <c r="B235" s="64" t="n"/>
      <c r="C235" s="66" t="n"/>
      <c r="D235" s="66" t="n"/>
      <c r="E235" s="67" t="n"/>
      <c r="F235" s="67" t="n"/>
      <c r="G235" s="67" t="n"/>
      <c r="H235" s="67" t="n"/>
      <c r="I235" s="67" t="n"/>
      <c r="J235" s="67" t="n"/>
      <c r="K235" s="67" t="n"/>
      <c r="L235" s="67" t="n"/>
      <c r="M235" s="64" t="n"/>
      <c r="N235" s="66" t="n"/>
      <c r="O235" s="84">
        <f>IF(A235="","",IF(OR(C235="",D235=""),"Enter both dates",IF(D235&lt;C235,"To is before From",IF(COUNTIFS($P$5:$P$2004,P235,$C$5:$C$2004,"&lt;="&amp;D235,$D$5:$D$2004,"&gt;="&amp;C235)&gt;1,"Overlaps another row","OK"))))</f>
        <v/>
      </c>
      <c r="P235">
        <f>IF(A235="","",A235&amp;"|"&amp;IF(B235="","Standard",B235))</f>
        <v/>
      </c>
      <c r="Q235">
        <f>IF(AND(A235&lt;&gt;"",A235='Firm Search'!$C$7),COUNTIF($A$5:A235,'Firm Search'!$C$7),"")</f>
        <v/>
      </c>
    </row>
    <row r="236">
      <c r="A236" s="64" t="n"/>
      <c r="B236" s="64" t="n"/>
      <c r="C236" s="66" t="n"/>
      <c r="D236" s="66" t="n"/>
      <c r="E236" s="67" t="n"/>
      <c r="F236" s="67" t="n"/>
      <c r="G236" s="67" t="n"/>
      <c r="H236" s="67" t="n"/>
      <c r="I236" s="67" t="n"/>
      <c r="J236" s="67" t="n"/>
      <c r="K236" s="67" t="n"/>
      <c r="L236" s="67" t="n"/>
      <c r="M236" s="64" t="n"/>
      <c r="N236" s="66" t="n"/>
      <c r="O236" s="84">
        <f>IF(A236="","",IF(OR(C236="",D236=""),"Enter both dates",IF(D236&lt;C236,"To is before From",IF(COUNTIFS($P$5:$P$2004,P236,$C$5:$C$2004,"&lt;="&amp;D236,$D$5:$D$2004,"&gt;="&amp;C236)&gt;1,"Overlaps another row","OK"))))</f>
        <v/>
      </c>
      <c r="P236">
        <f>IF(A236="","",A236&amp;"|"&amp;IF(B236="","Standard",B236))</f>
        <v/>
      </c>
      <c r="Q236">
        <f>IF(AND(A236&lt;&gt;"",A236='Firm Search'!$C$7),COUNTIF($A$5:A236,'Firm Search'!$C$7),"")</f>
        <v/>
      </c>
    </row>
    <row r="237">
      <c r="A237" s="64" t="n"/>
      <c r="B237" s="64" t="n"/>
      <c r="C237" s="66" t="n"/>
      <c r="D237" s="66" t="n"/>
      <c r="E237" s="67" t="n"/>
      <c r="F237" s="67" t="n"/>
      <c r="G237" s="67" t="n"/>
      <c r="H237" s="67" t="n"/>
      <c r="I237" s="67" t="n"/>
      <c r="J237" s="67" t="n"/>
      <c r="K237" s="67" t="n"/>
      <c r="L237" s="67" t="n"/>
      <c r="M237" s="64" t="n"/>
      <c r="N237" s="66" t="n"/>
      <c r="O237" s="84">
        <f>IF(A237="","",IF(OR(C237="",D237=""),"Enter both dates",IF(D237&lt;C237,"To is before From",IF(COUNTIFS($P$5:$P$2004,P237,$C$5:$C$2004,"&lt;="&amp;D237,$D$5:$D$2004,"&gt;="&amp;C237)&gt;1,"Overlaps another row","OK"))))</f>
        <v/>
      </c>
      <c r="P237">
        <f>IF(A237="","",A237&amp;"|"&amp;IF(B237="","Standard",B237))</f>
        <v/>
      </c>
      <c r="Q237">
        <f>IF(AND(A237&lt;&gt;"",A237='Firm Search'!$C$7),COUNTIF($A$5:A237,'Firm Search'!$C$7),"")</f>
        <v/>
      </c>
    </row>
    <row r="238">
      <c r="A238" s="64" t="n"/>
      <c r="B238" s="64" t="n"/>
      <c r="C238" s="66" t="n"/>
      <c r="D238" s="66" t="n"/>
      <c r="E238" s="67" t="n"/>
      <c r="F238" s="67" t="n"/>
      <c r="G238" s="67" t="n"/>
      <c r="H238" s="67" t="n"/>
      <c r="I238" s="67" t="n"/>
      <c r="J238" s="67" t="n"/>
      <c r="K238" s="67" t="n"/>
      <c r="L238" s="67" t="n"/>
      <c r="M238" s="64" t="n"/>
      <c r="N238" s="66" t="n"/>
      <c r="O238" s="84">
        <f>IF(A238="","",IF(OR(C238="",D238=""),"Enter both dates",IF(D238&lt;C238,"To is before From",IF(COUNTIFS($P$5:$P$2004,P238,$C$5:$C$2004,"&lt;="&amp;D238,$D$5:$D$2004,"&gt;="&amp;C238)&gt;1,"Overlaps another row","OK"))))</f>
        <v/>
      </c>
      <c r="P238">
        <f>IF(A238="","",A238&amp;"|"&amp;IF(B238="","Standard",B238))</f>
        <v/>
      </c>
      <c r="Q238">
        <f>IF(AND(A238&lt;&gt;"",A238='Firm Search'!$C$7),COUNTIF($A$5:A238,'Firm Search'!$C$7),"")</f>
        <v/>
      </c>
    </row>
    <row r="239">
      <c r="A239" s="64" t="n"/>
      <c r="B239" s="64" t="n"/>
      <c r="C239" s="66" t="n"/>
      <c r="D239" s="66" t="n"/>
      <c r="E239" s="67" t="n"/>
      <c r="F239" s="67" t="n"/>
      <c r="G239" s="67" t="n"/>
      <c r="H239" s="67" t="n"/>
      <c r="I239" s="67" t="n"/>
      <c r="J239" s="67" t="n"/>
      <c r="K239" s="67" t="n"/>
      <c r="L239" s="67" t="n"/>
      <c r="M239" s="64" t="n"/>
      <c r="N239" s="66" t="n"/>
      <c r="O239" s="84">
        <f>IF(A239="","",IF(OR(C239="",D239=""),"Enter both dates",IF(D239&lt;C239,"To is before From",IF(COUNTIFS($P$5:$P$2004,P239,$C$5:$C$2004,"&lt;="&amp;D239,$D$5:$D$2004,"&gt;="&amp;C239)&gt;1,"Overlaps another row","OK"))))</f>
        <v/>
      </c>
      <c r="P239">
        <f>IF(A239="","",A239&amp;"|"&amp;IF(B239="","Standard",B239))</f>
        <v/>
      </c>
      <c r="Q239">
        <f>IF(AND(A239&lt;&gt;"",A239='Firm Search'!$C$7),COUNTIF($A$5:A239,'Firm Search'!$C$7),"")</f>
        <v/>
      </c>
    </row>
    <row r="240">
      <c r="A240" s="64" t="n"/>
      <c r="B240" s="64" t="n"/>
      <c r="C240" s="66" t="n"/>
      <c r="D240" s="66" t="n"/>
      <c r="E240" s="67" t="n"/>
      <c r="F240" s="67" t="n"/>
      <c r="G240" s="67" t="n"/>
      <c r="H240" s="67" t="n"/>
      <c r="I240" s="67" t="n"/>
      <c r="J240" s="67" t="n"/>
      <c r="K240" s="67" t="n"/>
      <c r="L240" s="67" t="n"/>
      <c r="M240" s="64" t="n"/>
      <c r="N240" s="66" t="n"/>
      <c r="O240" s="84">
        <f>IF(A240="","",IF(OR(C240="",D240=""),"Enter both dates",IF(D240&lt;C240,"To is before From",IF(COUNTIFS($P$5:$P$2004,P240,$C$5:$C$2004,"&lt;="&amp;D240,$D$5:$D$2004,"&gt;="&amp;C240)&gt;1,"Overlaps another row","OK"))))</f>
        <v/>
      </c>
      <c r="P240">
        <f>IF(A240="","",A240&amp;"|"&amp;IF(B240="","Standard",B240))</f>
        <v/>
      </c>
      <c r="Q240">
        <f>IF(AND(A240&lt;&gt;"",A240='Firm Search'!$C$7),COUNTIF($A$5:A240,'Firm Search'!$C$7),"")</f>
        <v/>
      </c>
    </row>
    <row r="241">
      <c r="A241" s="64" t="n"/>
      <c r="B241" s="64" t="n"/>
      <c r="C241" s="66" t="n"/>
      <c r="D241" s="66" t="n"/>
      <c r="E241" s="67" t="n"/>
      <c r="F241" s="67" t="n"/>
      <c r="G241" s="67" t="n"/>
      <c r="H241" s="67" t="n"/>
      <c r="I241" s="67" t="n"/>
      <c r="J241" s="67" t="n"/>
      <c r="K241" s="67" t="n"/>
      <c r="L241" s="67" t="n"/>
      <c r="M241" s="64" t="n"/>
      <c r="N241" s="66" t="n"/>
      <c r="O241" s="84">
        <f>IF(A241="","",IF(OR(C241="",D241=""),"Enter both dates",IF(D241&lt;C241,"To is before From",IF(COUNTIFS($P$5:$P$2004,P241,$C$5:$C$2004,"&lt;="&amp;D241,$D$5:$D$2004,"&gt;="&amp;C241)&gt;1,"Overlaps another row","OK"))))</f>
        <v/>
      </c>
      <c r="P241">
        <f>IF(A241="","",A241&amp;"|"&amp;IF(B241="","Standard",B241))</f>
        <v/>
      </c>
      <c r="Q241">
        <f>IF(AND(A241&lt;&gt;"",A241='Firm Search'!$C$7),COUNTIF($A$5:A241,'Firm Search'!$C$7),"")</f>
        <v/>
      </c>
    </row>
    <row r="242">
      <c r="A242" s="64" t="n"/>
      <c r="B242" s="64" t="n"/>
      <c r="C242" s="66" t="n"/>
      <c r="D242" s="66" t="n"/>
      <c r="E242" s="67" t="n"/>
      <c r="F242" s="67" t="n"/>
      <c r="G242" s="67" t="n"/>
      <c r="H242" s="67" t="n"/>
      <c r="I242" s="67" t="n"/>
      <c r="J242" s="67" t="n"/>
      <c r="K242" s="67" t="n"/>
      <c r="L242" s="67" t="n"/>
      <c r="M242" s="64" t="n"/>
      <c r="N242" s="66" t="n"/>
      <c r="O242" s="84">
        <f>IF(A242="","",IF(OR(C242="",D242=""),"Enter both dates",IF(D242&lt;C242,"To is before From",IF(COUNTIFS($P$5:$P$2004,P242,$C$5:$C$2004,"&lt;="&amp;D242,$D$5:$D$2004,"&gt;="&amp;C242)&gt;1,"Overlaps another row","OK"))))</f>
        <v/>
      </c>
      <c r="P242">
        <f>IF(A242="","",A242&amp;"|"&amp;IF(B242="","Standard",B242))</f>
        <v/>
      </c>
      <c r="Q242">
        <f>IF(AND(A242&lt;&gt;"",A242='Firm Search'!$C$7),COUNTIF($A$5:A242,'Firm Search'!$C$7),"")</f>
        <v/>
      </c>
    </row>
    <row r="243">
      <c r="A243" s="64" t="n"/>
      <c r="B243" s="64" t="n"/>
      <c r="C243" s="66" t="n"/>
      <c r="D243" s="66" t="n"/>
      <c r="E243" s="67" t="n"/>
      <c r="F243" s="67" t="n"/>
      <c r="G243" s="67" t="n"/>
      <c r="H243" s="67" t="n"/>
      <c r="I243" s="67" t="n"/>
      <c r="J243" s="67" t="n"/>
      <c r="K243" s="67" t="n"/>
      <c r="L243" s="67" t="n"/>
      <c r="M243" s="64" t="n"/>
      <c r="N243" s="66" t="n"/>
      <c r="O243" s="84">
        <f>IF(A243="","",IF(OR(C243="",D243=""),"Enter both dates",IF(D243&lt;C243,"To is before From",IF(COUNTIFS($P$5:$P$2004,P243,$C$5:$C$2004,"&lt;="&amp;D243,$D$5:$D$2004,"&gt;="&amp;C243)&gt;1,"Overlaps another row","OK"))))</f>
        <v/>
      </c>
      <c r="P243">
        <f>IF(A243="","",A243&amp;"|"&amp;IF(B243="","Standard",B243))</f>
        <v/>
      </c>
      <c r="Q243">
        <f>IF(AND(A243&lt;&gt;"",A243='Firm Search'!$C$7),COUNTIF($A$5:A243,'Firm Search'!$C$7),"")</f>
        <v/>
      </c>
    </row>
    <row r="244">
      <c r="A244" s="64" t="n"/>
      <c r="B244" s="64" t="n"/>
      <c r="C244" s="66" t="n"/>
      <c r="D244" s="66" t="n"/>
      <c r="E244" s="67" t="n"/>
      <c r="F244" s="67" t="n"/>
      <c r="G244" s="67" t="n"/>
      <c r="H244" s="67" t="n"/>
      <c r="I244" s="67" t="n"/>
      <c r="J244" s="67" t="n"/>
      <c r="K244" s="67" t="n"/>
      <c r="L244" s="67" t="n"/>
      <c r="M244" s="64" t="n"/>
      <c r="N244" s="66" t="n"/>
      <c r="O244" s="84">
        <f>IF(A244="","",IF(OR(C244="",D244=""),"Enter both dates",IF(D244&lt;C244,"To is before From",IF(COUNTIFS($P$5:$P$2004,P244,$C$5:$C$2004,"&lt;="&amp;D244,$D$5:$D$2004,"&gt;="&amp;C244)&gt;1,"Overlaps another row","OK"))))</f>
        <v/>
      </c>
      <c r="P244">
        <f>IF(A244="","",A244&amp;"|"&amp;IF(B244="","Standard",B244))</f>
        <v/>
      </c>
      <c r="Q244">
        <f>IF(AND(A244&lt;&gt;"",A244='Firm Search'!$C$7),COUNTIF($A$5:A244,'Firm Search'!$C$7),"")</f>
        <v/>
      </c>
    </row>
    <row r="245">
      <c r="A245" s="64" t="n"/>
      <c r="B245" s="64" t="n"/>
      <c r="C245" s="66" t="n"/>
      <c r="D245" s="66" t="n"/>
      <c r="E245" s="67" t="n"/>
      <c r="F245" s="67" t="n"/>
      <c r="G245" s="67" t="n"/>
      <c r="H245" s="67" t="n"/>
      <c r="I245" s="67" t="n"/>
      <c r="J245" s="67" t="n"/>
      <c r="K245" s="67" t="n"/>
      <c r="L245" s="67" t="n"/>
      <c r="M245" s="64" t="n"/>
      <c r="N245" s="66" t="n"/>
      <c r="O245" s="84">
        <f>IF(A245="","",IF(OR(C245="",D245=""),"Enter both dates",IF(D245&lt;C245,"To is before From",IF(COUNTIFS($P$5:$P$2004,P245,$C$5:$C$2004,"&lt;="&amp;D245,$D$5:$D$2004,"&gt;="&amp;C245)&gt;1,"Overlaps another row","OK"))))</f>
        <v/>
      </c>
      <c r="P245">
        <f>IF(A245="","",A245&amp;"|"&amp;IF(B245="","Standard",B245))</f>
        <v/>
      </c>
      <c r="Q245">
        <f>IF(AND(A245&lt;&gt;"",A245='Firm Search'!$C$7),COUNTIF($A$5:A245,'Firm Search'!$C$7),"")</f>
        <v/>
      </c>
    </row>
    <row r="246">
      <c r="A246" s="64" t="n"/>
      <c r="B246" s="64" t="n"/>
      <c r="C246" s="66" t="n"/>
      <c r="D246" s="66" t="n"/>
      <c r="E246" s="67" t="n"/>
      <c r="F246" s="67" t="n"/>
      <c r="G246" s="67" t="n"/>
      <c r="H246" s="67" t="n"/>
      <c r="I246" s="67" t="n"/>
      <c r="J246" s="67" t="n"/>
      <c r="K246" s="67" t="n"/>
      <c r="L246" s="67" t="n"/>
      <c r="M246" s="64" t="n"/>
      <c r="N246" s="66" t="n"/>
      <c r="O246" s="84">
        <f>IF(A246="","",IF(OR(C246="",D246=""),"Enter both dates",IF(D246&lt;C246,"To is before From",IF(COUNTIFS($P$5:$P$2004,P246,$C$5:$C$2004,"&lt;="&amp;D246,$D$5:$D$2004,"&gt;="&amp;C246)&gt;1,"Overlaps another row","OK"))))</f>
        <v/>
      </c>
      <c r="P246">
        <f>IF(A246="","",A246&amp;"|"&amp;IF(B246="","Standard",B246))</f>
        <v/>
      </c>
      <c r="Q246">
        <f>IF(AND(A246&lt;&gt;"",A246='Firm Search'!$C$7),COUNTIF($A$5:A246,'Firm Search'!$C$7),"")</f>
        <v/>
      </c>
    </row>
    <row r="247">
      <c r="A247" s="64" t="n"/>
      <c r="B247" s="64" t="n"/>
      <c r="C247" s="66" t="n"/>
      <c r="D247" s="66" t="n"/>
      <c r="E247" s="67" t="n"/>
      <c r="F247" s="67" t="n"/>
      <c r="G247" s="67" t="n"/>
      <c r="H247" s="67" t="n"/>
      <c r="I247" s="67" t="n"/>
      <c r="J247" s="67" t="n"/>
      <c r="K247" s="67" t="n"/>
      <c r="L247" s="67" t="n"/>
      <c r="M247" s="64" t="n"/>
      <c r="N247" s="66" t="n"/>
      <c r="O247" s="84">
        <f>IF(A247="","",IF(OR(C247="",D247=""),"Enter both dates",IF(D247&lt;C247,"To is before From",IF(COUNTIFS($P$5:$P$2004,P247,$C$5:$C$2004,"&lt;="&amp;D247,$D$5:$D$2004,"&gt;="&amp;C247)&gt;1,"Overlaps another row","OK"))))</f>
        <v/>
      </c>
      <c r="P247">
        <f>IF(A247="","",A247&amp;"|"&amp;IF(B247="","Standard",B247))</f>
        <v/>
      </c>
      <c r="Q247">
        <f>IF(AND(A247&lt;&gt;"",A247='Firm Search'!$C$7),COUNTIF($A$5:A247,'Firm Search'!$C$7),"")</f>
        <v/>
      </c>
    </row>
    <row r="248">
      <c r="A248" s="64" t="n"/>
      <c r="B248" s="64" t="n"/>
      <c r="C248" s="66" t="n"/>
      <c r="D248" s="66" t="n"/>
      <c r="E248" s="67" t="n"/>
      <c r="F248" s="67" t="n"/>
      <c r="G248" s="67" t="n"/>
      <c r="H248" s="67" t="n"/>
      <c r="I248" s="67" t="n"/>
      <c r="J248" s="67" t="n"/>
      <c r="K248" s="67" t="n"/>
      <c r="L248" s="67" t="n"/>
      <c r="M248" s="64" t="n"/>
      <c r="N248" s="66" t="n"/>
      <c r="O248" s="84">
        <f>IF(A248="","",IF(OR(C248="",D248=""),"Enter both dates",IF(D248&lt;C248,"To is before From",IF(COUNTIFS($P$5:$P$2004,P248,$C$5:$C$2004,"&lt;="&amp;D248,$D$5:$D$2004,"&gt;="&amp;C248)&gt;1,"Overlaps another row","OK"))))</f>
        <v/>
      </c>
      <c r="P248">
        <f>IF(A248="","",A248&amp;"|"&amp;IF(B248="","Standard",B248))</f>
        <v/>
      </c>
      <c r="Q248">
        <f>IF(AND(A248&lt;&gt;"",A248='Firm Search'!$C$7),COUNTIF($A$5:A248,'Firm Search'!$C$7),"")</f>
        <v/>
      </c>
    </row>
    <row r="249">
      <c r="A249" s="64" t="n"/>
      <c r="B249" s="64" t="n"/>
      <c r="C249" s="66" t="n"/>
      <c r="D249" s="66" t="n"/>
      <c r="E249" s="67" t="n"/>
      <c r="F249" s="67" t="n"/>
      <c r="G249" s="67" t="n"/>
      <c r="H249" s="67" t="n"/>
      <c r="I249" s="67" t="n"/>
      <c r="J249" s="67" t="n"/>
      <c r="K249" s="67" t="n"/>
      <c r="L249" s="67" t="n"/>
      <c r="M249" s="64" t="n"/>
      <c r="N249" s="66" t="n"/>
      <c r="O249" s="84">
        <f>IF(A249="","",IF(OR(C249="",D249=""),"Enter both dates",IF(D249&lt;C249,"To is before From",IF(COUNTIFS($P$5:$P$2004,P249,$C$5:$C$2004,"&lt;="&amp;D249,$D$5:$D$2004,"&gt;="&amp;C249)&gt;1,"Overlaps another row","OK"))))</f>
        <v/>
      </c>
      <c r="P249">
        <f>IF(A249="","",A249&amp;"|"&amp;IF(B249="","Standard",B249))</f>
        <v/>
      </c>
      <c r="Q249">
        <f>IF(AND(A249&lt;&gt;"",A249='Firm Search'!$C$7),COUNTIF($A$5:A249,'Firm Search'!$C$7),"")</f>
        <v/>
      </c>
    </row>
    <row r="250">
      <c r="A250" s="64" t="n"/>
      <c r="B250" s="64" t="n"/>
      <c r="C250" s="66" t="n"/>
      <c r="D250" s="66" t="n"/>
      <c r="E250" s="67" t="n"/>
      <c r="F250" s="67" t="n"/>
      <c r="G250" s="67" t="n"/>
      <c r="H250" s="67" t="n"/>
      <c r="I250" s="67" t="n"/>
      <c r="J250" s="67" t="n"/>
      <c r="K250" s="67" t="n"/>
      <c r="L250" s="67" t="n"/>
      <c r="M250" s="64" t="n"/>
      <c r="N250" s="66" t="n"/>
      <c r="O250" s="84">
        <f>IF(A250="","",IF(OR(C250="",D250=""),"Enter both dates",IF(D250&lt;C250,"To is before From",IF(COUNTIFS($P$5:$P$2004,P250,$C$5:$C$2004,"&lt;="&amp;D250,$D$5:$D$2004,"&gt;="&amp;C250)&gt;1,"Overlaps another row","OK"))))</f>
        <v/>
      </c>
      <c r="P250">
        <f>IF(A250="","",A250&amp;"|"&amp;IF(B250="","Standard",B250))</f>
        <v/>
      </c>
      <c r="Q250">
        <f>IF(AND(A250&lt;&gt;"",A250='Firm Search'!$C$7),COUNTIF($A$5:A250,'Firm Search'!$C$7),"")</f>
        <v/>
      </c>
    </row>
    <row r="251">
      <c r="A251" s="64" t="n"/>
      <c r="B251" s="64" t="n"/>
      <c r="C251" s="66" t="n"/>
      <c r="D251" s="66" t="n"/>
      <c r="E251" s="67" t="n"/>
      <c r="F251" s="67" t="n"/>
      <c r="G251" s="67" t="n"/>
      <c r="H251" s="67" t="n"/>
      <c r="I251" s="67" t="n"/>
      <c r="J251" s="67" t="n"/>
      <c r="K251" s="67" t="n"/>
      <c r="L251" s="67" t="n"/>
      <c r="M251" s="64" t="n"/>
      <c r="N251" s="66" t="n"/>
      <c r="O251" s="84">
        <f>IF(A251="","",IF(OR(C251="",D251=""),"Enter both dates",IF(D251&lt;C251,"To is before From",IF(COUNTIFS($P$5:$P$2004,P251,$C$5:$C$2004,"&lt;="&amp;D251,$D$5:$D$2004,"&gt;="&amp;C251)&gt;1,"Overlaps another row","OK"))))</f>
        <v/>
      </c>
      <c r="P251">
        <f>IF(A251="","",A251&amp;"|"&amp;IF(B251="","Standard",B251))</f>
        <v/>
      </c>
      <c r="Q251">
        <f>IF(AND(A251&lt;&gt;"",A251='Firm Search'!$C$7),COUNTIF($A$5:A251,'Firm Search'!$C$7),"")</f>
        <v/>
      </c>
    </row>
    <row r="252">
      <c r="A252" s="64" t="n"/>
      <c r="B252" s="64" t="n"/>
      <c r="C252" s="66" t="n"/>
      <c r="D252" s="66" t="n"/>
      <c r="E252" s="67" t="n"/>
      <c r="F252" s="67" t="n"/>
      <c r="G252" s="67" t="n"/>
      <c r="H252" s="67" t="n"/>
      <c r="I252" s="67" t="n"/>
      <c r="J252" s="67" t="n"/>
      <c r="K252" s="67" t="n"/>
      <c r="L252" s="67" t="n"/>
      <c r="M252" s="64" t="n"/>
      <c r="N252" s="66" t="n"/>
      <c r="O252" s="84">
        <f>IF(A252="","",IF(OR(C252="",D252=""),"Enter both dates",IF(D252&lt;C252,"To is before From",IF(COUNTIFS($P$5:$P$2004,P252,$C$5:$C$2004,"&lt;="&amp;D252,$D$5:$D$2004,"&gt;="&amp;C252)&gt;1,"Overlaps another row","OK"))))</f>
        <v/>
      </c>
      <c r="P252">
        <f>IF(A252="","",A252&amp;"|"&amp;IF(B252="","Standard",B252))</f>
        <v/>
      </c>
      <c r="Q252">
        <f>IF(AND(A252&lt;&gt;"",A252='Firm Search'!$C$7),COUNTIF($A$5:A252,'Firm Search'!$C$7),"")</f>
        <v/>
      </c>
    </row>
    <row r="253">
      <c r="A253" s="64" t="n"/>
      <c r="B253" s="64" t="n"/>
      <c r="C253" s="66" t="n"/>
      <c r="D253" s="66" t="n"/>
      <c r="E253" s="67" t="n"/>
      <c r="F253" s="67" t="n"/>
      <c r="G253" s="67" t="n"/>
      <c r="H253" s="67" t="n"/>
      <c r="I253" s="67" t="n"/>
      <c r="J253" s="67" t="n"/>
      <c r="K253" s="67" t="n"/>
      <c r="L253" s="67" t="n"/>
      <c r="M253" s="64" t="n"/>
      <c r="N253" s="66" t="n"/>
      <c r="O253" s="84">
        <f>IF(A253="","",IF(OR(C253="",D253=""),"Enter both dates",IF(D253&lt;C253,"To is before From",IF(COUNTIFS($P$5:$P$2004,P253,$C$5:$C$2004,"&lt;="&amp;D253,$D$5:$D$2004,"&gt;="&amp;C253)&gt;1,"Overlaps another row","OK"))))</f>
        <v/>
      </c>
      <c r="P253">
        <f>IF(A253="","",A253&amp;"|"&amp;IF(B253="","Standard",B253))</f>
        <v/>
      </c>
      <c r="Q253">
        <f>IF(AND(A253&lt;&gt;"",A253='Firm Search'!$C$7),COUNTIF($A$5:A253,'Firm Search'!$C$7),"")</f>
        <v/>
      </c>
    </row>
    <row r="254">
      <c r="A254" s="64" t="n"/>
      <c r="B254" s="64" t="n"/>
      <c r="C254" s="66" t="n"/>
      <c r="D254" s="66" t="n"/>
      <c r="E254" s="67" t="n"/>
      <c r="F254" s="67" t="n"/>
      <c r="G254" s="67" t="n"/>
      <c r="H254" s="67" t="n"/>
      <c r="I254" s="67" t="n"/>
      <c r="J254" s="67" t="n"/>
      <c r="K254" s="67" t="n"/>
      <c r="L254" s="67" t="n"/>
      <c r="M254" s="64" t="n"/>
      <c r="N254" s="66" t="n"/>
      <c r="O254" s="84">
        <f>IF(A254="","",IF(OR(C254="",D254=""),"Enter both dates",IF(D254&lt;C254,"To is before From",IF(COUNTIFS($P$5:$P$2004,P254,$C$5:$C$2004,"&lt;="&amp;D254,$D$5:$D$2004,"&gt;="&amp;C254)&gt;1,"Overlaps another row","OK"))))</f>
        <v/>
      </c>
      <c r="P254">
        <f>IF(A254="","",A254&amp;"|"&amp;IF(B254="","Standard",B254))</f>
        <v/>
      </c>
      <c r="Q254">
        <f>IF(AND(A254&lt;&gt;"",A254='Firm Search'!$C$7),COUNTIF($A$5:A254,'Firm Search'!$C$7),"")</f>
        <v/>
      </c>
    </row>
    <row r="255">
      <c r="A255" s="64" t="n"/>
      <c r="B255" s="64" t="n"/>
      <c r="C255" s="66" t="n"/>
      <c r="D255" s="66" t="n"/>
      <c r="E255" s="67" t="n"/>
      <c r="F255" s="67" t="n"/>
      <c r="G255" s="67" t="n"/>
      <c r="H255" s="67" t="n"/>
      <c r="I255" s="67" t="n"/>
      <c r="J255" s="67" t="n"/>
      <c r="K255" s="67" t="n"/>
      <c r="L255" s="67" t="n"/>
      <c r="M255" s="64" t="n"/>
      <c r="N255" s="66" t="n"/>
      <c r="O255" s="84">
        <f>IF(A255="","",IF(OR(C255="",D255=""),"Enter both dates",IF(D255&lt;C255,"To is before From",IF(COUNTIFS($P$5:$P$2004,P255,$C$5:$C$2004,"&lt;="&amp;D255,$D$5:$D$2004,"&gt;="&amp;C255)&gt;1,"Overlaps another row","OK"))))</f>
        <v/>
      </c>
      <c r="P255">
        <f>IF(A255="","",A255&amp;"|"&amp;IF(B255="","Standard",B255))</f>
        <v/>
      </c>
      <c r="Q255">
        <f>IF(AND(A255&lt;&gt;"",A255='Firm Search'!$C$7),COUNTIF($A$5:A255,'Firm Search'!$C$7),"")</f>
        <v/>
      </c>
    </row>
    <row r="256">
      <c r="A256" s="64" t="n"/>
      <c r="B256" s="64" t="n"/>
      <c r="C256" s="66" t="n"/>
      <c r="D256" s="66" t="n"/>
      <c r="E256" s="67" t="n"/>
      <c r="F256" s="67" t="n"/>
      <c r="G256" s="67" t="n"/>
      <c r="H256" s="67" t="n"/>
      <c r="I256" s="67" t="n"/>
      <c r="J256" s="67" t="n"/>
      <c r="K256" s="67" t="n"/>
      <c r="L256" s="67" t="n"/>
      <c r="M256" s="64" t="n"/>
      <c r="N256" s="66" t="n"/>
      <c r="O256" s="84">
        <f>IF(A256="","",IF(OR(C256="",D256=""),"Enter both dates",IF(D256&lt;C256,"To is before From",IF(COUNTIFS($P$5:$P$2004,P256,$C$5:$C$2004,"&lt;="&amp;D256,$D$5:$D$2004,"&gt;="&amp;C256)&gt;1,"Overlaps another row","OK"))))</f>
        <v/>
      </c>
      <c r="P256">
        <f>IF(A256="","",A256&amp;"|"&amp;IF(B256="","Standard",B256))</f>
        <v/>
      </c>
      <c r="Q256">
        <f>IF(AND(A256&lt;&gt;"",A256='Firm Search'!$C$7),COUNTIF($A$5:A256,'Firm Search'!$C$7),"")</f>
        <v/>
      </c>
    </row>
    <row r="257">
      <c r="A257" s="64" t="n"/>
      <c r="B257" s="64" t="n"/>
      <c r="C257" s="66" t="n"/>
      <c r="D257" s="66" t="n"/>
      <c r="E257" s="67" t="n"/>
      <c r="F257" s="67" t="n"/>
      <c r="G257" s="67" t="n"/>
      <c r="H257" s="67" t="n"/>
      <c r="I257" s="67" t="n"/>
      <c r="J257" s="67" t="n"/>
      <c r="K257" s="67" t="n"/>
      <c r="L257" s="67" t="n"/>
      <c r="M257" s="64" t="n"/>
      <c r="N257" s="66" t="n"/>
      <c r="O257" s="84">
        <f>IF(A257="","",IF(OR(C257="",D257=""),"Enter both dates",IF(D257&lt;C257,"To is before From",IF(COUNTIFS($P$5:$P$2004,P257,$C$5:$C$2004,"&lt;="&amp;D257,$D$5:$D$2004,"&gt;="&amp;C257)&gt;1,"Overlaps another row","OK"))))</f>
        <v/>
      </c>
      <c r="P257">
        <f>IF(A257="","",A257&amp;"|"&amp;IF(B257="","Standard",B257))</f>
        <v/>
      </c>
      <c r="Q257">
        <f>IF(AND(A257&lt;&gt;"",A257='Firm Search'!$C$7),COUNTIF($A$5:A257,'Firm Search'!$C$7),"")</f>
        <v/>
      </c>
    </row>
    <row r="258">
      <c r="A258" s="64" t="n"/>
      <c r="B258" s="64" t="n"/>
      <c r="C258" s="66" t="n"/>
      <c r="D258" s="66" t="n"/>
      <c r="E258" s="67" t="n"/>
      <c r="F258" s="67" t="n"/>
      <c r="G258" s="67" t="n"/>
      <c r="H258" s="67" t="n"/>
      <c r="I258" s="67" t="n"/>
      <c r="J258" s="67" t="n"/>
      <c r="K258" s="67" t="n"/>
      <c r="L258" s="67" t="n"/>
      <c r="M258" s="64" t="n"/>
      <c r="N258" s="66" t="n"/>
      <c r="O258" s="84">
        <f>IF(A258="","",IF(OR(C258="",D258=""),"Enter both dates",IF(D258&lt;C258,"To is before From",IF(COUNTIFS($P$5:$P$2004,P258,$C$5:$C$2004,"&lt;="&amp;D258,$D$5:$D$2004,"&gt;="&amp;C258)&gt;1,"Overlaps another row","OK"))))</f>
        <v/>
      </c>
      <c r="P258">
        <f>IF(A258="","",A258&amp;"|"&amp;IF(B258="","Standard",B258))</f>
        <v/>
      </c>
      <c r="Q258">
        <f>IF(AND(A258&lt;&gt;"",A258='Firm Search'!$C$7),COUNTIF($A$5:A258,'Firm Search'!$C$7),"")</f>
        <v/>
      </c>
    </row>
    <row r="259">
      <c r="A259" s="64" t="n"/>
      <c r="B259" s="64" t="n"/>
      <c r="C259" s="66" t="n"/>
      <c r="D259" s="66" t="n"/>
      <c r="E259" s="67" t="n"/>
      <c r="F259" s="67" t="n"/>
      <c r="G259" s="67" t="n"/>
      <c r="H259" s="67" t="n"/>
      <c r="I259" s="67" t="n"/>
      <c r="J259" s="67" t="n"/>
      <c r="K259" s="67" t="n"/>
      <c r="L259" s="67" t="n"/>
      <c r="M259" s="64" t="n"/>
      <c r="N259" s="66" t="n"/>
      <c r="O259" s="84">
        <f>IF(A259="","",IF(OR(C259="",D259=""),"Enter both dates",IF(D259&lt;C259,"To is before From",IF(COUNTIFS($P$5:$P$2004,P259,$C$5:$C$2004,"&lt;="&amp;D259,$D$5:$D$2004,"&gt;="&amp;C259)&gt;1,"Overlaps another row","OK"))))</f>
        <v/>
      </c>
      <c r="P259">
        <f>IF(A259="","",A259&amp;"|"&amp;IF(B259="","Standard",B259))</f>
        <v/>
      </c>
      <c r="Q259">
        <f>IF(AND(A259&lt;&gt;"",A259='Firm Search'!$C$7),COUNTIF($A$5:A259,'Firm Search'!$C$7),"")</f>
        <v/>
      </c>
    </row>
    <row r="260">
      <c r="A260" s="64" t="n"/>
      <c r="B260" s="64" t="n"/>
      <c r="C260" s="66" t="n"/>
      <c r="D260" s="66" t="n"/>
      <c r="E260" s="67" t="n"/>
      <c r="F260" s="67" t="n"/>
      <c r="G260" s="67" t="n"/>
      <c r="H260" s="67" t="n"/>
      <c r="I260" s="67" t="n"/>
      <c r="J260" s="67" t="n"/>
      <c r="K260" s="67" t="n"/>
      <c r="L260" s="67" t="n"/>
      <c r="M260" s="64" t="n"/>
      <c r="N260" s="66" t="n"/>
      <c r="O260" s="84">
        <f>IF(A260="","",IF(OR(C260="",D260=""),"Enter both dates",IF(D260&lt;C260,"To is before From",IF(COUNTIFS($P$5:$P$2004,P260,$C$5:$C$2004,"&lt;="&amp;D260,$D$5:$D$2004,"&gt;="&amp;C260)&gt;1,"Overlaps another row","OK"))))</f>
        <v/>
      </c>
      <c r="P260">
        <f>IF(A260="","",A260&amp;"|"&amp;IF(B260="","Standard",B260))</f>
        <v/>
      </c>
      <c r="Q260">
        <f>IF(AND(A260&lt;&gt;"",A260='Firm Search'!$C$7),COUNTIF($A$5:A260,'Firm Search'!$C$7),"")</f>
        <v/>
      </c>
    </row>
    <row r="261">
      <c r="A261" s="64" t="n"/>
      <c r="B261" s="64" t="n"/>
      <c r="C261" s="66" t="n"/>
      <c r="D261" s="66" t="n"/>
      <c r="E261" s="67" t="n"/>
      <c r="F261" s="67" t="n"/>
      <c r="G261" s="67" t="n"/>
      <c r="H261" s="67" t="n"/>
      <c r="I261" s="67" t="n"/>
      <c r="J261" s="67" t="n"/>
      <c r="K261" s="67" t="n"/>
      <c r="L261" s="67" t="n"/>
      <c r="M261" s="64" t="n"/>
      <c r="N261" s="66" t="n"/>
      <c r="O261" s="84">
        <f>IF(A261="","",IF(OR(C261="",D261=""),"Enter both dates",IF(D261&lt;C261,"To is before From",IF(COUNTIFS($P$5:$P$2004,P261,$C$5:$C$2004,"&lt;="&amp;D261,$D$5:$D$2004,"&gt;="&amp;C261)&gt;1,"Overlaps another row","OK"))))</f>
        <v/>
      </c>
      <c r="P261">
        <f>IF(A261="","",A261&amp;"|"&amp;IF(B261="","Standard",B261))</f>
        <v/>
      </c>
      <c r="Q261">
        <f>IF(AND(A261&lt;&gt;"",A261='Firm Search'!$C$7),COUNTIF($A$5:A261,'Firm Search'!$C$7),"")</f>
        <v/>
      </c>
    </row>
    <row r="262">
      <c r="A262" s="64" t="n"/>
      <c r="B262" s="64" t="n"/>
      <c r="C262" s="66" t="n"/>
      <c r="D262" s="66" t="n"/>
      <c r="E262" s="67" t="n"/>
      <c r="F262" s="67" t="n"/>
      <c r="G262" s="67" t="n"/>
      <c r="H262" s="67" t="n"/>
      <c r="I262" s="67" t="n"/>
      <c r="J262" s="67" t="n"/>
      <c r="K262" s="67" t="n"/>
      <c r="L262" s="67" t="n"/>
      <c r="M262" s="64" t="n"/>
      <c r="N262" s="66" t="n"/>
      <c r="O262" s="84">
        <f>IF(A262="","",IF(OR(C262="",D262=""),"Enter both dates",IF(D262&lt;C262,"To is before From",IF(COUNTIFS($P$5:$P$2004,P262,$C$5:$C$2004,"&lt;="&amp;D262,$D$5:$D$2004,"&gt;="&amp;C262)&gt;1,"Overlaps another row","OK"))))</f>
        <v/>
      </c>
      <c r="P262">
        <f>IF(A262="","",A262&amp;"|"&amp;IF(B262="","Standard",B262))</f>
        <v/>
      </c>
      <c r="Q262">
        <f>IF(AND(A262&lt;&gt;"",A262='Firm Search'!$C$7),COUNTIF($A$5:A262,'Firm Search'!$C$7),"")</f>
        <v/>
      </c>
    </row>
    <row r="263">
      <c r="A263" s="64" t="n"/>
      <c r="B263" s="64" t="n"/>
      <c r="C263" s="66" t="n"/>
      <c r="D263" s="66" t="n"/>
      <c r="E263" s="67" t="n"/>
      <c r="F263" s="67" t="n"/>
      <c r="G263" s="67" t="n"/>
      <c r="H263" s="67" t="n"/>
      <c r="I263" s="67" t="n"/>
      <c r="J263" s="67" t="n"/>
      <c r="K263" s="67" t="n"/>
      <c r="L263" s="67" t="n"/>
      <c r="M263" s="64" t="n"/>
      <c r="N263" s="66" t="n"/>
      <c r="O263" s="84">
        <f>IF(A263="","",IF(OR(C263="",D263=""),"Enter both dates",IF(D263&lt;C263,"To is before From",IF(COUNTIFS($P$5:$P$2004,P263,$C$5:$C$2004,"&lt;="&amp;D263,$D$5:$D$2004,"&gt;="&amp;C263)&gt;1,"Overlaps another row","OK"))))</f>
        <v/>
      </c>
      <c r="P263">
        <f>IF(A263="","",A263&amp;"|"&amp;IF(B263="","Standard",B263))</f>
        <v/>
      </c>
      <c r="Q263">
        <f>IF(AND(A263&lt;&gt;"",A263='Firm Search'!$C$7),COUNTIF($A$5:A263,'Firm Search'!$C$7),"")</f>
        <v/>
      </c>
    </row>
    <row r="264">
      <c r="A264" s="64" t="n"/>
      <c r="B264" s="64" t="n"/>
      <c r="C264" s="66" t="n"/>
      <c r="D264" s="66" t="n"/>
      <c r="E264" s="67" t="n"/>
      <c r="F264" s="67" t="n"/>
      <c r="G264" s="67" t="n"/>
      <c r="H264" s="67" t="n"/>
      <c r="I264" s="67" t="n"/>
      <c r="J264" s="67" t="n"/>
      <c r="K264" s="67" t="n"/>
      <c r="L264" s="67" t="n"/>
      <c r="M264" s="64" t="n"/>
      <c r="N264" s="66" t="n"/>
      <c r="O264" s="84">
        <f>IF(A264="","",IF(OR(C264="",D264=""),"Enter both dates",IF(D264&lt;C264,"To is before From",IF(COUNTIFS($P$5:$P$2004,P264,$C$5:$C$2004,"&lt;="&amp;D264,$D$5:$D$2004,"&gt;="&amp;C264)&gt;1,"Overlaps another row","OK"))))</f>
        <v/>
      </c>
      <c r="P264">
        <f>IF(A264="","",A264&amp;"|"&amp;IF(B264="","Standard",B264))</f>
        <v/>
      </c>
      <c r="Q264">
        <f>IF(AND(A264&lt;&gt;"",A264='Firm Search'!$C$7),COUNTIF($A$5:A264,'Firm Search'!$C$7),"")</f>
        <v/>
      </c>
    </row>
    <row r="265">
      <c r="A265" s="64" t="n"/>
      <c r="B265" s="64" t="n"/>
      <c r="C265" s="66" t="n"/>
      <c r="D265" s="66" t="n"/>
      <c r="E265" s="67" t="n"/>
      <c r="F265" s="67" t="n"/>
      <c r="G265" s="67" t="n"/>
      <c r="H265" s="67" t="n"/>
      <c r="I265" s="67" t="n"/>
      <c r="J265" s="67" t="n"/>
      <c r="K265" s="67" t="n"/>
      <c r="L265" s="67" t="n"/>
      <c r="M265" s="64" t="n"/>
      <c r="N265" s="66" t="n"/>
      <c r="O265" s="84">
        <f>IF(A265="","",IF(OR(C265="",D265=""),"Enter both dates",IF(D265&lt;C265,"To is before From",IF(COUNTIFS($P$5:$P$2004,P265,$C$5:$C$2004,"&lt;="&amp;D265,$D$5:$D$2004,"&gt;="&amp;C265)&gt;1,"Overlaps another row","OK"))))</f>
        <v/>
      </c>
      <c r="P265">
        <f>IF(A265="","",A265&amp;"|"&amp;IF(B265="","Standard",B265))</f>
        <v/>
      </c>
      <c r="Q265">
        <f>IF(AND(A265&lt;&gt;"",A265='Firm Search'!$C$7),COUNTIF($A$5:A265,'Firm Search'!$C$7),"")</f>
        <v/>
      </c>
    </row>
    <row r="266">
      <c r="A266" s="64" t="n"/>
      <c r="B266" s="64" t="n"/>
      <c r="C266" s="66" t="n"/>
      <c r="D266" s="66" t="n"/>
      <c r="E266" s="67" t="n"/>
      <c r="F266" s="67" t="n"/>
      <c r="G266" s="67" t="n"/>
      <c r="H266" s="67" t="n"/>
      <c r="I266" s="67" t="n"/>
      <c r="J266" s="67" t="n"/>
      <c r="K266" s="67" t="n"/>
      <c r="L266" s="67" t="n"/>
      <c r="M266" s="64" t="n"/>
      <c r="N266" s="66" t="n"/>
      <c r="O266" s="84">
        <f>IF(A266="","",IF(OR(C266="",D266=""),"Enter both dates",IF(D266&lt;C266,"To is before From",IF(COUNTIFS($P$5:$P$2004,P266,$C$5:$C$2004,"&lt;="&amp;D266,$D$5:$D$2004,"&gt;="&amp;C266)&gt;1,"Overlaps another row","OK"))))</f>
        <v/>
      </c>
      <c r="P266">
        <f>IF(A266="","",A266&amp;"|"&amp;IF(B266="","Standard",B266))</f>
        <v/>
      </c>
      <c r="Q266">
        <f>IF(AND(A266&lt;&gt;"",A266='Firm Search'!$C$7),COUNTIF($A$5:A266,'Firm Search'!$C$7),"")</f>
        <v/>
      </c>
    </row>
    <row r="267">
      <c r="A267" s="64" t="n"/>
      <c r="B267" s="64" t="n"/>
      <c r="C267" s="66" t="n"/>
      <c r="D267" s="66" t="n"/>
      <c r="E267" s="67" t="n"/>
      <c r="F267" s="67" t="n"/>
      <c r="G267" s="67" t="n"/>
      <c r="H267" s="67" t="n"/>
      <c r="I267" s="67" t="n"/>
      <c r="J267" s="67" t="n"/>
      <c r="K267" s="67" t="n"/>
      <c r="L267" s="67" t="n"/>
      <c r="M267" s="64" t="n"/>
      <c r="N267" s="66" t="n"/>
      <c r="O267" s="84">
        <f>IF(A267="","",IF(OR(C267="",D267=""),"Enter both dates",IF(D267&lt;C267,"To is before From",IF(COUNTIFS($P$5:$P$2004,P267,$C$5:$C$2004,"&lt;="&amp;D267,$D$5:$D$2004,"&gt;="&amp;C267)&gt;1,"Overlaps another row","OK"))))</f>
        <v/>
      </c>
      <c r="P267">
        <f>IF(A267="","",A267&amp;"|"&amp;IF(B267="","Standard",B267))</f>
        <v/>
      </c>
      <c r="Q267">
        <f>IF(AND(A267&lt;&gt;"",A267='Firm Search'!$C$7),COUNTIF($A$5:A267,'Firm Search'!$C$7),"")</f>
        <v/>
      </c>
    </row>
    <row r="268">
      <c r="A268" s="64" t="n"/>
      <c r="B268" s="64" t="n"/>
      <c r="C268" s="66" t="n"/>
      <c r="D268" s="66" t="n"/>
      <c r="E268" s="67" t="n"/>
      <c r="F268" s="67" t="n"/>
      <c r="G268" s="67" t="n"/>
      <c r="H268" s="67" t="n"/>
      <c r="I268" s="67" t="n"/>
      <c r="J268" s="67" t="n"/>
      <c r="K268" s="67" t="n"/>
      <c r="L268" s="67" t="n"/>
      <c r="M268" s="64" t="n"/>
      <c r="N268" s="66" t="n"/>
      <c r="O268" s="84">
        <f>IF(A268="","",IF(OR(C268="",D268=""),"Enter both dates",IF(D268&lt;C268,"To is before From",IF(COUNTIFS($P$5:$P$2004,P268,$C$5:$C$2004,"&lt;="&amp;D268,$D$5:$D$2004,"&gt;="&amp;C268)&gt;1,"Overlaps another row","OK"))))</f>
        <v/>
      </c>
      <c r="P268">
        <f>IF(A268="","",A268&amp;"|"&amp;IF(B268="","Standard",B268))</f>
        <v/>
      </c>
      <c r="Q268">
        <f>IF(AND(A268&lt;&gt;"",A268='Firm Search'!$C$7),COUNTIF($A$5:A268,'Firm Search'!$C$7),"")</f>
        <v/>
      </c>
    </row>
    <row r="269">
      <c r="A269" s="64" t="n"/>
      <c r="B269" s="64" t="n"/>
      <c r="C269" s="66" t="n"/>
      <c r="D269" s="66" t="n"/>
      <c r="E269" s="67" t="n"/>
      <c r="F269" s="67" t="n"/>
      <c r="G269" s="67" t="n"/>
      <c r="H269" s="67" t="n"/>
      <c r="I269" s="67" t="n"/>
      <c r="J269" s="67" t="n"/>
      <c r="K269" s="67" t="n"/>
      <c r="L269" s="67" t="n"/>
      <c r="M269" s="64" t="n"/>
      <c r="N269" s="66" t="n"/>
      <c r="O269" s="84">
        <f>IF(A269="","",IF(OR(C269="",D269=""),"Enter both dates",IF(D269&lt;C269,"To is before From",IF(COUNTIFS($P$5:$P$2004,P269,$C$5:$C$2004,"&lt;="&amp;D269,$D$5:$D$2004,"&gt;="&amp;C269)&gt;1,"Overlaps another row","OK"))))</f>
        <v/>
      </c>
      <c r="P269">
        <f>IF(A269="","",A269&amp;"|"&amp;IF(B269="","Standard",B269))</f>
        <v/>
      </c>
      <c r="Q269">
        <f>IF(AND(A269&lt;&gt;"",A269='Firm Search'!$C$7),COUNTIF($A$5:A269,'Firm Search'!$C$7),"")</f>
        <v/>
      </c>
    </row>
    <row r="270">
      <c r="A270" s="64" t="n"/>
      <c r="B270" s="64" t="n"/>
      <c r="C270" s="66" t="n"/>
      <c r="D270" s="66" t="n"/>
      <c r="E270" s="67" t="n"/>
      <c r="F270" s="67" t="n"/>
      <c r="G270" s="67" t="n"/>
      <c r="H270" s="67" t="n"/>
      <c r="I270" s="67" t="n"/>
      <c r="J270" s="67" t="n"/>
      <c r="K270" s="67" t="n"/>
      <c r="L270" s="67" t="n"/>
      <c r="M270" s="64" t="n"/>
      <c r="N270" s="66" t="n"/>
      <c r="O270" s="84">
        <f>IF(A270="","",IF(OR(C270="",D270=""),"Enter both dates",IF(D270&lt;C270,"To is before From",IF(COUNTIFS($P$5:$P$2004,P270,$C$5:$C$2004,"&lt;="&amp;D270,$D$5:$D$2004,"&gt;="&amp;C270)&gt;1,"Overlaps another row","OK"))))</f>
        <v/>
      </c>
      <c r="P270">
        <f>IF(A270="","",A270&amp;"|"&amp;IF(B270="","Standard",B270))</f>
        <v/>
      </c>
      <c r="Q270">
        <f>IF(AND(A270&lt;&gt;"",A270='Firm Search'!$C$7),COUNTIF($A$5:A270,'Firm Search'!$C$7),"")</f>
        <v/>
      </c>
    </row>
    <row r="271">
      <c r="A271" s="64" t="n"/>
      <c r="B271" s="64" t="n"/>
      <c r="C271" s="66" t="n"/>
      <c r="D271" s="66" t="n"/>
      <c r="E271" s="67" t="n"/>
      <c r="F271" s="67" t="n"/>
      <c r="G271" s="67" t="n"/>
      <c r="H271" s="67" t="n"/>
      <c r="I271" s="67" t="n"/>
      <c r="J271" s="67" t="n"/>
      <c r="K271" s="67" t="n"/>
      <c r="L271" s="67" t="n"/>
      <c r="M271" s="64" t="n"/>
      <c r="N271" s="66" t="n"/>
      <c r="O271" s="84">
        <f>IF(A271="","",IF(OR(C271="",D271=""),"Enter both dates",IF(D271&lt;C271,"To is before From",IF(COUNTIFS($P$5:$P$2004,P271,$C$5:$C$2004,"&lt;="&amp;D271,$D$5:$D$2004,"&gt;="&amp;C271)&gt;1,"Overlaps another row","OK"))))</f>
        <v/>
      </c>
      <c r="P271">
        <f>IF(A271="","",A271&amp;"|"&amp;IF(B271="","Standard",B271))</f>
        <v/>
      </c>
      <c r="Q271">
        <f>IF(AND(A271&lt;&gt;"",A271='Firm Search'!$C$7),COUNTIF($A$5:A271,'Firm Search'!$C$7),"")</f>
        <v/>
      </c>
    </row>
    <row r="272">
      <c r="A272" s="64" t="n"/>
      <c r="B272" s="64" t="n"/>
      <c r="C272" s="66" t="n"/>
      <c r="D272" s="66" t="n"/>
      <c r="E272" s="67" t="n"/>
      <c r="F272" s="67" t="n"/>
      <c r="G272" s="67" t="n"/>
      <c r="H272" s="67" t="n"/>
      <c r="I272" s="67" t="n"/>
      <c r="J272" s="67" t="n"/>
      <c r="K272" s="67" t="n"/>
      <c r="L272" s="67" t="n"/>
      <c r="M272" s="64" t="n"/>
      <c r="N272" s="66" t="n"/>
      <c r="O272" s="84">
        <f>IF(A272="","",IF(OR(C272="",D272=""),"Enter both dates",IF(D272&lt;C272,"To is before From",IF(COUNTIFS($P$5:$P$2004,P272,$C$5:$C$2004,"&lt;="&amp;D272,$D$5:$D$2004,"&gt;="&amp;C272)&gt;1,"Overlaps another row","OK"))))</f>
        <v/>
      </c>
      <c r="P272">
        <f>IF(A272="","",A272&amp;"|"&amp;IF(B272="","Standard",B272))</f>
        <v/>
      </c>
      <c r="Q272">
        <f>IF(AND(A272&lt;&gt;"",A272='Firm Search'!$C$7),COUNTIF($A$5:A272,'Firm Search'!$C$7),"")</f>
        <v/>
      </c>
    </row>
    <row r="273">
      <c r="A273" s="64" t="n"/>
      <c r="B273" s="64" t="n"/>
      <c r="C273" s="66" t="n"/>
      <c r="D273" s="66" t="n"/>
      <c r="E273" s="67" t="n"/>
      <c r="F273" s="67" t="n"/>
      <c r="G273" s="67" t="n"/>
      <c r="H273" s="67" t="n"/>
      <c r="I273" s="67" t="n"/>
      <c r="J273" s="67" t="n"/>
      <c r="K273" s="67" t="n"/>
      <c r="L273" s="67" t="n"/>
      <c r="M273" s="64" t="n"/>
      <c r="N273" s="66" t="n"/>
      <c r="O273" s="84">
        <f>IF(A273="","",IF(OR(C273="",D273=""),"Enter both dates",IF(D273&lt;C273,"To is before From",IF(COUNTIFS($P$5:$P$2004,P273,$C$5:$C$2004,"&lt;="&amp;D273,$D$5:$D$2004,"&gt;="&amp;C273)&gt;1,"Overlaps another row","OK"))))</f>
        <v/>
      </c>
      <c r="P273">
        <f>IF(A273="","",A273&amp;"|"&amp;IF(B273="","Standard",B273))</f>
        <v/>
      </c>
      <c r="Q273">
        <f>IF(AND(A273&lt;&gt;"",A273='Firm Search'!$C$7),COUNTIF($A$5:A273,'Firm Search'!$C$7),"")</f>
        <v/>
      </c>
    </row>
    <row r="274">
      <c r="A274" s="64" t="n"/>
      <c r="B274" s="64" t="n"/>
      <c r="C274" s="66" t="n"/>
      <c r="D274" s="66" t="n"/>
      <c r="E274" s="67" t="n"/>
      <c r="F274" s="67" t="n"/>
      <c r="G274" s="67" t="n"/>
      <c r="H274" s="67" t="n"/>
      <c r="I274" s="67" t="n"/>
      <c r="J274" s="67" t="n"/>
      <c r="K274" s="67" t="n"/>
      <c r="L274" s="67" t="n"/>
      <c r="M274" s="64" t="n"/>
      <c r="N274" s="66" t="n"/>
      <c r="O274" s="84">
        <f>IF(A274="","",IF(OR(C274="",D274=""),"Enter both dates",IF(D274&lt;C274,"To is before From",IF(COUNTIFS($P$5:$P$2004,P274,$C$5:$C$2004,"&lt;="&amp;D274,$D$5:$D$2004,"&gt;="&amp;C274)&gt;1,"Overlaps another row","OK"))))</f>
        <v/>
      </c>
      <c r="P274">
        <f>IF(A274="","",A274&amp;"|"&amp;IF(B274="","Standard",B274))</f>
        <v/>
      </c>
      <c r="Q274">
        <f>IF(AND(A274&lt;&gt;"",A274='Firm Search'!$C$7),COUNTIF($A$5:A274,'Firm Search'!$C$7),"")</f>
        <v/>
      </c>
    </row>
    <row r="275">
      <c r="A275" s="64" t="n"/>
      <c r="B275" s="64" t="n"/>
      <c r="C275" s="66" t="n"/>
      <c r="D275" s="66" t="n"/>
      <c r="E275" s="67" t="n"/>
      <c r="F275" s="67" t="n"/>
      <c r="G275" s="67" t="n"/>
      <c r="H275" s="67" t="n"/>
      <c r="I275" s="67" t="n"/>
      <c r="J275" s="67" t="n"/>
      <c r="K275" s="67" t="n"/>
      <c r="L275" s="67" t="n"/>
      <c r="M275" s="64" t="n"/>
      <c r="N275" s="66" t="n"/>
      <c r="O275" s="84">
        <f>IF(A275="","",IF(OR(C275="",D275=""),"Enter both dates",IF(D275&lt;C275,"To is before From",IF(COUNTIFS($P$5:$P$2004,P275,$C$5:$C$2004,"&lt;="&amp;D275,$D$5:$D$2004,"&gt;="&amp;C275)&gt;1,"Overlaps another row","OK"))))</f>
        <v/>
      </c>
      <c r="P275">
        <f>IF(A275="","",A275&amp;"|"&amp;IF(B275="","Standard",B275))</f>
        <v/>
      </c>
      <c r="Q275">
        <f>IF(AND(A275&lt;&gt;"",A275='Firm Search'!$C$7),COUNTIF($A$5:A275,'Firm Search'!$C$7),"")</f>
        <v/>
      </c>
    </row>
    <row r="276">
      <c r="A276" s="64" t="n"/>
      <c r="B276" s="64" t="n"/>
      <c r="C276" s="66" t="n"/>
      <c r="D276" s="66" t="n"/>
      <c r="E276" s="67" t="n"/>
      <c r="F276" s="67" t="n"/>
      <c r="G276" s="67" t="n"/>
      <c r="H276" s="67" t="n"/>
      <c r="I276" s="67" t="n"/>
      <c r="J276" s="67" t="n"/>
      <c r="K276" s="67" t="n"/>
      <c r="L276" s="67" t="n"/>
      <c r="M276" s="64" t="n"/>
      <c r="N276" s="66" t="n"/>
      <c r="O276" s="84">
        <f>IF(A276="","",IF(OR(C276="",D276=""),"Enter both dates",IF(D276&lt;C276,"To is before From",IF(COUNTIFS($P$5:$P$2004,P276,$C$5:$C$2004,"&lt;="&amp;D276,$D$5:$D$2004,"&gt;="&amp;C276)&gt;1,"Overlaps another row","OK"))))</f>
        <v/>
      </c>
      <c r="P276">
        <f>IF(A276="","",A276&amp;"|"&amp;IF(B276="","Standard",B276))</f>
        <v/>
      </c>
      <c r="Q276">
        <f>IF(AND(A276&lt;&gt;"",A276='Firm Search'!$C$7),COUNTIF($A$5:A276,'Firm Search'!$C$7),"")</f>
        <v/>
      </c>
    </row>
    <row r="277">
      <c r="A277" s="64" t="n"/>
      <c r="B277" s="64" t="n"/>
      <c r="C277" s="66" t="n"/>
      <c r="D277" s="66" t="n"/>
      <c r="E277" s="67" t="n"/>
      <c r="F277" s="67" t="n"/>
      <c r="G277" s="67" t="n"/>
      <c r="H277" s="67" t="n"/>
      <c r="I277" s="67" t="n"/>
      <c r="J277" s="67" t="n"/>
      <c r="K277" s="67" t="n"/>
      <c r="L277" s="67" t="n"/>
      <c r="M277" s="64" t="n"/>
      <c r="N277" s="66" t="n"/>
      <c r="O277" s="84">
        <f>IF(A277="","",IF(OR(C277="",D277=""),"Enter both dates",IF(D277&lt;C277,"To is before From",IF(COUNTIFS($P$5:$P$2004,P277,$C$5:$C$2004,"&lt;="&amp;D277,$D$5:$D$2004,"&gt;="&amp;C277)&gt;1,"Overlaps another row","OK"))))</f>
        <v/>
      </c>
      <c r="P277">
        <f>IF(A277="","",A277&amp;"|"&amp;IF(B277="","Standard",B277))</f>
        <v/>
      </c>
      <c r="Q277">
        <f>IF(AND(A277&lt;&gt;"",A277='Firm Search'!$C$7),COUNTIF($A$5:A277,'Firm Search'!$C$7),"")</f>
        <v/>
      </c>
    </row>
    <row r="278">
      <c r="A278" s="64" t="n"/>
      <c r="B278" s="64" t="n"/>
      <c r="C278" s="66" t="n"/>
      <c r="D278" s="66" t="n"/>
      <c r="E278" s="67" t="n"/>
      <c r="F278" s="67" t="n"/>
      <c r="G278" s="67" t="n"/>
      <c r="H278" s="67" t="n"/>
      <c r="I278" s="67" t="n"/>
      <c r="J278" s="67" t="n"/>
      <c r="K278" s="67" t="n"/>
      <c r="L278" s="67" t="n"/>
      <c r="M278" s="64" t="n"/>
      <c r="N278" s="66" t="n"/>
      <c r="O278" s="84">
        <f>IF(A278="","",IF(OR(C278="",D278=""),"Enter both dates",IF(D278&lt;C278,"To is before From",IF(COUNTIFS($P$5:$P$2004,P278,$C$5:$C$2004,"&lt;="&amp;D278,$D$5:$D$2004,"&gt;="&amp;C278)&gt;1,"Overlaps another row","OK"))))</f>
        <v/>
      </c>
      <c r="P278">
        <f>IF(A278="","",A278&amp;"|"&amp;IF(B278="","Standard",B278))</f>
        <v/>
      </c>
      <c r="Q278">
        <f>IF(AND(A278&lt;&gt;"",A278='Firm Search'!$C$7),COUNTIF($A$5:A278,'Firm Search'!$C$7),"")</f>
        <v/>
      </c>
    </row>
    <row r="279">
      <c r="A279" s="64" t="n"/>
      <c r="B279" s="64" t="n"/>
      <c r="C279" s="66" t="n"/>
      <c r="D279" s="66" t="n"/>
      <c r="E279" s="67" t="n"/>
      <c r="F279" s="67" t="n"/>
      <c r="G279" s="67" t="n"/>
      <c r="H279" s="67" t="n"/>
      <c r="I279" s="67" t="n"/>
      <c r="J279" s="67" t="n"/>
      <c r="K279" s="67" t="n"/>
      <c r="L279" s="67" t="n"/>
      <c r="M279" s="64" t="n"/>
      <c r="N279" s="66" t="n"/>
      <c r="O279" s="84">
        <f>IF(A279="","",IF(OR(C279="",D279=""),"Enter both dates",IF(D279&lt;C279,"To is before From",IF(COUNTIFS($P$5:$P$2004,P279,$C$5:$C$2004,"&lt;="&amp;D279,$D$5:$D$2004,"&gt;="&amp;C279)&gt;1,"Overlaps another row","OK"))))</f>
        <v/>
      </c>
      <c r="P279">
        <f>IF(A279="","",A279&amp;"|"&amp;IF(B279="","Standard",B279))</f>
        <v/>
      </c>
      <c r="Q279">
        <f>IF(AND(A279&lt;&gt;"",A279='Firm Search'!$C$7),COUNTIF($A$5:A279,'Firm Search'!$C$7),"")</f>
        <v/>
      </c>
    </row>
    <row r="280">
      <c r="A280" s="64" t="n"/>
      <c r="B280" s="64" t="n"/>
      <c r="C280" s="66" t="n"/>
      <c r="D280" s="66" t="n"/>
      <c r="E280" s="67" t="n"/>
      <c r="F280" s="67" t="n"/>
      <c r="G280" s="67" t="n"/>
      <c r="H280" s="67" t="n"/>
      <c r="I280" s="67" t="n"/>
      <c r="J280" s="67" t="n"/>
      <c r="K280" s="67" t="n"/>
      <c r="L280" s="67" t="n"/>
      <c r="M280" s="64" t="n"/>
      <c r="N280" s="66" t="n"/>
      <c r="O280" s="84">
        <f>IF(A280="","",IF(OR(C280="",D280=""),"Enter both dates",IF(D280&lt;C280,"To is before From",IF(COUNTIFS($P$5:$P$2004,P280,$C$5:$C$2004,"&lt;="&amp;D280,$D$5:$D$2004,"&gt;="&amp;C280)&gt;1,"Overlaps another row","OK"))))</f>
        <v/>
      </c>
      <c r="P280">
        <f>IF(A280="","",A280&amp;"|"&amp;IF(B280="","Standard",B280))</f>
        <v/>
      </c>
      <c r="Q280">
        <f>IF(AND(A280&lt;&gt;"",A280='Firm Search'!$C$7),COUNTIF($A$5:A280,'Firm Search'!$C$7),"")</f>
        <v/>
      </c>
    </row>
    <row r="281">
      <c r="A281" s="64" t="n"/>
      <c r="B281" s="64" t="n"/>
      <c r="C281" s="66" t="n"/>
      <c r="D281" s="66" t="n"/>
      <c r="E281" s="67" t="n"/>
      <c r="F281" s="67" t="n"/>
      <c r="G281" s="67" t="n"/>
      <c r="H281" s="67" t="n"/>
      <c r="I281" s="67" t="n"/>
      <c r="J281" s="67" t="n"/>
      <c r="K281" s="67" t="n"/>
      <c r="L281" s="67" t="n"/>
      <c r="M281" s="64" t="n"/>
      <c r="N281" s="66" t="n"/>
      <c r="O281" s="84">
        <f>IF(A281="","",IF(OR(C281="",D281=""),"Enter both dates",IF(D281&lt;C281,"To is before From",IF(COUNTIFS($P$5:$P$2004,P281,$C$5:$C$2004,"&lt;="&amp;D281,$D$5:$D$2004,"&gt;="&amp;C281)&gt;1,"Overlaps another row","OK"))))</f>
        <v/>
      </c>
      <c r="P281">
        <f>IF(A281="","",A281&amp;"|"&amp;IF(B281="","Standard",B281))</f>
        <v/>
      </c>
      <c r="Q281">
        <f>IF(AND(A281&lt;&gt;"",A281='Firm Search'!$C$7),COUNTIF($A$5:A281,'Firm Search'!$C$7),"")</f>
        <v/>
      </c>
    </row>
    <row r="282">
      <c r="A282" s="64" t="n"/>
      <c r="B282" s="64" t="n"/>
      <c r="C282" s="66" t="n"/>
      <c r="D282" s="66" t="n"/>
      <c r="E282" s="67" t="n"/>
      <c r="F282" s="67" t="n"/>
      <c r="G282" s="67" t="n"/>
      <c r="H282" s="67" t="n"/>
      <c r="I282" s="67" t="n"/>
      <c r="J282" s="67" t="n"/>
      <c r="K282" s="67" t="n"/>
      <c r="L282" s="67" t="n"/>
      <c r="M282" s="64" t="n"/>
      <c r="N282" s="66" t="n"/>
      <c r="O282" s="84">
        <f>IF(A282="","",IF(OR(C282="",D282=""),"Enter both dates",IF(D282&lt;C282,"To is before From",IF(COUNTIFS($P$5:$P$2004,P282,$C$5:$C$2004,"&lt;="&amp;D282,$D$5:$D$2004,"&gt;="&amp;C282)&gt;1,"Overlaps another row","OK"))))</f>
        <v/>
      </c>
      <c r="P282">
        <f>IF(A282="","",A282&amp;"|"&amp;IF(B282="","Standard",B282))</f>
        <v/>
      </c>
      <c r="Q282">
        <f>IF(AND(A282&lt;&gt;"",A282='Firm Search'!$C$7),COUNTIF($A$5:A282,'Firm Search'!$C$7),"")</f>
        <v/>
      </c>
    </row>
    <row r="283">
      <c r="A283" s="64" t="n"/>
      <c r="B283" s="64" t="n"/>
      <c r="C283" s="66" t="n"/>
      <c r="D283" s="66" t="n"/>
      <c r="E283" s="67" t="n"/>
      <c r="F283" s="67" t="n"/>
      <c r="G283" s="67" t="n"/>
      <c r="H283" s="67" t="n"/>
      <c r="I283" s="67" t="n"/>
      <c r="J283" s="67" t="n"/>
      <c r="K283" s="67" t="n"/>
      <c r="L283" s="67" t="n"/>
      <c r="M283" s="64" t="n"/>
      <c r="N283" s="66" t="n"/>
      <c r="O283" s="84">
        <f>IF(A283="","",IF(OR(C283="",D283=""),"Enter both dates",IF(D283&lt;C283,"To is before From",IF(COUNTIFS($P$5:$P$2004,P283,$C$5:$C$2004,"&lt;="&amp;D283,$D$5:$D$2004,"&gt;="&amp;C283)&gt;1,"Overlaps another row","OK"))))</f>
        <v/>
      </c>
      <c r="P283">
        <f>IF(A283="","",A283&amp;"|"&amp;IF(B283="","Standard",B283))</f>
        <v/>
      </c>
      <c r="Q283">
        <f>IF(AND(A283&lt;&gt;"",A283='Firm Search'!$C$7),COUNTIF($A$5:A283,'Firm Search'!$C$7),"")</f>
        <v/>
      </c>
    </row>
    <row r="284">
      <c r="A284" s="64" t="n"/>
      <c r="B284" s="64" t="n"/>
      <c r="C284" s="66" t="n"/>
      <c r="D284" s="66" t="n"/>
      <c r="E284" s="67" t="n"/>
      <c r="F284" s="67" t="n"/>
      <c r="G284" s="67" t="n"/>
      <c r="H284" s="67" t="n"/>
      <c r="I284" s="67" t="n"/>
      <c r="J284" s="67" t="n"/>
      <c r="K284" s="67" t="n"/>
      <c r="L284" s="67" t="n"/>
      <c r="M284" s="64" t="n"/>
      <c r="N284" s="66" t="n"/>
      <c r="O284" s="84">
        <f>IF(A284="","",IF(OR(C284="",D284=""),"Enter both dates",IF(D284&lt;C284,"To is before From",IF(COUNTIFS($P$5:$P$2004,P284,$C$5:$C$2004,"&lt;="&amp;D284,$D$5:$D$2004,"&gt;="&amp;C284)&gt;1,"Overlaps another row","OK"))))</f>
        <v/>
      </c>
      <c r="P284">
        <f>IF(A284="","",A284&amp;"|"&amp;IF(B284="","Standard",B284))</f>
        <v/>
      </c>
      <c r="Q284">
        <f>IF(AND(A284&lt;&gt;"",A284='Firm Search'!$C$7),COUNTIF($A$5:A284,'Firm Search'!$C$7),"")</f>
        <v/>
      </c>
    </row>
    <row r="285">
      <c r="A285" s="64" t="n"/>
      <c r="B285" s="64" t="n"/>
      <c r="C285" s="66" t="n"/>
      <c r="D285" s="66" t="n"/>
      <c r="E285" s="67" t="n"/>
      <c r="F285" s="67" t="n"/>
      <c r="G285" s="67" t="n"/>
      <c r="H285" s="67" t="n"/>
      <c r="I285" s="67" t="n"/>
      <c r="J285" s="67" t="n"/>
      <c r="K285" s="67" t="n"/>
      <c r="L285" s="67" t="n"/>
      <c r="M285" s="64" t="n"/>
      <c r="N285" s="66" t="n"/>
      <c r="O285" s="84">
        <f>IF(A285="","",IF(OR(C285="",D285=""),"Enter both dates",IF(D285&lt;C285,"To is before From",IF(COUNTIFS($P$5:$P$2004,P285,$C$5:$C$2004,"&lt;="&amp;D285,$D$5:$D$2004,"&gt;="&amp;C285)&gt;1,"Overlaps another row","OK"))))</f>
        <v/>
      </c>
      <c r="P285">
        <f>IF(A285="","",A285&amp;"|"&amp;IF(B285="","Standard",B285))</f>
        <v/>
      </c>
      <c r="Q285">
        <f>IF(AND(A285&lt;&gt;"",A285='Firm Search'!$C$7),COUNTIF($A$5:A285,'Firm Search'!$C$7),"")</f>
        <v/>
      </c>
    </row>
    <row r="286">
      <c r="A286" s="64" t="n"/>
      <c r="B286" s="64" t="n"/>
      <c r="C286" s="66" t="n"/>
      <c r="D286" s="66" t="n"/>
      <c r="E286" s="67" t="n"/>
      <c r="F286" s="67" t="n"/>
      <c r="G286" s="67" t="n"/>
      <c r="H286" s="67" t="n"/>
      <c r="I286" s="67" t="n"/>
      <c r="J286" s="67" t="n"/>
      <c r="K286" s="67" t="n"/>
      <c r="L286" s="67" t="n"/>
      <c r="M286" s="64" t="n"/>
      <c r="N286" s="66" t="n"/>
      <c r="O286" s="84">
        <f>IF(A286="","",IF(OR(C286="",D286=""),"Enter both dates",IF(D286&lt;C286,"To is before From",IF(COUNTIFS($P$5:$P$2004,P286,$C$5:$C$2004,"&lt;="&amp;D286,$D$5:$D$2004,"&gt;="&amp;C286)&gt;1,"Overlaps another row","OK"))))</f>
        <v/>
      </c>
      <c r="P286">
        <f>IF(A286="","",A286&amp;"|"&amp;IF(B286="","Standard",B286))</f>
        <v/>
      </c>
      <c r="Q286">
        <f>IF(AND(A286&lt;&gt;"",A286='Firm Search'!$C$7),COUNTIF($A$5:A286,'Firm Search'!$C$7),"")</f>
        <v/>
      </c>
    </row>
    <row r="287">
      <c r="A287" s="64" t="n"/>
      <c r="B287" s="64" t="n"/>
      <c r="C287" s="66" t="n"/>
      <c r="D287" s="66" t="n"/>
      <c r="E287" s="67" t="n"/>
      <c r="F287" s="67" t="n"/>
      <c r="G287" s="67" t="n"/>
      <c r="H287" s="67" t="n"/>
      <c r="I287" s="67" t="n"/>
      <c r="J287" s="67" t="n"/>
      <c r="K287" s="67" t="n"/>
      <c r="L287" s="67" t="n"/>
      <c r="M287" s="64" t="n"/>
      <c r="N287" s="66" t="n"/>
      <c r="O287" s="84">
        <f>IF(A287="","",IF(OR(C287="",D287=""),"Enter both dates",IF(D287&lt;C287,"To is before From",IF(COUNTIFS($P$5:$P$2004,P287,$C$5:$C$2004,"&lt;="&amp;D287,$D$5:$D$2004,"&gt;="&amp;C287)&gt;1,"Overlaps another row","OK"))))</f>
        <v/>
      </c>
      <c r="P287">
        <f>IF(A287="","",A287&amp;"|"&amp;IF(B287="","Standard",B287))</f>
        <v/>
      </c>
      <c r="Q287">
        <f>IF(AND(A287&lt;&gt;"",A287='Firm Search'!$C$7),COUNTIF($A$5:A287,'Firm Search'!$C$7),"")</f>
        <v/>
      </c>
    </row>
    <row r="288">
      <c r="A288" s="64" t="n"/>
      <c r="B288" s="64" t="n"/>
      <c r="C288" s="66" t="n"/>
      <c r="D288" s="66" t="n"/>
      <c r="E288" s="67" t="n"/>
      <c r="F288" s="67" t="n"/>
      <c r="G288" s="67" t="n"/>
      <c r="H288" s="67" t="n"/>
      <c r="I288" s="67" t="n"/>
      <c r="J288" s="67" t="n"/>
      <c r="K288" s="67" t="n"/>
      <c r="L288" s="67" t="n"/>
      <c r="M288" s="64" t="n"/>
      <c r="N288" s="66" t="n"/>
      <c r="O288" s="84">
        <f>IF(A288="","",IF(OR(C288="",D288=""),"Enter both dates",IF(D288&lt;C288,"To is before From",IF(COUNTIFS($P$5:$P$2004,P288,$C$5:$C$2004,"&lt;="&amp;D288,$D$5:$D$2004,"&gt;="&amp;C288)&gt;1,"Overlaps another row","OK"))))</f>
        <v/>
      </c>
      <c r="P288">
        <f>IF(A288="","",A288&amp;"|"&amp;IF(B288="","Standard",B288))</f>
        <v/>
      </c>
      <c r="Q288">
        <f>IF(AND(A288&lt;&gt;"",A288='Firm Search'!$C$7),COUNTIF($A$5:A288,'Firm Search'!$C$7),"")</f>
        <v/>
      </c>
    </row>
    <row r="289">
      <c r="A289" s="64" t="n"/>
      <c r="B289" s="64" t="n"/>
      <c r="C289" s="66" t="n"/>
      <c r="D289" s="66" t="n"/>
      <c r="E289" s="67" t="n"/>
      <c r="F289" s="67" t="n"/>
      <c r="G289" s="67" t="n"/>
      <c r="H289" s="67" t="n"/>
      <c r="I289" s="67" t="n"/>
      <c r="J289" s="67" t="n"/>
      <c r="K289" s="67" t="n"/>
      <c r="L289" s="67" t="n"/>
      <c r="M289" s="64" t="n"/>
      <c r="N289" s="66" t="n"/>
      <c r="O289" s="84">
        <f>IF(A289="","",IF(OR(C289="",D289=""),"Enter both dates",IF(D289&lt;C289,"To is before From",IF(COUNTIFS($P$5:$P$2004,P289,$C$5:$C$2004,"&lt;="&amp;D289,$D$5:$D$2004,"&gt;="&amp;C289)&gt;1,"Overlaps another row","OK"))))</f>
        <v/>
      </c>
      <c r="P289">
        <f>IF(A289="","",A289&amp;"|"&amp;IF(B289="","Standard",B289))</f>
        <v/>
      </c>
      <c r="Q289">
        <f>IF(AND(A289&lt;&gt;"",A289='Firm Search'!$C$7),COUNTIF($A$5:A289,'Firm Search'!$C$7),"")</f>
        <v/>
      </c>
    </row>
    <row r="290">
      <c r="A290" s="64" t="n"/>
      <c r="B290" s="64" t="n"/>
      <c r="C290" s="66" t="n"/>
      <c r="D290" s="66" t="n"/>
      <c r="E290" s="67" t="n"/>
      <c r="F290" s="67" t="n"/>
      <c r="G290" s="67" t="n"/>
      <c r="H290" s="67" t="n"/>
      <c r="I290" s="67" t="n"/>
      <c r="J290" s="67" t="n"/>
      <c r="K290" s="67" t="n"/>
      <c r="L290" s="67" t="n"/>
      <c r="M290" s="64" t="n"/>
      <c r="N290" s="66" t="n"/>
      <c r="O290" s="84">
        <f>IF(A290="","",IF(OR(C290="",D290=""),"Enter both dates",IF(D290&lt;C290,"To is before From",IF(COUNTIFS($P$5:$P$2004,P290,$C$5:$C$2004,"&lt;="&amp;D290,$D$5:$D$2004,"&gt;="&amp;C290)&gt;1,"Overlaps another row","OK"))))</f>
        <v/>
      </c>
      <c r="P290">
        <f>IF(A290="","",A290&amp;"|"&amp;IF(B290="","Standard",B290))</f>
        <v/>
      </c>
      <c r="Q290">
        <f>IF(AND(A290&lt;&gt;"",A290='Firm Search'!$C$7),COUNTIF($A$5:A290,'Firm Search'!$C$7),"")</f>
        <v/>
      </c>
    </row>
    <row r="291">
      <c r="A291" s="64" t="n"/>
      <c r="B291" s="64" t="n"/>
      <c r="C291" s="66" t="n"/>
      <c r="D291" s="66" t="n"/>
      <c r="E291" s="67" t="n"/>
      <c r="F291" s="67" t="n"/>
      <c r="G291" s="67" t="n"/>
      <c r="H291" s="67" t="n"/>
      <c r="I291" s="67" t="n"/>
      <c r="J291" s="67" t="n"/>
      <c r="K291" s="67" t="n"/>
      <c r="L291" s="67" t="n"/>
      <c r="M291" s="64" t="n"/>
      <c r="N291" s="66" t="n"/>
      <c r="O291" s="84">
        <f>IF(A291="","",IF(OR(C291="",D291=""),"Enter both dates",IF(D291&lt;C291,"To is before From",IF(COUNTIFS($P$5:$P$2004,P291,$C$5:$C$2004,"&lt;="&amp;D291,$D$5:$D$2004,"&gt;="&amp;C291)&gt;1,"Overlaps another row","OK"))))</f>
        <v/>
      </c>
      <c r="P291">
        <f>IF(A291="","",A291&amp;"|"&amp;IF(B291="","Standard",B291))</f>
        <v/>
      </c>
      <c r="Q291">
        <f>IF(AND(A291&lt;&gt;"",A291='Firm Search'!$C$7),COUNTIF($A$5:A291,'Firm Search'!$C$7),"")</f>
        <v/>
      </c>
    </row>
    <row r="292">
      <c r="A292" s="64" t="n"/>
      <c r="B292" s="64" t="n"/>
      <c r="C292" s="66" t="n"/>
      <c r="D292" s="66" t="n"/>
      <c r="E292" s="67" t="n"/>
      <c r="F292" s="67" t="n"/>
      <c r="G292" s="67" t="n"/>
      <c r="H292" s="67" t="n"/>
      <c r="I292" s="67" t="n"/>
      <c r="J292" s="67" t="n"/>
      <c r="K292" s="67" t="n"/>
      <c r="L292" s="67" t="n"/>
      <c r="M292" s="64" t="n"/>
      <c r="N292" s="66" t="n"/>
      <c r="O292" s="84">
        <f>IF(A292="","",IF(OR(C292="",D292=""),"Enter both dates",IF(D292&lt;C292,"To is before From",IF(COUNTIFS($P$5:$P$2004,P292,$C$5:$C$2004,"&lt;="&amp;D292,$D$5:$D$2004,"&gt;="&amp;C292)&gt;1,"Overlaps another row","OK"))))</f>
        <v/>
      </c>
      <c r="P292">
        <f>IF(A292="","",A292&amp;"|"&amp;IF(B292="","Standard",B292))</f>
        <v/>
      </c>
      <c r="Q292">
        <f>IF(AND(A292&lt;&gt;"",A292='Firm Search'!$C$7),COUNTIF($A$5:A292,'Firm Search'!$C$7),"")</f>
        <v/>
      </c>
    </row>
    <row r="293">
      <c r="A293" s="64" t="n"/>
      <c r="B293" s="64" t="n"/>
      <c r="C293" s="66" t="n"/>
      <c r="D293" s="66" t="n"/>
      <c r="E293" s="67" t="n"/>
      <c r="F293" s="67" t="n"/>
      <c r="G293" s="67" t="n"/>
      <c r="H293" s="67" t="n"/>
      <c r="I293" s="67" t="n"/>
      <c r="J293" s="67" t="n"/>
      <c r="K293" s="67" t="n"/>
      <c r="L293" s="67" t="n"/>
      <c r="M293" s="64" t="n"/>
      <c r="N293" s="66" t="n"/>
      <c r="O293" s="84">
        <f>IF(A293="","",IF(OR(C293="",D293=""),"Enter both dates",IF(D293&lt;C293,"To is before From",IF(COUNTIFS($P$5:$P$2004,P293,$C$5:$C$2004,"&lt;="&amp;D293,$D$5:$D$2004,"&gt;="&amp;C293)&gt;1,"Overlaps another row","OK"))))</f>
        <v/>
      </c>
      <c r="P293">
        <f>IF(A293="","",A293&amp;"|"&amp;IF(B293="","Standard",B293))</f>
        <v/>
      </c>
      <c r="Q293">
        <f>IF(AND(A293&lt;&gt;"",A293='Firm Search'!$C$7),COUNTIF($A$5:A293,'Firm Search'!$C$7),"")</f>
        <v/>
      </c>
    </row>
    <row r="294">
      <c r="A294" s="64" t="n"/>
      <c r="B294" s="64" t="n"/>
      <c r="C294" s="66" t="n"/>
      <c r="D294" s="66" t="n"/>
      <c r="E294" s="67" t="n"/>
      <c r="F294" s="67" t="n"/>
      <c r="G294" s="67" t="n"/>
      <c r="H294" s="67" t="n"/>
      <c r="I294" s="67" t="n"/>
      <c r="J294" s="67" t="n"/>
      <c r="K294" s="67" t="n"/>
      <c r="L294" s="67" t="n"/>
      <c r="M294" s="64" t="n"/>
      <c r="N294" s="66" t="n"/>
      <c r="O294" s="84">
        <f>IF(A294="","",IF(OR(C294="",D294=""),"Enter both dates",IF(D294&lt;C294,"To is before From",IF(COUNTIFS($P$5:$P$2004,P294,$C$5:$C$2004,"&lt;="&amp;D294,$D$5:$D$2004,"&gt;="&amp;C294)&gt;1,"Overlaps another row","OK"))))</f>
        <v/>
      </c>
      <c r="P294">
        <f>IF(A294="","",A294&amp;"|"&amp;IF(B294="","Standard",B294))</f>
        <v/>
      </c>
      <c r="Q294">
        <f>IF(AND(A294&lt;&gt;"",A294='Firm Search'!$C$7),COUNTIF($A$5:A294,'Firm Search'!$C$7),"")</f>
        <v/>
      </c>
    </row>
    <row r="295">
      <c r="A295" s="64" t="n"/>
      <c r="B295" s="64" t="n"/>
      <c r="C295" s="66" t="n"/>
      <c r="D295" s="66" t="n"/>
      <c r="E295" s="67" t="n"/>
      <c r="F295" s="67" t="n"/>
      <c r="G295" s="67" t="n"/>
      <c r="H295" s="67" t="n"/>
      <c r="I295" s="67" t="n"/>
      <c r="J295" s="67" t="n"/>
      <c r="K295" s="67" t="n"/>
      <c r="L295" s="67" t="n"/>
      <c r="M295" s="64" t="n"/>
      <c r="N295" s="66" t="n"/>
      <c r="O295" s="84">
        <f>IF(A295="","",IF(OR(C295="",D295=""),"Enter both dates",IF(D295&lt;C295,"To is before From",IF(COUNTIFS($P$5:$P$2004,P295,$C$5:$C$2004,"&lt;="&amp;D295,$D$5:$D$2004,"&gt;="&amp;C295)&gt;1,"Overlaps another row","OK"))))</f>
        <v/>
      </c>
      <c r="P295">
        <f>IF(A295="","",A295&amp;"|"&amp;IF(B295="","Standard",B295))</f>
        <v/>
      </c>
      <c r="Q295">
        <f>IF(AND(A295&lt;&gt;"",A295='Firm Search'!$C$7),COUNTIF($A$5:A295,'Firm Search'!$C$7),"")</f>
        <v/>
      </c>
    </row>
    <row r="296">
      <c r="A296" s="64" t="n"/>
      <c r="B296" s="64" t="n"/>
      <c r="C296" s="66" t="n"/>
      <c r="D296" s="66" t="n"/>
      <c r="E296" s="67" t="n"/>
      <c r="F296" s="67" t="n"/>
      <c r="G296" s="67" t="n"/>
      <c r="H296" s="67" t="n"/>
      <c r="I296" s="67" t="n"/>
      <c r="J296" s="67" t="n"/>
      <c r="K296" s="67" t="n"/>
      <c r="L296" s="67" t="n"/>
      <c r="M296" s="64" t="n"/>
      <c r="N296" s="66" t="n"/>
      <c r="O296" s="84">
        <f>IF(A296="","",IF(OR(C296="",D296=""),"Enter both dates",IF(D296&lt;C296,"To is before From",IF(COUNTIFS($P$5:$P$2004,P296,$C$5:$C$2004,"&lt;="&amp;D296,$D$5:$D$2004,"&gt;="&amp;C296)&gt;1,"Overlaps another row","OK"))))</f>
        <v/>
      </c>
      <c r="P296">
        <f>IF(A296="","",A296&amp;"|"&amp;IF(B296="","Standard",B296))</f>
        <v/>
      </c>
      <c r="Q296">
        <f>IF(AND(A296&lt;&gt;"",A296='Firm Search'!$C$7),COUNTIF($A$5:A296,'Firm Search'!$C$7),"")</f>
        <v/>
      </c>
    </row>
    <row r="297">
      <c r="A297" s="64" t="n"/>
      <c r="B297" s="64" t="n"/>
      <c r="C297" s="66" t="n"/>
      <c r="D297" s="66" t="n"/>
      <c r="E297" s="67" t="n"/>
      <c r="F297" s="67" t="n"/>
      <c r="G297" s="67" t="n"/>
      <c r="H297" s="67" t="n"/>
      <c r="I297" s="67" t="n"/>
      <c r="J297" s="67" t="n"/>
      <c r="K297" s="67" t="n"/>
      <c r="L297" s="67" t="n"/>
      <c r="M297" s="64" t="n"/>
      <c r="N297" s="66" t="n"/>
      <c r="O297" s="84">
        <f>IF(A297="","",IF(OR(C297="",D297=""),"Enter both dates",IF(D297&lt;C297,"To is before From",IF(COUNTIFS($P$5:$P$2004,P297,$C$5:$C$2004,"&lt;="&amp;D297,$D$5:$D$2004,"&gt;="&amp;C297)&gt;1,"Overlaps another row","OK"))))</f>
        <v/>
      </c>
      <c r="P297">
        <f>IF(A297="","",A297&amp;"|"&amp;IF(B297="","Standard",B297))</f>
        <v/>
      </c>
      <c r="Q297">
        <f>IF(AND(A297&lt;&gt;"",A297='Firm Search'!$C$7),COUNTIF($A$5:A297,'Firm Search'!$C$7),"")</f>
        <v/>
      </c>
    </row>
    <row r="298">
      <c r="A298" s="64" t="n"/>
      <c r="B298" s="64" t="n"/>
      <c r="C298" s="66" t="n"/>
      <c r="D298" s="66" t="n"/>
      <c r="E298" s="67" t="n"/>
      <c r="F298" s="67" t="n"/>
      <c r="G298" s="67" t="n"/>
      <c r="H298" s="67" t="n"/>
      <c r="I298" s="67" t="n"/>
      <c r="J298" s="67" t="n"/>
      <c r="K298" s="67" t="n"/>
      <c r="L298" s="67" t="n"/>
      <c r="M298" s="64" t="n"/>
      <c r="N298" s="66" t="n"/>
      <c r="O298" s="84">
        <f>IF(A298="","",IF(OR(C298="",D298=""),"Enter both dates",IF(D298&lt;C298,"To is before From",IF(COUNTIFS($P$5:$P$2004,P298,$C$5:$C$2004,"&lt;="&amp;D298,$D$5:$D$2004,"&gt;="&amp;C298)&gt;1,"Overlaps another row","OK"))))</f>
        <v/>
      </c>
      <c r="P298">
        <f>IF(A298="","",A298&amp;"|"&amp;IF(B298="","Standard",B298))</f>
        <v/>
      </c>
      <c r="Q298">
        <f>IF(AND(A298&lt;&gt;"",A298='Firm Search'!$C$7),COUNTIF($A$5:A298,'Firm Search'!$C$7),"")</f>
        <v/>
      </c>
    </row>
    <row r="299">
      <c r="A299" s="64" t="n"/>
      <c r="B299" s="64" t="n"/>
      <c r="C299" s="66" t="n"/>
      <c r="D299" s="66" t="n"/>
      <c r="E299" s="67" t="n"/>
      <c r="F299" s="67" t="n"/>
      <c r="G299" s="67" t="n"/>
      <c r="H299" s="67" t="n"/>
      <c r="I299" s="67" t="n"/>
      <c r="J299" s="67" t="n"/>
      <c r="K299" s="67" t="n"/>
      <c r="L299" s="67" t="n"/>
      <c r="M299" s="64" t="n"/>
      <c r="N299" s="66" t="n"/>
      <c r="O299" s="84">
        <f>IF(A299="","",IF(OR(C299="",D299=""),"Enter both dates",IF(D299&lt;C299,"To is before From",IF(COUNTIFS($P$5:$P$2004,P299,$C$5:$C$2004,"&lt;="&amp;D299,$D$5:$D$2004,"&gt;="&amp;C299)&gt;1,"Overlaps another row","OK"))))</f>
        <v/>
      </c>
      <c r="P299">
        <f>IF(A299="","",A299&amp;"|"&amp;IF(B299="","Standard",B299))</f>
        <v/>
      </c>
      <c r="Q299">
        <f>IF(AND(A299&lt;&gt;"",A299='Firm Search'!$C$7),COUNTIF($A$5:A299,'Firm Search'!$C$7),"")</f>
        <v/>
      </c>
    </row>
    <row r="300">
      <c r="A300" s="64" t="n"/>
      <c r="B300" s="64" t="n"/>
      <c r="C300" s="66" t="n"/>
      <c r="D300" s="66" t="n"/>
      <c r="E300" s="67" t="n"/>
      <c r="F300" s="67" t="n"/>
      <c r="G300" s="67" t="n"/>
      <c r="H300" s="67" t="n"/>
      <c r="I300" s="67" t="n"/>
      <c r="J300" s="67" t="n"/>
      <c r="K300" s="67" t="n"/>
      <c r="L300" s="67" t="n"/>
      <c r="M300" s="64" t="n"/>
      <c r="N300" s="66" t="n"/>
      <c r="O300" s="84">
        <f>IF(A300="","",IF(OR(C300="",D300=""),"Enter both dates",IF(D300&lt;C300,"To is before From",IF(COUNTIFS($P$5:$P$2004,P300,$C$5:$C$2004,"&lt;="&amp;D300,$D$5:$D$2004,"&gt;="&amp;C300)&gt;1,"Overlaps another row","OK"))))</f>
        <v/>
      </c>
      <c r="P300">
        <f>IF(A300="","",A300&amp;"|"&amp;IF(B300="","Standard",B300))</f>
        <v/>
      </c>
      <c r="Q300">
        <f>IF(AND(A300&lt;&gt;"",A300='Firm Search'!$C$7),COUNTIF($A$5:A300,'Firm Search'!$C$7),"")</f>
        <v/>
      </c>
    </row>
    <row r="301">
      <c r="A301" s="64" t="n"/>
      <c r="B301" s="64" t="n"/>
      <c r="C301" s="66" t="n"/>
      <c r="D301" s="66" t="n"/>
      <c r="E301" s="67" t="n"/>
      <c r="F301" s="67" t="n"/>
      <c r="G301" s="67" t="n"/>
      <c r="H301" s="67" t="n"/>
      <c r="I301" s="67" t="n"/>
      <c r="J301" s="67" t="n"/>
      <c r="K301" s="67" t="n"/>
      <c r="L301" s="67" t="n"/>
      <c r="M301" s="64" t="n"/>
      <c r="N301" s="66" t="n"/>
      <c r="O301" s="84">
        <f>IF(A301="","",IF(OR(C301="",D301=""),"Enter both dates",IF(D301&lt;C301,"To is before From",IF(COUNTIFS($P$5:$P$2004,P301,$C$5:$C$2004,"&lt;="&amp;D301,$D$5:$D$2004,"&gt;="&amp;C301)&gt;1,"Overlaps another row","OK"))))</f>
        <v/>
      </c>
      <c r="P301">
        <f>IF(A301="","",A301&amp;"|"&amp;IF(B301="","Standard",B301))</f>
        <v/>
      </c>
      <c r="Q301">
        <f>IF(AND(A301&lt;&gt;"",A301='Firm Search'!$C$7),COUNTIF($A$5:A301,'Firm Search'!$C$7),"")</f>
        <v/>
      </c>
    </row>
    <row r="302">
      <c r="A302" s="64" t="n"/>
      <c r="B302" s="64" t="n"/>
      <c r="C302" s="66" t="n"/>
      <c r="D302" s="66" t="n"/>
      <c r="E302" s="67" t="n"/>
      <c r="F302" s="67" t="n"/>
      <c r="G302" s="67" t="n"/>
      <c r="H302" s="67" t="n"/>
      <c r="I302" s="67" t="n"/>
      <c r="J302" s="67" t="n"/>
      <c r="K302" s="67" t="n"/>
      <c r="L302" s="67" t="n"/>
      <c r="M302" s="64" t="n"/>
      <c r="N302" s="66" t="n"/>
      <c r="O302" s="84">
        <f>IF(A302="","",IF(OR(C302="",D302=""),"Enter both dates",IF(D302&lt;C302,"To is before From",IF(COUNTIFS($P$5:$P$2004,P302,$C$5:$C$2004,"&lt;="&amp;D302,$D$5:$D$2004,"&gt;="&amp;C302)&gt;1,"Overlaps another row","OK"))))</f>
        <v/>
      </c>
      <c r="P302">
        <f>IF(A302="","",A302&amp;"|"&amp;IF(B302="","Standard",B302))</f>
        <v/>
      </c>
      <c r="Q302">
        <f>IF(AND(A302&lt;&gt;"",A302='Firm Search'!$C$7),COUNTIF($A$5:A302,'Firm Search'!$C$7),"")</f>
        <v/>
      </c>
    </row>
    <row r="303">
      <c r="A303" s="64" t="n"/>
      <c r="B303" s="64" t="n"/>
      <c r="C303" s="66" t="n"/>
      <c r="D303" s="66" t="n"/>
      <c r="E303" s="67" t="n"/>
      <c r="F303" s="67" t="n"/>
      <c r="G303" s="67" t="n"/>
      <c r="H303" s="67" t="n"/>
      <c r="I303" s="67" t="n"/>
      <c r="J303" s="67" t="n"/>
      <c r="K303" s="67" t="n"/>
      <c r="L303" s="67" t="n"/>
      <c r="M303" s="64" t="n"/>
      <c r="N303" s="66" t="n"/>
      <c r="O303" s="84">
        <f>IF(A303="","",IF(OR(C303="",D303=""),"Enter both dates",IF(D303&lt;C303,"To is before From",IF(COUNTIFS($P$5:$P$2004,P303,$C$5:$C$2004,"&lt;="&amp;D303,$D$5:$D$2004,"&gt;="&amp;C303)&gt;1,"Overlaps another row","OK"))))</f>
        <v/>
      </c>
      <c r="P303">
        <f>IF(A303="","",A303&amp;"|"&amp;IF(B303="","Standard",B303))</f>
        <v/>
      </c>
      <c r="Q303">
        <f>IF(AND(A303&lt;&gt;"",A303='Firm Search'!$C$7),COUNTIF($A$5:A303,'Firm Search'!$C$7),"")</f>
        <v/>
      </c>
    </row>
    <row r="304">
      <c r="A304" s="64" t="n"/>
      <c r="B304" s="64" t="n"/>
      <c r="C304" s="66" t="n"/>
      <c r="D304" s="66" t="n"/>
      <c r="E304" s="67" t="n"/>
      <c r="F304" s="67" t="n"/>
      <c r="G304" s="67" t="n"/>
      <c r="H304" s="67" t="n"/>
      <c r="I304" s="67" t="n"/>
      <c r="J304" s="67" t="n"/>
      <c r="K304" s="67" t="n"/>
      <c r="L304" s="67" t="n"/>
      <c r="M304" s="64" t="n"/>
      <c r="N304" s="66" t="n"/>
      <c r="O304" s="84">
        <f>IF(A304="","",IF(OR(C304="",D304=""),"Enter both dates",IF(D304&lt;C304,"To is before From",IF(COUNTIFS($P$5:$P$2004,P304,$C$5:$C$2004,"&lt;="&amp;D304,$D$5:$D$2004,"&gt;="&amp;C304)&gt;1,"Overlaps another row","OK"))))</f>
        <v/>
      </c>
      <c r="P304">
        <f>IF(A304="","",A304&amp;"|"&amp;IF(B304="","Standard",B304))</f>
        <v/>
      </c>
      <c r="Q304">
        <f>IF(AND(A304&lt;&gt;"",A304='Firm Search'!$C$7),COUNTIF($A$5:A304,'Firm Search'!$C$7),"")</f>
        <v/>
      </c>
    </row>
    <row r="305">
      <c r="A305" s="64" t="n"/>
      <c r="B305" s="64" t="n"/>
      <c r="C305" s="66" t="n"/>
      <c r="D305" s="66" t="n"/>
      <c r="E305" s="67" t="n"/>
      <c r="F305" s="67" t="n"/>
      <c r="G305" s="67" t="n"/>
      <c r="H305" s="67" t="n"/>
      <c r="I305" s="67" t="n"/>
      <c r="J305" s="67" t="n"/>
      <c r="K305" s="67" t="n"/>
      <c r="L305" s="67" t="n"/>
      <c r="M305" s="64" t="n"/>
      <c r="N305" s="66" t="n"/>
      <c r="O305" s="84">
        <f>IF(A305="","",IF(OR(C305="",D305=""),"Enter both dates",IF(D305&lt;C305,"To is before From",IF(COUNTIFS($P$5:$P$2004,P305,$C$5:$C$2004,"&lt;="&amp;D305,$D$5:$D$2004,"&gt;="&amp;C305)&gt;1,"Overlaps another row","OK"))))</f>
        <v/>
      </c>
      <c r="P305">
        <f>IF(A305="","",A305&amp;"|"&amp;IF(B305="","Standard",B305))</f>
        <v/>
      </c>
      <c r="Q305">
        <f>IF(AND(A305&lt;&gt;"",A305='Firm Search'!$C$7),COUNTIF($A$5:A305,'Firm Search'!$C$7),"")</f>
        <v/>
      </c>
    </row>
    <row r="306">
      <c r="A306" s="64" t="n"/>
      <c r="B306" s="64" t="n"/>
      <c r="C306" s="66" t="n"/>
      <c r="D306" s="66" t="n"/>
      <c r="E306" s="67" t="n"/>
      <c r="F306" s="67" t="n"/>
      <c r="G306" s="67" t="n"/>
      <c r="H306" s="67" t="n"/>
      <c r="I306" s="67" t="n"/>
      <c r="J306" s="67" t="n"/>
      <c r="K306" s="67" t="n"/>
      <c r="L306" s="67" t="n"/>
      <c r="M306" s="64" t="n"/>
      <c r="N306" s="66" t="n"/>
      <c r="O306" s="84">
        <f>IF(A306="","",IF(OR(C306="",D306=""),"Enter both dates",IF(D306&lt;C306,"To is before From",IF(COUNTIFS($P$5:$P$2004,P306,$C$5:$C$2004,"&lt;="&amp;D306,$D$5:$D$2004,"&gt;="&amp;C306)&gt;1,"Overlaps another row","OK"))))</f>
        <v/>
      </c>
      <c r="P306">
        <f>IF(A306="","",A306&amp;"|"&amp;IF(B306="","Standard",B306))</f>
        <v/>
      </c>
      <c r="Q306">
        <f>IF(AND(A306&lt;&gt;"",A306='Firm Search'!$C$7),COUNTIF($A$5:A306,'Firm Search'!$C$7),"")</f>
        <v/>
      </c>
    </row>
    <row r="307">
      <c r="A307" s="64" t="n"/>
      <c r="B307" s="64" t="n"/>
      <c r="C307" s="66" t="n"/>
      <c r="D307" s="66" t="n"/>
      <c r="E307" s="67" t="n"/>
      <c r="F307" s="67" t="n"/>
      <c r="G307" s="67" t="n"/>
      <c r="H307" s="67" t="n"/>
      <c r="I307" s="67" t="n"/>
      <c r="J307" s="67" t="n"/>
      <c r="K307" s="67" t="n"/>
      <c r="L307" s="67" t="n"/>
      <c r="M307" s="64" t="n"/>
      <c r="N307" s="66" t="n"/>
      <c r="O307" s="84">
        <f>IF(A307="","",IF(OR(C307="",D307=""),"Enter both dates",IF(D307&lt;C307,"To is before From",IF(COUNTIFS($P$5:$P$2004,P307,$C$5:$C$2004,"&lt;="&amp;D307,$D$5:$D$2004,"&gt;="&amp;C307)&gt;1,"Overlaps another row","OK"))))</f>
        <v/>
      </c>
      <c r="P307">
        <f>IF(A307="","",A307&amp;"|"&amp;IF(B307="","Standard",B307))</f>
        <v/>
      </c>
      <c r="Q307">
        <f>IF(AND(A307&lt;&gt;"",A307='Firm Search'!$C$7),COUNTIF($A$5:A307,'Firm Search'!$C$7),"")</f>
        <v/>
      </c>
    </row>
    <row r="308">
      <c r="A308" s="64" t="n"/>
      <c r="B308" s="64" t="n"/>
      <c r="C308" s="66" t="n"/>
      <c r="D308" s="66" t="n"/>
      <c r="E308" s="67" t="n"/>
      <c r="F308" s="67" t="n"/>
      <c r="G308" s="67" t="n"/>
      <c r="H308" s="67" t="n"/>
      <c r="I308" s="67" t="n"/>
      <c r="J308" s="67" t="n"/>
      <c r="K308" s="67" t="n"/>
      <c r="L308" s="67" t="n"/>
      <c r="M308" s="64" t="n"/>
      <c r="N308" s="66" t="n"/>
      <c r="O308" s="84">
        <f>IF(A308="","",IF(OR(C308="",D308=""),"Enter both dates",IF(D308&lt;C308,"To is before From",IF(COUNTIFS($P$5:$P$2004,P308,$C$5:$C$2004,"&lt;="&amp;D308,$D$5:$D$2004,"&gt;="&amp;C308)&gt;1,"Overlaps another row","OK"))))</f>
        <v/>
      </c>
      <c r="P308">
        <f>IF(A308="","",A308&amp;"|"&amp;IF(B308="","Standard",B308))</f>
        <v/>
      </c>
      <c r="Q308">
        <f>IF(AND(A308&lt;&gt;"",A308='Firm Search'!$C$7),COUNTIF($A$5:A308,'Firm Search'!$C$7),"")</f>
        <v/>
      </c>
    </row>
    <row r="309">
      <c r="A309" s="64" t="n"/>
      <c r="B309" s="64" t="n"/>
      <c r="C309" s="66" t="n"/>
      <c r="D309" s="66" t="n"/>
      <c r="E309" s="67" t="n"/>
      <c r="F309" s="67" t="n"/>
      <c r="G309" s="67" t="n"/>
      <c r="H309" s="67" t="n"/>
      <c r="I309" s="67" t="n"/>
      <c r="J309" s="67" t="n"/>
      <c r="K309" s="67" t="n"/>
      <c r="L309" s="67" t="n"/>
      <c r="M309" s="64" t="n"/>
      <c r="N309" s="66" t="n"/>
      <c r="O309" s="84">
        <f>IF(A309="","",IF(OR(C309="",D309=""),"Enter both dates",IF(D309&lt;C309,"To is before From",IF(COUNTIFS($P$5:$P$2004,P309,$C$5:$C$2004,"&lt;="&amp;D309,$D$5:$D$2004,"&gt;="&amp;C309)&gt;1,"Overlaps another row","OK"))))</f>
        <v/>
      </c>
      <c r="P309">
        <f>IF(A309="","",A309&amp;"|"&amp;IF(B309="","Standard",B309))</f>
        <v/>
      </c>
      <c r="Q309">
        <f>IF(AND(A309&lt;&gt;"",A309='Firm Search'!$C$7),COUNTIF($A$5:A309,'Firm Search'!$C$7),"")</f>
        <v/>
      </c>
    </row>
    <row r="310">
      <c r="A310" s="64" t="n"/>
      <c r="B310" s="64" t="n"/>
      <c r="C310" s="66" t="n"/>
      <c r="D310" s="66" t="n"/>
      <c r="E310" s="67" t="n"/>
      <c r="F310" s="67" t="n"/>
      <c r="G310" s="67" t="n"/>
      <c r="H310" s="67" t="n"/>
      <c r="I310" s="67" t="n"/>
      <c r="J310" s="67" t="n"/>
      <c r="K310" s="67" t="n"/>
      <c r="L310" s="67" t="n"/>
      <c r="M310" s="64" t="n"/>
      <c r="N310" s="66" t="n"/>
      <c r="O310" s="84">
        <f>IF(A310="","",IF(OR(C310="",D310=""),"Enter both dates",IF(D310&lt;C310,"To is before From",IF(COUNTIFS($P$5:$P$2004,P310,$C$5:$C$2004,"&lt;="&amp;D310,$D$5:$D$2004,"&gt;="&amp;C310)&gt;1,"Overlaps another row","OK"))))</f>
        <v/>
      </c>
      <c r="P310">
        <f>IF(A310="","",A310&amp;"|"&amp;IF(B310="","Standard",B310))</f>
        <v/>
      </c>
      <c r="Q310">
        <f>IF(AND(A310&lt;&gt;"",A310='Firm Search'!$C$7),COUNTIF($A$5:A310,'Firm Search'!$C$7),"")</f>
        <v/>
      </c>
    </row>
    <row r="311">
      <c r="A311" s="64" t="n"/>
      <c r="B311" s="64" t="n"/>
      <c r="C311" s="66" t="n"/>
      <c r="D311" s="66" t="n"/>
      <c r="E311" s="67" t="n"/>
      <c r="F311" s="67" t="n"/>
      <c r="G311" s="67" t="n"/>
      <c r="H311" s="67" t="n"/>
      <c r="I311" s="67" t="n"/>
      <c r="J311" s="67" t="n"/>
      <c r="K311" s="67" t="n"/>
      <c r="L311" s="67" t="n"/>
      <c r="M311" s="64" t="n"/>
      <c r="N311" s="66" t="n"/>
      <c r="O311" s="84">
        <f>IF(A311="","",IF(OR(C311="",D311=""),"Enter both dates",IF(D311&lt;C311,"To is before From",IF(COUNTIFS($P$5:$P$2004,P311,$C$5:$C$2004,"&lt;="&amp;D311,$D$5:$D$2004,"&gt;="&amp;C311)&gt;1,"Overlaps another row","OK"))))</f>
        <v/>
      </c>
      <c r="P311">
        <f>IF(A311="","",A311&amp;"|"&amp;IF(B311="","Standard",B311))</f>
        <v/>
      </c>
      <c r="Q311">
        <f>IF(AND(A311&lt;&gt;"",A311='Firm Search'!$C$7),COUNTIF($A$5:A311,'Firm Search'!$C$7),"")</f>
        <v/>
      </c>
    </row>
    <row r="312">
      <c r="A312" s="64" t="n"/>
      <c r="B312" s="64" t="n"/>
      <c r="C312" s="66" t="n"/>
      <c r="D312" s="66" t="n"/>
      <c r="E312" s="67" t="n"/>
      <c r="F312" s="67" t="n"/>
      <c r="G312" s="67" t="n"/>
      <c r="H312" s="67" t="n"/>
      <c r="I312" s="67" t="n"/>
      <c r="J312" s="67" t="n"/>
      <c r="K312" s="67" t="n"/>
      <c r="L312" s="67" t="n"/>
      <c r="M312" s="64" t="n"/>
      <c r="N312" s="66" t="n"/>
      <c r="O312" s="84">
        <f>IF(A312="","",IF(OR(C312="",D312=""),"Enter both dates",IF(D312&lt;C312,"To is before From",IF(COUNTIFS($P$5:$P$2004,P312,$C$5:$C$2004,"&lt;="&amp;D312,$D$5:$D$2004,"&gt;="&amp;C312)&gt;1,"Overlaps another row","OK"))))</f>
        <v/>
      </c>
      <c r="P312">
        <f>IF(A312="","",A312&amp;"|"&amp;IF(B312="","Standard",B312))</f>
        <v/>
      </c>
      <c r="Q312">
        <f>IF(AND(A312&lt;&gt;"",A312='Firm Search'!$C$7),COUNTIF($A$5:A312,'Firm Search'!$C$7),"")</f>
        <v/>
      </c>
    </row>
    <row r="313">
      <c r="A313" s="64" t="n"/>
      <c r="B313" s="64" t="n"/>
      <c r="C313" s="66" t="n"/>
      <c r="D313" s="66" t="n"/>
      <c r="E313" s="67" t="n"/>
      <c r="F313" s="67" t="n"/>
      <c r="G313" s="67" t="n"/>
      <c r="H313" s="67" t="n"/>
      <c r="I313" s="67" t="n"/>
      <c r="J313" s="67" t="n"/>
      <c r="K313" s="67" t="n"/>
      <c r="L313" s="67" t="n"/>
      <c r="M313" s="64" t="n"/>
      <c r="N313" s="66" t="n"/>
      <c r="O313" s="84">
        <f>IF(A313="","",IF(OR(C313="",D313=""),"Enter both dates",IF(D313&lt;C313,"To is before From",IF(COUNTIFS($P$5:$P$2004,P313,$C$5:$C$2004,"&lt;="&amp;D313,$D$5:$D$2004,"&gt;="&amp;C313)&gt;1,"Overlaps another row","OK"))))</f>
        <v/>
      </c>
      <c r="P313">
        <f>IF(A313="","",A313&amp;"|"&amp;IF(B313="","Standard",B313))</f>
        <v/>
      </c>
      <c r="Q313">
        <f>IF(AND(A313&lt;&gt;"",A313='Firm Search'!$C$7),COUNTIF($A$5:A313,'Firm Search'!$C$7),"")</f>
        <v/>
      </c>
    </row>
    <row r="314">
      <c r="A314" s="64" t="n"/>
      <c r="B314" s="64" t="n"/>
      <c r="C314" s="66" t="n"/>
      <c r="D314" s="66" t="n"/>
      <c r="E314" s="67" t="n"/>
      <c r="F314" s="67" t="n"/>
      <c r="G314" s="67" t="n"/>
      <c r="H314" s="67" t="n"/>
      <c r="I314" s="67" t="n"/>
      <c r="J314" s="67" t="n"/>
      <c r="K314" s="67" t="n"/>
      <c r="L314" s="67" t="n"/>
      <c r="M314" s="64" t="n"/>
      <c r="N314" s="66" t="n"/>
      <c r="O314" s="84">
        <f>IF(A314="","",IF(OR(C314="",D314=""),"Enter both dates",IF(D314&lt;C314,"To is before From",IF(COUNTIFS($P$5:$P$2004,P314,$C$5:$C$2004,"&lt;="&amp;D314,$D$5:$D$2004,"&gt;="&amp;C314)&gt;1,"Overlaps another row","OK"))))</f>
        <v/>
      </c>
      <c r="P314">
        <f>IF(A314="","",A314&amp;"|"&amp;IF(B314="","Standard",B314))</f>
        <v/>
      </c>
      <c r="Q314">
        <f>IF(AND(A314&lt;&gt;"",A314='Firm Search'!$C$7),COUNTIF($A$5:A314,'Firm Search'!$C$7),"")</f>
        <v/>
      </c>
    </row>
    <row r="315">
      <c r="A315" s="64" t="n"/>
      <c r="B315" s="64" t="n"/>
      <c r="C315" s="66" t="n"/>
      <c r="D315" s="66" t="n"/>
      <c r="E315" s="67" t="n"/>
      <c r="F315" s="67" t="n"/>
      <c r="G315" s="67" t="n"/>
      <c r="H315" s="67" t="n"/>
      <c r="I315" s="67" t="n"/>
      <c r="J315" s="67" t="n"/>
      <c r="K315" s="67" t="n"/>
      <c r="L315" s="67" t="n"/>
      <c r="M315" s="64" t="n"/>
      <c r="N315" s="66" t="n"/>
      <c r="O315" s="84">
        <f>IF(A315="","",IF(OR(C315="",D315=""),"Enter both dates",IF(D315&lt;C315,"To is before From",IF(COUNTIFS($P$5:$P$2004,P315,$C$5:$C$2004,"&lt;="&amp;D315,$D$5:$D$2004,"&gt;="&amp;C315)&gt;1,"Overlaps another row","OK"))))</f>
        <v/>
      </c>
      <c r="P315">
        <f>IF(A315="","",A315&amp;"|"&amp;IF(B315="","Standard",B315))</f>
        <v/>
      </c>
      <c r="Q315">
        <f>IF(AND(A315&lt;&gt;"",A315='Firm Search'!$C$7),COUNTIF($A$5:A315,'Firm Search'!$C$7),"")</f>
        <v/>
      </c>
    </row>
    <row r="316">
      <c r="A316" s="64" t="n"/>
      <c r="B316" s="64" t="n"/>
      <c r="C316" s="66" t="n"/>
      <c r="D316" s="66" t="n"/>
      <c r="E316" s="67" t="n"/>
      <c r="F316" s="67" t="n"/>
      <c r="G316" s="67" t="n"/>
      <c r="H316" s="67" t="n"/>
      <c r="I316" s="67" t="n"/>
      <c r="J316" s="67" t="n"/>
      <c r="K316" s="67" t="n"/>
      <c r="L316" s="67" t="n"/>
      <c r="M316" s="64" t="n"/>
      <c r="N316" s="66" t="n"/>
      <c r="O316" s="84">
        <f>IF(A316="","",IF(OR(C316="",D316=""),"Enter both dates",IF(D316&lt;C316,"To is before From",IF(COUNTIFS($P$5:$P$2004,P316,$C$5:$C$2004,"&lt;="&amp;D316,$D$5:$D$2004,"&gt;="&amp;C316)&gt;1,"Overlaps another row","OK"))))</f>
        <v/>
      </c>
      <c r="P316">
        <f>IF(A316="","",A316&amp;"|"&amp;IF(B316="","Standard",B316))</f>
        <v/>
      </c>
      <c r="Q316">
        <f>IF(AND(A316&lt;&gt;"",A316='Firm Search'!$C$7),COUNTIF($A$5:A316,'Firm Search'!$C$7),"")</f>
        <v/>
      </c>
    </row>
    <row r="317">
      <c r="A317" s="64" t="n"/>
      <c r="B317" s="64" t="n"/>
      <c r="C317" s="66" t="n"/>
      <c r="D317" s="66" t="n"/>
      <c r="E317" s="67" t="n"/>
      <c r="F317" s="67" t="n"/>
      <c r="G317" s="67" t="n"/>
      <c r="H317" s="67" t="n"/>
      <c r="I317" s="67" t="n"/>
      <c r="J317" s="67" t="n"/>
      <c r="K317" s="67" t="n"/>
      <c r="L317" s="67" t="n"/>
      <c r="M317" s="64" t="n"/>
      <c r="N317" s="66" t="n"/>
      <c r="O317" s="84">
        <f>IF(A317="","",IF(OR(C317="",D317=""),"Enter both dates",IF(D317&lt;C317,"To is before From",IF(COUNTIFS($P$5:$P$2004,P317,$C$5:$C$2004,"&lt;="&amp;D317,$D$5:$D$2004,"&gt;="&amp;C317)&gt;1,"Overlaps another row","OK"))))</f>
        <v/>
      </c>
      <c r="P317">
        <f>IF(A317="","",A317&amp;"|"&amp;IF(B317="","Standard",B317))</f>
        <v/>
      </c>
      <c r="Q317">
        <f>IF(AND(A317&lt;&gt;"",A317='Firm Search'!$C$7),COUNTIF($A$5:A317,'Firm Search'!$C$7),"")</f>
        <v/>
      </c>
    </row>
    <row r="318">
      <c r="A318" s="64" t="n"/>
      <c r="B318" s="64" t="n"/>
      <c r="C318" s="66" t="n"/>
      <c r="D318" s="66" t="n"/>
      <c r="E318" s="67" t="n"/>
      <c r="F318" s="67" t="n"/>
      <c r="G318" s="67" t="n"/>
      <c r="H318" s="67" t="n"/>
      <c r="I318" s="67" t="n"/>
      <c r="J318" s="67" t="n"/>
      <c r="K318" s="67" t="n"/>
      <c r="L318" s="67" t="n"/>
      <c r="M318" s="64" t="n"/>
      <c r="N318" s="66" t="n"/>
      <c r="O318" s="84">
        <f>IF(A318="","",IF(OR(C318="",D318=""),"Enter both dates",IF(D318&lt;C318,"To is before From",IF(COUNTIFS($P$5:$P$2004,P318,$C$5:$C$2004,"&lt;="&amp;D318,$D$5:$D$2004,"&gt;="&amp;C318)&gt;1,"Overlaps another row","OK"))))</f>
        <v/>
      </c>
      <c r="P318">
        <f>IF(A318="","",A318&amp;"|"&amp;IF(B318="","Standard",B318))</f>
        <v/>
      </c>
      <c r="Q318">
        <f>IF(AND(A318&lt;&gt;"",A318='Firm Search'!$C$7),COUNTIF($A$5:A318,'Firm Search'!$C$7),"")</f>
        <v/>
      </c>
    </row>
    <row r="319">
      <c r="A319" s="64" t="n"/>
      <c r="B319" s="64" t="n"/>
      <c r="C319" s="66" t="n"/>
      <c r="D319" s="66" t="n"/>
      <c r="E319" s="67" t="n"/>
      <c r="F319" s="67" t="n"/>
      <c r="G319" s="67" t="n"/>
      <c r="H319" s="67" t="n"/>
      <c r="I319" s="67" t="n"/>
      <c r="J319" s="67" t="n"/>
      <c r="K319" s="67" t="n"/>
      <c r="L319" s="67" t="n"/>
      <c r="M319" s="64" t="n"/>
      <c r="N319" s="66" t="n"/>
      <c r="O319" s="84">
        <f>IF(A319="","",IF(OR(C319="",D319=""),"Enter both dates",IF(D319&lt;C319,"To is before From",IF(COUNTIFS($P$5:$P$2004,P319,$C$5:$C$2004,"&lt;="&amp;D319,$D$5:$D$2004,"&gt;="&amp;C319)&gt;1,"Overlaps another row","OK"))))</f>
        <v/>
      </c>
      <c r="P319">
        <f>IF(A319="","",A319&amp;"|"&amp;IF(B319="","Standard",B319))</f>
        <v/>
      </c>
      <c r="Q319">
        <f>IF(AND(A319&lt;&gt;"",A319='Firm Search'!$C$7),COUNTIF($A$5:A319,'Firm Search'!$C$7),"")</f>
        <v/>
      </c>
    </row>
    <row r="320">
      <c r="A320" s="64" t="n"/>
      <c r="B320" s="64" t="n"/>
      <c r="C320" s="66" t="n"/>
      <c r="D320" s="66" t="n"/>
      <c r="E320" s="67" t="n"/>
      <c r="F320" s="67" t="n"/>
      <c r="G320" s="67" t="n"/>
      <c r="H320" s="67" t="n"/>
      <c r="I320" s="67" t="n"/>
      <c r="J320" s="67" t="n"/>
      <c r="K320" s="67" t="n"/>
      <c r="L320" s="67" t="n"/>
      <c r="M320" s="64" t="n"/>
      <c r="N320" s="66" t="n"/>
      <c r="O320" s="84">
        <f>IF(A320="","",IF(OR(C320="",D320=""),"Enter both dates",IF(D320&lt;C320,"To is before From",IF(COUNTIFS($P$5:$P$2004,P320,$C$5:$C$2004,"&lt;="&amp;D320,$D$5:$D$2004,"&gt;="&amp;C320)&gt;1,"Overlaps another row","OK"))))</f>
        <v/>
      </c>
      <c r="P320">
        <f>IF(A320="","",A320&amp;"|"&amp;IF(B320="","Standard",B320))</f>
        <v/>
      </c>
      <c r="Q320">
        <f>IF(AND(A320&lt;&gt;"",A320='Firm Search'!$C$7),COUNTIF($A$5:A320,'Firm Search'!$C$7),"")</f>
        <v/>
      </c>
    </row>
    <row r="321">
      <c r="A321" s="64" t="n"/>
      <c r="B321" s="64" t="n"/>
      <c r="C321" s="66" t="n"/>
      <c r="D321" s="66" t="n"/>
      <c r="E321" s="67" t="n"/>
      <c r="F321" s="67" t="n"/>
      <c r="G321" s="67" t="n"/>
      <c r="H321" s="67" t="n"/>
      <c r="I321" s="67" t="n"/>
      <c r="J321" s="67" t="n"/>
      <c r="K321" s="67" t="n"/>
      <c r="L321" s="67" t="n"/>
      <c r="M321" s="64" t="n"/>
      <c r="N321" s="66" t="n"/>
      <c r="O321" s="84">
        <f>IF(A321="","",IF(OR(C321="",D321=""),"Enter both dates",IF(D321&lt;C321,"To is before From",IF(COUNTIFS($P$5:$P$2004,P321,$C$5:$C$2004,"&lt;="&amp;D321,$D$5:$D$2004,"&gt;="&amp;C321)&gt;1,"Overlaps another row","OK"))))</f>
        <v/>
      </c>
      <c r="P321">
        <f>IF(A321="","",A321&amp;"|"&amp;IF(B321="","Standard",B321))</f>
        <v/>
      </c>
      <c r="Q321">
        <f>IF(AND(A321&lt;&gt;"",A321='Firm Search'!$C$7),COUNTIF($A$5:A321,'Firm Search'!$C$7),"")</f>
        <v/>
      </c>
    </row>
    <row r="322">
      <c r="A322" s="64" t="n"/>
      <c r="B322" s="64" t="n"/>
      <c r="C322" s="66" t="n"/>
      <c r="D322" s="66" t="n"/>
      <c r="E322" s="67" t="n"/>
      <c r="F322" s="67" t="n"/>
      <c r="G322" s="67" t="n"/>
      <c r="H322" s="67" t="n"/>
      <c r="I322" s="67" t="n"/>
      <c r="J322" s="67" t="n"/>
      <c r="K322" s="67" t="n"/>
      <c r="L322" s="67" t="n"/>
      <c r="M322" s="64" t="n"/>
      <c r="N322" s="66" t="n"/>
      <c r="O322" s="84">
        <f>IF(A322="","",IF(OR(C322="",D322=""),"Enter both dates",IF(D322&lt;C322,"To is before From",IF(COUNTIFS($P$5:$P$2004,P322,$C$5:$C$2004,"&lt;="&amp;D322,$D$5:$D$2004,"&gt;="&amp;C322)&gt;1,"Overlaps another row","OK"))))</f>
        <v/>
      </c>
      <c r="P322">
        <f>IF(A322="","",A322&amp;"|"&amp;IF(B322="","Standard",B322))</f>
        <v/>
      </c>
      <c r="Q322">
        <f>IF(AND(A322&lt;&gt;"",A322='Firm Search'!$C$7),COUNTIF($A$5:A322,'Firm Search'!$C$7),"")</f>
        <v/>
      </c>
    </row>
    <row r="323">
      <c r="A323" s="64" t="n"/>
      <c r="B323" s="64" t="n"/>
      <c r="C323" s="66" t="n"/>
      <c r="D323" s="66" t="n"/>
      <c r="E323" s="67" t="n"/>
      <c r="F323" s="67" t="n"/>
      <c r="G323" s="67" t="n"/>
      <c r="H323" s="67" t="n"/>
      <c r="I323" s="67" t="n"/>
      <c r="J323" s="67" t="n"/>
      <c r="K323" s="67" t="n"/>
      <c r="L323" s="67" t="n"/>
      <c r="M323" s="64" t="n"/>
      <c r="N323" s="66" t="n"/>
      <c r="O323" s="84">
        <f>IF(A323="","",IF(OR(C323="",D323=""),"Enter both dates",IF(D323&lt;C323,"To is before From",IF(COUNTIFS($P$5:$P$2004,P323,$C$5:$C$2004,"&lt;="&amp;D323,$D$5:$D$2004,"&gt;="&amp;C323)&gt;1,"Overlaps another row","OK"))))</f>
        <v/>
      </c>
      <c r="P323">
        <f>IF(A323="","",A323&amp;"|"&amp;IF(B323="","Standard",B323))</f>
        <v/>
      </c>
      <c r="Q323">
        <f>IF(AND(A323&lt;&gt;"",A323='Firm Search'!$C$7),COUNTIF($A$5:A323,'Firm Search'!$C$7),"")</f>
        <v/>
      </c>
    </row>
    <row r="324">
      <c r="A324" s="64" t="n"/>
      <c r="B324" s="64" t="n"/>
      <c r="C324" s="66" t="n"/>
      <c r="D324" s="66" t="n"/>
      <c r="E324" s="67" t="n"/>
      <c r="F324" s="67" t="n"/>
      <c r="G324" s="67" t="n"/>
      <c r="H324" s="67" t="n"/>
      <c r="I324" s="67" t="n"/>
      <c r="J324" s="67" t="n"/>
      <c r="K324" s="67" t="n"/>
      <c r="L324" s="67" t="n"/>
      <c r="M324" s="64" t="n"/>
      <c r="N324" s="66" t="n"/>
      <c r="O324" s="84">
        <f>IF(A324="","",IF(OR(C324="",D324=""),"Enter both dates",IF(D324&lt;C324,"To is before From",IF(COUNTIFS($P$5:$P$2004,P324,$C$5:$C$2004,"&lt;="&amp;D324,$D$5:$D$2004,"&gt;="&amp;C324)&gt;1,"Overlaps another row","OK"))))</f>
        <v/>
      </c>
      <c r="P324">
        <f>IF(A324="","",A324&amp;"|"&amp;IF(B324="","Standard",B324))</f>
        <v/>
      </c>
      <c r="Q324">
        <f>IF(AND(A324&lt;&gt;"",A324='Firm Search'!$C$7),COUNTIF($A$5:A324,'Firm Search'!$C$7),"")</f>
        <v/>
      </c>
    </row>
    <row r="325">
      <c r="A325" s="64" t="n"/>
      <c r="B325" s="64" t="n"/>
      <c r="C325" s="66" t="n"/>
      <c r="D325" s="66" t="n"/>
      <c r="E325" s="67" t="n"/>
      <c r="F325" s="67" t="n"/>
      <c r="G325" s="67" t="n"/>
      <c r="H325" s="67" t="n"/>
      <c r="I325" s="67" t="n"/>
      <c r="J325" s="67" t="n"/>
      <c r="K325" s="67" t="n"/>
      <c r="L325" s="67" t="n"/>
      <c r="M325" s="64" t="n"/>
      <c r="N325" s="66" t="n"/>
      <c r="O325" s="84">
        <f>IF(A325="","",IF(OR(C325="",D325=""),"Enter both dates",IF(D325&lt;C325,"To is before From",IF(COUNTIFS($P$5:$P$2004,P325,$C$5:$C$2004,"&lt;="&amp;D325,$D$5:$D$2004,"&gt;="&amp;C325)&gt;1,"Overlaps another row","OK"))))</f>
        <v/>
      </c>
      <c r="P325">
        <f>IF(A325="","",A325&amp;"|"&amp;IF(B325="","Standard",B325))</f>
        <v/>
      </c>
      <c r="Q325">
        <f>IF(AND(A325&lt;&gt;"",A325='Firm Search'!$C$7),COUNTIF($A$5:A325,'Firm Search'!$C$7),"")</f>
        <v/>
      </c>
    </row>
    <row r="326">
      <c r="A326" s="64" t="n"/>
      <c r="B326" s="64" t="n"/>
      <c r="C326" s="66" t="n"/>
      <c r="D326" s="66" t="n"/>
      <c r="E326" s="67" t="n"/>
      <c r="F326" s="67" t="n"/>
      <c r="G326" s="67" t="n"/>
      <c r="H326" s="67" t="n"/>
      <c r="I326" s="67" t="n"/>
      <c r="J326" s="67" t="n"/>
      <c r="K326" s="67" t="n"/>
      <c r="L326" s="67" t="n"/>
      <c r="M326" s="64" t="n"/>
      <c r="N326" s="66" t="n"/>
      <c r="O326" s="84">
        <f>IF(A326="","",IF(OR(C326="",D326=""),"Enter both dates",IF(D326&lt;C326,"To is before From",IF(COUNTIFS($P$5:$P$2004,P326,$C$5:$C$2004,"&lt;="&amp;D326,$D$5:$D$2004,"&gt;="&amp;C326)&gt;1,"Overlaps another row","OK"))))</f>
        <v/>
      </c>
      <c r="P326">
        <f>IF(A326="","",A326&amp;"|"&amp;IF(B326="","Standard",B326))</f>
        <v/>
      </c>
      <c r="Q326">
        <f>IF(AND(A326&lt;&gt;"",A326='Firm Search'!$C$7),COUNTIF($A$5:A326,'Firm Search'!$C$7),"")</f>
        <v/>
      </c>
    </row>
    <row r="327">
      <c r="A327" s="64" t="n"/>
      <c r="B327" s="64" t="n"/>
      <c r="C327" s="66" t="n"/>
      <c r="D327" s="66" t="n"/>
      <c r="E327" s="67" t="n"/>
      <c r="F327" s="67" t="n"/>
      <c r="G327" s="67" t="n"/>
      <c r="H327" s="67" t="n"/>
      <c r="I327" s="67" t="n"/>
      <c r="J327" s="67" t="n"/>
      <c r="K327" s="67" t="n"/>
      <c r="L327" s="67" t="n"/>
      <c r="M327" s="64" t="n"/>
      <c r="N327" s="66" t="n"/>
      <c r="O327" s="84">
        <f>IF(A327="","",IF(OR(C327="",D327=""),"Enter both dates",IF(D327&lt;C327,"To is before From",IF(COUNTIFS($P$5:$P$2004,P327,$C$5:$C$2004,"&lt;="&amp;D327,$D$5:$D$2004,"&gt;="&amp;C327)&gt;1,"Overlaps another row","OK"))))</f>
        <v/>
      </c>
      <c r="P327">
        <f>IF(A327="","",A327&amp;"|"&amp;IF(B327="","Standard",B327))</f>
        <v/>
      </c>
      <c r="Q327">
        <f>IF(AND(A327&lt;&gt;"",A327='Firm Search'!$C$7),COUNTIF($A$5:A327,'Firm Search'!$C$7),"")</f>
        <v/>
      </c>
    </row>
    <row r="328">
      <c r="A328" s="64" t="n"/>
      <c r="B328" s="64" t="n"/>
      <c r="C328" s="66" t="n"/>
      <c r="D328" s="66" t="n"/>
      <c r="E328" s="67" t="n"/>
      <c r="F328" s="67" t="n"/>
      <c r="G328" s="67" t="n"/>
      <c r="H328" s="67" t="n"/>
      <c r="I328" s="67" t="n"/>
      <c r="J328" s="67" t="n"/>
      <c r="K328" s="67" t="n"/>
      <c r="L328" s="67" t="n"/>
      <c r="M328" s="64" t="n"/>
      <c r="N328" s="66" t="n"/>
      <c r="O328" s="84">
        <f>IF(A328="","",IF(OR(C328="",D328=""),"Enter both dates",IF(D328&lt;C328,"To is before From",IF(COUNTIFS($P$5:$P$2004,P328,$C$5:$C$2004,"&lt;="&amp;D328,$D$5:$D$2004,"&gt;="&amp;C328)&gt;1,"Overlaps another row","OK"))))</f>
        <v/>
      </c>
      <c r="P328">
        <f>IF(A328="","",A328&amp;"|"&amp;IF(B328="","Standard",B328))</f>
        <v/>
      </c>
      <c r="Q328">
        <f>IF(AND(A328&lt;&gt;"",A328='Firm Search'!$C$7),COUNTIF($A$5:A328,'Firm Search'!$C$7),"")</f>
        <v/>
      </c>
    </row>
    <row r="329">
      <c r="A329" s="64" t="n"/>
      <c r="B329" s="64" t="n"/>
      <c r="C329" s="66" t="n"/>
      <c r="D329" s="66" t="n"/>
      <c r="E329" s="67" t="n"/>
      <c r="F329" s="67" t="n"/>
      <c r="G329" s="67" t="n"/>
      <c r="H329" s="67" t="n"/>
      <c r="I329" s="67" t="n"/>
      <c r="J329" s="67" t="n"/>
      <c r="K329" s="67" t="n"/>
      <c r="L329" s="67" t="n"/>
      <c r="M329" s="64" t="n"/>
      <c r="N329" s="66" t="n"/>
      <c r="O329" s="84">
        <f>IF(A329="","",IF(OR(C329="",D329=""),"Enter both dates",IF(D329&lt;C329,"To is before From",IF(COUNTIFS($P$5:$P$2004,P329,$C$5:$C$2004,"&lt;="&amp;D329,$D$5:$D$2004,"&gt;="&amp;C329)&gt;1,"Overlaps another row","OK"))))</f>
        <v/>
      </c>
      <c r="P329">
        <f>IF(A329="","",A329&amp;"|"&amp;IF(B329="","Standard",B329))</f>
        <v/>
      </c>
      <c r="Q329">
        <f>IF(AND(A329&lt;&gt;"",A329='Firm Search'!$C$7),COUNTIF($A$5:A329,'Firm Search'!$C$7),"")</f>
        <v/>
      </c>
    </row>
    <row r="330">
      <c r="A330" s="64" t="n"/>
      <c r="B330" s="64" t="n"/>
      <c r="C330" s="66" t="n"/>
      <c r="D330" s="66" t="n"/>
      <c r="E330" s="67" t="n"/>
      <c r="F330" s="67" t="n"/>
      <c r="G330" s="67" t="n"/>
      <c r="H330" s="67" t="n"/>
      <c r="I330" s="67" t="n"/>
      <c r="J330" s="67" t="n"/>
      <c r="K330" s="67" t="n"/>
      <c r="L330" s="67" t="n"/>
      <c r="M330" s="64" t="n"/>
      <c r="N330" s="66" t="n"/>
      <c r="O330" s="84">
        <f>IF(A330="","",IF(OR(C330="",D330=""),"Enter both dates",IF(D330&lt;C330,"To is before From",IF(COUNTIFS($P$5:$P$2004,P330,$C$5:$C$2004,"&lt;="&amp;D330,$D$5:$D$2004,"&gt;="&amp;C330)&gt;1,"Overlaps another row","OK"))))</f>
        <v/>
      </c>
      <c r="P330">
        <f>IF(A330="","",A330&amp;"|"&amp;IF(B330="","Standard",B330))</f>
        <v/>
      </c>
      <c r="Q330">
        <f>IF(AND(A330&lt;&gt;"",A330='Firm Search'!$C$7),COUNTIF($A$5:A330,'Firm Search'!$C$7),"")</f>
        <v/>
      </c>
    </row>
    <row r="331">
      <c r="A331" s="64" t="n"/>
      <c r="B331" s="64" t="n"/>
      <c r="C331" s="66" t="n"/>
      <c r="D331" s="66" t="n"/>
      <c r="E331" s="67" t="n"/>
      <c r="F331" s="67" t="n"/>
      <c r="G331" s="67" t="n"/>
      <c r="H331" s="67" t="n"/>
      <c r="I331" s="67" t="n"/>
      <c r="J331" s="67" t="n"/>
      <c r="K331" s="67" t="n"/>
      <c r="L331" s="67" t="n"/>
      <c r="M331" s="64" t="n"/>
      <c r="N331" s="66" t="n"/>
      <c r="O331" s="84">
        <f>IF(A331="","",IF(OR(C331="",D331=""),"Enter both dates",IF(D331&lt;C331,"To is before From",IF(COUNTIFS($P$5:$P$2004,P331,$C$5:$C$2004,"&lt;="&amp;D331,$D$5:$D$2004,"&gt;="&amp;C331)&gt;1,"Overlaps another row","OK"))))</f>
        <v/>
      </c>
      <c r="P331">
        <f>IF(A331="","",A331&amp;"|"&amp;IF(B331="","Standard",B331))</f>
        <v/>
      </c>
      <c r="Q331">
        <f>IF(AND(A331&lt;&gt;"",A331='Firm Search'!$C$7),COUNTIF($A$5:A331,'Firm Search'!$C$7),"")</f>
        <v/>
      </c>
    </row>
    <row r="332">
      <c r="A332" s="64" t="n"/>
      <c r="B332" s="64" t="n"/>
      <c r="C332" s="66" t="n"/>
      <c r="D332" s="66" t="n"/>
      <c r="E332" s="67" t="n"/>
      <c r="F332" s="67" t="n"/>
      <c r="G332" s="67" t="n"/>
      <c r="H332" s="67" t="n"/>
      <c r="I332" s="67" t="n"/>
      <c r="J332" s="67" t="n"/>
      <c r="K332" s="67" t="n"/>
      <c r="L332" s="67" t="n"/>
      <c r="M332" s="64" t="n"/>
      <c r="N332" s="66" t="n"/>
      <c r="O332" s="84">
        <f>IF(A332="","",IF(OR(C332="",D332=""),"Enter both dates",IF(D332&lt;C332,"To is before From",IF(COUNTIFS($P$5:$P$2004,P332,$C$5:$C$2004,"&lt;="&amp;D332,$D$5:$D$2004,"&gt;="&amp;C332)&gt;1,"Overlaps another row","OK"))))</f>
        <v/>
      </c>
      <c r="P332">
        <f>IF(A332="","",A332&amp;"|"&amp;IF(B332="","Standard",B332))</f>
        <v/>
      </c>
      <c r="Q332">
        <f>IF(AND(A332&lt;&gt;"",A332='Firm Search'!$C$7),COUNTIF($A$5:A332,'Firm Search'!$C$7),"")</f>
        <v/>
      </c>
    </row>
    <row r="333">
      <c r="A333" s="64" t="n"/>
      <c r="B333" s="64" t="n"/>
      <c r="C333" s="66" t="n"/>
      <c r="D333" s="66" t="n"/>
      <c r="E333" s="67" t="n"/>
      <c r="F333" s="67" t="n"/>
      <c r="G333" s="67" t="n"/>
      <c r="H333" s="67" t="n"/>
      <c r="I333" s="67" t="n"/>
      <c r="J333" s="67" t="n"/>
      <c r="K333" s="67" t="n"/>
      <c r="L333" s="67" t="n"/>
      <c r="M333" s="64" t="n"/>
      <c r="N333" s="66" t="n"/>
      <c r="O333" s="84">
        <f>IF(A333="","",IF(OR(C333="",D333=""),"Enter both dates",IF(D333&lt;C333,"To is before From",IF(COUNTIFS($P$5:$P$2004,P333,$C$5:$C$2004,"&lt;="&amp;D333,$D$5:$D$2004,"&gt;="&amp;C333)&gt;1,"Overlaps another row","OK"))))</f>
        <v/>
      </c>
      <c r="P333">
        <f>IF(A333="","",A333&amp;"|"&amp;IF(B333="","Standard",B333))</f>
        <v/>
      </c>
      <c r="Q333">
        <f>IF(AND(A333&lt;&gt;"",A333='Firm Search'!$C$7),COUNTIF($A$5:A333,'Firm Search'!$C$7),"")</f>
        <v/>
      </c>
    </row>
    <row r="334">
      <c r="A334" s="64" t="n"/>
      <c r="B334" s="64" t="n"/>
      <c r="C334" s="66" t="n"/>
      <c r="D334" s="66" t="n"/>
      <c r="E334" s="67" t="n"/>
      <c r="F334" s="67" t="n"/>
      <c r="G334" s="67" t="n"/>
      <c r="H334" s="67" t="n"/>
      <c r="I334" s="67" t="n"/>
      <c r="J334" s="67" t="n"/>
      <c r="K334" s="67" t="n"/>
      <c r="L334" s="67" t="n"/>
      <c r="M334" s="64" t="n"/>
      <c r="N334" s="66" t="n"/>
      <c r="O334" s="84">
        <f>IF(A334="","",IF(OR(C334="",D334=""),"Enter both dates",IF(D334&lt;C334,"To is before From",IF(COUNTIFS($P$5:$P$2004,P334,$C$5:$C$2004,"&lt;="&amp;D334,$D$5:$D$2004,"&gt;="&amp;C334)&gt;1,"Overlaps another row","OK"))))</f>
        <v/>
      </c>
      <c r="P334">
        <f>IF(A334="","",A334&amp;"|"&amp;IF(B334="","Standard",B334))</f>
        <v/>
      </c>
      <c r="Q334">
        <f>IF(AND(A334&lt;&gt;"",A334='Firm Search'!$C$7),COUNTIF($A$5:A334,'Firm Search'!$C$7),"")</f>
        <v/>
      </c>
    </row>
    <row r="335">
      <c r="A335" s="64" t="n"/>
      <c r="B335" s="64" t="n"/>
      <c r="C335" s="66" t="n"/>
      <c r="D335" s="66" t="n"/>
      <c r="E335" s="67" t="n"/>
      <c r="F335" s="67" t="n"/>
      <c r="G335" s="67" t="n"/>
      <c r="H335" s="67" t="n"/>
      <c r="I335" s="67" t="n"/>
      <c r="J335" s="67" t="n"/>
      <c r="K335" s="67" t="n"/>
      <c r="L335" s="67" t="n"/>
      <c r="M335" s="64" t="n"/>
      <c r="N335" s="66" t="n"/>
      <c r="O335" s="84">
        <f>IF(A335="","",IF(OR(C335="",D335=""),"Enter both dates",IF(D335&lt;C335,"To is before From",IF(COUNTIFS($P$5:$P$2004,P335,$C$5:$C$2004,"&lt;="&amp;D335,$D$5:$D$2004,"&gt;="&amp;C335)&gt;1,"Overlaps another row","OK"))))</f>
        <v/>
      </c>
      <c r="P335">
        <f>IF(A335="","",A335&amp;"|"&amp;IF(B335="","Standard",B335))</f>
        <v/>
      </c>
      <c r="Q335">
        <f>IF(AND(A335&lt;&gt;"",A335='Firm Search'!$C$7),COUNTIF($A$5:A335,'Firm Search'!$C$7),"")</f>
        <v/>
      </c>
    </row>
    <row r="336">
      <c r="A336" s="64" t="n"/>
      <c r="B336" s="64" t="n"/>
      <c r="C336" s="66" t="n"/>
      <c r="D336" s="66" t="n"/>
      <c r="E336" s="67" t="n"/>
      <c r="F336" s="67" t="n"/>
      <c r="G336" s="67" t="n"/>
      <c r="H336" s="67" t="n"/>
      <c r="I336" s="67" t="n"/>
      <c r="J336" s="67" t="n"/>
      <c r="K336" s="67" t="n"/>
      <c r="L336" s="67" t="n"/>
      <c r="M336" s="64" t="n"/>
      <c r="N336" s="66" t="n"/>
      <c r="O336" s="84">
        <f>IF(A336="","",IF(OR(C336="",D336=""),"Enter both dates",IF(D336&lt;C336,"To is before From",IF(COUNTIFS($P$5:$P$2004,P336,$C$5:$C$2004,"&lt;="&amp;D336,$D$5:$D$2004,"&gt;="&amp;C336)&gt;1,"Overlaps another row","OK"))))</f>
        <v/>
      </c>
      <c r="P336">
        <f>IF(A336="","",A336&amp;"|"&amp;IF(B336="","Standard",B336))</f>
        <v/>
      </c>
      <c r="Q336">
        <f>IF(AND(A336&lt;&gt;"",A336='Firm Search'!$C$7),COUNTIF($A$5:A336,'Firm Search'!$C$7),"")</f>
        <v/>
      </c>
    </row>
    <row r="337">
      <c r="A337" s="64" t="n"/>
      <c r="B337" s="64" t="n"/>
      <c r="C337" s="66" t="n"/>
      <c r="D337" s="66" t="n"/>
      <c r="E337" s="67" t="n"/>
      <c r="F337" s="67" t="n"/>
      <c r="G337" s="67" t="n"/>
      <c r="H337" s="67" t="n"/>
      <c r="I337" s="67" t="n"/>
      <c r="J337" s="67" t="n"/>
      <c r="K337" s="67" t="n"/>
      <c r="L337" s="67" t="n"/>
      <c r="M337" s="64" t="n"/>
      <c r="N337" s="66" t="n"/>
      <c r="O337" s="84">
        <f>IF(A337="","",IF(OR(C337="",D337=""),"Enter both dates",IF(D337&lt;C337,"To is before From",IF(COUNTIFS($P$5:$P$2004,P337,$C$5:$C$2004,"&lt;="&amp;D337,$D$5:$D$2004,"&gt;="&amp;C337)&gt;1,"Overlaps another row","OK"))))</f>
        <v/>
      </c>
      <c r="P337">
        <f>IF(A337="","",A337&amp;"|"&amp;IF(B337="","Standard",B337))</f>
        <v/>
      </c>
      <c r="Q337">
        <f>IF(AND(A337&lt;&gt;"",A337='Firm Search'!$C$7),COUNTIF($A$5:A337,'Firm Search'!$C$7),"")</f>
        <v/>
      </c>
    </row>
    <row r="338">
      <c r="A338" s="64" t="n"/>
      <c r="B338" s="64" t="n"/>
      <c r="C338" s="66" t="n"/>
      <c r="D338" s="66" t="n"/>
      <c r="E338" s="67" t="n"/>
      <c r="F338" s="67" t="n"/>
      <c r="G338" s="67" t="n"/>
      <c r="H338" s="67" t="n"/>
      <c r="I338" s="67" t="n"/>
      <c r="J338" s="67" t="n"/>
      <c r="K338" s="67" t="n"/>
      <c r="L338" s="67" t="n"/>
      <c r="M338" s="64" t="n"/>
      <c r="N338" s="66" t="n"/>
      <c r="O338" s="84">
        <f>IF(A338="","",IF(OR(C338="",D338=""),"Enter both dates",IF(D338&lt;C338,"To is before From",IF(COUNTIFS($P$5:$P$2004,P338,$C$5:$C$2004,"&lt;="&amp;D338,$D$5:$D$2004,"&gt;="&amp;C338)&gt;1,"Overlaps another row","OK"))))</f>
        <v/>
      </c>
      <c r="P338">
        <f>IF(A338="","",A338&amp;"|"&amp;IF(B338="","Standard",B338))</f>
        <v/>
      </c>
      <c r="Q338">
        <f>IF(AND(A338&lt;&gt;"",A338='Firm Search'!$C$7),COUNTIF($A$5:A338,'Firm Search'!$C$7),"")</f>
        <v/>
      </c>
    </row>
    <row r="339">
      <c r="A339" s="64" t="n"/>
      <c r="B339" s="64" t="n"/>
      <c r="C339" s="66" t="n"/>
      <c r="D339" s="66" t="n"/>
      <c r="E339" s="67" t="n"/>
      <c r="F339" s="67" t="n"/>
      <c r="G339" s="67" t="n"/>
      <c r="H339" s="67" t="n"/>
      <c r="I339" s="67" t="n"/>
      <c r="J339" s="67" t="n"/>
      <c r="K339" s="67" t="n"/>
      <c r="L339" s="67" t="n"/>
      <c r="M339" s="64" t="n"/>
      <c r="N339" s="66" t="n"/>
      <c r="O339" s="84">
        <f>IF(A339="","",IF(OR(C339="",D339=""),"Enter both dates",IF(D339&lt;C339,"To is before From",IF(COUNTIFS($P$5:$P$2004,P339,$C$5:$C$2004,"&lt;="&amp;D339,$D$5:$D$2004,"&gt;="&amp;C339)&gt;1,"Overlaps another row","OK"))))</f>
        <v/>
      </c>
      <c r="P339">
        <f>IF(A339="","",A339&amp;"|"&amp;IF(B339="","Standard",B339))</f>
        <v/>
      </c>
      <c r="Q339">
        <f>IF(AND(A339&lt;&gt;"",A339='Firm Search'!$C$7),COUNTIF($A$5:A339,'Firm Search'!$C$7),"")</f>
        <v/>
      </c>
    </row>
    <row r="340">
      <c r="A340" s="64" t="n"/>
      <c r="B340" s="64" t="n"/>
      <c r="C340" s="66" t="n"/>
      <c r="D340" s="66" t="n"/>
      <c r="E340" s="67" t="n"/>
      <c r="F340" s="67" t="n"/>
      <c r="G340" s="67" t="n"/>
      <c r="H340" s="67" t="n"/>
      <c r="I340" s="67" t="n"/>
      <c r="J340" s="67" t="n"/>
      <c r="K340" s="67" t="n"/>
      <c r="L340" s="67" t="n"/>
      <c r="M340" s="64" t="n"/>
      <c r="N340" s="66" t="n"/>
      <c r="O340" s="84">
        <f>IF(A340="","",IF(OR(C340="",D340=""),"Enter both dates",IF(D340&lt;C340,"To is before From",IF(COUNTIFS($P$5:$P$2004,P340,$C$5:$C$2004,"&lt;="&amp;D340,$D$5:$D$2004,"&gt;="&amp;C340)&gt;1,"Overlaps another row","OK"))))</f>
        <v/>
      </c>
      <c r="P340">
        <f>IF(A340="","",A340&amp;"|"&amp;IF(B340="","Standard",B340))</f>
        <v/>
      </c>
      <c r="Q340">
        <f>IF(AND(A340&lt;&gt;"",A340='Firm Search'!$C$7),COUNTIF($A$5:A340,'Firm Search'!$C$7),"")</f>
        <v/>
      </c>
    </row>
    <row r="341">
      <c r="A341" s="64" t="n"/>
      <c r="B341" s="64" t="n"/>
      <c r="C341" s="66" t="n"/>
      <c r="D341" s="66" t="n"/>
      <c r="E341" s="67" t="n"/>
      <c r="F341" s="67" t="n"/>
      <c r="G341" s="67" t="n"/>
      <c r="H341" s="67" t="n"/>
      <c r="I341" s="67" t="n"/>
      <c r="J341" s="67" t="n"/>
      <c r="K341" s="67" t="n"/>
      <c r="L341" s="67" t="n"/>
      <c r="M341" s="64" t="n"/>
      <c r="N341" s="66" t="n"/>
      <c r="O341" s="84">
        <f>IF(A341="","",IF(OR(C341="",D341=""),"Enter both dates",IF(D341&lt;C341,"To is before From",IF(COUNTIFS($P$5:$P$2004,P341,$C$5:$C$2004,"&lt;="&amp;D341,$D$5:$D$2004,"&gt;="&amp;C341)&gt;1,"Overlaps another row","OK"))))</f>
        <v/>
      </c>
      <c r="P341">
        <f>IF(A341="","",A341&amp;"|"&amp;IF(B341="","Standard",B341))</f>
        <v/>
      </c>
      <c r="Q341">
        <f>IF(AND(A341&lt;&gt;"",A341='Firm Search'!$C$7),COUNTIF($A$5:A341,'Firm Search'!$C$7),"")</f>
        <v/>
      </c>
    </row>
    <row r="342">
      <c r="A342" s="64" t="n"/>
      <c r="B342" s="64" t="n"/>
      <c r="C342" s="66" t="n"/>
      <c r="D342" s="66" t="n"/>
      <c r="E342" s="67" t="n"/>
      <c r="F342" s="67" t="n"/>
      <c r="G342" s="67" t="n"/>
      <c r="H342" s="67" t="n"/>
      <c r="I342" s="67" t="n"/>
      <c r="J342" s="67" t="n"/>
      <c r="K342" s="67" t="n"/>
      <c r="L342" s="67" t="n"/>
      <c r="M342" s="64" t="n"/>
      <c r="N342" s="66" t="n"/>
      <c r="O342" s="84">
        <f>IF(A342="","",IF(OR(C342="",D342=""),"Enter both dates",IF(D342&lt;C342,"To is before From",IF(COUNTIFS($P$5:$P$2004,P342,$C$5:$C$2004,"&lt;="&amp;D342,$D$5:$D$2004,"&gt;="&amp;C342)&gt;1,"Overlaps another row","OK"))))</f>
        <v/>
      </c>
      <c r="P342">
        <f>IF(A342="","",A342&amp;"|"&amp;IF(B342="","Standard",B342))</f>
        <v/>
      </c>
      <c r="Q342">
        <f>IF(AND(A342&lt;&gt;"",A342='Firm Search'!$C$7),COUNTIF($A$5:A342,'Firm Search'!$C$7),"")</f>
        <v/>
      </c>
    </row>
    <row r="343">
      <c r="A343" s="64" t="n"/>
      <c r="B343" s="64" t="n"/>
      <c r="C343" s="66" t="n"/>
      <c r="D343" s="66" t="n"/>
      <c r="E343" s="67" t="n"/>
      <c r="F343" s="67" t="n"/>
      <c r="G343" s="67" t="n"/>
      <c r="H343" s="67" t="n"/>
      <c r="I343" s="67" t="n"/>
      <c r="J343" s="67" t="n"/>
      <c r="K343" s="67" t="n"/>
      <c r="L343" s="67" t="n"/>
      <c r="M343" s="64" t="n"/>
      <c r="N343" s="66" t="n"/>
      <c r="O343" s="84">
        <f>IF(A343="","",IF(OR(C343="",D343=""),"Enter both dates",IF(D343&lt;C343,"To is before From",IF(COUNTIFS($P$5:$P$2004,P343,$C$5:$C$2004,"&lt;="&amp;D343,$D$5:$D$2004,"&gt;="&amp;C343)&gt;1,"Overlaps another row","OK"))))</f>
        <v/>
      </c>
      <c r="P343">
        <f>IF(A343="","",A343&amp;"|"&amp;IF(B343="","Standard",B343))</f>
        <v/>
      </c>
      <c r="Q343">
        <f>IF(AND(A343&lt;&gt;"",A343='Firm Search'!$C$7),COUNTIF($A$5:A343,'Firm Search'!$C$7),"")</f>
        <v/>
      </c>
    </row>
    <row r="344">
      <c r="A344" s="64" t="n"/>
      <c r="B344" s="64" t="n"/>
      <c r="C344" s="66" t="n"/>
      <c r="D344" s="66" t="n"/>
      <c r="E344" s="67" t="n"/>
      <c r="F344" s="67" t="n"/>
      <c r="G344" s="67" t="n"/>
      <c r="H344" s="67" t="n"/>
      <c r="I344" s="67" t="n"/>
      <c r="J344" s="67" t="n"/>
      <c r="K344" s="67" t="n"/>
      <c r="L344" s="67" t="n"/>
      <c r="M344" s="64" t="n"/>
      <c r="N344" s="66" t="n"/>
      <c r="O344" s="84">
        <f>IF(A344="","",IF(OR(C344="",D344=""),"Enter both dates",IF(D344&lt;C344,"To is before From",IF(COUNTIFS($P$5:$P$2004,P344,$C$5:$C$2004,"&lt;="&amp;D344,$D$5:$D$2004,"&gt;="&amp;C344)&gt;1,"Overlaps another row","OK"))))</f>
        <v/>
      </c>
      <c r="P344">
        <f>IF(A344="","",A344&amp;"|"&amp;IF(B344="","Standard",B344))</f>
        <v/>
      </c>
      <c r="Q344">
        <f>IF(AND(A344&lt;&gt;"",A344='Firm Search'!$C$7),COUNTIF($A$5:A344,'Firm Search'!$C$7),"")</f>
        <v/>
      </c>
    </row>
    <row r="345">
      <c r="A345" s="64" t="n"/>
      <c r="B345" s="64" t="n"/>
      <c r="C345" s="66" t="n"/>
      <c r="D345" s="66" t="n"/>
      <c r="E345" s="67" t="n"/>
      <c r="F345" s="67" t="n"/>
      <c r="G345" s="67" t="n"/>
      <c r="H345" s="67" t="n"/>
      <c r="I345" s="67" t="n"/>
      <c r="J345" s="67" t="n"/>
      <c r="K345" s="67" t="n"/>
      <c r="L345" s="67" t="n"/>
      <c r="M345" s="64" t="n"/>
      <c r="N345" s="66" t="n"/>
      <c r="O345" s="84">
        <f>IF(A345="","",IF(OR(C345="",D345=""),"Enter both dates",IF(D345&lt;C345,"To is before From",IF(COUNTIFS($P$5:$P$2004,P345,$C$5:$C$2004,"&lt;="&amp;D345,$D$5:$D$2004,"&gt;="&amp;C345)&gt;1,"Overlaps another row","OK"))))</f>
        <v/>
      </c>
      <c r="P345">
        <f>IF(A345="","",A345&amp;"|"&amp;IF(B345="","Standard",B345))</f>
        <v/>
      </c>
      <c r="Q345">
        <f>IF(AND(A345&lt;&gt;"",A345='Firm Search'!$C$7),COUNTIF($A$5:A345,'Firm Search'!$C$7),"")</f>
        <v/>
      </c>
    </row>
    <row r="346">
      <c r="A346" s="64" t="n"/>
      <c r="B346" s="64" t="n"/>
      <c r="C346" s="66" t="n"/>
      <c r="D346" s="66" t="n"/>
      <c r="E346" s="67" t="n"/>
      <c r="F346" s="67" t="n"/>
      <c r="G346" s="67" t="n"/>
      <c r="H346" s="67" t="n"/>
      <c r="I346" s="67" t="n"/>
      <c r="J346" s="67" t="n"/>
      <c r="K346" s="67" t="n"/>
      <c r="L346" s="67" t="n"/>
      <c r="M346" s="64" t="n"/>
      <c r="N346" s="66" t="n"/>
      <c r="O346" s="84">
        <f>IF(A346="","",IF(OR(C346="",D346=""),"Enter both dates",IF(D346&lt;C346,"To is before From",IF(COUNTIFS($P$5:$P$2004,P346,$C$5:$C$2004,"&lt;="&amp;D346,$D$5:$D$2004,"&gt;="&amp;C346)&gt;1,"Overlaps another row","OK"))))</f>
        <v/>
      </c>
      <c r="P346">
        <f>IF(A346="","",A346&amp;"|"&amp;IF(B346="","Standard",B346))</f>
        <v/>
      </c>
      <c r="Q346">
        <f>IF(AND(A346&lt;&gt;"",A346='Firm Search'!$C$7),COUNTIF($A$5:A346,'Firm Search'!$C$7),"")</f>
        <v/>
      </c>
    </row>
    <row r="347">
      <c r="A347" s="64" t="n"/>
      <c r="B347" s="64" t="n"/>
      <c r="C347" s="66" t="n"/>
      <c r="D347" s="66" t="n"/>
      <c r="E347" s="67" t="n"/>
      <c r="F347" s="67" t="n"/>
      <c r="G347" s="67" t="n"/>
      <c r="H347" s="67" t="n"/>
      <c r="I347" s="67" t="n"/>
      <c r="J347" s="67" t="n"/>
      <c r="K347" s="67" t="n"/>
      <c r="L347" s="67" t="n"/>
      <c r="M347" s="64" t="n"/>
      <c r="N347" s="66" t="n"/>
      <c r="O347" s="84">
        <f>IF(A347="","",IF(OR(C347="",D347=""),"Enter both dates",IF(D347&lt;C347,"To is before From",IF(COUNTIFS($P$5:$P$2004,P347,$C$5:$C$2004,"&lt;="&amp;D347,$D$5:$D$2004,"&gt;="&amp;C347)&gt;1,"Overlaps another row","OK"))))</f>
        <v/>
      </c>
      <c r="P347">
        <f>IF(A347="","",A347&amp;"|"&amp;IF(B347="","Standard",B347))</f>
        <v/>
      </c>
      <c r="Q347">
        <f>IF(AND(A347&lt;&gt;"",A347='Firm Search'!$C$7),COUNTIF($A$5:A347,'Firm Search'!$C$7),"")</f>
        <v/>
      </c>
    </row>
    <row r="348">
      <c r="A348" s="64" t="n"/>
      <c r="B348" s="64" t="n"/>
      <c r="C348" s="66" t="n"/>
      <c r="D348" s="66" t="n"/>
      <c r="E348" s="67" t="n"/>
      <c r="F348" s="67" t="n"/>
      <c r="G348" s="67" t="n"/>
      <c r="H348" s="67" t="n"/>
      <c r="I348" s="67" t="n"/>
      <c r="J348" s="67" t="n"/>
      <c r="K348" s="67" t="n"/>
      <c r="L348" s="67" t="n"/>
      <c r="M348" s="64" t="n"/>
      <c r="N348" s="66" t="n"/>
      <c r="O348" s="84">
        <f>IF(A348="","",IF(OR(C348="",D348=""),"Enter both dates",IF(D348&lt;C348,"To is before From",IF(COUNTIFS($P$5:$P$2004,P348,$C$5:$C$2004,"&lt;="&amp;D348,$D$5:$D$2004,"&gt;="&amp;C348)&gt;1,"Overlaps another row","OK"))))</f>
        <v/>
      </c>
      <c r="P348">
        <f>IF(A348="","",A348&amp;"|"&amp;IF(B348="","Standard",B348))</f>
        <v/>
      </c>
      <c r="Q348">
        <f>IF(AND(A348&lt;&gt;"",A348='Firm Search'!$C$7),COUNTIF($A$5:A348,'Firm Search'!$C$7),"")</f>
        <v/>
      </c>
    </row>
    <row r="349">
      <c r="A349" s="64" t="n"/>
      <c r="B349" s="64" t="n"/>
      <c r="C349" s="66" t="n"/>
      <c r="D349" s="66" t="n"/>
      <c r="E349" s="67" t="n"/>
      <c r="F349" s="67" t="n"/>
      <c r="G349" s="67" t="n"/>
      <c r="H349" s="67" t="n"/>
      <c r="I349" s="67" t="n"/>
      <c r="J349" s="67" t="n"/>
      <c r="K349" s="67" t="n"/>
      <c r="L349" s="67" t="n"/>
      <c r="M349" s="64" t="n"/>
      <c r="N349" s="66" t="n"/>
      <c r="O349" s="84">
        <f>IF(A349="","",IF(OR(C349="",D349=""),"Enter both dates",IF(D349&lt;C349,"To is before From",IF(COUNTIFS($P$5:$P$2004,P349,$C$5:$C$2004,"&lt;="&amp;D349,$D$5:$D$2004,"&gt;="&amp;C349)&gt;1,"Overlaps another row","OK"))))</f>
        <v/>
      </c>
      <c r="P349">
        <f>IF(A349="","",A349&amp;"|"&amp;IF(B349="","Standard",B349))</f>
        <v/>
      </c>
      <c r="Q349">
        <f>IF(AND(A349&lt;&gt;"",A349='Firm Search'!$C$7),COUNTIF($A$5:A349,'Firm Search'!$C$7),"")</f>
        <v/>
      </c>
    </row>
    <row r="350">
      <c r="A350" s="64" t="n"/>
      <c r="B350" s="64" t="n"/>
      <c r="C350" s="66" t="n"/>
      <c r="D350" s="66" t="n"/>
      <c r="E350" s="67" t="n"/>
      <c r="F350" s="67" t="n"/>
      <c r="G350" s="67" t="n"/>
      <c r="H350" s="67" t="n"/>
      <c r="I350" s="67" t="n"/>
      <c r="J350" s="67" t="n"/>
      <c r="K350" s="67" t="n"/>
      <c r="L350" s="67" t="n"/>
      <c r="M350" s="64" t="n"/>
      <c r="N350" s="66" t="n"/>
      <c r="O350" s="84">
        <f>IF(A350="","",IF(OR(C350="",D350=""),"Enter both dates",IF(D350&lt;C350,"To is before From",IF(COUNTIFS($P$5:$P$2004,P350,$C$5:$C$2004,"&lt;="&amp;D350,$D$5:$D$2004,"&gt;="&amp;C350)&gt;1,"Overlaps another row","OK"))))</f>
        <v/>
      </c>
      <c r="P350">
        <f>IF(A350="","",A350&amp;"|"&amp;IF(B350="","Standard",B350))</f>
        <v/>
      </c>
      <c r="Q350">
        <f>IF(AND(A350&lt;&gt;"",A350='Firm Search'!$C$7),COUNTIF($A$5:A350,'Firm Search'!$C$7),"")</f>
        <v/>
      </c>
    </row>
    <row r="351">
      <c r="A351" s="64" t="n"/>
      <c r="B351" s="64" t="n"/>
      <c r="C351" s="66" t="n"/>
      <c r="D351" s="66" t="n"/>
      <c r="E351" s="67" t="n"/>
      <c r="F351" s="67" t="n"/>
      <c r="G351" s="67" t="n"/>
      <c r="H351" s="67" t="n"/>
      <c r="I351" s="67" t="n"/>
      <c r="J351" s="67" t="n"/>
      <c r="K351" s="67" t="n"/>
      <c r="L351" s="67" t="n"/>
      <c r="M351" s="64" t="n"/>
      <c r="N351" s="66" t="n"/>
      <c r="O351" s="84">
        <f>IF(A351="","",IF(OR(C351="",D351=""),"Enter both dates",IF(D351&lt;C351,"To is before From",IF(COUNTIFS($P$5:$P$2004,P351,$C$5:$C$2004,"&lt;="&amp;D351,$D$5:$D$2004,"&gt;="&amp;C351)&gt;1,"Overlaps another row","OK"))))</f>
        <v/>
      </c>
      <c r="P351">
        <f>IF(A351="","",A351&amp;"|"&amp;IF(B351="","Standard",B351))</f>
        <v/>
      </c>
      <c r="Q351">
        <f>IF(AND(A351&lt;&gt;"",A351='Firm Search'!$C$7),COUNTIF($A$5:A351,'Firm Search'!$C$7),"")</f>
        <v/>
      </c>
    </row>
    <row r="352">
      <c r="A352" s="64" t="n"/>
      <c r="B352" s="64" t="n"/>
      <c r="C352" s="66" t="n"/>
      <c r="D352" s="66" t="n"/>
      <c r="E352" s="67" t="n"/>
      <c r="F352" s="67" t="n"/>
      <c r="G352" s="67" t="n"/>
      <c r="H352" s="67" t="n"/>
      <c r="I352" s="67" t="n"/>
      <c r="J352" s="67" t="n"/>
      <c r="K352" s="67" t="n"/>
      <c r="L352" s="67" t="n"/>
      <c r="M352" s="64" t="n"/>
      <c r="N352" s="66" t="n"/>
      <c r="O352" s="84">
        <f>IF(A352="","",IF(OR(C352="",D352=""),"Enter both dates",IF(D352&lt;C352,"To is before From",IF(COUNTIFS($P$5:$P$2004,P352,$C$5:$C$2004,"&lt;="&amp;D352,$D$5:$D$2004,"&gt;="&amp;C352)&gt;1,"Overlaps another row","OK"))))</f>
        <v/>
      </c>
      <c r="P352">
        <f>IF(A352="","",A352&amp;"|"&amp;IF(B352="","Standard",B352))</f>
        <v/>
      </c>
      <c r="Q352">
        <f>IF(AND(A352&lt;&gt;"",A352='Firm Search'!$C$7),COUNTIF($A$5:A352,'Firm Search'!$C$7),"")</f>
        <v/>
      </c>
    </row>
    <row r="353">
      <c r="A353" s="64" t="n"/>
      <c r="B353" s="64" t="n"/>
      <c r="C353" s="66" t="n"/>
      <c r="D353" s="66" t="n"/>
      <c r="E353" s="67" t="n"/>
      <c r="F353" s="67" t="n"/>
      <c r="G353" s="67" t="n"/>
      <c r="H353" s="67" t="n"/>
      <c r="I353" s="67" t="n"/>
      <c r="J353" s="67" t="n"/>
      <c r="K353" s="67" t="n"/>
      <c r="L353" s="67" t="n"/>
      <c r="M353" s="64" t="n"/>
      <c r="N353" s="66" t="n"/>
      <c r="O353" s="84">
        <f>IF(A353="","",IF(OR(C353="",D353=""),"Enter both dates",IF(D353&lt;C353,"To is before From",IF(COUNTIFS($P$5:$P$2004,P353,$C$5:$C$2004,"&lt;="&amp;D353,$D$5:$D$2004,"&gt;="&amp;C353)&gt;1,"Overlaps another row","OK"))))</f>
        <v/>
      </c>
      <c r="P353">
        <f>IF(A353="","",A353&amp;"|"&amp;IF(B353="","Standard",B353))</f>
        <v/>
      </c>
      <c r="Q353">
        <f>IF(AND(A353&lt;&gt;"",A353='Firm Search'!$C$7),COUNTIF($A$5:A353,'Firm Search'!$C$7),"")</f>
        <v/>
      </c>
    </row>
    <row r="354">
      <c r="A354" s="64" t="n"/>
      <c r="B354" s="64" t="n"/>
      <c r="C354" s="66" t="n"/>
      <c r="D354" s="66" t="n"/>
      <c r="E354" s="67" t="n"/>
      <c r="F354" s="67" t="n"/>
      <c r="G354" s="67" t="n"/>
      <c r="H354" s="67" t="n"/>
      <c r="I354" s="67" t="n"/>
      <c r="J354" s="67" t="n"/>
      <c r="K354" s="67" t="n"/>
      <c r="L354" s="67" t="n"/>
      <c r="M354" s="64" t="n"/>
      <c r="N354" s="66" t="n"/>
      <c r="O354" s="84">
        <f>IF(A354="","",IF(OR(C354="",D354=""),"Enter both dates",IF(D354&lt;C354,"To is before From",IF(COUNTIFS($P$5:$P$2004,P354,$C$5:$C$2004,"&lt;="&amp;D354,$D$5:$D$2004,"&gt;="&amp;C354)&gt;1,"Overlaps another row","OK"))))</f>
        <v/>
      </c>
      <c r="P354">
        <f>IF(A354="","",A354&amp;"|"&amp;IF(B354="","Standard",B354))</f>
        <v/>
      </c>
      <c r="Q354">
        <f>IF(AND(A354&lt;&gt;"",A354='Firm Search'!$C$7),COUNTIF($A$5:A354,'Firm Search'!$C$7),"")</f>
        <v/>
      </c>
    </row>
    <row r="355">
      <c r="A355" s="64" t="n"/>
      <c r="B355" s="64" t="n"/>
      <c r="C355" s="66" t="n"/>
      <c r="D355" s="66" t="n"/>
      <c r="E355" s="67" t="n"/>
      <c r="F355" s="67" t="n"/>
      <c r="G355" s="67" t="n"/>
      <c r="H355" s="67" t="n"/>
      <c r="I355" s="67" t="n"/>
      <c r="J355" s="67" t="n"/>
      <c r="K355" s="67" t="n"/>
      <c r="L355" s="67" t="n"/>
      <c r="M355" s="64" t="n"/>
      <c r="N355" s="66" t="n"/>
      <c r="O355" s="84">
        <f>IF(A355="","",IF(OR(C355="",D355=""),"Enter both dates",IF(D355&lt;C355,"To is before From",IF(COUNTIFS($P$5:$P$2004,P355,$C$5:$C$2004,"&lt;="&amp;D355,$D$5:$D$2004,"&gt;="&amp;C355)&gt;1,"Overlaps another row","OK"))))</f>
        <v/>
      </c>
      <c r="P355">
        <f>IF(A355="","",A355&amp;"|"&amp;IF(B355="","Standard",B355))</f>
        <v/>
      </c>
      <c r="Q355">
        <f>IF(AND(A355&lt;&gt;"",A355='Firm Search'!$C$7),COUNTIF($A$5:A355,'Firm Search'!$C$7),"")</f>
        <v/>
      </c>
    </row>
    <row r="356">
      <c r="A356" s="64" t="n"/>
      <c r="B356" s="64" t="n"/>
      <c r="C356" s="66" t="n"/>
      <c r="D356" s="66" t="n"/>
      <c r="E356" s="67" t="n"/>
      <c r="F356" s="67" t="n"/>
      <c r="G356" s="67" t="n"/>
      <c r="H356" s="67" t="n"/>
      <c r="I356" s="67" t="n"/>
      <c r="J356" s="67" t="n"/>
      <c r="K356" s="67" t="n"/>
      <c r="L356" s="67" t="n"/>
      <c r="M356" s="64" t="n"/>
      <c r="N356" s="66" t="n"/>
      <c r="O356" s="84">
        <f>IF(A356="","",IF(OR(C356="",D356=""),"Enter both dates",IF(D356&lt;C356,"To is before From",IF(COUNTIFS($P$5:$P$2004,P356,$C$5:$C$2004,"&lt;="&amp;D356,$D$5:$D$2004,"&gt;="&amp;C356)&gt;1,"Overlaps another row","OK"))))</f>
        <v/>
      </c>
      <c r="P356">
        <f>IF(A356="","",A356&amp;"|"&amp;IF(B356="","Standard",B356))</f>
        <v/>
      </c>
      <c r="Q356">
        <f>IF(AND(A356&lt;&gt;"",A356='Firm Search'!$C$7),COUNTIF($A$5:A356,'Firm Search'!$C$7),"")</f>
        <v/>
      </c>
    </row>
    <row r="357">
      <c r="A357" s="64" t="n"/>
      <c r="B357" s="64" t="n"/>
      <c r="C357" s="66" t="n"/>
      <c r="D357" s="66" t="n"/>
      <c r="E357" s="67" t="n"/>
      <c r="F357" s="67" t="n"/>
      <c r="G357" s="67" t="n"/>
      <c r="H357" s="67" t="n"/>
      <c r="I357" s="67" t="n"/>
      <c r="J357" s="67" t="n"/>
      <c r="K357" s="67" t="n"/>
      <c r="L357" s="67" t="n"/>
      <c r="M357" s="64" t="n"/>
      <c r="N357" s="66" t="n"/>
      <c r="O357" s="84">
        <f>IF(A357="","",IF(OR(C357="",D357=""),"Enter both dates",IF(D357&lt;C357,"To is before From",IF(COUNTIFS($P$5:$P$2004,P357,$C$5:$C$2004,"&lt;="&amp;D357,$D$5:$D$2004,"&gt;="&amp;C357)&gt;1,"Overlaps another row","OK"))))</f>
        <v/>
      </c>
      <c r="P357">
        <f>IF(A357="","",A357&amp;"|"&amp;IF(B357="","Standard",B357))</f>
        <v/>
      </c>
      <c r="Q357">
        <f>IF(AND(A357&lt;&gt;"",A357='Firm Search'!$C$7),COUNTIF($A$5:A357,'Firm Search'!$C$7),"")</f>
        <v/>
      </c>
    </row>
    <row r="358">
      <c r="A358" s="64" t="n"/>
      <c r="B358" s="64" t="n"/>
      <c r="C358" s="66" t="n"/>
      <c r="D358" s="66" t="n"/>
      <c r="E358" s="67" t="n"/>
      <c r="F358" s="67" t="n"/>
      <c r="G358" s="67" t="n"/>
      <c r="H358" s="67" t="n"/>
      <c r="I358" s="67" t="n"/>
      <c r="J358" s="67" t="n"/>
      <c r="K358" s="67" t="n"/>
      <c r="L358" s="67" t="n"/>
      <c r="M358" s="64" t="n"/>
      <c r="N358" s="66" t="n"/>
      <c r="O358" s="84">
        <f>IF(A358="","",IF(OR(C358="",D358=""),"Enter both dates",IF(D358&lt;C358,"To is before From",IF(COUNTIFS($P$5:$P$2004,P358,$C$5:$C$2004,"&lt;="&amp;D358,$D$5:$D$2004,"&gt;="&amp;C358)&gt;1,"Overlaps another row","OK"))))</f>
        <v/>
      </c>
      <c r="P358">
        <f>IF(A358="","",A358&amp;"|"&amp;IF(B358="","Standard",B358))</f>
        <v/>
      </c>
      <c r="Q358">
        <f>IF(AND(A358&lt;&gt;"",A358='Firm Search'!$C$7),COUNTIF($A$5:A358,'Firm Search'!$C$7),"")</f>
        <v/>
      </c>
    </row>
    <row r="359">
      <c r="A359" s="64" t="n"/>
      <c r="B359" s="64" t="n"/>
      <c r="C359" s="66" t="n"/>
      <c r="D359" s="66" t="n"/>
      <c r="E359" s="67" t="n"/>
      <c r="F359" s="67" t="n"/>
      <c r="G359" s="67" t="n"/>
      <c r="H359" s="67" t="n"/>
      <c r="I359" s="67" t="n"/>
      <c r="J359" s="67" t="n"/>
      <c r="K359" s="67" t="n"/>
      <c r="L359" s="67" t="n"/>
      <c r="M359" s="64" t="n"/>
      <c r="N359" s="66" t="n"/>
      <c r="O359" s="84">
        <f>IF(A359="","",IF(OR(C359="",D359=""),"Enter both dates",IF(D359&lt;C359,"To is before From",IF(COUNTIFS($P$5:$P$2004,P359,$C$5:$C$2004,"&lt;="&amp;D359,$D$5:$D$2004,"&gt;="&amp;C359)&gt;1,"Overlaps another row","OK"))))</f>
        <v/>
      </c>
      <c r="P359">
        <f>IF(A359="","",A359&amp;"|"&amp;IF(B359="","Standard",B359))</f>
        <v/>
      </c>
      <c r="Q359">
        <f>IF(AND(A359&lt;&gt;"",A359='Firm Search'!$C$7),COUNTIF($A$5:A359,'Firm Search'!$C$7),"")</f>
        <v/>
      </c>
    </row>
    <row r="360">
      <c r="A360" s="64" t="n"/>
      <c r="B360" s="64" t="n"/>
      <c r="C360" s="66" t="n"/>
      <c r="D360" s="66" t="n"/>
      <c r="E360" s="67" t="n"/>
      <c r="F360" s="67" t="n"/>
      <c r="G360" s="67" t="n"/>
      <c r="H360" s="67" t="n"/>
      <c r="I360" s="67" t="n"/>
      <c r="J360" s="67" t="n"/>
      <c r="K360" s="67" t="n"/>
      <c r="L360" s="67" t="n"/>
      <c r="M360" s="64" t="n"/>
      <c r="N360" s="66" t="n"/>
      <c r="O360" s="84">
        <f>IF(A360="","",IF(OR(C360="",D360=""),"Enter both dates",IF(D360&lt;C360,"To is before From",IF(COUNTIFS($P$5:$P$2004,P360,$C$5:$C$2004,"&lt;="&amp;D360,$D$5:$D$2004,"&gt;="&amp;C360)&gt;1,"Overlaps another row","OK"))))</f>
        <v/>
      </c>
      <c r="P360">
        <f>IF(A360="","",A360&amp;"|"&amp;IF(B360="","Standard",B360))</f>
        <v/>
      </c>
      <c r="Q360">
        <f>IF(AND(A360&lt;&gt;"",A360='Firm Search'!$C$7),COUNTIF($A$5:A360,'Firm Search'!$C$7),"")</f>
        <v/>
      </c>
    </row>
    <row r="361">
      <c r="A361" s="64" t="n"/>
      <c r="B361" s="64" t="n"/>
      <c r="C361" s="66" t="n"/>
      <c r="D361" s="66" t="n"/>
      <c r="E361" s="67" t="n"/>
      <c r="F361" s="67" t="n"/>
      <c r="G361" s="67" t="n"/>
      <c r="H361" s="67" t="n"/>
      <c r="I361" s="67" t="n"/>
      <c r="J361" s="67" t="n"/>
      <c r="K361" s="67" t="n"/>
      <c r="L361" s="67" t="n"/>
      <c r="M361" s="64" t="n"/>
      <c r="N361" s="66" t="n"/>
      <c r="O361" s="84">
        <f>IF(A361="","",IF(OR(C361="",D361=""),"Enter both dates",IF(D361&lt;C361,"To is before From",IF(COUNTIFS($P$5:$P$2004,P361,$C$5:$C$2004,"&lt;="&amp;D361,$D$5:$D$2004,"&gt;="&amp;C361)&gt;1,"Overlaps another row","OK"))))</f>
        <v/>
      </c>
      <c r="P361">
        <f>IF(A361="","",A361&amp;"|"&amp;IF(B361="","Standard",B361))</f>
        <v/>
      </c>
      <c r="Q361">
        <f>IF(AND(A361&lt;&gt;"",A361='Firm Search'!$C$7),COUNTIF($A$5:A361,'Firm Search'!$C$7),"")</f>
        <v/>
      </c>
    </row>
    <row r="362">
      <c r="A362" s="64" t="n"/>
      <c r="B362" s="64" t="n"/>
      <c r="C362" s="66" t="n"/>
      <c r="D362" s="66" t="n"/>
      <c r="E362" s="67" t="n"/>
      <c r="F362" s="67" t="n"/>
      <c r="G362" s="67" t="n"/>
      <c r="H362" s="67" t="n"/>
      <c r="I362" s="67" t="n"/>
      <c r="J362" s="67" t="n"/>
      <c r="K362" s="67" t="n"/>
      <c r="L362" s="67" t="n"/>
      <c r="M362" s="64" t="n"/>
      <c r="N362" s="66" t="n"/>
      <c r="O362" s="84">
        <f>IF(A362="","",IF(OR(C362="",D362=""),"Enter both dates",IF(D362&lt;C362,"To is before From",IF(COUNTIFS($P$5:$P$2004,P362,$C$5:$C$2004,"&lt;="&amp;D362,$D$5:$D$2004,"&gt;="&amp;C362)&gt;1,"Overlaps another row","OK"))))</f>
        <v/>
      </c>
      <c r="P362">
        <f>IF(A362="","",A362&amp;"|"&amp;IF(B362="","Standard",B362))</f>
        <v/>
      </c>
      <c r="Q362">
        <f>IF(AND(A362&lt;&gt;"",A362='Firm Search'!$C$7),COUNTIF($A$5:A362,'Firm Search'!$C$7),"")</f>
        <v/>
      </c>
    </row>
    <row r="363">
      <c r="A363" s="64" t="n"/>
      <c r="B363" s="64" t="n"/>
      <c r="C363" s="66" t="n"/>
      <c r="D363" s="66" t="n"/>
      <c r="E363" s="67" t="n"/>
      <c r="F363" s="67" t="n"/>
      <c r="G363" s="67" t="n"/>
      <c r="H363" s="67" t="n"/>
      <c r="I363" s="67" t="n"/>
      <c r="J363" s="67" t="n"/>
      <c r="K363" s="67" t="n"/>
      <c r="L363" s="67" t="n"/>
      <c r="M363" s="64" t="n"/>
      <c r="N363" s="66" t="n"/>
      <c r="O363" s="84">
        <f>IF(A363="","",IF(OR(C363="",D363=""),"Enter both dates",IF(D363&lt;C363,"To is before From",IF(COUNTIFS($P$5:$P$2004,P363,$C$5:$C$2004,"&lt;="&amp;D363,$D$5:$D$2004,"&gt;="&amp;C363)&gt;1,"Overlaps another row","OK"))))</f>
        <v/>
      </c>
      <c r="P363">
        <f>IF(A363="","",A363&amp;"|"&amp;IF(B363="","Standard",B363))</f>
        <v/>
      </c>
      <c r="Q363">
        <f>IF(AND(A363&lt;&gt;"",A363='Firm Search'!$C$7),COUNTIF($A$5:A363,'Firm Search'!$C$7),"")</f>
        <v/>
      </c>
    </row>
    <row r="364">
      <c r="A364" s="64" t="n"/>
      <c r="B364" s="64" t="n"/>
      <c r="C364" s="66" t="n"/>
      <c r="D364" s="66" t="n"/>
      <c r="E364" s="67" t="n"/>
      <c r="F364" s="67" t="n"/>
      <c r="G364" s="67" t="n"/>
      <c r="H364" s="67" t="n"/>
      <c r="I364" s="67" t="n"/>
      <c r="J364" s="67" t="n"/>
      <c r="K364" s="67" t="n"/>
      <c r="L364" s="67" t="n"/>
      <c r="M364" s="64" t="n"/>
      <c r="N364" s="66" t="n"/>
      <c r="O364" s="84">
        <f>IF(A364="","",IF(OR(C364="",D364=""),"Enter both dates",IF(D364&lt;C364,"To is before From",IF(COUNTIFS($P$5:$P$2004,P364,$C$5:$C$2004,"&lt;="&amp;D364,$D$5:$D$2004,"&gt;="&amp;C364)&gt;1,"Overlaps another row","OK"))))</f>
        <v/>
      </c>
      <c r="P364">
        <f>IF(A364="","",A364&amp;"|"&amp;IF(B364="","Standard",B364))</f>
        <v/>
      </c>
      <c r="Q364">
        <f>IF(AND(A364&lt;&gt;"",A364='Firm Search'!$C$7),COUNTIF($A$5:A364,'Firm Search'!$C$7),"")</f>
        <v/>
      </c>
    </row>
    <row r="365">
      <c r="A365" s="64" t="n"/>
      <c r="B365" s="64" t="n"/>
      <c r="C365" s="66" t="n"/>
      <c r="D365" s="66" t="n"/>
      <c r="E365" s="67" t="n"/>
      <c r="F365" s="67" t="n"/>
      <c r="G365" s="67" t="n"/>
      <c r="H365" s="67" t="n"/>
      <c r="I365" s="67" t="n"/>
      <c r="J365" s="67" t="n"/>
      <c r="K365" s="67" t="n"/>
      <c r="L365" s="67" t="n"/>
      <c r="M365" s="64" t="n"/>
      <c r="N365" s="66" t="n"/>
      <c r="O365" s="84">
        <f>IF(A365="","",IF(OR(C365="",D365=""),"Enter both dates",IF(D365&lt;C365,"To is before From",IF(COUNTIFS($P$5:$P$2004,P365,$C$5:$C$2004,"&lt;="&amp;D365,$D$5:$D$2004,"&gt;="&amp;C365)&gt;1,"Overlaps another row","OK"))))</f>
        <v/>
      </c>
      <c r="P365">
        <f>IF(A365="","",A365&amp;"|"&amp;IF(B365="","Standard",B365))</f>
        <v/>
      </c>
      <c r="Q365">
        <f>IF(AND(A365&lt;&gt;"",A365='Firm Search'!$C$7),COUNTIF($A$5:A365,'Firm Search'!$C$7),"")</f>
        <v/>
      </c>
    </row>
    <row r="366">
      <c r="A366" s="64" t="n"/>
      <c r="B366" s="64" t="n"/>
      <c r="C366" s="66" t="n"/>
      <c r="D366" s="66" t="n"/>
      <c r="E366" s="67" t="n"/>
      <c r="F366" s="67" t="n"/>
      <c r="G366" s="67" t="n"/>
      <c r="H366" s="67" t="n"/>
      <c r="I366" s="67" t="n"/>
      <c r="J366" s="67" t="n"/>
      <c r="K366" s="67" t="n"/>
      <c r="L366" s="67" t="n"/>
      <c r="M366" s="64" t="n"/>
      <c r="N366" s="66" t="n"/>
      <c r="O366" s="84">
        <f>IF(A366="","",IF(OR(C366="",D366=""),"Enter both dates",IF(D366&lt;C366,"To is before From",IF(COUNTIFS($P$5:$P$2004,P366,$C$5:$C$2004,"&lt;="&amp;D366,$D$5:$D$2004,"&gt;="&amp;C366)&gt;1,"Overlaps another row","OK"))))</f>
        <v/>
      </c>
      <c r="P366">
        <f>IF(A366="","",A366&amp;"|"&amp;IF(B366="","Standard",B366))</f>
        <v/>
      </c>
      <c r="Q366">
        <f>IF(AND(A366&lt;&gt;"",A366='Firm Search'!$C$7),COUNTIF($A$5:A366,'Firm Search'!$C$7),"")</f>
        <v/>
      </c>
    </row>
    <row r="367">
      <c r="A367" s="64" t="n"/>
      <c r="B367" s="64" t="n"/>
      <c r="C367" s="66" t="n"/>
      <c r="D367" s="66" t="n"/>
      <c r="E367" s="67" t="n"/>
      <c r="F367" s="67" t="n"/>
      <c r="G367" s="67" t="n"/>
      <c r="H367" s="67" t="n"/>
      <c r="I367" s="67" t="n"/>
      <c r="J367" s="67" t="n"/>
      <c r="K367" s="67" t="n"/>
      <c r="L367" s="67" t="n"/>
      <c r="M367" s="64" t="n"/>
      <c r="N367" s="66" t="n"/>
      <c r="O367" s="84">
        <f>IF(A367="","",IF(OR(C367="",D367=""),"Enter both dates",IF(D367&lt;C367,"To is before From",IF(COUNTIFS($P$5:$P$2004,P367,$C$5:$C$2004,"&lt;="&amp;D367,$D$5:$D$2004,"&gt;="&amp;C367)&gt;1,"Overlaps another row","OK"))))</f>
        <v/>
      </c>
      <c r="P367">
        <f>IF(A367="","",A367&amp;"|"&amp;IF(B367="","Standard",B367))</f>
        <v/>
      </c>
      <c r="Q367">
        <f>IF(AND(A367&lt;&gt;"",A367='Firm Search'!$C$7),COUNTIF($A$5:A367,'Firm Search'!$C$7),"")</f>
        <v/>
      </c>
    </row>
    <row r="368">
      <c r="A368" s="64" t="n"/>
      <c r="B368" s="64" t="n"/>
      <c r="C368" s="66" t="n"/>
      <c r="D368" s="66" t="n"/>
      <c r="E368" s="67" t="n"/>
      <c r="F368" s="67" t="n"/>
      <c r="G368" s="67" t="n"/>
      <c r="H368" s="67" t="n"/>
      <c r="I368" s="67" t="n"/>
      <c r="J368" s="67" t="n"/>
      <c r="K368" s="67" t="n"/>
      <c r="L368" s="67" t="n"/>
      <c r="M368" s="64" t="n"/>
      <c r="N368" s="66" t="n"/>
      <c r="O368" s="84">
        <f>IF(A368="","",IF(OR(C368="",D368=""),"Enter both dates",IF(D368&lt;C368,"To is before From",IF(COUNTIFS($P$5:$P$2004,P368,$C$5:$C$2004,"&lt;="&amp;D368,$D$5:$D$2004,"&gt;="&amp;C368)&gt;1,"Overlaps another row","OK"))))</f>
        <v/>
      </c>
      <c r="P368">
        <f>IF(A368="","",A368&amp;"|"&amp;IF(B368="","Standard",B368))</f>
        <v/>
      </c>
      <c r="Q368">
        <f>IF(AND(A368&lt;&gt;"",A368='Firm Search'!$C$7),COUNTIF($A$5:A368,'Firm Search'!$C$7),"")</f>
        <v/>
      </c>
    </row>
    <row r="369">
      <c r="A369" s="64" t="n"/>
      <c r="B369" s="64" t="n"/>
      <c r="C369" s="66" t="n"/>
      <c r="D369" s="66" t="n"/>
      <c r="E369" s="67" t="n"/>
      <c r="F369" s="67" t="n"/>
      <c r="G369" s="67" t="n"/>
      <c r="H369" s="67" t="n"/>
      <c r="I369" s="67" t="n"/>
      <c r="J369" s="67" t="n"/>
      <c r="K369" s="67" t="n"/>
      <c r="L369" s="67" t="n"/>
      <c r="M369" s="64" t="n"/>
      <c r="N369" s="66" t="n"/>
      <c r="O369" s="84">
        <f>IF(A369="","",IF(OR(C369="",D369=""),"Enter both dates",IF(D369&lt;C369,"To is before From",IF(COUNTIFS($P$5:$P$2004,P369,$C$5:$C$2004,"&lt;="&amp;D369,$D$5:$D$2004,"&gt;="&amp;C369)&gt;1,"Overlaps another row","OK"))))</f>
        <v/>
      </c>
      <c r="P369">
        <f>IF(A369="","",A369&amp;"|"&amp;IF(B369="","Standard",B369))</f>
        <v/>
      </c>
      <c r="Q369">
        <f>IF(AND(A369&lt;&gt;"",A369='Firm Search'!$C$7),COUNTIF($A$5:A369,'Firm Search'!$C$7),"")</f>
        <v/>
      </c>
    </row>
    <row r="370">
      <c r="A370" s="64" t="n"/>
      <c r="B370" s="64" t="n"/>
      <c r="C370" s="66" t="n"/>
      <c r="D370" s="66" t="n"/>
      <c r="E370" s="67" t="n"/>
      <c r="F370" s="67" t="n"/>
      <c r="G370" s="67" t="n"/>
      <c r="H370" s="67" t="n"/>
      <c r="I370" s="67" t="n"/>
      <c r="J370" s="67" t="n"/>
      <c r="K370" s="67" t="n"/>
      <c r="L370" s="67" t="n"/>
      <c r="M370" s="64" t="n"/>
      <c r="N370" s="66" t="n"/>
      <c r="O370" s="84">
        <f>IF(A370="","",IF(OR(C370="",D370=""),"Enter both dates",IF(D370&lt;C370,"To is before From",IF(COUNTIFS($P$5:$P$2004,P370,$C$5:$C$2004,"&lt;="&amp;D370,$D$5:$D$2004,"&gt;="&amp;C370)&gt;1,"Overlaps another row","OK"))))</f>
        <v/>
      </c>
      <c r="P370">
        <f>IF(A370="","",A370&amp;"|"&amp;IF(B370="","Standard",B370))</f>
        <v/>
      </c>
      <c r="Q370">
        <f>IF(AND(A370&lt;&gt;"",A370='Firm Search'!$C$7),COUNTIF($A$5:A370,'Firm Search'!$C$7),"")</f>
        <v/>
      </c>
    </row>
    <row r="371">
      <c r="A371" s="64" t="n"/>
      <c r="B371" s="64" t="n"/>
      <c r="C371" s="66" t="n"/>
      <c r="D371" s="66" t="n"/>
      <c r="E371" s="67" t="n"/>
      <c r="F371" s="67" t="n"/>
      <c r="G371" s="67" t="n"/>
      <c r="H371" s="67" t="n"/>
      <c r="I371" s="67" t="n"/>
      <c r="J371" s="67" t="n"/>
      <c r="K371" s="67" t="n"/>
      <c r="L371" s="67" t="n"/>
      <c r="M371" s="64" t="n"/>
      <c r="N371" s="66" t="n"/>
      <c r="O371" s="84">
        <f>IF(A371="","",IF(OR(C371="",D371=""),"Enter both dates",IF(D371&lt;C371,"To is before From",IF(COUNTIFS($P$5:$P$2004,P371,$C$5:$C$2004,"&lt;="&amp;D371,$D$5:$D$2004,"&gt;="&amp;C371)&gt;1,"Overlaps another row","OK"))))</f>
        <v/>
      </c>
      <c r="P371">
        <f>IF(A371="","",A371&amp;"|"&amp;IF(B371="","Standard",B371))</f>
        <v/>
      </c>
      <c r="Q371">
        <f>IF(AND(A371&lt;&gt;"",A371='Firm Search'!$C$7),COUNTIF($A$5:A371,'Firm Search'!$C$7),"")</f>
        <v/>
      </c>
    </row>
    <row r="372">
      <c r="A372" s="64" t="n"/>
      <c r="B372" s="64" t="n"/>
      <c r="C372" s="66" t="n"/>
      <c r="D372" s="66" t="n"/>
      <c r="E372" s="67" t="n"/>
      <c r="F372" s="67" t="n"/>
      <c r="G372" s="67" t="n"/>
      <c r="H372" s="67" t="n"/>
      <c r="I372" s="67" t="n"/>
      <c r="J372" s="67" t="n"/>
      <c r="K372" s="67" t="n"/>
      <c r="L372" s="67" t="n"/>
      <c r="M372" s="64" t="n"/>
      <c r="N372" s="66" t="n"/>
      <c r="O372" s="84">
        <f>IF(A372="","",IF(OR(C372="",D372=""),"Enter both dates",IF(D372&lt;C372,"To is before From",IF(COUNTIFS($P$5:$P$2004,P372,$C$5:$C$2004,"&lt;="&amp;D372,$D$5:$D$2004,"&gt;="&amp;C372)&gt;1,"Overlaps another row","OK"))))</f>
        <v/>
      </c>
      <c r="P372">
        <f>IF(A372="","",A372&amp;"|"&amp;IF(B372="","Standard",B372))</f>
        <v/>
      </c>
      <c r="Q372">
        <f>IF(AND(A372&lt;&gt;"",A372='Firm Search'!$C$7),COUNTIF($A$5:A372,'Firm Search'!$C$7),"")</f>
        <v/>
      </c>
    </row>
    <row r="373">
      <c r="A373" s="64" t="n"/>
      <c r="B373" s="64" t="n"/>
      <c r="C373" s="66" t="n"/>
      <c r="D373" s="66" t="n"/>
      <c r="E373" s="67" t="n"/>
      <c r="F373" s="67" t="n"/>
      <c r="G373" s="67" t="n"/>
      <c r="H373" s="67" t="n"/>
      <c r="I373" s="67" t="n"/>
      <c r="J373" s="67" t="n"/>
      <c r="K373" s="67" t="n"/>
      <c r="L373" s="67" t="n"/>
      <c r="M373" s="64" t="n"/>
      <c r="N373" s="66" t="n"/>
      <c r="O373" s="84">
        <f>IF(A373="","",IF(OR(C373="",D373=""),"Enter both dates",IF(D373&lt;C373,"To is before From",IF(COUNTIFS($P$5:$P$2004,P373,$C$5:$C$2004,"&lt;="&amp;D373,$D$5:$D$2004,"&gt;="&amp;C373)&gt;1,"Overlaps another row","OK"))))</f>
        <v/>
      </c>
      <c r="P373">
        <f>IF(A373="","",A373&amp;"|"&amp;IF(B373="","Standard",B373))</f>
        <v/>
      </c>
      <c r="Q373">
        <f>IF(AND(A373&lt;&gt;"",A373='Firm Search'!$C$7),COUNTIF($A$5:A373,'Firm Search'!$C$7),"")</f>
        <v/>
      </c>
    </row>
    <row r="374">
      <c r="A374" s="64" t="n"/>
      <c r="B374" s="64" t="n"/>
      <c r="C374" s="66" t="n"/>
      <c r="D374" s="66" t="n"/>
      <c r="E374" s="67" t="n"/>
      <c r="F374" s="67" t="n"/>
      <c r="G374" s="67" t="n"/>
      <c r="H374" s="67" t="n"/>
      <c r="I374" s="67" t="n"/>
      <c r="J374" s="67" t="n"/>
      <c r="K374" s="67" t="n"/>
      <c r="L374" s="67" t="n"/>
      <c r="M374" s="64" t="n"/>
      <c r="N374" s="66" t="n"/>
      <c r="O374" s="84">
        <f>IF(A374="","",IF(OR(C374="",D374=""),"Enter both dates",IF(D374&lt;C374,"To is before From",IF(COUNTIFS($P$5:$P$2004,P374,$C$5:$C$2004,"&lt;="&amp;D374,$D$5:$D$2004,"&gt;="&amp;C374)&gt;1,"Overlaps another row","OK"))))</f>
        <v/>
      </c>
      <c r="P374">
        <f>IF(A374="","",A374&amp;"|"&amp;IF(B374="","Standard",B374))</f>
        <v/>
      </c>
      <c r="Q374">
        <f>IF(AND(A374&lt;&gt;"",A374='Firm Search'!$C$7),COUNTIF($A$5:A374,'Firm Search'!$C$7),"")</f>
        <v/>
      </c>
    </row>
    <row r="375">
      <c r="A375" s="64" t="n"/>
      <c r="B375" s="64" t="n"/>
      <c r="C375" s="66" t="n"/>
      <c r="D375" s="66" t="n"/>
      <c r="E375" s="67" t="n"/>
      <c r="F375" s="67" t="n"/>
      <c r="G375" s="67" t="n"/>
      <c r="H375" s="67" t="n"/>
      <c r="I375" s="67" t="n"/>
      <c r="J375" s="67" t="n"/>
      <c r="K375" s="67" t="n"/>
      <c r="L375" s="67" t="n"/>
      <c r="M375" s="64" t="n"/>
      <c r="N375" s="66" t="n"/>
      <c r="O375" s="84">
        <f>IF(A375="","",IF(OR(C375="",D375=""),"Enter both dates",IF(D375&lt;C375,"To is before From",IF(COUNTIFS($P$5:$P$2004,P375,$C$5:$C$2004,"&lt;="&amp;D375,$D$5:$D$2004,"&gt;="&amp;C375)&gt;1,"Overlaps another row","OK"))))</f>
        <v/>
      </c>
      <c r="P375">
        <f>IF(A375="","",A375&amp;"|"&amp;IF(B375="","Standard",B375))</f>
        <v/>
      </c>
      <c r="Q375">
        <f>IF(AND(A375&lt;&gt;"",A375='Firm Search'!$C$7),COUNTIF($A$5:A375,'Firm Search'!$C$7),"")</f>
        <v/>
      </c>
    </row>
    <row r="376">
      <c r="A376" s="64" t="n"/>
      <c r="B376" s="64" t="n"/>
      <c r="C376" s="66" t="n"/>
      <c r="D376" s="66" t="n"/>
      <c r="E376" s="67" t="n"/>
      <c r="F376" s="67" t="n"/>
      <c r="G376" s="67" t="n"/>
      <c r="H376" s="67" t="n"/>
      <c r="I376" s="67" t="n"/>
      <c r="J376" s="67" t="n"/>
      <c r="K376" s="67" t="n"/>
      <c r="L376" s="67" t="n"/>
      <c r="M376" s="64" t="n"/>
      <c r="N376" s="66" t="n"/>
      <c r="O376" s="84">
        <f>IF(A376="","",IF(OR(C376="",D376=""),"Enter both dates",IF(D376&lt;C376,"To is before From",IF(COUNTIFS($P$5:$P$2004,P376,$C$5:$C$2004,"&lt;="&amp;D376,$D$5:$D$2004,"&gt;="&amp;C376)&gt;1,"Overlaps another row","OK"))))</f>
        <v/>
      </c>
      <c r="P376">
        <f>IF(A376="","",A376&amp;"|"&amp;IF(B376="","Standard",B376))</f>
        <v/>
      </c>
      <c r="Q376">
        <f>IF(AND(A376&lt;&gt;"",A376='Firm Search'!$C$7),COUNTIF($A$5:A376,'Firm Search'!$C$7),"")</f>
        <v/>
      </c>
    </row>
    <row r="377">
      <c r="A377" s="64" t="n"/>
      <c r="B377" s="64" t="n"/>
      <c r="C377" s="66" t="n"/>
      <c r="D377" s="66" t="n"/>
      <c r="E377" s="67" t="n"/>
      <c r="F377" s="67" t="n"/>
      <c r="G377" s="67" t="n"/>
      <c r="H377" s="67" t="n"/>
      <c r="I377" s="67" t="n"/>
      <c r="J377" s="67" t="n"/>
      <c r="K377" s="67" t="n"/>
      <c r="L377" s="67" t="n"/>
      <c r="M377" s="64" t="n"/>
      <c r="N377" s="66" t="n"/>
      <c r="O377" s="84">
        <f>IF(A377="","",IF(OR(C377="",D377=""),"Enter both dates",IF(D377&lt;C377,"To is before From",IF(COUNTIFS($P$5:$P$2004,P377,$C$5:$C$2004,"&lt;="&amp;D377,$D$5:$D$2004,"&gt;="&amp;C377)&gt;1,"Overlaps another row","OK"))))</f>
        <v/>
      </c>
      <c r="P377">
        <f>IF(A377="","",A377&amp;"|"&amp;IF(B377="","Standard",B377))</f>
        <v/>
      </c>
      <c r="Q377">
        <f>IF(AND(A377&lt;&gt;"",A377='Firm Search'!$C$7),COUNTIF($A$5:A377,'Firm Search'!$C$7),"")</f>
        <v/>
      </c>
    </row>
    <row r="378">
      <c r="A378" s="64" t="n"/>
      <c r="B378" s="64" t="n"/>
      <c r="C378" s="66" t="n"/>
      <c r="D378" s="66" t="n"/>
      <c r="E378" s="67" t="n"/>
      <c r="F378" s="67" t="n"/>
      <c r="G378" s="67" t="n"/>
      <c r="H378" s="67" t="n"/>
      <c r="I378" s="67" t="n"/>
      <c r="J378" s="67" t="n"/>
      <c r="K378" s="67" t="n"/>
      <c r="L378" s="67" t="n"/>
      <c r="M378" s="64" t="n"/>
      <c r="N378" s="66" t="n"/>
      <c r="O378" s="84">
        <f>IF(A378="","",IF(OR(C378="",D378=""),"Enter both dates",IF(D378&lt;C378,"To is before From",IF(COUNTIFS($P$5:$P$2004,P378,$C$5:$C$2004,"&lt;="&amp;D378,$D$5:$D$2004,"&gt;="&amp;C378)&gt;1,"Overlaps another row","OK"))))</f>
        <v/>
      </c>
      <c r="P378">
        <f>IF(A378="","",A378&amp;"|"&amp;IF(B378="","Standard",B378))</f>
        <v/>
      </c>
      <c r="Q378">
        <f>IF(AND(A378&lt;&gt;"",A378='Firm Search'!$C$7),COUNTIF($A$5:A378,'Firm Search'!$C$7),"")</f>
        <v/>
      </c>
    </row>
    <row r="379">
      <c r="A379" s="64" t="n"/>
      <c r="B379" s="64" t="n"/>
      <c r="C379" s="66" t="n"/>
      <c r="D379" s="66" t="n"/>
      <c r="E379" s="67" t="n"/>
      <c r="F379" s="67" t="n"/>
      <c r="G379" s="67" t="n"/>
      <c r="H379" s="67" t="n"/>
      <c r="I379" s="67" t="n"/>
      <c r="J379" s="67" t="n"/>
      <c r="K379" s="67" t="n"/>
      <c r="L379" s="67" t="n"/>
      <c r="M379" s="64" t="n"/>
      <c r="N379" s="66" t="n"/>
      <c r="O379" s="84">
        <f>IF(A379="","",IF(OR(C379="",D379=""),"Enter both dates",IF(D379&lt;C379,"To is before From",IF(COUNTIFS($P$5:$P$2004,P379,$C$5:$C$2004,"&lt;="&amp;D379,$D$5:$D$2004,"&gt;="&amp;C379)&gt;1,"Overlaps another row","OK"))))</f>
        <v/>
      </c>
      <c r="P379">
        <f>IF(A379="","",A379&amp;"|"&amp;IF(B379="","Standard",B379))</f>
        <v/>
      </c>
      <c r="Q379">
        <f>IF(AND(A379&lt;&gt;"",A379='Firm Search'!$C$7),COUNTIF($A$5:A379,'Firm Search'!$C$7),"")</f>
        <v/>
      </c>
    </row>
    <row r="380">
      <c r="A380" s="64" t="n"/>
      <c r="B380" s="64" t="n"/>
      <c r="C380" s="66" t="n"/>
      <c r="D380" s="66" t="n"/>
      <c r="E380" s="67" t="n"/>
      <c r="F380" s="67" t="n"/>
      <c r="G380" s="67" t="n"/>
      <c r="H380" s="67" t="n"/>
      <c r="I380" s="67" t="n"/>
      <c r="J380" s="67" t="n"/>
      <c r="K380" s="67" t="n"/>
      <c r="L380" s="67" t="n"/>
      <c r="M380" s="64" t="n"/>
      <c r="N380" s="66" t="n"/>
      <c r="O380" s="84">
        <f>IF(A380="","",IF(OR(C380="",D380=""),"Enter both dates",IF(D380&lt;C380,"To is before From",IF(COUNTIFS($P$5:$P$2004,P380,$C$5:$C$2004,"&lt;="&amp;D380,$D$5:$D$2004,"&gt;="&amp;C380)&gt;1,"Overlaps another row","OK"))))</f>
        <v/>
      </c>
      <c r="P380">
        <f>IF(A380="","",A380&amp;"|"&amp;IF(B380="","Standard",B380))</f>
        <v/>
      </c>
      <c r="Q380">
        <f>IF(AND(A380&lt;&gt;"",A380='Firm Search'!$C$7),COUNTIF($A$5:A380,'Firm Search'!$C$7),"")</f>
        <v/>
      </c>
    </row>
    <row r="381">
      <c r="A381" s="64" t="n"/>
      <c r="B381" s="64" t="n"/>
      <c r="C381" s="66" t="n"/>
      <c r="D381" s="66" t="n"/>
      <c r="E381" s="67" t="n"/>
      <c r="F381" s="67" t="n"/>
      <c r="G381" s="67" t="n"/>
      <c r="H381" s="67" t="n"/>
      <c r="I381" s="67" t="n"/>
      <c r="J381" s="67" t="n"/>
      <c r="K381" s="67" t="n"/>
      <c r="L381" s="67" t="n"/>
      <c r="M381" s="64" t="n"/>
      <c r="N381" s="66" t="n"/>
      <c r="O381" s="84">
        <f>IF(A381="","",IF(OR(C381="",D381=""),"Enter both dates",IF(D381&lt;C381,"To is before From",IF(COUNTIFS($P$5:$P$2004,P381,$C$5:$C$2004,"&lt;="&amp;D381,$D$5:$D$2004,"&gt;="&amp;C381)&gt;1,"Overlaps another row","OK"))))</f>
        <v/>
      </c>
      <c r="P381">
        <f>IF(A381="","",A381&amp;"|"&amp;IF(B381="","Standard",B381))</f>
        <v/>
      </c>
      <c r="Q381">
        <f>IF(AND(A381&lt;&gt;"",A381='Firm Search'!$C$7),COUNTIF($A$5:A381,'Firm Search'!$C$7),"")</f>
        <v/>
      </c>
    </row>
    <row r="382">
      <c r="A382" s="64" t="n"/>
      <c r="B382" s="64" t="n"/>
      <c r="C382" s="66" t="n"/>
      <c r="D382" s="66" t="n"/>
      <c r="E382" s="67" t="n"/>
      <c r="F382" s="67" t="n"/>
      <c r="G382" s="67" t="n"/>
      <c r="H382" s="67" t="n"/>
      <c r="I382" s="67" t="n"/>
      <c r="J382" s="67" t="n"/>
      <c r="K382" s="67" t="n"/>
      <c r="L382" s="67" t="n"/>
      <c r="M382" s="64" t="n"/>
      <c r="N382" s="66" t="n"/>
      <c r="O382" s="84">
        <f>IF(A382="","",IF(OR(C382="",D382=""),"Enter both dates",IF(D382&lt;C382,"To is before From",IF(COUNTIFS($P$5:$P$2004,P382,$C$5:$C$2004,"&lt;="&amp;D382,$D$5:$D$2004,"&gt;="&amp;C382)&gt;1,"Overlaps another row","OK"))))</f>
        <v/>
      </c>
      <c r="P382">
        <f>IF(A382="","",A382&amp;"|"&amp;IF(B382="","Standard",B382))</f>
        <v/>
      </c>
      <c r="Q382">
        <f>IF(AND(A382&lt;&gt;"",A382='Firm Search'!$C$7),COUNTIF($A$5:A382,'Firm Search'!$C$7),"")</f>
        <v/>
      </c>
    </row>
    <row r="383">
      <c r="A383" s="64" t="n"/>
      <c r="B383" s="64" t="n"/>
      <c r="C383" s="66" t="n"/>
      <c r="D383" s="66" t="n"/>
      <c r="E383" s="67" t="n"/>
      <c r="F383" s="67" t="n"/>
      <c r="G383" s="67" t="n"/>
      <c r="H383" s="67" t="n"/>
      <c r="I383" s="67" t="n"/>
      <c r="J383" s="67" t="n"/>
      <c r="K383" s="67" t="n"/>
      <c r="L383" s="67" t="n"/>
      <c r="M383" s="64" t="n"/>
      <c r="N383" s="66" t="n"/>
      <c r="O383" s="84">
        <f>IF(A383="","",IF(OR(C383="",D383=""),"Enter both dates",IF(D383&lt;C383,"To is before From",IF(COUNTIFS($P$5:$P$2004,P383,$C$5:$C$2004,"&lt;="&amp;D383,$D$5:$D$2004,"&gt;="&amp;C383)&gt;1,"Overlaps another row","OK"))))</f>
        <v/>
      </c>
      <c r="P383">
        <f>IF(A383="","",A383&amp;"|"&amp;IF(B383="","Standard",B383))</f>
        <v/>
      </c>
      <c r="Q383">
        <f>IF(AND(A383&lt;&gt;"",A383='Firm Search'!$C$7),COUNTIF($A$5:A383,'Firm Search'!$C$7),"")</f>
        <v/>
      </c>
    </row>
    <row r="384">
      <c r="A384" s="64" t="n"/>
      <c r="B384" s="64" t="n"/>
      <c r="C384" s="66" t="n"/>
      <c r="D384" s="66" t="n"/>
      <c r="E384" s="67" t="n"/>
      <c r="F384" s="67" t="n"/>
      <c r="G384" s="67" t="n"/>
      <c r="H384" s="67" t="n"/>
      <c r="I384" s="67" t="n"/>
      <c r="J384" s="67" t="n"/>
      <c r="K384" s="67" t="n"/>
      <c r="L384" s="67" t="n"/>
      <c r="M384" s="64" t="n"/>
      <c r="N384" s="66" t="n"/>
      <c r="O384" s="84">
        <f>IF(A384="","",IF(OR(C384="",D384=""),"Enter both dates",IF(D384&lt;C384,"To is before From",IF(COUNTIFS($P$5:$P$2004,P384,$C$5:$C$2004,"&lt;="&amp;D384,$D$5:$D$2004,"&gt;="&amp;C384)&gt;1,"Overlaps another row","OK"))))</f>
        <v/>
      </c>
      <c r="P384">
        <f>IF(A384="","",A384&amp;"|"&amp;IF(B384="","Standard",B384))</f>
        <v/>
      </c>
      <c r="Q384">
        <f>IF(AND(A384&lt;&gt;"",A384='Firm Search'!$C$7),COUNTIF($A$5:A384,'Firm Search'!$C$7),"")</f>
        <v/>
      </c>
    </row>
    <row r="385">
      <c r="A385" s="64" t="n"/>
      <c r="B385" s="64" t="n"/>
      <c r="C385" s="66" t="n"/>
      <c r="D385" s="66" t="n"/>
      <c r="E385" s="67" t="n"/>
      <c r="F385" s="67" t="n"/>
      <c r="G385" s="67" t="n"/>
      <c r="H385" s="67" t="n"/>
      <c r="I385" s="67" t="n"/>
      <c r="J385" s="67" t="n"/>
      <c r="K385" s="67" t="n"/>
      <c r="L385" s="67" t="n"/>
      <c r="M385" s="64" t="n"/>
      <c r="N385" s="66" t="n"/>
      <c r="O385" s="84">
        <f>IF(A385="","",IF(OR(C385="",D385=""),"Enter both dates",IF(D385&lt;C385,"To is before From",IF(COUNTIFS($P$5:$P$2004,P385,$C$5:$C$2004,"&lt;="&amp;D385,$D$5:$D$2004,"&gt;="&amp;C385)&gt;1,"Overlaps another row","OK"))))</f>
        <v/>
      </c>
      <c r="P385">
        <f>IF(A385="","",A385&amp;"|"&amp;IF(B385="","Standard",B385))</f>
        <v/>
      </c>
      <c r="Q385">
        <f>IF(AND(A385&lt;&gt;"",A385='Firm Search'!$C$7),COUNTIF($A$5:A385,'Firm Search'!$C$7),"")</f>
        <v/>
      </c>
    </row>
    <row r="386">
      <c r="A386" s="64" t="n"/>
      <c r="B386" s="64" t="n"/>
      <c r="C386" s="66" t="n"/>
      <c r="D386" s="66" t="n"/>
      <c r="E386" s="67" t="n"/>
      <c r="F386" s="67" t="n"/>
      <c r="G386" s="67" t="n"/>
      <c r="H386" s="67" t="n"/>
      <c r="I386" s="67" t="n"/>
      <c r="J386" s="67" t="n"/>
      <c r="K386" s="67" t="n"/>
      <c r="L386" s="67" t="n"/>
      <c r="M386" s="64" t="n"/>
      <c r="N386" s="66" t="n"/>
      <c r="O386" s="84">
        <f>IF(A386="","",IF(OR(C386="",D386=""),"Enter both dates",IF(D386&lt;C386,"To is before From",IF(COUNTIFS($P$5:$P$2004,P386,$C$5:$C$2004,"&lt;="&amp;D386,$D$5:$D$2004,"&gt;="&amp;C386)&gt;1,"Overlaps another row","OK"))))</f>
        <v/>
      </c>
      <c r="P386">
        <f>IF(A386="","",A386&amp;"|"&amp;IF(B386="","Standard",B386))</f>
        <v/>
      </c>
      <c r="Q386">
        <f>IF(AND(A386&lt;&gt;"",A386='Firm Search'!$C$7),COUNTIF($A$5:A386,'Firm Search'!$C$7),"")</f>
        <v/>
      </c>
    </row>
    <row r="387">
      <c r="A387" s="64" t="n"/>
      <c r="B387" s="64" t="n"/>
      <c r="C387" s="66" t="n"/>
      <c r="D387" s="66" t="n"/>
      <c r="E387" s="67" t="n"/>
      <c r="F387" s="67" t="n"/>
      <c r="G387" s="67" t="n"/>
      <c r="H387" s="67" t="n"/>
      <c r="I387" s="67" t="n"/>
      <c r="J387" s="67" t="n"/>
      <c r="K387" s="67" t="n"/>
      <c r="L387" s="67" t="n"/>
      <c r="M387" s="64" t="n"/>
      <c r="N387" s="66" t="n"/>
      <c r="O387" s="84">
        <f>IF(A387="","",IF(OR(C387="",D387=""),"Enter both dates",IF(D387&lt;C387,"To is before From",IF(COUNTIFS($P$5:$P$2004,P387,$C$5:$C$2004,"&lt;="&amp;D387,$D$5:$D$2004,"&gt;="&amp;C387)&gt;1,"Overlaps another row","OK"))))</f>
        <v/>
      </c>
      <c r="P387">
        <f>IF(A387="","",A387&amp;"|"&amp;IF(B387="","Standard",B387))</f>
        <v/>
      </c>
      <c r="Q387">
        <f>IF(AND(A387&lt;&gt;"",A387='Firm Search'!$C$7),COUNTIF($A$5:A387,'Firm Search'!$C$7),"")</f>
        <v/>
      </c>
    </row>
    <row r="388">
      <c r="A388" s="64" t="n"/>
      <c r="B388" s="64" t="n"/>
      <c r="C388" s="66" t="n"/>
      <c r="D388" s="66" t="n"/>
      <c r="E388" s="67" t="n"/>
      <c r="F388" s="67" t="n"/>
      <c r="G388" s="67" t="n"/>
      <c r="H388" s="67" t="n"/>
      <c r="I388" s="67" t="n"/>
      <c r="J388" s="67" t="n"/>
      <c r="K388" s="67" t="n"/>
      <c r="L388" s="67" t="n"/>
      <c r="M388" s="64" t="n"/>
      <c r="N388" s="66" t="n"/>
      <c r="O388" s="84">
        <f>IF(A388="","",IF(OR(C388="",D388=""),"Enter both dates",IF(D388&lt;C388,"To is before From",IF(COUNTIFS($P$5:$P$2004,P388,$C$5:$C$2004,"&lt;="&amp;D388,$D$5:$D$2004,"&gt;="&amp;C388)&gt;1,"Overlaps another row","OK"))))</f>
        <v/>
      </c>
      <c r="P388">
        <f>IF(A388="","",A388&amp;"|"&amp;IF(B388="","Standard",B388))</f>
        <v/>
      </c>
      <c r="Q388">
        <f>IF(AND(A388&lt;&gt;"",A388='Firm Search'!$C$7),COUNTIF($A$5:A388,'Firm Search'!$C$7),"")</f>
        <v/>
      </c>
    </row>
    <row r="389">
      <c r="A389" s="64" t="n"/>
      <c r="B389" s="64" t="n"/>
      <c r="C389" s="66" t="n"/>
      <c r="D389" s="66" t="n"/>
      <c r="E389" s="67" t="n"/>
      <c r="F389" s="67" t="n"/>
      <c r="G389" s="67" t="n"/>
      <c r="H389" s="67" t="n"/>
      <c r="I389" s="67" t="n"/>
      <c r="J389" s="67" t="n"/>
      <c r="K389" s="67" t="n"/>
      <c r="L389" s="67" t="n"/>
      <c r="M389" s="64" t="n"/>
      <c r="N389" s="66" t="n"/>
      <c r="O389" s="84">
        <f>IF(A389="","",IF(OR(C389="",D389=""),"Enter both dates",IF(D389&lt;C389,"To is before From",IF(COUNTIFS($P$5:$P$2004,P389,$C$5:$C$2004,"&lt;="&amp;D389,$D$5:$D$2004,"&gt;="&amp;C389)&gt;1,"Overlaps another row","OK"))))</f>
        <v/>
      </c>
      <c r="P389">
        <f>IF(A389="","",A389&amp;"|"&amp;IF(B389="","Standard",B389))</f>
        <v/>
      </c>
      <c r="Q389">
        <f>IF(AND(A389&lt;&gt;"",A389='Firm Search'!$C$7),COUNTIF($A$5:A389,'Firm Search'!$C$7),"")</f>
        <v/>
      </c>
    </row>
    <row r="390">
      <c r="A390" s="64" t="n"/>
      <c r="B390" s="64" t="n"/>
      <c r="C390" s="66" t="n"/>
      <c r="D390" s="66" t="n"/>
      <c r="E390" s="67" t="n"/>
      <c r="F390" s="67" t="n"/>
      <c r="G390" s="67" t="n"/>
      <c r="H390" s="67" t="n"/>
      <c r="I390" s="67" t="n"/>
      <c r="J390" s="67" t="n"/>
      <c r="K390" s="67" t="n"/>
      <c r="L390" s="67" t="n"/>
      <c r="M390" s="64" t="n"/>
      <c r="N390" s="66" t="n"/>
      <c r="O390" s="84">
        <f>IF(A390="","",IF(OR(C390="",D390=""),"Enter both dates",IF(D390&lt;C390,"To is before From",IF(COUNTIFS($P$5:$P$2004,P390,$C$5:$C$2004,"&lt;="&amp;D390,$D$5:$D$2004,"&gt;="&amp;C390)&gt;1,"Overlaps another row","OK"))))</f>
        <v/>
      </c>
      <c r="P390">
        <f>IF(A390="","",A390&amp;"|"&amp;IF(B390="","Standard",B390))</f>
        <v/>
      </c>
      <c r="Q390">
        <f>IF(AND(A390&lt;&gt;"",A390='Firm Search'!$C$7),COUNTIF($A$5:A390,'Firm Search'!$C$7),"")</f>
        <v/>
      </c>
    </row>
    <row r="391">
      <c r="A391" s="64" t="n"/>
      <c r="B391" s="64" t="n"/>
      <c r="C391" s="66" t="n"/>
      <c r="D391" s="66" t="n"/>
      <c r="E391" s="67" t="n"/>
      <c r="F391" s="67" t="n"/>
      <c r="G391" s="67" t="n"/>
      <c r="H391" s="67" t="n"/>
      <c r="I391" s="67" t="n"/>
      <c r="J391" s="67" t="n"/>
      <c r="K391" s="67" t="n"/>
      <c r="L391" s="67" t="n"/>
      <c r="M391" s="64" t="n"/>
      <c r="N391" s="66" t="n"/>
      <c r="O391" s="84">
        <f>IF(A391="","",IF(OR(C391="",D391=""),"Enter both dates",IF(D391&lt;C391,"To is before From",IF(COUNTIFS($P$5:$P$2004,P391,$C$5:$C$2004,"&lt;="&amp;D391,$D$5:$D$2004,"&gt;="&amp;C391)&gt;1,"Overlaps another row","OK"))))</f>
        <v/>
      </c>
      <c r="P391">
        <f>IF(A391="","",A391&amp;"|"&amp;IF(B391="","Standard",B391))</f>
        <v/>
      </c>
      <c r="Q391">
        <f>IF(AND(A391&lt;&gt;"",A391='Firm Search'!$C$7),COUNTIF($A$5:A391,'Firm Search'!$C$7),"")</f>
        <v/>
      </c>
    </row>
    <row r="392">
      <c r="A392" s="64" t="n"/>
      <c r="B392" s="64" t="n"/>
      <c r="C392" s="66" t="n"/>
      <c r="D392" s="66" t="n"/>
      <c r="E392" s="67" t="n"/>
      <c r="F392" s="67" t="n"/>
      <c r="G392" s="67" t="n"/>
      <c r="H392" s="67" t="n"/>
      <c r="I392" s="67" t="n"/>
      <c r="J392" s="67" t="n"/>
      <c r="K392" s="67" t="n"/>
      <c r="L392" s="67" t="n"/>
      <c r="M392" s="64" t="n"/>
      <c r="N392" s="66" t="n"/>
      <c r="O392" s="84">
        <f>IF(A392="","",IF(OR(C392="",D392=""),"Enter both dates",IF(D392&lt;C392,"To is before From",IF(COUNTIFS($P$5:$P$2004,P392,$C$5:$C$2004,"&lt;="&amp;D392,$D$5:$D$2004,"&gt;="&amp;C392)&gt;1,"Overlaps another row","OK"))))</f>
        <v/>
      </c>
      <c r="P392">
        <f>IF(A392="","",A392&amp;"|"&amp;IF(B392="","Standard",B392))</f>
        <v/>
      </c>
      <c r="Q392">
        <f>IF(AND(A392&lt;&gt;"",A392='Firm Search'!$C$7),COUNTIF($A$5:A392,'Firm Search'!$C$7),"")</f>
        <v/>
      </c>
    </row>
    <row r="393">
      <c r="A393" s="64" t="n"/>
      <c r="B393" s="64" t="n"/>
      <c r="C393" s="66" t="n"/>
      <c r="D393" s="66" t="n"/>
      <c r="E393" s="67" t="n"/>
      <c r="F393" s="67" t="n"/>
      <c r="G393" s="67" t="n"/>
      <c r="H393" s="67" t="n"/>
      <c r="I393" s="67" t="n"/>
      <c r="J393" s="67" t="n"/>
      <c r="K393" s="67" t="n"/>
      <c r="L393" s="67" t="n"/>
      <c r="M393" s="64" t="n"/>
      <c r="N393" s="66" t="n"/>
      <c r="O393" s="84">
        <f>IF(A393="","",IF(OR(C393="",D393=""),"Enter both dates",IF(D393&lt;C393,"To is before From",IF(COUNTIFS($P$5:$P$2004,P393,$C$5:$C$2004,"&lt;="&amp;D393,$D$5:$D$2004,"&gt;="&amp;C393)&gt;1,"Overlaps another row","OK"))))</f>
        <v/>
      </c>
      <c r="P393">
        <f>IF(A393="","",A393&amp;"|"&amp;IF(B393="","Standard",B393))</f>
        <v/>
      </c>
      <c r="Q393">
        <f>IF(AND(A393&lt;&gt;"",A393='Firm Search'!$C$7),COUNTIF($A$5:A393,'Firm Search'!$C$7),"")</f>
        <v/>
      </c>
    </row>
    <row r="394">
      <c r="A394" s="64" t="n"/>
      <c r="B394" s="64" t="n"/>
      <c r="C394" s="66" t="n"/>
      <c r="D394" s="66" t="n"/>
      <c r="E394" s="67" t="n"/>
      <c r="F394" s="67" t="n"/>
      <c r="G394" s="67" t="n"/>
      <c r="H394" s="67" t="n"/>
      <c r="I394" s="67" t="n"/>
      <c r="J394" s="67" t="n"/>
      <c r="K394" s="67" t="n"/>
      <c r="L394" s="67" t="n"/>
      <c r="M394" s="64" t="n"/>
      <c r="N394" s="66" t="n"/>
      <c r="O394" s="84">
        <f>IF(A394="","",IF(OR(C394="",D394=""),"Enter both dates",IF(D394&lt;C394,"To is before From",IF(COUNTIFS($P$5:$P$2004,P394,$C$5:$C$2004,"&lt;="&amp;D394,$D$5:$D$2004,"&gt;="&amp;C394)&gt;1,"Overlaps another row","OK"))))</f>
        <v/>
      </c>
      <c r="P394">
        <f>IF(A394="","",A394&amp;"|"&amp;IF(B394="","Standard",B394))</f>
        <v/>
      </c>
      <c r="Q394">
        <f>IF(AND(A394&lt;&gt;"",A394='Firm Search'!$C$7),COUNTIF($A$5:A394,'Firm Search'!$C$7),"")</f>
        <v/>
      </c>
    </row>
    <row r="395">
      <c r="A395" s="64" t="n"/>
      <c r="B395" s="64" t="n"/>
      <c r="C395" s="66" t="n"/>
      <c r="D395" s="66" t="n"/>
      <c r="E395" s="67" t="n"/>
      <c r="F395" s="67" t="n"/>
      <c r="G395" s="67" t="n"/>
      <c r="H395" s="67" t="n"/>
      <c r="I395" s="67" t="n"/>
      <c r="J395" s="67" t="n"/>
      <c r="K395" s="67" t="n"/>
      <c r="L395" s="67" t="n"/>
      <c r="M395" s="64" t="n"/>
      <c r="N395" s="66" t="n"/>
      <c r="O395" s="84">
        <f>IF(A395="","",IF(OR(C395="",D395=""),"Enter both dates",IF(D395&lt;C395,"To is before From",IF(COUNTIFS($P$5:$P$2004,P395,$C$5:$C$2004,"&lt;="&amp;D395,$D$5:$D$2004,"&gt;="&amp;C395)&gt;1,"Overlaps another row","OK"))))</f>
        <v/>
      </c>
      <c r="P395">
        <f>IF(A395="","",A395&amp;"|"&amp;IF(B395="","Standard",B395))</f>
        <v/>
      </c>
      <c r="Q395">
        <f>IF(AND(A395&lt;&gt;"",A395='Firm Search'!$C$7),COUNTIF($A$5:A395,'Firm Search'!$C$7),"")</f>
        <v/>
      </c>
    </row>
    <row r="396">
      <c r="A396" s="64" t="n"/>
      <c r="B396" s="64" t="n"/>
      <c r="C396" s="66" t="n"/>
      <c r="D396" s="66" t="n"/>
      <c r="E396" s="67" t="n"/>
      <c r="F396" s="67" t="n"/>
      <c r="G396" s="67" t="n"/>
      <c r="H396" s="67" t="n"/>
      <c r="I396" s="67" t="n"/>
      <c r="J396" s="67" t="n"/>
      <c r="K396" s="67" t="n"/>
      <c r="L396" s="67" t="n"/>
      <c r="M396" s="64" t="n"/>
      <c r="N396" s="66" t="n"/>
      <c r="O396" s="84">
        <f>IF(A396="","",IF(OR(C396="",D396=""),"Enter both dates",IF(D396&lt;C396,"To is before From",IF(COUNTIFS($P$5:$P$2004,P396,$C$5:$C$2004,"&lt;="&amp;D396,$D$5:$D$2004,"&gt;="&amp;C396)&gt;1,"Overlaps another row","OK"))))</f>
        <v/>
      </c>
      <c r="P396">
        <f>IF(A396="","",A396&amp;"|"&amp;IF(B396="","Standard",B396))</f>
        <v/>
      </c>
      <c r="Q396">
        <f>IF(AND(A396&lt;&gt;"",A396='Firm Search'!$C$7),COUNTIF($A$5:A396,'Firm Search'!$C$7),"")</f>
        <v/>
      </c>
    </row>
    <row r="397">
      <c r="A397" s="64" t="n"/>
      <c r="B397" s="64" t="n"/>
      <c r="C397" s="66" t="n"/>
      <c r="D397" s="66" t="n"/>
      <c r="E397" s="67" t="n"/>
      <c r="F397" s="67" t="n"/>
      <c r="G397" s="67" t="n"/>
      <c r="H397" s="67" t="n"/>
      <c r="I397" s="67" t="n"/>
      <c r="J397" s="67" t="n"/>
      <c r="K397" s="67" t="n"/>
      <c r="L397" s="67" t="n"/>
      <c r="M397" s="64" t="n"/>
      <c r="N397" s="66" t="n"/>
      <c r="O397" s="84">
        <f>IF(A397="","",IF(OR(C397="",D397=""),"Enter both dates",IF(D397&lt;C397,"To is before From",IF(COUNTIFS($P$5:$P$2004,P397,$C$5:$C$2004,"&lt;="&amp;D397,$D$5:$D$2004,"&gt;="&amp;C397)&gt;1,"Overlaps another row","OK"))))</f>
        <v/>
      </c>
      <c r="P397">
        <f>IF(A397="","",A397&amp;"|"&amp;IF(B397="","Standard",B397))</f>
        <v/>
      </c>
      <c r="Q397">
        <f>IF(AND(A397&lt;&gt;"",A397='Firm Search'!$C$7),COUNTIF($A$5:A397,'Firm Search'!$C$7),"")</f>
        <v/>
      </c>
    </row>
    <row r="398">
      <c r="A398" s="64" t="n"/>
      <c r="B398" s="64" t="n"/>
      <c r="C398" s="66" t="n"/>
      <c r="D398" s="66" t="n"/>
      <c r="E398" s="67" t="n"/>
      <c r="F398" s="67" t="n"/>
      <c r="G398" s="67" t="n"/>
      <c r="H398" s="67" t="n"/>
      <c r="I398" s="67" t="n"/>
      <c r="J398" s="67" t="n"/>
      <c r="K398" s="67" t="n"/>
      <c r="L398" s="67" t="n"/>
      <c r="M398" s="64" t="n"/>
      <c r="N398" s="66" t="n"/>
      <c r="O398" s="84">
        <f>IF(A398="","",IF(OR(C398="",D398=""),"Enter both dates",IF(D398&lt;C398,"To is before From",IF(COUNTIFS($P$5:$P$2004,P398,$C$5:$C$2004,"&lt;="&amp;D398,$D$5:$D$2004,"&gt;="&amp;C398)&gt;1,"Overlaps another row","OK"))))</f>
        <v/>
      </c>
      <c r="P398">
        <f>IF(A398="","",A398&amp;"|"&amp;IF(B398="","Standard",B398))</f>
        <v/>
      </c>
      <c r="Q398">
        <f>IF(AND(A398&lt;&gt;"",A398='Firm Search'!$C$7),COUNTIF($A$5:A398,'Firm Search'!$C$7),"")</f>
        <v/>
      </c>
    </row>
    <row r="399">
      <c r="A399" s="64" t="n"/>
      <c r="B399" s="64" t="n"/>
      <c r="C399" s="66" t="n"/>
      <c r="D399" s="66" t="n"/>
      <c r="E399" s="67" t="n"/>
      <c r="F399" s="67" t="n"/>
      <c r="G399" s="67" t="n"/>
      <c r="H399" s="67" t="n"/>
      <c r="I399" s="67" t="n"/>
      <c r="J399" s="67" t="n"/>
      <c r="K399" s="67" t="n"/>
      <c r="L399" s="67" t="n"/>
      <c r="M399" s="64" t="n"/>
      <c r="N399" s="66" t="n"/>
      <c r="O399" s="84">
        <f>IF(A399="","",IF(OR(C399="",D399=""),"Enter both dates",IF(D399&lt;C399,"To is before From",IF(COUNTIFS($P$5:$P$2004,P399,$C$5:$C$2004,"&lt;="&amp;D399,$D$5:$D$2004,"&gt;="&amp;C399)&gt;1,"Overlaps another row","OK"))))</f>
        <v/>
      </c>
      <c r="P399">
        <f>IF(A399="","",A399&amp;"|"&amp;IF(B399="","Standard",B399))</f>
        <v/>
      </c>
      <c r="Q399">
        <f>IF(AND(A399&lt;&gt;"",A399='Firm Search'!$C$7),COUNTIF($A$5:A399,'Firm Search'!$C$7),"")</f>
        <v/>
      </c>
    </row>
    <row r="400">
      <c r="A400" s="64" t="n"/>
      <c r="B400" s="64" t="n"/>
      <c r="C400" s="66" t="n"/>
      <c r="D400" s="66" t="n"/>
      <c r="E400" s="67" t="n"/>
      <c r="F400" s="67" t="n"/>
      <c r="G400" s="67" t="n"/>
      <c r="H400" s="67" t="n"/>
      <c r="I400" s="67" t="n"/>
      <c r="J400" s="67" t="n"/>
      <c r="K400" s="67" t="n"/>
      <c r="L400" s="67" t="n"/>
      <c r="M400" s="64" t="n"/>
      <c r="N400" s="66" t="n"/>
      <c r="O400" s="84">
        <f>IF(A400="","",IF(OR(C400="",D400=""),"Enter both dates",IF(D400&lt;C400,"To is before From",IF(COUNTIFS($P$5:$P$2004,P400,$C$5:$C$2004,"&lt;="&amp;D400,$D$5:$D$2004,"&gt;="&amp;C400)&gt;1,"Overlaps another row","OK"))))</f>
        <v/>
      </c>
      <c r="P400">
        <f>IF(A400="","",A400&amp;"|"&amp;IF(B400="","Standard",B400))</f>
        <v/>
      </c>
      <c r="Q400">
        <f>IF(AND(A400&lt;&gt;"",A400='Firm Search'!$C$7),COUNTIF($A$5:A400,'Firm Search'!$C$7),"")</f>
        <v/>
      </c>
    </row>
    <row r="401">
      <c r="A401" s="64" t="n"/>
      <c r="B401" s="64" t="n"/>
      <c r="C401" s="66" t="n"/>
      <c r="D401" s="66" t="n"/>
      <c r="E401" s="67" t="n"/>
      <c r="F401" s="67" t="n"/>
      <c r="G401" s="67" t="n"/>
      <c r="H401" s="67" t="n"/>
      <c r="I401" s="67" t="n"/>
      <c r="J401" s="67" t="n"/>
      <c r="K401" s="67" t="n"/>
      <c r="L401" s="67" t="n"/>
      <c r="M401" s="64" t="n"/>
      <c r="N401" s="66" t="n"/>
      <c r="O401" s="84">
        <f>IF(A401="","",IF(OR(C401="",D401=""),"Enter both dates",IF(D401&lt;C401,"To is before From",IF(COUNTIFS($P$5:$P$2004,P401,$C$5:$C$2004,"&lt;="&amp;D401,$D$5:$D$2004,"&gt;="&amp;C401)&gt;1,"Overlaps another row","OK"))))</f>
        <v/>
      </c>
      <c r="P401">
        <f>IF(A401="","",A401&amp;"|"&amp;IF(B401="","Standard",B401))</f>
        <v/>
      </c>
      <c r="Q401">
        <f>IF(AND(A401&lt;&gt;"",A401='Firm Search'!$C$7),COUNTIF($A$5:A401,'Firm Search'!$C$7),"")</f>
        <v/>
      </c>
    </row>
    <row r="402">
      <c r="A402" s="64" t="n"/>
      <c r="B402" s="64" t="n"/>
      <c r="C402" s="66" t="n"/>
      <c r="D402" s="66" t="n"/>
      <c r="E402" s="67" t="n"/>
      <c r="F402" s="67" t="n"/>
      <c r="G402" s="67" t="n"/>
      <c r="H402" s="67" t="n"/>
      <c r="I402" s="67" t="n"/>
      <c r="J402" s="67" t="n"/>
      <c r="K402" s="67" t="n"/>
      <c r="L402" s="67" t="n"/>
      <c r="M402" s="64" t="n"/>
      <c r="N402" s="66" t="n"/>
      <c r="O402" s="84">
        <f>IF(A402="","",IF(OR(C402="",D402=""),"Enter both dates",IF(D402&lt;C402,"To is before From",IF(COUNTIFS($P$5:$P$2004,P402,$C$5:$C$2004,"&lt;="&amp;D402,$D$5:$D$2004,"&gt;="&amp;C402)&gt;1,"Overlaps another row","OK"))))</f>
        <v/>
      </c>
      <c r="P402">
        <f>IF(A402="","",A402&amp;"|"&amp;IF(B402="","Standard",B402))</f>
        <v/>
      </c>
      <c r="Q402">
        <f>IF(AND(A402&lt;&gt;"",A402='Firm Search'!$C$7),COUNTIF($A$5:A402,'Firm Search'!$C$7),"")</f>
        <v/>
      </c>
    </row>
    <row r="403">
      <c r="A403" s="64" t="n"/>
      <c r="B403" s="64" t="n"/>
      <c r="C403" s="66" t="n"/>
      <c r="D403" s="66" t="n"/>
      <c r="E403" s="67" t="n"/>
      <c r="F403" s="67" t="n"/>
      <c r="G403" s="67" t="n"/>
      <c r="H403" s="67" t="n"/>
      <c r="I403" s="67" t="n"/>
      <c r="J403" s="67" t="n"/>
      <c r="K403" s="67" t="n"/>
      <c r="L403" s="67" t="n"/>
      <c r="M403" s="64" t="n"/>
      <c r="N403" s="66" t="n"/>
      <c r="O403" s="84">
        <f>IF(A403="","",IF(OR(C403="",D403=""),"Enter both dates",IF(D403&lt;C403,"To is before From",IF(COUNTIFS($P$5:$P$2004,P403,$C$5:$C$2004,"&lt;="&amp;D403,$D$5:$D$2004,"&gt;="&amp;C403)&gt;1,"Overlaps another row","OK"))))</f>
        <v/>
      </c>
      <c r="P403">
        <f>IF(A403="","",A403&amp;"|"&amp;IF(B403="","Standard",B403))</f>
        <v/>
      </c>
      <c r="Q403">
        <f>IF(AND(A403&lt;&gt;"",A403='Firm Search'!$C$7),COUNTIF($A$5:A403,'Firm Search'!$C$7),"")</f>
        <v/>
      </c>
    </row>
    <row r="404">
      <c r="A404" s="64" t="n"/>
      <c r="B404" s="64" t="n"/>
      <c r="C404" s="66" t="n"/>
      <c r="D404" s="66" t="n"/>
      <c r="E404" s="67" t="n"/>
      <c r="F404" s="67" t="n"/>
      <c r="G404" s="67" t="n"/>
      <c r="H404" s="67" t="n"/>
      <c r="I404" s="67" t="n"/>
      <c r="J404" s="67" t="n"/>
      <c r="K404" s="67" t="n"/>
      <c r="L404" s="67" t="n"/>
      <c r="M404" s="64" t="n"/>
      <c r="N404" s="66" t="n"/>
      <c r="O404" s="84">
        <f>IF(A404="","",IF(OR(C404="",D404=""),"Enter both dates",IF(D404&lt;C404,"To is before From",IF(COUNTIFS($P$5:$P$2004,P404,$C$5:$C$2004,"&lt;="&amp;D404,$D$5:$D$2004,"&gt;="&amp;C404)&gt;1,"Overlaps another row","OK"))))</f>
        <v/>
      </c>
      <c r="P404">
        <f>IF(A404="","",A404&amp;"|"&amp;IF(B404="","Standard",B404))</f>
        <v/>
      </c>
      <c r="Q404">
        <f>IF(AND(A404&lt;&gt;"",A404='Firm Search'!$C$7),COUNTIF($A$5:A404,'Firm Search'!$C$7),"")</f>
        <v/>
      </c>
    </row>
    <row r="405">
      <c r="A405" s="64" t="n"/>
      <c r="B405" s="64" t="n"/>
      <c r="C405" s="66" t="n"/>
      <c r="D405" s="66" t="n"/>
      <c r="E405" s="67" t="n"/>
      <c r="F405" s="67" t="n"/>
      <c r="G405" s="67" t="n"/>
      <c r="H405" s="67" t="n"/>
      <c r="I405" s="67" t="n"/>
      <c r="J405" s="67" t="n"/>
      <c r="K405" s="67" t="n"/>
      <c r="L405" s="67" t="n"/>
      <c r="M405" s="64" t="n"/>
      <c r="N405" s="66" t="n"/>
      <c r="O405" s="84">
        <f>IF(A405="","",IF(OR(C405="",D405=""),"Enter both dates",IF(D405&lt;C405,"To is before From",IF(COUNTIFS($P$5:$P$2004,P405,$C$5:$C$2004,"&lt;="&amp;D405,$D$5:$D$2004,"&gt;="&amp;C405)&gt;1,"Overlaps another row","OK"))))</f>
        <v/>
      </c>
      <c r="P405">
        <f>IF(A405="","",A405&amp;"|"&amp;IF(B405="","Standard",B405))</f>
        <v/>
      </c>
      <c r="Q405">
        <f>IF(AND(A405&lt;&gt;"",A405='Firm Search'!$C$7),COUNTIF($A$5:A405,'Firm Search'!$C$7),"")</f>
        <v/>
      </c>
    </row>
    <row r="406">
      <c r="A406" s="64" t="n"/>
      <c r="B406" s="64" t="n"/>
      <c r="C406" s="66" t="n"/>
      <c r="D406" s="66" t="n"/>
      <c r="E406" s="67" t="n"/>
      <c r="F406" s="67" t="n"/>
      <c r="G406" s="67" t="n"/>
      <c r="H406" s="67" t="n"/>
      <c r="I406" s="67" t="n"/>
      <c r="J406" s="67" t="n"/>
      <c r="K406" s="67" t="n"/>
      <c r="L406" s="67" t="n"/>
      <c r="M406" s="64" t="n"/>
      <c r="N406" s="66" t="n"/>
      <c r="O406" s="84">
        <f>IF(A406="","",IF(OR(C406="",D406=""),"Enter both dates",IF(D406&lt;C406,"To is before From",IF(COUNTIFS($P$5:$P$2004,P406,$C$5:$C$2004,"&lt;="&amp;D406,$D$5:$D$2004,"&gt;="&amp;C406)&gt;1,"Overlaps another row","OK"))))</f>
        <v/>
      </c>
      <c r="P406">
        <f>IF(A406="","",A406&amp;"|"&amp;IF(B406="","Standard",B406))</f>
        <v/>
      </c>
      <c r="Q406">
        <f>IF(AND(A406&lt;&gt;"",A406='Firm Search'!$C$7),COUNTIF($A$5:A406,'Firm Search'!$C$7),"")</f>
        <v/>
      </c>
    </row>
    <row r="407">
      <c r="A407" s="64" t="n"/>
      <c r="B407" s="64" t="n"/>
      <c r="C407" s="66" t="n"/>
      <c r="D407" s="66" t="n"/>
      <c r="E407" s="67" t="n"/>
      <c r="F407" s="67" t="n"/>
      <c r="G407" s="67" t="n"/>
      <c r="H407" s="67" t="n"/>
      <c r="I407" s="67" t="n"/>
      <c r="J407" s="67" t="n"/>
      <c r="K407" s="67" t="n"/>
      <c r="L407" s="67" t="n"/>
      <c r="M407" s="64" t="n"/>
      <c r="N407" s="66" t="n"/>
      <c r="O407" s="84">
        <f>IF(A407="","",IF(OR(C407="",D407=""),"Enter both dates",IF(D407&lt;C407,"To is before From",IF(COUNTIFS($P$5:$P$2004,P407,$C$5:$C$2004,"&lt;="&amp;D407,$D$5:$D$2004,"&gt;="&amp;C407)&gt;1,"Overlaps another row","OK"))))</f>
        <v/>
      </c>
      <c r="P407">
        <f>IF(A407="","",A407&amp;"|"&amp;IF(B407="","Standard",B407))</f>
        <v/>
      </c>
      <c r="Q407">
        <f>IF(AND(A407&lt;&gt;"",A407='Firm Search'!$C$7),COUNTIF($A$5:A407,'Firm Search'!$C$7),"")</f>
        <v/>
      </c>
    </row>
    <row r="408">
      <c r="A408" s="64" t="n"/>
      <c r="B408" s="64" t="n"/>
      <c r="C408" s="66" t="n"/>
      <c r="D408" s="66" t="n"/>
      <c r="E408" s="67" t="n"/>
      <c r="F408" s="67" t="n"/>
      <c r="G408" s="67" t="n"/>
      <c r="H408" s="67" t="n"/>
      <c r="I408" s="67" t="n"/>
      <c r="J408" s="67" t="n"/>
      <c r="K408" s="67" t="n"/>
      <c r="L408" s="67" t="n"/>
      <c r="M408" s="64" t="n"/>
      <c r="N408" s="66" t="n"/>
      <c r="O408" s="84">
        <f>IF(A408="","",IF(OR(C408="",D408=""),"Enter both dates",IF(D408&lt;C408,"To is before From",IF(COUNTIFS($P$5:$P$2004,P408,$C$5:$C$2004,"&lt;="&amp;D408,$D$5:$D$2004,"&gt;="&amp;C408)&gt;1,"Overlaps another row","OK"))))</f>
        <v/>
      </c>
      <c r="P408">
        <f>IF(A408="","",A408&amp;"|"&amp;IF(B408="","Standard",B408))</f>
        <v/>
      </c>
      <c r="Q408">
        <f>IF(AND(A408&lt;&gt;"",A408='Firm Search'!$C$7),COUNTIF($A$5:A408,'Firm Search'!$C$7),"")</f>
        <v/>
      </c>
    </row>
    <row r="409">
      <c r="A409" s="64" t="n"/>
      <c r="B409" s="64" t="n"/>
      <c r="C409" s="66" t="n"/>
      <c r="D409" s="66" t="n"/>
      <c r="E409" s="67" t="n"/>
      <c r="F409" s="67" t="n"/>
      <c r="G409" s="67" t="n"/>
      <c r="H409" s="67" t="n"/>
      <c r="I409" s="67" t="n"/>
      <c r="J409" s="67" t="n"/>
      <c r="K409" s="67" t="n"/>
      <c r="L409" s="67" t="n"/>
      <c r="M409" s="64" t="n"/>
      <c r="N409" s="66" t="n"/>
      <c r="O409" s="84">
        <f>IF(A409="","",IF(OR(C409="",D409=""),"Enter both dates",IF(D409&lt;C409,"To is before From",IF(COUNTIFS($P$5:$P$2004,P409,$C$5:$C$2004,"&lt;="&amp;D409,$D$5:$D$2004,"&gt;="&amp;C409)&gt;1,"Overlaps another row","OK"))))</f>
        <v/>
      </c>
      <c r="P409">
        <f>IF(A409="","",A409&amp;"|"&amp;IF(B409="","Standard",B409))</f>
        <v/>
      </c>
      <c r="Q409">
        <f>IF(AND(A409&lt;&gt;"",A409='Firm Search'!$C$7),COUNTIF($A$5:A409,'Firm Search'!$C$7),"")</f>
        <v/>
      </c>
    </row>
    <row r="410">
      <c r="A410" s="64" t="n"/>
      <c r="B410" s="64" t="n"/>
      <c r="C410" s="66" t="n"/>
      <c r="D410" s="66" t="n"/>
      <c r="E410" s="67" t="n"/>
      <c r="F410" s="67" t="n"/>
      <c r="G410" s="67" t="n"/>
      <c r="H410" s="67" t="n"/>
      <c r="I410" s="67" t="n"/>
      <c r="J410" s="67" t="n"/>
      <c r="K410" s="67" t="n"/>
      <c r="L410" s="67" t="n"/>
      <c r="M410" s="64" t="n"/>
      <c r="N410" s="66" t="n"/>
      <c r="O410" s="84">
        <f>IF(A410="","",IF(OR(C410="",D410=""),"Enter both dates",IF(D410&lt;C410,"To is before From",IF(COUNTIFS($P$5:$P$2004,P410,$C$5:$C$2004,"&lt;="&amp;D410,$D$5:$D$2004,"&gt;="&amp;C410)&gt;1,"Overlaps another row","OK"))))</f>
        <v/>
      </c>
      <c r="P410">
        <f>IF(A410="","",A410&amp;"|"&amp;IF(B410="","Standard",B410))</f>
        <v/>
      </c>
      <c r="Q410">
        <f>IF(AND(A410&lt;&gt;"",A410='Firm Search'!$C$7),COUNTIF($A$5:A410,'Firm Search'!$C$7),"")</f>
        <v/>
      </c>
    </row>
    <row r="411">
      <c r="A411" s="64" t="n"/>
      <c r="B411" s="64" t="n"/>
      <c r="C411" s="66" t="n"/>
      <c r="D411" s="66" t="n"/>
      <c r="E411" s="67" t="n"/>
      <c r="F411" s="67" t="n"/>
      <c r="G411" s="67" t="n"/>
      <c r="H411" s="67" t="n"/>
      <c r="I411" s="67" t="n"/>
      <c r="J411" s="67" t="n"/>
      <c r="K411" s="67" t="n"/>
      <c r="L411" s="67" t="n"/>
      <c r="M411" s="64" t="n"/>
      <c r="N411" s="66" t="n"/>
      <c r="O411" s="84">
        <f>IF(A411="","",IF(OR(C411="",D411=""),"Enter both dates",IF(D411&lt;C411,"To is before From",IF(COUNTIFS($P$5:$P$2004,P411,$C$5:$C$2004,"&lt;="&amp;D411,$D$5:$D$2004,"&gt;="&amp;C411)&gt;1,"Overlaps another row","OK"))))</f>
        <v/>
      </c>
      <c r="P411">
        <f>IF(A411="","",A411&amp;"|"&amp;IF(B411="","Standard",B411))</f>
        <v/>
      </c>
      <c r="Q411">
        <f>IF(AND(A411&lt;&gt;"",A411='Firm Search'!$C$7),COUNTIF($A$5:A411,'Firm Search'!$C$7),"")</f>
        <v/>
      </c>
    </row>
    <row r="412">
      <c r="A412" s="64" t="n"/>
      <c r="B412" s="64" t="n"/>
      <c r="C412" s="66" t="n"/>
      <c r="D412" s="66" t="n"/>
      <c r="E412" s="67" t="n"/>
      <c r="F412" s="67" t="n"/>
      <c r="G412" s="67" t="n"/>
      <c r="H412" s="67" t="n"/>
      <c r="I412" s="67" t="n"/>
      <c r="J412" s="67" t="n"/>
      <c r="K412" s="67" t="n"/>
      <c r="L412" s="67" t="n"/>
      <c r="M412" s="64" t="n"/>
      <c r="N412" s="66" t="n"/>
      <c r="O412" s="84">
        <f>IF(A412="","",IF(OR(C412="",D412=""),"Enter both dates",IF(D412&lt;C412,"To is before From",IF(COUNTIFS($P$5:$P$2004,P412,$C$5:$C$2004,"&lt;="&amp;D412,$D$5:$D$2004,"&gt;="&amp;C412)&gt;1,"Overlaps another row","OK"))))</f>
        <v/>
      </c>
      <c r="P412">
        <f>IF(A412="","",A412&amp;"|"&amp;IF(B412="","Standard",B412))</f>
        <v/>
      </c>
      <c r="Q412">
        <f>IF(AND(A412&lt;&gt;"",A412='Firm Search'!$C$7),COUNTIF($A$5:A412,'Firm Search'!$C$7),"")</f>
        <v/>
      </c>
    </row>
    <row r="413">
      <c r="A413" s="64" t="n"/>
      <c r="B413" s="64" t="n"/>
      <c r="C413" s="66" t="n"/>
      <c r="D413" s="66" t="n"/>
      <c r="E413" s="67" t="n"/>
      <c r="F413" s="67" t="n"/>
      <c r="G413" s="67" t="n"/>
      <c r="H413" s="67" t="n"/>
      <c r="I413" s="67" t="n"/>
      <c r="J413" s="67" t="n"/>
      <c r="K413" s="67" t="n"/>
      <c r="L413" s="67" t="n"/>
      <c r="M413" s="64" t="n"/>
      <c r="N413" s="66" t="n"/>
      <c r="O413" s="84">
        <f>IF(A413="","",IF(OR(C413="",D413=""),"Enter both dates",IF(D413&lt;C413,"To is before From",IF(COUNTIFS($P$5:$P$2004,P413,$C$5:$C$2004,"&lt;="&amp;D413,$D$5:$D$2004,"&gt;="&amp;C413)&gt;1,"Overlaps another row","OK"))))</f>
        <v/>
      </c>
      <c r="P413">
        <f>IF(A413="","",A413&amp;"|"&amp;IF(B413="","Standard",B413))</f>
        <v/>
      </c>
      <c r="Q413">
        <f>IF(AND(A413&lt;&gt;"",A413='Firm Search'!$C$7),COUNTIF($A$5:A413,'Firm Search'!$C$7),"")</f>
        <v/>
      </c>
    </row>
    <row r="414">
      <c r="A414" s="64" t="n"/>
      <c r="B414" s="64" t="n"/>
      <c r="C414" s="66" t="n"/>
      <c r="D414" s="66" t="n"/>
      <c r="E414" s="67" t="n"/>
      <c r="F414" s="67" t="n"/>
      <c r="G414" s="67" t="n"/>
      <c r="H414" s="67" t="n"/>
      <c r="I414" s="67" t="n"/>
      <c r="J414" s="67" t="n"/>
      <c r="K414" s="67" t="n"/>
      <c r="L414" s="67" t="n"/>
      <c r="M414" s="64" t="n"/>
      <c r="N414" s="66" t="n"/>
      <c r="O414" s="84">
        <f>IF(A414="","",IF(OR(C414="",D414=""),"Enter both dates",IF(D414&lt;C414,"To is before From",IF(COUNTIFS($P$5:$P$2004,P414,$C$5:$C$2004,"&lt;="&amp;D414,$D$5:$D$2004,"&gt;="&amp;C414)&gt;1,"Overlaps another row","OK"))))</f>
        <v/>
      </c>
      <c r="P414">
        <f>IF(A414="","",A414&amp;"|"&amp;IF(B414="","Standard",B414))</f>
        <v/>
      </c>
      <c r="Q414">
        <f>IF(AND(A414&lt;&gt;"",A414='Firm Search'!$C$7),COUNTIF($A$5:A414,'Firm Search'!$C$7),"")</f>
        <v/>
      </c>
    </row>
    <row r="415">
      <c r="A415" s="64" t="n"/>
      <c r="B415" s="64" t="n"/>
      <c r="C415" s="66" t="n"/>
      <c r="D415" s="66" t="n"/>
      <c r="E415" s="67" t="n"/>
      <c r="F415" s="67" t="n"/>
      <c r="G415" s="67" t="n"/>
      <c r="H415" s="67" t="n"/>
      <c r="I415" s="67" t="n"/>
      <c r="J415" s="67" t="n"/>
      <c r="K415" s="67" t="n"/>
      <c r="L415" s="67" t="n"/>
      <c r="M415" s="64" t="n"/>
      <c r="N415" s="66" t="n"/>
      <c r="O415" s="84">
        <f>IF(A415="","",IF(OR(C415="",D415=""),"Enter both dates",IF(D415&lt;C415,"To is before From",IF(COUNTIFS($P$5:$P$2004,P415,$C$5:$C$2004,"&lt;="&amp;D415,$D$5:$D$2004,"&gt;="&amp;C415)&gt;1,"Overlaps another row","OK"))))</f>
        <v/>
      </c>
      <c r="P415">
        <f>IF(A415="","",A415&amp;"|"&amp;IF(B415="","Standard",B415))</f>
        <v/>
      </c>
      <c r="Q415">
        <f>IF(AND(A415&lt;&gt;"",A415='Firm Search'!$C$7),COUNTIF($A$5:A415,'Firm Search'!$C$7),"")</f>
        <v/>
      </c>
    </row>
    <row r="416">
      <c r="A416" s="64" t="n"/>
      <c r="B416" s="64" t="n"/>
      <c r="C416" s="66" t="n"/>
      <c r="D416" s="66" t="n"/>
      <c r="E416" s="67" t="n"/>
      <c r="F416" s="67" t="n"/>
      <c r="G416" s="67" t="n"/>
      <c r="H416" s="67" t="n"/>
      <c r="I416" s="67" t="n"/>
      <c r="J416" s="67" t="n"/>
      <c r="K416" s="67" t="n"/>
      <c r="L416" s="67" t="n"/>
      <c r="M416" s="64" t="n"/>
      <c r="N416" s="66" t="n"/>
      <c r="O416" s="84">
        <f>IF(A416="","",IF(OR(C416="",D416=""),"Enter both dates",IF(D416&lt;C416,"To is before From",IF(COUNTIFS($P$5:$P$2004,P416,$C$5:$C$2004,"&lt;="&amp;D416,$D$5:$D$2004,"&gt;="&amp;C416)&gt;1,"Overlaps another row","OK"))))</f>
        <v/>
      </c>
      <c r="P416">
        <f>IF(A416="","",A416&amp;"|"&amp;IF(B416="","Standard",B416))</f>
        <v/>
      </c>
      <c r="Q416">
        <f>IF(AND(A416&lt;&gt;"",A416='Firm Search'!$C$7),COUNTIF($A$5:A416,'Firm Search'!$C$7),"")</f>
        <v/>
      </c>
    </row>
    <row r="417">
      <c r="A417" s="64" t="n"/>
      <c r="B417" s="64" t="n"/>
      <c r="C417" s="66" t="n"/>
      <c r="D417" s="66" t="n"/>
      <c r="E417" s="67" t="n"/>
      <c r="F417" s="67" t="n"/>
      <c r="G417" s="67" t="n"/>
      <c r="H417" s="67" t="n"/>
      <c r="I417" s="67" t="n"/>
      <c r="J417" s="67" t="n"/>
      <c r="K417" s="67" t="n"/>
      <c r="L417" s="67" t="n"/>
      <c r="M417" s="64" t="n"/>
      <c r="N417" s="66" t="n"/>
      <c r="O417" s="84">
        <f>IF(A417="","",IF(OR(C417="",D417=""),"Enter both dates",IF(D417&lt;C417,"To is before From",IF(COUNTIFS($P$5:$P$2004,P417,$C$5:$C$2004,"&lt;="&amp;D417,$D$5:$D$2004,"&gt;="&amp;C417)&gt;1,"Overlaps another row","OK"))))</f>
        <v/>
      </c>
      <c r="P417">
        <f>IF(A417="","",A417&amp;"|"&amp;IF(B417="","Standard",B417))</f>
        <v/>
      </c>
      <c r="Q417">
        <f>IF(AND(A417&lt;&gt;"",A417='Firm Search'!$C$7),COUNTIF($A$5:A417,'Firm Search'!$C$7),"")</f>
        <v/>
      </c>
    </row>
    <row r="418">
      <c r="A418" s="64" t="n"/>
      <c r="B418" s="64" t="n"/>
      <c r="C418" s="66" t="n"/>
      <c r="D418" s="66" t="n"/>
      <c r="E418" s="67" t="n"/>
      <c r="F418" s="67" t="n"/>
      <c r="G418" s="67" t="n"/>
      <c r="H418" s="67" t="n"/>
      <c r="I418" s="67" t="n"/>
      <c r="J418" s="67" t="n"/>
      <c r="K418" s="67" t="n"/>
      <c r="L418" s="67" t="n"/>
      <c r="M418" s="64" t="n"/>
      <c r="N418" s="66" t="n"/>
      <c r="O418" s="84">
        <f>IF(A418="","",IF(OR(C418="",D418=""),"Enter both dates",IF(D418&lt;C418,"To is before From",IF(COUNTIFS($P$5:$P$2004,P418,$C$5:$C$2004,"&lt;="&amp;D418,$D$5:$D$2004,"&gt;="&amp;C418)&gt;1,"Overlaps another row","OK"))))</f>
        <v/>
      </c>
      <c r="P418">
        <f>IF(A418="","",A418&amp;"|"&amp;IF(B418="","Standard",B418))</f>
        <v/>
      </c>
      <c r="Q418">
        <f>IF(AND(A418&lt;&gt;"",A418='Firm Search'!$C$7),COUNTIF($A$5:A418,'Firm Search'!$C$7),"")</f>
        <v/>
      </c>
    </row>
    <row r="419">
      <c r="A419" s="64" t="n"/>
      <c r="B419" s="64" t="n"/>
      <c r="C419" s="66" t="n"/>
      <c r="D419" s="66" t="n"/>
      <c r="E419" s="67" t="n"/>
      <c r="F419" s="67" t="n"/>
      <c r="G419" s="67" t="n"/>
      <c r="H419" s="67" t="n"/>
      <c r="I419" s="67" t="n"/>
      <c r="J419" s="67" t="n"/>
      <c r="K419" s="67" t="n"/>
      <c r="L419" s="67" t="n"/>
      <c r="M419" s="64" t="n"/>
      <c r="N419" s="66" t="n"/>
      <c r="O419" s="84">
        <f>IF(A419="","",IF(OR(C419="",D419=""),"Enter both dates",IF(D419&lt;C419,"To is before From",IF(COUNTIFS($P$5:$P$2004,P419,$C$5:$C$2004,"&lt;="&amp;D419,$D$5:$D$2004,"&gt;="&amp;C419)&gt;1,"Overlaps another row","OK"))))</f>
        <v/>
      </c>
      <c r="P419">
        <f>IF(A419="","",A419&amp;"|"&amp;IF(B419="","Standard",B419))</f>
        <v/>
      </c>
      <c r="Q419">
        <f>IF(AND(A419&lt;&gt;"",A419='Firm Search'!$C$7),COUNTIF($A$5:A419,'Firm Search'!$C$7),"")</f>
        <v/>
      </c>
    </row>
    <row r="420">
      <c r="A420" s="64" t="n"/>
      <c r="B420" s="64" t="n"/>
      <c r="C420" s="66" t="n"/>
      <c r="D420" s="66" t="n"/>
      <c r="E420" s="67" t="n"/>
      <c r="F420" s="67" t="n"/>
      <c r="G420" s="67" t="n"/>
      <c r="H420" s="67" t="n"/>
      <c r="I420" s="67" t="n"/>
      <c r="J420" s="67" t="n"/>
      <c r="K420" s="67" t="n"/>
      <c r="L420" s="67" t="n"/>
      <c r="M420" s="64" t="n"/>
      <c r="N420" s="66" t="n"/>
      <c r="O420" s="84">
        <f>IF(A420="","",IF(OR(C420="",D420=""),"Enter both dates",IF(D420&lt;C420,"To is before From",IF(COUNTIFS($P$5:$P$2004,P420,$C$5:$C$2004,"&lt;="&amp;D420,$D$5:$D$2004,"&gt;="&amp;C420)&gt;1,"Overlaps another row","OK"))))</f>
        <v/>
      </c>
      <c r="P420">
        <f>IF(A420="","",A420&amp;"|"&amp;IF(B420="","Standard",B420))</f>
        <v/>
      </c>
      <c r="Q420">
        <f>IF(AND(A420&lt;&gt;"",A420='Firm Search'!$C$7),COUNTIF($A$5:A420,'Firm Search'!$C$7),"")</f>
        <v/>
      </c>
    </row>
    <row r="421">
      <c r="A421" s="64" t="n"/>
      <c r="B421" s="64" t="n"/>
      <c r="C421" s="66" t="n"/>
      <c r="D421" s="66" t="n"/>
      <c r="E421" s="67" t="n"/>
      <c r="F421" s="67" t="n"/>
      <c r="G421" s="67" t="n"/>
      <c r="H421" s="67" t="n"/>
      <c r="I421" s="67" t="n"/>
      <c r="J421" s="67" t="n"/>
      <c r="K421" s="67" t="n"/>
      <c r="L421" s="67" t="n"/>
      <c r="M421" s="64" t="n"/>
      <c r="N421" s="66" t="n"/>
      <c r="O421" s="84">
        <f>IF(A421="","",IF(OR(C421="",D421=""),"Enter both dates",IF(D421&lt;C421,"To is before From",IF(COUNTIFS($P$5:$P$2004,P421,$C$5:$C$2004,"&lt;="&amp;D421,$D$5:$D$2004,"&gt;="&amp;C421)&gt;1,"Overlaps another row","OK"))))</f>
        <v/>
      </c>
      <c r="P421">
        <f>IF(A421="","",A421&amp;"|"&amp;IF(B421="","Standard",B421))</f>
        <v/>
      </c>
      <c r="Q421">
        <f>IF(AND(A421&lt;&gt;"",A421='Firm Search'!$C$7),COUNTIF($A$5:A421,'Firm Search'!$C$7),"")</f>
        <v/>
      </c>
    </row>
    <row r="422">
      <c r="A422" s="64" t="n"/>
      <c r="B422" s="64" t="n"/>
      <c r="C422" s="66" t="n"/>
      <c r="D422" s="66" t="n"/>
      <c r="E422" s="67" t="n"/>
      <c r="F422" s="67" t="n"/>
      <c r="G422" s="67" t="n"/>
      <c r="H422" s="67" t="n"/>
      <c r="I422" s="67" t="n"/>
      <c r="J422" s="67" t="n"/>
      <c r="K422" s="67" t="n"/>
      <c r="L422" s="67" t="n"/>
      <c r="M422" s="64" t="n"/>
      <c r="N422" s="66" t="n"/>
      <c r="O422" s="84">
        <f>IF(A422="","",IF(OR(C422="",D422=""),"Enter both dates",IF(D422&lt;C422,"To is before From",IF(COUNTIFS($P$5:$P$2004,P422,$C$5:$C$2004,"&lt;="&amp;D422,$D$5:$D$2004,"&gt;="&amp;C422)&gt;1,"Overlaps another row","OK"))))</f>
        <v/>
      </c>
      <c r="P422">
        <f>IF(A422="","",A422&amp;"|"&amp;IF(B422="","Standard",B422))</f>
        <v/>
      </c>
      <c r="Q422">
        <f>IF(AND(A422&lt;&gt;"",A422='Firm Search'!$C$7),COUNTIF($A$5:A422,'Firm Search'!$C$7),"")</f>
        <v/>
      </c>
    </row>
    <row r="423">
      <c r="A423" s="64" t="n"/>
      <c r="B423" s="64" t="n"/>
      <c r="C423" s="66" t="n"/>
      <c r="D423" s="66" t="n"/>
      <c r="E423" s="67" t="n"/>
      <c r="F423" s="67" t="n"/>
      <c r="G423" s="67" t="n"/>
      <c r="H423" s="67" t="n"/>
      <c r="I423" s="67" t="n"/>
      <c r="J423" s="67" t="n"/>
      <c r="K423" s="67" t="n"/>
      <c r="L423" s="67" t="n"/>
      <c r="M423" s="64" t="n"/>
      <c r="N423" s="66" t="n"/>
      <c r="O423" s="84">
        <f>IF(A423="","",IF(OR(C423="",D423=""),"Enter both dates",IF(D423&lt;C423,"To is before From",IF(COUNTIFS($P$5:$P$2004,P423,$C$5:$C$2004,"&lt;="&amp;D423,$D$5:$D$2004,"&gt;="&amp;C423)&gt;1,"Overlaps another row","OK"))))</f>
        <v/>
      </c>
      <c r="P423">
        <f>IF(A423="","",A423&amp;"|"&amp;IF(B423="","Standard",B423))</f>
        <v/>
      </c>
      <c r="Q423">
        <f>IF(AND(A423&lt;&gt;"",A423='Firm Search'!$C$7),COUNTIF($A$5:A423,'Firm Search'!$C$7),"")</f>
        <v/>
      </c>
    </row>
    <row r="424">
      <c r="A424" s="64" t="n"/>
      <c r="B424" s="64" t="n"/>
      <c r="C424" s="66" t="n"/>
      <c r="D424" s="66" t="n"/>
      <c r="E424" s="67" t="n"/>
      <c r="F424" s="67" t="n"/>
      <c r="G424" s="67" t="n"/>
      <c r="H424" s="67" t="n"/>
      <c r="I424" s="67" t="n"/>
      <c r="J424" s="67" t="n"/>
      <c r="K424" s="67" t="n"/>
      <c r="L424" s="67" t="n"/>
      <c r="M424" s="64" t="n"/>
      <c r="N424" s="66" t="n"/>
      <c r="O424" s="84">
        <f>IF(A424="","",IF(OR(C424="",D424=""),"Enter both dates",IF(D424&lt;C424,"To is before From",IF(COUNTIFS($P$5:$P$2004,P424,$C$5:$C$2004,"&lt;="&amp;D424,$D$5:$D$2004,"&gt;="&amp;C424)&gt;1,"Overlaps another row","OK"))))</f>
        <v/>
      </c>
      <c r="P424">
        <f>IF(A424="","",A424&amp;"|"&amp;IF(B424="","Standard",B424))</f>
        <v/>
      </c>
      <c r="Q424">
        <f>IF(AND(A424&lt;&gt;"",A424='Firm Search'!$C$7),COUNTIF($A$5:A424,'Firm Search'!$C$7),"")</f>
        <v/>
      </c>
    </row>
    <row r="425">
      <c r="A425" s="64" t="n"/>
      <c r="B425" s="64" t="n"/>
      <c r="C425" s="66" t="n"/>
      <c r="D425" s="66" t="n"/>
      <c r="E425" s="67" t="n"/>
      <c r="F425" s="67" t="n"/>
      <c r="G425" s="67" t="n"/>
      <c r="H425" s="67" t="n"/>
      <c r="I425" s="67" t="n"/>
      <c r="J425" s="67" t="n"/>
      <c r="K425" s="67" t="n"/>
      <c r="L425" s="67" t="n"/>
      <c r="M425" s="64" t="n"/>
      <c r="N425" s="66" t="n"/>
      <c r="O425" s="84">
        <f>IF(A425="","",IF(OR(C425="",D425=""),"Enter both dates",IF(D425&lt;C425,"To is before From",IF(COUNTIFS($P$5:$P$2004,P425,$C$5:$C$2004,"&lt;="&amp;D425,$D$5:$D$2004,"&gt;="&amp;C425)&gt;1,"Overlaps another row","OK"))))</f>
        <v/>
      </c>
      <c r="P425">
        <f>IF(A425="","",A425&amp;"|"&amp;IF(B425="","Standard",B425))</f>
        <v/>
      </c>
      <c r="Q425">
        <f>IF(AND(A425&lt;&gt;"",A425='Firm Search'!$C$7),COUNTIF($A$5:A425,'Firm Search'!$C$7),"")</f>
        <v/>
      </c>
    </row>
    <row r="426">
      <c r="A426" s="64" t="n"/>
      <c r="B426" s="64" t="n"/>
      <c r="C426" s="66" t="n"/>
      <c r="D426" s="66" t="n"/>
      <c r="E426" s="67" t="n"/>
      <c r="F426" s="67" t="n"/>
      <c r="G426" s="67" t="n"/>
      <c r="H426" s="67" t="n"/>
      <c r="I426" s="67" t="n"/>
      <c r="J426" s="67" t="n"/>
      <c r="K426" s="67" t="n"/>
      <c r="L426" s="67" t="n"/>
      <c r="M426" s="64" t="n"/>
      <c r="N426" s="66" t="n"/>
      <c r="O426" s="84">
        <f>IF(A426="","",IF(OR(C426="",D426=""),"Enter both dates",IF(D426&lt;C426,"To is before From",IF(COUNTIFS($P$5:$P$2004,P426,$C$5:$C$2004,"&lt;="&amp;D426,$D$5:$D$2004,"&gt;="&amp;C426)&gt;1,"Overlaps another row","OK"))))</f>
        <v/>
      </c>
      <c r="P426">
        <f>IF(A426="","",A426&amp;"|"&amp;IF(B426="","Standard",B426))</f>
        <v/>
      </c>
      <c r="Q426">
        <f>IF(AND(A426&lt;&gt;"",A426='Firm Search'!$C$7),COUNTIF($A$5:A426,'Firm Search'!$C$7),"")</f>
        <v/>
      </c>
    </row>
    <row r="427">
      <c r="A427" s="64" t="n"/>
      <c r="B427" s="64" t="n"/>
      <c r="C427" s="66" t="n"/>
      <c r="D427" s="66" t="n"/>
      <c r="E427" s="67" t="n"/>
      <c r="F427" s="67" t="n"/>
      <c r="G427" s="67" t="n"/>
      <c r="H427" s="67" t="n"/>
      <c r="I427" s="67" t="n"/>
      <c r="J427" s="67" t="n"/>
      <c r="K427" s="67" t="n"/>
      <c r="L427" s="67" t="n"/>
      <c r="M427" s="64" t="n"/>
      <c r="N427" s="66" t="n"/>
      <c r="O427" s="84">
        <f>IF(A427="","",IF(OR(C427="",D427=""),"Enter both dates",IF(D427&lt;C427,"To is before From",IF(COUNTIFS($P$5:$P$2004,P427,$C$5:$C$2004,"&lt;="&amp;D427,$D$5:$D$2004,"&gt;="&amp;C427)&gt;1,"Overlaps another row","OK"))))</f>
        <v/>
      </c>
      <c r="P427">
        <f>IF(A427="","",A427&amp;"|"&amp;IF(B427="","Standard",B427))</f>
        <v/>
      </c>
      <c r="Q427">
        <f>IF(AND(A427&lt;&gt;"",A427='Firm Search'!$C$7),COUNTIF($A$5:A427,'Firm Search'!$C$7),"")</f>
        <v/>
      </c>
    </row>
    <row r="428">
      <c r="A428" s="64" t="n"/>
      <c r="B428" s="64" t="n"/>
      <c r="C428" s="66" t="n"/>
      <c r="D428" s="66" t="n"/>
      <c r="E428" s="67" t="n"/>
      <c r="F428" s="67" t="n"/>
      <c r="G428" s="67" t="n"/>
      <c r="H428" s="67" t="n"/>
      <c r="I428" s="67" t="n"/>
      <c r="J428" s="67" t="n"/>
      <c r="K428" s="67" t="n"/>
      <c r="L428" s="67" t="n"/>
      <c r="M428" s="64" t="n"/>
      <c r="N428" s="66" t="n"/>
      <c r="O428" s="84">
        <f>IF(A428="","",IF(OR(C428="",D428=""),"Enter both dates",IF(D428&lt;C428,"To is before From",IF(COUNTIFS($P$5:$P$2004,P428,$C$5:$C$2004,"&lt;="&amp;D428,$D$5:$D$2004,"&gt;="&amp;C428)&gt;1,"Overlaps another row","OK"))))</f>
        <v/>
      </c>
      <c r="P428">
        <f>IF(A428="","",A428&amp;"|"&amp;IF(B428="","Standard",B428))</f>
        <v/>
      </c>
      <c r="Q428">
        <f>IF(AND(A428&lt;&gt;"",A428='Firm Search'!$C$7),COUNTIF($A$5:A428,'Firm Search'!$C$7),"")</f>
        <v/>
      </c>
    </row>
    <row r="429">
      <c r="A429" s="64" t="n"/>
      <c r="B429" s="64" t="n"/>
      <c r="C429" s="66" t="n"/>
      <c r="D429" s="66" t="n"/>
      <c r="E429" s="67" t="n"/>
      <c r="F429" s="67" t="n"/>
      <c r="G429" s="67" t="n"/>
      <c r="H429" s="67" t="n"/>
      <c r="I429" s="67" t="n"/>
      <c r="J429" s="67" t="n"/>
      <c r="K429" s="67" t="n"/>
      <c r="L429" s="67" t="n"/>
      <c r="M429" s="64" t="n"/>
      <c r="N429" s="66" t="n"/>
      <c r="O429" s="84">
        <f>IF(A429="","",IF(OR(C429="",D429=""),"Enter both dates",IF(D429&lt;C429,"To is before From",IF(COUNTIFS($P$5:$P$2004,P429,$C$5:$C$2004,"&lt;="&amp;D429,$D$5:$D$2004,"&gt;="&amp;C429)&gt;1,"Overlaps another row","OK"))))</f>
        <v/>
      </c>
      <c r="P429">
        <f>IF(A429="","",A429&amp;"|"&amp;IF(B429="","Standard",B429))</f>
        <v/>
      </c>
      <c r="Q429">
        <f>IF(AND(A429&lt;&gt;"",A429='Firm Search'!$C$7),COUNTIF($A$5:A429,'Firm Search'!$C$7),"")</f>
        <v/>
      </c>
    </row>
    <row r="430">
      <c r="A430" s="64" t="n"/>
      <c r="B430" s="64" t="n"/>
      <c r="C430" s="66" t="n"/>
      <c r="D430" s="66" t="n"/>
      <c r="E430" s="67" t="n"/>
      <c r="F430" s="67" t="n"/>
      <c r="G430" s="67" t="n"/>
      <c r="H430" s="67" t="n"/>
      <c r="I430" s="67" t="n"/>
      <c r="J430" s="67" t="n"/>
      <c r="K430" s="67" t="n"/>
      <c r="L430" s="67" t="n"/>
      <c r="M430" s="64" t="n"/>
      <c r="N430" s="66" t="n"/>
      <c r="O430" s="84">
        <f>IF(A430="","",IF(OR(C430="",D430=""),"Enter both dates",IF(D430&lt;C430,"To is before From",IF(COUNTIFS($P$5:$P$2004,P430,$C$5:$C$2004,"&lt;="&amp;D430,$D$5:$D$2004,"&gt;="&amp;C430)&gt;1,"Overlaps another row","OK"))))</f>
        <v/>
      </c>
      <c r="P430">
        <f>IF(A430="","",A430&amp;"|"&amp;IF(B430="","Standard",B430))</f>
        <v/>
      </c>
      <c r="Q430">
        <f>IF(AND(A430&lt;&gt;"",A430='Firm Search'!$C$7),COUNTIF($A$5:A430,'Firm Search'!$C$7),"")</f>
        <v/>
      </c>
    </row>
    <row r="431">
      <c r="A431" s="64" t="n"/>
      <c r="B431" s="64" t="n"/>
      <c r="C431" s="66" t="n"/>
      <c r="D431" s="66" t="n"/>
      <c r="E431" s="67" t="n"/>
      <c r="F431" s="67" t="n"/>
      <c r="G431" s="67" t="n"/>
      <c r="H431" s="67" t="n"/>
      <c r="I431" s="67" t="n"/>
      <c r="J431" s="67" t="n"/>
      <c r="K431" s="67" t="n"/>
      <c r="L431" s="67" t="n"/>
      <c r="M431" s="64" t="n"/>
      <c r="N431" s="66" t="n"/>
      <c r="O431" s="84">
        <f>IF(A431="","",IF(OR(C431="",D431=""),"Enter both dates",IF(D431&lt;C431,"To is before From",IF(COUNTIFS($P$5:$P$2004,P431,$C$5:$C$2004,"&lt;="&amp;D431,$D$5:$D$2004,"&gt;="&amp;C431)&gt;1,"Overlaps another row","OK"))))</f>
        <v/>
      </c>
      <c r="P431">
        <f>IF(A431="","",A431&amp;"|"&amp;IF(B431="","Standard",B431))</f>
        <v/>
      </c>
      <c r="Q431">
        <f>IF(AND(A431&lt;&gt;"",A431='Firm Search'!$C$7),COUNTIF($A$5:A431,'Firm Search'!$C$7),"")</f>
        <v/>
      </c>
    </row>
    <row r="432">
      <c r="A432" s="64" t="n"/>
      <c r="B432" s="64" t="n"/>
      <c r="C432" s="66" t="n"/>
      <c r="D432" s="66" t="n"/>
      <c r="E432" s="67" t="n"/>
      <c r="F432" s="67" t="n"/>
      <c r="G432" s="67" t="n"/>
      <c r="H432" s="67" t="n"/>
      <c r="I432" s="67" t="n"/>
      <c r="J432" s="67" t="n"/>
      <c r="K432" s="67" t="n"/>
      <c r="L432" s="67" t="n"/>
      <c r="M432" s="64" t="n"/>
      <c r="N432" s="66" t="n"/>
      <c r="O432" s="84">
        <f>IF(A432="","",IF(OR(C432="",D432=""),"Enter both dates",IF(D432&lt;C432,"To is before From",IF(COUNTIFS($P$5:$P$2004,P432,$C$5:$C$2004,"&lt;="&amp;D432,$D$5:$D$2004,"&gt;="&amp;C432)&gt;1,"Overlaps another row","OK"))))</f>
        <v/>
      </c>
      <c r="P432">
        <f>IF(A432="","",A432&amp;"|"&amp;IF(B432="","Standard",B432))</f>
        <v/>
      </c>
      <c r="Q432">
        <f>IF(AND(A432&lt;&gt;"",A432='Firm Search'!$C$7),COUNTIF($A$5:A432,'Firm Search'!$C$7),"")</f>
        <v/>
      </c>
    </row>
    <row r="433">
      <c r="A433" s="64" t="n"/>
      <c r="B433" s="64" t="n"/>
      <c r="C433" s="66" t="n"/>
      <c r="D433" s="66" t="n"/>
      <c r="E433" s="67" t="n"/>
      <c r="F433" s="67" t="n"/>
      <c r="G433" s="67" t="n"/>
      <c r="H433" s="67" t="n"/>
      <c r="I433" s="67" t="n"/>
      <c r="J433" s="67" t="n"/>
      <c r="K433" s="67" t="n"/>
      <c r="L433" s="67" t="n"/>
      <c r="M433" s="64" t="n"/>
      <c r="N433" s="66" t="n"/>
      <c r="O433" s="84">
        <f>IF(A433="","",IF(OR(C433="",D433=""),"Enter both dates",IF(D433&lt;C433,"To is before From",IF(COUNTIFS($P$5:$P$2004,P433,$C$5:$C$2004,"&lt;="&amp;D433,$D$5:$D$2004,"&gt;="&amp;C433)&gt;1,"Overlaps another row","OK"))))</f>
        <v/>
      </c>
      <c r="P433">
        <f>IF(A433="","",A433&amp;"|"&amp;IF(B433="","Standard",B433))</f>
        <v/>
      </c>
      <c r="Q433">
        <f>IF(AND(A433&lt;&gt;"",A433='Firm Search'!$C$7),COUNTIF($A$5:A433,'Firm Search'!$C$7),"")</f>
        <v/>
      </c>
    </row>
    <row r="434">
      <c r="A434" s="64" t="n"/>
      <c r="B434" s="64" t="n"/>
      <c r="C434" s="66" t="n"/>
      <c r="D434" s="66" t="n"/>
      <c r="E434" s="67" t="n"/>
      <c r="F434" s="67" t="n"/>
      <c r="G434" s="67" t="n"/>
      <c r="H434" s="67" t="n"/>
      <c r="I434" s="67" t="n"/>
      <c r="J434" s="67" t="n"/>
      <c r="K434" s="67" t="n"/>
      <c r="L434" s="67" t="n"/>
      <c r="M434" s="64" t="n"/>
      <c r="N434" s="66" t="n"/>
      <c r="O434" s="84">
        <f>IF(A434="","",IF(OR(C434="",D434=""),"Enter both dates",IF(D434&lt;C434,"To is before From",IF(COUNTIFS($P$5:$P$2004,P434,$C$5:$C$2004,"&lt;="&amp;D434,$D$5:$D$2004,"&gt;="&amp;C434)&gt;1,"Overlaps another row","OK"))))</f>
        <v/>
      </c>
      <c r="P434">
        <f>IF(A434="","",A434&amp;"|"&amp;IF(B434="","Standard",B434))</f>
        <v/>
      </c>
      <c r="Q434">
        <f>IF(AND(A434&lt;&gt;"",A434='Firm Search'!$C$7),COUNTIF($A$5:A434,'Firm Search'!$C$7),"")</f>
        <v/>
      </c>
    </row>
    <row r="435">
      <c r="A435" s="64" t="n"/>
      <c r="B435" s="64" t="n"/>
      <c r="C435" s="66" t="n"/>
      <c r="D435" s="66" t="n"/>
      <c r="E435" s="67" t="n"/>
      <c r="F435" s="67" t="n"/>
      <c r="G435" s="67" t="n"/>
      <c r="H435" s="67" t="n"/>
      <c r="I435" s="67" t="n"/>
      <c r="J435" s="67" t="n"/>
      <c r="K435" s="67" t="n"/>
      <c r="L435" s="67" t="n"/>
      <c r="M435" s="64" t="n"/>
      <c r="N435" s="66" t="n"/>
      <c r="O435" s="84">
        <f>IF(A435="","",IF(OR(C435="",D435=""),"Enter both dates",IF(D435&lt;C435,"To is before From",IF(COUNTIFS($P$5:$P$2004,P435,$C$5:$C$2004,"&lt;="&amp;D435,$D$5:$D$2004,"&gt;="&amp;C435)&gt;1,"Overlaps another row","OK"))))</f>
        <v/>
      </c>
      <c r="P435">
        <f>IF(A435="","",A435&amp;"|"&amp;IF(B435="","Standard",B435))</f>
        <v/>
      </c>
      <c r="Q435">
        <f>IF(AND(A435&lt;&gt;"",A435='Firm Search'!$C$7),COUNTIF($A$5:A435,'Firm Search'!$C$7),"")</f>
        <v/>
      </c>
    </row>
    <row r="436">
      <c r="A436" s="64" t="n"/>
      <c r="B436" s="64" t="n"/>
      <c r="C436" s="66" t="n"/>
      <c r="D436" s="66" t="n"/>
      <c r="E436" s="67" t="n"/>
      <c r="F436" s="67" t="n"/>
      <c r="G436" s="67" t="n"/>
      <c r="H436" s="67" t="n"/>
      <c r="I436" s="67" t="n"/>
      <c r="J436" s="67" t="n"/>
      <c r="K436" s="67" t="n"/>
      <c r="L436" s="67" t="n"/>
      <c r="M436" s="64" t="n"/>
      <c r="N436" s="66" t="n"/>
      <c r="O436" s="84">
        <f>IF(A436="","",IF(OR(C436="",D436=""),"Enter both dates",IF(D436&lt;C436,"To is before From",IF(COUNTIFS($P$5:$P$2004,P436,$C$5:$C$2004,"&lt;="&amp;D436,$D$5:$D$2004,"&gt;="&amp;C436)&gt;1,"Overlaps another row","OK"))))</f>
        <v/>
      </c>
      <c r="P436">
        <f>IF(A436="","",A436&amp;"|"&amp;IF(B436="","Standard",B436))</f>
        <v/>
      </c>
      <c r="Q436">
        <f>IF(AND(A436&lt;&gt;"",A436='Firm Search'!$C$7),COUNTIF($A$5:A436,'Firm Search'!$C$7),"")</f>
        <v/>
      </c>
    </row>
    <row r="437">
      <c r="A437" s="64" t="n"/>
      <c r="B437" s="64" t="n"/>
      <c r="C437" s="66" t="n"/>
      <c r="D437" s="66" t="n"/>
      <c r="E437" s="67" t="n"/>
      <c r="F437" s="67" t="n"/>
      <c r="G437" s="67" t="n"/>
      <c r="H437" s="67" t="n"/>
      <c r="I437" s="67" t="n"/>
      <c r="J437" s="67" t="n"/>
      <c r="K437" s="67" t="n"/>
      <c r="L437" s="67" t="n"/>
      <c r="M437" s="64" t="n"/>
      <c r="N437" s="66" t="n"/>
      <c r="O437" s="84">
        <f>IF(A437="","",IF(OR(C437="",D437=""),"Enter both dates",IF(D437&lt;C437,"To is before From",IF(COUNTIFS($P$5:$P$2004,P437,$C$5:$C$2004,"&lt;="&amp;D437,$D$5:$D$2004,"&gt;="&amp;C437)&gt;1,"Overlaps another row","OK"))))</f>
        <v/>
      </c>
      <c r="P437">
        <f>IF(A437="","",A437&amp;"|"&amp;IF(B437="","Standard",B437))</f>
        <v/>
      </c>
      <c r="Q437">
        <f>IF(AND(A437&lt;&gt;"",A437='Firm Search'!$C$7),COUNTIF($A$5:A437,'Firm Search'!$C$7),"")</f>
        <v/>
      </c>
    </row>
    <row r="438">
      <c r="A438" s="64" t="n"/>
      <c r="B438" s="64" t="n"/>
      <c r="C438" s="66" t="n"/>
      <c r="D438" s="66" t="n"/>
      <c r="E438" s="67" t="n"/>
      <c r="F438" s="67" t="n"/>
      <c r="G438" s="67" t="n"/>
      <c r="H438" s="67" t="n"/>
      <c r="I438" s="67" t="n"/>
      <c r="J438" s="67" t="n"/>
      <c r="K438" s="67" t="n"/>
      <c r="L438" s="67" t="n"/>
      <c r="M438" s="64" t="n"/>
      <c r="N438" s="66" t="n"/>
      <c r="O438" s="84">
        <f>IF(A438="","",IF(OR(C438="",D438=""),"Enter both dates",IF(D438&lt;C438,"To is before From",IF(COUNTIFS($P$5:$P$2004,P438,$C$5:$C$2004,"&lt;="&amp;D438,$D$5:$D$2004,"&gt;="&amp;C438)&gt;1,"Overlaps another row","OK"))))</f>
        <v/>
      </c>
      <c r="P438">
        <f>IF(A438="","",A438&amp;"|"&amp;IF(B438="","Standard",B438))</f>
        <v/>
      </c>
      <c r="Q438">
        <f>IF(AND(A438&lt;&gt;"",A438='Firm Search'!$C$7),COUNTIF($A$5:A438,'Firm Search'!$C$7),"")</f>
        <v/>
      </c>
    </row>
    <row r="439">
      <c r="A439" s="64" t="n"/>
      <c r="B439" s="64" t="n"/>
      <c r="C439" s="66" t="n"/>
      <c r="D439" s="66" t="n"/>
      <c r="E439" s="67" t="n"/>
      <c r="F439" s="67" t="n"/>
      <c r="G439" s="67" t="n"/>
      <c r="H439" s="67" t="n"/>
      <c r="I439" s="67" t="n"/>
      <c r="J439" s="67" t="n"/>
      <c r="K439" s="67" t="n"/>
      <c r="L439" s="67" t="n"/>
      <c r="M439" s="64" t="n"/>
      <c r="N439" s="66" t="n"/>
      <c r="O439" s="84">
        <f>IF(A439="","",IF(OR(C439="",D439=""),"Enter both dates",IF(D439&lt;C439,"To is before From",IF(COUNTIFS($P$5:$P$2004,P439,$C$5:$C$2004,"&lt;="&amp;D439,$D$5:$D$2004,"&gt;="&amp;C439)&gt;1,"Overlaps another row","OK"))))</f>
        <v/>
      </c>
      <c r="P439">
        <f>IF(A439="","",A439&amp;"|"&amp;IF(B439="","Standard",B439))</f>
        <v/>
      </c>
      <c r="Q439">
        <f>IF(AND(A439&lt;&gt;"",A439='Firm Search'!$C$7),COUNTIF($A$5:A439,'Firm Search'!$C$7),"")</f>
        <v/>
      </c>
    </row>
    <row r="440">
      <c r="A440" s="64" t="n"/>
      <c r="B440" s="64" t="n"/>
      <c r="C440" s="66" t="n"/>
      <c r="D440" s="66" t="n"/>
      <c r="E440" s="67" t="n"/>
      <c r="F440" s="67" t="n"/>
      <c r="G440" s="67" t="n"/>
      <c r="H440" s="67" t="n"/>
      <c r="I440" s="67" t="n"/>
      <c r="J440" s="67" t="n"/>
      <c r="K440" s="67" t="n"/>
      <c r="L440" s="67" t="n"/>
      <c r="M440" s="64" t="n"/>
      <c r="N440" s="66" t="n"/>
      <c r="O440" s="84">
        <f>IF(A440="","",IF(OR(C440="",D440=""),"Enter both dates",IF(D440&lt;C440,"To is before From",IF(COUNTIFS($P$5:$P$2004,P440,$C$5:$C$2004,"&lt;="&amp;D440,$D$5:$D$2004,"&gt;="&amp;C440)&gt;1,"Overlaps another row","OK"))))</f>
        <v/>
      </c>
      <c r="P440">
        <f>IF(A440="","",A440&amp;"|"&amp;IF(B440="","Standard",B440))</f>
        <v/>
      </c>
      <c r="Q440">
        <f>IF(AND(A440&lt;&gt;"",A440='Firm Search'!$C$7),COUNTIF($A$5:A440,'Firm Search'!$C$7),"")</f>
        <v/>
      </c>
    </row>
    <row r="441">
      <c r="A441" s="64" t="n"/>
      <c r="B441" s="64" t="n"/>
      <c r="C441" s="66" t="n"/>
      <c r="D441" s="66" t="n"/>
      <c r="E441" s="67" t="n"/>
      <c r="F441" s="67" t="n"/>
      <c r="G441" s="67" t="n"/>
      <c r="H441" s="67" t="n"/>
      <c r="I441" s="67" t="n"/>
      <c r="J441" s="67" t="n"/>
      <c r="K441" s="67" t="n"/>
      <c r="L441" s="67" t="n"/>
      <c r="M441" s="64" t="n"/>
      <c r="N441" s="66" t="n"/>
      <c r="O441" s="84">
        <f>IF(A441="","",IF(OR(C441="",D441=""),"Enter both dates",IF(D441&lt;C441,"To is before From",IF(COUNTIFS($P$5:$P$2004,P441,$C$5:$C$2004,"&lt;="&amp;D441,$D$5:$D$2004,"&gt;="&amp;C441)&gt;1,"Overlaps another row","OK"))))</f>
        <v/>
      </c>
      <c r="P441">
        <f>IF(A441="","",A441&amp;"|"&amp;IF(B441="","Standard",B441))</f>
        <v/>
      </c>
      <c r="Q441">
        <f>IF(AND(A441&lt;&gt;"",A441='Firm Search'!$C$7),COUNTIF($A$5:A441,'Firm Search'!$C$7),"")</f>
        <v/>
      </c>
    </row>
    <row r="442">
      <c r="A442" s="64" t="n"/>
      <c r="B442" s="64" t="n"/>
      <c r="C442" s="66" t="n"/>
      <c r="D442" s="66" t="n"/>
      <c r="E442" s="67" t="n"/>
      <c r="F442" s="67" t="n"/>
      <c r="G442" s="67" t="n"/>
      <c r="H442" s="67" t="n"/>
      <c r="I442" s="67" t="n"/>
      <c r="J442" s="67" t="n"/>
      <c r="K442" s="67" t="n"/>
      <c r="L442" s="67" t="n"/>
      <c r="M442" s="64" t="n"/>
      <c r="N442" s="66" t="n"/>
      <c r="O442" s="84">
        <f>IF(A442="","",IF(OR(C442="",D442=""),"Enter both dates",IF(D442&lt;C442,"To is before From",IF(COUNTIFS($P$5:$P$2004,P442,$C$5:$C$2004,"&lt;="&amp;D442,$D$5:$D$2004,"&gt;="&amp;C442)&gt;1,"Overlaps another row","OK"))))</f>
        <v/>
      </c>
      <c r="P442">
        <f>IF(A442="","",A442&amp;"|"&amp;IF(B442="","Standard",B442))</f>
        <v/>
      </c>
      <c r="Q442">
        <f>IF(AND(A442&lt;&gt;"",A442='Firm Search'!$C$7),COUNTIF($A$5:A442,'Firm Search'!$C$7),"")</f>
        <v/>
      </c>
    </row>
    <row r="443">
      <c r="A443" s="64" t="n"/>
      <c r="B443" s="64" t="n"/>
      <c r="C443" s="66" t="n"/>
      <c r="D443" s="66" t="n"/>
      <c r="E443" s="67" t="n"/>
      <c r="F443" s="67" t="n"/>
      <c r="G443" s="67" t="n"/>
      <c r="H443" s="67" t="n"/>
      <c r="I443" s="67" t="n"/>
      <c r="J443" s="67" t="n"/>
      <c r="K443" s="67" t="n"/>
      <c r="L443" s="67" t="n"/>
      <c r="M443" s="64" t="n"/>
      <c r="N443" s="66" t="n"/>
      <c r="O443" s="84">
        <f>IF(A443="","",IF(OR(C443="",D443=""),"Enter both dates",IF(D443&lt;C443,"To is before From",IF(COUNTIFS($P$5:$P$2004,P443,$C$5:$C$2004,"&lt;="&amp;D443,$D$5:$D$2004,"&gt;="&amp;C443)&gt;1,"Overlaps another row","OK"))))</f>
        <v/>
      </c>
      <c r="P443">
        <f>IF(A443="","",A443&amp;"|"&amp;IF(B443="","Standard",B443))</f>
        <v/>
      </c>
      <c r="Q443">
        <f>IF(AND(A443&lt;&gt;"",A443='Firm Search'!$C$7),COUNTIF($A$5:A443,'Firm Search'!$C$7),"")</f>
        <v/>
      </c>
    </row>
    <row r="444">
      <c r="A444" s="64" t="n"/>
      <c r="B444" s="64" t="n"/>
      <c r="C444" s="66" t="n"/>
      <c r="D444" s="66" t="n"/>
      <c r="E444" s="67" t="n"/>
      <c r="F444" s="67" t="n"/>
      <c r="G444" s="67" t="n"/>
      <c r="H444" s="67" t="n"/>
      <c r="I444" s="67" t="n"/>
      <c r="J444" s="67" t="n"/>
      <c r="K444" s="67" t="n"/>
      <c r="L444" s="67" t="n"/>
      <c r="M444" s="64" t="n"/>
      <c r="N444" s="66" t="n"/>
      <c r="O444" s="84">
        <f>IF(A444="","",IF(OR(C444="",D444=""),"Enter both dates",IF(D444&lt;C444,"To is before From",IF(COUNTIFS($P$5:$P$2004,P444,$C$5:$C$2004,"&lt;="&amp;D444,$D$5:$D$2004,"&gt;="&amp;C444)&gt;1,"Overlaps another row","OK"))))</f>
        <v/>
      </c>
      <c r="P444">
        <f>IF(A444="","",A444&amp;"|"&amp;IF(B444="","Standard",B444))</f>
        <v/>
      </c>
      <c r="Q444">
        <f>IF(AND(A444&lt;&gt;"",A444='Firm Search'!$C$7),COUNTIF($A$5:A444,'Firm Search'!$C$7),"")</f>
        <v/>
      </c>
    </row>
    <row r="445">
      <c r="A445" s="64" t="n"/>
      <c r="B445" s="64" t="n"/>
      <c r="C445" s="66" t="n"/>
      <c r="D445" s="66" t="n"/>
      <c r="E445" s="67" t="n"/>
      <c r="F445" s="67" t="n"/>
      <c r="G445" s="67" t="n"/>
      <c r="H445" s="67" t="n"/>
      <c r="I445" s="67" t="n"/>
      <c r="J445" s="67" t="n"/>
      <c r="K445" s="67" t="n"/>
      <c r="L445" s="67" t="n"/>
      <c r="M445" s="64" t="n"/>
      <c r="N445" s="66" t="n"/>
      <c r="O445" s="84">
        <f>IF(A445="","",IF(OR(C445="",D445=""),"Enter both dates",IF(D445&lt;C445,"To is before From",IF(COUNTIFS($P$5:$P$2004,P445,$C$5:$C$2004,"&lt;="&amp;D445,$D$5:$D$2004,"&gt;="&amp;C445)&gt;1,"Overlaps another row","OK"))))</f>
        <v/>
      </c>
      <c r="P445">
        <f>IF(A445="","",A445&amp;"|"&amp;IF(B445="","Standard",B445))</f>
        <v/>
      </c>
      <c r="Q445">
        <f>IF(AND(A445&lt;&gt;"",A445='Firm Search'!$C$7),COUNTIF($A$5:A445,'Firm Search'!$C$7),"")</f>
        <v/>
      </c>
    </row>
    <row r="446">
      <c r="A446" s="64" t="n"/>
      <c r="B446" s="64" t="n"/>
      <c r="C446" s="66" t="n"/>
      <c r="D446" s="66" t="n"/>
      <c r="E446" s="67" t="n"/>
      <c r="F446" s="67" t="n"/>
      <c r="G446" s="67" t="n"/>
      <c r="H446" s="67" t="n"/>
      <c r="I446" s="67" t="n"/>
      <c r="J446" s="67" t="n"/>
      <c r="K446" s="67" t="n"/>
      <c r="L446" s="67" t="n"/>
      <c r="M446" s="64" t="n"/>
      <c r="N446" s="66" t="n"/>
      <c r="O446" s="84">
        <f>IF(A446="","",IF(OR(C446="",D446=""),"Enter both dates",IF(D446&lt;C446,"To is before From",IF(COUNTIFS($P$5:$P$2004,P446,$C$5:$C$2004,"&lt;="&amp;D446,$D$5:$D$2004,"&gt;="&amp;C446)&gt;1,"Overlaps another row","OK"))))</f>
        <v/>
      </c>
      <c r="P446">
        <f>IF(A446="","",A446&amp;"|"&amp;IF(B446="","Standard",B446))</f>
        <v/>
      </c>
      <c r="Q446">
        <f>IF(AND(A446&lt;&gt;"",A446='Firm Search'!$C$7),COUNTIF($A$5:A446,'Firm Search'!$C$7),"")</f>
        <v/>
      </c>
    </row>
    <row r="447">
      <c r="A447" s="64" t="n"/>
      <c r="B447" s="64" t="n"/>
      <c r="C447" s="66" t="n"/>
      <c r="D447" s="66" t="n"/>
      <c r="E447" s="67" t="n"/>
      <c r="F447" s="67" t="n"/>
      <c r="G447" s="67" t="n"/>
      <c r="H447" s="67" t="n"/>
      <c r="I447" s="67" t="n"/>
      <c r="J447" s="67" t="n"/>
      <c r="K447" s="67" t="n"/>
      <c r="L447" s="67" t="n"/>
      <c r="M447" s="64" t="n"/>
      <c r="N447" s="66" t="n"/>
      <c r="O447" s="84">
        <f>IF(A447="","",IF(OR(C447="",D447=""),"Enter both dates",IF(D447&lt;C447,"To is before From",IF(COUNTIFS($P$5:$P$2004,P447,$C$5:$C$2004,"&lt;="&amp;D447,$D$5:$D$2004,"&gt;="&amp;C447)&gt;1,"Overlaps another row","OK"))))</f>
        <v/>
      </c>
      <c r="P447">
        <f>IF(A447="","",A447&amp;"|"&amp;IF(B447="","Standard",B447))</f>
        <v/>
      </c>
      <c r="Q447">
        <f>IF(AND(A447&lt;&gt;"",A447='Firm Search'!$C$7),COUNTIF($A$5:A447,'Firm Search'!$C$7),"")</f>
        <v/>
      </c>
    </row>
    <row r="448">
      <c r="A448" s="64" t="n"/>
      <c r="B448" s="64" t="n"/>
      <c r="C448" s="66" t="n"/>
      <c r="D448" s="66" t="n"/>
      <c r="E448" s="67" t="n"/>
      <c r="F448" s="67" t="n"/>
      <c r="G448" s="67" t="n"/>
      <c r="H448" s="67" t="n"/>
      <c r="I448" s="67" t="n"/>
      <c r="J448" s="67" t="n"/>
      <c r="K448" s="67" t="n"/>
      <c r="L448" s="67" t="n"/>
      <c r="M448" s="64" t="n"/>
      <c r="N448" s="66" t="n"/>
      <c r="O448" s="84">
        <f>IF(A448="","",IF(OR(C448="",D448=""),"Enter both dates",IF(D448&lt;C448,"To is before From",IF(COUNTIFS($P$5:$P$2004,P448,$C$5:$C$2004,"&lt;="&amp;D448,$D$5:$D$2004,"&gt;="&amp;C448)&gt;1,"Overlaps another row","OK"))))</f>
        <v/>
      </c>
      <c r="P448">
        <f>IF(A448="","",A448&amp;"|"&amp;IF(B448="","Standard",B448))</f>
        <v/>
      </c>
      <c r="Q448">
        <f>IF(AND(A448&lt;&gt;"",A448='Firm Search'!$C$7),COUNTIF($A$5:A448,'Firm Search'!$C$7),"")</f>
        <v/>
      </c>
    </row>
    <row r="449">
      <c r="A449" s="64" t="n"/>
      <c r="B449" s="64" t="n"/>
      <c r="C449" s="66" t="n"/>
      <c r="D449" s="66" t="n"/>
      <c r="E449" s="67" t="n"/>
      <c r="F449" s="67" t="n"/>
      <c r="G449" s="67" t="n"/>
      <c r="H449" s="67" t="n"/>
      <c r="I449" s="67" t="n"/>
      <c r="J449" s="67" t="n"/>
      <c r="K449" s="67" t="n"/>
      <c r="L449" s="67" t="n"/>
      <c r="M449" s="64" t="n"/>
      <c r="N449" s="66" t="n"/>
      <c r="O449" s="84">
        <f>IF(A449="","",IF(OR(C449="",D449=""),"Enter both dates",IF(D449&lt;C449,"To is before From",IF(COUNTIFS($P$5:$P$2004,P449,$C$5:$C$2004,"&lt;="&amp;D449,$D$5:$D$2004,"&gt;="&amp;C449)&gt;1,"Overlaps another row","OK"))))</f>
        <v/>
      </c>
      <c r="P449">
        <f>IF(A449="","",A449&amp;"|"&amp;IF(B449="","Standard",B449))</f>
        <v/>
      </c>
      <c r="Q449">
        <f>IF(AND(A449&lt;&gt;"",A449='Firm Search'!$C$7),COUNTIF($A$5:A449,'Firm Search'!$C$7),"")</f>
        <v/>
      </c>
    </row>
    <row r="450">
      <c r="A450" s="64" t="n"/>
      <c r="B450" s="64" t="n"/>
      <c r="C450" s="66" t="n"/>
      <c r="D450" s="66" t="n"/>
      <c r="E450" s="67" t="n"/>
      <c r="F450" s="67" t="n"/>
      <c r="G450" s="67" t="n"/>
      <c r="H450" s="67" t="n"/>
      <c r="I450" s="67" t="n"/>
      <c r="J450" s="67" t="n"/>
      <c r="K450" s="67" t="n"/>
      <c r="L450" s="67" t="n"/>
      <c r="M450" s="64" t="n"/>
      <c r="N450" s="66" t="n"/>
      <c r="O450" s="84">
        <f>IF(A450="","",IF(OR(C450="",D450=""),"Enter both dates",IF(D450&lt;C450,"To is before From",IF(COUNTIFS($P$5:$P$2004,P450,$C$5:$C$2004,"&lt;="&amp;D450,$D$5:$D$2004,"&gt;="&amp;C450)&gt;1,"Overlaps another row","OK"))))</f>
        <v/>
      </c>
      <c r="P450">
        <f>IF(A450="","",A450&amp;"|"&amp;IF(B450="","Standard",B450))</f>
        <v/>
      </c>
      <c r="Q450">
        <f>IF(AND(A450&lt;&gt;"",A450='Firm Search'!$C$7),COUNTIF($A$5:A450,'Firm Search'!$C$7),"")</f>
        <v/>
      </c>
    </row>
    <row r="451">
      <c r="A451" s="64" t="n"/>
      <c r="B451" s="64" t="n"/>
      <c r="C451" s="66" t="n"/>
      <c r="D451" s="66" t="n"/>
      <c r="E451" s="67" t="n"/>
      <c r="F451" s="67" t="n"/>
      <c r="G451" s="67" t="n"/>
      <c r="H451" s="67" t="n"/>
      <c r="I451" s="67" t="n"/>
      <c r="J451" s="67" t="n"/>
      <c r="K451" s="67" t="n"/>
      <c r="L451" s="67" t="n"/>
      <c r="M451" s="64" t="n"/>
      <c r="N451" s="66" t="n"/>
      <c r="O451" s="84">
        <f>IF(A451="","",IF(OR(C451="",D451=""),"Enter both dates",IF(D451&lt;C451,"To is before From",IF(COUNTIFS($P$5:$P$2004,P451,$C$5:$C$2004,"&lt;="&amp;D451,$D$5:$D$2004,"&gt;="&amp;C451)&gt;1,"Overlaps another row","OK"))))</f>
        <v/>
      </c>
      <c r="P451">
        <f>IF(A451="","",A451&amp;"|"&amp;IF(B451="","Standard",B451))</f>
        <v/>
      </c>
      <c r="Q451">
        <f>IF(AND(A451&lt;&gt;"",A451='Firm Search'!$C$7),COUNTIF($A$5:A451,'Firm Search'!$C$7),"")</f>
        <v/>
      </c>
    </row>
    <row r="452">
      <c r="A452" s="64" t="n"/>
      <c r="B452" s="64" t="n"/>
      <c r="C452" s="66" t="n"/>
      <c r="D452" s="66" t="n"/>
      <c r="E452" s="67" t="n"/>
      <c r="F452" s="67" t="n"/>
      <c r="G452" s="67" t="n"/>
      <c r="H452" s="67" t="n"/>
      <c r="I452" s="67" t="n"/>
      <c r="J452" s="67" t="n"/>
      <c r="K452" s="67" t="n"/>
      <c r="L452" s="67" t="n"/>
      <c r="M452" s="64" t="n"/>
      <c r="N452" s="66" t="n"/>
      <c r="O452" s="84">
        <f>IF(A452="","",IF(OR(C452="",D452=""),"Enter both dates",IF(D452&lt;C452,"To is before From",IF(COUNTIFS($P$5:$P$2004,P452,$C$5:$C$2004,"&lt;="&amp;D452,$D$5:$D$2004,"&gt;="&amp;C452)&gt;1,"Overlaps another row","OK"))))</f>
        <v/>
      </c>
      <c r="P452">
        <f>IF(A452="","",A452&amp;"|"&amp;IF(B452="","Standard",B452))</f>
        <v/>
      </c>
      <c r="Q452">
        <f>IF(AND(A452&lt;&gt;"",A452='Firm Search'!$C$7),COUNTIF($A$5:A452,'Firm Search'!$C$7),"")</f>
        <v/>
      </c>
    </row>
    <row r="453">
      <c r="A453" s="64" t="n"/>
      <c r="B453" s="64" t="n"/>
      <c r="C453" s="66" t="n"/>
      <c r="D453" s="66" t="n"/>
      <c r="E453" s="67" t="n"/>
      <c r="F453" s="67" t="n"/>
      <c r="G453" s="67" t="n"/>
      <c r="H453" s="67" t="n"/>
      <c r="I453" s="67" t="n"/>
      <c r="J453" s="67" t="n"/>
      <c r="K453" s="67" t="n"/>
      <c r="L453" s="67" t="n"/>
      <c r="M453" s="64" t="n"/>
      <c r="N453" s="66" t="n"/>
      <c r="O453" s="84">
        <f>IF(A453="","",IF(OR(C453="",D453=""),"Enter both dates",IF(D453&lt;C453,"To is before From",IF(COUNTIFS($P$5:$P$2004,P453,$C$5:$C$2004,"&lt;="&amp;D453,$D$5:$D$2004,"&gt;="&amp;C453)&gt;1,"Overlaps another row","OK"))))</f>
        <v/>
      </c>
      <c r="P453">
        <f>IF(A453="","",A453&amp;"|"&amp;IF(B453="","Standard",B453))</f>
        <v/>
      </c>
      <c r="Q453">
        <f>IF(AND(A453&lt;&gt;"",A453='Firm Search'!$C$7),COUNTIF($A$5:A453,'Firm Search'!$C$7),"")</f>
        <v/>
      </c>
    </row>
    <row r="454">
      <c r="A454" s="64" t="n"/>
      <c r="B454" s="64" t="n"/>
      <c r="C454" s="66" t="n"/>
      <c r="D454" s="66" t="n"/>
      <c r="E454" s="67" t="n"/>
      <c r="F454" s="67" t="n"/>
      <c r="G454" s="67" t="n"/>
      <c r="H454" s="67" t="n"/>
      <c r="I454" s="67" t="n"/>
      <c r="J454" s="67" t="n"/>
      <c r="K454" s="67" t="n"/>
      <c r="L454" s="67" t="n"/>
      <c r="M454" s="64" t="n"/>
      <c r="N454" s="66" t="n"/>
      <c r="O454" s="84">
        <f>IF(A454="","",IF(OR(C454="",D454=""),"Enter both dates",IF(D454&lt;C454,"To is before From",IF(COUNTIFS($P$5:$P$2004,P454,$C$5:$C$2004,"&lt;="&amp;D454,$D$5:$D$2004,"&gt;="&amp;C454)&gt;1,"Overlaps another row","OK"))))</f>
        <v/>
      </c>
      <c r="P454">
        <f>IF(A454="","",A454&amp;"|"&amp;IF(B454="","Standard",B454))</f>
        <v/>
      </c>
      <c r="Q454">
        <f>IF(AND(A454&lt;&gt;"",A454='Firm Search'!$C$7),COUNTIF($A$5:A454,'Firm Search'!$C$7),"")</f>
        <v/>
      </c>
    </row>
    <row r="455">
      <c r="A455" s="64" t="n"/>
      <c r="B455" s="64" t="n"/>
      <c r="C455" s="66" t="n"/>
      <c r="D455" s="66" t="n"/>
      <c r="E455" s="67" t="n"/>
      <c r="F455" s="67" t="n"/>
      <c r="G455" s="67" t="n"/>
      <c r="H455" s="67" t="n"/>
      <c r="I455" s="67" t="n"/>
      <c r="J455" s="67" t="n"/>
      <c r="K455" s="67" t="n"/>
      <c r="L455" s="67" t="n"/>
      <c r="M455" s="64" t="n"/>
      <c r="N455" s="66" t="n"/>
      <c r="O455" s="84">
        <f>IF(A455="","",IF(OR(C455="",D455=""),"Enter both dates",IF(D455&lt;C455,"To is before From",IF(COUNTIFS($P$5:$P$2004,P455,$C$5:$C$2004,"&lt;="&amp;D455,$D$5:$D$2004,"&gt;="&amp;C455)&gt;1,"Overlaps another row","OK"))))</f>
        <v/>
      </c>
      <c r="P455">
        <f>IF(A455="","",A455&amp;"|"&amp;IF(B455="","Standard",B455))</f>
        <v/>
      </c>
      <c r="Q455">
        <f>IF(AND(A455&lt;&gt;"",A455='Firm Search'!$C$7),COUNTIF($A$5:A455,'Firm Search'!$C$7),"")</f>
        <v/>
      </c>
    </row>
    <row r="456">
      <c r="A456" s="64" t="n"/>
      <c r="B456" s="64" t="n"/>
      <c r="C456" s="66" t="n"/>
      <c r="D456" s="66" t="n"/>
      <c r="E456" s="67" t="n"/>
      <c r="F456" s="67" t="n"/>
      <c r="G456" s="67" t="n"/>
      <c r="H456" s="67" t="n"/>
      <c r="I456" s="67" t="n"/>
      <c r="J456" s="67" t="n"/>
      <c r="K456" s="67" t="n"/>
      <c r="L456" s="67" t="n"/>
      <c r="M456" s="64" t="n"/>
      <c r="N456" s="66" t="n"/>
      <c r="O456" s="84">
        <f>IF(A456="","",IF(OR(C456="",D456=""),"Enter both dates",IF(D456&lt;C456,"To is before From",IF(COUNTIFS($P$5:$P$2004,P456,$C$5:$C$2004,"&lt;="&amp;D456,$D$5:$D$2004,"&gt;="&amp;C456)&gt;1,"Overlaps another row","OK"))))</f>
        <v/>
      </c>
      <c r="P456">
        <f>IF(A456="","",A456&amp;"|"&amp;IF(B456="","Standard",B456))</f>
        <v/>
      </c>
      <c r="Q456">
        <f>IF(AND(A456&lt;&gt;"",A456='Firm Search'!$C$7),COUNTIF($A$5:A456,'Firm Search'!$C$7),"")</f>
        <v/>
      </c>
    </row>
    <row r="457">
      <c r="A457" s="64" t="n"/>
      <c r="B457" s="64" t="n"/>
      <c r="C457" s="66" t="n"/>
      <c r="D457" s="66" t="n"/>
      <c r="E457" s="67" t="n"/>
      <c r="F457" s="67" t="n"/>
      <c r="G457" s="67" t="n"/>
      <c r="H457" s="67" t="n"/>
      <c r="I457" s="67" t="n"/>
      <c r="J457" s="67" t="n"/>
      <c r="K457" s="67" t="n"/>
      <c r="L457" s="67" t="n"/>
      <c r="M457" s="64" t="n"/>
      <c r="N457" s="66" t="n"/>
      <c r="O457" s="84">
        <f>IF(A457="","",IF(OR(C457="",D457=""),"Enter both dates",IF(D457&lt;C457,"To is before From",IF(COUNTIFS($P$5:$P$2004,P457,$C$5:$C$2004,"&lt;="&amp;D457,$D$5:$D$2004,"&gt;="&amp;C457)&gt;1,"Overlaps another row","OK"))))</f>
        <v/>
      </c>
      <c r="P457">
        <f>IF(A457="","",A457&amp;"|"&amp;IF(B457="","Standard",B457))</f>
        <v/>
      </c>
      <c r="Q457">
        <f>IF(AND(A457&lt;&gt;"",A457='Firm Search'!$C$7),COUNTIF($A$5:A457,'Firm Search'!$C$7),"")</f>
        <v/>
      </c>
    </row>
    <row r="458">
      <c r="A458" s="64" t="n"/>
      <c r="B458" s="64" t="n"/>
      <c r="C458" s="66" t="n"/>
      <c r="D458" s="66" t="n"/>
      <c r="E458" s="67" t="n"/>
      <c r="F458" s="67" t="n"/>
      <c r="G458" s="67" t="n"/>
      <c r="H458" s="67" t="n"/>
      <c r="I458" s="67" t="n"/>
      <c r="J458" s="67" t="n"/>
      <c r="K458" s="67" t="n"/>
      <c r="L458" s="67" t="n"/>
      <c r="M458" s="64" t="n"/>
      <c r="N458" s="66" t="n"/>
      <c r="O458" s="84">
        <f>IF(A458="","",IF(OR(C458="",D458=""),"Enter both dates",IF(D458&lt;C458,"To is before From",IF(COUNTIFS($P$5:$P$2004,P458,$C$5:$C$2004,"&lt;="&amp;D458,$D$5:$D$2004,"&gt;="&amp;C458)&gt;1,"Overlaps another row","OK"))))</f>
        <v/>
      </c>
      <c r="P458">
        <f>IF(A458="","",A458&amp;"|"&amp;IF(B458="","Standard",B458))</f>
        <v/>
      </c>
      <c r="Q458">
        <f>IF(AND(A458&lt;&gt;"",A458='Firm Search'!$C$7),COUNTIF($A$5:A458,'Firm Search'!$C$7),"")</f>
        <v/>
      </c>
    </row>
    <row r="459">
      <c r="A459" s="64" t="n"/>
      <c r="B459" s="64" t="n"/>
      <c r="C459" s="66" t="n"/>
      <c r="D459" s="66" t="n"/>
      <c r="E459" s="67" t="n"/>
      <c r="F459" s="67" t="n"/>
      <c r="G459" s="67" t="n"/>
      <c r="H459" s="67" t="n"/>
      <c r="I459" s="67" t="n"/>
      <c r="J459" s="67" t="n"/>
      <c r="K459" s="67" t="n"/>
      <c r="L459" s="67" t="n"/>
      <c r="M459" s="64" t="n"/>
      <c r="N459" s="66" t="n"/>
      <c r="O459" s="84">
        <f>IF(A459="","",IF(OR(C459="",D459=""),"Enter both dates",IF(D459&lt;C459,"To is before From",IF(COUNTIFS($P$5:$P$2004,P459,$C$5:$C$2004,"&lt;="&amp;D459,$D$5:$D$2004,"&gt;="&amp;C459)&gt;1,"Overlaps another row","OK"))))</f>
        <v/>
      </c>
      <c r="P459">
        <f>IF(A459="","",A459&amp;"|"&amp;IF(B459="","Standard",B459))</f>
        <v/>
      </c>
      <c r="Q459">
        <f>IF(AND(A459&lt;&gt;"",A459='Firm Search'!$C$7),COUNTIF($A$5:A459,'Firm Search'!$C$7),"")</f>
        <v/>
      </c>
    </row>
    <row r="460">
      <c r="A460" s="64" t="n"/>
      <c r="B460" s="64" t="n"/>
      <c r="C460" s="66" t="n"/>
      <c r="D460" s="66" t="n"/>
      <c r="E460" s="67" t="n"/>
      <c r="F460" s="67" t="n"/>
      <c r="G460" s="67" t="n"/>
      <c r="H460" s="67" t="n"/>
      <c r="I460" s="67" t="n"/>
      <c r="J460" s="67" t="n"/>
      <c r="K460" s="67" t="n"/>
      <c r="L460" s="67" t="n"/>
      <c r="M460" s="64" t="n"/>
      <c r="N460" s="66" t="n"/>
      <c r="O460" s="84">
        <f>IF(A460="","",IF(OR(C460="",D460=""),"Enter both dates",IF(D460&lt;C460,"To is before From",IF(COUNTIFS($P$5:$P$2004,P460,$C$5:$C$2004,"&lt;="&amp;D460,$D$5:$D$2004,"&gt;="&amp;C460)&gt;1,"Overlaps another row","OK"))))</f>
        <v/>
      </c>
      <c r="P460">
        <f>IF(A460="","",A460&amp;"|"&amp;IF(B460="","Standard",B460))</f>
        <v/>
      </c>
      <c r="Q460">
        <f>IF(AND(A460&lt;&gt;"",A460='Firm Search'!$C$7),COUNTIF($A$5:A460,'Firm Search'!$C$7),"")</f>
        <v/>
      </c>
    </row>
    <row r="461">
      <c r="A461" s="64" t="n"/>
      <c r="B461" s="64" t="n"/>
      <c r="C461" s="66" t="n"/>
      <c r="D461" s="66" t="n"/>
      <c r="E461" s="67" t="n"/>
      <c r="F461" s="67" t="n"/>
      <c r="G461" s="67" t="n"/>
      <c r="H461" s="67" t="n"/>
      <c r="I461" s="67" t="n"/>
      <c r="J461" s="67" t="n"/>
      <c r="K461" s="67" t="n"/>
      <c r="L461" s="67" t="n"/>
      <c r="M461" s="64" t="n"/>
      <c r="N461" s="66" t="n"/>
      <c r="O461" s="84">
        <f>IF(A461="","",IF(OR(C461="",D461=""),"Enter both dates",IF(D461&lt;C461,"To is before From",IF(COUNTIFS($P$5:$P$2004,P461,$C$5:$C$2004,"&lt;="&amp;D461,$D$5:$D$2004,"&gt;="&amp;C461)&gt;1,"Overlaps another row","OK"))))</f>
        <v/>
      </c>
      <c r="P461">
        <f>IF(A461="","",A461&amp;"|"&amp;IF(B461="","Standard",B461))</f>
        <v/>
      </c>
      <c r="Q461">
        <f>IF(AND(A461&lt;&gt;"",A461='Firm Search'!$C$7),COUNTIF($A$5:A461,'Firm Search'!$C$7),"")</f>
        <v/>
      </c>
    </row>
    <row r="462">
      <c r="A462" s="64" t="n"/>
      <c r="B462" s="64" t="n"/>
      <c r="C462" s="66" t="n"/>
      <c r="D462" s="66" t="n"/>
      <c r="E462" s="67" t="n"/>
      <c r="F462" s="67" t="n"/>
      <c r="G462" s="67" t="n"/>
      <c r="H462" s="67" t="n"/>
      <c r="I462" s="67" t="n"/>
      <c r="J462" s="67" t="n"/>
      <c r="K462" s="67" t="n"/>
      <c r="L462" s="67" t="n"/>
      <c r="M462" s="64" t="n"/>
      <c r="N462" s="66" t="n"/>
      <c r="O462" s="84">
        <f>IF(A462="","",IF(OR(C462="",D462=""),"Enter both dates",IF(D462&lt;C462,"To is before From",IF(COUNTIFS($P$5:$P$2004,P462,$C$5:$C$2004,"&lt;="&amp;D462,$D$5:$D$2004,"&gt;="&amp;C462)&gt;1,"Overlaps another row","OK"))))</f>
        <v/>
      </c>
      <c r="P462">
        <f>IF(A462="","",A462&amp;"|"&amp;IF(B462="","Standard",B462))</f>
        <v/>
      </c>
      <c r="Q462">
        <f>IF(AND(A462&lt;&gt;"",A462='Firm Search'!$C$7),COUNTIF($A$5:A462,'Firm Search'!$C$7),"")</f>
        <v/>
      </c>
    </row>
    <row r="463">
      <c r="A463" s="64" t="n"/>
      <c r="B463" s="64" t="n"/>
      <c r="C463" s="66" t="n"/>
      <c r="D463" s="66" t="n"/>
      <c r="E463" s="67" t="n"/>
      <c r="F463" s="67" t="n"/>
      <c r="G463" s="67" t="n"/>
      <c r="H463" s="67" t="n"/>
      <c r="I463" s="67" t="n"/>
      <c r="J463" s="67" t="n"/>
      <c r="K463" s="67" t="n"/>
      <c r="L463" s="67" t="n"/>
      <c r="M463" s="64" t="n"/>
      <c r="N463" s="66" t="n"/>
      <c r="O463" s="84">
        <f>IF(A463="","",IF(OR(C463="",D463=""),"Enter both dates",IF(D463&lt;C463,"To is before From",IF(COUNTIFS($P$5:$P$2004,P463,$C$5:$C$2004,"&lt;="&amp;D463,$D$5:$D$2004,"&gt;="&amp;C463)&gt;1,"Overlaps another row","OK"))))</f>
        <v/>
      </c>
      <c r="P463">
        <f>IF(A463="","",A463&amp;"|"&amp;IF(B463="","Standard",B463))</f>
        <v/>
      </c>
      <c r="Q463">
        <f>IF(AND(A463&lt;&gt;"",A463='Firm Search'!$C$7),COUNTIF($A$5:A463,'Firm Search'!$C$7),"")</f>
        <v/>
      </c>
    </row>
    <row r="464">
      <c r="A464" s="64" t="n"/>
      <c r="B464" s="64" t="n"/>
      <c r="C464" s="66" t="n"/>
      <c r="D464" s="66" t="n"/>
      <c r="E464" s="67" t="n"/>
      <c r="F464" s="67" t="n"/>
      <c r="G464" s="67" t="n"/>
      <c r="H464" s="67" t="n"/>
      <c r="I464" s="67" t="n"/>
      <c r="J464" s="67" t="n"/>
      <c r="K464" s="67" t="n"/>
      <c r="L464" s="67" t="n"/>
      <c r="M464" s="64" t="n"/>
      <c r="N464" s="66" t="n"/>
      <c r="O464" s="84">
        <f>IF(A464="","",IF(OR(C464="",D464=""),"Enter both dates",IF(D464&lt;C464,"To is before From",IF(COUNTIFS($P$5:$P$2004,P464,$C$5:$C$2004,"&lt;="&amp;D464,$D$5:$D$2004,"&gt;="&amp;C464)&gt;1,"Overlaps another row","OK"))))</f>
        <v/>
      </c>
      <c r="P464">
        <f>IF(A464="","",A464&amp;"|"&amp;IF(B464="","Standard",B464))</f>
        <v/>
      </c>
      <c r="Q464">
        <f>IF(AND(A464&lt;&gt;"",A464='Firm Search'!$C$7),COUNTIF($A$5:A464,'Firm Search'!$C$7),"")</f>
        <v/>
      </c>
    </row>
    <row r="465">
      <c r="A465" s="64" t="n"/>
      <c r="B465" s="64" t="n"/>
      <c r="C465" s="66" t="n"/>
      <c r="D465" s="66" t="n"/>
      <c r="E465" s="67" t="n"/>
      <c r="F465" s="67" t="n"/>
      <c r="G465" s="67" t="n"/>
      <c r="H465" s="67" t="n"/>
      <c r="I465" s="67" t="n"/>
      <c r="J465" s="67" t="n"/>
      <c r="K465" s="67" t="n"/>
      <c r="L465" s="67" t="n"/>
      <c r="M465" s="64" t="n"/>
      <c r="N465" s="66" t="n"/>
      <c r="O465" s="84">
        <f>IF(A465="","",IF(OR(C465="",D465=""),"Enter both dates",IF(D465&lt;C465,"To is before From",IF(COUNTIFS($P$5:$P$2004,P465,$C$5:$C$2004,"&lt;="&amp;D465,$D$5:$D$2004,"&gt;="&amp;C465)&gt;1,"Overlaps another row","OK"))))</f>
        <v/>
      </c>
      <c r="P465">
        <f>IF(A465="","",A465&amp;"|"&amp;IF(B465="","Standard",B465))</f>
        <v/>
      </c>
      <c r="Q465">
        <f>IF(AND(A465&lt;&gt;"",A465='Firm Search'!$C$7),COUNTIF($A$5:A465,'Firm Search'!$C$7),"")</f>
        <v/>
      </c>
    </row>
    <row r="466">
      <c r="A466" s="64" t="n"/>
      <c r="B466" s="64" t="n"/>
      <c r="C466" s="66" t="n"/>
      <c r="D466" s="66" t="n"/>
      <c r="E466" s="67" t="n"/>
      <c r="F466" s="67" t="n"/>
      <c r="G466" s="67" t="n"/>
      <c r="H466" s="67" t="n"/>
      <c r="I466" s="67" t="n"/>
      <c r="J466" s="67" t="n"/>
      <c r="K466" s="67" t="n"/>
      <c r="L466" s="67" t="n"/>
      <c r="M466" s="64" t="n"/>
      <c r="N466" s="66" t="n"/>
      <c r="O466" s="84">
        <f>IF(A466="","",IF(OR(C466="",D466=""),"Enter both dates",IF(D466&lt;C466,"To is before From",IF(COUNTIFS($P$5:$P$2004,P466,$C$5:$C$2004,"&lt;="&amp;D466,$D$5:$D$2004,"&gt;="&amp;C466)&gt;1,"Overlaps another row","OK"))))</f>
        <v/>
      </c>
      <c r="P466">
        <f>IF(A466="","",A466&amp;"|"&amp;IF(B466="","Standard",B466))</f>
        <v/>
      </c>
      <c r="Q466">
        <f>IF(AND(A466&lt;&gt;"",A466='Firm Search'!$C$7),COUNTIF($A$5:A466,'Firm Search'!$C$7),"")</f>
        <v/>
      </c>
    </row>
    <row r="467">
      <c r="A467" s="64" t="n"/>
      <c r="B467" s="64" t="n"/>
      <c r="C467" s="66" t="n"/>
      <c r="D467" s="66" t="n"/>
      <c r="E467" s="67" t="n"/>
      <c r="F467" s="67" t="n"/>
      <c r="G467" s="67" t="n"/>
      <c r="H467" s="67" t="n"/>
      <c r="I467" s="67" t="n"/>
      <c r="J467" s="67" t="n"/>
      <c r="K467" s="67" t="n"/>
      <c r="L467" s="67" t="n"/>
      <c r="M467" s="64" t="n"/>
      <c r="N467" s="66" t="n"/>
      <c r="O467" s="84">
        <f>IF(A467="","",IF(OR(C467="",D467=""),"Enter both dates",IF(D467&lt;C467,"To is before From",IF(COUNTIFS($P$5:$P$2004,P467,$C$5:$C$2004,"&lt;="&amp;D467,$D$5:$D$2004,"&gt;="&amp;C467)&gt;1,"Overlaps another row","OK"))))</f>
        <v/>
      </c>
      <c r="P467">
        <f>IF(A467="","",A467&amp;"|"&amp;IF(B467="","Standard",B467))</f>
        <v/>
      </c>
      <c r="Q467">
        <f>IF(AND(A467&lt;&gt;"",A467='Firm Search'!$C$7),COUNTIF($A$5:A467,'Firm Search'!$C$7),"")</f>
        <v/>
      </c>
    </row>
    <row r="468">
      <c r="A468" s="64" t="n"/>
      <c r="B468" s="64" t="n"/>
      <c r="C468" s="66" t="n"/>
      <c r="D468" s="66" t="n"/>
      <c r="E468" s="67" t="n"/>
      <c r="F468" s="67" t="n"/>
      <c r="G468" s="67" t="n"/>
      <c r="H468" s="67" t="n"/>
      <c r="I468" s="67" t="n"/>
      <c r="J468" s="67" t="n"/>
      <c r="K468" s="67" t="n"/>
      <c r="L468" s="67" t="n"/>
      <c r="M468" s="64" t="n"/>
      <c r="N468" s="66" t="n"/>
      <c r="O468" s="84">
        <f>IF(A468="","",IF(OR(C468="",D468=""),"Enter both dates",IF(D468&lt;C468,"To is before From",IF(COUNTIFS($P$5:$P$2004,P468,$C$5:$C$2004,"&lt;="&amp;D468,$D$5:$D$2004,"&gt;="&amp;C468)&gt;1,"Overlaps another row","OK"))))</f>
        <v/>
      </c>
      <c r="P468">
        <f>IF(A468="","",A468&amp;"|"&amp;IF(B468="","Standard",B468))</f>
        <v/>
      </c>
      <c r="Q468">
        <f>IF(AND(A468&lt;&gt;"",A468='Firm Search'!$C$7),COUNTIF($A$5:A468,'Firm Search'!$C$7),"")</f>
        <v/>
      </c>
    </row>
    <row r="469">
      <c r="A469" s="64" t="n"/>
      <c r="B469" s="64" t="n"/>
      <c r="C469" s="66" t="n"/>
      <c r="D469" s="66" t="n"/>
      <c r="E469" s="67" t="n"/>
      <c r="F469" s="67" t="n"/>
      <c r="G469" s="67" t="n"/>
      <c r="H469" s="67" t="n"/>
      <c r="I469" s="67" t="n"/>
      <c r="J469" s="67" t="n"/>
      <c r="K469" s="67" t="n"/>
      <c r="L469" s="67" t="n"/>
      <c r="M469" s="64" t="n"/>
      <c r="N469" s="66" t="n"/>
      <c r="O469" s="84">
        <f>IF(A469="","",IF(OR(C469="",D469=""),"Enter both dates",IF(D469&lt;C469,"To is before From",IF(COUNTIFS($P$5:$P$2004,P469,$C$5:$C$2004,"&lt;="&amp;D469,$D$5:$D$2004,"&gt;="&amp;C469)&gt;1,"Overlaps another row","OK"))))</f>
        <v/>
      </c>
      <c r="P469">
        <f>IF(A469="","",A469&amp;"|"&amp;IF(B469="","Standard",B469))</f>
        <v/>
      </c>
      <c r="Q469">
        <f>IF(AND(A469&lt;&gt;"",A469='Firm Search'!$C$7),COUNTIF($A$5:A469,'Firm Search'!$C$7),"")</f>
        <v/>
      </c>
    </row>
    <row r="470">
      <c r="A470" s="64" t="n"/>
      <c r="B470" s="64" t="n"/>
      <c r="C470" s="66" t="n"/>
      <c r="D470" s="66" t="n"/>
      <c r="E470" s="67" t="n"/>
      <c r="F470" s="67" t="n"/>
      <c r="G470" s="67" t="n"/>
      <c r="H470" s="67" t="n"/>
      <c r="I470" s="67" t="n"/>
      <c r="J470" s="67" t="n"/>
      <c r="K470" s="67" t="n"/>
      <c r="L470" s="67" t="n"/>
      <c r="M470" s="64" t="n"/>
      <c r="N470" s="66" t="n"/>
      <c r="O470" s="84">
        <f>IF(A470="","",IF(OR(C470="",D470=""),"Enter both dates",IF(D470&lt;C470,"To is before From",IF(COUNTIFS($P$5:$P$2004,P470,$C$5:$C$2004,"&lt;="&amp;D470,$D$5:$D$2004,"&gt;="&amp;C470)&gt;1,"Overlaps another row","OK"))))</f>
        <v/>
      </c>
      <c r="P470">
        <f>IF(A470="","",A470&amp;"|"&amp;IF(B470="","Standard",B470))</f>
        <v/>
      </c>
      <c r="Q470">
        <f>IF(AND(A470&lt;&gt;"",A470='Firm Search'!$C$7),COUNTIF($A$5:A470,'Firm Search'!$C$7),"")</f>
        <v/>
      </c>
    </row>
    <row r="471">
      <c r="A471" s="64" t="n"/>
      <c r="B471" s="64" t="n"/>
      <c r="C471" s="66" t="n"/>
      <c r="D471" s="66" t="n"/>
      <c r="E471" s="67" t="n"/>
      <c r="F471" s="67" t="n"/>
      <c r="G471" s="67" t="n"/>
      <c r="H471" s="67" t="n"/>
      <c r="I471" s="67" t="n"/>
      <c r="J471" s="67" t="n"/>
      <c r="K471" s="67" t="n"/>
      <c r="L471" s="67" t="n"/>
      <c r="M471" s="64" t="n"/>
      <c r="N471" s="66" t="n"/>
      <c r="O471" s="84">
        <f>IF(A471="","",IF(OR(C471="",D471=""),"Enter both dates",IF(D471&lt;C471,"To is before From",IF(COUNTIFS($P$5:$P$2004,P471,$C$5:$C$2004,"&lt;="&amp;D471,$D$5:$D$2004,"&gt;="&amp;C471)&gt;1,"Overlaps another row","OK"))))</f>
        <v/>
      </c>
      <c r="P471">
        <f>IF(A471="","",A471&amp;"|"&amp;IF(B471="","Standard",B471))</f>
        <v/>
      </c>
      <c r="Q471">
        <f>IF(AND(A471&lt;&gt;"",A471='Firm Search'!$C$7),COUNTIF($A$5:A471,'Firm Search'!$C$7),"")</f>
        <v/>
      </c>
    </row>
    <row r="472">
      <c r="A472" s="64" t="n"/>
      <c r="B472" s="64" t="n"/>
      <c r="C472" s="66" t="n"/>
      <c r="D472" s="66" t="n"/>
      <c r="E472" s="67" t="n"/>
      <c r="F472" s="67" t="n"/>
      <c r="G472" s="67" t="n"/>
      <c r="H472" s="67" t="n"/>
      <c r="I472" s="67" t="n"/>
      <c r="J472" s="67" t="n"/>
      <c r="K472" s="67" t="n"/>
      <c r="L472" s="67" t="n"/>
      <c r="M472" s="64" t="n"/>
      <c r="N472" s="66" t="n"/>
      <c r="O472" s="84">
        <f>IF(A472="","",IF(OR(C472="",D472=""),"Enter both dates",IF(D472&lt;C472,"To is before From",IF(COUNTIFS($P$5:$P$2004,P472,$C$5:$C$2004,"&lt;="&amp;D472,$D$5:$D$2004,"&gt;="&amp;C472)&gt;1,"Overlaps another row","OK"))))</f>
        <v/>
      </c>
      <c r="P472">
        <f>IF(A472="","",A472&amp;"|"&amp;IF(B472="","Standard",B472))</f>
        <v/>
      </c>
      <c r="Q472">
        <f>IF(AND(A472&lt;&gt;"",A472='Firm Search'!$C$7),COUNTIF($A$5:A472,'Firm Search'!$C$7),"")</f>
        <v/>
      </c>
    </row>
    <row r="473">
      <c r="A473" s="64" t="n"/>
      <c r="B473" s="64" t="n"/>
      <c r="C473" s="66" t="n"/>
      <c r="D473" s="66" t="n"/>
      <c r="E473" s="67" t="n"/>
      <c r="F473" s="67" t="n"/>
      <c r="G473" s="67" t="n"/>
      <c r="H473" s="67" t="n"/>
      <c r="I473" s="67" t="n"/>
      <c r="J473" s="67" t="n"/>
      <c r="K473" s="67" t="n"/>
      <c r="L473" s="67" t="n"/>
      <c r="M473" s="64" t="n"/>
      <c r="N473" s="66" t="n"/>
      <c r="O473" s="84">
        <f>IF(A473="","",IF(OR(C473="",D473=""),"Enter both dates",IF(D473&lt;C473,"To is before From",IF(COUNTIFS($P$5:$P$2004,P473,$C$5:$C$2004,"&lt;="&amp;D473,$D$5:$D$2004,"&gt;="&amp;C473)&gt;1,"Overlaps another row","OK"))))</f>
        <v/>
      </c>
      <c r="P473">
        <f>IF(A473="","",A473&amp;"|"&amp;IF(B473="","Standard",B473))</f>
        <v/>
      </c>
      <c r="Q473">
        <f>IF(AND(A473&lt;&gt;"",A473='Firm Search'!$C$7),COUNTIF($A$5:A473,'Firm Search'!$C$7),"")</f>
        <v/>
      </c>
    </row>
    <row r="474">
      <c r="A474" s="64" t="n"/>
      <c r="B474" s="64" t="n"/>
      <c r="C474" s="66" t="n"/>
      <c r="D474" s="66" t="n"/>
      <c r="E474" s="67" t="n"/>
      <c r="F474" s="67" t="n"/>
      <c r="G474" s="67" t="n"/>
      <c r="H474" s="67" t="n"/>
      <c r="I474" s="67" t="n"/>
      <c r="J474" s="67" t="n"/>
      <c r="K474" s="67" t="n"/>
      <c r="L474" s="67" t="n"/>
      <c r="M474" s="64" t="n"/>
      <c r="N474" s="66" t="n"/>
      <c r="O474" s="84">
        <f>IF(A474="","",IF(OR(C474="",D474=""),"Enter both dates",IF(D474&lt;C474,"To is before From",IF(COUNTIFS($P$5:$P$2004,P474,$C$5:$C$2004,"&lt;="&amp;D474,$D$5:$D$2004,"&gt;="&amp;C474)&gt;1,"Overlaps another row","OK"))))</f>
        <v/>
      </c>
      <c r="P474">
        <f>IF(A474="","",A474&amp;"|"&amp;IF(B474="","Standard",B474))</f>
        <v/>
      </c>
      <c r="Q474">
        <f>IF(AND(A474&lt;&gt;"",A474='Firm Search'!$C$7),COUNTIF($A$5:A474,'Firm Search'!$C$7),"")</f>
        <v/>
      </c>
    </row>
    <row r="475">
      <c r="A475" s="64" t="n"/>
      <c r="B475" s="64" t="n"/>
      <c r="C475" s="66" t="n"/>
      <c r="D475" s="66" t="n"/>
      <c r="E475" s="67" t="n"/>
      <c r="F475" s="67" t="n"/>
      <c r="G475" s="67" t="n"/>
      <c r="H475" s="67" t="n"/>
      <c r="I475" s="67" t="n"/>
      <c r="J475" s="67" t="n"/>
      <c r="K475" s="67" t="n"/>
      <c r="L475" s="67" t="n"/>
      <c r="M475" s="64" t="n"/>
      <c r="N475" s="66" t="n"/>
      <c r="O475" s="84">
        <f>IF(A475="","",IF(OR(C475="",D475=""),"Enter both dates",IF(D475&lt;C475,"To is before From",IF(COUNTIFS($P$5:$P$2004,P475,$C$5:$C$2004,"&lt;="&amp;D475,$D$5:$D$2004,"&gt;="&amp;C475)&gt;1,"Overlaps another row","OK"))))</f>
        <v/>
      </c>
      <c r="P475">
        <f>IF(A475="","",A475&amp;"|"&amp;IF(B475="","Standard",B475))</f>
        <v/>
      </c>
      <c r="Q475">
        <f>IF(AND(A475&lt;&gt;"",A475='Firm Search'!$C$7),COUNTIF($A$5:A475,'Firm Search'!$C$7),"")</f>
        <v/>
      </c>
    </row>
    <row r="476">
      <c r="A476" s="64" t="n"/>
      <c r="B476" s="64" t="n"/>
      <c r="C476" s="66" t="n"/>
      <c r="D476" s="66" t="n"/>
      <c r="E476" s="67" t="n"/>
      <c r="F476" s="67" t="n"/>
      <c r="G476" s="67" t="n"/>
      <c r="H476" s="67" t="n"/>
      <c r="I476" s="67" t="n"/>
      <c r="J476" s="67" t="n"/>
      <c r="K476" s="67" t="n"/>
      <c r="L476" s="67" t="n"/>
      <c r="M476" s="64" t="n"/>
      <c r="N476" s="66" t="n"/>
      <c r="O476" s="84">
        <f>IF(A476="","",IF(OR(C476="",D476=""),"Enter both dates",IF(D476&lt;C476,"To is before From",IF(COUNTIFS($P$5:$P$2004,P476,$C$5:$C$2004,"&lt;="&amp;D476,$D$5:$D$2004,"&gt;="&amp;C476)&gt;1,"Overlaps another row","OK"))))</f>
        <v/>
      </c>
      <c r="P476">
        <f>IF(A476="","",A476&amp;"|"&amp;IF(B476="","Standard",B476))</f>
        <v/>
      </c>
      <c r="Q476">
        <f>IF(AND(A476&lt;&gt;"",A476='Firm Search'!$C$7),COUNTIF($A$5:A476,'Firm Search'!$C$7),"")</f>
        <v/>
      </c>
    </row>
    <row r="477">
      <c r="A477" s="64" t="n"/>
      <c r="B477" s="64" t="n"/>
      <c r="C477" s="66" t="n"/>
      <c r="D477" s="66" t="n"/>
      <c r="E477" s="67" t="n"/>
      <c r="F477" s="67" t="n"/>
      <c r="G477" s="67" t="n"/>
      <c r="H477" s="67" t="n"/>
      <c r="I477" s="67" t="n"/>
      <c r="J477" s="67" t="n"/>
      <c r="K477" s="67" t="n"/>
      <c r="L477" s="67" t="n"/>
      <c r="M477" s="64" t="n"/>
      <c r="N477" s="66" t="n"/>
      <c r="O477" s="84">
        <f>IF(A477="","",IF(OR(C477="",D477=""),"Enter both dates",IF(D477&lt;C477,"To is before From",IF(COUNTIFS($P$5:$P$2004,P477,$C$5:$C$2004,"&lt;="&amp;D477,$D$5:$D$2004,"&gt;="&amp;C477)&gt;1,"Overlaps another row","OK"))))</f>
        <v/>
      </c>
      <c r="P477">
        <f>IF(A477="","",A477&amp;"|"&amp;IF(B477="","Standard",B477))</f>
        <v/>
      </c>
      <c r="Q477">
        <f>IF(AND(A477&lt;&gt;"",A477='Firm Search'!$C$7),COUNTIF($A$5:A477,'Firm Search'!$C$7),"")</f>
        <v/>
      </c>
    </row>
    <row r="478">
      <c r="A478" s="64" t="n"/>
      <c r="B478" s="64" t="n"/>
      <c r="C478" s="66" t="n"/>
      <c r="D478" s="66" t="n"/>
      <c r="E478" s="67" t="n"/>
      <c r="F478" s="67" t="n"/>
      <c r="G478" s="67" t="n"/>
      <c r="H478" s="67" t="n"/>
      <c r="I478" s="67" t="n"/>
      <c r="J478" s="67" t="n"/>
      <c r="K478" s="67" t="n"/>
      <c r="L478" s="67" t="n"/>
      <c r="M478" s="64" t="n"/>
      <c r="N478" s="66" t="n"/>
      <c r="O478" s="84">
        <f>IF(A478="","",IF(OR(C478="",D478=""),"Enter both dates",IF(D478&lt;C478,"To is before From",IF(COUNTIFS($P$5:$P$2004,P478,$C$5:$C$2004,"&lt;="&amp;D478,$D$5:$D$2004,"&gt;="&amp;C478)&gt;1,"Overlaps another row","OK"))))</f>
        <v/>
      </c>
      <c r="P478">
        <f>IF(A478="","",A478&amp;"|"&amp;IF(B478="","Standard",B478))</f>
        <v/>
      </c>
      <c r="Q478">
        <f>IF(AND(A478&lt;&gt;"",A478='Firm Search'!$C$7),COUNTIF($A$5:A478,'Firm Search'!$C$7),"")</f>
        <v/>
      </c>
    </row>
    <row r="479">
      <c r="A479" s="64" t="n"/>
      <c r="B479" s="64" t="n"/>
      <c r="C479" s="66" t="n"/>
      <c r="D479" s="66" t="n"/>
      <c r="E479" s="67" t="n"/>
      <c r="F479" s="67" t="n"/>
      <c r="G479" s="67" t="n"/>
      <c r="H479" s="67" t="n"/>
      <c r="I479" s="67" t="n"/>
      <c r="J479" s="67" t="n"/>
      <c r="K479" s="67" t="n"/>
      <c r="L479" s="67" t="n"/>
      <c r="M479" s="64" t="n"/>
      <c r="N479" s="66" t="n"/>
      <c r="O479" s="84">
        <f>IF(A479="","",IF(OR(C479="",D479=""),"Enter both dates",IF(D479&lt;C479,"To is before From",IF(COUNTIFS($P$5:$P$2004,P479,$C$5:$C$2004,"&lt;="&amp;D479,$D$5:$D$2004,"&gt;="&amp;C479)&gt;1,"Overlaps another row","OK"))))</f>
        <v/>
      </c>
      <c r="P479">
        <f>IF(A479="","",A479&amp;"|"&amp;IF(B479="","Standard",B479))</f>
        <v/>
      </c>
      <c r="Q479">
        <f>IF(AND(A479&lt;&gt;"",A479='Firm Search'!$C$7),COUNTIF($A$5:A479,'Firm Search'!$C$7),"")</f>
        <v/>
      </c>
    </row>
    <row r="480">
      <c r="A480" s="64" t="n"/>
      <c r="B480" s="64" t="n"/>
      <c r="C480" s="66" t="n"/>
      <c r="D480" s="66" t="n"/>
      <c r="E480" s="67" t="n"/>
      <c r="F480" s="67" t="n"/>
      <c r="G480" s="67" t="n"/>
      <c r="H480" s="67" t="n"/>
      <c r="I480" s="67" t="n"/>
      <c r="J480" s="67" t="n"/>
      <c r="K480" s="67" t="n"/>
      <c r="L480" s="67" t="n"/>
      <c r="M480" s="64" t="n"/>
      <c r="N480" s="66" t="n"/>
      <c r="O480" s="84">
        <f>IF(A480="","",IF(OR(C480="",D480=""),"Enter both dates",IF(D480&lt;C480,"To is before From",IF(COUNTIFS($P$5:$P$2004,P480,$C$5:$C$2004,"&lt;="&amp;D480,$D$5:$D$2004,"&gt;="&amp;C480)&gt;1,"Overlaps another row","OK"))))</f>
        <v/>
      </c>
      <c r="P480">
        <f>IF(A480="","",A480&amp;"|"&amp;IF(B480="","Standard",B480))</f>
        <v/>
      </c>
      <c r="Q480">
        <f>IF(AND(A480&lt;&gt;"",A480='Firm Search'!$C$7),COUNTIF($A$5:A480,'Firm Search'!$C$7),"")</f>
        <v/>
      </c>
    </row>
    <row r="481">
      <c r="A481" s="64" t="n"/>
      <c r="B481" s="64" t="n"/>
      <c r="C481" s="66" t="n"/>
      <c r="D481" s="66" t="n"/>
      <c r="E481" s="67" t="n"/>
      <c r="F481" s="67" t="n"/>
      <c r="G481" s="67" t="n"/>
      <c r="H481" s="67" t="n"/>
      <c r="I481" s="67" t="n"/>
      <c r="J481" s="67" t="n"/>
      <c r="K481" s="67" t="n"/>
      <c r="L481" s="67" t="n"/>
      <c r="M481" s="64" t="n"/>
      <c r="N481" s="66" t="n"/>
      <c r="O481" s="84">
        <f>IF(A481="","",IF(OR(C481="",D481=""),"Enter both dates",IF(D481&lt;C481,"To is before From",IF(COUNTIFS($P$5:$P$2004,P481,$C$5:$C$2004,"&lt;="&amp;D481,$D$5:$D$2004,"&gt;="&amp;C481)&gt;1,"Overlaps another row","OK"))))</f>
        <v/>
      </c>
      <c r="P481">
        <f>IF(A481="","",A481&amp;"|"&amp;IF(B481="","Standard",B481))</f>
        <v/>
      </c>
      <c r="Q481">
        <f>IF(AND(A481&lt;&gt;"",A481='Firm Search'!$C$7),COUNTIF($A$5:A481,'Firm Search'!$C$7),"")</f>
        <v/>
      </c>
    </row>
    <row r="482">
      <c r="A482" s="64" t="n"/>
      <c r="B482" s="64" t="n"/>
      <c r="C482" s="66" t="n"/>
      <c r="D482" s="66" t="n"/>
      <c r="E482" s="67" t="n"/>
      <c r="F482" s="67" t="n"/>
      <c r="G482" s="67" t="n"/>
      <c r="H482" s="67" t="n"/>
      <c r="I482" s="67" t="n"/>
      <c r="J482" s="67" t="n"/>
      <c r="K482" s="67" t="n"/>
      <c r="L482" s="67" t="n"/>
      <c r="M482" s="64" t="n"/>
      <c r="N482" s="66" t="n"/>
      <c r="O482" s="84">
        <f>IF(A482="","",IF(OR(C482="",D482=""),"Enter both dates",IF(D482&lt;C482,"To is before From",IF(COUNTIFS($P$5:$P$2004,P482,$C$5:$C$2004,"&lt;="&amp;D482,$D$5:$D$2004,"&gt;="&amp;C482)&gt;1,"Overlaps another row","OK"))))</f>
        <v/>
      </c>
      <c r="P482">
        <f>IF(A482="","",A482&amp;"|"&amp;IF(B482="","Standard",B482))</f>
        <v/>
      </c>
      <c r="Q482">
        <f>IF(AND(A482&lt;&gt;"",A482='Firm Search'!$C$7),COUNTIF($A$5:A482,'Firm Search'!$C$7),"")</f>
        <v/>
      </c>
    </row>
    <row r="483">
      <c r="A483" s="64" t="n"/>
      <c r="B483" s="64" t="n"/>
      <c r="C483" s="66" t="n"/>
      <c r="D483" s="66" t="n"/>
      <c r="E483" s="67" t="n"/>
      <c r="F483" s="67" t="n"/>
      <c r="G483" s="67" t="n"/>
      <c r="H483" s="67" t="n"/>
      <c r="I483" s="67" t="n"/>
      <c r="J483" s="67" t="n"/>
      <c r="K483" s="67" t="n"/>
      <c r="L483" s="67" t="n"/>
      <c r="M483" s="64" t="n"/>
      <c r="N483" s="66" t="n"/>
      <c r="O483" s="84">
        <f>IF(A483="","",IF(OR(C483="",D483=""),"Enter both dates",IF(D483&lt;C483,"To is before From",IF(COUNTIFS($P$5:$P$2004,P483,$C$5:$C$2004,"&lt;="&amp;D483,$D$5:$D$2004,"&gt;="&amp;C483)&gt;1,"Overlaps another row","OK"))))</f>
        <v/>
      </c>
      <c r="P483">
        <f>IF(A483="","",A483&amp;"|"&amp;IF(B483="","Standard",B483))</f>
        <v/>
      </c>
      <c r="Q483">
        <f>IF(AND(A483&lt;&gt;"",A483='Firm Search'!$C$7),COUNTIF($A$5:A483,'Firm Search'!$C$7),"")</f>
        <v/>
      </c>
    </row>
    <row r="484">
      <c r="A484" s="64" t="n"/>
      <c r="B484" s="64" t="n"/>
      <c r="C484" s="66" t="n"/>
      <c r="D484" s="66" t="n"/>
      <c r="E484" s="67" t="n"/>
      <c r="F484" s="67" t="n"/>
      <c r="G484" s="67" t="n"/>
      <c r="H484" s="67" t="n"/>
      <c r="I484" s="67" t="n"/>
      <c r="J484" s="67" t="n"/>
      <c r="K484" s="67" t="n"/>
      <c r="L484" s="67" t="n"/>
      <c r="M484" s="64" t="n"/>
      <c r="N484" s="66" t="n"/>
      <c r="O484" s="84">
        <f>IF(A484="","",IF(OR(C484="",D484=""),"Enter both dates",IF(D484&lt;C484,"To is before From",IF(COUNTIFS($P$5:$P$2004,P484,$C$5:$C$2004,"&lt;="&amp;D484,$D$5:$D$2004,"&gt;="&amp;C484)&gt;1,"Overlaps another row","OK"))))</f>
        <v/>
      </c>
      <c r="P484">
        <f>IF(A484="","",A484&amp;"|"&amp;IF(B484="","Standard",B484))</f>
        <v/>
      </c>
      <c r="Q484">
        <f>IF(AND(A484&lt;&gt;"",A484='Firm Search'!$C$7),COUNTIF($A$5:A484,'Firm Search'!$C$7),"")</f>
        <v/>
      </c>
    </row>
    <row r="485">
      <c r="A485" s="64" t="n"/>
      <c r="B485" s="64" t="n"/>
      <c r="C485" s="66" t="n"/>
      <c r="D485" s="66" t="n"/>
      <c r="E485" s="67" t="n"/>
      <c r="F485" s="67" t="n"/>
      <c r="G485" s="67" t="n"/>
      <c r="H485" s="67" t="n"/>
      <c r="I485" s="67" t="n"/>
      <c r="J485" s="67" t="n"/>
      <c r="K485" s="67" t="n"/>
      <c r="L485" s="67" t="n"/>
      <c r="M485" s="64" t="n"/>
      <c r="N485" s="66" t="n"/>
      <c r="O485" s="84">
        <f>IF(A485="","",IF(OR(C485="",D485=""),"Enter both dates",IF(D485&lt;C485,"To is before From",IF(COUNTIFS($P$5:$P$2004,P485,$C$5:$C$2004,"&lt;="&amp;D485,$D$5:$D$2004,"&gt;="&amp;C485)&gt;1,"Overlaps another row","OK"))))</f>
        <v/>
      </c>
      <c r="P485">
        <f>IF(A485="","",A485&amp;"|"&amp;IF(B485="","Standard",B485))</f>
        <v/>
      </c>
      <c r="Q485">
        <f>IF(AND(A485&lt;&gt;"",A485='Firm Search'!$C$7),COUNTIF($A$5:A485,'Firm Search'!$C$7),"")</f>
        <v/>
      </c>
    </row>
    <row r="486">
      <c r="A486" s="64" t="n"/>
      <c r="B486" s="64" t="n"/>
      <c r="C486" s="66" t="n"/>
      <c r="D486" s="66" t="n"/>
      <c r="E486" s="67" t="n"/>
      <c r="F486" s="67" t="n"/>
      <c r="G486" s="67" t="n"/>
      <c r="H486" s="67" t="n"/>
      <c r="I486" s="67" t="n"/>
      <c r="J486" s="67" t="n"/>
      <c r="K486" s="67" t="n"/>
      <c r="L486" s="67" t="n"/>
      <c r="M486" s="64" t="n"/>
      <c r="N486" s="66" t="n"/>
      <c r="O486" s="84">
        <f>IF(A486="","",IF(OR(C486="",D486=""),"Enter both dates",IF(D486&lt;C486,"To is before From",IF(COUNTIFS($P$5:$P$2004,P486,$C$5:$C$2004,"&lt;="&amp;D486,$D$5:$D$2004,"&gt;="&amp;C486)&gt;1,"Overlaps another row","OK"))))</f>
        <v/>
      </c>
      <c r="P486">
        <f>IF(A486="","",A486&amp;"|"&amp;IF(B486="","Standard",B486))</f>
        <v/>
      </c>
      <c r="Q486">
        <f>IF(AND(A486&lt;&gt;"",A486='Firm Search'!$C$7),COUNTIF($A$5:A486,'Firm Search'!$C$7),"")</f>
        <v/>
      </c>
    </row>
    <row r="487">
      <c r="A487" s="64" t="n"/>
      <c r="B487" s="64" t="n"/>
      <c r="C487" s="66" t="n"/>
      <c r="D487" s="66" t="n"/>
      <c r="E487" s="67" t="n"/>
      <c r="F487" s="67" t="n"/>
      <c r="G487" s="67" t="n"/>
      <c r="H487" s="67" t="n"/>
      <c r="I487" s="67" t="n"/>
      <c r="J487" s="67" t="n"/>
      <c r="K487" s="67" t="n"/>
      <c r="L487" s="67" t="n"/>
      <c r="M487" s="64" t="n"/>
      <c r="N487" s="66" t="n"/>
      <c r="O487" s="84">
        <f>IF(A487="","",IF(OR(C487="",D487=""),"Enter both dates",IF(D487&lt;C487,"To is before From",IF(COUNTIFS($P$5:$P$2004,P487,$C$5:$C$2004,"&lt;="&amp;D487,$D$5:$D$2004,"&gt;="&amp;C487)&gt;1,"Overlaps another row","OK"))))</f>
        <v/>
      </c>
      <c r="P487">
        <f>IF(A487="","",A487&amp;"|"&amp;IF(B487="","Standard",B487))</f>
        <v/>
      </c>
      <c r="Q487">
        <f>IF(AND(A487&lt;&gt;"",A487='Firm Search'!$C$7),COUNTIF($A$5:A487,'Firm Search'!$C$7),"")</f>
        <v/>
      </c>
    </row>
    <row r="488">
      <c r="A488" s="64" t="n"/>
      <c r="B488" s="64" t="n"/>
      <c r="C488" s="66" t="n"/>
      <c r="D488" s="66" t="n"/>
      <c r="E488" s="67" t="n"/>
      <c r="F488" s="67" t="n"/>
      <c r="G488" s="67" t="n"/>
      <c r="H488" s="67" t="n"/>
      <c r="I488" s="67" t="n"/>
      <c r="J488" s="67" t="n"/>
      <c r="K488" s="67" t="n"/>
      <c r="L488" s="67" t="n"/>
      <c r="M488" s="64" t="n"/>
      <c r="N488" s="66" t="n"/>
      <c r="O488" s="84">
        <f>IF(A488="","",IF(OR(C488="",D488=""),"Enter both dates",IF(D488&lt;C488,"To is before From",IF(COUNTIFS($P$5:$P$2004,P488,$C$5:$C$2004,"&lt;="&amp;D488,$D$5:$D$2004,"&gt;="&amp;C488)&gt;1,"Overlaps another row","OK"))))</f>
        <v/>
      </c>
      <c r="P488">
        <f>IF(A488="","",A488&amp;"|"&amp;IF(B488="","Standard",B488))</f>
        <v/>
      </c>
      <c r="Q488">
        <f>IF(AND(A488&lt;&gt;"",A488='Firm Search'!$C$7),COUNTIF($A$5:A488,'Firm Search'!$C$7),"")</f>
        <v/>
      </c>
    </row>
    <row r="489">
      <c r="A489" s="64" t="n"/>
      <c r="B489" s="64" t="n"/>
      <c r="C489" s="66" t="n"/>
      <c r="D489" s="66" t="n"/>
      <c r="E489" s="67" t="n"/>
      <c r="F489" s="67" t="n"/>
      <c r="G489" s="67" t="n"/>
      <c r="H489" s="67" t="n"/>
      <c r="I489" s="67" t="n"/>
      <c r="J489" s="67" t="n"/>
      <c r="K489" s="67" t="n"/>
      <c r="L489" s="67" t="n"/>
      <c r="M489" s="64" t="n"/>
      <c r="N489" s="66" t="n"/>
      <c r="O489" s="84">
        <f>IF(A489="","",IF(OR(C489="",D489=""),"Enter both dates",IF(D489&lt;C489,"To is before From",IF(COUNTIFS($P$5:$P$2004,P489,$C$5:$C$2004,"&lt;="&amp;D489,$D$5:$D$2004,"&gt;="&amp;C489)&gt;1,"Overlaps another row","OK"))))</f>
        <v/>
      </c>
      <c r="P489">
        <f>IF(A489="","",A489&amp;"|"&amp;IF(B489="","Standard",B489))</f>
        <v/>
      </c>
      <c r="Q489">
        <f>IF(AND(A489&lt;&gt;"",A489='Firm Search'!$C$7),COUNTIF($A$5:A489,'Firm Search'!$C$7),"")</f>
        <v/>
      </c>
    </row>
    <row r="490">
      <c r="A490" s="64" t="n"/>
      <c r="B490" s="64" t="n"/>
      <c r="C490" s="66" t="n"/>
      <c r="D490" s="66" t="n"/>
      <c r="E490" s="67" t="n"/>
      <c r="F490" s="67" t="n"/>
      <c r="G490" s="67" t="n"/>
      <c r="H490" s="67" t="n"/>
      <c r="I490" s="67" t="n"/>
      <c r="J490" s="67" t="n"/>
      <c r="K490" s="67" t="n"/>
      <c r="L490" s="67" t="n"/>
      <c r="M490" s="64" t="n"/>
      <c r="N490" s="66" t="n"/>
      <c r="O490" s="84">
        <f>IF(A490="","",IF(OR(C490="",D490=""),"Enter both dates",IF(D490&lt;C490,"To is before From",IF(COUNTIFS($P$5:$P$2004,P490,$C$5:$C$2004,"&lt;="&amp;D490,$D$5:$D$2004,"&gt;="&amp;C490)&gt;1,"Overlaps another row","OK"))))</f>
        <v/>
      </c>
      <c r="P490">
        <f>IF(A490="","",A490&amp;"|"&amp;IF(B490="","Standard",B490))</f>
        <v/>
      </c>
      <c r="Q490">
        <f>IF(AND(A490&lt;&gt;"",A490='Firm Search'!$C$7),COUNTIF($A$5:A490,'Firm Search'!$C$7),"")</f>
        <v/>
      </c>
    </row>
    <row r="491">
      <c r="A491" s="64" t="n"/>
      <c r="B491" s="64" t="n"/>
      <c r="C491" s="66" t="n"/>
      <c r="D491" s="66" t="n"/>
      <c r="E491" s="67" t="n"/>
      <c r="F491" s="67" t="n"/>
      <c r="G491" s="67" t="n"/>
      <c r="H491" s="67" t="n"/>
      <c r="I491" s="67" t="n"/>
      <c r="J491" s="67" t="n"/>
      <c r="K491" s="67" t="n"/>
      <c r="L491" s="67" t="n"/>
      <c r="M491" s="64" t="n"/>
      <c r="N491" s="66" t="n"/>
      <c r="O491" s="84">
        <f>IF(A491="","",IF(OR(C491="",D491=""),"Enter both dates",IF(D491&lt;C491,"To is before From",IF(COUNTIFS($P$5:$P$2004,P491,$C$5:$C$2004,"&lt;="&amp;D491,$D$5:$D$2004,"&gt;="&amp;C491)&gt;1,"Overlaps another row","OK"))))</f>
        <v/>
      </c>
      <c r="P491">
        <f>IF(A491="","",A491&amp;"|"&amp;IF(B491="","Standard",B491))</f>
        <v/>
      </c>
      <c r="Q491">
        <f>IF(AND(A491&lt;&gt;"",A491='Firm Search'!$C$7),COUNTIF($A$5:A491,'Firm Search'!$C$7),"")</f>
        <v/>
      </c>
    </row>
    <row r="492">
      <c r="A492" s="64" t="n"/>
      <c r="B492" s="64" t="n"/>
      <c r="C492" s="66" t="n"/>
      <c r="D492" s="66" t="n"/>
      <c r="E492" s="67" t="n"/>
      <c r="F492" s="67" t="n"/>
      <c r="G492" s="67" t="n"/>
      <c r="H492" s="67" t="n"/>
      <c r="I492" s="67" t="n"/>
      <c r="J492" s="67" t="n"/>
      <c r="K492" s="67" t="n"/>
      <c r="L492" s="67" t="n"/>
      <c r="M492" s="64" t="n"/>
      <c r="N492" s="66" t="n"/>
      <c r="O492" s="84">
        <f>IF(A492="","",IF(OR(C492="",D492=""),"Enter both dates",IF(D492&lt;C492,"To is before From",IF(COUNTIFS($P$5:$P$2004,P492,$C$5:$C$2004,"&lt;="&amp;D492,$D$5:$D$2004,"&gt;="&amp;C492)&gt;1,"Overlaps another row","OK"))))</f>
        <v/>
      </c>
      <c r="P492">
        <f>IF(A492="","",A492&amp;"|"&amp;IF(B492="","Standard",B492))</f>
        <v/>
      </c>
      <c r="Q492">
        <f>IF(AND(A492&lt;&gt;"",A492='Firm Search'!$C$7),COUNTIF($A$5:A492,'Firm Search'!$C$7),"")</f>
        <v/>
      </c>
    </row>
    <row r="493">
      <c r="A493" s="64" t="n"/>
      <c r="B493" s="64" t="n"/>
      <c r="C493" s="66" t="n"/>
      <c r="D493" s="66" t="n"/>
      <c r="E493" s="67" t="n"/>
      <c r="F493" s="67" t="n"/>
      <c r="G493" s="67" t="n"/>
      <c r="H493" s="67" t="n"/>
      <c r="I493" s="67" t="n"/>
      <c r="J493" s="67" t="n"/>
      <c r="K493" s="67" t="n"/>
      <c r="L493" s="67" t="n"/>
      <c r="M493" s="64" t="n"/>
      <c r="N493" s="66" t="n"/>
      <c r="O493" s="84">
        <f>IF(A493="","",IF(OR(C493="",D493=""),"Enter both dates",IF(D493&lt;C493,"To is before From",IF(COUNTIFS($P$5:$P$2004,P493,$C$5:$C$2004,"&lt;="&amp;D493,$D$5:$D$2004,"&gt;="&amp;C493)&gt;1,"Overlaps another row","OK"))))</f>
        <v/>
      </c>
      <c r="P493">
        <f>IF(A493="","",A493&amp;"|"&amp;IF(B493="","Standard",B493))</f>
        <v/>
      </c>
      <c r="Q493">
        <f>IF(AND(A493&lt;&gt;"",A493='Firm Search'!$C$7),COUNTIF($A$5:A493,'Firm Search'!$C$7),"")</f>
        <v/>
      </c>
    </row>
    <row r="494">
      <c r="A494" s="64" t="n"/>
      <c r="B494" s="64" t="n"/>
      <c r="C494" s="66" t="n"/>
      <c r="D494" s="66" t="n"/>
      <c r="E494" s="67" t="n"/>
      <c r="F494" s="67" t="n"/>
      <c r="G494" s="67" t="n"/>
      <c r="H494" s="67" t="n"/>
      <c r="I494" s="67" t="n"/>
      <c r="J494" s="67" t="n"/>
      <c r="K494" s="67" t="n"/>
      <c r="L494" s="67" t="n"/>
      <c r="M494" s="64" t="n"/>
      <c r="N494" s="66" t="n"/>
      <c r="O494" s="84">
        <f>IF(A494="","",IF(OR(C494="",D494=""),"Enter both dates",IF(D494&lt;C494,"To is before From",IF(COUNTIFS($P$5:$P$2004,P494,$C$5:$C$2004,"&lt;="&amp;D494,$D$5:$D$2004,"&gt;="&amp;C494)&gt;1,"Overlaps another row","OK"))))</f>
        <v/>
      </c>
      <c r="P494">
        <f>IF(A494="","",A494&amp;"|"&amp;IF(B494="","Standard",B494))</f>
        <v/>
      </c>
      <c r="Q494">
        <f>IF(AND(A494&lt;&gt;"",A494='Firm Search'!$C$7),COUNTIF($A$5:A494,'Firm Search'!$C$7),"")</f>
        <v/>
      </c>
    </row>
    <row r="495">
      <c r="A495" s="64" t="n"/>
      <c r="B495" s="64" t="n"/>
      <c r="C495" s="66" t="n"/>
      <c r="D495" s="66" t="n"/>
      <c r="E495" s="67" t="n"/>
      <c r="F495" s="67" t="n"/>
      <c r="G495" s="67" t="n"/>
      <c r="H495" s="67" t="n"/>
      <c r="I495" s="67" t="n"/>
      <c r="J495" s="67" t="n"/>
      <c r="K495" s="67" t="n"/>
      <c r="L495" s="67" t="n"/>
      <c r="M495" s="64" t="n"/>
      <c r="N495" s="66" t="n"/>
      <c r="O495" s="84">
        <f>IF(A495="","",IF(OR(C495="",D495=""),"Enter both dates",IF(D495&lt;C495,"To is before From",IF(COUNTIFS($P$5:$P$2004,P495,$C$5:$C$2004,"&lt;="&amp;D495,$D$5:$D$2004,"&gt;="&amp;C495)&gt;1,"Overlaps another row","OK"))))</f>
        <v/>
      </c>
      <c r="P495">
        <f>IF(A495="","",A495&amp;"|"&amp;IF(B495="","Standard",B495))</f>
        <v/>
      </c>
      <c r="Q495">
        <f>IF(AND(A495&lt;&gt;"",A495='Firm Search'!$C$7),COUNTIF($A$5:A495,'Firm Search'!$C$7),"")</f>
        <v/>
      </c>
    </row>
    <row r="496">
      <c r="A496" s="64" t="n"/>
      <c r="B496" s="64" t="n"/>
      <c r="C496" s="66" t="n"/>
      <c r="D496" s="66" t="n"/>
      <c r="E496" s="67" t="n"/>
      <c r="F496" s="67" t="n"/>
      <c r="G496" s="67" t="n"/>
      <c r="H496" s="67" t="n"/>
      <c r="I496" s="67" t="n"/>
      <c r="J496" s="67" t="n"/>
      <c r="K496" s="67" t="n"/>
      <c r="L496" s="67" t="n"/>
      <c r="M496" s="64" t="n"/>
      <c r="N496" s="66" t="n"/>
      <c r="O496" s="84">
        <f>IF(A496="","",IF(OR(C496="",D496=""),"Enter both dates",IF(D496&lt;C496,"To is before From",IF(COUNTIFS($P$5:$P$2004,P496,$C$5:$C$2004,"&lt;="&amp;D496,$D$5:$D$2004,"&gt;="&amp;C496)&gt;1,"Overlaps another row","OK"))))</f>
        <v/>
      </c>
      <c r="P496">
        <f>IF(A496="","",A496&amp;"|"&amp;IF(B496="","Standard",B496))</f>
        <v/>
      </c>
      <c r="Q496">
        <f>IF(AND(A496&lt;&gt;"",A496='Firm Search'!$C$7),COUNTIF($A$5:A496,'Firm Search'!$C$7),"")</f>
        <v/>
      </c>
    </row>
    <row r="497">
      <c r="A497" s="64" t="n"/>
      <c r="B497" s="64" t="n"/>
      <c r="C497" s="66" t="n"/>
      <c r="D497" s="66" t="n"/>
      <c r="E497" s="67" t="n"/>
      <c r="F497" s="67" t="n"/>
      <c r="G497" s="67" t="n"/>
      <c r="H497" s="67" t="n"/>
      <c r="I497" s="67" t="n"/>
      <c r="J497" s="67" t="n"/>
      <c r="K497" s="67" t="n"/>
      <c r="L497" s="67" t="n"/>
      <c r="M497" s="64" t="n"/>
      <c r="N497" s="66" t="n"/>
      <c r="O497" s="84">
        <f>IF(A497="","",IF(OR(C497="",D497=""),"Enter both dates",IF(D497&lt;C497,"To is before From",IF(COUNTIFS($P$5:$P$2004,P497,$C$5:$C$2004,"&lt;="&amp;D497,$D$5:$D$2004,"&gt;="&amp;C497)&gt;1,"Overlaps another row","OK"))))</f>
        <v/>
      </c>
      <c r="P497">
        <f>IF(A497="","",A497&amp;"|"&amp;IF(B497="","Standard",B497))</f>
        <v/>
      </c>
      <c r="Q497">
        <f>IF(AND(A497&lt;&gt;"",A497='Firm Search'!$C$7),COUNTIF($A$5:A497,'Firm Search'!$C$7),"")</f>
        <v/>
      </c>
    </row>
    <row r="498">
      <c r="A498" s="64" t="n"/>
      <c r="B498" s="64" t="n"/>
      <c r="C498" s="66" t="n"/>
      <c r="D498" s="66" t="n"/>
      <c r="E498" s="67" t="n"/>
      <c r="F498" s="67" t="n"/>
      <c r="G498" s="67" t="n"/>
      <c r="H498" s="67" t="n"/>
      <c r="I498" s="67" t="n"/>
      <c r="J498" s="67" t="n"/>
      <c r="K498" s="67" t="n"/>
      <c r="L498" s="67" t="n"/>
      <c r="M498" s="64" t="n"/>
      <c r="N498" s="66" t="n"/>
      <c r="O498" s="84">
        <f>IF(A498="","",IF(OR(C498="",D498=""),"Enter both dates",IF(D498&lt;C498,"To is before From",IF(COUNTIFS($P$5:$P$2004,P498,$C$5:$C$2004,"&lt;="&amp;D498,$D$5:$D$2004,"&gt;="&amp;C498)&gt;1,"Overlaps another row","OK"))))</f>
        <v/>
      </c>
      <c r="P498">
        <f>IF(A498="","",A498&amp;"|"&amp;IF(B498="","Standard",B498))</f>
        <v/>
      </c>
      <c r="Q498">
        <f>IF(AND(A498&lt;&gt;"",A498='Firm Search'!$C$7),COUNTIF($A$5:A498,'Firm Search'!$C$7),"")</f>
        <v/>
      </c>
    </row>
    <row r="499">
      <c r="A499" s="64" t="n"/>
      <c r="B499" s="64" t="n"/>
      <c r="C499" s="66" t="n"/>
      <c r="D499" s="66" t="n"/>
      <c r="E499" s="67" t="n"/>
      <c r="F499" s="67" t="n"/>
      <c r="G499" s="67" t="n"/>
      <c r="H499" s="67" t="n"/>
      <c r="I499" s="67" t="n"/>
      <c r="J499" s="67" t="n"/>
      <c r="K499" s="67" t="n"/>
      <c r="L499" s="67" t="n"/>
      <c r="M499" s="64" t="n"/>
      <c r="N499" s="66" t="n"/>
      <c r="O499" s="84">
        <f>IF(A499="","",IF(OR(C499="",D499=""),"Enter both dates",IF(D499&lt;C499,"To is before From",IF(COUNTIFS($P$5:$P$2004,P499,$C$5:$C$2004,"&lt;="&amp;D499,$D$5:$D$2004,"&gt;="&amp;C499)&gt;1,"Overlaps another row","OK"))))</f>
        <v/>
      </c>
      <c r="P499">
        <f>IF(A499="","",A499&amp;"|"&amp;IF(B499="","Standard",B499))</f>
        <v/>
      </c>
      <c r="Q499">
        <f>IF(AND(A499&lt;&gt;"",A499='Firm Search'!$C$7),COUNTIF($A$5:A499,'Firm Search'!$C$7),"")</f>
        <v/>
      </c>
    </row>
    <row r="500">
      <c r="A500" s="64" t="n"/>
      <c r="B500" s="64" t="n"/>
      <c r="C500" s="66" t="n"/>
      <c r="D500" s="66" t="n"/>
      <c r="E500" s="67" t="n"/>
      <c r="F500" s="67" t="n"/>
      <c r="G500" s="67" t="n"/>
      <c r="H500" s="67" t="n"/>
      <c r="I500" s="67" t="n"/>
      <c r="J500" s="67" t="n"/>
      <c r="K500" s="67" t="n"/>
      <c r="L500" s="67" t="n"/>
      <c r="M500" s="64" t="n"/>
      <c r="N500" s="66" t="n"/>
      <c r="O500" s="84">
        <f>IF(A500="","",IF(OR(C500="",D500=""),"Enter both dates",IF(D500&lt;C500,"To is before From",IF(COUNTIFS($P$5:$P$2004,P500,$C$5:$C$2004,"&lt;="&amp;D500,$D$5:$D$2004,"&gt;="&amp;C500)&gt;1,"Overlaps another row","OK"))))</f>
        <v/>
      </c>
      <c r="P500">
        <f>IF(A500="","",A500&amp;"|"&amp;IF(B500="","Standard",B500))</f>
        <v/>
      </c>
      <c r="Q500">
        <f>IF(AND(A500&lt;&gt;"",A500='Firm Search'!$C$7),COUNTIF($A$5:A500,'Firm Search'!$C$7),"")</f>
        <v/>
      </c>
    </row>
    <row r="501">
      <c r="A501" s="64" t="n"/>
      <c r="B501" s="64" t="n"/>
      <c r="C501" s="66" t="n"/>
      <c r="D501" s="66" t="n"/>
      <c r="E501" s="67" t="n"/>
      <c r="F501" s="67" t="n"/>
      <c r="G501" s="67" t="n"/>
      <c r="H501" s="67" t="n"/>
      <c r="I501" s="67" t="n"/>
      <c r="J501" s="67" t="n"/>
      <c r="K501" s="67" t="n"/>
      <c r="L501" s="67" t="n"/>
      <c r="M501" s="64" t="n"/>
      <c r="N501" s="66" t="n"/>
      <c r="O501" s="84">
        <f>IF(A501="","",IF(OR(C501="",D501=""),"Enter both dates",IF(D501&lt;C501,"To is before From",IF(COUNTIFS($P$5:$P$2004,P501,$C$5:$C$2004,"&lt;="&amp;D501,$D$5:$D$2004,"&gt;="&amp;C501)&gt;1,"Overlaps another row","OK"))))</f>
        <v/>
      </c>
      <c r="P501">
        <f>IF(A501="","",A501&amp;"|"&amp;IF(B501="","Standard",B501))</f>
        <v/>
      </c>
      <c r="Q501">
        <f>IF(AND(A501&lt;&gt;"",A501='Firm Search'!$C$7),COUNTIF($A$5:A501,'Firm Search'!$C$7),"")</f>
        <v/>
      </c>
    </row>
    <row r="502">
      <c r="A502" s="64" t="n"/>
      <c r="B502" s="64" t="n"/>
      <c r="C502" s="66" t="n"/>
      <c r="D502" s="66" t="n"/>
      <c r="E502" s="67" t="n"/>
      <c r="F502" s="67" t="n"/>
      <c r="G502" s="67" t="n"/>
      <c r="H502" s="67" t="n"/>
      <c r="I502" s="67" t="n"/>
      <c r="J502" s="67" t="n"/>
      <c r="K502" s="67" t="n"/>
      <c r="L502" s="67" t="n"/>
      <c r="M502" s="64" t="n"/>
      <c r="N502" s="66" t="n"/>
      <c r="O502" s="84">
        <f>IF(A502="","",IF(OR(C502="",D502=""),"Enter both dates",IF(D502&lt;C502,"To is before From",IF(COUNTIFS($P$5:$P$2004,P502,$C$5:$C$2004,"&lt;="&amp;D502,$D$5:$D$2004,"&gt;="&amp;C502)&gt;1,"Overlaps another row","OK"))))</f>
        <v/>
      </c>
      <c r="P502">
        <f>IF(A502="","",A502&amp;"|"&amp;IF(B502="","Standard",B502))</f>
        <v/>
      </c>
      <c r="Q502">
        <f>IF(AND(A502&lt;&gt;"",A502='Firm Search'!$C$7),COUNTIF($A$5:A502,'Firm Search'!$C$7),"")</f>
        <v/>
      </c>
    </row>
    <row r="503">
      <c r="A503" s="64" t="n"/>
      <c r="B503" s="64" t="n"/>
      <c r="C503" s="66" t="n"/>
      <c r="D503" s="66" t="n"/>
      <c r="E503" s="67" t="n"/>
      <c r="F503" s="67" t="n"/>
      <c r="G503" s="67" t="n"/>
      <c r="H503" s="67" t="n"/>
      <c r="I503" s="67" t="n"/>
      <c r="J503" s="67" t="n"/>
      <c r="K503" s="67" t="n"/>
      <c r="L503" s="67" t="n"/>
      <c r="M503" s="64" t="n"/>
      <c r="N503" s="66" t="n"/>
      <c r="O503" s="84">
        <f>IF(A503="","",IF(OR(C503="",D503=""),"Enter both dates",IF(D503&lt;C503,"To is before From",IF(COUNTIFS($P$5:$P$2004,P503,$C$5:$C$2004,"&lt;="&amp;D503,$D$5:$D$2004,"&gt;="&amp;C503)&gt;1,"Overlaps another row","OK"))))</f>
        <v/>
      </c>
      <c r="P503">
        <f>IF(A503="","",A503&amp;"|"&amp;IF(B503="","Standard",B503))</f>
        <v/>
      </c>
      <c r="Q503">
        <f>IF(AND(A503&lt;&gt;"",A503='Firm Search'!$C$7),COUNTIF($A$5:A503,'Firm Search'!$C$7),"")</f>
        <v/>
      </c>
    </row>
    <row r="504">
      <c r="A504" s="64" t="n"/>
      <c r="B504" s="64" t="n"/>
      <c r="C504" s="66" t="n"/>
      <c r="D504" s="66" t="n"/>
      <c r="E504" s="67" t="n"/>
      <c r="F504" s="67" t="n"/>
      <c r="G504" s="67" t="n"/>
      <c r="H504" s="67" t="n"/>
      <c r="I504" s="67" t="n"/>
      <c r="J504" s="67" t="n"/>
      <c r="K504" s="67" t="n"/>
      <c r="L504" s="67" t="n"/>
      <c r="M504" s="64" t="n"/>
      <c r="N504" s="66" t="n"/>
      <c r="O504" s="84">
        <f>IF(A504="","",IF(OR(C504="",D504=""),"Enter both dates",IF(D504&lt;C504,"To is before From",IF(COUNTIFS($P$5:$P$2004,P504,$C$5:$C$2004,"&lt;="&amp;D504,$D$5:$D$2004,"&gt;="&amp;C504)&gt;1,"Overlaps another row","OK"))))</f>
        <v/>
      </c>
      <c r="P504">
        <f>IF(A504="","",A504&amp;"|"&amp;IF(B504="","Standard",B504))</f>
        <v/>
      </c>
      <c r="Q504">
        <f>IF(AND(A504&lt;&gt;"",A504='Firm Search'!$C$7),COUNTIF($A$5:A504,'Firm Search'!$C$7),"")</f>
        <v/>
      </c>
    </row>
    <row r="505">
      <c r="A505" s="64" t="n"/>
      <c r="B505" s="64" t="n"/>
      <c r="C505" s="66" t="n"/>
      <c r="D505" s="66" t="n"/>
      <c r="E505" s="67" t="n"/>
      <c r="F505" s="67" t="n"/>
      <c r="G505" s="67" t="n"/>
      <c r="H505" s="67" t="n"/>
      <c r="I505" s="67" t="n"/>
      <c r="J505" s="67" t="n"/>
      <c r="K505" s="67" t="n"/>
      <c r="L505" s="67" t="n"/>
      <c r="M505" s="64" t="n"/>
      <c r="N505" s="66" t="n"/>
      <c r="O505" s="84">
        <f>IF(A505="","",IF(OR(C505="",D505=""),"Enter both dates",IF(D505&lt;C505,"To is before From",IF(COUNTIFS($P$5:$P$2004,P505,$C$5:$C$2004,"&lt;="&amp;D505,$D$5:$D$2004,"&gt;="&amp;C505)&gt;1,"Overlaps another row","OK"))))</f>
        <v/>
      </c>
      <c r="P505">
        <f>IF(A505="","",A505&amp;"|"&amp;IF(B505="","Standard",B505))</f>
        <v/>
      </c>
      <c r="Q505">
        <f>IF(AND(A505&lt;&gt;"",A505='Firm Search'!$C$7),COUNTIF($A$5:A505,'Firm Search'!$C$7),"")</f>
        <v/>
      </c>
    </row>
    <row r="506">
      <c r="A506" s="64" t="n"/>
      <c r="B506" s="64" t="n"/>
      <c r="C506" s="66" t="n"/>
      <c r="D506" s="66" t="n"/>
      <c r="E506" s="67" t="n"/>
      <c r="F506" s="67" t="n"/>
      <c r="G506" s="67" t="n"/>
      <c r="H506" s="67" t="n"/>
      <c r="I506" s="67" t="n"/>
      <c r="J506" s="67" t="n"/>
      <c r="K506" s="67" t="n"/>
      <c r="L506" s="67" t="n"/>
      <c r="M506" s="64" t="n"/>
      <c r="N506" s="66" t="n"/>
      <c r="O506" s="84">
        <f>IF(A506="","",IF(OR(C506="",D506=""),"Enter both dates",IF(D506&lt;C506,"To is before From",IF(COUNTIFS($P$5:$P$2004,P506,$C$5:$C$2004,"&lt;="&amp;D506,$D$5:$D$2004,"&gt;="&amp;C506)&gt;1,"Overlaps another row","OK"))))</f>
        <v/>
      </c>
      <c r="P506">
        <f>IF(A506="","",A506&amp;"|"&amp;IF(B506="","Standard",B506))</f>
        <v/>
      </c>
      <c r="Q506">
        <f>IF(AND(A506&lt;&gt;"",A506='Firm Search'!$C$7),COUNTIF($A$5:A506,'Firm Search'!$C$7),"")</f>
        <v/>
      </c>
    </row>
    <row r="507">
      <c r="A507" s="64" t="n"/>
      <c r="B507" s="64" t="n"/>
      <c r="C507" s="66" t="n"/>
      <c r="D507" s="66" t="n"/>
      <c r="E507" s="67" t="n"/>
      <c r="F507" s="67" t="n"/>
      <c r="G507" s="67" t="n"/>
      <c r="H507" s="67" t="n"/>
      <c r="I507" s="67" t="n"/>
      <c r="J507" s="67" t="n"/>
      <c r="K507" s="67" t="n"/>
      <c r="L507" s="67" t="n"/>
      <c r="M507" s="64" t="n"/>
      <c r="N507" s="66" t="n"/>
      <c r="O507" s="84">
        <f>IF(A507="","",IF(OR(C507="",D507=""),"Enter both dates",IF(D507&lt;C507,"To is before From",IF(COUNTIFS($P$5:$P$2004,P507,$C$5:$C$2004,"&lt;="&amp;D507,$D$5:$D$2004,"&gt;="&amp;C507)&gt;1,"Overlaps another row","OK"))))</f>
        <v/>
      </c>
      <c r="P507">
        <f>IF(A507="","",A507&amp;"|"&amp;IF(B507="","Standard",B507))</f>
        <v/>
      </c>
      <c r="Q507">
        <f>IF(AND(A507&lt;&gt;"",A507='Firm Search'!$C$7),COUNTIF($A$5:A507,'Firm Search'!$C$7),"")</f>
        <v/>
      </c>
    </row>
    <row r="508">
      <c r="A508" s="64" t="n"/>
      <c r="B508" s="64" t="n"/>
      <c r="C508" s="66" t="n"/>
      <c r="D508" s="66" t="n"/>
      <c r="E508" s="67" t="n"/>
      <c r="F508" s="67" t="n"/>
      <c r="G508" s="67" t="n"/>
      <c r="H508" s="67" t="n"/>
      <c r="I508" s="67" t="n"/>
      <c r="J508" s="67" t="n"/>
      <c r="K508" s="67" t="n"/>
      <c r="L508" s="67" t="n"/>
      <c r="M508" s="64" t="n"/>
      <c r="N508" s="66" t="n"/>
      <c r="O508" s="84">
        <f>IF(A508="","",IF(OR(C508="",D508=""),"Enter both dates",IF(D508&lt;C508,"To is before From",IF(COUNTIFS($P$5:$P$2004,P508,$C$5:$C$2004,"&lt;="&amp;D508,$D$5:$D$2004,"&gt;="&amp;C508)&gt;1,"Overlaps another row","OK"))))</f>
        <v/>
      </c>
      <c r="P508">
        <f>IF(A508="","",A508&amp;"|"&amp;IF(B508="","Standard",B508))</f>
        <v/>
      </c>
      <c r="Q508">
        <f>IF(AND(A508&lt;&gt;"",A508='Firm Search'!$C$7),COUNTIF($A$5:A508,'Firm Search'!$C$7),"")</f>
        <v/>
      </c>
    </row>
    <row r="509">
      <c r="A509" s="64" t="n"/>
      <c r="B509" s="64" t="n"/>
      <c r="C509" s="66" t="n"/>
      <c r="D509" s="66" t="n"/>
      <c r="E509" s="67" t="n"/>
      <c r="F509" s="67" t="n"/>
      <c r="G509" s="67" t="n"/>
      <c r="H509" s="67" t="n"/>
      <c r="I509" s="67" t="n"/>
      <c r="J509" s="67" t="n"/>
      <c r="K509" s="67" t="n"/>
      <c r="L509" s="67" t="n"/>
      <c r="M509" s="64" t="n"/>
      <c r="N509" s="66" t="n"/>
      <c r="O509" s="84">
        <f>IF(A509="","",IF(OR(C509="",D509=""),"Enter both dates",IF(D509&lt;C509,"To is before From",IF(COUNTIFS($P$5:$P$2004,P509,$C$5:$C$2004,"&lt;="&amp;D509,$D$5:$D$2004,"&gt;="&amp;C509)&gt;1,"Overlaps another row","OK"))))</f>
        <v/>
      </c>
      <c r="P509">
        <f>IF(A509="","",A509&amp;"|"&amp;IF(B509="","Standard",B509))</f>
        <v/>
      </c>
      <c r="Q509">
        <f>IF(AND(A509&lt;&gt;"",A509='Firm Search'!$C$7),COUNTIF($A$5:A509,'Firm Search'!$C$7),"")</f>
        <v/>
      </c>
    </row>
    <row r="510">
      <c r="A510" s="64" t="n"/>
      <c r="B510" s="64" t="n"/>
      <c r="C510" s="66" t="n"/>
      <c r="D510" s="66" t="n"/>
      <c r="E510" s="67" t="n"/>
      <c r="F510" s="67" t="n"/>
      <c r="G510" s="67" t="n"/>
      <c r="H510" s="67" t="n"/>
      <c r="I510" s="67" t="n"/>
      <c r="J510" s="67" t="n"/>
      <c r="K510" s="67" t="n"/>
      <c r="L510" s="67" t="n"/>
      <c r="M510" s="64" t="n"/>
      <c r="N510" s="66" t="n"/>
      <c r="O510" s="84">
        <f>IF(A510="","",IF(OR(C510="",D510=""),"Enter both dates",IF(D510&lt;C510,"To is before From",IF(COUNTIFS($P$5:$P$2004,P510,$C$5:$C$2004,"&lt;="&amp;D510,$D$5:$D$2004,"&gt;="&amp;C510)&gt;1,"Overlaps another row","OK"))))</f>
        <v/>
      </c>
      <c r="P510">
        <f>IF(A510="","",A510&amp;"|"&amp;IF(B510="","Standard",B510))</f>
        <v/>
      </c>
      <c r="Q510">
        <f>IF(AND(A510&lt;&gt;"",A510='Firm Search'!$C$7),COUNTIF($A$5:A510,'Firm Search'!$C$7),"")</f>
        <v/>
      </c>
    </row>
    <row r="511">
      <c r="A511" s="64" t="n"/>
      <c r="B511" s="64" t="n"/>
      <c r="C511" s="66" t="n"/>
      <c r="D511" s="66" t="n"/>
      <c r="E511" s="67" t="n"/>
      <c r="F511" s="67" t="n"/>
      <c r="G511" s="67" t="n"/>
      <c r="H511" s="67" t="n"/>
      <c r="I511" s="67" t="n"/>
      <c r="J511" s="67" t="n"/>
      <c r="K511" s="67" t="n"/>
      <c r="L511" s="67" t="n"/>
      <c r="M511" s="64" t="n"/>
      <c r="N511" s="66" t="n"/>
      <c r="O511" s="84">
        <f>IF(A511="","",IF(OR(C511="",D511=""),"Enter both dates",IF(D511&lt;C511,"To is before From",IF(COUNTIFS($P$5:$P$2004,P511,$C$5:$C$2004,"&lt;="&amp;D511,$D$5:$D$2004,"&gt;="&amp;C511)&gt;1,"Overlaps another row","OK"))))</f>
        <v/>
      </c>
      <c r="P511">
        <f>IF(A511="","",A511&amp;"|"&amp;IF(B511="","Standard",B511))</f>
        <v/>
      </c>
      <c r="Q511">
        <f>IF(AND(A511&lt;&gt;"",A511='Firm Search'!$C$7),COUNTIF($A$5:A511,'Firm Search'!$C$7),"")</f>
        <v/>
      </c>
    </row>
    <row r="512">
      <c r="A512" s="64" t="n"/>
      <c r="B512" s="64" t="n"/>
      <c r="C512" s="66" t="n"/>
      <c r="D512" s="66" t="n"/>
      <c r="E512" s="67" t="n"/>
      <c r="F512" s="67" t="n"/>
      <c r="G512" s="67" t="n"/>
      <c r="H512" s="67" t="n"/>
      <c r="I512" s="67" t="n"/>
      <c r="J512" s="67" t="n"/>
      <c r="K512" s="67" t="n"/>
      <c r="L512" s="67" t="n"/>
      <c r="M512" s="64" t="n"/>
      <c r="N512" s="66" t="n"/>
      <c r="O512" s="84">
        <f>IF(A512="","",IF(OR(C512="",D512=""),"Enter both dates",IF(D512&lt;C512,"To is before From",IF(COUNTIFS($P$5:$P$2004,P512,$C$5:$C$2004,"&lt;="&amp;D512,$D$5:$D$2004,"&gt;="&amp;C512)&gt;1,"Overlaps another row","OK"))))</f>
        <v/>
      </c>
      <c r="P512">
        <f>IF(A512="","",A512&amp;"|"&amp;IF(B512="","Standard",B512))</f>
        <v/>
      </c>
      <c r="Q512">
        <f>IF(AND(A512&lt;&gt;"",A512='Firm Search'!$C$7),COUNTIF($A$5:A512,'Firm Search'!$C$7),"")</f>
        <v/>
      </c>
    </row>
    <row r="513">
      <c r="A513" s="64" t="n"/>
      <c r="B513" s="64" t="n"/>
      <c r="C513" s="66" t="n"/>
      <c r="D513" s="66" t="n"/>
      <c r="E513" s="67" t="n"/>
      <c r="F513" s="67" t="n"/>
      <c r="G513" s="67" t="n"/>
      <c r="H513" s="67" t="n"/>
      <c r="I513" s="67" t="n"/>
      <c r="J513" s="67" t="n"/>
      <c r="K513" s="67" t="n"/>
      <c r="L513" s="67" t="n"/>
      <c r="M513" s="64" t="n"/>
      <c r="N513" s="66" t="n"/>
      <c r="O513" s="84">
        <f>IF(A513="","",IF(OR(C513="",D513=""),"Enter both dates",IF(D513&lt;C513,"To is before From",IF(COUNTIFS($P$5:$P$2004,P513,$C$5:$C$2004,"&lt;="&amp;D513,$D$5:$D$2004,"&gt;="&amp;C513)&gt;1,"Overlaps another row","OK"))))</f>
        <v/>
      </c>
      <c r="P513">
        <f>IF(A513="","",A513&amp;"|"&amp;IF(B513="","Standard",B513))</f>
        <v/>
      </c>
      <c r="Q513">
        <f>IF(AND(A513&lt;&gt;"",A513='Firm Search'!$C$7),COUNTIF($A$5:A513,'Firm Search'!$C$7),"")</f>
        <v/>
      </c>
    </row>
    <row r="514">
      <c r="A514" s="64" t="n"/>
      <c r="B514" s="64" t="n"/>
      <c r="C514" s="66" t="n"/>
      <c r="D514" s="66" t="n"/>
      <c r="E514" s="67" t="n"/>
      <c r="F514" s="67" t="n"/>
      <c r="G514" s="67" t="n"/>
      <c r="H514" s="67" t="n"/>
      <c r="I514" s="67" t="n"/>
      <c r="J514" s="67" t="n"/>
      <c r="K514" s="67" t="n"/>
      <c r="L514" s="67" t="n"/>
      <c r="M514" s="64" t="n"/>
      <c r="N514" s="66" t="n"/>
      <c r="O514" s="84">
        <f>IF(A514="","",IF(OR(C514="",D514=""),"Enter both dates",IF(D514&lt;C514,"To is before From",IF(COUNTIFS($P$5:$P$2004,P514,$C$5:$C$2004,"&lt;="&amp;D514,$D$5:$D$2004,"&gt;="&amp;C514)&gt;1,"Overlaps another row","OK"))))</f>
        <v/>
      </c>
      <c r="P514">
        <f>IF(A514="","",A514&amp;"|"&amp;IF(B514="","Standard",B514))</f>
        <v/>
      </c>
      <c r="Q514">
        <f>IF(AND(A514&lt;&gt;"",A514='Firm Search'!$C$7),COUNTIF($A$5:A514,'Firm Search'!$C$7),"")</f>
        <v/>
      </c>
    </row>
    <row r="515">
      <c r="A515" s="64" t="n"/>
      <c r="B515" s="64" t="n"/>
      <c r="C515" s="66" t="n"/>
      <c r="D515" s="66" t="n"/>
      <c r="E515" s="67" t="n"/>
      <c r="F515" s="67" t="n"/>
      <c r="G515" s="67" t="n"/>
      <c r="H515" s="67" t="n"/>
      <c r="I515" s="67" t="n"/>
      <c r="J515" s="67" t="n"/>
      <c r="K515" s="67" t="n"/>
      <c r="L515" s="67" t="n"/>
      <c r="M515" s="64" t="n"/>
      <c r="N515" s="66" t="n"/>
      <c r="O515" s="84">
        <f>IF(A515="","",IF(OR(C515="",D515=""),"Enter both dates",IF(D515&lt;C515,"To is before From",IF(COUNTIFS($P$5:$P$2004,P515,$C$5:$C$2004,"&lt;="&amp;D515,$D$5:$D$2004,"&gt;="&amp;C515)&gt;1,"Overlaps another row","OK"))))</f>
        <v/>
      </c>
      <c r="P515">
        <f>IF(A515="","",A515&amp;"|"&amp;IF(B515="","Standard",B515))</f>
        <v/>
      </c>
      <c r="Q515">
        <f>IF(AND(A515&lt;&gt;"",A515='Firm Search'!$C$7),COUNTIF($A$5:A515,'Firm Search'!$C$7),"")</f>
        <v/>
      </c>
    </row>
    <row r="516">
      <c r="A516" s="64" t="n"/>
      <c r="B516" s="64" t="n"/>
      <c r="C516" s="66" t="n"/>
      <c r="D516" s="66" t="n"/>
      <c r="E516" s="67" t="n"/>
      <c r="F516" s="67" t="n"/>
      <c r="G516" s="67" t="n"/>
      <c r="H516" s="67" t="n"/>
      <c r="I516" s="67" t="n"/>
      <c r="J516" s="67" t="n"/>
      <c r="K516" s="67" t="n"/>
      <c r="L516" s="67" t="n"/>
      <c r="M516" s="64" t="n"/>
      <c r="N516" s="66" t="n"/>
      <c r="O516" s="84">
        <f>IF(A516="","",IF(OR(C516="",D516=""),"Enter both dates",IF(D516&lt;C516,"To is before From",IF(COUNTIFS($P$5:$P$2004,P516,$C$5:$C$2004,"&lt;="&amp;D516,$D$5:$D$2004,"&gt;="&amp;C516)&gt;1,"Overlaps another row","OK"))))</f>
        <v/>
      </c>
      <c r="P516">
        <f>IF(A516="","",A516&amp;"|"&amp;IF(B516="","Standard",B516))</f>
        <v/>
      </c>
      <c r="Q516">
        <f>IF(AND(A516&lt;&gt;"",A516='Firm Search'!$C$7),COUNTIF($A$5:A516,'Firm Search'!$C$7),"")</f>
        <v/>
      </c>
    </row>
    <row r="517">
      <c r="A517" s="64" t="n"/>
      <c r="B517" s="64" t="n"/>
      <c r="C517" s="66" t="n"/>
      <c r="D517" s="66" t="n"/>
      <c r="E517" s="67" t="n"/>
      <c r="F517" s="67" t="n"/>
      <c r="G517" s="67" t="n"/>
      <c r="H517" s="67" t="n"/>
      <c r="I517" s="67" t="n"/>
      <c r="J517" s="67" t="n"/>
      <c r="K517" s="67" t="n"/>
      <c r="L517" s="67" t="n"/>
      <c r="M517" s="64" t="n"/>
      <c r="N517" s="66" t="n"/>
      <c r="O517" s="84">
        <f>IF(A517="","",IF(OR(C517="",D517=""),"Enter both dates",IF(D517&lt;C517,"To is before From",IF(COUNTIFS($P$5:$P$2004,P517,$C$5:$C$2004,"&lt;="&amp;D517,$D$5:$D$2004,"&gt;="&amp;C517)&gt;1,"Overlaps another row","OK"))))</f>
        <v/>
      </c>
      <c r="P517">
        <f>IF(A517="","",A517&amp;"|"&amp;IF(B517="","Standard",B517))</f>
        <v/>
      </c>
      <c r="Q517">
        <f>IF(AND(A517&lt;&gt;"",A517='Firm Search'!$C$7),COUNTIF($A$5:A517,'Firm Search'!$C$7),"")</f>
        <v/>
      </c>
    </row>
    <row r="518">
      <c r="A518" s="64" t="n"/>
      <c r="B518" s="64" t="n"/>
      <c r="C518" s="66" t="n"/>
      <c r="D518" s="66" t="n"/>
      <c r="E518" s="67" t="n"/>
      <c r="F518" s="67" t="n"/>
      <c r="G518" s="67" t="n"/>
      <c r="H518" s="67" t="n"/>
      <c r="I518" s="67" t="n"/>
      <c r="J518" s="67" t="n"/>
      <c r="K518" s="67" t="n"/>
      <c r="L518" s="67" t="n"/>
      <c r="M518" s="64" t="n"/>
      <c r="N518" s="66" t="n"/>
      <c r="O518" s="84">
        <f>IF(A518="","",IF(OR(C518="",D518=""),"Enter both dates",IF(D518&lt;C518,"To is before From",IF(COUNTIFS($P$5:$P$2004,P518,$C$5:$C$2004,"&lt;="&amp;D518,$D$5:$D$2004,"&gt;="&amp;C518)&gt;1,"Overlaps another row","OK"))))</f>
        <v/>
      </c>
      <c r="P518">
        <f>IF(A518="","",A518&amp;"|"&amp;IF(B518="","Standard",B518))</f>
        <v/>
      </c>
      <c r="Q518">
        <f>IF(AND(A518&lt;&gt;"",A518='Firm Search'!$C$7),COUNTIF($A$5:A518,'Firm Search'!$C$7),"")</f>
        <v/>
      </c>
    </row>
    <row r="519">
      <c r="A519" s="64" t="n"/>
      <c r="B519" s="64" t="n"/>
      <c r="C519" s="66" t="n"/>
      <c r="D519" s="66" t="n"/>
      <c r="E519" s="67" t="n"/>
      <c r="F519" s="67" t="n"/>
      <c r="G519" s="67" t="n"/>
      <c r="H519" s="67" t="n"/>
      <c r="I519" s="67" t="n"/>
      <c r="J519" s="67" t="n"/>
      <c r="K519" s="67" t="n"/>
      <c r="L519" s="67" t="n"/>
      <c r="M519" s="64" t="n"/>
      <c r="N519" s="66" t="n"/>
      <c r="O519" s="84">
        <f>IF(A519="","",IF(OR(C519="",D519=""),"Enter both dates",IF(D519&lt;C519,"To is before From",IF(COUNTIFS($P$5:$P$2004,P519,$C$5:$C$2004,"&lt;="&amp;D519,$D$5:$D$2004,"&gt;="&amp;C519)&gt;1,"Overlaps another row","OK"))))</f>
        <v/>
      </c>
      <c r="P519">
        <f>IF(A519="","",A519&amp;"|"&amp;IF(B519="","Standard",B519))</f>
        <v/>
      </c>
      <c r="Q519">
        <f>IF(AND(A519&lt;&gt;"",A519='Firm Search'!$C$7),COUNTIF($A$5:A519,'Firm Search'!$C$7),"")</f>
        <v/>
      </c>
    </row>
    <row r="520">
      <c r="A520" s="64" t="n"/>
      <c r="B520" s="64" t="n"/>
      <c r="C520" s="66" t="n"/>
      <c r="D520" s="66" t="n"/>
      <c r="E520" s="67" t="n"/>
      <c r="F520" s="67" t="n"/>
      <c r="G520" s="67" t="n"/>
      <c r="H520" s="67" t="n"/>
      <c r="I520" s="67" t="n"/>
      <c r="J520" s="67" t="n"/>
      <c r="K520" s="67" t="n"/>
      <c r="L520" s="67" t="n"/>
      <c r="M520" s="64" t="n"/>
      <c r="N520" s="66" t="n"/>
      <c r="O520" s="84">
        <f>IF(A520="","",IF(OR(C520="",D520=""),"Enter both dates",IF(D520&lt;C520,"To is before From",IF(COUNTIFS($P$5:$P$2004,P520,$C$5:$C$2004,"&lt;="&amp;D520,$D$5:$D$2004,"&gt;="&amp;C520)&gt;1,"Overlaps another row","OK"))))</f>
        <v/>
      </c>
      <c r="P520">
        <f>IF(A520="","",A520&amp;"|"&amp;IF(B520="","Standard",B520))</f>
        <v/>
      </c>
      <c r="Q520">
        <f>IF(AND(A520&lt;&gt;"",A520='Firm Search'!$C$7),COUNTIF($A$5:A520,'Firm Search'!$C$7),"")</f>
        <v/>
      </c>
    </row>
    <row r="521">
      <c r="A521" s="64" t="n"/>
      <c r="B521" s="64" t="n"/>
      <c r="C521" s="66" t="n"/>
      <c r="D521" s="66" t="n"/>
      <c r="E521" s="67" t="n"/>
      <c r="F521" s="67" t="n"/>
      <c r="G521" s="67" t="n"/>
      <c r="H521" s="67" t="n"/>
      <c r="I521" s="67" t="n"/>
      <c r="J521" s="67" t="n"/>
      <c r="K521" s="67" t="n"/>
      <c r="L521" s="67" t="n"/>
      <c r="M521" s="64" t="n"/>
      <c r="N521" s="66" t="n"/>
      <c r="O521" s="84">
        <f>IF(A521="","",IF(OR(C521="",D521=""),"Enter both dates",IF(D521&lt;C521,"To is before From",IF(COUNTIFS($P$5:$P$2004,P521,$C$5:$C$2004,"&lt;="&amp;D521,$D$5:$D$2004,"&gt;="&amp;C521)&gt;1,"Overlaps another row","OK"))))</f>
        <v/>
      </c>
      <c r="P521">
        <f>IF(A521="","",A521&amp;"|"&amp;IF(B521="","Standard",B521))</f>
        <v/>
      </c>
      <c r="Q521">
        <f>IF(AND(A521&lt;&gt;"",A521='Firm Search'!$C$7),COUNTIF($A$5:A521,'Firm Search'!$C$7),"")</f>
        <v/>
      </c>
    </row>
    <row r="522">
      <c r="A522" s="64" t="n"/>
      <c r="B522" s="64" t="n"/>
      <c r="C522" s="66" t="n"/>
      <c r="D522" s="66" t="n"/>
      <c r="E522" s="67" t="n"/>
      <c r="F522" s="67" t="n"/>
      <c r="G522" s="67" t="n"/>
      <c r="H522" s="67" t="n"/>
      <c r="I522" s="67" t="n"/>
      <c r="J522" s="67" t="n"/>
      <c r="K522" s="67" t="n"/>
      <c r="L522" s="67" t="n"/>
      <c r="M522" s="64" t="n"/>
      <c r="N522" s="66" t="n"/>
      <c r="O522" s="84">
        <f>IF(A522="","",IF(OR(C522="",D522=""),"Enter both dates",IF(D522&lt;C522,"To is before From",IF(COUNTIFS($P$5:$P$2004,P522,$C$5:$C$2004,"&lt;="&amp;D522,$D$5:$D$2004,"&gt;="&amp;C522)&gt;1,"Overlaps another row","OK"))))</f>
        <v/>
      </c>
      <c r="P522">
        <f>IF(A522="","",A522&amp;"|"&amp;IF(B522="","Standard",B522))</f>
        <v/>
      </c>
      <c r="Q522">
        <f>IF(AND(A522&lt;&gt;"",A522='Firm Search'!$C$7),COUNTIF($A$5:A522,'Firm Search'!$C$7),"")</f>
        <v/>
      </c>
    </row>
    <row r="523">
      <c r="A523" s="64" t="n"/>
      <c r="B523" s="64" t="n"/>
      <c r="C523" s="66" t="n"/>
      <c r="D523" s="66" t="n"/>
      <c r="E523" s="67" t="n"/>
      <c r="F523" s="67" t="n"/>
      <c r="G523" s="67" t="n"/>
      <c r="H523" s="67" t="n"/>
      <c r="I523" s="67" t="n"/>
      <c r="J523" s="67" t="n"/>
      <c r="K523" s="67" t="n"/>
      <c r="L523" s="67" t="n"/>
      <c r="M523" s="64" t="n"/>
      <c r="N523" s="66" t="n"/>
      <c r="O523" s="84">
        <f>IF(A523="","",IF(OR(C523="",D523=""),"Enter both dates",IF(D523&lt;C523,"To is before From",IF(COUNTIFS($P$5:$P$2004,P523,$C$5:$C$2004,"&lt;="&amp;D523,$D$5:$D$2004,"&gt;="&amp;C523)&gt;1,"Overlaps another row","OK"))))</f>
        <v/>
      </c>
      <c r="P523">
        <f>IF(A523="","",A523&amp;"|"&amp;IF(B523="","Standard",B523))</f>
        <v/>
      </c>
      <c r="Q523">
        <f>IF(AND(A523&lt;&gt;"",A523='Firm Search'!$C$7),COUNTIF($A$5:A523,'Firm Search'!$C$7),"")</f>
        <v/>
      </c>
    </row>
    <row r="524">
      <c r="A524" s="64" t="n"/>
      <c r="B524" s="64" t="n"/>
      <c r="C524" s="66" t="n"/>
      <c r="D524" s="66" t="n"/>
      <c r="E524" s="67" t="n"/>
      <c r="F524" s="67" t="n"/>
      <c r="G524" s="67" t="n"/>
      <c r="H524" s="67" t="n"/>
      <c r="I524" s="67" t="n"/>
      <c r="J524" s="67" t="n"/>
      <c r="K524" s="67" t="n"/>
      <c r="L524" s="67" t="n"/>
      <c r="M524" s="64" t="n"/>
      <c r="N524" s="66" t="n"/>
      <c r="O524" s="84">
        <f>IF(A524="","",IF(OR(C524="",D524=""),"Enter both dates",IF(D524&lt;C524,"To is before From",IF(COUNTIFS($P$5:$P$2004,P524,$C$5:$C$2004,"&lt;="&amp;D524,$D$5:$D$2004,"&gt;="&amp;C524)&gt;1,"Overlaps another row","OK"))))</f>
        <v/>
      </c>
      <c r="P524">
        <f>IF(A524="","",A524&amp;"|"&amp;IF(B524="","Standard",B524))</f>
        <v/>
      </c>
      <c r="Q524">
        <f>IF(AND(A524&lt;&gt;"",A524='Firm Search'!$C$7),COUNTIF($A$5:A524,'Firm Search'!$C$7),"")</f>
        <v/>
      </c>
    </row>
    <row r="525">
      <c r="A525" s="64" t="n"/>
      <c r="B525" s="64" t="n"/>
      <c r="C525" s="66" t="n"/>
      <c r="D525" s="66" t="n"/>
      <c r="E525" s="67" t="n"/>
      <c r="F525" s="67" t="n"/>
      <c r="G525" s="67" t="n"/>
      <c r="H525" s="67" t="n"/>
      <c r="I525" s="67" t="n"/>
      <c r="J525" s="67" t="n"/>
      <c r="K525" s="67" t="n"/>
      <c r="L525" s="67" t="n"/>
      <c r="M525" s="64" t="n"/>
      <c r="N525" s="66" t="n"/>
      <c r="O525" s="84">
        <f>IF(A525="","",IF(OR(C525="",D525=""),"Enter both dates",IF(D525&lt;C525,"To is before From",IF(COUNTIFS($P$5:$P$2004,P525,$C$5:$C$2004,"&lt;="&amp;D525,$D$5:$D$2004,"&gt;="&amp;C525)&gt;1,"Overlaps another row","OK"))))</f>
        <v/>
      </c>
      <c r="P525">
        <f>IF(A525="","",A525&amp;"|"&amp;IF(B525="","Standard",B525))</f>
        <v/>
      </c>
      <c r="Q525">
        <f>IF(AND(A525&lt;&gt;"",A525='Firm Search'!$C$7),COUNTIF($A$5:A525,'Firm Search'!$C$7),"")</f>
        <v/>
      </c>
    </row>
    <row r="526">
      <c r="A526" s="64" t="n"/>
      <c r="B526" s="64" t="n"/>
      <c r="C526" s="66" t="n"/>
      <c r="D526" s="66" t="n"/>
      <c r="E526" s="67" t="n"/>
      <c r="F526" s="67" t="n"/>
      <c r="G526" s="67" t="n"/>
      <c r="H526" s="67" t="n"/>
      <c r="I526" s="67" t="n"/>
      <c r="J526" s="67" t="n"/>
      <c r="K526" s="67" t="n"/>
      <c r="L526" s="67" t="n"/>
      <c r="M526" s="64" t="n"/>
      <c r="N526" s="66" t="n"/>
      <c r="O526" s="84">
        <f>IF(A526="","",IF(OR(C526="",D526=""),"Enter both dates",IF(D526&lt;C526,"To is before From",IF(COUNTIFS($P$5:$P$2004,P526,$C$5:$C$2004,"&lt;="&amp;D526,$D$5:$D$2004,"&gt;="&amp;C526)&gt;1,"Overlaps another row","OK"))))</f>
        <v/>
      </c>
      <c r="P526">
        <f>IF(A526="","",A526&amp;"|"&amp;IF(B526="","Standard",B526))</f>
        <v/>
      </c>
      <c r="Q526">
        <f>IF(AND(A526&lt;&gt;"",A526='Firm Search'!$C$7),COUNTIF($A$5:A526,'Firm Search'!$C$7),"")</f>
        <v/>
      </c>
    </row>
    <row r="527">
      <c r="A527" s="64" t="n"/>
      <c r="B527" s="64" t="n"/>
      <c r="C527" s="66" t="n"/>
      <c r="D527" s="66" t="n"/>
      <c r="E527" s="67" t="n"/>
      <c r="F527" s="67" t="n"/>
      <c r="G527" s="67" t="n"/>
      <c r="H527" s="67" t="n"/>
      <c r="I527" s="67" t="n"/>
      <c r="J527" s="67" t="n"/>
      <c r="K527" s="67" t="n"/>
      <c r="L527" s="67" t="n"/>
      <c r="M527" s="64" t="n"/>
      <c r="N527" s="66" t="n"/>
      <c r="O527" s="84">
        <f>IF(A527="","",IF(OR(C527="",D527=""),"Enter both dates",IF(D527&lt;C527,"To is before From",IF(COUNTIFS($P$5:$P$2004,P527,$C$5:$C$2004,"&lt;="&amp;D527,$D$5:$D$2004,"&gt;="&amp;C527)&gt;1,"Overlaps another row","OK"))))</f>
        <v/>
      </c>
      <c r="P527">
        <f>IF(A527="","",A527&amp;"|"&amp;IF(B527="","Standard",B527))</f>
        <v/>
      </c>
      <c r="Q527">
        <f>IF(AND(A527&lt;&gt;"",A527='Firm Search'!$C$7),COUNTIF($A$5:A527,'Firm Search'!$C$7),"")</f>
        <v/>
      </c>
    </row>
    <row r="528">
      <c r="A528" s="64" t="n"/>
      <c r="B528" s="64" t="n"/>
      <c r="C528" s="66" t="n"/>
      <c r="D528" s="66" t="n"/>
      <c r="E528" s="67" t="n"/>
      <c r="F528" s="67" t="n"/>
      <c r="G528" s="67" t="n"/>
      <c r="H528" s="67" t="n"/>
      <c r="I528" s="67" t="n"/>
      <c r="J528" s="67" t="n"/>
      <c r="K528" s="67" t="n"/>
      <c r="L528" s="67" t="n"/>
      <c r="M528" s="64" t="n"/>
      <c r="N528" s="66" t="n"/>
      <c r="O528" s="84">
        <f>IF(A528="","",IF(OR(C528="",D528=""),"Enter both dates",IF(D528&lt;C528,"To is before From",IF(COUNTIFS($P$5:$P$2004,P528,$C$5:$C$2004,"&lt;="&amp;D528,$D$5:$D$2004,"&gt;="&amp;C528)&gt;1,"Overlaps another row","OK"))))</f>
        <v/>
      </c>
      <c r="P528">
        <f>IF(A528="","",A528&amp;"|"&amp;IF(B528="","Standard",B528))</f>
        <v/>
      </c>
      <c r="Q528">
        <f>IF(AND(A528&lt;&gt;"",A528='Firm Search'!$C$7),COUNTIF($A$5:A528,'Firm Search'!$C$7),"")</f>
        <v/>
      </c>
    </row>
    <row r="529">
      <c r="A529" s="64" t="n"/>
      <c r="B529" s="64" t="n"/>
      <c r="C529" s="66" t="n"/>
      <c r="D529" s="66" t="n"/>
      <c r="E529" s="67" t="n"/>
      <c r="F529" s="67" t="n"/>
      <c r="G529" s="67" t="n"/>
      <c r="H529" s="67" t="n"/>
      <c r="I529" s="67" t="n"/>
      <c r="J529" s="67" t="n"/>
      <c r="K529" s="67" t="n"/>
      <c r="L529" s="67" t="n"/>
      <c r="M529" s="64" t="n"/>
      <c r="N529" s="66" t="n"/>
      <c r="O529" s="84">
        <f>IF(A529="","",IF(OR(C529="",D529=""),"Enter both dates",IF(D529&lt;C529,"To is before From",IF(COUNTIFS($P$5:$P$2004,P529,$C$5:$C$2004,"&lt;="&amp;D529,$D$5:$D$2004,"&gt;="&amp;C529)&gt;1,"Overlaps another row","OK"))))</f>
        <v/>
      </c>
      <c r="P529">
        <f>IF(A529="","",A529&amp;"|"&amp;IF(B529="","Standard",B529))</f>
        <v/>
      </c>
      <c r="Q529">
        <f>IF(AND(A529&lt;&gt;"",A529='Firm Search'!$C$7),COUNTIF($A$5:A529,'Firm Search'!$C$7),"")</f>
        <v/>
      </c>
    </row>
    <row r="530">
      <c r="A530" s="64" t="n"/>
      <c r="B530" s="64" t="n"/>
      <c r="C530" s="66" t="n"/>
      <c r="D530" s="66" t="n"/>
      <c r="E530" s="67" t="n"/>
      <c r="F530" s="67" t="n"/>
      <c r="G530" s="67" t="n"/>
      <c r="H530" s="67" t="n"/>
      <c r="I530" s="67" t="n"/>
      <c r="J530" s="67" t="n"/>
      <c r="K530" s="67" t="n"/>
      <c r="L530" s="67" t="n"/>
      <c r="M530" s="64" t="n"/>
      <c r="N530" s="66" t="n"/>
      <c r="O530" s="84">
        <f>IF(A530="","",IF(OR(C530="",D530=""),"Enter both dates",IF(D530&lt;C530,"To is before From",IF(COUNTIFS($P$5:$P$2004,P530,$C$5:$C$2004,"&lt;="&amp;D530,$D$5:$D$2004,"&gt;="&amp;C530)&gt;1,"Overlaps another row","OK"))))</f>
        <v/>
      </c>
      <c r="P530">
        <f>IF(A530="","",A530&amp;"|"&amp;IF(B530="","Standard",B530))</f>
        <v/>
      </c>
      <c r="Q530">
        <f>IF(AND(A530&lt;&gt;"",A530='Firm Search'!$C$7),COUNTIF($A$5:A530,'Firm Search'!$C$7),"")</f>
        <v/>
      </c>
    </row>
    <row r="531">
      <c r="A531" s="64" t="n"/>
      <c r="B531" s="64" t="n"/>
      <c r="C531" s="66" t="n"/>
      <c r="D531" s="66" t="n"/>
      <c r="E531" s="67" t="n"/>
      <c r="F531" s="67" t="n"/>
      <c r="G531" s="67" t="n"/>
      <c r="H531" s="67" t="n"/>
      <c r="I531" s="67" t="n"/>
      <c r="J531" s="67" t="n"/>
      <c r="K531" s="67" t="n"/>
      <c r="L531" s="67" t="n"/>
      <c r="M531" s="64" t="n"/>
      <c r="N531" s="66" t="n"/>
      <c r="O531" s="84">
        <f>IF(A531="","",IF(OR(C531="",D531=""),"Enter both dates",IF(D531&lt;C531,"To is before From",IF(COUNTIFS($P$5:$P$2004,P531,$C$5:$C$2004,"&lt;="&amp;D531,$D$5:$D$2004,"&gt;="&amp;C531)&gt;1,"Overlaps another row","OK"))))</f>
        <v/>
      </c>
      <c r="P531">
        <f>IF(A531="","",A531&amp;"|"&amp;IF(B531="","Standard",B531))</f>
        <v/>
      </c>
      <c r="Q531">
        <f>IF(AND(A531&lt;&gt;"",A531='Firm Search'!$C$7),COUNTIF($A$5:A531,'Firm Search'!$C$7),"")</f>
        <v/>
      </c>
    </row>
    <row r="532">
      <c r="A532" s="64" t="n"/>
      <c r="B532" s="64" t="n"/>
      <c r="C532" s="66" t="n"/>
      <c r="D532" s="66" t="n"/>
      <c r="E532" s="67" t="n"/>
      <c r="F532" s="67" t="n"/>
      <c r="G532" s="67" t="n"/>
      <c r="H532" s="67" t="n"/>
      <c r="I532" s="67" t="n"/>
      <c r="J532" s="67" t="n"/>
      <c r="K532" s="67" t="n"/>
      <c r="L532" s="67" t="n"/>
      <c r="M532" s="64" t="n"/>
      <c r="N532" s="66" t="n"/>
      <c r="O532" s="84">
        <f>IF(A532="","",IF(OR(C532="",D532=""),"Enter both dates",IF(D532&lt;C532,"To is before From",IF(COUNTIFS($P$5:$P$2004,P532,$C$5:$C$2004,"&lt;="&amp;D532,$D$5:$D$2004,"&gt;="&amp;C532)&gt;1,"Overlaps another row","OK"))))</f>
        <v/>
      </c>
      <c r="P532">
        <f>IF(A532="","",A532&amp;"|"&amp;IF(B532="","Standard",B532))</f>
        <v/>
      </c>
      <c r="Q532">
        <f>IF(AND(A532&lt;&gt;"",A532='Firm Search'!$C$7),COUNTIF($A$5:A532,'Firm Search'!$C$7),"")</f>
        <v/>
      </c>
    </row>
    <row r="533">
      <c r="A533" s="64" t="n"/>
      <c r="B533" s="64" t="n"/>
      <c r="C533" s="66" t="n"/>
      <c r="D533" s="66" t="n"/>
      <c r="E533" s="67" t="n"/>
      <c r="F533" s="67" t="n"/>
      <c r="G533" s="67" t="n"/>
      <c r="H533" s="67" t="n"/>
      <c r="I533" s="67" t="n"/>
      <c r="J533" s="67" t="n"/>
      <c r="K533" s="67" t="n"/>
      <c r="L533" s="67" t="n"/>
      <c r="M533" s="64" t="n"/>
      <c r="N533" s="66" t="n"/>
      <c r="O533" s="84">
        <f>IF(A533="","",IF(OR(C533="",D533=""),"Enter both dates",IF(D533&lt;C533,"To is before From",IF(COUNTIFS($P$5:$P$2004,P533,$C$5:$C$2004,"&lt;="&amp;D533,$D$5:$D$2004,"&gt;="&amp;C533)&gt;1,"Overlaps another row","OK"))))</f>
        <v/>
      </c>
      <c r="P533">
        <f>IF(A533="","",A533&amp;"|"&amp;IF(B533="","Standard",B533))</f>
        <v/>
      </c>
      <c r="Q533">
        <f>IF(AND(A533&lt;&gt;"",A533='Firm Search'!$C$7),COUNTIF($A$5:A533,'Firm Search'!$C$7),"")</f>
        <v/>
      </c>
    </row>
    <row r="534">
      <c r="A534" s="64" t="n"/>
      <c r="B534" s="64" t="n"/>
      <c r="C534" s="66" t="n"/>
      <c r="D534" s="66" t="n"/>
      <c r="E534" s="67" t="n"/>
      <c r="F534" s="67" t="n"/>
      <c r="G534" s="67" t="n"/>
      <c r="H534" s="67" t="n"/>
      <c r="I534" s="67" t="n"/>
      <c r="J534" s="67" t="n"/>
      <c r="K534" s="67" t="n"/>
      <c r="L534" s="67" t="n"/>
      <c r="M534" s="64" t="n"/>
      <c r="N534" s="66" t="n"/>
      <c r="O534" s="84">
        <f>IF(A534="","",IF(OR(C534="",D534=""),"Enter both dates",IF(D534&lt;C534,"To is before From",IF(COUNTIFS($P$5:$P$2004,P534,$C$5:$C$2004,"&lt;="&amp;D534,$D$5:$D$2004,"&gt;="&amp;C534)&gt;1,"Overlaps another row","OK"))))</f>
        <v/>
      </c>
      <c r="P534">
        <f>IF(A534="","",A534&amp;"|"&amp;IF(B534="","Standard",B534))</f>
        <v/>
      </c>
      <c r="Q534">
        <f>IF(AND(A534&lt;&gt;"",A534='Firm Search'!$C$7),COUNTIF($A$5:A534,'Firm Search'!$C$7),"")</f>
        <v/>
      </c>
    </row>
    <row r="535">
      <c r="A535" s="64" t="n"/>
      <c r="B535" s="64" t="n"/>
      <c r="C535" s="66" t="n"/>
      <c r="D535" s="66" t="n"/>
      <c r="E535" s="67" t="n"/>
      <c r="F535" s="67" t="n"/>
      <c r="G535" s="67" t="n"/>
      <c r="H535" s="67" t="n"/>
      <c r="I535" s="67" t="n"/>
      <c r="J535" s="67" t="n"/>
      <c r="K535" s="67" t="n"/>
      <c r="L535" s="67" t="n"/>
      <c r="M535" s="64" t="n"/>
      <c r="N535" s="66" t="n"/>
      <c r="O535" s="84">
        <f>IF(A535="","",IF(OR(C535="",D535=""),"Enter both dates",IF(D535&lt;C535,"To is before From",IF(COUNTIFS($P$5:$P$2004,P535,$C$5:$C$2004,"&lt;="&amp;D535,$D$5:$D$2004,"&gt;="&amp;C535)&gt;1,"Overlaps another row","OK"))))</f>
        <v/>
      </c>
      <c r="P535">
        <f>IF(A535="","",A535&amp;"|"&amp;IF(B535="","Standard",B535))</f>
        <v/>
      </c>
      <c r="Q535">
        <f>IF(AND(A535&lt;&gt;"",A535='Firm Search'!$C$7),COUNTIF($A$5:A535,'Firm Search'!$C$7),"")</f>
        <v/>
      </c>
    </row>
    <row r="536">
      <c r="A536" s="64" t="n"/>
      <c r="B536" s="64" t="n"/>
      <c r="C536" s="66" t="n"/>
      <c r="D536" s="66" t="n"/>
      <c r="E536" s="67" t="n"/>
      <c r="F536" s="67" t="n"/>
      <c r="G536" s="67" t="n"/>
      <c r="H536" s="67" t="n"/>
      <c r="I536" s="67" t="n"/>
      <c r="J536" s="67" t="n"/>
      <c r="K536" s="67" t="n"/>
      <c r="L536" s="67" t="n"/>
      <c r="M536" s="64" t="n"/>
      <c r="N536" s="66" t="n"/>
      <c r="O536" s="84">
        <f>IF(A536="","",IF(OR(C536="",D536=""),"Enter both dates",IF(D536&lt;C536,"To is before From",IF(COUNTIFS($P$5:$P$2004,P536,$C$5:$C$2004,"&lt;="&amp;D536,$D$5:$D$2004,"&gt;="&amp;C536)&gt;1,"Overlaps another row","OK"))))</f>
        <v/>
      </c>
      <c r="P536">
        <f>IF(A536="","",A536&amp;"|"&amp;IF(B536="","Standard",B536))</f>
        <v/>
      </c>
      <c r="Q536">
        <f>IF(AND(A536&lt;&gt;"",A536='Firm Search'!$C$7),COUNTIF($A$5:A536,'Firm Search'!$C$7),"")</f>
        <v/>
      </c>
    </row>
    <row r="537">
      <c r="A537" s="64" t="n"/>
      <c r="B537" s="64" t="n"/>
      <c r="C537" s="66" t="n"/>
      <c r="D537" s="66" t="n"/>
      <c r="E537" s="67" t="n"/>
      <c r="F537" s="67" t="n"/>
      <c r="G537" s="67" t="n"/>
      <c r="H537" s="67" t="n"/>
      <c r="I537" s="67" t="n"/>
      <c r="J537" s="67" t="n"/>
      <c r="K537" s="67" t="n"/>
      <c r="L537" s="67" t="n"/>
      <c r="M537" s="64" t="n"/>
      <c r="N537" s="66" t="n"/>
      <c r="O537" s="84">
        <f>IF(A537="","",IF(OR(C537="",D537=""),"Enter both dates",IF(D537&lt;C537,"To is before From",IF(COUNTIFS($P$5:$P$2004,P537,$C$5:$C$2004,"&lt;="&amp;D537,$D$5:$D$2004,"&gt;="&amp;C537)&gt;1,"Overlaps another row","OK"))))</f>
        <v/>
      </c>
      <c r="P537">
        <f>IF(A537="","",A537&amp;"|"&amp;IF(B537="","Standard",B537))</f>
        <v/>
      </c>
      <c r="Q537">
        <f>IF(AND(A537&lt;&gt;"",A537='Firm Search'!$C$7),COUNTIF($A$5:A537,'Firm Search'!$C$7),"")</f>
        <v/>
      </c>
    </row>
    <row r="538">
      <c r="A538" s="64" t="n"/>
      <c r="B538" s="64" t="n"/>
      <c r="C538" s="66" t="n"/>
      <c r="D538" s="66" t="n"/>
      <c r="E538" s="67" t="n"/>
      <c r="F538" s="67" t="n"/>
      <c r="G538" s="67" t="n"/>
      <c r="H538" s="67" t="n"/>
      <c r="I538" s="67" t="n"/>
      <c r="J538" s="67" t="n"/>
      <c r="K538" s="67" t="n"/>
      <c r="L538" s="67" t="n"/>
      <c r="M538" s="64" t="n"/>
      <c r="N538" s="66" t="n"/>
      <c r="O538" s="84">
        <f>IF(A538="","",IF(OR(C538="",D538=""),"Enter both dates",IF(D538&lt;C538,"To is before From",IF(COUNTIFS($P$5:$P$2004,P538,$C$5:$C$2004,"&lt;="&amp;D538,$D$5:$D$2004,"&gt;="&amp;C538)&gt;1,"Overlaps another row","OK"))))</f>
        <v/>
      </c>
      <c r="P538">
        <f>IF(A538="","",A538&amp;"|"&amp;IF(B538="","Standard",B538))</f>
        <v/>
      </c>
      <c r="Q538">
        <f>IF(AND(A538&lt;&gt;"",A538='Firm Search'!$C$7),COUNTIF($A$5:A538,'Firm Search'!$C$7),"")</f>
        <v/>
      </c>
    </row>
    <row r="539">
      <c r="A539" s="64" t="n"/>
      <c r="B539" s="64" t="n"/>
      <c r="C539" s="66" t="n"/>
      <c r="D539" s="66" t="n"/>
      <c r="E539" s="67" t="n"/>
      <c r="F539" s="67" t="n"/>
      <c r="G539" s="67" t="n"/>
      <c r="H539" s="67" t="n"/>
      <c r="I539" s="67" t="n"/>
      <c r="J539" s="67" t="n"/>
      <c r="K539" s="67" t="n"/>
      <c r="L539" s="67" t="n"/>
      <c r="M539" s="64" t="n"/>
      <c r="N539" s="66" t="n"/>
      <c r="O539" s="84">
        <f>IF(A539="","",IF(OR(C539="",D539=""),"Enter both dates",IF(D539&lt;C539,"To is before From",IF(COUNTIFS($P$5:$P$2004,P539,$C$5:$C$2004,"&lt;="&amp;D539,$D$5:$D$2004,"&gt;="&amp;C539)&gt;1,"Overlaps another row","OK"))))</f>
        <v/>
      </c>
      <c r="P539">
        <f>IF(A539="","",A539&amp;"|"&amp;IF(B539="","Standard",B539))</f>
        <v/>
      </c>
      <c r="Q539">
        <f>IF(AND(A539&lt;&gt;"",A539='Firm Search'!$C$7),COUNTIF($A$5:A539,'Firm Search'!$C$7),"")</f>
        <v/>
      </c>
    </row>
    <row r="540">
      <c r="A540" s="64" t="n"/>
      <c r="B540" s="64" t="n"/>
      <c r="C540" s="66" t="n"/>
      <c r="D540" s="66" t="n"/>
      <c r="E540" s="67" t="n"/>
      <c r="F540" s="67" t="n"/>
      <c r="G540" s="67" t="n"/>
      <c r="H540" s="67" t="n"/>
      <c r="I540" s="67" t="n"/>
      <c r="J540" s="67" t="n"/>
      <c r="K540" s="67" t="n"/>
      <c r="L540" s="67" t="n"/>
      <c r="M540" s="64" t="n"/>
      <c r="N540" s="66" t="n"/>
      <c r="O540" s="84">
        <f>IF(A540="","",IF(OR(C540="",D540=""),"Enter both dates",IF(D540&lt;C540,"To is before From",IF(COUNTIFS($P$5:$P$2004,P540,$C$5:$C$2004,"&lt;="&amp;D540,$D$5:$D$2004,"&gt;="&amp;C540)&gt;1,"Overlaps another row","OK"))))</f>
        <v/>
      </c>
      <c r="P540">
        <f>IF(A540="","",A540&amp;"|"&amp;IF(B540="","Standard",B540))</f>
        <v/>
      </c>
      <c r="Q540">
        <f>IF(AND(A540&lt;&gt;"",A540='Firm Search'!$C$7),COUNTIF($A$5:A540,'Firm Search'!$C$7),"")</f>
        <v/>
      </c>
    </row>
    <row r="541">
      <c r="A541" s="64" t="n"/>
      <c r="B541" s="64" t="n"/>
      <c r="C541" s="66" t="n"/>
      <c r="D541" s="66" t="n"/>
      <c r="E541" s="67" t="n"/>
      <c r="F541" s="67" t="n"/>
      <c r="G541" s="67" t="n"/>
      <c r="H541" s="67" t="n"/>
      <c r="I541" s="67" t="n"/>
      <c r="J541" s="67" t="n"/>
      <c r="K541" s="67" t="n"/>
      <c r="L541" s="67" t="n"/>
      <c r="M541" s="64" t="n"/>
      <c r="N541" s="66" t="n"/>
      <c r="O541" s="84">
        <f>IF(A541="","",IF(OR(C541="",D541=""),"Enter both dates",IF(D541&lt;C541,"To is before From",IF(COUNTIFS($P$5:$P$2004,P541,$C$5:$C$2004,"&lt;="&amp;D541,$D$5:$D$2004,"&gt;="&amp;C541)&gt;1,"Overlaps another row","OK"))))</f>
        <v/>
      </c>
      <c r="P541">
        <f>IF(A541="","",A541&amp;"|"&amp;IF(B541="","Standard",B541))</f>
        <v/>
      </c>
      <c r="Q541">
        <f>IF(AND(A541&lt;&gt;"",A541='Firm Search'!$C$7),COUNTIF($A$5:A541,'Firm Search'!$C$7),"")</f>
        <v/>
      </c>
    </row>
    <row r="542">
      <c r="A542" s="64" t="n"/>
      <c r="B542" s="64" t="n"/>
      <c r="C542" s="66" t="n"/>
      <c r="D542" s="66" t="n"/>
      <c r="E542" s="67" t="n"/>
      <c r="F542" s="67" t="n"/>
      <c r="G542" s="67" t="n"/>
      <c r="H542" s="67" t="n"/>
      <c r="I542" s="67" t="n"/>
      <c r="J542" s="67" t="n"/>
      <c r="K542" s="67" t="n"/>
      <c r="L542" s="67" t="n"/>
      <c r="M542" s="64" t="n"/>
      <c r="N542" s="66" t="n"/>
      <c r="O542" s="84">
        <f>IF(A542="","",IF(OR(C542="",D542=""),"Enter both dates",IF(D542&lt;C542,"To is before From",IF(COUNTIFS($P$5:$P$2004,P542,$C$5:$C$2004,"&lt;="&amp;D542,$D$5:$D$2004,"&gt;="&amp;C542)&gt;1,"Overlaps another row","OK"))))</f>
        <v/>
      </c>
      <c r="P542">
        <f>IF(A542="","",A542&amp;"|"&amp;IF(B542="","Standard",B542))</f>
        <v/>
      </c>
      <c r="Q542">
        <f>IF(AND(A542&lt;&gt;"",A542='Firm Search'!$C$7),COUNTIF($A$5:A542,'Firm Search'!$C$7),"")</f>
        <v/>
      </c>
    </row>
    <row r="543">
      <c r="A543" s="64" t="n"/>
      <c r="B543" s="64" t="n"/>
      <c r="C543" s="66" t="n"/>
      <c r="D543" s="66" t="n"/>
      <c r="E543" s="67" t="n"/>
      <c r="F543" s="67" t="n"/>
      <c r="G543" s="67" t="n"/>
      <c r="H543" s="67" t="n"/>
      <c r="I543" s="67" t="n"/>
      <c r="J543" s="67" t="n"/>
      <c r="K543" s="67" t="n"/>
      <c r="L543" s="67" t="n"/>
      <c r="M543" s="64" t="n"/>
      <c r="N543" s="66" t="n"/>
      <c r="O543" s="84">
        <f>IF(A543="","",IF(OR(C543="",D543=""),"Enter both dates",IF(D543&lt;C543,"To is before From",IF(COUNTIFS($P$5:$P$2004,P543,$C$5:$C$2004,"&lt;="&amp;D543,$D$5:$D$2004,"&gt;="&amp;C543)&gt;1,"Overlaps another row","OK"))))</f>
        <v/>
      </c>
      <c r="P543">
        <f>IF(A543="","",A543&amp;"|"&amp;IF(B543="","Standard",B543))</f>
        <v/>
      </c>
      <c r="Q543">
        <f>IF(AND(A543&lt;&gt;"",A543='Firm Search'!$C$7),COUNTIF($A$5:A543,'Firm Search'!$C$7),"")</f>
        <v/>
      </c>
    </row>
    <row r="544">
      <c r="A544" s="64" t="n"/>
      <c r="B544" s="64" t="n"/>
      <c r="C544" s="66" t="n"/>
      <c r="D544" s="66" t="n"/>
      <c r="E544" s="67" t="n"/>
      <c r="F544" s="67" t="n"/>
      <c r="G544" s="67" t="n"/>
      <c r="H544" s="67" t="n"/>
      <c r="I544" s="67" t="n"/>
      <c r="J544" s="67" t="n"/>
      <c r="K544" s="67" t="n"/>
      <c r="L544" s="67" t="n"/>
      <c r="M544" s="64" t="n"/>
      <c r="N544" s="66" t="n"/>
      <c r="O544" s="84">
        <f>IF(A544="","",IF(OR(C544="",D544=""),"Enter both dates",IF(D544&lt;C544,"To is before From",IF(COUNTIFS($P$5:$P$2004,P544,$C$5:$C$2004,"&lt;="&amp;D544,$D$5:$D$2004,"&gt;="&amp;C544)&gt;1,"Overlaps another row","OK"))))</f>
        <v/>
      </c>
      <c r="P544">
        <f>IF(A544="","",A544&amp;"|"&amp;IF(B544="","Standard",B544))</f>
        <v/>
      </c>
      <c r="Q544">
        <f>IF(AND(A544&lt;&gt;"",A544='Firm Search'!$C$7),COUNTIF($A$5:A544,'Firm Search'!$C$7),"")</f>
        <v/>
      </c>
    </row>
    <row r="545">
      <c r="A545" s="64" t="n"/>
      <c r="B545" s="64" t="n"/>
      <c r="C545" s="66" t="n"/>
      <c r="D545" s="66" t="n"/>
      <c r="E545" s="67" t="n"/>
      <c r="F545" s="67" t="n"/>
      <c r="G545" s="67" t="n"/>
      <c r="H545" s="67" t="n"/>
      <c r="I545" s="67" t="n"/>
      <c r="J545" s="67" t="n"/>
      <c r="K545" s="67" t="n"/>
      <c r="L545" s="67" t="n"/>
      <c r="M545" s="64" t="n"/>
      <c r="N545" s="66" t="n"/>
      <c r="O545" s="84">
        <f>IF(A545="","",IF(OR(C545="",D545=""),"Enter both dates",IF(D545&lt;C545,"To is before From",IF(COUNTIFS($P$5:$P$2004,P545,$C$5:$C$2004,"&lt;="&amp;D545,$D$5:$D$2004,"&gt;="&amp;C545)&gt;1,"Overlaps another row","OK"))))</f>
        <v/>
      </c>
      <c r="P545">
        <f>IF(A545="","",A545&amp;"|"&amp;IF(B545="","Standard",B545))</f>
        <v/>
      </c>
      <c r="Q545">
        <f>IF(AND(A545&lt;&gt;"",A545='Firm Search'!$C$7),COUNTIF($A$5:A545,'Firm Search'!$C$7),"")</f>
        <v/>
      </c>
    </row>
    <row r="546">
      <c r="A546" s="64" t="n"/>
      <c r="B546" s="64" t="n"/>
      <c r="C546" s="66" t="n"/>
      <c r="D546" s="66" t="n"/>
      <c r="E546" s="67" t="n"/>
      <c r="F546" s="67" t="n"/>
      <c r="G546" s="67" t="n"/>
      <c r="H546" s="67" t="n"/>
      <c r="I546" s="67" t="n"/>
      <c r="J546" s="67" t="n"/>
      <c r="K546" s="67" t="n"/>
      <c r="L546" s="67" t="n"/>
      <c r="M546" s="64" t="n"/>
      <c r="N546" s="66" t="n"/>
      <c r="O546" s="84">
        <f>IF(A546="","",IF(OR(C546="",D546=""),"Enter both dates",IF(D546&lt;C546,"To is before From",IF(COUNTIFS($P$5:$P$2004,P546,$C$5:$C$2004,"&lt;="&amp;D546,$D$5:$D$2004,"&gt;="&amp;C546)&gt;1,"Overlaps another row","OK"))))</f>
        <v/>
      </c>
      <c r="P546">
        <f>IF(A546="","",A546&amp;"|"&amp;IF(B546="","Standard",B546))</f>
        <v/>
      </c>
      <c r="Q546">
        <f>IF(AND(A546&lt;&gt;"",A546='Firm Search'!$C$7),COUNTIF($A$5:A546,'Firm Search'!$C$7),"")</f>
        <v/>
      </c>
    </row>
    <row r="547">
      <c r="A547" s="64" t="n"/>
      <c r="B547" s="64" t="n"/>
      <c r="C547" s="66" t="n"/>
      <c r="D547" s="66" t="n"/>
      <c r="E547" s="67" t="n"/>
      <c r="F547" s="67" t="n"/>
      <c r="G547" s="67" t="n"/>
      <c r="H547" s="67" t="n"/>
      <c r="I547" s="67" t="n"/>
      <c r="J547" s="67" t="n"/>
      <c r="K547" s="67" t="n"/>
      <c r="L547" s="67" t="n"/>
      <c r="M547" s="64" t="n"/>
      <c r="N547" s="66" t="n"/>
      <c r="O547" s="84">
        <f>IF(A547="","",IF(OR(C547="",D547=""),"Enter both dates",IF(D547&lt;C547,"To is before From",IF(COUNTIFS($P$5:$P$2004,P547,$C$5:$C$2004,"&lt;="&amp;D547,$D$5:$D$2004,"&gt;="&amp;C547)&gt;1,"Overlaps another row","OK"))))</f>
        <v/>
      </c>
      <c r="P547">
        <f>IF(A547="","",A547&amp;"|"&amp;IF(B547="","Standard",B547))</f>
        <v/>
      </c>
      <c r="Q547">
        <f>IF(AND(A547&lt;&gt;"",A547='Firm Search'!$C$7),COUNTIF($A$5:A547,'Firm Search'!$C$7),"")</f>
        <v/>
      </c>
    </row>
    <row r="548">
      <c r="A548" s="64" t="n"/>
      <c r="B548" s="64" t="n"/>
      <c r="C548" s="66" t="n"/>
      <c r="D548" s="66" t="n"/>
      <c r="E548" s="67" t="n"/>
      <c r="F548" s="67" t="n"/>
      <c r="G548" s="67" t="n"/>
      <c r="H548" s="67" t="n"/>
      <c r="I548" s="67" t="n"/>
      <c r="J548" s="67" t="n"/>
      <c r="K548" s="67" t="n"/>
      <c r="L548" s="67" t="n"/>
      <c r="M548" s="64" t="n"/>
      <c r="N548" s="66" t="n"/>
      <c r="O548" s="84">
        <f>IF(A548="","",IF(OR(C548="",D548=""),"Enter both dates",IF(D548&lt;C548,"To is before From",IF(COUNTIFS($P$5:$P$2004,P548,$C$5:$C$2004,"&lt;="&amp;D548,$D$5:$D$2004,"&gt;="&amp;C548)&gt;1,"Overlaps another row","OK"))))</f>
        <v/>
      </c>
      <c r="P548">
        <f>IF(A548="","",A548&amp;"|"&amp;IF(B548="","Standard",B548))</f>
        <v/>
      </c>
      <c r="Q548">
        <f>IF(AND(A548&lt;&gt;"",A548='Firm Search'!$C$7),COUNTIF($A$5:A548,'Firm Search'!$C$7),"")</f>
        <v/>
      </c>
    </row>
    <row r="549">
      <c r="A549" s="64" t="n"/>
      <c r="B549" s="64" t="n"/>
      <c r="C549" s="66" t="n"/>
      <c r="D549" s="66" t="n"/>
      <c r="E549" s="67" t="n"/>
      <c r="F549" s="67" t="n"/>
      <c r="G549" s="67" t="n"/>
      <c r="H549" s="67" t="n"/>
      <c r="I549" s="67" t="n"/>
      <c r="J549" s="67" t="n"/>
      <c r="K549" s="67" t="n"/>
      <c r="L549" s="67" t="n"/>
      <c r="M549" s="64" t="n"/>
      <c r="N549" s="66" t="n"/>
      <c r="O549" s="84">
        <f>IF(A549="","",IF(OR(C549="",D549=""),"Enter both dates",IF(D549&lt;C549,"To is before From",IF(COUNTIFS($P$5:$P$2004,P549,$C$5:$C$2004,"&lt;="&amp;D549,$D$5:$D$2004,"&gt;="&amp;C549)&gt;1,"Overlaps another row","OK"))))</f>
        <v/>
      </c>
      <c r="P549">
        <f>IF(A549="","",A549&amp;"|"&amp;IF(B549="","Standard",B549))</f>
        <v/>
      </c>
      <c r="Q549">
        <f>IF(AND(A549&lt;&gt;"",A549='Firm Search'!$C$7),COUNTIF($A$5:A549,'Firm Search'!$C$7),"")</f>
        <v/>
      </c>
    </row>
    <row r="550">
      <c r="A550" s="64" t="n"/>
      <c r="B550" s="64" t="n"/>
      <c r="C550" s="66" t="n"/>
      <c r="D550" s="66" t="n"/>
      <c r="E550" s="67" t="n"/>
      <c r="F550" s="67" t="n"/>
      <c r="G550" s="67" t="n"/>
      <c r="H550" s="67" t="n"/>
      <c r="I550" s="67" t="n"/>
      <c r="J550" s="67" t="n"/>
      <c r="K550" s="67" t="n"/>
      <c r="L550" s="67" t="n"/>
      <c r="M550" s="64" t="n"/>
      <c r="N550" s="66" t="n"/>
      <c r="O550" s="84">
        <f>IF(A550="","",IF(OR(C550="",D550=""),"Enter both dates",IF(D550&lt;C550,"To is before From",IF(COUNTIFS($P$5:$P$2004,P550,$C$5:$C$2004,"&lt;="&amp;D550,$D$5:$D$2004,"&gt;="&amp;C550)&gt;1,"Overlaps another row","OK"))))</f>
        <v/>
      </c>
      <c r="P550">
        <f>IF(A550="","",A550&amp;"|"&amp;IF(B550="","Standard",B550))</f>
        <v/>
      </c>
      <c r="Q550">
        <f>IF(AND(A550&lt;&gt;"",A550='Firm Search'!$C$7),COUNTIF($A$5:A550,'Firm Search'!$C$7),"")</f>
        <v/>
      </c>
    </row>
    <row r="551">
      <c r="A551" s="64" t="n"/>
      <c r="B551" s="64" t="n"/>
      <c r="C551" s="66" t="n"/>
      <c r="D551" s="66" t="n"/>
      <c r="E551" s="67" t="n"/>
      <c r="F551" s="67" t="n"/>
      <c r="G551" s="67" t="n"/>
      <c r="H551" s="67" t="n"/>
      <c r="I551" s="67" t="n"/>
      <c r="J551" s="67" t="n"/>
      <c r="K551" s="67" t="n"/>
      <c r="L551" s="67" t="n"/>
      <c r="M551" s="64" t="n"/>
      <c r="N551" s="66" t="n"/>
      <c r="O551" s="84">
        <f>IF(A551="","",IF(OR(C551="",D551=""),"Enter both dates",IF(D551&lt;C551,"To is before From",IF(COUNTIFS($P$5:$P$2004,P551,$C$5:$C$2004,"&lt;="&amp;D551,$D$5:$D$2004,"&gt;="&amp;C551)&gt;1,"Overlaps another row","OK"))))</f>
        <v/>
      </c>
      <c r="P551">
        <f>IF(A551="","",A551&amp;"|"&amp;IF(B551="","Standard",B551))</f>
        <v/>
      </c>
      <c r="Q551">
        <f>IF(AND(A551&lt;&gt;"",A551='Firm Search'!$C$7),COUNTIF($A$5:A551,'Firm Search'!$C$7),"")</f>
        <v/>
      </c>
    </row>
    <row r="552">
      <c r="A552" s="64" t="n"/>
      <c r="B552" s="64" t="n"/>
      <c r="C552" s="66" t="n"/>
      <c r="D552" s="66" t="n"/>
      <c r="E552" s="67" t="n"/>
      <c r="F552" s="67" t="n"/>
      <c r="G552" s="67" t="n"/>
      <c r="H552" s="67" t="n"/>
      <c r="I552" s="67" t="n"/>
      <c r="J552" s="67" t="n"/>
      <c r="K552" s="67" t="n"/>
      <c r="L552" s="67" t="n"/>
      <c r="M552" s="64" t="n"/>
      <c r="N552" s="66" t="n"/>
      <c r="O552" s="84">
        <f>IF(A552="","",IF(OR(C552="",D552=""),"Enter both dates",IF(D552&lt;C552,"To is before From",IF(COUNTIFS($P$5:$P$2004,P552,$C$5:$C$2004,"&lt;="&amp;D552,$D$5:$D$2004,"&gt;="&amp;C552)&gt;1,"Overlaps another row","OK"))))</f>
        <v/>
      </c>
      <c r="P552">
        <f>IF(A552="","",A552&amp;"|"&amp;IF(B552="","Standard",B552))</f>
        <v/>
      </c>
      <c r="Q552">
        <f>IF(AND(A552&lt;&gt;"",A552='Firm Search'!$C$7),COUNTIF($A$5:A552,'Firm Search'!$C$7),"")</f>
        <v/>
      </c>
    </row>
    <row r="553">
      <c r="A553" s="64" t="n"/>
      <c r="B553" s="64" t="n"/>
      <c r="C553" s="66" t="n"/>
      <c r="D553" s="66" t="n"/>
      <c r="E553" s="67" t="n"/>
      <c r="F553" s="67" t="n"/>
      <c r="G553" s="67" t="n"/>
      <c r="H553" s="67" t="n"/>
      <c r="I553" s="67" t="n"/>
      <c r="J553" s="67" t="n"/>
      <c r="K553" s="67" t="n"/>
      <c r="L553" s="67" t="n"/>
      <c r="M553" s="64" t="n"/>
      <c r="N553" s="66" t="n"/>
      <c r="O553" s="84">
        <f>IF(A553="","",IF(OR(C553="",D553=""),"Enter both dates",IF(D553&lt;C553,"To is before From",IF(COUNTIFS($P$5:$P$2004,P553,$C$5:$C$2004,"&lt;="&amp;D553,$D$5:$D$2004,"&gt;="&amp;C553)&gt;1,"Overlaps another row","OK"))))</f>
        <v/>
      </c>
      <c r="P553">
        <f>IF(A553="","",A553&amp;"|"&amp;IF(B553="","Standard",B553))</f>
        <v/>
      </c>
      <c r="Q553">
        <f>IF(AND(A553&lt;&gt;"",A553='Firm Search'!$C$7),COUNTIF($A$5:A553,'Firm Search'!$C$7),"")</f>
        <v/>
      </c>
    </row>
    <row r="554">
      <c r="A554" s="64" t="n"/>
      <c r="B554" s="64" t="n"/>
      <c r="C554" s="66" t="n"/>
      <c r="D554" s="66" t="n"/>
      <c r="E554" s="67" t="n"/>
      <c r="F554" s="67" t="n"/>
      <c r="G554" s="67" t="n"/>
      <c r="H554" s="67" t="n"/>
      <c r="I554" s="67" t="n"/>
      <c r="J554" s="67" t="n"/>
      <c r="K554" s="67" t="n"/>
      <c r="L554" s="67" t="n"/>
      <c r="M554" s="64" t="n"/>
      <c r="N554" s="66" t="n"/>
      <c r="O554" s="84">
        <f>IF(A554="","",IF(OR(C554="",D554=""),"Enter both dates",IF(D554&lt;C554,"To is before From",IF(COUNTIFS($P$5:$P$2004,P554,$C$5:$C$2004,"&lt;="&amp;D554,$D$5:$D$2004,"&gt;="&amp;C554)&gt;1,"Overlaps another row","OK"))))</f>
        <v/>
      </c>
      <c r="P554">
        <f>IF(A554="","",A554&amp;"|"&amp;IF(B554="","Standard",B554))</f>
        <v/>
      </c>
      <c r="Q554">
        <f>IF(AND(A554&lt;&gt;"",A554='Firm Search'!$C$7),COUNTIF($A$5:A554,'Firm Search'!$C$7),"")</f>
        <v/>
      </c>
    </row>
    <row r="555">
      <c r="A555" s="64" t="n"/>
      <c r="B555" s="64" t="n"/>
      <c r="C555" s="66" t="n"/>
      <c r="D555" s="66" t="n"/>
      <c r="E555" s="67" t="n"/>
      <c r="F555" s="67" t="n"/>
      <c r="G555" s="67" t="n"/>
      <c r="H555" s="67" t="n"/>
      <c r="I555" s="67" t="n"/>
      <c r="J555" s="67" t="n"/>
      <c r="K555" s="67" t="n"/>
      <c r="L555" s="67" t="n"/>
      <c r="M555" s="64" t="n"/>
      <c r="N555" s="66" t="n"/>
      <c r="O555" s="84">
        <f>IF(A555="","",IF(OR(C555="",D555=""),"Enter both dates",IF(D555&lt;C555,"To is before From",IF(COUNTIFS($P$5:$P$2004,P555,$C$5:$C$2004,"&lt;="&amp;D555,$D$5:$D$2004,"&gt;="&amp;C555)&gt;1,"Overlaps another row","OK"))))</f>
        <v/>
      </c>
      <c r="P555">
        <f>IF(A555="","",A555&amp;"|"&amp;IF(B555="","Standard",B555))</f>
        <v/>
      </c>
      <c r="Q555">
        <f>IF(AND(A555&lt;&gt;"",A555='Firm Search'!$C$7),COUNTIF($A$5:A555,'Firm Search'!$C$7),"")</f>
        <v/>
      </c>
    </row>
    <row r="556">
      <c r="A556" s="64" t="n"/>
      <c r="B556" s="64" t="n"/>
      <c r="C556" s="66" t="n"/>
      <c r="D556" s="66" t="n"/>
      <c r="E556" s="67" t="n"/>
      <c r="F556" s="67" t="n"/>
      <c r="G556" s="67" t="n"/>
      <c r="H556" s="67" t="n"/>
      <c r="I556" s="67" t="n"/>
      <c r="J556" s="67" t="n"/>
      <c r="K556" s="67" t="n"/>
      <c r="L556" s="67" t="n"/>
      <c r="M556" s="64" t="n"/>
      <c r="N556" s="66" t="n"/>
      <c r="O556" s="84">
        <f>IF(A556="","",IF(OR(C556="",D556=""),"Enter both dates",IF(D556&lt;C556,"To is before From",IF(COUNTIFS($P$5:$P$2004,P556,$C$5:$C$2004,"&lt;="&amp;D556,$D$5:$D$2004,"&gt;="&amp;C556)&gt;1,"Overlaps another row","OK"))))</f>
        <v/>
      </c>
      <c r="P556">
        <f>IF(A556="","",A556&amp;"|"&amp;IF(B556="","Standard",B556))</f>
        <v/>
      </c>
      <c r="Q556">
        <f>IF(AND(A556&lt;&gt;"",A556='Firm Search'!$C$7),COUNTIF($A$5:A556,'Firm Search'!$C$7),"")</f>
        <v/>
      </c>
    </row>
    <row r="557">
      <c r="A557" s="64" t="n"/>
      <c r="B557" s="64" t="n"/>
      <c r="C557" s="66" t="n"/>
      <c r="D557" s="66" t="n"/>
      <c r="E557" s="67" t="n"/>
      <c r="F557" s="67" t="n"/>
      <c r="G557" s="67" t="n"/>
      <c r="H557" s="67" t="n"/>
      <c r="I557" s="67" t="n"/>
      <c r="J557" s="67" t="n"/>
      <c r="K557" s="67" t="n"/>
      <c r="L557" s="67" t="n"/>
      <c r="M557" s="64" t="n"/>
      <c r="N557" s="66" t="n"/>
      <c r="O557" s="84">
        <f>IF(A557="","",IF(OR(C557="",D557=""),"Enter both dates",IF(D557&lt;C557,"To is before From",IF(COUNTIFS($P$5:$P$2004,P557,$C$5:$C$2004,"&lt;="&amp;D557,$D$5:$D$2004,"&gt;="&amp;C557)&gt;1,"Overlaps another row","OK"))))</f>
        <v/>
      </c>
      <c r="P557">
        <f>IF(A557="","",A557&amp;"|"&amp;IF(B557="","Standard",B557))</f>
        <v/>
      </c>
      <c r="Q557">
        <f>IF(AND(A557&lt;&gt;"",A557='Firm Search'!$C$7),COUNTIF($A$5:A557,'Firm Search'!$C$7),"")</f>
        <v/>
      </c>
    </row>
    <row r="558">
      <c r="A558" s="64" t="n"/>
      <c r="B558" s="64" t="n"/>
      <c r="C558" s="66" t="n"/>
      <c r="D558" s="66" t="n"/>
      <c r="E558" s="67" t="n"/>
      <c r="F558" s="67" t="n"/>
      <c r="G558" s="67" t="n"/>
      <c r="H558" s="67" t="n"/>
      <c r="I558" s="67" t="n"/>
      <c r="J558" s="67" t="n"/>
      <c r="K558" s="67" t="n"/>
      <c r="L558" s="67" t="n"/>
      <c r="M558" s="64" t="n"/>
      <c r="N558" s="66" t="n"/>
      <c r="O558" s="84">
        <f>IF(A558="","",IF(OR(C558="",D558=""),"Enter both dates",IF(D558&lt;C558,"To is before From",IF(COUNTIFS($P$5:$P$2004,P558,$C$5:$C$2004,"&lt;="&amp;D558,$D$5:$D$2004,"&gt;="&amp;C558)&gt;1,"Overlaps another row","OK"))))</f>
        <v/>
      </c>
      <c r="P558">
        <f>IF(A558="","",A558&amp;"|"&amp;IF(B558="","Standard",B558))</f>
        <v/>
      </c>
      <c r="Q558">
        <f>IF(AND(A558&lt;&gt;"",A558='Firm Search'!$C$7),COUNTIF($A$5:A558,'Firm Search'!$C$7),"")</f>
        <v/>
      </c>
    </row>
    <row r="559">
      <c r="A559" s="64" t="n"/>
      <c r="B559" s="64" t="n"/>
      <c r="C559" s="66" t="n"/>
      <c r="D559" s="66" t="n"/>
      <c r="E559" s="67" t="n"/>
      <c r="F559" s="67" t="n"/>
      <c r="G559" s="67" t="n"/>
      <c r="H559" s="67" t="n"/>
      <c r="I559" s="67" t="n"/>
      <c r="J559" s="67" t="n"/>
      <c r="K559" s="67" t="n"/>
      <c r="L559" s="67" t="n"/>
      <c r="M559" s="64" t="n"/>
      <c r="N559" s="66" t="n"/>
      <c r="O559" s="84">
        <f>IF(A559="","",IF(OR(C559="",D559=""),"Enter both dates",IF(D559&lt;C559,"To is before From",IF(COUNTIFS($P$5:$P$2004,P559,$C$5:$C$2004,"&lt;="&amp;D559,$D$5:$D$2004,"&gt;="&amp;C559)&gt;1,"Overlaps another row","OK"))))</f>
        <v/>
      </c>
      <c r="P559">
        <f>IF(A559="","",A559&amp;"|"&amp;IF(B559="","Standard",B559))</f>
        <v/>
      </c>
      <c r="Q559">
        <f>IF(AND(A559&lt;&gt;"",A559='Firm Search'!$C$7),COUNTIF($A$5:A559,'Firm Search'!$C$7),"")</f>
        <v/>
      </c>
    </row>
    <row r="560">
      <c r="A560" s="64" t="n"/>
      <c r="B560" s="64" t="n"/>
      <c r="C560" s="66" t="n"/>
      <c r="D560" s="66" t="n"/>
      <c r="E560" s="67" t="n"/>
      <c r="F560" s="67" t="n"/>
      <c r="G560" s="67" t="n"/>
      <c r="H560" s="67" t="n"/>
      <c r="I560" s="67" t="n"/>
      <c r="J560" s="67" t="n"/>
      <c r="K560" s="67" t="n"/>
      <c r="L560" s="67" t="n"/>
      <c r="M560" s="64" t="n"/>
      <c r="N560" s="66" t="n"/>
      <c r="O560" s="84">
        <f>IF(A560="","",IF(OR(C560="",D560=""),"Enter both dates",IF(D560&lt;C560,"To is before From",IF(COUNTIFS($P$5:$P$2004,P560,$C$5:$C$2004,"&lt;="&amp;D560,$D$5:$D$2004,"&gt;="&amp;C560)&gt;1,"Overlaps another row","OK"))))</f>
        <v/>
      </c>
      <c r="P560">
        <f>IF(A560="","",A560&amp;"|"&amp;IF(B560="","Standard",B560))</f>
        <v/>
      </c>
      <c r="Q560">
        <f>IF(AND(A560&lt;&gt;"",A560='Firm Search'!$C$7),COUNTIF($A$5:A560,'Firm Search'!$C$7),"")</f>
        <v/>
      </c>
    </row>
    <row r="561">
      <c r="A561" s="64" t="n"/>
      <c r="B561" s="64" t="n"/>
      <c r="C561" s="66" t="n"/>
      <c r="D561" s="66" t="n"/>
      <c r="E561" s="67" t="n"/>
      <c r="F561" s="67" t="n"/>
      <c r="G561" s="67" t="n"/>
      <c r="H561" s="67" t="n"/>
      <c r="I561" s="67" t="n"/>
      <c r="J561" s="67" t="n"/>
      <c r="K561" s="67" t="n"/>
      <c r="L561" s="67" t="n"/>
      <c r="M561" s="64" t="n"/>
      <c r="N561" s="66" t="n"/>
      <c r="O561" s="84">
        <f>IF(A561="","",IF(OR(C561="",D561=""),"Enter both dates",IF(D561&lt;C561,"To is before From",IF(COUNTIFS($P$5:$P$2004,P561,$C$5:$C$2004,"&lt;="&amp;D561,$D$5:$D$2004,"&gt;="&amp;C561)&gt;1,"Overlaps another row","OK"))))</f>
        <v/>
      </c>
      <c r="P561">
        <f>IF(A561="","",A561&amp;"|"&amp;IF(B561="","Standard",B561))</f>
        <v/>
      </c>
      <c r="Q561">
        <f>IF(AND(A561&lt;&gt;"",A561='Firm Search'!$C$7),COUNTIF($A$5:A561,'Firm Search'!$C$7),"")</f>
        <v/>
      </c>
    </row>
    <row r="562">
      <c r="A562" s="64" t="n"/>
      <c r="B562" s="64" t="n"/>
      <c r="C562" s="66" t="n"/>
      <c r="D562" s="66" t="n"/>
      <c r="E562" s="67" t="n"/>
      <c r="F562" s="67" t="n"/>
      <c r="G562" s="67" t="n"/>
      <c r="H562" s="67" t="n"/>
      <c r="I562" s="67" t="n"/>
      <c r="J562" s="67" t="n"/>
      <c r="K562" s="67" t="n"/>
      <c r="L562" s="67" t="n"/>
      <c r="M562" s="64" t="n"/>
      <c r="N562" s="66" t="n"/>
      <c r="O562" s="84">
        <f>IF(A562="","",IF(OR(C562="",D562=""),"Enter both dates",IF(D562&lt;C562,"To is before From",IF(COUNTIFS($P$5:$P$2004,P562,$C$5:$C$2004,"&lt;="&amp;D562,$D$5:$D$2004,"&gt;="&amp;C562)&gt;1,"Overlaps another row","OK"))))</f>
        <v/>
      </c>
      <c r="P562">
        <f>IF(A562="","",A562&amp;"|"&amp;IF(B562="","Standard",B562))</f>
        <v/>
      </c>
      <c r="Q562">
        <f>IF(AND(A562&lt;&gt;"",A562='Firm Search'!$C$7),COUNTIF($A$5:A562,'Firm Search'!$C$7),"")</f>
        <v/>
      </c>
    </row>
    <row r="563">
      <c r="A563" s="64" t="n"/>
      <c r="B563" s="64" t="n"/>
      <c r="C563" s="66" t="n"/>
      <c r="D563" s="66" t="n"/>
      <c r="E563" s="67" t="n"/>
      <c r="F563" s="67" t="n"/>
      <c r="G563" s="67" t="n"/>
      <c r="H563" s="67" t="n"/>
      <c r="I563" s="67" t="n"/>
      <c r="J563" s="67" t="n"/>
      <c r="K563" s="67" t="n"/>
      <c r="L563" s="67" t="n"/>
      <c r="M563" s="64" t="n"/>
      <c r="N563" s="66" t="n"/>
      <c r="O563" s="84">
        <f>IF(A563="","",IF(OR(C563="",D563=""),"Enter both dates",IF(D563&lt;C563,"To is before From",IF(COUNTIFS($P$5:$P$2004,P563,$C$5:$C$2004,"&lt;="&amp;D563,$D$5:$D$2004,"&gt;="&amp;C563)&gt;1,"Overlaps another row","OK"))))</f>
        <v/>
      </c>
      <c r="P563">
        <f>IF(A563="","",A563&amp;"|"&amp;IF(B563="","Standard",B563))</f>
        <v/>
      </c>
      <c r="Q563">
        <f>IF(AND(A563&lt;&gt;"",A563='Firm Search'!$C$7),COUNTIF($A$5:A563,'Firm Search'!$C$7),"")</f>
        <v/>
      </c>
    </row>
    <row r="564">
      <c r="A564" s="64" t="n"/>
      <c r="B564" s="64" t="n"/>
      <c r="C564" s="66" t="n"/>
      <c r="D564" s="66" t="n"/>
      <c r="E564" s="67" t="n"/>
      <c r="F564" s="67" t="n"/>
      <c r="G564" s="67" t="n"/>
      <c r="H564" s="67" t="n"/>
      <c r="I564" s="67" t="n"/>
      <c r="J564" s="67" t="n"/>
      <c r="K564" s="67" t="n"/>
      <c r="L564" s="67" t="n"/>
      <c r="M564" s="64" t="n"/>
      <c r="N564" s="66" t="n"/>
      <c r="O564" s="84">
        <f>IF(A564="","",IF(OR(C564="",D564=""),"Enter both dates",IF(D564&lt;C564,"To is before From",IF(COUNTIFS($P$5:$P$2004,P564,$C$5:$C$2004,"&lt;="&amp;D564,$D$5:$D$2004,"&gt;="&amp;C564)&gt;1,"Overlaps another row","OK"))))</f>
        <v/>
      </c>
      <c r="P564">
        <f>IF(A564="","",A564&amp;"|"&amp;IF(B564="","Standard",B564))</f>
        <v/>
      </c>
      <c r="Q564">
        <f>IF(AND(A564&lt;&gt;"",A564='Firm Search'!$C$7),COUNTIF($A$5:A564,'Firm Search'!$C$7),"")</f>
        <v/>
      </c>
    </row>
    <row r="565">
      <c r="A565" s="64" t="n"/>
      <c r="B565" s="64" t="n"/>
      <c r="C565" s="66" t="n"/>
      <c r="D565" s="66" t="n"/>
      <c r="E565" s="67" t="n"/>
      <c r="F565" s="67" t="n"/>
      <c r="G565" s="67" t="n"/>
      <c r="H565" s="67" t="n"/>
      <c r="I565" s="67" t="n"/>
      <c r="J565" s="67" t="n"/>
      <c r="K565" s="67" t="n"/>
      <c r="L565" s="67" t="n"/>
      <c r="M565" s="64" t="n"/>
      <c r="N565" s="66" t="n"/>
      <c r="O565" s="84">
        <f>IF(A565="","",IF(OR(C565="",D565=""),"Enter both dates",IF(D565&lt;C565,"To is before From",IF(COUNTIFS($P$5:$P$2004,P565,$C$5:$C$2004,"&lt;="&amp;D565,$D$5:$D$2004,"&gt;="&amp;C565)&gt;1,"Overlaps another row","OK"))))</f>
        <v/>
      </c>
      <c r="P565">
        <f>IF(A565="","",A565&amp;"|"&amp;IF(B565="","Standard",B565))</f>
        <v/>
      </c>
      <c r="Q565">
        <f>IF(AND(A565&lt;&gt;"",A565='Firm Search'!$C$7),COUNTIF($A$5:A565,'Firm Search'!$C$7),"")</f>
        <v/>
      </c>
    </row>
    <row r="566">
      <c r="A566" s="64" t="n"/>
      <c r="B566" s="64" t="n"/>
      <c r="C566" s="66" t="n"/>
      <c r="D566" s="66" t="n"/>
      <c r="E566" s="67" t="n"/>
      <c r="F566" s="67" t="n"/>
      <c r="G566" s="67" t="n"/>
      <c r="H566" s="67" t="n"/>
      <c r="I566" s="67" t="n"/>
      <c r="J566" s="67" t="n"/>
      <c r="K566" s="67" t="n"/>
      <c r="L566" s="67" t="n"/>
      <c r="M566" s="64" t="n"/>
      <c r="N566" s="66" t="n"/>
      <c r="O566" s="84">
        <f>IF(A566="","",IF(OR(C566="",D566=""),"Enter both dates",IF(D566&lt;C566,"To is before From",IF(COUNTIFS($P$5:$P$2004,P566,$C$5:$C$2004,"&lt;="&amp;D566,$D$5:$D$2004,"&gt;="&amp;C566)&gt;1,"Overlaps another row","OK"))))</f>
        <v/>
      </c>
      <c r="P566">
        <f>IF(A566="","",A566&amp;"|"&amp;IF(B566="","Standard",B566))</f>
        <v/>
      </c>
      <c r="Q566">
        <f>IF(AND(A566&lt;&gt;"",A566='Firm Search'!$C$7),COUNTIF($A$5:A566,'Firm Search'!$C$7),"")</f>
        <v/>
      </c>
    </row>
    <row r="567">
      <c r="A567" s="64" t="n"/>
      <c r="B567" s="64" t="n"/>
      <c r="C567" s="66" t="n"/>
      <c r="D567" s="66" t="n"/>
      <c r="E567" s="67" t="n"/>
      <c r="F567" s="67" t="n"/>
      <c r="G567" s="67" t="n"/>
      <c r="H567" s="67" t="n"/>
      <c r="I567" s="67" t="n"/>
      <c r="J567" s="67" t="n"/>
      <c r="K567" s="67" t="n"/>
      <c r="L567" s="67" t="n"/>
      <c r="M567" s="64" t="n"/>
      <c r="N567" s="66" t="n"/>
      <c r="O567" s="84">
        <f>IF(A567="","",IF(OR(C567="",D567=""),"Enter both dates",IF(D567&lt;C567,"To is before From",IF(COUNTIFS($P$5:$P$2004,P567,$C$5:$C$2004,"&lt;="&amp;D567,$D$5:$D$2004,"&gt;="&amp;C567)&gt;1,"Overlaps another row","OK"))))</f>
        <v/>
      </c>
      <c r="P567">
        <f>IF(A567="","",A567&amp;"|"&amp;IF(B567="","Standard",B567))</f>
        <v/>
      </c>
      <c r="Q567">
        <f>IF(AND(A567&lt;&gt;"",A567='Firm Search'!$C$7),COUNTIF($A$5:A567,'Firm Search'!$C$7),"")</f>
        <v/>
      </c>
    </row>
    <row r="568">
      <c r="A568" s="64" t="n"/>
      <c r="B568" s="64" t="n"/>
      <c r="C568" s="66" t="n"/>
      <c r="D568" s="66" t="n"/>
      <c r="E568" s="67" t="n"/>
      <c r="F568" s="67" t="n"/>
      <c r="G568" s="67" t="n"/>
      <c r="H568" s="67" t="n"/>
      <c r="I568" s="67" t="n"/>
      <c r="J568" s="67" t="n"/>
      <c r="K568" s="67" t="n"/>
      <c r="L568" s="67" t="n"/>
      <c r="M568" s="64" t="n"/>
      <c r="N568" s="66" t="n"/>
      <c r="O568" s="84">
        <f>IF(A568="","",IF(OR(C568="",D568=""),"Enter both dates",IF(D568&lt;C568,"To is before From",IF(COUNTIFS($P$5:$P$2004,P568,$C$5:$C$2004,"&lt;="&amp;D568,$D$5:$D$2004,"&gt;="&amp;C568)&gt;1,"Overlaps another row","OK"))))</f>
        <v/>
      </c>
      <c r="P568">
        <f>IF(A568="","",A568&amp;"|"&amp;IF(B568="","Standard",B568))</f>
        <v/>
      </c>
      <c r="Q568">
        <f>IF(AND(A568&lt;&gt;"",A568='Firm Search'!$C$7),COUNTIF($A$5:A568,'Firm Search'!$C$7),"")</f>
        <v/>
      </c>
    </row>
    <row r="569">
      <c r="A569" s="64" t="n"/>
      <c r="B569" s="64" t="n"/>
      <c r="C569" s="66" t="n"/>
      <c r="D569" s="66" t="n"/>
      <c r="E569" s="67" t="n"/>
      <c r="F569" s="67" t="n"/>
      <c r="G569" s="67" t="n"/>
      <c r="H569" s="67" t="n"/>
      <c r="I569" s="67" t="n"/>
      <c r="J569" s="67" t="n"/>
      <c r="K569" s="67" t="n"/>
      <c r="L569" s="67" t="n"/>
      <c r="M569" s="64" t="n"/>
      <c r="N569" s="66" t="n"/>
      <c r="O569" s="84">
        <f>IF(A569="","",IF(OR(C569="",D569=""),"Enter both dates",IF(D569&lt;C569,"To is before From",IF(COUNTIFS($P$5:$P$2004,P569,$C$5:$C$2004,"&lt;="&amp;D569,$D$5:$D$2004,"&gt;="&amp;C569)&gt;1,"Overlaps another row","OK"))))</f>
        <v/>
      </c>
      <c r="P569">
        <f>IF(A569="","",A569&amp;"|"&amp;IF(B569="","Standard",B569))</f>
        <v/>
      </c>
      <c r="Q569">
        <f>IF(AND(A569&lt;&gt;"",A569='Firm Search'!$C$7),COUNTIF($A$5:A569,'Firm Search'!$C$7),"")</f>
        <v/>
      </c>
    </row>
    <row r="570">
      <c r="A570" s="64" t="n"/>
      <c r="B570" s="64" t="n"/>
      <c r="C570" s="66" t="n"/>
      <c r="D570" s="66" t="n"/>
      <c r="E570" s="67" t="n"/>
      <c r="F570" s="67" t="n"/>
      <c r="G570" s="67" t="n"/>
      <c r="H570" s="67" t="n"/>
      <c r="I570" s="67" t="n"/>
      <c r="J570" s="67" t="n"/>
      <c r="K570" s="67" t="n"/>
      <c r="L570" s="67" t="n"/>
      <c r="M570" s="64" t="n"/>
      <c r="N570" s="66" t="n"/>
      <c r="O570" s="84">
        <f>IF(A570="","",IF(OR(C570="",D570=""),"Enter both dates",IF(D570&lt;C570,"To is before From",IF(COUNTIFS($P$5:$P$2004,P570,$C$5:$C$2004,"&lt;="&amp;D570,$D$5:$D$2004,"&gt;="&amp;C570)&gt;1,"Overlaps another row","OK"))))</f>
        <v/>
      </c>
      <c r="P570">
        <f>IF(A570="","",A570&amp;"|"&amp;IF(B570="","Standard",B570))</f>
        <v/>
      </c>
      <c r="Q570">
        <f>IF(AND(A570&lt;&gt;"",A570='Firm Search'!$C$7),COUNTIF($A$5:A570,'Firm Search'!$C$7),"")</f>
        <v/>
      </c>
    </row>
    <row r="571">
      <c r="A571" s="64" t="n"/>
      <c r="B571" s="64" t="n"/>
      <c r="C571" s="66" t="n"/>
      <c r="D571" s="66" t="n"/>
      <c r="E571" s="67" t="n"/>
      <c r="F571" s="67" t="n"/>
      <c r="G571" s="67" t="n"/>
      <c r="H571" s="67" t="n"/>
      <c r="I571" s="67" t="n"/>
      <c r="J571" s="67" t="n"/>
      <c r="K571" s="67" t="n"/>
      <c r="L571" s="67" t="n"/>
      <c r="M571" s="64" t="n"/>
      <c r="N571" s="66" t="n"/>
      <c r="O571" s="84">
        <f>IF(A571="","",IF(OR(C571="",D571=""),"Enter both dates",IF(D571&lt;C571,"To is before From",IF(COUNTIFS($P$5:$P$2004,P571,$C$5:$C$2004,"&lt;="&amp;D571,$D$5:$D$2004,"&gt;="&amp;C571)&gt;1,"Overlaps another row","OK"))))</f>
        <v/>
      </c>
      <c r="P571">
        <f>IF(A571="","",A571&amp;"|"&amp;IF(B571="","Standard",B571))</f>
        <v/>
      </c>
      <c r="Q571">
        <f>IF(AND(A571&lt;&gt;"",A571='Firm Search'!$C$7),COUNTIF($A$5:A571,'Firm Search'!$C$7),"")</f>
        <v/>
      </c>
    </row>
    <row r="572">
      <c r="A572" s="64" t="n"/>
      <c r="B572" s="64" t="n"/>
      <c r="C572" s="66" t="n"/>
      <c r="D572" s="66" t="n"/>
      <c r="E572" s="67" t="n"/>
      <c r="F572" s="67" t="n"/>
      <c r="G572" s="67" t="n"/>
      <c r="H572" s="67" t="n"/>
      <c r="I572" s="67" t="n"/>
      <c r="J572" s="67" t="n"/>
      <c r="K572" s="67" t="n"/>
      <c r="L572" s="67" t="n"/>
      <c r="M572" s="64" t="n"/>
      <c r="N572" s="66" t="n"/>
      <c r="O572" s="84">
        <f>IF(A572="","",IF(OR(C572="",D572=""),"Enter both dates",IF(D572&lt;C572,"To is before From",IF(COUNTIFS($P$5:$P$2004,P572,$C$5:$C$2004,"&lt;="&amp;D572,$D$5:$D$2004,"&gt;="&amp;C572)&gt;1,"Overlaps another row","OK"))))</f>
        <v/>
      </c>
      <c r="P572">
        <f>IF(A572="","",A572&amp;"|"&amp;IF(B572="","Standard",B572))</f>
        <v/>
      </c>
      <c r="Q572">
        <f>IF(AND(A572&lt;&gt;"",A572='Firm Search'!$C$7),COUNTIF($A$5:A572,'Firm Search'!$C$7),"")</f>
        <v/>
      </c>
    </row>
    <row r="573">
      <c r="A573" s="64" t="n"/>
      <c r="B573" s="64" t="n"/>
      <c r="C573" s="66" t="n"/>
      <c r="D573" s="66" t="n"/>
      <c r="E573" s="67" t="n"/>
      <c r="F573" s="67" t="n"/>
      <c r="G573" s="67" t="n"/>
      <c r="H573" s="67" t="n"/>
      <c r="I573" s="67" t="n"/>
      <c r="J573" s="67" t="n"/>
      <c r="K573" s="67" t="n"/>
      <c r="L573" s="67" t="n"/>
      <c r="M573" s="64" t="n"/>
      <c r="N573" s="66" t="n"/>
      <c r="O573" s="84">
        <f>IF(A573="","",IF(OR(C573="",D573=""),"Enter both dates",IF(D573&lt;C573,"To is before From",IF(COUNTIFS($P$5:$P$2004,P573,$C$5:$C$2004,"&lt;="&amp;D573,$D$5:$D$2004,"&gt;="&amp;C573)&gt;1,"Overlaps another row","OK"))))</f>
        <v/>
      </c>
      <c r="P573">
        <f>IF(A573="","",A573&amp;"|"&amp;IF(B573="","Standard",B573))</f>
        <v/>
      </c>
      <c r="Q573">
        <f>IF(AND(A573&lt;&gt;"",A573='Firm Search'!$C$7),COUNTIF($A$5:A573,'Firm Search'!$C$7),"")</f>
        <v/>
      </c>
    </row>
    <row r="574">
      <c r="A574" s="64" t="n"/>
      <c r="B574" s="64" t="n"/>
      <c r="C574" s="66" t="n"/>
      <c r="D574" s="66" t="n"/>
      <c r="E574" s="67" t="n"/>
      <c r="F574" s="67" t="n"/>
      <c r="G574" s="67" t="n"/>
      <c r="H574" s="67" t="n"/>
      <c r="I574" s="67" t="n"/>
      <c r="J574" s="67" t="n"/>
      <c r="K574" s="67" t="n"/>
      <c r="L574" s="67" t="n"/>
      <c r="M574" s="64" t="n"/>
      <c r="N574" s="66" t="n"/>
      <c r="O574" s="84">
        <f>IF(A574="","",IF(OR(C574="",D574=""),"Enter both dates",IF(D574&lt;C574,"To is before From",IF(COUNTIFS($P$5:$P$2004,P574,$C$5:$C$2004,"&lt;="&amp;D574,$D$5:$D$2004,"&gt;="&amp;C574)&gt;1,"Overlaps another row","OK"))))</f>
        <v/>
      </c>
      <c r="P574">
        <f>IF(A574="","",A574&amp;"|"&amp;IF(B574="","Standard",B574))</f>
        <v/>
      </c>
      <c r="Q574">
        <f>IF(AND(A574&lt;&gt;"",A574='Firm Search'!$C$7),COUNTIF($A$5:A574,'Firm Search'!$C$7),"")</f>
        <v/>
      </c>
    </row>
    <row r="575">
      <c r="A575" s="64" t="n"/>
      <c r="B575" s="64" t="n"/>
      <c r="C575" s="66" t="n"/>
      <c r="D575" s="66" t="n"/>
      <c r="E575" s="67" t="n"/>
      <c r="F575" s="67" t="n"/>
      <c r="G575" s="67" t="n"/>
      <c r="H575" s="67" t="n"/>
      <c r="I575" s="67" t="n"/>
      <c r="J575" s="67" t="n"/>
      <c r="K575" s="67" t="n"/>
      <c r="L575" s="67" t="n"/>
      <c r="M575" s="64" t="n"/>
      <c r="N575" s="66" t="n"/>
      <c r="O575" s="84">
        <f>IF(A575="","",IF(OR(C575="",D575=""),"Enter both dates",IF(D575&lt;C575,"To is before From",IF(COUNTIFS($P$5:$P$2004,P575,$C$5:$C$2004,"&lt;="&amp;D575,$D$5:$D$2004,"&gt;="&amp;C575)&gt;1,"Overlaps another row","OK"))))</f>
        <v/>
      </c>
      <c r="P575">
        <f>IF(A575="","",A575&amp;"|"&amp;IF(B575="","Standard",B575))</f>
        <v/>
      </c>
      <c r="Q575">
        <f>IF(AND(A575&lt;&gt;"",A575='Firm Search'!$C$7),COUNTIF($A$5:A575,'Firm Search'!$C$7),"")</f>
        <v/>
      </c>
    </row>
    <row r="576">
      <c r="A576" s="64" t="n"/>
      <c r="B576" s="64" t="n"/>
      <c r="C576" s="66" t="n"/>
      <c r="D576" s="66" t="n"/>
      <c r="E576" s="67" t="n"/>
      <c r="F576" s="67" t="n"/>
      <c r="G576" s="67" t="n"/>
      <c r="H576" s="67" t="n"/>
      <c r="I576" s="67" t="n"/>
      <c r="J576" s="67" t="n"/>
      <c r="K576" s="67" t="n"/>
      <c r="L576" s="67" t="n"/>
      <c r="M576" s="64" t="n"/>
      <c r="N576" s="66" t="n"/>
      <c r="O576" s="84">
        <f>IF(A576="","",IF(OR(C576="",D576=""),"Enter both dates",IF(D576&lt;C576,"To is before From",IF(COUNTIFS($P$5:$P$2004,P576,$C$5:$C$2004,"&lt;="&amp;D576,$D$5:$D$2004,"&gt;="&amp;C576)&gt;1,"Overlaps another row","OK"))))</f>
        <v/>
      </c>
      <c r="P576">
        <f>IF(A576="","",A576&amp;"|"&amp;IF(B576="","Standard",B576))</f>
        <v/>
      </c>
      <c r="Q576">
        <f>IF(AND(A576&lt;&gt;"",A576='Firm Search'!$C$7),COUNTIF($A$5:A576,'Firm Search'!$C$7),"")</f>
        <v/>
      </c>
    </row>
    <row r="577">
      <c r="A577" s="64" t="n"/>
      <c r="B577" s="64" t="n"/>
      <c r="C577" s="66" t="n"/>
      <c r="D577" s="66" t="n"/>
      <c r="E577" s="67" t="n"/>
      <c r="F577" s="67" t="n"/>
      <c r="G577" s="67" t="n"/>
      <c r="H577" s="67" t="n"/>
      <c r="I577" s="67" t="n"/>
      <c r="J577" s="67" t="n"/>
      <c r="K577" s="67" t="n"/>
      <c r="L577" s="67" t="n"/>
      <c r="M577" s="64" t="n"/>
      <c r="N577" s="66" t="n"/>
      <c r="O577" s="84">
        <f>IF(A577="","",IF(OR(C577="",D577=""),"Enter both dates",IF(D577&lt;C577,"To is before From",IF(COUNTIFS($P$5:$P$2004,P577,$C$5:$C$2004,"&lt;="&amp;D577,$D$5:$D$2004,"&gt;="&amp;C577)&gt;1,"Overlaps another row","OK"))))</f>
        <v/>
      </c>
      <c r="P577">
        <f>IF(A577="","",A577&amp;"|"&amp;IF(B577="","Standard",B577))</f>
        <v/>
      </c>
      <c r="Q577">
        <f>IF(AND(A577&lt;&gt;"",A577='Firm Search'!$C$7),COUNTIF($A$5:A577,'Firm Search'!$C$7),"")</f>
        <v/>
      </c>
    </row>
    <row r="578">
      <c r="A578" s="64" t="n"/>
      <c r="B578" s="64" t="n"/>
      <c r="C578" s="66" t="n"/>
      <c r="D578" s="66" t="n"/>
      <c r="E578" s="67" t="n"/>
      <c r="F578" s="67" t="n"/>
      <c r="G578" s="67" t="n"/>
      <c r="H578" s="67" t="n"/>
      <c r="I578" s="67" t="n"/>
      <c r="J578" s="67" t="n"/>
      <c r="K578" s="67" t="n"/>
      <c r="L578" s="67" t="n"/>
      <c r="M578" s="64" t="n"/>
      <c r="N578" s="66" t="n"/>
      <c r="O578" s="84">
        <f>IF(A578="","",IF(OR(C578="",D578=""),"Enter both dates",IF(D578&lt;C578,"To is before From",IF(COUNTIFS($P$5:$P$2004,P578,$C$5:$C$2004,"&lt;="&amp;D578,$D$5:$D$2004,"&gt;="&amp;C578)&gt;1,"Overlaps another row","OK"))))</f>
        <v/>
      </c>
      <c r="P578">
        <f>IF(A578="","",A578&amp;"|"&amp;IF(B578="","Standard",B578))</f>
        <v/>
      </c>
      <c r="Q578">
        <f>IF(AND(A578&lt;&gt;"",A578='Firm Search'!$C$7),COUNTIF($A$5:A578,'Firm Search'!$C$7),"")</f>
        <v/>
      </c>
    </row>
    <row r="579">
      <c r="A579" s="64" t="n"/>
      <c r="B579" s="64" t="n"/>
      <c r="C579" s="66" t="n"/>
      <c r="D579" s="66" t="n"/>
      <c r="E579" s="67" t="n"/>
      <c r="F579" s="67" t="n"/>
      <c r="G579" s="67" t="n"/>
      <c r="H579" s="67" t="n"/>
      <c r="I579" s="67" t="n"/>
      <c r="J579" s="67" t="n"/>
      <c r="K579" s="67" t="n"/>
      <c r="L579" s="67" t="n"/>
      <c r="M579" s="64" t="n"/>
      <c r="N579" s="66" t="n"/>
      <c r="O579" s="84">
        <f>IF(A579="","",IF(OR(C579="",D579=""),"Enter both dates",IF(D579&lt;C579,"To is before From",IF(COUNTIFS($P$5:$P$2004,P579,$C$5:$C$2004,"&lt;="&amp;D579,$D$5:$D$2004,"&gt;="&amp;C579)&gt;1,"Overlaps another row","OK"))))</f>
        <v/>
      </c>
      <c r="P579">
        <f>IF(A579="","",A579&amp;"|"&amp;IF(B579="","Standard",B579))</f>
        <v/>
      </c>
      <c r="Q579">
        <f>IF(AND(A579&lt;&gt;"",A579='Firm Search'!$C$7),COUNTIF($A$5:A579,'Firm Search'!$C$7),"")</f>
        <v/>
      </c>
    </row>
    <row r="580">
      <c r="A580" s="64" t="n"/>
      <c r="B580" s="64" t="n"/>
      <c r="C580" s="66" t="n"/>
      <c r="D580" s="66" t="n"/>
      <c r="E580" s="67" t="n"/>
      <c r="F580" s="67" t="n"/>
      <c r="G580" s="67" t="n"/>
      <c r="H580" s="67" t="n"/>
      <c r="I580" s="67" t="n"/>
      <c r="J580" s="67" t="n"/>
      <c r="K580" s="67" t="n"/>
      <c r="L580" s="67" t="n"/>
      <c r="M580" s="64" t="n"/>
      <c r="N580" s="66" t="n"/>
      <c r="O580" s="84">
        <f>IF(A580="","",IF(OR(C580="",D580=""),"Enter both dates",IF(D580&lt;C580,"To is before From",IF(COUNTIFS($P$5:$P$2004,P580,$C$5:$C$2004,"&lt;="&amp;D580,$D$5:$D$2004,"&gt;="&amp;C580)&gt;1,"Overlaps another row","OK"))))</f>
        <v/>
      </c>
      <c r="P580">
        <f>IF(A580="","",A580&amp;"|"&amp;IF(B580="","Standard",B580))</f>
        <v/>
      </c>
      <c r="Q580">
        <f>IF(AND(A580&lt;&gt;"",A580='Firm Search'!$C$7),COUNTIF($A$5:A580,'Firm Search'!$C$7),"")</f>
        <v/>
      </c>
    </row>
    <row r="581">
      <c r="A581" s="64" t="n"/>
      <c r="B581" s="64" t="n"/>
      <c r="C581" s="66" t="n"/>
      <c r="D581" s="66" t="n"/>
      <c r="E581" s="67" t="n"/>
      <c r="F581" s="67" t="n"/>
      <c r="G581" s="67" t="n"/>
      <c r="H581" s="67" t="n"/>
      <c r="I581" s="67" t="n"/>
      <c r="J581" s="67" t="n"/>
      <c r="K581" s="67" t="n"/>
      <c r="L581" s="67" t="n"/>
      <c r="M581" s="64" t="n"/>
      <c r="N581" s="66" t="n"/>
      <c r="O581" s="84">
        <f>IF(A581="","",IF(OR(C581="",D581=""),"Enter both dates",IF(D581&lt;C581,"To is before From",IF(COUNTIFS($P$5:$P$2004,P581,$C$5:$C$2004,"&lt;="&amp;D581,$D$5:$D$2004,"&gt;="&amp;C581)&gt;1,"Overlaps another row","OK"))))</f>
        <v/>
      </c>
      <c r="P581">
        <f>IF(A581="","",A581&amp;"|"&amp;IF(B581="","Standard",B581))</f>
        <v/>
      </c>
      <c r="Q581">
        <f>IF(AND(A581&lt;&gt;"",A581='Firm Search'!$C$7),COUNTIF($A$5:A581,'Firm Search'!$C$7),"")</f>
        <v/>
      </c>
    </row>
    <row r="582">
      <c r="A582" s="64" t="n"/>
      <c r="B582" s="64" t="n"/>
      <c r="C582" s="66" t="n"/>
      <c r="D582" s="66" t="n"/>
      <c r="E582" s="67" t="n"/>
      <c r="F582" s="67" t="n"/>
      <c r="G582" s="67" t="n"/>
      <c r="H582" s="67" t="n"/>
      <c r="I582" s="67" t="n"/>
      <c r="J582" s="67" t="n"/>
      <c r="K582" s="67" t="n"/>
      <c r="L582" s="67" t="n"/>
      <c r="M582" s="64" t="n"/>
      <c r="N582" s="66" t="n"/>
      <c r="O582" s="84">
        <f>IF(A582="","",IF(OR(C582="",D582=""),"Enter both dates",IF(D582&lt;C582,"To is before From",IF(COUNTIFS($P$5:$P$2004,P582,$C$5:$C$2004,"&lt;="&amp;D582,$D$5:$D$2004,"&gt;="&amp;C582)&gt;1,"Overlaps another row","OK"))))</f>
        <v/>
      </c>
      <c r="P582">
        <f>IF(A582="","",A582&amp;"|"&amp;IF(B582="","Standard",B582))</f>
        <v/>
      </c>
      <c r="Q582">
        <f>IF(AND(A582&lt;&gt;"",A582='Firm Search'!$C$7),COUNTIF($A$5:A582,'Firm Search'!$C$7),"")</f>
        <v/>
      </c>
    </row>
    <row r="583">
      <c r="A583" s="64" t="n"/>
      <c r="B583" s="64" t="n"/>
      <c r="C583" s="66" t="n"/>
      <c r="D583" s="66" t="n"/>
      <c r="E583" s="67" t="n"/>
      <c r="F583" s="67" t="n"/>
      <c r="G583" s="67" t="n"/>
      <c r="H583" s="67" t="n"/>
      <c r="I583" s="67" t="n"/>
      <c r="J583" s="67" t="n"/>
      <c r="K583" s="67" t="n"/>
      <c r="L583" s="67" t="n"/>
      <c r="M583" s="64" t="n"/>
      <c r="N583" s="66" t="n"/>
      <c r="O583" s="84">
        <f>IF(A583="","",IF(OR(C583="",D583=""),"Enter both dates",IF(D583&lt;C583,"To is before From",IF(COUNTIFS($P$5:$P$2004,P583,$C$5:$C$2004,"&lt;="&amp;D583,$D$5:$D$2004,"&gt;="&amp;C583)&gt;1,"Overlaps another row","OK"))))</f>
        <v/>
      </c>
      <c r="P583">
        <f>IF(A583="","",A583&amp;"|"&amp;IF(B583="","Standard",B583))</f>
        <v/>
      </c>
      <c r="Q583">
        <f>IF(AND(A583&lt;&gt;"",A583='Firm Search'!$C$7),COUNTIF($A$5:A583,'Firm Search'!$C$7),"")</f>
        <v/>
      </c>
    </row>
    <row r="584">
      <c r="A584" s="64" t="n"/>
      <c r="B584" s="64" t="n"/>
      <c r="C584" s="66" t="n"/>
      <c r="D584" s="66" t="n"/>
      <c r="E584" s="67" t="n"/>
      <c r="F584" s="67" t="n"/>
      <c r="G584" s="67" t="n"/>
      <c r="H584" s="67" t="n"/>
      <c r="I584" s="67" t="n"/>
      <c r="J584" s="67" t="n"/>
      <c r="K584" s="67" t="n"/>
      <c r="L584" s="67" t="n"/>
      <c r="M584" s="64" t="n"/>
      <c r="N584" s="66" t="n"/>
      <c r="O584" s="84">
        <f>IF(A584="","",IF(OR(C584="",D584=""),"Enter both dates",IF(D584&lt;C584,"To is before From",IF(COUNTIFS($P$5:$P$2004,P584,$C$5:$C$2004,"&lt;="&amp;D584,$D$5:$D$2004,"&gt;="&amp;C584)&gt;1,"Overlaps another row","OK"))))</f>
        <v/>
      </c>
      <c r="P584">
        <f>IF(A584="","",A584&amp;"|"&amp;IF(B584="","Standard",B584))</f>
        <v/>
      </c>
      <c r="Q584">
        <f>IF(AND(A584&lt;&gt;"",A584='Firm Search'!$C$7),COUNTIF($A$5:A584,'Firm Search'!$C$7),"")</f>
        <v/>
      </c>
    </row>
    <row r="585">
      <c r="A585" s="64" t="n"/>
      <c r="B585" s="64" t="n"/>
      <c r="C585" s="66" t="n"/>
      <c r="D585" s="66" t="n"/>
      <c r="E585" s="67" t="n"/>
      <c r="F585" s="67" t="n"/>
      <c r="G585" s="67" t="n"/>
      <c r="H585" s="67" t="n"/>
      <c r="I585" s="67" t="n"/>
      <c r="J585" s="67" t="n"/>
      <c r="K585" s="67" t="n"/>
      <c r="L585" s="67" t="n"/>
      <c r="M585" s="64" t="n"/>
      <c r="N585" s="66" t="n"/>
      <c r="O585" s="84">
        <f>IF(A585="","",IF(OR(C585="",D585=""),"Enter both dates",IF(D585&lt;C585,"To is before From",IF(COUNTIFS($P$5:$P$2004,P585,$C$5:$C$2004,"&lt;="&amp;D585,$D$5:$D$2004,"&gt;="&amp;C585)&gt;1,"Overlaps another row","OK"))))</f>
        <v/>
      </c>
      <c r="P585">
        <f>IF(A585="","",A585&amp;"|"&amp;IF(B585="","Standard",B585))</f>
        <v/>
      </c>
      <c r="Q585">
        <f>IF(AND(A585&lt;&gt;"",A585='Firm Search'!$C$7),COUNTIF($A$5:A585,'Firm Search'!$C$7),"")</f>
        <v/>
      </c>
    </row>
    <row r="586">
      <c r="A586" s="64" t="n"/>
      <c r="B586" s="64" t="n"/>
      <c r="C586" s="66" t="n"/>
      <c r="D586" s="66" t="n"/>
      <c r="E586" s="67" t="n"/>
      <c r="F586" s="67" t="n"/>
      <c r="G586" s="67" t="n"/>
      <c r="H586" s="67" t="n"/>
      <c r="I586" s="67" t="n"/>
      <c r="J586" s="67" t="n"/>
      <c r="K586" s="67" t="n"/>
      <c r="L586" s="67" t="n"/>
      <c r="M586" s="64" t="n"/>
      <c r="N586" s="66" t="n"/>
      <c r="O586" s="84">
        <f>IF(A586="","",IF(OR(C586="",D586=""),"Enter both dates",IF(D586&lt;C586,"To is before From",IF(COUNTIFS($P$5:$P$2004,P586,$C$5:$C$2004,"&lt;="&amp;D586,$D$5:$D$2004,"&gt;="&amp;C586)&gt;1,"Overlaps another row","OK"))))</f>
        <v/>
      </c>
      <c r="P586">
        <f>IF(A586="","",A586&amp;"|"&amp;IF(B586="","Standard",B586))</f>
        <v/>
      </c>
      <c r="Q586">
        <f>IF(AND(A586&lt;&gt;"",A586='Firm Search'!$C$7),COUNTIF($A$5:A586,'Firm Search'!$C$7),"")</f>
        <v/>
      </c>
    </row>
    <row r="587">
      <c r="A587" s="64" t="n"/>
      <c r="B587" s="64" t="n"/>
      <c r="C587" s="66" t="n"/>
      <c r="D587" s="66" t="n"/>
      <c r="E587" s="67" t="n"/>
      <c r="F587" s="67" t="n"/>
      <c r="G587" s="67" t="n"/>
      <c r="H587" s="67" t="n"/>
      <c r="I587" s="67" t="n"/>
      <c r="J587" s="67" t="n"/>
      <c r="K587" s="67" t="n"/>
      <c r="L587" s="67" t="n"/>
      <c r="M587" s="64" t="n"/>
      <c r="N587" s="66" t="n"/>
      <c r="O587" s="84">
        <f>IF(A587="","",IF(OR(C587="",D587=""),"Enter both dates",IF(D587&lt;C587,"To is before From",IF(COUNTIFS($P$5:$P$2004,P587,$C$5:$C$2004,"&lt;="&amp;D587,$D$5:$D$2004,"&gt;="&amp;C587)&gt;1,"Overlaps another row","OK"))))</f>
        <v/>
      </c>
      <c r="P587">
        <f>IF(A587="","",A587&amp;"|"&amp;IF(B587="","Standard",B587))</f>
        <v/>
      </c>
      <c r="Q587">
        <f>IF(AND(A587&lt;&gt;"",A587='Firm Search'!$C$7),COUNTIF($A$5:A587,'Firm Search'!$C$7),"")</f>
        <v/>
      </c>
    </row>
    <row r="588">
      <c r="A588" s="64" t="n"/>
      <c r="B588" s="64" t="n"/>
      <c r="C588" s="66" t="n"/>
      <c r="D588" s="66" t="n"/>
      <c r="E588" s="67" t="n"/>
      <c r="F588" s="67" t="n"/>
      <c r="G588" s="67" t="n"/>
      <c r="H588" s="67" t="n"/>
      <c r="I588" s="67" t="n"/>
      <c r="J588" s="67" t="n"/>
      <c r="K588" s="67" t="n"/>
      <c r="L588" s="67" t="n"/>
      <c r="M588" s="64" t="n"/>
      <c r="N588" s="66" t="n"/>
      <c r="O588" s="84">
        <f>IF(A588="","",IF(OR(C588="",D588=""),"Enter both dates",IF(D588&lt;C588,"To is before From",IF(COUNTIFS($P$5:$P$2004,P588,$C$5:$C$2004,"&lt;="&amp;D588,$D$5:$D$2004,"&gt;="&amp;C588)&gt;1,"Overlaps another row","OK"))))</f>
        <v/>
      </c>
      <c r="P588">
        <f>IF(A588="","",A588&amp;"|"&amp;IF(B588="","Standard",B588))</f>
        <v/>
      </c>
      <c r="Q588">
        <f>IF(AND(A588&lt;&gt;"",A588='Firm Search'!$C$7),COUNTIF($A$5:A588,'Firm Search'!$C$7),"")</f>
        <v/>
      </c>
    </row>
    <row r="589">
      <c r="A589" s="64" t="n"/>
      <c r="B589" s="64" t="n"/>
      <c r="C589" s="66" t="n"/>
      <c r="D589" s="66" t="n"/>
      <c r="E589" s="67" t="n"/>
      <c r="F589" s="67" t="n"/>
      <c r="G589" s="67" t="n"/>
      <c r="H589" s="67" t="n"/>
      <c r="I589" s="67" t="n"/>
      <c r="J589" s="67" t="n"/>
      <c r="K589" s="67" t="n"/>
      <c r="L589" s="67" t="n"/>
      <c r="M589" s="64" t="n"/>
      <c r="N589" s="66" t="n"/>
      <c r="O589" s="84">
        <f>IF(A589="","",IF(OR(C589="",D589=""),"Enter both dates",IF(D589&lt;C589,"To is before From",IF(COUNTIFS($P$5:$P$2004,P589,$C$5:$C$2004,"&lt;="&amp;D589,$D$5:$D$2004,"&gt;="&amp;C589)&gt;1,"Overlaps another row","OK"))))</f>
        <v/>
      </c>
      <c r="P589">
        <f>IF(A589="","",A589&amp;"|"&amp;IF(B589="","Standard",B589))</f>
        <v/>
      </c>
      <c r="Q589">
        <f>IF(AND(A589&lt;&gt;"",A589='Firm Search'!$C$7),COUNTIF($A$5:A589,'Firm Search'!$C$7),"")</f>
        <v/>
      </c>
    </row>
    <row r="590">
      <c r="A590" s="64" t="n"/>
      <c r="B590" s="64" t="n"/>
      <c r="C590" s="66" t="n"/>
      <c r="D590" s="66" t="n"/>
      <c r="E590" s="67" t="n"/>
      <c r="F590" s="67" t="n"/>
      <c r="G590" s="67" t="n"/>
      <c r="H590" s="67" t="n"/>
      <c r="I590" s="67" t="n"/>
      <c r="J590" s="67" t="n"/>
      <c r="K590" s="67" t="n"/>
      <c r="L590" s="67" t="n"/>
      <c r="M590" s="64" t="n"/>
      <c r="N590" s="66" t="n"/>
      <c r="O590" s="84">
        <f>IF(A590="","",IF(OR(C590="",D590=""),"Enter both dates",IF(D590&lt;C590,"To is before From",IF(COUNTIFS($P$5:$P$2004,P590,$C$5:$C$2004,"&lt;="&amp;D590,$D$5:$D$2004,"&gt;="&amp;C590)&gt;1,"Overlaps another row","OK"))))</f>
        <v/>
      </c>
      <c r="P590">
        <f>IF(A590="","",A590&amp;"|"&amp;IF(B590="","Standard",B590))</f>
        <v/>
      </c>
      <c r="Q590">
        <f>IF(AND(A590&lt;&gt;"",A590='Firm Search'!$C$7),COUNTIF($A$5:A590,'Firm Search'!$C$7),"")</f>
        <v/>
      </c>
    </row>
    <row r="591">
      <c r="A591" s="64" t="n"/>
      <c r="B591" s="64" t="n"/>
      <c r="C591" s="66" t="n"/>
      <c r="D591" s="66" t="n"/>
      <c r="E591" s="67" t="n"/>
      <c r="F591" s="67" t="n"/>
      <c r="G591" s="67" t="n"/>
      <c r="H591" s="67" t="n"/>
      <c r="I591" s="67" t="n"/>
      <c r="J591" s="67" t="n"/>
      <c r="K591" s="67" t="n"/>
      <c r="L591" s="67" t="n"/>
      <c r="M591" s="64" t="n"/>
      <c r="N591" s="66" t="n"/>
      <c r="O591" s="84">
        <f>IF(A591="","",IF(OR(C591="",D591=""),"Enter both dates",IF(D591&lt;C591,"To is before From",IF(COUNTIFS($P$5:$P$2004,P591,$C$5:$C$2004,"&lt;="&amp;D591,$D$5:$D$2004,"&gt;="&amp;C591)&gt;1,"Overlaps another row","OK"))))</f>
        <v/>
      </c>
      <c r="P591">
        <f>IF(A591="","",A591&amp;"|"&amp;IF(B591="","Standard",B591))</f>
        <v/>
      </c>
      <c r="Q591">
        <f>IF(AND(A591&lt;&gt;"",A591='Firm Search'!$C$7),COUNTIF($A$5:A591,'Firm Search'!$C$7),"")</f>
        <v/>
      </c>
    </row>
    <row r="592">
      <c r="A592" s="64" t="n"/>
      <c r="B592" s="64" t="n"/>
      <c r="C592" s="66" t="n"/>
      <c r="D592" s="66" t="n"/>
      <c r="E592" s="67" t="n"/>
      <c r="F592" s="67" t="n"/>
      <c r="G592" s="67" t="n"/>
      <c r="H592" s="67" t="n"/>
      <c r="I592" s="67" t="n"/>
      <c r="J592" s="67" t="n"/>
      <c r="K592" s="67" t="n"/>
      <c r="L592" s="67" t="n"/>
      <c r="M592" s="64" t="n"/>
      <c r="N592" s="66" t="n"/>
      <c r="O592" s="84">
        <f>IF(A592="","",IF(OR(C592="",D592=""),"Enter both dates",IF(D592&lt;C592,"To is before From",IF(COUNTIFS($P$5:$P$2004,P592,$C$5:$C$2004,"&lt;="&amp;D592,$D$5:$D$2004,"&gt;="&amp;C592)&gt;1,"Overlaps another row","OK"))))</f>
        <v/>
      </c>
      <c r="P592">
        <f>IF(A592="","",A592&amp;"|"&amp;IF(B592="","Standard",B592))</f>
        <v/>
      </c>
      <c r="Q592">
        <f>IF(AND(A592&lt;&gt;"",A592='Firm Search'!$C$7),COUNTIF($A$5:A592,'Firm Search'!$C$7),"")</f>
        <v/>
      </c>
    </row>
    <row r="593">
      <c r="A593" s="64" t="n"/>
      <c r="B593" s="64" t="n"/>
      <c r="C593" s="66" t="n"/>
      <c r="D593" s="66" t="n"/>
      <c r="E593" s="67" t="n"/>
      <c r="F593" s="67" t="n"/>
      <c r="G593" s="67" t="n"/>
      <c r="H593" s="67" t="n"/>
      <c r="I593" s="67" t="n"/>
      <c r="J593" s="67" t="n"/>
      <c r="K593" s="67" t="n"/>
      <c r="L593" s="67" t="n"/>
      <c r="M593" s="64" t="n"/>
      <c r="N593" s="66" t="n"/>
      <c r="O593" s="84">
        <f>IF(A593="","",IF(OR(C593="",D593=""),"Enter both dates",IF(D593&lt;C593,"To is before From",IF(COUNTIFS($P$5:$P$2004,P593,$C$5:$C$2004,"&lt;="&amp;D593,$D$5:$D$2004,"&gt;="&amp;C593)&gt;1,"Overlaps another row","OK"))))</f>
        <v/>
      </c>
      <c r="P593">
        <f>IF(A593="","",A593&amp;"|"&amp;IF(B593="","Standard",B593))</f>
        <v/>
      </c>
      <c r="Q593">
        <f>IF(AND(A593&lt;&gt;"",A593='Firm Search'!$C$7),COUNTIF($A$5:A593,'Firm Search'!$C$7),"")</f>
        <v/>
      </c>
    </row>
    <row r="594">
      <c r="A594" s="64" t="n"/>
      <c r="B594" s="64" t="n"/>
      <c r="C594" s="66" t="n"/>
      <c r="D594" s="66" t="n"/>
      <c r="E594" s="67" t="n"/>
      <c r="F594" s="67" t="n"/>
      <c r="G594" s="67" t="n"/>
      <c r="H594" s="67" t="n"/>
      <c r="I594" s="67" t="n"/>
      <c r="J594" s="67" t="n"/>
      <c r="K594" s="67" t="n"/>
      <c r="L594" s="67" t="n"/>
      <c r="M594" s="64" t="n"/>
      <c r="N594" s="66" t="n"/>
      <c r="O594" s="84">
        <f>IF(A594="","",IF(OR(C594="",D594=""),"Enter both dates",IF(D594&lt;C594,"To is before From",IF(COUNTIFS($P$5:$P$2004,P594,$C$5:$C$2004,"&lt;="&amp;D594,$D$5:$D$2004,"&gt;="&amp;C594)&gt;1,"Overlaps another row","OK"))))</f>
        <v/>
      </c>
      <c r="P594">
        <f>IF(A594="","",A594&amp;"|"&amp;IF(B594="","Standard",B594))</f>
        <v/>
      </c>
      <c r="Q594">
        <f>IF(AND(A594&lt;&gt;"",A594='Firm Search'!$C$7),COUNTIF($A$5:A594,'Firm Search'!$C$7),"")</f>
        <v/>
      </c>
    </row>
    <row r="595">
      <c r="A595" s="64" t="n"/>
      <c r="B595" s="64" t="n"/>
      <c r="C595" s="66" t="n"/>
      <c r="D595" s="66" t="n"/>
      <c r="E595" s="67" t="n"/>
      <c r="F595" s="67" t="n"/>
      <c r="G595" s="67" t="n"/>
      <c r="H595" s="67" t="n"/>
      <c r="I595" s="67" t="n"/>
      <c r="J595" s="67" t="n"/>
      <c r="K595" s="67" t="n"/>
      <c r="L595" s="67" t="n"/>
      <c r="M595" s="64" t="n"/>
      <c r="N595" s="66" t="n"/>
      <c r="O595" s="84">
        <f>IF(A595="","",IF(OR(C595="",D595=""),"Enter both dates",IF(D595&lt;C595,"To is before From",IF(COUNTIFS($P$5:$P$2004,P595,$C$5:$C$2004,"&lt;="&amp;D595,$D$5:$D$2004,"&gt;="&amp;C595)&gt;1,"Overlaps another row","OK"))))</f>
        <v/>
      </c>
      <c r="P595">
        <f>IF(A595="","",A595&amp;"|"&amp;IF(B595="","Standard",B595))</f>
        <v/>
      </c>
      <c r="Q595">
        <f>IF(AND(A595&lt;&gt;"",A595='Firm Search'!$C$7),COUNTIF($A$5:A595,'Firm Search'!$C$7),"")</f>
        <v/>
      </c>
    </row>
    <row r="596">
      <c r="A596" s="64" t="n"/>
      <c r="B596" s="64" t="n"/>
      <c r="C596" s="66" t="n"/>
      <c r="D596" s="66" t="n"/>
      <c r="E596" s="67" t="n"/>
      <c r="F596" s="67" t="n"/>
      <c r="G596" s="67" t="n"/>
      <c r="H596" s="67" t="n"/>
      <c r="I596" s="67" t="n"/>
      <c r="J596" s="67" t="n"/>
      <c r="K596" s="67" t="n"/>
      <c r="L596" s="67" t="n"/>
      <c r="M596" s="64" t="n"/>
      <c r="N596" s="66" t="n"/>
      <c r="O596" s="84">
        <f>IF(A596="","",IF(OR(C596="",D596=""),"Enter both dates",IF(D596&lt;C596,"To is before From",IF(COUNTIFS($P$5:$P$2004,P596,$C$5:$C$2004,"&lt;="&amp;D596,$D$5:$D$2004,"&gt;="&amp;C596)&gt;1,"Overlaps another row","OK"))))</f>
        <v/>
      </c>
      <c r="P596">
        <f>IF(A596="","",A596&amp;"|"&amp;IF(B596="","Standard",B596))</f>
        <v/>
      </c>
      <c r="Q596">
        <f>IF(AND(A596&lt;&gt;"",A596='Firm Search'!$C$7),COUNTIF($A$5:A596,'Firm Search'!$C$7),"")</f>
        <v/>
      </c>
    </row>
    <row r="597">
      <c r="A597" s="64" t="n"/>
      <c r="B597" s="64" t="n"/>
      <c r="C597" s="66" t="n"/>
      <c r="D597" s="66" t="n"/>
      <c r="E597" s="67" t="n"/>
      <c r="F597" s="67" t="n"/>
      <c r="G597" s="67" t="n"/>
      <c r="H597" s="67" t="n"/>
      <c r="I597" s="67" t="n"/>
      <c r="J597" s="67" t="n"/>
      <c r="K597" s="67" t="n"/>
      <c r="L597" s="67" t="n"/>
      <c r="M597" s="64" t="n"/>
      <c r="N597" s="66" t="n"/>
      <c r="O597" s="84">
        <f>IF(A597="","",IF(OR(C597="",D597=""),"Enter both dates",IF(D597&lt;C597,"To is before From",IF(COUNTIFS($P$5:$P$2004,P597,$C$5:$C$2004,"&lt;="&amp;D597,$D$5:$D$2004,"&gt;="&amp;C597)&gt;1,"Overlaps another row","OK"))))</f>
        <v/>
      </c>
      <c r="P597">
        <f>IF(A597="","",A597&amp;"|"&amp;IF(B597="","Standard",B597))</f>
        <v/>
      </c>
      <c r="Q597">
        <f>IF(AND(A597&lt;&gt;"",A597='Firm Search'!$C$7),COUNTIF($A$5:A597,'Firm Search'!$C$7),"")</f>
        <v/>
      </c>
    </row>
    <row r="598">
      <c r="A598" s="64" t="n"/>
      <c r="B598" s="64" t="n"/>
      <c r="C598" s="66" t="n"/>
      <c r="D598" s="66" t="n"/>
      <c r="E598" s="67" t="n"/>
      <c r="F598" s="67" t="n"/>
      <c r="G598" s="67" t="n"/>
      <c r="H598" s="67" t="n"/>
      <c r="I598" s="67" t="n"/>
      <c r="J598" s="67" t="n"/>
      <c r="K598" s="67" t="n"/>
      <c r="L598" s="67" t="n"/>
      <c r="M598" s="64" t="n"/>
      <c r="N598" s="66" t="n"/>
      <c r="O598" s="84">
        <f>IF(A598="","",IF(OR(C598="",D598=""),"Enter both dates",IF(D598&lt;C598,"To is before From",IF(COUNTIFS($P$5:$P$2004,P598,$C$5:$C$2004,"&lt;="&amp;D598,$D$5:$D$2004,"&gt;="&amp;C598)&gt;1,"Overlaps another row","OK"))))</f>
        <v/>
      </c>
      <c r="P598">
        <f>IF(A598="","",A598&amp;"|"&amp;IF(B598="","Standard",B598))</f>
        <v/>
      </c>
      <c r="Q598">
        <f>IF(AND(A598&lt;&gt;"",A598='Firm Search'!$C$7),COUNTIF($A$5:A598,'Firm Search'!$C$7),"")</f>
        <v/>
      </c>
    </row>
    <row r="599">
      <c r="A599" s="64" t="n"/>
      <c r="B599" s="64" t="n"/>
      <c r="C599" s="66" t="n"/>
      <c r="D599" s="66" t="n"/>
      <c r="E599" s="67" t="n"/>
      <c r="F599" s="67" t="n"/>
      <c r="G599" s="67" t="n"/>
      <c r="H599" s="67" t="n"/>
      <c r="I599" s="67" t="n"/>
      <c r="J599" s="67" t="n"/>
      <c r="K599" s="67" t="n"/>
      <c r="L599" s="67" t="n"/>
      <c r="M599" s="64" t="n"/>
      <c r="N599" s="66" t="n"/>
      <c r="O599" s="84">
        <f>IF(A599="","",IF(OR(C599="",D599=""),"Enter both dates",IF(D599&lt;C599,"To is before From",IF(COUNTIFS($P$5:$P$2004,P599,$C$5:$C$2004,"&lt;="&amp;D599,$D$5:$D$2004,"&gt;="&amp;C599)&gt;1,"Overlaps another row","OK"))))</f>
        <v/>
      </c>
      <c r="P599">
        <f>IF(A599="","",A599&amp;"|"&amp;IF(B599="","Standard",B599))</f>
        <v/>
      </c>
      <c r="Q599">
        <f>IF(AND(A599&lt;&gt;"",A599='Firm Search'!$C$7),COUNTIF($A$5:A599,'Firm Search'!$C$7),"")</f>
        <v/>
      </c>
    </row>
    <row r="600">
      <c r="A600" s="64" t="n"/>
      <c r="B600" s="64" t="n"/>
      <c r="C600" s="66" t="n"/>
      <c r="D600" s="66" t="n"/>
      <c r="E600" s="67" t="n"/>
      <c r="F600" s="67" t="n"/>
      <c r="G600" s="67" t="n"/>
      <c r="H600" s="67" t="n"/>
      <c r="I600" s="67" t="n"/>
      <c r="J600" s="67" t="n"/>
      <c r="K600" s="67" t="n"/>
      <c r="L600" s="67" t="n"/>
      <c r="M600" s="64" t="n"/>
      <c r="N600" s="66" t="n"/>
      <c r="O600" s="84">
        <f>IF(A600="","",IF(OR(C600="",D600=""),"Enter both dates",IF(D600&lt;C600,"To is before From",IF(COUNTIFS($P$5:$P$2004,P600,$C$5:$C$2004,"&lt;="&amp;D600,$D$5:$D$2004,"&gt;="&amp;C600)&gt;1,"Overlaps another row","OK"))))</f>
        <v/>
      </c>
      <c r="P600">
        <f>IF(A600="","",A600&amp;"|"&amp;IF(B600="","Standard",B600))</f>
        <v/>
      </c>
      <c r="Q600">
        <f>IF(AND(A600&lt;&gt;"",A600='Firm Search'!$C$7),COUNTIF($A$5:A600,'Firm Search'!$C$7),"")</f>
        <v/>
      </c>
    </row>
    <row r="601">
      <c r="A601" s="64" t="n"/>
      <c r="B601" s="64" t="n"/>
      <c r="C601" s="66" t="n"/>
      <c r="D601" s="66" t="n"/>
      <c r="E601" s="67" t="n"/>
      <c r="F601" s="67" t="n"/>
      <c r="G601" s="67" t="n"/>
      <c r="H601" s="67" t="n"/>
      <c r="I601" s="67" t="n"/>
      <c r="J601" s="67" t="n"/>
      <c r="K601" s="67" t="n"/>
      <c r="L601" s="67" t="n"/>
      <c r="M601" s="64" t="n"/>
      <c r="N601" s="66" t="n"/>
      <c r="O601" s="84">
        <f>IF(A601="","",IF(OR(C601="",D601=""),"Enter both dates",IF(D601&lt;C601,"To is before From",IF(COUNTIFS($P$5:$P$2004,P601,$C$5:$C$2004,"&lt;="&amp;D601,$D$5:$D$2004,"&gt;="&amp;C601)&gt;1,"Overlaps another row","OK"))))</f>
        <v/>
      </c>
      <c r="P601">
        <f>IF(A601="","",A601&amp;"|"&amp;IF(B601="","Standard",B601))</f>
        <v/>
      </c>
      <c r="Q601">
        <f>IF(AND(A601&lt;&gt;"",A601='Firm Search'!$C$7),COUNTIF($A$5:A601,'Firm Search'!$C$7),"")</f>
        <v/>
      </c>
    </row>
    <row r="602">
      <c r="A602" s="64" t="n"/>
      <c r="B602" s="64" t="n"/>
      <c r="C602" s="66" t="n"/>
      <c r="D602" s="66" t="n"/>
      <c r="E602" s="67" t="n"/>
      <c r="F602" s="67" t="n"/>
      <c r="G602" s="67" t="n"/>
      <c r="H602" s="67" t="n"/>
      <c r="I602" s="67" t="n"/>
      <c r="J602" s="67" t="n"/>
      <c r="K602" s="67" t="n"/>
      <c r="L602" s="67" t="n"/>
      <c r="M602" s="64" t="n"/>
      <c r="N602" s="66" t="n"/>
      <c r="O602" s="84">
        <f>IF(A602="","",IF(OR(C602="",D602=""),"Enter both dates",IF(D602&lt;C602,"To is before From",IF(COUNTIFS($P$5:$P$2004,P602,$C$5:$C$2004,"&lt;="&amp;D602,$D$5:$D$2004,"&gt;="&amp;C602)&gt;1,"Overlaps another row","OK"))))</f>
        <v/>
      </c>
      <c r="P602">
        <f>IF(A602="","",A602&amp;"|"&amp;IF(B602="","Standard",B602))</f>
        <v/>
      </c>
      <c r="Q602">
        <f>IF(AND(A602&lt;&gt;"",A602='Firm Search'!$C$7),COUNTIF($A$5:A602,'Firm Search'!$C$7),"")</f>
        <v/>
      </c>
    </row>
    <row r="603">
      <c r="A603" s="64" t="n"/>
      <c r="B603" s="64" t="n"/>
      <c r="C603" s="66" t="n"/>
      <c r="D603" s="66" t="n"/>
      <c r="E603" s="67" t="n"/>
      <c r="F603" s="67" t="n"/>
      <c r="G603" s="67" t="n"/>
      <c r="H603" s="67" t="n"/>
      <c r="I603" s="67" t="n"/>
      <c r="J603" s="67" t="n"/>
      <c r="K603" s="67" t="n"/>
      <c r="L603" s="67" t="n"/>
      <c r="M603" s="64" t="n"/>
      <c r="N603" s="66" t="n"/>
      <c r="O603" s="84">
        <f>IF(A603="","",IF(OR(C603="",D603=""),"Enter both dates",IF(D603&lt;C603,"To is before From",IF(COUNTIFS($P$5:$P$2004,P603,$C$5:$C$2004,"&lt;="&amp;D603,$D$5:$D$2004,"&gt;="&amp;C603)&gt;1,"Overlaps another row","OK"))))</f>
        <v/>
      </c>
      <c r="P603">
        <f>IF(A603="","",A603&amp;"|"&amp;IF(B603="","Standard",B603))</f>
        <v/>
      </c>
      <c r="Q603">
        <f>IF(AND(A603&lt;&gt;"",A603='Firm Search'!$C$7),COUNTIF($A$5:A603,'Firm Search'!$C$7),"")</f>
        <v/>
      </c>
    </row>
    <row r="604">
      <c r="A604" s="64" t="n"/>
      <c r="B604" s="64" t="n"/>
      <c r="C604" s="66" t="n"/>
      <c r="D604" s="66" t="n"/>
      <c r="E604" s="67" t="n"/>
      <c r="F604" s="67" t="n"/>
      <c r="G604" s="67" t="n"/>
      <c r="H604" s="67" t="n"/>
      <c r="I604" s="67" t="n"/>
      <c r="J604" s="67" t="n"/>
      <c r="K604" s="67" t="n"/>
      <c r="L604" s="67" t="n"/>
      <c r="M604" s="64" t="n"/>
      <c r="N604" s="66" t="n"/>
      <c r="O604" s="84">
        <f>IF(A604="","",IF(OR(C604="",D604=""),"Enter both dates",IF(D604&lt;C604,"To is before From",IF(COUNTIFS($P$5:$P$2004,P604,$C$5:$C$2004,"&lt;="&amp;D604,$D$5:$D$2004,"&gt;="&amp;C604)&gt;1,"Overlaps another row","OK"))))</f>
        <v/>
      </c>
      <c r="P604">
        <f>IF(A604="","",A604&amp;"|"&amp;IF(B604="","Standard",B604))</f>
        <v/>
      </c>
      <c r="Q604">
        <f>IF(AND(A604&lt;&gt;"",A604='Firm Search'!$C$7),COUNTIF($A$5:A604,'Firm Search'!$C$7),"")</f>
        <v/>
      </c>
    </row>
    <row r="605">
      <c r="A605" s="64" t="n"/>
      <c r="B605" s="64" t="n"/>
      <c r="C605" s="66" t="n"/>
      <c r="D605" s="66" t="n"/>
      <c r="E605" s="67" t="n"/>
      <c r="F605" s="67" t="n"/>
      <c r="G605" s="67" t="n"/>
      <c r="H605" s="67" t="n"/>
      <c r="I605" s="67" t="n"/>
      <c r="J605" s="67" t="n"/>
      <c r="K605" s="67" t="n"/>
      <c r="L605" s="67" t="n"/>
      <c r="M605" s="64" t="n"/>
      <c r="N605" s="66" t="n"/>
      <c r="O605" s="84">
        <f>IF(A605="","",IF(OR(C605="",D605=""),"Enter both dates",IF(D605&lt;C605,"To is before From",IF(COUNTIFS($P$5:$P$2004,P605,$C$5:$C$2004,"&lt;="&amp;D605,$D$5:$D$2004,"&gt;="&amp;C605)&gt;1,"Overlaps another row","OK"))))</f>
        <v/>
      </c>
      <c r="P605">
        <f>IF(A605="","",A605&amp;"|"&amp;IF(B605="","Standard",B605))</f>
        <v/>
      </c>
      <c r="Q605">
        <f>IF(AND(A605&lt;&gt;"",A605='Firm Search'!$C$7),COUNTIF($A$5:A605,'Firm Search'!$C$7),"")</f>
        <v/>
      </c>
    </row>
    <row r="606">
      <c r="A606" s="64" t="n"/>
      <c r="B606" s="64" t="n"/>
      <c r="C606" s="66" t="n"/>
      <c r="D606" s="66" t="n"/>
      <c r="E606" s="67" t="n"/>
      <c r="F606" s="67" t="n"/>
      <c r="G606" s="67" t="n"/>
      <c r="H606" s="67" t="n"/>
      <c r="I606" s="67" t="n"/>
      <c r="J606" s="67" t="n"/>
      <c r="K606" s="67" t="n"/>
      <c r="L606" s="67" t="n"/>
      <c r="M606" s="64" t="n"/>
      <c r="N606" s="66" t="n"/>
      <c r="O606" s="84">
        <f>IF(A606="","",IF(OR(C606="",D606=""),"Enter both dates",IF(D606&lt;C606,"To is before From",IF(COUNTIFS($P$5:$P$2004,P606,$C$5:$C$2004,"&lt;="&amp;D606,$D$5:$D$2004,"&gt;="&amp;C606)&gt;1,"Overlaps another row","OK"))))</f>
        <v/>
      </c>
      <c r="P606">
        <f>IF(A606="","",A606&amp;"|"&amp;IF(B606="","Standard",B606))</f>
        <v/>
      </c>
      <c r="Q606">
        <f>IF(AND(A606&lt;&gt;"",A606='Firm Search'!$C$7),COUNTIF($A$5:A606,'Firm Search'!$C$7),"")</f>
        <v/>
      </c>
    </row>
    <row r="607">
      <c r="A607" s="64" t="n"/>
      <c r="B607" s="64" t="n"/>
      <c r="C607" s="66" t="n"/>
      <c r="D607" s="66" t="n"/>
      <c r="E607" s="67" t="n"/>
      <c r="F607" s="67" t="n"/>
      <c r="G607" s="67" t="n"/>
      <c r="H607" s="67" t="n"/>
      <c r="I607" s="67" t="n"/>
      <c r="J607" s="67" t="n"/>
      <c r="K607" s="67" t="n"/>
      <c r="L607" s="67" t="n"/>
      <c r="M607" s="64" t="n"/>
      <c r="N607" s="66" t="n"/>
      <c r="O607" s="84">
        <f>IF(A607="","",IF(OR(C607="",D607=""),"Enter both dates",IF(D607&lt;C607,"To is before From",IF(COUNTIFS($P$5:$P$2004,P607,$C$5:$C$2004,"&lt;="&amp;D607,$D$5:$D$2004,"&gt;="&amp;C607)&gt;1,"Overlaps another row","OK"))))</f>
        <v/>
      </c>
      <c r="P607">
        <f>IF(A607="","",A607&amp;"|"&amp;IF(B607="","Standard",B607))</f>
        <v/>
      </c>
      <c r="Q607">
        <f>IF(AND(A607&lt;&gt;"",A607='Firm Search'!$C$7),COUNTIF($A$5:A607,'Firm Search'!$C$7),"")</f>
        <v/>
      </c>
    </row>
    <row r="608">
      <c r="A608" s="64" t="n"/>
      <c r="B608" s="64" t="n"/>
      <c r="C608" s="66" t="n"/>
      <c r="D608" s="66" t="n"/>
      <c r="E608" s="67" t="n"/>
      <c r="F608" s="67" t="n"/>
      <c r="G608" s="67" t="n"/>
      <c r="H608" s="67" t="n"/>
      <c r="I608" s="67" t="n"/>
      <c r="J608" s="67" t="n"/>
      <c r="K608" s="67" t="n"/>
      <c r="L608" s="67" t="n"/>
      <c r="M608" s="64" t="n"/>
      <c r="N608" s="66" t="n"/>
      <c r="O608" s="84">
        <f>IF(A608="","",IF(OR(C608="",D608=""),"Enter both dates",IF(D608&lt;C608,"To is before From",IF(COUNTIFS($P$5:$P$2004,P608,$C$5:$C$2004,"&lt;="&amp;D608,$D$5:$D$2004,"&gt;="&amp;C608)&gt;1,"Overlaps another row","OK"))))</f>
        <v/>
      </c>
      <c r="P608">
        <f>IF(A608="","",A608&amp;"|"&amp;IF(B608="","Standard",B608))</f>
        <v/>
      </c>
      <c r="Q608">
        <f>IF(AND(A608&lt;&gt;"",A608='Firm Search'!$C$7),COUNTIF($A$5:A608,'Firm Search'!$C$7),"")</f>
        <v/>
      </c>
    </row>
    <row r="609">
      <c r="A609" s="64" t="n"/>
      <c r="B609" s="64" t="n"/>
      <c r="C609" s="66" t="n"/>
      <c r="D609" s="66" t="n"/>
      <c r="E609" s="67" t="n"/>
      <c r="F609" s="67" t="n"/>
      <c r="G609" s="67" t="n"/>
      <c r="H609" s="67" t="n"/>
      <c r="I609" s="67" t="n"/>
      <c r="J609" s="67" t="n"/>
      <c r="K609" s="67" t="n"/>
      <c r="L609" s="67" t="n"/>
      <c r="M609" s="64" t="n"/>
      <c r="N609" s="66" t="n"/>
      <c r="O609" s="84">
        <f>IF(A609="","",IF(OR(C609="",D609=""),"Enter both dates",IF(D609&lt;C609,"To is before From",IF(COUNTIFS($P$5:$P$2004,P609,$C$5:$C$2004,"&lt;="&amp;D609,$D$5:$D$2004,"&gt;="&amp;C609)&gt;1,"Overlaps another row","OK"))))</f>
        <v/>
      </c>
      <c r="P609">
        <f>IF(A609="","",A609&amp;"|"&amp;IF(B609="","Standard",B609))</f>
        <v/>
      </c>
      <c r="Q609">
        <f>IF(AND(A609&lt;&gt;"",A609='Firm Search'!$C$7),COUNTIF($A$5:A609,'Firm Search'!$C$7),"")</f>
        <v/>
      </c>
    </row>
    <row r="610">
      <c r="A610" s="64" t="n"/>
      <c r="B610" s="64" t="n"/>
      <c r="C610" s="66" t="n"/>
      <c r="D610" s="66" t="n"/>
      <c r="E610" s="67" t="n"/>
      <c r="F610" s="67" t="n"/>
      <c r="G610" s="67" t="n"/>
      <c r="H610" s="67" t="n"/>
      <c r="I610" s="67" t="n"/>
      <c r="J610" s="67" t="n"/>
      <c r="K610" s="67" t="n"/>
      <c r="L610" s="67" t="n"/>
      <c r="M610" s="64" t="n"/>
      <c r="N610" s="66" t="n"/>
      <c r="O610" s="84">
        <f>IF(A610="","",IF(OR(C610="",D610=""),"Enter both dates",IF(D610&lt;C610,"To is before From",IF(COUNTIFS($P$5:$P$2004,P610,$C$5:$C$2004,"&lt;="&amp;D610,$D$5:$D$2004,"&gt;="&amp;C610)&gt;1,"Overlaps another row","OK"))))</f>
        <v/>
      </c>
      <c r="P610">
        <f>IF(A610="","",A610&amp;"|"&amp;IF(B610="","Standard",B610))</f>
        <v/>
      </c>
      <c r="Q610">
        <f>IF(AND(A610&lt;&gt;"",A610='Firm Search'!$C$7),COUNTIF($A$5:A610,'Firm Search'!$C$7),"")</f>
        <v/>
      </c>
    </row>
    <row r="611">
      <c r="A611" s="64" t="n"/>
      <c r="B611" s="64" t="n"/>
      <c r="C611" s="66" t="n"/>
      <c r="D611" s="66" t="n"/>
      <c r="E611" s="67" t="n"/>
      <c r="F611" s="67" t="n"/>
      <c r="G611" s="67" t="n"/>
      <c r="H611" s="67" t="n"/>
      <c r="I611" s="67" t="n"/>
      <c r="J611" s="67" t="n"/>
      <c r="K611" s="67" t="n"/>
      <c r="L611" s="67" t="n"/>
      <c r="M611" s="64" t="n"/>
      <c r="N611" s="66" t="n"/>
      <c r="O611" s="84">
        <f>IF(A611="","",IF(OR(C611="",D611=""),"Enter both dates",IF(D611&lt;C611,"To is before From",IF(COUNTIFS($P$5:$P$2004,P611,$C$5:$C$2004,"&lt;="&amp;D611,$D$5:$D$2004,"&gt;="&amp;C611)&gt;1,"Overlaps another row","OK"))))</f>
        <v/>
      </c>
      <c r="P611">
        <f>IF(A611="","",A611&amp;"|"&amp;IF(B611="","Standard",B611))</f>
        <v/>
      </c>
      <c r="Q611">
        <f>IF(AND(A611&lt;&gt;"",A611='Firm Search'!$C$7),COUNTIF($A$5:A611,'Firm Search'!$C$7),"")</f>
        <v/>
      </c>
    </row>
    <row r="612">
      <c r="A612" s="64" t="n"/>
      <c r="B612" s="64" t="n"/>
      <c r="C612" s="66" t="n"/>
      <c r="D612" s="66" t="n"/>
      <c r="E612" s="67" t="n"/>
      <c r="F612" s="67" t="n"/>
      <c r="G612" s="67" t="n"/>
      <c r="H612" s="67" t="n"/>
      <c r="I612" s="67" t="n"/>
      <c r="J612" s="67" t="n"/>
      <c r="K612" s="67" t="n"/>
      <c r="L612" s="67" t="n"/>
      <c r="M612" s="64" t="n"/>
      <c r="N612" s="66" t="n"/>
      <c r="O612" s="84">
        <f>IF(A612="","",IF(OR(C612="",D612=""),"Enter both dates",IF(D612&lt;C612,"To is before From",IF(COUNTIFS($P$5:$P$2004,P612,$C$5:$C$2004,"&lt;="&amp;D612,$D$5:$D$2004,"&gt;="&amp;C612)&gt;1,"Overlaps another row","OK"))))</f>
        <v/>
      </c>
      <c r="P612">
        <f>IF(A612="","",A612&amp;"|"&amp;IF(B612="","Standard",B612))</f>
        <v/>
      </c>
      <c r="Q612">
        <f>IF(AND(A612&lt;&gt;"",A612='Firm Search'!$C$7),COUNTIF($A$5:A612,'Firm Search'!$C$7),"")</f>
        <v/>
      </c>
    </row>
    <row r="613">
      <c r="A613" s="64" t="n"/>
      <c r="B613" s="64" t="n"/>
      <c r="C613" s="66" t="n"/>
      <c r="D613" s="66" t="n"/>
      <c r="E613" s="67" t="n"/>
      <c r="F613" s="67" t="n"/>
      <c r="G613" s="67" t="n"/>
      <c r="H613" s="67" t="n"/>
      <c r="I613" s="67" t="n"/>
      <c r="J613" s="67" t="n"/>
      <c r="K613" s="67" t="n"/>
      <c r="L613" s="67" t="n"/>
      <c r="M613" s="64" t="n"/>
      <c r="N613" s="66" t="n"/>
      <c r="O613" s="84">
        <f>IF(A613="","",IF(OR(C613="",D613=""),"Enter both dates",IF(D613&lt;C613,"To is before From",IF(COUNTIFS($P$5:$P$2004,P613,$C$5:$C$2004,"&lt;="&amp;D613,$D$5:$D$2004,"&gt;="&amp;C613)&gt;1,"Overlaps another row","OK"))))</f>
        <v/>
      </c>
      <c r="P613">
        <f>IF(A613="","",A613&amp;"|"&amp;IF(B613="","Standard",B613))</f>
        <v/>
      </c>
      <c r="Q613">
        <f>IF(AND(A613&lt;&gt;"",A613='Firm Search'!$C$7),COUNTIF($A$5:A613,'Firm Search'!$C$7),"")</f>
        <v/>
      </c>
    </row>
    <row r="614">
      <c r="A614" s="64" t="n"/>
      <c r="B614" s="64" t="n"/>
      <c r="C614" s="66" t="n"/>
      <c r="D614" s="66" t="n"/>
      <c r="E614" s="67" t="n"/>
      <c r="F614" s="67" t="n"/>
      <c r="G614" s="67" t="n"/>
      <c r="H614" s="67" t="n"/>
      <c r="I614" s="67" t="n"/>
      <c r="J614" s="67" t="n"/>
      <c r="K614" s="67" t="n"/>
      <c r="L614" s="67" t="n"/>
      <c r="M614" s="64" t="n"/>
      <c r="N614" s="66" t="n"/>
      <c r="O614" s="84">
        <f>IF(A614="","",IF(OR(C614="",D614=""),"Enter both dates",IF(D614&lt;C614,"To is before From",IF(COUNTIFS($P$5:$P$2004,P614,$C$5:$C$2004,"&lt;="&amp;D614,$D$5:$D$2004,"&gt;="&amp;C614)&gt;1,"Overlaps another row","OK"))))</f>
        <v/>
      </c>
      <c r="P614">
        <f>IF(A614="","",A614&amp;"|"&amp;IF(B614="","Standard",B614))</f>
        <v/>
      </c>
      <c r="Q614">
        <f>IF(AND(A614&lt;&gt;"",A614='Firm Search'!$C$7),COUNTIF($A$5:A614,'Firm Search'!$C$7),"")</f>
        <v/>
      </c>
    </row>
    <row r="615">
      <c r="A615" s="64" t="n"/>
      <c r="B615" s="64" t="n"/>
      <c r="C615" s="66" t="n"/>
      <c r="D615" s="66" t="n"/>
      <c r="E615" s="67" t="n"/>
      <c r="F615" s="67" t="n"/>
      <c r="G615" s="67" t="n"/>
      <c r="H615" s="67" t="n"/>
      <c r="I615" s="67" t="n"/>
      <c r="J615" s="67" t="n"/>
      <c r="K615" s="67" t="n"/>
      <c r="L615" s="67" t="n"/>
      <c r="M615" s="64" t="n"/>
      <c r="N615" s="66" t="n"/>
      <c r="O615" s="84">
        <f>IF(A615="","",IF(OR(C615="",D615=""),"Enter both dates",IF(D615&lt;C615,"To is before From",IF(COUNTIFS($P$5:$P$2004,P615,$C$5:$C$2004,"&lt;="&amp;D615,$D$5:$D$2004,"&gt;="&amp;C615)&gt;1,"Overlaps another row","OK"))))</f>
        <v/>
      </c>
      <c r="P615">
        <f>IF(A615="","",A615&amp;"|"&amp;IF(B615="","Standard",B615))</f>
        <v/>
      </c>
      <c r="Q615">
        <f>IF(AND(A615&lt;&gt;"",A615='Firm Search'!$C$7),COUNTIF($A$5:A615,'Firm Search'!$C$7),"")</f>
        <v/>
      </c>
    </row>
    <row r="616">
      <c r="A616" s="64" t="n"/>
      <c r="B616" s="64" t="n"/>
      <c r="C616" s="66" t="n"/>
      <c r="D616" s="66" t="n"/>
      <c r="E616" s="67" t="n"/>
      <c r="F616" s="67" t="n"/>
      <c r="G616" s="67" t="n"/>
      <c r="H616" s="67" t="n"/>
      <c r="I616" s="67" t="n"/>
      <c r="J616" s="67" t="n"/>
      <c r="K616" s="67" t="n"/>
      <c r="L616" s="67" t="n"/>
      <c r="M616" s="64" t="n"/>
      <c r="N616" s="66" t="n"/>
      <c r="O616" s="84">
        <f>IF(A616="","",IF(OR(C616="",D616=""),"Enter both dates",IF(D616&lt;C616,"To is before From",IF(COUNTIFS($P$5:$P$2004,P616,$C$5:$C$2004,"&lt;="&amp;D616,$D$5:$D$2004,"&gt;="&amp;C616)&gt;1,"Overlaps another row","OK"))))</f>
        <v/>
      </c>
      <c r="P616">
        <f>IF(A616="","",A616&amp;"|"&amp;IF(B616="","Standard",B616))</f>
        <v/>
      </c>
      <c r="Q616">
        <f>IF(AND(A616&lt;&gt;"",A616='Firm Search'!$C$7),COUNTIF($A$5:A616,'Firm Search'!$C$7),"")</f>
        <v/>
      </c>
    </row>
    <row r="617">
      <c r="A617" s="64" t="n"/>
      <c r="B617" s="64" t="n"/>
      <c r="C617" s="66" t="n"/>
      <c r="D617" s="66" t="n"/>
      <c r="E617" s="67" t="n"/>
      <c r="F617" s="67" t="n"/>
      <c r="G617" s="67" t="n"/>
      <c r="H617" s="67" t="n"/>
      <c r="I617" s="67" t="n"/>
      <c r="J617" s="67" t="n"/>
      <c r="K617" s="67" t="n"/>
      <c r="L617" s="67" t="n"/>
      <c r="M617" s="64" t="n"/>
      <c r="N617" s="66" t="n"/>
      <c r="O617" s="84">
        <f>IF(A617="","",IF(OR(C617="",D617=""),"Enter both dates",IF(D617&lt;C617,"To is before From",IF(COUNTIFS($P$5:$P$2004,P617,$C$5:$C$2004,"&lt;="&amp;D617,$D$5:$D$2004,"&gt;="&amp;C617)&gt;1,"Overlaps another row","OK"))))</f>
        <v/>
      </c>
      <c r="P617">
        <f>IF(A617="","",A617&amp;"|"&amp;IF(B617="","Standard",B617))</f>
        <v/>
      </c>
      <c r="Q617">
        <f>IF(AND(A617&lt;&gt;"",A617='Firm Search'!$C$7),COUNTIF($A$5:A617,'Firm Search'!$C$7),"")</f>
        <v/>
      </c>
    </row>
    <row r="618">
      <c r="A618" s="64" t="n"/>
      <c r="B618" s="64" t="n"/>
      <c r="C618" s="66" t="n"/>
      <c r="D618" s="66" t="n"/>
      <c r="E618" s="67" t="n"/>
      <c r="F618" s="67" t="n"/>
      <c r="G618" s="67" t="n"/>
      <c r="H618" s="67" t="n"/>
      <c r="I618" s="67" t="n"/>
      <c r="J618" s="67" t="n"/>
      <c r="K618" s="67" t="n"/>
      <c r="L618" s="67" t="n"/>
      <c r="M618" s="64" t="n"/>
      <c r="N618" s="66" t="n"/>
      <c r="O618" s="84">
        <f>IF(A618="","",IF(OR(C618="",D618=""),"Enter both dates",IF(D618&lt;C618,"To is before From",IF(COUNTIFS($P$5:$P$2004,P618,$C$5:$C$2004,"&lt;="&amp;D618,$D$5:$D$2004,"&gt;="&amp;C618)&gt;1,"Overlaps another row","OK"))))</f>
        <v/>
      </c>
      <c r="P618">
        <f>IF(A618="","",A618&amp;"|"&amp;IF(B618="","Standard",B618))</f>
        <v/>
      </c>
      <c r="Q618">
        <f>IF(AND(A618&lt;&gt;"",A618='Firm Search'!$C$7),COUNTIF($A$5:A618,'Firm Search'!$C$7),"")</f>
        <v/>
      </c>
    </row>
    <row r="619">
      <c r="A619" s="64" t="n"/>
      <c r="B619" s="64" t="n"/>
      <c r="C619" s="66" t="n"/>
      <c r="D619" s="66" t="n"/>
      <c r="E619" s="67" t="n"/>
      <c r="F619" s="67" t="n"/>
      <c r="G619" s="67" t="n"/>
      <c r="H619" s="67" t="n"/>
      <c r="I619" s="67" t="n"/>
      <c r="J619" s="67" t="n"/>
      <c r="K619" s="67" t="n"/>
      <c r="L619" s="67" t="n"/>
      <c r="M619" s="64" t="n"/>
      <c r="N619" s="66" t="n"/>
      <c r="O619" s="84">
        <f>IF(A619="","",IF(OR(C619="",D619=""),"Enter both dates",IF(D619&lt;C619,"To is before From",IF(COUNTIFS($P$5:$P$2004,P619,$C$5:$C$2004,"&lt;="&amp;D619,$D$5:$D$2004,"&gt;="&amp;C619)&gt;1,"Overlaps another row","OK"))))</f>
        <v/>
      </c>
      <c r="P619">
        <f>IF(A619="","",A619&amp;"|"&amp;IF(B619="","Standard",B619))</f>
        <v/>
      </c>
      <c r="Q619">
        <f>IF(AND(A619&lt;&gt;"",A619='Firm Search'!$C$7),COUNTIF($A$5:A619,'Firm Search'!$C$7),"")</f>
        <v/>
      </c>
    </row>
    <row r="620">
      <c r="A620" s="64" t="n"/>
      <c r="B620" s="64" t="n"/>
      <c r="C620" s="66" t="n"/>
      <c r="D620" s="66" t="n"/>
      <c r="E620" s="67" t="n"/>
      <c r="F620" s="67" t="n"/>
      <c r="G620" s="67" t="n"/>
      <c r="H620" s="67" t="n"/>
      <c r="I620" s="67" t="n"/>
      <c r="J620" s="67" t="n"/>
      <c r="K620" s="67" t="n"/>
      <c r="L620" s="67" t="n"/>
      <c r="M620" s="64" t="n"/>
      <c r="N620" s="66" t="n"/>
      <c r="O620" s="84">
        <f>IF(A620="","",IF(OR(C620="",D620=""),"Enter both dates",IF(D620&lt;C620,"To is before From",IF(COUNTIFS($P$5:$P$2004,P620,$C$5:$C$2004,"&lt;="&amp;D620,$D$5:$D$2004,"&gt;="&amp;C620)&gt;1,"Overlaps another row","OK"))))</f>
        <v/>
      </c>
      <c r="P620">
        <f>IF(A620="","",A620&amp;"|"&amp;IF(B620="","Standard",B620))</f>
        <v/>
      </c>
      <c r="Q620">
        <f>IF(AND(A620&lt;&gt;"",A620='Firm Search'!$C$7),COUNTIF($A$5:A620,'Firm Search'!$C$7),"")</f>
        <v/>
      </c>
    </row>
    <row r="621">
      <c r="A621" s="64" t="n"/>
      <c r="B621" s="64" t="n"/>
      <c r="C621" s="66" t="n"/>
      <c r="D621" s="66" t="n"/>
      <c r="E621" s="67" t="n"/>
      <c r="F621" s="67" t="n"/>
      <c r="G621" s="67" t="n"/>
      <c r="H621" s="67" t="n"/>
      <c r="I621" s="67" t="n"/>
      <c r="J621" s="67" t="n"/>
      <c r="K621" s="67" t="n"/>
      <c r="L621" s="67" t="n"/>
      <c r="M621" s="64" t="n"/>
      <c r="N621" s="66" t="n"/>
      <c r="O621" s="84">
        <f>IF(A621="","",IF(OR(C621="",D621=""),"Enter both dates",IF(D621&lt;C621,"To is before From",IF(COUNTIFS($P$5:$P$2004,P621,$C$5:$C$2004,"&lt;="&amp;D621,$D$5:$D$2004,"&gt;="&amp;C621)&gt;1,"Overlaps another row","OK"))))</f>
        <v/>
      </c>
      <c r="P621">
        <f>IF(A621="","",A621&amp;"|"&amp;IF(B621="","Standard",B621))</f>
        <v/>
      </c>
      <c r="Q621">
        <f>IF(AND(A621&lt;&gt;"",A621='Firm Search'!$C$7),COUNTIF($A$5:A621,'Firm Search'!$C$7),"")</f>
        <v/>
      </c>
    </row>
    <row r="622">
      <c r="A622" s="64" t="n"/>
      <c r="B622" s="64" t="n"/>
      <c r="C622" s="66" t="n"/>
      <c r="D622" s="66" t="n"/>
      <c r="E622" s="67" t="n"/>
      <c r="F622" s="67" t="n"/>
      <c r="G622" s="67" t="n"/>
      <c r="H622" s="67" t="n"/>
      <c r="I622" s="67" t="n"/>
      <c r="J622" s="67" t="n"/>
      <c r="K622" s="67" t="n"/>
      <c r="L622" s="67" t="n"/>
      <c r="M622" s="64" t="n"/>
      <c r="N622" s="66" t="n"/>
      <c r="O622" s="84">
        <f>IF(A622="","",IF(OR(C622="",D622=""),"Enter both dates",IF(D622&lt;C622,"To is before From",IF(COUNTIFS($P$5:$P$2004,P622,$C$5:$C$2004,"&lt;="&amp;D622,$D$5:$D$2004,"&gt;="&amp;C622)&gt;1,"Overlaps another row","OK"))))</f>
        <v/>
      </c>
      <c r="P622">
        <f>IF(A622="","",A622&amp;"|"&amp;IF(B622="","Standard",B622))</f>
        <v/>
      </c>
      <c r="Q622">
        <f>IF(AND(A622&lt;&gt;"",A622='Firm Search'!$C$7),COUNTIF($A$5:A622,'Firm Search'!$C$7),"")</f>
        <v/>
      </c>
    </row>
    <row r="623">
      <c r="A623" s="64" t="n"/>
      <c r="B623" s="64" t="n"/>
      <c r="C623" s="66" t="n"/>
      <c r="D623" s="66" t="n"/>
      <c r="E623" s="67" t="n"/>
      <c r="F623" s="67" t="n"/>
      <c r="G623" s="67" t="n"/>
      <c r="H623" s="67" t="n"/>
      <c r="I623" s="67" t="n"/>
      <c r="J623" s="67" t="n"/>
      <c r="K623" s="67" t="n"/>
      <c r="L623" s="67" t="n"/>
      <c r="M623" s="64" t="n"/>
      <c r="N623" s="66" t="n"/>
      <c r="O623" s="84">
        <f>IF(A623="","",IF(OR(C623="",D623=""),"Enter both dates",IF(D623&lt;C623,"To is before From",IF(COUNTIFS($P$5:$P$2004,P623,$C$5:$C$2004,"&lt;="&amp;D623,$D$5:$D$2004,"&gt;="&amp;C623)&gt;1,"Overlaps another row","OK"))))</f>
        <v/>
      </c>
      <c r="P623">
        <f>IF(A623="","",A623&amp;"|"&amp;IF(B623="","Standard",B623))</f>
        <v/>
      </c>
      <c r="Q623">
        <f>IF(AND(A623&lt;&gt;"",A623='Firm Search'!$C$7),COUNTIF($A$5:A623,'Firm Search'!$C$7),"")</f>
        <v/>
      </c>
    </row>
    <row r="624">
      <c r="A624" s="64" t="n"/>
      <c r="B624" s="64" t="n"/>
      <c r="C624" s="66" t="n"/>
      <c r="D624" s="66" t="n"/>
      <c r="E624" s="67" t="n"/>
      <c r="F624" s="67" t="n"/>
      <c r="G624" s="67" t="n"/>
      <c r="H624" s="67" t="n"/>
      <c r="I624" s="67" t="n"/>
      <c r="J624" s="67" t="n"/>
      <c r="K624" s="67" t="n"/>
      <c r="L624" s="67" t="n"/>
      <c r="M624" s="64" t="n"/>
      <c r="N624" s="66" t="n"/>
      <c r="O624" s="84">
        <f>IF(A624="","",IF(OR(C624="",D624=""),"Enter both dates",IF(D624&lt;C624,"To is before From",IF(COUNTIFS($P$5:$P$2004,P624,$C$5:$C$2004,"&lt;="&amp;D624,$D$5:$D$2004,"&gt;="&amp;C624)&gt;1,"Overlaps another row","OK"))))</f>
        <v/>
      </c>
      <c r="P624">
        <f>IF(A624="","",A624&amp;"|"&amp;IF(B624="","Standard",B624))</f>
        <v/>
      </c>
      <c r="Q624">
        <f>IF(AND(A624&lt;&gt;"",A624='Firm Search'!$C$7),COUNTIF($A$5:A624,'Firm Search'!$C$7),"")</f>
        <v/>
      </c>
    </row>
    <row r="625">
      <c r="A625" s="64" t="n"/>
      <c r="B625" s="64" t="n"/>
      <c r="C625" s="66" t="n"/>
      <c r="D625" s="66" t="n"/>
      <c r="E625" s="67" t="n"/>
      <c r="F625" s="67" t="n"/>
      <c r="G625" s="67" t="n"/>
      <c r="H625" s="67" t="n"/>
      <c r="I625" s="67" t="n"/>
      <c r="J625" s="67" t="n"/>
      <c r="K625" s="67" t="n"/>
      <c r="L625" s="67" t="n"/>
      <c r="M625" s="64" t="n"/>
      <c r="N625" s="66" t="n"/>
      <c r="O625" s="84">
        <f>IF(A625="","",IF(OR(C625="",D625=""),"Enter both dates",IF(D625&lt;C625,"To is before From",IF(COUNTIFS($P$5:$P$2004,P625,$C$5:$C$2004,"&lt;="&amp;D625,$D$5:$D$2004,"&gt;="&amp;C625)&gt;1,"Overlaps another row","OK"))))</f>
        <v/>
      </c>
      <c r="P625">
        <f>IF(A625="","",A625&amp;"|"&amp;IF(B625="","Standard",B625))</f>
        <v/>
      </c>
      <c r="Q625">
        <f>IF(AND(A625&lt;&gt;"",A625='Firm Search'!$C$7),COUNTIF($A$5:A625,'Firm Search'!$C$7),"")</f>
        <v/>
      </c>
    </row>
    <row r="626">
      <c r="A626" s="64" t="n"/>
      <c r="B626" s="64" t="n"/>
      <c r="C626" s="66" t="n"/>
      <c r="D626" s="66" t="n"/>
      <c r="E626" s="67" t="n"/>
      <c r="F626" s="67" t="n"/>
      <c r="G626" s="67" t="n"/>
      <c r="H626" s="67" t="n"/>
      <c r="I626" s="67" t="n"/>
      <c r="J626" s="67" t="n"/>
      <c r="K626" s="67" t="n"/>
      <c r="L626" s="67" t="n"/>
      <c r="M626" s="64" t="n"/>
      <c r="N626" s="66" t="n"/>
      <c r="O626" s="84">
        <f>IF(A626="","",IF(OR(C626="",D626=""),"Enter both dates",IF(D626&lt;C626,"To is before From",IF(COUNTIFS($P$5:$P$2004,P626,$C$5:$C$2004,"&lt;="&amp;D626,$D$5:$D$2004,"&gt;="&amp;C626)&gt;1,"Overlaps another row","OK"))))</f>
        <v/>
      </c>
      <c r="P626">
        <f>IF(A626="","",A626&amp;"|"&amp;IF(B626="","Standard",B626))</f>
        <v/>
      </c>
      <c r="Q626">
        <f>IF(AND(A626&lt;&gt;"",A626='Firm Search'!$C$7),COUNTIF($A$5:A626,'Firm Search'!$C$7),"")</f>
        <v/>
      </c>
    </row>
    <row r="627">
      <c r="A627" s="64" t="n"/>
      <c r="B627" s="64" t="n"/>
      <c r="C627" s="66" t="n"/>
      <c r="D627" s="66" t="n"/>
      <c r="E627" s="67" t="n"/>
      <c r="F627" s="67" t="n"/>
      <c r="G627" s="67" t="n"/>
      <c r="H627" s="67" t="n"/>
      <c r="I627" s="67" t="n"/>
      <c r="J627" s="67" t="n"/>
      <c r="K627" s="67" t="n"/>
      <c r="L627" s="67" t="n"/>
      <c r="M627" s="64" t="n"/>
      <c r="N627" s="66" t="n"/>
      <c r="O627" s="84">
        <f>IF(A627="","",IF(OR(C627="",D627=""),"Enter both dates",IF(D627&lt;C627,"To is before From",IF(COUNTIFS($P$5:$P$2004,P627,$C$5:$C$2004,"&lt;="&amp;D627,$D$5:$D$2004,"&gt;="&amp;C627)&gt;1,"Overlaps another row","OK"))))</f>
        <v/>
      </c>
      <c r="P627">
        <f>IF(A627="","",A627&amp;"|"&amp;IF(B627="","Standard",B627))</f>
        <v/>
      </c>
      <c r="Q627">
        <f>IF(AND(A627&lt;&gt;"",A627='Firm Search'!$C$7),COUNTIF($A$5:A627,'Firm Search'!$C$7),"")</f>
        <v/>
      </c>
    </row>
    <row r="628">
      <c r="A628" s="64" t="n"/>
      <c r="B628" s="64" t="n"/>
      <c r="C628" s="66" t="n"/>
      <c r="D628" s="66" t="n"/>
      <c r="E628" s="67" t="n"/>
      <c r="F628" s="67" t="n"/>
      <c r="G628" s="67" t="n"/>
      <c r="H628" s="67" t="n"/>
      <c r="I628" s="67" t="n"/>
      <c r="J628" s="67" t="n"/>
      <c r="K628" s="67" t="n"/>
      <c r="L628" s="67" t="n"/>
      <c r="M628" s="64" t="n"/>
      <c r="N628" s="66" t="n"/>
      <c r="O628" s="84">
        <f>IF(A628="","",IF(OR(C628="",D628=""),"Enter both dates",IF(D628&lt;C628,"To is before From",IF(COUNTIFS($P$5:$P$2004,P628,$C$5:$C$2004,"&lt;="&amp;D628,$D$5:$D$2004,"&gt;="&amp;C628)&gt;1,"Overlaps another row","OK"))))</f>
        <v/>
      </c>
      <c r="P628">
        <f>IF(A628="","",A628&amp;"|"&amp;IF(B628="","Standard",B628))</f>
        <v/>
      </c>
      <c r="Q628">
        <f>IF(AND(A628&lt;&gt;"",A628='Firm Search'!$C$7),COUNTIF($A$5:A628,'Firm Search'!$C$7),"")</f>
        <v/>
      </c>
    </row>
    <row r="629">
      <c r="A629" s="64" t="n"/>
      <c r="B629" s="64" t="n"/>
      <c r="C629" s="66" t="n"/>
      <c r="D629" s="66" t="n"/>
      <c r="E629" s="67" t="n"/>
      <c r="F629" s="67" t="n"/>
      <c r="G629" s="67" t="n"/>
      <c r="H629" s="67" t="n"/>
      <c r="I629" s="67" t="n"/>
      <c r="J629" s="67" t="n"/>
      <c r="K629" s="67" t="n"/>
      <c r="L629" s="67" t="n"/>
      <c r="M629" s="64" t="n"/>
      <c r="N629" s="66" t="n"/>
      <c r="O629" s="84">
        <f>IF(A629="","",IF(OR(C629="",D629=""),"Enter both dates",IF(D629&lt;C629,"To is before From",IF(COUNTIFS($P$5:$P$2004,P629,$C$5:$C$2004,"&lt;="&amp;D629,$D$5:$D$2004,"&gt;="&amp;C629)&gt;1,"Overlaps another row","OK"))))</f>
        <v/>
      </c>
      <c r="P629">
        <f>IF(A629="","",A629&amp;"|"&amp;IF(B629="","Standard",B629))</f>
        <v/>
      </c>
      <c r="Q629">
        <f>IF(AND(A629&lt;&gt;"",A629='Firm Search'!$C$7),COUNTIF($A$5:A629,'Firm Search'!$C$7),"")</f>
        <v/>
      </c>
    </row>
    <row r="630">
      <c r="A630" s="64" t="n"/>
      <c r="B630" s="64" t="n"/>
      <c r="C630" s="66" t="n"/>
      <c r="D630" s="66" t="n"/>
      <c r="E630" s="67" t="n"/>
      <c r="F630" s="67" t="n"/>
      <c r="G630" s="67" t="n"/>
      <c r="H630" s="67" t="n"/>
      <c r="I630" s="67" t="n"/>
      <c r="J630" s="67" t="n"/>
      <c r="K630" s="67" t="n"/>
      <c r="L630" s="67" t="n"/>
      <c r="M630" s="64" t="n"/>
      <c r="N630" s="66" t="n"/>
      <c r="O630" s="84">
        <f>IF(A630="","",IF(OR(C630="",D630=""),"Enter both dates",IF(D630&lt;C630,"To is before From",IF(COUNTIFS($P$5:$P$2004,P630,$C$5:$C$2004,"&lt;="&amp;D630,$D$5:$D$2004,"&gt;="&amp;C630)&gt;1,"Overlaps another row","OK"))))</f>
        <v/>
      </c>
      <c r="P630">
        <f>IF(A630="","",A630&amp;"|"&amp;IF(B630="","Standard",B630))</f>
        <v/>
      </c>
      <c r="Q630">
        <f>IF(AND(A630&lt;&gt;"",A630='Firm Search'!$C$7),COUNTIF($A$5:A630,'Firm Search'!$C$7),"")</f>
        <v/>
      </c>
    </row>
    <row r="631">
      <c r="A631" s="64" t="n"/>
      <c r="B631" s="64" t="n"/>
      <c r="C631" s="66" t="n"/>
      <c r="D631" s="66" t="n"/>
      <c r="E631" s="67" t="n"/>
      <c r="F631" s="67" t="n"/>
      <c r="G631" s="67" t="n"/>
      <c r="H631" s="67" t="n"/>
      <c r="I631" s="67" t="n"/>
      <c r="J631" s="67" t="n"/>
      <c r="K631" s="67" t="n"/>
      <c r="L631" s="67" t="n"/>
      <c r="M631" s="64" t="n"/>
      <c r="N631" s="66" t="n"/>
      <c r="O631" s="84">
        <f>IF(A631="","",IF(OR(C631="",D631=""),"Enter both dates",IF(D631&lt;C631,"To is before From",IF(COUNTIFS($P$5:$P$2004,P631,$C$5:$C$2004,"&lt;="&amp;D631,$D$5:$D$2004,"&gt;="&amp;C631)&gt;1,"Overlaps another row","OK"))))</f>
        <v/>
      </c>
      <c r="P631">
        <f>IF(A631="","",A631&amp;"|"&amp;IF(B631="","Standard",B631))</f>
        <v/>
      </c>
      <c r="Q631">
        <f>IF(AND(A631&lt;&gt;"",A631='Firm Search'!$C$7),COUNTIF($A$5:A631,'Firm Search'!$C$7),"")</f>
        <v/>
      </c>
    </row>
    <row r="632">
      <c r="A632" s="64" t="n"/>
      <c r="B632" s="64" t="n"/>
      <c r="C632" s="66" t="n"/>
      <c r="D632" s="66" t="n"/>
      <c r="E632" s="67" t="n"/>
      <c r="F632" s="67" t="n"/>
      <c r="G632" s="67" t="n"/>
      <c r="H632" s="67" t="n"/>
      <c r="I632" s="67" t="n"/>
      <c r="J632" s="67" t="n"/>
      <c r="K632" s="67" t="n"/>
      <c r="L632" s="67" t="n"/>
      <c r="M632" s="64" t="n"/>
      <c r="N632" s="66" t="n"/>
      <c r="O632" s="84">
        <f>IF(A632="","",IF(OR(C632="",D632=""),"Enter both dates",IF(D632&lt;C632,"To is before From",IF(COUNTIFS($P$5:$P$2004,P632,$C$5:$C$2004,"&lt;="&amp;D632,$D$5:$D$2004,"&gt;="&amp;C632)&gt;1,"Overlaps another row","OK"))))</f>
        <v/>
      </c>
      <c r="P632">
        <f>IF(A632="","",A632&amp;"|"&amp;IF(B632="","Standard",B632))</f>
        <v/>
      </c>
      <c r="Q632">
        <f>IF(AND(A632&lt;&gt;"",A632='Firm Search'!$C$7),COUNTIF($A$5:A632,'Firm Search'!$C$7),"")</f>
        <v/>
      </c>
    </row>
    <row r="633">
      <c r="A633" s="64" t="n"/>
      <c r="B633" s="64" t="n"/>
      <c r="C633" s="66" t="n"/>
      <c r="D633" s="66" t="n"/>
      <c r="E633" s="67" t="n"/>
      <c r="F633" s="67" t="n"/>
      <c r="G633" s="67" t="n"/>
      <c r="H633" s="67" t="n"/>
      <c r="I633" s="67" t="n"/>
      <c r="J633" s="67" t="n"/>
      <c r="K633" s="67" t="n"/>
      <c r="L633" s="67" t="n"/>
      <c r="M633" s="64" t="n"/>
      <c r="N633" s="66" t="n"/>
      <c r="O633" s="84">
        <f>IF(A633="","",IF(OR(C633="",D633=""),"Enter both dates",IF(D633&lt;C633,"To is before From",IF(COUNTIFS($P$5:$P$2004,P633,$C$5:$C$2004,"&lt;="&amp;D633,$D$5:$D$2004,"&gt;="&amp;C633)&gt;1,"Overlaps another row","OK"))))</f>
        <v/>
      </c>
      <c r="P633">
        <f>IF(A633="","",A633&amp;"|"&amp;IF(B633="","Standard",B633))</f>
        <v/>
      </c>
      <c r="Q633">
        <f>IF(AND(A633&lt;&gt;"",A633='Firm Search'!$C$7),COUNTIF($A$5:A633,'Firm Search'!$C$7),"")</f>
        <v/>
      </c>
    </row>
    <row r="634">
      <c r="A634" s="64" t="n"/>
      <c r="B634" s="64" t="n"/>
      <c r="C634" s="66" t="n"/>
      <c r="D634" s="66" t="n"/>
      <c r="E634" s="67" t="n"/>
      <c r="F634" s="67" t="n"/>
      <c r="G634" s="67" t="n"/>
      <c r="H634" s="67" t="n"/>
      <c r="I634" s="67" t="n"/>
      <c r="J634" s="67" t="n"/>
      <c r="K634" s="67" t="n"/>
      <c r="L634" s="67" t="n"/>
      <c r="M634" s="64" t="n"/>
      <c r="N634" s="66" t="n"/>
      <c r="O634" s="84">
        <f>IF(A634="","",IF(OR(C634="",D634=""),"Enter both dates",IF(D634&lt;C634,"To is before From",IF(COUNTIFS($P$5:$P$2004,P634,$C$5:$C$2004,"&lt;="&amp;D634,$D$5:$D$2004,"&gt;="&amp;C634)&gt;1,"Overlaps another row","OK"))))</f>
        <v/>
      </c>
      <c r="P634">
        <f>IF(A634="","",A634&amp;"|"&amp;IF(B634="","Standard",B634))</f>
        <v/>
      </c>
      <c r="Q634">
        <f>IF(AND(A634&lt;&gt;"",A634='Firm Search'!$C$7),COUNTIF($A$5:A634,'Firm Search'!$C$7),"")</f>
        <v/>
      </c>
    </row>
    <row r="635">
      <c r="A635" s="64" t="n"/>
      <c r="B635" s="64" t="n"/>
      <c r="C635" s="66" t="n"/>
      <c r="D635" s="66" t="n"/>
      <c r="E635" s="67" t="n"/>
      <c r="F635" s="67" t="n"/>
      <c r="G635" s="67" t="n"/>
      <c r="H635" s="67" t="n"/>
      <c r="I635" s="67" t="n"/>
      <c r="J635" s="67" t="n"/>
      <c r="K635" s="67" t="n"/>
      <c r="L635" s="67" t="n"/>
      <c r="M635" s="64" t="n"/>
      <c r="N635" s="66" t="n"/>
      <c r="O635" s="84">
        <f>IF(A635="","",IF(OR(C635="",D635=""),"Enter both dates",IF(D635&lt;C635,"To is before From",IF(COUNTIFS($P$5:$P$2004,P635,$C$5:$C$2004,"&lt;="&amp;D635,$D$5:$D$2004,"&gt;="&amp;C635)&gt;1,"Overlaps another row","OK"))))</f>
        <v/>
      </c>
      <c r="P635">
        <f>IF(A635="","",A635&amp;"|"&amp;IF(B635="","Standard",B635))</f>
        <v/>
      </c>
      <c r="Q635">
        <f>IF(AND(A635&lt;&gt;"",A635='Firm Search'!$C$7),COUNTIF($A$5:A635,'Firm Search'!$C$7),"")</f>
        <v/>
      </c>
    </row>
    <row r="636">
      <c r="A636" s="64" t="n"/>
      <c r="B636" s="64" t="n"/>
      <c r="C636" s="66" t="n"/>
      <c r="D636" s="66" t="n"/>
      <c r="E636" s="67" t="n"/>
      <c r="F636" s="67" t="n"/>
      <c r="G636" s="67" t="n"/>
      <c r="H636" s="67" t="n"/>
      <c r="I636" s="67" t="n"/>
      <c r="J636" s="67" t="n"/>
      <c r="K636" s="67" t="n"/>
      <c r="L636" s="67" t="n"/>
      <c r="M636" s="64" t="n"/>
      <c r="N636" s="66" t="n"/>
      <c r="O636" s="84">
        <f>IF(A636="","",IF(OR(C636="",D636=""),"Enter both dates",IF(D636&lt;C636,"To is before From",IF(COUNTIFS($P$5:$P$2004,P636,$C$5:$C$2004,"&lt;="&amp;D636,$D$5:$D$2004,"&gt;="&amp;C636)&gt;1,"Overlaps another row","OK"))))</f>
        <v/>
      </c>
      <c r="P636">
        <f>IF(A636="","",A636&amp;"|"&amp;IF(B636="","Standard",B636))</f>
        <v/>
      </c>
      <c r="Q636">
        <f>IF(AND(A636&lt;&gt;"",A636='Firm Search'!$C$7),COUNTIF($A$5:A636,'Firm Search'!$C$7),"")</f>
        <v/>
      </c>
    </row>
    <row r="637">
      <c r="A637" s="64" t="n"/>
      <c r="B637" s="64" t="n"/>
      <c r="C637" s="66" t="n"/>
      <c r="D637" s="66" t="n"/>
      <c r="E637" s="67" t="n"/>
      <c r="F637" s="67" t="n"/>
      <c r="G637" s="67" t="n"/>
      <c r="H637" s="67" t="n"/>
      <c r="I637" s="67" t="n"/>
      <c r="J637" s="67" t="n"/>
      <c r="K637" s="67" t="n"/>
      <c r="L637" s="67" t="n"/>
      <c r="M637" s="64" t="n"/>
      <c r="N637" s="66" t="n"/>
      <c r="O637" s="84">
        <f>IF(A637="","",IF(OR(C637="",D637=""),"Enter both dates",IF(D637&lt;C637,"To is before From",IF(COUNTIFS($P$5:$P$2004,P637,$C$5:$C$2004,"&lt;="&amp;D637,$D$5:$D$2004,"&gt;="&amp;C637)&gt;1,"Overlaps another row","OK"))))</f>
        <v/>
      </c>
      <c r="P637">
        <f>IF(A637="","",A637&amp;"|"&amp;IF(B637="","Standard",B637))</f>
        <v/>
      </c>
      <c r="Q637">
        <f>IF(AND(A637&lt;&gt;"",A637='Firm Search'!$C$7),COUNTIF($A$5:A637,'Firm Search'!$C$7),"")</f>
        <v/>
      </c>
    </row>
    <row r="638">
      <c r="A638" s="64" t="n"/>
      <c r="B638" s="64" t="n"/>
      <c r="C638" s="66" t="n"/>
      <c r="D638" s="66" t="n"/>
      <c r="E638" s="67" t="n"/>
      <c r="F638" s="67" t="n"/>
      <c r="G638" s="67" t="n"/>
      <c r="H638" s="67" t="n"/>
      <c r="I638" s="67" t="n"/>
      <c r="J638" s="67" t="n"/>
      <c r="K638" s="67" t="n"/>
      <c r="L638" s="67" t="n"/>
      <c r="M638" s="64" t="n"/>
      <c r="N638" s="66" t="n"/>
      <c r="O638" s="84">
        <f>IF(A638="","",IF(OR(C638="",D638=""),"Enter both dates",IF(D638&lt;C638,"To is before From",IF(COUNTIFS($P$5:$P$2004,P638,$C$5:$C$2004,"&lt;="&amp;D638,$D$5:$D$2004,"&gt;="&amp;C638)&gt;1,"Overlaps another row","OK"))))</f>
        <v/>
      </c>
      <c r="P638">
        <f>IF(A638="","",A638&amp;"|"&amp;IF(B638="","Standard",B638))</f>
        <v/>
      </c>
      <c r="Q638">
        <f>IF(AND(A638&lt;&gt;"",A638='Firm Search'!$C$7),COUNTIF($A$5:A638,'Firm Search'!$C$7),"")</f>
        <v/>
      </c>
    </row>
    <row r="639">
      <c r="A639" s="64" t="n"/>
      <c r="B639" s="64" t="n"/>
      <c r="C639" s="66" t="n"/>
      <c r="D639" s="66" t="n"/>
      <c r="E639" s="67" t="n"/>
      <c r="F639" s="67" t="n"/>
      <c r="G639" s="67" t="n"/>
      <c r="H639" s="67" t="n"/>
      <c r="I639" s="67" t="n"/>
      <c r="J639" s="67" t="n"/>
      <c r="K639" s="67" t="n"/>
      <c r="L639" s="67" t="n"/>
      <c r="M639" s="64" t="n"/>
      <c r="N639" s="66" t="n"/>
      <c r="O639" s="84">
        <f>IF(A639="","",IF(OR(C639="",D639=""),"Enter both dates",IF(D639&lt;C639,"To is before From",IF(COUNTIFS($P$5:$P$2004,P639,$C$5:$C$2004,"&lt;="&amp;D639,$D$5:$D$2004,"&gt;="&amp;C639)&gt;1,"Overlaps another row","OK"))))</f>
        <v/>
      </c>
      <c r="P639">
        <f>IF(A639="","",A639&amp;"|"&amp;IF(B639="","Standard",B639))</f>
        <v/>
      </c>
      <c r="Q639">
        <f>IF(AND(A639&lt;&gt;"",A639='Firm Search'!$C$7),COUNTIF($A$5:A639,'Firm Search'!$C$7),"")</f>
        <v/>
      </c>
    </row>
    <row r="640">
      <c r="A640" s="64" t="n"/>
      <c r="B640" s="64" t="n"/>
      <c r="C640" s="66" t="n"/>
      <c r="D640" s="66" t="n"/>
      <c r="E640" s="67" t="n"/>
      <c r="F640" s="67" t="n"/>
      <c r="G640" s="67" t="n"/>
      <c r="H640" s="67" t="n"/>
      <c r="I640" s="67" t="n"/>
      <c r="J640" s="67" t="n"/>
      <c r="K640" s="67" t="n"/>
      <c r="L640" s="67" t="n"/>
      <c r="M640" s="64" t="n"/>
      <c r="N640" s="66" t="n"/>
      <c r="O640" s="84">
        <f>IF(A640="","",IF(OR(C640="",D640=""),"Enter both dates",IF(D640&lt;C640,"To is before From",IF(COUNTIFS($P$5:$P$2004,P640,$C$5:$C$2004,"&lt;="&amp;D640,$D$5:$D$2004,"&gt;="&amp;C640)&gt;1,"Overlaps another row","OK"))))</f>
        <v/>
      </c>
      <c r="P640">
        <f>IF(A640="","",A640&amp;"|"&amp;IF(B640="","Standard",B640))</f>
        <v/>
      </c>
      <c r="Q640">
        <f>IF(AND(A640&lt;&gt;"",A640='Firm Search'!$C$7),COUNTIF($A$5:A640,'Firm Search'!$C$7),"")</f>
        <v/>
      </c>
    </row>
    <row r="641">
      <c r="A641" s="64" t="n"/>
      <c r="B641" s="64" t="n"/>
      <c r="C641" s="66" t="n"/>
      <c r="D641" s="66" t="n"/>
      <c r="E641" s="67" t="n"/>
      <c r="F641" s="67" t="n"/>
      <c r="G641" s="67" t="n"/>
      <c r="H641" s="67" t="n"/>
      <c r="I641" s="67" t="n"/>
      <c r="J641" s="67" t="n"/>
      <c r="K641" s="67" t="n"/>
      <c r="L641" s="67" t="n"/>
      <c r="M641" s="64" t="n"/>
      <c r="N641" s="66" t="n"/>
      <c r="O641" s="84">
        <f>IF(A641="","",IF(OR(C641="",D641=""),"Enter both dates",IF(D641&lt;C641,"To is before From",IF(COUNTIFS($P$5:$P$2004,P641,$C$5:$C$2004,"&lt;="&amp;D641,$D$5:$D$2004,"&gt;="&amp;C641)&gt;1,"Overlaps another row","OK"))))</f>
        <v/>
      </c>
      <c r="P641">
        <f>IF(A641="","",A641&amp;"|"&amp;IF(B641="","Standard",B641))</f>
        <v/>
      </c>
      <c r="Q641">
        <f>IF(AND(A641&lt;&gt;"",A641='Firm Search'!$C$7),COUNTIF($A$5:A641,'Firm Search'!$C$7),"")</f>
        <v/>
      </c>
    </row>
    <row r="642">
      <c r="A642" s="64" t="n"/>
      <c r="B642" s="64" t="n"/>
      <c r="C642" s="66" t="n"/>
      <c r="D642" s="66" t="n"/>
      <c r="E642" s="67" t="n"/>
      <c r="F642" s="67" t="n"/>
      <c r="G642" s="67" t="n"/>
      <c r="H642" s="67" t="n"/>
      <c r="I642" s="67" t="n"/>
      <c r="J642" s="67" t="n"/>
      <c r="K642" s="67" t="n"/>
      <c r="L642" s="67" t="n"/>
      <c r="M642" s="64" t="n"/>
      <c r="N642" s="66" t="n"/>
      <c r="O642" s="84">
        <f>IF(A642="","",IF(OR(C642="",D642=""),"Enter both dates",IF(D642&lt;C642,"To is before From",IF(COUNTIFS($P$5:$P$2004,P642,$C$5:$C$2004,"&lt;="&amp;D642,$D$5:$D$2004,"&gt;="&amp;C642)&gt;1,"Overlaps another row","OK"))))</f>
        <v/>
      </c>
      <c r="P642">
        <f>IF(A642="","",A642&amp;"|"&amp;IF(B642="","Standard",B642))</f>
        <v/>
      </c>
      <c r="Q642">
        <f>IF(AND(A642&lt;&gt;"",A642='Firm Search'!$C$7),COUNTIF($A$5:A642,'Firm Search'!$C$7),"")</f>
        <v/>
      </c>
    </row>
    <row r="643">
      <c r="A643" s="64" t="n"/>
      <c r="B643" s="64" t="n"/>
      <c r="C643" s="66" t="n"/>
      <c r="D643" s="66" t="n"/>
      <c r="E643" s="67" t="n"/>
      <c r="F643" s="67" t="n"/>
      <c r="G643" s="67" t="n"/>
      <c r="H643" s="67" t="n"/>
      <c r="I643" s="67" t="n"/>
      <c r="J643" s="67" t="n"/>
      <c r="K643" s="67" t="n"/>
      <c r="L643" s="67" t="n"/>
      <c r="M643" s="64" t="n"/>
      <c r="N643" s="66" t="n"/>
      <c r="O643" s="84">
        <f>IF(A643="","",IF(OR(C643="",D643=""),"Enter both dates",IF(D643&lt;C643,"To is before From",IF(COUNTIFS($P$5:$P$2004,P643,$C$5:$C$2004,"&lt;="&amp;D643,$D$5:$D$2004,"&gt;="&amp;C643)&gt;1,"Overlaps another row","OK"))))</f>
        <v/>
      </c>
      <c r="P643">
        <f>IF(A643="","",A643&amp;"|"&amp;IF(B643="","Standard",B643))</f>
        <v/>
      </c>
      <c r="Q643">
        <f>IF(AND(A643&lt;&gt;"",A643='Firm Search'!$C$7),COUNTIF($A$5:A643,'Firm Search'!$C$7),"")</f>
        <v/>
      </c>
    </row>
    <row r="644">
      <c r="A644" s="64" t="n"/>
      <c r="B644" s="64" t="n"/>
      <c r="C644" s="66" t="n"/>
      <c r="D644" s="66" t="n"/>
      <c r="E644" s="67" t="n"/>
      <c r="F644" s="67" t="n"/>
      <c r="G644" s="67" t="n"/>
      <c r="H644" s="67" t="n"/>
      <c r="I644" s="67" t="n"/>
      <c r="J644" s="67" t="n"/>
      <c r="K644" s="67" t="n"/>
      <c r="L644" s="67" t="n"/>
      <c r="M644" s="64" t="n"/>
      <c r="N644" s="66" t="n"/>
      <c r="O644" s="84">
        <f>IF(A644="","",IF(OR(C644="",D644=""),"Enter both dates",IF(D644&lt;C644,"To is before From",IF(COUNTIFS($P$5:$P$2004,P644,$C$5:$C$2004,"&lt;="&amp;D644,$D$5:$D$2004,"&gt;="&amp;C644)&gt;1,"Overlaps another row","OK"))))</f>
        <v/>
      </c>
      <c r="P644">
        <f>IF(A644="","",A644&amp;"|"&amp;IF(B644="","Standard",B644))</f>
        <v/>
      </c>
      <c r="Q644">
        <f>IF(AND(A644&lt;&gt;"",A644='Firm Search'!$C$7),COUNTIF($A$5:A644,'Firm Search'!$C$7),"")</f>
        <v/>
      </c>
    </row>
    <row r="645">
      <c r="A645" s="64" t="n"/>
      <c r="B645" s="64" t="n"/>
      <c r="C645" s="66" t="n"/>
      <c r="D645" s="66" t="n"/>
      <c r="E645" s="67" t="n"/>
      <c r="F645" s="67" t="n"/>
      <c r="G645" s="67" t="n"/>
      <c r="H645" s="67" t="n"/>
      <c r="I645" s="67" t="n"/>
      <c r="J645" s="67" t="n"/>
      <c r="K645" s="67" t="n"/>
      <c r="L645" s="67" t="n"/>
      <c r="M645" s="64" t="n"/>
      <c r="N645" s="66" t="n"/>
      <c r="O645" s="84">
        <f>IF(A645="","",IF(OR(C645="",D645=""),"Enter both dates",IF(D645&lt;C645,"To is before From",IF(COUNTIFS($P$5:$P$2004,P645,$C$5:$C$2004,"&lt;="&amp;D645,$D$5:$D$2004,"&gt;="&amp;C645)&gt;1,"Overlaps another row","OK"))))</f>
        <v/>
      </c>
      <c r="P645">
        <f>IF(A645="","",A645&amp;"|"&amp;IF(B645="","Standard",B645))</f>
        <v/>
      </c>
      <c r="Q645">
        <f>IF(AND(A645&lt;&gt;"",A645='Firm Search'!$C$7),COUNTIF($A$5:A645,'Firm Search'!$C$7),"")</f>
        <v/>
      </c>
    </row>
    <row r="646">
      <c r="A646" s="64" t="n"/>
      <c r="B646" s="64" t="n"/>
      <c r="C646" s="66" t="n"/>
      <c r="D646" s="66" t="n"/>
      <c r="E646" s="67" t="n"/>
      <c r="F646" s="67" t="n"/>
      <c r="G646" s="67" t="n"/>
      <c r="H646" s="67" t="n"/>
      <c r="I646" s="67" t="n"/>
      <c r="J646" s="67" t="n"/>
      <c r="K646" s="67" t="n"/>
      <c r="L646" s="67" t="n"/>
      <c r="M646" s="64" t="n"/>
      <c r="N646" s="66" t="n"/>
      <c r="O646" s="84">
        <f>IF(A646="","",IF(OR(C646="",D646=""),"Enter both dates",IF(D646&lt;C646,"To is before From",IF(COUNTIFS($P$5:$P$2004,P646,$C$5:$C$2004,"&lt;="&amp;D646,$D$5:$D$2004,"&gt;="&amp;C646)&gt;1,"Overlaps another row","OK"))))</f>
        <v/>
      </c>
      <c r="P646">
        <f>IF(A646="","",A646&amp;"|"&amp;IF(B646="","Standard",B646))</f>
        <v/>
      </c>
      <c r="Q646">
        <f>IF(AND(A646&lt;&gt;"",A646='Firm Search'!$C$7),COUNTIF($A$5:A646,'Firm Search'!$C$7),"")</f>
        <v/>
      </c>
    </row>
    <row r="647">
      <c r="A647" s="64" t="n"/>
      <c r="B647" s="64" t="n"/>
      <c r="C647" s="66" t="n"/>
      <c r="D647" s="66" t="n"/>
      <c r="E647" s="67" t="n"/>
      <c r="F647" s="67" t="n"/>
      <c r="G647" s="67" t="n"/>
      <c r="H647" s="67" t="n"/>
      <c r="I647" s="67" t="n"/>
      <c r="J647" s="67" t="n"/>
      <c r="K647" s="67" t="n"/>
      <c r="L647" s="67" t="n"/>
      <c r="M647" s="64" t="n"/>
      <c r="N647" s="66" t="n"/>
      <c r="O647" s="84">
        <f>IF(A647="","",IF(OR(C647="",D647=""),"Enter both dates",IF(D647&lt;C647,"To is before From",IF(COUNTIFS($P$5:$P$2004,P647,$C$5:$C$2004,"&lt;="&amp;D647,$D$5:$D$2004,"&gt;="&amp;C647)&gt;1,"Overlaps another row","OK"))))</f>
        <v/>
      </c>
      <c r="P647">
        <f>IF(A647="","",A647&amp;"|"&amp;IF(B647="","Standard",B647))</f>
        <v/>
      </c>
      <c r="Q647">
        <f>IF(AND(A647&lt;&gt;"",A647='Firm Search'!$C$7),COUNTIF($A$5:A647,'Firm Search'!$C$7),"")</f>
        <v/>
      </c>
    </row>
    <row r="648">
      <c r="A648" s="64" t="n"/>
      <c r="B648" s="64" t="n"/>
      <c r="C648" s="66" t="n"/>
      <c r="D648" s="66" t="n"/>
      <c r="E648" s="67" t="n"/>
      <c r="F648" s="67" t="n"/>
      <c r="G648" s="67" t="n"/>
      <c r="H648" s="67" t="n"/>
      <c r="I648" s="67" t="n"/>
      <c r="J648" s="67" t="n"/>
      <c r="K648" s="67" t="n"/>
      <c r="L648" s="67" t="n"/>
      <c r="M648" s="64" t="n"/>
      <c r="N648" s="66" t="n"/>
      <c r="O648" s="84">
        <f>IF(A648="","",IF(OR(C648="",D648=""),"Enter both dates",IF(D648&lt;C648,"To is before From",IF(COUNTIFS($P$5:$P$2004,P648,$C$5:$C$2004,"&lt;="&amp;D648,$D$5:$D$2004,"&gt;="&amp;C648)&gt;1,"Overlaps another row","OK"))))</f>
        <v/>
      </c>
      <c r="P648">
        <f>IF(A648="","",A648&amp;"|"&amp;IF(B648="","Standard",B648))</f>
        <v/>
      </c>
      <c r="Q648">
        <f>IF(AND(A648&lt;&gt;"",A648='Firm Search'!$C$7),COUNTIF($A$5:A648,'Firm Search'!$C$7),"")</f>
        <v/>
      </c>
    </row>
    <row r="649">
      <c r="A649" s="64" t="n"/>
      <c r="B649" s="64" t="n"/>
      <c r="C649" s="66" t="n"/>
      <c r="D649" s="66" t="n"/>
      <c r="E649" s="67" t="n"/>
      <c r="F649" s="67" t="n"/>
      <c r="G649" s="67" t="n"/>
      <c r="H649" s="67" t="n"/>
      <c r="I649" s="67" t="n"/>
      <c r="J649" s="67" t="n"/>
      <c r="K649" s="67" t="n"/>
      <c r="L649" s="67" t="n"/>
      <c r="M649" s="64" t="n"/>
      <c r="N649" s="66" t="n"/>
      <c r="O649" s="84">
        <f>IF(A649="","",IF(OR(C649="",D649=""),"Enter both dates",IF(D649&lt;C649,"To is before From",IF(COUNTIFS($P$5:$P$2004,P649,$C$5:$C$2004,"&lt;="&amp;D649,$D$5:$D$2004,"&gt;="&amp;C649)&gt;1,"Overlaps another row","OK"))))</f>
        <v/>
      </c>
      <c r="P649">
        <f>IF(A649="","",A649&amp;"|"&amp;IF(B649="","Standard",B649))</f>
        <v/>
      </c>
      <c r="Q649">
        <f>IF(AND(A649&lt;&gt;"",A649='Firm Search'!$C$7),COUNTIF($A$5:A649,'Firm Search'!$C$7),"")</f>
        <v/>
      </c>
    </row>
    <row r="650">
      <c r="A650" s="64" t="n"/>
      <c r="B650" s="64" t="n"/>
      <c r="C650" s="66" t="n"/>
      <c r="D650" s="66" t="n"/>
      <c r="E650" s="67" t="n"/>
      <c r="F650" s="67" t="n"/>
      <c r="G650" s="67" t="n"/>
      <c r="H650" s="67" t="n"/>
      <c r="I650" s="67" t="n"/>
      <c r="J650" s="67" t="n"/>
      <c r="K650" s="67" t="n"/>
      <c r="L650" s="67" t="n"/>
      <c r="M650" s="64" t="n"/>
      <c r="N650" s="66" t="n"/>
      <c r="O650" s="84">
        <f>IF(A650="","",IF(OR(C650="",D650=""),"Enter both dates",IF(D650&lt;C650,"To is before From",IF(COUNTIFS($P$5:$P$2004,P650,$C$5:$C$2004,"&lt;="&amp;D650,$D$5:$D$2004,"&gt;="&amp;C650)&gt;1,"Overlaps another row","OK"))))</f>
        <v/>
      </c>
      <c r="P650">
        <f>IF(A650="","",A650&amp;"|"&amp;IF(B650="","Standard",B650))</f>
        <v/>
      </c>
      <c r="Q650">
        <f>IF(AND(A650&lt;&gt;"",A650='Firm Search'!$C$7),COUNTIF($A$5:A650,'Firm Search'!$C$7),"")</f>
        <v/>
      </c>
    </row>
    <row r="651">
      <c r="A651" s="64" t="n"/>
      <c r="B651" s="64" t="n"/>
      <c r="C651" s="66" t="n"/>
      <c r="D651" s="66" t="n"/>
      <c r="E651" s="67" t="n"/>
      <c r="F651" s="67" t="n"/>
      <c r="G651" s="67" t="n"/>
      <c r="H651" s="67" t="n"/>
      <c r="I651" s="67" t="n"/>
      <c r="J651" s="67" t="n"/>
      <c r="K651" s="67" t="n"/>
      <c r="L651" s="67" t="n"/>
      <c r="M651" s="64" t="n"/>
      <c r="N651" s="66" t="n"/>
      <c r="O651" s="84">
        <f>IF(A651="","",IF(OR(C651="",D651=""),"Enter both dates",IF(D651&lt;C651,"To is before From",IF(COUNTIFS($P$5:$P$2004,P651,$C$5:$C$2004,"&lt;="&amp;D651,$D$5:$D$2004,"&gt;="&amp;C651)&gt;1,"Overlaps another row","OK"))))</f>
        <v/>
      </c>
      <c r="P651">
        <f>IF(A651="","",A651&amp;"|"&amp;IF(B651="","Standard",B651))</f>
        <v/>
      </c>
      <c r="Q651">
        <f>IF(AND(A651&lt;&gt;"",A651='Firm Search'!$C$7),COUNTIF($A$5:A651,'Firm Search'!$C$7),"")</f>
        <v/>
      </c>
    </row>
    <row r="652">
      <c r="A652" s="64" t="n"/>
      <c r="B652" s="64" t="n"/>
      <c r="C652" s="66" t="n"/>
      <c r="D652" s="66" t="n"/>
      <c r="E652" s="67" t="n"/>
      <c r="F652" s="67" t="n"/>
      <c r="G652" s="67" t="n"/>
      <c r="H652" s="67" t="n"/>
      <c r="I652" s="67" t="n"/>
      <c r="J652" s="67" t="n"/>
      <c r="K652" s="67" t="n"/>
      <c r="L652" s="67" t="n"/>
      <c r="M652" s="64" t="n"/>
      <c r="N652" s="66" t="n"/>
      <c r="O652" s="84">
        <f>IF(A652="","",IF(OR(C652="",D652=""),"Enter both dates",IF(D652&lt;C652,"To is before From",IF(COUNTIFS($P$5:$P$2004,P652,$C$5:$C$2004,"&lt;="&amp;D652,$D$5:$D$2004,"&gt;="&amp;C652)&gt;1,"Overlaps another row","OK"))))</f>
        <v/>
      </c>
      <c r="P652">
        <f>IF(A652="","",A652&amp;"|"&amp;IF(B652="","Standard",B652))</f>
        <v/>
      </c>
      <c r="Q652">
        <f>IF(AND(A652&lt;&gt;"",A652='Firm Search'!$C$7),COUNTIF($A$5:A652,'Firm Search'!$C$7),"")</f>
        <v/>
      </c>
    </row>
    <row r="653">
      <c r="A653" s="64" t="n"/>
      <c r="B653" s="64" t="n"/>
      <c r="C653" s="66" t="n"/>
      <c r="D653" s="66" t="n"/>
      <c r="E653" s="67" t="n"/>
      <c r="F653" s="67" t="n"/>
      <c r="G653" s="67" t="n"/>
      <c r="H653" s="67" t="n"/>
      <c r="I653" s="67" t="n"/>
      <c r="J653" s="67" t="n"/>
      <c r="K653" s="67" t="n"/>
      <c r="L653" s="67" t="n"/>
      <c r="M653" s="64" t="n"/>
      <c r="N653" s="66" t="n"/>
      <c r="O653" s="84">
        <f>IF(A653="","",IF(OR(C653="",D653=""),"Enter both dates",IF(D653&lt;C653,"To is before From",IF(COUNTIFS($P$5:$P$2004,P653,$C$5:$C$2004,"&lt;="&amp;D653,$D$5:$D$2004,"&gt;="&amp;C653)&gt;1,"Overlaps another row","OK"))))</f>
        <v/>
      </c>
      <c r="P653">
        <f>IF(A653="","",A653&amp;"|"&amp;IF(B653="","Standard",B653))</f>
        <v/>
      </c>
      <c r="Q653">
        <f>IF(AND(A653&lt;&gt;"",A653='Firm Search'!$C$7),COUNTIF($A$5:A653,'Firm Search'!$C$7),"")</f>
        <v/>
      </c>
    </row>
    <row r="654">
      <c r="A654" s="64" t="n"/>
      <c r="B654" s="64" t="n"/>
      <c r="C654" s="66" t="n"/>
      <c r="D654" s="66" t="n"/>
      <c r="E654" s="67" t="n"/>
      <c r="F654" s="67" t="n"/>
      <c r="G654" s="67" t="n"/>
      <c r="H654" s="67" t="n"/>
      <c r="I654" s="67" t="n"/>
      <c r="J654" s="67" t="n"/>
      <c r="K654" s="67" t="n"/>
      <c r="L654" s="67" t="n"/>
      <c r="M654" s="64" t="n"/>
      <c r="N654" s="66" t="n"/>
      <c r="O654" s="84">
        <f>IF(A654="","",IF(OR(C654="",D654=""),"Enter both dates",IF(D654&lt;C654,"To is before From",IF(COUNTIFS($P$5:$P$2004,P654,$C$5:$C$2004,"&lt;="&amp;D654,$D$5:$D$2004,"&gt;="&amp;C654)&gt;1,"Overlaps another row","OK"))))</f>
        <v/>
      </c>
      <c r="P654">
        <f>IF(A654="","",A654&amp;"|"&amp;IF(B654="","Standard",B654))</f>
        <v/>
      </c>
      <c r="Q654">
        <f>IF(AND(A654&lt;&gt;"",A654='Firm Search'!$C$7),COUNTIF($A$5:A654,'Firm Search'!$C$7),"")</f>
        <v/>
      </c>
    </row>
    <row r="655">
      <c r="A655" s="64" t="n"/>
      <c r="B655" s="64" t="n"/>
      <c r="C655" s="66" t="n"/>
      <c r="D655" s="66" t="n"/>
      <c r="E655" s="67" t="n"/>
      <c r="F655" s="67" t="n"/>
      <c r="G655" s="67" t="n"/>
      <c r="H655" s="67" t="n"/>
      <c r="I655" s="67" t="n"/>
      <c r="J655" s="67" t="n"/>
      <c r="K655" s="67" t="n"/>
      <c r="L655" s="67" t="n"/>
      <c r="M655" s="64" t="n"/>
      <c r="N655" s="66" t="n"/>
      <c r="O655" s="84">
        <f>IF(A655="","",IF(OR(C655="",D655=""),"Enter both dates",IF(D655&lt;C655,"To is before From",IF(COUNTIFS($P$5:$P$2004,P655,$C$5:$C$2004,"&lt;="&amp;D655,$D$5:$D$2004,"&gt;="&amp;C655)&gt;1,"Overlaps another row","OK"))))</f>
        <v/>
      </c>
      <c r="P655">
        <f>IF(A655="","",A655&amp;"|"&amp;IF(B655="","Standard",B655))</f>
        <v/>
      </c>
      <c r="Q655">
        <f>IF(AND(A655&lt;&gt;"",A655='Firm Search'!$C$7),COUNTIF($A$5:A655,'Firm Search'!$C$7),"")</f>
        <v/>
      </c>
    </row>
    <row r="656">
      <c r="A656" s="64" t="n"/>
      <c r="B656" s="64" t="n"/>
      <c r="C656" s="66" t="n"/>
      <c r="D656" s="66" t="n"/>
      <c r="E656" s="67" t="n"/>
      <c r="F656" s="67" t="n"/>
      <c r="G656" s="67" t="n"/>
      <c r="H656" s="67" t="n"/>
      <c r="I656" s="67" t="n"/>
      <c r="J656" s="67" t="n"/>
      <c r="K656" s="67" t="n"/>
      <c r="L656" s="67" t="n"/>
      <c r="M656" s="64" t="n"/>
      <c r="N656" s="66" t="n"/>
      <c r="O656" s="84">
        <f>IF(A656="","",IF(OR(C656="",D656=""),"Enter both dates",IF(D656&lt;C656,"To is before From",IF(COUNTIFS($P$5:$P$2004,P656,$C$5:$C$2004,"&lt;="&amp;D656,$D$5:$D$2004,"&gt;="&amp;C656)&gt;1,"Overlaps another row","OK"))))</f>
        <v/>
      </c>
      <c r="P656">
        <f>IF(A656="","",A656&amp;"|"&amp;IF(B656="","Standard",B656))</f>
        <v/>
      </c>
      <c r="Q656">
        <f>IF(AND(A656&lt;&gt;"",A656='Firm Search'!$C$7),COUNTIF($A$5:A656,'Firm Search'!$C$7),"")</f>
        <v/>
      </c>
    </row>
    <row r="657">
      <c r="A657" s="64" t="n"/>
      <c r="B657" s="64" t="n"/>
      <c r="C657" s="66" t="n"/>
      <c r="D657" s="66" t="n"/>
      <c r="E657" s="67" t="n"/>
      <c r="F657" s="67" t="n"/>
      <c r="G657" s="67" t="n"/>
      <c r="H657" s="67" t="n"/>
      <c r="I657" s="67" t="n"/>
      <c r="J657" s="67" t="n"/>
      <c r="K657" s="67" t="n"/>
      <c r="L657" s="67" t="n"/>
      <c r="M657" s="64" t="n"/>
      <c r="N657" s="66" t="n"/>
      <c r="O657" s="84">
        <f>IF(A657="","",IF(OR(C657="",D657=""),"Enter both dates",IF(D657&lt;C657,"To is before From",IF(COUNTIFS($P$5:$P$2004,P657,$C$5:$C$2004,"&lt;="&amp;D657,$D$5:$D$2004,"&gt;="&amp;C657)&gt;1,"Overlaps another row","OK"))))</f>
        <v/>
      </c>
      <c r="P657">
        <f>IF(A657="","",A657&amp;"|"&amp;IF(B657="","Standard",B657))</f>
        <v/>
      </c>
      <c r="Q657">
        <f>IF(AND(A657&lt;&gt;"",A657='Firm Search'!$C$7),COUNTIF($A$5:A657,'Firm Search'!$C$7),"")</f>
        <v/>
      </c>
    </row>
    <row r="658">
      <c r="A658" s="64" t="n"/>
      <c r="B658" s="64" t="n"/>
      <c r="C658" s="66" t="n"/>
      <c r="D658" s="66" t="n"/>
      <c r="E658" s="67" t="n"/>
      <c r="F658" s="67" t="n"/>
      <c r="G658" s="67" t="n"/>
      <c r="H658" s="67" t="n"/>
      <c r="I658" s="67" t="n"/>
      <c r="J658" s="67" t="n"/>
      <c r="K658" s="67" t="n"/>
      <c r="L658" s="67" t="n"/>
      <c r="M658" s="64" t="n"/>
      <c r="N658" s="66" t="n"/>
      <c r="O658" s="84">
        <f>IF(A658="","",IF(OR(C658="",D658=""),"Enter both dates",IF(D658&lt;C658,"To is before From",IF(COUNTIFS($P$5:$P$2004,P658,$C$5:$C$2004,"&lt;="&amp;D658,$D$5:$D$2004,"&gt;="&amp;C658)&gt;1,"Overlaps another row","OK"))))</f>
        <v/>
      </c>
      <c r="P658">
        <f>IF(A658="","",A658&amp;"|"&amp;IF(B658="","Standard",B658))</f>
        <v/>
      </c>
      <c r="Q658">
        <f>IF(AND(A658&lt;&gt;"",A658='Firm Search'!$C$7),COUNTIF($A$5:A658,'Firm Search'!$C$7),"")</f>
        <v/>
      </c>
    </row>
    <row r="659">
      <c r="A659" s="64" t="n"/>
      <c r="B659" s="64" t="n"/>
      <c r="C659" s="66" t="n"/>
      <c r="D659" s="66" t="n"/>
      <c r="E659" s="67" t="n"/>
      <c r="F659" s="67" t="n"/>
      <c r="G659" s="67" t="n"/>
      <c r="H659" s="67" t="n"/>
      <c r="I659" s="67" t="n"/>
      <c r="J659" s="67" t="n"/>
      <c r="K659" s="67" t="n"/>
      <c r="L659" s="67" t="n"/>
      <c r="M659" s="64" t="n"/>
      <c r="N659" s="66" t="n"/>
      <c r="O659" s="84">
        <f>IF(A659="","",IF(OR(C659="",D659=""),"Enter both dates",IF(D659&lt;C659,"To is before From",IF(COUNTIFS($P$5:$P$2004,P659,$C$5:$C$2004,"&lt;="&amp;D659,$D$5:$D$2004,"&gt;="&amp;C659)&gt;1,"Overlaps another row","OK"))))</f>
        <v/>
      </c>
      <c r="P659">
        <f>IF(A659="","",A659&amp;"|"&amp;IF(B659="","Standard",B659))</f>
        <v/>
      </c>
      <c r="Q659">
        <f>IF(AND(A659&lt;&gt;"",A659='Firm Search'!$C$7),COUNTIF($A$5:A659,'Firm Search'!$C$7),"")</f>
        <v/>
      </c>
    </row>
    <row r="660">
      <c r="A660" s="64" t="n"/>
      <c r="B660" s="64" t="n"/>
      <c r="C660" s="66" t="n"/>
      <c r="D660" s="66" t="n"/>
      <c r="E660" s="67" t="n"/>
      <c r="F660" s="67" t="n"/>
      <c r="G660" s="67" t="n"/>
      <c r="H660" s="67" t="n"/>
      <c r="I660" s="67" t="n"/>
      <c r="J660" s="67" t="n"/>
      <c r="K660" s="67" t="n"/>
      <c r="L660" s="67" t="n"/>
      <c r="M660" s="64" t="n"/>
      <c r="N660" s="66" t="n"/>
      <c r="O660" s="84">
        <f>IF(A660="","",IF(OR(C660="",D660=""),"Enter both dates",IF(D660&lt;C660,"To is before From",IF(COUNTIFS($P$5:$P$2004,P660,$C$5:$C$2004,"&lt;="&amp;D660,$D$5:$D$2004,"&gt;="&amp;C660)&gt;1,"Overlaps another row","OK"))))</f>
        <v/>
      </c>
      <c r="P660">
        <f>IF(A660="","",A660&amp;"|"&amp;IF(B660="","Standard",B660))</f>
        <v/>
      </c>
      <c r="Q660">
        <f>IF(AND(A660&lt;&gt;"",A660='Firm Search'!$C$7),COUNTIF($A$5:A660,'Firm Search'!$C$7),"")</f>
        <v/>
      </c>
    </row>
    <row r="661">
      <c r="A661" s="64" t="n"/>
      <c r="B661" s="64" t="n"/>
      <c r="C661" s="66" t="n"/>
      <c r="D661" s="66" t="n"/>
      <c r="E661" s="67" t="n"/>
      <c r="F661" s="67" t="n"/>
      <c r="G661" s="67" t="n"/>
      <c r="H661" s="67" t="n"/>
      <c r="I661" s="67" t="n"/>
      <c r="J661" s="67" t="n"/>
      <c r="K661" s="67" t="n"/>
      <c r="L661" s="67" t="n"/>
      <c r="M661" s="64" t="n"/>
      <c r="N661" s="66" t="n"/>
      <c r="O661" s="84">
        <f>IF(A661="","",IF(OR(C661="",D661=""),"Enter both dates",IF(D661&lt;C661,"To is before From",IF(COUNTIFS($P$5:$P$2004,P661,$C$5:$C$2004,"&lt;="&amp;D661,$D$5:$D$2004,"&gt;="&amp;C661)&gt;1,"Overlaps another row","OK"))))</f>
        <v/>
      </c>
      <c r="P661">
        <f>IF(A661="","",A661&amp;"|"&amp;IF(B661="","Standard",B661))</f>
        <v/>
      </c>
      <c r="Q661">
        <f>IF(AND(A661&lt;&gt;"",A661='Firm Search'!$C$7),COUNTIF($A$5:A661,'Firm Search'!$C$7),"")</f>
        <v/>
      </c>
    </row>
    <row r="662">
      <c r="A662" s="64" t="n"/>
      <c r="B662" s="64" t="n"/>
      <c r="C662" s="66" t="n"/>
      <c r="D662" s="66" t="n"/>
      <c r="E662" s="67" t="n"/>
      <c r="F662" s="67" t="n"/>
      <c r="G662" s="67" t="n"/>
      <c r="H662" s="67" t="n"/>
      <c r="I662" s="67" t="n"/>
      <c r="J662" s="67" t="n"/>
      <c r="K662" s="67" t="n"/>
      <c r="L662" s="67" t="n"/>
      <c r="M662" s="64" t="n"/>
      <c r="N662" s="66" t="n"/>
      <c r="O662" s="84">
        <f>IF(A662="","",IF(OR(C662="",D662=""),"Enter both dates",IF(D662&lt;C662,"To is before From",IF(COUNTIFS($P$5:$P$2004,P662,$C$5:$C$2004,"&lt;="&amp;D662,$D$5:$D$2004,"&gt;="&amp;C662)&gt;1,"Overlaps another row","OK"))))</f>
        <v/>
      </c>
      <c r="P662">
        <f>IF(A662="","",A662&amp;"|"&amp;IF(B662="","Standard",B662))</f>
        <v/>
      </c>
      <c r="Q662">
        <f>IF(AND(A662&lt;&gt;"",A662='Firm Search'!$C$7),COUNTIF($A$5:A662,'Firm Search'!$C$7),"")</f>
        <v/>
      </c>
    </row>
    <row r="663">
      <c r="A663" s="64" t="n"/>
      <c r="B663" s="64" t="n"/>
      <c r="C663" s="66" t="n"/>
      <c r="D663" s="66" t="n"/>
      <c r="E663" s="67" t="n"/>
      <c r="F663" s="67" t="n"/>
      <c r="G663" s="67" t="n"/>
      <c r="H663" s="67" t="n"/>
      <c r="I663" s="67" t="n"/>
      <c r="J663" s="67" t="n"/>
      <c r="K663" s="67" t="n"/>
      <c r="L663" s="67" t="n"/>
      <c r="M663" s="64" t="n"/>
      <c r="N663" s="66" t="n"/>
      <c r="O663" s="84">
        <f>IF(A663="","",IF(OR(C663="",D663=""),"Enter both dates",IF(D663&lt;C663,"To is before From",IF(COUNTIFS($P$5:$P$2004,P663,$C$5:$C$2004,"&lt;="&amp;D663,$D$5:$D$2004,"&gt;="&amp;C663)&gt;1,"Overlaps another row","OK"))))</f>
        <v/>
      </c>
      <c r="P663">
        <f>IF(A663="","",A663&amp;"|"&amp;IF(B663="","Standard",B663))</f>
        <v/>
      </c>
      <c r="Q663">
        <f>IF(AND(A663&lt;&gt;"",A663='Firm Search'!$C$7),COUNTIF($A$5:A663,'Firm Search'!$C$7),"")</f>
        <v/>
      </c>
    </row>
    <row r="664">
      <c r="A664" s="64" t="n"/>
      <c r="B664" s="64" t="n"/>
      <c r="C664" s="66" t="n"/>
      <c r="D664" s="66" t="n"/>
      <c r="E664" s="67" t="n"/>
      <c r="F664" s="67" t="n"/>
      <c r="G664" s="67" t="n"/>
      <c r="H664" s="67" t="n"/>
      <c r="I664" s="67" t="n"/>
      <c r="J664" s="67" t="n"/>
      <c r="K664" s="67" t="n"/>
      <c r="L664" s="67" t="n"/>
      <c r="M664" s="64" t="n"/>
      <c r="N664" s="66" t="n"/>
      <c r="O664" s="84">
        <f>IF(A664="","",IF(OR(C664="",D664=""),"Enter both dates",IF(D664&lt;C664,"To is before From",IF(COUNTIFS($P$5:$P$2004,P664,$C$5:$C$2004,"&lt;="&amp;D664,$D$5:$D$2004,"&gt;="&amp;C664)&gt;1,"Overlaps another row","OK"))))</f>
        <v/>
      </c>
      <c r="P664">
        <f>IF(A664="","",A664&amp;"|"&amp;IF(B664="","Standard",B664))</f>
        <v/>
      </c>
      <c r="Q664">
        <f>IF(AND(A664&lt;&gt;"",A664='Firm Search'!$C$7),COUNTIF($A$5:A664,'Firm Search'!$C$7),"")</f>
        <v/>
      </c>
    </row>
    <row r="665">
      <c r="A665" s="64" t="n"/>
      <c r="B665" s="64" t="n"/>
      <c r="C665" s="66" t="n"/>
      <c r="D665" s="66" t="n"/>
      <c r="E665" s="67" t="n"/>
      <c r="F665" s="67" t="n"/>
      <c r="G665" s="67" t="n"/>
      <c r="H665" s="67" t="n"/>
      <c r="I665" s="67" t="n"/>
      <c r="J665" s="67" t="n"/>
      <c r="K665" s="67" t="n"/>
      <c r="L665" s="67" t="n"/>
      <c r="M665" s="64" t="n"/>
      <c r="N665" s="66" t="n"/>
      <c r="O665" s="84">
        <f>IF(A665="","",IF(OR(C665="",D665=""),"Enter both dates",IF(D665&lt;C665,"To is before From",IF(COUNTIFS($P$5:$P$2004,P665,$C$5:$C$2004,"&lt;="&amp;D665,$D$5:$D$2004,"&gt;="&amp;C665)&gt;1,"Overlaps another row","OK"))))</f>
        <v/>
      </c>
      <c r="P665">
        <f>IF(A665="","",A665&amp;"|"&amp;IF(B665="","Standard",B665))</f>
        <v/>
      </c>
      <c r="Q665">
        <f>IF(AND(A665&lt;&gt;"",A665='Firm Search'!$C$7),COUNTIF($A$5:A665,'Firm Search'!$C$7),"")</f>
        <v/>
      </c>
    </row>
    <row r="666">
      <c r="A666" s="64" t="n"/>
      <c r="B666" s="64" t="n"/>
      <c r="C666" s="66" t="n"/>
      <c r="D666" s="66" t="n"/>
      <c r="E666" s="67" t="n"/>
      <c r="F666" s="67" t="n"/>
      <c r="G666" s="67" t="n"/>
      <c r="H666" s="67" t="n"/>
      <c r="I666" s="67" t="n"/>
      <c r="J666" s="67" t="n"/>
      <c r="K666" s="67" t="n"/>
      <c r="L666" s="67" t="n"/>
      <c r="M666" s="64" t="n"/>
      <c r="N666" s="66" t="n"/>
      <c r="O666" s="84">
        <f>IF(A666="","",IF(OR(C666="",D666=""),"Enter both dates",IF(D666&lt;C666,"To is before From",IF(COUNTIFS($P$5:$P$2004,P666,$C$5:$C$2004,"&lt;="&amp;D666,$D$5:$D$2004,"&gt;="&amp;C666)&gt;1,"Overlaps another row","OK"))))</f>
        <v/>
      </c>
      <c r="P666">
        <f>IF(A666="","",A666&amp;"|"&amp;IF(B666="","Standard",B666))</f>
        <v/>
      </c>
      <c r="Q666">
        <f>IF(AND(A666&lt;&gt;"",A666='Firm Search'!$C$7),COUNTIF($A$5:A666,'Firm Search'!$C$7),"")</f>
        <v/>
      </c>
    </row>
    <row r="667">
      <c r="A667" s="64" t="n"/>
      <c r="B667" s="64" t="n"/>
      <c r="C667" s="66" t="n"/>
      <c r="D667" s="66" t="n"/>
      <c r="E667" s="67" t="n"/>
      <c r="F667" s="67" t="n"/>
      <c r="G667" s="67" t="n"/>
      <c r="H667" s="67" t="n"/>
      <c r="I667" s="67" t="n"/>
      <c r="J667" s="67" t="n"/>
      <c r="K667" s="67" t="n"/>
      <c r="L667" s="67" t="n"/>
      <c r="M667" s="64" t="n"/>
      <c r="N667" s="66" t="n"/>
      <c r="O667" s="84">
        <f>IF(A667="","",IF(OR(C667="",D667=""),"Enter both dates",IF(D667&lt;C667,"To is before From",IF(COUNTIFS($P$5:$P$2004,P667,$C$5:$C$2004,"&lt;="&amp;D667,$D$5:$D$2004,"&gt;="&amp;C667)&gt;1,"Overlaps another row","OK"))))</f>
        <v/>
      </c>
      <c r="P667">
        <f>IF(A667="","",A667&amp;"|"&amp;IF(B667="","Standard",B667))</f>
        <v/>
      </c>
      <c r="Q667">
        <f>IF(AND(A667&lt;&gt;"",A667='Firm Search'!$C$7),COUNTIF($A$5:A667,'Firm Search'!$C$7),"")</f>
        <v/>
      </c>
    </row>
    <row r="668">
      <c r="A668" s="64" t="n"/>
      <c r="B668" s="64" t="n"/>
      <c r="C668" s="66" t="n"/>
      <c r="D668" s="66" t="n"/>
      <c r="E668" s="67" t="n"/>
      <c r="F668" s="67" t="n"/>
      <c r="G668" s="67" t="n"/>
      <c r="H668" s="67" t="n"/>
      <c r="I668" s="67" t="n"/>
      <c r="J668" s="67" t="n"/>
      <c r="K668" s="67" t="n"/>
      <c r="L668" s="67" t="n"/>
      <c r="M668" s="64" t="n"/>
      <c r="N668" s="66" t="n"/>
      <c r="O668" s="84">
        <f>IF(A668="","",IF(OR(C668="",D668=""),"Enter both dates",IF(D668&lt;C668,"To is before From",IF(COUNTIFS($P$5:$P$2004,P668,$C$5:$C$2004,"&lt;="&amp;D668,$D$5:$D$2004,"&gt;="&amp;C668)&gt;1,"Overlaps another row","OK"))))</f>
        <v/>
      </c>
      <c r="P668">
        <f>IF(A668="","",A668&amp;"|"&amp;IF(B668="","Standard",B668))</f>
        <v/>
      </c>
      <c r="Q668">
        <f>IF(AND(A668&lt;&gt;"",A668='Firm Search'!$C$7),COUNTIF($A$5:A668,'Firm Search'!$C$7),"")</f>
        <v/>
      </c>
    </row>
    <row r="669">
      <c r="A669" s="64" t="n"/>
      <c r="B669" s="64" t="n"/>
      <c r="C669" s="66" t="n"/>
      <c r="D669" s="66" t="n"/>
      <c r="E669" s="67" t="n"/>
      <c r="F669" s="67" t="n"/>
      <c r="G669" s="67" t="n"/>
      <c r="H669" s="67" t="n"/>
      <c r="I669" s="67" t="n"/>
      <c r="J669" s="67" t="n"/>
      <c r="K669" s="67" t="n"/>
      <c r="L669" s="67" t="n"/>
      <c r="M669" s="64" t="n"/>
      <c r="N669" s="66" t="n"/>
      <c r="O669" s="84">
        <f>IF(A669="","",IF(OR(C669="",D669=""),"Enter both dates",IF(D669&lt;C669,"To is before From",IF(COUNTIFS($P$5:$P$2004,P669,$C$5:$C$2004,"&lt;="&amp;D669,$D$5:$D$2004,"&gt;="&amp;C669)&gt;1,"Overlaps another row","OK"))))</f>
        <v/>
      </c>
      <c r="P669">
        <f>IF(A669="","",A669&amp;"|"&amp;IF(B669="","Standard",B669))</f>
        <v/>
      </c>
      <c r="Q669">
        <f>IF(AND(A669&lt;&gt;"",A669='Firm Search'!$C$7),COUNTIF($A$5:A669,'Firm Search'!$C$7),"")</f>
        <v/>
      </c>
    </row>
    <row r="670">
      <c r="A670" s="64" t="n"/>
      <c r="B670" s="64" t="n"/>
      <c r="C670" s="66" t="n"/>
      <c r="D670" s="66" t="n"/>
      <c r="E670" s="67" t="n"/>
      <c r="F670" s="67" t="n"/>
      <c r="G670" s="67" t="n"/>
      <c r="H670" s="67" t="n"/>
      <c r="I670" s="67" t="n"/>
      <c r="J670" s="67" t="n"/>
      <c r="K670" s="67" t="n"/>
      <c r="L670" s="67" t="n"/>
      <c r="M670" s="64" t="n"/>
      <c r="N670" s="66" t="n"/>
      <c r="O670" s="84">
        <f>IF(A670="","",IF(OR(C670="",D670=""),"Enter both dates",IF(D670&lt;C670,"To is before From",IF(COUNTIFS($P$5:$P$2004,P670,$C$5:$C$2004,"&lt;="&amp;D670,$D$5:$D$2004,"&gt;="&amp;C670)&gt;1,"Overlaps another row","OK"))))</f>
        <v/>
      </c>
      <c r="P670">
        <f>IF(A670="","",A670&amp;"|"&amp;IF(B670="","Standard",B670))</f>
        <v/>
      </c>
      <c r="Q670">
        <f>IF(AND(A670&lt;&gt;"",A670='Firm Search'!$C$7),COUNTIF($A$5:A670,'Firm Search'!$C$7),"")</f>
        <v/>
      </c>
    </row>
    <row r="671">
      <c r="A671" s="64" t="n"/>
      <c r="B671" s="64" t="n"/>
      <c r="C671" s="66" t="n"/>
      <c r="D671" s="66" t="n"/>
      <c r="E671" s="67" t="n"/>
      <c r="F671" s="67" t="n"/>
      <c r="G671" s="67" t="n"/>
      <c r="H671" s="67" t="n"/>
      <c r="I671" s="67" t="n"/>
      <c r="J671" s="67" t="n"/>
      <c r="K671" s="67" t="n"/>
      <c r="L671" s="67" t="n"/>
      <c r="M671" s="64" t="n"/>
      <c r="N671" s="66" t="n"/>
      <c r="O671" s="84">
        <f>IF(A671="","",IF(OR(C671="",D671=""),"Enter both dates",IF(D671&lt;C671,"To is before From",IF(COUNTIFS($P$5:$P$2004,P671,$C$5:$C$2004,"&lt;="&amp;D671,$D$5:$D$2004,"&gt;="&amp;C671)&gt;1,"Overlaps another row","OK"))))</f>
        <v/>
      </c>
      <c r="P671">
        <f>IF(A671="","",A671&amp;"|"&amp;IF(B671="","Standard",B671))</f>
        <v/>
      </c>
      <c r="Q671">
        <f>IF(AND(A671&lt;&gt;"",A671='Firm Search'!$C$7),COUNTIF($A$5:A671,'Firm Search'!$C$7),"")</f>
        <v/>
      </c>
    </row>
    <row r="672">
      <c r="A672" s="64" t="n"/>
      <c r="B672" s="64" t="n"/>
      <c r="C672" s="66" t="n"/>
      <c r="D672" s="66" t="n"/>
      <c r="E672" s="67" t="n"/>
      <c r="F672" s="67" t="n"/>
      <c r="G672" s="67" t="n"/>
      <c r="H672" s="67" t="n"/>
      <c r="I672" s="67" t="n"/>
      <c r="J672" s="67" t="n"/>
      <c r="K672" s="67" t="n"/>
      <c r="L672" s="67" t="n"/>
      <c r="M672" s="64" t="n"/>
      <c r="N672" s="66" t="n"/>
      <c r="O672" s="84">
        <f>IF(A672="","",IF(OR(C672="",D672=""),"Enter both dates",IF(D672&lt;C672,"To is before From",IF(COUNTIFS($P$5:$P$2004,P672,$C$5:$C$2004,"&lt;="&amp;D672,$D$5:$D$2004,"&gt;="&amp;C672)&gt;1,"Overlaps another row","OK"))))</f>
        <v/>
      </c>
      <c r="P672">
        <f>IF(A672="","",A672&amp;"|"&amp;IF(B672="","Standard",B672))</f>
        <v/>
      </c>
      <c r="Q672">
        <f>IF(AND(A672&lt;&gt;"",A672='Firm Search'!$C$7),COUNTIF($A$5:A672,'Firm Search'!$C$7),"")</f>
        <v/>
      </c>
    </row>
    <row r="673">
      <c r="A673" s="64" t="n"/>
      <c r="B673" s="64" t="n"/>
      <c r="C673" s="66" t="n"/>
      <c r="D673" s="66" t="n"/>
      <c r="E673" s="67" t="n"/>
      <c r="F673" s="67" t="n"/>
      <c r="G673" s="67" t="n"/>
      <c r="H673" s="67" t="n"/>
      <c r="I673" s="67" t="n"/>
      <c r="J673" s="67" t="n"/>
      <c r="K673" s="67" t="n"/>
      <c r="L673" s="67" t="n"/>
      <c r="M673" s="64" t="n"/>
      <c r="N673" s="66" t="n"/>
      <c r="O673" s="84">
        <f>IF(A673="","",IF(OR(C673="",D673=""),"Enter both dates",IF(D673&lt;C673,"To is before From",IF(COUNTIFS($P$5:$P$2004,P673,$C$5:$C$2004,"&lt;="&amp;D673,$D$5:$D$2004,"&gt;="&amp;C673)&gt;1,"Overlaps another row","OK"))))</f>
        <v/>
      </c>
      <c r="P673">
        <f>IF(A673="","",A673&amp;"|"&amp;IF(B673="","Standard",B673))</f>
        <v/>
      </c>
      <c r="Q673">
        <f>IF(AND(A673&lt;&gt;"",A673='Firm Search'!$C$7),COUNTIF($A$5:A673,'Firm Search'!$C$7),"")</f>
        <v/>
      </c>
    </row>
    <row r="674">
      <c r="A674" s="64" t="n"/>
      <c r="B674" s="64" t="n"/>
      <c r="C674" s="66" t="n"/>
      <c r="D674" s="66" t="n"/>
      <c r="E674" s="67" t="n"/>
      <c r="F674" s="67" t="n"/>
      <c r="G674" s="67" t="n"/>
      <c r="H674" s="67" t="n"/>
      <c r="I674" s="67" t="n"/>
      <c r="J674" s="67" t="n"/>
      <c r="K674" s="67" t="n"/>
      <c r="L674" s="67" t="n"/>
      <c r="M674" s="64" t="n"/>
      <c r="N674" s="66" t="n"/>
      <c r="O674" s="84">
        <f>IF(A674="","",IF(OR(C674="",D674=""),"Enter both dates",IF(D674&lt;C674,"To is before From",IF(COUNTIFS($P$5:$P$2004,P674,$C$5:$C$2004,"&lt;="&amp;D674,$D$5:$D$2004,"&gt;="&amp;C674)&gt;1,"Overlaps another row","OK"))))</f>
        <v/>
      </c>
      <c r="P674">
        <f>IF(A674="","",A674&amp;"|"&amp;IF(B674="","Standard",B674))</f>
        <v/>
      </c>
      <c r="Q674">
        <f>IF(AND(A674&lt;&gt;"",A674='Firm Search'!$C$7),COUNTIF($A$5:A674,'Firm Search'!$C$7),"")</f>
        <v/>
      </c>
    </row>
    <row r="675">
      <c r="A675" s="64" t="n"/>
      <c r="B675" s="64" t="n"/>
      <c r="C675" s="66" t="n"/>
      <c r="D675" s="66" t="n"/>
      <c r="E675" s="67" t="n"/>
      <c r="F675" s="67" t="n"/>
      <c r="G675" s="67" t="n"/>
      <c r="H675" s="67" t="n"/>
      <c r="I675" s="67" t="n"/>
      <c r="J675" s="67" t="n"/>
      <c r="K675" s="67" t="n"/>
      <c r="L675" s="67" t="n"/>
      <c r="M675" s="64" t="n"/>
      <c r="N675" s="66" t="n"/>
      <c r="O675" s="84">
        <f>IF(A675="","",IF(OR(C675="",D675=""),"Enter both dates",IF(D675&lt;C675,"To is before From",IF(COUNTIFS($P$5:$P$2004,P675,$C$5:$C$2004,"&lt;="&amp;D675,$D$5:$D$2004,"&gt;="&amp;C675)&gt;1,"Overlaps another row","OK"))))</f>
        <v/>
      </c>
      <c r="P675">
        <f>IF(A675="","",A675&amp;"|"&amp;IF(B675="","Standard",B675))</f>
        <v/>
      </c>
      <c r="Q675">
        <f>IF(AND(A675&lt;&gt;"",A675='Firm Search'!$C$7),COUNTIF($A$5:A675,'Firm Search'!$C$7),"")</f>
        <v/>
      </c>
    </row>
    <row r="676">
      <c r="A676" s="64" t="n"/>
      <c r="B676" s="64" t="n"/>
      <c r="C676" s="66" t="n"/>
      <c r="D676" s="66" t="n"/>
      <c r="E676" s="67" t="n"/>
      <c r="F676" s="67" t="n"/>
      <c r="G676" s="67" t="n"/>
      <c r="H676" s="67" t="n"/>
      <c r="I676" s="67" t="n"/>
      <c r="J676" s="67" t="n"/>
      <c r="K676" s="67" t="n"/>
      <c r="L676" s="67" t="n"/>
      <c r="M676" s="64" t="n"/>
      <c r="N676" s="66" t="n"/>
      <c r="O676" s="84">
        <f>IF(A676="","",IF(OR(C676="",D676=""),"Enter both dates",IF(D676&lt;C676,"To is before From",IF(COUNTIFS($P$5:$P$2004,P676,$C$5:$C$2004,"&lt;="&amp;D676,$D$5:$D$2004,"&gt;="&amp;C676)&gt;1,"Overlaps another row","OK"))))</f>
        <v/>
      </c>
      <c r="P676">
        <f>IF(A676="","",A676&amp;"|"&amp;IF(B676="","Standard",B676))</f>
        <v/>
      </c>
      <c r="Q676">
        <f>IF(AND(A676&lt;&gt;"",A676='Firm Search'!$C$7),COUNTIF($A$5:A676,'Firm Search'!$C$7),"")</f>
        <v/>
      </c>
    </row>
    <row r="677">
      <c r="A677" s="64" t="n"/>
      <c r="B677" s="64" t="n"/>
      <c r="C677" s="66" t="n"/>
      <c r="D677" s="66" t="n"/>
      <c r="E677" s="67" t="n"/>
      <c r="F677" s="67" t="n"/>
      <c r="G677" s="67" t="n"/>
      <c r="H677" s="67" t="n"/>
      <c r="I677" s="67" t="n"/>
      <c r="J677" s="67" t="n"/>
      <c r="K677" s="67" t="n"/>
      <c r="L677" s="67" t="n"/>
      <c r="M677" s="64" t="n"/>
      <c r="N677" s="66" t="n"/>
      <c r="O677" s="84">
        <f>IF(A677="","",IF(OR(C677="",D677=""),"Enter both dates",IF(D677&lt;C677,"To is before From",IF(COUNTIFS($P$5:$P$2004,P677,$C$5:$C$2004,"&lt;="&amp;D677,$D$5:$D$2004,"&gt;="&amp;C677)&gt;1,"Overlaps another row","OK"))))</f>
        <v/>
      </c>
      <c r="P677">
        <f>IF(A677="","",A677&amp;"|"&amp;IF(B677="","Standard",B677))</f>
        <v/>
      </c>
      <c r="Q677">
        <f>IF(AND(A677&lt;&gt;"",A677='Firm Search'!$C$7),COUNTIF($A$5:A677,'Firm Search'!$C$7),"")</f>
        <v/>
      </c>
    </row>
    <row r="678">
      <c r="A678" s="64" t="n"/>
      <c r="B678" s="64" t="n"/>
      <c r="C678" s="66" t="n"/>
      <c r="D678" s="66" t="n"/>
      <c r="E678" s="67" t="n"/>
      <c r="F678" s="67" t="n"/>
      <c r="G678" s="67" t="n"/>
      <c r="H678" s="67" t="n"/>
      <c r="I678" s="67" t="n"/>
      <c r="J678" s="67" t="n"/>
      <c r="K678" s="67" t="n"/>
      <c r="L678" s="67" t="n"/>
      <c r="M678" s="64" t="n"/>
      <c r="N678" s="66" t="n"/>
      <c r="O678" s="84">
        <f>IF(A678="","",IF(OR(C678="",D678=""),"Enter both dates",IF(D678&lt;C678,"To is before From",IF(COUNTIFS($P$5:$P$2004,P678,$C$5:$C$2004,"&lt;="&amp;D678,$D$5:$D$2004,"&gt;="&amp;C678)&gt;1,"Overlaps another row","OK"))))</f>
        <v/>
      </c>
      <c r="P678">
        <f>IF(A678="","",A678&amp;"|"&amp;IF(B678="","Standard",B678))</f>
        <v/>
      </c>
      <c r="Q678">
        <f>IF(AND(A678&lt;&gt;"",A678='Firm Search'!$C$7),COUNTIF($A$5:A678,'Firm Search'!$C$7),"")</f>
        <v/>
      </c>
    </row>
    <row r="679">
      <c r="A679" s="64" t="n"/>
      <c r="B679" s="64" t="n"/>
      <c r="C679" s="66" t="n"/>
      <c r="D679" s="66" t="n"/>
      <c r="E679" s="67" t="n"/>
      <c r="F679" s="67" t="n"/>
      <c r="G679" s="67" t="n"/>
      <c r="H679" s="67" t="n"/>
      <c r="I679" s="67" t="n"/>
      <c r="J679" s="67" t="n"/>
      <c r="K679" s="67" t="n"/>
      <c r="L679" s="67" t="n"/>
      <c r="M679" s="64" t="n"/>
      <c r="N679" s="66" t="n"/>
      <c r="O679" s="84">
        <f>IF(A679="","",IF(OR(C679="",D679=""),"Enter both dates",IF(D679&lt;C679,"To is before From",IF(COUNTIFS($P$5:$P$2004,P679,$C$5:$C$2004,"&lt;="&amp;D679,$D$5:$D$2004,"&gt;="&amp;C679)&gt;1,"Overlaps another row","OK"))))</f>
        <v/>
      </c>
      <c r="P679">
        <f>IF(A679="","",A679&amp;"|"&amp;IF(B679="","Standard",B679))</f>
        <v/>
      </c>
      <c r="Q679">
        <f>IF(AND(A679&lt;&gt;"",A679='Firm Search'!$C$7),COUNTIF($A$5:A679,'Firm Search'!$C$7),"")</f>
        <v/>
      </c>
    </row>
    <row r="680">
      <c r="A680" s="64" t="n"/>
      <c r="B680" s="64" t="n"/>
      <c r="C680" s="66" t="n"/>
      <c r="D680" s="66" t="n"/>
      <c r="E680" s="67" t="n"/>
      <c r="F680" s="67" t="n"/>
      <c r="G680" s="67" t="n"/>
      <c r="H680" s="67" t="n"/>
      <c r="I680" s="67" t="n"/>
      <c r="J680" s="67" t="n"/>
      <c r="K680" s="67" t="n"/>
      <c r="L680" s="67" t="n"/>
      <c r="M680" s="64" t="n"/>
      <c r="N680" s="66" t="n"/>
      <c r="O680" s="84">
        <f>IF(A680="","",IF(OR(C680="",D680=""),"Enter both dates",IF(D680&lt;C680,"To is before From",IF(COUNTIFS($P$5:$P$2004,P680,$C$5:$C$2004,"&lt;="&amp;D680,$D$5:$D$2004,"&gt;="&amp;C680)&gt;1,"Overlaps another row","OK"))))</f>
        <v/>
      </c>
      <c r="P680">
        <f>IF(A680="","",A680&amp;"|"&amp;IF(B680="","Standard",B680))</f>
        <v/>
      </c>
      <c r="Q680">
        <f>IF(AND(A680&lt;&gt;"",A680='Firm Search'!$C$7),COUNTIF($A$5:A680,'Firm Search'!$C$7),"")</f>
        <v/>
      </c>
    </row>
    <row r="681">
      <c r="A681" s="64" t="n"/>
      <c r="B681" s="64" t="n"/>
      <c r="C681" s="66" t="n"/>
      <c r="D681" s="66" t="n"/>
      <c r="E681" s="67" t="n"/>
      <c r="F681" s="67" t="n"/>
      <c r="G681" s="67" t="n"/>
      <c r="H681" s="67" t="n"/>
      <c r="I681" s="67" t="n"/>
      <c r="J681" s="67" t="n"/>
      <c r="K681" s="67" t="n"/>
      <c r="L681" s="67" t="n"/>
      <c r="M681" s="64" t="n"/>
      <c r="N681" s="66" t="n"/>
      <c r="O681" s="84">
        <f>IF(A681="","",IF(OR(C681="",D681=""),"Enter both dates",IF(D681&lt;C681,"To is before From",IF(COUNTIFS($P$5:$P$2004,P681,$C$5:$C$2004,"&lt;="&amp;D681,$D$5:$D$2004,"&gt;="&amp;C681)&gt;1,"Overlaps another row","OK"))))</f>
        <v/>
      </c>
      <c r="P681">
        <f>IF(A681="","",A681&amp;"|"&amp;IF(B681="","Standard",B681))</f>
        <v/>
      </c>
      <c r="Q681">
        <f>IF(AND(A681&lt;&gt;"",A681='Firm Search'!$C$7),COUNTIF($A$5:A681,'Firm Search'!$C$7),"")</f>
        <v/>
      </c>
    </row>
    <row r="682">
      <c r="A682" s="64" t="n"/>
      <c r="B682" s="64" t="n"/>
      <c r="C682" s="66" t="n"/>
      <c r="D682" s="66" t="n"/>
      <c r="E682" s="67" t="n"/>
      <c r="F682" s="67" t="n"/>
      <c r="G682" s="67" t="n"/>
      <c r="H682" s="67" t="n"/>
      <c r="I682" s="67" t="n"/>
      <c r="J682" s="67" t="n"/>
      <c r="K682" s="67" t="n"/>
      <c r="L682" s="67" t="n"/>
      <c r="M682" s="64" t="n"/>
      <c r="N682" s="66" t="n"/>
      <c r="O682" s="84">
        <f>IF(A682="","",IF(OR(C682="",D682=""),"Enter both dates",IF(D682&lt;C682,"To is before From",IF(COUNTIFS($P$5:$P$2004,P682,$C$5:$C$2004,"&lt;="&amp;D682,$D$5:$D$2004,"&gt;="&amp;C682)&gt;1,"Overlaps another row","OK"))))</f>
        <v/>
      </c>
      <c r="P682">
        <f>IF(A682="","",A682&amp;"|"&amp;IF(B682="","Standard",B682))</f>
        <v/>
      </c>
      <c r="Q682">
        <f>IF(AND(A682&lt;&gt;"",A682='Firm Search'!$C$7),COUNTIF($A$5:A682,'Firm Search'!$C$7),"")</f>
        <v/>
      </c>
    </row>
    <row r="683">
      <c r="A683" s="64" t="n"/>
      <c r="B683" s="64" t="n"/>
      <c r="C683" s="66" t="n"/>
      <c r="D683" s="66" t="n"/>
      <c r="E683" s="67" t="n"/>
      <c r="F683" s="67" t="n"/>
      <c r="G683" s="67" t="n"/>
      <c r="H683" s="67" t="n"/>
      <c r="I683" s="67" t="n"/>
      <c r="J683" s="67" t="n"/>
      <c r="K683" s="67" t="n"/>
      <c r="L683" s="67" t="n"/>
      <c r="M683" s="64" t="n"/>
      <c r="N683" s="66" t="n"/>
      <c r="O683" s="84">
        <f>IF(A683="","",IF(OR(C683="",D683=""),"Enter both dates",IF(D683&lt;C683,"To is before From",IF(COUNTIFS($P$5:$P$2004,P683,$C$5:$C$2004,"&lt;="&amp;D683,$D$5:$D$2004,"&gt;="&amp;C683)&gt;1,"Overlaps another row","OK"))))</f>
        <v/>
      </c>
      <c r="P683">
        <f>IF(A683="","",A683&amp;"|"&amp;IF(B683="","Standard",B683))</f>
        <v/>
      </c>
      <c r="Q683">
        <f>IF(AND(A683&lt;&gt;"",A683='Firm Search'!$C$7),COUNTIF($A$5:A683,'Firm Search'!$C$7),"")</f>
        <v/>
      </c>
    </row>
    <row r="684">
      <c r="A684" s="64" t="n"/>
      <c r="B684" s="64" t="n"/>
      <c r="C684" s="66" t="n"/>
      <c r="D684" s="66" t="n"/>
      <c r="E684" s="67" t="n"/>
      <c r="F684" s="67" t="n"/>
      <c r="G684" s="67" t="n"/>
      <c r="H684" s="67" t="n"/>
      <c r="I684" s="67" t="n"/>
      <c r="J684" s="67" t="n"/>
      <c r="K684" s="67" t="n"/>
      <c r="L684" s="67" t="n"/>
      <c r="M684" s="64" t="n"/>
      <c r="N684" s="66" t="n"/>
      <c r="O684" s="84">
        <f>IF(A684="","",IF(OR(C684="",D684=""),"Enter both dates",IF(D684&lt;C684,"To is before From",IF(COUNTIFS($P$5:$P$2004,P684,$C$5:$C$2004,"&lt;="&amp;D684,$D$5:$D$2004,"&gt;="&amp;C684)&gt;1,"Overlaps another row","OK"))))</f>
        <v/>
      </c>
      <c r="P684">
        <f>IF(A684="","",A684&amp;"|"&amp;IF(B684="","Standard",B684))</f>
        <v/>
      </c>
      <c r="Q684">
        <f>IF(AND(A684&lt;&gt;"",A684='Firm Search'!$C$7),COUNTIF($A$5:A684,'Firm Search'!$C$7),"")</f>
        <v/>
      </c>
    </row>
    <row r="685">
      <c r="A685" s="64" t="n"/>
      <c r="B685" s="64" t="n"/>
      <c r="C685" s="66" t="n"/>
      <c r="D685" s="66" t="n"/>
      <c r="E685" s="67" t="n"/>
      <c r="F685" s="67" t="n"/>
      <c r="G685" s="67" t="n"/>
      <c r="H685" s="67" t="n"/>
      <c r="I685" s="67" t="n"/>
      <c r="J685" s="67" t="n"/>
      <c r="K685" s="67" t="n"/>
      <c r="L685" s="67" t="n"/>
      <c r="M685" s="64" t="n"/>
      <c r="N685" s="66" t="n"/>
      <c r="O685" s="84">
        <f>IF(A685="","",IF(OR(C685="",D685=""),"Enter both dates",IF(D685&lt;C685,"To is before From",IF(COUNTIFS($P$5:$P$2004,P685,$C$5:$C$2004,"&lt;="&amp;D685,$D$5:$D$2004,"&gt;="&amp;C685)&gt;1,"Overlaps another row","OK"))))</f>
        <v/>
      </c>
      <c r="P685">
        <f>IF(A685="","",A685&amp;"|"&amp;IF(B685="","Standard",B685))</f>
        <v/>
      </c>
      <c r="Q685">
        <f>IF(AND(A685&lt;&gt;"",A685='Firm Search'!$C$7),COUNTIF($A$5:A685,'Firm Search'!$C$7),"")</f>
        <v/>
      </c>
    </row>
    <row r="686">
      <c r="A686" s="64" t="n"/>
      <c r="B686" s="64" t="n"/>
      <c r="C686" s="66" t="n"/>
      <c r="D686" s="66" t="n"/>
      <c r="E686" s="67" t="n"/>
      <c r="F686" s="67" t="n"/>
      <c r="G686" s="67" t="n"/>
      <c r="H686" s="67" t="n"/>
      <c r="I686" s="67" t="n"/>
      <c r="J686" s="67" t="n"/>
      <c r="K686" s="67" t="n"/>
      <c r="L686" s="67" t="n"/>
      <c r="M686" s="64" t="n"/>
      <c r="N686" s="66" t="n"/>
      <c r="O686" s="84">
        <f>IF(A686="","",IF(OR(C686="",D686=""),"Enter both dates",IF(D686&lt;C686,"To is before From",IF(COUNTIFS($P$5:$P$2004,P686,$C$5:$C$2004,"&lt;="&amp;D686,$D$5:$D$2004,"&gt;="&amp;C686)&gt;1,"Overlaps another row","OK"))))</f>
        <v/>
      </c>
      <c r="P686">
        <f>IF(A686="","",A686&amp;"|"&amp;IF(B686="","Standard",B686))</f>
        <v/>
      </c>
      <c r="Q686">
        <f>IF(AND(A686&lt;&gt;"",A686='Firm Search'!$C$7),COUNTIF($A$5:A686,'Firm Search'!$C$7),"")</f>
        <v/>
      </c>
    </row>
    <row r="687">
      <c r="A687" s="64" t="n"/>
      <c r="B687" s="64" t="n"/>
      <c r="C687" s="66" t="n"/>
      <c r="D687" s="66" t="n"/>
      <c r="E687" s="67" t="n"/>
      <c r="F687" s="67" t="n"/>
      <c r="G687" s="67" t="n"/>
      <c r="H687" s="67" t="n"/>
      <c r="I687" s="67" t="n"/>
      <c r="J687" s="67" t="n"/>
      <c r="K687" s="67" t="n"/>
      <c r="L687" s="67" t="n"/>
      <c r="M687" s="64" t="n"/>
      <c r="N687" s="66" t="n"/>
      <c r="O687" s="84">
        <f>IF(A687="","",IF(OR(C687="",D687=""),"Enter both dates",IF(D687&lt;C687,"To is before From",IF(COUNTIFS($P$5:$P$2004,P687,$C$5:$C$2004,"&lt;="&amp;D687,$D$5:$D$2004,"&gt;="&amp;C687)&gt;1,"Overlaps another row","OK"))))</f>
        <v/>
      </c>
      <c r="P687">
        <f>IF(A687="","",A687&amp;"|"&amp;IF(B687="","Standard",B687))</f>
        <v/>
      </c>
      <c r="Q687">
        <f>IF(AND(A687&lt;&gt;"",A687='Firm Search'!$C$7),COUNTIF($A$5:A687,'Firm Search'!$C$7),"")</f>
        <v/>
      </c>
    </row>
    <row r="688">
      <c r="A688" s="64" t="n"/>
      <c r="B688" s="64" t="n"/>
      <c r="C688" s="66" t="n"/>
      <c r="D688" s="66" t="n"/>
      <c r="E688" s="67" t="n"/>
      <c r="F688" s="67" t="n"/>
      <c r="G688" s="67" t="n"/>
      <c r="H688" s="67" t="n"/>
      <c r="I688" s="67" t="n"/>
      <c r="J688" s="67" t="n"/>
      <c r="K688" s="67" t="n"/>
      <c r="L688" s="67" t="n"/>
      <c r="M688" s="64" t="n"/>
      <c r="N688" s="66" t="n"/>
      <c r="O688" s="84">
        <f>IF(A688="","",IF(OR(C688="",D688=""),"Enter both dates",IF(D688&lt;C688,"To is before From",IF(COUNTIFS($P$5:$P$2004,P688,$C$5:$C$2004,"&lt;="&amp;D688,$D$5:$D$2004,"&gt;="&amp;C688)&gt;1,"Overlaps another row","OK"))))</f>
        <v/>
      </c>
      <c r="P688">
        <f>IF(A688="","",A688&amp;"|"&amp;IF(B688="","Standard",B688))</f>
        <v/>
      </c>
      <c r="Q688">
        <f>IF(AND(A688&lt;&gt;"",A688='Firm Search'!$C$7),COUNTIF($A$5:A688,'Firm Search'!$C$7),"")</f>
        <v/>
      </c>
    </row>
    <row r="689">
      <c r="A689" s="64" t="n"/>
      <c r="B689" s="64" t="n"/>
      <c r="C689" s="66" t="n"/>
      <c r="D689" s="66" t="n"/>
      <c r="E689" s="67" t="n"/>
      <c r="F689" s="67" t="n"/>
      <c r="G689" s="67" t="n"/>
      <c r="H689" s="67" t="n"/>
      <c r="I689" s="67" t="n"/>
      <c r="J689" s="67" t="n"/>
      <c r="K689" s="67" t="n"/>
      <c r="L689" s="67" t="n"/>
      <c r="M689" s="64" t="n"/>
      <c r="N689" s="66" t="n"/>
      <c r="O689" s="84">
        <f>IF(A689="","",IF(OR(C689="",D689=""),"Enter both dates",IF(D689&lt;C689,"To is before From",IF(COUNTIFS($P$5:$P$2004,P689,$C$5:$C$2004,"&lt;="&amp;D689,$D$5:$D$2004,"&gt;="&amp;C689)&gt;1,"Overlaps another row","OK"))))</f>
        <v/>
      </c>
      <c r="P689">
        <f>IF(A689="","",A689&amp;"|"&amp;IF(B689="","Standard",B689))</f>
        <v/>
      </c>
      <c r="Q689">
        <f>IF(AND(A689&lt;&gt;"",A689='Firm Search'!$C$7),COUNTIF($A$5:A689,'Firm Search'!$C$7),"")</f>
        <v/>
      </c>
    </row>
    <row r="690">
      <c r="A690" s="64" t="n"/>
      <c r="B690" s="64" t="n"/>
      <c r="C690" s="66" t="n"/>
      <c r="D690" s="66" t="n"/>
      <c r="E690" s="67" t="n"/>
      <c r="F690" s="67" t="n"/>
      <c r="G690" s="67" t="n"/>
      <c r="H690" s="67" t="n"/>
      <c r="I690" s="67" t="n"/>
      <c r="J690" s="67" t="n"/>
      <c r="K690" s="67" t="n"/>
      <c r="L690" s="67" t="n"/>
      <c r="M690" s="64" t="n"/>
      <c r="N690" s="66" t="n"/>
      <c r="O690" s="84">
        <f>IF(A690="","",IF(OR(C690="",D690=""),"Enter both dates",IF(D690&lt;C690,"To is before From",IF(COUNTIFS($P$5:$P$2004,P690,$C$5:$C$2004,"&lt;="&amp;D690,$D$5:$D$2004,"&gt;="&amp;C690)&gt;1,"Overlaps another row","OK"))))</f>
        <v/>
      </c>
      <c r="P690">
        <f>IF(A690="","",A690&amp;"|"&amp;IF(B690="","Standard",B690))</f>
        <v/>
      </c>
      <c r="Q690">
        <f>IF(AND(A690&lt;&gt;"",A690='Firm Search'!$C$7),COUNTIF($A$5:A690,'Firm Search'!$C$7),"")</f>
        <v/>
      </c>
    </row>
    <row r="691">
      <c r="A691" s="64" t="n"/>
      <c r="B691" s="64" t="n"/>
      <c r="C691" s="66" t="n"/>
      <c r="D691" s="66" t="n"/>
      <c r="E691" s="67" t="n"/>
      <c r="F691" s="67" t="n"/>
      <c r="G691" s="67" t="n"/>
      <c r="H691" s="67" t="n"/>
      <c r="I691" s="67" t="n"/>
      <c r="J691" s="67" t="n"/>
      <c r="K691" s="67" t="n"/>
      <c r="L691" s="67" t="n"/>
      <c r="M691" s="64" t="n"/>
      <c r="N691" s="66" t="n"/>
      <c r="O691" s="84">
        <f>IF(A691="","",IF(OR(C691="",D691=""),"Enter both dates",IF(D691&lt;C691,"To is before From",IF(COUNTIFS($P$5:$P$2004,P691,$C$5:$C$2004,"&lt;="&amp;D691,$D$5:$D$2004,"&gt;="&amp;C691)&gt;1,"Overlaps another row","OK"))))</f>
        <v/>
      </c>
      <c r="P691">
        <f>IF(A691="","",A691&amp;"|"&amp;IF(B691="","Standard",B691))</f>
        <v/>
      </c>
      <c r="Q691">
        <f>IF(AND(A691&lt;&gt;"",A691='Firm Search'!$C$7),COUNTIF($A$5:A691,'Firm Search'!$C$7),"")</f>
        <v/>
      </c>
    </row>
    <row r="692">
      <c r="A692" s="64" t="n"/>
      <c r="B692" s="64" t="n"/>
      <c r="C692" s="66" t="n"/>
      <c r="D692" s="66" t="n"/>
      <c r="E692" s="67" t="n"/>
      <c r="F692" s="67" t="n"/>
      <c r="G692" s="67" t="n"/>
      <c r="H692" s="67" t="n"/>
      <c r="I692" s="67" t="n"/>
      <c r="J692" s="67" t="n"/>
      <c r="K692" s="67" t="n"/>
      <c r="L692" s="67" t="n"/>
      <c r="M692" s="64" t="n"/>
      <c r="N692" s="66" t="n"/>
      <c r="O692" s="84">
        <f>IF(A692="","",IF(OR(C692="",D692=""),"Enter both dates",IF(D692&lt;C692,"To is before From",IF(COUNTIFS($P$5:$P$2004,P692,$C$5:$C$2004,"&lt;="&amp;D692,$D$5:$D$2004,"&gt;="&amp;C692)&gt;1,"Overlaps another row","OK"))))</f>
        <v/>
      </c>
      <c r="P692">
        <f>IF(A692="","",A692&amp;"|"&amp;IF(B692="","Standard",B692))</f>
        <v/>
      </c>
      <c r="Q692">
        <f>IF(AND(A692&lt;&gt;"",A692='Firm Search'!$C$7),COUNTIF($A$5:A692,'Firm Search'!$C$7),"")</f>
        <v/>
      </c>
    </row>
    <row r="693">
      <c r="A693" s="64" t="n"/>
      <c r="B693" s="64" t="n"/>
      <c r="C693" s="66" t="n"/>
      <c r="D693" s="66" t="n"/>
      <c r="E693" s="67" t="n"/>
      <c r="F693" s="67" t="n"/>
      <c r="G693" s="67" t="n"/>
      <c r="H693" s="67" t="n"/>
      <c r="I693" s="67" t="n"/>
      <c r="J693" s="67" t="n"/>
      <c r="K693" s="67" t="n"/>
      <c r="L693" s="67" t="n"/>
      <c r="M693" s="64" t="n"/>
      <c r="N693" s="66" t="n"/>
      <c r="O693" s="84">
        <f>IF(A693="","",IF(OR(C693="",D693=""),"Enter both dates",IF(D693&lt;C693,"To is before From",IF(COUNTIFS($P$5:$P$2004,P693,$C$5:$C$2004,"&lt;="&amp;D693,$D$5:$D$2004,"&gt;="&amp;C693)&gt;1,"Overlaps another row","OK"))))</f>
        <v/>
      </c>
      <c r="P693">
        <f>IF(A693="","",A693&amp;"|"&amp;IF(B693="","Standard",B693))</f>
        <v/>
      </c>
      <c r="Q693">
        <f>IF(AND(A693&lt;&gt;"",A693='Firm Search'!$C$7),COUNTIF($A$5:A693,'Firm Search'!$C$7),"")</f>
        <v/>
      </c>
    </row>
    <row r="694">
      <c r="A694" s="64" t="n"/>
      <c r="B694" s="64" t="n"/>
      <c r="C694" s="66" t="n"/>
      <c r="D694" s="66" t="n"/>
      <c r="E694" s="67" t="n"/>
      <c r="F694" s="67" t="n"/>
      <c r="G694" s="67" t="n"/>
      <c r="H694" s="67" t="n"/>
      <c r="I694" s="67" t="n"/>
      <c r="J694" s="67" t="n"/>
      <c r="K694" s="67" t="n"/>
      <c r="L694" s="67" t="n"/>
      <c r="M694" s="64" t="n"/>
      <c r="N694" s="66" t="n"/>
      <c r="O694" s="84">
        <f>IF(A694="","",IF(OR(C694="",D694=""),"Enter both dates",IF(D694&lt;C694,"To is before From",IF(COUNTIFS($P$5:$P$2004,P694,$C$5:$C$2004,"&lt;="&amp;D694,$D$5:$D$2004,"&gt;="&amp;C694)&gt;1,"Overlaps another row","OK"))))</f>
        <v/>
      </c>
      <c r="P694">
        <f>IF(A694="","",A694&amp;"|"&amp;IF(B694="","Standard",B694))</f>
        <v/>
      </c>
      <c r="Q694">
        <f>IF(AND(A694&lt;&gt;"",A694='Firm Search'!$C$7),COUNTIF($A$5:A694,'Firm Search'!$C$7),"")</f>
        <v/>
      </c>
    </row>
    <row r="695">
      <c r="A695" s="64" t="n"/>
      <c r="B695" s="64" t="n"/>
      <c r="C695" s="66" t="n"/>
      <c r="D695" s="66" t="n"/>
      <c r="E695" s="67" t="n"/>
      <c r="F695" s="67" t="n"/>
      <c r="G695" s="67" t="n"/>
      <c r="H695" s="67" t="n"/>
      <c r="I695" s="67" t="n"/>
      <c r="J695" s="67" t="n"/>
      <c r="K695" s="67" t="n"/>
      <c r="L695" s="67" t="n"/>
      <c r="M695" s="64" t="n"/>
      <c r="N695" s="66" t="n"/>
      <c r="O695" s="84">
        <f>IF(A695="","",IF(OR(C695="",D695=""),"Enter both dates",IF(D695&lt;C695,"To is before From",IF(COUNTIFS($P$5:$P$2004,P695,$C$5:$C$2004,"&lt;="&amp;D695,$D$5:$D$2004,"&gt;="&amp;C695)&gt;1,"Overlaps another row","OK"))))</f>
        <v/>
      </c>
      <c r="P695">
        <f>IF(A695="","",A695&amp;"|"&amp;IF(B695="","Standard",B695))</f>
        <v/>
      </c>
      <c r="Q695">
        <f>IF(AND(A695&lt;&gt;"",A695='Firm Search'!$C$7),COUNTIF($A$5:A695,'Firm Search'!$C$7),"")</f>
        <v/>
      </c>
    </row>
    <row r="696">
      <c r="A696" s="64" t="n"/>
      <c r="B696" s="64" t="n"/>
      <c r="C696" s="66" t="n"/>
      <c r="D696" s="66" t="n"/>
      <c r="E696" s="67" t="n"/>
      <c r="F696" s="67" t="n"/>
      <c r="G696" s="67" t="n"/>
      <c r="H696" s="67" t="n"/>
      <c r="I696" s="67" t="n"/>
      <c r="J696" s="67" t="n"/>
      <c r="K696" s="67" t="n"/>
      <c r="L696" s="67" t="n"/>
      <c r="M696" s="64" t="n"/>
      <c r="N696" s="66" t="n"/>
      <c r="O696" s="84">
        <f>IF(A696="","",IF(OR(C696="",D696=""),"Enter both dates",IF(D696&lt;C696,"To is before From",IF(COUNTIFS($P$5:$P$2004,P696,$C$5:$C$2004,"&lt;="&amp;D696,$D$5:$D$2004,"&gt;="&amp;C696)&gt;1,"Overlaps another row","OK"))))</f>
        <v/>
      </c>
      <c r="P696">
        <f>IF(A696="","",A696&amp;"|"&amp;IF(B696="","Standard",B696))</f>
        <v/>
      </c>
      <c r="Q696">
        <f>IF(AND(A696&lt;&gt;"",A696='Firm Search'!$C$7),COUNTIF($A$5:A696,'Firm Search'!$C$7),"")</f>
        <v/>
      </c>
    </row>
    <row r="697">
      <c r="A697" s="64" t="n"/>
      <c r="B697" s="64" t="n"/>
      <c r="C697" s="66" t="n"/>
      <c r="D697" s="66" t="n"/>
      <c r="E697" s="67" t="n"/>
      <c r="F697" s="67" t="n"/>
      <c r="G697" s="67" t="n"/>
      <c r="H697" s="67" t="n"/>
      <c r="I697" s="67" t="n"/>
      <c r="J697" s="67" t="n"/>
      <c r="K697" s="67" t="n"/>
      <c r="L697" s="67" t="n"/>
      <c r="M697" s="64" t="n"/>
      <c r="N697" s="66" t="n"/>
      <c r="O697" s="84">
        <f>IF(A697="","",IF(OR(C697="",D697=""),"Enter both dates",IF(D697&lt;C697,"To is before From",IF(COUNTIFS($P$5:$P$2004,P697,$C$5:$C$2004,"&lt;="&amp;D697,$D$5:$D$2004,"&gt;="&amp;C697)&gt;1,"Overlaps another row","OK"))))</f>
        <v/>
      </c>
      <c r="P697">
        <f>IF(A697="","",A697&amp;"|"&amp;IF(B697="","Standard",B697))</f>
        <v/>
      </c>
      <c r="Q697">
        <f>IF(AND(A697&lt;&gt;"",A697='Firm Search'!$C$7),COUNTIF($A$5:A697,'Firm Search'!$C$7),"")</f>
        <v/>
      </c>
    </row>
    <row r="698">
      <c r="A698" s="64" t="n"/>
      <c r="B698" s="64" t="n"/>
      <c r="C698" s="66" t="n"/>
      <c r="D698" s="66" t="n"/>
      <c r="E698" s="67" t="n"/>
      <c r="F698" s="67" t="n"/>
      <c r="G698" s="67" t="n"/>
      <c r="H698" s="67" t="n"/>
      <c r="I698" s="67" t="n"/>
      <c r="J698" s="67" t="n"/>
      <c r="K698" s="67" t="n"/>
      <c r="L698" s="67" t="n"/>
      <c r="M698" s="64" t="n"/>
      <c r="N698" s="66" t="n"/>
      <c r="O698" s="84">
        <f>IF(A698="","",IF(OR(C698="",D698=""),"Enter both dates",IF(D698&lt;C698,"To is before From",IF(COUNTIFS($P$5:$P$2004,P698,$C$5:$C$2004,"&lt;="&amp;D698,$D$5:$D$2004,"&gt;="&amp;C698)&gt;1,"Overlaps another row","OK"))))</f>
        <v/>
      </c>
      <c r="P698">
        <f>IF(A698="","",A698&amp;"|"&amp;IF(B698="","Standard",B698))</f>
        <v/>
      </c>
      <c r="Q698">
        <f>IF(AND(A698&lt;&gt;"",A698='Firm Search'!$C$7),COUNTIF($A$5:A698,'Firm Search'!$C$7),"")</f>
        <v/>
      </c>
    </row>
    <row r="699">
      <c r="A699" s="64" t="n"/>
      <c r="B699" s="64" t="n"/>
      <c r="C699" s="66" t="n"/>
      <c r="D699" s="66" t="n"/>
      <c r="E699" s="67" t="n"/>
      <c r="F699" s="67" t="n"/>
      <c r="G699" s="67" t="n"/>
      <c r="H699" s="67" t="n"/>
      <c r="I699" s="67" t="n"/>
      <c r="J699" s="67" t="n"/>
      <c r="K699" s="67" t="n"/>
      <c r="L699" s="67" t="n"/>
      <c r="M699" s="64" t="n"/>
      <c r="N699" s="66" t="n"/>
      <c r="O699" s="84">
        <f>IF(A699="","",IF(OR(C699="",D699=""),"Enter both dates",IF(D699&lt;C699,"To is before From",IF(COUNTIFS($P$5:$P$2004,P699,$C$5:$C$2004,"&lt;="&amp;D699,$D$5:$D$2004,"&gt;="&amp;C699)&gt;1,"Overlaps another row","OK"))))</f>
        <v/>
      </c>
      <c r="P699">
        <f>IF(A699="","",A699&amp;"|"&amp;IF(B699="","Standard",B699))</f>
        <v/>
      </c>
      <c r="Q699">
        <f>IF(AND(A699&lt;&gt;"",A699='Firm Search'!$C$7),COUNTIF($A$5:A699,'Firm Search'!$C$7),"")</f>
        <v/>
      </c>
    </row>
    <row r="700">
      <c r="A700" s="64" t="n"/>
      <c r="B700" s="64" t="n"/>
      <c r="C700" s="66" t="n"/>
      <c r="D700" s="66" t="n"/>
      <c r="E700" s="67" t="n"/>
      <c r="F700" s="67" t="n"/>
      <c r="G700" s="67" t="n"/>
      <c r="H700" s="67" t="n"/>
      <c r="I700" s="67" t="n"/>
      <c r="J700" s="67" t="n"/>
      <c r="K700" s="67" t="n"/>
      <c r="L700" s="67" t="n"/>
      <c r="M700" s="64" t="n"/>
      <c r="N700" s="66" t="n"/>
      <c r="O700" s="84">
        <f>IF(A700="","",IF(OR(C700="",D700=""),"Enter both dates",IF(D700&lt;C700,"To is before From",IF(COUNTIFS($P$5:$P$2004,P700,$C$5:$C$2004,"&lt;="&amp;D700,$D$5:$D$2004,"&gt;="&amp;C700)&gt;1,"Overlaps another row","OK"))))</f>
        <v/>
      </c>
      <c r="P700">
        <f>IF(A700="","",A700&amp;"|"&amp;IF(B700="","Standard",B700))</f>
        <v/>
      </c>
      <c r="Q700">
        <f>IF(AND(A700&lt;&gt;"",A700='Firm Search'!$C$7),COUNTIF($A$5:A700,'Firm Search'!$C$7),"")</f>
        <v/>
      </c>
    </row>
    <row r="701">
      <c r="A701" s="64" t="n"/>
      <c r="B701" s="64" t="n"/>
      <c r="C701" s="66" t="n"/>
      <c r="D701" s="66" t="n"/>
      <c r="E701" s="67" t="n"/>
      <c r="F701" s="67" t="n"/>
      <c r="G701" s="67" t="n"/>
      <c r="H701" s="67" t="n"/>
      <c r="I701" s="67" t="n"/>
      <c r="J701" s="67" t="n"/>
      <c r="K701" s="67" t="n"/>
      <c r="L701" s="67" t="n"/>
      <c r="M701" s="64" t="n"/>
      <c r="N701" s="66" t="n"/>
      <c r="O701" s="84">
        <f>IF(A701="","",IF(OR(C701="",D701=""),"Enter both dates",IF(D701&lt;C701,"To is before From",IF(COUNTIFS($P$5:$P$2004,P701,$C$5:$C$2004,"&lt;="&amp;D701,$D$5:$D$2004,"&gt;="&amp;C701)&gt;1,"Overlaps another row","OK"))))</f>
        <v/>
      </c>
      <c r="P701">
        <f>IF(A701="","",A701&amp;"|"&amp;IF(B701="","Standard",B701))</f>
        <v/>
      </c>
      <c r="Q701">
        <f>IF(AND(A701&lt;&gt;"",A701='Firm Search'!$C$7),COUNTIF($A$5:A701,'Firm Search'!$C$7),"")</f>
        <v/>
      </c>
    </row>
    <row r="702">
      <c r="A702" s="64" t="n"/>
      <c r="B702" s="64" t="n"/>
      <c r="C702" s="66" t="n"/>
      <c r="D702" s="66" t="n"/>
      <c r="E702" s="67" t="n"/>
      <c r="F702" s="67" t="n"/>
      <c r="G702" s="67" t="n"/>
      <c r="H702" s="67" t="n"/>
      <c r="I702" s="67" t="n"/>
      <c r="J702" s="67" t="n"/>
      <c r="K702" s="67" t="n"/>
      <c r="L702" s="67" t="n"/>
      <c r="M702" s="64" t="n"/>
      <c r="N702" s="66" t="n"/>
      <c r="O702" s="84">
        <f>IF(A702="","",IF(OR(C702="",D702=""),"Enter both dates",IF(D702&lt;C702,"To is before From",IF(COUNTIFS($P$5:$P$2004,P702,$C$5:$C$2004,"&lt;="&amp;D702,$D$5:$D$2004,"&gt;="&amp;C702)&gt;1,"Overlaps another row","OK"))))</f>
        <v/>
      </c>
      <c r="P702">
        <f>IF(A702="","",A702&amp;"|"&amp;IF(B702="","Standard",B702))</f>
        <v/>
      </c>
      <c r="Q702">
        <f>IF(AND(A702&lt;&gt;"",A702='Firm Search'!$C$7),COUNTIF($A$5:A702,'Firm Search'!$C$7),"")</f>
        <v/>
      </c>
    </row>
    <row r="703">
      <c r="A703" s="64" t="n"/>
      <c r="B703" s="64" t="n"/>
      <c r="C703" s="66" t="n"/>
      <c r="D703" s="66" t="n"/>
      <c r="E703" s="67" t="n"/>
      <c r="F703" s="67" t="n"/>
      <c r="G703" s="67" t="n"/>
      <c r="H703" s="67" t="n"/>
      <c r="I703" s="67" t="n"/>
      <c r="J703" s="67" t="n"/>
      <c r="K703" s="67" t="n"/>
      <c r="L703" s="67" t="n"/>
      <c r="M703" s="64" t="n"/>
      <c r="N703" s="66" t="n"/>
      <c r="O703" s="84">
        <f>IF(A703="","",IF(OR(C703="",D703=""),"Enter both dates",IF(D703&lt;C703,"To is before From",IF(COUNTIFS($P$5:$P$2004,P703,$C$5:$C$2004,"&lt;="&amp;D703,$D$5:$D$2004,"&gt;="&amp;C703)&gt;1,"Overlaps another row","OK"))))</f>
        <v/>
      </c>
      <c r="P703">
        <f>IF(A703="","",A703&amp;"|"&amp;IF(B703="","Standard",B703))</f>
        <v/>
      </c>
      <c r="Q703">
        <f>IF(AND(A703&lt;&gt;"",A703='Firm Search'!$C$7),COUNTIF($A$5:A703,'Firm Search'!$C$7),"")</f>
        <v/>
      </c>
    </row>
    <row r="704">
      <c r="A704" s="64" t="n"/>
      <c r="B704" s="64" t="n"/>
      <c r="C704" s="66" t="n"/>
      <c r="D704" s="66" t="n"/>
      <c r="E704" s="67" t="n"/>
      <c r="F704" s="67" t="n"/>
      <c r="G704" s="67" t="n"/>
      <c r="H704" s="67" t="n"/>
      <c r="I704" s="67" t="n"/>
      <c r="J704" s="67" t="n"/>
      <c r="K704" s="67" t="n"/>
      <c r="L704" s="67" t="n"/>
      <c r="M704" s="64" t="n"/>
      <c r="N704" s="66" t="n"/>
      <c r="O704" s="84">
        <f>IF(A704="","",IF(OR(C704="",D704=""),"Enter both dates",IF(D704&lt;C704,"To is before From",IF(COUNTIFS($P$5:$P$2004,P704,$C$5:$C$2004,"&lt;="&amp;D704,$D$5:$D$2004,"&gt;="&amp;C704)&gt;1,"Overlaps another row","OK"))))</f>
        <v/>
      </c>
      <c r="P704">
        <f>IF(A704="","",A704&amp;"|"&amp;IF(B704="","Standard",B704))</f>
        <v/>
      </c>
      <c r="Q704">
        <f>IF(AND(A704&lt;&gt;"",A704='Firm Search'!$C$7),COUNTIF($A$5:A704,'Firm Search'!$C$7),"")</f>
        <v/>
      </c>
    </row>
    <row r="705">
      <c r="A705" s="64" t="n"/>
      <c r="B705" s="64" t="n"/>
      <c r="C705" s="66" t="n"/>
      <c r="D705" s="66" t="n"/>
      <c r="E705" s="67" t="n"/>
      <c r="F705" s="67" t="n"/>
      <c r="G705" s="67" t="n"/>
      <c r="H705" s="67" t="n"/>
      <c r="I705" s="67" t="n"/>
      <c r="J705" s="67" t="n"/>
      <c r="K705" s="67" t="n"/>
      <c r="L705" s="67" t="n"/>
      <c r="M705" s="64" t="n"/>
      <c r="N705" s="66" t="n"/>
      <c r="O705" s="84">
        <f>IF(A705="","",IF(OR(C705="",D705=""),"Enter both dates",IF(D705&lt;C705,"To is before From",IF(COUNTIFS($P$5:$P$2004,P705,$C$5:$C$2004,"&lt;="&amp;D705,$D$5:$D$2004,"&gt;="&amp;C705)&gt;1,"Overlaps another row","OK"))))</f>
        <v/>
      </c>
      <c r="P705">
        <f>IF(A705="","",A705&amp;"|"&amp;IF(B705="","Standard",B705))</f>
        <v/>
      </c>
      <c r="Q705">
        <f>IF(AND(A705&lt;&gt;"",A705='Firm Search'!$C$7),COUNTIF($A$5:A705,'Firm Search'!$C$7),"")</f>
        <v/>
      </c>
    </row>
    <row r="706">
      <c r="A706" s="64" t="n"/>
      <c r="B706" s="64" t="n"/>
      <c r="C706" s="66" t="n"/>
      <c r="D706" s="66" t="n"/>
      <c r="E706" s="67" t="n"/>
      <c r="F706" s="67" t="n"/>
      <c r="G706" s="67" t="n"/>
      <c r="H706" s="67" t="n"/>
      <c r="I706" s="67" t="n"/>
      <c r="J706" s="67" t="n"/>
      <c r="K706" s="67" t="n"/>
      <c r="L706" s="67" t="n"/>
      <c r="M706" s="64" t="n"/>
      <c r="N706" s="66" t="n"/>
      <c r="O706" s="84">
        <f>IF(A706="","",IF(OR(C706="",D706=""),"Enter both dates",IF(D706&lt;C706,"To is before From",IF(COUNTIFS($P$5:$P$2004,P706,$C$5:$C$2004,"&lt;="&amp;D706,$D$5:$D$2004,"&gt;="&amp;C706)&gt;1,"Overlaps another row","OK"))))</f>
        <v/>
      </c>
      <c r="P706">
        <f>IF(A706="","",A706&amp;"|"&amp;IF(B706="","Standard",B706))</f>
        <v/>
      </c>
      <c r="Q706">
        <f>IF(AND(A706&lt;&gt;"",A706='Firm Search'!$C$7),COUNTIF($A$5:A706,'Firm Search'!$C$7),"")</f>
        <v/>
      </c>
    </row>
    <row r="707">
      <c r="A707" s="64" t="n"/>
      <c r="B707" s="64" t="n"/>
      <c r="C707" s="66" t="n"/>
      <c r="D707" s="66" t="n"/>
      <c r="E707" s="67" t="n"/>
      <c r="F707" s="67" t="n"/>
      <c r="G707" s="67" t="n"/>
      <c r="H707" s="67" t="n"/>
      <c r="I707" s="67" t="n"/>
      <c r="J707" s="67" t="n"/>
      <c r="K707" s="67" t="n"/>
      <c r="L707" s="67" t="n"/>
      <c r="M707" s="64" t="n"/>
      <c r="N707" s="66" t="n"/>
      <c r="O707" s="84">
        <f>IF(A707="","",IF(OR(C707="",D707=""),"Enter both dates",IF(D707&lt;C707,"To is before From",IF(COUNTIFS($P$5:$P$2004,P707,$C$5:$C$2004,"&lt;="&amp;D707,$D$5:$D$2004,"&gt;="&amp;C707)&gt;1,"Overlaps another row","OK"))))</f>
        <v/>
      </c>
      <c r="P707">
        <f>IF(A707="","",A707&amp;"|"&amp;IF(B707="","Standard",B707))</f>
        <v/>
      </c>
      <c r="Q707">
        <f>IF(AND(A707&lt;&gt;"",A707='Firm Search'!$C$7),COUNTIF($A$5:A707,'Firm Search'!$C$7),"")</f>
        <v/>
      </c>
    </row>
    <row r="708">
      <c r="A708" s="64" t="n"/>
      <c r="B708" s="64" t="n"/>
      <c r="C708" s="66" t="n"/>
      <c r="D708" s="66" t="n"/>
      <c r="E708" s="67" t="n"/>
      <c r="F708" s="67" t="n"/>
      <c r="G708" s="67" t="n"/>
      <c r="H708" s="67" t="n"/>
      <c r="I708" s="67" t="n"/>
      <c r="J708" s="67" t="n"/>
      <c r="K708" s="67" t="n"/>
      <c r="L708" s="67" t="n"/>
      <c r="M708" s="64" t="n"/>
      <c r="N708" s="66" t="n"/>
      <c r="O708" s="84">
        <f>IF(A708="","",IF(OR(C708="",D708=""),"Enter both dates",IF(D708&lt;C708,"To is before From",IF(COUNTIFS($P$5:$P$2004,P708,$C$5:$C$2004,"&lt;="&amp;D708,$D$5:$D$2004,"&gt;="&amp;C708)&gt;1,"Overlaps another row","OK"))))</f>
        <v/>
      </c>
      <c r="P708">
        <f>IF(A708="","",A708&amp;"|"&amp;IF(B708="","Standard",B708))</f>
        <v/>
      </c>
      <c r="Q708">
        <f>IF(AND(A708&lt;&gt;"",A708='Firm Search'!$C$7),COUNTIF($A$5:A708,'Firm Search'!$C$7),"")</f>
        <v/>
      </c>
    </row>
    <row r="709">
      <c r="A709" s="64" t="n"/>
      <c r="B709" s="64" t="n"/>
      <c r="C709" s="66" t="n"/>
      <c r="D709" s="66" t="n"/>
      <c r="E709" s="67" t="n"/>
      <c r="F709" s="67" t="n"/>
      <c r="G709" s="67" t="n"/>
      <c r="H709" s="67" t="n"/>
      <c r="I709" s="67" t="n"/>
      <c r="J709" s="67" t="n"/>
      <c r="K709" s="67" t="n"/>
      <c r="L709" s="67" t="n"/>
      <c r="M709" s="64" t="n"/>
      <c r="N709" s="66" t="n"/>
      <c r="O709" s="84">
        <f>IF(A709="","",IF(OR(C709="",D709=""),"Enter both dates",IF(D709&lt;C709,"To is before From",IF(COUNTIFS($P$5:$P$2004,P709,$C$5:$C$2004,"&lt;="&amp;D709,$D$5:$D$2004,"&gt;="&amp;C709)&gt;1,"Overlaps another row","OK"))))</f>
        <v/>
      </c>
      <c r="P709">
        <f>IF(A709="","",A709&amp;"|"&amp;IF(B709="","Standard",B709))</f>
        <v/>
      </c>
      <c r="Q709">
        <f>IF(AND(A709&lt;&gt;"",A709='Firm Search'!$C$7),COUNTIF($A$5:A709,'Firm Search'!$C$7),"")</f>
        <v/>
      </c>
    </row>
    <row r="710">
      <c r="A710" s="64" t="n"/>
      <c r="B710" s="64" t="n"/>
      <c r="C710" s="66" t="n"/>
      <c r="D710" s="66" t="n"/>
      <c r="E710" s="67" t="n"/>
      <c r="F710" s="67" t="n"/>
      <c r="G710" s="67" t="n"/>
      <c r="H710" s="67" t="n"/>
      <c r="I710" s="67" t="n"/>
      <c r="J710" s="67" t="n"/>
      <c r="K710" s="67" t="n"/>
      <c r="L710" s="67" t="n"/>
      <c r="M710" s="64" t="n"/>
      <c r="N710" s="66" t="n"/>
      <c r="O710" s="84">
        <f>IF(A710="","",IF(OR(C710="",D710=""),"Enter both dates",IF(D710&lt;C710,"To is before From",IF(COUNTIFS($P$5:$P$2004,P710,$C$5:$C$2004,"&lt;="&amp;D710,$D$5:$D$2004,"&gt;="&amp;C710)&gt;1,"Overlaps another row","OK"))))</f>
        <v/>
      </c>
      <c r="P710">
        <f>IF(A710="","",A710&amp;"|"&amp;IF(B710="","Standard",B710))</f>
        <v/>
      </c>
      <c r="Q710">
        <f>IF(AND(A710&lt;&gt;"",A710='Firm Search'!$C$7),COUNTIF($A$5:A710,'Firm Search'!$C$7),"")</f>
        <v/>
      </c>
    </row>
    <row r="711">
      <c r="A711" s="64" t="n"/>
      <c r="B711" s="64" t="n"/>
      <c r="C711" s="66" t="n"/>
      <c r="D711" s="66" t="n"/>
      <c r="E711" s="67" t="n"/>
      <c r="F711" s="67" t="n"/>
      <c r="G711" s="67" t="n"/>
      <c r="H711" s="67" t="n"/>
      <c r="I711" s="67" t="n"/>
      <c r="J711" s="67" t="n"/>
      <c r="K711" s="67" t="n"/>
      <c r="L711" s="67" t="n"/>
      <c r="M711" s="64" t="n"/>
      <c r="N711" s="66" t="n"/>
      <c r="O711" s="84">
        <f>IF(A711="","",IF(OR(C711="",D711=""),"Enter both dates",IF(D711&lt;C711,"To is before From",IF(COUNTIFS($P$5:$P$2004,P711,$C$5:$C$2004,"&lt;="&amp;D711,$D$5:$D$2004,"&gt;="&amp;C711)&gt;1,"Overlaps another row","OK"))))</f>
        <v/>
      </c>
      <c r="P711">
        <f>IF(A711="","",A711&amp;"|"&amp;IF(B711="","Standard",B711))</f>
        <v/>
      </c>
      <c r="Q711">
        <f>IF(AND(A711&lt;&gt;"",A711='Firm Search'!$C$7),COUNTIF($A$5:A711,'Firm Search'!$C$7),"")</f>
        <v/>
      </c>
    </row>
    <row r="712">
      <c r="A712" s="64" t="n"/>
      <c r="B712" s="64" t="n"/>
      <c r="C712" s="66" t="n"/>
      <c r="D712" s="66" t="n"/>
      <c r="E712" s="67" t="n"/>
      <c r="F712" s="67" t="n"/>
      <c r="G712" s="67" t="n"/>
      <c r="H712" s="67" t="n"/>
      <c r="I712" s="67" t="n"/>
      <c r="J712" s="67" t="n"/>
      <c r="K712" s="67" t="n"/>
      <c r="L712" s="67" t="n"/>
      <c r="M712" s="64" t="n"/>
      <c r="N712" s="66" t="n"/>
      <c r="O712" s="84">
        <f>IF(A712="","",IF(OR(C712="",D712=""),"Enter both dates",IF(D712&lt;C712,"To is before From",IF(COUNTIFS($P$5:$P$2004,P712,$C$5:$C$2004,"&lt;="&amp;D712,$D$5:$D$2004,"&gt;="&amp;C712)&gt;1,"Overlaps another row","OK"))))</f>
        <v/>
      </c>
      <c r="P712">
        <f>IF(A712="","",A712&amp;"|"&amp;IF(B712="","Standard",B712))</f>
        <v/>
      </c>
      <c r="Q712">
        <f>IF(AND(A712&lt;&gt;"",A712='Firm Search'!$C$7),COUNTIF($A$5:A712,'Firm Search'!$C$7),"")</f>
        <v/>
      </c>
    </row>
    <row r="713">
      <c r="A713" s="64" t="n"/>
      <c r="B713" s="64" t="n"/>
      <c r="C713" s="66" t="n"/>
      <c r="D713" s="66" t="n"/>
      <c r="E713" s="67" t="n"/>
      <c r="F713" s="67" t="n"/>
      <c r="G713" s="67" t="n"/>
      <c r="H713" s="67" t="n"/>
      <c r="I713" s="67" t="n"/>
      <c r="J713" s="67" t="n"/>
      <c r="K713" s="67" t="n"/>
      <c r="L713" s="67" t="n"/>
      <c r="M713" s="64" t="n"/>
      <c r="N713" s="66" t="n"/>
      <c r="O713" s="84">
        <f>IF(A713="","",IF(OR(C713="",D713=""),"Enter both dates",IF(D713&lt;C713,"To is before From",IF(COUNTIFS($P$5:$P$2004,P713,$C$5:$C$2004,"&lt;="&amp;D713,$D$5:$D$2004,"&gt;="&amp;C713)&gt;1,"Overlaps another row","OK"))))</f>
        <v/>
      </c>
      <c r="P713">
        <f>IF(A713="","",A713&amp;"|"&amp;IF(B713="","Standard",B713))</f>
        <v/>
      </c>
      <c r="Q713">
        <f>IF(AND(A713&lt;&gt;"",A713='Firm Search'!$C$7),COUNTIF($A$5:A713,'Firm Search'!$C$7),"")</f>
        <v/>
      </c>
    </row>
    <row r="714">
      <c r="A714" s="64" t="n"/>
      <c r="B714" s="64" t="n"/>
      <c r="C714" s="66" t="n"/>
      <c r="D714" s="66" t="n"/>
      <c r="E714" s="67" t="n"/>
      <c r="F714" s="67" t="n"/>
      <c r="G714" s="67" t="n"/>
      <c r="H714" s="67" t="n"/>
      <c r="I714" s="67" t="n"/>
      <c r="J714" s="67" t="n"/>
      <c r="K714" s="67" t="n"/>
      <c r="L714" s="67" t="n"/>
      <c r="M714" s="64" t="n"/>
      <c r="N714" s="66" t="n"/>
      <c r="O714" s="84">
        <f>IF(A714="","",IF(OR(C714="",D714=""),"Enter both dates",IF(D714&lt;C714,"To is before From",IF(COUNTIFS($P$5:$P$2004,P714,$C$5:$C$2004,"&lt;="&amp;D714,$D$5:$D$2004,"&gt;="&amp;C714)&gt;1,"Overlaps another row","OK"))))</f>
        <v/>
      </c>
      <c r="P714">
        <f>IF(A714="","",A714&amp;"|"&amp;IF(B714="","Standard",B714))</f>
        <v/>
      </c>
      <c r="Q714">
        <f>IF(AND(A714&lt;&gt;"",A714='Firm Search'!$C$7),COUNTIF($A$5:A714,'Firm Search'!$C$7),"")</f>
        <v/>
      </c>
    </row>
    <row r="715">
      <c r="A715" s="64" t="n"/>
      <c r="B715" s="64" t="n"/>
      <c r="C715" s="66" t="n"/>
      <c r="D715" s="66" t="n"/>
      <c r="E715" s="67" t="n"/>
      <c r="F715" s="67" t="n"/>
      <c r="G715" s="67" t="n"/>
      <c r="H715" s="67" t="n"/>
      <c r="I715" s="67" t="n"/>
      <c r="J715" s="67" t="n"/>
      <c r="K715" s="67" t="n"/>
      <c r="L715" s="67" t="n"/>
      <c r="M715" s="64" t="n"/>
      <c r="N715" s="66" t="n"/>
      <c r="O715" s="84">
        <f>IF(A715="","",IF(OR(C715="",D715=""),"Enter both dates",IF(D715&lt;C715,"To is before From",IF(COUNTIFS($P$5:$P$2004,P715,$C$5:$C$2004,"&lt;="&amp;D715,$D$5:$D$2004,"&gt;="&amp;C715)&gt;1,"Overlaps another row","OK"))))</f>
        <v/>
      </c>
      <c r="P715">
        <f>IF(A715="","",A715&amp;"|"&amp;IF(B715="","Standard",B715))</f>
        <v/>
      </c>
      <c r="Q715">
        <f>IF(AND(A715&lt;&gt;"",A715='Firm Search'!$C$7),COUNTIF($A$5:A715,'Firm Search'!$C$7),"")</f>
        <v/>
      </c>
    </row>
    <row r="716">
      <c r="A716" s="64" t="n"/>
      <c r="B716" s="64" t="n"/>
      <c r="C716" s="66" t="n"/>
      <c r="D716" s="66" t="n"/>
      <c r="E716" s="67" t="n"/>
      <c r="F716" s="67" t="n"/>
      <c r="G716" s="67" t="n"/>
      <c r="H716" s="67" t="n"/>
      <c r="I716" s="67" t="n"/>
      <c r="J716" s="67" t="n"/>
      <c r="K716" s="67" t="n"/>
      <c r="L716" s="67" t="n"/>
      <c r="M716" s="64" t="n"/>
      <c r="N716" s="66" t="n"/>
      <c r="O716" s="84">
        <f>IF(A716="","",IF(OR(C716="",D716=""),"Enter both dates",IF(D716&lt;C716,"To is before From",IF(COUNTIFS($P$5:$P$2004,P716,$C$5:$C$2004,"&lt;="&amp;D716,$D$5:$D$2004,"&gt;="&amp;C716)&gt;1,"Overlaps another row","OK"))))</f>
        <v/>
      </c>
      <c r="P716">
        <f>IF(A716="","",A716&amp;"|"&amp;IF(B716="","Standard",B716))</f>
        <v/>
      </c>
      <c r="Q716">
        <f>IF(AND(A716&lt;&gt;"",A716='Firm Search'!$C$7),COUNTIF($A$5:A716,'Firm Search'!$C$7),"")</f>
        <v/>
      </c>
    </row>
    <row r="717">
      <c r="A717" s="64" t="n"/>
      <c r="B717" s="64" t="n"/>
      <c r="C717" s="66" t="n"/>
      <c r="D717" s="66" t="n"/>
      <c r="E717" s="67" t="n"/>
      <c r="F717" s="67" t="n"/>
      <c r="G717" s="67" t="n"/>
      <c r="H717" s="67" t="n"/>
      <c r="I717" s="67" t="n"/>
      <c r="J717" s="67" t="n"/>
      <c r="K717" s="67" t="n"/>
      <c r="L717" s="67" t="n"/>
      <c r="M717" s="64" t="n"/>
      <c r="N717" s="66" t="n"/>
      <c r="O717" s="84">
        <f>IF(A717="","",IF(OR(C717="",D717=""),"Enter both dates",IF(D717&lt;C717,"To is before From",IF(COUNTIFS($P$5:$P$2004,P717,$C$5:$C$2004,"&lt;="&amp;D717,$D$5:$D$2004,"&gt;="&amp;C717)&gt;1,"Overlaps another row","OK"))))</f>
        <v/>
      </c>
      <c r="P717">
        <f>IF(A717="","",A717&amp;"|"&amp;IF(B717="","Standard",B717))</f>
        <v/>
      </c>
      <c r="Q717">
        <f>IF(AND(A717&lt;&gt;"",A717='Firm Search'!$C$7),COUNTIF($A$5:A717,'Firm Search'!$C$7),"")</f>
        <v/>
      </c>
    </row>
    <row r="718">
      <c r="A718" s="64" t="n"/>
      <c r="B718" s="64" t="n"/>
      <c r="C718" s="66" t="n"/>
      <c r="D718" s="66" t="n"/>
      <c r="E718" s="67" t="n"/>
      <c r="F718" s="67" t="n"/>
      <c r="G718" s="67" t="n"/>
      <c r="H718" s="67" t="n"/>
      <c r="I718" s="67" t="n"/>
      <c r="J718" s="67" t="n"/>
      <c r="K718" s="67" t="n"/>
      <c r="L718" s="67" t="n"/>
      <c r="M718" s="64" t="n"/>
      <c r="N718" s="66" t="n"/>
      <c r="O718" s="84">
        <f>IF(A718="","",IF(OR(C718="",D718=""),"Enter both dates",IF(D718&lt;C718,"To is before From",IF(COUNTIFS($P$5:$P$2004,P718,$C$5:$C$2004,"&lt;="&amp;D718,$D$5:$D$2004,"&gt;="&amp;C718)&gt;1,"Overlaps another row","OK"))))</f>
        <v/>
      </c>
      <c r="P718">
        <f>IF(A718="","",A718&amp;"|"&amp;IF(B718="","Standard",B718))</f>
        <v/>
      </c>
      <c r="Q718">
        <f>IF(AND(A718&lt;&gt;"",A718='Firm Search'!$C$7),COUNTIF($A$5:A718,'Firm Search'!$C$7),"")</f>
        <v/>
      </c>
    </row>
    <row r="719">
      <c r="A719" s="64" t="n"/>
      <c r="B719" s="64" t="n"/>
      <c r="C719" s="66" t="n"/>
      <c r="D719" s="66" t="n"/>
      <c r="E719" s="67" t="n"/>
      <c r="F719" s="67" t="n"/>
      <c r="G719" s="67" t="n"/>
      <c r="H719" s="67" t="n"/>
      <c r="I719" s="67" t="n"/>
      <c r="J719" s="67" t="n"/>
      <c r="K719" s="67" t="n"/>
      <c r="L719" s="67" t="n"/>
      <c r="M719" s="64" t="n"/>
      <c r="N719" s="66" t="n"/>
      <c r="O719" s="84">
        <f>IF(A719="","",IF(OR(C719="",D719=""),"Enter both dates",IF(D719&lt;C719,"To is before From",IF(COUNTIFS($P$5:$P$2004,P719,$C$5:$C$2004,"&lt;="&amp;D719,$D$5:$D$2004,"&gt;="&amp;C719)&gt;1,"Overlaps another row","OK"))))</f>
        <v/>
      </c>
      <c r="P719">
        <f>IF(A719="","",A719&amp;"|"&amp;IF(B719="","Standard",B719))</f>
        <v/>
      </c>
      <c r="Q719">
        <f>IF(AND(A719&lt;&gt;"",A719='Firm Search'!$C$7),COUNTIF($A$5:A719,'Firm Search'!$C$7),"")</f>
        <v/>
      </c>
    </row>
    <row r="720">
      <c r="A720" s="64" t="n"/>
      <c r="B720" s="64" t="n"/>
      <c r="C720" s="66" t="n"/>
      <c r="D720" s="66" t="n"/>
      <c r="E720" s="67" t="n"/>
      <c r="F720" s="67" t="n"/>
      <c r="G720" s="67" t="n"/>
      <c r="H720" s="67" t="n"/>
      <c r="I720" s="67" t="n"/>
      <c r="J720" s="67" t="n"/>
      <c r="K720" s="67" t="n"/>
      <c r="L720" s="67" t="n"/>
      <c r="M720" s="64" t="n"/>
      <c r="N720" s="66" t="n"/>
      <c r="O720" s="84">
        <f>IF(A720="","",IF(OR(C720="",D720=""),"Enter both dates",IF(D720&lt;C720,"To is before From",IF(COUNTIFS($P$5:$P$2004,P720,$C$5:$C$2004,"&lt;="&amp;D720,$D$5:$D$2004,"&gt;="&amp;C720)&gt;1,"Overlaps another row","OK"))))</f>
        <v/>
      </c>
      <c r="P720">
        <f>IF(A720="","",A720&amp;"|"&amp;IF(B720="","Standard",B720))</f>
        <v/>
      </c>
      <c r="Q720">
        <f>IF(AND(A720&lt;&gt;"",A720='Firm Search'!$C$7),COUNTIF($A$5:A720,'Firm Search'!$C$7),"")</f>
        <v/>
      </c>
    </row>
    <row r="721">
      <c r="A721" s="64" t="n"/>
      <c r="B721" s="64" t="n"/>
      <c r="C721" s="66" t="n"/>
      <c r="D721" s="66" t="n"/>
      <c r="E721" s="67" t="n"/>
      <c r="F721" s="67" t="n"/>
      <c r="G721" s="67" t="n"/>
      <c r="H721" s="67" t="n"/>
      <c r="I721" s="67" t="n"/>
      <c r="J721" s="67" t="n"/>
      <c r="K721" s="67" t="n"/>
      <c r="L721" s="67" t="n"/>
      <c r="M721" s="64" t="n"/>
      <c r="N721" s="66" t="n"/>
      <c r="O721" s="84">
        <f>IF(A721="","",IF(OR(C721="",D721=""),"Enter both dates",IF(D721&lt;C721,"To is before From",IF(COUNTIFS($P$5:$P$2004,P721,$C$5:$C$2004,"&lt;="&amp;D721,$D$5:$D$2004,"&gt;="&amp;C721)&gt;1,"Overlaps another row","OK"))))</f>
        <v/>
      </c>
      <c r="P721">
        <f>IF(A721="","",A721&amp;"|"&amp;IF(B721="","Standard",B721))</f>
        <v/>
      </c>
      <c r="Q721">
        <f>IF(AND(A721&lt;&gt;"",A721='Firm Search'!$C$7),COUNTIF($A$5:A721,'Firm Search'!$C$7),"")</f>
        <v/>
      </c>
    </row>
    <row r="722">
      <c r="A722" s="64" t="n"/>
      <c r="B722" s="64" t="n"/>
      <c r="C722" s="66" t="n"/>
      <c r="D722" s="66" t="n"/>
      <c r="E722" s="67" t="n"/>
      <c r="F722" s="67" t="n"/>
      <c r="G722" s="67" t="n"/>
      <c r="H722" s="67" t="n"/>
      <c r="I722" s="67" t="n"/>
      <c r="J722" s="67" t="n"/>
      <c r="K722" s="67" t="n"/>
      <c r="L722" s="67" t="n"/>
      <c r="M722" s="64" t="n"/>
      <c r="N722" s="66" t="n"/>
      <c r="O722" s="84">
        <f>IF(A722="","",IF(OR(C722="",D722=""),"Enter both dates",IF(D722&lt;C722,"To is before From",IF(COUNTIFS($P$5:$P$2004,P722,$C$5:$C$2004,"&lt;="&amp;D722,$D$5:$D$2004,"&gt;="&amp;C722)&gt;1,"Overlaps another row","OK"))))</f>
        <v/>
      </c>
      <c r="P722">
        <f>IF(A722="","",A722&amp;"|"&amp;IF(B722="","Standard",B722))</f>
        <v/>
      </c>
      <c r="Q722">
        <f>IF(AND(A722&lt;&gt;"",A722='Firm Search'!$C$7),COUNTIF($A$5:A722,'Firm Search'!$C$7),"")</f>
        <v/>
      </c>
    </row>
    <row r="723">
      <c r="A723" s="64" t="n"/>
      <c r="B723" s="64" t="n"/>
      <c r="C723" s="66" t="n"/>
      <c r="D723" s="66" t="n"/>
      <c r="E723" s="67" t="n"/>
      <c r="F723" s="67" t="n"/>
      <c r="G723" s="67" t="n"/>
      <c r="H723" s="67" t="n"/>
      <c r="I723" s="67" t="n"/>
      <c r="J723" s="67" t="n"/>
      <c r="K723" s="67" t="n"/>
      <c r="L723" s="67" t="n"/>
      <c r="M723" s="64" t="n"/>
      <c r="N723" s="66" t="n"/>
      <c r="O723" s="84">
        <f>IF(A723="","",IF(OR(C723="",D723=""),"Enter both dates",IF(D723&lt;C723,"To is before From",IF(COUNTIFS($P$5:$P$2004,P723,$C$5:$C$2004,"&lt;="&amp;D723,$D$5:$D$2004,"&gt;="&amp;C723)&gt;1,"Overlaps another row","OK"))))</f>
        <v/>
      </c>
      <c r="P723">
        <f>IF(A723="","",A723&amp;"|"&amp;IF(B723="","Standard",B723))</f>
        <v/>
      </c>
      <c r="Q723">
        <f>IF(AND(A723&lt;&gt;"",A723='Firm Search'!$C$7),COUNTIF($A$5:A723,'Firm Search'!$C$7),"")</f>
        <v/>
      </c>
    </row>
    <row r="724">
      <c r="A724" s="64" t="n"/>
      <c r="B724" s="64" t="n"/>
      <c r="C724" s="66" t="n"/>
      <c r="D724" s="66" t="n"/>
      <c r="E724" s="67" t="n"/>
      <c r="F724" s="67" t="n"/>
      <c r="G724" s="67" t="n"/>
      <c r="H724" s="67" t="n"/>
      <c r="I724" s="67" t="n"/>
      <c r="J724" s="67" t="n"/>
      <c r="K724" s="67" t="n"/>
      <c r="L724" s="67" t="n"/>
      <c r="M724" s="64" t="n"/>
      <c r="N724" s="66" t="n"/>
      <c r="O724" s="84">
        <f>IF(A724="","",IF(OR(C724="",D724=""),"Enter both dates",IF(D724&lt;C724,"To is before From",IF(COUNTIFS($P$5:$P$2004,P724,$C$5:$C$2004,"&lt;="&amp;D724,$D$5:$D$2004,"&gt;="&amp;C724)&gt;1,"Overlaps another row","OK"))))</f>
        <v/>
      </c>
      <c r="P724">
        <f>IF(A724="","",A724&amp;"|"&amp;IF(B724="","Standard",B724))</f>
        <v/>
      </c>
      <c r="Q724">
        <f>IF(AND(A724&lt;&gt;"",A724='Firm Search'!$C$7),COUNTIF($A$5:A724,'Firm Search'!$C$7),"")</f>
        <v/>
      </c>
    </row>
    <row r="725">
      <c r="A725" s="64" t="n"/>
      <c r="B725" s="64" t="n"/>
      <c r="C725" s="66" t="n"/>
      <c r="D725" s="66" t="n"/>
      <c r="E725" s="67" t="n"/>
      <c r="F725" s="67" t="n"/>
      <c r="G725" s="67" t="n"/>
      <c r="H725" s="67" t="n"/>
      <c r="I725" s="67" t="n"/>
      <c r="J725" s="67" t="n"/>
      <c r="K725" s="67" t="n"/>
      <c r="L725" s="67" t="n"/>
      <c r="M725" s="64" t="n"/>
      <c r="N725" s="66" t="n"/>
      <c r="O725" s="84">
        <f>IF(A725="","",IF(OR(C725="",D725=""),"Enter both dates",IF(D725&lt;C725,"To is before From",IF(COUNTIFS($P$5:$P$2004,P725,$C$5:$C$2004,"&lt;="&amp;D725,$D$5:$D$2004,"&gt;="&amp;C725)&gt;1,"Overlaps another row","OK"))))</f>
        <v/>
      </c>
      <c r="P725">
        <f>IF(A725="","",A725&amp;"|"&amp;IF(B725="","Standard",B725))</f>
        <v/>
      </c>
      <c r="Q725">
        <f>IF(AND(A725&lt;&gt;"",A725='Firm Search'!$C$7),COUNTIF($A$5:A725,'Firm Search'!$C$7),"")</f>
        <v/>
      </c>
    </row>
    <row r="726">
      <c r="A726" s="64" t="n"/>
      <c r="B726" s="64" t="n"/>
      <c r="C726" s="66" t="n"/>
      <c r="D726" s="66" t="n"/>
      <c r="E726" s="67" t="n"/>
      <c r="F726" s="67" t="n"/>
      <c r="G726" s="67" t="n"/>
      <c r="H726" s="67" t="n"/>
      <c r="I726" s="67" t="n"/>
      <c r="J726" s="67" t="n"/>
      <c r="K726" s="67" t="n"/>
      <c r="L726" s="67" t="n"/>
      <c r="M726" s="64" t="n"/>
      <c r="N726" s="66" t="n"/>
      <c r="O726" s="84">
        <f>IF(A726="","",IF(OR(C726="",D726=""),"Enter both dates",IF(D726&lt;C726,"To is before From",IF(COUNTIFS($P$5:$P$2004,P726,$C$5:$C$2004,"&lt;="&amp;D726,$D$5:$D$2004,"&gt;="&amp;C726)&gt;1,"Overlaps another row","OK"))))</f>
        <v/>
      </c>
      <c r="P726">
        <f>IF(A726="","",A726&amp;"|"&amp;IF(B726="","Standard",B726))</f>
        <v/>
      </c>
      <c r="Q726">
        <f>IF(AND(A726&lt;&gt;"",A726='Firm Search'!$C$7),COUNTIF($A$5:A726,'Firm Search'!$C$7),"")</f>
        <v/>
      </c>
    </row>
    <row r="727">
      <c r="A727" s="64" t="n"/>
      <c r="B727" s="64" t="n"/>
      <c r="C727" s="66" t="n"/>
      <c r="D727" s="66" t="n"/>
      <c r="E727" s="67" t="n"/>
      <c r="F727" s="67" t="n"/>
      <c r="G727" s="67" t="n"/>
      <c r="H727" s="67" t="n"/>
      <c r="I727" s="67" t="n"/>
      <c r="J727" s="67" t="n"/>
      <c r="K727" s="67" t="n"/>
      <c r="L727" s="67" t="n"/>
      <c r="M727" s="64" t="n"/>
      <c r="N727" s="66" t="n"/>
      <c r="O727" s="84">
        <f>IF(A727="","",IF(OR(C727="",D727=""),"Enter both dates",IF(D727&lt;C727,"To is before From",IF(COUNTIFS($P$5:$P$2004,P727,$C$5:$C$2004,"&lt;="&amp;D727,$D$5:$D$2004,"&gt;="&amp;C727)&gt;1,"Overlaps another row","OK"))))</f>
        <v/>
      </c>
      <c r="P727">
        <f>IF(A727="","",A727&amp;"|"&amp;IF(B727="","Standard",B727))</f>
        <v/>
      </c>
      <c r="Q727">
        <f>IF(AND(A727&lt;&gt;"",A727='Firm Search'!$C$7),COUNTIF($A$5:A727,'Firm Search'!$C$7),"")</f>
        <v/>
      </c>
    </row>
    <row r="728">
      <c r="A728" s="64" t="n"/>
      <c r="B728" s="64" t="n"/>
      <c r="C728" s="66" t="n"/>
      <c r="D728" s="66" t="n"/>
      <c r="E728" s="67" t="n"/>
      <c r="F728" s="67" t="n"/>
      <c r="G728" s="67" t="n"/>
      <c r="H728" s="67" t="n"/>
      <c r="I728" s="67" t="n"/>
      <c r="J728" s="67" t="n"/>
      <c r="K728" s="67" t="n"/>
      <c r="L728" s="67" t="n"/>
      <c r="M728" s="64" t="n"/>
      <c r="N728" s="66" t="n"/>
      <c r="O728" s="84">
        <f>IF(A728="","",IF(OR(C728="",D728=""),"Enter both dates",IF(D728&lt;C728,"To is before From",IF(COUNTIFS($P$5:$P$2004,P728,$C$5:$C$2004,"&lt;="&amp;D728,$D$5:$D$2004,"&gt;="&amp;C728)&gt;1,"Overlaps another row","OK"))))</f>
        <v/>
      </c>
      <c r="P728">
        <f>IF(A728="","",A728&amp;"|"&amp;IF(B728="","Standard",B728))</f>
        <v/>
      </c>
      <c r="Q728">
        <f>IF(AND(A728&lt;&gt;"",A728='Firm Search'!$C$7),COUNTIF($A$5:A728,'Firm Search'!$C$7),"")</f>
        <v/>
      </c>
    </row>
    <row r="729">
      <c r="A729" s="64" t="n"/>
      <c r="B729" s="64" t="n"/>
      <c r="C729" s="66" t="n"/>
      <c r="D729" s="66" t="n"/>
      <c r="E729" s="67" t="n"/>
      <c r="F729" s="67" t="n"/>
      <c r="G729" s="67" t="n"/>
      <c r="H729" s="67" t="n"/>
      <c r="I729" s="67" t="n"/>
      <c r="J729" s="67" t="n"/>
      <c r="K729" s="67" t="n"/>
      <c r="L729" s="67" t="n"/>
      <c r="M729" s="64" t="n"/>
      <c r="N729" s="66" t="n"/>
      <c r="O729" s="84">
        <f>IF(A729="","",IF(OR(C729="",D729=""),"Enter both dates",IF(D729&lt;C729,"To is before From",IF(COUNTIFS($P$5:$P$2004,P729,$C$5:$C$2004,"&lt;="&amp;D729,$D$5:$D$2004,"&gt;="&amp;C729)&gt;1,"Overlaps another row","OK"))))</f>
        <v/>
      </c>
      <c r="P729">
        <f>IF(A729="","",A729&amp;"|"&amp;IF(B729="","Standard",B729))</f>
        <v/>
      </c>
      <c r="Q729">
        <f>IF(AND(A729&lt;&gt;"",A729='Firm Search'!$C$7),COUNTIF($A$5:A729,'Firm Search'!$C$7),"")</f>
        <v/>
      </c>
    </row>
    <row r="730">
      <c r="A730" s="64" t="n"/>
      <c r="B730" s="64" t="n"/>
      <c r="C730" s="66" t="n"/>
      <c r="D730" s="66" t="n"/>
      <c r="E730" s="67" t="n"/>
      <c r="F730" s="67" t="n"/>
      <c r="G730" s="67" t="n"/>
      <c r="H730" s="67" t="n"/>
      <c r="I730" s="67" t="n"/>
      <c r="J730" s="67" t="n"/>
      <c r="K730" s="67" t="n"/>
      <c r="L730" s="67" t="n"/>
      <c r="M730" s="64" t="n"/>
      <c r="N730" s="66" t="n"/>
      <c r="O730" s="84">
        <f>IF(A730="","",IF(OR(C730="",D730=""),"Enter both dates",IF(D730&lt;C730,"To is before From",IF(COUNTIFS($P$5:$P$2004,P730,$C$5:$C$2004,"&lt;="&amp;D730,$D$5:$D$2004,"&gt;="&amp;C730)&gt;1,"Overlaps another row","OK"))))</f>
        <v/>
      </c>
      <c r="P730">
        <f>IF(A730="","",A730&amp;"|"&amp;IF(B730="","Standard",B730))</f>
        <v/>
      </c>
      <c r="Q730">
        <f>IF(AND(A730&lt;&gt;"",A730='Firm Search'!$C$7),COUNTIF($A$5:A730,'Firm Search'!$C$7),"")</f>
        <v/>
      </c>
    </row>
    <row r="731">
      <c r="A731" s="64" t="n"/>
      <c r="B731" s="64" t="n"/>
      <c r="C731" s="66" t="n"/>
      <c r="D731" s="66" t="n"/>
      <c r="E731" s="67" t="n"/>
      <c r="F731" s="67" t="n"/>
      <c r="G731" s="67" t="n"/>
      <c r="H731" s="67" t="n"/>
      <c r="I731" s="67" t="n"/>
      <c r="J731" s="67" t="n"/>
      <c r="K731" s="67" t="n"/>
      <c r="L731" s="67" t="n"/>
      <c r="M731" s="64" t="n"/>
      <c r="N731" s="66" t="n"/>
      <c r="O731" s="84">
        <f>IF(A731="","",IF(OR(C731="",D731=""),"Enter both dates",IF(D731&lt;C731,"To is before From",IF(COUNTIFS($P$5:$P$2004,P731,$C$5:$C$2004,"&lt;="&amp;D731,$D$5:$D$2004,"&gt;="&amp;C731)&gt;1,"Overlaps another row","OK"))))</f>
        <v/>
      </c>
      <c r="P731">
        <f>IF(A731="","",A731&amp;"|"&amp;IF(B731="","Standard",B731))</f>
        <v/>
      </c>
      <c r="Q731">
        <f>IF(AND(A731&lt;&gt;"",A731='Firm Search'!$C$7),COUNTIF($A$5:A731,'Firm Search'!$C$7),"")</f>
        <v/>
      </c>
    </row>
    <row r="732">
      <c r="A732" s="64" t="n"/>
      <c r="B732" s="64" t="n"/>
      <c r="C732" s="66" t="n"/>
      <c r="D732" s="66" t="n"/>
      <c r="E732" s="67" t="n"/>
      <c r="F732" s="67" t="n"/>
      <c r="G732" s="67" t="n"/>
      <c r="H732" s="67" t="n"/>
      <c r="I732" s="67" t="n"/>
      <c r="J732" s="67" t="n"/>
      <c r="K732" s="67" t="n"/>
      <c r="L732" s="67" t="n"/>
      <c r="M732" s="64" t="n"/>
      <c r="N732" s="66" t="n"/>
      <c r="O732" s="84">
        <f>IF(A732="","",IF(OR(C732="",D732=""),"Enter both dates",IF(D732&lt;C732,"To is before From",IF(COUNTIFS($P$5:$P$2004,P732,$C$5:$C$2004,"&lt;="&amp;D732,$D$5:$D$2004,"&gt;="&amp;C732)&gt;1,"Overlaps another row","OK"))))</f>
        <v/>
      </c>
      <c r="P732">
        <f>IF(A732="","",A732&amp;"|"&amp;IF(B732="","Standard",B732))</f>
        <v/>
      </c>
      <c r="Q732">
        <f>IF(AND(A732&lt;&gt;"",A732='Firm Search'!$C$7),COUNTIF($A$5:A732,'Firm Search'!$C$7),"")</f>
        <v/>
      </c>
    </row>
    <row r="733">
      <c r="A733" s="64" t="n"/>
      <c r="B733" s="64" t="n"/>
      <c r="C733" s="66" t="n"/>
      <c r="D733" s="66" t="n"/>
      <c r="E733" s="67" t="n"/>
      <c r="F733" s="67" t="n"/>
      <c r="G733" s="67" t="n"/>
      <c r="H733" s="67" t="n"/>
      <c r="I733" s="67" t="n"/>
      <c r="J733" s="67" t="n"/>
      <c r="K733" s="67" t="n"/>
      <c r="L733" s="67" t="n"/>
      <c r="M733" s="64" t="n"/>
      <c r="N733" s="66" t="n"/>
      <c r="O733" s="84">
        <f>IF(A733="","",IF(OR(C733="",D733=""),"Enter both dates",IF(D733&lt;C733,"To is before From",IF(COUNTIFS($P$5:$P$2004,P733,$C$5:$C$2004,"&lt;="&amp;D733,$D$5:$D$2004,"&gt;="&amp;C733)&gt;1,"Overlaps another row","OK"))))</f>
        <v/>
      </c>
      <c r="P733">
        <f>IF(A733="","",A733&amp;"|"&amp;IF(B733="","Standard",B733))</f>
        <v/>
      </c>
      <c r="Q733">
        <f>IF(AND(A733&lt;&gt;"",A733='Firm Search'!$C$7),COUNTIF($A$5:A733,'Firm Search'!$C$7),"")</f>
        <v/>
      </c>
    </row>
    <row r="734">
      <c r="A734" s="64" t="n"/>
      <c r="B734" s="64" t="n"/>
      <c r="C734" s="66" t="n"/>
      <c r="D734" s="66" t="n"/>
      <c r="E734" s="67" t="n"/>
      <c r="F734" s="67" t="n"/>
      <c r="G734" s="67" t="n"/>
      <c r="H734" s="67" t="n"/>
      <c r="I734" s="67" t="n"/>
      <c r="J734" s="67" t="n"/>
      <c r="K734" s="67" t="n"/>
      <c r="L734" s="67" t="n"/>
      <c r="M734" s="64" t="n"/>
      <c r="N734" s="66" t="n"/>
      <c r="O734" s="84">
        <f>IF(A734="","",IF(OR(C734="",D734=""),"Enter both dates",IF(D734&lt;C734,"To is before From",IF(COUNTIFS($P$5:$P$2004,P734,$C$5:$C$2004,"&lt;="&amp;D734,$D$5:$D$2004,"&gt;="&amp;C734)&gt;1,"Overlaps another row","OK"))))</f>
        <v/>
      </c>
      <c r="P734">
        <f>IF(A734="","",A734&amp;"|"&amp;IF(B734="","Standard",B734))</f>
        <v/>
      </c>
      <c r="Q734">
        <f>IF(AND(A734&lt;&gt;"",A734='Firm Search'!$C$7),COUNTIF($A$5:A734,'Firm Search'!$C$7),"")</f>
        <v/>
      </c>
    </row>
    <row r="735">
      <c r="A735" s="64" t="n"/>
      <c r="B735" s="64" t="n"/>
      <c r="C735" s="66" t="n"/>
      <c r="D735" s="66" t="n"/>
      <c r="E735" s="67" t="n"/>
      <c r="F735" s="67" t="n"/>
      <c r="G735" s="67" t="n"/>
      <c r="H735" s="67" t="n"/>
      <c r="I735" s="67" t="n"/>
      <c r="J735" s="67" t="n"/>
      <c r="K735" s="67" t="n"/>
      <c r="L735" s="67" t="n"/>
      <c r="M735" s="64" t="n"/>
      <c r="N735" s="66" t="n"/>
      <c r="O735" s="84">
        <f>IF(A735="","",IF(OR(C735="",D735=""),"Enter both dates",IF(D735&lt;C735,"To is before From",IF(COUNTIFS($P$5:$P$2004,P735,$C$5:$C$2004,"&lt;="&amp;D735,$D$5:$D$2004,"&gt;="&amp;C735)&gt;1,"Overlaps another row","OK"))))</f>
        <v/>
      </c>
      <c r="P735">
        <f>IF(A735="","",A735&amp;"|"&amp;IF(B735="","Standard",B735))</f>
        <v/>
      </c>
      <c r="Q735">
        <f>IF(AND(A735&lt;&gt;"",A735='Firm Search'!$C$7),COUNTIF($A$5:A735,'Firm Search'!$C$7),"")</f>
        <v/>
      </c>
    </row>
    <row r="736">
      <c r="A736" s="64" t="n"/>
      <c r="B736" s="64" t="n"/>
      <c r="C736" s="66" t="n"/>
      <c r="D736" s="66" t="n"/>
      <c r="E736" s="67" t="n"/>
      <c r="F736" s="67" t="n"/>
      <c r="G736" s="67" t="n"/>
      <c r="H736" s="67" t="n"/>
      <c r="I736" s="67" t="n"/>
      <c r="J736" s="67" t="n"/>
      <c r="K736" s="67" t="n"/>
      <c r="L736" s="67" t="n"/>
      <c r="M736" s="64" t="n"/>
      <c r="N736" s="66" t="n"/>
      <c r="O736" s="84">
        <f>IF(A736="","",IF(OR(C736="",D736=""),"Enter both dates",IF(D736&lt;C736,"To is before From",IF(COUNTIFS($P$5:$P$2004,P736,$C$5:$C$2004,"&lt;="&amp;D736,$D$5:$D$2004,"&gt;="&amp;C736)&gt;1,"Overlaps another row","OK"))))</f>
        <v/>
      </c>
      <c r="P736">
        <f>IF(A736="","",A736&amp;"|"&amp;IF(B736="","Standard",B736))</f>
        <v/>
      </c>
      <c r="Q736">
        <f>IF(AND(A736&lt;&gt;"",A736='Firm Search'!$C$7),COUNTIF($A$5:A736,'Firm Search'!$C$7),"")</f>
        <v/>
      </c>
    </row>
    <row r="737">
      <c r="A737" s="64" t="n"/>
      <c r="B737" s="64" t="n"/>
      <c r="C737" s="66" t="n"/>
      <c r="D737" s="66" t="n"/>
      <c r="E737" s="67" t="n"/>
      <c r="F737" s="67" t="n"/>
      <c r="G737" s="67" t="n"/>
      <c r="H737" s="67" t="n"/>
      <c r="I737" s="67" t="n"/>
      <c r="J737" s="67" t="n"/>
      <c r="K737" s="67" t="n"/>
      <c r="L737" s="67" t="n"/>
      <c r="M737" s="64" t="n"/>
      <c r="N737" s="66" t="n"/>
      <c r="O737" s="84">
        <f>IF(A737="","",IF(OR(C737="",D737=""),"Enter both dates",IF(D737&lt;C737,"To is before From",IF(COUNTIFS($P$5:$P$2004,P737,$C$5:$C$2004,"&lt;="&amp;D737,$D$5:$D$2004,"&gt;="&amp;C737)&gt;1,"Overlaps another row","OK"))))</f>
        <v/>
      </c>
      <c r="P737">
        <f>IF(A737="","",A737&amp;"|"&amp;IF(B737="","Standard",B737))</f>
        <v/>
      </c>
      <c r="Q737">
        <f>IF(AND(A737&lt;&gt;"",A737='Firm Search'!$C$7),COUNTIF($A$5:A737,'Firm Search'!$C$7),"")</f>
        <v/>
      </c>
    </row>
    <row r="738">
      <c r="A738" s="64" t="n"/>
      <c r="B738" s="64" t="n"/>
      <c r="C738" s="66" t="n"/>
      <c r="D738" s="66" t="n"/>
      <c r="E738" s="67" t="n"/>
      <c r="F738" s="67" t="n"/>
      <c r="G738" s="67" t="n"/>
      <c r="H738" s="67" t="n"/>
      <c r="I738" s="67" t="n"/>
      <c r="J738" s="67" t="n"/>
      <c r="K738" s="67" t="n"/>
      <c r="L738" s="67" t="n"/>
      <c r="M738" s="64" t="n"/>
      <c r="N738" s="66" t="n"/>
      <c r="O738" s="84">
        <f>IF(A738="","",IF(OR(C738="",D738=""),"Enter both dates",IF(D738&lt;C738,"To is before From",IF(COUNTIFS($P$5:$P$2004,P738,$C$5:$C$2004,"&lt;="&amp;D738,$D$5:$D$2004,"&gt;="&amp;C738)&gt;1,"Overlaps another row","OK"))))</f>
        <v/>
      </c>
      <c r="P738">
        <f>IF(A738="","",A738&amp;"|"&amp;IF(B738="","Standard",B738))</f>
        <v/>
      </c>
      <c r="Q738">
        <f>IF(AND(A738&lt;&gt;"",A738='Firm Search'!$C$7),COUNTIF($A$5:A738,'Firm Search'!$C$7),"")</f>
        <v/>
      </c>
    </row>
    <row r="739">
      <c r="A739" s="64" t="n"/>
      <c r="B739" s="64" t="n"/>
      <c r="C739" s="66" t="n"/>
      <c r="D739" s="66" t="n"/>
      <c r="E739" s="67" t="n"/>
      <c r="F739" s="67" t="n"/>
      <c r="G739" s="67" t="n"/>
      <c r="H739" s="67" t="n"/>
      <c r="I739" s="67" t="n"/>
      <c r="J739" s="67" t="n"/>
      <c r="K739" s="67" t="n"/>
      <c r="L739" s="67" t="n"/>
      <c r="M739" s="64" t="n"/>
      <c r="N739" s="66" t="n"/>
      <c r="O739" s="84">
        <f>IF(A739="","",IF(OR(C739="",D739=""),"Enter both dates",IF(D739&lt;C739,"To is before From",IF(COUNTIFS($P$5:$P$2004,P739,$C$5:$C$2004,"&lt;="&amp;D739,$D$5:$D$2004,"&gt;="&amp;C739)&gt;1,"Overlaps another row","OK"))))</f>
        <v/>
      </c>
      <c r="P739">
        <f>IF(A739="","",A739&amp;"|"&amp;IF(B739="","Standard",B739))</f>
        <v/>
      </c>
      <c r="Q739">
        <f>IF(AND(A739&lt;&gt;"",A739='Firm Search'!$C$7),COUNTIF($A$5:A739,'Firm Search'!$C$7),"")</f>
        <v/>
      </c>
    </row>
    <row r="740">
      <c r="A740" s="64" t="n"/>
      <c r="B740" s="64" t="n"/>
      <c r="C740" s="66" t="n"/>
      <c r="D740" s="66" t="n"/>
      <c r="E740" s="67" t="n"/>
      <c r="F740" s="67" t="n"/>
      <c r="G740" s="67" t="n"/>
      <c r="H740" s="67" t="n"/>
      <c r="I740" s="67" t="n"/>
      <c r="J740" s="67" t="n"/>
      <c r="K740" s="67" t="n"/>
      <c r="L740" s="67" t="n"/>
      <c r="M740" s="64" t="n"/>
      <c r="N740" s="66" t="n"/>
      <c r="O740" s="84">
        <f>IF(A740="","",IF(OR(C740="",D740=""),"Enter both dates",IF(D740&lt;C740,"To is before From",IF(COUNTIFS($P$5:$P$2004,P740,$C$5:$C$2004,"&lt;="&amp;D740,$D$5:$D$2004,"&gt;="&amp;C740)&gt;1,"Overlaps another row","OK"))))</f>
        <v/>
      </c>
      <c r="P740">
        <f>IF(A740="","",A740&amp;"|"&amp;IF(B740="","Standard",B740))</f>
        <v/>
      </c>
      <c r="Q740">
        <f>IF(AND(A740&lt;&gt;"",A740='Firm Search'!$C$7),COUNTIF($A$5:A740,'Firm Search'!$C$7),"")</f>
        <v/>
      </c>
    </row>
    <row r="741">
      <c r="A741" s="64" t="n"/>
      <c r="B741" s="64" t="n"/>
      <c r="C741" s="66" t="n"/>
      <c r="D741" s="66" t="n"/>
      <c r="E741" s="67" t="n"/>
      <c r="F741" s="67" t="n"/>
      <c r="G741" s="67" t="n"/>
      <c r="H741" s="67" t="n"/>
      <c r="I741" s="67" t="n"/>
      <c r="J741" s="67" t="n"/>
      <c r="K741" s="67" t="n"/>
      <c r="L741" s="67" t="n"/>
      <c r="M741" s="64" t="n"/>
      <c r="N741" s="66" t="n"/>
      <c r="O741" s="84">
        <f>IF(A741="","",IF(OR(C741="",D741=""),"Enter both dates",IF(D741&lt;C741,"To is before From",IF(COUNTIFS($P$5:$P$2004,P741,$C$5:$C$2004,"&lt;="&amp;D741,$D$5:$D$2004,"&gt;="&amp;C741)&gt;1,"Overlaps another row","OK"))))</f>
        <v/>
      </c>
      <c r="P741">
        <f>IF(A741="","",A741&amp;"|"&amp;IF(B741="","Standard",B741))</f>
        <v/>
      </c>
      <c r="Q741">
        <f>IF(AND(A741&lt;&gt;"",A741='Firm Search'!$C$7),COUNTIF($A$5:A741,'Firm Search'!$C$7),"")</f>
        <v/>
      </c>
    </row>
    <row r="742">
      <c r="A742" s="64" t="n"/>
      <c r="B742" s="64" t="n"/>
      <c r="C742" s="66" t="n"/>
      <c r="D742" s="66" t="n"/>
      <c r="E742" s="67" t="n"/>
      <c r="F742" s="67" t="n"/>
      <c r="G742" s="67" t="n"/>
      <c r="H742" s="67" t="n"/>
      <c r="I742" s="67" t="n"/>
      <c r="J742" s="67" t="n"/>
      <c r="K742" s="67" t="n"/>
      <c r="L742" s="67" t="n"/>
      <c r="M742" s="64" t="n"/>
      <c r="N742" s="66" t="n"/>
      <c r="O742" s="84">
        <f>IF(A742="","",IF(OR(C742="",D742=""),"Enter both dates",IF(D742&lt;C742,"To is before From",IF(COUNTIFS($P$5:$P$2004,P742,$C$5:$C$2004,"&lt;="&amp;D742,$D$5:$D$2004,"&gt;="&amp;C742)&gt;1,"Overlaps another row","OK"))))</f>
        <v/>
      </c>
      <c r="P742">
        <f>IF(A742="","",A742&amp;"|"&amp;IF(B742="","Standard",B742))</f>
        <v/>
      </c>
      <c r="Q742">
        <f>IF(AND(A742&lt;&gt;"",A742='Firm Search'!$C$7),COUNTIF($A$5:A742,'Firm Search'!$C$7),"")</f>
        <v/>
      </c>
    </row>
    <row r="743">
      <c r="A743" s="64" t="n"/>
      <c r="B743" s="64" t="n"/>
      <c r="C743" s="66" t="n"/>
      <c r="D743" s="66" t="n"/>
      <c r="E743" s="67" t="n"/>
      <c r="F743" s="67" t="n"/>
      <c r="G743" s="67" t="n"/>
      <c r="H743" s="67" t="n"/>
      <c r="I743" s="67" t="n"/>
      <c r="J743" s="67" t="n"/>
      <c r="K743" s="67" t="n"/>
      <c r="L743" s="67" t="n"/>
      <c r="M743" s="64" t="n"/>
      <c r="N743" s="66" t="n"/>
      <c r="O743" s="84">
        <f>IF(A743="","",IF(OR(C743="",D743=""),"Enter both dates",IF(D743&lt;C743,"To is before From",IF(COUNTIFS($P$5:$P$2004,P743,$C$5:$C$2004,"&lt;="&amp;D743,$D$5:$D$2004,"&gt;="&amp;C743)&gt;1,"Overlaps another row","OK"))))</f>
        <v/>
      </c>
      <c r="P743">
        <f>IF(A743="","",A743&amp;"|"&amp;IF(B743="","Standard",B743))</f>
        <v/>
      </c>
      <c r="Q743">
        <f>IF(AND(A743&lt;&gt;"",A743='Firm Search'!$C$7),COUNTIF($A$5:A743,'Firm Search'!$C$7),"")</f>
        <v/>
      </c>
    </row>
    <row r="744">
      <c r="A744" s="64" t="n"/>
      <c r="B744" s="64" t="n"/>
      <c r="C744" s="66" t="n"/>
      <c r="D744" s="66" t="n"/>
      <c r="E744" s="67" t="n"/>
      <c r="F744" s="67" t="n"/>
      <c r="G744" s="67" t="n"/>
      <c r="H744" s="67" t="n"/>
      <c r="I744" s="67" t="n"/>
      <c r="J744" s="67" t="n"/>
      <c r="K744" s="67" t="n"/>
      <c r="L744" s="67" t="n"/>
      <c r="M744" s="64" t="n"/>
      <c r="N744" s="66" t="n"/>
      <c r="O744" s="84">
        <f>IF(A744="","",IF(OR(C744="",D744=""),"Enter both dates",IF(D744&lt;C744,"To is before From",IF(COUNTIFS($P$5:$P$2004,P744,$C$5:$C$2004,"&lt;="&amp;D744,$D$5:$D$2004,"&gt;="&amp;C744)&gt;1,"Overlaps another row","OK"))))</f>
        <v/>
      </c>
      <c r="P744">
        <f>IF(A744="","",A744&amp;"|"&amp;IF(B744="","Standard",B744))</f>
        <v/>
      </c>
      <c r="Q744">
        <f>IF(AND(A744&lt;&gt;"",A744='Firm Search'!$C$7),COUNTIF($A$5:A744,'Firm Search'!$C$7),"")</f>
        <v/>
      </c>
    </row>
    <row r="745">
      <c r="A745" s="64" t="n"/>
      <c r="B745" s="64" t="n"/>
      <c r="C745" s="66" t="n"/>
      <c r="D745" s="66" t="n"/>
      <c r="E745" s="67" t="n"/>
      <c r="F745" s="67" t="n"/>
      <c r="G745" s="67" t="n"/>
      <c r="H745" s="67" t="n"/>
      <c r="I745" s="67" t="n"/>
      <c r="J745" s="67" t="n"/>
      <c r="K745" s="67" t="n"/>
      <c r="L745" s="67" t="n"/>
      <c r="M745" s="64" t="n"/>
      <c r="N745" s="66" t="n"/>
      <c r="O745" s="84">
        <f>IF(A745="","",IF(OR(C745="",D745=""),"Enter both dates",IF(D745&lt;C745,"To is before From",IF(COUNTIFS($P$5:$P$2004,P745,$C$5:$C$2004,"&lt;="&amp;D745,$D$5:$D$2004,"&gt;="&amp;C745)&gt;1,"Overlaps another row","OK"))))</f>
        <v/>
      </c>
      <c r="P745">
        <f>IF(A745="","",A745&amp;"|"&amp;IF(B745="","Standard",B745))</f>
        <v/>
      </c>
      <c r="Q745">
        <f>IF(AND(A745&lt;&gt;"",A745='Firm Search'!$C$7),COUNTIF($A$5:A745,'Firm Search'!$C$7),"")</f>
        <v/>
      </c>
    </row>
    <row r="746">
      <c r="A746" s="64" t="n"/>
      <c r="B746" s="64" t="n"/>
      <c r="C746" s="66" t="n"/>
      <c r="D746" s="66" t="n"/>
      <c r="E746" s="67" t="n"/>
      <c r="F746" s="67" t="n"/>
      <c r="G746" s="67" t="n"/>
      <c r="H746" s="67" t="n"/>
      <c r="I746" s="67" t="n"/>
      <c r="J746" s="67" t="n"/>
      <c r="K746" s="67" t="n"/>
      <c r="L746" s="67" t="n"/>
      <c r="M746" s="64" t="n"/>
      <c r="N746" s="66" t="n"/>
      <c r="O746" s="84">
        <f>IF(A746="","",IF(OR(C746="",D746=""),"Enter both dates",IF(D746&lt;C746,"To is before From",IF(COUNTIFS($P$5:$P$2004,P746,$C$5:$C$2004,"&lt;="&amp;D746,$D$5:$D$2004,"&gt;="&amp;C746)&gt;1,"Overlaps another row","OK"))))</f>
        <v/>
      </c>
      <c r="P746">
        <f>IF(A746="","",A746&amp;"|"&amp;IF(B746="","Standard",B746))</f>
        <v/>
      </c>
      <c r="Q746">
        <f>IF(AND(A746&lt;&gt;"",A746='Firm Search'!$C$7),COUNTIF($A$5:A746,'Firm Search'!$C$7),"")</f>
        <v/>
      </c>
    </row>
    <row r="747">
      <c r="A747" s="64" t="n"/>
      <c r="B747" s="64" t="n"/>
      <c r="C747" s="66" t="n"/>
      <c r="D747" s="66" t="n"/>
      <c r="E747" s="67" t="n"/>
      <c r="F747" s="67" t="n"/>
      <c r="G747" s="67" t="n"/>
      <c r="H747" s="67" t="n"/>
      <c r="I747" s="67" t="n"/>
      <c r="J747" s="67" t="n"/>
      <c r="K747" s="67" t="n"/>
      <c r="L747" s="67" t="n"/>
      <c r="M747" s="64" t="n"/>
      <c r="N747" s="66" t="n"/>
      <c r="O747" s="84">
        <f>IF(A747="","",IF(OR(C747="",D747=""),"Enter both dates",IF(D747&lt;C747,"To is before From",IF(COUNTIFS($P$5:$P$2004,P747,$C$5:$C$2004,"&lt;="&amp;D747,$D$5:$D$2004,"&gt;="&amp;C747)&gt;1,"Overlaps another row","OK"))))</f>
        <v/>
      </c>
      <c r="P747">
        <f>IF(A747="","",A747&amp;"|"&amp;IF(B747="","Standard",B747))</f>
        <v/>
      </c>
      <c r="Q747">
        <f>IF(AND(A747&lt;&gt;"",A747='Firm Search'!$C$7),COUNTIF($A$5:A747,'Firm Search'!$C$7),"")</f>
        <v/>
      </c>
    </row>
    <row r="748">
      <c r="A748" s="64" t="n"/>
      <c r="B748" s="64" t="n"/>
      <c r="C748" s="66" t="n"/>
      <c r="D748" s="66" t="n"/>
      <c r="E748" s="67" t="n"/>
      <c r="F748" s="67" t="n"/>
      <c r="G748" s="67" t="n"/>
      <c r="H748" s="67" t="n"/>
      <c r="I748" s="67" t="n"/>
      <c r="J748" s="67" t="n"/>
      <c r="K748" s="67" t="n"/>
      <c r="L748" s="67" t="n"/>
      <c r="M748" s="64" t="n"/>
      <c r="N748" s="66" t="n"/>
      <c r="O748" s="84">
        <f>IF(A748="","",IF(OR(C748="",D748=""),"Enter both dates",IF(D748&lt;C748,"To is before From",IF(COUNTIFS($P$5:$P$2004,P748,$C$5:$C$2004,"&lt;="&amp;D748,$D$5:$D$2004,"&gt;="&amp;C748)&gt;1,"Overlaps another row","OK"))))</f>
        <v/>
      </c>
      <c r="P748">
        <f>IF(A748="","",A748&amp;"|"&amp;IF(B748="","Standard",B748))</f>
        <v/>
      </c>
      <c r="Q748">
        <f>IF(AND(A748&lt;&gt;"",A748='Firm Search'!$C$7),COUNTIF($A$5:A748,'Firm Search'!$C$7),"")</f>
        <v/>
      </c>
    </row>
    <row r="749">
      <c r="A749" s="64" t="n"/>
      <c r="B749" s="64" t="n"/>
      <c r="C749" s="66" t="n"/>
      <c r="D749" s="66" t="n"/>
      <c r="E749" s="67" t="n"/>
      <c r="F749" s="67" t="n"/>
      <c r="G749" s="67" t="n"/>
      <c r="H749" s="67" t="n"/>
      <c r="I749" s="67" t="n"/>
      <c r="J749" s="67" t="n"/>
      <c r="K749" s="67" t="n"/>
      <c r="L749" s="67" t="n"/>
      <c r="M749" s="64" t="n"/>
      <c r="N749" s="66" t="n"/>
      <c r="O749" s="84">
        <f>IF(A749="","",IF(OR(C749="",D749=""),"Enter both dates",IF(D749&lt;C749,"To is before From",IF(COUNTIFS($P$5:$P$2004,P749,$C$5:$C$2004,"&lt;="&amp;D749,$D$5:$D$2004,"&gt;="&amp;C749)&gt;1,"Overlaps another row","OK"))))</f>
        <v/>
      </c>
      <c r="P749">
        <f>IF(A749="","",A749&amp;"|"&amp;IF(B749="","Standard",B749))</f>
        <v/>
      </c>
      <c r="Q749">
        <f>IF(AND(A749&lt;&gt;"",A749='Firm Search'!$C$7),COUNTIF($A$5:A749,'Firm Search'!$C$7),"")</f>
        <v/>
      </c>
    </row>
    <row r="750">
      <c r="A750" s="64" t="n"/>
      <c r="B750" s="64" t="n"/>
      <c r="C750" s="66" t="n"/>
      <c r="D750" s="66" t="n"/>
      <c r="E750" s="67" t="n"/>
      <c r="F750" s="67" t="n"/>
      <c r="G750" s="67" t="n"/>
      <c r="H750" s="67" t="n"/>
      <c r="I750" s="67" t="n"/>
      <c r="J750" s="67" t="n"/>
      <c r="K750" s="67" t="n"/>
      <c r="L750" s="67" t="n"/>
      <c r="M750" s="64" t="n"/>
      <c r="N750" s="66" t="n"/>
      <c r="O750" s="84">
        <f>IF(A750="","",IF(OR(C750="",D750=""),"Enter both dates",IF(D750&lt;C750,"To is before From",IF(COUNTIFS($P$5:$P$2004,P750,$C$5:$C$2004,"&lt;="&amp;D750,$D$5:$D$2004,"&gt;="&amp;C750)&gt;1,"Overlaps another row","OK"))))</f>
        <v/>
      </c>
      <c r="P750">
        <f>IF(A750="","",A750&amp;"|"&amp;IF(B750="","Standard",B750))</f>
        <v/>
      </c>
      <c r="Q750">
        <f>IF(AND(A750&lt;&gt;"",A750='Firm Search'!$C$7),COUNTIF($A$5:A750,'Firm Search'!$C$7),"")</f>
        <v/>
      </c>
    </row>
    <row r="751">
      <c r="A751" s="64" t="n"/>
      <c r="B751" s="64" t="n"/>
      <c r="C751" s="66" t="n"/>
      <c r="D751" s="66" t="n"/>
      <c r="E751" s="67" t="n"/>
      <c r="F751" s="67" t="n"/>
      <c r="G751" s="67" t="n"/>
      <c r="H751" s="67" t="n"/>
      <c r="I751" s="67" t="n"/>
      <c r="J751" s="67" t="n"/>
      <c r="K751" s="67" t="n"/>
      <c r="L751" s="67" t="n"/>
      <c r="M751" s="64" t="n"/>
      <c r="N751" s="66" t="n"/>
      <c r="O751" s="84">
        <f>IF(A751="","",IF(OR(C751="",D751=""),"Enter both dates",IF(D751&lt;C751,"To is before From",IF(COUNTIFS($P$5:$P$2004,P751,$C$5:$C$2004,"&lt;="&amp;D751,$D$5:$D$2004,"&gt;="&amp;C751)&gt;1,"Overlaps another row","OK"))))</f>
        <v/>
      </c>
      <c r="P751">
        <f>IF(A751="","",A751&amp;"|"&amp;IF(B751="","Standard",B751))</f>
        <v/>
      </c>
      <c r="Q751">
        <f>IF(AND(A751&lt;&gt;"",A751='Firm Search'!$C$7),COUNTIF($A$5:A751,'Firm Search'!$C$7),"")</f>
        <v/>
      </c>
    </row>
    <row r="752">
      <c r="A752" s="64" t="n"/>
      <c r="B752" s="64" t="n"/>
      <c r="C752" s="66" t="n"/>
      <c r="D752" s="66" t="n"/>
      <c r="E752" s="67" t="n"/>
      <c r="F752" s="67" t="n"/>
      <c r="G752" s="67" t="n"/>
      <c r="H752" s="67" t="n"/>
      <c r="I752" s="67" t="n"/>
      <c r="J752" s="67" t="n"/>
      <c r="K752" s="67" t="n"/>
      <c r="L752" s="67" t="n"/>
      <c r="M752" s="64" t="n"/>
      <c r="N752" s="66" t="n"/>
      <c r="O752" s="84">
        <f>IF(A752="","",IF(OR(C752="",D752=""),"Enter both dates",IF(D752&lt;C752,"To is before From",IF(COUNTIFS($P$5:$P$2004,P752,$C$5:$C$2004,"&lt;="&amp;D752,$D$5:$D$2004,"&gt;="&amp;C752)&gt;1,"Overlaps another row","OK"))))</f>
        <v/>
      </c>
      <c r="P752">
        <f>IF(A752="","",A752&amp;"|"&amp;IF(B752="","Standard",B752))</f>
        <v/>
      </c>
      <c r="Q752">
        <f>IF(AND(A752&lt;&gt;"",A752='Firm Search'!$C$7),COUNTIF($A$5:A752,'Firm Search'!$C$7),"")</f>
        <v/>
      </c>
    </row>
    <row r="753">
      <c r="A753" s="64" t="n"/>
      <c r="B753" s="64" t="n"/>
      <c r="C753" s="66" t="n"/>
      <c r="D753" s="66" t="n"/>
      <c r="E753" s="67" t="n"/>
      <c r="F753" s="67" t="n"/>
      <c r="G753" s="67" t="n"/>
      <c r="H753" s="67" t="n"/>
      <c r="I753" s="67" t="n"/>
      <c r="J753" s="67" t="n"/>
      <c r="K753" s="67" t="n"/>
      <c r="L753" s="67" t="n"/>
      <c r="M753" s="64" t="n"/>
      <c r="N753" s="66" t="n"/>
      <c r="O753" s="84">
        <f>IF(A753="","",IF(OR(C753="",D753=""),"Enter both dates",IF(D753&lt;C753,"To is before From",IF(COUNTIFS($P$5:$P$2004,P753,$C$5:$C$2004,"&lt;="&amp;D753,$D$5:$D$2004,"&gt;="&amp;C753)&gt;1,"Overlaps another row","OK"))))</f>
        <v/>
      </c>
      <c r="P753">
        <f>IF(A753="","",A753&amp;"|"&amp;IF(B753="","Standard",B753))</f>
        <v/>
      </c>
      <c r="Q753">
        <f>IF(AND(A753&lt;&gt;"",A753='Firm Search'!$C$7),COUNTIF($A$5:A753,'Firm Search'!$C$7),"")</f>
        <v/>
      </c>
    </row>
    <row r="754">
      <c r="A754" s="64" t="n"/>
      <c r="B754" s="64" t="n"/>
      <c r="C754" s="66" t="n"/>
      <c r="D754" s="66" t="n"/>
      <c r="E754" s="67" t="n"/>
      <c r="F754" s="67" t="n"/>
      <c r="G754" s="67" t="n"/>
      <c r="H754" s="67" t="n"/>
      <c r="I754" s="67" t="n"/>
      <c r="J754" s="67" t="n"/>
      <c r="K754" s="67" t="n"/>
      <c r="L754" s="67" t="n"/>
      <c r="M754" s="64" t="n"/>
      <c r="N754" s="66" t="n"/>
      <c r="O754" s="84">
        <f>IF(A754="","",IF(OR(C754="",D754=""),"Enter both dates",IF(D754&lt;C754,"To is before From",IF(COUNTIFS($P$5:$P$2004,P754,$C$5:$C$2004,"&lt;="&amp;D754,$D$5:$D$2004,"&gt;="&amp;C754)&gt;1,"Overlaps another row","OK"))))</f>
        <v/>
      </c>
      <c r="P754">
        <f>IF(A754="","",A754&amp;"|"&amp;IF(B754="","Standard",B754))</f>
        <v/>
      </c>
      <c r="Q754">
        <f>IF(AND(A754&lt;&gt;"",A754='Firm Search'!$C$7),COUNTIF($A$5:A754,'Firm Search'!$C$7),"")</f>
        <v/>
      </c>
    </row>
    <row r="755">
      <c r="A755" s="64" t="n"/>
      <c r="B755" s="64" t="n"/>
      <c r="C755" s="66" t="n"/>
      <c r="D755" s="66" t="n"/>
      <c r="E755" s="67" t="n"/>
      <c r="F755" s="67" t="n"/>
      <c r="G755" s="67" t="n"/>
      <c r="H755" s="67" t="n"/>
      <c r="I755" s="67" t="n"/>
      <c r="J755" s="67" t="n"/>
      <c r="K755" s="67" t="n"/>
      <c r="L755" s="67" t="n"/>
      <c r="M755" s="64" t="n"/>
      <c r="N755" s="66" t="n"/>
      <c r="O755" s="84">
        <f>IF(A755="","",IF(OR(C755="",D755=""),"Enter both dates",IF(D755&lt;C755,"To is before From",IF(COUNTIFS($P$5:$P$2004,P755,$C$5:$C$2004,"&lt;="&amp;D755,$D$5:$D$2004,"&gt;="&amp;C755)&gt;1,"Overlaps another row","OK"))))</f>
        <v/>
      </c>
      <c r="P755">
        <f>IF(A755="","",A755&amp;"|"&amp;IF(B755="","Standard",B755))</f>
        <v/>
      </c>
      <c r="Q755">
        <f>IF(AND(A755&lt;&gt;"",A755='Firm Search'!$C$7),COUNTIF($A$5:A755,'Firm Search'!$C$7),"")</f>
        <v/>
      </c>
    </row>
    <row r="756">
      <c r="A756" s="64" t="n"/>
      <c r="B756" s="64" t="n"/>
      <c r="C756" s="66" t="n"/>
      <c r="D756" s="66" t="n"/>
      <c r="E756" s="67" t="n"/>
      <c r="F756" s="67" t="n"/>
      <c r="G756" s="67" t="n"/>
      <c r="H756" s="67" t="n"/>
      <c r="I756" s="67" t="n"/>
      <c r="J756" s="67" t="n"/>
      <c r="K756" s="67" t="n"/>
      <c r="L756" s="67" t="n"/>
      <c r="M756" s="64" t="n"/>
      <c r="N756" s="66" t="n"/>
      <c r="O756" s="84">
        <f>IF(A756="","",IF(OR(C756="",D756=""),"Enter both dates",IF(D756&lt;C756,"To is before From",IF(COUNTIFS($P$5:$P$2004,P756,$C$5:$C$2004,"&lt;="&amp;D756,$D$5:$D$2004,"&gt;="&amp;C756)&gt;1,"Overlaps another row","OK"))))</f>
        <v/>
      </c>
      <c r="P756">
        <f>IF(A756="","",A756&amp;"|"&amp;IF(B756="","Standard",B756))</f>
        <v/>
      </c>
      <c r="Q756">
        <f>IF(AND(A756&lt;&gt;"",A756='Firm Search'!$C$7),COUNTIF($A$5:A756,'Firm Search'!$C$7),"")</f>
        <v/>
      </c>
    </row>
    <row r="757">
      <c r="A757" s="64" t="n"/>
      <c r="B757" s="64" t="n"/>
      <c r="C757" s="66" t="n"/>
      <c r="D757" s="66" t="n"/>
      <c r="E757" s="67" t="n"/>
      <c r="F757" s="67" t="n"/>
      <c r="G757" s="67" t="n"/>
      <c r="H757" s="67" t="n"/>
      <c r="I757" s="67" t="n"/>
      <c r="J757" s="67" t="n"/>
      <c r="K757" s="67" t="n"/>
      <c r="L757" s="67" t="n"/>
      <c r="M757" s="64" t="n"/>
      <c r="N757" s="66" t="n"/>
      <c r="O757" s="84">
        <f>IF(A757="","",IF(OR(C757="",D757=""),"Enter both dates",IF(D757&lt;C757,"To is before From",IF(COUNTIFS($P$5:$P$2004,P757,$C$5:$C$2004,"&lt;="&amp;D757,$D$5:$D$2004,"&gt;="&amp;C757)&gt;1,"Overlaps another row","OK"))))</f>
        <v/>
      </c>
      <c r="P757">
        <f>IF(A757="","",A757&amp;"|"&amp;IF(B757="","Standard",B757))</f>
        <v/>
      </c>
      <c r="Q757">
        <f>IF(AND(A757&lt;&gt;"",A757='Firm Search'!$C$7),COUNTIF($A$5:A757,'Firm Search'!$C$7),"")</f>
        <v/>
      </c>
    </row>
    <row r="758">
      <c r="A758" s="64" t="n"/>
      <c r="B758" s="64" t="n"/>
      <c r="C758" s="66" t="n"/>
      <c r="D758" s="66" t="n"/>
      <c r="E758" s="67" t="n"/>
      <c r="F758" s="67" t="n"/>
      <c r="G758" s="67" t="n"/>
      <c r="H758" s="67" t="n"/>
      <c r="I758" s="67" t="n"/>
      <c r="J758" s="67" t="n"/>
      <c r="K758" s="67" t="n"/>
      <c r="L758" s="67" t="n"/>
      <c r="M758" s="64" t="n"/>
      <c r="N758" s="66" t="n"/>
      <c r="O758" s="84">
        <f>IF(A758="","",IF(OR(C758="",D758=""),"Enter both dates",IF(D758&lt;C758,"To is before From",IF(COUNTIFS($P$5:$P$2004,P758,$C$5:$C$2004,"&lt;="&amp;D758,$D$5:$D$2004,"&gt;="&amp;C758)&gt;1,"Overlaps another row","OK"))))</f>
        <v/>
      </c>
      <c r="P758">
        <f>IF(A758="","",A758&amp;"|"&amp;IF(B758="","Standard",B758))</f>
        <v/>
      </c>
      <c r="Q758">
        <f>IF(AND(A758&lt;&gt;"",A758='Firm Search'!$C$7),COUNTIF($A$5:A758,'Firm Search'!$C$7),"")</f>
        <v/>
      </c>
    </row>
    <row r="759">
      <c r="A759" s="64" t="n"/>
      <c r="B759" s="64" t="n"/>
      <c r="C759" s="66" t="n"/>
      <c r="D759" s="66" t="n"/>
      <c r="E759" s="67" t="n"/>
      <c r="F759" s="67" t="n"/>
      <c r="G759" s="67" t="n"/>
      <c r="H759" s="67" t="n"/>
      <c r="I759" s="67" t="n"/>
      <c r="J759" s="67" t="n"/>
      <c r="K759" s="67" t="n"/>
      <c r="L759" s="67" t="n"/>
      <c r="M759" s="64" t="n"/>
      <c r="N759" s="66" t="n"/>
      <c r="O759" s="84">
        <f>IF(A759="","",IF(OR(C759="",D759=""),"Enter both dates",IF(D759&lt;C759,"To is before From",IF(COUNTIFS($P$5:$P$2004,P759,$C$5:$C$2004,"&lt;="&amp;D759,$D$5:$D$2004,"&gt;="&amp;C759)&gt;1,"Overlaps another row","OK"))))</f>
        <v/>
      </c>
      <c r="P759">
        <f>IF(A759="","",A759&amp;"|"&amp;IF(B759="","Standard",B759))</f>
        <v/>
      </c>
      <c r="Q759">
        <f>IF(AND(A759&lt;&gt;"",A759='Firm Search'!$C$7),COUNTIF($A$5:A759,'Firm Search'!$C$7),"")</f>
        <v/>
      </c>
    </row>
    <row r="760">
      <c r="A760" s="64" t="n"/>
      <c r="B760" s="64" t="n"/>
      <c r="C760" s="66" t="n"/>
      <c r="D760" s="66" t="n"/>
      <c r="E760" s="67" t="n"/>
      <c r="F760" s="67" t="n"/>
      <c r="G760" s="67" t="n"/>
      <c r="H760" s="67" t="n"/>
      <c r="I760" s="67" t="n"/>
      <c r="J760" s="67" t="n"/>
      <c r="K760" s="67" t="n"/>
      <c r="L760" s="67" t="n"/>
      <c r="M760" s="64" t="n"/>
      <c r="N760" s="66" t="n"/>
      <c r="O760" s="84">
        <f>IF(A760="","",IF(OR(C760="",D760=""),"Enter both dates",IF(D760&lt;C760,"To is before From",IF(COUNTIFS($P$5:$P$2004,P760,$C$5:$C$2004,"&lt;="&amp;D760,$D$5:$D$2004,"&gt;="&amp;C760)&gt;1,"Overlaps another row","OK"))))</f>
        <v/>
      </c>
      <c r="P760">
        <f>IF(A760="","",A760&amp;"|"&amp;IF(B760="","Standard",B760))</f>
        <v/>
      </c>
      <c r="Q760">
        <f>IF(AND(A760&lt;&gt;"",A760='Firm Search'!$C$7),COUNTIF($A$5:A760,'Firm Search'!$C$7),"")</f>
        <v/>
      </c>
    </row>
    <row r="761">
      <c r="A761" s="64" t="n"/>
      <c r="B761" s="64" t="n"/>
      <c r="C761" s="66" t="n"/>
      <c r="D761" s="66" t="n"/>
      <c r="E761" s="67" t="n"/>
      <c r="F761" s="67" t="n"/>
      <c r="G761" s="67" t="n"/>
      <c r="H761" s="67" t="n"/>
      <c r="I761" s="67" t="n"/>
      <c r="J761" s="67" t="n"/>
      <c r="K761" s="67" t="n"/>
      <c r="L761" s="67" t="n"/>
      <c r="M761" s="64" t="n"/>
      <c r="N761" s="66" t="n"/>
      <c r="O761" s="84">
        <f>IF(A761="","",IF(OR(C761="",D761=""),"Enter both dates",IF(D761&lt;C761,"To is before From",IF(COUNTIFS($P$5:$P$2004,P761,$C$5:$C$2004,"&lt;="&amp;D761,$D$5:$D$2004,"&gt;="&amp;C761)&gt;1,"Overlaps another row","OK"))))</f>
        <v/>
      </c>
      <c r="P761">
        <f>IF(A761="","",A761&amp;"|"&amp;IF(B761="","Standard",B761))</f>
        <v/>
      </c>
      <c r="Q761">
        <f>IF(AND(A761&lt;&gt;"",A761='Firm Search'!$C$7),COUNTIF($A$5:A761,'Firm Search'!$C$7),"")</f>
        <v/>
      </c>
    </row>
    <row r="762">
      <c r="A762" s="64" t="n"/>
      <c r="B762" s="64" t="n"/>
      <c r="C762" s="66" t="n"/>
      <c r="D762" s="66" t="n"/>
      <c r="E762" s="67" t="n"/>
      <c r="F762" s="67" t="n"/>
      <c r="G762" s="67" t="n"/>
      <c r="H762" s="67" t="n"/>
      <c r="I762" s="67" t="n"/>
      <c r="J762" s="67" t="n"/>
      <c r="K762" s="67" t="n"/>
      <c r="L762" s="67" t="n"/>
      <c r="M762" s="64" t="n"/>
      <c r="N762" s="66" t="n"/>
      <c r="O762" s="84">
        <f>IF(A762="","",IF(OR(C762="",D762=""),"Enter both dates",IF(D762&lt;C762,"To is before From",IF(COUNTIFS($P$5:$P$2004,P762,$C$5:$C$2004,"&lt;="&amp;D762,$D$5:$D$2004,"&gt;="&amp;C762)&gt;1,"Overlaps another row","OK"))))</f>
        <v/>
      </c>
      <c r="P762">
        <f>IF(A762="","",A762&amp;"|"&amp;IF(B762="","Standard",B762))</f>
        <v/>
      </c>
      <c r="Q762">
        <f>IF(AND(A762&lt;&gt;"",A762='Firm Search'!$C$7),COUNTIF($A$5:A762,'Firm Search'!$C$7),"")</f>
        <v/>
      </c>
    </row>
    <row r="763">
      <c r="A763" s="64" t="n"/>
      <c r="B763" s="64" t="n"/>
      <c r="C763" s="66" t="n"/>
      <c r="D763" s="66" t="n"/>
      <c r="E763" s="67" t="n"/>
      <c r="F763" s="67" t="n"/>
      <c r="G763" s="67" t="n"/>
      <c r="H763" s="67" t="n"/>
      <c r="I763" s="67" t="n"/>
      <c r="J763" s="67" t="n"/>
      <c r="K763" s="67" t="n"/>
      <c r="L763" s="67" t="n"/>
      <c r="M763" s="64" t="n"/>
      <c r="N763" s="66" t="n"/>
      <c r="O763" s="84">
        <f>IF(A763="","",IF(OR(C763="",D763=""),"Enter both dates",IF(D763&lt;C763,"To is before From",IF(COUNTIFS($P$5:$P$2004,P763,$C$5:$C$2004,"&lt;="&amp;D763,$D$5:$D$2004,"&gt;="&amp;C763)&gt;1,"Overlaps another row","OK"))))</f>
        <v/>
      </c>
      <c r="P763">
        <f>IF(A763="","",A763&amp;"|"&amp;IF(B763="","Standard",B763))</f>
        <v/>
      </c>
      <c r="Q763">
        <f>IF(AND(A763&lt;&gt;"",A763='Firm Search'!$C$7),COUNTIF($A$5:A763,'Firm Search'!$C$7),"")</f>
        <v/>
      </c>
    </row>
    <row r="764">
      <c r="A764" s="64" t="n"/>
      <c r="B764" s="64" t="n"/>
      <c r="C764" s="66" t="n"/>
      <c r="D764" s="66" t="n"/>
      <c r="E764" s="67" t="n"/>
      <c r="F764" s="67" t="n"/>
      <c r="G764" s="67" t="n"/>
      <c r="H764" s="67" t="n"/>
      <c r="I764" s="67" t="n"/>
      <c r="J764" s="67" t="n"/>
      <c r="K764" s="67" t="n"/>
      <c r="L764" s="67" t="n"/>
      <c r="M764" s="64" t="n"/>
      <c r="N764" s="66" t="n"/>
      <c r="O764" s="84">
        <f>IF(A764="","",IF(OR(C764="",D764=""),"Enter both dates",IF(D764&lt;C764,"To is before From",IF(COUNTIFS($P$5:$P$2004,P764,$C$5:$C$2004,"&lt;="&amp;D764,$D$5:$D$2004,"&gt;="&amp;C764)&gt;1,"Overlaps another row","OK"))))</f>
        <v/>
      </c>
      <c r="P764">
        <f>IF(A764="","",A764&amp;"|"&amp;IF(B764="","Standard",B764))</f>
        <v/>
      </c>
      <c r="Q764">
        <f>IF(AND(A764&lt;&gt;"",A764='Firm Search'!$C$7),COUNTIF($A$5:A764,'Firm Search'!$C$7),"")</f>
        <v/>
      </c>
    </row>
    <row r="765">
      <c r="A765" s="64" t="n"/>
      <c r="B765" s="64" t="n"/>
      <c r="C765" s="66" t="n"/>
      <c r="D765" s="66" t="n"/>
      <c r="E765" s="67" t="n"/>
      <c r="F765" s="67" t="n"/>
      <c r="G765" s="67" t="n"/>
      <c r="H765" s="67" t="n"/>
      <c r="I765" s="67" t="n"/>
      <c r="J765" s="67" t="n"/>
      <c r="K765" s="67" t="n"/>
      <c r="L765" s="67" t="n"/>
      <c r="M765" s="64" t="n"/>
      <c r="N765" s="66" t="n"/>
      <c r="O765" s="84">
        <f>IF(A765="","",IF(OR(C765="",D765=""),"Enter both dates",IF(D765&lt;C765,"To is before From",IF(COUNTIFS($P$5:$P$2004,P765,$C$5:$C$2004,"&lt;="&amp;D765,$D$5:$D$2004,"&gt;="&amp;C765)&gt;1,"Overlaps another row","OK"))))</f>
        <v/>
      </c>
      <c r="P765">
        <f>IF(A765="","",A765&amp;"|"&amp;IF(B765="","Standard",B765))</f>
        <v/>
      </c>
      <c r="Q765">
        <f>IF(AND(A765&lt;&gt;"",A765='Firm Search'!$C$7),COUNTIF($A$5:A765,'Firm Search'!$C$7),"")</f>
        <v/>
      </c>
    </row>
    <row r="766">
      <c r="A766" s="64" t="n"/>
      <c r="B766" s="64" t="n"/>
      <c r="C766" s="66" t="n"/>
      <c r="D766" s="66" t="n"/>
      <c r="E766" s="67" t="n"/>
      <c r="F766" s="67" t="n"/>
      <c r="G766" s="67" t="n"/>
      <c r="H766" s="67" t="n"/>
      <c r="I766" s="67" t="n"/>
      <c r="J766" s="67" t="n"/>
      <c r="K766" s="67" t="n"/>
      <c r="L766" s="67" t="n"/>
      <c r="M766" s="64" t="n"/>
      <c r="N766" s="66" t="n"/>
      <c r="O766" s="84">
        <f>IF(A766="","",IF(OR(C766="",D766=""),"Enter both dates",IF(D766&lt;C766,"To is before From",IF(COUNTIFS($P$5:$P$2004,P766,$C$5:$C$2004,"&lt;="&amp;D766,$D$5:$D$2004,"&gt;="&amp;C766)&gt;1,"Overlaps another row","OK"))))</f>
        <v/>
      </c>
      <c r="P766">
        <f>IF(A766="","",A766&amp;"|"&amp;IF(B766="","Standard",B766))</f>
        <v/>
      </c>
      <c r="Q766">
        <f>IF(AND(A766&lt;&gt;"",A766='Firm Search'!$C$7),COUNTIF($A$5:A766,'Firm Search'!$C$7),"")</f>
        <v/>
      </c>
    </row>
    <row r="767">
      <c r="A767" s="64" t="n"/>
      <c r="B767" s="64" t="n"/>
      <c r="C767" s="66" t="n"/>
      <c r="D767" s="66" t="n"/>
      <c r="E767" s="67" t="n"/>
      <c r="F767" s="67" t="n"/>
      <c r="G767" s="67" t="n"/>
      <c r="H767" s="67" t="n"/>
      <c r="I767" s="67" t="n"/>
      <c r="J767" s="67" t="n"/>
      <c r="K767" s="67" t="n"/>
      <c r="L767" s="67" t="n"/>
      <c r="M767" s="64" t="n"/>
      <c r="N767" s="66" t="n"/>
      <c r="O767" s="84">
        <f>IF(A767="","",IF(OR(C767="",D767=""),"Enter both dates",IF(D767&lt;C767,"To is before From",IF(COUNTIFS($P$5:$P$2004,P767,$C$5:$C$2004,"&lt;="&amp;D767,$D$5:$D$2004,"&gt;="&amp;C767)&gt;1,"Overlaps another row","OK"))))</f>
        <v/>
      </c>
      <c r="P767">
        <f>IF(A767="","",A767&amp;"|"&amp;IF(B767="","Standard",B767))</f>
        <v/>
      </c>
      <c r="Q767">
        <f>IF(AND(A767&lt;&gt;"",A767='Firm Search'!$C$7),COUNTIF($A$5:A767,'Firm Search'!$C$7),"")</f>
        <v/>
      </c>
    </row>
    <row r="768">
      <c r="A768" s="64" t="n"/>
      <c r="B768" s="64" t="n"/>
      <c r="C768" s="66" t="n"/>
      <c r="D768" s="66" t="n"/>
      <c r="E768" s="67" t="n"/>
      <c r="F768" s="67" t="n"/>
      <c r="G768" s="67" t="n"/>
      <c r="H768" s="67" t="n"/>
      <c r="I768" s="67" t="n"/>
      <c r="J768" s="67" t="n"/>
      <c r="K768" s="67" t="n"/>
      <c r="L768" s="67" t="n"/>
      <c r="M768" s="64" t="n"/>
      <c r="N768" s="66" t="n"/>
      <c r="O768" s="84">
        <f>IF(A768="","",IF(OR(C768="",D768=""),"Enter both dates",IF(D768&lt;C768,"To is before From",IF(COUNTIFS($P$5:$P$2004,P768,$C$5:$C$2004,"&lt;="&amp;D768,$D$5:$D$2004,"&gt;="&amp;C768)&gt;1,"Overlaps another row","OK"))))</f>
        <v/>
      </c>
      <c r="P768">
        <f>IF(A768="","",A768&amp;"|"&amp;IF(B768="","Standard",B768))</f>
        <v/>
      </c>
      <c r="Q768">
        <f>IF(AND(A768&lt;&gt;"",A768='Firm Search'!$C$7),COUNTIF($A$5:A768,'Firm Search'!$C$7),"")</f>
        <v/>
      </c>
    </row>
    <row r="769">
      <c r="A769" s="64" t="n"/>
      <c r="B769" s="64" t="n"/>
      <c r="C769" s="66" t="n"/>
      <c r="D769" s="66" t="n"/>
      <c r="E769" s="67" t="n"/>
      <c r="F769" s="67" t="n"/>
      <c r="G769" s="67" t="n"/>
      <c r="H769" s="67" t="n"/>
      <c r="I769" s="67" t="n"/>
      <c r="J769" s="67" t="n"/>
      <c r="K769" s="67" t="n"/>
      <c r="L769" s="67" t="n"/>
      <c r="M769" s="64" t="n"/>
      <c r="N769" s="66" t="n"/>
      <c r="O769" s="84">
        <f>IF(A769="","",IF(OR(C769="",D769=""),"Enter both dates",IF(D769&lt;C769,"To is before From",IF(COUNTIFS($P$5:$P$2004,P769,$C$5:$C$2004,"&lt;="&amp;D769,$D$5:$D$2004,"&gt;="&amp;C769)&gt;1,"Overlaps another row","OK"))))</f>
        <v/>
      </c>
      <c r="P769">
        <f>IF(A769="","",A769&amp;"|"&amp;IF(B769="","Standard",B769))</f>
        <v/>
      </c>
      <c r="Q769">
        <f>IF(AND(A769&lt;&gt;"",A769='Firm Search'!$C$7),COUNTIF($A$5:A769,'Firm Search'!$C$7),"")</f>
        <v/>
      </c>
    </row>
    <row r="770">
      <c r="A770" s="64" t="n"/>
      <c r="B770" s="64" t="n"/>
      <c r="C770" s="66" t="n"/>
      <c r="D770" s="66" t="n"/>
      <c r="E770" s="67" t="n"/>
      <c r="F770" s="67" t="n"/>
      <c r="G770" s="67" t="n"/>
      <c r="H770" s="67" t="n"/>
      <c r="I770" s="67" t="n"/>
      <c r="J770" s="67" t="n"/>
      <c r="K770" s="67" t="n"/>
      <c r="L770" s="67" t="n"/>
      <c r="M770" s="64" t="n"/>
      <c r="N770" s="66" t="n"/>
      <c r="O770" s="84">
        <f>IF(A770="","",IF(OR(C770="",D770=""),"Enter both dates",IF(D770&lt;C770,"To is before From",IF(COUNTIFS($P$5:$P$2004,P770,$C$5:$C$2004,"&lt;="&amp;D770,$D$5:$D$2004,"&gt;="&amp;C770)&gt;1,"Overlaps another row","OK"))))</f>
        <v/>
      </c>
      <c r="P770">
        <f>IF(A770="","",A770&amp;"|"&amp;IF(B770="","Standard",B770))</f>
        <v/>
      </c>
      <c r="Q770">
        <f>IF(AND(A770&lt;&gt;"",A770='Firm Search'!$C$7),COUNTIF($A$5:A770,'Firm Search'!$C$7),"")</f>
        <v/>
      </c>
    </row>
    <row r="771">
      <c r="A771" s="64" t="n"/>
      <c r="B771" s="64" t="n"/>
      <c r="C771" s="66" t="n"/>
      <c r="D771" s="66" t="n"/>
      <c r="E771" s="67" t="n"/>
      <c r="F771" s="67" t="n"/>
      <c r="G771" s="67" t="n"/>
      <c r="H771" s="67" t="n"/>
      <c r="I771" s="67" t="n"/>
      <c r="J771" s="67" t="n"/>
      <c r="K771" s="67" t="n"/>
      <c r="L771" s="67" t="n"/>
      <c r="M771" s="64" t="n"/>
      <c r="N771" s="66" t="n"/>
      <c r="O771" s="84">
        <f>IF(A771="","",IF(OR(C771="",D771=""),"Enter both dates",IF(D771&lt;C771,"To is before From",IF(COUNTIFS($P$5:$P$2004,P771,$C$5:$C$2004,"&lt;="&amp;D771,$D$5:$D$2004,"&gt;="&amp;C771)&gt;1,"Overlaps another row","OK"))))</f>
        <v/>
      </c>
      <c r="P771">
        <f>IF(A771="","",A771&amp;"|"&amp;IF(B771="","Standard",B771))</f>
        <v/>
      </c>
      <c r="Q771">
        <f>IF(AND(A771&lt;&gt;"",A771='Firm Search'!$C$7),COUNTIF($A$5:A771,'Firm Search'!$C$7),"")</f>
        <v/>
      </c>
    </row>
    <row r="772">
      <c r="A772" s="64" t="n"/>
      <c r="B772" s="64" t="n"/>
      <c r="C772" s="66" t="n"/>
      <c r="D772" s="66" t="n"/>
      <c r="E772" s="67" t="n"/>
      <c r="F772" s="67" t="n"/>
      <c r="G772" s="67" t="n"/>
      <c r="H772" s="67" t="n"/>
      <c r="I772" s="67" t="n"/>
      <c r="J772" s="67" t="n"/>
      <c r="K772" s="67" t="n"/>
      <c r="L772" s="67" t="n"/>
      <c r="M772" s="64" t="n"/>
      <c r="N772" s="66" t="n"/>
      <c r="O772" s="84">
        <f>IF(A772="","",IF(OR(C772="",D772=""),"Enter both dates",IF(D772&lt;C772,"To is before From",IF(COUNTIFS($P$5:$P$2004,P772,$C$5:$C$2004,"&lt;="&amp;D772,$D$5:$D$2004,"&gt;="&amp;C772)&gt;1,"Overlaps another row","OK"))))</f>
        <v/>
      </c>
      <c r="P772">
        <f>IF(A772="","",A772&amp;"|"&amp;IF(B772="","Standard",B772))</f>
        <v/>
      </c>
      <c r="Q772">
        <f>IF(AND(A772&lt;&gt;"",A772='Firm Search'!$C$7),COUNTIF($A$5:A772,'Firm Search'!$C$7),"")</f>
        <v/>
      </c>
    </row>
    <row r="773">
      <c r="A773" s="64" t="n"/>
      <c r="B773" s="64" t="n"/>
      <c r="C773" s="66" t="n"/>
      <c r="D773" s="66" t="n"/>
      <c r="E773" s="67" t="n"/>
      <c r="F773" s="67" t="n"/>
      <c r="G773" s="67" t="n"/>
      <c r="H773" s="67" t="n"/>
      <c r="I773" s="67" t="n"/>
      <c r="J773" s="67" t="n"/>
      <c r="K773" s="67" t="n"/>
      <c r="L773" s="67" t="n"/>
      <c r="M773" s="64" t="n"/>
      <c r="N773" s="66" t="n"/>
      <c r="O773" s="84">
        <f>IF(A773="","",IF(OR(C773="",D773=""),"Enter both dates",IF(D773&lt;C773,"To is before From",IF(COUNTIFS($P$5:$P$2004,P773,$C$5:$C$2004,"&lt;="&amp;D773,$D$5:$D$2004,"&gt;="&amp;C773)&gt;1,"Overlaps another row","OK"))))</f>
        <v/>
      </c>
      <c r="P773">
        <f>IF(A773="","",A773&amp;"|"&amp;IF(B773="","Standard",B773))</f>
        <v/>
      </c>
      <c r="Q773">
        <f>IF(AND(A773&lt;&gt;"",A773='Firm Search'!$C$7),COUNTIF($A$5:A773,'Firm Search'!$C$7),"")</f>
        <v/>
      </c>
    </row>
    <row r="774">
      <c r="A774" s="64" t="n"/>
      <c r="B774" s="64" t="n"/>
      <c r="C774" s="66" t="n"/>
      <c r="D774" s="66" t="n"/>
      <c r="E774" s="67" t="n"/>
      <c r="F774" s="67" t="n"/>
      <c r="G774" s="67" t="n"/>
      <c r="H774" s="67" t="n"/>
      <c r="I774" s="67" t="n"/>
      <c r="J774" s="67" t="n"/>
      <c r="K774" s="67" t="n"/>
      <c r="L774" s="67" t="n"/>
      <c r="M774" s="64" t="n"/>
      <c r="N774" s="66" t="n"/>
      <c r="O774" s="84">
        <f>IF(A774="","",IF(OR(C774="",D774=""),"Enter both dates",IF(D774&lt;C774,"To is before From",IF(COUNTIFS($P$5:$P$2004,P774,$C$5:$C$2004,"&lt;="&amp;D774,$D$5:$D$2004,"&gt;="&amp;C774)&gt;1,"Overlaps another row","OK"))))</f>
        <v/>
      </c>
      <c r="P774">
        <f>IF(A774="","",A774&amp;"|"&amp;IF(B774="","Standard",B774))</f>
        <v/>
      </c>
      <c r="Q774">
        <f>IF(AND(A774&lt;&gt;"",A774='Firm Search'!$C$7),COUNTIF($A$5:A774,'Firm Search'!$C$7),"")</f>
        <v/>
      </c>
    </row>
    <row r="775">
      <c r="A775" s="64" t="n"/>
      <c r="B775" s="64" t="n"/>
      <c r="C775" s="66" t="n"/>
      <c r="D775" s="66" t="n"/>
      <c r="E775" s="67" t="n"/>
      <c r="F775" s="67" t="n"/>
      <c r="G775" s="67" t="n"/>
      <c r="H775" s="67" t="n"/>
      <c r="I775" s="67" t="n"/>
      <c r="J775" s="67" t="n"/>
      <c r="K775" s="67" t="n"/>
      <c r="L775" s="67" t="n"/>
      <c r="M775" s="64" t="n"/>
      <c r="N775" s="66" t="n"/>
      <c r="O775" s="84">
        <f>IF(A775="","",IF(OR(C775="",D775=""),"Enter both dates",IF(D775&lt;C775,"To is before From",IF(COUNTIFS($P$5:$P$2004,P775,$C$5:$C$2004,"&lt;="&amp;D775,$D$5:$D$2004,"&gt;="&amp;C775)&gt;1,"Overlaps another row","OK"))))</f>
        <v/>
      </c>
      <c r="P775">
        <f>IF(A775="","",A775&amp;"|"&amp;IF(B775="","Standard",B775))</f>
        <v/>
      </c>
      <c r="Q775">
        <f>IF(AND(A775&lt;&gt;"",A775='Firm Search'!$C$7),COUNTIF($A$5:A775,'Firm Search'!$C$7),"")</f>
        <v/>
      </c>
    </row>
    <row r="776">
      <c r="A776" s="64" t="n"/>
      <c r="B776" s="64" t="n"/>
      <c r="C776" s="66" t="n"/>
      <c r="D776" s="66" t="n"/>
      <c r="E776" s="67" t="n"/>
      <c r="F776" s="67" t="n"/>
      <c r="G776" s="67" t="n"/>
      <c r="H776" s="67" t="n"/>
      <c r="I776" s="67" t="n"/>
      <c r="J776" s="67" t="n"/>
      <c r="K776" s="67" t="n"/>
      <c r="L776" s="67" t="n"/>
      <c r="M776" s="64" t="n"/>
      <c r="N776" s="66" t="n"/>
      <c r="O776" s="84">
        <f>IF(A776="","",IF(OR(C776="",D776=""),"Enter both dates",IF(D776&lt;C776,"To is before From",IF(COUNTIFS($P$5:$P$2004,P776,$C$5:$C$2004,"&lt;="&amp;D776,$D$5:$D$2004,"&gt;="&amp;C776)&gt;1,"Overlaps another row","OK"))))</f>
        <v/>
      </c>
      <c r="P776">
        <f>IF(A776="","",A776&amp;"|"&amp;IF(B776="","Standard",B776))</f>
        <v/>
      </c>
      <c r="Q776">
        <f>IF(AND(A776&lt;&gt;"",A776='Firm Search'!$C$7),COUNTIF($A$5:A776,'Firm Search'!$C$7),"")</f>
        <v/>
      </c>
    </row>
    <row r="777">
      <c r="A777" s="64" t="n"/>
      <c r="B777" s="64" t="n"/>
      <c r="C777" s="66" t="n"/>
      <c r="D777" s="66" t="n"/>
      <c r="E777" s="67" t="n"/>
      <c r="F777" s="67" t="n"/>
      <c r="G777" s="67" t="n"/>
      <c r="H777" s="67" t="n"/>
      <c r="I777" s="67" t="n"/>
      <c r="J777" s="67" t="n"/>
      <c r="K777" s="67" t="n"/>
      <c r="L777" s="67" t="n"/>
      <c r="M777" s="64" t="n"/>
      <c r="N777" s="66" t="n"/>
      <c r="O777" s="84">
        <f>IF(A777="","",IF(OR(C777="",D777=""),"Enter both dates",IF(D777&lt;C777,"To is before From",IF(COUNTIFS($P$5:$P$2004,P777,$C$5:$C$2004,"&lt;="&amp;D777,$D$5:$D$2004,"&gt;="&amp;C777)&gt;1,"Overlaps another row","OK"))))</f>
        <v/>
      </c>
      <c r="P777">
        <f>IF(A777="","",A777&amp;"|"&amp;IF(B777="","Standard",B777))</f>
        <v/>
      </c>
      <c r="Q777">
        <f>IF(AND(A777&lt;&gt;"",A777='Firm Search'!$C$7),COUNTIF($A$5:A777,'Firm Search'!$C$7),"")</f>
        <v/>
      </c>
    </row>
    <row r="778">
      <c r="A778" s="64" t="n"/>
      <c r="B778" s="64" t="n"/>
      <c r="C778" s="66" t="n"/>
      <c r="D778" s="66" t="n"/>
      <c r="E778" s="67" t="n"/>
      <c r="F778" s="67" t="n"/>
      <c r="G778" s="67" t="n"/>
      <c r="H778" s="67" t="n"/>
      <c r="I778" s="67" t="n"/>
      <c r="J778" s="67" t="n"/>
      <c r="K778" s="67" t="n"/>
      <c r="L778" s="67" t="n"/>
      <c r="M778" s="64" t="n"/>
      <c r="N778" s="66" t="n"/>
      <c r="O778" s="84">
        <f>IF(A778="","",IF(OR(C778="",D778=""),"Enter both dates",IF(D778&lt;C778,"To is before From",IF(COUNTIFS($P$5:$P$2004,P778,$C$5:$C$2004,"&lt;="&amp;D778,$D$5:$D$2004,"&gt;="&amp;C778)&gt;1,"Overlaps another row","OK"))))</f>
        <v/>
      </c>
      <c r="P778">
        <f>IF(A778="","",A778&amp;"|"&amp;IF(B778="","Standard",B778))</f>
        <v/>
      </c>
      <c r="Q778">
        <f>IF(AND(A778&lt;&gt;"",A778='Firm Search'!$C$7),COUNTIF($A$5:A778,'Firm Search'!$C$7),"")</f>
        <v/>
      </c>
    </row>
    <row r="779">
      <c r="A779" s="64" t="n"/>
      <c r="B779" s="64" t="n"/>
      <c r="C779" s="66" t="n"/>
      <c r="D779" s="66" t="n"/>
      <c r="E779" s="67" t="n"/>
      <c r="F779" s="67" t="n"/>
      <c r="G779" s="67" t="n"/>
      <c r="H779" s="67" t="n"/>
      <c r="I779" s="67" t="n"/>
      <c r="J779" s="67" t="n"/>
      <c r="K779" s="67" t="n"/>
      <c r="L779" s="67" t="n"/>
      <c r="M779" s="64" t="n"/>
      <c r="N779" s="66" t="n"/>
      <c r="O779" s="84">
        <f>IF(A779="","",IF(OR(C779="",D779=""),"Enter both dates",IF(D779&lt;C779,"To is before From",IF(COUNTIFS($P$5:$P$2004,P779,$C$5:$C$2004,"&lt;="&amp;D779,$D$5:$D$2004,"&gt;="&amp;C779)&gt;1,"Overlaps another row","OK"))))</f>
        <v/>
      </c>
      <c r="P779">
        <f>IF(A779="","",A779&amp;"|"&amp;IF(B779="","Standard",B779))</f>
        <v/>
      </c>
      <c r="Q779">
        <f>IF(AND(A779&lt;&gt;"",A779='Firm Search'!$C$7),COUNTIF($A$5:A779,'Firm Search'!$C$7),"")</f>
        <v/>
      </c>
    </row>
    <row r="780">
      <c r="A780" s="64" t="n"/>
      <c r="B780" s="64" t="n"/>
      <c r="C780" s="66" t="n"/>
      <c r="D780" s="66" t="n"/>
      <c r="E780" s="67" t="n"/>
      <c r="F780" s="67" t="n"/>
      <c r="G780" s="67" t="n"/>
      <c r="H780" s="67" t="n"/>
      <c r="I780" s="67" t="n"/>
      <c r="J780" s="67" t="n"/>
      <c r="K780" s="67" t="n"/>
      <c r="L780" s="67" t="n"/>
      <c r="M780" s="64" t="n"/>
      <c r="N780" s="66" t="n"/>
      <c r="O780" s="84">
        <f>IF(A780="","",IF(OR(C780="",D780=""),"Enter both dates",IF(D780&lt;C780,"To is before From",IF(COUNTIFS($P$5:$P$2004,P780,$C$5:$C$2004,"&lt;="&amp;D780,$D$5:$D$2004,"&gt;="&amp;C780)&gt;1,"Overlaps another row","OK"))))</f>
        <v/>
      </c>
      <c r="P780">
        <f>IF(A780="","",A780&amp;"|"&amp;IF(B780="","Standard",B780))</f>
        <v/>
      </c>
      <c r="Q780">
        <f>IF(AND(A780&lt;&gt;"",A780='Firm Search'!$C$7),COUNTIF($A$5:A780,'Firm Search'!$C$7),"")</f>
        <v/>
      </c>
    </row>
    <row r="781">
      <c r="A781" s="64" t="n"/>
      <c r="B781" s="64" t="n"/>
      <c r="C781" s="66" t="n"/>
      <c r="D781" s="66" t="n"/>
      <c r="E781" s="67" t="n"/>
      <c r="F781" s="67" t="n"/>
      <c r="G781" s="67" t="n"/>
      <c r="H781" s="67" t="n"/>
      <c r="I781" s="67" t="n"/>
      <c r="J781" s="67" t="n"/>
      <c r="K781" s="67" t="n"/>
      <c r="L781" s="67" t="n"/>
      <c r="M781" s="64" t="n"/>
      <c r="N781" s="66" t="n"/>
      <c r="O781" s="84">
        <f>IF(A781="","",IF(OR(C781="",D781=""),"Enter both dates",IF(D781&lt;C781,"To is before From",IF(COUNTIFS($P$5:$P$2004,P781,$C$5:$C$2004,"&lt;="&amp;D781,$D$5:$D$2004,"&gt;="&amp;C781)&gt;1,"Overlaps another row","OK"))))</f>
        <v/>
      </c>
      <c r="P781">
        <f>IF(A781="","",A781&amp;"|"&amp;IF(B781="","Standard",B781))</f>
        <v/>
      </c>
      <c r="Q781">
        <f>IF(AND(A781&lt;&gt;"",A781='Firm Search'!$C$7),COUNTIF($A$5:A781,'Firm Search'!$C$7),"")</f>
        <v/>
      </c>
    </row>
    <row r="782">
      <c r="A782" s="64" t="n"/>
      <c r="B782" s="64" t="n"/>
      <c r="C782" s="66" t="n"/>
      <c r="D782" s="66" t="n"/>
      <c r="E782" s="67" t="n"/>
      <c r="F782" s="67" t="n"/>
      <c r="G782" s="67" t="n"/>
      <c r="H782" s="67" t="n"/>
      <c r="I782" s="67" t="n"/>
      <c r="J782" s="67" t="n"/>
      <c r="K782" s="67" t="n"/>
      <c r="L782" s="67" t="n"/>
      <c r="M782" s="64" t="n"/>
      <c r="N782" s="66" t="n"/>
      <c r="O782" s="84">
        <f>IF(A782="","",IF(OR(C782="",D782=""),"Enter both dates",IF(D782&lt;C782,"To is before From",IF(COUNTIFS($P$5:$P$2004,P782,$C$5:$C$2004,"&lt;="&amp;D782,$D$5:$D$2004,"&gt;="&amp;C782)&gt;1,"Overlaps another row","OK"))))</f>
        <v/>
      </c>
      <c r="P782">
        <f>IF(A782="","",A782&amp;"|"&amp;IF(B782="","Standard",B782))</f>
        <v/>
      </c>
      <c r="Q782">
        <f>IF(AND(A782&lt;&gt;"",A782='Firm Search'!$C$7),COUNTIF($A$5:A782,'Firm Search'!$C$7),"")</f>
        <v/>
      </c>
    </row>
    <row r="783">
      <c r="A783" s="64" t="n"/>
      <c r="B783" s="64" t="n"/>
      <c r="C783" s="66" t="n"/>
      <c r="D783" s="66" t="n"/>
      <c r="E783" s="67" t="n"/>
      <c r="F783" s="67" t="n"/>
      <c r="G783" s="67" t="n"/>
      <c r="H783" s="67" t="n"/>
      <c r="I783" s="67" t="n"/>
      <c r="J783" s="67" t="n"/>
      <c r="K783" s="67" t="n"/>
      <c r="L783" s="67" t="n"/>
      <c r="M783" s="64" t="n"/>
      <c r="N783" s="66" t="n"/>
      <c r="O783" s="84">
        <f>IF(A783="","",IF(OR(C783="",D783=""),"Enter both dates",IF(D783&lt;C783,"To is before From",IF(COUNTIFS($P$5:$P$2004,P783,$C$5:$C$2004,"&lt;="&amp;D783,$D$5:$D$2004,"&gt;="&amp;C783)&gt;1,"Overlaps another row","OK"))))</f>
        <v/>
      </c>
      <c r="P783">
        <f>IF(A783="","",A783&amp;"|"&amp;IF(B783="","Standard",B783))</f>
        <v/>
      </c>
      <c r="Q783">
        <f>IF(AND(A783&lt;&gt;"",A783='Firm Search'!$C$7),COUNTIF($A$5:A783,'Firm Search'!$C$7),"")</f>
        <v/>
      </c>
    </row>
    <row r="784">
      <c r="A784" s="64" t="n"/>
      <c r="B784" s="64" t="n"/>
      <c r="C784" s="66" t="n"/>
      <c r="D784" s="66" t="n"/>
      <c r="E784" s="67" t="n"/>
      <c r="F784" s="67" t="n"/>
      <c r="G784" s="67" t="n"/>
      <c r="H784" s="67" t="n"/>
      <c r="I784" s="67" t="n"/>
      <c r="J784" s="67" t="n"/>
      <c r="K784" s="67" t="n"/>
      <c r="L784" s="67" t="n"/>
      <c r="M784" s="64" t="n"/>
      <c r="N784" s="66" t="n"/>
      <c r="O784" s="84">
        <f>IF(A784="","",IF(OR(C784="",D784=""),"Enter both dates",IF(D784&lt;C784,"To is before From",IF(COUNTIFS($P$5:$P$2004,P784,$C$5:$C$2004,"&lt;="&amp;D784,$D$5:$D$2004,"&gt;="&amp;C784)&gt;1,"Overlaps another row","OK"))))</f>
        <v/>
      </c>
      <c r="P784">
        <f>IF(A784="","",A784&amp;"|"&amp;IF(B784="","Standard",B784))</f>
        <v/>
      </c>
      <c r="Q784">
        <f>IF(AND(A784&lt;&gt;"",A784='Firm Search'!$C$7),COUNTIF($A$5:A784,'Firm Search'!$C$7),"")</f>
        <v/>
      </c>
    </row>
    <row r="785">
      <c r="A785" s="64" t="n"/>
      <c r="B785" s="64" t="n"/>
      <c r="C785" s="66" t="n"/>
      <c r="D785" s="66" t="n"/>
      <c r="E785" s="67" t="n"/>
      <c r="F785" s="67" t="n"/>
      <c r="G785" s="67" t="n"/>
      <c r="H785" s="67" t="n"/>
      <c r="I785" s="67" t="n"/>
      <c r="J785" s="67" t="n"/>
      <c r="K785" s="67" t="n"/>
      <c r="L785" s="67" t="n"/>
      <c r="M785" s="64" t="n"/>
      <c r="N785" s="66" t="n"/>
      <c r="O785" s="84">
        <f>IF(A785="","",IF(OR(C785="",D785=""),"Enter both dates",IF(D785&lt;C785,"To is before From",IF(COUNTIFS($P$5:$P$2004,P785,$C$5:$C$2004,"&lt;="&amp;D785,$D$5:$D$2004,"&gt;="&amp;C785)&gt;1,"Overlaps another row","OK"))))</f>
        <v/>
      </c>
      <c r="P785">
        <f>IF(A785="","",A785&amp;"|"&amp;IF(B785="","Standard",B785))</f>
        <v/>
      </c>
      <c r="Q785">
        <f>IF(AND(A785&lt;&gt;"",A785='Firm Search'!$C$7),COUNTIF($A$5:A785,'Firm Search'!$C$7),"")</f>
        <v/>
      </c>
    </row>
    <row r="786">
      <c r="A786" s="64" t="n"/>
      <c r="B786" s="64" t="n"/>
      <c r="C786" s="66" t="n"/>
      <c r="D786" s="66" t="n"/>
      <c r="E786" s="67" t="n"/>
      <c r="F786" s="67" t="n"/>
      <c r="G786" s="67" t="n"/>
      <c r="H786" s="67" t="n"/>
      <c r="I786" s="67" t="n"/>
      <c r="J786" s="67" t="n"/>
      <c r="K786" s="67" t="n"/>
      <c r="L786" s="67" t="n"/>
      <c r="M786" s="64" t="n"/>
      <c r="N786" s="66" t="n"/>
      <c r="O786" s="84">
        <f>IF(A786="","",IF(OR(C786="",D786=""),"Enter both dates",IF(D786&lt;C786,"To is before From",IF(COUNTIFS($P$5:$P$2004,P786,$C$5:$C$2004,"&lt;="&amp;D786,$D$5:$D$2004,"&gt;="&amp;C786)&gt;1,"Overlaps another row","OK"))))</f>
        <v/>
      </c>
      <c r="P786">
        <f>IF(A786="","",A786&amp;"|"&amp;IF(B786="","Standard",B786))</f>
        <v/>
      </c>
      <c r="Q786">
        <f>IF(AND(A786&lt;&gt;"",A786='Firm Search'!$C$7),COUNTIF($A$5:A786,'Firm Search'!$C$7),"")</f>
        <v/>
      </c>
    </row>
    <row r="787">
      <c r="A787" s="64" t="n"/>
      <c r="B787" s="64" t="n"/>
      <c r="C787" s="66" t="n"/>
      <c r="D787" s="66" t="n"/>
      <c r="E787" s="67" t="n"/>
      <c r="F787" s="67" t="n"/>
      <c r="G787" s="67" t="n"/>
      <c r="H787" s="67" t="n"/>
      <c r="I787" s="67" t="n"/>
      <c r="J787" s="67" t="n"/>
      <c r="K787" s="67" t="n"/>
      <c r="L787" s="67" t="n"/>
      <c r="M787" s="64" t="n"/>
      <c r="N787" s="66" t="n"/>
      <c r="O787" s="84">
        <f>IF(A787="","",IF(OR(C787="",D787=""),"Enter both dates",IF(D787&lt;C787,"To is before From",IF(COUNTIFS($P$5:$P$2004,P787,$C$5:$C$2004,"&lt;="&amp;D787,$D$5:$D$2004,"&gt;="&amp;C787)&gt;1,"Overlaps another row","OK"))))</f>
        <v/>
      </c>
      <c r="P787">
        <f>IF(A787="","",A787&amp;"|"&amp;IF(B787="","Standard",B787))</f>
        <v/>
      </c>
      <c r="Q787">
        <f>IF(AND(A787&lt;&gt;"",A787='Firm Search'!$C$7),COUNTIF($A$5:A787,'Firm Search'!$C$7),"")</f>
        <v/>
      </c>
    </row>
    <row r="788">
      <c r="A788" s="64" t="n"/>
      <c r="B788" s="64" t="n"/>
      <c r="C788" s="66" t="n"/>
      <c r="D788" s="66" t="n"/>
      <c r="E788" s="67" t="n"/>
      <c r="F788" s="67" t="n"/>
      <c r="G788" s="67" t="n"/>
      <c r="H788" s="67" t="n"/>
      <c r="I788" s="67" t="n"/>
      <c r="J788" s="67" t="n"/>
      <c r="K788" s="67" t="n"/>
      <c r="L788" s="67" t="n"/>
      <c r="M788" s="64" t="n"/>
      <c r="N788" s="66" t="n"/>
      <c r="O788" s="84">
        <f>IF(A788="","",IF(OR(C788="",D788=""),"Enter both dates",IF(D788&lt;C788,"To is before From",IF(COUNTIFS($P$5:$P$2004,P788,$C$5:$C$2004,"&lt;="&amp;D788,$D$5:$D$2004,"&gt;="&amp;C788)&gt;1,"Overlaps another row","OK"))))</f>
        <v/>
      </c>
      <c r="P788">
        <f>IF(A788="","",A788&amp;"|"&amp;IF(B788="","Standard",B788))</f>
        <v/>
      </c>
      <c r="Q788">
        <f>IF(AND(A788&lt;&gt;"",A788='Firm Search'!$C$7),COUNTIF($A$5:A788,'Firm Search'!$C$7),"")</f>
        <v/>
      </c>
    </row>
    <row r="789">
      <c r="A789" s="64" t="n"/>
      <c r="B789" s="64" t="n"/>
      <c r="C789" s="66" t="n"/>
      <c r="D789" s="66" t="n"/>
      <c r="E789" s="67" t="n"/>
      <c r="F789" s="67" t="n"/>
      <c r="G789" s="67" t="n"/>
      <c r="H789" s="67" t="n"/>
      <c r="I789" s="67" t="n"/>
      <c r="J789" s="67" t="n"/>
      <c r="K789" s="67" t="n"/>
      <c r="L789" s="67" t="n"/>
      <c r="M789" s="64" t="n"/>
      <c r="N789" s="66" t="n"/>
      <c r="O789" s="84">
        <f>IF(A789="","",IF(OR(C789="",D789=""),"Enter both dates",IF(D789&lt;C789,"To is before From",IF(COUNTIFS($P$5:$P$2004,P789,$C$5:$C$2004,"&lt;="&amp;D789,$D$5:$D$2004,"&gt;="&amp;C789)&gt;1,"Overlaps another row","OK"))))</f>
        <v/>
      </c>
      <c r="P789">
        <f>IF(A789="","",A789&amp;"|"&amp;IF(B789="","Standard",B789))</f>
        <v/>
      </c>
      <c r="Q789">
        <f>IF(AND(A789&lt;&gt;"",A789='Firm Search'!$C$7),COUNTIF($A$5:A789,'Firm Search'!$C$7),"")</f>
        <v/>
      </c>
    </row>
    <row r="790">
      <c r="A790" s="64" t="n"/>
      <c r="B790" s="64" t="n"/>
      <c r="C790" s="66" t="n"/>
      <c r="D790" s="66" t="n"/>
      <c r="E790" s="67" t="n"/>
      <c r="F790" s="67" t="n"/>
      <c r="G790" s="67" t="n"/>
      <c r="H790" s="67" t="n"/>
      <c r="I790" s="67" t="n"/>
      <c r="J790" s="67" t="n"/>
      <c r="K790" s="67" t="n"/>
      <c r="L790" s="67" t="n"/>
      <c r="M790" s="64" t="n"/>
      <c r="N790" s="66" t="n"/>
      <c r="O790" s="84">
        <f>IF(A790="","",IF(OR(C790="",D790=""),"Enter both dates",IF(D790&lt;C790,"To is before From",IF(COUNTIFS($P$5:$P$2004,P790,$C$5:$C$2004,"&lt;="&amp;D790,$D$5:$D$2004,"&gt;="&amp;C790)&gt;1,"Overlaps another row","OK"))))</f>
        <v/>
      </c>
      <c r="P790">
        <f>IF(A790="","",A790&amp;"|"&amp;IF(B790="","Standard",B790))</f>
        <v/>
      </c>
      <c r="Q790">
        <f>IF(AND(A790&lt;&gt;"",A790='Firm Search'!$C$7),COUNTIF($A$5:A790,'Firm Search'!$C$7),"")</f>
        <v/>
      </c>
    </row>
    <row r="791">
      <c r="A791" s="64" t="n"/>
      <c r="B791" s="64" t="n"/>
      <c r="C791" s="66" t="n"/>
      <c r="D791" s="66" t="n"/>
      <c r="E791" s="67" t="n"/>
      <c r="F791" s="67" t="n"/>
      <c r="G791" s="67" t="n"/>
      <c r="H791" s="67" t="n"/>
      <c r="I791" s="67" t="n"/>
      <c r="J791" s="67" t="n"/>
      <c r="K791" s="67" t="n"/>
      <c r="L791" s="67" t="n"/>
      <c r="M791" s="64" t="n"/>
      <c r="N791" s="66" t="n"/>
      <c r="O791" s="84">
        <f>IF(A791="","",IF(OR(C791="",D791=""),"Enter both dates",IF(D791&lt;C791,"To is before From",IF(COUNTIFS($P$5:$P$2004,P791,$C$5:$C$2004,"&lt;="&amp;D791,$D$5:$D$2004,"&gt;="&amp;C791)&gt;1,"Overlaps another row","OK"))))</f>
        <v/>
      </c>
      <c r="P791">
        <f>IF(A791="","",A791&amp;"|"&amp;IF(B791="","Standard",B791))</f>
        <v/>
      </c>
      <c r="Q791">
        <f>IF(AND(A791&lt;&gt;"",A791='Firm Search'!$C$7),COUNTIF($A$5:A791,'Firm Search'!$C$7),"")</f>
        <v/>
      </c>
    </row>
    <row r="792">
      <c r="A792" s="64" t="n"/>
      <c r="B792" s="64" t="n"/>
      <c r="C792" s="66" t="n"/>
      <c r="D792" s="66" t="n"/>
      <c r="E792" s="67" t="n"/>
      <c r="F792" s="67" t="n"/>
      <c r="G792" s="67" t="n"/>
      <c r="H792" s="67" t="n"/>
      <c r="I792" s="67" t="n"/>
      <c r="J792" s="67" t="n"/>
      <c r="K792" s="67" t="n"/>
      <c r="L792" s="67" t="n"/>
      <c r="M792" s="64" t="n"/>
      <c r="N792" s="66" t="n"/>
      <c r="O792" s="84">
        <f>IF(A792="","",IF(OR(C792="",D792=""),"Enter both dates",IF(D792&lt;C792,"To is before From",IF(COUNTIFS($P$5:$P$2004,P792,$C$5:$C$2004,"&lt;="&amp;D792,$D$5:$D$2004,"&gt;="&amp;C792)&gt;1,"Overlaps another row","OK"))))</f>
        <v/>
      </c>
      <c r="P792">
        <f>IF(A792="","",A792&amp;"|"&amp;IF(B792="","Standard",B792))</f>
        <v/>
      </c>
      <c r="Q792">
        <f>IF(AND(A792&lt;&gt;"",A792='Firm Search'!$C$7),COUNTIF($A$5:A792,'Firm Search'!$C$7),"")</f>
        <v/>
      </c>
    </row>
    <row r="793">
      <c r="A793" s="64" t="n"/>
      <c r="B793" s="64" t="n"/>
      <c r="C793" s="66" t="n"/>
      <c r="D793" s="66" t="n"/>
      <c r="E793" s="67" t="n"/>
      <c r="F793" s="67" t="n"/>
      <c r="G793" s="67" t="n"/>
      <c r="H793" s="67" t="n"/>
      <c r="I793" s="67" t="n"/>
      <c r="J793" s="67" t="n"/>
      <c r="K793" s="67" t="n"/>
      <c r="L793" s="67" t="n"/>
      <c r="M793" s="64" t="n"/>
      <c r="N793" s="66" t="n"/>
      <c r="O793" s="84">
        <f>IF(A793="","",IF(OR(C793="",D793=""),"Enter both dates",IF(D793&lt;C793,"To is before From",IF(COUNTIFS($P$5:$P$2004,P793,$C$5:$C$2004,"&lt;="&amp;D793,$D$5:$D$2004,"&gt;="&amp;C793)&gt;1,"Overlaps another row","OK"))))</f>
        <v/>
      </c>
      <c r="P793">
        <f>IF(A793="","",A793&amp;"|"&amp;IF(B793="","Standard",B793))</f>
        <v/>
      </c>
      <c r="Q793">
        <f>IF(AND(A793&lt;&gt;"",A793='Firm Search'!$C$7),COUNTIF($A$5:A793,'Firm Search'!$C$7),"")</f>
        <v/>
      </c>
    </row>
    <row r="794">
      <c r="A794" s="64" t="n"/>
      <c r="B794" s="64" t="n"/>
      <c r="C794" s="66" t="n"/>
      <c r="D794" s="66" t="n"/>
      <c r="E794" s="67" t="n"/>
      <c r="F794" s="67" t="n"/>
      <c r="G794" s="67" t="n"/>
      <c r="H794" s="67" t="n"/>
      <c r="I794" s="67" t="n"/>
      <c r="J794" s="67" t="n"/>
      <c r="K794" s="67" t="n"/>
      <c r="L794" s="67" t="n"/>
      <c r="M794" s="64" t="n"/>
      <c r="N794" s="66" t="n"/>
      <c r="O794" s="84">
        <f>IF(A794="","",IF(OR(C794="",D794=""),"Enter both dates",IF(D794&lt;C794,"To is before From",IF(COUNTIFS($P$5:$P$2004,P794,$C$5:$C$2004,"&lt;="&amp;D794,$D$5:$D$2004,"&gt;="&amp;C794)&gt;1,"Overlaps another row","OK"))))</f>
        <v/>
      </c>
      <c r="P794">
        <f>IF(A794="","",A794&amp;"|"&amp;IF(B794="","Standard",B794))</f>
        <v/>
      </c>
      <c r="Q794">
        <f>IF(AND(A794&lt;&gt;"",A794='Firm Search'!$C$7),COUNTIF($A$5:A794,'Firm Search'!$C$7),"")</f>
        <v/>
      </c>
    </row>
    <row r="795">
      <c r="A795" s="64" t="n"/>
      <c r="B795" s="64" t="n"/>
      <c r="C795" s="66" t="n"/>
      <c r="D795" s="66" t="n"/>
      <c r="E795" s="67" t="n"/>
      <c r="F795" s="67" t="n"/>
      <c r="G795" s="67" t="n"/>
      <c r="H795" s="67" t="n"/>
      <c r="I795" s="67" t="n"/>
      <c r="J795" s="67" t="n"/>
      <c r="K795" s="67" t="n"/>
      <c r="L795" s="67" t="n"/>
      <c r="M795" s="64" t="n"/>
      <c r="N795" s="66" t="n"/>
      <c r="O795" s="84">
        <f>IF(A795="","",IF(OR(C795="",D795=""),"Enter both dates",IF(D795&lt;C795,"To is before From",IF(COUNTIFS($P$5:$P$2004,P795,$C$5:$C$2004,"&lt;="&amp;D795,$D$5:$D$2004,"&gt;="&amp;C795)&gt;1,"Overlaps another row","OK"))))</f>
        <v/>
      </c>
      <c r="P795">
        <f>IF(A795="","",A795&amp;"|"&amp;IF(B795="","Standard",B795))</f>
        <v/>
      </c>
      <c r="Q795">
        <f>IF(AND(A795&lt;&gt;"",A795='Firm Search'!$C$7),COUNTIF($A$5:A795,'Firm Search'!$C$7),"")</f>
        <v/>
      </c>
    </row>
    <row r="796">
      <c r="A796" s="64" t="n"/>
      <c r="B796" s="64" t="n"/>
      <c r="C796" s="66" t="n"/>
      <c r="D796" s="66" t="n"/>
      <c r="E796" s="67" t="n"/>
      <c r="F796" s="67" t="n"/>
      <c r="G796" s="67" t="n"/>
      <c r="H796" s="67" t="n"/>
      <c r="I796" s="67" t="n"/>
      <c r="J796" s="67" t="n"/>
      <c r="K796" s="67" t="n"/>
      <c r="L796" s="67" t="n"/>
      <c r="M796" s="64" t="n"/>
      <c r="N796" s="66" t="n"/>
      <c r="O796" s="84">
        <f>IF(A796="","",IF(OR(C796="",D796=""),"Enter both dates",IF(D796&lt;C796,"To is before From",IF(COUNTIFS($P$5:$P$2004,P796,$C$5:$C$2004,"&lt;="&amp;D796,$D$5:$D$2004,"&gt;="&amp;C796)&gt;1,"Overlaps another row","OK"))))</f>
        <v/>
      </c>
      <c r="P796">
        <f>IF(A796="","",A796&amp;"|"&amp;IF(B796="","Standard",B796))</f>
        <v/>
      </c>
      <c r="Q796">
        <f>IF(AND(A796&lt;&gt;"",A796='Firm Search'!$C$7),COUNTIF($A$5:A796,'Firm Search'!$C$7),"")</f>
        <v/>
      </c>
    </row>
    <row r="797">
      <c r="A797" s="64" t="n"/>
      <c r="B797" s="64" t="n"/>
      <c r="C797" s="66" t="n"/>
      <c r="D797" s="66" t="n"/>
      <c r="E797" s="67" t="n"/>
      <c r="F797" s="67" t="n"/>
      <c r="G797" s="67" t="n"/>
      <c r="H797" s="67" t="n"/>
      <c r="I797" s="67" t="n"/>
      <c r="J797" s="67" t="n"/>
      <c r="K797" s="67" t="n"/>
      <c r="L797" s="67" t="n"/>
      <c r="M797" s="64" t="n"/>
      <c r="N797" s="66" t="n"/>
      <c r="O797" s="84">
        <f>IF(A797="","",IF(OR(C797="",D797=""),"Enter both dates",IF(D797&lt;C797,"To is before From",IF(COUNTIFS($P$5:$P$2004,P797,$C$5:$C$2004,"&lt;="&amp;D797,$D$5:$D$2004,"&gt;="&amp;C797)&gt;1,"Overlaps another row","OK"))))</f>
        <v/>
      </c>
      <c r="P797">
        <f>IF(A797="","",A797&amp;"|"&amp;IF(B797="","Standard",B797))</f>
        <v/>
      </c>
      <c r="Q797">
        <f>IF(AND(A797&lt;&gt;"",A797='Firm Search'!$C$7),COUNTIF($A$5:A797,'Firm Search'!$C$7),"")</f>
        <v/>
      </c>
    </row>
    <row r="798">
      <c r="A798" s="64" t="n"/>
      <c r="B798" s="64" t="n"/>
      <c r="C798" s="66" t="n"/>
      <c r="D798" s="66" t="n"/>
      <c r="E798" s="67" t="n"/>
      <c r="F798" s="67" t="n"/>
      <c r="G798" s="67" t="n"/>
      <c r="H798" s="67" t="n"/>
      <c r="I798" s="67" t="n"/>
      <c r="J798" s="67" t="n"/>
      <c r="K798" s="67" t="n"/>
      <c r="L798" s="67" t="n"/>
      <c r="M798" s="64" t="n"/>
      <c r="N798" s="66" t="n"/>
      <c r="O798" s="84">
        <f>IF(A798="","",IF(OR(C798="",D798=""),"Enter both dates",IF(D798&lt;C798,"To is before From",IF(COUNTIFS($P$5:$P$2004,P798,$C$5:$C$2004,"&lt;="&amp;D798,$D$5:$D$2004,"&gt;="&amp;C798)&gt;1,"Overlaps another row","OK"))))</f>
        <v/>
      </c>
      <c r="P798">
        <f>IF(A798="","",A798&amp;"|"&amp;IF(B798="","Standard",B798))</f>
        <v/>
      </c>
      <c r="Q798">
        <f>IF(AND(A798&lt;&gt;"",A798='Firm Search'!$C$7),COUNTIF($A$5:A798,'Firm Search'!$C$7),"")</f>
        <v/>
      </c>
    </row>
    <row r="799">
      <c r="A799" s="64" t="n"/>
      <c r="B799" s="64" t="n"/>
      <c r="C799" s="66" t="n"/>
      <c r="D799" s="66" t="n"/>
      <c r="E799" s="67" t="n"/>
      <c r="F799" s="67" t="n"/>
      <c r="G799" s="67" t="n"/>
      <c r="H799" s="67" t="n"/>
      <c r="I799" s="67" t="n"/>
      <c r="J799" s="67" t="n"/>
      <c r="K799" s="67" t="n"/>
      <c r="L799" s="67" t="n"/>
      <c r="M799" s="64" t="n"/>
      <c r="N799" s="66" t="n"/>
      <c r="O799" s="84">
        <f>IF(A799="","",IF(OR(C799="",D799=""),"Enter both dates",IF(D799&lt;C799,"To is before From",IF(COUNTIFS($P$5:$P$2004,P799,$C$5:$C$2004,"&lt;="&amp;D799,$D$5:$D$2004,"&gt;="&amp;C799)&gt;1,"Overlaps another row","OK"))))</f>
        <v/>
      </c>
      <c r="P799">
        <f>IF(A799="","",A799&amp;"|"&amp;IF(B799="","Standard",B799))</f>
        <v/>
      </c>
      <c r="Q799">
        <f>IF(AND(A799&lt;&gt;"",A799='Firm Search'!$C$7),COUNTIF($A$5:A799,'Firm Search'!$C$7),"")</f>
        <v/>
      </c>
    </row>
    <row r="800">
      <c r="A800" s="64" t="n"/>
      <c r="B800" s="64" t="n"/>
      <c r="C800" s="66" t="n"/>
      <c r="D800" s="66" t="n"/>
      <c r="E800" s="67" t="n"/>
      <c r="F800" s="67" t="n"/>
      <c r="G800" s="67" t="n"/>
      <c r="H800" s="67" t="n"/>
      <c r="I800" s="67" t="n"/>
      <c r="J800" s="67" t="n"/>
      <c r="K800" s="67" t="n"/>
      <c r="L800" s="67" t="n"/>
      <c r="M800" s="64" t="n"/>
      <c r="N800" s="66" t="n"/>
      <c r="O800" s="84">
        <f>IF(A800="","",IF(OR(C800="",D800=""),"Enter both dates",IF(D800&lt;C800,"To is before From",IF(COUNTIFS($P$5:$P$2004,P800,$C$5:$C$2004,"&lt;="&amp;D800,$D$5:$D$2004,"&gt;="&amp;C800)&gt;1,"Overlaps another row","OK"))))</f>
        <v/>
      </c>
      <c r="P800">
        <f>IF(A800="","",A800&amp;"|"&amp;IF(B800="","Standard",B800))</f>
        <v/>
      </c>
      <c r="Q800">
        <f>IF(AND(A800&lt;&gt;"",A800='Firm Search'!$C$7),COUNTIF($A$5:A800,'Firm Search'!$C$7),"")</f>
        <v/>
      </c>
    </row>
    <row r="801">
      <c r="A801" s="64" t="n"/>
      <c r="B801" s="64" t="n"/>
      <c r="C801" s="66" t="n"/>
      <c r="D801" s="66" t="n"/>
      <c r="E801" s="67" t="n"/>
      <c r="F801" s="67" t="n"/>
      <c r="G801" s="67" t="n"/>
      <c r="H801" s="67" t="n"/>
      <c r="I801" s="67" t="n"/>
      <c r="J801" s="67" t="n"/>
      <c r="K801" s="67" t="n"/>
      <c r="L801" s="67" t="n"/>
      <c r="M801" s="64" t="n"/>
      <c r="N801" s="66" t="n"/>
      <c r="O801" s="84">
        <f>IF(A801="","",IF(OR(C801="",D801=""),"Enter both dates",IF(D801&lt;C801,"To is before From",IF(COUNTIFS($P$5:$P$2004,P801,$C$5:$C$2004,"&lt;="&amp;D801,$D$5:$D$2004,"&gt;="&amp;C801)&gt;1,"Overlaps another row","OK"))))</f>
        <v/>
      </c>
      <c r="P801">
        <f>IF(A801="","",A801&amp;"|"&amp;IF(B801="","Standard",B801))</f>
        <v/>
      </c>
      <c r="Q801">
        <f>IF(AND(A801&lt;&gt;"",A801='Firm Search'!$C$7),COUNTIF($A$5:A801,'Firm Search'!$C$7),"")</f>
        <v/>
      </c>
    </row>
    <row r="802">
      <c r="A802" s="64" t="n"/>
      <c r="B802" s="64" t="n"/>
      <c r="C802" s="66" t="n"/>
      <c r="D802" s="66" t="n"/>
      <c r="E802" s="67" t="n"/>
      <c r="F802" s="67" t="n"/>
      <c r="G802" s="67" t="n"/>
      <c r="H802" s="67" t="n"/>
      <c r="I802" s="67" t="n"/>
      <c r="J802" s="67" t="n"/>
      <c r="K802" s="67" t="n"/>
      <c r="L802" s="67" t="n"/>
      <c r="M802" s="64" t="n"/>
      <c r="N802" s="66" t="n"/>
      <c r="O802" s="84">
        <f>IF(A802="","",IF(OR(C802="",D802=""),"Enter both dates",IF(D802&lt;C802,"To is before From",IF(COUNTIFS($P$5:$P$2004,P802,$C$5:$C$2004,"&lt;="&amp;D802,$D$5:$D$2004,"&gt;="&amp;C802)&gt;1,"Overlaps another row","OK"))))</f>
        <v/>
      </c>
      <c r="P802">
        <f>IF(A802="","",A802&amp;"|"&amp;IF(B802="","Standard",B802))</f>
        <v/>
      </c>
      <c r="Q802">
        <f>IF(AND(A802&lt;&gt;"",A802='Firm Search'!$C$7),COUNTIF($A$5:A802,'Firm Search'!$C$7),"")</f>
        <v/>
      </c>
    </row>
    <row r="803">
      <c r="A803" s="64" t="n"/>
      <c r="B803" s="64" t="n"/>
      <c r="C803" s="66" t="n"/>
      <c r="D803" s="66" t="n"/>
      <c r="E803" s="67" t="n"/>
      <c r="F803" s="67" t="n"/>
      <c r="G803" s="67" t="n"/>
      <c r="H803" s="67" t="n"/>
      <c r="I803" s="67" t="n"/>
      <c r="J803" s="67" t="n"/>
      <c r="K803" s="67" t="n"/>
      <c r="L803" s="67" t="n"/>
      <c r="M803" s="64" t="n"/>
      <c r="N803" s="66" t="n"/>
      <c r="O803" s="84">
        <f>IF(A803="","",IF(OR(C803="",D803=""),"Enter both dates",IF(D803&lt;C803,"To is before From",IF(COUNTIFS($P$5:$P$2004,P803,$C$5:$C$2004,"&lt;="&amp;D803,$D$5:$D$2004,"&gt;="&amp;C803)&gt;1,"Overlaps another row","OK"))))</f>
        <v/>
      </c>
      <c r="P803">
        <f>IF(A803="","",A803&amp;"|"&amp;IF(B803="","Standard",B803))</f>
        <v/>
      </c>
      <c r="Q803">
        <f>IF(AND(A803&lt;&gt;"",A803='Firm Search'!$C$7),COUNTIF($A$5:A803,'Firm Search'!$C$7),"")</f>
        <v/>
      </c>
    </row>
    <row r="804">
      <c r="A804" s="64" t="n"/>
      <c r="B804" s="64" t="n"/>
      <c r="C804" s="66" t="n"/>
      <c r="D804" s="66" t="n"/>
      <c r="E804" s="67" t="n"/>
      <c r="F804" s="67" t="n"/>
      <c r="G804" s="67" t="n"/>
      <c r="H804" s="67" t="n"/>
      <c r="I804" s="67" t="n"/>
      <c r="J804" s="67" t="n"/>
      <c r="K804" s="67" t="n"/>
      <c r="L804" s="67" t="n"/>
      <c r="M804" s="64" t="n"/>
      <c r="N804" s="66" t="n"/>
      <c r="O804" s="84">
        <f>IF(A804="","",IF(OR(C804="",D804=""),"Enter both dates",IF(D804&lt;C804,"To is before From",IF(COUNTIFS($P$5:$P$2004,P804,$C$5:$C$2004,"&lt;="&amp;D804,$D$5:$D$2004,"&gt;="&amp;C804)&gt;1,"Overlaps another row","OK"))))</f>
        <v/>
      </c>
      <c r="P804">
        <f>IF(A804="","",A804&amp;"|"&amp;IF(B804="","Standard",B804))</f>
        <v/>
      </c>
      <c r="Q804">
        <f>IF(AND(A804&lt;&gt;"",A804='Firm Search'!$C$7),COUNTIF($A$5:A804,'Firm Search'!$C$7),"")</f>
        <v/>
      </c>
    </row>
    <row r="805">
      <c r="A805" s="64" t="n"/>
      <c r="B805" s="64" t="n"/>
      <c r="C805" s="66" t="n"/>
      <c r="D805" s="66" t="n"/>
      <c r="E805" s="67" t="n"/>
      <c r="F805" s="67" t="n"/>
      <c r="G805" s="67" t="n"/>
      <c r="H805" s="67" t="n"/>
      <c r="I805" s="67" t="n"/>
      <c r="J805" s="67" t="n"/>
      <c r="K805" s="67" t="n"/>
      <c r="L805" s="67" t="n"/>
      <c r="M805" s="64" t="n"/>
      <c r="N805" s="66" t="n"/>
      <c r="O805" s="84">
        <f>IF(A805="","",IF(OR(C805="",D805=""),"Enter both dates",IF(D805&lt;C805,"To is before From",IF(COUNTIFS($P$5:$P$2004,P805,$C$5:$C$2004,"&lt;="&amp;D805,$D$5:$D$2004,"&gt;="&amp;C805)&gt;1,"Overlaps another row","OK"))))</f>
        <v/>
      </c>
      <c r="P805">
        <f>IF(A805="","",A805&amp;"|"&amp;IF(B805="","Standard",B805))</f>
        <v/>
      </c>
      <c r="Q805">
        <f>IF(AND(A805&lt;&gt;"",A805='Firm Search'!$C$7),COUNTIF($A$5:A805,'Firm Search'!$C$7),"")</f>
        <v/>
      </c>
    </row>
    <row r="806">
      <c r="A806" s="64" t="n"/>
      <c r="B806" s="64" t="n"/>
      <c r="C806" s="66" t="n"/>
      <c r="D806" s="66" t="n"/>
      <c r="E806" s="67" t="n"/>
      <c r="F806" s="67" t="n"/>
      <c r="G806" s="67" t="n"/>
      <c r="H806" s="67" t="n"/>
      <c r="I806" s="67" t="n"/>
      <c r="J806" s="67" t="n"/>
      <c r="K806" s="67" t="n"/>
      <c r="L806" s="67" t="n"/>
      <c r="M806" s="64" t="n"/>
      <c r="N806" s="66" t="n"/>
      <c r="O806" s="84">
        <f>IF(A806="","",IF(OR(C806="",D806=""),"Enter both dates",IF(D806&lt;C806,"To is before From",IF(COUNTIFS($P$5:$P$2004,P806,$C$5:$C$2004,"&lt;="&amp;D806,$D$5:$D$2004,"&gt;="&amp;C806)&gt;1,"Overlaps another row","OK"))))</f>
        <v/>
      </c>
      <c r="P806">
        <f>IF(A806="","",A806&amp;"|"&amp;IF(B806="","Standard",B806))</f>
        <v/>
      </c>
      <c r="Q806">
        <f>IF(AND(A806&lt;&gt;"",A806='Firm Search'!$C$7),COUNTIF($A$5:A806,'Firm Search'!$C$7),"")</f>
        <v/>
      </c>
    </row>
    <row r="807">
      <c r="A807" s="64" t="n"/>
      <c r="B807" s="64" t="n"/>
      <c r="C807" s="66" t="n"/>
      <c r="D807" s="66" t="n"/>
      <c r="E807" s="67" t="n"/>
      <c r="F807" s="67" t="n"/>
      <c r="G807" s="67" t="n"/>
      <c r="H807" s="67" t="n"/>
      <c r="I807" s="67" t="n"/>
      <c r="J807" s="67" t="n"/>
      <c r="K807" s="67" t="n"/>
      <c r="L807" s="67" t="n"/>
      <c r="M807" s="64" t="n"/>
      <c r="N807" s="66" t="n"/>
      <c r="O807" s="84">
        <f>IF(A807="","",IF(OR(C807="",D807=""),"Enter both dates",IF(D807&lt;C807,"To is before From",IF(COUNTIFS($P$5:$P$2004,P807,$C$5:$C$2004,"&lt;="&amp;D807,$D$5:$D$2004,"&gt;="&amp;C807)&gt;1,"Overlaps another row","OK"))))</f>
        <v/>
      </c>
      <c r="P807">
        <f>IF(A807="","",A807&amp;"|"&amp;IF(B807="","Standard",B807))</f>
        <v/>
      </c>
      <c r="Q807">
        <f>IF(AND(A807&lt;&gt;"",A807='Firm Search'!$C$7),COUNTIF($A$5:A807,'Firm Search'!$C$7),"")</f>
        <v/>
      </c>
    </row>
    <row r="808">
      <c r="A808" s="64" t="n"/>
      <c r="B808" s="64" t="n"/>
      <c r="C808" s="66" t="n"/>
      <c r="D808" s="66" t="n"/>
      <c r="E808" s="67" t="n"/>
      <c r="F808" s="67" t="n"/>
      <c r="G808" s="67" t="n"/>
      <c r="H808" s="67" t="n"/>
      <c r="I808" s="67" t="n"/>
      <c r="J808" s="67" t="n"/>
      <c r="K808" s="67" t="n"/>
      <c r="L808" s="67" t="n"/>
      <c r="M808" s="64" t="n"/>
      <c r="N808" s="66" t="n"/>
      <c r="O808" s="84">
        <f>IF(A808="","",IF(OR(C808="",D808=""),"Enter both dates",IF(D808&lt;C808,"To is before From",IF(COUNTIFS($P$5:$P$2004,P808,$C$5:$C$2004,"&lt;="&amp;D808,$D$5:$D$2004,"&gt;="&amp;C808)&gt;1,"Overlaps another row","OK"))))</f>
        <v/>
      </c>
      <c r="P808">
        <f>IF(A808="","",A808&amp;"|"&amp;IF(B808="","Standard",B808))</f>
        <v/>
      </c>
      <c r="Q808">
        <f>IF(AND(A808&lt;&gt;"",A808='Firm Search'!$C$7),COUNTIF($A$5:A808,'Firm Search'!$C$7),"")</f>
        <v/>
      </c>
    </row>
    <row r="809">
      <c r="A809" s="64" t="n"/>
      <c r="B809" s="64" t="n"/>
      <c r="C809" s="66" t="n"/>
      <c r="D809" s="66" t="n"/>
      <c r="E809" s="67" t="n"/>
      <c r="F809" s="67" t="n"/>
      <c r="G809" s="67" t="n"/>
      <c r="H809" s="67" t="n"/>
      <c r="I809" s="67" t="n"/>
      <c r="J809" s="67" t="n"/>
      <c r="K809" s="67" t="n"/>
      <c r="L809" s="67" t="n"/>
      <c r="M809" s="64" t="n"/>
      <c r="N809" s="66" t="n"/>
      <c r="O809" s="84">
        <f>IF(A809="","",IF(OR(C809="",D809=""),"Enter both dates",IF(D809&lt;C809,"To is before From",IF(COUNTIFS($P$5:$P$2004,P809,$C$5:$C$2004,"&lt;="&amp;D809,$D$5:$D$2004,"&gt;="&amp;C809)&gt;1,"Overlaps another row","OK"))))</f>
        <v/>
      </c>
      <c r="P809">
        <f>IF(A809="","",A809&amp;"|"&amp;IF(B809="","Standard",B809))</f>
        <v/>
      </c>
      <c r="Q809">
        <f>IF(AND(A809&lt;&gt;"",A809='Firm Search'!$C$7),COUNTIF($A$5:A809,'Firm Search'!$C$7),"")</f>
        <v/>
      </c>
    </row>
    <row r="810">
      <c r="A810" s="64" t="n"/>
      <c r="B810" s="64" t="n"/>
      <c r="C810" s="66" t="n"/>
      <c r="D810" s="66" t="n"/>
      <c r="E810" s="67" t="n"/>
      <c r="F810" s="67" t="n"/>
      <c r="G810" s="67" t="n"/>
      <c r="H810" s="67" t="n"/>
      <c r="I810" s="67" t="n"/>
      <c r="J810" s="67" t="n"/>
      <c r="K810" s="67" t="n"/>
      <c r="L810" s="67" t="n"/>
      <c r="M810" s="64" t="n"/>
      <c r="N810" s="66" t="n"/>
      <c r="O810" s="84">
        <f>IF(A810="","",IF(OR(C810="",D810=""),"Enter both dates",IF(D810&lt;C810,"To is before From",IF(COUNTIFS($P$5:$P$2004,P810,$C$5:$C$2004,"&lt;="&amp;D810,$D$5:$D$2004,"&gt;="&amp;C810)&gt;1,"Overlaps another row","OK"))))</f>
        <v/>
      </c>
      <c r="P810">
        <f>IF(A810="","",A810&amp;"|"&amp;IF(B810="","Standard",B810))</f>
        <v/>
      </c>
      <c r="Q810">
        <f>IF(AND(A810&lt;&gt;"",A810='Firm Search'!$C$7),COUNTIF($A$5:A810,'Firm Search'!$C$7),"")</f>
        <v/>
      </c>
    </row>
    <row r="811">
      <c r="A811" s="64" t="n"/>
      <c r="B811" s="64" t="n"/>
      <c r="C811" s="66" t="n"/>
      <c r="D811" s="66" t="n"/>
      <c r="E811" s="67" t="n"/>
      <c r="F811" s="67" t="n"/>
      <c r="G811" s="67" t="n"/>
      <c r="H811" s="67" t="n"/>
      <c r="I811" s="67" t="n"/>
      <c r="J811" s="67" t="n"/>
      <c r="K811" s="67" t="n"/>
      <c r="L811" s="67" t="n"/>
      <c r="M811" s="64" t="n"/>
      <c r="N811" s="66" t="n"/>
      <c r="O811" s="84">
        <f>IF(A811="","",IF(OR(C811="",D811=""),"Enter both dates",IF(D811&lt;C811,"To is before From",IF(COUNTIFS($P$5:$P$2004,P811,$C$5:$C$2004,"&lt;="&amp;D811,$D$5:$D$2004,"&gt;="&amp;C811)&gt;1,"Overlaps another row","OK"))))</f>
        <v/>
      </c>
      <c r="P811">
        <f>IF(A811="","",A811&amp;"|"&amp;IF(B811="","Standard",B811))</f>
        <v/>
      </c>
      <c r="Q811">
        <f>IF(AND(A811&lt;&gt;"",A811='Firm Search'!$C$7),COUNTIF($A$5:A811,'Firm Search'!$C$7),"")</f>
        <v/>
      </c>
    </row>
    <row r="812">
      <c r="A812" s="64" t="n"/>
      <c r="B812" s="64" t="n"/>
      <c r="C812" s="66" t="n"/>
      <c r="D812" s="66" t="n"/>
      <c r="E812" s="67" t="n"/>
      <c r="F812" s="67" t="n"/>
      <c r="G812" s="67" t="n"/>
      <c r="H812" s="67" t="n"/>
      <c r="I812" s="67" t="n"/>
      <c r="J812" s="67" t="n"/>
      <c r="K812" s="67" t="n"/>
      <c r="L812" s="67" t="n"/>
      <c r="M812" s="64" t="n"/>
      <c r="N812" s="66" t="n"/>
      <c r="O812" s="84">
        <f>IF(A812="","",IF(OR(C812="",D812=""),"Enter both dates",IF(D812&lt;C812,"To is before From",IF(COUNTIFS($P$5:$P$2004,P812,$C$5:$C$2004,"&lt;="&amp;D812,$D$5:$D$2004,"&gt;="&amp;C812)&gt;1,"Overlaps another row","OK"))))</f>
        <v/>
      </c>
      <c r="P812">
        <f>IF(A812="","",A812&amp;"|"&amp;IF(B812="","Standard",B812))</f>
        <v/>
      </c>
      <c r="Q812">
        <f>IF(AND(A812&lt;&gt;"",A812='Firm Search'!$C$7),COUNTIF($A$5:A812,'Firm Search'!$C$7),"")</f>
        <v/>
      </c>
    </row>
    <row r="813">
      <c r="A813" s="64" t="n"/>
      <c r="B813" s="64" t="n"/>
      <c r="C813" s="66" t="n"/>
      <c r="D813" s="66" t="n"/>
      <c r="E813" s="67" t="n"/>
      <c r="F813" s="67" t="n"/>
      <c r="G813" s="67" t="n"/>
      <c r="H813" s="67" t="n"/>
      <c r="I813" s="67" t="n"/>
      <c r="J813" s="67" t="n"/>
      <c r="K813" s="67" t="n"/>
      <c r="L813" s="67" t="n"/>
      <c r="M813" s="64" t="n"/>
      <c r="N813" s="66" t="n"/>
      <c r="O813" s="84">
        <f>IF(A813="","",IF(OR(C813="",D813=""),"Enter both dates",IF(D813&lt;C813,"To is before From",IF(COUNTIFS($P$5:$P$2004,P813,$C$5:$C$2004,"&lt;="&amp;D813,$D$5:$D$2004,"&gt;="&amp;C813)&gt;1,"Overlaps another row","OK"))))</f>
        <v/>
      </c>
      <c r="P813">
        <f>IF(A813="","",A813&amp;"|"&amp;IF(B813="","Standard",B813))</f>
        <v/>
      </c>
      <c r="Q813">
        <f>IF(AND(A813&lt;&gt;"",A813='Firm Search'!$C$7),COUNTIF($A$5:A813,'Firm Search'!$C$7),"")</f>
        <v/>
      </c>
    </row>
    <row r="814">
      <c r="A814" s="64" t="n"/>
      <c r="B814" s="64" t="n"/>
      <c r="C814" s="66" t="n"/>
      <c r="D814" s="66" t="n"/>
      <c r="E814" s="67" t="n"/>
      <c r="F814" s="67" t="n"/>
      <c r="G814" s="67" t="n"/>
      <c r="H814" s="67" t="n"/>
      <c r="I814" s="67" t="n"/>
      <c r="J814" s="67" t="n"/>
      <c r="K814" s="67" t="n"/>
      <c r="L814" s="67" t="n"/>
      <c r="M814" s="64" t="n"/>
      <c r="N814" s="66" t="n"/>
      <c r="O814" s="84">
        <f>IF(A814="","",IF(OR(C814="",D814=""),"Enter both dates",IF(D814&lt;C814,"To is before From",IF(COUNTIFS($P$5:$P$2004,P814,$C$5:$C$2004,"&lt;="&amp;D814,$D$5:$D$2004,"&gt;="&amp;C814)&gt;1,"Overlaps another row","OK"))))</f>
        <v/>
      </c>
      <c r="P814">
        <f>IF(A814="","",A814&amp;"|"&amp;IF(B814="","Standard",B814))</f>
        <v/>
      </c>
      <c r="Q814">
        <f>IF(AND(A814&lt;&gt;"",A814='Firm Search'!$C$7),COUNTIF($A$5:A814,'Firm Search'!$C$7),"")</f>
        <v/>
      </c>
    </row>
    <row r="815">
      <c r="A815" s="64" t="n"/>
      <c r="B815" s="64" t="n"/>
      <c r="C815" s="66" t="n"/>
      <c r="D815" s="66" t="n"/>
      <c r="E815" s="67" t="n"/>
      <c r="F815" s="67" t="n"/>
      <c r="G815" s="67" t="n"/>
      <c r="H815" s="67" t="n"/>
      <c r="I815" s="67" t="n"/>
      <c r="J815" s="67" t="n"/>
      <c r="K815" s="67" t="n"/>
      <c r="L815" s="67" t="n"/>
      <c r="M815" s="64" t="n"/>
      <c r="N815" s="66" t="n"/>
      <c r="O815" s="84">
        <f>IF(A815="","",IF(OR(C815="",D815=""),"Enter both dates",IF(D815&lt;C815,"To is before From",IF(COUNTIFS($P$5:$P$2004,P815,$C$5:$C$2004,"&lt;="&amp;D815,$D$5:$D$2004,"&gt;="&amp;C815)&gt;1,"Overlaps another row","OK"))))</f>
        <v/>
      </c>
      <c r="P815">
        <f>IF(A815="","",A815&amp;"|"&amp;IF(B815="","Standard",B815))</f>
        <v/>
      </c>
      <c r="Q815">
        <f>IF(AND(A815&lt;&gt;"",A815='Firm Search'!$C$7),COUNTIF($A$5:A815,'Firm Search'!$C$7),"")</f>
        <v/>
      </c>
    </row>
    <row r="816">
      <c r="A816" s="64" t="n"/>
      <c r="B816" s="64" t="n"/>
      <c r="C816" s="66" t="n"/>
      <c r="D816" s="66" t="n"/>
      <c r="E816" s="67" t="n"/>
      <c r="F816" s="67" t="n"/>
      <c r="G816" s="67" t="n"/>
      <c r="H816" s="67" t="n"/>
      <c r="I816" s="67" t="n"/>
      <c r="J816" s="67" t="n"/>
      <c r="K816" s="67" t="n"/>
      <c r="L816" s="67" t="n"/>
      <c r="M816" s="64" t="n"/>
      <c r="N816" s="66" t="n"/>
      <c r="O816" s="84">
        <f>IF(A816="","",IF(OR(C816="",D816=""),"Enter both dates",IF(D816&lt;C816,"To is before From",IF(COUNTIFS($P$5:$P$2004,P816,$C$5:$C$2004,"&lt;="&amp;D816,$D$5:$D$2004,"&gt;="&amp;C816)&gt;1,"Overlaps another row","OK"))))</f>
        <v/>
      </c>
      <c r="P816">
        <f>IF(A816="","",A816&amp;"|"&amp;IF(B816="","Standard",B816))</f>
        <v/>
      </c>
      <c r="Q816">
        <f>IF(AND(A816&lt;&gt;"",A816='Firm Search'!$C$7),COUNTIF($A$5:A816,'Firm Search'!$C$7),"")</f>
        <v/>
      </c>
    </row>
    <row r="817">
      <c r="A817" s="64" t="n"/>
      <c r="B817" s="64" t="n"/>
      <c r="C817" s="66" t="n"/>
      <c r="D817" s="66" t="n"/>
      <c r="E817" s="67" t="n"/>
      <c r="F817" s="67" t="n"/>
      <c r="G817" s="67" t="n"/>
      <c r="H817" s="67" t="n"/>
      <c r="I817" s="67" t="n"/>
      <c r="J817" s="67" t="n"/>
      <c r="K817" s="67" t="n"/>
      <c r="L817" s="67" t="n"/>
      <c r="M817" s="64" t="n"/>
      <c r="N817" s="66" t="n"/>
      <c r="O817" s="84">
        <f>IF(A817="","",IF(OR(C817="",D817=""),"Enter both dates",IF(D817&lt;C817,"To is before From",IF(COUNTIFS($P$5:$P$2004,P817,$C$5:$C$2004,"&lt;="&amp;D817,$D$5:$D$2004,"&gt;="&amp;C817)&gt;1,"Overlaps another row","OK"))))</f>
        <v/>
      </c>
      <c r="P817">
        <f>IF(A817="","",A817&amp;"|"&amp;IF(B817="","Standard",B817))</f>
        <v/>
      </c>
      <c r="Q817">
        <f>IF(AND(A817&lt;&gt;"",A817='Firm Search'!$C$7),COUNTIF($A$5:A817,'Firm Search'!$C$7),"")</f>
        <v/>
      </c>
    </row>
    <row r="818">
      <c r="A818" s="64" t="n"/>
      <c r="B818" s="64" t="n"/>
      <c r="C818" s="66" t="n"/>
      <c r="D818" s="66" t="n"/>
      <c r="E818" s="67" t="n"/>
      <c r="F818" s="67" t="n"/>
      <c r="G818" s="67" t="n"/>
      <c r="H818" s="67" t="n"/>
      <c r="I818" s="67" t="n"/>
      <c r="J818" s="67" t="n"/>
      <c r="K818" s="67" t="n"/>
      <c r="L818" s="67" t="n"/>
      <c r="M818" s="64" t="n"/>
      <c r="N818" s="66" t="n"/>
      <c r="O818" s="84">
        <f>IF(A818="","",IF(OR(C818="",D818=""),"Enter both dates",IF(D818&lt;C818,"To is before From",IF(COUNTIFS($P$5:$P$2004,P818,$C$5:$C$2004,"&lt;="&amp;D818,$D$5:$D$2004,"&gt;="&amp;C818)&gt;1,"Overlaps another row","OK"))))</f>
        <v/>
      </c>
      <c r="P818">
        <f>IF(A818="","",A818&amp;"|"&amp;IF(B818="","Standard",B818))</f>
        <v/>
      </c>
      <c r="Q818">
        <f>IF(AND(A818&lt;&gt;"",A818='Firm Search'!$C$7),COUNTIF($A$5:A818,'Firm Search'!$C$7),"")</f>
        <v/>
      </c>
    </row>
    <row r="819">
      <c r="A819" s="64" t="n"/>
      <c r="B819" s="64" t="n"/>
      <c r="C819" s="66" t="n"/>
      <c r="D819" s="66" t="n"/>
      <c r="E819" s="67" t="n"/>
      <c r="F819" s="67" t="n"/>
      <c r="G819" s="67" t="n"/>
      <c r="H819" s="67" t="n"/>
      <c r="I819" s="67" t="n"/>
      <c r="J819" s="67" t="n"/>
      <c r="K819" s="67" t="n"/>
      <c r="L819" s="67" t="n"/>
      <c r="M819" s="64" t="n"/>
      <c r="N819" s="66" t="n"/>
      <c r="O819" s="84">
        <f>IF(A819="","",IF(OR(C819="",D819=""),"Enter both dates",IF(D819&lt;C819,"To is before From",IF(COUNTIFS($P$5:$P$2004,P819,$C$5:$C$2004,"&lt;="&amp;D819,$D$5:$D$2004,"&gt;="&amp;C819)&gt;1,"Overlaps another row","OK"))))</f>
        <v/>
      </c>
      <c r="P819">
        <f>IF(A819="","",A819&amp;"|"&amp;IF(B819="","Standard",B819))</f>
        <v/>
      </c>
      <c r="Q819">
        <f>IF(AND(A819&lt;&gt;"",A819='Firm Search'!$C$7),COUNTIF($A$5:A819,'Firm Search'!$C$7),"")</f>
        <v/>
      </c>
    </row>
    <row r="820">
      <c r="A820" s="64" t="n"/>
      <c r="B820" s="64" t="n"/>
      <c r="C820" s="66" t="n"/>
      <c r="D820" s="66" t="n"/>
      <c r="E820" s="67" t="n"/>
      <c r="F820" s="67" t="n"/>
      <c r="G820" s="67" t="n"/>
      <c r="H820" s="67" t="n"/>
      <c r="I820" s="67" t="n"/>
      <c r="J820" s="67" t="n"/>
      <c r="K820" s="67" t="n"/>
      <c r="L820" s="67" t="n"/>
      <c r="M820" s="64" t="n"/>
      <c r="N820" s="66" t="n"/>
      <c r="O820" s="84">
        <f>IF(A820="","",IF(OR(C820="",D820=""),"Enter both dates",IF(D820&lt;C820,"To is before From",IF(COUNTIFS($P$5:$P$2004,P820,$C$5:$C$2004,"&lt;="&amp;D820,$D$5:$D$2004,"&gt;="&amp;C820)&gt;1,"Overlaps another row","OK"))))</f>
        <v/>
      </c>
      <c r="P820">
        <f>IF(A820="","",A820&amp;"|"&amp;IF(B820="","Standard",B820))</f>
        <v/>
      </c>
      <c r="Q820">
        <f>IF(AND(A820&lt;&gt;"",A820='Firm Search'!$C$7),COUNTIF($A$5:A820,'Firm Search'!$C$7),"")</f>
        <v/>
      </c>
    </row>
    <row r="821">
      <c r="A821" s="64" t="n"/>
      <c r="B821" s="64" t="n"/>
      <c r="C821" s="66" t="n"/>
      <c r="D821" s="66" t="n"/>
      <c r="E821" s="67" t="n"/>
      <c r="F821" s="67" t="n"/>
      <c r="G821" s="67" t="n"/>
      <c r="H821" s="67" t="n"/>
      <c r="I821" s="67" t="n"/>
      <c r="J821" s="67" t="n"/>
      <c r="K821" s="67" t="n"/>
      <c r="L821" s="67" t="n"/>
      <c r="M821" s="64" t="n"/>
      <c r="N821" s="66" t="n"/>
      <c r="O821" s="84">
        <f>IF(A821="","",IF(OR(C821="",D821=""),"Enter both dates",IF(D821&lt;C821,"To is before From",IF(COUNTIFS($P$5:$P$2004,P821,$C$5:$C$2004,"&lt;="&amp;D821,$D$5:$D$2004,"&gt;="&amp;C821)&gt;1,"Overlaps another row","OK"))))</f>
        <v/>
      </c>
      <c r="P821">
        <f>IF(A821="","",A821&amp;"|"&amp;IF(B821="","Standard",B821))</f>
        <v/>
      </c>
      <c r="Q821">
        <f>IF(AND(A821&lt;&gt;"",A821='Firm Search'!$C$7),COUNTIF($A$5:A821,'Firm Search'!$C$7),"")</f>
        <v/>
      </c>
    </row>
    <row r="822">
      <c r="A822" s="64" t="n"/>
      <c r="B822" s="64" t="n"/>
      <c r="C822" s="66" t="n"/>
      <c r="D822" s="66" t="n"/>
      <c r="E822" s="67" t="n"/>
      <c r="F822" s="67" t="n"/>
      <c r="G822" s="67" t="n"/>
      <c r="H822" s="67" t="n"/>
      <c r="I822" s="67" t="n"/>
      <c r="J822" s="67" t="n"/>
      <c r="K822" s="67" t="n"/>
      <c r="L822" s="67" t="n"/>
      <c r="M822" s="64" t="n"/>
      <c r="N822" s="66" t="n"/>
      <c r="O822" s="84">
        <f>IF(A822="","",IF(OR(C822="",D822=""),"Enter both dates",IF(D822&lt;C822,"To is before From",IF(COUNTIFS($P$5:$P$2004,P822,$C$5:$C$2004,"&lt;="&amp;D822,$D$5:$D$2004,"&gt;="&amp;C822)&gt;1,"Overlaps another row","OK"))))</f>
        <v/>
      </c>
      <c r="P822">
        <f>IF(A822="","",A822&amp;"|"&amp;IF(B822="","Standard",B822))</f>
        <v/>
      </c>
      <c r="Q822">
        <f>IF(AND(A822&lt;&gt;"",A822='Firm Search'!$C$7),COUNTIF($A$5:A822,'Firm Search'!$C$7),"")</f>
        <v/>
      </c>
    </row>
    <row r="823">
      <c r="A823" s="64" t="n"/>
      <c r="B823" s="64" t="n"/>
      <c r="C823" s="66" t="n"/>
      <c r="D823" s="66" t="n"/>
      <c r="E823" s="67" t="n"/>
      <c r="F823" s="67" t="n"/>
      <c r="G823" s="67" t="n"/>
      <c r="H823" s="67" t="n"/>
      <c r="I823" s="67" t="n"/>
      <c r="J823" s="67" t="n"/>
      <c r="K823" s="67" t="n"/>
      <c r="L823" s="67" t="n"/>
      <c r="M823" s="64" t="n"/>
      <c r="N823" s="66" t="n"/>
      <c r="O823" s="84">
        <f>IF(A823="","",IF(OR(C823="",D823=""),"Enter both dates",IF(D823&lt;C823,"To is before From",IF(COUNTIFS($P$5:$P$2004,P823,$C$5:$C$2004,"&lt;="&amp;D823,$D$5:$D$2004,"&gt;="&amp;C823)&gt;1,"Overlaps another row","OK"))))</f>
        <v/>
      </c>
      <c r="P823">
        <f>IF(A823="","",A823&amp;"|"&amp;IF(B823="","Standard",B823))</f>
        <v/>
      </c>
      <c r="Q823">
        <f>IF(AND(A823&lt;&gt;"",A823='Firm Search'!$C$7),COUNTIF($A$5:A823,'Firm Search'!$C$7),"")</f>
        <v/>
      </c>
    </row>
    <row r="824">
      <c r="A824" s="64" t="n"/>
      <c r="B824" s="64" t="n"/>
      <c r="C824" s="66" t="n"/>
      <c r="D824" s="66" t="n"/>
      <c r="E824" s="67" t="n"/>
      <c r="F824" s="67" t="n"/>
      <c r="G824" s="67" t="n"/>
      <c r="H824" s="67" t="n"/>
      <c r="I824" s="67" t="n"/>
      <c r="J824" s="67" t="n"/>
      <c r="K824" s="67" t="n"/>
      <c r="L824" s="67" t="n"/>
      <c r="M824" s="64" t="n"/>
      <c r="N824" s="66" t="n"/>
      <c r="O824" s="84">
        <f>IF(A824="","",IF(OR(C824="",D824=""),"Enter both dates",IF(D824&lt;C824,"To is before From",IF(COUNTIFS($P$5:$P$2004,P824,$C$5:$C$2004,"&lt;="&amp;D824,$D$5:$D$2004,"&gt;="&amp;C824)&gt;1,"Overlaps another row","OK"))))</f>
        <v/>
      </c>
      <c r="P824">
        <f>IF(A824="","",A824&amp;"|"&amp;IF(B824="","Standard",B824))</f>
        <v/>
      </c>
      <c r="Q824">
        <f>IF(AND(A824&lt;&gt;"",A824='Firm Search'!$C$7),COUNTIF($A$5:A824,'Firm Search'!$C$7),"")</f>
        <v/>
      </c>
    </row>
    <row r="825">
      <c r="A825" s="64" t="n"/>
      <c r="B825" s="64" t="n"/>
      <c r="C825" s="66" t="n"/>
      <c r="D825" s="66" t="n"/>
      <c r="E825" s="67" t="n"/>
      <c r="F825" s="67" t="n"/>
      <c r="G825" s="67" t="n"/>
      <c r="H825" s="67" t="n"/>
      <c r="I825" s="67" t="n"/>
      <c r="J825" s="67" t="n"/>
      <c r="K825" s="67" t="n"/>
      <c r="L825" s="67" t="n"/>
      <c r="M825" s="64" t="n"/>
      <c r="N825" s="66" t="n"/>
      <c r="O825" s="84">
        <f>IF(A825="","",IF(OR(C825="",D825=""),"Enter both dates",IF(D825&lt;C825,"To is before From",IF(COUNTIFS($P$5:$P$2004,P825,$C$5:$C$2004,"&lt;="&amp;D825,$D$5:$D$2004,"&gt;="&amp;C825)&gt;1,"Overlaps another row","OK"))))</f>
        <v/>
      </c>
      <c r="P825">
        <f>IF(A825="","",A825&amp;"|"&amp;IF(B825="","Standard",B825))</f>
        <v/>
      </c>
      <c r="Q825">
        <f>IF(AND(A825&lt;&gt;"",A825='Firm Search'!$C$7),COUNTIF($A$5:A825,'Firm Search'!$C$7),"")</f>
        <v/>
      </c>
    </row>
    <row r="826">
      <c r="A826" s="64" t="n"/>
      <c r="B826" s="64" t="n"/>
      <c r="C826" s="66" t="n"/>
      <c r="D826" s="66" t="n"/>
      <c r="E826" s="67" t="n"/>
      <c r="F826" s="67" t="n"/>
      <c r="G826" s="67" t="n"/>
      <c r="H826" s="67" t="n"/>
      <c r="I826" s="67" t="n"/>
      <c r="J826" s="67" t="n"/>
      <c r="K826" s="67" t="n"/>
      <c r="L826" s="67" t="n"/>
      <c r="M826" s="64" t="n"/>
      <c r="N826" s="66" t="n"/>
      <c r="O826" s="84">
        <f>IF(A826="","",IF(OR(C826="",D826=""),"Enter both dates",IF(D826&lt;C826,"To is before From",IF(COUNTIFS($P$5:$P$2004,P826,$C$5:$C$2004,"&lt;="&amp;D826,$D$5:$D$2004,"&gt;="&amp;C826)&gt;1,"Overlaps another row","OK"))))</f>
        <v/>
      </c>
      <c r="P826">
        <f>IF(A826="","",A826&amp;"|"&amp;IF(B826="","Standard",B826))</f>
        <v/>
      </c>
      <c r="Q826">
        <f>IF(AND(A826&lt;&gt;"",A826='Firm Search'!$C$7),COUNTIF($A$5:A826,'Firm Search'!$C$7),"")</f>
        <v/>
      </c>
    </row>
    <row r="827">
      <c r="A827" s="64" t="n"/>
      <c r="B827" s="64" t="n"/>
      <c r="C827" s="66" t="n"/>
      <c r="D827" s="66" t="n"/>
      <c r="E827" s="67" t="n"/>
      <c r="F827" s="67" t="n"/>
      <c r="G827" s="67" t="n"/>
      <c r="H827" s="67" t="n"/>
      <c r="I827" s="67" t="n"/>
      <c r="J827" s="67" t="n"/>
      <c r="K827" s="67" t="n"/>
      <c r="L827" s="67" t="n"/>
      <c r="M827" s="64" t="n"/>
      <c r="N827" s="66" t="n"/>
      <c r="O827" s="84">
        <f>IF(A827="","",IF(OR(C827="",D827=""),"Enter both dates",IF(D827&lt;C827,"To is before From",IF(COUNTIFS($P$5:$P$2004,P827,$C$5:$C$2004,"&lt;="&amp;D827,$D$5:$D$2004,"&gt;="&amp;C827)&gt;1,"Overlaps another row","OK"))))</f>
        <v/>
      </c>
      <c r="P827">
        <f>IF(A827="","",A827&amp;"|"&amp;IF(B827="","Standard",B827))</f>
        <v/>
      </c>
      <c r="Q827">
        <f>IF(AND(A827&lt;&gt;"",A827='Firm Search'!$C$7),COUNTIF($A$5:A827,'Firm Search'!$C$7),"")</f>
        <v/>
      </c>
    </row>
    <row r="828">
      <c r="A828" s="64" t="n"/>
      <c r="B828" s="64" t="n"/>
      <c r="C828" s="66" t="n"/>
      <c r="D828" s="66" t="n"/>
      <c r="E828" s="67" t="n"/>
      <c r="F828" s="67" t="n"/>
      <c r="G828" s="67" t="n"/>
      <c r="H828" s="67" t="n"/>
      <c r="I828" s="67" t="n"/>
      <c r="J828" s="67" t="n"/>
      <c r="K828" s="67" t="n"/>
      <c r="L828" s="67" t="n"/>
      <c r="M828" s="64" t="n"/>
      <c r="N828" s="66" t="n"/>
      <c r="O828" s="84">
        <f>IF(A828="","",IF(OR(C828="",D828=""),"Enter both dates",IF(D828&lt;C828,"To is before From",IF(COUNTIFS($P$5:$P$2004,P828,$C$5:$C$2004,"&lt;="&amp;D828,$D$5:$D$2004,"&gt;="&amp;C828)&gt;1,"Overlaps another row","OK"))))</f>
        <v/>
      </c>
      <c r="P828">
        <f>IF(A828="","",A828&amp;"|"&amp;IF(B828="","Standard",B828))</f>
        <v/>
      </c>
      <c r="Q828">
        <f>IF(AND(A828&lt;&gt;"",A828='Firm Search'!$C$7),COUNTIF($A$5:A828,'Firm Search'!$C$7),"")</f>
        <v/>
      </c>
    </row>
    <row r="829">
      <c r="A829" s="64" t="n"/>
      <c r="B829" s="64" t="n"/>
      <c r="C829" s="66" t="n"/>
      <c r="D829" s="66" t="n"/>
      <c r="E829" s="67" t="n"/>
      <c r="F829" s="67" t="n"/>
      <c r="G829" s="67" t="n"/>
      <c r="H829" s="67" t="n"/>
      <c r="I829" s="67" t="n"/>
      <c r="J829" s="67" t="n"/>
      <c r="K829" s="67" t="n"/>
      <c r="L829" s="67" t="n"/>
      <c r="M829" s="64" t="n"/>
      <c r="N829" s="66" t="n"/>
      <c r="O829" s="84">
        <f>IF(A829="","",IF(OR(C829="",D829=""),"Enter both dates",IF(D829&lt;C829,"To is before From",IF(COUNTIFS($P$5:$P$2004,P829,$C$5:$C$2004,"&lt;="&amp;D829,$D$5:$D$2004,"&gt;="&amp;C829)&gt;1,"Overlaps another row","OK"))))</f>
        <v/>
      </c>
      <c r="P829">
        <f>IF(A829="","",A829&amp;"|"&amp;IF(B829="","Standard",B829))</f>
        <v/>
      </c>
      <c r="Q829">
        <f>IF(AND(A829&lt;&gt;"",A829='Firm Search'!$C$7),COUNTIF($A$5:A829,'Firm Search'!$C$7),"")</f>
        <v/>
      </c>
    </row>
    <row r="830">
      <c r="A830" s="64" t="n"/>
      <c r="B830" s="64" t="n"/>
      <c r="C830" s="66" t="n"/>
      <c r="D830" s="66" t="n"/>
      <c r="E830" s="67" t="n"/>
      <c r="F830" s="67" t="n"/>
      <c r="G830" s="67" t="n"/>
      <c r="H830" s="67" t="n"/>
      <c r="I830" s="67" t="n"/>
      <c r="J830" s="67" t="n"/>
      <c r="K830" s="67" t="n"/>
      <c r="L830" s="67" t="n"/>
      <c r="M830" s="64" t="n"/>
      <c r="N830" s="66" t="n"/>
      <c r="O830" s="84">
        <f>IF(A830="","",IF(OR(C830="",D830=""),"Enter both dates",IF(D830&lt;C830,"To is before From",IF(COUNTIFS($P$5:$P$2004,P830,$C$5:$C$2004,"&lt;="&amp;D830,$D$5:$D$2004,"&gt;="&amp;C830)&gt;1,"Overlaps another row","OK"))))</f>
        <v/>
      </c>
      <c r="P830">
        <f>IF(A830="","",A830&amp;"|"&amp;IF(B830="","Standard",B830))</f>
        <v/>
      </c>
      <c r="Q830">
        <f>IF(AND(A830&lt;&gt;"",A830='Firm Search'!$C$7),COUNTIF($A$5:A830,'Firm Search'!$C$7),"")</f>
        <v/>
      </c>
    </row>
    <row r="831">
      <c r="A831" s="64" t="n"/>
      <c r="B831" s="64" t="n"/>
      <c r="C831" s="66" t="n"/>
      <c r="D831" s="66" t="n"/>
      <c r="E831" s="67" t="n"/>
      <c r="F831" s="67" t="n"/>
      <c r="G831" s="67" t="n"/>
      <c r="H831" s="67" t="n"/>
      <c r="I831" s="67" t="n"/>
      <c r="J831" s="67" t="n"/>
      <c r="K831" s="67" t="n"/>
      <c r="L831" s="67" t="n"/>
      <c r="M831" s="64" t="n"/>
      <c r="N831" s="66" t="n"/>
      <c r="O831" s="84">
        <f>IF(A831="","",IF(OR(C831="",D831=""),"Enter both dates",IF(D831&lt;C831,"To is before From",IF(COUNTIFS($P$5:$P$2004,P831,$C$5:$C$2004,"&lt;="&amp;D831,$D$5:$D$2004,"&gt;="&amp;C831)&gt;1,"Overlaps another row","OK"))))</f>
        <v/>
      </c>
      <c r="P831">
        <f>IF(A831="","",A831&amp;"|"&amp;IF(B831="","Standard",B831))</f>
        <v/>
      </c>
      <c r="Q831">
        <f>IF(AND(A831&lt;&gt;"",A831='Firm Search'!$C$7),COUNTIF($A$5:A831,'Firm Search'!$C$7),"")</f>
        <v/>
      </c>
    </row>
    <row r="832">
      <c r="A832" s="64" t="n"/>
      <c r="B832" s="64" t="n"/>
      <c r="C832" s="66" t="n"/>
      <c r="D832" s="66" t="n"/>
      <c r="E832" s="67" t="n"/>
      <c r="F832" s="67" t="n"/>
      <c r="G832" s="67" t="n"/>
      <c r="H832" s="67" t="n"/>
      <c r="I832" s="67" t="n"/>
      <c r="J832" s="67" t="n"/>
      <c r="K832" s="67" t="n"/>
      <c r="L832" s="67" t="n"/>
      <c r="M832" s="64" t="n"/>
      <c r="N832" s="66" t="n"/>
      <c r="O832" s="84">
        <f>IF(A832="","",IF(OR(C832="",D832=""),"Enter both dates",IF(D832&lt;C832,"To is before From",IF(COUNTIFS($P$5:$P$2004,P832,$C$5:$C$2004,"&lt;="&amp;D832,$D$5:$D$2004,"&gt;="&amp;C832)&gt;1,"Overlaps another row","OK"))))</f>
        <v/>
      </c>
      <c r="P832">
        <f>IF(A832="","",A832&amp;"|"&amp;IF(B832="","Standard",B832))</f>
        <v/>
      </c>
      <c r="Q832">
        <f>IF(AND(A832&lt;&gt;"",A832='Firm Search'!$C$7),COUNTIF($A$5:A832,'Firm Search'!$C$7),"")</f>
        <v/>
      </c>
    </row>
    <row r="833">
      <c r="A833" s="64" t="n"/>
      <c r="B833" s="64" t="n"/>
      <c r="C833" s="66" t="n"/>
      <c r="D833" s="66" t="n"/>
      <c r="E833" s="67" t="n"/>
      <c r="F833" s="67" t="n"/>
      <c r="G833" s="67" t="n"/>
      <c r="H833" s="67" t="n"/>
      <c r="I833" s="67" t="n"/>
      <c r="J833" s="67" t="n"/>
      <c r="K833" s="67" t="n"/>
      <c r="L833" s="67" t="n"/>
      <c r="M833" s="64" t="n"/>
      <c r="N833" s="66" t="n"/>
      <c r="O833" s="84">
        <f>IF(A833="","",IF(OR(C833="",D833=""),"Enter both dates",IF(D833&lt;C833,"To is before From",IF(COUNTIFS($P$5:$P$2004,P833,$C$5:$C$2004,"&lt;="&amp;D833,$D$5:$D$2004,"&gt;="&amp;C833)&gt;1,"Overlaps another row","OK"))))</f>
        <v/>
      </c>
      <c r="P833">
        <f>IF(A833="","",A833&amp;"|"&amp;IF(B833="","Standard",B833))</f>
        <v/>
      </c>
      <c r="Q833">
        <f>IF(AND(A833&lt;&gt;"",A833='Firm Search'!$C$7),COUNTIF($A$5:A833,'Firm Search'!$C$7),"")</f>
        <v/>
      </c>
    </row>
    <row r="834">
      <c r="A834" s="64" t="n"/>
      <c r="B834" s="64" t="n"/>
      <c r="C834" s="66" t="n"/>
      <c r="D834" s="66" t="n"/>
      <c r="E834" s="67" t="n"/>
      <c r="F834" s="67" t="n"/>
      <c r="G834" s="67" t="n"/>
      <c r="H834" s="67" t="n"/>
      <c r="I834" s="67" t="n"/>
      <c r="J834" s="67" t="n"/>
      <c r="K834" s="67" t="n"/>
      <c r="L834" s="67" t="n"/>
      <c r="M834" s="64" t="n"/>
      <c r="N834" s="66" t="n"/>
      <c r="O834" s="84">
        <f>IF(A834="","",IF(OR(C834="",D834=""),"Enter both dates",IF(D834&lt;C834,"To is before From",IF(COUNTIFS($P$5:$P$2004,P834,$C$5:$C$2004,"&lt;="&amp;D834,$D$5:$D$2004,"&gt;="&amp;C834)&gt;1,"Overlaps another row","OK"))))</f>
        <v/>
      </c>
      <c r="P834">
        <f>IF(A834="","",A834&amp;"|"&amp;IF(B834="","Standard",B834))</f>
        <v/>
      </c>
      <c r="Q834">
        <f>IF(AND(A834&lt;&gt;"",A834='Firm Search'!$C$7),COUNTIF($A$5:A834,'Firm Search'!$C$7),"")</f>
        <v/>
      </c>
    </row>
    <row r="835">
      <c r="A835" s="64" t="n"/>
      <c r="B835" s="64" t="n"/>
      <c r="C835" s="66" t="n"/>
      <c r="D835" s="66" t="n"/>
      <c r="E835" s="67" t="n"/>
      <c r="F835" s="67" t="n"/>
      <c r="G835" s="67" t="n"/>
      <c r="H835" s="67" t="n"/>
      <c r="I835" s="67" t="n"/>
      <c r="J835" s="67" t="n"/>
      <c r="K835" s="67" t="n"/>
      <c r="L835" s="67" t="n"/>
      <c r="M835" s="64" t="n"/>
      <c r="N835" s="66" t="n"/>
      <c r="O835" s="84">
        <f>IF(A835="","",IF(OR(C835="",D835=""),"Enter both dates",IF(D835&lt;C835,"To is before From",IF(COUNTIFS($P$5:$P$2004,P835,$C$5:$C$2004,"&lt;="&amp;D835,$D$5:$D$2004,"&gt;="&amp;C835)&gt;1,"Overlaps another row","OK"))))</f>
        <v/>
      </c>
      <c r="P835">
        <f>IF(A835="","",A835&amp;"|"&amp;IF(B835="","Standard",B835))</f>
        <v/>
      </c>
      <c r="Q835">
        <f>IF(AND(A835&lt;&gt;"",A835='Firm Search'!$C$7),COUNTIF($A$5:A835,'Firm Search'!$C$7),"")</f>
        <v/>
      </c>
    </row>
    <row r="836">
      <c r="A836" s="64" t="n"/>
      <c r="B836" s="64" t="n"/>
      <c r="C836" s="66" t="n"/>
      <c r="D836" s="66" t="n"/>
      <c r="E836" s="67" t="n"/>
      <c r="F836" s="67" t="n"/>
      <c r="G836" s="67" t="n"/>
      <c r="H836" s="67" t="n"/>
      <c r="I836" s="67" t="n"/>
      <c r="J836" s="67" t="n"/>
      <c r="K836" s="67" t="n"/>
      <c r="L836" s="67" t="n"/>
      <c r="M836" s="64" t="n"/>
      <c r="N836" s="66" t="n"/>
      <c r="O836" s="84">
        <f>IF(A836="","",IF(OR(C836="",D836=""),"Enter both dates",IF(D836&lt;C836,"To is before From",IF(COUNTIFS($P$5:$P$2004,P836,$C$5:$C$2004,"&lt;="&amp;D836,$D$5:$D$2004,"&gt;="&amp;C836)&gt;1,"Overlaps another row","OK"))))</f>
        <v/>
      </c>
      <c r="P836">
        <f>IF(A836="","",A836&amp;"|"&amp;IF(B836="","Standard",B836))</f>
        <v/>
      </c>
      <c r="Q836">
        <f>IF(AND(A836&lt;&gt;"",A836='Firm Search'!$C$7),COUNTIF($A$5:A836,'Firm Search'!$C$7),"")</f>
        <v/>
      </c>
    </row>
    <row r="837">
      <c r="A837" s="64" t="n"/>
      <c r="B837" s="64" t="n"/>
      <c r="C837" s="66" t="n"/>
      <c r="D837" s="66" t="n"/>
      <c r="E837" s="67" t="n"/>
      <c r="F837" s="67" t="n"/>
      <c r="G837" s="67" t="n"/>
      <c r="H837" s="67" t="n"/>
      <c r="I837" s="67" t="n"/>
      <c r="J837" s="67" t="n"/>
      <c r="K837" s="67" t="n"/>
      <c r="L837" s="67" t="n"/>
      <c r="M837" s="64" t="n"/>
      <c r="N837" s="66" t="n"/>
      <c r="O837" s="84">
        <f>IF(A837="","",IF(OR(C837="",D837=""),"Enter both dates",IF(D837&lt;C837,"To is before From",IF(COUNTIFS($P$5:$P$2004,P837,$C$5:$C$2004,"&lt;="&amp;D837,$D$5:$D$2004,"&gt;="&amp;C837)&gt;1,"Overlaps another row","OK"))))</f>
        <v/>
      </c>
      <c r="P837">
        <f>IF(A837="","",A837&amp;"|"&amp;IF(B837="","Standard",B837))</f>
        <v/>
      </c>
      <c r="Q837">
        <f>IF(AND(A837&lt;&gt;"",A837='Firm Search'!$C$7),COUNTIF($A$5:A837,'Firm Search'!$C$7),"")</f>
        <v/>
      </c>
    </row>
    <row r="838">
      <c r="A838" s="64" t="n"/>
      <c r="B838" s="64" t="n"/>
      <c r="C838" s="66" t="n"/>
      <c r="D838" s="66" t="n"/>
      <c r="E838" s="67" t="n"/>
      <c r="F838" s="67" t="n"/>
      <c r="G838" s="67" t="n"/>
      <c r="H838" s="67" t="n"/>
      <c r="I838" s="67" t="n"/>
      <c r="J838" s="67" t="n"/>
      <c r="K838" s="67" t="n"/>
      <c r="L838" s="67" t="n"/>
      <c r="M838" s="64" t="n"/>
      <c r="N838" s="66" t="n"/>
      <c r="O838" s="84">
        <f>IF(A838="","",IF(OR(C838="",D838=""),"Enter both dates",IF(D838&lt;C838,"To is before From",IF(COUNTIFS($P$5:$P$2004,P838,$C$5:$C$2004,"&lt;="&amp;D838,$D$5:$D$2004,"&gt;="&amp;C838)&gt;1,"Overlaps another row","OK"))))</f>
        <v/>
      </c>
      <c r="P838">
        <f>IF(A838="","",A838&amp;"|"&amp;IF(B838="","Standard",B838))</f>
        <v/>
      </c>
      <c r="Q838">
        <f>IF(AND(A838&lt;&gt;"",A838='Firm Search'!$C$7),COUNTIF($A$5:A838,'Firm Search'!$C$7),"")</f>
        <v/>
      </c>
    </row>
    <row r="839">
      <c r="A839" s="64" t="n"/>
      <c r="B839" s="64" t="n"/>
      <c r="C839" s="66" t="n"/>
      <c r="D839" s="66" t="n"/>
      <c r="E839" s="67" t="n"/>
      <c r="F839" s="67" t="n"/>
      <c r="G839" s="67" t="n"/>
      <c r="H839" s="67" t="n"/>
      <c r="I839" s="67" t="n"/>
      <c r="J839" s="67" t="n"/>
      <c r="K839" s="67" t="n"/>
      <c r="L839" s="67" t="n"/>
      <c r="M839" s="64" t="n"/>
      <c r="N839" s="66" t="n"/>
      <c r="O839" s="84">
        <f>IF(A839="","",IF(OR(C839="",D839=""),"Enter both dates",IF(D839&lt;C839,"To is before From",IF(COUNTIFS($P$5:$P$2004,P839,$C$5:$C$2004,"&lt;="&amp;D839,$D$5:$D$2004,"&gt;="&amp;C839)&gt;1,"Overlaps another row","OK"))))</f>
        <v/>
      </c>
      <c r="P839">
        <f>IF(A839="","",A839&amp;"|"&amp;IF(B839="","Standard",B839))</f>
        <v/>
      </c>
      <c r="Q839">
        <f>IF(AND(A839&lt;&gt;"",A839='Firm Search'!$C$7),COUNTIF($A$5:A839,'Firm Search'!$C$7),"")</f>
        <v/>
      </c>
    </row>
    <row r="840">
      <c r="A840" s="64" t="n"/>
      <c r="B840" s="64" t="n"/>
      <c r="C840" s="66" t="n"/>
      <c r="D840" s="66" t="n"/>
      <c r="E840" s="67" t="n"/>
      <c r="F840" s="67" t="n"/>
      <c r="G840" s="67" t="n"/>
      <c r="H840" s="67" t="n"/>
      <c r="I840" s="67" t="n"/>
      <c r="J840" s="67" t="n"/>
      <c r="K840" s="67" t="n"/>
      <c r="L840" s="67" t="n"/>
      <c r="M840" s="64" t="n"/>
      <c r="N840" s="66" t="n"/>
      <c r="O840" s="84">
        <f>IF(A840="","",IF(OR(C840="",D840=""),"Enter both dates",IF(D840&lt;C840,"To is before From",IF(COUNTIFS($P$5:$P$2004,P840,$C$5:$C$2004,"&lt;="&amp;D840,$D$5:$D$2004,"&gt;="&amp;C840)&gt;1,"Overlaps another row","OK"))))</f>
        <v/>
      </c>
      <c r="P840">
        <f>IF(A840="","",A840&amp;"|"&amp;IF(B840="","Standard",B840))</f>
        <v/>
      </c>
      <c r="Q840">
        <f>IF(AND(A840&lt;&gt;"",A840='Firm Search'!$C$7),COUNTIF($A$5:A840,'Firm Search'!$C$7),"")</f>
        <v/>
      </c>
    </row>
    <row r="841">
      <c r="A841" s="64" t="n"/>
      <c r="B841" s="64" t="n"/>
      <c r="C841" s="66" t="n"/>
      <c r="D841" s="66" t="n"/>
      <c r="E841" s="67" t="n"/>
      <c r="F841" s="67" t="n"/>
      <c r="G841" s="67" t="n"/>
      <c r="H841" s="67" t="n"/>
      <c r="I841" s="67" t="n"/>
      <c r="J841" s="67" t="n"/>
      <c r="K841" s="67" t="n"/>
      <c r="L841" s="67" t="n"/>
      <c r="M841" s="64" t="n"/>
      <c r="N841" s="66" t="n"/>
      <c r="O841" s="84">
        <f>IF(A841="","",IF(OR(C841="",D841=""),"Enter both dates",IF(D841&lt;C841,"To is before From",IF(COUNTIFS($P$5:$P$2004,P841,$C$5:$C$2004,"&lt;="&amp;D841,$D$5:$D$2004,"&gt;="&amp;C841)&gt;1,"Overlaps another row","OK"))))</f>
        <v/>
      </c>
      <c r="P841">
        <f>IF(A841="","",A841&amp;"|"&amp;IF(B841="","Standard",B841))</f>
        <v/>
      </c>
      <c r="Q841">
        <f>IF(AND(A841&lt;&gt;"",A841='Firm Search'!$C$7),COUNTIF($A$5:A841,'Firm Search'!$C$7),"")</f>
        <v/>
      </c>
    </row>
    <row r="842">
      <c r="A842" s="64" t="n"/>
      <c r="B842" s="64" t="n"/>
      <c r="C842" s="66" t="n"/>
      <c r="D842" s="66" t="n"/>
      <c r="E842" s="67" t="n"/>
      <c r="F842" s="67" t="n"/>
      <c r="G842" s="67" t="n"/>
      <c r="H842" s="67" t="n"/>
      <c r="I842" s="67" t="n"/>
      <c r="J842" s="67" t="n"/>
      <c r="K842" s="67" t="n"/>
      <c r="L842" s="67" t="n"/>
      <c r="M842" s="64" t="n"/>
      <c r="N842" s="66" t="n"/>
      <c r="O842" s="84">
        <f>IF(A842="","",IF(OR(C842="",D842=""),"Enter both dates",IF(D842&lt;C842,"To is before From",IF(COUNTIFS($P$5:$P$2004,P842,$C$5:$C$2004,"&lt;="&amp;D842,$D$5:$D$2004,"&gt;="&amp;C842)&gt;1,"Overlaps another row","OK"))))</f>
        <v/>
      </c>
      <c r="P842">
        <f>IF(A842="","",A842&amp;"|"&amp;IF(B842="","Standard",B842))</f>
        <v/>
      </c>
      <c r="Q842">
        <f>IF(AND(A842&lt;&gt;"",A842='Firm Search'!$C$7),COUNTIF($A$5:A842,'Firm Search'!$C$7),"")</f>
        <v/>
      </c>
    </row>
    <row r="843">
      <c r="A843" s="64" t="n"/>
      <c r="B843" s="64" t="n"/>
      <c r="C843" s="66" t="n"/>
      <c r="D843" s="66" t="n"/>
      <c r="E843" s="67" t="n"/>
      <c r="F843" s="67" t="n"/>
      <c r="G843" s="67" t="n"/>
      <c r="H843" s="67" t="n"/>
      <c r="I843" s="67" t="n"/>
      <c r="J843" s="67" t="n"/>
      <c r="K843" s="67" t="n"/>
      <c r="L843" s="67" t="n"/>
      <c r="M843" s="64" t="n"/>
      <c r="N843" s="66" t="n"/>
      <c r="O843" s="84">
        <f>IF(A843="","",IF(OR(C843="",D843=""),"Enter both dates",IF(D843&lt;C843,"To is before From",IF(COUNTIFS($P$5:$P$2004,P843,$C$5:$C$2004,"&lt;="&amp;D843,$D$5:$D$2004,"&gt;="&amp;C843)&gt;1,"Overlaps another row","OK"))))</f>
        <v/>
      </c>
      <c r="P843">
        <f>IF(A843="","",A843&amp;"|"&amp;IF(B843="","Standard",B843))</f>
        <v/>
      </c>
      <c r="Q843">
        <f>IF(AND(A843&lt;&gt;"",A843='Firm Search'!$C$7),COUNTIF($A$5:A843,'Firm Search'!$C$7),"")</f>
        <v/>
      </c>
    </row>
    <row r="844">
      <c r="A844" s="64" t="n"/>
      <c r="B844" s="64" t="n"/>
      <c r="C844" s="66" t="n"/>
      <c r="D844" s="66" t="n"/>
      <c r="E844" s="67" t="n"/>
      <c r="F844" s="67" t="n"/>
      <c r="G844" s="67" t="n"/>
      <c r="H844" s="67" t="n"/>
      <c r="I844" s="67" t="n"/>
      <c r="J844" s="67" t="n"/>
      <c r="K844" s="67" t="n"/>
      <c r="L844" s="67" t="n"/>
      <c r="M844" s="64" t="n"/>
      <c r="N844" s="66" t="n"/>
      <c r="O844" s="84">
        <f>IF(A844="","",IF(OR(C844="",D844=""),"Enter both dates",IF(D844&lt;C844,"To is before From",IF(COUNTIFS($P$5:$P$2004,P844,$C$5:$C$2004,"&lt;="&amp;D844,$D$5:$D$2004,"&gt;="&amp;C844)&gt;1,"Overlaps another row","OK"))))</f>
        <v/>
      </c>
      <c r="P844">
        <f>IF(A844="","",A844&amp;"|"&amp;IF(B844="","Standard",B844))</f>
        <v/>
      </c>
      <c r="Q844">
        <f>IF(AND(A844&lt;&gt;"",A844='Firm Search'!$C$7),COUNTIF($A$5:A844,'Firm Search'!$C$7),"")</f>
        <v/>
      </c>
    </row>
    <row r="845">
      <c r="A845" s="64" t="n"/>
      <c r="B845" s="64" t="n"/>
      <c r="C845" s="66" t="n"/>
      <c r="D845" s="66" t="n"/>
      <c r="E845" s="67" t="n"/>
      <c r="F845" s="67" t="n"/>
      <c r="G845" s="67" t="n"/>
      <c r="H845" s="67" t="n"/>
      <c r="I845" s="67" t="n"/>
      <c r="J845" s="67" t="n"/>
      <c r="K845" s="67" t="n"/>
      <c r="L845" s="67" t="n"/>
      <c r="M845" s="64" t="n"/>
      <c r="N845" s="66" t="n"/>
      <c r="O845" s="84">
        <f>IF(A845="","",IF(OR(C845="",D845=""),"Enter both dates",IF(D845&lt;C845,"To is before From",IF(COUNTIFS($P$5:$P$2004,P845,$C$5:$C$2004,"&lt;="&amp;D845,$D$5:$D$2004,"&gt;="&amp;C845)&gt;1,"Overlaps another row","OK"))))</f>
        <v/>
      </c>
      <c r="P845">
        <f>IF(A845="","",A845&amp;"|"&amp;IF(B845="","Standard",B845))</f>
        <v/>
      </c>
      <c r="Q845">
        <f>IF(AND(A845&lt;&gt;"",A845='Firm Search'!$C$7),COUNTIF($A$5:A845,'Firm Search'!$C$7),"")</f>
        <v/>
      </c>
    </row>
    <row r="846">
      <c r="A846" s="64" t="n"/>
      <c r="B846" s="64" t="n"/>
      <c r="C846" s="66" t="n"/>
      <c r="D846" s="66" t="n"/>
      <c r="E846" s="67" t="n"/>
      <c r="F846" s="67" t="n"/>
      <c r="G846" s="67" t="n"/>
      <c r="H846" s="67" t="n"/>
      <c r="I846" s="67" t="n"/>
      <c r="J846" s="67" t="n"/>
      <c r="K846" s="67" t="n"/>
      <c r="L846" s="67" t="n"/>
      <c r="M846" s="64" t="n"/>
      <c r="N846" s="66" t="n"/>
      <c r="O846" s="84">
        <f>IF(A846="","",IF(OR(C846="",D846=""),"Enter both dates",IF(D846&lt;C846,"To is before From",IF(COUNTIFS($P$5:$P$2004,P846,$C$5:$C$2004,"&lt;="&amp;D846,$D$5:$D$2004,"&gt;="&amp;C846)&gt;1,"Overlaps another row","OK"))))</f>
        <v/>
      </c>
      <c r="P846">
        <f>IF(A846="","",A846&amp;"|"&amp;IF(B846="","Standard",B846))</f>
        <v/>
      </c>
      <c r="Q846">
        <f>IF(AND(A846&lt;&gt;"",A846='Firm Search'!$C$7),COUNTIF($A$5:A846,'Firm Search'!$C$7),"")</f>
        <v/>
      </c>
    </row>
    <row r="847">
      <c r="A847" s="64" t="n"/>
      <c r="B847" s="64" t="n"/>
      <c r="C847" s="66" t="n"/>
      <c r="D847" s="66" t="n"/>
      <c r="E847" s="67" t="n"/>
      <c r="F847" s="67" t="n"/>
      <c r="G847" s="67" t="n"/>
      <c r="H847" s="67" t="n"/>
      <c r="I847" s="67" t="n"/>
      <c r="J847" s="67" t="n"/>
      <c r="K847" s="67" t="n"/>
      <c r="L847" s="67" t="n"/>
      <c r="M847" s="64" t="n"/>
      <c r="N847" s="66" t="n"/>
      <c r="O847" s="84">
        <f>IF(A847="","",IF(OR(C847="",D847=""),"Enter both dates",IF(D847&lt;C847,"To is before From",IF(COUNTIFS($P$5:$P$2004,P847,$C$5:$C$2004,"&lt;="&amp;D847,$D$5:$D$2004,"&gt;="&amp;C847)&gt;1,"Overlaps another row","OK"))))</f>
        <v/>
      </c>
      <c r="P847">
        <f>IF(A847="","",A847&amp;"|"&amp;IF(B847="","Standard",B847))</f>
        <v/>
      </c>
      <c r="Q847">
        <f>IF(AND(A847&lt;&gt;"",A847='Firm Search'!$C$7),COUNTIF($A$5:A847,'Firm Search'!$C$7),"")</f>
        <v/>
      </c>
    </row>
    <row r="848">
      <c r="A848" s="64" t="n"/>
      <c r="B848" s="64" t="n"/>
      <c r="C848" s="66" t="n"/>
      <c r="D848" s="66" t="n"/>
      <c r="E848" s="67" t="n"/>
      <c r="F848" s="67" t="n"/>
      <c r="G848" s="67" t="n"/>
      <c r="H848" s="67" t="n"/>
      <c r="I848" s="67" t="n"/>
      <c r="J848" s="67" t="n"/>
      <c r="K848" s="67" t="n"/>
      <c r="L848" s="67" t="n"/>
      <c r="M848" s="64" t="n"/>
      <c r="N848" s="66" t="n"/>
      <c r="O848" s="84">
        <f>IF(A848="","",IF(OR(C848="",D848=""),"Enter both dates",IF(D848&lt;C848,"To is before From",IF(COUNTIFS($P$5:$P$2004,P848,$C$5:$C$2004,"&lt;="&amp;D848,$D$5:$D$2004,"&gt;="&amp;C848)&gt;1,"Overlaps another row","OK"))))</f>
        <v/>
      </c>
      <c r="P848">
        <f>IF(A848="","",A848&amp;"|"&amp;IF(B848="","Standard",B848))</f>
        <v/>
      </c>
      <c r="Q848">
        <f>IF(AND(A848&lt;&gt;"",A848='Firm Search'!$C$7),COUNTIF($A$5:A848,'Firm Search'!$C$7),"")</f>
        <v/>
      </c>
    </row>
    <row r="849">
      <c r="A849" s="64" t="n"/>
      <c r="B849" s="64" t="n"/>
      <c r="C849" s="66" t="n"/>
      <c r="D849" s="66" t="n"/>
      <c r="E849" s="67" t="n"/>
      <c r="F849" s="67" t="n"/>
      <c r="G849" s="67" t="n"/>
      <c r="H849" s="67" t="n"/>
      <c r="I849" s="67" t="n"/>
      <c r="J849" s="67" t="n"/>
      <c r="K849" s="67" t="n"/>
      <c r="L849" s="67" t="n"/>
      <c r="M849" s="64" t="n"/>
      <c r="N849" s="66" t="n"/>
      <c r="O849" s="84">
        <f>IF(A849="","",IF(OR(C849="",D849=""),"Enter both dates",IF(D849&lt;C849,"To is before From",IF(COUNTIFS($P$5:$P$2004,P849,$C$5:$C$2004,"&lt;="&amp;D849,$D$5:$D$2004,"&gt;="&amp;C849)&gt;1,"Overlaps another row","OK"))))</f>
        <v/>
      </c>
      <c r="P849">
        <f>IF(A849="","",A849&amp;"|"&amp;IF(B849="","Standard",B849))</f>
        <v/>
      </c>
      <c r="Q849">
        <f>IF(AND(A849&lt;&gt;"",A849='Firm Search'!$C$7),COUNTIF($A$5:A849,'Firm Search'!$C$7),"")</f>
        <v/>
      </c>
    </row>
    <row r="850">
      <c r="A850" s="64" t="n"/>
      <c r="B850" s="64" t="n"/>
      <c r="C850" s="66" t="n"/>
      <c r="D850" s="66" t="n"/>
      <c r="E850" s="67" t="n"/>
      <c r="F850" s="67" t="n"/>
      <c r="G850" s="67" t="n"/>
      <c r="H850" s="67" t="n"/>
      <c r="I850" s="67" t="n"/>
      <c r="J850" s="67" t="n"/>
      <c r="K850" s="67" t="n"/>
      <c r="L850" s="67" t="n"/>
      <c r="M850" s="64" t="n"/>
      <c r="N850" s="66" t="n"/>
      <c r="O850" s="84">
        <f>IF(A850="","",IF(OR(C850="",D850=""),"Enter both dates",IF(D850&lt;C850,"To is before From",IF(COUNTIFS($P$5:$P$2004,P850,$C$5:$C$2004,"&lt;="&amp;D850,$D$5:$D$2004,"&gt;="&amp;C850)&gt;1,"Overlaps another row","OK"))))</f>
        <v/>
      </c>
      <c r="P850">
        <f>IF(A850="","",A850&amp;"|"&amp;IF(B850="","Standard",B850))</f>
        <v/>
      </c>
      <c r="Q850">
        <f>IF(AND(A850&lt;&gt;"",A850='Firm Search'!$C$7),COUNTIF($A$5:A850,'Firm Search'!$C$7),"")</f>
        <v/>
      </c>
    </row>
    <row r="851">
      <c r="A851" s="64" t="n"/>
      <c r="B851" s="64" t="n"/>
      <c r="C851" s="66" t="n"/>
      <c r="D851" s="66" t="n"/>
      <c r="E851" s="67" t="n"/>
      <c r="F851" s="67" t="n"/>
      <c r="G851" s="67" t="n"/>
      <c r="H851" s="67" t="n"/>
      <c r="I851" s="67" t="n"/>
      <c r="J851" s="67" t="n"/>
      <c r="K851" s="67" t="n"/>
      <c r="L851" s="67" t="n"/>
      <c r="M851" s="64" t="n"/>
      <c r="N851" s="66" t="n"/>
      <c r="O851" s="84">
        <f>IF(A851="","",IF(OR(C851="",D851=""),"Enter both dates",IF(D851&lt;C851,"To is before From",IF(COUNTIFS($P$5:$P$2004,P851,$C$5:$C$2004,"&lt;="&amp;D851,$D$5:$D$2004,"&gt;="&amp;C851)&gt;1,"Overlaps another row","OK"))))</f>
        <v/>
      </c>
      <c r="P851">
        <f>IF(A851="","",A851&amp;"|"&amp;IF(B851="","Standard",B851))</f>
        <v/>
      </c>
      <c r="Q851">
        <f>IF(AND(A851&lt;&gt;"",A851='Firm Search'!$C$7),COUNTIF($A$5:A851,'Firm Search'!$C$7),"")</f>
        <v/>
      </c>
    </row>
    <row r="852">
      <c r="A852" s="64" t="n"/>
      <c r="B852" s="64" t="n"/>
      <c r="C852" s="66" t="n"/>
      <c r="D852" s="66" t="n"/>
      <c r="E852" s="67" t="n"/>
      <c r="F852" s="67" t="n"/>
      <c r="G852" s="67" t="n"/>
      <c r="H852" s="67" t="n"/>
      <c r="I852" s="67" t="n"/>
      <c r="J852" s="67" t="n"/>
      <c r="K852" s="67" t="n"/>
      <c r="L852" s="67" t="n"/>
      <c r="M852" s="64" t="n"/>
      <c r="N852" s="66" t="n"/>
      <c r="O852" s="84">
        <f>IF(A852="","",IF(OR(C852="",D852=""),"Enter both dates",IF(D852&lt;C852,"To is before From",IF(COUNTIFS($P$5:$P$2004,P852,$C$5:$C$2004,"&lt;="&amp;D852,$D$5:$D$2004,"&gt;="&amp;C852)&gt;1,"Overlaps another row","OK"))))</f>
        <v/>
      </c>
      <c r="P852">
        <f>IF(A852="","",A852&amp;"|"&amp;IF(B852="","Standard",B852))</f>
        <v/>
      </c>
      <c r="Q852">
        <f>IF(AND(A852&lt;&gt;"",A852='Firm Search'!$C$7),COUNTIF($A$5:A852,'Firm Search'!$C$7),"")</f>
        <v/>
      </c>
    </row>
    <row r="853">
      <c r="A853" s="64" t="n"/>
      <c r="B853" s="64" t="n"/>
      <c r="C853" s="66" t="n"/>
      <c r="D853" s="66" t="n"/>
      <c r="E853" s="67" t="n"/>
      <c r="F853" s="67" t="n"/>
      <c r="G853" s="67" t="n"/>
      <c r="H853" s="67" t="n"/>
      <c r="I853" s="67" t="n"/>
      <c r="J853" s="67" t="n"/>
      <c r="K853" s="67" t="n"/>
      <c r="L853" s="67" t="n"/>
      <c r="M853" s="64" t="n"/>
      <c r="N853" s="66" t="n"/>
      <c r="O853" s="84">
        <f>IF(A853="","",IF(OR(C853="",D853=""),"Enter both dates",IF(D853&lt;C853,"To is before From",IF(COUNTIFS($P$5:$P$2004,P853,$C$5:$C$2004,"&lt;="&amp;D853,$D$5:$D$2004,"&gt;="&amp;C853)&gt;1,"Overlaps another row","OK"))))</f>
        <v/>
      </c>
      <c r="P853">
        <f>IF(A853="","",A853&amp;"|"&amp;IF(B853="","Standard",B853))</f>
        <v/>
      </c>
      <c r="Q853">
        <f>IF(AND(A853&lt;&gt;"",A853='Firm Search'!$C$7),COUNTIF($A$5:A853,'Firm Search'!$C$7),"")</f>
        <v/>
      </c>
    </row>
    <row r="854">
      <c r="A854" s="64" t="n"/>
      <c r="B854" s="64" t="n"/>
      <c r="C854" s="66" t="n"/>
      <c r="D854" s="66" t="n"/>
      <c r="E854" s="67" t="n"/>
      <c r="F854" s="67" t="n"/>
      <c r="G854" s="67" t="n"/>
      <c r="H854" s="67" t="n"/>
      <c r="I854" s="67" t="n"/>
      <c r="J854" s="67" t="n"/>
      <c r="K854" s="67" t="n"/>
      <c r="L854" s="67" t="n"/>
      <c r="M854" s="64" t="n"/>
      <c r="N854" s="66" t="n"/>
      <c r="O854" s="84">
        <f>IF(A854="","",IF(OR(C854="",D854=""),"Enter both dates",IF(D854&lt;C854,"To is before From",IF(COUNTIFS($P$5:$P$2004,P854,$C$5:$C$2004,"&lt;="&amp;D854,$D$5:$D$2004,"&gt;="&amp;C854)&gt;1,"Overlaps another row","OK"))))</f>
        <v/>
      </c>
      <c r="P854">
        <f>IF(A854="","",A854&amp;"|"&amp;IF(B854="","Standard",B854))</f>
        <v/>
      </c>
      <c r="Q854">
        <f>IF(AND(A854&lt;&gt;"",A854='Firm Search'!$C$7),COUNTIF($A$5:A854,'Firm Search'!$C$7),"")</f>
        <v/>
      </c>
    </row>
    <row r="855">
      <c r="A855" s="64" t="n"/>
      <c r="B855" s="64" t="n"/>
      <c r="C855" s="66" t="n"/>
      <c r="D855" s="66" t="n"/>
      <c r="E855" s="67" t="n"/>
      <c r="F855" s="67" t="n"/>
      <c r="G855" s="67" t="n"/>
      <c r="H855" s="67" t="n"/>
      <c r="I855" s="67" t="n"/>
      <c r="J855" s="67" t="n"/>
      <c r="K855" s="67" t="n"/>
      <c r="L855" s="67" t="n"/>
      <c r="M855" s="64" t="n"/>
      <c r="N855" s="66" t="n"/>
      <c r="O855" s="84">
        <f>IF(A855="","",IF(OR(C855="",D855=""),"Enter both dates",IF(D855&lt;C855,"To is before From",IF(COUNTIFS($P$5:$P$2004,P855,$C$5:$C$2004,"&lt;="&amp;D855,$D$5:$D$2004,"&gt;="&amp;C855)&gt;1,"Overlaps another row","OK"))))</f>
        <v/>
      </c>
      <c r="P855">
        <f>IF(A855="","",A855&amp;"|"&amp;IF(B855="","Standard",B855))</f>
        <v/>
      </c>
      <c r="Q855">
        <f>IF(AND(A855&lt;&gt;"",A855='Firm Search'!$C$7),COUNTIF($A$5:A855,'Firm Search'!$C$7),"")</f>
        <v/>
      </c>
    </row>
    <row r="856">
      <c r="A856" s="64" t="n"/>
      <c r="B856" s="64" t="n"/>
      <c r="C856" s="66" t="n"/>
      <c r="D856" s="66" t="n"/>
      <c r="E856" s="67" t="n"/>
      <c r="F856" s="67" t="n"/>
      <c r="G856" s="67" t="n"/>
      <c r="H856" s="67" t="n"/>
      <c r="I856" s="67" t="n"/>
      <c r="J856" s="67" t="n"/>
      <c r="K856" s="67" t="n"/>
      <c r="L856" s="67" t="n"/>
      <c r="M856" s="64" t="n"/>
      <c r="N856" s="66" t="n"/>
      <c r="O856" s="84">
        <f>IF(A856="","",IF(OR(C856="",D856=""),"Enter both dates",IF(D856&lt;C856,"To is before From",IF(COUNTIFS($P$5:$P$2004,P856,$C$5:$C$2004,"&lt;="&amp;D856,$D$5:$D$2004,"&gt;="&amp;C856)&gt;1,"Overlaps another row","OK"))))</f>
        <v/>
      </c>
      <c r="P856">
        <f>IF(A856="","",A856&amp;"|"&amp;IF(B856="","Standard",B856))</f>
        <v/>
      </c>
      <c r="Q856">
        <f>IF(AND(A856&lt;&gt;"",A856='Firm Search'!$C$7),COUNTIF($A$5:A856,'Firm Search'!$C$7),"")</f>
        <v/>
      </c>
    </row>
    <row r="857">
      <c r="A857" s="64" t="n"/>
      <c r="B857" s="64" t="n"/>
      <c r="C857" s="66" t="n"/>
      <c r="D857" s="66" t="n"/>
      <c r="E857" s="67" t="n"/>
      <c r="F857" s="67" t="n"/>
      <c r="G857" s="67" t="n"/>
      <c r="H857" s="67" t="n"/>
      <c r="I857" s="67" t="n"/>
      <c r="J857" s="67" t="n"/>
      <c r="K857" s="67" t="n"/>
      <c r="L857" s="67" t="n"/>
      <c r="M857" s="64" t="n"/>
      <c r="N857" s="66" t="n"/>
      <c r="O857" s="84">
        <f>IF(A857="","",IF(OR(C857="",D857=""),"Enter both dates",IF(D857&lt;C857,"To is before From",IF(COUNTIFS($P$5:$P$2004,P857,$C$5:$C$2004,"&lt;="&amp;D857,$D$5:$D$2004,"&gt;="&amp;C857)&gt;1,"Overlaps another row","OK"))))</f>
        <v/>
      </c>
      <c r="P857">
        <f>IF(A857="","",A857&amp;"|"&amp;IF(B857="","Standard",B857))</f>
        <v/>
      </c>
      <c r="Q857">
        <f>IF(AND(A857&lt;&gt;"",A857='Firm Search'!$C$7),COUNTIF($A$5:A857,'Firm Search'!$C$7),"")</f>
        <v/>
      </c>
    </row>
    <row r="858">
      <c r="A858" s="64" t="n"/>
      <c r="B858" s="64" t="n"/>
      <c r="C858" s="66" t="n"/>
      <c r="D858" s="66" t="n"/>
      <c r="E858" s="67" t="n"/>
      <c r="F858" s="67" t="n"/>
      <c r="G858" s="67" t="n"/>
      <c r="H858" s="67" t="n"/>
      <c r="I858" s="67" t="n"/>
      <c r="J858" s="67" t="n"/>
      <c r="K858" s="67" t="n"/>
      <c r="L858" s="67" t="n"/>
      <c r="M858" s="64" t="n"/>
      <c r="N858" s="66" t="n"/>
      <c r="O858" s="84">
        <f>IF(A858="","",IF(OR(C858="",D858=""),"Enter both dates",IF(D858&lt;C858,"To is before From",IF(COUNTIFS($P$5:$P$2004,P858,$C$5:$C$2004,"&lt;="&amp;D858,$D$5:$D$2004,"&gt;="&amp;C858)&gt;1,"Overlaps another row","OK"))))</f>
        <v/>
      </c>
      <c r="P858">
        <f>IF(A858="","",A858&amp;"|"&amp;IF(B858="","Standard",B858))</f>
        <v/>
      </c>
      <c r="Q858">
        <f>IF(AND(A858&lt;&gt;"",A858='Firm Search'!$C$7),COUNTIF($A$5:A858,'Firm Search'!$C$7),"")</f>
        <v/>
      </c>
    </row>
    <row r="859">
      <c r="A859" s="64" t="n"/>
      <c r="B859" s="64" t="n"/>
      <c r="C859" s="66" t="n"/>
      <c r="D859" s="66" t="n"/>
      <c r="E859" s="67" t="n"/>
      <c r="F859" s="67" t="n"/>
      <c r="G859" s="67" t="n"/>
      <c r="H859" s="67" t="n"/>
      <c r="I859" s="67" t="n"/>
      <c r="J859" s="67" t="n"/>
      <c r="K859" s="67" t="n"/>
      <c r="L859" s="67" t="n"/>
      <c r="M859" s="64" t="n"/>
      <c r="N859" s="66" t="n"/>
      <c r="O859" s="84">
        <f>IF(A859="","",IF(OR(C859="",D859=""),"Enter both dates",IF(D859&lt;C859,"To is before From",IF(COUNTIFS($P$5:$P$2004,P859,$C$5:$C$2004,"&lt;="&amp;D859,$D$5:$D$2004,"&gt;="&amp;C859)&gt;1,"Overlaps another row","OK"))))</f>
        <v/>
      </c>
      <c r="P859">
        <f>IF(A859="","",A859&amp;"|"&amp;IF(B859="","Standard",B859))</f>
        <v/>
      </c>
      <c r="Q859">
        <f>IF(AND(A859&lt;&gt;"",A859='Firm Search'!$C$7),COUNTIF($A$5:A859,'Firm Search'!$C$7),"")</f>
        <v/>
      </c>
    </row>
    <row r="860">
      <c r="A860" s="64" t="n"/>
      <c r="B860" s="64" t="n"/>
      <c r="C860" s="66" t="n"/>
      <c r="D860" s="66" t="n"/>
      <c r="E860" s="67" t="n"/>
      <c r="F860" s="67" t="n"/>
      <c r="G860" s="67" t="n"/>
      <c r="H860" s="67" t="n"/>
      <c r="I860" s="67" t="n"/>
      <c r="J860" s="67" t="n"/>
      <c r="K860" s="67" t="n"/>
      <c r="L860" s="67" t="n"/>
      <c r="M860" s="64" t="n"/>
      <c r="N860" s="66" t="n"/>
      <c r="O860" s="84">
        <f>IF(A860="","",IF(OR(C860="",D860=""),"Enter both dates",IF(D860&lt;C860,"To is before From",IF(COUNTIFS($P$5:$P$2004,P860,$C$5:$C$2004,"&lt;="&amp;D860,$D$5:$D$2004,"&gt;="&amp;C860)&gt;1,"Overlaps another row","OK"))))</f>
        <v/>
      </c>
      <c r="P860">
        <f>IF(A860="","",A860&amp;"|"&amp;IF(B860="","Standard",B860))</f>
        <v/>
      </c>
      <c r="Q860">
        <f>IF(AND(A860&lt;&gt;"",A860='Firm Search'!$C$7),COUNTIF($A$5:A860,'Firm Search'!$C$7),"")</f>
        <v/>
      </c>
    </row>
    <row r="861">
      <c r="A861" s="64" t="n"/>
      <c r="B861" s="64" t="n"/>
      <c r="C861" s="66" t="n"/>
      <c r="D861" s="66" t="n"/>
      <c r="E861" s="67" t="n"/>
      <c r="F861" s="67" t="n"/>
      <c r="G861" s="67" t="n"/>
      <c r="H861" s="67" t="n"/>
      <c r="I861" s="67" t="n"/>
      <c r="J861" s="67" t="n"/>
      <c r="K861" s="67" t="n"/>
      <c r="L861" s="67" t="n"/>
      <c r="M861" s="64" t="n"/>
      <c r="N861" s="66" t="n"/>
      <c r="O861" s="84">
        <f>IF(A861="","",IF(OR(C861="",D861=""),"Enter both dates",IF(D861&lt;C861,"To is before From",IF(COUNTIFS($P$5:$P$2004,P861,$C$5:$C$2004,"&lt;="&amp;D861,$D$5:$D$2004,"&gt;="&amp;C861)&gt;1,"Overlaps another row","OK"))))</f>
        <v/>
      </c>
      <c r="P861">
        <f>IF(A861="","",A861&amp;"|"&amp;IF(B861="","Standard",B861))</f>
        <v/>
      </c>
      <c r="Q861">
        <f>IF(AND(A861&lt;&gt;"",A861='Firm Search'!$C$7),COUNTIF($A$5:A861,'Firm Search'!$C$7),"")</f>
        <v/>
      </c>
    </row>
    <row r="862">
      <c r="A862" s="64" t="n"/>
      <c r="B862" s="64" t="n"/>
      <c r="C862" s="66" t="n"/>
      <c r="D862" s="66" t="n"/>
      <c r="E862" s="67" t="n"/>
      <c r="F862" s="67" t="n"/>
      <c r="G862" s="67" t="n"/>
      <c r="H862" s="67" t="n"/>
      <c r="I862" s="67" t="n"/>
      <c r="J862" s="67" t="n"/>
      <c r="K862" s="67" t="n"/>
      <c r="L862" s="67" t="n"/>
      <c r="M862" s="64" t="n"/>
      <c r="N862" s="66" t="n"/>
      <c r="O862" s="84">
        <f>IF(A862="","",IF(OR(C862="",D862=""),"Enter both dates",IF(D862&lt;C862,"To is before From",IF(COUNTIFS($P$5:$P$2004,P862,$C$5:$C$2004,"&lt;="&amp;D862,$D$5:$D$2004,"&gt;="&amp;C862)&gt;1,"Overlaps another row","OK"))))</f>
        <v/>
      </c>
      <c r="P862">
        <f>IF(A862="","",A862&amp;"|"&amp;IF(B862="","Standard",B862))</f>
        <v/>
      </c>
      <c r="Q862">
        <f>IF(AND(A862&lt;&gt;"",A862='Firm Search'!$C$7),COUNTIF($A$5:A862,'Firm Search'!$C$7),"")</f>
        <v/>
      </c>
    </row>
    <row r="863">
      <c r="A863" s="64" t="n"/>
      <c r="B863" s="64" t="n"/>
      <c r="C863" s="66" t="n"/>
      <c r="D863" s="66" t="n"/>
      <c r="E863" s="67" t="n"/>
      <c r="F863" s="67" t="n"/>
      <c r="G863" s="67" t="n"/>
      <c r="H863" s="67" t="n"/>
      <c r="I863" s="67" t="n"/>
      <c r="J863" s="67" t="n"/>
      <c r="K863" s="67" t="n"/>
      <c r="L863" s="67" t="n"/>
      <c r="M863" s="64" t="n"/>
      <c r="N863" s="66" t="n"/>
      <c r="O863" s="84">
        <f>IF(A863="","",IF(OR(C863="",D863=""),"Enter both dates",IF(D863&lt;C863,"To is before From",IF(COUNTIFS($P$5:$P$2004,P863,$C$5:$C$2004,"&lt;="&amp;D863,$D$5:$D$2004,"&gt;="&amp;C863)&gt;1,"Overlaps another row","OK"))))</f>
        <v/>
      </c>
      <c r="P863">
        <f>IF(A863="","",A863&amp;"|"&amp;IF(B863="","Standard",B863))</f>
        <v/>
      </c>
      <c r="Q863">
        <f>IF(AND(A863&lt;&gt;"",A863='Firm Search'!$C$7),COUNTIF($A$5:A863,'Firm Search'!$C$7),"")</f>
        <v/>
      </c>
    </row>
    <row r="864">
      <c r="A864" s="64" t="n"/>
      <c r="B864" s="64" t="n"/>
      <c r="C864" s="66" t="n"/>
      <c r="D864" s="66" t="n"/>
      <c r="E864" s="67" t="n"/>
      <c r="F864" s="67" t="n"/>
      <c r="G864" s="67" t="n"/>
      <c r="H864" s="67" t="n"/>
      <c r="I864" s="67" t="n"/>
      <c r="J864" s="67" t="n"/>
      <c r="K864" s="67" t="n"/>
      <c r="L864" s="67" t="n"/>
      <c r="M864" s="64" t="n"/>
      <c r="N864" s="66" t="n"/>
      <c r="O864" s="84">
        <f>IF(A864="","",IF(OR(C864="",D864=""),"Enter both dates",IF(D864&lt;C864,"To is before From",IF(COUNTIFS($P$5:$P$2004,P864,$C$5:$C$2004,"&lt;="&amp;D864,$D$5:$D$2004,"&gt;="&amp;C864)&gt;1,"Overlaps another row","OK"))))</f>
        <v/>
      </c>
      <c r="P864">
        <f>IF(A864="","",A864&amp;"|"&amp;IF(B864="","Standard",B864))</f>
        <v/>
      </c>
      <c r="Q864">
        <f>IF(AND(A864&lt;&gt;"",A864='Firm Search'!$C$7),COUNTIF($A$5:A864,'Firm Search'!$C$7),"")</f>
        <v/>
      </c>
    </row>
    <row r="865">
      <c r="A865" s="64" t="n"/>
      <c r="B865" s="64" t="n"/>
      <c r="C865" s="66" t="n"/>
      <c r="D865" s="66" t="n"/>
      <c r="E865" s="67" t="n"/>
      <c r="F865" s="67" t="n"/>
      <c r="G865" s="67" t="n"/>
      <c r="H865" s="67" t="n"/>
      <c r="I865" s="67" t="n"/>
      <c r="J865" s="67" t="n"/>
      <c r="K865" s="67" t="n"/>
      <c r="L865" s="67" t="n"/>
      <c r="M865" s="64" t="n"/>
      <c r="N865" s="66" t="n"/>
      <c r="O865" s="84">
        <f>IF(A865="","",IF(OR(C865="",D865=""),"Enter both dates",IF(D865&lt;C865,"To is before From",IF(COUNTIFS($P$5:$P$2004,P865,$C$5:$C$2004,"&lt;="&amp;D865,$D$5:$D$2004,"&gt;="&amp;C865)&gt;1,"Overlaps another row","OK"))))</f>
        <v/>
      </c>
      <c r="P865">
        <f>IF(A865="","",A865&amp;"|"&amp;IF(B865="","Standard",B865))</f>
        <v/>
      </c>
      <c r="Q865">
        <f>IF(AND(A865&lt;&gt;"",A865='Firm Search'!$C$7),COUNTIF($A$5:A865,'Firm Search'!$C$7),"")</f>
        <v/>
      </c>
    </row>
    <row r="866">
      <c r="A866" s="64" t="n"/>
      <c r="B866" s="64" t="n"/>
      <c r="C866" s="66" t="n"/>
      <c r="D866" s="66" t="n"/>
      <c r="E866" s="67" t="n"/>
      <c r="F866" s="67" t="n"/>
      <c r="G866" s="67" t="n"/>
      <c r="H866" s="67" t="n"/>
      <c r="I866" s="67" t="n"/>
      <c r="J866" s="67" t="n"/>
      <c r="K866" s="67" t="n"/>
      <c r="L866" s="67" t="n"/>
      <c r="M866" s="64" t="n"/>
      <c r="N866" s="66" t="n"/>
      <c r="O866" s="84">
        <f>IF(A866="","",IF(OR(C866="",D866=""),"Enter both dates",IF(D866&lt;C866,"To is before From",IF(COUNTIFS($P$5:$P$2004,P866,$C$5:$C$2004,"&lt;="&amp;D866,$D$5:$D$2004,"&gt;="&amp;C866)&gt;1,"Overlaps another row","OK"))))</f>
        <v/>
      </c>
      <c r="P866">
        <f>IF(A866="","",A866&amp;"|"&amp;IF(B866="","Standard",B866))</f>
        <v/>
      </c>
      <c r="Q866">
        <f>IF(AND(A866&lt;&gt;"",A866='Firm Search'!$C$7),COUNTIF($A$5:A866,'Firm Search'!$C$7),"")</f>
        <v/>
      </c>
    </row>
    <row r="867">
      <c r="A867" s="64" t="n"/>
      <c r="B867" s="64" t="n"/>
      <c r="C867" s="66" t="n"/>
      <c r="D867" s="66" t="n"/>
      <c r="E867" s="67" t="n"/>
      <c r="F867" s="67" t="n"/>
      <c r="G867" s="67" t="n"/>
      <c r="H867" s="67" t="n"/>
      <c r="I867" s="67" t="n"/>
      <c r="J867" s="67" t="n"/>
      <c r="K867" s="67" t="n"/>
      <c r="L867" s="67" t="n"/>
      <c r="M867" s="64" t="n"/>
      <c r="N867" s="66" t="n"/>
      <c r="O867" s="84">
        <f>IF(A867="","",IF(OR(C867="",D867=""),"Enter both dates",IF(D867&lt;C867,"To is before From",IF(COUNTIFS($P$5:$P$2004,P867,$C$5:$C$2004,"&lt;="&amp;D867,$D$5:$D$2004,"&gt;="&amp;C867)&gt;1,"Overlaps another row","OK"))))</f>
        <v/>
      </c>
      <c r="P867">
        <f>IF(A867="","",A867&amp;"|"&amp;IF(B867="","Standard",B867))</f>
        <v/>
      </c>
      <c r="Q867">
        <f>IF(AND(A867&lt;&gt;"",A867='Firm Search'!$C$7),COUNTIF($A$5:A867,'Firm Search'!$C$7),"")</f>
        <v/>
      </c>
    </row>
    <row r="868">
      <c r="A868" s="64" t="n"/>
      <c r="B868" s="64" t="n"/>
      <c r="C868" s="66" t="n"/>
      <c r="D868" s="66" t="n"/>
      <c r="E868" s="67" t="n"/>
      <c r="F868" s="67" t="n"/>
      <c r="G868" s="67" t="n"/>
      <c r="H868" s="67" t="n"/>
      <c r="I868" s="67" t="n"/>
      <c r="J868" s="67" t="n"/>
      <c r="K868" s="67" t="n"/>
      <c r="L868" s="67" t="n"/>
      <c r="M868" s="64" t="n"/>
      <c r="N868" s="66" t="n"/>
      <c r="O868" s="84">
        <f>IF(A868="","",IF(OR(C868="",D868=""),"Enter both dates",IF(D868&lt;C868,"To is before From",IF(COUNTIFS($P$5:$P$2004,P868,$C$5:$C$2004,"&lt;="&amp;D868,$D$5:$D$2004,"&gt;="&amp;C868)&gt;1,"Overlaps another row","OK"))))</f>
        <v/>
      </c>
      <c r="P868">
        <f>IF(A868="","",A868&amp;"|"&amp;IF(B868="","Standard",B868))</f>
        <v/>
      </c>
      <c r="Q868">
        <f>IF(AND(A868&lt;&gt;"",A868='Firm Search'!$C$7),COUNTIF($A$5:A868,'Firm Search'!$C$7),"")</f>
        <v/>
      </c>
    </row>
    <row r="869">
      <c r="A869" s="64" t="n"/>
      <c r="B869" s="64" t="n"/>
      <c r="C869" s="66" t="n"/>
      <c r="D869" s="66" t="n"/>
      <c r="E869" s="67" t="n"/>
      <c r="F869" s="67" t="n"/>
      <c r="G869" s="67" t="n"/>
      <c r="H869" s="67" t="n"/>
      <c r="I869" s="67" t="n"/>
      <c r="J869" s="67" t="n"/>
      <c r="K869" s="67" t="n"/>
      <c r="L869" s="67" t="n"/>
      <c r="M869" s="64" t="n"/>
      <c r="N869" s="66" t="n"/>
      <c r="O869" s="84">
        <f>IF(A869="","",IF(OR(C869="",D869=""),"Enter both dates",IF(D869&lt;C869,"To is before From",IF(COUNTIFS($P$5:$P$2004,P869,$C$5:$C$2004,"&lt;="&amp;D869,$D$5:$D$2004,"&gt;="&amp;C869)&gt;1,"Overlaps another row","OK"))))</f>
        <v/>
      </c>
      <c r="P869">
        <f>IF(A869="","",A869&amp;"|"&amp;IF(B869="","Standard",B869))</f>
        <v/>
      </c>
      <c r="Q869">
        <f>IF(AND(A869&lt;&gt;"",A869='Firm Search'!$C$7),COUNTIF($A$5:A869,'Firm Search'!$C$7),"")</f>
        <v/>
      </c>
    </row>
    <row r="870">
      <c r="A870" s="64" t="n"/>
      <c r="B870" s="64" t="n"/>
      <c r="C870" s="66" t="n"/>
      <c r="D870" s="66" t="n"/>
      <c r="E870" s="67" t="n"/>
      <c r="F870" s="67" t="n"/>
      <c r="G870" s="67" t="n"/>
      <c r="H870" s="67" t="n"/>
      <c r="I870" s="67" t="n"/>
      <c r="J870" s="67" t="n"/>
      <c r="K870" s="67" t="n"/>
      <c r="L870" s="67" t="n"/>
      <c r="M870" s="64" t="n"/>
      <c r="N870" s="66" t="n"/>
      <c r="O870" s="84">
        <f>IF(A870="","",IF(OR(C870="",D870=""),"Enter both dates",IF(D870&lt;C870,"To is before From",IF(COUNTIFS($P$5:$P$2004,P870,$C$5:$C$2004,"&lt;="&amp;D870,$D$5:$D$2004,"&gt;="&amp;C870)&gt;1,"Overlaps another row","OK"))))</f>
        <v/>
      </c>
      <c r="P870">
        <f>IF(A870="","",A870&amp;"|"&amp;IF(B870="","Standard",B870))</f>
        <v/>
      </c>
      <c r="Q870">
        <f>IF(AND(A870&lt;&gt;"",A870='Firm Search'!$C$7),COUNTIF($A$5:A870,'Firm Search'!$C$7),"")</f>
        <v/>
      </c>
    </row>
    <row r="871">
      <c r="A871" s="64" t="n"/>
      <c r="B871" s="64" t="n"/>
      <c r="C871" s="66" t="n"/>
      <c r="D871" s="66" t="n"/>
      <c r="E871" s="67" t="n"/>
      <c r="F871" s="67" t="n"/>
      <c r="G871" s="67" t="n"/>
      <c r="H871" s="67" t="n"/>
      <c r="I871" s="67" t="n"/>
      <c r="J871" s="67" t="n"/>
      <c r="K871" s="67" t="n"/>
      <c r="L871" s="67" t="n"/>
      <c r="M871" s="64" t="n"/>
      <c r="N871" s="66" t="n"/>
      <c r="O871" s="84">
        <f>IF(A871="","",IF(OR(C871="",D871=""),"Enter both dates",IF(D871&lt;C871,"To is before From",IF(COUNTIFS($P$5:$P$2004,P871,$C$5:$C$2004,"&lt;="&amp;D871,$D$5:$D$2004,"&gt;="&amp;C871)&gt;1,"Overlaps another row","OK"))))</f>
        <v/>
      </c>
      <c r="P871">
        <f>IF(A871="","",A871&amp;"|"&amp;IF(B871="","Standard",B871))</f>
        <v/>
      </c>
      <c r="Q871">
        <f>IF(AND(A871&lt;&gt;"",A871='Firm Search'!$C$7),COUNTIF($A$5:A871,'Firm Search'!$C$7),"")</f>
        <v/>
      </c>
    </row>
    <row r="872">
      <c r="A872" s="64" t="n"/>
      <c r="B872" s="64" t="n"/>
      <c r="C872" s="66" t="n"/>
      <c r="D872" s="66" t="n"/>
      <c r="E872" s="67" t="n"/>
      <c r="F872" s="67" t="n"/>
      <c r="G872" s="67" t="n"/>
      <c r="H872" s="67" t="n"/>
      <c r="I872" s="67" t="n"/>
      <c r="J872" s="67" t="n"/>
      <c r="K872" s="67" t="n"/>
      <c r="L872" s="67" t="n"/>
      <c r="M872" s="64" t="n"/>
      <c r="N872" s="66" t="n"/>
      <c r="O872" s="84">
        <f>IF(A872="","",IF(OR(C872="",D872=""),"Enter both dates",IF(D872&lt;C872,"To is before From",IF(COUNTIFS($P$5:$P$2004,P872,$C$5:$C$2004,"&lt;="&amp;D872,$D$5:$D$2004,"&gt;="&amp;C872)&gt;1,"Overlaps another row","OK"))))</f>
        <v/>
      </c>
      <c r="P872">
        <f>IF(A872="","",A872&amp;"|"&amp;IF(B872="","Standard",B872))</f>
        <v/>
      </c>
      <c r="Q872">
        <f>IF(AND(A872&lt;&gt;"",A872='Firm Search'!$C$7),COUNTIF($A$5:A872,'Firm Search'!$C$7),"")</f>
        <v/>
      </c>
    </row>
    <row r="873">
      <c r="A873" s="64" t="n"/>
      <c r="B873" s="64" t="n"/>
      <c r="C873" s="66" t="n"/>
      <c r="D873" s="66" t="n"/>
      <c r="E873" s="67" t="n"/>
      <c r="F873" s="67" t="n"/>
      <c r="G873" s="67" t="n"/>
      <c r="H873" s="67" t="n"/>
      <c r="I873" s="67" t="n"/>
      <c r="J873" s="67" t="n"/>
      <c r="K873" s="67" t="n"/>
      <c r="L873" s="67" t="n"/>
      <c r="M873" s="64" t="n"/>
      <c r="N873" s="66" t="n"/>
      <c r="O873" s="84">
        <f>IF(A873="","",IF(OR(C873="",D873=""),"Enter both dates",IF(D873&lt;C873,"To is before From",IF(COUNTIFS($P$5:$P$2004,P873,$C$5:$C$2004,"&lt;="&amp;D873,$D$5:$D$2004,"&gt;="&amp;C873)&gt;1,"Overlaps another row","OK"))))</f>
        <v/>
      </c>
      <c r="P873">
        <f>IF(A873="","",A873&amp;"|"&amp;IF(B873="","Standard",B873))</f>
        <v/>
      </c>
      <c r="Q873">
        <f>IF(AND(A873&lt;&gt;"",A873='Firm Search'!$C$7),COUNTIF($A$5:A873,'Firm Search'!$C$7),"")</f>
        <v/>
      </c>
    </row>
    <row r="874">
      <c r="A874" s="64" t="n"/>
      <c r="B874" s="64" t="n"/>
      <c r="C874" s="66" t="n"/>
      <c r="D874" s="66" t="n"/>
      <c r="E874" s="67" t="n"/>
      <c r="F874" s="67" t="n"/>
      <c r="G874" s="67" t="n"/>
      <c r="H874" s="67" t="n"/>
      <c r="I874" s="67" t="n"/>
      <c r="J874" s="67" t="n"/>
      <c r="K874" s="67" t="n"/>
      <c r="L874" s="67" t="n"/>
      <c r="M874" s="64" t="n"/>
      <c r="N874" s="66" t="n"/>
      <c r="O874" s="84">
        <f>IF(A874="","",IF(OR(C874="",D874=""),"Enter both dates",IF(D874&lt;C874,"To is before From",IF(COUNTIFS($P$5:$P$2004,P874,$C$5:$C$2004,"&lt;="&amp;D874,$D$5:$D$2004,"&gt;="&amp;C874)&gt;1,"Overlaps another row","OK"))))</f>
        <v/>
      </c>
      <c r="P874">
        <f>IF(A874="","",A874&amp;"|"&amp;IF(B874="","Standard",B874))</f>
        <v/>
      </c>
      <c r="Q874">
        <f>IF(AND(A874&lt;&gt;"",A874='Firm Search'!$C$7),COUNTIF($A$5:A874,'Firm Search'!$C$7),"")</f>
        <v/>
      </c>
    </row>
    <row r="875">
      <c r="A875" s="64" t="n"/>
      <c r="B875" s="64" t="n"/>
      <c r="C875" s="66" t="n"/>
      <c r="D875" s="66" t="n"/>
      <c r="E875" s="67" t="n"/>
      <c r="F875" s="67" t="n"/>
      <c r="G875" s="67" t="n"/>
      <c r="H875" s="67" t="n"/>
      <c r="I875" s="67" t="n"/>
      <c r="J875" s="67" t="n"/>
      <c r="K875" s="67" t="n"/>
      <c r="L875" s="67" t="n"/>
      <c r="M875" s="64" t="n"/>
      <c r="N875" s="66" t="n"/>
      <c r="O875" s="84">
        <f>IF(A875="","",IF(OR(C875="",D875=""),"Enter both dates",IF(D875&lt;C875,"To is before From",IF(COUNTIFS($P$5:$P$2004,P875,$C$5:$C$2004,"&lt;="&amp;D875,$D$5:$D$2004,"&gt;="&amp;C875)&gt;1,"Overlaps another row","OK"))))</f>
        <v/>
      </c>
      <c r="P875">
        <f>IF(A875="","",A875&amp;"|"&amp;IF(B875="","Standard",B875))</f>
        <v/>
      </c>
      <c r="Q875">
        <f>IF(AND(A875&lt;&gt;"",A875='Firm Search'!$C$7),COUNTIF($A$5:A875,'Firm Search'!$C$7),"")</f>
        <v/>
      </c>
    </row>
    <row r="876">
      <c r="A876" s="64" t="n"/>
      <c r="B876" s="64" t="n"/>
      <c r="C876" s="66" t="n"/>
      <c r="D876" s="66" t="n"/>
      <c r="E876" s="67" t="n"/>
      <c r="F876" s="67" t="n"/>
      <c r="G876" s="67" t="n"/>
      <c r="H876" s="67" t="n"/>
      <c r="I876" s="67" t="n"/>
      <c r="J876" s="67" t="n"/>
      <c r="K876" s="67" t="n"/>
      <c r="L876" s="67" t="n"/>
      <c r="M876" s="64" t="n"/>
      <c r="N876" s="66" t="n"/>
      <c r="O876" s="84">
        <f>IF(A876="","",IF(OR(C876="",D876=""),"Enter both dates",IF(D876&lt;C876,"To is before From",IF(COUNTIFS($P$5:$P$2004,P876,$C$5:$C$2004,"&lt;="&amp;D876,$D$5:$D$2004,"&gt;="&amp;C876)&gt;1,"Overlaps another row","OK"))))</f>
        <v/>
      </c>
      <c r="P876">
        <f>IF(A876="","",A876&amp;"|"&amp;IF(B876="","Standard",B876))</f>
        <v/>
      </c>
      <c r="Q876">
        <f>IF(AND(A876&lt;&gt;"",A876='Firm Search'!$C$7),COUNTIF($A$5:A876,'Firm Search'!$C$7),"")</f>
        <v/>
      </c>
    </row>
    <row r="877">
      <c r="A877" s="64" t="n"/>
      <c r="B877" s="64" t="n"/>
      <c r="C877" s="66" t="n"/>
      <c r="D877" s="66" t="n"/>
      <c r="E877" s="67" t="n"/>
      <c r="F877" s="67" t="n"/>
      <c r="G877" s="67" t="n"/>
      <c r="H877" s="67" t="n"/>
      <c r="I877" s="67" t="n"/>
      <c r="J877" s="67" t="n"/>
      <c r="K877" s="67" t="n"/>
      <c r="L877" s="67" t="n"/>
      <c r="M877" s="64" t="n"/>
      <c r="N877" s="66" t="n"/>
      <c r="O877" s="84">
        <f>IF(A877="","",IF(OR(C877="",D877=""),"Enter both dates",IF(D877&lt;C877,"To is before From",IF(COUNTIFS($P$5:$P$2004,P877,$C$5:$C$2004,"&lt;="&amp;D877,$D$5:$D$2004,"&gt;="&amp;C877)&gt;1,"Overlaps another row","OK"))))</f>
        <v/>
      </c>
      <c r="P877">
        <f>IF(A877="","",A877&amp;"|"&amp;IF(B877="","Standard",B877))</f>
        <v/>
      </c>
      <c r="Q877">
        <f>IF(AND(A877&lt;&gt;"",A877='Firm Search'!$C$7),COUNTIF($A$5:A877,'Firm Search'!$C$7),"")</f>
        <v/>
      </c>
    </row>
    <row r="878">
      <c r="A878" s="64" t="n"/>
      <c r="B878" s="64" t="n"/>
      <c r="C878" s="66" t="n"/>
      <c r="D878" s="66" t="n"/>
      <c r="E878" s="67" t="n"/>
      <c r="F878" s="67" t="n"/>
      <c r="G878" s="67" t="n"/>
      <c r="H878" s="67" t="n"/>
      <c r="I878" s="67" t="n"/>
      <c r="J878" s="67" t="n"/>
      <c r="K878" s="67" t="n"/>
      <c r="L878" s="67" t="n"/>
      <c r="M878" s="64" t="n"/>
      <c r="N878" s="66" t="n"/>
      <c r="O878" s="84">
        <f>IF(A878="","",IF(OR(C878="",D878=""),"Enter both dates",IF(D878&lt;C878,"To is before From",IF(COUNTIFS($P$5:$P$2004,P878,$C$5:$C$2004,"&lt;="&amp;D878,$D$5:$D$2004,"&gt;="&amp;C878)&gt;1,"Overlaps another row","OK"))))</f>
        <v/>
      </c>
      <c r="P878">
        <f>IF(A878="","",A878&amp;"|"&amp;IF(B878="","Standard",B878))</f>
        <v/>
      </c>
      <c r="Q878">
        <f>IF(AND(A878&lt;&gt;"",A878='Firm Search'!$C$7),COUNTIF($A$5:A878,'Firm Search'!$C$7),"")</f>
        <v/>
      </c>
    </row>
    <row r="879">
      <c r="A879" s="64" t="n"/>
      <c r="B879" s="64" t="n"/>
      <c r="C879" s="66" t="n"/>
      <c r="D879" s="66" t="n"/>
      <c r="E879" s="67" t="n"/>
      <c r="F879" s="67" t="n"/>
      <c r="G879" s="67" t="n"/>
      <c r="H879" s="67" t="n"/>
      <c r="I879" s="67" t="n"/>
      <c r="J879" s="67" t="n"/>
      <c r="K879" s="67" t="n"/>
      <c r="L879" s="67" t="n"/>
      <c r="M879" s="64" t="n"/>
      <c r="N879" s="66" t="n"/>
      <c r="O879" s="84">
        <f>IF(A879="","",IF(OR(C879="",D879=""),"Enter both dates",IF(D879&lt;C879,"To is before From",IF(COUNTIFS($P$5:$P$2004,P879,$C$5:$C$2004,"&lt;="&amp;D879,$D$5:$D$2004,"&gt;="&amp;C879)&gt;1,"Overlaps another row","OK"))))</f>
        <v/>
      </c>
      <c r="P879">
        <f>IF(A879="","",A879&amp;"|"&amp;IF(B879="","Standard",B879))</f>
        <v/>
      </c>
      <c r="Q879">
        <f>IF(AND(A879&lt;&gt;"",A879='Firm Search'!$C$7),COUNTIF($A$5:A879,'Firm Search'!$C$7),"")</f>
        <v/>
      </c>
    </row>
    <row r="880">
      <c r="A880" s="64" t="n"/>
      <c r="B880" s="64" t="n"/>
      <c r="C880" s="66" t="n"/>
      <c r="D880" s="66" t="n"/>
      <c r="E880" s="67" t="n"/>
      <c r="F880" s="67" t="n"/>
      <c r="G880" s="67" t="n"/>
      <c r="H880" s="67" t="n"/>
      <c r="I880" s="67" t="n"/>
      <c r="J880" s="67" t="n"/>
      <c r="K880" s="67" t="n"/>
      <c r="L880" s="67" t="n"/>
      <c r="M880" s="64" t="n"/>
      <c r="N880" s="66" t="n"/>
      <c r="O880" s="84">
        <f>IF(A880="","",IF(OR(C880="",D880=""),"Enter both dates",IF(D880&lt;C880,"To is before From",IF(COUNTIFS($P$5:$P$2004,P880,$C$5:$C$2004,"&lt;="&amp;D880,$D$5:$D$2004,"&gt;="&amp;C880)&gt;1,"Overlaps another row","OK"))))</f>
        <v/>
      </c>
      <c r="P880">
        <f>IF(A880="","",A880&amp;"|"&amp;IF(B880="","Standard",B880))</f>
        <v/>
      </c>
      <c r="Q880">
        <f>IF(AND(A880&lt;&gt;"",A880='Firm Search'!$C$7),COUNTIF($A$5:A880,'Firm Search'!$C$7),"")</f>
        <v/>
      </c>
    </row>
    <row r="881">
      <c r="A881" s="64" t="n"/>
      <c r="B881" s="64" t="n"/>
      <c r="C881" s="66" t="n"/>
      <c r="D881" s="66" t="n"/>
      <c r="E881" s="67" t="n"/>
      <c r="F881" s="67" t="n"/>
      <c r="G881" s="67" t="n"/>
      <c r="H881" s="67" t="n"/>
      <c r="I881" s="67" t="n"/>
      <c r="J881" s="67" t="n"/>
      <c r="K881" s="67" t="n"/>
      <c r="L881" s="67" t="n"/>
      <c r="M881" s="64" t="n"/>
      <c r="N881" s="66" t="n"/>
      <c r="O881" s="84">
        <f>IF(A881="","",IF(OR(C881="",D881=""),"Enter both dates",IF(D881&lt;C881,"To is before From",IF(COUNTIFS($P$5:$P$2004,P881,$C$5:$C$2004,"&lt;="&amp;D881,$D$5:$D$2004,"&gt;="&amp;C881)&gt;1,"Overlaps another row","OK"))))</f>
        <v/>
      </c>
      <c r="P881">
        <f>IF(A881="","",A881&amp;"|"&amp;IF(B881="","Standard",B881))</f>
        <v/>
      </c>
      <c r="Q881">
        <f>IF(AND(A881&lt;&gt;"",A881='Firm Search'!$C$7),COUNTIF($A$5:A881,'Firm Search'!$C$7),"")</f>
        <v/>
      </c>
    </row>
    <row r="882">
      <c r="A882" s="64" t="n"/>
      <c r="B882" s="64" t="n"/>
      <c r="C882" s="66" t="n"/>
      <c r="D882" s="66" t="n"/>
      <c r="E882" s="67" t="n"/>
      <c r="F882" s="67" t="n"/>
      <c r="G882" s="67" t="n"/>
      <c r="H882" s="67" t="n"/>
      <c r="I882" s="67" t="n"/>
      <c r="J882" s="67" t="n"/>
      <c r="K882" s="67" t="n"/>
      <c r="L882" s="67" t="n"/>
      <c r="M882" s="64" t="n"/>
      <c r="N882" s="66" t="n"/>
      <c r="O882" s="84">
        <f>IF(A882="","",IF(OR(C882="",D882=""),"Enter both dates",IF(D882&lt;C882,"To is before From",IF(COUNTIFS($P$5:$P$2004,P882,$C$5:$C$2004,"&lt;="&amp;D882,$D$5:$D$2004,"&gt;="&amp;C882)&gt;1,"Overlaps another row","OK"))))</f>
        <v/>
      </c>
      <c r="P882">
        <f>IF(A882="","",A882&amp;"|"&amp;IF(B882="","Standard",B882))</f>
        <v/>
      </c>
      <c r="Q882">
        <f>IF(AND(A882&lt;&gt;"",A882='Firm Search'!$C$7),COUNTIF($A$5:A882,'Firm Search'!$C$7),"")</f>
        <v/>
      </c>
    </row>
    <row r="883">
      <c r="A883" s="64" t="n"/>
      <c r="B883" s="64" t="n"/>
      <c r="C883" s="66" t="n"/>
      <c r="D883" s="66" t="n"/>
      <c r="E883" s="67" t="n"/>
      <c r="F883" s="67" t="n"/>
      <c r="G883" s="67" t="n"/>
      <c r="H883" s="67" t="n"/>
      <c r="I883" s="67" t="n"/>
      <c r="J883" s="67" t="n"/>
      <c r="K883" s="67" t="n"/>
      <c r="L883" s="67" t="n"/>
      <c r="M883" s="64" t="n"/>
      <c r="N883" s="66" t="n"/>
      <c r="O883" s="84">
        <f>IF(A883="","",IF(OR(C883="",D883=""),"Enter both dates",IF(D883&lt;C883,"To is before From",IF(COUNTIFS($P$5:$P$2004,P883,$C$5:$C$2004,"&lt;="&amp;D883,$D$5:$D$2004,"&gt;="&amp;C883)&gt;1,"Overlaps another row","OK"))))</f>
        <v/>
      </c>
      <c r="P883">
        <f>IF(A883="","",A883&amp;"|"&amp;IF(B883="","Standard",B883))</f>
        <v/>
      </c>
      <c r="Q883">
        <f>IF(AND(A883&lt;&gt;"",A883='Firm Search'!$C$7),COUNTIF($A$5:A883,'Firm Search'!$C$7),"")</f>
        <v/>
      </c>
    </row>
    <row r="884">
      <c r="A884" s="64" t="n"/>
      <c r="B884" s="64" t="n"/>
      <c r="C884" s="66" t="n"/>
      <c r="D884" s="66" t="n"/>
      <c r="E884" s="67" t="n"/>
      <c r="F884" s="67" t="n"/>
      <c r="G884" s="67" t="n"/>
      <c r="H884" s="67" t="n"/>
      <c r="I884" s="67" t="n"/>
      <c r="J884" s="67" t="n"/>
      <c r="K884" s="67" t="n"/>
      <c r="L884" s="67" t="n"/>
      <c r="M884" s="64" t="n"/>
      <c r="N884" s="66" t="n"/>
      <c r="O884" s="84">
        <f>IF(A884="","",IF(OR(C884="",D884=""),"Enter both dates",IF(D884&lt;C884,"To is before From",IF(COUNTIFS($P$5:$P$2004,P884,$C$5:$C$2004,"&lt;="&amp;D884,$D$5:$D$2004,"&gt;="&amp;C884)&gt;1,"Overlaps another row","OK"))))</f>
        <v/>
      </c>
      <c r="P884">
        <f>IF(A884="","",A884&amp;"|"&amp;IF(B884="","Standard",B884))</f>
        <v/>
      </c>
      <c r="Q884">
        <f>IF(AND(A884&lt;&gt;"",A884='Firm Search'!$C$7),COUNTIF($A$5:A884,'Firm Search'!$C$7),"")</f>
        <v/>
      </c>
    </row>
    <row r="885">
      <c r="A885" s="64" t="n"/>
      <c r="B885" s="64" t="n"/>
      <c r="C885" s="66" t="n"/>
      <c r="D885" s="66" t="n"/>
      <c r="E885" s="67" t="n"/>
      <c r="F885" s="67" t="n"/>
      <c r="G885" s="67" t="n"/>
      <c r="H885" s="67" t="n"/>
      <c r="I885" s="67" t="n"/>
      <c r="J885" s="67" t="n"/>
      <c r="K885" s="67" t="n"/>
      <c r="L885" s="67" t="n"/>
      <c r="M885" s="64" t="n"/>
      <c r="N885" s="66" t="n"/>
      <c r="O885" s="84">
        <f>IF(A885="","",IF(OR(C885="",D885=""),"Enter both dates",IF(D885&lt;C885,"To is before From",IF(COUNTIFS($P$5:$P$2004,P885,$C$5:$C$2004,"&lt;="&amp;D885,$D$5:$D$2004,"&gt;="&amp;C885)&gt;1,"Overlaps another row","OK"))))</f>
        <v/>
      </c>
      <c r="P885">
        <f>IF(A885="","",A885&amp;"|"&amp;IF(B885="","Standard",B885))</f>
        <v/>
      </c>
      <c r="Q885">
        <f>IF(AND(A885&lt;&gt;"",A885='Firm Search'!$C$7),COUNTIF($A$5:A885,'Firm Search'!$C$7),"")</f>
        <v/>
      </c>
    </row>
    <row r="886">
      <c r="A886" s="64" t="n"/>
      <c r="B886" s="64" t="n"/>
      <c r="C886" s="66" t="n"/>
      <c r="D886" s="66" t="n"/>
      <c r="E886" s="67" t="n"/>
      <c r="F886" s="67" t="n"/>
      <c r="G886" s="67" t="n"/>
      <c r="H886" s="67" t="n"/>
      <c r="I886" s="67" t="n"/>
      <c r="J886" s="67" t="n"/>
      <c r="K886" s="67" t="n"/>
      <c r="L886" s="67" t="n"/>
      <c r="M886" s="64" t="n"/>
      <c r="N886" s="66" t="n"/>
      <c r="O886" s="84">
        <f>IF(A886="","",IF(OR(C886="",D886=""),"Enter both dates",IF(D886&lt;C886,"To is before From",IF(COUNTIFS($P$5:$P$2004,P886,$C$5:$C$2004,"&lt;="&amp;D886,$D$5:$D$2004,"&gt;="&amp;C886)&gt;1,"Overlaps another row","OK"))))</f>
        <v/>
      </c>
      <c r="P886">
        <f>IF(A886="","",A886&amp;"|"&amp;IF(B886="","Standard",B886))</f>
        <v/>
      </c>
      <c r="Q886">
        <f>IF(AND(A886&lt;&gt;"",A886='Firm Search'!$C$7),COUNTIF($A$5:A886,'Firm Search'!$C$7),"")</f>
        <v/>
      </c>
    </row>
    <row r="887">
      <c r="A887" s="64" t="n"/>
      <c r="B887" s="64" t="n"/>
      <c r="C887" s="66" t="n"/>
      <c r="D887" s="66" t="n"/>
      <c r="E887" s="67" t="n"/>
      <c r="F887" s="67" t="n"/>
      <c r="G887" s="67" t="n"/>
      <c r="H887" s="67" t="n"/>
      <c r="I887" s="67" t="n"/>
      <c r="J887" s="67" t="n"/>
      <c r="K887" s="67" t="n"/>
      <c r="L887" s="67" t="n"/>
      <c r="M887" s="64" t="n"/>
      <c r="N887" s="66" t="n"/>
      <c r="O887" s="84">
        <f>IF(A887="","",IF(OR(C887="",D887=""),"Enter both dates",IF(D887&lt;C887,"To is before From",IF(COUNTIFS($P$5:$P$2004,P887,$C$5:$C$2004,"&lt;="&amp;D887,$D$5:$D$2004,"&gt;="&amp;C887)&gt;1,"Overlaps another row","OK"))))</f>
        <v/>
      </c>
      <c r="P887">
        <f>IF(A887="","",A887&amp;"|"&amp;IF(B887="","Standard",B887))</f>
        <v/>
      </c>
      <c r="Q887">
        <f>IF(AND(A887&lt;&gt;"",A887='Firm Search'!$C$7),COUNTIF($A$5:A887,'Firm Search'!$C$7),"")</f>
        <v/>
      </c>
    </row>
    <row r="888">
      <c r="A888" s="64" t="n"/>
      <c r="B888" s="64" t="n"/>
      <c r="C888" s="66" t="n"/>
      <c r="D888" s="66" t="n"/>
      <c r="E888" s="67" t="n"/>
      <c r="F888" s="67" t="n"/>
      <c r="G888" s="67" t="n"/>
      <c r="H888" s="67" t="n"/>
      <c r="I888" s="67" t="n"/>
      <c r="J888" s="67" t="n"/>
      <c r="K888" s="67" t="n"/>
      <c r="L888" s="67" t="n"/>
      <c r="M888" s="64" t="n"/>
      <c r="N888" s="66" t="n"/>
      <c r="O888" s="84">
        <f>IF(A888="","",IF(OR(C888="",D888=""),"Enter both dates",IF(D888&lt;C888,"To is before From",IF(COUNTIFS($P$5:$P$2004,P888,$C$5:$C$2004,"&lt;="&amp;D888,$D$5:$D$2004,"&gt;="&amp;C888)&gt;1,"Overlaps another row","OK"))))</f>
        <v/>
      </c>
      <c r="P888">
        <f>IF(A888="","",A888&amp;"|"&amp;IF(B888="","Standard",B888))</f>
        <v/>
      </c>
      <c r="Q888">
        <f>IF(AND(A888&lt;&gt;"",A888='Firm Search'!$C$7),COUNTIF($A$5:A888,'Firm Search'!$C$7),"")</f>
        <v/>
      </c>
    </row>
    <row r="889">
      <c r="A889" s="64" t="n"/>
      <c r="B889" s="64" t="n"/>
      <c r="C889" s="66" t="n"/>
      <c r="D889" s="66" t="n"/>
      <c r="E889" s="67" t="n"/>
      <c r="F889" s="67" t="n"/>
      <c r="G889" s="67" t="n"/>
      <c r="H889" s="67" t="n"/>
      <c r="I889" s="67" t="n"/>
      <c r="J889" s="67" t="n"/>
      <c r="K889" s="67" t="n"/>
      <c r="L889" s="67" t="n"/>
      <c r="M889" s="64" t="n"/>
      <c r="N889" s="66" t="n"/>
      <c r="O889" s="84">
        <f>IF(A889="","",IF(OR(C889="",D889=""),"Enter both dates",IF(D889&lt;C889,"To is before From",IF(COUNTIFS($P$5:$P$2004,P889,$C$5:$C$2004,"&lt;="&amp;D889,$D$5:$D$2004,"&gt;="&amp;C889)&gt;1,"Overlaps another row","OK"))))</f>
        <v/>
      </c>
      <c r="P889">
        <f>IF(A889="","",A889&amp;"|"&amp;IF(B889="","Standard",B889))</f>
        <v/>
      </c>
      <c r="Q889">
        <f>IF(AND(A889&lt;&gt;"",A889='Firm Search'!$C$7),COUNTIF($A$5:A889,'Firm Search'!$C$7),"")</f>
        <v/>
      </c>
    </row>
    <row r="890">
      <c r="A890" s="64" t="n"/>
      <c r="B890" s="64" t="n"/>
      <c r="C890" s="66" t="n"/>
      <c r="D890" s="66" t="n"/>
      <c r="E890" s="67" t="n"/>
      <c r="F890" s="67" t="n"/>
      <c r="G890" s="67" t="n"/>
      <c r="H890" s="67" t="n"/>
      <c r="I890" s="67" t="n"/>
      <c r="J890" s="67" t="n"/>
      <c r="K890" s="67" t="n"/>
      <c r="L890" s="67" t="n"/>
      <c r="M890" s="64" t="n"/>
      <c r="N890" s="66" t="n"/>
      <c r="O890" s="84">
        <f>IF(A890="","",IF(OR(C890="",D890=""),"Enter both dates",IF(D890&lt;C890,"To is before From",IF(COUNTIFS($P$5:$P$2004,P890,$C$5:$C$2004,"&lt;="&amp;D890,$D$5:$D$2004,"&gt;="&amp;C890)&gt;1,"Overlaps another row","OK"))))</f>
        <v/>
      </c>
      <c r="P890">
        <f>IF(A890="","",A890&amp;"|"&amp;IF(B890="","Standard",B890))</f>
        <v/>
      </c>
      <c r="Q890">
        <f>IF(AND(A890&lt;&gt;"",A890='Firm Search'!$C$7),COUNTIF($A$5:A890,'Firm Search'!$C$7),"")</f>
        <v/>
      </c>
    </row>
    <row r="891">
      <c r="A891" s="64" t="n"/>
      <c r="B891" s="64" t="n"/>
      <c r="C891" s="66" t="n"/>
      <c r="D891" s="66" t="n"/>
      <c r="E891" s="67" t="n"/>
      <c r="F891" s="67" t="n"/>
      <c r="G891" s="67" t="n"/>
      <c r="H891" s="67" t="n"/>
      <c r="I891" s="67" t="n"/>
      <c r="J891" s="67" t="n"/>
      <c r="K891" s="67" t="n"/>
      <c r="L891" s="67" t="n"/>
      <c r="M891" s="64" t="n"/>
      <c r="N891" s="66" t="n"/>
      <c r="O891" s="84">
        <f>IF(A891="","",IF(OR(C891="",D891=""),"Enter both dates",IF(D891&lt;C891,"To is before From",IF(COUNTIFS($P$5:$P$2004,P891,$C$5:$C$2004,"&lt;="&amp;D891,$D$5:$D$2004,"&gt;="&amp;C891)&gt;1,"Overlaps another row","OK"))))</f>
        <v/>
      </c>
      <c r="P891">
        <f>IF(A891="","",A891&amp;"|"&amp;IF(B891="","Standard",B891))</f>
        <v/>
      </c>
      <c r="Q891">
        <f>IF(AND(A891&lt;&gt;"",A891='Firm Search'!$C$7),COUNTIF($A$5:A891,'Firm Search'!$C$7),"")</f>
        <v/>
      </c>
    </row>
    <row r="892">
      <c r="A892" s="64" t="n"/>
      <c r="B892" s="64" t="n"/>
      <c r="C892" s="66" t="n"/>
      <c r="D892" s="66" t="n"/>
      <c r="E892" s="67" t="n"/>
      <c r="F892" s="67" t="n"/>
      <c r="G892" s="67" t="n"/>
      <c r="H892" s="67" t="n"/>
      <c r="I892" s="67" t="n"/>
      <c r="J892" s="67" t="n"/>
      <c r="K892" s="67" t="n"/>
      <c r="L892" s="67" t="n"/>
      <c r="M892" s="64" t="n"/>
      <c r="N892" s="66" t="n"/>
      <c r="O892" s="84">
        <f>IF(A892="","",IF(OR(C892="",D892=""),"Enter both dates",IF(D892&lt;C892,"To is before From",IF(COUNTIFS($P$5:$P$2004,P892,$C$5:$C$2004,"&lt;="&amp;D892,$D$5:$D$2004,"&gt;="&amp;C892)&gt;1,"Overlaps another row","OK"))))</f>
        <v/>
      </c>
      <c r="P892">
        <f>IF(A892="","",A892&amp;"|"&amp;IF(B892="","Standard",B892))</f>
        <v/>
      </c>
      <c r="Q892">
        <f>IF(AND(A892&lt;&gt;"",A892='Firm Search'!$C$7),COUNTIF($A$5:A892,'Firm Search'!$C$7),"")</f>
        <v/>
      </c>
    </row>
    <row r="893">
      <c r="A893" s="64" t="n"/>
      <c r="B893" s="64" t="n"/>
      <c r="C893" s="66" t="n"/>
      <c r="D893" s="66" t="n"/>
      <c r="E893" s="67" t="n"/>
      <c r="F893" s="67" t="n"/>
      <c r="G893" s="67" t="n"/>
      <c r="H893" s="67" t="n"/>
      <c r="I893" s="67" t="n"/>
      <c r="J893" s="67" t="n"/>
      <c r="K893" s="67" t="n"/>
      <c r="L893" s="67" t="n"/>
      <c r="M893" s="64" t="n"/>
      <c r="N893" s="66" t="n"/>
      <c r="O893" s="84">
        <f>IF(A893="","",IF(OR(C893="",D893=""),"Enter both dates",IF(D893&lt;C893,"To is before From",IF(COUNTIFS($P$5:$P$2004,P893,$C$5:$C$2004,"&lt;="&amp;D893,$D$5:$D$2004,"&gt;="&amp;C893)&gt;1,"Overlaps another row","OK"))))</f>
        <v/>
      </c>
      <c r="P893">
        <f>IF(A893="","",A893&amp;"|"&amp;IF(B893="","Standard",B893))</f>
        <v/>
      </c>
      <c r="Q893">
        <f>IF(AND(A893&lt;&gt;"",A893='Firm Search'!$C$7),COUNTIF($A$5:A893,'Firm Search'!$C$7),"")</f>
        <v/>
      </c>
    </row>
    <row r="894">
      <c r="A894" s="64" t="n"/>
      <c r="B894" s="64" t="n"/>
      <c r="C894" s="66" t="n"/>
      <c r="D894" s="66" t="n"/>
      <c r="E894" s="67" t="n"/>
      <c r="F894" s="67" t="n"/>
      <c r="G894" s="67" t="n"/>
      <c r="H894" s="67" t="n"/>
      <c r="I894" s="67" t="n"/>
      <c r="J894" s="67" t="n"/>
      <c r="K894" s="67" t="n"/>
      <c r="L894" s="67" t="n"/>
      <c r="M894" s="64" t="n"/>
      <c r="N894" s="66" t="n"/>
      <c r="O894" s="84">
        <f>IF(A894="","",IF(OR(C894="",D894=""),"Enter both dates",IF(D894&lt;C894,"To is before From",IF(COUNTIFS($P$5:$P$2004,P894,$C$5:$C$2004,"&lt;="&amp;D894,$D$5:$D$2004,"&gt;="&amp;C894)&gt;1,"Overlaps another row","OK"))))</f>
        <v/>
      </c>
      <c r="P894">
        <f>IF(A894="","",A894&amp;"|"&amp;IF(B894="","Standard",B894))</f>
        <v/>
      </c>
      <c r="Q894">
        <f>IF(AND(A894&lt;&gt;"",A894='Firm Search'!$C$7),COUNTIF($A$5:A894,'Firm Search'!$C$7),"")</f>
        <v/>
      </c>
    </row>
    <row r="895">
      <c r="A895" s="64" t="n"/>
      <c r="B895" s="64" t="n"/>
      <c r="C895" s="66" t="n"/>
      <c r="D895" s="66" t="n"/>
      <c r="E895" s="67" t="n"/>
      <c r="F895" s="67" t="n"/>
      <c r="G895" s="67" t="n"/>
      <c r="H895" s="67" t="n"/>
      <c r="I895" s="67" t="n"/>
      <c r="J895" s="67" t="n"/>
      <c r="K895" s="67" t="n"/>
      <c r="L895" s="67" t="n"/>
      <c r="M895" s="64" t="n"/>
      <c r="N895" s="66" t="n"/>
      <c r="O895" s="84">
        <f>IF(A895="","",IF(OR(C895="",D895=""),"Enter both dates",IF(D895&lt;C895,"To is before From",IF(COUNTIFS($P$5:$P$2004,P895,$C$5:$C$2004,"&lt;="&amp;D895,$D$5:$D$2004,"&gt;="&amp;C895)&gt;1,"Overlaps another row","OK"))))</f>
        <v/>
      </c>
      <c r="P895">
        <f>IF(A895="","",A895&amp;"|"&amp;IF(B895="","Standard",B895))</f>
        <v/>
      </c>
      <c r="Q895">
        <f>IF(AND(A895&lt;&gt;"",A895='Firm Search'!$C$7),COUNTIF($A$5:A895,'Firm Search'!$C$7),"")</f>
        <v/>
      </c>
    </row>
    <row r="896">
      <c r="A896" s="64" t="n"/>
      <c r="B896" s="64" t="n"/>
      <c r="C896" s="66" t="n"/>
      <c r="D896" s="66" t="n"/>
      <c r="E896" s="67" t="n"/>
      <c r="F896" s="67" t="n"/>
      <c r="G896" s="67" t="n"/>
      <c r="H896" s="67" t="n"/>
      <c r="I896" s="67" t="n"/>
      <c r="J896" s="67" t="n"/>
      <c r="K896" s="67" t="n"/>
      <c r="L896" s="67" t="n"/>
      <c r="M896" s="64" t="n"/>
      <c r="N896" s="66" t="n"/>
      <c r="O896" s="84">
        <f>IF(A896="","",IF(OR(C896="",D896=""),"Enter both dates",IF(D896&lt;C896,"To is before From",IF(COUNTIFS($P$5:$P$2004,P896,$C$5:$C$2004,"&lt;="&amp;D896,$D$5:$D$2004,"&gt;="&amp;C896)&gt;1,"Overlaps another row","OK"))))</f>
        <v/>
      </c>
      <c r="P896">
        <f>IF(A896="","",A896&amp;"|"&amp;IF(B896="","Standard",B896))</f>
        <v/>
      </c>
      <c r="Q896">
        <f>IF(AND(A896&lt;&gt;"",A896='Firm Search'!$C$7),COUNTIF($A$5:A896,'Firm Search'!$C$7),"")</f>
        <v/>
      </c>
    </row>
    <row r="897">
      <c r="A897" s="64" t="n"/>
      <c r="B897" s="64" t="n"/>
      <c r="C897" s="66" t="n"/>
      <c r="D897" s="66" t="n"/>
      <c r="E897" s="67" t="n"/>
      <c r="F897" s="67" t="n"/>
      <c r="G897" s="67" t="n"/>
      <c r="H897" s="67" t="n"/>
      <c r="I897" s="67" t="n"/>
      <c r="J897" s="67" t="n"/>
      <c r="K897" s="67" t="n"/>
      <c r="L897" s="67" t="n"/>
      <c r="M897" s="64" t="n"/>
      <c r="N897" s="66" t="n"/>
      <c r="O897" s="84">
        <f>IF(A897="","",IF(OR(C897="",D897=""),"Enter both dates",IF(D897&lt;C897,"To is before From",IF(COUNTIFS($P$5:$P$2004,P897,$C$5:$C$2004,"&lt;="&amp;D897,$D$5:$D$2004,"&gt;="&amp;C897)&gt;1,"Overlaps another row","OK"))))</f>
        <v/>
      </c>
      <c r="P897">
        <f>IF(A897="","",A897&amp;"|"&amp;IF(B897="","Standard",B897))</f>
        <v/>
      </c>
      <c r="Q897">
        <f>IF(AND(A897&lt;&gt;"",A897='Firm Search'!$C$7),COUNTIF($A$5:A897,'Firm Search'!$C$7),"")</f>
        <v/>
      </c>
    </row>
    <row r="898">
      <c r="A898" s="64" t="n"/>
      <c r="B898" s="64" t="n"/>
      <c r="C898" s="66" t="n"/>
      <c r="D898" s="66" t="n"/>
      <c r="E898" s="67" t="n"/>
      <c r="F898" s="67" t="n"/>
      <c r="G898" s="67" t="n"/>
      <c r="H898" s="67" t="n"/>
      <c r="I898" s="67" t="n"/>
      <c r="J898" s="67" t="n"/>
      <c r="K898" s="67" t="n"/>
      <c r="L898" s="67" t="n"/>
      <c r="M898" s="64" t="n"/>
      <c r="N898" s="66" t="n"/>
      <c r="O898" s="84">
        <f>IF(A898="","",IF(OR(C898="",D898=""),"Enter both dates",IF(D898&lt;C898,"To is before From",IF(COUNTIFS($P$5:$P$2004,P898,$C$5:$C$2004,"&lt;="&amp;D898,$D$5:$D$2004,"&gt;="&amp;C898)&gt;1,"Overlaps another row","OK"))))</f>
        <v/>
      </c>
      <c r="P898">
        <f>IF(A898="","",A898&amp;"|"&amp;IF(B898="","Standard",B898))</f>
        <v/>
      </c>
      <c r="Q898">
        <f>IF(AND(A898&lt;&gt;"",A898='Firm Search'!$C$7),COUNTIF($A$5:A898,'Firm Search'!$C$7),"")</f>
        <v/>
      </c>
    </row>
    <row r="899">
      <c r="A899" s="64" t="n"/>
      <c r="B899" s="64" t="n"/>
      <c r="C899" s="66" t="n"/>
      <c r="D899" s="66" t="n"/>
      <c r="E899" s="67" t="n"/>
      <c r="F899" s="67" t="n"/>
      <c r="G899" s="67" t="n"/>
      <c r="H899" s="67" t="n"/>
      <c r="I899" s="67" t="n"/>
      <c r="J899" s="67" t="n"/>
      <c r="K899" s="67" t="n"/>
      <c r="L899" s="67" t="n"/>
      <c r="M899" s="64" t="n"/>
      <c r="N899" s="66" t="n"/>
      <c r="O899" s="84">
        <f>IF(A899="","",IF(OR(C899="",D899=""),"Enter both dates",IF(D899&lt;C899,"To is before From",IF(COUNTIFS($P$5:$P$2004,P899,$C$5:$C$2004,"&lt;="&amp;D899,$D$5:$D$2004,"&gt;="&amp;C899)&gt;1,"Overlaps another row","OK"))))</f>
        <v/>
      </c>
      <c r="P899">
        <f>IF(A899="","",A899&amp;"|"&amp;IF(B899="","Standard",B899))</f>
        <v/>
      </c>
      <c r="Q899">
        <f>IF(AND(A899&lt;&gt;"",A899='Firm Search'!$C$7),COUNTIF($A$5:A899,'Firm Search'!$C$7),"")</f>
        <v/>
      </c>
    </row>
    <row r="900">
      <c r="A900" s="64" t="n"/>
      <c r="B900" s="64" t="n"/>
      <c r="C900" s="66" t="n"/>
      <c r="D900" s="66" t="n"/>
      <c r="E900" s="67" t="n"/>
      <c r="F900" s="67" t="n"/>
      <c r="G900" s="67" t="n"/>
      <c r="H900" s="67" t="n"/>
      <c r="I900" s="67" t="n"/>
      <c r="J900" s="67" t="n"/>
      <c r="K900" s="67" t="n"/>
      <c r="L900" s="67" t="n"/>
      <c r="M900" s="64" t="n"/>
      <c r="N900" s="66" t="n"/>
      <c r="O900" s="84">
        <f>IF(A900="","",IF(OR(C900="",D900=""),"Enter both dates",IF(D900&lt;C900,"To is before From",IF(COUNTIFS($P$5:$P$2004,P900,$C$5:$C$2004,"&lt;="&amp;D900,$D$5:$D$2004,"&gt;="&amp;C900)&gt;1,"Overlaps another row","OK"))))</f>
        <v/>
      </c>
      <c r="P900">
        <f>IF(A900="","",A900&amp;"|"&amp;IF(B900="","Standard",B900))</f>
        <v/>
      </c>
      <c r="Q900">
        <f>IF(AND(A900&lt;&gt;"",A900='Firm Search'!$C$7),COUNTIF($A$5:A900,'Firm Search'!$C$7),"")</f>
        <v/>
      </c>
    </row>
    <row r="901">
      <c r="A901" s="64" t="n"/>
      <c r="B901" s="64" t="n"/>
      <c r="C901" s="66" t="n"/>
      <c r="D901" s="66" t="n"/>
      <c r="E901" s="67" t="n"/>
      <c r="F901" s="67" t="n"/>
      <c r="G901" s="67" t="n"/>
      <c r="H901" s="67" t="n"/>
      <c r="I901" s="67" t="n"/>
      <c r="J901" s="67" t="n"/>
      <c r="K901" s="67" t="n"/>
      <c r="L901" s="67" t="n"/>
      <c r="M901" s="64" t="n"/>
      <c r="N901" s="66" t="n"/>
      <c r="O901" s="84">
        <f>IF(A901="","",IF(OR(C901="",D901=""),"Enter both dates",IF(D901&lt;C901,"To is before From",IF(COUNTIFS($P$5:$P$2004,P901,$C$5:$C$2004,"&lt;="&amp;D901,$D$5:$D$2004,"&gt;="&amp;C901)&gt;1,"Overlaps another row","OK"))))</f>
        <v/>
      </c>
      <c r="P901">
        <f>IF(A901="","",A901&amp;"|"&amp;IF(B901="","Standard",B901))</f>
        <v/>
      </c>
      <c r="Q901">
        <f>IF(AND(A901&lt;&gt;"",A901='Firm Search'!$C$7),COUNTIF($A$5:A901,'Firm Search'!$C$7),"")</f>
        <v/>
      </c>
    </row>
    <row r="902">
      <c r="A902" s="64" t="n"/>
      <c r="B902" s="64" t="n"/>
      <c r="C902" s="66" t="n"/>
      <c r="D902" s="66" t="n"/>
      <c r="E902" s="67" t="n"/>
      <c r="F902" s="67" t="n"/>
      <c r="G902" s="67" t="n"/>
      <c r="H902" s="67" t="n"/>
      <c r="I902" s="67" t="n"/>
      <c r="J902" s="67" t="n"/>
      <c r="K902" s="67" t="n"/>
      <c r="L902" s="67" t="n"/>
      <c r="M902" s="64" t="n"/>
      <c r="N902" s="66" t="n"/>
      <c r="O902" s="84">
        <f>IF(A902="","",IF(OR(C902="",D902=""),"Enter both dates",IF(D902&lt;C902,"To is before From",IF(COUNTIFS($P$5:$P$2004,P902,$C$5:$C$2004,"&lt;="&amp;D902,$D$5:$D$2004,"&gt;="&amp;C902)&gt;1,"Overlaps another row","OK"))))</f>
        <v/>
      </c>
      <c r="P902">
        <f>IF(A902="","",A902&amp;"|"&amp;IF(B902="","Standard",B902))</f>
        <v/>
      </c>
      <c r="Q902">
        <f>IF(AND(A902&lt;&gt;"",A902='Firm Search'!$C$7),COUNTIF($A$5:A902,'Firm Search'!$C$7),"")</f>
        <v/>
      </c>
    </row>
    <row r="903">
      <c r="A903" s="64" t="n"/>
      <c r="B903" s="64" t="n"/>
      <c r="C903" s="66" t="n"/>
      <c r="D903" s="66" t="n"/>
      <c r="E903" s="67" t="n"/>
      <c r="F903" s="67" t="n"/>
      <c r="G903" s="67" t="n"/>
      <c r="H903" s="67" t="n"/>
      <c r="I903" s="67" t="n"/>
      <c r="J903" s="67" t="n"/>
      <c r="K903" s="67" t="n"/>
      <c r="L903" s="67" t="n"/>
      <c r="M903" s="64" t="n"/>
      <c r="N903" s="66" t="n"/>
      <c r="O903" s="84">
        <f>IF(A903="","",IF(OR(C903="",D903=""),"Enter both dates",IF(D903&lt;C903,"To is before From",IF(COUNTIFS($P$5:$P$2004,P903,$C$5:$C$2004,"&lt;="&amp;D903,$D$5:$D$2004,"&gt;="&amp;C903)&gt;1,"Overlaps another row","OK"))))</f>
        <v/>
      </c>
      <c r="P903">
        <f>IF(A903="","",A903&amp;"|"&amp;IF(B903="","Standard",B903))</f>
        <v/>
      </c>
      <c r="Q903">
        <f>IF(AND(A903&lt;&gt;"",A903='Firm Search'!$C$7),COUNTIF($A$5:A903,'Firm Search'!$C$7),"")</f>
        <v/>
      </c>
    </row>
    <row r="904">
      <c r="A904" s="64" t="n"/>
      <c r="B904" s="64" t="n"/>
      <c r="C904" s="66" t="n"/>
      <c r="D904" s="66" t="n"/>
      <c r="E904" s="67" t="n"/>
      <c r="F904" s="67" t="n"/>
      <c r="G904" s="67" t="n"/>
      <c r="H904" s="67" t="n"/>
      <c r="I904" s="67" t="n"/>
      <c r="J904" s="67" t="n"/>
      <c r="K904" s="67" t="n"/>
      <c r="L904" s="67" t="n"/>
      <c r="M904" s="64" t="n"/>
      <c r="N904" s="66" t="n"/>
      <c r="O904" s="84">
        <f>IF(A904="","",IF(OR(C904="",D904=""),"Enter both dates",IF(D904&lt;C904,"To is before From",IF(COUNTIFS($P$5:$P$2004,P904,$C$5:$C$2004,"&lt;="&amp;D904,$D$5:$D$2004,"&gt;="&amp;C904)&gt;1,"Overlaps another row","OK"))))</f>
        <v/>
      </c>
      <c r="P904">
        <f>IF(A904="","",A904&amp;"|"&amp;IF(B904="","Standard",B904))</f>
        <v/>
      </c>
      <c r="Q904">
        <f>IF(AND(A904&lt;&gt;"",A904='Firm Search'!$C$7),COUNTIF($A$5:A904,'Firm Search'!$C$7),"")</f>
        <v/>
      </c>
    </row>
    <row r="905">
      <c r="A905" s="64" t="n"/>
      <c r="B905" s="64" t="n"/>
      <c r="C905" s="66" t="n"/>
      <c r="D905" s="66" t="n"/>
      <c r="E905" s="67" t="n"/>
      <c r="F905" s="67" t="n"/>
      <c r="G905" s="67" t="n"/>
      <c r="H905" s="67" t="n"/>
      <c r="I905" s="67" t="n"/>
      <c r="J905" s="67" t="n"/>
      <c r="K905" s="67" t="n"/>
      <c r="L905" s="67" t="n"/>
      <c r="M905" s="64" t="n"/>
      <c r="N905" s="66" t="n"/>
      <c r="O905" s="84">
        <f>IF(A905="","",IF(OR(C905="",D905=""),"Enter both dates",IF(D905&lt;C905,"To is before From",IF(COUNTIFS($P$5:$P$2004,P905,$C$5:$C$2004,"&lt;="&amp;D905,$D$5:$D$2004,"&gt;="&amp;C905)&gt;1,"Overlaps another row","OK"))))</f>
        <v/>
      </c>
      <c r="P905">
        <f>IF(A905="","",A905&amp;"|"&amp;IF(B905="","Standard",B905))</f>
        <v/>
      </c>
      <c r="Q905">
        <f>IF(AND(A905&lt;&gt;"",A905='Firm Search'!$C$7),COUNTIF($A$5:A905,'Firm Search'!$C$7),"")</f>
        <v/>
      </c>
    </row>
    <row r="906">
      <c r="A906" s="64" t="n"/>
      <c r="B906" s="64" t="n"/>
      <c r="C906" s="66" t="n"/>
      <c r="D906" s="66" t="n"/>
      <c r="E906" s="67" t="n"/>
      <c r="F906" s="67" t="n"/>
      <c r="G906" s="67" t="n"/>
      <c r="H906" s="67" t="n"/>
      <c r="I906" s="67" t="n"/>
      <c r="J906" s="67" t="n"/>
      <c r="K906" s="67" t="n"/>
      <c r="L906" s="67" t="n"/>
      <c r="M906" s="64" t="n"/>
      <c r="N906" s="66" t="n"/>
      <c r="O906" s="84">
        <f>IF(A906="","",IF(OR(C906="",D906=""),"Enter both dates",IF(D906&lt;C906,"To is before From",IF(COUNTIFS($P$5:$P$2004,P906,$C$5:$C$2004,"&lt;="&amp;D906,$D$5:$D$2004,"&gt;="&amp;C906)&gt;1,"Overlaps another row","OK"))))</f>
        <v/>
      </c>
      <c r="P906">
        <f>IF(A906="","",A906&amp;"|"&amp;IF(B906="","Standard",B906))</f>
        <v/>
      </c>
      <c r="Q906">
        <f>IF(AND(A906&lt;&gt;"",A906='Firm Search'!$C$7),COUNTIF($A$5:A906,'Firm Search'!$C$7),"")</f>
        <v/>
      </c>
    </row>
    <row r="907">
      <c r="A907" s="64" t="n"/>
      <c r="B907" s="64" t="n"/>
      <c r="C907" s="66" t="n"/>
      <c r="D907" s="66" t="n"/>
      <c r="E907" s="67" t="n"/>
      <c r="F907" s="67" t="n"/>
      <c r="G907" s="67" t="n"/>
      <c r="H907" s="67" t="n"/>
      <c r="I907" s="67" t="n"/>
      <c r="J907" s="67" t="n"/>
      <c r="K907" s="67" t="n"/>
      <c r="L907" s="67" t="n"/>
      <c r="M907" s="64" t="n"/>
      <c r="N907" s="66" t="n"/>
      <c r="O907" s="84">
        <f>IF(A907="","",IF(OR(C907="",D907=""),"Enter both dates",IF(D907&lt;C907,"To is before From",IF(COUNTIFS($P$5:$P$2004,P907,$C$5:$C$2004,"&lt;="&amp;D907,$D$5:$D$2004,"&gt;="&amp;C907)&gt;1,"Overlaps another row","OK"))))</f>
        <v/>
      </c>
      <c r="P907">
        <f>IF(A907="","",A907&amp;"|"&amp;IF(B907="","Standard",B907))</f>
        <v/>
      </c>
      <c r="Q907">
        <f>IF(AND(A907&lt;&gt;"",A907='Firm Search'!$C$7),COUNTIF($A$5:A907,'Firm Search'!$C$7),"")</f>
        <v/>
      </c>
    </row>
    <row r="908">
      <c r="A908" s="64" t="n"/>
      <c r="B908" s="64" t="n"/>
      <c r="C908" s="66" t="n"/>
      <c r="D908" s="66" t="n"/>
      <c r="E908" s="67" t="n"/>
      <c r="F908" s="67" t="n"/>
      <c r="G908" s="67" t="n"/>
      <c r="H908" s="67" t="n"/>
      <c r="I908" s="67" t="n"/>
      <c r="J908" s="67" t="n"/>
      <c r="K908" s="67" t="n"/>
      <c r="L908" s="67" t="n"/>
      <c r="M908" s="64" t="n"/>
      <c r="N908" s="66" t="n"/>
      <c r="O908" s="84">
        <f>IF(A908="","",IF(OR(C908="",D908=""),"Enter both dates",IF(D908&lt;C908,"To is before From",IF(COUNTIFS($P$5:$P$2004,P908,$C$5:$C$2004,"&lt;="&amp;D908,$D$5:$D$2004,"&gt;="&amp;C908)&gt;1,"Overlaps another row","OK"))))</f>
        <v/>
      </c>
      <c r="P908">
        <f>IF(A908="","",A908&amp;"|"&amp;IF(B908="","Standard",B908))</f>
        <v/>
      </c>
      <c r="Q908">
        <f>IF(AND(A908&lt;&gt;"",A908='Firm Search'!$C$7),COUNTIF($A$5:A908,'Firm Search'!$C$7),"")</f>
        <v/>
      </c>
    </row>
    <row r="909">
      <c r="A909" s="64" t="n"/>
      <c r="B909" s="64" t="n"/>
      <c r="C909" s="66" t="n"/>
      <c r="D909" s="66" t="n"/>
      <c r="E909" s="67" t="n"/>
      <c r="F909" s="67" t="n"/>
      <c r="G909" s="67" t="n"/>
      <c r="H909" s="67" t="n"/>
      <c r="I909" s="67" t="n"/>
      <c r="J909" s="67" t="n"/>
      <c r="K909" s="67" t="n"/>
      <c r="L909" s="67" t="n"/>
      <c r="M909" s="64" t="n"/>
      <c r="N909" s="66" t="n"/>
      <c r="O909" s="84">
        <f>IF(A909="","",IF(OR(C909="",D909=""),"Enter both dates",IF(D909&lt;C909,"To is before From",IF(COUNTIFS($P$5:$P$2004,P909,$C$5:$C$2004,"&lt;="&amp;D909,$D$5:$D$2004,"&gt;="&amp;C909)&gt;1,"Overlaps another row","OK"))))</f>
        <v/>
      </c>
      <c r="P909">
        <f>IF(A909="","",A909&amp;"|"&amp;IF(B909="","Standard",B909))</f>
        <v/>
      </c>
      <c r="Q909">
        <f>IF(AND(A909&lt;&gt;"",A909='Firm Search'!$C$7),COUNTIF($A$5:A909,'Firm Search'!$C$7),"")</f>
        <v/>
      </c>
    </row>
    <row r="910">
      <c r="A910" s="64" t="n"/>
      <c r="B910" s="64" t="n"/>
      <c r="C910" s="66" t="n"/>
      <c r="D910" s="66" t="n"/>
      <c r="E910" s="67" t="n"/>
      <c r="F910" s="67" t="n"/>
      <c r="G910" s="67" t="n"/>
      <c r="H910" s="67" t="n"/>
      <c r="I910" s="67" t="n"/>
      <c r="J910" s="67" t="n"/>
      <c r="K910" s="67" t="n"/>
      <c r="L910" s="67" t="n"/>
      <c r="M910" s="64" t="n"/>
      <c r="N910" s="66" t="n"/>
      <c r="O910" s="84">
        <f>IF(A910="","",IF(OR(C910="",D910=""),"Enter both dates",IF(D910&lt;C910,"To is before From",IF(COUNTIFS($P$5:$P$2004,P910,$C$5:$C$2004,"&lt;="&amp;D910,$D$5:$D$2004,"&gt;="&amp;C910)&gt;1,"Overlaps another row","OK"))))</f>
        <v/>
      </c>
      <c r="P910">
        <f>IF(A910="","",A910&amp;"|"&amp;IF(B910="","Standard",B910))</f>
        <v/>
      </c>
      <c r="Q910">
        <f>IF(AND(A910&lt;&gt;"",A910='Firm Search'!$C$7),COUNTIF($A$5:A910,'Firm Search'!$C$7),"")</f>
        <v/>
      </c>
    </row>
    <row r="911">
      <c r="A911" s="64" t="n"/>
      <c r="B911" s="64" t="n"/>
      <c r="C911" s="66" t="n"/>
      <c r="D911" s="66" t="n"/>
      <c r="E911" s="67" t="n"/>
      <c r="F911" s="67" t="n"/>
      <c r="G911" s="67" t="n"/>
      <c r="H911" s="67" t="n"/>
      <c r="I911" s="67" t="n"/>
      <c r="J911" s="67" t="n"/>
      <c r="K911" s="67" t="n"/>
      <c r="L911" s="67" t="n"/>
      <c r="M911" s="64" t="n"/>
      <c r="N911" s="66" t="n"/>
      <c r="O911" s="84">
        <f>IF(A911="","",IF(OR(C911="",D911=""),"Enter both dates",IF(D911&lt;C911,"To is before From",IF(COUNTIFS($P$5:$P$2004,P911,$C$5:$C$2004,"&lt;="&amp;D911,$D$5:$D$2004,"&gt;="&amp;C911)&gt;1,"Overlaps another row","OK"))))</f>
        <v/>
      </c>
      <c r="P911">
        <f>IF(A911="","",A911&amp;"|"&amp;IF(B911="","Standard",B911))</f>
        <v/>
      </c>
      <c r="Q911">
        <f>IF(AND(A911&lt;&gt;"",A911='Firm Search'!$C$7),COUNTIF($A$5:A911,'Firm Search'!$C$7),"")</f>
        <v/>
      </c>
    </row>
    <row r="912">
      <c r="A912" s="64" t="n"/>
      <c r="B912" s="64" t="n"/>
      <c r="C912" s="66" t="n"/>
      <c r="D912" s="66" t="n"/>
      <c r="E912" s="67" t="n"/>
      <c r="F912" s="67" t="n"/>
      <c r="G912" s="67" t="n"/>
      <c r="H912" s="67" t="n"/>
      <c r="I912" s="67" t="n"/>
      <c r="J912" s="67" t="n"/>
      <c r="K912" s="67" t="n"/>
      <c r="L912" s="67" t="n"/>
      <c r="M912" s="64" t="n"/>
      <c r="N912" s="66" t="n"/>
      <c r="O912" s="84">
        <f>IF(A912="","",IF(OR(C912="",D912=""),"Enter both dates",IF(D912&lt;C912,"To is before From",IF(COUNTIFS($P$5:$P$2004,P912,$C$5:$C$2004,"&lt;="&amp;D912,$D$5:$D$2004,"&gt;="&amp;C912)&gt;1,"Overlaps another row","OK"))))</f>
        <v/>
      </c>
      <c r="P912">
        <f>IF(A912="","",A912&amp;"|"&amp;IF(B912="","Standard",B912))</f>
        <v/>
      </c>
      <c r="Q912">
        <f>IF(AND(A912&lt;&gt;"",A912='Firm Search'!$C$7),COUNTIF($A$5:A912,'Firm Search'!$C$7),"")</f>
        <v/>
      </c>
    </row>
    <row r="913">
      <c r="A913" s="64" t="n"/>
      <c r="B913" s="64" t="n"/>
      <c r="C913" s="66" t="n"/>
      <c r="D913" s="66" t="n"/>
      <c r="E913" s="67" t="n"/>
      <c r="F913" s="67" t="n"/>
      <c r="G913" s="67" t="n"/>
      <c r="H913" s="67" t="n"/>
      <c r="I913" s="67" t="n"/>
      <c r="J913" s="67" t="n"/>
      <c r="K913" s="67" t="n"/>
      <c r="L913" s="67" t="n"/>
      <c r="M913" s="64" t="n"/>
      <c r="N913" s="66" t="n"/>
      <c r="O913" s="84">
        <f>IF(A913="","",IF(OR(C913="",D913=""),"Enter both dates",IF(D913&lt;C913,"To is before From",IF(COUNTIFS($P$5:$P$2004,P913,$C$5:$C$2004,"&lt;="&amp;D913,$D$5:$D$2004,"&gt;="&amp;C913)&gt;1,"Overlaps another row","OK"))))</f>
        <v/>
      </c>
      <c r="P913">
        <f>IF(A913="","",A913&amp;"|"&amp;IF(B913="","Standard",B913))</f>
        <v/>
      </c>
      <c r="Q913">
        <f>IF(AND(A913&lt;&gt;"",A913='Firm Search'!$C$7),COUNTIF($A$5:A913,'Firm Search'!$C$7),"")</f>
        <v/>
      </c>
    </row>
    <row r="914">
      <c r="A914" s="64" t="n"/>
      <c r="B914" s="64" t="n"/>
      <c r="C914" s="66" t="n"/>
      <c r="D914" s="66" t="n"/>
      <c r="E914" s="67" t="n"/>
      <c r="F914" s="67" t="n"/>
      <c r="G914" s="67" t="n"/>
      <c r="H914" s="67" t="n"/>
      <c r="I914" s="67" t="n"/>
      <c r="J914" s="67" t="n"/>
      <c r="K914" s="67" t="n"/>
      <c r="L914" s="67" t="n"/>
      <c r="M914" s="64" t="n"/>
      <c r="N914" s="66" t="n"/>
      <c r="O914" s="84">
        <f>IF(A914="","",IF(OR(C914="",D914=""),"Enter both dates",IF(D914&lt;C914,"To is before From",IF(COUNTIFS($P$5:$P$2004,P914,$C$5:$C$2004,"&lt;="&amp;D914,$D$5:$D$2004,"&gt;="&amp;C914)&gt;1,"Overlaps another row","OK"))))</f>
        <v/>
      </c>
      <c r="P914">
        <f>IF(A914="","",A914&amp;"|"&amp;IF(B914="","Standard",B914))</f>
        <v/>
      </c>
      <c r="Q914">
        <f>IF(AND(A914&lt;&gt;"",A914='Firm Search'!$C$7),COUNTIF($A$5:A914,'Firm Search'!$C$7),"")</f>
        <v/>
      </c>
    </row>
    <row r="915">
      <c r="A915" s="64" t="n"/>
      <c r="B915" s="64" t="n"/>
      <c r="C915" s="66" t="n"/>
      <c r="D915" s="66" t="n"/>
      <c r="E915" s="67" t="n"/>
      <c r="F915" s="67" t="n"/>
      <c r="G915" s="67" t="n"/>
      <c r="H915" s="67" t="n"/>
      <c r="I915" s="67" t="n"/>
      <c r="J915" s="67" t="n"/>
      <c r="K915" s="67" t="n"/>
      <c r="L915" s="67" t="n"/>
      <c r="M915" s="64" t="n"/>
      <c r="N915" s="66" t="n"/>
      <c r="O915" s="84">
        <f>IF(A915="","",IF(OR(C915="",D915=""),"Enter both dates",IF(D915&lt;C915,"To is before From",IF(COUNTIFS($P$5:$P$2004,P915,$C$5:$C$2004,"&lt;="&amp;D915,$D$5:$D$2004,"&gt;="&amp;C915)&gt;1,"Overlaps another row","OK"))))</f>
        <v/>
      </c>
      <c r="P915">
        <f>IF(A915="","",A915&amp;"|"&amp;IF(B915="","Standard",B915))</f>
        <v/>
      </c>
      <c r="Q915">
        <f>IF(AND(A915&lt;&gt;"",A915='Firm Search'!$C$7),COUNTIF($A$5:A915,'Firm Search'!$C$7),"")</f>
        <v/>
      </c>
    </row>
    <row r="916">
      <c r="A916" s="64" t="n"/>
      <c r="B916" s="64" t="n"/>
      <c r="C916" s="66" t="n"/>
      <c r="D916" s="66" t="n"/>
      <c r="E916" s="67" t="n"/>
      <c r="F916" s="67" t="n"/>
      <c r="G916" s="67" t="n"/>
      <c r="H916" s="67" t="n"/>
      <c r="I916" s="67" t="n"/>
      <c r="J916" s="67" t="n"/>
      <c r="K916" s="67" t="n"/>
      <c r="L916" s="67" t="n"/>
      <c r="M916" s="64" t="n"/>
      <c r="N916" s="66" t="n"/>
      <c r="O916" s="84">
        <f>IF(A916="","",IF(OR(C916="",D916=""),"Enter both dates",IF(D916&lt;C916,"To is before From",IF(COUNTIFS($P$5:$P$2004,P916,$C$5:$C$2004,"&lt;="&amp;D916,$D$5:$D$2004,"&gt;="&amp;C916)&gt;1,"Overlaps another row","OK"))))</f>
        <v/>
      </c>
      <c r="P916">
        <f>IF(A916="","",A916&amp;"|"&amp;IF(B916="","Standard",B916))</f>
        <v/>
      </c>
      <c r="Q916">
        <f>IF(AND(A916&lt;&gt;"",A916='Firm Search'!$C$7),COUNTIF($A$5:A916,'Firm Search'!$C$7),"")</f>
        <v/>
      </c>
    </row>
    <row r="917">
      <c r="A917" s="64" t="n"/>
      <c r="B917" s="64" t="n"/>
      <c r="C917" s="66" t="n"/>
      <c r="D917" s="66" t="n"/>
      <c r="E917" s="67" t="n"/>
      <c r="F917" s="67" t="n"/>
      <c r="G917" s="67" t="n"/>
      <c r="H917" s="67" t="n"/>
      <c r="I917" s="67" t="n"/>
      <c r="J917" s="67" t="n"/>
      <c r="K917" s="67" t="n"/>
      <c r="L917" s="67" t="n"/>
      <c r="M917" s="64" t="n"/>
      <c r="N917" s="66" t="n"/>
      <c r="O917" s="84">
        <f>IF(A917="","",IF(OR(C917="",D917=""),"Enter both dates",IF(D917&lt;C917,"To is before From",IF(COUNTIFS($P$5:$P$2004,P917,$C$5:$C$2004,"&lt;="&amp;D917,$D$5:$D$2004,"&gt;="&amp;C917)&gt;1,"Overlaps another row","OK"))))</f>
        <v/>
      </c>
      <c r="P917">
        <f>IF(A917="","",A917&amp;"|"&amp;IF(B917="","Standard",B917))</f>
        <v/>
      </c>
      <c r="Q917">
        <f>IF(AND(A917&lt;&gt;"",A917='Firm Search'!$C$7),COUNTIF($A$5:A917,'Firm Search'!$C$7),"")</f>
        <v/>
      </c>
    </row>
    <row r="918">
      <c r="A918" s="64" t="n"/>
      <c r="B918" s="64" t="n"/>
      <c r="C918" s="66" t="n"/>
      <c r="D918" s="66" t="n"/>
      <c r="E918" s="67" t="n"/>
      <c r="F918" s="67" t="n"/>
      <c r="G918" s="67" t="n"/>
      <c r="H918" s="67" t="n"/>
      <c r="I918" s="67" t="n"/>
      <c r="J918" s="67" t="n"/>
      <c r="K918" s="67" t="n"/>
      <c r="L918" s="67" t="n"/>
      <c r="M918" s="64" t="n"/>
      <c r="N918" s="66" t="n"/>
      <c r="O918" s="84">
        <f>IF(A918="","",IF(OR(C918="",D918=""),"Enter both dates",IF(D918&lt;C918,"To is before From",IF(COUNTIFS($P$5:$P$2004,P918,$C$5:$C$2004,"&lt;="&amp;D918,$D$5:$D$2004,"&gt;="&amp;C918)&gt;1,"Overlaps another row","OK"))))</f>
        <v/>
      </c>
      <c r="P918">
        <f>IF(A918="","",A918&amp;"|"&amp;IF(B918="","Standard",B918))</f>
        <v/>
      </c>
      <c r="Q918">
        <f>IF(AND(A918&lt;&gt;"",A918='Firm Search'!$C$7),COUNTIF($A$5:A918,'Firm Search'!$C$7),"")</f>
        <v/>
      </c>
    </row>
    <row r="919">
      <c r="A919" s="64" t="n"/>
      <c r="B919" s="64" t="n"/>
      <c r="C919" s="66" t="n"/>
      <c r="D919" s="66" t="n"/>
      <c r="E919" s="67" t="n"/>
      <c r="F919" s="67" t="n"/>
      <c r="G919" s="67" t="n"/>
      <c r="H919" s="67" t="n"/>
      <c r="I919" s="67" t="n"/>
      <c r="J919" s="67" t="n"/>
      <c r="K919" s="67" t="n"/>
      <c r="L919" s="67" t="n"/>
      <c r="M919" s="64" t="n"/>
      <c r="N919" s="66" t="n"/>
      <c r="O919" s="84">
        <f>IF(A919="","",IF(OR(C919="",D919=""),"Enter both dates",IF(D919&lt;C919,"To is before From",IF(COUNTIFS($P$5:$P$2004,P919,$C$5:$C$2004,"&lt;="&amp;D919,$D$5:$D$2004,"&gt;="&amp;C919)&gt;1,"Overlaps another row","OK"))))</f>
        <v/>
      </c>
      <c r="P919">
        <f>IF(A919="","",A919&amp;"|"&amp;IF(B919="","Standard",B919))</f>
        <v/>
      </c>
      <c r="Q919">
        <f>IF(AND(A919&lt;&gt;"",A919='Firm Search'!$C$7),COUNTIF($A$5:A919,'Firm Search'!$C$7),"")</f>
        <v/>
      </c>
    </row>
    <row r="920">
      <c r="A920" s="64" t="n"/>
      <c r="B920" s="64" t="n"/>
      <c r="C920" s="66" t="n"/>
      <c r="D920" s="66" t="n"/>
      <c r="E920" s="67" t="n"/>
      <c r="F920" s="67" t="n"/>
      <c r="G920" s="67" t="n"/>
      <c r="H920" s="67" t="n"/>
      <c r="I920" s="67" t="n"/>
      <c r="J920" s="67" t="n"/>
      <c r="K920" s="67" t="n"/>
      <c r="L920" s="67" t="n"/>
      <c r="M920" s="64" t="n"/>
      <c r="N920" s="66" t="n"/>
      <c r="O920" s="84">
        <f>IF(A920="","",IF(OR(C920="",D920=""),"Enter both dates",IF(D920&lt;C920,"To is before From",IF(COUNTIFS($P$5:$P$2004,P920,$C$5:$C$2004,"&lt;="&amp;D920,$D$5:$D$2004,"&gt;="&amp;C920)&gt;1,"Overlaps another row","OK"))))</f>
        <v/>
      </c>
      <c r="P920">
        <f>IF(A920="","",A920&amp;"|"&amp;IF(B920="","Standard",B920))</f>
        <v/>
      </c>
      <c r="Q920">
        <f>IF(AND(A920&lt;&gt;"",A920='Firm Search'!$C$7),COUNTIF($A$5:A920,'Firm Search'!$C$7),"")</f>
        <v/>
      </c>
    </row>
    <row r="921">
      <c r="A921" s="64" t="n"/>
      <c r="B921" s="64" t="n"/>
      <c r="C921" s="66" t="n"/>
      <c r="D921" s="66" t="n"/>
      <c r="E921" s="67" t="n"/>
      <c r="F921" s="67" t="n"/>
      <c r="G921" s="67" t="n"/>
      <c r="H921" s="67" t="n"/>
      <c r="I921" s="67" t="n"/>
      <c r="J921" s="67" t="n"/>
      <c r="K921" s="67" t="n"/>
      <c r="L921" s="67" t="n"/>
      <c r="M921" s="64" t="n"/>
      <c r="N921" s="66" t="n"/>
      <c r="O921" s="84">
        <f>IF(A921="","",IF(OR(C921="",D921=""),"Enter both dates",IF(D921&lt;C921,"To is before From",IF(COUNTIFS($P$5:$P$2004,P921,$C$5:$C$2004,"&lt;="&amp;D921,$D$5:$D$2004,"&gt;="&amp;C921)&gt;1,"Overlaps another row","OK"))))</f>
        <v/>
      </c>
      <c r="P921">
        <f>IF(A921="","",A921&amp;"|"&amp;IF(B921="","Standard",B921))</f>
        <v/>
      </c>
      <c r="Q921">
        <f>IF(AND(A921&lt;&gt;"",A921='Firm Search'!$C$7),COUNTIF($A$5:A921,'Firm Search'!$C$7),"")</f>
        <v/>
      </c>
    </row>
    <row r="922">
      <c r="A922" s="64" t="n"/>
      <c r="B922" s="64" t="n"/>
      <c r="C922" s="66" t="n"/>
      <c r="D922" s="66" t="n"/>
      <c r="E922" s="67" t="n"/>
      <c r="F922" s="67" t="n"/>
      <c r="G922" s="67" t="n"/>
      <c r="H922" s="67" t="n"/>
      <c r="I922" s="67" t="n"/>
      <c r="J922" s="67" t="n"/>
      <c r="K922" s="67" t="n"/>
      <c r="L922" s="67" t="n"/>
      <c r="M922" s="64" t="n"/>
      <c r="N922" s="66" t="n"/>
      <c r="O922" s="84">
        <f>IF(A922="","",IF(OR(C922="",D922=""),"Enter both dates",IF(D922&lt;C922,"To is before From",IF(COUNTIFS($P$5:$P$2004,P922,$C$5:$C$2004,"&lt;="&amp;D922,$D$5:$D$2004,"&gt;="&amp;C922)&gt;1,"Overlaps another row","OK"))))</f>
        <v/>
      </c>
      <c r="P922">
        <f>IF(A922="","",A922&amp;"|"&amp;IF(B922="","Standard",B922))</f>
        <v/>
      </c>
      <c r="Q922">
        <f>IF(AND(A922&lt;&gt;"",A922='Firm Search'!$C$7),COUNTIF($A$5:A922,'Firm Search'!$C$7),"")</f>
        <v/>
      </c>
    </row>
    <row r="923">
      <c r="A923" s="64" t="n"/>
      <c r="B923" s="64" t="n"/>
      <c r="C923" s="66" t="n"/>
      <c r="D923" s="66" t="n"/>
      <c r="E923" s="67" t="n"/>
      <c r="F923" s="67" t="n"/>
      <c r="G923" s="67" t="n"/>
      <c r="H923" s="67" t="n"/>
      <c r="I923" s="67" t="n"/>
      <c r="J923" s="67" t="n"/>
      <c r="K923" s="67" t="n"/>
      <c r="L923" s="67" t="n"/>
      <c r="M923" s="64" t="n"/>
      <c r="N923" s="66" t="n"/>
      <c r="O923" s="84">
        <f>IF(A923="","",IF(OR(C923="",D923=""),"Enter both dates",IF(D923&lt;C923,"To is before From",IF(COUNTIFS($P$5:$P$2004,P923,$C$5:$C$2004,"&lt;="&amp;D923,$D$5:$D$2004,"&gt;="&amp;C923)&gt;1,"Overlaps another row","OK"))))</f>
        <v/>
      </c>
      <c r="P923">
        <f>IF(A923="","",A923&amp;"|"&amp;IF(B923="","Standard",B923))</f>
        <v/>
      </c>
      <c r="Q923">
        <f>IF(AND(A923&lt;&gt;"",A923='Firm Search'!$C$7),COUNTIF($A$5:A923,'Firm Search'!$C$7),"")</f>
        <v/>
      </c>
    </row>
    <row r="924">
      <c r="A924" s="64" t="n"/>
      <c r="B924" s="64" t="n"/>
      <c r="C924" s="66" t="n"/>
      <c r="D924" s="66" t="n"/>
      <c r="E924" s="67" t="n"/>
      <c r="F924" s="67" t="n"/>
      <c r="G924" s="67" t="n"/>
      <c r="H924" s="67" t="n"/>
      <c r="I924" s="67" t="n"/>
      <c r="J924" s="67" t="n"/>
      <c r="K924" s="67" t="n"/>
      <c r="L924" s="67" t="n"/>
      <c r="M924" s="64" t="n"/>
      <c r="N924" s="66" t="n"/>
      <c r="O924" s="84">
        <f>IF(A924="","",IF(OR(C924="",D924=""),"Enter both dates",IF(D924&lt;C924,"To is before From",IF(COUNTIFS($P$5:$P$2004,P924,$C$5:$C$2004,"&lt;="&amp;D924,$D$5:$D$2004,"&gt;="&amp;C924)&gt;1,"Overlaps another row","OK"))))</f>
        <v/>
      </c>
      <c r="P924">
        <f>IF(A924="","",A924&amp;"|"&amp;IF(B924="","Standard",B924))</f>
        <v/>
      </c>
      <c r="Q924">
        <f>IF(AND(A924&lt;&gt;"",A924='Firm Search'!$C$7),COUNTIF($A$5:A924,'Firm Search'!$C$7),"")</f>
        <v/>
      </c>
    </row>
    <row r="925">
      <c r="A925" s="64" t="n"/>
      <c r="B925" s="64" t="n"/>
      <c r="C925" s="66" t="n"/>
      <c r="D925" s="66" t="n"/>
      <c r="E925" s="67" t="n"/>
      <c r="F925" s="67" t="n"/>
      <c r="G925" s="67" t="n"/>
      <c r="H925" s="67" t="n"/>
      <c r="I925" s="67" t="n"/>
      <c r="J925" s="67" t="n"/>
      <c r="K925" s="67" t="n"/>
      <c r="L925" s="67" t="n"/>
      <c r="M925" s="64" t="n"/>
      <c r="N925" s="66" t="n"/>
      <c r="O925" s="84">
        <f>IF(A925="","",IF(OR(C925="",D925=""),"Enter both dates",IF(D925&lt;C925,"To is before From",IF(COUNTIFS($P$5:$P$2004,P925,$C$5:$C$2004,"&lt;="&amp;D925,$D$5:$D$2004,"&gt;="&amp;C925)&gt;1,"Overlaps another row","OK"))))</f>
        <v/>
      </c>
      <c r="P925">
        <f>IF(A925="","",A925&amp;"|"&amp;IF(B925="","Standard",B925))</f>
        <v/>
      </c>
      <c r="Q925">
        <f>IF(AND(A925&lt;&gt;"",A925='Firm Search'!$C$7),COUNTIF($A$5:A925,'Firm Search'!$C$7),"")</f>
        <v/>
      </c>
    </row>
    <row r="926">
      <c r="A926" s="64" t="n"/>
      <c r="B926" s="64" t="n"/>
      <c r="C926" s="66" t="n"/>
      <c r="D926" s="66" t="n"/>
      <c r="E926" s="67" t="n"/>
      <c r="F926" s="67" t="n"/>
      <c r="G926" s="67" t="n"/>
      <c r="H926" s="67" t="n"/>
      <c r="I926" s="67" t="n"/>
      <c r="J926" s="67" t="n"/>
      <c r="K926" s="67" t="n"/>
      <c r="L926" s="67" t="n"/>
      <c r="M926" s="64" t="n"/>
      <c r="N926" s="66" t="n"/>
      <c r="O926" s="84">
        <f>IF(A926="","",IF(OR(C926="",D926=""),"Enter both dates",IF(D926&lt;C926,"To is before From",IF(COUNTIFS($P$5:$P$2004,P926,$C$5:$C$2004,"&lt;="&amp;D926,$D$5:$D$2004,"&gt;="&amp;C926)&gt;1,"Overlaps another row","OK"))))</f>
        <v/>
      </c>
      <c r="P926">
        <f>IF(A926="","",A926&amp;"|"&amp;IF(B926="","Standard",B926))</f>
        <v/>
      </c>
      <c r="Q926">
        <f>IF(AND(A926&lt;&gt;"",A926='Firm Search'!$C$7),COUNTIF($A$5:A926,'Firm Search'!$C$7),"")</f>
        <v/>
      </c>
    </row>
    <row r="927">
      <c r="A927" s="64" t="n"/>
      <c r="B927" s="64" t="n"/>
      <c r="C927" s="66" t="n"/>
      <c r="D927" s="66" t="n"/>
      <c r="E927" s="67" t="n"/>
      <c r="F927" s="67" t="n"/>
      <c r="G927" s="67" t="n"/>
      <c r="H927" s="67" t="n"/>
      <c r="I927" s="67" t="n"/>
      <c r="J927" s="67" t="n"/>
      <c r="K927" s="67" t="n"/>
      <c r="L927" s="67" t="n"/>
      <c r="M927" s="64" t="n"/>
      <c r="N927" s="66" t="n"/>
      <c r="O927" s="84">
        <f>IF(A927="","",IF(OR(C927="",D927=""),"Enter both dates",IF(D927&lt;C927,"To is before From",IF(COUNTIFS($P$5:$P$2004,P927,$C$5:$C$2004,"&lt;="&amp;D927,$D$5:$D$2004,"&gt;="&amp;C927)&gt;1,"Overlaps another row","OK"))))</f>
        <v/>
      </c>
      <c r="P927">
        <f>IF(A927="","",A927&amp;"|"&amp;IF(B927="","Standard",B927))</f>
        <v/>
      </c>
      <c r="Q927">
        <f>IF(AND(A927&lt;&gt;"",A927='Firm Search'!$C$7),COUNTIF($A$5:A927,'Firm Search'!$C$7),"")</f>
        <v/>
      </c>
    </row>
    <row r="928">
      <c r="A928" s="64" t="n"/>
      <c r="B928" s="64" t="n"/>
      <c r="C928" s="66" t="n"/>
      <c r="D928" s="66" t="n"/>
      <c r="E928" s="67" t="n"/>
      <c r="F928" s="67" t="n"/>
      <c r="G928" s="67" t="n"/>
      <c r="H928" s="67" t="n"/>
      <c r="I928" s="67" t="n"/>
      <c r="J928" s="67" t="n"/>
      <c r="K928" s="67" t="n"/>
      <c r="L928" s="67" t="n"/>
      <c r="M928" s="64" t="n"/>
      <c r="N928" s="66" t="n"/>
      <c r="O928" s="84">
        <f>IF(A928="","",IF(OR(C928="",D928=""),"Enter both dates",IF(D928&lt;C928,"To is before From",IF(COUNTIFS($P$5:$P$2004,P928,$C$5:$C$2004,"&lt;="&amp;D928,$D$5:$D$2004,"&gt;="&amp;C928)&gt;1,"Overlaps another row","OK"))))</f>
        <v/>
      </c>
      <c r="P928">
        <f>IF(A928="","",A928&amp;"|"&amp;IF(B928="","Standard",B928))</f>
        <v/>
      </c>
      <c r="Q928">
        <f>IF(AND(A928&lt;&gt;"",A928='Firm Search'!$C$7),COUNTIF($A$5:A928,'Firm Search'!$C$7),"")</f>
        <v/>
      </c>
    </row>
    <row r="929">
      <c r="A929" s="64" t="n"/>
      <c r="B929" s="64" t="n"/>
      <c r="C929" s="66" t="n"/>
      <c r="D929" s="66" t="n"/>
      <c r="E929" s="67" t="n"/>
      <c r="F929" s="67" t="n"/>
      <c r="G929" s="67" t="n"/>
      <c r="H929" s="67" t="n"/>
      <c r="I929" s="67" t="n"/>
      <c r="J929" s="67" t="n"/>
      <c r="K929" s="67" t="n"/>
      <c r="L929" s="67" t="n"/>
      <c r="M929" s="64" t="n"/>
      <c r="N929" s="66" t="n"/>
      <c r="O929" s="84">
        <f>IF(A929="","",IF(OR(C929="",D929=""),"Enter both dates",IF(D929&lt;C929,"To is before From",IF(COUNTIFS($P$5:$P$2004,P929,$C$5:$C$2004,"&lt;="&amp;D929,$D$5:$D$2004,"&gt;="&amp;C929)&gt;1,"Overlaps another row","OK"))))</f>
        <v/>
      </c>
      <c r="P929">
        <f>IF(A929="","",A929&amp;"|"&amp;IF(B929="","Standard",B929))</f>
        <v/>
      </c>
      <c r="Q929">
        <f>IF(AND(A929&lt;&gt;"",A929='Firm Search'!$C$7),COUNTIF($A$5:A929,'Firm Search'!$C$7),"")</f>
        <v/>
      </c>
    </row>
    <row r="930">
      <c r="A930" s="64" t="n"/>
      <c r="B930" s="64" t="n"/>
      <c r="C930" s="66" t="n"/>
      <c r="D930" s="66" t="n"/>
      <c r="E930" s="67" t="n"/>
      <c r="F930" s="67" t="n"/>
      <c r="G930" s="67" t="n"/>
      <c r="H930" s="67" t="n"/>
      <c r="I930" s="67" t="n"/>
      <c r="J930" s="67" t="n"/>
      <c r="K930" s="67" t="n"/>
      <c r="L930" s="67" t="n"/>
      <c r="M930" s="64" t="n"/>
      <c r="N930" s="66" t="n"/>
      <c r="O930" s="84">
        <f>IF(A930="","",IF(OR(C930="",D930=""),"Enter both dates",IF(D930&lt;C930,"To is before From",IF(COUNTIFS($P$5:$P$2004,P930,$C$5:$C$2004,"&lt;="&amp;D930,$D$5:$D$2004,"&gt;="&amp;C930)&gt;1,"Overlaps another row","OK"))))</f>
        <v/>
      </c>
      <c r="P930">
        <f>IF(A930="","",A930&amp;"|"&amp;IF(B930="","Standard",B930))</f>
        <v/>
      </c>
      <c r="Q930">
        <f>IF(AND(A930&lt;&gt;"",A930='Firm Search'!$C$7),COUNTIF($A$5:A930,'Firm Search'!$C$7),"")</f>
        <v/>
      </c>
    </row>
    <row r="931">
      <c r="A931" s="64" t="n"/>
      <c r="B931" s="64" t="n"/>
      <c r="C931" s="66" t="n"/>
      <c r="D931" s="66" t="n"/>
      <c r="E931" s="67" t="n"/>
      <c r="F931" s="67" t="n"/>
      <c r="G931" s="67" t="n"/>
      <c r="H931" s="67" t="n"/>
      <c r="I931" s="67" t="n"/>
      <c r="J931" s="67" t="n"/>
      <c r="K931" s="67" t="n"/>
      <c r="L931" s="67" t="n"/>
      <c r="M931" s="64" t="n"/>
      <c r="N931" s="66" t="n"/>
      <c r="O931" s="84">
        <f>IF(A931="","",IF(OR(C931="",D931=""),"Enter both dates",IF(D931&lt;C931,"To is before From",IF(COUNTIFS($P$5:$P$2004,P931,$C$5:$C$2004,"&lt;="&amp;D931,$D$5:$D$2004,"&gt;="&amp;C931)&gt;1,"Overlaps another row","OK"))))</f>
        <v/>
      </c>
      <c r="P931">
        <f>IF(A931="","",A931&amp;"|"&amp;IF(B931="","Standard",B931))</f>
        <v/>
      </c>
      <c r="Q931">
        <f>IF(AND(A931&lt;&gt;"",A931='Firm Search'!$C$7),COUNTIF($A$5:A931,'Firm Search'!$C$7),"")</f>
        <v/>
      </c>
    </row>
    <row r="932">
      <c r="A932" s="64" t="n"/>
      <c r="B932" s="64" t="n"/>
      <c r="C932" s="66" t="n"/>
      <c r="D932" s="66" t="n"/>
      <c r="E932" s="67" t="n"/>
      <c r="F932" s="67" t="n"/>
      <c r="G932" s="67" t="n"/>
      <c r="H932" s="67" t="n"/>
      <c r="I932" s="67" t="n"/>
      <c r="J932" s="67" t="n"/>
      <c r="K932" s="67" t="n"/>
      <c r="L932" s="67" t="n"/>
      <c r="M932" s="64" t="n"/>
      <c r="N932" s="66" t="n"/>
      <c r="O932" s="84">
        <f>IF(A932="","",IF(OR(C932="",D932=""),"Enter both dates",IF(D932&lt;C932,"To is before From",IF(COUNTIFS($P$5:$P$2004,P932,$C$5:$C$2004,"&lt;="&amp;D932,$D$5:$D$2004,"&gt;="&amp;C932)&gt;1,"Overlaps another row","OK"))))</f>
        <v/>
      </c>
      <c r="P932">
        <f>IF(A932="","",A932&amp;"|"&amp;IF(B932="","Standard",B932))</f>
        <v/>
      </c>
      <c r="Q932">
        <f>IF(AND(A932&lt;&gt;"",A932='Firm Search'!$C$7),COUNTIF($A$5:A932,'Firm Search'!$C$7),"")</f>
        <v/>
      </c>
    </row>
    <row r="933">
      <c r="A933" s="64" t="n"/>
      <c r="B933" s="64" t="n"/>
      <c r="C933" s="66" t="n"/>
      <c r="D933" s="66" t="n"/>
      <c r="E933" s="67" t="n"/>
      <c r="F933" s="67" t="n"/>
      <c r="G933" s="67" t="n"/>
      <c r="H933" s="67" t="n"/>
      <c r="I933" s="67" t="n"/>
      <c r="J933" s="67" t="n"/>
      <c r="K933" s="67" t="n"/>
      <c r="L933" s="67" t="n"/>
      <c r="M933" s="64" t="n"/>
      <c r="N933" s="66" t="n"/>
      <c r="O933" s="84">
        <f>IF(A933="","",IF(OR(C933="",D933=""),"Enter both dates",IF(D933&lt;C933,"To is before From",IF(COUNTIFS($P$5:$P$2004,P933,$C$5:$C$2004,"&lt;="&amp;D933,$D$5:$D$2004,"&gt;="&amp;C933)&gt;1,"Overlaps another row","OK"))))</f>
        <v/>
      </c>
      <c r="P933">
        <f>IF(A933="","",A933&amp;"|"&amp;IF(B933="","Standard",B933))</f>
        <v/>
      </c>
      <c r="Q933">
        <f>IF(AND(A933&lt;&gt;"",A933='Firm Search'!$C$7),COUNTIF($A$5:A933,'Firm Search'!$C$7),"")</f>
        <v/>
      </c>
    </row>
    <row r="934">
      <c r="A934" s="64" t="n"/>
      <c r="B934" s="64" t="n"/>
      <c r="C934" s="66" t="n"/>
      <c r="D934" s="66" t="n"/>
      <c r="E934" s="67" t="n"/>
      <c r="F934" s="67" t="n"/>
      <c r="G934" s="67" t="n"/>
      <c r="H934" s="67" t="n"/>
      <c r="I934" s="67" t="n"/>
      <c r="J934" s="67" t="n"/>
      <c r="K934" s="67" t="n"/>
      <c r="L934" s="67" t="n"/>
      <c r="M934" s="64" t="n"/>
      <c r="N934" s="66" t="n"/>
      <c r="O934" s="84">
        <f>IF(A934="","",IF(OR(C934="",D934=""),"Enter both dates",IF(D934&lt;C934,"To is before From",IF(COUNTIFS($P$5:$P$2004,P934,$C$5:$C$2004,"&lt;="&amp;D934,$D$5:$D$2004,"&gt;="&amp;C934)&gt;1,"Overlaps another row","OK"))))</f>
        <v/>
      </c>
      <c r="P934">
        <f>IF(A934="","",A934&amp;"|"&amp;IF(B934="","Standard",B934))</f>
        <v/>
      </c>
      <c r="Q934">
        <f>IF(AND(A934&lt;&gt;"",A934='Firm Search'!$C$7),COUNTIF($A$5:A934,'Firm Search'!$C$7),"")</f>
        <v/>
      </c>
    </row>
    <row r="935">
      <c r="A935" s="64" t="n"/>
      <c r="B935" s="64" t="n"/>
      <c r="C935" s="66" t="n"/>
      <c r="D935" s="66" t="n"/>
      <c r="E935" s="67" t="n"/>
      <c r="F935" s="67" t="n"/>
      <c r="G935" s="67" t="n"/>
      <c r="H935" s="67" t="n"/>
      <c r="I935" s="67" t="n"/>
      <c r="J935" s="67" t="n"/>
      <c r="K935" s="67" t="n"/>
      <c r="L935" s="67" t="n"/>
      <c r="M935" s="64" t="n"/>
      <c r="N935" s="66" t="n"/>
      <c r="O935" s="84">
        <f>IF(A935="","",IF(OR(C935="",D935=""),"Enter both dates",IF(D935&lt;C935,"To is before From",IF(COUNTIFS($P$5:$P$2004,P935,$C$5:$C$2004,"&lt;="&amp;D935,$D$5:$D$2004,"&gt;="&amp;C935)&gt;1,"Overlaps another row","OK"))))</f>
        <v/>
      </c>
      <c r="P935">
        <f>IF(A935="","",A935&amp;"|"&amp;IF(B935="","Standard",B935))</f>
        <v/>
      </c>
      <c r="Q935">
        <f>IF(AND(A935&lt;&gt;"",A935='Firm Search'!$C$7),COUNTIF($A$5:A935,'Firm Search'!$C$7),"")</f>
        <v/>
      </c>
    </row>
    <row r="936">
      <c r="A936" s="64" t="n"/>
      <c r="B936" s="64" t="n"/>
      <c r="C936" s="66" t="n"/>
      <c r="D936" s="66" t="n"/>
      <c r="E936" s="67" t="n"/>
      <c r="F936" s="67" t="n"/>
      <c r="G936" s="67" t="n"/>
      <c r="H936" s="67" t="n"/>
      <c r="I936" s="67" t="n"/>
      <c r="J936" s="67" t="n"/>
      <c r="K936" s="67" t="n"/>
      <c r="L936" s="67" t="n"/>
      <c r="M936" s="64" t="n"/>
      <c r="N936" s="66" t="n"/>
      <c r="O936" s="84">
        <f>IF(A936="","",IF(OR(C936="",D936=""),"Enter both dates",IF(D936&lt;C936,"To is before From",IF(COUNTIFS($P$5:$P$2004,P936,$C$5:$C$2004,"&lt;="&amp;D936,$D$5:$D$2004,"&gt;="&amp;C936)&gt;1,"Overlaps another row","OK"))))</f>
        <v/>
      </c>
      <c r="P936">
        <f>IF(A936="","",A936&amp;"|"&amp;IF(B936="","Standard",B936))</f>
        <v/>
      </c>
      <c r="Q936">
        <f>IF(AND(A936&lt;&gt;"",A936='Firm Search'!$C$7),COUNTIF($A$5:A936,'Firm Search'!$C$7),"")</f>
        <v/>
      </c>
    </row>
    <row r="937">
      <c r="A937" s="64" t="n"/>
      <c r="B937" s="64" t="n"/>
      <c r="C937" s="66" t="n"/>
      <c r="D937" s="66" t="n"/>
      <c r="E937" s="67" t="n"/>
      <c r="F937" s="67" t="n"/>
      <c r="G937" s="67" t="n"/>
      <c r="H937" s="67" t="n"/>
      <c r="I937" s="67" t="n"/>
      <c r="J937" s="67" t="n"/>
      <c r="K937" s="67" t="n"/>
      <c r="L937" s="67" t="n"/>
      <c r="M937" s="64" t="n"/>
      <c r="N937" s="66" t="n"/>
      <c r="O937" s="84">
        <f>IF(A937="","",IF(OR(C937="",D937=""),"Enter both dates",IF(D937&lt;C937,"To is before From",IF(COUNTIFS($P$5:$P$2004,P937,$C$5:$C$2004,"&lt;="&amp;D937,$D$5:$D$2004,"&gt;="&amp;C937)&gt;1,"Overlaps another row","OK"))))</f>
        <v/>
      </c>
      <c r="P937">
        <f>IF(A937="","",A937&amp;"|"&amp;IF(B937="","Standard",B937))</f>
        <v/>
      </c>
      <c r="Q937">
        <f>IF(AND(A937&lt;&gt;"",A937='Firm Search'!$C$7),COUNTIF($A$5:A937,'Firm Search'!$C$7),"")</f>
        <v/>
      </c>
    </row>
    <row r="938">
      <c r="A938" s="64" t="n"/>
      <c r="B938" s="64" t="n"/>
      <c r="C938" s="66" t="n"/>
      <c r="D938" s="66" t="n"/>
      <c r="E938" s="67" t="n"/>
      <c r="F938" s="67" t="n"/>
      <c r="G938" s="67" t="n"/>
      <c r="H938" s="67" t="n"/>
      <c r="I938" s="67" t="n"/>
      <c r="J938" s="67" t="n"/>
      <c r="K938" s="67" t="n"/>
      <c r="L938" s="67" t="n"/>
      <c r="M938" s="64" t="n"/>
      <c r="N938" s="66" t="n"/>
      <c r="O938" s="84">
        <f>IF(A938="","",IF(OR(C938="",D938=""),"Enter both dates",IF(D938&lt;C938,"To is before From",IF(COUNTIFS($P$5:$P$2004,P938,$C$5:$C$2004,"&lt;="&amp;D938,$D$5:$D$2004,"&gt;="&amp;C938)&gt;1,"Overlaps another row","OK"))))</f>
        <v/>
      </c>
      <c r="P938">
        <f>IF(A938="","",A938&amp;"|"&amp;IF(B938="","Standard",B938))</f>
        <v/>
      </c>
      <c r="Q938">
        <f>IF(AND(A938&lt;&gt;"",A938='Firm Search'!$C$7),COUNTIF($A$5:A938,'Firm Search'!$C$7),"")</f>
        <v/>
      </c>
    </row>
    <row r="939">
      <c r="A939" s="64" t="n"/>
      <c r="B939" s="64" t="n"/>
      <c r="C939" s="66" t="n"/>
      <c r="D939" s="66" t="n"/>
      <c r="E939" s="67" t="n"/>
      <c r="F939" s="67" t="n"/>
      <c r="G939" s="67" t="n"/>
      <c r="H939" s="67" t="n"/>
      <c r="I939" s="67" t="n"/>
      <c r="J939" s="67" t="n"/>
      <c r="K939" s="67" t="n"/>
      <c r="L939" s="67" t="n"/>
      <c r="M939" s="64" t="n"/>
      <c r="N939" s="66" t="n"/>
      <c r="O939" s="84">
        <f>IF(A939="","",IF(OR(C939="",D939=""),"Enter both dates",IF(D939&lt;C939,"To is before From",IF(COUNTIFS($P$5:$P$2004,P939,$C$5:$C$2004,"&lt;="&amp;D939,$D$5:$D$2004,"&gt;="&amp;C939)&gt;1,"Overlaps another row","OK"))))</f>
        <v/>
      </c>
      <c r="P939">
        <f>IF(A939="","",A939&amp;"|"&amp;IF(B939="","Standard",B939))</f>
        <v/>
      </c>
      <c r="Q939">
        <f>IF(AND(A939&lt;&gt;"",A939='Firm Search'!$C$7),COUNTIF($A$5:A939,'Firm Search'!$C$7),"")</f>
        <v/>
      </c>
    </row>
    <row r="940">
      <c r="A940" s="64" t="n"/>
      <c r="B940" s="64" t="n"/>
      <c r="C940" s="66" t="n"/>
      <c r="D940" s="66" t="n"/>
      <c r="E940" s="67" t="n"/>
      <c r="F940" s="67" t="n"/>
      <c r="G940" s="67" t="n"/>
      <c r="H940" s="67" t="n"/>
      <c r="I940" s="67" t="n"/>
      <c r="J940" s="67" t="n"/>
      <c r="K940" s="67" t="n"/>
      <c r="L940" s="67" t="n"/>
      <c r="M940" s="64" t="n"/>
      <c r="N940" s="66" t="n"/>
      <c r="O940" s="84">
        <f>IF(A940="","",IF(OR(C940="",D940=""),"Enter both dates",IF(D940&lt;C940,"To is before From",IF(COUNTIFS($P$5:$P$2004,P940,$C$5:$C$2004,"&lt;="&amp;D940,$D$5:$D$2004,"&gt;="&amp;C940)&gt;1,"Overlaps another row","OK"))))</f>
        <v/>
      </c>
      <c r="P940">
        <f>IF(A940="","",A940&amp;"|"&amp;IF(B940="","Standard",B940))</f>
        <v/>
      </c>
      <c r="Q940">
        <f>IF(AND(A940&lt;&gt;"",A940='Firm Search'!$C$7),COUNTIF($A$5:A940,'Firm Search'!$C$7),"")</f>
        <v/>
      </c>
    </row>
    <row r="941">
      <c r="A941" s="64" t="n"/>
      <c r="B941" s="64" t="n"/>
      <c r="C941" s="66" t="n"/>
      <c r="D941" s="66" t="n"/>
      <c r="E941" s="67" t="n"/>
      <c r="F941" s="67" t="n"/>
      <c r="G941" s="67" t="n"/>
      <c r="H941" s="67" t="n"/>
      <c r="I941" s="67" t="n"/>
      <c r="J941" s="67" t="n"/>
      <c r="K941" s="67" t="n"/>
      <c r="L941" s="67" t="n"/>
      <c r="M941" s="64" t="n"/>
      <c r="N941" s="66" t="n"/>
      <c r="O941" s="84">
        <f>IF(A941="","",IF(OR(C941="",D941=""),"Enter both dates",IF(D941&lt;C941,"To is before From",IF(COUNTIFS($P$5:$P$2004,P941,$C$5:$C$2004,"&lt;="&amp;D941,$D$5:$D$2004,"&gt;="&amp;C941)&gt;1,"Overlaps another row","OK"))))</f>
        <v/>
      </c>
      <c r="P941">
        <f>IF(A941="","",A941&amp;"|"&amp;IF(B941="","Standard",B941))</f>
        <v/>
      </c>
      <c r="Q941">
        <f>IF(AND(A941&lt;&gt;"",A941='Firm Search'!$C$7),COUNTIF($A$5:A941,'Firm Search'!$C$7),"")</f>
        <v/>
      </c>
    </row>
    <row r="942">
      <c r="A942" s="64" t="n"/>
      <c r="B942" s="64" t="n"/>
      <c r="C942" s="66" t="n"/>
      <c r="D942" s="66" t="n"/>
      <c r="E942" s="67" t="n"/>
      <c r="F942" s="67" t="n"/>
      <c r="G942" s="67" t="n"/>
      <c r="H942" s="67" t="n"/>
      <c r="I942" s="67" t="n"/>
      <c r="J942" s="67" t="n"/>
      <c r="K942" s="67" t="n"/>
      <c r="L942" s="67" t="n"/>
      <c r="M942" s="64" t="n"/>
      <c r="N942" s="66" t="n"/>
      <c r="O942" s="84">
        <f>IF(A942="","",IF(OR(C942="",D942=""),"Enter both dates",IF(D942&lt;C942,"To is before From",IF(COUNTIFS($P$5:$P$2004,P942,$C$5:$C$2004,"&lt;="&amp;D942,$D$5:$D$2004,"&gt;="&amp;C942)&gt;1,"Overlaps another row","OK"))))</f>
        <v/>
      </c>
      <c r="P942">
        <f>IF(A942="","",A942&amp;"|"&amp;IF(B942="","Standard",B942))</f>
        <v/>
      </c>
      <c r="Q942">
        <f>IF(AND(A942&lt;&gt;"",A942='Firm Search'!$C$7),COUNTIF($A$5:A942,'Firm Search'!$C$7),"")</f>
        <v/>
      </c>
    </row>
    <row r="943">
      <c r="A943" s="64" t="n"/>
      <c r="B943" s="64" t="n"/>
      <c r="C943" s="66" t="n"/>
      <c r="D943" s="66" t="n"/>
      <c r="E943" s="67" t="n"/>
      <c r="F943" s="67" t="n"/>
      <c r="G943" s="67" t="n"/>
      <c r="H943" s="67" t="n"/>
      <c r="I943" s="67" t="n"/>
      <c r="J943" s="67" t="n"/>
      <c r="K943" s="67" t="n"/>
      <c r="L943" s="67" t="n"/>
      <c r="M943" s="64" t="n"/>
      <c r="N943" s="66" t="n"/>
      <c r="O943" s="84">
        <f>IF(A943="","",IF(OR(C943="",D943=""),"Enter both dates",IF(D943&lt;C943,"To is before From",IF(COUNTIFS($P$5:$P$2004,P943,$C$5:$C$2004,"&lt;="&amp;D943,$D$5:$D$2004,"&gt;="&amp;C943)&gt;1,"Overlaps another row","OK"))))</f>
        <v/>
      </c>
      <c r="P943">
        <f>IF(A943="","",A943&amp;"|"&amp;IF(B943="","Standard",B943))</f>
        <v/>
      </c>
      <c r="Q943">
        <f>IF(AND(A943&lt;&gt;"",A943='Firm Search'!$C$7),COUNTIF($A$5:A943,'Firm Search'!$C$7),"")</f>
        <v/>
      </c>
    </row>
    <row r="944">
      <c r="A944" s="64" t="n"/>
      <c r="B944" s="64" t="n"/>
      <c r="C944" s="66" t="n"/>
      <c r="D944" s="66" t="n"/>
      <c r="E944" s="67" t="n"/>
      <c r="F944" s="67" t="n"/>
      <c r="G944" s="67" t="n"/>
      <c r="H944" s="67" t="n"/>
      <c r="I944" s="67" t="n"/>
      <c r="J944" s="67" t="n"/>
      <c r="K944" s="67" t="n"/>
      <c r="L944" s="67" t="n"/>
      <c r="M944" s="64" t="n"/>
      <c r="N944" s="66" t="n"/>
      <c r="O944" s="84">
        <f>IF(A944="","",IF(OR(C944="",D944=""),"Enter both dates",IF(D944&lt;C944,"To is before From",IF(COUNTIFS($P$5:$P$2004,P944,$C$5:$C$2004,"&lt;="&amp;D944,$D$5:$D$2004,"&gt;="&amp;C944)&gt;1,"Overlaps another row","OK"))))</f>
        <v/>
      </c>
      <c r="P944">
        <f>IF(A944="","",A944&amp;"|"&amp;IF(B944="","Standard",B944))</f>
        <v/>
      </c>
      <c r="Q944">
        <f>IF(AND(A944&lt;&gt;"",A944='Firm Search'!$C$7),COUNTIF($A$5:A944,'Firm Search'!$C$7),"")</f>
        <v/>
      </c>
    </row>
    <row r="945">
      <c r="A945" s="64" t="n"/>
      <c r="B945" s="64" t="n"/>
      <c r="C945" s="66" t="n"/>
      <c r="D945" s="66" t="n"/>
      <c r="E945" s="67" t="n"/>
      <c r="F945" s="67" t="n"/>
      <c r="G945" s="67" t="n"/>
      <c r="H945" s="67" t="n"/>
      <c r="I945" s="67" t="n"/>
      <c r="J945" s="67" t="n"/>
      <c r="K945" s="67" t="n"/>
      <c r="L945" s="67" t="n"/>
      <c r="M945" s="64" t="n"/>
      <c r="N945" s="66" t="n"/>
      <c r="O945" s="84">
        <f>IF(A945="","",IF(OR(C945="",D945=""),"Enter both dates",IF(D945&lt;C945,"To is before From",IF(COUNTIFS($P$5:$P$2004,P945,$C$5:$C$2004,"&lt;="&amp;D945,$D$5:$D$2004,"&gt;="&amp;C945)&gt;1,"Overlaps another row","OK"))))</f>
        <v/>
      </c>
      <c r="P945">
        <f>IF(A945="","",A945&amp;"|"&amp;IF(B945="","Standard",B945))</f>
        <v/>
      </c>
      <c r="Q945">
        <f>IF(AND(A945&lt;&gt;"",A945='Firm Search'!$C$7),COUNTIF($A$5:A945,'Firm Search'!$C$7),"")</f>
        <v/>
      </c>
    </row>
    <row r="946">
      <c r="A946" s="64" t="n"/>
      <c r="B946" s="64" t="n"/>
      <c r="C946" s="66" t="n"/>
      <c r="D946" s="66" t="n"/>
      <c r="E946" s="67" t="n"/>
      <c r="F946" s="67" t="n"/>
      <c r="G946" s="67" t="n"/>
      <c r="H946" s="67" t="n"/>
      <c r="I946" s="67" t="n"/>
      <c r="J946" s="67" t="n"/>
      <c r="K946" s="67" t="n"/>
      <c r="L946" s="67" t="n"/>
      <c r="M946" s="64" t="n"/>
      <c r="N946" s="66" t="n"/>
      <c r="O946" s="84">
        <f>IF(A946="","",IF(OR(C946="",D946=""),"Enter both dates",IF(D946&lt;C946,"To is before From",IF(COUNTIFS($P$5:$P$2004,P946,$C$5:$C$2004,"&lt;="&amp;D946,$D$5:$D$2004,"&gt;="&amp;C946)&gt;1,"Overlaps another row","OK"))))</f>
        <v/>
      </c>
      <c r="P946">
        <f>IF(A946="","",A946&amp;"|"&amp;IF(B946="","Standard",B946))</f>
        <v/>
      </c>
      <c r="Q946">
        <f>IF(AND(A946&lt;&gt;"",A946='Firm Search'!$C$7),COUNTIF($A$5:A946,'Firm Search'!$C$7),"")</f>
        <v/>
      </c>
    </row>
    <row r="947">
      <c r="A947" s="64" t="n"/>
      <c r="B947" s="64" t="n"/>
      <c r="C947" s="66" t="n"/>
      <c r="D947" s="66" t="n"/>
      <c r="E947" s="67" t="n"/>
      <c r="F947" s="67" t="n"/>
      <c r="G947" s="67" t="n"/>
      <c r="H947" s="67" t="n"/>
      <c r="I947" s="67" t="n"/>
      <c r="J947" s="67" t="n"/>
      <c r="K947" s="67" t="n"/>
      <c r="L947" s="67" t="n"/>
      <c r="M947" s="64" t="n"/>
      <c r="N947" s="66" t="n"/>
      <c r="O947" s="84">
        <f>IF(A947="","",IF(OR(C947="",D947=""),"Enter both dates",IF(D947&lt;C947,"To is before From",IF(COUNTIFS($P$5:$P$2004,P947,$C$5:$C$2004,"&lt;="&amp;D947,$D$5:$D$2004,"&gt;="&amp;C947)&gt;1,"Overlaps another row","OK"))))</f>
        <v/>
      </c>
      <c r="P947">
        <f>IF(A947="","",A947&amp;"|"&amp;IF(B947="","Standard",B947))</f>
        <v/>
      </c>
      <c r="Q947">
        <f>IF(AND(A947&lt;&gt;"",A947='Firm Search'!$C$7),COUNTIF($A$5:A947,'Firm Search'!$C$7),"")</f>
        <v/>
      </c>
    </row>
    <row r="948">
      <c r="A948" s="64" t="n"/>
      <c r="B948" s="64" t="n"/>
      <c r="C948" s="66" t="n"/>
      <c r="D948" s="66" t="n"/>
      <c r="E948" s="67" t="n"/>
      <c r="F948" s="67" t="n"/>
      <c r="G948" s="67" t="n"/>
      <c r="H948" s="67" t="n"/>
      <c r="I948" s="67" t="n"/>
      <c r="J948" s="67" t="n"/>
      <c r="K948" s="67" t="n"/>
      <c r="L948" s="67" t="n"/>
      <c r="M948" s="64" t="n"/>
      <c r="N948" s="66" t="n"/>
      <c r="O948" s="84">
        <f>IF(A948="","",IF(OR(C948="",D948=""),"Enter both dates",IF(D948&lt;C948,"To is before From",IF(COUNTIFS($P$5:$P$2004,P948,$C$5:$C$2004,"&lt;="&amp;D948,$D$5:$D$2004,"&gt;="&amp;C948)&gt;1,"Overlaps another row","OK"))))</f>
        <v/>
      </c>
      <c r="P948">
        <f>IF(A948="","",A948&amp;"|"&amp;IF(B948="","Standard",B948))</f>
        <v/>
      </c>
      <c r="Q948">
        <f>IF(AND(A948&lt;&gt;"",A948='Firm Search'!$C$7),COUNTIF($A$5:A948,'Firm Search'!$C$7),"")</f>
        <v/>
      </c>
    </row>
    <row r="949">
      <c r="A949" s="64" t="n"/>
      <c r="B949" s="64" t="n"/>
      <c r="C949" s="66" t="n"/>
      <c r="D949" s="66" t="n"/>
      <c r="E949" s="67" t="n"/>
      <c r="F949" s="67" t="n"/>
      <c r="G949" s="67" t="n"/>
      <c r="H949" s="67" t="n"/>
      <c r="I949" s="67" t="n"/>
      <c r="J949" s="67" t="n"/>
      <c r="K949" s="67" t="n"/>
      <c r="L949" s="67" t="n"/>
      <c r="M949" s="64" t="n"/>
      <c r="N949" s="66" t="n"/>
      <c r="O949" s="84">
        <f>IF(A949="","",IF(OR(C949="",D949=""),"Enter both dates",IF(D949&lt;C949,"To is before From",IF(COUNTIFS($P$5:$P$2004,P949,$C$5:$C$2004,"&lt;="&amp;D949,$D$5:$D$2004,"&gt;="&amp;C949)&gt;1,"Overlaps another row","OK"))))</f>
        <v/>
      </c>
      <c r="P949">
        <f>IF(A949="","",A949&amp;"|"&amp;IF(B949="","Standard",B949))</f>
        <v/>
      </c>
      <c r="Q949">
        <f>IF(AND(A949&lt;&gt;"",A949='Firm Search'!$C$7),COUNTIF($A$5:A949,'Firm Search'!$C$7),"")</f>
        <v/>
      </c>
    </row>
    <row r="950">
      <c r="A950" s="64" t="n"/>
      <c r="B950" s="64" t="n"/>
      <c r="C950" s="66" t="n"/>
      <c r="D950" s="66" t="n"/>
      <c r="E950" s="67" t="n"/>
      <c r="F950" s="67" t="n"/>
      <c r="G950" s="67" t="n"/>
      <c r="H950" s="67" t="n"/>
      <c r="I950" s="67" t="n"/>
      <c r="J950" s="67" t="n"/>
      <c r="K950" s="67" t="n"/>
      <c r="L950" s="67" t="n"/>
      <c r="M950" s="64" t="n"/>
      <c r="N950" s="66" t="n"/>
      <c r="O950" s="84">
        <f>IF(A950="","",IF(OR(C950="",D950=""),"Enter both dates",IF(D950&lt;C950,"To is before From",IF(COUNTIFS($P$5:$P$2004,P950,$C$5:$C$2004,"&lt;="&amp;D950,$D$5:$D$2004,"&gt;="&amp;C950)&gt;1,"Overlaps another row","OK"))))</f>
        <v/>
      </c>
      <c r="P950">
        <f>IF(A950="","",A950&amp;"|"&amp;IF(B950="","Standard",B950))</f>
        <v/>
      </c>
      <c r="Q950">
        <f>IF(AND(A950&lt;&gt;"",A950='Firm Search'!$C$7),COUNTIF($A$5:A950,'Firm Search'!$C$7),"")</f>
        <v/>
      </c>
    </row>
    <row r="951">
      <c r="A951" s="64" t="n"/>
      <c r="B951" s="64" t="n"/>
      <c r="C951" s="66" t="n"/>
      <c r="D951" s="66" t="n"/>
      <c r="E951" s="67" t="n"/>
      <c r="F951" s="67" t="n"/>
      <c r="G951" s="67" t="n"/>
      <c r="H951" s="67" t="n"/>
      <c r="I951" s="67" t="n"/>
      <c r="J951" s="67" t="n"/>
      <c r="K951" s="67" t="n"/>
      <c r="L951" s="67" t="n"/>
      <c r="M951" s="64" t="n"/>
      <c r="N951" s="66" t="n"/>
      <c r="O951" s="84">
        <f>IF(A951="","",IF(OR(C951="",D951=""),"Enter both dates",IF(D951&lt;C951,"To is before From",IF(COUNTIFS($P$5:$P$2004,P951,$C$5:$C$2004,"&lt;="&amp;D951,$D$5:$D$2004,"&gt;="&amp;C951)&gt;1,"Overlaps another row","OK"))))</f>
        <v/>
      </c>
      <c r="P951">
        <f>IF(A951="","",A951&amp;"|"&amp;IF(B951="","Standard",B951))</f>
        <v/>
      </c>
      <c r="Q951">
        <f>IF(AND(A951&lt;&gt;"",A951='Firm Search'!$C$7),COUNTIF($A$5:A951,'Firm Search'!$C$7),"")</f>
        <v/>
      </c>
    </row>
    <row r="952">
      <c r="A952" s="64" t="n"/>
      <c r="B952" s="64" t="n"/>
      <c r="C952" s="66" t="n"/>
      <c r="D952" s="66" t="n"/>
      <c r="E952" s="67" t="n"/>
      <c r="F952" s="67" t="n"/>
      <c r="G952" s="67" t="n"/>
      <c r="H952" s="67" t="n"/>
      <c r="I952" s="67" t="n"/>
      <c r="J952" s="67" t="n"/>
      <c r="K952" s="67" t="n"/>
      <c r="L952" s="67" t="n"/>
      <c r="M952" s="64" t="n"/>
      <c r="N952" s="66" t="n"/>
      <c r="O952" s="84">
        <f>IF(A952="","",IF(OR(C952="",D952=""),"Enter both dates",IF(D952&lt;C952,"To is before From",IF(COUNTIFS($P$5:$P$2004,P952,$C$5:$C$2004,"&lt;="&amp;D952,$D$5:$D$2004,"&gt;="&amp;C952)&gt;1,"Overlaps another row","OK"))))</f>
        <v/>
      </c>
      <c r="P952">
        <f>IF(A952="","",A952&amp;"|"&amp;IF(B952="","Standard",B952))</f>
        <v/>
      </c>
      <c r="Q952">
        <f>IF(AND(A952&lt;&gt;"",A952='Firm Search'!$C$7),COUNTIF($A$5:A952,'Firm Search'!$C$7),"")</f>
        <v/>
      </c>
    </row>
    <row r="953">
      <c r="A953" s="64" t="n"/>
      <c r="B953" s="64" t="n"/>
      <c r="C953" s="66" t="n"/>
      <c r="D953" s="66" t="n"/>
      <c r="E953" s="67" t="n"/>
      <c r="F953" s="67" t="n"/>
      <c r="G953" s="67" t="n"/>
      <c r="H953" s="67" t="n"/>
      <c r="I953" s="67" t="n"/>
      <c r="J953" s="67" t="n"/>
      <c r="K953" s="67" t="n"/>
      <c r="L953" s="67" t="n"/>
      <c r="M953" s="64" t="n"/>
      <c r="N953" s="66" t="n"/>
      <c r="O953" s="84">
        <f>IF(A953="","",IF(OR(C953="",D953=""),"Enter both dates",IF(D953&lt;C953,"To is before From",IF(COUNTIFS($P$5:$P$2004,P953,$C$5:$C$2004,"&lt;="&amp;D953,$D$5:$D$2004,"&gt;="&amp;C953)&gt;1,"Overlaps another row","OK"))))</f>
        <v/>
      </c>
      <c r="P953">
        <f>IF(A953="","",A953&amp;"|"&amp;IF(B953="","Standard",B953))</f>
        <v/>
      </c>
      <c r="Q953">
        <f>IF(AND(A953&lt;&gt;"",A953='Firm Search'!$C$7),COUNTIF($A$5:A953,'Firm Search'!$C$7),"")</f>
        <v/>
      </c>
    </row>
    <row r="954">
      <c r="A954" s="64" t="n"/>
      <c r="B954" s="64" t="n"/>
      <c r="C954" s="66" t="n"/>
      <c r="D954" s="66" t="n"/>
      <c r="E954" s="67" t="n"/>
      <c r="F954" s="67" t="n"/>
      <c r="G954" s="67" t="n"/>
      <c r="H954" s="67" t="n"/>
      <c r="I954" s="67" t="n"/>
      <c r="J954" s="67" t="n"/>
      <c r="K954" s="67" t="n"/>
      <c r="L954" s="67" t="n"/>
      <c r="M954" s="64" t="n"/>
      <c r="N954" s="66" t="n"/>
      <c r="O954" s="84">
        <f>IF(A954="","",IF(OR(C954="",D954=""),"Enter both dates",IF(D954&lt;C954,"To is before From",IF(COUNTIFS($P$5:$P$2004,P954,$C$5:$C$2004,"&lt;="&amp;D954,$D$5:$D$2004,"&gt;="&amp;C954)&gt;1,"Overlaps another row","OK"))))</f>
        <v/>
      </c>
      <c r="P954">
        <f>IF(A954="","",A954&amp;"|"&amp;IF(B954="","Standard",B954))</f>
        <v/>
      </c>
      <c r="Q954">
        <f>IF(AND(A954&lt;&gt;"",A954='Firm Search'!$C$7),COUNTIF($A$5:A954,'Firm Search'!$C$7),"")</f>
        <v/>
      </c>
    </row>
    <row r="955">
      <c r="A955" s="64" t="n"/>
      <c r="B955" s="64" t="n"/>
      <c r="C955" s="66" t="n"/>
      <c r="D955" s="66" t="n"/>
      <c r="E955" s="67" t="n"/>
      <c r="F955" s="67" t="n"/>
      <c r="G955" s="67" t="n"/>
      <c r="H955" s="67" t="n"/>
      <c r="I955" s="67" t="n"/>
      <c r="J955" s="67" t="n"/>
      <c r="K955" s="67" t="n"/>
      <c r="L955" s="67" t="n"/>
      <c r="M955" s="64" t="n"/>
      <c r="N955" s="66" t="n"/>
      <c r="O955" s="84">
        <f>IF(A955="","",IF(OR(C955="",D955=""),"Enter both dates",IF(D955&lt;C955,"To is before From",IF(COUNTIFS($P$5:$P$2004,P955,$C$5:$C$2004,"&lt;="&amp;D955,$D$5:$D$2004,"&gt;="&amp;C955)&gt;1,"Overlaps another row","OK"))))</f>
        <v/>
      </c>
      <c r="P955">
        <f>IF(A955="","",A955&amp;"|"&amp;IF(B955="","Standard",B955))</f>
        <v/>
      </c>
      <c r="Q955">
        <f>IF(AND(A955&lt;&gt;"",A955='Firm Search'!$C$7),COUNTIF($A$5:A955,'Firm Search'!$C$7),"")</f>
        <v/>
      </c>
    </row>
    <row r="956">
      <c r="A956" s="64" t="n"/>
      <c r="B956" s="64" t="n"/>
      <c r="C956" s="66" t="n"/>
      <c r="D956" s="66" t="n"/>
      <c r="E956" s="67" t="n"/>
      <c r="F956" s="67" t="n"/>
      <c r="G956" s="67" t="n"/>
      <c r="H956" s="67" t="n"/>
      <c r="I956" s="67" t="n"/>
      <c r="J956" s="67" t="n"/>
      <c r="K956" s="67" t="n"/>
      <c r="L956" s="67" t="n"/>
      <c r="M956" s="64" t="n"/>
      <c r="N956" s="66" t="n"/>
      <c r="O956" s="84">
        <f>IF(A956="","",IF(OR(C956="",D956=""),"Enter both dates",IF(D956&lt;C956,"To is before From",IF(COUNTIFS($P$5:$P$2004,P956,$C$5:$C$2004,"&lt;="&amp;D956,$D$5:$D$2004,"&gt;="&amp;C956)&gt;1,"Overlaps another row","OK"))))</f>
        <v/>
      </c>
      <c r="P956">
        <f>IF(A956="","",A956&amp;"|"&amp;IF(B956="","Standard",B956))</f>
        <v/>
      </c>
      <c r="Q956">
        <f>IF(AND(A956&lt;&gt;"",A956='Firm Search'!$C$7),COUNTIF($A$5:A956,'Firm Search'!$C$7),"")</f>
        <v/>
      </c>
    </row>
    <row r="957">
      <c r="A957" s="64" t="n"/>
      <c r="B957" s="64" t="n"/>
      <c r="C957" s="66" t="n"/>
      <c r="D957" s="66" t="n"/>
      <c r="E957" s="67" t="n"/>
      <c r="F957" s="67" t="n"/>
      <c r="G957" s="67" t="n"/>
      <c r="H957" s="67" t="n"/>
      <c r="I957" s="67" t="n"/>
      <c r="J957" s="67" t="n"/>
      <c r="K957" s="67" t="n"/>
      <c r="L957" s="67" t="n"/>
      <c r="M957" s="64" t="n"/>
      <c r="N957" s="66" t="n"/>
      <c r="O957" s="84">
        <f>IF(A957="","",IF(OR(C957="",D957=""),"Enter both dates",IF(D957&lt;C957,"To is before From",IF(COUNTIFS($P$5:$P$2004,P957,$C$5:$C$2004,"&lt;="&amp;D957,$D$5:$D$2004,"&gt;="&amp;C957)&gt;1,"Overlaps another row","OK"))))</f>
        <v/>
      </c>
      <c r="P957">
        <f>IF(A957="","",A957&amp;"|"&amp;IF(B957="","Standard",B957))</f>
        <v/>
      </c>
      <c r="Q957">
        <f>IF(AND(A957&lt;&gt;"",A957='Firm Search'!$C$7),COUNTIF($A$5:A957,'Firm Search'!$C$7),"")</f>
        <v/>
      </c>
    </row>
    <row r="958">
      <c r="A958" s="64" t="n"/>
      <c r="B958" s="64" t="n"/>
      <c r="C958" s="66" t="n"/>
      <c r="D958" s="66" t="n"/>
      <c r="E958" s="67" t="n"/>
      <c r="F958" s="67" t="n"/>
      <c r="G958" s="67" t="n"/>
      <c r="H958" s="67" t="n"/>
      <c r="I958" s="67" t="n"/>
      <c r="J958" s="67" t="n"/>
      <c r="K958" s="67" t="n"/>
      <c r="L958" s="67" t="n"/>
      <c r="M958" s="64" t="n"/>
      <c r="N958" s="66" t="n"/>
      <c r="O958" s="84">
        <f>IF(A958="","",IF(OR(C958="",D958=""),"Enter both dates",IF(D958&lt;C958,"To is before From",IF(COUNTIFS($P$5:$P$2004,P958,$C$5:$C$2004,"&lt;="&amp;D958,$D$5:$D$2004,"&gt;="&amp;C958)&gt;1,"Overlaps another row","OK"))))</f>
        <v/>
      </c>
      <c r="P958">
        <f>IF(A958="","",A958&amp;"|"&amp;IF(B958="","Standard",B958))</f>
        <v/>
      </c>
      <c r="Q958">
        <f>IF(AND(A958&lt;&gt;"",A958='Firm Search'!$C$7),COUNTIF($A$5:A958,'Firm Search'!$C$7),"")</f>
        <v/>
      </c>
    </row>
    <row r="959">
      <c r="A959" s="64" t="n"/>
      <c r="B959" s="64" t="n"/>
      <c r="C959" s="66" t="n"/>
      <c r="D959" s="66" t="n"/>
      <c r="E959" s="67" t="n"/>
      <c r="F959" s="67" t="n"/>
      <c r="G959" s="67" t="n"/>
      <c r="H959" s="67" t="n"/>
      <c r="I959" s="67" t="n"/>
      <c r="J959" s="67" t="n"/>
      <c r="K959" s="67" t="n"/>
      <c r="L959" s="67" t="n"/>
      <c r="M959" s="64" t="n"/>
      <c r="N959" s="66" t="n"/>
      <c r="O959" s="84">
        <f>IF(A959="","",IF(OR(C959="",D959=""),"Enter both dates",IF(D959&lt;C959,"To is before From",IF(COUNTIFS($P$5:$P$2004,P959,$C$5:$C$2004,"&lt;="&amp;D959,$D$5:$D$2004,"&gt;="&amp;C959)&gt;1,"Overlaps another row","OK"))))</f>
        <v/>
      </c>
      <c r="P959">
        <f>IF(A959="","",A959&amp;"|"&amp;IF(B959="","Standard",B959))</f>
        <v/>
      </c>
      <c r="Q959">
        <f>IF(AND(A959&lt;&gt;"",A959='Firm Search'!$C$7),COUNTIF($A$5:A959,'Firm Search'!$C$7),"")</f>
        <v/>
      </c>
    </row>
    <row r="960">
      <c r="A960" s="64" t="n"/>
      <c r="B960" s="64" t="n"/>
      <c r="C960" s="66" t="n"/>
      <c r="D960" s="66" t="n"/>
      <c r="E960" s="67" t="n"/>
      <c r="F960" s="67" t="n"/>
      <c r="G960" s="67" t="n"/>
      <c r="H960" s="67" t="n"/>
      <c r="I960" s="67" t="n"/>
      <c r="J960" s="67" t="n"/>
      <c r="K960" s="67" t="n"/>
      <c r="L960" s="67" t="n"/>
      <c r="M960" s="64" t="n"/>
      <c r="N960" s="66" t="n"/>
      <c r="O960" s="84">
        <f>IF(A960="","",IF(OR(C960="",D960=""),"Enter both dates",IF(D960&lt;C960,"To is before From",IF(COUNTIFS($P$5:$P$2004,P960,$C$5:$C$2004,"&lt;="&amp;D960,$D$5:$D$2004,"&gt;="&amp;C960)&gt;1,"Overlaps another row","OK"))))</f>
        <v/>
      </c>
      <c r="P960">
        <f>IF(A960="","",A960&amp;"|"&amp;IF(B960="","Standard",B960))</f>
        <v/>
      </c>
      <c r="Q960">
        <f>IF(AND(A960&lt;&gt;"",A960='Firm Search'!$C$7),COUNTIF($A$5:A960,'Firm Search'!$C$7),"")</f>
        <v/>
      </c>
    </row>
    <row r="961">
      <c r="A961" s="64" t="n"/>
      <c r="B961" s="64" t="n"/>
      <c r="C961" s="66" t="n"/>
      <c r="D961" s="66" t="n"/>
      <c r="E961" s="67" t="n"/>
      <c r="F961" s="67" t="n"/>
      <c r="G961" s="67" t="n"/>
      <c r="H961" s="67" t="n"/>
      <c r="I961" s="67" t="n"/>
      <c r="J961" s="67" t="n"/>
      <c r="K961" s="67" t="n"/>
      <c r="L961" s="67" t="n"/>
      <c r="M961" s="64" t="n"/>
      <c r="N961" s="66" t="n"/>
      <c r="O961" s="84">
        <f>IF(A961="","",IF(OR(C961="",D961=""),"Enter both dates",IF(D961&lt;C961,"To is before From",IF(COUNTIFS($P$5:$P$2004,P961,$C$5:$C$2004,"&lt;="&amp;D961,$D$5:$D$2004,"&gt;="&amp;C961)&gt;1,"Overlaps another row","OK"))))</f>
        <v/>
      </c>
      <c r="P961">
        <f>IF(A961="","",A961&amp;"|"&amp;IF(B961="","Standard",B961))</f>
        <v/>
      </c>
      <c r="Q961">
        <f>IF(AND(A961&lt;&gt;"",A961='Firm Search'!$C$7),COUNTIF($A$5:A961,'Firm Search'!$C$7),"")</f>
        <v/>
      </c>
    </row>
    <row r="962">
      <c r="A962" s="64" t="n"/>
      <c r="B962" s="64" t="n"/>
      <c r="C962" s="66" t="n"/>
      <c r="D962" s="66" t="n"/>
      <c r="E962" s="67" t="n"/>
      <c r="F962" s="67" t="n"/>
      <c r="G962" s="67" t="n"/>
      <c r="H962" s="67" t="n"/>
      <c r="I962" s="67" t="n"/>
      <c r="J962" s="67" t="n"/>
      <c r="K962" s="67" t="n"/>
      <c r="L962" s="67" t="n"/>
      <c r="M962" s="64" t="n"/>
      <c r="N962" s="66" t="n"/>
      <c r="O962" s="84">
        <f>IF(A962="","",IF(OR(C962="",D962=""),"Enter both dates",IF(D962&lt;C962,"To is before From",IF(COUNTIFS($P$5:$P$2004,P962,$C$5:$C$2004,"&lt;="&amp;D962,$D$5:$D$2004,"&gt;="&amp;C962)&gt;1,"Overlaps another row","OK"))))</f>
        <v/>
      </c>
      <c r="P962">
        <f>IF(A962="","",A962&amp;"|"&amp;IF(B962="","Standard",B962))</f>
        <v/>
      </c>
      <c r="Q962">
        <f>IF(AND(A962&lt;&gt;"",A962='Firm Search'!$C$7),COUNTIF($A$5:A962,'Firm Search'!$C$7),"")</f>
        <v/>
      </c>
    </row>
    <row r="963">
      <c r="A963" s="64" t="n"/>
      <c r="B963" s="64" t="n"/>
      <c r="C963" s="66" t="n"/>
      <c r="D963" s="66" t="n"/>
      <c r="E963" s="67" t="n"/>
      <c r="F963" s="67" t="n"/>
      <c r="G963" s="67" t="n"/>
      <c r="H963" s="67" t="n"/>
      <c r="I963" s="67" t="n"/>
      <c r="J963" s="67" t="n"/>
      <c r="K963" s="67" t="n"/>
      <c r="L963" s="67" t="n"/>
      <c r="M963" s="64" t="n"/>
      <c r="N963" s="66" t="n"/>
      <c r="O963" s="84">
        <f>IF(A963="","",IF(OR(C963="",D963=""),"Enter both dates",IF(D963&lt;C963,"To is before From",IF(COUNTIFS($P$5:$P$2004,P963,$C$5:$C$2004,"&lt;="&amp;D963,$D$5:$D$2004,"&gt;="&amp;C963)&gt;1,"Overlaps another row","OK"))))</f>
        <v/>
      </c>
      <c r="P963">
        <f>IF(A963="","",A963&amp;"|"&amp;IF(B963="","Standard",B963))</f>
        <v/>
      </c>
      <c r="Q963">
        <f>IF(AND(A963&lt;&gt;"",A963='Firm Search'!$C$7),COUNTIF($A$5:A963,'Firm Search'!$C$7),"")</f>
        <v/>
      </c>
    </row>
    <row r="964">
      <c r="A964" s="64" t="n"/>
      <c r="B964" s="64" t="n"/>
      <c r="C964" s="66" t="n"/>
      <c r="D964" s="66" t="n"/>
      <c r="E964" s="67" t="n"/>
      <c r="F964" s="67" t="n"/>
      <c r="G964" s="67" t="n"/>
      <c r="H964" s="67" t="n"/>
      <c r="I964" s="67" t="n"/>
      <c r="J964" s="67" t="n"/>
      <c r="K964" s="67" t="n"/>
      <c r="L964" s="67" t="n"/>
      <c r="M964" s="64" t="n"/>
      <c r="N964" s="66" t="n"/>
      <c r="O964" s="84">
        <f>IF(A964="","",IF(OR(C964="",D964=""),"Enter both dates",IF(D964&lt;C964,"To is before From",IF(COUNTIFS($P$5:$P$2004,P964,$C$5:$C$2004,"&lt;="&amp;D964,$D$5:$D$2004,"&gt;="&amp;C964)&gt;1,"Overlaps another row","OK"))))</f>
        <v/>
      </c>
      <c r="P964">
        <f>IF(A964="","",A964&amp;"|"&amp;IF(B964="","Standard",B964))</f>
        <v/>
      </c>
      <c r="Q964">
        <f>IF(AND(A964&lt;&gt;"",A964='Firm Search'!$C$7),COUNTIF($A$5:A964,'Firm Search'!$C$7),"")</f>
        <v/>
      </c>
    </row>
    <row r="965">
      <c r="A965" s="64" t="n"/>
      <c r="B965" s="64" t="n"/>
      <c r="C965" s="66" t="n"/>
      <c r="D965" s="66" t="n"/>
      <c r="E965" s="67" t="n"/>
      <c r="F965" s="67" t="n"/>
      <c r="G965" s="67" t="n"/>
      <c r="H965" s="67" t="n"/>
      <c r="I965" s="67" t="n"/>
      <c r="J965" s="67" t="n"/>
      <c r="K965" s="67" t="n"/>
      <c r="L965" s="67" t="n"/>
      <c r="M965" s="64" t="n"/>
      <c r="N965" s="66" t="n"/>
      <c r="O965" s="84">
        <f>IF(A965="","",IF(OR(C965="",D965=""),"Enter both dates",IF(D965&lt;C965,"To is before From",IF(COUNTIFS($P$5:$P$2004,P965,$C$5:$C$2004,"&lt;="&amp;D965,$D$5:$D$2004,"&gt;="&amp;C965)&gt;1,"Overlaps another row","OK"))))</f>
        <v/>
      </c>
      <c r="P965">
        <f>IF(A965="","",A965&amp;"|"&amp;IF(B965="","Standard",B965))</f>
        <v/>
      </c>
      <c r="Q965">
        <f>IF(AND(A965&lt;&gt;"",A965='Firm Search'!$C$7),COUNTIF($A$5:A965,'Firm Search'!$C$7),"")</f>
        <v/>
      </c>
    </row>
    <row r="966">
      <c r="A966" s="64" t="n"/>
      <c r="B966" s="64" t="n"/>
      <c r="C966" s="66" t="n"/>
      <c r="D966" s="66" t="n"/>
      <c r="E966" s="67" t="n"/>
      <c r="F966" s="67" t="n"/>
      <c r="G966" s="67" t="n"/>
      <c r="H966" s="67" t="n"/>
      <c r="I966" s="67" t="n"/>
      <c r="J966" s="67" t="n"/>
      <c r="K966" s="67" t="n"/>
      <c r="L966" s="67" t="n"/>
      <c r="M966" s="64" t="n"/>
      <c r="N966" s="66" t="n"/>
      <c r="O966" s="84">
        <f>IF(A966="","",IF(OR(C966="",D966=""),"Enter both dates",IF(D966&lt;C966,"To is before From",IF(COUNTIFS($P$5:$P$2004,P966,$C$5:$C$2004,"&lt;="&amp;D966,$D$5:$D$2004,"&gt;="&amp;C966)&gt;1,"Overlaps another row","OK"))))</f>
        <v/>
      </c>
      <c r="P966">
        <f>IF(A966="","",A966&amp;"|"&amp;IF(B966="","Standard",B966))</f>
        <v/>
      </c>
      <c r="Q966">
        <f>IF(AND(A966&lt;&gt;"",A966='Firm Search'!$C$7),COUNTIF($A$5:A966,'Firm Search'!$C$7),"")</f>
        <v/>
      </c>
    </row>
    <row r="967">
      <c r="A967" s="64" t="n"/>
      <c r="B967" s="64" t="n"/>
      <c r="C967" s="66" t="n"/>
      <c r="D967" s="66" t="n"/>
      <c r="E967" s="67" t="n"/>
      <c r="F967" s="67" t="n"/>
      <c r="G967" s="67" t="n"/>
      <c r="H967" s="67" t="n"/>
      <c r="I967" s="67" t="n"/>
      <c r="J967" s="67" t="n"/>
      <c r="K967" s="67" t="n"/>
      <c r="L967" s="67" t="n"/>
      <c r="M967" s="64" t="n"/>
      <c r="N967" s="66" t="n"/>
      <c r="O967" s="84">
        <f>IF(A967="","",IF(OR(C967="",D967=""),"Enter both dates",IF(D967&lt;C967,"To is before From",IF(COUNTIFS($P$5:$P$2004,P967,$C$5:$C$2004,"&lt;="&amp;D967,$D$5:$D$2004,"&gt;="&amp;C967)&gt;1,"Overlaps another row","OK"))))</f>
        <v/>
      </c>
      <c r="P967">
        <f>IF(A967="","",A967&amp;"|"&amp;IF(B967="","Standard",B967))</f>
        <v/>
      </c>
      <c r="Q967">
        <f>IF(AND(A967&lt;&gt;"",A967='Firm Search'!$C$7),COUNTIF($A$5:A967,'Firm Search'!$C$7),"")</f>
        <v/>
      </c>
    </row>
    <row r="968">
      <c r="A968" s="64" t="n"/>
      <c r="B968" s="64" t="n"/>
      <c r="C968" s="66" t="n"/>
      <c r="D968" s="66" t="n"/>
      <c r="E968" s="67" t="n"/>
      <c r="F968" s="67" t="n"/>
      <c r="G968" s="67" t="n"/>
      <c r="H968" s="67" t="n"/>
      <c r="I968" s="67" t="n"/>
      <c r="J968" s="67" t="n"/>
      <c r="K968" s="67" t="n"/>
      <c r="L968" s="67" t="n"/>
      <c r="M968" s="64" t="n"/>
      <c r="N968" s="66" t="n"/>
      <c r="O968" s="84">
        <f>IF(A968="","",IF(OR(C968="",D968=""),"Enter both dates",IF(D968&lt;C968,"To is before From",IF(COUNTIFS($P$5:$P$2004,P968,$C$5:$C$2004,"&lt;="&amp;D968,$D$5:$D$2004,"&gt;="&amp;C968)&gt;1,"Overlaps another row","OK"))))</f>
        <v/>
      </c>
      <c r="P968">
        <f>IF(A968="","",A968&amp;"|"&amp;IF(B968="","Standard",B968))</f>
        <v/>
      </c>
      <c r="Q968">
        <f>IF(AND(A968&lt;&gt;"",A968='Firm Search'!$C$7),COUNTIF($A$5:A968,'Firm Search'!$C$7),"")</f>
        <v/>
      </c>
    </row>
    <row r="969">
      <c r="A969" s="64" t="n"/>
      <c r="B969" s="64" t="n"/>
      <c r="C969" s="66" t="n"/>
      <c r="D969" s="66" t="n"/>
      <c r="E969" s="67" t="n"/>
      <c r="F969" s="67" t="n"/>
      <c r="G969" s="67" t="n"/>
      <c r="H969" s="67" t="n"/>
      <c r="I969" s="67" t="n"/>
      <c r="J969" s="67" t="n"/>
      <c r="K969" s="67" t="n"/>
      <c r="L969" s="67" t="n"/>
      <c r="M969" s="64" t="n"/>
      <c r="N969" s="66" t="n"/>
      <c r="O969" s="84">
        <f>IF(A969="","",IF(OR(C969="",D969=""),"Enter both dates",IF(D969&lt;C969,"To is before From",IF(COUNTIFS($P$5:$P$2004,P969,$C$5:$C$2004,"&lt;="&amp;D969,$D$5:$D$2004,"&gt;="&amp;C969)&gt;1,"Overlaps another row","OK"))))</f>
        <v/>
      </c>
      <c r="P969">
        <f>IF(A969="","",A969&amp;"|"&amp;IF(B969="","Standard",B969))</f>
        <v/>
      </c>
      <c r="Q969">
        <f>IF(AND(A969&lt;&gt;"",A969='Firm Search'!$C$7),COUNTIF($A$5:A969,'Firm Search'!$C$7),"")</f>
        <v/>
      </c>
    </row>
    <row r="970">
      <c r="A970" s="64" t="n"/>
      <c r="B970" s="64" t="n"/>
      <c r="C970" s="66" t="n"/>
      <c r="D970" s="66" t="n"/>
      <c r="E970" s="67" t="n"/>
      <c r="F970" s="67" t="n"/>
      <c r="G970" s="67" t="n"/>
      <c r="H970" s="67" t="n"/>
      <c r="I970" s="67" t="n"/>
      <c r="J970" s="67" t="n"/>
      <c r="K970" s="67" t="n"/>
      <c r="L970" s="67" t="n"/>
      <c r="M970" s="64" t="n"/>
      <c r="N970" s="66" t="n"/>
      <c r="O970" s="84">
        <f>IF(A970="","",IF(OR(C970="",D970=""),"Enter both dates",IF(D970&lt;C970,"To is before From",IF(COUNTIFS($P$5:$P$2004,P970,$C$5:$C$2004,"&lt;="&amp;D970,$D$5:$D$2004,"&gt;="&amp;C970)&gt;1,"Overlaps another row","OK"))))</f>
        <v/>
      </c>
      <c r="P970">
        <f>IF(A970="","",A970&amp;"|"&amp;IF(B970="","Standard",B970))</f>
        <v/>
      </c>
      <c r="Q970">
        <f>IF(AND(A970&lt;&gt;"",A970='Firm Search'!$C$7),COUNTIF($A$5:A970,'Firm Search'!$C$7),"")</f>
        <v/>
      </c>
    </row>
    <row r="971">
      <c r="A971" s="64" t="n"/>
      <c r="B971" s="64" t="n"/>
      <c r="C971" s="66" t="n"/>
      <c r="D971" s="66" t="n"/>
      <c r="E971" s="67" t="n"/>
      <c r="F971" s="67" t="n"/>
      <c r="G971" s="67" t="n"/>
      <c r="H971" s="67" t="n"/>
      <c r="I971" s="67" t="n"/>
      <c r="J971" s="67" t="n"/>
      <c r="K971" s="67" t="n"/>
      <c r="L971" s="67" t="n"/>
      <c r="M971" s="64" t="n"/>
      <c r="N971" s="66" t="n"/>
      <c r="O971" s="84">
        <f>IF(A971="","",IF(OR(C971="",D971=""),"Enter both dates",IF(D971&lt;C971,"To is before From",IF(COUNTIFS($P$5:$P$2004,P971,$C$5:$C$2004,"&lt;="&amp;D971,$D$5:$D$2004,"&gt;="&amp;C971)&gt;1,"Overlaps another row","OK"))))</f>
        <v/>
      </c>
      <c r="P971">
        <f>IF(A971="","",A971&amp;"|"&amp;IF(B971="","Standard",B971))</f>
        <v/>
      </c>
      <c r="Q971">
        <f>IF(AND(A971&lt;&gt;"",A971='Firm Search'!$C$7),COUNTIF($A$5:A971,'Firm Search'!$C$7),"")</f>
        <v/>
      </c>
    </row>
    <row r="972">
      <c r="A972" s="64" t="n"/>
      <c r="B972" s="64" t="n"/>
      <c r="C972" s="66" t="n"/>
      <c r="D972" s="66" t="n"/>
      <c r="E972" s="67" t="n"/>
      <c r="F972" s="67" t="n"/>
      <c r="G972" s="67" t="n"/>
      <c r="H972" s="67" t="n"/>
      <c r="I972" s="67" t="n"/>
      <c r="J972" s="67" t="n"/>
      <c r="K972" s="67" t="n"/>
      <c r="L972" s="67" t="n"/>
      <c r="M972" s="64" t="n"/>
      <c r="N972" s="66" t="n"/>
      <c r="O972" s="84">
        <f>IF(A972="","",IF(OR(C972="",D972=""),"Enter both dates",IF(D972&lt;C972,"To is before From",IF(COUNTIFS($P$5:$P$2004,P972,$C$5:$C$2004,"&lt;="&amp;D972,$D$5:$D$2004,"&gt;="&amp;C972)&gt;1,"Overlaps another row","OK"))))</f>
        <v/>
      </c>
      <c r="P972">
        <f>IF(A972="","",A972&amp;"|"&amp;IF(B972="","Standard",B972))</f>
        <v/>
      </c>
      <c r="Q972">
        <f>IF(AND(A972&lt;&gt;"",A972='Firm Search'!$C$7),COUNTIF($A$5:A972,'Firm Search'!$C$7),"")</f>
        <v/>
      </c>
    </row>
    <row r="973">
      <c r="A973" s="64" t="n"/>
      <c r="B973" s="64" t="n"/>
      <c r="C973" s="66" t="n"/>
      <c r="D973" s="66" t="n"/>
      <c r="E973" s="67" t="n"/>
      <c r="F973" s="67" t="n"/>
      <c r="G973" s="67" t="n"/>
      <c r="H973" s="67" t="n"/>
      <c r="I973" s="67" t="n"/>
      <c r="J973" s="67" t="n"/>
      <c r="K973" s="67" t="n"/>
      <c r="L973" s="67" t="n"/>
      <c r="M973" s="64" t="n"/>
      <c r="N973" s="66" t="n"/>
      <c r="O973" s="84">
        <f>IF(A973="","",IF(OR(C973="",D973=""),"Enter both dates",IF(D973&lt;C973,"To is before From",IF(COUNTIFS($P$5:$P$2004,P973,$C$5:$C$2004,"&lt;="&amp;D973,$D$5:$D$2004,"&gt;="&amp;C973)&gt;1,"Overlaps another row","OK"))))</f>
        <v/>
      </c>
      <c r="P973">
        <f>IF(A973="","",A973&amp;"|"&amp;IF(B973="","Standard",B973))</f>
        <v/>
      </c>
      <c r="Q973">
        <f>IF(AND(A973&lt;&gt;"",A973='Firm Search'!$C$7),COUNTIF($A$5:A973,'Firm Search'!$C$7),"")</f>
        <v/>
      </c>
    </row>
    <row r="974">
      <c r="A974" s="64" t="n"/>
      <c r="B974" s="64" t="n"/>
      <c r="C974" s="66" t="n"/>
      <c r="D974" s="66" t="n"/>
      <c r="E974" s="67" t="n"/>
      <c r="F974" s="67" t="n"/>
      <c r="G974" s="67" t="n"/>
      <c r="H974" s="67" t="n"/>
      <c r="I974" s="67" t="n"/>
      <c r="J974" s="67" t="n"/>
      <c r="K974" s="67" t="n"/>
      <c r="L974" s="67" t="n"/>
      <c r="M974" s="64" t="n"/>
      <c r="N974" s="66" t="n"/>
      <c r="O974" s="84">
        <f>IF(A974="","",IF(OR(C974="",D974=""),"Enter both dates",IF(D974&lt;C974,"To is before From",IF(COUNTIFS($P$5:$P$2004,P974,$C$5:$C$2004,"&lt;="&amp;D974,$D$5:$D$2004,"&gt;="&amp;C974)&gt;1,"Overlaps another row","OK"))))</f>
        <v/>
      </c>
      <c r="P974">
        <f>IF(A974="","",A974&amp;"|"&amp;IF(B974="","Standard",B974))</f>
        <v/>
      </c>
      <c r="Q974">
        <f>IF(AND(A974&lt;&gt;"",A974='Firm Search'!$C$7),COUNTIF($A$5:A974,'Firm Search'!$C$7),"")</f>
        <v/>
      </c>
    </row>
    <row r="975">
      <c r="A975" s="64" t="n"/>
      <c r="B975" s="64" t="n"/>
      <c r="C975" s="66" t="n"/>
      <c r="D975" s="66" t="n"/>
      <c r="E975" s="67" t="n"/>
      <c r="F975" s="67" t="n"/>
      <c r="G975" s="67" t="n"/>
      <c r="H975" s="67" t="n"/>
      <c r="I975" s="67" t="n"/>
      <c r="J975" s="67" t="n"/>
      <c r="K975" s="67" t="n"/>
      <c r="L975" s="67" t="n"/>
      <c r="M975" s="64" t="n"/>
      <c r="N975" s="66" t="n"/>
      <c r="O975" s="84">
        <f>IF(A975="","",IF(OR(C975="",D975=""),"Enter both dates",IF(D975&lt;C975,"To is before From",IF(COUNTIFS($P$5:$P$2004,P975,$C$5:$C$2004,"&lt;="&amp;D975,$D$5:$D$2004,"&gt;="&amp;C975)&gt;1,"Overlaps another row","OK"))))</f>
        <v/>
      </c>
      <c r="P975">
        <f>IF(A975="","",A975&amp;"|"&amp;IF(B975="","Standard",B975))</f>
        <v/>
      </c>
      <c r="Q975">
        <f>IF(AND(A975&lt;&gt;"",A975='Firm Search'!$C$7),COUNTIF($A$5:A975,'Firm Search'!$C$7),"")</f>
        <v/>
      </c>
    </row>
    <row r="976">
      <c r="A976" s="64" t="n"/>
      <c r="B976" s="64" t="n"/>
      <c r="C976" s="66" t="n"/>
      <c r="D976" s="66" t="n"/>
      <c r="E976" s="67" t="n"/>
      <c r="F976" s="67" t="n"/>
      <c r="G976" s="67" t="n"/>
      <c r="H976" s="67" t="n"/>
      <c r="I976" s="67" t="n"/>
      <c r="J976" s="67" t="n"/>
      <c r="K976" s="67" t="n"/>
      <c r="L976" s="67" t="n"/>
      <c r="M976" s="64" t="n"/>
      <c r="N976" s="66" t="n"/>
      <c r="O976" s="84">
        <f>IF(A976="","",IF(OR(C976="",D976=""),"Enter both dates",IF(D976&lt;C976,"To is before From",IF(COUNTIFS($P$5:$P$2004,P976,$C$5:$C$2004,"&lt;="&amp;D976,$D$5:$D$2004,"&gt;="&amp;C976)&gt;1,"Overlaps another row","OK"))))</f>
        <v/>
      </c>
      <c r="P976">
        <f>IF(A976="","",A976&amp;"|"&amp;IF(B976="","Standard",B976))</f>
        <v/>
      </c>
      <c r="Q976">
        <f>IF(AND(A976&lt;&gt;"",A976='Firm Search'!$C$7),COUNTIF($A$5:A976,'Firm Search'!$C$7),"")</f>
        <v/>
      </c>
    </row>
    <row r="977">
      <c r="A977" s="64" t="n"/>
      <c r="B977" s="64" t="n"/>
      <c r="C977" s="66" t="n"/>
      <c r="D977" s="66" t="n"/>
      <c r="E977" s="67" t="n"/>
      <c r="F977" s="67" t="n"/>
      <c r="G977" s="67" t="n"/>
      <c r="H977" s="67" t="n"/>
      <c r="I977" s="67" t="n"/>
      <c r="J977" s="67" t="n"/>
      <c r="K977" s="67" t="n"/>
      <c r="L977" s="67" t="n"/>
      <c r="M977" s="64" t="n"/>
      <c r="N977" s="66" t="n"/>
      <c r="O977" s="84">
        <f>IF(A977="","",IF(OR(C977="",D977=""),"Enter both dates",IF(D977&lt;C977,"To is before From",IF(COUNTIFS($P$5:$P$2004,P977,$C$5:$C$2004,"&lt;="&amp;D977,$D$5:$D$2004,"&gt;="&amp;C977)&gt;1,"Overlaps another row","OK"))))</f>
        <v/>
      </c>
      <c r="P977">
        <f>IF(A977="","",A977&amp;"|"&amp;IF(B977="","Standard",B977))</f>
        <v/>
      </c>
      <c r="Q977">
        <f>IF(AND(A977&lt;&gt;"",A977='Firm Search'!$C$7),COUNTIF($A$5:A977,'Firm Search'!$C$7),"")</f>
        <v/>
      </c>
    </row>
    <row r="978">
      <c r="A978" s="64" t="n"/>
      <c r="B978" s="64" t="n"/>
      <c r="C978" s="66" t="n"/>
      <c r="D978" s="66" t="n"/>
      <c r="E978" s="67" t="n"/>
      <c r="F978" s="67" t="n"/>
      <c r="G978" s="67" t="n"/>
      <c r="H978" s="67" t="n"/>
      <c r="I978" s="67" t="n"/>
      <c r="J978" s="67" t="n"/>
      <c r="K978" s="67" t="n"/>
      <c r="L978" s="67" t="n"/>
      <c r="M978" s="64" t="n"/>
      <c r="N978" s="66" t="n"/>
      <c r="O978" s="84">
        <f>IF(A978="","",IF(OR(C978="",D978=""),"Enter both dates",IF(D978&lt;C978,"To is before From",IF(COUNTIFS($P$5:$P$2004,P978,$C$5:$C$2004,"&lt;="&amp;D978,$D$5:$D$2004,"&gt;="&amp;C978)&gt;1,"Overlaps another row","OK"))))</f>
        <v/>
      </c>
      <c r="P978">
        <f>IF(A978="","",A978&amp;"|"&amp;IF(B978="","Standard",B978))</f>
        <v/>
      </c>
      <c r="Q978">
        <f>IF(AND(A978&lt;&gt;"",A978='Firm Search'!$C$7),COUNTIF($A$5:A978,'Firm Search'!$C$7),"")</f>
        <v/>
      </c>
    </row>
    <row r="979">
      <c r="A979" s="64" t="n"/>
      <c r="B979" s="64" t="n"/>
      <c r="C979" s="66" t="n"/>
      <c r="D979" s="66" t="n"/>
      <c r="E979" s="67" t="n"/>
      <c r="F979" s="67" t="n"/>
      <c r="G979" s="67" t="n"/>
      <c r="H979" s="67" t="n"/>
      <c r="I979" s="67" t="n"/>
      <c r="J979" s="67" t="n"/>
      <c r="K979" s="67" t="n"/>
      <c r="L979" s="67" t="n"/>
      <c r="M979" s="64" t="n"/>
      <c r="N979" s="66" t="n"/>
      <c r="O979" s="84">
        <f>IF(A979="","",IF(OR(C979="",D979=""),"Enter both dates",IF(D979&lt;C979,"To is before From",IF(COUNTIFS($P$5:$P$2004,P979,$C$5:$C$2004,"&lt;="&amp;D979,$D$5:$D$2004,"&gt;="&amp;C979)&gt;1,"Overlaps another row","OK"))))</f>
        <v/>
      </c>
      <c r="P979">
        <f>IF(A979="","",A979&amp;"|"&amp;IF(B979="","Standard",B979))</f>
        <v/>
      </c>
      <c r="Q979">
        <f>IF(AND(A979&lt;&gt;"",A979='Firm Search'!$C$7),COUNTIF($A$5:A979,'Firm Search'!$C$7),"")</f>
        <v/>
      </c>
    </row>
    <row r="980">
      <c r="A980" s="64" t="n"/>
      <c r="B980" s="64" t="n"/>
      <c r="C980" s="66" t="n"/>
      <c r="D980" s="66" t="n"/>
      <c r="E980" s="67" t="n"/>
      <c r="F980" s="67" t="n"/>
      <c r="G980" s="67" t="n"/>
      <c r="H980" s="67" t="n"/>
      <c r="I980" s="67" t="n"/>
      <c r="J980" s="67" t="n"/>
      <c r="K980" s="67" t="n"/>
      <c r="L980" s="67" t="n"/>
      <c r="M980" s="64" t="n"/>
      <c r="N980" s="66" t="n"/>
      <c r="O980" s="84">
        <f>IF(A980="","",IF(OR(C980="",D980=""),"Enter both dates",IF(D980&lt;C980,"To is before From",IF(COUNTIFS($P$5:$P$2004,P980,$C$5:$C$2004,"&lt;="&amp;D980,$D$5:$D$2004,"&gt;="&amp;C980)&gt;1,"Overlaps another row","OK"))))</f>
        <v/>
      </c>
      <c r="P980">
        <f>IF(A980="","",A980&amp;"|"&amp;IF(B980="","Standard",B980))</f>
        <v/>
      </c>
      <c r="Q980">
        <f>IF(AND(A980&lt;&gt;"",A980='Firm Search'!$C$7),COUNTIF($A$5:A980,'Firm Search'!$C$7),"")</f>
        <v/>
      </c>
    </row>
    <row r="981">
      <c r="A981" s="64" t="n"/>
      <c r="B981" s="64" t="n"/>
      <c r="C981" s="66" t="n"/>
      <c r="D981" s="66" t="n"/>
      <c r="E981" s="67" t="n"/>
      <c r="F981" s="67" t="n"/>
      <c r="G981" s="67" t="n"/>
      <c r="H981" s="67" t="n"/>
      <c r="I981" s="67" t="n"/>
      <c r="J981" s="67" t="n"/>
      <c r="K981" s="67" t="n"/>
      <c r="L981" s="67" t="n"/>
      <c r="M981" s="64" t="n"/>
      <c r="N981" s="66" t="n"/>
      <c r="O981" s="84">
        <f>IF(A981="","",IF(OR(C981="",D981=""),"Enter both dates",IF(D981&lt;C981,"To is before From",IF(COUNTIFS($P$5:$P$2004,P981,$C$5:$C$2004,"&lt;="&amp;D981,$D$5:$D$2004,"&gt;="&amp;C981)&gt;1,"Overlaps another row","OK"))))</f>
        <v/>
      </c>
      <c r="P981">
        <f>IF(A981="","",A981&amp;"|"&amp;IF(B981="","Standard",B981))</f>
        <v/>
      </c>
      <c r="Q981">
        <f>IF(AND(A981&lt;&gt;"",A981='Firm Search'!$C$7),COUNTIF($A$5:A981,'Firm Search'!$C$7),"")</f>
        <v/>
      </c>
    </row>
    <row r="982">
      <c r="A982" s="64" t="n"/>
      <c r="B982" s="64" t="n"/>
      <c r="C982" s="66" t="n"/>
      <c r="D982" s="66" t="n"/>
      <c r="E982" s="67" t="n"/>
      <c r="F982" s="67" t="n"/>
      <c r="G982" s="67" t="n"/>
      <c r="H982" s="67" t="n"/>
      <c r="I982" s="67" t="n"/>
      <c r="J982" s="67" t="n"/>
      <c r="K982" s="67" t="n"/>
      <c r="L982" s="67" t="n"/>
      <c r="M982" s="64" t="n"/>
      <c r="N982" s="66" t="n"/>
      <c r="O982" s="84">
        <f>IF(A982="","",IF(OR(C982="",D982=""),"Enter both dates",IF(D982&lt;C982,"To is before From",IF(COUNTIFS($P$5:$P$2004,P982,$C$5:$C$2004,"&lt;="&amp;D982,$D$5:$D$2004,"&gt;="&amp;C982)&gt;1,"Overlaps another row","OK"))))</f>
        <v/>
      </c>
      <c r="P982">
        <f>IF(A982="","",A982&amp;"|"&amp;IF(B982="","Standard",B982))</f>
        <v/>
      </c>
      <c r="Q982">
        <f>IF(AND(A982&lt;&gt;"",A982='Firm Search'!$C$7),COUNTIF($A$5:A982,'Firm Search'!$C$7),"")</f>
        <v/>
      </c>
    </row>
    <row r="983">
      <c r="A983" s="64" t="n"/>
      <c r="B983" s="64" t="n"/>
      <c r="C983" s="66" t="n"/>
      <c r="D983" s="66" t="n"/>
      <c r="E983" s="67" t="n"/>
      <c r="F983" s="67" t="n"/>
      <c r="G983" s="67" t="n"/>
      <c r="H983" s="67" t="n"/>
      <c r="I983" s="67" t="n"/>
      <c r="J983" s="67" t="n"/>
      <c r="K983" s="67" t="n"/>
      <c r="L983" s="67" t="n"/>
      <c r="M983" s="64" t="n"/>
      <c r="N983" s="66" t="n"/>
      <c r="O983" s="84">
        <f>IF(A983="","",IF(OR(C983="",D983=""),"Enter both dates",IF(D983&lt;C983,"To is before From",IF(COUNTIFS($P$5:$P$2004,P983,$C$5:$C$2004,"&lt;="&amp;D983,$D$5:$D$2004,"&gt;="&amp;C983)&gt;1,"Overlaps another row","OK"))))</f>
        <v/>
      </c>
      <c r="P983">
        <f>IF(A983="","",A983&amp;"|"&amp;IF(B983="","Standard",B983))</f>
        <v/>
      </c>
      <c r="Q983">
        <f>IF(AND(A983&lt;&gt;"",A983='Firm Search'!$C$7),COUNTIF($A$5:A983,'Firm Search'!$C$7),"")</f>
        <v/>
      </c>
    </row>
    <row r="984">
      <c r="A984" s="64" t="n"/>
      <c r="B984" s="64" t="n"/>
      <c r="C984" s="66" t="n"/>
      <c r="D984" s="66" t="n"/>
      <c r="E984" s="67" t="n"/>
      <c r="F984" s="67" t="n"/>
      <c r="G984" s="67" t="n"/>
      <c r="H984" s="67" t="n"/>
      <c r="I984" s="67" t="n"/>
      <c r="J984" s="67" t="n"/>
      <c r="K984" s="67" t="n"/>
      <c r="L984" s="67" t="n"/>
      <c r="M984" s="64" t="n"/>
      <c r="N984" s="66" t="n"/>
      <c r="O984" s="84">
        <f>IF(A984="","",IF(OR(C984="",D984=""),"Enter both dates",IF(D984&lt;C984,"To is before From",IF(COUNTIFS($P$5:$P$2004,P984,$C$5:$C$2004,"&lt;="&amp;D984,$D$5:$D$2004,"&gt;="&amp;C984)&gt;1,"Overlaps another row","OK"))))</f>
        <v/>
      </c>
      <c r="P984">
        <f>IF(A984="","",A984&amp;"|"&amp;IF(B984="","Standard",B984))</f>
        <v/>
      </c>
      <c r="Q984">
        <f>IF(AND(A984&lt;&gt;"",A984='Firm Search'!$C$7),COUNTIF($A$5:A984,'Firm Search'!$C$7),"")</f>
        <v/>
      </c>
    </row>
    <row r="985">
      <c r="A985" s="64" t="n"/>
      <c r="B985" s="64" t="n"/>
      <c r="C985" s="66" t="n"/>
      <c r="D985" s="66" t="n"/>
      <c r="E985" s="67" t="n"/>
      <c r="F985" s="67" t="n"/>
      <c r="G985" s="67" t="n"/>
      <c r="H985" s="67" t="n"/>
      <c r="I985" s="67" t="n"/>
      <c r="J985" s="67" t="n"/>
      <c r="K985" s="67" t="n"/>
      <c r="L985" s="67" t="n"/>
      <c r="M985" s="64" t="n"/>
      <c r="N985" s="66" t="n"/>
      <c r="O985" s="84">
        <f>IF(A985="","",IF(OR(C985="",D985=""),"Enter both dates",IF(D985&lt;C985,"To is before From",IF(COUNTIFS($P$5:$P$2004,P985,$C$5:$C$2004,"&lt;="&amp;D985,$D$5:$D$2004,"&gt;="&amp;C985)&gt;1,"Overlaps another row","OK"))))</f>
        <v/>
      </c>
      <c r="P985">
        <f>IF(A985="","",A985&amp;"|"&amp;IF(B985="","Standard",B985))</f>
        <v/>
      </c>
      <c r="Q985">
        <f>IF(AND(A985&lt;&gt;"",A985='Firm Search'!$C$7),COUNTIF($A$5:A985,'Firm Search'!$C$7),"")</f>
        <v/>
      </c>
    </row>
    <row r="986">
      <c r="A986" s="64" t="n"/>
      <c r="B986" s="64" t="n"/>
      <c r="C986" s="66" t="n"/>
      <c r="D986" s="66" t="n"/>
      <c r="E986" s="67" t="n"/>
      <c r="F986" s="67" t="n"/>
      <c r="G986" s="67" t="n"/>
      <c r="H986" s="67" t="n"/>
      <c r="I986" s="67" t="n"/>
      <c r="J986" s="67" t="n"/>
      <c r="K986" s="67" t="n"/>
      <c r="L986" s="67" t="n"/>
      <c r="M986" s="64" t="n"/>
      <c r="N986" s="66" t="n"/>
      <c r="O986" s="84">
        <f>IF(A986="","",IF(OR(C986="",D986=""),"Enter both dates",IF(D986&lt;C986,"To is before From",IF(COUNTIFS($P$5:$P$2004,P986,$C$5:$C$2004,"&lt;="&amp;D986,$D$5:$D$2004,"&gt;="&amp;C986)&gt;1,"Overlaps another row","OK"))))</f>
        <v/>
      </c>
      <c r="P986">
        <f>IF(A986="","",A986&amp;"|"&amp;IF(B986="","Standard",B986))</f>
        <v/>
      </c>
      <c r="Q986">
        <f>IF(AND(A986&lt;&gt;"",A986='Firm Search'!$C$7),COUNTIF($A$5:A986,'Firm Search'!$C$7),"")</f>
        <v/>
      </c>
    </row>
    <row r="987">
      <c r="A987" s="64" t="n"/>
      <c r="B987" s="64" t="n"/>
      <c r="C987" s="66" t="n"/>
      <c r="D987" s="66" t="n"/>
      <c r="E987" s="67" t="n"/>
      <c r="F987" s="67" t="n"/>
      <c r="G987" s="67" t="n"/>
      <c r="H987" s="67" t="n"/>
      <c r="I987" s="67" t="n"/>
      <c r="J987" s="67" t="n"/>
      <c r="K987" s="67" t="n"/>
      <c r="L987" s="67" t="n"/>
      <c r="M987" s="64" t="n"/>
      <c r="N987" s="66" t="n"/>
      <c r="O987" s="84">
        <f>IF(A987="","",IF(OR(C987="",D987=""),"Enter both dates",IF(D987&lt;C987,"To is before From",IF(COUNTIFS($P$5:$P$2004,P987,$C$5:$C$2004,"&lt;="&amp;D987,$D$5:$D$2004,"&gt;="&amp;C987)&gt;1,"Overlaps another row","OK"))))</f>
        <v/>
      </c>
      <c r="P987">
        <f>IF(A987="","",A987&amp;"|"&amp;IF(B987="","Standard",B987))</f>
        <v/>
      </c>
      <c r="Q987">
        <f>IF(AND(A987&lt;&gt;"",A987='Firm Search'!$C$7),COUNTIF($A$5:A987,'Firm Search'!$C$7),"")</f>
        <v/>
      </c>
    </row>
    <row r="988">
      <c r="A988" s="64" t="n"/>
      <c r="B988" s="64" t="n"/>
      <c r="C988" s="66" t="n"/>
      <c r="D988" s="66" t="n"/>
      <c r="E988" s="67" t="n"/>
      <c r="F988" s="67" t="n"/>
      <c r="G988" s="67" t="n"/>
      <c r="H988" s="67" t="n"/>
      <c r="I988" s="67" t="n"/>
      <c r="J988" s="67" t="n"/>
      <c r="K988" s="67" t="n"/>
      <c r="L988" s="67" t="n"/>
      <c r="M988" s="64" t="n"/>
      <c r="N988" s="66" t="n"/>
      <c r="O988" s="84">
        <f>IF(A988="","",IF(OR(C988="",D988=""),"Enter both dates",IF(D988&lt;C988,"To is before From",IF(COUNTIFS($P$5:$P$2004,P988,$C$5:$C$2004,"&lt;="&amp;D988,$D$5:$D$2004,"&gt;="&amp;C988)&gt;1,"Overlaps another row","OK"))))</f>
        <v/>
      </c>
      <c r="P988">
        <f>IF(A988="","",A988&amp;"|"&amp;IF(B988="","Standard",B988))</f>
        <v/>
      </c>
      <c r="Q988">
        <f>IF(AND(A988&lt;&gt;"",A988='Firm Search'!$C$7),COUNTIF($A$5:A988,'Firm Search'!$C$7),"")</f>
        <v/>
      </c>
    </row>
    <row r="989">
      <c r="A989" s="64" t="n"/>
      <c r="B989" s="64" t="n"/>
      <c r="C989" s="66" t="n"/>
      <c r="D989" s="66" t="n"/>
      <c r="E989" s="67" t="n"/>
      <c r="F989" s="67" t="n"/>
      <c r="G989" s="67" t="n"/>
      <c r="H989" s="67" t="n"/>
      <c r="I989" s="67" t="n"/>
      <c r="J989" s="67" t="n"/>
      <c r="K989" s="67" t="n"/>
      <c r="L989" s="67" t="n"/>
      <c r="M989" s="64" t="n"/>
      <c r="N989" s="66" t="n"/>
      <c r="O989" s="84">
        <f>IF(A989="","",IF(OR(C989="",D989=""),"Enter both dates",IF(D989&lt;C989,"To is before From",IF(COUNTIFS($P$5:$P$2004,P989,$C$5:$C$2004,"&lt;="&amp;D989,$D$5:$D$2004,"&gt;="&amp;C989)&gt;1,"Overlaps another row","OK"))))</f>
        <v/>
      </c>
      <c r="P989">
        <f>IF(A989="","",A989&amp;"|"&amp;IF(B989="","Standard",B989))</f>
        <v/>
      </c>
      <c r="Q989">
        <f>IF(AND(A989&lt;&gt;"",A989='Firm Search'!$C$7),COUNTIF($A$5:A989,'Firm Search'!$C$7),"")</f>
        <v/>
      </c>
    </row>
    <row r="990">
      <c r="A990" s="64" t="n"/>
      <c r="B990" s="64" t="n"/>
      <c r="C990" s="66" t="n"/>
      <c r="D990" s="66" t="n"/>
      <c r="E990" s="67" t="n"/>
      <c r="F990" s="67" t="n"/>
      <c r="G990" s="67" t="n"/>
      <c r="H990" s="67" t="n"/>
      <c r="I990" s="67" t="n"/>
      <c r="J990" s="67" t="n"/>
      <c r="K990" s="67" t="n"/>
      <c r="L990" s="67" t="n"/>
      <c r="M990" s="64" t="n"/>
      <c r="N990" s="66" t="n"/>
      <c r="O990" s="84">
        <f>IF(A990="","",IF(OR(C990="",D990=""),"Enter both dates",IF(D990&lt;C990,"To is before From",IF(COUNTIFS($P$5:$P$2004,P990,$C$5:$C$2004,"&lt;="&amp;D990,$D$5:$D$2004,"&gt;="&amp;C990)&gt;1,"Overlaps another row","OK"))))</f>
        <v/>
      </c>
      <c r="P990">
        <f>IF(A990="","",A990&amp;"|"&amp;IF(B990="","Standard",B990))</f>
        <v/>
      </c>
      <c r="Q990">
        <f>IF(AND(A990&lt;&gt;"",A990='Firm Search'!$C$7),COUNTIF($A$5:A990,'Firm Search'!$C$7),"")</f>
        <v/>
      </c>
    </row>
    <row r="991">
      <c r="A991" s="64" t="n"/>
      <c r="B991" s="64" t="n"/>
      <c r="C991" s="66" t="n"/>
      <c r="D991" s="66" t="n"/>
      <c r="E991" s="67" t="n"/>
      <c r="F991" s="67" t="n"/>
      <c r="G991" s="67" t="n"/>
      <c r="H991" s="67" t="n"/>
      <c r="I991" s="67" t="n"/>
      <c r="J991" s="67" t="n"/>
      <c r="K991" s="67" t="n"/>
      <c r="L991" s="67" t="n"/>
      <c r="M991" s="64" t="n"/>
      <c r="N991" s="66" t="n"/>
      <c r="O991" s="84">
        <f>IF(A991="","",IF(OR(C991="",D991=""),"Enter both dates",IF(D991&lt;C991,"To is before From",IF(COUNTIFS($P$5:$P$2004,P991,$C$5:$C$2004,"&lt;="&amp;D991,$D$5:$D$2004,"&gt;="&amp;C991)&gt;1,"Overlaps another row","OK"))))</f>
        <v/>
      </c>
      <c r="P991">
        <f>IF(A991="","",A991&amp;"|"&amp;IF(B991="","Standard",B991))</f>
        <v/>
      </c>
      <c r="Q991">
        <f>IF(AND(A991&lt;&gt;"",A991='Firm Search'!$C$7),COUNTIF($A$5:A991,'Firm Search'!$C$7),"")</f>
        <v/>
      </c>
    </row>
    <row r="992">
      <c r="A992" s="64" t="n"/>
      <c r="B992" s="64" t="n"/>
      <c r="C992" s="66" t="n"/>
      <c r="D992" s="66" t="n"/>
      <c r="E992" s="67" t="n"/>
      <c r="F992" s="67" t="n"/>
      <c r="G992" s="67" t="n"/>
      <c r="H992" s="67" t="n"/>
      <c r="I992" s="67" t="n"/>
      <c r="J992" s="67" t="n"/>
      <c r="K992" s="67" t="n"/>
      <c r="L992" s="67" t="n"/>
      <c r="M992" s="64" t="n"/>
      <c r="N992" s="66" t="n"/>
      <c r="O992" s="84">
        <f>IF(A992="","",IF(OR(C992="",D992=""),"Enter both dates",IF(D992&lt;C992,"To is before From",IF(COUNTIFS($P$5:$P$2004,P992,$C$5:$C$2004,"&lt;="&amp;D992,$D$5:$D$2004,"&gt;="&amp;C992)&gt;1,"Overlaps another row","OK"))))</f>
        <v/>
      </c>
      <c r="P992">
        <f>IF(A992="","",A992&amp;"|"&amp;IF(B992="","Standard",B992))</f>
        <v/>
      </c>
      <c r="Q992">
        <f>IF(AND(A992&lt;&gt;"",A992='Firm Search'!$C$7),COUNTIF($A$5:A992,'Firm Search'!$C$7),"")</f>
        <v/>
      </c>
    </row>
    <row r="993">
      <c r="A993" s="64" t="n"/>
      <c r="B993" s="64" t="n"/>
      <c r="C993" s="66" t="n"/>
      <c r="D993" s="66" t="n"/>
      <c r="E993" s="67" t="n"/>
      <c r="F993" s="67" t="n"/>
      <c r="G993" s="67" t="n"/>
      <c r="H993" s="67" t="n"/>
      <c r="I993" s="67" t="n"/>
      <c r="J993" s="67" t="n"/>
      <c r="K993" s="67" t="n"/>
      <c r="L993" s="67" t="n"/>
      <c r="M993" s="64" t="n"/>
      <c r="N993" s="66" t="n"/>
      <c r="O993" s="84">
        <f>IF(A993="","",IF(OR(C993="",D993=""),"Enter both dates",IF(D993&lt;C993,"To is before From",IF(COUNTIFS($P$5:$P$2004,P993,$C$5:$C$2004,"&lt;="&amp;D993,$D$5:$D$2004,"&gt;="&amp;C993)&gt;1,"Overlaps another row","OK"))))</f>
        <v/>
      </c>
      <c r="P993">
        <f>IF(A993="","",A993&amp;"|"&amp;IF(B993="","Standard",B993))</f>
        <v/>
      </c>
      <c r="Q993">
        <f>IF(AND(A993&lt;&gt;"",A993='Firm Search'!$C$7),COUNTIF($A$5:A993,'Firm Search'!$C$7),"")</f>
        <v/>
      </c>
    </row>
    <row r="994">
      <c r="A994" s="64" t="n"/>
      <c r="B994" s="64" t="n"/>
      <c r="C994" s="66" t="n"/>
      <c r="D994" s="66" t="n"/>
      <c r="E994" s="67" t="n"/>
      <c r="F994" s="67" t="n"/>
      <c r="G994" s="67" t="n"/>
      <c r="H994" s="67" t="n"/>
      <c r="I994" s="67" t="n"/>
      <c r="J994" s="67" t="n"/>
      <c r="K994" s="67" t="n"/>
      <c r="L994" s="67" t="n"/>
      <c r="M994" s="64" t="n"/>
      <c r="N994" s="66" t="n"/>
      <c r="O994" s="84">
        <f>IF(A994="","",IF(OR(C994="",D994=""),"Enter both dates",IF(D994&lt;C994,"To is before From",IF(COUNTIFS($P$5:$P$2004,P994,$C$5:$C$2004,"&lt;="&amp;D994,$D$5:$D$2004,"&gt;="&amp;C994)&gt;1,"Overlaps another row","OK"))))</f>
        <v/>
      </c>
      <c r="P994">
        <f>IF(A994="","",A994&amp;"|"&amp;IF(B994="","Standard",B994))</f>
        <v/>
      </c>
      <c r="Q994">
        <f>IF(AND(A994&lt;&gt;"",A994='Firm Search'!$C$7),COUNTIF($A$5:A994,'Firm Search'!$C$7),"")</f>
        <v/>
      </c>
    </row>
    <row r="995">
      <c r="A995" s="64" t="n"/>
      <c r="B995" s="64" t="n"/>
      <c r="C995" s="66" t="n"/>
      <c r="D995" s="66" t="n"/>
      <c r="E995" s="67" t="n"/>
      <c r="F995" s="67" t="n"/>
      <c r="G995" s="67" t="n"/>
      <c r="H995" s="67" t="n"/>
      <c r="I995" s="67" t="n"/>
      <c r="J995" s="67" t="n"/>
      <c r="K995" s="67" t="n"/>
      <c r="L995" s="67" t="n"/>
      <c r="M995" s="64" t="n"/>
      <c r="N995" s="66" t="n"/>
      <c r="O995" s="84">
        <f>IF(A995="","",IF(OR(C995="",D995=""),"Enter both dates",IF(D995&lt;C995,"To is before From",IF(COUNTIFS($P$5:$P$2004,P995,$C$5:$C$2004,"&lt;="&amp;D995,$D$5:$D$2004,"&gt;="&amp;C995)&gt;1,"Overlaps another row","OK"))))</f>
        <v/>
      </c>
      <c r="P995">
        <f>IF(A995="","",A995&amp;"|"&amp;IF(B995="","Standard",B995))</f>
        <v/>
      </c>
      <c r="Q995">
        <f>IF(AND(A995&lt;&gt;"",A995='Firm Search'!$C$7),COUNTIF($A$5:A995,'Firm Search'!$C$7),"")</f>
        <v/>
      </c>
    </row>
    <row r="996">
      <c r="A996" s="64" t="n"/>
      <c r="B996" s="64" t="n"/>
      <c r="C996" s="66" t="n"/>
      <c r="D996" s="66" t="n"/>
      <c r="E996" s="67" t="n"/>
      <c r="F996" s="67" t="n"/>
      <c r="G996" s="67" t="n"/>
      <c r="H996" s="67" t="n"/>
      <c r="I996" s="67" t="n"/>
      <c r="J996" s="67" t="n"/>
      <c r="K996" s="67" t="n"/>
      <c r="L996" s="67" t="n"/>
      <c r="M996" s="64" t="n"/>
      <c r="N996" s="66" t="n"/>
      <c r="O996" s="84">
        <f>IF(A996="","",IF(OR(C996="",D996=""),"Enter both dates",IF(D996&lt;C996,"To is before From",IF(COUNTIFS($P$5:$P$2004,P996,$C$5:$C$2004,"&lt;="&amp;D996,$D$5:$D$2004,"&gt;="&amp;C996)&gt;1,"Overlaps another row","OK"))))</f>
        <v/>
      </c>
      <c r="P996">
        <f>IF(A996="","",A996&amp;"|"&amp;IF(B996="","Standard",B996))</f>
        <v/>
      </c>
      <c r="Q996">
        <f>IF(AND(A996&lt;&gt;"",A996='Firm Search'!$C$7),COUNTIF($A$5:A996,'Firm Search'!$C$7),"")</f>
        <v/>
      </c>
    </row>
    <row r="997">
      <c r="A997" s="64" t="n"/>
      <c r="B997" s="64" t="n"/>
      <c r="C997" s="66" t="n"/>
      <c r="D997" s="66" t="n"/>
      <c r="E997" s="67" t="n"/>
      <c r="F997" s="67" t="n"/>
      <c r="G997" s="67" t="n"/>
      <c r="H997" s="67" t="n"/>
      <c r="I997" s="67" t="n"/>
      <c r="J997" s="67" t="n"/>
      <c r="K997" s="67" t="n"/>
      <c r="L997" s="67" t="n"/>
      <c r="M997" s="64" t="n"/>
      <c r="N997" s="66" t="n"/>
      <c r="O997" s="84">
        <f>IF(A997="","",IF(OR(C997="",D997=""),"Enter both dates",IF(D997&lt;C997,"To is before From",IF(COUNTIFS($P$5:$P$2004,P997,$C$5:$C$2004,"&lt;="&amp;D997,$D$5:$D$2004,"&gt;="&amp;C997)&gt;1,"Overlaps another row","OK"))))</f>
        <v/>
      </c>
      <c r="P997">
        <f>IF(A997="","",A997&amp;"|"&amp;IF(B997="","Standard",B997))</f>
        <v/>
      </c>
      <c r="Q997">
        <f>IF(AND(A997&lt;&gt;"",A997='Firm Search'!$C$7),COUNTIF($A$5:A997,'Firm Search'!$C$7),"")</f>
        <v/>
      </c>
    </row>
    <row r="998">
      <c r="A998" s="64" t="n"/>
      <c r="B998" s="64" t="n"/>
      <c r="C998" s="66" t="n"/>
      <c r="D998" s="66" t="n"/>
      <c r="E998" s="67" t="n"/>
      <c r="F998" s="67" t="n"/>
      <c r="G998" s="67" t="n"/>
      <c r="H998" s="67" t="n"/>
      <c r="I998" s="67" t="n"/>
      <c r="J998" s="67" t="n"/>
      <c r="K998" s="67" t="n"/>
      <c r="L998" s="67" t="n"/>
      <c r="M998" s="64" t="n"/>
      <c r="N998" s="66" t="n"/>
      <c r="O998" s="84">
        <f>IF(A998="","",IF(OR(C998="",D998=""),"Enter both dates",IF(D998&lt;C998,"To is before From",IF(COUNTIFS($P$5:$P$2004,P998,$C$5:$C$2004,"&lt;="&amp;D998,$D$5:$D$2004,"&gt;="&amp;C998)&gt;1,"Overlaps another row","OK"))))</f>
        <v/>
      </c>
      <c r="P998">
        <f>IF(A998="","",A998&amp;"|"&amp;IF(B998="","Standard",B998))</f>
        <v/>
      </c>
      <c r="Q998">
        <f>IF(AND(A998&lt;&gt;"",A998='Firm Search'!$C$7),COUNTIF($A$5:A998,'Firm Search'!$C$7),"")</f>
        <v/>
      </c>
    </row>
    <row r="999">
      <c r="A999" s="64" t="n"/>
      <c r="B999" s="64" t="n"/>
      <c r="C999" s="66" t="n"/>
      <c r="D999" s="66" t="n"/>
      <c r="E999" s="67" t="n"/>
      <c r="F999" s="67" t="n"/>
      <c r="G999" s="67" t="n"/>
      <c r="H999" s="67" t="n"/>
      <c r="I999" s="67" t="n"/>
      <c r="J999" s="67" t="n"/>
      <c r="K999" s="67" t="n"/>
      <c r="L999" s="67" t="n"/>
      <c r="M999" s="64" t="n"/>
      <c r="N999" s="66" t="n"/>
      <c r="O999" s="84">
        <f>IF(A999="","",IF(OR(C999="",D999=""),"Enter both dates",IF(D999&lt;C999,"To is before From",IF(COUNTIFS($P$5:$P$2004,P999,$C$5:$C$2004,"&lt;="&amp;D999,$D$5:$D$2004,"&gt;="&amp;C999)&gt;1,"Overlaps another row","OK"))))</f>
        <v/>
      </c>
      <c r="P999">
        <f>IF(A999="","",A999&amp;"|"&amp;IF(B999="","Standard",B999))</f>
        <v/>
      </c>
      <c r="Q999">
        <f>IF(AND(A999&lt;&gt;"",A999='Firm Search'!$C$7),COUNTIF($A$5:A999,'Firm Search'!$C$7),"")</f>
        <v/>
      </c>
    </row>
    <row r="1000">
      <c r="A1000" s="64" t="n"/>
      <c r="B1000" s="64" t="n"/>
      <c r="C1000" s="66" t="n"/>
      <c r="D1000" s="66" t="n"/>
      <c r="E1000" s="67" t="n"/>
      <c r="F1000" s="67" t="n"/>
      <c r="G1000" s="67" t="n"/>
      <c r="H1000" s="67" t="n"/>
      <c r="I1000" s="67" t="n"/>
      <c r="J1000" s="67" t="n"/>
      <c r="K1000" s="67" t="n"/>
      <c r="L1000" s="67" t="n"/>
      <c r="M1000" s="64" t="n"/>
      <c r="N1000" s="66" t="n"/>
      <c r="O1000" s="84">
        <f>IF(A1000="","",IF(OR(C1000="",D1000=""),"Enter both dates",IF(D1000&lt;C1000,"To is before From",IF(COUNTIFS($P$5:$P$2004,P1000,$C$5:$C$2004,"&lt;="&amp;D1000,$D$5:$D$2004,"&gt;="&amp;C1000)&gt;1,"Overlaps another row","OK"))))</f>
        <v/>
      </c>
      <c r="P1000">
        <f>IF(A1000="","",A1000&amp;"|"&amp;IF(B1000="","Standard",B1000))</f>
        <v/>
      </c>
      <c r="Q1000">
        <f>IF(AND(A1000&lt;&gt;"",A1000='Firm Search'!$C$7),COUNTIF($A$5:A1000,'Firm Search'!$C$7),"")</f>
        <v/>
      </c>
    </row>
    <row r="1001">
      <c r="A1001" s="64" t="n"/>
      <c r="B1001" s="64" t="n"/>
      <c r="C1001" s="66" t="n"/>
      <c r="D1001" s="66" t="n"/>
      <c r="E1001" s="67" t="n"/>
      <c r="F1001" s="67" t="n"/>
      <c r="G1001" s="67" t="n"/>
      <c r="H1001" s="67" t="n"/>
      <c r="I1001" s="67" t="n"/>
      <c r="J1001" s="67" t="n"/>
      <c r="K1001" s="67" t="n"/>
      <c r="L1001" s="67" t="n"/>
      <c r="M1001" s="64" t="n"/>
      <c r="N1001" s="66" t="n"/>
      <c r="O1001" s="84">
        <f>IF(A1001="","",IF(OR(C1001="",D1001=""),"Enter both dates",IF(D1001&lt;C1001,"To is before From",IF(COUNTIFS($P$5:$P$2004,P1001,$C$5:$C$2004,"&lt;="&amp;D1001,$D$5:$D$2004,"&gt;="&amp;C1001)&gt;1,"Overlaps another row","OK"))))</f>
        <v/>
      </c>
      <c r="P1001">
        <f>IF(A1001="","",A1001&amp;"|"&amp;IF(B1001="","Standard",B1001))</f>
        <v/>
      </c>
      <c r="Q1001">
        <f>IF(AND(A1001&lt;&gt;"",A1001='Firm Search'!$C$7),COUNTIF($A$5:A1001,'Firm Search'!$C$7),"")</f>
        <v/>
      </c>
    </row>
    <row r="1002">
      <c r="A1002" s="64" t="n"/>
      <c r="B1002" s="64" t="n"/>
      <c r="C1002" s="66" t="n"/>
      <c r="D1002" s="66" t="n"/>
      <c r="E1002" s="67" t="n"/>
      <c r="F1002" s="67" t="n"/>
      <c r="G1002" s="67" t="n"/>
      <c r="H1002" s="67" t="n"/>
      <c r="I1002" s="67" t="n"/>
      <c r="J1002" s="67" t="n"/>
      <c r="K1002" s="67" t="n"/>
      <c r="L1002" s="67" t="n"/>
      <c r="M1002" s="64" t="n"/>
      <c r="N1002" s="66" t="n"/>
      <c r="O1002" s="84">
        <f>IF(A1002="","",IF(OR(C1002="",D1002=""),"Enter both dates",IF(D1002&lt;C1002,"To is before From",IF(COUNTIFS($P$5:$P$2004,P1002,$C$5:$C$2004,"&lt;="&amp;D1002,$D$5:$D$2004,"&gt;="&amp;C1002)&gt;1,"Overlaps another row","OK"))))</f>
        <v/>
      </c>
      <c r="P1002">
        <f>IF(A1002="","",A1002&amp;"|"&amp;IF(B1002="","Standard",B1002))</f>
        <v/>
      </c>
      <c r="Q1002">
        <f>IF(AND(A1002&lt;&gt;"",A1002='Firm Search'!$C$7),COUNTIF($A$5:A1002,'Firm Search'!$C$7),"")</f>
        <v/>
      </c>
    </row>
    <row r="1003">
      <c r="A1003" s="64" t="n"/>
      <c r="B1003" s="64" t="n"/>
      <c r="C1003" s="66" t="n"/>
      <c r="D1003" s="66" t="n"/>
      <c r="E1003" s="67" t="n"/>
      <c r="F1003" s="67" t="n"/>
      <c r="G1003" s="67" t="n"/>
      <c r="H1003" s="67" t="n"/>
      <c r="I1003" s="67" t="n"/>
      <c r="J1003" s="67" t="n"/>
      <c r="K1003" s="67" t="n"/>
      <c r="L1003" s="67" t="n"/>
      <c r="M1003" s="64" t="n"/>
      <c r="N1003" s="66" t="n"/>
      <c r="O1003" s="84">
        <f>IF(A1003="","",IF(OR(C1003="",D1003=""),"Enter both dates",IF(D1003&lt;C1003,"To is before From",IF(COUNTIFS($P$5:$P$2004,P1003,$C$5:$C$2004,"&lt;="&amp;D1003,$D$5:$D$2004,"&gt;="&amp;C1003)&gt;1,"Overlaps another row","OK"))))</f>
        <v/>
      </c>
      <c r="P1003">
        <f>IF(A1003="","",A1003&amp;"|"&amp;IF(B1003="","Standard",B1003))</f>
        <v/>
      </c>
      <c r="Q1003">
        <f>IF(AND(A1003&lt;&gt;"",A1003='Firm Search'!$C$7),COUNTIF($A$5:A1003,'Firm Search'!$C$7),"")</f>
        <v/>
      </c>
    </row>
    <row r="1004">
      <c r="A1004" s="64" t="n"/>
      <c r="B1004" s="64" t="n"/>
      <c r="C1004" s="66" t="n"/>
      <c r="D1004" s="66" t="n"/>
      <c r="E1004" s="67" t="n"/>
      <c r="F1004" s="67" t="n"/>
      <c r="G1004" s="67" t="n"/>
      <c r="H1004" s="67" t="n"/>
      <c r="I1004" s="67" t="n"/>
      <c r="J1004" s="67" t="n"/>
      <c r="K1004" s="67" t="n"/>
      <c r="L1004" s="67" t="n"/>
      <c r="M1004" s="64" t="n"/>
      <c r="N1004" s="66" t="n"/>
      <c r="O1004" s="84">
        <f>IF(A1004="","",IF(OR(C1004="",D1004=""),"Enter both dates",IF(D1004&lt;C1004,"To is before From",IF(COUNTIFS($P$5:$P$2004,P1004,$C$5:$C$2004,"&lt;="&amp;D1004,$D$5:$D$2004,"&gt;="&amp;C1004)&gt;1,"Overlaps another row","OK"))))</f>
        <v/>
      </c>
      <c r="P1004">
        <f>IF(A1004="","",A1004&amp;"|"&amp;IF(B1004="","Standard",B1004))</f>
        <v/>
      </c>
      <c r="Q1004">
        <f>IF(AND(A1004&lt;&gt;"",A1004='Firm Search'!$C$7),COUNTIF($A$5:A1004,'Firm Search'!$C$7),"")</f>
        <v/>
      </c>
    </row>
    <row r="1005">
      <c r="A1005" s="64" t="n"/>
      <c r="B1005" s="64" t="n"/>
      <c r="C1005" s="66" t="n"/>
      <c r="D1005" s="66" t="n"/>
      <c r="E1005" s="67" t="n"/>
      <c r="F1005" s="67" t="n"/>
      <c r="G1005" s="67" t="n"/>
      <c r="H1005" s="67" t="n"/>
      <c r="I1005" s="67" t="n"/>
      <c r="J1005" s="67" t="n"/>
      <c r="K1005" s="67" t="n"/>
      <c r="L1005" s="67" t="n"/>
      <c r="M1005" s="64" t="n"/>
      <c r="N1005" s="66" t="n"/>
      <c r="O1005" s="84">
        <f>IF(A1005="","",IF(OR(C1005="",D1005=""),"Enter both dates",IF(D1005&lt;C1005,"To is before From",IF(COUNTIFS($P$5:$P$2004,P1005,$C$5:$C$2004,"&lt;="&amp;D1005,$D$5:$D$2004,"&gt;="&amp;C1005)&gt;1,"Overlaps another row","OK"))))</f>
        <v/>
      </c>
      <c r="P1005">
        <f>IF(A1005="","",A1005&amp;"|"&amp;IF(B1005="","Standard",B1005))</f>
        <v/>
      </c>
      <c r="Q1005">
        <f>IF(AND(A1005&lt;&gt;"",A1005='Firm Search'!$C$7),COUNTIF($A$5:A1005,'Firm Search'!$C$7),"")</f>
        <v/>
      </c>
    </row>
    <row r="1006">
      <c r="A1006" s="64" t="n"/>
      <c r="B1006" s="64" t="n"/>
      <c r="C1006" s="66" t="n"/>
      <c r="D1006" s="66" t="n"/>
      <c r="E1006" s="67" t="n"/>
      <c r="F1006" s="67" t="n"/>
      <c r="G1006" s="67" t="n"/>
      <c r="H1006" s="67" t="n"/>
      <c r="I1006" s="67" t="n"/>
      <c r="J1006" s="67" t="n"/>
      <c r="K1006" s="67" t="n"/>
      <c r="L1006" s="67" t="n"/>
      <c r="M1006" s="64" t="n"/>
      <c r="N1006" s="66" t="n"/>
      <c r="O1006" s="84">
        <f>IF(A1006="","",IF(OR(C1006="",D1006=""),"Enter both dates",IF(D1006&lt;C1006,"To is before From",IF(COUNTIFS($P$5:$P$2004,P1006,$C$5:$C$2004,"&lt;="&amp;D1006,$D$5:$D$2004,"&gt;="&amp;C1006)&gt;1,"Overlaps another row","OK"))))</f>
        <v/>
      </c>
      <c r="P1006">
        <f>IF(A1006="","",A1006&amp;"|"&amp;IF(B1006="","Standard",B1006))</f>
        <v/>
      </c>
      <c r="Q1006">
        <f>IF(AND(A1006&lt;&gt;"",A1006='Firm Search'!$C$7),COUNTIF($A$5:A1006,'Firm Search'!$C$7),"")</f>
        <v/>
      </c>
    </row>
    <row r="1007">
      <c r="A1007" s="64" t="n"/>
      <c r="B1007" s="64" t="n"/>
      <c r="C1007" s="66" t="n"/>
      <c r="D1007" s="66" t="n"/>
      <c r="E1007" s="67" t="n"/>
      <c r="F1007" s="67" t="n"/>
      <c r="G1007" s="67" t="n"/>
      <c r="H1007" s="67" t="n"/>
      <c r="I1007" s="67" t="n"/>
      <c r="J1007" s="67" t="n"/>
      <c r="K1007" s="67" t="n"/>
      <c r="L1007" s="67" t="n"/>
      <c r="M1007" s="64" t="n"/>
      <c r="N1007" s="66" t="n"/>
      <c r="O1007" s="84">
        <f>IF(A1007="","",IF(OR(C1007="",D1007=""),"Enter both dates",IF(D1007&lt;C1007,"To is before From",IF(COUNTIFS($P$5:$P$2004,P1007,$C$5:$C$2004,"&lt;="&amp;D1007,$D$5:$D$2004,"&gt;="&amp;C1007)&gt;1,"Overlaps another row","OK"))))</f>
        <v/>
      </c>
      <c r="P1007">
        <f>IF(A1007="","",A1007&amp;"|"&amp;IF(B1007="","Standard",B1007))</f>
        <v/>
      </c>
      <c r="Q1007">
        <f>IF(AND(A1007&lt;&gt;"",A1007='Firm Search'!$C$7),COUNTIF($A$5:A1007,'Firm Search'!$C$7),"")</f>
        <v/>
      </c>
    </row>
    <row r="1008">
      <c r="A1008" s="64" t="n"/>
      <c r="B1008" s="64" t="n"/>
      <c r="C1008" s="66" t="n"/>
      <c r="D1008" s="66" t="n"/>
      <c r="E1008" s="67" t="n"/>
      <c r="F1008" s="67" t="n"/>
      <c r="G1008" s="67" t="n"/>
      <c r="H1008" s="67" t="n"/>
      <c r="I1008" s="67" t="n"/>
      <c r="J1008" s="67" t="n"/>
      <c r="K1008" s="67" t="n"/>
      <c r="L1008" s="67" t="n"/>
      <c r="M1008" s="64" t="n"/>
      <c r="N1008" s="66" t="n"/>
      <c r="O1008" s="84">
        <f>IF(A1008="","",IF(OR(C1008="",D1008=""),"Enter both dates",IF(D1008&lt;C1008,"To is before From",IF(COUNTIFS($P$5:$P$2004,P1008,$C$5:$C$2004,"&lt;="&amp;D1008,$D$5:$D$2004,"&gt;="&amp;C1008)&gt;1,"Overlaps another row","OK"))))</f>
        <v/>
      </c>
      <c r="P1008">
        <f>IF(A1008="","",A1008&amp;"|"&amp;IF(B1008="","Standard",B1008))</f>
        <v/>
      </c>
      <c r="Q1008">
        <f>IF(AND(A1008&lt;&gt;"",A1008='Firm Search'!$C$7),COUNTIF($A$5:A1008,'Firm Search'!$C$7),"")</f>
        <v/>
      </c>
    </row>
    <row r="1009">
      <c r="A1009" s="64" t="n"/>
      <c r="B1009" s="64" t="n"/>
      <c r="C1009" s="66" t="n"/>
      <c r="D1009" s="66" t="n"/>
      <c r="E1009" s="67" t="n"/>
      <c r="F1009" s="67" t="n"/>
      <c r="G1009" s="67" t="n"/>
      <c r="H1009" s="67" t="n"/>
      <c r="I1009" s="67" t="n"/>
      <c r="J1009" s="67" t="n"/>
      <c r="K1009" s="67" t="n"/>
      <c r="L1009" s="67" t="n"/>
      <c r="M1009" s="64" t="n"/>
      <c r="N1009" s="66" t="n"/>
      <c r="O1009" s="84">
        <f>IF(A1009="","",IF(OR(C1009="",D1009=""),"Enter both dates",IF(D1009&lt;C1009,"To is before From",IF(COUNTIFS($P$5:$P$2004,P1009,$C$5:$C$2004,"&lt;="&amp;D1009,$D$5:$D$2004,"&gt;="&amp;C1009)&gt;1,"Overlaps another row","OK"))))</f>
        <v/>
      </c>
      <c r="P1009">
        <f>IF(A1009="","",A1009&amp;"|"&amp;IF(B1009="","Standard",B1009))</f>
        <v/>
      </c>
      <c r="Q1009">
        <f>IF(AND(A1009&lt;&gt;"",A1009='Firm Search'!$C$7),COUNTIF($A$5:A1009,'Firm Search'!$C$7),"")</f>
        <v/>
      </c>
    </row>
    <row r="1010">
      <c r="A1010" s="64" t="n"/>
      <c r="B1010" s="64" t="n"/>
      <c r="C1010" s="66" t="n"/>
      <c r="D1010" s="66" t="n"/>
      <c r="E1010" s="67" t="n"/>
      <c r="F1010" s="67" t="n"/>
      <c r="G1010" s="67" t="n"/>
      <c r="H1010" s="67" t="n"/>
      <c r="I1010" s="67" t="n"/>
      <c r="J1010" s="67" t="n"/>
      <c r="K1010" s="67" t="n"/>
      <c r="L1010" s="67" t="n"/>
      <c r="M1010" s="64" t="n"/>
      <c r="N1010" s="66" t="n"/>
      <c r="O1010" s="84">
        <f>IF(A1010="","",IF(OR(C1010="",D1010=""),"Enter both dates",IF(D1010&lt;C1010,"To is before From",IF(COUNTIFS($P$5:$P$2004,P1010,$C$5:$C$2004,"&lt;="&amp;D1010,$D$5:$D$2004,"&gt;="&amp;C1010)&gt;1,"Overlaps another row","OK"))))</f>
        <v/>
      </c>
      <c r="P1010">
        <f>IF(A1010="","",A1010&amp;"|"&amp;IF(B1010="","Standard",B1010))</f>
        <v/>
      </c>
      <c r="Q1010">
        <f>IF(AND(A1010&lt;&gt;"",A1010='Firm Search'!$C$7),COUNTIF($A$5:A1010,'Firm Search'!$C$7),"")</f>
        <v/>
      </c>
    </row>
    <row r="1011">
      <c r="A1011" s="64" t="n"/>
      <c r="B1011" s="64" t="n"/>
      <c r="C1011" s="66" t="n"/>
      <c r="D1011" s="66" t="n"/>
      <c r="E1011" s="67" t="n"/>
      <c r="F1011" s="67" t="n"/>
      <c r="G1011" s="67" t="n"/>
      <c r="H1011" s="67" t="n"/>
      <c r="I1011" s="67" t="n"/>
      <c r="J1011" s="67" t="n"/>
      <c r="K1011" s="67" t="n"/>
      <c r="L1011" s="67" t="n"/>
      <c r="M1011" s="64" t="n"/>
      <c r="N1011" s="66" t="n"/>
      <c r="O1011" s="84">
        <f>IF(A1011="","",IF(OR(C1011="",D1011=""),"Enter both dates",IF(D1011&lt;C1011,"To is before From",IF(COUNTIFS($P$5:$P$2004,P1011,$C$5:$C$2004,"&lt;="&amp;D1011,$D$5:$D$2004,"&gt;="&amp;C1011)&gt;1,"Overlaps another row","OK"))))</f>
        <v/>
      </c>
      <c r="P1011">
        <f>IF(A1011="","",A1011&amp;"|"&amp;IF(B1011="","Standard",B1011))</f>
        <v/>
      </c>
      <c r="Q1011">
        <f>IF(AND(A1011&lt;&gt;"",A1011='Firm Search'!$C$7),COUNTIF($A$5:A1011,'Firm Search'!$C$7),"")</f>
        <v/>
      </c>
    </row>
    <row r="1012">
      <c r="A1012" s="64" t="n"/>
      <c r="B1012" s="64" t="n"/>
      <c r="C1012" s="66" t="n"/>
      <c r="D1012" s="66" t="n"/>
      <c r="E1012" s="67" t="n"/>
      <c r="F1012" s="67" t="n"/>
      <c r="G1012" s="67" t="n"/>
      <c r="H1012" s="67" t="n"/>
      <c r="I1012" s="67" t="n"/>
      <c r="J1012" s="67" t="n"/>
      <c r="K1012" s="67" t="n"/>
      <c r="L1012" s="67" t="n"/>
      <c r="M1012" s="64" t="n"/>
      <c r="N1012" s="66" t="n"/>
      <c r="O1012" s="84">
        <f>IF(A1012="","",IF(OR(C1012="",D1012=""),"Enter both dates",IF(D1012&lt;C1012,"To is before From",IF(COUNTIFS($P$5:$P$2004,P1012,$C$5:$C$2004,"&lt;="&amp;D1012,$D$5:$D$2004,"&gt;="&amp;C1012)&gt;1,"Overlaps another row","OK"))))</f>
        <v/>
      </c>
      <c r="P1012">
        <f>IF(A1012="","",A1012&amp;"|"&amp;IF(B1012="","Standard",B1012))</f>
        <v/>
      </c>
      <c r="Q1012">
        <f>IF(AND(A1012&lt;&gt;"",A1012='Firm Search'!$C$7),COUNTIF($A$5:A1012,'Firm Search'!$C$7),"")</f>
        <v/>
      </c>
    </row>
    <row r="1013">
      <c r="A1013" s="64" t="n"/>
      <c r="B1013" s="64" t="n"/>
      <c r="C1013" s="66" t="n"/>
      <c r="D1013" s="66" t="n"/>
      <c r="E1013" s="67" t="n"/>
      <c r="F1013" s="67" t="n"/>
      <c r="G1013" s="67" t="n"/>
      <c r="H1013" s="67" t="n"/>
      <c r="I1013" s="67" t="n"/>
      <c r="J1013" s="67" t="n"/>
      <c r="K1013" s="67" t="n"/>
      <c r="L1013" s="67" t="n"/>
      <c r="M1013" s="64" t="n"/>
      <c r="N1013" s="66" t="n"/>
      <c r="O1013" s="84">
        <f>IF(A1013="","",IF(OR(C1013="",D1013=""),"Enter both dates",IF(D1013&lt;C1013,"To is before From",IF(COUNTIFS($P$5:$P$2004,P1013,$C$5:$C$2004,"&lt;="&amp;D1013,$D$5:$D$2004,"&gt;="&amp;C1013)&gt;1,"Overlaps another row","OK"))))</f>
        <v/>
      </c>
      <c r="P1013">
        <f>IF(A1013="","",A1013&amp;"|"&amp;IF(B1013="","Standard",B1013))</f>
        <v/>
      </c>
      <c r="Q1013">
        <f>IF(AND(A1013&lt;&gt;"",A1013='Firm Search'!$C$7),COUNTIF($A$5:A1013,'Firm Search'!$C$7),"")</f>
        <v/>
      </c>
    </row>
    <row r="1014">
      <c r="A1014" s="64" t="n"/>
      <c r="B1014" s="64" t="n"/>
      <c r="C1014" s="66" t="n"/>
      <c r="D1014" s="66" t="n"/>
      <c r="E1014" s="67" t="n"/>
      <c r="F1014" s="67" t="n"/>
      <c r="G1014" s="67" t="n"/>
      <c r="H1014" s="67" t="n"/>
      <c r="I1014" s="67" t="n"/>
      <c r="J1014" s="67" t="n"/>
      <c r="K1014" s="67" t="n"/>
      <c r="L1014" s="67" t="n"/>
      <c r="M1014" s="64" t="n"/>
      <c r="N1014" s="66" t="n"/>
      <c r="O1014" s="84">
        <f>IF(A1014="","",IF(OR(C1014="",D1014=""),"Enter both dates",IF(D1014&lt;C1014,"To is before From",IF(COUNTIFS($P$5:$P$2004,P1014,$C$5:$C$2004,"&lt;="&amp;D1014,$D$5:$D$2004,"&gt;="&amp;C1014)&gt;1,"Overlaps another row","OK"))))</f>
        <v/>
      </c>
      <c r="P1014">
        <f>IF(A1014="","",A1014&amp;"|"&amp;IF(B1014="","Standard",B1014))</f>
        <v/>
      </c>
      <c r="Q1014">
        <f>IF(AND(A1014&lt;&gt;"",A1014='Firm Search'!$C$7),COUNTIF($A$5:A1014,'Firm Search'!$C$7),"")</f>
        <v/>
      </c>
    </row>
    <row r="1015">
      <c r="A1015" s="64" t="n"/>
      <c r="B1015" s="64" t="n"/>
      <c r="C1015" s="66" t="n"/>
      <c r="D1015" s="66" t="n"/>
      <c r="E1015" s="67" t="n"/>
      <c r="F1015" s="67" t="n"/>
      <c r="G1015" s="67" t="n"/>
      <c r="H1015" s="67" t="n"/>
      <c r="I1015" s="67" t="n"/>
      <c r="J1015" s="67" t="n"/>
      <c r="K1015" s="67" t="n"/>
      <c r="L1015" s="67" t="n"/>
      <c r="M1015" s="64" t="n"/>
      <c r="N1015" s="66" t="n"/>
      <c r="O1015" s="84">
        <f>IF(A1015="","",IF(OR(C1015="",D1015=""),"Enter both dates",IF(D1015&lt;C1015,"To is before From",IF(COUNTIFS($P$5:$P$2004,P1015,$C$5:$C$2004,"&lt;="&amp;D1015,$D$5:$D$2004,"&gt;="&amp;C1015)&gt;1,"Overlaps another row","OK"))))</f>
        <v/>
      </c>
      <c r="P1015">
        <f>IF(A1015="","",A1015&amp;"|"&amp;IF(B1015="","Standard",B1015))</f>
        <v/>
      </c>
      <c r="Q1015">
        <f>IF(AND(A1015&lt;&gt;"",A1015='Firm Search'!$C$7),COUNTIF($A$5:A1015,'Firm Search'!$C$7),"")</f>
        <v/>
      </c>
    </row>
    <row r="1016">
      <c r="A1016" s="64" t="n"/>
      <c r="B1016" s="64" t="n"/>
      <c r="C1016" s="66" t="n"/>
      <c r="D1016" s="66" t="n"/>
      <c r="E1016" s="67" t="n"/>
      <c r="F1016" s="67" t="n"/>
      <c r="G1016" s="67" t="n"/>
      <c r="H1016" s="67" t="n"/>
      <c r="I1016" s="67" t="n"/>
      <c r="J1016" s="67" t="n"/>
      <c r="K1016" s="67" t="n"/>
      <c r="L1016" s="67" t="n"/>
      <c r="M1016" s="64" t="n"/>
      <c r="N1016" s="66" t="n"/>
      <c r="O1016" s="84">
        <f>IF(A1016="","",IF(OR(C1016="",D1016=""),"Enter both dates",IF(D1016&lt;C1016,"To is before From",IF(COUNTIFS($P$5:$P$2004,P1016,$C$5:$C$2004,"&lt;="&amp;D1016,$D$5:$D$2004,"&gt;="&amp;C1016)&gt;1,"Overlaps another row","OK"))))</f>
        <v/>
      </c>
      <c r="P1016">
        <f>IF(A1016="","",A1016&amp;"|"&amp;IF(B1016="","Standard",B1016))</f>
        <v/>
      </c>
      <c r="Q1016">
        <f>IF(AND(A1016&lt;&gt;"",A1016='Firm Search'!$C$7),COUNTIF($A$5:A1016,'Firm Search'!$C$7),"")</f>
        <v/>
      </c>
    </row>
    <row r="1017">
      <c r="A1017" s="64" t="n"/>
      <c r="B1017" s="64" t="n"/>
      <c r="C1017" s="66" t="n"/>
      <c r="D1017" s="66" t="n"/>
      <c r="E1017" s="67" t="n"/>
      <c r="F1017" s="67" t="n"/>
      <c r="G1017" s="67" t="n"/>
      <c r="H1017" s="67" t="n"/>
      <c r="I1017" s="67" t="n"/>
      <c r="J1017" s="67" t="n"/>
      <c r="K1017" s="67" t="n"/>
      <c r="L1017" s="67" t="n"/>
      <c r="M1017" s="64" t="n"/>
      <c r="N1017" s="66" t="n"/>
      <c r="O1017" s="84">
        <f>IF(A1017="","",IF(OR(C1017="",D1017=""),"Enter both dates",IF(D1017&lt;C1017,"To is before From",IF(COUNTIFS($P$5:$P$2004,P1017,$C$5:$C$2004,"&lt;="&amp;D1017,$D$5:$D$2004,"&gt;="&amp;C1017)&gt;1,"Overlaps another row","OK"))))</f>
        <v/>
      </c>
      <c r="P1017">
        <f>IF(A1017="","",A1017&amp;"|"&amp;IF(B1017="","Standard",B1017))</f>
        <v/>
      </c>
      <c r="Q1017">
        <f>IF(AND(A1017&lt;&gt;"",A1017='Firm Search'!$C$7),COUNTIF($A$5:A1017,'Firm Search'!$C$7),"")</f>
        <v/>
      </c>
    </row>
    <row r="1018">
      <c r="A1018" s="64" t="n"/>
      <c r="B1018" s="64" t="n"/>
      <c r="C1018" s="66" t="n"/>
      <c r="D1018" s="66" t="n"/>
      <c r="E1018" s="67" t="n"/>
      <c r="F1018" s="67" t="n"/>
      <c r="G1018" s="67" t="n"/>
      <c r="H1018" s="67" t="n"/>
      <c r="I1018" s="67" t="n"/>
      <c r="J1018" s="67" t="n"/>
      <c r="K1018" s="67" t="n"/>
      <c r="L1018" s="67" t="n"/>
      <c r="M1018" s="64" t="n"/>
      <c r="N1018" s="66" t="n"/>
      <c r="O1018" s="84">
        <f>IF(A1018="","",IF(OR(C1018="",D1018=""),"Enter both dates",IF(D1018&lt;C1018,"To is before From",IF(COUNTIFS($P$5:$P$2004,P1018,$C$5:$C$2004,"&lt;="&amp;D1018,$D$5:$D$2004,"&gt;="&amp;C1018)&gt;1,"Overlaps another row","OK"))))</f>
        <v/>
      </c>
      <c r="P1018">
        <f>IF(A1018="","",A1018&amp;"|"&amp;IF(B1018="","Standard",B1018))</f>
        <v/>
      </c>
      <c r="Q1018">
        <f>IF(AND(A1018&lt;&gt;"",A1018='Firm Search'!$C$7),COUNTIF($A$5:A1018,'Firm Search'!$C$7),"")</f>
        <v/>
      </c>
    </row>
    <row r="1019">
      <c r="A1019" s="64" t="n"/>
      <c r="B1019" s="64" t="n"/>
      <c r="C1019" s="66" t="n"/>
      <c r="D1019" s="66" t="n"/>
      <c r="E1019" s="67" t="n"/>
      <c r="F1019" s="67" t="n"/>
      <c r="G1019" s="67" t="n"/>
      <c r="H1019" s="67" t="n"/>
      <c r="I1019" s="67" t="n"/>
      <c r="J1019" s="67" t="n"/>
      <c r="K1019" s="67" t="n"/>
      <c r="L1019" s="67" t="n"/>
      <c r="M1019" s="64" t="n"/>
      <c r="N1019" s="66" t="n"/>
      <c r="O1019" s="84">
        <f>IF(A1019="","",IF(OR(C1019="",D1019=""),"Enter both dates",IF(D1019&lt;C1019,"To is before From",IF(COUNTIFS($P$5:$P$2004,P1019,$C$5:$C$2004,"&lt;="&amp;D1019,$D$5:$D$2004,"&gt;="&amp;C1019)&gt;1,"Overlaps another row","OK"))))</f>
        <v/>
      </c>
      <c r="P1019">
        <f>IF(A1019="","",A1019&amp;"|"&amp;IF(B1019="","Standard",B1019))</f>
        <v/>
      </c>
      <c r="Q1019">
        <f>IF(AND(A1019&lt;&gt;"",A1019='Firm Search'!$C$7),COUNTIF($A$5:A1019,'Firm Search'!$C$7),"")</f>
        <v/>
      </c>
    </row>
    <row r="1020">
      <c r="A1020" s="64" t="n"/>
      <c r="B1020" s="64" t="n"/>
      <c r="C1020" s="66" t="n"/>
      <c r="D1020" s="66" t="n"/>
      <c r="E1020" s="67" t="n"/>
      <c r="F1020" s="67" t="n"/>
      <c r="G1020" s="67" t="n"/>
      <c r="H1020" s="67" t="n"/>
      <c r="I1020" s="67" t="n"/>
      <c r="J1020" s="67" t="n"/>
      <c r="K1020" s="67" t="n"/>
      <c r="L1020" s="67" t="n"/>
      <c r="M1020" s="64" t="n"/>
      <c r="N1020" s="66" t="n"/>
      <c r="O1020" s="84">
        <f>IF(A1020="","",IF(OR(C1020="",D1020=""),"Enter both dates",IF(D1020&lt;C1020,"To is before From",IF(COUNTIFS($P$5:$P$2004,P1020,$C$5:$C$2004,"&lt;="&amp;D1020,$D$5:$D$2004,"&gt;="&amp;C1020)&gt;1,"Overlaps another row","OK"))))</f>
        <v/>
      </c>
      <c r="P1020">
        <f>IF(A1020="","",A1020&amp;"|"&amp;IF(B1020="","Standard",B1020))</f>
        <v/>
      </c>
      <c r="Q1020">
        <f>IF(AND(A1020&lt;&gt;"",A1020='Firm Search'!$C$7),COUNTIF($A$5:A1020,'Firm Search'!$C$7),"")</f>
        <v/>
      </c>
    </row>
    <row r="1021">
      <c r="A1021" s="64" t="n"/>
      <c r="B1021" s="64" t="n"/>
      <c r="C1021" s="66" t="n"/>
      <c r="D1021" s="66" t="n"/>
      <c r="E1021" s="67" t="n"/>
      <c r="F1021" s="67" t="n"/>
      <c r="G1021" s="67" t="n"/>
      <c r="H1021" s="67" t="n"/>
      <c r="I1021" s="67" t="n"/>
      <c r="J1021" s="67" t="n"/>
      <c r="K1021" s="67" t="n"/>
      <c r="L1021" s="67" t="n"/>
      <c r="M1021" s="64" t="n"/>
      <c r="N1021" s="66" t="n"/>
      <c r="O1021" s="84">
        <f>IF(A1021="","",IF(OR(C1021="",D1021=""),"Enter both dates",IF(D1021&lt;C1021,"To is before From",IF(COUNTIFS($P$5:$P$2004,P1021,$C$5:$C$2004,"&lt;="&amp;D1021,$D$5:$D$2004,"&gt;="&amp;C1021)&gt;1,"Overlaps another row","OK"))))</f>
        <v/>
      </c>
      <c r="P1021">
        <f>IF(A1021="","",A1021&amp;"|"&amp;IF(B1021="","Standard",B1021))</f>
        <v/>
      </c>
      <c r="Q1021">
        <f>IF(AND(A1021&lt;&gt;"",A1021='Firm Search'!$C$7),COUNTIF($A$5:A1021,'Firm Search'!$C$7),"")</f>
        <v/>
      </c>
    </row>
    <row r="1022">
      <c r="A1022" s="64" t="n"/>
      <c r="B1022" s="64" t="n"/>
      <c r="C1022" s="66" t="n"/>
      <c r="D1022" s="66" t="n"/>
      <c r="E1022" s="67" t="n"/>
      <c r="F1022" s="67" t="n"/>
      <c r="G1022" s="67" t="n"/>
      <c r="H1022" s="67" t="n"/>
      <c r="I1022" s="67" t="n"/>
      <c r="J1022" s="67" t="n"/>
      <c r="K1022" s="67" t="n"/>
      <c r="L1022" s="67" t="n"/>
      <c r="M1022" s="64" t="n"/>
      <c r="N1022" s="66" t="n"/>
      <c r="O1022" s="84">
        <f>IF(A1022="","",IF(OR(C1022="",D1022=""),"Enter both dates",IF(D1022&lt;C1022,"To is before From",IF(COUNTIFS($P$5:$P$2004,P1022,$C$5:$C$2004,"&lt;="&amp;D1022,$D$5:$D$2004,"&gt;="&amp;C1022)&gt;1,"Overlaps another row","OK"))))</f>
        <v/>
      </c>
      <c r="P1022">
        <f>IF(A1022="","",A1022&amp;"|"&amp;IF(B1022="","Standard",B1022))</f>
        <v/>
      </c>
      <c r="Q1022">
        <f>IF(AND(A1022&lt;&gt;"",A1022='Firm Search'!$C$7),COUNTIF($A$5:A1022,'Firm Search'!$C$7),"")</f>
        <v/>
      </c>
    </row>
    <row r="1023">
      <c r="A1023" s="64" t="n"/>
      <c r="B1023" s="64" t="n"/>
      <c r="C1023" s="66" t="n"/>
      <c r="D1023" s="66" t="n"/>
      <c r="E1023" s="67" t="n"/>
      <c r="F1023" s="67" t="n"/>
      <c r="G1023" s="67" t="n"/>
      <c r="H1023" s="67" t="n"/>
      <c r="I1023" s="67" t="n"/>
      <c r="J1023" s="67" t="n"/>
      <c r="K1023" s="67" t="n"/>
      <c r="L1023" s="67" t="n"/>
      <c r="M1023" s="64" t="n"/>
      <c r="N1023" s="66" t="n"/>
      <c r="O1023" s="84">
        <f>IF(A1023="","",IF(OR(C1023="",D1023=""),"Enter both dates",IF(D1023&lt;C1023,"To is before From",IF(COUNTIFS($P$5:$P$2004,P1023,$C$5:$C$2004,"&lt;="&amp;D1023,$D$5:$D$2004,"&gt;="&amp;C1023)&gt;1,"Overlaps another row","OK"))))</f>
        <v/>
      </c>
      <c r="P1023">
        <f>IF(A1023="","",A1023&amp;"|"&amp;IF(B1023="","Standard",B1023))</f>
        <v/>
      </c>
      <c r="Q1023">
        <f>IF(AND(A1023&lt;&gt;"",A1023='Firm Search'!$C$7),COUNTIF($A$5:A1023,'Firm Search'!$C$7),"")</f>
        <v/>
      </c>
    </row>
    <row r="1024">
      <c r="A1024" s="64" t="n"/>
      <c r="B1024" s="64" t="n"/>
      <c r="C1024" s="66" t="n"/>
      <c r="D1024" s="66" t="n"/>
      <c r="E1024" s="67" t="n"/>
      <c r="F1024" s="67" t="n"/>
      <c r="G1024" s="67" t="n"/>
      <c r="H1024" s="67" t="n"/>
      <c r="I1024" s="67" t="n"/>
      <c r="J1024" s="67" t="n"/>
      <c r="K1024" s="67" t="n"/>
      <c r="L1024" s="67" t="n"/>
      <c r="M1024" s="64" t="n"/>
      <c r="N1024" s="66" t="n"/>
      <c r="O1024" s="84">
        <f>IF(A1024="","",IF(OR(C1024="",D1024=""),"Enter both dates",IF(D1024&lt;C1024,"To is before From",IF(COUNTIFS($P$5:$P$2004,P1024,$C$5:$C$2004,"&lt;="&amp;D1024,$D$5:$D$2004,"&gt;="&amp;C1024)&gt;1,"Overlaps another row","OK"))))</f>
        <v/>
      </c>
      <c r="P1024">
        <f>IF(A1024="","",A1024&amp;"|"&amp;IF(B1024="","Standard",B1024))</f>
        <v/>
      </c>
      <c r="Q1024">
        <f>IF(AND(A1024&lt;&gt;"",A1024='Firm Search'!$C$7),COUNTIF($A$5:A1024,'Firm Search'!$C$7),"")</f>
        <v/>
      </c>
    </row>
    <row r="1025">
      <c r="A1025" s="64" t="n"/>
      <c r="B1025" s="64" t="n"/>
      <c r="C1025" s="66" t="n"/>
      <c r="D1025" s="66" t="n"/>
      <c r="E1025" s="67" t="n"/>
      <c r="F1025" s="67" t="n"/>
      <c r="G1025" s="67" t="n"/>
      <c r="H1025" s="67" t="n"/>
      <c r="I1025" s="67" t="n"/>
      <c r="J1025" s="67" t="n"/>
      <c r="K1025" s="67" t="n"/>
      <c r="L1025" s="67" t="n"/>
      <c r="M1025" s="64" t="n"/>
      <c r="N1025" s="66" t="n"/>
      <c r="O1025" s="84">
        <f>IF(A1025="","",IF(OR(C1025="",D1025=""),"Enter both dates",IF(D1025&lt;C1025,"To is before From",IF(COUNTIFS($P$5:$P$2004,P1025,$C$5:$C$2004,"&lt;="&amp;D1025,$D$5:$D$2004,"&gt;="&amp;C1025)&gt;1,"Overlaps another row","OK"))))</f>
        <v/>
      </c>
      <c r="P1025">
        <f>IF(A1025="","",A1025&amp;"|"&amp;IF(B1025="","Standard",B1025))</f>
        <v/>
      </c>
      <c r="Q1025">
        <f>IF(AND(A1025&lt;&gt;"",A1025='Firm Search'!$C$7),COUNTIF($A$5:A1025,'Firm Search'!$C$7),"")</f>
        <v/>
      </c>
    </row>
    <row r="1026">
      <c r="A1026" s="64" t="n"/>
      <c r="B1026" s="64" t="n"/>
      <c r="C1026" s="66" t="n"/>
      <c r="D1026" s="66" t="n"/>
      <c r="E1026" s="67" t="n"/>
      <c r="F1026" s="67" t="n"/>
      <c r="G1026" s="67" t="n"/>
      <c r="H1026" s="67" t="n"/>
      <c r="I1026" s="67" t="n"/>
      <c r="J1026" s="67" t="n"/>
      <c r="K1026" s="67" t="n"/>
      <c r="L1026" s="67" t="n"/>
      <c r="M1026" s="64" t="n"/>
      <c r="N1026" s="66" t="n"/>
      <c r="O1026" s="84">
        <f>IF(A1026="","",IF(OR(C1026="",D1026=""),"Enter both dates",IF(D1026&lt;C1026,"To is before From",IF(COUNTIFS($P$5:$P$2004,P1026,$C$5:$C$2004,"&lt;="&amp;D1026,$D$5:$D$2004,"&gt;="&amp;C1026)&gt;1,"Overlaps another row","OK"))))</f>
        <v/>
      </c>
      <c r="P1026">
        <f>IF(A1026="","",A1026&amp;"|"&amp;IF(B1026="","Standard",B1026))</f>
        <v/>
      </c>
      <c r="Q1026">
        <f>IF(AND(A1026&lt;&gt;"",A1026='Firm Search'!$C$7),COUNTIF($A$5:A1026,'Firm Search'!$C$7),"")</f>
        <v/>
      </c>
    </row>
    <row r="1027">
      <c r="A1027" s="64" t="n"/>
      <c r="B1027" s="64" t="n"/>
      <c r="C1027" s="66" t="n"/>
      <c r="D1027" s="66" t="n"/>
      <c r="E1027" s="67" t="n"/>
      <c r="F1027" s="67" t="n"/>
      <c r="G1027" s="67" t="n"/>
      <c r="H1027" s="67" t="n"/>
      <c r="I1027" s="67" t="n"/>
      <c r="J1027" s="67" t="n"/>
      <c r="K1027" s="67" t="n"/>
      <c r="L1027" s="67" t="n"/>
      <c r="M1027" s="64" t="n"/>
      <c r="N1027" s="66" t="n"/>
      <c r="O1027" s="84">
        <f>IF(A1027="","",IF(OR(C1027="",D1027=""),"Enter both dates",IF(D1027&lt;C1027,"To is before From",IF(COUNTIFS($P$5:$P$2004,P1027,$C$5:$C$2004,"&lt;="&amp;D1027,$D$5:$D$2004,"&gt;="&amp;C1027)&gt;1,"Overlaps another row","OK"))))</f>
        <v/>
      </c>
      <c r="P1027">
        <f>IF(A1027="","",A1027&amp;"|"&amp;IF(B1027="","Standard",B1027))</f>
        <v/>
      </c>
      <c r="Q1027">
        <f>IF(AND(A1027&lt;&gt;"",A1027='Firm Search'!$C$7),COUNTIF($A$5:A1027,'Firm Search'!$C$7),"")</f>
        <v/>
      </c>
    </row>
    <row r="1028">
      <c r="A1028" s="64" t="n"/>
      <c r="B1028" s="64" t="n"/>
      <c r="C1028" s="66" t="n"/>
      <c r="D1028" s="66" t="n"/>
      <c r="E1028" s="67" t="n"/>
      <c r="F1028" s="67" t="n"/>
      <c r="G1028" s="67" t="n"/>
      <c r="H1028" s="67" t="n"/>
      <c r="I1028" s="67" t="n"/>
      <c r="J1028" s="67" t="n"/>
      <c r="K1028" s="67" t="n"/>
      <c r="L1028" s="67" t="n"/>
      <c r="M1028" s="64" t="n"/>
      <c r="N1028" s="66" t="n"/>
      <c r="O1028" s="84">
        <f>IF(A1028="","",IF(OR(C1028="",D1028=""),"Enter both dates",IF(D1028&lt;C1028,"To is before From",IF(COUNTIFS($P$5:$P$2004,P1028,$C$5:$C$2004,"&lt;="&amp;D1028,$D$5:$D$2004,"&gt;="&amp;C1028)&gt;1,"Overlaps another row","OK"))))</f>
        <v/>
      </c>
      <c r="P1028">
        <f>IF(A1028="","",A1028&amp;"|"&amp;IF(B1028="","Standard",B1028))</f>
        <v/>
      </c>
      <c r="Q1028">
        <f>IF(AND(A1028&lt;&gt;"",A1028='Firm Search'!$C$7),COUNTIF($A$5:A1028,'Firm Search'!$C$7),"")</f>
        <v/>
      </c>
    </row>
    <row r="1029">
      <c r="A1029" s="64" t="n"/>
      <c r="B1029" s="64" t="n"/>
      <c r="C1029" s="66" t="n"/>
      <c r="D1029" s="66" t="n"/>
      <c r="E1029" s="67" t="n"/>
      <c r="F1029" s="67" t="n"/>
      <c r="G1029" s="67" t="n"/>
      <c r="H1029" s="67" t="n"/>
      <c r="I1029" s="67" t="n"/>
      <c r="J1029" s="67" t="n"/>
      <c r="K1029" s="67" t="n"/>
      <c r="L1029" s="67" t="n"/>
      <c r="M1029" s="64" t="n"/>
      <c r="N1029" s="66" t="n"/>
      <c r="O1029" s="84">
        <f>IF(A1029="","",IF(OR(C1029="",D1029=""),"Enter both dates",IF(D1029&lt;C1029,"To is before From",IF(COUNTIFS($P$5:$P$2004,P1029,$C$5:$C$2004,"&lt;="&amp;D1029,$D$5:$D$2004,"&gt;="&amp;C1029)&gt;1,"Overlaps another row","OK"))))</f>
        <v/>
      </c>
      <c r="P1029">
        <f>IF(A1029="","",A1029&amp;"|"&amp;IF(B1029="","Standard",B1029))</f>
        <v/>
      </c>
      <c r="Q1029">
        <f>IF(AND(A1029&lt;&gt;"",A1029='Firm Search'!$C$7),COUNTIF($A$5:A1029,'Firm Search'!$C$7),"")</f>
        <v/>
      </c>
    </row>
    <row r="1030">
      <c r="A1030" s="64" t="n"/>
      <c r="B1030" s="64" t="n"/>
      <c r="C1030" s="66" t="n"/>
      <c r="D1030" s="66" t="n"/>
      <c r="E1030" s="67" t="n"/>
      <c r="F1030" s="67" t="n"/>
      <c r="G1030" s="67" t="n"/>
      <c r="H1030" s="67" t="n"/>
      <c r="I1030" s="67" t="n"/>
      <c r="J1030" s="67" t="n"/>
      <c r="K1030" s="67" t="n"/>
      <c r="L1030" s="67" t="n"/>
      <c r="M1030" s="64" t="n"/>
      <c r="N1030" s="66" t="n"/>
      <c r="O1030" s="84">
        <f>IF(A1030="","",IF(OR(C1030="",D1030=""),"Enter both dates",IF(D1030&lt;C1030,"To is before From",IF(COUNTIFS($P$5:$P$2004,P1030,$C$5:$C$2004,"&lt;="&amp;D1030,$D$5:$D$2004,"&gt;="&amp;C1030)&gt;1,"Overlaps another row","OK"))))</f>
        <v/>
      </c>
      <c r="P1030">
        <f>IF(A1030="","",A1030&amp;"|"&amp;IF(B1030="","Standard",B1030))</f>
        <v/>
      </c>
      <c r="Q1030">
        <f>IF(AND(A1030&lt;&gt;"",A1030='Firm Search'!$C$7),COUNTIF($A$5:A1030,'Firm Search'!$C$7),"")</f>
        <v/>
      </c>
    </row>
    <row r="1031">
      <c r="A1031" s="64" t="n"/>
      <c r="B1031" s="64" t="n"/>
      <c r="C1031" s="66" t="n"/>
      <c r="D1031" s="66" t="n"/>
      <c r="E1031" s="67" t="n"/>
      <c r="F1031" s="67" t="n"/>
      <c r="G1031" s="67" t="n"/>
      <c r="H1031" s="67" t="n"/>
      <c r="I1031" s="67" t="n"/>
      <c r="J1031" s="67" t="n"/>
      <c r="K1031" s="67" t="n"/>
      <c r="L1031" s="67" t="n"/>
      <c r="M1031" s="64" t="n"/>
      <c r="N1031" s="66" t="n"/>
      <c r="O1031" s="84">
        <f>IF(A1031="","",IF(OR(C1031="",D1031=""),"Enter both dates",IF(D1031&lt;C1031,"To is before From",IF(COUNTIFS($P$5:$P$2004,P1031,$C$5:$C$2004,"&lt;="&amp;D1031,$D$5:$D$2004,"&gt;="&amp;C1031)&gt;1,"Overlaps another row","OK"))))</f>
        <v/>
      </c>
      <c r="P1031">
        <f>IF(A1031="","",A1031&amp;"|"&amp;IF(B1031="","Standard",B1031))</f>
        <v/>
      </c>
      <c r="Q1031">
        <f>IF(AND(A1031&lt;&gt;"",A1031='Firm Search'!$C$7),COUNTIF($A$5:A1031,'Firm Search'!$C$7),"")</f>
        <v/>
      </c>
    </row>
    <row r="1032">
      <c r="A1032" s="64" t="n"/>
      <c r="B1032" s="64" t="n"/>
      <c r="C1032" s="66" t="n"/>
      <c r="D1032" s="66" t="n"/>
      <c r="E1032" s="67" t="n"/>
      <c r="F1032" s="67" t="n"/>
      <c r="G1032" s="67" t="n"/>
      <c r="H1032" s="67" t="n"/>
      <c r="I1032" s="67" t="n"/>
      <c r="J1032" s="67" t="n"/>
      <c r="K1032" s="67" t="n"/>
      <c r="L1032" s="67" t="n"/>
      <c r="M1032" s="64" t="n"/>
      <c r="N1032" s="66" t="n"/>
      <c r="O1032" s="84">
        <f>IF(A1032="","",IF(OR(C1032="",D1032=""),"Enter both dates",IF(D1032&lt;C1032,"To is before From",IF(COUNTIFS($P$5:$P$2004,P1032,$C$5:$C$2004,"&lt;="&amp;D1032,$D$5:$D$2004,"&gt;="&amp;C1032)&gt;1,"Overlaps another row","OK"))))</f>
        <v/>
      </c>
      <c r="P1032">
        <f>IF(A1032="","",A1032&amp;"|"&amp;IF(B1032="","Standard",B1032))</f>
        <v/>
      </c>
      <c r="Q1032">
        <f>IF(AND(A1032&lt;&gt;"",A1032='Firm Search'!$C$7),COUNTIF($A$5:A1032,'Firm Search'!$C$7),"")</f>
        <v/>
      </c>
    </row>
    <row r="1033">
      <c r="A1033" s="64" t="n"/>
      <c r="B1033" s="64" t="n"/>
      <c r="C1033" s="66" t="n"/>
      <c r="D1033" s="66" t="n"/>
      <c r="E1033" s="67" t="n"/>
      <c r="F1033" s="67" t="n"/>
      <c r="G1033" s="67" t="n"/>
      <c r="H1033" s="67" t="n"/>
      <c r="I1033" s="67" t="n"/>
      <c r="J1033" s="67" t="n"/>
      <c r="K1033" s="67" t="n"/>
      <c r="L1033" s="67" t="n"/>
      <c r="M1033" s="64" t="n"/>
      <c r="N1033" s="66" t="n"/>
      <c r="O1033" s="84">
        <f>IF(A1033="","",IF(OR(C1033="",D1033=""),"Enter both dates",IF(D1033&lt;C1033,"To is before From",IF(COUNTIFS($P$5:$P$2004,P1033,$C$5:$C$2004,"&lt;="&amp;D1033,$D$5:$D$2004,"&gt;="&amp;C1033)&gt;1,"Overlaps another row","OK"))))</f>
        <v/>
      </c>
      <c r="P1033">
        <f>IF(A1033="","",A1033&amp;"|"&amp;IF(B1033="","Standard",B1033))</f>
        <v/>
      </c>
      <c r="Q1033">
        <f>IF(AND(A1033&lt;&gt;"",A1033='Firm Search'!$C$7),COUNTIF($A$5:A1033,'Firm Search'!$C$7),"")</f>
        <v/>
      </c>
    </row>
    <row r="1034">
      <c r="A1034" s="64" t="n"/>
      <c r="B1034" s="64" t="n"/>
      <c r="C1034" s="66" t="n"/>
      <c r="D1034" s="66" t="n"/>
      <c r="E1034" s="67" t="n"/>
      <c r="F1034" s="67" t="n"/>
      <c r="G1034" s="67" t="n"/>
      <c r="H1034" s="67" t="n"/>
      <c r="I1034" s="67" t="n"/>
      <c r="J1034" s="67" t="n"/>
      <c r="K1034" s="67" t="n"/>
      <c r="L1034" s="67" t="n"/>
      <c r="M1034" s="64" t="n"/>
      <c r="N1034" s="66" t="n"/>
      <c r="O1034" s="84">
        <f>IF(A1034="","",IF(OR(C1034="",D1034=""),"Enter both dates",IF(D1034&lt;C1034,"To is before From",IF(COUNTIFS($P$5:$P$2004,P1034,$C$5:$C$2004,"&lt;="&amp;D1034,$D$5:$D$2004,"&gt;="&amp;C1034)&gt;1,"Overlaps another row","OK"))))</f>
        <v/>
      </c>
      <c r="P1034">
        <f>IF(A1034="","",A1034&amp;"|"&amp;IF(B1034="","Standard",B1034))</f>
        <v/>
      </c>
      <c r="Q1034">
        <f>IF(AND(A1034&lt;&gt;"",A1034='Firm Search'!$C$7),COUNTIF($A$5:A1034,'Firm Search'!$C$7),"")</f>
        <v/>
      </c>
    </row>
    <row r="1035">
      <c r="A1035" s="64" t="n"/>
      <c r="B1035" s="64" t="n"/>
      <c r="C1035" s="66" t="n"/>
      <c r="D1035" s="66" t="n"/>
      <c r="E1035" s="67" t="n"/>
      <c r="F1035" s="67" t="n"/>
      <c r="G1035" s="67" t="n"/>
      <c r="H1035" s="67" t="n"/>
      <c r="I1035" s="67" t="n"/>
      <c r="J1035" s="67" t="n"/>
      <c r="K1035" s="67" t="n"/>
      <c r="L1035" s="67" t="n"/>
      <c r="M1035" s="64" t="n"/>
      <c r="N1035" s="66" t="n"/>
      <c r="O1035" s="84">
        <f>IF(A1035="","",IF(OR(C1035="",D1035=""),"Enter both dates",IF(D1035&lt;C1035,"To is before From",IF(COUNTIFS($P$5:$P$2004,P1035,$C$5:$C$2004,"&lt;="&amp;D1035,$D$5:$D$2004,"&gt;="&amp;C1035)&gt;1,"Overlaps another row","OK"))))</f>
        <v/>
      </c>
      <c r="P1035">
        <f>IF(A1035="","",A1035&amp;"|"&amp;IF(B1035="","Standard",B1035))</f>
        <v/>
      </c>
      <c r="Q1035">
        <f>IF(AND(A1035&lt;&gt;"",A1035='Firm Search'!$C$7),COUNTIF($A$5:A1035,'Firm Search'!$C$7),"")</f>
        <v/>
      </c>
    </row>
    <row r="1036">
      <c r="A1036" s="64" t="n"/>
      <c r="B1036" s="64" t="n"/>
      <c r="C1036" s="66" t="n"/>
      <c r="D1036" s="66" t="n"/>
      <c r="E1036" s="67" t="n"/>
      <c r="F1036" s="67" t="n"/>
      <c r="G1036" s="67" t="n"/>
      <c r="H1036" s="67" t="n"/>
      <c r="I1036" s="67" t="n"/>
      <c r="J1036" s="67" t="n"/>
      <c r="K1036" s="67" t="n"/>
      <c r="L1036" s="67" t="n"/>
      <c r="M1036" s="64" t="n"/>
      <c r="N1036" s="66" t="n"/>
      <c r="O1036" s="84">
        <f>IF(A1036="","",IF(OR(C1036="",D1036=""),"Enter both dates",IF(D1036&lt;C1036,"To is before From",IF(COUNTIFS($P$5:$P$2004,P1036,$C$5:$C$2004,"&lt;="&amp;D1036,$D$5:$D$2004,"&gt;="&amp;C1036)&gt;1,"Overlaps another row","OK"))))</f>
        <v/>
      </c>
      <c r="P1036">
        <f>IF(A1036="","",A1036&amp;"|"&amp;IF(B1036="","Standard",B1036))</f>
        <v/>
      </c>
      <c r="Q1036">
        <f>IF(AND(A1036&lt;&gt;"",A1036='Firm Search'!$C$7),COUNTIF($A$5:A1036,'Firm Search'!$C$7),"")</f>
        <v/>
      </c>
    </row>
    <row r="1037">
      <c r="A1037" s="64" t="n"/>
      <c r="B1037" s="64" t="n"/>
      <c r="C1037" s="66" t="n"/>
      <c r="D1037" s="66" t="n"/>
      <c r="E1037" s="67" t="n"/>
      <c r="F1037" s="67" t="n"/>
      <c r="G1037" s="67" t="n"/>
      <c r="H1037" s="67" t="n"/>
      <c r="I1037" s="67" t="n"/>
      <c r="J1037" s="67" t="n"/>
      <c r="K1037" s="67" t="n"/>
      <c r="L1037" s="67" t="n"/>
      <c r="M1037" s="64" t="n"/>
      <c r="N1037" s="66" t="n"/>
      <c r="O1037" s="84">
        <f>IF(A1037="","",IF(OR(C1037="",D1037=""),"Enter both dates",IF(D1037&lt;C1037,"To is before From",IF(COUNTIFS($P$5:$P$2004,P1037,$C$5:$C$2004,"&lt;="&amp;D1037,$D$5:$D$2004,"&gt;="&amp;C1037)&gt;1,"Overlaps another row","OK"))))</f>
        <v/>
      </c>
      <c r="P1037">
        <f>IF(A1037="","",A1037&amp;"|"&amp;IF(B1037="","Standard",B1037))</f>
        <v/>
      </c>
      <c r="Q1037">
        <f>IF(AND(A1037&lt;&gt;"",A1037='Firm Search'!$C$7),COUNTIF($A$5:A1037,'Firm Search'!$C$7),"")</f>
        <v/>
      </c>
    </row>
    <row r="1038">
      <c r="A1038" s="64" t="n"/>
      <c r="B1038" s="64" t="n"/>
      <c r="C1038" s="66" t="n"/>
      <c r="D1038" s="66" t="n"/>
      <c r="E1038" s="67" t="n"/>
      <c r="F1038" s="67" t="n"/>
      <c r="G1038" s="67" t="n"/>
      <c r="H1038" s="67" t="n"/>
      <c r="I1038" s="67" t="n"/>
      <c r="J1038" s="67" t="n"/>
      <c r="K1038" s="67" t="n"/>
      <c r="L1038" s="67" t="n"/>
      <c r="M1038" s="64" t="n"/>
      <c r="N1038" s="66" t="n"/>
      <c r="O1038" s="84">
        <f>IF(A1038="","",IF(OR(C1038="",D1038=""),"Enter both dates",IF(D1038&lt;C1038,"To is before From",IF(COUNTIFS($P$5:$P$2004,P1038,$C$5:$C$2004,"&lt;="&amp;D1038,$D$5:$D$2004,"&gt;="&amp;C1038)&gt;1,"Overlaps another row","OK"))))</f>
        <v/>
      </c>
      <c r="P1038">
        <f>IF(A1038="","",A1038&amp;"|"&amp;IF(B1038="","Standard",B1038))</f>
        <v/>
      </c>
      <c r="Q1038">
        <f>IF(AND(A1038&lt;&gt;"",A1038='Firm Search'!$C$7),COUNTIF($A$5:A1038,'Firm Search'!$C$7),"")</f>
        <v/>
      </c>
    </row>
    <row r="1039">
      <c r="A1039" s="64" t="n"/>
      <c r="B1039" s="64" t="n"/>
      <c r="C1039" s="66" t="n"/>
      <c r="D1039" s="66" t="n"/>
      <c r="E1039" s="67" t="n"/>
      <c r="F1039" s="67" t="n"/>
      <c r="G1039" s="67" t="n"/>
      <c r="H1039" s="67" t="n"/>
      <c r="I1039" s="67" t="n"/>
      <c r="J1039" s="67" t="n"/>
      <c r="K1039" s="67" t="n"/>
      <c r="L1039" s="67" t="n"/>
      <c r="M1039" s="64" t="n"/>
      <c r="N1039" s="66" t="n"/>
      <c r="O1039" s="84">
        <f>IF(A1039="","",IF(OR(C1039="",D1039=""),"Enter both dates",IF(D1039&lt;C1039,"To is before From",IF(COUNTIFS($P$5:$P$2004,P1039,$C$5:$C$2004,"&lt;="&amp;D1039,$D$5:$D$2004,"&gt;="&amp;C1039)&gt;1,"Overlaps another row","OK"))))</f>
        <v/>
      </c>
      <c r="P1039">
        <f>IF(A1039="","",A1039&amp;"|"&amp;IF(B1039="","Standard",B1039))</f>
        <v/>
      </c>
      <c r="Q1039">
        <f>IF(AND(A1039&lt;&gt;"",A1039='Firm Search'!$C$7),COUNTIF($A$5:A1039,'Firm Search'!$C$7),"")</f>
        <v/>
      </c>
    </row>
    <row r="1040">
      <c r="A1040" s="64" t="n"/>
      <c r="B1040" s="64" t="n"/>
      <c r="C1040" s="66" t="n"/>
      <c r="D1040" s="66" t="n"/>
      <c r="E1040" s="67" t="n"/>
      <c r="F1040" s="67" t="n"/>
      <c r="G1040" s="67" t="n"/>
      <c r="H1040" s="67" t="n"/>
      <c r="I1040" s="67" t="n"/>
      <c r="J1040" s="67" t="n"/>
      <c r="K1040" s="67" t="n"/>
      <c r="L1040" s="67" t="n"/>
      <c r="M1040" s="64" t="n"/>
      <c r="N1040" s="66" t="n"/>
      <c r="O1040" s="84">
        <f>IF(A1040="","",IF(OR(C1040="",D1040=""),"Enter both dates",IF(D1040&lt;C1040,"To is before From",IF(COUNTIFS($P$5:$P$2004,P1040,$C$5:$C$2004,"&lt;="&amp;D1040,$D$5:$D$2004,"&gt;="&amp;C1040)&gt;1,"Overlaps another row","OK"))))</f>
        <v/>
      </c>
      <c r="P1040">
        <f>IF(A1040="","",A1040&amp;"|"&amp;IF(B1040="","Standard",B1040))</f>
        <v/>
      </c>
      <c r="Q1040">
        <f>IF(AND(A1040&lt;&gt;"",A1040='Firm Search'!$C$7),COUNTIF($A$5:A1040,'Firm Search'!$C$7),"")</f>
        <v/>
      </c>
    </row>
    <row r="1041">
      <c r="A1041" s="64" t="n"/>
      <c r="B1041" s="64" t="n"/>
      <c r="C1041" s="66" t="n"/>
      <c r="D1041" s="66" t="n"/>
      <c r="E1041" s="67" t="n"/>
      <c r="F1041" s="67" t="n"/>
      <c r="G1041" s="67" t="n"/>
      <c r="H1041" s="67" t="n"/>
      <c r="I1041" s="67" t="n"/>
      <c r="J1041" s="67" t="n"/>
      <c r="K1041" s="67" t="n"/>
      <c r="L1041" s="67" t="n"/>
      <c r="M1041" s="64" t="n"/>
      <c r="N1041" s="66" t="n"/>
      <c r="O1041" s="84">
        <f>IF(A1041="","",IF(OR(C1041="",D1041=""),"Enter both dates",IF(D1041&lt;C1041,"To is before From",IF(COUNTIFS($P$5:$P$2004,P1041,$C$5:$C$2004,"&lt;="&amp;D1041,$D$5:$D$2004,"&gt;="&amp;C1041)&gt;1,"Overlaps another row","OK"))))</f>
        <v/>
      </c>
      <c r="P1041">
        <f>IF(A1041="","",A1041&amp;"|"&amp;IF(B1041="","Standard",B1041))</f>
        <v/>
      </c>
      <c r="Q1041">
        <f>IF(AND(A1041&lt;&gt;"",A1041='Firm Search'!$C$7),COUNTIF($A$5:A1041,'Firm Search'!$C$7),"")</f>
        <v/>
      </c>
    </row>
    <row r="1042">
      <c r="A1042" s="64" t="n"/>
      <c r="B1042" s="64" t="n"/>
      <c r="C1042" s="66" t="n"/>
      <c r="D1042" s="66" t="n"/>
      <c r="E1042" s="67" t="n"/>
      <c r="F1042" s="67" t="n"/>
      <c r="G1042" s="67" t="n"/>
      <c r="H1042" s="67" t="n"/>
      <c r="I1042" s="67" t="n"/>
      <c r="J1042" s="67" t="n"/>
      <c r="K1042" s="67" t="n"/>
      <c r="L1042" s="67" t="n"/>
      <c r="M1042" s="64" t="n"/>
      <c r="N1042" s="66" t="n"/>
      <c r="O1042" s="84">
        <f>IF(A1042="","",IF(OR(C1042="",D1042=""),"Enter both dates",IF(D1042&lt;C1042,"To is before From",IF(COUNTIFS($P$5:$P$2004,P1042,$C$5:$C$2004,"&lt;="&amp;D1042,$D$5:$D$2004,"&gt;="&amp;C1042)&gt;1,"Overlaps another row","OK"))))</f>
        <v/>
      </c>
      <c r="P1042">
        <f>IF(A1042="","",A1042&amp;"|"&amp;IF(B1042="","Standard",B1042))</f>
        <v/>
      </c>
      <c r="Q1042">
        <f>IF(AND(A1042&lt;&gt;"",A1042='Firm Search'!$C$7),COUNTIF($A$5:A1042,'Firm Search'!$C$7),"")</f>
        <v/>
      </c>
    </row>
    <row r="1043">
      <c r="A1043" s="64" t="n"/>
      <c r="B1043" s="64" t="n"/>
      <c r="C1043" s="66" t="n"/>
      <c r="D1043" s="66" t="n"/>
      <c r="E1043" s="67" t="n"/>
      <c r="F1043" s="67" t="n"/>
      <c r="G1043" s="67" t="n"/>
      <c r="H1043" s="67" t="n"/>
      <c r="I1043" s="67" t="n"/>
      <c r="J1043" s="67" t="n"/>
      <c r="K1043" s="67" t="n"/>
      <c r="L1043" s="67" t="n"/>
      <c r="M1043" s="64" t="n"/>
      <c r="N1043" s="66" t="n"/>
      <c r="O1043" s="84">
        <f>IF(A1043="","",IF(OR(C1043="",D1043=""),"Enter both dates",IF(D1043&lt;C1043,"To is before From",IF(COUNTIFS($P$5:$P$2004,P1043,$C$5:$C$2004,"&lt;="&amp;D1043,$D$5:$D$2004,"&gt;="&amp;C1043)&gt;1,"Overlaps another row","OK"))))</f>
        <v/>
      </c>
      <c r="P1043">
        <f>IF(A1043="","",A1043&amp;"|"&amp;IF(B1043="","Standard",B1043))</f>
        <v/>
      </c>
      <c r="Q1043">
        <f>IF(AND(A1043&lt;&gt;"",A1043='Firm Search'!$C$7),COUNTIF($A$5:A1043,'Firm Search'!$C$7),"")</f>
        <v/>
      </c>
    </row>
    <row r="1044">
      <c r="A1044" s="64" t="n"/>
      <c r="B1044" s="64" t="n"/>
      <c r="C1044" s="66" t="n"/>
      <c r="D1044" s="66" t="n"/>
      <c r="E1044" s="67" t="n"/>
      <c r="F1044" s="67" t="n"/>
      <c r="G1044" s="67" t="n"/>
      <c r="H1044" s="67" t="n"/>
      <c r="I1044" s="67" t="n"/>
      <c r="J1044" s="67" t="n"/>
      <c r="K1044" s="67" t="n"/>
      <c r="L1044" s="67" t="n"/>
      <c r="M1044" s="64" t="n"/>
      <c r="N1044" s="66" t="n"/>
      <c r="O1044" s="84">
        <f>IF(A1044="","",IF(OR(C1044="",D1044=""),"Enter both dates",IF(D1044&lt;C1044,"To is before From",IF(COUNTIFS($P$5:$P$2004,P1044,$C$5:$C$2004,"&lt;="&amp;D1044,$D$5:$D$2004,"&gt;="&amp;C1044)&gt;1,"Overlaps another row","OK"))))</f>
        <v/>
      </c>
      <c r="P1044">
        <f>IF(A1044="","",A1044&amp;"|"&amp;IF(B1044="","Standard",B1044))</f>
        <v/>
      </c>
      <c r="Q1044">
        <f>IF(AND(A1044&lt;&gt;"",A1044='Firm Search'!$C$7),COUNTIF($A$5:A1044,'Firm Search'!$C$7),"")</f>
        <v/>
      </c>
    </row>
    <row r="1045">
      <c r="A1045" s="64" t="n"/>
      <c r="B1045" s="64" t="n"/>
      <c r="C1045" s="66" t="n"/>
      <c r="D1045" s="66" t="n"/>
      <c r="E1045" s="67" t="n"/>
      <c r="F1045" s="67" t="n"/>
      <c r="G1045" s="67" t="n"/>
      <c r="H1045" s="67" t="n"/>
      <c r="I1045" s="67" t="n"/>
      <c r="J1045" s="67" t="n"/>
      <c r="K1045" s="67" t="n"/>
      <c r="L1045" s="67" t="n"/>
      <c r="M1045" s="64" t="n"/>
      <c r="N1045" s="66" t="n"/>
      <c r="O1045" s="84">
        <f>IF(A1045="","",IF(OR(C1045="",D1045=""),"Enter both dates",IF(D1045&lt;C1045,"To is before From",IF(COUNTIFS($P$5:$P$2004,P1045,$C$5:$C$2004,"&lt;="&amp;D1045,$D$5:$D$2004,"&gt;="&amp;C1045)&gt;1,"Overlaps another row","OK"))))</f>
        <v/>
      </c>
      <c r="P1045">
        <f>IF(A1045="","",A1045&amp;"|"&amp;IF(B1045="","Standard",B1045))</f>
        <v/>
      </c>
      <c r="Q1045">
        <f>IF(AND(A1045&lt;&gt;"",A1045='Firm Search'!$C$7),COUNTIF($A$5:A1045,'Firm Search'!$C$7),"")</f>
        <v/>
      </c>
    </row>
    <row r="1046">
      <c r="A1046" s="64" t="n"/>
      <c r="B1046" s="64" t="n"/>
      <c r="C1046" s="66" t="n"/>
      <c r="D1046" s="66" t="n"/>
      <c r="E1046" s="67" t="n"/>
      <c r="F1046" s="67" t="n"/>
      <c r="G1046" s="67" t="n"/>
      <c r="H1046" s="67" t="n"/>
      <c r="I1046" s="67" t="n"/>
      <c r="J1046" s="67" t="n"/>
      <c r="K1046" s="67" t="n"/>
      <c r="L1046" s="67" t="n"/>
      <c r="M1046" s="64" t="n"/>
      <c r="N1046" s="66" t="n"/>
      <c r="O1046" s="84">
        <f>IF(A1046="","",IF(OR(C1046="",D1046=""),"Enter both dates",IF(D1046&lt;C1046,"To is before From",IF(COUNTIFS($P$5:$P$2004,P1046,$C$5:$C$2004,"&lt;="&amp;D1046,$D$5:$D$2004,"&gt;="&amp;C1046)&gt;1,"Overlaps another row","OK"))))</f>
        <v/>
      </c>
      <c r="P1046">
        <f>IF(A1046="","",A1046&amp;"|"&amp;IF(B1046="","Standard",B1046))</f>
        <v/>
      </c>
      <c r="Q1046">
        <f>IF(AND(A1046&lt;&gt;"",A1046='Firm Search'!$C$7),COUNTIF($A$5:A1046,'Firm Search'!$C$7),"")</f>
        <v/>
      </c>
    </row>
    <row r="1047">
      <c r="A1047" s="64" t="n"/>
      <c r="B1047" s="64" t="n"/>
      <c r="C1047" s="66" t="n"/>
      <c r="D1047" s="66" t="n"/>
      <c r="E1047" s="67" t="n"/>
      <c r="F1047" s="67" t="n"/>
      <c r="G1047" s="67" t="n"/>
      <c r="H1047" s="67" t="n"/>
      <c r="I1047" s="67" t="n"/>
      <c r="J1047" s="67" t="n"/>
      <c r="K1047" s="67" t="n"/>
      <c r="L1047" s="67" t="n"/>
      <c r="M1047" s="64" t="n"/>
      <c r="N1047" s="66" t="n"/>
      <c r="O1047" s="84">
        <f>IF(A1047="","",IF(OR(C1047="",D1047=""),"Enter both dates",IF(D1047&lt;C1047,"To is before From",IF(COUNTIFS($P$5:$P$2004,P1047,$C$5:$C$2004,"&lt;="&amp;D1047,$D$5:$D$2004,"&gt;="&amp;C1047)&gt;1,"Overlaps another row","OK"))))</f>
        <v/>
      </c>
      <c r="P1047">
        <f>IF(A1047="","",A1047&amp;"|"&amp;IF(B1047="","Standard",B1047))</f>
        <v/>
      </c>
      <c r="Q1047">
        <f>IF(AND(A1047&lt;&gt;"",A1047='Firm Search'!$C$7),COUNTIF($A$5:A1047,'Firm Search'!$C$7),"")</f>
        <v/>
      </c>
    </row>
    <row r="1048">
      <c r="A1048" s="64" t="n"/>
      <c r="B1048" s="64" t="n"/>
      <c r="C1048" s="66" t="n"/>
      <c r="D1048" s="66" t="n"/>
      <c r="E1048" s="67" t="n"/>
      <c r="F1048" s="67" t="n"/>
      <c r="G1048" s="67" t="n"/>
      <c r="H1048" s="67" t="n"/>
      <c r="I1048" s="67" t="n"/>
      <c r="J1048" s="67" t="n"/>
      <c r="K1048" s="67" t="n"/>
      <c r="L1048" s="67" t="n"/>
      <c r="M1048" s="64" t="n"/>
      <c r="N1048" s="66" t="n"/>
      <c r="O1048" s="84">
        <f>IF(A1048="","",IF(OR(C1048="",D1048=""),"Enter both dates",IF(D1048&lt;C1048,"To is before From",IF(COUNTIFS($P$5:$P$2004,P1048,$C$5:$C$2004,"&lt;="&amp;D1048,$D$5:$D$2004,"&gt;="&amp;C1048)&gt;1,"Overlaps another row","OK"))))</f>
        <v/>
      </c>
      <c r="P1048">
        <f>IF(A1048="","",A1048&amp;"|"&amp;IF(B1048="","Standard",B1048))</f>
        <v/>
      </c>
      <c r="Q1048">
        <f>IF(AND(A1048&lt;&gt;"",A1048='Firm Search'!$C$7),COUNTIF($A$5:A1048,'Firm Search'!$C$7),"")</f>
        <v/>
      </c>
    </row>
    <row r="1049">
      <c r="A1049" s="64" t="n"/>
      <c r="B1049" s="64" t="n"/>
      <c r="C1049" s="66" t="n"/>
      <c r="D1049" s="66" t="n"/>
      <c r="E1049" s="67" t="n"/>
      <c r="F1049" s="67" t="n"/>
      <c r="G1049" s="67" t="n"/>
      <c r="H1049" s="67" t="n"/>
      <c r="I1049" s="67" t="n"/>
      <c r="J1049" s="67" t="n"/>
      <c r="K1049" s="67" t="n"/>
      <c r="L1049" s="67" t="n"/>
      <c r="M1049" s="64" t="n"/>
      <c r="N1049" s="66" t="n"/>
      <c r="O1049" s="84">
        <f>IF(A1049="","",IF(OR(C1049="",D1049=""),"Enter both dates",IF(D1049&lt;C1049,"To is before From",IF(COUNTIFS($P$5:$P$2004,P1049,$C$5:$C$2004,"&lt;="&amp;D1049,$D$5:$D$2004,"&gt;="&amp;C1049)&gt;1,"Overlaps another row","OK"))))</f>
        <v/>
      </c>
      <c r="P1049">
        <f>IF(A1049="","",A1049&amp;"|"&amp;IF(B1049="","Standard",B1049))</f>
        <v/>
      </c>
      <c r="Q1049">
        <f>IF(AND(A1049&lt;&gt;"",A1049='Firm Search'!$C$7),COUNTIF($A$5:A1049,'Firm Search'!$C$7),"")</f>
        <v/>
      </c>
    </row>
    <row r="1050">
      <c r="A1050" s="64" t="n"/>
      <c r="B1050" s="64" t="n"/>
      <c r="C1050" s="66" t="n"/>
      <c r="D1050" s="66" t="n"/>
      <c r="E1050" s="67" t="n"/>
      <c r="F1050" s="67" t="n"/>
      <c r="G1050" s="67" t="n"/>
      <c r="H1050" s="67" t="n"/>
      <c r="I1050" s="67" t="n"/>
      <c r="J1050" s="67" t="n"/>
      <c r="K1050" s="67" t="n"/>
      <c r="L1050" s="67" t="n"/>
      <c r="M1050" s="64" t="n"/>
      <c r="N1050" s="66" t="n"/>
      <c r="O1050" s="84">
        <f>IF(A1050="","",IF(OR(C1050="",D1050=""),"Enter both dates",IF(D1050&lt;C1050,"To is before From",IF(COUNTIFS($P$5:$P$2004,P1050,$C$5:$C$2004,"&lt;="&amp;D1050,$D$5:$D$2004,"&gt;="&amp;C1050)&gt;1,"Overlaps another row","OK"))))</f>
        <v/>
      </c>
      <c r="P1050">
        <f>IF(A1050="","",A1050&amp;"|"&amp;IF(B1050="","Standard",B1050))</f>
        <v/>
      </c>
      <c r="Q1050">
        <f>IF(AND(A1050&lt;&gt;"",A1050='Firm Search'!$C$7),COUNTIF($A$5:A1050,'Firm Search'!$C$7),"")</f>
        <v/>
      </c>
    </row>
    <row r="1051">
      <c r="A1051" s="64" t="n"/>
      <c r="B1051" s="64" t="n"/>
      <c r="C1051" s="66" t="n"/>
      <c r="D1051" s="66" t="n"/>
      <c r="E1051" s="67" t="n"/>
      <c r="F1051" s="67" t="n"/>
      <c r="G1051" s="67" t="n"/>
      <c r="H1051" s="67" t="n"/>
      <c r="I1051" s="67" t="n"/>
      <c r="J1051" s="67" t="n"/>
      <c r="K1051" s="67" t="n"/>
      <c r="L1051" s="67" t="n"/>
      <c r="M1051" s="64" t="n"/>
      <c r="N1051" s="66" t="n"/>
      <c r="O1051" s="84">
        <f>IF(A1051="","",IF(OR(C1051="",D1051=""),"Enter both dates",IF(D1051&lt;C1051,"To is before From",IF(COUNTIFS($P$5:$P$2004,P1051,$C$5:$C$2004,"&lt;="&amp;D1051,$D$5:$D$2004,"&gt;="&amp;C1051)&gt;1,"Overlaps another row","OK"))))</f>
        <v/>
      </c>
      <c r="P1051">
        <f>IF(A1051="","",A1051&amp;"|"&amp;IF(B1051="","Standard",B1051))</f>
        <v/>
      </c>
      <c r="Q1051">
        <f>IF(AND(A1051&lt;&gt;"",A1051='Firm Search'!$C$7),COUNTIF($A$5:A1051,'Firm Search'!$C$7),"")</f>
        <v/>
      </c>
    </row>
    <row r="1052">
      <c r="A1052" s="64" t="n"/>
      <c r="B1052" s="64" t="n"/>
      <c r="C1052" s="66" t="n"/>
      <c r="D1052" s="66" t="n"/>
      <c r="E1052" s="67" t="n"/>
      <c r="F1052" s="67" t="n"/>
      <c r="G1052" s="67" t="n"/>
      <c r="H1052" s="67" t="n"/>
      <c r="I1052" s="67" t="n"/>
      <c r="J1052" s="67" t="n"/>
      <c r="K1052" s="67" t="n"/>
      <c r="L1052" s="67" t="n"/>
      <c r="M1052" s="64" t="n"/>
      <c r="N1052" s="66" t="n"/>
      <c r="O1052" s="84">
        <f>IF(A1052="","",IF(OR(C1052="",D1052=""),"Enter both dates",IF(D1052&lt;C1052,"To is before From",IF(COUNTIFS($P$5:$P$2004,P1052,$C$5:$C$2004,"&lt;="&amp;D1052,$D$5:$D$2004,"&gt;="&amp;C1052)&gt;1,"Overlaps another row","OK"))))</f>
        <v/>
      </c>
      <c r="P1052">
        <f>IF(A1052="","",A1052&amp;"|"&amp;IF(B1052="","Standard",B1052))</f>
        <v/>
      </c>
      <c r="Q1052">
        <f>IF(AND(A1052&lt;&gt;"",A1052='Firm Search'!$C$7),COUNTIF($A$5:A1052,'Firm Search'!$C$7),"")</f>
        <v/>
      </c>
    </row>
    <row r="1053">
      <c r="A1053" s="64" t="n"/>
      <c r="B1053" s="64" t="n"/>
      <c r="C1053" s="66" t="n"/>
      <c r="D1053" s="66" t="n"/>
      <c r="E1053" s="67" t="n"/>
      <c r="F1053" s="67" t="n"/>
      <c r="G1053" s="67" t="n"/>
      <c r="H1053" s="67" t="n"/>
      <c r="I1053" s="67" t="n"/>
      <c r="J1053" s="67" t="n"/>
      <c r="K1053" s="67" t="n"/>
      <c r="L1053" s="67" t="n"/>
      <c r="M1053" s="64" t="n"/>
      <c r="N1053" s="66" t="n"/>
      <c r="O1053" s="84">
        <f>IF(A1053="","",IF(OR(C1053="",D1053=""),"Enter both dates",IF(D1053&lt;C1053,"To is before From",IF(COUNTIFS($P$5:$P$2004,P1053,$C$5:$C$2004,"&lt;="&amp;D1053,$D$5:$D$2004,"&gt;="&amp;C1053)&gt;1,"Overlaps another row","OK"))))</f>
        <v/>
      </c>
      <c r="P1053">
        <f>IF(A1053="","",A1053&amp;"|"&amp;IF(B1053="","Standard",B1053))</f>
        <v/>
      </c>
      <c r="Q1053">
        <f>IF(AND(A1053&lt;&gt;"",A1053='Firm Search'!$C$7),COUNTIF($A$5:A1053,'Firm Search'!$C$7),"")</f>
        <v/>
      </c>
    </row>
    <row r="1054">
      <c r="A1054" s="64" t="n"/>
      <c r="B1054" s="64" t="n"/>
      <c r="C1054" s="66" t="n"/>
      <c r="D1054" s="66" t="n"/>
      <c r="E1054" s="67" t="n"/>
      <c r="F1054" s="67" t="n"/>
      <c r="G1054" s="67" t="n"/>
      <c r="H1054" s="67" t="n"/>
      <c r="I1054" s="67" t="n"/>
      <c r="J1054" s="67" t="n"/>
      <c r="K1054" s="67" t="n"/>
      <c r="L1054" s="67" t="n"/>
      <c r="M1054" s="64" t="n"/>
      <c r="N1054" s="66" t="n"/>
      <c r="O1054" s="84">
        <f>IF(A1054="","",IF(OR(C1054="",D1054=""),"Enter both dates",IF(D1054&lt;C1054,"To is before From",IF(COUNTIFS($P$5:$P$2004,P1054,$C$5:$C$2004,"&lt;="&amp;D1054,$D$5:$D$2004,"&gt;="&amp;C1054)&gt;1,"Overlaps another row","OK"))))</f>
        <v/>
      </c>
      <c r="P1054">
        <f>IF(A1054="","",A1054&amp;"|"&amp;IF(B1054="","Standard",B1054))</f>
        <v/>
      </c>
      <c r="Q1054">
        <f>IF(AND(A1054&lt;&gt;"",A1054='Firm Search'!$C$7),COUNTIF($A$5:A1054,'Firm Search'!$C$7),"")</f>
        <v/>
      </c>
    </row>
    <row r="1055">
      <c r="A1055" s="64" t="n"/>
      <c r="B1055" s="64" t="n"/>
      <c r="C1055" s="66" t="n"/>
      <c r="D1055" s="66" t="n"/>
      <c r="E1055" s="67" t="n"/>
      <c r="F1055" s="67" t="n"/>
      <c r="G1055" s="67" t="n"/>
      <c r="H1055" s="67" t="n"/>
      <c r="I1055" s="67" t="n"/>
      <c r="J1055" s="67" t="n"/>
      <c r="K1055" s="67" t="n"/>
      <c r="L1055" s="67" t="n"/>
      <c r="M1055" s="64" t="n"/>
      <c r="N1055" s="66" t="n"/>
      <c r="O1055" s="84">
        <f>IF(A1055="","",IF(OR(C1055="",D1055=""),"Enter both dates",IF(D1055&lt;C1055,"To is before From",IF(COUNTIFS($P$5:$P$2004,P1055,$C$5:$C$2004,"&lt;="&amp;D1055,$D$5:$D$2004,"&gt;="&amp;C1055)&gt;1,"Overlaps another row","OK"))))</f>
        <v/>
      </c>
      <c r="P1055">
        <f>IF(A1055="","",A1055&amp;"|"&amp;IF(B1055="","Standard",B1055))</f>
        <v/>
      </c>
      <c r="Q1055">
        <f>IF(AND(A1055&lt;&gt;"",A1055='Firm Search'!$C$7),COUNTIF($A$5:A1055,'Firm Search'!$C$7),"")</f>
        <v/>
      </c>
    </row>
    <row r="1056">
      <c r="A1056" s="64" t="n"/>
      <c r="B1056" s="64" t="n"/>
      <c r="C1056" s="66" t="n"/>
      <c r="D1056" s="66" t="n"/>
      <c r="E1056" s="67" t="n"/>
      <c r="F1056" s="67" t="n"/>
      <c r="G1056" s="67" t="n"/>
      <c r="H1056" s="67" t="n"/>
      <c r="I1056" s="67" t="n"/>
      <c r="J1056" s="67" t="n"/>
      <c r="K1056" s="67" t="n"/>
      <c r="L1056" s="67" t="n"/>
      <c r="M1056" s="64" t="n"/>
      <c r="N1056" s="66" t="n"/>
      <c r="O1056" s="84">
        <f>IF(A1056="","",IF(OR(C1056="",D1056=""),"Enter both dates",IF(D1056&lt;C1056,"To is before From",IF(COUNTIFS($P$5:$P$2004,P1056,$C$5:$C$2004,"&lt;="&amp;D1056,$D$5:$D$2004,"&gt;="&amp;C1056)&gt;1,"Overlaps another row","OK"))))</f>
        <v/>
      </c>
      <c r="P1056">
        <f>IF(A1056="","",A1056&amp;"|"&amp;IF(B1056="","Standard",B1056))</f>
        <v/>
      </c>
      <c r="Q1056">
        <f>IF(AND(A1056&lt;&gt;"",A1056='Firm Search'!$C$7),COUNTIF($A$5:A1056,'Firm Search'!$C$7),"")</f>
        <v/>
      </c>
    </row>
    <row r="1057">
      <c r="A1057" s="64" t="n"/>
      <c r="B1057" s="64" t="n"/>
      <c r="C1057" s="66" t="n"/>
      <c r="D1057" s="66" t="n"/>
      <c r="E1057" s="67" t="n"/>
      <c r="F1057" s="67" t="n"/>
      <c r="G1057" s="67" t="n"/>
      <c r="H1057" s="67" t="n"/>
      <c r="I1057" s="67" t="n"/>
      <c r="J1057" s="67" t="n"/>
      <c r="K1057" s="67" t="n"/>
      <c r="L1057" s="67" t="n"/>
      <c r="M1057" s="64" t="n"/>
      <c r="N1057" s="66" t="n"/>
      <c r="O1057" s="84">
        <f>IF(A1057="","",IF(OR(C1057="",D1057=""),"Enter both dates",IF(D1057&lt;C1057,"To is before From",IF(COUNTIFS($P$5:$P$2004,P1057,$C$5:$C$2004,"&lt;="&amp;D1057,$D$5:$D$2004,"&gt;="&amp;C1057)&gt;1,"Overlaps another row","OK"))))</f>
        <v/>
      </c>
      <c r="P1057">
        <f>IF(A1057="","",A1057&amp;"|"&amp;IF(B1057="","Standard",B1057))</f>
        <v/>
      </c>
      <c r="Q1057">
        <f>IF(AND(A1057&lt;&gt;"",A1057='Firm Search'!$C$7),COUNTIF($A$5:A1057,'Firm Search'!$C$7),"")</f>
        <v/>
      </c>
    </row>
    <row r="1058">
      <c r="A1058" s="64" t="n"/>
      <c r="B1058" s="64" t="n"/>
      <c r="C1058" s="66" t="n"/>
      <c r="D1058" s="66" t="n"/>
      <c r="E1058" s="67" t="n"/>
      <c r="F1058" s="67" t="n"/>
      <c r="G1058" s="67" t="n"/>
      <c r="H1058" s="67" t="n"/>
      <c r="I1058" s="67" t="n"/>
      <c r="J1058" s="67" t="n"/>
      <c r="K1058" s="67" t="n"/>
      <c r="L1058" s="67" t="n"/>
      <c r="M1058" s="64" t="n"/>
      <c r="N1058" s="66" t="n"/>
      <c r="O1058" s="84">
        <f>IF(A1058="","",IF(OR(C1058="",D1058=""),"Enter both dates",IF(D1058&lt;C1058,"To is before From",IF(COUNTIFS($P$5:$P$2004,P1058,$C$5:$C$2004,"&lt;="&amp;D1058,$D$5:$D$2004,"&gt;="&amp;C1058)&gt;1,"Overlaps another row","OK"))))</f>
        <v/>
      </c>
      <c r="P1058">
        <f>IF(A1058="","",A1058&amp;"|"&amp;IF(B1058="","Standard",B1058))</f>
        <v/>
      </c>
      <c r="Q1058">
        <f>IF(AND(A1058&lt;&gt;"",A1058='Firm Search'!$C$7),COUNTIF($A$5:A1058,'Firm Search'!$C$7),"")</f>
        <v/>
      </c>
    </row>
    <row r="1059">
      <c r="A1059" s="64" t="n"/>
      <c r="B1059" s="64" t="n"/>
      <c r="C1059" s="66" t="n"/>
      <c r="D1059" s="66" t="n"/>
      <c r="E1059" s="67" t="n"/>
      <c r="F1059" s="67" t="n"/>
      <c r="G1059" s="67" t="n"/>
      <c r="H1059" s="67" t="n"/>
      <c r="I1059" s="67" t="n"/>
      <c r="J1059" s="67" t="n"/>
      <c r="K1059" s="67" t="n"/>
      <c r="L1059" s="67" t="n"/>
      <c r="M1059" s="64" t="n"/>
      <c r="N1059" s="66" t="n"/>
      <c r="O1059" s="84">
        <f>IF(A1059="","",IF(OR(C1059="",D1059=""),"Enter both dates",IF(D1059&lt;C1059,"To is before From",IF(COUNTIFS($P$5:$P$2004,P1059,$C$5:$C$2004,"&lt;="&amp;D1059,$D$5:$D$2004,"&gt;="&amp;C1059)&gt;1,"Overlaps another row","OK"))))</f>
        <v/>
      </c>
      <c r="P1059">
        <f>IF(A1059="","",A1059&amp;"|"&amp;IF(B1059="","Standard",B1059))</f>
        <v/>
      </c>
      <c r="Q1059">
        <f>IF(AND(A1059&lt;&gt;"",A1059='Firm Search'!$C$7),COUNTIF($A$5:A1059,'Firm Search'!$C$7),"")</f>
        <v/>
      </c>
    </row>
    <row r="1060">
      <c r="A1060" s="64" t="n"/>
      <c r="B1060" s="64" t="n"/>
      <c r="C1060" s="66" t="n"/>
      <c r="D1060" s="66" t="n"/>
      <c r="E1060" s="67" t="n"/>
      <c r="F1060" s="67" t="n"/>
      <c r="G1060" s="67" t="n"/>
      <c r="H1060" s="67" t="n"/>
      <c r="I1060" s="67" t="n"/>
      <c r="J1060" s="67" t="n"/>
      <c r="K1060" s="67" t="n"/>
      <c r="L1060" s="67" t="n"/>
      <c r="M1060" s="64" t="n"/>
      <c r="N1060" s="66" t="n"/>
      <c r="O1060" s="84">
        <f>IF(A1060="","",IF(OR(C1060="",D1060=""),"Enter both dates",IF(D1060&lt;C1060,"To is before From",IF(COUNTIFS($P$5:$P$2004,P1060,$C$5:$C$2004,"&lt;="&amp;D1060,$D$5:$D$2004,"&gt;="&amp;C1060)&gt;1,"Overlaps another row","OK"))))</f>
        <v/>
      </c>
      <c r="P1060">
        <f>IF(A1060="","",A1060&amp;"|"&amp;IF(B1060="","Standard",B1060))</f>
        <v/>
      </c>
      <c r="Q1060">
        <f>IF(AND(A1060&lt;&gt;"",A1060='Firm Search'!$C$7),COUNTIF($A$5:A1060,'Firm Search'!$C$7),"")</f>
        <v/>
      </c>
    </row>
    <row r="1061">
      <c r="A1061" s="64" t="n"/>
      <c r="B1061" s="64" t="n"/>
      <c r="C1061" s="66" t="n"/>
      <c r="D1061" s="66" t="n"/>
      <c r="E1061" s="67" t="n"/>
      <c r="F1061" s="67" t="n"/>
      <c r="G1061" s="67" t="n"/>
      <c r="H1061" s="67" t="n"/>
      <c r="I1061" s="67" t="n"/>
      <c r="J1061" s="67" t="n"/>
      <c r="K1061" s="67" t="n"/>
      <c r="L1061" s="67" t="n"/>
      <c r="M1061" s="64" t="n"/>
      <c r="N1061" s="66" t="n"/>
      <c r="O1061" s="84">
        <f>IF(A1061="","",IF(OR(C1061="",D1061=""),"Enter both dates",IF(D1061&lt;C1061,"To is before From",IF(COUNTIFS($P$5:$P$2004,P1061,$C$5:$C$2004,"&lt;="&amp;D1061,$D$5:$D$2004,"&gt;="&amp;C1061)&gt;1,"Overlaps another row","OK"))))</f>
        <v/>
      </c>
      <c r="P1061">
        <f>IF(A1061="","",A1061&amp;"|"&amp;IF(B1061="","Standard",B1061))</f>
        <v/>
      </c>
      <c r="Q1061">
        <f>IF(AND(A1061&lt;&gt;"",A1061='Firm Search'!$C$7),COUNTIF($A$5:A1061,'Firm Search'!$C$7),"")</f>
        <v/>
      </c>
    </row>
    <row r="1062">
      <c r="A1062" s="64" t="n"/>
      <c r="B1062" s="64" t="n"/>
      <c r="C1062" s="66" t="n"/>
      <c r="D1062" s="66" t="n"/>
      <c r="E1062" s="67" t="n"/>
      <c r="F1062" s="67" t="n"/>
      <c r="G1062" s="67" t="n"/>
      <c r="H1062" s="67" t="n"/>
      <c r="I1062" s="67" t="n"/>
      <c r="J1062" s="67" t="n"/>
      <c r="K1062" s="67" t="n"/>
      <c r="L1062" s="67" t="n"/>
      <c r="M1062" s="64" t="n"/>
      <c r="N1062" s="66" t="n"/>
      <c r="O1062" s="84">
        <f>IF(A1062="","",IF(OR(C1062="",D1062=""),"Enter both dates",IF(D1062&lt;C1062,"To is before From",IF(COUNTIFS($P$5:$P$2004,P1062,$C$5:$C$2004,"&lt;="&amp;D1062,$D$5:$D$2004,"&gt;="&amp;C1062)&gt;1,"Overlaps another row","OK"))))</f>
        <v/>
      </c>
      <c r="P1062">
        <f>IF(A1062="","",A1062&amp;"|"&amp;IF(B1062="","Standard",B1062))</f>
        <v/>
      </c>
      <c r="Q1062">
        <f>IF(AND(A1062&lt;&gt;"",A1062='Firm Search'!$C$7),COUNTIF($A$5:A1062,'Firm Search'!$C$7),"")</f>
        <v/>
      </c>
    </row>
    <row r="1063">
      <c r="A1063" s="64" t="n"/>
      <c r="B1063" s="64" t="n"/>
      <c r="C1063" s="66" t="n"/>
      <c r="D1063" s="66" t="n"/>
      <c r="E1063" s="67" t="n"/>
      <c r="F1063" s="67" t="n"/>
      <c r="G1063" s="67" t="n"/>
      <c r="H1063" s="67" t="n"/>
      <c r="I1063" s="67" t="n"/>
      <c r="J1063" s="67" t="n"/>
      <c r="K1063" s="67" t="n"/>
      <c r="L1063" s="67" t="n"/>
      <c r="M1063" s="64" t="n"/>
      <c r="N1063" s="66" t="n"/>
      <c r="O1063" s="84">
        <f>IF(A1063="","",IF(OR(C1063="",D1063=""),"Enter both dates",IF(D1063&lt;C1063,"To is before From",IF(COUNTIFS($P$5:$P$2004,P1063,$C$5:$C$2004,"&lt;="&amp;D1063,$D$5:$D$2004,"&gt;="&amp;C1063)&gt;1,"Overlaps another row","OK"))))</f>
        <v/>
      </c>
      <c r="P1063">
        <f>IF(A1063="","",A1063&amp;"|"&amp;IF(B1063="","Standard",B1063))</f>
        <v/>
      </c>
      <c r="Q1063">
        <f>IF(AND(A1063&lt;&gt;"",A1063='Firm Search'!$C$7),COUNTIF($A$5:A1063,'Firm Search'!$C$7),"")</f>
        <v/>
      </c>
    </row>
    <row r="1064">
      <c r="A1064" s="64" t="n"/>
      <c r="B1064" s="64" t="n"/>
      <c r="C1064" s="66" t="n"/>
      <c r="D1064" s="66" t="n"/>
      <c r="E1064" s="67" t="n"/>
      <c r="F1064" s="67" t="n"/>
      <c r="G1064" s="67" t="n"/>
      <c r="H1064" s="67" t="n"/>
      <c r="I1064" s="67" t="n"/>
      <c r="J1064" s="67" t="n"/>
      <c r="K1064" s="67" t="n"/>
      <c r="L1064" s="67" t="n"/>
      <c r="M1064" s="64" t="n"/>
      <c r="N1064" s="66" t="n"/>
      <c r="O1064" s="84">
        <f>IF(A1064="","",IF(OR(C1064="",D1064=""),"Enter both dates",IF(D1064&lt;C1064,"To is before From",IF(COUNTIFS($P$5:$P$2004,P1064,$C$5:$C$2004,"&lt;="&amp;D1064,$D$5:$D$2004,"&gt;="&amp;C1064)&gt;1,"Overlaps another row","OK"))))</f>
        <v/>
      </c>
      <c r="P1064">
        <f>IF(A1064="","",A1064&amp;"|"&amp;IF(B1064="","Standard",B1064))</f>
        <v/>
      </c>
      <c r="Q1064">
        <f>IF(AND(A1064&lt;&gt;"",A1064='Firm Search'!$C$7),COUNTIF($A$5:A1064,'Firm Search'!$C$7),"")</f>
        <v/>
      </c>
    </row>
    <row r="1065">
      <c r="A1065" s="64" t="n"/>
      <c r="B1065" s="64" t="n"/>
      <c r="C1065" s="66" t="n"/>
      <c r="D1065" s="66" t="n"/>
      <c r="E1065" s="67" t="n"/>
      <c r="F1065" s="67" t="n"/>
      <c r="G1065" s="67" t="n"/>
      <c r="H1065" s="67" t="n"/>
      <c r="I1065" s="67" t="n"/>
      <c r="J1065" s="67" t="n"/>
      <c r="K1065" s="67" t="n"/>
      <c r="L1065" s="67" t="n"/>
      <c r="M1065" s="64" t="n"/>
      <c r="N1065" s="66" t="n"/>
      <c r="O1065" s="84">
        <f>IF(A1065="","",IF(OR(C1065="",D1065=""),"Enter both dates",IF(D1065&lt;C1065,"To is before From",IF(COUNTIFS($P$5:$P$2004,P1065,$C$5:$C$2004,"&lt;="&amp;D1065,$D$5:$D$2004,"&gt;="&amp;C1065)&gt;1,"Overlaps another row","OK"))))</f>
        <v/>
      </c>
      <c r="P1065">
        <f>IF(A1065="","",A1065&amp;"|"&amp;IF(B1065="","Standard",B1065))</f>
        <v/>
      </c>
      <c r="Q1065">
        <f>IF(AND(A1065&lt;&gt;"",A1065='Firm Search'!$C$7),COUNTIF($A$5:A1065,'Firm Search'!$C$7),"")</f>
        <v/>
      </c>
    </row>
    <row r="1066">
      <c r="A1066" s="64" t="n"/>
      <c r="B1066" s="64" t="n"/>
      <c r="C1066" s="66" t="n"/>
      <c r="D1066" s="66" t="n"/>
      <c r="E1066" s="67" t="n"/>
      <c r="F1066" s="67" t="n"/>
      <c r="G1066" s="67" t="n"/>
      <c r="H1066" s="67" t="n"/>
      <c r="I1066" s="67" t="n"/>
      <c r="J1066" s="67" t="n"/>
      <c r="K1066" s="67" t="n"/>
      <c r="L1066" s="67" t="n"/>
      <c r="M1066" s="64" t="n"/>
      <c r="N1066" s="66" t="n"/>
      <c r="O1066" s="84">
        <f>IF(A1066="","",IF(OR(C1066="",D1066=""),"Enter both dates",IF(D1066&lt;C1066,"To is before From",IF(COUNTIFS($P$5:$P$2004,P1066,$C$5:$C$2004,"&lt;="&amp;D1066,$D$5:$D$2004,"&gt;="&amp;C1066)&gt;1,"Overlaps another row","OK"))))</f>
        <v/>
      </c>
      <c r="P1066">
        <f>IF(A1066="","",A1066&amp;"|"&amp;IF(B1066="","Standard",B1066))</f>
        <v/>
      </c>
      <c r="Q1066">
        <f>IF(AND(A1066&lt;&gt;"",A1066='Firm Search'!$C$7),COUNTIF($A$5:A1066,'Firm Search'!$C$7),"")</f>
        <v/>
      </c>
    </row>
    <row r="1067">
      <c r="A1067" s="64" t="n"/>
      <c r="B1067" s="64" t="n"/>
      <c r="C1067" s="66" t="n"/>
      <c r="D1067" s="66" t="n"/>
      <c r="E1067" s="67" t="n"/>
      <c r="F1067" s="67" t="n"/>
      <c r="G1067" s="67" t="n"/>
      <c r="H1067" s="67" t="n"/>
      <c r="I1067" s="67" t="n"/>
      <c r="J1067" s="67" t="n"/>
      <c r="K1067" s="67" t="n"/>
      <c r="L1067" s="67" t="n"/>
      <c r="M1067" s="64" t="n"/>
      <c r="N1067" s="66" t="n"/>
      <c r="O1067" s="84">
        <f>IF(A1067="","",IF(OR(C1067="",D1067=""),"Enter both dates",IF(D1067&lt;C1067,"To is before From",IF(COUNTIFS($P$5:$P$2004,P1067,$C$5:$C$2004,"&lt;="&amp;D1067,$D$5:$D$2004,"&gt;="&amp;C1067)&gt;1,"Overlaps another row","OK"))))</f>
        <v/>
      </c>
      <c r="P1067">
        <f>IF(A1067="","",A1067&amp;"|"&amp;IF(B1067="","Standard",B1067))</f>
        <v/>
      </c>
      <c r="Q1067">
        <f>IF(AND(A1067&lt;&gt;"",A1067='Firm Search'!$C$7),COUNTIF($A$5:A1067,'Firm Search'!$C$7),"")</f>
        <v/>
      </c>
    </row>
    <row r="1068">
      <c r="A1068" s="64" t="n"/>
      <c r="B1068" s="64" t="n"/>
      <c r="C1068" s="66" t="n"/>
      <c r="D1068" s="66" t="n"/>
      <c r="E1068" s="67" t="n"/>
      <c r="F1068" s="67" t="n"/>
      <c r="G1068" s="67" t="n"/>
      <c r="H1068" s="67" t="n"/>
      <c r="I1068" s="67" t="n"/>
      <c r="J1068" s="67" t="n"/>
      <c r="K1068" s="67" t="n"/>
      <c r="L1068" s="67" t="n"/>
      <c r="M1068" s="64" t="n"/>
      <c r="N1068" s="66" t="n"/>
      <c r="O1068" s="84">
        <f>IF(A1068="","",IF(OR(C1068="",D1068=""),"Enter both dates",IF(D1068&lt;C1068,"To is before From",IF(COUNTIFS($P$5:$P$2004,P1068,$C$5:$C$2004,"&lt;="&amp;D1068,$D$5:$D$2004,"&gt;="&amp;C1068)&gt;1,"Overlaps another row","OK"))))</f>
        <v/>
      </c>
      <c r="P1068">
        <f>IF(A1068="","",A1068&amp;"|"&amp;IF(B1068="","Standard",B1068))</f>
        <v/>
      </c>
      <c r="Q1068">
        <f>IF(AND(A1068&lt;&gt;"",A1068='Firm Search'!$C$7),COUNTIF($A$5:A1068,'Firm Search'!$C$7),"")</f>
        <v/>
      </c>
    </row>
    <row r="1069">
      <c r="A1069" s="64" t="n"/>
      <c r="B1069" s="64" t="n"/>
      <c r="C1069" s="66" t="n"/>
      <c r="D1069" s="66" t="n"/>
      <c r="E1069" s="67" t="n"/>
      <c r="F1069" s="67" t="n"/>
      <c r="G1069" s="67" t="n"/>
      <c r="H1069" s="67" t="n"/>
      <c r="I1069" s="67" t="n"/>
      <c r="J1069" s="67" t="n"/>
      <c r="K1069" s="67" t="n"/>
      <c r="L1069" s="67" t="n"/>
      <c r="M1069" s="64" t="n"/>
      <c r="N1069" s="66" t="n"/>
      <c r="O1069" s="84">
        <f>IF(A1069="","",IF(OR(C1069="",D1069=""),"Enter both dates",IF(D1069&lt;C1069,"To is before From",IF(COUNTIFS($P$5:$P$2004,P1069,$C$5:$C$2004,"&lt;="&amp;D1069,$D$5:$D$2004,"&gt;="&amp;C1069)&gt;1,"Overlaps another row","OK"))))</f>
        <v/>
      </c>
      <c r="P1069">
        <f>IF(A1069="","",A1069&amp;"|"&amp;IF(B1069="","Standard",B1069))</f>
        <v/>
      </c>
      <c r="Q1069">
        <f>IF(AND(A1069&lt;&gt;"",A1069='Firm Search'!$C$7),COUNTIF($A$5:A1069,'Firm Search'!$C$7),"")</f>
        <v/>
      </c>
    </row>
    <row r="1070">
      <c r="A1070" s="64" t="n"/>
      <c r="B1070" s="64" t="n"/>
      <c r="C1070" s="66" t="n"/>
      <c r="D1070" s="66" t="n"/>
      <c r="E1070" s="67" t="n"/>
      <c r="F1070" s="67" t="n"/>
      <c r="G1070" s="67" t="n"/>
      <c r="H1070" s="67" t="n"/>
      <c r="I1070" s="67" t="n"/>
      <c r="J1070" s="67" t="n"/>
      <c r="K1070" s="67" t="n"/>
      <c r="L1070" s="67" t="n"/>
      <c r="M1070" s="64" t="n"/>
      <c r="N1070" s="66" t="n"/>
      <c r="O1070" s="84">
        <f>IF(A1070="","",IF(OR(C1070="",D1070=""),"Enter both dates",IF(D1070&lt;C1070,"To is before From",IF(COUNTIFS($P$5:$P$2004,P1070,$C$5:$C$2004,"&lt;="&amp;D1070,$D$5:$D$2004,"&gt;="&amp;C1070)&gt;1,"Overlaps another row","OK"))))</f>
        <v/>
      </c>
      <c r="P1070">
        <f>IF(A1070="","",A1070&amp;"|"&amp;IF(B1070="","Standard",B1070))</f>
        <v/>
      </c>
      <c r="Q1070">
        <f>IF(AND(A1070&lt;&gt;"",A1070='Firm Search'!$C$7),COUNTIF($A$5:A1070,'Firm Search'!$C$7),"")</f>
        <v/>
      </c>
    </row>
    <row r="1071">
      <c r="A1071" s="64" t="n"/>
      <c r="B1071" s="64" t="n"/>
      <c r="C1071" s="66" t="n"/>
      <c r="D1071" s="66" t="n"/>
      <c r="E1071" s="67" t="n"/>
      <c r="F1071" s="67" t="n"/>
      <c r="G1071" s="67" t="n"/>
      <c r="H1071" s="67" t="n"/>
      <c r="I1071" s="67" t="n"/>
      <c r="J1071" s="67" t="n"/>
      <c r="K1071" s="67" t="n"/>
      <c r="L1071" s="67" t="n"/>
      <c r="M1071" s="64" t="n"/>
      <c r="N1071" s="66" t="n"/>
      <c r="O1071" s="84">
        <f>IF(A1071="","",IF(OR(C1071="",D1071=""),"Enter both dates",IF(D1071&lt;C1071,"To is before From",IF(COUNTIFS($P$5:$P$2004,P1071,$C$5:$C$2004,"&lt;="&amp;D1071,$D$5:$D$2004,"&gt;="&amp;C1071)&gt;1,"Overlaps another row","OK"))))</f>
        <v/>
      </c>
      <c r="P1071">
        <f>IF(A1071="","",A1071&amp;"|"&amp;IF(B1071="","Standard",B1071))</f>
        <v/>
      </c>
      <c r="Q1071">
        <f>IF(AND(A1071&lt;&gt;"",A1071='Firm Search'!$C$7),COUNTIF($A$5:A1071,'Firm Search'!$C$7),"")</f>
        <v/>
      </c>
    </row>
    <row r="1072">
      <c r="A1072" s="64" t="n"/>
      <c r="B1072" s="64" t="n"/>
      <c r="C1072" s="66" t="n"/>
      <c r="D1072" s="66" t="n"/>
      <c r="E1072" s="67" t="n"/>
      <c r="F1072" s="67" t="n"/>
      <c r="G1072" s="67" t="n"/>
      <c r="H1072" s="67" t="n"/>
      <c r="I1072" s="67" t="n"/>
      <c r="J1072" s="67" t="n"/>
      <c r="K1072" s="67" t="n"/>
      <c r="L1072" s="67" t="n"/>
      <c r="M1072" s="64" t="n"/>
      <c r="N1072" s="66" t="n"/>
      <c r="O1072" s="84">
        <f>IF(A1072="","",IF(OR(C1072="",D1072=""),"Enter both dates",IF(D1072&lt;C1072,"To is before From",IF(COUNTIFS($P$5:$P$2004,P1072,$C$5:$C$2004,"&lt;="&amp;D1072,$D$5:$D$2004,"&gt;="&amp;C1072)&gt;1,"Overlaps another row","OK"))))</f>
        <v/>
      </c>
      <c r="P1072">
        <f>IF(A1072="","",A1072&amp;"|"&amp;IF(B1072="","Standard",B1072))</f>
        <v/>
      </c>
      <c r="Q1072">
        <f>IF(AND(A1072&lt;&gt;"",A1072='Firm Search'!$C$7),COUNTIF($A$5:A1072,'Firm Search'!$C$7),"")</f>
        <v/>
      </c>
    </row>
    <row r="1073">
      <c r="A1073" s="64" t="n"/>
      <c r="B1073" s="64" t="n"/>
      <c r="C1073" s="66" t="n"/>
      <c r="D1073" s="66" t="n"/>
      <c r="E1073" s="67" t="n"/>
      <c r="F1073" s="67" t="n"/>
      <c r="G1073" s="67" t="n"/>
      <c r="H1073" s="67" t="n"/>
      <c r="I1073" s="67" t="n"/>
      <c r="J1073" s="67" t="n"/>
      <c r="K1073" s="67" t="n"/>
      <c r="L1073" s="67" t="n"/>
      <c r="M1073" s="64" t="n"/>
      <c r="N1073" s="66" t="n"/>
      <c r="O1073" s="84">
        <f>IF(A1073="","",IF(OR(C1073="",D1073=""),"Enter both dates",IF(D1073&lt;C1073,"To is before From",IF(COUNTIFS($P$5:$P$2004,P1073,$C$5:$C$2004,"&lt;="&amp;D1073,$D$5:$D$2004,"&gt;="&amp;C1073)&gt;1,"Overlaps another row","OK"))))</f>
        <v/>
      </c>
      <c r="P1073">
        <f>IF(A1073="","",A1073&amp;"|"&amp;IF(B1073="","Standard",B1073))</f>
        <v/>
      </c>
      <c r="Q1073">
        <f>IF(AND(A1073&lt;&gt;"",A1073='Firm Search'!$C$7),COUNTIF($A$5:A1073,'Firm Search'!$C$7),"")</f>
        <v/>
      </c>
    </row>
    <row r="1074">
      <c r="A1074" s="64" t="n"/>
      <c r="B1074" s="64" t="n"/>
      <c r="C1074" s="66" t="n"/>
      <c r="D1074" s="66" t="n"/>
      <c r="E1074" s="67" t="n"/>
      <c r="F1074" s="67" t="n"/>
      <c r="G1074" s="67" t="n"/>
      <c r="H1074" s="67" t="n"/>
      <c r="I1074" s="67" t="n"/>
      <c r="J1074" s="67" t="n"/>
      <c r="K1074" s="67" t="n"/>
      <c r="L1074" s="67" t="n"/>
      <c r="M1074" s="64" t="n"/>
      <c r="N1074" s="66" t="n"/>
      <c r="O1074" s="84">
        <f>IF(A1074="","",IF(OR(C1074="",D1074=""),"Enter both dates",IF(D1074&lt;C1074,"To is before From",IF(COUNTIFS($P$5:$P$2004,P1074,$C$5:$C$2004,"&lt;="&amp;D1074,$D$5:$D$2004,"&gt;="&amp;C1074)&gt;1,"Overlaps another row","OK"))))</f>
        <v/>
      </c>
      <c r="P1074">
        <f>IF(A1074="","",A1074&amp;"|"&amp;IF(B1074="","Standard",B1074))</f>
        <v/>
      </c>
      <c r="Q1074">
        <f>IF(AND(A1074&lt;&gt;"",A1074='Firm Search'!$C$7),COUNTIF($A$5:A1074,'Firm Search'!$C$7),"")</f>
        <v/>
      </c>
    </row>
    <row r="1075">
      <c r="A1075" s="64" t="n"/>
      <c r="B1075" s="64" t="n"/>
      <c r="C1075" s="66" t="n"/>
      <c r="D1075" s="66" t="n"/>
      <c r="E1075" s="67" t="n"/>
      <c r="F1075" s="67" t="n"/>
      <c r="G1075" s="67" t="n"/>
      <c r="H1075" s="67" t="n"/>
      <c r="I1075" s="67" t="n"/>
      <c r="J1075" s="67" t="n"/>
      <c r="K1075" s="67" t="n"/>
      <c r="L1075" s="67" t="n"/>
      <c r="M1075" s="64" t="n"/>
      <c r="N1075" s="66" t="n"/>
      <c r="O1075" s="84">
        <f>IF(A1075="","",IF(OR(C1075="",D1075=""),"Enter both dates",IF(D1075&lt;C1075,"To is before From",IF(COUNTIFS($P$5:$P$2004,P1075,$C$5:$C$2004,"&lt;="&amp;D1075,$D$5:$D$2004,"&gt;="&amp;C1075)&gt;1,"Overlaps another row","OK"))))</f>
        <v/>
      </c>
      <c r="P1075">
        <f>IF(A1075="","",A1075&amp;"|"&amp;IF(B1075="","Standard",B1075))</f>
        <v/>
      </c>
      <c r="Q1075">
        <f>IF(AND(A1075&lt;&gt;"",A1075='Firm Search'!$C$7),COUNTIF($A$5:A1075,'Firm Search'!$C$7),"")</f>
        <v/>
      </c>
    </row>
    <row r="1076">
      <c r="A1076" s="64" t="n"/>
      <c r="B1076" s="64" t="n"/>
      <c r="C1076" s="66" t="n"/>
      <c r="D1076" s="66" t="n"/>
      <c r="E1076" s="67" t="n"/>
      <c r="F1076" s="67" t="n"/>
      <c r="G1076" s="67" t="n"/>
      <c r="H1076" s="67" t="n"/>
      <c r="I1076" s="67" t="n"/>
      <c r="J1076" s="67" t="n"/>
      <c r="K1076" s="67" t="n"/>
      <c r="L1076" s="67" t="n"/>
      <c r="M1076" s="64" t="n"/>
      <c r="N1076" s="66" t="n"/>
      <c r="O1076" s="84">
        <f>IF(A1076="","",IF(OR(C1076="",D1076=""),"Enter both dates",IF(D1076&lt;C1076,"To is before From",IF(COUNTIFS($P$5:$P$2004,P1076,$C$5:$C$2004,"&lt;="&amp;D1076,$D$5:$D$2004,"&gt;="&amp;C1076)&gt;1,"Overlaps another row","OK"))))</f>
        <v/>
      </c>
      <c r="P1076">
        <f>IF(A1076="","",A1076&amp;"|"&amp;IF(B1076="","Standard",B1076))</f>
        <v/>
      </c>
      <c r="Q1076">
        <f>IF(AND(A1076&lt;&gt;"",A1076='Firm Search'!$C$7),COUNTIF($A$5:A1076,'Firm Search'!$C$7),"")</f>
        <v/>
      </c>
    </row>
    <row r="1077">
      <c r="A1077" s="64" t="n"/>
      <c r="B1077" s="64" t="n"/>
      <c r="C1077" s="66" t="n"/>
      <c r="D1077" s="66" t="n"/>
      <c r="E1077" s="67" t="n"/>
      <c r="F1077" s="67" t="n"/>
      <c r="G1077" s="67" t="n"/>
      <c r="H1077" s="67" t="n"/>
      <c r="I1077" s="67" t="n"/>
      <c r="J1077" s="67" t="n"/>
      <c r="K1077" s="67" t="n"/>
      <c r="L1077" s="67" t="n"/>
      <c r="M1077" s="64" t="n"/>
      <c r="N1077" s="66" t="n"/>
      <c r="O1077" s="84">
        <f>IF(A1077="","",IF(OR(C1077="",D1077=""),"Enter both dates",IF(D1077&lt;C1077,"To is before From",IF(COUNTIFS($P$5:$P$2004,P1077,$C$5:$C$2004,"&lt;="&amp;D1077,$D$5:$D$2004,"&gt;="&amp;C1077)&gt;1,"Overlaps another row","OK"))))</f>
        <v/>
      </c>
      <c r="P1077">
        <f>IF(A1077="","",A1077&amp;"|"&amp;IF(B1077="","Standard",B1077))</f>
        <v/>
      </c>
      <c r="Q1077">
        <f>IF(AND(A1077&lt;&gt;"",A1077='Firm Search'!$C$7),COUNTIF($A$5:A1077,'Firm Search'!$C$7),"")</f>
        <v/>
      </c>
    </row>
    <row r="1078">
      <c r="A1078" s="64" t="n"/>
      <c r="B1078" s="64" t="n"/>
      <c r="C1078" s="66" t="n"/>
      <c r="D1078" s="66" t="n"/>
      <c r="E1078" s="67" t="n"/>
      <c r="F1078" s="67" t="n"/>
      <c r="G1078" s="67" t="n"/>
      <c r="H1078" s="67" t="n"/>
      <c r="I1078" s="67" t="n"/>
      <c r="J1078" s="67" t="n"/>
      <c r="K1078" s="67" t="n"/>
      <c r="L1078" s="67" t="n"/>
      <c r="M1078" s="64" t="n"/>
      <c r="N1078" s="66" t="n"/>
      <c r="O1078" s="84">
        <f>IF(A1078="","",IF(OR(C1078="",D1078=""),"Enter both dates",IF(D1078&lt;C1078,"To is before From",IF(COUNTIFS($P$5:$P$2004,P1078,$C$5:$C$2004,"&lt;="&amp;D1078,$D$5:$D$2004,"&gt;="&amp;C1078)&gt;1,"Overlaps another row","OK"))))</f>
        <v/>
      </c>
      <c r="P1078">
        <f>IF(A1078="","",A1078&amp;"|"&amp;IF(B1078="","Standard",B1078))</f>
        <v/>
      </c>
      <c r="Q1078">
        <f>IF(AND(A1078&lt;&gt;"",A1078='Firm Search'!$C$7),COUNTIF($A$5:A1078,'Firm Search'!$C$7),"")</f>
        <v/>
      </c>
    </row>
    <row r="1079">
      <c r="A1079" s="64" t="n"/>
      <c r="B1079" s="64" t="n"/>
      <c r="C1079" s="66" t="n"/>
      <c r="D1079" s="66" t="n"/>
      <c r="E1079" s="67" t="n"/>
      <c r="F1079" s="67" t="n"/>
      <c r="G1079" s="67" t="n"/>
      <c r="H1079" s="67" t="n"/>
      <c r="I1079" s="67" t="n"/>
      <c r="J1079" s="67" t="n"/>
      <c r="K1079" s="67" t="n"/>
      <c r="L1079" s="67" t="n"/>
      <c r="M1079" s="64" t="n"/>
      <c r="N1079" s="66" t="n"/>
      <c r="O1079" s="84">
        <f>IF(A1079="","",IF(OR(C1079="",D1079=""),"Enter both dates",IF(D1079&lt;C1079,"To is before From",IF(COUNTIFS($P$5:$P$2004,P1079,$C$5:$C$2004,"&lt;="&amp;D1079,$D$5:$D$2004,"&gt;="&amp;C1079)&gt;1,"Overlaps another row","OK"))))</f>
        <v/>
      </c>
      <c r="P1079">
        <f>IF(A1079="","",A1079&amp;"|"&amp;IF(B1079="","Standard",B1079))</f>
        <v/>
      </c>
      <c r="Q1079">
        <f>IF(AND(A1079&lt;&gt;"",A1079='Firm Search'!$C$7),COUNTIF($A$5:A1079,'Firm Search'!$C$7),"")</f>
        <v/>
      </c>
    </row>
    <row r="1080">
      <c r="A1080" s="64" t="n"/>
      <c r="B1080" s="64" t="n"/>
      <c r="C1080" s="66" t="n"/>
      <c r="D1080" s="66" t="n"/>
      <c r="E1080" s="67" t="n"/>
      <c r="F1080" s="67" t="n"/>
      <c r="G1080" s="67" t="n"/>
      <c r="H1080" s="67" t="n"/>
      <c r="I1080" s="67" t="n"/>
      <c r="J1080" s="67" t="n"/>
      <c r="K1080" s="67" t="n"/>
      <c r="L1080" s="67" t="n"/>
      <c r="M1080" s="64" t="n"/>
      <c r="N1080" s="66" t="n"/>
      <c r="O1080" s="84">
        <f>IF(A1080="","",IF(OR(C1080="",D1080=""),"Enter both dates",IF(D1080&lt;C1080,"To is before From",IF(COUNTIFS($P$5:$P$2004,P1080,$C$5:$C$2004,"&lt;="&amp;D1080,$D$5:$D$2004,"&gt;="&amp;C1080)&gt;1,"Overlaps another row","OK"))))</f>
        <v/>
      </c>
      <c r="P1080">
        <f>IF(A1080="","",A1080&amp;"|"&amp;IF(B1080="","Standard",B1080))</f>
        <v/>
      </c>
      <c r="Q1080">
        <f>IF(AND(A1080&lt;&gt;"",A1080='Firm Search'!$C$7),COUNTIF($A$5:A1080,'Firm Search'!$C$7),"")</f>
        <v/>
      </c>
    </row>
    <row r="1081">
      <c r="A1081" s="64" t="n"/>
      <c r="B1081" s="64" t="n"/>
      <c r="C1081" s="66" t="n"/>
      <c r="D1081" s="66" t="n"/>
      <c r="E1081" s="67" t="n"/>
      <c r="F1081" s="67" t="n"/>
      <c r="G1081" s="67" t="n"/>
      <c r="H1081" s="67" t="n"/>
      <c r="I1081" s="67" t="n"/>
      <c r="J1081" s="67" t="n"/>
      <c r="K1081" s="67" t="n"/>
      <c r="L1081" s="67" t="n"/>
      <c r="M1081" s="64" t="n"/>
      <c r="N1081" s="66" t="n"/>
      <c r="O1081" s="84">
        <f>IF(A1081="","",IF(OR(C1081="",D1081=""),"Enter both dates",IF(D1081&lt;C1081,"To is before From",IF(COUNTIFS($P$5:$P$2004,P1081,$C$5:$C$2004,"&lt;="&amp;D1081,$D$5:$D$2004,"&gt;="&amp;C1081)&gt;1,"Overlaps another row","OK"))))</f>
        <v/>
      </c>
      <c r="P1081">
        <f>IF(A1081="","",A1081&amp;"|"&amp;IF(B1081="","Standard",B1081))</f>
        <v/>
      </c>
      <c r="Q1081">
        <f>IF(AND(A1081&lt;&gt;"",A1081='Firm Search'!$C$7),COUNTIF($A$5:A1081,'Firm Search'!$C$7),"")</f>
        <v/>
      </c>
    </row>
    <row r="1082">
      <c r="A1082" s="64" t="n"/>
      <c r="B1082" s="64" t="n"/>
      <c r="C1082" s="66" t="n"/>
      <c r="D1082" s="66" t="n"/>
      <c r="E1082" s="67" t="n"/>
      <c r="F1082" s="67" t="n"/>
      <c r="G1082" s="67" t="n"/>
      <c r="H1082" s="67" t="n"/>
      <c r="I1082" s="67" t="n"/>
      <c r="J1082" s="67" t="n"/>
      <c r="K1082" s="67" t="n"/>
      <c r="L1082" s="67" t="n"/>
      <c r="M1082" s="64" t="n"/>
      <c r="N1082" s="66" t="n"/>
      <c r="O1082" s="84">
        <f>IF(A1082="","",IF(OR(C1082="",D1082=""),"Enter both dates",IF(D1082&lt;C1082,"To is before From",IF(COUNTIFS($P$5:$P$2004,P1082,$C$5:$C$2004,"&lt;="&amp;D1082,$D$5:$D$2004,"&gt;="&amp;C1082)&gt;1,"Overlaps another row","OK"))))</f>
        <v/>
      </c>
      <c r="P1082">
        <f>IF(A1082="","",A1082&amp;"|"&amp;IF(B1082="","Standard",B1082))</f>
        <v/>
      </c>
      <c r="Q1082">
        <f>IF(AND(A1082&lt;&gt;"",A1082='Firm Search'!$C$7),COUNTIF($A$5:A1082,'Firm Search'!$C$7),"")</f>
        <v/>
      </c>
    </row>
    <row r="1083">
      <c r="A1083" s="64" t="n"/>
      <c r="B1083" s="64" t="n"/>
      <c r="C1083" s="66" t="n"/>
      <c r="D1083" s="66" t="n"/>
      <c r="E1083" s="67" t="n"/>
      <c r="F1083" s="67" t="n"/>
      <c r="G1083" s="67" t="n"/>
      <c r="H1083" s="67" t="n"/>
      <c r="I1083" s="67" t="n"/>
      <c r="J1083" s="67" t="n"/>
      <c r="K1083" s="67" t="n"/>
      <c r="L1083" s="67" t="n"/>
      <c r="M1083" s="64" t="n"/>
      <c r="N1083" s="66" t="n"/>
      <c r="O1083" s="84">
        <f>IF(A1083="","",IF(OR(C1083="",D1083=""),"Enter both dates",IF(D1083&lt;C1083,"To is before From",IF(COUNTIFS($P$5:$P$2004,P1083,$C$5:$C$2004,"&lt;="&amp;D1083,$D$5:$D$2004,"&gt;="&amp;C1083)&gt;1,"Overlaps another row","OK"))))</f>
        <v/>
      </c>
      <c r="P1083">
        <f>IF(A1083="","",A1083&amp;"|"&amp;IF(B1083="","Standard",B1083))</f>
        <v/>
      </c>
      <c r="Q1083">
        <f>IF(AND(A1083&lt;&gt;"",A1083='Firm Search'!$C$7),COUNTIF($A$5:A1083,'Firm Search'!$C$7),"")</f>
        <v/>
      </c>
    </row>
    <row r="1084">
      <c r="A1084" s="64" t="n"/>
      <c r="B1084" s="64" t="n"/>
      <c r="C1084" s="66" t="n"/>
      <c r="D1084" s="66" t="n"/>
      <c r="E1084" s="67" t="n"/>
      <c r="F1084" s="67" t="n"/>
      <c r="G1084" s="67" t="n"/>
      <c r="H1084" s="67" t="n"/>
      <c r="I1084" s="67" t="n"/>
      <c r="J1084" s="67" t="n"/>
      <c r="K1084" s="67" t="n"/>
      <c r="L1084" s="67" t="n"/>
      <c r="M1084" s="64" t="n"/>
      <c r="N1084" s="66" t="n"/>
      <c r="O1084" s="84">
        <f>IF(A1084="","",IF(OR(C1084="",D1084=""),"Enter both dates",IF(D1084&lt;C1084,"To is before From",IF(COUNTIFS($P$5:$P$2004,P1084,$C$5:$C$2004,"&lt;="&amp;D1084,$D$5:$D$2004,"&gt;="&amp;C1084)&gt;1,"Overlaps another row","OK"))))</f>
        <v/>
      </c>
      <c r="P1084">
        <f>IF(A1084="","",A1084&amp;"|"&amp;IF(B1084="","Standard",B1084))</f>
        <v/>
      </c>
      <c r="Q1084">
        <f>IF(AND(A1084&lt;&gt;"",A1084='Firm Search'!$C$7),COUNTIF($A$5:A1084,'Firm Search'!$C$7),"")</f>
        <v/>
      </c>
    </row>
    <row r="1085">
      <c r="A1085" s="64" t="n"/>
      <c r="B1085" s="64" t="n"/>
      <c r="C1085" s="66" t="n"/>
      <c r="D1085" s="66" t="n"/>
      <c r="E1085" s="67" t="n"/>
      <c r="F1085" s="67" t="n"/>
      <c r="G1085" s="67" t="n"/>
      <c r="H1085" s="67" t="n"/>
      <c r="I1085" s="67" t="n"/>
      <c r="J1085" s="67" t="n"/>
      <c r="K1085" s="67" t="n"/>
      <c r="L1085" s="67" t="n"/>
      <c r="M1085" s="64" t="n"/>
      <c r="N1085" s="66" t="n"/>
      <c r="O1085" s="84">
        <f>IF(A1085="","",IF(OR(C1085="",D1085=""),"Enter both dates",IF(D1085&lt;C1085,"To is before From",IF(COUNTIFS($P$5:$P$2004,P1085,$C$5:$C$2004,"&lt;="&amp;D1085,$D$5:$D$2004,"&gt;="&amp;C1085)&gt;1,"Overlaps another row","OK"))))</f>
        <v/>
      </c>
      <c r="P1085">
        <f>IF(A1085="","",A1085&amp;"|"&amp;IF(B1085="","Standard",B1085))</f>
        <v/>
      </c>
      <c r="Q1085">
        <f>IF(AND(A1085&lt;&gt;"",A1085='Firm Search'!$C$7),COUNTIF($A$5:A1085,'Firm Search'!$C$7),"")</f>
        <v/>
      </c>
    </row>
    <row r="1086">
      <c r="A1086" s="64" t="n"/>
      <c r="B1086" s="64" t="n"/>
      <c r="C1086" s="66" t="n"/>
      <c r="D1086" s="66" t="n"/>
      <c r="E1086" s="67" t="n"/>
      <c r="F1086" s="67" t="n"/>
      <c r="G1086" s="67" t="n"/>
      <c r="H1086" s="67" t="n"/>
      <c r="I1086" s="67" t="n"/>
      <c r="J1086" s="67" t="n"/>
      <c r="K1086" s="67" t="n"/>
      <c r="L1086" s="67" t="n"/>
      <c r="M1086" s="64" t="n"/>
      <c r="N1086" s="66" t="n"/>
      <c r="O1086" s="84">
        <f>IF(A1086="","",IF(OR(C1086="",D1086=""),"Enter both dates",IF(D1086&lt;C1086,"To is before From",IF(COUNTIFS($P$5:$P$2004,P1086,$C$5:$C$2004,"&lt;="&amp;D1086,$D$5:$D$2004,"&gt;="&amp;C1086)&gt;1,"Overlaps another row","OK"))))</f>
        <v/>
      </c>
      <c r="P1086">
        <f>IF(A1086="","",A1086&amp;"|"&amp;IF(B1086="","Standard",B1086))</f>
        <v/>
      </c>
      <c r="Q1086">
        <f>IF(AND(A1086&lt;&gt;"",A1086='Firm Search'!$C$7),COUNTIF($A$5:A1086,'Firm Search'!$C$7),"")</f>
        <v/>
      </c>
    </row>
    <row r="1087">
      <c r="A1087" s="64" t="n"/>
      <c r="B1087" s="64" t="n"/>
      <c r="C1087" s="66" t="n"/>
      <c r="D1087" s="66" t="n"/>
      <c r="E1087" s="67" t="n"/>
      <c r="F1087" s="67" t="n"/>
      <c r="G1087" s="67" t="n"/>
      <c r="H1087" s="67" t="n"/>
      <c r="I1087" s="67" t="n"/>
      <c r="J1087" s="67" t="n"/>
      <c r="K1087" s="67" t="n"/>
      <c r="L1087" s="67" t="n"/>
      <c r="M1087" s="64" t="n"/>
      <c r="N1087" s="66" t="n"/>
      <c r="O1087" s="84">
        <f>IF(A1087="","",IF(OR(C1087="",D1087=""),"Enter both dates",IF(D1087&lt;C1087,"To is before From",IF(COUNTIFS($P$5:$P$2004,P1087,$C$5:$C$2004,"&lt;="&amp;D1087,$D$5:$D$2004,"&gt;="&amp;C1087)&gt;1,"Overlaps another row","OK"))))</f>
        <v/>
      </c>
      <c r="P1087">
        <f>IF(A1087="","",A1087&amp;"|"&amp;IF(B1087="","Standard",B1087))</f>
        <v/>
      </c>
      <c r="Q1087">
        <f>IF(AND(A1087&lt;&gt;"",A1087='Firm Search'!$C$7),COUNTIF($A$5:A1087,'Firm Search'!$C$7),"")</f>
        <v/>
      </c>
    </row>
    <row r="1088">
      <c r="A1088" s="64" t="n"/>
      <c r="B1088" s="64" t="n"/>
      <c r="C1088" s="66" t="n"/>
      <c r="D1088" s="66" t="n"/>
      <c r="E1088" s="67" t="n"/>
      <c r="F1088" s="67" t="n"/>
      <c r="G1088" s="67" t="n"/>
      <c r="H1088" s="67" t="n"/>
      <c r="I1088" s="67" t="n"/>
      <c r="J1088" s="67" t="n"/>
      <c r="K1088" s="67" t="n"/>
      <c r="L1088" s="67" t="n"/>
      <c r="M1088" s="64" t="n"/>
      <c r="N1088" s="66" t="n"/>
      <c r="O1088" s="84">
        <f>IF(A1088="","",IF(OR(C1088="",D1088=""),"Enter both dates",IF(D1088&lt;C1088,"To is before From",IF(COUNTIFS($P$5:$P$2004,P1088,$C$5:$C$2004,"&lt;="&amp;D1088,$D$5:$D$2004,"&gt;="&amp;C1088)&gt;1,"Overlaps another row","OK"))))</f>
        <v/>
      </c>
      <c r="P1088">
        <f>IF(A1088="","",A1088&amp;"|"&amp;IF(B1088="","Standard",B1088))</f>
        <v/>
      </c>
      <c r="Q1088">
        <f>IF(AND(A1088&lt;&gt;"",A1088='Firm Search'!$C$7),COUNTIF($A$5:A1088,'Firm Search'!$C$7),"")</f>
        <v/>
      </c>
    </row>
    <row r="1089">
      <c r="A1089" s="64" t="n"/>
      <c r="B1089" s="64" t="n"/>
      <c r="C1089" s="66" t="n"/>
      <c r="D1089" s="66" t="n"/>
      <c r="E1089" s="67" t="n"/>
      <c r="F1089" s="67" t="n"/>
      <c r="G1089" s="67" t="n"/>
      <c r="H1089" s="67" t="n"/>
      <c r="I1089" s="67" t="n"/>
      <c r="J1089" s="67" t="n"/>
      <c r="K1089" s="67" t="n"/>
      <c r="L1089" s="67" t="n"/>
      <c r="M1089" s="64" t="n"/>
      <c r="N1089" s="66" t="n"/>
      <c r="O1089" s="84">
        <f>IF(A1089="","",IF(OR(C1089="",D1089=""),"Enter both dates",IF(D1089&lt;C1089,"To is before From",IF(COUNTIFS($P$5:$P$2004,P1089,$C$5:$C$2004,"&lt;="&amp;D1089,$D$5:$D$2004,"&gt;="&amp;C1089)&gt;1,"Overlaps another row","OK"))))</f>
        <v/>
      </c>
      <c r="P1089">
        <f>IF(A1089="","",A1089&amp;"|"&amp;IF(B1089="","Standard",B1089))</f>
        <v/>
      </c>
      <c r="Q1089">
        <f>IF(AND(A1089&lt;&gt;"",A1089='Firm Search'!$C$7),COUNTIF($A$5:A1089,'Firm Search'!$C$7),"")</f>
        <v/>
      </c>
    </row>
    <row r="1090">
      <c r="A1090" s="64" t="n"/>
      <c r="B1090" s="64" t="n"/>
      <c r="C1090" s="66" t="n"/>
      <c r="D1090" s="66" t="n"/>
      <c r="E1090" s="67" t="n"/>
      <c r="F1090" s="67" t="n"/>
      <c r="G1090" s="67" t="n"/>
      <c r="H1090" s="67" t="n"/>
      <c r="I1090" s="67" t="n"/>
      <c r="J1090" s="67" t="n"/>
      <c r="K1090" s="67" t="n"/>
      <c r="L1090" s="67" t="n"/>
      <c r="M1090" s="64" t="n"/>
      <c r="N1090" s="66" t="n"/>
      <c r="O1090" s="84">
        <f>IF(A1090="","",IF(OR(C1090="",D1090=""),"Enter both dates",IF(D1090&lt;C1090,"To is before From",IF(COUNTIFS($P$5:$P$2004,P1090,$C$5:$C$2004,"&lt;="&amp;D1090,$D$5:$D$2004,"&gt;="&amp;C1090)&gt;1,"Overlaps another row","OK"))))</f>
        <v/>
      </c>
      <c r="P1090">
        <f>IF(A1090="","",A1090&amp;"|"&amp;IF(B1090="","Standard",B1090))</f>
        <v/>
      </c>
      <c r="Q1090">
        <f>IF(AND(A1090&lt;&gt;"",A1090='Firm Search'!$C$7),COUNTIF($A$5:A1090,'Firm Search'!$C$7),"")</f>
        <v/>
      </c>
    </row>
    <row r="1091">
      <c r="A1091" s="64" t="n"/>
      <c r="B1091" s="64" t="n"/>
      <c r="C1091" s="66" t="n"/>
      <c r="D1091" s="66" t="n"/>
      <c r="E1091" s="67" t="n"/>
      <c r="F1091" s="67" t="n"/>
      <c r="G1091" s="67" t="n"/>
      <c r="H1091" s="67" t="n"/>
      <c r="I1091" s="67" t="n"/>
      <c r="J1091" s="67" t="n"/>
      <c r="K1091" s="67" t="n"/>
      <c r="L1091" s="67" t="n"/>
      <c r="M1091" s="64" t="n"/>
      <c r="N1091" s="66" t="n"/>
      <c r="O1091" s="84">
        <f>IF(A1091="","",IF(OR(C1091="",D1091=""),"Enter both dates",IF(D1091&lt;C1091,"To is before From",IF(COUNTIFS($P$5:$P$2004,P1091,$C$5:$C$2004,"&lt;="&amp;D1091,$D$5:$D$2004,"&gt;="&amp;C1091)&gt;1,"Overlaps another row","OK"))))</f>
        <v/>
      </c>
      <c r="P1091">
        <f>IF(A1091="","",A1091&amp;"|"&amp;IF(B1091="","Standard",B1091))</f>
        <v/>
      </c>
      <c r="Q1091">
        <f>IF(AND(A1091&lt;&gt;"",A1091='Firm Search'!$C$7),COUNTIF($A$5:A1091,'Firm Search'!$C$7),"")</f>
        <v/>
      </c>
    </row>
    <row r="1092">
      <c r="A1092" s="64" t="n"/>
      <c r="B1092" s="64" t="n"/>
      <c r="C1092" s="66" t="n"/>
      <c r="D1092" s="66" t="n"/>
      <c r="E1092" s="67" t="n"/>
      <c r="F1092" s="67" t="n"/>
      <c r="G1092" s="67" t="n"/>
      <c r="H1092" s="67" t="n"/>
      <c r="I1092" s="67" t="n"/>
      <c r="J1092" s="67" t="n"/>
      <c r="K1092" s="67" t="n"/>
      <c r="L1092" s="67" t="n"/>
      <c r="M1092" s="64" t="n"/>
      <c r="N1092" s="66" t="n"/>
      <c r="O1092" s="84">
        <f>IF(A1092="","",IF(OR(C1092="",D1092=""),"Enter both dates",IF(D1092&lt;C1092,"To is before From",IF(COUNTIFS($P$5:$P$2004,P1092,$C$5:$C$2004,"&lt;="&amp;D1092,$D$5:$D$2004,"&gt;="&amp;C1092)&gt;1,"Overlaps another row","OK"))))</f>
        <v/>
      </c>
      <c r="P1092">
        <f>IF(A1092="","",A1092&amp;"|"&amp;IF(B1092="","Standard",B1092))</f>
        <v/>
      </c>
      <c r="Q1092">
        <f>IF(AND(A1092&lt;&gt;"",A1092='Firm Search'!$C$7),COUNTIF($A$5:A1092,'Firm Search'!$C$7),"")</f>
        <v/>
      </c>
    </row>
    <row r="1093">
      <c r="A1093" s="64" t="n"/>
      <c r="B1093" s="64" t="n"/>
      <c r="C1093" s="66" t="n"/>
      <c r="D1093" s="66" t="n"/>
      <c r="E1093" s="67" t="n"/>
      <c r="F1093" s="67" t="n"/>
      <c r="G1093" s="67" t="n"/>
      <c r="H1093" s="67" t="n"/>
      <c r="I1093" s="67" t="n"/>
      <c r="J1093" s="67" t="n"/>
      <c r="K1093" s="67" t="n"/>
      <c r="L1093" s="67" t="n"/>
      <c r="M1093" s="64" t="n"/>
      <c r="N1093" s="66" t="n"/>
      <c r="O1093" s="84">
        <f>IF(A1093="","",IF(OR(C1093="",D1093=""),"Enter both dates",IF(D1093&lt;C1093,"To is before From",IF(COUNTIFS($P$5:$P$2004,P1093,$C$5:$C$2004,"&lt;="&amp;D1093,$D$5:$D$2004,"&gt;="&amp;C1093)&gt;1,"Overlaps another row","OK"))))</f>
        <v/>
      </c>
      <c r="P1093">
        <f>IF(A1093="","",A1093&amp;"|"&amp;IF(B1093="","Standard",B1093))</f>
        <v/>
      </c>
      <c r="Q1093">
        <f>IF(AND(A1093&lt;&gt;"",A1093='Firm Search'!$C$7),COUNTIF($A$5:A1093,'Firm Search'!$C$7),"")</f>
        <v/>
      </c>
    </row>
    <row r="1094">
      <c r="A1094" s="64" t="n"/>
      <c r="B1094" s="64" t="n"/>
      <c r="C1094" s="66" t="n"/>
      <c r="D1094" s="66" t="n"/>
      <c r="E1094" s="67" t="n"/>
      <c r="F1094" s="67" t="n"/>
      <c r="G1094" s="67" t="n"/>
      <c r="H1094" s="67" t="n"/>
      <c r="I1094" s="67" t="n"/>
      <c r="J1094" s="67" t="n"/>
      <c r="K1094" s="67" t="n"/>
      <c r="L1094" s="67" t="n"/>
      <c r="M1094" s="64" t="n"/>
      <c r="N1094" s="66" t="n"/>
      <c r="O1094" s="84">
        <f>IF(A1094="","",IF(OR(C1094="",D1094=""),"Enter both dates",IF(D1094&lt;C1094,"To is before From",IF(COUNTIFS($P$5:$P$2004,P1094,$C$5:$C$2004,"&lt;="&amp;D1094,$D$5:$D$2004,"&gt;="&amp;C1094)&gt;1,"Overlaps another row","OK"))))</f>
        <v/>
      </c>
      <c r="P1094">
        <f>IF(A1094="","",A1094&amp;"|"&amp;IF(B1094="","Standard",B1094))</f>
        <v/>
      </c>
      <c r="Q1094">
        <f>IF(AND(A1094&lt;&gt;"",A1094='Firm Search'!$C$7),COUNTIF($A$5:A1094,'Firm Search'!$C$7),"")</f>
        <v/>
      </c>
    </row>
    <row r="1095">
      <c r="A1095" s="64" t="n"/>
      <c r="B1095" s="64" t="n"/>
      <c r="C1095" s="66" t="n"/>
      <c r="D1095" s="66" t="n"/>
      <c r="E1095" s="67" t="n"/>
      <c r="F1095" s="67" t="n"/>
      <c r="G1095" s="67" t="n"/>
      <c r="H1095" s="67" t="n"/>
      <c r="I1095" s="67" t="n"/>
      <c r="J1095" s="67" t="n"/>
      <c r="K1095" s="67" t="n"/>
      <c r="L1095" s="67" t="n"/>
      <c r="M1095" s="64" t="n"/>
      <c r="N1095" s="66" t="n"/>
      <c r="O1095" s="84">
        <f>IF(A1095="","",IF(OR(C1095="",D1095=""),"Enter both dates",IF(D1095&lt;C1095,"To is before From",IF(COUNTIFS($P$5:$P$2004,P1095,$C$5:$C$2004,"&lt;="&amp;D1095,$D$5:$D$2004,"&gt;="&amp;C1095)&gt;1,"Overlaps another row","OK"))))</f>
        <v/>
      </c>
      <c r="P1095">
        <f>IF(A1095="","",A1095&amp;"|"&amp;IF(B1095="","Standard",B1095))</f>
        <v/>
      </c>
      <c r="Q1095">
        <f>IF(AND(A1095&lt;&gt;"",A1095='Firm Search'!$C$7),COUNTIF($A$5:A1095,'Firm Search'!$C$7),"")</f>
        <v/>
      </c>
    </row>
    <row r="1096">
      <c r="A1096" s="64" t="n"/>
      <c r="B1096" s="64" t="n"/>
      <c r="C1096" s="66" t="n"/>
      <c r="D1096" s="66" t="n"/>
      <c r="E1096" s="67" t="n"/>
      <c r="F1096" s="67" t="n"/>
      <c r="G1096" s="67" t="n"/>
      <c r="H1096" s="67" t="n"/>
      <c r="I1096" s="67" t="n"/>
      <c r="J1096" s="67" t="n"/>
      <c r="K1096" s="67" t="n"/>
      <c r="L1096" s="67" t="n"/>
      <c r="M1096" s="64" t="n"/>
      <c r="N1096" s="66" t="n"/>
      <c r="O1096" s="84">
        <f>IF(A1096="","",IF(OR(C1096="",D1096=""),"Enter both dates",IF(D1096&lt;C1096,"To is before From",IF(COUNTIFS($P$5:$P$2004,P1096,$C$5:$C$2004,"&lt;="&amp;D1096,$D$5:$D$2004,"&gt;="&amp;C1096)&gt;1,"Overlaps another row","OK"))))</f>
        <v/>
      </c>
      <c r="P1096">
        <f>IF(A1096="","",A1096&amp;"|"&amp;IF(B1096="","Standard",B1096))</f>
        <v/>
      </c>
      <c r="Q1096">
        <f>IF(AND(A1096&lt;&gt;"",A1096='Firm Search'!$C$7),COUNTIF($A$5:A1096,'Firm Search'!$C$7),"")</f>
        <v/>
      </c>
    </row>
    <row r="1097">
      <c r="A1097" s="64" t="n"/>
      <c r="B1097" s="64" t="n"/>
      <c r="C1097" s="66" t="n"/>
      <c r="D1097" s="66" t="n"/>
      <c r="E1097" s="67" t="n"/>
      <c r="F1097" s="67" t="n"/>
      <c r="G1097" s="67" t="n"/>
      <c r="H1097" s="67" t="n"/>
      <c r="I1097" s="67" t="n"/>
      <c r="J1097" s="67" t="n"/>
      <c r="K1097" s="67" t="n"/>
      <c r="L1097" s="67" t="n"/>
      <c r="M1097" s="64" t="n"/>
      <c r="N1097" s="66" t="n"/>
      <c r="O1097" s="84">
        <f>IF(A1097="","",IF(OR(C1097="",D1097=""),"Enter both dates",IF(D1097&lt;C1097,"To is before From",IF(COUNTIFS($P$5:$P$2004,P1097,$C$5:$C$2004,"&lt;="&amp;D1097,$D$5:$D$2004,"&gt;="&amp;C1097)&gt;1,"Overlaps another row","OK"))))</f>
        <v/>
      </c>
      <c r="P1097">
        <f>IF(A1097="","",A1097&amp;"|"&amp;IF(B1097="","Standard",B1097))</f>
        <v/>
      </c>
      <c r="Q1097">
        <f>IF(AND(A1097&lt;&gt;"",A1097='Firm Search'!$C$7),COUNTIF($A$5:A1097,'Firm Search'!$C$7),"")</f>
        <v/>
      </c>
    </row>
    <row r="1098">
      <c r="A1098" s="64" t="n"/>
      <c r="B1098" s="64" t="n"/>
      <c r="C1098" s="66" t="n"/>
      <c r="D1098" s="66" t="n"/>
      <c r="E1098" s="67" t="n"/>
      <c r="F1098" s="67" t="n"/>
      <c r="G1098" s="67" t="n"/>
      <c r="H1098" s="67" t="n"/>
      <c r="I1098" s="67" t="n"/>
      <c r="J1098" s="67" t="n"/>
      <c r="K1098" s="67" t="n"/>
      <c r="L1098" s="67" t="n"/>
      <c r="M1098" s="64" t="n"/>
      <c r="N1098" s="66" t="n"/>
      <c r="O1098" s="84">
        <f>IF(A1098="","",IF(OR(C1098="",D1098=""),"Enter both dates",IF(D1098&lt;C1098,"To is before From",IF(COUNTIFS($P$5:$P$2004,P1098,$C$5:$C$2004,"&lt;="&amp;D1098,$D$5:$D$2004,"&gt;="&amp;C1098)&gt;1,"Overlaps another row","OK"))))</f>
        <v/>
      </c>
      <c r="P1098">
        <f>IF(A1098="","",A1098&amp;"|"&amp;IF(B1098="","Standard",B1098))</f>
        <v/>
      </c>
      <c r="Q1098">
        <f>IF(AND(A1098&lt;&gt;"",A1098='Firm Search'!$C$7),COUNTIF($A$5:A1098,'Firm Search'!$C$7),"")</f>
        <v/>
      </c>
    </row>
    <row r="1099">
      <c r="A1099" s="64" t="n"/>
      <c r="B1099" s="64" t="n"/>
      <c r="C1099" s="66" t="n"/>
      <c r="D1099" s="66" t="n"/>
      <c r="E1099" s="67" t="n"/>
      <c r="F1099" s="67" t="n"/>
      <c r="G1099" s="67" t="n"/>
      <c r="H1099" s="67" t="n"/>
      <c r="I1099" s="67" t="n"/>
      <c r="J1099" s="67" t="n"/>
      <c r="K1099" s="67" t="n"/>
      <c r="L1099" s="67" t="n"/>
      <c r="M1099" s="64" t="n"/>
      <c r="N1099" s="66" t="n"/>
      <c r="O1099" s="84">
        <f>IF(A1099="","",IF(OR(C1099="",D1099=""),"Enter both dates",IF(D1099&lt;C1099,"To is before From",IF(COUNTIFS($P$5:$P$2004,P1099,$C$5:$C$2004,"&lt;="&amp;D1099,$D$5:$D$2004,"&gt;="&amp;C1099)&gt;1,"Overlaps another row","OK"))))</f>
        <v/>
      </c>
      <c r="P1099">
        <f>IF(A1099="","",A1099&amp;"|"&amp;IF(B1099="","Standard",B1099))</f>
        <v/>
      </c>
      <c r="Q1099">
        <f>IF(AND(A1099&lt;&gt;"",A1099='Firm Search'!$C$7),COUNTIF($A$5:A1099,'Firm Search'!$C$7),"")</f>
        <v/>
      </c>
    </row>
    <row r="1100">
      <c r="A1100" s="64" t="n"/>
      <c r="B1100" s="64" t="n"/>
      <c r="C1100" s="66" t="n"/>
      <c r="D1100" s="66" t="n"/>
      <c r="E1100" s="67" t="n"/>
      <c r="F1100" s="67" t="n"/>
      <c r="G1100" s="67" t="n"/>
      <c r="H1100" s="67" t="n"/>
      <c r="I1100" s="67" t="n"/>
      <c r="J1100" s="67" t="n"/>
      <c r="K1100" s="67" t="n"/>
      <c r="L1100" s="67" t="n"/>
      <c r="M1100" s="64" t="n"/>
      <c r="N1100" s="66" t="n"/>
      <c r="O1100" s="84">
        <f>IF(A1100="","",IF(OR(C1100="",D1100=""),"Enter both dates",IF(D1100&lt;C1100,"To is before From",IF(COUNTIFS($P$5:$P$2004,P1100,$C$5:$C$2004,"&lt;="&amp;D1100,$D$5:$D$2004,"&gt;="&amp;C1100)&gt;1,"Overlaps another row","OK"))))</f>
        <v/>
      </c>
      <c r="P1100">
        <f>IF(A1100="","",A1100&amp;"|"&amp;IF(B1100="","Standard",B1100))</f>
        <v/>
      </c>
      <c r="Q1100">
        <f>IF(AND(A1100&lt;&gt;"",A1100='Firm Search'!$C$7),COUNTIF($A$5:A1100,'Firm Search'!$C$7),"")</f>
        <v/>
      </c>
    </row>
    <row r="1101">
      <c r="A1101" s="64" t="n"/>
      <c r="B1101" s="64" t="n"/>
      <c r="C1101" s="66" t="n"/>
      <c r="D1101" s="66" t="n"/>
      <c r="E1101" s="67" t="n"/>
      <c r="F1101" s="67" t="n"/>
      <c r="G1101" s="67" t="n"/>
      <c r="H1101" s="67" t="n"/>
      <c r="I1101" s="67" t="n"/>
      <c r="J1101" s="67" t="n"/>
      <c r="K1101" s="67" t="n"/>
      <c r="L1101" s="67" t="n"/>
      <c r="M1101" s="64" t="n"/>
      <c r="N1101" s="66" t="n"/>
      <c r="O1101" s="84">
        <f>IF(A1101="","",IF(OR(C1101="",D1101=""),"Enter both dates",IF(D1101&lt;C1101,"To is before From",IF(COUNTIFS($P$5:$P$2004,P1101,$C$5:$C$2004,"&lt;="&amp;D1101,$D$5:$D$2004,"&gt;="&amp;C1101)&gt;1,"Overlaps another row","OK"))))</f>
        <v/>
      </c>
      <c r="P1101">
        <f>IF(A1101="","",A1101&amp;"|"&amp;IF(B1101="","Standard",B1101))</f>
        <v/>
      </c>
      <c r="Q1101">
        <f>IF(AND(A1101&lt;&gt;"",A1101='Firm Search'!$C$7),COUNTIF($A$5:A1101,'Firm Search'!$C$7),"")</f>
        <v/>
      </c>
    </row>
    <row r="1102">
      <c r="A1102" s="64" t="n"/>
      <c r="B1102" s="64" t="n"/>
      <c r="C1102" s="66" t="n"/>
      <c r="D1102" s="66" t="n"/>
      <c r="E1102" s="67" t="n"/>
      <c r="F1102" s="67" t="n"/>
      <c r="G1102" s="67" t="n"/>
      <c r="H1102" s="67" t="n"/>
      <c r="I1102" s="67" t="n"/>
      <c r="J1102" s="67" t="n"/>
      <c r="K1102" s="67" t="n"/>
      <c r="L1102" s="67" t="n"/>
      <c r="M1102" s="64" t="n"/>
      <c r="N1102" s="66" t="n"/>
      <c r="O1102" s="84">
        <f>IF(A1102="","",IF(OR(C1102="",D1102=""),"Enter both dates",IF(D1102&lt;C1102,"To is before From",IF(COUNTIFS($P$5:$P$2004,P1102,$C$5:$C$2004,"&lt;="&amp;D1102,$D$5:$D$2004,"&gt;="&amp;C1102)&gt;1,"Overlaps another row","OK"))))</f>
        <v/>
      </c>
      <c r="P1102">
        <f>IF(A1102="","",A1102&amp;"|"&amp;IF(B1102="","Standard",B1102))</f>
        <v/>
      </c>
      <c r="Q1102">
        <f>IF(AND(A1102&lt;&gt;"",A1102='Firm Search'!$C$7),COUNTIF($A$5:A1102,'Firm Search'!$C$7),"")</f>
        <v/>
      </c>
    </row>
    <row r="1103">
      <c r="A1103" s="64" t="n"/>
      <c r="B1103" s="64" t="n"/>
      <c r="C1103" s="66" t="n"/>
      <c r="D1103" s="66" t="n"/>
      <c r="E1103" s="67" t="n"/>
      <c r="F1103" s="67" t="n"/>
      <c r="G1103" s="67" t="n"/>
      <c r="H1103" s="67" t="n"/>
      <c r="I1103" s="67" t="n"/>
      <c r="J1103" s="67" t="n"/>
      <c r="K1103" s="67" t="n"/>
      <c r="L1103" s="67" t="n"/>
      <c r="M1103" s="64" t="n"/>
      <c r="N1103" s="66" t="n"/>
      <c r="O1103" s="84">
        <f>IF(A1103="","",IF(OR(C1103="",D1103=""),"Enter both dates",IF(D1103&lt;C1103,"To is before From",IF(COUNTIFS($P$5:$P$2004,P1103,$C$5:$C$2004,"&lt;="&amp;D1103,$D$5:$D$2004,"&gt;="&amp;C1103)&gt;1,"Overlaps another row","OK"))))</f>
        <v/>
      </c>
      <c r="P1103">
        <f>IF(A1103="","",A1103&amp;"|"&amp;IF(B1103="","Standard",B1103))</f>
        <v/>
      </c>
      <c r="Q1103">
        <f>IF(AND(A1103&lt;&gt;"",A1103='Firm Search'!$C$7),COUNTIF($A$5:A1103,'Firm Search'!$C$7),"")</f>
        <v/>
      </c>
    </row>
    <row r="1104">
      <c r="A1104" s="64" t="n"/>
      <c r="B1104" s="64" t="n"/>
      <c r="C1104" s="66" t="n"/>
      <c r="D1104" s="66" t="n"/>
      <c r="E1104" s="67" t="n"/>
      <c r="F1104" s="67" t="n"/>
      <c r="G1104" s="67" t="n"/>
      <c r="H1104" s="67" t="n"/>
      <c r="I1104" s="67" t="n"/>
      <c r="J1104" s="67" t="n"/>
      <c r="K1104" s="67" t="n"/>
      <c r="L1104" s="67" t="n"/>
      <c r="M1104" s="64" t="n"/>
      <c r="N1104" s="66" t="n"/>
      <c r="O1104" s="84">
        <f>IF(A1104="","",IF(OR(C1104="",D1104=""),"Enter both dates",IF(D1104&lt;C1104,"To is before From",IF(COUNTIFS($P$5:$P$2004,P1104,$C$5:$C$2004,"&lt;="&amp;D1104,$D$5:$D$2004,"&gt;="&amp;C1104)&gt;1,"Overlaps another row","OK"))))</f>
        <v/>
      </c>
      <c r="P1104">
        <f>IF(A1104="","",A1104&amp;"|"&amp;IF(B1104="","Standard",B1104))</f>
        <v/>
      </c>
      <c r="Q1104">
        <f>IF(AND(A1104&lt;&gt;"",A1104='Firm Search'!$C$7),COUNTIF($A$5:A1104,'Firm Search'!$C$7),"")</f>
        <v/>
      </c>
    </row>
    <row r="1105">
      <c r="A1105" s="64" t="n"/>
      <c r="B1105" s="64" t="n"/>
      <c r="C1105" s="66" t="n"/>
      <c r="D1105" s="66" t="n"/>
      <c r="E1105" s="67" t="n"/>
      <c r="F1105" s="67" t="n"/>
      <c r="G1105" s="67" t="n"/>
      <c r="H1105" s="67" t="n"/>
      <c r="I1105" s="67" t="n"/>
      <c r="J1105" s="67" t="n"/>
      <c r="K1105" s="67" t="n"/>
      <c r="L1105" s="67" t="n"/>
      <c r="M1105" s="64" t="n"/>
      <c r="N1105" s="66" t="n"/>
      <c r="O1105" s="84">
        <f>IF(A1105="","",IF(OR(C1105="",D1105=""),"Enter both dates",IF(D1105&lt;C1105,"To is before From",IF(COUNTIFS($P$5:$P$2004,P1105,$C$5:$C$2004,"&lt;="&amp;D1105,$D$5:$D$2004,"&gt;="&amp;C1105)&gt;1,"Overlaps another row","OK"))))</f>
        <v/>
      </c>
      <c r="P1105">
        <f>IF(A1105="","",A1105&amp;"|"&amp;IF(B1105="","Standard",B1105))</f>
        <v/>
      </c>
      <c r="Q1105">
        <f>IF(AND(A1105&lt;&gt;"",A1105='Firm Search'!$C$7),COUNTIF($A$5:A1105,'Firm Search'!$C$7),"")</f>
        <v/>
      </c>
    </row>
    <row r="1106">
      <c r="A1106" s="64" t="n"/>
      <c r="B1106" s="64" t="n"/>
      <c r="C1106" s="66" t="n"/>
      <c r="D1106" s="66" t="n"/>
      <c r="E1106" s="67" t="n"/>
      <c r="F1106" s="67" t="n"/>
      <c r="G1106" s="67" t="n"/>
      <c r="H1106" s="67" t="n"/>
      <c r="I1106" s="67" t="n"/>
      <c r="J1106" s="67" t="n"/>
      <c r="K1106" s="67" t="n"/>
      <c r="L1106" s="67" t="n"/>
      <c r="M1106" s="64" t="n"/>
      <c r="N1106" s="66" t="n"/>
      <c r="O1106" s="84">
        <f>IF(A1106="","",IF(OR(C1106="",D1106=""),"Enter both dates",IF(D1106&lt;C1106,"To is before From",IF(COUNTIFS($P$5:$P$2004,P1106,$C$5:$C$2004,"&lt;="&amp;D1106,$D$5:$D$2004,"&gt;="&amp;C1106)&gt;1,"Overlaps another row","OK"))))</f>
        <v/>
      </c>
      <c r="P1106">
        <f>IF(A1106="","",A1106&amp;"|"&amp;IF(B1106="","Standard",B1106))</f>
        <v/>
      </c>
      <c r="Q1106">
        <f>IF(AND(A1106&lt;&gt;"",A1106='Firm Search'!$C$7),COUNTIF($A$5:A1106,'Firm Search'!$C$7),"")</f>
        <v/>
      </c>
    </row>
    <row r="1107">
      <c r="A1107" s="64" t="n"/>
      <c r="B1107" s="64" t="n"/>
      <c r="C1107" s="66" t="n"/>
      <c r="D1107" s="66" t="n"/>
      <c r="E1107" s="67" t="n"/>
      <c r="F1107" s="67" t="n"/>
      <c r="G1107" s="67" t="n"/>
      <c r="H1107" s="67" t="n"/>
      <c r="I1107" s="67" t="n"/>
      <c r="J1107" s="67" t="n"/>
      <c r="K1107" s="67" t="n"/>
      <c r="L1107" s="67" t="n"/>
      <c r="M1107" s="64" t="n"/>
      <c r="N1107" s="66" t="n"/>
      <c r="O1107" s="84">
        <f>IF(A1107="","",IF(OR(C1107="",D1107=""),"Enter both dates",IF(D1107&lt;C1107,"To is before From",IF(COUNTIFS($P$5:$P$2004,P1107,$C$5:$C$2004,"&lt;="&amp;D1107,$D$5:$D$2004,"&gt;="&amp;C1107)&gt;1,"Overlaps another row","OK"))))</f>
        <v/>
      </c>
      <c r="P1107">
        <f>IF(A1107="","",A1107&amp;"|"&amp;IF(B1107="","Standard",B1107))</f>
        <v/>
      </c>
      <c r="Q1107">
        <f>IF(AND(A1107&lt;&gt;"",A1107='Firm Search'!$C$7),COUNTIF($A$5:A1107,'Firm Search'!$C$7),"")</f>
        <v/>
      </c>
    </row>
    <row r="1108">
      <c r="A1108" s="64" t="n"/>
      <c r="B1108" s="64" t="n"/>
      <c r="C1108" s="66" t="n"/>
      <c r="D1108" s="66" t="n"/>
      <c r="E1108" s="67" t="n"/>
      <c r="F1108" s="67" t="n"/>
      <c r="G1108" s="67" t="n"/>
      <c r="H1108" s="67" t="n"/>
      <c r="I1108" s="67" t="n"/>
      <c r="J1108" s="67" t="n"/>
      <c r="K1108" s="67" t="n"/>
      <c r="L1108" s="67" t="n"/>
      <c r="M1108" s="64" t="n"/>
      <c r="N1108" s="66" t="n"/>
      <c r="O1108" s="84">
        <f>IF(A1108="","",IF(OR(C1108="",D1108=""),"Enter both dates",IF(D1108&lt;C1108,"To is before From",IF(COUNTIFS($P$5:$P$2004,P1108,$C$5:$C$2004,"&lt;="&amp;D1108,$D$5:$D$2004,"&gt;="&amp;C1108)&gt;1,"Overlaps another row","OK"))))</f>
        <v/>
      </c>
      <c r="P1108">
        <f>IF(A1108="","",A1108&amp;"|"&amp;IF(B1108="","Standard",B1108))</f>
        <v/>
      </c>
      <c r="Q1108">
        <f>IF(AND(A1108&lt;&gt;"",A1108='Firm Search'!$C$7),COUNTIF($A$5:A1108,'Firm Search'!$C$7),"")</f>
        <v/>
      </c>
    </row>
    <row r="1109">
      <c r="A1109" s="64" t="n"/>
      <c r="B1109" s="64" t="n"/>
      <c r="C1109" s="66" t="n"/>
      <c r="D1109" s="66" t="n"/>
      <c r="E1109" s="67" t="n"/>
      <c r="F1109" s="67" t="n"/>
      <c r="G1109" s="67" t="n"/>
      <c r="H1109" s="67" t="n"/>
      <c r="I1109" s="67" t="n"/>
      <c r="J1109" s="67" t="n"/>
      <c r="K1109" s="67" t="n"/>
      <c r="L1109" s="67" t="n"/>
      <c r="M1109" s="64" t="n"/>
      <c r="N1109" s="66" t="n"/>
      <c r="O1109" s="84">
        <f>IF(A1109="","",IF(OR(C1109="",D1109=""),"Enter both dates",IF(D1109&lt;C1109,"To is before From",IF(COUNTIFS($P$5:$P$2004,P1109,$C$5:$C$2004,"&lt;="&amp;D1109,$D$5:$D$2004,"&gt;="&amp;C1109)&gt;1,"Overlaps another row","OK"))))</f>
        <v/>
      </c>
      <c r="P1109">
        <f>IF(A1109="","",A1109&amp;"|"&amp;IF(B1109="","Standard",B1109))</f>
        <v/>
      </c>
      <c r="Q1109">
        <f>IF(AND(A1109&lt;&gt;"",A1109='Firm Search'!$C$7),COUNTIF($A$5:A1109,'Firm Search'!$C$7),"")</f>
        <v/>
      </c>
    </row>
    <row r="1110">
      <c r="A1110" s="64" t="n"/>
      <c r="B1110" s="64" t="n"/>
      <c r="C1110" s="66" t="n"/>
      <c r="D1110" s="66" t="n"/>
      <c r="E1110" s="67" t="n"/>
      <c r="F1110" s="67" t="n"/>
      <c r="G1110" s="67" t="n"/>
      <c r="H1110" s="67" t="n"/>
      <c r="I1110" s="67" t="n"/>
      <c r="J1110" s="67" t="n"/>
      <c r="K1110" s="67" t="n"/>
      <c r="L1110" s="67" t="n"/>
      <c r="M1110" s="64" t="n"/>
      <c r="N1110" s="66" t="n"/>
      <c r="O1110" s="84">
        <f>IF(A1110="","",IF(OR(C1110="",D1110=""),"Enter both dates",IF(D1110&lt;C1110,"To is before From",IF(COUNTIFS($P$5:$P$2004,P1110,$C$5:$C$2004,"&lt;="&amp;D1110,$D$5:$D$2004,"&gt;="&amp;C1110)&gt;1,"Overlaps another row","OK"))))</f>
        <v/>
      </c>
      <c r="P1110">
        <f>IF(A1110="","",A1110&amp;"|"&amp;IF(B1110="","Standard",B1110))</f>
        <v/>
      </c>
      <c r="Q1110">
        <f>IF(AND(A1110&lt;&gt;"",A1110='Firm Search'!$C$7),COUNTIF($A$5:A1110,'Firm Search'!$C$7),"")</f>
        <v/>
      </c>
    </row>
    <row r="1111">
      <c r="A1111" s="64" t="n"/>
      <c r="B1111" s="64" t="n"/>
      <c r="C1111" s="66" t="n"/>
      <c r="D1111" s="66" t="n"/>
      <c r="E1111" s="67" t="n"/>
      <c r="F1111" s="67" t="n"/>
      <c r="G1111" s="67" t="n"/>
      <c r="H1111" s="67" t="n"/>
      <c r="I1111" s="67" t="n"/>
      <c r="J1111" s="67" t="n"/>
      <c r="K1111" s="67" t="n"/>
      <c r="L1111" s="67" t="n"/>
      <c r="M1111" s="64" t="n"/>
      <c r="N1111" s="66" t="n"/>
      <c r="O1111" s="84">
        <f>IF(A1111="","",IF(OR(C1111="",D1111=""),"Enter both dates",IF(D1111&lt;C1111,"To is before From",IF(COUNTIFS($P$5:$P$2004,P1111,$C$5:$C$2004,"&lt;="&amp;D1111,$D$5:$D$2004,"&gt;="&amp;C1111)&gt;1,"Overlaps another row","OK"))))</f>
        <v/>
      </c>
      <c r="P1111">
        <f>IF(A1111="","",A1111&amp;"|"&amp;IF(B1111="","Standard",B1111))</f>
        <v/>
      </c>
      <c r="Q1111">
        <f>IF(AND(A1111&lt;&gt;"",A1111='Firm Search'!$C$7),COUNTIF($A$5:A1111,'Firm Search'!$C$7),"")</f>
        <v/>
      </c>
    </row>
    <row r="1112">
      <c r="A1112" s="64" t="n"/>
      <c r="B1112" s="64" t="n"/>
      <c r="C1112" s="66" t="n"/>
      <c r="D1112" s="66" t="n"/>
      <c r="E1112" s="67" t="n"/>
      <c r="F1112" s="67" t="n"/>
      <c r="G1112" s="67" t="n"/>
      <c r="H1112" s="67" t="n"/>
      <c r="I1112" s="67" t="n"/>
      <c r="J1112" s="67" t="n"/>
      <c r="K1112" s="67" t="n"/>
      <c r="L1112" s="67" t="n"/>
      <c r="M1112" s="64" t="n"/>
      <c r="N1112" s="66" t="n"/>
      <c r="O1112" s="84">
        <f>IF(A1112="","",IF(OR(C1112="",D1112=""),"Enter both dates",IF(D1112&lt;C1112,"To is before From",IF(COUNTIFS($P$5:$P$2004,P1112,$C$5:$C$2004,"&lt;="&amp;D1112,$D$5:$D$2004,"&gt;="&amp;C1112)&gt;1,"Overlaps another row","OK"))))</f>
        <v/>
      </c>
      <c r="P1112">
        <f>IF(A1112="","",A1112&amp;"|"&amp;IF(B1112="","Standard",B1112))</f>
        <v/>
      </c>
      <c r="Q1112">
        <f>IF(AND(A1112&lt;&gt;"",A1112='Firm Search'!$C$7),COUNTIF($A$5:A1112,'Firm Search'!$C$7),"")</f>
        <v/>
      </c>
    </row>
    <row r="1113">
      <c r="A1113" s="64" t="n"/>
      <c r="B1113" s="64" t="n"/>
      <c r="C1113" s="66" t="n"/>
      <c r="D1113" s="66" t="n"/>
      <c r="E1113" s="67" t="n"/>
      <c r="F1113" s="67" t="n"/>
      <c r="G1113" s="67" t="n"/>
      <c r="H1113" s="67" t="n"/>
      <c r="I1113" s="67" t="n"/>
      <c r="J1113" s="67" t="n"/>
      <c r="K1113" s="67" t="n"/>
      <c r="L1113" s="67" t="n"/>
      <c r="M1113" s="64" t="n"/>
      <c r="N1113" s="66" t="n"/>
      <c r="O1113" s="84">
        <f>IF(A1113="","",IF(OR(C1113="",D1113=""),"Enter both dates",IF(D1113&lt;C1113,"To is before From",IF(COUNTIFS($P$5:$P$2004,P1113,$C$5:$C$2004,"&lt;="&amp;D1113,$D$5:$D$2004,"&gt;="&amp;C1113)&gt;1,"Overlaps another row","OK"))))</f>
        <v/>
      </c>
      <c r="P1113">
        <f>IF(A1113="","",A1113&amp;"|"&amp;IF(B1113="","Standard",B1113))</f>
        <v/>
      </c>
      <c r="Q1113">
        <f>IF(AND(A1113&lt;&gt;"",A1113='Firm Search'!$C$7),COUNTIF($A$5:A1113,'Firm Search'!$C$7),"")</f>
        <v/>
      </c>
    </row>
    <row r="1114">
      <c r="A1114" s="64" t="n"/>
      <c r="B1114" s="64" t="n"/>
      <c r="C1114" s="66" t="n"/>
      <c r="D1114" s="66" t="n"/>
      <c r="E1114" s="67" t="n"/>
      <c r="F1114" s="67" t="n"/>
      <c r="G1114" s="67" t="n"/>
      <c r="H1114" s="67" t="n"/>
      <c r="I1114" s="67" t="n"/>
      <c r="J1114" s="67" t="n"/>
      <c r="K1114" s="67" t="n"/>
      <c r="L1114" s="67" t="n"/>
      <c r="M1114" s="64" t="n"/>
      <c r="N1114" s="66" t="n"/>
      <c r="O1114" s="84">
        <f>IF(A1114="","",IF(OR(C1114="",D1114=""),"Enter both dates",IF(D1114&lt;C1114,"To is before From",IF(COUNTIFS($P$5:$P$2004,P1114,$C$5:$C$2004,"&lt;="&amp;D1114,$D$5:$D$2004,"&gt;="&amp;C1114)&gt;1,"Overlaps another row","OK"))))</f>
        <v/>
      </c>
      <c r="P1114">
        <f>IF(A1114="","",A1114&amp;"|"&amp;IF(B1114="","Standard",B1114))</f>
        <v/>
      </c>
      <c r="Q1114">
        <f>IF(AND(A1114&lt;&gt;"",A1114='Firm Search'!$C$7),COUNTIF($A$5:A1114,'Firm Search'!$C$7),"")</f>
        <v/>
      </c>
    </row>
    <row r="1115">
      <c r="A1115" s="64" t="n"/>
      <c r="B1115" s="64" t="n"/>
      <c r="C1115" s="66" t="n"/>
      <c r="D1115" s="66" t="n"/>
      <c r="E1115" s="67" t="n"/>
      <c r="F1115" s="67" t="n"/>
      <c r="G1115" s="67" t="n"/>
      <c r="H1115" s="67" t="n"/>
      <c r="I1115" s="67" t="n"/>
      <c r="J1115" s="67" t="n"/>
      <c r="K1115" s="67" t="n"/>
      <c r="L1115" s="67" t="n"/>
      <c r="M1115" s="64" t="n"/>
      <c r="N1115" s="66" t="n"/>
      <c r="O1115" s="84">
        <f>IF(A1115="","",IF(OR(C1115="",D1115=""),"Enter both dates",IF(D1115&lt;C1115,"To is before From",IF(COUNTIFS($P$5:$P$2004,P1115,$C$5:$C$2004,"&lt;="&amp;D1115,$D$5:$D$2004,"&gt;="&amp;C1115)&gt;1,"Overlaps another row","OK"))))</f>
        <v/>
      </c>
      <c r="P1115">
        <f>IF(A1115="","",A1115&amp;"|"&amp;IF(B1115="","Standard",B1115))</f>
        <v/>
      </c>
      <c r="Q1115">
        <f>IF(AND(A1115&lt;&gt;"",A1115='Firm Search'!$C$7),COUNTIF($A$5:A1115,'Firm Search'!$C$7),"")</f>
        <v/>
      </c>
    </row>
    <row r="1116">
      <c r="A1116" s="64" t="n"/>
      <c r="B1116" s="64" t="n"/>
      <c r="C1116" s="66" t="n"/>
      <c r="D1116" s="66" t="n"/>
      <c r="E1116" s="67" t="n"/>
      <c r="F1116" s="67" t="n"/>
      <c r="G1116" s="67" t="n"/>
      <c r="H1116" s="67" t="n"/>
      <c r="I1116" s="67" t="n"/>
      <c r="J1116" s="67" t="n"/>
      <c r="K1116" s="67" t="n"/>
      <c r="L1116" s="67" t="n"/>
      <c r="M1116" s="64" t="n"/>
      <c r="N1116" s="66" t="n"/>
      <c r="O1116" s="84">
        <f>IF(A1116="","",IF(OR(C1116="",D1116=""),"Enter both dates",IF(D1116&lt;C1116,"To is before From",IF(COUNTIFS($P$5:$P$2004,P1116,$C$5:$C$2004,"&lt;="&amp;D1116,$D$5:$D$2004,"&gt;="&amp;C1116)&gt;1,"Overlaps another row","OK"))))</f>
        <v/>
      </c>
      <c r="P1116">
        <f>IF(A1116="","",A1116&amp;"|"&amp;IF(B1116="","Standard",B1116))</f>
        <v/>
      </c>
      <c r="Q1116">
        <f>IF(AND(A1116&lt;&gt;"",A1116='Firm Search'!$C$7),COUNTIF($A$5:A1116,'Firm Search'!$C$7),"")</f>
        <v/>
      </c>
    </row>
    <row r="1117">
      <c r="A1117" s="64" t="n"/>
      <c r="B1117" s="64" t="n"/>
      <c r="C1117" s="66" t="n"/>
      <c r="D1117" s="66" t="n"/>
      <c r="E1117" s="67" t="n"/>
      <c r="F1117" s="67" t="n"/>
      <c r="G1117" s="67" t="n"/>
      <c r="H1117" s="67" t="n"/>
      <c r="I1117" s="67" t="n"/>
      <c r="J1117" s="67" t="n"/>
      <c r="K1117" s="67" t="n"/>
      <c r="L1117" s="67" t="n"/>
      <c r="M1117" s="64" t="n"/>
      <c r="N1117" s="66" t="n"/>
      <c r="O1117" s="84">
        <f>IF(A1117="","",IF(OR(C1117="",D1117=""),"Enter both dates",IF(D1117&lt;C1117,"To is before From",IF(COUNTIFS($P$5:$P$2004,P1117,$C$5:$C$2004,"&lt;="&amp;D1117,$D$5:$D$2004,"&gt;="&amp;C1117)&gt;1,"Overlaps another row","OK"))))</f>
        <v/>
      </c>
      <c r="P1117">
        <f>IF(A1117="","",A1117&amp;"|"&amp;IF(B1117="","Standard",B1117))</f>
        <v/>
      </c>
      <c r="Q1117">
        <f>IF(AND(A1117&lt;&gt;"",A1117='Firm Search'!$C$7),COUNTIF($A$5:A1117,'Firm Search'!$C$7),"")</f>
        <v/>
      </c>
    </row>
    <row r="1118">
      <c r="A1118" s="64" t="n"/>
      <c r="B1118" s="64" t="n"/>
      <c r="C1118" s="66" t="n"/>
      <c r="D1118" s="66" t="n"/>
      <c r="E1118" s="67" t="n"/>
      <c r="F1118" s="67" t="n"/>
      <c r="G1118" s="67" t="n"/>
      <c r="H1118" s="67" t="n"/>
      <c r="I1118" s="67" t="n"/>
      <c r="J1118" s="67" t="n"/>
      <c r="K1118" s="67" t="n"/>
      <c r="L1118" s="67" t="n"/>
      <c r="M1118" s="64" t="n"/>
      <c r="N1118" s="66" t="n"/>
      <c r="O1118" s="84">
        <f>IF(A1118="","",IF(OR(C1118="",D1118=""),"Enter both dates",IF(D1118&lt;C1118,"To is before From",IF(COUNTIFS($P$5:$P$2004,P1118,$C$5:$C$2004,"&lt;="&amp;D1118,$D$5:$D$2004,"&gt;="&amp;C1118)&gt;1,"Overlaps another row","OK"))))</f>
        <v/>
      </c>
      <c r="P1118">
        <f>IF(A1118="","",A1118&amp;"|"&amp;IF(B1118="","Standard",B1118))</f>
        <v/>
      </c>
      <c r="Q1118">
        <f>IF(AND(A1118&lt;&gt;"",A1118='Firm Search'!$C$7),COUNTIF($A$5:A1118,'Firm Search'!$C$7),"")</f>
        <v/>
      </c>
    </row>
    <row r="1119">
      <c r="A1119" s="64" t="n"/>
      <c r="B1119" s="64" t="n"/>
      <c r="C1119" s="66" t="n"/>
      <c r="D1119" s="66" t="n"/>
      <c r="E1119" s="67" t="n"/>
      <c r="F1119" s="67" t="n"/>
      <c r="G1119" s="67" t="n"/>
      <c r="H1119" s="67" t="n"/>
      <c r="I1119" s="67" t="n"/>
      <c r="J1119" s="67" t="n"/>
      <c r="K1119" s="67" t="n"/>
      <c r="L1119" s="67" t="n"/>
      <c r="M1119" s="64" t="n"/>
      <c r="N1119" s="66" t="n"/>
      <c r="O1119" s="84">
        <f>IF(A1119="","",IF(OR(C1119="",D1119=""),"Enter both dates",IF(D1119&lt;C1119,"To is before From",IF(COUNTIFS($P$5:$P$2004,P1119,$C$5:$C$2004,"&lt;="&amp;D1119,$D$5:$D$2004,"&gt;="&amp;C1119)&gt;1,"Overlaps another row","OK"))))</f>
        <v/>
      </c>
      <c r="P1119">
        <f>IF(A1119="","",A1119&amp;"|"&amp;IF(B1119="","Standard",B1119))</f>
        <v/>
      </c>
      <c r="Q1119">
        <f>IF(AND(A1119&lt;&gt;"",A1119='Firm Search'!$C$7),COUNTIF($A$5:A1119,'Firm Search'!$C$7),"")</f>
        <v/>
      </c>
    </row>
    <row r="1120">
      <c r="A1120" s="64" t="n"/>
      <c r="B1120" s="64" t="n"/>
      <c r="C1120" s="66" t="n"/>
      <c r="D1120" s="66" t="n"/>
      <c r="E1120" s="67" t="n"/>
      <c r="F1120" s="67" t="n"/>
      <c r="G1120" s="67" t="n"/>
      <c r="H1120" s="67" t="n"/>
      <c r="I1120" s="67" t="n"/>
      <c r="J1120" s="67" t="n"/>
      <c r="K1120" s="67" t="n"/>
      <c r="L1120" s="67" t="n"/>
      <c r="M1120" s="64" t="n"/>
      <c r="N1120" s="66" t="n"/>
      <c r="O1120" s="84">
        <f>IF(A1120="","",IF(OR(C1120="",D1120=""),"Enter both dates",IF(D1120&lt;C1120,"To is before From",IF(COUNTIFS($P$5:$P$2004,P1120,$C$5:$C$2004,"&lt;="&amp;D1120,$D$5:$D$2004,"&gt;="&amp;C1120)&gt;1,"Overlaps another row","OK"))))</f>
        <v/>
      </c>
      <c r="P1120">
        <f>IF(A1120="","",A1120&amp;"|"&amp;IF(B1120="","Standard",B1120))</f>
        <v/>
      </c>
      <c r="Q1120">
        <f>IF(AND(A1120&lt;&gt;"",A1120='Firm Search'!$C$7),COUNTIF($A$5:A1120,'Firm Search'!$C$7),"")</f>
        <v/>
      </c>
    </row>
    <row r="1121">
      <c r="A1121" s="64" t="n"/>
      <c r="B1121" s="64" t="n"/>
      <c r="C1121" s="66" t="n"/>
      <c r="D1121" s="66" t="n"/>
      <c r="E1121" s="67" t="n"/>
      <c r="F1121" s="67" t="n"/>
      <c r="G1121" s="67" t="n"/>
      <c r="H1121" s="67" t="n"/>
      <c r="I1121" s="67" t="n"/>
      <c r="J1121" s="67" t="n"/>
      <c r="K1121" s="67" t="n"/>
      <c r="L1121" s="67" t="n"/>
      <c r="M1121" s="64" t="n"/>
      <c r="N1121" s="66" t="n"/>
      <c r="O1121" s="84">
        <f>IF(A1121="","",IF(OR(C1121="",D1121=""),"Enter both dates",IF(D1121&lt;C1121,"To is before From",IF(COUNTIFS($P$5:$P$2004,P1121,$C$5:$C$2004,"&lt;="&amp;D1121,$D$5:$D$2004,"&gt;="&amp;C1121)&gt;1,"Overlaps another row","OK"))))</f>
        <v/>
      </c>
      <c r="P1121">
        <f>IF(A1121="","",A1121&amp;"|"&amp;IF(B1121="","Standard",B1121))</f>
        <v/>
      </c>
      <c r="Q1121">
        <f>IF(AND(A1121&lt;&gt;"",A1121='Firm Search'!$C$7),COUNTIF($A$5:A1121,'Firm Search'!$C$7),"")</f>
        <v/>
      </c>
    </row>
    <row r="1122">
      <c r="A1122" s="64" t="n"/>
      <c r="B1122" s="64" t="n"/>
      <c r="C1122" s="66" t="n"/>
      <c r="D1122" s="66" t="n"/>
      <c r="E1122" s="67" t="n"/>
      <c r="F1122" s="67" t="n"/>
      <c r="G1122" s="67" t="n"/>
      <c r="H1122" s="67" t="n"/>
      <c r="I1122" s="67" t="n"/>
      <c r="J1122" s="67" t="n"/>
      <c r="K1122" s="67" t="n"/>
      <c r="L1122" s="67" t="n"/>
      <c r="M1122" s="64" t="n"/>
      <c r="N1122" s="66" t="n"/>
      <c r="O1122" s="84">
        <f>IF(A1122="","",IF(OR(C1122="",D1122=""),"Enter both dates",IF(D1122&lt;C1122,"To is before From",IF(COUNTIFS($P$5:$P$2004,P1122,$C$5:$C$2004,"&lt;="&amp;D1122,$D$5:$D$2004,"&gt;="&amp;C1122)&gt;1,"Overlaps another row","OK"))))</f>
        <v/>
      </c>
      <c r="P1122">
        <f>IF(A1122="","",A1122&amp;"|"&amp;IF(B1122="","Standard",B1122))</f>
        <v/>
      </c>
      <c r="Q1122">
        <f>IF(AND(A1122&lt;&gt;"",A1122='Firm Search'!$C$7),COUNTIF($A$5:A1122,'Firm Search'!$C$7),"")</f>
        <v/>
      </c>
    </row>
    <row r="1123">
      <c r="A1123" s="64" t="n"/>
      <c r="B1123" s="64" t="n"/>
      <c r="C1123" s="66" t="n"/>
      <c r="D1123" s="66" t="n"/>
      <c r="E1123" s="67" t="n"/>
      <c r="F1123" s="67" t="n"/>
      <c r="G1123" s="67" t="n"/>
      <c r="H1123" s="67" t="n"/>
      <c r="I1123" s="67" t="n"/>
      <c r="J1123" s="67" t="n"/>
      <c r="K1123" s="67" t="n"/>
      <c r="L1123" s="67" t="n"/>
      <c r="M1123" s="64" t="n"/>
      <c r="N1123" s="66" t="n"/>
      <c r="O1123" s="84">
        <f>IF(A1123="","",IF(OR(C1123="",D1123=""),"Enter both dates",IF(D1123&lt;C1123,"To is before From",IF(COUNTIFS($P$5:$P$2004,P1123,$C$5:$C$2004,"&lt;="&amp;D1123,$D$5:$D$2004,"&gt;="&amp;C1123)&gt;1,"Overlaps another row","OK"))))</f>
        <v/>
      </c>
      <c r="P1123">
        <f>IF(A1123="","",A1123&amp;"|"&amp;IF(B1123="","Standard",B1123))</f>
        <v/>
      </c>
      <c r="Q1123">
        <f>IF(AND(A1123&lt;&gt;"",A1123='Firm Search'!$C$7),COUNTIF($A$5:A1123,'Firm Search'!$C$7),"")</f>
        <v/>
      </c>
    </row>
    <row r="1124">
      <c r="A1124" s="64" t="n"/>
      <c r="B1124" s="64" t="n"/>
      <c r="C1124" s="66" t="n"/>
      <c r="D1124" s="66" t="n"/>
      <c r="E1124" s="67" t="n"/>
      <c r="F1124" s="67" t="n"/>
      <c r="G1124" s="67" t="n"/>
      <c r="H1124" s="67" t="n"/>
      <c r="I1124" s="67" t="n"/>
      <c r="J1124" s="67" t="n"/>
      <c r="K1124" s="67" t="n"/>
      <c r="L1124" s="67" t="n"/>
      <c r="M1124" s="64" t="n"/>
      <c r="N1124" s="66" t="n"/>
      <c r="O1124" s="84">
        <f>IF(A1124="","",IF(OR(C1124="",D1124=""),"Enter both dates",IF(D1124&lt;C1124,"To is before From",IF(COUNTIFS($P$5:$P$2004,P1124,$C$5:$C$2004,"&lt;="&amp;D1124,$D$5:$D$2004,"&gt;="&amp;C1124)&gt;1,"Overlaps another row","OK"))))</f>
        <v/>
      </c>
      <c r="P1124">
        <f>IF(A1124="","",A1124&amp;"|"&amp;IF(B1124="","Standard",B1124))</f>
        <v/>
      </c>
      <c r="Q1124">
        <f>IF(AND(A1124&lt;&gt;"",A1124='Firm Search'!$C$7),COUNTIF($A$5:A1124,'Firm Search'!$C$7),"")</f>
        <v/>
      </c>
    </row>
    <row r="1125">
      <c r="A1125" s="64" t="n"/>
      <c r="B1125" s="64" t="n"/>
      <c r="C1125" s="66" t="n"/>
      <c r="D1125" s="66" t="n"/>
      <c r="E1125" s="67" t="n"/>
      <c r="F1125" s="67" t="n"/>
      <c r="G1125" s="67" t="n"/>
      <c r="H1125" s="67" t="n"/>
      <c r="I1125" s="67" t="n"/>
      <c r="J1125" s="67" t="n"/>
      <c r="K1125" s="67" t="n"/>
      <c r="L1125" s="67" t="n"/>
      <c r="M1125" s="64" t="n"/>
      <c r="N1125" s="66" t="n"/>
      <c r="O1125" s="84">
        <f>IF(A1125="","",IF(OR(C1125="",D1125=""),"Enter both dates",IF(D1125&lt;C1125,"To is before From",IF(COUNTIFS($P$5:$P$2004,P1125,$C$5:$C$2004,"&lt;="&amp;D1125,$D$5:$D$2004,"&gt;="&amp;C1125)&gt;1,"Overlaps another row","OK"))))</f>
        <v/>
      </c>
      <c r="P1125">
        <f>IF(A1125="","",A1125&amp;"|"&amp;IF(B1125="","Standard",B1125))</f>
        <v/>
      </c>
      <c r="Q1125">
        <f>IF(AND(A1125&lt;&gt;"",A1125='Firm Search'!$C$7),COUNTIF($A$5:A1125,'Firm Search'!$C$7),"")</f>
        <v/>
      </c>
    </row>
    <row r="1126">
      <c r="A1126" s="64" t="n"/>
      <c r="B1126" s="64" t="n"/>
      <c r="C1126" s="66" t="n"/>
      <c r="D1126" s="66" t="n"/>
      <c r="E1126" s="67" t="n"/>
      <c r="F1126" s="67" t="n"/>
      <c r="G1126" s="67" t="n"/>
      <c r="H1126" s="67" t="n"/>
      <c r="I1126" s="67" t="n"/>
      <c r="J1126" s="67" t="n"/>
      <c r="K1126" s="67" t="n"/>
      <c r="L1126" s="67" t="n"/>
      <c r="M1126" s="64" t="n"/>
      <c r="N1126" s="66" t="n"/>
      <c r="O1126" s="84">
        <f>IF(A1126="","",IF(OR(C1126="",D1126=""),"Enter both dates",IF(D1126&lt;C1126,"To is before From",IF(COUNTIFS($P$5:$P$2004,P1126,$C$5:$C$2004,"&lt;="&amp;D1126,$D$5:$D$2004,"&gt;="&amp;C1126)&gt;1,"Overlaps another row","OK"))))</f>
        <v/>
      </c>
      <c r="P1126">
        <f>IF(A1126="","",A1126&amp;"|"&amp;IF(B1126="","Standard",B1126))</f>
        <v/>
      </c>
      <c r="Q1126">
        <f>IF(AND(A1126&lt;&gt;"",A1126='Firm Search'!$C$7),COUNTIF($A$5:A1126,'Firm Search'!$C$7),"")</f>
        <v/>
      </c>
    </row>
    <row r="1127">
      <c r="A1127" s="64" t="n"/>
      <c r="B1127" s="64" t="n"/>
      <c r="C1127" s="66" t="n"/>
      <c r="D1127" s="66" t="n"/>
      <c r="E1127" s="67" t="n"/>
      <c r="F1127" s="67" t="n"/>
      <c r="G1127" s="67" t="n"/>
      <c r="H1127" s="67" t="n"/>
      <c r="I1127" s="67" t="n"/>
      <c r="J1127" s="67" t="n"/>
      <c r="K1127" s="67" t="n"/>
      <c r="L1127" s="67" t="n"/>
      <c r="M1127" s="64" t="n"/>
      <c r="N1127" s="66" t="n"/>
      <c r="O1127" s="84">
        <f>IF(A1127="","",IF(OR(C1127="",D1127=""),"Enter both dates",IF(D1127&lt;C1127,"To is before From",IF(COUNTIFS($P$5:$P$2004,P1127,$C$5:$C$2004,"&lt;="&amp;D1127,$D$5:$D$2004,"&gt;="&amp;C1127)&gt;1,"Overlaps another row","OK"))))</f>
        <v/>
      </c>
      <c r="P1127">
        <f>IF(A1127="","",A1127&amp;"|"&amp;IF(B1127="","Standard",B1127))</f>
        <v/>
      </c>
      <c r="Q1127">
        <f>IF(AND(A1127&lt;&gt;"",A1127='Firm Search'!$C$7),COUNTIF($A$5:A1127,'Firm Search'!$C$7),"")</f>
        <v/>
      </c>
    </row>
    <row r="1128">
      <c r="A1128" s="64" t="n"/>
      <c r="B1128" s="64" t="n"/>
      <c r="C1128" s="66" t="n"/>
      <c r="D1128" s="66" t="n"/>
      <c r="E1128" s="67" t="n"/>
      <c r="F1128" s="67" t="n"/>
      <c r="G1128" s="67" t="n"/>
      <c r="H1128" s="67" t="n"/>
      <c r="I1128" s="67" t="n"/>
      <c r="J1128" s="67" t="n"/>
      <c r="K1128" s="67" t="n"/>
      <c r="L1128" s="67" t="n"/>
      <c r="M1128" s="64" t="n"/>
      <c r="N1128" s="66" t="n"/>
      <c r="O1128" s="84">
        <f>IF(A1128="","",IF(OR(C1128="",D1128=""),"Enter both dates",IF(D1128&lt;C1128,"To is before From",IF(COUNTIFS($P$5:$P$2004,P1128,$C$5:$C$2004,"&lt;="&amp;D1128,$D$5:$D$2004,"&gt;="&amp;C1128)&gt;1,"Overlaps another row","OK"))))</f>
        <v/>
      </c>
      <c r="P1128">
        <f>IF(A1128="","",A1128&amp;"|"&amp;IF(B1128="","Standard",B1128))</f>
        <v/>
      </c>
      <c r="Q1128">
        <f>IF(AND(A1128&lt;&gt;"",A1128='Firm Search'!$C$7),COUNTIF($A$5:A1128,'Firm Search'!$C$7),"")</f>
        <v/>
      </c>
    </row>
    <row r="1129">
      <c r="A1129" s="64" t="n"/>
      <c r="B1129" s="64" t="n"/>
      <c r="C1129" s="66" t="n"/>
      <c r="D1129" s="66" t="n"/>
      <c r="E1129" s="67" t="n"/>
      <c r="F1129" s="67" t="n"/>
      <c r="G1129" s="67" t="n"/>
      <c r="H1129" s="67" t="n"/>
      <c r="I1129" s="67" t="n"/>
      <c r="J1129" s="67" t="n"/>
      <c r="K1129" s="67" t="n"/>
      <c r="L1129" s="67" t="n"/>
      <c r="M1129" s="64" t="n"/>
      <c r="N1129" s="66" t="n"/>
      <c r="O1129" s="84">
        <f>IF(A1129="","",IF(OR(C1129="",D1129=""),"Enter both dates",IF(D1129&lt;C1129,"To is before From",IF(COUNTIFS($P$5:$P$2004,P1129,$C$5:$C$2004,"&lt;="&amp;D1129,$D$5:$D$2004,"&gt;="&amp;C1129)&gt;1,"Overlaps another row","OK"))))</f>
        <v/>
      </c>
      <c r="P1129">
        <f>IF(A1129="","",A1129&amp;"|"&amp;IF(B1129="","Standard",B1129))</f>
        <v/>
      </c>
      <c r="Q1129">
        <f>IF(AND(A1129&lt;&gt;"",A1129='Firm Search'!$C$7),COUNTIF($A$5:A1129,'Firm Search'!$C$7),"")</f>
        <v/>
      </c>
    </row>
    <row r="1130">
      <c r="A1130" s="64" t="n"/>
      <c r="B1130" s="64" t="n"/>
      <c r="C1130" s="66" t="n"/>
      <c r="D1130" s="66" t="n"/>
      <c r="E1130" s="67" t="n"/>
      <c r="F1130" s="67" t="n"/>
      <c r="G1130" s="67" t="n"/>
      <c r="H1130" s="67" t="n"/>
      <c r="I1130" s="67" t="n"/>
      <c r="J1130" s="67" t="n"/>
      <c r="K1130" s="67" t="n"/>
      <c r="L1130" s="67" t="n"/>
      <c r="M1130" s="64" t="n"/>
      <c r="N1130" s="66" t="n"/>
      <c r="O1130" s="84">
        <f>IF(A1130="","",IF(OR(C1130="",D1130=""),"Enter both dates",IF(D1130&lt;C1130,"To is before From",IF(COUNTIFS($P$5:$P$2004,P1130,$C$5:$C$2004,"&lt;="&amp;D1130,$D$5:$D$2004,"&gt;="&amp;C1130)&gt;1,"Overlaps another row","OK"))))</f>
        <v/>
      </c>
      <c r="P1130">
        <f>IF(A1130="","",A1130&amp;"|"&amp;IF(B1130="","Standard",B1130))</f>
        <v/>
      </c>
      <c r="Q1130">
        <f>IF(AND(A1130&lt;&gt;"",A1130='Firm Search'!$C$7),COUNTIF($A$5:A1130,'Firm Search'!$C$7),"")</f>
        <v/>
      </c>
    </row>
    <row r="1131">
      <c r="A1131" s="64" t="n"/>
      <c r="B1131" s="64" t="n"/>
      <c r="C1131" s="66" t="n"/>
      <c r="D1131" s="66" t="n"/>
      <c r="E1131" s="67" t="n"/>
      <c r="F1131" s="67" t="n"/>
      <c r="G1131" s="67" t="n"/>
      <c r="H1131" s="67" t="n"/>
      <c r="I1131" s="67" t="n"/>
      <c r="J1131" s="67" t="n"/>
      <c r="K1131" s="67" t="n"/>
      <c r="L1131" s="67" t="n"/>
      <c r="M1131" s="64" t="n"/>
      <c r="N1131" s="66" t="n"/>
      <c r="O1131" s="84">
        <f>IF(A1131="","",IF(OR(C1131="",D1131=""),"Enter both dates",IF(D1131&lt;C1131,"To is before From",IF(COUNTIFS($P$5:$P$2004,P1131,$C$5:$C$2004,"&lt;="&amp;D1131,$D$5:$D$2004,"&gt;="&amp;C1131)&gt;1,"Overlaps another row","OK"))))</f>
        <v/>
      </c>
      <c r="P1131">
        <f>IF(A1131="","",A1131&amp;"|"&amp;IF(B1131="","Standard",B1131))</f>
        <v/>
      </c>
      <c r="Q1131">
        <f>IF(AND(A1131&lt;&gt;"",A1131='Firm Search'!$C$7),COUNTIF($A$5:A1131,'Firm Search'!$C$7),"")</f>
        <v/>
      </c>
    </row>
    <row r="1132">
      <c r="A1132" s="64" t="n"/>
      <c r="B1132" s="64" t="n"/>
      <c r="C1132" s="66" t="n"/>
      <c r="D1132" s="66" t="n"/>
      <c r="E1132" s="67" t="n"/>
      <c r="F1132" s="67" t="n"/>
      <c r="G1132" s="67" t="n"/>
      <c r="H1132" s="67" t="n"/>
      <c r="I1132" s="67" t="n"/>
      <c r="J1132" s="67" t="n"/>
      <c r="K1132" s="67" t="n"/>
      <c r="L1132" s="67" t="n"/>
      <c r="M1132" s="64" t="n"/>
      <c r="N1132" s="66" t="n"/>
      <c r="O1132" s="84">
        <f>IF(A1132="","",IF(OR(C1132="",D1132=""),"Enter both dates",IF(D1132&lt;C1132,"To is before From",IF(COUNTIFS($P$5:$P$2004,P1132,$C$5:$C$2004,"&lt;="&amp;D1132,$D$5:$D$2004,"&gt;="&amp;C1132)&gt;1,"Overlaps another row","OK"))))</f>
        <v/>
      </c>
      <c r="P1132">
        <f>IF(A1132="","",A1132&amp;"|"&amp;IF(B1132="","Standard",B1132))</f>
        <v/>
      </c>
      <c r="Q1132">
        <f>IF(AND(A1132&lt;&gt;"",A1132='Firm Search'!$C$7),COUNTIF($A$5:A1132,'Firm Search'!$C$7),"")</f>
        <v/>
      </c>
    </row>
    <row r="1133">
      <c r="A1133" s="64" t="n"/>
      <c r="B1133" s="64" t="n"/>
      <c r="C1133" s="66" t="n"/>
      <c r="D1133" s="66" t="n"/>
      <c r="E1133" s="67" t="n"/>
      <c r="F1133" s="67" t="n"/>
      <c r="G1133" s="67" t="n"/>
      <c r="H1133" s="67" t="n"/>
      <c r="I1133" s="67" t="n"/>
      <c r="J1133" s="67" t="n"/>
      <c r="K1133" s="67" t="n"/>
      <c r="L1133" s="67" t="n"/>
      <c r="M1133" s="64" t="n"/>
      <c r="N1133" s="66" t="n"/>
      <c r="O1133" s="84">
        <f>IF(A1133="","",IF(OR(C1133="",D1133=""),"Enter both dates",IF(D1133&lt;C1133,"To is before From",IF(COUNTIFS($P$5:$P$2004,P1133,$C$5:$C$2004,"&lt;="&amp;D1133,$D$5:$D$2004,"&gt;="&amp;C1133)&gt;1,"Overlaps another row","OK"))))</f>
        <v/>
      </c>
      <c r="P1133">
        <f>IF(A1133="","",A1133&amp;"|"&amp;IF(B1133="","Standard",B1133))</f>
        <v/>
      </c>
      <c r="Q1133">
        <f>IF(AND(A1133&lt;&gt;"",A1133='Firm Search'!$C$7),COUNTIF($A$5:A1133,'Firm Search'!$C$7),"")</f>
        <v/>
      </c>
    </row>
    <row r="1134">
      <c r="A1134" s="64" t="n"/>
      <c r="B1134" s="64" t="n"/>
      <c r="C1134" s="66" t="n"/>
      <c r="D1134" s="66" t="n"/>
      <c r="E1134" s="67" t="n"/>
      <c r="F1134" s="67" t="n"/>
      <c r="G1134" s="67" t="n"/>
      <c r="H1134" s="67" t="n"/>
      <c r="I1134" s="67" t="n"/>
      <c r="J1134" s="67" t="n"/>
      <c r="K1134" s="67" t="n"/>
      <c r="L1134" s="67" t="n"/>
      <c r="M1134" s="64" t="n"/>
      <c r="N1134" s="66" t="n"/>
      <c r="O1134" s="84">
        <f>IF(A1134="","",IF(OR(C1134="",D1134=""),"Enter both dates",IF(D1134&lt;C1134,"To is before From",IF(COUNTIFS($P$5:$P$2004,P1134,$C$5:$C$2004,"&lt;="&amp;D1134,$D$5:$D$2004,"&gt;="&amp;C1134)&gt;1,"Overlaps another row","OK"))))</f>
        <v/>
      </c>
      <c r="P1134">
        <f>IF(A1134="","",A1134&amp;"|"&amp;IF(B1134="","Standard",B1134))</f>
        <v/>
      </c>
      <c r="Q1134">
        <f>IF(AND(A1134&lt;&gt;"",A1134='Firm Search'!$C$7),COUNTIF($A$5:A1134,'Firm Search'!$C$7),"")</f>
        <v/>
      </c>
    </row>
    <row r="1135">
      <c r="A1135" s="64" t="n"/>
      <c r="B1135" s="64" t="n"/>
      <c r="C1135" s="66" t="n"/>
      <c r="D1135" s="66" t="n"/>
      <c r="E1135" s="67" t="n"/>
      <c r="F1135" s="67" t="n"/>
      <c r="G1135" s="67" t="n"/>
      <c r="H1135" s="67" t="n"/>
      <c r="I1135" s="67" t="n"/>
      <c r="J1135" s="67" t="n"/>
      <c r="K1135" s="67" t="n"/>
      <c r="L1135" s="67" t="n"/>
      <c r="M1135" s="64" t="n"/>
      <c r="N1135" s="66" t="n"/>
      <c r="O1135" s="84">
        <f>IF(A1135="","",IF(OR(C1135="",D1135=""),"Enter both dates",IF(D1135&lt;C1135,"To is before From",IF(COUNTIFS($P$5:$P$2004,P1135,$C$5:$C$2004,"&lt;="&amp;D1135,$D$5:$D$2004,"&gt;="&amp;C1135)&gt;1,"Overlaps another row","OK"))))</f>
        <v/>
      </c>
      <c r="P1135">
        <f>IF(A1135="","",A1135&amp;"|"&amp;IF(B1135="","Standard",B1135))</f>
        <v/>
      </c>
      <c r="Q1135">
        <f>IF(AND(A1135&lt;&gt;"",A1135='Firm Search'!$C$7),COUNTIF($A$5:A1135,'Firm Search'!$C$7),"")</f>
        <v/>
      </c>
    </row>
    <row r="1136">
      <c r="A1136" s="64" t="n"/>
      <c r="B1136" s="64" t="n"/>
      <c r="C1136" s="66" t="n"/>
      <c r="D1136" s="66" t="n"/>
      <c r="E1136" s="67" t="n"/>
      <c r="F1136" s="67" t="n"/>
      <c r="G1136" s="67" t="n"/>
      <c r="H1136" s="67" t="n"/>
      <c r="I1136" s="67" t="n"/>
      <c r="J1136" s="67" t="n"/>
      <c r="K1136" s="67" t="n"/>
      <c r="L1136" s="67" t="n"/>
      <c r="M1136" s="64" t="n"/>
      <c r="N1136" s="66" t="n"/>
      <c r="O1136" s="84">
        <f>IF(A1136="","",IF(OR(C1136="",D1136=""),"Enter both dates",IF(D1136&lt;C1136,"To is before From",IF(COUNTIFS($P$5:$P$2004,P1136,$C$5:$C$2004,"&lt;="&amp;D1136,$D$5:$D$2004,"&gt;="&amp;C1136)&gt;1,"Overlaps another row","OK"))))</f>
        <v/>
      </c>
      <c r="P1136">
        <f>IF(A1136="","",A1136&amp;"|"&amp;IF(B1136="","Standard",B1136))</f>
        <v/>
      </c>
      <c r="Q1136">
        <f>IF(AND(A1136&lt;&gt;"",A1136='Firm Search'!$C$7),COUNTIF($A$5:A1136,'Firm Search'!$C$7),"")</f>
        <v/>
      </c>
    </row>
    <row r="1137">
      <c r="A1137" s="64" t="n"/>
      <c r="B1137" s="64" t="n"/>
      <c r="C1137" s="66" t="n"/>
      <c r="D1137" s="66" t="n"/>
      <c r="E1137" s="67" t="n"/>
      <c r="F1137" s="67" t="n"/>
      <c r="G1137" s="67" t="n"/>
      <c r="H1137" s="67" t="n"/>
      <c r="I1137" s="67" t="n"/>
      <c r="J1137" s="67" t="n"/>
      <c r="K1137" s="67" t="n"/>
      <c r="L1137" s="67" t="n"/>
      <c r="M1137" s="64" t="n"/>
      <c r="N1137" s="66" t="n"/>
      <c r="O1137" s="84">
        <f>IF(A1137="","",IF(OR(C1137="",D1137=""),"Enter both dates",IF(D1137&lt;C1137,"To is before From",IF(COUNTIFS($P$5:$P$2004,P1137,$C$5:$C$2004,"&lt;="&amp;D1137,$D$5:$D$2004,"&gt;="&amp;C1137)&gt;1,"Overlaps another row","OK"))))</f>
        <v/>
      </c>
      <c r="P1137">
        <f>IF(A1137="","",A1137&amp;"|"&amp;IF(B1137="","Standard",B1137))</f>
        <v/>
      </c>
      <c r="Q1137">
        <f>IF(AND(A1137&lt;&gt;"",A1137='Firm Search'!$C$7),COUNTIF($A$5:A1137,'Firm Search'!$C$7),"")</f>
        <v/>
      </c>
    </row>
    <row r="1138">
      <c r="A1138" s="64" t="n"/>
      <c r="B1138" s="64" t="n"/>
      <c r="C1138" s="66" t="n"/>
      <c r="D1138" s="66" t="n"/>
      <c r="E1138" s="67" t="n"/>
      <c r="F1138" s="67" t="n"/>
      <c r="G1138" s="67" t="n"/>
      <c r="H1138" s="67" t="n"/>
      <c r="I1138" s="67" t="n"/>
      <c r="J1138" s="67" t="n"/>
      <c r="K1138" s="67" t="n"/>
      <c r="L1138" s="67" t="n"/>
      <c r="M1138" s="64" t="n"/>
      <c r="N1138" s="66" t="n"/>
      <c r="O1138" s="84">
        <f>IF(A1138="","",IF(OR(C1138="",D1138=""),"Enter both dates",IF(D1138&lt;C1138,"To is before From",IF(COUNTIFS($P$5:$P$2004,P1138,$C$5:$C$2004,"&lt;="&amp;D1138,$D$5:$D$2004,"&gt;="&amp;C1138)&gt;1,"Overlaps another row","OK"))))</f>
        <v/>
      </c>
      <c r="P1138">
        <f>IF(A1138="","",A1138&amp;"|"&amp;IF(B1138="","Standard",B1138))</f>
        <v/>
      </c>
      <c r="Q1138">
        <f>IF(AND(A1138&lt;&gt;"",A1138='Firm Search'!$C$7),COUNTIF($A$5:A1138,'Firm Search'!$C$7),"")</f>
        <v/>
      </c>
    </row>
    <row r="1139">
      <c r="A1139" s="64" t="n"/>
      <c r="B1139" s="64" t="n"/>
      <c r="C1139" s="66" t="n"/>
      <c r="D1139" s="66" t="n"/>
      <c r="E1139" s="67" t="n"/>
      <c r="F1139" s="67" t="n"/>
      <c r="G1139" s="67" t="n"/>
      <c r="H1139" s="67" t="n"/>
      <c r="I1139" s="67" t="n"/>
      <c r="J1139" s="67" t="n"/>
      <c r="K1139" s="67" t="n"/>
      <c r="L1139" s="67" t="n"/>
      <c r="M1139" s="64" t="n"/>
      <c r="N1139" s="66" t="n"/>
      <c r="O1139" s="84">
        <f>IF(A1139="","",IF(OR(C1139="",D1139=""),"Enter both dates",IF(D1139&lt;C1139,"To is before From",IF(COUNTIFS($P$5:$P$2004,P1139,$C$5:$C$2004,"&lt;="&amp;D1139,$D$5:$D$2004,"&gt;="&amp;C1139)&gt;1,"Overlaps another row","OK"))))</f>
        <v/>
      </c>
      <c r="P1139">
        <f>IF(A1139="","",A1139&amp;"|"&amp;IF(B1139="","Standard",B1139))</f>
        <v/>
      </c>
      <c r="Q1139">
        <f>IF(AND(A1139&lt;&gt;"",A1139='Firm Search'!$C$7),COUNTIF($A$5:A1139,'Firm Search'!$C$7),"")</f>
        <v/>
      </c>
    </row>
    <row r="1140">
      <c r="A1140" s="64" t="n"/>
      <c r="B1140" s="64" t="n"/>
      <c r="C1140" s="66" t="n"/>
      <c r="D1140" s="66" t="n"/>
      <c r="E1140" s="67" t="n"/>
      <c r="F1140" s="67" t="n"/>
      <c r="G1140" s="67" t="n"/>
      <c r="H1140" s="67" t="n"/>
      <c r="I1140" s="67" t="n"/>
      <c r="J1140" s="67" t="n"/>
      <c r="K1140" s="67" t="n"/>
      <c r="L1140" s="67" t="n"/>
      <c r="M1140" s="64" t="n"/>
      <c r="N1140" s="66" t="n"/>
      <c r="O1140" s="84">
        <f>IF(A1140="","",IF(OR(C1140="",D1140=""),"Enter both dates",IF(D1140&lt;C1140,"To is before From",IF(COUNTIFS($P$5:$P$2004,P1140,$C$5:$C$2004,"&lt;="&amp;D1140,$D$5:$D$2004,"&gt;="&amp;C1140)&gt;1,"Overlaps another row","OK"))))</f>
        <v/>
      </c>
      <c r="P1140">
        <f>IF(A1140="","",A1140&amp;"|"&amp;IF(B1140="","Standard",B1140))</f>
        <v/>
      </c>
      <c r="Q1140">
        <f>IF(AND(A1140&lt;&gt;"",A1140='Firm Search'!$C$7),COUNTIF($A$5:A1140,'Firm Search'!$C$7),"")</f>
        <v/>
      </c>
    </row>
    <row r="1141">
      <c r="A1141" s="64" t="n"/>
      <c r="B1141" s="64" t="n"/>
      <c r="C1141" s="66" t="n"/>
      <c r="D1141" s="66" t="n"/>
      <c r="E1141" s="67" t="n"/>
      <c r="F1141" s="67" t="n"/>
      <c r="G1141" s="67" t="n"/>
      <c r="H1141" s="67" t="n"/>
      <c r="I1141" s="67" t="n"/>
      <c r="J1141" s="67" t="n"/>
      <c r="K1141" s="67" t="n"/>
      <c r="L1141" s="67" t="n"/>
      <c r="M1141" s="64" t="n"/>
      <c r="N1141" s="66" t="n"/>
      <c r="O1141" s="84">
        <f>IF(A1141="","",IF(OR(C1141="",D1141=""),"Enter both dates",IF(D1141&lt;C1141,"To is before From",IF(COUNTIFS($P$5:$P$2004,P1141,$C$5:$C$2004,"&lt;="&amp;D1141,$D$5:$D$2004,"&gt;="&amp;C1141)&gt;1,"Overlaps another row","OK"))))</f>
        <v/>
      </c>
      <c r="P1141">
        <f>IF(A1141="","",A1141&amp;"|"&amp;IF(B1141="","Standard",B1141))</f>
        <v/>
      </c>
      <c r="Q1141">
        <f>IF(AND(A1141&lt;&gt;"",A1141='Firm Search'!$C$7),COUNTIF($A$5:A1141,'Firm Search'!$C$7),"")</f>
        <v/>
      </c>
    </row>
    <row r="1142">
      <c r="A1142" s="64" t="n"/>
      <c r="B1142" s="64" t="n"/>
      <c r="C1142" s="66" t="n"/>
      <c r="D1142" s="66" t="n"/>
      <c r="E1142" s="67" t="n"/>
      <c r="F1142" s="67" t="n"/>
      <c r="G1142" s="67" t="n"/>
      <c r="H1142" s="67" t="n"/>
      <c r="I1142" s="67" t="n"/>
      <c r="J1142" s="67" t="n"/>
      <c r="K1142" s="67" t="n"/>
      <c r="L1142" s="67" t="n"/>
      <c r="M1142" s="64" t="n"/>
      <c r="N1142" s="66" t="n"/>
      <c r="O1142" s="84">
        <f>IF(A1142="","",IF(OR(C1142="",D1142=""),"Enter both dates",IF(D1142&lt;C1142,"To is before From",IF(COUNTIFS($P$5:$P$2004,P1142,$C$5:$C$2004,"&lt;="&amp;D1142,$D$5:$D$2004,"&gt;="&amp;C1142)&gt;1,"Overlaps another row","OK"))))</f>
        <v/>
      </c>
      <c r="P1142">
        <f>IF(A1142="","",A1142&amp;"|"&amp;IF(B1142="","Standard",B1142))</f>
        <v/>
      </c>
      <c r="Q1142">
        <f>IF(AND(A1142&lt;&gt;"",A1142='Firm Search'!$C$7),COUNTIF($A$5:A1142,'Firm Search'!$C$7),"")</f>
        <v/>
      </c>
    </row>
    <row r="1143">
      <c r="A1143" s="64" t="n"/>
      <c r="B1143" s="64" t="n"/>
      <c r="C1143" s="66" t="n"/>
      <c r="D1143" s="66" t="n"/>
      <c r="E1143" s="67" t="n"/>
      <c r="F1143" s="67" t="n"/>
      <c r="G1143" s="67" t="n"/>
      <c r="H1143" s="67" t="n"/>
      <c r="I1143" s="67" t="n"/>
      <c r="J1143" s="67" t="n"/>
      <c r="K1143" s="67" t="n"/>
      <c r="L1143" s="67" t="n"/>
      <c r="M1143" s="64" t="n"/>
      <c r="N1143" s="66" t="n"/>
      <c r="O1143" s="84">
        <f>IF(A1143="","",IF(OR(C1143="",D1143=""),"Enter both dates",IF(D1143&lt;C1143,"To is before From",IF(COUNTIFS($P$5:$P$2004,P1143,$C$5:$C$2004,"&lt;="&amp;D1143,$D$5:$D$2004,"&gt;="&amp;C1143)&gt;1,"Overlaps another row","OK"))))</f>
        <v/>
      </c>
      <c r="P1143">
        <f>IF(A1143="","",A1143&amp;"|"&amp;IF(B1143="","Standard",B1143))</f>
        <v/>
      </c>
      <c r="Q1143">
        <f>IF(AND(A1143&lt;&gt;"",A1143='Firm Search'!$C$7),COUNTIF($A$5:A1143,'Firm Search'!$C$7),"")</f>
        <v/>
      </c>
    </row>
    <row r="1144">
      <c r="A1144" s="64" t="n"/>
      <c r="B1144" s="64" t="n"/>
      <c r="C1144" s="66" t="n"/>
      <c r="D1144" s="66" t="n"/>
      <c r="E1144" s="67" t="n"/>
      <c r="F1144" s="67" t="n"/>
      <c r="G1144" s="67" t="n"/>
      <c r="H1144" s="67" t="n"/>
      <c r="I1144" s="67" t="n"/>
      <c r="J1144" s="67" t="n"/>
      <c r="K1144" s="67" t="n"/>
      <c r="L1144" s="67" t="n"/>
      <c r="M1144" s="64" t="n"/>
      <c r="N1144" s="66" t="n"/>
      <c r="O1144" s="84">
        <f>IF(A1144="","",IF(OR(C1144="",D1144=""),"Enter both dates",IF(D1144&lt;C1144,"To is before From",IF(COUNTIFS($P$5:$P$2004,P1144,$C$5:$C$2004,"&lt;="&amp;D1144,$D$5:$D$2004,"&gt;="&amp;C1144)&gt;1,"Overlaps another row","OK"))))</f>
        <v/>
      </c>
      <c r="P1144">
        <f>IF(A1144="","",A1144&amp;"|"&amp;IF(B1144="","Standard",B1144))</f>
        <v/>
      </c>
      <c r="Q1144">
        <f>IF(AND(A1144&lt;&gt;"",A1144='Firm Search'!$C$7),COUNTIF($A$5:A1144,'Firm Search'!$C$7),"")</f>
        <v/>
      </c>
    </row>
    <row r="1145">
      <c r="A1145" s="64" t="n"/>
      <c r="B1145" s="64" t="n"/>
      <c r="C1145" s="66" t="n"/>
      <c r="D1145" s="66" t="n"/>
      <c r="E1145" s="67" t="n"/>
      <c r="F1145" s="67" t="n"/>
      <c r="G1145" s="67" t="n"/>
      <c r="H1145" s="67" t="n"/>
      <c r="I1145" s="67" t="n"/>
      <c r="J1145" s="67" t="n"/>
      <c r="K1145" s="67" t="n"/>
      <c r="L1145" s="67" t="n"/>
      <c r="M1145" s="64" t="n"/>
      <c r="N1145" s="66" t="n"/>
      <c r="O1145" s="84">
        <f>IF(A1145="","",IF(OR(C1145="",D1145=""),"Enter both dates",IF(D1145&lt;C1145,"To is before From",IF(COUNTIFS($P$5:$P$2004,P1145,$C$5:$C$2004,"&lt;="&amp;D1145,$D$5:$D$2004,"&gt;="&amp;C1145)&gt;1,"Overlaps another row","OK"))))</f>
        <v/>
      </c>
      <c r="P1145">
        <f>IF(A1145="","",A1145&amp;"|"&amp;IF(B1145="","Standard",B1145))</f>
        <v/>
      </c>
      <c r="Q1145">
        <f>IF(AND(A1145&lt;&gt;"",A1145='Firm Search'!$C$7),COUNTIF($A$5:A1145,'Firm Search'!$C$7),"")</f>
        <v/>
      </c>
    </row>
    <row r="1146">
      <c r="A1146" s="64" t="n"/>
      <c r="B1146" s="64" t="n"/>
      <c r="C1146" s="66" t="n"/>
      <c r="D1146" s="66" t="n"/>
      <c r="E1146" s="67" t="n"/>
      <c r="F1146" s="67" t="n"/>
      <c r="G1146" s="67" t="n"/>
      <c r="H1146" s="67" t="n"/>
      <c r="I1146" s="67" t="n"/>
      <c r="J1146" s="67" t="n"/>
      <c r="K1146" s="67" t="n"/>
      <c r="L1146" s="67" t="n"/>
      <c r="M1146" s="64" t="n"/>
      <c r="N1146" s="66" t="n"/>
      <c r="O1146" s="84">
        <f>IF(A1146="","",IF(OR(C1146="",D1146=""),"Enter both dates",IF(D1146&lt;C1146,"To is before From",IF(COUNTIFS($P$5:$P$2004,P1146,$C$5:$C$2004,"&lt;="&amp;D1146,$D$5:$D$2004,"&gt;="&amp;C1146)&gt;1,"Overlaps another row","OK"))))</f>
        <v/>
      </c>
      <c r="P1146">
        <f>IF(A1146="","",A1146&amp;"|"&amp;IF(B1146="","Standard",B1146))</f>
        <v/>
      </c>
      <c r="Q1146">
        <f>IF(AND(A1146&lt;&gt;"",A1146='Firm Search'!$C$7),COUNTIF($A$5:A1146,'Firm Search'!$C$7),"")</f>
        <v/>
      </c>
    </row>
    <row r="1147">
      <c r="A1147" s="64" t="n"/>
      <c r="B1147" s="64" t="n"/>
      <c r="C1147" s="66" t="n"/>
      <c r="D1147" s="66" t="n"/>
      <c r="E1147" s="67" t="n"/>
      <c r="F1147" s="67" t="n"/>
      <c r="G1147" s="67" t="n"/>
      <c r="H1147" s="67" t="n"/>
      <c r="I1147" s="67" t="n"/>
      <c r="J1147" s="67" t="n"/>
      <c r="K1147" s="67" t="n"/>
      <c r="L1147" s="67" t="n"/>
      <c r="M1147" s="64" t="n"/>
      <c r="N1147" s="66" t="n"/>
      <c r="O1147" s="84">
        <f>IF(A1147="","",IF(OR(C1147="",D1147=""),"Enter both dates",IF(D1147&lt;C1147,"To is before From",IF(COUNTIFS($P$5:$P$2004,P1147,$C$5:$C$2004,"&lt;="&amp;D1147,$D$5:$D$2004,"&gt;="&amp;C1147)&gt;1,"Overlaps another row","OK"))))</f>
        <v/>
      </c>
      <c r="P1147">
        <f>IF(A1147="","",A1147&amp;"|"&amp;IF(B1147="","Standard",B1147))</f>
        <v/>
      </c>
      <c r="Q1147">
        <f>IF(AND(A1147&lt;&gt;"",A1147='Firm Search'!$C$7),COUNTIF($A$5:A1147,'Firm Search'!$C$7),"")</f>
        <v/>
      </c>
    </row>
    <row r="1148">
      <c r="A1148" s="64" t="n"/>
      <c r="B1148" s="64" t="n"/>
      <c r="C1148" s="66" t="n"/>
      <c r="D1148" s="66" t="n"/>
      <c r="E1148" s="67" t="n"/>
      <c r="F1148" s="67" t="n"/>
      <c r="G1148" s="67" t="n"/>
      <c r="H1148" s="67" t="n"/>
      <c r="I1148" s="67" t="n"/>
      <c r="J1148" s="67" t="n"/>
      <c r="K1148" s="67" t="n"/>
      <c r="L1148" s="67" t="n"/>
      <c r="M1148" s="64" t="n"/>
      <c r="N1148" s="66" t="n"/>
      <c r="O1148" s="84">
        <f>IF(A1148="","",IF(OR(C1148="",D1148=""),"Enter both dates",IF(D1148&lt;C1148,"To is before From",IF(COUNTIFS($P$5:$P$2004,P1148,$C$5:$C$2004,"&lt;="&amp;D1148,$D$5:$D$2004,"&gt;="&amp;C1148)&gt;1,"Overlaps another row","OK"))))</f>
        <v/>
      </c>
      <c r="P1148">
        <f>IF(A1148="","",A1148&amp;"|"&amp;IF(B1148="","Standard",B1148))</f>
        <v/>
      </c>
      <c r="Q1148">
        <f>IF(AND(A1148&lt;&gt;"",A1148='Firm Search'!$C$7),COUNTIF($A$5:A1148,'Firm Search'!$C$7),"")</f>
        <v/>
      </c>
    </row>
    <row r="1149">
      <c r="A1149" s="64" t="n"/>
      <c r="B1149" s="64" t="n"/>
      <c r="C1149" s="66" t="n"/>
      <c r="D1149" s="66" t="n"/>
      <c r="E1149" s="67" t="n"/>
      <c r="F1149" s="67" t="n"/>
      <c r="G1149" s="67" t="n"/>
      <c r="H1149" s="67" t="n"/>
      <c r="I1149" s="67" t="n"/>
      <c r="J1149" s="67" t="n"/>
      <c r="K1149" s="67" t="n"/>
      <c r="L1149" s="67" t="n"/>
      <c r="M1149" s="64" t="n"/>
      <c r="N1149" s="66" t="n"/>
      <c r="O1149" s="84">
        <f>IF(A1149="","",IF(OR(C1149="",D1149=""),"Enter both dates",IF(D1149&lt;C1149,"To is before From",IF(COUNTIFS($P$5:$P$2004,P1149,$C$5:$C$2004,"&lt;="&amp;D1149,$D$5:$D$2004,"&gt;="&amp;C1149)&gt;1,"Overlaps another row","OK"))))</f>
        <v/>
      </c>
      <c r="P1149">
        <f>IF(A1149="","",A1149&amp;"|"&amp;IF(B1149="","Standard",B1149))</f>
        <v/>
      </c>
      <c r="Q1149">
        <f>IF(AND(A1149&lt;&gt;"",A1149='Firm Search'!$C$7),COUNTIF($A$5:A1149,'Firm Search'!$C$7),"")</f>
        <v/>
      </c>
    </row>
    <row r="1150">
      <c r="A1150" s="64" t="n"/>
      <c r="B1150" s="64" t="n"/>
      <c r="C1150" s="66" t="n"/>
      <c r="D1150" s="66" t="n"/>
      <c r="E1150" s="67" t="n"/>
      <c r="F1150" s="67" t="n"/>
      <c r="G1150" s="67" t="n"/>
      <c r="H1150" s="67" t="n"/>
      <c r="I1150" s="67" t="n"/>
      <c r="J1150" s="67" t="n"/>
      <c r="K1150" s="67" t="n"/>
      <c r="L1150" s="67" t="n"/>
      <c r="M1150" s="64" t="n"/>
      <c r="N1150" s="66" t="n"/>
      <c r="O1150" s="84">
        <f>IF(A1150="","",IF(OR(C1150="",D1150=""),"Enter both dates",IF(D1150&lt;C1150,"To is before From",IF(COUNTIFS($P$5:$P$2004,P1150,$C$5:$C$2004,"&lt;="&amp;D1150,$D$5:$D$2004,"&gt;="&amp;C1150)&gt;1,"Overlaps another row","OK"))))</f>
        <v/>
      </c>
      <c r="P1150">
        <f>IF(A1150="","",A1150&amp;"|"&amp;IF(B1150="","Standard",B1150))</f>
        <v/>
      </c>
      <c r="Q1150">
        <f>IF(AND(A1150&lt;&gt;"",A1150='Firm Search'!$C$7),COUNTIF($A$5:A1150,'Firm Search'!$C$7),"")</f>
        <v/>
      </c>
    </row>
    <row r="1151">
      <c r="A1151" s="64" t="n"/>
      <c r="B1151" s="64" t="n"/>
      <c r="C1151" s="66" t="n"/>
      <c r="D1151" s="66" t="n"/>
      <c r="E1151" s="67" t="n"/>
      <c r="F1151" s="67" t="n"/>
      <c r="G1151" s="67" t="n"/>
      <c r="H1151" s="67" t="n"/>
      <c r="I1151" s="67" t="n"/>
      <c r="J1151" s="67" t="n"/>
      <c r="K1151" s="67" t="n"/>
      <c r="L1151" s="67" t="n"/>
      <c r="M1151" s="64" t="n"/>
      <c r="N1151" s="66" t="n"/>
      <c r="O1151" s="84">
        <f>IF(A1151="","",IF(OR(C1151="",D1151=""),"Enter both dates",IF(D1151&lt;C1151,"To is before From",IF(COUNTIFS($P$5:$P$2004,P1151,$C$5:$C$2004,"&lt;="&amp;D1151,$D$5:$D$2004,"&gt;="&amp;C1151)&gt;1,"Overlaps another row","OK"))))</f>
        <v/>
      </c>
      <c r="P1151">
        <f>IF(A1151="","",A1151&amp;"|"&amp;IF(B1151="","Standard",B1151))</f>
        <v/>
      </c>
      <c r="Q1151">
        <f>IF(AND(A1151&lt;&gt;"",A1151='Firm Search'!$C$7),COUNTIF($A$5:A1151,'Firm Search'!$C$7),"")</f>
        <v/>
      </c>
    </row>
    <row r="1152">
      <c r="A1152" s="64" t="n"/>
      <c r="B1152" s="64" t="n"/>
      <c r="C1152" s="66" t="n"/>
      <c r="D1152" s="66" t="n"/>
      <c r="E1152" s="67" t="n"/>
      <c r="F1152" s="67" t="n"/>
      <c r="G1152" s="67" t="n"/>
      <c r="H1152" s="67" t="n"/>
      <c r="I1152" s="67" t="n"/>
      <c r="J1152" s="67" t="n"/>
      <c r="K1152" s="67" t="n"/>
      <c r="L1152" s="67" t="n"/>
      <c r="M1152" s="64" t="n"/>
      <c r="N1152" s="66" t="n"/>
      <c r="O1152" s="84">
        <f>IF(A1152="","",IF(OR(C1152="",D1152=""),"Enter both dates",IF(D1152&lt;C1152,"To is before From",IF(COUNTIFS($P$5:$P$2004,P1152,$C$5:$C$2004,"&lt;="&amp;D1152,$D$5:$D$2004,"&gt;="&amp;C1152)&gt;1,"Overlaps another row","OK"))))</f>
        <v/>
      </c>
      <c r="P1152">
        <f>IF(A1152="","",A1152&amp;"|"&amp;IF(B1152="","Standard",B1152))</f>
        <v/>
      </c>
      <c r="Q1152">
        <f>IF(AND(A1152&lt;&gt;"",A1152='Firm Search'!$C$7),COUNTIF($A$5:A1152,'Firm Search'!$C$7),"")</f>
        <v/>
      </c>
    </row>
    <row r="1153">
      <c r="A1153" s="64" t="n"/>
      <c r="B1153" s="64" t="n"/>
      <c r="C1153" s="66" t="n"/>
      <c r="D1153" s="66" t="n"/>
      <c r="E1153" s="67" t="n"/>
      <c r="F1153" s="67" t="n"/>
      <c r="G1153" s="67" t="n"/>
      <c r="H1153" s="67" t="n"/>
      <c r="I1153" s="67" t="n"/>
      <c r="J1153" s="67" t="n"/>
      <c r="K1153" s="67" t="n"/>
      <c r="L1153" s="67" t="n"/>
      <c r="M1153" s="64" t="n"/>
      <c r="N1153" s="66" t="n"/>
      <c r="O1153" s="84">
        <f>IF(A1153="","",IF(OR(C1153="",D1153=""),"Enter both dates",IF(D1153&lt;C1153,"To is before From",IF(COUNTIFS($P$5:$P$2004,P1153,$C$5:$C$2004,"&lt;="&amp;D1153,$D$5:$D$2004,"&gt;="&amp;C1153)&gt;1,"Overlaps another row","OK"))))</f>
        <v/>
      </c>
      <c r="P1153">
        <f>IF(A1153="","",A1153&amp;"|"&amp;IF(B1153="","Standard",B1153))</f>
        <v/>
      </c>
      <c r="Q1153">
        <f>IF(AND(A1153&lt;&gt;"",A1153='Firm Search'!$C$7),COUNTIF($A$5:A1153,'Firm Search'!$C$7),"")</f>
        <v/>
      </c>
    </row>
    <row r="1154">
      <c r="A1154" s="64" t="n"/>
      <c r="B1154" s="64" t="n"/>
      <c r="C1154" s="66" t="n"/>
      <c r="D1154" s="66" t="n"/>
      <c r="E1154" s="67" t="n"/>
      <c r="F1154" s="67" t="n"/>
      <c r="G1154" s="67" t="n"/>
      <c r="H1154" s="67" t="n"/>
      <c r="I1154" s="67" t="n"/>
      <c r="J1154" s="67" t="n"/>
      <c r="K1154" s="67" t="n"/>
      <c r="L1154" s="67" t="n"/>
      <c r="M1154" s="64" t="n"/>
      <c r="N1154" s="66" t="n"/>
      <c r="O1154" s="84">
        <f>IF(A1154="","",IF(OR(C1154="",D1154=""),"Enter both dates",IF(D1154&lt;C1154,"To is before From",IF(COUNTIFS($P$5:$P$2004,P1154,$C$5:$C$2004,"&lt;="&amp;D1154,$D$5:$D$2004,"&gt;="&amp;C1154)&gt;1,"Overlaps another row","OK"))))</f>
        <v/>
      </c>
      <c r="P1154">
        <f>IF(A1154="","",A1154&amp;"|"&amp;IF(B1154="","Standard",B1154))</f>
        <v/>
      </c>
      <c r="Q1154">
        <f>IF(AND(A1154&lt;&gt;"",A1154='Firm Search'!$C$7),COUNTIF($A$5:A1154,'Firm Search'!$C$7),"")</f>
        <v/>
      </c>
    </row>
    <row r="1155">
      <c r="A1155" s="64" t="n"/>
      <c r="B1155" s="64" t="n"/>
      <c r="C1155" s="66" t="n"/>
      <c r="D1155" s="66" t="n"/>
      <c r="E1155" s="67" t="n"/>
      <c r="F1155" s="67" t="n"/>
      <c r="G1155" s="67" t="n"/>
      <c r="H1155" s="67" t="n"/>
      <c r="I1155" s="67" t="n"/>
      <c r="J1155" s="67" t="n"/>
      <c r="K1155" s="67" t="n"/>
      <c r="L1155" s="67" t="n"/>
      <c r="M1155" s="64" t="n"/>
      <c r="N1155" s="66" t="n"/>
      <c r="O1155" s="84">
        <f>IF(A1155="","",IF(OR(C1155="",D1155=""),"Enter both dates",IF(D1155&lt;C1155,"To is before From",IF(COUNTIFS($P$5:$P$2004,P1155,$C$5:$C$2004,"&lt;="&amp;D1155,$D$5:$D$2004,"&gt;="&amp;C1155)&gt;1,"Overlaps another row","OK"))))</f>
        <v/>
      </c>
      <c r="P1155">
        <f>IF(A1155="","",A1155&amp;"|"&amp;IF(B1155="","Standard",B1155))</f>
        <v/>
      </c>
      <c r="Q1155">
        <f>IF(AND(A1155&lt;&gt;"",A1155='Firm Search'!$C$7),COUNTIF($A$5:A1155,'Firm Search'!$C$7),"")</f>
        <v/>
      </c>
    </row>
    <row r="1156">
      <c r="A1156" s="64" t="n"/>
      <c r="B1156" s="64" t="n"/>
      <c r="C1156" s="66" t="n"/>
      <c r="D1156" s="66" t="n"/>
      <c r="E1156" s="67" t="n"/>
      <c r="F1156" s="67" t="n"/>
      <c r="G1156" s="67" t="n"/>
      <c r="H1156" s="67" t="n"/>
      <c r="I1156" s="67" t="n"/>
      <c r="J1156" s="67" t="n"/>
      <c r="K1156" s="67" t="n"/>
      <c r="L1156" s="67" t="n"/>
      <c r="M1156" s="64" t="n"/>
      <c r="N1156" s="66" t="n"/>
      <c r="O1156" s="84">
        <f>IF(A1156="","",IF(OR(C1156="",D1156=""),"Enter both dates",IF(D1156&lt;C1156,"To is before From",IF(COUNTIFS($P$5:$P$2004,P1156,$C$5:$C$2004,"&lt;="&amp;D1156,$D$5:$D$2004,"&gt;="&amp;C1156)&gt;1,"Overlaps another row","OK"))))</f>
        <v/>
      </c>
      <c r="P1156">
        <f>IF(A1156="","",A1156&amp;"|"&amp;IF(B1156="","Standard",B1156))</f>
        <v/>
      </c>
      <c r="Q1156">
        <f>IF(AND(A1156&lt;&gt;"",A1156='Firm Search'!$C$7),COUNTIF($A$5:A1156,'Firm Search'!$C$7),"")</f>
        <v/>
      </c>
    </row>
    <row r="1157">
      <c r="A1157" s="64" t="n"/>
      <c r="B1157" s="64" t="n"/>
      <c r="C1157" s="66" t="n"/>
      <c r="D1157" s="66" t="n"/>
      <c r="E1157" s="67" t="n"/>
      <c r="F1157" s="67" t="n"/>
      <c r="G1157" s="67" t="n"/>
      <c r="H1157" s="67" t="n"/>
      <c r="I1157" s="67" t="n"/>
      <c r="J1157" s="67" t="n"/>
      <c r="K1157" s="67" t="n"/>
      <c r="L1157" s="67" t="n"/>
      <c r="M1157" s="64" t="n"/>
      <c r="N1157" s="66" t="n"/>
      <c r="O1157" s="84">
        <f>IF(A1157="","",IF(OR(C1157="",D1157=""),"Enter both dates",IF(D1157&lt;C1157,"To is before From",IF(COUNTIFS($P$5:$P$2004,P1157,$C$5:$C$2004,"&lt;="&amp;D1157,$D$5:$D$2004,"&gt;="&amp;C1157)&gt;1,"Overlaps another row","OK"))))</f>
        <v/>
      </c>
      <c r="P1157">
        <f>IF(A1157="","",A1157&amp;"|"&amp;IF(B1157="","Standard",B1157))</f>
        <v/>
      </c>
      <c r="Q1157">
        <f>IF(AND(A1157&lt;&gt;"",A1157='Firm Search'!$C$7),COUNTIF($A$5:A1157,'Firm Search'!$C$7),"")</f>
        <v/>
      </c>
    </row>
    <row r="1158">
      <c r="A1158" s="64" t="n"/>
      <c r="B1158" s="64" t="n"/>
      <c r="C1158" s="66" t="n"/>
      <c r="D1158" s="66" t="n"/>
      <c r="E1158" s="67" t="n"/>
      <c r="F1158" s="67" t="n"/>
      <c r="G1158" s="67" t="n"/>
      <c r="H1158" s="67" t="n"/>
      <c r="I1158" s="67" t="n"/>
      <c r="J1158" s="67" t="n"/>
      <c r="K1158" s="67" t="n"/>
      <c r="L1158" s="67" t="n"/>
      <c r="M1158" s="64" t="n"/>
      <c r="N1158" s="66" t="n"/>
      <c r="O1158" s="84">
        <f>IF(A1158="","",IF(OR(C1158="",D1158=""),"Enter both dates",IF(D1158&lt;C1158,"To is before From",IF(COUNTIFS($P$5:$P$2004,P1158,$C$5:$C$2004,"&lt;="&amp;D1158,$D$5:$D$2004,"&gt;="&amp;C1158)&gt;1,"Overlaps another row","OK"))))</f>
        <v/>
      </c>
      <c r="P1158">
        <f>IF(A1158="","",A1158&amp;"|"&amp;IF(B1158="","Standard",B1158))</f>
        <v/>
      </c>
      <c r="Q1158">
        <f>IF(AND(A1158&lt;&gt;"",A1158='Firm Search'!$C$7),COUNTIF($A$5:A1158,'Firm Search'!$C$7),"")</f>
        <v/>
      </c>
    </row>
    <row r="1159">
      <c r="A1159" s="64" t="n"/>
      <c r="B1159" s="64" t="n"/>
      <c r="C1159" s="66" t="n"/>
      <c r="D1159" s="66" t="n"/>
      <c r="E1159" s="67" t="n"/>
      <c r="F1159" s="67" t="n"/>
      <c r="G1159" s="67" t="n"/>
      <c r="H1159" s="67" t="n"/>
      <c r="I1159" s="67" t="n"/>
      <c r="J1159" s="67" t="n"/>
      <c r="K1159" s="67" t="n"/>
      <c r="L1159" s="67" t="n"/>
      <c r="M1159" s="64" t="n"/>
      <c r="N1159" s="66" t="n"/>
      <c r="O1159" s="84">
        <f>IF(A1159="","",IF(OR(C1159="",D1159=""),"Enter both dates",IF(D1159&lt;C1159,"To is before From",IF(COUNTIFS($P$5:$P$2004,P1159,$C$5:$C$2004,"&lt;="&amp;D1159,$D$5:$D$2004,"&gt;="&amp;C1159)&gt;1,"Overlaps another row","OK"))))</f>
        <v/>
      </c>
      <c r="P1159">
        <f>IF(A1159="","",A1159&amp;"|"&amp;IF(B1159="","Standard",B1159))</f>
        <v/>
      </c>
      <c r="Q1159">
        <f>IF(AND(A1159&lt;&gt;"",A1159='Firm Search'!$C$7),COUNTIF($A$5:A1159,'Firm Search'!$C$7),"")</f>
        <v/>
      </c>
    </row>
    <row r="1160">
      <c r="A1160" s="64" t="n"/>
      <c r="B1160" s="64" t="n"/>
      <c r="C1160" s="66" t="n"/>
      <c r="D1160" s="66" t="n"/>
      <c r="E1160" s="67" t="n"/>
      <c r="F1160" s="67" t="n"/>
      <c r="G1160" s="67" t="n"/>
      <c r="H1160" s="67" t="n"/>
      <c r="I1160" s="67" t="n"/>
      <c r="J1160" s="67" t="n"/>
      <c r="K1160" s="67" t="n"/>
      <c r="L1160" s="67" t="n"/>
      <c r="M1160" s="64" t="n"/>
      <c r="N1160" s="66" t="n"/>
      <c r="O1160" s="84">
        <f>IF(A1160="","",IF(OR(C1160="",D1160=""),"Enter both dates",IF(D1160&lt;C1160,"To is before From",IF(COUNTIFS($P$5:$P$2004,P1160,$C$5:$C$2004,"&lt;="&amp;D1160,$D$5:$D$2004,"&gt;="&amp;C1160)&gt;1,"Overlaps another row","OK"))))</f>
        <v/>
      </c>
      <c r="P1160">
        <f>IF(A1160="","",A1160&amp;"|"&amp;IF(B1160="","Standard",B1160))</f>
        <v/>
      </c>
      <c r="Q1160">
        <f>IF(AND(A1160&lt;&gt;"",A1160='Firm Search'!$C$7),COUNTIF($A$5:A1160,'Firm Search'!$C$7),"")</f>
        <v/>
      </c>
    </row>
    <row r="1161">
      <c r="A1161" s="64" t="n"/>
      <c r="B1161" s="64" t="n"/>
      <c r="C1161" s="66" t="n"/>
      <c r="D1161" s="66" t="n"/>
      <c r="E1161" s="67" t="n"/>
      <c r="F1161" s="67" t="n"/>
      <c r="G1161" s="67" t="n"/>
      <c r="H1161" s="67" t="n"/>
      <c r="I1161" s="67" t="n"/>
      <c r="J1161" s="67" t="n"/>
      <c r="K1161" s="67" t="n"/>
      <c r="L1161" s="67" t="n"/>
      <c r="M1161" s="64" t="n"/>
      <c r="N1161" s="66" t="n"/>
      <c r="O1161" s="84">
        <f>IF(A1161="","",IF(OR(C1161="",D1161=""),"Enter both dates",IF(D1161&lt;C1161,"To is before From",IF(COUNTIFS($P$5:$P$2004,P1161,$C$5:$C$2004,"&lt;="&amp;D1161,$D$5:$D$2004,"&gt;="&amp;C1161)&gt;1,"Overlaps another row","OK"))))</f>
        <v/>
      </c>
      <c r="P1161">
        <f>IF(A1161="","",A1161&amp;"|"&amp;IF(B1161="","Standard",B1161))</f>
        <v/>
      </c>
      <c r="Q1161">
        <f>IF(AND(A1161&lt;&gt;"",A1161='Firm Search'!$C$7),COUNTIF($A$5:A1161,'Firm Search'!$C$7),"")</f>
        <v/>
      </c>
    </row>
    <row r="1162">
      <c r="A1162" s="64" t="n"/>
      <c r="B1162" s="64" t="n"/>
      <c r="C1162" s="66" t="n"/>
      <c r="D1162" s="66" t="n"/>
      <c r="E1162" s="67" t="n"/>
      <c r="F1162" s="67" t="n"/>
      <c r="G1162" s="67" t="n"/>
      <c r="H1162" s="67" t="n"/>
      <c r="I1162" s="67" t="n"/>
      <c r="J1162" s="67" t="n"/>
      <c r="K1162" s="67" t="n"/>
      <c r="L1162" s="67" t="n"/>
      <c r="M1162" s="64" t="n"/>
      <c r="N1162" s="66" t="n"/>
      <c r="O1162" s="84">
        <f>IF(A1162="","",IF(OR(C1162="",D1162=""),"Enter both dates",IF(D1162&lt;C1162,"To is before From",IF(COUNTIFS($P$5:$P$2004,P1162,$C$5:$C$2004,"&lt;="&amp;D1162,$D$5:$D$2004,"&gt;="&amp;C1162)&gt;1,"Overlaps another row","OK"))))</f>
        <v/>
      </c>
      <c r="P1162">
        <f>IF(A1162="","",A1162&amp;"|"&amp;IF(B1162="","Standard",B1162))</f>
        <v/>
      </c>
      <c r="Q1162">
        <f>IF(AND(A1162&lt;&gt;"",A1162='Firm Search'!$C$7),COUNTIF($A$5:A1162,'Firm Search'!$C$7),"")</f>
        <v/>
      </c>
    </row>
    <row r="1163">
      <c r="A1163" s="64" t="n"/>
      <c r="B1163" s="64" t="n"/>
      <c r="C1163" s="66" t="n"/>
      <c r="D1163" s="66" t="n"/>
      <c r="E1163" s="67" t="n"/>
      <c r="F1163" s="67" t="n"/>
      <c r="G1163" s="67" t="n"/>
      <c r="H1163" s="67" t="n"/>
      <c r="I1163" s="67" t="n"/>
      <c r="J1163" s="67" t="n"/>
      <c r="K1163" s="67" t="n"/>
      <c r="L1163" s="67" t="n"/>
      <c r="M1163" s="64" t="n"/>
      <c r="N1163" s="66" t="n"/>
      <c r="O1163" s="84">
        <f>IF(A1163="","",IF(OR(C1163="",D1163=""),"Enter both dates",IF(D1163&lt;C1163,"To is before From",IF(COUNTIFS($P$5:$P$2004,P1163,$C$5:$C$2004,"&lt;="&amp;D1163,$D$5:$D$2004,"&gt;="&amp;C1163)&gt;1,"Overlaps another row","OK"))))</f>
        <v/>
      </c>
      <c r="P1163">
        <f>IF(A1163="","",A1163&amp;"|"&amp;IF(B1163="","Standard",B1163))</f>
        <v/>
      </c>
      <c r="Q1163">
        <f>IF(AND(A1163&lt;&gt;"",A1163='Firm Search'!$C$7),COUNTIF($A$5:A1163,'Firm Search'!$C$7),"")</f>
        <v/>
      </c>
    </row>
    <row r="1164">
      <c r="A1164" s="64" t="n"/>
      <c r="B1164" s="64" t="n"/>
      <c r="C1164" s="66" t="n"/>
      <c r="D1164" s="66" t="n"/>
      <c r="E1164" s="67" t="n"/>
      <c r="F1164" s="67" t="n"/>
      <c r="G1164" s="67" t="n"/>
      <c r="H1164" s="67" t="n"/>
      <c r="I1164" s="67" t="n"/>
      <c r="J1164" s="67" t="n"/>
      <c r="K1164" s="67" t="n"/>
      <c r="L1164" s="67" t="n"/>
      <c r="M1164" s="64" t="n"/>
      <c r="N1164" s="66" t="n"/>
      <c r="O1164" s="84">
        <f>IF(A1164="","",IF(OR(C1164="",D1164=""),"Enter both dates",IF(D1164&lt;C1164,"To is before From",IF(COUNTIFS($P$5:$P$2004,P1164,$C$5:$C$2004,"&lt;="&amp;D1164,$D$5:$D$2004,"&gt;="&amp;C1164)&gt;1,"Overlaps another row","OK"))))</f>
        <v/>
      </c>
      <c r="P1164">
        <f>IF(A1164="","",A1164&amp;"|"&amp;IF(B1164="","Standard",B1164))</f>
        <v/>
      </c>
      <c r="Q1164">
        <f>IF(AND(A1164&lt;&gt;"",A1164='Firm Search'!$C$7),COUNTIF($A$5:A1164,'Firm Search'!$C$7),"")</f>
        <v/>
      </c>
    </row>
    <row r="1165">
      <c r="A1165" s="64" t="n"/>
      <c r="B1165" s="64" t="n"/>
      <c r="C1165" s="66" t="n"/>
      <c r="D1165" s="66" t="n"/>
      <c r="E1165" s="67" t="n"/>
      <c r="F1165" s="67" t="n"/>
      <c r="G1165" s="67" t="n"/>
      <c r="H1165" s="67" t="n"/>
      <c r="I1165" s="67" t="n"/>
      <c r="J1165" s="67" t="n"/>
      <c r="K1165" s="67" t="n"/>
      <c r="L1165" s="67" t="n"/>
      <c r="M1165" s="64" t="n"/>
      <c r="N1165" s="66" t="n"/>
      <c r="O1165" s="84">
        <f>IF(A1165="","",IF(OR(C1165="",D1165=""),"Enter both dates",IF(D1165&lt;C1165,"To is before From",IF(COUNTIFS($P$5:$P$2004,P1165,$C$5:$C$2004,"&lt;="&amp;D1165,$D$5:$D$2004,"&gt;="&amp;C1165)&gt;1,"Overlaps another row","OK"))))</f>
        <v/>
      </c>
      <c r="P1165">
        <f>IF(A1165="","",A1165&amp;"|"&amp;IF(B1165="","Standard",B1165))</f>
        <v/>
      </c>
      <c r="Q1165">
        <f>IF(AND(A1165&lt;&gt;"",A1165='Firm Search'!$C$7),COUNTIF($A$5:A1165,'Firm Search'!$C$7),"")</f>
        <v/>
      </c>
    </row>
    <row r="1166">
      <c r="A1166" s="64" t="n"/>
      <c r="B1166" s="64" t="n"/>
      <c r="C1166" s="66" t="n"/>
      <c r="D1166" s="66" t="n"/>
      <c r="E1166" s="67" t="n"/>
      <c r="F1166" s="67" t="n"/>
      <c r="G1166" s="67" t="n"/>
      <c r="H1166" s="67" t="n"/>
      <c r="I1166" s="67" t="n"/>
      <c r="J1166" s="67" t="n"/>
      <c r="K1166" s="67" t="n"/>
      <c r="L1166" s="67" t="n"/>
      <c r="M1166" s="64" t="n"/>
      <c r="N1166" s="66" t="n"/>
      <c r="O1166" s="84">
        <f>IF(A1166="","",IF(OR(C1166="",D1166=""),"Enter both dates",IF(D1166&lt;C1166,"To is before From",IF(COUNTIFS($P$5:$P$2004,P1166,$C$5:$C$2004,"&lt;="&amp;D1166,$D$5:$D$2004,"&gt;="&amp;C1166)&gt;1,"Overlaps another row","OK"))))</f>
        <v/>
      </c>
      <c r="P1166">
        <f>IF(A1166="","",A1166&amp;"|"&amp;IF(B1166="","Standard",B1166))</f>
        <v/>
      </c>
      <c r="Q1166">
        <f>IF(AND(A1166&lt;&gt;"",A1166='Firm Search'!$C$7),COUNTIF($A$5:A1166,'Firm Search'!$C$7),"")</f>
        <v/>
      </c>
    </row>
    <row r="1167">
      <c r="A1167" s="64" t="n"/>
      <c r="B1167" s="64" t="n"/>
      <c r="C1167" s="66" t="n"/>
      <c r="D1167" s="66" t="n"/>
      <c r="E1167" s="67" t="n"/>
      <c r="F1167" s="67" t="n"/>
      <c r="G1167" s="67" t="n"/>
      <c r="H1167" s="67" t="n"/>
      <c r="I1167" s="67" t="n"/>
      <c r="J1167" s="67" t="n"/>
      <c r="K1167" s="67" t="n"/>
      <c r="L1167" s="67" t="n"/>
      <c r="M1167" s="64" t="n"/>
      <c r="N1167" s="66" t="n"/>
      <c r="O1167" s="84">
        <f>IF(A1167="","",IF(OR(C1167="",D1167=""),"Enter both dates",IF(D1167&lt;C1167,"To is before From",IF(COUNTIFS($P$5:$P$2004,P1167,$C$5:$C$2004,"&lt;="&amp;D1167,$D$5:$D$2004,"&gt;="&amp;C1167)&gt;1,"Overlaps another row","OK"))))</f>
        <v/>
      </c>
      <c r="P1167">
        <f>IF(A1167="","",A1167&amp;"|"&amp;IF(B1167="","Standard",B1167))</f>
        <v/>
      </c>
      <c r="Q1167">
        <f>IF(AND(A1167&lt;&gt;"",A1167='Firm Search'!$C$7),COUNTIF($A$5:A1167,'Firm Search'!$C$7),"")</f>
        <v/>
      </c>
    </row>
    <row r="1168">
      <c r="A1168" s="64" t="n"/>
      <c r="B1168" s="64" t="n"/>
      <c r="C1168" s="66" t="n"/>
      <c r="D1168" s="66" t="n"/>
      <c r="E1168" s="67" t="n"/>
      <c r="F1168" s="67" t="n"/>
      <c r="G1168" s="67" t="n"/>
      <c r="H1168" s="67" t="n"/>
      <c r="I1168" s="67" t="n"/>
      <c r="J1168" s="67" t="n"/>
      <c r="K1168" s="67" t="n"/>
      <c r="L1168" s="67" t="n"/>
      <c r="M1168" s="64" t="n"/>
      <c r="N1168" s="66" t="n"/>
      <c r="O1168" s="84">
        <f>IF(A1168="","",IF(OR(C1168="",D1168=""),"Enter both dates",IF(D1168&lt;C1168,"To is before From",IF(COUNTIFS($P$5:$P$2004,P1168,$C$5:$C$2004,"&lt;="&amp;D1168,$D$5:$D$2004,"&gt;="&amp;C1168)&gt;1,"Overlaps another row","OK"))))</f>
        <v/>
      </c>
      <c r="P1168">
        <f>IF(A1168="","",A1168&amp;"|"&amp;IF(B1168="","Standard",B1168))</f>
        <v/>
      </c>
      <c r="Q1168">
        <f>IF(AND(A1168&lt;&gt;"",A1168='Firm Search'!$C$7),COUNTIF($A$5:A1168,'Firm Search'!$C$7),"")</f>
        <v/>
      </c>
    </row>
    <row r="1169">
      <c r="A1169" s="64" t="n"/>
      <c r="B1169" s="64" t="n"/>
      <c r="C1169" s="66" t="n"/>
      <c r="D1169" s="66" t="n"/>
      <c r="E1169" s="67" t="n"/>
      <c r="F1169" s="67" t="n"/>
      <c r="G1169" s="67" t="n"/>
      <c r="H1169" s="67" t="n"/>
      <c r="I1169" s="67" t="n"/>
      <c r="J1169" s="67" t="n"/>
      <c r="K1169" s="67" t="n"/>
      <c r="L1169" s="67" t="n"/>
      <c r="M1169" s="64" t="n"/>
      <c r="N1169" s="66" t="n"/>
      <c r="O1169" s="84">
        <f>IF(A1169="","",IF(OR(C1169="",D1169=""),"Enter both dates",IF(D1169&lt;C1169,"To is before From",IF(COUNTIFS($P$5:$P$2004,P1169,$C$5:$C$2004,"&lt;="&amp;D1169,$D$5:$D$2004,"&gt;="&amp;C1169)&gt;1,"Overlaps another row","OK"))))</f>
        <v/>
      </c>
      <c r="P1169">
        <f>IF(A1169="","",A1169&amp;"|"&amp;IF(B1169="","Standard",B1169))</f>
        <v/>
      </c>
      <c r="Q1169">
        <f>IF(AND(A1169&lt;&gt;"",A1169='Firm Search'!$C$7),COUNTIF($A$5:A1169,'Firm Search'!$C$7),"")</f>
        <v/>
      </c>
    </row>
    <row r="1170">
      <c r="A1170" s="64" t="n"/>
      <c r="B1170" s="64" t="n"/>
      <c r="C1170" s="66" t="n"/>
      <c r="D1170" s="66" t="n"/>
      <c r="E1170" s="67" t="n"/>
      <c r="F1170" s="67" t="n"/>
      <c r="G1170" s="67" t="n"/>
      <c r="H1170" s="67" t="n"/>
      <c r="I1170" s="67" t="n"/>
      <c r="J1170" s="67" t="n"/>
      <c r="K1170" s="67" t="n"/>
      <c r="L1170" s="67" t="n"/>
      <c r="M1170" s="64" t="n"/>
      <c r="N1170" s="66" t="n"/>
      <c r="O1170" s="84">
        <f>IF(A1170="","",IF(OR(C1170="",D1170=""),"Enter both dates",IF(D1170&lt;C1170,"To is before From",IF(COUNTIFS($P$5:$P$2004,P1170,$C$5:$C$2004,"&lt;="&amp;D1170,$D$5:$D$2004,"&gt;="&amp;C1170)&gt;1,"Overlaps another row","OK"))))</f>
        <v/>
      </c>
      <c r="P1170">
        <f>IF(A1170="","",A1170&amp;"|"&amp;IF(B1170="","Standard",B1170))</f>
        <v/>
      </c>
      <c r="Q1170">
        <f>IF(AND(A1170&lt;&gt;"",A1170='Firm Search'!$C$7),COUNTIF($A$5:A1170,'Firm Search'!$C$7),"")</f>
        <v/>
      </c>
    </row>
    <row r="1171">
      <c r="A1171" s="64" t="n"/>
      <c r="B1171" s="64" t="n"/>
      <c r="C1171" s="66" t="n"/>
      <c r="D1171" s="66" t="n"/>
      <c r="E1171" s="67" t="n"/>
      <c r="F1171" s="67" t="n"/>
      <c r="G1171" s="67" t="n"/>
      <c r="H1171" s="67" t="n"/>
      <c r="I1171" s="67" t="n"/>
      <c r="J1171" s="67" t="n"/>
      <c r="K1171" s="67" t="n"/>
      <c r="L1171" s="67" t="n"/>
      <c r="M1171" s="64" t="n"/>
      <c r="N1171" s="66" t="n"/>
      <c r="O1171" s="84">
        <f>IF(A1171="","",IF(OR(C1171="",D1171=""),"Enter both dates",IF(D1171&lt;C1171,"To is before From",IF(COUNTIFS($P$5:$P$2004,P1171,$C$5:$C$2004,"&lt;="&amp;D1171,$D$5:$D$2004,"&gt;="&amp;C1171)&gt;1,"Overlaps another row","OK"))))</f>
        <v/>
      </c>
      <c r="P1171">
        <f>IF(A1171="","",A1171&amp;"|"&amp;IF(B1171="","Standard",B1171))</f>
        <v/>
      </c>
      <c r="Q1171">
        <f>IF(AND(A1171&lt;&gt;"",A1171='Firm Search'!$C$7),COUNTIF($A$5:A1171,'Firm Search'!$C$7),"")</f>
        <v/>
      </c>
    </row>
    <row r="1172">
      <c r="A1172" s="64" t="n"/>
      <c r="B1172" s="64" t="n"/>
      <c r="C1172" s="66" t="n"/>
      <c r="D1172" s="66" t="n"/>
      <c r="E1172" s="67" t="n"/>
      <c r="F1172" s="67" t="n"/>
      <c r="G1172" s="67" t="n"/>
      <c r="H1172" s="67" t="n"/>
      <c r="I1172" s="67" t="n"/>
      <c r="J1172" s="67" t="n"/>
      <c r="K1172" s="67" t="n"/>
      <c r="L1172" s="67" t="n"/>
      <c r="M1172" s="64" t="n"/>
      <c r="N1172" s="66" t="n"/>
      <c r="O1172" s="84">
        <f>IF(A1172="","",IF(OR(C1172="",D1172=""),"Enter both dates",IF(D1172&lt;C1172,"To is before From",IF(COUNTIFS($P$5:$P$2004,P1172,$C$5:$C$2004,"&lt;="&amp;D1172,$D$5:$D$2004,"&gt;="&amp;C1172)&gt;1,"Overlaps another row","OK"))))</f>
        <v/>
      </c>
      <c r="P1172">
        <f>IF(A1172="","",A1172&amp;"|"&amp;IF(B1172="","Standard",B1172))</f>
        <v/>
      </c>
      <c r="Q1172">
        <f>IF(AND(A1172&lt;&gt;"",A1172='Firm Search'!$C$7),COUNTIF($A$5:A1172,'Firm Search'!$C$7),"")</f>
        <v/>
      </c>
    </row>
    <row r="1173">
      <c r="A1173" s="64" t="n"/>
      <c r="B1173" s="64" t="n"/>
      <c r="C1173" s="66" t="n"/>
      <c r="D1173" s="66" t="n"/>
      <c r="E1173" s="67" t="n"/>
      <c r="F1173" s="67" t="n"/>
      <c r="G1173" s="67" t="n"/>
      <c r="H1173" s="67" t="n"/>
      <c r="I1173" s="67" t="n"/>
      <c r="J1173" s="67" t="n"/>
      <c r="K1173" s="67" t="n"/>
      <c r="L1173" s="67" t="n"/>
      <c r="M1173" s="64" t="n"/>
      <c r="N1173" s="66" t="n"/>
      <c r="O1173" s="84">
        <f>IF(A1173="","",IF(OR(C1173="",D1173=""),"Enter both dates",IF(D1173&lt;C1173,"To is before From",IF(COUNTIFS($P$5:$P$2004,P1173,$C$5:$C$2004,"&lt;="&amp;D1173,$D$5:$D$2004,"&gt;="&amp;C1173)&gt;1,"Overlaps another row","OK"))))</f>
        <v/>
      </c>
      <c r="P1173">
        <f>IF(A1173="","",A1173&amp;"|"&amp;IF(B1173="","Standard",B1173))</f>
        <v/>
      </c>
      <c r="Q1173">
        <f>IF(AND(A1173&lt;&gt;"",A1173='Firm Search'!$C$7),COUNTIF($A$5:A1173,'Firm Search'!$C$7),"")</f>
        <v/>
      </c>
    </row>
    <row r="1174">
      <c r="A1174" s="64" t="n"/>
      <c r="B1174" s="64" t="n"/>
      <c r="C1174" s="66" t="n"/>
      <c r="D1174" s="66" t="n"/>
      <c r="E1174" s="67" t="n"/>
      <c r="F1174" s="67" t="n"/>
      <c r="G1174" s="67" t="n"/>
      <c r="H1174" s="67" t="n"/>
      <c r="I1174" s="67" t="n"/>
      <c r="J1174" s="67" t="n"/>
      <c r="K1174" s="67" t="n"/>
      <c r="L1174" s="67" t="n"/>
      <c r="M1174" s="64" t="n"/>
      <c r="N1174" s="66" t="n"/>
      <c r="O1174" s="84">
        <f>IF(A1174="","",IF(OR(C1174="",D1174=""),"Enter both dates",IF(D1174&lt;C1174,"To is before From",IF(COUNTIFS($P$5:$P$2004,P1174,$C$5:$C$2004,"&lt;="&amp;D1174,$D$5:$D$2004,"&gt;="&amp;C1174)&gt;1,"Overlaps another row","OK"))))</f>
        <v/>
      </c>
      <c r="P1174">
        <f>IF(A1174="","",A1174&amp;"|"&amp;IF(B1174="","Standard",B1174))</f>
        <v/>
      </c>
      <c r="Q1174">
        <f>IF(AND(A1174&lt;&gt;"",A1174='Firm Search'!$C$7),COUNTIF($A$5:A1174,'Firm Search'!$C$7),"")</f>
        <v/>
      </c>
    </row>
    <row r="1175">
      <c r="A1175" s="64" t="n"/>
      <c r="B1175" s="64" t="n"/>
      <c r="C1175" s="66" t="n"/>
      <c r="D1175" s="66" t="n"/>
      <c r="E1175" s="67" t="n"/>
      <c r="F1175" s="67" t="n"/>
      <c r="G1175" s="67" t="n"/>
      <c r="H1175" s="67" t="n"/>
      <c r="I1175" s="67" t="n"/>
      <c r="J1175" s="67" t="n"/>
      <c r="K1175" s="67" t="n"/>
      <c r="L1175" s="67" t="n"/>
      <c r="M1175" s="64" t="n"/>
      <c r="N1175" s="66" t="n"/>
      <c r="O1175" s="84">
        <f>IF(A1175="","",IF(OR(C1175="",D1175=""),"Enter both dates",IF(D1175&lt;C1175,"To is before From",IF(COUNTIFS($P$5:$P$2004,P1175,$C$5:$C$2004,"&lt;="&amp;D1175,$D$5:$D$2004,"&gt;="&amp;C1175)&gt;1,"Overlaps another row","OK"))))</f>
        <v/>
      </c>
      <c r="P1175">
        <f>IF(A1175="","",A1175&amp;"|"&amp;IF(B1175="","Standard",B1175))</f>
        <v/>
      </c>
      <c r="Q1175">
        <f>IF(AND(A1175&lt;&gt;"",A1175='Firm Search'!$C$7),COUNTIF($A$5:A1175,'Firm Search'!$C$7),"")</f>
        <v/>
      </c>
    </row>
    <row r="1176">
      <c r="A1176" s="64" t="n"/>
      <c r="B1176" s="64" t="n"/>
      <c r="C1176" s="66" t="n"/>
      <c r="D1176" s="66" t="n"/>
      <c r="E1176" s="67" t="n"/>
      <c r="F1176" s="67" t="n"/>
      <c r="G1176" s="67" t="n"/>
      <c r="H1176" s="67" t="n"/>
      <c r="I1176" s="67" t="n"/>
      <c r="J1176" s="67" t="n"/>
      <c r="K1176" s="67" t="n"/>
      <c r="L1176" s="67" t="n"/>
      <c r="M1176" s="64" t="n"/>
      <c r="N1176" s="66" t="n"/>
      <c r="O1176" s="84">
        <f>IF(A1176="","",IF(OR(C1176="",D1176=""),"Enter both dates",IF(D1176&lt;C1176,"To is before From",IF(COUNTIFS($P$5:$P$2004,P1176,$C$5:$C$2004,"&lt;="&amp;D1176,$D$5:$D$2004,"&gt;="&amp;C1176)&gt;1,"Overlaps another row","OK"))))</f>
        <v/>
      </c>
      <c r="P1176">
        <f>IF(A1176="","",A1176&amp;"|"&amp;IF(B1176="","Standard",B1176))</f>
        <v/>
      </c>
      <c r="Q1176">
        <f>IF(AND(A1176&lt;&gt;"",A1176='Firm Search'!$C$7),COUNTIF($A$5:A1176,'Firm Search'!$C$7),"")</f>
        <v/>
      </c>
    </row>
    <row r="1177">
      <c r="A1177" s="64" t="n"/>
      <c r="B1177" s="64" t="n"/>
      <c r="C1177" s="66" t="n"/>
      <c r="D1177" s="66" t="n"/>
      <c r="E1177" s="67" t="n"/>
      <c r="F1177" s="67" t="n"/>
      <c r="G1177" s="67" t="n"/>
      <c r="H1177" s="67" t="n"/>
      <c r="I1177" s="67" t="n"/>
      <c r="J1177" s="67" t="n"/>
      <c r="K1177" s="67" t="n"/>
      <c r="L1177" s="67" t="n"/>
      <c r="M1177" s="64" t="n"/>
      <c r="N1177" s="66" t="n"/>
      <c r="O1177" s="84">
        <f>IF(A1177="","",IF(OR(C1177="",D1177=""),"Enter both dates",IF(D1177&lt;C1177,"To is before From",IF(COUNTIFS($P$5:$P$2004,P1177,$C$5:$C$2004,"&lt;="&amp;D1177,$D$5:$D$2004,"&gt;="&amp;C1177)&gt;1,"Overlaps another row","OK"))))</f>
        <v/>
      </c>
      <c r="P1177">
        <f>IF(A1177="","",A1177&amp;"|"&amp;IF(B1177="","Standard",B1177))</f>
        <v/>
      </c>
      <c r="Q1177">
        <f>IF(AND(A1177&lt;&gt;"",A1177='Firm Search'!$C$7),COUNTIF($A$5:A1177,'Firm Search'!$C$7),"")</f>
        <v/>
      </c>
    </row>
    <row r="1178">
      <c r="A1178" s="64" t="n"/>
      <c r="B1178" s="64" t="n"/>
      <c r="C1178" s="66" t="n"/>
      <c r="D1178" s="66" t="n"/>
      <c r="E1178" s="67" t="n"/>
      <c r="F1178" s="67" t="n"/>
      <c r="G1178" s="67" t="n"/>
      <c r="H1178" s="67" t="n"/>
      <c r="I1178" s="67" t="n"/>
      <c r="J1178" s="67" t="n"/>
      <c r="K1178" s="67" t="n"/>
      <c r="L1178" s="67" t="n"/>
      <c r="M1178" s="64" t="n"/>
      <c r="N1178" s="66" t="n"/>
      <c r="O1178" s="84">
        <f>IF(A1178="","",IF(OR(C1178="",D1178=""),"Enter both dates",IF(D1178&lt;C1178,"To is before From",IF(COUNTIFS($P$5:$P$2004,P1178,$C$5:$C$2004,"&lt;="&amp;D1178,$D$5:$D$2004,"&gt;="&amp;C1178)&gt;1,"Overlaps another row","OK"))))</f>
        <v/>
      </c>
      <c r="P1178">
        <f>IF(A1178="","",A1178&amp;"|"&amp;IF(B1178="","Standard",B1178))</f>
        <v/>
      </c>
      <c r="Q1178">
        <f>IF(AND(A1178&lt;&gt;"",A1178='Firm Search'!$C$7),COUNTIF($A$5:A1178,'Firm Search'!$C$7),"")</f>
        <v/>
      </c>
    </row>
    <row r="1179">
      <c r="A1179" s="64" t="n"/>
      <c r="B1179" s="64" t="n"/>
      <c r="C1179" s="66" t="n"/>
      <c r="D1179" s="66" t="n"/>
      <c r="E1179" s="67" t="n"/>
      <c r="F1179" s="67" t="n"/>
      <c r="G1179" s="67" t="n"/>
      <c r="H1179" s="67" t="n"/>
      <c r="I1179" s="67" t="n"/>
      <c r="J1179" s="67" t="n"/>
      <c r="K1179" s="67" t="n"/>
      <c r="L1179" s="67" t="n"/>
      <c r="M1179" s="64" t="n"/>
      <c r="N1179" s="66" t="n"/>
      <c r="O1179" s="84">
        <f>IF(A1179="","",IF(OR(C1179="",D1179=""),"Enter both dates",IF(D1179&lt;C1179,"To is before From",IF(COUNTIFS($P$5:$P$2004,P1179,$C$5:$C$2004,"&lt;="&amp;D1179,$D$5:$D$2004,"&gt;="&amp;C1179)&gt;1,"Overlaps another row","OK"))))</f>
        <v/>
      </c>
      <c r="P1179">
        <f>IF(A1179="","",A1179&amp;"|"&amp;IF(B1179="","Standard",B1179))</f>
        <v/>
      </c>
      <c r="Q1179">
        <f>IF(AND(A1179&lt;&gt;"",A1179='Firm Search'!$C$7),COUNTIF($A$5:A1179,'Firm Search'!$C$7),"")</f>
        <v/>
      </c>
    </row>
    <row r="1180">
      <c r="A1180" s="64" t="n"/>
      <c r="B1180" s="64" t="n"/>
      <c r="C1180" s="66" t="n"/>
      <c r="D1180" s="66" t="n"/>
      <c r="E1180" s="67" t="n"/>
      <c r="F1180" s="67" t="n"/>
      <c r="G1180" s="67" t="n"/>
      <c r="H1180" s="67" t="n"/>
      <c r="I1180" s="67" t="n"/>
      <c r="J1180" s="67" t="n"/>
      <c r="K1180" s="67" t="n"/>
      <c r="L1180" s="67" t="n"/>
      <c r="M1180" s="64" t="n"/>
      <c r="N1180" s="66" t="n"/>
      <c r="O1180" s="84">
        <f>IF(A1180="","",IF(OR(C1180="",D1180=""),"Enter both dates",IF(D1180&lt;C1180,"To is before From",IF(COUNTIFS($P$5:$P$2004,P1180,$C$5:$C$2004,"&lt;="&amp;D1180,$D$5:$D$2004,"&gt;="&amp;C1180)&gt;1,"Overlaps another row","OK"))))</f>
        <v/>
      </c>
      <c r="P1180">
        <f>IF(A1180="","",A1180&amp;"|"&amp;IF(B1180="","Standard",B1180))</f>
        <v/>
      </c>
      <c r="Q1180">
        <f>IF(AND(A1180&lt;&gt;"",A1180='Firm Search'!$C$7),COUNTIF($A$5:A1180,'Firm Search'!$C$7),"")</f>
        <v/>
      </c>
    </row>
    <row r="1181">
      <c r="A1181" s="64" t="n"/>
      <c r="B1181" s="64" t="n"/>
      <c r="C1181" s="66" t="n"/>
      <c r="D1181" s="66" t="n"/>
      <c r="E1181" s="67" t="n"/>
      <c r="F1181" s="67" t="n"/>
      <c r="G1181" s="67" t="n"/>
      <c r="H1181" s="67" t="n"/>
      <c r="I1181" s="67" t="n"/>
      <c r="J1181" s="67" t="n"/>
      <c r="K1181" s="67" t="n"/>
      <c r="L1181" s="67" t="n"/>
      <c r="M1181" s="64" t="n"/>
      <c r="N1181" s="66" t="n"/>
      <c r="O1181" s="84">
        <f>IF(A1181="","",IF(OR(C1181="",D1181=""),"Enter both dates",IF(D1181&lt;C1181,"To is before From",IF(COUNTIFS($P$5:$P$2004,P1181,$C$5:$C$2004,"&lt;="&amp;D1181,$D$5:$D$2004,"&gt;="&amp;C1181)&gt;1,"Overlaps another row","OK"))))</f>
        <v/>
      </c>
      <c r="P1181">
        <f>IF(A1181="","",A1181&amp;"|"&amp;IF(B1181="","Standard",B1181))</f>
        <v/>
      </c>
      <c r="Q1181">
        <f>IF(AND(A1181&lt;&gt;"",A1181='Firm Search'!$C$7),COUNTIF($A$5:A1181,'Firm Search'!$C$7),"")</f>
        <v/>
      </c>
    </row>
    <row r="1182">
      <c r="A1182" s="64" t="n"/>
      <c r="B1182" s="64" t="n"/>
      <c r="C1182" s="66" t="n"/>
      <c r="D1182" s="66" t="n"/>
      <c r="E1182" s="67" t="n"/>
      <c r="F1182" s="67" t="n"/>
      <c r="G1182" s="67" t="n"/>
      <c r="H1182" s="67" t="n"/>
      <c r="I1182" s="67" t="n"/>
      <c r="J1182" s="67" t="n"/>
      <c r="K1182" s="67" t="n"/>
      <c r="L1182" s="67" t="n"/>
      <c r="M1182" s="64" t="n"/>
      <c r="N1182" s="66" t="n"/>
      <c r="O1182" s="84">
        <f>IF(A1182="","",IF(OR(C1182="",D1182=""),"Enter both dates",IF(D1182&lt;C1182,"To is before From",IF(COUNTIFS($P$5:$P$2004,P1182,$C$5:$C$2004,"&lt;="&amp;D1182,$D$5:$D$2004,"&gt;="&amp;C1182)&gt;1,"Overlaps another row","OK"))))</f>
        <v/>
      </c>
      <c r="P1182">
        <f>IF(A1182="","",A1182&amp;"|"&amp;IF(B1182="","Standard",B1182))</f>
        <v/>
      </c>
      <c r="Q1182">
        <f>IF(AND(A1182&lt;&gt;"",A1182='Firm Search'!$C$7),COUNTIF($A$5:A1182,'Firm Search'!$C$7),"")</f>
        <v/>
      </c>
    </row>
    <row r="1183">
      <c r="A1183" s="64" t="n"/>
      <c r="B1183" s="64" t="n"/>
      <c r="C1183" s="66" t="n"/>
      <c r="D1183" s="66" t="n"/>
      <c r="E1183" s="67" t="n"/>
      <c r="F1183" s="67" t="n"/>
      <c r="G1183" s="67" t="n"/>
      <c r="H1183" s="67" t="n"/>
      <c r="I1183" s="67" t="n"/>
      <c r="J1183" s="67" t="n"/>
      <c r="K1183" s="67" t="n"/>
      <c r="L1183" s="67" t="n"/>
      <c r="M1183" s="64" t="n"/>
      <c r="N1183" s="66" t="n"/>
      <c r="O1183" s="84">
        <f>IF(A1183="","",IF(OR(C1183="",D1183=""),"Enter both dates",IF(D1183&lt;C1183,"To is before From",IF(COUNTIFS($P$5:$P$2004,P1183,$C$5:$C$2004,"&lt;="&amp;D1183,$D$5:$D$2004,"&gt;="&amp;C1183)&gt;1,"Overlaps another row","OK"))))</f>
        <v/>
      </c>
      <c r="P1183">
        <f>IF(A1183="","",A1183&amp;"|"&amp;IF(B1183="","Standard",B1183))</f>
        <v/>
      </c>
      <c r="Q1183">
        <f>IF(AND(A1183&lt;&gt;"",A1183='Firm Search'!$C$7),COUNTIF($A$5:A1183,'Firm Search'!$C$7),"")</f>
        <v/>
      </c>
    </row>
    <row r="1184">
      <c r="A1184" s="64" t="n"/>
      <c r="B1184" s="64" t="n"/>
      <c r="C1184" s="66" t="n"/>
      <c r="D1184" s="66" t="n"/>
      <c r="E1184" s="67" t="n"/>
      <c r="F1184" s="67" t="n"/>
      <c r="G1184" s="67" t="n"/>
      <c r="H1184" s="67" t="n"/>
      <c r="I1184" s="67" t="n"/>
      <c r="J1184" s="67" t="n"/>
      <c r="K1184" s="67" t="n"/>
      <c r="L1184" s="67" t="n"/>
      <c r="M1184" s="64" t="n"/>
      <c r="N1184" s="66" t="n"/>
      <c r="O1184" s="84">
        <f>IF(A1184="","",IF(OR(C1184="",D1184=""),"Enter both dates",IF(D1184&lt;C1184,"To is before From",IF(COUNTIFS($P$5:$P$2004,P1184,$C$5:$C$2004,"&lt;="&amp;D1184,$D$5:$D$2004,"&gt;="&amp;C1184)&gt;1,"Overlaps another row","OK"))))</f>
        <v/>
      </c>
      <c r="P1184">
        <f>IF(A1184="","",A1184&amp;"|"&amp;IF(B1184="","Standard",B1184))</f>
        <v/>
      </c>
      <c r="Q1184">
        <f>IF(AND(A1184&lt;&gt;"",A1184='Firm Search'!$C$7),COUNTIF($A$5:A1184,'Firm Search'!$C$7),"")</f>
        <v/>
      </c>
    </row>
    <row r="1185">
      <c r="A1185" s="64" t="n"/>
      <c r="B1185" s="64" t="n"/>
      <c r="C1185" s="66" t="n"/>
      <c r="D1185" s="66" t="n"/>
      <c r="E1185" s="67" t="n"/>
      <c r="F1185" s="67" t="n"/>
      <c r="G1185" s="67" t="n"/>
      <c r="H1185" s="67" t="n"/>
      <c r="I1185" s="67" t="n"/>
      <c r="J1185" s="67" t="n"/>
      <c r="K1185" s="67" t="n"/>
      <c r="L1185" s="67" t="n"/>
      <c r="M1185" s="64" t="n"/>
      <c r="N1185" s="66" t="n"/>
      <c r="O1185" s="84">
        <f>IF(A1185="","",IF(OR(C1185="",D1185=""),"Enter both dates",IF(D1185&lt;C1185,"To is before From",IF(COUNTIFS($P$5:$P$2004,P1185,$C$5:$C$2004,"&lt;="&amp;D1185,$D$5:$D$2004,"&gt;="&amp;C1185)&gt;1,"Overlaps another row","OK"))))</f>
        <v/>
      </c>
      <c r="P1185">
        <f>IF(A1185="","",A1185&amp;"|"&amp;IF(B1185="","Standard",B1185))</f>
        <v/>
      </c>
      <c r="Q1185">
        <f>IF(AND(A1185&lt;&gt;"",A1185='Firm Search'!$C$7),COUNTIF($A$5:A1185,'Firm Search'!$C$7),"")</f>
        <v/>
      </c>
    </row>
    <row r="1186">
      <c r="A1186" s="64" t="n"/>
      <c r="B1186" s="64" t="n"/>
      <c r="C1186" s="66" t="n"/>
      <c r="D1186" s="66" t="n"/>
      <c r="E1186" s="67" t="n"/>
      <c r="F1186" s="67" t="n"/>
      <c r="G1186" s="67" t="n"/>
      <c r="H1186" s="67" t="n"/>
      <c r="I1186" s="67" t="n"/>
      <c r="J1186" s="67" t="n"/>
      <c r="K1186" s="67" t="n"/>
      <c r="L1186" s="67" t="n"/>
      <c r="M1186" s="64" t="n"/>
      <c r="N1186" s="66" t="n"/>
      <c r="O1186" s="84">
        <f>IF(A1186="","",IF(OR(C1186="",D1186=""),"Enter both dates",IF(D1186&lt;C1186,"To is before From",IF(COUNTIFS($P$5:$P$2004,P1186,$C$5:$C$2004,"&lt;="&amp;D1186,$D$5:$D$2004,"&gt;="&amp;C1186)&gt;1,"Overlaps another row","OK"))))</f>
        <v/>
      </c>
      <c r="P1186">
        <f>IF(A1186="","",A1186&amp;"|"&amp;IF(B1186="","Standard",B1186))</f>
        <v/>
      </c>
      <c r="Q1186">
        <f>IF(AND(A1186&lt;&gt;"",A1186='Firm Search'!$C$7),COUNTIF($A$5:A1186,'Firm Search'!$C$7),"")</f>
        <v/>
      </c>
    </row>
    <row r="1187">
      <c r="A1187" s="64" t="n"/>
      <c r="B1187" s="64" t="n"/>
      <c r="C1187" s="66" t="n"/>
      <c r="D1187" s="66" t="n"/>
      <c r="E1187" s="67" t="n"/>
      <c r="F1187" s="67" t="n"/>
      <c r="G1187" s="67" t="n"/>
      <c r="H1187" s="67" t="n"/>
      <c r="I1187" s="67" t="n"/>
      <c r="J1187" s="67" t="n"/>
      <c r="K1187" s="67" t="n"/>
      <c r="L1187" s="67" t="n"/>
      <c r="M1187" s="64" t="n"/>
      <c r="N1187" s="66" t="n"/>
      <c r="O1187" s="84">
        <f>IF(A1187="","",IF(OR(C1187="",D1187=""),"Enter both dates",IF(D1187&lt;C1187,"To is before From",IF(COUNTIFS($P$5:$P$2004,P1187,$C$5:$C$2004,"&lt;="&amp;D1187,$D$5:$D$2004,"&gt;="&amp;C1187)&gt;1,"Overlaps another row","OK"))))</f>
        <v/>
      </c>
      <c r="P1187">
        <f>IF(A1187="","",A1187&amp;"|"&amp;IF(B1187="","Standard",B1187))</f>
        <v/>
      </c>
      <c r="Q1187">
        <f>IF(AND(A1187&lt;&gt;"",A1187='Firm Search'!$C$7),COUNTIF($A$5:A1187,'Firm Search'!$C$7),"")</f>
        <v/>
      </c>
    </row>
    <row r="1188">
      <c r="A1188" s="64" t="n"/>
      <c r="B1188" s="64" t="n"/>
      <c r="C1188" s="66" t="n"/>
      <c r="D1188" s="66" t="n"/>
      <c r="E1188" s="67" t="n"/>
      <c r="F1188" s="67" t="n"/>
      <c r="G1188" s="67" t="n"/>
      <c r="H1188" s="67" t="n"/>
      <c r="I1188" s="67" t="n"/>
      <c r="J1188" s="67" t="n"/>
      <c r="K1188" s="67" t="n"/>
      <c r="L1188" s="67" t="n"/>
      <c r="M1188" s="64" t="n"/>
      <c r="N1188" s="66" t="n"/>
      <c r="O1188" s="84">
        <f>IF(A1188="","",IF(OR(C1188="",D1188=""),"Enter both dates",IF(D1188&lt;C1188,"To is before From",IF(COUNTIFS($P$5:$P$2004,P1188,$C$5:$C$2004,"&lt;="&amp;D1188,$D$5:$D$2004,"&gt;="&amp;C1188)&gt;1,"Overlaps another row","OK"))))</f>
        <v/>
      </c>
      <c r="P1188">
        <f>IF(A1188="","",A1188&amp;"|"&amp;IF(B1188="","Standard",B1188))</f>
        <v/>
      </c>
      <c r="Q1188">
        <f>IF(AND(A1188&lt;&gt;"",A1188='Firm Search'!$C$7),COUNTIF($A$5:A1188,'Firm Search'!$C$7),"")</f>
        <v/>
      </c>
    </row>
    <row r="1189">
      <c r="A1189" s="64" t="n"/>
      <c r="B1189" s="64" t="n"/>
      <c r="C1189" s="66" t="n"/>
      <c r="D1189" s="66" t="n"/>
      <c r="E1189" s="67" t="n"/>
      <c r="F1189" s="67" t="n"/>
      <c r="G1189" s="67" t="n"/>
      <c r="H1189" s="67" t="n"/>
      <c r="I1189" s="67" t="n"/>
      <c r="J1189" s="67" t="n"/>
      <c r="K1189" s="67" t="n"/>
      <c r="L1189" s="67" t="n"/>
      <c r="M1189" s="64" t="n"/>
      <c r="N1189" s="66" t="n"/>
      <c r="O1189" s="84">
        <f>IF(A1189="","",IF(OR(C1189="",D1189=""),"Enter both dates",IF(D1189&lt;C1189,"To is before From",IF(COUNTIFS($P$5:$P$2004,P1189,$C$5:$C$2004,"&lt;="&amp;D1189,$D$5:$D$2004,"&gt;="&amp;C1189)&gt;1,"Overlaps another row","OK"))))</f>
        <v/>
      </c>
      <c r="P1189">
        <f>IF(A1189="","",A1189&amp;"|"&amp;IF(B1189="","Standard",B1189))</f>
        <v/>
      </c>
      <c r="Q1189">
        <f>IF(AND(A1189&lt;&gt;"",A1189='Firm Search'!$C$7),COUNTIF($A$5:A1189,'Firm Search'!$C$7),"")</f>
        <v/>
      </c>
    </row>
    <row r="1190">
      <c r="A1190" s="64" t="n"/>
      <c r="B1190" s="64" t="n"/>
      <c r="C1190" s="66" t="n"/>
      <c r="D1190" s="66" t="n"/>
      <c r="E1190" s="67" t="n"/>
      <c r="F1190" s="67" t="n"/>
      <c r="G1190" s="67" t="n"/>
      <c r="H1190" s="67" t="n"/>
      <c r="I1190" s="67" t="n"/>
      <c r="J1190" s="67" t="n"/>
      <c r="K1190" s="67" t="n"/>
      <c r="L1190" s="67" t="n"/>
      <c r="M1190" s="64" t="n"/>
      <c r="N1190" s="66" t="n"/>
      <c r="O1190" s="84">
        <f>IF(A1190="","",IF(OR(C1190="",D1190=""),"Enter both dates",IF(D1190&lt;C1190,"To is before From",IF(COUNTIFS($P$5:$P$2004,P1190,$C$5:$C$2004,"&lt;="&amp;D1190,$D$5:$D$2004,"&gt;="&amp;C1190)&gt;1,"Overlaps another row","OK"))))</f>
        <v/>
      </c>
      <c r="P1190">
        <f>IF(A1190="","",A1190&amp;"|"&amp;IF(B1190="","Standard",B1190))</f>
        <v/>
      </c>
      <c r="Q1190">
        <f>IF(AND(A1190&lt;&gt;"",A1190='Firm Search'!$C$7),COUNTIF($A$5:A1190,'Firm Search'!$C$7),"")</f>
        <v/>
      </c>
    </row>
    <row r="1191">
      <c r="A1191" s="64" t="n"/>
      <c r="B1191" s="64" t="n"/>
      <c r="C1191" s="66" t="n"/>
      <c r="D1191" s="66" t="n"/>
      <c r="E1191" s="67" t="n"/>
      <c r="F1191" s="67" t="n"/>
      <c r="G1191" s="67" t="n"/>
      <c r="H1191" s="67" t="n"/>
      <c r="I1191" s="67" t="n"/>
      <c r="J1191" s="67" t="n"/>
      <c r="K1191" s="67" t="n"/>
      <c r="L1191" s="67" t="n"/>
      <c r="M1191" s="64" t="n"/>
      <c r="N1191" s="66" t="n"/>
      <c r="O1191" s="84">
        <f>IF(A1191="","",IF(OR(C1191="",D1191=""),"Enter both dates",IF(D1191&lt;C1191,"To is before From",IF(COUNTIFS($P$5:$P$2004,P1191,$C$5:$C$2004,"&lt;="&amp;D1191,$D$5:$D$2004,"&gt;="&amp;C1191)&gt;1,"Overlaps another row","OK"))))</f>
        <v/>
      </c>
      <c r="P1191">
        <f>IF(A1191="","",A1191&amp;"|"&amp;IF(B1191="","Standard",B1191))</f>
        <v/>
      </c>
      <c r="Q1191">
        <f>IF(AND(A1191&lt;&gt;"",A1191='Firm Search'!$C$7),COUNTIF($A$5:A1191,'Firm Search'!$C$7),"")</f>
        <v/>
      </c>
    </row>
    <row r="1192">
      <c r="A1192" s="64" t="n"/>
      <c r="B1192" s="64" t="n"/>
      <c r="C1192" s="66" t="n"/>
      <c r="D1192" s="66" t="n"/>
      <c r="E1192" s="67" t="n"/>
      <c r="F1192" s="67" t="n"/>
      <c r="G1192" s="67" t="n"/>
      <c r="H1192" s="67" t="n"/>
      <c r="I1192" s="67" t="n"/>
      <c r="J1192" s="67" t="n"/>
      <c r="K1192" s="67" t="n"/>
      <c r="L1192" s="67" t="n"/>
      <c r="M1192" s="64" t="n"/>
      <c r="N1192" s="66" t="n"/>
      <c r="O1192" s="84">
        <f>IF(A1192="","",IF(OR(C1192="",D1192=""),"Enter both dates",IF(D1192&lt;C1192,"To is before From",IF(COUNTIFS($P$5:$P$2004,P1192,$C$5:$C$2004,"&lt;="&amp;D1192,$D$5:$D$2004,"&gt;="&amp;C1192)&gt;1,"Overlaps another row","OK"))))</f>
        <v/>
      </c>
      <c r="P1192">
        <f>IF(A1192="","",A1192&amp;"|"&amp;IF(B1192="","Standard",B1192))</f>
        <v/>
      </c>
      <c r="Q1192">
        <f>IF(AND(A1192&lt;&gt;"",A1192='Firm Search'!$C$7),COUNTIF($A$5:A1192,'Firm Search'!$C$7),"")</f>
        <v/>
      </c>
    </row>
    <row r="1193">
      <c r="A1193" s="64" t="n"/>
      <c r="B1193" s="64" t="n"/>
      <c r="C1193" s="66" t="n"/>
      <c r="D1193" s="66" t="n"/>
      <c r="E1193" s="67" t="n"/>
      <c r="F1193" s="67" t="n"/>
      <c r="G1193" s="67" t="n"/>
      <c r="H1193" s="67" t="n"/>
      <c r="I1193" s="67" t="n"/>
      <c r="J1193" s="67" t="n"/>
      <c r="K1193" s="67" t="n"/>
      <c r="L1193" s="67" t="n"/>
      <c r="M1193" s="64" t="n"/>
      <c r="N1193" s="66" t="n"/>
      <c r="O1193" s="84">
        <f>IF(A1193="","",IF(OR(C1193="",D1193=""),"Enter both dates",IF(D1193&lt;C1193,"To is before From",IF(COUNTIFS($P$5:$P$2004,P1193,$C$5:$C$2004,"&lt;="&amp;D1193,$D$5:$D$2004,"&gt;="&amp;C1193)&gt;1,"Overlaps another row","OK"))))</f>
        <v/>
      </c>
      <c r="P1193">
        <f>IF(A1193="","",A1193&amp;"|"&amp;IF(B1193="","Standard",B1193))</f>
        <v/>
      </c>
      <c r="Q1193">
        <f>IF(AND(A1193&lt;&gt;"",A1193='Firm Search'!$C$7),COUNTIF($A$5:A1193,'Firm Search'!$C$7),"")</f>
        <v/>
      </c>
    </row>
    <row r="1194">
      <c r="A1194" s="64" t="n"/>
      <c r="B1194" s="64" t="n"/>
      <c r="C1194" s="66" t="n"/>
      <c r="D1194" s="66" t="n"/>
      <c r="E1194" s="67" t="n"/>
      <c r="F1194" s="67" t="n"/>
      <c r="G1194" s="67" t="n"/>
      <c r="H1194" s="67" t="n"/>
      <c r="I1194" s="67" t="n"/>
      <c r="J1194" s="67" t="n"/>
      <c r="K1194" s="67" t="n"/>
      <c r="L1194" s="67" t="n"/>
      <c r="M1194" s="64" t="n"/>
      <c r="N1194" s="66" t="n"/>
      <c r="O1194" s="84">
        <f>IF(A1194="","",IF(OR(C1194="",D1194=""),"Enter both dates",IF(D1194&lt;C1194,"To is before From",IF(COUNTIFS($P$5:$P$2004,P1194,$C$5:$C$2004,"&lt;="&amp;D1194,$D$5:$D$2004,"&gt;="&amp;C1194)&gt;1,"Overlaps another row","OK"))))</f>
        <v/>
      </c>
      <c r="P1194">
        <f>IF(A1194="","",A1194&amp;"|"&amp;IF(B1194="","Standard",B1194))</f>
        <v/>
      </c>
      <c r="Q1194">
        <f>IF(AND(A1194&lt;&gt;"",A1194='Firm Search'!$C$7),COUNTIF($A$5:A1194,'Firm Search'!$C$7),"")</f>
        <v/>
      </c>
    </row>
    <row r="1195">
      <c r="A1195" s="64" t="n"/>
      <c r="B1195" s="64" t="n"/>
      <c r="C1195" s="66" t="n"/>
      <c r="D1195" s="66" t="n"/>
      <c r="E1195" s="67" t="n"/>
      <c r="F1195" s="67" t="n"/>
      <c r="G1195" s="67" t="n"/>
      <c r="H1195" s="67" t="n"/>
      <c r="I1195" s="67" t="n"/>
      <c r="J1195" s="67" t="n"/>
      <c r="K1195" s="67" t="n"/>
      <c r="L1195" s="67" t="n"/>
      <c r="M1195" s="64" t="n"/>
      <c r="N1195" s="66" t="n"/>
      <c r="O1195" s="84">
        <f>IF(A1195="","",IF(OR(C1195="",D1195=""),"Enter both dates",IF(D1195&lt;C1195,"To is before From",IF(COUNTIFS($P$5:$P$2004,P1195,$C$5:$C$2004,"&lt;="&amp;D1195,$D$5:$D$2004,"&gt;="&amp;C1195)&gt;1,"Overlaps another row","OK"))))</f>
        <v/>
      </c>
      <c r="P1195">
        <f>IF(A1195="","",A1195&amp;"|"&amp;IF(B1195="","Standard",B1195))</f>
        <v/>
      </c>
      <c r="Q1195">
        <f>IF(AND(A1195&lt;&gt;"",A1195='Firm Search'!$C$7),COUNTIF($A$5:A1195,'Firm Search'!$C$7),"")</f>
        <v/>
      </c>
    </row>
    <row r="1196">
      <c r="A1196" s="64" t="n"/>
      <c r="B1196" s="64" t="n"/>
      <c r="C1196" s="66" t="n"/>
      <c r="D1196" s="66" t="n"/>
      <c r="E1196" s="67" t="n"/>
      <c r="F1196" s="67" t="n"/>
      <c r="G1196" s="67" t="n"/>
      <c r="H1196" s="67" t="n"/>
      <c r="I1196" s="67" t="n"/>
      <c r="J1196" s="67" t="n"/>
      <c r="K1196" s="67" t="n"/>
      <c r="L1196" s="67" t="n"/>
      <c r="M1196" s="64" t="n"/>
      <c r="N1196" s="66" t="n"/>
      <c r="O1196" s="84">
        <f>IF(A1196="","",IF(OR(C1196="",D1196=""),"Enter both dates",IF(D1196&lt;C1196,"To is before From",IF(COUNTIFS($P$5:$P$2004,P1196,$C$5:$C$2004,"&lt;="&amp;D1196,$D$5:$D$2004,"&gt;="&amp;C1196)&gt;1,"Overlaps another row","OK"))))</f>
        <v/>
      </c>
      <c r="P1196">
        <f>IF(A1196="","",A1196&amp;"|"&amp;IF(B1196="","Standard",B1196))</f>
        <v/>
      </c>
      <c r="Q1196">
        <f>IF(AND(A1196&lt;&gt;"",A1196='Firm Search'!$C$7),COUNTIF($A$5:A1196,'Firm Search'!$C$7),"")</f>
        <v/>
      </c>
    </row>
    <row r="1197">
      <c r="A1197" s="64" t="n"/>
      <c r="B1197" s="64" t="n"/>
      <c r="C1197" s="66" t="n"/>
      <c r="D1197" s="66" t="n"/>
      <c r="E1197" s="67" t="n"/>
      <c r="F1197" s="67" t="n"/>
      <c r="G1197" s="67" t="n"/>
      <c r="H1197" s="67" t="n"/>
      <c r="I1197" s="67" t="n"/>
      <c r="J1197" s="67" t="n"/>
      <c r="K1197" s="67" t="n"/>
      <c r="L1197" s="67" t="n"/>
      <c r="M1197" s="64" t="n"/>
      <c r="N1197" s="66" t="n"/>
      <c r="O1197" s="84">
        <f>IF(A1197="","",IF(OR(C1197="",D1197=""),"Enter both dates",IF(D1197&lt;C1197,"To is before From",IF(COUNTIFS($P$5:$P$2004,P1197,$C$5:$C$2004,"&lt;="&amp;D1197,$D$5:$D$2004,"&gt;="&amp;C1197)&gt;1,"Overlaps another row","OK"))))</f>
        <v/>
      </c>
      <c r="P1197">
        <f>IF(A1197="","",A1197&amp;"|"&amp;IF(B1197="","Standard",B1197))</f>
        <v/>
      </c>
      <c r="Q1197">
        <f>IF(AND(A1197&lt;&gt;"",A1197='Firm Search'!$C$7),COUNTIF($A$5:A1197,'Firm Search'!$C$7),"")</f>
        <v/>
      </c>
    </row>
    <row r="1198">
      <c r="A1198" s="64" t="n"/>
      <c r="B1198" s="64" t="n"/>
      <c r="C1198" s="66" t="n"/>
      <c r="D1198" s="66" t="n"/>
      <c r="E1198" s="67" t="n"/>
      <c r="F1198" s="67" t="n"/>
      <c r="G1198" s="67" t="n"/>
      <c r="H1198" s="67" t="n"/>
      <c r="I1198" s="67" t="n"/>
      <c r="J1198" s="67" t="n"/>
      <c r="K1198" s="67" t="n"/>
      <c r="L1198" s="67" t="n"/>
      <c r="M1198" s="64" t="n"/>
      <c r="N1198" s="66" t="n"/>
      <c r="O1198" s="84">
        <f>IF(A1198="","",IF(OR(C1198="",D1198=""),"Enter both dates",IF(D1198&lt;C1198,"To is before From",IF(COUNTIFS($P$5:$P$2004,P1198,$C$5:$C$2004,"&lt;="&amp;D1198,$D$5:$D$2004,"&gt;="&amp;C1198)&gt;1,"Overlaps another row","OK"))))</f>
        <v/>
      </c>
      <c r="P1198">
        <f>IF(A1198="","",A1198&amp;"|"&amp;IF(B1198="","Standard",B1198))</f>
        <v/>
      </c>
      <c r="Q1198">
        <f>IF(AND(A1198&lt;&gt;"",A1198='Firm Search'!$C$7),COUNTIF($A$5:A1198,'Firm Search'!$C$7),"")</f>
        <v/>
      </c>
    </row>
    <row r="1199">
      <c r="A1199" s="64" t="n"/>
      <c r="B1199" s="64" t="n"/>
      <c r="C1199" s="66" t="n"/>
      <c r="D1199" s="66" t="n"/>
      <c r="E1199" s="67" t="n"/>
      <c r="F1199" s="67" t="n"/>
      <c r="G1199" s="67" t="n"/>
      <c r="H1199" s="67" t="n"/>
      <c r="I1199" s="67" t="n"/>
      <c r="J1199" s="67" t="n"/>
      <c r="K1199" s="67" t="n"/>
      <c r="L1199" s="67" t="n"/>
      <c r="M1199" s="64" t="n"/>
      <c r="N1199" s="66" t="n"/>
      <c r="O1199" s="84">
        <f>IF(A1199="","",IF(OR(C1199="",D1199=""),"Enter both dates",IF(D1199&lt;C1199,"To is before From",IF(COUNTIFS($P$5:$P$2004,P1199,$C$5:$C$2004,"&lt;="&amp;D1199,$D$5:$D$2004,"&gt;="&amp;C1199)&gt;1,"Overlaps another row","OK"))))</f>
        <v/>
      </c>
      <c r="P1199">
        <f>IF(A1199="","",A1199&amp;"|"&amp;IF(B1199="","Standard",B1199))</f>
        <v/>
      </c>
      <c r="Q1199">
        <f>IF(AND(A1199&lt;&gt;"",A1199='Firm Search'!$C$7),COUNTIF($A$5:A1199,'Firm Search'!$C$7),"")</f>
        <v/>
      </c>
    </row>
    <row r="1200">
      <c r="A1200" s="64" t="n"/>
      <c r="B1200" s="64" t="n"/>
      <c r="C1200" s="66" t="n"/>
      <c r="D1200" s="66" t="n"/>
      <c r="E1200" s="67" t="n"/>
      <c r="F1200" s="67" t="n"/>
      <c r="G1200" s="67" t="n"/>
      <c r="H1200" s="67" t="n"/>
      <c r="I1200" s="67" t="n"/>
      <c r="J1200" s="67" t="n"/>
      <c r="K1200" s="67" t="n"/>
      <c r="L1200" s="67" t="n"/>
      <c r="M1200" s="64" t="n"/>
      <c r="N1200" s="66" t="n"/>
      <c r="O1200" s="84">
        <f>IF(A1200="","",IF(OR(C1200="",D1200=""),"Enter both dates",IF(D1200&lt;C1200,"To is before From",IF(COUNTIFS($P$5:$P$2004,P1200,$C$5:$C$2004,"&lt;="&amp;D1200,$D$5:$D$2004,"&gt;="&amp;C1200)&gt;1,"Overlaps another row","OK"))))</f>
        <v/>
      </c>
      <c r="P1200">
        <f>IF(A1200="","",A1200&amp;"|"&amp;IF(B1200="","Standard",B1200))</f>
        <v/>
      </c>
      <c r="Q1200">
        <f>IF(AND(A1200&lt;&gt;"",A1200='Firm Search'!$C$7),COUNTIF($A$5:A1200,'Firm Search'!$C$7),"")</f>
        <v/>
      </c>
    </row>
    <row r="1201">
      <c r="A1201" s="64" t="n"/>
      <c r="B1201" s="64" t="n"/>
      <c r="C1201" s="66" t="n"/>
      <c r="D1201" s="66" t="n"/>
      <c r="E1201" s="67" t="n"/>
      <c r="F1201" s="67" t="n"/>
      <c r="G1201" s="67" t="n"/>
      <c r="H1201" s="67" t="n"/>
      <c r="I1201" s="67" t="n"/>
      <c r="J1201" s="67" t="n"/>
      <c r="K1201" s="67" t="n"/>
      <c r="L1201" s="67" t="n"/>
      <c r="M1201" s="64" t="n"/>
      <c r="N1201" s="66" t="n"/>
      <c r="O1201" s="84">
        <f>IF(A1201="","",IF(OR(C1201="",D1201=""),"Enter both dates",IF(D1201&lt;C1201,"To is before From",IF(COUNTIFS($P$5:$P$2004,P1201,$C$5:$C$2004,"&lt;="&amp;D1201,$D$5:$D$2004,"&gt;="&amp;C1201)&gt;1,"Overlaps another row","OK"))))</f>
        <v/>
      </c>
      <c r="P1201">
        <f>IF(A1201="","",A1201&amp;"|"&amp;IF(B1201="","Standard",B1201))</f>
        <v/>
      </c>
      <c r="Q1201">
        <f>IF(AND(A1201&lt;&gt;"",A1201='Firm Search'!$C$7),COUNTIF($A$5:A1201,'Firm Search'!$C$7),"")</f>
        <v/>
      </c>
    </row>
    <row r="1202">
      <c r="A1202" s="64" t="n"/>
      <c r="B1202" s="64" t="n"/>
      <c r="C1202" s="66" t="n"/>
      <c r="D1202" s="66" t="n"/>
      <c r="E1202" s="67" t="n"/>
      <c r="F1202" s="67" t="n"/>
      <c r="G1202" s="67" t="n"/>
      <c r="H1202" s="67" t="n"/>
      <c r="I1202" s="67" t="n"/>
      <c r="J1202" s="67" t="n"/>
      <c r="K1202" s="67" t="n"/>
      <c r="L1202" s="67" t="n"/>
      <c r="M1202" s="64" t="n"/>
      <c r="N1202" s="66" t="n"/>
      <c r="O1202" s="84">
        <f>IF(A1202="","",IF(OR(C1202="",D1202=""),"Enter both dates",IF(D1202&lt;C1202,"To is before From",IF(COUNTIFS($P$5:$P$2004,P1202,$C$5:$C$2004,"&lt;="&amp;D1202,$D$5:$D$2004,"&gt;="&amp;C1202)&gt;1,"Overlaps another row","OK"))))</f>
        <v/>
      </c>
      <c r="P1202">
        <f>IF(A1202="","",A1202&amp;"|"&amp;IF(B1202="","Standard",B1202))</f>
        <v/>
      </c>
      <c r="Q1202">
        <f>IF(AND(A1202&lt;&gt;"",A1202='Firm Search'!$C$7),COUNTIF($A$5:A1202,'Firm Search'!$C$7),"")</f>
        <v/>
      </c>
    </row>
    <row r="1203">
      <c r="A1203" s="64" t="n"/>
      <c r="B1203" s="64" t="n"/>
      <c r="C1203" s="66" t="n"/>
      <c r="D1203" s="66" t="n"/>
      <c r="E1203" s="67" t="n"/>
      <c r="F1203" s="67" t="n"/>
      <c r="G1203" s="67" t="n"/>
      <c r="H1203" s="67" t="n"/>
      <c r="I1203" s="67" t="n"/>
      <c r="J1203" s="67" t="n"/>
      <c r="K1203" s="67" t="n"/>
      <c r="L1203" s="67" t="n"/>
      <c r="M1203" s="64" t="n"/>
      <c r="N1203" s="66" t="n"/>
      <c r="O1203" s="84">
        <f>IF(A1203="","",IF(OR(C1203="",D1203=""),"Enter both dates",IF(D1203&lt;C1203,"To is before From",IF(COUNTIFS($P$5:$P$2004,P1203,$C$5:$C$2004,"&lt;="&amp;D1203,$D$5:$D$2004,"&gt;="&amp;C1203)&gt;1,"Overlaps another row","OK"))))</f>
        <v/>
      </c>
      <c r="P1203">
        <f>IF(A1203="","",A1203&amp;"|"&amp;IF(B1203="","Standard",B1203))</f>
        <v/>
      </c>
      <c r="Q1203">
        <f>IF(AND(A1203&lt;&gt;"",A1203='Firm Search'!$C$7),COUNTIF($A$5:A1203,'Firm Search'!$C$7),"")</f>
        <v/>
      </c>
    </row>
    <row r="1204">
      <c r="A1204" s="64" t="n"/>
      <c r="B1204" s="64" t="n"/>
      <c r="C1204" s="66" t="n"/>
      <c r="D1204" s="66" t="n"/>
      <c r="E1204" s="67" t="n"/>
      <c r="F1204" s="67" t="n"/>
      <c r="G1204" s="67" t="n"/>
      <c r="H1204" s="67" t="n"/>
      <c r="I1204" s="67" t="n"/>
      <c r="J1204" s="67" t="n"/>
      <c r="K1204" s="67" t="n"/>
      <c r="L1204" s="67" t="n"/>
      <c r="M1204" s="64" t="n"/>
      <c r="N1204" s="66" t="n"/>
      <c r="O1204" s="84">
        <f>IF(A1204="","",IF(OR(C1204="",D1204=""),"Enter both dates",IF(D1204&lt;C1204,"To is before From",IF(COUNTIFS($P$5:$P$2004,P1204,$C$5:$C$2004,"&lt;="&amp;D1204,$D$5:$D$2004,"&gt;="&amp;C1204)&gt;1,"Overlaps another row","OK"))))</f>
        <v/>
      </c>
      <c r="P1204">
        <f>IF(A1204="","",A1204&amp;"|"&amp;IF(B1204="","Standard",B1204))</f>
        <v/>
      </c>
      <c r="Q1204">
        <f>IF(AND(A1204&lt;&gt;"",A1204='Firm Search'!$C$7),COUNTIF($A$5:A1204,'Firm Search'!$C$7),"")</f>
        <v/>
      </c>
    </row>
    <row r="1205">
      <c r="A1205" s="64" t="n"/>
      <c r="B1205" s="64" t="n"/>
      <c r="C1205" s="66" t="n"/>
      <c r="D1205" s="66" t="n"/>
      <c r="E1205" s="67" t="n"/>
      <c r="F1205" s="67" t="n"/>
      <c r="G1205" s="67" t="n"/>
      <c r="H1205" s="67" t="n"/>
      <c r="I1205" s="67" t="n"/>
      <c r="J1205" s="67" t="n"/>
      <c r="K1205" s="67" t="n"/>
      <c r="L1205" s="67" t="n"/>
      <c r="M1205" s="64" t="n"/>
      <c r="N1205" s="66" t="n"/>
      <c r="O1205" s="84">
        <f>IF(A1205="","",IF(OR(C1205="",D1205=""),"Enter both dates",IF(D1205&lt;C1205,"To is before From",IF(COUNTIFS($P$5:$P$2004,P1205,$C$5:$C$2004,"&lt;="&amp;D1205,$D$5:$D$2004,"&gt;="&amp;C1205)&gt;1,"Overlaps another row","OK"))))</f>
        <v/>
      </c>
      <c r="P1205">
        <f>IF(A1205="","",A1205&amp;"|"&amp;IF(B1205="","Standard",B1205))</f>
        <v/>
      </c>
      <c r="Q1205">
        <f>IF(AND(A1205&lt;&gt;"",A1205='Firm Search'!$C$7),COUNTIF($A$5:A1205,'Firm Search'!$C$7),"")</f>
        <v/>
      </c>
    </row>
    <row r="1206">
      <c r="A1206" s="64" t="n"/>
      <c r="B1206" s="64" t="n"/>
      <c r="C1206" s="66" t="n"/>
      <c r="D1206" s="66" t="n"/>
      <c r="E1206" s="67" t="n"/>
      <c r="F1206" s="67" t="n"/>
      <c r="G1206" s="67" t="n"/>
      <c r="H1206" s="67" t="n"/>
      <c r="I1206" s="67" t="n"/>
      <c r="J1206" s="67" t="n"/>
      <c r="K1206" s="67" t="n"/>
      <c r="L1206" s="67" t="n"/>
      <c r="M1206" s="64" t="n"/>
      <c r="N1206" s="66" t="n"/>
      <c r="O1206" s="84">
        <f>IF(A1206="","",IF(OR(C1206="",D1206=""),"Enter both dates",IF(D1206&lt;C1206,"To is before From",IF(COUNTIFS($P$5:$P$2004,P1206,$C$5:$C$2004,"&lt;="&amp;D1206,$D$5:$D$2004,"&gt;="&amp;C1206)&gt;1,"Overlaps another row","OK"))))</f>
        <v/>
      </c>
      <c r="P1206">
        <f>IF(A1206="","",A1206&amp;"|"&amp;IF(B1206="","Standard",B1206))</f>
        <v/>
      </c>
      <c r="Q1206">
        <f>IF(AND(A1206&lt;&gt;"",A1206='Firm Search'!$C$7),COUNTIF($A$5:A1206,'Firm Search'!$C$7),"")</f>
        <v/>
      </c>
    </row>
    <row r="1207">
      <c r="A1207" s="64" t="n"/>
      <c r="B1207" s="64" t="n"/>
      <c r="C1207" s="66" t="n"/>
      <c r="D1207" s="66" t="n"/>
      <c r="E1207" s="67" t="n"/>
      <c r="F1207" s="67" t="n"/>
      <c r="G1207" s="67" t="n"/>
      <c r="H1207" s="67" t="n"/>
      <c r="I1207" s="67" t="n"/>
      <c r="J1207" s="67" t="n"/>
      <c r="K1207" s="67" t="n"/>
      <c r="L1207" s="67" t="n"/>
      <c r="M1207" s="64" t="n"/>
      <c r="N1207" s="66" t="n"/>
      <c r="O1207" s="84">
        <f>IF(A1207="","",IF(OR(C1207="",D1207=""),"Enter both dates",IF(D1207&lt;C1207,"To is before From",IF(COUNTIFS($P$5:$P$2004,P1207,$C$5:$C$2004,"&lt;="&amp;D1207,$D$5:$D$2004,"&gt;="&amp;C1207)&gt;1,"Overlaps another row","OK"))))</f>
        <v/>
      </c>
      <c r="P1207">
        <f>IF(A1207="","",A1207&amp;"|"&amp;IF(B1207="","Standard",B1207))</f>
        <v/>
      </c>
      <c r="Q1207">
        <f>IF(AND(A1207&lt;&gt;"",A1207='Firm Search'!$C$7),COUNTIF($A$5:A1207,'Firm Search'!$C$7),"")</f>
        <v/>
      </c>
    </row>
    <row r="1208">
      <c r="A1208" s="64" t="n"/>
      <c r="B1208" s="64" t="n"/>
      <c r="C1208" s="66" t="n"/>
      <c r="D1208" s="66" t="n"/>
      <c r="E1208" s="67" t="n"/>
      <c r="F1208" s="67" t="n"/>
      <c r="G1208" s="67" t="n"/>
      <c r="H1208" s="67" t="n"/>
      <c r="I1208" s="67" t="n"/>
      <c r="J1208" s="67" t="n"/>
      <c r="K1208" s="67" t="n"/>
      <c r="L1208" s="67" t="n"/>
      <c r="M1208" s="64" t="n"/>
      <c r="N1208" s="66" t="n"/>
      <c r="O1208" s="84">
        <f>IF(A1208="","",IF(OR(C1208="",D1208=""),"Enter both dates",IF(D1208&lt;C1208,"To is before From",IF(COUNTIFS($P$5:$P$2004,P1208,$C$5:$C$2004,"&lt;="&amp;D1208,$D$5:$D$2004,"&gt;="&amp;C1208)&gt;1,"Overlaps another row","OK"))))</f>
        <v/>
      </c>
      <c r="P1208">
        <f>IF(A1208="","",A1208&amp;"|"&amp;IF(B1208="","Standard",B1208))</f>
        <v/>
      </c>
      <c r="Q1208">
        <f>IF(AND(A1208&lt;&gt;"",A1208='Firm Search'!$C$7),COUNTIF($A$5:A1208,'Firm Search'!$C$7),"")</f>
        <v/>
      </c>
    </row>
    <row r="1209">
      <c r="A1209" s="64" t="n"/>
      <c r="B1209" s="64" t="n"/>
      <c r="C1209" s="66" t="n"/>
      <c r="D1209" s="66" t="n"/>
      <c r="E1209" s="67" t="n"/>
      <c r="F1209" s="67" t="n"/>
      <c r="G1209" s="67" t="n"/>
      <c r="H1209" s="67" t="n"/>
      <c r="I1209" s="67" t="n"/>
      <c r="J1209" s="67" t="n"/>
      <c r="K1209" s="67" t="n"/>
      <c r="L1209" s="67" t="n"/>
      <c r="M1209" s="64" t="n"/>
      <c r="N1209" s="66" t="n"/>
      <c r="O1209" s="84">
        <f>IF(A1209="","",IF(OR(C1209="",D1209=""),"Enter both dates",IF(D1209&lt;C1209,"To is before From",IF(COUNTIFS($P$5:$P$2004,P1209,$C$5:$C$2004,"&lt;="&amp;D1209,$D$5:$D$2004,"&gt;="&amp;C1209)&gt;1,"Overlaps another row","OK"))))</f>
        <v/>
      </c>
      <c r="P1209">
        <f>IF(A1209="","",A1209&amp;"|"&amp;IF(B1209="","Standard",B1209))</f>
        <v/>
      </c>
      <c r="Q1209">
        <f>IF(AND(A1209&lt;&gt;"",A1209='Firm Search'!$C$7),COUNTIF($A$5:A1209,'Firm Search'!$C$7),"")</f>
        <v/>
      </c>
    </row>
    <row r="1210">
      <c r="A1210" s="64" t="n"/>
      <c r="B1210" s="64" t="n"/>
      <c r="C1210" s="66" t="n"/>
      <c r="D1210" s="66" t="n"/>
      <c r="E1210" s="67" t="n"/>
      <c r="F1210" s="67" t="n"/>
      <c r="G1210" s="67" t="n"/>
      <c r="H1210" s="67" t="n"/>
      <c r="I1210" s="67" t="n"/>
      <c r="J1210" s="67" t="n"/>
      <c r="K1210" s="67" t="n"/>
      <c r="L1210" s="67" t="n"/>
      <c r="M1210" s="64" t="n"/>
      <c r="N1210" s="66" t="n"/>
      <c r="O1210" s="84">
        <f>IF(A1210="","",IF(OR(C1210="",D1210=""),"Enter both dates",IF(D1210&lt;C1210,"To is before From",IF(COUNTIFS($P$5:$P$2004,P1210,$C$5:$C$2004,"&lt;="&amp;D1210,$D$5:$D$2004,"&gt;="&amp;C1210)&gt;1,"Overlaps another row","OK"))))</f>
        <v/>
      </c>
      <c r="P1210">
        <f>IF(A1210="","",A1210&amp;"|"&amp;IF(B1210="","Standard",B1210))</f>
        <v/>
      </c>
      <c r="Q1210">
        <f>IF(AND(A1210&lt;&gt;"",A1210='Firm Search'!$C$7),COUNTIF($A$5:A1210,'Firm Search'!$C$7),"")</f>
        <v/>
      </c>
    </row>
    <row r="1211">
      <c r="A1211" s="64" t="n"/>
      <c r="B1211" s="64" t="n"/>
      <c r="C1211" s="66" t="n"/>
      <c r="D1211" s="66" t="n"/>
      <c r="E1211" s="67" t="n"/>
      <c r="F1211" s="67" t="n"/>
      <c r="G1211" s="67" t="n"/>
      <c r="H1211" s="67" t="n"/>
      <c r="I1211" s="67" t="n"/>
      <c r="J1211" s="67" t="n"/>
      <c r="K1211" s="67" t="n"/>
      <c r="L1211" s="67" t="n"/>
      <c r="M1211" s="64" t="n"/>
      <c r="N1211" s="66" t="n"/>
      <c r="O1211" s="84">
        <f>IF(A1211="","",IF(OR(C1211="",D1211=""),"Enter both dates",IF(D1211&lt;C1211,"To is before From",IF(COUNTIFS($P$5:$P$2004,P1211,$C$5:$C$2004,"&lt;="&amp;D1211,$D$5:$D$2004,"&gt;="&amp;C1211)&gt;1,"Overlaps another row","OK"))))</f>
        <v/>
      </c>
      <c r="P1211">
        <f>IF(A1211="","",A1211&amp;"|"&amp;IF(B1211="","Standard",B1211))</f>
        <v/>
      </c>
      <c r="Q1211">
        <f>IF(AND(A1211&lt;&gt;"",A1211='Firm Search'!$C$7),COUNTIF($A$5:A1211,'Firm Search'!$C$7),"")</f>
        <v/>
      </c>
    </row>
    <row r="1212">
      <c r="A1212" s="64" t="n"/>
      <c r="B1212" s="64" t="n"/>
      <c r="C1212" s="66" t="n"/>
      <c r="D1212" s="66" t="n"/>
      <c r="E1212" s="67" t="n"/>
      <c r="F1212" s="67" t="n"/>
      <c r="G1212" s="67" t="n"/>
      <c r="H1212" s="67" t="n"/>
      <c r="I1212" s="67" t="n"/>
      <c r="J1212" s="67" t="n"/>
      <c r="K1212" s="67" t="n"/>
      <c r="L1212" s="67" t="n"/>
      <c r="M1212" s="64" t="n"/>
      <c r="N1212" s="66" t="n"/>
      <c r="O1212" s="84">
        <f>IF(A1212="","",IF(OR(C1212="",D1212=""),"Enter both dates",IF(D1212&lt;C1212,"To is before From",IF(COUNTIFS($P$5:$P$2004,P1212,$C$5:$C$2004,"&lt;="&amp;D1212,$D$5:$D$2004,"&gt;="&amp;C1212)&gt;1,"Overlaps another row","OK"))))</f>
        <v/>
      </c>
      <c r="P1212">
        <f>IF(A1212="","",A1212&amp;"|"&amp;IF(B1212="","Standard",B1212))</f>
        <v/>
      </c>
      <c r="Q1212">
        <f>IF(AND(A1212&lt;&gt;"",A1212='Firm Search'!$C$7),COUNTIF($A$5:A1212,'Firm Search'!$C$7),"")</f>
        <v/>
      </c>
    </row>
    <row r="1213">
      <c r="A1213" s="64" t="n"/>
      <c r="B1213" s="64" t="n"/>
      <c r="C1213" s="66" t="n"/>
      <c r="D1213" s="66" t="n"/>
      <c r="E1213" s="67" t="n"/>
      <c r="F1213" s="67" t="n"/>
      <c r="G1213" s="67" t="n"/>
      <c r="H1213" s="67" t="n"/>
      <c r="I1213" s="67" t="n"/>
      <c r="J1213" s="67" t="n"/>
      <c r="K1213" s="67" t="n"/>
      <c r="L1213" s="67" t="n"/>
      <c r="M1213" s="64" t="n"/>
      <c r="N1213" s="66" t="n"/>
      <c r="O1213" s="84">
        <f>IF(A1213="","",IF(OR(C1213="",D1213=""),"Enter both dates",IF(D1213&lt;C1213,"To is before From",IF(COUNTIFS($P$5:$P$2004,P1213,$C$5:$C$2004,"&lt;="&amp;D1213,$D$5:$D$2004,"&gt;="&amp;C1213)&gt;1,"Overlaps another row","OK"))))</f>
        <v/>
      </c>
      <c r="P1213">
        <f>IF(A1213="","",A1213&amp;"|"&amp;IF(B1213="","Standard",B1213))</f>
        <v/>
      </c>
      <c r="Q1213">
        <f>IF(AND(A1213&lt;&gt;"",A1213='Firm Search'!$C$7),COUNTIF($A$5:A1213,'Firm Search'!$C$7),"")</f>
        <v/>
      </c>
    </row>
    <row r="1214">
      <c r="A1214" s="64" t="n"/>
      <c r="B1214" s="64" t="n"/>
      <c r="C1214" s="66" t="n"/>
      <c r="D1214" s="66" t="n"/>
      <c r="E1214" s="67" t="n"/>
      <c r="F1214" s="67" t="n"/>
      <c r="G1214" s="67" t="n"/>
      <c r="H1214" s="67" t="n"/>
      <c r="I1214" s="67" t="n"/>
      <c r="J1214" s="67" t="n"/>
      <c r="K1214" s="67" t="n"/>
      <c r="L1214" s="67" t="n"/>
      <c r="M1214" s="64" t="n"/>
      <c r="N1214" s="66" t="n"/>
      <c r="O1214" s="84">
        <f>IF(A1214="","",IF(OR(C1214="",D1214=""),"Enter both dates",IF(D1214&lt;C1214,"To is before From",IF(COUNTIFS($P$5:$P$2004,P1214,$C$5:$C$2004,"&lt;="&amp;D1214,$D$5:$D$2004,"&gt;="&amp;C1214)&gt;1,"Overlaps another row","OK"))))</f>
        <v/>
      </c>
      <c r="P1214">
        <f>IF(A1214="","",A1214&amp;"|"&amp;IF(B1214="","Standard",B1214))</f>
        <v/>
      </c>
      <c r="Q1214">
        <f>IF(AND(A1214&lt;&gt;"",A1214='Firm Search'!$C$7),COUNTIF($A$5:A1214,'Firm Search'!$C$7),"")</f>
        <v/>
      </c>
    </row>
    <row r="1215">
      <c r="A1215" s="64" t="n"/>
      <c r="B1215" s="64" t="n"/>
      <c r="C1215" s="66" t="n"/>
      <c r="D1215" s="66" t="n"/>
      <c r="E1215" s="67" t="n"/>
      <c r="F1215" s="67" t="n"/>
      <c r="G1215" s="67" t="n"/>
      <c r="H1215" s="67" t="n"/>
      <c r="I1215" s="67" t="n"/>
      <c r="J1215" s="67" t="n"/>
      <c r="K1215" s="67" t="n"/>
      <c r="L1215" s="67" t="n"/>
      <c r="M1215" s="64" t="n"/>
      <c r="N1215" s="66" t="n"/>
      <c r="O1215" s="84">
        <f>IF(A1215="","",IF(OR(C1215="",D1215=""),"Enter both dates",IF(D1215&lt;C1215,"To is before From",IF(COUNTIFS($P$5:$P$2004,P1215,$C$5:$C$2004,"&lt;="&amp;D1215,$D$5:$D$2004,"&gt;="&amp;C1215)&gt;1,"Overlaps another row","OK"))))</f>
        <v/>
      </c>
      <c r="P1215">
        <f>IF(A1215="","",A1215&amp;"|"&amp;IF(B1215="","Standard",B1215))</f>
        <v/>
      </c>
      <c r="Q1215">
        <f>IF(AND(A1215&lt;&gt;"",A1215='Firm Search'!$C$7),COUNTIF($A$5:A1215,'Firm Search'!$C$7),"")</f>
        <v/>
      </c>
    </row>
    <row r="1216">
      <c r="A1216" s="64" t="n"/>
      <c r="B1216" s="64" t="n"/>
      <c r="C1216" s="66" t="n"/>
      <c r="D1216" s="66" t="n"/>
      <c r="E1216" s="67" t="n"/>
      <c r="F1216" s="67" t="n"/>
      <c r="G1216" s="67" t="n"/>
      <c r="H1216" s="67" t="n"/>
      <c r="I1216" s="67" t="n"/>
      <c r="J1216" s="67" t="n"/>
      <c r="K1216" s="67" t="n"/>
      <c r="L1216" s="67" t="n"/>
      <c r="M1216" s="64" t="n"/>
      <c r="N1216" s="66" t="n"/>
      <c r="O1216" s="84">
        <f>IF(A1216="","",IF(OR(C1216="",D1216=""),"Enter both dates",IF(D1216&lt;C1216,"To is before From",IF(COUNTIFS($P$5:$P$2004,P1216,$C$5:$C$2004,"&lt;="&amp;D1216,$D$5:$D$2004,"&gt;="&amp;C1216)&gt;1,"Overlaps another row","OK"))))</f>
        <v/>
      </c>
      <c r="P1216">
        <f>IF(A1216="","",A1216&amp;"|"&amp;IF(B1216="","Standard",B1216))</f>
        <v/>
      </c>
      <c r="Q1216">
        <f>IF(AND(A1216&lt;&gt;"",A1216='Firm Search'!$C$7),COUNTIF($A$5:A1216,'Firm Search'!$C$7),"")</f>
        <v/>
      </c>
    </row>
    <row r="1217">
      <c r="A1217" s="64" t="n"/>
      <c r="B1217" s="64" t="n"/>
      <c r="C1217" s="66" t="n"/>
      <c r="D1217" s="66" t="n"/>
      <c r="E1217" s="67" t="n"/>
      <c r="F1217" s="67" t="n"/>
      <c r="G1217" s="67" t="n"/>
      <c r="H1217" s="67" t="n"/>
      <c r="I1217" s="67" t="n"/>
      <c r="J1217" s="67" t="n"/>
      <c r="K1217" s="67" t="n"/>
      <c r="L1217" s="67" t="n"/>
      <c r="M1217" s="64" t="n"/>
      <c r="N1217" s="66" t="n"/>
      <c r="O1217" s="84">
        <f>IF(A1217="","",IF(OR(C1217="",D1217=""),"Enter both dates",IF(D1217&lt;C1217,"To is before From",IF(COUNTIFS($P$5:$P$2004,P1217,$C$5:$C$2004,"&lt;="&amp;D1217,$D$5:$D$2004,"&gt;="&amp;C1217)&gt;1,"Overlaps another row","OK"))))</f>
        <v/>
      </c>
      <c r="P1217">
        <f>IF(A1217="","",A1217&amp;"|"&amp;IF(B1217="","Standard",B1217))</f>
        <v/>
      </c>
      <c r="Q1217">
        <f>IF(AND(A1217&lt;&gt;"",A1217='Firm Search'!$C$7),COUNTIF($A$5:A1217,'Firm Search'!$C$7),"")</f>
        <v/>
      </c>
    </row>
    <row r="1218">
      <c r="A1218" s="64" t="n"/>
      <c r="B1218" s="64" t="n"/>
      <c r="C1218" s="66" t="n"/>
      <c r="D1218" s="66" t="n"/>
      <c r="E1218" s="67" t="n"/>
      <c r="F1218" s="67" t="n"/>
      <c r="G1218" s="67" t="n"/>
      <c r="H1218" s="67" t="n"/>
      <c r="I1218" s="67" t="n"/>
      <c r="J1218" s="67" t="n"/>
      <c r="K1218" s="67" t="n"/>
      <c r="L1218" s="67" t="n"/>
      <c r="M1218" s="64" t="n"/>
      <c r="N1218" s="66" t="n"/>
      <c r="O1218" s="84">
        <f>IF(A1218="","",IF(OR(C1218="",D1218=""),"Enter both dates",IF(D1218&lt;C1218,"To is before From",IF(COUNTIFS($P$5:$P$2004,P1218,$C$5:$C$2004,"&lt;="&amp;D1218,$D$5:$D$2004,"&gt;="&amp;C1218)&gt;1,"Overlaps another row","OK"))))</f>
        <v/>
      </c>
      <c r="P1218">
        <f>IF(A1218="","",A1218&amp;"|"&amp;IF(B1218="","Standard",B1218))</f>
        <v/>
      </c>
      <c r="Q1218">
        <f>IF(AND(A1218&lt;&gt;"",A1218='Firm Search'!$C$7),COUNTIF($A$5:A1218,'Firm Search'!$C$7),"")</f>
        <v/>
      </c>
    </row>
    <row r="1219">
      <c r="A1219" s="64" t="n"/>
      <c r="B1219" s="64" t="n"/>
      <c r="C1219" s="66" t="n"/>
      <c r="D1219" s="66" t="n"/>
      <c r="E1219" s="67" t="n"/>
      <c r="F1219" s="67" t="n"/>
      <c r="G1219" s="67" t="n"/>
      <c r="H1219" s="67" t="n"/>
      <c r="I1219" s="67" t="n"/>
      <c r="J1219" s="67" t="n"/>
      <c r="K1219" s="67" t="n"/>
      <c r="L1219" s="67" t="n"/>
      <c r="M1219" s="64" t="n"/>
      <c r="N1219" s="66" t="n"/>
      <c r="O1219" s="84">
        <f>IF(A1219="","",IF(OR(C1219="",D1219=""),"Enter both dates",IF(D1219&lt;C1219,"To is before From",IF(COUNTIFS($P$5:$P$2004,P1219,$C$5:$C$2004,"&lt;="&amp;D1219,$D$5:$D$2004,"&gt;="&amp;C1219)&gt;1,"Overlaps another row","OK"))))</f>
        <v/>
      </c>
      <c r="P1219">
        <f>IF(A1219="","",A1219&amp;"|"&amp;IF(B1219="","Standard",B1219))</f>
        <v/>
      </c>
      <c r="Q1219">
        <f>IF(AND(A1219&lt;&gt;"",A1219='Firm Search'!$C$7),COUNTIF($A$5:A1219,'Firm Search'!$C$7),"")</f>
        <v/>
      </c>
    </row>
    <row r="1220">
      <c r="A1220" s="64" t="n"/>
      <c r="B1220" s="64" t="n"/>
      <c r="C1220" s="66" t="n"/>
      <c r="D1220" s="66" t="n"/>
      <c r="E1220" s="67" t="n"/>
      <c r="F1220" s="67" t="n"/>
      <c r="G1220" s="67" t="n"/>
      <c r="H1220" s="67" t="n"/>
      <c r="I1220" s="67" t="n"/>
      <c r="J1220" s="67" t="n"/>
      <c r="K1220" s="67" t="n"/>
      <c r="L1220" s="67" t="n"/>
      <c r="M1220" s="64" t="n"/>
      <c r="N1220" s="66" t="n"/>
      <c r="O1220" s="84">
        <f>IF(A1220="","",IF(OR(C1220="",D1220=""),"Enter both dates",IF(D1220&lt;C1220,"To is before From",IF(COUNTIFS($P$5:$P$2004,P1220,$C$5:$C$2004,"&lt;="&amp;D1220,$D$5:$D$2004,"&gt;="&amp;C1220)&gt;1,"Overlaps another row","OK"))))</f>
        <v/>
      </c>
      <c r="P1220">
        <f>IF(A1220="","",A1220&amp;"|"&amp;IF(B1220="","Standard",B1220))</f>
        <v/>
      </c>
      <c r="Q1220">
        <f>IF(AND(A1220&lt;&gt;"",A1220='Firm Search'!$C$7),COUNTIF($A$5:A1220,'Firm Search'!$C$7),"")</f>
        <v/>
      </c>
    </row>
    <row r="1221">
      <c r="A1221" s="64" t="n"/>
      <c r="B1221" s="64" t="n"/>
      <c r="C1221" s="66" t="n"/>
      <c r="D1221" s="66" t="n"/>
      <c r="E1221" s="67" t="n"/>
      <c r="F1221" s="67" t="n"/>
      <c r="G1221" s="67" t="n"/>
      <c r="H1221" s="67" t="n"/>
      <c r="I1221" s="67" t="n"/>
      <c r="J1221" s="67" t="n"/>
      <c r="K1221" s="67" t="n"/>
      <c r="L1221" s="67" t="n"/>
      <c r="M1221" s="64" t="n"/>
      <c r="N1221" s="66" t="n"/>
      <c r="O1221" s="84">
        <f>IF(A1221="","",IF(OR(C1221="",D1221=""),"Enter both dates",IF(D1221&lt;C1221,"To is before From",IF(COUNTIFS($P$5:$P$2004,P1221,$C$5:$C$2004,"&lt;="&amp;D1221,$D$5:$D$2004,"&gt;="&amp;C1221)&gt;1,"Overlaps another row","OK"))))</f>
        <v/>
      </c>
      <c r="P1221">
        <f>IF(A1221="","",A1221&amp;"|"&amp;IF(B1221="","Standard",B1221))</f>
        <v/>
      </c>
      <c r="Q1221">
        <f>IF(AND(A1221&lt;&gt;"",A1221='Firm Search'!$C$7),COUNTIF($A$5:A1221,'Firm Search'!$C$7),"")</f>
        <v/>
      </c>
    </row>
    <row r="1222">
      <c r="A1222" s="64" t="n"/>
      <c r="B1222" s="64" t="n"/>
      <c r="C1222" s="66" t="n"/>
      <c r="D1222" s="66" t="n"/>
      <c r="E1222" s="67" t="n"/>
      <c r="F1222" s="67" t="n"/>
      <c r="G1222" s="67" t="n"/>
      <c r="H1222" s="67" t="n"/>
      <c r="I1222" s="67" t="n"/>
      <c r="J1222" s="67" t="n"/>
      <c r="K1222" s="67" t="n"/>
      <c r="L1222" s="67" t="n"/>
      <c r="M1222" s="64" t="n"/>
      <c r="N1222" s="66" t="n"/>
      <c r="O1222" s="84">
        <f>IF(A1222="","",IF(OR(C1222="",D1222=""),"Enter both dates",IF(D1222&lt;C1222,"To is before From",IF(COUNTIFS($P$5:$P$2004,P1222,$C$5:$C$2004,"&lt;="&amp;D1222,$D$5:$D$2004,"&gt;="&amp;C1222)&gt;1,"Overlaps another row","OK"))))</f>
        <v/>
      </c>
      <c r="P1222">
        <f>IF(A1222="","",A1222&amp;"|"&amp;IF(B1222="","Standard",B1222))</f>
        <v/>
      </c>
      <c r="Q1222">
        <f>IF(AND(A1222&lt;&gt;"",A1222='Firm Search'!$C$7),COUNTIF($A$5:A1222,'Firm Search'!$C$7),"")</f>
        <v/>
      </c>
    </row>
    <row r="1223">
      <c r="A1223" s="64" t="n"/>
      <c r="B1223" s="64" t="n"/>
      <c r="C1223" s="66" t="n"/>
      <c r="D1223" s="66" t="n"/>
      <c r="E1223" s="67" t="n"/>
      <c r="F1223" s="67" t="n"/>
      <c r="G1223" s="67" t="n"/>
      <c r="H1223" s="67" t="n"/>
      <c r="I1223" s="67" t="n"/>
      <c r="J1223" s="67" t="n"/>
      <c r="K1223" s="67" t="n"/>
      <c r="L1223" s="67" t="n"/>
      <c r="M1223" s="64" t="n"/>
      <c r="N1223" s="66" t="n"/>
      <c r="O1223" s="84">
        <f>IF(A1223="","",IF(OR(C1223="",D1223=""),"Enter both dates",IF(D1223&lt;C1223,"To is before From",IF(COUNTIFS($P$5:$P$2004,P1223,$C$5:$C$2004,"&lt;="&amp;D1223,$D$5:$D$2004,"&gt;="&amp;C1223)&gt;1,"Overlaps another row","OK"))))</f>
        <v/>
      </c>
      <c r="P1223">
        <f>IF(A1223="","",A1223&amp;"|"&amp;IF(B1223="","Standard",B1223))</f>
        <v/>
      </c>
      <c r="Q1223">
        <f>IF(AND(A1223&lt;&gt;"",A1223='Firm Search'!$C$7),COUNTIF($A$5:A1223,'Firm Search'!$C$7),"")</f>
        <v/>
      </c>
    </row>
    <row r="1224">
      <c r="A1224" s="64" t="n"/>
      <c r="B1224" s="64" t="n"/>
      <c r="C1224" s="66" t="n"/>
      <c r="D1224" s="66" t="n"/>
      <c r="E1224" s="67" t="n"/>
      <c r="F1224" s="67" t="n"/>
      <c r="G1224" s="67" t="n"/>
      <c r="H1224" s="67" t="n"/>
      <c r="I1224" s="67" t="n"/>
      <c r="J1224" s="67" t="n"/>
      <c r="K1224" s="67" t="n"/>
      <c r="L1224" s="67" t="n"/>
      <c r="M1224" s="64" t="n"/>
      <c r="N1224" s="66" t="n"/>
      <c r="O1224" s="84">
        <f>IF(A1224="","",IF(OR(C1224="",D1224=""),"Enter both dates",IF(D1224&lt;C1224,"To is before From",IF(COUNTIFS($P$5:$P$2004,P1224,$C$5:$C$2004,"&lt;="&amp;D1224,$D$5:$D$2004,"&gt;="&amp;C1224)&gt;1,"Overlaps another row","OK"))))</f>
        <v/>
      </c>
      <c r="P1224">
        <f>IF(A1224="","",A1224&amp;"|"&amp;IF(B1224="","Standard",B1224))</f>
        <v/>
      </c>
      <c r="Q1224">
        <f>IF(AND(A1224&lt;&gt;"",A1224='Firm Search'!$C$7),COUNTIF($A$5:A1224,'Firm Search'!$C$7),"")</f>
        <v/>
      </c>
    </row>
    <row r="1225">
      <c r="A1225" s="64" t="n"/>
      <c r="B1225" s="64" t="n"/>
      <c r="C1225" s="66" t="n"/>
      <c r="D1225" s="66" t="n"/>
      <c r="E1225" s="67" t="n"/>
      <c r="F1225" s="67" t="n"/>
      <c r="G1225" s="67" t="n"/>
      <c r="H1225" s="67" t="n"/>
      <c r="I1225" s="67" t="n"/>
      <c r="J1225" s="67" t="n"/>
      <c r="K1225" s="67" t="n"/>
      <c r="L1225" s="67" t="n"/>
      <c r="M1225" s="64" t="n"/>
      <c r="N1225" s="66" t="n"/>
      <c r="O1225" s="84">
        <f>IF(A1225="","",IF(OR(C1225="",D1225=""),"Enter both dates",IF(D1225&lt;C1225,"To is before From",IF(COUNTIFS($P$5:$P$2004,P1225,$C$5:$C$2004,"&lt;="&amp;D1225,$D$5:$D$2004,"&gt;="&amp;C1225)&gt;1,"Overlaps another row","OK"))))</f>
        <v/>
      </c>
      <c r="P1225">
        <f>IF(A1225="","",A1225&amp;"|"&amp;IF(B1225="","Standard",B1225))</f>
        <v/>
      </c>
      <c r="Q1225">
        <f>IF(AND(A1225&lt;&gt;"",A1225='Firm Search'!$C$7),COUNTIF($A$5:A1225,'Firm Search'!$C$7),"")</f>
        <v/>
      </c>
    </row>
    <row r="1226">
      <c r="A1226" s="64" t="n"/>
      <c r="B1226" s="64" t="n"/>
      <c r="C1226" s="66" t="n"/>
      <c r="D1226" s="66" t="n"/>
      <c r="E1226" s="67" t="n"/>
      <c r="F1226" s="67" t="n"/>
      <c r="G1226" s="67" t="n"/>
      <c r="H1226" s="67" t="n"/>
      <c r="I1226" s="67" t="n"/>
      <c r="J1226" s="67" t="n"/>
      <c r="K1226" s="67" t="n"/>
      <c r="L1226" s="67" t="n"/>
      <c r="M1226" s="64" t="n"/>
      <c r="N1226" s="66" t="n"/>
      <c r="O1226" s="84">
        <f>IF(A1226="","",IF(OR(C1226="",D1226=""),"Enter both dates",IF(D1226&lt;C1226,"To is before From",IF(COUNTIFS($P$5:$P$2004,P1226,$C$5:$C$2004,"&lt;="&amp;D1226,$D$5:$D$2004,"&gt;="&amp;C1226)&gt;1,"Overlaps another row","OK"))))</f>
        <v/>
      </c>
      <c r="P1226">
        <f>IF(A1226="","",A1226&amp;"|"&amp;IF(B1226="","Standard",B1226))</f>
        <v/>
      </c>
      <c r="Q1226">
        <f>IF(AND(A1226&lt;&gt;"",A1226='Firm Search'!$C$7),COUNTIF($A$5:A1226,'Firm Search'!$C$7),"")</f>
        <v/>
      </c>
    </row>
    <row r="1227">
      <c r="A1227" s="64" t="n"/>
      <c r="B1227" s="64" t="n"/>
      <c r="C1227" s="66" t="n"/>
      <c r="D1227" s="66" t="n"/>
      <c r="E1227" s="67" t="n"/>
      <c r="F1227" s="67" t="n"/>
      <c r="G1227" s="67" t="n"/>
      <c r="H1227" s="67" t="n"/>
      <c r="I1227" s="67" t="n"/>
      <c r="J1227" s="67" t="n"/>
      <c r="K1227" s="67" t="n"/>
      <c r="L1227" s="67" t="n"/>
      <c r="M1227" s="64" t="n"/>
      <c r="N1227" s="66" t="n"/>
      <c r="O1227" s="84">
        <f>IF(A1227="","",IF(OR(C1227="",D1227=""),"Enter both dates",IF(D1227&lt;C1227,"To is before From",IF(COUNTIFS($P$5:$P$2004,P1227,$C$5:$C$2004,"&lt;="&amp;D1227,$D$5:$D$2004,"&gt;="&amp;C1227)&gt;1,"Overlaps another row","OK"))))</f>
        <v/>
      </c>
      <c r="P1227">
        <f>IF(A1227="","",A1227&amp;"|"&amp;IF(B1227="","Standard",B1227))</f>
        <v/>
      </c>
      <c r="Q1227">
        <f>IF(AND(A1227&lt;&gt;"",A1227='Firm Search'!$C$7),COUNTIF($A$5:A1227,'Firm Search'!$C$7),"")</f>
        <v/>
      </c>
    </row>
    <row r="1228">
      <c r="A1228" s="64" t="n"/>
      <c r="B1228" s="64" t="n"/>
      <c r="C1228" s="66" t="n"/>
      <c r="D1228" s="66" t="n"/>
      <c r="E1228" s="67" t="n"/>
      <c r="F1228" s="67" t="n"/>
      <c r="G1228" s="67" t="n"/>
      <c r="H1228" s="67" t="n"/>
      <c r="I1228" s="67" t="n"/>
      <c r="J1228" s="67" t="n"/>
      <c r="K1228" s="67" t="n"/>
      <c r="L1228" s="67" t="n"/>
      <c r="M1228" s="64" t="n"/>
      <c r="N1228" s="66" t="n"/>
      <c r="O1228" s="84">
        <f>IF(A1228="","",IF(OR(C1228="",D1228=""),"Enter both dates",IF(D1228&lt;C1228,"To is before From",IF(COUNTIFS($P$5:$P$2004,P1228,$C$5:$C$2004,"&lt;="&amp;D1228,$D$5:$D$2004,"&gt;="&amp;C1228)&gt;1,"Overlaps another row","OK"))))</f>
        <v/>
      </c>
      <c r="P1228">
        <f>IF(A1228="","",A1228&amp;"|"&amp;IF(B1228="","Standard",B1228))</f>
        <v/>
      </c>
      <c r="Q1228">
        <f>IF(AND(A1228&lt;&gt;"",A1228='Firm Search'!$C$7),COUNTIF($A$5:A1228,'Firm Search'!$C$7),"")</f>
        <v/>
      </c>
    </row>
    <row r="1229">
      <c r="A1229" s="64" t="n"/>
      <c r="B1229" s="64" t="n"/>
      <c r="C1229" s="66" t="n"/>
      <c r="D1229" s="66" t="n"/>
      <c r="E1229" s="67" t="n"/>
      <c r="F1229" s="67" t="n"/>
      <c r="G1229" s="67" t="n"/>
      <c r="H1229" s="67" t="n"/>
      <c r="I1229" s="67" t="n"/>
      <c r="J1229" s="67" t="n"/>
      <c r="K1229" s="67" t="n"/>
      <c r="L1229" s="67" t="n"/>
      <c r="M1229" s="64" t="n"/>
      <c r="N1229" s="66" t="n"/>
      <c r="O1229" s="84">
        <f>IF(A1229="","",IF(OR(C1229="",D1229=""),"Enter both dates",IF(D1229&lt;C1229,"To is before From",IF(COUNTIFS($P$5:$P$2004,P1229,$C$5:$C$2004,"&lt;="&amp;D1229,$D$5:$D$2004,"&gt;="&amp;C1229)&gt;1,"Overlaps another row","OK"))))</f>
        <v/>
      </c>
      <c r="P1229">
        <f>IF(A1229="","",A1229&amp;"|"&amp;IF(B1229="","Standard",B1229))</f>
        <v/>
      </c>
      <c r="Q1229">
        <f>IF(AND(A1229&lt;&gt;"",A1229='Firm Search'!$C$7),COUNTIF($A$5:A1229,'Firm Search'!$C$7),"")</f>
        <v/>
      </c>
    </row>
    <row r="1230">
      <c r="A1230" s="64" t="n"/>
      <c r="B1230" s="64" t="n"/>
      <c r="C1230" s="66" t="n"/>
      <c r="D1230" s="66" t="n"/>
      <c r="E1230" s="67" t="n"/>
      <c r="F1230" s="67" t="n"/>
      <c r="G1230" s="67" t="n"/>
      <c r="H1230" s="67" t="n"/>
      <c r="I1230" s="67" t="n"/>
      <c r="J1230" s="67" t="n"/>
      <c r="K1230" s="67" t="n"/>
      <c r="L1230" s="67" t="n"/>
      <c r="M1230" s="64" t="n"/>
      <c r="N1230" s="66" t="n"/>
      <c r="O1230" s="84">
        <f>IF(A1230="","",IF(OR(C1230="",D1230=""),"Enter both dates",IF(D1230&lt;C1230,"To is before From",IF(COUNTIFS($P$5:$P$2004,P1230,$C$5:$C$2004,"&lt;="&amp;D1230,$D$5:$D$2004,"&gt;="&amp;C1230)&gt;1,"Overlaps another row","OK"))))</f>
        <v/>
      </c>
      <c r="P1230">
        <f>IF(A1230="","",A1230&amp;"|"&amp;IF(B1230="","Standard",B1230))</f>
        <v/>
      </c>
      <c r="Q1230">
        <f>IF(AND(A1230&lt;&gt;"",A1230='Firm Search'!$C$7),COUNTIF($A$5:A1230,'Firm Search'!$C$7),"")</f>
        <v/>
      </c>
    </row>
    <row r="1231">
      <c r="A1231" s="64" t="n"/>
      <c r="B1231" s="64" t="n"/>
      <c r="C1231" s="66" t="n"/>
      <c r="D1231" s="66" t="n"/>
      <c r="E1231" s="67" t="n"/>
      <c r="F1231" s="67" t="n"/>
      <c r="G1231" s="67" t="n"/>
      <c r="H1231" s="67" t="n"/>
      <c r="I1231" s="67" t="n"/>
      <c r="J1231" s="67" t="n"/>
      <c r="K1231" s="67" t="n"/>
      <c r="L1231" s="67" t="n"/>
      <c r="M1231" s="64" t="n"/>
      <c r="N1231" s="66" t="n"/>
      <c r="O1231" s="84">
        <f>IF(A1231="","",IF(OR(C1231="",D1231=""),"Enter both dates",IF(D1231&lt;C1231,"To is before From",IF(COUNTIFS($P$5:$P$2004,P1231,$C$5:$C$2004,"&lt;="&amp;D1231,$D$5:$D$2004,"&gt;="&amp;C1231)&gt;1,"Overlaps another row","OK"))))</f>
        <v/>
      </c>
      <c r="P1231">
        <f>IF(A1231="","",A1231&amp;"|"&amp;IF(B1231="","Standard",B1231))</f>
        <v/>
      </c>
      <c r="Q1231">
        <f>IF(AND(A1231&lt;&gt;"",A1231='Firm Search'!$C$7),COUNTIF($A$5:A1231,'Firm Search'!$C$7),"")</f>
        <v/>
      </c>
    </row>
    <row r="1232">
      <c r="A1232" s="64" t="n"/>
      <c r="B1232" s="64" t="n"/>
      <c r="C1232" s="66" t="n"/>
      <c r="D1232" s="66" t="n"/>
      <c r="E1232" s="67" t="n"/>
      <c r="F1232" s="67" t="n"/>
      <c r="G1232" s="67" t="n"/>
      <c r="H1232" s="67" t="n"/>
      <c r="I1232" s="67" t="n"/>
      <c r="J1232" s="67" t="n"/>
      <c r="K1232" s="67" t="n"/>
      <c r="L1232" s="67" t="n"/>
      <c r="M1232" s="64" t="n"/>
      <c r="N1232" s="66" t="n"/>
      <c r="O1232" s="84">
        <f>IF(A1232="","",IF(OR(C1232="",D1232=""),"Enter both dates",IF(D1232&lt;C1232,"To is before From",IF(COUNTIFS($P$5:$P$2004,P1232,$C$5:$C$2004,"&lt;="&amp;D1232,$D$5:$D$2004,"&gt;="&amp;C1232)&gt;1,"Overlaps another row","OK"))))</f>
        <v/>
      </c>
      <c r="P1232">
        <f>IF(A1232="","",A1232&amp;"|"&amp;IF(B1232="","Standard",B1232))</f>
        <v/>
      </c>
      <c r="Q1232">
        <f>IF(AND(A1232&lt;&gt;"",A1232='Firm Search'!$C$7),COUNTIF($A$5:A1232,'Firm Search'!$C$7),"")</f>
        <v/>
      </c>
    </row>
    <row r="1233">
      <c r="A1233" s="64" t="n"/>
      <c r="B1233" s="64" t="n"/>
      <c r="C1233" s="66" t="n"/>
      <c r="D1233" s="66" t="n"/>
      <c r="E1233" s="67" t="n"/>
      <c r="F1233" s="67" t="n"/>
      <c r="G1233" s="67" t="n"/>
      <c r="H1233" s="67" t="n"/>
      <c r="I1233" s="67" t="n"/>
      <c r="J1233" s="67" t="n"/>
      <c r="K1233" s="67" t="n"/>
      <c r="L1233" s="67" t="n"/>
      <c r="M1233" s="64" t="n"/>
      <c r="N1233" s="66" t="n"/>
      <c r="O1233" s="84">
        <f>IF(A1233="","",IF(OR(C1233="",D1233=""),"Enter both dates",IF(D1233&lt;C1233,"To is before From",IF(COUNTIFS($P$5:$P$2004,P1233,$C$5:$C$2004,"&lt;="&amp;D1233,$D$5:$D$2004,"&gt;="&amp;C1233)&gt;1,"Overlaps another row","OK"))))</f>
        <v/>
      </c>
      <c r="P1233">
        <f>IF(A1233="","",A1233&amp;"|"&amp;IF(B1233="","Standard",B1233))</f>
        <v/>
      </c>
      <c r="Q1233">
        <f>IF(AND(A1233&lt;&gt;"",A1233='Firm Search'!$C$7),COUNTIF($A$5:A1233,'Firm Search'!$C$7),"")</f>
        <v/>
      </c>
    </row>
    <row r="1234">
      <c r="A1234" s="64" t="n"/>
      <c r="B1234" s="64" t="n"/>
      <c r="C1234" s="66" t="n"/>
      <c r="D1234" s="66" t="n"/>
      <c r="E1234" s="67" t="n"/>
      <c r="F1234" s="67" t="n"/>
      <c r="G1234" s="67" t="n"/>
      <c r="H1234" s="67" t="n"/>
      <c r="I1234" s="67" t="n"/>
      <c r="J1234" s="67" t="n"/>
      <c r="K1234" s="67" t="n"/>
      <c r="L1234" s="67" t="n"/>
      <c r="M1234" s="64" t="n"/>
      <c r="N1234" s="66" t="n"/>
      <c r="O1234" s="84">
        <f>IF(A1234="","",IF(OR(C1234="",D1234=""),"Enter both dates",IF(D1234&lt;C1234,"To is before From",IF(COUNTIFS($P$5:$P$2004,P1234,$C$5:$C$2004,"&lt;="&amp;D1234,$D$5:$D$2004,"&gt;="&amp;C1234)&gt;1,"Overlaps another row","OK"))))</f>
        <v/>
      </c>
      <c r="P1234">
        <f>IF(A1234="","",A1234&amp;"|"&amp;IF(B1234="","Standard",B1234))</f>
        <v/>
      </c>
      <c r="Q1234">
        <f>IF(AND(A1234&lt;&gt;"",A1234='Firm Search'!$C$7),COUNTIF($A$5:A1234,'Firm Search'!$C$7),"")</f>
        <v/>
      </c>
    </row>
    <row r="1235">
      <c r="A1235" s="64" t="n"/>
      <c r="B1235" s="64" t="n"/>
      <c r="C1235" s="66" t="n"/>
      <c r="D1235" s="66" t="n"/>
      <c r="E1235" s="67" t="n"/>
      <c r="F1235" s="67" t="n"/>
      <c r="G1235" s="67" t="n"/>
      <c r="H1235" s="67" t="n"/>
      <c r="I1235" s="67" t="n"/>
      <c r="J1235" s="67" t="n"/>
      <c r="K1235" s="67" t="n"/>
      <c r="L1235" s="67" t="n"/>
      <c r="M1235" s="64" t="n"/>
      <c r="N1235" s="66" t="n"/>
      <c r="O1235" s="84">
        <f>IF(A1235="","",IF(OR(C1235="",D1235=""),"Enter both dates",IF(D1235&lt;C1235,"To is before From",IF(COUNTIFS($P$5:$P$2004,P1235,$C$5:$C$2004,"&lt;="&amp;D1235,$D$5:$D$2004,"&gt;="&amp;C1235)&gt;1,"Overlaps another row","OK"))))</f>
        <v/>
      </c>
      <c r="P1235">
        <f>IF(A1235="","",A1235&amp;"|"&amp;IF(B1235="","Standard",B1235))</f>
        <v/>
      </c>
      <c r="Q1235">
        <f>IF(AND(A1235&lt;&gt;"",A1235='Firm Search'!$C$7),COUNTIF($A$5:A1235,'Firm Search'!$C$7),"")</f>
        <v/>
      </c>
    </row>
    <row r="1236">
      <c r="A1236" s="64" t="n"/>
      <c r="B1236" s="64" t="n"/>
      <c r="C1236" s="66" t="n"/>
      <c r="D1236" s="66" t="n"/>
      <c r="E1236" s="67" t="n"/>
      <c r="F1236" s="67" t="n"/>
      <c r="G1236" s="67" t="n"/>
      <c r="H1236" s="67" t="n"/>
      <c r="I1236" s="67" t="n"/>
      <c r="J1236" s="67" t="n"/>
      <c r="K1236" s="67" t="n"/>
      <c r="L1236" s="67" t="n"/>
      <c r="M1236" s="64" t="n"/>
      <c r="N1236" s="66" t="n"/>
      <c r="O1236" s="84">
        <f>IF(A1236="","",IF(OR(C1236="",D1236=""),"Enter both dates",IF(D1236&lt;C1236,"To is before From",IF(COUNTIFS($P$5:$P$2004,P1236,$C$5:$C$2004,"&lt;="&amp;D1236,$D$5:$D$2004,"&gt;="&amp;C1236)&gt;1,"Overlaps another row","OK"))))</f>
        <v/>
      </c>
      <c r="P1236">
        <f>IF(A1236="","",A1236&amp;"|"&amp;IF(B1236="","Standard",B1236))</f>
        <v/>
      </c>
      <c r="Q1236">
        <f>IF(AND(A1236&lt;&gt;"",A1236='Firm Search'!$C$7),COUNTIF($A$5:A1236,'Firm Search'!$C$7),"")</f>
        <v/>
      </c>
    </row>
    <row r="1237">
      <c r="A1237" s="64" t="n"/>
      <c r="B1237" s="64" t="n"/>
      <c r="C1237" s="66" t="n"/>
      <c r="D1237" s="66" t="n"/>
      <c r="E1237" s="67" t="n"/>
      <c r="F1237" s="67" t="n"/>
      <c r="G1237" s="67" t="n"/>
      <c r="H1237" s="67" t="n"/>
      <c r="I1237" s="67" t="n"/>
      <c r="J1237" s="67" t="n"/>
      <c r="K1237" s="67" t="n"/>
      <c r="L1237" s="67" t="n"/>
      <c r="M1237" s="64" t="n"/>
      <c r="N1237" s="66" t="n"/>
      <c r="O1237" s="84">
        <f>IF(A1237="","",IF(OR(C1237="",D1237=""),"Enter both dates",IF(D1237&lt;C1237,"To is before From",IF(COUNTIFS($P$5:$P$2004,P1237,$C$5:$C$2004,"&lt;="&amp;D1237,$D$5:$D$2004,"&gt;="&amp;C1237)&gt;1,"Overlaps another row","OK"))))</f>
        <v/>
      </c>
      <c r="P1237">
        <f>IF(A1237="","",A1237&amp;"|"&amp;IF(B1237="","Standard",B1237))</f>
        <v/>
      </c>
      <c r="Q1237">
        <f>IF(AND(A1237&lt;&gt;"",A1237='Firm Search'!$C$7),COUNTIF($A$5:A1237,'Firm Search'!$C$7),"")</f>
        <v/>
      </c>
    </row>
    <row r="1238">
      <c r="A1238" s="64" t="n"/>
      <c r="B1238" s="64" t="n"/>
      <c r="C1238" s="66" t="n"/>
      <c r="D1238" s="66" t="n"/>
      <c r="E1238" s="67" t="n"/>
      <c r="F1238" s="67" t="n"/>
      <c r="G1238" s="67" t="n"/>
      <c r="H1238" s="67" t="n"/>
      <c r="I1238" s="67" t="n"/>
      <c r="J1238" s="67" t="n"/>
      <c r="K1238" s="67" t="n"/>
      <c r="L1238" s="67" t="n"/>
      <c r="M1238" s="64" t="n"/>
      <c r="N1238" s="66" t="n"/>
      <c r="O1238" s="84">
        <f>IF(A1238="","",IF(OR(C1238="",D1238=""),"Enter both dates",IF(D1238&lt;C1238,"To is before From",IF(COUNTIFS($P$5:$P$2004,P1238,$C$5:$C$2004,"&lt;="&amp;D1238,$D$5:$D$2004,"&gt;="&amp;C1238)&gt;1,"Overlaps another row","OK"))))</f>
        <v/>
      </c>
      <c r="P1238">
        <f>IF(A1238="","",A1238&amp;"|"&amp;IF(B1238="","Standard",B1238))</f>
        <v/>
      </c>
      <c r="Q1238">
        <f>IF(AND(A1238&lt;&gt;"",A1238='Firm Search'!$C$7),COUNTIF($A$5:A1238,'Firm Search'!$C$7),"")</f>
        <v/>
      </c>
    </row>
    <row r="1239">
      <c r="A1239" s="64" t="n"/>
      <c r="B1239" s="64" t="n"/>
      <c r="C1239" s="66" t="n"/>
      <c r="D1239" s="66" t="n"/>
      <c r="E1239" s="67" t="n"/>
      <c r="F1239" s="67" t="n"/>
      <c r="G1239" s="67" t="n"/>
      <c r="H1239" s="67" t="n"/>
      <c r="I1239" s="67" t="n"/>
      <c r="J1239" s="67" t="n"/>
      <c r="K1239" s="67" t="n"/>
      <c r="L1239" s="67" t="n"/>
      <c r="M1239" s="64" t="n"/>
      <c r="N1239" s="66" t="n"/>
      <c r="O1239" s="84">
        <f>IF(A1239="","",IF(OR(C1239="",D1239=""),"Enter both dates",IF(D1239&lt;C1239,"To is before From",IF(COUNTIFS($P$5:$P$2004,P1239,$C$5:$C$2004,"&lt;="&amp;D1239,$D$5:$D$2004,"&gt;="&amp;C1239)&gt;1,"Overlaps another row","OK"))))</f>
        <v/>
      </c>
      <c r="P1239">
        <f>IF(A1239="","",A1239&amp;"|"&amp;IF(B1239="","Standard",B1239))</f>
        <v/>
      </c>
      <c r="Q1239">
        <f>IF(AND(A1239&lt;&gt;"",A1239='Firm Search'!$C$7),COUNTIF($A$5:A1239,'Firm Search'!$C$7),"")</f>
        <v/>
      </c>
    </row>
    <row r="1240">
      <c r="A1240" s="64" t="n"/>
      <c r="B1240" s="64" t="n"/>
      <c r="C1240" s="66" t="n"/>
      <c r="D1240" s="66" t="n"/>
      <c r="E1240" s="67" t="n"/>
      <c r="F1240" s="67" t="n"/>
      <c r="G1240" s="67" t="n"/>
      <c r="H1240" s="67" t="n"/>
      <c r="I1240" s="67" t="n"/>
      <c r="J1240" s="67" t="n"/>
      <c r="K1240" s="67" t="n"/>
      <c r="L1240" s="67" t="n"/>
      <c r="M1240" s="64" t="n"/>
      <c r="N1240" s="66" t="n"/>
      <c r="O1240" s="84">
        <f>IF(A1240="","",IF(OR(C1240="",D1240=""),"Enter both dates",IF(D1240&lt;C1240,"To is before From",IF(COUNTIFS($P$5:$P$2004,P1240,$C$5:$C$2004,"&lt;="&amp;D1240,$D$5:$D$2004,"&gt;="&amp;C1240)&gt;1,"Overlaps another row","OK"))))</f>
        <v/>
      </c>
      <c r="P1240">
        <f>IF(A1240="","",A1240&amp;"|"&amp;IF(B1240="","Standard",B1240))</f>
        <v/>
      </c>
      <c r="Q1240">
        <f>IF(AND(A1240&lt;&gt;"",A1240='Firm Search'!$C$7),COUNTIF($A$5:A1240,'Firm Search'!$C$7),"")</f>
        <v/>
      </c>
    </row>
    <row r="1241">
      <c r="A1241" s="64" t="n"/>
      <c r="B1241" s="64" t="n"/>
      <c r="C1241" s="66" t="n"/>
      <c r="D1241" s="66" t="n"/>
      <c r="E1241" s="67" t="n"/>
      <c r="F1241" s="67" t="n"/>
      <c r="G1241" s="67" t="n"/>
      <c r="H1241" s="67" t="n"/>
      <c r="I1241" s="67" t="n"/>
      <c r="J1241" s="67" t="n"/>
      <c r="K1241" s="67" t="n"/>
      <c r="L1241" s="67" t="n"/>
      <c r="M1241" s="64" t="n"/>
      <c r="N1241" s="66" t="n"/>
      <c r="O1241" s="84">
        <f>IF(A1241="","",IF(OR(C1241="",D1241=""),"Enter both dates",IF(D1241&lt;C1241,"To is before From",IF(COUNTIFS($P$5:$P$2004,P1241,$C$5:$C$2004,"&lt;="&amp;D1241,$D$5:$D$2004,"&gt;="&amp;C1241)&gt;1,"Overlaps another row","OK"))))</f>
        <v/>
      </c>
      <c r="P1241">
        <f>IF(A1241="","",A1241&amp;"|"&amp;IF(B1241="","Standard",B1241))</f>
        <v/>
      </c>
      <c r="Q1241">
        <f>IF(AND(A1241&lt;&gt;"",A1241='Firm Search'!$C$7),COUNTIF($A$5:A1241,'Firm Search'!$C$7),"")</f>
        <v/>
      </c>
    </row>
    <row r="1242">
      <c r="A1242" s="64" t="n"/>
      <c r="B1242" s="64" t="n"/>
      <c r="C1242" s="66" t="n"/>
      <c r="D1242" s="66" t="n"/>
      <c r="E1242" s="67" t="n"/>
      <c r="F1242" s="67" t="n"/>
      <c r="G1242" s="67" t="n"/>
      <c r="H1242" s="67" t="n"/>
      <c r="I1242" s="67" t="n"/>
      <c r="J1242" s="67" t="n"/>
      <c r="K1242" s="67" t="n"/>
      <c r="L1242" s="67" t="n"/>
      <c r="M1242" s="64" t="n"/>
      <c r="N1242" s="66" t="n"/>
      <c r="O1242" s="84">
        <f>IF(A1242="","",IF(OR(C1242="",D1242=""),"Enter both dates",IF(D1242&lt;C1242,"To is before From",IF(COUNTIFS($P$5:$P$2004,P1242,$C$5:$C$2004,"&lt;="&amp;D1242,$D$5:$D$2004,"&gt;="&amp;C1242)&gt;1,"Overlaps another row","OK"))))</f>
        <v/>
      </c>
      <c r="P1242">
        <f>IF(A1242="","",A1242&amp;"|"&amp;IF(B1242="","Standard",B1242))</f>
        <v/>
      </c>
      <c r="Q1242">
        <f>IF(AND(A1242&lt;&gt;"",A1242='Firm Search'!$C$7),COUNTIF($A$5:A1242,'Firm Search'!$C$7),"")</f>
        <v/>
      </c>
    </row>
    <row r="1243">
      <c r="A1243" s="64" t="n"/>
      <c r="B1243" s="64" t="n"/>
      <c r="C1243" s="66" t="n"/>
      <c r="D1243" s="66" t="n"/>
      <c r="E1243" s="67" t="n"/>
      <c r="F1243" s="67" t="n"/>
      <c r="G1243" s="67" t="n"/>
      <c r="H1243" s="67" t="n"/>
      <c r="I1243" s="67" t="n"/>
      <c r="J1243" s="67" t="n"/>
      <c r="K1243" s="67" t="n"/>
      <c r="L1243" s="67" t="n"/>
      <c r="M1243" s="64" t="n"/>
      <c r="N1243" s="66" t="n"/>
      <c r="O1243" s="84">
        <f>IF(A1243="","",IF(OR(C1243="",D1243=""),"Enter both dates",IF(D1243&lt;C1243,"To is before From",IF(COUNTIFS($P$5:$P$2004,P1243,$C$5:$C$2004,"&lt;="&amp;D1243,$D$5:$D$2004,"&gt;="&amp;C1243)&gt;1,"Overlaps another row","OK"))))</f>
        <v/>
      </c>
      <c r="P1243">
        <f>IF(A1243="","",A1243&amp;"|"&amp;IF(B1243="","Standard",B1243))</f>
        <v/>
      </c>
      <c r="Q1243">
        <f>IF(AND(A1243&lt;&gt;"",A1243='Firm Search'!$C$7),COUNTIF($A$5:A1243,'Firm Search'!$C$7),"")</f>
        <v/>
      </c>
    </row>
    <row r="1244">
      <c r="A1244" s="64" t="n"/>
      <c r="B1244" s="64" t="n"/>
      <c r="C1244" s="66" t="n"/>
      <c r="D1244" s="66" t="n"/>
      <c r="E1244" s="67" t="n"/>
      <c r="F1244" s="67" t="n"/>
      <c r="G1244" s="67" t="n"/>
      <c r="H1244" s="67" t="n"/>
      <c r="I1244" s="67" t="n"/>
      <c r="J1244" s="67" t="n"/>
      <c r="K1244" s="67" t="n"/>
      <c r="L1244" s="67" t="n"/>
      <c r="M1244" s="64" t="n"/>
      <c r="N1244" s="66" t="n"/>
      <c r="O1244" s="84">
        <f>IF(A1244="","",IF(OR(C1244="",D1244=""),"Enter both dates",IF(D1244&lt;C1244,"To is before From",IF(COUNTIFS($P$5:$P$2004,P1244,$C$5:$C$2004,"&lt;="&amp;D1244,$D$5:$D$2004,"&gt;="&amp;C1244)&gt;1,"Overlaps another row","OK"))))</f>
        <v/>
      </c>
      <c r="P1244">
        <f>IF(A1244="","",A1244&amp;"|"&amp;IF(B1244="","Standard",B1244))</f>
        <v/>
      </c>
      <c r="Q1244">
        <f>IF(AND(A1244&lt;&gt;"",A1244='Firm Search'!$C$7),COUNTIF($A$5:A1244,'Firm Search'!$C$7),"")</f>
        <v/>
      </c>
    </row>
    <row r="1245">
      <c r="A1245" s="64" t="n"/>
      <c r="B1245" s="64" t="n"/>
      <c r="C1245" s="66" t="n"/>
      <c r="D1245" s="66" t="n"/>
      <c r="E1245" s="67" t="n"/>
      <c r="F1245" s="67" t="n"/>
      <c r="G1245" s="67" t="n"/>
      <c r="H1245" s="67" t="n"/>
      <c r="I1245" s="67" t="n"/>
      <c r="J1245" s="67" t="n"/>
      <c r="K1245" s="67" t="n"/>
      <c r="L1245" s="67" t="n"/>
      <c r="M1245" s="64" t="n"/>
      <c r="N1245" s="66" t="n"/>
      <c r="O1245" s="84">
        <f>IF(A1245="","",IF(OR(C1245="",D1245=""),"Enter both dates",IF(D1245&lt;C1245,"To is before From",IF(COUNTIFS($P$5:$P$2004,P1245,$C$5:$C$2004,"&lt;="&amp;D1245,$D$5:$D$2004,"&gt;="&amp;C1245)&gt;1,"Overlaps another row","OK"))))</f>
        <v/>
      </c>
      <c r="P1245">
        <f>IF(A1245="","",A1245&amp;"|"&amp;IF(B1245="","Standard",B1245))</f>
        <v/>
      </c>
      <c r="Q1245">
        <f>IF(AND(A1245&lt;&gt;"",A1245='Firm Search'!$C$7),COUNTIF($A$5:A1245,'Firm Search'!$C$7),"")</f>
        <v/>
      </c>
    </row>
    <row r="1246">
      <c r="A1246" s="64" t="n"/>
      <c r="B1246" s="64" t="n"/>
      <c r="C1246" s="66" t="n"/>
      <c r="D1246" s="66" t="n"/>
      <c r="E1246" s="67" t="n"/>
      <c r="F1246" s="67" t="n"/>
      <c r="G1246" s="67" t="n"/>
      <c r="H1246" s="67" t="n"/>
      <c r="I1246" s="67" t="n"/>
      <c r="J1246" s="67" t="n"/>
      <c r="K1246" s="67" t="n"/>
      <c r="L1246" s="67" t="n"/>
      <c r="M1246" s="64" t="n"/>
      <c r="N1246" s="66" t="n"/>
      <c r="O1246" s="84">
        <f>IF(A1246="","",IF(OR(C1246="",D1246=""),"Enter both dates",IF(D1246&lt;C1246,"To is before From",IF(COUNTIFS($P$5:$P$2004,P1246,$C$5:$C$2004,"&lt;="&amp;D1246,$D$5:$D$2004,"&gt;="&amp;C1246)&gt;1,"Overlaps another row","OK"))))</f>
        <v/>
      </c>
      <c r="P1246">
        <f>IF(A1246="","",A1246&amp;"|"&amp;IF(B1246="","Standard",B1246))</f>
        <v/>
      </c>
      <c r="Q1246">
        <f>IF(AND(A1246&lt;&gt;"",A1246='Firm Search'!$C$7),COUNTIF($A$5:A1246,'Firm Search'!$C$7),"")</f>
        <v/>
      </c>
    </row>
    <row r="1247">
      <c r="A1247" s="64" t="n"/>
      <c r="B1247" s="64" t="n"/>
      <c r="C1247" s="66" t="n"/>
      <c r="D1247" s="66" t="n"/>
      <c r="E1247" s="67" t="n"/>
      <c r="F1247" s="67" t="n"/>
      <c r="G1247" s="67" t="n"/>
      <c r="H1247" s="67" t="n"/>
      <c r="I1247" s="67" t="n"/>
      <c r="J1247" s="67" t="n"/>
      <c r="K1247" s="67" t="n"/>
      <c r="L1247" s="67" t="n"/>
      <c r="M1247" s="64" t="n"/>
      <c r="N1247" s="66" t="n"/>
      <c r="O1247" s="84">
        <f>IF(A1247="","",IF(OR(C1247="",D1247=""),"Enter both dates",IF(D1247&lt;C1247,"To is before From",IF(COUNTIFS($P$5:$P$2004,P1247,$C$5:$C$2004,"&lt;="&amp;D1247,$D$5:$D$2004,"&gt;="&amp;C1247)&gt;1,"Overlaps another row","OK"))))</f>
        <v/>
      </c>
      <c r="P1247">
        <f>IF(A1247="","",A1247&amp;"|"&amp;IF(B1247="","Standard",B1247))</f>
        <v/>
      </c>
      <c r="Q1247">
        <f>IF(AND(A1247&lt;&gt;"",A1247='Firm Search'!$C$7),COUNTIF($A$5:A1247,'Firm Search'!$C$7),"")</f>
        <v/>
      </c>
    </row>
    <row r="1248">
      <c r="A1248" s="64" t="n"/>
      <c r="B1248" s="64" t="n"/>
      <c r="C1248" s="66" t="n"/>
      <c r="D1248" s="66" t="n"/>
      <c r="E1248" s="67" t="n"/>
      <c r="F1248" s="67" t="n"/>
      <c r="G1248" s="67" t="n"/>
      <c r="H1248" s="67" t="n"/>
      <c r="I1248" s="67" t="n"/>
      <c r="J1248" s="67" t="n"/>
      <c r="K1248" s="67" t="n"/>
      <c r="L1248" s="67" t="n"/>
      <c r="M1248" s="64" t="n"/>
      <c r="N1248" s="66" t="n"/>
      <c r="O1248" s="84">
        <f>IF(A1248="","",IF(OR(C1248="",D1248=""),"Enter both dates",IF(D1248&lt;C1248,"To is before From",IF(COUNTIFS($P$5:$P$2004,P1248,$C$5:$C$2004,"&lt;="&amp;D1248,$D$5:$D$2004,"&gt;="&amp;C1248)&gt;1,"Overlaps another row","OK"))))</f>
        <v/>
      </c>
      <c r="P1248">
        <f>IF(A1248="","",A1248&amp;"|"&amp;IF(B1248="","Standard",B1248))</f>
        <v/>
      </c>
      <c r="Q1248">
        <f>IF(AND(A1248&lt;&gt;"",A1248='Firm Search'!$C$7),COUNTIF($A$5:A1248,'Firm Search'!$C$7),"")</f>
        <v/>
      </c>
    </row>
    <row r="1249">
      <c r="A1249" s="64" t="n"/>
      <c r="B1249" s="64" t="n"/>
      <c r="C1249" s="66" t="n"/>
      <c r="D1249" s="66" t="n"/>
      <c r="E1249" s="67" t="n"/>
      <c r="F1249" s="67" t="n"/>
      <c r="G1249" s="67" t="n"/>
      <c r="H1249" s="67" t="n"/>
      <c r="I1249" s="67" t="n"/>
      <c r="J1249" s="67" t="n"/>
      <c r="K1249" s="67" t="n"/>
      <c r="L1249" s="67" t="n"/>
      <c r="M1249" s="64" t="n"/>
      <c r="N1249" s="66" t="n"/>
      <c r="O1249" s="84">
        <f>IF(A1249="","",IF(OR(C1249="",D1249=""),"Enter both dates",IF(D1249&lt;C1249,"To is before From",IF(COUNTIFS($P$5:$P$2004,P1249,$C$5:$C$2004,"&lt;="&amp;D1249,$D$5:$D$2004,"&gt;="&amp;C1249)&gt;1,"Overlaps another row","OK"))))</f>
        <v/>
      </c>
      <c r="P1249">
        <f>IF(A1249="","",A1249&amp;"|"&amp;IF(B1249="","Standard",B1249))</f>
        <v/>
      </c>
      <c r="Q1249">
        <f>IF(AND(A1249&lt;&gt;"",A1249='Firm Search'!$C$7),COUNTIF($A$5:A1249,'Firm Search'!$C$7),"")</f>
        <v/>
      </c>
    </row>
    <row r="1250">
      <c r="A1250" s="64" t="n"/>
      <c r="B1250" s="64" t="n"/>
      <c r="C1250" s="66" t="n"/>
      <c r="D1250" s="66" t="n"/>
      <c r="E1250" s="67" t="n"/>
      <c r="F1250" s="67" t="n"/>
      <c r="G1250" s="67" t="n"/>
      <c r="H1250" s="67" t="n"/>
      <c r="I1250" s="67" t="n"/>
      <c r="J1250" s="67" t="n"/>
      <c r="K1250" s="67" t="n"/>
      <c r="L1250" s="67" t="n"/>
      <c r="M1250" s="64" t="n"/>
      <c r="N1250" s="66" t="n"/>
      <c r="O1250" s="84">
        <f>IF(A1250="","",IF(OR(C1250="",D1250=""),"Enter both dates",IF(D1250&lt;C1250,"To is before From",IF(COUNTIFS($P$5:$P$2004,P1250,$C$5:$C$2004,"&lt;="&amp;D1250,$D$5:$D$2004,"&gt;="&amp;C1250)&gt;1,"Overlaps another row","OK"))))</f>
        <v/>
      </c>
      <c r="P1250">
        <f>IF(A1250="","",A1250&amp;"|"&amp;IF(B1250="","Standard",B1250))</f>
        <v/>
      </c>
      <c r="Q1250">
        <f>IF(AND(A1250&lt;&gt;"",A1250='Firm Search'!$C$7),COUNTIF($A$5:A1250,'Firm Search'!$C$7),"")</f>
        <v/>
      </c>
    </row>
    <row r="1251">
      <c r="A1251" s="64" t="n"/>
      <c r="B1251" s="64" t="n"/>
      <c r="C1251" s="66" t="n"/>
      <c r="D1251" s="66" t="n"/>
      <c r="E1251" s="67" t="n"/>
      <c r="F1251" s="67" t="n"/>
      <c r="G1251" s="67" t="n"/>
      <c r="H1251" s="67" t="n"/>
      <c r="I1251" s="67" t="n"/>
      <c r="J1251" s="67" t="n"/>
      <c r="K1251" s="67" t="n"/>
      <c r="L1251" s="67" t="n"/>
      <c r="M1251" s="64" t="n"/>
      <c r="N1251" s="66" t="n"/>
      <c r="O1251" s="84">
        <f>IF(A1251="","",IF(OR(C1251="",D1251=""),"Enter both dates",IF(D1251&lt;C1251,"To is before From",IF(COUNTIFS($P$5:$P$2004,P1251,$C$5:$C$2004,"&lt;="&amp;D1251,$D$5:$D$2004,"&gt;="&amp;C1251)&gt;1,"Overlaps another row","OK"))))</f>
        <v/>
      </c>
      <c r="P1251">
        <f>IF(A1251="","",A1251&amp;"|"&amp;IF(B1251="","Standard",B1251))</f>
        <v/>
      </c>
      <c r="Q1251">
        <f>IF(AND(A1251&lt;&gt;"",A1251='Firm Search'!$C$7),COUNTIF($A$5:A1251,'Firm Search'!$C$7),"")</f>
        <v/>
      </c>
    </row>
    <row r="1252">
      <c r="A1252" s="64" t="n"/>
      <c r="B1252" s="64" t="n"/>
      <c r="C1252" s="66" t="n"/>
      <c r="D1252" s="66" t="n"/>
      <c r="E1252" s="67" t="n"/>
      <c r="F1252" s="67" t="n"/>
      <c r="G1252" s="67" t="n"/>
      <c r="H1252" s="67" t="n"/>
      <c r="I1252" s="67" t="n"/>
      <c r="J1252" s="67" t="n"/>
      <c r="K1252" s="67" t="n"/>
      <c r="L1252" s="67" t="n"/>
      <c r="M1252" s="64" t="n"/>
      <c r="N1252" s="66" t="n"/>
      <c r="O1252" s="84">
        <f>IF(A1252="","",IF(OR(C1252="",D1252=""),"Enter both dates",IF(D1252&lt;C1252,"To is before From",IF(COUNTIFS($P$5:$P$2004,P1252,$C$5:$C$2004,"&lt;="&amp;D1252,$D$5:$D$2004,"&gt;="&amp;C1252)&gt;1,"Overlaps another row","OK"))))</f>
        <v/>
      </c>
      <c r="P1252">
        <f>IF(A1252="","",A1252&amp;"|"&amp;IF(B1252="","Standard",B1252))</f>
        <v/>
      </c>
      <c r="Q1252">
        <f>IF(AND(A1252&lt;&gt;"",A1252='Firm Search'!$C$7),COUNTIF($A$5:A1252,'Firm Search'!$C$7),"")</f>
        <v/>
      </c>
    </row>
    <row r="1253">
      <c r="A1253" s="64" t="n"/>
      <c r="B1253" s="64" t="n"/>
      <c r="C1253" s="66" t="n"/>
      <c r="D1253" s="66" t="n"/>
      <c r="E1253" s="67" t="n"/>
      <c r="F1253" s="67" t="n"/>
      <c r="G1253" s="67" t="n"/>
      <c r="H1253" s="67" t="n"/>
      <c r="I1253" s="67" t="n"/>
      <c r="J1253" s="67" t="n"/>
      <c r="K1253" s="67" t="n"/>
      <c r="L1253" s="67" t="n"/>
      <c r="M1253" s="64" t="n"/>
      <c r="N1253" s="66" t="n"/>
      <c r="O1253" s="84">
        <f>IF(A1253="","",IF(OR(C1253="",D1253=""),"Enter both dates",IF(D1253&lt;C1253,"To is before From",IF(COUNTIFS($P$5:$P$2004,P1253,$C$5:$C$2004,"&lt;="&amp;D1253,$D$5:$D$2004,"&gt;="&amp;C1253)&gt;1,"Overlaps another row","OK"))))</f>
        <v/>
      </c>
      <c r="P1253">
        <f>IF(A1253="","",A1253&amp;"|"&amp;IF(B1253="","Standard",B1253))</f>
        <v/>
      </c>
      <c r="Q1253">
        <f>IF(AND(A1253&lt;&gt;"",A1253='Firm Search'!$C$7),COUNTIF($A$5:A1253,'Firm Search'!$C$7),"")</f>
        <v/>
      </c>
    </row>
    <row r="1254">
      <c r="A1254" s="64" t="n"/>
      <c r="B1254" s="64" t="n"/>
      <c r="C1254" s="66" t="n"/>
      <c r="D1254" s="66" t="n"/>
      <c r="E1254" s="67" t="n"/>
      <c r="F1254" s="67" t="n"/>
      <c r="G1254" s="67" t="n"/>
      <c r="H1254" s="67" t="n"/>
      <c r="I1254" s="67" t="n"/>
      <c r="J1254" s="67" t="n"/>
      <c r="K1254" s="67" t="n"/>
      <c r="L1254" s="67" t="n"/>
      <c r="M1254" s="64" t="n"/>
      <c r="N1254" s="66" t="n"/>
      <c r="O1254" s="84">
        <f>IF(A1254="","",IF(OR(C1254="",D1254=""),"Enter both dates",IF(D1254&lt;C1254,"To is before From",IF(COUNTIFS($P$5:$P$2004,P1254,$C$5:$C$2004,"&lt;="&amp;D1254,$D$5:$D$2004,"&gt;="&amp;C1254)&gt;1,"Overlaps another row","OK"))))</f>
        <v/>
      </c>
      <c r="P1254">
        <f>IF(A1254="","",A1254&amp;"|"&amp;IF(B1254="","Standard",B1254))</f>
        <v/>
      </c>
      <c r="Q1254">
        <f>IF(AND(A1254&lt;&gt;"",A1254='Firm Search'!$C$7),COUNTIF($A$5:A1254,'Firm Search'!$C$7),"")</f>
        <v/>
      </c>
    </row>
    <row r="1255">
      <c r="A1255" s="64" t="n"/>
      <c r="B1255" s="64" t="n"/>
      <c r="C1255" s="66" t="n"/>
      <c r="D1255" s="66" t="n"/>
      <c r="E1255" s="67" t="n"/>
      <c r="F1255" s="67" t="n"/>
      <c r="G1255" s="67" t="n"/>
      <c r="H1255" s="67" t="n"/>
      <c r="I1255" s="67" t="n"/>
      <c r="J1255" s="67" t="n"/>
      <c r="K1255" s="67" t="n"/>
      <c r="L1255" s="67" t="n"/>
      <c r="M1255" s="64" t="n"/>
      <c r="N1255" s="66" t="n"/>
      <c r="O1255" s="84">
        <f>IF(A1255="","",IF(OR(C1255="",D1255=""),"Enter both dates",IF(D1255&lt;C1255,"To is before From",IF(COUNTIFS($P$5:$P$2004,P1255,$C$5:$C$2004,"&lt;="&amp;D1255,$D$5:$D$2004,"&gt;="&amp;C1255)&gt;1,"Overlaps another row","OK"))))</f>
        <v/>
      </c>
      <c r="P1255">
        <f>IF(A1255="","",A1255&amp;"|"&amp;IF(B1255="","Standard",B1255))</f>
        <v/>
      </c>
      <c r="Q1255">
        <f>IF(AND(A1255&lt;&gt;"",A1255='Firm Search'!$C$7),COUNTIF($A$5:A1255,'Firm Search'!$C$7),"")</f>
        <v/>
      </c>
    </row>
    <row r="1256">
      <c r="A1256" s="64" t="n"/>
      <c r="B1256" s="64" t="n"/>
      <c r="C1256" s="66" t="n"/>
      <c r="D1256" s="66" t="n"/>
      <c r="E1256" s="67" t="n"/>
      <c r="F1256" s="67" t="n"/>
      <c r="G1256" s="67" t="n"/>
      <c r="H1256" s="67" t="n"/>
      <c r="I1256" s="67" t="n"/>
      <c r="J1256" s="67" t="n"/>
      <c r="K1256" s="67" t="n"/>
      <c r="L1256" s="67" t="n"/>
      <c r="M1256" s="64" t="n"/>
      <c r="N1256" s="66" t="n"/>
      <c r="O1256" s="84">
        <f>IF(A1256="","",IF(OR(C1256="",D1256=""),"Enter both dates",IF(D1256&lt;C1256,"To is before From",IF(COUNTIFS($P$5:$P$2004,P1256,$C$5:$C$2004,"&lt;="&amp;D1256,$D$5:$D$2004,"&gt;="&amp;C1256)&gt;1,"Overlaps another row","OK"))))</f>
        <v/>
      </c>
      <c r="P1256">
        <f>IF(A1256="","",A1256&amp;"|"&amp;IF(B1256="","Standard",B1256))</f>
        <v/>
      </c>
      <c r="Q1256">
        <f>IF(AND(A1256&lt;&gt;"",A1256='Firm Search'!$C$7),COUNTIF($A$5:A1256,'Firm Search'!$C$7),"")</f>
        <v/>
      </c>
    </row>
    <row r="1257">
      <c r="A1257" s="64" t="n"/>
      <c r="B1257" s="64" t="n"/>
      <c r="C1257" s="66" t="n"/>
      <c r="D1257" s="66" t="n"/>
      <c r="E1257" s="67" t="n"/>
      <c r="F1257" s="67" t="n"/>
      <c r="G1257" s="67" t="n"/>
      <c r="H1257" s="67" t="n"/>
      <c r="I1257" s="67" t="n"/>
      <c r="J1257" s="67" t="n"/>
      <c r="K1257" s="67" t="n"/>
      <c r="L1257" s="67" t="n"/>
      <c r="M1257" s="64" t="n"/>
      <c r="N1257" s="66" t="n"/>
      <c r="O1257" s="84">
        <f>IF(A1257="","",IF(OR(C1257="",D1257=""),"Enter both dates",IF(D1257&lt;C1257,"To is before From",IF(COUNTIFS($P$5:$P$2004,P1257,$C$5:$C$2004,"&lt;="&amp;D1257,$D$5:$D$2004,"&gt;="&amp;C1257)&gt;1,"Overlaps another row","OK"))))</f>
        <v/>
      </c>
      <c r="P1257">
        <f>IF(A1257="","",A1257&amp;"|"&amp;IF(B1257="","Standard",B1257))</f>
        <v/>
      </c>
      <c r="Q1257">
        <f>IF(AND(A1257&lt;&gt;"",A1257='Firm Search'!$C$7),COUNTIF($A$5:A1257,'Firm Search'!$C$7),"")</f>
        <v/>
      </c>
    </row>
    <row r="1258">
      <c r="A1258" s="64" t="n"/>
      <c r="B1258" s="64" t="n"/>
      <c r="C1258" s="66" t="n"/>
      <c r="D1258" s="66" t="n"/>
      <c r="E1258" s="67" t="n"/>
      <c r="F1258" s="67" t="n"/>
      <c r="G1258" s="67" t="n"/>
      <c r="H1258" s="67" t="n"/>
      <c r="I1258" s="67" t="n"/>
      <c r="J1258" s="67" t="n"/>
      <c r="K1258" s="67" t="n"/>
      <c r="L1258" s="67" t="n"/>
      <c r="M1258" s="64" t="n"/>
      <c r="N1258" s="66" t="n"/>
      <c r="O1258" s="84">
        <f>IF(A1258="","",IF(OR(C1258="",D1258=""),"Enter both dates",IF(D1258&lt;C1258,"To is before From",IF(COUNTIFS($P$5:$P$2004,P1258,$C$5:$C$2004,"&lt;="&amp;D1258,$D$5:$D$2004,"&gt;="&amp;C1258)&gt;1,"Overlaps another row","OK"))))</f>
        <v/>
      </c>
      <c r="P1258">
        <f>IF(A1258="","",A1258&amp;"|"&amp;IF(B1258="","Standard",B1258))</f>
        <v/>
      </c>
      <c r="Q1258">
        <f>IF(AND(A1258&lt;&gt;"",A1258='Firm Search'!$C$7),COUNTIF($A$5:A1258,'Firm Search'!$C$7),"")</f>
        <v/>
      </c>
    </row>
    <row r="1259">
      <c r="A1259" s="64" t="n"/>
      <c r="B1259" s="64" t="n"/>
      <c r="C1259" s="66" t="n"/>
      <c r="D1259" s="66" t="n"/>
      <c r="E1259" s="67" t="n"/>
      <c r="F1259" s="67" t="n"/>
      <c r="G1259" s="67" t="n"/>
      <c r="H1259" s="67" t="n"/>
      <c r="I1259" s="67" t="n"/>
      <c r="J1259" s="67" t="n"/>
      <c r="K1259" s="67" t="n"/>
      <c r="L1259" s="67" t="n"/>
      <c r="M1259" s="64" t="n"/>
      <c r="N1259" s="66" t="n"/>
      <c r="O1259" s="84">
        <f>IF(A1259="","",IF(OR(C1259="",D1259=""),"Enter both dates",IF(D1259&lt;C1259,"To is before From",IF(COUNTIFS($P$5:$P$2004,P1259,$C$5:$C$2004,"&lt;="&amp;D1259,$D$5:$D$2004,"&gt;="&amp;C1259)&gt;1,"Overlaps another row","OK"))))</f>
        <v/>
      </c>
      <c r="P1259">
        <f>IF(A1259="","",A1259&amp;"|"&amp;IF(B1259="","Standard",B1259))</f>
        <v/>
      </c>
      <c r="Q1259">
        <f>IF(AND(A1259&lt;&gt;"",A1259='Firm Search'!$C$7),COUNTIF($A$5:A1259,'Firm Search'!$C$7),"")</f>
        <v/>
      </c>
    </row>
    <row r="1260">
      <c r="A1260" s="64" t="n"/>
      <c r="B1260" s="64" t="n"/>
      <c r="C1260" s="66" t="n"/>
      <c r="D1260" s="66" t="n"/>
      <c r="E1260" s="67" t="n"/>
      <c r="F1260" s="67" t="n"/>
      <c r="G1260" s="67" t="n"/>
      <c r="H1260" s="67" t="n"/>
      <c r="I1260" s="67" t="n"/>
      <c r="J1260" s="67" t="n"/>
      <c r="K1260" s="67" t="n"/>
      <c r="L1260" s="67" t="n"/>
      <c r="M1260" s="64" t="n"/>
      <c r="N1260" s="66" t="n"/>
      <c r="O1260" s="84">
        <f>IF(A1260="","",IF(OR(C1260="",D1260=""),"Enter both dates",IF(D1260&lt;C1260,"To is before From",IF(COUNTIFS($P$5:$P$2004,P1260,$C$5:$C$2004,"&lt;="&amp;D1260,$D$5:$D$2004,"&gt;="&amp;C1260)&gt;1,"Overlaps another row","OK"))))</f>
        <v/>
      </c>
      <c r="P1260">
        <f>IF(A1260="","",A1260&amp;"|"&amp;IF(B1260="","Standard",B1260))</f>
        <v/>
      </c>
      <c r="Q1260">
        <f>IF(AND(A1260&lt;&gt;"",A1260='Firm Search'!$C$7),COUNTIF($A$5:A1260,'Firm Search'!$C$7),"")</f>
        <v/>
      </c>
    </row>
    <row r="1261">
      <c r="A1261" s="64" t="n"/>
      <c r="B1261" s="64" t="n"/>
      <c r="C1261" s="66" t="n"/>
      <c r="D1261" s="66" t="n"/>
      <c r="E1261" s="67" t="n"/>
      <c r="F1261" s="67" t="n"/>
      <c r="G1261" s="67" t="n"/>
      <c r="H1261" s="67" t="n"/>
      <c r="I1261" s="67" t="n"/>
      <c r="J1261" s="67" t="n"/>
      <c r="K1261" s="67" t="n"/>
      <c r="L1261" s="67" t="n"/>
      <c r="M1261" s="64" t="n"/>
      <c r="N1261" s="66" t="n"/>
      <c r="O1261" s="84">
        <f>IF(A1261="","",IF(OR(C1261="",D1261=""),"Enter both dates",IF(D1261&lt;C1261,"To is before From",IF(COUNTIFS($P$5:$P$2004,P1261,$C$5:$C$2004,"&lt;="&amp;D1261,$D$5:$D$2004,"&gt;="&amp;C1261)&gt;1,"Overlaps another row","OK"))))</f>
        <v/>
      </c>
      <c r="P1261">
        <f>IF(A1261="","",A1261&amp;"|"&amp;IF(B1261="","Standard",B1261))</f>
        <v/>
      </c>
      <c r="Q1261">
        <f>IF(AND(A1261&lt;&gt;"",A1261='Firm Search'!$C$7),COUNTIF($A$5:A1261,'Firm Search'!$C$7),"")</f>
        <v/>
      </c>
    </row>
    <row r="1262">
      <c r="A1262" s="64" t="n"/>
      <c r="B1262" s="64" t="n"/>
      <c r="C1262" s="66" t="n"/>
      <c r="D1262" s="66" t="n"/>
      <c r="E1262" s="67" t="n"/>
      <c r="F1262" s="67" t="n"/>
      <c r="G1262" s="67" t="n"/>
      <c r="H1262" s="67" t="n"/>
      <c r="I1262" s="67" t="n"/>
      <c r="J1262" s="67" t="n"/>
      <c r="K1262" s="67" t="n"/>
      <c r="L1262" s="67" t="n"/>
      <c r="M1262" s="64" t="n"/>
      <c r="N1262" s="66" t="n"/>
      <c r="O1262" s="84">
        <f>IF(A1262="","",IF(OR(C1262="",D1262=""),"Enter both dates",IF(D1262&lt;C1262,"To is before From",IF(COUNTIFS($P$5:$P$2004,P1262,$C$5:$C$2004,"&lt;="&amp;D1262,$D$5:$D$2004,"&gt;="&amp;C1262)&gt;1,"Overlaps another row","OK"))))</f>
        <v/>
      </c>
      <c r="P1262">
        <f>IF(A1262="","",A1262&amp;"|"&amp;IF(B1262="","Standard",B1262))</f>
        <v/>
      </c>
      <c r="Q1262">
        <f>IF(AND(A1262&lt;&gt;"",A1262='Firm Search'!$C$7),COUNTIF($A$5:A1262,'Firm Search'!$C$7),"")</f>
        <v/>
      </c>
    </row>
    <row r="1263">
      <c r="A1263" s="64" t="n"/>
      <c r="B1263" s="64" t="n"/>
      <c r="C1263" s="66" t="n"/>
      <c r="D1263" s="66" t="n"/>
      <c r="E1263" s="67" t="n"/>
      <c r="F1263" s="67" t="n"/>
      <c r="G1263" s="67" t="n"/>
      <c r="H1263" s="67" t="n"/>
      <c r="I1263" s="67" t="n"/>
      <c r="J1263" s="67" t="n"/>
      <c r="K1263" s="67" t="n"/>
      <c r="L1263" s="67" t="n"/>
      <c r="M1263" s="64" t="n"/>
      <c r="N1263" s="66" t="n"/>
      <c r="O1263" s="84">
        <f>IF(A1263="","",IF(OR(C1263="",D1263=""),"Enter both dates",IF(D1263&lt;C1263,"To is before From",IF(COUNTIFS($P$5:$P$2004,P1263,$C$5:$C$2004,"&lt;="&amp;D1263,$D$5:$D$2004,"&gt;="&amp;C1263)&gt;1,"Overlaps another row","OK"))))</f>
        <v/>
      </c>
      <c r="P1263">
        <f>IF(A1263="","",A1263&amp;"|"&amp;IF(B1263="","Standard",B1263))</f>
        <v/>
      </c>
      <c r="Q1263">
        <f>IF(AND(A1263&lt;&gt;"",A1263='Firm Search'!$C$7),COUNTIF($A$5:A1263,'Firm Search'!$C$7),"")</f>
        <v/>
      </c>
    </row>
    <row r="1264">
      <c r="A1264" s="64" t="n"/>
      <c r="B1264" s="64" t="n"/>
      <c r="C1264" s="66" t="n"/>
      <c r="D1264" s="66" t="n"/>
      <c r="E1264" s="67" t="n"/>
      <c r="F1264" s="67" t="n"/>
      <c r="G1264" s="67" t="n"/>
      <c r="H1264" s="67" t="n"/>
      <c r="I1264" s="67" t="n"/>
      <c r="J1264" s="67" t="n"/>
      <c r="K1264" s="67" t="n"/>
      <c r="L1264" s="67" t="n"/>
      <c r="M1264" s="64" t="n"/>
      <c r="N1264" s="66" t="n"/>
      <c r="O1264" s="84">
        <f>IF(A1264="","",IF(OR(C1264="",D1264=""),"Enter both dates",IF(D1264&lt;C1264,"To is before From",IF(COUNTIFS($P$5:$P$2004,P1264,$C$5:$C$2004,"&lt;="&amp;D1264,$D$5:$D$2004,"&gt;="&amp;C1264)&gt;1,"Overlaps another row","OK"))))</f>
        <v/>
      </c>
      <c r="P1264">
        <f>IF(A1264="","",A1264&amp;"|"&amp;IF(B1264="","Standard",B1264))</f>
        <v/>
      </c>
      <c r="Q1264">
        <f>IF(AND(A1264&lt;&gt;"",A1264='Firm Search'!$C$7),COUNTIF($A$5:A1264,'Firm Search'!$C$7),"")</f>
        <v/>
      </c>
    </row>
    <row r="1265">
      <c r="A1265" s="64" t="n"/>
      <c r="B1265" s="64" t="n"/>
      <c r="C1265" s="66" t="n"/>
      <c r="D1265" s="66" t="n"/>
      <c r="E1265" s="67" t="n"/>
      <c r="F1265" s="67" t="n"/>
      <c r="G1265" s="67" t="n"/>
      <c r="H1265" s="67" t="n"/>
      <c r="I1265" s="67" t="n"/>
      <c r="J1265" s="67" t="n"/>
      <c r="K1265" s="67" t="n"/>
      <c r="L1265" s="67" t="n"/>
      <c r="M1265" s="64" t="n"/>
      <c r="N1265" s="66" t="n"/>
      <c r="O1265" s="84">
        <f>IF(A1265="","",IF(OR(C1265="",D1265=""),"Enter both dates",IF(D1265&lt;C1265,"To is before From",IF(COUNTIFS($P$5:$P$2004,P1265,$C$5:$C$2004,"&lt;="&amp;D1265,$D$5:$D$2004,"&gt;="&amp;C1265)&gt;1,"Overlaps another row","OK"))))</f>
        <v/>
      </c>
      <c r="P1265">
        <f>IF(A1265="","",A1265&amp;"|"&amp;IF(B1265="","Standard",B1265))</f>
        <v/>
      </c>
      <c r="Q1265">
        <f>IF(AND(A1265&lt;&gt;"",A1265='Firm Search'!$C$7),COUNTIF($A$5:A1265,'Firm Search'!$C$7),"")</f>
        <v/>
      </c>
    </row>
    <row r="1266">
      <c r="A1266" s="64" t="n"/>
      <c r="B1266" s="64" t="n"/>
      <c r="C1266" s="66" t="n"/>
      <c r="D1266" s="66" t="n"/>
      <c r="E1266" s="67" t="n"/>
      <c r="F1266" s="67" t="n"/>
      <c r="G1266" s="67" t="n"/>
      <c r="H1266" s="67" t="n"/>
      <c r="I1266" s="67" t="n"/>
      <c r="J1266" s="67" t="n"/>
      <c r="K1266" s="67" t="n"/>
      <c r="L1266" s="67" t="n"/>
      <c r="M1266" s="64" t="n"/>
      <c r="N1266" s="66" t="n"/>
      <c r="O1266" s="84">
        <f>IF(A1266="","",IF(OR(C1266="",D1266=""),"Enter both dates",IF(D1266&lt;C1266,"To is before From",IF(COUNTIFS($P$5:$P$2004,P1266,$C$5:$C$2004,"&lt;="&amp;D1266,$D$5:$D$2004,"&gt;="&amp;C1266)&gt;1,"Overlaps another row","OK"))))</f>
        <v/>
      </c>
      <c r="P1266">
        <f>IF(A1266="","",A1266&amp;"|"&amp;IF(B1266="","Standard",B1266))</f>
        <v/>
      </c>
      <c r="Q1266">
        <f>IF(AND(A1266&lt;&gt;"",A1266='Firm Search'!$C$7),COUNTIF($A$5:A1266,'Firm Search'!$C$7),"")</f>
        <v/>
      </c>
    </row>
    <row r="1267">
      <c r="A1267" s="64" t="n"/>
      <c r="B1267" s="64" t="n"/>
      <c r="C1267" s="66" t="n"/>
      <c r="D1267" s="66" t="n"/>
      <c r="E1267" s="67" t="n"/>
      <c r="F1267" s="67" t="n"/>
      <c r="G1267" s="67" t="n"/>
      <c r="H1267" s="67" t="n"/>
      <c r="I1267" s="67" t="n"/>
      <c r="J1267" s="67" t="n"/>
      <c r="K1267" s="67" t="n"/>
      <c r="L1267" s="67" t="n"/>
      <c r="M1267" s="64" t="n"/>
      <c r="N1267" s="66" t="n"/>
      <c r="O1267" s="84">
        <f>IF(A1267="","",IF(OR(C1267="",D1267=""),"Enter both dates",IF(D1267&lt;C1267,"To is before From",IF(COUNTIFS($P$5:$P$2004,P1267,$C$5:$C$2004,"&lt;="&amp;D1267,$D$5:$D$2004,"&gt;="&amp;C1267)&gt;1,"Overlaps another row","OK"))))</f>
        <v/>
      </c>
      <c r="P1267">
        <f>IF(A1267="","",A1267&amp;"|"&amp;IF(B1267="","Standard",B1267))</f>
        <v/>
      </c>
      <c r="Q1267">
        <f>IF(AND(A1267&lt;&gt;"",A1267='Firm Search'!$C$7),COUNTIF($A$5:A1267,'Firm Search'!$C$7),"")</f>
        <v/>
      </c>
    </row>
    <row r="1268">
      <c r="A1268" s="64" t="n"/>
      <c r="B1268" s="64" t="n"/>
      <c r="C1268" s="66" t="n"/>
      <c r="D1268" s="66" t="n"/>
      <c r="E1268" s="67" t="n"/>
      <c r="F1268" s="67" t="n"/>
      <c r="G1268" s="67" t="n"/>
      <c r="H1268" s="67" t="n"/>
      <c r="I1268" s="67" t="n"/>
      <c r="J1268" s="67" t="n"/>
      <c r="K1268" s="67" t="n"/>
      <c r="L1268" s="67" t="n"/>
      <c r="M1268" s="64" t="n"/>
      <c r="N1268" s="66" t="n"/>
      <c r="O1268" s="84">
        <f>IF(A1268="","",IF(OR(C1268="",D1268=""),"Enter both dates",IF(D1268&lt;C1268,"To is before From",IF(COUNTIFS($P$5:$P$2004,P1268,$C$5:$C$2004,"&lt;="&amp;D1268,$D$5:$D$2004,"&gt;="&amp;C1268)&gt;1,"Overlaps another row","OK"))))</f>
        <v/>
      </c>
      <c r="P1268">
        <f>IF(A1268="","",A1268&amp;"|"&amp;IF(B1268="","Standard",B1268))</f>
        <v/>
      </c>
      <c r="Q1268">
        <f>IF(AND(A1268&lt;&gt;"",A1268='Firm Search'!$C$7),COUNTIF($A$5:A1268,'Firm Search'!$C$7),"")</f>
        <v/>
      </c>
    </row>
    <row r="1269">
      <c r="A1269" s="64" t="n"/>
      <c r="B1269" s="64" t="n"/>
      <c r="C1269" s="66" t="n"/>
      <c r="D1269" s="66" t="n"/>
      <c r="E1269" s="67" t="n"/>
      <c r="F1269" s="67" t="n"/>
      <c r="G1269" s="67" t="n"/>
      <c r="H1269" s="67" t="n"/>
      <c r="I1269" s="67" t="n"/>
      <c r="J1269" s="67" t="n"/>
      <c r="K1269" s="67" t="n"/>
      <c r="L1269" s="67" t="n"/>
      <c r="M1269" s="64" t="n"/>
      <c r="N1269" s="66" t="n"/>
      <c r="O1269" s="84">
        <f>IF(A1269="","",IF(OR(C1269="",D1269=""),"Enter both dates",IF(D1269&lt;C1269,"To is before From",IF(COUNTIFS($P$5:$P$2004,P1269,$C$5:$C$2004,"&lt;="&amp;D1269,$D$5:$D$2004,"&gt;="&amp;C1269)&gt;1,"Overlaps another row","OK"))))</f>
        <v/>
      </c>
      <c r="P1269">
        <f>IF(A1269="","",A1269&amp;"|"&amp;IF(B1269="","Standard",B1269))</f>
        <v/>
      </c>
      <c r="Q1269">
        <f>IF(AND(A1269&lt;&gt;"",A1269='Firm Search'!$C$7),COUNTIF($A$5:A1269,'Firm Search'!$C$7),"")</f>
        <v/>
      </c>
    </row>
    <row r="1270">
      <c r="A1270" s="64" t="n"/>
      <c r="B1270" s="64" t="n"/>
      <c r="C1270" s="66" t="n"/>
      <c r="D1270" s="66" t="n"/>
      <c r="E1270" s="67" t="n"/>
      <c r="F1270" s="67" t="n"/>
      <c r="G1270" s="67" t="n"/>
      <c r="H1270" s="67" t="n"/>
      <c r="I1270" s="67" t="n"/>
      <c r="J1270" s="67" t="n"/>
      <c r="K1270" s="67" t="n"/>
      <c r="L1270" s="67" t="n"/>
      <c r="M1270" s="64" t="n"/>
      <c r="N1270" s="66" t="n"/>
      <c r="O1270" s="84">
        <f>IF(A1270="","",IF(OR(C1270="",D1270=""),"Enter both dates",IF(D1270&lt;C1270,"To is before From",IF(COUNTIFS($P$5:$P$2004,P1270,$C$5:$C$2004,"&lt;="&amp;D1270,$D$5:$D$2004,"&gt;="&amp;C1270)&gt;1,"Overlaps another row","OK"))))</f>
        <v/>
      </c>
      <c r="P1270">
        <f>IF(A1270="","",A1270&amp;"|"&amp;IF(B1270="","Standard",B1270))</f>
        <v/>
      </c>
      <c r="Q1270">
        <f>IF(AND(A1270&lt;&gt;"",A1270='Firm Search'!$C$7),COUNTIF($A$5:A1270,'Firm Search'!$C$7),"")</f>
        <v/>
      </c>
    </row>
    <row r="1271">
      <c r="A1271" s="64" t="n"/>
      <c r="B1271" s="64" t="n"/>
      <c r="C1271" s="66" t="n"/>
      <c r="D1271" s="66" t="n"/>
      <c r="E1271" s="67" t="n"/>
      <c r="F1271" s="67" t="n"/>
      <c r="G1271" s="67" t="n"/>
      <c r="H1271" s="67" t="n"/>
      <c r="I1271" s="67" t="n"/>
      <c r="J1271" s="67" t="n"/>
      <c r="K1271" s="67" t="n"/>
      <c r="L1271" s="67" t="n"/>
      <c r="M1271" s="64" t="n"/>
      <c r="N1271" s="66" t="n"/>
      <c r="O1271" s="84">
        <f>IF(A1271="","",IF(OR(C1271="",D1271=""),"Enter both dates",IF(D1271&lt;C1271,"To is before From",IF(COUNTIFS($P$5:$P$2004,P1271,$C$5:$C$2004,"&lt;="&amp;D1271,$D$5:$D$2004,"&gt;="&amp;C1271)&gt;1,"Overlaps another row","OK"))))</f>
        <v/>
      </c>
      <c r="P1271">
        <f>IF(A1271="","",A1271&amp;"|"&amp;IF(B1271="","Standard",B1271))</f>
        <v/>
      </c>
      <c r="Q1271">
        <f>IF(AND(A1271&lt;&gt;"",A1271='Firm Search'!$C$7),COUNTIF($A$5:A1271,'Firm Search'!$C$7),"")</f>
        <v/>
      </c>
    </row>
    <row r="1272">
      <c r="A1272" s="64" t="n"/>
      <c r="B1272" s="64" t="n"/>
      <c r="C1272" s="66" t="n"/>
      <c r="D1272" s="66" t="n"/>
      <c r="E1272" s="67" t="n"/>
      <c r="F1272" s="67" t="n"/>
      <c r="G1272" s="67" t="n"/>
      <c r="H1272" s="67" t="n"/>
      <c r="I1272" s="67" t="n"/>
      <c r="J1272" s="67" t="n"/>
      <c r="K1272" s="67" t="n"/>
      <c r="L1272" s="67" t="n"/>
      <c r="M1272" s="64" t="n"/>
      <c r="N1272" s="66" t="n"/>
      <c r="O1272" s="84">
        <f>IF(A1272="","",IF(OR(C1272="",D1272=""),"Enter both dates",IF(D1272&lt;C1272,"To is before From",IF(COUNTIFS($P$5:$P$2004,P1272,$C$5:$C$2004,"&lt;="&amp;D1272,$D$5:$D$2004,"&gt;="&amp;C1272)&gt;1,"Overlaps another row","OK"))))</f>
        <v/>
      </c>
      <c r="P1272">
        <f>IF(A1272="","",A1272&amp;"|"&amp;IF(B1272="","Standard",B1272))</f>
        <v/>
      </c>
      <c r="Q1272">
        <f>IF(AND(A1272&lt;&gt;"",A1272='Firm Search'!$C$7),COUNTIF($A$5:A1272,'Firm Search'!$C$7),"")</f>
        <v/>
      </c>
    </row>
    <row r="1273">
      <c r="A1273" s="64" t="n"/>
      <c r="B1273" s="64" t="n"/>
      <c r="C1273" s="66" t="n"/>
      <c r="D1273" s="66" t="n"/>
      <c r="E1273" s="67" t="n"/>
      <c r="F1273" s="67" t="n"/>
      <c r="G1273" s="67" t="n"/>
      <c r="H1273" s="67" t="n"/>
      <c r="I1273" s="67" t="n"/>
      <c r="J1273" s="67" t="n"/>
      <c r="K1273" s="67" t="n"/>
      <c r="L1273" s="67" t="n"/>
      <c r="M1273" s="64" t="n"/>
      <c r="N1273" s="66" t="n"/>
      <c r="O1273" s="84">
        <f>IF(A1273="","",IF(OR(C1273="",D1273=""),"Enter both dates",IF(D1273&lt;C1273,"To is before From",IF(COUNTIFS($P$5:$P$2004,P1273,$C$5:$C$2004,"&lt;="&amp;D1273,$D$5:$D$2004,"&gt;="&amp;C1273)&gt;1,"Overlaps another row","OK"))))</f>
        <v/>
      </c>
      <c r="P1273">
        <f>IF(A1273="","",A1273&amp;"|"&amp;IF(B1273="","Standard",B1273))</f>
        <v/>
      </c>
      <c r="Q1273">
        <f>IF(AND(A1273&lt;&gt;"",A1273='Firm Search'!$C$7),COUNTIF($A$5:A1273,'Firm Search'!$C$7),"")</f>
        <v/>
      </c>
    </row>
    <row r="1274">
      <c r="A1274" s="64" t="n"/>
      <c r="B1274" s="64" t="n"/>
      <c r="C1274" s="66" t="n"/>
      <c r="D1274" s="66" t="n"/>
      <c r="E1274" s="67" t="n"/>
      <c r="F1274" s="67" t="n"/>
      <c r="G1274" s="67" t="n"/>
      <c r="H1274" s="67" t="n"/>
      <c r="I1274" s="67" t="n"/>
      <c r="J1274" s="67" t="n"/>
      <c r="K1274" s="67" t="n"/>
      <c r="L1274" s="67" t="n"/>
      <c r="M1274" s="64" t="n"/>
      <c r="N1274" s="66" t="n"/>
      <c r="O1274" s="84">
        <f>IF(A1274="","",IF(OR(C1274="",D1274=""),"Enter both dates",IF(D1274&lt;C1274,"To is before From",IF(COUNTIFS($P$5:$P$2004,P1274,$C$5:$C$2004,"&lt;="&amp;D1274,$D$5:$D$2004,"&gt;="&amp;C1274)&gt;1,"Overlaps another row","OK"))))</f>
        <v/>
      </c>
      <c r="P1274">
        <f>IF(A1274="","",A1274&amp;"|"&amp;IF(B1274="","Standard",B1274))</f>
        <v/>
      </c>
      <c r="Q1274">
        <f>IF(AND(A1274&lt;&gt;"",A1274='Firm Search'!$C$7),COUNTIF($A$5:A1274,'Firm Search'!$C$7),"")</f>
        <v/>
      </c>
    </row>
    <row r="1275">
      <c r="A1275" s="64" t="n"/>
      <c r="B1275" s="64" t="n"/>
      <c r="C1275" s="66" t="n"/>
      <c r="D1275" s="66" t="n"/>
      <c r="E1275" s="67" t="n"/>
      <c r="F1275" s="67" t="n"/>
      <c r="G1275" s="67" t="n"/>
      <c r="H1275" s="67" t="n"/>
      <c r="I1275" s="67" t="n"/>
      <c r="J1275" s="67" t="n"/>
      <c r="K1275" s="67" t="n"/>
      <c r="L1275" s="67" t="n"/>
      <c r="M1275" s="64" t="n"/>
      <c r="N1275" s="66" t="n"/>
      <c r="O1275" s="84">
        <f>IF(A1275="","",IF(OR(C1275="",D1275=""),"Enter both dates",IF(D1275&lt;C1275,"To is before From",IF(COUNTIFS($P$5:$P$2004,P1275,$C$5:$C$2004,"&lt;="&amp;D1275,$D$5:$D$2004,"&gt;="&amp;C1275)&gt;1,"Overlaps another row","OK"))))</f>
        <v/>
      </c>
      <c r="P1275">
        <f>IF(A1275="","",A1275&amp;"|"&amp;IF(B1275="","Standard",B1275))</f>
        <v/>
      </c>
      <c r="Q1275">
        <f>IF(AND(A1275&lt;&gt;"",A1275='Firm Search'!$C$7),COUNTIF($A$5:A1275,'Firm Search'!$C$7),"")</f>
        <v/>
      </c>
    </row>
    <row r="1276">
      <c r="A1276" s="64" t="n"/>
      <c r="B1276" s="64" t="n"/>
      <c r="C1276" s="66" t="n"/>
      <c r="D1276" s="66" t="n"/>
      <c r="E1276" s="67" t="n"/>
      <c r="F1276" s="67" t="n"/>
      <c r="G1276" s="67" t="n"/>
      <c r="H1276" s="67" t="n"/>
      <c r="I1276" s="67" t="n"/>
      <c r="J1276" s="67" t="n"/>
      <c r="K1276" s="67" t="n"/>
      <c r="L1276" s="67" t="n"/>
      <c r="M1276" s="64" t="n"/>
      <c r="N1276" s="66" t="n"/>
      <c r="O1276" s="84">
        <f>IF(A1276="","",IF(OR(C1276="",D1276=""),"Enter both dates",IF(D1276&lt;C1276,"To is before From",IF(COUNTIFS($P$5:$P$2004,P1276,$C$5:$C$2004,"&lt;="&amp;D1276,$D$5:$D$2004,"&gt;="&amp;C1276)&gt;1,"Overlaps another row","OK"))))</f>
        <v/>
      </c>
      <c r="P1276">
        <f>IF(A1276="","",A1276&amp;"|"&amp;IF(B1276="","Standard",B1276))</f>
        <v/>
      </c>
      <c r="Q1276">
        <f>IF(AND(A1276&lt;&gt;"",A1276='Firm Search'!$C$7),COUNTIF($A$5:A1276,'Firm Search'!$C$7),"")</f>
        <v/>
      </c>
    </row>
    <row r="1277">
      <c r="A1277" s="64" t="n"/>
      <c r="B1277" s="64" t="n"/>
      <c r="C1277" s="66" t="n"/>
      <c r="D1277" s="66" t="n"/>
      <c r="E1277" s="67" t="n"/>
      <c r="F1277" s="67" t="n"/>
      <c r="G1277" s="67" t="n"/>
      <c r="H1277" s="67" t="n"/>
      <c r="I1277" s="67" t="n"/>
      <c r="J1277" s="67" t="n"/>
      <c r="K1277" s="67" t="n"/>
      <c r="L1277" s="67" t="n"/>
      <c r="M1277" s="64" t="n"/>
      <c r="N1277" s="66" t="n"/>
      <c r="O1277" s="84">
        <f>IF(A1277="","",IF(OR(C1277="",D1277=""),"Enter both dates",IF(D1277&lt;C1277,"To is before From",IF(COUNTIFS($P$5:$P$2004,P1277,$C$5:$C$2004,"&lt;="&amp;D1277,$D$5:$D$2004,"&gt;="&amp;C1277)&gt;1,"Overlaps another row","OK"))))</f>
        <v/>
      </c>
      <c r="P1277">
        <f>IF(A1277="","",A1277&amp;"|"&amp;IF(B1277="","Standard",B1277))</f>
        <v/>
      </c>
      <c r="Q1277">
        <f>IF(AND(A1277&lt;&gt;"",A1277='Firm Search'!$C$7),COUNTIF($A$5:A1277,'Firm Search'!$C$7),"")</f>
        <v/>
      </c>
    </row>
    <row r="1278">
      <c r="A1278" s="64" t="n"/>
      <c r="B1278" s="64" t="n"/>
      <c r="C1278" s="66" t="n"/>
      <c r="D1278" s="66" t="n"/>
      <c r="E1278" s="67" t="n"/>
      <c r="F1278" s="67" t="n"/>
      <c r="G1278" s="67" t="n"/>
      <c r="H1278" s="67" t="n"/>
      <c r="I1278" s="67" t="n"/>
      <c r="J1278" s="67" t="n"/>
      <c r="K1278" s="67" t="n"/>
      <c r="L1278" s="67" t="n"/>
      <c r="M1278" s="64" t="n"/>
      <c r="N1278" s="66" t="n"/>
      <c r="O1278" s="84">
        <f>IF(A1278="","",IF(OR(C1278="",D1278=""),"Enter both dates",IF(D1278&lt;C1278,"To is before From",IF(COUNTIFS($P$5:$P$2004,P1278,$C$5:$C$2004,"&lt;="&amp;D1278,$D$5:$D$2004,"&gt;="&amp;C1278)&gt;1,"Overlaps another row","OK"))))</f>
        <v/>
      </c>
      <c r="P1278">
        <f>IF(A1278="","",A1278&amp;"|"&amp;IF(B1278="","Standard",B1278))</f>
        <v/>
      </c>
      <c r="Q1278">
        <f>IF(AND(A1278&lt;&gt;"",A1278='Firm Search'!$C$7),COUNTIF($A$5:A1278,'Firm Search'!$C$7),"")</f>
        <v/>
      </c>
    </row>
    <row r="1279">
      <c r="A1279" s="64" t="n"/>
      <c r="B1279" s="64" t="n"/>
      <c r="C1279" s="66" t="n"/>
      <c r="D1279" s="66" t="n"/>
      <c r="E1279" s="67" t="n"/>
      <c r="F1279" s="67" t="n"/>
      <c r="G1279" s="67" t="n"/>
      <c r="H1279" s="67" t="n"/>
      <c r="I1279" s="67" t="n"/>
      <c r="J1279" s="67" t="n"/>
      <c r="K1279" s="67" t="n"/>
      <c r="L1279" s="67" t="n"/>
      <c r="M1279" s="64" t="n"/>
      <c r="N1279" s="66" t="n"/>
      <c r="O1279" s="84">
        <f>IF(A1279="","",IF(OR(C1279="",D1279=""),"Enter both dates",IF(D1279&lt;C1279,"To is before From",IF(COUNTIFS($P$5:$P$2004,P1279,$C$5:$C$2004,"&lt;="&amp;D1279,$D$5:$D$2004,"&gt;="&amp;C1279)&gt;1,"Overlaps another row","OK"))))</f>
        <v/>
      </c>
      <c r="P1279">
        <f>IF(A1279="","",A1279&amp;"|"&amp;IF(B1279="","Standard",B1279))</f>
        <v/>
      </c>
      <c r="Q1279">
        <f>IF(AND(A1279&lt;&gt;"",A1279='Firm Search'!$C$7),COUNTIF($A$5:A1279,'Firm Search'!$C$7),"")</f>
        <v/>
      </c>
    </row>
    <row r="1280">
      <c r="A1280" s="64" t="n"/>
      <c r="B1280" s="64" t="n"/>
      <c r="C1280" s="66" t="n"/>
      <c r="D1280" s="66" t="n"/>
      <c r="E1280" s="67" t="n"/>
      <c r="F1280" s="67" t="n"/>
      <c r="G1280" s="67" t="n"/>
      <c r="H1280" s="67" t="n"/>
      <c r="I1280" s="67" t="n"/>
      <c r="J1280" s="67" t="n"/>
      <c r="K1280" s="67" t="n"/>
      <c r="L1280" s="67" t="n"/>
      <c r="M1280" s="64" t="n"/>
      <c r="N1280" s="66" t="n"/>
      <c r="O1280" s="84">
        <f>IF(A1280="","",IF(OR(C1280="",D1280=""),"Enter both dates",IF(D1280&lt;C1280,"To is before From",IF(COUNTIFS($P$5:$P$2004,P1280,$C$5:$C$2004,"&lt;="&amp;D1280,$D$5:$D$2004,"&gt;="&amp;C1280)&gt;1,"Overlaps another row","OK"))))</f>
        <v/>
      </c>
      <c r="P1280">
        <f>IF(A1280="","",A1280&amp;"|"&amp;IF(B1280="","Standard",B1280))</f>
        <v/>
      </c>
      <c r="Q1280">
        <f>IF(AND(A1280&lt;&gt;"",A1280='Firm Search'!$C$7),COUNTIF($A$5:A1280,'Firm Search'!$C$7),"")</f>
        <v/>
      </c>
    </row>
    <row r="1281">
      <c r="A1281" s="64" t="n"/>
      <c r="B1281" s="64" t="n"/>
      <c r="C1281" s="66" t="n"/>
      <c r="D1281" s="66" t="n"/>
      <c r="E1281" s="67" t="n"/>
      <c r="F1281" s="67" t="n"/>
      <c r="G1281" s="67" t="n"/>
      <c r="H1281" s="67" t="n"/>
      <c r="I1281" s="67" t="n"/>
      <c r="J1281" s="67" t="n"/>
      <c r="K1281" s="67" t="n"/>
      <c r="L1281" s="67" t="n"/>
      <c r="M1281" s="64" t="n"/>
      <c r="N1281" s="66" t="n"/>
      <c r="O1281" s="84">
        <f>IF(A1281="","",IF(OR(C1281="",D1281=""),"Enter both dates",IF(D1281&lt;C1281,"To is before From",IF(COUNTIFS($P$5:$P$2004,P1281,$C$5:$C$2004,"&lt;="&amp;D1281,$D$5:$D$2004,"&gt;="&amp;C1281)&gt;1,"Overlaps another row","OK"))))</f>
        <v/>
      </c>
      <c r="P1281">
        <f>IF(A1281="","",A1281&amp;"|"&amp;IF(B1281="","Standard",B1281))</f>
        <v/>
      </c>
      <c r="Q1281">
        <f>IF(AND(A1281&lt;&gt;"",A1281='Firm Search'!$C$7),COUNTIF($A$5:A1281,'Firm Search'!$C$7),"")</f>
        <v/>
      </c>
    </row>
    <row r="1282">
      <c r="A1282" s="64" t="n"/>
      <c r="B1282" s="64" t="n"/>
      <c r="C1282" s="66" t="n"/>
      <c r="D1282" s="66" t="n"/>
      <c r="E1282" s="67" t="n"/>
      <c r="F1282" s="67" t="n"/>
      <c r="G1282" s="67" t="n"/>
      <c r="H1282" s="67" t="n"/>
      <c r="I1282" s="67" t="n"/>
      <c r="J1282" s="67" t="n"/>
      <c r="K1282" s="67" t="n"/>
      <c r="L1282" s="67" t="n"/>
      <c r="M1282" s="64" t="n"/>
      <c r="N1282" s="66" t="n"/>
      <c r="O1282" s="84">
        <f>IF(A1282="","",IF(OR(C1282="",D1282=""),"Enter both dates",IF(D1282&lt;C1282,"To is before From",IF(COUNTIFS($P$5:$P$2004,P1282,$C$5:$C$2004,"&lt;="&amp;D1282,$D$5:$D$2004,"&gt;="&amp;C1282)&gt;1,"Overlaps another row","OK"))))</f>
        <v/>
      </c>
      <c r="P1282">
        <f>IF(A1282="","",A1282&amp;"|"&amp;IF(B1282="","Standard",B1282))</f>
        <v/>
      </c>
      <c r="Q1282">
        <f>IF(AND(A1282&lt;&gt;"",A1282='Firm Search'!$C$7),COUNTIF($A$5:A1282,'Firm Search'!$C$7),"")</f>
        <v/>
      </c>
    </row>
    <row r="1283">
      <c r="A1283" s="64" t="n"/>
      <c r="B1283" s="64" t="n"/>
      <c r="C1283" s="66" t="n"/>
      <c r="D1283" s="66" t="n"/>
      <c r="E1283" s="67" t="n"/>
      <c r="F1283" s="67" t="n"/>
      <c r="G1283" s="67" t="n"/>
      <c r="H1283" s="67" t="n"/>
      <c r="I1283" s="67" t="n"/>
      <c r="J1283" s="67" t="n"/>
      <c r="K1283" s="67" t="n"/>
      <c r="L1283" s="67" t="n"/>
      <c r="M1283" s="64" t="n"/>
      <c r="N1283" s="66" t="n"/>
      <c r="O1283" s="84">
        <f>IF(A1283="","",IF(OR(C1283="",D1283=""),"Enter both dates",IF(D1283&lt;C1283,"To is before From",IF(COUNTIFS($P$5:$P$2004,P1283,$C$5:$C$2004,"&lt;="&amp;D1283,$D$5:$D$2004,"&gt;="&amp;C1283)&gt;1,"Overlaps another row","OK"))))</f>
        <v/>
      </c>
      <c r="P1283">
        <f>IF(A1283="","",A1283&amp;"|"&amp;IF(B1283="","Standard",B1283))</f>
        <v/>
      </c>
      <c r="Q1283">
        <f>IF(AND(A1283&lt;&gt;"",A1283='Firm Search'!$C$7),COUNTIF($A$5:A1283,'Firm Search'!$C$7),"")</f>
        <v/>
      </c>
    </row>
    <row r="1284">
      <c r="A1284" s="64" t="n"/>
      <c r="B1284" s="64" t="n"/>
      <c r="C1284" s="66" t="n"/>
      <c r="D1284" s="66" t="n"/>
      <c r="E1284" s="67" t="n"/>
      <c r="F1284" s="67" t="n"/>
      <c r="G1284" s="67" t="n"/>
      <c r="H1284" s="67" t="n"/>
      <c r="I1284" s="67" t="n"/>
      <c r="J1284" s="67" t="n"/>
      <c r="K1284" s="67" t="n"/>
      <c r="L1284" s="67" t="n"/>
      <c r="M1284" s="64" t="n"/>
      <c r="N1284" s="66" t="n"/>
      <c r="O1284" s="84">
        <f>IF(A1284="","",IF(OR(C1284="",D1284=""),"Enter both dates",IF(D1284&lt;C1284,"To is before From",IF(COUNTIFS($P$5:$P$2004,P1284,$C$5:$C$2004,"&lt;="&amp;D1284,$D$5:$D$2004,"&gt;="&amp;C1284)&gt;1,"Overlaps another row","OK"))))</f>
        <v/>
      </c>
      <c r="P1284">
        <f>IF(A1284="","",A1284&amp;"|"&amp;IF(B1284="","Standard",B1284))</f>
        <v/>
      </c>
      <c r="Q1284">
        <f>IF(AND(A1284&lt;&gt;"",A1284='Firm Search'!$C$7),COUNTIF($A$5:A1284,'Firm Search'!$C$7),"")</f>
        <v/>
      </c>
    </row>
    <row r="1285">
      <c r="A1285" s="64" t="n"/>
      <c r="B1285" s="64" t="n"/>
      <c r="C1285" s="66" t="n"/>
      <c r="D1285" s="66" t="n"/>
      <c r="E1285" s="67" t="n"/>
      <c r="F1285" s="67" t="n"/>
      <c r="G1285" s="67" t="n"/>
      <c r="H1285" s="67" t="n"/>
      <c r="I1285" s="67" t="n"/>
      <c r="J1285" s="67" t="n"/>
      <c r="K1285" s="67" t="n"/>
      <c r="L1285" s="67" t="n"/>
      <c r="M1285" s="64" t="n"/>
      <c r="N1285" s="66" t="n"/>
      <c r="O1285" s="84">
        <f>IF(A1285="","",IF(OR(C1285="",D1285=""),"Enter both dates",IF(D1285&lt;C1285,"To is before From",IF(COUNTIFS($P$5:$P$2004,P1285,$C$5:$C$2004,"&lt;="&amp;D1285,$D$5:$D$2004,"&gt;="&amp;C1285)&gt;1,"Overlaps another row","OK"))))</f>
        <v/>
      </c>
      <c r="P1285">
        <f>IF(A1285="","",A1285&amp;"|"&amp;IF(B1285="","Standard",B1285))</f>
        <v/>
      </c>
      <c r="Q1285">
        <f>IF(AND(A1285&lt;&gt;"",A1285='Firm Search'!$C$7),COUNTIF($A$5:A1285,'Firm Search'!$C$7),"")</f>
        <v/>
      </c>
    </row>
    <row r="1286">
      <c r="A1286" s="64" t="n"/>
      <c r="B1286" s="64" t="n"/>
      <c r="C1286" s="66" t="n"/>
      <c r="D1286" s="66" t="n"/>
      <c r="E1286" s="67" t="n"/>
      <c r="F1286" s="67" t="n"/>
      <c r="G1286" s="67" t="n"/>
      <c r="H1286" s="67" t="n"/>
      <c r="I1286" s="67" t="n"/>
      <c r="J1286" s="67" t="n"/>
      <c r="K1286" s="67" t="n"/>
      <c r="L1286" s="67" t="n"/>
      <c r="M1286" s="64" t="n"/>
      <c r="N1286" s="66" t="n"/>
      <c r="O1286" s="84">
        <f>IF(A1286="","",IF(OR(C1286="",D1286=""),"Enter both dates",IF(D1286&lt;C1286,"To is before From",IF(COUNTIFS($P$5:$P$2004,P1286,$C$5:$C$2004,"&lt;="&amp;D1286,$D$5:$D$2004,"&gt;="&amp;C1286)&gt;1,"Overlaps another row","OK"))))</f>
        <v/>
      </c>
      <c r="P1286">
        <f>IF(A1286="","",A1286&amp;"|"&amp;IF(B1286="","Standard",B1286))</f>
        <v/>
      </c>
      <c r="Q1286">
        <f>IF(AND(A1286&lt;&gt;"",A1286='Firm Search'!$C$7),COUNTIF($A$5:A1286,'Firm Search'!$C$7),"")</f>
        <v/>
      </c>
    </row>
    <row r="1287">
      <c r="A1287" s="64" t="n"/>
      <c r="B1287" s="64" t="n"/>
      <c r="C1287" s="66" t="n"/>
      <c r="D1287" s="66" t="n"/>
      <c r="E1287" s="67" t="n"/>
      <c r="F1287" s="67" t="n"/>
      <c r="G1287" s="67" t="n"/>
      <c r="H1287" s="67" t="n"/>
      <c r="I1287" s="67" t="n"/>
      <c r="J1287" s="67" t="n"/>
      <c r="K1287" s="67" t="n"/>
      <c r="L1287" s="67" t="n"/>
      <c r="M1287" s="64" t="n"/>
      <c r="N1287" s="66" t="n"/>
      <c r="O1287" s="84">
        <f>IF(A1287="","",IF(OR(C1287="",D1287=""),"Enter both dates",IF(D1287&lt;C1287,"To is before From",IF(COUNTIFS($P$5:$P$2004,P1287,$C$5:$C$2004,"&lt;="&amp;D1287,$D$5:$D$2004,"&gt;="&amp;C1287)&gt;1,"Overlaps another row","OK"))))</f>
        <v/>
      </c>
      <c r="P1287">
        <f>IF(A1287="","",A1287&amp;"|"&amp;IF(B1287="","Standard",B1287))</f>
        <v/>
      </c>
      <c r="Q1287">
        <f>IF(AND(A1287&lt;&gt;"",A1287='Firm Search'!$C$7),COUNTIF($A$5:A1287,'Firm Search'!$C$7),"")</f>
        <v/>
      </c>
    </row>
    <row r="1288">
      <c r="A1288" s="64" t="n"/>
      <c r="B1288" s="64" t="n"/>
      <c r="C1288" s="66" t="n"/>
      <c r="D1288" s="66" t="n"/>
      <c r="E1288" s="67" t="n"/>
      <c r="F1288" s="67" t="n"/>
      <c r="G1288" s="67" t="n"/>
      <c r="H1288" s="67" t="n"/>
      <c r="I1288" s="67" t="n"/>
      <c r="J1288" s="67" t="n"/>
      <c r="K1288" s="67" t="n"/>
      <c r="L1288" s="67" t="n"/>
      <c r="M1288" s="64" t="n"/>
      <c r="N1288" s="66" t="n"/>
      <c r="O1288" s="84">
        <f>IF(A1288="","",IF(OR(C1288="",D1288=""),"Enter both dates",IF(D1288&lt;C1288,"To is before From",IF(COUNTIFS($P$5:$P$2004,P1288,$C$5:$C$2004,"&lt;="&amp;D1288,$D$5:$D$2004,"&gt;="&amp;C1288)&gt;1,"Overlaps another row","OK"))))</f>
        <v/>
      </c>
      <c r="P1288">
        <f>IF(A1288="","",A1288&amp;"|"&amp;IF(B1288="","Standard",B1288))</f>
        <v/>
      </c>
      <c r="Q1288">
        <f>IF(AND(A1288&lt;&gt;"",A1288='Firm Search'!$C$7),COUNTIF($A$5:A1288,'Firm Search'!$C$7),"")</f>
        <v/>
      </c>
    </row>
    <row r="1289">
      <c r="A1289" s="64" t="n"/>
      <c r="B1289" s="64" t="n"/>
      <c r="C1289" s="66" t="n"/>
      <c r="D1289" s="66" t="n"/>
      <c r="E1289" s="67" t="n"/>
      <c r="F1289" s="67" t="n"/>
      <c r="G1289" s="67" t="n"/>
      <c r="H1289" s="67" t="n"/>
      <c r="I1289" s="67" t="n"/>
      <c r="J1289" s="67" t="n"/>
      <c r="K1289" s="67" t="n"/>
      <c r="L1289" s="67" t="n"/>
      <c r="M1289" s="64" t="n"/>
      <c r="N1289" s="66" t="n"/>
      <c r="O1289" s="84">
        <f>IF(A1289="","",IF(OR(C1289="",D1289=""),"Enter both dates",IF(D1289&lt;C1289,"To is before From",IF(COUNTIFS($P$5:$P$2004,P1289,$C$5:$C$2004,"&lt;="&amp;D1289,$D$5:$D$2004,"&gt;="&amp;C1289)&gt;1,"Overlaps another row","OK"))))</f>
        <v/>
      </c>
      <c r="P1289">
        <f>IF(A1289="","",A1289&amp;"|"&amp;IF(B1289="","Standard",B1289))</f>
        <v/>
      </c>
      <c r="Q1289">
        <f>IF(AND(A1289&lt;&gt;"",A1289='Firm Search'!$C$7),COUNTIF($A$5:A1289,'Firm Search'!$C$7),"")</f>
        <v/>
      </c>
    </row>
    <row r="1290">
      <c r="A1290" s="64" t="n"/>
      <c r="B1290" s="64" t="n"/>
      <c r="C1290" s="66" t="n"/>
      <c r="D1290" s="66" t="n"/>
      <c r="E1290" s="67" t="n"/>
      <c r="F1290" s="67" t="n"/>
      <c r="G1290" s="67" t="n"/>
      <c r="H1290" s="67" t="n"/>
      <c r="I1290" s="67" t="n"/>
      <c r="J1290" s="67" t="n"/>
      <c r="K1290" s="67" t="n"/>
      <c r="L1290" s="67" t="n"/>
      <c r="M1290" s="64" t="n"/>
      <c r="N1290" s="66" t="n"/>
      <c r="O1290" s="84">
        <f>IF(A1290="","",IF(OR(C1290="",D1290=""),"Enter both dates",IF(D1290&lt;C1290,"To is before From",IF(COUNTIFS($P$5:$P$2004,P1290,$C$5:$C$2004,"&lt;="&amp;D1290,$D$5:$D$2004,"&gt;="&amp;C1290)&gt;1,"Overlaps another row","OK"))))</f>
        <v/>
      </c>
      <c r="P1290">
        <f>IF(A1290="","",A1290&amp;"|"&amp;IF(B1290="","Standard",B1290))</f>
        <v/>
      </c>
      <c r="Q1290">
        <f>IF(AND(A1290&lt;&gt;"",A1290='Firm Search'!$C$7),COUNTIF($A$5:A1290,'Firm Search'!$C$7),"")</f>
        <v/>
      </c>
    </row>
    <row r="1291">
      <c r="A1291" s="64" t="n"/>
      <c r="B1291" s="64" t="n"/>
      <c r="C1291" s="66" t="n"/>
      <c r="D1291" s="66" t="n"/>
      <c r="E1291" s="67" t="n"/>
      <c r="F1291" s="67" t="n"/>
      <c r="G1291" s="67" t="n"/>
      <c r="H1291" s="67" t="n"/>
      <c r="I1291" s="67" t="n"/>
      <c r="J1291" s="67" t="n"/>
      <c r="K1291" s="67" t="n"/>
      <c r="L1291" s="67" t="n"/>
      <c r="M1291" s="64" t="n"/>
      <c r="N1291" s="66" t="n"/>
      <c r="O1291" s="84">
        <f>IF(A1291="","",IF(OR(C1291="",D1291=""),"Enter both dates",IF(D1291&lt;C1291,"To is before From",IF(COUNTIFS($P$5:$P$2004,P1291,$C$5:$C$2004,"&lt;="&amp;D1291,$D$5:$D$2004,"&gt;="&amp;C1291)&gt;1,"Overlaps another row","OK"))))</f>
        <v/>
      </c>
      <c r="P1291">
        <f>IF(A1291="","",A1291&amp;"|"&amp;IF(B1291="","Standard",B1291))</f>
        <v/>
      </c>
      <c r="Q1291">
        <f>IF(AND(A1291&lt;&gt;"",A1291='Firm Search'!$C$7),COUNTIF($A$5:A1291,'Firm Search'!$C$7),"")</f>
        <v/>
      </c>
    </row>
    <row r="1292">
      <c r="A1292" s="64" t="n"/>
      <c r="B1292" s="64" t="n"/>
      <c r="C1292" s="66" t="n"/>
      <c r="D1292" s="66" t="n"/>
      <c r="E1292" s="67" t="n"/>
      <c r="F1292" s="67" t="n"/>
      <c r="G1292" s="67" t="n"/>
      <c r="H1292" s="67" t="n"/>
      <c r="I1292" s="67" t="n"/>
      <c r="J1292" s="67" t="n"/>
      <c r="K1292" s="67" t="n"/>
      <c r="L1292" s="67" t="n"/>
      <c r="M1292" s="64" t="n"/>
      <c r="N1292" s="66" t="n"/>
      <c r="O1292" s="84">
        <f>IF(A1292="","",IF(OR(C1292="",D1292=""),"Enter both dates",IF(D1292&lt;C1292,"To is before From",IF(COUNTIFS($P$5:$P$2004,P1292,$C$5:$C$2004,"&lt;="&amp;D1292,$D$5:$D$2004,"&gt;="&amp;C1292)&gt;1,"Overlaps another row","OK"))))</f>
        <v/>
      </c>
      <c r="P1292">
        <f>IF(A1292="","",A1292&amp;"|"&amp;IF(B1292="","Standard",B1292))</f>
        <v/>
      </c>
      <c r="Q1292">
        <f>IF(AND(A1292&lt;&gt;"",A1292='Firm Search'!$C$7),COUNTIF($A$5:A1292,'Firm Search'!$C$7),"")</f>
        <v/>
      </c>
    </row>
    <row r="1293">
      <c r="A1293" s="64" t="n"/>
      <c r="B1293" s="64" t="n"/>
      <c r="C1293" s="66" t="n"/>
      <c r="D1293" s="66" t="n"/>
      <c r="E1293" s="67" t="n"/>
      <c r="F1293" s="67" t="n"/>
      <c r="G1293" s="67" t="n"/>
      <c r="H1293" s="67" t="n"/>
      <c r="I1293" s="67" t="n"/>
      <c r="J1293" s="67" t="n"/>
      <c r="K1293" s="67" t="n"/>
      <c r="L1293" s="67" t="n"/>
      <c r="M1293" s="64" t="n"/>
      <c r="N1293" s="66" t="n"/>
      <c r="O1293" s="84">
        <f>IF(A1293="","",IF(OR(C1293="",D1293=""),"Enter both dates",IF(D1293&lt;C1293,"To is before From",IF(COUNTIFS($P$5:$P$2004,P1293,$C$5:$C$2004,"&lt;="&amp;D1293,$D$5:$D$2004,"&gt;="&amp;C1293)&gt;1,"Overlaps another row","OK"))))</f>
        <v/>
      </c>
      <c r="P1293">
        <f>IF(A1293="","",A1293&amp;"|"&amp;IF(B1293="","Standard",B1293))</f>
        <v/>
      </c>
      <c r="Q1293">
        <f>IF(AND(A1293&lt;&gt;"",A1293='Firm Search'!$C$7),COUNTIF($A$5:A1293,'Firm Search'!$C$7),"")</f>
        <v/>
      </c>
    </row>
    <row r="1294">
      <c r="A1294" s="64" t="n"/>
      <c r="B1294" s="64" t="n"/>
      <c r="C1294" s="66" t="n"/>
      <c r="D1294" s="66" t="n"/>
      <c r="E1294" s="67" t="n"/>
      <c r="F1294" s="67" t="n"/>
      <c r="G1294" s="67" t="n"/>
      <c r="H1294" s="67" t="n"/>
      <c r="I1294" s="67" t="n"/>
      <c r="J1294" s="67" t="n"/>
      <c r="K1294" s="67" t="n"/>
      <c r="L1294" s="67" t="n"/>
      <c r="M1294" s="64" t="n"/>
      <c r="N1294" s="66" t="n"/>
      <c r="O1294" s="84">
        <f>IF(A1294="","",IF(OR(C1294="",D1294=""),"Enter both dates",IF(D1294&lt;C1294,"To is before From",IF(COUNTIFS($P$5:$P$2004,P1294,$C$5:$C$2004,"&lt;="&amp;D1294,$D$5:$D$2004,"&gt;="&amp;C1294)&gt;1,"Overlaps another row","OK"))))</f>
        <v/>
      </c>
      <c r="P1294">
        <f>IF(A1294="","",A1294&amp;"|"&amp;IF(B1294="","Standard",B1294))</f>
        <v/>
      </c>
      <c r="Q1294">
        <f>IF(AND(A1294&lt;&gt;"",A1294='Firm Search'!$C$7),COUNTIF($A$5:A1294,'Firm Search'!$C$7),"")</f>
        <v/>
      </c>
    </row>
    <row r="1295">
      <c r="A1295" s="64" t="n"/>
      <c r="B1295" s="64" t="n"/>
      <c r="C1295" s="66" t="n"/>
      <c r="D1295" s="66" t="n"/>
      <c r="E1295" s="67" t="n"/>
      <c r="F1295" s="67" t="n"/>
      <c r="G1295" s="67" t="n"/>
      <c r="H1295" s="67" t="n"/>
      <c r="I1295" s="67" t="n"/>
      <c r="J1295" s="67" t="n"/>
      <c r="K1295" s="67" t="n"/>
      <c r="L1295" s="67" t="n"/>
      <c r="M1295" s="64" t="n"/>
      <c r="N1295" s="66" t="n"/>
      <c r="O1295" s="84">
        <f>IF(A1295="","",IF(OR(C1295="",D1295=""),"Enter both dates",IF(D1295&lt;C1295,"To is before From",IF(COUNTIFS($P$5:$P$2004,P1295,$C$5:$C$2004,"&lt;="&amp;D1295,$D$5:$D$2004,"&gt;="&amp;C1295)&gt;1,"Overlaps another row","OK"))))</f>
        <v/>
      </c>
      <c r="P1295">
        <f>IF(A1295="","",A1295&amp;"|"&amp;IF(B1295="","Standard",B1295))</f>
        <v/>
      </c>
      <c r="Q1295">
        <f>IF(AND(A1295&lt;&gt;"",A1295='Firm Search'!$C$7),COUNTIF($A$5:A1295,'Firm Search'!$C$7),"")</f>
        <v/>
      </c>
    </row>
    <row r="1296">
      <c r="A1296" s="64" t="n"/>
      <c r="B1296" s="64" t="n"/>
      <c r="C1296" s="66" t="n"/>
      <c r="D1296" s="66" t="n"/>
      <c r="E1296" s="67" t="n"/>
      <c r="F1296" s="67" t="n"/>
      <c r="G1296" s="67" t="n"/>
      <c r="H1296" s="67" t="n"/>
      <c r="I1296" s="67" t="n"/>
      <c r="J1296" s="67" t="n"/>
      <c r="K1296" s="67" t="n"/>
      <c r="L1296" s="67" t="n"/>
      <c r="M1296" s="64" t="n"/>
      <c r="N1296" s="66" t="n"/>
      <c r="O1296" s="84">
        <f>IF(A1296="","",IF(OR(C1296="",D1296=""),"Enter both dates",IF(D1296&lt;C1296,"To is before From",IF(COUNTIFS($P$5:$P$2004,P1296,$C$5:$C$2004,"&lt;="&amp;D1296,$D$5:$D$2004,"&gt;="&amp;C1296)&gt;1,"Overlaps another row","OK"))))</f>
        <v/>
      </c>
      <c r="P1296">
        <f>IF(A1296="","",A1296&amp;"|"&amp;IF(B1296="","Standard",B1296))</f>
        <v/>
      </c>
      <c r="Q1296">
        <f>IF(AND(A1296&lt;&gt;"",A1296='Firm Search'!$C$7),COUNTIF($A$5:A1296,'Firm Search'!$C$7),"")</f>
        <v/>
      </c>
    </row>
    <row r="1297">
      <c r="A1297" s="64" t="n"/>
      <c r="B1297" s="64" t="n"/>
      <c r="C1297" s="66" t="n"/>
      <c r="D1297" s="66" t="n"/>
      <c r="E1297" s="67" t="n"/>
      <c r="F1297" s="67" t="n"/>
      <c r="G1297" s="67" t="n"/>
      <c r="H1297" s="67" t="n"/>
      <c r="I1297" s="67" t="n"/>
      <c r="J1297" s="67" t="n"/>
      <c r="K1297" s="67" t="n"/>
      <c r="L1297" s="67" t="n"/>
      <c r="M1297" s="64" t="n"/>
      <c r="N1297" s="66" t="n"/>
      <c r="O1297" s="84">
        <f>IF(A1297="","",IF(OR(C1297="",D1297=""),"Enter both dates",IF(D1297&lt;C1297,"To is before From",IF(COUNTIFS($P$5:$P$2004,P1297,$C$5:$C$2004,"&lt;="&amp;D1297,$D$5:$D$2004,"&gt;="&amp;C1297)&gt;1,"Overlaps another row","OK"))))</f>
        <v/>
      </c>
      <c r="P1297">
        <f>IF(A1297="","",A1297&amp;"|"&amp;IF(B1297="","Standard",B1297))</f>
        <v/>
      </c>
      <c r="Q1297">
        <f>IF(AND(A1297&lt;&gt;"",A1297='Firm Search'!$C$7),COUNTIF($A$5:A1297,'Firm Search'!$C$7),"")</f>
        <v/>
      </c>
    </row>
    <row r="1298">
      <c r="A1298" s="64" t="n"/>
      <c r="B1298" s="64" t="n"/>
      <c r="C1298" s="66" t="n"/>
      <c r="D1298" s="66" t="n"/>
      <c r="E1298" s="67" t="n"/>
      <c r="F1298" s="67" t="n"/>
      <c r="G1298" s="67" t="n"/>
      <c r="H1298" s="67" t="n"/>
      <c r="I1298" s="67" t="n"/>
      <c r="J1298" s="67" t="n"/>
      <c r="K1298" s="67" t="n"/>
      <c r="L1298" s="67" t="n"/>
      <c r="M1298" s="64" t="n"/>
      <c r="N1298" s="66" t="n"/>
      <c r="O1298" s="84">
        <f>IF(A1298="","",IF(OR(C1298="",D1298=""),"Enter both dates",IF(D1298&lt;C1298,"To is before From",IF(COUNTIFS($P$5:$P$2004,P1298,$C$5:$C$2004,"&lt;="&amp;D1298,$D$5:$D$2004,"&gt;="&amp;C1298)&gt;1,"Overlaps another row","OK"))))</f>
        <v/>
      </c>
      <c r="P1298">
        <f>IF(A1298="","",A1298&amp;"|"&amp;IF(B1298="","Standard",B1298))</f>
        <v/>
      </c>
      <c r="Q1298">
        <f>IF(AND(A1298&lt;&gt;"",A1298='Firm Search'!$C$7),COUNTIF($A$5:A1298,'Firm Search'!$C$7),"")</f>
        <v/>
      </c>
    </row>
    <row r="1299">
      <c r="A1299" s="64" t="n"/>
      <c r="B1299" s="64" t="n"/>
      <c r="C1299" s="66" t="n"/>
      <c r="D1299" s="66" t="n"/>
      <c r="E1299" s="67" t="n"/>
      <c r="F1299" s="67" t="n"/>
      <c r="G1299" s="67" t="n"/>
      <c r="H1299" s="67" t="n"/>
      <c r="I1299" s="67" t="n"/>
      <c r="J1299" s="67" t="n"/>
      <c r="K1299" s="67" t="n"/>
      <c r="L1299" s="67" t="n"/>
      <c r="M1299" s="64" t="n"/>
      <c r="N1299" s="66" t="n"/>
      <c r="O1299" s="84">
        <f>IF(A1299="","",IF(OR(C1299="",D1299=""),"Enter both dates",IF(D1299&lt;C1299,"To is before From",IF(COUNTIFS($P$5:$P$2004,P1299,$C$5:$C$2004,"&lt;="&amp;D1299,$D$5:$D$2004,"&gt;="&amp;C1299)&gt;1,"Overlaps another row","OK"))))</f>
        <v/>
      </c>
      <c r="P1299">
        <f>IF(A1299="","",A1299&amp;"|"&amp;IF(B1299="","Standard",B1299))</f>
        <v/>
      </c>
      <c r="Q1299">
        <f>IF(AND(A1299&lt;&gt;"",A1299='Firm Search'!$C$7),COUNTIF($A$5:A1299,'Firm Search'!$C$7),"")</f>
        <v/>
      </c>
    </row>
    <row r="1300">
      <c r="A1300" s="64" t="n"/>
      <c r="B1300" s="64" t="n"/>
      <c r="C1300" s="66" t="n"/>
      <c r="D1300" s="66" t="n"/>
      <c r="E1300" s="67" t="n"/>
      <c r="F1300" s="67" t="n"/>
      <c r="G1300" s="67" t="n"/>
      <c r="H1300" s="67" t="n"/>
      <c r="I1300" s="67" t="n"/>
      <c r="J1300" s="67" t="n"/>
      <c r="K1300" s="67" t="n"/>
      <c r="L1300" s="67" t="n"/>
      <c r="M1300" s="64" t="n"/>
      <c r="N1300" s="66" t="n"/>
      <c r="O1300" s="84">
        <f>IF(A1300="","",IF(OR(C1300="",D1300=""),"Enter both dates",IF(D1300&lt;C1300,"To is before From",IF(COUNTIFS($P$5:$P$2004,P1300,$C$5:$C$2004,"&lt;="&amp;D1300,$D$5:$D$2004,"&gt;="&amp;C1300)&gt;1,"Overlaps another row","OK"))))</f>
        <v/>
      </c>
      <c r="P1300">
        <f>IF(A1300="","",A1300&amp;"|"&amp;IF(B1300="","Standard",B1300))</f>
        <v/>
      </c>
      <c r="Q1300">
        <f>IF(AND(A1300&lt;&gt;"",A1300='Firm Search'!$C$7),COUNTIF($A$5:A1300,'Firm Search'!$C$7),"")</f>
        <v/>
      </c>
    </row>
    <row r="1301">
      <c r="A1301" s="64" t="n"/>
      <c r="B1301" s="64" t="n"/>
      <c r="C1301" s="66" t="n"/>
      <c r="D1301" s="66" t="n"/>
      <c r="E1301" s="67" t="n"/>
      <c r="F1301" s="67" t="n"/>
      <c r="G1301" s="67" t="n"/>
      <c r="H1301" s="67" t="n"/>
      <c r="I1301" s="67" t="n"/>
      <c r="J1301" s="67" t="n"/>
      <c r="K1301" s="67" t="n"/>
      <c r="L1301" s="67" t="n"/>
      <c r="M1301" s="64" t="n"/>
      <c r="N1301" s="66" t="n"/>
      <c r="O1301" s="84">
        <f>IF(A1301="","",IF(OR(C1301="",D1301=""),"Enter both dates",IF(D1301&lt;C1301,"To is before From",IF(COUNTIFS($P$5:$P$2004,P1301,$C$5:$C$2004,"&lt;="&amp;D1301,$D$5:$D$2004,"&gt;="&amp;C1301)&gt;1,"Overlaps another row","OK"))))</f>
        <v/>
      </c>
      <c r="P1301">
        <f>IF(A1301="","",A1301&amp;"|"&amp;IF(B1301="","Standard",B1301))</f>
        <v/>
      </c>
      <c r="Q1301">
        <f>IF(AND(A1301&lt;&gt;"",A1301='Firm Search'!$C$7),COUNTIF($A$5:A1301,'Firm Search'!$C$7),"")</f>
        <v/>
      </c>
    </row>
    <row r="1302">
      <c r="A1302" s="64" t="n"/>
      <c r="B1302" s="64" t="n"/>
      <c r="C1302" s="66" t="n"/>
      <c r="D1302" s="66" t="n"/>
      <c r="E1302" s="67" t="n"/>
      <c r="F1302" s="67" t="n"/>
      <c r="G1302" s="67" t="n"/>
      <c r="H1302" s="67" t="n"/>
      <c r="I1302" s="67" t="n"/>
      <c r="J1302" s="67" t="n"/>
      <c r="K1302" s="67" t="n"/>
      <c r="L1302" s="67" t="n"/>
      <c r="M1302" s="64" t="n"/>
      <c r="N1302" s="66" t="n"/>
      <c r="O1302" s="84">
        <f>IF(A1302="","",IF(OR(C1302="",D1302=""),"Enter both dates",IF(D1302&lt;C1302,"To is before From",IF(COUNTIFS($P$5:$P$2004,P1302,$C$5:$C$2004,"&lt;="&amp;D1302,$D$5:$D$2004,"&gt;="&amp;C1302)&gt;1,"Overlaps another row","OK"))))</f>
        <v/>
      </c>
      <c r="P1302">
        <f>IF(A1302="","",A1302&amp;"|"&amp;IF(B1302="","Standard",B1302))</f>
        <v/>
      </c>
      <c r="Q1302">
        <f>IF(AND(A1302&lt;&gt;"",A1302='Firm Search'!$C$7),COUNTIF($A$5:A1302,'Firm Search'!$C$7),"")</f>
        <v/>
      </c>
    </row>
    <row r="1303">
      <c r="A1303" s="64" t="n"/>
      <c r="B1303" s="64" t="n"/>
      <c r="C1303" s="66" t="n"/>
      <c r="D1303" s="66" t="n"/>
      <c r="E1303" s="67" t="n"/>
      <c r="F1303" s="67" t="n"/>
      <c r="G1303" s="67" t="n"/>
      <c r="H1303" s="67" t="n"/>
      <c r="I1303" s="67" t="n"/>
      <c r="J1303" s="67" t="n"/>
      <c r="K1303" s="67" t="n"/>
      <c r="L1303" s="67" t="n"/>
      <c r="M1303" s="64" t="n"/>
      <c r="N1303" s="66" t="n"/>
      <c r="O1303" s="84">
        <f>IF(A1303="","",IF(OR(C1303="",D1303=""),"Enter both dates",IF(D1303&lt;C1303,"To is before From",IF(COUNTIFS($P$5:$P$2004,P1303,$C$5:$C$2004,"&lt;="&amp;D1303,$D$5:$D$2004,"&gt;="&amp;C1303)&gt;1,"Overlaps another row","OK"))))</f>
        <v/>
      </c>
      <c r="P1303">
        <f>IF(A1303="","",A1303&amp;"|"&amp;IF(B1303="","Standard",B1303))</f>
        <v/>
      </c>
      <c r="Q1303">
        <f>IF(AND(A1303&lt;&gt;"",A1303='Firm Search'!$C$7),COUNTIF($A$5:A1303,'Firm Search'!$C$7),"")</f>
        <v/>
      </c>
    </row>
    <row r="1304">
      <c r="A1304" s="64" t="n"/>
      <c r="B1304" s="64" t="n"/>
      <c r="C1304" s="66" t="n"/>
      <c r="D1304" s="66" t="n"/>
      <c r="E1304" s="67" t="n"/>
      <c r="F1304" s="67" t="n"/>
      <c r="G1304" s="67" t="n"/>
      <c r="H1304" s="67" t="n"/>
      <c r="I1304" s="67" t="n"/>
      <c r="J1304" s="67" t="n"/>
      <c r="K1304" s="67" t="n"/>
      <c r="L1304" s="67" t="n"/>
      <c r="M1304" s="64" t="n"/>
      <c r="N1304" s="66" t="n"/>
      <c r="O1304" s="84">
        <f>IF(A1304="","",IF(OR(C1304="",D1304=""),"Enter both dates",IF(D1304&lt;C1304,"To is before From",IF(COUNTIFS($P$5:$P$2004,P1304,$C$5:$C$2004,"&lt;="&amp;D1304,$D$5:$D$2004,"&gt;="&amp;C1304)&gt;1,"Overlaps another row","OK"))))</f>
        <v/>
      </c>
      <c r="P1304">
        <f>IF(A1304="","",A1304&amp;"|"&amp;IF(B1304="","Standard",B1304))</f>
        <v/>
      </c>
      <c r="Q1304">
        <f>IF(AND(A1304&lt;&gt;"",A1304='Firm Search'!$C$7),COUNTIF($A$5:A1304,'Firm Search'!$C$7),"")</f>
        <v/>
      </c>
    </row>
    <row r="1305">
      <c r="A1305" s="64" t="n"/>
      <c r="B1305" s="64" t="n"/>
      <c r="C1305" s="66" t="n"/>
      <c r="D1305" s="66" t="n"/>
      <c r="E1305" s="67" t="n"/>
      <c r="F1305" s="67" t="n"/>
      <c r="G1305" s="67" t="n"/>
      <c r="H1305" s="67" t="n"/>
      <c r="I1305" s="67" t="n"/>
      <c r="J1305" s="67" t="n"/>
      <c r="K1305" s="67" t="n"/>
      <c r="L1305" s="67" t="n"/>
      <c r="M1305" s="64" t="n"/>
      <c r="N1305" s="66" t="n"/>
      <c r="O1305" s="84">
        <f>IF(A1305="","",IF(OR(C1305="",D1305=""),"Enter both dates",IF(D1305&lt;C1305,"To is before From",IF(COUNTIFS($P$5:$P$2004,P1305,$C$5:$C$2004,"&lt;="&amp;D1305,$D$5:$D$2004,"&gt;="&amp;C1305)&gt;1,"Overlaps another row","OK"))))</f>
        <v/>
      </c>
      <c r="P1305">
        <f>IF(A1305="","",A1305&amp;"|"&amp;IF(B1305="","Standard",B1305))</f>
        <v/>
      </c>
      <c r="Q1305">
        <f>IF(AND(A1305&lt;&gt;"",A1305='Firm Search'!$C$7),COUNTIF($A$5:A1305,'Firm Search'!$C$7),"")</f>
        <v/>
      </c>
    </row>
    <row r="1306">
      <c r="A1306" s="64" t="n"/>
      <c r="B1306" s="64" t="n"/>
      <c r="C1306" s="66" t="n"/>
      <c r="D1306" s="66" t="n"/>
      <c r="E1306" s="67" t="n"/>
      <c r="F1306" s="67" t="n"/>
      <c r="G1306" s="67" t="n"/>
      <c r="H1306" s="67" t="n"/>
      <c r="I1306" s="67" t="n"/>
      <c r="J1306" s="67" t="n"/>
      <c r="K1306" s="67" t="n"/>
      <c r="L1306" s="67" t="n"/>
      <c r="M1306" s="64" t="n"/>
      <c r="N1306" s="66" t="n"/>
      <c r="O1306" s="84">
        <f>IF(A1306="","",IF(OR(C1306="",D1306=""),"Enter both dates",IF(D1306&lt;C1306,"To is before From",IF(COUNTIFS($P$5:$P$2004,P1306,$C$5:$C$2004,"&lt;="&amp;D1306,$D$5:$D$2004,"&gt;="&amp;C1306)&gt;1,"Overlaps another row","OK"))))</f>
        <v/>
      </c>
      <c r="P1306">
        <f>IF(A1306="","",A1306&amp;"|"&amp;IF(B1306="","Standard",B1306))</f>
        <v/>
      </c>
      <c r="Q1306">
        <f>IF(AND(A1306&lt;&gt;"",A1306='Firm Search'!$C$7),COUNTIF($A$5:A1306,'Firm Search'!$C$7),"")</f>
        <v/>
      </c>
    </row>
    <row r="1307">
      <c r="A1307" s="64" t="n"/>
      <c r="B1307" s="64" t="n"/>
      <c r="C1307" s="66" t="n"/>
      <c r="D1307" s="66" t="n"/>
      <c r="E1307" s="67" t="n"/>
      <c r="F1307" s="67" t="n"/>
      <c r="G1307" s="67" t="n"/>
      <c r="H1307" s="67" t="n"/>
      <c r="I1307" s="67" t="n"/>
      <c r="J1307" s="67" t="n"/>
      <c r="K1307" s="67" t="n"/>
      <c r="L1307" s="67" t="n"/>
      <c r="M1307" s="64" t="n"/>
      <c r="N1307" s="66" t="n"/>
      <c r="O1307" s="84">
        <f>IF(A1307="","",IF(OR(C1307="",D1307=""),"Enter both dates",IF(D1307&lt;C1307,"To is before From",IF(COUNTIFS($P$5:$P$2004,P1307,$C$5:$C$2004,"&lt;="&amp;D1307,$D$5:$D$2004,"&gt;="&amp;C1307)&gt;1,"Overlaps another row","OK"))))</f>
        <v/>
      </c>
      <c r="P1307">
        <f>IF(A1307="","",A1307&amp;"|"&amp;IF(B1307="","Standard",B1307))</f>
        <v/>
      </c>
      <c r="Q1307">
        <f>IF(AND(A1307&lt;&gt;"",A1307='Firm Search'!$C$7),COUNTIF($A$5:A1307,'Firm Search'!$C$7),"")</f>
        <v/>
      </c>
    </row>
    <row r="1308">
      <c r="A1308" s="64" t="n"/>
      <c r="B1308" s="64" t="n"/>
      <c r="C1308" s="66" t="n"/>
      <c r="D1308" s="66" t="n"/>
      <c r="E1308" s="67" t="n"/>
      <c r="F1308" s="67" t="n"/>
      <c r="G1308" s="67" t="n"/>
      <c r="H1308" s="67" t="n"/>
      <c r="I1308" s="67" t="n"/>
      <c r="J1308" s="67" t="n"/>
      <c r="K1308" s="67" t="n"/>
      <c r="L1308" s="67" t="n"/>
      <c r="M1308" s="64" t="n"/>
      <c r="N1308" s="66" t="n"/>
      <c r="O1308" s="84">
        <f>IF(A1308="","",IF(OR(C1308="",D1308=""),"Enter both dates",IF(D1308&lt;C1308,"To is before From",IF(COUNTIFS($P$5:$P$2004,P1308,$C$5:$C$2004,"&lt;="&amp;D1308,$D$5:$D$2004,"&gt;="&amp;C1308)&gt;1,"Overlaps another row","OK"))))</f>
        <v/>
      </c>
      <c r="P1308">
        <f>IF(A1308="","",A1308&amp;"|"&amp;IF(B1308="","Standard",B1308))</f>
        <v/>
      </c>
      <c r="Q1308">
        <f>IF(AND(A1308&lt;&gt;"",A1308='Firm Search'!$C$7),COUNTIF($A$5:A1308,'Firm Search'!$C$7),"")</f>
        <v/>
      </c>
    </row>
    <row r="1309">
      <c r="A1309" s="64" t="n"/>
      <c r="B1309" s="64" t="n"/>
      <c r="C1309" s="66" t="n"/>
      <c r="D1309" s="66" t="n"/>
      <c r="E1309" s="67" t="n"/>
      <c r="F1309" s="67" t="n"/>
      <c r="G1309" s="67" t="n"/>
      <c r="H1309" s="67" t="n"/>
      <c r="I1309" s="67" t="n"/>
      <c r="J1309" s="67" t="n"/>
      <c r="K1309" s="67" t="n"/>
      <c r="L1309" s="67" t="n"/>
      <c r="M1309" s="64" t="n"/>
      <c r="N1309" s="66" t="n"/>
      <c r="O1309" s="84">
        <f>IF(A1309="","",IF(OR(C1309="",D1309=""),"Enter both dates",IF(D1309&lt;C1309,"To is before From",IF(COUNTIFS($P$5:$P$2004,P1309,$C$5:$C$2004,"&lt;="&amp;D1309,$D$5:$D$2004,"&gt;="&amp;C1309)&gt;1,"Overlaps another row","OK"))))</f>
        <v/>
      </c>
      <c r="P1309">
        <f>IF(A1309="","",A1309&amp;"|"&amp;IF(B1309="","Standard",B1309))</f>
        <v/>
      </c>
      <c r="Q1309">
        <f>IF(AND(A1309&lt;&gt;"",A1309='Firm Search'!$C$7),COUNTIF($A$5:A1309,'Firm Search'!$C$7),"")</f>
        <v/>
      </c>
    </row>
    <row r="1310">
      <c r="A1310" s="64" t="n"/>
      <c r="B1310" s="64" t="n"/>
      <c r="C1310" s="66" t="n"/>
      <c r="D1310" s="66" t="n"/>
      <c r="E1310" s="67" t="n"/>
      <c r="F1310" s="67" t="n"/>
      <c r="G1310" s="67" t="n"/>
      <c r="H1310" s="67" t="n"/>
      <c r="I1310" s="67" t="n"/>
      <c r="J1310" s="67" t="n"/>
      <c r="K1310" s="67" t="n"/>
      <c r="L1310" s="67" t="n"/>
      <c r="M1310" s="64" t="n"/>
      <c r="N1310" s="66" t="n"/>
      <c r="O1310" s="84">
        <f>IF(A1310="","",IF(OR(C1310="",D1310=""),"Enter both dates",IF(D1310&lt;C1310,"To is before From",IF(COUNTIFS($P$5:$P$2004,P1310,$C$5:$C$2004,"&lt;="&amp;D1310,$D$5:$D$2004,"&gt;="&amp;C1310)&gt;1,"Overlaps another row","OK"))))</f>
        <v/>
      </c>
      <c r="P1310">
        <f>IF(A1310="","",A1310&amp;"|"&amp;IF(B1310="","Standard",B1310))</f>
        <v/>
      </c>
      <c r="Q1310">
        <f>IF(AND(A1310&lt;&gt;"",A1310='Firm Search'!$C$7),COUNTIF($A$5:A1310,'Firm Search'!$C$7),"")</f>
        <v/>
      </c>
    </row>
    <row r="1311">
      <c r="A1311" s="64" t="n"/>
      <c r="B1311" s="64" t="n"/>
      <c r="C1311" s="66" t="n"/>
      <c r="D1311" s="66" t="n"/>
      <c r="E1311" s="67" t="n"/>
      <c r="F1311" s="67" t="n"/>
      <c r="G1311" s="67" t="n"/>
      <c r="H1311" s="67" t="n"/>
      <c r="I1311" s="67" t="n"/>
      <c r="J1311" s="67" t="n"/>
      <c r="K1311" s="67" t="n"/>
      <c r="L1311" s="67" t="n"/>
      <c r="M1311" s="64" t="n"/>
      <c r="N1311" s="66" t="n"/>
      <c r="O1311" s="84">
        <f>IF(A1311="","",IF(OR(C1311="",D1311=""),"Enter both dates",IF(D1311&lt;C1311,"To is before From",IF(COUNTIFS($P$5:$P$2004,P1311,$C$5:$C$2004,"&lt;="&amp;D1311,$D$5:$D$2004,"&gt;="&amp;C1311)&gt;1,"Overlaps another row","OK"))))</f>
        <v/>
      </c>
      <c r="P1311">
        <f>IF(A1311="","",A1311&amp;"|"&amp;IF(B1311="","Standard",B1311))</f>
        <v/>
      </c>
      <c r="Q1311">
        <f>IF(AND(A1311&lt;&gt;"",A1311='Firm Search'!$C$7),COUNTIF($A$5:A1311,'Firm Search'!$C$7),"")</f>
        <v/>
      </c>
    </row>
    <row r="1312">
      <c r="A1312" s="64" t="n"/>
      <c r="B1312" s="64" t="n"/>
      <c r="C1312" s="66" t="n"/>
      <c r="D1312" s="66" t="n"/>
      <c r="E1312" s="67" t="n"/>
      <c r="F1312" s="67" t="n"/>
      <c r="G1312" s="67" t="n"/>
      <c r="H1312" s="67" t="n"/>
      <c r="I1312" s="67" t="n"/>
      <c r="J1312" s="67" t="n"/>
      <c r="K1312" s="67" t="n"/>
      <c r="L1312" s="67" t="n"/>
      <c r="M1312" s="64" t="n"/>
      <c r="N1312" s="66" t="n"/>
      <c r="O1312" s="84">
        <f>IF(A1312="","",IF(OR(C1312="",D1312=""),"Enter both dates",IF(D1312&lt;C1312,"To is before From",IF(COUNTIFS($P$5:$P$2004,P1312,$C$5:$C$2004,"&lt;="&amp;D1312,$D$5:$D$2004,"&gt;="&amp;C1312)&gt;1,"Overlaps another row","OK"))))</f>
        <v/>
      </c>
      <c r="P1312">
        <f>IF(A1312="","",A1312&amp;"|"&amp;IF(B1312="","Standard",B1312))</f>
        <v/>
      </c>
      <c r="Q1312">
        <f>IF(AND(A1312&lt;&gt;"",A1312='Firm Search'!$C$7),COUNTIF($A$5:A1312,'Firm Search'!$C$7),"")</f>
        <v/>
      </c>
    </row>
    <row r="1313">
      <c r="A1313" s="64" t="n"/>
      <c r="B1313" s="64" t="n"/>
      <c r="C1313" s="66" t="n"/>
      <c r="D1313" s="66" t="n"/>
      <c r="E1313" s="67" t="n"/>
      <c r="F1313" s="67" t="n"/>
      <c r="G1313" s="67" t="n"/>
      <c r="H1313" s="67" t="n"/>
      <c r="I1313" s="67" t="n"/>
      <c r="J1313" s="67" t="n"/>
      <c r="K1313" s="67" t="n"/>
      <c r="L1313" s="67" t="n"/>
      <c r="M1313" s="64" t="n"/>
      <c r="N1313" s="66" t="n"/>
      <c r="O1313" s="84">
        <f>IF(A1313="","",IF(OR(C1313="",D1313=""),"Enter both dates",IF(D1313&lt;C1313,"To is before From",IF(COUNTIFS($P$5:$P$2004,P1313,$C$5:$C$2004,"&lt;="&amp;D1313,$D$5:$D$2004,"&gt;="&amp;C1313)&gt;1,"Overlaps another row","OK"))))</f>
        <v/>
      </c>
      <c r="P1313">
        <f>IF(A1313="","",A1313&amp;"|"&amp;IF(B1313="","Standard",B1313))</f>
        <v/>
      </c>
      <c r="Q1313">
        <f>IF(AND(A1313&lt;&gt;"",A1313='Firm Search'!$C$7),COUNTIF($A$5:A1313,'Firm Search'!$C$7),"")</f>
        <v/>
      </c>
    </row>
    <row r="1314">
      <c r="A1314" s="64" t="n"/>
      <c r="B1314" s="64" t="n"/>
      <c r="C1314" s="66" t="n"/>
      <c r="D1314" s="66" t="n"/>
      <c r="E1314" s="67" t="n"/>
      <c r="F1314" s="67" t="n"/>
      <c r="G1314" s="67" t="n"/>
      <c r="H1314" s="67" t="n"/>
      <c r="I1314" s="67" t="n"/>
      <c r="J1314" s="67" t="n"/>
      <c r="K1314" s="67" t="n"/>
      <c r="L1314" s="67" t="n"/>
      <c r="M1314" s="64" t="n"/>
      <c r="N1314" s="66" t="n"/>
      <c r="O1314" s="84">
        <f>IF(A1314="","",IF(OR(C1314="",D1314=""),"Enter both dates",IF(D1314&lt;C1314,"To is before From",IF(COUNTIFS($P$5:$P$2004,P1314,$C$5:$C$2004,"&lt;="&amp;D1314,$D$5:$D$2004,"&gt;="&amp;C1314)&gt;1,"Overlaps another row","OK"))))</f>
        <v/>
      </c>
      <c r="P1314">
        <f>IF(A1314="","",A1314&amp;"|"&amp;IF(B1314="","Standard",B1314))</f>
        <v/>
      </c>
      <c r="Q1314">
        <f>IF(AND(A1314&lt;&gt;"",A1314='Firm Search'!$C$7),COUNTIF($A$5:A1314,'Firm Search'!$C$7),"")</f>
        <v/>
      </c>
    </row>
    <row r="1315">
      <c r="A1315" s="64" t="n"/>
      <c r="B1315" s="64" t="n"/>
      <c r="C1315" s="66" t="n"/>
      <c r="D1315" s="66" t="n"/>
      <c r="E1315" s="67" t="n"/>
      <c r="F1315" s="67" t="n"/>
      <c r="G1315" s="67" t="n"/>
      <c r="H1315" s="67" t="n"/>
      <c r="I1315" s="67" t="n"/>
      <c r="J1315" s="67" t="n"/>
      <c r="K1315" s="67" t="n"/>
      <c r="L1315" s="67" t="n"/>
      <c r="M1315" s="64" t="n"/>
      <c r="N1315" s="66" t="n"/>
      <c r="O1315" s="84">
        <f>IF(A1315="","",IF(OR(C1315="",D1315=""),"Enter both dates",IF(D1315&lt;C1315,"To is before From",IF(COUNTIFS($P$5:$P$2004,P1315,$C$5:$C$2004,"&lt;="&amp;D1315,$D$5:$D$2004,"&gt;="&amp;C1315)&gt;1,"Overlaps another row","OK"))))</f>
        <v/>
      </c>
      <c r="P1315">
        <f>IF(A1315="","",A1315&amp;"|"&amp;IF(B1315="","Standard",B1315))</f>
        <v/>
      </c>
      <c r="Q1315">
        <f>IF(AND(A1315&lt;&gt;"",A1315='Firm Search'!$C$7),COUNTIF($A$5:A1315,'Firm Search'!$C$7),"")</f>
        <v/>
      </c>
    </row>
    <row r="1316">
      <c r="A1316" s="64" t="n"/>
      <c r="B1316" s="64" t="n"/>
      <c r="C1316" s="66" t="n"/>
      <c r="D1316" s="66" t="n"/>
      <c r="E1316" s="67" t="n"/>
      <c r="F1316" s="67" t="n"/>
      <c r="G1316" s="67" t="n"/>
      <c r="H1316" s="67" t="n"/>
      <c r="I1316" s="67" t="n"/>
      <c r="J1316" s="67" t="n"/>
      <c r="K1316" s="67" t="n"/>
      <c r="L1316" s="67" t="n"/>
      <c r="M1316" s="64" t="n"/>
      <c r="N1316" s="66" t="n"/>
      <c r="O1316" s="84">
        <f>IF(A1316="","",IF(OR(C1316="",D1316=""),"Enter both dates",IF(D1316&lt;C1316,"To is before From",IF(COUNTIFS($P$5:$P$2004,P1316,$C$5:$C$2004,"&lt;="&amp;D1316,$D$5:$D$2004,"&gt;="&amp;C1316)&gt;1,"Overlaps another row","OK"))))</f>
        <v/>
      </c>
      <c r="P1316">
        <f>IF(A1316="","",A1316&amp;"|"&amp;IF(B1316="","Standard",B1316))</f>
        <v/>
      </c>
      <c r="Q1316">
        <f>IF(AND(A1316&lt;&gt;"",A1316='Firm Search'!$C$7),COUNTIF($A$5:A1316,'Firm Search'!$C$7),"")</f>
        <v/>
      </c>
    </row>
    <row r="1317">
      <c r="A1317" s="64" t="n"/>
      <c r="B1317" s="64" t="n"/>
      <c r="C1317" s="66" t="n"/>
      <c r="D1317" s="66" t="n"/>
      <c r="E1317" s="67" t="n"/>
      <c r="F1317" s="67" t="n"/>
      <c r="G1317" s="67" t="n"/>
      <c r="H1317" s="67" t="n"/>
      <c r="I1317" s="67" t="n"/>
      <c r="J1317" s="67" t="n"/>
      <c r="K1317" s="67" t="n"/>
      <c r="L1317" s="67" t="n"/>
      <c r="M1317" s="64" t="n"/>
      <c r="N1317" s="66" t="n"/>
      <c r="O1317" s="84">
        <f>IF(A1317="","",IF(OR(C1317="",D1317=""),"Enter both dates",IF(D1317&lt;C1317,"To is before From",IF(COUNTIFS($P$5:$P$2004,P1317,$C$5:$C$2004,"&lt;="&amp;D1317,$D$5:$D$2004,"&gt;="&amp;C1317)&gt;1,"Overlaps another row","OK"))))</f>
        <v/>
      </c>
      <c r="P1317">
        <f>IF(A1317="","",A1317&amp;"|"&amp;IF(B1317="","Standard",B1317))</f>
        <v/>
      </c>
      <c r="Q1317">
        <f>IF(AND(A1317&lt;&gt;"",A1317='Firm Search'!$C$7),COUNTIF($A$5:A1317,'Firm Search'!$C$7),"")</f>
        <v/>
      </c>
    </row>
    <row r="1318">
      <c r="A1318" s="64" t="n"/>
      <c r="B1318" s="64" t="n"/>
      <c r="C1318" s="66" t="n"/>
      <c r="D1318" s="66" t="n"/>
      <c r="E1318" s="67" t="n"/>
      <c r="F1318" s="67" t="n"/>
      <c r="G1318" s="67" t="n"/>
      <c r="H1318" s="67" t="n"/>
      <c r="I1318" s="67" t="n"/>
      <c r="J1318" s="67" t="n"/>
      <c r="K1318" s="67" t="n"/>
      <c r="L1318" s="67" t="n"/>
      <c r="M1318" s="64" t="n"/>
      <c r="N1318" s="66" t="n"/>
      <c r="O1318" s="84">
        <f>IF(A1318="","",IF(OR(C1318="",D1318=""),"Enter both dates",IF(D1318&lt;C1318,"To is before From",IF(COUNTIFS($P$5:$P$2004,P1318,$C$5:$C$2004,"&lt;="&amp;D1318,$D$5:$D$2004,"&gt;="&amp;C1318)&gt;1,"Overlaps another row","OK"))))</f>
        <v/>
      </c>
      <c r="P1318">
        <f>IF(A1318="","",A1318&amp;"|"&amp;IF(B1318="","Standard",B1318))</f>
        <v/>
      </c>
      <c r="Q1318">
        <f>IF(AND(A1318&lt;&gt;"",A1318='Firm Search'!$C$7),COUNTIF($A$5:A1318,'Firm Search'!$C$7),"")</f>
        <v/>
      </c>
    </row>
    <row r="1319">
      <c r="A1319" s="64" t="n"/>
      <c r="B1319" s="64" t="n"/>
      <c r="C1319" s="66" t="n"/>
      <c r="D1319" s="66" t="n"/>
      <c r="E1319" s="67" t="n"/>
      <c r="F1319" s="67" t="n"/>
      <c r="G1319" s="67" t="n"/>
      <c r="H1319" s="67" t="n"/>
      <c r="I1319" s="67" t="n"/>
      <c r="J1319" s="67" t="n"/>
      <c r="K1319" s="67" t="n"/>
      <c r="L1319" s="67" t="n"/>
      <c r="M1319" s="64" t="n"/>
      <c r="N1319" s="66" t="n"/>
      <c r="O1319" s="84">
        <f>IF(A1319="","",IF(OR(C1319="",D1319=""),"Enter both dates",IF(D1319&lt;C1319,"To is before From",IF(COUNTIFS($P$5:$P$2004,P1319,$C$5:$C$2004,"&lt;="&amp;D1319,$D$5:$D$2004,"&gt;="&amp;C1319)&gt;1,"Overlaps another row","OK"))))</f>
        <v/>
      </c>
      <c r="P1319">
        <f>IF(A1319="","",A1319&amp;"|"&amp;IF(B1319="","Standard",B1319))</f>
        <v/>
      </c>
      <c r="Q1319">
        <f>IF(AND(A1319&lt;&gt;"",A1319='Firm Search'!$C$7),COUNTIF($A$5:A1319,'Firm Search'!$C$7),"")</f>
        <v/>
      </c>
    </row>
    <row r="1320">
      <c r="A1320" s="64" t="n"/>
      <c r="B1320" s="64" t="n"/>
      <c r="C1320" s="66" t="n"/>
      <c r="D1320" s="66" t="n"/>
      <c r="E1320" s="67" t="n"/>
      <c r="F1320" s="67" t="n"/>
      <c r="G1320" s="67" t="n"/>
      <c r="H1320" s="67" t="n"/>
      <c r="I1320" s="67" t="n"/>
      <c r="J1320" s="67" t="n"/>
      <c r="K1320" s="67" t="n"/>
      <c r="L1320" s="67" t="n"/>
      <c r="M1320" s="64" t="n"/>
      <c r="N1320" s="66" t="n"/>
      <c r="O1320" s="84">
        <f>IF(A1320="","",IF(OR(C1320="",D1320=""),"Enter both dates",IF(D1320&lt;C1320,"To is before From",IF(COUNTIFS($P$5:$P$2004,P1320,$C$5:$C$2004,"&lt;="&amp;D1320,$D$5:$D$2004,"&gt;="&amp;C1320)&gt;1,"Overlaps another row","OK"))))</f>
        <v/>
      </c>
      <c r="P1320">
        <f>IF(A1320="","",A1320&amp;"|"&amp;IF(B1320="","Standard",B1320))</f>
        <v/>
      </c>
      <c r="Q1320">
        <f>IF(AND(A1320&lt;&gt;"",A1320='Firm Search'!$C$7),COUNTIF($A$5:A1320,'Firm Search'!$C$7),"")</f>
        <v/>
      </c>
    </row>
    <row r="1321">
      <c r="A1321" s="64" t="n"/>
      <c r="B1321" s="64" t="n"/>
      <c r="C1321" s="66" t="n"/>
      <c r="D1321" s="66" t="n"/>
      <c r="E1321" s="67" t="n"/>
      <c r="F1321" s="67" t="n"/>
      <c r="G1321" s="67" t="n"/>
      <c r="H1321" s="67" t="n"/>
      <c r="I1321" s="67" t="n"/>
      <c r="J1321" s="67" t="n"/>
      <c r="K1321" s="67" t="n"/>
      <c r="L1321" s="67" t="n"/>
      <c r="M1321" s="64" t="n"/>
      <c r="N1321" s="66" t="n"/>
      <c r="O1321" s="84">
        <f>IF(A1321="","",IF(OR(C1321="",D1321=""),"Enter both dates",IF(D1321&lt;C1321,"To is before From",IF(COUNTIFS($P$5:$P$2004,P1321,$C$5:$C$2004,"&lt;="&amp;D1321,$D$5:$D$2004,"&gt;="&amp;C1321)&gt;1,"Overlaps another row","OK"))))</f>
        <v/>
      </c>
      <c r="P1321">
        <f>IF(A1321="","",A1321&amp;"|"&amp;IF(B1321="","Standard",B1321))</f>
        <v/>
      </c>
      <c r="Q1321">
        <f>IF(AND(A1321&lt;&gt;"",A1321='Firm Search'!$C$7),COUNTIF($A$5:A1321,'Firm Search'!$C$7),"")</f>
        <v/>
      </c>
    </row>
    <row r="1322">
      <c r="A1322" s="64" t="n"/>
      <c r="B1322" s="64" t="n"/>
      <c r="C1322" s="66" t="n"/>
      <c r="D1322" s="66" t="n"/>
      <c r="E1322" s="67" t="n"/>
      <c r="F1322" s="67" t="n"/>
      <c r="G1322" s="67" t="n"/>
      <c r="H1322" s="67" t="n"/>
      <c r="I1322" s="67" t="n"/>
      <c r="J1322" s="67" t="n"/>
      <c r="K1322" s="67" t="n"/>
      <c r="L1322" s="67" t="n"/>
      <c r="M1322" s="64" t="n"/>
      <c r="N1322" s="66" t="n"/>
      <c r="O1322" s="84">
        <f>IF(A1322="","",IF(OR(C1322="",D1322=""),"Enter both dates",IF(D1322&lt;C1322,"To is before From",IF(COUNTIFS($P$5:$P$2004,P1322,$C$5:$C$2004,"&lt;="&amp;D1322,$D$5:$D$2004,"&gt;="&amp;C1322)&gt;1,"Overlaps another row","OK"))))</f>
        <v/>
      </c>
      <c r="P1322">
        <f>IF(A1322="","",A1322&amp;"|"&amp;IF(B1322="","Standard",B1322))</f>
        <v/>
      </c>
      <c r="Q1322">
        <f>IF(AND(A1322&lt;&gt;"",A1322='Firm Search'!$C$7),COUNTIF($A$5:A1322,'Firm Search'!$C$7),"")</f>
        <v/>
      </c>
    </row>
    <row r="1323">
      <c r="A1323" s="64" t="n"/>
      <c r="B1323" s="64" t="n"/>
      <c r="C1323" s="66" t="n"/>
      <c r="D1323" s="66" t="n"/>
      <c r="E1323" s="67" t="n"/>
      <c r="F1323" s="67" t="n"/>
      <c r="G1323" s="67" t="n"/>
      <c r="H1323" s="67" t="n"/>
      <c r="I1323" s="67" t="n"/>
      <c r="J1323" s="67" t="n"/>
      <c r="K1323" s="67" t="n"/>
      <c r="L1323" s="67" t="n"/>
      <c r="M1323" s="64" t="n"/>
      <c r="N1323" s="66" t="n"/>
      <c r="O1323" s="84">
        <f>IF(A1323="","",IF(OR(C1323="",D1323=""),"Enter both dates",IF(D1323&lt;C1323,"To is before From",IF(COUNTIFS($P$5:$P$2004,P1323,$C$5:$C$2004,"&lt;="&amp;D1323,$D$5:$D$2004,"&gt;="&amp;C1323)&gt;1,"Overlaps another row","OK"))))</f>
        <v/>
      </c>
      <c r="P1323">
        <f>IF(A1323="","",A1323&amp;"|"&amp;IF(B1323="","Standard",B1323))</f>
        <v/>
      </c>
      <c r="Q1323">
        <f>IF(AND(A1323&lt;&gt;"",A1323='Firm Search'!$C$7),COUNTIF($A$5:A1323,'Firm Search'!$C$7),"")</f>
        <v/>
      </c>
    </row>
    <row r="1324">
      <c r="A1324" s="64" t="n"/>
      <c r="B1324" s="64" t="n"/>
      <c r="C1324" s="66" t="n"/>
      <c r="D1324" s="66" t="n"/>
      <c r="E1324" s="67" t="n"/>
      <c r="F1324" s="67" t="n"/>
      <c r="G1324" s="67" t="n"/>
      <c r="H1324" s="67" t="n"/>
      <c r="I1324" s="67" t="n"/>
      <c r="J1324" s="67" t="n"/>
      <c r="K1324" s="67" t="n"/>
      <c r="L1324" s="67" t="n"/>
      <c r="M1324" s="64" t="n"/>
      <c r="N1324" s="66" t="n"/>
      <c r="O1324" s="84">
        <f>IF(A1324="","",IF(OR(C1324="",D1324=""),"Enter both dates",IF(D1324&lt;C1324,"To is before From",IF(COUNTIFS($P$5:$P$2004,P1324,$C$5:$C$2004,"&lt;="&amp;D1324,$D$5:$D$2004,"&gt;="&amp;C1324)&gt;1,"Overlaps another row","OK"))))</f>
        <v/>
      </c>
      <c r="P1324">
        <f>IF(A1324="","",A1324&amp;"|"&amp;IF(B1324="","Standard",B1324))</f>
        <v/>
      </c>
      <c r="Q1324">
        <f>IF(AND(A1324&lt;&gt;"",A1324='Firm Search'!$C$7),COUNTIF($A$5:A1324,'Firm Search'!$C$7),"")</f>
        <v/>
      </c>
    </row>
    <row r="1325">
      <c r="A1325" s="64" t="n"/>
      <c r="B1325" s="64" t="n"/>
      <c r="C1325" s="66" t="n"/>
      <c r="D1325" s="66" t="n"/>
      <c r="E1325" s="67" t="n"/>
      <c r="F1325" s="67" t="n"/>
      <c r="G1325" s="67" t="n"/>
      <c r="H1325" s="67" t="n"/>
      <c r="I1325" s="67" t="n"/>
      <c r="J1325" s="67" t="n"/>
      <c r="K1325" s="67" t="n"/>
      <c r="L1325" s="67" t="n"/>
      <c r="M1325" s="64" t="n"/>
      <c r="N1325" s="66" t="n"/>
      <c r="O1325" s="84">
        <f>IF(A1325="","",IF(OR(C1325="",D1325=""),"Enter both dates",IF(D1325&lt;C1325,"To is before From",IF(COUNTIFS($P$5:$P$2004,P1325,$C$5:$C$2004,"&lt;="&amp;D1325,$D$5:$D$2004,"&gt;="&amp;C1325)&gt;1,"Overlaps another row","OK"))))</f>
        <v/>
      </c>
      <c r="P1325">
        <f>IF(A1325="","",A1325&amp;"|"&amp;IF(B1325="","Standard",B1325))</f>
        <v/>
      </c>
      <c r="Q1325">
        <f>IF(AND(A1325&lt;&gt;"",A1325='Firm Search'!$C$7),COUNTIF($A$5:A1325,'Firm Search'!$C$7),"")</f>
        <v/>
      </c>
    </row>
    <row r="1326">
      <c r="A1326" s="64" t="n"/>
      <c r="B1326" s="64" t="n"/>
      <c r="C1326" s="66" t="n"/>
      <c r="D1326" s="66" t="n"/>
      <c r="E1326" s="67" t="n"/>
      <c r="F1326" s="67" t="n"/>
      <c r="G1326" s="67" t="n"/>
      <c r="H1326" s="67" t="n"/>
      <c r="I1326" s="67" t="n"/>
      <c r="J1326" s="67" t="n"/>
      <c r="K1326" s="67" t="n"/>
      <c r="L1326" s="67" t="n"/>
      <c r="M1326" s="64" t="n"/>
      <c r="N1326" s="66" t="n"/>
      <c r="O1326" s="84">
        <f>IF(A1326="","",IF(OR(C1326="",D1326=""),"Enter both dates",IF(D1326&lt;C1326,"To is before From",IF(COUNTIFS($P$5:$P$2004,P1326,$C$5:$C$2004,"&lt;="&amp;D1326,$D$5:$D$2004,"&gt;="&amp;C1326)&gt;1,"Overlaps another row","OK"))))</f>
        <v/>
      </c>
      <c r="P1326">
        <f>IF(A1326="","",A1326&amp;"|"&amp;IF(B1326="","Standard",B1326))</f>
        <v/>
      </c>
      <c r="Q1326">
        <f>IF(AND(A1326&lt;&gt;"",A1326='Firm Search'!$C$7),COUNTIF($A$5:A1326,'Firm Search'!$C$7),"")</f>
        <v/>
      </c>
    </row>
    <row r="1327">
      <c r="A1327" s="64" t="n"/>
      <c r="B1327" s="64" t="n"/>
      <c r="C1327" s="66" t="n"/>
      <c r="D1327" s="66" t="n"/>
      <c r="E1327" s="67" t="n"/>
      <c r="F1327" s="67" t="n"/>
      <c r="G1327" s="67" t="n"/>
      <c r="H1327" s="67" t="n"/>
      <c r="I1327" s="67" t="n"/>
      <c r="J1327" s="67" t="n"/>
      <c r="K1327" s="67" t="n"/>
      <c r="L1327" s="67" t="n"/>
      <c r="M1327" s="64" t="n"/>
      <c r="N1327" s="66" t="n"/>
      <c r="O1327" s="84">
        <f>IF(A1327="","",IF(OR(C1327="",D1327=""),"Enter both dates",IF(D1327&lt;C1327,"To is before From",IF(COUNTIFS($P$5:$P$2004,P1327,$C$5:$C$2004,"&lt;="&amp;D1327,$D$5:$D$2004,"&gt;="&amp;C1327)&gt;1,"Overlaps another row","OK"))))</f>
        <v/>
      </c>
      <c r="P1327">
        <f>IF(A1327="","",A1327&amp;"|"&amp;IF(B1327="","Standard",B1327))</f>
        <v/>
      </c>
      <c r="Q1327">
        <f>IF(AND(A1327&lt;&gt;"",A1327='Firm Search'!$C$7),COUNTIF($A$5:A1327,'Firm Search'!$C$7),"")</f>
        <v/>
      </c>
    </row>
    <row r="1328">
      <c r="A1328" s="64" t="n"/>
      <c r="B1328" s="64" t="n"/>
      <c r="C1328" s="66" t="n"/>
      <c r="D1328" s="66" t="n"/>
      <c r="E1328" s="67" t="n"/>
      <c r="F1328" s="67" t="n"/>
      <c r="G1328" s="67" t="n"/>
      <c r="H1328" s="67" t="n"/>
      <c r="I1328" s="67" t="n"/>
      <c r="J1328" s="67" t="n"/>
      <c r="K1328" s="67" t="n"/>
      <c r="L1328" s="67" t="n"/>
      <c r="M1328" s="64" t="n"/>
      <c r="N1328" s="66" t="n"/>
      <c r="O1328" s="84">
        <f>IF(A1328="","",IF(OR(C1328="",D1328=""),"Enter both dates",IF(D1328&lt;C1328,"To is before From",IF(COUNTIFS($P$5:$P$2004,P1328,$C$5:$C$2004,"&lt;="&amp;D1328,$D$5:$D$2004,"&gt;="&amp;C1328)&gt;1,"Overlaps another row","OK"))))</f>
        <v/>
      </c>
      <c r="P1328">
        <f>IF(A1328="","",A1328&amp;"|"&amp;IF(B1328="","Standard",B1328))</f>
        <v/>
      </c>
      <c r="Q1328">
        <f>IF(AND(A1328&lt;&gt;"",A1328='Firm Search'!$C$7),COUNTIF($A$5:A1328,'Firm Search'!$C$7),"")</f>
        <v/>
      </c>
    </row>
    <row r="1329">
      <c r="A1329" s="64" t="n"/>
      <c r="B1329" s="64" t="n"/>
      <c r="C1329" s="66" t="n"/>
      <c r="D1329" s="66" t="n"/>
      <c r="E1329" s="67" t="n"/>
      <c r="F1329" s="67" t="n"/>
      <c r="G1329" s="67" t="n"/>
      <c r="H1329" s="67" t="n"/>
      <c r="I1329" s="67" t="n"/>
      <c r="J1329" s="67" t="n"/>
      <c r="K1329" s="67" t="n"/>
      <c r="L1329" s="67" t="n"/>
      <c r="M1329" s="64" t="n"/>
      <c r="N1329" s="66" t="n"/>
      <c r="O1329" s="84">
        <f>IF(A1329="","",IF(OR(C1329="",D1329=""),"Enter both dates",IF(D1329&lt;C1329,"To is before From",IF(COUNTIFS($P$5:$P$2004,P1329,$C$5:$C$2004,"&lt;="&amp;D1329,$D$5:$D$2004,"&gt;="&amp;C1329)&gt;1,"Overlaps another row","OK"))))</f>
        <v/>
      </c>
      <c r="P1329">
        <f>IF(A1329="","",A1329&amp;"|"&amp;IF(B1329="","Standard",B1329))</f>
        <v/>
      </c>
      <c r="Q1329">
        <f>IF(AND(A1329&lt;&gt;"",A1329='Firm Search'!$C$7),COUNTIF($A$5:A1329,'Firm Search'!$C$7),"")</f>
        <v/>
      </c>
    </row>
    <row r="1330">
      <c r="A1330" s="64" t="n"/>
      <c r="B1330" s="64" t="n"/>
      <c r="C1330" s="66" t="n"/>
      <c r="D1330" s="66" t="n"/>
      <c r="E1330" s="67" t="n"/>
      <c r="F1330" s="67" t="n"/>
      <c r="G1330" s="67" t="n"/>
      <c r="H1330" s="67" t="n"/>
      <c r="I1330" s="67" t="n"/>
      <c r="J1330" s="67" t="n"/>
      <c r="K1330" s="67" t="n"/>
      <c r="L1330" s="67" t="n"/>
      <c r="M1330" s="64" t="n"/>
      <c r="N1330" s="66" t="n"/>
      <c r="O1330" s="84">
        <f>IF(A1330="","",IF(OR(C1330="",D1330=""),"Enter both dates",IF(D1330&lt;C1330,"To is before From",IF(COUNTIFS($P$5:$P$2004,P1330,$C$5:$C$2004,"&lt;="&amp;D1330,$D$5:$D$2004,"&gt;="&amp;C1330)&gt;1,"Overlaps another row","OK"))))</f>
        <v/>
      </c>
      <c r="P1330">
        <f>IF(A1330="","",A1330&amp;"|"&amp;IF(B1330="","Standard",B1330))</f>
        <v/>
      </c>
      <c r="Q1330">
        <f>IF(AND(A1330&lt;&gt;"",A1330='Firm Search'!$C$7),COUNTIF($A$5:A1330,'Firm Search'!$C$7),"")</f>
        <v/>
      </c>
    </row>
    <row r="1331">
      <c r="A1331" s="64" t="n"/>
      <c r="B1331" s="64" t="n"/>
      <c r="C1331" s="66" t="n"/>
      <c r="D1331" s="66" t="n"/>
      <c r="E1331" s="67" t="n"/>
      <c r="F1331" s="67" t="n"/>
      <c r="G1331" s="67" t="n"/>
      <c r="H1331" s="67" t="n"/>
      <c r="I1331" s="67" t="n"/>
      <c r="J1331" s="67" t="n"/>
      <c r="K1331" s="67" t="n"/>
      <c r="L1331" s="67" t="n"/>
      <c r="M1331" s="64" t="n"/>
      <c r="N1331" s="66" t="n"/>
      <c r="O1331" s="84">
        <f>IF(A1331="","",IF(OR(C1331="",D1331=""),"Enter both dates",IF(D1331&lt;C1331,"To is before From",IF(COUNTIFS($P$5:$P$2004,P1331,$C$5:$C$2004,"&lt;="&amp;D1331,$D$5:$D$2004,"&gt;="&amp;C1331)&gt;1,"Overlaps another row","OK"))))</f>
        <v/>
      </c>
      <c r="P1331">
        <f>IF(A1331="","",A1331&amp;"|"&amp;IF(B1331="","Standard",B1331))</f>
        <v/>
      </c>
      <c r="Q1331">
        <f>IF(AND(A1331&lt;&gt;"",A1331='Firm Search'!$C$7),COUNTIF($A$5:A1331,'Firm Search'!$C$7),"")</f>
        <v/>
      </c>
    </row>
    <row r="1332">
      <c r="A1332" s="64" t="n"/>
      <c r="B1332" s="64" t="n"/>
      <c r="C1332" s="66" t="n"/>
      <c r="D1332" s="66" t="n"/>
      <c r="E1332" s="67" t="n"/>
      <c r="F1332" s="67" t="n"/>
      <c r="G1332" s="67" t="n"/>
      <c r="H1332" s="67" t="n"/>
      <c r="I1332" s="67" t="n"/>
      <c r="J1332" s="67" t="n"/>
      <c r="K1332" s="67" t="n"/>
      <c r="L1332" s="67" t="n"/>
      <c r="M1332" s="64" t="n"/>
      <c r="N1332" s="66" t="n"/>
      <c r="O1332" s="84">
        <f>IF(A1332="","",IF(OR(C1332="",D1332=""),"Enter both dates",IF(D1332&lt;C1332,"To is before From",IF(COUNTIFS($P$5:$P$2004,P1332,$C$5:$C$2004,"&lt;="&amp;D1332,$D$5:$D$2004,"&gt;="&amp;C1332)&gt;1,"Overlaps another row","OK"))))</f>
        <v/>
      </c>
      <c r="P1332">
        <f>IF(A1332="","",A1332&amp;"|"&amp;IF(B1332="","Standard",B1332))</f>
        <v/>
      </c>
      <c r="Q1332">
        <f>IF(AND(A1332&lt;&gt;"",A1332='Firm Search'!$C$7),COUNTIF($A$5:A1332,'Firm Search'!$C$7),"")</f>
        <v/>
      </c>
    </row>
    <row r="1333">
      <c r="A1333" s="64" t="n"/>
      <c r="B1333" s="64" t="n"/>
      <c r="C1333" s="66" t="n"/>
      <c r="D1333" s="66" t="n"/>
      <c r="E1333" s="67" t="n"/>
      <c r="F1333" s="67" t="n"/>
      <c r="G1333" s="67" t="n"/>
      <c r="H1333" s="67" t="n"/>
      <c r="I1333" s="67" t="n"/>
      <c r="J1333" s="67" t="n"/>
      <c r="K1333" s="67" t="n"/>
      <c r="L1333" s="67" t="n"/>
      <c r="M1333" s="64" t="n"/>
      <c r="N1333" s="66" t="n"/>
      <c r="O1333" s="84">
        <f>IF(A1333="","",IF(OR(C1333="",D1333=""),"Enter both dates",IF(D1333&lt;C1333,"To is before From",IF(COUNTIFS($P$5:$P$2004,P1333,$C$5:$C$2004,"&lt;="&amp;D1333,$D$5:$D$2004,"&gt;="&amp;C1333)&gt;1,"Overlaps another row","OK"))))</f>
        <v/>
      </c>
      <c r="P1333">
        <f>IF(A1333="","",A1333&amp;"|"&amp;IF(B1333="","Standard",B1333))</f>
        <v/>
      </c>
      <c r="Q1333">
        <f>IF(AND(A1333&lt;&gt;"",A1333='Firm Search'!$C$7),COUNTIF($A$5:A1333,'Firm Search'!$C$7),"")</f>
        <v/>
      </c>
    </row>
    <row r="1334">
      <c r="A1334" s="64" t="n"/>
      <c r="B1334" s="64" t="n"/>
      <c r="C1334" s="66" t="n"/>
      <c r="D1334" s="66" t="n"/>
      <c r="E1334" s="67" t="n"/>
      <c r="F1334" s="67" t="n"/>
      <c r="G1334" s="67" t="n"/>
      <c r="H1334" s="67" t="n"/>
      <c r="I1334" s="67" t="n"/>
      <c r="J1334" s="67" t="n"/>
      <c r="K1334" s="67" t="n"/>
      <c r="L1334" s="67" t="n"/>
      <c r="M1334" s="64" t="n"/>
      <c r="N1334" s="66" t="n"/>
      <c r="O1334" s="84">
        <f>IF(A1334="","",IF(OR(C1334="",D1334=""),"Enter both dates",IF(D1334&lt;C1334,"To is before From",IF(COUNTIFS($P$5:$P$2004,P1334,$C$5:$C$2004,"&lt;="&amp;D1334,$D$5:$D$2004,"&gt;="&amp;C1334)&gt;1,"Overlaps another row","OK"))))</f>
        <v/>
      </c>
      <c r="P1334">
        <f>IF(A1334="","",A1334&amp;"|"&amp;IF(B1334="","Standard",B1334))</f>
        <v/>
      </c>
      <c r="Q1334">
        <f>IF(AND(A1334&lt;&gt;"",A1334='Firm Search'!$C$7),COUNTIF($A$5:A1334,'Firm Search'!$C$7),"")</f>
        <v/>
      </c>
    </row>
    <row r="1335">
      <c r="A1335" s="64" t="n"/>
      <c r="B1335" s="64" t="n"/>
      <c r="C1335" s="66" t="n"/>
      <c r="D1335" s="66" t="n"/>
      <c r="E1335" s="67" t="n"/>
      <c r="F1335" s="67" t="n"/>
      <c r="G1335" s="67" t="n"/>
      <c r="H1335" s="67" t="n"/>
      <c r="I1335" s="67" t="n"/>
      <c r="J1335" s="67" t="n"/>
      <c r="K1335" s="67" t="n"/>
      <c r="L1335" s="67" t="n"/>
      <c r="M1335" s="64" t="n"/>
      <c r="N1335" s="66" t="n"/>
      <c r="O1335" s="84">
        <f>IF(A1335="","",IF(OR(C1335="",D1335=""),"Enter both dates",IF(D1335&lt;C1335,"To is before From",IF(COUNTIFS($P$5:$P$2004,P1335,$C$5:$C$2004,"&lt;="&amp;D1335,$D$5:$D$2004,"&gt;="&amp;C1335)&gt;1,"Overlaps another row","OK"))))</f>
        <v/>
      </c>
      <c r="P1335">
        <f>IF(A1335="","",A1335&amp;"|"&amp;IF(B1335="","Standard",B1335))</f>
        <v/>
      </c>
      <c r="Q1335">
        <f>IF(AND(A1335&lt;&gt;"",A1335='Firm Search'!$C$7),COUNTIF($A$5:A1335,'Firm Search'!$C$7),"")</f>
        <v/>
      </c>
    </row>
    <row r="1336">
      <c r="A1336" s="64" t="n"/>
      <c r="B1336" s="64" t="n"/>
      <c r="C1336" s="66" t="n"/>
      <c r="D1336" s="66" t="n"/>
      <c r="E1336" s="67" t="n"/>
      <c r="F1336" s="67" t="n"/>
      <c r="G1336" s="67" t="n"/>
      <c r="H1336" s="67" t="n"/>
      <c r="I1336" s="67" t="n"/>
      <c r="J1336" s="67" t="n"/>
      <c r="K1336" s="67" t="n"/>
      <c r="L1336" s="67" t="n"/>
      <c r="M1336" s="64" t="n"/>
      <c r="N1336" s="66" t="n"/>
      <c r="O1336" s="84">
        <f>IF(A1336="","",IF(OR(C1336="",D1336=""),"Enter both dates",IF(D1336&lt;C1336,"To is before From",IF(COUNTIFS($P$5:$P$2004,P1336,$C$5:$C$2004,"&lt;="&amp;D1336,$D$5:$D$2004,"&gt;="&amp;C1336)&gt;1,"Overlaps another row","OK"))))</f>
        <v/>
      </c>
      <c r="P1336">
        <f>IF(A1336="","",A1336&amp;"|"&amp;IF(B1336="","Standard",B1336))</f>
        <v/>
      </c>
      <c r="Q1336">
        <f>IF(AND(A1336&lt;&gt;"",A1336='Firm Search'!$C$7),COUNTIF($A$5:A1336,'Firm Search'!$C$7),"")</f>
        <v/>
      </c>
    </row>
    <row r="1337">
      <c r="A1337" s="64" t="n"/>
      <c r="B1337" s="64" t="n"/>
      <c r="C1337" s="66" t="n"/>
      <c r="D1337" s="66" t="n"/>
      <c r="E1337" s="67" t="n"/>
      <c r="F1337" s="67" t="n"/>
      <c r="G1337" s="67" t="n"/>
      <c r="H1337" s="67" t="n"/>
      <c r="I1337" s="67" t="n"/>
      <c r="J1337" s="67" t="n"/>
      <c r="K1337" s="67" t="n"/>
      <c r="L1337" s="67" t="n"/>
      <c r="M1337" s="64" t="n"/>
      <c r="N1337" s="66" t="n"/>
      <c r="O1337" s="84">
        <f>IF(A1337="","",IF(OR(C1337="",D1337=""),"Enter both dates",IF(D1337&lt;C1337,"To is before From",IF(COUNTIFS($P$5:$P$2004,P1337,$C$5:$C$2004,"&lt;="&amp;D1337,$D$5:$D$2004,"&gt;="&amp;C1337)&gt;1,"Overlaps another row","OK"))))</f>
        <v/>
      </c>
      <c r="P1337">
        <f>IF(A1337="","",A1337&amp;"|"&amp;IF(B1337="","Standard",B1337))</f>
        <v/>
      </c>
      <c r="Q1337">
        <f>IF(AND(A1337&lt;&gt;"",A1337='Firm Search'!$C$7),COUNTIF($A$5:A1337,'Firm Search'!$C$7),"")</f>
        <v/>
      </c>
    </row>
    <row r="1338">
      <c r="A1338" s="64" t="n"/>
      <c r="B1338" s="64" t="n"/>
      <c r="C1338" s="66" t="n"/>
      <c r="D1338" s="66" t="n"/>
      <c r="E1338" s="67" t="n"/>
      <c r="F1338" s="67" t="n"/>
      <c r="G1338" s="67" t="n"/>
      <c r="H1338" s="67" t="n"/>
      <c r="I1338" s="67" t="n"/>
      <c r="J1338" s="67" t="n"/>
      <c r="K1338" s="67" t="n"/>
      <c r="L1338" s="67" t="n"/>
      <c r="M1338" s="64" t="n"/>
      <c r="N1338" s="66" t="n"/>
      <c r="O1338" s="84">
        <f>IF(A1338="","",IF(OR(C1338="",D1338=""),"Enter both dates",IF(D1338&lt;C1338,"To is before From",IF(COUNTIFS($P$5:$P$2004,P1338,$C$5:$C$2004,"&lt;="&amp;D1338,$D$5:$D$2004,"&gt;="&amp;C1338)&gt;1,"Overlaps another row","OK"))))</f>
        <v/>
      </c>
      <c r="P1338">
        <f>IF(A1338="","",A1338&amp;"|"&amp;IF(B1338="","Standard",B1338))</f>
        <v/>
      </c>
      <c r="Q1338">
        <f>IF(AND(A1338&lt;&gt;"",A1338='Firm Search'!$C$7),COUNTIF($A$5:A1338,'Firm Search'!$C$7),"")</f>
        <v/>
      </c>
    </row>
    <row r="1339">
      <c r="A1339" s="64" t="n"/>
      <c r="B1339" s="64" t="n"/>
      <c r="C1339" s="66" t="n"/>
      <c r="D1339" s="66" t="n"/>
      <c r="E1339" s="67" t="n"/>
      <c r="F1339" s="67" t="n"/>
      <c r="G1339" s="67" t="n"/>
      <c r="H1339" s="67" t="n"/>
      <c r="I1339" s="67" t="n"/>
      <c r="J1339" s="67" t="n"/>
      <c r="K1339" s="67" t="n"/>
      <c r="L1339" s="67" t="n"/>
      <c r="M1339" s="64" t="n"/>
      <c r="N1339" s="66" t="n"/>
      <c r="O1339" s="84">
        <f>IF(A1339="","",IF(OR(C1339="",D1339=""),"Enter both dates",IF(D1339&lt;C1339,"To is before From",IF(COUNTIFS($P$5:$P$2004,P1339,$C$5:$C$2004,"&lt;="&amp;D1339,$D$5:$D$2004,"&gt;="&amp;C1339)&gt;1,"Overlaps another row","OK"))))</f>
        <v/>
      </c>
      <c r="P1339">
        <f>IF(A1339="","",A1339&amp;"|"&amp;IF(B1339="","Standard",B1339))</f>
        <v/>
      </c>
      <c r="Q1339">
        <f>IF(AND(A1339&lt;&gt;"",A1339='Firm Search'!$C$7),COUNTIF($A$5:A1339,'Firm Search'!$C$7),"")</f>
        <v/>
      </c>
    </row>
    <row r="1340">
      <c r="A1340" s="64" t="n"/>
      <c r="B1340" s="64" t="n"/>
      <c r="C1340" s="66" t="n"/>
      <c r="D1340" s="66" t="n"/>
      <c r="E1340" s="67" t="n"/>
      <c r="F1340" s="67" t="n"/>
      <c r="G1340" s="67" t="n"/>
      <c r="H1340" s="67" t="n"/>
      <c r="I1340" s="67" t="n"/>
      <c r="J1340" s="67" t="n"/>
      <c r="K1340" s="67" t="n"/>
      <c r="L1340" s="67" t="n"/>
      <c r="M1340" s="64" t="n"/>
      <c r="N1340" s="66" t="n"/>
      <c r="O1340" s="84">
        <f>IF(A1340="","",IF(OR(C1340="",D1340=""),"Enter both dates",IF(D1340&lt;C1340,"To is before From",IF(COUNTIFS($P$5:$P$2004,P1340,$C$5:$C$2004,"&lt;="&amp;D1340,$D$5:$D$2004,"&gt;="&amp;C1340)&gt;1,"Overlaps another row","OK"))))</f>
        <v/>
      </c>
      <c r="P1340">
        <f>IF(A1340="","",A1340&amp;"|"&amp;IF(B1340="","Standard",B1340))</f>
        <v/>
      </c>
      <c r="Q1340">
        <f>IF(AND(A1340&lt;&gt;"",A1340='Firm Search'!$C$7),COUNTIF($A$5:A1340,'Firm Search'!$C$7),"")</f>
        <v/>
      </c>
    </row>
    <row r="1341">
      <c r="A1341" s="64" t="n"/>
      <c r="B1341" s="64" t="n"/>
      <c r="C1341" s="66" t="n"/>
      <c r="D1341" s="66" t="n"/>
      <c r="E1341" s="67" t="n"/>
      <c r="F1341" s="67" t="n"/>
      <c r="G1341" s="67" t="n"/>
      <c r="H1341" s="67" t="n"/>
      <c r="I1341" s="67" t="n"/>
      <c r="J1341" s="67" t="n"/>
      <c r="K1341" s="67" t="n"/>
      <c r="L1341" s="67" t="n"/>
      <c r="M1341" s="64" t="n"/>
      <c r="N1341" s="66" t="n"/>
      <c r="O1341" s="84">
        <f>IF(A1341="","",IF(OR(C1341="",D1341=""),"Enter both dates",IF(D1341&lt;C1341,"To is before From",IF(COUNTIFS($P$5:$P$2004,P1341,$C$5:$C$2004,"&lt;="&amp;D1341,$D$5:$D$2004,"&gt;="&amp;C1341)&gt;1,"Overlaps another row","OK"))))</f>
        <v/>
      </c>
      <c r="P1341">
        <f>IF(A1341="","",A1341&amp;"|"&amp;IF(B1341="","Standard",B1341))</f>
        <v/>
      </c>
      <c r="Q1341">
        <f>IF(AND(A1341&lt;&gt;"",A1341='Firm Search'!$C$7),COUNTIF($A$5:A1341,'Firm Search'!$C$7),"")</f>
        <v/>
      </c>
    </row>
    <row r="1342">
      <c r="A1342" s="64" t="n"/>
      <c r="B1342" s="64" t="n"/>
      <c r="C1342" s="66" t="n"/>
      <c r="D1342" s="66" t="n"/>
      <c r="E1342" s="67" t="n"/>
      <c r="F1342" s="67" t="n"/>
      <c r="G1342" s="67" t="n"/>
      <c r="H1342" s="67" t="n"/>
      <c r="I1342" s="67" t="n"/>
      <c r="J1342" s="67" t="n"/>
      <c r="K1342" s="67" t="n"/>
      <c r="L1342" s="67" t="n"/>
      <c r="M1342" s="64" t="n"/>
      <c r="N1342" s="66" t="n"/>
      <c r="O1342" s="84">
        <f>IF(A1342="","",IF(OR(C1342="",D1342=""),"Enter both dates",IF(D1342&lt;C1342,"To is before From",IF(COUNTIFS($P$5:$P$2004,P1342,$C$5:$C$2004,"&lt;="&amp;D1342,$D$5:$D$2004,"&gt;="&amp;C1342)&gt;1,"Overlaps another row","OK"))))</f>
        <v/>
      </c>
      <c r="P1342">
        <f>IF(A1342="","",A1342&amp;"|"&amp;IF(B1342="","Standard",B1342))</f>
        <v/>
      </c>
      <c r="Q1342">
        <f>IF(AND(A1342&lt;&gt;"",A1342='Firm Search'!$C$7),COUNTIF($A$5:A1342,'Firm Search'!$C$7),"")</f>
        <v/>
      </c>
    </row>
    <row r="1343">
      <c r="A1343" s="64" t="n"/>
      <c r="B1343" s="64" t="n"/>
      <c r="C1343" s="66" t="n"/>
      <c r="D1343" s="66" t="n"/>
      <c r="E1343" s="67" t="n"/>
      <c r="F1343" s="67" t="n"/>
      <c r="G1343" s="67" t="n"/>
      <c r="H1343" s="67" t="n"/>
      <c r="I1343" s="67" t="n"/>
      <c r="J1343" s="67" t="n"/>
      <c r="K1343" s="67" t="n"/>
      <c r="L1343" s="67" t="n"/>
      <c r="M1343" s="64" t="n"/>
      <c r="N1343" s="66" t="n"/>
      <c r="O1343" s="84">
        <f>IF(A1343="","",IF(OR(C1343="",D1343=""),"Enter both dates",IF(D1343&lt;C1343,"To is before From",IF(COUNTIFS($P$5:$P$2004,P1343,$C$5:$C$2004,"&lt;="&amp;D1343,$D$5:$D$2004,"&gt;="&amp;C1343)&gt;1,"Overlaps another row","OK"))))</f>
        <v/>
      </c>
      <c r="P1343">
        <f>IF(A1343="","",A1343&amp;"|"&amp;IF(B1343="","Standard",B1343))</f>
        <v/>
      </c>
      <c r="Q1343">
        <f>IF(AND(A1343&lt;&gt;"",A1343='Firm Search'!$C$7),COUNTIF($A$5:A1343,'Firm Search'!$C$7),"")</f>
        <v/>
      </c>
    </row>
    <row r="1344">
      <c r="A1344" s="64" t="n"/>
      <c r="B1344" s="64" t="n"/>
      <c r="C1344" s="66" t="n"/>
      <c r="D1344" s="66" t="n"/>
      <c r="E1344" s="67" t="n"/>
      <c r="F1344" s="67" t="n"/>
      <c r="G1344" s="67" t="n"/>
      <c r="H1344" s="67" t="n"/>
      <c r="I1344" s="67" t="n"/>
      <c r="J1344" s="67" t="n"/>
      <c r="K1344" s="67" t="n"/>
      <c r="L1344" s="67" t="n"/>
      <c r="M1344" s="64" t="n"/>
      <c r="N1344" s="66" t="n"/>
      <c r="O1344" s="84">
        <f>IF(A1344="","",IF(OR(C1344="",D1344=""),"Enter both dates",IF(D1344&lt;C1344,"To is before From",IF(COUNTIFS($P$5:$P$2004,P1344,$C$5:$C$2004,"&lt;="&amp;D1344,$D$5:$D$2004,"&gt;="&amp;C1344)&gt;1,"Overlaps another row","OK"))))</f>
        <v/>
      </c>
      <c r="P1344">
        <f>IF(A1344="","",A1344&amp;"|"&amp;IF(B1344="","Standard",B1344))</f>
        <v/>
      </c>
      <c r="Q1344">
        <f>IF(AND(A1344&lt;&gt;"",A1344='Firm Search'!$C$7),COUNTIF($A$5:A1344,'Firm Search'!$C$7),"")</f>
        <v/>
      </c>
    </row>
    <row r="1345">
      <c r="A1345" s="64" t="n"/>
      <c r="B1345" s="64" t="n"/>
      <c r="C1345" s="66" t="n"/>
      <c r="D1345" s="66" t="n"/>
      <c r="E1345" s="67" t="n"/>
      <c r="F1345" s="67" t="n"/>
      <c r="G1345" s="67" t="n"/>
      <c r="H1345" s="67" t="n"/>
      <c r="I1345" s="67" t="n"/>
      <c r="J1345" s="67" t="n"/>
      <c r="K1345" s="67" t="n"/>
      <c r="L1345" s="67" t="n"/>
      <c r="M1345" s="64" t="n"/>
      <c r="N1345" s="66" t="n"/>
      <c r="O1345" s="84">
        <f>IF(A1345="","",IF(OR(C1345="",D1345=""),"Enter both dates",IF(D1345&lt;C1345,"To is before From",IF(COUNTIFS($P$5:$P$2004,P1345,$C$5:$C$2004,"&lt;="&amp;D1345,$D$5:$D$2004,"&gt;="&amp;C1345)&gt;1,"Overlaps another row","OK"))))</f>
        <v/>
      </c>
      <c r="P1345">
        <f>IF(A1345="","",A1345&amp;"|"&amp;IF(B1345="","Standard",B1345))</f>
        <v/>
      </c>
      <c r="Q1345">
        <f>IF(AND(A1345&lt;&gt;"",A1345='Firm Search'!$C$7),COUNTIF($A$5:A1345,'Firm Search'!$C$7),"")</f>
        <v/>
      </c>
    </row>
    <row r="1346">
      <c r="A1346" s="64" t="n"/>
      <c r="B1346" s="64" t="n"/>
      <c r="C1346" s="66" t="n"/>
      <c r="D1346" s="66" t="n"/>
      <c r="E1346" s="67" t="n"/>
      <c r="F1346" s="67" t="n"/>
      <c r="G1346" s="67" t="n"/>
      <c r="H1346" s="67" t="n"/>
      <c r="I1346" s="67" t="n"/>
      <c r="J1346" s="67" t="n"/>
      <c r="K1346" s="67" t="n"/>
      <c r="L1346" s="67" t="n"/>
      <c r="M1346" s="64" t="n"/>
      <c r="N1346" s="66" t="n"/>
      <c r="O1346" s="84">
        <f>IF(A1346="","",IF(OR(C1346="",D1346=""),"Enter both dates",IF(D1346&lt;C1346,"To is before From",IF(COUNTIFS($P$5:$P$2004,P1346,$C$5:$C$2004,"&lt;="&amp;D1346,$D$5:$D$2004,"&gt;="&amp;C1346)&gt;1,"Overlaps another row","OK"))))</f>
        <v/>
      </c>
      <c r="P1346">
        <f>IF(A1346="","",A1346&amp;"|"&amp;IF(B1346="","Standard",B1346))</f>
        <v/>
      </c>
      <c r="Q1346">
        <f>IF(AND(A1346&lt;&gt;"",A1346='Firm Search'!$C$7),COUNTIF($A$5:A1346,'Firm Search'!$C$7),"")</f>
        <v/>
      </c>
    </row>
    <row r="1347">
      <c r="A1347" s="64" t="n"/>
      <c r="B1347" s="64" t="n"/>
      <c r="C1347" s="66" t="n"/>
      <c r="D1347" s="66" t="n"/>
      <c r="E1347" s="67" t="n"/>
      <c r="F1347" s="67" t="n"/>
      <c r="G1347" s="67" t="n"/>
      <c r="H1347" s="67" t="n"/>
      <c r="I1347" s="67" t="n"/>
      <c r="J1347" s="67" t="n"/>
      <c r="K1347" s="67" t="n"/>
      <c r="L1347" s="67" t="n"/>
      <c r="M1347" s="64" t="n"/>
      <c r="N1347" s="66" t="n"/>
      <c r="O1347" s="84">
        <f>IF(A1347="","",IF(OR(C1347="",D1347=""),"Enter both dates",IF(D1347&lt;C1347,"To is before From",IF(COUNTIFS($P$5:$P$2004,P1347,$C$5:$C$2004,"&lt;="&amp;D1347,$D$5:$D$2004,"&gt;="&amp;C1347)&gt;1,"Overlaps another row","OK"))))</f>
        <v/>
      </c>
      <c r="P1347">
        <f>IF(A1347="","",A1347&amp;"|"&amp;IF(B1347="","Standard",B1347))</f>
        <v/>
      </c>
      <c r="Q1347">
        <f>IF(AND(A1347&lt;&gt;"",A1347='Firm Search'!$C$7),COUNTIF($A$5:A1347,'Firm Search'!$C$7),"")</f>
        <v/>
      </c>
    </row>
    <row r="1348">
      <c r="A1348" s="64" t="n"/>
      <c r="B1348" s="64" t="n"/>
      <c r="C1348" s="66" t="n"/>
      <c r="D1348" s="66" t="n"/>
      <c r="E1348" s="67" t="n"/>
      <c r="F1348" s="67" t="n"/>
      <c r="G1348" s="67" t="n"/>
      <c r="H1348" s="67" t="n"/>
      <c r="I1348" s="67" t="n"/>
      <c r="J1348" s="67" t="n"/>
      <c r="K1348" s="67" t="n"/>
      <c r="L1348" s="67" t="n"/>
      <c r="M1348" s="64" t="n"/>
      <c r="N1348" s="66" t="n"/>
      <c r="O1348" s="84">
        <f>IF(A1348="","",IF(OR(C1348="",D1348=""),"Enter both dates",IF(D1348&lt;C1348,"To is before From",IF(COUNTIFS($P$5:$P$2004,P1348,$C$5:$C$2004,"&lt;="&amp;D1348,$D$5:$D$2004,"&gt;="&amp;C1348)&gt;1,"Overlaps another row","OK"))))</f>
        <v/>
      </c>
      <c r="P1348">
        <f>IF(A1348="","",A1348&amp;"|"&amp;IF(B1348="","Standard",B1348))</f>
        <v/>
      </c>
      <c r="Q1348">
        <f>IF(AND(A1348&lt;&gt;"",A1348='Firm Search'!$C$7),COUNTIF($A$5:A1348,'Firm Search'!$C$7),"")</f>
        <v/>
      </c>
    </row>
    <row r="1349">
      <c r="A1349" s="64" t="n"/>
      <c r="B1349" s="64" t="n"/>
      <c r="C1349" s="66" t="n"/>
      <c r="D1349" s="66" t="n"/>
      <c r="E1349" s="67" t="n"/>
      <c r="F1349" s="67" t="n"/>
      <c r="G1349" s="67" t="n"/>
      <c r="H1349" s="67" t="n"/>
      <c r="I1349" s="67" t="n"/>
      <c r="J1349" s="67" t="n"/>
      <c r="K1349" s="67" t="n"/>
      <c r="L1349" s="67" t="n"/>
      <c r="M1349" s="64" t="n"/>
      <c r="N1349" s="66" t="n"/>
      <c r="O1349" s="84">
        <f>IF(A1349="","",IF(OR(C1349="",D1349=""),"Enter both dates",IF(D1349&lt;C1349,"To is before From",IF(COUNTIFS($P$5:$P$2004,P1349,$C$5:$C$2004,"&lt;="&amp;D1349,$D$5:$D$2004,"&gt;="&amp;C1349)&gt;1,"Overlaps another row","OK"))))</f>
        <v/>
      </c>
      <c r="P1349">
        <f>IF(A1349="","",A1349&amp;"|"&amp;IF(B1349="","Standard",B1349))</f>
        <v/>
      </c>
      <c r="Q1349">
        <f>IF(AND(A1349&lt;&gt;"",A1349='Firm Search'!$C$7),COUNTIF($A$5:A1349,'Firm Search'!$C$7),"")</f>
        <v/>
      </c>
    </row>
    <row r="1350">
      <c r="A1350" s="64" t="n"/>
      <c r="B1350" s="64" t="n"/>
      <c r="C1350" s="66" t="n"/>
      <c r="D1350" s="66" t="n"/>
      <c r="E1350" s="67" t="n"/>
      <c r="F1350" s="67" t="n"/>
      <c r="G1350" s="67" t="n"/>
      <c r="H1350" s="67" t="n"/>
      <c r="I1350" s="67" t="n"/>
      <c r="J1350" s="67" t="n"/>
      <c r="K1350" s="67" t="n"/>
      <c r="L1350" s="67" t="n"/>
      <c r="M1350" s="64" t="n"/>
      <c r="N1350" s="66" t="n"/>
      <c r="O1350" s="84">
        <f>IF(A1350="","",IF(OR(C1350="",D1350=""),"Enter both dates",IF(D1350&lt;C1350,"To is before From",IF(COUNTIFS($P$5:$P$2004,P1350,$C$5:$C$2004,"&lt;="&amp;D1350,$D$5:$D$2004,"&gt;="&amp;C1350)&gt;1,"Overlaps another row","OK"))))</f>
        <v/>
      </c>
      <c r="P1350">
        <f>IF(A1350="","",A1350&amp;"|"&amp;IF(B1350="","Standard",B1350))</f>
        <v/>
      </c>
      <c r="Q1350">
        <f>IF(AND(A1350&lt;&gt;"",A1350='Firm Search'!$C$7),COUNTIF($A$5:A1350,'Firm Search'!$C$7),"")</f>
        <v/>
      </c>
    </row>
    <row r="1351">
      <c r="A1351" s="64" t="n"/>
      <c r="B1351" s="64" t="n"/>
      <c r="C1351" s="66" t="n"/>
      <c r="D1351" s="66" t="n"/>
      <c r="E1351" s="67" t="n"/>
      <c r="F1351" s="67" t="n"/>
      <c r="G1351" s="67" t="n"/>
      <c r="H1351" s="67" t="n"/>
      <c r="I1351" s="67" t="n"/>
      <c r="J1351" s="67" t="n"/>
      <c r="K1351" s="67" t="n"/>
      <c r="L1351" s="67" t="n"/>
      <c r="M1351" s="64" t="n"/>
      <c r="N1351" s="66" t="n"/>
      <c r="O1351" s="84">
        <f>IF(A1351="","",IF(OR(C1351="",D1351=""),"Enter both dates",IF(D1351&lt;C1351,"To is before From",IF(COUNTIFS($P$5:$P$2004,P1351,$C$5:$C$2004,"&lt;="&amp;D1351,$D$5:$D$2004,"&gt;="&amp;C1351)&gt;1,"Overlaps another row","OK"))))</f>
        <v/>
      </c>
      <c r="P1351">
        <f>IF(A1351="","",A1351&amp;"|"&amp;IF(B1351="","Standard",B1351))</f>
        <v/>
      </c>
      <c r="Q1351">
        <f>IF(AND(A1351&lt;&gt;"",A1351='Firm Search'!$C$7),COUNTIF($A$5:A1351,'Firm Search'!$C$7),"")</f>
        <v/>
      </c>
    </row>
    <row r="1352">
      <c r="A1352" s="64" t="n"/>
      <c r="B1352" s="64" t="n"/>
      <c r="C1352" s="66" t="n"/>
      <c r="D1352" s="66" t="n"/>
      <c r="E1352" s="67" t="n"/>
      <c r="F1352" s="67" t="n"/>
      <c r="G1352" s="67" t="n"/>
      <c r="H1352" s="67" t="n"/>
      <c r="I1352" s="67" t="n"/>
      <c r="J1352" s="67" t="n"/>
      <c r="K1352" s="67" t="n"/>
      <c r="L1352" s="67" t="n"/>
      <c r="M1352" s="64" t="n"/>
      <c r="N1352" s="66" t="n"/>
      <c r="O1352" s="84">
        <f>IF(A1352="","",IF(OR(C1352="",D1352=""),"Enter both dates",IF(D1352&lt;C1352,"To is before From",IF(COUNTIFS($P$5:$P$2004,P1352,$C$5:$C$2004,"&lt;="&amp;D1352,$D$5:$D$2004,"&gt;="&amp;C1352)&gt;1,"Overlaps another row","OK"))))</f>
        <v/>
      </c>
      <c r="P1352">
        <f>IF(A1352="","",A1352&amp;"|"&amp;IF(B1352="","Standard",B1352))</f>
        <v/>
      </c>
      <c r="Q1352">
        <f>IF(AND(A1352&lt;&gt;"",A1352='Firm Search'!$C$7),COUNTIF($A$5:A1352,'Firm Search'!$C$7),"")</f>
        <v/>
      </c>
    </row>
    <row r="1353">
      <c r="A1353" s="64" t="n"/>
      <c r="B1353" s="64" t="n"/>
      <c r="C1353" s="66" t="n"/>
      <c r="D1353" s="66" t="n"/>
      <c r="E1353" s="67" t="n"/>
      <c r="F1353" s="67" t="n"/>
      <c r="G1353" s="67" t="n"/>
      <c r="H1353" s="67" t="n"/>
      <c r="I1353" s="67" t="n"/>
      <c r="J1353" s="67" t="n"/>
      <c r="K1353" s="67" t="n"/>
      <c r="L1353" s="67" t="n"/>
      <c r="M1353" s="64" t="n"/>
      <c r="N1353" s="66" t="n"/>
      <c r="O1353" s="84">
        <f>IF(A1353="","",IF(OR(C1353="",D1353=""),"Enter both dates",IF(D1353&lt;C1353,"To is before From",IF(COUNTIFS($P$5:$P$2004,P1353,$C$5:$C$2004,"&lt;="&amp;D1353,$D$5:$D$2004,"&gt;="&amp;C1353)&gt;1,"Overlaps another row","OK"))))</f>
        <v/>
      </c>
      <c r="P1353">
        <f>IF(A1353="","",A1353&amp;"|"&amp;IF(B1353="","Standard",B1353))</f>
        <v/>
      </c>
      <c r="Q1353">
        <f>IF(AND(A1353&lt;&gt;"",A1353='Firm Search'!$C$7),COUNTIF($A$5:A1353,'Firm Search'!$C$7),"")</f>
        <v/>
      </c>
    </row>
    <row r="1354">
      <c r="A1354" s="64" t="n"/>
      <c r="B1354" s="64" t="n"/>
      <c r="C1354" s="66" t="n"/>
      <c r="D1354" s="66" t="n"/>
      <c r="E1354" s="67" t="n"/>
      <c r="F1354" s="67" t="n"/>
      <c r="G1354" s="67" t="n"/>
      <c r="H1354" s="67" t="n"/>
      <c r="I1354" s="67" t="n"/>
      <c r="J1354" s="67" t="n"/>
      <c r="K1354" s="67" t="n"/>
      <c r="L1354" s="67" t="n"/>
      <c r="M1354" s="64" t="n"/>
      <c r="N1354" s="66" t="n"/>
      <c r="O1354" s="84">
        <f>IF(A1354="","",IF(OR(C1354="",D1354=""),"Enter both dates",IF(D1354&lt;C1354,"To is before From",IF(COUNTIFS($P$5:$P$2004,P1354,$C$5:$C$2004,"&lt;="&amp;D1354,$D$5:$D$2004,"&gt;="&amp;C1354)&gt;1,"Overlaps another row","OK"))))</f>
        <v/>
      </c>
      <c r="P1354">
        <f>IF(A1354="","",A1354&amp;"|"&amp;IF(B1354="","Standard",B1354))</f>
        <v/>
      </c>
      <c r="Q1354">
        <f>IF(AND(A1354&lt;&gt;"",A1354='Firm Search'!$C$7),COUNTIF($A$5:A1354,'Firm Search'!$C$7),"")</f>
        <v/>
      </c>
    </row>
    <row r="1355">
      <c r="A1355" s="64" t="n"/>
      <c r="B1355" s="64" t="n"/>
      <c r="C1355" s="66" t="n"/>
      <c r="D1355" s="66" t="n"/>
      <c r="E1355" s="67" t="n"/>
      <c r="F1355" s="67" t="n"/>
      <c r="G1355" s="67" t="n"/>
      <c r="H1355" s="67" t="n"/>
      <c r="I1355" s="67" t="n"/>
      <c r="J1355" s="67" t="n"/>
      <c r="K1355" s="67" t="n"/>
      <c r="L1355" s="67" t="n"/>
      <c r="M1355" s="64" t="n"/>
      <c r="N1355" s="66" t="n"/>
      <c r="O1355" s="84">
        <f>IF(A1355="","",IF(OR(C1355="",D1355=""),"Enter both dates",IF(D1355&lt;C1355,"To is before From",IF(COUNTIFS($P$5:$P$2004,P1355,$C$5:$C$2004,"&lt;="&amp;D1355,$D$5:$D$2004,"&gt;="&amp;C1355)&gt;1,"Overlaps another row","OK"))))</f>
        <v/>
      </c>
      <c r="P1355">
        <f>IF(A1355="","",A1355&amp;"|"&amp;IF(B1355="","Standard",B1355))</f>
        <v/>
      </c>
      <c r="Q1355">
        <f>IF(AND(A1355&lt;&gt;"",A1355='Firm Search'!$C$7),COUNTIF($A$5:A1355,'Firm Search'!$C$7),"")</f>
        <v/>
      </c>
    </row>
    <row r="1356">
      <c r="A1356" s="64" t="n"/>
      <c r="B1356" s="64" t="n"/>
      <c r="C1356" s="66" t="n"/>
      <c r="D1356" s="66" t="n"/>
      <c r="E1356" s="67" t="n"/>
      <c r="F1356" s="67" t="n"/>
      <c r="G1356" s="67" t="n"/>
      <c r="H1356" s="67" t="n"/>
      <c r="I1356" s="67" t="n"/>
      <c r="J1356" s="67" t="n"/>
      <c r="K1356" s="67" t="n"/>
      <c r="L1356" s="67" t="n"/>
      <c r="M1356" s="64" t="n"/>
      <c r="N1356" s="66" t="n"/>
      <c r="O1356" s="84">
        <f>IF(A1356="","",IF(OR(C1356="",D1356=""),"Enter both dates",IF(D1356&lt;C1356,"To is before From",IF(COUNTIFS($P$5:$P$2004,P1356,$C$5:$C$2004,"&lt;="&amp;D1356,$D$5:$D$2004,"&gt;="&amp;C1356)&gt;1,"Overlaps another row","OK"))))</f>
        <v/>
      </c>
      <c r="P1356">
        <f>IF(A1356="","",A1356&amp;"|"&amp;IF(B1356="","Standard",B1356))</f>
        <v/>
      </c>
      <c r="Q1356">
        <f>IF(AND(A1356&lt;&gt;"",A1356='Firm Search'!$C$7),COUNTIF($A$5:A1356,'Firm Search'!$C$7),"")</f>
        <v/>
      </c>
    </row>
    <row r="1357">
      <c r="A1357" s="64" t="n"/>
      <c r="B1357" s="64" t="n"/>
      <c r="C1357" s="66" t="n"/>
      <c r="D1357" s="66" t="n"/>
      <c r="E1357" s="67" t="n"/>
      <c r="F1357" s="67" t="n"/>
      <c r="G1357" s="67" t="n"/>
      <c r="H1357" s="67" t="n"/>
      <c r="I1357" s="67" t="n"/>
      <c r="J1357" s="67" t="n"/>
      <c r="K1357" s="67" t="n"/>
      <c r="L1357" s="67" t="n"/>
      <c r="M1357" s="64" t="n"/>
      <c r="N1357" s="66" t="n"/>
      <c r="O1357" s="84">
        <f>IF(A1357="","",IF(OR(C1357="",D1357=""),"Enter both dates",IF(D1357&lt;C1357,"To is before From",IF(COUNTIFS($P$5:$P$2004,P1357,$C$5:$C$2004,"&lt;="&amp;D1357,$D$5:$D$2004,"&gt;="&amp;C1357)&gt;1,"Overlaps another row","OK"))))</f>
        <v/>
      </c>
      <c r="P1357">
        <f>IF(A1357="","",A1357&amp;"|"&amp;IF(B1357="","Standard",B1357))</f>
        <v/>
      </c>
      <c r="Q1357">
        <f>IF(AND(A1357&lt;&gt;"",A1357='Firm Search'!$C$7),COUNTIF($A$5:A1357,'Firm Search'!$C$7),"")</f>
        <v/>
      </c>
    </row>
    <row r="1358">
      <c r="A1358" s="64" t="n"/>
      <c r="B1358" s="64" t="n"/>
      <c r="C1358" s="66" t="n"/>
      <c r="D1358" s="66" t="n"/>
      <c r="E1358" s="67" t="n"/>
      <c r="F1358" s="67" t="n"/>
      <c r="G1358" s="67" t="n"/>
      <c r="H1358" s="67" t="n"/>
      <c r="I1358" s="67" t="n"/>
      <c r="J1358" s="67" t="n"/>
      <c r="K1358" s="67" t="n"/>
      <c r="L1358" s="67" t="n"/>
      <c r="M1358" s="64" t="n"/>
      <c r="N1358" s="66" t="n"/>
      <c r="O1358" s="84">
        <f>IF(A1358="","",IF(OR(C1358="",D1358=""),"Enter both dates",IF(D1358&lt;C1358,"To is before From",IF(COUNTIFS($P$5:$P$2004,P1358,$C$5:$C$2004,"&lt;="&amp;D1358,$D$5:$D$2004,"&gt;="&amp;C1358)&gt;1,"Overlaps another row","OK"))))</f>
        <v/>
      </c>
      <c r="P1358">
        <f>IF(A1358="","",A1358&amp;"|"&amp;IF(B1358="","Standard",B1358))</f>
        <v/>
      </c>
      <c r="Q1358">
        <f>IF(AND(A1358&lt;&gt;"",A1358='Firm Search'!$C$7),COUNTIF($A$5:A1358,'Firm Search'!$C$7),"")</f>
        <v/>
      </c>
    </row>
    <row r="1359">
      <c r="A1359" s="64" t="n"/>
      <c r="B1359" s="64" t="n"/>
      <c r="C1359" s="66" t="n"/>
      <c r="D1359" s="66" t="n"/>
      <c r="E1359" s="67" t="n"/>
      <c r="F1359" s="67" t="n"/>
      <c r="G1359" s="67" t="n"/>
      <c r="H1359" s="67" t="n"/>
      <c r="I1359" s="67" t="n"/>
      <c r="J1359" s="67" t="n"/>
      <c r="K1359" s="67" t="n"/>
      <c r="L1359" s="67" t="n"/>
      <c r="M1359" s="64" t="n"/>
      <c r="N1359" s="66" t="n"/>
      <c r="O1359" s="84">
        <f>IF(A1359="","",IF(OR(C1359="",D1359=""),"Enter both dates",IF(D1359&lt;C1359,"To is before From",IF(COUNTIFS($P$5:$P$2004,P1359,$C$5:$C$2004,"&lt;="&amp;D1359,$D$5:$D$2004,"&gt;="&amp;C1359)&gt;1,"Overlaps another row","OK"))))</f>
        <v/>
      </c>
      <c r="P1359">
        <f>IF(A1359="","",A1359&amp;"|"&amp;IF(B1359="","Standard",B1359))</f>
        <v/>
      </c>
      <c r="Q1359">
        <f>IF(AND(A1359&lt;&gt;"",A1359='Firm Search'!$C$7),COUNTIF($A$5:A1359,'Firm Search'!$C$7),"")</f>
        <v/>
      </c>
    </row>
    <row r="1360">
      <c r="A1360" s="64" t="n"/>
      <c r="B1360" s="64" t="n"/>
      <c r="C1360" s="66" t="n"/>
      <c r="D1360" s="66" t="n"/>
      <c r="E1360" s="67" t="n"/>
      <c r="F1360" s="67" t="n"/>
      <c r="G1360" s="67" t="n"/>
      <c r="H1360" s="67" t="n"/>
      <c r="I1360" s="67" t="n"/>
      <c r="J1360" s="67" t="n"/>
      <c r="K1360" s="67" t="n"/>
      <c r="L1360" s="67" t="n"/>
      <c r="M1360" s="64" t="n"/>
      <c r="N1360" s="66" t="n"/>
      <c r="O1360" s="84">
        <f>IF(A1360="","",IF(OR(C1360="",D1360=""),"Enter both dates",IF(D1360&lt;C1360,"To is before From",IF(COUNTIFS($P$5:$P$2004,P1360,$C$5:$C$2004,"&lt;="&amp;D1360,$D$5:$D$2004,"&gt;="&amp;C1360)&gt;1,"Overlaps another row","OK"))))</f>
        <v/>
      </c>
      <c r="P1360">
        <f>IF(A1360="","",A1360&amp;"|"&amp;IF(B1360="","Standard",B1360))</f>
        <v/>
      </c>
      <c r="Q1360">
        <f>IF(AND(A1360&lt;&gt;"",A1360='Firm Search'!$C$7),COUNTIF($A$5:A1360,'Firm Search'!$C$7),"")</f>
        <v/>
      </c>
    </row>
    <row r="1361">
      <c r="A1361" s="64" t="n"/>
      <c r="B1361" s="64" t="n"/>
      <c r="C1361" s="66" t="n"/>
      <c r="D1361" s="66" t="n"/>
      <c r="E1361" s="67" t="n"/>
      <c r="F1361" s="67" t="n"/>
      <c r="G1361" s="67" t="n"/>
      <c r="H1361" s="67" t="n"/>
      <c r="I1361" s="67" t="n"/>
      <c r="J1361" s="67" t="n"/>
      <c r="K1361" s="67" t="n"/>
      <c r="L1361" s="67" t="n"/>
      <c r="M1361" s="64" t="n"/>
      <c r="N1361" s="66" t="n"/>
      <c r="O1361" s="84">
        <f>IF(A1361="","",IF(OR(C1361="",D1361=""),"Enter both dates",IF(D1361&lt;C1361,"To is before From",IF(COUNTIFS($P$5:$P$2004,P1361,$C$5:$C$2004,"&lt;="&amp;D1361,$D$5:$D$2004,"&gt;="&amp;C1361)&gt;1,"Overlaps another row","OK"))))</f>
        <v/>
      </c>
      <c r="P1361">
        <f>IF(A1361="","",A1361&amp;"|"&amp;IF(B1361="","Standard",B1361))</f>
        <v/>
      </c>
      <c r="Q1361">
        <f>IF(AND(A1361&lt;&gt;"",A1361='Firm Search'!$C$7),COUNTIF($A$5:A1361,'Firm Search'!$C$7),"")</f>
        <v/>
      </c>
    </row>
    <row r="1362">
      <c r="A1362" s="64" t="n"/>
      <c r="B1362" s="64" t="n"/>
      <c r="C1362" s="66" t="n"/>
      <c r="D1362" s="66" t="n"/>
      <c r="E1362" s="67" t="n"/>
      <c r="F1362" s="67" t="n"/>
      <c r="G1362" s="67" t="n"/>
      <c r="H1362" s="67" t="n"/>
      <c r="I1362" s="67" t="n"/>
      <c r="J1362" s="67" t="n"/>
      <c r="K1362" s="67" t="n"/>
      <c r="L1362" s="67" t="n"/>
      <c r="M1362" s="64" t="n"/>
      <c r="N1362" s="66" t="n"/>
      <c r="O1362" s="84">
        <f>IF(A1362="","",IF(OR(C1362="",D1362=""),"Enter both dates",IF(D1362&lt;C1362,"To is before From",IF(COUNTIFS($P$5:$P$2004,P1362,$C$5:$C$2004,"&lt;="&amp;D1362,$D$5:$D$2004,"&gt;="&amp;C1362)&gt;1,"Overlaps another row","OK"))))</f>
        <v/>
      </c>
      <c r="P1362">
        <f>IF(A1362="","",A1362&amp;"|"&amp;IF(B1362="","Standard",B1362))</f>
        <v/>
      </c>
      <c r="Q1362">
        <f>IF(AND(A1362&lt;&gt;"",A1362='Firm Search'!$C$7),COUNTIF($A$5:A1362,'Firm Search'!$C$7),"")</f>
        <v/>
      </c>
    </row>
    <row r="1363">
      <c r="A1363" s="64" t="n"/>
      <c r="B1363" s="64" t="n"/>
      <c r="C1363" s="66" t="n"/>
      <c r="D1363" s="66" t="n"/>
      <c r="E1363" s="67" t="n"/>
      <c r="F1363" s="67" t="n"/>
      <c r="G1363" s="67" t="n"/>
      <c r="H1363" s="67" t="n"/>
      <c r="I1363" s="67" t="n"/>
      <c r="J1363" s="67" t="n"/>
      <c r="K1363" s="67" t="n"/>
      <c r="L1363" s="67" t="n"/>
      <c r="M1363" s="64" t="n"/>
      <c r="N1363" s="66" t="n"/>
      <c r="O1363" s="84">
        <f>IF(A1363="","",IF(OR(C1363="",D1363=""),"Enter both dates",IF(D1363&lt;C1363,"To is before From",IF(COUNTIFS($P$5:$P$2004,P1363,$C$5:$C$2004,"&lt;="&amp;D1363,$D$5:$D$2004,"&gt;="&amp;C1363)&gt;1,"Overlaps another row","OK"))))</f>
        <v/>
      </c>
      <c r="P1363">
        <f>IF(A1363="","",A1363&amp;"|"&amp;IF(B1363="","Standard",B1363))</f>
        <v/>
      </c>
      <c r="Q1363">
        <f>IF(AND(A1363&lt;&gt;"",A1363='Firm Search'!$C$7),COUNTIF($A$5:A1363,'Firm Search'!$C$7),"")</f>
        <v/>
      </c>
    </row>
    <row r="1364">
      <c r="A1364" s="64" t="n"/>
      <c r="B1364" s="64" t="n"/>
      <c r="C1364" s="66" t="n"/>
      <c r="D1364" s="66" t="n"/>
      <c r="E1364" s="67" t="n"/>
      <c r="F1364" s="67" t="n"/>
      <c r="G1364" s="67" t="n"/>
      <c r="H1364" s="67" t="n"/>
      <c r="I1364" s="67" t="n"/>
      <c r="J1364" s="67" t="n"/>
      <c r="K1364" s="67" t="n"/>
      <c r="L1364" s="67" t="n"/>
      <c r="M1364" s="64" t="n"/>
      <c r="N1364" s="66" t="n"/>
      <c r="O1364" s="84">
        <f>IF(A1364="","",IF(OR(C1364="",D1364=""),"Enter both dates",IF(D1364&lt;C1364,"To is before From",IF(COUNTIFS($P$5:$P$2004,P1364,$C$5:$C$2004,"&lt;="&amp;D1364,$D$5:$D$2004,"&gt;="&amp;C1364)&gt;1,"Overlaps another row","OK"))))</f>
        <v/>
      </c>
      <c r="P1364">
        <f>IF(A1364="","",A1364&amp;"|"&amp;IF(B1364="","Standard",B1364))</f>
        <v/>
      </c>
      <c r="Q1364">
        <f>IF(AND(A1364&lt;&gt;"",A1364='Firm Search'!$C$7),COUNTIF($A$5:A1364,'Firm Search'!$C$7),"")</f>
        <v/>
      </c>
    </row>
    <row r="1365">
      <c r="A1365" s="64" t="n"/>
      <c r="B1365" s="64" t="n"/>
      <c r="C1365" s="66" t="n"/>
      <c r="D1365" s="66" t="n"/>
      <c r="E1365" s="67" t="n"/>
      <c r="F1365" s="67" t="n"/>
      <c r="G1365" s="67" t="n"/>
      <c r="H1365" s="67" t="n"/>
      <c r="I1365" s="67" t="n"/>
      <c r="J1365" s="67" t="n"/>
      <c r="K1365" s="67" t="n"/>
      <c r="L1365" s="67" t="n"/>
      <c r="M1365" s="64" t="n"/>
      <c r="N1365" s="66" t="n"/>
      <c r="O1365" s="84">
        <f>IF(A1365="","",IF(OR(C1365="",D1365=""),"Enter both dates",IF(D1365&lt;C1365,"To is before From",IF(COUNTIFS($P$5:$P$2004,P1365,$C$5:$C$2004,"&lt;="&amp;D1365,$D$5:$D$2004,"&gt;="&amp;C1365)&gt;1,"Overlaps another row","OK"))))</f>
        <v/>
      </c>
      <c r="P1365">
        <f>IF(A1365="","",A1365&amp;"|"&amp;IF(B1365="","Standard",B1365))</f>
        <v/>
      </c>
      <c r="Q1365">
        <f>IF(AND(A1365&lt;&gt;"",A1365='Firm Search'!$C$7),COUNTIF($A$5:A1365,'Firm Search'!$C$7),"")</f>
        <v/>
      </c>
    </row>
    <row r="1366">
      <c r="A1366" s="64" t="n"/>
      <c r="B1366" s="64" t="n"/>
      <c r="C1366" s="66" t="n"/>
      <c r="D1366" s="66" t="n"/>
      <c r="E1366" s="67" t="n"/>
      <c r="F1366" s="67" t="n"/>
      <c r="G1366" s="67" t="n"/>
      <c r="H1366" s="67" t="n"/>
      <c r="I1366" s="67" t="n"/>
      <c r="J1366" s="67" t="n"/>
      <c r="K1366" s="67" t="n"/>
      <c r="L1366" s="67" t="n"/>
      <c r="M1366" s="64" t="n"/>
      <c r="N1366" s="66" t="n"/>
      <c r="O1366" s="84">
        <f>IF(A1366="","",IF(OR(C1366="",D1366=""),"Enter both dates",IF(D1366&lt;C1366,"To is before From",IF(COUNTIFS($P$5:$P$2004,P1366,$C$5:$C$2004,"&lt;="&amp;D1366,$D$5:$D$2004,"&gt;="&amp;C1366)&gt;1,"Overlaps another row","OK"))))</f>
        <v/>
      </c>
      <c r="P1366">
        <f>IF(A1366="","",A1366&amp;"|"&amp;IF(B1366="","Standard",B1366))</f>
        <v/>
      </c>
      <c r="Q1366">
        <f>IF(AND(A1366&lt;&gt;"",A1366='Firm Search'!$C$7),COUNTIF($A$5:A1366,'Firm Search'!$C$7),"")</f>
        <v/>
      </c>
    </row>
    <row r="1367">
      <c r="A1367" s="64" t="n"/>
      <c r="B1367" s="64" t="n"/>
      <c r="C1367" s="66" t="n"/>
      <c r="D1367" s="66" t="n"/>
      <c r="E1367" s="67" t="n"/>
      <c r="F1367" s="67" t="n"/>
      <c r="G1367" s="67" t="n"/>
      <c r="H1367" s="67" t="n"/>
      <c r="I1367" s="67" t="n"/>
      <c r="J1367" s="67" t="n"/>
      <c r="K1367" s="67" t="n"/>
      <c r="L1367" s="67" t="n"/>
      <c r="M1367" s="64" t="n"/>
      <c r="N1367" s="66" t="n"/>
      <c r="O1367" s="84">
        <f>IF(A1367="","",IF(OR(C1367="",D1367=""),"Enter both dates",IF(D1367&lt;C1367,"To is before From",IF(COUNTIFS($P$5:$P$2004,P1367,$C$5:$C$2004,"&lt;="&amp;D1367,$D$5:$D$2004,"&gt;="&amp;C1367)&gt;1,"Overlaps another row","OK"))))</f>
        <v/>
      </c>
      <c r="P1367">
        <f>IF(A1367="","",A1367&amp;"|"&amp;IF(B1367="","Standard",B1367))</f>
        <v/>
      </c>
      <c r="Q1367">
        <f>IF(AND(A1367&lt;&gt;"",A1367='Firm Search'!$C$7),COUNTIF($A$5:A1367,'Firm Search'!$C$7),"")</f>
        <v/>
      </c>
    </row>
    <row r="1368">
      <c r="A1368" s="64" t="n"/>
      <c r="B1368" s="64" t="n"/>
      <c r="C1368" s="66" t="n"/>
      <c r="D1368" s="66" t="n"/>
      <c r="E1368" s="67" t="n"/>
      <c r="F1368" s="67" t="n"/>
      <c r="G1368" s="67" t="n"/>
      <c r="H1368" s="67" t="n"/>
      <c r="I1368" s="67" t="n"/>
      <c r="J1368" s="67" t="n"/>
      <c r="K1368" s="67" t="n"/>
      <c r="L1368" s="67" t="n"/>
      <c r="M1368" s="64" t="n"/>
      <c r="N1368" s="66" t="n"/>
      <c r="O1368" s="84">
        <f>IF(A1368="","",IF(OR(C1368="",D1368=""),"Enter both dates",IF(D1368&lt;C1368,"To is before From",IF(COUNTIFS($P$5:$P$2004,P1368,$C$5:$C$2004,"&lt;="&amp;D1368,$D$5:$D$2004,"&gt;="&amp;C1368)&gt;1,"Overlaps another row","OK"))))</f>
        <v/>
      </c>
      <c r="P1368">
        <f>IF(A1368="","",A1368&amp;"|"&amp;IF(B1368="","Standard",B1368))</f>
        <v/>
      </c>
      <c r="Q1368">
        <f>IF(AND(A1368&lt;&gt;"",A1368='Firm Search'!$C$7),COUNTIF($A$5:A1368,'Firm Search'!$C$7),"")</f>
        <v/>
      </c>
    </row>
    <row r="1369">
      <c r="A1369" s="64" t="n"/>
      <c r="B1369" s="64" t="n"/>
      <c r="C1369" s="66" t="n"/>
      <c r="D1369" s="66" t="n"/>
      <c r="E1369" s="67" t="n"/>
      <c r="F1369" s="67" t="n"/>
      <c r="G1369" s="67" t="n"/>
      <c r="H1369" s="67" t="n"/>
      <c r="I1369" s="67" t="n"/>
      <c r="J1369" s="67" t="n"/>
      <c r="K1369" s="67" t="n"/>
      <c r="L1369" s="67" t="n"/>
      <c r="M1369" s="64" t="n"/>
      <c r="N1369" s="66" t="n"/>
      <c r="O1369" s="84">
        <f>IF(A1369="","",IF(OR(C1369="",D1369=""),"Enter both dates",IF(D1369&lt;C1369,"To is before From",IF(COUNTIFS($P$5:$P$2004,P1369,$C$5:$C$2004,"&lt;="&amp;D1369,$D$5:$D$2004,"&gt;="&amp;C1369)&gt;1,"Overlaps another row","OK"))))</f>
        <v/>
      </c>
      <c r="P1369">
        <f>IF(A1369="","",A1369&amp;"|"&amp;IF(B1369="","Standard",B1369))</f>
        <v/>
      </c>
      <c r="Q1369">
        <f>IF(AND(A1369&lt;&gt;"",A1369='Firm Search'!$C$7),COUNTIF($A$5:A1369,'Firm Search'!$C$7),"")</f>
        <v/>
      </c>
    </row>
    <row r="1370">
      <c r="A1370" s="64" t="n"/>
      <c r="B1370" s="64" t="n"/>
      <c r="C1370" s="66" t="n"/>
      <c r="D1370" s="66" t="n"/>
      <c r="E1370" s="67" t="n"/>
      <c r="F1370" s="67" t="n"/>
      <c r="G1370" s="67" t="n"/>
      <c r="H1370" s="67" t="n"/>
      <c r="I1370" s="67" t="n"/>
      <c r="J1370" s="67" t="n"/>
      <c r="K1370" s="67" t="n"/>
      <c r="L1370" s="67" t="n"/>
      <c r="M1370" s="64" t="n"/>
      <c r="N1370" s="66" t="n"/>
      <c r="O1370" s="84">
        <f>IF(A1370="","",IF(OR(C1370="",D1370=""),"Enter both dates",IF(D1370&lt;C1370,"To is before From",IF(COUNTIFS($P$5:$P$2004,P1370,$C$5:$C$2004,"&lt;="&amp;D1370,$D$5:$D$2004,"&gt;="&amp;C1370)&gt;1,"Overlaps another row","OK"))))</f>
        <v/>
      </c>
      <c r="P1370">
        <f>IF(A1370="","",A1370&amp;"|"&amp;IF(B1370="","Standard",B1370))</f>
        <v/>
      </c>
      <c r="Q1370">
        <f>IF(AND(A1370&lt;&gt;"",A1370='Firm Search'!$C$7),COUNTIF($A$5:A1370,'Firm Search'!$C$7),"")</f>
        <v/>
      </c>
    </row>
    <row r="1371">
      <c r="A1371" s="64" t="n"/>
      <c r="B1371" s="64" t="n"/>
      <c r="C1371" s="66" t="n"/>
      <c r="D1371" s="66" t="n"/>
      <c r="E1371" s="67" t="n"/>
      <c r="F1371" s="67" t="n"/>
      <c r="G1371" s="67" t="n"/>
      <c r="H1371" s="67" t="n"/>
      <c r="I1371" s="67" t="n"/>
      <c r="J1371" s="67" t="n"/>
      <c r="K1371" s="67" t="n"/>
      <c r="L1371" s="67" t="n"/>
      <c r="M1371" s="64" t="n"/>
      <c r="N1371" s="66" t="n"/>
      <c r="O1371" s="84">
        <f>IF(A1371="","",IF(OR(C1371="",D1371=""),"Enter both dates",IF(D1371&lt;C1371,"To is before From",IF(COUNTIFS($P$5:$P$2004,P1371,$C$5:$C$2004,"&lt;="&amp;D1371,$D$5:$D$2004,"&gt;="&amp;C1371)&gt;1,"Overlaps another row","OK"))))</f>
        <v/>
      </c>
      <c r="P1371">
        <f>IF(A1371="","",A1371&amp;"|"&amp;IF(B1371="","Standard",B1371))</f>
        <v/>
      </c>
      <c r="Q1371">
        <f>IF(AND(A1371&lt;&gt;"",A1371='Firm Search'!$C$7),COUNTIF($A$5:A1371,'Firm Search'!$C$7),"")</f>
        <v/>
      </c>
    </row>
    <row r="1372">
      <c r="A1372" s="64" t="n"/>
      <c r="B1372" s="64" t="n"/>
      <c r="C1372" s="66" t="n"/>
      <c r="D1372" s="66" t="n"/>
      <c r="E1372" s="67" t="n"/>
      <c r="F1372" s="67" t="n"/>
      <c r="G1372" s="67" t="n"/>
      <c r="H1372" s="67" t="n"/>
      <c r="I1372" s="67" t="n"/>
      <c r="J1372" s="67" t="n"/>
      <c r="K1372" s="67" t="n"/>
      <c r="L1372" s="67" t="n"/>
      <c r="M1372" s="64" t="n"/>
      <c r="N1372" s="66" t="n"/>
      <c r="O1372" s="84">
        <f>IF(A1372="","",IF(OR(C1372="",D1372=""),"Enter both dates",IF(D1372&lt;C1372,"To is before From",IF(COUNTIFS($P$5:$P$2004,P1372,$C$5:$C$2004,"&lt;="&amp;D1372,$D$5:$D$2004,"&gt;="&amp;C1372)&gt;1,"Overlaps another row","OK"))))</f>
        <v/>
      </c>
      <c r="P1372">
        <f>IF(A1372="","",A1372&amp;"|"&amp;IF(B1372="","Standard",B1372))</f>
        <v/>
      </c>
      <c r="Q1372">
        <f>IF(AND(A1372&lt;&gt;"",A1372='Firm Search'!$C$7),COUNTIF($A$5:A1372,'Firm Search'!$C$7),"")</f>
        <v/>
      </c>
    </row>
    <row r="1373">
      <c r="A1373" s="64" t="n"/>
      <c r="B1373" s="64" t="n"/>
      <c r="C1373" s="66" t="n"/>
      <c r="D1373" s="66" t="n"/>
      <c r="E1373" s="67" t="n"/>
      <c r="F1373" s="67" t="n"/>
      <c r="G1373" s="67" t="n"/>
      <c r="H1373" s="67" t="n"/>
      <c r="I1373" s="67" t="n"/>
      <c r="J1373" s="67" t="n"/>
      <c r="K1373" s="67" t="n"/>
      <c r="L1373" s="67" t="n"/>
      <c r="M1373" s="64" t="n"/>
      <c r="N1373" s="66" t="n"/>
      <c r="O1373" s="84">
        <f>IF(A1373="","",IF(OR(C1373="",D1373=""),"Enter both dates",IF(D1373&lt;C1373,"To is before From",IF(COUNTIFS($P$5:$P$2004,P1373,$C$5:$C$2004,"&lt;="&amp;D1373,$D$5:$D$2004,"&gt;="&amp;C1373)&gt;1,"Overlaps another row","OK"))))</f>
        <v/>
      </c>
      <c r="P1373">
        <f>IF(A1373="","",A1373&amp;"|"&amp;IF(B1373="","Standard",B1373))</f>
        <v/>
      </c>
      <c r="Q1373">
        <f>IF(AND(A1373&lt;&gt;"",A1373='Firm Search'!$C$7),COUNTIF($A$5:A1373,'Firm Search'!$C$7),"")</f>
        <v/>
      </c>
    </row>
    <row r="1374">
      <c r="A1374" s="64" t="n"/>
      <c r="B1374" s="64" t="n"/>
      <c r="C1374" s="66" t="n"/>
      <c r="D1374" s="66" t="n"/>
      <c r="E1374" s="67" t="n"/>
      <c r="F1374" s="67" t="n"/>
      <c r="G1374" s="67" t="n"/>
      <c r="H1374" s="67" t="n"/>
      <c r="I1374" s="67" t="n"/>
      <c r="J1374" s="67" t="n"/>
      <c r="K1374" s="67" t="n"/>
      <c r="L1374" s="67" t="n"/>
      <c r="M1374" s="64" t="n"/>
      <c r="N1374" s="66" t="n"/>
      <c r="O1374" s="84">
        <f>IF(A1374="","",IF(OR(C1374="",D1374=""),"Enter both dates",IF(D1374&lt;C1374,"To is before From",IF(COUNTIFS($P$5:$P$2004,P1374,$C$5:$C$2004,"&lt;="&amp;D1374,$D$5:$D$2004,"&gt;="&amp;C1374)&gt;1,"Overlaps another row","OK"))))</f>
        <v/>
      </c>
      <c r="P1374">
        <f>IF(A1374="","",A1374&amp;"|"&amp;IF(B1374="","Standard",B1374))</f>
        <v/>
      </c>
      <c r="Q1374">
        <f>IF(AND(A1374&lt;&gt;"",A1374='Firm Search'!$C$7),COUNTIF($A$5:A1374,'Firm Search'!$C$7),"")</f>
        <v/>
      </c>
    </row>
    <row r="1375">
      <c r="A1375" s="64" t="n"/>
      <c r="B1375" s="64" t="n"/>
      <c r="C1375" s="66" t="n"/>
      <c r="D1375" s="66" t="n"/>
      <c r="E1375" s="67" t="n"/>
      <c r="F1375" s="67" t="n"/>
      <c r="G1375" s="67" t="n"/>
      <c r="H1375" s="67" t="n"/>
      <c r="I1375" s="67" t="n"/>
      <c r="J1375" s="67" t="n"/>
      <c r="K1375" s="67" t="n"/>
      <c r="L1375" s="67" t="n"/>
      <c r="M1375" s="64" t="n"/>
      <c r="N1375" s="66" t="n"/>
      <c r="O1375" s="84">
        <f>IF(A1375="","",IF(OR(C1375="",D1375=""),"Enter both dates",IF(D1375&lt;C1375,"To is before From",IF(COUNTIFS($P$5:$P$2004,P1375,$C$5:$C$2004,"&lt;="&amp;D1375,$D$5:$D$2004,"&gt;="&amp;C1375)&gt;1,"Overlaps another row","OK"))))</f>
        <v/>
      </c>
      <c r="P1375">
        <f>IF(A1375="","",A1375&amp;"|"&amp;IF(B1375="","Standard",B1375))</f>
        <v/>
      </c>
      <c r="Q1375">
        <f>IF(AND(A1375&lt;&gt;"",A1375='Firm Search'!$C$7),COUNTIF($A$5:A1375,'Firm Search'!$C$7),"")</f>
        <v/>
      </c>
    </row>
    <row r="1376">
      <c r="A1376" s="64" t="n"/>
      <c r="B1376" s="64" t="n"/>
      <c r="C1376" s="66" t="n"/>
      <c r="D1376" s="66" t="n"/>
      <c r="E1376" s="67" t="n"/>
      <c r="F1376" s="67" t="n"/>
      <c r="G1376" s="67" t="n"/>
      <c r="H1376" s="67" t="n"/>
      <c r="I1376" s="67" t="n"/>
      <c r="J1376" s="67" t="n"/>
      <c r="K1376" s="67" t="n"/>
      <c r="L1376" s="67" t="n"/>
      <c r="M1376" s="64" t="n"/>
      <c r="N1376" s="66" t="n"/>
      <c r="O1376" s="84">
        <f>IF(A1376="","",IF(OR(C1376="",D1376=""),"Enter both dates",IF(D1376&lt;C1376,"To is before From",IF(COUNTIFS($P$5:$P$2004,P1376,$C$5:$C$2004,"&lt;="&amp;D1376,$D$5:$D$2004,"&gt;="&amp;C1376)&gt;1,"Overlaps another row","OK"))))</f>
        <v/>
      </c>
      <c r="P1376">
        <f>IF(A1376="","",A1376&amp;"|"&amp;IF(B1376="","Standard",B1376))</f>
        <v/>
      </c>
      <c r="Q1376">
        <f>IF(AND(A1376&lt;&gt;"",A1376='Firm Search'!$C$7),COUNTIF($A$5:A1376,'Firm Search'!$C$7),"")</f>
        <v/>
      </c>
    </row>
    <row r="1377">
      <c r="A1377" s="64" t="n"/>
      <c r="B1377" s="64" t="n"/>
      <c r="C1377" s="66" t="n"/>
      <c r="D1377" s="66" t="n"/>
      <c r="E1377" s="67" t="n"/>
      <c r="F1377" s="67" t="n"/>
      <c r="G1377" s="67" t="n"/>
      <c r="H1377" s="67" t="n"/>
      <c r="I1377" s="67" t="n"/>
      <c r="J1377" s="67" t="n"/>
      <c r="K1377" s="67" t="n"/>
      <c r="L1377" s="67" t="n"/>
      <c r="M1377" s="64" t="n"/>
      <c r="N1377" s="66" t="n"/>
      <c r="O1377" s="84">
        <f>IF(A1377="","",IF(OR(C1377="",D1377=""),"Enter both dates",IF(D1377&lt;C1377,"To is before From",IF(COUNTIFS($P$5:$P$2004,P1377,$C$5:$C$2004,"&lt;="&amp;D1377,$D$5:$D$2004,"&gt;="&amp;C1377)&gt;1,"Overlaps another row","OK"))))</f>
        <v/>
      </c>
      <c r="P1377">
        <f>IF(A1377="","",A1377&amp;"|"&amp;IF(B1377="","Standard",B1377))</f>
        <v/>
      </c>
      <c r="Q1377">
        <f>IF(AND(A1377&lt;&gt;"",A1377='Firm Search'!$C$7),COUNTIF($A$5:A1377,'Firm Search'!$C$7),"")</f>
        <v/>
      </c>
    </row>
    <row r="1378">
      <c r="A1378" s="64" t="n"/>
      <c r="B1378" s="64" t="n"/>
      <c r="C1378" s="66" t="n"/>
      <c r="D1378" s="66" t="n"/>
      <c r="E1378" s="67" t="n"/>
      <c r="F1378" s="67" t="n"/>
      <c r="G1378" s="67" t="n"/>
      <c r="H1378" s="67" t="n"/>
      <c r="I1378" s="67" t="n"/>
      <c r="J1378" s="67" t="n"/>
      <c r="K1378" s="67" t="n"/>
      <c r="L1378" s="67" t="n"/>
      <c r="M1378" s="64" t="n"/>
      <c r="N1378" s="66" t="n"/>
      <c r="O1378" s="84">
        <f>IF(A1378="","",IF(OR(C1378="",D1378=""),"Enter both dates",IF(D1378&lt;C1378,"To is before From",IF(COUNTIFS($P$5:$P$2004,P1378,$C$5:$C$2004,"&lt;="&amp;D1378,$D$5:$D$2004,"&gt;="&amp;C1378)&gt;1,"Overlaps another row","OK"))))</f>
        <v/>
      </c>
      <c r="P1378">
        <f>IF(A1378="","",A1378&amp;"|"&amp;IF(B1378="","Standard",B1378))</f>
        <v/>
      </c>
      <c r="Q1378">
        <f>IF(AND(A1378&lt;&gt;"",A1378='Firm Search'!$C$7),COUNTIF($A$5:A1378,'Firm Search'!$C$7),"")</f>
        <v/>
      </c>
    </row>
    <row r="1379">
      <c r="A1379" s="64" t="n"/>
      <c r="B1379" s="64" t="n"/>
      <c r="C1379" s="66" t="n"/>
      <c r="D1379" s="66" t="n"/>
      <c r="E1379" s="67" t="n"/>
      <c r="F1379" s="67" t="n"/>
      <c r="G1379" s="67" t="n"/>
      <c r="H1379" s="67" t="n"/>
      <c r="I1379" s="67" t="n"/>
      <c r="J1379" s="67" t="n"/>
      <c r="K1379" s="67" t="n"/>
      <c r="L1379" s="67" t="n"/>
      <c r="M1379" s="64" t="n"/>
      <c r="N1379" s="66" t="n"/>
      <c r="O1379" s="84">
        <f>IF(A1379="","",IF(OR(C1379="",D1379=""),"Enter both dates",IF(D1379&lt;C1379,"To is before From",IF(COUNTIFS($P$5:$P$2004,P1379,$C$5:$C$2004,"&lt;="&amp;D1379,$D$5:$D$2004,"&gt;="&amp;C1379)&gt;1,"Overlaps another row","OK"))))</f>
        <v/>
      </c>
      <c r="P1379">
        <f>IF(A1379="","",A1379&amp;"|"&amp;IF(B1379="","Standard",B1379))</f>
        <v/>
      </c>
      <c r="Q1379">
        <f>IF(AND(A1379&lt;&gt;"",A1379='Firm Search'!$C$7),COUNTIF($A$5:A1379,'Firm Search'!$C$7),"")</f>
        <v/>
      </c>
    </row>
    <row r="1380">
      <c r="A1380" s="64" t="n"/>
      <c r="B1380" s="64" t="n"/>
      <c r="C1380" s="66" t="n"/>
      <c r="D1380" s="66" t="n"/>
      <c r="E1380" s="67" t="n"/>
      <c r="F1380" s="67" t="n"/>
      <c r="G1380" s="67" t="n"/>
      <c r="H1380" s="67" t="n"/>
      <c r="I1380" s="67" t="n"/>
      <c r="J1380" s="67" t="n"/>
      <c r="K1380" s="67" t="n"/>
      <c r="L1380" s="67" t="n"/>
      <c r="M1380" s="64" t="n"/>
      <c r="N1380" s="66" t="n"/>
      <c r="O1380" s="84">
        <f>IF(A1380="","",IF(OR(C1380="",D1380=""),"Enter both dates",IF(D1380&lt;C1380,"To is before From",IF(COUNTIFS($P$5:$P$2004,P1380,$C$5:$C$2004,"&lt;="&amp;D1380,$D$5:$D$2004,"&gt;="&amp;C1380)&gt;1,"Overlaps another row","OK"))))</f>
        <v/>
      </c>
      <c r="P1380">
        <f>IF(A1380="","",A1380&amp;"|"&amp;IF(B1380="","Standard",B1380))</f>
        <v/>
      </c>
      <c r="Q1380">
        <f>IF(AND(A1380&lt;&gt;"",A1380='Firm Search'!$C$7),COUNTIF($A$5:A1380,'Firm Search'!$C$7),"")</f>
        <v/>
      </c>
    </row>
    <row r="1381">
      <c r="A1381" s="64" t="n"/>
      <c r="B1381" s="64" t="n"/>
      <c r="C1381" s="66" t="n"/>
      <c r="D1381" s="66" t="n"/>
      <c r="E1381" s="67" t="n"/>
      <c r="F1381" s="67" t="n"/>
      <c r="G1381" s="67" t="n"/>
      <c r="H1381" s="67" t="n"/>
      <c r="I1381" s="67" t="n"/>
      <c r="J1381" s="67" t="n"/>
      <c r="K1381" s="67" t="n"/>
      <c r="L1381" s="67" t="n"/>
      <c r="M1381" s="64" t="n"/>
      <c r="N1381" s="66" t="n"/>
      <c r="O1381" s="84">
        <f>IF(A1381="","",IF(OR(C1381="",D1381=""),"Enter both dates",IF(D1381&lt;C1381,"To is before From",IF(COUNTIFS($P$5:$P$2004,P1381,$C$5:$C$2004,"&lt;="&amp;D1381,$D$5:$D$2004,"&gt;="&amp;C1381)&gt;1,"Overlaps another row","OK"))))</f>
        <v/>
      </c>
      <c r="P1381">
        <f>IF(A1381="","",A1381&amp;"|"&amp;IF(B1381="","Standard",B1381))</f>
        <v/>
      </c>
      <c r="Q1381">
        <f>IF(AND(A1381&lt;&gt;"",A1381='Firm Search'!$C$7),COUNTIF($A$5:A1381,'Firm Search'!$C$7),"")</f>
        <v/>
      </c>
    </row>
    <row r="1382">
      <c r="A1382" s="64" t="n"/>
      <c r="B1382" s="64" t="n"/>
      <c r="C1382" s="66" t="n"/>
      <c r="D1382" s="66" t="n"/>
      <c r="E1382" s="67" t="n"/>
      <c r="F1382" s="67" t="n"/>
      <c r="G1382" s="67" t="n"/>
      <c r="H1382" s="67" t="n"/>
      <c r="I1382" s="67" t="n"/>
      <c r="J1382" s="67" t="n"/>
      <c r="K1382" s="67" t="n"/>
      <c r="L1382" s="67" t="n"/>
      <c r="M1382" s="64" t="n"/>
      <c r="N1382" s="66" t="n"/>
      <c r="O1382" s="84">
        <f>IF(A1382="","",IF(OR(C1382="",D1382=""),"Enter both dates",IF(D1382&lt;C1382,"To is before From",IF(COUNTIFS($P$5:$P$2004,P1382,$C$5:$C$2004,"&lt;="&amp;D1382,$D$5:$D$2004,"&gt;="&amp;C1382)&gt;1,"Overlaps another row","OK"))))</f>
        <v/>
      </c>
      <c r="P1382">
        <f>IF(A1382="","",A1382&amp;"|"&amp;IF(B1382="","Standard",B1382))</f>
        <v/>
      </c>
      <c r="Q1382">
        <f>IF(AND(A1382&lt;&gt;"",A1382='Firm Search'!$C$7),COUNTIF($A$5:A1382,'Firm Search'!$C$7),"")</f>
        <v/>
      </c>
    </row>
    <row r="1383">
      <c r="A1383" s="64" t="n"/>
      <c r="B1383" s="64" t="n"/>
      <c r="C1383" s="66" t="n"/>
      <c r="D1383" s="66" t="n"/>
      <c r="E1383" s="67" t="n"/>
      <c r="F1383" s="67" t="n"/>
      <c r="G1383" s="67" t="n"/>
      <c r="H1383" s="67" t="n"/>
      <c r="I1383" s="67" t="n"/>
      <c r="J1383" s="67" t="n"/>
      <c r="K1383" s="67" t="n"/>
      <c r="L1383" s="67" t="n"/>
      <c r="M1383" s="64" t="n"/>
      <c r="N1383" s="66" t="n"/>
      <c r="O1383" s="84">
        <f>IF(A1383="","",IF(OR(C1383="",D1383=""),"Enter both dates",IF(D1383&lt;C1383,"To is before From",IF(COUNTIFS($P$5:$P$2004,P1383,$C$5:$C$2004,"&lt;="&amp;D1383,$D$5:$D$2004,"&gt;="&amp;C1383)&gt;1,"Overlaps another row","OK"))))</f>
        <v/>
      </c>
      <c r="P1383">
        <f>IF(A1383="","",A1383&amp;"|"&amp;IF(B1383="","Standard",B1383))</f>
        <v/>
      </c>
      <c r="Q1383">
        <f>IF(AND(A1383&lt;&gt;"",A1383='Firm Search'!$C$7),COUNTIF($A$5:A1383,'Firm Search'!$C$7),"")</f>
        <v/>
      </c>
    </row>
    <row r="1384">
      <c r="A1384" s="64" t="n"/>
      <c r="B1384" s="64" t="n"/>
      <c r="C1384" s="66" t="n"/>
      <c r="D1384" s="66" t="n"/>
      <c r="E1384" s="67" t="n"/>
      <c r="F1384" s="67" t="n"/>
      <c r="G1384" s="67" t="n"/>
      <c r="H1384" s="67" t="n"/>
      <c r="I1384" s="67" t="n"/>
      <c r="J1384" s="67" t="n"/>
      <c r="K1384" s="67" t="n"/>
      <c r="L1384" s="67" t="n"/>
      <c r="M1384" s="64" t="n"/>
      <c r="N1384" s="66" t="n"/>
      <c r="O1384" s="84">
        <f>IF(A1384="","",IF(OR(C1384="",D1384=""),"Enter both dates",IF(D1384&lt;C1384,"To is before From",IF(COUNTIFS($P$5:$P$2004,P1384,$C$5:$C$2004,"&lt;="&amp;D1384,$D$5:$D$2004,"&gt;="&amp;C1384)&gt;1,"Overlaps another row","OK"))))</f>
        <v/>
      </c>
      <c r="P1384">
        <f>IF(A1384="","",A1384&amp;"|"&amp;IF(B1384="","Standard",B1384))</f>
        <v/>
      </c>
      <c r="Q1384">
        <f>IF(AND(A1384&lt;&gt;"",A1384='Firm Search'!$C$7),COUNTIF($A$5:A1384,'Firm Search'!$C$7),"")</f>
        <v/>
      </c>
    </row>
    <row r="1385">
      <c r="A1385" s="64" t="n"/>
      <c r="B1385" s="64" t="n"/>
      <c r="C1385" s="66" t="n"/>
      <c r="D1385" s="66" t="n"/>
      <c r="E1385" s="67" t="n"/>
      <c r="F1385" s="67" t="n"/>
      <c r="G1385" s="67" t="n"/>
      <c r="H1385" s="67" t="n"/>
      <c r="I1385" s="67" t="n"/>
      <c r="J1385" s="67" t="n"/>
      <c r="K1385" s="67" t="n"/>
      <c r="L1385" s="67" t="n"/>
      <c r="M1385" s="64" t="n"/>
      <c r="N1385" s="66" t="n"/>
      <c r="O1385" s="84">
        <f>IF(A1385="","",IF(OR(C1385="",D1385=""),"Enter both dates",IF(D1385&lt;C1385,"To is before From",IF(COUNTIFS($P$5:$P$2004,P1385,$C$5:$C$2004,"&lt;="&amp;D1385,$D$5:$D$2004,"&gt;="&amp;C1385)&gt;1,"Overlaps another row","OK"))))</f>
        <v/>
      </c>
      <c r="P1385">
        <f>IF(A1385="","",A1385&amp;"|"&amp;IF(B1385="","Standard",B1385))</f>
        <v/>
      </c>
      <c r="Q1385">
        <f>IF(AND(A1385&lt;&gt;"",A1385='Firm Search'!$C$7),COUNTIF($A$5:A1385,'Firm Search'!$C$7),"")</f>
        <v/>
      </c>
    </row>
    <row r="1386">
      <c r="A1386" s="64" t="n"/>
      <c r="B1386" s="64" t="n"/>
      <c r="C1386" s="66" t="n"/>
      <c r="D1386" s="66" t="n"/>
      <c r="E1386" s="67" t="n"/>
      <c r="F1386" s="67" t="n"/>
      <c r="G1386" s="67" t="n"/>
      <c r="H1386" s="67" t="n"/>
      <c r="I1386" s="67" t="n"/>
      <c r="J1386" s="67" t="n"/>
      <c r="K1386" s="67" t="n"/>
      <c r="L1386" s="67" t="n"/>
      <c r="M1386" s="64" t="n"/>
      <c r="N1386" s="66" t="n"/>
      <c r="O1386" s="84">
        <f>IF(A1386="","",IF(OR(C1386="",D1386=""),"Enter both dates",IF(D1386&lt;C1386,"To is before From",IF(COUNTIFS($P$5:$P$2004,P1386,$C$5:$C$2004,"&lt;="&amp;D1386,$D$5:$D$2004,"&gt;="&amp;C1386)&gt;1,"Overlaps another row","OK"))))</f>
        <v/>
      </c>
      <c r="P1386">
        <f>IF(A1386="","",A1386&amp;"|"&amp;IF(B1386="","Standard",B1386))</f>
        <v/>
      </c>
      <c r="Q1386">
        <f>IF(AND(A1386&lt;&gt;"",A1386='Firm Search'!$C$7),COUNTIF($A$5:A1386,'Firm Search'!$C$7),"")</f>
        <v/>
      </c>
    </row>
    <row r="1387">
      <c r="A1387" s="64" t="n"/>
      <c r="B1387" s="64" t="n"/>
      <c r="C1387" s="66" t="n"/>
      <c r="D1387" s="66" t="n"/>
      <c r="E1387" s="67" t="n"/>
      <c r="F1387" s="67" t="n"/>
      <c r="G1387" s="67" t="n"/>
      <c r="H1387" s="67" t="n"/>
      <c r="I1387" s="67" t="n"/>
      <c r="J1387" s="67" t="n"/>
      <c r="K1387" s="67" t="n"/>
      <c r="L1387" s="67" t="n"/>
      <c r="M1387" s="64" t="n"/>
      <c r="N1387" s="66" t="n"/>
      <c r="O1387" s="84">
        <f>IF(A1387="","",IF(OR(C1387="",D1387=""),"Enter both dates",IF(D1387&lt;C1387,"To is before From",IF(COUNTIFS($P$5:$P$2004,P1387,$C$5:$C$2004,"&lt;="&amp;D1387,$D$5:$D$2004,"&gt;="&amp;C1387)&gt;1,"Overlaps another row","OK"))))</f>
        <v/>
      </c>
      <c r="P1387">
        <f>IF(A1387="","",A1387&amp;"|"&amp;IF(B1387="","Standard",B1387))</f>
        <v/>
      </c>
      <c r="Q1387">
        <f>IF(AND(A1387&lt;&gt;"",A1387='Firm Search'!$C$7),COUNTIF($A$5:A1387,'Firm Search'!$C$7),"")</f>
        <v/>
      </c>
    </row>
    <row r="1388">
      <c r="A1388" s="64" t="n"/>
      <c r="B1388" s="64" t="n"/>
      <c r="C1388" s="66" t="n"/>
      <c r="D1388" s="66" t="n"/>
      <c r="E1388" s="67" t="n"/>
      <c r="F1388" s="67" t="n"/>
      <c r="G1388" s="67" t="n"/>
      <c r="H1388" s="67" t="n"/>
      <c r="I1388" s="67" t="n"/>
      <c r="J1388" s="67" t="n"/>
      <c r="K1388" s="67" t="n"/>
      <c r="L1388" s="67" t="n"/>
      <c r="M1388" s="64" t="n"/>
      <c r="N1388" s="66" t="n"/>
      <c r="O1388" s="84">
        <f>IF(A1388="","",IF(OR(C1388="",D1388=""),"Enter both dates",IF(D1388&lt;C1388,"To is before From",IF(COUNTIFS($P$5:$P$2004,P1388,$C$5:$C$2004,"&lt;="&amp;D1388,$D$5:$D$2004,"&gt;="&amp;C1388)&gt;1,"Overlaps another row","OK"))))</f>
        <v/>
      </c>
      <c r="P1388">
        <f>IF(A1388="","",A1388&amp;"|"&amp;IF(B1388="","Standard",B1388))</f>
        <v/>
      </c>
      <c r="Q1388">
        <f>IF(AND(A1388&lt;&gt;"",A1388='Firm Search'!$C$7),COUNTIF($A$5:A1388,'Firm Search'!$C$7),"")</f>
        <v/>
      </c>
    </row>
    <row r="1389">
      <c r="A1389" s="64" t="n"/>
      <c r="B1389" s="64" t="n"/>
      <c r="C1389" s="66" t="n"/>
      <c r="D1389" s="66" t="n"/>
      <c r="E1389" s="67" t="n"/>
      <c r="F1389" s="67" t="n"/>
      <c r="G1389" s="67" t="n"/>
      <c r="H1389" s="67" t="n"/>
      <c r="I1389" s="67" t="n"/>
      <c r="J1389" s="67" t="n"/>
      <c r="K1389" s="67" t="n"/>
      <c r="L1389" s="67" t="n"/>
      <c r="M1389" s="64" t="n"/>
      <c r="N1389" s="66" t="n"/>
      <c r="O1389" s="84">
        <f>IF(A1389="","",IF(OR(C1389="",D1389=""),"Enter both dates",IF(D1389&lt;C1389,"To is before From",IF(COUNTIFS($P$5:$P$2004,P1389,$C$5:$C$2004,"&lt;="&amp;D1389,$D$5:$D$2004,"&gt;="&amp;C1389)&gt;1,"Overlaps another row","OK"))))</f>
        <v/>
      </c>
      <c r="P1389">
        <f>IF(A1389="","",A1389&amp;"|"&amp;IF(B1389="","Standard",B1389))</f>
        <v/>
      </c>
      <c r="Q1389">
        <f>IF(AND(A1389&lt;&gt;"",A1389='Firm Search'!$C$7),COUNTIF($A$5:A1389,'Firm Search'!$C$7),"")</f>
        <v/>
      </c>
    </row>
    <row r="1390">
      <c r="A1390" s="64" t="n"/>
      <c r="B1390" s="64" t="n"/>
      <c r="C1390" s="66" t="n"/>
      <c r="D1390" s="66" t="n"/>
      <c r="E1390" s="67" t="n"/>
      <c r="F1390" s="67" t="n"/>
      <c r="G1390" s="67" t="n"/>
      <c r="H1390" s="67" t="n"/>
      <c r="I1390" s="67" t="n"/>
      <c r="J1390" s="67" t="n"/>
      <c r="K1390" s="67" t="n"/>
      <c r="L1390" s="67" t="n"/>
      <c r="M1390" s="64" t="n"/>
      <c r="N1390" s="66" t="n"/>
      <c r="O1390" s="84">
        <f>IF(A1390="","",IF(OR(C1390="",D1390=""),"Enter both dates",IF(D1390&lt;C1390,"To is before From",IF(COUNTIFS($P$5:$P$2004,P1390,$C$5:$C$2004,"&lt;="&amp;D1390,$D$5:$D$2004,"&gt;="&amp;C1390)&gt;1,"Overlaps another row","OK"))))</f>
        <v/>
      </c>
      <c r="P1390">
        <f>IF(A1390="","",A1390&amp;"|"&amp;IF(B1390="","Standard",B1390))</f>
        <v/>
      </c>
      <c r="Q1390">
        <f>IF(AND(A1390&lt;&gt;"",A1390='Firm Search'!$C$7),COUNTIF($A$5:A1390,'Firm Search'!$C$7),"")</f>
        <v/>
      </c>
    </row>
    <row r="1391">
      <c r="A1391" s="64" t="n"/>
      <c r="B1391" s="64" t="n"/>
      <c r="C1391" s="66" t="n"/>
      <c r="D1391" s="66" t="n"/>
      <c r="E1391" s="67" t="n"/>
      <c r="F1391" s="67" t="n"/>
      <c r="G1391" s="67" t="n"/>
      <c r="H1391" s="67" t="n"/>
      <c r="I1391" s="67" t="n"/>
      <c r="J1391" s="67" t="n"/>
      <c r="K1391" s="67" t="n"/>
      <c r="L1391" s="67" t="n"/>
      <c r="M1391" s="64" t="n"/>
      <c r="N1391" s="66" t="n"/>
      <c r="O1391" s="84">
        <f>IF(A1391="","",IF(OR(C1391="",D1391=""),"Enter both dates",IF(D1391&lt;C1391,"To is before From",IF(COUNTIFS($P$5:$P$2004,P1391,$C$5:$C$2004,"&lt;="&amp;D1391,$D$5:$D$2004,"&gt;="&amp;C1391)&gt;1,"Overlaps another row","OK"))))</f>
        <v/>
      </c>
      <c r="P1391">
        <f>IF(A1391="","",A1391&amp;"|"&amp;IF(B1391="","Standard",B1391))</f>
        <v/>
      </c>
      <c r="Q1391">
        <f>IF(AND(A1391&lt;&gt;"",A1391='Firm Search'!$C$7),COUNTIF($A$5:A1391,'Firm Search'!$C$7),"")</f>
        <v/>
      </c>
    </row>
    <row r="1392">
      <c r="A1392" s="64" t="n"/>
      <c r="B1392" s="64" t="n"/>
      <c r="C1392" s="66" t="n"/>
      <c r="D1392" s="66" t="n"/>
      <c r="E1392" s="67" t="n"/>
      <c r="F1392" s="67" t="n"/>
      <c r="G1392" s="67" t="n"/>
      <c r="H1392" s="67" t="n"/>
      <c r="I1392" s="67" t="n"/>
      <c r="J1392" s="67" t="n"/>
      <c r="K1392" s="67" t="n"/>
      <c r="L1392" s="67" t="n"/>
      <c r="M1392" s="64" t="n"/>
      <c r="N1392" s="66" t="n"/>
      <c r="O1392" s="84">
        <f>IF(A1392="","",IF(OR(C1392="",D1392=""),"Enter both dates",IF(D1392&lt;C1392,"To is before From",IF(COUNTIFS($P$5:$P$2004,P1392,$C$5:$C$2004,"&lt;="&amp;D1392,$D$5:$D$2004,"&gt;="&amp;C1392)&gt;1,"Overlaps another row","OK"))))</f>
        <v/>
      </c>
      <c r="P1392">
        <f>IF(A1392="","",A1392&amp;"|"&amp;IF(B1392="","Standard",B1392))</f>
        <v/>
      </c>
      <c r="Q1392">
        <f>IF(AND(A1392&lt;&gt;"",A1392='Firm Search'!$C$7),COUNTIF($A$5:A1392,'Firm Search'!$C$7),"")</f>
        <v/>
      </c>
    </row>
    <row r="1393">
      <c r="A1393" s="64" t="n"/>
      <c r="B1393" s="64" t="n"/>
      <c r="C1393" s="66" t="n"/>
      <c r="D1393" s="66" t="n"/>
      <c r="E1393" s="67" t="n"/>
      <c r="F1393" s="67" t="n"/>
      <c r="G1393" s="67" t="n"/>
      <c r="H1393" s="67" t="n"/>
      <c r="I1393" s="67" t="n"/>
      <c r="J1393" s="67" t="n"/>
      <c r="K1393" s="67" t="n"/>
      <c r="L1393" s="67" t="n"/>
      <c r="M1393" s="64" t="n"/>
      <c r="N1393" s="66" t="n"/>
      <c r="O1393" s="84">
        <f>IF(A1393="","",IF(OR(C1393="",D1393=""),"Enter both dates",IF(D1393&lt;C1393,"To is before From",IF(COUNTIFS($P$5:$P$2004,P1393,$C$5:$C$2004,"&lt;="&amp;D1393,$D$5:$D$2004,"&gt;="&amp;C1393)&gt;1,"Overlaps another row","OK"))))</f>
        <v/>
      </c>
      <c r="P1393">
        <f>IF(A1393="","",A1393&amp;"|"&amp;IF(B1393="","Standard",B1393))</f>
        <v/>
      </c>
      <c r="Q1393">
        <f>IF(AND(A1393&lt;&gt;"",A1393='Firm Search'!$C$7),COUNTIF($A$5:A1393,'Firm Search'!$C$7),"")</f>
        <v/>
      </c>
    </row>
    <row r="1394">
      <c r="A1394" s="64" t="n"/>
      <c r="B1394" s="64" t="n"/>
      <c r="C1394" s="66" t="n"/>
      <c r="D1394" s="66" t="n"/>
      <c r="E1394" s="67" t="n"/>
      <c r="F1394" s="67" t="n"/>
      <c r="G1394" s="67" t="n"/>
      <c r="H1394" s="67" t="n"/>
      <c r="I1394" s="67" t="n"/>
      <c r="J1394" s="67" t="n"/>
      <c r="K1394" s="67" t="n"/>
      <c r="L1394" s="67" t="n"/>
      <c r="M1394" s="64" t="n"/>
      <c r="N1394" s="66" t="n"/>
      <c r="O1394" s="84">
        <f>IF(A1394="","",IF(OR(C1394="",D1394=""),"Enter both dates",IF(D1394&lt;C1394,"To is before From",IF(COUNTIFS($P$5:$P$2004,P1394,$C$5:$C$2004,"&lt;="&amp;D1394,$D$5:$D$2004,"&gt;="&amp;C1394)&gt;1,"Overlaps another row","OK"))))</f>
        <v/>
      </c>
      <c r="P1394">
        <f>IF(A1394="","",A1394&amp;"|"&amp;IF(B1394="","Standard",B1394))</f>
        <v/>
      </c>
      <c r="Q1394">
        <f>IF(AND(A1394&lt;&gt;"",A1394='Firm Search'!$C$7),COUNTIF($A$5:A1394,'Firm Search'!$C$7),"")</f>
        <v/>
      </c>
    </row>
    <row r="1395">
      <c r="A1395" s="64" t="n"/>
      <c r="B1395" s="64" t="n"/>
      <c r="C1395" s="66" t="n"/>
      <c r="D1395" s="66" t="n"/>
      <c r="E1395" s="67" t="n"/>
      <c r="F1395" s="67" t="n"/>
      <c r="G1395" s="67" t="n"/>
      <c r="H1395" s="67" t="n"/>
      <c r="I1395" s="67" t="n"/>
      <c r="J1395" s="67" t="n"/>
      <c r="K1395" s="67" t="n"/>
      <c r="L1395" s="67" t="n"/>
      <c r="M1395" s="64" t="n"/>
      <c r="N1395" s="66" t="n"/>
      <c r="O1395" s="84">
        <f>IF(A1395="","",IF(OR(C1395="",D1395=""),"Enter both dates",IF(D1395&lt;C1395,"To is before From",IF(COUNTIFS($P$5:$P$2004,P1395,$C$5:$C$2004,"&lt;="&amp;D1395,$D$5:$D$2004,"&gt;="&amp;C1395)&gt;1,"Overlaps another row","OK"))))</f>
        <v/>
      </c>
      <c r="P1395">
        <f>IF(A1395="","",A1395&amp;"|"&amp;IF(B1395="","Standard",B1395))</f>
        <v/>
      </c>
      <c r="Q1395">
        <f>IF(AND(A1395&lt;&gt;"",A1395='Firm Search'!$C$7),COUNTIF($A$5:A1395,'Firm Search'!$C$7),"")</f>
        <v/>
      </c>
    </row>
    <row r="1396">
      <c r="A1396" s="64" t="n"/>
      <c r="B1396" s="64" t="n"/>
      <c r="C1396" s="66" t="n"/>
      <c r="D1396" s="66" t="n"/>
      <c r="E1396" s="67" t="n"/>
      <c r="F1396" s="67" t="n"/>
      <c r="G1396" s="67" t="n"/>
      <c r="H1396" s="67" t="n"/>
      <c r="I1396" s="67" t="n"/>
      <c r="J1396" s="67" t="n"/>
      <c r="K1396" s="67" t="n"/>
      <c r="L1396" s="67" t="n"/>
      <c r="M1396" s="64" t="n"/>
      <c r="N1396" s="66" t="n"/>
      <c r="O1396" s="84">
        <f>IF(A1396="","",IF(OR(C1396="",D1396=""),"Enter both dates",IF(D1396&lt;C1396,"To is before From",IF(COUNTIFS($P$5:$P$2004,P1396,$C$5:$C$2004,"&lt;="&amp;D1396,$D$5:$D$2004,"&gt;="&amp;C1396)&gt;1,"Overlaps another row","OK"))))</f>
        <v/>
      </c>
      <c r="P1396">
        <f>IF(A1396="","",A1396&amp;"|"&amp;IF(B1396="","Standard",B1396))</f>
        <v/>
      </c>
      <c r="Q1396">
        <f>IF(AND(A1396&lt;&gt;"",A1396='Firm Search'!$C$7),COUNTIF($A$5:A1396,'Firm Search'!$C$7),"")</f>
        <v/>
      </c>
    </row>
    <row r="1397">
      <c r="A1397" s="64" t="n"/>
      <c r="B1397" s="64" t="n"/>
      <c r="C1397" s="66" t="n"/>
      <c r="D1397" s="66" t="n"/>
      <c r="E1397" s="67" t="n"/>
      <c r="F1397" s="67" t="n"/>
      <c r="G1397" s="67" t="n"/>
      <c r="H1397" s="67" t="n"/>
      <c r="I1397" s="67" t="n"/>
      <c r="J1397" s="67" t="n"/>
      <c r="K1397" s="67" t="n"/>
      <c r="L1397" s="67" t="n"/>
      <c r="M1397" s="64" t="n"/>
      <c r="N1397" s="66" t="n"/>
      <c r="O1397" s="84">
        <f>IF(A1397="","",IF(OR(C1397="",D1397=""),"Enter both dates",IF(D1397&lt;C1397,"To is before From",IF(COUNTIFS($P$5:$P$2004,P1397,$C$5:$C$2004,"&lt;="&amp;D1397,$D$5:$D$2004,"&gt;="&amp;C1397)&gt;1,"Overlaps another row","OK"))))</f>
        <v/>
      </c>
      <c r="P1397">
        <f>IF(A1397="","",A1397&amp;"|"&amp;IF(B1397="","Standard",B1397))</f>
        <v/>
      </c>
      <c r="Q1397">
        <f>IF(AND(A1397&lt;&gt;"",A1397='Firm Search'!$C$7),COUNTIF($A$5:A1397,'Firm Search'!$C$7),"")</f>
        <v/>
      </c>
    </row>
    <row r="1398">
      <c r="A1398" s="64" t="n"/>
      <c r="B1398" s="64" t="n"/>
      <c r="C1398" s="66" t="n"/>
      <c r="D1398" s="66" t="n"/>
      <c r="E1398" s="67" t="n"/>
      <c r="F1398" s="67" t="n"/>
      <c r="G1398" s="67" t="n"/>
      <c r="H1398" s="67" t="n"/>
      <c r="I1398" s="67" t="n"/>
      <c r="J1398" s="67" t="n"/>
      <c r="K1398" s="67" t="n"/>
      <c r="L1398" s="67" t="n"/>
      <c r="M1398" s="64" t="n"/>
      <c r="N1398" s="66" t="n"/>
      <c r="O1398" s="84">
        <f>IF(A1398="","",IF(OR(C1398="",D1398=""),"Enter both dates",IF(D1398&lt;C1398,"To is before From",IF(COUNTIFS($P$5:$P$2004,P1398,$C$5:$C$2004,"&lt;="&amp;D1398,$D$5:$D$2004,"&gt;="&amp;C1398)&gt;1,"Overlaps another row","OK"))))</f>
        <v/>
      </c>
      <c r="P1398">
        <f>IF(A1398="","",A1398&amp;"|"&amp;IF(B1398="","Standard",B1398))</f>
        <v/>
      </c>
      <c r="Q1398">
        <f>IF(AND(A1398&lt;&gt;"",A1398='Firm Search'!$C$7),COUNTIF($A$5:A1398,'Firm Search'!$C$7),"")</f>
        <v/>
      </c>
    </row>
    <row r="1399">
      <c r="A1399" s="64" t="n"/>
      <c r="B1399" s="64" t="n"/>
      <c r="C1399" s="66" t="n"/>
      <c r="D1399" s="66" t="n"/>
      <c r="E1399" s="67" t="n"/>
      <c r="F1399" s="67" t="n"/>
      <c r="G1399" s="67" t="n"/>
      <c r="H1399" s="67" t="n"/>
      <c r="I1399" s="67" t="n"/>
      <c r="J1399" s="67" t="n"/>
      <c r="K1399" s="67" t="n"/>
      <c r="L1399" s="67" t="n"/>
      <c r="M1399" s="64" t="n"/>
      <c r="N1399" s="66" t="n"/>
      <c r="O1399" s="84">
        <f>IF(A1399="","",IF(OR(C1399="",D1399=""),"Enter both dates",IF(D1399&lt;C1399,"To is before From",IF(COUNTIFS($P$5:$P$2004,P1399,$C$5:$C$2004,"&lt;="&amp;D1399,$D$5:$D$2004,"&gt;="&amp;C1399)&gt;1,"Overlaps another row","OK"))))</f>
        <v/>
      </c>
      <c r="P1399">
        <f>IF(A1399="","",A1399&amp;"|"&amp;IF(B1399="","Standard",B1399))</f>
        <v/>
      </c>
      <c r="Q1399">
        <f>IF(AND(A1399&lt;&gt;"",A1399='Firm Search'!$C$7),COUNTIF($A$5:A1399,'Firm Search'!$C$7),"")</f>
        <v/>
      </c>
    </row>
    <row r="1400">
      <c r="A1400" s="64" t="n"/>
      <c r="B1400" s="64" t="n"/>
      <c r="C1400" s="66" t="n"/>
      <c r="D1400" s="66" t="n"/>
      <c r="E1400" s="67" t="n"/>
      <c r="F1400" s="67" t="n"/>
      <c r="G1400" s="67" t="n"/>
      <c r="H1400" s="67" t="n"/>
      <c r="I1400" s="67" t="n"/>
      <c r="J1400" s="67" t="n"/>
      <c r="K1400" s="67" t="n"/>
      <c r="L1400" s="67" t="n"/>
      <c r="M1400" s="64" t="n"/>
      <c r="N1400" s="66" t="n"/>
      <c r="O1400" s="84">
        <f>IF(A1400="","",IF(OR(C1400="",D1400=""),"Enter both dates",IF(D1400&lt;C1400,"To is before From",IF(COUNTIFS($P$5:$P$2004,P1400,$C$5:$C$2004,"&lt;="&amp;D1400,$D$5:$D$2004,"&gt;="&amp;C1400)&gt;1,"Overlaps another row","OK"))))</f>
        <v/>
      </c>
      <c r="P1400">
        <f>IF(A1400="","",A1400&amp;"|"&amp;IF(B1400="","Standard",B1400))</f>
        <v/>
      </c>
      <c r="Q1400">
        <f>IF(AND(A1400&lt;&gt;"",A1400='Firm Search'!$C$7),COUNTIF($A$5:A1400,'Firm Search'!$C$7),"")</f>
        <v/>
      </c>
    </row>
    <row r="1401">
      <c r="A1401" s="64" t="n"/>
      <c r="B1401" s="64" t="n"/>
      <c r="C1401" s="66" t="n"/>
      <c r="D1401" s="66" t="n"/>
      <c r="E1401" s="67" t="n"/>
      <c r="F1401" s="67" t="n"/>
      <c r="G1401" s="67" t="n"/>
      <c r="H1401" s="67" t="n"/>
      <c r="I1401" s="67" t="n"/>
      <c r="J1401" s="67" t="n"/>
      <c r="K1401" s="67" t="n"/>
      <c r="L1401" s="67" t="n"/>
      <c r="M1401" s="64" t="n"/>
      <c r="N1401" s="66" t="n"/>
      <c r="O1401" s="84">
        <f>IF(A1401="","",IF(OR(C1401="",D1401=""),"Enter both dates",IF(D1401&lt;C1401,"To is before From",IF(COUNTIFS($P$5:$P$2004,P1401,$C$5:$C$2004,"&lt;="&amp;D1401,$D$5:$D$2004,"&gt;="&amp;C1401)&gt;1,"Overlaps another row","OK"))))</f>
        <v/>
      </c>
      <c r="P1401">
        <f>IF(A1401="","",A1401&amp;"|"&amp;IF(B1401="","Standard",B1401))</f>
        <v/>
      </c>
      <c r="Q1401">
        <f>IF(AND(A1401&lt;&gt;"",A1401='Firm Search'!$C$7),COUNTIF($A$5:A1401,'Firm Search'!$C$7),"")</f>
        <v/>
      </c>
    </row>
    <row r="1402">
      <c r="A1402" s="64" t="n"/>
      <c r="B1402" s="64" t="n"/>
      <c r="C1402" s="66" t="n"/>
      <c r="D1402" s="66" t="n"/>
      <c r="E1402" s="67" t="n"/>
      <c r="F1402" s="67" t="n"/>
      <c r="G1402" s="67" t="n"/>
      <c r="H1402" s="67" t="n"/>
      <c r="I1402" s="67" t="n"/>
      <c r="J1402" s="67" t="n"/>
      <c r="K1402" s="67" t="n"/>
      <c r="L1402" s="67" t="n"/>
      <c r="M1402" s="64" t="n"/>
      <c r="N1402" s="66" t="n"/>
      <c r="O1402" s="84">
        <f>IF(A1402="","",IF(OR(C1402="",D1402=""),"Enter both dates",IF(D1402&lt;C1402,"To is before From",IF(COUNTIFS($P$5:$P$2004,P1402,$C$5:$C$2004,"&lt;="&amp;D1402,$D$5:$D$2004,"&gt;="&amp;C1402)&gt;1,"Overlaps another row","OK"))))</f>
        <v/>
      </c>
      <c r="P1402">
        <f>IF(A1402="","",A1402&amp;"|"&amp;IF(B1402="","Standard",B1402))</f>
        <v/>
      </c>
      <c r="Q1402">
        <f>IF(AND(A1402&lt;&gt;"",A1402='Firm Search'!$C$7),COUNTIF($A$5:A1402,'Firm Search'!$C$7),"")</f>
        <v/>
      </c>
    </row>
    <row r="1403">
      <c r="A1403" s="64" t="n"/>
      <c r="B1403" s="64" t="n"/>
      <c r="C1403" s="66" t="n"/>
      <c r="D1403" s="66" t="n"/>
      <c r="E1403" s="67" t="n"/>
      <c r="F1403" s="67" t="n"/>
      <c r="G1403" s="67" t="n"/>
      <c r="H1403" s="67" t="n"/>
      <c r="I1403" s="67" t="n"/>
      <c r="J1403" s="67" t="n"/>
      <c r="K1403" s="67" t="n"/>
      <c r="L1403" s="67" t="n"/>
      <c r="M1403" s="64" t="n"/>
      <c r="N1403" s="66" t="n"/>
      <c r="O1403" s="84">
        <f>IF(A1403="","",IF(OR(C1403="",D1403=""),"Enter both dates",IF(D1403&lt;C1403,"To is before From",IF(COUNTIFS($P$5:$P$2004,P1403,$C$5:$C$2004,"&lt;="&amp;D1403,$D$5:$D$2004,"&gt;="&amp;C1403)&gt;1,"Overlaps another row","OK"))))</f>
        <v/>
      </c>
      <c r="P1403">
        <f>IF(A1403="","",A1403&amp;"|"&amp;IF(B1403="","Standard",B1403))</f>
        <v/>
      </c>
      <c r="Q1403">
        <f>IF(AND(A1403&lt;&gt;"",A1403='Firm Search'!$C$7),COUNTIF($A$5:A1403,'Firm Search'!$C$7),"")</f>
        <v/>
      </c>
    </row>
    <row r="1404">
      <c r="A1404" s="64" t="n"/>
      <c r="B1404" s="64" t="n"/>
      <c r="C1404" s="66" t="n"/>
      <c r="D1404" s="66" t="n"/>
      <c r="E1404" s="67" t="n"/>
      <c r="F1404" s="67" t="n"/>
      <c r="G1404" s="67" t="n"/>
      <c r="H1404" s="67" t="n"/>
      <c r="I1404" s="67" t="n"/>
      <c r="J1404" s="67" t="n"/>
      <c r="K1404" s="67" t="n"/>
      <c r="L1404" s="67" t="n"/>
      <c r="M1404" s="64" t="n"/>
      <c r="N1404" s="66" t="n"/>
      <c r="O1404" s="84">
        <f>IF(A1404="","",IF(OR(C1404="",D1404=""),"Enter both dates",IF(D1404&lt;C1404,"To is before From",IF(COUNTIFS($P$5:$P$2004,P1404,$C$5:$C$2004,"&lt;="&amp;D1404,$D$5:$D$2004,"&gt;="&amp;C1404)&gt;1,"Overlaps another row","OK"))))</f>
        <v/>
      </c>
      <c r="P1404">
        <f>IF(A1404="","",A1404&amp;"|"&amp;IF(B1404="","Standard",B1404))</f>
        <v/>
      </c>
      <c r="Q1404">
        <f>IF(AND(A1404&lt;&gt;"",A1404='Firm Search'!$C$7),COUNTIF($A$5:A1404,'Firm Search'!$C$7),"")</f>
        <v/>
      </c>
    </row>
    <row r="1405">
      <c r="A1405" s="64" t="n"/>
      <c r="B1405" s="64" t="n"/>
      <c r="C1405" s="66" t="n"/>
      <c r="D1405" s="66" t="n"/>
      <c r="E1405" s="67" t="n"/>
      <c r="F1405" s="67" t="n"/>
      <c r="G1405" s="67" t="n"/>
      <c r="H1405" s="67" t="n"/>
      <c r="I1405" s="67" t="n"/>
      <c r="J1405" s="67" t="n"/>
      <c r="K1405" s="67" t="n"/>
      <c r="L1405" s="67" t="n"/>
      <c r="M1405" s="64" t="n"/>
      <c r="N1405" s="66" t="n"/>
      <c r="O1405" s="84">
        <f>IF(A1405="","",IF(OR(C1405="",D1405=""),"Enter both dates",IF(D1405&lt;C1405,"To is before From",IF(COUNTIFS($P$5:$P$2004,P1405,$C$5:$C$2004,"&lt;="&amp;D1405,$D$5:$D$2004,"&gt;="&amp;C1405)&gt;1,"Overlaps another row","OK"))))</f>
        <v/>
      </c>
      <c r="P1405">
        <f>IF(A1405="","",A1405&amp;"|"&amp;IF(B1405="","Standard",B1405))</f>
        <v/>
      </c>
      <c r="Q1405">
        <f>IF(AND(A1405&lt;&gt;"",A1405='Firm Search'!$C$7),COUNTIF($A$5:A1405,'Firm Search'!$C$7),"")</f>
        <v/>
      </c>
    </row>
    <row r="1406">
      <c r="A1406" s="64" t="n"/>
      <c r="B1406" s="64" t="n"/>
      <c r="C1406" s="66" t="n"/>
      <c r="D1406" s="66" t="n"/>
      <c r="E1406" s="67" t="n"/>
      <c r="F1406" s="67" t="n"/>
      <c r="G1406" s="67" t="n"/>
      <c r="H1406" s="67" t="n"/>
      <c r="I1406" s="67" t="n"/>
      <c r="J1406" s="67" t="n"/>
      <c r="K1406" s="67" t="n"/>
      <c r="L1406" s="67" t="n"/>
      <c r="M1406" s="64" t="n"/>
      <c r="N1406" s="66" t="n"/>
      <c r="O1406" s="84">
        <f>IF(A1406="","",IF(OR(C1406="",D1406=""),"Enter both dates",IF(D1406&lt;C1406,"To is before From",IF(COUNTIFS($P$5:$P$2004,P1406,$C$5:$C$2004,"&lt;="&amp;D1406,$D$5:$D$2004,"&gt;="&amp;C1406)&gt;1,"Overlaps another row","OK"))))</f>
        <v/>
      </c>
      <c r="P1406">
        <f>IF(A1406="","",A1406&amp;"|"&amp;IF(B1406="","Standard",B1406))</f>
        <v/>
      </c>
      <c r="Q1406">
        <f>IF(AND(A1406&lt;&gt;"",A1406='Firm Search'!$C$7),COUNTIF($A$5:A1406,'Firm Search'!$C$7),"")</f>
        <v/>
      </c>
    </row>
    <row r="1407">
      <c r="A1407" s="64" t="n"/>
      <c r="B1407" s="64" t="n"/>
      <c r="C1407" s="66" t="n"/>
      <c r="D1407" s="66" t="n"/>
      <c r="E1407" s="67" t="n"/>
      <c r="F1407" s="67" t="n"/>
      <c r="G1407" s="67" t="n"/>
      <c r="H1407" s="67" t="n"/>
      <c r="I1407" s="67" t="n"/>
      <c r="J1407" s="67" t="n"/>
      <c r="K1407" s="67" t="n"/>
      <c r="L1407" s="67" t="n"/>
      <c r="M1407" s="64" t="n"/>
      <c r="N1407" s="66" t="n"/>
      <c r="O1407" s="84">
        <f>IF(A1407="","",IF(OR(C1407="",D1407=""),"Enter both dates",IF(D1407&lt;C1407,"To is before From",IF(COUNTIFS($P$5:$P$2004,P1407,$C$5:$C$2004,"&lt;="&amp;D1407,$D$5:$D$2004,"&gt;="&amp;C1407)&gt;1,"Overlaps another row","OK"))))</f>
        <v/>
      </c>
      <c r="P1407">
        <f>IF(A1407="","",A1407&amp;"|"&amp;IF(B1407="","Standard",B1407))</f>
        <v/>
      </c>
      <c r="Q1407">
        <f>IF(AND(A1407&lt;&gt;"",A1407='Firm Search'!$C$7),COUNTIF($A$5:A1407,'Firm Search'!$C$7),"")</f>
        <v/>
      </c>
    </row>
    <row r="1408">
      <c r="A1408" s="64" t="n"/>
      <c r="B1408" s="64" t="n"/>
      <c r="C1408" s="66" t="n"/>
      <c r="D1408" s="66" t="n"/>
      <c r="E1408" s="67" t="n"/>
      <c r="F1408" s="67" t="n"/>
      <c r="G1408" s="67" t="n"/>
      <c r="H1408" s="67" t="n"/>
      <c r="I1408" s="67" t="n"/>
      <c r="J1408" s="67" t="n"/>
      <c r="K1408" s="67" t="n"/>
      <c r="L1408" s="67" t="n"/>
      <c r="M1408" s="64" t="n"/>
      <c r="N1408" s="66" t="n"/>
      <c r="O1408" s="84">
        <f>IF(A1408="","",IF(OR(C1408="",D1408=""),"Enter both dates",IF(D1408&lt;C1408,"To is before From",IF(COUNTIFS($P$5:$P$2004,P1408,$C$5:$C$2004,"&lt;="&amp;D1408,$D$5:$D$2004,"&gt;="&amp;C1408)&gt;1,"Overlaps another row","OK"))))</f>
        <v/>
      </c>
      <c r="P1408">
        <f>IF(A1408="","",A1408&amp;"|"&amp;IF(B1408="","Standard",B1408))</f>
        <v/>
      </c>
      <c r="Q1408">
        <f>IF(AND(A1408&lt;&gt;"",A1408='Firm Search'!$C$7),COUNTIF($A$5:A1408,'Firm Search'!$C$7),"")</f>
        <v/>
      </c>
    </row>
    <row r="1409">
      <c r="A1409" s="64" t="n"/>
      <c r="B1409" s="64" t="n"/>
      <c r="C1409" s="66" t="n"/>
      <c r="D1409" s="66" t="n"/>
      <c r="E1409" s="67" t="n"/>
      <c r="F1409" s="67" t="n"/>
      <c r="G1409" s="67" t="n"/>
      <c r="H1409" s="67" t="n"/>
      <c r="I1409" s="67" t="n"/>
      <c r="J1409" s="67" t="n"/>
      <c r="K1409" s="67" t="n"/>
      <c r="L1409" s="67" t="n"/>
      <c r="M1409" s="64" t="n"/>
      <c r="N1409" s="66" t="n"/>
      <c r="O1409" s="84">
        <f>IF(A1409="","",IF(OR(C1409="",D1409=""),"Enter both dates",IF(D1409&lt;C1409,"To is before From",IF(COUNTIFS($P$5:$P$2004,P1409,$C$5:$C$2004,"&lt;="&amp;D1409,$D$5:$D$2004,"&gt;="&amp;C1409)&gt;1,"Overlaps another row","OK"))))</f>
        <v/>
      </c>
      <c r="P1409">
        <f>IF(A1409="","",A1409&amp;"|"&amp;IF(B1409="","Standard",B1409))</f>
        <v/>
      </c>
      <c r="Q1409">
        <f>IF(AND(A1409&lt;&gt;"",A1409='Firm Search'!$C$7),COUNTIF($A$5:A1409,'Firm Search'!$C$7),"")</f>
        <v/>
      </c>
    </row>
    <row r="1410">
      <c r="A1410" s="64" t="n"/>
      <c r="B1410" s="64" t="n"/>
      <c r="C1410" s="66" t="n"/>
      <c r="D1410" s="66" t="n"/>
      <c r="E1410" s="67" t="n"/>
      <c r="F1410" s="67" t="n"/>
      <c r="G1410" s="67" t="n"/>
      <c r="H1410" s="67" t="n"/>
      <c r="I1410" s="67" t="n"/>
      <c r="J1410" s="67" t="n"/>
      <c r="K1410" s="67" t="n"/>
      <c r="L1410" s="67" t="n"/>
      <c r="M1410" s="64" t="n"/>
      <c r="N1410" s="66" t="n"/>
      <c r="O1410" s="84">
        <f>IF(A1410="","",IF(OR(C1410="",D1410=""),"Enter both dates",IF(D1410&lt;C1410,"To is before From",IF(COUNTIFS($P$5:$P$2004,P1410,$C$5:$C$2004,"&lt;="&amp;D1410,$D$5:$D$2004,"&gt;="&amp;C1410)&gt;1,"Overlaps another row","OK"))))</f>
        <v/>
      </c>
      <c r="P1410">
        <f>IF(A1410="","",A1410&amp;"|"&amp;IF(B1410="","Standard",B1410))</f>
        <v/>
      </c>
      <c r="Q1410">
        <f>IF(AND(A1410&lt;&gt;"",A1410='Firm Search'!$C$7),COUNTIF($A$5:A1410,'Firm Search'!$C$7),"")</f>
        <v/>
      </c>
    </row>
    <row r="1411">
      <c r="A1411" s="64" t="n"/>
      <c r="B1411" s="64" t="n"/>
      <c r="C1411" s="66" t="n"/>
      <c r="D1411" s="66" t="n"/>
      <c r="E1411" s="67" t="n"/>
      <c r="F1411" s="67" t="n"/>
      <c r="G1411" s="67" t="n"/>
      <c r="H1411" s="67" t="n"/>
      <c r="I1411" s="67" t="n"/>
      <c r="J1411" s="67" t="n"/>
      <c r="K1411" s="67" t="n"/>
      <c r="L1411" s="67" t="n"/>
      <c r="M1411" s="64" t="n"/>
      <c r="N1411" s="66" t="n"/>
      <c r="O1411" s="84">
        <f>IF(A1411="","",IF(OR(C1411="",D1411=""),"Enter both dates",IF(D1411&lt;C1411,"To is before From",IF(COUNTIFS($P$5:$P$2004,P1411,$C$5:$C$2004,"&lt;="&amp;D1411,$D$5:$D$2004,"&gt;="&amp;C1411)&gt;1,"Overlaps another row","OK"))))</f>
        <v/>
      </c>
      <c r="P1411">
        <f>IF(A1411="","",A1411&amp;"|"&amp;IF(B1411="","Standard",B1411))</f>
        <v/>
      </c>
      <c r="Q1411">
        <f>IF(AND(A1411&lt;&gt;"",A1411='Firm Search'!$C$7),COUNTIF($A$5:A1411,'Firm Search'!$C$7),"")</f>
        <v/>
      </c>
    </row>
    <row r="1412">
      <c r="A1412" s="64" t="n"/>
      <c r="B1412" s="64" t="n"/>
      <c r="C1412" s="66" t="n"/>
      <c r="D1412" s="66" t="n"/>
      <c r="E1412" s="67" t="n"/>
      <c r="F1412" s="67" t="n"/>
      <c r="G1412" s="67" t="n"/>
      <c r="H1412" s="67" t="n"/>
      <c r="I1412" s="67" t="n"/>
      <c r="J1412" s="67" t="n"/>
      <c r="K1412" s="67" t="n"/>
      <c r="L1412" s="67" t="n"/>
      <c r="M1412" s="64" t="n"/>
      <c r="N1412" s="66" t="n"/>
      <c r="O1412" s="84">
        <f>IF(A1412="","",IF(OR(C1412="",D1412=""),"Enter both dates",IF(D1412&lt;C1412,"To is before From",IF(COUNTIFS($P$5:$P$2004,P1412,$C$5:$C$2004,"&lt;="&amp;D1412,$D$5:$D$2004,"&gt;="&amp;C1412)&gt;1,"Overlaps another row","OK"))))</f>
        <v/>
      </c>
      <c r="P1412">
        <f>IF(A1412="","",A1412&amp;"|"&amp;IF(B1412="","Standard",B1412))</f>
        <v/>
      </c>
      <c r="Q1412">
        <f>IF(AND(A1412&lt;&gt;"",A1412='Firm Search'!$C$7),COUNTIF($A$5:A1412,'Firm Search'!$C$7),"")</f>
        <v/>
      </c>
    </row>
    <row r="1413">
      <c r="A1413" s="64" t="n"/>
      <c r="B1413" s="64" t="n"/>
      <c r="C1413" s="66" t="n"/>
      <c r="D1413" s="66" t="n"/>
      <c r="E1413" s="67" t="n"/>
      <c r="F1413" s="67" t="n"/>
      <c r="G1413" s="67" t="n"/>
      <c r="H1413" s="67" t="n"/>
      <c r="I1413" s="67" t="n"/>
      <c r="J1413" s="67" t="n"/>
      <c r="K1413" s="67" t="n"/>
      <c r="L1413" s="67" t="n"/>
      <c r="M1413" s="64" t="n"/>
      <c r="N1413" s="66" t="n"/>
      <c r="O1413" s="84">
        <f>IF(A1413="","",IF(OR(C1413="",D1413=""),"Enter both dates",IF(D1413&lt;C1413,"To is before From",IF(COUNTIFS($P$5:$P$2004,P1413,$C$5:$C$2004,"&lt;="&amp;D1413,$D$5:$D$2004,"&gt;="&amp;C1413)&gt;1,"Overlaps another row","OK"))))</f>
        <v/>
      </c>
      <c r="P1413">
        <f>IF(A1413="","",A1413&amp;"|"&amp;IF(B1413="","Standard",B1413))</f>
        <v/>
      </c>
      <c r="Q1413">
        <f>IF(AND(A1413&lt;&gt;"",A1413='Firm Search'!$C$7),COUNTIF($A$5:A1413,'Firm Search'!$C$7),"")</f>
        <v/>
      </c>
    </row>
    <row r="1414">
      <c r="A1414" s="64" t="n"/>
      <c r="B1414" s="64" t="n"/>
      <c r="C1414" s="66" t="n"/>
      <c r="D1414" s="66" t="n"/>
      <c r="E1414" s="67" t="n"/>
      <c r="F1414" s="67" t="n"/>
      <c r="G1414" s="67" t="n"/>
      <c r="H1414" s="67" t="n"/>
      <c r="I1414" s="67" t="n"/>
      <c r="J1414" s="67" t="n"/>
      <c r="K1414" s="67" t="n"/>
      <c r="L1414" s="67" t="n"/>
      <c r="M1414" s="64" t="n"/>
      <c r="N1414" s="66" t="n"/>
      <c r="O1414" s="84">
        <f>IF(A1414="","",IF(OR(C1414="",D1414=""),"Enter both dates",IF(D1414&lt;C1414,"To is before From",IF(COUNTIFS($P$5:$P$2004,P1414,$C$5:$C$2004,"&lt;="&amp;D1414,$D$5:$D$2004,"&gt;="&amp;C1414)&gt;1,"Overlaps another row","OK"))))</f>
        <v/>
      </c>
      <c r="P1414">
        <f>IF(A1414="","",A1414&amp;"|"&amp;IF(B1414="","Standard",B1414))</f>
        <v/>
      </c>
      <c r="Q1414">
        <f>IF(AND(A1414&lt;&gt;"",A1414='Firm Search'!$C$7),COUNTIF($A$5:A1414,'Firm Search'!$C$7),"")</f>
        <v/>
      </c>
    </row>
    <row r="1415">
      <c r="A1415" s="64" t="n"/>
      <c r="B1415" s="64" t="n"/>
      <c r="C1415" s="66" t="n"/>
      <c r="D1415" s="66" t="n"/>
      <c r="E1415" s="67" t="n"/>
      <c r="F1415" s="67" t="n"/>
      <c r="G1415" s="67" t="n"/>
      <c r="H1415" s="67" t="n"/>
      <c r="I1415" s="67" t="n"/>
      <c r="J1415" s="67" t="n"/>
      <c r="K1415" s="67" t="n"/>
      <c r="L1415" s="67" t="n"/>
      <c r="M1415" s="64" t="n"/>
      <c r="N1415" s="66" t="n"/>
      <c r="O1415" s="84">
        <f>IF(A1415="","",IF(OR(C1415="",D1415=""),"Enter both dates",IF(D1415&lt;C1415,"To is before From",IF(COUNTIFS($P$5:$P$2004,P1415,$C$5:$C$2004,"&lt;="&amp;D1415,$D$5:$D$2004,"&gt;="&amp;C1415)&gt;1,"Overlaps another row","OK"))))</f>
        <v/>
      </c>
      <c r="P1415">
        <f>IF(A1415="","",A1415&amp;"|"&amp;IF(B1415="","Standard",B1415))</f>
        <v/>
      </c>
      <c r="Q1415">
        <f>IF(AND(A1415&lt;&gt;"",A1415='Firm Search'!$C$7),COUNTIF($A$5:A1415,'Firm Search'!$C$7),"")</f>
        <v/>
      </c>
    </row>
    <row r="1416">
      <c r="A1416" s="64" t="n"/>
      <c r="B1416" s="64" t="n"/>
      <c r="C1416" s="66" t="n"/>
      <c r="D1416" s="66" t="n"/>
      <c r="E1416" s="67" t="n"/>
      <c r="F1416" s="67" t="n"/>
      <c r="G1416" s="67" t="n"/>
      <c r="H1416" s="67" t="n"/>
      <c r="I1416" s="67" t="n"/>
      <c r="J1416" s="67" t="n"/>
      <c r="K1416" s="67" t="n"/>
      <c r="L1416" s="67" t="n"/>
      <c r="M1416" s="64" t="n"/>
      <c r="N1416" s="66" t="n"/>
      <c r="O1416" s="84">
        <f>IF(A1416="","",IF(OR(C1416="",D1416=""),"Enter both dates",IF(D1416&lt;C1416,"To is before From",IF(COUNTIFS($P$5:$P$2004,P1416,$C$5:$C$2004,"&lt;="&amp;D1416,$D$5:$D$2004,"&gt;="&amp;C1416)&gt;1,"Overlaps another row","OK"))))</f>
        <v/>
      </c>
      <c r="P1416">
        <f>IF(A1416="","",A1416&amp;"|"&amp;IF(B1416="","Standard",B1416))</f>
        <v/>
      </c>
      <c r="Q1416">
        <f>IF(AND(A1416&lt;&gt;"",A1416='Firm Search'!$C$7),COUNTIF($A$5:A1416,'Firm Search'!$C$7),"")</f>
        <v/>
      </c>
    </row>
    <row r="1417">
      <c r="A1417" s="64" t="n"/>
      <c r="B1417" s="64" t="n"/>
      <c r="C1417" s="66" t="n"/>
      <c r="D1417" s="66" t="n"/>
      <c r="E1417" s="67" t="n"/>
      <c r="F1417" s="67" t="n"/>
      <c r="G1417" s="67" t="n"/>
      <c r="H1417" s="67" t="n"/>
      <c r="I1417" s="67" t="n"/>
      <c r="J1417" s="67" t="n"/>
      <c r="K1417" s="67" t="n"/>
      <c r="L1417" s="67" t="n"/>
      <c r="M1417" s="64" t="n"/>
      <c r="N1417" s="66" t="n"/>
      <c r="O1417" s="84">
        <f>IF(A1417="","",IF(OR(C1417="",D1417=""),"Enter both dates",IF(D1417&lt;C1417,"To is before From",IF(COUNTIFS($P$5:$P$2004,P1417,$C$5:$C$2004,"&lt;="&amp;D1417,$D$5:$D$2004,"&gt;="&amp;C1417)&gt;1,"Overlaps another row","OK"))))</f>
        <v/>
      </c>
      <c r="P1417">
        <f>IF(A1417="","",A1417&amp;"|"&amp;IF(B1417="","Standard",B1417))</f>
        <v/>
      </c>
      <c r="Q1417">
        <f>IF(AND(A1417&lt;&gt;"",A1417='Firm Search'!$C$7),COUNTIF($A$5:A1417,'Firm Search'!$C$7),"")</f>
        <v/>
      </c>
    </row>
    <row r="1418">
      <c r="A1418" s="64" t="n"/>
      <c r="B1418" s="64" t="n"/>
      <c r="C1418" s="66" t="n"/>
      <c r="D1418" s="66" t="n"/>
      <c r="E1418" s="67" t="n"/>
      <c r="F1418" s="67" t="n"/>
      <c r="G1418" s="67" t="n"/>
      <c r="H1418" s="67" t="n"/>
      <c r="I1418" s="67" t="n"/>
      <c r="J1418" s="67" t="n"/>
      <c r="K1418" s="67" t="n"/>
      <c r="L1418" s="67" t="n"/>
      <c r="M1418" s="64" t="n"/>
      <c r="N1418" s="66" t="n"/>
      <c r="O1418" s="84">
        <f>IF(A1418="","",IF(OR(C1418="",D1418=""),"Enter both dates",IF(D1418&lt;C1418,"To is before From",IF(COUNTIFS($P$5:$P$2004,P1418,$C$5:$C$2004,"&lt;="&amp;D1418,$D$5:$D$2004,"&gt;="&amp;C1418)&gt;1,"Overlaps another row","OK"))))</f>
        <v/>
      </c>
      <c r="P1418">
        <f>IF(A1418="","",A1418&amp;"|"&amp;IF(B1418="","Standard",B1418))</f>
        <v/>
      </c>
      <c r="Q1418">
        <f>IF(AND(A1418&lt;&gt;"",A1418='Firm Search'!$C$7),COUNTIF($A$5:A1418,'Firm Search'!$C$7),"")</f>
        <v/>
      </c>
    </row>
    <row r="1419">
      <c r="A1419" s="64" t="n"/>
      <c r="B1419" s="64" t="n"/>
      <c r="C1419" s="66" t="n"/>
      <c r="D1419" s="66" t="n"/>
      <c r="E1419" s="67" t="n"/>
      <c r="F1419" s="67" t="n"/>
      <c r="G1419" s="67" t="n"/>
      <c r="H1419" s="67" t="n"/>
      <c r="I1419" s="67" t="n"/>
      <c r="J1419" s="67" t="n"/>
      <c r="K1419" s="67" t="n"/>
      <c r="L1419" s="67" t="n"/>
      <c r="M1419" s="64" t="n"/>
      <c r="N1419" s="66" t="n"/>
      <c r="O1419" s="84">
        <f>IF(A1419="","",IF(OR(C1419="",D1419=""),"Enter both dates",IF(D1419&lt;C1419,"To is before From",IF(COUNTIFS($P$5:$P$2004,P1419,$C$5:$C$2004,"&lt;="&amp;D1419,$D$5:$D$2004,"&gt;="&amp;C1419)&gt;1,"Overlaps another row","OK"))))</f>
        <v/>
      </c>
      <c r="P1419">
        <f>IF(A1419="","",A1419&amp;"|"&amp;IF(B1419="","Standard",B1419))</f>
        <v/>
      </c>
      <c r="Q1419">
        <f>IF(AND(A1419&lt;&gt;"",A1419='Firm Search'!$C$7),COUNTIF($A$5:A1419,'Firm Search'!$C$7),"")</f>
        <v/>
      </c>
    </row>
    <row r="1420">
      <c r="A1420" s="64" t="n"/>
      <c r="B1420" s="64" t="n"/>
      <c r="C1420" s="66" t="n"/>
      <c r="D1420" s="66" t="n"/>
      <c r="E1420" s="67" t="n"/>
      <c r="F1420" s="67" t="n"/>
      <c r="G1420" s="67" t="n"/>
      <c r="H1420" s="67" t="n"/>
      <c r="I1420" s="67" t="n"/>
      <c r="J1420" s="67" t="n"/>
      <c r="K1420" s="67" t="n"/>
      <c r="L1420" s="67" t="n"/>
      <c r="M1420" s="64" t="n"/>
      <c r="N1420" s="66" t="n"/>
      <c r="O1420" s="84">
        <f>IF(A1420="","",IF(OR(C1420="",D1420=""),"Enter both dates",IF(D1420&lt;C1420,"To is before From",IF(COUNTIFS($P$5:$P$2004,P1420,$C$5:$C$2004,"&lt;="&amp;D1420,$D$5:$D$2004,"&gt;="&amp;C1420)&gt;1,"Overlaps another row","OK"))))</f>
        <v/>
      </c>
      <c r="P1420">
        <f>IF(A1420="","",A1420&amp;"|"&amp;IF(B1420="","Standard",B1420))</f>
        <v/>
      </c>
      <c r="Q1420">
        <f>IF(AND(A1420&lt;&gt;"",A1420='Firm Search'!$C$7),COUNTIF($A$5:A1420,'Firm Search'!$C$7),"")</f>
        <v/>
      </c>
    </row>
    <row r="1421">
      <c r="A1421" s="64" t="n"/>
      <c r="B1421" s="64" t="n"/>
      <c r="C1421" s="66" t="n"/>
      <c r="D1421" s="66" t="n"/>
      <c r="E1421" s="67" t="n"/>
      <c r="F1421" s="67" t="n"/>
      <c r="G1421" s="67" t="n"/>
      <c r="H1421" s="67" t="n"/>
      <c r="I1421" s="67" t="n"/>
      <c r="J1421" s="67" t="n"/>
      <c r="K1421" s="67" t="n"/>
      <c r="L1421" s="67" t="n"/>
      <c r="M1421" s="64" t="n"/>
      <c r="N1421" s="66" t="n"/>
      <c r="O1421" s="84">
        <f>IF(A1421="","",IF(OR(C1421="",D1421=""),"Enter both dates",IF(D1421&lt;C1421,"To is before From",IF(COUNTIFS($P$5:$P$2004,P1421,$C$5:$C$2004,"&lt;="&amp;D1421,$D$5:$D$2004,"&gt;="&amp;C1421)&gt;1,"Overlaps another row","OK"))))</f>
        <v/>
      </c>
      <c r="P1421">
        <f>IF(A1421="","",A1421&amp;"|"&amp;IF(B1421="","Standard",B1421))</f>
        <v/>
      </c>
      <c r="Q1421">
        <f>IF(AND(A1421&lt;&gt;"",A1421='Firm Search'!$C$7),COUNTIF($A$5:A1421,'Firm Search'!$C$7),"")</f>
        <v/>
      </c>
    </row>
    <row r="1422">
      <c r="A1422" s="64" t="n"/>
      <c r="B1422" s="64" t="n"/>
      <c r="C1422" s="66" t="n"/>
      <c r="D1422" s="66" t="n"/>
      <c r="E1422" s="67" t="n"/>
      <c r="F1422" s="67" t="n"/>
      <c r="G1422" s="67" t="n"/>
      <c r="H1422" s="67" t="n"/>
      <c r="I1422" s="67" t="n"/>
      <c r="J1422" s="67" t="n"/>
      <c r="K1422" s="67" t="n"/>
      <c r="L1422" s="67" t="n"/>
      <c r="M1422" s="64" t="n"/>
      <c r="N1422" s="66" t="n"/>
      <c r="O1422" s="84">
        <f>IF(A1422="","",IF(OR(C1422="",D1422=""),"Enter both dates",IF(D1422&lt;C1422,"To is before From",IF(COUNTIFS($P$5:$P$2004,P1422,$C$5:$C$2004,"&lt;="&amp;D1422,$D$5:$D$2004,"&gt;="&amp;C1422)&gt;1,"Overlaps another row","OK"))))</f>
        <v/>
      </c>
      <c r="P1422">
        <f>IF(A1422="","",A1422&amp;"|"&amp;IF(B1422="","Standard",B1422))</f>
        <v/>
      </c>
      <c r="Q1422">
        <f>IF(AND(A1422&lt;&gt;"",A1422='Firm Search'!$C$7),COUNTIF($A$5:A1422,'Firm Search'!$C$7),"")</f>
        <v/>
      </c>
    </row>
    <row r="1423">
      <c r="A1423" s="64" t="n"/>
      <c r="B1423" s="64" t="n"/>
      <c r="C1423" s="66" t="n"/>
      <c r="D1423" s="66" t="n"/>
      <c r="E1423" s="67" t="n"/>
      <c r="F1423" s="67" t="n"/>
      <c r="G1423" s="67" t="n"/>
      <c r="H1423" s="67" t="n"/>
      <c r="I1423" s="67" t="n"/>
      <c r="J1423" s="67" t="n"/>
      <c r="K1423" s="67" t="n"/>
      <c r="L1423" s="67" t="n"/>
      <c r="M1423" s="64" t="n"/>
      <c r="N1423" s="66" t="n"/>
      <c r="O1423" s="84">
        <f>IF(A1423="","",IF(OR(C1423="",D1423=""),"Enter both dates",IF(D1423&lt;C1423,"To is before From",IF(COUNTIFS($P$5:$P$2004,P1423,$C$5:$C$2004,"&lt;="&amp;D1423,$D$5:$D$2004,"&gt;="&amp;C1423)&gt;1,"Overlaps another row","OK"))))</f>
        <v/>
      </c>
      <c r="P1423">
        <f>IF(A1423="","",A1423&amp;"|"&amp;IF(B1423="","Standard",B1423))</f>
        <v/>
      </c>
      <c r="Q1423">
        <f>IF(AND(A1423&lt;&gt;"",A1423='Firm Search'!$C$7),COUNTIF($A$5:A1423,'Firm Search'!$C$7),"")</f>
        <v/>
      </c>
    </row>
    <row r="1424">
      <c r="A1424" s="64" t="n"/>
      <c r="B1424" s="64" t="n"/>
      <c r="C1424" s="66" t="n"/>
      <c r="D1424" s="66" t="n"/>
      <c r="E1424" s="67" t="n"/>
      <c r="F1424" s="67" t="n"/>
      <c r="G1424" s="67" t="n"/>
      <c r="H1424" s="67" t="n"/>
      <c r="I1424" s="67" t="n"/>
      <c r="J1424" s="67" t="n"/>
      <c r="K1424" s="67" t="n"/>
      <c r="L1424" s="67" t="n"/>
      <c r="M1424" s="64" t="n"/>
      <c r="N1424" s="66" t="n"/>
      <c r="O1424" s="84">
        <f>IF(A1424="","",IF(OR(C1424="",D1424=""),"Enter both dates",IF(D1424&lt;C1424,"To is before From",IF(COUNTIFS($P$5:$P$2004,P1424,$C$5:$C$2004,"&lt;="&amp;D1424,$D$5:$D$2004,"&gt;="&amp;C1424)&gt;1,"Overlaps another row","OK"))))</f>
        <v/>
      </c>
      <c r="P1424">
        <f>IF(A1424="","",A1424&amp;"|"&amp;IF(B1424="","Standard",B1424))</f>
        <v/>
      </c>
      <c r="Q1424">
        <f>IF(AND(A1424&lt;&gt;"",A1424='Firm Search'!$C$7),COUNTIF($A$5:A1424,'Firm Search'!$C$7),"")</f>
        <v/>
      </c>
    </row>
    <row r="1425">
      <c r="A1425" s="64" t="n"/>
      <c r="B1425" s="64" t="n"/>
      <c r="C1425" s="66" t="n"/>
      <c r="D1425" s="66" t="n"/>
      <c r="E1425" s="67" t="n"/>
      <c r="F1425" s="67" t="n"/>
      <c r="G1425" s="67" t="n"/>
      <c r="H1425" s="67" t="n"/>
      <c r="I1425" s="67" t="n"/>
      <c r="J1425" s="67" t="n"/>
      <c r="K1425" s="67" t="n"/>
      <c r="L1425" s="67" t="n"/>
      <c r="M1425" s="64" t="n"/>
      <c r="N1425" s="66" t="n"/>
      <c r="O1425" s="84">
        <f>IF(A1425="","",IF(OR(C1425="",D1425=""),"Enter both dates",IF(D1425&lt;C1425,"To is before From",IF(COUNTIFS($P$5:$P$2004,P1425,$C$5:$C$2004,"&lt;="&amp;D1425,$D$5:$D$2004,"&gt;="&amp;C1425)&gt;1,"Overlaps another row","OK"))))</f>
        <v/>
      </c>
      <c r="P1425">
        <f>IF(A1425="","",A1425&amp;"|"&amp;IF(B1425="","Standard",B1425))</f>
        <v/>
      </c>
      <c r="Q1425">
        <f>IF(AND(A1425&lt;&gt;"",A1425='Firm Search'!$C$7),COUNTIF($A$5:A1425,'Firm Search'!$C$7),"")</f>
        <v/>
      </c>
    </row>
    <row r="1426">
      <c r="A1426" s="64" t="n"/>
      <c r="B1426" s="64" t="n"/>
      <c r="C1426" s="66" t="n"/>
      <c r="D1426" s="66" t="n"/>
      <c r="E1426" s="67" t="n"/>
      <c r="F1426" s="67" t="n"/>
      <c r="G1426" s="67" t="n"/>
      <c r="H1426" s="67" t="n"/>
      <c r="I1426" s="67" t="n"/>
      <c r="J1426" s="67" t="n"/>
      <c r="K1426" s="67" t="n"/>
      <c r="L1426" s="67" t="n"/>
      <c r="M1426" s="64" t="n"/>
      <c r="N1426" s="66" t="n"/>
      <c r="O1426" s="84">
        <f>IF(A1426="","",IF(OR(C1426="",D1426=""),"Enter both dates",IF(D1426&lt;C1426,"To is before From",IF(COUNTIFS($P$5:$P$2004,P1426,$C$5:$C$2004,"&lt;="&amp;D1426,$D$5:$D$2004,"&gt;="&amp;C1426)&gt;1,"Overlaps another row","OK"))))</f>
        <v/>
      </c>
      <c r="P1426">
        <f>IF(A1426="","",A1426&amp;"|"&amp;IF(B1426="","Standard",B1426))</f>
        <v/>
      </c>
      <c r="Q1426">
        <f>IF(AND(A1426&lt;&gt;"",A1426='Firm Search'!$C$7),COUNTIF($A$5:A1426,'Firm Search'!$C$7),"")</f>
        <v/>
      </c>
    </row>
    <row r="1427">
      <c r="A1427" s="64" t="n"/>
      <c r="B1427" s="64" t="n"/>
      <c r="C1427" s="66" t="n"/>
      <c r="D1427" s="66" t="n"/>
      <c r="E1427" s="67" t="n"/>
      <c r="F1427" s="67" t="n"/>
      <c r="G1427" s="67" t="n"/>
      <c r="H1427" s="67" t="n"/>
      <c r="I1427" s="67" t="n"/>
      <c r="J1427" s="67" t="n"/>
      <c r="K1427" s="67" t="n"/>
      <c r="L1427" s="67" t="n"/>
      <c r="M1427" s="64" t="n"/>
      <c r="N1427" s="66" t="n"/>
      <c r="O1427" s="84">
        <f>IF(A1427="","",IF(OR(C1427="",D1427=""),"Enter both dates",IF(D1427&lt;C1427,"To is before From",IF(COUNTIFS($P$5:$P$2004,P1427,$C$5:$C$2004,"&lt;="&amp;D1427,$D$5:$D$2004,"&gt;="&amp;C1427)&gt;1,"Overlaps another row","OK"))))</f>
        <v/>
      </c>
      <c r="P1427">
        <f>IF(A1427="","",A1427&amp;"|"&amp;IF(B1427="","Standard",B1427))</f>
        <v/>
      </c>
      <c r="Q1427">
        <f>IF(AND(A1427&lt;&gt;"",A1427='Firm Search'!$C$7),COUNTIF($A$5:A1427,'Firm Search'!$C$7),"")</f>
        <v/>
      </c>
    </row>
    <row r="1428">
      <c r="A1428" s="64" t="n"/>
      <c r="B1428" s="64" t="n"/>
      <c r="C1428" s="66" t="n"/>
      <c r="D1428" s="66" t="n"/>
      <c r="E1428" s="67" t="n"/>
      <c r="F1428" s="67" t="n"/>
      <c r="G1428" s="67" t="n"/>
      <c r="H1428" s="67" t="n"/>
      <c r="I1428" s="67" t="n"/>
      <c r="J1428" s="67" t="n"/>
      <c r="K1428" s="67" t="n"/>
      <c r="L1428" s="67" t="n"/>
      <c r="M1428" s="64" t="n"/>
      <c r="N1428" s="66" t="n"/>
      <c r="O1428" s="84">
        <f>IF(A1428="","",IF(OR(C1428="",D1428=""),"Enter both dates",IF(D1428&lt;C1428,"To is before From",IF(COUNTIFS($P$5:$P$2004,P1428,$C$5:$C$2004,"&lt;="&amp;D1428,$D$5:$D$2004,"&gt;="&amp;C1428)&gt;1,"Overlaps another row","OK"))))</f>
        <v/>
      </c>
      <c r="P1428">
        <f>IF(A1428="","",A1428&amp;"|"&amp;IF(B1428="","Standard",B1428))</f>
        <v/>
      </c>
      <c r="Q1428">
        <f>IF(AND(A1428&lt;&gt;"",A1428='Firm Search'!$C$7),COUNTIF($A$5:A1428,'Firm Search'!$C$7),"")</f>
        <v/>
      </c>
    </row>
    <row r="1429">
      <c r="A1429" s="64" t="n"/>
      <c r="B1429" s="64" t="n"/>
      <c r="C1429" s="66" t="n"/>
      <c r="D1429" s="66" t="n"/>
      <c r="E1429" s="67" t="n"/>
      <c r="F1429" s="67" t="n"/>
      <c r="G1429" s="67" t="n"/>
      <c r="H1429" s="67" t="n"/>
      <c r="I1429" s="67" t="n"/>
      <c r="J1429" s="67" t="n"/>
      <c r="K1429" s="67" t="n"/>
      <c r="L1429" s="67" t="n"/>
      <c r="M1429" s="64" t="n"/>
      <c r="N1429" s="66" t="n"/>
      <c r="O1429" s="84">
        <f>IF(A1429="","",IF(OR(C1429="",D1429=""),"Enter both dates",IF(D1429&lt;C1429,"To is before From",IF(COUNTIFS($P$5:$P$2004,P1429,$C$5:$C$2004,"&lt;="&amp;D1429,$D$5:$D$2004,"&gt;="&amp;C1429)&gt;1,"Overlaps another row","OK"))))</f>
        <v/>
      </c>
      <c r="P1429">
        <f>IF(A1429="","",A1429&amp;"|"&amp;IF(B1429="","Standard",B1429))</f>
        <v/>
      </c>
      <c r="Q1429">
        <f>IF(AND(A1429&lt;&gt;"",A1429='Firm Search'!$C$7),COUNTIF($A$5:A1429,'Firm Search'!$C$7),"")</f>
        <v/>
      </c>
    </row>
    <row r="1430">
      <c r="A1430" s="64" t="n"/>
      <c r="B1430" s="64" t="n"/>
      <c r="C1430" s="66" t="n"/>
      <c r="D1430" s="66" t="n"/>
      <c r="E1430" s="67" t="n"/>
      <c r="F1430" s="67" t="n"/>
      <c r="G1430" s="67" t="n"/>
      <c r="H1430" s="67" t="n"/>
      <c r="I1430" s="67" t="n"/>
      <c r="J1430" s="67" t="n"/>
      <c r="K1430" s="67" t="n"/>
      <c r="L1430" s="67" t="n"/>
      <c r="M1430" s="64" t="n"/>
      <c r="N1430" s="66" t="n"/>
      <c r="O1430" s="84">
        <f>IF(A1430="","",IF(OR(C1430="",D1430=""),"Enter both dates",IF(D1430&lt;C1430,"To is before From",IF(COUNTIFS($P$5:$P$2004,P1430,$C$5:$C$2004,"&lt;="&amp;D1430,$D$5:$D$2004,"&gt;="&amp;C1430)&gt;1,"Overlaps another row","OK"))))</f>
        <v/>
      </c>
      <c r="P1430">
        <f>IF(A1430="","",A1430&amp;"|"&amp;IF(B1430="","Standard",B1430))</f>
        <v/>
      </c>
      <c r="Q1430">
        <f>IF(AND(A1430&lt;&gt;"",A1430='Firm Search'!$C$7),COUNTIF($A$5:A1430,'Firm Search'!$C$7),"")</f>
        <v/>
      </c>
    </row>
    <row r="1431">
      <c r="A1431" s="64" t="n"/>
      <c r="B1431" s="64" t="n"/>
      <c r="C1431" s="66" t="n"/>
      <c r="D1431" s="66" t="n"/>
      <c r="E1431" s="67" t="n"/>
      <c r="F1431" s="67" t="n"/>
      <c r="G1431" s="67" t="n"/>
      <c r="H1431" s="67" t="n"/>
      <c r="I1431" s="67" t="n"/>
      <c r="J1431" s="67" t="n"/>
      <c r="K1431" s="67" t="n"/>
      <c r="L1431" s="67" t="n"/>
      <c r="M1431" s="64" t="n"/>
      <c r="N1431" s="66" t="n"/>
      <c r="O1431" s="84">
        <f>IF(A1431="","",IF(OR(C1431="",D1431=""),"Enter both dates",IF(D1431&lt;C1431,"To is before From",IF(COUNTIFS($P$5:$P$2004,P1431,$C$5:$C$2004,"&lt;="&amp;D1431,$D$5:$D$2004,"&gt;="&amp;C1431)&gt;1,"Overlaps another row","OK"))))</f>
        <v/>
      </c>
      <c r="P1431">
        <f>IF(A1431="","",A1431&amp;"|"&amp;IF(B1431="","Standard",B1431))</f>
        <v/>
      </c>
      <c r="Q1431">
        <f>IF(AND(A1431&lt;&gt;"",A1431='Firm Search'!$C$7),COUNTIF($A$5:A1431,'Firm Search'!$C$7),"")</f>
        <v/>
      </c>
    </row>
    <row r="1432">
      <c r="A1432" s="64" t="n"/>
      <c r="B1432" s="64" t="n"/>
      <c r="C1432" s="66" t="n"/>
      <c r="D1432" s="66" t="n"/>
      <c r="E1432" s="67" t="n"/>
      <c r="F1432" s="67" t="n"/>
      <c r="G1432" s="67" t="n"/>
      <c r="H1432" s="67" t="n"/>
      <c r="I1432" s="67" t="n"/>
      <c r="J1432" s="67" t="n"/>
      <c r="K1432" s="67" t="n"/>
      <c r="L1432" s="67" t="n"/>
      <c r="M1432" s="64" t="n"/>
      <c r="N1432" s="66" t="n"/>
      <c r="O1432" s="84">
        <f>IF(A1432="","",IF(OR(C1432="",D1432=""),"Enter both dates",IF(D1432&lt;C1432,"To is before From",IF(COUNTIFS($P$5:$P$2004,P1432,$C$5:$C$2004,"&lt;="&amp;D1432,$D$5:$D$2004,"&gt;="&amp;C1432)&gt;1,"Overlaps another row","OK"))))</f>
        <v/>
      </c>
      <c r="P1432">
        <f>IF(A1432="","",A1432&amp;"|"&amp;IF(B1432="","Standard",B1432))</f>
        <v/>
      </c>
      <c r="Q1432">
        <f>IF(AND(A1432&lt;&gt;"",A1432='Firm Search'!$C$7),COUNTIF($A$5:A1432,'Firm Search'!$C$7),"")</f>
        <v/>
      </c>
    </row>
    <row r="1433">
      <c r="A1433" s="64" t="n"/>
      <c r="B1433" s="64" t="n"/>
      <c r="C1433" s="66" t="n"/>
      <c r="D1433" s="66" t="n"/>
      <c r="E1433" s="67" t="n"/>
      <c r="F1433" s="67" t="n"/>
      <c r="G1433" s="67" t="n"/>
      <c r="H1433" s="67" t="n"/>
      <c r="I1433" s="67" t="n"/>
      <c r="J1433" s="67" t="n"/>
      <c r="K1433" s="67" t="n"/>
      <c r="L1433" s="67" t="n"/>
      <c r="M1433" s="64" t="n"/>
      <c r="N1433" s="66" t="n"/>
      <c r="O1433" s="84">
        <f>IF(A1433="","",IF(OR(C1433="",D1433=""),"Enter both dates",IF(D1433&lt;C1433,"To is before From",IF(COUNTIFS($P$5:$P$2004,P1433,$C$5:$C$2004,"&lt;="&amp;D1433,$D$5:$D$2004,"&gt;="&amp;C1433)&gt;1,"Overlaps another row","OK"))))</f>
        <v/>
      </c>
      <c r="P1433">
        <f>IF(A1433="","",A1433&amp;"|"&amp;IF(B1433="","Standard",B1433))</f>
        <v/>
      </c>
      <c r="Q1433">
        <f>IF(AND(A1433&lt;&gt;"",A1433='Firm Search'!$C$7),COUNTIF($A$5:A1433,'Firm Search'!$C$7),"")</f>
        <v/>
      </c>
    </row>
    <row r="1434">
      <c r="A1434" s="64" t="n"/>
      <c r="B1434" s="64" t="n"/>
      <c r="C1434" s="66" t="n"/>
      <c r="D1434" s="66" t="n"/>
      <c r="E1434" s="67" t="n"/>
      <c r="F1434" s="67" t="n"/>
      <c r="G1434" s="67" t="n"/>
      <c r="H1434" s="67" t="n"/>
      <c r="I1434" s="67" t="n"/>
      <c r="J1434" s="67" t="n"/>
      <c r="K1434" s="67" t="n"/>
      <c r="L1434" s="67" t="n"/>
      <c r="M1434" s="64" t="n"/>
      <c r="N1434" s="66" t="n"/>
      <c r="O1434" s="84">
        <f>IF(A1434="","",IF(OR(C1434="",D1434=""),"Enter both dates",IF(D1434&lt;C1434,"To is before From",IF(COUNTIFS($P$5:$P$2004,P1434,$C$5:$C$2004,"&lt;="&amp;D1434,$D$5:$D$2004,"&gt;="&amp;C1434)&gt;1,"Overlaps another row","OK"))))</f>
        <v/>
      </c>
      <c r="P1434">
        <f>IF(A1434="","",A1434&amp;"|"&amp;IF(B1434="","Standard",B1434))</f>
        <v/>
      </c>
      <c r="Q1434">
        <f>IF(AND(A1434&lt;&gt;"",A1434='Firm Search'!$C$7),COUNTIF($A$5:A1434,'Firm Search'!$C$7),"")</f>
        <v/>
      </c>
    </row>
    <row r="1435">
      <c r="A1435" s="64" t="n"/>
      <c r="B1435" s="64" t="n"/>
      <c r="C1435" s="66" t="n"/>
      <c r="D1435" s="66" t="n"/>
      <c r="E1435" s="67" t="n"/>
      <c r="F1435" s="67" t="n"/>
      <c r="G1435" s="67" t="n"/>
      <c r="H1435" s="67" t="n"/>
      <c r="I1435" s="67" t="n"/>
      <c r="J1435" s="67" t="n"/>
      <c r="K1435" s="67" t="n"/>
      <c r="L1435" s="67" t="n"/>
      <c r="M1435" s="64" t="n"/>
      <c r="N1435" s="66" t="n"/>
      <c r="O1435" s="84">
        <f>IF(A1435="","",IF(OR(C1435="",D1435=""),"Enter both dates",IF(D1435&lt;C1435,"To is before From",IF(COUNTIFS($P$5:$P$2004,P1435,$C$5:$C$2004,"&lt;="&amp;D1435,$D$5:$D$2004,"&gt;="&amp;C1435)&gt;1,"Overlaps another row","OK"))))</f>
        <v/>
      </c>
      <c r="P1435">
        <f>IF(A1435="","",A1435&amp;"|"&amp;IF(B1435="","Standard",B1435))</f>
        <v/>
      </c>
      <c r="Q1435">
        <f>IF(AND(A1435&lt;&gt;"",A1435='Firm Search'!$C$7),COUNTIF($A$5:A1435,'Firm Search'!$C$7),"")</f>
        <v/>
      </c>
    </row>
    <row r="1436">
      <c r="A1436" s="64" t="n"/>
      <c r="B1436" s="64" t="n"/>
      <c r="C1436" s="66" t="n"/>
      <c r="D1436" s="66" t="n"/>
      <c r="E1436" s="67" t="n"/>
      <c r="F1436" s="67" t="n"/>
      <c r="G1436" s="67" t="n"/>
      <c r="H1436" s="67" t="n"/>
      <c r="I1436" s="67" t="n"/>
      <c r="J1436" s="67" t="n"/>
      <c r="K1436" s="67" t="n"/>
      <c r="L1436" s="67" t="n"/>
      <c r="M1436" s="64" t="n"/>
      <c r="N1436" s="66" t="n"/>
      <c r="O1436" s="84">
        <f>IF(A1436="","",IF(OR(C1436="",D1436=""),"Enter both dates",IF(D1436&lt;C1436,"To is before From",IF(COUNTIFS($P$5:$P$2004,P1436,$C$5:$C$2004,"&lt;="&amp;D1436,$D$5:$D$2004,"&gt;="&amp;C1436)&gt;1,"Overlaps another row","OK"))))</f>
        <v/>
      </c>
      <c r="P1436">
        <f>IF(A1436="","",A1436&amp;"|"&amp;IF(B1436="","Standard",B1436))</f>
        <v/>
      </c>
      <c r="Q1436">
        <f>IF(AND(A1436&lt;&gt;"",A1436='Firm Search'!$C$7),COUNTIF($A$5:A1436,'Firm Search'!$C$7),"")</f>
        <v/>
      </c>
    </row>
    <row r="1437">
      <c r="A1437" s="64" t="n"/>
      <c r="B1437" s="64" t="n"/>
      <c r="C1437" s="66" t="n"/>
      <c r="D1437" s="66" t="n"/>
      <c r="E1437" s="67" t="n"/>
      <c r="F1437" s="67" t="n"/>
      <c r="G1437" s="67" t="n"/>
      <c r="H1437" s="67" t="n"/>
      <c r="I1437" s="67" t="n"/>
      <c r="J1437" s="67" t="n"/>
      <c r="K1437" s="67" t="n"/>
      <c r="L1437" s="67" t="n"/>
      <c r="M1437" s="64" t="n"/>
      <c r="N1437" s="66" t="n"/>
      <c r="O1437" s="84">
        <f>IF(A1437="","",IF(OR(C1437="",D1437=""),"Enter both dates",IF(D1437&lt;C1437,"To is before From",IF(COUNTIFS($P$5:$P$2004,P1437,$C$5:$C$2004,"&lt;="&amp;D1437,$D$5:$D$2004,"&gt;="&amp;C1437)&gt;1,"Overlaps another row","OK"))))</f>
        <v/>
      </c>
      <c r="P1437">
        <f>IF(A1437="","",A1437&amp;"|"&amp;IF(B1437="","Standard",B1437))</f>
        <v/>
      </c>
      <c r="Q1437">
        <f>IF(AND(A1437&lt;&gt;"",A1437='Firm Search'!$C$7),COUNTIF($A$5:A1437,'Firm Search'!$C$7),"")</f>
        <v/>
      </c>
    </row>
    <row r="1438">
      <c r="A1438" s="64" t="n"/>
      <c r="B1438" s="64" t="n"/>
      <c r="C1438" s="66" t="n"/>
      <c r="D1438" s="66" t="n"/>
      <c r="E1438" s="67" t="n"/>
      <c r="F1438" s="67" t="n"/>
      <c r="G1438" s="67" t="n"/>
      <c r="H1438" s="67" t="n"/>
      <c r="I1438" s="67" t="n"/>
      <c r="J1438" s="67" t="n"/>
      <c r="K1438" s="67" t="n"/>
      <c r="L1438" s="67" t="n"/>
      <c r="M1438" s="64" t="n"/>
      <c r="N1438" s="66" t="n"/>
      <c r="O1438" s="84">
        <f>IF(A1438="","",IF(OR(C1438="",D1438=""),"Enter both dates",IF(D1438&lt;C1438,"To is before From",IF(COUNTIFS($P$5:$P$2004,P1438,$C$5:$C$2004,"&lt;="&amp;D1438,$D$5:$D$2004,"&gt;="&amp;C1438)&gt;1,"Overlaps another row","OK"))))</f>
        <v/>
      </c>
      <c r="P1438">
        <f>IF(A1438="","",A1438&amp;"|"&amp;IF(B1438="","Standard",B1438))</f>
        <v/>
      </c>
      <c r="Q1438">
        <f>IF(AND(A1438&lt;&gt;"",A1438='Firm Search'!$C$7),COUNTIF($A$5:A1438,'Firm Search'!$C$7),"")</f>
        <v/>
      </c>
    </row>
    <row r="1439">
      <c r="A1439" s="64" t="n"/>
      <c r="B1439" s="64" t="n"/>
      <c r="C1439" s="66" t="n"/>
      <c r="D1439" s="66" t="n"/>
      <c r="E1439" s="67" t="n"/>
      <c r="F1439" s="67" t="n"/>
      <c r="G1439" s="67" t="n"/>
      <c r="H1439" s="67" t="n"/>
      <c r="I1439" s="67" t="n"/>
      <c r="J1439" s="67" t="n"/>
      <c r="K1439" s="67" t="n"/>
      <c r="L1439" s="67" t="n"/>
      <c r="M1439" s="64" t="n"/>
      <c r="N1439" s="66" t="n"/>
      <c r="O1439" s="84">
        <f>IF(A1439="","",IF(OR(C1439="",D1439=""),"Enter both dates",IF(D1439&lt;C1439,"To is before From",IF(COUNTIFS($P$5:$P$2004,P1439,$C$5:$C$2004,"&lt;="&amp;D1439,$D$5:$D$2004,"&gt;="&amp;C1439)&gt;1,"Overlaps another row","OK"))))</f>
        <v/>
      </c>
      <c r="P1439">
        <f>IF(A1439="","",A1439&amp;"|"&amp;IF(B1439="","Standard",B1439))</f>
        <v/>
      </c>
      <c r="Q1439">
        <f>IF(AND(A1439&lt;&gt;"",A1439='Firm Search'!$C$7),COUNTIF($A$5:A1439,'Firm Search'!$C$7),"")</f>
        <v/>
      </c>
    </row>
    <row r="1440">
      <c r="A1440" s="64" t="n"/>
      <c r="B1440" s="64" t="n"/>
      <c r="C1440" s="66" t="n"/>
      <c r="D1440" s="66" t="n"/>
      <c r="E1440" s="67" t="n"/>
      <c r="F1440" s="67" t="n"/>
      <c r="G1440" s="67" t="n"/>
      <c r="H1440" s="67" t="n"/>
      <c r="I1440" s="67" t="n"/>
      <c r="J1440" s="67" t="n"/>
      <c r="K1440" s="67" t="n"/>
      <c r="L1440" s="67" t="n"/>
      <c r="M1440" s="64" t="n"/>
      <c r="N1440" s="66" t="n"/>
      <c r="O1440" s="84">
        <f>IF(A1440="","",IF(OR(C1440="",D1440=""),"Enter both dates",IF(D1440&lt;C1440,"To is before From",IF(COUNTIFS($P$5:$P$2004,P1440,$C$5:$C$2004,"&lt;="&amp;D1440,$D$5:$D$2004,"&gt;="&amp;C1440)&gt;1,"Overlaps another row","OK"))))</f>
        <v/>
      </c>
      <c r="P1440">
        <f>IF(A1440="","",A1440&amp;"|"&amp;IF(B1440="","Standard",B1440))</f>
        <v/>
      </c>
      <c r="Q1440">
        <f>IF(AND(A1440&lt;&gt;"",A1440='Firm Search'!$C$7),COUNTIF($A$5:A1440,'Firm Search'!$C$7),"")</f>
        <v/>
      </c>
    </row>
    <row r="1441">
      <c r="A1441" s="64" t="n"/>
      <c r="B1441" s="64" t="n"/>
      <c r="C1441" s="66" t="n"/>
      <c r="D1441" s="66" t="n"/>
      <c r="E1441" s="67" t="n"/>
      <c r="F1441" s="67" t="n"/>
      <c r="G1441" s="67" t="n"/>
      <c r="H1441" s="67" t="n"/>
      <c r="I1441" s="67" t="n"/>
      <c r="J1441" s="67" t="n"/>
      <c r="K1441" s="67" t="n"/>
      <c r="L1441" s="67" t="n"/>
      <c r="M1441" s="64" t="n"/>
      <c r="N1441" s="66" t="n"/>
      <c r="O1441" s="84">
        <f>IF(A1441="","",IF(OR(C1441="",D1441=""),"Enter both dates",IF(D1441&lt;C1441,"To is before From",IF(COUNTIFS($P$5:$P$2004,P1441,$C$5:$C$2004,"&lt;="&amp;D1441,$D$5:$D$2004,"&gt;="&amp;C1441)&gt;1,"Overlaps another row","OK"))))</f>
        <v/>
      </c>
      <c r="P1441">
        <f>IF(A1441="","",A1441&amp;"|"&amp;IF(B1441="","Standard",B1441))</f>
        <v/>
      </c>
      <c r="Q1441">
        <f>IF(AND(A1441&lt;&gt;"",A1441='Firm Search'!$C$7),COUNTIF($A$5:A1441,'Firm Search'!$C$7),"")</f>
        <v/>
      </c>
    </row>
    <row r="1442">
      <c r="A1442" s="64" t="n"/>
      <c r="B1442" s="64" t="n"/>
      <c r="C1442" s="66" t="n"/>
      <c r="D1442" s="66" t="n"/>
      <c r="E1442" s="67" t="n"/>
      <c r="F1442" s="67" t="n"/>
      <c r="G1442" s="67" t="n"/>
      <c r="H1442" s="67" t="n"/>
      <c r="I1442" s="67" t="n"/>
      <c r="J1442" s="67" t="n"/>
      <c r="K1442" s="67" t="n"/>
      <c r="L1442" s="67" t="n"/>
      <c r="M1442" s="64" t="n"/>
      <c r="N1442" s="66" t="n"/>
      <c r="O1442" s="84">
        <f>IF(A1442="","",IF(OR(C1442="",D1442=""),"Enter both dates",IF(D1442&lt;C1442,"To is before From",IF(COUNTIFS($P$5:$P$2004,P1442,$C$5:$C$2004,"&lt;="&amp;D1442,$D$5:$D$2004,"&gt;="&amp;C1442)&gt;1,"Overlaps another row","OK"))))</f>
        <v/>
      </c>
      <c r="P1442">
        <f>IF(A1442="","",A1442&amp;"|"&amp;IF(B1442="","Standard",B1442))</f>
        <v/>
      </c>
      <c r="Q1442">
        <f>IF(AND(A1442&lt;&gt;"",A1442='Firm Search'!$C$7),COUNTIF($A$5:A1442,'Firm Search'!$C$7),"")</f>
        <v/>
      </c>
    </row>
    <row r="1443">
      <c r="A1443" s="64" t="n"/>
      <c r="B1443" s="64" t="n"/>
      <c r="C1443" s="66" t="n"/>
      <c r="D1443" s="66" t="n"/>
      <c r="E1443" s="67" t="n"/>
      <c r="F1443" s="67" t="n"/>
      <c r="G1443" s="67" t="n"/>
      <c r="H1443" s="67" t="n"/>
      <c r="I1443" s="67" t="n"/>
      <c r="J1443" s="67" t="n"/>
      <c r="K1443" s="67" t="n"/>
      <c r="L1443" s="67" t="n"/>
      <c r="M1443" s="64" t="n"/>
      <c r="N1443" s="66" t="n"/>
      <c r="O1443" s="84">
        <f>IF(A1443="","",IF(OR(C1443="",D1443=""),"Enter both dates",IF(D1443&lt;C1443,"To is before From",IF(COUNTIFS($P$5:$P$2004,P1443,$C$5:$C$2004,"&lt;="&amp;D1443,$D$5:$D$2004,"&gt;="&amp;C1443)&gt;1,"Overlaps another row","OK"))))</f>
        <v/>
      </c>
      <c r="P1443">
        <f>IF(A1443="","",A1443&amp;"|"&amp;IF(B1443="","Standard",B1443))</f>
        <v/>
      </c>
      <c r="Q1443">
        <f>IF(AND(A1443&lt;&gt;"",A1443='Firm Search'!$C$7),COUNTIF($A$5:A1443,'Firm Search'!$C$7),"")</f>
        <v/>
      </c>
    </row>
    <row r="1444">
      <c r="A1444" s="64" t="n"/>
      <c r="B1444" s="64" t="n"/>
      <c r="C1444" s="66" t="n"/>
      <c r="D1444" s="66" t="n"/>
      <c r="E1444" s="67" t="n"/>
      <c r="F1444" s="67" t="n"/>
      <c r="G1444" s="67" t="n"/>
      <c r="H1444" s="67" t="n"/>
      <c r="I1444" s="67" t="n"/>
      <c r="J1444" s="67" t="n"/>
      <c r="K1444" s="67" t="n"/>
      <c r="L1444" s="67" t="n"/>
      <c r="M1444" s="64" t="n"/>
      <c r="N1444" s="66" t="n"/>
      <c r="O1444" s="84">
        <f>IF(A1444="","",IF(OR(C1444="",D1444=""),"Enter both dates",IF(D1444&lt;C1444,"To is before From",IF(COUNTIFS($P$5:$P$2004,P1444,$C$5:$C$2004,"&lt;="&amp;D1444,$D$5:$D$2004,"&gt;="&amp;C1444)&gt;1,"Overlaps another row","OK"))))</f>
        <v/>
      </c>
      <c r="P1444">
        <f>IF(A1444="","",A1444&amp;"|"&amp;IF(B1444="","Standard",B1444))</f>
        <v/>
      </c>
      <c r="Q1444">
        <f>IF(AND(A1444&lt;&gt;"",A1444='Firm Search'!$C$7),COUNTIF($A$5:A1444,'Firm Search'!$C$7),"")</f>
        <v/>
      </c>
    </row>
    <row r="1445">
      <c r="A1445" s="64" t="n"/>
      <c r="B1445" s="64" t="n"/>
      <c r="C1445" s="66" t="n"/>
      <c r="D1445" s="66" t="n"/>
      <c r="E1445" s="67" t="n"/>
      <c r="F1445" s="67" t="n"/>
      <c r="G1445" s="67" t="n"/>
      <c r="H1445" s="67" t="n"/>
      <c r="I1445" s="67" t="n"/>
      <c r="J1445" s="67" t="n"/>
      <c r="K1445" s="67" t="n"/>
      <c r="L1445" s="67" t="n"/>
      <c r="M1445" s="64" t="n"/>
      <c r="N1445" s="66" t="n"/>
      <c r="O1445" s="84">
        <f>IF(A1445="","",IF(OR(C1445="",D1445=""),"Enter both dates",IF(D1445&lt;C1445,"To is before From",IF(COUNTIFS($P$5:$P$2004,P1445,$C$5:$C$2004,"&lt;="&amp;D1445,$D$5:$D$2004,"&gt;="&amp;C1445)&gt;1,"Overlaps another row","OK"))))</f>
        <v/>
      </c>
      <c r="P1445">
        <f>IF(A1445="","",A1445&amp;"|"&amp;IF(B1445="","Standard",B1445))</f>
        <v/>
      </c>
      <c r="Q1445">
        <f>IF(AND(A1445&lt;&gt;"",A1445='Firm Search'!$C$7),COUNTIF($A$5:A1445,'Firm Search'!$C$7),"")</f>
        <v/>
      </c>
    </row>
    <row r="1446">
      <c r="A1446" s="64" t="n"/>
      <c r="B1446" s="64" t="n"/>
      <c r="C1446" s="66" t="n"/>
      <c r="D1446" s="66" t="n"/>
      <c r="E1446" s="67" t="n"/>
      <c r="F1446" s="67" t="n"/>
      <c r="G1446" s="67" t="n"/>
      <c r="H1446" s="67" t="n"/>
      <c r="I1446" s="67" t="n"/>
      <c r="J1446" s="67" t="n"/>
      <c r="K1446" s="67" t="n"/>
      <c r="L1446" s="67" t="n"/>
      <c r="M1446" s="64" t="n"/>
      <c r="N1446" s="66" t="n"/>
      <c r="O1446" s="84">
        <f>IF(A1446="","",IF(OR(C1446="",D1446=""),"Enter both dates",IF(D1446&lt;C1446,"To is before From",IF(COUNTIFS($P$5:$P$2004,P1446,$C$5:$C$2004,"&lt;="&amp;D1446,$D$5:$D$2004,"&gt;="&amp;C1446)&gt;1,"Overlaps another row","OK"))))</f>
        <v/>
      </c>
      <c r="P1446">
        <f>IF(A1446="","",A1446&amp;"|"&amp;IF(B1446="","Standard",B1446))</f>
        <v/>
      </c>
      <c r="Q1446">
        <f>IF(AND(A1446&lt;&gt;"",A1446='Firm Search'!$C$7),COUNTIF($A$5:A1446,'Firm Search'!$C$7),"")</f>
        <v/>
      </c>
    </row>
    <row r="1447">
      <c r="A1447" s="64" t="n"/>
      <c r="B1447" s="64" t="n"/>
      <c r="C1447" s="66" t="n"/>
      <c r="D1447" s="66" t="n"/>
      <c r="E1447" s="67" t="n"/>
      <c r="F1447" s="67" t="n"/>
      <c r="G1447" s="67" t="n"/>
      <c r="H1447" s="67" t="n"/>
      <c r="I1447" s="67" t="n"/>
      <c r="J1447" s="67" t="n"/>
      <c r="K1447" s="67" t="n"/>
      <c r="L1447" s="67" t="n"/>
      <c r="M1447" s="64" t="n"/>
      <c r="N1447" s="66" t="n"/>
      <c r="O1447" s="84">
        <f>IF(A1447="","",IF(OR(C1447="",D1447=""),"Enter both dates",IF(D1447&lt;C1447,"To is before From",IF(COUNTIFS($P$5:$P$2004,P1447,$C$5:$C$2004,"&lt;="&amp;D1447,$D$5:$D$2004,"&gt;="&amp;C1447)&gt;1,"Overlaps another row","OK"))))</f>
        <v/>
      </c>
      <c r="P1447">
        <f>IF(A1447="","",A1447&amp;"|"&amp;IF(B1447="","Standard",B1447))</f>
        <v/>
      </c>
      <c r="Q1447">
        <f>IF(AND(A1447&lt;&gt;"",A1447='Firm Search'!$C$7),COUNTIF($A$5:A1447,'Firm Search'!$C$7),"")</f>
        <v/>
      </c>
    </row>
    <row r="1448">
      <c r="A1448" s="64" t="n"/>
      <c r="B1448" s="64" t="n"/>
      <c r="C1448" s="66" t="n"/>
      <c r="D1448" s="66" t="n"/>
      <c r="E1448" s="67" t="n"/>
      <c r="F1448" s="67" t="n"/>
      <c r="G1448" s="67" t="n"/>
      <c r="H1448" s="67" t="n"/>
      <c r="I1448" s="67" t="n"/>
      <c r="J1448" s="67" t="n"/>
      <c r="K1448" s="67" t="n"/>
      <c r="L1448" s="67" t="n"/>
      <c r="M1448" s="64" t="n"/>
      <c r="N1448" s="66" t="n"/>
      <c r="O1448" s="84">
        <f>IF(A1448="","",IF(OR(C1448="",D1448=""),"Enter both dates",IF(D1448&lt;C1448,"To is before From",IF(COUNTIFS($P$5:$P$2004,P1448,$C$5:$C$2004,"&lt;="&amp;D1448,$D$5:$D$2004,"&gt;="&amp;C1448)&gt;1,"Overlaps another row","OK"))))</f>
        <v/>
      </c>
      <c r="P1448">
        <f>IF(A1448="","",A1448&amp;"|"&amp;IF(B1448="","Standard",B1448))</f>
        <v/>
      </c>
      <c r="Q1448">
        <f>IF(AND(A1448&lt;&gt;"",A1448='Firm Search'!$C$7),COUNTIF($A$5:A1448,'Firm Search'!$C$7),"")</f>
        <v/>
      </c>
    </row>
    <row r="1449">
      <c r="A1449" s="64" t="n"/>
      <c r="B1449" s="64" t="n"/>
      <c r="C1449" s="66" t="n"/>
      <c r="D1449" s="66" t="n"/>
      <c r="E1449" s="67" t="n"/>
      <c r="F1449" s="67" t="n"/>
      <c r="G1449" s="67" t="n"/>
      <c r="H1449" s="67" t="n"/>
      <c r="I1449" s="67" t="n"/>
      <c r="J1449" s="67" t="n"/>
      <c r="K1449" s="67" t="n"/>
      <c r="L1449" s="67" t="n"/>
      <c r="M1449" s="64" t="n"/>
      <c r="N1449" s="66" t="n"/>
      <c r="O1449" s="84">
        <f>IF(A1449="","",IF(OR(C1449="",D1449=""),"Enter both dates",IF(D1449&lt;C1449,"To is before From",IF(COUNTIFS($P$5:$P$2004,P1449,$C$5:$C$2004,"&lt;="&amp;D1449,$D$5:$D$2004,"&gt;="&amp;C1449)&gt;1,"Overlaps another row","OK"))))</f>
        <v/>
      </c>
      <c r="P1449">
        <f>IF(A1449="","",A1449&amp;"|"&amp;IF(B1449="","Standard",B1449))</f>
        <v/>
      </c>
      <c r="Q1449">
        <f>IF(AND(A1449&lt;&gt;"",A1449='Firm Search'!$C$7),COUNTIF($A$5:A1449,'Firm Search'!$C$7),"")</f>
        <v/>
      </c>
    </row>
    <row r="1450">
      <c r="A1450" s="64" t="n"/>
      <c r="B1450" s="64" t="n"/>
      <c r="C1450" s="66" t="n"/>
      <c r="D1450" s="66" t="n"/>
      <c r="E1450" s="67" t="n"/>
      <c r="F1450" s="67" t="n"/>
      <c r="G1450" s="67" t="n"/>
      <c r="H1450" s="67" t="n"/>
      <c r="I1450" s="67" t="n"/>
      <c r="J1450" s="67" t="n"/>
      <c r="K1450" s="67" t="n"/>
      <c r="L1450" s="67" t="n"/>
      <c r="M1450" s="64" t="n"/>
      <c r="N1450" s="66" t="n"/>
      <c r="O1450" s="84">
        <f>IF(A1450="","",IF(OR(C1450="",D1450=""),"Enter both dates",IF(D1450&lt;C1450,"To is before From",IF(COUNTIFS($P$5:$P$2004,P1450,$C$5:$C$2004,"&lt;="&amp;D1450,$D$5:$D$2004,"&gt;="&amp;C1450)&gt;1,"Overlaps another row","OK"))))</f>
        <v/>
      </c>
      <c r="P1450">
        <f>IF(A1450="","",A1450&amp;"|"&amp;IF(B1450="","Standard",B1450))</f>
        <v/>
      </c>
      <c r="Q1450">
        <f>IF(AND(A1450&lt;&gt;"",A1450='Firm Search'!$C$7),COUNTIF($A$5:A1450,'Firm Search'!$C$7),"")</f>
        <v/>
      </c>
    </row>
    <row r="1451">
      <c r="A1451" s="64" t="n"/>
      <c r="B1451" s="64" t="n"/>
      <c r="C1451" s="66" t="n"/>
      <c r="D1451" s="66" t="n"/>
      <c r="E1451" s="67" t="n"/>
      <c r="F1451" s="67" t="n"/>
      <c r="G1451" s="67" t="n"/>
      <c r="H1451" s="67" t="n"/>
      <c r="I1451" s="67" t="n"/>
      <c r="J1451" s="67" t="n"/>
      <c r="K1451" s="67" t="n"/>
      <c r="L1451" s="67" t="n"/>
      <c r="M1451" s="64" t="n"/>
      <c r="N1451" s="66" t="n"/>
      <c r="O1451" s="84">
        <f>IF(A1451="","",IF(OR(C1451="",D1451=""),"Enter both dates",IF(D1451&lt;C1451,"To is before From",IF(COUNTIFS($P$5:$P$2004,P1451,$C$5:$C$2004,"&lt;="&amp;D1451,$D$5:$D$2004,"&gt;="&amp;C1451)&gt;1,"Overlaps another row","OK"))))</f>
        <v/>
      </c>
      <c r="P1451">
        <f>IF(A1451="","",A1451&amp;"|"&amp;IF(B1451="","Standard",B1451))</f>
        <v/>
      </c>
      <c r="Q1451">
        <f>IF(AND(A1451&lt;&gt;"",A1451='Firm Search'!$C$7),COUNTIF($A$5:A1451,'Firm Search'!$C$7),"")</f>
        <v/>
      </c>
    </row>
    <row r="1452">
      <c r="A1452" s="64" t="n"/>
      <c r="B1452" s="64" t="n"/>
      <c r="C1452" s="66" t="n"/>
      <c r="D1452" s="66" t="n"/>
      <c r="E1452" s="67" t="n"/>
      <c r="F1452" s="67" t="n"/>
      <c r="G1452" s="67" t="n"/>
      <c r="H1452" s="67" t="n"/>
      <c r="I1452" s="67" t="n"/>
      <c r="J1452" s="67" t="n"/>
      <c r="K1452" s="67" t="n"/>
      <c r="L1452" s="67" t="n"/>
      <c r="M1452" s="64" t="n"/>
      <c r="N1452" s="66" t="n"/>
      <c r="O1452" s="84">
        <f>IF(A1452="","",IF(OR(C1452="",D1452=""),"Enter both dates",IF(D1452&lt;C1452,"To is before From",IF(COUNTIFS($P$5:$P$2004,P1452,$C$5:$C$2004,"&lt;="&amp;D1452,$D$5:$D$2004,"&gt;="&amp;C1452)&gt;1,"Overlaps another row","OK"))))</f>
        <v/>
      </c>
      <c r="P1452">
        <f>IF(A1452="","",A1452&amp;"|"&amp;IF(B1452="","Standard",B1452))</f>
        <v/>
      </c>
      <c r="Q1452">
        <f>IF(AND(A1452&lt;&gt;"",A1452='Firm Search'!$C$7),COUNTIF($A$5:A1452,'Firm Search'!$C$7),"")</f>
        <v/>
      </c>
    </row>
    <row r="1453">
      <c r="A1453" s="64" t="n"/>
      <c r="B1453" s="64" t="n"/>
      <c r="C1453" s="66" t="n"/>
      <c r="D1453" s="66" t="n"/>
      <c r="E1453" s="67" t="n"/>
      <c r="F1453" s="67" t="n"/>
      <c r="G1453" s="67" t="n"/>
      <c r="H1453" s="67" t="n"/>
      <c r="I1453" s="67" t="n"/>
      <c r="J1453" s="67" t="n"/>
      <c r="K1453" s="67" t="n"/>
      <c r="L1453" s="67" t="n"/>
      <c r="M1453" s="64" t="n"/>
      <c r="N1453" s="66" t="n"/>
      <c r="O1453" s="84">
        <f>IF(A1453="","",IF(OR(C1453="",D1453=""),"Enter both dates",IF(D1453&lt;C1453,"To is before From",IF(COUNTIFS($P$5:$P$2004,P1453,$C$5:$C$2004,"&lt;="&amp;D1453,$D$5:$D$2004,"&gt;="&amp;C1453)&gt;1,"Overlaps another row","OK"))))</f>
        <v/>
      </c>
      <c r="P1453">
        <f>IF(A1453="","",A1453&amp;"|"&amp;IF(B1453="","Standard",B1453))</f>
        <v/>
      </c>
      <c r="Q1453">
        <f>IF(AND(A1453&lt;&gt;"",A1453='Firm Search'!$C$7),COUNTIF($A$5:A1453,'Firm Search'!$C$7),"")</f>
        <v/>
      </c>
    </row>
    <row r="1454">
      <c r="A1454" s="64" t="n"/>
      <c r="B1454" s="64" t="n"/>
      <c r="C1454" s="66" t="n"/>
      <c r="D1454" s="66" t="n"/>
      <c r="E1454" s="67" t="n"/>
      <c r="F1454" s="67" t="n"/>
      <c r="G1454" s="67" t="n"/>
      <c r="H1454" s="67" t="n"/>
      <c r="I1454" s="67" t="n"/>
      <c r="J1454" s="67" t="n"/>
      <c r="K1454" s="67" t="n"/>
      <c r="L1454" s="67" t="n"/>
      <c r="M1454" s="64" t="n"/>
      <c r="N1454" s="66" t="n"/>
      <c r="O1454" s="84">
        <f>IF(A1454="","",IF(OR(C1454="",D1454=""),"Enter both dates",IF(D1454&lt;C1454,"To is before From",IF(COUNTIFS($P$5:$P$2004,P1454,$C$5:$C$2004,"&lt;="&amp;D1454,$D$5:$D$2004,"&gt;="&amp;C1454)&gt;1,"Overlaps another row","OK"))))</f>
        <v/>
      </c>
      <c r="P1454">
        <f>IF(A1454="","",A1454&amp;"|"&amp;IF(B1454="","Standard",B1454))</f>
        <v/>
      </c>
      <c r="Q1454">
        <f>IF(AND(A1454&lt;&gt;"",A1454='Firm Search'!$C$7),COUNTIF($A$5:A1454,'Firm Search'!$C$7),"")</f>
        <v/>
      </c>
    </row>
    <row r="1455">
      <c r="A1455" s="64" t="n"/>
      <c r="B1455" s="64" t="n"/>
      <c r="C1455" s="66" t="n"/>
      <c r="D1455" s="66" t="n"/>
      <c r="E1455" s="67" t="n"/>
      <c r="F1455" s="67" t="n"/>
      <c r="G1455" s="67" t="n"/>
      <c r="H1455" s="67" t="n"/>
      <c r="I1455" s="67" t="n"/>
      <c r="J1455" s="67" t="n"/>
      <c r="K1455" s="67" t="n"/>
      <c r="L1455" s="67" t="n"/>
      <c r="M1455" s="64" t="n"/>
      <c r="N1455" s="66" t="n"/>
      <c r="O1455" s="84">
        <f>IF(A1455="","",IF(OR(C1455="",D1455=""),"Enter both dates",IF(D1455&lt;C1455,"To is before From",IF(COUNTIFS($P$5:$P$2004,P1455,$C$5:$C$2004,"&lt;="&amp;D1455,$D$5:$D$2004,"&gt;="&amp;C1455)&gt;1,"Overlaps another row","OK"))))</f>
        <v/>
      </c>
      <c r="P1455">
        <f>IF(A1455="","",A1455&amp;"|"&amp;IF(B1455="","Standard",B1455))</f>
        <v/>
      </c>
      <c r="Q1455">
        <f>IF(AND(A1455&lt;&gt;"",A1455='Firm Search'!$C$7),COUNTIF($A$5:A1455,'Firm Search'!$C$7),"")</f>
        <v/>
      </c>
    </row>
    <row r="1456">
      <c r="A1456" s="64" t="n"/>
      <c r="B1456" s="64" t="n"/>
      <c r="C1456" s="66" t="n"/>
      <c r="D1456" s="66" t="n"/>
      <c r="E1456" s="67" t="n"/>
      <c r="F1456" s="67" t="n"/>
      <c r="G1456" s="67" t="n"/>
      <c r="H1456" s="67" t="n"/>
      <c r="I1456" s="67" t="n"/>
      <c r="J1456" s="67" t="n"/>
      <c r="K1456" s="67" t="n"/>
      <c r="L1456" s="67" t="n"/>
      <c r="M1456" s="64" t="n"/>
      <c r="N1456" s="66" t="n"/>
      <c r="O1456" s="84">
        <f>IF(A1456="","",IF(OR(C1456="",D1456=""),"Enter both dates",IF(D1456&lt;C1456,"To is before From",IF(COUNTIFS($P$5:$P$2004,P1456,$C$5:$C$2004,"&lt;="&amp;D1456,$D$5:$D$2004,"&gt;="&amp;C1456)&gt;1,"Overlaps another row","OK"))))</f>
        <v/>
      </c>
      <c r="P1456">
        <f>IF(A1456="","",A1456&amp;"|"&amp;IF(B1456="","Standard",B1456))</f>
        <v/>
      </c>
      <c r="Q1456">
        <f>IF(AND(A1456&lt;&gt;"",A1456='Firm Search'!$C$7),COUNTIF($A$5:A1456,'Firm Search'!$C$7),"")</f>
        <v/>
      </c>
    </row>
    <row r="1457">
      <c r="A1457" s="64" t="n"/>
      <c r="B1457" s="64" t="n"/>
      <c r="C1457" s="66" t="n"/>
      <c r="D1457" s="66" t="n"/>
      <c r="E1457" s="67" t="n"/>
      <c r="F1457" s="67" t="n"/>
      <c r="G1457" s="67" t="n"/>
      <c r="H1457" s="67" t="n"/>
      <c r="I1457" s="67" t="n"/>
      <c r="J1457" s="67" t="n"/>
      <c r="K1457" s="67" t="n"/>
      <c r="L1457" s="67" t="n"/>
      <c r="M1457" s="64" t="n"/>
      <c r="N1457" s="66" t="n"/>
      <c r="O1457" s="84">
        <f>IF(A1457="","",IF(OR(C1457="",D1457=""),"Enter both dates",IF(D1457&lt;C1457,"To is before From",IF(COUNTIFS($P$5:$P$2004,P1457,$C$5:$C$2004,"&lt;="&amp;D1457,$D$5:$D$2004,"&gt;="&amp;C1457)&gt;1,"Overlaps another row","OK"))))</f>
        <v/>
      </c>
      <c r="P1457">
        <f>IF(A1457="","",A1457&amp;"|"&amp;IF(B1457="","Standard",B1457))</f>
        <v/>
      </c>
      <c r="Q1457">
        <f>IF(AND(A1457&lt;&gt;"",A1457='Firm Search'!$C$7),COUNTIF($A$5:A1457,'Firm Search'!$C$7),"")</f>
        <v/>
      </c>
    </row>
    <row r="1458">
      <c r="A1458" s="64" t="n"/>
      <c r="B1458" s="64" t="n"/>
      <c r="C1458" s="66" t="n"/>
      <c r="D1458" s="66" t="n"/>
      <c r="E1458" s="67" t="n"/>
      <c r="F1458" s="67" t="n"/>
      <c r="G1458" s="67" t="n"/>
      <c r="H1458" s="67" t="n"/>
      <c r="I1458" s="67" t="n"/>
      <c r="J1458" s="67" t="n"/>
      <c r="K1458" s="67" t="n"/>
      <c r="L1458" s="67" t="n"/>
      <c r="M1458" s="64" t="n"/>
      <c r="N1458" s="66" t="n"/>
      <c r="O1458" s="84">
        <f>IF(A1458="","",IF(OR(C1458="",D1458=""),"Enter both dates",IF(D1458&lt;C1458,"To is before From",IF(COUNTIFS($P$5:$P$2004,P1458,$C$5:$C$2004,"&lt;="&amp;D1458,$D$5:$D$2004,"&gt;="&amp;C1458)&gt;1,"Overlaps another row","OK"))))</f>
        <v/>
      </c>
      <c r="P1458">
        <f>IF(A1458="","",A1458&amp;"|"&amp;IF(B1458="","Standard",B1458))</f>
        <v/>
      </c>
      <c r="Q1458">
        <f>IF(AND(A1458&lt;&gt;"",A1458='Firm Search'!$C$7),COUNTIF($A$5:A1458,'Firm Search'!$C$7),"")</f>
        <v/>
      </c>
    </row>
    <row r="1459">
      <c r="A1459" s="64" t="n"/>
      <c r="B1459" s="64" t="n"/>
      <c r="C1459" s="66" t="n"/>
      <c r="D1459" s="66" t="n"/>
      <c r="E1459" s="67" t="n"/>
      <c r="F1459" s="67" t="n"/>
      <c r="G1459" s="67" t="n"/>
      <c r="H1459" s="67" t="n"/>
      <c r="I1459" s="67" t="n"/>
      <c r="J1459" s="67" t="n"/>
      <c r="K1459" s="67" t="n"/>
      <c r="L1459" s="67" t="n"/>
      <c r="M1459" s="64" t="n"/>
      <c r="N1459" s="66" t="n"/>
      <c r="O1459" s="84">
        <f>IF(A1459="","",IF(OR(C1459="",D1459=""),"Enter both dates",IF(D1459&lt;C1459,"To is before From",IF(COUNTIFS($P$5:$P$2004,P1459,$C$5:$C$2004,"&lt;="&amp;D1459,$D$5:$D$2004,"&gt;="&amp;C1459)&gt;1,"Overlaps another row","OK"))))</f>
        <v/>
      </c>
      <c r="P1459">
        <f>IF(A1459="","",A1459&amp;"|"&amp;IF(B1459="","Standard",B1459))</f>
        <v/>
      </c>
      <c r="Q1459">
        <f>IF(AND(A1459&lt;&gt;"",A1459='Firm Search'!$C$7),COUNTIF($A$5:A1459,'Firm Search'!$C$7),"")</f>
        <v/>
      </c>
    </row>
    <row r="1460">
      <c r="A1460" s="64" t="n"/>
      <c r="B1460" s="64" t="n"/>
      <c r="C1460" s="66" t="n"/>
      <c r="D1460" s="66" t="n"/>
      <c r="E1460" s="67" t="n"/>
      <c r="F1460" s="67" t="n"/>
      <c r="G1460" s="67" t="n"/>
      <c r="H1460" s="67" t="n"/>
      <c r="I1460" s="67" t="n"/>
      <c r="J1460" s="67" t="n"/>
      <c r="K1460" s="67" t="n"/>
      <c r="L1460" s="67" t="n"/>
      <c r="M1460" s="64" t="n"/>
      <c r="N1460" s="66" t="n"/>
      <c r="O1460" s="84">
        <f>IF(A1460="","",IF(OR(C1460="",D1460=""),"Enter both dates",IF(D1460&lt;C1460,"To is before From",IF(COUNTIFS($P$5:$P$2004,P1460,$C$5:$C$2004,"&lt;="&amp;D1460,$D$5:$D$2004,"&gt;="&amp;C1460)&gt;1,"Overlaps another row","OK"))))</f>
        <v/>
      </c>
      <c r="P1460">
        <f>IF(A1460="","",A1460&amp;"|"&amp;IF(B1460="","Standard",B1460))</f>
        <v/>
      </c>
      <c r="Q1460">
        <f>IF(AND(A1460&lt;&gt;"",A1460='Firm Search'!$C$7),COUNTIF($A$5:A1460,'Firm Search'!$C$7),"")</f>
        <v/>
      </c>
    </row>
    <row r="1461">
      <c r="A1461" s="64" t="n"/>
      <c r="B1461" s="64" t="n"/>
      <c r="C1461" s="66" t="n"/>
      <c r="D1461" s="66" t="n"/>
      <c r="E1461" s="67" t="n"/>
      <c r="F1461" s="67" t="n"/>
      <c r="G1461" s="67" t="n"/>
      <c r="H1461" s="67" t="n"/>
      <c r="I1461" s="67" t="n"/>
      <c r="J1461" s="67" t="n"/>
      <c r="K1461" s="67" t="n"/>
      <c r="L1461" s="67" t="n"/>
      <c r="M1461" s="64" t="n"/>
      <c r="N1461" s="66" t="n"/>
      <c r="O1461" s="84">
        <f>IF(A1461="","",IF(OR(C1461="",D1461=""),"Enter both dates",IF(D1461&lt;C1461,"To is before From",IF(COUNTIFS($P$5:$P$2004,P1461,$C$5:$C$2004,"&lt;="&amp;D1461,$D$5:$D$2004,"&gt;="&amp;C1461)&gt;1,"Overlaps another row","OK"))))</f>
        <v/>
      </c>
      <c r="P1461">
        <f>IF(A1461="","",A1461&amp;"|"&amp;IF(B1461="","Standard",B1461))</f>
        <v/>
      </c>
      <c r="Q1461">
        <f>IF(AND(A1461&lt;&gt;"",A1461='Firm Search'!$C$7),COUNTIF($A$5:A1461,'Firm Search'!$C$7),"")</f>
        <v/>
      </c>
    </row>
    <row r="1462">
      <c r="A1462" s="64" t="n"/>
      <c r="B1462" s="64" t="n"/>
      <c r="C1462" s="66" t="n"/>
      <c r="D1462" s="66" t="n"/>
      <c r="E1462" s="67" t="n"/>
      <c r="F1462" s="67" t="n"/>
      <c r="G1462" s="67" t="n"/>
      <c r="H1462" s="67" t="n"/>
      <c r="I1462" s="67" t="n"/>
      <c r="J1462" s="67" t="n"/>
      <c r="K1462" s="67" t="n"/>
      <c r="L1462" s="67" t="n"/>
      <c r="M1462" s="64" t="n"/>
      <c r="N1462" s="66" t="n"/>
      <c r="O1462" s="84">
        <f>IF(A1462="","",IF(OR(C1462="",D1462=""),"Enter both dates",IF(D1462&lt;C1462,"To is before From",IF(COUNTIFS($P$5:$P$2004,P1462,$C$5:$C$2004,"&lt;="&amp;D1462,$D$5:$D$2004,"&gt;="&amp;C1462)&gt;1,"Overlaps another row","OK"))))</f>
        <v/>
      </c>
      <c r="P1462">
        <f>IF(A1462="","",A1462&amp;"|"&amp;IF(B1462="","Standard",B1462))</f>
        <v/>
      </c>
      <c r="Q1462">
        <f>IF(AND(A1462&lt;&gt;"",A1462='Firm Search'!$C$7),COUNTIF($A$5:A1462,'Firm Search'!$C$7),"")</f>
        <v/>
      </c>
    </row>
    <row r="1463">
      <c r="A1463" s="64" t="n"/>
      <c r="B1463" s="64" t="n"/>
      <c r="C1463" s="66" t="n"/>
      <c r="D1463" s="66" t="n"/>
      <c r="E1463" s="67" t="n"/>
      <c r="F1463" s="67" t="n"/>
      <c r="G1463" s="67" t="n"/>
      <c r="H1463" s="67" t="n"/>
      <c r="I1463" s="67" t="n"/>
      <c r="J1463" s="67" t="n"/>
      <c r="K1463" s="67" t="n"/>
      <c r="L1463" s="67" t="n"/>
      <c r="M1463" s="64" t="n"/>
      <c r="N1463" s="66" t="n"/>
      <c r="O1463" s="84">
        <f>IF(A1463="","",IF(OR(C1463="",D1463=""),"Enter both dates",IF(D1463&lt;C1463,"To is before From",IF(COUNTIFS($P$5:$P$2004,P1463,$C$5:$C$2004,"&lt;="&amp;D1463,$D$5:$D$2004,"&gt;="&amp;C1463)&gt;1,"Overlaps another row","OK"))))</f>
        <v/>
      </c>
      <c r="P1463">
        <f>IF(A1463="","",A1463&amp;"|"&amp;IF(B1463="","Standard",B1463))</f>
        <v/>
      </c>
      <c r="Q1463">
        <f>IF(AND(A1463&lt;&gt;"",A1463='Firm Search'!$C$7),COUNTIF($A$5:A1463,'Firm Search'!$C$7),"")</f>
        <v/>
      </c>
    </row>
    <row r="1464">
      <c r="A1464" s="64" t="n"/>
      <c r="B1464" s="64" t="n"/>
      <c r="C1464" s="66" t="n"/>
      <c r="D1464" s="66" t="n"/>
      <c r="E1464" s="67" t="n"/>
      <c r="F1464" s="67" t="n"/>
      <c r="G1464" s="67" t="n"/>
      <c r="H1464" s="67" t="n"/>
      <c r="I1464" s="67" t="n"/>
      <c r="J1464" s="67" t="n"/>
      <c r="K1464" s="67" t="n"/>
      <c r="L1464" s="67" t="n"/>
      <c r="M1464" s="64" t="n"/>
      <c r="N1464" s="66" t="n"/>
      <c r="O1464" s="84">
        <f>IF(A1464="","",IF(OR(C1464="",D1464=""),"Enter both dates",IF(D1464&lt;C1464,"To is before From",IF(COUNTIFS($P$5:$P$2004,P1464,$C$5:$C$2004,"&lt;="&amp;D1464,$D$5:$D$2004,"&gt;="&amp;C1464)&gt;1,"Overlaps another row","OK"))))</f>
        <v/>
      </c>
      <c r="P1464">
        <f>IF(A1464="","",A1464&amp;"|"&amp;IF(B1464="","Standard",B1464))</f>
        <v/>
      </c>
      <c r="Q1464">
        <f>IF(AND(A1464&lt;&gt;"",A1464='Firm Search'!$C$7),COUNTIF($A$5:A1464,'Firm Search'!$C$7),"")</f>
        <v/>
      </c>
    </row>
    <row r="1465">
      <c r="A1465" s="64" t="n"/>
      <c r="B1465" s="64" t="n"/>
      <c r="C1465" s="66" t="n"/>
      <c r="D1465" s="66" t="n"/>
      <c r="E1465" s="67" t="n"/>
      <c r="F1465" s="67" t="n"/>
      <c r="G1465" s="67" t="n"/>
      <c r="H1465" s="67" t="n"/>
      <c r="I1465" s="67" t="n"/>
      <c r="J1465" s="67" t="n"/>
      <c r="K1465" s="67" t="n"/>
      <c r="L1465" s="67" t="n"/>
      <c r="M1465" s="64" t="n"/>
      <c r="N1465" s="66" t="n"/>
      <c r="O1465" s="84">
        <f>IF(A1465="","",IF(OR(C1465="",D1465=""),"Enter both dates",IF(D1465&lt;C1465,"To is before From",IF(COUNTIFS($P$5:$P$2004,P1465,$C$5:$C$2004,"&lt;="&amp;D1465,$D$5:$D$2004,"&gt;="&amp;C1465)&gt;1,"Overlaps another row","OK"))))</f>
        <v/>
      </c>
      <c r="P1465">
        <f>IF(A1465="","",A1465&amp;"|"&amp;IF(B1465="","Standard",B1465))</f>
        <v/>
      </c>
      <c r="Q1465">
        <f>IF(AND(A1465&lt;&gt;"",A1465='Firm Search'!$C$7),COUNTIF($A$5:A1465,'Firm Search'!$C$7),"")</f>
        <v/>
      </c>
    </row>
    <row r="1466">
      <c r="A1466" s="64" t="n"/>
      <c r="B1466" s="64" t="n"/>
      <c r="C1466" s="66" t="n"/>
      <c r="D1466" s="66" t="n"/>
      <c r="E1466" s="67" t="n"/>
      <c r="F1466" s="67" t="n"/>
      <c r="G1466" s="67" t="n"/>
      <c r="H1466" s="67" t="n"/>
      <c r="I1466" s="67" t="n"/>
      <c r="J1466" s="67" t="n"/>
      <c r="K1466" s="67" t="n"/>
      <c r="L1466" s="67" t="n"/>
      <c r="M1466" s="64" t="n"/>
      <c r="N1466" s="66" t="n"/>
      <c r="O1466" s="84">
        <f>IF(A1466="","",IF(OR(C1466="",D1466=""),"Enter both dates",IF(D1466&lt;C1466,"To is before From",IF(COUNTIFS($P$5:$P$2004,P1466,$C$5:$C$2004,"&lt;="&amp;D1466,$D$5:$D$2004,"&gt;="&amp;C1466)&gt;1,"Overlaps another row","OK"))))</f>
        <v/>
      </c>
      <c r="P1466">
        <f>IF(A1466="","",A1466&amp;"|"&amp;IF(B1466="","Standard",B1466))</f>
        <v/>
      </c>
      <c r="Q1466">
        <f>IF(AND(A1466&lt;&gt;"",A1466='Firm Search'!$C$7),COUNTIF($A$5:A1466,'Firm Search'!$C$7),"")</f>
        <v/>
      </c>
    </row>
    <row r="1467">
      <c r="A1467" s="64" t="n"/>
      <c r="B1467" s="64" t="n"/>
      <c r="C1467" s="66" t="n"/>
      <c r="D1467" s="66" t="n"/>
      <c r="E1467" s="67" t="n"/>
      <c r="F1467" s="67" t="n"/>
      <c r="G1467" s="67" t="n"/>
      <c r="H1467" s="67" t="n"/>
      <c r="I1467" s="67" t="n"/>
      <c r="J1467" s="67" t="n"/>
      <c r="K1467" s="67" t="n"/>
      <c r="L1467" s="67" t="n"/>
      <c r="M1467" s="64" t="n"/>
      <c r="N1467" s="66" t="n"/>
      <c r="O1467" s="84">
        <f>IF(A1467="","",IF(OR(C1467="",D1467=""),"Enter both dates",IF(D1467&lt;C1467,"To is before From",IF(COUNTIFS($P$5:$P$2004,P1467,$C$5:$C$2004,"&lt;="&amp;D1467,$D$5:$D$2004,"&gt;="&amp;C1467)&gt;1,"Overlaps another row","OK"))))</f>
        <v/>
      </c>
      <c r="P1467">
        <f>IF(A1467="","",A1467&amp;"|"&amp;IF(B1467="","Standard",B1467))</f>
        <v/>
      </c>
      <c r="Q1467">
        <f>IF(AND(A1467&lt;&gt;"",A1467='Firm Search'!$C$7),COUNTIF($A$5:A1467,'Firm Search'!$C$7),"")</f>
        <v/>
      </c>
    </row>
    <row r="1468">
      <c r="A1468" s="64" t="n"/>
      <c r="B1468" s="64" t="n"/>
      <c r="C1468" s="66" t="n"/>
      <c r="D1468" s="66" t="n"/>
      <c r="E1468" s="67" t="n"/>
      <c r="F1468" s="67" t="n"/>
      <c r="G1468" s="67" t="n"/>
      <c r="H1468" s="67" t="n"/>
      <c r="I1468" s="67" t="n"/>
      <c r="J1468" s="67" t="n"/>
      <c r="K1468" s="67" t="n"/>
      <c r="L1468" s="67" t="n"/>
      <c r="M1468" s="64" t="n"/>
      <c r="N1468" s="66" t="n"/>
      <c r="O1468" s="84">
        <f>IF(A1468="","",IF(OR(C1468="",D1468=""),"Enter both dates",IF(D1468&lt;C1468,"To is before From",IF(COUNTIFS($P$5:$P$2004,P1468,$C$5:$C$2004,"&lt;="&amp;D1468,$D$5:$D$2004,"&gt;="&amp;C1468)&gt;1,"Overlaps another row","OK"))))</f>
        <v/>
      </c>
      <c r="P1468">
        <f>IF(A1468="","",A1468&amp;"|"&amp;IF(B1468="","Standard",B1468))</f>
        <v/>
      </c>
      <c r="Q1468">
        <f>IF(AND(A1468&lt;&gt;"",A1468='Firm Search'!$C$7),COUNTIF($A$5:A1468,'Firm Search'!$C$7),"")</f>
        <v/>
      </c>
    </row>
    <row r="1469">
      <c r="A1469" s="64" t="n"/>
      <c r="B1469" s="64" t="n"/>
      <c r="C1469" s="66" t="n"/>
      <c r="D1469" s="66" t="n"/>
      <c r="E1469" s="67" t="n"/>
      <c r="F1469" s="67" t="n"/>
      <c r="G1469" s="67" t="n"/>
      <c r="H1469" s="67" t="n"/>
      <c r="I1469" s="67" t="n"/>
      <c r="J1469" s="67" t="n"/>
      <c r="K1469" s="67" t="n"/>
      <c r="L1469" s="67" t="n"/>
      <c r="M1469" s="64" t="n"/>
      <c r="N1469" s="66" t="n"/>
      <c r="O1469" s="84">
        <f>IF(A1469="","",IF(OR(C1469="",D1469=""),"Enter both dates",IF(D1469&lt;C1469,"To is before From",IF(COUNTIFS($P$5:$P$2004,P1469,$C$5:$C$2004,"&lt;="&amp;D1469,$D$5:$D$2004,"&gt;="&amp;C1469)&gt;1,"Overlaps another row","OK"))))</f>
        <v/>
      </c>
      <c r="P1469">
        <f>IF(A1469="","",A1469&amp;"|"&amp;IF(B1469="","Standard",B1469))</f>
        <v/>
      </c>
      <c r="Q1469">
        <f>IF(AND(A1469&lt;&gt;"",A1469='Firm Search'!$C$7),COUNTIF($A$5:A1469,'Firm Search'!$C$7),"")</f>
        <v/>
      </c>
    </row>
    <row r="1470">
      <c r="A1470" s="64" t="n"/>
      <c r="B1470" s="64" t="n"/>
      <c r="C1470" s="66" t="n"/>
      <c r="D1470" s="66" t="n"/>
      <c r="E1470" s="67" t="n"/>
      <c r="F1470" s="67" t="n"/>
      <c r="G1470" s="67" t="n"/>
      <c r="H1470" s="67" t="n"/>
      <c r="I1470" s="67" t="n"/>
      <c r="J1470" s="67" t="n"/>
      <c r="K1470" s="67" t="n"/>
      <c r="L1470" s="67" t="n"/>
      <c r="M1470" s="64" t="n"/>
      <c r="N1470" s="66" t="n"/>
      <c r="O1470" s="84">
        <f>IF(A1470="","",IF(OR(C1470="",D1470=""),"Enter both dates",IF(D1470&lt;C1470,"To is before From",IF(COUNTIFS($P$5:$P$2004,P1470,$C$5:$C$2004,"&lt;="&amp;D1470,$D$5:$D$2004,"&gt;="&amp;C1470)&gt;1,"Overlaps another row","OK"))))</f>
        <v/>
      </c>
      <c r="P1470">
        <f>IF(A1470="","",A1470&amp;"|"&amp;IF(B1470="","Standard",B1470))</f>
        <v/>
      </c>
      <c r="Q1470">
        <f>IF(AND(A1470&lt;&gt;"",A1470='Firm Search'!$C$7),COUNTIF($A$5:A1470,'Firm Search'!$C$7),"")</f>
        <v/>
      </c>
    </row>
    <row r="1471">
      <c r="A1471" s="64" t="n"/>
      <c r="B1471" s="64" t="n"/>
      <c r="C1471" s="66" t="n"/>
      <c r="D1471" s="66" t="n"/>
      <c r="E1471" s="67" t="n"/>
      <c r="F1471" s="67" t="n"/>
      <c r="G1471" s="67" t="n"/>
      <c r="H1471" s="67" t="n"/>
      <c r="I1471" s="67" t="n"/>
      <c r="J1471" s="67" t="n"/>
      <c r="K1471" s="67" t="n"/>
      <c r="L1471" s="67" t="n"/>
      <c r="M1471" s="64" t="n"/>
      <c r="N1471" s="66" t="n"/>
      <c r="O1471" s="84">
        <f>IF(A1471="","",IF(OR(C1471="",D1471=""),"Enter both dates",IF(D1471&lt;C1471,"To is before From",IF(COUNTIFS($P$5:$P$2004,P1471,$C$5:$C$2004,"&lt;="&amp;D1471,$D$5:$D$2004,"&gt;="&amp;C1471)&gt;1,"Overlaps another row","OK"))))</f>
        <v/>
      </c>
      <c r="P1471">
        <f>IF(A1471="","",A1471&amp;"|"&amp;IF(B1471="","Standard",B1471))</f>
        <v/>
      </c>
      <c r="Q1471">
        <f>IF(AND(A1471&lt;&gt;"",A1471='Firm Search'!$C$7),COUNTIF($A$5:A1471,'Firm Search'!$C$7),"")</f>
        <v/>
      </c>
    </row>
    <row r="1472">
      <c r="A1472" s="64" t="n"/>
      <c r="B1472" s="64" t="n"/>
      <c r="C1472" s="66" t="n"/>
      <c r="D1472" s="66" t="n"/>
      <c r="E1472" s="67" t="n"/>
      <c r="F1472" s="67" t="n"/>
      <c r="G1472" s="67" t="n"/>
      <c r="H1472" s="67" t="n"/>
      <c r="I1472" s="67" t="n"/>
      <c r="J1472" s="67" t="n"/>
      <c r="K1472" s="67" t="n"/>
      <c r="L1472" s="67" t="n"/>
      <c r="M1472" s="64" t="n"/>
      <c r="N1472" s="66" t="n"/>
      <c r="O1472" s="84">
        <f>IF(A1472="","",IF(OR(C1472="",D1472=""),"Enter both dates",IF(D1472&lt;C1472,"To is before From",IF(COUNTIFS($P$5:$P$2004,P1472,$C$5:$C$2004,"&lt;="&amp;D1472,$D$5:$D$2004,"&gt;="&amp;C1472)&gt;1,"Overlaps another row","OK"))))</f>
        <v/>
      </c>
      <c r="P1472">
        <f>IF(A1472="","",A1472&amp;"|"&amp;IF(B1472="","Standard",B1472))</f>
        <v/>
      </c>
      <c r="Q1472">
        <f>IF(AND(A1472&lt;&gt;"",A1472='Firm Search'!$C$7),COUNTIF($A$5:A1472,'Firm Search'!$C$7),"")</f>
        <v/>
      </c>
    </row>
    <row r="1473">
      <c r="A1473" s="64" t="n"/>
      <c r="B1473" s="64" t="n"/>
      <c r="C1473" s="66" t="n"/>
      <c r="D1473" s="66" t="n"/>
      <c r="E1473" s="67" t="n"/>
      <c r="F1473" s="67" t="n"/>
      <c r="G1473" s="67" t="n"/>
      <c r="H1473" s="67" t="n"/>
      <c r="I1473" s="67" t="n"/>
      <c r="J1473" s="67" t="n"/>
      <c r="K1473" s="67" t="n"/>
      <c r="L1473" s="67" t="n"/>
      <c r="M1473" s="64" t="n"/>
      <c r="N1473" s="66" t="n"/>
      <c r="O1473" s="84">
        <f>IF(A1473="","",IF(OR(C1473="",D1473=""),"Enter both dates",IF(D1473&lt;C1473,"To is before From",IF(COUNTIFS($P$5:$P$2004,P1473,$C$5:$C$2004,"&lt;="&amp;D1473,$D$5:$D$2004,"&gt;="&amp;C1473)&gt;1,"Overlaps another row","OK"))))</f>
        <v/>
      </c>
      <c r="P1473">
        <f>IF(A1473="","",A1473&amp;"|"&amp;IF(B1473="","Standard",B1473))</f>
        <v/>
      </c>
      <c r="Q1473">
        <f>IF(AND(A1473&lt;&gt;"",A1473='Firm Search'!$C$7),COUNTIF($A$5:A1473,'Firm Search'!$C$7),"")</f>
        <v/>
      </c>
    </row>
    <row r="1474">
      <c r="A1474" s="64" t="n"/>
      <c r="B1474" s="64" t="n"/>
      <c r="C1474" s="66" t="n"/>
      <c r="D1474" s="66" t="n"/>
      <c r="E1474" s="67" t="n"/>
      <c r="F1474" s="67" t="n"/>
      <c r="G1474" s="67" t="n"/>
      <c r="H1474" s="67" t="n"/>
      <c r="I1474" s="67" t="n"/>
      <c r="J1474" s="67" t="n"/>
      <c r="K1474" s="67" t="n"/>
      <c r="L1474" s="67" t="n"/>
      <c r="M1474" s="64" t="n"/>
      <c r="N1474" s="66" t="n"/>
      <c r="O1474" s="84">
        <f>IF(A1474="","",IF(OR(C1474="",D1474=""),"Enter both dates",IF(D1474&lt;C1474,"To is before From",IF(COUNTIFS($P$5:$P$2004,P1474,$C$5:$C$2004,"&lt;="&amp;D1474,$D$5:$D$2004,"&gt;="&amp;C1474)&gt;1,"Overlaps another row","OK"))))</f>
        <v/>
      </c>
      <c r="P1474">
        <f>IF(A1474="","",A1474&amp;"|"&amp;IF(B1474="","Standard",B1474))</f>
        <v/>
      </c>
      <c r="Q1474">
        <f>IF(AND(A1474&lt;&gt;"",A1474='Firm Search'!$C$7),COUNTIF($A$5:A1474,'Firm Search'!$C$7),"")</f>
        <v/>
      </c>
    </row>
    <row r="1475">
      <c r="A1475" s="64" t="n"/>
      <c r="B1475" s="64" t="n"/>
      <c r="C1475" s="66" t="n"/>
      <c r="D1475" s="66" t="n"/>
      <c r="E1475" s="67" t="n"/>
      <c r="F1475" s="67" t="n"/>
      <c r="G1475" s="67" t="n"/>
      <c r="H1475" s="67" t="n"/>
      <c r="I1475" s="67" t="n"/>
      <c r="J1475" s="67" t="n"/>
      <c r="K1475" s="67" t="n"/>
      <c r="L1475" s="67" t="n"/>
      <c r="M1475" s="64" t="n"/>
      <c r="N1475" s="66" t="n"/>
      <c r="O1475" s="84">
        <f>IF(A1475="","",IF(OR(C1475="",D1475=""),"Enter both dates",IF(D1475&lt;C1475,"To is before From",IF(COUNTIFS($P$5:$P$2004,P1475,$C$5:$C$2004,"&lt;="&amp;D1475,$D$5:$D$2004,"&gt;="&amp;C1475)&gt;1,"Overlaps another row","OK"))))</f>
        <v/>
      </c>
      <c r="P1475">
        <f>IF(A1475="","",A1475&amp;"|"&amp;IF(B1475="","Standard",B1475))</f>
        <v/>
      </c>
      <c r="Q1475">
        <f>IF(AND(A1475&lt;&gt;"",A1475='Firm Search'!$C$7),COUNTIF($A$5:A1475,'Firm Search'!$C$7),"")</f>
        <v/>
      </c>
    </row>
    <row r="1476">
      <c r="A1476" s="64" t="n"/>
      <c r="B1476" s="64" t="n"/>
      <c r="C1476" s="66" t="n"/>
      <c r="D1476" s="66" t="n"/>
      <c r="E1476" s="67" t="n"/>
      <c r="F1476" s="67" t="n"/>
      <c r="G1476" s="67" t="n"/>
      <c r="H1476" s="67" t="n"/>
      <c r="I1476" s="67" t="n"/>
      <c r="J1476" s="67" t="n"/>
      <c r="K1476" s="67" t="n"/>
      <c r="L1476" s="67" t="n"/>
      <c r="M1476" s="64" t="n"/>
      <c r="N1476" s="66" t="n"/>
      <c r="O1476" s="84">
        <f>IF(A1476="","",IF(OR(C1476="",D1476=""),"Enter both dates",IF(D1476&lt;C1476,"To is before From",IF(COUNTIFS($P$5:$P$2004,P1476,$C$5:$C$2004,"&lt;="&amp;D1476,$D$5:$D$2004,"&gt;="&amp;C1476)&gt;1,"Overlaps another row","OK"))))</f>
        <v/>
      </c>
      <c r="P1476">
        <f>IF(A1476="","",A1476&amp;"|"&amp;IF(B1476="","Standard",B1476))</f>
        <v/>
      </c>
      <c r="Q1476">
        <f>IF(AND(A1476&lt;&gt;"",A1476='Firm Search'!$C$7),COUNTIF($A$5:A1476,'Firm Search'!$C$7),"")</f>
        <v/>
      </c>
    </row>
    <row r="1477">
      <c r="A1477" s="64" t="n"/>
      <c r="B1477" s="64" t="n"/>
      <c r="C1477" s="66" t="n"/>
      <c r="D1477" s="66" t="n"/>
      <c r="E1477" s="67" t="n"/>
      <c r="F1477" s="67" t="n"/>
      <c r="G1477" s="67" t="n"/>
      <c r="H1477" s="67" t="n"/>
      <c r="I1477" s="67" t="n"/>
      <c r="J1477" s="67" t="n"/>
      <c r="K1477" s="67" t="n"/>
      <c r="L1477" s="67" t="n"/>
      <c r="M1477" s="64" t="n"/>
      <c r="N1477" s="66" t="n"/>
      <c r="O1477" s="84">
        <f>IF(A1477="","",IF(OR(C1477="",D1477=""),"Enter both dates",IF(D1477&lt;C1477,"To is before From",IF(COUNTIFS($P$5:$P$2004,P1477,$C$5:$C$2004,"&lt;="&amp;D1477,$D$5:$D$2004,"&gt;="&amp;C1477)&gt;1,"Overlaps another row","OK"))))</f>
        <v/>
      </c>
      <c r="P1477">
        <f>IF(A1477="","",A1477&amp;"|"&amp;IF(B1477="","Standard",B1477))</f>
        <v/>
      </c>
      <c r="Q1477">
        <f>IF(AND(A1477&lt;&gt;"",A1477='Firm Search'!$C$7),COUNTIF($A$5:A1477,'Firm Search'!$C$7),"")</f>
        <v/>
      </c>
    </row>
    <row r="1478">
      <c r="A1478" s="64" t="n"/>
      <c r="B1478" s="64" t="n"/>
      <c r="C1478" s="66" t="n"/>
      <c r="D1478" s="66" t="n"/>
      <c r="E1478" s="67" t="n"/>
      <c r="F1478" s="67" t="n"/>
      <c r="G1478" s="67" t="n"/>
      <c r="H1478" s="67" t="n"/>
      <c r="I1478" s="67" t="n"/>
      <c r="J1478" s="67" t="n"/>
      <c r="K1478" s="67" t="n"/>
      <c r="L1478" s="67" t="n"/>
      <c r="M1478" s="64" t="n"/>
      <c r="N1478" s="66" t="n"/>
      <c r="O1478" s="84">
        <f>IF(A1478="","",IF(OR(C1478="",D1478=""),"Enter both dates",IF(D1478&lt;C1478,"To is before From",IF(COUNTIFS($P$5:$P$2004,P1478,$C$5:$C$2004,"&lt;="&amp;D1478,$D$5:$D$2004,"&gt;="&amp;C1478)&gt;1,"Overlaps another row","OK"))))</f>
        <v/>
      </c>
      <c r="P1478">
        <f>IF(A1478="","",A1478&amp;"|"&amp;IF(B1478="","Standard",B1478))</f>
        <v/>
      </c>
      <c r="Q1478">
        <f>IF(AND(A1478&lt;&gt;"",A1478='Firm Search'!$C$7),COUNTIF($A$5:A1478,'Firm Search'!$C$7),"")</f>
        <v/>
      </c>
    </row>
    <row r="1479">
      <c r="A1479" s="64" t="n"/>
      <c r="B1479" s="64" t="n"/>
      <c r="C1479" s="66" t="n"/>
      <c r="D1479" s="66" t="n"/>
      <c r="E1479" s="67" t="n"/>
      <c r="F1479" s="67" t="n"/>
      <c r="G1479" s="67" t="n"/>
      <c r="H1479" s="67" t="n"/>
      <c r="I1479" s="67" t="n"/>
      <c r="J1479" s="67" t="n"/>
      <c r="K1479" s="67" t="n"/>
      <c r="L1479" s="67" t="n"/>
      <c r="M1479" s="64" t="n"/>
      <c r="N1479" s="66" t="n"/>
      <c r="O1479" s="84">
        <f>IF(A1479="","",IF(OR(C1479="",D1479=""),"Enter both dates",IF(D1479&lt;C1479,"To is before From",IF(COUNTIFS($P$5:$P$2004,P1479,$C$5:$C$2004,"&lt;="&amp;D1479,$D$5:$D$2004,"&gt;="&amp;C1479)&gt;1,"Overlaps another row","OK"))))</f>
        <v/>
      </c>
      <c r="P1479">
        <f>IF(A1479="","",A1479&amp;"|"&amp;IF(B1479="","Standard",B1479))</f>
        <v/>
      </c>
      <c r="Q1479">
        <f>IF(AND(A1479&lt;&gt;"",A1479='Firm Search'!$C$7),COUNTIF($A$5:A1479,'Firm Search'!$C$7),"")</f>
        <v/>
      </c>
    </row>
    <row r="1480">
      <c r="A1480" s="64" t="n"/>
      <c r="B1480" s="64" t="n"/>
      <c r="C1480" s="66" t="n"/>
      <c r="D1480" s="66" t="n"/>
      <c r="E1480" s="67" t="n"/>
      <c r="F1480" s="67" t="n"/>
      <c r="G1480" s="67" t="n"/>
      <c r="H1480" s="67" t="n"/>
      <c r="I1480" s="67" t="n"/>
      <c r="J1480" s="67" t="n"/>
      <c r="K1480" s="67" t="n"/>
      <c r="L1480" s="67" t="n"/>
      <c r="M1480" s="64" t="n"/>
      <c r="N1480" s="66" t="n"/>
      <c r="O1480" s="84">
        <f>IF(A1480="","",IF(OR(C1480="",D1480=""),"Enter both dates",IF(D1480&lt;C1480,"To is before From",IF(COUNTIFS($P$5:$P$2004,P1480,$C$5:$C$2004,"&lt;="&amp;D1480,$D$5:$D$2004,"&gt;="&amp;C1480)&gt;1,"Overlaps another row","OK"))))</f>
        <v/>
      </c>
      <c r="P1480">
        <f>IF(A1480="","",A1480&amp;"|"&amp;IF(B1480="","Standard",B1480))</f>
        <v/>
      </c>
      <c r="Q1480">
        <f>IF(AND(A1480&lt;&gt;"",A1480='Firm Search'!$C$7),COUNTIF($A$5:A1480,'Firm Search'!$C$7),"")</f>
        <v/>
      </c>
    </row>
    <row r="1481">
      <c r="A1481" s="64" t="n"/>
      <c r="B1481" s="64" t="n"/>
      <c r="C1481" s="66" t="n"/>
      <c r="D1481" s="66" t="n"/>
      <c r="E1481" s="67" t="n"/>
      <c r="F1481" s="67" t="n"/>
      <c r="G1481" s="67" t="n"/>
      <c r="H1481" s="67" t="n"/>
      <c r="I1481" s="67" t="n"/>
      <c r="J1481" s="67" t="n"/>
      <c r="K1481" s="67" t="n"/>
      <c r="L1481" s="67" t="n"/>
      <c r="M1481" s="64" t="n"/>
      <c r="N1481" s="66" t="n"/>
      <c r="O1481" s="84">
        <f>IF(A1481="","",IF(OR(C1481="",D1481=""),"Enter both dates",IF(D1481&lt;C1481,"To is before From",IF(COUNTIFS($P$5:$P$2004,P1481,$C$5:$C$2004,"&lt;="&amp;D1481,$D$5:$D$2004,"&gt;="&amp;C1481)&gt;1,"Overlaps another row","OK"))))</f>
        <v/>
      </c>
      <c r="P1481">
        <f>IF(A1481="","",A1481&amp;"|"&amp;IF(B1481="","Standard",B1481))</f>
        <v/>
      </c>
      <c r="Q1481">
        <f>IF(AND(A1481&lt;&gt;"",A1481='Firm Search'!$C$7),COUNTIF($A$5:A1481,'Firm Search'!$C$7),"")</f>
        <v/>
      </c>
    </row>
    <row r="1482">
      <c r="A1482" s="64" t="n"/>
      <c r="B1482" s="64" t="n"/>
      <c r="C1482" s="66" t="n"/>
      <c r="D1482" s="66" t="n"/>
      <c r="E1482" s="67" t="n"/>
      <c r="F1482" s="67" t="n"/>
      <c r="G1482" s="67" t="n"/>
      <c r="H1482" s="67" t="n"/>
      <c r="I1482" s="67" t="n"/>
      <c r="J1482" s="67" t="n"/>
      <c r="K1482" s="67" t="n"/>
      <c r="L1482" s="67" t="n"/>
      <c r="M1482" s="64" t="n"/>
      <c r="N1482" s="66" t="n"/>
      <c r="O1482" s="84">
        <f>IF(A1482="","",IF(OR(C1482="",D1482=""),"Enter both dates",IF(D1482&lt;C1482,"To is before From",IF(COUNTIFS($P$5:$P$2004,P1482,$C$5:$C$2004,"&lt;="&amp;D1482,$D$5:$D$2004,"&gt;="&amp;C1482)&gt;1,"Overlaps another row","OK"))))</f>
        <v/>
      </c>
      <c r="P1482">
        <f>IF(A1482="","",A1482&amp;"|"&amp;IF(B1482="","Standard",B1482))</f>
        <v/>
      </c>
      <c r="Q1482">
        <f>IF(AND(A1482&lt;&gt;"",A1482='Firm Search'!$C$7),COUNTIF($A$5:A1482,'Firm Search'!$C$7),"")</f>
        <v/>
      </c>
    </row>
    <row r="1483">
      <c r="A1483" s="64" t="n"/>
      <c r="B1483" s="64" t="n"/>
      <c r="C1483" s="66" t="n"/>
      <c r="D1483" s="66" t="n"/>
      <c r="E1483" s="67" t="n"/>
      <c r="F1483" s="67" t="n"/>
      <c r="G1483" s="67" t="n"/>
      <c r="H1483" s="67" t="n"/>
      <c r="I1483" s="67" t="n"/>
      <c r="J1483" s="67" t="n"/>
      <c r="K1483" s="67" t="n"/>
      <c r="L1483" s="67" t="n"/>
      <c r="M1483" s="64" t="n"/>
      <c r="N1483" s="66" t="n"/>
      <c r="O1483" s="84">
        <f>IF(A1483="","",IF(OR(C1483="",D1483=""),"Enter both dates",IF(D1483&lt;C1483,"To is before From",IF(COUNTIFS($P$5:$P$2004,P1483,$C$5:$C$2004,"&lt;="&amp;D1483,$D$5:$D$2004,"&gt;="&amp;C1483)&gt;1,"Overlaps another row","OK"))))</f>
        <v/>
      </c>
      <c r="P1483">
        <f>IF(A1483="","",A1483&amp;"|"&amp;IF(B1483="","Standard",B1483))</f>
        <v/>
      </c>
      <c r="Q1483">
        <f>IF(AND(A1483&lt;&gt;"",A1483='Firm Search'!$C$7),COUNTIF($A$5:A1483,'Firm Search'!$C$7),"")</f>
        <v/>
      </c>
    </row>
    <row r="1484">
      <c r="A1484" s="64" t="n"/>
      <c r="B1484" s="64" t="n"/>
      <c r="C1484" s="66" t="n"/>
      <c r="D1484" s="66" t="n"/>
      <c r="E1484" s="67" t="n"/>
      <c r="F1484" s="67" t="n"/>
      <c r="G1484" s="67" t="n"/>
      <c r="H1484" s="67" t="n"/>
      <c r="I1484" s="67" t="n"/>
      <c r="J1484" s="67" t="n"/>
      <c r="K1484" s="67" t="n"/>
      <c r="L1484" s="67" t="n"/>
      <c r="M1484" s="64" t="n"/>
      <c r="N1484" s="66" t="n"/>
      <c r="O1484" s="84">
        <f>IF(A1484="","",IF(OR(C1484="",D1484=""),"Enter both dates",IF(D1484&lt;C1484,"To is before From",IF(COUNTIFS($P$5:$P$2004,P1484,$C$5:$C$2004,"&lt;="&amp;D1484,$D$5:$D$2004,"&gt;="&amp;C1484)&gt;1,"Overlaps another row","OK"))))</f>
        <v/>
      </c>
      <c r="P1484">
        <f>IF(A1484="","",A1484&amp;"|"&amp;IF(B1484="","Standard",B1484))</f>
        <v/>
      </c>
      <c r="Q1484">
        <f>IF(AND(A1484&lt;&gt;"",A1484='Firm Search'!$C$7),COUNTIF($A$5:A1484,'Firm Search'!$C$7),"")</f>
        <v/>
      </c>
    </row>
    <row r="1485">
      <c r="A1485" s="64" t="n"/>
      <c r="B1485" s="64" t="n"/>
      <c r="C1485" s="66" t="n"/>
      <c r="D1485" s="66" t="n"/>
      <c r="E1485" s="67" t="n"/>
      <c r="F1485" s="67" t="n"/>
      <c r="G1485" s="67" t="n"/>
      <c r="H1485" s="67" t="n"/>
      <c r="I1485" s="67" t="n"/>
      <c r="J1485" s="67" t="n"/>
      <c r="K1485" s="67" t="n"/>
      <c r="L1485" s="67" t="n"/>
      <c r="M1485" s="64" t="n"/>
      <c r="N1485" s="66" t="n"/>
      <c r="O1485" s="84">
        <f>IF(A1485="","",IF(OR(C1485="",D1485=""),"Enter both dates",IF(D1485&lt;C1485,"To is before From",IF(COUNTIFS($P$5:$P$2004,P1485,$C$5:$C$2004,"&lt;="&amp;D1485,$D$5:$D$2004,"&gt;="&amp;C1485)&gt;1,"Overlaps another row","OK"))))</f>
        <v/>
      </c>
      <c r="P1485">
        <f>IF(A1485="","",A1485&amp;"|"&amp;IF(B1485="","Standard",B1485))</f>
        <v/>
      </c>
      <c r="Q1485">
        <f>IF(AND(A1485&lt;&gt;"",A1485='Firm Search'!$C$7),COUNTIF($A$5:A1485,'Firm Search'!$C$7),"")</f>
        <v/>
      </c>
    </row>
    <row r="1486">
      <c r="A1486" s="64" t="n"/>
      <c r="B1486" s="64" t="n"/>
      <c r="C1486" s="66" t="n"/>
      <c r="D1486" s="66" t="n"/>
      <c r="E1486" s="67" t="n"/>
      <c r="F1486" s="67" t="n"/>
      <c r="G1486" s="67" t="n"/>
      <c r="H1486" s="67" t="n"/>
      <c r="I1486" s="67" t="n"/>
      <c r="J1486" s="67" t="n"/>
      <c r="K1486" s="67" t="n"/>
      <c r="L1486" s="67" t="n"/>
      <c r="M1486" s="64" t="n"/>
      <c r="N1486" s="66" t="n"/>
      <c r="O1486" s="84">
        <f>IF(A1486="","",IF(OR(C1486="",D1486=""),"Enter both dates",IF(D1486&lt;C1486,"To is before From",IF(COUNTIFS($P$5:$P$2004,P1486,$C$5:$C$2004,"&lt;="&amp;D1486,$D$5:$D$2004,"&gt;="&amp;C1486)&gt;1,"Overlaps another row","OK"))))</f>
        <v/>
      </c>
      <c r="P1486">
        <f>IF(A1486="","",A1486&amp;"|"&amp;IF(B1486="","Standard",B1486))</f>
        <v/>
      </c>
      <c r="Q1486">
        <f>IF(AND(A1486&lt;&gt;"",A1486='Firm Search'!$C$7),COUNTIF($A$5:A1486,'Firm Search'!$C$7),"")</f>
        <v/>
      </c>
    </row>
    <row r="1487">
      <c r="A1487" s="64" t="n"/>
      <c r="B1487" s="64" t="n"/>
      <c r="C1487" s="66" t="n"/>
      <c r="D1487" s="66" t="n"/>
      <c r="E1487" s="67" t="n"/>
      <c r="F1487" s="67" t="n"/>
      <c r="G1487" s="67" t="n"/>
      <c r="H1487" s="67" t="n"/>
      <c r="I1487" s="67" t="n"/>
      <c r="J1487" s="67" t="n"/>
      <c r="K1487" s="67" t="n"/>
      <c r="L1487" s="67" t="n"/>
      <c r="M1487" s="64" t="n"/>
      <c r="N1487" s="66" t="n"/>
      <c r="O1487" s="84">
        <f>IF(A1487="","",IF(OR(C1487="",D1487=""),"Enter both dates",IF(D1487&lt;C1487,"To is before From",IF(COUNTIFS($P$5:$P$2004,P1487,$C$5:$C$2004,"&lt;="&amp;D1487,$D$5:$D$2004,"&gt;="&amp;C1487)&gt;1,"Overlaps another row","OK"))))</f>
        <v/>
      </c>
      <c r="P1487">
        <f>IF(A1487="","",A1487&amp;"|"&amp;IF(B1487="","Standard",B1487))</f>
        <v/>
      </c>
      <c r="Q1487">
        <f>IF(AND(A1487&lt;&gt;"",A1487='Firm Search'!$C$7),COUNTIF($A$5:A1487,'Firm Search'!$C$7),"")</f>
        <v/>
      </c>
    </row>
    <row r="1488">
      <c r="A1488" s="64" t="n"/>
      <c r="B1488" s="64" t="n"/>
      <c r="C1488" s="66" t="n"/>
      <c r="D1488" s="66" t="n"/>
      <c r="E1488" s="67" t="n"/>
      <c r="F1488" s="67" t="n"/>
      <c r="G1488" s="67" t="n"/>
      <c r="H1488" s="67" t="n"/>
      <c r="I1488" s="67" t="n"/>
      <c r="J1488" s="67" t="n"/>
      <c r="K1488" s="67" t="n"/>
      <c r="L1488" s="67" t="n"/>
      <c r="M1488" s="64" t="n"/>
      <c r="N1488" s="66" t="n"/>
      <c r="O1488" s="84">
        <f>IF(A1488="","",IF(OR(C1488="",D1488=""),"Enter both dates",IF(D1488&lt;C1488,"To is before From",IF(COUNTIFS($P$5:$P$2004,P1488,$C$5:$C$2004,"&lt;="&amp;D1488,$D$5:$D$2004,"&gt;="&amp;C1488)&gt;1,"Overlaps another row","OK"))))</f>
        <v/>
      </c>
      <c r="P1488">
        <f>IF(A1488="","",A1488&amp;"|"&amp;IF(B1488="","Standard",B1488))</f>
        <v/>
      </c>
      <c r="Q1488">
        <f>IF(AND(A1488&lt;&gt;"",A1488='Firm Search'!$C$7),COUNTIF($A$5:A1488,'Firm Search'!$C$7),"")</f>
        <v/>
      </c>
    </row>
    <row r="1489">
      <c r="A1489" s="64" t="n"/>
      <c r="B1489" s="64" t="n"/>
      <c r="C1489" s="66" t="n"/>
      <c r="D1489" s="66" t="n"/>
      <c r="E1489" s="67" t="n"/>
      <c r="F1489" s="67" t="n"/>
      <c r="G1489" s="67" t="n"/>
      <c r="H1489" s="67" t="n"/>
      <c r="I1489" s="67" t="n"/>
      <c r="J1489" s="67" t="n"/>
      <c r="K1489" s="67" t="n"/>
      <c r="L1489" s="67" t="n"/>
      <c r="M1489" s="64" t="n"/>
      <c r="N1489" s="66" t="n"/>
      <c r="O1489" s="84">
        <f>IF(A1489="","",IF(OR(C1489="",D1489=""),"Enter both dates",IF(D1489&lt;C1489,"To is before From",IF(COUNTIFS($P$5:$P$2004,P1489,$C$5:$C$2004,"&lt;="&amp;D1489,$D$5:$D$2004,"&gt;="&amp;C1489)&gt;1,"Overlaps another row","OK"))))</f>
        <v/>
      </c>
      <c r="P1489">
        <f>IF(A1489="","",A1489&amp;"|"&amp;IF(B1489="","Standard",B1489))</f>
        <v/>
      </c>
      <c r="Q1489">
        <f>IF(AND(A1489&lt;&gt;"",A1489='Firm Search'!$C$7),COUNTIF($A$5:A1489,'Firm Search'!$C$7),"")</f>
        <v/>
      </c>
    </row>
    <row r="1490">
      <c r="A1490" s="64" t="n"/>
      <c r="B1490" s="64" t="n"/>
      <c r="C1490" s="66" t="n"/>
      <c r="D1490" s="66" t="n"/>
      <c r="E1490" s="67" t="n"/>
      <c r="F1490" s="67" t="n"/>
      <c r="G1490" s="67" t="n"/>
      <c r="H1490" s="67" t="n"/>
      <c r="I1490" s="67" t="n"/>
      <c r="J1490" s="67" t="n"/>
      <c r="K1490" s="67" t="n"/>
      <c r="L1490" s="67" t="n"/>
      <c r="M1490" s="64" t="n"/>
      <c r="N1490" s="66" t="n"/>
      <c r="O1490" s="84">
        <f>IF(A1490="","",IF(OR(C1490="",D1490=""),"Enter both dates",IF(D1490&lt;C1490,"To is before From",IF(COUNTIFS($P$5:$P$2004,P1490,$C$5:$C$2004,"&lt;="&amp;D1490,$D$5:$D$2004,"&gt;="&amp;C1490)&gt;1,"Overlaps another row","OK"))))</f>
        <v/>
      </c>
      <c r="P1490">
        <f>IF(A1490="","",A1490&amp;"|"&amp;IF(B1490="","Standard",B1490))</f>
        <v/>
      </c>
      <c r="Q1490">
        <f>IF(AND(A1490&lt;&gt;"",A1490='Firm Search'!$C$7),COUNTIF($A$5:A1490,'Firm Search'!$C$7),"")</f>
        <v/>
      </c>
    </row>
    <row r="1491">
      <c r="A1491" s="64" t="n"/>
      <c r="B1491" s="64" t="n"/>
      <c r="C1491" s="66" t="n"/>
      <c r="D1491" s="66" t="n"/>
      <c r="E1491" s="67" t="n"/>
      <c r="F1491" s="67" t="n"/>
      <c r="G1491" s="67" t="n"/>
      <c r="H1491" s="67" t="n"/>
      <c r="I1491" s="67" t="n"/>
      <c r="J1491" s="67" t="n"/>
      <c r="K1491" s="67" t="n"/>
      <c r="L1491" s="67" t="n"/>
      <c r="M1491" s="64" t="n"/>
      <c r="N1491" s="66" t="n"/>
      <c r="O1491" s="84">
        <f>IF(A1491="","",IF(OR(C1491="",D1491=""),"Enter both dates",IF(D1491&lt;C1491,"To is before From",IF(COUNTIFS($P$5:$P$2004,P1491,$C$5:$C$2004,"&lt;="&amp;D1491,$D$5:$D$2004,"&gt;="&amp;C1491)&gt;1,"Overlaps another row","OK"))))</f>
        <v/>
      </c>
      <c r="P1491">
        <f>IF(A1491="","",A1491&amp;"|"&amp;IF(B1491="","Standard",B1491))</f>
        <v/>
      </c>
      <c r="Q1491">
        <f>IF(AND(A1491&lt;&gt;"",A1491='Firm Search'!$C$7),COUNTIF($A$5:A1491,'Firm Search'!$C$7),"")</f>
        <v/>
      </c>
    </row>
    <row r="1492">
      <c r="A1492" s="64" t="n"/>
      <c r="B1492" s="64" t="n"/>
      <c r="C1492" s="66" t="n"/>
      <c r="D1492" s="66" t="n"/>
      <c r="E1492" s="67" t="n"/>
      <c r="F1492" s="67" t="n"/>
      <c r="G1492" s="67" t="n"/>
      <c r="H1492" s="67" t="n"/>
      <c r="I1492" s="67" t="n"/>
      <c r="J1492" s="67" t="n"/>
      <c r="K1492" s="67" t="n"/>
      <c r="L1492" s="67" t="n"/>
      <c r="M1492" s="64" t="n"/>
      <c r="N1492" s="66" t="n"/>
      <c r="O1492" s="84">
        <f>IF(A1492="","",IF(OR(C1492="",D1492=""),"Enter both dates",IF(D1492&lt;C1492,"To is before From",IF(COUNTIFS($P$5:$P$2004,P1492,$C$5:$C$2004,"&lt;="&amp;D1492,$D$5:$D$2004,"&gt;="&amp;C1492)&gt;1,"Overlaps another row","OK"))))</f>
        <v/>
      </c>
      <c r="P1492">
        <f>IF(A1492="","",A1492&amp;"|"&amp;IF(B1492="","Standard",B1492))</f>
        <v/>
      </c>
      <c r="Q1492">
        <f>IF(AND(A1492&lt;&gt;"",A1492='Firm Search'!$C$7),COUNTIF($A$5:A1492,'Firm Search'!$C$7),"")</f>
        <v/>
      </c>
    </row>
    <row r="1493">
      <c r="A1493" s="64" t="n"/>
      <c r="B1493" s="64" t="n"/>
      <c r="C1493" s="66" t="n"/>
      <c r="D1493" s="66" t="n"/>
      <c r="E1493" s="67" t="n"/>
      <c r="F1493" s="67" t="n"/>
      <c r="G1493" s="67" t="n"/>
      <c r="H1493" s="67" t="n"/>
      <c r="I1493" s="67" t="n"/>
      <c r="J1493" s="67" t="n"/>
      <c r="K1493" s="67" t="n"/>
      <c r="L1493" s="67" t="n"/>
      <c r="M1493" s="64" t="n"/>
      <c r="N1493" s="66" t="n"/>
      <c r="O1493" s="84">
        <f>IF(A1493="","",IF(OR(C1493="",D1493=""),"Enter both dates",IF(D1493&lt;C1493,"To is before From",IF(COUNTIFS($P$5:$P$2004,P1493,$C$5:$C$2004,"&lt;="&amp;D1493,$D$5:$D$2004,"&gt;="&amp;C1493)&gt;1,"Overlaps another row","OK"))))</f>
        <v/>
      </c>
      <c r="P1493">
        <f>IF(A1493="","",A1493&amp;"|"&amp;IF(B1493="","Standard",B1493))</f>
        <v/>
      </c>
      <c r="Q1493">
        <f>IF(AND(A1493&lt;&gt;"",A1493='Firm Search'!$C$7),COUNTIF($A$5:A1493,'Firm Search'!$C$7),"")</f>
        <v/>
      </c>
    </row>
    <row r="1494">
      <c r="A1494" s="64" t="n"/>
      <c r="B1494" s="64" t="n"/>
      <c r="C1494" s="66" t="n"/>
      <c r="D1494" s="66" t="n"/>
      <c r="E1494" s="67" t="n"/>
      <c r="F1494" s="67" t="n"/>
      <c r="G1494" s="67" t="n"/>
      <c r="H1494" s="67" t="n"/>
      <c r="I1494" s="67" t="n"/>
      <c r="J1494" s="67" t="n"/>
      <c r="K1494" s="67" t="n"/>
      <c r="L1494" s="67" t="n"/>
      <c r="M1494" s="64" t="n"/>
      <c r="N1494" s="66" t="n"/>
      <c r="O1494" s="84">
        <f>IF(A1494="","",IF(OR(C1494="",D1494=""),"Enter both dates",IF(D1494&lt;C1494,"To is before From",IF(COUNTIFS($P$5:$P$2004,P1494,$C$5:$C$2004,"&lt;="&amp;D1494,$D$5:$D$2004,"&gt;="&amp;C1494)&gt;1,"Overlaps another row","OK"))))</f>
        <v/>
      </c>
      <c r="P1494">
        <f>IF(A1494="","",A1494&amp;"|"&amp;IF(B1494="","Standard",B1494))</f>
        <v/>
      </c>
      <c r="Q1494">
        <f>IF(AND(A1494&lt;&gt;"",A1494='Firm Search'!$C$7),COUNTIF($A$5:A1494,'Firm Search'!$C$7),"")</f>
        <v/>
      </c>
    </row>
    <row r="1495">
      <c r="A1495" s="64" t="n"/>
      <c r="B1495" s="64" t="n"/>
      <c r="C1495" s="66" t="n"/>
      <c r="D1495" s="66" t="n"/>
      <c r="E1495" s="67" t="n"/>
      <c r="F1495" s="67" t="n"/>
      <c r="G1495" s="67" t="n"/>
      <c r="H1495" s="67" t="n"/>
      <c r="I1495" s="67" t="n"/>
      <c r="J1495" s="67" t="n"/>
      <c r="K1495" s="67" t="n"/>
      <c r="L1495" s="67" t="n"/>
      <c r="M1495" s="64" t="n"/>
      <c r="N1495" s="66" t="n"/>
      <c r="O1495" s="84">
        <f>IF(A1495="","",IF(OR(C1495="",D1495=""),"Enter both dates",IF(D1495&lt;C1495,"To is before From",IF(COUNTIFS($P$5:$P$2004,P1495,$C$5:$C$2004,"&lt;="&amp;D1495,$D$5:$D$2004,"&gt;="&amp;C1495)&gt;1,"Overlaps another row","OK"))))</f>
        <v/>
      </c>
      <c r="P1495">
        <f>IF(A1495="","",A1495&amp;"|"&amp;IF(B1495="","Standard",B1495))</f>
        <v/>
      </c>
      <c r="Q1495">
        <f>IF(AND(A1495&lt;&gt;"",A1495='Firm Search'!$C$7),COUNTIF($A$5:A1495,'Firm Search'!$C$7),"")</f>
        <v/>
      </c>
    </row>
    <row r="1496">
      <c r="A1496" s="64" t="n"/>
      <c r="B1496" s="64" t="n"/>
      <c r="C1496" s="66" t="n"/>
      <c r="D1496" s="66" t="n"/>
      <c r="E1496" s="67" t="n"/>
      <c r="F1496" s="67" t="n"/>
      <c r="G1496" s="67" t="n"/>
      <c r="H1496" s="67" t="n"/>
      <c r="I1496" s="67" t="n"/>
      <c r="J1496" s="67" t="n"/>
      <c r="K1496" s="67" t="n"/>
      <c r="L1496" s="67" t="n"/>
      <c r="M1496" s="64" t="n"/>
      <c r="N1496" s="66" t="n"/>
      <c r="O1496" s="84">
        <f>IF(A1496="","",IF(OR(C1496="",D1496=""),"Enter both dates",IF(D1496&lt;C1496,"To is before From",IF(COUNTIFS($P$5:$P$2004,P1496,$C$5:$C$2004,"&lt;="&amp;D1496,$D$5:$D$2004,"&gt;="&amp;C1496)&gt;1,"Overlaps another row","OK"))))</f>
        <v/>
      </c>
      <c r="P1496">
        <f>IF(A1496="","",A1496&amp;"|"&amp;IF(B1496="","Standard",B1496))</f>
        <v/>
      </c>
      <c r="Q1496">
        <f>IF(AND(A1496&lt;&gt;"",A1496='Firm Search'!$C$7),COUNTIF($A$5:A1496,'Firm Search'!$C$7),"")</f>
        <v/>
      </c>
    </row>
    <row r="1497">
      <c r="A1497" s="64" t="n"/>
      <c r="B1497" s="64" t="n"/>
      <c r="C1497" s="66" t="n"/>
      <c r="D1497" s="66" t="n"/>
      <c r="E1497" s="67" t="n"/>
      <c r="F1497" s="67" t="n"/>
      <c r="G1497" s="67" t="n"/>
      <c r="H1497" s="67" t="n"/>
      <c r="I1497" s="67" t="n"/>
      <c r="J1497" s="67" t="n"/>
      <c r="K1497" s="67" t="n"/>
      <c r="L1497" s="67" t="n"/>
      <c r="M1497" s="64" t="n"/>
      <c r="N1497" s="66" t="n"/>
      <c r="O1497" s="84">
        <f>IF(A1497="","",IF(OR(C1497="",D1497=""),"Enter both dates",IF(D1497&lt;C1497,"To is before From",IF(COUNTIFS($P$5:$P$2004,P1497,$C$5:$C$2004,"&lt;="&amp;D1497,$D$5:$D$2004,"&gt;="&amp;C1497)&gt;1,"Overlaps another row","OK"))))</f>
        <v/>
      </c>
      <c r="P1497">
        <f>IF(A1497="","",A1497&amp;"|"&amp;IF(B1497="","Standard",B1497))</f>
        <v/>
      </c>
      <c r="Q1497">
        <f>IF(AND(A1497&lt;&gt;"",A1497='Firm Search'!$C$7),COUNTIF($A$5:A1497,'Firm Search'!$C$7),"")</f>
        <v/>
      </c>
    </row>
    <row r="1498">
      <c r="A1498" s="64" t="n"/>
      <c r="B1498" s="64" t="n"/>
      <c r="C1498" s="66" t="n"/>
      <c r="D1498" s="66" t="n"/>
      <c r="E1498" s="67" t="n"/>
      <c r="F1498" s="67" t="n"/>
      <c r="G1498" s="67" t="n"/>
      <c r="H1498" s="67" t="n"/>
      <c r="I1498" s="67" t="n"/>
      <c r="J1498" s="67" t="n"/>
      <c r="K1498" s="67" t="n"/>
      <c r="L1498" s="67" t="n"/>
      <c r="M1498" s="64" t="n"/>
      <c r="N1498" s="66" t="n"/>
      <c r="O1498" s="84">
        <f>IF(A1498="","",IF(OR(C1498="",D1498=""),"Enter both dates",IF(D1498&lt;C1498,"To is before From",IF(COUNTIFS($P$5:$P$2004,P1498,$C$5:$C$2004,"&lt;="&amp;D1498,$D$5:$D$2004,"&gt;="&amp;C1498)&gt;1,"Overlaps another row","OK"))))</f>
        <v/>
      </c>
      <c r="P1498">
        <f>IF(A1498="","",A1498&amp;"|"&amp;IF(B1498="","Standard",B1498))</f>
        <v/>
      </c>
      <c r="Q1498">
        <f>IF(AND(A1498&lt;&gt;"",A1498='Firm Search'!$C$7),COUNTIF($A$5:A1498,'Firm Search'!$C$7),"")</f>
        <v/>
      </c>
    </row>
    <row r="1499">
      <c r="A1499" s="64" t="n"/>
      <c r="B1499" s="64" t="n"/>
      <c r="C1499" s="66" t="n"/>
      <c r="D1499" s="66" t="n"/>
      <c r="E1499" s="67" t="n"/>
      <c r="F1499" s="67" t="n"/>
      <c r="G1499" s="67" t="n"/>
      <c r="H1499" s="67" t="n"/>
      <c r="I1499" s="67" t="n"/>
      <c r="J1499" s="67" t="n"/>
      <c r="K1499" s="67" t="n"/>
      <c r="L1499" s="67" t="n"/>
      <c r="M1499" s="64" t="n"/>
      <c r="N1499" s="66" t="n"/>
      <c r="O1499" s="84">
        <f>IF(A1499="","",IF(OR(C1499="",D1499=""),"Enter both dates",IF(D1499&lt;C1499,"To is before From",IF(COUNTIFS($P$5:$P$2004,P1499,$C$5:$C$2004,"&lt;="&amp;D1499,$D$5:$D$2004,"&gt;="&amp;C1499)&gt;1,"Overlaps another row","OK"))))</f>
        <v/>
      </c>
      <c r="P1499">
        <f>IF(A1499="","",A1499&amp;"|"&amp;IF(B1499="","Standard",B1499))</f>
        <v/>
      </c>
      <c r="Q1499">
        <f>IF(AND(A1499&lt;&gt;"",A1499='Firm Search'!$C$7),COUNTIF($A$5:A1499,'Firm Search'!$C$7),"")</f>
        <v/>
      </c>
    </row>
    <row r="1500">
      <c r="A1500" s="64" t="n"/>
      <c r="B1500" s="64" t="n"/>
      <c r="C1500" s="66" t="n"/>
      <c r="D1500" s="66" t="n"/>
      <c r="E1500" s="67" t="n"/>
      <c r="F1500" s="67" t="n"/>
      <c r="G1500" s="67" t="n"/>
      <c r="H1500" s="67" t="n"/>
      <c r="I1500" s="67" t="n"/>
      <c r="J1500" s="67" t="n"/>
      <c r="K1500" s="67" t="n"/>
      <c r="L1500" s="67" t="n"/>
      <c r="M1500" s="64" t="n"/>
      <c r="N1500" s="66" t="n"/>
      <c r="O1500" s="84">
        <f>IF(A1500="","",IF(OR(C1500="",D1500=""),"Enter both dates",IF(D1500&lt;C1500,"To is before From",IF(COUNTIFS($P$5:$P$2004,P1500,$C$5:$C$2004,"&lt;="&amp;D1500,$D$5:$D$2004,"&gt;="&amp;C1500)&gt;1,"Overlaps another row","OK"))))</f>
        <v/>
      </c>
      <c r="P1500">
        <f>IF(A1500="","",A1500&amp;"|"&amp;IF(B1500="","Standard",B1500))</f>
        <v/>
      </c>
      <c r="Q1500">
        <f>IF(AND(A1500&lt;&gt;"",A1500='Firm Search'!$C$7),COUNTIF($A$5:A1500,'Firm Search'!$C$7),"")</f>
        <v/>
      </c>
    </row>
    <row r="1501">
      <c r="A1501" s="64" t="n"/>
      <c r="B1501" s="64" t="n"/>
      <c r="C1501" s="66" t="n"/>
      <c r="D1501" s="66" t="n"/>
      <c r="E1501" s="67" t="n"/>
      <c r="F1501" s="67" t="n"/>
      <c r="G1501" s="67" t="n"/>
      <c r="H1501" s="67" t="n"/>
      <c r="I1501" s="67" t="n"/>
      <c r="J1501" s="67" t="n"/>
      <c r="K1501" s="67" t="n"/>
      <c r="L1501" s="67" t="n"/>
      <c r="M1501" s="64" t="n"/>
      <c r="N1501" s="66" t="n"/>
      <c r="O1501" s="84">
        <f>IF(A1501="","",IF(OR(C1501="",D1501=""),"Enter both dates",IF(D1501&lt;C1501,"To is before From",IF(COUNTIFS($P$5:$P$2004,P1501,$C$5:$C$2004,"&lt;="&amp;D1501,$D$5:$D$2004,"&gt;="&amp;C1501)&gt;1,"Overlaps another row","OK"))))</f>
        <v/>
      </c>
      <c r="P1501">
        <f>IF(A1501="","",A1501&amp;"|"&amp;IF(B1501="","Standard",B1501))</f>
        <v/>
      </c>
      <c r="Q1501">
        <f>IF(AND(A1501&lt;&gt;"",A1501='Firm Search'!$C$7),COUNTIF($A$5:A1501,'Firm Search'!$C$7),"")</f>
        <v/>
      </c>
    </row>
    <row r="1502">
      <c r="A1502" s="64" t="n"/>
      <c r="B1502" s="64" t="n"/>
      <c r="C1502" s="66" t="n"/>
      <c r="D1502" s="66" t="n"/>
      <c r="E1502" s="67" t="n"/>
      <c r="F1502" s="67" t="n"/>
      <c r="G1502" s="67" t="n"/>
      <c r="H1502" s="67" t="n"/>
      <c r="I1502" s="67" t="n"/>
      <c r="J1502" s="67" t="n"/>
      <c r="K1502" s="67" t="n"/>
      <c r="L1502" s="67" t="n"/>
      <c r="M1502" s="64" t="n"/>
      <c r="N1502" s="66" t="n"/>
      <c r="O1502" s="84">
        <f>IF(A1502="","",IF(OR(C1502="",D1502=""),"Enter both dates",IF(D1502&lt;C1502,"To is before From",IF(COUNTIFS($P$5:$P$2004,P1502,$C$5:$C$2004,"&lt;="&amp;D1502,$D$5:$D$2004,"&gt;="&amp;C1502)&gt;1,"Overlaps another row","OK"))))</f>
        <v/>
      </c>
      <c r="P1502">
        <f>IF(A1502="","",A1502&amp;"|"&amp;IF(B1502="","Standard",B1502))</f>
        <v/>
      </c>
      <c r="Q1502">
        <f>IF(AND(A1502&lt;&gt;"",A1502='Firm Search'!$C$7),COUNTIF($A$5:A1502,'Firm Search'!$C$7),"")</f>
        <v/>
      </c>
    </row>
    <row r="1503">
      <c r="A1503" s="64" t="n"/>
      <c r="B1503" s="64" t="n"/>
      <c r="C1503" s="66" t="n"/>
      <c r="D1503" s="66" t="n"/>
      <c r="E1503" s="67" t="n"/>
      <c r="F1503" s="67" t="n"/>
      <c r="G1503" s="67" t="n"/>
      <c r="H1503" s="67" t="n"/>
      <c r="I1503" s="67" t="n"/>
      <c r="J1503" s="67" t="n"/>
      <c r="K1503" s="67" t="n"/>
      <c r="L1503" s="67" t="n"/>
      <c r="M1503" s="64" t="n"/>
      <c r="N1503" s="66" t="n"/>
      <c r="O1503" s="84">
        <f>IF(A1503="","",IF(OR(C1503="",D1503=""),"Enter both dates",IF(D1503&lt;C1503,"To is before From",IF(COUNTIFS($P$5:$P$2004,P1503,$C$5:$C$2004,"&lt;="&amp;D1503,$D$5:$D$2004,"&gt;="&amp;C1503)&gt;1,"Overlaps another row","OK"))))</f>
        <v/>
      </c>
      <c r="P1503">
        <f>IF(A1503="","",A1503&amp;"|"&amp;IF(B1503="","Standard",B1503))</f>
        <v/>
      </c>
      <c r="Q1503">
        <f>IF(AND(A1503&lt;&gt;"",A1503='Firm Search'!$C$7),COUNTIF($A$5:A1503,'Firm Search'!$C$7),"")</f>
        <v/>
      </c>
    </row>
    <row r="1504">
      <c r="A1504" s="64" t="n"/>
      <c r="B1504" s="64" t="n"/>
      <c r="C1504" s="66" t="n"/>
      <c r="D1504" s="66" t="n"/>
      <c r="E1504" s="67" t="n"/>
      <c r="F1504" s="67" t="n"/>
      <c r="G1504" s="67" t="n"/>
      <c r="H1504" s="67" t="n"/>
      <c r="I1504" s="67" t="n"/>
      <c r="J1504" s="67" t="n"/>
      <c r="K1504" s="67" t="n"/>
      <c r="L1504" s="67" t="n"/>
      <c r="M1504" s="64" t="n"/>
      <c r="N1504" s="66" t="n"/>
      <c r="O1504" s="84">
        <f>IF(A1504="","",IF(OR(C1504="",D1504=""),"Enter both dates",IF(D1504&lt;C1504,"To is before From",IF(COUNTIFS($P$5:$P$2004,P1504,$C$5:$C$2004,"&lt;="&amp;D1504,$D$5:$D$2004,"&gt;="&amp;C1504)&gt;1,"Overlaps another row","OK"))))</f>
        <v/>
      </c>
      <c r="P1504">
        <f>IF(A1504="","",A1504&amp;"|"&amp;IF(B1504="","Standard",B1504))</f>
        <v/>
      </c>
      <c r="Q1504">
        <f>IF(AND(A1504&lt;&gt;"",A1504='Firm Search'!$C$7),COUNTIF($A$5:A1504,'Firm Search'!$C$7),"")</f>
        <v/>
      </c>
    </row>
    <row r="1505">
      <c r="A1505" s="64" t="n"/>
      <c r="B1505" s="64" t="n"/>
      <c r="C1505" s="66" t="n"/>
      <c r="D1505" s="66" t="n"/>
      <c r="E1505" s="67" t="n"/>
      <c r="F1505" s="67" t="n"/>
      <c r="G1505" s="67" t="n"/>
      <c r="H1505" s="67" t="n"/>
      <c r="I1505" s="67" t="n"/>
      <c r="J1505" s="67" t="n"/>
      <c r="K1505" s="67" t="n"/>
      <c r="L1505" s="67" t="n"/>
      <c r="M1505" s="64" t="n"/>
      <c r="N1505" s="66" t="n"/>
      <c r="O1505" s="84">
        <f>IF(A1505="","",IF(OR(C1505="",D1505=""),"Enter both dates",IF(D1505&lt;C1505,"To is before From",IF(COUNTIFS($P$5:$P$2004,P1505,$C$5:$C$2004,"&lt;="&amp;D1505,$D$5:$D$2004,"&gt;="&amp;C1505)&gt;1,"Overlaps another row","OK"))))</f>
        <v/>
      </c>
      <c r="P1505">
        <f>IF(A1505="","",A1505&amp;"|"&amp;IF(B1505="","Standard",B1505))</f>
        <v/>
      </c>
      <c r="Q1505">
        <f>IF(AND(A1505&lt;&gt;"",A1505='Firm Search'!$C$7),COUNTIF($A$5:A1505,'Firm Search'!$C$7),"")</f>
        <v/>
      </c>
    </row>
    <row r="1506">
      <c r="A1506" s="64" t="n"/>
      <c r="B1506" s="64" t="n"/>
      <c r="C1506" s="66" t="n"/>
      <c r="D1506" s="66" t="n"/>
      <c r="E1506" s="67" t="n"/>
      <c r="F1506" s="67" t="n"/>
      <c r="G1506" s="67" t="n"/>
      <c r="H1506" s="67" t="n"/>
      <c r="I1506" s="67" t="n"/>
      <c r="J1506" s="67" t="n"/>
      <c r="K1506" s="67" t="n"/>
      <c r="L1506" s="67" t="n"/>
      <c r="M1506" s="64" t="n"/>
      <c r="N1506" s="66" t="n"/>
      <c r="O1506" s="84">
        <f>IF(A1506="","",IF(OR(C1506="",D1506=""),"Enter both dates",IF(D1506&lt;C1506,"To is before From",IF(COUNTIFS($P$5:$P$2004,P1506,$C$5:$C$2004,"&lt;="&amp;D1506,$D$5:$D$2004,"&gt;="&amp;C1506)&gt;1,"Overlaps another row","OK"))))</f>
        <v/>
      </c>
      <c r="P1506">
        <f>IF(A1506="","",A1506&amp;"|"&amp;IF(B1506="","Standard",B1506))</f>
        <v/>
      </c>
      <c r="Q1506">
        <f>IF(AND(A1506&lt;&gt;"",A1506='Firm Search'!$C$7),COUNTIF($A$5:A1506,'Firm Search'!$C$7),"")</f>
        <v/>
      </c>
    </row>
    <row r="1507">
      <c r="A1507" s="64" t="n"/>
      <c r="B1507" s="64" t="n"/>
      <c r="C1507" s="66" t="n"/>
      <c r="D1507" s="66" t="n"/>
      <c r="E1507" s="67" t="n"/>
      <c r="F1507" s="67" t="n"/>
      <c r="G1507" s="67" t="n"/>
      <c r="H1507" s="67" t="n"/>
      <c r="I1507" s="67" t="n"/>
      <c r="J1507" s="67" t="n"/>
      <c r="K1507" s="67" t="n"/>
      <c r="L1507" s="67" t="n"/>
      <c r="M1507" s="64" t="n"/>
      <c r="N1507" s="66" t="n"/>
      <c r="O1507" s="84">
        <f>IF(A1507="","",IF(OR(C1507="",D1507=""),"Enter both dates",IF(D1507&lt;C1507,"To is before From",IF(COUNTIFS($P$5:$P$2004,P1507,$C$5:$C$2004,"&lt;="&amp;D1507,$D$5:$D$2004,"&gt;="&amp;C1507)&gt;1,"Overlaps another row","OK"))))</f>
        <v/>
      </c>
      <c r="P1507">
        <f>IF(A1507="","",A1507&amp;"|"&amp;IF(B1507="","Standard",B1507))</f>
        <v/>
      </c>
      <c r="Q1507">
        <f>IF(AND(A1507&lt;&gt;"",A1507='Firm Search'!$C$7),COUNTIF($A$5:A1507,'Firm Search'!$C$7),"")</f>
        <v/>
      </c>
    </row>
    <row r="1508">
      <c r="A1508" s="64" t="n"/>
      <c r="B1508" s="64" t="n"/>
      <c r="C1508" s="66" t="n"/>
      <c r="D1508" s="66" t="n"/>
      <c r="E1508" s="67" t="n"/>
      <c r="F1508" s="67" t="n"/>
      <c r="G1508" s="67" t="n"/>
      <c r="H1508" s="67" t="n"/>
      <c r="I1508" s="67" t="n"/>
      <c r="J1508" s="67" t="n"/>
      <c r="K1508" s="67" t="n"/>
      <c r="L1508" s="67" t="n"/>
      <c r="M1508" s="64" t="n"/>
      <c r="N1508" s="66" t="n"/>
      <c r="O1508" s="84">
        <f>IF(A1508="","",IF(OR(C1508="",D1508=""),"Enter both dates",IF(D1508&lt;C1508,"To is before From",IF(COUNTIFS($P$5:$P$2004,P1508,$C$5:$C$2004,"&lt;="&amp;D1508,$D$5:$D$2004,"&gt;="&amp;C1508)&gt;1,"Overlaps another row","OK"))))</f>
        <v/>
      </c>
      <c r="P1508">
        <f>IF(A1508="","",A1508&amp;"|"&amp;IF(B1508="","Standard",B1508))</f>
        <v/>
      </c>
      <c r="Q1508">
        <f>IF(AND(A1508&lt;&gt;"",A1508='Firm Search'!$C$7),COUNTIF($A$5:A1508,'Firm Search'!$C$7),"")</f>
        <v/>
      </c>
    </row>
    <row r="1509">
      <c r="A1509" s="64" t="n"/>
      <c r="B1509" s="64" t="n"/>
      <c r="C1509" s="66" t="n"/>
      <c r="D1509" s="66" t="n"/>
      <c r="E1509" s="67" t="n"/>
      <c r="F1509" s="67" t="n"/>
      <c r="G1509" s="67" t="n"/>
      <c r="H1509" s="67" t="n"/>
      <c r="I1509" s="67" t="n"/>
      <c r="J1509" s="67" t="n"/>
      <c r="K1509" s="67" t="n"/>
      <c r="L1509" s="67" t="n"/>
      <c r="M1509" s="64" t="n"/>
      <c r="N1509" s="66" t="n"/>
      <c r="O1509" s="84">
        <f>IF(A1509="","",IF(OR(C1509="",D1509=""),"Enter both dates",IF(D1509&lt;C1509,"To is before From",IF(COUNTIFS($P$5:$P$2004,P1509,$C$5:$C$2004,"&lt;="&amp;D1509,$D$5:$D$2004,"&gt;="&amp;C1509)&gt;1,"Overlaps another row","OK"))))</f>
        <v/>
      </c>
      <c r="P1509">
        <f>IF(A1509="","",A1509&amp;"|"&amp;IF(B1509="","Standard",B1509))</f>
        <v/>
      </c>
      <c r="Q1509">
        <f>IF(AND(A1509&lt;&gt;"",A1509='Firm Search'!$C$7),COUNTIF($A$5:A1509,'Firm Search'!$C$7),"")</f>
        <v/>
      </c>
    </row>
    <row r="1510">
      <c r="A1510" s="64" t="n"/>
      <c r="B1510" s="64" t="n"/>
      <c r="C1510" s="66" t="n"/>
      <c r="D1510" s="66" t="n"/>
      <c r="E1510" s="67" t="n"/>
      <c r="F1510" s="67" t="n"/>
      <c r="G1510" s="67" t="n"/>
      <c r="H1510" s="67" t="n"/>
      <c r="I1510" s="67" t="n"/>
      <c r="J1510" s="67" t="n"/>
      <c r="K1510" s="67" t="n"/>
      <c r="L1510" s="67" t="n"/>
      <c r="M1510" s="64" t="n"/>
      <c r="N1510" s="66" t="n"/>
      <c r="O1510" s="84">
        <f>IF(A1510="","",IF(OR(C1510="",D1510=""),"Enter both dates",IF(D1510&lt;C1510,"To is before From",IF(COUNTIFS($P$5:$P$2004,P1510,$C$5:$C$2004,"&lt;="&amp;D1510,$D$5:$D$2004,"&gt;="&amp;C1510)&gt;1,"Overlaps another row","OK"))))</f>
        <v/>
      </c>
      <c r="P1510">
        <f>IF(A1510="","",A1510&amp;"|"&amp;IF(B1510="","Standard",B1510))</f>
        <v/>
      </c>
      <c r="Q1510">
        <f>IF(AND(A1510&lt;&gt;"",A1510='Firm Search'!$C$7),COUNTIF($A$5:A1510,'Firm Search'!$C$7),"")</f>
        <v/>
      </c>
    </row>
    <row r="1511">
      <c r="A1511" s="64" t="n"/>
      <c r="B1511" s="64" t="n"/>
      <c r="C1511" s="66" t="n"/>
      <c r="D1511" s="66" t="n"/>
      <c r="E1511" s="67" t="n"/>
      <c r="F1511" s="67" t="n"/>
      <c r="G1511" s="67" t="n"/>
      <c r="H1511" s="67" t="n"/>
      <c r="I1511" s="67" t="n"/>
      <c r="J1511" s="67" t="n"/>
      <c r="K1511" s="67" t="n"/>
      <c r="L1511" s="67" t="n"/>
      <c r="M1511" s="64" t="n"/>
      <c r="N1511" s="66" t="n"/>
      <c r="O1511" s="84">
        <f>IF(A1511="","",IF(OR(C1511="",D1511=""),"Enter both dates",IF(D1511&lt;C1511,"To is before From",IF(COUNTIFS($P$5:$P$2004,P1511,$C$5:$C$2004,"&lt;="&amp;D1511,$D$5:$D$2004,"&gt;="&amp;C1511)&gt;1,"Overlaps another row","OK"))))</f>
        <v/>
      </c>
      <c r="P1511">
        <f>IF(A1511="","",A1511&amp;"|"&amp;IF(B1511="","Standard",B1511))</f>
        <v/>
      </c>
      <c r="Q1511">
        <f>IF(AND(A1511&lt;&gt;"",A1511='Firm Search'!$C$7),COUNTIF($A$5:A1511,'Firm Search'!$C$7),"")</f>
        <v/>
      </c>
    </row>
    <row r="1512">
      <c r="A1512" s="64" t="n"/>
      <c r="B1512" s="64" t="n"/>
      <c r="C1512" s="66" t="n"/>
      <c r="D1512" s="66" t="n"/>
      <c r="E1512" s="67" t="n"/>
      <c r="F1512" s="67" t="n"/>
      <c r="G1512" s="67" t="n"/>
      <c r="H1512" s="67" t="n"/>
      <c r="I1512" s="67" t="n"/>
      <c r="J1512" s="67" t="n"/>
      <c r="K1512" s="67" t="n"/>
      <c r="L1512" s="67" t="n"/>
      <c r="M1512" s="64" t="n"/>
      <c r="N1512" s="66" t="n"/>
      <c r="O1512" s="84">
        <f>IF(A1512="","",IF(OR(C1512="",D1512=""),"Enter both dates",IF(D1512&lt;C1512,"To is before From",IF(COUNTIFS($P$5:$P$2004,P1512,$C$5:$C$2004,"&lt;="&amp;D1512,$D$5:$D$2004,"&gt;="&amp;C1512)&gt;1,"Overlaps another row","OK"))))</f>
        <v/>
      </c>
      <c r="P1512">
        <f>IF(A1512="","",A1512&amp;"|"&amp;IF(B1512="","Standard",B1512))</f>
        <v/>
      </c>
      <c r="Q1512">
        <f>IF(AND(A1512&lt;&gt;"",A1512='Firm Search'!$C$7),COUNTIF($A$5:A1512,'Firm Search'!$C$7),"")</f>
        <v/>
      </c>
    </row>
    <row r="1513">
      <c r="A1513" s="64" t="n"/>
      <c r="B1513" s="64" t="n"/>
      <c r="C1513" s="66" t="n"/>
      <c r="D1513" s="66" t="n"/>
      <c r="E1513" s="67" t="n"/>
      <c r="F1513" s="67" t="n"/>
      <c r="G1513" s="67" t="n"/>
      <c r="H1513" s="67" t="n"/>
      <c r="I1513" s="67" t="n"/>
      <c r="J1513" s="67" t="n"/>
      <c r="K1513" s="67" t="n"/>
      <c r="L1513" s="67" t="n"/>
      <c r="M1513" s="64" t="n"/>
      <c r="N1513" s="66" t="n"/>
      <c r="O1513" s="84">
        <f>IF(A1513="","",IF(OR(C1513="",D1513=""),"Enter both dates",IF(D1513&lt;C1513,"To is before From",IF(COUNTIFS($P$5:$P$2004,P1513,$C$5:$C$2004,"&lt;="&amp;D1513,$D$5:$D$2004,"&gt;="&amp;C1513)&gt;1,"Overlaps another row","OK"))))</f>
        <v/>
      </c>
      <c r="P1513">
        <f>IF(A1513="","",A1513&amp;"|"&amp;IF(B1513="","Standard",B1513))</f>
        <v/>
      </c>
      <c r="Q1513">
        <f>IF(AND(A1513&lt;&gt;"",A1513='Firm Search'!$C$7),COUNTIF($A$5:A1513,'Firm Search'!$C$7),"")</f>
        <v/>
      </c>
    </row>
    <row r="1514">
      <c r="A1514" s="64" t="n"/>
      <c r="B1514" s="64" t="n"/>
      <c r="C1514" s="66" t="n"/>
      <c r="D1514" s="66" t="n"/>
      <c r="E1514" s="67" t="n"/>
      <c r="F1514" s="67" t="n"/>
      <c r="G1514" s="67" t="n"/>
      <c r="H1514" s="67" t="n"/>
      <c r="I1514" s="67" t="n"/>
      <c r="J1514" s="67" t="n"/>
      <c r="K1514" s="67" t="n"/>
      <c r="L1514" s="67" t="n"/>
      <c r="M1514" s="64" t="n"/>
      <c r="N1514" s="66" t="n"/>
      <c r="O1514" s="84">
        <f>IF(A1514="","",IF(OR(C1514="",D1514=""),"Enter both dates",IF(D1514&lt;C1514,"To is before From",IF(COUNTIFS($P$5:$P$2004,P1514,$C$5:$C$2004,"&lt;="&amp;D1514,$D$5:$D$2004,"&gt;="&amp;C1514)&gt;1,"Overlaps another row","OK"))))</f>
        <v/>
      </c>
      <c r="P1514">
        <f>IF(A1514="","",A1514&amp;"|"&amp;IF(B1514="","Standard",B1514))</f>
        <v/>
      </c>
      <c r="Q1514">
        <f>IF(AND(A1514&lt;&gt;"",A1514='Firm Search'!$C$7),COUNTIF($A$5:A1514,'Firm Search'!$C$7),"")</f>
        <v/>
      </c>
    </row>
    <row r="1515">
      <c r="A1515" s="64" t="n"/>
      <c r="B1515" s="64" t="n"/>
      <c r="C1515" s="66" t="n"/>
      <c r="D1515" s="66" t="n"/>
      <c r="E1515" s="67" t="n"/>
      <c r="F1515" s="67" t="n"/>
      <c r="G1515" s="67" t="n"/>
      <c r="H1515" s="67" t="n"/>
      <c r="I1515" s="67" t="n"/>
      <c r="J1515" s="67" t="n"/>
      <c r="K1515" s="67" t="n"/>
      <c r="L1515" s="67" t="n"/>
      <c r="M1515" s="64" t="n"/>
      <c r="N1515" s="66" t="n"/>
      <c r="O1515" s="84">
        <f>IF(A1515="","",IF(OR(C1515="",D1515=""),"Enter both dates",IF(D1515&lt;C1515,"To is before From",IF(COUNTIFS($P$5:$P$2004,P1515,$C$5:$C$2004,"&lt;="&amp;D1515,$D$5:$D$2004,"&gt;="&amp;C1515)&gt;1,"Overlaps another row","OK"))))</f>
        <v/>
      </c>
      <c r="P1515">
        <f>IF(A1515="","",A1515&amp;"|"&amp;IF(B1515="","Standard",B1515))</f>
        <v/>
      </c>
      <c r="Q1515">
        <f>IF(AND(A1515&lt;&gt;"",A1515='Firm Search'!$C$7),COUNTIF($A$5:A1515,'Firm Search'!$C$7),"")</f>
        <v/>
      </c>
    </row>
    <row r="1516">
      <c r="A1516" s="64" t="n"/>
      <c r="B1516" s="64" t="n"/>
      <c r="C1516" s="66" t="n"/>
      <c r="D1516" s="66" t="n"/>
      <c r="E1516" s="67" t="n"/>
      <c r="F1516" s="67" t="n"/>
      <c r="G1516" s="67" t="n"/>
      <c r="H1516" s="67" t="n"/>
      <c r="I1516" s="67" t="n"/>
      <c r="J1516" s="67" t="n"/>
      <c r="K1516" s="67" t="n"/>
      <c r="L1516" s="67" t="n"/>
      <c r="M1516" s="64" t="n"/>
      <c r="N1516" s="66" t="n"/>
      <c r="O1516" s="84">
        <f>IF(A1516="","",IF(OR(C1516="",D1516=""),"Enter both dates",IF(D1516&lt;C1516,"To is before From",IF(COUNTIFS($P$5:$P$2004,P1516,$C$5:$C$2004,"&lt;="&amp;D1516,$D$5:$D$2004,"&gt;="&amp;C1516)&gt;1,"Overlaps another row","OK"))))</f>
        <v/>
      </c>
      <c r="P1516">
        <f>IF(A1516="","",A1516&amp;"|"&amp;IF(B1516="","Standard",B1516))</f>
        <v/>
      </c>
      <c r="Q1516">
        <f>IF(AND(A1516&lt;&gt;"",A1516='Firm Search'!$C$7),COUNTIF($A$5:A1516,'Firm Search'!$C$7),"")</f>
        <v/>
      </c>
    </row>
    <row r="1517">
      <c r="A1517" s="64" t="n"/>
      <c r="B1517" s="64" t="n"/>
      <c r="C1517" s="66" t="n"/>
      <c r="D1517" s="66" t="n"/>
      <c r="E1517" s="67" t="n"/>
      <c r="F1517" s="67" t="n"/>
      <c r="G1517" s="67" t="n"/>
      <c r="H1517" s="67" t="n"/>
      <c r="I1517" s="67" t="n"/>
      <c r="J1517" s="67" t="n"/>
      <c r="K1517" s="67" t="n"/>
      <c r="L1517" s="67" t="n"/>
      <c r="M1517" s="64" t="n"/>
      <c r="N1517" s="66" t="n"/>
      <c r="O1517" s="84">
        <f>IF(A1517="","",IF(OR(C1517="",D1517=""),"Enter both dates",IF(D1517&lt;C1517,"To is before From",IF(COUNTIFS($P$5:$P$2004,P1517,$C$5:$C$2004,"&lt;="&amp;D1517,$D$5:$D$2004,"&gt;="&amp;C1517)&gt;1,"Overlaps another row","OK"))))</f>
        <v/>
      </c>
      <c r="P1517">
        <f>IF(A1517="","",A1517&amp;"|"&amp;IF(B1517="","Standard",B1517))</f>
        <v/>
      </c>
      <c r="Q1517">
        <f>IF(AND(A1517&lt;&gt;"",A1517='Firm Search'!$C$7),COUNTIF($A$5:A1517,'Firm Search'!$C$7),"")</f>
        <v/>
      </c>
    </row>
    <row r="1518">
      <c r="A1518" s="64" t="n"/>
      <c r="B1518" s="64" t="n"/>
      <c r="C1518" s="66" t="n"/>
      <c r="D1518" s="66" t="n"/>
      <c r="E1518" s="67" t="n"/>
      <c r="F1518" s="67" t="n"/>
      <c r="G1518" s="67" t="n"/>
      <c r="H1518" s="67" t="n"/>
      <c r="I1518" s="67" t="n"/>
      <c r="J1518" s="67" t="n"/>
      <c r="K1518" s="67" t="n"/>
      <c r="L1518" s="67" t="n"/>
      <c r="M1518" s="64" t="n"/>
      <c r="N1518" s="66" t="n"/>
      <c r="O1518" s="84">
        <f>IF(A1518="","",IF(OR(C1518="",D1518=""),"Enter both dates",IF(D1518&lt;C1518,"To is before From",IF(COUNTIFS($P$5:$P$2004,P1518,$C$5:$C$2004,"&lt;="&amp;D1518,$D$5:$D$2004,"&gt;="&amp;C1518)&gt;1,"Overlaps another row","OK"))))</f>
        <v/>
      </c>
      <c r="P1518">
        <f>IF(A1518="","",A1518&amp;"|"&amp;IF(B1518="","Standard",B1518))</f>
        <v/>
      </c>
      <c r="Q1518">
        <f>IF(AND(A1518&lt;&gt;"",A1518='Firm Search'!$C$7),COUNTIF($A$5:A1518,'Firm Search'!$C$7),"")</f>
        <v/>
      </c>
    </row>
    <row r="1519">
      <c r="A1519" s="64" t="n"/>
      <c r="B1519" s="64" t="n"/>
      <c r="C1519" s="66" t="n"/>
      <c r="D1519" s="66" t="n"/>
      <c r="E1519" s="67" t="n"/>
      <c r="F1519" s="67" t="n"/>
      <c r="G1519" s="67" t="n"/>
      <c r="H1519" s="67" t="n"/>
      <c r="I1519" s="67" t="n"/>
      <c r="J1519" s="67" t="n"/>
      <c r="K1519" s="67" t="n"/>
      <c r="L1519" s="67" t="n"/>
      <c r="M1519" s="64" t="n"/>
      <c r="N1519" s="66" t="n"/>
      <c r="O1519" s="84">
        <f>IF(A1519="","",IF(OR(C1519="",D1519=""),"Enter both dates",IF(D1519&lt;C1519,"To is before From",IF(COUNTIFS($P$5:$P$2004,P1519,$C$5:$C$2004,"&lt;="&amp;D1519,$D$5:$D$2004,"&gt;="&amp;C1519)&gt;1,"Overlaps another row","OK"))))</f>
        <v/>
      </c>
      <c r="P1519">
        <f>IF(A1519="","",A1519&amp;"|"&amp;IF(B1519="","Standard",B1519))</f>
        <v/>
      </c>
      <c r="Q1519">
        <f>IF(AND(A1519&lt;&gt;"",A1519='Firm Search'!$C$7),COUNTIF($A$5:A1519,'Firm Search'!$C$7),"")</f>
        <v/>
      </c>
    </row>
    <row r="1520">
      <c r="A1520" s="64" t="n"/>
      <c r="B1520" s="64" t="n"/>
      <c r="C1520" s="66" t="n"/>
      <c r="D1520" s="66" t="n"/>
      <c r="E1520" s="67" t="n"/>
      <c r="F1520" s="67" t="n"/>
      <c r="G1520" s="67" t="n"/>
      <c r="H1520" s="67" t="n"/>
      <c r="I1520" s="67" t="n"/>
      <c r="J1520" s="67" t="n"/>
      <c r="K1520" s="67" t="n"/>
      <c r="L1520" s="67" t="n"/>
      <c r="M1520" s="64" t="n"/>
      <c r="N1520" s="66" t="n"/>
      <c r="O1520" s="84">
        <f>IF(A1520="","",IF(OR(C1520="",D1520=""),"Enter both dates",IF(D1520&lt;C1520,"To is before From",IF(COUNTIFS($P$5:$P$2004,P1520,$C$5:$C$2004,"&lt;="&amp;D1520,$D$5:$D$2004,"&gt;="&amp;C1520)&gt;1,"Overlaps another row","OK"))))</f>
        <v/>
      </c>
      <c r="P1520">
        <f>IF(A1520="","",A1520&amp;"|"&amp;IF(B1520="","Standard",B1520))</f>
        <v/>
      </c>
      <c r="Q1520">
        <f>IF(AND(A1520&lt;&gt;"",A1520='Firm Search'!$C$7),COUNTIF($A$5:A1520,'Firm Search'!$C$7),"")</f>
        <v/>
      </c>
    </row>
    <row r="1521">
      <c r="A1521" s="64" t="n"/>
      <c r="B1521" s="64" t="n"/>
      <c r="C1521" s="66" t="n"/>
      <c r="D1521" s="66" t="n"/>
      <c r="E1521" s="67" t="n"/>
      <c r="F1521" s="67" t="n"/>
      <c r="G1521" s="67" t="n"/>
      <c r="H1521" s="67" t="n"/>
      <c r="I1521" s="67" t="n"/>
      <c r="J1521" s="67" t="n"/>
      <c r="K1521" s="67" t="n"/>
      <c r="L1521" s="67" t="n"/>
      <c r="M1521" s="64" t="n"/>
      <c r="N1521" s="66" t="n"/>
      <c r="O1521" s="84">
        <f>IF(A1521="","",IF(OR(C1521="",D1521=""),"Enter both dates",IF(D1521&lt;C1521,"To is before From",IF(COUNTIFS($P$5:$P$2004,P1521,$C$5:$C$2004,"&lt;="&amp;D1521,$D$5:$D$2004,"&gt;="&amp;C1521)&gt;1,"Overlaps another row","OK"))))</f>
        <v/>
      </c>
      <c r="P1521">
        <f>IF(A1521="","",A1521&amp;"|"&amp;IF(B1521="","Standard",B1521))</f>
        <v/>
      </c>
      <c r="Q1521">
        <f>IF(AND(A1521&lt;&gt;"",A1521='Firm Search'!$C$7),COUNTIF($A$5:A1521,'Firm Search'!$C$7),"")</f>
        <v/>
      </c>
    </row>
    <row r="1522">
      <c r="A1522" s="64" t="n"/>
      <c r="B1522" s="64" t="n"/>
      <c r="C1522" s="66" t="n"/>
      <c r="D1522" s="66" t="n"/>
      <c r="E1522" s="67" t="n"/>
      <c r="F1522" s="67" t="n"/>
      <c r="G1522" s="67" t="n"/>
      <c r="H1522" s="67" t="n"/>
      <c r="I1522" s="67" t="n"/>
      <c r="J1522" s="67" t="n"/>
      <c r="K1522" s="67" t="n"/>
      <c r="L1522" s="67" t="n"/>
      <c r="M1522" s="64" t="n"/>
      <c r="N1522" s="66" t="n"/>
      <c r="O1522" s="84">
        <f>IF(A1522="","",IF(OR(C1522="",D1522=""),"Enter both dates",IF(D1522&lt;C1522,"To is before From",IF(COUNTIFS($P$5:$P$2004,P1522,$C$5:$C$2004,"&lt;="&amp;D1522,$D$5:$D$2004,"&gt;="&amp;C1522)&gt;1,"Overlaps another row","OK"))))</f>
        <v/>
      </c>
      <c r="P1522">
        <f>IF(A1522="","",A1522&amp;"|"&amp;IF(B1522="","Standard",B1522))</f>
        <v/>
      </c>
      <c r="Q1522">
        <f>IF(AND(A1522&lt;&gt;"",A1522='Firm Search'!$C$7),COUNTIF($A$5:A1522,'Firm Search'!$C$7),"")</f>
        <v/>
      </c>
    </row>
    <row r="1523">
      <c r="A1523" s="64" t="n"/>
      <c r="B1523" s="64" t="n"/>
      <c r="C1523" s="66" t="n"/>
      <c r="D1523" s="66" t="n"/>
      <c r="E1523" s="67" t="n"/>
      <c r="F1523" s="67" t="n"/>
      <c r="G1523" s="67" t="n"/>
      <c r="H1523" s="67" t="n"/>
      <c r="I1523" s="67" t="n"/>
      <c r="J1523" s="67" t="n"/>
      <c r="K1523" s="67" t="n"/>
      <c r="L1523" s="67" t="n"/>
      <c r="M1523" s="64" t="n"/>
      <c r="N1523" s="66" t="n"/>
      <c r="O1523" s="84">
        <f>IF(A1523="","",IF(OR(C1523="",D1523=""),"Enter both dates",IF(D1523&lt;C1523,"To is before From",IF(COUNTIFS($P$5:$P$2004,P1523,$C$5:$C$2004,"&lt;="&amp;D1523,$D$5:$D$2004,"&gt;="&amp;C1523)&gt;1,"Overlaps another row","OK"))))</f>
        <v/>
      </c>
      <c r="P1523">
        <f>IF(A1523="","",A1523&amp;"|"&amp;IF(B1523="","Standard",B1523))</f>
        <v/>
      </c>
      <c r="Q1523">
        <f>IF(AND(A1523&lt;&gt;"",A1523='Firm Search'!$C$7),COUNTIF($A$5:A1523,'Firm Search'!$C$7),"")</f>
        <v/>
      </c>
    </row>
    <row r="1524">
      <c r="A1524" s="64" t="n"/>
      <c r="B1524" s="64" t="n"/>
      <c r="C1524" s="66" t="n"/>
      <c r="D1524" s="66" t="n"/>
      <c r="E1524" s="67" t="n"/>
      <c r="F1524" s="67" t="n"/>
      <c r="G1524" s="67" t="n"/>
      <c r="H1524" s="67" t="n"/>
      <c r="I1524" s="67" t="n"/>
      <c r="J1524" s="67" t="n"/>
      <c r="K1524" s="67" t="n"/>
      <c r="L1524" s="67" t="n"/>
      <c r="M1524" s="64" t="n"/>
      <c r="N1524" s="66" t="n"/>
      <c r="O1524" s="84">
        <f>IF(A1524="","",IF(OR(C1524="",D1524=""),"Enter both dates",IF(D1524&lt;C1524,"To is before From",IF(COUNTIFS($P$5:$P$2004,P1524,$C$5:$C$2004,"&lt;="&amp;D1524,$D$5:$D$2004,"&gt;="&amp;C1524)&gt;1,"Overlaps another row","OK"))))</f>
        <v/>
      </c>
      <c r="P1524">
        <f>IF(A1524="","",A1524&amp;"|"&amp;IF(B1524="","Standard",B1524))</f>
        <v/>
      </c>
      <c r="Q1524">
        <f>IF(AND(A1524&lt;&gt;"",A1524='Firm Search'!$C$7),COUNTIF($A$5:A1524,'Firm Search'!$C$7),"")</f>
        <v/>
      </c>
    </row>
    <row r="1525">
      <c r="A1525" s="64" t="n"/>
      <c r="B1525" s="64" t="n"/>
      <c r="C1525" s="66" t="n"/>
      <c r="D1525" s="66" t="n"/>
      <c r="E1525" s="67" t="n"/>
      <c r="F1525" s="67" t="n"/>
      <c r="G1525" s="67" t="n"/>
      <c r="H1525" s="67" t="n"/>
      <c r="I1525" s="67" t="n"/>
      <c r="J1525" s="67" t="n"/>
      <c r="K1525" s="67" t="n"/>
      <c r="L1525" s="67" t="n"/>
      <c r="M1525" s="64" t="n"/>
      <c r="N1525" s="66" t="n"/>
      <c r="O1525" s="84">
        <f>IF(A1525="","",IF(OR(C1525="",D1525=""),"Enter both dates",IF(D1525&lt;C1525,"To is before From",IF(COUNTIFS($P$5:$P$2004,P1525,$C$5:$C$2004,"&lt;="&amp;D1525,$D$5:$D$2004,"&gt;="&amp;C1525)&gt;1,"Overlaps another row","OK"))))</f>
        <v/>
      </c>
      <c r="P1525">
        <f>IF(A1525="","",A1525&amp;"|"&amp;IF(B1525="","Standard",B1525))</f>
        <v/>
      </c>
      <c r="Q1525">
        <f>IF(AND(A1525&lt;&gt;"",A1525='Firm Search'!$C$7),COUNTIF($A$5:A1525,'Firm Search'!$C$7),"")</f>
        <v/>
      </c>
    </row>
    <row r="1526">
      <c r="A1526" s="64" t="n"/>
      <c r="B1526" s="64" t="n"/>
      <c r="C1526" s="66" t="n"/>
      <c r="D1526" s="66" t="n"/>
      <c r="E1526" s="67" t="n"/>
      <c r="F1526" s="67" t="n"/>
      <c r="G1526" s="67" t="n"/>
      <c r="H1526" s="67" t="n"/>
      <c r="I1526" s="67" t="n"/>
      <c r="J1526" s="67" t="n"/>
      <c r="K1526" s="67" t="n"/>
      <c r="L1526" s="67" t="n"/>
      <c r="M1526" s="64" t="n"/>
      <c r="N1526" s="66" t="n"/>
      <c r="O1526" s="84">
        <f>IF(A1526="","",IF(OR(C1526="",D1526=""),"Enter both dates",IF(D1526&lt;C1526,"To is before From",IF(COUNTIFS($P$5:$P$2004,P1526,$C$5:$C$2004,"&lt;="&amp;D1526,$D$5:$D$2004,"&gt;="&amp;C1526)&gt;1,"Overlaps another row","OK"))))</f>
        <v/>
      </c>
      <c r="P1526">
        <f>IF(A1526="","",A1526&amp;"|"&amp;IF(B1526="","Standard",B1526))</f>
        <v/>
      </c>
      <c r="Q1526">
        <f>IF(AND(A1526&lt;&gt;"",A1526='Firm Search'!$C$7),COUNTIF($A$5:A1526,'Firm Search'!$C$7),"")</f>
        <v/>
      </c>
    </row>
    <row r="1527">
      <c r="A1527" s="64" t="n"/>
      <c r="B1527" s="64" t="n"/>
      <c r="C1527" s="66" t="n"/>
      <c r="D1527" s="66" t="n"/>
      <c r="E1527" s="67" t="n"/>
      <c r="F1527" s="67" t="n"/>
      <c r="G1527" s="67" t="n"/>
      <c r="H1527" s="67" t="n"/>
      <c r="I1527" s="67" t="n"/>
      <c r="J1527" s="67" t="n"/>
      <c r="K1527" s="67" t="n"/>
      <c r="L1527" s="67" t="n"/>
      <c r="M1527" s="64" t="n"/>
      <c r="N1527" s="66" t="n"/>
      <c r="O1527" s="84">
        <f>IF(A1527="","",IF(OR(C1527="",D1527=""),"Enter both dates",IF(D1527&lt;C1527,"To is before From",IF(COUNTIFS($P$5:$P$2004,P1527,$C$5:$C$2004,"&lt;="&amp;D1527,$D$5:$D$2004,"&gt;="&amp;C1527)&gt;1,"Overlaps another row","OK"))))</f>
        <v/>
      </c>
      <c r="P1527">
        <f>IF(A1527="","",A1527&amp;"|"&amp;IF(B1527="","Standard",B1527))</f>
        <v/>
      </c>
      <c r="Q1527">
        <f>IF(AND(A1527&lt;&gt;"",A1527='Firm Search'!$C$7),COUNTIF($A$5:A1527,'Firm Search'!$C$7),"")</f>
        <v/>
      </c>
    </row>
    <row r="1528">
      <c r="A1528" s="64" t="n"/>
      <c r="B1528" s="64" t="n"/>
      <c r="C1528" s="66" t="n"/>
      <c r="D1528" s="66" t="n"/>
      <c r="E1528" s="67" t="n"/>
      <c r="F1528" s="67" t="n"/>
      <c r="G1528" s="67" t="n"/>
      <c r="H1528" s="67" t="n"/>
      <c r="I1528" s="67" t="n"/>
      <c r="J1528" s="67" t="n"/>
      <c r="K1528" s="67" t="n"/>
      <c r="L1528" s="67" t="n"/>
      <c r="M1528" s="64" t="n"/>
      <c r="N1528" s="66" t="n"/>
      <c r="O1528" s="84">
        <f>IF(A1528="","",IF(OR(C1528="",D1528=""),"Enter both dates",IF(D1528&lt;C1528,"To is before From",IF(COUNTIFS($P$5:$P$2004,P1528,$C$5:$C$2004,"&lt;="&amp;D1528,$D$5:$D$2004,"&gt;="&amp;C1528)&gt;1,"Overlaps another row","OK"))))</f>
        <v/>
      </c>
      <c r="P1528">
        <f>IF(A1528="","",A1528&amp;"|"&amp;IF(B1528="","Standard",B1528))</f>
        <v/>
      </c>
      <c r="Q1528">
        <f>IF(AND(A1528&lt;&gt;"",A1528='Firm Search'!$C$7),COUNTIF($A$5:A1528,'Firm Search'!$C$7),"")</f>
        <v/>
      </c>
    </row>
    <row r="1529">
      <c r="A1529" s="64" t="n"/>
      <c r="B1529" s="64" t="n"/>
      <c r="C1529" s="66" t="n"/>
      <c r="D1529" s="66" t="n"/>
      <c r="E1529" s="67" t="n"/>
      <c r="F1529" s="67" t="n"/>
      <c r="G1529" s="67" t="n"/>
      <c r="H1529" s="67" t="n"/>
      <c r="I1529" s="67" t="n"/>
      <c r="J1529" s="67" t="n"/>
      <c r="K1529" s="67" t="n"/>
      <c r="L1529" s="67" t="n"/>
      <c r="M1529" s="64" t="n"/>
      <c r="N1529" s="66" t="n"/>
      <c r="O1529" s="84">
        <f>IF(A1529="","",IF(OR(C1529="",D1529=""),"Enter both dates",IF(D1529&lt;C1529,"To is before From",IF(COUNTIFS($P$5:$P$2004,P1529,$C$5:$C$2004,"&lt;="&amp;D1529,$D$5:$D$2004,"&gt;="&amp;C1529)&gt;1,"Overlaps another row","OK"))))</f>
        <v/>
      </c>
      <c r="P1529">
        <f>IF(A1529="","",A1529&amp;"|"&amp;IF(B1529="","Standard",B1529))</f>
        <v/>
      </c>
      <c r="Q1529">
        <f>IF(AND(A1529&lt;&gt;"",A1529='Firm Search'!$C$7),COUNTIF($A$5:A1529,'Firm Search'!$C$7),"")</f>
        <v/>
      </c>
    </row>
    <row r="1530">
      <c r="A1530" s="64" t="n"/>
      <c r="B1530" s="64" t="n"/>
      <c r="C1530" s="66" t="n"/>
      <c r="D1530" s="66" t="n"/>
      <c r="E1530" s="67" t="n"/>
      <c r="F1530" s="67" t="n"/>
      <c r="G1530" s="67" t="n"/>
      <c r="H1530" s="67" t="n"/>
      <c r="I1530" s="67" t="n"/>
      <c r="J1530" s="67" t="n"/>
      <c r="K1530" s="67" t="n"/>
      <c r="L1530" s="67" t="n"/>
      <c r="M1530" s="64" t="n"/>
      <c r="N1530" s="66" t="n"/>
      <c r="O1530" s="84">
        <f>IF(A1530="","",IF(OR(C1530="",D1530=""),"Enter both dates",IF(D1530&lt;C1530,"To is before From",IF(COUNTIFS($P$5:$P$2004,P1530,$C$5:$C$2004,"&lt;="&amp;D1530,$D$5:$D$2004,"&gt;="&amp;C1530)&gt;1,"Overlaps another row","OK"))))</f>
        <v/>
      </c>
      <c r="P1530">
        <f>IF(A1530="","",A1530&amp;"|"&amp;IF(B1530="","Standard",B1530))</f>
        <v/>
      </c>
      <c r="Q1530">
        <f>IF(AND(A1530&lt;&gt;"",A1530='Firm Search'!$C$7),COUNTIF($A$5:A1530,'Firm Search'!$C$7),"")</f>
        <v/>
      </c>
    </row>
    <row r="1531">
      <c r="A1531" s="64" t="n"/>
      <c r="B1531" s="64" t="n"/>
      <c r="C1531" s="66" t="n"/>
      <c r="D1531" s="66" t="n"/>
      <c r="E1531" s="67" t="n"/>
      <c r="F1531" s="67" t="n"/>
      <c r="G1531" s="67" t="n"/>
      <c r="H1531" s="67" t="n"/>
      <c r="I1531" s="67" t="n"/>
      <c r="J1531" s="67" t="n"/>
      <c r="K1531" s="67" t="n"/>
      <c r="L1531" s="67" t="n"/>
      <c r="M1531" s="64" t="n"/>
      <c r="N1531" s="66" t="n"/>
      <c r="O1531" s="84">
        <f>IF(A1531="","",IF(OR(C1531="",D1531=""),"Enter both dates",IF(D1531&lt;C1531,"To is before From",IF(COUNTIFS($P$5:$P$2004,P1531,$C$5:$C$2004,"&lt;="&amp;D1531,$D$5:$D$2004,"&gt;="&amp;C1531)&gt;1,"Overlaps another row","OK"))))</f>
        <v/>
      </c>
      <c r="P1531">
        <f>IF(A1531="","",A1531&amp;"|"&amp;IF(B1531="","Standard",B1531))</f>
        <v/>
      </c>
      <c r="Q1531">
        <f>IF(AND(A1531&lt;&gt;"",A1531='Firm Search'!$C$7),COUNTIF($A$5:A1531,'Firm Search'!$C$7),"")</f>
        <v/>
      </c>
    </row>
    <row r="1532">
      <c r="A1532" s="64" t="n"/>
      <c r="B1532" s="64" t="n"/>
      <c r="C1532" s="66" t="n"/>
      <c r="D1532" s="66" t="n"/>
      <c r="E1532" s="67" t="n"/>
      <c r="F1532" s="67" t="n"/>
      <c r="G1532" s="67" t="n"/>
      <c r="H1532" s="67" t="n"/>
      <c r="I1532" s="67" t="n"/>
      <c r="J1532" s="67" t="n"/>
      <c r="K1532" s="67" t="n"/>
      <c r="L1532" s="67" t="n"/>
      <c r="M1532" s="64" t="n"/>
      <c r="N1532" s="66" t="n"/>
      <c r="O1532" s="84">
        <f>IF(A1532="","",IF(OR(C1532="",D1532=""),"Enter both dates",IF(D1532&lt;C1532,"To is before From",IF(COUNTIFS($P$5:$P$2004,P1532,$C$5:$C$2004,"&lt;="&amp;D1532,$D$5:$D$2004,"&gt;="&amp;C1532)&gt;1,"Overlaps another row","OK"))))</f>
        <v/>
      </c>
      <c r="P1532">
        <f>IF(A1532="","",A1532&amp;"|"&amp;IF(B1532="","Standard",B1532))</f>
        <v/>
      </c>
      <c r="Q1532">
        <f>IF(AND(A1532&lt;&gt;"",A1532='Firm Search'!$C$7),COUNTIF($A$5:A1532,'Firm Search'!$C$7),"")</f>
        <v/>
      </c>
    </row>
    <row r="1533">
      <c r="A1533" s="64" t="n"/>
      <c r="B1533" s="64" t="n"/>
      <c r="C1533" s="66" t="n"/>
      <c r="D1533" s="66" t="n"/>
      <c r="E1533" s="67" t="n"/>
      <c r="F1533" s="67" t="n"/>
      <c r="G1533" s="67" t="n"/>
      <c r="H1533" s="67" t="n"/>
      <c r="I1533" s="67" t="n"/>
      <c r="J1533" s="67" t="n"/>
      <c r="K1533" s="67" t="n"/>
      <c r="L1533" s="67" t="n"/>
      <c r="M1533" s="64" t="n"/>
      <c r="N1533" s="66" t="n"/>
      <c r="O1533" s="84">
        <f>IF(A1533="","",IF(OR(C1533="",D1533=""),"Enter both dates",IF(D1533&lt;C1533,"To is before From",IF(COUNTIFS($P$5:$P$2004,P1533,$C$5:$C$2004,"&lt;="&amp;D1533,$D$5:$D$2004,"&gt;="&amp;C1533)&gt;1,"Overlaps another row","OK"))))</f>
        <v/>
      </c>
      <c r="P1533">
        <f>IF(A1533="","",A1533&amp;"|"&amp;IF(B1533="","Standard",B1533))</f>
        <v/>
      </c>
      <c r="Q1533">
        <f>IF(AND(A1533&lt;&gt;"",A1533='Firm Search'!$C$7),COUNTIF($A$5:A1533,'Firm Search'!$C$7),"")</f>
        <v/>
      </c>
    </row>
    <row r="1534">
      <c r="A1534" s="64" t="n"/>
      <c r="B1534" s="64" t="n"/>
      <c r="C1534" s="66" t="n"/>
      <c r="D1534" s="66" t="n"/>
      <c r="E1534" s="67" t="n"/>
      <c r="F1534" s="67" t="n"/>
      <c r="G1534" s="67" t="n"/>
      <c r="H1534" s="67" t="n"/>
      <c r="I1534" s="67" t="n"/>
      <c r="J1534" s="67" t="n"/>
      <c r="K1534" s="67" t="n"/>
      <c r="L1534" s="67" t="n"/>
      <c r="M1534" s="64" t="n"/>
      <c r="N1534" s="66" t="n"/>
      <c r="O1534" s="84">
        <f>IF(A1534="","",IF(OR(C1534="",D1534=""),"Enter both dates",IF(D1534&lt;C1534,"To is before From",IF(COUNTIFS($P$5:$P$2004,P1534,$C$5:$C$2004,"&lt;="&amp;D1534,$D$5:$D$2004,"&gt;="&amp;C1534)&gt;1,"Overlaps another row","OK"))))</f>
        <v/>
      </c>
      <c r="P1534">
        <f>IF(A1534="","",A1534&amp;"|"&amp;IF(B1534="","Standard",B1534))</f>
        <v/>
      </c>
      <c r="Q1534">
        <f>IF(AND(A1534&lt;&gt;"",A1534='Firm Search'!$C$7),COUNTIF($A$5:A1534,'Firm Search'!$C$7),"")</f>
        <v/>
      </c>
    </row>
    <row r="1535">
      <c r="A1535" s="64" t="n"/>
      <c r="B1535" s="64" t="n"/>
      <c r="C1535" s="66" t="n"/>
      <c r="D1535" s="66" t="n"/>
      <c r="E1535" s="67" t="n"/>
      <c r="F1535" s="67" t="n"/>
      <c r="G1535" s="67" t="n"/>
      <c r="H1535" s="67" t="n"/>
      <c r="I1535" s="67" t="n"/>
      <c r="J1535" s="67" t="n"/>
      <c r="K1535" s="67" t="n"/>
      <c r="L1535" s="67" t="n"/>
      <c r="M1535" s="64" t="n"/>
      <c r="N1535" s="66" t="n"/>
      <c r="O1535" s="84">
        <f>IF(A1535="","",IF(OR(C1535="",D1535=""),"Enter both dates",IF(D1535&lt;C1535,"To is before From",IF(COUNTIFS($P$5:$P$2004,P1535,$C$5:$C$2004,"&lt;="&amp;D1535,$D$5:$D$2004,"&gt;="&amp;C1535)&gt;1,"Overlaps another row","OK"))))</f>
        <v/>
      </c>
      <c r="P1535">
        <f>IF(A1535="","",A1535&amp;"|"&amp;IF(B1535="","Standard",B1535))</f>
        <v/>
      </c>
      <c r="Q1535">
        <f>IF(AND(A1535&lt;&gt;"",A1535='Firm Search'!$C$7),COUNTIF($A$5:A1535,'Firm Search'!$C$7),"")</f>
        <v/>
      </c>
    </row>
    <row r="1536">
      <c r="A1536" s="64" t="n"/>
      <c r="B1536" s="64" t="n"/>
      <c r="C1536" s="66" t="n"/>
      <c r="D1536" s="66" t="n"/>
      <c r="E1536" s="67" t="n"/>
      <c r="F1536" s="67" t="n"/>
      <c r="G1536" s="67" t="n"/>
      <c r="H1536" s="67" t="n"/>
      <c r="I1536" s="67" t="n"/>
      <c r="J1536" s="67" t="n"/>
      <c r="K1536" s="67" t="n"/>
      <c r="L1536" s="67" t="n"/>
      <c r="M1536" s="64" t="n"/>
      <c r="N1536" s="66" t="n"/>
      <c r="O1536" s="84">
        <f>IF(A1536="","",IF(OR(C1536="",D1536=""),"Enter both dates",IF(D1536&lt;C1536,"To is before From",IF(COUNTIFS($P$5:$P$2004,P1536,$C$5:$C$2004,"&lt;="&amp;D1536,$D$5:$D$2004,"&gt;="&amp;C1536)&gt;1,"Overlaps another row","OK"))))</f>
        <v/>
      </c>
      <c r="P1536">
        <f>IF(A1536="","",A1536&amp;"|"&amp;IF(B1536="","Standard",B1536))</f>
        <v/>
      </c>
      <c r="Q1536">
        <f>IF(AND(A1536&lt;&gt;"",A1536='Firm Search'!$C$7),COUNTIF($A$5:A1536,'Firm Search'!$C$7),"")</f>
        <v/>
      </c>
    </row>
    <row r="1537">
      <c r="A1537" s="64" t="n"/>
      <c r="B1537" s="64" t="n"/>
      <c r="C1537" s="66" t="n"/>
      <c r="D1537" s="66" t="n"/>
      <c r="E1537" s="67" t="n"/>
      <c r="F1537" s="67" t="n"/>
      <c r="G1537" s="67" t="n"/>
      <c r="H1537" s="67" t="n"/>
      <c r="I1537" s="67" t="n"/>
      <c r="J1537" s="67" t="n"/>
      <c r="K1537" s="67" t="n"/>
      <c r="L1537" s="67" t="n"/>
      <c r="M1537" s="64" t="n"/>
      <c r="N1537" s="66" t="n"/>
      <c r="O1537" s="84">
        <f>IF(A1537="","",IF(OR(C1537="",D1537=""),"Enter both dates",IF(D1537&lt;C1537,"To is before From",IF(COUNTIFS($P$5:$P$2004,P1537,$C$5:$C$2004,"&lt;="&amp;D1537,$D$5:$D$2004,"&gt;="&amp;C1537)&gt;1,"Overlaps another row","OK"))))</f>
        <v/>
      </c>
      <c r="P1537">
        <f>IF(A1537="","",A1537&amp;"|"&amp;IF(B1537="","Standard",B1537))</f>
        <v/>
      </c>
      <c r="Q1537">
        <f>IF(AND(A1537&lt;&gt;"",A1537='Firm Search'!$C$7),COUNTIF($A$5:A1537,'Firm Search'!$C$7),"")</f>
        <v/>
      </c>
    </row>
    <row r="1538">
      <c r="A1538" s="64" t="n"/>
      <c r="B1538" s="64" t="n"/>
      <c r="C1538" s="66" t="n"/>
      <c r="D1538" s="66" t="n"/>
      <c r="E1538" s="67" t="n"/>
      <c r="F1538" s="67" t="n"/>
      <c r="G1538" s="67" t="n"/>
      <c r="H1538" s="67" t="n"/>
      <c r="I1538" s="67" t="n"/>
      <c r="J1538" s="67" t="n"/>
      <c r="K1538" s="67" t="n"/>
      <c r="L1538" s="67" t="n"/>
      <c r="M1538" s="64" t="n"/>
      <c r="N1538" s="66" t="n"/>
      <c r="O1538" s="84">
        <f>IF(A1538="","",IF(OR(C1538="",D1538=""),"Enter both dates",IF(D1538&lt;C1538,"To is before From",IF(COUNTIFS($P$5:$P$2004,P1538,$C$5:$C$2004,"&lt;="&amp;D1538,$D$5:$D$2004,"&gt;="&amp;C1538)&gt;1,"Overlaps another row","OK"))))</f>
        <v/>
      </c>
      <c r="P1538">
        <f>IF(A1538="","",A1538&amp;"|"&amp;IF(B1538="","Standard",B1538))</f>
        <v/>
      </c>
      <c r="Q1538">
        <f>IF(AND(A1538&lt;&gt;"",A1538='Firm Search'!$C$7),COUNTIF($A$5:A1538,'Firm Search'!$C$7),"")</f>
        <v/>
      </c>
    </row>
    <row r="1539">
      <c r="A1539" s="64" t="n"/>
      <c r="B1539" s="64" t="n"/>
      <c r="C1539" s="66" t="n"/>
      <c r="D1539" s="66" t="n"/>
      <c r="E1539" s="67" t="n"/>
      <c r="F1539" s="67" t="n"/>
      <c r="G1539" s="67" t="n"/>
      <c r="H1539" s="67" t="n"/>
      <c r="I1539" s="67" t="n"/>
      <c r="J1539" s="67" t="n"/>
      <c r="K1539" s="67" t="n"/>
      <c r="L1539" s="67" t="n"/>
      <c r="M1539" s="64" t="n"/>
      <c r="N1539" s="66" t="n"/>
      <c r="O1539" s="84">
        <f>IF(A1539="","",IF(OR(C1539="",D1539=""),"Enter both dates",IF(D1539&lt;C1539,"To is before From",IF(COUNTIFS($P$5:$P$2004,P1539,$C$5:$C$2004,"&lt;="&amp;D1539,$D$5:$D$2004,"&gt;="&amp;C1539)&gt;1,"Overlaps another row","OK"))))</f>
        <v/>
      </c>
      <c r="P1539">
        <f>IF(A1539="","",A1539&amp;"|"&amp;IF(B1539="","Standard",B1539))</f>
        <v/>
      </c>
      <c r="Q1539">
        <f>IF(AND(A1539&lt;&gt;"",A1539='Firm Search'!$C$7),COUNTIF($A$5:A1539,'Firm Search'!$C$7),"")</f>
        <v/>
      </c>
    </row>
    <row r="1540">
      <c r="A1540" s="64" t="n"/>
      <c r="B1540" s="64" t="n"/>
      <c r="C1540" s="66" t="n"/>
      <c r="D1540" s="66" t="n"/>
      <c r="E1540" s="67" t="n"/>
      <c r="F1540" s="67" t="n"/>
      <c r="G1540" s="67" t="n"/>
      <c r="H1540" s="67" t="n"/>
      <c r="I1540" s="67" t="n"/>
      <c r="J1540" s="67" t="n"/>
      <c r="K1540" s="67" t="n"/>
      <c r="L1540" s="67" t="n"/>
      <c r="M1540" s="64" t="n"/>
      <c r="N1540" s="66" t="n"/>
      <c r="O1540" s="84">
        <f>IF(A1540="","",IF(OR(C1540="",D1540=""),"Enter both dates",IF(D1540&lt;C1540,"To is before From",IF(COUNTIFS($P$5:$P$2004,P1540,$C$5:$C$2004,"&lt;="&amp;D1540,$D$5:$D$2004,"&gt;="&amp;C1540)&gt;1,"Overlaps another row","OK"))))</f>
        <v/>
      </c>
      <c r="P1540">
        <f>IF(A1540="","",A1540&amp;"|"&amp;IF(B1540="","Standard",B1540))</f>
        <v/>
      </c>
      <c r="Q1540">
        <f>IF(AND(A1540&lt;&gt;"",A1540='Firm Search'!$C$7),COUNTIF($A$5:A1540,'Firm Search'!$C$7),"")</f>
        <v/>
      </c>
    </row>
    <row r="1541">
      <c r="A1541" s="64" t="n"/>
      <c r="B1541" s="64" t="n"/>
      <c r="C1541" s="66" t="n"/>
      <c r="D1541" s="66" t="n"/>
      <c r="E1541" s="67" t="n"/>
      <c r="F1541" s="67" t="n"/>
      <c r="G1541" s="67" t="n"/>
      <c r="H1541" s="67" t="n"/>
      <c r="I1541" s="67" t="n"/>
      <c r="J1541" s="67" t="n"/>
      <c r="K1541" s="67" t="n"/>
      <c r="L1541" s="67" t="n"/>
      <c r="M1541" s="64" t="n"/>
      <c r="N1541" s="66" t="n"/>
      <c r="O1541" s="84">
        <f>IF(A1541="","",IF(OR(C1541="",D1541=""),"Enter both dates",IF(D1541&lt;C1541,"To is before From",IF(COUNTIFS($P$5:$P$2004,P1541,$C$5:$C$2004,"&lt;="&amp;D1541,$D$5:$D$2004,"&gt;="&amp;C1541)&gt;1,"Overlaps another row","OK"))))</f>
        <v/>
      </c>
      <c r="P1541">
        <f>IF(A1541="","",A1541&amp;"|"&amp;IF(B1541="","Standard",B1541))</f>
        <v/>
      </c>
      <c r="Q1541">
        <f>IF(AND(A1541&lt;&gt;"",A1541='Firm Search'!$C$7),COUNTIF($A$5:A1541,'Firm Search'!$C$7),"")</f>
        <v/>
      </c>
    </row>
    <row r="1542">
      <c r="A1542" s="64" t="n"/>
      <c r="B1542" s="64" t="n"/>
      <c r="C1542" s="66" t="n"/>
      <c r="D1542" s="66" t="n"/>
      <c r="E1542" s="67" t="n"/>
      <c r="F1542" s="67" t="n"/>
      <c r="G1542" s="67" t="n"/>
      <c r="H1542" s="67" t="n"/>
      <c r="I1542" s="67" t="n"/>
      <c r="J1542" s="67" t="n"/>
      <c r="K1542" s="67" t="n"/>
      <c r="L1542" s="67" t="n"/>
      <c r="M1542" s="64" t="n"/>
      <c r="N1542" s="66" t="n"/>
      <c r="O1542" s="84">
        <f>IF(A1542="","",IF(OR(C1542="",D1542=""),"Enter both dates",IF(D1542&lt;C1542,"To is before From",IF(COUNTIFS($P$5:$P$2004,P1542,$C$5:$C$2004,"&lt;="&amp;D1542,$D$5:$D$2004,"&gt;="&amp;C1542)&gt;1,"Overlaps another row","OK"))))</f>
        <v/>
      </c>
      <c r="P1542">
        <f>IF(A1542="","",A1542&amp;"|"&amp;IF(B1542="","Standard",B1542))</f>
        <v/>
      </c>
      <c r="Q1542">
        <f>IF(AND(A1542&lt;&gt;"",A1542='Firm Search'!$C$7),COUNTIF($A$5:A1542,'Firm Search'!$C$7),"")</f>
        <v/>
      </c>
    </row>
    <row r="1543">
      <c r="A1543" s="64" t="n"/>
      <c r="B1543" s="64" t="n"/>
      <c r="C1543" s="66" t="n"/>
      <c r="D1543" s="66" t="n"/>
      <c r="E1543" s="67" t="n"/>
      <c r="F1543" s="67" t="n"/>
      <c r="G1543" s="67" t="n"/>
      <c r="H1543" s="67" t="n"/>
      <c r="I1543" s="67" t="n"/>
      <c r="J1543" s="67" t="n"/>
      <c r="K1543" s="67" t="n"/>
      <c r="L1543" s="67" t="n"/>
      <c r="M1543" s="64" t="n"/>
      <c r="N1543" s="66" t="n"/>
      <c r="O1543" s="84">
        <f>IF(A1543="","",IF(OR(C1543="",D1543=""),"Enter both dates",IF(D1543&lt;C1543,"To is before From",IF(COUNTIFS($P$5:$P$2004,P1543,$C$5:$C$2004,"&lt;="&amp;D1543,$D$5:$D$2004,"&gt;="&amp;C1543)&gt;1,"Overlaps another row","OK"))))</f>
        <v/>
      </c>
      <c r="P1543">
        <f>IF(A1543="","",A1543&amp;"|"&amp;IF(B1543="","Standard",B1543))</f>
        <v/>
      </c>
      <c r="Q1543">
        <f>IF(AND(A1543&lt;&gt;"",A1543='Firm Search'!$C$7),COUNTIF($A$5:A1543,'Firm Search'!$C$7),"")</f>
        <v/>
      </c>
    </row>
    <row r="1544">
      <c r="A1544" s="64" t="n"/>
      <c r="B1544" s="64" t="n"/>
      <c r="C1544" s="66" t="n"/>
      <c r="D1544" s="66" t="n"/>
      <c r="E1544" s="67" t="n"/>
      <c r="F1544" s="67" t="n"/>
      <c r="G1544" s="67" t="n"/>
      <c r="H1544" s="67" t="n"/>
      <c r="I1544" s="67" t="n"/>
      <c r="J1544" s="67" t="n"/>
      <c r="K1544" s="67" t="n"/>
      <c r="L1544" s="67" t="n"/>
      <c r="M1544" s="64" t="n"/>
      <c r="N1544" s="66" t="n"/>
      <c r="O1544" s="84">
        <f>IF(A1544="","",IF(OR(C1544="",D1544=""),"Enter both dates",IF(D1544&lt;C1544,"To is before From",IF(COUNTIFS($P$5:$P$2004,P1544,$C$5:$C$2004,"&lt;="&amp;D1544,$D$5:$D$2004,"&gt;="&amp;C1544)&gt;1,"Overlaps another row","OK"))))</f>
        <v/>
      </c>
      <c r="P1544">
        <f>IF(A1544="","",A1544&amp;"|"&amp;IF(B1544="","Standard",B1544))</f>
        <v/>
      </c>
      <c r="Q1544">
        <f>IF(AND(A1544&lt;&gt;"",A1544='Firm Search'!$C$7),COUNTIF($A$5:A1544,'Firm Search'!$C$7),"")</f>
        <v/>
      </c>
    </row>
    <row r="1545">
      <c r="A1545" s="64" t="n"/>
      <c r="B1545" s="64" t="n"/>
      <c r="C1545" s="66" t="n"/>
      <c r="D1545" s="66" t="n"/>
      <c r="E1545" s="67" t="n"/>
      <c r="F1545" s="67" t="n"/>
      <c r="G1545" s="67" t="n"/>
      <c r="H1545" s="67" t="n"/>
      <c r="I1545" s="67" t="n"/>
      <c r="J1545" s="67" t="n"/>
      <c r="K1545" s="67" t="n"/>
      <c r="L1545" s="67" t="n"/>
      <c r="M1545" s="64" t="n"/>
      <c r="N1545" s="66" t="n"/>
      <c r="O1545" s="84">
        <f>IF(A1545="","",IF(OR(C1545="",D1545=""),"Enter both dates",IF(D1545&lt;C1545,"To is before From",IF(COUNTIFS($P$5:$P$2004,P1545,$C$5:$C$2004,"&lt;="&amp;D1545,$D$5:$D$2004,"&gt;="&amp;C1545)&gt;1,"Overlaps another row","OK"))))</f>
        <v/>
      </c>
      <c r="P1545">
        <f>IF(A1545="","",A1545&amp;"|"&amp;IF(B1545="","Standard",B1545))</f>
        <v/>
      </c>
      <c r="Q1545">
        <f>IF(AND(A1545&lt;&gt;"",A1545='Firm Search'!$C$7),COUNTIF($A$5:A1545,'Firm Search'!$C$7),"")</f>
        <v/>
      </c>
    </row>
    <row r="1546">
      <c r="A1546" s="64" t="n"/>
      <c r="B1546" s="64" t="n"/>
      <c r="C1546" s="66" t="n"/>
      <c r="D1546" s="66" t="n"/>
      <c r="E1546" s="67" t="n"/>
      <c r="F1546" s="67" t="n"/>
      <c r="G1546" s="67" t="n"/>
      <c r="H1546" s="67" t="n"/>
      <c r="I1546" s="67" t="n"/>
      <c r="J1546" s="67" t="n"/>
      <c r="K1546" s="67" t="n"/>
      <c r="L1546" s="67" t="n"/>
      <c r="M1546" s="64" t="n"/>
      <c r="N1546" s="66" t="n"/>
      <c r="O1546" s="84">
        <f>IF(A1546="","",IF(OR(C1546="",D1546=""),"Enter both dates",IF(D1546&lt;C1546,"To is before From",IF(COUNTIFS($P$5:$P$2004,P1546,$C$5:$C$2004,"&lt;="&amp;D1546,$D$5:$D$2004,"&gt;="&amp;C1546)&gt;1,"Overlaps another row","OK"))))</f>
        <v/>
      </c>
      <c r="P1546">
        <f>IF(A1546="","",A1546&amp;"|"&amp;IF(B1546="","Standard",B1546))</f>
        <v/>
      </c>
      <c r="Q1546">
        <f>IF(AND(A1546&lt;&gt;"",A1546='Firm Search'!$C$7),COUNTIF($A$5:A1546,'Firm Search'!$C$7),"")</f>
        <v/>
      </c>
    </row>
    <row r="1547">
      <c r="A1547" s="64" t="n"/>
      <c r="B1547" s="64" t="n"/>
      <c r="C1547" s="66" t="n"/>
      <c r="D1547" s="66" t="n"/>
      <c r="E1547" s="67" t="n"/>
      <c r="F1547" s="67" t="n"/>
      <c r="G1547" s="67" t="n"/>
      <c r="H1547" s="67" t="n"/>
      <c r="I1547" s="67" t="n"/>
      <c r="J1547" s="67" t="n"/>
      <c r="K1547" s="67" t="n"/>
      <c r="L1547" s="67" t="n"/>
      <c r="M1547" s="64" t="n"/>
      <c r="N1547" s="66" t="n"/>
      <c r="O1547" s="84">
        <f>IF(A1547="","",IF(OR(C1547="",D1547=""),"Enter both dates",IF(D1547&lt;C1547,"To is before From",IF(COUNTIFS($P$5:$P$2004,P1547,$C$5:$C$2004,"&lt;="&amp;D1547,$D$5:$D$2004,"&gt;="&amp;C1547)&gt;1,"Overlaps another row","OK"))))</f>
        <v/>
      </c>
      <c r="P1547">
        <f>IF(A1547="","",A1547&amp;"|"&amp;IF(B1547="","Standard",B1547))</f>
        <v/>
      </c>
      <c r="Q1547">
        <f>IF(AND(A1547&lt;&gt;"",A1547='Firm Search'!$C$7),COUNTIF($A$5:A1547,'Firm Search'!$C$7),"")</f>
        <v/>
      </c>
    </row>
    <row r="1548">
      <c r="A1548" s="64" t="n"/>
      <c r="B1548" s="64" t="n"/>
      <c r="C1548" s="66" t="n"/>
      <c r="D1548" s="66" t="n"/>
      <c r="E1548" s="67" t="n"/>
      <c r="F1548" s="67" t="n"/>
      <c r="G1548" s="67" t="n"/>
      <c r="H1548" s="67" t="n"/>
      <c r="I1548" s="67" t="n"/>
      <c r="J1548" s="67" t="n"/>
      <c r="K1548" s="67" t="n"/>
      <c r="L1548" s="67" t="n"/>
      <c r="M1548" s="64" t="n"/>
      <c r="N1548" s="66" t="n"/>
      <c r="O1548" s="84">
        <f>IF(A1548="","",IF(OR(C1548="",D1548=""),"Enter both dates",IF(D1548&lt;C1548,"To is before From",IF(COUNTIFS($P$5:$P$2004,P1548,$C$5:$C$2004,"&lt;="&amp;D1548,$D$5:$D$2004,"&gt;="&amp;C1548)&gt;1,"Overlaps another row","OK"))))</f>
        <v/>
      </c>
      <c r="P1548">
        <f>IF(A1548="","",A1548&amp;"|"&amp;IF(B1548="","Standard",B1548))</f>
        <v/>
      </c>
      <c r="Q1548">
        <f>IF(AND(A1548&lt;&gt;"",A1548='Firm Search'!$C$7),COUNTIF($A$5:A1548,'Firm Search'!$C$7),"")</f>
        <v/>
      </c>
    </row>
    <row r="1549">
      <c r="A1549" s="64" t="n"/>
      <c r="B1549" s="64" t="n"/>
      <c r="C1549" s="66" t="n"/>
      <c r="D1549" s="66" t="n"/>
      <c r="E1549" s="67" t="n"/>
      <c r="F1549" s="67" t="n"/>
      <c r="G1549" s="67" t="n"/>
      <c r="H1549" s="67" t="n"/>
      <c r="I1549" s="67" t="n"/>
      <c r="J1549" s="67" t="n"/>
      <c r="K1549" s="67" t="n"/>
      <c r="L1549" s="67" t="n"/>
      <c r="M1549" s="64" t="n"/>
      <c r="N1549" s="66" t="n"/>
      <c r="O1549" s="84">
        <f>IF(A1549="","",IF(OR(C1549="",D1549=""),"Enter both dates",IF(D1549&lt;C1549,"To is before From",IF(COUNTIFS($P$5:$P$2004,P1549,$C$5:$C$2004,"&lt;="&amp;D1549,$D$5:$D$2004,"&gt;="&amp;C1549)&gt;1,"Overlaps another row","OK"))))</f>
        <v/>
      </c>
      <c r="P1549">
        <f>IF(A1549="","",A1549&amp;"|"&amp;IF(B1549="","Standard",B1549))</f>
        <v/>
      </c>
      <c r="Q1549">
        <f>IF(AND(A1549&lt;&gt;"",A1549='Firm Search'!$C$7),COUNTIF($A$5:A1549,'Firm Search'!$C$7),"")</f>
        <v/>
      </c>
    </row>
    <row r="1550">
      <c r="A1550" s="64" t="n"/>
      <c r="B1550" s="64" t="n"/>
      <c r="C1550" s="66" t="n"/>
      <c r="D1550" s="66" t="n"/>
      <c r="E1550" s="67" t="n"/>
      <c r="F1550" s="67" t="n"/>
      <c r="G1550" s="67" t="n"/>
      <c r="H1550" s="67" t="n"/>
      <c r="I1550" s="67" t="n"/>
      <c r="J1550" s="67" t="n"/>
      <c r="K1550" s="67" t="n"/>
      <c r="L1550" s="67" t="n"/>
      <c r="M1550" s="64" t="n"/>
      <c r="N1550" s="66" t="n"/>
      <c r="O1550" s="84">
        <f>IF(A1550="","",IF(OR(C1550="",D1550=""),"Enter both dates",IF(D1550&lt;C1550,"To is before From",IF(COUNTIFS($P$5:$P$2004,P1550,$C$5:$C$2004,"&lt;="&amp;D1550,$D$5:$D$2004,"&gt;="&amp;C1550)&gt;1,"Overlaps another row","OK"))))</f>
        <v/>
      </c>
      <c r="P1550">
        <f>IF(A1550="","",A1550&amp;"|"&amp;IF(B1550="","Standard",B1550))</f>
        <v/>
      </c>
      <c r="Q1550">
        <f>IF(AND(A1550&lt;&gt;"",A1550='Firm Search'!$C$7),COUNTIF($A$5:A1550,'Firm Search'!$C$7),"")</f>
        <v/>
      </c>
    </row>
    <row r="1551">
      <c r="A1551" s="64" t="n"/>
      <c r="B1551" s="64" t="n"/>
      <c r="C1551" s="66" t="n"/>
      <c r="D1551" s="66" t="n"/>
      <c r="E1551" s="67" t="n"/>
      <c r="F1551" s="67" t="n"/>
      <c r="G1551" s="67" t="n"/>
      <c r="H1551" s="67" t="n"/>
      <c r="I1551" s="67" t="n"/>
      <c r="J1551" s="67" t="n"/>
      <c r="K1551" s="67" t="n"/>
      <c r="L1551" s="67" t="n"/>
      <c r="M1551" s="64" t="n"/>
      <c r="N1551" s="66" t="n"/>
      <c r="O1551" s="84">
        <f>IF(A1551="","",IF(OR(C1551="",D1551=""),"Enter both dates",IF(D1551&lt;C1551,"To is before From",IF(COUNTIFS($P$5:$P$2004,P1551,$C$5:$C$2004,"&lt;="&amp;D1551,$D$5:$D$2004,"&gt;="&amp;C1551)&gt;1,"Overlaps another row","OK"))))</f>
        <v/>
      </c>
      <c r="P1551">
        <f>IF(A1551="","",A1551&amp;"|"&amp;IF(B1551="","Standard",B1551))</f>
        <v/>
      </c>
      <c r="Q1551">
        <f>IF(AND(A1551&lt;&gt;"",A1551='Firm Search'!$C$7),COUNTIF($A$5:A1551,'Firm Search'!$C$7),"")</f>
        <v/>
      </c>
    </row>
    <row r="1552">
      <c r="A1552" s="64" t="n"/>
      <c r="B1552" s="64" t="n"/>
      <c r="C1552" s="66" t="n"/>
      <c r="D1552" s="66" t="n"/>
      <c r="E1552" s="67" t="n"/>
      <c r="F1552" s="67" t="n"/>
      <c r="G1552" s="67" t="n"/>
      <c r="H1552" s="67" t="n"/>
      <c r="I1552" s="67" t="n"/>
      <c r="J1552" s="67" t="n"/>
      <c r="K1552" s="67" t="n"/>
      <c r="L1552" s="67" t="n"/>
      <c r="M1552" s="64" t="n"/>
      <c r="N1552" s="66" t="n"/>
      <c r="O1552" s="84">
        <f>IF(A1552="","",IF(OR(C1552="",D1552=""),"Enter both dates",IF(D1552&lt;C1552,"To is before From",IF(COUNTIFS($P$5:$P$2004,P1552,$C$5:$C$2004,"&lt;="&amp;D1552,$D$5:$D$2004,"&gt;="&amp;C1552)&gt;1,"Overlaps another row","OK"))))</f>
        <v/>
      </c>
      <c r="P1552">
        <f>IF(A1552="","",A1552&amp;"|"&amp;IF(B1552="","Standard",B1552))</f>
        <v/>
      </c>
      <c r="Q1552">
        <f>IF(AND(A1552&lt;&gt;"",A1552='Firm Search'!$C$7),COUNTIF($A$5:A1552,'Firm Search'!$C$7),"")</f>
        <v/>
      </c>
    </row>
    <row r="1553">
      <c r="A1553" s="64" t="n"/>
      <c r="B1553" s="64" t="n"/>
      <c r="C1553" s="66" t="n"/>
      <c r="D1553" s="66" t="n"/>
      <c r="E1553" s="67" t="n"/>
      <c r="F1553" s="67" t="n"/>
      <c r="G1553" s="67" t="n"/>
      <c r="H1553" s="67" t="n"/>
      <c r="I1553" s="67" t="n"/>
      <c r="J1553" s="67" t="n"/>
      <c r="K1553" s="67" t="n"/>
      <c r="L1553" s="67" t="n"/>
      <c r="M1553" s="64" t="n"/>
      <c r="N1553" s="66" t="n"/>
      <c r="O1553" s="84">
        <f>IF(A1553="","",IF(OR(C1553="",D1553=""),"Enter both dates",IF(D1553&lt;C1553,"To is before From",IF(COUNTIFS($P$5:$P$2004,P1553,$C$5:$C$2004,"&lt;="&amp;D1553,$D$5:$D$2004,"&gt;="&amp;C1553)&gt;1,"Overlaps another row","OK"))))</f>
        <v/>
      </c>
      <c r="P1553">
        <f>IF(A1553="","",A1553&amp;"|"&amp;IF(B1553="","Standard",B1553))</f>
        <v/>
      </c>
      <c r="Q1553">
        <f>IF(AND(A1553&lt;&gt;"",A1553='Firm Search'!$C$7),COUNTIF($A$5:A1553,'Firm Search'!$C$7),"")</f>
        <v/>
      </c>
    </row>
    <row r="1554">
      <c r="A1554" s="64" t="n"/>
      <c r="B1554" s="64" t="n"/>
      <c r="C1554" s="66" t="n"/>
      <c r="D1554" s="66" t="n"/>
      <c r="E1554" s="67" t="n"/>
      <c r="F1554" s="67" t="n"/>
      <c r="G1554" s="67" t="n"/>
      <c r="H1554" s="67" t="n"/>
      <c r="I1554" s="67" t="n"/>
      <c r="J1554" s="67" t="n"/>
      <c r="K1554" s="67" t="n"/>
      <c r="L1554" s="67" t="n"/>
      <c r="M1554" s="64" t="n"/>
      <c r="N1554" s="66" t="n"/>
      <c r="O1554" s="84">
        <f>IF(A1554="","",IF(OR(C1554="",D1554=""),"Enter both dates",IF(D1554&lt;C1554,"To is before From",IF(COUNTIFS($P$5:$P$2004,P1554,$C$5:$C$2004,"&lt;="&amp;D1554,$D$5:$D$2004,"&gt;="&amp;C1554)&gt;1,"Overlaps another row","OK"))))</f>
        <v/>
      </c>
      <c r="P1554">
        <f>IF(A1554="","",A1554&amp;"|"&amp;IF(B1554="","Standard",B1554))</f>
        <v/>
      </c>
      <c r="Q1554">
        <f>IF(AND(A1554&lt;&gt;"",A1554='Firm Search'!$C$7),COUNTIF($A$5:A1554,'Firm Search'!$C$7),"")</f>
        <v/>
      </c>
    </row>
    <row r="1555">
      <c r="A1555" s="64" t="n"/>
      <c r="B1555" s="64" t="n"/>
      <c r="C1555" s="66" t="n"/>
      <c r="D1555" s="66" t="n"/>
      <c r="E1555" s="67" t="n"/>
      <c r="F1555" s="67" t="n"/>
      <c r="G1555" s="67" t="n"/>
      <c r="H1555" s="67" t="n"/>
      <c r="I1555" s="67" t="n"/>
      <c r="J1555" s="67" t="n"/>
      <c r="K1555" s="67" t="n"/>
      <c r="L1555" s="67" t="n"/>
      <c r="M1555" s="64" t="n"/>
      <c r="N1555" s="66" t="n"/>
      <c r="O1555" s="84">
        <f>IF(A1555="","",IF(OR(C1555="",D1555=""),"Enter both dates",IF(D1555&lt;C1555,"To is before From",IF(COUNTIFS($P$5:$P$2004,P1555,$C$5:$C$2004,"&lt;="&amp;D1555,$D$5:$D$2004,"&gt;="&amp;C1555)&gt;1,"Overlaps another row","OK"))))</f>
        <v/>
      </c>
      <c r="P1555">
        <f>IF(A1555="","",A1555&amp;"|"&amp;IF(B1555="","Standard",B1555))</f>
        <v/>
      </c>
      <c r="Q1555">
        <f>IF(AND(A1555&lt;&gt;"",A1555='Firm Search'!$C$7),COUNTIF($A$5:A1555,'Firm Search'!$C$7),"")</f>
        <v/>
      </c>
    </row>
    <row r="1556">
      <c r="A1556" s="64" t="n"/>
      <c r="B1556" s="64" t="n"/>
      <c r="C1556" s="66" t="n"/>
      <c r="D1556" s="66" t="n"/>
      <c r="E1556" s="67" t="n"/>
      <c r="F1556" s="67" t="n"/>
      <c r="G1556" s="67" t="n"/>
      <c r="H1556" s="67" t="n"/>
      <c r="I1556" s="67" t="n"/>
      <c r="J1556" s="67" t="n"/>
      <c r="K1556" s="67" t="n"/>
      <c r="L1556" s="67" t="n"/>
      <c r="M1556" s="64" t="n"/>
      <c r="N1556" s="66" t="n"/>
      <c r="O1556" s="84">
        <f>IF(A1556="","",IF(OR(C1556="",D1556=""),"Enter both dates",IF(D1556&lt;C1556,"To is before From",IF(COUNTIFS($P$5:$P$2004,P1556,$C$5:$C$2004,"&lt;="&amp;D1556,$D$5:$D$2004,"&gt;="&amp;C1556)&gt;1,"Overlaps another row","OK"))))</f>
        <v/>
      </c>
      <c r="P1556">
        <f>IF(A1556="","",A1556&amp;"|"&amp;IF(B1556="","Standard",B1556))</f>
        <v/>
      </c>
      <c r="Q1556">
        <f>IF(AND(A1556&lt;&gt;"",A1556='Firm Search'!$C$7),COUNTIF($A$5:A1556,'Firm Search'!$C$7),"")</f>
        <v/>
      </c>
    </row>
    <row r="1557">
      <c r="A1557" s="64" t="n"/>
      <c r="B1557" s="64" t="n"/>
      <c r="C1557" s="66" t="n"/>
      <c r="D1557" s="66" t="n"/>
      <c r="E1557" s="67" t="n"/>
      <c r="F1557" s="67" t="n"/>
      <c r="G1557" s="67" t="n"/>
      <c r="H1557" s="67" t="n"/>
      <c r="I1557" s="67" t="n"/>
      <c r="J1557" s="67" t="n"/>
      <c r="K1557" s="67" t="n"/>
      <c r="L1557" s="67" t="n"/>
      <c r="M1557" s="64" t="n"/>
      <c r="N1557" s="66" t="n"/>
      <c r="O1557" s="84">
        <f>IF(A1557="","",IF(OR(C1557="",D1557=""),"Enter both dates",IF(D1557&lt;C1557,"To is before From",IF(COUNTIFS($P$5:$P$2004,P1557,$C$5:$C$2004,"&lt;="&amp;D1557,$D$5:$D$2004,"&gt;="&amp;C1557)&gt;1,"Overlaps another row","OK"))))</f>
        <v/>
      </c>
      <c r="P1557">
        <f>IF(A1557="","",A1557&amp;"|"&amp;IF(B1557="","Standard",B1557))</f>
        <v/>
      </c>
      <c r="Q1557">
        <f>IF(AND(A1557&lt;&gt;"",A1557='Firm Search'!$C$7),COUNTIF($A$5:A1557,'Firm Search'!$C$7),"")</f>
        <v/>
      </c>
    </row>
    <row r="1558">
      <c r="A1558" s="64" t="n"/>
      <c r="B1558" s="64" t="n"/>
      <c r="C1558" s="66" t="n"/>
      <c r="D1558" s="66" t="n"/>
      <c r="E1558" s="67" t="n"/>
      <c r="F1558" s="67" t="n"/>
      <c r="G1558" s="67" t="n"/>
      <c r="H1558" s="67" t="n"/>
      <c r="I1558" s="67" t="n"/>
      <c r="J1558" s="67" t="n"/>
      <c r="K1558" s="67" t="n"/>
      <c r="L1558" s="67" t="n"/>
      <c r="M1558" s="64" t="n"/>
      <c r="N1558" s="66" t="n"/>
      <c r="O1558" s="84">
        <f>IF(A1558="","",IF(OR(C1558="",D1558=""),"Enter both dates",IF(D1558&lt;C1558,"To is before From",IF(COUNTIFS($P$5:$P$2004,P1558,$C$5:$C$2004,"&lt;="&amp;D1558,$D$5:$D$2004,"&gt;="&amp;C1558)&gt;1,"Overlaps another row","OK"))))</f>
        <v/>
      </c>
      <c r="P1558">
        <f>IF(A1558="","",A1558&amp;"|"&amp;IF(B1558="","Standard",B1558))</f>
        <v/>
      </c>
      <c r="Q1558">
        <f>IF(AND(A1558&lt;&gt;"",A1558='Firm Search'!$C$7),COUNTIF($A$5:A1558,'Firm Search'!$C$7),"")</f>
        <v/>
      </c>
    </row>
    <row r="1559">
      <c r="A1559" s="64" t="n"/>
      <c r="B1559" s="64" t="n"/>
      <c r="C1559" s="66" t="n"/>
      <c r="D1559" s="66" t="n"/>
      <c r="E1559" s="67" t="n"/>
      <c r="F1559" s="67" t="n"/>
      <c r="G1559" s="67" t="n"/>
      <c r="H1559" s="67" t="n"/>
      <c r="I1559" s="67" t="n"/>
      <c r="J1559" s="67" t="n"/>
      <c r="K1559" s="67" t="n"/>
      <c r="L1559" s="67" t="n"/>
      <c r="M1559" s="64" t="n"/>
      <c r="N1559" s="66" t="n"/>
      <c r="O1559" s="84">
        <f>IF(A1559="","",IF(OR(C1559="",D1559=""),"Enter both dates",IF(D1559&lt;C1559,"To is before From",IF(COUNTIFS($P$5:$P$2004,P1559,$C$5:$C$2004,"&lt;="&amp;D1559,$D$5:$D$2004,"&gt;="&amp;C1559)&gt;1,"Overlaps another row","OK"))))</f>
        <v/>
      </c>
      <c r="P1559">
        <f>IF(A1559="","",A1559&amp;"|"&amp;IF(B1559="","Standard",B1559))</f>
        <v/>
      </c>
      <c r="Q1559">
        <f>IF(AND(A1559&lt;&gt;"",A1559='Firm Search'!$C$7),COUNTIF($A$5:A1559,'Firm Search'!$C$7),"")</f>
        <v/>
      </c>
    </row>
    <row r="1560">
      <c r="A1560" s="64" t="n"/>
      <c r="B1560" s="64" t="n"/>
      <c r="C1560" s="66" t="n"/>
      <c r="D1560" s="66" t="n"/>
      <c r="E1560" s="67" t="n"/>
      <c r="F1560" s="67" t="n"/>
      <c r="G1560" s="67" t="n"/>
      <c r="H1560" s="67" t="n"/>
      <c r="I1560" s="67" t="n"/>
      <c r="J1560" s="67" t="n"/>
      <c r="K1560" s="67" t="n"/>
      <c r="L1560" s="67" t="n"/>
      <c r="M1560" s="64" t="n"/>
      <c r="N1560" s="66" t="n"/>
      <c r="O1560" s="84">
        <f>IF(A1560="","",IF(OR(C1560="",D1560=""),"Enter both dates",IF(D1560&lt;C1560,"To is before From",IF(COUNTIFS($P$5:$P$2004,P1560,$C$5:$C$2004,"&lt;="&amp;D1560,$D$5:$D$2004,"&gt;="&amp;C1560)&gt;1,"Overlaps another row","OK"))))</f>
        <v/>
      </c>
      <c r="P1560">
        <f>IF(A1560="","",A1560&amp;"|"&amp;IF(B1560="","Standard",B1560))</f>
        <v/>
      </c>
      <c r="Q1560">
        <f>IF(AND(A1560&lt;&gt;"",A1560='Firm Search'!$C$7),COUNTIF($A$5:A1560,'Firm Search'!$C$7),"")</f>
        <v/>
      </c>
    </row>
    <row r="1561">
      <c r="A1561" s="64" t="n"/>
      <c r="B1561" s="64" t="n"/>
      <c r="C1561" s="66" t="n"/>
      <c r="D1561" s="66" t="n"/>
      <c r="E1561" s="67" t="n"/>
      <c r="F1561" s="67" t="n"/>
      <c r="G1561" s="67" t="n"/>
      <c r="H1561" s="67" t="n"/>
      <c r="I1561" s="67" t="n"/>
      <c r="J1561" s="67" t="n"/>
      <c r="K1561" s="67" t="n"/>
      <c r="L1561" s="67" t="n"/>
      <c r="M1561" s="64" t="n"/>
      <c r="N1561" s="66" t="n"/>
      <c r="O1561" s="84">
        <f>IF(A1561="","",IF(OR(C1561="",D1561=""),"Enter both dates",IF(D1561&lt;C1561,"To is before From",IF(COUNTIFS($P$5:$P$2004,P1561,$C$5:$C$2004,"&lt;="&amp;D1561,$D$5:$D$2004,"&gt;="&amp;C1561)&gt;1,"Overlaps another row","OK"))))</f>
        <v/>
      </c>
      <c r="P1561">
        <f>IF(A1561="","",A1561&amp;"|"&amp;IF(B1561="","Standard",B1561))</f>
        <v/>
      </c>
      <c r="Q1561">
        <f>IF(AND(A1561&lt;&gt;"",A1561='Firm Search'!$C$7),COUNTIF($A$5:A1561,'Firm Search'!$C$7),"")</f>
        <v/>
      </c>
    </row>
    <row r="1562">
      <c r="A1562" s="64" t="n"/>
      <c r="B1562" s="64" t="n"/>
      <c r="C1562" s="66" t="n"/>
      <c r="D1562" s="66" t="n"/>
      <c r="E1562" s="67" t="n"/>
      <c r="F1562" s="67" t="n"/>
      <c r="G1562" s="67" t="n"/>
      <c r="H1562" s="67" t="n"/>
      <c r="I1562" s="67" t="n"/>
      <c r="J1562" s="67" t="n"/>
      <c r="K1562" s="67" t="n"/>
      <c r="L1562" s="67" t="n"/>
      <c r="M1562" s="64" t="n"/>
      <c r="N1562" s="66" t="n"/>
      <c r="O1562" s="84">
        <f>IF(A1562="","",IF(OR(C1562="",D1562=""),"Enter both dates",IF(D1562&lt;C1562,"To is before From",IF(COUNTIFS($P$5:$P$2004,P1562,$C$5:$C$2004,"&lt;="&amp;D1562,$D$5:$D$2004,"&gt;="&amp;C1562)&gt;1,"Overlaps another row","OK"))))</f>
        <v/>
      </c>
      <c r="P1562">
        <f>IF(A1562="","",A1562&amp;"|"&amp;IF(B1562="","Standard",B1562))</f>
        <v/>
      </c>
      <c r="Q1562">
        <f>IF(AND(A1562&lt;&gt;"",A1562='Firm Search'!$C$7),COUNTIF($A$5:A1562,'Firm Search'!$C$7),"")</f>
        <v/>
      </c>
    </row>
    <row r="1563">
      <c r="A1563" s="64" t="n"/>
      <c r="B1563" s="64" t="n"/>
      <c r="C1563" s="66" t="n"/>
      <c r="D1563" s="66" t="n"/>
      <c r="E1563" s="67" t="n"/>
      <c r="F1563" s="67" t="n"/>
      <c r="G1563" s="67" t="n"/>
      <c r="H1563" s="67" t="n"/>
      <c r="I1563" s="67" t="n"/>
      <c r="J1563" s="67" t="n"/>
      <c r="K1563" s="67" t="n"/>
      <c r="L1563" s="67" t="n"/>
      <c r="M1563" s="64" t="n"/>
      <c r="N1563" s="66" t="n"/>
      <c r="O1563" s="84">
        <f>IF(A1563="","",IF(OR(C1563="",D1563=""),"Enter both dates",IF(D1563&lt;C1563,"To is before From",IF(COUNTIFS($P$5:$P$2004,P1563,$C$5:$C$2004,"&lt;="&amp;D1563,$D$5:$D$2004,"&gt;="&amp;C1563)&gt;1,"Overlaps another row","OK"))))</f>
        <v/>
      </c>
      <c r="P1563">
        <f>IF(A1563="","",A1563&amp;"|"&amp;IF(B1563="","Standard",B1563))</f>
        <v/>
      </c>
      <c r="Q1563">
        <f>IF(AND(A1563&lt;&gt;"",A1563='Firm Search'!$C$7),COUNTIF($A$5:A1563,'Firm Search'!$C$7),"")</f>
        <v/>
      </c>
    </row>
    <row r="1564">
      <c r="A1564" s="64" t="n"/>
      <c r="B1564" s="64" t="n"/>
      <c r="C1564" s="66" t="n"/>
      <c r="D1564" s="66" t="n"/>
      <c r="E1564" s="67" t="n"/>
      <c r="F1564" s="67" t="n"/>
      <c r="G1564" s="67" t="n"/>
      <c r="H1564" s="67" t="n"/>
      <c r="I1564" s="67" t="n"/>
      <c r="J1564" s="67" t="n"/>
      <c r="K1564" s="67" t="n"/>
      <c r="L1564" s="67" t="n"/>
      <c r="M1564" s="64" t="n"/>
      <c r="N1564" s="66" t="n"/>
      <c r="O1564" s="84">
        <f>IF(A1564="","",IF(OR(C1564="",D1564=""),"Enter both dates",IF(D1564&lt;C1564,"To is before From",IF(COUNTIFS($P$5:$P$2004,P1564,$C$5:$C$2004,"&lt;="&amp;D1564,$D$5:$D$2004,"&gt;="&amp;C1564)&gt;1,"Overlaps another row","OK"))))</f>
        <v/>
      </c>
      <c r="P1564">
        <f>IF(A1564="","",A1564&amp;"|"&amp;IF(B1564="","Standard",B1564))</f>
        <v/>
      </c>
      <c r="Q1564">
        <f>IF(AND(A1564&lt;&gt;"",A1564='Firm Search'!$C$7),COUNTIF($A$5:A1564,'Firm Search'!$C$7),"")</f>
        <v/>
      </c>
    </row>
    <row r="1565">
      <c r="A1565" s="64" t="n"/>
      <c r="B1565" s="64" t="n"/>
      <c r="C1565" s="66" t="n"/>
      <c r="D1565" s="66" t="n"/>
      <c r="E1565" s="67" t="n"/>
      <c r="F1565" s="67" t="n"/>
      <c r="G1565" s="67" t="n"/>
      <c r="H1565" s="67" t="n"/>
      <c r="I1565" s="67" t="n"/>
      <c r="J1565" s="67" t="n"/>
      <c r="K1565" s="67" t="n"/>
      <c r="L1565" s="67" t="n"/>
      <c r="M1565" s="64" t="n"/>
      <c r="N1565" s="66" t="n"/>
      <c r="O1565" s="84">
        <f>IF(A1565="","",IF(OR(C1565="",D1565=""),"Enter both dates",IF(D1565&lt;C1565,"To is before From",IF(COUNTIFS($P$5:$P$2004,P1565,$C$5:$C$2004,"&lt;="&amp;D1565,$D$5:$D$2004,"&gt;="&amp;C1565)&gt;1,"Overlaps another row","OK"))))</f>
        <v/>
      </c>
      <c r="P1565">
        <f>IF(A1565="","",A1565&amp;"|"&amp;IF(B1565="","Standard",B1565))</f>
        <v/>
      </c>
      <c r="Q1565">
        <f>IF(AND(A1565&lt;&gt;"",A1565='Firm Search'!$C$7),COUNTIF($A$5:A1565,'Firm Search'!$C$7),"")</f>
        <v/>
      </c>
    </row>
    <row r="1566">
      <c r="A1566" s="64" t="n"/>
      <c r="B1566" s="64" t="n"/>
      <c r="C1566" s="66" t="n"/>
      <c r="D1566" s="66" t="n"/>
      <c r="E1566" s="67" t="n"/>
      <c r="F1566" s="67" t="n"/>
      <c r="G1566" s="67" t="n"/>
      <c r="H1566" s="67" t="n"/>
      <c r="I1566" s="67" t="n"/>
      <c r="J1566" s="67" t="n"/>
      <c r="K1566" s="67" t="n"/>
      <c r="L1566" s="67" t="n"/>
      <c r="M1566" s="64" t="n"/>
      <c r="N1566" s="66" t="n"/>
      <c r="O1566" s="84">
        <f>IF(A1566="","",IF(OR(C1566="",D1566=""),"Enter both dates",IF(D1566&lt;C1566,"To is before From",IF(COUNTIFS($P$5:$P$2004,P1566,$C$5:$C$2004,"&lt;="&amp;D1566,$D$5:$D$2004,"&gt;="&amp;C1566)&gt;1,"Overlaps another row","OK"))))</f>
        <v/>
      </c>
      <c r="P1566">
        <f>IF(A1566="","",A1566&amp;"|"&amp;IF(B1566="","Standard",B1566))</f>
        <v/>
      </c>
      <c r="Q1566">
        <f>IF(AND(A1566&lt;&gt;"",A1566='Firm Search'!$C$7),COUNTIF($A$5:A1566,'Firm Search'!$C$7),"")</f>
        <v/>
      </c>
    </row>
    <row r="1567">
      <c r="A1567" s="64" t="n"/>
      <c r="B1567" s="64" t="n"/>
      <c r="C1567" s="66" t="n"/>
      <c r="D1567" s="66" t="n"/>
      <c r="E1567" s="67" t="n"/>
      <c r="F1567" s="67" t="n"/>
      <c r="G1567" s="67" t="n"/>
      <c r="H1567" s="67" t="n"/>
      <c r="I1567" s="67" t="n"/>
      <c r="J1567" s="67" t="n"/>
      <c r="K1567" s="67" t="n"/>
      <c r="L1567" s="67" t="n"/>
      <c r="M1567" s="64" t="n"/>
      <c r="N1567" s="66" t="n"/>
      <c r="O1567" s="84">
        <f>IF(A1567="","",IF(OR(C1567="",D1567=""),"Enter both dates",IF(D1567&lt;C1567,"To is before From",IF(COUNTIFS($P$5:$P$2004,P1567,$C$5:$C$2004,"&lt;="&amp;D1567,$D$5:$D$2004,"&gt;="&amp;C1567)&gt;1,"Overlaps another row","OK"))))</f>
        <v/>
      </c>
      <c r="P1567">
        <f>IF(A1567="","",A1567&amp;"|"&amp;IF(B1567="","Standard",B1567))</f>
        <v/>
      </c>
      <c r="Q1567">
        <f>IF(AND(A1567&lt;&gt;"",A1567='Firm Search'!$C$7),COUNTIF($A$5:A1567,'Firm Search'!$C$7),"")</f>
        <v/>
      </c>
    </row>
    <row r="1568">
      <c r="A1568" s="64" t="n"/>
      <c r="B1568" s="64" t="n"/>
      <c r="C1568" s="66" t="n"/>
      <c r="D1568" s="66" t="n"/>
      <c r="E1568" s="67" t="n"/>
      <c r="F1568" s="67" t="n"/>
      <c r="G1568" s="67" t="n"/>
      <c r="H1568" s="67" t="n"/>
      <c r="I1568" s="67" t="n"/>
      <c r="J1568" s="67" t="n"/>
      <c r="K1568" s="67" t="n"/>
      <c r="L1568" s="67" t="n"/>
      <c r="M1568" s="64" t="n"/>
      <c r="N1568" s="66" t="n"/>
      <c r="O1568" s="84">
        <f>IF(A1568="","",IF(OR(C1568="",D1568=""),"Enter both dates",IF(D1568&lt;C1568,"To is before From",IF(COUNTIFS($P$5:$P$2004,P1568,$C$5:$C$2004,"&lt;="&amp;D1568,$D$5:$D$2004,"&gt;="&amp;C1568)&gt;1,"Overlaps another row","OK"))))</f>
        <v/>
      </c>
      <c r="P1568">
        <f>IF(A1568="","",A1568&amp;"|"&amp;IF(B1568="","Standard",B1568))</f>
        <v/>
      </c>
      <c r="Q1568">
        <f>IF(AND(A1568&lt;&gt;"",A1568='Firm Search'!$C$7),COUNTIF($A$5:A1568,'Firm Search'!$C$7),"")</f>
        <v/>
      </c>
    </row>
    <row r="1569">
      <c r="A1569" s="64" t="n"/>
      <c r="B1569" s="64" t="n"/>
      <c r="C1569" s="66" t="n"/>
      <c r="D1569" s="66" t="n"/>
      <c r="E1569" s="67" t="n"/>
      <c r="F1569" s="67" t="n"/>
      <c r="G1569" s="67" t="n"/>
      <c r="H1569" s="67" t="n"/>
      <c r="I1569" s="67" t="n"/>
      <c r="J1569" s="67" t="n"/>
      <c r="K1569" s="67" t="n"/>
      <c r="L1569" s="67" t="n"/>
      <c r="M1569" s="64" t="n"/>
      <c r="N1569" s="66" t="n"/>
      <c r="O1569" s="84">
        <f>IF(A1569="","",IF(OR(C1569="",D1569=""),"Enter both dates",IF(D1569&lt;C1569,"To is before From",IF(COUNTIFS($P$5:$P$2004,P1569,$C$5:$C$2004,"&lt;="&amp;D1569,$D$5:$D$2004,"&gt;="&amp;C1569)&gt;1,"Overlaps another row","OK"))))</f>
        <v/>
      </c>
      <c r="P1569">
        <f>IF(A1569="","",A1569&amp;"|"&amp;IF(B1569="","Standard",B1569))</f>
        <v/>
      </c>
      <c r="Q1569">
        <f>IF(AND(A1569&lt;&gt;"",A1569='Firm Search'!$C$7),COUNTIF($A$5:A1569,'Firm Search'!$C$7),"")</f>
        <v/>
      </c>
    </row>
    <row r="1570">
      <c r="A1570" s="64" t="n"/>
      <c r="B1570" s="64" t="n"/>
      <c r="C1570" s="66" t="n"/>
      <c r="D1570" s="66" t="n"/>
      <c r="E1570" s="67" t="n"/>
      <c r="F1570" s="67" t="n"/>
      <c r="G1570" s="67" t="n"/>
      <c r="H1570" s="67" t="n"/>
      <c r="I1570" s="67" t="n"/>
      <c r="J1570" s="67" t="n"/>
      <c r="K1570" s="67" t="n"/>
      <c r="L1570" s="67" t="n"/>
      <c r="M1570" s="64" t="n"/>
      <c r="N1570" s="66" t="n"/>
      <c r="O1570" s="84">
        <f>IF(A1570="","",IF(OR(C1570="",D1570=""),"Enter both dates",IF(D1570&lt;C1570,"To is before From",IF(COUNTIFS($P$5:$P$2004,P1570,$C$5:$C$2004,"&lt;="&amp;D1570,$D$5:$D$2004,"&gt;="&amp;C1570)&gt;1,"Overlaps another row","OK"))))</f>
        <v/>
      </c>
      <c r="P1570">
        <f>IF(A1570="","",A1570&amp;"|"&amp;IF(B1570="","Standard",B1570))</f>
        <v/>
      </c>
      <c r="Q1570">
        <f>IF(AND(A1570&lt;&gt;"",A1570='Firm Search'!$C$7),COUNTIF($A$5:A1570,'Firm Search'!$C$7),"")</f>
        <v/>
      </c>
    </row>
    <row r="1571">
      <c r="A1571" s="64" t="n"/>
      <c r="B1571" s="64" t="n"/>
      <c r="C1571" s="66" t="n"/>
      <c r="D1571" s="66" t="n"/>
      <c r="E1571" s="67" t="n"/>
      <c r="F1571" s="67" t="n"/>
      <c r="G1571" s="67" t="n"/>
      <c r="H1571" s="67" t="n"/>
      <c r="I1571" s="67" t="n"/>
      <c r="J1571" s="67" t="n"/>
      <c r="K1571" s="67" t="n"/>
      <c r="L1571" s="67" t="n"/>
      <c r="M1571" s="64" t="n"/>
      <c r="N1571" s="66" t="n"/>
      <c r="O1571" s="84">
        <f>IF(A1571="","",IF(OR(C1571="",D1571=""),"Enter both dates",IF(D1571&lt;C1571,"To is before From",IF(COUNTIFS($P$5:$P$2004,P1571,$C$5:$C$2004,"&lt;="&amp;D1571,$D$5:$D$2004,"&gt;="&amp;C1571)&gt;1,"Overlaps another row","OK"))))</f>
        <v/>
      </c>
      <c r="P1571">
        <f>IF(A1571="","",A1571&amp;"|"&amp;IF(B1571="","Standard",B1571))</f>
        <v/>
      </c>
      <c r="Q1571">
        <f>IF(AND(A1571&lt;&gt;"",A1571='Firm Search'!$C$7),COUNTIF($A$5:A1571,'Firm Search'!$C$7),"")</f>
        <v/>
      </c>
    </row>
    <row r="1572">
      <c r="A1572" s="64" t="n"/>
      <c r="B1572" s="64" t="n"/>
      <c r="C1572" s="66" t="n"/>
      <c r="D1572" s="66" t="n"/>
      <c r="E1572" s="67" t="n"/>
      <c r="F1572" s="67" t="n"/>
      <c r="G1572" s="67" t="n"/>
      <c r="H1572" s="67" t="n"/>
      <c r="I1572" s="67" t="n"/>
      <c r="J1572" s="67" t="n"/>
      <c r="K1572" s="67" t="n"/>
      <c r="L1572" s="67" t="n"/>
      <c r="M1572" s="64" t="n"/>
      <c r="N1572" s="66" t="n"/>
      <c r="O1572" s="84">
        <f>IF(A1572="","",IF(OR(C1572="",D1572=""),"Enter both dates",IF(D1572&lt;C1572,"To is before From",IF(COUNTIFS($P$5:$P$2004,P1572,$C$5:$C$2004,"&lt;="&amp;D1572,$D$5:$D$2004,"&gt;="&amp;C1572)&gt;1,"Overlaps another row","OK"))))</f>
        <v/>
      </c>
      <c r="P1572">
        <f>IF(A1572="","",A1572&amp;"|"&amp;IF(B1572="","Standard",B1572))</f>
        <v/>
      </c>
      <c r="Q1572">
        <f>IF(AND(A1572&lt;&gt;"",A1572='Firm Search'!$C$7),COUNTIF($A$5:A1572,'Firm Search'!$C$7),"")</f>
        <v/>
      </c>
    </row>
    <row r="1573">
      <c r="A1573" s="64" t="n"/>
      <c r="B1573" s="64" t="n"/>
      <c r="C1573" s="66" t="n"/>
      <c r="D1573" s="66" t="n"/>
      <c r="E1573" s="67" t="n"/>
      <c r="F1573" s="67" t="n"/>
      <c r="G1573" s="67" t="n"/>
      <c r="H1573" s="67" t="n"/>
      <c r="I1573" s="67" t="n"/>
      <c r="J1573" s="67" t="n"/>
      <c r="K1573" s="67" t="n"/>
      <c r="L1573" s="67" t="n"/>
      <c r="M1573" s="64" t="n"/>
      <c r="N1573" s="66" t="n"/>
      <c r="O1573" s="84">
        <f>IF(A1573="","",IF(OR(C1573="",D1573=""),"Enter both dates",IF(D1573&lt;C1573,"To is before From",IF(COUNTIFS($P$5:$P$2004,P1573,$C$5:$C$2004,"&lt;="&amp;D1573,$D$5:$D$2004,"&gt;="&amp;C1573)&gt;1,"Overlaps another row","OK"))))</f>
        <v/>
      </c>
      <c r="P1573">
        <f>IF(A1573="","",A1573&amp;"|"&amp;IF(B1573="","Standard",B1573))</f>
        <v/>
      </c>
      <c r="Q1573">
        <f>IF(AND(A1573&lt;&gt;"",A1573='Firm Search'!$C$7),COUNTIF($A$5:A1573,'Firm Search'!$C$7),"")</f>
        <v/>
      </c>
    </row>
    <row r="1574">
      <c r="A1574" s="64" t="n"/>
      <c r="B1574" s="64" t="n"/>
      <c r="C1574" s="66" t="n"/>
      <c r="D1574" s="66" t="n"/>
      <c r="E1574" s="67" t="n"/>
      <c r="F1574" s="67" t="n"/>
      <c r="G1574" s="67" t="n"/>
      <c r="H1574" s="67" t="n"/>
      <c r="I1574" s="67" t="n"/>
      <c r="J1574" s="67" t="n"/>
      <c r="K1574" s="67" t="n"/>
      <c r="L1574" s="67" t="n"/>
      <c r="M1574" s="64" t="n"/>
      <c r="N1574" s="66" t="n"/>
      <c r="O1574" s="84">
        <f>IF(A1574="","",IF(OR(C1574="",D1574=""),"Enter both dates",IF(D1574&lt;C1574,"To is before From",IF(COUNTIFS($P$5:$P$2004,P1574,$C$5:$C$2004,"&lt;="&amp;D1574,$D$5:$D$2004,"&gt;="&amp;C1574)&gt;1,"Overlaps another row","OK"))))</f>
        <v/>
      </c>
      <c r="P1574">
        <f>IF(A1574="","",A1574&amp;"|"&amp;IF(B1574="","Standard",B1574))</f>
        <v/>
      </c>
      <c r="Q1574">
        <f>IF(AND(A1574&lt;&gt;"",A1574='Firm Search'!$C$7),COUNTIF($A$5:A1574,'Firm Search'!$C$7),"")</f>
        <v/>
      </c>
    </row>
    <row r="1575">
      <c r="A1575" s="64" t="n"/>
      <c r="B1575" s="64" t="n"/>
      <c r="C1575" s="66" t="n"/>
      <c r="D1575" s="66" t="n"/>
      <c r="E1575" s="67" t="n"/>
      <c r="F1575" s="67" t="n"/>
      <c r="G1575" s="67" t="n"/>
      <c r="H1575" s="67" t="n"/>
      <c r="I1575" s="67" t="n"/>
      <c r="J1575" s="67" t="n"/>
      <c r="K1575" s="67" t="n"/>
      <c r="L1575" s="67" t="n"/>
      <c r="M1575" s="64" t="n"/>
      <c r="N1575" s="66" t="n"/>
      <c r="O1575" s="84">
        <f>IF(A1575="","",IF(OR(C1575="",D1575=""),"Enter both dates",IF(D1575&lt;C1575,"To is before From",IF(COUNTIFS($P$5:$P$2004,P1575,$C$5:$C$2004,"&lt;="&amp;D1575,$D$5:$D$2004,"&gt;="&amp;C1575)&gt;1,"Overlaps another row","OK"))))</f>
        <v/>
      </c>
      <c r="P1575">
        <f>IF(A1575="","",A1575&amp;"|"&amp;IF(B1575="","Standard",B1575))</f>
        <v/>
      </c>
      <c r="Q1575">
        <f>IF(AND(A1575&lt;&gt;"",A1575='Firm Search'!$C$7),COUNTIF($A$5:A1575,'Firm Search'!$C$7),"")</f>
        <v/>
      </c>
    </row>
    <row r="1576">
      <c r="A1576" s="64" t="n"/>
      <c r="B1576" s="64" t="n"/>
      <c r="C1576" s="66" t="n"/>
      <c r="D1576" s="66" t="n"/>
      <c r="E1576" s="67" t="n"/>
      <c r="F1576" s="67" t="n"/>
      <c r="G1576" s="67" t="n"/>
      <c r="H1576" s="67" t="n"/>
      <c r="I1576" s="67" t="n"/>
      <c r="J1576" s="67" t="n"/>
      <c r="K1576" s="67" t="n"/>
      <c r="L1576" s="67" t="n"/>
      <c r="M1576" s="64" t="n"/>
      <c r="N1576" s="66" t="n"/>
      <c r="O1576" s="84">
        <f>IF(A1576="","",IF(OR(C1576="",D1576=""),"Enter both dates",IF(D1576&lt;C1576,"To is before From",IF(COUNTIFS($P$5:$P$2004,P1576,$C$5:$C$2004,"&lt;="&amp;D1576,$D$5:$D$2004,"&gt;="&amp;C1576)&gt;1,"Overlaps another row","OK"))))</f>
        <v/>
      </c>
      <c r="P1576">
        <f>IF(A1576="","",A1576&amp;"|"&amp;IF(B1576="","Standard",B1576))</f>
        <v/>
      </c>
      <c r="Q1576">
        <f>IF(AND(A1576&lt;&gt;"",A1576='Firm Search'!$C$7),COUNTIF($A$5:A1576,'Firm Search'!$C$7),"")</f>
        <v/>
      </c>
    </row>
    <row r="1577">
      <c r="A1577" s="64" t="n"/>
      <c r="B1577" s="64" t="n"/>
      <c r="C1577" s="66" t="n"/>
      <c r="D1577" s="66" t="n"/>
      <c r="E1577" s="67" t="n"/>
      <c r="F1577" s="67" t="n"/>
      <c r="G1577" s="67" t="n"/>
      <c r="H1577" s="67" t="n"/>
      <c r="I1577" s="67" t="n"/>
      <c r="J1577" s="67" t="n"/>
      <c r="K1577" s="67" t="n"/>
      <c r="L1577" s="67" t="n"/>
      <c r="M1577" s="64" t="n"/>
      <c r="N1577" s="66" t="n"/>
      <c r="O1577" s="84">
        <f>IF(A1577="","",IF(OR(C1577="",D1577=""),"Enter both dates",IF(D1577&lt;C1577,"To is before From",IF(COUNTIFS($P$5:$P$2004,P1577,$C$5:$C$2004,"&lt;="&amp;D1577,$D$5:$D$2004,"&gt;="&amp;C1577)&gt;1,"Overlaps another row","OK"))))</f>
        <v/>
      </c>
      <c r="P1577">
        <f>IF(A1577="","",A1577&amp;"|"&amp;IF(B1577="","Standard",B1577))</f>
        <v/>
      </c>
      <c r="Q1577">
        <f>IF(AND(A1577&lt;&gt;"",A1577='Firm Search'!$C$7),COUNTIF($A$5:A1577,'Firm Search'!$C$7),"")</f>
        <v/>
      </c>
    </row>
    <row r="1578">
      <c r="A1578" s="64" t="n"/>
      <c r="B1578" s="64" t="n"/>
      <c r="C1578" s="66" t="n"/>
      <c r="D1578" s="66" t="n"/>
      <c r="E1578" s="67" t="n"/>
      <c r="F1578" s="67" t="n"/>
      <c r="G1578" s="67" t="n"/>
      <c r="H1578" s="67" t="n"/>
      <c r="I1578" s="67" t="n"/>
      <c r="J1578" s="67" t="n"/>
      <c r="K1578" s="67" t="n"/>
      <c r="L1578" s="67" t="n"/>
      <c r="M1578" s="64" t="n"/>
      <c r="N1578" s="66" t="n"/>
      <c r="O1578" s="84">
        <f>IF(A1578="","",IF(OR(C1578="",D1578=""),"Enter both dates",IF(D1578&lt;C1578,"To is before From",IF(COUNTIFS($P$5:$P$2004,P1578,$C$5:$C$2004,"&lt;="&amp;D1578,$D$5:$D$2004,"&gt;="&amp;C1578)&gt;1,"Overlaps another row","OK"))))</f>
        <v/>
      </c>
      <c r="P1578">
        <f>IF(A1578="","",A1578&amp;"|"&amp;IF(B1578="","Standard",B1578))</f>
        <v/>
      </c>
      <c r="Q1578">
        <f>IF(AND(A1578&lt;&gt;"",A1578='Firm Search'!$C$7),COUNTIF($A$5:A1578,'Firm Search'!$C$7),"")</f>
        <v/>
      </c>
    </row>
    <row r="1579">
      <c r="A1579" s="64" t="n"/>
      <c r="B1579" s="64" t="n"/>
      <c r="C1579" s="66" t="n"/>
      <c r="D1579" s="66" t="n"/>
      <c r="E1579" s="67" t="n"/>
      <c r="F1579" s="67" t="n"/>
      <c r="G1579" s="67" t="n"/>
      <c r="H1579" s="67" t="n"/>
      <c r="I1579" s="67" t="n"/>
      <c r="J1579" s="67" t="n"/>
      <c r="K1579" s="67" t="n"/>
      <c r="L1579" s="67" t="n"/>
      <c r="M1579" s="64" t="n"/>
      <c r="N1579" s="66" t="n"/>
      <c r="O1579" s="84">
        <f>IF(A1579="","",IF(OR(C1579="",D1579=""),"Enter both dates",IF(D1579&lt;C1579,"To is before From",IF(COUNTIFS($P$5:$P$2004,P1579,$C$5:$C$2004,"&lt;="&amp;D1579,$D$5:$D$2004,"&gt;="&amp;C1579)&gt;1,"Overlaps another row","OK"))))</f>
        <v/>
      </c>
      <c r="P1579">
        <f>IF(A1579="","",A1579&amp;"|"&amp;IF(B1579="","Standard",B1579))</f>
        <v/>
      </c>
      <c r="Q1579">
        <f>IF(AND(A1579&lt;&gt;"",A1579='Firm Search'!$C$7),COUNTIF($A$5:A1579,'Firm Search'!$C$7),"")</f>
        <v/>
      </c>
    </row>
    <row r="1580">
      <c r="A1580" s="64" t="n"/>
      <c r="B1580" s="64" t="n"/>
      <c r="C1580" s="66" t="n"/>
      <c r="D1580" s="66" t="n"/>
      <c r="E1580" s="67" t="n"/>
      <c r="F1580" s="67" t="n"/>
      <c r="G1580" s="67" t="n"/>
      <c r="H1580" s="67" t="n"/>
      <c r="I1580" s="67" t="n"/>
      <c r="J1580" s="67" t="n"/>
      <c r="K1580" s="67" t="n"/>
      <c r="L1580" s="67" t="n"/>
      <c r="M1580" s="64" t="n"/>
      <c r="N1580" s="66" t="n"/>
      <c r="O1580" s="84">
        <f>IF(A1580="","",IF(OR(C1580="",D1580=""),"Enter both dates",IF(D1580&lt;C1580,"To is before From",IF(COUNTIFS($P$5:$P$2004,P1580,$C$5:$C$2004,"&lt;="&amp;D1580,$D$5:$D$2004,"&gt;="&amp;C1580)&gt;1,"Overlaps another row","OK"))))</f>
        <v/>
      </c>
      <c r="P1580">
        <f>IF(A1580="","",A1580&amp;"|"&amp;IF(B1580="","Standard",B1580))</f>
        <v/>
      </c>
      <c r="Q1580">
        <f>IF(AND(A1580&lt;&gt;"",A1580='Firm Search'!$C$7),COUNTIF($A$5:A1580,'Firm Search'!$C$7),"")</f>
        <v/>
      </c>
    </row>
    <row r="1581">
      <c r="A1581" s="64" t="n"/>
      <c r="B1581" s="64" t="n"/>
      <c r="C1581" s="66" t="n"/>
      <c r="D1581" s="66" t="n"/>
      <c r="E1581" s="67" t="n"/>
      <c r="F1581" s="67" t="n"/>
      <c r="G1581" s="67" t="n"/>
      <c r="H1581" s="67" t="n"/>
      <c r="I1581" s="67" t="n"/>
      <c r="J1581" s="67" t="n"/>
      <c r="K1581" s="67" t="n"/>
      <c r="L1581" s="67" t="n"/>
      <c r="M1581" s="64" t="n"/>
      <c r="N1581" s="66" t="n"/>
      <c r="O1581" s="84">
        <f>IF(A1581="","",IF(OR(C1581="",D1581=""),"Enter both dates",IF(D1581&lt;C1581,"To is before From",IF(COUNTIFS($P$5:$P$2004,P1581,$C$5:$C$2004,"&lt;="&amp;D1581,$D$5:$D$2004,"&gt;="&amp;C1581)&gt;1,"Overlaps another row","OK"))))</f>
        <v/>
      </c>
      <c r="P1581">
        <f>IF(A1581="","",A1581&amp;"|"&amp;IF(B1581="","Standard",B1581))</f>
        <v/>
      </c>
      <c r="Q1581">
        <f>IF(AND(A1581&lt;&gt;"",A1581='Firm Search'!$C$7),COUNTIF($A$5:A1581,'Firm Search'!$C$7),"")</f>
        <v/>
      </c>
    </row>
    <row r="1582">
      <c r="A1582" s="64" t="n"/>
      <c r="B1582" s="64" t="n"/>
      <c r="C1582" s="66" t="n"/>
      <c r="D1582" s="66" t="n"/>
      <c r="E1582" s="67" t="n"/>
      <c r="F1582" s="67" t="n"/>
      <c r="G1582" s="67" t="n"/>
      <c r="H1582" s="67" t="n"/>
      <c r="I1582" s="67" t="n"/>
      <c r="J1582" s="67" t="n"/>
      <c r="K1582" s="67" t="n"/>
      <c r="L1582" s="67" t="n"/>
      <c r="M1582" s="64" t="n"/>
      <c r="N1582" s="66" t="n"/>
      <c r="O1582" s="84">
        <f>IF(A1582="","",IF(OR(C1582="",D1582=""),"Enter both dates",IF(D1582&lt;C1582,"To is before From",IF(COUNTIFS($P$5:$P$2004,P1582,$C$5:$C$2004,"&lt;="&amp;D1582,$D$5:$D$2004,"&gt;="&amp;C1582)&gt;1,"Overlaps another row","OK"))))</f>
        <v/>
      </c>
      <c r="P1582">
        <f>IF(A1582="","",A1582&amp;"|"&amp;IF(B1582="","Standard",B1582))</f>
        <v/>
      </c>
      <c r="Q1582">
        <f>IF(AND(A1582&lt;&gt;"",A1582='Firm Search'!$C$7),COUNTIF($A$5:A1582,'Firm Search'!$C$7),"")</f>
        <v/>
      </c>
    </row>
    <row r="1583">
      <c r="A1583" s="64" t="n"/>
      <c r="B1583" s="64" t="n"/>
      <c r="C1583" s="66" t="n"/>
      <c r="D1583" s="66" t="n"/>
      <c r="E1583" s="67" t="n"/>
      <c r="F1583" s="67" t="n"/>
      <c r="G1583" s="67" t="n"/>
      <c r="H1583" s="67" t="n"/>
      <c r="I1583" s="67" t="n"/>
      <c r="J1583" s="67" t="n"/>
      <c r="K1583" s="67" t="n"/>
      <c r="L1583" s="67" t="n"/>
      <c r="M1583" s="64" t="n"/>
      <c r="N1583" s="66" t="n"/>
      <c r="O1583" s="84">
        <f>IF(A1583="","",IF(OR(C1583="",D1583=""),"Enter both dates",IF(D1583&lt;C1583,"To is before From",IF(COUNTIFS($P$5:$P$2004,P1583,$C$5:$C$2004,"&lt;="&amp;D1583,$D$5:$D$2004,"&gt;="&amp;C1583)&gt;1,"Overlaps another row","OK"))))</f>
        <v/>
      </c>
      <c r="P1583">
        <f>IF(A1583="","",A1583&amp;"|"&amp;IF(B1583="","Standard",B1583))</f>
        <v/>
      </c>
      <c r="Q1583">
        <f>IF(AND(A1583&lt;&gt;"",A1583='Firm Search'!$C$7),COUNTIF($A$5:A1583,'Firm Search'!$C$7),"")</f>
        <v/>
      </c>
    </row>
    <row r="1584">
      <c r="A1584" s="64" t="n"/>
      <c r="B1584" s="64" t="n"/>
      <c r="C1584" s="66" t="n"/>
      <c r="D1584" s="66" t="n"/>
      <c r="E1584" s="67" t="n"/>
      <c r="F1584" s="67" t="n"/>
      <c r="G1584" s="67" t="n"/>
      <c r="H1584" s="67" t="n"/>
      <c r="I1584" s="67" t="n"/>
      <c r="J1584" s="67" t="n"/>
      <c r="K1584" s="67" t="n"/>
      <c r="L1584" s="67" t="n"/>
      <c r="M1584" s="64" t="n"/>
      <c r="N1584" s="66" t="n"/>
      <c r="O1584" s="84">
        <f>IF(A1584="","",IF(OR(C1584="",D1584=""),"Enter both dates",IF(D1584&lt;C1584,"To is before From",IF(COUNTIFS($P$5:$P$2004,P1584,$C$5:$C$2004,"&lt;="&amp;D1584,$D$5:$D$2004,"&gt;="&amp;C1584)&gt;1,"Overlaps another row","OK"))))</f>
        <v/>
      </c>
      <c r="P1584">
        <f>IF(A1584="","",A1584&amp;"|"&amp;IF(B1584="","Standard",B1584))</f>
        <v/>
      </c>
      <c r="Q1584">
        <f>IF(AND(A1584&lt;&gt;"",A1584='Firm Search'!$C$7),COUNTIF($A$5:A1584,'Firm Search'!$C$7),"")</f>
        <v/>
      </c>
    </row>
    <row r="1585">
      <c r="A1585" s="64" t="n"/>
      <c r="B1585" s="64" t="n"/>
      <c r="C1585" s="66" t="n"/>
      <c r="D1585" s="66" t="n"/>
      <c r="E1585" s="67" t="n"/>
      <c r="F1585" s="67" t="n"/>
      <c r="G1585" s="67" t="n"/>
      <c r="H1585" s="67" t="n"/>
      <c r="I1585" s="67" t="n"/>
      <c r="J1585" s="67" t="n"/>
      <c r="K1585" s="67" t="n"/>
      <c r="L1585" s="67" t="n"/>
      <c r="M1585" s="64" t="n"/>
      <c r="N1585" s="66" t="n"/>
      <c r="O1585" s="84">
        <f>IF(A1585="","",IF(OR(C1585="",D1585=""),"Enter both dates",IF(D1585&lt;C1585,"To is before From",IF(COUNTIFS($P$5:$P$2004,P1585,$C$5:$C$2004,"&lt;="&amp;D1585,$D$5:$D$2004,"&gt;="&amp;C1585)&gt;1,"Overlaps another row","OK"))))</f>
        <v/>
      </c>
      <c r="P1585">
        <f>IF(A1585="","",A1585&amp;"|"&amp;IF(B1585="","Standard",B1585))</f>
        <v/>
      </c>
      <c r="Q1585">
        <f>IF(AND(A1585&lt;&gt;"",A1585='Firm Search'!$C$7),COUNTIF($A$5:A1585,'Firm Search'!$C$7),"")</f>
        <v/>
      </c>
    </row>
    <row r="1586">
      <c r="A1586" s="64" t="n"/>
      <c r="B1586" s="64" t="n"/>
      <c r="C1586" s="66" t="n"/>
      <c r="D1586" s="66" t="n"/>
      <c r="E1586" s="67" t="n"/>
      <c r="F1586" s="67" t="n"/>
      <c r="G1586" s="67" t="n"/>
      <c r="H1586" s="67" t="n"/>
      <c r="I1586" s="67" t="n"/>
      <c r="J1586" s="67" t="n"/>
      <c r="K1586" s="67" t="n"/>
      <c r="L1586" s="67" t="n"/>
      <c r="M1586" s="64" t="n"/>
      <c r="N1586" s="66" t="n"/>
      <c r="O1586" s="84">
        <f>IF(A1586="","",IF(OR(C1586="",D1586=""),"Enter both dates",IF(D1586&lt;C1586,"To is before From",IF(COUNTIFS($P$5:$P$2004,P1586,$C$5:$C$2004,"&lt;="&amp;D1586,$D$5:$D$2004,"&gt;="&amp;C1586)&gt;1,"Overlaps another row","OK"))))</f>
        <v/>
      </c>
      <c r="P1586">
        <f>IF(A1586="","",A1586&amp;"|"&amp;IF(B1586="","Standard",B1586))</f>
        <v/>
      </c>
      <c r="Q1586">
        <f>IF(AND(A1586&lt;&gt;"",A1586='Firm Search'!$C$7),COUNTIF($A$5:A1586,'Firm Search'!$C$7),"")</f>
        <v/>
      </c>
    </row>
    <row r="1587">
      <c r="A1587" s="64" t="n"/>
      <c r="B1587" s="64" t="n"/>
      <c r="C1587" s="66" t="n"/>
      <c r="D1587" s="66" t="n"/>
      <c r="E1587" s="67" t="n"/>
      <c r="F1587" s="67" t="n"/>
      <c r="G1587" s="67" t="n"/>
      <c r="H1587" s="67" t="n"/>
      <c r="I1587" s="67" t="n"/>
      <c r="J1587" s="67" t="n"/>
      <c r="K1587" s="67" t="n"/>
      <c r="L1587" s="67" t="n"/>
      <c r="M1587" s="64" t="n"/>
      <c r="N1587" s="66" t="n"/>
      <c r="O1587" s="84">
        <f>IF(A1587="","",IF(OR(C1587="",D1587=""),"Enter both dates",IF(D1587&lt;C1587,"To is before From",IF(COUNTIFS($P$5:$P$2004,P1587,$C$5:$C$2004,"&lt;="&amp;D1587,$D$5:$D$2004,"&gt;="&amp;C1587)&gt;1,"Overlaps another row","OK"))))</f>
        <v/>
      </c>
      <c r="P1587">
        <f>IF(A1587="","",A1587&amp;"|"&amp;IF(B1587="","Standard",B1587))</f>
        <v/>
      </c>
      <c r="Q1587">
        <f>IF(AND(A1587&lt;&gt;"",A1587='Firm Search'!$C$7),COUNTIF($A$5:A1587,'Firm Search'!$C$7),"")</f>
        <v/>
      </c>
    </row>
    <row r="1588">
      <c r="A1588" s="64" t="n"/>
      <c r="B1588" s="64" t="n"/>
      <c r="C1588" s="66" t="n"/>
      <c r="D1588" s="66" t="n"/>
      <c r="E1588" s="67" t="n"/>
      <c r="F1588" s="67" t="n"/>
      <c r="G1588" s="67" t="n"/>
      <c r="H1588" s="67" t="n"/>
      <c r="I1588" s="67" t="n"/>
      <c r="J1588" s="67" t="n"/>
      <c r="K1588" s="67" t="n"/>
      <c r="L1588" s="67" t="n"/>
      <c r="M1588" s="64" t="n"/>
      <c r="N1588" s="66" t="n"/>
      <c r="O1588" s="84">
        <f>IF(A1588="","",IF(OR(C1588="",D1588=""),"Enter both dates",IF(D1588&lt;C1588,"To is before From",IF(COUNTIFS($P$5:$P$2004,P1588,$C$5:$C$2004,"&lt;="&amp;D1588,$D$5:$D$2004,"&gt;="&amp;C1588)&gt;1,"Overlaps another row","OK"))))</f>
        <v/>
      </c>
      <c r="P1588">
        <f>IF(A1588="","",A1588&amp;"|"&amp;IF(B1588="","Standard",B1588))</f>
        <v/>
      </c>
      <c r="Q1588">
        <f>IF(AND(A1588&lt;&gt;"",A1588='Firm Search'!$C$7),COUNTIF($A$5:A1588,'Firm Search'!$C$7),"")</f>
        <v/>
      </c>
    </row>
    <row r="1589">
      <c r="A1589" s="64" t="n"/>
      <c r="B1589" s="64" t="n"/>
      <c r="C1589" s="66" t="n"/>
      <c r="D1589" s="66" t="n"/>
      <c r="E1589" s="67" t="n"/>
      <c r="F1589" s="67" t="n"/>
      <c r="G1589" s="67" t="n"/>
      <c r="H1589" s="67" t="n"/>
      <c r="I1589" s="67" t="n"/>
      <c r="J1589" s="67" t="n"/>
      <c r="K1589" s="67" t="n"/>
      <c r="L1589" s="67" t="n"/>
      <c r="M1589" s="64" t="n"/>
      <c r="N1589" s="66" t="n"/>
      <c r="O1589" s="84">
        <f>IF(A1589="","",IF(OR(C1589="",D1589=""),"Enter both dates",IF(D1589&lt;C1589,"To is before From",IF(COUNTIFS($P$5:$P$2004,P1589,$C$5:$C$2004,"&lt;="&amp;D1589,$D$5:$D$2004,"&gt;="&amp;C1589)&gt;1,"Overlaps another row","OK"))))</f>
        <v/>
      </c>
      <c r="P1589">
        <f>IF(A1589="","",A1589&amp;"|"&amp;IF(B1589="","Standard",B1589))</f>
        <v/>
      </c>
      <c r="Q1589">
        <f>IF(AND(A1589&lt;&gt;"",A1589='Firm Search'!$C$7),COUNTIF($A$5:A1589,'Firm Search'!$C$7),"")</f>
        <v/>
      </c>
    </row>
    <row r="1590">
      <c r="A1590" s="64" t="n"/>
      <c r="B1590" s="64" t="n"/>
      <c r="C1590" s="66" t="n"/>
      <c r="D1590" s="66" t="n"/>
      <c r="E1590" s="67" t="n"/>
      <c r="F1590" s="67" t="n"/>
      <c r="G1590" s="67" t="n"/>
      <c r="H1590" s="67" t="n"/>
      <c r="I1590" s="67" t="n"/>
      <c r="J1590" s="67" t="n"/>
      <c r="K1590" s="67" t="n"/>
      <c r="L1590" s="67" t="n"/>
      <c r="M1590" s="64" t="n"/>
      <c r="N1590" s="66" t="n"/>
      <c r="O1590" s="84">
        <f>IF(A1590="","",IF(OR(C1590="",D1590=""),"Enter both dates",IF(D1590&lt;C1590,"To is before From",IF(COUNTIFS($P$5:$P$2004,P1590,$C$5:$C$2004,"&lt;="&amp;D1590,$D$5:$D$2004,"&gt;="&amp;C1590)&gt;1,"Overlaps another row","OK"))))</f>
        <v/>
      </c>
      <c r="P1590">
        <f>IF(A1590="","",A1590&amp;"|"&amp;IF(B1590="","Standard",B1590))</f>
        <v/>
      </c>
      <c r="Q1590">
        <f>IF(AND(A1590&lt;&gt;"",A1590='Firm Search'!$C$7),COUNTIF($A$5:A1590,'Firm Search'!$C$7),"")</f>
        <v/>
      </c>
    </row>
    <row r="1591">
      <c r="A1591" s="64" t="n"/>
      <c r="B1591" s="64" t="n"/>
      <c r="C1591" s="66" t="n"/>
      <c r="D1591" s="66" t="n"/>
      <c r="E1591" s="67" t="n"/>
      <c r="F1591" s="67" t="n"/>
      <c r="G1591" s="67" t="n"/>
      <c r="H1591" s="67" t="n"/>
      <c r="I1591" s="67" t="n"/>
      <c r="J1591" s="67" t="n"/>
      <c r="K1591" s="67" t="n"/>
      <c r="L1591" s="67" t="n"/>
      <c r="M1591" s="64" t="n"/>
      <c r="N1591" s="66" t="n"/>
      <c r="O1591" s="84">
        <f>IF(A1591="","",IF(OR(C1591="",D1591=""),"Enter both dates",IF(D1591&lt;C1591,"To is before From",IF(COUNTIFS($P$5:$P$2004,P1591,$C$5:$C$2004,"&lt;="&amp;D1591,$D$5:$D$2004,"&gt;="&amp;C1591)&gt;1,"Overlaps another row","OK"))))</f>
        <v/>
      </c>
      <c r="P1591">
        <f>IF(A1591="","",A1591&amp;"|"&amp;IF(B1591="","Standard",B1591))</f>
        <v/>
      </c>
      <c r="Q1591">
        <f>IF(AND(A1591&lt;&gt;"",A1591='Firm Search'!$C$7),COUNTIF($A$5:A1591,'Firm Search'!$C$7),"")</f>
        <v/>
      </c>
    </row>
    <row r="1592">
      <c r="A1592" s="64" t="n"/>
      <c r="B1592" s="64" t="n"/>
      <c r="C1592" s="66" t="n"/>
      <c r="D1592" s="66" t="n"/>
      <c r="E1592" s="67" t="n"/>
      <c r="F1592" s="67" t="n"/>
      <c r="G1592" s="67" t="n"/>
      <c r="H1592" s="67" t="n"/>
      <c r="I1592" s="67" t="n"/>
      <c r="J1592" s="67" t="n"/>
      <c r="K1592" s="67" t="n"/>
      <c r="L1592" s="67" t="n"/>
      <c r="M1592" s="64" t="n"/>
      <c r="N1592" s="66" t="n"/>
      <c r="O1592" s="84">
        <f>IF(A1592="","",IF(OR(C1592="",D1592=""),"Enter both dates",IF(D1592&lt;C1592,"To is before From",IF(COUNTIFS($P$5:$P$2004,P1592,$C$5:$C$2004,"&lt;="&amp;D1592,$D$5:$D$2004,"&gt;="&amp;C1592)&gt;1,"Overlaps another row","OK"))))</f>
        <v/>
      </c>
      <c r="P1592">
        <f>IF(A1592="","",A1592&amp;"|"&amp;IF(B1592="","Standard",B1592))</f>
        <v/>
      </c>
      <c r="Q1592">
        <f>IF(AND(A1592&lt;&gt;"",A1592='Firm Search'!$C$7),COUNTIF($A$5:A1592,'Firm Search'!$C$7),"")</f>
        <v/>
      </c>
    </row>
    <row r="1593">
      <c r="A1593" s="64" t="n"/>
      <c r="B1593" s="64" t="n"/>
      <c r="C1593" s="66" t="n"/>
      <c r="D1593" s="66" t="n"/>
      <c r="E1593" s="67" t="n"/>
      <c r="F1593" s="67" t="n"/>
      <c r="G1593" s="67" t="n"/>
      <c r="H1593" s="67" t="n"/>
      <c r="I1593" s="67" t="n"/>
      <c r="J1593" s="67" t="n"/>
      <c r="K1593" s="67" t="n"/>
      <c r="L1593" s="67" t="n"/>
      <c r="M1593" s="64" t="n"/>
      <c r="N1593" s="66" t="n"/>
      <c r="O1593" s="84">
        <f>IF(A1593="","",IF(OR(C1593="",D1593=""),"Enter both dates",IF(D1593&lt;C1593,"To is before From",IF(COUNTIFS($P$5:$P$2004,P1593,$C$5:$C$2004,"&lt;="&amp;D1593,$D$5:$D$2004,"&gt;="&amp;C1593)&gt;1,"Overlaps another row","OK"))))</f>
        <v/>
      </c>
      <c r="P1593">
        <f>IF(A1593="","",A1593&amp;"|"&amp;IF(B1593="","Standard",B1593))</f>
        <v/>
      </c>
      <c r="Q1593">
        <f>IF(AND(A1593&lt;&gt;"",A1593='Firm Search'!$C$7),COUNTIF($A$5:A1593,'Firm Search'!$C$7),"")</f>
        <v/>
      </c>
    </row>
    <row r="1594">
      <c r="A1594" s="64" t="n"/>
      <c r="B1594" s="64" t="n"/>
      <c r="C1594" s="66" t="n"/>
      <c r="D1594" s="66" t="n"/>
      <c r="E1594" s="67" t="n"/>
      <c r="F1594" s="67" t="n"/>
      <c r="G1594" s="67" t="n"/>
      <c r="H1594" s="67" t="n"/>
      <c r="I1594" s="67" t="n"/>
      <c r="J1594" s="67" t="n"/>
      <c r="K1594" s="67" t="n"/>
      <c r="L1594" s="67" t="n"/>
      <c r="M1594" s="64" t="n"/>
      <c r="N1594" s="66" t="n"/>
      <c r="O1594" s="84">
        <f>IF(A1594="","",IF(OR(C1594="",D1594=""),"Enter both dates",IF(D1594&lt;C1594,"To is before From",IF(COUNTIFS($P$5:$P$2004,P1594,$C$5:$C$2004,"&lt;="&amp;D1594,$D$5:$D$2004,"&gt;="&amp;C1594)&gt;1,"Overlaps another row","OK"))))</f>
        <v/>
      </c>
      <c r="P1594">
        <f>IF(A1594="","",A1594&amp;"|"&amp;IF(B1594="","Standard",B1594))</f>
        <v/>
      </c>
      <c r="Q1594">
        <f>IF(AND(A1594&lt;&gt;"",A1594='Firm Search'!$C$7),COUNTIF($A$5:A1594,'Firm Search'!$C$7),"")</f>
        <v/>
      </c>
    </row>
    <row r="1595">
      <c r="A1595" s="64" t="n"/>
      <c r="B1595" s="64" t="n"/>
      <c r="C1595" s="66" t="n"/>
      <c r="D1595" s="66" t="n"/>
      <c r="E1595" s="67" t="n"/>
      <c r="F1595" s="67" t="n"/>
      <c r="G1595" s="67" t="n"/>
      <c r="H1595" s="67" t="n"/>
      <c r="I1595" s="67" t="n"/>
      <c r="J1595" s="67" t="n"/>
      <c r="K1595" s="67" t="n"/>
      <c r="L1595" s="67" t="n"/>
      <c r="M1595" s="64" t="n"/>
      <c r="N1595" s="66" t="n"/>
      <c r="O1595" s="84">
        <f>IF(A1595="","",IF(OR(C1595="",D1595=""),"Enter both dates",IF(D1595&lt;C1595,"To is before From",IF(COUNTIFS($P$5:$P$2004,P1595,$C$5:$C$2004,"&lt;="&amp;D1595,$D$5:$D$2004,"&gt;="&amp;C1595)&gt;1,"Overlaps another row","OK"))))</f>
        <v/>
      </c>
      <c r="P1595">
        <f>IF(A1595="","",A1595&amp;"|"&amp;IF(B1595="","Standard",B1595))</f>
        <v/>
      </c>
      <c r="Q1595">
        <f>IF(AND(A1595&lt;&gt;"",A1595='Firm Search'!$C$7),COUNTIF($A$5:A1595,'Firm Search'!$C$7),"")</f>
        <v/>
      </c>
    </row>
    <row r="1596">
      <c r="A1596" s="64" t="n"/>
      <c r="B1596" s="64" t="n"/>
      <c r="C1596" s="66" t="n"/>
      <c r="D1596" s="66" t="n"/>
      <c r="E1596" s="67" t="n"/>
      <c r="F1596" s="67" t="n"/>
      <c r="G1596" s="67" t="n"/>
      <c r="H1596" s="67" t="n"/>
      <c r="I1596" s="67" t="n"/>
      <c r="J1596" s="67" t="n"/>
      <c r="K1596" s="67" t="n"/>
      <c r="L1596" s="67" t="n"/>
      <c r="M1596" s="64" t="n"/>
      <c r="N1596" s="66" t="n"/>
      <c r="O1596" s="84">
        <f>IF(A1596="","",IF(OR(C1596="",D1596=""),"Enter both dates",IF(D1596&lt;C1596,"To is before From",IF(COUNTIFS($P$5:$P$2004,P1596,$C$5:$C$2004,"&lt;="&amp;D1596,$D$5:$D$2004,"&gt;="&amp;C1596)&gt;1,"Overlaps another row","OK"))))</f>
        <v/>
      </c>
      <c r="P1596">
        <f>IF(A1596="","",A1596&amp;"|"&amp;IF(B1596="","Standard",B1596))</f>
        <v/>
      </c>
      <c r="Q1596">
        <f>IF(AND(A1596&lt;&gt;"",A1596='Firm Search'!$C$7),COUNTIF($A$5:A1596,'Firm Search'!$C$7),"")</f>
        <v/>
      </c>
    </row>
    <row r="1597">
      <c r="A1597" s="64" t="n"/>
      <c r="B1597" s="64" t="n"/>
      <c r="C1597" s="66" t="n"/>
      <c r="D1597" s="66" t="n"/>
      <c r="E1597" s="67" t="n"/>
      <c r="F1597" s="67" t="n"/>
      <c r="G1597" s="67" t="n"/>
      <c r="H1597" s="67" t="n"/>
      <c r="I1597" s="67" t="n"/>
      <c r="J1597" s="67" t="n"/>
      <c r="K1597" s="67" t="n"/>
      <c r="L1597" s="67" t="n"/>
      <c r="M1597" s="64" t="n"/>
      <c r="N1597" s="66" t="n"/>
      <c r="O1597" s="84">
        <f>IF(A1597="","",IF(OR(C1597="",D1597=""),"Enter both dates",IF(D1597&lt;C1597,"To is before From",IF(COUNTIFS($P$5:$P$2004,P1597,$C$5:$C$2004,"&lt;="&amp;D1597,$D$5:$D$2004,"&gt;="&amp;C1597)&gt;1,"Overlaps another row","OK"))))</f>
        <v/>
      </c>
      <c r="P1597">
        <f>IF(A1597="","",A1597&amp;"|"&amp;IF(B1597="","Standard",B1597))</f>
        <v/>
      </c>
      <c r="Q1597">
        <f>IF(AND(A1597&lt;&gt;"",A1597='Firm Search'!$C$7),COUNTIF($A$5:A1597,'Firm Search'!$C$7),"")</f>
        <v/>
      </c>
    </row>
    <row r="1598">
      <c r="A1598" s="64" t="n"/>
      <c r="B1598" s="64" t="n"/>
      <c r="C1598" s="66" t="n"/>
      <c r="D1598" s="66" t="n"/>
      <c r="E1598" s="67" t="n"/>
      <c r="F1598" s="67" t="n"/>
      <c r="G1598" s="67" t="n"/>
      <c r="H1598" s="67" t="n"/>
      <c r="I1598" s="67" t="n"/>
      <c r="J1598" s="67" t="n"/>
      <c r="K1598" s="67" t="n"/>
      <c r="L1598" s="67" t="n"/>
      <c r="M1598" s="64" t="n"/>
      <c r="N1598" s="66" t="n"/>
      <c r="O1598" s="84">
        <f>IF(A1598="","",IF(OR(C1598="",D1598=""),"Enter both dates",IF(D1598&lt;C1598,"To is before From",IF(COUNTIFS($P$5:$P$2004,P1598,$C$5:$C$2004,"&lt;="&amp;D1598,$D$5:$D$2004,"&gt;="&amp;C1598)&gt;1,"Overlaps another row","OK"))))</f>
        <v/>
      </c>
      <c r="P1598">
        <f>IF(A1598="","",A1598&amp;"|"&amp;IF(B1598="","Standard",B1598))</f>
        <v/>
      </c>
      <c r="Q1598">
        <f>IF(AND(A1598&lt;&gt;"",A1598='Firm Search'!$C$7),COUNTIF($A$5:A1598,'Firm Search'!$C$7),"")</f>
        <v/>
      </c>
    </row>
    <row r="1599">
      <c r="A1599" s="64" t="n"/>
      <c r="B1599" s="64" t="n"/>
      <c r="C1599" s="66" t="n"/>
      <c r="D1599" s="66" t="n"/>
      <c r="E1599" s="67" t="n"/>
      <c r="F1599" s="67" t="n"/>
      <c r="G1599" s="67" t="n"/>
      <c r="H1599" s="67" t="n"/>
      <c r="I1599" s="67" t="n"/>
      <c r="J1599" s="67" t="n"/>
      <c r="K1599" s="67" t="n"/>
      <c r="L1599" s="67" t="n"/>
      <c r="M1599" s="64" t="n"/>
      <c r="N1599" s="66" t="n"/>
      <c r="O1599" s="84">
        <f>IF(A1599="","",IF(OR(C1599="",D1599=""),"Enter both dates",IF(D1599&lt;C1599,"To is before From",IF(COUNTIFS($P$5:$P$2004,P1599,$C$5:$C$2004,"&lt;="&amp;D1599,$D$5:$D$2004,"&gt;="&amp;C1599)&gt;1,"Overlaps another row","OK"))))</f>
        <v/>
      </c>
      <c r="P1599">
        <f>IF(A1599="","",A1599&amp;"|"&amp;IF(B1599="","Standard",B1599))</f>
        <v/>
      </c>
      <c r="Q1599">
        <f>IF(AND(A1599&lt;&gt;"",A1599='Firm Search'!$C$7),COUNTIF($A$5:A1599,'Firm Search'!$C$7),"")</f>
        <v/>
      </c>
    </row>
    <row r="1600">
      <c r="A1600" s="64" t="n"/>
      <c r="B1600" s="64" t="n"/>
      <c r="C1600" s="66" t="n"/>
      <c r="D1600" s="66" t="n"/>
      <c r="E1600" s="67" t="n"/>
      <c r="F1600" s="67" t="n"/>
      <c r="G1600" s="67" t="n"/>
      <c r="H1600" s="67" t="n"/>
      <c r="I1600" s="67" t="n"/>
      <c r="J1600" s="67" t="n"/>
      <c r="K1600" s="67" t="n"/>
      <c r="L1600" s="67" t="n"/>
      <c r="M1600" s="64" t="n"/>
      <c r="N1600" s="66" t="n"/>
      <c r="O1600" s="84">
        <f>IF(A1600="","",IF(OR(C1600="",D1600=""),"Enter both dates",IF(D1600&lt;C1600,"To is before From",IF(COUNTIFS($P$5:$P$2004,P1600,$C$5:$C$2004,"&lt;="&amp;D1600,$D$5:$D$2004,"&gt;="&amp;C1600)&gt;1,"Overlaps another row","OK"))))</f>
        <v/>
      </c>
      <c r="P1600">
        <f>IF(A1600="","",A1600&amp;"|"&amp;IF(B1600="","Standard",B1600))</f>
        <v/>
      </c>
      <c r="Q1600">
        <f>IF(AND(A1600&lt;&gt;"",A1600='Firm Search'!$C$7),COUNTIF($A$5:A1600,'Firm Search'!$C$7),"")</f>
        <v/>
      </c>
    </row>
    <row r="1601">
      <c r="A1601" s="64" t="n"/>
      <c r="B1601" s="64" t="n"/>
      <c r="C1601" s="66" t="n"/>
      <c r="D1601" s="66" t="n"/>
      <c r="E1601" s="67" t="n"/>
      <c r="F1601" s="67" t="n"/>
      <c r="G1601" s="67" t="n"/>
      <c r="H1601" s="67" t="n"/>
      <c r="I1601" s="67" t="n"/>
      <c r="J1601" s="67" t="n"/>
      <c r="K1601" s="67" t="n"/>
      <c r="L1601" s="67" t="n"/>
      <c r="M1601" s="64" t="n"/>
      <c r="N1601" s="66" t="n"/>
      <c r="O1601" s="84">
        <f>IF(A1601="","",IF(OR(C1601="",D1601=""),"Enter both dates",IF(D1601&lt;C1601,"To is before From",IF(COUNTIFS($P$5:$P$2004,P1601,$C$5:$C$2004,"&lt;="&amp;D1601,$D$5:$D$2004,"&gt;="&amp;C1601)&gt;1,"Overlaps another row","OK"))))</f>
        <v/>
      </c>
      <c r="P1601">
        <f>IF(A1601="","",A1601&amp;"|"&amp;IF(B1601="","Standard",B1601))</f>
        <v/>
      </c>
      <c r="Q1601">
        <f>IF(AND(A1601&lt;&gt;"",A1601='Firm Search'!$C$7),COUNTIF($A$5:A1601,'Firm Search'!$C$7),"")</f>
        <v/>
      </c>
    </row>
    <row r="1602">
      <c r="A1602" s="64" t="n"/>
      <c r="B1602" s="64" t="n"/>
      <c r="C1602" s="66" t="n"/>
      <c r="D1602" s="66" t="n"/>
      <c r="E1602" s="67" t="n"/>
      <c r="F1602" s="67" t="n"/>
      <c r="G1602" s="67" t="n"/>
      <c r="H1602" s="67" t="n"/>
      <c r="I1602" s="67" t="n"/>
      <c r="J1602" s="67" t="n"/>
      <c r="K1602" s="67" t="n"/>
      <c r="L1602" s="67" t="n"/>
      <c r="M1602" s="64" t="n"/>
      <c r="N1602" s="66" t="n"/>
      <c r="O1602" s="84">
        <f>IF(A1602="","",IF(OR(C1602="",D1602=""),"Enter both dates",IF(D1602&lt;C1602,"To is before From",IF(COUNTIFS($P$5:$P$2004,P1602,$C$5:$C$2004,"&lt;="&amp;D1602,$D$5:$D$2004,"&gt;="&amp;C1602)&gt;1,"Overlaps another row","OK"))))</f>
        <v/>
      </c>
      <c r="P1602">
        <f>IF(A1602="","",A1602&amp;"|"&amp;IF(B1602="","Standard",B1602))</f>
        <v/>
      </c>
      <c r="Q1602">
        <f>IF(AND(A1602&lt;&gt;"",A1602='Firm Search'!$C$7),COUNTIF($A$5:A1602,'Firm Search'!$C$7),"")</f>
        <v/>
      </c>
    </row>
    <row r="1603">
      <c r="A1603" s="64" t="n"/>
      <c r="B1603" s="64" t="n"/>
      <c r="C1603" s="66" t="n"/>
      <c r="D1603" s="66" t="n"/>
      <c r="E1603" s="67" t="n"/>
      <c r="F1603" s="67" t="n"/>
      <c r="G1603" s="67" t="n"/>
      <c r="H1603" s="67" t="n"/>
      <c r="I1603" s="67" t="n"/>
      <c r="J1603" s="67" t="n"/>
      <c r="K1603" s="67" t="n"/>
      <c r="L1603" s="67" t="n"/>
      <c r="M1603" s="64" t="n"/>
      <c r="N1603" s="66" t="n"/>
      <c r="O1603" s="84">
        <f>IF(A1603="","",IF(OR(C1603="",D1603=""),"Enter both dates",IF(D1603&lt;C1603,"To is before From",IF(COUNTIFS($P$5:$P$2004,P1603,$C$5:$C$2004,"&lt;="&amp;D1603,$D$5:$D$2004,"&gt;="&amp;C1603)&gt;1,"Overlaps another row","OK"))))</f>
        <v/>
      </c>
      <c r="P1603">
        <f>IF(A1603="","",A1603&amp;"|"&amp;IF(B1603="","Standard",B1603))</f>
        <v/>
      </c>
      <c r="Q1603">
        <f>IF(AND(A1603&lt;&gt;"",A1603='Firm Search'!$C$7),COUNTIF($A$5:A1603,'Firm Search'!$C$7),"")</f>
        <v/>
      </c>
    </row>
    <row r="1604">
      <c r="A1604" s="64" t="n"/>
      <c r="B1604" s="64" t="n"/>
      <c r="C1604" s="66" t="n"/>
      <c r="D1604" s="66" t="n"/>
      <c r="E1604" s="67" t="n"/>
      <c r="F1604" s="67" t="n"/>
      <c r="G1604" s="67" t="n"/>
      <c r="H1604" s="67" t="n"/>
      <c r="I1604" s="67" t="n"/>
      <c r="J1604" s="67" t="n"/>
      <c r="K1604" s="67" t="n"/>
      <c r="L1604" s="67" t="n"/>
      <c r="M1604" s="64" t="n"/>
      <c r="N1604" s="66" t="n"/>
      <c r="O1604" s="84">
        <f>IF(A1604="","",IF(OR(C1604="",D1604=""),"Enter both dates",IF(D1604&lt;C1604,"To is before From",IF(COUNTIFS($P$5:$P$2004,P1604,$C$5:$C$2004,"&lt;="&amp;D1604,$D$5:$D$2004,"&gt;="&amp;C1604)&gt;1,"Overlaps another row","OK"))))</f>
        <v/>
      </c>
      <c r="P1604">
        <f>IF(A1604="","",A1604&amp;"|"&amp;IF(B1604="","Standard",B1604))</f>
        <v/>
      </c>
      <c r="Q1604">
        <f>IF(AND(A1604&lt;&gt;"",A1604='Firm Search'!$C$7),COUNTIF($A$5:A1604,'Firm Search'!$C$7),"")</f>
        <v/>
      </c>
    </row>
    <row r="1605">
      <c r="A1605" s="64" t="n"/>
      <c r="B1605" s="64" t="n"/>
      <c r="C1605" s="66" t="n"/>
      <c r="D1605" s="66" t="n"/>
      <c r="E1605" s="67" t="n"/>
      <c r="F1605" s="67" t="n"/>
      <c r="G1605" s="67" t="n"/>
      <c r="H1605" s="67" t="n"/>
      <c r="I1605" s="67" t="n"/>
      <c r="J1605" s="67" t="n"/>
      <c r="K1605" s="67" t="n"/>
      <c r="L1605" s="67" t="n"/>
      <c r="M1605" s="64" t="n"/>
      <c r="N1605" s="66" t="n"/>
      <c r="O1605" s="84">
        <f>IF(A1605="","",IF(OR(C1605="",D1605=""),"Enter both dates",IF(D1605&lt;C1605,"To is before From",IF(COUNTIFS($P$5:$P$2004,P1605,$C$5:$C$2004,"&lt;="&amp;D1605,$D$5:$D$2004,"&gt;="&amp;C1605)&gt;1,"Overlaps another row","OK"))))</f>
        <v/>
      </c>
      <c r="P1605">
        <f>IF(A1605="","",A1605&amp;"|"&amp;IF(B1605="","Standard",B1605))</f>
        <v/>
      </c>
      <c r="Q1605">
        <f>IF(AND(A1605&lt;&gt;"",A1605='Firm Search'!$C$7),COUNTIF($A$5:A1605,'Firm Search'!$C$7),"")</f>
        <v/>
      </c>
    </row>
    <row r="1606">
      <c r="A1606" s="64" t="n"/>
      <c r="B1606" s="64" t="n"/>
      <c r="C1606" s="66" t="n"/>
      <c r="D1606" s="66" t="n"/>
      <c r="E1606" s="67" t="n"/>
      <c r="F1606" s="67" t="n"/>
      <c r="G1606" s="67" t="n"/>
      <c r="H1606" s="67" t="n"/>
      <c r="I1606" s="67" t="n"/>
      <c r="J1606" s="67" t="n"/>
      <c r="K1606" s="67" t="n"/>
      <c r="L1606" s="67" t="n"/>
      <c r="M1606" s="64" t="n"/>
      <c r="N1606" s="66" t="n"/>
      <c r="O1606" s="84">
        <f>IF(A1606="","",IF(OR(C1606="",D1606=""),"Enter both dates",IF(D1606&lt;C1606,"To is before From",IF(COUNTIFS($P$5:$P$2004,P1606,$C$5:$C$2004,"&lt;="&amp;D1606,$D$5:$D$2004,"&gt;="&amp;C1606)&gt;1,"Overlaps another row","OK"))))</f>
        <v/>
      </c>
      <c r="P1606">
        <f>IF(A1606="","",A1606&amp;"|"&amp;IF(B1606="","Standard",B1606))</f>
        <v/>
      </c>
      <c r="Q1606">
        <f>IF(AND(A1606&lt;&gt;"",A1606='Firm Search'!$C$7),COUNTIF($A$5:A1606,'Firm Search'!$C$7),"")</f>
        <v/>
      </c>
    </row>
    <row r="1607">
      <c r="A1607" s="64" t="n"/>
      <c r="B1607" s="64" t="n"/>
      <c r="C1607" s="66" t="n"/>
      <c r="D1607" s="66" t="n"/>
      <c r="E1607" s="67" t="n"/>
      <c r="F1607" s="67" t="n"/>
      <c r="G1607" s="67" t="n"/>
      <c r="H1607" s="67" t="n"/>
      <c r="I1607" s="67" t="n"/>
      <c r="J1607" s="67" t="n"/>
      <c r="K1607" s="67" t="n"/>
      <c r="L1607" s="67" t="n"/>
      <c r="M1607" s="64" t="n"/>
      <c r="N1607" s="66" t="n"/>
      <c r="O1607" s="84">
        <f>IF(A1607="","",IF(OR(C1607="",D1607=""),"Enter both dates",IF(D1607&lt;C1607,"To is before From",IF(COUNTIFS($P$5:$P$2004,P1607,$C$5:$C$2004,"&lt;="&amp;D1607,$D$5:$D$2004,"&gt;="&amp;C1607)&gt;1,"Overlaps another row","OK"))))</f>
        <v/>
      </c>
      <c r="P1607">
        <f>IF(A1607="","",A1607&amp;"|"&amp;IF(B1607="","Standard",B1607))</f>
        <v/>
      </c>
      <c r="Q1607">
        <f>IF(AND(A1607&lt;&gt;"",A1607='Firm Search'!$C$7),COUNTIF($A$5:A1607,'Firm Search'!$C$7),"")</f>
        <v/>
      </c>
    </row>
    <row r="1608">
      <c r="A1608" s="64" t="n"/>
      <c r="B1608" s="64" t="n"/>
      <c r="C1608" s="66" t="n"/>
      <c r="D1608" s="66" t="n"/>
      <c r="E1608" s="67" t="n"/>
      <c r="F1608" s="67" t="n"/>
      <c r="G1608" s="67" t="n"/>
      <c r="H1608" s="67" t="n"/>
      <c r="I1608" s="67" t="n"/>
      <c r="J1608" s="67" t="n"/>
      <c r="K1608" s="67" t="n"/>
      <c r="L1608" s="67" t="n"/>
      <c r="M1608" s="64" t="n"/>
      <c r="N1608" s="66" t="n"/>
      <c r="O1608" s="84">
        <f>IF(A1608="","",IF(OR(C1608="",D1608=""),"Enter both dates",IF(D1608&lt;C1608,"To is before From",IF(COUNTIFS($P$5:$P$2004,P1608,$C$5:$C$2004,"&lt;="&amp;D1608,$D$5:$D$2004,"&gt;="&amp;C1608)&gt;1,"Overlaps another row","OK"))))</f>
        <v/>
      </c>
      <c r="P1608">
        <f>IF(A1608="","",A1608&amp;"|"&amp;IF(B1608="","Standard",B1608))</f>
        <v/>
      </c>
      <c r="Q1608">
        <f>IF(AND(A1608&lt;&gt;"",A1608='Firm Search'!$C$7),COUNTIF($A$5:A1608,'Firm Search'!$C$7),"")</f>
        <v/>
      </c>
    </row>
    <row r="1609">
      <c r="A1609" s="64" t="n"/>
      <c r="B1609" s="64" t="n"/>
      <c r="C1609" s="66" t="n"/>
      <c r="D1609" s="66" t="n"/>
      <c r="E1609" s="67" t="n"/>
      <c r="F1609" s="67" t="n"/>
      <c r="G1609" s="67" t="n"/>
      <c r="H1609" s="67" t="n"/>
      <c r="I1609" s="67" t="n"/>
      <c r="J1609" s="67" t="n"/>
      <c r="K1609" s="67" t="n"/>
      <c r="L1609" s="67" t="n"/>
      <c r="M1609" s="64" t="n"/>
      <c r="N1609" s="66" t="n"/>
      <c r="O1609" s="84">
        <f>IF(A1609="","",IF(OR(C1609="",D1609=""),"Enter both dates",IF(D1609&lt;C1609,"To is before From",IF(COUNTIFS($P$5:$P$2004,P1609,$C$5:$C$2004,"&lt;="&amp;D1609,$D$5:$D$2004,"&gt;="&amp;C1609)&gt;1,"Overlaps another row","OK"))))</f>
        <v/>
      </c>
      <c r="P1609">
        <f>IF(A1609="","",A1609&amp;"|"&amp;IF(B1609="","Standard",B1609))</f>
        <v/>
      </c>
      <c r="Q1609">
        <f>IF(AND(A1609&lt;&gt;"",A1609='Firm Search'!$C$7),COUNTIF($A$5:A1609,'Firm Search'!$C$7),"")</f>
        <v/>
      </c>
    </row>
    <row r="1610">
      <c r="A1610" s="64" t="n"/>
      <c r="B1610" s="64" t="n"/>
      <c r="C1610" s="66" t="n"/>
      <c r="D1610" s="66" t="n"/>
      <c r="E1610" s="67" t="n"/>
      <c r="F1610" s="67" t="n"/>
      <c r="G1610" s="67" t="n"/>
      <c r="H1610" s="67" t="n"/>
      <c r="I1610" s="67" t="n"/>
      <c r="J1610" s="67" t="n"/>
      <c r="K1610" s="67" t="n"/>
      <c r="L1610" s="67" t="n"/>
      <c r="M1610" s="64" t="n"/>
      <c r="N1610" s="66" t="n"/>
      <c r="O1610" s="84">
        <f>IF(A1610="","",IF(OR(C1610="",D1610=""),"Enter both dates",IF(D1610&lt;C1610,"To is before From",IF(COUNTIFS($P$5:$P$2004,P1610,$C$5:$C$2004,"&lt;="&amp;D1610,$D$5:$D$2004,"&gt;="&amp;C1610)&gt;1,"Overlaps another row","OK"))))</f>
        <v/>
      </c>
      <c r="P1610">
        <f>IF(A1610="","",A1610&amp;"|"&amp;IF(B1610="","Standard",B1610))</f>
        <v/>
      </c>
      <c r="Q1610">
        <f>IF(AND(A1610&lt;&gt;"",A1610='Firm Search'!$C$7),COUNTIF($A$5:A1610,'Firm Search'!$C$7),"")</f>
        <v/>
      </c>
    </row>
    <row r="1611">
      <c r="A1611" s="64" t="n"/>
      <c r="B1611" s="64" t="n"/>
      <c r="C1611" s="66" t="n"/>
      <c r="D1611" s="66" t="n"/>
      <c r="E1611" s="67" t="n"/>
      <c r="F1611" s="67" t="n"/>
      <c r="G1611" s="67" t="n"/>
      <c r="H1611" s="67" t="n"/>
      <c r="I1611" s="67" t="n"/>
      <c r="J1611" s="67" t="n"/>
      <c r="K1611" s="67" t="n"/>
      <c r="L1611" s="67" t="n"/>
      <c r="M1611" s="64" t="n"/>
      <c r="N1611" s="66" t="n"/>
      <c r="O1611" s="84">
        <f>IF(A1611="","",IF(OR(C1611="",D1611=""),"Enter both dates",IF(D1611&lt;C1611,"To is before From",IF(COUNTIFS($P$5:$P$2004,P1611,$C$5:$C$2004,"&lt;="&amp;D1611,$D$5:$D$2004,"&gt;="&amp;C1611)&gt;1,"Overlaps another row","OK"))))</f>
        <v/>
      </c>
      <c r="P1611">
        <f>IF(A1611="","",A1611&amp;"|"&amp;IF(B1611="","Standard",B1611))</f>
        <v/>
      </c>
      <c r="Q1611">
        <f>IF(AND(A1611&lt;&gt;"",A1611='Firm Search'!$C$7),COUNTIF($A$5:A1611,'Firm Search'!$C$7),"")</f>
        <v/>
      </c>
    </row>
    <row r="1612">
      <c r="A1612" s="64" t="n"/>
      <c r="B1612" s="64" t="n"/>
      <c r="C1612" s="66" t="n"/>
      <c r="D1612" s="66" t="n"/>
      <c r="E1612" s="67" t="n"/>
      <c r="F1612" s="67" t="n"/>
      <c r="G1612" s="67" t="n"/>
      <c r="H1612" s="67" t="n"/>
      <c r="I1612" s="67" t="n"/>
      <c r="J1612" s="67" t="n"/>
      <c r="K1612" s="67" t="n"/>
      <c r="L1612" s="67" t="n"/>
      <c r="M1612" s="64" t="n"/>
      <c r="N1612" s="66" t="n"/>
      <c r="O1612" s="84">
        <f>IF(A1612="","",IF(OR(C1612="",D1612=""),"Enter both dates",IF(D1612&lt;C1612,"To is before From",IF(COUNTIFS($P$5:$P$2004,P1612,$C$5:$C$2004,"&lt;="&amp;D1612,$D$5:$D$2004,"&gt;="&amp;C1612)&gt;1,"Overlaps another row","OK"))))</f>
        <v/>
      </c>
      <c r="P1612">
        <f>IF(A1612="","",A1612&amp;"|"&amp;IF(B1612="","Standard",B1612))</f>
        <v/>
      </c>
      <c r="Q1612">
        <f>IF(AND(A1612&lt;&gt;"",A1612='Firm Search'!$C$7),COUNTIF($A$5:A1612,'Firm Search'!$C$7),"")</f>
        <v/>
      </c>
    </row>
    <row r="1613">
      <c r="A1613" s="64" t="n"/>
      <c r="B1613" s="64" t="n"/>
      <c r="C1613" s="66" t="n"/>
      <c r="D1613" s="66" t="n"/>
      <c r="E1613" s="67" t="n"/>
      <c r="F1613" s="67" t="n"/>
      <c r="G1613" s="67" t="n"/>
      <c r="H1613" s="67" t="n"/>
      <c r="I1613" s="67" t="n"/>
      <c r="J1613" s="67" t="n"/>
      <c r="K1613" s="67" t="n"/>
      <c r="L1613" s="67" t="n"/>
      <c r="M1613" s="64" t="n"/>
      <c r="N1613" s="66" t="n"/>
      <c r="O1613" s="84">
        <f>IF(A1613="","",IF(OR(C1613="",D1613=""),"Enter both dates",IF(D1613&lt;C1613,"To is before From",IF(COUNTIFS($P$5:$P$2004,P1613,$C$5:$C$2004,"&lt;="&amp;D1613,$D$5:$D$2004,"&gt;="&amp;C1613)&gt;1,"Overlaps another row","OK"))))</f>
        <v/>
      </c>
      <c r="P1613">
        <f>IF(A1613="","",A1613&amp;"|"&amp;IF(B1613="","Standard",B1613))</f>
        <v/>
      </c>
      <c r="Q1613">
        <f>IF(AND(A1613&lt;&gt;"",A1613='Firm Search'!$C$7),COUNTIF($A$5:A1613,'Firm Search'!$C$7),"")</f>
        <v/>
      </c>
    </row>
    <row r="1614">
      <c r="A1614" s="64" t="n"/>
      <c r="B1614" s="64" t="n"/>
      <c r="C1614" s="66" t="n"/>
      <c r="D1614" s="66" t="n"/>
      <c r="E1614" s="67" t="n"/>
      <c r="F1614" s="67" t="n"/>
      <c r="G1614" s="67" t="n"/>
      <c r="H1614" s="67" t="n"/>
      <c r="I1614" s="67" t="n"/>
      <c r="J1614" s="67" t="n"/>
      <c r="K1614" s="67" t="n"/>
      <c r="L1614" s="67" t="n"/>
      <c r="M1614" s="64" t="n"/>
      <c r="N1614" s="66" t="n"/>
      <c r="O1614" s="84">
        <f>IF(A1614="","",IF(OR(C1614="",D1614=""),"Enter both dates",IF(D1614&lt;C1614,"To is before From",IF(COUNTIFS($P$5:$P$2004,P1614,$C$5:$C$2004,"&lt;="&amp;D1614,$D$5:$D$2004,"&gt;="&amp;C1614)&gt;1,"Overlaps another row","OK"))))</f>
        <v/>
      </c>
      <c r="P1614">
        <f>IF(A1614="","",A1614&amp;"|"&amp;IF(B1614="","Standard",B1614))</f>
        <v/>
      </c>
      <c r="Q1614">
        <f>IF(AND(A1614&lt;&gt;"",A1614='Firm Search'!$C$7),COUNTIF($A$5:A1614,'Firm Search'!$C$7),"")</f>
        <v/>
      </c>
    </row>
    <row r="1615">
      <c r="A1615" s="64" t="n"/>
      <c r="B1615" s="64" t="n"/>
      <c r="C1615" s="66" t="n"/>
      <c r="D1615" s="66" t="n"/>
      <c r="E1615" s="67" t="n"/>
      <c r="F1615" s="67" t="n"/>
      <c r="G1615" s="67" t="n"/>
      <c r="H1615" s="67" t="n"/>
      <c r="I1615" s="67" t="n"/>
      <c r="J1615" s="67" t="n"/>
      <c r="K1615" s="67" t="n"/>
      <c r="L1615" s="67" t="n"/>
      <c r="M1615" s="64" t="n"/>
      <c r="N1615" s="66" t="n"/>
      <c r="O1615" s="84">
        <f>IF(A1615="","",IF(OR(C1615="",D1615=""),"Enter both dates",IF(D1615&lt;C1615,"To is before From",IF(COUNTIFS($P$5:$P$2004,P1615,$C$5:$C$2004,"&lt;="&amp;D1615,$D$5:$D$2004,"&gt;="&amp;C1615)&gt;1,"Overlaps another row","OK"))))</f>
        <v/>
      </c>
      <c r="P1615">
        <f>IF(A1615="","",A1615&amp;"|"&amp;IF(B1615="","Standard",B1615))</f>
        <v/>
      </c>
      <c r="Q1615">
        <f>IF(AND(A1615&lt;&gt;"",A1615='Firm Search'!$C$7),COUNTIF($A$5:A1615,'Firm Search'!$C$7),"")</f>
        <v/>
      </c>
    </row>
    <row r="1616">
      <c r="A1616" s="64" t="n"/>
      <c r="B1616" s="64" t="n"/>
      <c r="C1616" s="66" t="n"/>
      <c r="D1616" s="66" t="n"/>
      <c r="E1616" s="67" t="n"/>
      <c r="F1616" s="67" t="n"/>
      <c r="G1616" s="67" t="n"/>
      <c r="H1616" s="67" t="n"/>
      <c r="I1616" s="67" t="n"/>
      <c r="J1616" s="67" t="n"/>
      <c r="K1616" s="67" t="n"/>
      <c r="L1616" s="67" t="n"/>
      <c r="M1616" s="64" t="n"/>
      <c r="N1616" s="66" t="n"/>
      <c r="O1616" s="84">
        <f>IF(A1616="","",IF(OR(C1616="",D1616=""),"Enter both dates",IF(D1616&lt;C1616,"To is before From",IF(COUNTIFS($P$5:$P$2004,P1616,$C$5:$C$2004,"&lt;="&amp;D1616,$D$5:$D$2004,"&gt;="&amp;C1616)&gt;1,"Overlaps another row","OK"))))</f>
        <v/>
      </c>
      <c r="P1616">
        <f>IF(A1616="","",A1616&amp;"|"&amp;IF(B1616="","Standard",B1616))</f>
        <v/>
      </c>
      <c r="Q1616">
        <f>IF(AND(A1616&lt;&gt;"",A1616='Firm Search'!$C$7),COUNTIF($A$5:A1616,'Firm Search'!$C$7),"")</f>
        <v/>
      </c>
    </row>
    <row r="1617">
      <c r="A1617" s="64" t="n"/>
      <c r="B1617" s="64" t="n"/>
      <c r="C1617" s="66" t="n"/>
      <c r="D1617" s="66" t="n"/>
      <c r="E1617" s="67" t="n"/>
      <c r="F1617" s="67" t="n"/>
      <c r="G1617" s="67" t="n"/>
      <c r="H1617" s="67" t="n"/>
      <c r="I1617" s="67" t="n"/>
      <c r="J1617" s="67" t="n"/>
      <c r="K1617" s="67" t="n"/>
      <c r="L1617" s="67" t="n"/>
      <c r="M1617" s="64" t="n"/>
      <c r="N1617" s="66" t="n"/>
      <c r="O1617" s="84">
        <f>IF(A1617="","",IF(OR(C1617="",D1617=""),"Enter both dates",IF(D1617&lt;C1617,"To is before From",IF(COUNTIFS($P$5:$P$2004,P1617,$C$5:$C$2004,"&lt;="&amp;D1617,$D$5:$D$2004,"&gt;="&amp;C1617)&gt;1,"Overlaps another row","OK"))))</f>
        <v/>
      </c>
      <c r="P1617">
        <f>IF(A1617="","",A1617&amp;"|"&amp;IF(B1617="","Standard",B1617))</f>
        <v/>
      </c>
      <c r="Q1617">
        <f>IF(AND(A1617&lt;&gt;"",A1617='Firm Search'!$C$7),COUNTIF($A$5:A1617,'Firm Search'!$C$7),"")</f>
        <v/>
      </c>
    </row>
    <row r="1618">
      <c r="A1618" s="64" t="n"/>
      <c r="B1618" s="64" t="n"/>
      <c r="C1618" s="66" t="n"/>
      <c r="D1618" s="66" t="n"/>
      <c r="E1618" s="67" t="n"/>
      <c r="F1618" s="67" t="n"/>
      <c r="G1618" s="67" t="n"/>
      <c r="H1618" s="67" t="n"/>
      <c r="I1618" s="67" t="n"/>
      <c r="J1618" s="67" t="n"/>
      <c r="K1618" s="67" t="n"/>
      <c r="L1618" s="67" t="n"/>
      <c r="M1618" s="64" t="n"/>
      <c r="N1618" s="66" t="n"/>
      <c r="O1618" s="84">
        <f>IF(A1618="","",IF(OR(C1618="",D1618=""),"Enter both dates",IF(D1618&lt;C1618,"To is before From",IF(COUNTIFS($P$5:$P$2004,P1618,$C$5:$C$2004,"&lt;="&amp;D1618,$D$5:$D$2004,"&gt;="&amp;C1618)&gt;1,"Overlaps another row","OK"))))</f>
        <v/>
      </c>
      <c r="P1618">
        <f>IF(A1618="","",A1618&amp;"|"&amp;IF(B1618="","Standard",B1618))</f>
        <v/>
      </c>
      <c r="Q1618">
        <f>IF(AND(A1618&lt;&gt;"",A1618='Firm Search'!$C$7),COUNTIF($A$5:A1618,'Firm Search'!$C$7),"")</f>
        <v/>
      </c>
    </row>
    <row r="1619">
      <c r="A1619" s="64" t="n"/>
      <c r="B1619" s="64" t="n"/>
      <c r="C1619" s="66" t="n"/>
      <c r="D1619" s="66" t="n"/>
      <c r="E1619" s="67" t="n"/>
      <c r="F1619" s="67" t="n"/>
      <c r="G1619" s="67" t="n"/>
      <c r="H1619" s="67" t="n"/>
      <c r="I1619" s="67" t="n"/>
      <c r="J1619" s="67" t="n"/>
      <c r="K1619" s="67" t="n"/>
      <c r="L1619" s="67" t="n"/>
      <c r="M1619" s="64" t="n"/>
      <c r="N1619" s="66" t="n"/>
      <c r="O1619" s="84">
        <f>IF(A1619="","",IF(OR(C1619="",D1619=""),"Enter both dates",IF(D1619&lt;C1619,"To is before From",IF(COUNTIFS($P$5:$P$2004,P1619,$C$5:$C$2004,"&lt;="&amp;D1619,$D$5:$D$2004,"&gt;="&amp;C1619)&gt;1,"Overlaps another row","OK"))))</f>
        <v/>
      </c>
      <c r="P1619">
        <f>IF(A1619="","",A1619&amp;"|"&amp;IF(B1619="","Standard",B1619))</f>
        <v/>
      </c>
      <c r="Q1619">
        <f>IF(AND(A1619&lt;&gt;"",A1619='Firm Search'!$C$7),COUNTIF($A$5:A1619,'Firm Search'!$C$7),"")</f>
        <v/>
      </c>
    </row>
    <row r="1620">
      <c r="A1620" s="64" t="n"/>
      <c r="B1620" s="64" t="n"/>
      <c r="C1620" s="66" t="n"/>
      <c r="D1620" s="66" t="n"/>
      <c r="E1620" s="67" t="n"/>
      <c r="F1620" s="67" t="n"/>
      <c r="G1620" s="67" t="n"/>
      <c r="H1620" s="67" t="n"/>
      <c r="I1620" s="67" t="n"/>
      <c r="J1620" s="67" t="n"/>
      <c r="K1620" s="67" t="n"/>
      <c r="L1620" s="67" t="n"/>
      <c r="M1620" s="64" t="n"/>
      <c r="N1620" s="66" t="n"/>
      <c r="O1620" s="84">
        <f>IF(A1620="","",IF(OR(C1620="",D1620=""),"Enter both dates",IF(D1620&lt;C1620,"To is before From",IF(COUNTIFS($P$5:$P$2004,P1620,$C$5:$C$2004,"&lt;="&amp;D1620,$D$5:$D$2004,"&gt;="&amp;C1620)&gt;1,"Overlaps another row","OK"))))</f>
        <v/>
      </c>
      <c r="P1620">
        <f>IF(A1620="","",A1620&amp;"|"&amp;IF(B1620="","Standard",B1620))</f>
        <v/>
      </c>
      <c r="Q1620">
        <f>IF(AND(A1620&lt;&gt;"",A1620='Firm Search'!$C$7),COUNTIF($A$5:A1620,'Firm Search'!$C$7),"")</f>
        <v/>
      </c>
    </row>
    <row r="1621">
      <c r="A1621" s="64" t="n"/>
      <c r="B1621" s="64" t="n"/>
      <c r="C1621" s="66" t="n"/>
      <c r="D1621" s="66" t="n"/>
      <c r="E1621" s="67" t="n"/>
      <c r="F1621" s="67" t="n"/>
      <c r="G1621" s="67" t="n"/>
      <c r="H1621" s="67" t="n"/>
      <c r="I1621" s="67" t="n"/>
      <c r="J1621" s="67" t="n"/>
      <c r="K1621" s="67" t="n"/>
      <c r="L1621" s="67" t="n"/>
      <c r="M1621" s="64" t="n"/>
      <c r="N1621" s="66" t="n"/>
      <c r="O1621" s="84">
        <f>IF(A1621="","",IF(OR(C1621="",D1621=""),"Enter both dates",IF(D1621&lt;C1621,"To is before From",IF(COUNTIFS($P$5:$P$2004,P1621,$C$5:$C$2004,"&lt;="&amp;D1621,$D$5:$D$2004,"&gt;="&amp;C1621)&gt;1,"Overlaps another row","OK"))))</f>
        <v/>
      </c>
      <c r="P1621">
        <f>IF(A1621="","",A1621&amp;"|"&amp;IF(B1621="","Standard",B1621))</f>
        <v/>
      </c>
      <c r="Q1621">
        <f>IF(AND(A1621&lt;&gt;"",A1621='Firm Search'!$C$7),COUNTIF($A$5:A1621,'Firm Search'!$C$7),"")</f>
        <v/>
      </c>
    </row>
    <row r="1622">
      <c r="A1622" s="64" t="n"/>
      <c r="B1622" s="64" t="n"/>
      <c r="C1622" s="66" t="n"/>
      <c r="D1622" s="66" t="n"/>
      <c r="E1622" s="67" t="n"/>
      <c r="F1622" s="67" t="n"/>
      <c r="G1622" s="67" t="n"/>
      <c r="H1622" s="67" t="n"/>
      <c r="I1622" s="67" t="n"/>
      <c r="J1622" s="67" t="n"/>
      <c r="K1622" s="67" t="n"/>
      <c r="L1622" s="67" t="n"/>
      <c r="M1622" s="64" t="n"/>
      <c r="N1622" s="66" t="n"/>
      <c r="O1622" s="84">
        <f>IF(A1622="","",IF(OR(C1622="",D1622=""),"Enter both dates",IF(D1622&lt;C1622,"To is before From",IF(COUNTIFS($P$5:$P$2004,P1622,$C$5:$C$2004,"&lt;="&amp;D1622,$D$5:$D$2004,"&gt;="&amp;C1622)&gt;1,"Overlaps another row","OK"))))</f>
        <v/>
      </c>
      <c r="P1622">
        <f>IF(A1622="","",A1622&amp;"|"&amp;IF(B1622="","Standard",B1622))</f>
        <v/>
      </c>
      <c r="Q1622">
        <f>IF(AND(A1622&lt;&gt;"",A1622='Firm Search'!$C$7),COUNTIF($A$5:A1622,'Firm Search'!$C$7),"")</f>
        <v/>
      </c>
    </row>
    <row r="1623">
      <c r="A1623" s="64" t="n"/>
      <c r="B1623" s="64" t="n"/>
      <c r="C1623" s="66" t="n"/>
      <c r="D1623" s="66" t="n"/>
      <c r="E1623" s="67" t="n"/>
      <c r="F1623" s="67" t="n"/>
      <c r="G1623" s="67" t="n"/>
      <c r="H1623" s="67" t="n"/>
      <c r="I1623" s="67" t="n"/>
      <c r="J1623" s="67" t="n"/>
      <c r="K1623" s="67" t="n"/>
      <c r="L1623" s="67" t="n"/>
      <c r="M1623" s="64" t="n"/>
      <c r="N1623" s="66" t="n"/>
      <c r="O1623" s="84">
        <f>IF(A1623="","",IF(OR(C1623="",D1623=""),"Enter both dates",IF(D1623&lt;C1623,"To is before From",IF(COUNTIFS($P$5:$P$2004,P1623,$C$5:$C$2004,"&lt;="&amp;D1623,$D$5:$D$2004,"&gt;="&amp;C1623)&gt;1,"Overlaps another row","OK"))))</f>
        <v/>
      </c>
      <c r="P1623">
        <f>IF(A1623="","",A1623&amp;"|"&amp;IF(B1623="","Standard",B1623))</f>
        <v/>
      </c>
      <c r="Q1623">
        <f>IF(AND(A1623&lt;&gt;"",A1623='Firm Search'!$C$7),COUNTIF($A$5:A1623,'Firm Search'!$C$7),"")</f>
        <v/>
      </c>
    </row>
    <row r="1624">
      <c r="A1624" s="64" t="n"/>
      <c r="B1624" s="64" t="n"/>
      <c r="C1624" s="66" t="n"/>
      <c r="D1624" s="66" t="n"/>
      <c r="E1624" s="67" t="n"/>
      <c r="F1624" s="67" t="n"/>
      <c r="G1624" s="67" t="n"/>
      <c r="H1624" s="67" t="n"/>
      <c r="I1624" s="67" t="n"/>
      <c r="J1624" s="67" t="n"/>
      <c r="K1624" s="67" t="n"/>
      <c r="L1624" s="67" t="n"/>
      <c r="M1624" s="64" t="n"/>
      <c r="N1624" s="66" t="n"/>
      <c r="O1624" s="84">
        <f>IF(A1624="","",IF(OR(C1624="",D1624=""),"Enter both dates",IF(D1624&lt;C1624,"To is before From",IF(COUNTIFS($P$5:$P$2004,P1624,$C$5:$C$2004,"&lt;="&amp;D1624,$D$5:$D$2004,"&gt;="&amp;C1624)&gt;1,"Overlaps another row","OK"))))</f>
        <v/>
      </c>
      <c r="P1624">
        <f>IF(A1624="","",A1624&amp;"|"&amp;IF(B1624="","Standard",B1624))</f>
        <v/>
      </c>
      <c r="Q1624">
        <f>IF(AND(A1624&lt;&gt;"",A1624='Firm Search'!$C$7),COUNTIF($A$5:A1624,'Firm Search'!$C$7),"")</f>
        <v/>
      </c>
    </row>
    <row r="1625">
      <c r="A1625" s="64" t="n"/>
      <c r="B1625" s="64" t="n"/>
      <c r="C1625" s="66" t="n"/>
      <c r="D1625" s="66" t="n"/>
      <c r="E1625" s="67" t="n"/>
      <c r="F1625" s="67" t="n"/>
      <c r="G1625" s="67" t="n"/>
      <c r="H1625" s="67" t="n"/>
      <c r="I1625" s="67" t="n"/>
      <c r="J1625" s="67" t="n"/>
      <c r="K1625" s="67" t="n"/>
      <c r="L1625" s="67" t="n"/>
      <c r="M1625" s="64" t="n"/>
      <c r="N1625" s="66" t="n"/>
      <c r="O1625" s="84">
        <f>IF(A1625="","",IF(OR(C1625="",D1625=""),"Enter both dates",IF(D1625&lt;C1625,"To is before From",IF(COUNTIFS($P$5:$P$2004,P1625,$C$5:$C$2004,"&lt;="&amp;D1625,$D$5:$D$2004,"&gt;="&amp;C1625)&gt;1,"Overlaps another row","OK"))))</f>
        <v/>
      </c>
      <c r="P1625">
        <f>IF(A1625="","",A1625&amp;"|"&amp;IF(B1625="","Standard",B1625))</f>
        <v/>
      </c>
      <c r="Q1625">
        <f>IF(AND(A1625&lt;&gt;"",A1625='Firm Search'!$C$7),COUNTIF($A$5:A1625,'Firm Search'!$C$7),"")</f>
        <v/>
      </c>
    </row>
    <row r="1626">
      <c r="A1626" s="64" t="n"/>
      <c r="B1626" s="64" t="n"/>
      <c r="C1626" s="66" t="n"/>
      <c r="D1626" s="66" t="n"/>
      <c r="E1626" s="67" t="n"/>
      <c r="F1626" s="67" t="n"/>
      <c r="G1626" s="67" t="n"/>
      <c r="H1626" s="67" t="n"/>
      <c r="I1626" s="67" t="n"/>
      <c r="J1626" s="67" t="n"/>
      <c r="K1626" s="67" t="n"/>
      <c r="L1626" s="67" t="n"/>
      <c r="M1626" s="64" t="n"/>
      <c r="N1626" s="66" t="n"/>
      <c r="O1626" s="84">
        <f>IF(A1626="","",IF(OR(C1626="",D1626=""),"Enter both dates",IF(D1626&lt;C1626,"To is before From",IF(COUNTIFS($P$5:$P$2004,P1626,$C$5:$C$2004,"&lt;="&amp;D1626,$D$5:$D$2004,"&gt;="&amp;C1626)&gt;1,"Overlaps another row","OK"))))</f>
        <v/>
      </c>
      <c r="P1626">
        <f>IF(A1626="","",A1626&amp;"|"&amp;IF(B1626="","Standard",B1626))</f>
        <v/>
      </c>
      <c r="Q1626">
        <f>IF(AND(A1626&lt;&gt;"",A1626='Firm Search'!$C$7),COUNTIF($A$5:A1626,'Firm Search'!$C$7),"")</f>
        <v/>
      </c>
    </row>
    <row r="1627">
      <c r="A1627" s="64" t="n"/>
      <c r="B1627" s="64" t="n"/>
      <c r="C1627" s="66" t="n"/>
      <c r="D1627" s="66" t="n"/>
      <c r="E1627" s="67" t="n"/>
      <c r="F1627" s="67" t="n"/>
      <c r="G1627" s="67" t="n"/>
      <c r="H1627" s="67" t="n"/>
      <c r="I1627" s="67" t="n"/>
      <c r="J1627" s="67" t="n"/>
      <c r="K1627" s="67" t="n"/>
      <c r="L1627" s="67" t="n"/>
      <c r="M1627" s="64" t="n"/>
      <c r="N1627" s="66" t="n"/>
      <c r="O1627" s="84">
        <f>IF(A1627="","",IF(OR(C1627="",D1627=""),"Enter both dates",IF(D1627&lt;C1627,"To is before From",IF(COUNTIFS($P$5:$P$2004,P1627,$C$5:$C$2004,"&lt;="&amp;D1627,$D$5:$D$2004,"&gt;="&amp;C1627)&gt;1,"Overlaps another row","OK"))))</f>
        <v/>
      </c>
      <c r="P1627">
        <f>IF(A1627="","",A1627&amp;"|"&amp;IF(B1627="","Standard",B1627))</f>
        <v/>
      </c>
      <c r="Q1627">
        <f>IF(AND(A1627&lt;&gt;"",A1627='Firm Search'!$C$7),COUNTIF($A$5:A1627,'Firm Search'!$C$7),"")</f>
        <v/>
      </c>
    </row>
    <row r="1628">
      <c r="A1628" s="64" t="n"/>
      <c r="B1628" s="64" t="n"/>
      <c r="C1628" s="66" t="n"/>
      <c r="D1628" s="66" t="n"/>
      <c r="E1628" s="67" t="n"/>
      <c r="F1628" s="67" t="n"/>
      <c r="G1628" s="67" t="n"/>
      <c r="H1628" s="67" t="n"/>
      <c r="I1628" s="67" t="n"/>
      <c r="J1628" s="67" t="n"/>
      <c r="K1628" s="67" t="n"/>
      <c r="L1628" s="67" t="n"/>
      <c r="M1628" s="64" t="n"/>
      <c r="N1628" s="66" t="n"/>
      <c r="O1628" s="84">
        <f>IF(A1628="","",IF(OR(C1628="",D1628=""),"Enter both dates",IF(D1628&lt;C1628,"To is before From",IF(COUNTIFS($P$5:$P$2004,P1628,$C$5:$C$2004,"&lt;="&amp;D1628,$D$5:$D$2004,"&gt;="&amp;C1628)&gt;1,"Overlaps another row","OK"))))</f>
        <v/>
      </c>
      <c r="P1628">
        <f>IF(A1628="","",A1628&amp;"|"&amp;IF(B1628="","Standard",B1628))</f>
        <v/>
      </c>
      <c r="Q1628">
        <f>IF(AND(A1628&lt;&gt;"",A1628='Firm Search'!$C$7),COUNTIF($A$5:A1628,'Firm Search'!$C$7),"")</f>
        <v/>
      </c>
    </row>
    <row r="1629">
      <c r="A1629" s="64" t="n"/>
      <c r="B1629" s="64" t="n"/>
      <c r="C1629" s="66" t="n"/>
      <c r="D1629" s="66" t="n"/>
      <c r="E1629" s="67" t="n"/>
      <c r="F1629" s="67" t="n"/>
      <c r="G1629" s="67" t="n"/>
      <c r="H1629" s="67" t="n"/>
      <c r="I1629" s="67" t="n"/>
      <c r="J1629" s="67" t="n"/>
      <c r="K1629" s="67" t="n"/>
      <c r="L1629" s="67" t="n"/>
      <c r="M1629" s="64" t="n"/>
      <c r="N1629" s="66" t="n"/>
      <c r="O1629" s="84">
        <f>IF(A1629="","",IF(OR(C1629="",D1629=""),"Enter both dates",IF(D1629&lt;C1629,"To is before From",IF(COUNTIFS($P$5:$P$2004,P1629,$C$5:$C$2004,"&lt;="&amp;D1629,$D$5:$D$2004,"&gt;="&amp;C1629)&gt;1,"Overlaps another row","OK"))))</f>
        <v/>
      </c>
      <c r="P1629">
        <f>IF(A1629="","",A1629&amp;"|"&amp;IF(B1629="","Standard",B1629))</f>
        <v/>
      </c>
      <c r="Q1629">
        <f>IF(AND(A1629&lt;&gt;"",A1629='Firm Search'!$C$7),COUNTIF($A$5:A1629,'Firm Search'!$C$7),"")</f>
        <v/>
      </c>
    </row>
    <row r="1630">
      <c r="A1630" s="64" t="n"/>
      <c r="B1630" s="64" t="n"/>
      <c r="C1630" s="66" t="n"/>
      <c r="D1630" s="66" t="n"/>
      <c r="E1630" s="67" t="n"/>
      <c r="F1630" s="67" t="n"/>
      <c r="G1630" s="67" t="n"/>
      <c r="H1630" s="67" t="n"/>
      <c r="I1630" s="67" t="n"/>
      <c r="J1630" s="67" t="n"/>
      <c r="K1630" s="67" t="n"/>
      <c r="L1630" s="67" t="n"/>
      <c r="M1630" s="64" t="n"/>
      <c r="N1630" s="66" t="n"/>
      <c r="O1630" s="84">
        <f>IF(A1630="","",IF(OR(C1630="",D1630=""),"Enter both dates",IF(D1630&lt;C1630,"To is before From",IF(COUNTIFS($P$5:$P$2004,P1630,$C$5:$C$2004,"&lt;="&amp;D1630,$D$5:$D$2004,"&gt;="&amp;C1630)&gt;1,"Overlaps another row","OK"))))</f>
        <v/>
      </c>
      <c r="P1630">
        <f>IF(A1630="","",A1630&amp;"|"&amp;IF(B1630="","Standard",B1630))</f>
        <v/>
      </c>
      <c r="Q1630">
        <f>IF(AND(A1630&lt;&gt;"",A1630='Firm Search'!$C$7),COUNTIF($A$5:A1630,'Firm Search'!$C$7),"")</f>
        <v/>
      </c>
    </row>
    <row r="1631">
      <c r="A1631" s="64" t="n"/>
      <c r="B1631" s="64" t="n"/>
      <c r="C1631" s="66" t="n"/>
      <c r="D1631" s="66" t="n"/>
      <c r="E1631" s="67" t="n"/>
      <c r="F1631" s="67" t="n"/>
      <c r="G1631" s="67" t="n"/>
      <c r="H1631" s="67" t="n"/>
      <c r="I1631" s="67" t="n"/>
      <c r="J1631" s="67" t="n"/>
      <c r="K1631" s="67" t="n"/>
      <c r="L1631" s="67" t="n"/>
      <c r="M1631" s="64" t="n"/>
      <c r="N1631" s="66" t="n"/>
      <c r="O1631" s="84">
        <f>IF(A1631="","",IF(OR(C1631="",D1631=""),"Enter both dates",IF(D1631&lt;C1631,"To is before From",IF(COUNTIFS($P$5:$P$2004,P1631,$C$5:$C$2004,"&lt;="&amp;D1631,$D$5:$D$2004,"&gt;="&amp;C1631)&gt;1,"Overlaps another row","OK"))))</f>
        <v/>
      </c>
      <c r="P1631">
        <f>IF(A1631="","",A1631&amp;"|"&amp;IF(B1631="","Standard",B1631))</f>
        <v/>
      </c>
      <c r="Q1631">
        <f>IF(AND(A1631&lt;&gt;"",A1631='Firm Search'!$C$7),COUNTIF($A$5:A1631,'Firm Search'!$C$7),"")</f>
        <v/>
      </c>
    </row>
    <row r="1632">
      <c r="A1632" s="64" t="n"/>
      <c r="B1632" s="64" t="n"/>
      <c r="C1632" s="66" t="n"/>
      <c r="D1632" s="66" t="n"/>
      <c r="E1632" s="67" t="n"/>
      <c r="F1632" s="67" t="n"/>
      <c r="G1632" s="67" t="n"/>
      <c r="H1632" s="67" t="n"/>
      <c r="I1632" s="67" t="n"/>
      <c r="J1632" s="67" t="n"/>
      <c r="K1632" s="67" t="n"/>
      <c r="L1632" s="67" t="n"/>
      <c r="M1632" s="64" t="n"/>
      <c r="N1632" s="66" t="n"/>
      <c r="O1632" s="84">
        <f>IF(A1632="","",IF(OR(C1632="",D1632=""),"Enter both dates",IF(D1632&lt;C1632,"To is before From",IF(COUNTIFS($P$5:$P$2004,P1632,$C$5:$C$2004,"&lt;="&amp;D1632,$D$5:$D$2004,"&gt;="&amp;C1632)&gt;1,"Overlaps another row","OK"))))</f>
        <v/>
      </c>
      <c r="P1632">
        <f>IF(A1632="","",A1632&amp;"|"&amp;IF(B1632="","Standard",B1632))</f>
        <v/>
      </c>
      <c r="Q1632">
        <f>IF(AND(A1632&lt;&gt;"",A1632='Firm Search'!$C$7),COUNTIF($A$5:A1632,'Firm Search'!$C$7),"")</f>
        <v/>
      </c>
    </row>
    <row r="1633">
      <c r="A1633" s="64" t="n"/>
      <c r="B1633" s="64" t="n"/>
      <c r="C1633" s="66" t="n"/>
      <c r="D1633" s="66" t="n"/>
      <c r="E1633" s="67" t="n"/>
      <c r="F1633" s="67" t="n"/>
      <c r="G1633" s="67" t="n"/>
      <c r="H1633" s="67" t="n"/>
      <c r="I1633" s="67" t="n"/>
      <c r="J1633" s="67" t="n"/>
      <c r="K1633" s="67" t="n"/>
      <c r="L1633" s="67" t="n"/>
      <c r="M1633" s="64" t="n"/>
      <c r="N1633" s="66" t="n"/>
      <c r="O1633" s="84">
        <f>IF(A1633="","",IF(OR(C1633="",D1633=""),"Enter both dates",IF(D1633&lt;C1633,"To is before From",IF(COUNTIFS($P$5:$P$2004,P1633,$C$5:$C$2004,"&lt;="&amp;D1633,$D$5:$D$2004,"&gt;="&amp;C1633)&gt;1,"Overlaps another row","OK"))))</f>
        <v/>
      </c>
      <c r="P1633">
        <f>IF(A1633="","",A1633&amp;"|"&amp;IF(B1633="","Standard",B1633))</f>
        <v/>
      </c>
      <c r="Q1633">
        <f>IF(AND(A1633&lt;&gt;"",A1633='Firm Search'!$C$7),COUNTIF($A$5:A1633,'Firm Search'!$C$7),"")</f>
        <v/>
      </c>
    </row>
    <row r="1634">
      <c r="A1634" s="64" t="n"/>
      <c r="B1634" s="64" t="n"/>
      <c r="C1634" s="66" t="n"/>
      <c r="D1634" s="66" t="n"/>
      <c r="E1634" s="67" t="n"/>
      <c r="F1634" s="67" t="n"/>
      <c r="G1634" s="67" t="n"/>
      <c r="H1634" s="67" t="n"/>
      <c r="I1634" s="67" t="n"/>
      <c r="J1634" s="67" t="n"/>
      <c r="K1634" s="67" t="n"/>
      <c r="L1634" s="67" t="n"/>
      <c r="M1634" s="64" t="n"/>
      <c r="N1634" s="66" t="n"/>
      <c r="O1634" s="84">
        <f>IF(A1634="","",IF(OR(C1634="",D1634=""),"Enter both dates",IF(D1634&lt;C1634,"To is before From",IF(COUNTIFS($P$5:$P$2004,P1634,$C$5:$C$2004,"&lt;="&amp;D1634,$D$5:$D$2004,"&gt;="&amp;C1634)&gt;1,"Overlaps another row","OK"))))</f>
        <v/>
      </c>
      <c r="P1634">
        <f>IF(A1634="","",A1634&amp;"|"&amp;IF(B1634="","Standard",B1634))</f>
        <v/>
      </c>
      <c r="Q1634">
        <f>IF(AND(A1634&lt;&gt;"",A1634='Firm Search'!$C$7),COUNTIF($A$5:A1634,'Firm Search'!$C$7),"")</f>
        <v/>
      </c>
    </row>
    <row r="1635">
      <c r="A1635" s="64" t="n"/>
      <c r="B1635" s="64" t="n"/>
      <c r="C1635" s="66" t="n"/>
      <c r="D1635" s="66" t="n"/>
      <c r="E1635" s="67" t="n"/>
      <c r="F1635" s="67" t="n"/>
      <c r="G1635" s="67" t="n"/>
      <c r="H1635" s="67" t="n"/>
      <c r="I1635" s="67" t="n"/>
      <c r="J1635" s="67" t="n"/>
      <c r="K1635" s="67" t="n"/>
      <c r="L1635" s="67" t="n"/>
      <c r="M1635" s="64" t="n"/>
      <c r="N1635" s="66" t="n"/>
      <c r="O1635" s="84">
        <f>IF(A1635="","",IF(OR(C1635="",D1635=""),"Enter both dates",IF(D1635&lt;C1635,"To is before From",IF(COUNTIFS($P$5:$P$2004,P1635,$C$5:$C$2004,"&lt;="&amp;D1635,$D$5:$D$2004,"&gt;="&amp;C1635)&gt;1,"Overlaps another row","OK"))))</f>
        <v/>
      </c>
      <c r="P1635">
        <f>IF(A1635="","",A1635&amp;"|"&amp;IF(B1635="","Standard",B1635))</f>
        <v/>
      </c>
      <c r="Q1635">
        <f>IF(AND(A1635&lt;&gt;"",A1635='Firm Search'!$C$7),COUNTIF($A$5:A1635,'Firm Search'!$C$7),"")</f>
        <v/>
      </c>
    </row>
    <row r="1636">
      <c r="A1636" s="64" t="n"/>
      <c r="B1636" s="64" t="n"/>
      <c r="C1636" s="66" t="n"/>
      <c r="D1636" s="66" t="n"/>
      <c r="E1636" s="67" t="n"/>
      <c r="F1636" s="67" t="n"/>
      <c r="G1636" s="67" t="n"/>
      <c r="H1636" s="67" t="n"/>
      <c r="I1636" s="67" t="n"/>
      <c r="J1636" s="67" t="n"/>
      <c r="K1636" s="67" t="n"/>
      <c r="L1636" s="67" t="n"/>
      <c r="M1636" s="64" t="n"/>
      <c r="N1636" s="66" t="n"/>
      <c r="O1636" s="84">
        <f>IF(A1636="","",IF(OR(C1636="",D1636=""),"Enter both dates",IF(D1636&lt;C1636,"To is before From",IF(COUNTIFS($P$5:$P$2004,P1636,$C$5:$C$2004,"&lt;="&amp;D1636,$D$5:$D$2004,"&gt;="&amp;C1636)&gt;1,"Overlaps another row","OK"))))</f>
        <v/>
      </c>
      <c r="P1636">
        <f>IF(A1636="","",A1636&amp;"|"&amp;IF(B1636="","Standard",B1636))</f>
        <v/>
      </c>
      <c r="Q1636">
        <f>IF(AND(A1636&lt;&gt;"",A1636='Firm Search'!$C$7),COUNTIF($A$5:A1636,'Firm Search'!$C$7),"")</f>
        <v/>
      </c>
    </row>
    <row r="1637">
      <c r="A1637" s="64" t="n"/>
      <c r="B1637" s="64" t="n"/>
      <c r="C1637" s="66" t="n"/>
      <c r="D1637" s="66" t="n"/>
      <c r="E1637" s="67" t="n"/>
      <c r="F1637" s="67" t="n"/>
      <c r="G1637" s="67" t="n"/>
      <c r="H1637" s="67" t="n"/>
      <c r="I1637" s="67" t="n"/>
      <c r="J1637" s="67" t="n"/>
      <c r="K1637" s="67" t="n"/>
      <c r="L1637" s="67" t="n"/>
      <c r="M1637" s="64" t="n"/>
      <c r="N1637" s="66" t="n"/>
      <c r="O1637" s="84">
        <f>IF(A1637="","",IF(OR(C1637="",D1637=""),"Enter both dates",IF(D1637&lt;C1637,"To is before From",IF(COUNTIFS($P$5:$P$2004,P1637,$C$5:$C$2004,"&lt;="&amp;D1637,$D$5:$D$2004,"&gt;="&amp;C1637)&gt;1,"Overlaps another row","OK"))))</f>
        <v/>
      </c>
      <c r="P1637">
        <f>IF(A1637="","",A1637&amp;"|"&amp;IF(B1637="","Standard",B1637))</f>
        <v/>
      </c>
      <c r="Q1637">
        <f>IF(AND(A1637&lt;&gt;"",A1637='Firm Search'!$C$7),COUNTIF($A$5:A1637,'Firm Search'!$C$7),"")</f>
        <v/>
      </c>
    </row>
    <row r="1638">
      <c r="A1638" s="64" t="n"/>
      <c r="B1638" s="64" t="n"/>
      <c r="C1638" s="66" t="n"/>
      <c r="D1638" s="66" t="n"/>
      <c r="E1638" s="67" t="n"/>
      <c r="F1638" s="67" t="n"/>
      <c r="G1638" s="67" t="n"/>
      <c r="H1638" s="67" t="n"/>
      <c r="I1638" s="67" t="n"/>
      <c r="J1638" s="67" t="n"/>
      <c r="K1638" s="67" t="n"/>
      <c r="L1638" s="67" t="n"/>
      <c r="M1638" s="64" t="n"/>
      <c r="N1638" s="66" t="n"/>
      <c r="O1638" s="84">
        <f>IF(A1638="","",IF(OR(C1638="",D1638=""),"Enter both dates",IF(D1638&lt;C1638,"To is before From",IF(COUNTIFS($P$5:$P$2004,P1638,$C$5:$C$2004,"&lt;="&amp;D1638,$D$5:$D$2004,"&gt;="&amp;C1638)&gt;1,"Overlaps another row","OK"))))</f>
        <v/>
      </c>
      <c r="P1638">
        <f>IF(A1638="","",A1638&amp;"|"&amp;IF(B1638="","Standard",B1638))</f>
        <v/>
      </c>
      <c r="Q1638">
        <f>IF(AND(A1638&lt;&gt;"",A1638='Firm Search'!$C$7),COUNTIF($A$5:A1638,'Firm Search'!$C$7),"")</f>
        <v/>
      </c>
    </row>
    <row r="1639">
      <c r="A1639" s="64" t="n"/>
      <c r="B1639" s="64" t="n"/>
      <c r="C1639" s="66" t="n"/>
      <c r="D1639" s="66" t="n"/>
      <c r="E1639" s="67" t="n"/>
      <c r="F1639" s="67" t="n"/>
      <c r="G1639" s="67" t="n"/>
      <c r="H1639" s="67" t="n"/>
      <c r="I1639" s="67" t="n"/>
      <c r="J1639" s="67" t="n"/>
      <c r="K1639" s="67" t="n"/>
      <c r="L1639" s="67" t="n"/>
      <c r="M1639" s="64" t="n"/>
      <c r="N1639" s="66" t="n"/>
      <c r="O1639" s="84">
        <f>IF(A1639="","",IF(OR(C1639="",D1639=""),"Enter both dates",IF(D1639&lt;C1639,"To is before From",IF(COUNTIFS($P$5:$P$2004,P1639,$C$5:$C$2004,"&lt;="&amp;D1639,$D$5:$D$2004,"&gt;="&amp;C1639)&gt;1,"Overlaps another row","OK"))))</f>
        <v/>
      </c>
      <c r="P1639">
        <f>IF(A1639="","",A1639&amp;"|"&amp;IF(B1639="","Standard",B1639))</f>
        <v/>
      </c>
      <c r="Q1639">
        <f>IF(AND(A1639&lt;&gt;"",A1639='Firm Search'!$C$7),COUNTIF($A$5:A1639,'Firm Search'!$C$7),"")</f>
        <v/>
      </c>
    </row>
    <row r="1640">
      <c r="A1640" s="64" t="n"/>
      <c r="B1640" s="64" t="n"/>
      <c r="C1640" s="66" t="n"/>
      <c r="D1640" s="66" t="n"/>
      <c r="E1640" s="67" t="n"/>
      <c r="F1640" s="67" t="n"/>
      <c r="G1640" s="67" t="n"/>
      <c r="H1640" s="67" t="n"/>
      <c r="I1640" s="67" t="n"/>
      <c r="J1640" s="67" t="n"/>
      <c r="K1640" s="67" t="n"/>
      <c r="L1640" s="67" t="n"/>
      <c r="M1640" s="64" t="n"/>
      <c r="N1640" s="66" t="n"/>
      <c r="O1640" s="84">
        <f>IF(A1640="","",IF(OR(C1640="",D1640=""),"Enter both dates",IF(D1640&lt;C1640,"To is before From",IF(COUNTIFS($P$5:$P$2004,P1640,$C$5:$C$2004,"&lt;="&amp;D1640,$D$5:$D$2004,"&gt;="&amp;C1640)&gt;1,"Overlaps another row","OK"))))</f>
        <v/>
      </c>
      <c r="P1640">
        <f>IF(A1640="","",A1640&amp;"|"&amp;IF(B1640="","Standard",B1640))</f>
        <v/>
      </c>
      <c r="Q1640">
        <f>IF(AND(A1640&lt;&gt;"",A1640='Firm Search'!$C$7),COUNTIF($A$5:A1640,'Firm Search'!$C$7),"")</f>
        <v/>
      </c>
    </row>
    <row r="1641">
      <c r="A1641" s="64" t="n"/>
      <c r="B1641" s="64" t="n"/>
      <c r="C1641" s="66" t="n"/>
      <c r="D1641" s="66" t="n"/>
      <c r="E1641" s="67" t="n"/>
      <c r="F1641" s="67" t="n"/>
      <c r="G1641" s="67" t="n"/>
      <c r="H1641" s="67" t="n"/>
      <c r="I1641" s="67" t="n"/>
      <c r="J1641" s="67" t="n"/>
      <c r="K1641" s="67" t="n"/>
      <c r="L1641" s="67" t="n"/>
      <c r="M1641" s="64" t="n"/>
      <c r="N1641" s="66" t="n"/>
      <c r="O1641" s="84">
        <f>IF(A1641="","",IF(OR(C1641="",D1641=""),"Enter both dates",IF(D1641&lt;C1641,"To is before From",IF(COUNTIFS($P$5:$P$2004,P1641,$C$5:$C$2004,"&lt;="&amp;D1641,$D$5:$D$2004,"&gt;="&amp;C1641)&gt;1,"Overlaps another row","OK"))))</f>
        <v/>
      </c>
      <c r="P1641">
        <f>IF(A1641="","",A1641&amp;"|"&amp;IF(B1641="","Standard",B1641))</f>
        <v/>
      </c>
      <c r="Q1641">
        <f>IF(AND(A1641&lt;&gt;"",A1641='Firm Search'!$C$7),COUNTIF($A$5:A1641,'Firm Search'!$C$7),"")</f>
        <v/>
      </c>
    </row>
    <row r="1642">
      <c r="A1642" s="64" t="n"/>
      <c r="B1642" s="64" t="n"/>
      <c r="C1642" s="66" t="n"/>
      <c r="D1642" s="66" t="n"/>
      <c r="E1642" s="67" t="n"/>
      <c r="F1642" s="67" t="n"/>
      <c r="G1642" s="67" t="n"/>
      <c r="H1642" s="67" t="n"/>
      <c r="I1642" s="67" t="n"/>
      <c r="J1642" s="67" t="n"/>
      <c r="K1642" s="67" t="n"/>
      <c r="L1642" s="67" t="n"/>
      <c r="M1642" s="64" t="n"/>
      <c r="N1642" s="66" t="n"/>
      <c r="O1642" s="84">
        <f>IF(A1642="","",IF(OR(C1642="",D1642=""),"Enter both dates",IF(D1642&lt;C1642,"To is before From",IF(COUNTIFS($P$5:$P$2004,P1642,$C$5:$C$2004,"&lt;="&amp;D1642,$D$5:$D$2004,"&gt;="&amp;C1642)&gt;1,"Overlaps another row","OK"))))</f>
        <v/>
      </c>
      <c r="P1642">
        <f>IF(A1642="","",A1642&amp;"|"&amp;IF(B1642="","Standard",B1642))</f>
        <v/>
      </c>
      <c r="Q1642">
        <f>IF(AND(A1642&lt;&gt;"",A1642='Firm Search'!$C$7),COUNTIF($A$5:A1642,'Firm Search'!$C$7),"")</f>
        <v/>
      </c>
    </row>
    <row r="1643">
      <c r="A1643" s="64" t="n"/>
      <c r="B1643" s="64" t="n"/>
      <c r="C1643" s="66" t="n"/>
      <c r="D1643" s="66" t="n"/>
      <c r="E1643" s="67" t="n"/>
      <c r="F1643" s="67" t="n"/>
      <c r="G1643" s="67" t="n"/>
      <c r="H1643" s="67" t="n"/>
      <c r="I1643" s="67" t="n"/>
      <c r="J1643" s="67" t="n"/>
      <c r="K1643" s="67" t="n"/>
      <c r="L1643" s="67" t="n"/>
      <c r="M1643" s="64" t="n"/>
      <c r="N1643" s="66" t="n"/>
      <c r="O1643" s="84">
        <f>IF(A1643="","",IF(OR(C1643="",D1643=""),"Enter both dates",IF(D1643&lt;C1643,"To is before From",IF(COUNTIFS($P$5:$P$2004,P1643,$C$5:$C$2004,"&lt;="&amp;D1643,$D$5:$D$2004,"&gt;="&amp;C1643)&gt;1,"Overlaps another row","OK"))))</f>
        <v/>
      </c>
      <c r="P1643">
        <f>IF(A1643="","",A1643&amp;"|"&amp;IF(B1643="","Standard",B1643))</f>
        <v/>
      </c>
      <c r="Q1643">
        <f>IF(AND(A1643&lt;&gt;"",A1643='Firm Search'!$C$7),COUNTIF($A$5:A1643,'Firm Search'!$C$7),"")</f>
        <v/>
      </c>
    </row>
    <row r="1644">
      <c r="A1644" s="64" t="n"/>
      <c r="B1644" s="64" t="n"/>
      <c r="C1644" s="66" t="n"/>
      <c r="D1644" s="66" t="n"/>
      <c r="E1644" s="67" t="n"/>
      <c r="F1644" s="67" t="n"/>
      <c r="G1644" s="67" t="n"/>
      <c r="H1644" s="67" t="n"/>
      <c r="I1644" s="67" t="n"/>
      <c r="J1644" s="67" t="n"/>
      <c r="K1644" s="67" t="n"/>
      <c r="L1644" s="67" t="n"/>
      <c r="M1644" s="64" t="n"/>
      <c r="N1644" s="66" t="n"/>
      <c r="O1644" s="84">
        <f>IF(A1644="","",IF(OR(C1644="",D1644=""),"Enter both dates",IF(D1644&lt;C1644,"To is before From",IF(COUNTIFS($P$5:$P$2004,P1644,$C$5:$C$2004,"&lt;="&amp;D1644,$D$5:$D$2004,"&gt;="&amp;C1644)&gt;1,"Overlaps another row","OK"))))</f>
        <v/>
      </c>
      <c r="P1644">
        <f>IF(A1644="","",A1644&amp;"|"&amp;IF(B1644="","Standard",B1644))</f>
        <v/>
      </c>
      <c r="Q1644">
        <f>IF(AND(A1644&lt;&gt;"",A1644='Firm Search'!$C$7),COUNTIF($A$5:A1644,'Firm Search'!$C$7),"")</f>
        <v/>
      </c>
    </row>
    <row r="1645">
      <c r="A1645" s="64" t="n"/>
      <c r="B1645" s="64" t="n"/>
      <c r="C1645" s="66" t="n"/>
      <c r="D1645" s="66" t="n"/>
      <c r="E1645" s="67" t="n"/>
      <c r="F1645" s="67" t="n"/>
      <c r="G1645" s="67" t="n"/>
      <c r="H1645" s="67" t="n"/>
      <c r="I1645" s="67" t="n"/>
      <c r="J1645" s="67" t="n"/>
      <c r="K1645" s="67" t="n"/>
      <c r="L1645" s="67" t="n"/>
      <c r="M1645" s="64" t="n"/>
      <c r="N1645" s="66" t="n"/>
      <c r="O1645" s="84">
        <f>IF(A1645="","",IF(OR(C1645="",D1645=""),"Enter both dates",IF(D1645&lt;C1645,"To is before From",IF(COUNTIFS($P$5:$P$2004,P1645,$C$5:$C$2004,"&lt;="&amp;D1645,$D$5:$D$2004,"&gt;="&amp;C1645)&gt;1,"Overlaps another row","OK"))))</f>
        <v/>
      </c>
      <c r="P1645">
        <f>IF(A1645="","",A1645&amp;"|"&amp;IF(B1645="","Standard",B1645))</f>
        <v/>
      </c>
      <c r="Q1645">
        <f>IF(AND(A1645&lt;&gt;"",A1645='Firm Search'!$C$7),COUNTIF($A$5:A1645,'Firm Search'!$C$7),"")</f>
        <v/>
      </c>
    </row>
    <row r="1646">
      <c r="A1646" s="64" t="n"/>
      <c r="B1646" s="64" t="n"/>
      <c r="C1646" s="66" t="n"/>
      <c r="D1646" s="66" t="n"/>
      <c r="E1646" s="67" t="n"/>
      <c r="F1646" s="67" t="n"/>
      <c r="G1646" s="67" t="n"/>
      <c r="H1646" s="67" t="n"/>
      <c r="I1646" s="67" t="n"/>
      <c r="J1646" s="67" t="n"/>
      <c r="K1646" s="67" t="n"/>
      <c r="L1646" s="67" t="n"/>
      <c r="M1646" s="64" t="n"/>
      <c r="N1646" s="66" t="n"/>
      <c r="O1646" s="84">
        <f>IF(A1646="","",IF(OR(C1646="",D1646=""),"Enter both dates",IF(D1646&lt;C1646,"To is before From",IF(COUNTIFS($P$5:$P$2004,P1646,$C$5:$C$2004,"&lt;="&amp;D1646,$D$5:$D$2004,"&gt;="&amp;C1646)&gt;1,"Overlaps another row","OK"))))</f>
        <v/>
      </c>
      <c r="P1646">
        <f>IF(A1646="","",A1646&amp;"|"&amp;IF(B1646="","Standard",B1646))</f>
        <v/>
      </c>
      <c r="Q1646">
        <f>IF(AND(A1646&lt;&gt;"",A1646='Firm Search'!$C$7),COUNTIF($A$5:A1646,'Firm Search'!$C$7),"")</f>
        <v/>
      </c>
    </row>
    <row r="1647">
      <c r="A1647" s="64" t="n"/>
      <c r="B1647" s="64" t="n"/>
      <c r="C1647" s="66" t="n"/>
      <c r="D1647" s="66" t="n"/>
      <c r="E1647" s="67" t="n"/>
      <c r="F1647" s="67" t="n"/>
      <c r="G1647" s="67" t="n"/>
      <c r="H1647" s="67" t="n"/>
      <c r="I1647" s="67" t="n"/>
      <c r="J1647" s="67" t="n"/>
      <c r="K1647" s="67" t="n"/>
      <c r="L1647" s="67" t="n"/>
      <c r="M1647" s="64" t="n"/>
      <c r="N1647" s="66" t="n"/>
      <c r="O1647" s="84">
        <f>IF(A1647="","",IF(OR(C1647="",D1647=""),"Enter both dates",IF(D1647&lt;C1647,"To is before From",IF(COUNTIFS($P$5:$P$2004,P1647,$C$5:$C$2004,"&lt;="&amp;D1647,$D$5:$D$2004,"&gt;="&amp;C1647)&gt;1,"Overlaps another row","OK"))))</f>
        <v/>
      </c>
      <c r="P1647">
        <f>IF(A1647="","",A1647&amp;"|"&amp;IF(B1647="","Standard",B1647))</f>
        <v/>
      </c>
      <c r="Q1647">
        <f>IF(AND(A1647&lt;&gt;"",A1647='Firm Search'!$C$7),COUNTIF($A$5:A1647,'Firm Search'!$C$7),"")</f>
        <v/>
      </c>
    </row>
    <row r="1648">
      <c r="A1648" s="64" t="n"/>
      <c r="B1648" s="64" t="n"/>
      <c r="C1648" s="66" t="n"/>
      <c r="D1648" s="66" t="n"/>
      <c r="E1648" s="67" t="n"/>
      <c r="F1648" s="67" t="n"/>
      <c r="G1648" s="67" t="n"/>
      <c r="H1648" s="67" t="n"/>
      <c r="I1648" s="67" t="n"/>
      <c r="J1648" s="67" t="n"/>
      <c r="K1648" s="67" t="n"/>
      <c r="L1648" s="67" t="n"/>
      <c r="M1648" s="64" t="n"/>
      <c r="N1648" s="66" t="n"/>
      <c r="O1648" s="84">
        <f>IF(A1648="","",IF(OR(C1648="",D1648=""),"Enter both dates",IF(D1648&lt;C1648,"To is before From",IF(COUNTIFS($P$5:$P$2004,P1648,$C$5:$C$2004,"&lt;="&amp;D1648,$D$5:$D$2004,"&gt;="&amp;C1648)&gt;1,"Overlaps another row","OK"))))</f>
        <v/>
      </c>
      <c r="P1648">
        <f>IF(A1648="","",A1648&amp;"|"&amp;IF(B1648="","Standard",B1648))</f>
        <v/>
      </c>
      <c r="Q1648">
        <f>IF(AND(A1648&lt;&gt;"",A1648='Firm Search'!$C$7),COUNTIF($A$5:A1648,'Firm Search'!$C$7),"")</f>
        <v/>
      </c>
    </row>
    <row r="1649">
      <c r="A1649" s="64" t="n"/>
      <c r="B1649" s="64" t="n"/>
      <c r="C1649" s="66" t="n"/>
      <c r="D1649" s="66" t="n"/>
      <c r="E1649" s="67" t="n"/>
      <c r="F1649" s="67" t="n"/>
      <c r="G1649" s="67" t="n"/>
      <c r="H1649" s="67" t="n"/>
      <c r="I1649" s="67" t="n"/>
      <c r="J1649" s="67" t="n"/>
      <c r="K1649" s="67" t="n"/>
      <c r="L1649" s="67" t="n"/>
      <c r="M1649" s="64" t="n"/>
      <c r="N1649" s="66" t="n"/>
      <c r="O1649" s="84">
        <f>IF(A1649="","",IF(OR(C1649="",D1649=""),"Enter both dates",IF(D1649&lt;C1649,"To is before From",IF(COUNTIFS($P$5:$P$2004,P1649,$C$5:$C$2004,"&lt;="&amp;D1649,$D$5:$D$2004,"&gt;="&amp;C1649)&gt;1,"Overlaps another row","OK"))))</f>
        <v/>
      </c>
      <c r="P1649">
        <f>IF(A1649="","",A1649&amp;"|"&amp;IF(B1649="","Standard",B1649))</f>
        <v/>
      </c>
      <c r="Q1649">
        <f>IF(AND(A1649&lt;&gt;"",A1649='Firm Search'!$C$7),COUNTIF($A$5:A1649,'Firm Search'!$C$7),"")</f>
        <v/>
      </c>
    </row>
    <row r="1650">
      <c r="A1650" s="64" t="n"/>
      <c r="B1650" s="64" t="n"/>
      <c r="C1650" s="66" t="n"/>
      <c r="D1650" s="66" t="n"/>
      <c r="E1650" s="67" t="n"/>
      <c r="F1650" s="67" t="n"/>
      <c r="G1650" s="67" t="n"/>
      <c r="H1650" s="67" t="n"/>
      <c r="I1650" s="67" t="n"/>
      <c r="J1650" s="67" t="n"/>
      <c r="K1650" s="67" t="n"/>
      <c r="L1650" s="67" t="n"/>
      <c r="M1650" s="64" t="n"/>
      <c r="N1650" s="66" t="n"/>
      <c r="O1650" s="84">
        <f>IF(A1650="","",IF(OR(C1650="",D1650=""),"Enter both dates",IF(D1650&lt;C1650,"To is before From",IF(COUNTIFS($P$5:$P$2004,P1650,$C$5:$C$2004,"&lt;="&amp;D1650,$D$5:$D$2004,"&gt;="&amp;C1650)&gt;1,"Overlaps another row","OK"))))</f>
        <v/>
      </c>
      <c r="P1650">
        <f>IF(A1650="","",A1650&amp;"|"&amp;IF(B1650="","Standard",B1650))</f>
        <v/>
      </c>
      <c r="Q1650">
        <f>IF(AND(A1650&lt;&gt;"",A1650='Firm Search'!$C$7),COUNTIF($A$5:A1650,'Firm Search'!$C$7),"")</f>
        <v/>
      </c>
    </row>
    <row r="1651">
      <c r="A1651" s="64" t="n"/>
      <c r="B1651" s="64" t="n"/>
      <c r="C1651" s="66" t="n"/>
      <c r="D1651" s="66" t="n"/>
      <c r="E1651" s="67" t="n"/>
      <c r="F1651" s="67" t="n"/>
      <c r="G1651" s="67" t="n"/>
      <c r="H1651" s="67" t="n"/>
      <c r="I1651" s="67" t="n"/>
      <c r="J1651" s="67" t="n"/>
      <c r="K1651" s="67" t="n"/>
      <c r="L1651" s="67" t="n"/>
      <c r="M1651" s="64" t="n"/>
      <c r="N1651" s="66" t="n"/>
      <c r="O1651" s="84">
        <f>IF(A1651="","",IF(OR(C1651="",D1651=""),"Enter both dates",IF(D1651&lt;C1651,"To is before From",IF(COUNTIFS($P$5:$P$2004,P1651,$C$5:$C$2004,"&lt;="&amp;D1651,$D$5:$D$2004,"&gt;="&amp;C1651)&gt;1,"Overlaps another row","OK"))))</f>
        <v/>
      </c>
      <c r="P1651">
        <f>IF(A1651="","",A1651&amp;"|"&amp;IF(B1651="","Standard",B1651))</f>
        <v/>
      </c>
      <c r="Q1651">
        <f>IF(AND(A1651&lt;&gt;"",A1651='Firm Search'!$C$7),COUNTIF($A$5:A1651,'Firm Search'!$C$7),"")</f>
        <v/>
      </c>
    </row>
    <row r="1652">
      <c r="A1652" s="64" t="n"/>
      <c r="B1652" s="64" t="n"/>
      <c r="C1652" s="66" t="n"/>
      <c r="D1652" s="66" t="n"/>
      <c r="E1652" s="67" t="n"/>
      <c r="F1652" s="67" t="n"/>
      <c r="G1652" s="67" t="n"/>
      <c r="H1652" s="67" t="n"/>
      <c r="I1652" s="67" t="n"/>
      <c r="J1652" s="67" t="n"/>
      <c r="K1652" s="67" t="n"/>
      <c r="L1652" s="67" t="n"/>
      <c r="M1652" s="64" t="n"/>
      <c r="N1652" s="66" t="n"/>
      <c r="O1652" s="84">
        <f>IF(A1652="","",IF(OR(C1652="",D1652=""),"Enter both dates",IF(D1652&lt;C1652,"To is before From",IF(COUNTIFS($P$5:$P$2004,P1652,$C$5:$C$2004,"&lt;="&amp;D1652,$D$5:$D$2004,"&gt;="&amp;C1652)&gt;1,"Overlaps another row","OK"))))</f>
        <v/>
      </c>
      <c r="P1652">
        <f>IF(A1652="","",A1652&amp;"|"&amp;IF(B1652="","Standard",B1652))</f>
        <v/>
      </c>
      <c r="Q1652">
        <f>IF(AND(A1652&lt;&gt;"",A1652='Firm Search'!$C$7),COUNTIF($A$5:A1652,'Firm Search'!$C$7),"")</f>
        <v/>
      </c>
    </row>
    <row r="1653">
      <c r="A1653" s="64" t="n"/>
      <c r="B1653" s="64" t="n"/>
      <c r="C1653" s="66" t="n"/>
      <c r="D1653" s="66" t="n"/>
      <c r="E1653" s="67" t="n"/>
      <c r="F1653" s="67" t="n"/>
      <c r="G1653" s="67" t="n"/>
      <c r="H1653" s="67" t="n"/>
      <c r="I1653" s="67" t="n"/>
      <c r="J1653" s="67" t="n"/>
      <c r="K1653" s="67" t="n"/>
      <c r="L1653" s="67" t="n"/>
      <c r="M1653" s="64" t="n"/>
      <c r="N1653" s="66" t="n"/>
      <c r="O1653" s="84">
        <f>IF(A1653="","",IF(OR(C1653="",D1653=""),"Enter both dates",IF(D1653&lt;C1653,"To is before From",IF(COUNTIFS($P$5:$P$2004,P1653,$C$5:$C$2004,"&lt;="&amp;D1653,$D$5:$D$2004,"&gt;="&amp;C1653)&gt;1,"Overlaps another row","OK"))))</f>
        <v/>
      </c>
      <c r="P1653">
        <f>IF(A1653="","",A1653&amp;"|"&amp;IF(B1653="","Standard",B1653))</f>
        <v/>
      </c>
      <c r="Q1653">
        <f>IF(AND(A1653&lt;&gt;"",A1653='Firm Search'!$C$7),COUNTIF($A$5:A1653,'Firm Search'!$C$7),"")</f>
        <v/>
      </c>
    </row>
    <row r="1654">
      <c r="A1654" s="64" t="n"/>
      <c r="B1654" s="64" t="n"/>
      <c r="C1654" s="66" t="n"/>
      <c r="D1654" s="66" t="n"/>
      <c r="E1654" s="67" t="n"/>
      <c r="F1654" s="67" t="n"/>
      <c r="G1654" s="67" t="n"/>
      <c r="H1654" s="67" t="n"/>
      <c r="I1654" s="67" t="n"/>
      <c r="J1654" s="67" t="n"/>
      <c r="K1654" s="67" t="n"/>
      <c r="L1654" s="67" t="n"/>
      <c r="M1654" s="64" t="n"/>
      <c r="N1654" s="66" t="n"/>
      <c r="O1654" s="84">
        <f>IF(A1654="","",IF(OR(C1654="",D1654=""),"Enter both dates",IF(D1654&lt;C1654,"To is before From",IF(COUNTIFS($P$5:$P$2004,P1654,$C$5:$C$2004,"&lt;="&amp;D1654,$D$5:$D$2004,"&gt;="&amp;C1654)&gt;1,"Overlaps another row","OK"))))</f>
        <v/>
      </c>
      <c r="P1654">
        <f>IF(A1654="","",A1654&amp;"|"&amp;IF(B1654="","Standard",B1654))</f>
        <v/>
      </c>
      <c r="Q1654">
        <f>IF(AND(A1654&lt;&gt;"",A1654='Firm Search'!$C$7),COUNTIF($A$5:A1654,'Firm Search'!$C$7),"")</f>
        <v/>
      </c>
    </row>
    <row r="1655">
      <c r="A1655" s="64" t="n"/>
      <c r="B1655" s="64" t="n"/>
      <c r="C1655" s="66" t="n"/>
      <c r="D1655" s="66" t="n"/>
      <c r="E1655" s="67" t="n"/>
      <c r="F1655" s="67" t="n"/>
      <c r="G1655" s="67" t="n"/>
      <c r="H1655" s="67" t="n"/>
      <c r="I1655" s="67" t="n"/>
      <c r="J1655" s="67" t="n"/>
      <c r="K1655" s="67" t="n"/>
      <c r="L1655" s="67" t="n"/>
      <c r="M1655" s="64" t="n"/>
      <c r="N1655" s="66" t="n"/>
      <c r="O1655" s="84">
        <f>IF(A1655="","",IF(OR(C1655="",D1655=""),"Enter both dates",IF(D1655&lt;C1655,"To is before From",IF(COUNTIFS($P$5:$P$2004,P1655,$C$5:$C$2004,"&lt;="&amp;D1655,$D$5:$D$2004,"&gt;="&amp;C1655)&gt;1,"Overlaps another row","OK"))))</f>
        <v/>
      </c>
      <c r="P1655">
        <f>IF(A1655="","",A1655&amp;"|"&amp;IF(B1655="","Standard",B1655))</f>
        <v/>
      </c>
      <c r="Q1655">
        <f>IF(AND(A1655&lt;&gt;"",A1655='Firm Search'!$C$7),COUNTIF($A$5:A1655,'Firm Search'!$C$7),"")</f>
        <v/>
      </c>
    </row>
    <row r="1656">
      <c r="A1656" s="64" t="n"/>
      <c r="B1656" s="64" t="n"/>
      <c r="C1656" s="66" t="n"/>
      <c r="D1656" s="66" t="n"/>
      <c r="E1656" s="67" t="n"/>
      <c r="F1656" s="67" t="n"/>
      <c r="G1656" s="67" t="n"/>
      <c r="H1656" s="67" t="n"/>
      <c r="I1656" s="67" t="n"/>
      <c r="J1656" s="67" t="n"/>
      <c r="K1656" s="67" t="n"/>
      <c r="L1656" s="67" t="n"/>
      <c r="M1656" s="64" t="n"/>
      <c r="N1656" s="66" t="n"/>
      <c r="O1656" s="84">
        <f>IF(A1656="","",IF(OR(C1656="",D1656=""),"Enter both dates",IF(D1656&lt;C1656,"To is before From",IF(COUNTIFS($P$5:$P$2004,P1656,$C$5:$C$2004,"&lt;="&amp;D1656,$D$5:$D$2004,"&gt;="&amp;C1656)&gt;1,"Overlaps another row","OK"))))</f>
        <v/>
      </c>
      <c r="P1656">
        <f>IF(A1656="","",A1656&amp;"|"&amp;IF(B1656="","Standard",B1656))</f>
        <v/>
      </c>
      <c r="Q1656">
        <f>IF(AND(A1656&lt;&gt;"",A1656='Firm Search'!$C$7),COUNTIF($A$5:A1656,'Firm Search'!$C$7),"")</f>
        <v/>
      </c>
    </row>
    <row r="1657">
      <c r="A1657" s="64" t="n"/>
      <c r="B1657" s="64" t="n"/>
      <c r="C1657" s="66" t="n"/>
      <c r="D1657" s="66" t="n"/>
      <c r="E1657" s="67" t="n"/>
      <c r="F1657" s="67" t="n"/>
      <c r="G1657" s="67" t="n"/>
      <c r="H1657" s="67" t="n"/>
      <c r="I1657" s="67" t="n"/>
      <c r="J1657" s="67" t="n"/>
      <c r="K1657" s="67" t="n"/>
      <c r="L1657" s="67" t="n"/>
      <c r="M1657" s="64" t="n"/>
      <c r="N1657" s="66" t="n"/>
      <c r="O1657" s="84">
        <f>IF(A1657="","",IF(OR(C1657="",D1657=""),"Enter both dates",IF(D1657&lt;C1657,"To is before From",IF(COUNTIFS($P$5:$P$2004,P1657,$C$5:$C$2004,"&lt;="&amp;D1657,$D$5:$D$2004,"&gt;="&amp;C1657)&gt;1,"Overlaps another row","OK"))))</f>
        <v/>
      </c>
      <c r="P1657">
        <f>IF(A1657="","",A1657&amp;"|"&amp;IF(B1657="","Standard",B1657))</f>
        <v/>
      </c>
      <c r="Q1657">
        <f>IF(AND(A1657&lt;&gt;"",A1657='Firm Search'!$C$7),COUNTIF($A$5:A1657,'Firm Search'!$C$7),"")</f>
        <v/>
      </c>
    </row>
    <row r="1658">
      <c r="A1658" s="64" t="n"/>
      <c r="B1658" s="64" t="n"/>
      <c r="C1658" s="66" t="n"/>
      <c r="D1658" s="66" t="n"/>
      <c r="E1658" s="67" t="n"/>
      <c r="F1658" s="67" t="n"/>
      <c r="G1658" s="67" t="n"/>
      <c r="H1658" s="67" t="n"/>
      <c r="I1658" s="67" t="n"/>
      <c r="J1658" s="67" t="n"/>
      <c r="K1658" s="67" t="n"/>
      <c r="L1658" s="67" t="n"/>
      <c r="M1658" s="64" t="n"/>
      <c r="N1658" s="66" t="n"/>
      <c r="O1658" s="84">
        <f>IF(A1658="","",IF(OR(C1658="",D1658=""),"Enter both dates",IF(D1658&lt;C1658,"To is before From",IF(COUNTIFS($P$5:$P$2004,P1658,$C$5:$C$2004,"&lt;="&amp;D1658,$D$5:$D$2004,"&gt;="&amp;C1658)&gt;1,"Overlaps another row","OK"))))</f>
        <v/>
      </c>
      <c r="P1658">
        <f>IF(A1658="","",A1658&amp;"|"&amp;IF(B1658="","Standard",B1658))</f>
        <v/>
      </c>
      <c r="Q1658">
        <f>IF(AND(A1658&lt;&gt;"",A1658='Firm Search'!$C$7),COUNTIF($A$5:A1658,'Firm Search'!$C$7),"")</f>
        <v/>
      </c>
    </row>
    <row r="1659">
      <c r="A1659" s="64" t="n"/>
      <c r="B1659" s="64" t="n"/>
      <c r="C1659" s="66" t="n"/>
      <c r="D1659" s="66" t="n"/>
      <c r="E1659" s="67" t="n"/>
      <c r="F1659" s="67" t="n"/>
      <c r="G1659" s="67" t="n"/>
      <c r="H1659" s="67" t="n"/>
      <c r="I1659" s="67" t="n"/>
      <c r="J1659" s="67" t="n"/>
      <c r="K1659" s="67" t="n"/>
      <c r="L1659" s="67" t="n"/>
      <c r="M1659" s="64" t="n"/>
      <c r="N1659" s="66" t="n"/>
      <c r="O1659" s="84">
        <f>IF(A1659="","",IF(OR(C1659="",D1659=""),"Enter both dates",IF(D1659&lt;C1659,"To is before From",IF(COUNTIFS($P$5:$P$2004,P1659,$C$5:$C$2004,"&lt;="&amp;D1659,$D$5:$D$2004,"&gt;="&amp;C1659)&gt;1,"Overlaps another row","OK"))))</f>
        <v/>
      </c>
      <c r="P1659">
        <f>IF(A1659="","",A1659&amp;"|"&amp;IF(B1659="","Standard",B1659))</f>
        <v/>
      </c>
      <c r="Q1659">
        <f>IF(AND(A1659&lt;&gt;"",A1659='Firm Search'!$C$7),COUNTIF($A$5:A1659,'Firm Search'!$C$7),"")</f>
        <v/>
      </c>
    </row>
    <row r="1660">
      <c r="A1660" s="64" t="n"/>
      <c r="B1660" s="64" t="n"/>
      <c r="C1660" s="66" t="n"/>
      <c r="D1660" s="66" t="n"/>
      <c r="E1660" s="67" t="n"/>
      <c r="F1660" s="67" t="n"/>
      <c r="G1660" s="67" t="n"/>
      <c r="H1660" s="67" t="n"/>
      <c r="I1660" s="67" t="n"/>
      <c r="J1660" s="67" t="n"/>
      <c r="K1660" s="67" t="n"/>
      <c r="L1660" s="67" t="n"/>
      <c r="M1660" s="64" t="n"/>
      <c r="N1660" s="66" t="n"/>
      <c r="O1660" s="84">
        <f>IF(A1660="","",IF(OR(C1660="",D1660=""),"Enter both dates",IF(D1660&lt;C1660,"To is before From",IF(COUNTIFS($P$5:$P$2004,P1660,$C$5:$C$2004,"&lt;="&amp;D1660,$D$5:$D$2004,"&gt;="&amp;C1660)&gt;1,"Overlaps another row","OK"))))</f>
        <v/>
      </c>
      <c r="P1660">
        <f>IF(A1660="","",A1660&amp;"|"&amp;IF(B1660="","Standard",B1660))</f>
        <v/>
      </c>
      <c r="Q1660">
        <f>IF(AND(A1660&lt;&gt;"",A1660='Firm Search'!$C$7),COUNTIF($A$5:A1660,'Firm Search'!$C$7),"")</f>
        <v/>
      </c>
    </row>
    <row r="1661">
      <c r="A1661" s="64" t="n"/>
      <c r="B1661" s="64" t="n"/>
      <c r="C1661" s="66" t="n"/>
      <c r="D1661" s="66" t="n"/>
      <c r="E1661" s="67" t="n"/>
      <c r="F1661" s="67" t="n"/>
      <c r="G1661" s="67" t="n"/>
      <c r="H1661" s="67" t="n"/>
      <c r="I1661" s="67" t="n"/>
      <c r="J1661" s="67" t="n"/>
      <c r="K1661" s="67" t="n"/>
      <c r="L1661" s="67" t="n"/>
      <c r="M1661" s="64" t="n"/>
      <c r="N1661" s="66" t="n"/>
      <c r="O1661" s="84">
        <f>IF(A1661="","",IF(OR(C1661="",D1661=""),"Enter both dates",IF(D1661&lt;C1661,"To is before From",IF(COUNTIFS($P$5:$P$2004,P1661,$C$5:$C$2004,"&lt;="&amp;D1661,$D$5:$D$2004,"&gt;="&amp;C1661)&gt;1,"Overlaps another row","OK"))))</f>
        <v/>
      </c>
      <c r="P1661">
        <f>IF(A1661="","",A1661&amp;"|"&amp;IF(B1661="","Standard",B1661))</f>
        <v/>
      </c>
      <c r="Q1661">
        <f>IF(AND(A1661&lt;&gt;"",A1661='Firm Search'!$C$7),COUNTIF($A$5:A1661,'Firm Search'!$C$7),"")</f>
        <v/>
      </c>
    </row>
    <row r="1662">
      <c r="A1662" s="64" t="n"/>
      <c r="B1662" s="64" t="n"/>
      <c r="C1662" s="66" t="n"/>
      <c r="D1662" s="66" t="n"/>
      <c r="E1662" s="67" t="n"/>
      <c r="F1662" s="67" t="n"/>
      <c r="G1662" s="67" t="n"/>
      <c r="H1662" s="67" t="n"/>
      <c r="I1662" s="67" t="n"/>
      <c r="J1662" s="67" t="n"/>
      <c r="K1662" s="67" t="n"/>
      <c r="L1662" s="67" t="n"/>
      <c r="M1662" s="64" t="n"/>
      <c r="N1662" s="66" t="n"/>
      <c r="O1662" s="84">
        <f>IF(A1662="","",IF(OR(C1662="",D1662=""),"Enter both dates",IF(D1662&lt;C1662,"To is before From",IF(COUNTIFS($P$5:$P$2004,P1662,$C$5:$C$2004,"&lt;="&amp;D1662,$D$5:$D$2004,"&gt;="&amp;C1662)&gt;1,"Overlaps another row","OK"))))</f>
        <v/>
      </c>
      <c r="P1662">
        <f>IF(A1662="","",A1662&amp;"|"&amp;IF(B1662="","Standard",B1662))</f>
        <v/>
      </c>
      <c r="Q1662">
        <f>IF(AND(A1662&lt;&gt;"",A1662='Firm Search'!$C$7),COUNTIF($A$5:A1662,'Firm Search'!$C$7),"")</f>
        <v/>
      </c>
    </row>
    <row r="1663">
      <c r="A1663" s="64" t="n"/>
      <c r="B1663" s="64" t="n"/>
      <c r="C1663" s="66" t="n"/>
      <c r="D1663" s="66" t="n"/>
      <c r="E1663" s="67" t="n"/>
      <c r="F1663" s="67" t="n"/>
      <c r="G1663" s="67" t="n"/>
      <c r="H1663" s="67" t="n"/>
      <c r="I1663" s="67" t="n"/>
      <c r="J1663" s="67" t="n"/>
      <c r="K1663" s="67" t="n"/>
      <c r="L1663" s="67" t="n"/>
      <c r="M1663" s="64" t="n"/>
      <c r="N1663" s="66" t="n"/>
      <c r="O1663" s="84">
        <f>IF(A1663="","",IF(OR(C1663="",D1663=""),"Enter both dates",IF(D1663&lt;C1663,"To is before From",IF(COUNTIFS($P$5:$P$2004,P1663,$C$5:$C$2004,"&lt;="&amp;D1663,$D$5:$D$2004,"&gt;="&amp;C1663)&gt;1,"Overlaps another row","OK"))))</f>
        <v/>
      </c>
      <c r="P1663">
        <f>IF(A1663="","",A1663&amp;"|"&amp;IF(B1663="","Standard",B1663))</f>
        <v/>
      </c>
      <c r="Q1663">
        <f>IF(AND(A1663&lt;&gt;"",A1663='Firm Search'!$C$7),COUNTIF($A$5:A1663,'Firm Search'!$C$7),"")</f>
        <v/>
      </c>
    </row>
    <row r="1664">
      <c r="A1664" s="64" t="n"/>
      <c r="B1664" s="64" t="n"/>
      <c r="C1664" s="66" t="n"/>
      <c r="D1664" s="66" t="n"/>
      <c r="E1664" s="67" t="n"/>
      <c r="F1664" s="67" t="n"/>
      <c r="G1664" s="67" t="n"/>
      <c r="H1664" s="67" t="n"/>
      <c r="I1664" s="67" t="n"/>
      <c r="J1664" s="67" t="n"/>
      <c r="K1664" s="67" t="n"/>
      <c r="L1664" s="67" t="n"/>
      <c r="M1664" s="64" t="n"/>
      <c r="N1664" s="66" t="n"/>
      <c r="O1664" s="84">
        <f>IF(A1664="","",IF(OR(C1664="",D1664=""),"Enter both dates",IF(D1664&lt;C1664,"To is before From",IF(COUNTIFS($P$5:$P$2004,P1664,$C$5:$C$2004,"&lt;="&amp;D1664,$D$5:$D$2004,"&gt;="&amp;C1664)&gt;1,"Overlaps another row","OK"))))</f>
        <v/>
      </c>
      <c r="P1664">
        <f>IF(A1664="","",A1664&amp;"|"&amp;IF(B1664="","Standard",B1664))</f>
        <v/>
      </c>
      <c r="Q1664">
        <f>IF(AND(A1664&lt;&gt;"",A1664='Firm Search'!$C$7),COUNTIF($A$5:A1664,'Firm Search'!$C$7),"")</f>
        <v/>
      </c>
    </row>
    <row r="1665">
      <c r="A1665" s="64" t="n"/>
      <c r="B1665" s="64" t="n"/>
      <c r="C1665" s="66" t="n"/>
      <c r="D1665" s="66" t="n"/>
      <c r="E1665" s="67" t="n"/>
      <c r="F1665" s="67" t="n"/>
      <c r="G1665" s="67" t="n"/>
      <c r="H1665" s="67" t="n"/>
      <c r="I1665" s="67" t="n"/>
      <c r="J1665" s="67" t="n"/>
      <c r="K1665" s="67" t="n"/>
      <c r="L1665" s="67" t="n"/>
      <c r="M1665" s="64" t="n"/>
      <c r="N1665" s="66" t="n"/>
      <c r="O1665" s="84">
        <f>IF(A1665="","",IF(OR(C1665="",D1665=""),"Enter both dates",IF(D1665&lt;C1665,"To is before From",IF(COUNTIFS($P$5:$P$2004,P1665,$C$5:$C$2004,"&lt;="&amp;D1665,$D$5:$D$2004,"&gt;="&amp;C1665)&gt;1,"Overlaps another row","OK"))))</f>
        <v/>
      </c>
      <c r="P1665">
        <f>IF(A1665="","",A1665&amp;"|"&amp;IF(B1665="","Standard",B1665))</f>
        <v/>
      </c>
      <c r="Q1665">
        <f>IF(AND(A1665&lt;&gt;"",A1665='Firm Search'!$C$7),COUNTIF($A$5:A1665,'Firm Search'!$C$7),"")</f>
        <v/>
      </c>
    </row>
    <row r="1666">
      <c r="A1666" s="64" t="n"/>
      <c r="B1666" s="64" t="n"/>
      <c r="C1666" s="66" t="n"/>
      <c r="D1666" s="66" t="n"/>
      <c r="E1666" s="67" t="n"/>
      <c r="F1666" s="67" t="n"/>
      <c r="G1666" s="67" t="n"/>
      <c r="H1666" s="67" t="n"/>
      <c r="I1666" s="67" t="n"/>
      <c r="J1666" s="67" t="n"/>
      <c r="K1666" s="67" t="n"/>
      <c r="L1666" s="67" t="n"/>
      <c r="M1666" s="64" t="n"/>
      <c r="N1666" s="66" t="n"/>
      <c r="O1666" s="84">
        <f>IF(A1666="","",IF(OR(C1666="",D1666=""),"Enter both dates",IF(D1666&lt;C1666,"To is before From",IF(COUNTIFS($P$5:$P$2004,P1666,$C$5:$C$2004,"&lt;="&amp;D1666,$D$5:$D$2004,"&gt;="&amp;C1666)&gt;1,"Overlaps another row","OK"))))</f>
        <v/>
      </c>
      <c r="P1666">
        <f>IF(A1666="","",A1666&amp;"|"&amp;IF(B1666="","Standard",B1666))</f>
        <v/>
      </c>
      <c r="Q1666">
        <f>IF(AND(A1666&lt;&gt;"",A1666='Firm Search'!$C$7),COUNTIF($A$5:A1666,'Firm Search'!$C$7),"")</f>
        <v/>
      </c>
    </row>
    <row r="1667">
      <c r="A1667" s="64" t="n"/>
      <c r="B1667" s="64" t="n"/>
      <c r="C1667" s="66" t="n"/>
      <c r="D1667" s="66" t="n"/>
      <c r="E1667" s="67" t="n"/>
      <c r="F1667" s="67" t="n"/>
      <c r="G1667" s="67" t="n"/>
      <c r="H1667" s="67" t="n"/>
      <c r="I1667" s="67" t="n"/>
      <c r="J1667" s="67" t="n"/>
      <c r="K1667" s="67" t="n"/>
      <c r="L1667" s="67" t="n"/>
      <c r="M1667" s="64" t="n"/>
      <c r="N1667" s="66" t="n"/>
      <c r="O1667" s="84">
        <f>IF(A1667="","",IF(OR(C1667="",D1667=""),"Enter both dates",IF(D1667&lt;C1667,"To is before From",IF(COUNTIFS($P$5:$P$2004,P1667,$C$5:$C$2004,"&lt;="&amp;D1667,$D$5:$D$2004,"&gt;="&amp;C1667)&gt;1,"Overlaps another row","OK"))))</f>
        <v/>
      </c>
      <c r="P1667">
        <f>IF(A1667="","",A1667&amp;"|"&amp;IF(B1667="","Standard",B1667))</f>
        <v/>
      </c>
      <c r="Q1667">
        <f>IF(AND(A1667&lt;&gt;"",A1667='Firm Search'!$C$7),COUNTIF($A$5:A1667,'Firm Search'!$C$7),"")</f>
        <v/>
      </c>
    </row>
    <row r="1668">
      <c r="A1668" s="64" t="n"/>
      <c r="B1668" s="64" t="n"/>
      <c r="C1668" s="66" t="n"/>
      <c r="D1668" s="66" t="n"/>
      <c r="E1668" s="67" t="n"/>
      <c r="F1668" s="67" t="n"/>
      <c r="G1668" s="67" t="n"/>
      <c r="H1668" s="67" t="n"/>
      <c r="I1668" s="67" t="n"/>
      <c r="J1668" s="67" t="n"/>
      <c r="K1668" s="67" t="n"/>
      <c r="L1668" s="67" t="n"/>
      <c r="M1668" s="64" t="n"/>
      <c r="N1668" s="66" t="n"/>
      <c r="O1668" s="84">
        <f>IF(A1668="","",IF(OR(C1668="",D1668=""),"Enter both dates",IF(D1668&lt;C1668,"To is before From",IF(COUNTIFS($P$5:$P$2004,P1668,$C$5:$C$2004,"&lt;="&amp;D1668,$D$5:$D$2004,"&gt;="&amp;C1668)&gt;1,"Overlaps another row","OK"))))</f>
        <v/>
      </c>
      <c r="P1668">
        <f>IF(A1668="","",A1668&amp;"|"&amp;IF(B1668="","Standard",B1668))</f>
        <v/>
      </c>
      <c r="Q1668">
        <f>IF(AND(A1668&lt;&gt;"",A1668='Firm Search'!$C$7),COUNTIF($A$5:A1668,'Firm Search'!$C$7),"")</f>
        <v/>
      </c>
    </row>
    <row r="1669">
      <c r="A1669" s="64" t="n"/>
      <c r="B1669" s="64" t="n"/>
      <c r="C1669" s="66" t="n"/>
      <c r="D1669" s="66" t="n"/>
      <c r="E1669" s="67" t="n"/>
      <c r="F1669" s="67" t="n"/>
      <c r="G1669" s="67" t="n"/>
      <c r="H1669" s="67" t="n"/>
      <c r="I1669" s="67" t="n"/>
      <c r="J1669" s="67" t="n"/>
      <c r="K1669" s="67" t="n"/>
      <c r="L1669" s="67" t="n"/>
      <c r="M1669" s="64" t="n"/>
      <c r="N1669" s="66" t="n"/>
      <c r="O1669" s="84">
        <f>IF(A1669="","",IF(OR(C1669="",D1669=""),"Enter both dates",IF(D1669&lt;C1669,"To is before From",IF(COUNTIFS($P$5:$P$2004,P1669,$C$5:$C$2004,"&lt;="&amp;D1669,$D$5:$D$2004,"&gt;="&amp;C1669)&gt;1,"Overlaps another row","OK"))))</f>
        <v/>
      </c>
      <c r="P1669">
        <f>IF(A1669="","",A1669&amp;"|"&amp;IF(B1669="","Standard",B1669))</f>
        <v/>
      </c>
      <c r="Q1669">
        <f>IF(AND(A1669&lt;&gt;"",A1669='Firm Search'!$C$7),COUNTIF($A$5:A1669,'Firm Search'!$C$7),"")</f>
        <v/>
      </c>
    </row>
    <row r="1670">
      <c r="A1670" s="64" t="n"/>
      <c r="B1670" s="64" t="n"/>
      <c r="C1670" s="66" t="n"/>
      <c r="D1670" s="66" t="n"/>
      <c r="E1670" s="67" t="n"/>
      <c r="F1670" s="67" t="n"/>
      <c r="G1670" s="67" t="n"/>
      <c r="H1670" s="67" t="n"/>
      <c r="I1670" s="67" t="n"/>
      <c r="J1670" s="67" t="n"/>
      <c r="K1670" s="67" t="n"/>
      <c r="L1670" s="67" t="n"/>
      <c r="M1670" s="64" t="n"/>
      <c r="N1670" s="66" t="n"/>
      <c r="O1670" s="84">
        <f>IF(A1670="","",IF(OR(C1670="",D1670=""),"Enter both dates",IF(D1670&lt;C1670,"To is before From",IF(COUNTIFS($P$5:$P$2004,P1670,$C$5:$C$2004,"&lt;="&amp;D1670,$D$5:$D$2004,"&gt;="&amp;C1670)&gt;1,"Overlaps another row","OK"))))</f>
        <v/>
      </c>
      <c r="P1670">
        <f>IF(A1670="","",A1670&amp;"|"&amp;IF(B1670="","Standard",B1670))</f>
        <v/>
      </c>
      <c r="Q1670">
        <f>IF(AND(A1670&lt;&gt;"",A1670='Firm Search'!$C$7),COUNTIF($A$5:A1670,'Firm Search'!$C$7),"")</f>
        <v/>
      </c>
    </row>
    <row r="1671">
      <c r="A1671" s="64" t="n"/>
      <c r="B1671" s="64" t="n"/>
      <c r="C1671" s="66" t="n"/>
      <c r="D1671" s="66" t="n"/>
      <c r="E1671" s="67" t="n"/>
      <c r="F1671" s="67" t="n"/>
      <c r="G1671" s="67" t="n"/>
      <c r="H1671" s="67" t="n"/>
      <c r="I1671" s="67" t="n"/>
      <c r="J1671" s="67" t="n"/>
      <c r="K1671" s="67" t="n"/>
      <c r="L1671" s="67" t="n"/>
      <c r="M1671" s="64" t="n"/>
      <c r="N1671" s="66" t="n"/>
      <c r="O1671" s="84">
        <f>IF(A1671="","",IF(OR(C1671="",D1671=""),"Enter both dates",IF(D1671&lt;C1671,"To is before From",IF(COUNTIFS($P$5:$P$2004,P1671,$C$5:$C$2004,"&lt;="&amp;D1671,$D$5:$D$2004,"&gt;="&amp;C1671)&gt;1,"Overlaps another row","OK"))))</f>
        <v/>
      </c>
      <c r="P1671">
        <f>IF(A1671="","",A1671&amp;"|"&amp;IF(B1671="","Standard",B1671))</f>
        <v/>
      </c>
      <c r="Q1671">
        <f>IF(AND(A1671&lt;&gt;"",A1671='Firm Search'!$C$7),COUNTIF($A$5:A1671,'Firm Search'!$C$7),"")</f>
        <v/>
      </c>
    </row>
    <row r="1672">
      <c r="A1672" s="64" t="n"/>
      <c r="B1672" s="64" t="n"/>
      <c r="C1672" s="66" t="n"/>
      <c r="D1672" s="66" t="n"/>
      <c r="E1672" s="67" t="n"/>
      <c r="F1672" s="67" t="n"/>
      <c r="G1672" s="67" t="n"/>
      <c r="H1672" s="67" t="n"/>
      <c r="I1672" s="67" t="n"/>
      <c r="J1672" s="67" t="n"/>
      <c r="K1672" s="67" t="n"/>
      <c r="L1672" s="67" t="n"/>
      <c r="M1672" s="64" t="n"/>
      <c r="N1672" s="66" t="n"/>
      <c r="O1672" s="84">
        <f>IF(A1672="","",IF(OR(C1672="",D1672=""),"Enter both dates",IF(D1672&lt;C1672,"To is before From",IF(COUNTIFS($P$5:$P$2004,P1672,$C$5:$C$2004,"&lt;="&amp;D1672,$D$5:$D$2004,"&gt;="&amp;C1672)&gt;1,"Overlaps another row","OK"))))</f>
        <v/>
      </c>
      <c r="P1672">
        <f>IF(A1672="","",A1672&amp;"|"&amp;IF(B1672="","Standard",B1672))</f>
        <v/>
      </c>
      <c r="Q1672">
        <f>IF(AND(A1672&lt;&gt;"",A1672='Firm Search'!$C$7),COUNTIF($A$5:A1672,'Firm Search'!$C$7),"")</f>
        <v/>
      </c>
    </row>
    <row r="1673">
      <c r="A1673" s="64" t="n"/>
      <c r="B1673" s="64" t="n"/>
      <c r="C1673" s="66" t="n"/>
      <c r="D1673" s="66" t="n"/>
      <c r="E1673" s="67" t="n"/>
      <c r="F1673" s="67" t="n"/>
      <c r="G1673" s="67" t="n"/>
      <c r="H1673" s="67" t="n"/>
      <c r="I1673" s="67" t="n"/>
      <c r="J1673" s="67" t="n"/>
      <c r="K1673" s="67" t="n"/>
      <c r="L1673" s="67" t="n"/>
      <c r="M1673" s="64" t="n"/>
      <c r="N1673" s="66" t="n"/>
      <c r="O1673" s="84">
        <f>IF(A1673="","",IF(OR(C1673="",D1673=""),"Enter both dates",IF(D1673&lt;C1673,"To is before From",IF(COUNTIFS($P$5:$P$2004,P1673,$C$5:$C$2004,"&lt;="&amp;D1673,$D$5:$D$2004,"&gt;="&amp;C1673)&gt;1,"Overlaps another row","OK"))))</f>
        <v/>
      </c>
      <c r="P1673">
        <f>IF(A1673="","",A1673&amp;"|"&amp;IF(B1673="","Standard",B1673))</f>
        <v/>
      </c>
      <c r="Q1673">
        <f>IF(AND(A1673&lt;&gt;"",A1673='Firm Search'!$C$7),COUNTIF($A$5:A1673,'Firm Search'!$C$7),"")</f>
        <v/>
      </c>
    </row>
    <row r="1674">
      <c r="A1674" s="64" t="n"/>
      <c r="B1674" s="64" t="n"/>
      <c r="C1674" s="66" t="n"/>
      <c r="D1674" s="66" t="n"/>
      <c r="E1674" s="67" t="n"/>
      <c r="F1674" s="67" t="n"/>
      <c r="G1674" s="67" t="n"/>
      <c r="H1674" s="67" t="n"/>
      <c r="I1674" s="67" t="n"/>
      <c r="J1674" s="67" t="n"/>
      <c r="K1674" s="67" t="n"/>
      <c r="L1674" s="67" t="n"/>
      <c r="M1674" s="64" t="n"/>
      <c r="N1674" s="66" t="n"/>
      <c r="O1674" s="84">
        <f>IF(A1674="","",IF(OR(C1674="",D1674=""),"Enter both dates",IF(D1674&lt;C1674,"To is before From",IF(COUNTIFS($P$5:$P$2004,P1674,$C$5:$C$2004,"&lt;="&amp;D1674,$D$5:$D$2004,"&gt;="&amp;C1674)&gt;1,"Overlaps another row","OK"))))</f>
        <v/>
      </c>
      <c r="P1674">
        <f>IF(A1674="","",A1674&amp;"|"&amp;IF(B1674="","Standard",B1674))</f>
        <v/>
      </c>
      <c r="Q1674">
        <f>IF(AND(A1674&lt;&gt;"",A1674='Firm Search'!$C$7),COUNTIF($A$5:A1674,'Firm Search'!$C$7),"")</f>
        <v/>
      </c>
    </row>
    <row r="1675">
      <c r="A1675" s="64" t="n"/>
      <c r="B1675" s="64" t="n"/>
      <c r="C1675" s="66" t="n"/>
      <c r="D1675" s="66" t="n"/>
      <c r="E1675" s="67" t="n"/>
      <c r="F1675" s="67" t="n"/>
      <c r="G1675" s="67" t="n"/>
      <c r="H1675" s="67" t="n"/>
      <c r="I1675" s="67" t="n"/>
      <c r="J1675" s="67" t="n"/>
      <c r="K1675" s="67" t="n"/>
      <c r="L1675" s="67" t="n"/>
      <c r="M1675" s="64" t="n"/>
      <c r="N1675" s="66" t="n"/>
      <c r="O1675" s="84">
        <f>IF(A1675="","",IF(OR(C1675="",D1675=""),"Enter both dates",IF(D1675&lt;C1675,"To is before From",IF(COUNTIFS($P$5:$P$2004,P1675,$C$5:$C$2004,"&lt;="&amp;D1675,$D$5:$D$2004,"&gt;="&amp;C1675)&gt;1,"Overlaps another row","OK"))))</f>
        <v/>
      </c>
      <c r="P1675">
        <f>IF(A1675="","",A1675&amp;"|"&amp;IF(B1675="","Standard",B1675))</f>
        <v/>
      </c>
      <c r="Q1675">
        <f>IF(AND(A1675&lt;&gt;"",A1675='Firm Search'!$C$7),COUNTIF($A$5:A1675,'Firm Search'!$C$7),"")</f>
        <v/>
      </c>
    </row>
    <row r="1676">
      <c r="A1676" s="64" t="n"/>
      <c r="B1676" s="64" t="n"/>
      <c r="C1676" s="66" t="n"/>
      <c r="D1676" s="66" t="n"/>
      <c r="E1676" s="67" t="n"/>
      <c r="F1676" s="67" t="n"/>
      <c r="G1676" s="67" t="n"/>
      <c r="H1676" s="67" t="n"/>
      <c r="I1676" s="67" t="n"/>
      <c r="J1676" s="67" t="n"/>
      <c r="K1676" s="67" t="n"/>
      <c r="L1676" s="67" t="n"/>
      <c r="M1676" s="64" t="n"/>
      <c r="N1676" s="66" t="n"/>
      <c r="O1676" s="84">
        <f>IF(A1676="","",IF(OR(C1676="",D1676=""),"Enter both dates",IF(D1676&lt;C1676,"To is before From",IF(COUNTIFS($P$5:$P$2004,P1676,$C$5:$C$2004,"&lt;="&amp;D1676,$D$5:$D$2004,"&gt;="&amp;C1676)&gt;1,"Overlaps another row","OK"))))</f>
        <v/>
      </c>
      <c r="P1676">
        <f>IF(A1676="","",A1676&amp;"|"&amp;IF(B1676="","Standard",B1676))</f>
        <v/>
      </c>
      <c r="Q1676">
        <f>IF(AND(A1676&lt;&gt;"",A1676='Firm Search'!$C$7),COUNTIF($A$5:A1676,'Firm Search'!$C$7),"")</f>
        <v/>
      </c>
    </row>
    <row r="1677">
      <c r="A1677" s="64" t="n"/>
      <c r="B1677" s="64" t="n"/>
      <c r="C1677" s="66" t="n"/>
      <c r="D1677" s="66" t="n"/>
      <c r="E1677" s="67" t="n"/>
      <c r="F1677" s="67" t="n"/>
      <c r="G1677" s="67" t="n"/>
      <c r="H1677" s="67" t="n"/>
      <c r="I1677" s="67" t="n"/>
      <c r="J1677" s="67" t="n"/>
      <c r="K1677" s="67" t="n"/>
      <c r="L1677" s="67" t="n"/>
      <c r="M1677" s="64" t="n"/>
      <c r="N1677" s="66" t="n"/>
      <c r="O1677" s="84">
        <f>IF(A1677="","",IF(OR(C1677="",D1677=""),"Enter both dates",IF(D1677&lt;C1677,"To is before From",IF(COUNTIFS($P$5:$P$2004,P1677,$C$5:$C$2004,"&lt;="&amp;D1677,$D$5:$D$2004,"&gt;="&amp;C1677)&gt;1,"Overlaps another row","OK"))))</f>
        <v/>
      </c>
      <c r="P1677">
        <f>IF(A1677="","",A1677&amp;"|"&amp;IF(B1677="","Standard",B1677))</f>
        <v/>
      </c>
      <c r="Q1677">
        <f>IF(AND(A1677&lt;&gt;"",A1677='Firm Search'!$C$7),COUNTIF($A$5:A1677,'Firm Search'!$C$7),"")</f>
        <v/>
      </c>
    </row>
    <row r="1678">
      <c r="A1678" s="64" t="n"/>
      <c r="B1678" s="64" t="n"/>
      <c r="C1678" s="66" t="n"/>
      <c r="D1678" s="66" t="n"/>
      <c r="E1678" s="67" t="n"/>
      <c r="F1678" s="67" t="n"/>
      <c r="G1678" s="67" t="n"/>
      <c r="H1678" s="67" t="n"/>
      <c r="I1678" s="67" t="n"/>
      <c r="J1678" s="67" t="n"/>
      <c r="K1678" s="67" t="n"/>
      <c r="L1678" s="67" t="n"/>
      <c r="M1678" s="64" t="n"/>
      <c r="N1678" s="66" t="n"/>
      <c r="O1678" s="84">
        <f>IF(A1678="","",IF(OR(C1678="",D1678=""),"Enter both dates",IF(D1678&lt;C1678,"To is before From",IF(COUNTIFS($P$5:$P$2004,P1678,$C$5:$C$2004,"&lt;="&amp;D1678,$D$5:$D$2004,"&gt;="&amp;C1678)&gt;1,"Overlaps another row","OK"))))</f>
        <v/>
      </c>
      <c r="P1678">
        <f>IF(A1678="","",A1678&amp;"|"&amp;IF(B1678="","Standard",B1678))</f>
        <v/>
      </c>
      <c r="Q1678">
        <f>IF(AND(A1678&lt;&gt;"",A1678='Firm Search'!$C$7),COUNTIF($A$5:A1678,'Firm Search'!$C$7),"")</f>
        <v/>
      </c>
    </row>
    <row r="1679">
      <c r="A1679" s="64" t="n"/>
      <c r="B1679" s="64" t="n"/>
      <c r="C1679" s="66" t="n"/>
      <c r="D1679" s="66" t="n"/>
      <c r="E1679" s="67" t="n"/>
      <c r="F1679" s="67" t="n"/>
      <c r="G1679" s="67" t="n"/>
      <c r="H1679" s="67" t="n"/>
      <c r="I1679" s="67" t="n"/>
      <c r="J1679" s="67" t="n"/>
      <c r="K1679" s="67" t="n"/>
      <c r="L1679" s="67" t="n"/>
      <c r="M1679" s="64" t="n"/>
      <c r="N1679" s="66" t="n"/>
      <c r="O1679" s="84">
        <f>IF(A1679="","",IF(OR(C1679="",D1679=""),"Enter both dates",IF(D1679&lt;C1679,"To is before From",IF(COUNTIFS($P$5:$P$2004,P1679,$C$5:$C$2004,"&lt;="&amp;D1679,$D$5:$D$2004,"&gt;="&amp;C1679)&gt;1,"Overlaps another row","OK"))))</f>
        <v/>
      </c>
      <c r="P1679">
        <f>IF(A1679="","",A1679&amp;"|"&amp;IF(B1679="","Standard",B1679))</f>
        <v/>
      </c>
      <c r="Q1679">
        <f>IF(AND(A1679&lt;&gt;"",A1679='Firm Search'!$C$7),COUNTIF($A$5:A1679,'Firm Search'!$C$7),"")</f>
        <v/>
      </c>
    </row>
    <row r="1680">
      <c r="A1680" s="64" t="n"/>
      <c r="B1680" s="64" t="n"/>
      <c r="C1680" s="66" t="n"/>
      <c r="D1680" s="66" t="n"/>
      <c r="E1680" s="67" t="n"/>
      <c r="F1680" s="67" t="n"/>
      <c r="G1680" s="67" t="n"/>
      <c r="H1680" s="67" t="n"/>
      <c r="I1680" s="67" t="n"/>
      <c r="J1680" s="67" t="n"/>
      <c r="K1680" s="67" t="n"/>
      <c r="L1680" s="67" t="n"/>
      <c r="M1680" s="64" t="n"/>
      <c r="N1680" s="66" t="n"/>
      <c r="O1680" s="84">
        <f>IF(A1680="","",IF(OR(C1680="",D1680=""),"Enter both dates",IF(D1680&lt;C1680,"To is before From",IF(COUNTIFS($P$5:$P$2004,P1680,$C$5:$C$2004,"&lt;="&amp;D1680,$D$5:$D$2004,"&gt;="&amp;C1680)&gt;1,"Overlaps another row","OK"))))</f>
        <v/>
      </c>
      <c r="P1680">
        <f>IF(A1680="","",A1680&amp;"|"&amp;IF(B1680="","Standard",B1680))</f>
        <v/>
      </c>
      <c r="Q1680">
        <f>IF(AND(A1680&lt;&gt;"",A1680='Firm Search'!$C$7),COUNTIF($A$5:A1680,'Firm Search'!$C$7),"")</f>
        <v/>
      </c>
    </row>
    <row r="1681">
      <c r="A1681" s="64" t="n"/>
      <c r="B1681" s="64" t="n"/>
      <c r="C1681" s="66" t="n"/>
      <c r="D1681" s="66" t="n"/>
      <c r="E1681" s="67" t="n"/>
      <c r="F1681" s="67" t="n"/>
      <c r="G1681" s="67" t="n"/>
      <c r="H1681" s="67" t="n"/>
      <c r="I1681" s="67" t="n"/>
      <c r="J1681" s="67" t="n"/>
      <c r="K1681" s="67" t="n"/>
      <c r="L1681" s="67" t="n"/>
      <c r="M1681" s="64" t="n"/>
      <c r="N1681" s="66" t="n"/>
      <c r="O1681" s="84">
        <f>IF(A1681="","",IF(OR(C1681="",D1681=""),"Enter both dates",IF(D1681&lt;C1681,"To is before From",IF(COUNTIFS($P$5:$P$2004,P1681,$C$5:$C$2004,"&lt;="&amp;D1681,$D$5:$D$2004,"&gt;="&amp;C1681)&gt;1,"Overlaps another row","OK"))))</f>
        <v/>
      </c>
      <c r="P1681">
        <f>IF(A1681="","",A1681&amp;"|"&amp;IF(B1681="","Standard",B1681))</f>
        <v/>
      </c>
      <c r="Q1681">
        <f>IF(AND(A1681&lt;&gt;"",A1681='Firm Search'!$C$7),COUNTIF($A$5:A1681,'Firm Search'!$C$7),"")</f>
        <v/>
      </c>
    </row>
    <row r="1682">
      <c r="A1682" s="64" t="n"/>
      <c r="B1682" s="64" t="n"/>
      <c r="C1682" s="66" t="n"/>
      <c r="D1682" s="66" t="n"/>
      <c r="E1682" s="67" t="n"/>
      <c r="F1682" s="67" t="n"/>
      <c r="G1682" s="67" t="n"/>
      <c r="H1682" s="67" t="n"/>
      <c r="I1682" s="67" t="n"/>
      <c r="J1682" s="67" t="n"/>
      <c r="K1682" s="67" t="n"/>
      <c r="L1682" s="67" t="n"/>
      <c r="M1682" s="64" t="n"/>
      <c r="N1682" s="66" t="n"/>
      <c r="O1682" s="84">
        <f>IF(A1682="","",IF(OR(C1682="",D1682=""),"Enter both dates",IF(D1682&lt;C1682,"To is before From",IF(COUNTIFS($P$5:$P$2004,P1682,$C$5:$C$2004,"&lt;="&amp;D1682,$D$5:$D$2004,"&gt;="&amp;C1682)&gt;1,"Overlaps another row","OK"))))</f>
        <v/>
      </c>
      <c r="P1682">
        <f>IF(A1682="","",A1682&amp;"|"&amp;IF(B1682="","Standard",B1682))</f>
        <v/>
      </c>
      <c r="Q1682">
        <f>IF(AND(A1682&lt;&gt;"",A1682='Firm Search'!$C$7),COUNTIF($A$5:A1682,'Firm Search'!$C$7),"")</f>
        <v/>
      </c>
    </row>
    <row r="1683">
      <c r="A1683" s="64" t="n"/>
      <c r="B1683" s="64" t="n"/>
      <c r="C1683" s="66" t="n"/>
      <c r="D1683" s="66" t="n"/>
      <c r="E1683" s="67" t="n"/>
      <c r="F1683" s="67" t="n"/>
      <c r="G1683" s="67" t="n"/>
      <c r="H1683" s="67" t="n"/>
      <c r="I1683" s="67" t="n"/>
      <c r="J1683" s="67" t="n"/>
      <c r="K1683" s="67" t="n"/>
      <c r="L1683" s="67" t="n"/>
      <c r="M1683" s="64" t="n"/>
      <c r="N1683" s="66" t="n"/>
      <c r="O1683" s="84">
        <f>IF(A1683="","",IF(OR(C1683="",D1683=""),"Enter both dates",IF(D1683&lt;C1683,"To is before From",IF(COUNTIFS($P$5:$P$2004,P1683,$C$5:$C$2004,"&lt;="&amp;D1683,$D$5:$D$2004,"&gt;="&amp;C1683)&gt;1,"Overlaps another row","OK"))))</f>
        <v/>
      </c>
      <c r="P1683">
        <f>IF(A1683="","",A1683&amp;"|"&amp;IF(B1683="","Standard",B1683))</f>
        <v/>
      </c>
      <c r="Q1683">
        <f>IF(AND(A1683&lt;&gt;"",A1683='Firm Search'!$C$7),COUNTIF($A$5:A1683,'Firm Search'!$C$7),"")</f>
        <v/>
      </c>
    </row>
    <row r="1684">
      <c r="A1684" s="64" t="n"/>
      <c r="B1684" s="64" t="n"/>
      <c r="C1684" s="66" t="n"/>
      <c r="D1684" s="66" t="n"/>
      <c r="E1684" s="67" t="n"/>
      <c r="F1684" s="67" t="n"/>
      <c r="G1684" s="67" t="n"/>
      <c r="H1684" s="67" t="n"/>
      <c r="I1684" s="67" t="n"/>
      <c r="J1684" s="67" t="n"/>
      <c r="K1684" s="67" t="n"/>
      <c r="L1684" s="67" t="n"/>
      <c r="M1684" s="64" t="n"/>
      <c r="N1684" s="66" t="n"/>
      <c r="O1684" s="84">
        <f>IF(A1684="","",IF(OR(C1684="",D1684=""),"Enter both dates",IF(D1684&lt;C1684,"To is before From",IF(COUNTIFS($P$5:$P$2004,P1684,$C$5:$C$2004,"&lt;="&amp;D1684,$D$5:$D$2004,"&gt;="&amp;C1684)&gt;1,"Overlaps another row","OK"))))</f>
        <v/>
      </c>
      <c r="P1684">
        <f>IF(A1684="","",A1684&amp;"|"&amp;IF(B1684="","Standard",B1684))</f>
        <v/>
      </c>
      <c r="Q1684">
        <f>IF(AND(A1684&lt;&gt;"",A1684='Firm Search'!$C$7),COUNTIF($A$5:A1684,'Firm Search'!$C$7),"")</f>
        <v/>
      </c>
    </row>
    <row r="1685">
      <c r="A1685" s="64" t="n"/>
      <c r="B1685" s="64" t="n"/>
      <c r="C1685" s="66" t="n"/>
      <c r="D1685" s="66" t="n"/>
      <c r="E1685" s="67" t="n"/>
      <c r="F1685" s="67" t="n"/>
      <c r="G1685" s="67" t="n"/>
      <c r="H1685" s="67" t="n"/>
      <c r="I1685" s="67" t="n"/>
      <c r="J1685" s="67" t="n"/>
      <c r="K1685" s="67" t="n"/>
      <c r="L1685" s="67" t="n"/>
      <c r="M1685" s="64" t="n"/>
      <c r="N1685" s="66" t="n"/>
      <c r="O1685" s="84">
        <f>IF(A1685="","",IF(OR(C1685="",D1685=""),"Enter both dates",IF(D1685&lt;C1685,"To is before From",IF(COUNTIFS($P$5:$P$2004,P1685,$C$5:$C$2004,"&lt;="&amp;D1685,$D$5:$D$2004,"&gt;="&amp;C1685)&gt;1,"Overlaps another row","OK"))))</f>
        <v/>
      </c>
      <c r="P1685">
        <f>IF(A1685="","",A1685&amp;"|"&amp;IF(B1685="","Standard",B1685))</f>
        <v/>
      </c>
      <c r="Q1685">
        <f>IF(AND(A1685&lt;&gt;"",A1685='Firm Search'!$C$7),COUNTIF($A$5:A1685,'Firm Search'!$C$7),"")</f>
        <v/>
      </c>
    </row>
    <row r="1686">
      <c r="A1686" s="64" t="n"/>
      <c r="B1686" s="64" t="n"/>
      <c r="C1686" s="66" t="n"/>
      <c r="D1686" s="66" t="n"/>
      <c r="E1686" s="67" t="n"/>
      <c r="F1686" s="67" t="n"/>
      <c r="G1686" s="67" t="n"/>
      <c r="H1686" s="67" t="n"/>
      <c r="I1686" s="67" t="n"/>
      <c r="J1686" s="67" t="n"/>
      <c r="K1686" s="67" t="n"/>
      <c r="L1686" s="67" t="n"/>
      <c r="M1686" s="64" t="n"/>
      <c r="N1686" s="66" t="n"/>
      <c r="O1686" s="84">
        <f>IF(A1686="","",IF(OR(C1686="",D1686=""),"Enter both dates",IF(D1686&lt;C1686,"To is before From",IF(COUNTIFS($P$5:$P$2004,P1686,$C$5:$C$2004,"&lt;="&amp;D1686,$D$5:$D$2004,"&gt;="&amp;C1686)&gt;1,"Overlaps another row","OK"))))</f>
        <v/>
      </c>
      <c r="P1686">
        <f>IF(A1686="","",A1686&amp;"|"&amp;IF(B1686="","Standard",B1686))</f>
        <v/>
      </c>
      <c r="Q1686">
        <f>IF(AND(A1686&lt;&gt;"",A1686='Firm Search'!$C$7),COUNTIF($A$5:A1686,'Firm Search'!$C$7),"")</f>
        <v/>
      </c>
    </row>
    <row r="1687">
      <c r="A1687" s="64" t="n"/>
      <c r="B1687" s="64" t="n"/>
      <c r="C1687" s="66" t="n"/>
      <c r="D1687" s="66" t="n"/>
      <c r="E1687" s="67" t="n"/>
      <c r="F1687" s="67" t="n"/>
      <c r="G1687" s="67" t="n"/>
      <c r="H1687" s="67" t="n"/>
      <c r="I1687" s="67" t="n"/>
      <c r="J1687" s="67" t="n"/>
      <c r="K1687" s="67" t="n"/>
      <c r="L1687" s="67" t="n"/>
      <c r="M1687" s="64" t="n"/>
      <c r="N1687" s="66" t="n"/>
      <c r="O1687" s="84">
        <f>IF(A1687="","",IF(OR(C1687="",D1687=""),"Enter both dates",IF(D1687&lt;C1687,"To is before From",IF(COUNTIFS($P$5:$P$2004,P1687,$C$5:$C$2004,"&lt;="&amp;D1687,$D$5:$D$2004,"&gt;="&amp;C1687)&gt;1,"Overlaps another row","OK"))))</f>
        <v/>
      </c>
      <c r="P1687">
        <f>IF(A1687="","",A1687&amp;"|"&amp;IF(B1687="","Standard",B1687))</f>
        <v/>
      </c>
      <c r="Q1687">
        <f>IF(AND(A1687&lt;&gt;"",A1687='Firm Search'!$C$7),COUNTIF($A$5:A1687,'Firm Search'!$C$7),"")</f>
        <v/>
      </c>
    </row>
    <row r="1688">
      <c r="A1688" s="64" t="n"/>
      <c r="B1688" s="64" t="n"/>
      <c r="C1688" s="66" t="n"/>
      <c r="D1688" s="66" t="n"/>
      <c r="E1688" s="67" t="n"/>
      <c r="F1688" s="67" t="n"/>
      <c r="G1688" s="67" t="n"/>
      <c r="H1688" s="67" t="n"/>
      <c r="I1688" s="67" t="n"/>
      <c r="J1688" s="67" t="n"/>
      <c r="K1688" s="67" t="n"/>
      <c r="L1688" s="67" t="n"/>
      <c r="M1688" s="64" t="n"/>
      <c r="N1688" s="66" t="n"/>
      <c r="O1688" s="84">
        <f>IF(A1688="","",IF(OR(C1688="",D1688=""),"Enter both dates",IF(D1688&lt;C1688,"To is before From",IF(COUNTIFS($P$5:$P$2004,P1688,$C$5:$C$2004,"&lt;="&amp;D1688,$D$5:$D$2004,"&gt;="&amp;C1688)&gt;1,"Overlaps another row","OK"))))</f>
        <v/>
      </c>
      <c r="P1688">
        <f>IF(A1688="","",A1688&amp;"|"&amp;IF(B1688="","Standard",B1688))</f>
        <v/>
      </c>
      <c r="Q1688">
        <f>IF(AND(A1688&lt;&gt;"",A1688='Firm Search'!$C$7),COUNTIF($A$5:A1688,'Firm Search'!$C$7),"")</f>
        <v/>
      </c>
    </row>
    <row r="1689">
      <c r="A1689" s="64" t="n"/>
      <c r="B1689" s="64" t="n"/>
      <c r="C1689" s="66" t="n"/>
      <c r="D1689" s="66" t="n"/>
      <c r="E1689" s="67" t="n"/>
      <c r="F1689" s="67" t="n"/>
      <c r="G1689" s="67" t="n"/>
      <c r="H1689" s="67" t="n"/>
      <c r="I1689" s="67" t="n"/>
      <c r="J1689" s="67" t="n"/>
      <c r="K1689" s="67" t="n"/>
      <c r="L1689" s="67" t="n"/>
      <c r="M1689" s="64" t="n"/>
      <c r="N1689" s="66" t="n"/>
      <c r="O1689" s="84">
        <f>IF(A1689="","",IF(OR(C1689="",D1689=""),"Enter both dates",IF(D1689&lt;C1689,"To is before From",IF(COUNTIFS($P$5:$P$2004,P1689,$C$5:$C$2004,"&lt;="&amp;D1689,$D$5:$D$2004,"&gt;="&amp;C1689)&gt;1,"Overlaps another row","OK"))))</f>
        <v/>
      </c>
      <c r="P1689">
        <f>IF(A1689="","",A1689&amp;"|"&amp;IF(B1689="","Standard",B1689))</f>
        <v/>
      </c>
      <c r="Q1689">
        <f>IF(AND(A1689&lt;&gt;"",A1689='Firm Search'!$C$7),COUNTIF($A$5:A1689,'Firm Search'!$C$7),"")</f>
        <v/>
      </c>
    </row>
    <row r="1690">
      <c r="A1690" s="64" t="n"/>
      <c r="B1690" s="64" t="n"/>
      <c r="C1690" s="66" t="n"/>
      <c r="D1690" s="66" t="n"/>
      <c r="E1690" s="67" t="n"/>
      <c r="F1690" s="67" t="n"/>
      <c r="G1690" s="67" t="n"/>
      <c r="H1690" s="67" t="n"/>
      <c r="I1690" s="67" t="n"/>
      <c r="J1690" s="67" t="n"/>
      <c r="K1690" s="67" t="n"/>
      <c r="L1690" s="67" t="n"/>
      <c r="M1690" s="64" t="n"/>
      <c r="N1690" s="66" t="n"/>
      <c r="O1690" s="84">
        <f>IF(A1690="","",IF(OR(C1690="",D1690=""),"Enter both dates",IF(D1690&lt;C1690,"To is before From",IF(COUNTIFS($P$5:$P$2004,P1690,$C$5:$C$2004,"&lt;="&amp;D1690,$D$5:$D$2004,"&gt;="&amp;C1690)&gt;1,"Overlaps another row","OK"))))</f>
        <v/>
      </c>
      <c r="P1690">
        <f>IF(A1690="","",A1690&amp;"|"&amp;IF(B1690="","Standard",B1690))</f>
        <v/>
      </c>
      <c r="Q1690">
        <f>IF(AND(A1690&lt;&gt;"",A1690='Firm Search'!$C$7),COUNTIF($A$5:A1690,'Firm Search'!$C$7),"")</f>
        <v/>
      </c>
    </row>
    <row r="1691">
      <c r="A1691" s="64" t="n"/>
      <c r="B1691" s="64" t="n"/>
      <c r="C1691" s="66" t="n"/>
      <c r="D1691" s="66" t="n"/>
      <c r="E1691" s="67" t="n"/>
      <c r="F1691" s="67" t="n"/>
      <c r="G1691" s="67" t="n"/>
      <c r="H1691" s="67" t="n"/>
      <c r="I1691" s="67" t="n"/>
      <c r="J1691" s="67" t="n"/>
      <c r="K1691" s="67" t="n"/>
      <c r="L1691" s="67" t="n"/>
      <c r="M1691" s="64" t="n"/>
      <c r="N1691" s="66" t="n"/>
      <c r="O1691" s="84">
        <f>IF(A1691="","",IF(OR(C1691="",D1691=""),"Enter both dates",IF(D1691&lt;C1691,"To is before From",IF(COUNTIFS($P$5:$P$2004,P1691,$C$5:$C$2004,"&lt;="&amp;D1691,$D$5:$D$2004,"&gt;="&amp;C1691)&gt;1,"Overlaps another row","OK"))))</f>
        <v/>
      </c>
      <c r="P1691">
        <f>IF(A1691="","",A1691&amp;"|"&amp;IF(B1691="","Standard",B1691))</f>
        <v/>
      </c>
      <c r="Q1691">
        <f>IF(AND(A1691&lt;&gt;"",A1691='Firm Search'!$C$7),COUNTIF($A$5:A1691,'Firm Search'!$C$7),"")</f>
        <v/>
      </c>
    </row>
    <row r="1692">
      <c r="A1692" s="64" t="n"/>
      <c r="B1692" s="64" t="n"/>
      <c r="C1692" s="66" t="n"/>
      <c r="D1692" s="66" t="n"/>
      <c r="E1692" s="67" t="n"/>
      <c r="F1692" s="67" t="n"/>
      <c r="G1692" s="67" t="n"/>
      <c r="H1692" s="67" t="n"/>
      <c r="I1692" s="67" t="n"/>
      <c r="J1692" s="67" t="n"/>
      <c r="K1692" s="67" t="n"/>
      <c r="L1692" s="67" t="n"/>
      <c r="M1692" s="64" t="n"/>
      <c r="N1692" s="66" t="n"/>
      <c r="O1692" s="84">
        <f>IF(A1692="","",IF(OR(C1692="",D1692=""),"Enter both dates",IF(D1692&lt;C1692,"To is before From",IF(COUNTIFS($P$5:$P$2004,P1692,$C$5:$C$2004,"&lt;="&amp;D1692,$D$5:$D$2004,"&gt;="&amp;C1692)&gt;1,"Overlaps another row","OK"))))</f>
        <v/>
      </c>
      <c r="P1692">
        <f>IF(A1692="","",A1692&amp;"|"&amp;IF(B1692="","Standard",B1692))</f>
        <v/>
      </c>
      <c r="Q1692">
        <f>IF(AND(A1692&lt;&gt;"",A1692='Firm Search'!$C$7),COUNTIF($A$5:A1692,'Firm Search'!$C$7),"")</f>
        <v/>
      </c>
    </row>
    <row r="1693">
      <c r="A1693" s="64" t="n"/>
      <c r="B1693" s="64" t="n"/>
      <c r="C1693" s="66" t="n"/>
      <c r="D1693" s="66" t="n"/>
      <c r="E1693" s="67" t="n"/>
      <c r="F1693" s="67" t="n"/>
      <c r="G1693" s="67" t="n"/>
      <c r="H1693" s="67" t="n"/>
      <c r="I1693" s="67" t="n"/>
      <c r="J1693" s="67" t="n"/>
      <c r="K1693" s="67" t="n"/>
      <c r="L1693" s="67" t="n"/>
      <c r="M1693" s="64" t="n"/>
      <c r="N1693" s="66" t="n"/>
      <c r="O1693" s="84">
        <f>IF(A1693="","",IF(OR(C1693="",D1693=""),"Enter both dates",IF(D1693&lt;C1693,"To is before From",IF(COUNTIFS($P$5:$P$2004,P1693,$C$5:$C$2004,"&lt;="&amp;D1693,$D$5:$D$2004,"&gt;="&amp;C1693)&gt;1,"Overlaps another row","OK"))))</f>
        <v/>
      </c>
      <c r="P1693">
        <f>IF(A1693="","",A1693&amp;"|"&amp;IF(B1693="","Standard",B1693))</f>
        <v/>
      </c>
      <c r="Q1693">
        <f>IF(AND(A1693&lt;&gt;"",A1693='Firm Search'!$C$7),COUNTIF($A$5:A1693,'Firm Search'!$C$7),"")</f>
        <v/>
      </c>
    </row>
    <row r="1694">
      <c r="A1694" s="64" t="n"/>
      <c r="B1694" s="64" t="n"/>
      <c r="C1694" s="66" t="n"/>
      <c r="D1694" s="66" t="n"/>
      <c r="E1694" s="67" t="n"/>
      <c r="F1694" s="67" t="n"/>
      <c r="G1694" s="67" t="n"/>
      <c r="H1694" s="67" t="n"/>
      <c r="I1694" s="67" t="n"/>
      <c r="J1694" s="67" t="n"/>
      <c r="K1694" s="67" t="n"/>
      <c r="L1694" s="67" t="n"/>
      <c r="M1694" s="64" t="n"/>
      <c r="N1694" s="66" t="n"/>
      <c r="O1694" s="84">
        <f>IF(A1694="","",IF(OR(C1694="",D1694=""),"Enter both dates",IF(D1694&lt;C1694,"To is before From",IF(COUNTIFS($P$5:$P$2004,P1694,$C$5:$C$2004,"&lt;="&amp;D1694,$D$5:$D$2004,"&gt;="&amp;C1694)&gt;1,"Overlaps another row","OK"))))</f>
        <v/>
      </c>
      <c r="P1694">
        <f>IF(A1694="","",A1694&amp;"|"&amp;IF(B1694="","Standard",B1694))</f>
        <v/>
      </c>
      <c r="Q1694">
        <f>IF(AND(A1694&lt;&gt;"",A1694='Firm Search'!$C$7),COUNTIF($A$5:A1694,'Firm Search'!$C$7),"")</f>
        <v/>
      </c>
    </row>
    <row r="1695">
      <c r="A1695" s="64" t="n"/>
      <c r="B1695" s="64" t="n"/>
      <c r="C1695" s="66" t="n"/>
      <c r="D1695" s="66" t="n"/>
      <c r="E1695" s="67" t="n"/>
      <c r="F1695" s="67" t="n"/>
      <c r="G1695" s="67" t="n"/>
      <c r="H1695" s="67" t="n"/>
      <c r="I1695" s="67" t="n"/>
      <c r="J1695" s="67" t="n"/>
      <c r="K1695" s="67" t="n"/>
      <c r="L1695" s="67" t="n"/>
      <c r="M1695" s="64" t="n"/>
      <c r="N1695" s="66" t="n"/>
      <c r="O1695" s="84">
        <f>IF(A1695="","",IF(OR(C1695="",D1695=""),"Enter both dates",IF(D1695&lt;C1695,"To is before From",IF(COUNTIFS($P$5:$P$2004,P1695,$C$5:$C$2004,"&lt;="&amp;D1695,$D$5:$D$2004,"&gt;="&amp;C1695)&gt;1,"Overlaps another row","OK"))))</f>
        <v/>
      </c>
      <c r="P1695">
        <f>IF(A1695="","",A1695&amp;"|"&amp;IF(B1695="","Standard",B1695))</f>
        <v/>
      </c>
      <c r="Q1695">
        <f>IF(AND(A1695&lt;&gt;"",A1695='Firm Search'!$C$7),COUNTIF($A$5:A1695,'Firm Search'!$C$7),"")</f>
        <v/>
      </c>
    </row>
    <row r="1696">
      <c r="A1696" s="64" t="n"/>
      <c r="B1696" s="64" t="n"/>
      <c r="C1696" s="66" t="n"/>
      <c r="D1696" s="66" t="n"/>
      <c r="E1696" s="67" t="n"/>
      <c r="F1696" s="67" t="n"/>
      <c r="G1696" s="67" t="n"/>
      <c r="H1696" s="67" t="n"/>
      <c r="I1696" s="67" t="n"/>
      <c r="J1696" s="67" t="n"/>
      <c r="K1696" s="67" t="n"/>
      <c r="L1696" s="67" t="n"/>
      <c r="M1696" s="64" t="n"/>
      <c r="N1696" s="66" t="n"/>
      <c r="O1696" s="84">
        <f>IF(A1696="","",IF(OR(C1696="",D1696=""),"Enter both dates",IF(D1696&lt;C1696,"To is before From",IF(COUNTIFS($P$5:$P$2004,P1696,$C$5:$C$2004,"&lt;="&amp;D1696,$D$5:$D$2004,"&gt;="&amp;C1696)&gt;1,"Overlaps another row","OK"))))</f>
        <v/>
      </c>
      <c r="P1696">
        <f>IF(A1696="","",A1696&amp;"|"&amp;IF(B1696="","Standard",B1696))</f>
        <v/>
      </c>
      <c r="Q1696">
        <f>IF(AND(A1696&lt;&gt;"",A1696='Firm Search'!$C$7),COUNTIF($A$5:A1696,'Firm Search'!$C$7),"")</f>
        <v/>
      </c>
    </row>
    <row r="1697">
      <c r="A1697" s="64" t="n"/>
      <c r="B1697" s="64" t="n"/>
      <c r="C1697" s="66" t="n"/>
      <c r="D1697" s="66" t="n"/>
      <c r="E1697" s="67" t="n"/>
      <c r="F1697" s="67" t="n"/>
      <c r="G1697" s="67" t="n"/>
      <c r="H1697" s="67" t="n"/>
      <c r="I1697" s="67" t="n"/>
      <c r="J1697" s="67" t="n"/>
      <c r="K1697" s="67" t="n"/>
      <c r="L1697" s="67" t="n"/>
      <c r="M1697" s="64" t="n"/>
      <c r="N1697" s="66" t="n"/>
      <c r="O1697" s="84">
        <f>IF(A1697="","",IF(OR(C1697="",D1697=""),"Enter both dates",IF(D1697&lt;C1697,"To is before From",IF(COUNTIFS($P$5:$P$2004,P1697,$C$5:$C$2004,"&lt;="&amp;D1697,$D$5:$D$2004,"&gt;="&amp;C1697)&gt;1,"Overlaps another row","OK"))))</f>
        <v/>
      </c>
      <c r="P1697">
        <f>IF(A1697="","",A1697&amp;"|"&amp;IF(B1697="","Standard",B1697))</f>
        <v/>
      </c>
      <c r="Q1697">
        <f>IF(AND(A1697&lt;&gt;"",A1697='Firm Search'!$C$7),COUNTIF($A$5:A1697,'Firm Search'!$C$7),"")</f>
        <v/>
      </c>
    </row>
    <row r="1698">
      <c r="A1698" s="64" t="n"/>
      <c r="B1698" s="64" t="n"/>
      <c r="C1698" s="66" t="n"/>
      <c r="D1698" s="66" t="n"/>
      <c r="E1698" s="67" t="n"/>
      <c r="F1698" s="67" t="n"/>
      <c r="G1698" s="67" t="n"/>
      <c r="H1698" s="67" t="n"/>
      <c r="I1698" s="67" t="n"/>
      <c r="J1698" s="67" t="n"/>
      <c r="K1698" s="67" t="n"/>
      <c r="L1698" s="67" t="n"/>
      <c r="M1698" s="64" t="n"/>
      <c r="N1698" s="66" t="n"/>
      <c r="O1698" s="84">
        <f>IF(A1698="","",IF(OR(C1698="",D1698=""),"Enter both dates",IF(D1698&lt;C1698,"To is before From",IF(COUNTIFS($P$5:$P$2004,P1698,$C$5:$C$2004,"&lt;="&amp;D1698,$D$5:$D$2004,"&gt;="&amp;C1698)&gt;1,"Overlaps another row","OK"))))</f>
        <v/>
      </c>
      <c r="P1698">
        <f>IF(A1698="","",A1698&amp;"|"&amp;IF(B1698="","Standard",B1698))</f>
        <v/>
      </c>
      <c r="Q1698">
        <f>IF(AND(A1698&lt;&gt;"",A1698='Firm Search'!$C$7),COUNTIF($A$5:A1698,'Firm Search'!$C$7),"")</f>
        <v/>
      </c>
    </row>
    <row r="1699">
      <c r="A1699" s="64" t="n"/>
      <c r="B1699" s="64" t="n"/>
      <c r="C1699" s="66" t="n"/>
      <c r="D1699" s="66" t="n"/>
      <c r="E1699" s="67" t="n"/>
      <c r="F1699" s="67" t="n"/>
      <c r="G1699" s="67" t="n"/>
      <c r="H1699" s="67" t="n"/>
      <c r="I1699" s="67" t="n"/>
      <c r="J1699" s="67" t="n"/>
      <c r="K1699" s="67" t="n"/>
      <c r="L1699" s="67" t="n"/>
      <c r="M1699" s="64" t="n"/>
      <c r="N1699" s="66" t="n"/>
      <c r="O1699" s="84">
        <f>IF(A1699="","",IF(OR(C1699="",D1699=""),"Enter both dates",IF(D1699&lt;C1699,"To is before From",IF(COUNTIFS($P$5:$P$2004,P1699,$C$5:$C$2004,"&lt;="&amp;D1699,$D$5:$D$2004,"&gt;="&amp;C1699)&gt;1,"Overlaps another row","OK"))))</f>
        <v/>
      </c>
      <c r="P1699">
        <f>IF(A1699="","",A1699&amp;"|"&amp;IF(B1699="","Standard",B1699))</f>
        <v/>
      </c>
      <c r="Q1699">
        <f>IF(AND(A1699&lt;&gt;"",A1699='Firm Search'!$C$7),COUNTIF($A$5:A1699,'Firm Search'!$C$7),"")</f>
        <v/>
      </c>
    </row>
    <row r="1700">
      <c r="A1700" s="64" t="n"/>
      <c r="B1700" s="64" t="n"/>
      <c r="C1700" s="66" t="n"/>
      <c r="D1700" s="66" t="n"/>
      <c r="E1700" s="67" t="n"/>
      <c r="F1700" s="67" t="n"/>
      <c r="G1700" s="67" t="n"/>
      <c r="H1700" s="67" t="n"/>
      <c r="I1700" s="67" t="n"/>
      <c r="J1700" s="67" t="n"/>
      <c r="K1700" s="67" t="n"/>
      <c r="L1700" s="67" t="n"/>
      <c r="M1700" s="64" t="n"/>
      <c r="N1700" s="66" t="n"/>
      <c r="O1700" s="84">
        <f>IF(A1700="","",IF(OR(C1700="",D1700=""),"Enter both dates",IF(D1700&lt;C1700,"To is before From",IF(COUNTIFS($P$5:$P$2004,P1700,$C$5:$C$2004,"&lt;="&amp;D1700,$D$5:$D$2004,"&gt;="&amp;C1700)&gt;1,"Overlaps another row","OK"))))</f>
        <v/>
      </c>
      <c r="P1700">
        <f>IF(A1700="","",A1700&amp;"|"&amp;IF(B1700="","Standard",B1700))</f>
        <v/>
      </c>
      <c r="Q1700">
        <f>IF(AND(A1700&lt;&gt;"",A1700='Firm Search'!$C$7),COUNTIF($A$5:A1700,'Firm Search'!$C$7),"")</f>
        <v/>
      </c>
    </row>
    <row r="1701">
      <c r="A1701" s="64" t="n"/>
      <c r="B1701" s="64" t="n"/>
      <c r="C1701" s="66" t="n"/>
      <c r="D1701" s="66" t="n"/>
      <c r="E1701" s="67" t="n"/>
      <c r="F1701" s="67" t="n"/>
      <c r="G1701" s="67" t="n"/>
      <c r="H1701" s="67" t="n"/>
      <c r="I1701" s="67" t="n"/>
      <c r="J1701" s="67" t="n"/>
      <c r="K1701" s="67" t="n"/>
      <c r="L1701" s="67" t="n"/>
      <c r="M1701" s="64" t="n"/>
      <c r="N1701" s="66" t="n"/>
      <c r="O1701" s="84">
        <f>IF(A1701="","",IF(OR(C1701="",D1701=""),"Enter both dates",IF(D1701&lt;C1701,"To is before From",IF(COUNTIFS($P$5:$P$2004,P1701,$C$5:$C$2004,"&lt;="&amp;D1701,$D$5:$D$2004,"&gt;="&amp;C1701)&gt;1,"Overlaps another row","OK"))))</f>
        <v/>
      </c>
      <c r="P1701">
        <f>IF(A1701="","",A1701&amp;"|"&amp;IF(B1701="","Standard",B1701))</f>
        <v/>
      </c>
      <c r="Q1701">
        <f>IF(AND(A1701&lt;&gt;"",A1701='Firm Search'!$C$7),COUNTIF($A$5:A1701,'Firm Search'!$C$7),"")</f>
        <v/>
      </c>
    </row>
    <row r="1702">
      <c r="A1702" s="64" t="n"/>
      <c r="B1702" s="64" t="n"/>
      <c r="C1702" s="66" t="n"/>
      <c r="D1702" s="66" t="n"/>
      <c r="E1702" s="67" t="n"/>
      <c r="F1702" s="67" t="n"/>
      <c r="G1702" s="67" t="n"/>
      <c r="H1702" s="67" t="n"/>
      <c r="I1702" s="67" t="n"/>
      <c r="J1702" s="67" t="n"/>
      <c r="K1702" s="67" t="n"/>
      <c r="L1702" s="67" t="n"/>
      <c r="M1702" s="64" t="n"/>
      <c r="N1702" s="66" t="n"/>
      <c r="O1702" s="84">
        <f>IF(A1702="","",IF(OR(C1702="",D1702=""),"Enter both dates",IF(D1702&lt;C1702,"To is before From",IF(COUNTIFS($P$5:$P$2004,P1702,$C$5:$C$2004,"&lt;="&amp;D1702,$D$5:$D$2004,"&gt;="&amp;C1702)&gt;1,"Overlaps another row","OK"))))</f>
        <v/>
      </c>
      <c r="P1702">
        <f>IF(A1702="","",A1702&amp;"|"&amp;IF(B1702="","Standard",B1702))</f>
        <v/>
      </c>
      <c r="Q1702">
        <f>IF(AND(A1702&lt;&gt;"",A1702='Firm Search'!$C$7),COUNTIF($A$5:A1702,'Firm Search'!$C$7),"")</f>
        <v/>
      </c>
    </row>
    <row r="1703">
      <c r="A1703" s="64" t="n"/>
      <c r="B1703" s="64" t="n"/>
      <c r="C1703" s="66" t="n"/>
      <c r="D1703" s="66" t="n"/>
      <c r="E1703" s="67" t="n"/>
      <c r="F1703" s="67" t="n"/>
      <c r="G1703" s="67" t="n"/>
      <c r="H1703" s="67" t="n"/>
      <c r="I1703" s="67" t="n"/>
      <c r="J1703" s="67" t="n"/>
      <c r="K1703" s="67" t="n"/>
      <c r="L1703" s="67" t="n"/>
      <c r="M1703" s="64" t="n"/>
      <c r="N1703" s="66" t="n"/>
      <c r="O1703" s="84">
        <f>IF(A1703="","",IF(OR(C1703="",D1703=""),"Enter both dates",IF(D1703&lt;C1703,"To is before From",IF(COUNTIFS($P$5:$P$2004,P1703,$C$5:$C$2004,"&lt;="&amp;D1703,$D$5:$D$2004,"&gt;="&amp;C1703)&gt;1,"Overlaps another row","OK"))))</f>
        <v/>
      </c>
      <c r="P1703">
        <f>IF(A1703="","",A1703&amp;"|"&amp;IF(B1703="","Standard",B1703))</f>
        <v/>
      </c>
      <c r="Q1703">
        <f>IF(AND(A1703&lt;&gt;"",A1703='Firm Search'!$C$7),COUNTIF($A$5:A1703,'Firm Search'!$C$7),"")</f>
        <v/>
      </c>
    </row>
    <row r="1704">
      <c r="A1704" s="64" t="n"/>
      <c r="B1704" s="64" t="n"/>
      <c r="C1704" s="66" t="n"/>
      <c r="D1704" s="66" t="n"/>
      <c r="E1704" s="67" t="n"/>
      <c r="F1704" s="67" t="n"/>
      <c r="G1704" s="67" t="n"/>
      <c r="H1704" s="67" t="n"/>
      <c r="I1704" s="67" t="n"/>
      <c r="J1704" s="67" t="n"/>
      <c r="K1704" s="67" t="n"/>
      <c r="L1704" s="67" t="n"/>
      <c r="M1704" s="64" t="n"/>
      <c r="N1704" s="66" t="n"/>
      <c r="O1704" s="84">
        <f>IF(A1704="","",IF(OR(C1704="",D1704=""),"Enter both dates",IF(D1704&lt;C1704,"To is before From",IF(COUNTIFS($P$5:$P$2004,P1704,$C$5:$C$2004,"&lt;="&amp;D1704,$D$5:$D$2004,"&gt;="&amp;C1704)&gt;1,"Overlaps another row","OK"))))</f>
        <v/>
      </c>
      <c r="P1704">
        <f>IF(A1704="","",A1704&amp;"|"&amp;IF(B1704="","Standard",B1704))</f>
        <v/>
      </c>
      <c r="Q1704">
        <f>IF(AND(A1704&lt;&gt;"",A1704='Firm Search'!$C$7),COUNTIF($A$5:A1704,'Firm Search'!$C$7),"")</f>
        <v/>
      </c>
    </row>
    <row r="1705">
      <c r="A1705" s="64" t="n"/>
      <c r="B1705" s="64" t="n"/>
      <c r="C1705" s="66" t="n"/>
      <c r="D1705" s="66" t="n"/>
      <c r="E1705" s="67" t="n"/>
      <c r="F1705" s="67" t="n"/>
      <c r="G1705" s="67" t="n"/>
      <c r="H1705" s="67" t="n"/>
      <c r="I1705" s="67" t="n"/>
      <c r="J1705" s="67" t="n"/>
      <c r="K1705" s="67" t="n"/>
      <c r="L1705" s="67" t="n"/>
      <c r="M1705" s="64" t="n"/>
      <c r="N1705" s="66" t="n"/>
      <c r="O1705" s="84">
        <f>IF(A1705="","",IF(OR(C1705="",D1705=""),"Enter both dates",IF(D1705&lt;C1705,"To is before From",IF(COUNTIFS($P$5:$P$2004,P1705,$C$5:$C$2004,"&lt;="&amp;D1705,$D$5:$D$2004,"&gt;="&amp;C1705)&gt;1,"Overlaps another row","OK"))))</f>
        <v/>
      </c>
      <c r="P1705">
        <f>IF(A1705="","",A1705&amp;"|"&amp;IF(B1705="","Standard",B1705))</f>
        <v/>
      </c>
      <c r="Q1705">
        <f>IF(AND(A1705&lt;&gt;"",A1705='Firm Search'!$C$7),COUNTIF($A$5:A1705,'Firm Search'!$C$7),"")</f>
        <v/>
      </c>
    </row>
    <row r="1706">
      <c r="A1706" s="64" t="n"/>
      <c r="B1706" s="64" t="n"/>
      <c r="C1706" s="66" t="n"/>
      <c r="D1706" s="66" t="n"/>
      <c r="E1706" s="67" t="n"/>
      <c r="F1706" s="67" t="n"/>
      <c r="G1706" s="67" t="n"/>
      <c r="H1706" s="67" t="n"/>
      <c r="I1706" s="67" t="n"/>
      <c r="J1706" s="67" t="n"/>
      <c r="K1706" s="67" t="n"/>
      <c r="L1706" s="67" t="n"/>
      <c r="M1706" s="64" t="n"/>
      <c r="N1706" s="66" t="n"/>
      <c r="O1706" s="84">
        <f>IF(A1706="","",IF(OR(C1706="",D1706=""),"Enter both dates",IF(D1706&lt;C1706,"To is before From",IF(COUNTIFS($P$5:$P$2004,P1706,$C$5:$C$2004,"&lt;="&amp;D1706,$D$5:$D$2004,"&gt;="&amp;C1706)&gt;1,"Overlaps another row","OK"))))</f>
        <v/>
      </c>
      <c r="P1706">
        <f>IF(A1706="","",A1706&amp;"|"&amp;IF(B1706="","Standard",B1706))</f>
        <v/>
      </c>
      <c r="Q1706">
        <f>IF(AND(A1706&lt;&gt;"",A1706='Firm Search'!$C$7),COUNTIF($A$5:A1706,'Firm Search'!$C$7),"")</f>
        <v/>
      </c>
    </row>
    <row r="1707">
      <c r="A1707" s="64" t="n"/>
      <c r="B1707" s="64" t="n"/>
      <c r="C1707" s="66" t="n"/>
      <c r="D1707" s="66" t="n"/>
      <c r="E1707" s="67" t="n"/>
      <c r="F1707" s="67" t="n"/>
      <c r="G1707" s="67" t="n"/>
      <c r="H1707" s="67" t="n"/>
      <c r="I1707" s="67" t="n"/>
      <c r="J1707" s="67" t="n"/>
      <c r="K1707" s="67" t="n"/>
      <c r="L1707" s="67" t="n"/>
      <c r="M1707" s="64" t="n"/>
      <c r="N1707" s="66" t="n"/>
      <c r="O1707" s="84">
        <f>IF(A1707="","",IF(OR(C1707="",D1707=""),"Enter both dates",IF(D1707&lt;C1707,"To is before From",IF(COUNTIFS($P$5:$P$2004,P1707,$C$5:$C$2004,"&lt;="&amp;D1707,$D$5:$D$2004,"&gt;="&amp;C1707)&gt;1,"Overlaps another row","OK"))))</f>
        <v/>
      </c>
      <c r="P1707">
        <f>IF(A1707="","",A1707&amp;"|"&amp;IF(B1707="","Standard",B1707))</f>
        <v/>
      </c>
      <c r="Q1707">
        <f>IF(AND(A1707&lt;&gt;"",A1707='Firm Search'!$C$7),COUNTIF($A$5:A1707,'Firm Search'!$C$7),"")</f>
        <v/>
      </c>
    </row>
    <row r="1708">
      <c r="A1708" s="64" t="n"/>
      <c r="B1708" s="64" t="n"/>
      <c r="C1708" s="66" t="n"/>
      <c r="D1708" s="66" t="n"/>
      <c r="E1708" s="67" t="n"/>
      <c r="F1708" s="67" t="n"/>
      <c r="G1708" s="67" t="n"/>
      <c r="H1708" s="67" t="n"/>
      <c r="I1708" s="67" t="n"/>
      <c r="J1708" s="67" t="n"/>
      <c r="K1708" s="67" t="n"/>
      <c r="L1708" s="67" t="n"/>
      <c r="M1708" s="64" t="n"/>
      <c r="N1708" s="66" t="n"/>
      <c r="O1708" s="84">
        <f>IF(A1708="","",IF(OR(C1708="",D1708=""),"Enter both dates",IF(D1708&lt;C1708,"To is before From",IF(COUNTIFS($P$5:$P$2004,P1708,$C$5:$C$2004,"&lt;="&amp;D1708,$D$5:$D$2004,"&gt;="&amp;C1708)&gt;1,"Overlaps another row","OK"))))</f>
        <v/>
      </c>
      <c r="P1708">
        <f>IF(A1708="","",A1708&amp;"|"&amp;IF(B1708="","Standard",B1708))</f>
        <v/>
      </c>
      <c r="Q1708">
        <f>IF(AND(A1708&lt;&gt;"",A1708='Firm Search'!$C$7),COUNTIF($A$5:A1708,'Firm Search'!$C$7),"")</f>
        <v/>
      </c>
    </row>
    <row r="1709">
      <c r="A1709" s="64" t="n"/>
      <c r="B1709" s="64" t="n"/>
      <c r="C1709" s="66" t="n"/>
      <c r="D1709" s="66" t="n"/>
      <c r="E1709" s="67" t="n"/>
      <c r="F1709" s="67" t="n"/>
      <c r="G1709" s="67" t="n"/>
      <c r="H1709" s="67" t="n"/>
      <c r="I1709" s="67" t="n"/>
      <c r="J1709" s="67" t="n"/>
      <c r="K1709" s="67" t="n"/>
      <c r="L1709" s="67" t="n"/>
      <c r="M1709" s="64" t="n"/>
      <c r="N1709" s="66" t="n"/>
      <c r="O1709" s="84">
        <f>IF(A1709="","",IF(OR(C1709="",D1709=""),"Enter both dates",IF(D1709&lt;C1709,"To is before From",IF(COUNTIFS($P$5:$P$2004,P1709,$C$5:$C$2004,"&lt;="&amp;D1709,$D$5:$D$2004,"&gt;="&amp;C1709)&gt;1,"Overlaps another row","OK"))))</f>
        <v/>
      </c>
      <c r="P1709">
        <f>IF(A1709="","",A1709&amp;"|"&amp;IF(B1709="","Standard",B1709))</f>
        <v/>
      </c>
      <c r="Q1709">
        <f>IF(AND(A1709&lt;&gt;"",A1709='Firm Search'!$C$7),COUNTIF($A$5:A1709,'Firm Search'!$C$7),"")</f>
        <v/>
      </c>
    </row>
    <row r="1710">
      <c r="A1710" s="64" t="n"/>
      <c r="B1710" s="64" t="n"/>
      <c r="C1710" s="66" t="n"/>
      <c r="D1710" s="66" t="n"/>
      <c r="E1710" s="67" t="n"/>
      <c r="F1710" s="67" t="n"/>
      <c r="G1710" s="67" t="n"/>
      <c r="H1710" s="67" t="n"/>
      <c r="I1710" s="67" t="n"/>
      <c r="J1710" s="67" t="n"/>
      <c r="K1710" s="67" t="n"/>
      <c r="L1710" s="67" t="n"/>
      <c r="M1710" s="64" t="n"/>
      <c r="N1710" s="66" t="n"/>
      <c r="O1710" s="84">
        <f>IF(A1710="","",IF(OR(C1710="",D1710=""),"Enter both dates",IF(D1710&lt;C1710,"To is before From",IF(COUNTIFS($P$5:$P$2004,P1710,$C$5:$C$2004,"&lt;="&amp;D1710,$D$5:$D$2004,"&gt;="&amp;C1710)&gt;1,"Overlaps another row","OK"))))</f>
        <v/>
      </c>
      <c r="P1710">
        <f>IF(A1710="","",A1710&amp;"|"&amp;IF(B1710="","Standard",B1710))</f>
        <v/>
      </c>
      <c r="Q1710">
        <f>IF(AND(A1710&lt;&gt;"",A1710='Firm Search'!$C$7),COUNTIF($A$5:A1710,'Firm Search'!$C$7),"")</f>
        <v/>
      </c>
    </row>
    <row r="1711">
      <c r="A1711" s="64" t="n"/>
      <c r="B1711" s="64" t="n"/>
      <c r="C1711" s="66" t="n"/>
      <c r="D1711" s="66" t="n"/>
      <c r="E1711" s="67" t="n"/>
      <c r="F1711" s="67" t="n"/>
      <c r="G1711" s="67" t="n"/>
      <c r="H1711" s="67" t="n"/>
      <c r="I1711" s="67" t="n"/>
      <c r="J1711" s="67" t="n"/>
      <c r="K1711" s="67" t="n"/>
      <c r="L1711" s="67" t="n"/>
      <c r="M1711" s="64" t="n"/>
      <c r="N1711" s="66" t="n"/>
      <c r="O1711" s="84">
        <f>IF(A1711="","",IF(OR(C1711="",D1711=""),"Enter both dates",IF(D1711&lt;C1711,"To is before From",IF(COUNTIFS($P$5:$P$2004,P1711,$C$5:$C$2004,"&lt;="&amp;D1711,$D$5:$D$2004,"&gt;="&amp;C1711)&gt;1,"Overlaps another row","OK"))))</f>
        <v/>
      </c>
      <c r="P1711">
        <f>IF(A1711="","",A1711&amp;"|"&amp;IF(B1711="","Standard",B1711))</f>
        <v/>
      </c>
      <c r="Q1711">
        <f>IF(AND(A1711&lt;&gt;"",A1711='Firm Search'!$C$7),COUNTIF($A$5:A1711,'Firm Search'!$C$7),"")</f>
        <v/>
      </c>
    </row>
    <row r="1712">
      <c r="A1712" s="64" t="n"/>
      <c r="B1712" s="64" t="n"/>
      <c r="C1712" s="66" t="n"/>
      <c r="D1712" s="66" t="n"/>
      <c r="E1712" s="67" t="n"/>
      <c r="F1712" s="67" t="n"/>
      <c r="G1712" s="67" t="n"/>
      <c r="H1712" s="67" t="n"/>
      <c r="I1712" s="67" t="n"/>
      <c r="J1712" s="67" t="n"/>
      <c r="K1712" s="67" t="n"/>
      <c r="L1712" s="67" t="n"/>
      <c r="M1712" s="64" t="n"/>
      <c r="N1712" s="66" t="n"/>
      <c r="O1712" s="84">
        <f>IF(A1712="","",IF(OR(C1712="",D1712=""),"Enter both dates",IF(D1712&lt;C1712,"To is before From",IF(COUNTIFS($P$5:$P$2004,P1712,$C$5:$C$2004,"&lt;="&amp;D1712,$D$5:$D$2004,"&gt;="&amp;C1712)&gt;1,"Overlaps another row","OK"))))</f>
        <v/>
      </c>
      <c r="P1712">
        <f>IF(A1712="","",A1712&amp;"|"&amp;IF(B1712="","Standard",B1712))</f>
        <v/>
      </c>
      <c r="Q1712">
        <f>IF(AND(A1712&lt;&gt;"",A1712='Firm Search'!$C$7),COUNTIF($A$5:A1712,'Firm Search'!$C$7),"")</f>
        <v/>
      </c>
    </row>
    <row r="1713">
      <c r="A1713" s="64" t="n"/>
      <c r="B1713" s="64" t="n"/>
      <c r="C1713" s="66" t="n"/>
      <c r="D1713" s="66" t="n"/>
      <c r="E1713" s="67" t="n"/>
      <c r="F1713" s="67" t="n"/>
      <c r="G1713" s="67" t="n"/>
      <c r="H1713" s="67" t="n"/>
      <c r="I1713" s="67" t="n"/>
      <c r="J1713" s="67" t="n"/>
      <c r="K1713" s="67" t="n"/>
      <c r="L1713" s="67" t="n"/>
      <c r="M1713" s="64" t="n"/>
      <c r="N1713" s="66" t="n"/>
      <c r="O1713" s="84">
        <f>IF(A1713="","",IF(OR(C1713="",D1713=""),"Enter both dates",IF(D1713&lt;C1713,"To is before From",IF(COUNTIFS($P$5:$P$2004,P1713,$C$5:$C$2004,"&lt;="&amp;D1713,$D$5:$D$2004,"&gt;="&amp;C1713)&gt;1,"Overlaps another row","OK"))))</f>
        <v/>
      </c>
      <c r="P1713">
        <f>IF(A1713="","",A1713&amp;"|"&amp;IF(B1713="","Standard",B1713))</f>
        <v/>
      </c>
      <c r="Q1713">
        <f>IF(AND(A1713&lt;&gt;"",A1713='Firm Search'!$C$7),COUNTIF($A$5:A1713,'Firm Search'!$C$7),"")</f>
        <v/>
      </c>
    </row>
    <row r="1714">
      <c r="A1714" s="64" t="n"/>
      <c r="B1714" s="64" t="n"/>
      <c r="C1714" s="66" t="n"/>
      <c r="D1714" s="66" t="n"/>
      <c r="E1714" s="67" t="n"/>
      <c r="F1714" s="67" t="n"/>
      <c r="G1714" s="67" t="n"/>
      <c r="H1714" s="67" t="n"/>
      <c r="I1714" s="67" t="n"/>
      <c r="J1714" s="67" t="n"/>
      <c r="K1714" s="67" t="n"/>
      <c r="L1714" s="67" t="n"/>
      <c r="M1714" s="64" t="n"/>
      <c r="N1714" s="66" t="n"/>
      <c r="O1714" s="84">
        <f>IF(A1714="","",IF(OR(C1714="",D1714=""),"Enter both dates",IF(D1714&lt;C1714,"To is before From",IF(COUNTIFS($P$5:$P$2004,P1714,$C$5:$C$2004,"&lt;="&amp;D1714,$D$5:$D$2004,"&gt;="&amp;C1714)&gt;1,"Overlaps another row","OK"))))</f>
        <v/>
      </c>
      <c r="P1714">
        <f>IF(A1714="","",A1714&amp;"|"&amp;IF(B1714="","Standard",B1714))</f>
        <v/>
      </c>
      <c r="Q1714">
        <f>IF(AND(A1714&lt;&gt;"",A1714='Firm Search'!$C$7),COUNTIF($A$5:A1714,'Firm Search'!$C$7),"")</f>
        <v/>
      </c>
    </row>
    <row r="1715">
      <c r="A1715" s="64" t="n"/>
      <c r="B1715" s="64" t="n"/>
      <c r="C1715" s="66" t="n"/>
      <c r="D1715" s="66" t="n"/>
      <c r="E1715" s="67" t="n"/>
      <c r="F1715" s="67" t="n"/>
      <c r="G1715" s="67" t="n"/>
      <c r="H1715" s="67" t="n"/>
      <c r="I1715" s="67" t="n"/>
      <c r="J1715" s="67" t="n"/>
      <c r="K1715" s="67" t="n"/>
      <c r="L1715" s="67" t="n"/>
      <c r="M1715" s="64" t="n"/>
      <c r="N1715" s="66" t="n"/>
      <c r="O1715" s="84">
        <f>IF(A1715="","",IF(OR(C1715="",D1715=""),"Enter both dates",IF(D1715&lt;C1715,"To is before From",IF(COUNTIFS($P$5:$P$2004,P1715,$C$5:$C$2004,"&lt;="&amp;D1715,$D$5:$D$2004,"&gt;="&amp;C1715)&gt;1,"Overlaps another row","OK"))))</f>
        <v/>
      </c>
      <c r="P1715">
        <f>IF(A1715="","",A1715&amp;"|"&amp;IF(B1715="","Standard",B1715))</f>
        <v/>
      </c>
      <c r="Q1715">
        <f>IF(AND(A1715&lt;&gt;"",A1715='Firm Search'!$C$7),COUNTIF($A$5:A1715,'Firm Search'!$C$7),"")</f>
        <v/>
      </c>
    </row>
    <row r="1716">
      <c r="A1716" s="64" t="n"/>
      <c r="B1716" s="64" t="n"/>
      <c r="C1716" s="66" t="n"/>
      <c r="D1716" s="66" t="n"/>
      <c r="E1716" s="67" t="n"/>
      <c r="F1716" s="67" t="n"/>
      <c r="G1716" s="67" t="n"/>
      <c r="H1716" s="67" t="n"/>
      <c r="I1716" s="67" t="n"/>
      <c r="J1716" s="67" t="n"/>
      <c r="K1716" s="67" t="n"/>
      <c r="L1716" s="67" t="n"/>
      <c r="M1716" s="64" t="n"/>
      <c r="N1716" s="66" t="n"/>
      <c r="O1716" s="84">
        <f>IF(A1716="","",IF(OR(C1716="",D1716=""),"Enter both dates",IF(D1716&lt;C1716,"To is before From",IF(COUNTIFS($P$5:$P$2004,P1716,$C$5:$C$2004,"&lt;="&amp;D1716,$D$5:$D$2004,"&gt;="&amp;C1716)&gt;1,"Overlaps another row","OK"))))</f>
        <v/>
      </c>
      <c r="P1716">
        <f>IF(A1716="","",A1716&amp;"|"&amp;IF(B1716="","Standard",B1716))</f>
        <v/>
      </c>
      <c r="Q1716">
        <f>IF(AND(A1716&lt;&gt;"",A1716='Firm Search'!$C$7),COUNTIF($A$5:A1716,'Firm Search'!$C$7),"")</f>
        <v/>
      </c>
    </row>
    <row r="1717">
      <c r="A1717" s="64" t="n"/>
      <c r="B1717" s="64" t="n"/>
      <c r="C1717" s="66" t="n"/>
      <c r="D1717" s="66" t="n"/>
      <c r="E1717" s="67" t="n"/>
      <c r="F1717" s="67" t="n"/>
      <c r="G1717" s="67" t="n"/>
      <c r="H1717" s="67" t="n"/>
      <c r="I1717" s="67" t="n"/>
      <c r="J1717" s="67" t="n"/>
      <c r="K1717" s="67" t="n"/>
      <c r="L1717" s="67" t="n"/>
      <c r="M1717" s="64" t="n"/>
      <c r="N1717" s="66" t="n"/>
      <c r="O1717" s="84">
        <f>IF(A1717="","",IF(OR(C1717="",D1717=""),"Enter both dates",IF(D1717&lt;C1717,"To is before From",IF(COUNTIFS($P$5:$P$2004,P1717,$C$5:$C$2004,"&lt;="&amp;D1717,$D$5:$D$2004,"&gt;="&amp;C1717)&gt;1,"Overlaps another row","OK"))))</f>
        <v/>
      </c>
      <c r="P1717">
        <f>IF(A1717="","",A1717&amp;"|"&amp;IF(B1717="","Standard",B1717))</f>
        <v/>
      </c>
      <c r="Q1717">
        <f>IF(AND(A1717&lt;&gt;"",A1717='Firm Search'!$C$7),COUNTIF($A$5:A1717,'Firm Search'!$C$7),"")</f>
        <v/>
      </c>
    </row>
    <row r="1718">
      <c r="A1718" s="64" t="n"/>
      <c r="B1718" s="64" t="n"/>
      <c r="C1718" s="66" t="n"/>
      <c r="D1718" s="66" t="n"/>
      <c r="E1718" s="67" t="n"/>
      <c r="F1718" s="67" t="n"/>
      <c r="G1718" s="67" t="n"/>
      <c r="H1718" s="67" t="n"/>
      <c r="I1718" s="67" t="n"/>
      <c r="J1718" s="67" t="n"/>
      <c r="K1718" s="67" t="n"/>
      <c r="L1718" s="67" t="n"/>
      <c r="M1718" s="64" t="n"/>
      <c r="N1718" s="66" t="n"/>
      <c r="O1718" s="84">
        <f>IF(A1718="","",IF(OR(C1718="",D1718=""),"Enter both dates",IF(D1718&lt;C1718,"To is before From",IF(COUNTIFS($P$5:$P$2004,P1718,$C$5:$C$2004,"&lt;="&amp;D1718,$D$5:$D$2004,"&gt;="&amp;C1718)&gt;1,"Overlaps another row","OK"))))</f>
        <v/>
      </c>
      <c r="P1718">
        <f>IF(A1718="","",A1718&amp;"|"&amp;IF(B1718="","Standard",B1718))</f>
        <v/>
      </c>
      <c r="Q1718">
        <f>IF(AND(A1718&lt;&gt;"",A1718='Firm Search'!$C$7),COUNTIF($A$5:A1718,'Firm Search'!$C$7),"")</f>
        <v/>
      </c>
    </row>
    <row r="1719">
      <c r="A1719" s="64" t="n"/>
      <c r="B1719" s="64" t="n"/>
      <c r="C1719" s="66" t="n"/>
      <c r="D1719" s="66" t="n"/>
      <c r="E1719" s="67" t="n"/>
      <c r="F1719" s="67" t="n"/>
      <c r="G1719" s="67" t="n"/>
      <c r="H1719" s="67" t="n"/>
      <c r="I1719" s="67" t="n"/>
      <c r="J1719" s="67" t="n"/>
      <c r="K1719" s="67" t="n"/>
      <c r="L1719" s="67" t="n"/>
      <c r="M1719" s="64" t="n"/>
      <c r="N1719" s="66" t="n"/>
      <c r="O1719" s="84">
        <f>IF(A1719="","",IF(OR(C1719="",D1719=""),"Enter both dates",IF(D1719&lt;C1719,"To is before From",IF(COUNTIFS($P$5:$P$2004,P1719,$C$5:$C$2004,"&lt;="&amp;D1719,$D$5:$D$2004,"&gt;="&amp;C1719)&gt;1,"Overlaps another row","OK"))))</f>
        <v/>
      </c>
      <c r="P1719">
        <f>IF(A1719="","",A1719&amp;"|"&amp;IF(B1719="","Standard",B1719))</f>
        <v/>
      </c>
      <c r="Q1719">
        <f>IF(AND(A1719&lt;&gt;"",A1719='Firm Search'!$C$7),COUNTIF($A$5:A1719,'Firm Search'!$C$7),"")</f>
        <v/>
      </c>
    </row>
    <row r="1720">
      <c r="A1720" s="64" t="n"/>
      <c r="B1720" s="64" t="n"/>
      <c r="C1720" s="66" t="n"/>
      <c r="D1720" s="66" t="n"/>
      <c r="E1720" s="67" t="n"/>
      <c r="F1720" s="67" t="n"/>
      <c r="G1720" s="67" t="n"/>
      <c r="H1720" s="67" t="n"/>
      <c r="I1720" s="67" t="n"/>
      <c r="J1720" s="67" t="n"/>
      <c r="K1720" s="67" t="n"/>
      <c r="L1720" s="67" t="n"/>
      <c r="M1720" s="64" t="n"/>
      <c r="N1720" s="66" t="n"/>
      <c r="O1720" s="84">
        <f>IF(A1720="","",IF(OR(C1720="",D1720=""),"Enter both dates",IF(D1720&lt;C1720,"To is before From",IF(COUNTIFS($P$5:$P$2004,P1720,$C$5:$C$2004,"&lt;="&amp;D1720,$D$5:$D$2004,"&gt;="&amp;C1720)&gt;1,"Overlaps another row","OK"))))</f>
        <v/>
      </c>
      <c r="P1720">
        <f>IF(A1720="","",A1720&amp;"|"&amp;IF(B1720="","Standard",B1720))</f>
        <v/>
      </c>
      <c r="Q1720">
        <f>IF(AND(A1720&lt;&gt;"",A1720='Firm Search'!$C$7),COUNTIF($A$5:A1720,'Firm Search'!$C$7),"")</f>
        <v/>
      </c>
    </row>
    <row r="1721">
      <c r="A1721" s="64" t="n"/>
      <c r="B1721" s="64" t="n"/>
      <c r="C1721" s="66" t="n"/>
      <c r="D1721" s="66" t="n"/>
      <c r="E1721" s="67" t="n"/>
      <c r="F1721" s="67" t="n"/>
      <c r="G1721" s="67" t="n"/>
      <c r="H1721" s="67" t="n"/>
      <c r="I1721" s="67" t="n"/>
      <c r="J1721" s="67" t="n"/>
      <c r="K1721" s="67" t="n"/>
      <c r="L1721" s="67" t="n"/>
      <c r="M1721" s="64" t="n"/>
      <c r="N1721" s="66" t="n"/>
      <c r="O1721" s="84">
        <f>IF(A1721="","",IF(OR(C1721="",D1721=""),"Enter both dates",IF(D1721&lt;C1721,"To is before From",IF(COUNTIFS($P$5:$P$2004,P1721,$C$5:$C$2004,"&lt;="&amp;D1721,$D$5:$D$2004,"&gt;="&amp;C1721)&gt;1,"Overlaps another row","OK"))))</f>
        <v/>
      </c>
      <c r="P1721">
        <f>IF(A1721="","",A1721&amp;"|"&amp;IF(B1721="","Standard",B1721))</f>
        <v/>
      </c>
      <c r="Q1721">
        <f>IF(AND(A1721&lt;&gt;"",A1721='Firm Search'!$C$7),COUNTIF($A$5:A1721,'Firm Search'!$C$7),"")</f>
        <v/>
      </c>
    </row>
    <row r="1722">
      <c r="A1722" s="64" t="n"/>
      <c r="B1722" s="64" t="n"/>
      <c r="C1722" s="66" t="n"/>
      <c r="D1722" s="66" t="n"/>
      <c r="E1722" s="67" t="n"/>
      <c r="F1722" s="67" t="n"/>
      <c r="G1722" s="67" t="n"/>
      <c r="H1722" s="67" t="n"/>
      <c r="I1722" s="67" t="n"/>
      <c r="J1722" s="67" t="n"/>
      <c r="K1722" s="67" t="n"/>
      <c r="L1722" s="67" t="n"/>
      <c r="M1722" s="64" t="n"/>
      <c r="N1722" s="66" t="n"/>
      <c r="O1722" s="84">
        <f>IF(A1722="","",IF(OR(C1722="",D1722=""),"Enter both dates",IF(D1722&lt;C1722,"To is before From",IF(COUNTIFS($P$5:$P$2004,P1722,$C$5:$C$2004,"&lt;="&amp;D1722,$D$5:$D$2004,"&gt;="&amp;C1722)&gt;1,"Overlaps another row","OK"))))</f>
        <v/>
      </c>
      <c r="P1722">
        <f>IF(A1722="","",A1722&amp;"|"&amp;IF(B1722="","Standard",B1722))</f>
        <v/>
      </c>
      <c r="Q1722">
        <f>IF(AND(A1722&lt;&gt;"",A1722='Firm Search'!$C$7),COUNTIF($A$5:A1722,'Firm Search'!$C$7),"")</f>
        <v/>
      </c>
    </row>
    <row r="1723">
      <c r="A1723" s="64" t="n"/>
      <c r="B1723" s="64" t="n"/>
      <c r="C1723" s="66" t="n"/>
      <c r="D1723" s="66" t="n"/>
      <c r="E1723" s="67" t="n"/>
      <c r="F1723" s="67" t="n"/>
      <c r="G1723" s="67" t="n"/>
      <c r="H1723" s="67" t="n"/>
      <c r="I1723" s="67" t="n"/>
      <c r="J1723" s="67" t="n"/>
      <c r="K1723" s="67" t="n"/>
      <c r="L1723" s="67" t="n"/>
      <c r="M1723" s="64" t="n"/>
      <c r="N1723" s="66" t="n"/>
      <c r="O1723" s="84">
        <f>IF(A1723="","",IF(OR(C1723="",D1723=""),"Enter both dates",IF(D1723&lt;C1723,"To is before From",IF(COUNTIFS($P$5:$P$2004,P1723,$C$5:$C$2004,"&lt;="&amp;D1723,$D$5:$D$2004,"&gt;="&amp;C1723)&gt;1,"Overlaps another row","OK"))))</f>
        <v/>
      </c>
      <c r="P1723">
        <f>IF(A1723="","",A1723&amp;"|"&amp;IF(B1723="","Standard",B1723))</f>
        <v/>
      </c>
      <c r="Q1723">
        <f>IF(AND(A1723&lt;&gt;"",A1723='Firm Search'!$C$7),COUNTIF($A$5:A1723,'Firm Search'!$C$7),"")</f>
        <v/>
      </c>
    </row>
    <row r="1724">
      <c r="A1724" s="64" t="n"/>
      <c r="B1724" s="64" t="n"/>
      <c r="C1724" s="66" t="n"/>
      <c r="D1724" s="66" t="n"/>
      <c r="E1724" s="67" t="n"/>
      <c r="F1724" s="67" t="n"/>
      <c r="G1724" s="67" t="n"/>
      <c r="H1724" s="67" t="n"/>
      <c r="I1724" s="67" t="n"/>
      <c r="J1724" s="67" t="n"/>
      <c r="K1724" s="67" t="n"/>
      <c r="L1724" s="67" t="n"/>
      <c r="M1724" s="64" t="n"/>
      <c r="N1724" s="66" t="n"/>
      <c r="O1724" s="84">
        <f>IF(A1724="","",IF(OR(C1724="",D1724=""),"Enter both dates",IF(D1724&lt;C1724,"To is before From",IF(COUNTIFS($P$5:$P$2004,P1724,$C$5:$C$2004,"&lt;="&amp;D1724,$D$5:$D$2004,"&gt;="&amp;C1724)&gt;1,"Overlaps another row","OK"))))</f>
        <v/>
      </c>
      <c r="P1724">
        <f>IF(A1724="","",A1724&amp;"|"&amp;IF(B1724="","Standard",B1724))</f>
        <v/>
      </c>
      <c r="Q1724">
        <f>IF(AND(A1724&lt;&gt;"",A1724='Firm Search'!$C$7),COUNTIF($A$5:A1724,'Firm Search'!$C$7),"")</f>
        <v/>
      </c>
    </row>
    <row r="1725">
      <c r="A1725" s="64" t="n"/>
      <c r="B1725" s="64" t="n"/>
      <c r="C1725" s="66" t="n"/>
      <c r="D1725" s="66" t="n"/>
      <c r="E1725" s="67" t="n"/>
      <c r="F1725" s="67" t="n"/>
      <c r="G1725" s="67" t="n"/>
      <c r="H1725" s="67" t="n"/>
      <c r="I1725" s="67" t="n"/>
      <c r="J1725" s="67" t="n"/>
      <c r="K1725" s="67" t="n"/>
      <c r="L1725" s="67" t="n"/>
      <c r="M1725" s="64" t="n"/>
      <c r="N1725" s="66" t="n"/>
      <c r="O1725" s="84">
        <f>IF(A1725="","",IF(OR(C1725="",D1725=""),"Enter both dates",IF(D1725&lt;C1725,"To is before From",IF(COUNTIFS($P$5:$P$2004,P1725,$C$5:$C$2004,"&lt;="&amp;D1725,$D$5:$D$2004,"&gt;="&amp;C1725)&gt;1,"Overlaps another row","OK"))))</f>
        <v/>
      </c>
      <c r="P1725">
        <f>IF(A1725="","",A1725&amp;"|"&amp;IF(B1725="","Standard",B1725))</f>
        <v/>
      </c>
      <c r="Q1725">
        <f>IF(AND(A1725&lt;&gt;"",A1725='Firm Search'!$C$7),COUNTIF($A$5:A1725,'Firm Search'!$C$7),"")</f>
        <v/>
      </c>
    </row>
    <row r="1726">
      <c r="A1726" s="64" t="n"/>
      <c r="B1726" s="64" t="n"/>
      <c r="C1726" s="66" t="n"/>
      <c r="D1726" s="66" t="n"/>
      <c r="E1726" s="67" t="n"/>
      <c r="F1726" s="67" t="n"/>
      <c r="G1726" s="67" t="n"/>
      <c r="H1726" s="67" t="n"/>
      <c r="I1726" s="67" t="n"/>
      <c r="J1726" s="67" t="n"/>
      <c r="K1726" s="67" t="n"/>
      <c r="L1726" s="67" t="n"/>
      <c r="M1726" s="64" t="n"/>
      <c r="N1726" s="66" t="n"/>
      <c r="O1726" s="84">
        <f>IF(A1726="","",IF(OR(C1726="",D1726=""),"Enter both dates",IF(D1726&lt;C1726,"To is before From",IF(COUNTIFS($P$5:$P$2004,P1726,$C$5:$C$2004,"&lt;="&amp;D1726,$D$5:$D$2004,"&gt;="&amp;C1726)&gt;1,"Overlaps another row","OK"))))</f>
        <v/>
      </c>
      <c r="P1726">
        <f>IF(A1726="","",A1726&amp;"|"&amp;IF(B1726="","Standard",B1726))</f>
        <v/>
      </c>
      <c r="Q1726">
        <f>IF(AND(A1726&lt;&gt;"",A1726='Firm Search'!$C$7),COUNTIF($A$5:A1726,'Firm Search'!$C$7),"")</f>
        <v/>
      </c>
    </row>
    <row r="1727">
      <c r="A1727" s="64" t="n"/>
      <c r="B1727" s="64" t="n"/>
      <c r="C1727" s="66" t="n"/>
      <c r="D1727" s="66" t="n"/>
      <c r="E1727" s="67" t="n"/>
      <c r="F1727" s="67" t="n"/>
      <c r="G1727" s="67" t="n"/>
      <c r="H1727" s="67" t="n"/>
      <c r="I1727" s="67" t="n"/>
      <c r="J1727" s="67" t="n"/>
      <c r="K1727" s="67" t="n"/>
      <c r="L1727" s="67" t="n"/>
      <c r="M1727" s="64" t="n"/>
      <c r="N1727" s="66" t="n"/>
      <c r="O1727" s="84">
        <f>IF(A1727="","",IF(OR(C1727="",D1727=""),"Enter both dates",IF(D1727&lt;C1727,"To is before From",IF(COUNTIFS($P$5:$P$2004,P1727,$C$5:$C$2004,"&lt;="&amp;D1727,$D$5:$D$2004,"&gt;="&amp;C1727)&gt;1,"Overlaps another row","OK"))))</f>
        <v/>
      </c>
      <c r="P1727">
        <f>IF(A1727="","",A1727&amp;"|"&amp;IF(B1727="","Standard",B1727))</f>
        <v/>
      </c>
      <c r="Q1727">
        <f>IF(AND(A1727&lt;&gt;"",A1727='Firm Search'!$C$7),COUNTIF($A$5:A1727,'Firm Search'!$C$7),"")</f>
        <v/>
      </c>
    </row>
    <row r="1728">
      <c r="A1728" s="64" t="n"/>
      <c r="B1728" s="64" t="n"/>
      <c r="C1728" s="66" t="n"/>
      <c r="D1728" s="66" t="n"/>
      <c r="E1728" s="67" t="n"/>
      <c r="F1728" s="67" t="n"/>
      <c r="G1728" s="67" t="n"/>
      <c r="H1728" s="67" t="n"/>
      <c r="I1728" s="67" t="n"/>
      <c r="J1728" s="67" t="n"/>
      <c r="K1728" s="67" t="n"/>
      <c r="L1728" s="67" t="n"/>
      <c r="M1728" s="64" t="n"/>
      <c r="N1728" s="66" t="n"/>
      <c r="O1728" s="84">
        <f>IF(A1728="","",IF(OR(C1728="",D1728=""),"Enter both dates",IF(D1728&lt;C1728,"To is before From",IF(COUNTIFS($P$5:$P$2004,P1728,$C$5:$C$2004,"&lt;="&amp;D1728,$D$5:$D$2004,"&gt;="&amp;C1728)&gt;1,"Overlaps another row","OK"))))</f>
        <v/>
      </c>
      <c r="P1728">
        <f>IF(A1728="","",A1728&amp;"|"&amp;IF(B1728="","Standard",B1728))</f>
        <v/>
      </c>
      <c r="Q1728">
        <f>IF(AND(A1728&lt;&gt;"",A1728='Firm Search'!$C$7),COUNTIF($A$5:A1728,'Firm Search'!$C$7),"")</f>
        <v/>
      </c>
    </row>
    <row r="1729">
      <c r="A1729" s="64" t="n"/>
      <c r="B1729" s="64" t="n"/>
      <c r="C1729" s="66" t="n"/>
      <c r="D1729" s="66" t="n"/>
      <c r="E1729" s="67" t="n"/>
      <c r="F1729" s="67" t="n"/>
      <c r="G1729" s="67" t="n"/>
      <c r="H1729" s="67" t="n"/>
      <c r="I1729" s="67" t="n"/>
      <c r="J1729" s="67" t="n"/>
      <c r="K1729" s="67" t="n"/>
      <c r="L1729" s="67" t="n"/>
      <c r="M1729" s="64" t="n"/>
      <c r="N1729" s="66" t="n"/>
      <c r="O1729" s="84">
        <f>IF(A1729="","",IF(OR(C1729="",D1729=""),"Enter both dates",IF(D1729&lt;C1729,"To is before From",IF(COUNTIFS($P$5:$P$2004,P1729,$C$5:$C$2004,"&lt;="&amp;D1729,$D$5:$D$2004,"&gt;="&amp;C1729)&gt;1,"Overlaps another row","OK"))))</f>
        <v/>
      </c>
      <c r="P1729">
        <f>IF(A1729="","",A1729&amp;"|"&amp;IF(B1729="","Standard",B1729))</f>
        <v/>
      </c>
      <c r="Q1729">
        <f>IF(AND(A1729&lt;&gt;"",A1729='Firm Search'!$C$7),COUNTIF($A$5:A1729,'Firm Search'!$C$7),"")</f>
        <v/>
      </c>
    </row>
    <row r="1730">
      <c r="A1730" s="64" t="n"/>
      <c r="B1730" s="64" t="n"/>
      <c r="C1730" s="66" t="n"/>
      <c r="D1730" s="66" t="n"/>
      <c r="E1730" s="67" t="n"/>
      <c r="F1730" s="67" t="n"/>
      <c r="G1730" s="67" t="n"/>
      <c r="H1730" s="67" t="n"/>
      <c r="I1730" s="67" t="n"/>
      <c r="J1730" s="67" t="n"/>
      <c r="K1730" s="67" t="n"/>
      <c r="L1730" s="67" t="n"/>
      <c r="M1730" s="64" t="n"/>
      <c r="N1730" s="66" t="n"/>
      <c r="O1730" s="84">
        <f>IF(A1730="","",IF(OR(C1730="",D1730=""),"Enter both dates",IF(D1730&lt;C1730,"To is before From",IF(COUNTIFS($P$5:$P$2004,P1730,$C$5:$C$2004,"&lt;="&amp;D1730,$D$5:$D$2004,"&gt;="&amp;C1730)&gt;1,"Overlaps another row","OK"))))</f>
        <v/>
      </c>
      <c r="P1730">
        <f>IF(A1730="","",A1730&amp;"|"&amp;IF(B1730="","Standard",B1730))</f>
        <v/>
      </c>
      <c r="Q1730">
        <f>IF(AND(A1730&lt;&gt;"",A1730='Firm Search'!$C$7),COUNTIF($A$5:A1730,'Firm Search'!$C$7),"")</f>
        <v/>
      </c>
    </row>
    <row r="1731">
      <c r="A1731" s="64" t="n"/>
      <c r="B1731" s="64" t="n"/>
      <c r="C1731" s="66" t="n"/>
      <c r="D1731" s="66" t="n"/>
      <c r="E1731" s="67" t="n"/>
      <c r="F1731" s="67" t="n"/>
      <c r="G1731" s="67" t="n"/>
      <c r="H1731" s="67" t="n"/>
      <c r="I1731" s="67" t="n"/>
      <c r="J1731" s="67" t="n"/>
      <c r="K1731" s="67" t="n"/>
      <c r="L1731" s="67" t="n"/>
      <c r="M1731" s="64" t="n"/>
      <c r="N1731" s="66" t="n"/>
      <c r="O1731" s="84">
        <f>IF(A1731="","",IF(OR(C1731="",D1731=""),"Enter both dates",IF(D1731&lt;C1731,"To is before From",IF(COUNTIFS($P$5:$P$2004,P1731,$C$5:$C$2004,"&lt;="&amp;D1731,$D$5:$D$2004,"&gt;="&amp;C1731)&gt;1,"Overlaps another row","OK"))))</f>
        <v/>
      </c>
      <c r="P1731">
        <f>IF(A1731="","",A1731&amp;"|"&amp;IF(B1731="","Standard",B1731))</f>
        <v/>
      </c>
      <c r="Q1731">
        <f>IF(AND(A1731&lt;&gt;"",A1731='Firm Search'!$C$7),COUNTIF($A$5:A1731,'Firm Search'!$C$7),"")</f>
        <v/>
      </c>
    </row>
    <row r="1732">
      <c r="A1732" s="64" t="n"/>
      <c r="B1732" s="64" t="n"/>
      <c r="C1732" s="66" t="n"/>
      <c r="D1732" s="66" t="n"/>
      <c r="E1732" s="67" t="n"/>
      <c r="F1732" s="67" t="n"/>
      <c r="G1732" s="67" t="n"/>
      <c r="H1732" s="67" t="n"/>
      <c r="I1732" s="67" t="n"/>
      <c r="J1732" s="67" t="n"/>
      <c r="K1732" s="67" t="n"/>
      <c r="L1732" s="67" t="n"/>
      <c r="M1732" s="64" t="n"/>
      <c r="N1732" s="66" t="n"/>
      <c r="O1732" s="84">
        <f>IF(A1732="","",IF(OR(C1732="",D1732=""),"Enter both dates",IF(D1732&lt;C1732,"To is before From",IF(COUNTIFS($P$5:$P$2004,P1732,$C$5:$C$2004,"&lt;="&amp;D1732,$D$5:$D$2004,"&gt;="&amp;C1732)&gt;1,"Overlaps another row","OK"))))</f>
        <v/>
      </c>
      <c r="P1732">
        <f>IF(A1732="","",A1732&amp;"|"&amp;IF(B1732="","Standard",B1732))</f>
        <v/>
      </c>
      <c r="Q1732">
        <f>IF(AND(A1732&lt;&gt;"",A1732='Firm Search'!$C$7),COUNTIF($A$5:A1732,'Firm Search'!$C$7),"")</f>
        <v/>
      </c>
    </row>
    <row r="1733">
      <c r="A1733" s="64" t="n"/>
      <c r="B1733" s="64" t="n"/>
      <c r="C1733" s="66" t="n"/>
      <c r="D1733" s="66" t="n"/>
      <c r="E1733" s="67" t="n"/>
      <c r="F1733" s="67" t="n"/>
      <c r="G1733" s="67" t="n"/>
      <c r="H1733" s="67" t="n"/>
      <c r="I1733" s="67" t="n"/>
      <c r="J1733" s="67" t="n"/>
      <c r="K1733" s="67" t="n"/>
      <c r="L1733" s="67" t="n"/>
      <c r="M1733" s="64" t="n"/>
      <c r="N1733" s="66" t="n"/>
      <c r="O1733" s="84">
        <f>IF(A1733="","",IF(OR(C1733="",D1733=""),"Enter both dates",IF(D1733&lt;C1733,"To is before From",IF(COUNTIFS($P$5:$P$2004,P1733,$C$5:$C$2004,"&lt;="&amp;D1733,$D$5:$D$2004,"&gt;="&amp;C1733)&gt;1,"Overlaps another row","OK"))))</f>
        <v/>
      </c>
      <c r="P1733">
        <f>IF(A1733="","",A1733&amp;"|"&amp;IF(B1733="","Standard",B1733))</f>
        <v/>
      </c>
      <c r="Q1733">
        <f>IF(AND(A1733&lt;&gt;"",A1733='Firm Search'!$C$7),COUNTIF($A$5:A1733,'Firm Search'!$C$7),"")</f>
        <v/>
      </c>
    </row>
    <row r="1734">
      <c r="A1734" s="64" t="n"/>
      <c r="B1734" s="64" t="n"/>
      <c r="C1734" s="66" t="n"/>
      <c r="D1734" s="66" t="n"/>
      <c r="E1734" s="67" t="n"/>
      <c r="F1734" s="67" t="n"/>
      <c r="G1734" s="67" t="n"/>
      <c r="H1734" s="67" t="n"/>
      <c r="I1734" s="67" t="n"/>
      <c r="J1734" s="67" t="n"/>
      <c r="K1734" s="67" t="n"/>
      <c r="L1734" s="67" t="n"/>
      <c r="M1734" s="64" t="n"/>
      <c r="N1734" s="66" t="n"/>
      <c r="O1734" s="84">
        <f>IF(A1734="","",IF(OR(C1734="",D1734=""),"Enter both dates",IF(D1734&lt;C1734,"To is before From",IF(COUNTIFS($P$5:$P$2004,P1734,$C$5:$C$2004,"&lt;="&amp;D1734,$D$5:$D$2004,"&gt;="&amp;C1734)&gt;1,"Overlaps another row","OK"))))</f>
        <v/>
      </c>
      <c r="P1734">
        <f>IF(A1734="","",A1734&amp;"|"&amp;IF(B1734="","Standard",B1734))</f>
        <v/>
      </c>
      <c r="Q1734">
        <f>IF(AND(A1734&lt;&gt;"",A1734='Firm Search'!$C$7),COUNTIF($A$5:A1734,'Firm Search'!$C$7),"")</f>
        <v/>
      </c>
    </row>
    <row r="1735">
      <c r="A1735" s="64" t="n"/>
      <c r="B1735" s="64" t="n"/>
      <c r="C1735" s="66" t="n"/>
      <c r="D1735" s="66" t="n"/>
      <c r="E1735" s="67" t="n"/>
      <c r="F1735" s="67" t="n"/>
      <c r="G1735" s="67" t="n"/>
      <c r="H1735" s="67" t="n"/>
      <c r="I1735" s="67" t="n"/>
      <c r="J1735" s="67" t="n"/>
      <c r="K1735" s="67" t="n"/>
      <c r="L1735" s="67" t="n"/>
      <c r="M1735" s="64" t="n"/>
      <c r="N1735" s="66" t="n"/>
      <c r="O1735" s="84">
        <f>IF(A1735="","",IF(OR(C1735="",D1735=""),"Enter both dates",IF(D1735&lt;C1735,"To is before From",IF(COUNTIFS($P$5:$P$2004,P1735,$C$5:$C$2004,"&lt;="&amp;D1735,$D$5:$D$2004,"&gt;="&amp;C1735)&gt;1,"Overlaps another row","OK"))))</f>
        <v/>
      </c>
      <c r="P1735">
        <f>IF(A1735="","",A1735&amp;"|"&amp;IF(B1735="","Standard",B1735))</f>
        <v/>
      </c>
      <c r="Q1735">
        <f>IF(AND(A1735&lt;&gt;"",A1735='Firm Search'!$C$7),COUNTIF($A$5:A1735,'Firm Search'!$C$7),"")</f>
        <v/>
      </c>
    </row>
    <row r="1736">
      <c r="A1736" s="64" t="n"/>
      <c r="B1736" s="64" t="n"/>
      <c r="C1736" s="66" t="n"/>
      <c r="D1736" s="66" t="n"/>
      <c r="E1736" s="67" t="n"/>
      <c r="F1736" s="67" t="n"/>
      <c r="G1736" s="67" t="n"/>
      <c r="H1736" s="67" t="n"/>
      <c r="I1736" s="67" t="n"/>
      <c r="J1736" s="67" t="n"/>
      <c r="K1736" s="67" t="n"/>
      <c r="L1736" s="67" t="n"/>
      <c r="M1736" s="64" t="n"/>
      <c r="N1736" s="66" t="n"/>
      <c r="O1736" s="84">
        <f>IF(A1736="","",IF(OR(C1736="",D1736=""),"Enter both dates",IF(D1736&lt;C1736,"To is before From",IF(COUNTIFS($P$5:$P$2004,P1736,$C$5:$C$2004,"&lt;="&amp;D1736,$D$5:$D$2004,"&gt;="&amp;C1736)&gt;1,"Overlaps another row","OK"))))</f>
        <v/>
      </c>
      <c r="P1736">
        <f>IF(A1736="","",A1736&amp;"|"&amp;IF(B1736="","Standard",B1736))</f>
        <v/>
      </c>
      <c r="Q1736">
        <f>IF(AND(A1736&lt;&gt;"",A1736='Firm Search'!$C$7),COUNTIF($A$5:A1736,'Firm Search'!$C$7),"")</f>
        <v/>
      </c>
    </row>
    <row r="1737">
      <c r="A1737" s="64" t="n"/>
      <c r="B1737" s="64" t="n"/>
      <c r="C1737" s="66" t="n"/>
      <c r="D1737" s="66" t="n"/>
      <c r="E1737" s="67" t="n"/>
      <c r="F1737" s="67" t="n"/>
      <c r="G1737" s="67" t="n"/>
      <c r="H1737" s="67" t="n"/>
      <c r="I1737" s="67" t="n"/>
      <c r="J1737" s="67" t="n"/>
      <c r="K1737" s="67" t="n"/>
      <c r="L1737" s="67" t="n"/>
      <c r="M1737" s="64" t="n"/>
      <c r="N1737" s="66" t="n"/>
      <c r="O1737" s="84">
        <f>IF(A1737="","",IF(OR(C1737="",D1737=""),"Enter both dates",IF(D1737&lt;C1737,"To is before From",IF(COUNTIFS($P$5:$P$2004,P1737,$C$5:$C$2004,"&lt;="&amp;D1737,$D$5:$D$2004,"&gt;="&amp;C1737)&gt;1,"Overlaps another row","OK"))))</f>
        <v/>
      </c>
      <c r="P1737">
        <f>IF(A1737="","",A1737&amp;"|"&amp;IF(B1737="","Standard",B1737))</f>
        <v/>
      </c>
      <c r="Q1737">
        <f>IF(AND(A1737&lt;&gt;"",A1737='Firm Search'!$C$7),COUNTIF($A$5:A1737,'Firm Search'!$C$7),"")</f>
        <v/>
      </c>
    </row>
    <row r="1738">
      <c r="A1738" s="64" t="n"/>
      <c r="B1738" s="64" t="n"/>
      <c r="C1738" s="66" t="n"/>
      <c r="D1738" s="66" t="n"/>
      <c r="E1738" s="67" t="n"/>
      <c r="F1738" s="67" t="n"/>
      <c r="G1738" s="67" t="n"/>
      <c r="H1738" s="67" t="n"/>
      <c r="I1738" s="67" t="n"/>
      <c r="J1738" s="67" t="n"/>
      <c r="K1738" s="67" t="n"/>
      <c r="L1738" s="67" t="n"/>
      <c r="M1738" s="64" t="n"/>
      <c r="N1738" s="66" t="n"/>
      <c r="O1738" s="84">
        <f>IF(A1738="","",IF(OR(C1738="",D1738=""),"Enter both dates",IF(D1738&lt;C1738,"To is before From",IF(COUNTIFS($P$5:$P$2004,P1738,$C$5:$C$2004,"&lt;="&amp;D1738,$D$5:$D$2004,"&gt;="&amp;C1738)&gt;1,"Overlaps another row","OK"))))</f>
        <v/>
      </c>
      <c r="P1738">
        <f>IF(A1738="","",A1738&amp;"|"&amp;IF(B1738="","Standard",B1738))</f>
        <v/>
      </c>
      <c r="Q1738">
        <f>IF(AND(A1738&lt;&gt;"",A1738='Firm Search'!$C$7),COUNTIF($A$5:A1738,'Firm Search'!$C$7),"")</f>
        <v/>
      </c>
    </row>
    <row r="1739">
      <c r="A1739" s="64" t="n"/>
      <c r="B1739" s="64" t="n"/>
      <c r="C1739" s="66" t="n"/>
      <c r="D1739" s="66" t="n"/>
      <c r="E1739" s="67" t="n"/>
      <c r="F1739" s="67" t="n"/>
      <c r="G1739" s="67" t="n"/>
      <c r="H1739" s="67" t="n"/>
      <c r="I1739" s="67" t="n"/>
      <c r="J1739" s="67" t="n"/>
      <c r="K1739" s="67" t="n"/>
      <c r="L1739" s="67" t="n"/>
      <c r="M1739" s="64" t="n"/>
      <c r="N1739" s="66" t="n"/>
      <c r="O1739" s="84">
        <f>IF(A1739="","",IF(OR(C1739="",D1739=""),"Enter both dates",IF(D1739&lt;C1739,"To is before From",IF(COUNTIFS($P$5:$P$2004,P1739,$C$5:$C$2004,"&lt;="&amp;D1739,$D$5:$D$2004,"&gt;="&amp;C1739)&gt;1,"Overlaps another row","OK"))))</f>
        <v/>
      </c>
      <c r="P1739">
        <f>IF(A1739="","",A1739&amp;"|"&amp;IF(B1739="","Standard",B1739))</f>
        <v/>
      </c>
      <c r="Q1739">
        <f>IF(AND(A1739&lt;&gt;"",A1739='Firm Search'!$C$7),COUNTIF($A$5:A1739,'Firm Search'!$C$7),"")</f>
        <v/>
      </c>
    </row>
    <row r="1740">
      <c r="A1740" s="64" t="n"/>
      <c r="B1740" s="64" t="n"/>
      <c r="C1740" s="66" t="n"/>
      <c r="D1740" s="66" t="n"/>
      <c r="E1740" s="67" t="n"/>
      <c r="F1740" s="67" t="n"/>
      <c r="G1740" s="67" t="n"/>
      <c r="H1740" s="67" t="n"/>
      <c r="I1740" s="67" t="n"/>
      <c r="J1740" s="67" t="n"/>
      <c r="K1740" s="67" t="n"/>
      <c r="L1740" s="67" t="n"/>
      <c r="M1740" s="64" t="n"/>
      <c r="N1740" s="66" t="n"/>
      <c r="O1740" s="84">
        <f>IF(A1740="","",IF(OR(C1740="",D1740=""),"Enter both dates",IF(D1740&lt;C1740,"To is before From",IF(COUNTIFS($P$5:$P$2004,P1740,$C$5:$C$2004,"&lt;="&amp;D1740,$D$5:$D$2004,"&gt;="&amp;C1740)&gt;1,"Overlaps another row","OK"))))</f>
        <v/>
      </c>
      <c r="P1740">
        <f>IF(A1740="","",A1740&amp;"|"&amp;IF(B1740="","Standard",B1740))</f>
        <v/>
      </c>
      <c r="Q1740">
        <f>IF(AND(A1740&lt;&gt;"",A1740='Firm Search'!$C$7),COUNTIF($A$5:A1740,'Firm Search'!$C$7),"")</f>
        <v/>
      </c>
    </row>
    <row r="1741">
      <c r="A1741" s="64" t="n"/>
      <c r="B1741" s="64" t="n"/>
      <c r="C1741" s="66" t="n"/>
      <c r="D1741" s="66" t="n"/>
      <c r="E1741" s="67" t="n"/>
      <c r="F1741" s="67" t="n"/>
      <c r="G1741" s="67" t="n"/>
      <c r="H1741" s="67" t="n"/>
      <c r="I1741" s="67" t="n"/>
      <c r="J1741" s="67" t="n"/>
      <c r="K1741" s="67" t="n"/>
      <c r="L1741" s="67" t="n"/>
      <c r="M1741" s="64" t="n"/>
      <c r="N1741" s="66" t="n"/>
      <c r="O1741" s="84">
        <f>IF(A1741="","",IF(OR(C1741="",D1741=""),"Enter both dates",IF(D1741&lt;C1741,"To is before From",IF(COUNTIFS($P$5:$P$2004,P1741,$C$5:$C$2004,"&lt;="&amp;D1741,$D$5:$D$2004,"&gt;="&amp;C1741)&gt;1,"Overlaps another row","OK"))))</f>
        <v/>
      </c>
      <c r="P1741">
        <f>IF(A1741="","",A1741&amp;"|"&amp;IF(B1741="","Standard",B1741))</f>
        <v/>
      </c>
      <c r="Q1741">
        <f>IF(AND(A1741&lt;&gt;"",A1741='Firm Search'!$C$7),COUNTIF($A$5:A1741,'Firm Search'!$C$7),"")</f>
        <v/>
      </c>
    </row>
    <row r="1742">
      <c r="A1742" s="64" t="n"/>
      <c r="B1742" s="64" t="n"/>
      <c r="C1742" s="66" t="n"/>
      <c r="D1742" s="66" t="n"/>
      <c r="E1742" s="67" t="n"/>
      <c r="F1742" s="67" t="n"/>
      <c r="G1742" s="67" t="n"/>
      <c r="H1742" s="67" t="n"/>
      <c r="I1742" s="67" t="n"/>
      <c r="J1742" s="67" t="n"/>
      <c r="K1742" s="67" t="n"/>
      <c r="L1742" s="67" t="n"/>
      <c r="M1742" s="64" t="n"/>
      <c r="N1742" s="66" t="n"/>
      <c r="O1742" s="84">
        <f>IF(A1742="","",IF(OR(C1742="",D1742=""),"Enter both dates",IF(D1742&lt;C1742,"To is before From",IF(COUNTIFS($P$5:$P$2004,P1742,$C$5:$C$2004,"&lt;="&amp;D1742,$D$5:$D$2004,"&gt;="&amp;C1742)&gt;1,"Overlaps another row","OK"))))</f>
        <v/>
      </c>
      <c r="P1742">
        <f>IF(A1742="","",A1742&amp;"|"&amp;IF(B1742="","Standard",B1742))</f>
        <v/>
      </c>
      <c r="Q1742">
        <f>IF(AND(A1742&lt;&gt;"",A1742='Firm Search'!$C$7),COUNTIF($A$5:A1742,'Firm Search'!$C$7),"")</f>
        <v/>
      </c>
    </row>
    <row r="1743">
      <c r="A1743" s="64" t="n"/>
      <c r="B1743" s="64" t="n"/>
      <c r="C1743" s="66" t="n"/>
      <c r="D1743" s="66" t="n"/>
      <c r="E1743" s="67" t="n"/>
      <c r="F1743" s="67" t="n"/>
      <c r="G1743" s="67" t="n"/>
      <c r="H1743" s="67" t="n"/>
      <c r="I1743" s="67" t="n"/>
      <c r="J1743" s="67" t="n"/>
      <c r="K1743" s="67" t="n"/>
      <c r="L1743" s="67" t="n"/>
      <c r="M1743" s="64" t="n"/>
      <c r="N1743" s="66" t="n"/>
      <c r="O1743" s="84">
        <f>IF(A1743="","",IF(OR(C1743="",D1743=""),"Enter both dates",IF(D1743&lt;C1743,"To is before From",IF(COUNTIFS($P$5:$P$2004,P1743,$C$5:$C$2004,"&lt;="&amp;D1743,$D$5:$D$2004,"&gt;="&amp;C1743)&gt;1,"Overlaps another row","OK"))))</f>
        <v/>
      </c>
      <c r="P1743">
        <f>IF(A1743="","",A1743&amp;"|"&amp;IF(B1743="","Standard",B1743))</f>
        <v/>
      </c>
      <c r="Q1743">
        <f>IF(AND(A1743&lt;&gt;"",A1743='Firm Search'!$C$7),COUNTIF($A$5:A1743,'Firm Search'!$C$7),"")</f>
        <v/>
      </c>
    </row>
    <row r="1744">
      <c r="A1744" s="64" t="n"/>
      <c r="B1744" s="64" t="n"/>
      <c r="C1744" s="66" t="n"/>
      <c r="D1744" s="66" t="n"/>
      <c r="E1744" s="67" t="n"/>
      <c r="F1744" s="67" t="n"/>
      <c r="G1744" s="67" t="n"/>
      <c r="H1744" s="67" t="n"/>
      <c r="I1744" s="67" t="n"/>
      <c r="J1744" s="67" t="n"/>
      <c r="K1744" s="67" t="n"/>
      <c r="L1744" s="67" t="n"/>
      <c r="M1744" s="64" t="n"/>
      <c r="N1744" s="66" t="n"/>
      <c r="O1744" s="84">
        <f>IF(A1744="","",IF(OR(C1744="",D1744=""),"Enter both dates",IF(D1744&lt;C1744,"To is before From",IF(COUNTIFS($P$5:$P$2004,P1744,$C$5:$C$2004,"&lt;="&amp;D1744,$D$5:$D$2004,"&gt;="&amp;C1744)&gt;1,"Overlaps another row","OK"))))</f>
        <v/>
      </c>
      <c r="P1744">
        <f>IF(A1744="","",A1744&amp;"|"&amp;IF(B1744="","Standard",B1744))</f>
        <v/>
      </c>
      <c r="Q1744">
        <f>IF(AND(A1744&lt;&gt;"",A1744='Firm Search'!$C$7),COUNTIF($A$5:A1744,'Firm Search'!$C$7),"")</f>
        <v/>
      </c>
    </row>
    <row r="1745">
      <c r="A1745" s="64" t="n"/>
      <c r="B1745" s="64" t="n"/>
      <c r="C1745" s="66" t="n"/>
      <c r="D1745" s="66" t="n"/>
      <c r="E1745" s="67" t="n"/>
      <c r="F1745" s="67" t="n"/>
      <c r="G1745" s="67" t="n"/>
      <c r="H1745" s="67" t="n"/>
      <c r="I1745" s="67" t="n"/>
      <c r="J1745" s="67" t="n"/>
      <c r="K1745" s="67" t="n"/>
      <c r="L1745" s="67" t="n"/>
      <c r="M1745" s="64" t="n"/>
      <c r="N1745" s="66" t="n"/>
      <c r="O1745" s="84">
        <f>IF(A1745="","",IF(OR(C1745="",D1745=""),"Enter both dates",IF(D1745&lt;C1745,"To is before From",IF(COUNTIFS($P$5:$P$2004,P1745,$C$5:$C$2004,"&lt;="&amp;D1745,$D$5:$D$2004,"&gt;="&amp;C1745)&gt;1,"Overlaps another row","OK"))))</f>
        <v/>
      </c>
      <c r="P1745">
        <f>IF(A1745="","",A1745&amp;"|"&amp;IF(B1745="","Standard",B1745))</f>
        <v/>
      </c>
      <c r="Q1745">
        <f>IF(AND(A1745&lt;&gt;"",A1745='Firm Search'!$C$7),COUNTIF($A$5:A1745,'Firm Search'!$C$7),"")</f>
        <v/>
      </c>
    </row>
    <row r="1746">
      <c r="A1746" s="64" t="n"/>
      <c r="B1746" s="64" t="n"/>
      <c r="C1746" s="66" t="n"/>
      <c r="D1746" s="66" t="n"/>
      <c r="E1746" s="67" t="n"/>
      <c r="F1746" s="67" t="n"/>
      <c r="G1746" s="67" t="n"/>
      <c r="H1746" s="67" t="n"/>
      <c r="I1746" s="67" t="n"/>
      <c r="J1746" s="67" t="n"/>
      <c r="K1746" s="67" t="n"/>
      <c r="L1746" s="67" t="n"/>
      <c r="M1746" s="64" t="n"/>
      <c r="N1746" s="66" t="n"/>
      <c r="O1746" s="84">
        <f>IF(A1746="","",IF(OR(C1746="",D1746=""),"Enter both dates",IF(D1746&lt;C1746,"To is before From",IF(COUNTIFS($P$5:$P$2004,P1746,$C$5:$C$2004,"&lt;="&amp;D1746,$D$5:$D$2004,"&gt;="&amp;C1746)&gt;1,"Overlaps another row","OK"))))</f>
        <v/>
      </c>
      <c r="P1746">
        <f>IF(A1746="","",A1746&amp;"|"&amp;IF(B1746="","Standard",B1746))</f>
        <v/>
      </c>
      <c r="Q1746">
        <f>IF(AND(A1746&lt;&gt;"",A1746='Firm Search'!$C$7),COUNTIF($A$5:A1746,'Firm Search'!$C$7),"")</f>
        <v/>
      </c>
    </row>
    <row r="1747">
      <c r="A1747" s="64" t="n"/>
      <c r="B1747" s="64" t="n"/>
      <c r="C1747" s="66" t="n"/>
      <c r="D1747" s="66" t="n"/>
      <c r="E1747" s="67" t="n"/>
      <c r="F1747" s="67" t="n"/>
      <c r="G1747" s="67" t="n"/>
      <c r="H1747" s="67" t="n"/>
      <c r="I1747" s="67" t="n"/>
      <c r="J1747" s="67" t="n"/>
      <c r="K1747" s="67" t="n"/>
      <c r="L1747" s="67" t="n"/>
      <c r="M1747" s="64" t="n"/>
      <c r="N1747" s="66" t="n"/>
      <c r="O1747" s="84">
        <f>IF(A1747="","",IF(OR(C1747="",D1747=""),"Enter both dates",IF(D1747&lt;C1747,"To is before From",IF(COUNTIFS($P$5:$P$2004,P1747,$C$5:$C$2004,"&lt;="&amp;D1747,$D$5:$D$2004,"&gt;="&amp;C1747)&gt;1,"Overlaps another row","OK"))))</f>
        <v/>
      </c>
      <c r="P1747">
        <f>IF(A1747="","",A1747&amp;"|"&amp;IF(B1747="","Standard",B1747))</f>
        <v/>
      </c>
      <c r="Q1747">
        <f>IF(AND(A1747&lt;&gt;"",A1747='Firm Search'!$C$7),COUNTIF($A$5:A1747,'Firm Search'!$C$7),"")</f>
        <v/>
      </c>
    </row>
    <row r="1748">
      <c r="A1748" s="64" t="n"/>
      <c r="B1748" s="64" t="n"/>
      <c r="C1748" s="66" t="n"/>
      <c r="D1748" s="66" t="n"/>
      <c r="E1748" s="67" t="n"/>
      <c r="F1748" s="67" t="n"/>
      <c r="G1748" s="67" t="n"/>
      <c r="H1748" s="67" t="n"/>
      <c r="I1748" s="67" t="n"/>
      <c r="J1748" s="67" t="n"/>
      <c r="K1748" s="67" t="n"/>
      <c r="L1748" s="67" t="n"/>
      <c r="M1748" s="64" t="n"/>
      <c r="N1748" s="66" t="n"/>
      <c r="O1748" s="84">
        <f>IF(A1748="","",IF(OR(C1748="",D1748=""),"Enter both dates",IF(D1748&lt;C1748,"To is before From",IF(COUNTIFS($P$5:$P$2004,P1748,$C$5:$C$2004,"&lt;="&amp;D1748,$D$5:$D$2004,"&gt;="&amp;C1748)&gt;1,"Overlaps another row","OK"))))</f>
        <v/>
      </c>
      <c r="P1748">
        <f>IF(A1748="","",A1748&amp;"|"&amp;IF(B1748="","Standard",B1748))</f>
        <v/>
      </c>
      <c r="Q1748">
        <f>IF(AND(A1748&lt;&gt;"",A1748='Firm Search'!$C$7),COUNTIF($A$5:A1748,'Firm Search'!$C$7),"")</f>
        <v/>
      </c>
    </row>
    <row r="1749">
      <c r="A1749" s="64" t="n"/>
      <c r="B1749" s="64" t="n"/>
      <c r="C1749" s="66" t="n"/>
      <c r="D1749" s="66" t="n"/>
      <c r="E1749" s="67" t="n"/>
      <c r="F1749" s="67" t="n"/>
      <c r="G1749" s="67" t="n"/>
      <c r="H1749" s="67" t="n"/>
      <c r="I1749" s="67" t="n"/>
      <c r="J1749" s="67" t="n"/>
      <c r="K1749" s="67" t="n"/>
      <c r="L1749" s="67" t="n"/>
      <c r="M1749" s="64" t="n"/>
      <c r="N1749" s="66" t="n"/>
      <c r="O1749" s="84">
        <f>IF(A1749="","",IF(OR(C1749="",D1749=""),"Enter both dates",IF(D1749&lt;C1749,"To is before From",IF(COUNTIFS($P$5:$P$2004,P1749,$C$5:$C$2004,"&lt;="&amp;D1749,$D$5:$D$2004,"&gt;="&amp;C1749)&gt;1,"Overlaps another row","OK"))))</f>
        <v/>
      </c>
      <c r="P1749">
        <f>IF(A1749="","",A1749&amp;"|"&amp;IF(B1749="","Standard",B1749))</f>
        <v/>
      </c>
      <c r="Q1749">
        <f>IF(AND(A1749&lt;&gt;"",A1749='Firm Search'!$C$7),COUNTIF($A$5:A1749,'Firm Search'!$C$7),"")</f>
        <v/>
      </c>
    </row>
    <row r="1750">
      <c r="A1750" s="64" t="n"/>
      <c r="B1750" s="64" t="n"/>
      <c r="C1750" s="66" t="n"/>
      <c r="D1750" s="66" t="n"/>
      <c r="E1750" s="67" t="n"/>
      <c r="F1750" s="67" t="n"/>
      <c r="G1750" s="67" t="n"/>
      <c r="H1750" s="67" t="n"/>
      <c r="I1750" s="67" t="n"/>
      <c r="J1750" s="67" t="n"/>
      <c r="K1750" s="67" t="n"/>
      <c r="L1750" s="67" t="n"/>
      <c r="M1750" s="64" t="n"/>
      <c r="N1750" s="66" t="n"/>
      <c r="O1750" s="84">
        <f>IF(A1750="","",IF(OR(C1750="",D1750=""),"Enter both dates",IF(D1750&lt;C1750,"To is before From",IF(COUNTIFS($P$5:$P$2004,P1750,$C$5:$C$2004,"&lt;="&amp;D1750,$D$5:$D$2004,"&gt;="&amp;C1750)&gt;1,"Overlaps another row","OK"))))</f>
        <v/>
      </c>
      <c r="P1750">
        <f>IF(A1750="","",A1750&amp;"|"&amp;IF(B1750="","Standard",B1750))</f>
        <v/>
      </c>
      <c r="Q1750">
        <f>IF(AND(A1750&lt;&gt;"",A1750='Firm Search'!$C$7),COUNTIF($A$5:A1750,'Firm Search'!$C$7),"")</f>
        <v/>
      </c>
    </row>
    <row r="1751">
      <c r="A1751" s="64" t="n"/>
      <c r="B1751" s="64" t="n"/>
      <c r="C1751" s="66" t="n"/>
      <c r="D1751" s="66" t="n"/>
      <c r="E1751" s="67" t="n"/>
      <c r="F1751" s="67" t="n"/>
      <c r="G1751" s="67" t="n"/>
      <c r="H1751" s="67" t="n"/>
      <c r="I1751" s="67" t="n"/>
      <c r="J1751" s="67" t="n"/>
      <c r="K1751" s="67" t="n"/>
      <c r="L1751" s="67" t="n"/>
      <c r="M1751" s="64" t="n"/>
      <c r="N1751" s="66" t="n"/>
      <c r="O1751" s="84">
        <f>IF(A1751="","",IF(OR(C1751="",D1751=""),"Enter both dates",IF(D1751&lt;C1751,"To is before From",IF(COUNTIFS($P$5:$P$2004,P1751,$C$5:$C$2004,"&lt;="&amp;D1751,$D$5:$D$2004,"&gt;="&amp;C1751)&gt;1,"Overlaps another row","OK"))))</f>
        <v/>
      </c>
      <c r="P1751">
        <f>IF(A1751="","",A1751&amp;"|"&amp;IF(B1751="","Standard",B1751))</f>
        <v/>
      </c>
      <c r="Q1751">
        <f>IF(AND(A1751&lt;&gt;"",A1751='Firm Search'!$C$7),COUNTIF($A$5:A1751,'Firm Search'!$C$7),"")</f>
        <v/>
      </c>
    </row>
    <row r="1752">
      <c r="A1752" s="64" t="n"/>
      <c r="B1752" s="64" t="n"/>
      <c r="C1752" s="66" t="n"/>
      <c r="D1752" s="66" t="n"/>
      <c r="E1752" s="67" t="n"/>
      <c r="F1752" s="67" t="n"/>
      <c r="G1752" s="67" t="n"/>
      <c r="H1752" s="67" t="n"/>
      <c r="I1752" s="67" t="n"/>
      <c r="J1752" s="67" t="n"/>
      <c r="K1752" s="67" t="n"/>
      <c r="L1752" s="67" t="n"/>
      <c r="M1752" s="64" t="n"/>
      <c r="N1752" s="66" t="n"/>
      <c r="O1752" s="84">
        <f>IF(A1752="","",IF(OR(C1752="",D1752=""),"Enter both dates",IF(D1752&lt;C1752,"To is before From",IF(COUNTIFS($P$5:$P$2004,P1752,$C$5:$C$2004,"&lt;="&amp;D1752,$D$5:$D$2004,"&gt;="&amp;C1752)&gt;1,"Overlaps another row","OK"))))</f>
        <v/>
      </c>
      <c r="P1752">
        <f>IF(A1752="","",A1752&amp;"|"&amp;IF(B1752="","Standard",B1752))</f>
        <v/>
      </c>
      <c r="Q1752">
        <f>IF(AND(A1752&lt;&gt;"",A1752='Firm Search'!$C$7),COUNTIF($A$5:A1752,'Firm Search'!$C$7),"")</f>
        <v/>
      </c>
    </row>
    <row r="1753">
      <c r="A1753" s="64" t="n"/>
      <c r="B1753" s="64" t="n"/>
      <c r="C1753" s="66" t="n"/>
      <c r="D1753" s="66" t="n"/>
      <c r="E1753" s="67" t="n"/>
      <c r="F1753" s="67" t="n"/>
      <c r="G1753" s="67" t="n"/>
      <c r="H1753" s="67" t="n"/>
      <c r="I1753" s="67" t="n"/>
      <c r="J1753" s="67" t="n"/>
      <c r="K1753" s="67" t="n"/>
      <c r="L1753" s="67" t="n"/>
      <c r="M1753" s="64" t="n"/>
      <c r="N1753" s="66" t="n"/>
      <c r="O1753" s="84">
        <f>IF(A1753="","",IF(OR(C1753="",D1753=""),"Enter both dates",IF(D1753&lt;C1753,"To is before From",IF(COUNTIFS($P$5:$P$2004,P1753,$C$5:$C$2004,"&lt;="&amp;D1753,$D$5:$D$2004,"&gt;="&amp;C1753)&gt;1,"Overlaps another row","OK"))))</f>
        <v/>
      </c>
      <c r="P1753">
        <f>IF(A1753="","",A1753&amp;"|"&amp;IF(B1753="","Standard",B1753))</f>
        <v/>
      </c>
      <c r="Q1753">
        <f>IF(AND(A1753&lt;&gt;"",A1753='Firm Search'!$C$7),COUNTIF($A$5:A1753,'Firm Search'!$C$7),"")</f>
        <v/>
      </c>
    </row>
    <row r="1754">
      <c r="A1754" s="64" t="n"/>
      <c r="B1754" s="64" t="n"/>
      <c r="C1754" s="66" t="n"/>
      <c r="D1754" s="66" t="n"/>
      <c r="E1754" s="67" t="n"/>
      <c r="F1754" s="67" t="n"/>
      <c r="G1754" s="67" t="n"/>
      <c r="H1754" s="67" t="n"/>
      <c r="I1754" s="67" t="n"/>
      <c r="J1754" s="67" t="n"/>
      <c r="K1754" s="67" t="n"/>
      <c r="L1754" s="67" t="n"/>
      <c r="M1754" s="64" t="n"/>
      <c r="N1754" s="66" t="n"/>
      <c r="O1754" s="84">
        <f>IF(A1754="","",IF(OR(C1754="",D1754=""),"Enter both dates",IF(D1754&lt;C1754,"To is before From",IF(COUNTIFS($P$5:$P$2004,P1754,$C$5:$C$2004,"&lt;="&amp;D1754,$D$5:$D$2004,"&gt;="&amp;C1754)&gt;1,"Overlaps another row","OK"))))</f>
        <v/>
      </c>
      <c r="P1754">
        <f>IF(A1754="","",A1754&amp;"|"&amp;IF(B1754="","Standard",B1754))</f>
        <v/>
      </c>
      <c r="Q1754">
        <f>IF(AND(A1754&lt;&gt;"",A1754='Firm Search'!$C$7),COUNTIF($A$5:A1754,'Firm Search'!$C$7),"")</f>
        <v/>
      </c>
    </row>
    <row r="1755">
      <c r="A1755" s="64" t="n"/>
      <c r="B1755" s="64" t="n"/>
      <c r="C1755" s="66" t="n"/>
      <c r="D1755" s="66" t="n"/>
      <c r="E1755" s="67" t="n"/>
      <c r="F1755" s="67" t="n"/>
      <c r="G1755" s="67" t="n"/>
      <c r="H1755" s="67" t="n"/>
      <c r="I1755" s="67" t="n"/>
      <c r="J1755" s="67" t="n"/>
      <c r="K1755" s="67" t="n"/>
      <c r="L1755" s="67" t="n"/>
      <c r="M1755" s="64" t="n"/>
      <c r="N1755" s="66" t="n"/>
      <c r="O1755" s="84">
        <f>IF(A1755="","",IF(OR(C1755="",D1755=""),"Enter both dates",IF(D1755&lt;C1755,"To is before From",IF(COUNTIFS($P$5:$P$2004,P1755,$C$5:$C$2004,"&lt;="&amp;D1755,$D$5:$D$2004,"&gt;="&amp;C1755)&gt;1,"Overlaps another row","OK"))))</f>
        <v/>
      </c>
      <c r="P1755">
        <f>IF(A1755="","",A1755&amp;"|"&amp;IF(B1755="","Standard",B1755))</f>
        <v/>
      </c>
      <c r="Q1755">
        <f>IF(AND(A1755&lt;&gt;"",A1755='Firm Search'!$C$7),COUNTIF($A$5:A1755,'Firm Search'!$C$7),"")</f>
        <v/>
      </c>
    </row>
    <row r="1756">
      <c r="A1756" s="64" t="n"/>
      <c r="B1756" s="64" t="n"/>
      <c r="C1756" s="66" t="n"/>
      <c r="D1756" s="66" t="n"/>
      <c r="E1756" s="67" t="n"/>
      <c r="F1756" s="67" t="n"/>
      <c r="G1756" s="67" t="n"/>
      <c r="H1756" s="67" t="n"/>
      <c r="I1756" s="67" t="n"/>
      <c r="J1756" s="67" t="n"/>
      <c r="K1756" s="67" t="n"/>
      <c r="L1756" s="67" t="n"/>
      <c r="M1756" s="64" t="n"/>
      <c r="N1756" s="66" t="n"/>
      <c r="O1756" s="84">
        <f>IF(A1756="","",IF(OR(C1756="",D1756=""),"Enter both dates",IF(D1756&lt;C1756,"To is before From",IF(COUNTIFS($P$5:$P$2004,P1756,$C$5:$C$2004,"&lt;="&amp;D1756,$D$5:$D$2004,"&gt;="&amp;C1756)&gt;1,"Overlaps another row","OK"))))</f>
        <v/>
      </c>
      <c r="P1756">
        <f>IF(A1756="","",A1756&amp;"|"&amp;IF(B1756="","Standard",B1756))</f>
        <v/>
      </c>
      <c r="Q1756">
        <f>IF(AND(A1756&lt;&gt;"",A1756='Firm Search'!$C$7),COUNTIF($A$5:A1756,'Firm Search'!$C$7),"")</f>
        <v/>
      </c>
    </row>
    <row r="1757">
      <c r="A1757" s="64" t="n"/>
      <c r="B1757" s="64" t="n"/>
      <c r="C1757" s="66" t="n"/>
      <c r="D1757" s="66" t="n"/>
      <c r="E1757" s="67" t="n"/>
      <c r="F1757" s="67" t="n"/>
      <c r="G1757" s="67" t="n"/>
      <c r="H1757" s="67" t="n"/>
      <c r="I1757" s="67" t="n"/>
      <c r="J1757" s="67" t="n"/>
      <c r="K1757" s="67" t="n"/>
      <c r="L1757" s="67" t="n"/>
      <c r="M1757" s="64" t="n"/>
      <c r="N1757" s="66" t="n"/>
      <c r="O1757" s="84">
        <f>IF(A1757="","",IF(OR(C1757="",D1757=""),"Enter both dates",IF(D1757&lt;C1757,"To is before From",IF(COUNTIFS($P$5:$P$2004,P1757,$C$5:$C$2004,"&lt;="&amp;D1757,$D$5:$D$2004,"&gt;="&amp;C1757)&gt;1,"Overlaps another row","OK"))))</f>
        <v/>
      </c>
      <c r="P1757">
        <f>IF(A1757="","",A1757&amp;"|"&amp;IF(B1757="","Standard",B1757))</f>
        <v/>
      </c>
      <c r="Q1757">
        <f>IF(AND(A1757&lt;&gt;"",A1757='Firm Search'!$C$7),COUNTIF($A$5:A1757,'Firm Search'!$C$7),"")</f>
        <v/>
      </c>
    </row>
    <row r="1758">
      <c r="A1758" s="64" t="n"/>
      <c r="B1758" s="64" t="n"/>
      <c r="C1758" s="66" t="n"/>
      <c r="D1758" s="66" t="n"/>
      <c r="E1758" s="67" t="n"/>
      <c r="F1758" s="67" t="n"/>
      <c r="G1758" s="67" t="n"/>
      <c r="H1758" s="67" t="n"/>
      <c r="I1758" s="67" t="n"/>
      <c r="J1758" s="67" t="n"/>
      <c r="K1758" s="67" t="n"/>
      <c r="L1758" s="67" t="n"/>
      <c r="M1758" s="64" t="n"/>
      <c r="N1758" s="66" t="n"/>
      <c r="O1758" s="84">
        <f>IF(A1758="","",IF(OR(C1758="",D1758=""),"Enter both dates",IF(D1758&lt;C1758,"To is before From",IF(COUNTIFS($P$5:$P$2004,P1758,$C$5:$C$2004,"&lt;="&amp;D1758,$D$5:$D$2004,"&gt;="&amp;C1758)&gt;1,"Overlaps another row","OK"))))</f>
        <v/>
      </c>
      <c r="P1758">
        <f>IF(A1758="","",A1758&amp;"|"&amp;IF(B1758="","Standard",B1758))</f>
        <v/>
      </c>
      <c r="Q1758">
        <f>IF(AND(A1758&lt;&gt;"",A1758='Firm Search'!$C$7),COUNTIF($A$5:A1758,'Firm Search'!$C$7),"")</f>
        <v/>
      </c>
    </row>
    <row r="1759">
      <c r="A1759" s="64" t="n"/>
      <c r="B1759" s="64" t="n"/>
      <c r="C1759" s="66" t="n"/>
      <c r="D1759" s="66" t="n"/>
      <c r="E1759" s="67" t="n"/>
      <c r="F1759" s="67" t="n"/>
      <c r="G1759" s="67" t="n"/>
      <c r="H1759" s="67" t="n"/>
      <c r="I1759" s="67" t="n"/>
      <c r="J1759" s="67" t="n"/>
      <c r="K1759" s="67" t="n"/>
      <c r="L1759" s="67" t="n"/>
      <c r="M1759" s="64" t="n"/>
      <c r="N1759" s="66" t="n"/>
      <c r="O1759" s="84">
        <f>IF(A1759="","",IF(OR(C1759="",D1759=""),"Enter both dates",IF(D1759&lt;C1759,"To is before From",IF(COUNTIFS($P$5:$P$2004,P1759,$C$5:$C$2004,"&lt;="&amp;D1759,$D$5:$D$2004,"&gt;="&amp;C1759)&gt;1,"Overlaps another row","OK"))))</f>
        <v/>
      </c>
      <c r="P1759">
        <f>IF(A1759="","",A1759&amp;"|"&amp;IF(B1759="","Standard",B1759))</f>
        <v/>
      </c>
      <c r="Q1759">
        <f>IF(AND(A1759&lt;&gt;"",A1759='Firm Search'!$C$7),COUNTIF($A$5:A1759,'Firm Search'!$C$7),"")</f>
        <v/>
      </c>
    </row>
    <row r="1760">
      <c r="A1760" s="64" t="n"/>
      <c r="B1760" s="64" t="n"/>
      <c r="C1760" s="66" t="n"/>
      <c r="D1760" s="66" t="n"/>
      <c r="E1760" s="67" t="n"/>
      <c r="F1760" s="67" t="n"/>
      <c r="G1760" s="67" t="n"/>
      <c r="H1760" s="67" t="n"/>
      <c r="I1760" s="67" t="n"/>
      <c r="J1760" s="67" t="n"/>
      <c r="K1760" s="67" t="n"/>
      <c r="L1760" s="67" t="n"/>
      <c r="M1760" s="64" t="n"/>
      <c r="N1760" s="66" t="n"/>
      <c r="O1760" s="84">
        <f>IF(A1760="","",IF(OR(C1760="",D1760=""),"Enter both dates",IF(D1760&lt;C1760,"To is before From",IF(COUNTIFS($P$5:$P$2004,P1760,$C$5:$C$2004,"&lt;="&amp;D1760,$D$5:$D$2004,"&gt;="&amp;C1760)&gt;1,"Overlaps another row","OK"))))</f>
        <v/>
      </c>
      <c r="P1760">
        <f>IF(A1760="","",A1760&amp;"|"&amp;IF(B1760="","Standard",B1760))</f>
        <v/>
      </c>
      <c r="Q1760">
        <f>IF(AND(A1760&lt;&gt;"",A1760='Firm Search'!$C$7),COUNTIF($A$5:A1760,'Firm Search'!$C$7),"")</f>
        <v/>
      </c>
    </row>
    <row r="1761">
      <c r="A1761" s="64" t="n"/>
      <c r="B1761" s="64" t="n"/>
      <c r="C1761" s="66" t="n"/>
      <c r="D1761" s="66" t="n"/>
      <c r="E1761" s="67" t="n"/>
      <c r="F1761" s="67" t="n"/>
      <c r="G1761" s="67" t="n"/>
      <c r="H1761" s="67" t="n"/>
      <c r="I1761" s="67" t="n"/>
      <c r="J1761" s="67" t="n"/>
      <c r="K1761" s="67" t="n"/>
      <c r="L1761" s="67" t="n"/>
      <c r="M1761" s="64" t="n"/>
      <c r="N1761" s="66" t="n"/>
      <c r="O1761" s="84">
        <f>IF(A1761="","",IF(OR(C1761="",D1761=""),"Enter both dates",IF(D1761&lt;C1761,"To is before From",IF(COUNTIFS($P$5:$P$2004,P1761,$C$5:$C$2004,"&lt;="&amp;D1761,$D$5:$D$2004,"&gt;="&amp;C1761)&gt;1,"Overlaps another row","OK"))))</f>
        <v/>
      </c>
      <c r="P1761">
        <f>IF(A1761="","",A1761&amp;"|"&amp;IF(B1761="","Standard",B1761))</f>
        <v/>
      </c>
      <c r="Q1761">
        <f>IF(AND(A1761&lt;&gt;"",A1761='Firm Search'!$C$7),COUNTIF($A$5:A1761,'Firm Search'!$C$7),"")</f>
        <v/>
      </c>
    </row>
    <row r="1762">
      <c r="A1762" s="64" t="n"/>
      <c r="B1762" s="64" t="n"/>
      <c r="C1762" s="66" t="n"/>
      <c r="D1762" s="66" t="n"/>
      <c r="E1762" s="67" t="n"/>
      <c r="F1762" s="67" t="n"/>
      <c r="G1762" s="67" t="n"/>
      <c r="H1762" s="67" t="n"/>
      <c r="I1762" s="67" t="n"/>
      <c r="J1762" s="67" t="n"/>
      <c r="K1762" s="67" t="n"/>
      <c r="L1762" s="67" t="n"/>
      <c r="M1762" s="64" t="n"/>
      <c r="N1762" s="66" t="n"/>
      <c r="O1762" s="84">
        <f>IF(A1762="","",IF(OR(C1762="",D1762=""),"Enter both dates",IF(D1762&lt;C1762,"To is before From",IF(COUNTIFS($P$5:$P$2004,P1762,$C$5:$C$2004,"&lt;="&amp;D1762,$D$5:$D$2004,"&gt;="&amp;C1762)&gt;1,"Overlaps another row","OK"))))</f>
        <v/>
      </c>
      <c r="P1762">
        <f>IF(A1762="","",A1762&amp;"|"&amp;IF(B1762="","Standard",B1762))</f>
        <v/>
      </c>
      <c r="Q1762">
        <f>IF(AND(A1762&lt;&gt;"",A1762='Firm Search'!$C$7),COUNTIF($A$5:A1762,'Firm Search'!$C$7),"")</f>
        <v/>
      </c>
    </row>
    <row r="1763">
      <c r="A1763" s="64" t="n"/>
      <c r="B1763" s="64" t="n"/>
      <c r="C1763" s="66" t="n"/>
      <c r="D1763" s="66" t="n"/>
      <c r="E1763" s="67" t="n"/>
      <c r="F1763" s="67" t="n"/>
      <c r="G1763" s="67" t="n"/>
      <c r="H1763" s="67" t="n"/>
      <c r="I1763" s="67" t="n"/>
      <c r="J1763" s="67" t="n"/>
      <c r="K1763" s="67" t="n"/>
      <c r="L1763" s="67" t="n"/>
      <c r="M1763" s="64" t="n"/>
      <c r="N1763" s="66" t="n"/>
      <c r="O1763" s="84">
        <f>IF(A1763="","",IF(OR(C1763="",D1763=""),"Enter both dates",IF(D1763&lt;C1763,"To is before From",IF(COUNTIFS($P$5:$P$2004,P1763,$C$5:$C$2004,"&lt;="&amp;D1763,$D$5:$D$2004,"&gt;="&amp;C1763)&gt;1,"Overlaps another row","OK"))))</f>
        <v/>
      </c>
      <c r="P1763">
        <f>IF(A1763="","",A1763&amp;"|"&amp;IF(B1763="","Standard",B1763))</f>
        <v/>
      </c>
      <c r="Q1763">
        <f>IF(AND(A1763&lt;&gt;"",A1763='Firm Search'!$C$7),COUNTIF($A$5:A1763,'Firm Search'!$C$7),"")</f>
        <v/>
      </c>
    </row>
    <row r="1764">
      <c r="A1764" s="64" t="n"/>
      <c r="B1764" s="64" t="n"/>
      <c r="C1764" s="66" t="n"/>
      <c r="D1764" s="66" t="n"/>
      <c r="E1764" s="67" t="n"/>
      <c r="F1764" s="67" t="n"/>
      <c r="G1764" s="67" t="n"/>
      <c r="H1764" s="67" t="n"/>
      <c r="I1764" s="67" t="n"/>
      <c r="J1764" s="67" t="n"/>
      <c r="K1764" s="67" t="n"/>
      <c r="L1764" s="67" t="n"/>
      <c r="M1764" s="64" t="n"/>
      <c r="N1764" s="66" t="n"/>
      <c r="O1764" s="84">
        <f>IF(A1764="","",IF(OR(C1764="",D1764=""),"Enter both dates",IF(D1764&lt;C1764,"To is before From",IF(COUNTIFS($P$5:$P$2004,P1764,$C$5:$C$2004,"&lt;="&amp;D1764,$D$5:$D$2004,"&gt;="&amp;C1764)&gt;1,"Overlaps another row","OK"))))</f>
        <v/>
      </c>
      <c r="P1764">
        <f>IF(A1764="","",A1764&amp;"|"&amp;IF(B1764="","Standard",B1764))</f>
        <v/>
      </c>
      <c r="Q1764">
        <f>IF(AND(A1764&lt;&gt;"",A1764='Firm Search'!$C$7),COUNTIF($A$5:A1764,'Firm Search'!$C$7),"")</f>
        <v/>
      </c>
    </row>
    <row r="1765">
      <c r="A1765" s="64" t="n"/>
      <c r="B1765" s="64" t="n"/>
      <c r="C1765" s="66" t="n"/>
      <c r="D1765" s="66" t="n"/>
      <c r="E1765" s="67" t="n"/>
      <c r="F1765" s="67" t="n"/>
      <c r="G1765" s="67" t="n"/>
      <c r="H1765" s="67" t="n"/>
      <c r="I1765" s="67" t="n"/>
      <c r="J1765" s="67" t="n"/>
      <c r="K1765" s="67" t="n"/>
      <c r="L1765" s="67" t="n"/>
      <c r="M1765" s="64" t="n"/>
      <c r="N1765" s="66" t="n"/>
      <c r="O1765" s="84">
        <f>IF(A1765="","",IF(OR(C1765="",D1765=""),"Enter both dates",IF(D1765&lt;C1765,"To is before From",IF(COUNTIFS($P$5:$P$2004,P1765,$C$5:$C$2004,"&lt;="&amp;D1765,$D$5:$D$2004,"&gt;="&amp;C1765)&gt;1,"Overlaps another row","OK"))))</f>
        <v/>
      </c>
      <c r="P1765">
        <f>IF(A1765="","",A1765&amp;"|"&amp;IF(B1765="","Standard",B1765))</f>
        <v/>
      </c>
      <c r="Q1765">
        <f>IF(AND(A1765&lt;&gt;"",A1765='Firm Search'!$C$7),COUNTIF($A$5:A1765,'Firm Search'!$C$7),"")</f>
        <v/>
      </c>
    </row>
    <row r="1766">
      <c r="A1766" s="64" t="n"/>
      <c r="B1766" s="64" t="n"/>
      <c r="C1766" s="66" t="n"/>
      <c r="D1766" s="66" t="n"/>
      <c r="E1766" s="67" t="n"/>
      <c r="F1766" s="67" t="n"/>
      <c r="G1766" s="67" t="n"/>
      <c r="H1766" s="67" t="n"/>
      <c r="I1766" s="67" t="n"/>
      <c r="J1766" s="67" t="n"/>
      <c r="K1766" s="67" t="n"/>
      <c r="L1766" s="67" t="n"/>
      <c r="M1766" s="64" t="n"/>
      <c r="N1766" s="66" t="n"/>
      <c r="O1766" s="84">
        <f>IF(A1766="","",IF(OR(C1766="",D1766=""),"Enter both dates",IF(D1766&lt;C1766,"To is before From",IF(COUNTIFS($P$5:$P$2004,P1766,$C$5:$C$2004,"&lt;="&amp;D1766,$D$5:$D$2004,"&gt;="&amp;C1766)&gt;1,"Overlaps another row","OK"))))</f>
        <v/>
      </c>
      <c r="P1766">
        <f>IF(A1766="","",A1766&amp;"|"&amp;IF(B1766="","Standard",B1766))</f>
        <v/>
      </c>
      <c r="Q1766">
        <f>IF(AND(A1766&lt;&gt;"",A1766='Firm Search'!$C$7),COUNTIF($A$5:A1766,'Firm Search'!$C$7),"")</f>
        <v/>
      </c>
    </row>
    <row r="1767">
      <c r="A1767" s="64" t="n"/>
      <c r="B1767" s="64" t="n"/>
      <c r="C1767" s="66" t="n"/>
      <c r="D1767" s="66" t="n"/>
      <c r="E1767" s="67" t="n"/>
      <c r="F1767" s="67" t="n"/>
      <c r="G1767" s="67" t="n"/>
      <c r="H1767" s="67" t="n"/>
      <c r="I1767" s="67" t="n"/>
      <c r="J1767" s="67" t="n"/>
      <c r="K1767" s="67" t="n"/>
      <c r="L1767" s="67" t="n"/>
      <c r="M1767" s="64" t="n"/>
      <c r="N1767" s="66" t="n"/>
      <c r="O1767" s="84">
        <f>IF(A1767="","",IF(OR(C1767="",D1767=""),"Enter both dates",IF(D1767&lt;C1767,"To is before From",IF(COUNTIFS($P$5:$P$2004,P1767,$C$5:$C$2004,"&lt;="&amp;D1767,$D$5:$D$2004,"&gt;="&amp;C1767)&gt;1,"Overlaps another row","OK"))))</f>
        <v/>
      </c>
      <c r="P1767">
        <f>IF(A1767="","",A1767&amp;"|"&amp;IF(B1767="","Standard",B1767))</f>
        <v/>
      </c>
      <c r="Q1767">
        <f>IF(AND(A1767&lt;&gt;"",A1767='Firm Search'!$C$7),COUNTIF($A$5:A1767,'Firm Search'!$C$7),"")</f>
        <v/>
      </c>
    </row>
    <row r="1768">
      <c r="A1768" s="64" t="n"/>
      <c r="B1768" s="64" t="n"/>
      <c r="C1768" s="66" t="n"/>
      <c r="D1768" s="66" t="n"/>
      <c r="E1768" s="67" t="n"/>
      <c r="F1768" s="67" t="n"/>
      <c r="G1768" s="67" t="n"/>
      <c r="H1768" s="67" t="n"/>
      <c r="I1768" s="67" t="n"/>
      <c r="J1768" s="67" t="n"/>
      <c r="K1768" s="67" t="n"/>
      <c r="L1768" s="67" t="n"/>
      <c r="M1768" s="64" t="n"/>
      <c r="N1768" s="66" t="n"/>
      <c r="O1768" s="84">
        <f>IF(A1768="","",IF(OR(C1768="",D1768=""),"Enter both dates",IF(D1768&lt;C1768,"To is before From",IF(COUNTIFS($P$5:$P$2004,P1768,$C$5:$C$2004,"&lt;="&amp;D1768,$D$5:$D$2004,"&gt;="&amp;C1768)&gt;1,"Overlaps another row","OK"))))</f>
        <v/>
      </c>
      <c r="P1768">
        <f>IF(A1768="","",A1768&amp;"|"&amp;IF(B1768="","Standard",B1768))</f>
        <v/>
      </c>
      <c r="Q1768">
        <f>IF(AND(A1768&lt;&gt;"",A1768='Firm Search'!$C$7),COUNTIF($A$5:A1768,'Firm Search'!$C$7),"")</f>
        <v/>
      </c>
    </row>
    <row r="1769">
      <c r="A1769" s="64" t="n"/>
      <c r="B1769" s="64" t="n"/>
      <c r="C1769" s="66" t="n"/>
      <c r="D1769" s="66" t="n"/>
      <c r="E1769" s="67" t="n"/>
      <c r="F1769" s="67" t="n"/>
      <c r="G1769" s="67" t="n"/>
      <c r="H1769" s="67" t="n"/>
      <c r="I1769" s="67" t="n"/>
      <c r="J1769" s="67" t="n"/>
      <c r="K1769" s="67" t="n"/>
      <c r="L1769" s="67" t="n"/>
      <c r="M1769" s="64" t="n"/>
      <c r="N1769" s="66" t="n"/>
      <c r="O1769" s="84">
        <f>IF(A1769="","",IF(OR(C1769="",D1769=""),"Enter both dates",IF(D1769&lt;C1769,"To is before From",IF(COUNTIFS($P$5:$P$2004,P1769,$C$5:$C$2004,"&lt;="&amp;D1769,$D$5:$D$2004,"&gt;="&amp;C1769)&gt;1,"Overlaps another row","OK"))))</f>
        <v/>
      </c>
      <c r="P1769">
        <f>IF(A1769="","",A1769&amp;"|"&amp;IF(B1769="","Standard",B1769))</f>
        <v/>
      </c>
      <c r="Q1769">
        <f>IF(AND(A1769&lt;&gt;"",A1769='Firm Search'!$C$7),COUNTIF($A$5:A1769,'Firm Search'!$C$7),"")</f>
        <v/>
      </c>
    </row>
    <row r="1770">
      <c r="A1770" s="64" t="n"/>
      <c r="B1770" s="64" t="n"/>
      <c r="C1770" s="66" t="n"/>
      <c r="D1770" s="66" t="n"/>
      <c r="E1770" s="67" t="n"/>
      <c r="F1770" s="67" t="n"/>
      <c r="G1770" s="67" t="n"/>
      <c r="H1770" s="67" t="n"/>
      <c r="I1770" s="67" t="n"/>
      <c r="J1770" s="67" t="n"/>
      <c r="K1770" s="67" t="n"/>
      <c r="L1770" s="67" t="n"/>
      <c r="M1770" s="64" t="n"/>
      <c r="N1770" s="66" t="n"/>
      <c r="O1770" s="84">
        <f>IF(A1770="","",IF(OR(C1770="",D1770=""),"Enter both dates",IF(D1770&lt;C1770,"To is before From",IF(COUNTIFS($P$5:$P$2004,P1770,$C$5:$C$2004,"&lt;="&amp;D1770,$D$5:$D$2004,"&gt;="&amp;C1770)&gt;1,"Overlaps another row","OK"))))</f>
        <v/>
      </c>
      <c r="P1770">
        <f>IF(A1770="","",A1770&amp;"|"&amp;IF(B1770="","Standard",B1770))</f>
        <v/>
      </c>
      <c r="Q1770">
        <f>IF(AND(A1770&lt;&gt;"",A1770='Firm Search'!$C$7),COUNTIF($A$5:A1770,'Firm Search'!$C$7),"")</f>
        <v/>
      </c>
    </row>
    <row r="1771">
      <c r="A1771" s="64" t="n"/>
      <c r="B1771" s="64" t="n"/>
      <c r="C1771" s="66" t="n"/>
      <c r="D1771" s="66" t="n"/>
      <c r="E1771" s="67" t="n"/>
      <c r="F1771" s="67" t="n"/>
      <c r="G1771" s="67" t="n"/>
      <c r="H1771" s="67" t="n"/>
      <c r="I1771" s="67" t="n"/>
      <c r="J1771" s="67" t="n"/>
      <c r="K1771" s="67" t="n"/>
      <c r="L1771" s="67" t="n"/>
      <c r="M1771" s="64" t="n"/>
      <c r="N1771" s="66" t="n"/>
      <c r="O1771" s="84">
        <f>IF(A1771="","",IF(OR(C1771="",D1771=""),"Enter both dates",IF(D1771&lt;C1771,"To is before From",IF(COUNTIFS($P$5:$P$2004,P1771,$C$5:$C$2004,"&lt;="&amp;D1771,$D$5:$D$2004,"&gt;="&amp;C1771)&gt;1,"Overlaps another row","OK"))))</f>
        <v/>
      </c>
      <c r="P1771">
        <f>IF(A1771="","",A1771&amp;"|"&amp;IF(B1771="","Standard",B1771))</f>
        <v/>
      </c>
      <c r="Q1771">
        <f>IF(AND(A1771&lt;&gt;"",A1771='Firm Search'!$C$7),COUNTIF($A$5:A1771,'Firm Search'!$C$7),"")</f>
        <v/>
      </c>
    </row>
    <row r="1772">
      <c r="A1772" s="64" t="n"/>
      <c r="B1772" s="64" t="n"/>
      <c r="C1772" s="66" t="n"/>
      <c r="D1772" s="66" t="n"/>
      <c r="E1772" s="67" t="n"/>
      <c r="F1772" s="67" t="n"/>
      <c r="G1772" s="67" t="n"/>
      <c r="H1772" s="67" t="n"/>
      <c r="I1772" s="67" t="n"/>
      <c r="J1772" s="67" t="n"/>
      <c r="K1772" s="67" t="n"/>
      <c r="L1772" s="67" t="n"/>
      <c r="M1772" s="64" t="n"/>
      <c r="N1772" s="66" t="n"/>
      <c r="O1772" s="84">
        <f>IF(A1772="","",IF(OR(C1772="",D1772=""),"Enter both dates",IF(D1772&lt;C1772,"To is before From",IF(COUNTIFS($P$5:$P$2004,P1772,$C$5:$C$2004,"&lt;="&amp;D1772,$D$5:$D$2004,"&gt;="&amp;C1772)&gt;1,"Overlaps another row","OK"))))</f>
        <v/>
      </c>
      <c r="P1772">
        <f>IF(A1772="","",A1772&amp;"|"&amp;IF(B1772="","Standard",B1772))</f>
        <v/>
      </c>
      <c r="Q1772">
        <f>IF(AND(A1772&lt;&gt;"",A1772='Firm Search'!$C$7),COUNTIF($A$5:A1772,'Firm Search'!$C$7),"")</f>
        <v/>
      </c>
    </row>
    <row r="1773">
      <c r="A1773" s="64" t="n"/>
      <c r="B1773" s="64" t="n"/>
      <c r="C1773" s="66" t="n"/>
      <c r="D1773" s="66" t="n"/>
      <c r="E1773" s="67" t="n"/>
      <c r="F1773" s="67" t="n"/>
      <c r="G1773" s="67" t="n"/>
      <c r="H1773" s="67" t="n"/>
      <c r="I1773" s="67" t="n"/>
      <c r="J1773" s="67" t="n"/>
      <c r="K1773" s="67" t="n"/>
      <c r="L1773" s="67" t="n"/>
      <c r="M1773" s="64" t="n"/>
      <c r="N1773" s="66" t="n"/>
      <c r="O1773" s="84">
        <f>IF(A1773="","",IF(OR(C1773="",D1773=""),"Enter both dates",IF(D1773&lt;C1773,"To is before From",IF(COUNTIFS($P$5:$P$2004,P1773,$C$5:$C$2004,"&lt;="&amp;D1773,$D$5:$D$2004,"&gt;="&amp;C1773)&gt;1,"Overlaps another row","OK"))))</f>
        <v/>
      </c>
      <c r="P1773">
        <f>IF(A1773="","",A1773&amp;"|"&amp;IF(B1773="","Standard",B1773))</f>
        <v/>
      </c>
      <c r="Q1773">
        <f>IF(AND(A1773&lt;&gt;"",A1773='Firm Search'!$C$7),COUNTIF($A$5:A1773,'Firm Search'!$C$7),"")</f>
        <v/>
      </c>
    </row>
    <row r="1774">
      <c r="A1774" s="64" t="n"/>
      <c r="B1774" s="64" t="n"/>
      <c r="C1774" s="66" t="n"/>
      <c r="D1774" s="66" t="n"/>
      <c r="E1774" s="67" t="n"/>
      <c r="F1774" s="67" t="n"/>
      <c r="G1774" s="67" t="n"/>
      <c r="H1774" s="67" t="n"/>
      <c r="I1774" s="67" t="n"/>
      <c r="J1774" s="67" t="n"/>
      <c r="K1774" s="67" t="n"/>
      <c r="L1774" s="67" t="n"/>
      <c r="M1774" s="64" t="n"/>
      <c r="N1774" s="66" t="n"/>
      <c r="O1774" s="84">
        <f>IF(A1774="","",IF(OR(C1774="",D1774=""),"Enter both dates",IF(D1774&lt;C1774,"To is before From",IF(COUNTIFS($P$5:$P$2004,P1774,$C$5:$C$2004,"&lt;="&amp;D1774,$D$5:$D$2004,"&gt;="&amp;C1774)&gt;1,"Overlaps another row","OK"))))</f>
        <v/>
      </c>
      <c r="P1774">
        <f>IF(A1774="","",A1774&amp;"|"&amp;IF(B1774="","Standard",B1774))</f>
        <v/>
      </c>
      <c r="Q1774">
        <f>IF(AND(A1774&lt;&gt;"",A1774='Firm Search'!$C$7),COUNTIF($A$5:A1774,'Firm Search'!$C$7),"")</f>
        <v/>
      </c>
    </row>
    <row r="1775">
      <c r="A1775" s="64" t="n"/>
      <c r="B1775" s="64" t="n"/>
      <c r="C1775" s="66" t="n"/>
      <c r="D1775" s="66" t="n"/>
      <c r="E1775" s="67" t="n"/>
      <c r="F1775" s="67" t="n"/>
      <c r="G1775" s="67" t="n"/>
      <c r="H1775" s="67" t="n"/>
      <c r="I1775" s="67" t="n"/>
      <c r="J1775" s="67" t="n"/>
      <c r="K1775" s="67" t="n"/>
      <c r="L1775" s="67" t="n"/>
      <c r="M1775" s="64" t="n"/>
      <c r="N1775" s="66" t="n"/>
      <c r="O1775" s="84">
        <f>IF(A1775="","",IF(OR(C1775="",D1775=""),"Enter both dates",IF(D1775&lt;C1775,"To is before From",IF(COUNTIFS($P$5:$P$2004,P1775,$C$5:$C$2004,"&lt;="&amp;D1775,$D$5:$D$2004,"&gt;="&amp;C1775)&gt;1,"Overlaps another row","OK"))))</f>
        <v/>
      </c>
      <c r="P1775">
        <f>IF(A1775="","",A1775&amp;"|"&amp;IF(B1775="","Standard",B1775))</f>
        <v/>
      </c>
      <c r="Q1775">
        <f>IF(AND(A1775&lt;&gt;"",A1775='Firm Search'!$C$7),COUNTIF($A$5:A1775,'Firm Search'!$C$7),"")</f>
        <v/>
      </c>
    </row>
    <row r="1776">
      <c r="A1776" s="64" t="n"/>
      <c r="B1776" s="64" t="n"/>
      <c r="C1776" s="66" t="n"/>
      <c r="D1776" s="66" t="n"/>
      <c r="E1776" s="67" t="n"/>
      <c r="F1776" s="67" t="n"/>
      <c r="G1776" s="67" t="n"/>
      <c r="H1776" s="67" t="n"/>
      <c r="I1776" s="67" t="n"/>
      <c r="J1776" s="67" t="n"/>
      <c r="K1776" s="67" t="n"/>
      <c r="L1776" s="67" t="n"/>
      <c r="M1776" s="64" t="n"/>
      <c r="N1776" s="66" t="n"/>
      <c r="O1776" s="84">
        <f>IF(A1776="","",IF(OR(C1776="",D1776=""),"Enter both dates",IF(D1776&lt;C1776,"To is before From",IF(COUNTIFS($P$5:$P$2004,P1776,$C$5:$C$2004,"&lt;="&amp;D1776,$D$5:$D$2004,"&gt;="&amp;C1776)&gt;1,"Overlaps another row","OK"))))</f>
        <v/>
      </c>
      <c r="P1776">
        <f>IF(A1776="","",A1776&amp;"|"&amp;IF(B1776="","Standard",B1776))</f>
        <v/>
      </c>
      <c r="Q1776">
        <f>IF(AND(A1776&lt;&gt;"",A1776='Firm Search'!$C$7),COUNTIF($A$5:A1776,'Firm Search'!$C$7),"")</f>
        <v/>
      </c>
    </row>
    <row r="1777">
      <c r="A1777" s="64" t="n"/>
      <c r="B1777" s="64" t="n"/>
      <c r="C1777" s="66" t="n"/>
      <c r="D1777" s="66" t="n"/>
      <c r="E1777" s="67" t="n"/>
      <c r="F1777" s="67" t="n"/>
      <c r="G1777" s="67" t="n"/>
      <c r="H1777" s="67" t="n"/>
      <c r="I1777" s="67" t="n"/>
      <c r="J1777" s="67" t="n"/>
      <c r="K1777" s="67" t="n"/>
      <c r="L1777" s="67" t="n"/>
      <c r="M1777" s="64" t="n"/>
      <c r="N1777" s="66" t="n"/>
      <c r="O1777" s="84">
        <f>IF(A1777="","",IF(OR(C1777="",D1777=""),"Enter both dates",IF(D1777&lt;C1777,"To is before From",IF(COUNTIFS($P$5:$P$2004,P1777,$C$5:$C$2004,"&lt;="&amp;D1777,$D$5:$D$2004,"&gt;="&amp;C1777)&gt;1,"Overlaps another row","OK"))))</f>
        <v/>
      </c>
      <c r="P1777">
        <f>IF(A1777="","",A1777&amp;"|"&amp;IF(B1777="","Standard",B1777))</f>
        <v/>
      </c>
      <c r="Q1777">
        <f>IF(AND(A1777&lt;&gt;"",A1777='Firm Search'!$C$7),COUNTIF($A$5:A1777,'Firm Search'!$C$7),"")</f>
        <v/>
      </c>
    </row>
    <row r="1778">
      <c r="A1778" s="64" t="n"/>
      <c r="B1778" s="64" t="n"/>
      <c r="C1778" s="66" t="n"/>
      <c r="D1778" s="66" t="n"/>
      <c r="E1778" s="67" t="n"/>
      <c r="F1778" s="67" t="n"/>
      <c r="G1778" s="67" t="n"/>
      <c r="H1778" s="67" t="n"/>
      <c r="I1778" s="67" t="n"/>
      <c r="J1778" s="67" t="n"/>
      <c r="K1778" s="67" t="n"/>
      <c r="L1778" s="67" t="n"/>
      <c r="M1778" s="64" t="n"/>
      <c r="N1778" s="66" t="n"/>
      <c r="O1778" s="84">
        <f>IF(A1778="","",IF(OR(C1778="",D1778=""),"Enter both dates",IF(D1778&lt;C1778,"To is before From",IF(COUNTIFS($P$5:$P$2004,P1778,$C$5:$C$2004,"&lt;="&amp;D1778,$D$5:$D$2004,"&gt;="&amp;C1778)&gt;1,"Overlaps another row","OK"))))</f>
        <v/>
      </c>
      <c r="P1778">
        <f>IF(A1778="","",A1778&amp;"|"&amp;IF(B1778="","Standard",B1778))</f>
        <v/>
      </c>
      <c r="Q1778">
        <f>IF(AND(A1778&lt;&gt;"",A1778='Firm Search'!$C$7),COUNTIF($A$5:A1778,'Firm Search'!$C$7),"")</f>
        <v/>
      </c>
    </row>
    <row r="1779">
      <c r="A1779" s="64" t="n"/>
      <c r="B1779" s="64" t="n"/>
      <c r="C1779" s="66" t="n"/>
      <c r="D1779" s="66" t="n"/>
      <c r="E1779" s="67" t="n"/>
      <c r="F1779" s="67" t="n"/>
      <c r="G1779" s="67" t="n"/>
      <c r="H1779" s="67" t="n"/>
      <c r="I1779" s="67" t="n"/>
      <c r="J1779" s="67" t="n"/>
      <c r="K1779" s="67" t="n"/>
      <c r="L1779" s="67" t="n"/>
      <c r="M1779" s="64" t="n"/>
      <c r="N1779" s="66" t="n"/>
      <c r="O1779" s="84">
        <f>IF(A1779="","",IF(OR(C1779="",D1779=""),"Enter both dates",IF(D1779&lt;C1779,"To is before From",IF(COUNTIFS($P$5:$P$2004,P1779,$C$5:$C$2004,"&lt;="&amp;D1779,$D$5:$D$2004,"&gt;="&amp;C1779)&gt;1,"Overlaps another row","OK"))))</f>
        <v/>
      </c>
      <c r="P1779">
        <f>IF(A1779="","",A1779&amp;"|"&amp;IF(B1779="","Standard",B1779))</f>
        <v/>
      </c>
      <c r="Q1779">
        <f>IF(AND(A1779&lt;&gt;"",A1779='Firm Search'!$C$7),COUNTIF($A$5:A1779,'Firm Search'!$C$7),"")</f>
        <v/>
      </c>
    </row>
    <row r="1780">
      <c r="A1780" s="64" t="n"/>
      <c r="B1780" s="64" t="n"/>
      <c r="C1780" s="66" t="n"/>
      <c r="D1780" s="66" t="n"/>
      <c r="E1780" s="67" t="n"/>
      <c r="F1780" s="67" t="n"/>
      <c r="G1780" s="67" t="n"/>
      <c r="H1780" s="67" t="n"/>
      <c r="I1780" s="67" t="n"/>
      <c r="J1780" s="67" t="n"/>
      <c r="K1780" s="67" t="n"/>
      <c r="L1780" s="67" t="n"/>
      <c r="M1780" s="64" t="n"/>
      <c r="N1780" s="66" t="n"/>
      <c r="O1780" s="84">
        <f>IF(A1780="","",IF(OR(C1780="",D1780=""),"Enter both dates",IF(D1780&lt;C1780,"To is before From",IF(COUNTIFS($P$5:$P$2004,P1780,$C$5:$C$2004,"&lt;="&amp;D1780,$D$5:$D$2004,"&gt;="&amp;C1780)&gt;1,"Overlaps another row","OK"))))</f>
        <v/>
      </c>
      <c r="P1780">
        <f>IF(A1780="","",A1780&amp;"|"&amp;IF(B1780="","Standard",B1780))</f>
        <v/>
      </c>
      <c r="Q1780">
        <f>IF(AND(A1780&lt;&gt;"",A1780='Firm Search'!$C$7),COUNTIF($A$5:A1780,'Firm Search'!$C$7),"")</f>
        <v/>
      </c>
    </row>
    <row r="1781">
      <c r="A1781" s="64" t="n"/>
      <c r="B1781" s="64" t="n"/>
      <c r="C1781" s="66" t="n"/>
      <c r="D1781" s="66" t="n"/>
      <c r="E1781" s="67" t="n"/>
      <c r="F1781" s="67" t="n"/>
      <c r="G1781" s="67" t="n"/>
      <c r="H1781" s="67" t="n"/>
      <c r="I1781" s="67" t="n"/>
      <c r="J1781" s="67" t="n"/>
      <c r="K1781" s="67" t="n"/>
      <c r="L1781" s="67" t="n"/>
      <c r="M1781" s="64" t="n"/>
      <c r="N1781" s="66" t="n"/>
      <c r="O1781" s="84">
        <f>IF(A1781="","",IF(OR(C1781="",D1781=""),"Enter both dates",IF(D1781&lt;C1781,"To is before From",IF(COUNTIFS($P$5:$P$2004,P1781,$C$5:$C$2004,"&lt;="&amp;D1781,$D$5:$D$2004,"&gt;="&amp;C1781)&gt;1,"Overlaps another row","OK"))))</f>
        <v/>
      </c>
      <c r="P1781">
        <f>IF(A1781="","",A1781&amp;"|"&amp;IF(B1781="","Standard",B1781))</f>
        <v/>
      </c>
      <c r="Q1781">
        <f>IF(AND(A1781&lt;&gt;"",A1781='Firm Search'!$C$7),COUNTIF($A$5:A1781,'Firm Search'!$C$7),"")</f>
        <v/>
      </c>
    </row>
    <row r="1782">
      <c r="A1782" s="64" t="n"/>
      <c r="B1782" s="64" t="n"/>
      <c r="C1782" s="66" t="n"/>
      <c r="D1782" s="66" t="n"/>
      <c r="E1782" s="67" t="n"/>
      <c r="F1782" s="67" t="n"/>
      <c r="G1782" s="67" t="n"/>
      <c r="H1782" s="67" t="n"/>
      <c r="I1782" s="67" t="n"/>
      <c r="J1782" s="67" t="n"/>
      <c r="K1782" s="67" t="n"/>
      <c r="L1782" s="67" t="n"/>
      <c r="M1782" s="64" t="n"/>
      <c r="N1782" s="66" t="n"/>
      <c r="O1782" s="84">
        <f>IF(A1782="","",IF(OR(C1782="",D1782=""),"Enter both dates",IF(D1782&lt;C1782,"To is before From",IF(COUNTIFS($P$5:$P$2004,P1782,$C$5:$C$2004,"&lt;="&amp;D1782,$D$5:$D$2004,"&gt;="&amp;C1782)&gt;1,"Overlaps another row","OK"))))</f>
        <v/>
      </c>
      <c r="P1782">
        <f>IF(A1782="","",A1782&amp;"|"&amp;IF(B1782="","Standard",B1782))</f>
        <v/>
      </c>
      <c r="Q1782">
        <f>IF(AND(A1782&lt;&gt;"",A1782='Firm Search'!$C$7),COUNTIF($A$5:A1782,'Firm Search'!$C$7),"")</f>
        <v/>
      </c>
    </row>
    <row r="1783">
      <c r="A1783" s="64" t="n"/>
      <c r="B1783" s="64" t="n"/>
      <c r="C1783" s="66" t="n"/>
      <c r="D1783" s="66" t="n"/>
      <c r="E1783" s="67" t="n"/>
      <c r="F1783" s="67" t="n"/>
      <c r="G1783" s="67" t="n"/>
      <c r="H1783" s="67" t="n"/>
      <c r="I1783" s="67" t="n"/>
      <c r="J1783" s="67" t="n"/>
      <c r="K1783" s="67" t="n"/>
      <c r="L1783" s="67" t="n"/>
      <c r="M1783" s="64" t="n"/>
      <c r="N1783" s="66" t="n"/>
      <c r="O1783" s="84">
        <f>IF(A1783="","",IF(OR(C1783="",D1783=""),"Enter both dates",IF(D1783&lt;C1783,"To is before From",IF(COUNTIFS($P$5:$P$2004,P1783,$C$5:$C$2004,"&lt;="&amp;D1783,$D$5:$D$2004,"&gt;="&amp;C1783)&gt;1,"Overlaps another row","OK"))))</f>
        <v/>
      </c>
      <c r="P1783">
        <f>IF(A1783="","",A1783&amp;"|"&amp;IF(B1783="","Standard",B1783))</f>
        <v/>
      </c>
      <c r="Q1783">
        <f>IF(AND(A1783&lt;&gt;"",A1783='Firm Search'!$C$7),COUNTIF($A$5:A1783,'Firm Search'!$C$7),"")</f>
        <v/>
      </c>
    </row>
    <row r="1784">
      <c r="A1784" s="64" t="n"/>
      <c r="B1784" s="64" t="n"/>
      <c r="C1784" s="66" t="n"/>
      <c r="D1784" s="66" t="n"/>
      <c r="E1784" s="67" t="n"/>
      <c r="F1784" s="67" t="n"/>
      <c r="G1784" s="67" t="n"/>
      <c r="H1784" s="67" t="n"/>
      <c r="I1784" s="67" t="n"/>
      <c r="J1784" s="67" t="n"/>
      <c r="K1784" s="67" t="n"/>
      <c r="L1784" s="67" t="n"/>
      <c r="M1784" s="64" t="n"/>
      <c r="N1784" s="66" t="n"/>
      <c r="O1784" s="84">
        <f>IF(A1784="","",IF(OR(C1784="",D1784=""),"Enter both dates",IF(D1784&lt;C1784,"To is before From",IF(COUNTIFS($P$5:$P$2004,P1784,$C$5:$C$2004,"&lt;="&amp;D1784,$D$5:$D$2004,"&gt;="&amp;C1784)&gt;1,"Overlaps another row","OK"))))</f>
        <v/>
      </c>
      <c r="P1784">
        <f>IF(A1784="","",A1784&amp;"|"&amp;IF(B1784="","Standard",B1784))</f>
        <v/>
      </c>
      <c r="Q1784">
        <f>IF(AND(A1784&lt;&gt;"",A1784='Firm Search'!$C$7),COUNTIF($A$5:A1784,'Firm Search'!$C$7),"")</f>
        <v/>
      </c>
    </row>
    <row r="1785">
      <c r="A1785" s="64" t="n"/>
      <c r="B1785" s="64" t="n"/>
      <c r="C1785" s="66" t="n"/>
      <c r="D1785" s="66" t="n"/>
      <c r="E1785" s="67" t="n"/>
      <c r="F1785" s="67" t="n"/>
      <c r="G1785" s="67" t="n"/>
      <c r="H1785" s="67" t="n"/>
      <c r="I1785" s="67" t="n"/>
      <c r="J1785" s="67" t="n"/>
      <c r="K1785" s="67" t="n"/>
      <c r="L1785" s="67" t="n"/>
      <c r="M1785" s="64" t="n"/>
      <c r="N1785" s="66" t="n"/>
      <c r="O1785" s="84">
        <f>IF(A1785="","",IF(OR(C1785="",D1785=""),"Enter both dates",IF(D1785&lt;C1785,"To is before From",IF(COUNTIFS($P$5:$P$2004,P1785,$C$5:$C$2004,"&lt;="&amp;D1785,$D$5:$D$2004,"&gt;="&amp;C1785)&gt;1,"Overlaps another row","OK"))))</f>
        <v/>
      </c>
      <c r="P1785">
        <f>IF(A1785="","",A1785&amp;"|"&amp;IF(B1785="","Standard",B1785))</f>
        <v/>
      </c>
      <c r="Q1785">
        <f>IF(AND(A1785&lt;&gt;"",A1785='Firm Search'!$C$7),COUNTIF($A$5:A1785,'Firm Search'!$C$7),"")</f>
        <v/>
      </c>
    </row>
    <row r="1786">
      <c r="A1786" s="64" t="n"/>
      <c r="B1786" s="64" t="n"/>
      <c r="C1786" s="66" t="n"/>
      <c r="D1786" s="66" t="n"/>
      <c r="E1786" s="67" t="n"/>
      <c r="F1786" s="67" t="n"/>
      <c r="G1786" s="67" t="n"/>
      <c r="H1786" s="67" t="n"/>
      <c r="I1786" s="67" t="n"/>
      <c r="J1786" s="67" t="n"/>
      <c r="K1786" s="67" t="n"/>
      <c r="L1786" s="67" t="n"/>
      <c r="M1786" s="64" t="n"/>
      <c r="N1786" s="66" t="n"/>
      <c r="O1786" s="84">
        <f>IF(A1786="","",IF(OR(C1786="",D1786=""),"Enter both dates",IF(D1786&lt;C1786,"To is before From",IF(COUNTIFS($P$5:$P$2004,P1786,$C$5:$C$2004,"&lt;="&amp;D1786,$D$5:$D$2004,"&gt;="&amp;C1786)&gt;1,"Overlaps another row","OK"))))</f>
        <v/>
      </c>
      <c r="P1786">
        <f>IF(A1786="","",A1786&amp;"|"&amp;IF(B1786="","Standard",B1786))</f>
        <v/>
      </c>
      <c r="Q1786">
        <f>IF(AND(A1786&lt;&gt;"",A1786='Firm Search'!$C$7),COUNTIF($A$5:A1786,'Firm Search'!$C$7),"")</f>
        <v/>
      </c>
    </row>
    <row r="1787">
      <c r="A1787" s="64" t="n"/>
      <c r="B1787" s="64" t="n"/>
      <c r="C1787" s="66" t="n"/>
      <c r="D1787" s="66" t="n"/>
      <c r="E1787" s="67" t="n"/>
      <c r="F1787" s="67" t="n"/>
      <c r="G1787" s="67" t="n"/>
      <c r="H1787" s="67" t="n"/>
      <c r="I1787" s="67" t="n"/>
      <c r="J1787" s="67" t="n"/>
      <c r="K1787" s="67" t="n"/>
      <c r="L1787" s="67" t="n"/>
      <c r="M1787" s="64" t="n"/>
      <c r="N1787" s="66" t="n"/>
      <c r="O1787" s="84">
        <f>IF(A1787="","",IF(OR(C1787="",D1787=""),"Enter both dates",IF(D1787&lt;C1787,"To is before From",IF(COUNTIFS($P$5:$P$2004,P1787,$C$5:$C$2004,"&lt;="&amp;D1787,$D$5:$D$2004,"&gt;="&amp;C1787)&gt;1,"Overlaps another row","OK"))))</f>
        <v/>
      </c>
      <c r="P1787">
        <f>IF(A1787="","",A1787&amp;"|"&amp;IF(B1787="","Standard",B1787))</f>
        <v/>
      </c>
      <c r="Q1787">
        <f>IF(AND(A1787&lt;&gt;"",A1787='Firm Search'!$C$7),COUNTIF($A$5:A1787,'Firm Search'!$C$7),"")</f>
        <v/>
      </c>
    </row>
    <row r="1788">
      <c r="A1788" s="64" t="n"/>
      <c r="B1788" s="64" t="n"/>
      <c r="C1788" s="66" t="n"/>
      <c r="D1788" s="66" t="n"/>
      <c r="E1788" s="67" t="n"/>
      <c r="F1788" s="67" t="n"/>
      <c r="G1788" s="67" t="n"/>
      <c r="H1788" s="67" t="n"/>
      <c r="I1788" s="67" t="n"/>
      <c r="J1788" s="67" t="n"/>
      <c r="K1788" s="67" t="n"/>
      <c r="L1788" s="67" t="n"/>
      <c r="M1788" s="64" t="n"/>
      <c r="N1788" s="66" t="n"/>
      <c r="O1788" s="84">
        <f>IF(A1788="","",IF(OR(C1788="",D1788=""),"Enter both dates",IF(D1788&lt;C1788,"To is before From",IF(COUNTIFS($P$5:$P$2004,P1788,$C$5:$C$2004,"&lt;="&amp;D1788,$D$5:$D$2004,"&gt;="&amp;C1788)&gt;1,"Overlaps another row","OK"))))</f>
        <v/>
      </c>
      <c r="P1788">
        <f>IF(A1788="","",A1788&amp;"|"&amp;IF(B1788="","Standard",B1788))</f>
        <v/>
      </c>
      <c r="Q1788">
        <f>IF(AND(A1788&lt;&gt;"",A1788='Firm Search'!$C$7),COUNTIF($A$5:A1788,'Firm Search'!$C$7),"")</f>
        <v/>
      </c>
    </row>
    <row r="1789">
      <c r="A1789" s="64" t="n"/>
      <c r="B1789" s="64" t="n"/>
      <c r="C1789" s="66" t="n"/>
      <c r="D1789" s="66" t="n"/>
      <c r="E1789" s="67" t="n"/>
      <c r="F1789" s="67" t="n"/>
      <c r="G1789" s="67" t="n"/>
      <c r="H1789" s="67" t="n"/>
      <c r="I1789" s="67" t="n"/>
      <c r="J1789" s="67" t="n"/>
      <c r="K1789" s="67" t="n"/>
      <c r="L1789" s="67" t="n"/>
      <c r="M1789" s="64" t="n"/>
      <c r="N1789" s="66" t="n"/>
      <c r="O1789" s="84">
        <f>IF(A1789="","",IF(OR(C1789="",D1789=""),"Enter both dates",IF(D1789&lt;C1789,"To is before From",IF(COUNTIFS($P$5:$P$2004,P1789,$C$5:$C$2004,"&lt;="&amp;D1789,$D$5:$D$2004,"&gt;="&amp;C1789)&gt;1,"Overlaps another row","OK"))))</f>
        <v/>
      </c>
      <c r="P1789">
        <f>IF(A1789="","",A1789&amp;"|"&amp;IF(B1789="","Standard",B1789))</f>
        <v/>
      </c>
      <c r="Q1789">
        <f>IF(AND(A1789&lt;&gt;"",A1789='Firm Search'!$C$7),COUNTIF($A$5:A1789,'Firm Search'!$C$7),"")</f>
        <v/>
      </c>
    </row>
    <row r="1790">
      <c r="A1790" s="64" t="n"/>
      <c r="B1790" s="64" t="n"/>
      <c r="C1790" s="66" t="n"/>
      <c r="D1790" s="66" t="n"/>
      <c r="E1790" s="67" t="n"/>
      <c r="F1790" s="67" t="n"/>
      <c r="G1790" s="67" t="n"/>
      <c r="H1790" s="67" t="n"/>
      <c r="I1790" s="67" t="n"/>
      <c r="J1790" s="67" t="n"/>
      <c r="K1790" s="67" t="n"/>
      <c r="L1790" s="67" t="n"/>
      <c r="M1790" s="64" t="n"/>
      <c r="N1790" s="66" t="n"/>
      <c r="O1790" s="84">
        <f>IF(A1790="","",IF(OR(C1790="",D1790=""),"Enter both dates",IF(D1790&lt;C1790,"To is before From",IF(COUNTIFS($P$5:$P$2004,P1790,$C$5:$C$2004,"&lt;="&amp;D1790,$D$5:$D$2004,"&gt;="&amp;C1790)&gt;1,"Overlaps another row","OK"))))</f>
        <v/>
      </c>
      <c r="P1790">
        <f>IF(A1790="","",A1790&amp;"|"&amp;IF(B1790="","Standard",B1790))</f>
        <v/>
      </c>
      <c r="Q1790">
        <f>IF(AND(A1790&lt;&gt;"",A1790='Firm Search'!$C$7),COUNTIF($A$5:A1790,'Firm Search'!$C$7),"")</f>
        <v/>
      </c>
    </row>
    <row r="1791">
      <c r="A1791" s="64" t="n"/>
      <c r="B1791" s="64" t="n"/>
      <c r="C1791" s="66" t="n"/>
      <c r="D1791" s="66" t="n"/>
      <c r="E1791" s="67" t="n"/>
      <c r="F1791" s="67" t="n"/>
      <c r="G1791" s="67" t="n"/>
      <c r="H1791" s="67" t="n"/>
      <c r="I1791" s="67" t="n"/>
      <c r="J1791" s="67" t="n"/>
      <c r="K1791" s="67" t="n"/>
      <c r="L1791" s="67" t="n"/>
      <c r="M1791" s="64" t="n"/>
      <c r="N1791" s="66" t="n"/>
      <c r="O1791" s="84">
        <f>IF(A1791="","",IF(OR(C1791="",D1791=""),"Enter both dates",IF(D1791&lt;C1791,"To is before From",IF(COUNTIFS($P$5:$P$2004,P1791,$C$5:$C$2004,"&lt;="&amp;D1791,$D$5:$D$2004,"&gt;="&amp;C1791)&gt;1,"Overlaps another row","OK"))))</f>
        <v/>
      </c>
      <c r="P1791">
        <f>IF(A1791="","",A1791&amp;"|"&amp;IF(B1791="","Standard",B1791))</f>
        <v/>
      </c>
      <c r="Q1791">
        <f>IF(AND(A1791&lt;&gt;"",A1791='Firm Search'!$C$7),COUNTIF($A$5:A1791,'Firm Search'!$C$7),"")</f>
        <v/>
      </c>
    </row>
    <row r="1792">
      <c r="A1792" s="64" t="n"/>
      <c r="B1792" s="64" t="n"/>
      <c r="C1792" s="66" t="n"/>
      <c r="D1792" s="66" t="n"/>
      <c r="E1792" s="67" t="n"/>
      <c r="F1792" s="67" t="n"/>
      <c r="G1792" s="67" t="n"/>
      <c r="H1792" s="67" t="n"/>
      <c r="I1792" s="67" t="n"/>
      <c r="J1792" s="67" t="n"/>
      <c r="K1792" s="67" t="n"/>
      <c r="L1792" s="67" t="n"/>
      <c r="M1792" s="64" t="n"/>
      <c r="N1792" s="66" t="n"/>
      <c r="O1792" s="84">
        <f>IF(A1792="","",IF(OR(C1792="",D1792=""),"Enter both dates",IF(D1792&lt;C1792,"To is before From",IF(COUNTIFS($P$5:$P$2004,P1792,$C$5:$C$2004,"&lt;="&amp;D1792,$D$5:$D$2004,"&gt;="&amp;C1792)&gt;1,"Overlaps another row","OK"))))</f>
        <v/>
      </c>
      <c r="P1792">
        <f>IF(A1792="","",A1792&amp;"|"&amp;IF(B1792="","Standard",B1792))</f>
        <v/>
      </c>
      <c r="Q1792">
        <f>IF(AND(A1792&lt;&gt;"",A1792='Firm Search'!$C$7),COUNTIF($A$5:A1792,'Firm Search'!$C$7),"")</f>
        <v/>
      </c>
    </row>
    <row r="1793">
      <c r="A1793" s="64" t="n"/>
      <c r="B1793" s="64" t="n"/>
      <c r="C1793" s="66" t="n"/>
      <c r="D1793" s="66" t="n"/>
      <c r="E1793" s="67" t="n"/>
      <c r="F1793" s="67" t="n"/>
      <c r="G1793" s="67" t="n"/>
      <c r="H1793" s="67" t="n"/>
      <c r="I1793" s="67" t="n"/>
      <c r="J1793" s="67" t="n"/>
      <c r="K1793" s="67" t="n"/>
      <c r="L1793" s="67" t="n"/>
      <c r="M1793" s="64" t="n"/>
      <c r="N1793" s="66" t="n"/>
      <c r="O1793" s="84">
        <f>IF(A1793="","",IF(OR(C1793="",D1793=""),"Enter both dates",IF(D1793&lt;C1793,"To is before From",IF(COUNTIFS($P$5:$P$2004,P1793,$C$5:$C$2004,"&lt;="&amp;D1793,$D$5:$D$2004,"&gt;="&amp;C1793)&gt;1,"Overlaps another row","OK"))))</f>
        <v/>
      </c>
      <c r="P1793">
        <f>IF(A1793="","",A1793&amp;"|"&amp;IF(B1793="","Standard",B1793))</f>
        <v/>
      </c>
      <c r="Q1793">
        <f>IF(AND(A1793&lt;&gt;"",A1793='Firm Search'!$C$7),COUNTIF($A$5:A1793,'Firm Search'!$C$7),"")</f>
        <v/>
      </c>
    </row>
    <row r="1794">
      <c r="A1794" s="64" t="n"/>
      <c r="B1794" s="64" t="n"/>
      <c r="C1794" s="66" t="n"/>
      <c r="D1794" s="66" t="n"/>
      <c r="E1794" s="67" t="n"/>
      <c r="F1794" s="67" t="n"/>
      <c r="G1794" s="67" t="n"/>
      <c r="H1794" s="67" t="n"/>
      <c r="I1794" s="67" t="n"/>
      <c r="J1794" s="67" t="n"/>
      <c r="K1794" s="67" t="n"/>
      <c r="L1794" s="67" t="n"/>
      <c r="M1794" s="64" t="n"/>
      <c r="N1794" s="66" t="n"/>
      <c r="O1794" s="84">
        <f>IF(A1794="","",IF(OR(C1794="",D1794=""),"Enter both dates",IF(D1794&lt;C1794,"To is before From",IF(COUNTIFS($P$5:$P$2004,P1794,$C$5:$C$2004,"&lt;="&amp;D1794,$D$5:$D$2004,"&gt;="&amp;C1794)&gt;1,"Overlaps another row","OK"))))</f>
        <v/>
      </c>
      <c r="P1794">
        <f>IF(A1794="","",A1794&amp;"|"&amp;IF(B1794="","Standard",B1794))</f>
        <v/>
      </c>
      <c r="Q1794">
        <f>IF(AND(A1794&lt;&gt;"",A1794='Firm Search'!$C$7),COUNTIF($A$5:A1794,'Firm Search'!$C$7),"")</f>
        <v/>
      </c>
    </row>
    <row r="1795">
      <c r="A1795" s="64" t="n"/>
      <c r="B1795" s="64" t="n"/>
      <c r="C1795" s="66" t="n"/>
      <c r="D1795" s="66" t="n"/>
      <c r="E1795" s="67" t="n"/>
      <c r="F1795" s="67" t="n"/>
      <c r="G1795" s="67" t="n"/>
      <c r="H1795" s="67" t="n"/>
      <c r="I1795" s="67" t="n"/>
      <c r="J1795" s="67" t="n"/>
      <c r="K1795" s="67" t="n"/>
      <c r="L1795" s="67" t="n"/>
      <c r="M1795" s="64" t="n"/>
      <c r="N1795" s="66" t="n"/>
      <c r="O1795" s="84">
        <f>IF(A1795="","",IF(OR(C1795="",D1795=""),"Enter both dates",IF(D1795&lt;C1795,"To is before From",IF(COUNTIFS($P$5:$P$2004,P1795,$C$5:$C$2004,"&lt;="&amp;D1795,$D$5:$D$2004,"&gt;="&amp;C1795)&gt;1,"Overlaps another row","OK"))))</f>
        <v/>
      </c>
      <c r="P1795">
        <f>IF(A1795="","",A1795&amp;"|"&amp;IF(B1795="","Standard",B1795))</f>
        <v/>
      </c>
      <c r="Q1795">
        <f>IF(AND(A1795&lt;&gt;"",A1795='Firm Search'!$C$7),COUNTIF($A$5:A1795,'Firm Search'!$C$7),"")</f>
        <v/>
      </c>
    </row>
    <row r="1796">
      <c r="A1796" s="64" t="n"/>
      <c r="B1796" s="64" t="n"/>
      <c r="C1796" s="66" t="n"/>
      <c r="D1796" s="66" t="n"/>
      <c r="E1796" s="67" t="n"/>
      <c r="F1796" s="67" t="n"/>
      <c r="G1796" s="67" t="n"/>
      <c r="H1796" s="67" t="n"/>
      <c r="I1796" s="67" t="n"/>
      <c r="J1796" s="67" t="n"/>
      <c r="K1796" s="67" t="n"/>
      <c r="L1796" s="67" t="n"/>
      <c r="M1796" s="64" t="n"/>
      <c r="N1796" s="66" t="n"/>
      <c r="O1796" s="84">
        <f>IF(A1796="","",IF(OR(C1796="",D1796=""),"Enter both dates",IF(D1796&lt;C1796,"To is before From",IF(COUNTIFS($P$5:$P$2004,P1796,$C$5:$C$2004,"&lt;="&amp;D1796,$D$5:$D$2004,"&gt;="&amp;C1796)&gt;1,"Overlaps another row","OK"))))</f>
        <v/>
      </c>
      <c r="P1796">
        <f>IF(A1796="","",A1796&amp;"|"&amp;IF(B1796="","Standard",B1796))</f>
        <v/>
      </c>
      <c r="Q1796">
        <f>IF(AND(A1796&lt;&gt;"",A1796='Firm Search'!$C$7),COUNTIF($A$5:A1796,'Firm Search'!$C$7),"")</f>
        <v/>
      </c>
    </row>
    <row r="1797">
      <c r="A1797" s="64" t="n"/>
      <c r="B1797" s="64" t="n"/>
      <c r="C1797" s="66" t="n"/>
      <c r="D1797" s="66" t="n"/>
      <c r="E1797" s="67" t="n"/>
      <c r="F1797" s="67" t="n"/>
      <c r="G1797" s="67" t="n"/>
      <c r="H1797" s="67" t="n"/>
      <c r="I1797" s="67" t="n"/>
      <c r="J1797" s="67" t="n"/>
      <c r="K1797" s="67" t="n"/>
      <c r="L1797" s="67" t="n"/>
      <c r="M1797" s="64" t="n"/>
      <c r="N1797" s="66" t="n"/>
      <c r="O1797" s="84">
        <f>IF(A1797="","",IF(OR(C1797="",D1797=""),"Enter both dates",IF(D1797&lt;C1797,"To is before From",IF(COUNTIFS($P$5:$P$2004,P1797,$C$5:$C$2004,"&lt;="&amp;D1797,$D$5:$D$2004,"&gt;="&amp;C1797)&gt;1,"Overlaps another row","OK"))))</f>
        <v/>
      </c>
      <c r="P1797">
        <f>IF(A1797="","",A1797&amp;"|"&amp;IF(B1797="","Standard",B1797))</f>
        <v/>
      </c>
      <c r="Q1797">
        <f>IF(AND(A1797&lt;&gt;"",A1797='Firm Search'!$C$7),COUNTIF($A$5:A1797,'Firm Search'!$C$7),"")</f>
        <v/>
      </c>
    </row>
    <row r="1798">
      <c r="A1798" s="64" t="n"/>
      <c r="B1798" s="64" t="n"/>
      <c r="C1798" s="66" t="n"/>
      <c r="D1798" s="66" t="n"/>
      <c r="E1798" s="67" t="n"/>
      <c r="F1798" s="67" t="n"/>
      <c r="G1798" s="67" t="n"/>
      <c r="H1798" s="67" t="n"/>
      <c r="I1798" s="67" t="n"/>
      <c r="J1798" s="67" t="n"/>
      <c r="K1798" s="67" t="n"/>
      <c r="L1798" s="67" t="n"/>
      <c r="M1798" s="64" t="n"/>
      <c r="N1798" s="66" t="n"/>
      <c r="O1798" s="84">
        <f>IF(A1798="","",IF(OR(C1798="",D1798=""),"Enter both dates",IF(D1798&lt;C1798,"To is before From",IF(COUNTIFS($P$5:$P$2004,P1798,$C$5:$C$2004,"&lt;="&amp;D1798,$D$5:$D$2004,"&gt;="&amp;C1798)&gt;1,"Overlaps another row","OK"))))</f>
        <v/>
      </c>
      <c r="P1798">
        <f>IF(A1798="","",A1798&amp;"|"&amp;IF(B1798="","Standard",B1798))</f>
        <v/>
      </c>
      <c r="Q1798">
        <f>IF(AND(A1798&lt;&gt;"",A1798='Firm Search'!$C$7),COUNTIF($A$5:A1798,'Firm Search'!$C$7),"")</f>
        <v/>
      </c>
    </row>
    <row r="1799">
      <c r="A1799" s="64" t="n"/>
      <c r="B1799" s="64" t="n"/>
      <c r="C1799" s="66" t="n"/>
      <c r="D1799" s="66" t="n"/>
      <c r="E1799" s="67" t="n"/>
      <c r="F1799" s="67" t="n"/>
      <c r="G1799" s="67" t="n"/>
      <c r="H1799" s="67" t="n"/>
      <c r="I1799" s="67" t="n"/>
      <c r="J1799" s="67" t="n"/>
      <c r="K1799" s="67" t="n"/>
      <c r="L1799" s="67" t="n"/>
      <c r="M1799" s="64" t="n"/>
      <c r="N1799" s="66" t="n"/>
      <c r="O1799" s="84">
        <f>IF(A1799="","",IF(OR(C1799="",D1799=""),"Enter both dates",IF(D1799&lt;C1799,"To is before From",IF(COUNTIFS($P$5:$P$2004,P1799,$C$5:$C$2004,"&lt;="&amp;D1799,$D$5:$D$2004,"&gt;="&amp;C1799)&gt;1,"Overlaps another row","OK"))))</f>
        <v/>
      </c>
      <c r="P1799">
        <f>IF(A1799="","",A1799&amp;"|"&amp;IF(B1799="","Standard",B1799))</f>
        <v/>
      </c>
      <c r="Q1799">
        <f>IF(AND(A1799&lt;&gt;"",A1799='Firm Search'!$C$7),COUNTIF($A$5:A1799,'Firm Search'!$C$7),"")</f>
        <v/>
      </c>
    </row>
    <row r="1800">
      <c r="A1800" s="64" t="n"/>
      <c r="B1800" s="64" t="n"/>
      <c r="C1800" s="66" t="n"/>
      <c r="D1800" s="66" t="n"/>
      <c r="E1800" s="67" t="n"/>
      <c r="F1800" s="67" t="n"/>
      <c r="G1800" s="67" t="n"/>
      <c r="H1800" s="67" t="n"/>
      <c r="I1800" s="67" t="n"/>
      <c r="J1800" s="67" t="n"/>
      <c r="K1800" s="67" t="n"/>
      <c r="L1800" s="67" t="n"/>
      <c r="M1800" s="64" t="n"/>
      <c r="N1800" s="66" t="n"/>
      <c r="O1800" s="84">
        <f>IF(A1800="","",IF(OR(C1800="",D1800=""),"Enter both dates",IF(D1800&lt;C1800,"To is before From",IF(COUNTIFS($P$5:$P$2004,P1800,$C$5:$C$2004,"&lt;="&amp;D1800,$D$5:$D$2004,"&gt;="&amp;C1800)&gt;1,"Overlaps another row","OK"))))</f>
        <v/>
      </c>
      <c r="P1800">
        <f>IF(A1800="","",A1800&amp;"|"&amp;IF(B1800="","Standard",B1800))</f>
        <v/>
      </c>
      <c r="Q1800">
        <f>IF(AND(A1800&lt;&gt;"",A1800='Firm Search'!$C$7),COUNTIF($A$5:A1800,'Firm Search'!$C$7),"")</f>
        <v/>
      </c>
    </row>
    <row r="1801">
      <c r="A1801" s="64" t="n"/>
      <c r="B1801" s="64" t="n"/>
      <c r="C1801" s="66" t="n"/>
      <c r="D1801" s="66" t="n"/>
      <c r="E1801" s="67" t="n"/>
      <c r="F1801" s="67" t="n"/>
      <c r="G1801" s="67" t="n"/>
      <c r="H1801" s="67" t="n"/>
      <c r="I1801" s="67" t="n"/>
      <c r="J1801" s="67" t="n"/>
      <c r="K1801" s="67" t="n"/>
      <c r="L1801" s="67" t="n"/>
      <c r="M1801" s="64" t="n"/>
      <c r="N1801" s="66" t="n"/>
      <c r="O1801" s="84">
        <f>IF(A1801="","",IF(OR(C1801="",D1801=""),"Enter both dates",IF(D1801&lt;C1801,"To is before From",IF(COUNTIFS($P$5:$P$2004,P1801,$C$5:$C$2004,"&lt;="&amp;D1801,$D$5:$D$2004,"&gt;="&amp;C1801)&gt;1,"Overlaps another row","OK"))))</f>
        <v/>
      </c>
      <c r="P1801">
        <f>IF(A1801="","",A1801&amp;"|"&amp;IF(B1801="","Standard",B1801))</f>
        <v/>
      </c>
      <c r="Q1801">
        <f>IF(AND(A1801&lt;&gt;"",A1801='Firm Search'!$C$7),COUNTIF($A$5:A1801,'Firm Search'!$C$7),"")</f>
        <v/>
      </c>
    </row>
    <row r="1802">
      <c r="A1802" s="64" t="n"/>
      <c r="B1802" s="64" t="n"/>
      <c r="C1802" s="66" t="n"/>
      <c r="D1802" s="66" t="n"/>
      <c r="E1802" s="67" t="n"/>
      <c r="F1802" s="67" t="n"/>
      <c r="G1802" s="67" t="n"/>
      <c r="H1802" s="67" t="n"/>
      <c r="I1802" s="67" t="n"/>
      <c r="J1802" s="67" t="n"/>
      <c r="K1802" s="67" t="n"/>
      <c r="L1802" s="67" t="n"/>
      <c r="M1802" s="64" t="n"/>
      <c r="N1802" s="66" t="n"/>
      <c r="O1802" s="84">
        <f>IF(A1802="","",IF(OR(C1802="",D1802=""),"Enter both dates",IF(D1802&lt;C1802,"To is before From",IF(COUNTIFS($P$5:$P$2004,P1802,$C$5:$C$2004,"&lt;="&amp;D1802,$D$5:$D$2004,"&gt;="&amp;C1802)&gt;1,"Overlaps another row","OK"))))</f>
        <v/>
      </c>
      <c r="P1802">
        <f>IF(A1802="","",A1802&amp;"|"&amp;IF(B1802="","Standard",B1802))</f>
        <v/>
      </c>
      <c r="Q1802">
        <f>IF(AND(A1802&lt;&gt;"",A1802='Firm Search'!$C$7),COUNTIF($A$5:A1802,'Firm Search'!$C$7),"")</f>
        <v/>
      </c>
    </row>
    <row r="1803">
      <c r="A1803" s="64" t="n"/>
      <c r="B1803" s="64" t="n"/>
      <c r="C1803" s="66" t="n"/>
      <c r="D1803" s="66" t="n"/>
      <c r="E1803" s="67" t="n"/>
      <c r="F1803" s="67" t="n"/>
      <c r="G1803" s="67" t="n"/>
      <c r="H1803" s="67" t="n"/>
      <c r="I1803" s="67" t="n"/>
      <c r="J1803" s="67" t="n"/>
      <c r="K1803" s="67" t="n"/>
      <c r="L1803" s="67" t="n"/>
      <c r="M1803" s="64" t="n"/>
      <c r="N1803" s="66" t="n"/>
      <c r="O1803" s="84">
        <f>IF(A1803="","",IF(OR(C1803="",D1803=""),"Enter both dates",IF(D1803&lt;C1803,"To is before From",IF(COUNTIFS($P$5:$P$2004,P1803,$C$5:$C$2004,"&lt;="&amp;D1803,$D$5:$D$2004,"&gt;="&amp;C1803)&gt;1,"Overlaps another row","OK"))))</f>
        <v/>
      </c>
      <c r="P1803">
        <f>IF(A1803="","",A1803&amp;"|"&amp;IF(B1803="","Standard",B1803))</f>
        <v/>
      </c>
      <c r="Q1803">
        <f>IF(AND(A1803&lt;&gt;"",A1803='Firm Search'!$C$7),COUNTIF($A$5:A1803,'Firm Search'!$C$7),"")</f>
        <v/>
      </c>
    </row>
    <row r="1804">
      <c r="A1804" s="64" t="n"/>
      <c r="B1804" s="64" t="n"/>
      <c r="C1804" s="66" t="n"/>
      <c r="D1804" s="66" t="n"/>
      <c r="E1804" s="67" t="n"/>
      <c r="F1804" s="67" t="n"/>
      <c r="G1804" s="67" t="n"/>
      <c r="H1804" s="67" t="n"/>
      <c r="I1804" s="67" t="n"/>
      <c r="J1804" s="67" t="n"/>
      <c r="K1804" s="67" t="n"/>
      <c r="L1804" s="67" t="n"/>
      <c r="M1804" s="64" t="n"/>
      <c r="N1804" s="66" t="n"/>
      <c r="O1804" s="84">
        <f>IF(A1804="","",IF(OR(C1804="",D1804=""),"Enter both dates",IF(D1804&lt;C1804,"To is before From",IF(COUNTIFS($P$5:$P$2004,P1804,$C$5:$C$2004,"&lt;="&amp;D1804,$D$5:$D$2004,"&gt;="&amp;C1804)&gt;1,"Overlaps another row","OK"))))</f>
        <v/>
      </c>
      <c r="P1804">
        <f>IF(A1804="","",A1804&amp;"|"&amp;IF(B1804="","Standard",B1804))</f>
        <v/>
      </c>
      <c r="Q1804">
        <f>IF(AND(A1804&lt;&gt;"",A1804='Firm Search'!$C$7),COUNTIF($A$5:A1804,'Firm Search'!$C$7),"")</f>
        <v/>
      </c>
    </row>
    <row r="1805">
      <c r="A1805" s="64" t="n"/>
      <c r="B1805" s="64" t="n"/>
      <c r="C1805" s="66" t="n"/>
      <c r="D1805" s="66" t="n"/>
      <c r="E1805" s="67" t="n"/>
      <c r="F1805" s="67" t="n"/>
      <c r="G1805" s="67" t="n"/>
      <c r="H1805" s="67" t="n"/>
      <c r="I1805" s="67" t="n"/>
      <c r="J1805" s="67" t="n"/>
      <c r="K1805" s="67" t="n"/>
      <c r="L1805" s="67" t="n"/>
      <c r="M1805" s="64" t="n"/>
      <c r="N1805" s="66" t="n"/>
      <c r="O1805" s="84">
        <f>IF(A1805="","",IF(OR(C1805="",D1805=""),"Enter both dates",IF(D1805&lt;C1805,"To is before From",IF(COUNTIFS($P$5:$P$2004,P1805,$C$5:$C$2004,"&lt;="&amp;D1805,$D$5:$D$2004,"&gt;="&amp;C1805)&gt;1,"Overlaps another row","OK"))))</f>
        <v/>
      </c>
      <c r="P1805">
        <f>IF(A1805="","",A1805&amp;"|"&amp;IF(B1805="","Standard",B1805))</f>
        <v/>
      </c>
      <c r="Q1805">
        <f>IF(AND(A1805&lt;&gt;"",A1805='Firm Search'!$C$7),COUNTIF($A$5:A1805,'Firm Search'!$C$7),"")</f>
        <v/>
      </c>
    </row>
    <row r="1806">
      <c r="A1806" s="64" t="n"/>
      <c r="B1806" s="64" t="n"/>
      <c r="C1806" s="66" t="n"/>
      <c r="D1806" s="66" t="n"/>
      <c r="E1806" s="67" t="n"/>
      <c r="F1806" s="67" t="n"/>
      <c r="G1806" s="67" t="n"/>
      <c r="H1806" s="67" t="n"/>
      <c r="I1806" s="67" t="n"/>
      <c r="J1806" s="67" t="n"/>
      <c r="K1806" s="67" t="n"/>
      <c r="L1806" s="67" t="n"/>
      <c r="M1806" s="64" t="n"/>
      <c r="N1806" s="66" t="n"/>
      <c r="O1806" s="84">
        <f>IF(A1806="","",IF(OR(C1806="",D1806=""),"Enter both dates",IF(D1806&lt;C1806,"To is before From",IF(COUNTIFS($P$5:$P$2004,P1806,$C$5:$C$2004,"&lt;="&amp;D1806,$D$5:$D$2004,"&gt;="&amp;C1806)&gt;1,"Overlaps another row","OK"))))</f>
        <v/>
      </c>
      <c r="P1806">
        <f>IF(A1806="","",A1806&amp;"|"&amp;IF(B1806="","Standard",B1806))</f>
        <v/>
      </c>
      <c r="Q1806">
        <f>IF(AND(A1806&lt;&gt;"",A1806='Firm Search'!$C$7),COUNTIF($A$5:A1806,'Firm Search'!$C$7),"")</f>
        <v/>
      </c>
    </row>
    <row r="1807">
      <c r="A1807" s="64" t="n"/>
      <c r="B1807" s="64" t="n"/>
      <c r="C1807" s="66" t="n"/>
      <c r="D1807" s="66" t="n"/>
      <c r="E1807" s="67" t="n"/>
      <c r="F1807" s="67" t="n"/>
      <c r="G1807" s="67" t="n"/>
      <c r="H1807" s="67" t="n"/>
      <c r="I1807" s="67" t="n"/>
      <c r="J1807" s="67" t="n"/>
      <c r="K1807" s="67" t="n"/>
      <c r="L1807" s="67" t="n"/>
      <c r="M1807" s="64" t="n"/>
      <c r="N1807" s="66" t="n"/>
      <c r="O1807" s="84">
        <f>IF(A1807="","",IF(OR(C1807="",D1807=""),"Enter both dates",IF(D1807&lt;C1807,"To is before From",IF(COUNTIFS($P$5:$P$2004,P1807,$C$5:$C$2004,"&lt;="&amp;D1807,$D$5:$D$2004,"&gt;="&amp;C1807)&gt;1,"Overlaps another row","OK"))))</f>
        <v/>
      </c>
      <c r="P1807">
        <f>IF(A1807="","",A1807&amp;"|"&amp;IF(B1807="","Standard",B1807))</f>
        <v/>
      </c>
      <c r="Q1807">
        <f>IF(AND(A1807&lt;&gt;"",A1807='Firm Search'!$C$7),COUNTIF($A$5:A1807,'Firm Search'!$C$7),"")</f>
        <v/>
      </c>
    </row>
    <row r="1808">
      <c r="A1808" s="64" t="n"/>
      <c r="B1808" s="64" t="n"/>
      <c r="C1808" s="66" t="n"/>
      <c r="D1808" s="66" t="n"/>
      <c r="E1808" s="67" t="n"/>
      <c r="F1808" s="67" t="n"/>
      <c r="G1808" s="67" t="n"/>
      <c r="H1808" s="67" t="n"/>
      <c r="I1808" s="67" t="n"/>
      <c r="J1808" s="67" t="n"/>
      <c r="K1808" s="67" t="n"/>
      <c r="L1808" s="67" t="n"/>
      <c r="M1808" s="64" t="n"/>
      <c r="N1808" s="66" t="n"/>
      <c r="O1808" s="84">
        <f>IF(A1808="","",IF(OR(C1808="",D1808=""),"Enter both dates",IF(D1808&lt;C1808,"To is before From",IF(COUNTIFS($P$5:$P$2004,P1808,$C$5:$C$2004,"&lt;="&amp;D1808,$D$5:$D$2004,"&gt;="&amp;C1808)&gt;1,"Overlaps another row","OK"))))</f>
        <v/>
      </c>
      <c r="P1808">
        <f>IF(A1808="","",A1808&amp;"|"&amp;IF(B1808="","Standard",B1808))</f>
        <v/>
      </c>
      <c r="Q1808">
        <f>IF(AND(A1808&lt;&gt;"",A1808='Firm Search'!$C$7),COUNTIF($A$5:A1808,'Firm Search'!$C$7),"")</f>
        <v/>
      </c>
    </row>
    <row r="1809">
      <c r="A1809" s="64" t="n"/>
      <c r="B1809" s="64" t="n"/>
      <c r="C1809" s="66" t="n"/>
      <c r="D1809" s="66" t="n"/>
      <c r="E1809" s="67" t="n"/>
      <c r="F1809" s="67" t="n"/>
      <c r="G1809" s="67" t="n"/>
      <c r="H1809" s="67" t="n"/>
      <c r="I1809" s="67" t="n"/>
      <c r="J1809" s="67" t="n"/>
      <c r="K1809" s="67" t="n"/>
      <c r="L1809" s="67" t="n"/>
      <c r="M1809" s="64" t="n"/>
      <c r="N1809" s="66" t="n"/>
      <c r="O1809" s="84">
        <f>IF(A1809="","",IF(OR(C1809="",D1809=""),"Enter both dates",IF(D1809&lt;C1809,"To is before From",IF(COUNTIFS($P$5:$P$2004,P1809,$C$5:$C$2004,"&lt;="&amp;D1809,$D$5:$D$2004,"&gt;="&amp;C1809)&gt;1,"Overlaps another row","OK"))))</f>
        <v/>
      </c>
      <c r="P1809">
        <f>IF(A1809="","",A1809&amp;"|"&amp;IF(B1809="","Standard",B1809))</f>
        <v/>
      </c>
      <c r="Q1809">
        <f>IF(AND(A1809&lt;&gt;"",A1809='Firm Search'!$C$7),COUNTIF($A$5:A1809,'Firm Search'!$C$7),"")</f>
        <v/>
      </c>
    </row>
    <row r="1810">
      <c r="A1810" s="64" t="n"/>
      <c r="B1810" s="64" t="n"/>
      <c r="C1810" s="66" t="n"/>
      <c r="D1810" s="66" t="n"/>
      <c r="E1810" s="67" t="n"/>
      <c r="F1810" s="67" t="n"/>
      <c r="G1810" s="67" t="n"/>
      <c r="H1810" s="67" t="n"/>
      <c r="I1810" s="67" t="n"/>
      <c r="J1810" s="67" t="n"/>
      <c r="K1810" s="67" t="n"/>
      <c r="L1810" s="67" t="n"/>
      <c r="M1810" s="64" t="n"/>
      <c r="N1810" s="66" t="n"/>
      <c r="O1810" s="84">
        <f>IF(A1810="","",IF(OR(C1810="",D1810=""),"Enter both dates",IF(D1810&lt;C1810,"To is before From",IF(COUNTIFS($P$5:$P$2004,P1810,$C$5:$C$2004,"&lt;="&amp;D1810,$D$5:$D$2004,"&gt;="&amp;C1810)&gt;1,"Overlaps another row","OK"))))</f>
        <v/>
      </c>
      <c r="P1810">
        <f>IF(A1810="","",A1810&amp;"|"&amp;IF(B1810="","Standard",B1810))</f>
        <v/>
      </c>
      <c r="Q1810">
        <f>IF(AND(A1810&lt;&gt;"",A1810='Firm Search'!$C$7),COUNTIF($A$5:A1810,'Firm Search'!$C$7),"")</f>
        <v/>
      </c>
    </row>
    <row r="1811">
      <c r="A1811" s="64" t="n"/>
      <c r="B1811" s="64" t="n"/>
      <c r="C1811" s="66" t="n"/>
      <c r="D1811" s="66" t="n"/>
      <c r="E1811" s="67" t="n"/>
      <c r="F1811" s="67" t="n"/>
      <c r="G1811" s="67" t="n"/>
      <c r="H1811" s="67" t="n"/>
      <c r="I1811" s="67" t="n"/>
      <c r="J1811" s="67" t="n"/>
      <c r="K1811" s="67" t="n"/>
      <c r="L1811" s="67" t="n"/>
      <c r="M1811" s="64" t="n"/>
      <c r="N1811" s="66" t="n"/>
      <c r="O1811" s="84">
        <f>IF(A1811="","",IF(OR(C1811="",D1811=""),"Enter both dates",IF(D1811&lt;C1811,"To is before From",IF(COUNTIFS($P$5:$P$2004,P1811,$C$5:$C$2004,"&lt;="&amp;D1811,$D$5:$D$2004,"&gt;="&amp;C1811)&gt;1,"Overlaps another row","OK"))))</f>
        <v/>
      </c>
      <c r="P1811">
        <f>IF(A1811="","",A1811&amp;"|"&amp;IF(B1811="","Standard",B1811))</f>
        <v/>
      </c>
      <c r="Q1811">
        <f>IF(AND(A1811&lt;&gt;"",A1811='Firm Search'!$C$7),COUNTIF($A$5:A1811,'Firm Search'!$C$7),"")</f>
        <v/>
      </c>
    </row>
    <row r="1812">
      <c r="A1812" s="64" t="n"/>
      <c r="B1812" s="64" t="n"/>
      <c r="C1812" s="66" t="n"/>
      <c r="D1812" s="66" t="n"/>
      <c r="E1812" s="67" t="n"/>
      <c r="F1812" s="67" t="n"/>
      <c r="G1812" s="67" t="n"/>
      <c r="H1812" s="67" t="n"/>
      <c r="I1812" s="67" t="n"/>
      <c r="J1812" s="67" t="n"/>
      <c r="K1812" s="67" t="n"/>
      <c r="L1812" s="67" t="n"/>
      <c r="M1812" s="64" t="n"/>
      <c r="N1812" s="66" t="n"/>
      <c r="O1812" s="84">
        <f>IF(A1812="","",IF(OR(C1812="",D1812=""),"Enter both dates",IF(D1812&lt;C1812,"To is before From",IF(COUNTIFS($P$5:$P$2004,P1812,$C$5:$C$2004,"&lt;="&amp;D1812,$D$5:$D$2004,"&gt;="&amp;C1812)&gt;1,"Overlaps another row","OK"))))</f>
        <v/>
      </c>
      <c r="P1812">
        <f>IF(A1812="","",A1812&amp;"|"&amp;IF(B1812="","Standard",B1812))</f>
        <v/>
      </c>
      <c r="Q1812">
        <f>IF(AND(A1812&lt;&gt;"",A1812='Firm Search'!$C$7),COUNTIF($A$5:A1812,'Firm Search'!$C$7),"")</f>
        <v/>
      </c>
    </row>
    <row r="1813">
      <c r="A1813" s="64" t="n"/>
      <c r="B1813" s="64" t="n"/>
      <c r="C1813" s="66" t="n"/>
      <c r="D1813" s="66" t="n"/>
      <c r="E1813" s="67" t="n"/>
      <c r="F1813" s="67" t="n"/>
      <c r="G1813" s="67" t="n"/>
      <c r="H1813" s="67" t="n"/>
      <c r="I1813" s="67" t="n"/>
      <c r="J1813" s="67" t="n"/>
      <c r="K1813" s="67" t="n"/>
      <c r="L1813" s="67" t="n"/>
      <c r="M1813" s="64" t="n"/>
      <c r="N1813" s="66" t="n"/>
      <c r="O1813" s="84">
        <f>IF(A1813="","",IF(OR(C1813="",D1813=""),"Enter both dates",IF(D1813&lt;C1813,"To is before From",IF(COUNTIFS($P$5:$P$2004,P1813,$C$5:$C$2004,"&lt;="&amp;D1813,$D$5:$D$2004,"&gt;="&amp;C1813)&gt;1,"Overlaps another row","OK"))))</f>
        <v/>
      </c>
      <c r="P1813">
        <f>IF(A1813="","",A1813&amp;"|"&amp;IF(B1813="","Standard",B1813))</f>
        <v/>
      </c>
      <c r="Q1813">
        <f>IF(AND(A1813&lt;&gt;"",A1813='Firm Search'!$C$7),COUNTIF($A$5:A1813,'Firm Search'!$C$7),"")</f>
        <v/>
      </c>
    </row>
    <row r="1814">
      <c r="A1814" s="64" t="n"/>
      <c r="B1814" s="64" t="n"/>
      <c r="C1814" s="66" t="n"/>
      <c r="D1814" s="66" t="n"/>
      <c r="E1814" s="67" t="n"/>
      <c r="F1814" s="67" t="n"/>
      <c r="G1814" s="67" t="n"/>
      <c r="H1814" s="67" t="n"/>
      <c r="I1814" s="67" t="n"/>
      <c r="J1814" s="67" t="n"/>
      <c r="K1814" s="67" t="n"/>
      <c r="L1814" s="67" t="n"/>
      <c r="M1814" s="64" t="n"/>
      <c r="N1814" s="66" t="n"/>
      <c r="O1814" s="84">
        <f>IF(A1814="","",IF(OR(C1814="",D1814=""),"Enter both dates",IF(D1814&lt;C1814,"To is before From",IF(COUNTIFS($P$5:$P$2004,P1814,$C$5:$C$2004,"&lt;="&amp;D1814,$D$5:$D$2004,"&gt;="&amp;C1814)&gt;1,"Overlaps another row","OK"))))</f>
        <v/>
      </c>
      <c r="P1814">
        <f>IF(A1814="","",A1814&amp;"|"&amp;IF(B1814="","Standard",B1814))</f>
        <v/>
      </c>
      <c r="Q1814">
        <f>IF(AND(A1814&lt;&gt;"",A1814='Firm Search'!$C$7),COUNTIF($A$5:A1814,'Firm Search'!$C$7),"")</f>
        <v/>
      </c>
    </row>
    <row r="1815">
      <c r="A1815" s="64" t="n"/>
      <c r="B1815" s="64" t="n"/>
      <c r="C1815" s="66" t="n"/>
      <c r="D1815" s="66" t="n"/>
      <c r="E1815" s="67" t="n"/>
      <c r="F1815" s="67" t="n"/>
      <c r="G1815" s="67" t="n"/>
      <c r="H1815" s="67" t="n"/>
      <c r="I1815" s="67" t="n"/>
      <c r="J1815" s="67" t="n"/>
      <c r="K1815" s="67" t="n"/>
      <c r="L1815" s="67" t="n"/>
      <c r="M1815" s="64" t="n"/>
      <c r="N1815" s="66" t="n"/>
      <c r="O1815" s="84">
        <f>IF(A1815="","",IF(OR(C1815="",D1815=""),"Enter both dates",IF(D1815&lt;C1815,"To is before From",IF(COUNTIFS($P$5:$P$2004,P1815,$C$5:$C$2004,"&lt;="&amp;D1815,$D$5:$D$2004,"&gt;="&amp;C1815)&gt;1,"Overlaps another row","OK"))))</f>
        <v/>
      </c>
      <c r="P1815">
        <f>IF(A1815="","",A1815&amp;"|"&amp;IF(B1815="","Standard",B1815))</f>
        <v/>
      </c>
      <c r="Q1815">
        <f>IF(AND(A1815&lt;&gt;"",A1815='Firm Search'!$C$7),COUNTIF($A$5:A1815,'Firm Search'!$C$7),"")</f>
        <v/>
      </c>
    </row>
    <row r="1816">
      <c r="A1816" s="64" t="n"/>
      <c r="B1816" s="64" t="n"/>
      <c r="C1816" s="66" t="n"/>
      <c r="D1816" s="66" t="n"/>
      <c r="E1816" s="67" t="n"/>
      <c r="F1816" s="67" t="n"/>
      <c r="G1816" s="67" t="n"/>
      <c r="H1816" s="67" t="n"/>
      <c r="I1816" s="67" t="n"/>
      <c r="J1816" s="67" t="n"/>
      <c r="K1816" s="67" t="n"/>
      <c r="L1816" s="67" t="n"/>
      <c r="M1816" s="64" t="n"/>
      <c r="N1816" s="66" t="n"/>
      <c r="O1816" s="84">
        <f>IF(A1816="","",IF(OR(C1816="",D1816=""),"Enter both dates",IF(D1816&lt;C1816,"To is before From",IF(COUNTIFS($P$5:$P$2004,P1816,$C$5:$C$2004,"&lt;="&amp;D1816,$D$5:$D$2004,"&gt;="&amp;C1816)&gt;1,"Overlaps another row","OK"))))</f>
        <v/>
      </c>
      <c r="P1816">
        <f>IF(A1816="","",A1816&amp;"|"&amp;IF(B1816="","Standard",B1816))</f>
        <v/>
      </c>
      <c r="Q1816">
        <f>IF(AND(A1816&lt;&gt;"",A1816='Firm Search'!$C$7),COUNTIF($A$5:A1816,'Firm Search'!$C$7),"")</f>
        <v/>
      </c>
    </row>
    <row r="1817">
      <c r="A1817" s="64" t="n"/>
      <c r="B1817" s="64" t="n"/>
      <c r="C1817" s="66" t="n"/>
      <c r="D1817" s="66" t="n"/>
      <c r="E1817" s="67" t="n"/>
      <c r="F1817" s="67" t="n"/>
      <c r="G1817" s="67" t="n"/>
      <c r="H1817" s="67" t="n"/>
      <c r="I1817" s="67" t="n"/>
      <c r="J1817" s="67" t="n"/>
      <c r="K1817" s="67" t="n"/>
      <c r="L1817" s="67" t="n"/>
      <c r="M1817" s="64" t="n"/>
      <c r="N1817" s="66" t="n"/>
      <c r="O1817" s="84">
        <f>IF(A1817="","",IF(OR(C1817="",D1817=""),"Enter both dates",IF(D1817&lt;C1817,"To is before From",IF(COUNTIFS($P$5:$P$2004,P1817,$C$5:$C$2004,"&lt;="&amp;D1817,$D$5:$D$2004,"&gt;="&amp;C1817)&gt;1,"Overlaps another row","OK"))))</f>
        <v/>
      </c>
      <c r="P1817">
        <f>IF(A1817="","",A1817&amp;"|"&amp;IF(B1817="","Standard",B1817))</f>
        <v/>
      </c>
      <c r="Q1817">
        <f>IF(AND(A1817&lt;&gt;"",A1817='Firm Search'!$C$7),COUNTIF($A$5:A1817,'Firm Search'!$C$7),"")</f>
        <v/>
      </c>
    </row>
    <row r="1818">
      <c r="A1818" s="64" t="n"/>
      <c r="B1818" s="64" t="n"/>
      <c r="C1818" s="66" t="n"/>
      <c r="D1818" s="66" t="n"/>
      <c r="E1818" s="67" t="n"/>
      <c r="F1818" s="67" t="n"/>
      <c r="G1818" s="67" t="n"/>
      <c r="H1818" s="67" t="n"/>
      <c r="I1818" s="67" t="n"/>
      <c r="J1818" s="67" t="n"/>
      <c r="K1818" s="67" t="n"/>
      <c r="L1818" s="67" t="n"/>
      <c r="M1818" s="64" t="n"/>
      <c r="N1818" s="66" t="n"/>
      <c r="O1818" s="84">
        <f>IF(A1818="","",IF(OR(C1818="",D1818=""),"Enter both dates",IF(D1818&lt;C1818,"To is before From",IF(COUNTIFS($P$5:$P$2004,P1818,$C$5:$C$2004,"&lt;="&amp;D1818,$D$5:$D$2004,"&gt;="&amp;C1818)&gt;1,"Overlaps another row","OK"))))</f>
        <v/>
      </c>
      <c r="P1818">
        <f>IF(A1818="","",A1818&amp;"|"&amp;IF(B1818="","Standard",B1818))</f>
        <v/>
      </c>
      <c r="Q1818">
        <f>IF(AND(A1818&lt;&gt;"",A1818='Firm Search'!$C$7),COUNTIF($A$5:A1818,'Firm Search'!$C$7),"")</f>
        <v/>
      </c>
    </row>
    <row r="1819">
      <c r="A1819" s="64" t="n"/>
      <c r="B1819" s="64" t="n"/>
      <c r="C1819" s="66" t="n"/>
      <c r="D1819" s="66" t="n"/>
      <c r="E1819" s="67" t="n"/>
      <c r="F1819" s="67" t="n"/>
      <c r="G1819" s="67" t="n"/>
      <c r="H1819" s="67" t="n"/>
      <c r="I1819" s="67" t="n"/>
      <c r="J1819" s="67" t="n"/>
      <c r="K1819" s="67" t="n"/>
      <c r="L1819" s="67" t="n"/>
      <c r="M1819" s="64" t="n"/>
      <c r="N1819" s="66" t="n"/>
      <c r="O1819" s="84">
        <f>IF(A1819="","",IF(OR(C1819="",D1819=""),"Enter both dates",IF(D1819&lt;C1819,"To is before From",IF(COUNTIFS($P$5:$P$2004,P1819,$C$5:$C$2004,"&lt;="&amp;D1819,$D$5:$D$2004,"&gt;="&amp;C1819)&gt;1,"Overlaps another row","OK"))))</f>
        <v/>
      </c>
      <c r="P1819">
        <f>IF(A1819="","",A1819&amp;"|"&amp;IF(B1819="","Standard",B1819))</f>
        <v/>
      </c>
      <c r="Q1819">
        <f>IF(AND(A1819&lt;&gt;"",A1819='Firm Search'!$C$7),COUNTIF($A$5:A1819,'Firm Search'!$C$7),"")</f>
        <v/>
      </c>
    </row>
    <row r="1820">
      <c r="A1820" s="64" t="n"/>
      <c r="B1820" s="64" t="n"/>
      <c r="C1820" s="66" t="n"/>
      <c r="D1820" s="66" t="n"/>
      <c r="E1820" s="67" t="n"/>
      <c r="F1820" s="67" t="n"/>
      <c r="G1820" s="67" t="n"/>
      <c r="H1820" s="67" t="n"/>
      <c r="I1820" s="67" t="n"/>
      <c r="J1820" s="67" t="n"/>
      <c r="K1820" s="67" t="n"/>
      <c r="L1820" s="67" t="n"/>
      <c r="M1820" s="64" t="n"/>
      <c r="N1820" s="66" t="n"/>
      <c r="O1820" s="84">
        <f>IF(A1820="","",IF(OR(C1820="",D1820=""),"Enter both dates",IF(D1820&lt;C1820,"To is before From",IF(COUNTIFS($P$5:$P$2004,P1820,$C$5:$C$2004,"&lt;="&amp;D1820,$D$5:$D$2004,"&gt;="&amp;C1820)&gt;1,"Overlaps another row","OK"))))</f>
        <v/>
      </c>
      <c r="P1820">
        <f>IF(A1820="","",A1820&amp;"|"&amp;IF(B1820="","Standard",B1820))</f>
        <v/>
      </c>
      <c r="Q1820">
        <f>IF(AND(A1820&lt;&gt;"",A1820='Firm Search'!$C$7),COUNTIF($A$5:A1820,'Firm Search'!$C$7),"")</f>
        <v/>
      </c>
    </row>
    <row r="1821">
      <c r="A1821" s="64" t="n"/>
      <c r="B1821" s="64" t="n"/>
      <c r="C1821" s="66" t="n"/>
      <c r="D1821" s="66" t="n"/>
      <c r="E1821" s="67" t="n"/>
      <c r="F1821" s="67" t="n"/>
      <c r="G1821" s="67" t="n"/>
      <c r="H1821" s="67" t="n"/>
      <c r="I1821" s="67" t="n"/>
      <c r="J1821" s="67" t="n"/>
      <c r="K1821" s="67" t="n"/>
      <c r="L1821" s="67" t="n"/>
      <c r="M1821" s="64" t="n"/>
      <c r="N1821" s="66" t="n"/>
      <c r="O1821" s="84">
        <f>IF(A1821="","",IF(OR(C1821="",D1821=""),"Enter both dates",IF(D1821&lt;C1821,"To is before From",IF(COUNTIFS($P$5:$P$2004,P1821,$C$5:$C$2004,"&lt;="&amp;D1821,$D$5:$D$2004,"&gt;="&amp;C1821)&gt;1,"Overlaps another row","OK"))))</f>
        <v/>
      </c>
      <c r="P1821">
        <f>IF(A1821="","",A1821&amp;"|"&amp;IF(B1821="","Standard",B1821))</f>
        <v/>
      </c>
      <c r="Q1821">
        <f>IF(AND(A1821&lt;&gt;"",A1821='Firm Search'!$C$7),COUNTIF($A$5:A1821,'Firm Search'!$C$7),"")</f>
        <v/>
      </c>
    </row>
    <row r="1822">
      <c r="A1822" s="64" t="n"/>
      <c r="B1822" s="64" t="n"/>
      <c r="C1822" s="66" t="n"/>
      <c r="D1822" s="66" t="n"/>
      <c r="E1822" s="67" t="n"/>
      <c r="F1822" s="67" t="n"/>
      <c r="G1822" s="67" t="n"/>
      <c r="H1822" s="67" t="n"/>
      <c r="I1822" s="67" t="n"/>
      <c r="J1822" s="67" t="n"/>
      <c r="K1822" s="67" t="n"/>
      <c r="L1822" s="67" t="n"/>
      <c r="M1822" s="64" t="n"/>
      <c r="N1822" s="66" t="n"/>
      <c r="O1822" s="84">
        <f>IF(A1822="","",IF(OR(C1822="",D1822=""),"Enter both dates",IF(D1822&lt;C1822,"To is before From",IF(COUNTIFS($P$5:$P$2004,P1822,$C$5:$C$2004,"&lt;="&amp;D1822,$D$5:$D$2004,"&gt;="&amp;C1822)&gt;1,"Overlaps another row","OK"))))</f>
        <v/>
      </c>
      <c r="P1822">
        <f>IF(A1822="","",A1822&amp;"|"&amp;IF(B1822="","Standard",B1822))</f>
        <v/>
      </c>
      <c r="Q1822">
        <f>IF(AND(A1822&lt;&gt;"",A1822='Firm Search'!$C$7),COUNTIF($A$5:A1822,'Firm Search'!$C$7),"")</f>
        <v/>
      </c>
    </row>
    <row r="1823">
      <c r="A1823" s="64" t="n"/>
      <c r="B1823" s="64" t="n"/>
      <c r="C1823" s="66" t="n"/>
      <c r="D1823" s="66" t="n"/>
      <c r="E1823" s="67" t="n"/>
      <c r="F1823" s="67" t="n"/>
      <c r="G1823" s="67" t="n"/>
      <c r="H1823" s="67" t="n"/>
      <c r="I1823" s="67" t="n"/>
      <c r="J1823" s="67" t="n"/>
      <c r="K1823" s="67" t="n"/>
      <c r="L1823" s="67" t="n"/>
      <c r="M1823" s="64" t="n"/>
      <c r="N1823" s="66" t="n"/>
      <c r="O1823" s="84">
        <f>IF(A1823="","",IF(OR(C1823="",D1823=""),"Enter both dates",IF(D1823&lt;C1823,"To is before From",IF(COUNTIFS($P$5:$P$2004,P1823,$C$5:$C$2004,"&lt;="&amp;D1823,$D$5:$D$2004,"&gt;="&amp;C1823)&gt;1,"Overlaps another row","OK"))))</f>
        <v/>
      </c>
      <c r="P1823">
        <f>IF(A1823="","",A1823&amp;"|"&amp;IF(B1823="","Standard",B1823))</f>
        <v/>
      </c>
      <c r="Q1823">
        <f>IF(AND(A1823&lt;&gt;"",A1823='Firm Search'!$C$7),COUNTIF($A$5:A1823,'Firm Search'!$C$7),"")</f>
        <v/>
      </c>
    </row>
    <row r="1824">
      <c r="A1824" s="64" t="n"/>
      <c r="B1824" s="64" t="n"/>
      <c r="C1824" s="66" t="n"/>
      <c r="D1824" s="66" t="n"/>
      <c r="E1824" s="67" t="n"/>
      <c r="F1824" s="67" t="n"/>
      <c r="G1824" s="67" t="n"/>
      <c r="H1824" s="67" t="n"/>
      <c r="I1824" s="67" t="n"/>
      <c r="J1824" s="67" t="n"/>
      <c r="K1824" s="67" t="n"/>
      <c r="L1824" s="67" t="n"/>
      <c r="M1824" s="64" t="n"/>
      <c r="N1824" s="66" t="n"/>
      <c r="O1824" s="84">
        <f>IF(A1824="","",IF(OR(C1824="",D1824=""),"Enter both dates",IF(D1824&lt;C1824,"To is before From",IF(COUNTIFS($P$5:$P$2004,P1824,$C$5:$C$2004,"&lt;="&amp;D1824,$D$5:$D$2004,"&gt;="&amp;C1824)&gt;1,"Overlaps another row","OK"))))</f>
        <v/>
      </c>
      <c r="P1824">
        <f>IF(A1824="","",A1824&amp;"|"&amp;IF(B1824="","Standard",B1824))</f>
        <v/>
      </c>
      <c r="Q1824">
        <f>IF(AND(A1824&lt;&gt;"",A1824='Firm Search'!$C$7),COUNTIF($A$5:A1824,'Firm Search'!$C$7),"")</f>
        <v/>
      </c>
    </row>
    <row r="1825">
      <c r="A1825" s="64" t="n"/>
      <c r="B1825" s="64" t="n"/>
      <c r="C1825" s="66" t="n"/>
      <c r="D1825" s="66" t="n"/>
      <c r="E1825" s="67" t="n"/>
      <c r="F1825" s="67" t="n"/>
      <c r="G1825" s="67" t="n"/>
      <c r="H1825" s="67" t="n"/>
      <c r="I1825" s="67" t="n"/>
      <c r="J1825" s="67" t="n"/>
      <c r="K1825" s="67" t="n"/>
      <c r="L1825" s="67" t="n"/>
      <c r="M1825" s="64" t="n"/>
      <c r="N1825" s="66" t="n"/>
      <c r="O1825" s="84">
        <f>IF(A1825="","",IF(OR(C1825="",D1825=""),"Enter both dates",IF(D1825&lt;C1825,"To is before From",IF(COUNTIFS($P$5:$P$2004,P1825,$C$5:$C$2004,"&lt;="&amp;D1825,$D$5:$D$2004,"&gt;="&amp;C1825)&gt;1,"Overlaps another row","OK"))))</f>
        <v/>
      </c>
      <c r="P1825">
        <f>IF(A1825="","",A1825&amp;"|"&amp;IF(B1825="","Standard",B1825))</f>
        <v/>
      </c>
      <c r="Q1825">
        <f>IF(AND(A1825&lt;&gt;"",A1825='Firm Search'!$C$7),COUNTIF($A$5:A1825,'Firm Search'!$C$7),"")</f>
        <v/>
      </c>
    </row>
    <row r="1826">
      <c r="A1826" s="64" t="n"/>
      <c r="B1826" s="64" t="n"/>
      <c r="C1826" s="66" t="n"/>
      <c r="D1826" s="66" t="n"/>
      <c r="E1826" s="67" t="n"/>
      <c r="F1826" s="67" t="n"/>
      <c r="G1826" s="67" t="n"/>
      <c r="H1826" s="67" t="n"/>
      <c r="I1826" s="67" t="n"/>
      <c r="J1826" s="67" t="n"/>
      <c r="K1826" s="67" t="n"/>
      <c r="L1826" s="67" t="n"/>
      <c r="M1826" s="64" t="n"/>
      <c r="N1826" s="66" t="n"/>
      <c r="O1826" s="84">
        <f>IF(A1826="","",IF(OR(C1826="",D1826=""),"Enter both dates",IF(D1826&lt;C1826,"To is before From",IF(COUNTIFS($P$5:$P$2004,P1826,$C$5:$C$2004,"&lt;="&amp;D1826,$D$5:$D$2004,"&gt;="&amp;C1826)&gt;1,"Overlaps another row","OK"))))</f>
        <v/>
      </c>
      <c r="P1826">
        <f>IF(A1826="","",A1826&amp;"|"&amp;IF(B1826="","Standard",B1826))</f>
        <v/>
      </c>
      <c r="Q1826">
        <f>IF(AND(A1826&lt;&gt;"",A1826='Firm Search'!$C$7),COUNTIF($A$5:A1826,'Firm Search'!$C$7),"")</f>
        <v/>
      </c>
    </row>
    <row r="1827">
      <c r="A1827" s="64" t="n"/>
      <c r="B1827" s="64" t="n"/>
      <c r="C1827" s="66" t="n"/>
      <c r="D1827" s="66" t="n"/>
      <c r="E1827" s="67" t="n"/>
      <c r="F1827" s="67" t="n"/>
      <c r="G1827" s="67" t="n"/>
      <c r="H1827" s="67" t="n"/>
      <c r="I1827" s="67" t="n"/>
      <c r="J1827" s="67" t="n"/>
      <c r="K1827" s="67" t="n"/>
      <c r="L1827" s="67" t="n"/>
      <c r="M1827" s="64" t="n"/>
      <c r="N1827" s="66" t="n"/>
      <c r="O1827" s="84">
        <f>IF(A1827="","",IF(OR(C1827="",D1827=""),"Enter both dates",IF(D1827&lt;C1827,"To is before From",IF(COUNTIFS($P$5:$P$2004,P1827,$C$5:$C$2004,"&lt;="&amp;D1827,$D$5:$D$2004,"&gt;="&amp;C1827)&gt;1,"Overlaps another row","OK"))))</f>
        <v/>
      </c>
      <c r="P1827">
        <f>IF(A1827="","",A1827&amp;"|"&amp;IF(B1827="","Standard",B1827))</f>
        <v/>
      </c>
      <c r="Q1827">
        <f>IF(AND(A1827&lt;&gt;"",A1827='Firm Search'!$C$7),COUNTIF($A$5:A1827,'Firm Search'!$C$7),"")</f>
        <v/>
      </c>
    </row>
    <row r="1828">
      <c r="A1828" s="64" t="n"/>
      <c r="B1828" s="64" t="n"/>
      <c r="C1828" s="66" t="n"/>
      <c r="D1828" s="66" t="n"/>
      <c r="E1828" s="67" t="n"/>
      <c r="F1828" s="67" t="n"/>
      <c r="G1828" s="67" t="n"/>
      <c r="H1828" s="67" t="n"/>
      <c r="I1828" s="67" t="n"/>
      <c r="J1828" s="67" t="n"/>
      <c r="K1828" s="67" t="n"/>
      <c r="L1828" s="67" t="n"/>
      <c r="M1828" s="64" t="n"/>
      <c r="N1828" s="66" t="n"/>
      <c r="O1828" s="84">
        <f>IF(A1828="","",IF(OR(C1828="",D1828=""),"Enter both dates",IF(D1828&lt;C1828,"To is before From",IF(COUNTIFS($P$5:$P$2004,P1828,$C$5:$C$2004,"&lt;="&amp;D1828,$D$5:$D$2004,"&gt;="&amp;C1828)&gt;1,"Overlaps another row","OK"))))</f>
        <v/>
      </c>
      <c r="P1828">
        <f>IF(A1828="","",A1828&amp;"|"&amp;IF(B1828="","Standard",B1828))</f>
        <v/>
      </c>
      <c r="Q1828">
        <f>IF(AND(A1828&lt;&gt;"",A1828='Firm Search'!$C$7),COUNTIF($A$5:A1828,'Firm Search'!$C$7),"")</f>
        <v/>
      </c>
    </row>
    <row r="1829">
      <c r="A1829" s="64" t="n"/>
      <c r="B1829" s="64" t="n"/>
      <c r="C1829" s="66" t="n"/>
      <c r="D1829" s="66" t="n"/>
      <c r="E1829" s="67" t="n"/>
      <c r="F1829" s="67" t="n"/>
      <c r="G1829" s="67" t="n"/>
      <c r="H1829" s="67" t="n"/>
      <c r="I1829" s="67" t="n"/>
      <c r="J1829" s="67" t="n"/>
      <c r="K1829" s="67" t="n"/>
      <c r="L1829" s="67" t="n"/>
      <c r="M1829" s="64" t="n"/>
      <c r="N1829" s="66" t="n"/>
      <c r="O1829" s="84">
        <f>IF(A1829="","",IF(OR(C1829="",D1829=""),"Enter both dates",IF(D1829&lt;C1829,"To is before From",IF(COUNTIFS($P$5:$P$2004,P1829,$C$5:$C$2004,"&lt;="&amp;D1829,$D$5:$D$2004,"&gt;="&amp;C1829)&gt;1,"Overlaps another row","OK"))))</f>
        <v/>
      </c>
      <c r="P1829">
        <f>IF(A1829="","",A1829&amp;"|"&amp;IF(B1829="","Standard",B1829))</f>
        <v/>
      </c>
      <c r="Q1829">
        <f>IF(AND(A1829&lt;&gt;"",A1829='Firm Search'!$C$7),COUNTIF($A$5:A1829,'Firm Search'!$C$7),"")</f>
        <v/>
      </c>
    </row>
    <row r="1830">
      <c r="A1830" s="64" t="n"/>
      <c r="B1830" s="64" t="n"/>
      <c r="C1830" s="66" t="n"/>
      <c r="D1830" s="66" t="n"/>
      <c r="E1830" s="67" t="n"/>
      <c r="F1830" s="67" t="n"/>
      <c r="G1830" s="67" t="n"/>
      <c r="H1830" s="67" t="n"/>
      <c r="I1830" s="67" t="n"/>
      <c r="J1830" s="67" t="n"/>
      <c r="K1830" s="67" t="n"/>
      <c r="L1830" s="67" t="n"/>
      <c r="M1830" s="64" t="n"/>
      <c r="N1830" s="66" t="n"/>
      <c r="O1830" s="84">
        <f>IF(A1830="","",IF(OR(C1830="",D1830=""),"Enter both dates",IF(D1830&lt;C1830,"To is before From",IF(COUNTIFS($P$5:$P$2004,P1830,$C$5:$C$2004,"&lt;="&amp;D1830,$D$5:$D$2004,"&gt;="&amp;C1830)&gt;1,"Overlaps another row","OK"))))</f>
        <v/>
      </c>
      <c r="P1830">
        <f>IF(A1830="","",A1830&amp;"|"&amp;IF(B1830="","Standard",B1830))</f>
        <v/>
      </c>
      <c r="Q1830">
        <f>IF(AND(A1830&lt;&gt;"",A1830='Firm Search'!$C$7),COUNTIF($A$5:A1830,'Firm Search'!$C$7),"")</f>
        <v/>
      </c>
    </row>
    <row r="1831">
      <c r="A1831" s="64" t="n"/>
      <c r="B1831" s="64" t="n"/>
      <c r="C1831" s="66" t="n"/>
      <c r="D1831" s="66" t="n"/>
      <c r="E1831" s="67" t="n"/>
      <c r="F1831" s="67" t="n"/>
      <c r="G1831" s="67" t="n"/>
      <c r="H1831" s="67" t="n"/>
      <c r="I1831" s="67" t="n"/>
      <c r="J1831" s="67" t="n"/>
      <c r="K1831" s="67" t="n"/>
      <c r="L1831" s="67" t="n"/>
      <c r="M1831" s="64" t="n"/>
      <c r="N1831" s="66" t="n"/>
      <c r="O1831" s="84">
        <f>IF(A1831="","",IF(OR(C1831="",D1831=""),"Enter both dates",IF(D1831&lt;C1831,"To is before From",IF(COUNTIFS($P$5:$P$2004,P1831,$C$5:$C$2004,"&lt;="&amp;D1831,$D$5:$D$2004,"&gt;="&amp;C1831)&gt;1,"Overlaps another row","OK"))))</f>
        <v/>
      </c>
      <c r="P1831">
        <f>IF(A1831="","",A1831&amp;"|"&amp;IF(B1831="","Standard",B1831))</f>
        <v/>
      </c>
      <c r="Q1831">
        <f>IF(AND(A1831&lt;&gt;"",A1831='Firm Search'!$C$7),COUNTIF($A$5:A1831,'Firm Search'!$C$7),"")</f>
        <v/>
      </c>
    </row>
    <row r="1832">
      <c r="A1832" s="64" t="n"/>
      <c r="B1832" s="64" t="n"/>
      <c r="C1832" s="66" t="n"/>
      <c r="D1832" s="66" t="n"/>
      <c r="E1832" s="67" t="n"/>
      <c r="F1832" s="67" t="n"/>
      <c r="G1832" s="67" t="n"/>
      <c r="H1832" s="67" t="n"/>
      <c r="I1832" s="67" t="n"/>
      <c r="J1832" s="67" t="n"/>
      <c r="K1832" s="67" t="n"/>
      <c r="L1832" s="67" t="n"/>
      <c r="M1832" s="64" t="n"/>
      <c r="N1832" s="66" t="n"/>
      <c r="O1832" s="84">
        <f>IF(A1832="","",IF(OR(C1832="",D1832=""),"Enter both dates",IF(D1832&lt;C1832,"To is before From",IF(COUNTIFS($P$5:$P$2004,P1832,$C$5:$C$2004,"&lt;="&amp;D1832,$D$5:$D$2004,"&gt;="&amp;C1832)&gt;1,"Overlaps another row","OK"))))</f>
        <v/>
      </c>
      <c r="P1832">
        <f>IF(A1832="","",A1832&amp;"|"&amp;IF(B1832="","Standard",B1832))</f>
        <v/>
      </c>
      <c r="Q1832">
        <f>IF(AND(A1832&lt;&gt;"",A1832='Firm Search'!$C$7),COUNTIF($A$5:A1832,'Firm Search'!$C$7),"")</f>
        <v/>
      </c>
    </row>
    <row r="1833">
      <c r="A1833" s="64" t="n"/>
      <c r="B1833" s="64" t="n"/>
      <c r="C1833" s="66" t="n"/>
      <c r="D1833" s="66" t="n"/>
      <c r="E1833" s="67" t="n"/>
      <c r="F1833" s="67" t="n"/>
      <c r="G1833" s="67" t="n"/>
      <c r="H1833" s="67" t="n"/>
      <c r="I1833" s="67" t="n"/>
      <c r="J1833" s="67" t="n"/>
      <c r="K1833" s="67" t="n"/>
      <c r="L1833" s="67" t="n"/>
      <c r="M1833" s="64" t="n"/>
      <c r="N1833" s="66" t="n"/>
      <c r="O1833" s="84">
        <f>IF(A1833="","",IF(OR(C1833="",D1833=""),"Enter both dates",IF(D1833&lt;C1833,"To is before From",IF(COUNTIFS($P$5:$P$2004,P1833,$C$5:$C$2004,"&lt;="&amp;D1833,$D$5:$D$2004,"&gt;="&amp;C1833)&gt;1,"Overlaps another row","OK"))))</f>
        <v/>
      </c>
      <c r="P1833">
        <f>IF(A1833="","",A1833&amp;"|"&amp;IF(B1833="","Standard",B1833))</f>
        <v/>
      </c>
      <c r="Q1833">
        <f>IF(AND(A1833&lt;&gt;"",A1833='Firm Search'!$C$7),COUNTIF($A$5:A1833,'Firm Search'!$C$7),"")</f>
        <v/>
      </c>
    </row>
    <row r="1834">
      <c r="A1834" s="64" t="n"/>
      <c r="B1834" s="64" t="n"/>
      <c r="C1834" s="66" t="n"/>
      <c r="D1834" s="66" t="n"/>
      <c r="E1834" s="67" t="n"/>
      <c r="F1834" s="67" t="n"/>
      <c r="G1834" s="67" t="n"/>
      <c r="H1834" s="67" t="n"/>
      <c r="I1834" s="67" t="n"/>
      <c r="J1834" s="67" t="n"/>
      <c r="K1834" s="67" t="n"/>
      <c r="L1834" s="67" t="n"/>
      <c r="M1834" s="64" t="n"/>
      <c r="N1834" s="66" t="n"/>
      <c r="O1834" s="84">
        <f>IF(A1834="","",IF(OR(C1834="",D1834=""),"Enter both dates",IF(D1834&lt;C1834,"To is before From",IF(COUNTIFS($P$5:$P$2004,P1834,$C$5:$C$2004,"&lt;="&amp;D1834,$D$5:$D$2004,"&gt;="&amp;C1834)&gt;1,"Overlaps another row","OK"))))</f>
        <v/>
      </c>
      <c r="P1834">
        <f>IF(A1834="","",A1834&amp;"|"&amp;IF(B1834="","Standard",B1834))</f>
        <v/>
      </c>
      <c r="Q1834">
        <f>IF(AND(A1834&lt;&gt;"",A1834='Firm Search'!$C$7),COUNTIF($A$5:A1834,'Firm Search'!$C$7),"")</f>
        <v/>
      </c>
    </row>
    <row r="1835">
      <c r="A1835" s="64" t="n"/>
      <c r="B1835" s="64" t="n"/>
      <c r="C1835" s="66" t="n"/>
      <c r="D1835" s="66" t="n"/>
      <c r="E1835" s="67" t="n"/>
      <c r="F1835" s="67" t="n"/>
      <c r="G1835" s="67" t="n"/>
      <c r="H1835" s="67" t="n"/>
      <c r="I1835" s="67" t="n"/>
      <c r="J1835" s="67" t="n"/>
      <c r="K1835" s="67" t="n"/>
      <c r="L1835" s="67" t="n"/>
      <c r="M1835" s="64" t="n"/>
      <c r="N1835" s="66" t="n"/>
      <c r="O1835" s="84">
        <f>IF(A1835="","",IF(OR(C1835="",D1835=""),"Enter both dates",IF(D1835&lt;C1835,"To is before From",IF(COUNTIFS($P$5:$P$2004,P1835,$C$5:$C$2004,"&lt;="&amp;D1835,$D$5:$D$2004,"&gt;="&amp;C1835)&gt;1,"Overlaps another row","OK"))))</f>
        <v/>
      </c>
      <c r="P1835">
        <f>IF(A1835="","",A1835&amp;"|"&amp;IF(B1835="","Standard",B1835))</f>
        <v/>
      </c>
      <c r="Q1835">
        <f>IF(AND(A1835&lt;&gt;"",A1835='Firm Search'!$C$7),COUNTIF($A$5:A1835,'Firm Search'!$C$7),"")</f>
        <v/>
      </c>
    </row>
    <row r="1836">
      <c r="A1836" s="64" t="n"/>
      <c r="B1836" s="64" t="n"/>
      <c r="C1836" s="66" t="n"/>
      <c r="D1836" s="66" t="n"/>
      <c r="E1836" s="67" t="n"/>
      <c r="F1836" s="67" t="n"/>
      <c r="G1836" s="67" t="n"/>
      <c r="H1836" s="67" t="n"/>
      <c r="I1836" s="67" t="n"/>
      <c r="J1836" s="67" t="n"/>
      <c r="K1836" s="67" t="n"/>
      <c r="L1836" s="67" t="n"/>
      <c r="M1836" s="64" t="n"/>
      <c r="N1836" s="66" t="n"/>
      <c r="O1836" s="84">
        <f>IF(A1836="","",IF(OR(C1836="",D1836=""),"Enter both dates",IF(D1836&lt;C1836,"To is before From",IF(COUNTIFS($P$5:$P$2004,P1836,$C$5:$C$2004,"&lt;="&amp;D1836,$D$5:$D$2004,"&gt;="&amp;C1836)&gt;1,"Overlaps another row","OK"))))</f>
        <v/>
      </c>
      <c r="P1836">
        <f>IF(A1836="","",A1836&amp;"|"&amp;IF(B1836="","Standard",B1836))</f>
        <v/>
      </c>
      <c r="Q1836">
        <f>IF(AND(A1836&lt;&gt;"",A1836='Firm Search'!$C$7),COUNTIF($A$5:A1836,'Firm Search'!$C$7),"")</f>
        <v/>
      </c>
    </row>
    <row r="1837">
      <c r="A1837" s="64" t="n"/>
      <c r="B1837" s="64" t="n"/>
      <c r="C1837" s="66" t="n"/>
      <c r="D1837" s="66" t="n"/>
      <c r="E1837" s="67" t="n"/>
      <c r="F1837" s="67" t="n"/>
      <c r="G1837" s="67" t="n"/>
      <c r="H1837" s="67" t="n"/>
      <c r="I1837" s="67" t="n"/>
      <c r="J1837" s="67" t="n"/>
      <c r="K1837" s="67" t="n"/>
      <c r="L1837" s="67" t="n"/>
      <c r="M1837" s="64" t="n"/>
      <c r="N1837" s="66" t="n"/>
      <c r="O1837" s="84">
        <f>IF(A1837="","",IF(OR(C1837="",D1837=""),"Enter both dates",IF(D1837&lt;C1837,"To is before From",IF(COUNTIFS($P$5:$P$2004,P1837,$C$5:$C$2004,"&lt;="&amp;D1837,$D$5:$D$2004,"&gt;="&amp;C1837)&gt;1,"Overlaps another row","OK"))))</f>
        <v/>
      </c>
      <c r="P1837">
        <f>IF(A1837="","",A1837&amp;"|"&amp;IF(B1837="","Standard",B1837))</f>
        <v/>
      </c>
      <c r="Q1837">
        <f>IF(AND(A1837&lt;&gt;"",A1837='Firm Search'!$C$7),COUNTIF($A$5:A1837,'Firm Search'!$C$7),"")</f>
        <v/>
      </c>
    </row>
    <row r="1838">
      <c r="A1838" s="64" t="n"/>
      <c r="B1838" s="64" t="n"/>
      <c r="C1838" s="66" t="n"/>
      <c r="D1838" s="66" t="n"/>
      <c r="E1838" s="67" t="n"/>
      <c r="F1838" s="67" t="n"/>
      <c r="G1838" s="67" t="n"/>
      <c r="H1838" s="67" t="n"/>
      <c r="I1838" s="67" t="n"/>
      <c r="J1838" s="67" t="n"/>
      <c r="K1838" s="67" t="n"/>
      <c r="L1838" s="67" t="n"/>
      <c r="M1838" s="64" t="n"/>
      <c r="N1838" s="66" t="n"/>
      <c r="O1838" s="84">
        <f>IF(A1838="","",IF(OR(C1838="",D1838=""),"Enter both dates",IF(D1838&lt;C1838,"To is before From",IF(COUNTIFS($P$5:$P$2004,P1838,$C$5:$C$2004,"&lt;="&amp;D1838,$D$5:$D$2004,"&gt;="&amp;C1838)&gt;1,"Overlaps another row","OK"))))</f>
        <v/>
      </c>
      <c r="P1838">
        <f>IF(A1838="","",A1838&amp;"|"&amp;IF(B1838="","Standard",B1838))</f>
        <v/>
      </c>
      <c r="Q1838">
        <f>IF(AND(A1838&lt;&gt;"",A1838='Firm Search'!$C$7),COUNTIF($A$5:A1838,'Firm Search'!$C$7),"")</f>
        <v/>
      </c>
    </row>
    <row r="1839">
      <c r="A1839" s="64" t="n"/>
      <c r="B1839" s="64" t="n"/>
      <c r="C1839" s="66" t="n"/>
      <c r="D1839" s="66" t="n"/>
      <c r="E1839" s="67" t="n"/>
      <c r="F1839" s="67" t="n"/>
      <c r="G1839" s="67" t="n"/>
      <c r="H1839" s="67" t="n"/>
      <c r="I1839" s="67" t="n"/>
      <c r="J1839" s="67" t="n"/>
      <c r="K1839" s="67" t="n"/>
      <c r="L1839" s="67" t="n"/>
      <c r="M1839" s="64" t="n"/>
      <c r="N1839" s="66" t="n"/>
      <c r="O1839" s="84">
        <f>IF(A1839="","",IF(OR(C1839="",D1839=""),"Enter both dates",IF(D1839&lt;C1839,"To is before From",IF(COUNTIFS($P$5:$P$2004,P1839,$C$5:$C$2004,"&lt;="&amp;D1839,$D$5:$D$2004,"&gt;="&amp;C1839)&gt;1,"Overlaps another row","OK"))))</f>
        <v/>
      </c>
      <c r="P1839">
        <f>IF(A1839="","",A1839&amp;"|"&amp;IF(B1839="","Standard",B1839))</f>
        <v/>
      </c>
      <c r="Q1839">
        <f>IF(AND(A1839&lt;&gt;"",A1839='Firm Search'!$C$7),COUNTIF($A$5:A1839,'Firm Search'!$C$7),"")</f>
        <v/>
      </c>
    </row>
    <row r="1840">
      <c r="A1840" s="64" t="n"/>
      <c r="B1840" s="64" t="n"/>
      <c r="C1840" s="66" t="n"/>
      <c r="D1840" s="66" t="n"/>
      <c r="E1840" s="67" t="n"/>
      <c r="F1840" s="67" t="n"/>
      <c r="G1840" s="67" t="n"/>
      <c r="H1840" s="67" t="n"/>
      <c r="I1840" s="67" t="n"/>
      <c r="J1840" s="67" t="n"/>
      <c r="K1840" s="67" t="n"/>
      <c r="L1840" s="67" t="n"/>
      <c r="M1840" s="64" t="n"/>
      <c r="N1840" s="66" t="n"/>
      <c r="O1840" s="84">
        <f>IF(A1840="","",IF(OR(C1840="",D1840=""),"Enter both dates",IF(D1840&lt;C1840,"To is before From",IF(COUNTIFS($P$5:$P$2004,P1840,$C$5:$C$2004,"&lt;="&amp;D1840,$D$5:$D$2004,"&gt;="&amp;C1840)&gt;1,"Overlaps another row","OK"))))</f>
        <v/>
      </c>
      <c r="P1840">
        <f>IF(A1840="","",A1840&amp;"|"&amp;IF(B1840="","Standard",B1840))</f>
        <v/>
      </c>
      <c r="Q1840">
        <f>IF(AND(A1840&lt;&gt;"",A1840='Firm Search'!$C$7),COUNTIF($A$5:A1840,'Firm Search'!$C$7),"")</f>
        <v/>
      </c>
    </row>
    <row r="1841">
      <c r="A1841" s="64" t="n"/>
      <c r="B1841" s="64" t="n"/>
      <c r="C1841" s="66" t="n"/>
      <c r="D1841" s="66" t="n"/>
      <c r="E1841" s="67" t="n"/>
      <c r="F1841" s="67" t="n"/>
      <c r="G1841" s="67" t="n"/>
      <c r="H1841" s="67" t="n"/>
      <c r="I1841" s="67" t="n"/>
      <c r="J1841" s="67" t="n"/>
      <c r="K1841" s="67" t="n"/>
      <c r="L1841" s="67" t="n"/>
      <c r="M1841" s="64" t="n"/>
      <c r="N1841" s="66" t="n"/>
      <c r="O1841" s="84">
        <f>IF(A1841="","",IF(OR(C1841="",D1841=""),"Enter both dates",IF(D1841&lt;C1841,"To is before From",IF(COUNTIFS($P$5:$P$2004,P1841,$C$5:$C$2004,"&lt;="&amp;D1841,$D$5:$D$2004,"&gt;="&amp;C1841)&gt;1,"Overlaps another row","OK"))))</f>
        <v/>
      </c>
      <c r="P1841">
        <f>IF(A1841="","",A1841&amp;"|"&amp;IF(B1841="","Standard",B1841))</f>
        <v/>
      </c>
      <c r="Q1841">
        <f>IF(AND(A1841&lt;&gt;"",A1841='Firm Search'!$C$7),COUNTIF($A$5:A1841,'Firm Search'!$C$7),"")</f>
        <v/>
      </c>
    </row>
    <row r="1842">
      <c r="A1842" s="64" t="n"/>
      <c r="B1842" s="64" t="n"/>
      <c r="C1842" s="66" t="n"/>
      <c r="D1842" s="66" t="n"/>
      <c r="E1842" s="67" t="n"/>
      <c r="F1842" s="67" t="n"/>
      <c r="G1842" s="67" t="n"/>
      <c r="H1842" s="67" t="n"/>
      <c r="I1842" s="67" t="n"/>
      <c r="J1842" s="67" t="n"/>
      <c r="K1842" s="67" t="n"/>
      <c r="L1842" s="67" t="n"/>
      <c r="M1842" s="64" t="n"/>
      <c r="N1842" s="66" t="n"/>
      <c r="O1842" s="84">
        <f>IF(A1842="","",IF(OR(C1842="",D1842=""),"Enter both dates",IF(D1842&lt;C1842,"To is before From",IF(COUNTIFS($P$5:$P$2004,P1842,$C$5:$C$2004,"&lt;="&amp;D1842,$D$5:$D$2004,"&gt;="&amp;C1842)&gt;1,"Overlaps another row","OK"))))</f>
        <v/>
      </c>
      <c r="P1842">
        <f>IF(A1842="","",A1842&amp;"|"&amp;IF(B1842="","Standard",B1842))</f>
        <v/>
      </c>
      <c r="Q1842">
        <f>IF(AND(A1842&lt;&gt;"",A1842='Firm Search'!$C$7),COUNTIF($A$5:A1842,'Firm Search'!$C$7),"")</f>
        <v/>
      </c>
    </row>
    <row r="1843">
      <c r="A1843" s="64" t="n"/>
      <c r="B1843" s="64" t="n"/>
      <c r="C1843" s="66" t="n"/>
      <c r="D1843" s="66" t="n"/>
      <c r="E1843" s="67" t="n"/>
      <c r="F1843" s="67" t="n"/>
      <c r="G1843" s="67" t="n"/>
      <c r="H1843" s="67" t="n"/>
      <c r="I1843" s="67" t="n"/>
      <c r="J1843" s="67" t="n"/>
      <c r="K1843" s="67" t="n"/>
      <c r="L1843" s="67" t="n"/>
      <c r="M1843" s="64" t="n"/>
      <c r="N1843" s="66" t="n"/>
      <c r="O1843" s="84">
        <f>IF(A1843="","",IF(OR(C1843="",D1843=""),"Enter both dates",IF(D1843&lt;C1843,"To is before From",IF(COUNTIFS($P$5:$P$2004,P1843,$C$5:$C$2004,"&lt;="&amp;D1843,$D$5:$D$2004,"&gt;="&amp;C1843)&gt;1,"Overlaps another row","OK"))))</f>
        <v/>
      </c>
      <c r="P1843">
        <f>IF(A1843="","",A1843&amp;"|"&amp;IF(B1843="","Standard",B1843))</f>
        <v/>
      </c>
      <c r="Q1843">
        <f>IF(AND(A1843&lt;&gt;"",A1843='Firm Search'!$C$7),COUNTIF($A$5:A1843,'Firm Search'!$C$7),"")</f>
        <v/>
      </c>
    </row>
    <row r="1844">
      <c r="A1844" s="64" t="n"/>
      <c r="B1844" s="64" t="n"/>
      <c r="C1844" s="66" t="n"/>
      <c r="D1844" s="66" t="n"/>
      <c r="E1844" s="67" t="n"/>
      <c r="F1844" s="67" t="n"/>
      <c r="G1844" s="67" t="n"/>
      <c r="H1844" s="67" t="n"/>
      <c r="I1844" s="67" t="n"/>
      <c r="J1844" s="67" t="n"/>
      <c r="K1844" s="67" t="n"/>
      <c r="L1844" s="67" t="n"/>
      <c r="M1844" s="64" t="n"/>
      <c r="N1844" s="66" t="n"/>
      <c r="O1844" s="84">
        <f>IF(A1844="","",IF(OR(C1844="",D1844=""),"Enter both dates",IF(D1844&lt;C1844,"To is before From",IF(COUNTIFS($P$5:$P$2004,P1844,$C$5:$C$2004,"&lt;="&amp;D1844,$D$5:$D$2004,"&gt;="&amp;C1844)&gt;1,"Overlaps another row","OK"))))</f>
        <v/>
      </c>
      <c r="P1844">
        <f>IF(A1844="","",A1844&amp;"|"&amp;IF(B1844="","Standard",B1844))</f>
        <v/>
      </c>
      <c r="Q1844">
        <f>IF(AND(A1844&lt;&gt;"",A1844='Firm Search'!$C$7),COUNTIF($A$5:A1844,'Firm Search'!$C$7),"")</f>
        <v/>
      </c>
    </row>
    <row r="1845">
      <c r="A1845" s="64" t="n"/>
      <c r="B1845" s="64" t="n"/>
      <c r="C1845" s="66" t="n"/>
      <c r="D1845" s="66" t="n"/>
      <c r="E1845" s="67" t="n"/>
      <c r="F1845" s="67" t="n"/>
      <c r="G1845" s="67" t="n"/>
      <c r="H1845" s="67" t="n"/>
      <c r="I1845" s="67" t="n"/>
      <c r="J1845" s="67" t="n"/>
      <c r="K1845" s="67" t="n"/>
      <c r="L1845" s="67" t="n"/>
      <c r="M1845" s="64" t="n"/>
      <c r="N1845" s="66" t="n"/>
      <c r="O1845" s="84">
        <f>IF(A1845="","",IF(OR(C1845="",D1845=""),"Enter both dates",IF(D1845&lt;C1845,"To is before From",IF(COUNTIFS($P$5:$P$2004,P1845,$C$5:$C$2004,"&lt;="&amp;D1845,$D$5:$D$2004,"&gt;="&amp;C1845)&gt;1,"Overlaps another row","OK"))))</f>
        <v/>
      </c>
      <c r="P1845">
        <f>IF(A1845="","",A1845&amp;"|"&amp;IF(B1845="","Standard",B1845))</f>
        <v/>
      </c>
      <c r="Q1845">
        <f>IF(AND(A1845&lt;&gt;"",A1845='Firm Search'!$C$7),COUNTIF($A$5:A1845,'Firm Search'!$C$7),"")</f>
        <v/>
      </c>
    </row>
    <row r="1846">
      <c r="A1846" s="64" t="n"/>
      <c r="B1846" s="64" t="n"/>
      <c r="C1846" s="66" t="n"/>
      <c r="D1846" s="66" t="n"/>
      <c r="E1846" s="67" t="n"/>
      <c r="F1846" s="67" t="n"/>
      <c r="G1846" s="67" t="n"/>
      <c r="H1846" s="67" t="n"/>
      <c r="I1846" s="67" t="n"/>
      <c r="J1846" s="67" t="n"/>
      <c r="K1846" s="67" t="n"/>
      <c r="L1846" s="67" t="n"/>
      <c r="M1846" s="64" t="n"/>
      <c r="N1846" s="66" t="n"/>
      <c r="O1846" s="84">
        <f>IF(A1846="","",IF(OR(C1846="",D1846=""),"Enter both dates",IF(D1846&lt;C1846,"To is before From",IF(COUNTIFS($P$5:$P$2004,P1846,$C$5:$C$2004,"&lt;="&amp;D1846,$D$5:$D$2004,"&gt;="&amp;C1846)&gt;1,"Overlaps another row","OK"))))</f>
        <v/>
      </c>
      <c r="P1846">
        <f>IF(A1846="","",A1846&amp;"|"&amp;IF(B1846="","Standard",B1846))</f>
        <v/>
      </c>
      <c r="Q1846">
        <f>IF(AND(A1846&lt;&gt;"",A1846='Firm Search'!$C$7),COUNTIF($A$5:A1846,'Firm Search'!$C$7),"")</f>
        <v/>
      </c>
    </row>
    <row r="1847">
      <c r="A1847" s="64" t="n"/>
      <c r="B1847" s="64" t="n"/>
      <c r="C1847" s="66" t="n"/>
      <c r="D1847" s="66" t="n"/>
      <c r="E1847" s="67" t="n"/>
      <c r="F1847" s="67" t="n"/>
      <c r="G1847" s="67" t="n"/>
      <c r="H1847" s="67" t="n"/>
      <c r="I1847" s="67" t="n"/>
      <c r="J1847" s="67" t="n"/>
      <c r="K1847" s="67" t="n"/>
      <c r="L1847" s="67" t="n"/>
      <c r="M1847" s="64" t="n"/>
      <c r="N1847" s="66" t="n"/>
      <c r="O1847" s="84">
        <f>IF(A1847="","",IF(OR(C1847="",D1847=""),"Enter both dates",IF(D1847&lt;C1847,"To is before From",IF(COUNTIFS($P$5:$P$2004,P1847,$C$5:$C$2004,"&lt;="&amp;D1847,$D$5:$D$2004,"&gt;="&amp;C1847)&gt;1,"Overlaps another row","OK"))))</f>
        <v/>
      </c>
      <c r="P1847">
        <f>IF(A1847="","",A1847&amp;"|"&amp;IF(B1847="","Standard",B1847))</f>
        <v/>
      </c>
      <c r="Q1847">
        <f>IF(AND(A1847&lt;&gt;"",A1847='Firm Search'!$C$7),COUNTIF($A$5:A1847,'Firm Search'!$C$7),"")</f>
        <v/>
      </c>
    </row>
    <row r="1848">
      <c r="A1848" s="64" t="n"/>
      <c r="B1848" s="64" t="n"/>
      <c r="C1848" s="66" t="n"/>
      <c r="D1848" s="66" t="n"/>
      <c r="E1848" s="67" t="n"/>
      <c r="F1848" s="67" t="n"/>
      <c r="G1848" s="67" t="n"/>
      <c r="H1848" s="67" t="n"/>
      <c r="I1848" s="67" t="n"/>
      <c r="J1848" s="67" t="n"/>
      <c r="K1848" s="67" t="n"/>
      <c r="L1848" s="67" t="n"/>
      <c r="M1848" s="64" t="n"/>
      <c r="N1848" s="66" t="n"/>
      <c r="O1848" s="84">
        <f>IF(A1848="","",IF(OR(C1848="",D1848=""),"Enter both dates",IF(D1848&lt;C1848,"To is before From",IF(COUNTIFS($P$5:$P$2004,P1848,$C$5:$C$2004,"&lt;="&amp;D1848,$D$5:$D$2004,"&gt;="&amp;C1848)&gt;1,"Overlaps another row","OK"))))</f>
        <v/>
      </c>
      <c r="P1848">
        <f>IF(A1848="","",A1848&amp;"|"&amp;IF(B1848="","Standard",B1848))</f>
        <v/>
      </c>
      <c r="Q1848">
        <f>IF(AND(A1848&lt;&gt;"",A1848='Firm Search'!$C$7),COUNTIF($A$5:A1848,'Firm Search'!$C$7),"")</f>
        <v/>
      </c>
    </row>
    <row r="1849">
      <c r="A1849" s="64" t="n"/>
      <c r="B1849" s="64" t="n"/>
      <c r="C1849" s="66" t="n"/>
      <c r="D1849" s="66" t="n"/>
      <c r="E1849" s="67" t="n"/>
      <c r="F1849" s="67" t="n"/>
      <c r="G1849" s="67" t="n"/>
      <c r="H1849" s="67" t="n"/>
      <c r="I1849" s="67" t="n"/>
      <c r="J1849" s="67" t="n"/>
      <c r="K1849" s="67" t="n"/>
      <c r="L1849" s="67" t="n"/>
      <c r="M1849" s="64" t="n"/>
      <c r="N1849" s="66" t="n"/>
      <c r="O1849" s="84">
        <f>IF(A1849="","",IF(OR(C1849="",D1849=""),"Enter both dates",IF(D1849&lt;C1849,"To is before From",IF(COUNTIFS($P$5:$P$2004,P1849,$C$5:$C$2004,"&lt;="&amp;D1849,$D$5:$D$2004,"&gt;="&amp;C1849)&gt;1,"Overlaps another row","OK"))))</f>
        <v/>
      </c>
      <c r="P1849">
        <f>IF(A1849="","",A1849&amp;"|"&amp;IF(B1849="","Standard",B1849))</f>
        <v/>
      </c>
      <c r="Q1849">
        <f>IF(AND(A1849&lt;&gt;"",A1849='Firm Search'!$C$7),COUNTIF($A$5:A1849,'Firm Search'!$C$7),"")</f>
        <v/>
      </c>
    </row>
    <row r="1850">
      <c r="A1850" s="64" t="n"/>
      <c r="B1850" s="64" t="n"/>
      <c r="C1850" s="66" t="n"/>
      <c r="D1850" s="66" t="n"/>
      <c r="E1850" s="67" t="n"/>
      <c r="F1850" s="67" t="n"/>
      <c r="G1850" s="67" t="n"/>
      <c r="H1850" s="67" t="n"/>
      <c r="I1850" s="67" t="n"/>
      <c r="J1850" s="67" t="n"/>
      <c r="K1850" s="67" t="n"/>
      <c r="L1850" s="67" t="n"/>
      <c r="M1850" s="64" t="n"/>
      <c r="N1850" s="66" t="n"/>
      <c r="O1850" s="84">
        <f>IF(A1850="","",IF(OR(C1850="",D1850=""),"Enter both dates",IF(D1850&lt;C1850,"To is before From",IF(COUNTIFS($P$5:$P$2004,P1850,$C$5:$C$2004,"&lt;="&amp;D1850,$D$5:$D$2004,"&gt;="&amp;C1850)&gt;1,"Overlaps another row","OK"))))</f>
        <v/>
      </c>
      <c r="P1850">
        <f>IF(A1850="","",A1850&amp;"|"&amp;IF(B1850="","Standard",B1850))</f>
        <v/>
      </c>
      <c r="Q1850">
        <f>IF(AND(A1850&lt;&gt;"",A1850='Firm Search'!$C$7),COUNTIF($A$5:A1850,'Firm Search'!$C$7),"")</f>
        <v/>
      </c>
    </row>
    <row r="1851">
      <c r="A1851" s="64" t="n"/>
      <c r="B1851" s="64" t="n"/>
      <c r="C1851" s="66" t="n"/>
      <c r="D1851" s="66" t="n"/>
      <c r="E1851" s="67" t="n"/>
      <c r="F1851" s="67" t="n"/>
      <c r="G1851" s="67" t="n"/>
      <c r="H1851" s="67" t="n"/>
      <c r="I1851" s="67" t="n"/>
      <c r="J1851" s="67" t="n"/>
      <c r="K1851" s="67" t="n"/>
      <c r="L1851" s="67" t="n"/>
      <c r="M1851" s="64" t="n"/>
      <c r="N1851" s="66" t="n"/>
      <c r="O1851" s="84">
        <f>IF(A1851="","",IF(OR(C1851="",D1851=""),"Enter both dates",IF(D1851&lt;C1851,"To is before From",IF(COUNTIFS($P$5:$P$2004,P1851,$C$5:$C$2004,"&lt;="&amp;D1851,$D$5:$D$2004,"&gt;="&amp;C1851)&gt;1,"Overlaps another row","OK"))))</f>
        <v/>
      </c>
      <c r="P1851">
        <f>IF(A1851="","",A1851&amp;"|"&amp;IF(B1851="","Standard",B1851))</f>
        <v/>
      </c>
      <c r="Q1851">
        <f>IF(AND(A1851&lt;&gt;"",A1851='Firm Search'!$C$7),COUNTIF($A$5:A1851,'Firm Search'!$C$7),"")</f>
        <v/>
      </c>
    </row>
    <row r="1852">
      <c r="A1852" s="64" t="n"/>
      <c r="B1852" s="64" t="n"/>
      <c r="C1852" s="66" t="n"/>
      <c r="D1852" s="66" t="n"/>
      <c r="E1852" s="67" t="n"/>
      <c r="F1852" s="67" t="n"/>
      <c r="G1852" s="67" t="n"/>
      <c r="H1852" s="67" t="n"/>
      <c r="I1852" s="67" t="n"/>
      <c r="J1852" s="67" t="n"/>
      <c r="K1852" s="67" t="n"/>
      <c r="L1852" s="67" t="n"/>
      <c r="M1852" s="64" t="n"/>
      <c r="N1852" s="66" t="n"/>
      <c r="O1852" s="84">
        <f>IF(A1852="","",IF(OR(C1852="",D1852=""),"Enter both dates",IF(D1852&lt;C1852,"To is before From",IF(COUNTIFS($P$5:$P$2004,P1852,$C$5:$C$2004,"&lt;="&amp;D1852,$D$5:$D$2004,"&gt;="&amp;C1852)&gt;1,"Overlaps another row","OK"))))</f>
        <v/>
      </c>
      <c r="P1852">
        <f>IF(A1852="","",A1852&amp;"|"&amp;IF(B1852="","Standard",B1852))</f>
        <v/>
      </c>
      <c r="Q1852">
        <f>IF(AND(A1852&lt;&gt;"",A1852='Firm Search'!$C$7),COUNTIF($A$5:A1852,'Firm Search'!$C$7),"")</f>
        <v/>
      </c>
    </row>
    <row r="1853">
      <c r="A1853" s="64" t="n"/>
      <c r="B1853" s="64" t="n"/>
      <c r="C1853" s="66" t="n"/>
      <c r="D1853" s="66" t="n"/>
      <c r="E1853" s="67" t="n"/>
      <c r="F1853" s="67" t="n"/>
      <c r="G1853" s="67" t="n"/>
      <c r="H1853" s="67" t="n"/>
      <c r="I1853" s="67" t="n"/>
      <c r="J1853" s="67" t="n"/>
      <c r="K1853" s="67" t="n"/>
      <c r="L1853" s="67" t="n"/>
      <c r="M1853" s="64" t="n"/>
      <c r="N1853" s="66" t="n"/>
      <c r="O1853" s="84">
        <f>IF(A1853="","",IF(OR(C1853="",D1853=""),"Enter both dates",IF(D1853&lt;C1853,"To is before From",IF(COUNTIFS($P$5:$P$2004,P1853,$C$5:$C$2004,"&lt;="&amp;D1853,$D$5:$D$2004,"&gt;="&amp;C1853)&gt;1,"Overlaps another row","OK"))))</f>
        <v/>
      </c>
      <c r="P1853">
        <f>IF(A1853="","",A1853&amp;"|"&amp;IF(B1853="","Standard",B1853))</f>
        <v/>
      </c>
      <c r="Q1853">
        <f>IF(AND(A1853&lt;&gt;"",A1853='Firm Search'!$C$7),COUNTIF($A$5:A1853,'Firm Search'!$C$7),"")</f>
        <v/>
      </c>
    </row>
    <row r="1854">
      <c r="A1854" s="64" t="n"/>
      <c r="B1854" s="64" t="n"/>
      <c r="C1854" s="66" t="n"/>
      <c r="D1854" s="66" t="n"/>
      <c r="E1854" s="67" t="n"/>
      <c r="F1854" s="67" t="n"/>
      <c r="G1854" s="67" t="n"/>
      <c r="H1854" s="67" t="n"/>
      <c r="I1854" s="67" t="n"/>
      <c r="J1854" s="67" t="n"/>
      <c r="K1854" s="67" t="n"/>
      <c r="L1854" s="67" t="n"/>
      <c r="M1854" s="64" t="n"/>
      <c r="N1854" s="66" t="n"/>
      <c r="O1854" s="84">
        <f>IF(A1854="","",IF(OR(C1854="",D1854=""),"Enter both dates",IF(D1854&lt;C1854,"To is before From",IF(COUNTIFS($P$5:$P$2004,P1854,$C$5:$C$2004,"&lt;="&amp;D1854,$D$5:$D$2004,"&gt;="&amp;C1854)&gt;1,"Overlaps another row","OK"))))</f>
        <v/>
      </c>
      <c r="P1854">
        <f>IF(A1854="","",A1854&amp;"|"&amp;IF(B1854="","Standard",B1854))</f>
        <v/>
      </c>
      <c r="Q1854">
        <f>IF(AND(A1854&lt;&gt;"",A1854='Firm Search'!$C$7),COUNTIF($A$5:A1854,'Firm Search'!$C$7),"")</f>
        <v/>
      </c>
    </row>
    <row r="1855">
      <c r="A1855" s="64" t="n"/>
      <c r="B1855" s="64" t="n"/>
      <c r="C1855" s="66" t="n"/>
      <c r="D1855" s="66" t="n"/>
      <c r="E1855" s="67" t="n"/>
      <c r="F1855" s="67" t="n"/>
      <c r="G1855" s="67" t="n"/>
      <c r="H1855" s="67" t="n"/>
      <c r="I1855" s="67" t="n"/>
      <c r="J1855" s="67" t="n"/>
      <c r="K1855" s="67" t="n"/>
      <c r="L1855" s="67" t="n"/>
      <c r="M1855" s="64" t="n"/>
      <c r="N1855" s="66" t="n"/>
      <c r="O1855" s="84">
        <f>IF(A1855="","",IF(OR(C1855="",D1855=""),"Enter both dates",IF(D1855&lt;C1855,"To is before From",IF(COUNTIFS($P$5:$P$2004,P1855,$C$5:$C$2004,"&lt;="&amp;D1855,$D$5:$D$2004,"&gt;="&amp;C1855)&gt;1,"Overlaps another row","OK"))))</f>
        <v/>
      </c>
      <c r="P1855">
        <f>IF(A1855="","",A1855&amp;"|"&amp;IF(B1855="","Standard",B1855))</f>
        <v/>
      </c>
      <c r="Q1855">
        <f>IF(AND(A1855&lt;&gt;"",A1855='Firm Search'!$C$7),COUNTIF($A$5:A1855,'Firm Search'!$C$7),"")</f>
        <v/>
      </c>
    </row>
    <row r="1856">
      <c r="A1856" s="64" t="n"/>
      <c r="B1856" s="64" t="n"/>
      <c r="C1856" s="66" t="n"/>
      <c r="D1856" s="66" t="n"/>
      <c r="E1856" s="67" t="n"/>
      <c r="F1856" s="67" t="n"/>
      <c r="G1856" s="67" t="n"/>
      <c r="H1856" s="67" t="n"/>
      <c r="I1856" s="67" t="n"/>
      <c r="J1856" s="67" t="n"/>
      <c r="K1856" s="67" t="n"/>
      <c r="L1856" s="67" t="n"/>
      <c r="M1856" s="64" t="n"/>
      <c r="N1856" s="66" t="n"/>
      <c r="O1856" s="84">
        <f>IF(A1856="","",IF(OR(C1856="",D1856=""),"Enter both dates",IF(D1856&lt;C1856,"To is before From",IF(COUNTIFS($P$5:$P$2004,P1856,$C$5:$C$2004,"&lt;="&amp;D1856,$D$5:$D$2004,"&gt;="&amp;C1856)&gt;1,"Overlaps another row","OK"))))</f>
        <v/>
      </c>
      <c r="P1856">
        <f>IF(A1856="","",A1856&amp;"|"&amp;IF(B1856="","Standard",B1856))</f>
        <v/>
      </c>
      <c r="Q1856">
        <f>IF(AND(A1856&lt;&gt;"",A1856='Firm Search'!$C$7),COUNTIF($A$5:A1856,'Firm Search'!$C$7),"")</f>
        <v/>
      </c>
    </row>
    <row r="1857">
      <c r="A1857" s="64" t="n"/>
      <c r="B1857" s="64" t="n"/>
      <c r="C1857" s="66" t="n"/>
      <c r="D1857" s="66" t="n"/>
      <c r="E1857" s="67" t="n"/>
      <c r="F1857" s="67" t="n"/>
      <c r="G1857" s="67" t="n"/>
      <c r="H1857" s="67" t="n"/>
      <c r="I1857" s="67" t="n"/>
      <c r="J1857" s="67" t="n"/>
      <c r="K1857" s="67" t="n"/>
      <c r="L1857" s="67" t="n"/>
      <c r="M1857" s="64" t="n"/>
      <c r="N1857" s="66" t="n"/>
      <c r="O1857" s="84">
        <f>IF(A1857="","",IF(OR(C1857="",D1857=""),"Enter both dates",IF(D1857&lt;C1857,"To is before From",IF(COUNTIFS($P$5:$P$2004,P1857,$C$5:$C$2004,"&lt;="&amp;D1857,$D$5:$D$2004,"&gt;="&amp;C1857)&gt;1,"Overlaps another row","OK"))))</f>
        <v/>
      </c>
      <c r="P1857">
        <f>IF(A1857="","",A1857&amp;"|"&amp;IF(B1857="","Standard",B1857))</f>
        <v/>
      </c>
      <c r="Q1857">
        <f>IF(AND(A1857&lt;&gt;"",A1857='Firm Search'!$C$7),COUNTIF($A$5:A1857,'Firm Search'!$C$7),"")</f>
        <v/>
      </c>
    </row>
    <row r="1858">
      <c r="A1858" s="64" t="n"/>
      <c r="B1858" s="64" t="n"/>
      <c r="C1858" s="66" t="n"/>
      <c r="D1858" s="66" t="n"/>
      <c r="E1858" s="67" t="n"/>
      <c r="F1858" s="67" t="n"/>
      <c r="G1858" s="67" t="n"/>
      <c r="H1858" s="67" t="n"/>
      <c r="I1858" s="67" t="n"/>
      <c r="J1858" s="67" t="n"/>
      <c r="K1858" s="67" t="n"/>
      <c r="L1858" s="67" t="n"/>
      <c r="M1858" s="64" t="n"/>
      <c r="N1858" s="66" t="n"/>
      <c r="O1858" s="84">
        <f>IF(A1858="","",IF(OR(C1858="",D1858=""),"Enter both dates",IF(D1858&lt;C1858,"To is before From",IF(COUNTIFS($P$5:$P$2004,P1858,$C$5:$C$2004,"&lt;="&amp;D1858,$D$5:$D$2004,"&gt;="&amp;C1858)&gt;1,"Overlaps another row","OK"))))</f>
        <v/>
      </c>
      <c r="P1858">
        <f>IF(A1858="","",A1858&amp;"|"&amp;IF(B1858="","Standard",B1858))</f>
        <v/>
      </c>
      <c r="Q1858">
        <f>IF(AND(A1858&lt;&gt;"",A1858='Firm Search'!$C$7),COUNTIF($A$5:A1858,'Firm Search'!$C$7),"")</f>
        <v/>
      </c>
    </row>
    <row r="1859">
      <c r="A1859" s="64" t="n"/>
      <c r="B1859" s="64" t="n"/>
      <c r="C1859" s="66" t="n"/>
      <c r="D1859" s="66" t="n"/>
      <c r="E1859" s="67" t="n"/>
      <c r="F1859" s="67" t="n"/>
      <c r="G1859" s="67" t="n"/>
      <c r="H1859" s="67" t="n"/>
      <c r="I1859" s="67" t="n"/>
      <c r="J1859" s="67" t="n"/>
      <c r="K1859" s="67" t="n"/>
      <c r="L1859" s="67" t="n"/>
      <c r="M1859" s="64" t="n"/>
      <c r="N1859" s="66" t="n"/>
      <c r="O1859" s="84">
        <f>IF(A1859="","",IF(OR(C1859="",D1859=""),"Enter both dates",IF(D1859&lt;C1859,"To is before From",IF(COUNTIFS($P$5:$P$2004,P1859,$C$5:$C$2004,"&lt;="&amp;D1859,$D$5:$D$2004,"&gt;="&amp;C1859)&gt;1,"Overlaps another row","OK"))))</f>
        <v/>
      </c>
      <c r="P1859">
        <f>IF(A1859="","",A1859&amp;"|"&amp;IF(B1859="","Standard",B1859))</f>
        <v/>
      </c>
      <c r="Q1859">
        <f>IF(AND(A1859&lt;&gt;"",A1859='Firm Search'!$C$7),COUNTIF($A$5:A1859,'Firm Search'!$C$7),"")</f>
        <v/>
      </c>
    </row>
    <row r="1860">
      <c r="A1860" s="64" t="n"/>
      <c r="B1860" s="64" t="n"/>
      <c r="C1860" s="66" t="n"/>
      <c r="D1860" s="66" t="n"/>
      <c r="E1860" s="67" t="n"/>
      <c r="F1860" s="67" t="n"/>
      <c r="G1860" s="67" t="n"/>
      <c r="H1860" s="67" t="n"/>
      <c r="I1860" s="67" t="n"/>
      <c r="J1860" s="67" t="n"/>
      <c r="K1860" s="67" t="n"/>
      <c r="L1860" s="67" t="n"/>
      <c r="M1860" s="64" t="n"/>
      <c r="N1860" s="66" t="n"/>
      <c r="O1860" s="84">
        <f>IF(A1860="","",IF(OR(C1860="",D1860=""),"Enter both dates",IF(D1860&lt;C1860,"To is before From",IF(COUNTIFS($P$5:$P$2004,P1860,$C$5:$C$2004,"&lt;="&amp;D1860,$D$5:$D$2004,"&gt;="&amp;C1860)&gt;1,"Overlaps another row","OK"))))</f>
        <v/>
      </c>
      <c r="P1860">
        <f>IF(A1860="","",A1860&amp;"|"&amp;IF(B1860="","Standard",B1860))</f>
        <v/>
      </c>
      <c r="Q1860">
        <f>IF(AND(A1860&lt;&gt;"",A1860='Firm Search'!$C$7),COUNTIF($A$5:A1860,'Firm Search'!$C$7),"")</f>
        <v/>
      </c>
    </row>
    <row r="1861">
      <c r="A1861" s="64" t="n"/>
      <c r="B1861" s="64" t="n"/>
      <c r="C1861" s="66" t="n"/>
      <c r="D1861" s="66" t="n"/>
      <c r="E1861" s="67" t="n"/>
      <c r="F1861" s="67" t="n"/>
      <c r="G1861" s="67" t="n"/>
      <c r="H1861" s="67" t="n"/>
      <c r="I1861" s="67" t="n"/>
      <c r="J1861" s="67" t="n"/>
      <c r="K1861" s="67" t="n"/>
      <c r="L1861" s="67" t="n"/>
      <c r="M1861" s="64" t="n"/>
      <c r="N1861" s="66" t="n"/>
      <c r="O1861" s="84">
        <f>IF(A1861="","",IF(OR(C1861="",D1861=""),"Enter both dates",IF(D1861&lt;C1861,"To is before From",IF(COUNTIFS($P$5:$P$2004,P1861,$C$5:$C$2004,"&lt;="&amp;D1861,$D$5:$D$2004,"&gt;="&amp;C1861)&gt;1,"Overlaps another row","OK"))))</f>
        <v/>
      </c>
      <c r="P1861">
        <f>IF(A1861="","",A1861&amp;"|"&amp;IF(B1861="","Standard",B1861))</f>
        <v/>
      </c>
      <c r="Q1861">
        <f>IF(AND(A1861&lt;&gt;"",A1861='Firm Search'!$C$7),COUNTIF($A$5:A1861,'Firm Search'!$C$7),"")</f>
        <v/>
      </c>
    </row>
    <row r="1862">
      <c r="A1862" s="64" t="n"/>
      <c r="B1862" s="64" t="n"/>
      <c r="C1862" s="66" t="n"/>
      <c r="D1862" s="66" t="n"/>
      <c r="E1862" s="67" t="n"/>
      <c r="F1862" s="67" t="n"/>
      <c r="G1862" s="67" t="n"/>
      <c r="H1862" s="67" t="n"/>
      <c r="I1862" s="67" t="n"/>
      <c r="J1862" s="67" t="n"/>
      <c r="K1862" s="67" t="n"/>
      <c r="L1862" s="67" t="n"/>
      <c r="M1862" s="64" t="n"/>
      <c r="N1862" s="66" t="n"/>
      <c r="O1862" s="84">
        <f>IF(A1862="","",IF(OR(C1862="",D1862=""),"Enter both dates",IF(D1862&lt;C1862,"To is before From",IF(COUNTIFS($P$5:$P$2004,P1862,$C$5:$C$2004,"&lt;="&amp;D1862,$D$5:$D$2004,"&gt;="&amp;C1862)&gt;1,"Overlaps another row","OK"))))</f>
        <v/>
      </c>
      <c r="P1862">
        <f>IF(A1862="","",A1862&amp;"|"&amp;IF(B1862="","Standard",B1862))</f>
        <v/>
      </c>
      <c r="Q1862">
        <f>IF(AND(A1862&lt;&gt;"",A1862='Firm Search'!$C$7),COUNTIF($A$5:A1862,'Firm Search'!$C$7),"")</f>
        <v/>
      </c>
    </row>
    <row r="1863">
      <c r="A1863" s="64" t="n"/>
      <c r="B1863" s="64" t="n"/>
      <c r="C1863" s="66" t="n"/>
      <c r="D1863" s="66" t="n"/>
      <c r="E1863" s="67" t="n"/>
      <c r="F1863" s="67" t="n"/>
      <c r="G1863" s="67" t="n"/>
      <c r="H1863" s="67" t="n"/>
      <c r="I1863" s="67" t="n"/>
      <c r="J1863" s="67" t="n"/>
      <c r="K1863" s="67" t="n"/>
      <c r="L1863" s="67" t="n"/>
      <c r="M1863" s="64" t="n"/>
      <c r="N1863" s="66" t="n"/>
      <c r="O1863" s="84">
        <f>IF(A1863="","",IF(OR(C1863="",D1863=""),"Enter both dates",IF(D1863&lt;C1863,"To is before From",IF(COUNTIFS($P$5:$P$2004,P1863,$C$5:$C$2004,"&lt;="&amp;D1863,$D$5:$D$2004,"&gt;="&amp;C1863)&gt;1,"Overlaps another row","OK"))))</f>
        <v/>
      </c>
      <c r="P1863">
        <f>IF(A1863="","",A1863&amp;"|"&amp;IF(B1863="","Standard",B1863))</f>
        <v/>
      </c>
      <c r="Q1863">
        <f>IF(AND(A1863&lt;&gt;"",A1863='Firm Search'!$C$7),COUNTIF($A$5:A1863,'Firm Search'!$C$7),"")</f>
        <v/>
      </c>
    </row>
    <row r="1864">
      <c r="A1864" s="64" t="n"/>
      <c r="B1864" s="64" t="n"/>
      <c r="C1864" s="66" t="n"/>
      <c r="D1864" s="66" t="n"/>
      <c r="E1864" s="67" t="n"/>
      <c r="F1864" s="67" t="n"/>
      <c r="G1864" s="67" t="n"/>
      <c r="H1864" s="67" t="n"/>
      <c r="I1864" s="67" t="n"/>
      <c r="J1864" s="67" t="n"/>
      <c r="K1864" s="67" t="n"/>
      <c r="L1864" s="67" t="n"/>
      <c r="M1864" s="64" t="n"/>
      <c r="N1864" s="66" t="n"/>
      <c r="O1864" s="84">
        <f>IF(A1864="","",IF(OR(C1864="",D1864=""),"Enter both dates",IF(D1864&lt;C1864,"To is before From",IF(COUNTIFS($P$5:$P$2004,P1864,$C$5:$C$2004,"&lt;="&amp;D1864,$D$5:$D$2004,"&gt;="&amp;C1864)&gt;1,"Overlaps another row","OK"))))</f>
        <v/>
      </c>
      <c r="P1864">
        <f>IF(A1864="","",A1864&amp;"|"&amp;IF(B1864="","Standard",B1864))</f>
        <v/>
      </c>
      <c r="Q1864">
        <f>IF(AND(A1864&lt;&gt;"",A1864='Firm Search'!$C$7),COUNTIF($A$5:A1864,'Firm Search'!$C$7),"")</f>
        <v/>
      </c>
    </row>
    <row r="1865">
      <c r="A1865" s="64" t="n"/>
      <c r="B1865" s="64" t="n"/>
      <c r="C1865" s="66" t="n"/>
      <c r="D1865" s="66" t="n"/>
      <c r="E1865" s="67" t="n"/>
      <c r="F1865" s="67" t="n"/>
      <c r="G1865" s="67" t="n"/>
      <c r="H1865" s="67" t="n"/>
      <c r="I1865" s="67" t="n"/>
      <c r="J1865" s="67" t="n"/>
      <c r="K1865" s="67" t="n"/>
      <c r="L1865" s="67" t="n"/>
      <c r="M1865" s="64" t="n"/>
      <c r="N1865" s="66" t="n"/>
      <c r="O1865" s="84">
        <f>IF(A1865="","",IF(OR(C1865="",D1865=""),"Enter both dates",IF(D1865&lt;C1865,"To is before From",IF(COUNTIFS($P$5:$P$2004,P1865,$C$5:$C$2004,"&lt;="&amp;D1865,$D$5:$D$2004,"&gt;="&amp;C1865)&gt;1,"Overlaps another row","OK"))))</f>
        <v/>
      </c>
      <c r="P1865">
        <f>IF(A1865="","",A1865&amp;"|"&amp;IF(B1865="","Standard",B1865))</f>
        <v/>
      </c>
      <c r="Q1865">
        <f>IF(AND(A1865&lt;&gt;"",A1865='Firm Search'!$C$7),COUNTIF($A$5:A1865,'Firm Search'!$C$7),"")</f>
        <v/>
      </c>
    </row>
    <row r="1866">
      <c r="A1866" s="64" t="n"/>
      <c r="B1866" s="64" t="n"/>
      <c r="C1866" s="66" t="n"/>
      <c r="D1866" s="66" t="n"/>
      <c r="E1866" s="67" t="n"/>
      <c r="F1866" s="67" t="n"/>
      <c r="G1866" s="67" t="n"/>
      <c r="H1866" s="67" t="n"/>
      <c r="I1866" s="67" t="n"/>
      <c r="J1866" s="67" t="n"/>
      <c r="K1866" s="67" t="n"/>
      <c r="L1866" s="67" t="n"/>
      <c r="M1866" s="64" t="n"/>
      <c r="N1866" s="66" t="n"/>
      <c r="O1866" s="84">
        <f>IF(A1866="","",IF(OR(C1866="",D1866=""),"Enter both dates",IF(D1866&lt;C1866,"To is before From",IF(COUNTIFS($P$5:$P$2004,P1866,$C$5:$C$2004,"&lt;="&amp;D1866,$D$5:$D$2004,"&gt;="&amp;C1866)&gt;1,"Overlaps another row","OK"))))</f>
        <v/>
      </c>
      <c r="P1866">
        <f>IF(A1866="","",A1866&amp;"|"&amp;IF(B1866="","Standard",B1866))</f>
        <v/>
      </c>
      <c r="Q1866">
        <f>IF(AND(A1866&lt;&gt;"",A1866='Firm Search'!$C$7),COUNTIF($A$5:A1866,'Firm Search'!$C$7),"")</f>
        <v/>
      </c>
    </row>
    <row r="1867">
      <c r="A1867" s="64" t="n"/>
      <c r="B1867" s="64" t="n"/>
      <c r="C1867" s="66" t="n"/>
      <c r="D1867" s="66" t="n"/>
      <c r="E1867" s="67" t="n"/>
      <c r="F1867" s="67" t="n"/>
      <c r="G1867" s="67" t="n"/>
      <c r="H1867" s="67" t="n"/>
      <c r="I1867" s="67" t="n"/>
      <c r="J1867" s="67" t="n"/>
      <c r="K1867" s="67" t="n"/>
      <c r="L1867" s="67" t="n"/>
      <c r="M1867" s="64" t="n"/>
      <c r="N1867" s="66" t="n"/>
      <c r="O1867" s="84">
        <f>IF(A1867="","",IF(OR(C1867="",D1867=""),"Enter both dates",IF(D1867&lt;C1867,"To is before From",IF(COUNTIFS($P$5:$P$2004,P1867,$C$5:$C$2004,"&lt;="&amp;D1867,$D$5:$D$2004,"&gt;="&amp;C1867)&gt;1,"Overlaps another row","OK"))))</f>
        <v/>
      </c>
      <c r="P1867">
        <f>IF(A1867="","",A1867&amp;"|"&amp;IF(B1867="","Standard",B1867))</f>
        <v/>
      </c>
      <c r="Q1867">
        <f>IF(AND(A1867&lt;&gt;"",A1867='Firm Search'!$C$7),COUNTIF($A$5:A1867,'Firm Search'!$C$7),"")</f>
        <v/>
      </c>
    </row>
    <row r="1868">
      <c r="A1868" s="64" t="n"/>
      <c r="B1868" s="64" t="n"/>
      <c r="C1868" s="66" t="n"/>
      <c r="D1868" s="66" t="n"/>
      <c r="E1868" s="67" t="n"/>
      <c r="F1868" s="67" t="n"/>
      <c r="G1868" s="67" t="n"/>
      <c r="H1868" s="67" t="n"/>
      <c r="I1868" s="67" t="n"/>
      <c r="J1868" s="67" t="n"/>
      <c r="K1868" s="67" t="n"/>
      <c r="L1868" s="67" t="n"/>
      <c r="M1868" s="64" t="n"/>
      <c r="N1868" s="66" t="n"/>
      <c r="O1868" s="84">
        <f>IF(A1868="","",IF(OR(C1868="",D1868=""),"Enter both dates",IF(D1868&lt;C1868,"To is before From",IF(COUNTIFS($P$5:$P$2004,P1868,$C$5:$C$2004,"&lt;="&amp;D1868,$D$5:$D$2004,"&gt;="&amp;C1868)&gt;1,"Overlaps another row","OK"))))</f>
        <v/>
      </c>
      <c r="P1868">
        <f>IF(A1868="","",A1868&amp;"|"&amp;IF(B1868="","Standard",B1868))</f>
        <v/>
      </c>
      <c r="Q1868">
        <f>IF(AND(A1868&lt;&gt;"",A1868='Firm Search'!$C$7),COUNTIF($A$5:A1868,'Firm Search'!$C$7),"")</f>
        <v/>
      </c>
    </row>
    <row r="1869">
      <c r="A1869" s="64" t="n"/>
      <c r="B1869" s="64" t="n"/>
      <c r="C1869" s="66" t="n"/>
      <c r="D1869" s="66" t="n"/>
      <c r="E1869" s="67" t="n"/>
      <c r="F1869" s="67" t="n"/>
      <c r="G1869" s="67" t="n"/>
      <c r="H1869" s="67" t="n"/>
      <c r="I1869" s="67" t="n"/>
      <c r="J1869" s="67" t="n"/>
      <c r="K1869" s="67" t="n"/>
      <c r="L1869" s="67" t="n"/>
      <c r="M1869" s="64" t="n"/>
      <c r="N1869" s="66" t="n"/>
      <c r="O1869" s="84">
        <f>IF(A1869="","",IF(OR(C1869="",D1869=""),"Enter both dates",IF(D1869&lt;C1869,"To is before From",IF(COUNTIFS($P$5:$P$2004,P1869,$C$5:$C$2004,"&lt;="&amp;D1869,$D$5:$D$2004,"&gt;="&amp;C1869)&gt;1,"Overlaps another row","OK"))))</f>
        <v/>
      </c>
      <c r="P1869">
        <f>IF(A1869="","",A1869&amp;"|"&amp;IF(B1869="","Standard",B1869))</f>
        <v/>
      </c>
      <c r="Q1869">
        <f>IF(AND(A1869&lt;&gt;"",A1869='Firm Search'!$C$7),COUNTIF($A$5:A1869,'Firm Search'!$C$7),"")</f>
        <v/>
      </c>
    </row>
    <row r="1870">
      <c r="A1870" s="64" t="n"/>
      <c r="B1870" s="64" t="n"/>
      <c r="C1870" s="66" t="n"/>
      <c r="D1870" s="66" t="n"/>
      <c r="E1870" s="67" t="n"/>
      <c r="F1870" s="67" t="n"/>
      <c r="G1870" s="67" t="n"/>
      <c r="H1870" s="67" t="n"/>
      <c r="I1870" s="67" t="n"/>
      <c r="J1870" s="67" t="n"/>
      <c r="K1870" s="67" t="n"/>
      <c r="L1870" s="67" t="n"/>
      <c r="M1870" s="64" t="n"/>
      <c r="N1870" s="66" t="n"/>
      <c r="O1870" s="84">
        <f>IF(A1870="","",IF(OR(C1870="",D1870=""),"Enter both dates",IF(D1870&lt;C1870,"To is before From",IF(COUNTIFS($P$5:$P$2004,P1870,$C$5:$C$2004,"&lt;="&amp;D1870,$D$5:$D$2004,"&gt;="&amp;C1870)&gt;1,"Overlaps another row","OK"))))</f>
        <v/>
      </c>
      <c r="P1870">
        <f>IF(A1870="","",A1870&amp;"|"&amp;IF(B1870="","Standard",B1870))</f>
        <v/>
      </c>
      <c r="Q1870">
        <f>IF(AND(A1870&lt;&gt;"",A1870='Firm Search'!$C$7),COUNTIF($A$5:A1870,'Firm Search'!$C$7),"")</f>
        <v/>
      </c>
    </row>
    <row r="1871">
      <c r="A1871" s="64" t="n"/>
      <c r="B1871" s="64" t="n"/>
      <c r="C1871" s="66" t="n"/>
      <c r="D1871" s="66" t="n"/>
      <c r="E1871" s="67" t="n"/>
      <c r="F1871" s="67" t="n"/>
      <c r="G1871" s="67" t="n"/>
      <c r="H1871" s="67" t="n"/>
      <c r="I1871" s="67" t="n"/>
      <c r="J1871" s="67" t="n"/>
      <c r="K1871" s="67" t="n"/>
      <c r="L1871" s="67" t="n"/>
      <c r="M1871" s="64" t="n"/>
      <c r="N1871" s="66" t="n"/>
      <c r="O1871" s="84">
        <f>IF(A1871="","",IF(OR(C1871="",D1871=""),"Enter both dates",IF(D1871&lt;C1871,"To is before From",IF(COUNTIFS($P$5:$P$2004,P1871,$C$5:$C$2004,"&lt;="&amp;D1871,$D$5:$D$2004,"&gt;="&amp;C1871)&gt;1,"Overlaps another row","OK"))))</f>
        <v/>
      </c>
      <c r="P1871">
        <f>IF(A1871="","",A1871&amp;"|"&amp;IF(B1871="","Standard",B1871))</f>
        <v/>
      </c>
      <c r="Q1871">
        <f>IF(AND(A1871&lt;&gt;"",A1871='Firm Search'!$C$7),COUNTIF($A$5:A1871,'Firm Search'!$C$7),"")</f>
        <v/>
      </c>
    </row>
    <row r="1872">
      <c r="A1872" s="64" t="n"/>
      <c r="B1872" s="64" t="n"/>
      <c r="C1872" s="66" t="n"/>
      <c r="D1872" s="66" t="n"/>
      <c r="E1872" s="67" t="n"/>
      <c r="F1872" s="67" t="n"/>
      <c r="G1872" s="67" t="n"/>
      <c r="H1872" s="67" t="n"/>
      <c r="I1872" s="67" t="n"/>
      <c r="J1872" s="67" t="n"/>
      <c r="K1872" s="67" t="n"/>
      <c r="L1872" s="67" t="n"/>
      <c r="M1872" s="64" t="n"/>
      <c r="N1872" s="66" t="n"/>
      <c r="O1872" s="84">
        <f>IF(A1872="","",IF(OR(C1872="",D1872=""),"Enter both dates",IF(D1872&lt;C1872,"To is before From",IF(COUNTIFS($P$5:$P$2004,P1872,$C$5:$C$2004,"&lt;="&amp;D1872,$D$5:$D$2004,"&gt;="&amp;C1872)&gt;1,"Overlaps another row","OK"))))</f>
        <v/>
      </c>
      <c r="P1872">
        <f>IF(A1872="","",A1872&amp;"|"&amp;IF(B1872="","Standard",B1872))</f>
        <v/>
      </c>
      <c r="Q1872">
        <f>IF(AND(A1872&lt;&gt;"",A1872='Firm Search'!$C$7),COUNTIF($A$5:A1872,'Firm Search'!$C$7),"")</f>
        <v/>
      </c>
    </row>
    <row r="1873">
      <c r="A1873" s="64" t="n"/>
      <c r="B1873" s="64" t="n"/>
      <c r="C1873" s="66" t="n"/>
      <c r="D1873" s="66" t="n"/>
      <c r="E1873" s="67" t="n"/>
      <c r="F1873" s="67" t="n"/>
      <c r="G1873" s="67" t="n"/>
      <c r="H1873" s="67" t="n"/>
      <c r="I1873" s="67" t="n"/>
      <c r="J1873" s="67" t="n"/>
      <c r="K1873" s="67" t="n"/>
      <c r="L1873" s="67" t="n"/>
      <c r="M1873" s="64" t="n"/>
      <c r="N1873" s="66" t="n"/>
      <c r="O1873" s="84">
        <f>IF(A1873="","",IF(OR(C1873="",D1873=""),"Enter both dates",IF(D1873&lt;C1873,"To is before From",IF(COUNTIFS($P$5:$P$2004,P1873,$C$5:$C$2004,"&lt;="&amp;D1873,$D$5:$D$2004,"&gt;="&amp;C1873)&gt;1,"Overlaps another row","OK"))))</f>
        <v/>
      </c>
      <c r="P1873">
        <f>IF(A1873="","",A1873&amp;"|"&amp;IF(B1873="","Standard",B1873))</f>
        <v/>
      </c>
      <c r="Q1873">
        <f>IF(AND(A1873&lt;&gt;"",A1873='Firm Search'!$C$7),COUNTIF($A$5:A1873,'Firm Search'!$C$7),"")</f>
        <v/>
      </c>
    </row>
    <row r="1874">
      <c r="A1874" s="64" t="n"/>
      <c r="B1874" s="64" t="n"/>
      <c r="C1874" s="66" t="n"/>
      <c r="D1874" s="66" t="n"/>
      <c r="E1874" s="67" t="n"/>
      <c r="F1874" s="67" t="n"/>
      <c r="G1874" s="67" t="n"/>
      <c r="H1874" s="67" t="n"/>
      <c r="I1874" s="67" t="n"/>
      <c r="J1874" s="67" t="n"/>
      <c r="K1874" s="67" t="n"/>
      <c r="L1874" s="67" t="n"/>
      <c r="M1874" s="64" t="n"/>
      <c r="N1874" s="66" t="n"/>
      <c r="O1874" s="84">
        <f>IF(A1874="","",IF(OR(C1874="",D1874=""),"Enter both dates",IF(D1874&lt;C1874,"To is before From",IF(COUNTIFS($P$5:$P$2004,P1874,$C$5:$C$2004,"&lt;="&amp;D1874,$D$5:$D$2004,"&gt;="&amp;C1874)&gt;1,"Overlaps another row","OK"))))</f>
        <v/>
      </c>
      <c r="P1874">
        <f>IF(A1874="","",A1874&amp;"|"&amp;IF(B1874="","Standard",B1874))</f>
        <v/>
      </c>
      <c r="Q1874">
        <f>IF(AND(A1874&lt;&gt;"",A1874='Firm Search'!$C$7),COUNTIF($A$5:A1874,'Firm Search'!$C$7),"")</f>
        <v/>
      </c>
    </row>
    <row r="1875">
      <c r="A1875" s="64" t="n"/>
      <c r="B1875" s="64" t="n"/>
      <c r="C1875" s="66" t="n"/>
      <c r="D1875" s="66" t="n"/>
      <c r="E1875" s="67" t="n"/>
      <c r="F1875" s="67" t="n"/>
      <c r="G1875" s="67" t="n"/>
      <c r="H1875" s="67" t="n"/>
      <c r="I1875" s="67" t="n"/>
      <c r="J1875" s="67" t="n"/>
      <c r="K1875" s="67" t="n"/>
      <c r="L1875" s="67" t="n"/>
      <c r="M1875" s="64" t="n"/>
      <c r="N1875" s="66" t="n"/>
      <c r="O1875" s="84">
        <f>IF(A1875="","",IF(OR(C1875="",D1875=""),"Enter both dates",IF(D1875&lt;C1875,"To is before From",IF(COUNTIFS($P$5:$P$2004,P1875,$C$5:$C$2004,"&lt;="&amp;D1875,$D$5:$D$2004,"&gt;="&amp;C1875)&gt;1,"Overlaps another row","OK"))))</f>
        <v/>
      </c>
      <c r="P1875">
        <f>IF(A1875="","",A1875&amp;"|"&amp;IF(B1875="","Standard",B1875))</f>
        <v/>
      </c>
      <c r="Q1875">
        <f>IF(AND(A1875&lt;&gt;"",A1875='Firm Search'!$C$7),COUNTIF($A$5:A1875,'Firm Search'!$C$7),"")</f>
        <v/>
      </c>
    </row>
    <row r="1876">
      <c r="A1876" s="64" t="n"/>
      <c r="B1876" s="64" t="n"/>
      <c r="C1876" s="66" t="n"/>
      <c r="D1876" s="66" t="n"/>
      <c r="E1876" s="67" t="n"/>
      <c r="F1876" s="67" t="n"/>
      <c r="G1876" s="67" t="n"/>
      <c r="H1876" s="67" t="n"/>
      <c r="I1876" s="67" t="n"/>
      <c r="J1876" s="67" t="n"/>
      <c r="K1876" s="67" t="n"/>
      <c r="L1876" s="67" t="n"/>
      <c r="M1876" s="64" t="n"/>
      <c r="N1876" s="66" t="n"/>
      <c r="O1876" s="84">
        <f>IF(A1876="","",IF(OR(C1876="",D1876=""),"Enter both dates",IF(D1876&lt;C1876,"To is before From",IF(COUNTIFS($P$5:$P$2004,P1876,$C$5:$C$2004,"&lt;="&amp;D1876,$D$5:$D$2004,"&gt;="&amp;C1876)&gt;1,"Overlaps another row","OK"))))</f>
        <v/>
      </c>
      <c r="P1876">
        <f>IF(A1876="","",A1876&amp;"|"&amp;IF(B1876="","Standard",B1876))</f>
        <v/>
      </c>
      <c r="Q1876">
        <f>IF(AND(A1876&lt;&gt;"",A1876='Firm Search'!$C$7),COUNTIF($A$5:A1876,'Firm Search'!$C$7),"")</f>
        <v/>
      </c>
    </row>
    <row r="1877">
      <c r="A1877" s="64" t="n"/>
      <c r="B1877" s="64" t="n"/>
      <c r="C1877" s="66" t="n"/>
      <c r="D1877" s="66" t="n"/>
      <c r="E1877" s="67" t="n"/>
      <c r="F1877" s="67" t="n"/>
      <c r="G1877" s="67" t="n"/>
      <c r="H1877" s="67" t="n"/>
      <c r="I1877" s="67" t="n"/>
      <c r="J1877" s="67" t="n"/>
      <c r="K1877" s="67" t="n"/>
      <c r="L1877" s="67" t="n"/>
      <c r="M1877" s="64" t="n"/>
      <c r="N1877" s="66" t="n"/>
      <c r="O1877" s="84">
        <f>IF(A1877="","",IF(OR(C1877="",D1877=""),"Enter both dates",IF(D1877&lt;C1877,"To is before From",IF(COUNTIFS($P$5:$P$2004,P1877,$C$5:$C$2004,"&lt;="&amp;D1877,$D$5:$D$2004,"&gt;="&amp;C1877)&gt;1,"Overlaps another row","OK"))))</f>
        <v/>
      </c>
      <c r="P1877">
        <f>IF(A1877="","",A1877&amp;"|"&amp;IF(B1877="","Standard",B1877))</f>
        <v/>
      </c>
      <c r="Q1877">
        <f>IF(AND(A1877&lt;&gt;"",A1877='Firm Search'!$C$7),COUNTIF($A$5:A1877,'Firm Search'!$C$7),"")</f>
        <v/>
      </c>
    </row>
    <row r="1878">
      <c r="A1878" s="64" t="n"/>
      <c r="B1878" s="64" t="n"/>
      <c r="C1878" s="66" t="n"/>
      <c r="D1878" s="66" t="n"/>
      <c r="E1878" s="67" t="n"/>
      <c r="F1878" s="67" t="n"/>
      <c r="G1878" s="67" t="n"/>
      <c r="H1878" s="67" t="n"/>
      <c r="I1878" s="67" t="n"/>
      <c r="J1878" s="67" t="n"/>
      <c r="K1878" s="67" t="n"/>
      <c r="L1878" s="67" t="n"/>
      <c r="M1878" s="64" t="n"/>
      <c r="N1878" s="66" t="n"/>
      <c r="O1878" s="84">
        <f>IF(A1878="","",IF(OR(C1878="",D1878=""),"Enter both dates",IF(D1878&lt;C1878,"To is before From",IF(COUNTIFS($P$5:$P$2004,P1878,$C$5:$C$2004,"&lt;="&amp;D1878,$D$5:$D$2004,"&gt;="&amp;C1878)&gt;1,"Overlaps another row","OK"))))</f>
        <v/>
      </c>
      <c r="P1878">
        <f>IF(A1878="","",A1878&amp;"|"&amp;IF(B1878="","Standard",B1878))</f>
        <v/>
      </c>
      <c r="Q1878">
        <f>IF(AND(A1878&lt;&gt;"",A1878='Firm Search'!$C$7),COUNTIF($A$5:A1878,'Firm Search'!$C$7),"")</f>
        <v/>
      </c>
    </row>
    <row r="1879">
      <c r="A1879" s="64" t="n"/>
      <c r="B1879" s="64" t="n"/>
      <c r="C1879" s="66" t="n"/>
      <c r="D1879" s="66" t="n"/>
      <c r="E1879" s="67" t="n"/>
      <c r="F1879" s="67" t="n"/>
      <c r="G1879" s="67" t="n"/>
      <c r="H1879" s="67" t="n"/>
      <c r="I1879" s="67" t="n"/>
      <c r="J1879" s="67" t="n"/>
      <c r="K1879" s="67" t="n"/>
      <c r="L1879" s="67" t="n"/>
      <c r="M1879" s="64" t="n"/>
      <c r="N1879" s="66" t="n"/>
      <c r="O1879" s="84">
        <f>IF(A1879="","",IF(OR(C1879="",D1879=""),"Enter both dates",IF(D1879&lt;C1879,"To is before From",IF(COUNTIFS($P$5:$P$2004,P1879,$C$5:$C$2004,"&lt;="&amp;D1879,$D$5:$D$2004,"&gt;="&amp;C1879)&gt;1,"Overlaps another row","OK"))))</f>
        <v/>
      </c>
      <c r="P1879">
        <f>IF(A1879="","",A1879&amp;"|"&amp;IF(B1879="","Standard",B1879))</f>
        <v/>
      </c>
      <c r="Q1879">
        <f>IF(AND(A1879&lt;&gt;"",A1879='Firm Search'!$C$7),COUNTIF($A$5:A1879,'Firm Search'!$C$7),"")</f>
        <v/>
      </c>
    </row>
    <row r="1880">
      <c r="A1880" s="64" t="n"/>
      <c r="B1880" s="64" t="n"/>
      <c r="C1880" s="66" t="n"/>
      <c r="D1880" s="66" t="n"/>
      <c r="E1880" s="67" t="n"/>
      <c r="F1880" s="67" t="n"/>
      <c r="G1880" s="67" t="n"/>
      <c r="H1880" s="67" t="n"/>
      <c r="I1880" s="67" t="n"/>
      <c r="J1880" s="67" t="n"/>
      <c r="K1880" s="67" t="n"/>
      <c r="L1880" s="67" t="n"/>
      <c r="M1880" s="64" t="n"/>
      <c r="N1880" s="66" t="n"/>
      <c r="O1880" s="84">
        <f>IF(A1880="","",IF(OR(C1880="",D1880=""),"Enter both dates",IF(D1880&lt;C1880,"To is before From",IF(COUNTIFS($P$5:$P$2004,P1880,$C$5:$C$2004,"&lt;="&amp;D1880,$D$5:$D$2004,"&gt;="&amp;C1880)&gt;1,"Overlaps another row","OK"))))</f>
        <v/>
      </c>
      <c r="P1880">
        <f>IF(A1880="","",A1880&amp;"|"&amp;IF(B1880="","Standard",B1880))</f>
        <v/>
      </c>
      <c r="Q1880">
        <f>IF(AND(A1880&lt;&gt;"",A1880='Firm Search'!$C$7),COUNTIF($A$5:A1880,'Firm Search'!$C$7),"")</f>
        <v/>
      </c>
    </row>
    <row r="1881">
      <c r="A1881" s="64" t="n"/>
      <c r="B1881" s="64" t="n"/>
      <c r="C1881" s="66" t="n"/>
      <c r="D1881" s="66" t="n"/>
      <c r="E1881" s="67" t="n"/>
      <c r="F1881" s="67" t="n"/>
      <c r="G1881" s="67" t="n"/>
      <c r="H1881" s="67" t="n"/>
      <c r="I1881" s="67" t="n"/>
      <c r="J1881" s="67" t="n"/>
      <c r="K1881" s="67" t="n"/>
      <c r="L1881" s="67" t="n"/>
      <c r="M1881" s="64" t="n"/>
      <c r="N1881" s="66" t="n"/>
      <c r="O1881" s="84">
        <f>IF(A1881="","",IF(OR(C1881="",D1881=""),"Enter both dates",IF(D1881&lt;C1881,"To is before From",IF(COUNTIFS($P$5:$P$2004,P1881,$C$5:$C$2004,"&lt;="&amp;D1881,$D$5:$D$2004,"&gt;="&amp;C1881)&gt;1,"Overlaps another row","OK"))))</f>
        <v/>
      </c>
      <c r="P1881">
        <f>IF(A1881="","",A1881&amp;"|"&amp;IF(B1881="","Standard",B1881))</f>
        <v/>
      </c>
      <c r="Q1881">
        <f>IF(AND(A1881&lt;&gt;"",A1881='Firm Search'!$C$7),COUNTIF($A$5:A1881,'Firm Search'!$C$7),"")</f>
        <v/>
      </c>
    </row>
    <row r="1882">
      <c r="A1882" s="64" t="n"/>
      <c r="B1882" s="64" t="n"/>
      <c r="C1882" s="66" t="n"/>
      <c r="D1882" s="66" t="n"/>
      <c r="E1882" s="67" t="n"/>
      <c r="F1882" s="67" t="n"/>
      <c r="G1882" s="67" t="n"/>
      <c r="H1882" s="67" t="n"/>
      <c r="I1882" s="67" t="n"/>
      <c r="J1882" s="67" t="n"/>
      <c r="K1882" s="67" t="n"/>
      <c r="L1882" s="67" t="n"/>
      <c r="M1882" s="64" t="n"/>
      <c r="N1882" s="66" t="n"/>
      <c r="O1882" s="84">
        <f>IF(A1882="","",IF(OR(C1882="",D1882=""),"Enter both dates",IF(D1882&lt;C1882,"To is before From",IF(COUNTIFS($P$5:$P$2004,P1882,$C$5:$C$2004,"&lt;="&amp;D1882,$D$5:$D$2004,"&gt;="&amp;C1882)&gt;1,"Overlaps another row","OK"))))</f>
        <v/>
      </c>
      <c r="P1882">
        <f>IF(A1882="","",A1882&amp;"|"&amp;IF(B1882="","Standard",B1882))</f>
        <v/>
      </c>
      <c r="Q1882">
        <f>IF(AND(A1882&lt;&gt;"",A1882='Firm Search'!$C$7),COUNTIF($A$5:A1882,'Firm Search'!$C$7),"")</f>
        <v/>
      </c>
    </row>
    <row r="1883">
      <c r="A1883" s="64" t="n"/>
      <c r="B1883" s="64" t="n"/>
      <c r="C1883" s="66" t="n"/>
      <c r="D1883" s="66" t="n"/>
      <c r="E1883" s="67" t="n"/>
      <c r="F1883" s="67" t="n"/>
      <c r="G1883" s="67" t="n"/>
      <c r="H1883" s="67" t="n"/>
      <c r="I1883" s="67" t="n"/>
      <c r="J1883" s="67" t="n"/>
      <c r="K1883" s="67" t="n"/>
      <c r="L1883" s="67" t="n"/>
      <c r="M1883" s="64" t="n"/>
      <c r="N1883" s="66" t="n"/>
      <c r="O1883" s="84">
        <f>IF(A1883="","",IF(OR(C1883="",D1883=""),"Enter both dates",IF(D1883&lt;C1883,"To is before From",IF(COUNTIFS($P$5:$P$2004,P1883,$C$5:$C$2004,"&lt;="&amp;D1883,$D$5:$D$2004,"&gt;="&amp;C1883)&gt;1,"Overlaps another row","OK"))))</f>
        <v/>
      </c>
      <c r="P1883">
        <f>IF(A1883="","",A1883&amp;"|"&amp;IF(B1883="","Standard",B1883))</f>
        <v/>
      </c>
      <c r="Q1883">
        <f>IF(AND(A1883&lt;&gt;"",A1883='Firm Search'!$C$7),COUNTIF($A$5:A1883,'Firm Search'!$C$7),"")</f>
        <v/>
      </c>
    </row>
    <row r="1884">
      <c r="A1884" s="64" t="n"/>
      <c r="B1884" s="64" t="n"/>
      <c r="C1884" s="66" t="n"/>
      <c r="D1884" s="66" t="n"/>
      <c r="E1884" s="67" t="n"/>
      <c r="F1884" s="67" t="n"/>
      <c r="G1884" s="67" t="n"/>
      <c r="H1884" s="67" t="n"/>
      <c r="I1884" s="67" t="n"/>
      <c r="J1884" s="67" t="n"/>
      <c r="K1884" s="67" t="n"/>
      <c r="L1884" s="67" t="n"/>
      <c r="M1884" s="64" t="n"/>
      <c r="N1884" s="66" t="n"/>
      <c r="O1884" s="84">
        <f>IF(A1884="","",IF(OR(C1884="",D1884=""),"Enter both dates",IF(D1884&lt;C1884,"To is before From",IF(COUNTIFS($P$5:$P$2004,P1884,$C$5:$C$2004,"&lt;="&amp;D1884,$D$5:$D$2004,"&gt;="&amp;C1884)&gt;1,"Overlaps another row","OK"))))</f>
        <v/>
      </c>
      <c r="P1884">
        <f>IF(A1884="","",A1884&amp;"|"&amp;IF(B1884="","Standard",B1884))</f>
        <v/>
      </c>
      <c r="Q1884">
        <f>IF(AND(A1884&lt;&gt;"",A1884='Firm Search'!$C$7),COUNTIF($A$5:A1884,'Firm Search'!$C$7),"")</f>
        <v/>
      </c>
    </row>
    <row r="1885">
      <c r="A1885" s="64" t="n"/>
      <c r="B1885" s="64" t="n"/>
      <c r="C1885" s="66" t="n"/>
      <c r="D1885" s="66" t="n"/>
      <c r="E1885" s="67" t="n"/>
      <c r="F1885" s="67" t="n"/>
      <c r="G1885" s="67" t="n"/>
      <c r="H1885" s="67" t="n"/>
      <c r="I1885" s="67" t="n"/>
      <c r="J1885" s="67" t="n"/>
      <c r="K1885" s="67" t="n"/>
      <c r="L1885" s="67" t="n"/>
      <c r="M1885" s="64" t="n"/>
      <c r="N1885" s="66" t="n"/>
      <c r="O1885" s="84">
        <f>IF(A1885="","",IF(OR(C1885="",D1885=""),"Enter both dates",IF(D1885&lt;C1885,"To is before From",IF(COUNTIFS($P$5:$P$2004,P1885,$C$5:$C$2004,"&lt;="&amp;D1885,$D$5:$D$2004,"&gt;="&amp;C1885)&gt;1,"Overlaps another row","OK"))))</f>
        <v/>
      </c>
      <c r="P1885">
        <f>IF(A1885="","",A1885&amp;"|"&amp;IF(B1885="","Standard",B1885))</f>
        <v/>
      </c>
      <c r="Q1885">
        <f>IF(AND(A1885&lt;&gt;"",A1885='Firm Search'!$C$7),COUNTIF($A$5:A1885,'Firm Search'!$C$7),"")</f>
        <v/>
      </c>
    </row>
    <row r="1886">
      <c r="A1886" s="64" t="n"/>
      <c r="B1886" s="64" t="n"/>
      <c r="C1886" s="66" t="n"/>
      <c r="D1886" s="66" t="n"/>
      <c r="E1886" s="67" t="n"/>
      <c r="F1886" s="67" t="n"/>
      <c r="G1886" s="67" t="n"/>
      <c r="H1886" s="67" t="n"/>
      <c r="I1886" s="67" t="n"/>
      <c r="J1886" s="67" t="n"/>
      <c r="K1886" s="67" t="n"/>
      <c r="L1886" s="67" t="n"/>
      <c r="M1886" s="64" t="n"/>
      <c r="N1886" s="66" t="n"/>
      <c r="O1886" s="84">
        <f>IF(A1886="","",IF(OR(C1886="",D1886=""),"Enter both dates",IF(D1886&lt;C1886,"To is before From",IF(COUNTIFS($P$5:$P$2004,P1886,$C$5:$C$2004,"&lt;="&amp;D1886,$D$5:$D$2004,"&gt;="&amp;C1886)&gt;1,"Overlaps another row","OK"))))</f>
        <v/>
      </c>
      <c r="P1886">
        <f>IF(A1886="","",A1886&amp;"|"&amp;IF(B1886="","Standard",B1886))</f>
        <v/>
      </c>
      <c r="Q1886">
        <f>IF(AND(A1886&lt;&gt;"",A1886='Firm Search'!$C$7),COUNTIF($A$5:A1886,'Firm Search'!$C$7),"")</f>
        <v/>
      </c>
    </row>
    <row r="1887">
      <c r="A1887" s="64" t="n"/>
      <c r="B1887" s="64" t="n"/>
      <c r="C1887" s="66" t="n"/>
      <c r="D1887" s="66" t="n"/>
      <c r="E1887" s="67" t="n"/>
      <c r="F1887" s="67" t="n"/>
      <c r="G1887" s="67" t="n"/>
      <c r="H1887" s="67" t="n"/>
      <c r="I1887" s="67" t="n"/>
      <c r="J1887" s="67" t="n"/>
      <c r="K1887" s="67" t="n"/>
      <c r="L1887" s="67" t="n"/>
      <c r="M1887" s="64" t="n"/>
      <c r="N1887" s="66" t="n"/>
      <c r="O1887" s="84">
        <f>IF(A1887="","",IF(OR(C1887="",D1887=""),"Enter both dates",IF(D1887&lt;C1887,"To is before From",IF(COUNTIFS($P$5:$P$2004,P1887,$C$5:$C$2004,"&lt;="&amp;D1887,$D$5:$D$2004,"&gt;="&amp;C1887)&gt;1,"Overlaps another row","OK"))))</f>
        <v/>
      </c>
      <c r="P1887">
        <f>IF(A1887="","",A1887&amp;"|"&amp;IF(B1887="","Standard",B1887))</f>
        <v/>
      </c>
      <c r="Q1887">
        <f>IF(AND(A1887&lt;&gt;"",A1887='Firm Search'!$C$7),COUNTIF($A$5:A1887,'Firm Search'!$C$7),"")</f>
        <v/>
      </c>
    </row>
    <row r="1888">
      <c r="A1888" s="64" t="n"/>
      <c r="B1888" s="64" t="n"/>
      <c r="C1888" s="66" t="n"/>
      <c r="D1888" s="66" t="n"/>
      <c r="E1888" s="67" t="n"/>
      <c r="F1888" s="67" t="n"/>
      <c r="G1888" s="67" t="n"/>
      <c r="H1888" s="67" t="n"/>
      <c r="I1888" s="67" t="n"/>
      <c r="J1888" s="67" t="n"/>
      <c r="K1888" s="67" t="n"/>
      <c r="L1888" s="67" t="n"/>
      <c r="M1888" s="64" t="n"/>
      <c r="N1888" s="66" t="n"/>
      <c r="O1888" s="84">
        <f>IF(A1888="","",IF(OR(C1888="",D1888=""),"Enter both dates",IF(D1888&lt;C1888,"To is before From",IF(COUNTIFS($P$5:$P$2004,P1888,$C$5:$C$2004,"&lt;="&amp;D1888,$D$5:$D$2004,"&gt;="&amp;C1888)&gt;1,"Overlaps another row","OK"))))</f>
        <v/>
      </c>
      <c r="P1888">
        <f>IF(A1888="","",A1888&amp;"|"&amp;IF(B1888="","Standard",B1888))</f>
        <v/>
      </c>
      <c r="Q1888">
        <f>IF(AND(A1888&lt;&gt;"",A1888='Firm Search'!$C$7),COUNTIF($A$5:A1888,'Firm Search'!$C$7),"")</f>
        <v/>
      </c>
    </row>
    <row r="1889">
      <c r="A1889" s="64" t="n"/>
      <c r="B1889" s="64" t="n"/>
      <c r="C1889" s="66" t="n"/>
      <c r="D1889" s="66" t="n"/>
      <c r="E1889" s="67" t="n"/>
      <c r="F1889" s="67" t="n"/>
      <c r="G1889" s="67" t="n"/>
      <c r="H1889" s="67" t="n"/>
      <c r="I1889" s="67" t="n"/>
      <c r="J1889" s="67" t="n"/>
      <c r="K1889" s="67" t="n"/>
      <c r="L1889" s="67" t="n"/>
      <c r="M1889" s="64" t="n"/>
      <c r="N1889" s="66" t="n"/>
      <c r="O1889" s="84">
        <f>IF(A1889="","",IF(OR(C1889="",D1889=""),"Enter both dates",IF(D1889&lt;C1889,"To is before From",IF(COUNTIFS($P$5:$P$2004,P1889,$C$5:$C$2004,"&lt;="&amp;D1889,$D$5:$D$2004,"&gt;="&amp;C1889)&gt;1,"Overlaps another row","OK"))))</f>
        <v/>
      </c>
      <c r="P1889">
        <f>IF(A1889="","",A1889&amp;"|"&amp;IF(B1889="","Standard",B1889))</f>
        <v/>
      </c>
      <c r="Q1889">
        <f>IF(AND(A1889&lt;&gt;"",A1889='Firm Search'!$C$7),COUNTIF($A$5:A1889,'Firm Search'!$C$7),"")</f>
        <v/>
      </c>
    </row>
    <row r="1890">
      <c r="A1890" s="64" t="n"/>
      <c r="B1890" s="64" t="n"/>
      <c r="C1890" s="66" t="n"/>
      <c r="D1890" s="66" t="n"/>
      <c r="E1890" s="67" t="n"/>
      <c r="F1890" s="67" t="n"/>
      <c r="G1890" s="67" t="n"/>
      <c r="H1890" s="67" t="n"/>
      <c r="I1890" s="67" t="n"/>
      <c r="J1890" s="67" t="n"/>
      <c r="K1890" s="67" t="n"/>
      <c r="L1890" s="67" t="n"/>
      <c r="M1890" s="64" t="n"/>
      <c r="N1890" s="66" t="n"/>
      <c r="O1890" s="84">
        <f>IF(A1890="","",IF(OR(C1890="",D1890=""),"Enter both dates",IF(D1890&lt;C1890,"To is before From",IF(COUNTIFS($P$5:$P$2004,P1890,$C$5:$C$2004,"&lt;="&amp;D1890,$D$5:$D$2004,"&gt;="&amp;C1890)&gt;1,"Overlaps another row","OK"))))</f>
        <v/>
      </c>
      <c r="P1890">
        <f>IF(A1890="","",A1890&amp;"|"&amp;IF(B1890="","Standard",B1890))</f>
        <v/>
      </c>
      <c r="Q1890">
        <f>IF(AND(A1890&lt;&gt;"",A1890='Firm Search'!$C$7),COUNTIF($A$5:A1890,'Firm Search'!$C$7),"")</f>
        <v/>
      </c>
    </row>
    <row r="1891">
      <c r="A1891" s="64" t="n"/>
      <c r="B1891" s="64" t="n"/>
      <c r="C1891" s="66" t="n"/>
      <c r="D1891" s="66" t="n"/>
      <c r="E1891" s="67" t="n"/>
      <c r="F1891" s="67" t="n"/>
      <c r="G1891" s="67" t="n"/>
      <c r="H1891" s="67" t="n"/>
      <c r="I1891" s="67" t="n"/>
      <c r="J1891" s="67" t="n"/>
      <c r="K1891" s="67" t="n"/>
      <c r="L1891" s="67" t="n"/>
      <c r="M1891" s="64" t="n"/>
      <c r="N1891" s="66" t="n"/>
      <c r="O1891" s="84">
        <f>IF(A1891="","",IF(OR(C1891="",D1891=""),"Enter both dates",IF(D1891&lt;C1891,"To is before From",IF(COUNTIFS($P$5:$P$2004,P1891,$C$5:$C$2004,"&lt;="&amp;D1891,$D$5:$D$2004,"&gt;="&amp;C1891)&gt;1,"Overlaps another row","OK"))))</f>
        <v/>
      </c>
      <c r="P1891">
        <f>IF(A1891="","",A1891&amp;"|"&amp;IF(B1891="","Standard",B1891))</f>
        <v/>
      </c>
      <c r="Q1891">
        <f>IF(AND(A1891&lt;&gt;"",A1891='Firm Search'!$C$7),COUNTIF($A$5:A1891,'Firm Search'!$C$7),"")</f>
        <v/>
      </c>
    </row>
    <row r="1892">
      <c r="A1892" s="64" t="n"/>
      <c r="B1892" s="64" t="n"/>
      <c r="C1892" s="66" t="n"/>
      <c r="D1892" s="66" t="n"/>
      <c r="E1892" s="67" t="n"/>
      <c r="F1892" s="67" t="n"/>
      <c r="G1892" s="67" t="n"/>
      <c r="H1892" s="67" t="n"/>
      <c r="I1892" s="67" t="n"/>
      <c r="J1892" s="67" t="n"/>
      <c r="K1892" s="67" t="n"/>
      <c r="L1892" s="67" t="n"/>
      <c r="M1892" s="64" t="n"/>
      <c r="N1892" s="66" t="n"/>
      <c r="O1892" s="84">
        <f>IF(A1892="","",IF(OR(C1892="",D1892=""),"Enter both dates",IF(D1892&lt;C1892,"To is before From",IF(COUNTIFS($P$5:$P$2004,P1892,$C$5:$C$2004,"&lt;="&amp;D1892,$D$5:$D$2004,"&gt;="&amp;C1892)&gt;1,"Overlaps another row","OK"))))</f>
        <v/>
      </c>
      <c r="P1892">
        <f>IF(A1892="","",A1892&amp;"|"&amp;IF(B1892="","Standard",B1892))</f>
        <v/>
      </c>
      <c r="Q1892">
        <f>IF(AND(A1892&lt;&gt;"",A1892='Firm Search'!$C$7),COUNTIF($A$5:A1892,'Firm Search'!$C$7),"")</f>
        <v/>
      </c>
    </row>
    <row r="1893">
      <c r="A1893" s="64" t="n"/>
      <c r="B1893" s="64" t="n"/>
      <c r="C1893" s="66" t="n"/>
      <c r="D1893" s="66" t="n"/>
      <c r="E1893" s="67" t="n"/>
      <c r="F1893" s="67" t="n"/>
      <c r="G1893" s="67" t="n"/>
      <c r="H1893" s="67" t="n"/>
      <c r="I1893" s="67" t="n"/>
      <c r="J1893" s="67" t="n"/>
      <c r="K1893" s="67" t="n"/>
      <c r="L1893" s="67" t="n"/>
      <c r="M1893" s="64" t="n"/>
      <c r="N1893" s="66" t="n"/>
      <c r="O1893" s="84">
        <f>IF(A1893="","",IF(OR(C1893="",D1893=""),"Enter both dates",IF(D1893&lt;C1893,"To is before From",IF(COUNTIFS($P$5:$P$2004,P1893,$C$5:$C$2004,"&lt;="&amp;D1893,$D$5:$D$2004,"&gt;="&amp;C1893)&gt;1,"Overlaps another row","OK"))))</f>
        <v/>
      </c>
      <c r="P1893">
        <f>IF(A1893="","",A1893&amp;"|"&amp;IF(B1893="","Standard",B1893))</f>
        <v/>
      </c>
      <c r="Q1893">
        <f>IF(AND(A1893&lt;&gt;"",A1893='Firm Search'!$C$7),COUNTIF($A$5:A1893,'Firm Search'!$C$7),"")</f>
        <v/>
      </c>
    </row>
    <row r="1894">
      <c r="A1894" s="64" t="n"/>
      <c r="B1894" s="64" t="n"/>
      <c r="C1894" s="66" t="n"/>
      <c r="D1894" s="66" t="n"/>
      <c r="E1894" s="67" t="n"/>
      <c r="F1894" s="67" t="n"/>
      <c r="G1894" s="67" t="n"/>
      <c r="H1894" s="67" t="n"/>
      <c r="I1894" s="67" t="n"/>
      <c r="J1894" s="67" t="n"/>
      <c r="K1894" s="67" t="n"/>
      <c r="L1894" s="67" t="n"/>
      <c r="M1894" s="64" t="n"/>
      <c r="N1894" s="66" t="n"/>
      <c r="O1894" s="84">
        <f>IF(A1894="","",IF(OR(C1894="",D1894=""),"Enter both dates",IF(D1894&lt;C1894,"To is before From",IF(COUNTIFS($P$5:$P$2004,P1894,$C$5:$C$2004,"&lt;="&amp;D1894,$D$5:$D$2004,"&gt;="&amp;C1894)&gt;1,"Overlaps another row","OK"))))</f>
        <v/>
      </c>
      <c r="P1894">
        <f>IF(A1894="","",A1894&amp;"|"&amp;IF(B1894="","Standard",B1894))</f>
        <v/>
      </c>
      <c r="Q1894">
        <f>IF(AND(A1894&lt;&gt;"",A1894='Firm Search'!$C$7),COUNTIF($A$5:A1894,'Firm Search'!$C$7),"")</f>
        <v/>
      </c>
    </row>
    <row r="1895">
      <c r="A1895" s="64" t="n"/>
      <c r="B1895" s="64" t="n"/>
      <c r="C1895" s="66" t="n"/>
      <c r="D1895" s="66" t="n"/>
      <c r="E1895" s="67" t="n"/>
      <c r="F1895" s="67" t="n"/>
      <c r="G1895" s="67" t="n"/>
      <c r="H1895" s="67" t="n"/>
      <c r="I1895" s="67" t="n"/>
      <c r="J1895" s="67" t="n"/>
      <c r="K1895" s="67" t="n"/>
      <c r="L1895" s="67" t="n"/>
      <c r="M1895" s="64" t="n"/>
      <c r="N1895" s="66" t="n"/>
      <c r="O1895" s="84">
        <f>IF(A1895="","",IF(OR(C1895="",D1895=""),"Enter both dates",IF(D1895&lt;C1895,"To is before From",IF(COUNTIFS($P$5:$P$2004,P1895,$C$5:$C$2004,"&lt;="&amp;D1895,$D$5:$D$2004,"&gt;="&amp;C1895)&gt;1,"Overlaps another row","OK"))))</f>
        <v/>
      </c>
      <c r="P1895">
        <f>IF(A1895="","",A1895&amp;"|"&amp;IF(B1895="","Standard",B1895))</f>
        <v/>
      </c>
      <c r="Q1895">
        <f>IF(AND(A1895&lt;&gt;"",A1895='Firm Search'!$C$7),COUNTIF($A$5:A1895,'Firm Search'!$C$7),"")</f>
        <v/>
      </c>
    </row>
    <row r="1896">
      <c r="A1896" s="64" t="n"/>
      <c r="B1896" s="64" t="n"/>
      <c r="C1896" s="66" t="n"/>
      <c r="D1896" s="66" t="n"/>
      <c r="E1896" s="67" t="n"/>
      <c r="F1896" s="67" t="n"/>
      <c r="G1896" s="67" t="n"/>
      <c r="H1896" s="67" t="n"/>
      <c r="I1896" s="67" t="n"/>
      <c r="J1896" s="67" t="n"/>
      <c r="K1896" s="67" t="n"/>
      <c r="L1896" s="67" t="n"/>
      <c r="M1896" s="64" t="n"/>
      <c r="N1896" s="66" t="n"/>
      <c r="O1896" s="84">
        <f>IF(A1896="","",IF(OR(C1896="",D1896=""),"Enter both dates",IF(D1896&lt;C1896,"To is before From",IF(COUNTIFS($P$5:$P$2004,P1896,$C$5:$C$2004,"&lt;="&amp;D1896,$D$5:$D$2004,"&gt;="&amp;C1896)&gt;1,"Overlaps another row","OK"))))</f>
        <v/>
      </c>
      <c r="P1896">
        <f>IF(A1896="","",A1896&amp;"|"&amp;IF(B1896="","Standard",B1896))</f>
        <v/>
      </c>
      <c r="Q1896">
        <f>IF(AND(A1896&lt;&gt;"",A1896='Firm Search'!$C$7),COUNTIF($A$5:A1896,'Firm Search'!$C$7),"")</f>
        <v/>
      </c>
    </row>
    <row r="1897">
      <c r="A1897" s="64" t="n"/>
      <c r="B1897" s="64" t="n"/>
      <c r="C1897" s="66" t="n"/>
      <c r="D1897" s="66" t="n"/>
      <c r="E1897" s="67" t="n"/>
      <c r="F1897" s="67" t="n"/>
      <c r="G1897" s="67" t="n"/>
      <c r="H1897" s="67" t="n"/>
      <c r="I1897" s="67" t="n"/>
      <c r="J1897" s="67" t="n"/>
      <c r="K1897" s="67" t="n"/>
      <c r="L1897" s="67" t="n"/>
      <c r="M1897" s="64" t="n"/>
      <c r="N1897" s="66" t="n"/>
      <c r="O1897" s="84">
        <f>IF(A1897="","",IF(OR(C1897="",D1897=""),"Enter both dates",IF(D1897&lt;C1897,"To is before From",IF(COUNTIFS($P$5:$P$2004,P1897,$C$5:$C$2004,"&lt;="&amp;D1897,$D$5:$D$2004,"&gt;="&amp;C1897)&gt;1,"Overlaps another row","OK"))))</f>
        <v/>
      </c>
      <c r="P1897">
        <f>IF(A1897="","",A1897&amp;"|"&amp;IF(B1897="","Standard",B1897))</f>
        <v/>
      </c>
      <c r="Q1897">
        <f>IF(AND(A1897&lt;&gt;"",A1897='Firm Search'!$C$7),COUNTIF($A$5:A1897,'Firm Search'!$C$7),"")</f>
        <v/>
      </c>
    </row>
    <row r="1898">
      <c r="A1898" s="64" t="n"/>
      <c r="B1898" s="64" t="n"/>
      <c r="C1898" s="66" t="n"/>
      <c r="D1898" s="66" t="n"/>
      <c r="E1898" s="67" t="n"/>
      <c r="F1898" s="67" t="n"/>
      <c r="G1898" s="67" t="n"/>
      <c r="H1898" s="67" t="n"/>
      <c r="I1898" s="67" t="n"/>
      <c r="J1898" s="67" t="n"/>
      <c r="K1898" s="67" t="n"/>
      <c r="L1898" s="67" t="n"/>
      <c r="M1898" s="64" t="n"/>
      <c r="N1898" s="66" t="n"/>
      <c r="O1898" s="84">
        <f>IF(A1898="","",IF(OR(C1898="",D1898=""),"Enter both dates",IF(D1898&lt;C1898,"To is before From",IF(COUNTIFS($P$5:$P$2004,P1898,$C$5:$C$2004,"&lt;="&amp;D1898,$D$5:$D$2004,"&gt;="&amp;C1898)&gt;1,"Overlaps another row","OK"))))</f>
        <v/>
      </c>
      <c r="P1898">
        <f>IF(A1898="","",A1898&amp;"|"&amp;IF(B1898="","Standard",B1898))</f>
        <v/>
      </c>
      <c r="Q1898">
        <f>IF(AND(A1898&lt;&gt;"",A1898='Firm Search'!$C$7),COUNTIF($A$5:A1898,'Firm Search'!$C$7),"")</f>
        <v/>
      </c>
    </row>
    <row r="1899">
      <c r="A1899" s="64" t="n"/>
      <c r="B1899" s="64" t="n"/>
      <c r="C1899" s="66" t="n"/>
      <c r="D1899" s="66" t="n"/>
      <c r="E1899" s="67" t="n"/>
      <c r="F1899" s="67" t="n"/>
      <c r="G1899" s="67" t="n"/>
      <c r="H1899" s="67" t="n"/>
      <c r="I1899" s="67" t="n"/>
      <c r="J1899" s="67" t="n"/>
      <c r="K1899" s="67" t="n"/>
      <c r="L1899" s="67" t="n"/>
      <c r="M1899" s="64" t="n"/>
      <c r="N1899" s="66" t="n"/>
      <c r="O1899" s="84">
        <f>IF(A1899="","",IF(OR(C1899="",D1899=""),"Enter both dates",IF(D1899&lt;C1899,"To is before From",IF(COUNTIFS($P$5:$P$2004,P1899,$C$5:$C$2004,"&lt;="&amp;D1899,$D$5:$D$2004,"&gt;="&amp;C1899)&gt;1,"Overlaps another row","OK"))))</f>
        <v/>
      </c>
      <c r="P1899">
        <f>IF(A1899="","",A1899&amp;"|"&amp;IF(B1899="","Standard",B1899))</f>
        <v/>
      </c>
      <c r="Q1899">
        <f>IF(AND(A1899&lt;&gt;"",A1899='Firm Search'!$C$7),COUNTIF($A$5:A1899,'Firm Search'!$C$7),"")</f>
        <v/>
      </c>
    </row>
    <row r="1900">
      <c r="A1900" s="64" t="n"/>
      <c r="B1900" s="64" t="n"/>
      <c r="C1900" s="66" t="n"/>
      <c r="D1900" s="66" t="n"/>
      <c r="E1900" s="67" t="n"/>
      <c r="F1900" s="67" t="n"/>
      <c r="G1900" s="67" t="n"/>
      <c r="H1900" s="67" t="n"/>
      <c r="I1900" s="67" t="n"/>
      <c r="J1900" s="67" t="n"/>
      <c r="K1900" s="67" t="n"/>
      <c r="L1900" s="67" t="n"/>
      <c r="M1900" s="64" t="n"/>
      <c r="N1900" s="66" t="n"/>
      <c r="O1900" s="84">
        <f>IF(A1900="","",IF(OR(C1900="",D1900=""),"Enter both dates",IF(D1900&lt;C1900,"To is before From",IF(COUNTIFS($P$5:$P$2004,P1900,$C$5:$C$2004,"&lt;="&amp;D1900,$D$5:$D$2004,"&gt;="&amp;C1900)&gt;1,"Overlaps another row","OK"))))</f>
        <v/>
      </c>
      <c r="P1900">
        <f>IF(A1900="","",A1900&amp;"|"&amp;IF(B1900="","Standard",B1900))</f>
        <v/>
      </c>
      <c r="Q1900">
        <f>IF(AND(A1900&lt;&gt;"",A1900='Firm Search'!$C$7),COUNTIF($A$5:A1900,'Firm Search'!$C$7),"")</f>
        <v/>
      </c>
    </row>
    <row r="1901">
      <c r="A1901" s="64" t="n"/>
      <c r="B1901" s="64" t="n"/>
      <c r="C1901" s="66" t="n"/>
      <c r="D1901" s="66" t="n"/>
      <c r="E1901" s="67" t="n"/>
      <c r="F1901" s="67" t="n"/>
      <c r="G1901" s="67" t="n"/>
      <c r="H1901" s="67" t="n"/>
      <c r="I1901" s="67" t="n"/>
      <c r="J1901" s="67" t="n"/>
      <c r="K1901" s="67" t="n"/>
      <c r="L1901" s="67" t="n"/>
      <c r="M1901" s="64" t="n"/>
      <c r="N1901" s="66" t="n"/>
      <c r="O1901" s="84">
        <f>IF(A1901="","",IF(OR(C1901="",D1901=""),"Enter both dates",IF(D1901&lt;C1901,"To is before From",IF(COUNTIFS($P$5:$P$2004,P1901,$C$5:$C$2004,"&lt;="&amp;D1901,$D$5:$D$2004,"&gt;="&amp;C1901)&gt;1,"Overlaps another row","OK"))))</f>
        <v/>
      </c>
      <c r="P1901">
        <f>IF(A1901="","",A1901&amp;"|"&amp;IF(B1901="","Standard",B1901))</f>
        <v/>
      </c>
      <c r="Q1901">
        <f>IF(AND(A1901&lt;&gt;"",A1901='Firm Search'!$C$7),COUNTIF($A$5:A1901,'Firm Search'!$C$7),"")</f>
        <v/>
      </c>
    </row>
    <row r="1902">
      <c r="A1902" s="64" t="n"/>
      <c r="B1902" s="64" t="n"/>
      <c r="C1902" s="66" t="n"/>
      <c r="D1902" s="66" t="n"/>
      <c r="E1902" s="67" t="n"/>
      <c r="F1902" s="67" t="n"/>
      <c r="G1902" s="67" t="n"/>
      <c r="H1902" s="67" t="n"/>
      <c r="I1902" s="67" t="n"/>
      <c r="J1902" s="67" t="n"/>
      <c r="K1902" s="67" t="n"/>
      <c r="L1902" s="67" t="n"/>
      <c r="M1902" s="64" t="n"/>
      <c r="N1902" s="66" t="n"/>
      <c r="O1902" s="84">
        <f>IF(A1902="","",IF(OR(C1902="",D1902=""),"Enter both dates",IF(D1902&lt;C1902,"To is before From",IF(COUNTIFS($P$5:$P$2004,P1902,$C$5:$C$2004,"&lt;="&amp;D1902,$D$5:$D$2004,"&gt;="&amp;C1902)&gt;1,"Overlaps another row","OK"))))</f>
        <v/>
      </c>
      <c r="P1902">
        <f>IF(A1902="","",A1902&amp;"|"&amp;IF(B1902="","Standard",B1902))</f>
        <v/>
      </c>
      <c r="Q1902">
        <f>IF(AND(A1902&lt;&gt;"",A1902='Firm Search'!$C$7),COUNTIF($A$5:A1902,'Firm Search'!$C$7),"")</f>
        <v/>
      </c>
    </row>
    <row r="1903">
      <c r="A1903" s="64" t="n"/>
      <c r="B1903" s="64" t="n"/>
      <c r="C1903" s="66" t="n"/>
      <c r="D1903" s="66" t="n"/>
      <c r="E1903" s="67" t="n"/>
      <c r="F1903" s="67" t="n"/>
      <c r="G1903" s="67" t="n"/>
      <c r="H1903" s="67" t="n"/>
      <c r="I1903" s="67" t="n"/>
      <c r="J1903" s="67" t="n"/>
      <c r="K1903" s="67" t="n"/>
      <c r="L1903" s="67" t="n"/>
      <c r="M1903" s="64" t="n"/>
      <c r="N1903" s="66" t="n"/>
      <c r="O1903" s="84">
        <f>IF(A1903="","",IF(OR(C1903="",D1903=""),"Enter both dates",IF(D1903&lt;C1903,"To is before From",IF(COUNTIFS($P$5:$P$2004,P1903,$C$5:$C$2004,"&lt;="&amp;D1903,$D$5:$D$2004,"&gt;="&amp;C1903)&gt;1,"Overlaps another row","OK"))))</f>
        <v/>
      </c>
      <c r="P1903">
        <f>IF(A1903="","",A1903&amp;"|"&amp;IF(B1903="","Standard",B1903))</f>
        <v/>
      </c>
      <c r="Q1903">
        <f>IF(AND(A1903&lt;&gt;"",A1903='Firm Search'!$C$7),COUNTIF($A$5:A1903,'Firm Search'!$C$7),"")</f>
        <v/>
      </c>
    </row>
    <row r="1904">
      <c r="A1904" s="64" t="n"/>
      <c r="B1904" s="64" t="n"/>
      <c r="C1904" s="66" t="n"/>
      <c r="D1904" s="66" t="n"/>
      <c r="E1904" s="67" t="n"/>
      <c r="F1904" s="67" t="n"/>
      <c r="G1904" s="67" t="n"/>
      <c r="H1904" s="67" t="n"/>
      <c r="I1904" s="67" t="n"/>
      <c r="J1904" s="67" t="n"/>
      <c r="K1904" s="67" t="n"/>
      <c r="L1904" s="67" t="n"/>
      <c r="M1904" s="64" t="n"/>
      <c r="N1904" s="66" t="n"/>
      <c r="O1904" s="84">
        <f>IF(A1904="","",IF(OR(C1904="",D1904=""),"Enter both dates",IF(D1904&lt;C1904,"To is before From",IF(COUNTIFS($P$5:$P$2004,P1904,$C$5:$C$2004,"&lt;="&amp;D1904,$D$5:$D$2004,"&gt;="&amp;C1904)&gt;1,"Overlaps another row","OK"))))</f>
        <v/>
      </c>
      <c r="P1904">
        <f>IF(A1904="","",A1904&amp;"|"&amp;IF(B1904="","Standard",B1904))</f>
        <v/>
      </c>
      <c r="Q1904">
        <f>IF(AND(A1904&lt;&gt;"",A1904='Firm Search'!$C$7),COUNTIF($A$5:A1904,'Firm Search'!$C$7),"")</f>
        <v/>
      </c>
    </row>
    <row r="1905">
      <c r="A1905" s="64" t="n"/>
      <c r="B1905" s="64" t="n"/>
      <c r="C1905" s="66" t="n"/>
      <c r="D1905" s="66" t="n"/>
      <c r="E1905" s="67" t="n"/>
      <c r="F1905" s="67" t="n"/>
      <c r="G1905" s="67" t="n"/>
      <c r="H1905" s="67" t="n"/>
      <c r="I1905" s="67" t="n"/>
      <c r="J1905" s="67" t="n"/>
      <c r="K1905" s="67" t="n"/>
      <c r="L1905" s="67" t="n"/>
      <c r="M1905" s="64" t="n"/>
      <c r="N1905" s="66" t="n"/>
      <c r="O1905" s="84">
        <f>IF(A1905="","",IF(OR(C1905="",D1905=""),"Enter both dates",IF(D1905&lt;C1905,"To is before From",IF(COUNTIFS($P$5:$P$2004,P1905,$C$5:$C$2004,"&lt;="&amp;D1905,$D$5:$D$2004,"&gt;="&amp;C1905)&gt;1,"Overlaps another row","OK"))))</f>
        <v/>
      </c>
      <c r="P1905">
        <f>IF(A1905="","",A1905&amp;"|"&amp;IF(B1905="","Standard",B1905))</f>
        <v/>
      </c>
      <c r="Q1905">
        <f>IF(AND(A1905&lt;&gt;"",A1905='Firm Search'!$C$7),COUNTIF($A$5:A1905,'Firm Search'!$C$7),"")</f>
        <v/>
      </c>
    </row>
    <row r="1906">
      <c r="A1906" s="64" t="n"/>
      <c r="B1906" s="64" t="n"/>
      <c r="C1906" s="66" t="n"/>
      <c r="D1906" s="66" t="n"/>
      <c r="E1906" s="67" t="n"/>
      <c r="F1906" s="67" t="n"/>
      <c r="G1906" s="67" t="n"/>
      <c r="H1906" s="67" t="n"/>
      <c r="I1906" s="67" t="n"/>
      <c r="J1906" s="67" t="n"/>
      <c r="K1906" s="67" t="n"/>
      <c r="L1906" s="67" t="n"/>
      <c r="M1906" s="64" t="n"/>
      <c r="N1906" s="66" t="n"/>
      <c r="O1906" s="84">
        <f>IF(A1906="","",IF(OR(C1906="",D1906=""),"Enter both dates",IF(D1906&lt;C1906,"To is before From",IF(COUNTIFS($P$5:$P$2004,P1906,$C$5:$C$2004,"&lt;="&amp;D1906,$D$5:$D$2004,"&gt;="&amp;C1906)&gt;1,"Overlaps another row","OK"))))</f>
        <v/>
      </c>
      <c r="P1906">
        <f>IF(A1906="","",A1906&amp;"|"&amp;IF(B1906="","Standard",B1906))</f>
        <v/>
      </c>
      <c r="Q1906">
        <f>IF(AND(A1906&lt;&gt;"",A1906='Firm Search'!$C$7),COUNTIF($A$5:A1906,'Firm Search'!$C$7),"")</f>
        <v/>
      </c>
    </row>
    <row r="1907">
      <c r="A1907" s="64" t="n"/>
      <c r="B1907" s="64" t="n"/>
      <c r="C1907" s="66" t="n"/>
      <c r="D1907" s="66" t="n"/>
      <c r="E1907" s="67" t="n"/>
      <c r="F1907" s="67" t="n"/>
      <c r="G1907" s="67" t="n"/>
      <c r="H1907" s="67" t="n"/>
      <c r="I1907" s="67" t="n"/>
      <c r="J1907" s="67" t="n"/>
      <c r="K1907" s="67" t="n"/>
      <c r="L1907" s="67" t="n"/>
      <c r="M1907" s="64" t="n"/>
      <c r="N1907" s="66" t="n"/>
      <c r="O1907" s="84">
        <f>IF(A1907="","",IF(OR(C1907="",D1907=""),"Enter both dates",IF(D1907&lt;C1907,"To is before From",IF(COUNTIFS($P$5:$P$2004,P1907,$C$5:$C$2004,"&lt;="&amp;D1907,$D$5:$D$2004,"&gt;="&amp;C1907)&gt;1,"Overlaps another row","OK"))))</f>
        <v/>
      </c>
      <c r="P1907">
        <f>IF(A1907="","",A1907&amp;"|"&amp;IF(B1907="","Standard",B1907))</f>
        <v/>
      </c>
      <c r="Q1907">
        <f>IF(AND(A1907&lt;&gt;"",A1907='Firm Search'!$C$7),COUNTIF($A$5:A1907,'Firm Search'!$C$7),"")</f>
        <v/>
      </c>
    </row>
    <row r="1908">
      <c r="A1908" s="64" t="n"/>
      <c r="B1908" s="64" t="n"/>
      <c r="C1908" s="66" t="n"/>
      <c r="D1908" s="66" t="n"/>
      <c r="E1908" s="67" t="n"/>
      <c r="F1908" s="67" t="n"/>
      <c r="G1908" s="67" t="n"/>
      <c r="H1908" s="67" t="n"/>
      <c r="I1908" s="67" t="n"/>
      <c r="J1908" s="67" t="n"/>
      <c r="K1908" s="67" t="n"/>
      <c r="L1908" s="67" t="n"/>
      <c r="M1908" s="64" t="n"/>
      <c r="N1908" s="66" t="n"/>
      <c r="O1908" s="84">
        <f>IF(A1908="","",IF(OR(C1908="",D1908=""),"Enter both dates",IF(D1908&lt;C1908,"To is before From",IF(COUNTIFS($P$5:$P$2004,P1908,$C$5:$C$2004,"&lt;="&amp;D1908,$D$5:$D$2004,"&gt;="&amp;C1908)&gt;1,"Overlaps another row","OK"))))</f>
        <v/>
      </c>
      <c r="P1908">
        <f>IF(A1908="","",A1908&amp;"|"&amp;IF(B1908="","Standard",B1908))</f>
        <v/>
      </c>
      <c r="Q1908">
        <f>IF(AND(A1908&lt;&gt;"",A1908='Firm Search'!$C$7),COUNTIF($A$5:A1908,'Firm Search'!$C$7),"")</f>
        <v/>
      </c>
    </row>
    <row r="1909">
      <c r="A1909" s="64" t="n"/>
      <c r="B1909" s="64" t="n"/>
      <c r="C1909" s="66" t="n"/>
      <c r="D1909" s="66" t="n"/>
      <c r="E1909" s="67" t="n"/>
      <c r="F1909" s="67" t="n"/>
      <c r="G1909" s="67" t="n"/>
      <c r="H1909" s="67" t="n"/>
      <c r="I1909" s="67" t="n"/>
      <c r="J1909" s="67" t="n"/>
      <c r="K1909" s="67" t="n"/>
      <c r="L1909" s="67" t="n"/>
      <c r="M1909" s="64" t="n"/>
      <c r="N1909" s="66" t="n"/>
      <c r="O1909" s="84">
        <f>IF(A1909="","",IF(OR(C1909="",D1909=""),"Enter both dates",IF(D1909&lt;C1909,"To is before From",IF(COUNTIFS($P$5:$P$2004,P1909,$C$5:$C$2004,"&lt;="&amp;D1909,$D$5:$D$2004,"&gt;="&amp;C1909)&gt;1,"Overlaps another row","OK"))))</f>
        <v/>
      </c>
      <c r="P1909">
        <f>IF(A1909="","",A1909&amp;"|"&amp;IF(B1909="","Standard",B1909))</f>
        <v/>
      </c>
      <c r="Q1909">
        <f>IF(AND(A1909&lt;&gt;"",A1909='Firm Search'!$C$7),COUNTIF($A$5:A1909,'Firm Search'!$C$7),"")</f>
        <v/>
      </c>
    </row>
    <row r="1910">
      <c r="A1910" s="64" t="n"/>
      <c r="B1910" s="64" t="n"/>
      <c r="C1910" s="66" t="n"/>
      <c r="D1910" s="66" t="n"/>
      <c r="E1910" s="67" t="n"/>
      <c r="F1910" s="67" t="n"/>
      <c r="G1910" s="67" t="n"/>
      <c r="H1910" s="67" t="n"/>
      <c r="I1910" s="67" t="n"/>
      <c r="J1910" s="67" t="n"/>
      <c r="K1910" s="67" t="n"/>
      <c r="L1910" s="67" t="n"/>
      <c r="M1910" s="64" t="n"/>
      <c r="N1910" s="66" t="n"/>
      <c r="O1910" s="84">
        <f>IF(A1910="","",IF(OR(C1910="",D1910=""),"Enter both dates",IF(D1910&lt;C1910,"To is before From",IF(COUNTIFS($P$5:$P$2004,P1910,$C$5:$C$2004,"&lt;="&amp;D1910,$D$5:$D$2004,"&gt;="&amp;C1910)&gt;1,"Overlaps another row","OK"))))</f>
        <v/>
      </c>
      <c r="P1910">
        <f>IF(A1910="","",A1910&amp;"|"&amp;IF(B1910="","Standard",B1910))</f>
        <v/>
      </c>
      <c r="Q1910">
        <f>IF(AND(A1910&lt;&gt;"",A1910='Firm Search'!$C$7),COUNTIF($A$5:A1910,'Firm Search'!$C$7),"")</f>
        <v/>
      </c>
    </row>
    <row r="1911">
      <c r="A1911" s="64" t="n"/>
      <c r="B1911" s="64" t="n"/>
      <c r="C1911" s="66" t="n"/>
      <c r="D1911" s="66" t="n"/>
      <c r="E1911" s="67" t="n"/>
      <c r="F1911" s="67" t="n"/>
      <c r="G1911" s="67" t="n"/>
      <c r="H1911" s="67" t="n"/>
      <c r="I1911" s="67" t="n"/>
      <c r="J1911" s="67" t="n"/>
      <c r="K1911" s="67" t="n"/>
      <c r="L1911" s="67" t="n"/>
      <c r="M1911" s="64" t="n"/>
      <c r="N1911" s="66" t="n"/>
      <c r="O1911" s="84">
        <f>IF(A1911="","",IF(OR(C1911="",D1911=""),"Enter both dates",IF(D1911&lt;C1911,"To is before From",IF(COUNTIFS($P$5:$P$2004,P1911,$C$5:$C$2004,"&lt;="&amp;D1911,$D$5:$D$2004,"&gt;="&amp;C1911)&gt;1,"Overlaps another row","OK"))))</f>
        <v/>
      </c>
      <c r="P1911">
        <f>IF(A1911="","",A1911&amp;"|"&amp;IF(B1911="","Standard",B1911))</f>
        <v/>
      </c>
      <c r="Q1911">
        <f>IF(AND(A1911&lt;&gt;"",A1911='Firm Search'!$C$7),COUNTIF($A$5:A1911,'Firm Search'!$C$7),"")</f>
        <v/>
      </c>
    </row>
    <row r="1912">
      <c r="A1912" s="64" t="n"/>
      <c r="B1912" s="64" t="n"/>
      <c r="C1912" s="66" t="n"/>
      <c r="D1912" s="66" t="n"/>
      <c r="E1912" s="67" t="n"/>
      <c r="F1912" s="67" t="n"/>
      <c r="G1912" s="67" t="n"/>
      <c r="H1912" s="67" t="n"/>
      <c r="I1912" s="67" t="n"/>
      <c r="J1912" s="67" t="n"/>
      <c r="K1912" s="67" t="n"/>
      <c r="L1912" s="67" t="n"/>
      <c r="M1912" s="64" t="n"/>
      <c r="N1912" s="66" t="n"/>
      <c r="O1912" s="84">
        <f>IF(A1912="","",IF(OR(C1912="",D1912=""),"Enter both dates",IF(D1912&lt;C1912,"To is before From",IF(COUNTIFS($P$5:$P$2004,P1912,$C$5:$C$2004,"&lt;="&amp;D1912,$D$5:$D$2004,"&gt;="&amp;C1912)&gt;1,"Overlaps another row","OK"))))</f>
        <v/>
      </c>
      <c r="P1912">
        <f>IF(A1912="","",A1912&amp;"|"&amp;IF(B1912="","Standard",B1912))</f>
        <v/>
      </c>
      <c r="Q1912">
        <f>IF(AND(A1912&lt;&gt;"",A1912='Firm Search'!$C$7),COUNTIF($A$5:A1912,'Firm Search'!$C$7),"")</f>
        <v/>
      </c>
    </row>
    <row r="1913">
      <c r="A1913" s="64" t="n"/>
      <c r="B1913" s="64" t="n"/>
      <c r="C1913" s="66" t="n"/>
      <c r="D1913" s="66" t="n"/>
      <c r="E1913" s="67" t="n"/>
      <c r="F1913" s="67" t="n"/>
      <c r="G1913" s="67" t="n"/>
      <c r="H1913" s="67" t="n"/>
      <c r="I1913" s="67" t="n"/>
      <c r="J1913" s="67" t="n"/>
      <c r="K1913" s="67" t="n"/>
      <c r="L1913" s="67" t="n"/>
      <c r="M1913" s="64" t="n"/>
      <c r="N1913" s="66" t="n"/>
      <c r="O1913" s="84">
        <f>IF(A1913="","",IF(OR(C1913="",D1913=""),"Enter both dates",IF(D1913&lt;C1913,"To is before From",IF(COUNTIFS($P$5:$P$2004,P1913,$C$5:$C$2004,"&lt;="&amp;D1913,$D$5:$D$2004,"&gt;="&amp;C1913)&gt;1,"Overlaps another row","OK"))))</f>
        <v/>
      </c>
      <c r="P1913">
        <f>IF(A1913="","",A1913&amp;"|"&amp;IF(B1913="","Standard",B1913))</f>
        <v/>
      </c>
      <c r="Q1913">
        <f>IF(AND(A1913&lt;&gt;"",A1913='Firm Search'!$C$7),COUNTIF($A$5:A1913,'Firm Search'!$C$7),"")</f>
        <v/>
      </c>
    </row>
    <row r="1914">
      <c r="A1914" s="64" t="n"/>
      <c r="B1914" s="64" t="n"/>
      <c r="C1914" s="66" t="n"/>
      <c r="D1914" s="66" t="n"/>
      <c r="E1914" s="67" t="n"/>
      <c r="F1914" s="67" t="n"/>
      <c r="G1914" s="67" t="n"/>
      <c r="H1914" s="67" t="n"/>
      <c r="I1914" s="67" t="n"/>
      <c r="J1914" s="67" t="n"/>
      <c r="K1914" s="67" t="n"/>
      <c r="L1914" s="67" t="n"/>
      <c r="M1914" s="64" t="n"/>
      <c r="N1914" s="66" t="n"/>
      <c r="O1914" s="84">
        <f>IF(A1914="","",IF(OR(C1914="",D1914=""),"Enter both dates",IF(D1914&lt;C1914,"To is before From",IF(COUNTIFS($P$5:$P$2004,P1914,$C$5:$C$2004,"&lt;="&amp;D1914,$D$5:$D$2004,"&gt;="&amp;C1914)&gt;1,"Overlaps another row","OK"))))</f>
        <v/>
      </c>
      <c r="P1914">
        <f>IF(A1914="","",A1914&amp;"|"&amp;IF(B1914="","Standard",B1914))</f>
        <v/>
      </c>
      <c r="Q1914">
        <f>IF(AND(A1914&lt;&gt;"",A1914='Firm Search'!$C$7),COUNTIF($A$5:A1914,'Firm Search'!$C$7),"")</f>
        <v/>
      </c>
    </row>
    <row r="1915">
      <c r="A1915" s="64" t="n"/>
      <c r="B1915" s="64" t="n"/>
      <c r="C1915" s="66" t="n"/>
      <c r="D1915" s="66" t="n"/>
      <c r="E1915" s="67" t="n"/>
      <c r="F1915" s="67" t="n"/>
      <c r="G1915" s="67" t="n"/>
      <c r="H1915" s="67" t="n"/>
      <c r="I1915" s="67" t="n"/>
      <c r="J1915" s="67" t="n"/>
      <c r="K1915" s="67" t="n"/>
      <c r="L1915" s="67" t="n"/>
      <c r="M1915" s="64" t="n"/>
      <c r="N1915" s="66" t="n"/>
      <c r="O1915" s="84">
        <f>IF(A1915="","",IF(OR(C1915="",D1915=""),"Enter both dates",IF(D1915&lt;C1915,"To is before From",IF(COUNTIFS($P$5:$P$2004,P1915,$C$5:$C$2004,"&lt;="&amp;D1915,$D$5:$D$2004,"&gt;="&amp;C1915)&gt;1,"Overlaps another row","OK"))))</f>
        <v/>
      </c>
      <c r="P1915">
        <f>IF(A1915="","",A1915&amp;"|"&amp;IF(B1915="","Standard",B1915))</f>
        <v/>
      </c>
      <c r="Q1915">
        <f>IF(AND(A1915&lt;&gt;"",A1915='Firm Search'!$C$7),COUNTIF($A$5:A1915,'Firm Search'!$C$7),"")</f>
        <v/>
      </c>
    </row>
    <row r="1916">
      <c r="A1916" s="64" t="n"/>
      <c r="B1916" s="64" t="n"/>
      <c r="C1916" s="66" t="n"/>
      <c r="D1916" s="66" t="n"/>
      <c r="E1916" s="67" t="n"/>
      <c r="F1916" s="67" t="n"/>
      <c r="G1916" s="67" t="n"/>
      <c r="H1916" s="67" t="n"/>
      <c r="I1916" s="67" t="n"/>
      <c r="J1916" s="67" t="n"/>
      <c r="K1916" s="67" t="n"/>
      <c r="L1916" s="67" t="n"/>
      <c r="M1916" s="64" t="n"/>
      <c r="N1916" s="66" t="n"/>
      <c r="O1916" s="84">
        <f>IF(A1916="","",IF(OR(C1916="",D1916=""),"Enter both dates",IF(D1916&lt;C1916,"To is before From",IF(COUNTIFS($P$5:$P$2004,P1916,$C$5:$C$2004,"&lt;="&amp;D1916,$D$5:$D$2004,"&gt;="&amp;C1916)&gt;1,"Overlaps another row","OK"))))</f>
        <v/>
      </c>
      <c r="P1916">
        <f>IF(A1916="","",A1916&amp;"|"&amp;IF(B1916="","Standard",B1916))</f>
        <v/>
      </c>
      <c r="Q1916">
        <f>IF(AND(A1916&lt;&gt;"",A1916='Firm Search'!$C$7),COUNTIF($A$5:A1916,'Firm Search'!$C$7),"")</f>
        <v/>
      </c>
    </row>
    <row r="1917">
      <c r="A1917" s="64" t="n"/>
      <c r="B1917" s="64" t="n"/>
      <c r="C1917" s="66" t="n"/>
      <c r="D1917" s="66" t="n"/>
      <c r="E1917" s="67" t="n"/>
      <c r="F1917" s="67" t="n"/>
      <c r="G1917" s="67" t="n"/>
      <c r="H1917" s="67" t="n"/>
      <c r="I1917" s="67" t="n"/>
      <c r="J1917" s="67" t="n"/>
      <c r="K1917" s="67" t="n"/>
      <c r="L1917" s="67" t="n"/>
      <c r="M1917" s="64" t="n"/>
      <c r="N1917" s="66" t="n"/>
      <c r="O1917" s="84">
        <f>IF(A1917="","",IF(OR(C1917="",D1917=""),"Enter both dates",IF(D1917&lt;C1917,"To is before From",IF(COUNTIFS($P$5:$P$2004,P1917,$C$5:$C$2004,"&lt;="&amp;D1917,$D$5:$D$2004,"&gt;="&amp;C1917)&gt;1,"Overlaps another row","OK"))))</f>
        <v/>
      </c>
      <c r="P1917">
        <f>IF(A1917="","",A1917&amp;"|"&amp;IF(B1917="","Standard",B1917))</f>
        <v/>
      </c>
      <c r="Q1917">
        <f>IF(AND(A1917&lt;&gt;"",A1917='Firm Search'!$C$7),COUNTIF($A$5:A1917,'Firm Search'!$C$7),"")</f>
        <v/>
      </c>
    </row>
    <row r="1918">
      <c r="A1918" s="64" t="n"/>
      <c r="B1918" s="64" t="n"/>
      <c r="C1918" s="66" t="n"/>
      <c r="D1918" s="66" t="n"/>
      <c r="E1918" s="67" t="n"/>
      <c r="F1918" s="67" t="n"/>
      <c r="G1918" s="67" t="n"/>
      <c r="H1918" s="67" t="n"/>
      <c r="I1918" s="67" t="n"/>
      <c r="J1918" s="67" t="n"/>
      <c r="K1918" s="67" t="n"/>
      <c r="L1918" s="67" t="n"/>
      <c r="M1918" s="64" t="n"/>
      <c r="N1918" s="66" t="n"/>
      <c r="O1918" s="84">
        <f>IF(A1918="","",IF(OR(C1918="",D1918=""),"Enter both dates",IF(D1918&lt;C1918,"To is before From",IF(COUNTIFS($P$5:$P$2004,P1918,$C$5:$C$2004,"&lt;="&amp;D1918,$D$5:$D$2004,"&gt;="&amp;C1918)&gt;1,"Overlaps another row","OK"))))</f>
        <v/>
      </c>
      <c r="P1918">
        <f>IF(A1918="","",A1918&amp;"|"&amp;IF(B1918="","Standard",B1918))</f>
        <v/>
      </c>
      <c r="Q1918">
        <f>IF(AND(A1918&lt;&gt;"",A1918='Firm Search'!$C$7),COUNTIF($A$5:A1918,'Firm Search'!$C$7),"")</f>
        <v/>
      </c>
    </row>
    <row r="1919">
      <c r="A1919" s="64" t="n"/>
      <c r="B1919" s="64" t="n"/>
      <c r="C1919" s="66" t="n"/>
      <c r="D1919" s="66" t="n"/>
      <c r="E1919" s="67" t="n"/>
      <c r="F1919" s="67" t="n"/>
      <c r="G1919" s="67" t="n"/>
      <c r="H1919" s="67" t="n"/>
      <c r="I1919" s="67" t="n"/>
      <c r="J1919" s="67" t="n"/>
      <c r="K1919" s="67" t="n"/>
      <c r="L1919" s="67" t="n"/>
      <c r="M1919" s="64" t="n"/>
      <c r="N1919" s="66" t="n"/>
      <c r="O1919" s="84">
        <f>IF(A1919="","",IF(OR(C1919="",D1919=""),"Enter both dates",IF(D1919&lt;C1919,"To is before From",IF(COUNTIFS($P$5:$P$2004,P1919,$C$5:$C$2004,"&lt;="&amp;D1919,$D$5:$D$2004,"&gt;="&amp;C1919)&gt;1,"Overlaps another row","OK"))))</f>
        <v/>
      </c>
      <c r="P1919">
        <f>IF(A1919="","",A1919&amp;"|"&amp;IF(B1919="","Standard",B1919))</f>
        <v/>
      </c>
      <c r="Q1919">
        <f>IF(AND(A1919&lt;&gt;"",A1919='Firm Search'!$C$7),COUNTIF($A$5:A1919,'Firm Search'!$C$7),"")</f>
        <v/>
      </c>
    </row>
    <row r="1920">
      <c r="A1920" s="64" t="n"/>
      <c r="B1920" s="64" t="n"/>
      <c r="C1920" s="66" t="n"/>
      <c r="D1920" s="66" t="n"/>
      <c r="E1920" s="67" t="n"/>
      <c r="F1920" s="67" t="n"/>
      <c r="G1920" s="67" t="n"/>
      <c r="H1920" s="67" t="n"/>
      <c r="I1920" s="67" t="n"/>
      <c r="J1920" s="67" t="n"/>
      <c r="K1920" s="67" t="n"/>
      <c r="L1920" s="67" t="n"/>
      <c r="M1920" s="64" t="n"/>
      <c r="N1920" s="66" t="n"/>
      <c r="O1920" s="84">
        <f>IF(A1920="","",IF(OR(C1920="",D1920=""),"Enter both dates",IF(D1920&lt;C1920,"To is before From",IF(COUNTIFS($P$5:$P$2004,P1920,$C$5:$C$2004,"&lt;="&amp;D1920,$D$5:$D$2004,"&gt;="&amp;C1920)&gt;1,"Overlaps another row","OK"))))</f>
        <v/>
      </c>
      <c r="P1920">
        <f>IF(A1920="","",A1920&amp;"|"&amp;IF(B1920="","Standard",B1920))</f>
        <v/>
      </c>
      <c r="Q1920">
        <f>IF(AND(A1920&lt;&gt;"",A1920='Firm Search'!$C$7),COUNTIF($A$5:A1920,'Firm Search'!$C$7),"")</f>
        <v/>
      </c>
    </row>
    <row r="1921">
      <c r="A1921" s="64" t="n"/>
      <c r="B1921" s="64" t="n"/>
      <c r="C1921" s="66" t="n"/>
      <c r="D1921" s="66" t="n"/>
      <c r="E1921" s="67" t="n"/>
      <c r="F1921" s="67" t="n"/>
      <c r="G1921" s="67" t="n"/>
      <c r="H1921" s="67" t="n"/>
      <c r="I1921" s="67" t="n"/>
      <c r="J1921" s="67" t="n"/>
      <c r="K1921" s="67" t="n"/>
      <c r="L1921" s="67" t="n"/>
      <c r="M1921" s="64" t="n"/>
      <c r="N1921" s="66" t="n"/>
      <c r="O1921" s="84">
        <f>IF(A1921="","",IF(OR(C1921="",D1921=""),"Enter both dates",IF(D1921&lt;C1921,"To is before From",IF(COUNTIFS($P$5:$P$2004,P1921,$C$5:$C$2004,"&lt;="&amp;D1921,$D$5:$D$2004,"&gt;="&amp;C1921)&gt;1,"Overlaps another row","OK"))))</f>
        <v/>
      </c>
      <c r="P1921">
        <f>IF(A1921="","",A1921&amp;"|"&amp;IF(B1921="","Standard",B1921))</f>
        <v/>
      </c>
      <c r="Q1921">
        <f>IF(AND(A1921&lt;&gt;"",A1921='Firm Search'!$C$7),COUNTIF($A$5:A1921,'Firm Search'!$C$7),"")</f>
        <v/>
      </c>
    </row>
    <row r="1922">
      <c r="A1922" s="64" t="n"/>
      <c r="B1922" s="64" t="n"/>
      <c r="C1922" s="66" t="n"/>
      <c r="D1922" s="66" t="n"/>
      <c r="E1922" s="67" t="n"/>
      <c r="F1922" s="67" t="n"/>
      <c r="G1922" s="67" t="n"/>
      <c r="H1922" s="67" t="n"/>
      <c r="I1922" s="67" t="n"/>
      <c r="J1922" s="67" t="n"/>
      <c r="K1922" s="67" t="n"/>
      <c r="L1922" s="67" t="n"/>
      <c r="M1922" s="64" t="n"/>
      <c r="N1922" s="66" t="n"/>
      <c r="O1922" s="84">
        <f>IF(A1922="","",IF(OR(C1922="",D1922=""),"Enter both dates",IF(D1922&lt;C1922,"To is before From",IF(COUNTIFS($P$5:$P$2004,P1922,$C$5:$C$2004,"&lt;="&amp;D1922,$D$5:$D$2004,"&gt;="&amp;C1922)&gt;1,"Overlaps another row","OK"))))</f>
        <v/>
      </c>
      <c r="P1922">
        <f>IF(A1922="","",A1922&amp;"|"&amp;IF(B1922="","Standard",B1922))</f>
        <v/>
      </c>
      <c r="Q1922">
        <f>IF(AND(A1922&lt;&gt;"",A1922='Firm Search'!$C$7),COUNTIF($A$5:A1922,'Firm Search'!$C$7),"")</f>
        <v/>
      </c>
    </row>
    <row r="1923">
      <c r="A1923" s="64" t="n"/>
      <c r="B1923" s="64" t="n"/>
      <c r="C1923" s="66" t="n"/>
      <c r="D1923" s="66" t="n"/>
      <c r="E1923" s="67" t="n"/>
      <c r="F1923" s="67" t="n"/>
      <c r="G1923" s="67" t="n"/>
      <c r="H1923" s="67" t="n"/>
      <c r="I1923" s="67" t="n"/>
      <c r="J1923" s="67" t="n"/>
      <c r="K1923" s="67" t="n"/>
      <c r="L1923" s="67" t="n"/>
      <c r="M1923" s="64" t="n"/>
      <c r="N1923" s="66" t="n"/>
      <c r="O1923" s="84">
        <f>IF(A1923="","",IF(OR(C1923="",D1923=""),"Enter both dates",IF(D1923&lt;C1923,"To is before From",IF(COUNTIFS($P$5:$P$2004,P1923,$C$5:$C$2004,"&lt;="&amp;D1923,$D$5:$D$2004,"&gt;="&amp;C1923)&gt;1,"Overlaps another row","OK"))))</f>
        <v/>
      </c>
      <c r="P1923">
        <f>IF(A1923="","",A1923&amp;"|"&amp;IF(B1923="","Standard",B1923))</f>
        <v/>
      </c>
      <c r="Q1923">
        <f>IF(AND(A1923&lt;&gt;"",A1923='Firm Search'!$C$7),COUNTIF($A$5:A1923,'Firm Search'!$C$7),"")</f>
        <v/>
      </c>
    </row>
    <row r="1924">
      <c r="A1924" s="64" t="n"/>
      <c r="B1924" s="64" t="n"/>
      <c r="C1924" s="66" t="n"/>
      <c r="D1924" s="66" t="n"/>
      <c r="E1924" s="67" t="n"/>
      <c r="F1924" s="67" t="n"/>
      <c r="G1924" s="67" t="n"/>
      <c r="H1924" s="67" t="n"/>
      <c r="I1924" s="67" t="n"/>
      <c r="J1924" s="67" t="n"/>
      <c r="K1924" s="67" t="n"/>
      <c r="L1924" s="67" t="n"/>
      <c r="M1924" s="64" t="n"/>
      <c r="N1924" s="66" t="n"/>
      <c r="O1924" s="84">
        <f>IF(A1924="","",IF(OR(C1924="",D1924=""),"Enter both dates",IF(D1924&lt;C1924,"To is before From",IF(COUNTIFS($P$5:$P$2004,P1924,$C$5:$C$2004,"&lt;="&amp;D1924,$D$5:$D$2004,"&gt;="&amp;C1924)&gt;1,"Overlaps another row","OK"))))</f>
        <v/>
      </c>
      <c r="P1924">
        <f>IF(A1924="","",A1924&amp;"|"&amp;IF(B1924="","Standard",B1924))</f>
        <v/>
      </c>
      <c r="Q1924">
        <f>IF(AND(A1924&lt;&gt;"",A1924='Firm Search'!$C$7),COUNTIF($A$5:A1924,'Firm Search'!$C$7),"")</f>
        <v/>
      </c>
    </row>
    <row r="1925">
      <c r="A1925" s="64" t="n"/>
      <c r="B1925" s="64" t="n"/>
      <c r="C1925" s="66" t="n"/>
      <c r="D1925" s="66" t="n"/>
      <c r="E1925" s="67" t="n"/>
      <c r="F1925" s="67" t="n"/>
      <c r="G1925" s="67" t="n"/>
      <c r="H1925" s="67" t="n"/>
      <c r="I1925" s="67" t="n"/>
      <c r="J1925" s="67" t="n"/>
      <c r="K1925" s="67" t="n"/>
      <c r="L1925" s="67" t="n"/>
      <c r="M1925" s="64" t="n"/>
      <c r="N1925" s="66" t="n"/>
      <c r="O1925" s="84">
        <f>IF(A1925="","",IF(OR(C1925="",D1925=""),"Enter both dates",IF(D1925&lt;C1925,"To is before From",IF(COUNTIFS($P$5:$P$2004,P1925,$C$5:$C$2004,"&lt;="&amp;D1925,$D$5:$D$2004,"&gt;="&amp;C1925)&gt;1,"Overlaps another row","OK"))))</f>
        <v/>
      </c>
      <c r="P1925">
        <f>IF(A1925="","",A1925&amp;"|"&amp;IF(B1925="","Standard",B1925))</f>
        <v/>
      </c>
      <c r="Q1925">
        <f>IF(AND(A1925&lt;&gt;"",A1925='Firm Search'!$C$7),COUNTIF($A$5:A1925,'Firm Search'!$C$7),"")</f>
        <v/>
      </c>
    </row>
    <row r="1926">
      <c r="A1926" s="64" t="n"/>
      <c r="B1926" s="64" t="n"/>
      <c r="C1926" s="66" t="n"/>
      <c r="D1926" s="66" t="n"/>
      <c r="E1926" s="67" t="n"/>
      <c r="F1926" s="67" t="n"/>
      <c r="G1926" s="67" t="n"/>
      <c r="H1926" s="67" t="n"/>
      <c r="I1926" s="67" t="n"/>
      <c r="J1926" s="67" t="n"/>
      <c r="K1926" s="67" t="n"/>
      <c r="L1926" s="67" t="n"/>
      <c r="M1926" s="64" t="n"/>
      <c r="N1926" s="66" t="n"/>
      <c r="O1926" s="84">
        <f>IF(A1926="","",IF(OR(C1926="",D1926=""),"Enter both dates",IF(D1926&lt;C1926,"To is before From",IF(COUNTIFS($P$5:$P$2004,P1926,$C$5:$C$2004,"&lt;="&amp;D1926,$D$5:$D$2004,"&gt;="&amp;C1926)&gt;1,"Overlaps another row","OK"))))</f>
        <v/>
      </c>
      <c r="P1926">
        <f>IF(A1926="","",A1926&amp;"|"&amp;IF(B1926="","Standard",B1926))</f>
        <v/>
      </c>
      <c r="Q1926">
        <f>IF(AND(A1926&lt;&gt;"",A1926='Firm Search'!$C$7),COUNTIF($A$5:A1926,'Firm Search'!$C$7),"")</f>
        <v/>
      </c>
    </row>
    <row r="1927">
      <c r="A1927" s="64" t="n"/>
      <c r="B1927" s="64" t="n"/>
      <c r="C1927" s="66" t="n"/>
      <c r="D1927" s="66" t="n"/>
      <c r="E1927" s="67" t="n"/>
      <c r="F1927" s="67" t="n"/>
      <c r="G1927" s="67" t="n"/>
      <c r="H1927" s="67" t="n"/>
      <c r="I1927" s="67" t="n"/>
      <c r="J1927" s="67" t="n"/>
      <c r="K1927" s="67" t="n"/>
      <c r="L1927" s="67" t="n"/>
      <c r="M1927" s="64" t="n"/>
      <c r="N1927" s="66" t="n"/>
      <c r="O1927" s="84">
        <f>IF(A1927="","",IF(OR(C1927="",D1927=""),"Enter both dates",IF(D1927&lt;C1927,"To is before From",IF(COUNTIFS($P$5:$P$2004,P1927,$C$5:$C$2004,"&lt;="&amp;D1927,$D$5:$D$2004,"&gt;="&amp;C1927)&gt;1,"Overlaps another row","OK"))))</f>
        <v/>
      </c>
      <c r="P1927">
        <f>IF(A1927="","",A1927&amp;"|"&amp;IF(B1927="","Standard",B1927))</f>
        <v/>
      </c>
      <c r="Q1927">
        <f>IF(AND(A1927&lt;&gt;"",A1927='Firm Search'!$C$7),COUNTIF($A$5:A1927,'Firm Search'!$C$7),"")</f>
        <v/>
      </c>
    </row>
    <row r="1928">
      <c r="A1928" s="64" t="n"/>
      <c r="B1928" s="64" t="n"/>
      <c r="C1928" s="66" t="n"/>
      <c r="D1928" s="66" t="n"/>
      <c r="E1928" s="67" t="n"/>
      <c r="F1928" s="67" t="n"/>
      <c r="G1928" s="67" t="n"/>
      <c r="H1928" s="67" t="n"/>
      <c r="I1928" s="67" t="n"/>
      <c r="J1928" s="67" t="n"/>
      <c r="K1928" s="67" t="n"/>
      <c r="L1928" s="67" t="n"/>
      <c r="M1928" s="64" t="n"/>
      <c r="N1928" s="66" t="n"/>
      <c r="O1928" s="84">
        <f>IF(A1928="","",IF(OR(C1928="",D1928=""),"Enter both dates",IF(D1928&lt;C1928,"To is before From",IF(COUNTIFS($P$5:$P$2004,P1928,$C$5:$C$2004,"&lt;="&amp;D1928,$D$5:$D$2004,"&gt;="&amp;C1928)&gt;1,"Overlaps another row","OK"))))</f>
        <v/>
      </c>
      <c r="P1928">
        <f>IF(A1928="","",A1928&amp;"|"&amp;IF(B1928="","Standard",B1928))</f>
        <v/>
      </c>
      <c r="Q1928">
        <f>IF(AND(A1928&lt;&gt;"",A1928='Firm Search'!$C$7),COUNTIF($A$5:A1928,'Firm Search'!$C$7),"")</f>
        <v/>
      </c>
    </row>
    <row r="1929">
      <c r="A1929" s="64" t="n"/>
      <c r="B1929" s="64" t="n"/>
      <c r="C1929" s="66" t="n"/>
      <c r="D1929" s="66" t="n"/>
      <c r="E1929" s="67" t="n"/>
      <c r="F1929" s="67" t="n"/>
      <c r="G1929" s="67" t="n"/>
      <c r="H1929" s="67" t="n"/>
      <c r="I1929" s="67" t="n"/>
      <c r="J1929" s="67" t="n"/>
      <c r="K1929" s="67" t="n"/>
      <c r="L1929" s="67" t="n"/>
      <c r="M1929" s="64" t="n"/>
      <c r="N1929" s="66" t="n"/>
      <c r="O1929" s="84">
        <f>IF(A1929="","",IF(OR(C1929="",D1929=""),"Enter both dates",IF(D1929&lt;C1929,"To is before From",IF(COUNTIFS($P$5:$P$2004,P1929,$C$5:$C$2004,"&lt;="&amp;D1929,$D$5:$D$2004,"&gt;="&amp;C1929)&gt;1,"Overlaps another row","OK"))))</f>
        <v/>
      </c>
      <c r="P1929">
        <f>IF(A1929="","",A1929&amp;"|"&amp;IF(B1929="","Standard",B1929))</f>
        <v/>
      </c>
      <c r="Q1929">
        <f>IF(AND(A1929&lt;&gt;"",A1929='Firm Search'!$C$7),COUNTIF($A$5:A1929,'Firm Search'!$C$7),"")</f>
        <v/>
      </c>
    </row>
    <row r="1930">
      <c r="A1930" s="64" t="n"/>
      <c r="B1930" s="64" t="n"/>
      <c r="C1930" s="66" t="n"/>
      <c r="D1930" s="66" t="n"/>
      <c r="E1930" s="67" t="n"/>
      <c r="F1930" s="67" t="n"/>
      <c r="G1930" s="67" t="n"/>
      <c r="H1930" s="67" t="n"/>
      <c r="I1930" s="67" t="n"/>
      <c r="J1930" s="67" t="n"/>
      <c r="K1930" s="67" t="n"/>
      <c r="L1930" s="67" t="n"/>
      <c r="M1930" s="64" t="n"/>
      <c r="N1930" s="66" t="n"/>
      <c r="O1930" s="84">
        <f>IF(A1930="","",IF(OR(C1930="",D1930=""),"Enter both dates",IF(D1930&lt;C1930,"To is before From",IF(COUNTIFS($P$5:$P$2004,P1930,$C$5:$C$2004,"&lt;="&amp;D1930,$D$5:$D$2004,"&gt;="&amp;C1930)&gt;1,"Overlaps another row","OK"))))</f>
        <v/>
      </c>
      <c r="P1930">
        <f>IF(A1930="","",A1930&amp;"|"&amp;IF(B1930="","Standard",B1930))</f>
        <v/>
      </c>
      <c r="Q1930">
        <f>IF(AND(A1930&lt;&gt;"",A1930='Firm Search'!$C$7),COUNTIF($A$5:A1930,'Firm Search'!$C$7),"")</f>
        <v/>
      </c>
    </row>
    <row r="1931">
      <c r="A1931" s="64" t="n"/>
      <c r="B1931" s="64" t="n"/>
      <c r="C1931" s="66" t="n"/>
      <c r="D1931" s="66" t="n"/>
      <c r="E1931" s="67" t="n"/>
      <c r="F1931" s="67" t="n"/>
      <c r="G1931" s="67" t="n"/>
      <c r="H1931" s="67" t="n"/>
      <c r="I1931" s="67" t="n"/>
      <c r="J1931" s="67" t="n"/>
      <c r="K1931" s="67" t="n"/>
      <c r="L1931" s="67" t="n"/>
      <c r="M1931" s="64" t="n"/>
      <c r="N1931" s="66" t="n"/>
      <c r="O1931" s="84">
        <f>IF(A1931="","",IF(OR(C1931="",D1931=""),"Enter both dates",IF(D1931&lt;C1931,"To is before From",IF(COUNTIFS($P$5:$P$2004,P1931,$C$5:$C$2004,"&lt;="&amp;D1931,$D$5:$D$2004,"&gt;="&amp;C1931)&gt;1,"Overlaps another row","OK"))))</f>
        <v/>
      </c>
      <c r="P1931">
        <f>IF(A1931="","",A1931&amp;"|"&amp;IF(B1931="","Standard",B1931))</f>
        <v/>
      </c>
      <c r="Q1931">
        <f>IF(AND(A1931&lt;&gt;"",A1931='Firm Search'!$C$7),COUNTIF($A$5:A1931,'Firm Search'!$C$7),"")</f>
        <v/>
      </c>
    </row>
    <row r="1932">
      <c r="A1932" s="64" t="n"/>
      <c r="B1932" s="64" t="n"/>
      <c r="C1932" s="66" t="n"/>
      <c r="D1932" s="66" t="n"/>
      <c r="E1932" s="67" t="n"/>
      <c r="F1932" s="67" t="n"/>
      <c r="G1932" s="67" t="n"/>
      <c r="H1932" s="67" t="n"/>
      <c r="I1932" s="67" t="n"/>
      <c r="J1932" s="67" t="n"/>
      <c r="K1932" s="67" t="n"/>
      <c r="L1932" s="67" t="n"/>
      <c r="M1932" s="64" t="n"/>
      <c r="N1932" s="66" t="n"/>
      <c r="O1932" s="84">
        <f>IF(A1932="","",IF(OR(C1932="",D1932=""),"Enter both dates",IF(D1932&lt;C1932,"To is before From",IF(COUNTIFS($P$5:$P$2004,P1932,$C$5:$C$2004,"&lt;="&amp;D1932,$D$5:$D$2004,"&gt;="&amp;C1932)&gt;1,"Overlaps another row","OK"))))</f>
        <v/>
      </c>
      <c r="P1932">
        <f>IF(A1932="","",A1932&amp;"|"&amp;IF(B1932="","Standard",B1932))</f>
        <v/>
      </c>
      <c r="Q1932">
        <f>IF(AND(A1932&lt;&gt;"",A1932='Firm Search'!$C$7),COUNTIF($A$5:A1932,'Firm Search'!$C$7),"")</f>
        <v/>
      </c>
    </row>
    <row r="1933">
      <c r="A1933" s="64" t="n"/>
      <c r="B1933" s="64" t="n"/>
      <c r="C1933" s="66" t="n"/>
      <c r="D1933" s="66" t="n"/>
      <c r="E1933" s="67" t="n"/>
      <c r="F1933" s="67" t="n"/>
      <c r="G1933" s="67" t="n"/>
      <c r="H1933" s="67" t="n"/>
      <c r="I1933" s="67" t="n"/>
      <c r="J1933" s="67" t="n"/>
      <c r="K1933" s="67" t="n"/>
      <c r="L1933" s="67" t="n"/>
      <c r="M1933" s="64" t="n"/>
      <c r="N1933" s="66" t="n"/>
      <c r="O1933" s="84">
        <f>IF(A1933="","",IF(OR(C1933="",D1933=""),"Enter both dates",IF(D1933&lt;C1933,"To is before From",IF(COUNTIFS($P$5:$P$2004,P1933,$C$5:$C$2004,"&lt;="&amp;D1933,$D$5:$D$2004,"&gt;="&amp;C1933)&gt;1,"Overlaps another row","OK"))))</f>
        <v/>
      </c>
      <c r="P1933">
        <f>IF(A1933="","",A1933&amp;"|"&amp;IF(B1933="","Standard",B1933))</f>
        <v/>
      </c>
      <c r="Q1933">
        <f>IF(AND(A1933&lt;&gt;"",A1933='Firm Search'!$C$7),COUNTIF($A$5:A1933,'Firm Search'!$C$7),"")</f>
        <v/>
      </c>
    </row>
    <row r="1934">
      <c r="A1934" s="64" t="n"/>
      <c r="B1934" s="64" t="n"/>
      <c r="C1934" s="66" t="n"/>
      <c r="D1934" s="66" t="n"/>
      <c r="E1934" s="67" t="n"/>
      <c r="F1934" s="67" t="n"/>
      <c r="G1934" s="67" t="n"/>
      <c r="H1934" s="67" t="n"/>
      <c r="I1934" s="67" t="n"/>
      <c r="J1934" s="67" t="n"/>
      <c r="K1934" s="67" t="n"/>
      <c r="L1934" s="67" t="n"/>
      <c r="M1934" s="64" t="n"/>
      <c r="N1934" s="66" t="n"/>
      <c r="O1934" s="84">
        <f>IF(A1934="","",IF(OR(C1934="",D1934=""),"Enter both dates",IF(D1934&lt;C1934,"To is before From",IF(COUNTIFS($P$5:$P$2004,P1934,$C$5:$C$2004,"&lt;="&amp;D1934,$D$5:$D$2004,"&gt;="&amp;C1934)&gt;1,"Overlaps another row","OK"))))</f>
        <v/>
      </c>
      <c r="P1934">
        <f>IF(A1934="","",A1934&amp;"|"&amp;IF(B1934="","Standard",B1934))</f>
        <v/>
      </c>
      <c r="Q1934">
        <f>IF(AND(A1934&lt;&gt;"",A1934='Firm Search'!$C$7),COUNTIF($A$5:A1934,'Firm Search'!$C$7),"")</f>
        <v/>
      </c>
    </row>
    <row r="1935">
      <c r="A1935" s="64" t="n"/>
      <c r="B1935" s="64" t="n"/>
      <c r="C1935" s="66" t="n"/>
      <c r="D1935" s="66" t="n"/>
      <c r="E1935" s="67" t="n"/>
      <c r="F1935" s="67" t="n"/>
      <c r="G1935" s="67" t="n"/>
      <c r="H1935" s="67" t="n"/>
      <c r="I1935" s="67" t="n"/>
      <c r="J1935" s="67" t="n"/>
      <c r="K1935" s="67" t="n"/>
      <c r="L1935" s="67" t="n"/>
      <c r="M1935" s="64" t="n"/>
      <c r="N1935" s="66" t="n"/>
      <c r="O1935" s="84">
        <f>IF(A1935="","",IF(OR(C1935="",D1935=""),"Enter both dates",IF(D1935&lt;C1935,"To is before From",IF(COUNTIFS($P$5:$P$2004,P1935,$C$5:$C$2004,"&lt;="&amp;D1935,$D$5:$D$2004,"&gt;="&amp;C1935)&gt;1,"Overlaps another row","OK"))))</f>
        <v/>
      </c>
      <c r="P1935">
        <f>IF(A1935="","",A1935&amp;"|"&amp;IF(B1935="","Standard",B1935))</f>
        <v/>
      </c>
      <c r="Q1935">
        <f>IF(AND(A1935&lt;&gt;"",A1935='Firm Search'!$C$7),COUNTIF($A$5:A1935,'Firm Search'!$C$7),"")</f>
        <v/>
      </c>
    </row>
    <row r="1936">
      <c r="A1936" s="64" t="n"/>
      <c r="B1936" s="64" t="n"/>
      <c r="C1936" s="66" t="n"/>
      <c r="D1936" s="66" t="n"/>
      <c r="E1936" s="67" t="n"/>
      <c r="F1936" s="67" t="n"/>
      <c r="G1936" s="67" t="n"/>
      <c r="H1936" s="67" t="n"/>
      <c r="I1936" s="67" t="n"/>
      <c r="J1936" s="67" t="n"/>
      <c r="K1936" s="67" t="n"/>
      <c r="L1936" s="67" t="n"/>
      <c r="M1936" s="64" t="n"/>
      <c r="N1936" s="66" t="n"/>
      <c r="O1936" s="84">
        <f>IF(A1936="","",IF(OR(C1936="",D1936=""),"Enter both dates",IF(D1936&lt;C1936,"To is before From",IF(COUNTIFS($P$5:$P$2004,P1936,$C$5:$C$2004,"&lt;="&amp;D1936,$D$5:$D$2004,"&gt;="&amp;C1936)&gt;1,"Overlaps another row","OK"))))</f>
        <v/>
      </c>
      <c r="P1936">
        <f>IF(A1936="","",A1936&amp;"|"&amp;IF(B1936="","Standard",B1936))</f>
        <v/>
      </c>
      <c r="Q1936">
        <f>IF(AND(A1936&lt;&gt;"",A1936='Firm Search'!$C$7),COUNTIF($A$5:A1936,'Firm Search'!$C$7),"")</f>
        <v/>
      </c>
    </row>
    <row r="1937">
      <c r="A1937" s="64" t="n"/>
      <c r="B1937" s="64" t="n"/>
      <c r="C1937" s="66" t="n"/>
      <c r="D1937" s="66" t="n"/>
      <c r="E1937" s="67" t="n"/>
      <c r="F1937" s="67" t="n"/>
      <c r="G1937" s="67" t="n"/>
      <c r="H1937" s="67" t="n"/>
      <c r="I1937" s="67" t="n"/>
      <c r="J1937" s="67" t="n"/>
      <c r="K1937" s="67" t="n"/>
      <c r="L1937" s="67" t="n"/>
      <c r="M1937" s="64" t="n"/>
      <c r="N1937" s="66" t="n"/>
      <c r="O1937" s="84">
        <f>IF(A1937="","",IF(OR(C1937="",D1937=""),"Enter both dates",IF(D1937&lt;C1937,"To is before From",IF(COUNTIFS($P$5:$P$2004,P1937,$C$5:$C$2004,"&lt;="&amp;D1937,$D$5:$D$2004,"&gt;="&amp;C1937)&gt;1,"Overlaps another row","OK"))))</f>
        <v/>
      </c>
      <c r="P1937">
        <f>IF(A1937="","",A1937&amp;"|"&amp;IF(B1937="","Standard",B1937))</f>
        <v/>
      </c>
      <c r="Q1937">
        <f>IF(AND(A1937&lt;&gt;"",A1937='Firm Search'!$C$7),COUNTIF($A$5:A1937,'Firm Search'!$C$7),"")</f>
        <v/>
      </c>
    </row>
    <row r="1938">
      <c r="A1938" s="64" t="n"/>
      <c r="B1938" s="64" t="n"/>
      <c r="C1938" s="66" t="n"/>
      <c r="D1938" s="66" t="n"/>
      <c r="E1938" s="67" t="n"/>
      <c r="F1938" s="67" t="n"/>
      <c r="G1938" s="67" t="n"/>
      <c r="H1938" s="67" t="n"/>
      <c r="I1938" s="67" t="n"/>
      <c r="J1938" s="67" t="n"/>
      <c r="K1938" s="67" t="n"/>
      <c r="L1938" s="67" t="n"/>
      <c r="M1938" s="64" t="n"/>
      <c r="N1938" s="66" t="n"/>
      <c r="O1938" s="84">
        <f>IF(A1938="","",IF(OR(C1938="",D1938=""),"Enter both dates",IF(D1938&lt;C1938,"To is before From",IF(COUNTIFS($P$5:$P$2004,P1938,$C$5:$C$2004,"&lt;="&amp;D1938,$D$5:$D$2004,"&gt;="&amp;C1938)&gt;1,"Overlaps another row","OK"))))</f>
        <v/>
      </c>
      <c r="P1938">
        <f>IF(A1938="","",A1938&amp;"|"&amp;IF(B1938="","Standard",B1938))</f>
        <v/>
      </c>
      <c r="Q1938">
        <f>IF(AND(A1938&lt;&gt;"",A1938='Firm Search'!$C$7),COUNTIF($A$5:A1938,'Firm Search'!$C$7),"")</f>
        <v/>
      </c>
    </row>
    <row r="1939">
      <c r="A1939" s="64" t="n"/>
      <c r="B1939" s="64" t="n"/>
      <c r="C1939" s="66" t="n"/>
      <c r="D1939" s="66" t="n"/>
      <c r="E1939" s="67" t="n"/>
      <c r="F1939" s="67" t="n"/>
      <c r="G1939" s="67" t="n"/>
      <c r="H1939" s="67" t="n"/>
      <c r="I1939" s="67" t="n"/>
      <c r="J1939" s="67" t="n"/>
      <c r="K1939" s="67" t="n"/>
      <c r="L1939" s="67" t="n"/>
      <c r="M1939" s="64" t="n"/>
      <c r="N1939" s="66" t="n"/>
      <c r="O1939" s="84">
        <f>IF(A1939="","",IF(OR(C1939="",D1939=""),"Enter both dates",IF(D1939&lt;C1939,"To is before From",IF(COUNTIFS($P$5:$P$2004,P1939,$C$5:$C$2004,"&lt;="&amp;D1939,$D$5:$D$2004,"&gt;="&amp;C1939)&gt;1,"Overlaps another row","OK"))))</f>
        <v/>
      </c>
      <c r="P1939">
        <f>IF(A1939="","",A1939&amp;"|"&amp;IF(B1939="","Standard",B1939))</f>
        <v/>
      </c>
      <c r="Q1939">
        <f>IF(AND(A1939&lt;&gt;"",A1939='Firm Search'!$C$7),COUNTIF($A$5:A1939,'Firm Search'!$C$7),"")</f>
        <v/>
      </c>
    </row>
    <row r="1940">
      <c r="A1940" s="64" t="n"/>
      <c r="B1940" s="64" t="n"/>
      <c r="C1940" s="66" t="n"/>
      <c r="D1940" s="66" t="n"/>
      <c r="E1940" s="67" t="n"/>
      <c r="F1940" s="67" t="n"/>
      <c r="G1940" s="67" t="n"/>
      <c r="H1940" s="67" t="n"/>
      <c r="I1940" s="67" t="n"/>
      <c r="J1940" s="67" t="n"/>
      <c r="K1940" s="67" t="n"/>
      <c r="L1940" s="67" t="n"/>
      <c r="M1940" s="64" t="n"/>
      <c r="N1940" s="66" t="n"/>
      <c r="O1940" s="84">
        <f>IF(A1940="","",IF(OR(C1940="",D1940=""),"Enter both dates",IF(D1940&lt;C1940,"To is before From",IF(COUNTIFS($P$5:$P$2004,P1940,$C$5:$C$2004,"&lt;="&amp;D1940,$D$5:$D$2004,"&gt;="&amp;C1940)&gt;1,"Overlaps another row","OK"))))</f>
        <v/>
      </c>
      <c r="P1940">
        <f>IF(A1940="","",A1940&amp;"|"&amp;IF(B1940="","Standard",B1940))</f>
        <v/>
      </c>
      <c r="Q1940">
        <f>IF(AND(A1940&lt;&gt;"",A1940='Firm Search'!$C$7),COUNTIF($A$5:A1940,'Firm Search'!$C$7),"")</f>
        <v/>
      </c>
    </row>
    <row r="1941">
      <c r="A1941" s="64" t="n"/>
      <c r="B1941" s="64" t="n"/>
      <c r="C1941" s="66" t="n"/>
      <c r="D1941" s="66" t="n"/>
      <c r="E1941" s="67" t="n"/>
      <c r="F1941" s="67" t="n"/>
      <c r="G1941" s="67" t="n"/>
      <c r="H1941" s="67" t="n"/>
      <c r="I1941" s="67" t="n"/>
      <c r="J1941" s="67" t="n"/>
      <c r="K1941" s="67" t="n"/>
      <c r="L1941" s="67" t="n"/>
      <c r="M1941" s="64" t="n"/>
      <c r="N1941" s="66" t="n"/>
      <c r="O1941" s="84">
        <f>IF(A1941="","",IF(OR(C1941="",D1941=""),"Enter both dates",IF(D1941&lt;C1941,"To is before From",IF(COUNTIFS($P$5:$P$2004,P1941,$C$5:$C$2004,"&lt;="&amp;D1941,$D$5:$D$2004,"&gt;="&amp;C1941)&gt;1,"Overlaps another row","OK"))))</f>
        <v/>
      </c>
      <c r="P1941">
        <f>IF(A1941="","",A1941&amp;"|"&amp;IF(B1941="","Standard",B1941))</f>
        <v/>
      </c>
      <c r="Q1941">
        <f>IF(AND(A1941&lt;&gt;"",A1941='Firm Search'!$C$7),COUNTIF($A$5:A1941,'Firm Search'!$C$7),"")</f>
        <v/>
      </c>
    </row>
    <row r="1942">
      <c r="A1942" s="64" t="n"/>
      <c r="B1942" s="64" t="n"/>
      <c r="C1942" s="66" t="n"/>
      <c r="D1942" s="66" t="n"/>
      <c r="E1942" s="67" t="n"/>
      <c r="F1942" s="67" t="n"/>
      <c r="G1942" s="67" t="n"/>
      <c r="H1942" s="67" t="n"/>
      <c r="I1942" s="67" t="n"/>
      <c r="J1942" s="67" t="n"/>
      <c r="K1942" s="67" t="n"/>
      <c r="L1942" s="67" t="n"/>
      <c r="M1942" s="64" t="n"/>
      <c r="N1942" s="66" t="n"/>
      <c r="O1942" s="84">
        <f>IF(A1942="","",IF(OR(C1942="",D1942=""),"Enter both dates",IF(D1942&lt;C1942,"To is before From",IF(COUNTIFS($P$5:$P$2004,P1942,$C$5:$C$2004,"&lt;="&amp;D1942,$D$5:$D$2004,"&gt;="&amp;C1942)&gt;1,"Overlaps another row","OK"))))</f>
        <v/>
      </c>
      <c r="P1942">
        <f>IF(A1942="","",A1942&amp;"|"&amp;IF(B1942="","Standard",B1942))</f>
        <v/>
      </c>
      <c r="Q1942">
        <f>IF(AND(A1942&lt;&gt;"",A1942='Firm Search'!$C$7),COUNTIF($A$5:A1942,'Firm Search'!$C$7),"")</f>
        <v/>
      </c>
    </row>
    <row r="1943">
      <c r="A1943" s="64" t="n"/>
      <c r="B1943" s="64" t="n"/>
      <c r="C1943" s="66" t="n"/>
      <c r="D1943" s="66" t="n"/>
      <c r="E1943" s="67" t="n"/>
      <c r="F1943" s="67" t="n"/>
      <c r="G1943" s="67" t="n"/>
      <c r="H1943" s="67" t="n"/>
      <c r="I1943" s="67" t="n"/>
      <c r="J1943" s="67" t="n"/>
      <c r="K1943" s="67" t="n"/>
      <c r="L1943" s="67" t="n"/>
      <c r="M1943" s="64" t="n"/>
      <c r="N1943" s="66" t="n"/>
      <c r="O1943" s="84">
        <f>IF(A1943="","",IF(OR(C1943="",D1943=""),"Enter both dates",IF(D1943&lt;C1943,"To is before From",IF(COUNTIFS($P$5:$P$2004,P1943,$C$5:$C$2004,"&lt;="&amp;D1943,$D$5:$D$2004,"&gt;="&amp;C1943)&gt;1,"Overlaps another row","OK"))))</f>
        <v/>
      </c>
      <c r="P1943">
        <f>IF(A1943="","",A1943&amp;"|"&amp;IF(B1943="","Standard",B1943))</f>
        <v/>
      </c>
      <c r="Q1943">
        <f>IF(AND(A1943&lt;&gt;"",A1943='Firm Search'!$C$7),COUNTIF($A$5:A1943,'Firm Search'!$C$7),"")</f>
        <v/>
      </c>
    </row>
    <row r="1944">
      <c r="A1944" s="64" t="n"/>
      <c r="B1944" s="64" t="n"/>
      <c r="C1944" s="66" t="n"/>
      <c r="D1944" s="66" t="n"/>
      <c r="E1944" s="67" t="n"/>
      <c r="F1944" s="67" t="n"/>
      <c r="G1944" s="67" t="n"/>
      <c r="H1944" s="67" t="n"/>
      <c r="I1944" s="67" t="n"/>
      <c r="J1944" s="67" t="n"/>
      <c r="K1944" s="67" t="n"/>
      <c r="L1944" s="67" t="n"/>
      <c r="M1944" s="64" t="n"/>
      <c r="N1944" s="66" t="n"/>
      <c r="O1944" s="84">
        <f>IF(A1944="","",IF(OR(C1944="",D1944=""),"Enter both dates",IF(D1944&lt;C1944,"To is before From",IF(COUNTIFS($P$5:$P$2004,P1944,$C$5:$C$2004,"&lt;="&amp;D1944,$D$5:$D$2004,"&gt;="&amp;C1944)&gt;1,"Overlaps another row","OK"))))</f>
        <v/>
      </c>
      <c r="P1944">
        <f>IF(A1944="","",A1944&amp;"|"&amp;IF(B1944="","Standard",B1944))</f>
        <v/>
      </c>
      <c r="Q1944">
        <f>IF(AND(A1944&lt;&gt;"",A1944='Firm Search'!$C$7),COUNTIF($A$5:A1944,'Firm Search'!$C$7),"")</f>
        <v/>
      </c>
    </row>
    <row r="1945">
      <c r="A1945" s="64" t="n"/>
      <c r="B1945" s="64" t="n"/>
      <c r="C1945" s="66" t="n"/>
      <c r="D1945" s="66" t="n"/>
      <c r="E1945" s="67" t="n"/>
      <c r="F1945" s="67" t="n"/>
      <c r="G1945" s="67" t="n"/>
      <c r="H1945" s="67" t="n"/>
      <c r="I1945" s="67" t="n"/>
      <c r="J1945" s="67" t="n"/>
      <c r="K1945" s="67" t="n"/>
      <c r="L1945" s="67" t="n"/>
      <c r="M1945" s="64" t="n"/>
      <c r="N1945" s="66" t="n"/>
      <c r="O1945" s="84">
        <f>IF(A1945="","",IF(OR(C1945="",D1945=""),"Enter both dates",IF(D1945&lt;C1945,"To is before From",IF(COUNTIFS($P$5:$P$2004,P1945,$C$5:$C$2004,"&lt;="&amp;D1945,$D$5:$D$2004,"&gt;="&amp;C1945)&gt;1,"Overlaps another row","OK"))))</f>
        <v/>
      </c>
      <c r="P1945">
        <f>IF(A1945="","",A1945&amp;"|"&amp;IF(B1945="","Standard",B1945))</f>
        <v/>
      </c>
      <c r="Q1945">
        <f>IF(AND(A1945&lt;&gt;"",A1945='Firm Search'!$C$7),COUNTIF($A$5:A1945,'Firm Search'!$C$7),"")</f>
        <v/>
      </c>
    </row>
    <row r="1946">
      <c r="A1946" s="64" t="n"/>
      <c r="B1946" s="64" t="n"/>
      <c r="C1946" s="66" t="n"/>
      <c r="D1946" s="66" t="n"/>
      <c r="E1946" s="67" t="n"/>
      <c r="F1946" s="67" t="n"/>
      <c r="G1946" s="67" t="n"/>
      <c r="H1946" s="67" t="n"/>
      <c r="I1946" s="67" t="n"/>
      <c r="J1946" s="67" t="n"/>
      <c r="K1946" s="67" t="n"/>
      <c r="L1946" s="67" t="n"/>
      <c r="M1946" s="64" t="n"/>
      <c r="N1946" s="66" t="n"/>
      <c r="O1946" s="84">
        <f>IF(A1946="","",IF(OR(C1946="",D1946=""),"Enter both dates",IF(D1946&lt;C1946,"To is before From",IF(COUNTIFS($P$5:$P$2004,P1946,$C$5:$C$2004,"&lt;="&amp;D1946,$D$5:$D$2004,"&gt;="&amp;C1946)&gt;1,"Overlaps another row","OK"))))</f>
        <v/>
      </c>
      <c r="P1946">
        <f>IF(A1946="","",A1946&amp;"|"&amp;IF(B1946="","Standard",B1946))</f>
        <v/>
      </c>
      <c r="Q1946">
        <f>IF(AND(A1946&lt;&gt;"",A1946='Firm Search'!$C$7),COUNTIF($A$5:A1946,'Firm Search'!$C$7),"")</f>
        <v/>
      </c>
    </row>
    <row r="1947">
      <c r="A1947" s="64" t="n"/>
      <c r="B1947" s="64" t="n"/>
      <c r="C1947" s="66" t="n"/>
      <c r="D1947" s="66" t="n"/>
      <c r="E1947" s="67" t="n"/>
      <c r="F1947" s="67" t="n"/>
      <c r="G1947" s="67" t="n"/>
      <c r="H1947" s="67" t="n"/>
      <c r="I1947" s="67" t="n"/>
      <c r="J1947" s="67" t="n"/>
      <c r="K1947" s="67" t="n"/>
      <c r="L1947" s="67" t="n"/>
      <c r="M1947" s="64" t="n"/>
      <c r="N1947" s="66" t="n"/>
      <c r="O1947" s="84">
        <f>IF(A1947="","",IF(OR(C1947="",D1947=""),"Enter both dates",IF(D1947&lt;C1947,"To is before From",IF(COUNTIFS($P$5:$P$2004,P1947,$C$5:$C$2004,"&lt;="&amp;D1947,$D$5:$D$2004,"&gt;="&amp;C1947)&gt;1,"Overlaps another row","OK"))))</f>
        <v/>
      </c>
      <c r="P1947">
        <f>IF(A1947="","",A1947&amp;"|"&amp;IF(B1947="","Standard",B1947))</f>
        <v/>
      </c>
      <c r="Q1947">
        <f>IF(AND(A1947&lt;&gt;"",A1947='Firm Search'!$C$7),COUNTIF($A$5:A1947,'Firm Search'!$C$7),"")</f>
        <v/>
      </c>
    </row>
    <row r="1948">
      <c r="A1948" s="64" t="n"/>
      <c r="B1948" s="64" t="n"/>
      <c r="C1948" s="66" t="n"/>
      <c r="D1948" s="66" t="n"/>
      <c r="E1948" s="67" t="n"/>
      <c r="F1948" s="67" t="n"/>
      <c r="G1948" s="67" t="n"/>
      <c r="H1948" s="67" t="n"/>
      <c r="I1948" s="67" t="n"/>
      <c r="J1948" s="67" t="n"/>
      <c r="K1948" s="67" t="n"/>
      <c r="L1948" s="67" t="n"/>
      <c r="M1948" s="64" t="n"/>
      <c r="N1948" s="66" t="n"/>
      <c r="O1948" s="84">
        <f>IF(A1948="","",IF(OR(C1948="",D1948=""),"Enter both dates",IF(D1948&lt;C1948,"To is before From",IF(COUNTIFS($P$5:$P$2004,P1948,$C$5:$C$2004,"&lt;="&amp;D1948,$D$5:$D$2004,"&gt;="&amp;C1948)&gt;1,"Overlaps another row","OK"))))</f>
        <v/>
      </c>
      <c r="P1948">
        <f>IF(A1948="","",A1948&amp;"|"&amp;IF(B1948="","Standard",B1948))</f>
        <v/>
      </c>
      <c r="Q1948">
        <f>IF(AND(A1948&lt;&gt;"",A1948='Firm Search'!$C$7),COUNTIF($A$5:A1948,'Firm Search'!$C$7),"")</f>
        <v/>
      </c>
    </row>
    <row r="1949">
      <c r="A1949" s="64" t="n"/>
      <c r="B1949" s="64" t="n"/>
      <c r="C1949" s="66" t="n"/>
      <c r="D1949" s="66" t="n"/>
      <c r="E1949" s="67" t="n"/>
      <c r="F1949" s="67" t="n"/>
      <c r="G1949" s="67" t="n"/>
      <c r="H1949" s="67" t="n"/>
      <c r="I1949" s="67" t="n"/>
      <c r="J1949" s="67" t="n"/>
      <c r="K1949" s="67" t="n"/>
      <c r="L1949" s="67" t="n"/>
      <c r="M1949" s="64" t="n"/>
      <c r="N1949" s="66" t="n"/>
      <c r="O1949" s="84">
        <f>IF(A1949="","",IF(OR(C1949="",D1949=""),"Enter both dates",IF(D1949&lt;C1949,"To is before From",IF(COUNTIFS($P$5:$P$2004,P1949,$C$5:$C$2004,"&lt;="&amp;D1949,$D$5:$D$2004,"&gt;="&amp;C1949)&gt;1,"Overlaps another row","OK"))))</f>
        <v/>
      </c>
      <c r="P1949">
        <f>IF(A1949="","",A1949&amp;"|"&amp;IF(B1949="","Standard",B1949))</f>
        <v/>
      </c>
      <c r="Q1949">
        <f>IF(AND(A1949&lt;&gt;"",A1949='Firm Search'!$C$7),COUNTIF($A$5:A1949,'Firm Search'!$C$7),"")</f>
        <v/>
      </c>
    </row>
    <row r="1950">
      <c r="A1950" s="64" t="n"/>
      <c r="B1950" s="64" t="n"/>
      <c r="C1950" s="66" t="n"/>
      <c r="D1950" s="66" t="n"/>
      <c r="E1950" s="67" t="n"/>
      <c r="F1950" s="67" t="n"/>
      <c r="G1950" s="67" t="n"/>
      <c r="H1950" s="67" t="n"/>
      <c r="I1950" s="67" t="n"/>
      <c r="J1950" s="67" t="n"/>
      <c r="K1950" s="67" t="n"/>
      <c r="L1950" s="67" t="n"/>
      <c r="M1950" s="64" t="n"/>
      <c r="N1950" s="66" t="n"/>
      <c r="O1950" s="84">
        <f>IF(A1950="","",IF(OR(C1950="",D1950=""),"Enter both dates",IF(D1950&lt;C1950,"To is before From",IF(COUNTIFS($P$5:$P$2004,P1950,$C$5:$C$2004,"&lt;="&amp;D1950,$D$5:$D$2004,"&gt;="&amp;C1950)&gt;1,"Overlaps another row","OK"))))</f>
        <v/>
      </c>
      <c r="P1950">
        <f>IF(A1950="","",A1950&amp;"|"&amp;IF(B1950="","Standard",B1950))</f>
        <v/>
      </c>
      <c r="Q1950">
        <f>IF(AND(A1950&lt;&gt;"",A1950='Firm Search'!$C$7),COUNTIF($A$5:A1950,'Firm Search'!$C$7),"")</f>
        <v/>
      </c>
    </row>
    <row r="1951">
      <c r="A1951" s="64" t="n"/>
      <c r="B1951" s="64" t="n"/>
      <c r="C1951" s="66" t="n"/>
      <c r="D1951" s="66" t="n"/>
      <c r="E1951" s="67" t="n"/>
      <c r="F1951" s="67" t="n"/>
      <c r="G1951" s="67" t="n"/>
      <c r="H1951" s="67" t="n"/>
      <c r="I1951" s="67" t="n"/>
      <c r="J1951" s="67" t="n"/>
      <c r="K1951" s="67" t="n"/>
      <c r="L1951" s="67" t="n"/>
      <c r="M1951" s="64" t="n"/>
      <c r="N1951" s="66" t="n"/>
      <c r="O1951" s="84">
        <f>IF(A1951="","",IF(OR(C1951="",D1951=""),"Enter both dates",IF(D1951&lt;C1951,"To is before From",IF(COUNTIFS($P$5:$P$2004,P1951,$C$5:$C$2004,"&lt;="&amp;D1951,$D$5:$D$2004,"&gt;="&amp;C1951)&gt;1,"Overlaps another row","OK"))))</f>
        <v/>
      </c>
      <c r="P1951">
        <f>IF(A1951="","",A1951&amp;"|"&amp;IF(B1951="","Standard",B1951))</f>
        <v/>
      </c>
      <c r="Q1951">
        <f>IF(AND(A1951&lt;&gt;"",A1951='Firm Search'!$C$7),COUNTIF($A$5:A1951,'Firm Search'!$C$7),"")</f>
        <v/>
      </c>
    </row>
    <row r="1952">
      <c r="A1952" s="64" t="n"/>
      <c r="B1952" s="64" t="n"/>
      <c r="C1952" s="66" t="n"/>
      <c r="D1952" s="66" t="n"/>
      <c r="E1952" s="67" t="n"/>
      <c r="F1952" s="67" t="n"/>
      <c r="G1952" s="67" t="n"/>
      <c r="H1952" s="67" t="n"/>
      <c r="I1952" s="67" t="n"/>
      <c r="J1952" s="67" t="n"/>
      <c r="K1952" s="67" t="n"/>
      <c r="L1952" s="67" t="n"/>
      <c r="M1952" s="64" t="n"/>
      <c r="N1952" s="66" t="n"/>
      <c r="O1952" s="84">
        <f>IF(A1952="","",IF(OR(C1952="",D1952=""),"Enter both dates",IF(D1952&lt;C1952,"To is before From",IF(COUNTIFS($P$5:$P$2004,P1952,$C$5:$C$2004,"&lt;="&amp;D1952,$D$5:$D$2004,"&gt;="&amp;C1952)&gt;1,"Overlaps another row","OK"))))</f>
        <v/>
      </c>
      <c r="P1952">
        <f>IF(A1952="","",A1952&amp;"|"&amp;IF(B1952="","Standard",B1952))</f>
        <v/>
      </c>
      <c r="Q1952">
        <f>IF(AND(A1952&lt;&gt;"",A1952='Firm Search'!$C$7),COUNTIF($A$5:A1952,'Firm Search'!$C$7),"")</f>
        <v/>
      </c>
    </row>
    <row r="1953">
      <c r="A1953" s="64" t="n"/>
      <c r="B1953" s="64" t="n"/>
      <c r="C1953" s="66" t="n"/>
      <c r="D1953" s="66" t="n"/>
      <c r="E1953" s="67" t="n"/>
      <c r="F1953" s="67" t="n"/>
      <c r="G1953" s="67" t="n"/>
      <c r="H1953" s="67" t="n"/>
      <c r="I1953" s="67" t="n"/>
      <c r="J1953" s="67" t="n"/>
      <c r="K1953" s="67" t="n"/>
      <c r="L1953" s="67" t="n"/>
      <c r="M1953" s="64" t="n"/>
      <c r="N1953" s="66" t="n"/>
      <c r="O1953" s="84">
        <f>IF(A1953="","",IF(OR(C1953="",D1953=""),"Enter both dates",IF(D1953&lt;C1953,"To is before From",IF(COUNTIFS($P$5:$P$2004,P1953,$C$5:$C$2004,"&lt;="&amp;D1953,$D$5:$D$2004,"&gt;="&amp;C1953)&gt;1,"Overlaps another row","OK"))))</f>
        <v/>
      </c>
      <c r="P1953">
        <f>IF(A1953="","",A1953&amp;"|"&amp;IF(B1953="","Standard",B1953))</f>
        <v/>
      </c>
      <c r="Q1953">
        <f>IF(AND(A1953&lt;&gt;"",A1953='Firm Search'!$C$7),COUNTIF($A$5:A1953,'Firm Search'!$C$7),"")</f>
        <v/>
      </c>
    </row>
    <row r="1954">
      <c r="A1954" s="64" t="n"/>
      <c r="B1954" s="64" t="n"/>
      <c r="C1954" s="66" t="n"/>
      <c r="D1954" s="66" t="n"/>
      <c r="E1954" s="67" t="n"/>
      <c r="F1954" s="67" t="n"/>
      <c r="G1954" s="67" t="n"/>
      <c r="H1954" s="67" t="n"/>
      <c r="I1954" s="67" t="n"/>
      <c r="J1954" s="67" t="n"/>
      <c r="K1954" s="67" t="n"/>
      <c r="L1954" s="67" t="n"/>
      <c r="M1954" s="64" t="n"/>
      <c r="N1954" s="66" t="n"/>
      <c r="O1954" s="84">
        <f>IF(A1954="","",IF(OR(C1954="",D1954=""),"Enter both dates",IF(D1954&lt;C1954,"To is before From",IF(COUNTIFS($P$5:$P$2004,P1954,$C$5:$C$2004,"&lt;="&amp;D1954,$D$5:$D$2004,"&gt;="&amp;C1954)&gt;1,"Overlaps another row","OK"))))</f>
        <v/>
      </c>
      <c r="P1954">
        <f>IF(A1954="","",A1954&amp;"|"&amp;IF(B1954="","Standard",B1954))</f>
        <v/>
      </c>
      <c r="Q1954">
        <f>IF(AND(A1954&lt;&gt;"",A1954='Firm Search'!$C$7),COUNTIF($A$5:A1954,'Firm Search'!$C$7),"")</f>
        <v/>
      </c>
    </row>
    <row r="1955">
      <c r="A1955" s="64" t="n"/>
      <c r="B1955" s="64" t="n"/>
      <c r="C1955" s="66" t="n"/>
      <c r="D1955" s="66" t="n"/>
      <c r="E1955" s="67" t="n"/>
      <c r="F1955" s="67" t="n"/>
      <c r="G1955" s="67" t="n"/>
      <c r="H1955" s="67" t="n"/>
      <c r="I1955" s="67" t="n"/>
      <c r="J1955" s="67" t="n"/>
      <c r="K1955" s="67" t="n"/>
      <c r="L1955" s="67" t="n"/>
      <c r="M1955" s="64" t="n"/>
      <c r="N1955" s="66" t="n"/>
      <c r="O1955" s="84">
        <f>IF(A1955="","",IF(OR(C1955="",D1955=""),"Enter both dates",IF(D1955&lt;C1955,"To is before From",IF(COUNTIFS($P$5:$P$2004,P1955,$C$5:$C$2004,"&lt;="&amp;D1955,$D$5:$D$2004,"&gt;="&amp;C1955)&gt;1,"Overlaps another row","OK"))))</f>
        <v/>
      </c>
      <c r="P1955">
        <f>IF(A1955="","",A1955&amp;"|"&amp;IF(B1955="","Standard",B1955))</f>
        <v/>
      </c>
      <c r="Q1955">
        <f>IF(AND(A1955&lt;&gt;"",A1955='Firm Search'!$C$7),COUNTIF($A$5:A1955,'Firm Search'!$C$7),"")</f>
        <v/>
      </c>
    </row>
    <row r="1956">
      <c r="A1956" s="64" t="n"/>
      <c r="B1956" s="64" t="n"/>
      <c r="C1956" s="66" t="n"/>
      <c r="D1956" s="66" t="n"/>
      <c r="E1956" s="67" t="n"/>
      <c r="F1956" s="67" t="n"/>
      <c r="G1956" s="67" t="n"/>
      <c r="H1956" s="67" t="n"/>
      <c r="I1956" s="67" t="n"/>
      <c r="J1956" s="67" t="n"/>
      <c r="K1956" s="67" t="n"/>
      <c r="L1956" s="67" t="n"/>
      <c r="M1956" s="64" t="n"/>
      <c r="N1956" s="66" t="n"/>
      <c r="O1956" s="84">
        <f>IF(A1956="","",IF(OR(C1956="",D1956=""),"Enter both dates",IF(D1956&lt;C1956,"To is before From",IF(COUNTIFS($P$5:$P$2004,P1956,$C$5:$C$2004,"&lt;="&amp;D1956,$D$5:$D$2004,"&gt;="&amp;C1956)&gt;1,"Overlaps another row","OK"))))</f>
        <v/>
      </c>
      <c r="P1956">
        <f>IF(A1956="","",A1956&amp;"|"&amp;IF(B1956="","Standard",B1956))</f>
        <v/>
      </c>
      <c r="Q1956">
        <f>IF(AND(A1956&lt;&gt;"",A1956='Firm Search'!$C$7),COUNTIF($A$5:A1956,'Firm Search'!$C$7),"")</f>
        <v/>
      </c>
    </row>
    <row r="1957">
      <c r="A1957" s="64" t="n"/>
      <c r="B1957" s="64" t="n"/>
      <c r="C1957" s="66" t="n"/>
      <c r="D1957" s="66" t="n"/>
      <c r="E1957" s="67" t="n"/>
      <c r="F1957" s="67" t="n"/>
      <c r="G1957" s="67" t="n"/>
      <c r="H1957" s="67" t="n"/>
      <c r="I1957" s="67" t="n"/>
      <c r="J1957" s="67" t="n"/>
      <c r="K1957" s="67" t="n"/>
      <c r="L1957" s="67" t="n"/>
      <c r="M1957" s="64" t="n"/>
      <c r="N1957" s="66" t="n"/>
      <c r="O1957" s="84">
        <f>IF(A1957="","",IF(OR(C1957="",D1957=""),"Enter both dates",IF(D1957&lt;C1957,"To is before From",IF(COUNTIFS($P$5:$P$2004,P1957,$C$5:$C$2004,"&lt;="&amp;D1957,$D$5:$D$2004,"&gt;="&amp;C1957)&gt;1,"Overlaps another row","OK"))))</f>
        <v/>
      </c>
      <c r="P1957">
        <f>IF(A1957="","",A1957&amp;"|"&amp;IF(B1957="","Standard",B1957))</f>
        <v/>
      </c>
      <c r="Q1957">
        <f>IF(AND(A1957&lt;&gt;"",A1957='Firm Search'!$C$7),COUNTIF($A$5:A1957,'Firm Search'!$C$7),"")</f>
        <v/>
      </c>
    </row>
    <row r="1958">
      <c r="A1958" s="64" t="n"/>
      <c r="B1958" s="64" t="n"/>
      <c r="C1958" s="66" t="n"/>
      <c r="D1958" s="66" t="n"/>
      <c r="E1958" s="67" t="n"/>
      <c r="F1958" s="67" t="n"/>
      <c r="G1958" s="67" t="n"/>
      <c r="H1958" s="67" t="n"/>
      <c r="I1958" s="67" t="n"/>
      <c r="J1958" s="67" t="n"/>
      <c r="K1958" s="67" t="n"/>
      <c r="L1958" s="67" t="n"/>
      <c r="M1958" s="64" t="n"/>
      <c r="N1958" s="66" t="n"/>
      <c r="O1958" s="84">
        <f>IF(A1958="","",IF(OR(C1958="",D1958=""),"Enter both dates",IF(D1958&lt;C1958,"To is before From",IF(COUNTIFS($P$5:$P$2004,P1958,$C$5:$C$2004,"&lt;="&amp;D1958,$D$5:$D$2004,"&gt;="&amp;C1958)&gt;1,"Overlaps another row","OK"))))</f>
        <v/>
      </c>
      <c r="P1958">
        <f>IF(A1958="","",A1958&amp;"|"&amp;IF(B1958="","Standard",B1958))</f>
        <v/>
      </c>
      <c r="Q1958">
        <f>IF(AND(A1958&lt;&gt;"",A1958='Firm Search'!$C$7),COUNTIF($A$5:A1958,'Firm Search'!$C$7),"")</f>
        <v/>
      </c>
    </row>
    <row r="1959">
      <c r="A1959" s="64" t="n"/>
      <c r="B1959" s="64" t="n"/>
      <c r="C1959" s="66" t="n"/>
      <c r="D1959" s="66" t="n"/>
      <c r="E1959" s="67" t="n"/>
      <c r="F1959" s="67" t="n"/>
      <c r="G1959" s="67" t="n"/>
      <c r="H1959" s="67" t="n"/>
      <c r="I1959" s="67" t="n"/>
      <c r="J1959" s="67" t="n"/>
      <c r="K1959" s="67" t="n"/>
      <c r="L1959" s="67" t="n"/>
      <c r="M1959" s="64" t="n"/>
      <c r="N1959" s="66" t="n"/>
      <c r="O1959" s="84">
        <f>IF(A1959="","",IF(OR(C1959="",D1959=""),"Enter both dates",IF(D1959&lt;C1959,"To is before From",IF(COUNTIFS($P$5:$P$2004,P1959,$C$5:$C$2004,"&lt;="&amp;D1959,$D$5:$D$2004,"&gt;="&amp;C1959)&gt;1,"Overlaps another row","OK"))))</f>
        <v/>
      </c>
      <c r="P1959">
        <f>IF(A1959="","",A1959&amp;"|"&amp;IF(B1959="","Standard",B1959))</f>
        <v/>
      </c>
      <c r="Q1959">
        <f>IF(AND(A1959&lt;&gt;"",A1959='Firm Search'!$C$7),COUNTIF($A$5:A1959,'Firm Search'!$C$7),"")</f>
        <v/>
      </c>
    </row>
    <row r="1960">
      <c r="A1960" s="64" t="n"/>
      <c r="B1960" s="64" t="n"/>
      <c r="C1960" s="66" t="n"/>
      <c r="D1960" s="66" t="n"/>
      <c r="E1960" s="67" t="n"/>
      <c r="F1960" s="67" t="n"/>
      <c r="G1960" s="67" t="n"/>
      <c r="H1960" s="67" t="n"/>
      <c r="I1960" s="67" t="n"/>
      <c r="J1960" s="67" t="n"/>
      <c r="K1960" s="67" t="n"/>
      <c r="L1960" s="67" t="n"/>
      <c r="M1960" s="64" t="n"/>
      <c r="N1960" s="66" t="n"/>
      <c r="O1960" s="84">
        <f>IF(A1960="","",IF(OR(C1960="",D1960=""),"Enter both dates",IF(D1960&lt;C1960,"To is before From",IF(COUNTIFS($P$5:$P$2004,P1960,$C$5:$C$2004,"&lt;="&amp;D1960,$D$5:$D$2004,"&gt;="&amp;C1960)&gt;1,"Overlaps another row","OK"))))</f>
        <v/>
      </c>
      <c r="P1960">
        <f>IF(A1960="","",A1960&amp;"|"&amp;IF(B1960="","Standard",B1960))</f>
        <v/>
      </c>
      <c r="Q1960">
        <f>IF(AND(A1960&lt;&gt;"",A1960='Firm Search'!$C$7),COUNTIF($A$5:A1960,'Firm Search'!$C$7),"")</f>
        <v/>
      </c>
    </row>
    <row r="1961">
      <c r="A1961" s="64" t="n"/>
      <c r="B1961" s="64" t="n"/>
      <c r="C1961" s="66" t="n"/>
      <c r="D1961" s="66" t="n"/>
      <c r="E1961" s="67" t="n"/>
      <c r="F1961" s="67" t="n"/>
      <c r="G1961" s="67" t="n"/>
      <c r="H1961" s="67" t="n"/>
      <c r="I1961" s="67" t="n"/>
      <c r="J1961" s="67" t="n"/>
      <c r="K1961" s="67" t="n"/>
      <c r="L1961" s="67" t="n"/>
      <c r="M1961" s="64" t="n"/>
      <c r="N1961" s="66" t="n"/>
      <c r="O1961" s="84">
        <f>IF(A1961="","",IF(OR(C1961="",D1961=""),"Enter both dates",IF(D1961&lt;C1961,"To is before From",IF(COUNTIFS($P$5:$P$2004,P1961,$C$5:$C$2004,"&lt;="&amp;D1961,$D$5:$D$2004,"&gt;="&amp;C1961)&gt;1,"Overlaps another row","OK"))))</f>
        <v/>
      </c>
      <c r="P1961">
        <f>IF(A1961="","",A1961&amp;"|"&amp;IF(B1961="","Standard",B1961))</f>
        <v/>
      </c>
      <c r="Q1961">
        <f>IF(AND(A1961&lt;&gt;"",A1961='Firm Search'!$C$7),COUNTIF($A$5:A1961,'Firm Search'!$C$7),"")</f>
        <v/>
      </c>
    </row>
    <row r="1962">
      <c r="A1962" s="64" t="n"/>
      <c r="B1962" s="64" t="n"/>
      <c r="C1962" s="66" t="n"/>
      <c r="D1962" s="66" t="n"/>
      <c r="E1962" s="67" t="n"/>
      <c r="F1962" s="67" t="n"/>
      <c r="G1962" s="67" t="n"/>
      <c r="H1962" s="67" t="n"/>
      <c r="I1962" s="67" t="n"/>
      <c r="J1962" s="67" t="n"/>
      <c r="K1962" s="67" t="n"/>
      <c r="L1962" s="67" t="n"/>
      <c r="M1962" s="64" t="n"/>
      <c r="N1962" s="66" t="n"/>
      <c r="O1962" s="84">
        <f>IF(A1962="","",IF(OR(C1962="",D1962=""),"Enter both dates",IF(D1962&lt;C1962,"To is before From",IF(COUNTIFS($P$5:$P$2004,P1962,$C$5:$C$2004,"&lt;="&amp;D1962,$D$5:$D$2004,"&gt;="&amp;C1962)&gt;1,"Overlaps another row","OK"))))</f>
        <v/>
      </c>
      <c r="P1962">
        <f>IF(A1962="","",A1962&amp;"|"&amp;IF(B1962="","Standard",B1962))</f>
        <v/>
      </c>
      <c r="Q1962">
        <f>IF(AND(A1962&lt;&gt;"",A1962='Firm Search'!$C$7),COUNTIF($A$5:A1962,'Firm Search'!$C$7),"")</f>
        <v/>
      </c>
    </row>
    <row r="1963">
      <c r="A1963" s="64" t="n"/>
      <c r="B1963" s="64" t="n"/>
      <c r="C1963" s="66" t="n"/>
      <c r="D1963" s="66" t="n"/>
      <c r="E1963" s="67" t="n"/>
      <c r="F1963" s="67" t="n"/>
      <c r="G1963" s="67" t="n"/>
      <c r="H1963" s="67" t="n"/>
      <c r="I1963" s="67" t="n"/>
      <c r="J1963" s="67" t="n"/>
      <c r="K1963" s="67" t="n"/>
      <c r="L1963" s="67" t="n"/>
      <c r="M1963" s="64" t="n"/>
      <c r="N1963" s="66" t="n"/>
      <c r="O1963" s="84">
        <f>IF(A1963="","",IF(OR(C1963="",D1963=""),"Enter both dates",IF(D1963&lt;C1963,"To is before From",IF(COUNTIFS($P$5:$P$2004,P1963,$C$5:$C$2004,"&lt;="&amp;D1963,$D$5:$D$2004,"&gt;="&amp;C1963)&gt;1,"Overlaps another row","OK"))))</f>
        <v/>
      </c>
      <c r="P1963">
        <f>IF(A1963="","",A1963&amp;"|"&amp;IF(B1963="","Standard",B1963))</f>
        <v/>
      </c>
      <c r="Q1963">
        <f>IF(AND(A1963&lt;&gt;"",A1963='Firm Search'!$C$7),COUNTIF($A$5:A1963,'Firm Search'!$C$7),"")</f>
        <v/>
      </c>
    </row>
    <row r="1964">
      <c r="A1964" s="64" t="n"/>
      <c r="B1964" s="64" t="n"/>
      <c r="C1964" s="66" t="n"/>
      <c r="D1964" s="66" t="n"/>
      <c r="E1964" s="67" t="n"/>
      <c r="F1964" s="67" t="n"/>
      <c r="G1964" s="67" t="n"/>
      <c r="H1964" s="67" t="n"/>
      <c r="I1964" s="67" t="n"/>
      <c r="J1964" s="67" t="n"/>
      <c r="K1964" s="67" t="n"/>
      <c r="L1964" s="67" t="n"/>
      <c r="M1964" s="64" t="n"/>
      <c r="N1964" s="66" t="n"/>
      <c r="O1964" s="84">
        <f>IF(A1964="","",IF(OR(C1964="",D1964=""),"Enter both dates",IF(D1964&lt;C1964,"To is before From",IF(COUNTIFS($P$5:$P$2004,P1964,$C$5:$C$2004,"&lt;="&amp;D1964,$D$5:$D$2004,"&gt;="&amp;C1964)&gt;1,"Overlaps another row","OK"))))</f>
        <v/>
      </c>
      <c r="P1964">
        <f>IF(A1964="","",A1964&amp;"|"&amp;IF(B1964="","Standard",B1964))</f>
        <v/>
      </c>
      <c r="Q1964">
        <f>IF(AND(A1964&lt;&gt;"",A1964='Firm Search'!$C$7),COUNTIF($A$5:A1964,'Firm Search'!$C$7),"")</f>
        <v/>
      </c>
    </row>
    <row r="1965">
      <c r="A1965" s="64" t="n"/>
      <c r="B1965" s="64" t="n"/>
      <c r="C1965" s="66" t="n"/>
      <c r="D1965" s="66" t="n"/>
      <c r="E1965" s="67" t="n"/>
      <c r="F1965" s="67" t="n"/>
      <c r="G1965" s="67" t="n"/>
      <c r="H1965" s="67" t="n"/>
      <c r="I1965" s="67" t="n"/>
      <c r="J1965" s="67" t="n"/>
      <c r="K1965" s="67" t="n"/>
      <c r="L1965" s="67" t="n"/>
      <c r="M1965" s="64" t="n"/>
      <c r="N1965" s="66" t="n"/>
      <c r="O1965" s="84">
        <f>IF(A1965="","",IF(OR(C1965="",D1965=""),"Enter both dates",IF(D1965&lt;C1965,"To is before From",IF(COUNTIFS($P$5:$P$2004,P1965,$C$5:$C$2004,"&lt;="&amp;D1965,$D$5:$D$2004,"&gt;="&amp;C1965)&gt;1,"Overlaps another row","OK"))))</f>
        <v/>
      </c>
      <c r="P1965">
        <f>IF(A1965="","",A1965&amp;"|"&amp;IF(B1965="","Standard",B1965))</f>
        <v/>
      </c>
      <c r="Q1965">
        <f>IF(AND(A1965&lt;&gt;"",A1965='Firm Search'!$C$7),COUNTIF($A$5:A1965,'Firm Search'!$C$7),"")</f>
        <v/>
      </c>
    </row>
    <row r="1966">
      <c r="A1966" s="64" t="n"/>
      <c r="B1966" s="64" t="n"/>
      <c r="C1966" s="66" t="n"/>
      <c r="D1966" s="66" t="n"/>
      <c r="E1966" s="67" t="n"/>
      <c r="F1966" s="67" t="n"/>
      <c r="G1966" s="67" t="n"/>
      <c r="H1966" s="67" t="n"/>
      <c r="I1966" s="67" t="n"/>
      <c r="J1966" s="67" t="n"/>
      <c r="K1966" s="67" t="n"/>
      <c r="L1966" s="67" t="n"/>
      <c r="M1966" s="64" t="n"/>
      <c r="N1966" s="66" t="n"/>
      <c r="O1966" s="84">
        <f>IF(A1966="","",IF(OR(C1966="",D1966=""),"Enter both dates",IF(D1966&lt;C1966,"To is before From",IF(COUNTIFS($P$5:$P$2004,P1966,$C$5:$C$2004,"&lt;="&amp;D1966,$D$5:$D$2004,"&gt;="&amp;C1966)&gt;1,"Overlaps another row","OK"))))</f>
        <v/>
      </c>
      <c r="P1966">
        <f>IF(A1966="","",A1966&amp;"|"&amp;IF(B1966="","Standard",B1966))</f>
        <v/>
      </c>
      <c r="Q1966">
        <f>IF(AND(A1966&lt;&gt;"",A1966='Firm Search'!$C$7),COUNTIF($A$5:A1966,'Firm Search'!$C$7),"")</f>
        <v/>
      </c>
    </row>
    <row r="1967">
      <c r="A1967" s="64" t="n"/>
      <c r="B1967" s="64" t="n"/>
      <c r="C1967" s="66" t="n"/>
      <c r="D1967" s="66" t="n"/>
      <c r="E1967" s="67" t="n"/>
      <c r="F1967" s="67" t="n"/>
      <c r="G1967" s="67" t="n"/>
      <c r="H1967" s="67" t="n"/>
      <c r="I1967" s="67" t="n"/>
      <c r="J1967" s="67" t="n"/>
      <c r="K1967" s="67" t="n"/>
      <c r="L1967" s="67" t="n"/>
      <c r="M1967" s="64" t="n"/>
      <c r="N1967" s="66" t="n"/>
      <c r="O1967" s="84">
        <f>IF(A1967="","",IF(OR(C1967="",D1967=""),"Enter both dates",IF(D1967&lt;C1967,"To is before From",IF(COUNTIFS($P$5:$P$2004,P1967,$C$5:$C$2004,"&lt;="&amp;D1967,$D$5:$D$2004,"&gt;="&amp;C1967)&gt;1,"Overlaps another row","OK"))))</f>
        <v/>
      </c>
      <c r="P1967">
        <f>IF(A1967="","",A1967&amp;"|"&amp;IF(B1967="","Standard",B1967))</f>
        <v/>
      </c>
      <c r="Q1967">
        <f>IF(AND(A1967&lt;&gt;"",A1967='Firm Search'!$C$7),COUNTIF($A$5:A1967,'Firm Search'!$C$7),"")</f>
        <v/>
      </c>
    </row>
    <row r="1968">
      <c r="A1968" s="64" t="n"/>
      <c r="B1968" s="64" t="n"/>
      <c r="C1968" s="66" t="n"/>
      <c r="D1968" s="66" t="n"/>
      <c r="E1968" s="67" t="n"/>
      <c r="F1968" s="67" t="n"/>
      <c r="G1968" s="67" t="n"/>
      <c r="H1968" s="67" t="n"/>
      <c r="I1968" s="67" t="n"/>
      <c r="J1968" s="67" t="n"/>
      <c r="K1968" s="67" t="n"/>
      <c r="L1968" s="67" t="n"/>
      <c r="M1968" s="64" t="n"/>
      <c r="N1968" s="66" t="n"/>
      <c r="O1968" s="84">
        <f>IF(A1968="","",IF(OR(C1968="",D1968=""),"Enter both dates",IF(D1968&lt;C1968,"To is before From",IF(COUNTIFS($P$5:$P$2004,P1968,$C$5:$C$2004,"&lt;="&amp;D1968,$D$5:$D$2004,"&gt;="&amp;C1968)&gt;1,"Overlaps another row","OK"))))</f>
        <v/>
      </c>
      <c r="P1968">
        <f>IF(A1968="","",A1968&amp;"|"&amp;IF(B1968="","Standard",B1968))</f>
        <v/>
      </c>
      <c r="Q1968">
        <f>IF(AND(A1968&lt;&gt;"",A1968='Firm Search'!$C$7),COUNTIF($A$5:A1968,'Firm Search'!$C$7),"")</f>
        <v/>
      </c>
    </row>
    <row r="1969">
      <c r="A1969" s="64" t="n"/>
      <c r="B1969" s="64" t="n"/>
      <c r="C1969" s="66" t="n"/>
      <c r="D1969" s="66" t="n"/>
      <c r="E1969" s="67" t="n"/>
      <c r="F1969" s="67" t="n"/>
      <c r="G1969" s="67" t="n"/>
      <c r="H1969" s="67" t="n"/>
      <c r="I1969" s="67" t="n"/>
      <c r="J1969" s="67" t="n"/>
      <c r="K1969" s="67" t="n"/>
      <c r="L1969" s="67" t="n"/>
      <c r="M1969" s="64" t="n"/>
      <c r="N1969" s="66" t="n"/>
      <c r="O1969" s="84">
        <f>IF(A1969="","",IF(OR(C1969="",D1969=""),"Enter both dates",IF(D1969&lt;C1969,"To is before From",IF(COUNTIFS($P$5:$P$2004,P1969,$C$5:$C$2004,"&lt;="&amp;D1969,$D$5:$D$2004,"&gt;="&amp;C1969)&gt;1,"Overlaps another row","OK"))))</f>
        <v/>
      </c>
      <c r="P1969">
        <f>IF(A1969="","",A1969&amp;"|"&amp;IF(B1969="","Standard",B1969))</f>
        <v/>
      </c>
      <c r="Q1969">
        <f>IF(AND(A1969&lt;&gt;"",A1969='Firm Search'!$C$7),COUNTIF($A$5:A1969,'Firm Search'!$C$7),"")</f>
        <v/>
      </c>
    </row>
    <row r="1970">
      <c r="A1970" s="64" t="n"/>
      <c r="B1970" s="64" t="n"/>
      <c r="C1970" s="66" t="n"/>
      <c r="D1970" s="66" t="n"/>
      <c r="E1970" s="67" t="n"/>
      <c r="F1970" s="67" t="n"/>
      <c r="G1970" s="67" t="n"/>
      <c r="H1970" s="67" t="n"/>
      <c r="I1970" s="67" t="n"/>
      <c r="J1970" s="67" t="n"/>
      <c r="K1970" s="67" t="n"/>
      <c r="L1970" s="67" t="n"/>
      <c r="M1970" s="64" t="n"/>
      <c r="N1970" s="66" t="n"/>
      <c r="O1970" s="84">
        <f>IF(A1970="","",IF(OR(C1970="",D1970=""),"Enter both dates",IF(D1970&lt;C1970,"To is before From",IF(COUNTIFS($P$5:$P$2004,P1970,$C$5:$C$2004,"&lt;="&amp;D1970,$D$5:$D$2004,"&gt;="&amp;C1970)&gt;1,"Overlaps another row","OK"))))</f>
        <v/>
      </c>
      <c r="P1970">
        <f>IF(A1970="","",A1970&amp;"|"&amp;IF(B1970="","Standard",B1970))</f>
        <v/>
      </c>
      <c r="Q1970">
        <f>IF(AND(A1970&lt;&gt;"",A1970='Firm Search'!$C$7),COUNTIF($A$5:A1970,'Firm Search'!$C$7),"")</f>
        <v/>
      </c>
    </row>
    <row r="1971">
      <c r="A1971" s="64" t="n"/>
      <c r="B1971" s="64" t="n"/>
      <c r="C1971" s="66" t="n"/>
      <c r="D1971" s="66" t="n"/>
      <c r="E1971" s="67" t="n"/>
      <c r="F1971" s="67" t="n"/>
      <c r="G1971" s="67" t="n"/>
      <c r="H1971" s="67" t="n"/>
      <c r="I1971" s="67" t="n"/>
      <c r="J1971" s="67" t="n"/>
      <c r="K1971" s="67" t="n"/>
      <c r="L1971" s="67" t="n"/>
      <c r="M1971" s="64" t="n"/>
      <c r="N1971" s="66" t="n"/>
      <c r="O1971" s="84">
        <f>IF(A1971="","",IF(OR(C1971="",D1971=""),"Enter both dates",IF(D1971&lt;C1971,"To is before From",IF(COUNTIFS($P$5:$P$2004,P1971,$C$5:$C$2004,"&lt;="&amp;D1971,$D$5:$D$2004,"&gt;="&amp;C1971)&gt;1,"Overlaps another row","OK"))))</f>
        <v/>
      </c>
      <c r="P1971">
        <f>IF(A1971="","",A1971&amp;"|"&amp;IF(B1971="","Standard",B1971))</f>
        <v/>
      </c>
      <c r="Q1971">
        <f>IF(AND(A1971&lt;&gt;"",A1971='Firm Search'!$C$7),COUNTIF($A$5:A1971,'Firm Search'!$C$7),"")</f>
        <v/>
      </c>
    </row>
    <row r="1972">
      <c r="A1972" s="64" t="n"/>
      <c r="B1972" s="64" t="n"/>
      <c r="C1972" s="66" t="n"/>
      <c r="D1972" s="66" t="n"/>
      <c r="E1972" s="67" t="n"/>
      <c r="F1972" s="67" t="n"/>
      <c r="G1972" s="67" t="n"/>
      <c r="H1972" s="67" t="n"/>
      <c r="I1972" s="67" t="n"/>
      <c r="J1972" s="67" t="n"/>
      <c r="K1972" s="67" t="n"/>
      <c r="L1972" s="67" t="n"/>
      <c r="M1972" s="64" t="n"/>
      <c r="N1972" s="66" t="n"/>
      <c r="O1972" s="84">
        <f>IF(A1972="","",IF(OR(C1972="",D1972=""),"Enter both dates",IF(D1972&lt;C1972,"To is before From",IF(COUNTIFS($P$5:$P$2004,P1972,$C$5:$C$2004,"&lt;="&amp;D1972,$D$5:$D$2004,"&gt;="&amp;C1972)&gt;1,"Overlaps another row","OK"))))</f>
        <v/>
      </c>
      <c r="P1972">
        <f>IF(A1972="","",A1972&amp;"|"&amp;IF(B1972="","Standard",B1972))</f>
        <v/>
      </c>
      <c r="Q1972">
        <f>IF(AND(A1972&lt;&gt;"",A1972='Firm Search'!$C$7),COUNTIF($A$5:A1972,'Firm Search'!$C$7),"")</f>
        <v/>
      </c>
    </row>
    <row r="1973">
      <c r="A1973" s="64" t="n"/>
      <c r="B1973" s="64" t="n"/>
      <c r="C1973" s="66" t="n"/>
      <c r="D1973" s="66" t="n"/>
      <c r="E1973" s="67" t="n"/>
      <c r="F1973" s="67" t="n"/>
      <c r="G1973" s="67" t="n"/>
      <c r="H1973" s="67" t="n"/>
      <c r="I1973" s="67" t="n"/>
      <c r="J1973" s="67" t="n"/>
      <c r="K1973" s="67" t="n"/>
      <c r="L1973" s="67" t="n"/>
      <c r="M1973" s="64" t="n"/>
      <c r="N1973" s="66" t="n"/>
      <c r="O1973" s="84">
        <f>IF(A1973="","",IF(OR(C1973="",D1973=""),"Enter both dates",IF(D1973&lt;C1973,"To is before From",IF(COUNTIFS($P$5:$P$2004,P1973,$C$5:$C$2004,"&lt;="&amp;D1973,$D$5:$D$2004,"&gt;="&amp;C1973)&gt;1,"Overlaps another row","OK"))))</f>
        <v/>
      </c>
      <c r="P1973">
        <f>IF(A1973="","",A1973&amp;"|"&amp;IF(B1973="","Standard",B1973))</f>
        <v/>
      </c>
      <c r="Q1973">
        <f>IF(AND(A1973&lt;&gt;"",A1973='Firm Search'!$C$7),COUNTIF($A$5:A1973,'Firm Search'!$C$7),"")</f>
        <v/>
      </c>
    </row>
    <row r="1974">
      <c r="A1974" s="64" t="n"/>
      <c r="B1974" s="64" t="n"/>
      <c r="C1974" s="66" t="n"/>
      <c r="D1974" s="66" t="n"/>
      <c r="E1974" s="67" t="n"/>
      <c r="F1974" s="67" t="n"/>
      <c r="G1974" s="67" t="n"/>
      <c r="H1974" s="67" t="n"/>
      <c r="I1974" s="67" t="n"/>
      <c r="J1974" s="67" t="n"/>
      <c r="K1974" s="67" t="n"/>
      <c r="L1974" s="67" t="n"/>
      <c r="M1974" s="64" t="n"/>
      <c r="N1974" s="66" t="n"/>
      <c r="O1974" s="84">
        <f>IF(A1974="","",IF(OR(C1974="",D1974=""),"Enter both dates",IF(D1974&lt;C1974,"To is before From",IF(COUNTIFS($P$5:$P$2004,P1974,$C$5:$C$2004,"&lt;="&amp;D1974,$D$5:$D$2004,"&gt;="&amp;C1974)&gt;1,"Overlaps another row","OK"))))</f>
        <v/>
      </c>
      <c r="P1974">
        <f>IF(A1974="","",A1974&amp;"|"&amp;IF(B1974="","Standard",B1974))</f>
        <v/>
      </c>
      <c r="Q1974">
        <f>IF(AND(A1974&lt;&gt;"",A1974='Firm Search'!$C$7),COUNTIF($A$5:A1974,'Firm Search'!$C$7),"")</f>
        <v/>
      </c>
    </row>
    <row r="1975">
      <c r="A1975" s="64" t="n"/>
      <c r="B1975" s="64" t="n"/>
      <c r="C1975" s="66" t="n"/>
      <c r="D1975" s="66" t="n"/>
      <c r="E1975" s="67" t="n"/>
      <c r="F1975" s="67" t="n"/>
      <c r="G1975" s="67" t="n"/>
      <c r="H1975" s="67" t="n"/>
      <c r="I1975" s="67" t="n"/>
      <c r="J1975" s="67" t="n"/>
      <c r="K1975" s="67" t="n"/>
      <c r="L1975" s="67" t="n"/>
      <c r="M1975" s="64" t="n"/>
      <c r="N1975" s="66" t="n"/>
      <c r="O1975" s="84">
        <f>IF(A1975="","",IF(OR(C1975="",D1975=""),"Enter both dates",IF(D1975&lt;C1975,"To is before From",IF(COUNTIFS($P$5:$P$2004,P1975,$C$5:$C$2004,"&lt;="&amp;D1975,$D$5:$D$2004,"&gt;="&amp;C1975)&gt;1,"Overlaps another row","OK"))))</f>
        <v/>
      </c>
      <c r="P1975">
        <f>IF(A1975="","",A1975&amp;"|"&amp;IF(B1975="","Standard",B1975))</f>
        <v/>
      </c>
      <c r="Q1975">
        <f>IF(AND(A1975&lt;&gt;"",A1975='Firm Search'!$C$7),COUNTIF($A$5:A1975,'Firm Search'!$C$7),"")</f>
        <v/>
      </c>
    </row>
    <row r="1976">
      <c r="A1976" s="64" t="n"/>
      <c r="B1976" s="64" t="n"/>
      <c r="C1976" s="66" t="n"/>
      <c r="D1976" s="66" t="n"/>
      <c r="E1976" s="67" t="n"/>
      <c r="F1976" s="67" t="n"/>
      <c r="G1976" s="67" t="n"/>
      <c r="H1976" s="67" t="n"/>
      <c r="I1976" s="67" t="n"/>
      <c r="J1976" s="67" t="n"/>
      <c r="K1976" s="67" t="n"/>
      <c r="L1976" s="67" t="n"/>
      <c r="M1976" s="64" t="n"/>
      <c r="N1976" s="66" t="n"/>
      <c r="O1976" s="84">
        <f>IF(A1976="","",IF(OR(C1976="",D1976=""),"Enter both dates",IF(D1976&lt;C1976,"To is before From",IF(COUNTIFS($P$5:$P$2004,P1976,$C$5:$C$2004,"&lt;="&amp;D1976,$D$5:$D$2004,"&gt;="&amp;C1976)&gt;1,"Overlaps another row","OK"))))</f>
        <v/>
      </c>
      <c r="P1976">
        <f>IF(A1976="","",A1976&amp;"|"&amp;IF(B1976="","Standard",B1976))</f>
        <v/>
      </c>
      <c r="Q1976">
        <f>IF(AND(A1976&lt;&gt;"",A1976='Firm Search'!$C$7),COUNTIF($A$5:A1976,'Firm Search'!$C$7),"")</f>
        <v/>
      </c>
    </row>
    <row r="1977">
      <c r="A1977" s="64" t="n"/>
      <c r="B1977" s="64" t="n"/>
      <c r="C1977" s="66" t="n"/>
      <c r="D1977" s="66" t="n"/>
      <c r="E1977" s="67" t="n"/>
      <c r="F1977" s="67" t="n"/>
      <c r="G1977" s="67" t="n"/>
      <c r="H1977" s="67" t="n"/>
      <c r="I1977" s="67" t="n"/>
      <c r="J1977" s="67" t="n"/>
      <c r="K1977" s="67" t="n"/>
      <c r="L1977" s="67" t="n"/>
      <c r="M1977" s="64" t="n"/>
      <c r="N1977" s="66" t="n"/>
      <c r="O1977" s="84">
        <f>IF(A1977="","",IF(OR(C1977="",D1977=""),"Enter both dates",IF(D1977&lt;C1977,"To is before From",IF(COUNTIFS($P$5:$P$2004,P1977,$C$5:$C$2004,"&lt;="&amp;D1977,$D$5:$D$2004,"&gt;="&amp;C1977)&gt;1,"Overlaps another row","OK"))))</f>
        <v/>
      </c>
      <c r="P1977">
        <f>IF(A1977="","",A1977&amp;"|"&amp;IF(B1977="","Standard",B1977))</f>
        <v/>
      </c>
      <c r="Q1977">
        <f>IF(AND(A1977&lt;&gt;"",A1977='Firm Search'!$C$7),COUNTIF($A$5:A1977,'Firm Search'!$C$7),"")</f>
        <v/>
      </c>
    </row>
    <row r="1978">
      <c r="A1978" s="64" t="n"/>
      <c r="B1978" s="64" t="n"/>
      <c r="C1978" s="66" t="n"/>
      <c r="D1978" s="66" t="n"/>
      <c r="E1978" s="67" t="n"/>
      <c r="F1978" s="67" t="n"/>
      <c r="G1978" s="67" t="n"/>
      <c r="H1978" s="67" t="n"/>
      <c r="I1978" s="67" t="n"/>
      <c r="J1978" s="67" t="n"/>
      <c r="K1978" s="67" t="n"/>
      <c r="L1978" s="67" t="n"/>
      <c r="M1978" s="64" t="n"/>
      <c r="N1978" s="66" t="n"/>
      <c r="O1978" s="84">
        <f>IF(A1978="","",IF(OR(C1978="",D1978=""),"Enter both dates",IF(D1978&lt;C1978,"To is before From",IF(COUNTIFS($P$5:$P$2004,P1978,$C$5:$C$2004,"&lt;="&amp;D1978,$D$5:$D$2004,"&gt;="&amp;C1978)&gt;1,"Overlaps another row","OK"))))</f>
        <v/>
      </c>
      <c r="P1978">
        <f>IF(A1978="","",A1978&amp;"|"&amp;IF(B1978="","Standard",B1978))</f>
        <v/>
      </c>
      <c r="Q1978">
        <f>IF(AND(A1978&lt;&gt;"",A1978='Firm Search'!$C$7),COUNTIF($A$5:A1978,'Firm Search'!$C$7),"")</f>
        <v/>
      </c>
    </row>
    <row r="1979">
      <c r="A1979" s="64" t="n"/>
      <c r="B1979" s="64" t="n"/>
      <c r="C1979" s="66" t="n"/>
      <c r="D1979" s="66" t="n"/>
      <c r="E1979" s="67" t="n"/>
      <c r="F1979" s="67" t="n"/>
      <c r="G1979" s="67" t="n"/>
      <c r="H1979" s="67" t="n"/>
      <c r="I1979" s="67" t="n"/>
      <c r="J1979" s="67" t="n"/>
      <c r="K1979" s="67" t="n"/>
      <c r="L1979" s="67" t="n"/>
      <c r="M1979" s="64" t="n"/>
      <c r="N1979" s="66" t="n"/>
      <c r="O1979" s="84">
        <f>IF(A1979="","",IF(OR(C1979="",D1979=""),"Enter both dates",IF(D1979&lt;C1979,"To is before From",IF(COUNTIFS($P$5:$P$2004,P1979,$C$5:$C$2004,"&lt;="&amp;D1979,$D$5:$D$2004,"&gt;="&amp;C1979)&gt;1,"Overlaps another row","OK"))))</f>
        <v/>
      </c>
      <c r="P1979">
        <f>IF(A1979="","",A1979&amp;"|"&amp;IF(B1979="","Standard",B1979))</f>
        <v/>
      </c>
      <c r="Q1979">
        <f>IF(AND(A1979&lt;&gt;"",A1979='Firm Search'!$C$7),COUNTIF($A$5:A1979,'Firm Search'!$C$7),"")</f>
        <v/>
      </c>
    </row>
    <row r="1980">
      <c r="A1980" s="64" t="n"/>
      <c r="B1980" s="64" t="n"/>
      <c r="C1980" s="66" t="n"/>
      <c r="D1980" s="66" t="n"/>
      <c r="E1980" s="67" t="n"/>
      <c r="F1980" s="67" t="n"/>
      <c r="G1980" s="67" t="n"/>
      <c r="H1980" s="67" t="n"/>
      <c r="I1980" s="67" t="n"/>
      <c r="J1980" s="67" t="n"/>
      <c r="K1980" s="67" t="n"/>
      <c r="L1980" s="67" t="n"/>
      <c r="M1980" s="64" t="n"/>
      <c r="N1980" s="66" t="n"/>
      <c r="O1980" s="84">
        <f>IF(A1980="","",IF(OR(C1980="",D1980=""),"Enter both dates",IF(D1980&lt;C1980,"To is before From",IF(COUNTIFS($P$5:$P$2004,P1980,$C$5:$C$2004,"&lt;="&amp;D1980,$D$5:$D$2004,"&gt;="&amp;C1980)&gt;1,"Overlaps another row","OK"))))</f>
        <v/>
      </c>
      <c r="P1980">
        <f>IF(A1980="","",A1980&amp;"|"&amp;IF(B1980="","Standard",B1980))</f>
        <v/>
      </c>
      <c r="Q1980">
        <f>IF(AND(A1980&lt;&gt;"",A1980='Firm Search'!$C$7),COUNTIF($A$5:A1980,'Firm Search'!$C$7),"")</f>
        <v/>
      </c>
    </row>
    <row r="1981">
      <c r="A1981" s="64" t="n"/>
      <c r="B1981" s="64" t="n"/>
      <c r="C1981" s="66" t="n"/>
      <c r="D1981" s="66" t="n"/>
      <c r="E1981" s="67" t="n"/>
      <c r="F1981" s="67" t="n"/>
      <c r="G1981" s="67" t="n"/>
      <c r="H1981" s="67" t="n"/>
      <c r="I1981" s="67" t="n"/>
      <c r="J1981" s="67" t="n"/>
      <c r="K1981" s="67" t="n"/>
      <c r="L1981" s="67" t="n"/>
      <c r="M1981" s="64" t="n"/>
      <c r="N1981" s="66" t="n"/>
      <c r="O1981" s="84">
        <f>IF(A1981="","",IF(OR(C1981="",D1981=""),"Enter both dates",IF(D1981&lt;C1981,"To is before From",IF(COUNTIFS($P$5:$P$2004,P1981,$C$5:$C$2004,"&lt;="&amp;D1981,$D$5:$D$2004,"&gt;="&amp;C1981)&gt;1,"Overlaps another row","OK"))))</f>
        <v/>
      </c>
      <c r="P1981">
        <f>IF(A1981="","",A1981&amp;"|"&amp;IF(B1981="","Standard",B1981))</f>
        <v/>
      </c>
      <c r="Q1981">
        <f>IF(AND(A1981&lt;&gt;"",A1981='Firm Search'!$C$7),COUNTIF($A$5:A1981,'Firm Search'!$C$7),"")</f>
        <v/>
      </c>
    </row>
    <row r="1982">
      <c r="A1982" s="64" t="n"/>
      <c r="B1982" s="64" t="n"/>
      <c r="C1982" s="66" t="n"/>
      <c r="D1982" s="66" t="n"/>
      <c r="E1982" s="67" t="n"/>
      <c r="F1982" s="67" t="n"/>
      <c r="G1982" s="67" t="n"/>
      <c r="H1982" s="67" t="n"/>
      <c r="I1982" s="67" t="n"/>
      <c r="J1982" s="67" t="n"/>
      <c r="K1982" s="67" t="n"/>
      <c r="L1982" s="67" t="n"/>
      <c r="M1982" s="64" t="n"/>
      <c r="N1982" s="66" t="n"/>
      <c r="O1982" s="84">
        <f>IF(A1982="","",IF(OR(C1982="",D1982=""),"Enter both dates",IF(D1982&lt;C1982,"To is before From",IF(COUNTIFS($P$5:$P$2004,P1982,$C$5:$C$2004,"&lt;="&amp;D1982,$D$5:$D$2004,"&gt;="&amp;C1982)&gt;1,"Overlaps another row","OK"))))</f>
        <v/>
      </c>
      <c r="P1982">
        <f>IF(A1982="","",A1982&amp;"|"&amp;IF(B1982="","Standard",B1982))</f>
        <v/>
      </c>
      <c r="Q1982">
        <f>IF(AND(A1982&lt;&gt;"",A1982='Firm Search'!$C$7),COUNTIF($A$5:A1982,'Firm Search'!$C$7),"")</f>
        <v/>
      </c>
    </row>
    <row r="1983">
      <c r="A1983" s="64" t="n"/>
      <c r="B1983" s="64" t="n"/>
      <c r="C1983" s="66" t="n"/>
      <c r="D1983" s="66" t="n"/>
      <c r="E1983" s="67" t="n"/>
      <c r="F1983" s="67" t="n"/>
      <c r="G1983" s="67" t="n"/>
      <c r="H1983" s="67" t="n"/>
      <c r="I1983" s="67" t="n"/>
      <c r="J1983" s="67" t="n"/>
      <c r="K1983" s="67" t="n"/>
      <c r="L1983" s="67" t="n"/>
      <c r="M1983" s="64" t="n"/>
      <c r="N1983" s="66" t="n"/>
      <c r="O1983" s="84">
        <f>IF(A1983="","",IF(OR(C1983="",D1983=""),"Enter both dates",IF(D1983&lt;C1983,"To is before From",IF(COUNTIFS($P$5:$P$2004,P1983,$C$5:$C$2004,"&lt;="&amp;D1983,$D$5:$D$2004,"&gt;="&amp;C1983)&gt;1,"Overlaps another row","OK"))))</f>
        <v/>
      </c>
      <c r="P1983">
        <f>IF(A1983="","",A1983&amp;"|"&amp;IF(B1983="","Standard",B1983))</f>
        <v/>
      </c>
      <c r="Q1983">
        <f>IF(AND(A1983&lt;&gt;"",A1983='Firm Search'!$C$7),COUNTIF($A$5:A1983,'Firm Search'!$C$7),"")</f>
        <v/>
      </c>
    </row>
    <row r="1984">
      <c r="A1984" s="64" t="n"/>
      <c r="B1984" s="64" t="n"/>
      <c r="C1984" s="66" t="n"/>
      <c r="D1984" s="66" t="n"/>
      <c r="E1984" s="67" t="n"/>
      <c r="F1984" s="67" t="n"/>
      <c r="G1984" s="67" t="n"/>
      <c r="H1984" s="67" t="n"/>
      <c r="I1984" s="67" t="n"/>
      <c r="J1984" s="67" t="n"/>
      <c r="K1984" s="67" t="n"/>
      <c r="L1984" s="67" t="n"/>
      <c r="M1984" s="64" t="n"/>
      <c r="N1984" s="66" t="n"/>
      <c r="O1984" s="84">
        <f>IF(A1984="","",IF(OR(C1984="",D1984=""),"Enter both dates",IF(D1984&lt;C1984,"To is before From",IF(COUNTIFS($P$5:$P$2004,P1984,$C$5:$C$2004,"&lt;="&amp;D1984,$D$5:$D$2004,"&gt;="&amp;C1984)&gt;1,"Overlaps another row","OK"))))</f>
        <v/>
      </c>
      <c r="P1984">
        <f>IF(A1984="","",A1984&amp;"|"&amp;IF(B1984="","Standard",B1984))</f>
        <v/>
      </c>
      <c r="Q1984">
        <f>IF(AND(A1984&lt;&gt;"",A1984='Firm Search'!$C$7),COUNTIF($A$5:A1984,'Firm Search'!$C$7),"")</f>
        <v/>
      </c>
    </row>
    <row r="1985">
      <c r="A1985" s="64" t="n"/>
      <c r="B1985" s="64" t="n"/>
      <c r="C1985" s="66" t="n"/>
      <c r="D1985" s="66" t="n"/>
      <c r="E1985" s="67" t="n"/>
      <c r="F1985" s="67" t="n"/>
      <c r="G1985" s="67" t="n"/>
      <c r="H1985" s="67" t="n"/>
      <c r="I1985" s="67" t="n"/>
      <c r="J1985" s="67" t="n"/>
      <c r="K1985" s="67" t="n"/>
      <c r="L1985" s="67" t="n"/>
      <c r="M1985" s="64" t="n"/>
      <c r="N1985" s="66" t="n"/>
      <c r="O1985" s="84">
        <f>IF(A1985="","",IF(OR(C1985="",D1985=""),"Enter both dates",IF(D1985&lt;C1985,"To is before From",IF(COUNTIFS($P$5:$P$2004,P1985,$C$5:$C$2004,"&lt;="&amp;D1985,$D$5:$D$2004,"&gt;="&amp;C1985)&gt;1,"Overlaps another row","OK"))))</f>
        <v/>
      </c>
      <c r="P1985">
        <f>IF(A1985="","",A1985&amp;"|"&amp;IF(B1985="","Standard",B1985))</f>
        <v/>
      </c>
      <c r="Q1985">
        <f>IF(AND(A1985&lt;&gt;"",A1985='Firm Search'!$C$7),COUNTIF($A$5:A1985,'Firm Search'!$C$7),"")</f>
        <v/>
      </c>
    </row>
    <row r="1986">
      <c r="A1986" s="64" t="n"/>
      <c r="B1986" s="64" t="n"/>
      <c r="C1986" s="66" t="n"/>
      <c r="D1986" s="66" t="n"/>
      <c r="E1986" s="67" t="n"/>
      <c r="F1986" s="67" t="n"/>
      <c r="G1986" s="67" t="n"/>
      <c r="H1986" s="67" t="n"/>
      <c r="I1986" s="67" t="n"/>
      <c r="J1986" s="67" t="n"/>
      <c r="K1986" s="67" t="n"/>
      <c r="L1986" s="67" t="n"/>
      <c r="M1986" s="64" t="n"/>
      <c r="N1986" s="66" t="n"/>
      <c r="O1986" s="84">
        <f>IF(A1986="","",IF(OR(C1986="",D1986=""),"Enter both dates",IF(D1986&lt;C1986,"To is before From",IF(COUNTIFS($P$5:$P$2004,P1986,$C$5:$C$2004,"&lt;="&amp;D1986,$D$5:$D$2004,"&gt;="&amp;C1986)&gt;1,"Overlaps another row","OK"))))</f>
        <v/>
      </c>
      <c r="P1986">
        <f>IF(A1986="","",A1986&amp;"|"&amp;IF(B1986="","Standard",B1986))</f>
        <v/>
      </c>
      <c r="Q1986">
        <f>IF(AND(A1986&lt;&gt;"",A1986='Firm Search'!$C$7),COUNTIF($A$5:A1986,'Firm Search'!$C$7),"")</f>
        <v/>
      </c>
    </row>
    <row r="1987">
      <c r="A1987" s="64" t="n"/>
      <c r="B1987" s="64" t="n"/>
      <c r="C1987" s="66" t="n"/>
      <c r="D1987" s="66" t="n"/>
      <c r="E1987" s="67" t="n"/>
      <c r="F1987" s="67" t="n"/>
      <c r="G1987" s="67" t="n"/>
      <c r="H1987" s="67" t="n"/>
      <c r="I1987" s="67" t="n"/>
      <c r="J1987" s="67" t="n"/>
      <c r="K1987" s="67" t="n"/>
      <c r="L1987" s="67" t="n"/>
      <c r="M1987" s="64" t="n"/>
      <c r="N1987" s="66" t="n"/>
      <c r="O1987" s="84">
        <f>IF(A1987="","",IF(OR(C1987="",D1987=""),"Enter both dates",IF(D1987&lt;C1987,"To is before From",IF(COUNTIFS($P$5:$P$2004,P1987,$C$5:$C$2004,"&lt;="&amp;D1987,$D$5:$D$2004,"&gt;="&amp;C1987)&gt;1,"Overlaps another row","OK"))))</f>
        <v/>
      </c>
      <c r="P1987">
        <f>IF(A1987="","",A1987&amp;"|"&amp;IF(B1987="","Standard",B1987))</f>
        <v/>
      </c>
      <c r="Q1987">
        <f>IF(AND(A1987&lt;&gt;"",A1987='Firm Search'!$C$7),COUNTIF($A$5:A1987,'Firm Search'!$C$7),"")</f>
        <v/>
      </c>
    </row>
    <row r="1988">
      <c r="A1988" s="64" t="n"/>
      <c r="B1988" s="64" t="n"/>
      <c r="C1988" s="66" t="n"/>
      <c r="D1988" s="66" t="n"/>
      <c r="E1988" s="67" t="n"/>
      <c r="F1988" s="67" t="n"/>
      <c r="G1988" s="67" t="n"/>
      <c r="H1988" s="67" t="n"/>
      <c r="I1988" s="67" t="n"/>
      <c r="J1988" s="67" t="n"/>
      <c r="K1988" s="67" t="n"/>
      <c r="L1988" s="67" t="n"/>
      <c r="M1988" s="64" t="n"/>
      <c r="N1988" s="66" t="n"/>
      <c r="O1988" s="84">
        <f>IF(A1988="","",IF(OR(C1988="",D1988=""),"Enter both dates",IF(D1988&lt;C1988,"To is before From",IF(COUNTIFS($P$5:$P$2004,P1988,$C$5:$C$2004,"&lt;="&amp;D1988,$D$5:$D$2004,"&gt;="&amp;C1988)&gt;1,"Overlaps another row","OK"))))</f>
        <v/>
      </c>
      <c r="P1988">
        <f>IF(A1988="","",A1988&amp;"|"&amp;IF(B1988="","Standard",B1988))</f>
        <v/>
      </c>
      <c r="Q1988">
        <f>IF(AND(A1988&lt;&gt;"",A1988='Firm Search'!$C$7),COUNTIF($A$5:A1988,'Firm Search'!$C$7),"")</f>
        <v/>
      </c>
    </row>
    <row r="1989">
      <c r="A1989" s="64" t="n"/>
      <c r="B1989" s="64" t="n"/>
      <c r="C1989" s="66" t="n"/>
      <c r="D1989" s="66" t="n"/>
      <c r="E1989" s="67" t="n"/>
      <c r="F1989" s="67" t="n"/>
      <c r="G1989" s="67" t="n"/>
      <c r="H1989" s="67" t="n"/>
      <c r="I1989" s="67" t="n"/>
      <c r="J1989" s="67" t="n"/>
      <c r="K1989" s="67" t="n"/>
      <c r="L1989" s="67" t="n"/>
      <c r="M1989" s="64" t="n"/>
      <c r="N1989" s="66" t="n"/>
      <c r="O1989" s="84">
        <f>IF(A1989="","",IF(OR(C1989="",D1989=""),"Enter both dates",IF(D1989&lt;C1989,"To is before From",IF(COUNTIFS($P$5:$P$2004,P1989,$C$5:$C$2004,"&lt;="&amp;D1989,$D$5:$D$2004,"&gt;="&amp;C1989)&gt;1,"Overlaps another row","OK"))))</f>
        <v/>
      </c>
      <c r="P1989">
        <f>IF(A1989="","",A1989&amp;"|"&amp;IF(B1989="","Standard",B1989))</f>
        <v/>
      </c>
      <c r="Q1989">
        <f>IF(AND(A1989&lt;&gt;"",A1989='Firm Search'!$C$7),COUNTIF($A$5:A1989,'Firm Search'!$C$7),"")</f>
        <v/>
      </c>
    </row>
    <row r="1990">
      <c r="A1990" s="64" t="n"/>
      <c r="B1990" s="64" t="n"/>
      <c r="C1990" s="66" t="n"/>
      <c r="D1990" s="66" t="n"/>
      <c r="E1990" s="67" t="n"/>
      <c r="F1990" s="67" t="n"/>
      <c r="G1990" s="67" t="n"/>
      <c r="H1990" s="67" t="n"/>
      <c r="I1990" s="67" t="n"/>
      <c r="J1990" s="67" t="n"/>
      <c r="K1990" s="67" t="n"/>
      <c r="L1990" s="67" t="n"/>
      <c r="M1990" s="64" t="n"/>
      <c r="N1990" s="66" t="n"/>
      <c r="O1990" s="84">
        <f>IF(A1990="","",IF(OR(C1990="",D1990=""),"Enter both dates",IF(D1990&lt;C1990,"To is before From",IF(COUNTIFS($P$5:$P$2004,P1990,$C$5:$C$2004,"&lt;="&amp;D1990,$D$5:$D$2004,"&gt;="&amp;C1990)&gt;1,"Overlaps another row","OK"))))</f>
        <v/>
      </c>
      <c r="P1990">
        <f>IF(A1990="","",A1990&amp;"|"&amp;IF(B1990="","Standard",B1990))</f>
        <v/>
      </c>
      <c r="Q1990">
        <f>IF(AND(A1990&lt;&gt;"",A1990='Firm Search'!$C$7),COUNTIF($A$5:A1990,'Firm Search'!$C$7),"")</f>
        <v/>
      </c>
    </row>
    <row r="1991">
      <c r="A1991" s="64" t="n"/>
      <c r="B1991" s="64" t="n"/>
      <c r="C1991" s="66" t="n"/>
      <c r="D1991" s="66" t="n"/>
      <c r="E1991" s="67" t="n"/>
      <c r="F1991" s="67" t="n"/>
      <c r="G1991" s="67" t="n"/>
      <c r="H1991" s="67" t="n"/>
      <c r="I1991" s="67" t="n"/>
      <c r="J1991" s="67" t="n"/>
      <c r="K1991" s="67" t="n"/>
      <c r="L1991" s="67" t="n"/>
      <c r="M1991" s="64" t="n"/>
      <c r="N1991" s="66" t="n"/>
      <c r="O1991" s="84">
        <f>IF(A1991="","",IF(OR(C1991="",D1991=""),"Enter both dates",IF(D1991&lt;C1991,"To is before From",IF(COUNTIFS($P$5:$P$2004,P1991,$C$5:$C$2004,"&lt;="&amp;D1991,$D$5:$D$2004,"&gt;="&amp;C1991)&gt;1,"Overlaps another row","OK"))))</f>
        <v/>
      </c>
      <c r="P1991">
        <f>IF(A1991="","",A1991&amp;"|"&amp;IF(B1991="","Standard",B1991))</f>
        <v/>
      </c>
      <c r="Q1991">
        <f>IF(AND(A1991&lt;&gt;"",A1991='Firm Search'!$C$7),COUNTIF($A$5:A1991,'Firm Search'!$C$7),"")</f>
        <v/>
      </c>
    </row>
    <row r="1992">
      <c r="A1992" s="64" t="n"/>
      <c r="B1992" s="64" t="n"/>
      <c r="C1992" s="66" t="n"/>
      <c r="D1992" s="66" t="n"/>
      <c r="E1992" s="67" t="n"/>
      <c r="F1992" s="67" t="n"/>
      <c r="G1992" s="67" t="n"/>
      <c r="H1992" s="67" t="n"/>
      <c r="I1992" s="67" t="n"/>
      <c r="J1992" s="67" t="n"/>
      <c r="K1992" s="67" t="n"/>
      <c r="L1992" s="67" t="n"/>
      <c r="M1992" s="64" t="n"/>
      <c r="N1992" s="66" t="n"/>
      <c r="O1992" s="84">
        <f>IF(A1992="","",IF(OR(C1992="",D1992=""),"Enter both dates",IF(D1992&lt;C1992,"To is before From",IF(COUNTIFS($P$5:$P$2004,P1992,$C$5:$C$2004,"&lt;="&amp;D1992,$D$5:$D$2004,"&gt;="&amp;C1992)&gt;1,"Overlaps another row","OK"))))</f>
        <v/>
      </c>
      <c r="P1992">
        <f>IF(A1992="","",A1992&amp;"|"&amp;IF(B1992="","Standard",B1992))</f>
        <v/>
      </c>
      <c r="Q1992">
        <f>IF(AND(A1992&lt;&gt;"",A1992='Firm Search'!$C$7),COUNTIF($A$5:A1992,'Firm Search'!$C$7),"")</f>
        <v/>
      </c>
    </row>
    <row r="1993">
      <c r="A1993" s="64" t="n"/>
      <c r="B1993" s="64" t="n"/>
      <c r="C1993" s="66" t="n"/>
      <c r="D1993" s="66" t="n"/>
      <c r="E1993" s="67" t="n"/>
      <c r="F1993" s="67" t="n"/>
      <c r="G1993" s="67" t="n"/>
      <c r="H1993" s="67" t="n"/>
      <c r="I1993" s="67" t="n"/>
      <c r="J1993" s="67" t="n"/>
      <c r="K1993" s="67" t="n"/>
      <c r="L1993" s="67" t="n"/>
      <c r="M1993" s="64" t="n"/>
      <c r="N1993" s="66" t="n"/>
      <c r="O1993" s="84">
        <f>IF(A1993="","",IF(OR(C1993="",D1993=""),"Enter both dates",IF(D1993&lt;C1993,"To is before From",IF(COUNTIFS($P$5:$P$2004,P1993,$C$5:$C$2004,"&lt;="&amp;D1993,$D$5:$D$2004,"&gt;="&amp;C1993)&gt;1,"Overlaps another row","OK"))))</f>
        <v/>
      </c>
      <c r="P1993">
        <f>IF(A1993="","",A1993&amp;"|"&amp;IF(B1993="","Standard",B1993))</f>
        <v/>
      </c>
      <c r="Q1993">
        <f>IF(AND(A1993&lt;&gt;"",A1993='Firm Search'!$C$7),COUNTIF($A$5:A1993,'Firm Search'!$C$7),"")</f>
        <v/>
      </c>
    </row>
    <row r="1994">
      <c r="A1994" s="64" t="n"/>
      <c r="B1994" s="64" t="n"/>
      <c r="C1994" s="66" t="n"/>
      <c r="D1994" s="66" t="n"/>
      <c r="E1994" s="67" t="n"/>
      <c r="F1994" s="67" t="n"/>
      <c r="G1994" s="67" t="n"/>
      <c r="H1994" s="67" t="n"/>
      <c r="I1994" s="67" t="n"/>
      <c r="J1994" s="67" t="n"/>
      <c r="K1994" s="67" t="n"/>
      <c r="L1994" s="67" t="n"/>
      <c r="M1994" s="64" t="n"/>
      <c r="N1994" s="66" t="n"/>
      <c r="O1994" s="84">
        <f>IF(A1994="","",IF(OR(C1994="",D1994=""),"Enter both dates",IF(D1994&lt;C1994,"To is before From",IF(COUNTIFS($P$5:$P$2004,P1994,$C$5:$C$2004,"&lt;="&amp;D1994,$D$5:$D$2004,"&gt;="&amp;C1994)&gt;1,"Overlaps another row","OK"))))</f>
        <v/>
      </c>
      <c r="P1994">
        <f>IF(A1994="","",A1994&amp;"|"&amp;IF(B1994="","Standard",B1994))</f>
        <v/>
      </c>
      <c r="Q1994">
        <f>IF(AND(A1994&lt;&gt;"",A1994='Firm Search'!$C$7),COUNTIF($A$5:A1994,'Firm Search'!$C$7),"")</f>
        <v/>
      </c>
    </row>
    <row r="1995">
      <c r="A1995" s="64" t="n"/>
      <c r="B1995" s="64" t="n"/>
      <c r="C1995" s="66" t="n"/>
      <c r="D1995" s="66" t="n"/>
      <c r="E1995" s="67" t="n"/>
      <c r="F1995" s="67" t="n"/>
      <c r="G1995" s="67" t="n"/>
      <c r="H1995" s="67" t="n"/>
      <c r="I1995" s="67" t="n"/>
      <c r="J1995" s="67" t="n"/>
      <c r="K1995" s="67" t="n"/>
      <c r="L1995" s="67" t="n"/>
      <c r="M1995" s="64" t="n"/>
      <c r="N1995" s="66" t="n"/>
      <c r="O1995" s="84">
        <f>IF(A1995="","",IF(OR(C1995="",D1995=""),"Enter both dates",IF(D1995&lt;C1995,"To is before From",IF(COUNTIFS($P$5:$P$2004,P1995,$C$5:$C$2004,"&lt;="&amp;D1995,$D$5:$D$2004,"&gt;="&amp;C1995)&gt;1,"Overlaps another row","OK"))))</f>
        <v/>
      </c>
      <c r="P1995">
        <f>IF(A1995="","",A1995&amp;"|"&amp;IF(B1995="","Standard",B1995))</f>
        <v/>
      </c>
      <c r="Q1995">
        <f>IF(AND(A1995&lt;&gt;"",A1995='Firm Search'!$C$7),COUNTIF($A$5:A1995,'Firm Search'!$C$7),"")</f>
        <v/>
      </c>
    </row>
    <row r="1996">
      <c r="A1996" s="64" t="n"/>
      <c r="B1996" s="64" t="n"/>
      <c r="C1996" s="66" t="n"/>
      <c r="D1996" s="66" t="n"/>
      <c r="E1996" s="67" t="n"/>
      <c r="F1996" s="67" t="n"/>
      <c r="G1996" s="67" t="n"/>
      <c r="H1996" s="67" t="n"/>
      <c r="I1996" s="67" t="n"/>
      <c r="J1996" s="67" t="n"/>
      <c r="K1996" s="67" t="n"/>
      <c r="L1996" s="67" t="n"/>
      <c r="M1996" s="64" t="n"/>
      <c r="N1996" s="66" t="n"/>
      <c r="O1996" s="84">
        <f>IF(A1996="","",IF(OR(C1996="",D1996=""),"Enter both dates",IF(D1996&lt;C1996,"To is before From",IF(COUNTIFS($P$5:$P$2004,P1996,$C$5:$C$2004,"&lt;="&amp;D1996,$D$5:$D$2004,"&gt;="&amp;C1996)&gt;1,"Overlaps another row","OK"))))</f>
        <v/>
      </c>
      <c r="P1996">
        <f>IF(A1996="","",A1996&amp;"|"&amp;IF(B1996="","Standard",B1996))</f>
        <v/>
      </c>
      <c r="Q1996">
        <f>IF(AND(A1996&lt;&gt;"",A1996='Firm Search'!$C$7),COUNTIF($A$5:A1996,'Firm Search'!$C$7),"")</f>
        <v/>
      </c>
    </row>
    <row r="1997">
      <c r="A1997" s="64" t="n"/>
      <c r="B1997" s="64" t="n"/>
      <c r="C1997" s="66" t="n"/>
      <c r="D1997" s="66" t="n"/>
      <c r="E1997" s="67" t="n"/>
      <c r="F1997" s="67" t="n"/>
      <c r="G1997" s="67" t="n"/>
      <c r="H1997" s="67" t="n"/>
      <c r="I1997" s="67" t="n"/>
      <c r="J1997" s="67" t="n"/>
      <c r="K1997" s="67" t="n"/>
      <c r="L1997" s="67" t="n"/>
      <c r="M1997" s="64" t="n"/>
      <c r="N1997" s="66" t="n"/>
      <c r="O1997" s="84">
        <f>IF(A1997="","",IF(OR(C1997="",D1997=""),"Enter both dates",IF(D1997&lt;C1997,"To is before From",IF(COUNTIFS($P$5:$P$2004,P1997,$C$5:$C$2004,"&lt;="&amp;D1997,$D$5:$D$2004,"&gt;="&amp;C1997)&gt;1,"Overlaps another row","OK"))))</f>
        <v/>
      </c>
      <c r="P1997">
        <f>IF(A1997="","",A1997&amp;"|"&amp;IF(B1997="","Standard",B1997))</f>
        <v/>
      </c>
      <c r="Q1997">
        <f>IF(AND(A1997&lt;&gt;"",A1997='Firm Search'!$C$7),COUNTIF($A$5:A1997,'Firm Search'!$C$7),"")</f>
        <v/>
      </c>
    </row>
    <row r="1998">
      <c r="A1998" s="64" t="n"/>
      <c r="B1998" s="64" t="n"/>
      <c r="C1998" s="66" t="n"/>
      <c r="D1998" s="66" t="n"/>
      <c r="E1998" s="67" t="n"/>
      <c r="F1998" s="67" t="n"/>
      <c r="G1998" s="67" t="n"/>
      <c r="H1998" s="67" t="n"/>
      <c r="I1998" s="67" t="n"/>
      <c r="J1998" s="67" t="n"/>
      <c r="K1998" s="67" t="n"/>
      <c r="L1998" s="67" t="n"/>
      <c r="M1998" s="64" t="n"/>
      <c r="N1998" s="66" t="n"/>
      <c r="O1998" s="84">
        <f>IF(A1998="","",IF(OR(C1998="",D1998=""),"Enter both dates",IF(D1998&lt;C1998,"To is before From",IF(COUNTIFS($P$5:$P$2004,P1998,$C$5:$C$2004,"&lt;="&amp;D1998,$D$5:$D$2004,"&gt;="&amp;C1998)&gt;1,"Overlaps another row","OK"))))</f>
        <v/>
      </c>
      <c r="P1998">
        <f>IF(A1998="","",A1998&amp;"|"&amp;IF(B1998="","Standard",B1998))</f>
        <v/>
      </c>
      <c r="Q1998">
        <f>IF(AND(A1998&lt;&gt;"",A1998='Firm Search'!$C$7),COUNTIF($A$5:A1998,'Firm Search'!$C$7),"")</f>
        <v/>
      </c>
    </row>
    <row r="1999">
      <c r="A1999" s="64" t="n"/>
      <c r="B1999" s="64" t="n"/>
      <c r="C1999" s="66" t="n"/>
      <c r="D1999" s="66" t="n"/>
      <c r="E1999" s="67" t="n"/>
      <c r="F1999" s="67" t="n"/>
      <c r="G1999" s="67" t="n"/>
      <c r="H1999" s="67" t="n"/>
      <c r="I1999" s="67" t="n"/>
      <c r="J1999" s="67" t="n"/>
      <c r="K1999" s="67" t="n"/>
      <c r="L1999" s="67" t="n"/>
      <c r="M1999" s="64" t="n"/>
      <c r="N1999" s="66" t="n"/>
      <c r="O1999" s="84">
        <f>IF(A1999="","",IF(OR(C1999="",D1999=""),"Enter both dates",IF(D1999&lt;C1999,"To is before From",IF(COUNTIFS($P$5:$P$2004,P1999,$C$5:$C$2004,"&lt;="&amp;D1999,$D$5:$D$2004,"&gt;="&amp;C1999)&gt;1,"Overlaps another row","OK"))))</f>
        <v/>
      </c>
      <c r="P1999">
        <f>IF(A1999="","",A1999&amp;"|"&amp;IF(B1999="","Standard",B1999))</f>
        <v/>
      </c>
      <c r="Q1999">
        <f>IF(AND(A1999&lt;&gt;"",A1999='Firm Search'!$C$7),COUNTIF($A$5:A1999,'Firm Search'!$C$7),"")</f>
        <v/>
      </c>
    </row>
    <row r="2000">
      <c r="A2000" s="64" t="n"/>
      <c r="B2000" s="64" t="n"/>
      <c r="C2000" s="66" t="n"/>
      <c r="D2000" s="66" t="n"/>
      <c r="E2000" s="67" t="n"/>
      <c r="F2000" s="67" t="n"/>
      <c r="G2000" s="67" t="n"/>
      <c r="H2000" s="67" t="n"/>
      <c r="I2000" s="67" t="n"/>
      <c r="J2000" s="67" t="n"/>
      <c r="K2000" s="67" t="n"/>
      <c r="L2000" s="67" t="n"/>
      <c r="M2000" s="64" t="n"/>
      <c r="N2000" s="66" t="n"/>
      <c r="O2000" s="84">
        <f>IF(A2000="","",IF(OR(C2000="",D2000=""),"Enter both dates",IF(D2000&lt;C2000,"To is before From",IF(COUNTIFS($P$5:$P$2004,P2000,$C$5:$C$2004,"&lt;="&amp;D2000,$D$5:$D$2004,"&gt;="&amp;C2000)&gt;1,"Overlaps another row","OK"))))</f>
        <v/>
      </c>
      <c r="P2000">
        <f>IF(A2000="","",A2000&amp;"|"&amp;IF(B2000="","Standard",B2000))</f>
        <v/>
      </c>
      <c r="Q2000">
        <f>IF(AND(A2000&lt;&gt;"",A2000='Firm Search'!$C$7),COUNTIF($A$5:A2000,'Firm Search'!$C$7),"")</f>
        <v/>
      </c>
    </row>
    <row r="2001">
      <c r="A2001" s="64" t="n"/>
      <c r="B2001" s="64" t="n"/>
      <c r="C2001" s="66" t="n"/>
      <c r="D2001" s="66" t="n"/>
      <c r="E2001" s="67" t="n"/>
      <c r="F2001" s="67" t="n"/>
      <c r="G2001" s="67" t="n"/>
      <c r="H2001" s="67" t="n"/>
      <c r="I2001" s="67" t="n"/>
      <c r="J2001" s="67" t="n"/>
      <c r="K2001" s="67" t="n"/>
      <c r="L2001" s="67" t="n"/>
      <c r="M2001" s="64" t="n"/>
      <c r="N2001" s="66" t="n"/>
      <c r="O2001" s="84">
        <f>IF(A2001="","",IF(OR(C2001="",D2001=""),"Enter both dates",IF(D2001&lt;C2001,"To is before From",IF(COUNTIFS($P$5:$P$2004,P2001,$C$5:$C$2004,"&lt;="&amp;D2001,$D$5:$D$2004,"&gt;="&amp;C2001)&gt;1,"Overlaps another row","OK"))))</f>
        <v/>
      </c>
      <c r="P2001">
        <f>IF(A2001="","",A2001&amp;"|"&amp;IF(B2001="","Standard",B2001))</f>
        <v/>
      </c>
      <c r="Q2001">
        <f>IF(AND(A2001&lt;&gt;"",A2001='Firm Search'!$C$7),COUNTIF($A$5:A2001,'Firm Search'!$C$7),"")</f>
        <v/>
      </c>
    </row>
    <row r="2002">
      <c r="A2002" s="64" t="n"/>
      <c r="B2002" s="64" t="n"/>
      <c r="C2002" s="66" t="n"/>
      <c r="D2002" s="66" t="n"/>
      <c r="E2002" s="67" t="n"/>
      <c r="F2002" s="67" t="n"/>
      <c r="G2002" s="67" t="n"/>
      <c r="H2002" s="67" t="n"/>
      <c r="I2002" s="67" t="n"/>
      <c r="J2002" s="67" t="n"/>
      <c r="K2002" s="67" t="n"/>
      <c r="L2002" s="67" t="n"/>
      <c r="M2002" s="64" t="n"/>
      <c r="N2002" s="66" t="n"/>
      <c r="O2002" s="84">
        <f>IF(A2002="","",IF(OR(C2002="",D2002=""),"Enter both dates",IF(D2002&lt;C2002,"To is before From",IF(COUNTIFS($P$5:$P$2004,P2002,$C$5:$C$2004,"&lt;="&amp;D2002,$D$5:$D$2004,"&gt;="&amp;C2002)&gt;1,"Overlaps another row","OK"))))</f>
        <v/>
      </c>
      <c r="P2002">
        <f>IF(A2002="","",A2002&amp;"|"&amp;IF(B2002="","Standard",B2002))</f>
        <v/>
      </c>
      <c r="Q2002">
        <f>IF(AND(A2002&lt;&gt;"",A2002='Firm Search'!$C$7),COUNTIF($A$5:A2002,'Firm Search'!$C$7),"")</f>
        <v/>
      </c>
    </row>
    <row r="2003">
      <c r="A2003" s="64" t="n"/>
      <c r="B2003" s="64" t="n"/>
      <c r="C2003" s="66" t="n"/>
      <c r="D2003" s="66" t="n"/>
      <c r="E2003" s="67" t="n"/>
      <c r="F2003" s="67" t="n"/>
      <c r="G2003" s="67" t="n"/>
      <c r="H2003" s="67" t="n"/>
      <c r="I2003" s="67" t="n"/>
      <c r="J2003" s="67" t="n"/>
      <c r="K2003" s="67" t="n"/>
      <c r="L2003" s="67" t="n"/>
      <c r="M2003" s="64" t="n"/>
      <c r="N2003" s="66" t="n"/>
      <c r="O2003" s="84">
        <f>IF(A2003="","",IF(OR(C2003="",D2003=""),"Enter both dates",IF(D2003&lt;C2003,"To is before From",IF(COUNTIFS($P$5:$P$2004,P2003,$C$5:$C$2004,"&lt;="&amp;D2003,$D$5:$D$2004,"&gt;="&amp;C2003)&gt;1,"Overlaps another row","OK"))))</f>
        <v/>
      </c>
      <c r="P2003">
        <f>IF(A2003="","",A2003&amp;"|"&amp;IF(B2003="","Standard",B2003))</f>
        <v/>
      </c>
      <c r="Q2003">
        <f>IF(AND(A2003&lt;&gt;"",A2003='Firm Search'!$C$7),COUNTIF($A$5:A2003,'Firm Search'!$C$7),"")</f>
        <v/>
      </c>
    </row>
    <row r="2004">
      <c r="A2004" s="64" t="n"/>
      <c r="B2004" s="64" t="n"/>
      <c r="C2004" s="66" t="n"/>
      <c r="D2004" s="66" t="n"/>
      <c r="E2004" s="67" t="n"/>
      <c r="F2004" s="67" t="n"/>
      <c r="G2004" s="67" t="n"/>
      <c r="H2004" s="67" t="n"/>
      <c r="I2004" s="67" t="n"/>
      <c r="J2004" s="67" t="n"/>
      <c r="K2004" s="67" t="n"/>
      <c r="L2004" s="67" t="n"/>
      <c r="M2004" s="64" t="n"/>
      <c r="N2004" s="66" t="n"/>
      <c r="O2004" s="84">
        <f>IF(A2004="","",IF(OR(C2004="",D2004=""),"Enter both dates",IF(D2004&lt;C2004,"To is before From",IF(COUNTIFS($P$5:$P$2004,P2004,$C$5:$C$2004,"&lt;="&amp;D2004,$D$5:$D$2004,"&gt;="&amp;C2004)&gt;1,"Overlaps another row","OK"))))</f>
        <v/>
      </c>
      <c r="P2004">
        <f>IF(A2004="","",A2004&amp;"|"&amp;IF(B2004="","Standard",B2004))</f>
        <v/>
      </c>
      <c r="Q2004">
        <f>IF(AND(A2004&lt;&gt;"",A2004='Firm Search'!$C$7),COUNTIF($A$5:A2004,'Firm Search'!$C$7),"")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O2004"/>
  <conditionalFormatting sqref="O5:O2004">
    <cfRule type="cellIs" priority="1" operator="equal" dxfId="1">
      <formula>"OK"</formula>
    </cfRule>
    <cfRule type="expression" priority="2" dxfId="7">
      <formula>AND(O5&lt;&gt;"",O5&lt;&gt;"OK")</formula>
    </cfRule>
  </conditionalFormatting>
  <conditionalFormatting sqref="A5:N2004">
    <cfRule type="expression" priority="3" dxfId="14">
      <formula>AND($A5&lt;&gt;"",MOD(ROW(),2)=0)</formula>
    </cfRule>
  </conditionalFormatting>
  <dataValidations count="4">
    <dataValidation sqref="A5:A2004" showDropDown="0" showInputMessage="0" showErrorMessage="0" allowBlank="1" errorTitle="Firm" error="Pick a firm from the Firms tab." type="list">
      <formula1>=Firm_List</formula1>
    </dataValidation>
    <dataValidation sqref="B5:B2004" showDropDown="0" showInputMessage="0" showErrorMessage="0" allowBlank="1" errorTitle="Rate Schedule" error="Pick Standard or an AFA type." type="list">
      <formula1>=Schedule_List</formula1>
    </dataValidation>
    <dataValidation sqref="E5:L2004" showDropDown="0" showInputMessage="0" showErrorMessage="0" allowBlank="1" errorTitle="Rate" error="Enter an hourly rate as a number." type="decimal" operator="greaterThanOrEqual">
      <formula1>0</formula1>
    </dataValidation>
    <dataValidation sqref="C5:D2004 N5:N2004" showDropDown="0" showInputMessage="0" showErrorMessage="0" allowBlank="1" errorTitle="Date" error="Enter a date." type="date" operator="greaterThan">
      <formula1>1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B4C7E7"/>
    <outlinePr summaryBelow="1" summaryRight="1"/>
    <pageSetUpPr fitToPage="1"/>
  </sheetPr>
  <dimension ref="A1:U20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22" customWidth="1" min="3" max="3"/>
    <col width="12" customWidth="1" min="4" max="4"/>
    <col width="12" customWidth="1" min="5" max="5"/>
    <col width="15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5" max="15"/>
    <col width="15" customWidth="1" min="16" max="16"/>
    <col width="40" customWidth="1" min="17" max="17"/>
    <col width="3" customWidth="1" min="18" max="18"/>
    <col hidden="1" width="4" customWidth="1" min="19" max="19"/>
    <col hidden="1" width="4" customWidth="1" min="20" max="20"/>
    <col hidden="1" width="4" customWidth="1" min="21" max="21"/>
  </cols>
  <sheetData>
    <row r="1" ht="34" customHeight="1">
      <c r="A1" s="80" t="inlineStr">
        <is>
          <t>All Current Rates — Compliance View</t>
        </is>
      </c>
    </row>
    <row r="2" ht="22" customHeight="1">
      <c r="A2" s="81" t="inlineStr">
        <is>
          <t>Automatic, read-only. Every firm's standard rates (A–Z), followed by every AFA (A–Z). Use the ▼ filter buttons to slice by firm, schedule, status or state.</t>
        </is>
      </c>
      <c r="S2" s="86">
        <f>COUNTA(Firms!$A$5:$A$1004)</f>
        <v/>
      </c>
      <c r="T2" s="86">
        <f>COUNTA('AFA Rates'!$A$5:$A$1004)</f>
        <v/>
      </c>
    </row>
    <row r="3">
      <c r="A3" s="22" t="inlineStr">
        <is>
          <t>Peach rows = AFA rates. Superseded rates are on the Rate History tab. This tab updates itself — edit data on Firms / AFA Rates.</t>
        </is>
      </c>
    </row>
    <row r="4" ht="36" customHeight="1">
      <c r="A4" s="82" t="inlineStr">
        <is>
          <t>Firm Name</t>
        </is>
      </c>
      <c r="B4" s="82" t="inlineStr">
        <is>
          <t>Firm Status</t>
        </is>
      </c>
      <c r="C4" s="82" t="inlineStr">
        <is>
          <t>Rate Schedule</t>
        </is>
      </c>
      <c r="D4" s="82" t="inlineStr">
        <is>
          <t>Effective</t>
        </is>
      </c>
      <c r="E4" s="82" t="inlineStr">
        <is>
          <t>Ends</t>
        </is>
      </c>
      <c r="F4" s="82" t="inlineStr">
        <is>
          <t>Rate Status</t>
        </is>
      </c>
      <c r="G4" s="82" t="inlineStr">
        <is>
          <t>Counsel</t>
        </is>
      </c>
      <c r="H4" s="82" t="inlineStr">
        <is>
          <t>Senior Partner</t>
        </is>
      </c>
      <c r="I4" s="82" t="inlineStr">
        <is>
          <t>Junior Partner</t>
        </is>
      </c>
      <c r="J4" s="82" t="inlineStr">
        <is>
          <t>Partner</t>
        </is>
      </c>
      <c r="K4" s="82" t="inlineStr">
        <is>
          <t>Senior Associate</t>
        </is>
      </c>
      <c r="L4" s="82" t="inlineStr">
        <is>
          <t>Junior Associate</t>
        </is>
      </c>
      <c r="M4" s="82" t="inlineStr">
        <is>
          <t>Associate</t>
        </is>
      </c>
      <c r="N4" s="82" t="inlineStr">
        <is>
          <t>Paralegal</t>
        </is>
      </c>
      <c r="O4" s="82" t="inlineStr">
        <is>
          <t>Approved States</t>
        </is>
      </c>
      <c r="P4" s="82" t="inlineStr">
        <is>
          <t>Cyber Status</t>
        </is>
      </c>
      <c r="Q4" s="82" t="inlineStr">
        <is>
          <t>Notes</t>
        </is>
      </c>
      <c r="R4" s="87" t="inlineStr"/>
      <c r="S4" s="82" t="inlineStr">
        <is>
          <t>_t</t>
        </is>
      </c>
      <c r="T4" s="82" t="inlineStr">
        <is>
          <t>_src</t>
        </is>
      </c>
      <c r="U4" s="82" t="inlineStr">
        <is>
          <t>_frow</t>
        </is>
      </c>
    </row>
    <row r="5">
      <c r="A5" s="78">
        <f>IF($T5="","",IF($S5="S",IF(INDEX(Firms!$A$5:$A$1004,$T5)="","",INDEX(Firms!$A$5:$A$1004,$T5)),IF(INDEX('AFA Rates'!$A$5:$A$1004,$T5)="","",INDEX('AFA Rates'!$A$5:$A$1004,$T5))))</f>
        <v/>
      </c>
      <c r="B5" s="79">
        <f>IF(OR($T5="",$U5=""),IF($T5="","","Not on Firms tab"),INDEX(Firms!$B$5:$B$1004,$U5)&amp;"")</f>
        <v/>
      </c>
      <c r="C5" s="78">
        <f>IF($T5="","",IF($S5="S","Standard",INDEX('AFA Rates'!$B$5:$B$1004,$T5)&amp;""))</f>
        <v/>
      </c>
      <c r="D5" s="88">
        <f>IF($T5="","",IF($S5="S",IF(INDEX(Firms!$E$5:$E$1004,$T5)="","",INDEX(Firms!$E$5:$E$1004,$T5)),IF(INDEX('AFA Rates'!$C$5:$C$1004,$T5)="","",INDEX('AFA Rates'!$C$5:$C$1004,$T5))))</f>
        <v/>
      </c>
      <c r="E5" s="88">
        <f>IF($T5="","",IF($S5="S",IF(""="","",""),IF(INDEX('AFA Rates'!$D$5:$D$1004,$T5)="","",INDEX('AFA Rates'!$D$5:$D$1004,$T5))))</f>
        <v/>
      </c>
      <c r="F5" s="79">
        <f>IF($T5="","",IF($S5="S",IF(INDEX(Firms!$O$5:$O$1004,$T5)="","",INDEX(Firms!$O$5:$O$1004,$T5)),IF(INDEX('AFA Rates'!$O$5:$O$1004,$T5)="","",INDEX('AFA Rates'!$O$5:$O$1004,$T5))))</f>
        <v/>
      </c>
      <c r="G5" s="50">
        <f>IF($T5="","",IF($S5="S",IF(INDEX(Firms!$F$5:$F$1004,$T5)="","",INDEX(Firms!$F$5:$F$1004,$T5)),IF(INDEX('AFA Rates'!$E$5:$E$1004,$T5)="","",INDEX('AFA Rates'!$E$5:$E$1004,$T5))))</f>
        <v/>
      </c>
      <c r="H5" s="50">
        <f>IF($T5="","",IF($S5="S",IF(INDEX(Firms!$G$5:$G$1004,$T5)="","",INDEX(Firms!$G$5:$G$1004,$T5)),IF(INDEX('AFA Rates'!$F$5:$F$1004,$T5)="","",INDEX('AFA Rates'!$F$5:$F$1004,$T5))))</f>
        <v/>
      </c>
      <c r="I5" s="50">
        <f>IF($T5="","",IF($S5="S",IF(INDEX(Firms!$H$5:$H$1004,$T5)="","",INDEX(Firms!$H$5:$H$1004,$T5)),IF(INDEX('AFA Rates'!$G$5:$G$1004,$T5)="","",INDEX('AFA Rates'!$G$5:$G$1004,$T5))))</f>
        <v/>
      </c>
      <c r="J5" s="50">
        <f>IF($T5="","",IF($S5="S",IF(INDEX(Firms!$I$5:$I$1004,$T5)="","",INDEX(Firms!$I$5:$I$1004,$T5)),IF(INDEX('AFA Rates'!$H$5:$H$1004,$T5)="","",INDEX('AFA Rates'!$H$5:$H$1004,$T5))))</f>
        <v/>
      </c>
      <c r="K5" s="50">
        <f>IF($T5="","",IF($S5="S",IF(INDEX(Firms!$J$5:$J$1004,$T5)="","",INDEX(Firms!$J$5:$J$1004,$T5)),IF(INDEX('AFA Rates'!$I$5:$I$1004,$T5)="","",INDEX('AFA Rates'!$I$5:$I$1004,$T5))))</f>
        <v/>
      </c>
      <c r="L5" s="50">
        <f>IF($T5="","",IF($S5="S",IF(INDEX(Firms!$K$5:$K$1004,$T5)="","",INDEX(Firms!$K$5:$K$1004,$T5)),IF(INDEX('AFA Rates'!$J$5:$J$1004,$T5)="","",INDEX('AFA Rates'!$J$5:$J$1004,$T5))))</f>
        <v/>
      </c>
      <c r="M5" s="50">
        <f>IF($T5="","",IF($S5="S",IF(INDEX(Firms!$L$5:$L$1004,$T5)="","",INDEX(Firms!$L$5:$L$1004,$T5)),IF(INDEX('AFA Rates'!$K$5:$K$1004,$T5)="","",INDEX('AFA Rates'!$K$5:$K$1004,$T5))))</f>
        <v/>
      </c>
      <c r="N5" s="50">
        <f>IF($T5="","",IF($S5="S",IF(INDEX(Firms!$M$5:$M$1004,$T5)="","",INDEX(Firms!$M$5:$M$1004,$T5)),IF(INDEX('AFA Rates'!$L$5:$L$1004,$T5)="","",INDEX('AFA Rates'!$L$5:$L$1004,$T5))))</f>
        <v/>
      </c>
      <c r="O5" s="78">
        <f>IF(OR($T5="",$U5=""),"",IF(INDEX(Firms!$C$5:$C$1004,$U5)="","",INDEX(Firms!$C$5:$C$1004,$U5)))</f>
        <v/>
      </c>
      <c r="P5" s="79">
        <f>IF(OR($T5="",$U5=""),"",IF(INDEX(Firms!$N$5:$N$1004,$U5)="","",INDEX(Firms!$N$5:$N$1004,$U5)))</f>
        <v/>
      </c>
      <c r="Q5" s="78">
        <f>IF($T5="","",IF($S5="S",IF(INDEX(Firms!$T$5:$T$1004,$T5)="","",INDEX(Firms!$T$5:$T$1004,$T5)),IF(INDEX('AFA Rates'!$M$5:$M$1004,$T5)="","",INDEX('AFA Rates'!$M$5:$M$1004,$T5))))</f>
        <v/>
      </c>
      <c r="S5">
        <f>IF(1&lt;=$S$2,"S",IF(1&lt;=$S$2+$T$2,"A",""))</f>
        <v/>
      </c>
      <c r="T5">
        <f>IF(S5="S",MATCH(1,Firms!$W$5:$W$1004,0),IF(S5="A",IFERROR(MATCH(1-$S$2,'AFA Rates'!$R$5:$R$1004,0),""),""))</f>
        <v/>
      </c>
      <c r="U5">
        <f>IF(S5="S",T5,IF(AND(S5="A",T5&lt;&gt;""),IFERROR(MATCH(INDEX('AFA Rates'!$A$5:$A$1004,T5),Firms!$A$5:$A$1004,0),""),""))</f>
        <v/>
      </c>
    </row>
    <row r="6">
      <c r="A6" s="78">
        <f>IF($T6="","",IF($S6="S",IF(INDEX(Firms!$A$5:$A$1004,$T6)="","",INDEX(Firms!$A$5:$A$1004,$T6)),IF(INDEX('AFA Rates'!$A$5:$A$1004,$T6)="","",INDEX('AFA Rates'!$A$5:$A$1004,$T6))))</f>
        <v/>
      </c>
      <c r="B6" s="79">
        <f>IF(OR($T6="",$U6=""),IF($T6="","","Not on Firms tab"),INDEX(Firms!$B$5:$B$1004,$U6)&amp;"")</f>
        <v/>
      </c>
      <c r="C6" s="78">
        <f>IF($T6="","",IF($S6="S","Standard",INDEX('AFA Rates'!$B$5:$B$1004,$T6)&amp;""))</f>
        <v/>
      </c>
      <c r="D6" s="88">
        <f>IF($T6="","",IF($S6="S",IF(INDEX(Firms!$E$5:$E$1004,$T6)="","",INDEX(Firms!$E$5:$E$1004,$T6)),IF(INDEX('AFA Rates'!$C$5:$C$1004,$T6)="","",INDEX('AFA Rates'!$C$5:$C$1004,$T6))))</f>
        <v/>
      </c>
      <c r="E6" s="88">
        <f>IF($T6="","",IF($S6="S",IF(""="","",""),IF(INDEX('AFA Rates'!$D$5:$D$1004,$T6)="","",INDEX('AFA Rates'!$D$5:$D$1004,$T6))))</f>
        <v/>
      </c>
      <c r="F6" s="79">
        <f>IF($T6="","",IF($S6="S",IF(INDEX(Firms!$O$5:$O$1004,$T6)="","",INDEX(Firms!$O$5:$O$1004,$T6)),IF(INDEX('AFA Rates'!$O$5:$O$1004,$T6)="","",INDEX('AFA Rates'!$O$5:$O$1004,$T6))))</f>
        <v/>
      </c>
      <c r="G6" s="50">
        <f>IF($T6="","",IF($S6="S",IF(INDEX(Firms!$F$5:$F$1004,$T6)="","",INDEX(Firms!$F$5:$F$1004,$T6)),IF(INDEX('AFA Rates'!$E$5:$E$1004,$T6)="","",INDEX('AFA Rates'!$E$5:$E$1004,$T6))))</f>
        <v/>
      </c>
      <c r="H6" s="50">
        <f>IF($T6="","",IF($S6="S",IF(INDEX(Firms!$G$5:$G$1004,$T6)="","",INDEX(Firms!$G$5:$G$1004,$T6)),IF(INDEX('AFA Rates'!$F$5:$F$1004,$T6)="","",INDEX('AFA Rates'!$F$5:$F$1004,$T6))))</f>
        <v/>
      </c>
      <c r="I6" s="50">
        <f>IF($T6="","",IF($S6="S",IF(INDEX(Firms!$H$5:$H$1004,$T6)="","",INDEX(Firms!$H$5:$H$1004,$T6)),IF(INDEX('AFA Rates'!$G$5:$G$1004,$T6)="","",INDEX('AFA Rates'!$G$5:$G$1004,$T6))))</f>
        <v/>
      </c>
      <c r="J6" s="50">
        <f>IF($T6="","",IF($S6="S",IF(INDEX(Firms!$I$5:$I$1004,$T6)="","",INDEX(Firms!$I$5:$I$1004,$T6)),IF(INDEX('AFA Rates'!$H$5:$H$1004,$T6)="","",INDEX('AFA Rates'!$H$5:$H$1004,$T6))))</f>
        <v/>
      </c>
      <c r="K6" s="50">
        <f>IF($T6="","",IF($S6="S",IF(INDEX(Firms!$J$5:$J$1004,$T6)="","",INDEX(Firms!$J$5:$J$1004,$T6)),IF(INDEX('AFA Rates'!$I$5:$I$1004,$T6)="","",INDEX('AFA Rates'!$I$5:$I$1004,$T6))))</f>
        <v/>
      </c>
      <c r="L6" s="50">
        <f>IF($T6="","",IF($S6="S",IF(INDEX(Firms!$K$5:$K$1004,$T6)="","",INDEX(Firms!$K$5:$K$1004,$T6)),IF(INDEX('AFA Rates'!$J$5:$J$1004,$T6)="","",INDEX('AFA Rates'!$J$5:$J$1004,$T6))))</f>
        <v/>
      </c>
      <c r="M6" s="50">
        <f>IF($T6="","",IF($S6="S",IF(INDEX(Firms!$L$5:$L$1004,$T6)="","",INDEX(Firms!$L$5:$L$1004,$T6)),IF(INDEX('AFA Rates'!$K$5:$K$1004,$T6)="","",INDEX('AFA Rates'!$K$5:$K$1004,$T6))))</f>
        <v/>
      </c>
      <c r="N6" s="50">
        <f>IF($T6="","",IF($S6="S",IF(INDEX(Firms!$M$5:$M$1004,$T6)="","",INDEX(Firms!$M$5:$M$1004,$T6)),IF(INDEX('AFA Rates'!$L$5:$L$1004,$T6)="","",INDEX('AFA Rates'!$L$5:$L$1004,$T6))))</f>
        <v/>
      </c>
      <c r="O6" s="78">
        <f>IF(OR($T6="",$U6=""),"",IF(INDEX(Firms!$C$5:$C$1004,$U6)="","",INDEX(Firms!$C$5:$C$1004,$U6)))</f>
        <v/>
      </c>
      <c r="P6" s="79">
        <f>IF(OR($T6="",$U6=""),"",IF(INDEX(Firms!$N$5:$N$1004,$U6)="","",INDEX(Firms!$N$5:$N$1004,$U6)))</f>
        <v/>
      </c>
      <c r="Q6" s="78">
        <f>IF($T6="","",IF($S6="S",IF(INDEX(Firms!$T$5:$T$1004,$T6)="","",INDEX(Firms!$T$5:$T$1004,$T6)),IF(INDEX('AFA Rates'!$M$5:$M$1004,$T6)="","",INDEX('AFA Rates'!$M$5:$M$1004,$T6))))</f>
        <v/>
      </c>
      <c r="S6">
        <f>IF(2&lt;=$S$2,"S",IF(2&lt;=$S$2+$T$2,"A",""))</f>
        <v/>
      </c>
      <c r="T6">
        <f>IF(S6="S",MATCH(2,Firms!$W$5:$W$1004,0),IF(S6="A",IFERROR(MATCH(2-$S$2,'AFA Rates'!$R$5:$R$1004,0),""),""))</f>
        <v/>
      </c>
      <c r="U6">
        <f>IF(S6="S",T6,IF(AND(S6="A",T6&lt;&gt;""),IFERROR(MATCH(INDEX('AFA Rates'!$A$5:$A$1004,T6),Firms!$A$5:$A$1004,0),""),""))</f>
        <v/>
      </c>
    </row>
    <row r="7">
      <c r="A7" s="78">
        <f>IF($T7="","",IF($S7="S",IF(INDEX(Firms!$A$5:$A$1004,$T7)="","",INDEX(Firms!$A$5:$A$1004,$T7)),IF(INDEX('AFA Rates'!$A$5:$A$1004,$T7)="","",INDEX('AFA Rates'!$A$5:$A$1004,$T7))))</f>
        <v/>
      </c>
      <c r="B7" s="79">
        <f>IF(OR($T7="",$U7=""),IF($T7="","","Not on Firms tab"),INDEX(Firms!$B$5:$B$1004,$U7)&amp;"")</f>
        <v/>
      </c>
      <c r="C7" s="78">
        <f>IF($T7="","",IF($S7="S","Standard",INDEX('AFA Rates'!$B$5:$B$1004,$T7)&amp;""))</f>
        <v/>
      </c>
      <c r="D7" s="88">
        <f>IF($T7="","",IF($S7="S",IF(INDEX(Firms!$E$5:$E$1004,$T7)="","",INDEX(Firms!$E$5:$E$1004,$T7)),IF(INDEX('AFA Rates'!$C$5:$C$1004,$T7)="","",INDEX('AFA Rates'!$C$5:$C$1004,$T7))))</f>
        <v/>
      </c>
      <c r="E7" s="88">
        <f>IF($T7="","",IF($S7="S",IF(""="","",""),IF(INDEX('AFA Rates'!$D$5:$D$1004,$T7)="","",INDEX('AFA Rates'!$D$5:$D$1004,$T7))))</f>
        <v/>
      </c>
      <c r="F7" s="79">
        <f>IF($T7="","",IF($S7="S",IF(INDEX(Firms!$O$5:$O$1004,$T7)="","",INDEX(Firms!$O$5:$O$1004,$T7)),IF(INDEX('AFA Rates'!$O$5:$O$1004,$T7)="","",INDEX('AFA Rates'!$O$5:$O$1004,$T7))))</f>
        <v/>
      </c>
      <c r="G7" s="50">
        <f>IF($T7="","",IF($S7="S",IF(INDEX(Firms!$F$5:$F$1004,$T7)="","",INDEX(Firms!$F$5:$F$1004,$T7)),IF(INDEX('AFA Rates'!$E$5:$E$1004,$T7)="","",INDEX('AFA Rates'!$E$5:$E$1004,$T7))))</f>
        <v/>
      </c>
      <c r="H7" s="50">
        <f>IF($T7="","",IF($S7="S",IF(INDEX(Firms!$G$5:$G$1004,$T7)="","",INDEX(Firms!$G$5:$G$1004,$T7)),IF(INDEX('AFA Rates'!$F$5:$F$1004,$T7)="","",INDEX('AFA Rates'!$F$5:$F$1004,$T7))))</f>
        <v/>
      </c>
      <c r="I7" s="50">
        <f>IF($T7="","",IF($S7="S",IF(INDEX(Firms!$H$5:$H$1004,$T7)="","",INDEX(Firms!$H$5:$H$1004,$T7)),IF(INDEX('AFA Rates'!$G$5:$G$1004,$T7)="","",INDEX('AFA Rates'!$G$5:$G$1004,$T7))))</f>
        <v/>
      </c>
      <c r="J7" s="50">
        <f>IF($T7="","",IF($S7="S",IF(INDEX(Firms!$I$5:$I$1004,$T7)="","",INDEX(Firms!$I$5:$I$1004,$T7)),IF(INDEX('AFA Rates'!$H$5:$H$1004,$T7)="","",INDEX('AFA Rates'!$H$5:$H$1004,$T7))))</f>
        <v/>
      </c>
      <c r="K7" s="50">
        <f>IF($T7="","",IF($S7="S",IF(INDEX(Firms!$J$5:$J$1004,$T7)="","",INDEX(Firms!$J$5:$J$1004,$T7)),IF(INDEX('AFA Rates'!$I$5:$I$1004,$T7)="","",INDEX('AFA Rates'!$I$5:$I$1004,$T7))))</f>
        <v/>
      </c>
      <c r="L7" s="50">
        <f>IF($T7="","",IF($S7="S",IF(INDEX(Firms!$K$5:$K$1004,$T7)="","",INDEX(Firms!$K$5:$K$1004,$T7)),IF(INDEX('AFA Rates'!$J$5:$J$1004,$T7)="","",INDEX('AFA Rates'!$J$5:$J$1004,$T7))))</f>
        <v/>
      </c>
      <c r="M7" s="50">
        <f>IF($T7="","",IF($S7="S",IF(INDEX(Firms!$L$5:$L$1004,$T7)="","",INDEX(Firms!$L$5:$L$1004,$T7)),IF(INDEX('AFA Rates'!$K$5:$K$1004,$T7)="","",INDEX('AFA Rates'!$K$5:$K$1004,$T7))))</f>
        <v/>
      </c>
      <c r="N7" s="50">
        <f>IF($T7="","",IF($S7="S",IF(INDEX(Firms!$M$5:$M$1004,$T7)="","",INDEX(Firms!$M$5:$M$1004,$T7)),IF(INDEX('AFA Rates'!$L$5:$L$1004,$T7)="","",INDEX('AFA Rates'!$L$5:$L$1004,$T7))))</f>
        <v/>
      </c>
      <c r="O7" s="78">
        <f>IF(OR($T7="",$U7=""),"",IF(INDEX(Firms!$C$5:$C$1004,$U7)="","",INDEX(Firms!$C$5:$C$1004,$U7)))</f>
        <v/>
      </c>
      <c r="P7" s="79">
        <f>IF(OR($T7="",$U7=""),"",IF(INDEX(Firms!$N$5:$N$1004,$U7)="","",INDEX(Firms!$N$5:$N$1004,$U7)))</f>
        <v/>
      </c>
      <c r="Q7" s="78">
        <f>IF($T7="","",IF($S7="S",IF(INDEX(Firms!$T$5:$T$1004,$T7)="","",INDEX(Firms!$T$5:$T$1004,$T7)),IF(INDEX('AFA Rates'!$M$5:$M$1004,$T7)="","",INDEX('AFA Rates'!$M$5:$M$1004,$T7))))</f>
        <v/>
      </c>
      <c r="S7">
        <f>IF(3&lt;=$S$2,"S",IF(3&lt;=$S$2+$T$2,"A",""))</f>
        <v/>
      </c>
      <c r="T7">
        <f>IF(S7="S",MATCH(3,Firms!$W$5:$W$1004,0),IF(S7="A",IFERROR(MATCH(3-$S$2,'AFA Rates'!$R$5:$R$1004,0),""),""))</f>
        <v/>
      </c>
      <c r="U7">
        <f>IF(S7="S",T7,IF(AND(S7="A",T7&lt;&gt;""),IFERROR(MATCH(INDEX('AFA Rates'!$A$5:$A$1004,T7),Firms!$A$5:$A$1004,0),""),""))</f>
        <v/>
      </c>
    </row>
    <row r="8">
      <c r="A8" s="78">
        <f>IF($T8="","",IF($S8="S",IF(INDEX(Firms!$A$5:$A$1004,$T8)="","",INDEX(Firms!$A$5:$A$1004,$T8)),IF(INDEX('AFA Rates'!$A$5:$A$1004,$T8)="","",INDEX('AFA Rates'!$A$5:$A$1004,$T8))))</f>
        <v/>
      </c>
      <c r="B8" s="79">
        <f>IF(OR($T8="",$U8=""),IF($T8="","","Not on Firms tab"),INDEX(Firms!$B$5:$B$1004,$U8)&amp;"")</f>
        <v/>
      </c>
      <c r="C8" s="78">
        <f>IF($T8="","",IF($S8="S","Standard",INDEX('AFA Rates'!$B$5:$B$1004,$T8)&amp;""))</f>
        <v/>
      </c>
      <c r="D8" s="88">
        <f>IF($T8="","",IF($S8="S",IF(INDEX(Firms!$E$5:$E$1004,$T8)="","",INDEX(Firms!$E$5:$E$1004,$T8)),IF(INDEX('AFA Rates'!$C$5:$C$1004,$T8)="","",INDEX('AFA Rates'!$C$5:$C$1004,$T8))))</f>
        <v/>
      </c>
      <c r="E8" s="88">
        <f>IF($T8="","",IF($S8="S",IF(""="","",""),IF(INDEX('AFA Rates'!$D$5:$D$1004,$T8)="","",INDEX('AFA Rates'!$D$5:$D$1004,$T8))))</f>
        <v/>
      </c>
      <c r="F8" s="79">
        <f>IF($T8="","",IF($S8="S",IF(INDEX(Firms!$O$5:$O$1004,$T8)="","",INDEX(Firms!$O$5:$O$1004,$T8)),IF(INDEX('AFA Rates'!$O$5:$O$1004,$T8)="","",INDEX('AFA Rates'!$O$5:$O$1004,$T8))))</f>
        <v/>
      </c>
      <c r="G8" s="50">
        <f>IF($T8="","",IF($S8="S",IF(INDEX(Firms!$F$5:$F$1004,$T8)="","",INDEX(Firms!$F$5:$F$1004,$T8)),IF(INDEX('AFA Rates'!$E$5:$E$1004,$T8)="","",INDEX('AFA Rates'!$E$5:$E$1004,$T8))))</f>
        <v/>
      </c>
      <c r="H8" s="50">
        <f>IF($T8="","",IF($S8="S",IF(INDEX(Firms!$G$5:$G$1004,$T8)="","",INDEX(Firms!$G$5:$G$1004,$T8)),IF(INDEX('AFA Rates'!$F$5:$F$1004,$T8)="","",INDEX('AFA Rates'!$F$5:$F$1004,$T8))))</f>
        <v/>
      </c>
      <c r="I8" s="50">
        <f>IF($T8="","",IF($S8="S",IF(INDEX(Firms!$H$5:$H$1004,$T8)="","",INDEX(Firms!$H$5:$H$1004,$T8)),IF(INDEX('AFA Rates'!$G$5:$G$1004,$T8)="","",INDEX('AFA Rates'!$G$5:$G$1004,$T8))))</f>
        <v/>
      </c>
      <c r="J8" s="50">
        <f>IF($T8="","",IF($S8="S",IF(INDEX(Firms!$I$5:$I$1004,$T8)="","",INDEX(Firms!$I$5:$I$1004,$T8)),IF(INDEX('AFA Rates'!$H$5:$H$1004,$T8)="","",INDEX('AFA Rates'!$H$5:$H$1004,$T8))))</f>
        <v/>
      </c>
      <c r="K8" s="50">
        <f>IF($T8="","",IF($S8="S",IF(INDEX(Firms!$J$5:$J$1004,$T8)="","",INDEX(Firms!$J$5:$J$1004,$T8)),IF(INDEX('AFA Rates'!$I$5:$I$1004,$T8)="","",INDEX('AFA Rates'!$I$5:$I$1004,$T8))))</f>
        <v/>
      </c>
      <c r="L8" s="50">
        <f>IF($T8="","",IF($S8="S",IF(INDEX(Firms!$K$5:$K$1004,$T8)="","",INDEX(Firms!$K$5:$K$1004,$T8)),IF(INDEX('AFA Rates'!$J$5:$J$1004,$T8)="","",INDEX('AFA Rates'!$J$5:$J$1004,$T8))))</f>
        <v/>
      </c>
      <c r="M8" s="50">
        <f>IF($T8="","",IF($S8="S",IF(INDEX(Firms!$L$5:$L$1004,$T8)="","",INDEX(Firms!$L$5:$L$1004,$T8)),IF(INDEX('AFA Rates'!$K$5:$K$1004,$T8)="","",INDEX('AFA Rates'!$K$5:$K$1004,$T8))))</f>
        <v/>
      </c>
      <c r="N8" s="50">
        <f>IF($T8="","",IF($S8="S",IF(INDEX(Firms!$M$5:$M$1004,$T8)="","",INDEX(Firms!$M$5:$M$1004,$T8)),IF(INDEX('AFA Rates'!$L$5:$L$1004,$T8)="","",INDEX('AFA Rates'!$L$5:$L$1004,$T8))))</f>
        <v/>
      </c>
      <c r="O8" s="78">
        <f>IF(OR($T8="",$U8=""),"",IF(INDEX(Firms!$C$5:$C$1004,$U8)="","",INDEX(Firms!$C$5:$C$1004,$U8)))</f>
        <v/>
      </c>
      <c r="P8" s="79">
        <f>IF(OR($T8="",$U8=""),"",IF(INDEX(Firms!$N$5:$N$1004,$U8)="","",INDEX(Firms!$N$5:$N$1004,$U8)))</f>
        <v/>
      </c>
      <c r="Q8" s="78">
        <f>IF($T8="","",IF($S8="S",IF(INDEX(Firms!$T$5:$T$1004,$T8)="","",INDEX(Firms!$T$5:$T$1004,$T8)),IF(INDEX('AFA Rates'!$M$5:$M$1004,$T8)="","",INDEX('AFA Rates'!$M$5:$M$1004,$T8))))</f>
        <v/>
      </c>
      <c r="S8">
        <f>IF(4&lt;=$S$2,"S",IF(4&lt;=$S$2+$T$2,"A",""))</f>
        <v/>
      </c>
      <c r="T8">
        <f>IF(S8="S",MATCH(4,Firms!$W$5:$W$1004,0),IF(S8="A",IFERROR(MATCH(4-$S$2,'AFA Rates'!$R$5:$R$1004,0),""),""))</f>
        <v/>
      </c>
      <c r="U8">
        <f>IF(S8="S",T8,IF(AND(S8="A",T8&lt;&gt;""),IFERROR(MATCH(INDEX('AFA Rates'!$A$5:$A$1004,T8),Firms!$A$5:$A$1004,0),""),""))</f>
        <v/>
      </c>
    </row>
    <row r="9">
      <c r="A9" s="78">
        <f>IF($T9="","",IF($S9="S",IF(INDEX(Firms!$A$5:$A$1004,$T9)="","",INDEX(Firms!$A$5:$A$1004,$T9)),IF(INDEX('AFA Rates'!$A$5:$A$1004,$T9)="","",INDEX('AFA Rates'!$A$5:$A$1004,$T9))))</f>
        <v/>
      </c>
      <c r="B9" s="79">
        <f>IF(OR($T9="",$U9=""),IF($T9="","","Not on Firms tab"),INDEX(Firms!$B$5:$B$1004,$U9)&amp;"")</f>
        <v/>
      </c>
      <c r="C9" s="78">
        <f>IF($T9="","",IF($S9="S","Standard",INDEX('AFA Rates'!$B$5:$B$1004,$T9)&amp;""))</f>
        <v/>
      </c>
      <c r="D9" s="88">
        <f>IF($T9="","",IF($S9="S",IF(INDEX(Firms!$E$5:$E$1004,$T9)="","",INDEX(Firms!$E$5:$E$1004,$T9)),IF(INDEX('AFA Rates'!$C$5:$C$1004,$T9)="","",INDEX('AFA Rates'!$C$5:$C$1004,$T9))))</f>
        <v/>
      </c>
      <c r="E9" s="88">
        <f>IF($T9="","",IF($S9="S",IF(""="","",""),IF(INDEX('AFA Rates'!$D$5:$D$1004,$T9)="","",INDEX('AFA Rates'!$D$5:$D$1004,$T9))))</f>
        <v/>
      </c>
      <c r="F9" s="79">
        <f>IF($T9="","",IF($S9="S",IF(INDEX(Firms!$O$5:$O$1004,$T9)="","",INDEX(Firms!$O$5:$O$1004,$T9)),IF(INDEX('AFA Rates'!$O$5:$O$1004,$T9)="","",INDEX('AFA Rates'!$O$5:$O$1004,$T9))))</f>
        <v/>
      </c>
      <c r="G9" s="50">
        <f>IF($T9="","",IF($S9="S",IF(INDEX(Firms!$F$5:$F$1004,$T9)="","",INDEX(Firms!$F$5:$F$1004,$T9)),IF(INDEX('AFA Rates'!$E$5:$E$1004,$T9)="","",INDEX('AFA Rates'!$E$5:$E$1004,$T9))))</f>
        <v/>
      </c>
      <c r="H9" s="50">
        <f>IF($T9="","",IF($S9="S",IF(INDEX(Firms!$G$5:$G$1004,$T9)="","",INDEX(Firms!$G$5:$G$1004,$T9)),IF(INDEX('AFA Rates'!$F$5:$F$1004,$T9)="","",INDEX('AFA Rates'!$F$5:$F$1004,$T9))))</f>
        <v/>
      </c>
      <c r="I9" s="50">
        <f>IF($T9="","",IF($S9="S",IF(INDEX(Firms!$H$5:$H$1004,$T9)="","",INDEX(Firms!$H$5:$H$1004,$T9)),IF(INDEX('AFA Rates'!$G$5:$G$1004,$T9)="","",INDEX('AFA Rates'!$G$5:$G$1004,$T9))))</f>
        <v/>
      </c>
      <c r="J9" s="50">
        <f>IF($T9="","",IF($S9="S",IF(INDEX(Firms!$I$5:$I$1004,$T9)="","",INDEX(Firms!$I$5:$I$1004,$T9)),IF(INDEX('AFA Rates'!$H$5:$H$1004,$T9)="","",INDEX('AFA Rates'!$H$5:$H$1004,$T9))))</f>
        <v/>
      </c>
      <c r="K9" s="50">
        <f>IF($T9="","",IF($S9="S",IF(INDEX(Firms!$J$5:$J$1004,$T9)="","",INDEX(Firms!$J$5:$J$1004,$T9)),IF(INDEX('AFA Rates'!$I$5:$I$1004,$T9)="","",INDEX('AFA Rates'!$I$5:$I$1004,$T9))))</f>
        <v/>
      </c>
      <c r="L9" s="50">
        <f>IF($T9="","",IF($S9="S",IF(INDEX(Firms!$K$5:$K$1004,$T9)="","",INDEX(Firms!$K$5:$K$1004,$T9)),IF(INDEX('AFA Rates'!$J$5:$J$1004,$T9)="","",INDEX('AFA Rates'!$J$5:$J$1004,$T9))))</f>
        <v/>
      </c>
      <c r="M9" s="50">
        <f>IF($T9="","",IF($S9="S",IF(INDEX(Firms!$L$5:$L$1004,$T9)="","",INDEX(Firms!$L$5:$L$1004,$T9)),IF(INDEX('AFA Rates'!$K$5:$K$1004,$T9)="","",INDEX('AFA Rates'!$K$5:$K$1004,$T9))))</f>
        <v/>
      </c>
      <c r="N9" s="50">
        <f>IF($T9="","",IF($S9="S",IF(INDEX(Firms!$M$5:$M$1004,$T9)="","",INDEX(Firms!$M$5:$M$1004,$T9)),IF(INDEX('AFA Rates'!$L$5:$L$1004,$T9)="","",INDEX('AFA Rates'!$L$5:$L$1004,$T9))))</f>
        <v/>
      </c>
      <c r="O9" s="78">
        <f>IF(OR($T9="",$U9=""),"",IF(INDEX(Firms!$C$5:$C$1004,$U9)="","",INDEX(Firms!$C$5:$C$1004,$U9)))</f>
        <v/>
      </c>
      <c r="P9" s="79">
        <f>IF(OR($T9="",$U9=""),"",IF(INDEX(Firms!$N$5:$N$1004,$U9)="","",INDEX(Firms!$N$5:$N$1004,$U9)))</f>
        <v/>
      </c>
      <c r="Q9" s="78">
        <f>IF($T9="","",IF($S9="S",IF(INDEX(Firms!$T$5:$T$1004,$T9)="","",INDEX(Firms!$T$5:$T$1004,$T9)),IF(INDEX('AFA Rates'!$M$5:$M$1004,$T9)="","",INDEX('AFA Rates'!$M$5:$M$1004,$T9))))</f>
        <v/>
      </c>
      <c r="S9">
        <f>IF(5&lt;=$S$2,"S",IF(5&lt;=$S$2+$T$2,"A",""))</f>
        <v/>
      </c>
      <c r="T9">
        <f>IF(S9="S",MATCH(5,Firms!$W$5:$W$1004,0),IF(S9="A",IFERROR(MATCH(5-$S$2,'AFA Rates'!$R$5:$R$1004,0),""),""))</f>
        <v/>
      </c>
      <c r="U9">
        <f>IF(S9="S",T9,IF(AND(S9="A",T9&lt;&gt;""),IFERROR(MATCH(INDEX('AFA Rates'!$A$5:$A$1004,T9),Firms!$A$5:$A$1004,0),""),""))</f>
        <v/>
      </c>
    </row>
    <row r="10">
      <c r="A10" s="78">
        <f>IF($T10="","",IF($S10="S",IF(INDEX(Firms!$A$5:$A$1004,$T10)="","",INDEX(Firms!$A$5:$A$1004,$T10)),IF(INDEX('AFA Rates'!$A$5:$A$1004,$T10)="","",INDEX('AFA Rates'!$A$5:$A$1004,$T10))))</f>
        <v/>
      </c>
      <c r="B10" s="79">
        <f>IF(OR($T10="",$U10=""),IF($T10="","","Not on Firms tab"),INDEX(Firms!$B$5:$B$1004,$U10)&amp;"")</f>
        <v/>
      </c>
      <c r="C10" s="78">
        <f>IF($T10="","",IF($S10="S","Standard",INDEX('AFA Rates'!$B$5:$B$1004,$T10)&amp;""))</f>
        <v/>
      </c>
      <c r="D10" s="88">
        <f>IF($T10="","",IF($S10="S",IF(INDEX(Firms!$E$5:$E$1004,$T10)="","",INDEX(Firms!$E$5:$E$1004,$T10)),IF(INDEX('AFA Rates'!$C$5:$C$1004,$T10)="","",INDEX('AFA Rates'!$C$5:$C$1004,$T10))))</f>
        <v/>
      </c>
      <c r="E10" s="88">
        <f>IF($T10="","",IF($S10="S",IF(""="","",""),IF(INDEX('AFA Rates'!$D$5:$D$1004,$T10)="","",INDEX('AFA Rates'!$D$5:$D$1004,$T10))))</f>
        <v/>
      </c>
      <c r="F10" s="79">
        <f>IF($T10="","",IF($S10="S",IF(INDEX(Firms!$O$5:$O$1004,$T10)="","",INDEX(Firms!$O$5:$O$1004,$T10)),IF(INDEX('AFA Rates'!$O$5:$O$1004,$T10)="","",INDEX('AFA Rates'!$O$5:$O$1004,$T10))))</f>
        <v/>
      </c>
      <c r="G10" s="50">
        <f>IF($T10="","",IF($S10="S",IF(INDEX(Firms!$F$5:$F$1004,$T10)="","",INDEX(Firms!$F$5:$F$1004,$T10)),IF(INDEX('AFA Rates'!$E$5:$E$1004,$T10)="","",INDEX('AFA Rates'!$E$5:$E$1004,$T10))))</f>
        <v/>
      </c>
      <c r="H10" s="50">
        <f>IF($T10="","",IF($S10="S",IF(INDEX(Firms!$G$5:$G$1004,$T10)="","",INDEX(Firms!$G$5:$G$1004,$T10)),IF(INDEX('AFA Rates'!$F$5:$F$1004,$T10)="","",INDEX('AFA Rates'!$F$5:$F$1004,$T10))))</f>
        <v/>
      </c>
      <c r="I10" s="50">
        <f>IF($T10="","",IF($S10="S",IF(INDEX(Firms!$H$5:$H$1004,$T10)="","",INDEX(Firms!$H$5:$H$1004,$T10)),IF(INDEX('AFA Rates'!$G$5:$G$1004,$T10)="","",INDEX('AFA Rates'!$G$5:$G$1004,$T10))))</f>
        <v/>
      </c>
      <c r="J10" s="50">
        <f>IF($T10="","",IF($S10="S",IF(INDEX(Firms!$I$5:$I$1004,$T10)="","",INDEX(Firms!$I$5:$I$1004,$T10)),IF(INDEX('AFA Rates'!$H$5:$H$1004,$T10)="","",INDEX('AFA Rates'!$H$5:$H$1004,$T10))))</f>
        <v/>
      </c>
      <c r="K10" s="50">
        <f>IF($T10="","",IF($S10="S",IF(INDEX(Firms!$J$5:$J$1004,$T10)="","",INDEX(Firms!$J$5:$J$1004,$T10)),IF(INDEX('AFA Rates'!$I$5:$I$1004,$T10)="","",INDEX('AFA Rates'!$I$5:$I$1004,$T10))))</f>
        <v/>
      </c>
      <c r="L10" s="50">
        <f>IF($T10="","",IF($S10="S",IF(INDEX(Firms!$K$5:$K$1004,$T10)="","",INDEX(Firms!$K$5:$K$1004,$T10)),IF(INDEX('AFA Rates'!$J$5:$J$1004,$T10)="","",INDEX('AFA Rates'!$J$5:$J$1004,$T10))))</f>
        <v/>
      </c>
      <c r="M10" s="50">
        <f>IF($T10="","",IF($S10="S",IF(INDEX(Firms!$L$5:$L$1004,$T10)="","",INDEX(Firms!$L$5:$L$1004,$T10)),IF(INDEX('AFA Rates'!$K$5:$K$1004,$T10)="","",INDEX('AFA Rates'!$K$5:$K$1004,$T10))))</f>
        <v/>
      </c>
      <c r="N10" s="50">
        <f>IF($T10="","",IF($S10="S",IF(INDEX(Firms!$M$5:$M$1004,$T10)="","",INDEX(Firms!$M$5:$M$1004,$T10)),IF(INDEX('AFA Rates'!$L$5:$L$1004,$T10)="","",INDEX('AFA Rates'!$L$5:$L$1004,$T10))))</f>
        <v/>
      </c>
      <c r="O10" s="78">
        <f>IF(OR($T10="",$U10=""),"",IF(INDEX(Firms!$C$5:$C$1004,$U10)="","",INDEX(Firms!$C$5:$C$1004,$U10)))</f>
        <v/>
      </c>
      <c r="P10" s="79">
        <f>IF(OR($T10="",$U10=""),"",IF(INDEX(Firms!$N$5:$N$1004,$U10)="","",INDEX(Firms!$N$5:$N$1004,$U10)))</f>
        <v/>
      </c>
      <c r="Q10" s="78">
        <f>IF($T10="","",IF($S10="S",IF(INDEX(Firms!$T$5:$T$1004,$T10)="","",INDEX(Firms!$T$5:$T$1004,$T10)),IF(INDEX('AFA Rates'!$M$5:$M$1004,$T10)="","",INDEX('AFA Rates'!$M$5:$M$1004,$T10))))</f>
        <v/>
      </c>
      <c r="S10">
        <f>IF(6&lt;=$S$2,"S",IF(6&lt;=$S$2+$T$2,"A",""))</f>
        <v/>
      </c>
      <c r="T10">
        <f>IF(S10="S",MATCH(6,Firms!$W$5:$W$1004,0),IF(S10="A",IFERROR(MATCH(6-$S$2,'AFA Rates'!$R$5:$R$1004,0),""),""))</f>
        <v/>
      </c>
      <c r="U10">
        <f>IF(S10="S",T10,IF(AND(S10="A",T10&lt;&gt;""),IFERROR(MATCH(INDEX('AFA Rates'!$A$5:$A$1004,T10),Firms!$A$5:$A$1004,0),""),""))</f>
        <v/>
      </c>
    </row>
    <row r="11">
      <c r="A11" s="78">
        <f>IF($T11="","",IF($S11="S",IF(INDEX(Firms!$A$5:$A$1004,$T11)="","",INDEX(Firms!$A$5:$A$1004,$T11)),IF(INDEX('AFA Rates'!$A$5:$A$1004,$T11)="","",INDEX('AFA Rates'!$A$5:$A$1004,$T11))))</f>
        <v/>
      </c>
      <c r="B11" s="79">
        <f>IF(OR($T11="",$U11=""),IF($T11="","","Not on Firms tab"),INDEX(Firms!$B$5:$B$1004,$U11)&amp;"")</f>
        <v/>
      </c>
      <c r="C11" s="78">
        <f>IF($T11="","",IF($S11="S","Standard",INDEX('AFA Rates'!$B$5:$B$1004,$T11)&amp;""))</f>
        <v/>
      </c>
      <c r="D11" s="88">
        <f>IF($T11="","",IF($S11="S",IF(INDEX(Firms!$E$5:$E$1004,$T11)="","",INDEX(Firms!$E$5:$E$1004,$T11)),IF(INDEX('AFA Rates'!$C$5:$C$1004,$T11)="","",INDEX('AFA Rates'!$C$5:$C$1004,$T11))))</f>
        <v/>
      </c>
      <c r="E11" s="88">
        <f>IF($T11="","",IF($S11="S",IF(""="","",""),IF(INDEX('AFA Rates'!$D$5:$D$1004,$T11)="","",INDEX('AFA Rates'!$D$5:$D$1004,$T11))))</f>
        <v/>
      </c>
      <c r="F11" s="79">
        <f>IF($T11="","",IF($S11="S",IF(INDEX(Firms!$O$5:$O$1004,$T11)="","",INDEX(Firms!$O$5:$O$1004,$T11)),IF(INDEX('AFA Rates'!$O$5:$O$1004,$T11)="","",INDEX('AFA Rates'!$O$5:$O$1004,$T11))))</f>
        <v/>
      </c>
      <c r="G11" s="50">
        <f>IF($T11="","",IF($S11="S",IF(INDEX(Firms!$F$5:$F$1004,$T11)="","",INDEX(Firms!$F$5:$F$1004,$T11)),IF(INDEX('AFA Rates'!$E$5:$E$1004,$T11)="","",INDEX('AFA Rates'!$E$5:$E$1004,$T11))))</f>
        <v/>
      </c>
      <c r="H11" s="50">
        <f>IF($T11="","",IF($S11="S",IF(INDEX(Firms!$G$5:$G$1004,$T11)="","",INDEX(Firms!$G$5:$G$1004,$T11)),IF(INDEX('AFA Rates'!$F$5:$F$1004,$T11)="","",INDEX('AFA Rates'!$F$5:$F$1004,$T11))))</f>
        <v/>
      </c>
      <c r="I11" s="50">
        <f>IF($T11="","",IF($S11="S",IF(INDEX(Firms!$H$5:$H$1004,$T11)="","",INDEX(Firms!$H$5:$H$1004,$T11)),IF(INDEX('AFA Rates'!$G$5:$G$1004,$T11)="","",INDEX('AFA Rates'!$G$5:$G$1004,$T11))))</f>
        <v/>
      </c>
      <c r="J11" s="50">
        <f>IF($T11="","",IF($S11="S",IF(INDEX(Firms!$I$5:$I$1004,$T11)="","",INDEX(Firms!$I$5:$I$1004,$T11)),IF(INDEX('AFA Rates'!$H$5:$H$1004,$T11)="","",INDEX('AFA Rates'!$H$5:$H$1004,$T11))))</f>
        <v/>
      </c>
      <c r="K11" s="50">
        <f>IF($T11="","",IF($S11="S",IF(INDEX(Firms!$J$5:$J$1004,$T11)="","",INDEX(Firms!$J$5:$J$1004,$T11)),IF(INDEX('AFA Rates'!$I$5:$I$1004,$T11)="","",INDEX('AFA Rates'!$I$5:$I$1004,$T11))))</f>
        <v/>
      </c>
      <c r="L11" s="50">
        <f>IF($T11="","",IF($S11="S",IF(INDEX(Firms!$K$5:$K$1004,$T11)="","",INDEX(Firms!$K$5:$K$1004,$T11)),IF(INDEX('AFA Rates'!$J$5:$J$1004,$T11)="","",INDEX('AFA Rates'!$J$5:$J$1004,$T11))))</f>
        <v/>
      </c>
      <c r="M11" s="50">
        <f>IF($T11="","",IF($S11="S",IF(INDEX(Firms!$L$5:$L$1004,$T11)="","",INDEX(Firms!$L$5:$L$1004,$T11)),IF(INDEX('AFA Rates'!$K$5:$K$1004,$T11)="","",INDEX('AFA Rates'!$K$5:$K$1004,$T11))))</f>
        <v/>
      </c>
      <c r="N11" s="50">
        <f>IF($T11="","",IF($S11="S",IF(INDEX(Firms!$M$5:$M$1004,$T11)="","",INDEX(Firms!$M$5:$M$1004,$T11)),IF(INDEX('AFA Rates'!$L$5:$L$1004,$T11)="","",INDEX('AFA Rates'!$L$5:$L$1004,$T11))))</f>
        <v/>
      </c>
      <c r="O11" s="78">
        <f>IF(OR($T11="",$U11=""),"",IF(INDEX(Firms!$C$5:$C$1004,$U11)="","",INDEX(Firms!$C$5:$C$1004,$U11)))</f>
        <v/>
      </c>
      <c r="P11" s="79">
        <f>IF(OR($T11="",$U11=""),"",IF(INDEX(Firms!$N$5:$N$1004,$U11)="","",INDEX(Firms!$N$5:$N$1004,$U11)))</f>
        <v/>
      </c>
      <c r="Q11" s="78">
        <f>IF($T11="","",IF($S11="S",IF(INDEX(Firms!$T$5:$T$1004,$T11)="","",INDEX(Firms!$T$5:$T$1004,$T11)),IF(INDEX('AFA Rates'!$M$5:$M$1004,$T11)="","",INDEX('AFA Rates'!$M$5:$M$1004,$T11))))</f>
        <v/>
      </c>
      <c r="S11">
        <f>IF(7&lt;=$S$2,"S",IF(7&lt;=$S$2+$T$2,"A",""))</f>
        <v/>
      </c>
      <c r="T11">
        <f>IF(S11="S",MATCH(7,Firms!$W$5:$W$1004,0),IF(S11="A",IFERROR(MATCH(7-$S$2,'AFA Rates'!$R$5:$R$1004,0),""),""))</f>
        <v/>
      </c>
      <c r="U11">
        <f>IF(S11="S",T11,IF(AND(S11="A",T11&lt;&gt;""),IFERROR(MATCH(INDEX('AFA Rates'!$A$5:$A$1004,T11),Firms!$A$5:$A$1004,0),""),""))</f>
        <v/>
      </c>
    </row>
    <row r="12">
      <c r="A12" s="78">
        <f>IF($T12="","",IF($S12="S",IF(INDEX(Firms!$A$5:$A$1004,$T12)="","",INDEX(Firms!$A$5:$A$1004,$T12)),IF(INDEX('AFA Rates'!$A$5:$A$1004,$T12)="","",INDEX('AFA Rates'!$A$5:$A$1004,$T12))))</f>
        <v/>
      </c>
      <c r="B12" s="79">
        <f>IF(OR($T12="",$U12=""),IF($T12="","","Not on Firms tab"),INDEX(Firms!$B$5:$B$1004,$U12)&amp;"")</f>
        <v/>
      </c>
      <c r="C12" s="78">
        <f>IF($T12="","",IF($S12="S","Standard",INDEX('AFA Rates'!$B$5:$B$1004,$T12)&amp;""))</f>
        <v/>
      </c>
      <c r="D12" s="88">
        <f>IF($T12="","",IF($S12="S",IF(INDEX(Firms!$E$5:$E$1004,$T12)="","",INDEX(Firms!$E$5:$E$1004,$T12)),IF(INDEX('AFA Rates'!$C$5:$C$1004,$T12)="","",INDEX('AFA Rates'!$C$5:$C$1004,$T12))))</f>
        <v/>
      </c>
      <c r="E12" s="88">
        <f>IF($T12="","",IF($S12="S",IF(""="","",""),IF(INDEX('AFA Rates'!$D$5:$D$1004,$T12)="","",INDEX('AFA Rates'!$D$5:$D$1004,$T12))))</f>
        <v/>
      </c>
      <c r="F12" s="79">
        <f>IF($T12="","",IF($S12="S",IF(INDEX(Firms!$O$5:$O$1004,$T12)="","",INDEX(Firms!$O$5:$O$1004,$T12)),IF(INDEX('AFA Rates'!$O$5:$O$1004,$T12)="","",INDEX('AFA Rates'!$O$5:$O$1004,$T12))))</f>
        <v/>
      </c>
      <c r="G12" s="50">
        <f>IF($T12="","",IF($S12="S",IF(INDEX(Firms!$F$5:$F$1004,$T12)="","",INDEX(Firms!$F$5:$F$1004,$T12)),IF(INDEX('AFA Rates'!$E$5:$E$1004,$T12)="","",INDEX('AFA Rates'!$E$5:$E$1004,$T12))))</f>
        <v/>
      </c>
      <c r="H12" s="50">
        <f>IF($T12="","",IF($S12="S",IF(INDEX(Firms!$G$5:$G$1004,$T12)="","",INDEX(Firms!$G$5:$G$1004,$T12)),IF(INDEX('AFA Rates'!$F$5:$F$1004,$T12)="","",INDEX('AFA Rates'!$F$5:$F$1004,$T12))))</f>
        <v/>
      </c>
      <c r="I12" s="50">
        <f>IF($T12="","",IF($S12="S",IF(INDEX(Firms!$H$5:$H$1004,$T12)="","",INDEX(Firms!$H$5:$H$1004,$T12)),IF(INDEX('AFA Rates'!$G$5:$G$1004,$T12)="","",INDEX('AFA Rates'!$G$5:$G$1004,$T12))))</f>
        <v/>
      </c>
      <c r="J12" s="50">
        <f>IF($T12="","",IF($S12="S",IF(INDEX(Firms!$I$5:$I$1004,$T12)="","",INDEX(Firms!$I$5:$I$1004,$T12)),IF(INDEX('AFA Rates'!$H$5:$H$1004,$T12)="","",INDEX('AFA Rates'!$H$5:$H$1004,$T12))))</f>
        <v/>
      </c>
      <c r="K12" s="50">
        <f>IF($T12="","",IF($S12="S",IF(INDEX(Firms!$J$5:$J$1004,$T12)="","",INDEX(Firms!$J$5:$J$1004,$T12)),IF(INDEX('AFA Rates'!$I$5:$I$1004,$T12)="","",INDEX('AFA Rates'!$I$5:$I$1004,$T12))))</f>
        <v/>
      </c>
      <c r="L12" s="50">
        <f>IF($T12="","",IF($S12="S",IF(INDEX(Firms!$K$5:$K$1004,$T12)="","",INDEX(Firms!$K$5:$K$1004,$T12)),IF(INDEX('AFA Rates'!$J$5:$J$1004,$T12)="","",INDEX('AFA Rates'!$J$5:$J$1004,$T12))))</f>
        <v/>
      </c>
      <c r="M12" s="50">
        <f>IF($T12="","",IF($S12="S",IF(INDEX(Firms!$L$5:$L$1004,$T12)="","",INDEX(Firms!$L$5:$L$1004,$T12)),IF(INDEX('AFA Rates'!$K$5:$K$1004,$T12)="","",INDEX('AFA Rates'!$K$5:$K$1004,$T12))))</f>
        <v/>
      </c>
      <c r="N12" s="50">
        <f>IF($T12="","",IF($S12="S",IF(INDEX(Firms!$M$5:$M$1004,$T12)="","",INDEX(Firms!$M$5:$M$1004,$T12)),IF(INDEX('AFA Rates'!$L$5:$L$1004,$T12)="","",INDEX('AFA Rates'!$L$5:$L$1004,$T12))))</f>
        <v/>
      </c>
      <c r="O12" s="78">
        <f>IF(OR($T12="",$U12=""),"",IF(INDEX(Firms!$C$5:$C$1004,$U12)="","",INDEX(Firms!$C$5:$C$1004,$U12)))</f>
        <v/>
      </c>
      <c r="P12" s="79">
        <f>IF(OR($T12="",$U12=""),"",IF(INDEX(Firms!$N$5:$N$1004,$U12)="","",INDEX(Firms!$N$5:$N$1004,$U12)))</f>
        <v/>
      </c>
      <c r="Q12" s="78">
        <f>IF($T12="","",IF($S12="S",IF(INDEX(Firms!$T$5:$T$1004,$T12)="","",INDEX(Firms!$T$5:$T$1004,$T12)),IF(INDEX('AFA Rates'!$M$5:$M$1004,$T12)="","",INDEX('AFA Rates'!$M$5:$M$1004,$T12))))</f>
        <v/>
      </c>
      <c r="S12">
        <f>IF(8&lt;=$S$2,"S",IF(8&lt;=$S$2+$T$2,"A",""))</f>
        <v/>
      </c>
      <c r="T12">
        <f>IF(S12="S",MATCH(8,Firms!$W$5:$W$1004,0),IF(S12="A",IFERROR(MATCH(8-$S$2,'AFA Rates'!$R$5:$R$1004,0),""),""))</f>
        <v/>
      </c>
      <c r="U12">
        <f>IF(S12="S",T12,IF(AND(S12="A",T12&lt;&gt;""),IFERROR(MATCH(INDEX('AFA Rates'!$A$5:$A$1004,T12),Firms!$A$5:$A$1004,0),""),""))</f>
        <v/>
      </c>
    </row>
    <row r="13">
      <c r="A13" s="78">
        <f>IF($T13="","",IF($S13="S",IF(INDEX(Firms!$A$5:$A$1004,$T13)="","",INDEX(Firms!$A$5:$A$1004,$T13)),IF(INDEX('AFA Rates'!$A$5:$A$1004,$T13)="","",INDEX('AFA Rates'!$A$5:$A$1004,$T13))))</f>
        <v/>
      </c>
      <c r="B13" s="79">
        <f>IF(OR($T13="",$U13=""),IF($T13="","","Not on Firms tab"),INDEX(Firms!$B$5:$B$1004,$U13)&amp;"")</f>
        <v/>
      </c>
      <c r="C13" s="78">
        <f>IF($T13="","",IF($S13="S","Standard",INDEX('AFA Rates'!$B$5:$B$1004,$T13)&amp;""))</f>
        <v/>
      </c>
      <c r="D13" s="88">
        <f>IF($T13="","",IF($S13="S",IF(INDEX(Firms!$E$5:$E$1004,$T13)="","",INDEX(Firms!$E$5:$E$1004,$T13)),IF(INDEX('AFA Rates'!$C$5:$C$1004,$T13)="","",INDEX('AFA Rates'!$C$5:$C$1004,$T13))))</f>
        <v/>
      </c>
      <c r="E13" s="88">
        <f>IF($T13="","",IF($S13="S",IF(""="","",""),IF(INDEX('AFA Rates'!$D$5:$D$1004,$T13)="","",INDEX('AFA Rates'!$D$5:$D$1004,$T13))))</f>
        <v/>
      </c>
      <c r="F13" s="79">
        <f>IF($T13="","",IF($S13="S",IF(INDEX(Firms!$O$5:$O$1004,$T13)="","",INDEX(Firms!$O$5:$O$1004,$T13)),IF(INDEX('AFA Rates'!$O$5:$O$1004,$T13)="","",INDEX('AFA Rates'!$O$5:$O$1004,$T13))))</f>
        <v/>
      </c>
      <c r="G13" s="50">
        <f>IF($T13="","",IF($S13="S",IF(INDEX(Firms!$F$5:$F$1004,$T13)="","",INDEX(Firms!$F$5:$F$1004,$T13)),IF(INDEX('AFA Rates'!$E$5:$E$1004,$T13)="","",INDEX('AFA Rates'!$E$5:$E$1004,$T13))))</f>
        <v/>
      </c>
      <c r="H13" s="50">
        <f>IF($T13="","",IF($S13="S",IF(INDEX(Firms!$G$5:$G$1004,$T13)="","",INDEX(Firms!$G$5:$G$1004,$T13)),IF(INDEX('AFA Rates'!$F$5:$F$1004,$T13)="","",INDEX('AFA Rates'!$F$5:$F$1004,$T13))))</f>
        <v/>
      </c>
      <c r="I13" s="50">
        <f>IF($T13="","",IF($S13="S",IF(INDEX(Firms!$H$5:$H$1004,$T13)="","",INDEX(Firms!$H$5:$H$1004,$T13)),IF(INDEX('AFA Rates'!$G$5:$G$1004,$T13)="","",INDEX('AFA Rates'!$G$5:$G$1004,$T13))))</f>
        <v/>
      </c>
      <c r="J13" s="50">
        <f>IF($T13="","",IF($S13="S",IF(INDEX(Firms!$I$5:$I$1004,$T13)="","",INDEX(Firms!$I$5:$I$1004,$T13)),IF(INDEX('AFA Rates'!$H$5:$H$1004,$T13)="","",INDEX('AFA Rates'!$H$5:$H$1004,$T13))))</f>
        <v/>
      </c>
      <c r="K13" s="50">
        <f>IF($T13="","",IF($S13="S",IF(INDEX(Firms!$J$5:$J$1004,$T13)="","",INDEX(Firms!$J$5:$J$1004,$T13)),IF(INDEX('AFA Rates'!$I$5:$I$1004,$T13)="","",INDEX('AFA Rates'!$I$5:$I$1004,$T13))))</f>
        <v/>
      </c>
      <c r="L13" s="50">
        <f>IF($T13="","",IF($S13="S",IF(INDEX(Firms!$K$5:$K$1004,$T13)="","",INDEX(Firms!$K$5:$K$1004,$T13)),IF(INDEX('AFA Rates'!$J$5:$J$1004,$T13)="","",INDEX('AFA Rates'!$J$5:$J$1004,$T13))))</f>
        <v/>
      </c>
      <c r="M13" s="50">
        <f>IF($T13="","",IF($S13="S",IF(INDEX(Firms!$L$5:$L$1004,$T13)="","",INDEX(Firms!$L$5:$L$1004,$T13)),IF(INDEX('AFA Rates'!$K$5:$K$1004,$T13)="","",INDEX('AFA Rates'!$K$5:$K$1004,$T13))))</f>
        <v/>
      </c>
      <c r="N13" s="50">
        <f>IF($T13="","",IF($S13="S",IF(INDEX(Firms!$M$5:$M$1004,$T13)="","",INDEX(Firms!$M$5:$M$1004,$T13)),IF(INDEX('AFA Rates'!$L$5:$L$1004,$T13)="","",INDEX('AFA Rates'!$L$5:$L$1004,$T13))))</f>
        <v/>
      </c>
      <c r="O13" s="78">
        <f>IF(OR($T13="",$U13=""),"",IF(INDEX(Firms!$C$5:$C$1004,$U13)="","",INDEX(Firms!$C$5:$C$1004,$U13)))</f>
        <v/>
      </c>
      <c r="P13" s="79">
        <f>IF(OR($T13="",$U13=""),"",IF(INDEX(Firms!$N$5:$N$1004,$U13)="","",INDEX(Firms!$N$5:$N$1004,$U13)))</f>
        <v/>
      </c>
      <c r="Q13" s="78">
        <f>IF($T13="","",IF($S13="S",IF(INDEX(Firms!$T$5:$T$1004,$T13)="","",INDEX(Firms!$T$5:$T$1004,$T13)),IF(INDEX('AFA Rates'!$M$5:$M$1004,$T13)="","",INDEX('AFA Rates'!$M$5:$M$1004,$T13))))</f>
        <v/>
      </c>
      <c r="S13">
        <f>IF(9&lt;=$S$2,"S",IF(9&lt;=$S$2+$T$2,"A",""))</f>
        <v/>
      </c>
      <c r="T13">
        <f>IF(S13="S",MATCH(9,Firms!$W$5:$W$1004,0),IF(S13="A",IFERROR(MATCH(9-$S$2,'AFA Rates'!$R$5:$R$1004,0),""),""))</f>
        <v/>
      </c>
      <c r="U13">
        <f>IF(S13="S",T13,IF(AND(S13="A",T13&lt;&gt;""),IFERROR(MATCH(INDEX('AFA Rates'!$A$5:$A$1004,T13),Firms!$A$5:$A$1004,0),""),""))</f>
        <v/>
      </c>
    </row>
    <row r="14">
      <c r="A14" s="78">
        <f>IF($T14="","",IF($S14="S",IF(INDEX(Firms!$A$5:$A$1004,$T14)="","",INDEX(Firms!$A$5:$A$1004,$T14)),IF(INDEX('AFA Rates'!$A$5:$A$1004,$T14)="","",INDEX('AFA Rates'!$A$5:$A$1004,$T14))))</f>
        <v/>
      </c>
      <c r="B14" s="79">
        <f>IF(OR($T14="",$U14=""),IF($T14="","","Not on Firms tab"),INDEX(Firms!$B$5:$B$1004,$U14)&amp;"")</f>
        <v/>
      </c>
      <c r="C14" s="78">
        <f>IF($T14="","",IF($S14="S","Standard",INDEX('AFA Rates'!$B$5:$B$1004,$T14)&amp;""))</f>
        <v/>
      </c>
      <c r="D14" s="88">
        <f>IF($T14="","",IF($S14="S",IF(INDEX(Firms!$E$5:$E$1004,$T14)="","",INDEX(Firms!$E$5:$E$1004,$T14)),IF(INDEX('AFA Rates'!$C$5:$C$1004,$T14)="","",INDEX('AFA Rates'!$C$5:$C$1004,$T14))))</f>
        <v/>
      </c>
      <c r="E14" s="88">
        <f>IF($T14="","",IF($S14="S",IF(""="","",""),IF(INDEX('AFA Rates'!$D$5:$D$1004,$T14)="","",INDEX('AFA Rates'!$D$5:$D$1004,$T14))))</f>
        <v/>
      </c>
      <c r="F14" s="79">
        <f>IF($T14="","",IF($S14="S",IF(INDEX(Firms!$O$5:$O$1004,$T14)="","",INDEX(Firms!$O$5:$O$1004,$T14)),IF(INDEX('AFA Rates'!$O$5:$O$1004,$T14)="","",INDEX('AFA Rates'!$O$5:$O$1004,$T14))))</f>
        <v/>
      </c>
      <c r="G14" s="50">
        <f>IF($T14="","",IF($S14="S",IF(INDEX(Firms!$F$5:$F$1004,$T14)="","",INDEX(Firms!$F$5:$F$1004,$T14)),IF(INDEX('AFA Rates'!$E$5:$E$1004,$T14)="","",INDEX('AFA Rates'!$E$5:$E$1004,$T14))))</f>
        <v/>
      </c>
      <c r="H14" s="50">
        <f>IF($T14="","",IF($S14="S",IF(INDEX(Firms!$G$5:$G$1004,$T14)="","",INDEX(Firms!$G$5:$G$1004,$T14)),IF(INDEX('AFA Rates'!$F$5:$F$1004,$T14)="","",INDEX('AFA Rates'!$F$5:$F$1004,$T14))))</f>
        <v/>
      </c>
      <c r="I14" s="50">
        <f>IF($T14="","",IF($S14="S",IF(INDEX(Firms!$H$5:$H$1004,$T14)="","",INDEX(Firms!$H$5:$H$1004,$T14)),IF(INDEX('AFA Rates'!$G$5:$G$1004,$T14)="","",INDEX('AFA Rates'!$G$5:$G$1004,$T14))))</f>
        <v/>
      </c>
      <c r="J14" s="50">
        <f>IF($T14="","",IF($S14="S",IF(INDEX(Firms!$I$5:$I$1004,$T14)="","",INDEX(Firms!$I$5:$I$1004,$T14)),IF(INDEX('AFA Rates'!$H$5:$H$1004,$T14)="","",INDEX('AFA Rates'!$H$5:$H$1004,$T14))))</f>
        <v/>
      </c>
      <c r="K14" s="50">
        <f>IF($T14="","",IF($S14="S",IF(INDEX(Firms!$J$5:$J$1004,$T14)="","",INDEX(Firms!$J$5:$J$1004,$T14)),IF(INDEX('AFA Rates'!$I$5:$I$1004,$T14)="","",INDEX('AFA Rates'!$I$5:$I$1004,$T14))))</f>
        <v/>
      </c>
      <c r="L14" s="50">
        <f>IF($T14="","",IF($S14="S",IF(INDEX(Firms!$K$5:$K$1004,$T14)="","",INDEX(Firms!$K$5:$K$1004,$T14)),IF(INDEX('AFA Rates'!$J$5:$J$1004,$T14)="","",INDEX('AFA Rates'!$J$5:$J$1004,$T14))))</f>
        <v/>
      </c>
      <c r="M14" s="50">
        <f>IF($T14="","",IF($S14="S",IF(INDEX(Firms!$L$5:$L$1004,$T14)="","",INDEX(Firms!$L$5:$L$1004,$T14)),IF(INDEX('AFA Rates'!$K$5:$K$1004,$T14)="","",INDEX('AFA Rates'!$K$5:$K$1004,$T14))))</f>
        <v/>
      </c>
      <c r="N14" s="50">
        <f>IF($T14="","",IF($S14="S",IF(INDEX(Firms!$M$5:$M$1004,$T14)="","",INDEX(Firms!$M$5:$M$1004,$T14)),IF(INDEX('AFA Rates'!$L$5:$L$1004,$T14)="","",INDEX('AFA Rates'!$L$5:$L$1004,$T14))))</f>
        <v/>
      </c>
      <c r="O14" s="78">
        <f>IF(OR($T14="",$U14=""),"",IF(INDEX(Firms!$C$5:$C$1004,$U14)="","",INDEX(Firms!$C$5:$C$1004,$U14)))</f>
        <v/>
      </c>
      <c r="P14" s="79">
        <f>IF(OR($T14="",$U14=""),"",IF(INDEX(Firms!$N$5:$N$1004,$U14)="","",INDEX(Firms!$N$5:$N$1004,$U14)))</f>
        <v/>
      </c>
      <c r="Q14" s="78">
        <f>IF($T14="","",IF($S14="S",IF(INDEX(Firms!$T$5:$T$1004,$T14)="","",INDEX(Firms!$T$5:$T$1004,$T14)),IF(INDEX('AFA Rates'!$M$5:$M$1004,$T14)="","",INDEX('AFA Rates'!$M$5:$M$1004,$T14))))</f>
        <v/>
      </c>
      <c r="S14">
        <f>IF(10&lt;=$S$2,"S",IF(10&lt;=$S$2+$T$2,"A",""))</f>
        <v/>
      </c>
      <c r="T14">
        <f>IF(S14="S",MATCH(10,Firms!$W$5:$W$1004,0),IF(S14="A",IFERROR(MATCH(10-$S$2,'AFA Rates'!$R$5:$R$1004,0),""),""))</f>
        <v/>
      </c>
      <c r="U14">
        <f>IF(S14="S",T14,IF(AND(S14="A",T14&lt;&gt;""),IFERROR(MATCH(INDEX('AFA Rates'!$A$5:$A$1004,T14),Firms!$A$5:$A$1004,0),""),""))</f>
        <v/>
      </c>
    </row>
    <row r="15">
      <c r="A15" s="78">
        <f>IF($T15="","",IF($S15="S",IF(INDEX(Firms!$A$5:$A$1004,$T15)="","",INDEX(Firms!$A$5:$A$1004,$T15)),IF(INDEX('AFA Rates'!$A$5:$A$1004,$T15)="","",INDEX('AFA Rates'!$A$5:$A$1004,$T15))))</f>
        <v/>
      </c>
      <c r="B15" s="79">
        <f>IF(OR($T15="",$U15=""),IF($T15="","","Not on Firms tab"),INDEX(Firms!$B$5:$B$1004,$U15)&amp;"")</f>
        <v/>
      </c>
      <c r="C15" s="78">
        <f>IF($T15="","",IF($S15="S","Standard",INDEX('AFA Rates'!$B$5:$B$1004,$T15)&amp;""))</f>
        <v/>
      </c>
      <c r="D15" s="88">
        <f>IF($T15="","",IF($S15="S",IF(INDEX(Firms!$E$5:$E$1004,$T15)="","",INDEX(Firms!$E$5:$E$1004,$T15)),IF(INDEX('AFA Rates'!$C$5:$C$1004,$T15)="","",INDEX('AFA Rates'!$C$5:$C$1004,$T15))))</f>
        <v/>
      </c>
      <c r="E15" s="88">
        <f>IF($T15="","",IF($S15="S",IF(""="","",""),IF(INDEX('AFA Rates'!$D$5:$D$1004,$T15)="","",INDEX('AFA Rates'!$D$5:$D$1004,$T15))))</f>
        <v/>
      </c>
      <c r="F15" s="79">
        <f>IF($T15="","",IF($S15="S",IF(INDEX(Firms!$O$5:$O$1004,$T15)="","",INDEX(Firms!$O$5:$O$1004,$T15)),IF(INDEX('AFA Rates'!$O$5:$O$1004,$T15)="","",INDEX('AFA Rates'!$O$5:$O$1004,$T15))))</f>
        <v/>
      </c>
      <c r="G15" s="50">
        <f>IF($T15="","",IF($S15="S",IF(INDEX(Firms!$F$5:$F$1004,$T15)="","",INDEX(Firms!$F$5:$F$1004,$T15)),IF(INDEX('AFA Rates'!$E$5:$E$1004,$T15)="","",INDEX('AFA Rates'!$E$5:$E$1004,$T15))))</f>
        <v/>
      </c>
      <c r="H15" s="50">
        <f>IF($T15="","",IF($S15="S",IF(INDEX(Firms!$G$5:$G$1004,$T15)="","",INDEX(Firms!$G$5:$G$1004,$T15)),IF(INDEX('AFA Rates'!$F$5:$F$1004,$T15)="","",INDEX('AFA Rates'!$F$5:$F$1004,$T15))))</f>
        <v/>
      </c>
      <c r="I15" s="50">
        <f>IF($T15="","",IF($S15="S",IF(INDEX(Firms!$H$5:$H$1004,$T15)="","",INDEX(Firms!$H$5:$H$1004,$T15)),IF(INDEX('AFA Rates'!$G$5:$G$1004,$T15)="","",INDEX('AFA Rates'!$G$5:$G$1004,$T15))))</f>
        <v/>
      </c>
      <c r="J15" s="50">
        <f>IF($T15="","",IF($S15="S",IF(INDEX(Firms!$I$5:$I$1004,$T15)="","",INDEX(Firms!$I$5:$I$1004,$T15)),IF(INDEX('AFA Rates'!$H$5:$H$1004,$T15)="","",INDEX('AFA Rates'!$H$5:$H$1004,$T15))))</f>
        <v/>
      </c>
      <c r="K15" s="50">
        <f>IF($T15="","",IF($S15="S",IF(INDEX(Firms!$J$5:$J$1004,$T15)="","",INDEX(Firms!$J$5:$J$1004,$T15)),IF(INDEX('AFA Rates'!$I$5:$I$1004,$T15)="","",INDEX('AFA Rates'!$I$5:$I$1004,$T15))))</f>
        <v/>
      </c>
      <c r="L15" s="50">
        <f>IF($T15="","",IF($S15="S",IF(INDEX(Firms!$K$5:$K$1004,$T15)="","",INDEX(Firms!$K$5:$K$1004,$T15)),IF(INDEX('AFA Rates'!$J$5:$J$1004,$T15)="","",INDEX('AFA Rates'!$J$5:$J$1004,$T15))))</f>
        <v/>
      </c>
      <c r="M15" s="50">
        <f>IF($T15="","",IF($S15="S",IF(INDEX(Firms!$L$5:$L$1004,$T15)="","",INDEX(Firms!$L$5:$L$1004,$T15)),IF(INDEX('AFA Rates'!$K$5:$K$1004,$T15)="","",INDEX('AFA Rates'!$K$5:$K$1004,$T15))))</f>
        <v/>
      </c>
      <c r="N15" s="50">
        <f>IF($T15="","",IF($S15="S",IF(INDEX(Firms!$M$5:$M$1004,$T15)="","",INDEX(Firms!$M$5:$M$1004,$T15)),IF(INDEX('AFA Rates'!$L$5:$L$1004,$T15)="","",INDEX('AFA Rates'!$L$5:$L$1004,$T15))))</f>
        <v/>
      </c>
      <c r="O15" s="78">
        <f>IF(OR($T15="",$U15=""),"",IF(INDEX(Firms!$C$5:$C$1004,$U15)="","",INDEX(Firms!$C$5:$C$1004,$U15)))</f>
        <v/>
      </c>
      <c r="P15" s="79">
        <f>IF(OR($T15="",$U15=""),"",IF(INDEX(Firms!$N$5:$N$1004,$U15)="","",INDEX(Firms!$N$5:$N$1004,$U15)))</f>
        <v/>
      </c>
      <c r="Q15" s="78">
        <f>IF($T15="","",IF($S15="S",IF(INDEX(Firms!$T$5:$T$1004,$T15)="","",INDEX(Firms!$T$5:$T$1004,$T15)),IF(INDEX('AFA Rates'!$M$5:$M$1004,$T15)="","",INDEX('AFA Rates'!$M$5:$M$1004,$T15))))</f>
        <v/>
      </c>
      <c r="S15">
        <f>IF(11&lt;=$S$2,"S",IF(11&lt;=$S$2+$T$2,"A",""))</f>
        <v/>
      </c>
      <c r="T15">
        <f>IF(S15="S",MATCH(11,Firms!$W$5:$W$1004,0),IF(S15="A",IFERROR(MATCH(11-$S$2,'AFA Rates'!$R$5:$R$1004,0),""),""))</f>
        <v/>
      </c>
      <c r="U15">
        <f>IF(S15="S",T15,IF(AND(S15="A",T15&lt;&gt;""),IFERROR(MATCH(INDEX('AFA Rates'!$A$5:$A$1004,T15),Firms!$A$5:$A$1004,0),""),""))</f>
        <v/>
      </c>
    </row>
    <row r="16">
      <c r="A16" s="78">
        <f>IF($T16="","",IF($S16="S",IF(INDEX(Firms!$A$5:$A$1004,$T16)="","",INDEX(Firms!$A$5:$A$1004,$T16)),IF(INDEX('AFA Rates'!$A$5:$A$1004,$T16)="","",INDEX('AFA Rates'!$A$5:$A$1004,$T16))))</f>
        <v/>
      </c>
      <c r="B16" s="79">
        <f>IF(OR($T16="",$U16=""),IF($T16="","","Not on Firms tab"),INDEX(Firms!$B$5:$B$1004,$U16)&amp;"")</f>
        <v/>
      </c>
      <c r="C16" s="78">
        <f>IF($T16="","",IF($S16="S","Standard",INDEX('AFA Rates'!$B$5:$B$1004,$T16)&amp;""))</f>
        <v/>
      </c>
      <c r="D16" s="88">
        <f>IF($T16="","",IF($S16="S",IF(INDEX(Firms!$E$5:$E$1004,$T16)="","",INDEX(Firms!$E$5:$E$1004,$T16)),IF(INDEX('AFA Rates'!$C$5:$C$1004,$T16)="","",INDEX('AFA Rates'!$C$5:$C$1004,$T16))))</f>
        <v/>
      </c>
      <c r="E16" s="88">
        <f>IF($T16="","",IF($S16="S",IF(""="","",""),IF(INDEX('AFA Rates'!$D$5:$D$1004,$T16)="","",INDEX('AFA Rates'!$D$5:$D$1004,$T16))))</f>
        <v/>
      </c>
      <c r="F16" s="79">
        <f>IF($T16="","",IF($S16="S",IF(INDEX(Firms!$O$5:$O$1004,$T16)="","",INDEX(Firms!$O$5:$O$1004,$T16)),IF(INDEX('AFA Rates'!$O$5:$O$1004,$T16)="","",INDEX('AFA Rates'!$O$5:$O$1004,$T16))))</f>
        <v/>
      </c>
      <c r="G16" s="50">
        <f>IF($T16="","",IF($S16="S",IF(INDEX(Firms!$F$5:$F$1004,$T16)="","",INDEX(Firms!$F$5:$F$1004,$T16)),IF(INDEX('AFA Rates'!$E$5:$E$1004,$T16)="","",INDEX('AFA Rates'!$E$5:$E$1004,$T16))))</f>
        <v/>
      </c>
      <c r="H16" s="50">
        <f>IF($T16="","",IF($S16="S",IF(INDEX(Firms!$G$5:$G$1004,$T16)="","",INDEX(Firms!$G$5:$G$1004,$T16)),IF(INDEX('AFA Rates'!$F$5:$F$1004,$T16)="","",INDEX('AFA Rates'!$F$5:$F$1004,$T16))))</f>
        <v/>
      </c>
      <c r="I16" s="50">
        <f>IF($T16="","",IF($S16="S",IF(INDEX(Firms!$H$5:$H$1004,$T16)="","",INDEX(Firms!$H$5:$H$1004,$T16)),IF(INDEX('AFA Rates'!$G$5:$G$1004,$T16)="","",INDEX('AFA Rates'!$G$5:$G$1004,$T16))))</f>
        <v/>
      </c>
      <c r="J16" s="50">
        <f>IF($T16="","",IF($S16="S",IF(INDEX(Firms!$I$5:$I$1004,$T16)="","",INDEX(Firms!$I$5:$I$1004,$T16)),IF(INDEX('AFA Rates'!$H$5:$H$1004,$T16)="","",INDEX('AFA Rates'!$H$5:$H$1004,$T16))))</f>
        <v/>
      </c>
      <c r="K16" s="50">
        <f>IF($T16="","",IF($S16="S",IF(INDEX(Firms!$J$5:$J$1004,$T16)="","",INDEX(Firms!$J$5:$J$1004,$T16)),IF(INDEX('AFA Rates'!$I$5:$I$1004,$T16)="","",INDEX('AFA Rates'!$I$5:$I$1004,$T16))))</f>
        <v/>
      </c>
      <c r="L16" s="50">
        <f>IF($T16="","",IF($S16="S",IF(INDEX(Firms!$K$5:$K$1004,$T16)="","",INDEX(Firms!$K$5:$K$1004,$T16)),IF(INDEX('AFA Rates'!$J$5:$J$1004,$T16)="","",INDEX('AFA Rates'!$J$5:$J$1004,$T16))))</f>
        <v/>
      </c>
      <c r="M16" s="50">
        <f>IF($T16="","",IF($S16="S",IF(INDEX(Firms!$L$5:$L$1004,$T16)="","",INDEX(Firms!$L$5:$L$1004,$T16)),IF(INDEX('AFA Rates'!$K$5:$K$1004,$T16)="","",INDEX('AFA Rates'!$K$5:$K$1004,$T16))))</f>
        <v/>
      </c>
      <c r="N16" s="50">
        <f>IF($T16="","",IF($S16="S",IF(INDEX(Firms!$M$5:$M$1004,$T16)="","",INDEX(Firms!$M$5:$M$1004,$T16)),IF(INDEX('AFA Rates'!$L$5:$L$1004,$T16)="","",INDEX('AFA Rates'!$L$5:$L$1004,$T16))))</f>
        <v/>
      </c>
      <c r="O16" s="78">
        <f>IF(OR($T16="",$U16=""),"",IF(INDEX(Firms!$C$5:$C$1004,$U16)="","",INDEX(Firms!$C$5:$C$1004,$U16)))</f>
        <v/>
      </c>
      <c r="P16" s="79">
        <f>IF(OR($T16="",$U16=""),"",IF(INDEX(Firms!$N$5:$N$1004,$U16)="","",INDEX(Firms!$N$5:$N$1004,$U16)))</f>
        <v/>
      </c>
      <c r="Q16" s="78">
        <f>IF($T16="","",IF($S16="S",IF(INDEX(Firms!$T$5:$T$1004,$T16)="","",INDEX(Firms!$T$5:$T$1004,$T16)),IF(INDEX('AFA Rates'!$M$5:$M$1004,$T16)="","",INDEX('AFA Rates'!$M$5:$M$1004,$T16))))</f>
        <v/>
      </c>
      <c r="S16">
        <f>IF(12&lt;=$S$2,"S",IF(12&lt;=$S$2+$T$2,"A",""))</f>
        <v/>
      </c>
      <c r="T16">
        <f>IF(S16="S",MATCH(12,Firms!$W$5:$W$1004,0),IF(S16="A",IFERROR(MATCH(12-$S$2,'AFA Rates'!$R$5:$R$1004,0),""),""))</f>
        <v/>
      </c>
      <c r="U16">
        <f>IF(S16="S",T16,IF(AND(S16="A",T16&lt;&gt;""),IFERROR(MATCH(INDEX('AFA Rates'!$A$5:$A$1004,T16),Firms!$A$5:$A$1004,0),""),""))</f>
        <v/>
      </c>
    </row>
    <row r="17">
      <c r="A17" s="78">
        <f>IF($T17="","",IF($S17="S",IF(INDEX(Firms!$A$5:$A$1004,$T17)="","",INDEX(Firms!$A$5:$A$1004,$T17)),IF(INDEX('AFA Rates'!$A$5:$A$1004,$T17)="","",INDEX('AFA Rates'!$A$5:$A$1004,$T17))))</f>
        <v/>
      </c>
      <c r="B17" s="79">
        <f>IF(OR($T17="",$U17=""),IF($T17="","","Not on Firms tab"),INDEX(Firms!$B$5:$B$1004,$U17)&amp;"")</f>
        <v/>
      </c>
      <c r="C17" s="78">
        <f>IF($T17="","",IF($S17="S","Standard",INDEX('AFA Rates'!$B$5:$B$1004,$T17)&amp;""))</f>
        <v/>
      </c>
      <c r="D17" s="88">
        <f>IF($T17="","",IF($S17="S",IF(INDEX(Firms!$E$5:$E$1004,$T17)="","",INDEX(Firms!$E$5:$E$1004,$T17)),IF(INDEX('AFA Rates'!$C$5:$C$1004,$T17)="","",INDEX('AFA Rates'!$C$5:$C$1004,$T17))))</f>
        <v/>
      </c>
      <c r="E17" s="88">
        <f>IF($T17="","",IF($S17="S",IF(""="","",""),IF(INDEX('AFA Rates'!$D$5:$D$1004,$T17)="","",INDEX('AFA Rates'!$D$5:$D$1004,$T17))))</f>
        <v/>
      </c>
      <c r="F17" s="79">
        <f>IF($T17="","",IF($S17="S",IF(INDEX(Firms!$O$5:$O$1004,$T17)="","",INDEX(Firms!$O$5:$O$1004,$T17)),IF(INDEX('AFA Rates'!$O$5:$O$1004,$T17)="","",INDEX('AFA Rates'!$O$5:$O$1004,$T17))))</f>
        <v/>
      </c>
      <c r="G17" s="50">
        <f>IF($T17="","",IF($S17="S",IF(INDEX(Firms!$F$5:$F$1004,$T17)="","",INDEX(Firms!$F$5:$F$1004,$T17)),IF(INDEX('AFA Rates'!$E$5:$E$1004,$T17)="","",INDEX('AFA Rates'!$E$5:$E$1004,$T17))))</f>
        <v/>
      </c>
      <c r="H17" s="50">
        <f>IF($T17="","",IF($S17="S",IF(INDEX(Firms!$G$5:$G$1004,$T17)="","",INDEX(Firms!$G$5:$G$1004,$T17)),IF(INDEX('AFA Rates'!$F$5:$F$1004,$T17)="","",INDEX('AFA Rates'!$F$5:$F$1004,$T17))))</f>
        <v/>
      </c>
      <c r="I17" s="50">
        <f>IF($T17="","",IF($S17="S",IF(INDEX(Firms!$H$5:$H$1004,$T17)="","",INDEX(Firms!$H$5:$H$1004,$T17)),IF(INDEX('AFA Rates'!$G$5:$G$1004,$T17)="","",INDEX('AFA Rates'!$G$5:$G$1004,$T17))))</f>
        <v/>
      </c>
      <c r="J17" s="50">
        <f>IF($T17="","",IF($S17="S",IF(INDEX(Firms!$I$5:$I$1004,$T17)="","",INDEX(Firms!$I$5:$I$1004,$T17)),IF(INDEX('AFA Rates'!$H$5:$H$1004,$T17)="","",INDEX('AFA Rates'!$H$5:$H$1004,$T17))))</f>
        <v/>
      </c>
      <c r="K17" s="50">
        <f>IF($T17="","",IF($S17="S",IF(INDEX(Firms!$J$5:$J$1004,$T17)="","",INDEX(Firms!$J$5:$J$1004,$T17)),IF(INDEX('AFA Rates'!$I$5:$I$1004,$T17)="","",INDEX('AFA Rates'!$I$5:$I$1004,$T17))))</f>
        <v/>
      </c>
      <c r="L17" s="50">
        <f>IF($T17="","",IF($S17="S",IF(INDEX(Firms!$K$5:$K$1004,$T17)="","",INDEX(Firms!$K$5:$K$1004,$T17)),IF(INDEX('AFA Rates'!$J$5:$J$1004,$T17)="","",INDEX('AFA Rates'!$J$5:$J$1004,$T17))))</f>
        <v/>
      </c>
      <c r="M17" s="50">
        <f>IF($T17="","",IF($S17="S",IF(INDEX(Firms!$L$5:$L$1004,$T17)="","",INDEX(Firms!$L$5:$L$1004,$T17)),IF(INDEX('AFA Rates'!$K$5:$K$1004,$T17)="","",INDEX('AFA Rates'!$K$5:$K$1004,$T17))))</f>
        <v/>
      </c>
      <c r="N17" s="50">
        <f>IF($T17="","",IF($S17="S",IF(INDEX(Firms!$M$5:$M$1004,$T17)="","",INDEX(Firms!$M$5:$M$1004,$T17)),IF(INDEX('AFA Rates'!$L$5:$L$1004,$T17)="","",INDEX('AFA Rates'!$L$5:$L$1004,$T17))))</f>
        <v/>
      </c>
      <c r="O17" s="78">
        <f>IF(OR($T17="",$U17=""),"",IF(INDEX(Firms!$C$5:$C$1004,$U17)="","",INDEX(Firms!$C$5:$C$1004,$U17)))</f>
        <v/>
      </c>
      <c r="P17" s="79">
        <f>IF(OR($T17="",$U17=""),"",IF(INDEX(Firms!$N$5:$N$1004,$U17)="","",INDEX(Firms!$N$5:$N$1004,$U17)))</f>
        <v/>
      </c>
      <c r="Q17" s="78">
        <f>IF($T17="","",IF($S17="S",IF(INDEX(Firms!$T$5:$T$1004,$T17)="","",INDEX(Firms!$T$5:$T$1004,$T17)),IF(INDEX('AFA Rates'!$M$5:$M$1004,$T17)="","",INDEX('AFA Rates'!$M$5:$M$1004,$T17))))</f>
        <v/>
      </c>
      <c r="S17">
        <f>IF(13&lt;=$S$2,"S",IF(13&lt;=$S$2+$T$2,"A",""))</f>
        <v/>
      </c>
      <c r="T17">
        <f>IF(S17="S",MATCH(13,Firms!$W$5:$W$1004,0),IF(S17="A",IFERROR(MATCH(13-$S$2,'AFA Rates'!$R$5:$R$1004,0),""),""))</f>
        <v/>
      </c>
      <c r="U17">
        <f>IF(S17="S",T17,IF(AND(S17="A",T17&lt;&gt;""),IFERROR(MATCH(INDEX('AFA Rates'!$A$5:$A$1004,T17),Firms!$A$5:$A$1004,0),""),""))</f>
        <v/>
      </c>
    </row>
    <row r="18">
      <c r="A18" s="78">
        <f>IF($T18="","",IF($S18="S",IF(INDEX(Firms!$A$5:$A$1004,$T18)="","",INDEX(Firms!$A$5:$A$1004,$T18)),IF(INDEX('AFA Rates'!$A$5:$A$1004,$T18)="","",INDEX('AFA Rates'!$A$5:$A$1004,$T18))))</f>
        <v/>
      </c>
      <c r="B18" s="79">
        <f>IF(OR($T18="",$U18=""),IF($T18="","","Not on Firms tab"),INDEX(Firms!$B$5:$B$1004,$U18)&amp;"")</f>
        <v/>
      </c>
      <c r="C18" s="78">
        <f>IF($T18="","",IF($S18="S","Standard",INDEX('AFA Rates'!$B$5:$B$1004,$T18)&amp;""))</f>
        <v/>
      </c>
      <c r="D18" s="88">
        <f>IF($T18="","",IF($S18="S",IF(INDEX(Firms!$E$5:$E$1004,$T18)="","",INDEX(Firms!$E$5:$E$1004,$T18)),IF(INDEX('AFA Rates'!$C$5:$C$1004,$T18)="","",INDEX('AFA Rates'!$C$5:$C$1004,$T18))))</f>
        <v/>
      </c>
      <c r="E18" s="88">
        <f>IF($T18="","",IF($S18="S",IF(""="","",""),IF(INDEX('AFA Rates'!$D$5:$D$1004,$T18)="","",INDEX('AFA Rates'!$D$5:$D$1004,$T18))))</f>
        <v/>
      </c>
      <c r="F18" s="79">
        <f>IF($T18="","",IF($S18="S",IF(INDEX(Firms!$O$5:$O$1004,$T18)="","",INDEX(Firms!$O$5:$O$1004,$T18)),IF(INDEX('AFA Rates'!$O$5:$O$1004,$T18)="","",INDEX('AFA Rates'!$O$5:$O$1004,$T18))))</f>
        <v/>
      </c>
      <c r="G18" s="50">
        <f>IF($T18="","",IF($S18="S",IF(INDEX(Firms!$F$5:$F$1004,$T18)="","",INDEX(Firms!$F$5:$F$1004,$T18)),IF(INDEX('AFA Rates'!$E$5:$E$1004,$T18)="","",INDEX('AFA Rates'!$E$5:$E$1004,$T18))))</f>
        <v/>
      </c>
      <c r="H18" s="50">
        <f>IF($T18="","",IF($S18="S",IF(INDEX(Firms!$G$5:$G$1004,$T18)="","",INDEX(Firms!$G$5:$G$1004,$T18)),IF(INDEX('AFA Rates'!$F$5:$F$1004,$T18)="","",INDEX('AFA Rates'!$F$5:$F$1004,$T18))))</f>
        <v/>
      </c>
      <c r="I18" s="50">
        <f>IF($T18="","",IF($S18="S",IF(INDEX(Firms!$H$5:$H$1004,$T18)="","",INDEX(Firms!$H$5:$H$1004,$T18)),IF(INDEX('AFA Rates'!$G$5:$G$1004,$T18)="","",INDEX('AFA Rates'!$G$5:$G$1004,$T18))))</f>
        <v/>
      </c>
      <c r="J18" s="50">
        <f>IF($T18="","",IF($S18="S",IF(INDEX(Firms!$I$5:$I$1004,$T18)="","",INDEX(Firms!$I$5:$I$1004,$T18)),IF(INDEX('AFA Rates'!$H$5:$H$1004,$T18)="","",INDEX('AFA Rates'!$H$5:$H$1004,$T18))))</f>
        <v/>
      </c>
      <c r="K18" s="50">
        <f>IF($T18="","",IF($S18="S",IF(INDEX(Firms!$J$5:$J$1004,$T18)="","",INDEX(Firms!$J$5:$J$1004,$T18)),IF(INDEX('AFA Rates'!$I$5:$I$1004,$T18)="","",INDEX('AFA Rates'!$I$5:$I$1004,$T18))))</f>
        <v/>
      </c>
      <c r="L18" s="50">
        <f>IF($T18="","",IF($S18="S",IF(INDEX(Firms!$K$5:$K$1004,$T18)="","",INDEX(Firms!$K$5:$K$1004,$T18)),IF(INDEX('AFA Rates'!$J$5:$J$1004,$T18)="","",INDEX('AFA Rates'!$J$5:$J$1004,$T18))))</f>
        <v/>
      </c>
      <c r="M18" s="50">
        <f>IF($T18="","",IF($S18="S",IF(INDEX(Firms!$L$5:$L$1004,$T18)="","",INDEX(Firms!$L$5:$L$1004,$T18)),IF(INDEX('AFA Rates'!$K$5:$K$1004,$T18)="","",INDEX('AFA Rates'!$K$5:$K$1004,$T18))))</f>
        <v/>
      </c>
      <c r="N18" s="50">
        <f>IF($T18="","",IF($S18="S",IF(INDEX(Firms!$M$5:$M$1004,$T18)="","",INDEX(Firms!$M$5:$M$1004,$T18)),IF(INDEX('AFA Rates'!$L$5:$L$1004,$T18)="","",INDEX('AFA Rates'!$L$5:$L$1004,$T18))))</f>
        <v/>
      </c>
      <c r="O18" s="78">
        <f>IF(OR($T18="",$U18=""),"",IF(INDEX(Firms!$C$5:$C$1004,$U18)="","",INDEX(Firms!$C$5:$C$1004,$U18)))</f>
        <v/>
      </c>
      <c r="P18" s="79">
        <f>IF(OR($T18="",$U18=""),"",IF(INDEX(Firms!$N$5:$N$1004,$U18)="","",INDEX(Firms!$N$5:$N$1004,$U18)))</f>
        <v/>
      </c>
      <c r="Q18" s="78">
        <f>IF($T18="","",IF($S18="S",IF(INDEX(Firms!$T$5:$T$1004,$T18)="","",INDEX(Firms!$T$5:$T$1004,$T18)),IF(INDEX('AFA Rates'!$M$5:$M$1004,$T18)="","",INDEX('AFA Rates'!$M$5:$M$1004,$T18))))</f>
        <v/>
      </c>
      <c r="S18">
        <f>IF(14&lt;=$S$2,"S",IF(14&lt;=$S$2+$T$2,"A",""))</f>
        <v/>
      </c>
      <c r="T18">
        <f>IF(S18="S",MATCH(14,Firms!$W$5:$W$1004,0),IF(S18="A",IFERROR(MATCH(14-$S$2,'AFA Rates'!$R$5:$R$1004,0),""),""))</f>
        <v/>
      </c>
      <c r="U18">
        <f>IF(S18="S",T18,IF(AND(S18="A",T18&lt;&gt;""),IFERROR(MATCH(INDEX('AFA Rates'!$A$5:$A$1004,T18),Firms!$A$5:$A$1004,0),""),""))</f>
        <v/>
      </c>
    </row>
    <row r="19">
      <c r="A19" s="78">
        <f>IF($T19="","",IF($S19="S",IF(INDEX(Firms!$A$5:$A$1004,$T19)="","",INDEX(Firms!$A$5:$A$1004,$T19)),IF(INDEX('AFA Rates'!$A$5:$A$1004,$T19)="","",INDEX('AFA Rates'!$A$5:$A$1004,$T19))))</f>
        <v/>
      </c>
      <c r="B19" s="79">
        <f>IF(OR($T19="",$U19=""),IF($T19="","","Not on Firms tab"),INDEX(Firms!$B$5:$B$1004,$U19)&amp;"")</f>
        <v/>
      </c>
      <c r="C19" s="78">
        <f>IF($T19="","",IF($S19="S","Standard",INDEX('AFA Rates'!$B$5:$B$1004,$T19)&amp;""))</f>
        <v/>
      </c>
      <c r="D19" s="88">
        <f>IF($T19="","",IF($S19="S",IF(INDEX(Firms!$E$5:$E$1004,$T19)="","",INDEX(Firms!$E$5:$E$1004,$T19)),IF(INDEX('AFA Rates'!$C$5:$C$1004,$T19)="","",INDEX('AFA Rates'!$C$5:$C$1004,$T19))))</f>
        <v/>
      </c>
      <c r="E19" s="88">
        <f>IF($T19="","",IF($S19="S",IF(""="","",""),IF(INDEX('AFA Rates'!$D$5:$D$1004,$T19)="","",INDEX('AFA Rates'!$D$5:$D$1004,$T19))))</f>
        <v/>
      </c>
      <c r="F19" s="79">
        <f>IF($T19="","",IF($S19="S",IF(INDEX(Firms!$O$5:$O$1004,$T19)="","",INDEX(Firms!$O$5:$O$1004,$T19)),IF(INDEX('AFA Rates'!$O$5:$O$1004,$T19)="","",INDEX('AFA Rates'!$O$5:$O$1004,$T19))))</f>
        <v/>
      </c>
      <c r="G19" s="50">
        <f>IF($T19="","",IF($S19="S",IF(INDEX(Firms!$F$5:$F$1004,$T19)="","",INDEX(Firms!$F$5:$F$1004,$T19)),IF(INDEX('AFA Rates'!$E$5:$E$1004,$T19)="","",INDEX('AFA Rates'!$E$5:$E$1004,$T19))))</f>
        <v/>
      </c>
      <c r="H19" s="50">
        <f>IF($T19="","",IF($S19="S",IF(INDEX(Firms!$G$5:$G$1004,$T19)="","",INDEX(Firms!$G$5:$G$1004,$T19)),IF(INDEX('AFA Rates'!$F$5:$F$1004,$T19)="","",INDEX('AFA Rates'!$F$5:$F$1004,$T19))))</f>
        <v/>
      </c>
      <c r="I19" s="50">
        <f>IF($T19="","",IF($S19="S",IF(INDEX(Firms!$H$5:$H$1004,$T19)="","",INDEX(Firms!$H$5:$H$1004,$T19)),IF(INDEX('AFA Rates'!$G$5:$G$1004,$T19)="","",INDEX('AFA Rates'!$G$5:$G$1004,$T19))))</f>
        <v/>
      </c>
      <c r="J19" s="50">
        <f>IF($T19="","",IF($S19="S",IF(INDEX(Firms!$I$5:$I$1004,$T19)="","",INDEX(Firms!$I$5:$I$1004,$T19)),IF(INDEX('AFA Rates'!$H$5:$H$1004,$T19)="","",INDEX('AFA Rates'!$H$5:$H$1004,$T19))))</f>
        <v/>
      </c>
      <c r="K19" s="50">
        <f>IF($T19="","",IF($S19="S",IF(INDEX(Firms!$J$5:$J$1004,$T19)="","",INDEX(Firms!$J$5:$J$1004,$T19)),IF(INDEX('AFA Rates'!$I$5:$I$1004,$T19)="","",INDEX('AFA Rates'!$I$5:$I$1004,$T19))))</f>
        <v/>
      </c>
      <c r="L19" s="50">
        <f>IF($T19="","",IF($S19="S",IF(INDEX(Firms!$K$5:$K$1004,$T19)="","",INDEX(Firms!$K$5:$K$1004,$T19)),IF(INDEX('AFA Rates'!$J$5:$J$1004,$T19)="","",INDEX('AFA Rates'!$J$5:$J$1004,$T19))))</f>
        <v/>
      </c>
      <c r="M19" s="50">
        <f>IF($T19="","",IF($S19="S",IF(INDEX(Firms!$L$5:$L$1004,$T19)="","",INDEX(Firms!$L$5:$L$1004,$T19)),IF(INDEX('AFA Rates'!$K$5:$K$1004,$T19)="","",INDEX('AFA Rates'!$K$5:$K$1004,$T19))))</f>
        <v/>
      </c>
      <c r="N19" s="50">
        <f>IF($T19="","",IF($S19="S",IF(INDEX(Firms!$M$5:$M$1004,$T19)="","",INDEX(Firms!$M$5:$M$1004,$T19)),IF(INDEX('AFA Rates'!$L$5:$L$1004,$T19)="","",INDEX('AFA Rates'!$L$5:$L$1004,$T19))))</f>
        <v/>
      </c>
      <c r="O19" s="78">
        <f>IF(OR($T19="",$U19=""),"",IF(INDEX(Firms!$C$5:$C$1004,$U19)="","",INDEX(Firms!$C$5:$C$1004,$U19)))</f>
        <v/>
      </c>
      <c r="P19" s="79">
        <f>IF(OR($T19="",$U19=""),"",IF(INDEX(Firms!$N$5:$N$1004,$U19)="","",INDEX(Firms!$N$5:$N$1004,$U19)))</f>
        <v/>
      </c>
      <c r="Q19" s="78">
        <f>IF($T19="","",IF($S19="S",IF(INDEX(Firms!$T$5:$T$1004,$T19)="","",INDEX(Firms!$T$5:$T$1004,$T19)),IF(INDEX('AFA Rates'!$M$5:$M$1004,$T19)="","",INDEX('AFA Rates'!$M$5:$M$1004,$T19))))</f>
        <v/>
      </c>
      <c r="S19">
        <f>IF(15&lt;=$S$2,"S",IF(15&lt;=$S$2+$T$2,"A",""))</f>
        <v/>
      </c>
      <c r="T19">
        <f>IF(S19="S",MATCH(15,Firms!$W$5:$W$1004,0),IF(S19="A",IFERROR(MATCH(15-$S$2,'AFA Rates'!$R$5:$R$1004,0),""),""))</f>
        <v/>
      </c>
      <c r="U19">
        <f>IF(S19="S",T19,IF(AND(S19="A",T19&lt;&gt;""),IFERROR(MATCH(INDEX('AFA Rates'!$A$5:$A$1004,T19),Firms!$A$5:$A$1004,0),""),""))</f>
        <v/>
      </c>
    </row>
    <row r="20">
      <c r="A20" s="78">
        <f>IF($T20="","",IF($S20="S",IF(INDEX(Firms!$A$5:$A$1004,$T20)="","",INDEX(Firms!$A$5:$A$1004,$T20)),IF(INDEX('AFA Rates'!$A$5:$A$1004,$T20)="","",INDEX('AFA Rates'!$A$5:$A$1004,$T20))))</f>
        <v/>
      </c>
      <c r="B20" s="79">
        <f>IF(OR($T20="",$U20=""),IF($T20="","","Not on Firms tab"),INDEX(Firms!$B$5:$B$1004,$U20)&amp;"")</f>
        <v/>
      </c>
      <c r="C20" s="78">
        <f>IF($T20="","",IF($S20="S","Standard",INDEX('AFA Rates'!$B$5:$B$1004,$T20)&amp;""))</f>
        <v/>
      </c>
      <c r="D20" s="88">
        <f>IF($T20="","",IF($S20="S",IF(INDEX(Firms!$E$5:$E$1004,$T20)="","",INDEX(Firms!$E$5:$E$1004,$T20)),IF(INDEX('AFA Rates'!$C$5:$C$1004,$T20)="","",INDEX('AFA Rates'!$C$5:$C$1004,$T20))))</f>
        <v/>
      </c>
      <c r="E20" s="88">
        <f>IF($T20="","",IF($S20="S",IF(""="","",""),IF(INDEX('AFA Rates'!$D$5:$D$1004,$T20)="","",INDEX('AFA Rates'!$D$5:$D$1004,$T20))))</f>
        <v/>
      </c>
      <c r="F20" s="79">
        <f>IF($T20="","",IF($S20="S",IF(INDEX(Firms!$O$5:$O$1004,$T20)="","",INDEX(Firms!$O$5:$O$1004,$T20)),IF(INDEX('AFA Rates'!$O$5:$O$1004,$T20)="","",INDEX('AFA Rates'!$O$5:$O$1004,$T20))))</f>
        <v/>
      </c>
      <c r="G20" s="50">
        <f>IF($T20="","",IF($S20="S",IF(INDEX(Firms!$F$5:$F$1004,$T20)="","",INDEX(Firms!$F$5:$F$1004,$T20)),IF(INDEX('AFA Rates'!$E$5:$E$1004,$T20)="","",INDEX('AFA Rates'!$E$5:$E$1004,$T20))))</f>
        <v/>
      </c>
      <c r="H20" s="50">
        <f>IF($T20="","",IF($S20="S",IF(INDEX(Firms!$G$5:$G$1004,$T20)="","",INDEX(Firms!$G$5:$G$1004,$T20)),IF(INDEX('AFA Rates'!$F$5:$F$1004,$T20)="","",INDEX('AFA Rates'!$F$5:$F$1004,$T20))))</f>
        <v/>
      </c>
      <c r="I20" s="50">
        <f>IF($T20="","",IF($S20="S",IF(INDEX(Firms!$H$5:$H$1004,$T20)="","",INDEX(Firms!$H$5:$H$1004,$T20)),IF(INDEX('AFA Rates'!$G$5:$G$1004,$T20)="","",INDEX('AFA Rates'!$G$5:$G$1004,$T20))))</f>
        <v/>
      </c>
      <c r="J20" s="50">
        <f>IF($T20="","",IF($S20="S",IF(INDEX(Firms!$I$5:$I$1004,$T20)="","",INDEX(Firms!$I$5:$I$1004,$T20)),IF(INDEX('AFA Rates'!$H$5:$H$1004,$T20)="","",INDEX('AFA Rates'!$H$5:$H$1004,$T20))))</f>
        <v/>
      </c>
      <c r="K20" s="50">
        <f>IF($T20="","",IF($S20="S",IF(INDEX(Firms!$J$5:$J$1004,$T20)="","",INDEX(Firms!$J$5:$J$1004,$T20)),IF(INDEX('AFA Rates'!$I$5:$I$1004,$T20)="","",INDEX('AFA Rates'!$I$5:$I$1004,$T20))))</f>
        <v/>
      </c>
      <c r="L20" s="50">
        <f>IF($T20="","",IF($S20="S",IF(INDEX(Firms!$K$5:$K$1004,$T20)="","",INDEX(Firms!$K$5:$K$1004,$T20)),IF(INDEX('AFA Rates'!$J$5:$J$1004,$T20)="","",INDEX('AFA Rates'!$J$5:$J$1004,$T20))))</f>
        <v/>
      </c>
      <c r="M20" s="50">
        <f>IF($T20="","",IF($S20="S",IF(INDEX(Firms!$L$5:$L$1004,$T20)="","",INDEX(Firms!$L$5:$L$1004,$T20)),IF(INDEX('AFA Rates'!$K$5:$K$1004,$T20)="","",INDEX('AFA Rates'!$K$5:$K$1004,$T20))))</f>
        <v/>
      </c>
      <c r="N20" s="50">
        <f>IF($T20="","",IF($S20="S",IF(INDEX(Firms!$M$5:$M$1004,$T20)="","",INDEX(Firms!$M$5:$M$1004,$T20)),IF(INDEX('AFA Rates'!$L$5:$L$1004,$T20)="","",INDEX('AFA Rates'!$L$5:$L$1004,$T20))))</f>
        <v/>
      </c>
      <c r="O20" s="78">
        <f>IF(OR($T20="",$U20=""),"",IF(INDEX(Firms!$C$5:$C$1004,$U20)="","",INDEX(Firms!$C$5:$C$1004,$U20)))</f>
        <v/>
      </c>
      <c r="P20" s="79">
        <f>IF(OR($T20="",$U20=""),"",IF(INDEX(Firms!$N$5:$N$1004,$U20)="","",INDEX(Firms!$N$5:$N$1004,$U20)))</f>
        <v/>
      </c>
      <c r="Q20" s="78">
        <f>IF($T20="","",IF($S20="S",IF(INDEX(Firms!$T$5:$T$1004,$T20)="","",INDEX(Firms!$T$5:$T$1004,$T20)),IF(INDEX('AFA Rates'!$M$5:$M$1004,$T20)="","",INDEX('AFA Rates'!$M$5:$M$1004,$T20))))</f>
        <v/>
      </c>
      <c r="S20">
        <f>IF(16&lt;=$S$2,"S",IF(16&lt;=$S$2+$T$2,"A",""))</f>
        <v/>
      </c>
      <c r="T20">
        <f>IF(S20="S",MATCH(16,Firms!$W$5:$W$1004,0),IF(S20="A",IFERROR(MATCH(16-$S$2,'AFA Rates'!$R$5:$R$1004,0),""),""))</f>
        <v/>
      </c>
      <c r="U20">
        <f>IF(S20="S",T20,IF(AND(S20="A",T20&lt;&gt;""),IFERROR(MATCH(INDEX('AFA Rates'!$A$5:$A$1004,T20),Firms!$A$5:$A$1004,0),""),""))</f>
        <v/>
      </c>
    </row>
    <row r="21">
      <c r="A21" s="78">
        <f>IF($T21="","",IF($S21="S",IF(INDEX(Firms!$A$5:$A$1004,$T21)="","",INDEX(Firms!$A$5:$A$1004,$T21)),IF(INDEX('AFA Rates'!$A$5:$A$1004,$T21)="","",INDEX('AFA Rates'!$A$5:$A$1004,$T21))))</f>
        <v/>
      </c>
      <c r="B21" s="79">
        <f>IF(OR($T21="",$U21=""),IF($T21="","","Not on Firms tab"),INDEX(Firms!$B$5:$B$1004,$U21)&amp;"")</f>
        <v/>
      </c>
      <c r="C21" s="78">
        <f>IF($T21="","",IF($S21="S","Standard",INDEX('AFA Rates'!$B$5:$B$1004,$T21)&amp;""))</f>
        <v/>
      </c>
      <c r="D21" s="88">
        <f>IF($T21="","",IF($S21="S",IF(INDEX(Firms!$E$5:$E$1004,$T21)="","",INDEX(Firms!$E$5:$E$1004,$T21)),IF(INDEX('AFA Rates'!$C$5:$C$1004,$T21)="","",INDEX('AFA Rates'!$C$5:$C$1004,$T21))))</f>
        <v/>
      </c>
      <c r="E21" s="88">
        <f>IF($T21="","",IF($S21="S",IF(""="","",""),IF(INDEX('AFA Rates'!$D$5:$D$1004,$T21)="","",INDEX('AFA Rates'!$D$5:$D$1004,$T21))))</f>
        <v/>
      </c>
      <c r="F21" s="79">
        <f>IF($T21="","",IF($S21="S",IF(INDEX(Firms!$O$5:$O$1004,$T21)="","",INDEX(Firms!$O$5:$O$1004,$T21)),IF(INDEX('AFA Rates'!$O$5:$O$1004,$T21)="","",INDEX('AFA Rates'!$O$5:$O$1004,$T21))))</f>
        <v/>
      </c>
      <c r="G21" s="50">
        <f>IF($T21="","",IF($S21="S",IF(INDEX(Firms!$F$5:$F$1004,$T21)="","",INDEX(Firms!$F$5:$F$1004,$T21)),IF(INDEX('AFA Rates'!$E$5:$E$1004,$T21)="","",INDEX('AFA Rates'!$E$5:$E$1004,$T21))))</f>
        <v/>
      </c>
      <c r="H21" s="50">
        <f>IF($T21="","",IF($S21="S",IF(INDEX(Firms!$G$5:$G$1004,$T21)="","",INDEX(Firms!$G$5:$G$1004,$T21)),IF(INDEX('AFA Rates'!$F$5:$F$1004,$T21)="","",INDEX('AFA Rates'!$F$5:$F$1004,$T21))))</f>
        <v/>
      </c>
      <c r="I21" s="50">
        <f>IF($T21="","",IF($S21="S",IF(INDEX(Firms!$H$5:$H$1004,$T21)="","",INDEX(Firms!$H$5:$H$1004,$T21)),IF(INDEX('AFA Rates'!$G$5:$G$1004,$T21)="","",INDEX('AFA Rates'!$G$5:$G$1004,$T21))))</f>
        <v/>
      </c>
      <c r="J21" s="50">
        <f>IF($T21="","",IF($S21="S",IF(INDEX(Firms!$I$5:$I$1004,$T21)="","",INDEX(Firms!$I$5:$I$1004,$T21)),IF(INDEX('AFA Rates'!$H$5:$H$1004,$T21)="","",INDEX('AFA Rates'!$H$5:$H$1004,$T21))))</f>
        <v/>
      </c>
      <c r="K21" s="50">
        <f>IF($T21="","",IF($S21="S",IF(INDEX(Firms!$J$5:$J$1004,$T21)="","",INDEX(Firms!$J$5:$J$1004,$T21)),IF(INDEX('AFA Rates'!$I$5:$I$1004,$T21)="","",INDEX('AFA Rates'!$I$5:$I$1004,$T21))))</f>
        <v/>
      </c>
      <c r="L21" s="50">
        <f>IF($T21="","",IF($S21="S",IF(INDEX(Firms!$K$5:$K$1004,$T21)="","",INDEX(Firms!$K$5:$K$1004,$T21)),IF(INDEX('AFA Rates'!$J$5:$J$1004,$T21)="","",INDEX('AFA Rates'!$J$5:$J$1004,$T21))))</f>
        <v/>
      </c>
      <c r="M21" s="50">
        <f>IF($T21="","",IF($S21="S",IF(INDEX(Firms!$L$5:$L$1004,$T21)="","",INDEX(Firms!$L$5:$L$1004,$T21)),IF(INDEX('AFA Rates'!$K$5:$K$1004,$T21)="","",INDEX('AFA Rates'!$K$5:$K$1004,$T21))))</f>
        <v/>
      </c>
      <c r="N21" s="50">
        <f>IF($T21="","",IF($S21="S",IF(INDEX(Firms!$M$5:$M$1004,$T21)="","",INDEX(Firms!$M$5:$M$1004,$T21)),IF(INDEX('AFA Rates'!$L$5:$L$1004,$T21)="","",INDEX('AFA Rates'!$L$5:$L$1004,$T21))))</f>
        <v/>
      </c>
      <c r="O21" s="78">
        <f>IF(OR($T21="",$U21=""),"",IF(INDEX(Firms!$C$5:$C$1004,$U21)="","",INDEX(Firms!$C$5:$C$1004,$U21)))</f>
        <v/>
      </c>
      <c r="P21" s="79">
        <f>IF(OR($T21="",$U21=""),"",IF(INDEX(Firms!$N$5:$N$1004,$U21)="","",INDEX(Firms!$N$5:$N$1004,$U21)))</f>
        <v/>
      </c>
      <c r="Q21" s="78">
        <f>IF($T21="","",IF($S21="S",IF(INDEX(Firms!$T$5:$T$1004,$T21)="","",INDEX(Firms!$T$5:$T$1004,$T21)),IF(INDEX('AFA Rates'!$M$5:$M$1004,$T21)="","",INDEX('AFA Rates'!$M$5:$M$1004,$T21))))</f>
        <v/>
      </c>
      <c r="S21">
        <f>IF(17&lt;=$S$2,"S",IF(17&lt;=$S$2+$T$2,"A",""))</f>
        <v/>
      </c>
      <c r="T21">
        <f>IF(S21="S",MATCH(17,Firms!$W$5:$W$1004,0),IF(S21="A",IFERROR(MATCH(17-$S$2,'AFA Rates'!$R$5:$R$1004,0),""),""))</f>
        <v/>
      </c>
      <c r="U21">
        <f>IF(S21="S",T21,IF(AND(S21="A",T21&lt;&gt;""),IFERROR(MATCH(INDEX('AFA Rates'!$A$5:$A$1004,T21),Firms!$A$5:$A$1004,0),""),""))</f>
        <v/>
      </c>
    </row>
    <row r="22">
      <c r="A22" s="78">
        <f>IF($T22="","",IF($S22="S",IF(INDEX(Firms!$A$5:$A$1004,$T22)="","",INDEX(Firms!$A$5:$A$1004,$T22)),IF(INDEX('AFA Rates'!$A$5:$A$1004,$T22)="","",INDEX('AFA Rates'!$A$5:$A$1004,$T22))))</f>
        <v/>
      </c>
      <c r="B22" s="79">
        <f>IF(OR($T22="",$U22=""),IF($T22="","","Not on Firms tab"),INDEX(Firms!$B$5:$B$1004,$U22)&amp;"")</f>
        <v/>
      </c>
      <c r="C22" s="78">
        <f>IF($T22="","",IF($S22="S","Standard",INDEX('AFA Rates'!$B$5:$B$1004,$T22)&amp;""))</f>
        <v/>
      </c>
      <c r="D22" s="88">
        <f>IF($T22="","",IF($S22="S",IF(INDEX(Firms!$E$5:$E$1004,$T22)="","",INDEX(Firms!$E$5:$E$1004,$T22)),IF(INDEX('AFA Rates'!$C$5:$C$1004,$T22)="","",INDEX('AFA Rates'!$C$5:$C$1004,$T22))))</f>
        <v/>
      </c>
      <c r="E22" s="88">
        <f>IF($T22="","",IF($S22="S",IF(""="","",""),IF(INDEX('AFA Rates'!$D$5:$D$1004,$T22)="","",INDEX('AFA Rates'!$D$5:$D$1004,$T22))))</f>
        <v/>
      </c>
      <c r="F22" s="79">
        <f>IF($T22="","",IF($S22="S",IF(INDEX(Firms!$O$5:$O$1004,$T22)="","",INDEX(Firms!$O$5:$O$1004,$T22)),IF(INDEX('AFA Rates'!$O$5:$O$1004,$T22)="","",INDEX('AFA Rates'!$O$5:$O$1004,$T22))))</f>
        <v/>
      </c>
      <c r="G22" s="50">
        <f>IF($T22="","",IF($S22="S",IF(INDEX(Firms!$F$5:$F$1004,$T22)="","",INDEX(Firms!$F$5:$F$1004,$T22)),IF(INDEX('AFA Rates'!$E$5:$E$1004,$T22)="","",INDEX('AFA Rates'!$E$5:$E$1004,$T22))))</f>
        <v/>
      </c>
      <c r="H22" s="50">
        <f>IF($T22="","",IF($S22="S",IF(INDEX(Firms!$G$5:$G$1004,$T22)="","",INDEX(Firms!$G$5:$G$1004,$T22)),IF(INDEX('AFA Rates'!$F$5:$F$1004,$T22)="","",INDEX('AFA Rates'!$F$5:$F$1004,$T22))))</f>
        <v/>
      </c>
      <c r="I22" s="50">
        <f>IF($T22="","",IF($S22="S",IF(INDEX(Firms!$H$5:$H$1004,$T22)="","",INDEX(Firms!$H$5:$H$1004,$T22)),IF(INDEX('AFA Rates'!$G$5:$G$1004,$T22)="","",INDEX('AFA Rates'!$G$5:$G$1004,$T22))))</f>
        <v/>
      </c>
      <c r="J22" s="50">
        <f>IF($T22="","",IF($S22="S",IF(INDEX(Firms!$I$5:$I$1004,$T22)="","",INDEX(Firms!$I$5:$I$1004,$T22)),IF(INDEX('AFA Rates'!$H$5:$H$1004,$T22)="","",INDEX('AFA Rates'!$H$5:$H$1004,$T22))))</f>
        <v/>
      </c>
      <c r="K22" s="50">
        <f>IF($T22="","",IF($S22="S",IF(INDEX(Firms!$J$5:$J$1004,$T22)="","",INDEX(Firms!$J$5:$J$1004,$T22)),IF(INDEX('AFA Rates'!$I$5:$I$1004,$T22)="","",INDEX('AFA Rates'!$I$5:$I$1004,$T22))))</f>
        <v/>
      </c>
      <c r="L22" s="50">
        <f>IF($T22="","",IF($S22="S",IF(INDEX(Firms!$K$5:$K$1004,$T22)="","",INDEX(Firms!$K$5:$K$1004,$T22)),IF(INDEX('AFA Rates'!$J$5:$J$1004,$T22)="","",INDEX('AFA Rates'!$J$5:$J$1004,$T22))))</f>
        <v/>
      </c>
      <c r="M22" s="50">
        <f>IF($T22="","",IF($S22="S",IF(INDEX(Firms!$L$5:$L$1004,$T22)="","",INDEX(Firms!$L$5:$L$1004,$T22)),IF(INDEX('AFA Rates'!$K$5:$K$1004,$T22)="","",INDEX('AFA Rates'!$K$5:$K$1004,$T22))))</f>
        <v/>
      </c>
      <c r="N22" s="50">
        <f>IF($T22="","",IF($S22="S",IF(INDEX(Firms!$M$5:$M$1004,$T22)="","",INDEX(Firms!$M$5:$M$1004,$T22)),IF(INDEX('AFA Rates'!$L$5:$L$1004,$T22)="","",INDEX('AFA Rates'!$L$5:$L$1004,$T22))))</f>
        <v/>
      </c>
      <c r="O22" s="78">
        <f>IF(OR($T22="",$U22=""),"",IF(INDEX(Firms!$C$5:$C$1004,$U22)="","",INDEX(Firms!$C$5:$C$1004,$U22)))</f>
        <v/>
      </c>
      <c r="P22" s="79">
        <f>IF(OR($T22="",$U22=""),"",IF(INDEX(Firms!$N$5:$N$1004,$U22)="","",INDEX(Firms!$N$5:$N$1004,$U22)))</f>
        <v/>
      </c>
      <c r="Q22" s="78">
        <f>IF($T22="","",IF($S22="S",IF(INDEX(Firms!$T$5:$T$1004,$T22)="","",INDEX(Firms!$T$5:$T$1004,$T22)),IF(INDEX('AFA Rates'!$M$5:$M$1004,$T22)="","",INDEX('AFA Rates'!$M$5:$M$1004,$T22))))</f>
        <v/>
      </c>
      <c r="S22">
        <f>IF(18&lt;=$S$2,"S",IF(18&lt;=$S$2+$T$2,"A",""))</f>
        <v/>
      </c>
      <c r="T22">
        <f>IF(S22="S",MATCH(18,Firms!$W$5:$W$1004,0),IF(S22="A",IFERROR(MATCH(18-$S$2,'AFA Rates'!$R$5:$R$1004,0),""),""))</f>
        <v/>
      </c>
      <c r="U22">
        <f>IF(S22="S",T22,IF(AND(S22="A",T22&lt;&gt;""),IFERROR(MATCH(INDEX('AFA Rates'!$A$5:$A$1004,T22),Firms!$A$5:$A$1004,0),""),""))</f>
        <v/>
      </c>
    </row>
    <row r="23">
      <c r="A23" s="78">
        <f>IF($T23="","",IF($S23="S",IF(INDEX(Firms!$A$5:$A$1004,$T23)="","",INDEX(Firms!$A$5:$A$1004,$T23)),IF(INDEX('AFA Rates'!$A$5:$A$1004,$T23)="","",INDEX('AFA Rates'!$A$5:$A$1004,$T23))))</f>
        <v/>
      </c>
      <c r="B23" s="79">
        <f>IF(OR($T23="",$U23=""),IF($T23="","","Not on Firms tab"),INDEX(Firms!$B$5:$B$1004,$U23)&amp;"")</f>
        <v/>
      </c>
      <c r="C23" s="78">
        <f>IF($T23="","",IF($S23="S","Standard",INDEX('AFA Rates'!$B$5:$B$1004,$T23)&amp;""))</f>
        <v/>
      </c>
      <c r="D23" s="88">
        <f>IF($T23="","",IF($S23="S",IF(INDEX(Firms!$E$5:$E$1004,$T23)="","",INDEX(Firms!$E$5:$E$1004,$T23)),IF(INDEX('AFA Rates'!$C$5:$C$1004,$T23)="","",INDEX('AFA Rates'!$C$5:$C$1004,$T23))))</f>
        <v/>
      </c>
      <c r="E23" s="88">
        <f>IF($T23="","",IF($S23="S",IF(""="","",""),IF(INDEX('AFA Rates'!$D$5:$D$1004,$T23)="","",INDEX('AFA Rates'!$D$5:$D$1004,$T23))))</f>
        <v/>
      </c>
      <c r="F23" s="79">
        <f>IF($T23="","",IF($S23="S",IF(INDEX(Firms!$O$5:$O$1004,$T23)="","",INDEX(Firms!$O$5:$O$1004,$T23)),IF(INDEX('AFA Rates'!$O$5:$O$1004,$T23)="","",INDEX('AFA Rates'!$O$5:$O$1004,$T23))))</f>
        <v/>
      </c>
      <c r="G23" s="50">
        <f>IF($T23="","",IF($S23="S",IF(INDEX(Firms!$F$5:$F$1004,$T23)="","",INDEX(Firms!$F$5:$F$1004,$T23)),IF(INDEX('AFA Rates'!$E$5:$E$1004,$T23)="","",INDEX('AFA Rates'!$E$5:$E$1004,$T23))))</f>
        <v/>
      </c>
      <c r="H23" s="50">
        <f>IF($T23="","",IF($S23="S",IF(INDEX(Firms!$G$5:$G$1004,$T23)="","",INDEX(Firms!$G$5:$G$1004,$T23)),IF(INDEX('AFA Rates'!$F$5:$F$1004,$T23)="","",INDEX('AFA Rates'!$F$5:$F$1004,$T23))))</f>
        <v/>
      </c>
      <c r="I23" s="50">
        <f>IF($T23="","",IF($S23="S",IF(INDEX(Firms!$H$5:$H$1004,$T23)="","",INDEX(Firms!$H$5:$H$1004,$T23)),IF(INDEX('AFA Rates'!$G$5:$G$1004,$T23)="","",INDEX('AFA Rates'!$G$5:$G$1004,$T23))))</f>
        <v/>
      </c>
      <c r="J23" s="50">
        <f>IF($T23="","",IF($S23="S",IF(INDEX(Firms!$I$5:$I$1004,$T23)="","",INDEX(Firms!$I$5:$I$1004,$T23)),IF(INDEX('AFA Rates'!$H$5:$H$1004,$T23)="","",INDEX('AFA Rates'!$H$5:$H$1004,$T23))))</f>
        <v/>
      </c>
      <c r="K23" s="50">
        <f>IF($T23="","",IF($S23="S",IF(INDEX(Firms!$J$5:$J$1004,$T23)="","",INDEX(Firms!$J$5:$J$1004,$T23)),IF(INDEX('AFA Rates'!$I$5:$I$1004,$T23)="","",INDEX('AFA Rates'!$I$5:$I$1004,$T23))))</f>
        <v/>
      </c>
      <c r="L23" s="50">
        <f>IF($T23="","",IF($S23="S",IF(INDEX(Firms!$K$5:$K$1004,$T23)="","",INDEX(Firms!$K$5:$K$1004,$T23)),IF(INDEX('AFA Rates'!$J$5:$J$1004,$T23)="","",INDEX('AFA Rates'!$J$5:$J$1004,$T23))))</f>
        <v/>
      </c>
      <c r="M23" s="50">
        <f>IF($T23="","",IF($S23="S",IF(INDEX(Firms!$L$5:$L$1004,$T23)="","",INDEX(Firms!$L$5:$L$1004,$T23)),IF(INDEX('AFA Rates'!$K$5:$K$1004,$T23)="","",INDEX('AFA Rates'!$K$5:$K$1004,$T23))))</f>
        <v/>
      </c>
      <c r="N23" s="50">
        <f>IF($T23="","",IF($S23="S",IF(INDEX(Firms!$M$5:$M$1004,$T23)="","",INDEX(Firms!$M$5:$M$1004,$T23)),IF(INDEX('AFA Rates'!$L$5:$L$1004,$T23)="","",INDEX('AFA Rates'!$L$5:$L$1004,$T23))))</f>
        <v/>
      </c>
      <c r="O23" s="78">
        <f>IF(OR($T23="",$U23=""),"",IF(INDEX(Firms!$C$5:$C$1004,$U23)="","",INDEX(Firms!$C$5:$C$1004,$U23)))</f>
        <v/>
      </c>
      <c r="P23" s="79">
        <f>IF(OR($T23="",$U23=""),"",IF(INDEX(Firms!$N$5:$N$1004,$U23)="","",INDEX(Firms!$N$5:$N$1004,$U23)))</f>
        <v/>
      </c>
      <c r="Q23" s="78">
        <f>IF($T23="","",IF($S23="S",IF(INDEX(Firms!$T$5:$T$1004,$T23)="","",INDEX(Firms!$T$5:$T$1004,$T23)),IF(INDEX('AFA Rates'!$M$5:$M$1004,$T23)="","",INDEX('AFA Rates'!$M$5:$M$1004,$T23))))</f>
        <v/>
      </c>
      <c r="S23">
        <f>IF(19&lt;=$S$2,"S",IF(19&lt;=$S$2+$T$2,"A",""))</f>
        <v/>
      </c>
      <c r="T23">
        <f>IF(S23="S",MATCH(19,Firms!$W$5:$W$1004,0),IF(S23="A",IFERROR(MATCH(19-$S$2,'AFA Rates'!$R$5:$R$1004,0),""),""))</f>
        <v/>
      </c>
      <c r="U23">
        <f>IF(S23="S",T23,IF(AND(S23="A",T23&lt;&gt;""),IFERROR(MATCH(INDEX('AFA Rates'!$A$5:$A$1004,T23),Firms!$A$5:$A$1004,0),""),""))</f>
        <v/>
      </c>
    </row>
    <row r="24">
      <c r="A24" s="78">
        <f>IF($T24="","",IF($S24="S",IF(INDEX(Firms!$A$5:$A$1004,$T24)="","",INDEX(Firms!$A$5:$A$1004,$T24)),IF(INDEX('AFA Rates'!$A$5:$A$1004,$T24)="","",INDEX('AFA Rates'!$A$5:$A$1004,$T24))))</f>
        <v/>
      </c>
      <c r="B24" s="79">
        <f>IF(OR($T24="",$U24=""),IF($T24="","","Not on Firms tab"),INDEX(Firms!$B$5:$B$1004,$U24)&amp;"")</f>
        <v/>
      </c>
      <c r="C24" s="78">
        <f>IF($T24="","",IF($S24="S","Standard",INDEX('AFA Rates'!$B$5:$B$1004,$T24)&amp;""))</f>
        <v/>
      </c>
      <c r="D24" s="88">
        <f>IF($T24="","",IF($S24="S",IF(INDEX(Firms!$E$5:$E$1004,$T24)="","",INDEX(Firms!$E$5:$E$1004,$T24)),IF(INDEX('AFA Rates'!$C$5:$C$1004,$T24)="","",INDEX('AFA Rates'!$C$5:$C$1004,$T24))))</f>
        <v/>
      </c>
      <c r="E24" s="88">
        <f>IF($T24="","",IF($S24="S",IF(""="","",""),IF(INDEX('AFA Rates'!$D$5:$D$1004,$T24)="","",INDEX('AFA Rates'!$D$5:$D$1004,$T24))))</f>
        <v/>
      </c>
      <c r="F24" s="79">
        <f>IF($T24="","",IF($S24="S",IF(INDEX(Firms!$O$5:$O$1004,$T24)="","",INDEX(Firms!$O$5:$O$1004,$T24)),IF(INDEX('AFA Rates'!$O$5:$O$1004,$T24)="","",INDEX('AFA Rates'!$O$5:$O$1004,$T24))))</f>
        <v/>
      </c>
      <c r="G24" s="50">
        <f>IF($T24="","",IF($S24="S",IF(INDEX(Firms!$F$5:$F$1004,$T24)="","",INDEX(Firms!$F$5:$F$1004,$T24)),IF(INDEX('AFA Rates'!$E$5:$E$1004,$T24)="","",INDEX('AFA Rates'!$E$5:$E$1004,$T24))))</f>
        <v/>
      </c>
      <c r="H24" s="50">
        <f>IF($T24="","",IF($S24="S",IF(INDEX(Firms!$G$5:$G$1004,$T24)="","",INDEX(Firms!$G$5:$G$1004,$T24)),IF(INDEX('AFA Rates'!$F$5:$F$1004,$T24)="","",INDEX('AFA Rates'!$F$5:$F$1004,$T24))))</f>
        <v/>
      </c>
      <c r="I24" s="50">
        <f>IF($T24="","",IF($S24="S",IF(INDEX(Firms!$H$5:$H$1004,$T24)="","",INDEX(Firms!$H$5:$H$1004,$T24)),IF(INDEX('AFA Rates'!$G$5:$G$1004,$T24)="","",INDEX('AFA Rates'!$G$5:$G$1004,$T24))))</f>
        <v/>
      </c>
      <c r="J24" s="50">
        <f>IF($T24="","",IF($S24="S",IF(INDEX(Firms!$I$5:$I$1004,$T24)="","",INDEX(Firms!$I$5:$I$1004,$T24)),IF(INDEX('AFA Rates'!$H$5:$H$1004,$T24)="","",INDEX('AFA Rates'!$H$5:$H$1004,$T24))))</f>
        <v/>
      </c>
      <c r="K24" s="50">
        <f>IF($T24="","",IF($S24="S",IF(INDEX(Firms!$J$5:$J$1004,$T24)="","",INDEX(Firms!$J$5:$J$1004,$T24)),IF(INDEX('AFA Rates'!$I$5:$I$1004,$T24)="","",INDEX('AFA Rates'!$I$5:$I$1004,$T24))))</f>
        <v/>
      </c>
      <c r="L24" s="50">
        <f>IF($T24="","",IF($S24="S",IF(INDEX(Firms!$K$5:$K$1004,$T24)="","",INDEX(Firms!$K$5:$K$1004,$T24)),IF(INDEX('AFA Rates'!$J$5:$J$1004,$T24)="","",INDEX('AFA Rates'!$J$5:$J$1004,$T24))))</f>
        <v/>
      </c>
      <c r="M24" s="50">
        <f>IF($T24="","",IF($S24="S",IF(INDEX(Firms!$L$5:$L$1004,$T24)="","",INDEX(Firms!$L$5:$L$1004,$T24)),IF(INDEX('AFA Rates'!$K$5:$K$1004,$T24)="","",INDEX('AFA Rates'!$K$5:$K$1004,$T24))))</f>
        <v/>
      </c>
      <c r="N24" s="50">
        <f>IF($T24="","",IF($S24="S",IF(INDEX(Firms!$M$5:$M$1004,$T24)="","",INDEX(Firms!$M$5:$M$1004,$T24)),IF(INDEX('AFA Rates'!$L$5:$L$1004,$T24)="","",INDEX('AFA Rates'!$L$5:$L$1004,$T24))))</f>
        <v/>
      </c>
      <c r="O24" s="78">
        <f>IF(OR($T24="",$U24=""),"",IF(INDEX(Firms!$C$5:$C$1004,$U24)="","",INDEX(Firms!$C$5:$C$1004,$U24)))</f>
        <v/>
      </c>
      <c r="P24" s="79">
        <f>IF(OR($T24="",$U24=""),"",IF(INDEX(Firms!$N$5:$N$1004,$U24)="","",INDEX(Firms!$N$5:$N$1004,$U24)))</f>
        <v/>
      </c>
      <c r="Q24" s="78">
        <f>IF($T24="","",IF($S24="S",IF(INDEX(Firms!$T$5:$T$1004,$T24)="","",INDEX(Firms!$T$5:$T$1004,$T24)),IF(INDEX('AFA Rates'!$M$5:$M$1004,$T24)="","",INDEX('AFA Rates'!$M$5:$M$1004,$T24))))</f>
        <v/>
      </c>
      <c r="S24">
        <f>IF(20&lt;=$S$2,"S",IF(20&lt;=$S$2+$T$2,"A",""))</f>
        <v/>
      </c>
      <c r="T24">
        <f>IF(S24="S",MATCH(20,Firms!$W$5:$W$1004,0),IF(S24="A",IFERROR(MATCH(20-$S$2,'AFA Rates'!$R$5:$R$1004,0),""),""))</f>
        <v/>
      </c>
      <c r="U24">
        <f>IF(S24="S",T24,IF(AND(S24="A",T24&lt;&gt;""),IFERROR(MATCH(INDEX('AFA Rates'!$A$5:$A$1004,T24),Firms!$A$5:$A$1004,0),""),""))</f>
        <v/>
      </c>
    </row>
    <row r="25">
      <c r="A25" s="78">
        <f>IF($T25="","",IF($S25="S",IF(INDEX(Firms!$A$5:$A$1004,$T25)="","",INDEX(Firms!$A$5:$A$1004,$T25)),IF(INDEX('AFA Rates'!$A$5:$A$1004,$T25)="","",INDEX('AFA Rates'!$A$5:$A$1004,$T25))))</f>
        <v/>
      </c>
      <c r="B25" s="79">
        <f>IF(OR($T25="",$U25=""),IF($T25="","","Not on Firms tab"),INDEX(Firms!$B$5:$B$1004,$U25)&amp;"")</f>
        <v/>
      </c>
      <c r="C25" s="78">
        <f>IF($T25="","",IF($S25="S","Standard",INDEX('AFA Rates'!$B$5:$B$1004,$T25)&amp;""))</f>
        <v/>
      </c>
      <c r="D25" s="88">
        <f>IF($T25="","",IF($S25="S",IF(INDEX(Firms!$E$5:$E$1004,$T25)="","",INDEX(Firms!$E$5:$E$1004,$T25)),IF(INDEX('AFA Rates'!$C$5:$C$1004,$T25)="","",INDEX('AFA Rates'!$C$5:$C$1004,$T25))))</f>
        <v/>
      </c>
      <c r="E25" s="88">
        <f>IF($T25="","",IF($S25="S",IF(""="","",""),IF(INDEX('AFA Rates'!$D$5:$D$1004,$T25)="","",INDEX('AFA Rates'!$D$5:$D$1004,$T25))))</f>
        <v/>
      </c>
      <c r="F25" s="79">
        <f>IF($T25="","",IF($S25="S",IF(INDEX(Firms!$O$5:$O$1004,$T25)="","",INDEX(Firms!$O$5:$O$1004,$T25)),IF(INDEX('AFA Rates'!$O$5:$O$1004,$T25)="","",INDEX('AFA Rates'!$O$5:$O$1004,$T25))))</f>
        <v/>
      </c>
      <c r="G25" s="50">
        <f>IF($T25="","",IF($S25="S",IF(INDEX(Firms!$F$5:$F$1004,$T25)="","",INDEX(Firms!$F$5:$F$1004,$T25)),IF(INDEX('AFA Rates'!$E$5:$E$1004,$T25)="","",INDEX('AFA Rates'!$E$5:$E$1004,$T25))))</f>
        <v/>
      </c>
      <c r="H25" s="50">
        <f>IF($T25="","",IF($S25="S",IF(INDEX(Firms!$G$5:$G$1004,$T25)="","",INDEX(Firms!$G$5:$G$1004,$T25)),IF(INDEX('AFA Rates'!$F$5:$F$1004,$T25)="","",INDEX('AFA Rates'!$F$5:$F$1004,$T25))))</f>
        <v/>
      </c>
      <c r="I25" s="50">
        <f>IF($T25="","",IF($S25="S",IF(INDEX(Firms!$H$5:$H$1004,$T25)="","",INDEX(Firms!$H$5:$H$1004,$T25)),IF(INDEX('AFA Rates'!$G$5:$G$1004,$T25)="","",INDEX('AFA Rates'!$G$5:$G$1004,$T25))))</f>
        <v/>
      </c>
      <c r="J25" s="50">
        <f>IF($T25="","",IF($S25="S",IF(INDEX(Firms!$I$5:$I$1004,$T25)="","",INDEX(Firms!$I$5:$I$1004,$T25)),IF(INDEX('AFA Rates'!$H$5:$H$1004,$T25)="","",INDEX('AFA Rates'!$H$5:$H$1004,$T25))))</f>
        <v/>
      </c>
      <c r="K25" s="50">
        <f>IF($T25="","",IF($S25="S",IF(INDEX(Firms!$J$5:$J$1004,$T25)="","",INDEX(Firms!$J$5:$J$1004,$T25)),IF(INDEX('AFA Rates'!$I$5:$I$1004,$T25)="","",INDEX('AFA Rates'!$I$5:$I$1004,$T25))))</f>
        <v/>
      </c>
      <c r="L25" s="50">
        <f>IF($T25="","",IF($S25="S",IF(INDEX(Firms!$K$5:$K$1004,$T25)="","",INDEX(Firms!$K$5:$K$1004,$T25)),IF(INDEX('AFA Rates'!$J$5:$J$1004,$T25)="","",INDEX('AFA Rates'!$J$5:$J$1004,$T25))))</f>
        <v/>
      </c>
      <c r="M25" s="50">
        <f>IF($T25="","",IF($S25="S",IF(INDEX(Firms!$L$5:$L$1004,$T25)="","",INDEX(Firms!$L$5:$L$1004,$T25)),IF(INDEX('AFA Rates'!$K$5:$K$1004,$T25)="","",INDEX('AFA Rates'!$K$5:$K$1004,$T25))))</f>
        <v/>
      </c>
      <c r="N25" s="50">
        <f>IF($T25="","",IF($S25="S",IF(INDEX(Firms!$M$5:$M$1004,$T25)="","",INDEX(Firms!$M$5:$M$1004,$T25)),IF(INDEX('AFA Rates'!$L$5:$L$1004,$T25)="","",INDEX('AFA Rates'!$L$5:$L$1004,$T25))))</f>
        <v/>
      </c>
      <c r="O25" s="78">
        <f>IF(OR($T25="",$U25=""),"",IF(INDEX(Firms!$C$5:$C$1004,$U25)="","",INDEX(Firms!$C$5:$C$1004,$U25)))</f>
        <v/>
      </c>
      <c r="P25" s="79">
        <f>IF(OR($T25="",$U25=""),"",IF(INDEX(Firms!$N$5:$N$1004,$U25)="","",INDEX(Firms!$N$5:$N$1004,$U25)))</f>
        <v/>
      </c>
      <c r="Q25" s="78">
        <f>IF($T25="","",IF($S25="S",IF(INDEX(Firms!$T$5:$T$1004,$T25)="","",INDEX(Firms!$T$5:$T$1004,$T25)),IF(INDEX('AFA Rates'!$M$5:$M$1004,$T25)="","",INDEX('AFA Rates'!$M$5:$M$1004,$T25))))</f>
        <v/>
      </c>
      <c r="S25">
        <f>IF(21&lt;=$S$2,"S",IF(21&lt;=$S$2+$T$2,"A",""))</f>
        <v/>
      </c>
      <c r="T25">
        <f>IF(S25="S",MATCH(21,Firms!$W$5:$W$1004,0),IF(S25="A",IFERROR(MATCH(21-$S$2,'AFA Rates'!$R$5:$R$1004,0),""),""))</f>
        <v/>
      </c>
      <c r="U25">
        <f>IF(S25="S",T25,IF(AND(S25="A",T25&lt;&gt;""),IFERROR(MATCH(INDEX('AFA Rates'!$A$5:$A$1004,T25),Firms!$A$5:$A$1004,0),""),""))</f>
        <v/>
      </c>
    </row>
    <row r="26">
      <c r="A26" s="78">
        <f>IF($T26="","",IF($S26="S",IF(INDEX(Firms!$A$5:$A$1004,$T26)="","",INDEX(Firms!$A$5:$A$1004,$T26)),IF(INDEX('AFA Rates'!$A$5:$A$1004,$T26)="","",INDEX('AFA Rates'!$A$5:$A$1004,$T26))))</f>
        <v/>
      </c>
      <c r="B26" s="79">
        <f>IF(OR($T26="",$U26=""),IF($T26="","","Not on Firms tab"),INDEX(Firms!$B$5:$B$1004,$U26)&amp;"")</f>
        <v/>
      </c>
      <c r="C26" s="78">
        <f>IF($T26="","",IF($S26="S","Standard",INDEX('AFA Rates'!$B$5:$B$1004,$T26)&amp;""))</f>
        <v/>
      </c>
      <c r="D26" s="88">
        <f>IF($T26="","",IF($S26="S",IF(INDEX(Firms!$E$5:$E$1004,$T26)="","",INDEX(Firms!$E$5:$E$1004,$T26)),IF(INDEX('AFA Rates'!$C$5:$C$1004,$T26)="","",INDEX('AFA Rates'!$C$5:$C$1004,$T26))))</f>
        <v/>
      </c>
      <c r="E26" s="88">
        <f>IF($T26="","",IF($S26="S",IF(""="","",""),IF(INDEX('AFA Rates'!$D$5:$D$1004,$T26)="","",INDEX('AFA Rates'!$D$5:$D$1004,$T26))))</f>
        <v/>
      </c>
      <c r="F26" s="79">
        <f>IF($T26="","",IF($S26="S",IF(INDEX(Firms!$O$5:$O$1004,$T26)="","",INDEX(Firms!$O$5:$O$1004,$T26)),IF(INDEX('AFA Rates'!$O$5:$O$1004,$T26)="","",INDEX('AFA Rates'!$O$5:$O$1004,$T26))))</f>
        <v/>
      </c>
      <c r="G26" s="50">
        <f>IF($T26="","",IF($S26="S",IF(INDEX(Firms!$F$5:$F$1004,$T26)="","",INDEX(Firms!$F$5:$F$1004,$T26)),IF(INDEX('AFA Rates'!$E$5:$E$1004,$T26)="","",INDEX('AFA Rates'!$E$5:$E$1004,$T26))))</f>
        <v/>
      </c>
      <c r="H26" s="50">
        <f>IF($T26="","",IF($S26="S",IF(INDEX(Firms!$G$5:$G$1004,$T26)="","",INDEX(Firms!$G$5:$G$1004,$T26)),IF(INDEX('AFA Rates'!$F$5:$F$1004,$T26)="","",INDEX('AFA Rates'!$F$5:$F$1004,$T26))))</f>
        <v/>
      </c>
      <c r="I26" s="50">
        <f>IF($T26="","",IF($S26="S",IF(INDEX(Firms!$H$5:$H$1004,$T26)="","",INDEX(Firms!$H$5:$H$1004,$T26)),IF(INDEX('AFA Rates'!$G$5:$G$1004,$T26)="","",INDEX('AFA Rates'!$G$5:$G$1004,$T26))))</f>
        <v/>
      </c>
      <c r="J26" s="50">
        <f>IF($T26="","",IF($S26="S",IF(INDEX(Firms!$I$5:$I$1004,$T26)="","",INDEX(Firms!$I$5:$I$1004,$T26)),IF(INDEX('AFA Rates'!$H$5:$H$1004,$T26)="","",INDEX('AFA Rates'!$H$5:$H$1004,$T26))))</f>
        <v/>
      </c>
      <c r="K26" s="50">
        <f>IF($T26="","",IF($S26="S",IF(INDEX(Firms!$J$5:$J$1004,$T26)="","",INDEX(Firms!$J$5:$J$1004,$T26)),IF(INDEX('AFA Rates'!$I$5:$I$1004,$T26)="","",INDEX('AFA Rates'!$I$5:$I$1004,$T26))))</f>
        <v/>
      </c>
      <c r="L26" s="50">
        <f>IF($T26="","",IF($S26="S",IF(INDEX(Firms!$K$5:$K$1004,$T26)="","",INDEX(Firms!$K$5:$K$1004,$T26)),IF(INDEX('AFA Rates'!$J$5:$J$1004,$T26)="","",INDEX('AFA Rates'!$J$5:$J$1004,$T26))))</f>
        <v/>
      </c>
      <c r="M26" s="50">
        <f>IF($T26="","",IF($S26="S",IF(INDEX(Firms!$L$5:$L$1004,$T26)="","",INDEX(Firms!$L$5:$L$1004,$T26)),IF(INDEX('AFA Rates'!$K$5:$K$1004,$T26)="","",INDEX('AFA Rates'!$K$5:$K$1004,$T26))))</f>
        <v/>
      </c>
      <c r="N26" s="50">
        <f>IF($T26="","",IF($S26="S",IF(INDEX(Firms!$M$5:$M$1004,$T26)="","",INDEX(Firms!$M$5:$M$1004,$T26)),IF(INDEX('AFA Rates'!$L$5:$L$1004,$T26)="","",INDEX('AFA Rates'!$L$5:$L$1004,$T26))))</f>
        <v/>
      </c>
      <c r="O26" s="78">
        <f>IF(OR($T26="",$U26=""),"",IF(INDEX(Firms!$C$5:$C$1004,$U26)="","",INDEX(Firms!$C$5:$C$1004,$U26)))</f>
        <v/>
      </c>
      <c r="P26" s="79">
        <f>IF(OR($T26="",$U26=""),"",IF(INDEX(Firms!$N$5:$N$1004,$U26)="","",INDEX(Firms!$N$5:$N$1004,$U26)))</f>
        <v/>
      </c>
      <c r="Q26" s="78">
        <f>IF($T26="","",IF($S26="S",IF(INDEX(Firms!$T$5:$T$1004,$T26)="","",INDEX(Firms!$T$5:$T$1004,$T26)),IF(INDEX('AFA Rates'!$M$5:$M$1004,$T26)="","",INDEX('AFA Rates'!$M$5:$M$1004,$T26))))</f>
        <v/>
      </c>
      <c r="S26">
        <f>IF(22&lt;=$S$2,"S",IF(22&lt;=$S$2+$T$2,"A",""))</f>
        <v/>
      </c>
      <c r="T26">
        <f>IF(S26="S",MATCH(22,Firms!$W$5:$W$1004,0),IF(S26="A",IFERROR(MATCH(22-$S$2,'AFA Rates'!$R$5:$R$1004,0),""),""))</f>
        <v/>
      </c>
      <c r="U26">
        <f>IF(S26="S",T26,IF(AND(S26="A",T26&lt;&gt;""),IFERROR(MATCH(INDEX('AFA Rates'!$A$5:$A$1004,T26),Firms!$A$5:$A$1004,0),""),""))</f>
        <v/>
      </c>
    </row>
    <row r="27">
      <c r="A27" s="78">
        <f>IF($T27="","",IF($S27="S",IF(INDEX(Firms!$A$5:$A$1004,$T27)="","",INDEX(Firms!$A$5:$A$1004,$T27)),IF(INDEX('AFA Rates'!$A$5:$A$1004,$T27)="","",INDEX('AFA Rates'!$A$5:$A$1004,$T27))))</f>
        <v/>
      </c>
      <c r="B27" s="79">
        <f>IF(OR($T27="",$U27=""),IF($T27="","","Not on Firms tab"),INDEX(Firms!$B$5:$B$1004,$U27)&amp;"")</f>
        <v/>
      </c>
      <c r="C27" s="78">
        <f>IF($T27="","",IF($S27="S","Standard",INDEX('AFA Rates'!$B$5:$B$1004,$T27)&amp;""))</f>
        <v/>
      </c>
      <c r="D27" s="88">
        <f>IF($T27="","",IF($S27="S",IF(INDEX(Firms!$E$5:$E$1004,$T27)="","",INDEX(Firms!$E$5:$E$1004,$T27)),IF(INDEX('AFA Rates'!$C$5:$C$1004,$T27)="","",INDEX('AFA Rates'!$C$5:$C$1004,$T27))))</f>
        <v/>
      </c>
      <c r="E27" s="88">
        <f>IF($T27="","",IF($S27="S",IF(""="","",""),IF(INDEX('AFA Rates'!$D$5:$D$1004,$T27)="","",INDEX('AFA Rates'!$D$5:$D$1004,$T27))))</f>
        <v/>
      </c>
      <c r="F27" s="79">
        <f>IF($T27="","",IF($S27="S",IF(INDEX(Firms!$O$5:$O$1004,$T27)="","",INDEX(Firms!$O$5:$O$1004,$T27)),IF(INDEX('AFA Rates'!$O$5:$O$1004,$T27)="","",INDEX('AFA Rates'!$O$5:$O$1004,$T27))))</f>
        <v/>
      </c>
      <c r="G27" s="50">
        <f>IF($T27="","",IF($S27="S",IF(INDEX(Firms!$F$5:$F$1004,$T27)="","",INDEX(Firms!$F$5:$F$1004,$T27)),IF(INDEX('AFA Rates'!$E$5:$E$1004,$T27)="","",INDEX('AFA Rates'!$E$5:$E$1004,$T27))))</f>
        <v/>
      </c>
      <c r="H27" s="50">
        <f>IF($T27="","",IF($S27="S",IF(INDEX(Firms!$G$5:$G$1004,$T27)="","",INDEX(Firms!$G$5:$G$1004,$T27)),IF(INDEX('AFA Rates'!$F$5:$F$1004,$T27)="","",INDEX('AFA Rates'!$F$5:$F$1004,$T27))))</f>
        <v/>
      </c>
      <c r="I27" s="50">
        <f>IF($T27="","",IF($S27="S",IF(INDEX(Firms!$H$5:$H$1004,$T27)="","",INDEX(Firms!$H$5:$H$1004,$T27)),IF(INDEX('AFA Rates'!$G$5:$G$1004,$T27)="","",INDEX('AFA Rates'!$G$5:$G$1004,$T27))))</f>
        <v/>
      </c>
      <c r="J27" s="50">
        <f>IF($T27="","",IF($S27="S",IF(INDEX(Firms!$I$5:$I$1004,$T27)="","",INDEX(Firms!$I$5:$I$1004,$T27)),IF(INDEX('AFA Rates'!$H$5:$H$1004,$T27)="","",INDEX('AFA Rates'!$H$5:$H$1004,$T27))))</f>
        <v/>
      </c>
      <c r="K27" s="50">
        <f>IF($T27="","",IF($S27="S",IF(INDEX(Firms!$J$5:$J$1004,$T27)="","",INDEX(Firms!$J$5:$J$1004,$T27)),IF(INDEX('AFA Rates'!$I$5:$I$1004,$T27)="","",INDEX('AFA Rates'!$I$5:$I$1004,$T27))))</f>
        <v/>
      </c>
      <c r="L27" s="50">
        <f>IF($T27="","",IF($S27="S",IF(INDEX(Firms!$K$5:$K$1004,$T27)="","",INDEX(Firms!$K$5:$K$1004,$T27)),IF(INDEX('AFA Rates'!$J$5:$J$1004,$T27)="","",INDEX('AFA Rates'!$J$5:$J$1004,$T27))))</f>
        <v/>
      </c>
      <c r="M27" s="50">
        <f>IF($T27="","",IF($S27="S",IF(INDEX(Firms!$L$5:$L$1004,$T27)="","",INDEX(Firms!$L$5:$L$1004,$T27)),IF(INDEX('AFA Rates'!$K$5:$K$1004,$T27)="","",INDEX('AFA Rates'!$K$5:$K$1004,$T27))))</f>
        <v/>
      </c>
      <c r="N27" s="50">
        <f>IF($T27="","",IF($S27="S",IF(INDEX(Firms!$M$5:$M$1004,$T27)="","",INDEX(Firms!$M$5:$M$1004,$T27)),IF(INDEX('AFA Rates'!$L$5:$L$1004,$T27)="","",INDEX('AFA Rates'!$L$5:$L$1004,$T27))))</f>
        <v/>
      </c>
      <c r="O27" s="78">
        <f>IF(OR($T27="",$U27=""),"",IF(INDEX(Firms!$C$5:$C$1004,$U27)="","",INDEX(Firms!$C$5:$C$1004,$U27)))</f>
        <v/>
      </c>
      <c r="P27" s="79">
        <f>IF(OR($T27="",$U27=""),"",IF(INDEX(Firms!$N$5:$N$1004,$U27)="","",INDEX(Firms!$N$5:$N$1004,$U27)))</f>
        <v/>
      </c>
      <c r="Q27" s="78">
        <f>IF($T27="","",IF($S27="S",IF(INDEX(Firms!$T$5:$T$1004,$T27)="","",INDEX(Firms!$T$5:$T$1004,$T27)),IF(INDEX('AFA Rates'!$M$5:$M$1004,$T27)="","",INDEX('AFA Rates'!$M$5:$M$1004,$T27))))</f>
        <v/>
      </c>
      <c r="S27">
        <f>IF(23&lt;=$S$2,"S",IF(23&lt;=$S$2+$T$2,"A",""))</f>
        <v/>
      </c>
      <c r="T27">
        <f>IF(S27="S",MATCH(23,Firms!$W$5:$W$1004,0),IF(S27="A",IFERROR(MATCH(23-$S$2,'AFA Rates'!$R$5:$R$1004,0),""),""))</f>
        <v/>
      </c>
      <c r="U27">
        <f>IF(S27="S",T27,IF(AND(S27="A",T27&lt;&gt;""),IFERROR(MATCH(INDEX('AFA Rates'!$A$5:$A$1004,T27),Firms!$A$5:$A$1004,0),""),""))</f>
        <v/>
      </c>
    </row>
    <row r="28">
      <c r="A28" s="78">
        <f>IF($T28="","",IF($S28="S",IF(INDEX(Firms!$A$5:$A$1004,$T28)="","",INDEX(Firms!$A$5:$A$1004,$T28)),IF(INDEX('AFA Rates'!$A$5:$A$1004,$T28)="","",INDEX('AFA Rates'!$A$5:$A$1004,$T28))))</f>
        <v/>
      </c>
      <c r="B28" s="79">
        <f>IF(OR($T28="",$U28=""),IF($T28="","","Not on Firms tab"),INDEX(Firms!$B$5:$B$1004,$U28)&amp;"")</f>
        <v/>
      </c>
      <c r="C28" s="78">
        <f>IF($T28="","",IF($S28="S","Standard",INDEX('AFA Rates'!$B$5:$B$1004,$T28)&amp;""))</f>
        <v/>
      </c>
      <c r="D28" s="88">
        <f>IF($T28="","",IF($S28="S",IF(INDEX(Firms!$E$5:$E$1004,$T28)="","",INDEX(Firms!$E$5:$E$1004,$T28)),IF(INDEX('AFA Rates'!$C$5:$C$1004,$T28)="","",INDEX('AFA Rates'!$C$5:$C$1004,$T28))))</f>
        <v/>
      </c>
      <c r="E28" s="88">
        <f>IF($T28="","",IF($S28="S",IF(""="","",""),IF(INDEX('AFA Rates'!$D$5:$D$1004,$T28)="","",INDEX('AFA Rates'!$D$5:$D$1004,$T28))))</f>
        <v/>
      </c>
      <c r="F28" s="79">
        <f>IF($T28="","",IF($S28="S",IF(INDEX(Firms!$O$5:$O$1004,$T28)="","",INDEX(Firms!$O$5:$O$1004,$T28)),IF(INDEX('AFA Rates'!$O$5:$O$1004,$T28)="","",INDEX('AFA Rates'!$O$5:$O$1004,$T28))))</f>
        <v/>
      </c>
      <c r="G28" s="50">
        <f>IF($T28="","",IF($S28="S",IF(INDEX(Firms!$F$5:$F$1004,$T28)="","",INDEX(Firms!$F$5:$F$1004,$T28)),IF(INDEX('AFA Rates'!$E$5:$E$1004,$T28)="","",INDEX('AFA Rates'!$E$5:$E$1004,$T28))))</f>
        <v/>
      </c>
      <c r="H28" s="50">
        <f>IF($T28="","",IF($S28="S",IF(INDEX(Firms!$G$5:$G$1004,$T28)="","",INDEX(Firms!$G$5:$G$1004,$T28)),IF(INDEX('AFA Rates'!$F$5:$F$1004,$T28)="","",INDEX('AFA Rates'!$F$5:$F$1004,$T28))))</f>
        <v/>
      </c>
      <c r="I28" s="50">
        <f>IF($T28="","",IF($S28="S",IF(INDEX(Firms!$H$5:$H$1004,$T28)="","",INDEX(Firms!$H$5:$H$1004,$T28)),IF(INDEX('AFA Rates'!$G$5:$G$1004,$T28)="","",INDEX('AFA Rates'!$G$5:$G$1004,$T28))))</f>
        <v/>
      </c>
      <c r="J28" s="50">
        <f>IF($T28="","",IF($S28="S",IF(INDEX(Firms!$I$5:$I$1004,$T28)="","",INDEX(Firms!$I$5:$I$1004,$T28)),IF(INDEX('AFA Rates'!$H$5:$H$1004,$T28)="","",INDEX('AFA Rates'!$H$5:$H$1004,$T28))))</f>
        <v/>
      </c>
      <c r="K28" s="50">
        <f>IF($T28="","",IF($S28="S",IF(INDEX(Firms!$J$5:$J$1004,$T28)="","",INDEX(Firms!$J$5:$J$1004,$T28)),IF(INDEX('AFA Rates'!$I$5:$I$1004,$T28)="","",INDEX('AFA Rates'!$I$5:$I$1004,$T28))))</f>
        <v/>
      </c>
      <c r="L28" s="50">
        <f>IF($T28="","",IF($S28="S",IF(INDEX(Firms!$K$5:$K$1004,$T28)="","",INDEX(Firms!$K$5:$K$1004,$T28)),IF(INDEX('AFA Rates'!$J$5:$J$1004,$T28)="","",INDEX('AFA Rates'!$J$5:$J$1004,$T28))))</f>
        <v/>
      </c>
      <c r="M28" s="50">
        <f>IF($T28="","",IF($S28="S",IF(INDEX(Firms!$L$5:$L$1004,$T28)="","",INDEX(Firms!$L$5:$L$1004,$T28)),IF(INDEX('AFA Rates'!$K$5:$K$1004,$T28)="","",INDEX('AFA Rates'!$K$5:$K$1004,$T28))))</f>
        <v/>
      </c>
      <c r="N28" s="50">
        <f>IF($T28="","",IF($S28="S",IF(INDEX(Firms!$M$5:$M$1004,$T28)="","",INDEX(Firms!$M$5:$M$1004,$T28)),IF(INDEX('AFA Rates'!$L$5:$L$1004,$T28)="","",INDEX('AFA Rates'!$L$5:$L$1004,$T28))))</f>
        <v/>
      </c>
      <c r="O28" s="78">
        <f>IF(OR($T28="",$U28=""),"",IF(INDEX(Firms!$C$5:$C$1004,$U28)="","",INDEX(Firms!$C$5:$C$1004,$U28)))</f>
        <v/>
      </c>
      <c r="P28" s="79">
        <f>IF(OR($T28="",$U28=""),"",IF(INDEX(Firms!$N$5:$N$1004,$U28)="","",INDEX(Firms!$N$5:$N$1004,$U28)))</f>
        <v/>
      </c>
      <c r="Q28" s="78">
        <f>IF($T28="","",IF($S28="S",IF(INDEX(Firms!$T$5:$T$1004,$T28)="","",INDEX(Firms!$T$5:$T$1004,$T28)),IF(INDEX('AFA Rates'!$M$5:$M$1004,$T28)="","",INDEX('AFA Rates'!$M$5:$M$1004,$T28))))</f>
        <v/>
      </c>
      <c r="S28">
        <f>IF(24&lt;=$S$2,"S",IF(24&lt;=$S$2+$T$2,"A",""))</f>
        <v/>
      </c>
      <c r="T28">
        <f>IF(S28="S",MATCH(24,Firms!$W$5:$W$1004,0),IF(S28="A",IFERROR(MATCH(24-$S$2,'AFA Rates'!$R$5:$R$1004,0),""),""))</f>
        <v/>
      </c>
      <c r="U28">
        <f>IF(S28="S",T28,IF(AND(S28="A",T28&lt;&gt;""),IFERROR(MATCH(INDEX('AFA Rates'!$A$5:$A$1004,T28),Firms!$A$5:$A$1004,0),""),""))</f>
        <v/>
      </c>
    </row>
    <row r="29">
      <c r="A29" s="78">
        <f>IF($T29="","",IF($S29="S",IF(INDEX(Firms!$A$5:$A$1004,$T29)="","",INDEX(Firms!$A$5:$A$1004,$T29)),IF(INDEX('AFA Rates'!$A$5:$A$1004,$T29)="","",INDEX('AFA Rates'!$A$5:$A$1004,$T29))))</f>
        <v/>
      </c>
      <c r="B29" s="79">
        <f>IF(OR($T29="",$U29=""),IF($T29="","","Not on Firms tab"),INDEX(Firms!$B$5:$B$1004,$U29)&amp;"")</f>
        <v/>
      </c>
      <c r="C29" s="78">
        <f>IF($T29="","",IF($S29="S","Standard",INDEX('AFA Rates'!$B$5:$B$1004,$T29)&amp;""))</f>
        <v/>
      </c>
      <c r="D29" s="88">
        <f>IF($T29="","",IF($S29="S",IF(INDEX(Firms!$E$5:$E$1004,$T29)="","",INDEX(Firms!$E$5:$E$1004,$T29)),IF(INDEX('AFA Rates'!$C$5:$C$1004,$T29)="","",INDEX('AFA Rates'!$C$5:$C$1004,$T29))))</f>
        <v/>
      </c>
      <c r="E29" s="88">
        <f>IF($T29="","",IF($S29="S",IF(""="","",""),IF(INDEX('AFA Rates'!$D$5:$D$1004,$T29)="","",INDEX('AFA Rates'!$D$5:$D$1004,$T29))))</f>
        <v/>
      </c>
      <c r="F29" s="79">
        <f>IF($T29="","",IF($S29="S",IF(INDEX(Firms!$O$5:$O$1004,$T29)="","",INDEX(Firms!$O$5:$O$1004,$T29)),IF(INDEX('AFA Rates'!$O$5:$O$1004,$T29)="","",INDEX('AFA Rates'!$O$5:$O$1004,$T29))))</f>
        <v/>
      </c>
      <c r="G29" s="50">
        <f>IF($T29="","",IF($S29="S",IF(INDEX(Firms!$F$5:$F$1004,$T29)="","",INDEX(Firms!$F$5:$F$1004,$T29)),IF(INDEX('AFA Rates'!$E$5:$E$1004,$T29)="","",INDEX('AFA Rates'!$E$5:$E$1004,$T29))))</f>
        <v/>
      </c>
      <c r="H29" s="50">
        <f>IF($T29="","",IF($S29="S",IF(INDEX(Firms!$G$5:$G$1004,$T29)="","",INDEX(Firms!$G$5:$G$1004,$T29)),IF(INDEX('AFA Rates'!$F$5:$F$1004,$T29)="","",INDEX('AFA Rates'!$F$5:$F$1004,$T29))))</f>
        <v/>
      </c>
      <c r="I29" s="50">
        <f>IF($T29="","",IF($S29="S",IF(INDEX(Firms!$H$5:$H$1004,$T29)="","",INDEX(Firms!$H$5:$H$1004,$T29)),IF(INDEX('AFA Rates'!$G$5:$G$1004,$T29)="","",INDEX('AFA Rates'!$G$5:$G$1004,$T29))))</f>
        <v/>
      </c>
      <c r="J29" s="50">
        <f>IF($T29="","",IF($S29="S",IF(INDEX(Firms!$I$5:$I$1004,$T29)="","",INDEX(Firms!$I$5:$I$1004,$T29)),IF(INDEX('AFA Rates'!$H$5:$H$1004,$T29)="","",INDEX('AFA Rates'!$H$5:$H$1004,$T29))))</f>
        <v/>
      </c>
      <c r="K29" s="50">
        <f>IF($T29="","",IF($S29="S",IF(INDEX(Firms!$J$5:$J$1004,$T29)="","",INDEX(Firms!$J$5:$J$1004,$T29)),IF(INDEX('AFA Rates'!$I$5:$I$1004,$T29)="","",INDEX('AFA Rates'!$I$5:$I$1004,$T29))))</f>
        <v/>
      </c>
      <c r="L29" s="50">
        <f>IF($T29="","",IF($S29="S",IF(INDEX(Firms!$K$5:$K$1004,$T29)="","",INDEX(Firms!$K$5:$K$1004,$T29)),IF(INDEX('AFA Rates'!$J$5:$J$1004,$T29)="","",INDEX('AFA Rates'!$J$5:$J$1004,$T29))))</f>
        <v/>
      </c>
      <c r="M29" s="50">
        <f>IF($T29="","",IF($S29="S",IF(INDEX(Firms!$L$5:$L$1004,$T29)="","",INDEX(Firms!$L$5:$L$1004,$T29)),IF(INDEX('AFA Rates'!$K$5:$K$1004,$T29)="","",INDEX('AFA Rates'!$K$5:$K$1004,$T29))))</f>
        <v/>
      </c>
      <c r="N29" s="50">
        <f>IF($T29="","",IF($S29="S",IF(INDEX(Firms!$M$5:$M$1004,$T29)="","",INDEX(Firms!$M$5:$M$1004,$T29)),IF(INDEX('AFA Rates'!$L$5:$L$1004,$T29)="","",INDEX('AFA Rates'!$L$5:$L$1004,$T29))))</f>
        <v/>
      </c>
      <c r="O29" s="78">
        <f>IF(OR($T29="",$U29=""),"",IF(INDEX(Firms!$C$5:$C$1004,$U29)="","",INDEX(Firms!$C$5:$C$1004,$U29)))</f>
        <v/>
      </c>
      <c r="P29" s="79">
        <f>IF(OR($T29="",$U29=""),"",IF(INDEX(Firms!$N$5:$N$1004,$U29)="","",INDEX(Firms!$N$5:$N$1004,$U29)))</f>
        <v/>
      </c>
      <c r="Q29" s="78">
        <f>IF($T29="","",IF($S29="S",IF(INDEX(Firms!$T$5:$T$1004,$T29)="","",INDEX(Firms!$T$5:$T$1004,$T29)),IF(INDEX('AFA Rates'!$M$5:$M$1004,$T29)="","",INDEX('AFA Rates'!$M$5:$M$1004,$T29))))</f>
        <v/>
      </c>
      <c r="S29">
        <f>IF(25&lt;=$S$2,"S",IF(25&lt;=$S$2+$T$2,"A",""))</f>
        <v/>
      </c>
      <c r="T29">
        <f>IF(S29="S",MATCH(25,Firms!$W$5:$W$1004,0),IF(S29="A",IFERROR(MATCH(25-$S$2,'AFA Rates'!$R$5:$R$1004,0),""),""))</f>
        <v/>
      </c>
      <c r="U29">
        <f>IF(S29="S",T29,IF(AND(S29="A",T29&lt;&gt;""),IFERROR(MATCH(INDEX('AFA Rates'!$A$5:$A$1004,T29),Firms!$A$5:$A$1004,0),""),""))</f>
        <v/>
      </c>
    </row>
    <row r="30">
      <c r="A30" s="78">
        <f>IF($T30="","",IF($S30="S",IF(INDEX(Firms!$A$5:$A$1004,$T30)="","",INDEX(Firms!$A$5:$A$1004,$T30)),IF(INDEX('AFA Rates'!$A$5:$A$1004,$T30)="","",INDEX('AFA Rates'!$A$5:$A$1004,$T30))))</f>
        <v/>
      </c>
      <c r="B30" s="79">
        <f>IF(OR($T30="",$U30=""),IF($T30="","","Not on Firms tab"),INDEX(Firms!$B$5:$B$1004,$U30)&amp;"")</f>
        <v/>
      </c>
      <c r="C30" s="78">
        <f>IF($T30="","",IF($S30="S","Standard",INDEX('AFA Rates'!$B$5:$B$1004,$T30)&amp;""))</f>
        <v/>
      </c>
      <c r="D30" s="88">
        <f>IF($T30="","",IF($S30="S",IF(INDEX(Firms!$E$5:$E$1004,$T30)="","",INDEX(Firms!$E$5:$E$1004,$T30)),IF(INDEX('AFA Rates'!$C$5:$C$1004,$T30)="","",INDEX('AFA Rates'!$C$5:$C$1004,$T30))))</f>
        <v/>
      </c>
      <c r="E30" s="88">
        <f>IF($T30="","",IF($S30="S",IF(""="","",""),IF(INDEX('AFA Rates'!$D$5:$D$1004,$T30)="","",INDEX('AFA Rates'!$D$5:$D$1004,$T30))))</f>
        <v/>
      </c>
      <c r="F30" s="79">
        <f>IF($T30="","",IF($S30="S",IF(INDEX(Firms!$O$5:$O$1004,$T30)="","",INDEX(Firms!$O$5:$O$1004,$T30)),IF(INDEX('AFA Rates'!$O$5:$O$1004,$T30)="","",INDEX('AFA Rates'!$O$5:$O$1004,$T30))))</f>
        <v/>
      </c>
      <c r="G30" s="50">
        <f>IF($T30="","",IF($S30="S",IF(INDEX(Firms!$F$5:$F$1004,$T30)="","",INDEX(Firms!$F$5:$F$1004,$T30)),IF(INDEX('AFA Rates'!$E$5:$E$1004,$T30)="","",INDEX('AFA Rates'!$E$5:$E$1004,$T30))))</f>
        <v/>
      </c>
      <c r="H30" s="50">
        <f>IF($T30="","",IF($S30="S",IF(INDEX(Firms!$G$5:$G$1004,$T30)="","",INDEX(Firms!$G$5:$G$1004,$T30)),IF(INDEX('AFA Rates'!$F$5:$F$1004,$T30)="","",INDEX('AFA Rates'!$F$5:$F$1004,$T30))))</f>
        <v/>
      </c>
      <c r="I30" s="50">
        <f>IF($T30="","",IF($S30="S",IF(INDEX(Firms!$H$5:$H$1004,$T30)="","",INDEX(Firms!$H$5:$H$1004,$T30)),IF(INDEX('AFA Rates'!$G$5:$G$1004,$T30)="","",INDEX('AFA Rates'!$G$5:$G$1004,$T30))))</f>
        <v/>
      </c>
      <c r="J30" s="50">
        <f>IF($T30="","",IF($S30="S",IF(INDEX(Firms!$I$5:$I$1004,$T30)="","",INDEX(Firms!$I$5:$I$1004,$T30)),IF(INDEX('AFA Rates'!$H$5:$H$1004,$T30)="","",INDEX('AFA Rates'!$H$5:$H$1004,$T30))))</f>
        <v/>
      </c>
      <c r="K30" s="50">
        <f>IF($T30="","",IF($S30="S",IF(INDEX(Firms!$J$5:$J$1004,$T30)="","",INDEX(Firms!$J$5:$J$1004,$T30)),IF(INDEX('AFA Rates'!$I$5:$I$1004,$T30)="","",INDEX('AFA Rates'!$I$5:$I$1004,$T30))))</f>
        <v/>
      </c>
      <c r="L30" s="50">
        <f>IF($T30="","",IF($S30="S",IF(INDEX(Firms!$K$5:$K$1004,$T30)="","",INDEX(Firms!$K$5:$K$1004,$T30)),IF(INDEX('AFA Rates'!$J$5:$J$1004,$T30)="","",INDEX('AFA Rates'!$J$5:$J$1004,$T30))))</f>
        <v/>
      </c>
      <c r="M30" s="50">
        <f>IF($T30="","",IF($S30="S",IF(INDEX(Firms!$L$5:$L$1004,$T30)="","",INDEX(Firms!$L$5:$L$1004,$T30)),IF(INDEX('AFA Rates'!$K$5:$K$1004,$T30)="","",INDEX('AFA Rates'!$K$5:$K$1004,$T30))))</f>
        <v/>
      </c>
      <c r="N30" s="50">
        <f>IF($T30="","",IF($S30="S",IF(INDEX(Firms!$M$5:$M$1004,$T30)="","",INDEX(Firms!$M$5:$M$1004,$T30)),IF(INDEX('AFA Rates'!$L$5:$L$1004,$T30)="","",INDEX('AFA Rates'!$L$5:$L$1004,$T30))))</f>
        <v/>
      </c>
      <c r="O30" s="78">
        <f>IF(OR($T30="",$U30=""),"",IF(INDEX(Firms!$C$5:$C$1004,$U30)="","",INDEX(Firms!$C$5:$C$1004,$U30)))</f>
        <v/>
      </c>
      <c r="P30" s="79">
        <f>IF(OR($T30="",$U30=""),"",IF(INDEX(Firms!$N$5:$N$1004,$U30)="","",INDEX(Firms!$N$5:$N$1004,$U30)))</f>
        <v/>
      </c>
      <c r="Q30" s="78">
        <f>IF($T30="","",IF($S30="S",IF(INDEX(Firms!$T$5:$T$1004,$T30)="","",INDEX(Firms!$T$5:$T$1004,$T30)),IF(INDEX('AFA Rates'!$M$5:$M$1004,$T30)="","",INDEX('AFA Rates'!$M$5:$M$1004,$T30))))</f>
        <v/>
      </c>
      <c r="S30">
        <f>IF(26&lt;=$S$2,"S",IF(26&lt;=$S$2+$T$2,"A",""))</f>
        <v/>
      </c>
      <c r="T30">
        <f>IF(S30="S",MATCH(26,Firms!$W$5:$W$1004,0),IF(S30="A",IFERROR(MATCH(26-$S$2,'AFA Rates'!$R$5:$R$1004,0),""),""))</f>
        <v/>
      </c>
      <c r="U30">
        <f>IF(S30="S",T30,IF(AND(S30="A",T30&lt;&gt;""),IFERROR(MATCH(INDEX('AFA Rates'!$A$5:$A$1004,T30),Firms!$A$5:$A$1004,0),""),""))</f>
        <v/>
      </c>
    </row>
    <row r="31">
      <c r="A31" s="78">
        <f>IF($T31="","",IF($S31="S",IF(INDEX(Firms!$A$5:$A$1004,$T31)="","",INDEX(Firms!$A$5:$A$1004,$T31)),IF(INDEX('AFA Rates'!$A$5:$A$1004,$T31)="","",INDEX('AFA Rates'!$A$5:$A$1004,$T31))))</f>
        <v/>
      </c>
      <c r="B31" s="79">
        <f>IF(OR($T31="",$U31=""),IF($T31="","","Not on Firms tab"),INDEX(Firms!$B$5:$B$1004,$U31)&amp;"")</f>
        <v/>
      </c>
      <c r="C31" s="78">
        <f>IF($T31="","",IF($S31="S","Standard",INDEX('AFA Rates'!$B$5:$B$1004,$T31)&amp;""))</f>
        <v/>
      </c>
      <c r="D31" s="88">
        <f>IF($T31="","",IF($S31="S",IF(INDEX(Firms!$E$5:$E$1004,$T31)="","",INDEX(Firms!$E$5:$E$1004,$T31)),IF(INDEX('AFA Rates'!$C$5:$C$1004,$T31)="","",INDEX('AFA Rates'!$C$5:$C$1004,$T31))))</f>
        <v/>
      </c>
      <c r="E31" s="88">
        <f>IF($T31="","",IF($S31="S",IF(""="","",""),IF(INDEX('AFA Rates'!$D$5:$D$1004,$T31)="","",INDEX('AFA Rates'!$D$5:$D$1004,$T31))))</f>
        <v/>
      </c>
      <c r="F31" s="79">
        <f>IF($T31="","",IF($S31="S",IF(INDEX(Firms!$O$5:$O$1004,$T31)="","",INDEX(Firms!$O$5:$O$1004,$T31)),IF(INDEX('AFA Rates'!$O$5:$O$1004,$T31)="","",INDEX('AFA Rates'!$O$5:$O$1004,$T31))))</f>
        <v/>
      </c>
      <c r="G31" s="50">
        <f>IF($T31="","",IF($S31="S",IF(INDEX(Firms!$F$5:$F$1004,$T31)="","",INDEX(Firms!$F$5:$F$1004,$T31)),IF(INDEX('AFA Rates'!$E$5:$E$1004,$T31)="","",INDEX('AFA Rates'!$E$5:$E$1004,$T31))))</f>
        <v/>
      </c>
      <c r="H31" s="50">
        <f>IF($T31="","",IF($S31="S",IF(INDEX(Firms!$G$5:$G$1004,$T31)="","",INDEX(Firms!$G$5:$G$1004,$T31)),IF(INDEX('AFA Rates'!$F$5:$F$1004,$T31)="","",INDEX('AFA Rates'!$F$5:$F$1004,$T31))))</f>
        <v/>
      </c>
      <c r="I31" s="50">
        <f>IF($T31="","",IF($S31="S",IF(INDEX(Firms!$H$5:$H$1004,$T31)="","",INDEX(Firms!$H$5:$H$1004,$T31)),IF(INDEX('AFA Rates'!$G$5:$G$1004,$T31)="","",INDEX('AFA Rates'!$G$5:$G$1004,$T31))))</f>
        <v/>
      </c>
      <c r="J31" s="50">
        <f>IF($T31="","",IF($S31="S",IF(INDEX(Firms!$I$5:$I$1004,$T31)="","",INDEX(Firms!$I$5:$I$1004,$T31)),IF(INDEX('AFA Rates'!$H$5:$H$1004,$T31)="","",INDEX('AFA Rates'!$H$5:$H$1004,$T31))))</f>
        <v/>
      </c>
      <c r="K31" s="50">
        <f>IF($T31="","",IF($S31="S",IF(INDEX(Firms!$J$5:$J$1004,$T31)="","",INDEX(Firms!$J$5:$J$1004,$T31)),IF(INDEX('AFA Rates'!$I$5:$I$1004,$T31)="","",INDEX('AFA Rates'!$I$5:$I$1004,$T31))))</f>
        <v/>
      </c>
      <c r="L31" s="50">
        <f>IF($T31="","",IF($S31="S",IF(INDEX(Firms!$K$5:$K$1004,$T31)="","",INDEX(Firms!$K$5:$K$1004,$T31)),IF(INDEX('AFA Rates'!$J$5:$J$1004,$T31)="","",INDEX('AFA Rates'!$J$5:$J$1004,$T31))))</f>
        <v/>
      </c>
      <c r="M31" s="50">
        <f>IF($T31="","",IF($S31="S",IF(INDEX(Firms!$L$5:$L$1004,$T31)="","",INDEX(Firms!$L$5:$L$1004,$T31)),IF(INDEX('AFA Rates'!$K$5:$K$1004,$T31)="","",INDEX('AFA Rates'!$K$5:$K$1004,$T31))))</f>
        <v/>
      </c>
      <c r="N31" s="50">
        <f>IF($T31="","",IF($S31="S",IF(INDEX(Firms!$M$5:$M$1004,$T31)="","",INDEX(Firms!$M$5:$M$1004,$T31)),IF(INDEX('AFA Rates'!$L$5:$L$1004,$T31)="","",INDEX('AFA Rates'!$L$5:$L$1004,$T31))))</f>
        <v/>
      </c>
      <c r="O31" s="78">
        <f>IF(OR($T31="",$U31=""),"",IF(INDEX(Firms!$C$5:$C$1004,$U31)="","",INDEX(Firms!$C$5:$C$1004,$U31)))</f>
        <v/>
      </c>
      <c r="P31" s="79">
        <f>IF(OR($T31="",$U31=""),"",IF(INDEX(Firms!$N$5:$N$1004,$U31)="","",INDEX(Firms!$N$5:$N$1004,$U31)))</f>
        <v/>
      </c>
      <c r="Q31" s="78">
        <f>IF($T31="","",IF($S31="S",IF(INDEX(Firms!$T$5:$T$1004,$T31)="","",INDEX(Firms!$T$5:$T$1004,$T31)),IF(INDEX('AFA Rates'!$M$5:$M$1004,$T31)="","",INDEX('AFA Rates'!$M$5:$M$1004,$T31))))</f>
        <v/>
      </c>
      <c r="S31">
        <f>IF(27&lt;=$S$2,"S",IF(27&lt;=$S$2+$T$2,"A",""))</f>
        <v/>
      </c>
      <c r="T31">
        <f>IF(S31="S",MATCH(27,Firms!$W$5:$W$1004,0),IF(S31="A",IFERROR(MATCH(27-$S$2,'AFA Rates'!$R$5:$R$1004,0),""),""))</f>
        <v/>
      </c>
      <c r="U31">
        <f>IF(S31="S",T31,IF(AND(S31="A",T31&lt;&gt;""),IFERROR(MATCH(INDEX('AFA Rates'!$A$5:$A$1004,T31),Firms!$A$5:$A$1004,0),""),""))</f>
        <v/>
      </c>
    </row>
    <row r="32">
      <c r="A32" s="78">
        <f>IF($T32="","",IF($S32="S",IF(INDEX(Firms!$A$5:$A$1004,$T32)="","",INDEX(Firms!$A$5:$A$1004,$T32)),IF(INDEX('AFA Rates'!$A$5:$A$1004,$T32)="","",INDEX('AFA Rates'!$A$5:$A$1004,$T32))))</f>
        <v/>
      </c>
      <c r="B32" s="79">
        <f>IF(OR($T32="",$U32=""),IF($T32="","","Not on Firms tab"),INDEX(Firms!$B$5:$B$1004,$U32)&amp;"")</f>
        <v/>
      </c>
      <c r="C32" s="78">
        <f>IF($T32="","",IF($S32="S","Standard",INDEX('AFA Rates'!$B$5:$B$1004,$T32)&amp;""))</f>
        <v/>
      </c>
      <c r="D32" s="88">
        <f>IF($T32="","",IF($S32="S",IF(INDEX(Firms!$E$5:$E$1004,$T32)="","",INDEX(Firms!$E$5:$E$1004,$T32)),IF(INDEX('AFA Rates'!$C$5:$C$1004,$T32)="","",INDEX('AFA Rates'!$C$5:$C$1004,$T32))))</f>
        <v/>
      </c>
      <c r="E32" s="88">
        <f>IF($T32="","",IF($S32="S",IF(""="","",""),IF(INDEX('AFA Rates'!$D$5:$D$1004,$T32)="","",INDEX('AFA Rates'!$D$5:$D$1004,$T32))))</f>
        <v/>
      </c>
      <c r="F32" s="79">
        <f>IF($T32="","",IF($S32="S",IF(INDEX(Firms!$O$5:$O$1004,$T32)="","",INDEX(Firms!$O$5:$O$1004,$T32)),IF(INDEX('AFA Rates'!$O$5:$O$1004,$T32)="","",INDEX('AFA Rates'!$O$5:$O$1004,$T32))))</f>
        <v/>
      </c>
      <c r="G32" s="50">
        <f>IF($T32="","",IF($S32="S",IF(INDEX(Firms!$F$5:$F$1004,$T32)="","",INDEX(Firms!$F$5:$F$1004,$T32)),IF(INDEX('AFA Rates'!$E$5:$E$1004,$T32)="","",INDEX('AFA Rates'!$E$5:$E$1004,$T32))))</f>
        <v/>
      </c>
      <c r="H32" s="50">
        <f>IF($T32="","",IF($S32="S",IF(INDEX(Firms!$G$5:$G$1004,$T32)="","",INDEX(Firms!$G$5:$G$1004,$T32)),IF(INDEX('AFA Rates'!$F$5:$F$1004,$T32)="","",INDEX('AFA Rates'!$F$5:$F$1004,$T32))))</f>
        <v/>
      </c>
      <c r="I32" s="50">
        <f>IF($T32="","",IF($S32="S",IF(INDEX(Firms!$H$5:$H$1004,$T32)="","",INDEX(Firms!$H$5:$H$1004,$T32)),IF(INDEX('AFA Rates'!$G$5:$G$1004,$T32)="","",INDEX('AFA Rates'!$G$5:$G$1004,$T32))))</f>
        <v/>
      </c>
      <c r="J32" s="50">
        <f>IF($T32="","",IF($S32="S",IF(INDEX(Firms!$I$5:$I$1004,$T32)="","",INDEX(Firms!$I$5:$I$1004,$T32)),IF(INDEX('AFA Rates'!$H$5:$H$1004,$T32)="","",INDEX('AFA Rates'!$H$5:$H$1004,$T32))))</f>
        <v/>
      </c>
      <c r="K32" s="50">
        <f>IF($T32="","",IF($S32="S",IF(INDEX(Firms!$J$5:$J$1004,$T32)="","",INDEX(Firms!$J$5:$J$1004,$T32)),IF(INDEX('AFA Rates'!$I$5:$I$1004,$T32)="","",INDEX('AFA Rates'!$I$5:$I$1004,$T32))))</f>
        <v/>
      </c>
      <c r="L32" s="50">
        <f>IF($T32="","",IF($S32="S",IF(INDEX(Firms!$K$5:$K$1004,$T32)="","",INDEX(Firms!$K$5:$K$1004,$T32)),IF(INDEX('AFA Rates'!$J$5:$J$1004,$T32)="","",INDEX('AFA Rates'!$J$5:$J$1004,$T32))))</f>
        <v/>
      </c>
      <c r="M32" s="50">
        <f>IF($T32="","",IF($S32="S",IF(INDEX(Firms!$L$5:$L$1004,$T32)="","",INDEX(Firms!$L$5:$L$1004,$T32)),IF(INDEX('AFA Rates'!$K$5:$K$1004,$T32)="","",INDEX('AFA Rates'!$K$5:$K$1004,$T32))))</f>
        <v/>
      </c>
      <c r="N32" s="50">
        <f>IF($T32="","",IF($S32="S",IF(INDEX(Firms!$M$5:$M$1004,$T32)="","",INDEX(Firms!$M$5:$M$1004,$T32)),IF(INDEX('AFA Rates'!$L$5:$L$1004,$T32)="","",INDEX('AFA Rates'!$L$5:$L$1004,$T32))))</f>
        <v/>
      </c>
      <c r="O32" s="78">
        <f>IF(OR($T32="",$U32=""),"",IF(INDEX(Firms!$C$5:$C$1004,$U32)="","",INDEX(Firms!$C$5:$C$1004,$U32)))</f>
        <v/>
      </c>
      <c r="P32" s="79">
        <f>IF(OR($T32="",$U32=""),"",IF(INDEX(Firms!$N$5:$N$1004,$U32)="","",INDEX(Firms!$N$5:$N$1004,$U32)))</f>
        <v/>
      </c>
      <c r="Q32" s="78">
        <f>IF($T32="","",IF($S32="S",IF(INDEX(Firms!$T$5:$T$1004,$T32)="","",INDEX(Firms!$T$5:$T$1004,$T32)),IF(INDEX('AFA Rates'!$M$5:$M$1004,$T32)="","",INDEX('AFA Rates'!$M$5:$M$1004,$T32))))</f>
        <v/>
      </c>
      <c r="S32">
        <f>IF(28&lt;=$S$2,"S",IF(28&lt;=$S$2+$T$2,"A",""))</f>
        <v/>
      </c>
      <c r="T32">
        <f>IF(S32="S",MATCH(28,Firms!$W$5:$W$1004,0),IF(S32="A",IFERROR(MATCH(28-$S$2,'AFA Rates'!$R$5:$R$1004,0),""),""))</f>
        <v/>
      </c>
      <c r="U32">
        <f>IF(S32="S",T32,IF(AND(S32="A",T32&lt;&gt;""),IFERROR(MATCH(INDEX('AFA Rates'!$A$5:$A$1004,T32),Firms!$A$5:$A$1004,0),""),""))</f>
        <v/>
      </c>
    </row>
    <row r="33">
      <c r="A33" s="78">
        <f>IF($T33="","",IF($S33="S",IF(INDEX(Firms!$A$5:$A$1004,$T33)="","",INDEX(Firms!$A$5:$A$1004,$T33)),IF(INDEX('AFA Rates'!$A$5:$A$1004,$T33)="","",INDEX('AFA Rates'!$A$5:$A$1004,$T33))))</f>
        <v/>
      </c>
      <c r="B33" s="79">
        <f>IF(OR($T33="",$U33=""),IF($T33="","","Not on Firms tab"),INDEX(Firms!$B$5:$B$1004,$U33)&amp;"")</f>
        <v/>
      </c>
      <c r="C33" s="78">
        <f>IF($T33="","",IF($S33="S","Standard",INDEX('AFA Rates'!$B$5:$B$1004,$T33)&amp;""))</f>
        <v/>
      </c>
      <c r="D33" s="88">
        <f>IF($T33="","",IF($S33="S",IF(INDEX(Firms!$E$5:$E$1004,$T33)="","",INDEX(Firms!$E$5:$E$1004,$T33)),IF(INDEX('AFA Rates'!$C$5:$C$1004,$T33)="","",INDEX('AFA Rates'!$C$5:$C$1004,$T33))))</f>
        <v/>
      </c>
      <c r="E33" s="88">
        <f>IF($T33="","",IF($S33="S",IF(""="","",""),IF(INDEX('AFA Rates'!$D$5:$D$1004,$T33)="","",INDEX('AFA Rates'!$D$5:$D$1004,$T33))))</f>
        <v/>
      </c>
      <c r="F33" s="79">
        <f>IF($T33="","",IF($S33="S",IF(INDEX(Firms!$O$5:$O$1004,$T33)="","",INDEX(Firms!$O$5:$O$1004,$T33)),IF(INDEX('AFA Rates'!$O$5:$O$1004,$T33)="","",INDEX('AFA Rates'!$O$5:$O$1004,$T33))))</f>
        <v/>
      </c>
      <c r="G33" s="50">
        <f>IF($T33="","",IF($S33="S",IF(INDEX(Firms!$F$5:$F$1004,$T33)="","",INDEX(Firms!$F$5:$F$1004,$T33)),IF(INDEX('AFA Rates'!$E$5:$E$1004,$T33)="","",INDEX('AFA Rates'!$E$5:$E$1004,$T33))))</f>
        <v/>
      </c>
      <c r="H33" s="50">
        <f>IF($T33="","",IF($S33="S",IF(INDEX(Firms!$G$5:$G$1004,$T33)="","",INDEX(Firms!$G$5:$G$1004,$T33)),IF(INDEX('AFA Rates'!$F$5:$F$1004,$T33)="","",INDEX('AFA Rates'!$F$5:$F$1004,$T33))))</f>
        <v/>
      </c>
      <c r="I33" s="50">
        <f>IF($T33="","",IF($S33="S",IF(INDEX(Firms!$H$5:$H$1004,$T33)="","",INDEX(Firms!$H$5:$H$1004,$T33)),IF(INDEX('AFA Rates'!$G$5:$G$1004,$T33)="","",INDEX('AFA Rates'!$G$5:$G$1004,$T33))))</f>
        <v/>
      </c>
      <c r="J33" s="50">
        <f>IF($T33="","",IF($S33="S",IF(INDEX(Firms!$I$5:$I$1004,$T33)="","",INDEX(Firms!$I$5:$I$1004,$T33)),IF(INDEX('AFA Rates'!$H$5:$H$1004,$T33)="","",INDEX('AFA Rates'!$H$5:$H$1004,$T33))))</f>
        <v/>
      </c>
      <c r="K33" s="50">
        <f>IF($T33="","",IF($S33="S",IF(INDEX(Firms!$J$5:$J$1004,$T33)="","",INDEX(Firms!$J$5:$J$1004,$T33)),IF(INDEX('AFA Rates'!$I$5:$I$1004,$T33)="","",INDEX('AFA Rates'!$I$5:$I$1004,$T33))))</f>
        <v/>
      </c>
      <c r="L33" s="50">
        <f>IF($T33="","",IF($S33="S",IF(INDEX(Firms!$K$5:$K$1004,$T33)="","",INDEX(Firms!$K$5:$K$1004,$T33)),IF(INDEX('AFA Rates'!$J$5:$J$1004,$T33)="","",INDEX('AFA Rates'!$J$5:$J$1004,$T33))))</f>
        <v/>
      </c>
      <c r="M33" s="50">
        <f>IF($T33="","",IF($S33="S",IF(INDEX(Firms!$L$5:$L$1004,$T33)="","",INDEX(Firms!$L$5:$L$1004,$T33)),IF(INDEX('AFA Rates'!$K$5:$K$1004,$T33)="","",INDEX('AFA Rates'!$K$5:$K$1004,$T33))))</f>
        <v/>
      </c>
      <c r="N33" s="50">
        <f>IF($T33="","",IF($S33="S",IF(INDEX(Firms!$M$5:$M$1004,$T33)="","",INDEX(Firms!$M$5:$M$1004,$T33)),IF(INDEX('AFA Rates'!$L$5:$L$1004,$T33)="","",INDEX('AFA Rates'!$L$5:$L$1004,$T33))))</f>
        <v/>
      </c>
      <c r="O33" s="78">
        <f>IF(OR($T33="",$U33=""),"",IF(INDEX(Firms!$C$5:$C$1004,$U33)="","",INDEX(Firms!$C$5:$C$1004,$U33)))</f>
        <v/>
      </c>
      <c r="P33" s="79">
        <f>IF(OR($T33="",$U33=""),"",IF(INDEX(Firms!$N$5:$N$1004,$U33)="","",INDEX(Firms!$N$5:$N$1004,$U33)))</f>
        <v/>
      </c>
      <c r="Q33" s="78">
        <f>IF($T33="","",IF($S33="S",IF(INDEX(Firms!$T$5:$T$1004,$T33)="","",INDEX(Firms!$T$5:$T$1004,$T33)),IF(INDEX('AFA Rates'!$M$5:$M$1004,$T33)="","",INDEX('AFA Rates'!$M$5:$M$1004,$T33))))</f>
        <v/>
      </c>
      <c r="S33">
        <f>IF(29&lt;=$S$2,"S",IF(29&lt;=$S$2+$T$2,"A",""))</f>
        <v/>
      </c>
      <c r="T33">
        <f>IF(S33="S",MATCH(29,Firms!$W$5:$W$1004,0),IF(S33="A",IFERROR(MATCH(29-$S$2,'AFA Rates'!$R$5:$R$1004,0),""),""))</f>
        <v/>
      </c>
      <c r="U33">
        <f>IF(S33="S",T33,IF(AND(S33="A",T33&lt;&gt;""),IFERROR(MATCH(INDEX('AFA Rates'!$A$5:$A$1004,T33),Firms!$A$5:$A$1004,0),""),""))</f>
        <v/>
      </c>
    </row>
    <row r="34">
      <c r="A34" s="78">
        <f>IF($T34="","",IF($S34="S",IF(INDEX(Firms!$A$5:$A$1004,$T34)="","",INDEX(Firms!$A$5:$A$1004,$T34)),IF(INDEX('AFA Rates'!$A$5:$A$1004,$T34)="","",INDEX('AFA Rates'!$A$5:$A$1004,$T34))))</f>
        <v/>
      </c>
      <c r="B34" s="79">
        <f>IF(OR($T34="",$U34=""),IF($T34="","","Not on Firms tab"),INDEX(Firms!$B$5:$B$1004,$U34)&amp;"")</f>
        <v/>
      </c>
      <c r="C34" s="78">
        <f>IF($T34="","",IF($S34="S","Standard",INDEX('AFA Rates'!$B$5:$B$1004,$T34)&amp;""))</f>
        <v/>
      </c>
      <c r="D34" s="88">
        <f>IF($T34="","",IF($S34="S",IF(INDEX(Firms!$E$5:$E$1004,$T34)="","",INDEX(Firms!$E$5:$E$1004,$T34)),IF(INDEX('AFA Rates'!$C$5:$C$1004,$T34)="","",INDEX('AFA Rates'!$C$5:$C$1004,$T34))))</f>
        <v/>
      </c>
      <c r="E34" s="88">
        <f>IF($T34="","",IF($S34="S",IF(""="","",""),IF(INDEX('AFA Rates'!$D$5:$D$1004,$T34)="","",INDEX('AFA Rates'!$D$5:$D$1004,$T34))))</f>
        <v/>
      </c>
      <c r="F34" s="79">
        <f>IF($T34="","",IF($S34="S",IF(INDEX(Firms!$O$5:$O$1004,$T34)="","",INDEX(Firms!$O$5:$O$1004,$T34)),IF(INDEX('AFA Rates'!$O$5:$O$1004,$T34)="","",INDEX('AFA Rates'!$O$5:$O$1004,$T34))))</f>
        <v/>
      </c>
      <c r="G34" s="50">
        <f>IF($T34="","",IF($S34="S",IF(INDEX(Firms!$F$5:$F$1004,$T34)="","",INDEX(Firms!$F$5:$F$1004,$T34)),IF(INDEX('AFA Rates'!$E$5:$E$1004,$T34)="","",INDEX('AFA Rates'!$E$5:$E$1004,$T34))))</f>
        <v/>
      </c>
      <c r="H34" s="50">
        <f>IF($T34="","",IF($S34="S",IF(INDEX(Firms!$G$5:$G$1004,$T34)="","",INDEX(Firms!$G$5:$G$1004,$T34)),IF(INDEX('AFA Rates'!$F$5:$F$1004,$T34)="","",INDEX('AFA Rates'!$F$5:$F$1004,$T34))))</f>
        <v/>
      </c>
      <c r="I34" s="50">
        <f>IF($T34="","",IF($S34="S",IF(INDEX(Firms!$H$5:$H$1004,$T34)="","",INDEX(Firms!$H$5:$H$1004,$T34)),IF(INDEX('AFA Rates'!$G$5:$G$1004,$T34)="","",INDEX('AFA Rates'!$G$5:$G$1004,$T34))))</f>
        <v/>
      </c>
      <c r="J34" s="50">
        <f>IF($T34="","",IF($S34="S",IF(INDEX(Firms!$I$5:$I$1004,$T34)="","",INDEX(Firms!$I$5:$I$1004,$T34)),IF(INDEX('AFA Rates'!$H$5:$H$1004,$T34)="","",INDEX('AFA Rates'!$H$5:$H$1004,$T34))))</f>
        <v/>
      </c>
      <c r="K34" s="50">
        <f>IF($T34="","",IF($S34="S",IF(INDEX(Firms!$J$5:$J$1004,$T34)="","",INDEX(Firms!$J$5:$J$1004,$T34)),IF(INDEX('AFA Rates'!$I$5:$I$1004,$T34)="","",INDEX('AFA Rates'!$I$5:$I$1004,$T34))))</f>
        <v/>
      </c>
      <c r="L34" s="50">
        <f>IF($T34="","",IF($S34="S",IF(INDEX(Firms!$K$5:$K$1004,$T34)="","",INDEX(Firms!$K$5:$K$1004,$T34)),IF(INDEX('AFA Rates'!$J$5:$J$1004,$T34)="","",INDEX('AFA Rates'!$J$5:$J$1004,$T34))))</f>
        <v/>
      </c>
      <c r="M34" s="50">
        <f>IF($T34="","",IF($S34="S",IF(INDEX(Firms!$L$5:$L$1004,$T34)="","",INDEX(Firms!$L$5:$L$1004,$T34)),IF(INDEX('AFA Rates'!$K$5:$K$1004,$T34)="","",INDEX('AFA Rates'!$K$5:$K$1004,$T34))))</f>
        <v/>
      </c>
      <c r="N34" s="50">
        <f>IF($T34="","",IF($S34="S",IF(INDEX(Firms!$M$5:$M$1004,$T34)="","",INDEX(Firms!$M$5:$M$1004,$T34)),IF(INDEX('AFA Rates'!$L$5:$L$1004,$T34)="","",INDEX('AFA Rates'!$L$5:$L$1004,$T34))))</f>
        <v/>
      </c>
      <c r="O34" s="78">
        <f>IF(OR($T34="",$U34=""),"",IF(INDEX(Firms!$C$5:$C$1004,$U34)="","",INDEX(Firms!$C$5:$C$1004,$U34)))</f>
        <v/>
      </c>
      <c r="P34" s="79">
        <f>IF(OR($T34="",$U34=""),"",IF(INDEX(Firms!$N$5:$N$1004,$U34)="","",INDEX(Firms!$N$5:$N$1004,$U34)))</f>
        <v/>
      </c>
      <c r="Q34" s="78">
        <f>IF($T34="","",IF($S34="S",IF(INDEX(Firms!$T$5:$T$1004,$T34)="","",INDEX(Firms!$T$5:$T$1004,$T34)),IF(INDEX('AFA Rates'!$M$5:$M$1004,$T34)="","",INDEX('AFA Rates'!$M$5:$M$1004,$T34))))</f>
        <v/>
      </c>
      <c r="S34">
        <f>IF(30&lt;=$S$2,"S",IF(30&lt;=$S$2+$T$2,"A",""))</f>
        <v/>
      </c>
      <c r="T34">
        <f>IF(S34="S",MATCH(30,Firms!$W$5:$W$1004,0),IF(S34="A",IFERROR(MATCH(30-$S$2,'AFA Rates'!$R$5:$R$1004,0),""),""))</f>
        <v/>
      </c>
      <c r="U34">
        <f>IF(S34="S",T34,IF(AND(S34="A",T34&lt;&gt;""),IFERROR(MATCH(INDEX('AFA Rates'!$A$5:$A$1004,T34),Firms!$A$5:$A$1004,0),""),""))</f>
        <v/>
      </c>
    </row>
    <row r="35">
      <c r="A35" s="78">
        <f>IF($T35="","",IF($S35="S",IF(INDEX(Firms!$A$5:$A$1004,$T35)="","",INDEX(Firms!$A$5:$A$1004,$T35)),IF(INDEX('AFA Rates'!$A$5:$A$1004,$T35)="","",INDEX('AFA Rates'!$A$5:$A$1004,$T35))))</f>
        <v/>
      </c>
      <c r="B35" s="79">
        <f>IF(OR($T35="",$U35=""),IF($T35="","","Not on Firms tab"),INDEX(Firms!$B$5:$B$1004,$U35)&amp;"")</f>
        <v/>
      </c>
      <c r="C35" s="78">
        <f>IF($T35="","",IF($S35="S","Standard",INDEX('AFA Rates'!$B$5:$B$1004,$T35)&amp;""))</f>
        <v/>
      </c>
      <c r="D35" s="88">
        <f>IF($T35="","",IF($S35="S",IF(INDEX(Firms!$E$5:$E$1004,$T35)="","",INDEX(Firms!$E$5:$E$1004,$T35)),IF(INDEX('AFA Rates'!$C$5:$C$1004,$T35)="","",INDEX('AFA Rates'!$C$5:$C$1004,$T35))))</f>
        <v/>
      </c>
      <c r="E35" s="88">
        <f>IF($T35="","",IF($S35="S",IF(""="","",""),IF(INDEX('AFA Rates'!$D$5:$D$1004,$T35)="","",INDEX('AFA Rates'!$D$5:$D$1004,$T35))))</f>
        <v/>
      </c>
      <c r="F35" s="79">
        <f>IF($T35="","",IF($S35="S",IF(INDEX(Firms!$O$5:$O$1004,$T35)="","",INDEX(Firms!$O$5:$O$1004,$T35)),IF(INDEX('AFA Rates'!$O$5:$O$1004,$T35)="","",INDEX('AFA Rates'!$O$5:$O$1004,$T35))))</f>
        <v/>
      </c>
      <c r="G35" s="50">
        <f>IF($T35="","",IF($S35="S",IF(INDEX(Firms!$F$5:$F$1004,$T35)="","",INDEX(Firms!$F$5:$F$1004,$T35)),IF(INDEX('AFA Rates'!$E$5:$E$1004,$T35)="","",INDEX('AFA Rates'!$E$5:$E$1004,$T35))))</f>
        <v/>
      </c>
      <c r="H35" s="50">
        <f>IF($T35="","",IF($S35="S",IF(INDEX(Firms!$G$5:$G$1004,$T35)="","",INDEX(Firms!$G$5:$G$1004,$T35)),IF(INDEX('AFA Rates'!$F$5:$F$1004,$T35)="","",INDEX('AFA Rates'!$F$5:$F$1004,$T35))))</f>
        <v/>
      </c>
      <c r="I35" s="50">
        <f>IF($T35="","",IF($S35="S",IF(INDEX(Firms!$H$5:$H$1004,$T35)="","",INDEX(Firms!$H$5:$H$1004,$T35)),IF(INDEX('AFA Rates'!$G$5:$G$1004,$T35)="","",INDEX('AFA Rates'!$G$5:$G$1004,$T35))))</f>
        <v/>
      </c>
      <c r="J35" s="50">
        <f>IF($T35="","",IF($S35="S",IF(INDEX(Firms!$I$5:$I$1004,$T35)="","",INDEX(Firms!$I$5:$I$1004,$T35)),IF(INDEX('AFA Rates'!$H$5:$H$1004,$T35)="","",INDEX('AFA Rates'!$H$5:$H$1004,$T35))))</f>
        <v/>
      </c>
      <c r="K35" s="50">
        <f>IF($T35="","",IF($S35="S",IF(INDEX(Firms!$J$5:$J$1004,$T35)="","",INDEX(Firms!$J$5:$J$1004,$T35)),IF(INDEX('AFA Rates'!$I$5:$I$1004,$T35)="","",INDEX('AFA Rates'!$I$5:$I$1004,$T35))))</f>
        <v/>
      </c>
      <c r="L35" s="50">
        <f>IF($T35="","",IF($S35="S",IF(INDEX(Firms!$K$5:$K$1004,$T35)="","",INDEX(Firms!$K$5:$K$1004,$T35)),IF(INDEX('AFA Rates'!$J$5:$J$1004,$T35)="","",INDEX('AFA Rates'!$J$5:$J$1004,$T35))))</f>
        <v/>
      </c>
      <c r="M35" s="50">
        <f>IF($T35="","",IF($S35="S",IF(INDEX(Firms!$L$5:$L$1004,$T35)="","",INDEX(Firms!$L$5:$L$1004,$T35)),IF(INDEX('AFA Rates'!$K$5:$K$1004,$T35)="","",INDEX('AFA Rates'!$K$5:$K$1004,$T35))))</f>
        <v/>
      </c>
      <c r="N35" s="50">
        <f>IF($T35="","",IF($S35="S",IF(INDEX(Firms!$M$5:$M$1004,$T35)="","",INDEX(Firms!$M$5:$M$1004,$T35)),IF(INDEX('AFA Rates'!$L$5:$L$1004,$T35)="","",INDEX('AFA Rates'!$L$5:$L$1004,$T35))))</f>
        <v/>
      </c>
      <c r="O35" s="78">
        <f>IF(OR($T35="",$U35=""),"",IF(INDEX(Firms!$C$5:$C$1004,$U35)="","",INDEX(Firms!$C$5:$C$1004,$U35)))</f>
        <v/>
      </c>
      <c r="P35" s="79">
        <f>IF(OR($T35="",$U35=""),"",IF(INDEX(Firms!$N$5:$N$1004,$U35)="","",INDEX(Firms!$N$5:$N$1004,$U35)))</f>
        <v/>
      </c>
      <c r="Q35" s="78">
        <f>IF($T35="","",IF($S35="S",IF(INDEX(Firms!$T$5:$T$1004,$T35)="","",INDEX(Firms!$T$5:$T$1004,$T35)),IF(INDEX('AFA Rates'!$M$5:$M$1004,$T35)="","",INDEX('AFA Rates'!$M$5:$M$1004,$T35))))</f>
        <v/>
      </c>
      <c r="S35">
        <f>IF(31&lt;=$S$2,"S",IF(31&lt;=$S$2+$T$2,"A",""))</f>
        <v/>
      </c>
      <c r="T35">
        <f>IF(S35="S",MATCH(31,Firms!$W$5:$W$1004,0),IF(S35="A",IFERROR(MATCH(31-$S$2,'AFA Rates'!$R$5:$R$1004,0),""),""))</f>
        <v/>
      </c>
      <c r="U35">
        <f>IF(S35="S",T35,IF(AND(S35="A",T35&lt;&gt;""),IFERROR(MATCH(INDEX('AFA Rates'!$A$5:$A$1004,T35),Firms!$A$5:$A$1004,0),""),""))</f>
        <v/>
      </c>
    </row>
    <row r="36">
      <c r="A36" s="78">
        <f>IF($T36="","",IF($S36="S",IF(INDEX(Firms!$A$5:$A$1004,$T36)="","",INDEX(Firms!$A$5:$A$1004,$T36)),IF(INDEX('AFA Rates'!$A$5:$A$1004,$T36)="","",INDEX('AFA Rates'!$A$5:$A$1004,$T36))))</f>
        <v/>
      </c>
      <c r="B36" s="79">
        <f>IF(OR($T36="",$U36=""),IF($T36="","","Not on Firms tab"),INDEX(Firms!$B$5:$B$1004,$U36)&amp;"")</f>
        <v/>
      </c>
      <c r="C36" s="78">
        <f>IF($T36="","",IF($S36="S","Standard",INDEX('AFA Rates'!$B$5:$B$1004,$T36)&amp;""))</f>
        <v/>
      </c>
      <c r="D36" s="88">
        <f>IF($T36="","",IF($S36="S",IF(INDEX(Firms!$E$5:$E$1004,$T36)="","",INDEX(Firms!$E$5:$E$1004,$T36)),IF(INDEX('AFA Rates'!$C$5:$C$1004,$T36)="","",INDEX('AFA Rates'!$C$5:$C$1004,$T36))))</f>
        <v/>
      </c>
      <c r="E36" s="88">
        <f>IF($T36="","",IF($S36="S",IF(""="","",""),IF(INDEX('AFA Rates'!$D$5:$D$1004,$T36)="","",INDEX('AFA Rates'!$D$5:$D$1004,$T36))))</f>
        <v/>
      </c>
      <c r="F36" s="79">
        <f>IF($T36="","",IF($S36="S",IF(INDEX(Firms!$O$5:$O$1004,$T36)="","",INDEX(Firms!$O$5:$O$1004,$T36)),IF(INDEX('AFA Rates'!$O$5:$O$1004,$T36)="","",INDEX('AFA Rates'!$O$5:$O$1004,$T36))))</f>
        <v/>
      </c>
      <c r="G36" s="50">
        <f>IF($T36="","",IF($S36="S",IF(INDEX(Firms!$F$5:$F$1004,$T36)="","",INDEX(Firms!$F$5:$F$1004,$T36)),IF(INDEX('AFA Rates'!$E$5:$E$1004,$T36)="","",INDEX('AFA Rates'!$E$5:$E$1004,$T36))))</f>
        <v/>
      </c>
      <c r="H36" s="50">
        <f>IF($T36="","",IF($S36="S",IF(INDEX(Firms!$G$5:$G$1004,$T36)="","",INDEX(Firms!$G$5:$G$1004,$T36)),IF(INDEX('AFA Rates'!$F$5:$F$1004,$T36)="","",INDEX('AFA Rates'!$F$5:$F$1004,$T36))))</f>
        <v/>
      </c>
      <c r="I36" s="50">
        <f>IF($T36="","",IF($S36="S",IF(INDEX(Firms!$H$5:$H$1004,$T36)="","",INDEX(Firms!$H$5:$H$1004,$T36)),IF(INDEX('AFA Rates'!$G$5:$G$1004,$T36)="","",INDEX('AFA Rates'!$G$5:$G$1004,$T36))))</f>
        <v/>
      </c>
      <c r="J36" s="50">
        <f>IF($T36="","",IF($S36="S",IF(INDEX(Firms!$I$5:$I$1004,$T36)="","",INDEX(Firms!$I$5:$I$1004,$T36)),IF(INDEX('AFA Rates'!$H$5:$H$1004,$T36)="","",INDEX('AFA Rates'!$H$5:$H$1004,$T36))))</f>
        <v/>
      </c>
      <c r="K36" s="50">
        <f>IF($T36="","",IF($S36="S",IF(INDEX(Firms!$J$5:$J$1004,$T36)="","",INDEX(Firms!$J$5:$J$1004,$T36)),IF(INDEX('AFA Rates'!$I$5:$I$1004,$T36)="","",INDEX('AFA Rates'!$I$5:$I$1004,$T36))))</f>
        <v/>
      </c>
      <c r="L36" s="50">
        <f>IF($T36="","",IF($S36="S",IF(INDEX(Firms!$K$5:$K$1004,$T36)="","",INDEX(Firms!$K$5:$K$1004,$T36)),IF(INDEX('AFA Rates'!$J$5:$J$1004,$T36)="","",INDEX('AFA Rates'!$J$5:$J$1004,$T36))))</f>
        <v/>
      </c>
      <c r="M36" s="50">
        <f>IF($T36="","",IF($S36="S",IF(INDEX(Firms!$L$5:$L$1004,$T36)="","",INDEX(Firms!$L$5:$L$1004,$T36)),IF(INDEX('AFA Rates'!$K$5:$K$1004,$T36)="","",INDEX('AFA Rates'!$K$5:$K$1004,$T36))))</f>
        <v/>
      </c>
      <c r="N36" s="50">
        <f>IF($T36="","",IF($S36="S",IF(INDEX(Firms!$M$5:$M$1004,$T36)="","",INDEX(Firms!$M$5:$M$1004,$T36)),IF(INDEX('AFA Rates'!$L$5:$L$1004,$T36)="","",INDEX('AFA Rates'!$L$5:$L$1004,$T36))))</f>
        <v/>
      </c>
      <c r="O36" s="78">
        <f>IF(OR($T36="",$U36=""),"",IF(INDEX(Firms!$C$5:$C$1004,$U36)="","",INDEX(Firms!$C$5:$C$1004,$U36)))</f>
        <v/>
      </c>
      <c r="P36" s="79">
        <f>IF(OR($T36="",$U36=""),"",IF(INDEX(Firms!$N$5:$N$1004,$U36)="","",INDEX(Firms!$N$5:$N$1004,$U36)))</f>
        <v/>
      </c>
      <c r="Q36" s="78">
        <f>IF($T36="","",IF($S36="S",IF(INDEX(Firms!$T$5:$T$1004,$T36)="","",INDEX(Firms!$T$5:$T$1004,$T36)),IF(INDEX('AFA Rates'!$M$5:$M$1004,$T36)="","",INDEX('AFA Rates'!$M$5:$M$1004,$T36))))</f>
        <v/>
      </c>
      <c r="S36">
        <f>IF(32&lt;=$S$2,"S",IF(32&lt;=$S$2+$T$2,"A",""))</f>
        <v/>
      </c>
      <c r="T36">
        <f>IF(S36="S",MATCH(32,Firms!$W$5:$W$1004,0),IF(S36="A",IFERROR(MATCH(32-$S$2,'AFA Rates'!$R$5:$R$1004,0),""),""))</f>
        <v/>
      </c>
      <c r="U36">
        <f>IF(S36="S",T36,IF(AND(S36="A",T36&lt;&gt;""),IFERROR(MATCH(INDEX('AFA Rates'!$A$5:$A$1004,T36),Firms!$A$5:$A$1004,0),""),""))</f>
        <v/>
      </c>
    </row>
    <row r="37">
      <c r="A37" s="78">
        <f>IF($T37="","",IF($S37="S",IF(INDEX(Firms!$A$5:$A$1004,$T37)="","",INDEX(Firms!$A$5:$A$1004,$T37)),IF(INDEX('AFA Rates'!$A$5:$A$1004,$T37)="","",INDEX('AFA Rates'!$A$5:$A$1004,$T37))))</f>
        <v/>
      </c>
      <c r="B37" s="79">
        <f>IF(OR($T37="",$U37=""),IF($T37="","","Not on Firms tab"),INDEX(Firms!$B$5:$B$1004,$U37)&amp;"")</f>
        <v/>
      </c>
      <c r="C37" s="78">
        <f>IF($T37="","",IF($S37="S","Standard",INDEX('AFA Rates'!$B$5:$B$1004,$T37)&amp;""))</f>
        <v/>
      </c>
      <c r="D37" s="88">
        <f>IF($T37="","",IF($S37="S",IF(INDEX(Firms!$E$5:$E$1004,$T37)="","",INDEX(Firms!$E$5:$E$1004,$T37)),IF(INDEX('AFA Rates'!$C$5:$C$1004,$T37)="","",INDEX('AFA Rates'!$C$5:$C$1004,$T37))))</f>
        <v/>
      </c>
      <c r="E37" s="88">
        <f>IF($T37="","",IF($S37="S",IF(""="","",""),IF(INDEX('AFA Rates'!$D$5:$D$1004,$T37)="","",INDEX('AFA Rates'!$D$5:$D$1004,$T37))))</f>
        <v/>
      </c>
      <c r="F37" s="79">
        <f>IF($T37="","",IF($S37="S",IF(INDEX(Firms!$O$5:$O$1004,$T37)="","",INDEX(Firms!$O$5:$O$1004,$T37)),IF(INDEX('AFA Rates'!$O$5:$O$1004,$T37)="","",INDEX('AFA Rates'!$O$5:$O$1004,$T37))))</f>
        <v/>
      </c>
      <c r="G37" s="50">
        <f>IF($T37="","",IF($S37="S",IF(INDEX(Firms!$F$5:$F$1004,$T37)="","",INDEX(Firms!$F$5:$F$1004,$T37)),IF(INDEX('AFA Rates'!$E$5:$E$1004,$T37)="","",INDEX('AFA Rates'!$E$5:$E$1004,$T37))))</f>
        <v/>
      </c>
      <c r="H37" s="50">
        <f>IF($T37="","",IF($S37="S",IF(INDEX(Firms!$G$5:$G$1004,$T37)="","",INDEX(Firms!$G$5:$G$1004,$T37)),IF(INDEX('AFA Rates'!$F$5:$F$1004,$T37)="","",INDEX('AFA Rates'!$F$5:$F$1004,$T37))))</f>
        <v/>
      </c>
      <c r="I37" s="50">
        <f>IF($T37="","",IF($S37="S",IF(INDEX(Firms!$H$5:$H$1004,$T37)="","",INDEX(Firms!$H$5:$H$1004,$T37)),IF(INDEX('AFA Rates'!$G$5:$G$1004,$T37)="","",INDEX('AFA Rates'!$G$5:$G$1004,$T37))))</f>
        <v/>
      </c>
      <c r="J37" s="50">
        <f>IF($T37="","",IF($S37="S",IF(INDEX(Firms!$I$5:$I$1004,$T37)="","",INDEX(Firms!$I$5:$I$1004,$T37)),IF(INDEX('AFA Rates'!$H$5:$H$1004,$T37)="","",INDEX('AFA Rates'!$H$5:$H$1004,$T37))))</f>
        <v/>
      </c>
      <c r="K37" s="50">
        <f>IF($T37="","",IF($S37="S",IF(INDEX(Firms!$J$5:$J$1004,$T37)="","",INDEX(Firms!$J$5:$J$1004,$T37)),IF(INDEX('AFA Rates'!$I$5:$I$1004,$T37)="","",INDEX('AFA Rates'!$I$5:$I$1004,$T37))))</f>
        <v/>
      </c>
      <c r="L37" s="50">
        <f>IF($T37="","",IF($S37="S",IF(INDEX(Firms!$K$5:$K$1004,$T37)="","",INDEX(Firms!$K$5:$K$1004,$T37)),IF(INDEX('AFA Rates'!$J$5:$J$1004,$T37)="","",INDEX('AFA Rates'!$J$5:$J$1004,$T37))))</f>
        <v/>
      </c>
      <c r="M37" s="50">
        <f>IF($T37="","",IF($S37="S",IF(INDEX(Firms!$L$5:$L$1004,$T37)="","",INDEX(Firms!$L$5:$L$1004,$T37)),IF(INDEX('AFA Rates'!$K$5:$K$1004,$T37)="","",INDEX('AFA Rates'!$K$5:$K$1004,$T37))))</f>
        <v/>
      </c>
      <c r="N37" s="50">
        <f>IF($T37="","",IF($S37="S",IF(INDEX(Firms!$M$5:$M$1004,$T37)="","",INDEX(Firms!$M$5:$M$1004,$T37)),IF(INDEX('AFA Rates'!$L$5:$L$1004,$T37)="","",INDEX('AFA Rates'!$L$5:$L$1004,$T37))))</f>
        <v/>
      </c>
      <c r="O37" s="78">
        <f>IF(OR($T37="",$U37=""),"",IF(INDEX(Firms!$C$5:$C$1004,$U37)="","",INDEX(Firms!$C$5:$C$1004,$U37)))</f>
        <v/>
      </c>
      <c r="P37" s="79">
        <f>IF(OR($T37="",$U37=""),"",IF(INDEX(Firms!$N$5:$N$1004,$U37)="","",INDEX(Firms!$N$5:$N$1004,$U37)))</f>
        <v/>
      </c>
      <c r="Q37" s="78">
        <f>IF($T37="","",IF($S37="S",IF(INDEX(Firms!$T$5:$T$1004,$T37)="","",INDEX(Firms!$T$5:$T$1004,$T37)),IF(INDEX('AFA Rates'!$M$5:$M$1004,$T37)="","",INDEX('AFA Rates'!$M$5:$M$1004,$T37))))</f>
        <v/>
      </c>
      <c r="S37">
        <f>IF(33&lt;=$S$2,"S",IF(33&lt;=$S$2+$T$2,"A",""))</f>
        <v/>
      </c>
      <c r="T37">
        <f>IF(S37="S",MATCH(33,Firms!$W$5:$W$1004,0),IF(S37="A",IFERROR(MATCH(33-$S$2,'AFA Rates'!$R$5:$R$1004,0),""),""))</f>
        <v/>
      </c>
      <c r="U37">
        <f>IF(S37="S",T37,IF(AND(S37="A",T37&lt;&gt;""),IFERROR(MATCH(INDEX('AFA Rates'!$A$5:$A$1004,T37),Firms!$A$5:$A$1004,0),""),""))</f>
        <v/>
      </c>
    </row>
    <row r="38">
      <c r="A38" s="78">
        <f>IF($T38="","",IF($S38="S",IF(INDEX(Firms!$A$5:$A$1004,$T38)="","",INDEX(Firms!$A$5:$A$1004,$T38)),IF(INDEX('AFA Rates'!$A$5:$A$1004,$T38)="","",INDEX('AFA Rates'!$A$5:$A$1004,$T38))))</f>
        <v/>
      </c>
      <c r="B38" s="79">
        <f>IF(OR($T38="",$U38=""),IF($T38="","","Not on Firms tab"),INDEX(Firms!$B$5:$B$1004,$U38)&amp;"")</f>
        <v/>
      </c>
      <c r="C38" s="78">
        <f>IF($T38="","",IF($S38="S","Standard",INDEX('AFA Rates'!$B$5:$B$1004,$T38)&amp;""))</f>
        <v/>
      </c>
      <c r="D38" s="88">
        <f>IF($T38="","",IF($S38="S",IF(INDEX(Firms!$E$5:$E$1004,$T38)="","",INDEX(Firms!$E$5:$E$1004,$T38)),IF(INDEX('AFA Rates'!$C$5:$C$1004,$T38)="","",INDEX('AFA Rates'!$C$5:$C$1004,$T38))))</f>
        <v/>
      </c>
      <c r="E38" s="88">
        <f>IF($T38="","",IF($S38="S",IF(""="","",""),IF(INDEX('AFA Rates'!$D$5:$D$1004,$T38)="","",INDEX('AFA Rates'!$D$5:$D$1004,$T38))))</f>
        <v/>
      </c>
      <c r="F38" s="79">
        <f>IF($T38="","",IF($S38="S",IF(INDEX(Firms!$O$5:$O$1004,$T38)="","",INDEX(Firms!$O$5:$O$1004,$T38)),IF(INDEX('AFA Rates'!$O$5:$O$1004,$T38)="","",INDEX('AFA Rates'!$O$5:$O$1004,$T38))))</f>
        <v/>
      </c>
      <c r="G38" s="50">
        <f>IF($T38="","",IF($S38="S",IF(INDEX(Firms!$F$5:$F$1004,$T38)="","",INDEX(Firms!$F$5:$F$1004,$T38)),IF(INDEX('AFA Rates'!$E$5:$E$1004,$T38)="","",INDEX('AFA Rates'!$E$5:$E$1004,$T38))))</f>
        <v/>
      </c>
      <c r="H38" s="50">
        <f>IF($T38="","",IF($S38="S",IF(INDEX(Firms!$G$5:$G$1004,$T38)="","",INDEX(Firms!$G$5:$G$1004,$T38)),IF(INDEX('AFA Rates'!$F$5:$F$1004,$T38)="","",INDEX('AFA Rates'!$F$5:$F$1004,$T38))))</f>
        <v/>
      </c>
      <c r="I38" s="50">
        <f>IF($T38="","",IF($S38="S",IF(INDEX(Firms!$H$5:$H$1004,$T38)="","",INDEX(Firms!$H$5:$H$1004,$T38)),IF(INDEX('AFA Rates'!$G$5:$G$1004,$T38)="","",INDEX('AFA Rates'!$G$5:$G$1004,$T38))))</f>
        <v/>
      </c>
      <c r="J38" s="50">
        <f>IF($T38="","",IF($S38="S",IF(INDEX(Firms!$I$5:$I$1004,$T38)="","",INDEX(Firms!$I$5:$I$1004,$T38)),IF(INDEX('AFA Rates'!$H$5:$H$1004,$T38)="","",INDEX('AFA Rates'!$H$5:$H$1004,$T38))))</f>
        <v/>
      </c>
      <c r="K38" s="50">
        <f>IF($T38="","",IF($S38="S",IF(INDEX(Firms!$J$5:$J$1004,$T38)="","",INDEX(Firms!$J$5:$J$1004,$T38)),IF(INDEX('AFA Rates'!$I$5:$I$1004,$T38)="","",INDEX('AFA Rates'!$I$5:$I$1004,$T38))))</f>
        <v/>
      </c>
      <c r="L38" s="50">
        <f>IF($T38="","",IF($S38="S",IF(INDEX(Firms!$K$5:$K$1004,$T38)="","",INDEX(Firms!$K$5:$K$1004,$T38)),IF(INDEX('AFA Rates'!$J$5:$J$1004,$T38)="","",INDEX('AFA Rates'!$J$5:$J$1004,$T38))))</f>
        <v/>
      </c>
      <c r="M38" s="50">
        <f>IF($T38="","",IF($S38="S",IF(INDEX(Firms!$L$5:$L$1004,$T38)="","",INDEX(Firms!$L$5:$L$1004,$T38)),IF(INDEX('AFA Rates'!$K$5:$K$1004,$T38)="","",INDEX('AFA Rates'!$K$5:$K$1004,$T38))))</f>
        <v/>
      </c>
      <c r="N38" s="50">
        <f>IF($T38="","",IF($S38="S",IF(INDEX(Firms!$M$5:$M$1004,$T38)="","",INDEX(Firms!$M$5:$M$1004,$T38)),IF(INDEX('AFA Rates'!$L$5:$L$1004,$T38)="","",INDEX('AFA Rates'!$L$5:$L$1004,$T38))))</f>
        <v/>
      </c>
      <c r="O38" s="78">
        <f>IF(OR($T38="",$U38=""),"",IF(INDEX(Firms!$C$5:$C$1004,$U38)="","",INDEX(Firms!$C$5:$C$1004,$U38)))</f>
        <v/>
      </c>
      <c r="P38" s="79">
        <f>IF(OR($T38="",$U38=""),"",IF(INDEX(Firms!$N$5:$N$1004,$U38)="","",INDEX(Firms!$N$5:$N$1004,$U38)))</f>
        <v/>
      </c>
      <c r="Q38" s="78">
        <f>IF($T38="","",IF($S38="S",IF(INDEX(Firms!$T$5:$T$1004,$T38)="","",INDEX(Firms!$T$5:$T$1004,$T38)),IF(INDEX('AFA Rates'!$M$5:$M$1004,$T38)="","",INDEX('AFA Rates'!$M$5:$M$1004,$T38))))</f>
        <v/>
      </c>
      <c r="S38">
        <f>IF(34&lt;=$S$2,"S",IF(34&lt;=$S$2+$T$2,"A",""))</f>
        <v/>
      </c>
      <c r="T38">
        <f>IF(S38="S",MATCH(34,Firms!$W$5:$W$1004,0),IF(S38="A",IFERROR(MATCH(34-$S$2,'AFA Rates'!$R$5:$R$1004,0),""),""))</f>
        <v/>
      </c>
      <c r="U38">
        <f>IF(S38="S",T38,IF(AND(S38="A",T38&lt;&gt;""),IFERROR(MATCH(INDEX('AFA Rates'!$A$5:$A$1004,T38),Firms!$A$5:$A$1004,0),""),""))</f>
        <v/>
      </c>
    </row>
    <row r="39">
      <c r="A39" s="78">
        <f>IF($T39="","",IF($S39="S",IF(INDEX(Firms!$A$5:$A$1004,$T39)="","",INDEX(Firms!$A$5:$A$1004,$T39)),IF(INDEX('AFA Rates'!$A$5:$A$1004,$T39)="","",INDEX('AFA Rates'!$A$5:$A$1004,$T39))))</f>
        <v/>
      </c>
      <c r="B39" s="79">
        <f>IF(OR($T39="",$U39=""),IF($T39="","","Not on Firms tab"),INDEX(Firms!$B$5:$B$1004,$U39)&amp;"")</f>
        <v/>
      </c>
      <c r="C39" s="78">
        <f>IF($T39="","",IF($S39="S","Standard",INDEX('AFA Rates'!$B$5:$B$1004,$T39)&amp;""))</f>
        <v/>
      </c>
      <c r="D39" s="88">
        <f>IF($T39="","",IF($S39="S",IF(INDEX(Firms!$E$5:$E$1004,$T39)="","",INDEX(Firms!$E$5:$E$1004,$T39)),IF(INDEX('AFA Rates'!$C$5:$C$1004,$T39)="","",INDEX('AFA Rates'!$C$5:$C$1004,$T39))))</f>
        <v/>
      </c>
      <c r="E39" s="88">
        <f>IF($T39="","",IF($S39="S",IF(""="","",""),IF(INDEX('AFA Rates'!$D$5:$D$1004,$T39)="","",INDEX('AFA Rates'!$D$5:$D$1004,$T39))))</f>
        <v/>
      </c>
      <c r="F39" s="79">
        <f>IF($T39="","",IF($S39="S",IF(INDEX(Firms!$O$5:$O$1004,$T39)="","",INDEX(Firms!$O$5:$O$1004,$T39)),IF(INDEX('AFA Rates'!$O$5:$O$1004,$T39)="","",INDEX('AFA Rates'!$O$5:$O$1004,$T39))))</f>
        <v/>
      </c>
      <c r="G39" s="50">
        <f>IF($T39="","",IF($S39="S",IF(INDEX(Firms!$F$5:$F$1004,$T39)="","",INDEX(Firms!$F$5:$F$1004,$T39)),IF(INDEX('AFA Rates'!$E$5:$E$1004,$T39)="","",INDEX('AFA Rates'!$E$5:$E$1004,$T39))))</f>
        <v/>
      </c>
      <c r="H39" s="50">
        <f>IF($T39="","",IF($S39="S",IF(INDEX(Firms!$G$5:$G$1004,$T39)="","",INDEX(Firms!$G$5:$G$1004,$T39)),IF(INDEX('AFA Rates'!$F$5:$F$1004,$T39)="","",INDEX('AFA Rates'!$F$5:$F$1004,$T39))))</f>
        <v/>
      </c>
      <c r="I39" s="50">
        <f>IF($T39="","",IF($S39="S",IF(INDEX(Firms!$H$5:$H$1004,$T39)="","",INDEX(Firms!$H$5:$H$1004,$T39)),IF(INDEX('AFA Rates'!$G$5:$G$1004,$T39)="","",INDEX('AFA Rates'!$G$5:$G$1004,$T39))))</f>
        <v/>
      </c>
      <c r="J39" s="50">
        <f>IF($T39="","",IF($S39="S",IF(INDEX(Firms!$I$5:$I$1004,$T39)="","",INDEX(Firms!$I$5:$I$1004,$T39)),IF(INDEX('AFA Rates'!$H$5:$H$1004,$T39)="","",INDEX('AFA Rates'!$H$5:$H$1004,$T39))))</f>
        <v/>
      </c>
      <c r="K39" s="50">
        <f>IF($T39="","",IF($S39="S",IF(INDEX(Firms!$J$5:$J$1004,$T39)="","",INDEX(Firms!$J$5:$J$1004,$T39)),IF(INDEX('AFA Rates'!$I$5:$I$1004,$T39)="","",INDEX('AFA Rates'!$I$5:$I$1004,$T39))))</f>
        <v/>
      </c>
      <c r="L39" s="50">
        <f>IF($T39="","",IF($S39="S",IF(INDEX(Firms!$K$5:$K$1004,$T39)="","",INDEX(Firms!$K$5:$K$1004,$T39)),IF(INDEX('AFA Rates'!$J$5:$J$1004,$T39)="","",INDEX('AFA Rates'!$J$5:$J$1004,$T39))))</f>
        <v/>
      </c>
      <c r="M39" s="50">
        <f>IF($T39="","",IF($S39="S",IF(INDEX(Firms!$L$5:$L$1004,$T39)="","",INDEX(Firms!$L$5:$L$1004,$T39)),IF(INDEX('AFA Rates'!$K$5:$K$1004,$T39)="","",INDEX('AFA Rates'!$K$5:$K$1004,$T39))))</f>
        <v/>
      </c>
      <c r="N39" s="50">
        <f>IF($T39="","",IF($S39="S",IF(INDEX(Firms!$M$5:$M$1004,$T39)="","",INDEX(Firms!$M$5:$M$1004,$T39)),IF(INDEX('AFA Rates'!$L$5:$L$1004,$T39)="","",INDEX('AFA Rates'!$L$5:$L$1004,$T39))))</f>
        <v/>
      </c>
      <c r="O39" s="78">
        <f>IF(OR($T39="",$U39=""),"",IF(INDEX(Firms!$C$5:$C$1004,$U39)="","",INDEX(Firms!$C$5:$C$1004,$U39)))</f>
        <v/>
      </c>
      <c r="P39" s="79">
        <f>IF(OR($T39="",$U39=""),"",IF(INDEX(Firms!$N$5:$N$1004,$U39)="","",INDEX(Firms!$N$5:$N$1004,$U39)))</f>
        <v/>
      </c>
      <c r="Q39" s="78">
        <f>IF($T39="","",IF($S39="S",IF(INDEX(Firms!$T$5:$T$1004,$T39)="","",INDEX(Firms!$T$5:$T$1004,$T39)),IF(INDEX('AFA Rates'!$M$5:$M$1004,$T39)="","",INDEX('AFA Rates'!$M$5:$M$1004,$T39))))</f>
        <v/>
      </c>
      <c r="S39">
        <f>IF(35&lt;=$S$2,"S",IF(35&lt;=$S$2+$T$2,"A",""))</f>
        <v/>
      </c>
      <c r="T39">
        <f>IF(S39="S",MATCH(35,Firms!$W$5:$W$1004,0),IF(S39="A",IFERROR(MATCH(35-$S$2,'AFA Rates'!$R$5:$R$1004,0),""),""))</f>
        <v/>
      </c>
      <c r="U39">
        <f>IF(S39="S",T39,IF(AND(S39="A",T39&lt;&gt;""),IFERROR(MATCH(INDEX('AFA Rates'!$A$5:$A$1004,T39),Firms!$A$5:$A$1004,0),""),""))</f>
        <v/>
      </c>
    </row>
    <row r="40">
      <c r="A40" s="78">
        <f>IF($T40="","",IF($S40="S",IF(INDEX(Firms!$A$5:$A$1004,$T40)="","",INDEX(Firms!$A$5:$A$1004,$T40)),IF(INDEX('AFA Rates'!$A$5:$A$1004,$T40)="","",INDEX('AFA Rates'!$A$5:$A$1004,$T40))))</f>
        <v/>
      </c>
      <c r="B40" s="79">
        <f>IF(OR($T40="",$U40=""),IF($T40="","","Not on Firms tab"),INDEX(Firms!$B$5:$B$1004,$U40)&amp;"")</f>
        <v/>
      </c>
      <c r="C40" s="78">
        <f>IF($T40="","",IF($S40="S","Standard",INDEX('AFA Rates'!$B$5:$B$1004,$T40)&amp;""))</f>
        <v/>
      </c>
      <c r="D40" s="88">
        <f>IF($T40="","",IF($S40="S",IF(INDEX(Firms!$E$5:$E$1004,$T40)="","",INDEX(Firms!$E$5:$E$1004,$T40)),IF(INDEX('AFA Rates'!$C$5:$C$1004,$T40)="","",INDEX('AFA Rates'!$C$5:$C$1004,$T40))))</f>
        <v/>
      </c>
      <c r="E40" s="88">
        <f>IF($T40="","",IF($S40="S",IF(""="","",""),IF(INDEX('AFA Rates'!$D$5:$D$1004,$T40)="","",INDEX('AFA Rates'!$D$5:$D$1004,$T40))))</f>
        <v/>
      </c>
      <c r="F40" s="79">
        <f>IF($T40="","",IF($S40="S",IF(INDEX(Firms!$O$5:$O$1004,$T40)="","",INDEX(Firms!$O$5:$O$1004,$T40)),IF(INDEX('AFA Rates'!$O$5:$O$1004,$T40)="","",INDEX('AFA Rates'!$O$5:$O$1004,$T40))))</f>
        <v/>
      </c>
      <c r="G40" s="50">
        <f>IF($T40="","",IF($S40="S",IF(INDEX(Firms!$F$5:$F$1004,$T40)="","",INDEX(Firms!$F$5:$F$1004,$T40)),IF(INDEX('AFA Rates'!$E$5:$E$1004,$T40)="","",INDEX('AFA Rates'!$E$5:$E$1004,$T40))))</f>
        <v/>
      </c>
      <c r="H40" s="50">
        <f>IF($T40="","",IF($S40="S",IF(INDEX(Firms!$G$5:$G$1004,$T40)="","",INDEX(Firms!$G$5:$G$1004,$T40)),IF(INDEX('AFA Rates'!$F$5:$F$1004,$T40)="","",INDEX('AFA Rates'!$F$5:$F$1004,$T40))))</f>
        <v/>
      </c>
      <c r="I40" s="50">
        <f>IF($T40="","",IF($S40="S",IF(INDEX(Firms!$H$5:$H$1004,$T40)="","",INDEX(Firms!$H$5:$H$1004,$T40)),IF(INDEX('AFA Rates'!$G$5:$G$1004,$T40)="","",INDEX('AFA Rates'!$G$5:$G$1004,$T40))))</f>
        <v/>
      </c>
      <c r="J40" s="50">
        <f>IF($T40="","",IF($S40="S",IF(INDEX(Firms!$I$5:$I$1004,$T40)="","",INDEX(Firms!$I$5:$I$1004,$T40)),IF(INDEX('AFA Rates'!$H$5:$H$1004,$T40)="","",INDEX('AFA Rates'!$H$5:$H$1004,$T40))))</f>
        <v/>
      </c>
      <c r="K40" s="50">
        <f>IF($T40="","",IF($S40="S",IF(INDEX(Firms!$J$5:$J$1004,$T40)="","",INDEX(Firms!$J$5:$J$1004,$T40)),IF(INDEX('AFA Rates'!$I$5:$I$1004,$T40)="","",INDEX('AFA Rates'!$I$5:$I$1004,$T40))))</f>
        <v/>
      </c>
      <c r="L40" s="50">
        <f>IF($T40="","",IF($S40="S",IF(INDEX(Firms!$K$5:$K$1004,$T40)="","",INDEX(Firms!$K$5:$K$1004,$T40)),IF(INDEX('AFA Rates'!$J$5:$J$1004,$T40)="","",INDEX('AFA Rates'!$J$5:$J$1004,$T40))))</f>
        <v/>
      </c>
      <c r="M40" s="50">
        <f>IF($T40="","",IF($S40="S",IF(INDEX(Firms!$L$5:$L$1004,$T40)="","",INDEX(Firms!$L$5:$L$1004,$T40)),IF(INDEX('AFA Rates'!$K$5:$K$1004,$T40)="","",INDEX('AFA Rates'!$K$5:$K$1004,$T40))))</f>
        <v/>
      </c>
      <c r="N40" s="50">
        <f>IF($T40="","",IF($S40="S",IF(INDEX(Firms!$M$5:$M$1004,$T40)="","",INDEX(Firms!$M$5:$M$1004,$T40)),IF(INDEX('AFA Rates'!$L$5:$L$1004,$T40)="","",INDEX('AFA Rates'!$L$5:$L$1004,$T40))))</f>
        <v/>
      </c>
      <c r="O40" s="78">
        <f>IF(OR($T40="",$U40=""),"",IF(INDEX(Firms!$C$5:$C$1004,$U40)="","",INDEX(Firms!$C$5:$C$1004,$U40)))</f>
        <v/>
      </c>
      <c r="P40" s="79">
        <f>IF(OR($T40="",$U40=""),"",IF(INDEX(Firms!$N$5:$N$1004,$U40)="","",INDEX(Firms!$N$5:$N$1004,$U40)))</f>
        <v/>
      </c>
      <c r="Q40" s="78">
        <f>IF($T40="","",IF($S40="S",IF(INDEX(Firms!$T$5:$T$1004,$T40)="","",INDEX(Firms!$T$5:$T$1004,$T40)),IF(INDEX('AFA Rates'!$M$5:$M$1004,$T40)="","",INDEX('AFA Rates'!$M$5:$M$1004,$T40))))</f>
        <v/>
      </c>
      <c r="S40">
        <f>IF(36&lt;=$S$2,"S",IF(36&lt;=$S$2+$T$2,"A",""))</f>
        <v/>
      </c>
      <c r="T40">
        <f>IF(S40="S",MATCH(36,Firms!$W$5:$W$1004,0),IF(S40="A",IFERROR(MATCH(36-$S$2,'AFA Rates'!$R$5:$R$1004,0),""),""))</f>
        <v/>
      </c>
      <c r="U40">
        <f>IF(S40="S",T40,IF(AND(S40="A",T40&lt;&gt;""),IFERROR(MATCH(INDEX('AFA Rates'!$A$5:$A$1004,T40),Firms!$A$5:$A$1004,0),""),""))</f>
        <v/>
      </c>
    </row>
    <row r="41">
      <c r="A41" s="78">
        <f>IF($T41="","",IF($S41="S",IF(INDEX(Firms!$A$5:$A$1004,$T41)="","",INDEX(Firms!$A$5:$A$1004,$T41)),IF(INDEX('AFA Rates'!$A$5:$A$1004,$T41)="","",INDEX('AFA Rates'!$A$5:$A$1004,$T41))))</f>
        <v/>
      </c>
      <c r="B41" s="79">
        <f>IF(OR($T41="",$U41=""),IF($T41="","","Not on Firms tab"),INDEX(Firms!$B$5:$B$1004,$U41)&amp;"")</f>
        <v/>
      </c>
      <c r="C41" s="78">
        <f>IF($T41="","",IF($S41="S","Standard",INDEX('AFA Rates'!$B$5:$B$1004,$T41)&amp;""))</f>
        <v/>
      </c>
      <c r="D41" s="88">
        <f>IF($T41="","",IF($S41="S",IF(INDEX(Firms!$E$5:$E$1004,$T41)="","",INDEX(Firms!$E$5:$E$1004,$T41)),IF(INDEX('AFA Rates'!$C$5:$C$1004,$T41)="","",INDEX('AFA Rates'!$C$5:$C$1004,$T41))))</f>
        <v/>
      </c>
      <c r="E41" s="88">
        <f>IF($T41="","",IF($S41="S",IF(""="","",""),IF(INDEX('AFA Rates'!$D$5:$D$1004,$T41)="","",INDEX('AFA Rates'!$D$5:$D$1004,$T41))))</f>
        <v/>
      </c>
      <c r="F41" s="79">
        <f>IF($T41="","",IF($S41="S",IF(INDEX(Firms!$O$5:$O$1004,$T41)="","",INDEX(Firms!$O$5:$O$1004,$T41)),IF(INDEX('AFA Rates'!$O$5:$O$1004,$T41)="","",INDEX('AFA Rates'!$O$5:$O$1004,$T41))))</f>
        <v/>
      </c>
      <c r="G41" s="50">
        <f>IF($T41="","",IF($S41="S",IF(INDEX(Firms!$F$5:$F$1004,$T41)="","",INDEX(Firms!$F$5:$F$1004,$T41)),IF(INDEX('AFA Rates'!$E$5:$E$1004,$T41)="","",INDEX('AFA Rates'!$E$5:$E$1004,$T41))))</f>
        <v/>
      </c>
      <c r="H41" s="50">
        <f>IF($T41="","",IF($S41="S",IF(INDEX(Firms!$G$5:$G$1004,$T41)="","",INDEX(Firms!$G$5:$G$1004,$T41)),IF(INDEX('AFA Rates'!$F$5:$F$1004,$T41)="","",INDEX('AFA Rates'!$F$5:$F$1004,$T41))))</f>
        <v/>
      </c>
      <c r="I41" s="50">
        <f>IF($T41="","",IF($S41="S",IF(INDEX(Firms!$H$5:$H$1004,$T41)="","",INDEX(Firms!$H$5:$H$1004,$T41)),IF(INDEX('AFA Rates'!$G$5:$G$1004,$T41)="","",INDEX('AFA Rates'!$G$5:$G$1004,$T41))))</f>
        <v/>
      </c>
      <c r="J41" s="50">
        <f>IF($T41="","",IF($S41="S",IF(INDEX(Firms!$I$5:$I$1004,$T41)="","",INDEX(Firms!$I$5:$I$1004,$T41)),IF(INDEX('AFA Rates'!$H$5:$H$1004,$T41)="","",INDEX('AFA Rates'!$H$5:$H$1004,$T41))))</f>
        <v/>
      </c>
      <c r="K41" s="50">
        <f>IF($T41="","",IF($S41="S",IF(INDEX(Firms!$J$5:$J$1004,$T41)="","",INDEX(Firms!$J$5:$J$1004,$T41)),IF(INDEX('AFA Rates'!$I$5:$I$1004,$T41)="","",INDEX('AFA Rates'!$I$5:$I$1004,$T41))))</f>
        <v/>
      </c>
      <c r="L41" s="50">
        <f>IF($T41="","",IF($S41="S",IF(INDEX(Firms!$K$5:$K$1004,$T41)="","",INDEX(Firms!$K$5:$K$1004,$T41)),IF(INDEX('AFA Rates'!$J$5:$J$1004,$T41)="","",INDEX('AFA Rates'!$J$5:$J$1004,$T41))))</f>
        <v/>
      </c>
      <c r="M41" s="50">
        <f>IF($T41="","",IF($S41="S",IF(INDEX(Firms!$L$5:$L$1004,$T41)="","",INDEX(Firms!$L$5:$L$1004,$T41)),IF(INDEX('AFA Rates'!$K$5:$K$1004,$T41)="","",INDEX('AFA Rates'!$K$5:$K$1004,$T41))))</f>
        <v/>
      </c>
      <c r="N41" s="50">
        <f>IF($T41="","",IF($S41="S",IF(INDEX(Firms!$M$5:$M$1004,$T41)="","",INDEX(Firms!$M$5:$M$1004,$T41)),IF(INDEX('AFA Rates'!$L$5:$L$1004,$T41)="","",INDEX('AFA Rates'!$L$5:$L$1004,$T41))))</f>
        <v/>
      </c>
      <c r="O41" s="78">
        <f>IF(OR($T41="",$U41=""),"",IF(INDEX(Firms!$C$5:$C$1004,$U41)="","",INDEX(Firms!$C$5:$C$1004,$U41)))</f>
        <v/>
      </c>
      <c r="P41" s="79">
        <f>IF(OR($T41="",$U41=""),"",IF(INDEX(Firms!$N$5:$N$1004,$U41)="","",INDEX(Firms!$N$5:$N$1004,$U41)))</f>
        <v/>
      </c>
      <c r="Q41" s="78">
        <f>IF($T41="","",IF($S41="S",IF(INDEX(Firms!$T$5:$T$1004,$T41)="","",INDEX(Firms!$T$5:$T$1004,$T41)),IF(INDEX('AFA Rates'!$M$5:$M$1004,$T41)="","",INDEX('AFA Rates'!$M$5:$M$1004,$T41))))</f>
        <v/>
      </c>
      <c r="S41">
        <f>IF(37&lt;=$S$2,"S",IF(37&lt;=$S$2+$T$2,"A",""))</f>
        <v/>
      </c>
      <c r="T41">
        <f>IF(S41="S",MATCH(37,Firms!$W$5:$W$1004,0),IF(S41="A",IFERROR(MATCH(37-$S$2,'AFA Rates'!$R$5:$R$1004,0),""),""))</f>
        <v/>
      </c>
      <c r="U41">
        <f>IF(S41="S",T41,IF(AND(S41="A",T41&lt;&gt;""),IFERROR(MATCH(INDEX('AFA Rates'!$A$5:$A$1004,T41),Firms!$A$5:$A$1004,0),""),""))</f>
        <v/>
      </c>
    </row>
    <row r="42">
      <c r="A42" s="78">
        <f>IF($T42="","",IF($S42="S",IF(INDEX(Firms!$A$5:$A$1004,$T42)="","",INDEX(Firms!$A$5:$A$1004,$T42)),IF(INDEX('AFA Rates'!$A$5:$A$1004,$T42)="","",INDEX('AFA Rates'!$A$5:$A$1004,$T42))))</f>
        <v/>
      </c>
      <c r="B42" s="79">
        <f>IF(OR($T42="",$U42=""),IF($T42="","","Not on Firms tab"),INDEX(Firms!$B$5:$B$1004,$U42)&amp;"")</f>
        <v/>
      </c>
      <c r="C42" s="78">
        <f>IF($T42="","",IF($S42="S","Standard",INDEX('AFA Rates'!$B$5:$B$1004,$T42)&amp;""))</f>
        <v/>
      </c>
      <c r="D42" s="88">
        <f>IF($T42="","",IF($S42="S",IF(INDEX(Firms!$E$5:$E$1004,$T42)="","",INDEX(Firms!$E$5:$E$1004,$T42)),IF(INDEX('AFA Rates'!$C$5:$C$1004,$T42)="","",INDEX('AFA Rates'!$C$5:$C$1004,$T42))))</f>
        <v/>
      </c>
      <c r="E42" s="88">
        <f>IF($T42="","",IF($S42="S",IF(""="","",""),IF(INDEX('AFA Rates'!$D$5:$D$1004,$T42)="","",INDEX('AFA Rates'!$D$5:$D$1004,$T42))))</f>
        <v/>
      </c>
      <c r="F42" s="79">
        <f>IF($T42="","",IF($S42="S",IF(INDEX(Firms!$O$5:$O$1004,$T42)="","",INDEX(Firms!$O$5:$O$1004,$T42)),IF(INDEX('AFA Rates'!$O$5:$O$1004,$T42)="","",INDEX('AFA Rates'!$O$5:$O$1004,$T42))))</f>
        <v/>
      </c>
      <c r="G42" s="50">
        <f>IF($T42="","",IF($S42="S",IF(INDEX(Firms!$F$5:$F$1004,$T42)="","",INDEX(Firms!$F$5:$F$1004,$T42)),IF(INDEX('AFA Rates'!$E$5:$E$1004,$T42)="","",INDEX('AFA Rates'!$E$5:$E$1004,$T42))))</f>
        <v/>
      </c>
      <c r="H42" s="50">
        <f>IF($T42="","",IF($S42="S",IF(INDEX(Firms!$G$5:$G$1004,$T42)="","",INDEX(Firms!$G$5:$G$1004,$T42)),IF(INDEX('AFA Rates'!$F$5:$F$1004,$T42)="","",INDEX('AFA Rates'!$F$5:$F$1004,$T42))))</f>
        <v/>
      </c>
      <c r="I42" s="50">
        <f>IF($T42="","",IF($S42="S",IF(INDEX(Firms!$H$5:$H$1004,$T42)="","",INDEX(Firms!$H$5:$H$1004,$T42)),IF(INDEX('AFA Rates'!$G$5:$G$1004,$T42)="","",INDEX('AFA Rates'!$G$5:$G$1004,$T42))))</f>
        <v/>
      </c>
      <c r="J42" s="50">
        <f>IF($T42="","",IF($S42="S",IF(INDEX(Firms!$I$5:$I$1004,$T42)="","",INDEX(Firms!$I$5:$I$1004,$T42)),IF(INDEX('AFA Rates'!$H$5:$H$1004,$T42)="","",INDEX('AFA Rates'!$H$5:$H$1004,$T42))))</f>
        <v/>
      </c>
      <c r="K42" s="50">
        <f>IF($T42="","",IF($S42="S",IF(INDEX(Firms!$J$5:$J$1004,$T42)="","",INDEX(Firms!$J$5:$J$1004,$T42)),IF(INDEX('AFA Rates'!$I$5:$I$1004,$T42)="","",INDEX('AFA Rates'!$I$5:$I$1004,$T42))))</f>
        <v/>
      </c>
      <c r="L42" s="50">
        <f>IF($T42="","",IF($S42="S",IF(INDEX(Firms!$K$5:$K$1004,$T42)="","",INDEX(Firms!$K$5:$K$1004,$T42)),IF(INDEX('AFA Rates'!$J$5:$J$1004,$T42)="","",INDEX('AFA Rates'!$J$5:$J$1004,$T42))))</f>
        <v/>
      </c>
      <c r="M42" s="50">
        <f>IF($T42="","",IF($S42="S",IF(INDEX(Firms!$L$5:$L$1004,$T42)="","",INDEX(Firms!$L$5:$L$1004,$T42)),IF(INDEX('AFA Rates'!$K$5:$K$1004,$T42)="","",INDEX('AFA Rates'!$K$5:$K$1004,$T42))))</f>
        <v/>
      </c>
      <c r="N42" s="50">
        <f>IF($T42="","",IF($S42="S",IF(INDEX(Firms!$M$5:$M$1004,$T42)="","",INDEX(Firms!$M$5:$M$1004,$T42)),IF(INDEX('AFA Rates'!$L$5:$L$1004,$T42)="","",INDEX('AFA Rates'!$L$5:$L$1004,$T42))))</f>
        <v/>
      </c>
      <c r="O42" s="78">
        <f>IF(OR($T42="",$U42=""),"",IF(INDEX(Firms!$C$5:$C$1004,$U42)="","",INDEX(Firms!$C$5:$C$1004,$U42)))</f>
        <v/>
      </c>
      <c r="P42" s="79">
        <f>IF(OR($T42="",$U42=""),"",IF(INDEX(Firms!$N$5:$N$1004,$U42)="","",INDEX(Firms!$N$5:$N$1004,$U42)))</f>
        <v/>
      </c>
      <c r="Q42" s="78">
        <f>IF($T42="","",IF($S42="S",IF(INDEX(Firms!$T$5:$T$1004,$T42)="","",INDEX(Firms!$T$5:$T$1004,$T42)),IF(INDEX('AFA Rates'!$M$5:$M$1004,$T42)="","",INDEX('AFA Rates'!$M$5:$M$1004,$T42))))</f>
        <v/>
      </c>
      <c r="S42">
        <f>IF(38&lt;=$S$2,"S",IF(38&lt;=$S$2+$T$2,"A",""))</f>
        <v/>
      </c>
      <c r="T42">
        <f>IF(S42="S",MATCH(38,Firms!$W$5:$W$1004,0),IF(S42="A",IFERROR(MATCH(38-$S$2,'AFA Rates'!$R$5:$R$1004,0),""),""))</f>
        <v/>
      </c>
      <c r="U42">
        <f>IF(S42="S",T42,IF(AND(S42="A",T42&lt;&gt;""),IFERROR(MATCH(INDEX('AFA Rates'!$A$5:$A$1004,T42),Firms!$A$5:$A$1004,0),""),""))</f>
        <v/>
      </c>
    </row>
    <row r="43">
      <c r="A43" s="78">
        <f>IF($T43="","",IF($S43="S",IF(INDEX(Firms!$A$5:$A$1004,$T43)="","",INDEX(Firms!$A$5:$A$1004,$T43)),IF(INDEX('AFA Rates'!$A$5:$A$1004,$T43)="","",INDEX('AFA Rates'!$A$5:$A$1004,$T43))))</f>
        <v/>
      </c>
      <c r="B43" s="79">
        <f>IF(OR($T43="",$U43=""),IF($T43="","","Not on Firms tab"),INDEX(Firms!$B$5:$B$1004,$U43)&amp;"")</f>
        <v/>
      </c>
      <c r="C43" s="78">
        <f>IF($T43="","",IF($S43="S","Standard",INDEX('AFA Rates'!$B$5:$B$1004,$T43)&amp;""))</f>
        <v/>
      </c>
      <c r="D43" s="88">
        <f>IF($T43="","",IF($S43="S",IF(INDEX(Firms!$E$5:$E$1004,$T43)="","",INDEX(Firms!$E$5:$E$1004,$T43)),IF(INDEX('AFA Rates'!$C$5:$C$1004,$T43)="","",INDEX('AFA Rates'!$C$5:$C$1004,$T43))))</f>
        <v/>
      </c>
      <c r="E43" s="88">
        <f>IF($T43="","",IF($S43="S",IF(""="","",""),IF(INDEX('AFA Rates'!$D$5:$D$1004,$T43)="","",INDEX('AFA Rates'!$D$5:$D$1004,$T43))))</f>
        <v/>
      </c>
      <c r="F43" s="79">
        <f>IF($T43="","",IF($S43="S",IF(INDEX(Firms!$O$5:$O$1004,$T43)="","",INDEX(Firms!$O$5:$O$1004,$T43)),IF(INDEX('AFA Rates'!$O$5:$O$1004,$T43)="","",INDEX('AFA Rates'!$O$5:$O$1004,$T43))))</f>
        <v/>
      </c>
      <c r="G43" s="50">
        <f>IF($T43="","",IF($S43="S",IF(INDEX(Firms!$F$5:$F$1004,$T43)="","",INDEX(Firms!$F$5:$F$1004,$T43)),IF(INDEX('AFA Rates'!$E$5:$E$1004,$T43)="","",INDEX('AFA Rates'!$E$5:$E$1004,$T43))))</f>
        <v/>
      </c>
      <c r="H43" s="50">
        <f>IF($T43="","",IF($S43="S",IF(INDEX(Firms!$G$5:$G$1004,$T43)="","",INDEX(Firms!$G$5:$G$1004,$T43)),IF(INDEX('AFA Rates'!$F$5:$F$1004,$T43)="","",INDEX('AFA Rates'!$F$5:$F$1004,$T43))))</f>
        <v/>
      </c>
      <c r="I43" s="50">
        <f>IF($T43="","",IF($S43="S",IF(INDEX(Firms!$H$5:$H$1004,$T43)="","",INDEX(Firms!$H$5:$H$1004,$T43)),IF(INDEX('AFA Rates'!$G$5:$G$1004,$T43)="","",INDEX('AFA Rates'!$G$5:$G$1004,$T43))))</f>
        <v/>
      </c>
      <c r="J43" s="50">
        <f>IF($T43="","",IF($S43="S",IF(INDEX(Firms!$I$5:$I$1004,$T43)="","",INDEX(Firms!$I$5:$I$1004,$T43)),IF(INDEX('AFA Rates'!$H$5:$H$1004,$T43)="","",INDEX('AFA Rates'!$H$5:$H$1004,$T43))))</f>
        <v/>
      </c>
      <c r="K43" s="50">
        <f>IF($T43="","",IF($S43="S",IF(INDEX(Firms!$J$5:$J$1004,$T43)="","",INDEX(Firms!$J$5:$J$1004,$T43)),IF(INDEX('AFA Rates'!$I$5:$I$1004,$T43)="","",INDEX('AFA Rates'!$I$5:$I$1004,$T43))))</f>
        <v/>
      </c>
      <c r="L43" s="50">
        <f>IF($T43="","",IF($S43="S",IF(INDEX(Firms!$K$5:$K$1004,$T43)="","",INDEX(Firms!$K$5:$K$1004,$T43)),IF(INDEX('AFA Rates'!$J$5:$J$1004,$T43)="","",INDEX('AFA Rates'!$J$5:$J$1004,$T43))))</f>
        <v/>
      </c>
      <c r="M43" s="50">
        <f>IF($T43="","",IF($S43="S",IF(INDEX(Firms!$L$5:$L$1004,$T43)="","",INDEX(Firms!$L$5:$L$1004,$T43)),IF(INDEX('AFA Rates'!$K$5:$K$1004,$T43)="","",INDEX('AFA Rates'!$K$5:$K$1004,$T43))))</f>
        <v/>
      </c>
      <c r="N43" s="50">
        <f>IF($T43="","",IF($S43="S",IF(INDEX(Firms!$M$5:$M$1004,$T43)="","",INDEX(Firms!$M$5:$M$1004,$T43)),IF(INDEX('AFA Rates'!$L$5:$L$1004,$T43)="","",INDEX('AFA Rates'!$L$5:$L$1004,$T43))))</f>
        <v/>
      </c>
      <c r="O43" s="78">
        <f>IF(OR($T43="",$U43=""),"",IF(INDEX(Firms!$C$5:$C$1004,$U43)="","",INDEX(Firms!$C$5:$C$1004,$U43)))</f>
        <v/>
      </c>
      <c r="P43" s="79">
        <f>IF(OR($T43="",$U43=""),"",IF(INDEX(Firms!$N$5:$N$1004,$U43)="","",INDEX(Firms!$N$5:$N$1004,$U43)))</f>
        <v/>
      </c>
      <c r="Q43" s="78">
        <f>IF($T43="","",IF($S43="S",IF(INDEX(Firms!$T$5:$T$1004,$T43)="","",INDEX(Firms!$T$5:$T$1004,$T43)),IF(INDEX('AFA Rates'!$M$5:$M$1004,$T43)="","",INDEX('AFA Rates'!$M$5:$M$1004,$T43))))</f>
        <v/>
      </c>
      <c r="S43">
        <f>IF(39&lt;=$S$2,"S",IF(39&lt;=$S$2+$T$2,"A",""))</f>
        <v/>
      </c>
      <c r="T43">
        <f>IF(S43="S",MATCH(39,Firms!$W$5:$W$1004,0),IF(S43="A",IFERROR(MATCH(39-$S$2,'AFA Rates'!$R$5:$R$1004,0),""),""))</f>
        <v/>
      </c>
      <c r="U43">
        <f>IF(S43="S",T43,IF(AND(S43="A",T43&lt;&gt;""),IFERROR(MATCH(INDEX('AFA Rates'!$A$5:$A$1004,T43),Firms!$A$5:$A$1004,0),""),""))</f>
        <v/>
      </c>
    </row>
    <row r="44">
      <c r="A44" s="78">
        <f>IF($T44="","",IF($S44="S",IF(INDEX(Firms!$A$5:$A$1004,$T44)="","",INDEX(Firms!$A$5:$A$1004,$T44)),IF(INDEX('AFA Rates'!$A$5:$A$1004,$T44)="","",INDEX('AFA Rates'!$A$5:$A$1004,$T44))))</f>
        <v/>
      </c>
      <c r="B44" s="79">
        <f>IF(OR($T44="",$U44=""),IF($T44="","","Not on Firms tab"),INDEX(Firms!$B$5:$B$1004,$U44)&amp;"")</f>
        <v/>
      </c>
      <c r="C44" s="78">
        <f>IF($T44="","",IF($S44="S","Standard",INDEX('AFA Rates'!$B$5:$B$1004,$T44)&amp;""))</f>
        <v/>
      </c>
      <c r="D44" s="88">
        <f>IF($T44="","",IF($S44="S",IF(INDEX(Firms!$E$5:$E$1004,$T44)="","",INDEX(Firms!$E$5:$E$1004,$T44)),IF(INDEX('AFA Rates'!$C$5:$C$1004,$T44)="","",INDEX('AFA Rates'!$C$5:$C$1004,$T44))))</f>
        <v/>
      </c>
      <c r="E44" s="88">
        <f>IF($T44="","",IF($S44="S",IF(""="","",""),IF(INDEX('AFA Rates'!$D$5:$D$1004,$T44)="","",INDEX('AFA Rates'!$D$5:$D$1004,$T44))))</f>
        <v/>
      </c>
      <c r="F44" s="79">
        <f>IF($T44="","",IF($S44="S",IF(INDEX(Firms!$O$5:$O$1004,$T44)="","",INDEX(Firms!$O$5:$O$1004,$T44)),IF(INDEX('AFA Rates'!$O$5:$O$1004,$T44)="","",INDEX('AFA Rates'!$O$5:$O$1004,$T44))))</f>
        <v/>
      </c>
      <c r="G44" s="50">
        <f>IF($T44="","",IF($S44="S",IF(INDEX(Firms!$F$5:$F$1004,$T44)="","",INDEX(Firms!$F$5:$F$1004,$T44)),IF(INDEX('AFA Rates'!$E$5:$E$1004,$T44)="","",INDEX('AFA Rates'!$E$5:$E$1004,$T44))))</f>
        <v/>
      </c>
      <c r="H44" s="50">
        <f>IF($T44="","",IF($S44="S",IF(INDEX(Firms!$G$5:$G$1004,$T44)="","",INDEX(Firms!$G$5:$G$1004,$T44)),IF(INDEX('AFA Rates'!$F$5:$F$1004,$T44)="","",INDEX('AFA Rates'!$F$5:$F$1004,$T44))))</f>
        <v/>
      </c>
      <c r="I44" s="50">
        <f>IF($T44="","",IF($S44="S",IF(INDEX(Firms!$H$5:$H$1004,$T44)="","",INDEX(Firms!$H$5:$H$1004,$T44)),IF(INDEX('AFA Rates'!$G$5:$G$1004,$T44)="","",INDEX('AFA Rates'!$G$5:$G$1004,$T44))))</f>
        <v/>
      </c>
      <c r="J44" s="50">
        <f>IF($T44="","",IF($S44="S",IF(INDEX(Firms!$I$5:$I$1004,$T44)="","",INDEX(Firms!$I$5:$I$1004,$T44)),IF(INDEX('AFA Rates'!$H$5:$H$1004,$T44)="","",INDEX('AFA Rates'!$H$5:$H$1004,$T44))))</f>
        <v/>
      </c>
      <c r="K44" s="50">
        <f>IF($T44="","",IF($S44="S",IF(INDEX(Firms!$J$5:$J$1004,$T44)="","",INDEX(Firms!$J$5:$J$1004,$T44)),IF(INDEX('AFA Rates'!$I$5:$I$1004,$T44)="","",INDEX('AFA Rates'!$I$5:$I$1004,$T44))))</f>
        <v/>
      </c>
      <c r="L44" s="50">
        <f>IF($T44="","",IF($S44="S",IF(INDEX(Firms!$K$5:$K$1004,$T44)="","",INDEX(Firms!$K$5:$K$1004,$T44)),IF(INDEX('AFA Rates'!$J$5:$J$1004,$T44)="","",INDEX('AFA Rates'!$J$5:$J$1004,$T44))))</f>
        <v/>
      </c>
      <c r="M44" s="50">
        <f>IF($T44="","",IF($S44="S",IF(INDEX(Firms!$L$5:$L$1004,$T44)="","",INDEX(Firms!$L$5:$L$1004,$T44)),IF(INDEX('AFA Rates'!$K$5:$K$1004,$T44)="","",INDEX('AFA Rates'!$K$5:$K$1004,$T44))))</f>
        <v/>
      </c>
      <c r="N44" s="50">
        <f>IF($T44="","",IF($S44="S",IF(INDEX(Firms!$M$5:$M$1004,$T44)="","",INDEX(Firms!$M$5:$M$1004,$T44)),IF(INDEX('AFA Rates'!$L$5:$L$1004,$T44)="","",INDEX('AFA Rates'!$L$5:$L$1004,$T44))))</f>
        <v/>
      </c>
      <c r="O44" s="78">
        <f>IF(OR($T44="",$U44=""),"",IF(INDEX(Firms!$C$5:$C$1004,$U44)="","",INDEX(Firms!$C$5:$C$1004,$U44)))</f>
        <v/>
      </c>
      <c r="P44" s="79">
        <f>IF(OR($T44="",$U44=""),"",IF(INDEX(Firms!$N$5:$N$1004,$U44)="","",INDEX(Firms!$N$5:$N$1004,$U44)))</f>
        <v/>
      </c>
      <c r="Q44" s="78">
        <f>IF($T44="","",IF($S44="S",IF(INDEX(Firms!$T$5:$T$1004,$T44)="","",INDEX(Firms!$T$5:$T$1004,$T44)),IF(INDEX('AFA Rates'!$M$5:$M$1004,$T44)="","",INDEX('AFA Rates'!$M$5:$M$1004,$T44))))</f>
        <v/>
      </c>
      <c r="S44">
        <f>IF(40&lt;=$S$2,"S",IF(40&lt;=$S$2+$T$2,"A",""))</f>
        <v/>
      </c>
      <c r="T44">
        <f>IF(S44="S",MATCH(40,Firms!$W$5:$W$1004,0),IF(S44="A",IFERROR(MATCH(40-$S$2,'AFA Rates'!$R$5:$R$1004,0),""),""))</f>
        <v/>
      </c>
      <c r="U44">
        <f>IF(S44="S",T44,IF(AND(S44="A",T44&lt;&gt;""),IFERROR(MATCH(INDEX('AFA Rates'!$A$5:$A$1004,T44),Firms!$A$5:$A$1004,0),""),""))</f>
        <v/>
      </c>
    </row>
    <row r="45">
      <c r="A45" s="78">
        <f>IF($T45="","",IF($S45="S",IF(INDEX(Firms!$A$5:$A$1004,$T45)="","",INDEX(Firms!$A$5:$A$1004,$T45)),IF(INDEX('AFA Rates'!$A$5:$A$1004,$T45)="","",INDEX('AFA Rates'!$A$5:$A$1004,$T45))))</f>
        <v/>
      </c>
      <c r="B45" s="79">
        <f>IF(OR($T45="",$U45=""),IF($T45="","","Not on Firms tab"),INDEX(Firms!$B$5:$B$1004,$U45)&amp;"")</f>
        <v/>
      </c>
      <c r="C45" s="78">
        <f>IF($T45="","",IF($S45="S","Standard",INDEX('AFA Rates'!$B$5:$B$1004,$T45)&amp;""))</f>
        <v/>
      </c>
      <c r="D45" s="88">
        <f>IF($T45="","",IF($S45="S",IF(INDEX(Firms!$E$5:$E$1004,$T45)="","",INDEX(Firms!$E$5:$E$1004,$T45)),IF(INDEX('AFA Rates'!$C$5:$C$1004,$T45)="","",INDEX('AFA Rates'!$C$5:$C$1004,$T45))))</f>
        <v/>
      </c>
      <c r="E45" s="88">
        <f>IF($T45="","",IF($S45="S",IF(""="","",""),IF(INDEX('AFA Rates'!$D$5:$D$1004,$T45)="","",INDEX('AFA Rates'!$D$5:$D$1004,$T45))))</f>
        <v/>
      </c>
      <c r="F45" s="79">
        <f>IF($T45="","",IF($S45="S",IF(INDEX(Firms!$O$5:$O$1004,$T45)="","",INDEX(Firms!$O$5:$O$1004,$T45)),IF(INDEX('AFA Rates'!$O$5:$O$1004,$T45)="","",INDEX('AFA Rates'!$O$5:$O$1004,$T45))))</f>
        <v/>
      </c>
      <c r="G45" s="50">
        <f>IF($T45="","",IF($S45="S",IF(INDEX(Firms!$F$5:$F$1004,$T45)="","",INDEX(Firms!$F$5:$F$1004,$T45)),IF(INDEX('AFA Rates'!$E$5:$E$1004,$T45)="","",INDEX('AFA Rates'!$E$5:$E$1004,$T45))))</f>
        <v/>
      </c>
      <c r="H45" s="50">
        <f>IF($T45="","",IF($S45="S",IF(INDEX(Firms!$G$5:$G$1004,$T45)="","",INDEX(Firms!$G$5:$G$1004,$T45)),IF(INDEX('AFA Rates'!$F$5:$F$1004,$T45)="","",INDEX('AFA Rates'!$F$5:$F$1004,$T45))))</f>
        <v/>
      </c>
      <c r="I45" s="50">
        <f>IF($T45="","",IF($S45="S",IF(INDEX(Firms!$H$5:$H$1004,$T45)="","",INDEX(Firms!$H$5:$H$1004,$T45)),IF(INDEX('AFA Rates'!$G$5:$G$1004,$T45)="","",INDEX('AFA Rates'!$G$5:$G$1004,$T45))))</f>
        <v/>
      </c>
      <c r="J45" s="50">
        <f>IF($T45="","",IF($S45="S",IF(INDEX(Firms!$I$5:$I$1004,$T45)="","",INDEX(Firms!$I$5:$I$1004,$T45)),IF(INDEX('AFA Rates'!$H$5:$H$1004,$T45)="","",INDEX('AFA Rates'!$H$5:$H$1004,$T45))))</f>
        <v/>
      </c>
      <c r="K45" s="50">
        <f>IF($T45="","",IF($S45="S",IF(INDEX(Firms!$J$5:$J$1004,$T45)="","",INDEX(Firms!$J$5:$J$1004,$T45)),IF(INDEX('AFA Rates'!$I$5:$I$1004,$T45)="","",INDEX('AFA Rates'!$I$5:$I$1004,$T45))))</f>
        <v/>
      </c>
      <c r="L45" s="50">
        <f>IF($T45="","",IF($S45="S",IF(INDEX(Firms!$K$5:$K$1004,$T45)="","",INDEX(Firms!$K$5:$K$1004,$T45)),IF(INDEX('AFA Rates'!$J$5:$J$1004,$T45)="","",INDEX('AFA Rates'!$J$5:$J$1004,$T45))))</f>
        <v/>
      </c>
      <c r="M45" s="50">
        <f>IF($T45="","",IF($S45="S",IF(INDEX(Firms!$L$5:$L$1004,$T45)="","",INDEX(Firms!$L$5:$L$1004,$T45)),IF(INDEX('AFA Rates'!$K$5:$K$1004,$T45)="","",INDEX('AFA Rates'!$K$5:$K$1004,$T45))))</f>
        <v/>
      </c>
      <c r="N45" s="50">
        <f>IF($T45="","",IF($S45="S",IF(INDEX(Firms!$M$5:$M$1004,$T45)="","",INDEX(Firms!$M$5:$M$1004,$T45)),IF(INDEX('AFA Rates'!$L$5:$L$1004,$T45)="","",INDEX('AFA Rates'!$L$5:$L$1004,$T45))))</f>
        <v/>
      </c>
      <c r="O45" s="78">
        <f>IF(OR($T45="",$U45=""),"",IF(INDEX(Firms!$C$5:$C$1004,$U45)="","",INDEX(Firms!$C$5:$C$1004,$U45)))</f>
        <v/>
      </c>
      <c r="P45" s="79">
        <f>IF(OR($T45="",$U45=""),"",IF(INDEX(Firms!$N$5:$N$1004,$U45)="","",INDEX(Firms!$N$5:$N$1004,$U45)))</f>
        <v/>
      </c>
      <c r="Q45" s="78">
        <f>IF($T45="","",IF($S45="S",IF(INDEX(Firms!$T$5:$T$1004,$T45)="","",INDEX(Firms!$T$5:$T$1004,$T45)),IF(INDEX('AFA Rates'!$M$5:$M$1004,$T45)="","",INDEX('AFA Rates'!$M$5:$M$1004,$T45))))</f>
        <v/>
      </c>
      <c r="S45">
        <f>IF(41&lt;=$S$2,"S",IF(41&lt;=$S$2+$T$2,"A",""))</f>
        <v/>
      </c>
      <c r="T45">
        <f>IF(S45="S",MATCH(41,Firms!$W$5:$W$1004,0),IF(S45="A",IFERROR(MATCH(41-$S$2,'AFA Rates'!$R$5:$R$1004,0),""),""))</f>
        <v/>
      </c>
      <c r="U45">
        <f>IF(S45="S",T45,IF(AND(S45="A",T45&lt;&gt;""),IFERROR(MATCH(INDEX('AFA Rates'!$A$5:$A$1004,T45),Firms!$A$5:$A$1004,0),""),""))</f>
        <v/>
      </c>
    </row>
    <row r="46">
      <c r="A46" s="78">
        <f>IF($T46="","",IF($S46="S",IF(INDEX(Firms!$A$5:$A$1004,$T46)="","",INDEX(Firms!$A$5:$A$1004,$T46)),IF(INDEX('AFA Rates'!$A$5:$A$1004,$T46)="","",INDEX('AFA Rates'!$A$5:$A$1004,$T46))))</f>
        <v/>
      </c>
      <c r="B46" s="79">
        <f>IF(OR($T46="",$U46=""),IF($T46="","","Not on Firms tab"),INDEX(Firms!$B$5:$B$1004,$U46)&amp;"")</f>
        <v/>
      </c>
      <c r="C46" s="78">
        <f>IF($T46="","",IF($S46="S","Standard",INDEX('AFA Rates'!$B$5:$B$1004,$T46)&amp;""))</f>
        <v/>
      </c>
      <c r="D46" s="88">
        <f>IF($T46="","",IF($S46="S",IF(INDEX(Firms!$E$5:$E$1004,$T46)="","",INDEX(Firms!$E$5:$E$1004,$T46)),IF(INDEX('AFA Rates'!$C$5:$C$1004,$T46)="","",INDEX('AFA Rates'!$C$5:$C$1004,$T46))))</f>
        <v/>
      </c>
      <c r="E46" s="88">
        <f>IF($T46="","",IF($S46="S",IF(""="","",""),IF(INDEX('AFA Rates'!$D$5:$D$1004,$T46)="","",INDEX('AFA Rates'!$D$5:$D$1004,$T46))))</f>
        <v/>
      </c>
      <c r="F46" s="79">
        <f>IF($T46="","",IF($S46="S",IF(INDEX(Firms!$O$5:$O$1004,$T46)="","",INDEX(Firms!$O$5:$O$1004,$T46)),IF(INDEX('AFA Rates'!$O$5:$O$1004,$T46)="","",INDEX('AFA Rates'!$O$5:$O$1004,$T46))))</f>
        <v/>
      </c>
      <c r="G46" s="50">
        <f>IF($T46="","",IF($S46="S",IF(INDEX(Firms!$F$5:$F$1004,$T46)="","",INDEX(Firms!$F$5:$F$1004,$T46)),IF(INDEX('AFA Rates'!$E$5:$E$1004,$T46)="","",INDEX('AFA Rates'!$E$5:$E$1004,$T46))))</f>
        <v/>
      </c>
      <c r="H46" s="50">
        <f>IF($T46="","",IF($S46="S",IF(INDEX(Firms!$G$5:$G$1004,$T46)="","",INDEX(Firms!$G$5:$G$1004,$T46)),IF(INDEX('AFA Rates'!$F$5:$F$1004,$T46)="","",INDEX('AFA Rates'!$F$5:$F$1004,$T46))))</f>
        <v/>
      </c>
      <c r="I46" s="50">
        <f>IF($T46="","",IF($S46="S",IF(INDEX(Firms!$H$5:$H$1004,$T46)="","",INDEX(Firms!$H$5:$H$1004,$T46)),IF(INDEX('AFA Rates'!$G$5:$G$1004,$T46)="","",INDEX('AFA Rates'!$G$5:$G$1004,$T46))))</f>
        <v/>
      </c>
      <c r="J46" s="50">
        <f>IF($T46="","",IF($S46="S",IF(INDEX(Firms!$I$5:$I$1004,$T46)="","",INDEX(Firms!$I$5:$I$1004,$T46)),IF(INDEX('AFA Rates'!$H$5:$H$1004,$T46)="","",INDEX('AFA Rates'!$H$5:$H$1004,$T46))))</f>
        <v/>
      </c>
      <c r="K46" s="50">
        <f>IF($T46="","",IF($S46="S",IF(INDEX(Firms!$J$5:$J$1004,$T46)="","",INDEX(Firms!$J$5:$J$1004,$T46)),IF(INDEX('AFA Rates'!$I$5:$I$1004,$T46)="","",INDEX('AFA Rates'!$I$5:$I$1004,$T46))))</f>
        <v/>
      </c>
      <c r="L46" s="50">
        <f>IF($T46="","",IF($S46="S",IF(INDEX(Firms!$K$5:$K$1004,$T46)="","",INDEX(Firms!$K$5:$K$1004,$T46)),IF(INDEX('AFA Rates'!$J$5:$J$1004,$T46)="","",INDEX('AFA Rates'!$J$5:$J$1004,$T46))))</f>
        <v/>
      </c>
      <c r="M46" s="50">
        <f>IF($T46="","",IF($S46="S",IF(INDEX(Firms!$L$5:$L$1004,$T46)="","",INDEX(Firms!$L$5:$L$1004,$T46)),IF(INDEX('AFA Rates'!$K$5:$K$1004,$T46)="","",INDEX('AFA Rates'!$K$5:$K$1004,$T46))))</f>
        <v/>
      </c>
      <c r="N46" s="50">
        <f>IF($T46="","",IF($S46="S",IF(INDEX(Firms!$M$5:$M$1004,$T46)="","",INDEX(Firms!$M$5:$M$1004,$T46)),IF(INDEX('AFA Rates'!$L$5:$L$1004,$T46)="","",INDEX('AFA Rates'!$L$5:$L$1004,$T46))))</f>
        <v/>
      </c>
      <c r="O46" s="78">
        <f>IF(OR($T46="",$U46=""),"",IF(INDEX(Firms!$C$5:$C$1004,$U46)="","",INDEX(Firms!$C$5:$C$1004,$U46)))</f>
        <v/>
      </c>
      <c r="P46" s="79">
        <f>IF(OR($T46="",$U46=""),"",IF(INDEX(Firms!$N$5:$N$1004,$U46)="","",INDEX(Firms!$N$5:$N$1004,$U46)))</f>
        <v/>
      </c>
      <c r="Q46" s="78">
        <f>IF($T46="","",IF($S46="S",IF(INDEX(Firms!$T$5:$T$1004,$T46)="","",INDEX(Firms!$T$5:$T$1004,$T46)),IF(INDEX('AFA Rates'!$M$5:$M$1004,$T46)="","",INDEX('AFA Rates'!$M$5:$M$1004,$T46))))</f>
        <v/>
      </c>
      <c r="S46">
        <f>IF(42&lt;=$S$2,"S",IF(42&lt;=$S$2+$T$2,"A",""))</f>
        <v/>
      </c>
      <c r="T46">
        <f>IF(S46="S",MATCH(42,Firms!$W$5:$W$1004,0),IF(S46="A",IFERROR(MATCH(42-$S$2,'AFA Rates'!$R$5:$R$1004,0),""),""))</f>
        <v/>
      </c>
      <c r="U46">
        <f>IF(S46="S",T46,IF(AND(S46="A",T46&lt;&gt;""),IFERROR(MATCH(INDEX('AFA Rates'!$A$5:$A$1004,T46),Firms!$A$5:$A$1004,0),""),""))</f>
        <v/>
      </c>
    </row>
    <row r="47">
      <c r="A47" s="78">
        <f>IF($T47="","",IF($S47="S",IF(INDEX(Firms!$A$5:$A$1004,$T47)="","",INDEX(Firms!$A$5:$A$1004,$T47)),IF(INDEX('AFA Rates'!$A$5:$A$1004,$T47)="","",INDEX('AFA Rates'!$A$5:$A$1004,$T47))))</f>
        <v/>
      </c>
      <c r="B47" s="79">
        <f>IF(OR($T47="",$U47=""),IF($T47="","","Not on Firms tab"),INDEX(Firms!$B$5:$B$1004,$U47)&amp;"")</f>
        <v/>
      </c>
      <c r="C47" s="78">
        <f>IF($T47="","",IF($S47="S","Standard",INDEX('AFA Rates'!$B$5:$B$1004,$T47)&amp;""))</f>
        <v/>
      </c>
      <c r="D47" s="88">
        <f>IF($T47="","",IF($S47="S",IF(INDEX(Firms!$E$5:$E$1004,$T47)="","",INDEX(Firms!$E$5:$E$1004,$T47)),IF(INDEX('AFA Rates'!$C$5:$C$1004,$T47)="","",INDEX('AFA Rates'!$C$5:$C$1004,$T47))))</f>
        <v/>
      </c>
      <c r="E47" s="88">
        <f>IF($T47="","",IF($S47="S",IF(""="","",""),IF(INDEX('AFA Rates'!$D$5:$D$1004,$T47)="","",INDEX('AFA Rates'!$D$5:$D$1004,$T47))))</f>
        <v/>
      </c>
      <c r="F47" s="79">
        <f>IF($T47="","",IF($S47="S",IF(INDEX(Firms!$O$5:$O$1004,$T47)="","",INDEX(Firms!$O$5:$O$1004,$T47)),IF(INDEX('AFA Rates'!$O$5:$O$1004,$T47)="","",INDEX('AFA Rates'!$O$5:$O$1004,$T47))))</f>
        <v/>
      </c>
      <c r="G47" s="50">
        <f>IF($T47="","",IF($S47="S",IF(INDEX(Firms!$F$5:$F$1004,$T47)="","",INDEX(Firms!$F$5:$F$1004,$T47)),IF(INDEX('AFA Rates'!$E$5:$E$1004,$T47)="","",INDEX('AFA Rates'!$E$5:$E$1004,$T47))))</f>
        <v/>
      </c>
      <c r="H47" s="50">
        <f>IF($T47="","",IF($S47="S",IF(INDEX(Firms!$G$5:$G$1004,$T47)="","",INDEX(Firms!$G$5:$G$1004,$T47)),IF(INDEX('AFA Rates'!$F$5:$F$1004,$T47)="","",INDEX('AFA Rates'!$F$5:$F$1004,$T47))))</f>
        <v/>
      </c>
      <c r="I47" s="50">
        <f>IF($T47="","",IF($S47="S",IF(INDEX(Firms!$H$5:$H$1004,$T47)="","",INDEX(Firms!$H$5:$H$1004,$T47)),IF(INDEX('AFA Rates'!$G$5:$G$1004,$T47)="","",INDEX('AFA Rates'!$G$5:$G$1004,$T47))))</f>
        <v/>
      </c>
      <c r="J47" s="50">
        <f>IF($T47="","",IF($S47="S",IF(INDEX(Firms!$I$5:$I$1004,$T47)="","",INDEX(Firms!$I$5:$I$1004,$T47)),IF(INDEX('AFA Rates'!$H$5:$H$1004,$T47)="","",INDEX('AFA Rates'!$H$5:$H$1004,$T47))))</f>
        <v/>
      </c>
      <c r="K47" s="50">
        <f>IF($T47="","",IF($S47="S",IF(INDEX(Firms!$J$5:$J$1004,$T47)="","",INDEX(Firms!$J$5:$J$1004,$T47)),IF(INDEX('AFA Rates'!$I$5:$I$1004,$T47)="","",INDEX('AFA Rates'!$I$5:$I$1004,$T47))))</f>
        <v/>
      </c>
      <c r="L47" s="50">
        <f>IF($T47="","",IF($S47="S",IF(INDEX(Firms!$K$5:$K$1004,$T47)="","",INDEX(Firms!$K$5:$K$1004,$T47)),IF(INDEX('AFA Rates'!$J$5:$J$1004,$T47)="","",INDEX('AFA Rates'!$J$5:$J$1004,$T47))))</f>
        <v/>
      </c>
      <c r="M47" s="50">
        <f>IF($T47="","",IF($S47="S",IF(INDEX(Firms!$L$5:$L$1004,$T47)="","",INDEX(Firms!$L$5:$L$1004,$T47)),IF(INDEX('AFA Rates'!$K$5:$K$1004,$T47)="","",INDEX('AFA Rates'!$K$5:$K$1004,$T47))))</f>
        <v/>
      </c>
      <c r="N47" s="50">
        <f>IF($T47="","",IF($S47="S",IF(INDEX(Firms!$M$5:$M$1004,$T47)="","",INDEX(Firms!$M$5:$M$1004,$T47)),IF(INDEX('AFA Rates'!$L$5:$L$1004,$T47)="","",INDEX('AFA Rates'!$L$5:$L$1004,$T47))))</f>
        <v/>
      </c>
      <c r="O47" s="78">
        <f>IF(OR($T47="",$U47=""),"",IF(INDEX(Firms!$C$5:$C$1004,$U47)="","",INDEX(Firms!$C$5:$C$1004,$U47)))</f>
        <v/>
      </c>
      <c r="P47" s="79">
        <f>IF(OR($T47="",$U47=""),"",IF(INDEX(Firms!$N$5:$N$1004,$U47)="","",INDEX(Firms!$N$5:$N$1004,$U47)))</f>
        <v/>
      </c>
      <c r="Q47" s="78">
        <f>IF($T47="","",IF($S47="S",IF(INDEX(Firms!$T$5:$T$1004,$T47)="","",INDEX(Firms!$T$5:$T$1004,$T47)),IF(INDEX('AFA Rates'!$M$5:$M$1004,$T47)="","",INDEX('AFA Rates'!$M$5:$M$1004,$T47))))</f>
        <v/>
      </c>
      <c r="S47">
        <f>IF(43&lt;=$S$2,"S",IF(43&lt;=$S$2+$T$2,"A",""))</f>
        <v/>
      </c>
      <c r="T47">
        <f>IF(S47="S",MATCH(43,Firms!$W$5:$W$1004,0),IF(S47="A",IFERROR(MATCH(43-$S$2,'AFA Rates'!$R$5:$R$1004,0),""),""))</f>
        <v/>
      </c>
      <c r="U47">
        <f>IF(S47="S",T47,IF(AND(S47="A",T47&lt;&gt;""),IFERROR(MATCH(INDEX('AFA Rates'!$A$5:$A$1004,T47),Firms!$A$5:$A$1004,0),""),""))</f>
        <v/>
      </c>
    </row>
    <row r="48">
      <c r="A48" s="78">
        <f>IF($T48="","",IF($S48="S",IF(INDEX(Firms!$A$5:$A$1004,$T48)="","",INDEX(Firms!$A$5:$A$1004,$T48)),IF(INDEX('AFA Rates'!$A$5:$A$1004,$T48)="","",INDEX('AFA Rates'!$A$5:$A$1004,$T48))))</f>
        <v/>
      </c>
      <c r="B48" s="79">
        <f>IF(OR($T48="",$U48=""),IF($T48="","","Not on Firms tab"),INDEX(Firms!$B$5:$B$1004,$U48)&amp;"")</f>
        <v/>
      </c>
      <c r="C48" s="78">
        <f>IF($T48="","",IF($S48="S","Standard",INDEX('AFA Rates'!$B$5:$B$1004,$T48)&amp;""))</f>
        <v/>
      </c>
      <c r="D48" s="88">
        <f>IF($T48="","",IF($S48="S",IF(INDEX(Firms!$E$5:$E$1004,$T48)="","",INDEX(Firms!$E$5:$E$1004,$T48)),IF(INDEX('AFA Rates'!$C$5:$C$1004,$T48)="","",INDEX('AFA Rates'!$C$5:$C$1004,$T48))))</f>
        <v/>
      </c>
      <c r="E48" s="88">
        <f>IF($T48="","",IF($S48="S",IF(""="","",""),IF(INDEX('AFA Rates'!$D$5:$D$1004,$T48)="","",INDEX('AFA Rates'!$D$5:$D$1004,$T48))))</f>
        <v/>
      </c>
      <c r="F48" s="79">
        <f>IF($T48="","",IF($S48="S",IF(INDEX(Firms!$O$5:$O$1004,$T48)="","",INDEX(Firms!$O$5:$O$1004,$T48)),IF(INDEX('AFA Rates'!$O$5:$O$1004,$T48)="","",INDEX('AFA Rates'!$O$5:$O$1004,$T48))))</f>
        <v/>
      </c>
      <c r="G48" s="50">
        <f>IF($T48="","",IF($S48="S",IF(INDEX(Firms!$F$5:$F$1004,$T48)="","",INDEX(Firms!$F$5:$F$1004,$T48)),IF(INDEX('AFA Rates'!$E$5:$E$1004,$T48)="","",INDEX('AFA Rates'!$E$5:$E$1004,$T48))))</f>
        <v/>
      </c>
      <c r="H48" s="50">
        <f>IF($T48="","",IF($S48="S",IF(INDEX(Firms!$G$5:$G$1004,$T48)="","",INDEX(Firms!$G$5:$G$1004,$T48)),IF(INDEX('AFA Rates'!$F$5:$F$1004,$T48)="","",INDEX('AFA Rates'!$F$5:$F$1004,$T48))))</f>
        <v/>
      </c>
      <c r="I48" s="50">
        <f>IF($T48="","",IF($S48="S",IF(INDEX(Firms!$H$5:$H$1004,$T48)="","",INDEX(Firms!$H$5:$H$1004,$T48)),IF(INDEX('AFA Rates'!$G$5:$G$1004,$T48)="","",INDEX('AFA Rates'!$G$5:$G$1004,$T48))))</f>
        <v/>
      </c>
      <c r="J48" s="50">
        <f>IF($T48="","",IF($S48="S",IF(INDEX(Firms!$I$5:$I$1004,$T48)="","",INDEX(Firms!$I$5:$I$1004,$T48)),IF(INDEX('AFA Rates'!$H$5:$H$1004,$T48)="","",INDEX('AFA Rates'!$H$5:$H$1004,$T48))))</f>
        <v/>
      </c>
      <c r="K48" s="50">
        <f>IF($T48="","",IF($S48="S",IF(INDEX(Firms!$J$5:$J$1004,$T48)="","",INDEX(Firms!$J$5:$J$1004,$T48)),IF(INDEX('AFA Rates'!$I$5:$I$1004,$T48)="","",INDEX('AFA Rates'!$I$5:$I$1004,$T48))))</f>
        <v/>
      </c>
      <c r="L48" s="50">
        <f>IF($T48="","",IF($S48="S",IF(INDEX(Firms!$K$5:$K$1004,$T48)="","",INDEX(Firms!$K$5:$K$1004,$T48)),IF(INDEX('AFA Rates'!$J$5:$J$1004,$T48)="","",INDEX('AFA Rates'!$J$5:$J$1004,$T48))))</f>
        <v/>
      </c>
      <c r="M48" s="50">
        <f>IF($T48="","",IF($S48="S",IF(INDEX(Firms!$L$5:$L$1004,$T48)="","",INDEX(Firms!$L$5:$L$1004,$T48)),IF(INDEX('AFA Rates'!$K$5:$K$1004,$T48)="","",INDEX('AFA Rates'!$K$5:$K$1004,$T48))))</f>
        <v/>
      </c>
      <c r="N48" s="50">
        <f>IF($T48="","",IF($S48="S",IF(INDEX(Firms!$M$5:$M$1004,$T48)="","",INDEX(Firms!$M$5:$M$1004,$T48)),IF(INDEX('AFA Rates'!$L$5:$L$1004,$T48)="","",INDEX('AFA Rates'!$L$5:$L$1004,$T48))))</f>
        <v/>
      </c>
      <c r="O48" s="78">
        <f>IF(OR($T48="",$U48=""),"",IF(INDEX(Firms!$C$5:$C$1004,$U48)="","",INDEX(Firms!$C$5:$C$1004,$U48)))</f>
        <v/>
      </c>
      <c r="P48" s="79">
        <f>IF(OR($T48="",$U48=""),"",IF(INDEX(Firms!$N$5:$N$1004,$U48)="","",INDEX(Firms!$N$5:$N$1004,$U48)))</f>
        <v/>
      </c>
      <c r="Q48" s="78">
        <f>IF($T48="","",IF($S48="S",IF(INDEX(Firms!$T$5:$T$1004,$T48)="","",INDEX(Firms!$T$5:$T$1004,$T48)),IF(INDEX('AFA Rates'!$M$5:$M$1004,$T48)="","",INDEX('AFA Rates'!$M$5:$M$1004,$T48))))</f>
        <v/>
      </c>
      <c r="S48">
        <f>IF(44&lt;=$S$2,"S",IF(44&lt;=$S$2+$T$2,"A",""))</f>
        <v/>
      </c>
      <c r="T48">
        <f>IF(S48="S",MATCH(44,Firms!$W$5:$W$1004,0),IF(S48="A",IFERROR(MATCH(44-$S$2,'AFA Rates'!$R$5:$R$1004,0),""),""))</f>
        <v/>
      </c>
      <c r="U48">
        <f>IF(S48="S",T48,IF(AND(S48="A",T48&lt;&gt;""),IFERROR(MATCH(INDEX('AFA Rates'!$A$5:$A$1004,T48),Firms!$A$5:$A$1004,0),""),""))</f>
        <v/>
      </c>
    </row>
    <row r="49">
      <c r="A49" s="78">
        <f>IF($T49="","",IF($S49="S",IF(INDEX(Firms!$A$5:$A$1004,$T49)="","",INDEX(Firms!$A$5:$A$1004,$T49)),IF(INDEX('AFA Rates'!$A$5:$A$1004,$T49)="","",INDEX('AFA Rates'!$A$5:$A$1004,$T49))))</f>
        <v/>
      </c>
      <c r="B49" s="79">
        <f>IF(OR($T49="",$U49=""),IF($T49="","","Not on Firms tab"),INDEX(Firms!$B$5:$B$1004,$U49)&amp;"")</f>
        <v/>
      </c>
      <c r="C49" s="78">
        <f>IF($T49="","",IF($S49="S","Standard",INDEX('AFA Rates'!$B$5:$B$1004,$T49)&amp;""))</f>
        <v/>
      </c>
      <c r="D49" s="88">
        <f>IF($T49="","",IF($S49="S",IF(INDEX(Firms!$E$5:$E$1004,$T49)="","",INDEX(Firms!$E$5:$E$1004,$T49)),IF(INDEX('AFA Rates'!$C$5:$C$1004,$T49)="","",INDEX('AFA Rates'!$C$5:$C$1004,$T49))))</f>
        <v/>
      </c>
      <c r="E49" s="88">
        <f>IF($T49="","",IF($S49="S",IF(""="","",""),IF(INDEX('AFA Rates'!$D$5:$D$1004,$T49)="","",INDEX('AFA Rates'!$D$5:$D$1004,$T49))))</f>
        <v/>
      </c>
      <c r="F49" s="79">
        <f>IF($T49="","",IF($S49="S",IF(INDEX(Firms!$O$5:$O$1004,$T49)="","",INDEX(Firms!$O$5:$O$1004,$T49)),IF(INDEX('AFA Rates'!$O$5:$O$1004,$T49)="","",INDEX('AFA Rates'!$O$5:$O$1004,$T49))))</f>
        <v/>
      </c>
      <c r="G49" s="50">
        <f>IF($T49="","",IF($S49="S",IF(INDEX(Firms!$F$5:$F$1004,$T49)="","",INDEX(Firms!$F$5:$F$1004,$T49)),IF(INDEX('AFA Rates'!$E$5:$E$1004,$T49)="","",INDEX('AFA Rates'!$E$5:$E$1004,$T49))))</f>
        <v/>
      </c>
      <c r="H49" s="50">
        <f>IF($T49="","",IF($S49="S",IF(INDEX(Firms!$G$5:$G$1004,$T49)="","",INDEX(Firms!$G$5:$G$1004,$T49)),IF(INDEX('AFA Rates'!$F$5:$F$1004,$T49)="","",INDEX('AFA Rates'!$F$5:$F$1004,$T49))))</f>
        <v/>
      </c>
      <c r="I49" s="50">
        <f>IF($T49="","",IF($S49="S",IF(INDEX(Firms!$H$5:$H$1004,$T49)="","",INDEX(Firms!$H$5:$H$1004,$T49)),IF(INDEX('AFA Rates'!$G$5:$G$1004,$T49)="","",INDEX('AFA Rates'!$G$5:$G$1004,$T49))))</f>
        <v/>
      </c>
      <c r="J49" s="50">
        <f>IF($T49="","",IF($S49="S",IF(INDEX(Firms!$I$5:$I$1004,$T49)="","",INDEX(Firms!$I$5:$I$1004,$T49)),IF(INDEX('AFA Rates'!$H$5:$H$1004,$T49)="","",INDEX('AFA Rates'!$H$5:$H$1004,$T49))))</f>
        <v/>
      </c>
      <c r="K49" s="50">
        <f>IF($T49="","",IF($S49="S",IF(INDEX(Firms!$J$5:$J$1004,$T49)="","",INDEX(Firms!$J$5:$J$1004,$T49)),IF(INDEX('AFA Rates'!$I$5:$I$1004,$T49)="","",INDEX('AFA Rates'!$I$5:$I$1004,$T49))))</f>
        <v/>
      </c>
      <c r="L49" s="50">
        <f>IF($T49="","",IF($S49="S",IF(INDEX(Firms!$K$5:$K$1004,$T49)="","",INDEX(Firms!$K$5:$K$1004,$T49)),IF(INDEX('AFA Rates'!$J$5:$J$1004,$T49)="","",INDEX('AFA Rates'!$J$5:$J$1004,$T49))))</f>
        <v/>
      </c>
      <c r="M49" s="50">
        <f>IF($T49="","",IF($S49="S",IF(INDEX(Firms!$L$5:$L$1004,$T49)="","",INDEX(Firms!$L$5:$L$1004,$T49)),IF(INDEX('AFA Rates'!$K$5:$K$1004,$T49)="","",INDEX('AFA Rates'!$K$5:$K$1004,$T49))))</f>
        <v/>
      </c>
      <c r="N49" s="50">
        <f>IF($T49="","",IF($S49="S",IF(INDEX(Firms!$M$5:$M$1004,$T49)="","",INDEX(Firms!$M$5:$M$1004,$T49)),IF(INDEX('AFA Rates'!$L$5:$L$1004,$T49)="","",INDEX('AFA Rates'!$L$5:$L$1004,$T49))))</f>
        <v/>
      </c>
      <c r="O49" s="78">
        <f>IF(OR($T49="",$U49=""),"",IF(INDEX(Firms!$C$5:$C$1004,$U49)="","",INDEX(Firms!$C$5:$C$1004,$U49)))</f>
        <v/>
      </c>
      <c r="P49" s="79">
        <f>IF(OR($T49="",$U49=""),"",IF(INDEX(Firms!$N$5:$N$1004,$U49)="","",INDEX(Firms!$N$5:$N$1004,$U49)))</f>
        <v/>
      </c>
      <c r="Q49" s="78">
        <f>IF($T49="","",IF($S49="S",IF(INDEX(Firms!$T$5:$T$1004,$T49)="","",INDEX(Firms!$T$5:$T$1004,$T49)),IF(INDEX('AFA Rates'!$M$5:$M$1004,$T49)="","",INDEX('AFA Rates'!$M$5:$M$1004,$T49))))</f>
        <v/>
      </c>
      <c r="S49">
        <f>IF(45&lt;=$S$2,"S",IF(45&lt;=$S$2+$T$2,"A",""))</f>
        <v/>
      </c>
      <c r="T49">
        <f>IF(S49="S",MATCH(45,Firms!$W$5:$W$1004,0),IF(S49="A",IFERROR(MATCH(45-$S$2,'AFA Rates'!$R$5:$R$1004,0),""),""))</f>
        <v/>
      </c>
      <c r="U49">
        <f>IF(S49="S",T49,IF(AND(S49="A",T49&lt;&gt;""),IFERROR(MATCH(INDEX('AFA Rates'!$A$5:$A$1004,T49),Firms!$A$5:$A$1004,0),""),""))</f>
        <v/>
      </c>
    </row>
    <row r="50">
      <c r="A50" s="78">
        <f>IF($T50="","",IF($S50="S",IF(INDEX(Firms!$A$5:$A$1004,$T50)="","",INDEX(Firms!$A$5:$A$1004,$T50)),IF(INDEX('AFA Rates'!$A$5:$A$1004,$T50)="","",INDEX('AFA Rates'!$A$5:$A$1004,$T50))))</f>
        <v/>
      </c>
      <c r="B50" s="79">
        <f>IF(OR($T50="",$U50=""),IF($T50="","","Not on Firms tab"),INDEX(Firms!$B$5:$B$1004,$U50)&amp;"")</f>
        <v/>
      </c>
      <c r="C50" s="78">
        <f>IF($T50="","",IF($S50="S","Standard",INDEX('AFA Rates'!$B$5:$B$1004,$T50)&amp;""))</f>
        <v/>
      </c>
      <c r="D50" s="88">
        <f>IF($T50="","",IF($S50="S",IF(INDEX(Firms!$E$5:$E$1004,$T50)="","",INDEX(Firms!$E$5:$E$1004,$T50)),IF(INDEX('AFA Rates'!$C$5:$C$1004,$T50)="","",INDEX('AFA Rates'!$C$5:$C$1004,$T50))))</f>
        <v/>
      </c>
      <c r="E50" s="88">
        <f>IF($T50="","",IF($S50="S",IF(""="","",""),IF(INDEX('AFA Rates'!$D$5:$D$1004,$T50)="","",INDEX('AFA Rates'!$D$5:$D$1004,$T50))))</f>
        <v/>
      </c>
      <c r="F50" s="79">
        <f>IF($T50="","",IF($S50="S",IF(INDEX(Firms!$O$5:$O$1004,$T50)="","",INDEX(Firms!$O$5:$O$1004,$T50)),IF(INDEX('AFA Rates'!$O$5:$O$1004,$T50)="","",INDEX('AFA Rates'!$O$5:$O$1004,$T50))))</f>
        <v/>
      </c>
      <c r="G50" s="50">
        <f>IF($T50="","",IF($S50="S",IF(INDEX(Firms!$F$5:$F$1004,$T50)="","",INDEX(Firms!$F$5:$F$1004,$T50)),IF(INDEX('AFA Rates'!$E$5:$E$1004,$T50)="","",INDEX('AFA Rates'!$E$5:$E$1004,$T50))))</f>
        <v/>
      </c>
      <c r="H50" s="50">
        <f>IF($T50="","",IF($S50="S",IF(INDEX(Firms!$G$5:$G$1004,$T50)="","",INDEX(Firms!$G$5:$G$1004,$T50)),IF(INDEX('AFA Rates'!$F$5:$F$1004,$T50)="","",INDEX('AFA Rates'!$F$5:$F$1004,$T50))))</f>
        <v/>
      </c>
      <c r="I50" s="50">
        <f>IF($T50="","",IF($S50="S",IF(INDEX(Firms!$H$5:$H$1004,$T50)="","",INDEX(Firms!$H$5:$H$1004,$T50)),IF(INDEX('AFA Rates'!$G$5:$G$1004,$T50)="","",INDEX('AFA Rates'!$G$5:$G$1004,$T50))))</f>
        <v/>
      </c>
      <c r="J50" s="50">
        <f>IF($T50="","",IF($S50="S",IF(INDEX(Firms!$I$5:$I$1004,$T50)="","",INDEX(Firms!$I$5:$I$1004,$T50)),IF(INDEX('AFA Rates'!$H$5:$H$1004,$T50)="","",INDEX('AFA Rates'!$H$5:$H$1004,$T50))))</f>
        <v/>
      </c>
      <c r="K50" s="50">
        <f>IF($T50="","",IF($S50="S",IF(INDEX(Firms!$J$5:$J$1004,$T50)="","",INDEX(Firms!$J$5:$J$1004,$T50)),IF(INDEX('AFA Rates'!$I$5:$I$1004,$T50)="","",INDEX('AFA Rates'!$I$5:$I$1004,$T50))))</f>
        <v/>
      </c>
      <c r="L50" s="50">
        <f>IF($T50="","",IF($S50="S",IF(INDEX(Firms!$K$5:$K$1004,$T50)="","",INDEX(Firms!$K$5:$K$1004,$T50)),IF(INDEX('AFA Rates'!$J$5:$J$1004,$T50)="","",INDEX('AFA Rates'!$J$5:$J$1004,$T50))))</f>
        <v/>
      </c>
      <c r="M50" s="50">
        <f>IF($T50="","",IF($S50="S",IF(INDEX(Firms!$L$5:$L$1004,$T50)="","",INDEX(Firms!$L$5:$L$1004,$T50)),IF(INDEX('AFA Rates'!$K$5:$K$1004,$T50)="","",INDEX('AFA Rates'!$K$5:$K$1004,$T50))))</f>
        <v/>
      </c>
      <c r="N50" s="50">
        <f>IF($T50="","",IF($S50="S",IF(INDEX(Firms!$M$5:$M$1004,$T50)="","",INDEX(Firms!$M$5:$M$1004,$T50)),IF(INDEX('AFA Rates'!$L$5:$L$1004,$T50)="","",INDEX('AFA Rates'!$L$5:$L$1004,$T50))))</f>
        <v/>
      </c>
      <c r="O50" s="78">
        <f>IF(OR($T50="",$U50=""),"",IF(INDEX(Firms!$C$5:$C$1004,$U50)="","",INDEX(Firms!$C$5:$C$1004,$U50)))</f>
        <v/>
      </c>
      <c r="P50" s="79">
        <f>IF(OR($T50="",$U50=""),"",IF(INDEX(Firms!$N$5:$N$1004,$U50)="","",INDEX(Firms!$N$5:$N$1004,$U50)))</f>
        <v/>
      </c>
      <c r="Q50" s="78">
        <f>IF($T50="","",IF($S50="S",IF(INDEX(Firms!$T$5:$T$1004,$T50)="","",INDEX(Firms!$T$5:$T$1004,$T50)),IF(INDEX('AFA Rates'!$M$5:$M$1004,$T50)="","",INDEX('AFA Rates'!$M$5:$M$1004,$T50))))</f>
        <v/>
      </c>
      <c r="S50">
        <f>IF(46&lt;=$S$2,"S",IF(46&lt;=$S$2+$T$2,"A",""))</f>
        <v/>
      </c>
      <c r="T50">
        <f>IF(S50="S",MATCH(46,Firms!$W$5:$W$1004,0),IF(S50="A",IFERROR(MATCH(46-$S$2,'AFA Rates'!$R$5:$R$1004,0),""),""))</f>
        <v/>
      </c>
      <c r="U50">
        <f>IF(S50="S",T50,IF(AND(S50="A",T50&lt;&gt;""),IFERROR(MATCH(INDEX('AFA Rates'!$A$5:$A$1004,T50),Firms!$A$5:$A$1004,0),""),""))</f>
        <v/>
      </c>
    </row>
    <row r="51">
      <c r="A51" s="78">
        <f>IF($T51="","",IF($S51="S",IF(INDEX(Firms!$A$5:$A$1004,$T51)="","",INDEX(Firms!$A$5:$A$1004,$T51)),IF(INDEX('AFA Rates'!$A$5:$A$1004,$T51)="","",INDEX('AFA Rates'!$A$5:$A$1004,$T51))))</f>
        <v/>
      </c>
      <c r="B51" s="79">
        <f>IF(OR($T51="",$U51=""),IF($T51="","","Not on Firms tab"),INDEX(Firms!$B$5:$B$1004,$U51)&amp;"")</f>
        <v/>
      </c>
      <c r="C51" s="78">
        <f>IF($T51="","",IF($S51="S","Standard",INDEX('AFA Rates'!$B$5:$B$1004,$T51)&amp;""))</f>
        <v/>
      </c>
      <c r="D51" s="88">
        <f>IF($T51="","",IF($S51="S",IF(INDEX(Firms!$E$5:$E$1004,$T51)="","",INDEX(Firms!$E$5:$E$1004,$T51)),IF(INDEX('AFA Rates'!$C$5:$C$1004,$T51)="","",INDEX('AFA Rates'!$C$5:$C$1004,$T51))))</f>
        <v/>
      </c>
      <c r="E51" s="88">
        <f>IF($T51="","",IF($S51="S",IF(""="","",""),IF(INDEX('AFA Rates'!$D$5:$D$1004,$T51)="","",INDEX('AFA Rates'!$D$5:$D$1004,$T51))))</f>
        <v/>
      </c>
      <c r="F51" s="79">
        <f>IF($T51="","",IF($S51="S",IF(INDEX(Firms!$O$5:$O$1004,$T51)="","",INDEX(Firms!$O$5:$O$1004,$T51)),IF(INDEX('AFA Rates'!$O$5:$O$1004,$T51)="","",INDEX('AFA Rates'!$O$5:$O$1004,$T51))))</f>
        <v/>
      </c>
      <c r="G51" s="50">
        <f>IF($T51="","",IF($S51="S",IF(INDEX(Firms!$F$5:$F$1004,$T51)="","",INDEX(Firms!$F$5:$F$1004,$T51)),IF(INDEX('AFA Rates'!$E$5:$E$1004,$T51)="","",INDEX('AFA Rates'!$E$5:$E$1004,$T51))))</f>
        <v/>
      </c>
      <c r="H51" s="50">
        <f>IF($T51="","",IF($S51="S",IF(INDEX(Firms!$G$5:$G$1004,$T51)="","",INDEX(Firms!$G$5:$G$1004,$T51)),IF(INDEX('AFA Rates'!$F$5:$F$1004,$T51)="","",INDEX('AFA Rates'!$F$5:$F$1004,$T51))))</f>
        <v/>
      </c>
      <c r="I51" s="50">
        <f>IF($T51="","",IF($S51="S",IF(INDEX(Firms!$H$5:$H$1004,$T51)="","",INDEX(Firms!$H$5:$H$1004,$T51)),IF(INDEX('AFA Rates'!$G$5:$G$1004,$T51)="","",INDEX('AFA Rates'!$G$5:$G$1004,$T51))))</f>
        <v/>
      </c>
      <c r="J51" s="50">
        <f>IF($T51="","",IF($S51="S",IF(INDEX(Firms!$I$5:$I$1004,$T51)="","",INDEX(Firms!$I$5:$I$1004,$T51)),IF(INDEX('AFA Rates'!$H$5:$H$1004,$T51)="","",INDEX('AFA Rates'!$H$5:$H$1004,$T51))))</f>
        <v/>
      </c>
      <c r="K51" s="50">
        <f>IF($T51="","",IF($S51="S",IF(INDEX(Firms!$J$5:$J$1004,$T51)="","",INDEX(Firms!$J$5:$J$1004,$T51)),IF(INDEX('AFA Rates'!$I$5:$I$1004,$T51)="","",INDEX('AFA Rates'!$I$5:$I$1004,$T51))))</f>
        <v/>
      </c>
      <c r="L51" s="50">
        <f>IF($T51="","",IF($S51="S",IF(INDEX(Firms!$K$5:$K$1004,$T51)="","",INDEX(Firms!$K$5:$K$1004,$T51)),IF(INDEX('AFA Rates'!$J$5:$J$1004,$T51)="","",INDEX('AFA Rates'!$J$5:$J$1004,$T51))))</f>
        <v/>
      </c>
      <c r="M51" s="50">
        <f>IF($T51="","",IF($S51="S",IF(INDEX(Firms!$L$5:$L$1004,$T51)="","",INDEX(Firms!$L$5:$L$1004,$T51)),IF(INDEX('AFA Rates'!$K$5:$K$1004,$T51)="","",INDEX('AFA Rates'!$K$5:$K$1004,$T51))))</f>
        <v/>
      </c>
      <c r="N51" s="50">
        <f>IF($T51="","",IF($S51="S",IF(INDEX(Firms!$M$5:$M$1004,$T51)="","",INDEX(Firms!$M$5:$M$1004,$T51)),IF(INDEX('AFA Rates'!$L$5:$L$1004,$T51)="","",INDEX('AFA Rates'!$L$5:$L$1004,$T51))))</f>
        <v/>
      </c>
      <c r="O51" s="78">
        <f>IF(OR($T51="",$U51=""),"",IF(INDEX(Firms!$C$5:$C$1004,$U51)="","",INDEX(Firms!$C$5:$C$1004,$U51)))</f>
        <v/>
      </c>
      <c r="P51" s="79">
        <f>IF(OR($T51="",$U51=""),"",IF(INDEX(Firms!$N$5:$N$1004,$U51)="","",INDEX(Firms!$N$5:$N$1004,$U51)))</f>
        <v/>
      </c>
      <c r="Q51" s="78">
        <f>IF($T51="","",IF($S51="S",IF(INDEX(Firms!$T$5:$T$1004,$T51)="","",INDEX(Firms!$T$5:$T$1004,$T51)),IF(INDEX('AFA Rates'!$M$5:$M$1004,$T51)="","",INDEX('AFA Rates'!$M$5:$M$1004,$T51))))</f>
        <v/>
      </c>
      <c r="S51">
        <f>IF(47&lt;=$S$2,"S",IF(47&lt;=$S$2+$T$2,"A",""))</f>
        <v/>
      </c>
      <c r="T51">
        <f>IF(S51="S",MATCH(47,Firms!$W$5:$W$1004,0),IF(S51="A",IFERROR(MATCH(47-$S$2,'AFA Rates'!$R$5:$R$1004,0),""),""))</f>
        <v/>
      </c>
      <c r="U51">
        <f>IF(S51="S",T51,IF(AND(S51="A",T51&lt;&gt;""),IFERROR(MATCH(INDEX('AFA Rates'!$A$5:$A$1004,T51),Firms!$A$5:$A$1004,0),""),""))</f>
        <v/>
      </c>
    </row>
    <row r="52">
      <c r="A52" s="78">
        <f>IF($T52="","",IF($S52="S",IF(INDEX(Firms!$A$5:$A$1004,$T52)="","",INDEX(Firms!$A$5:$A$1004,$T52)),IF(INDEX('AFA Rates'!$A$5:$A$1004,$T52)="","",INDEX('AFA Rates'!$A$5:$A$1004,$T52))))</f>
        <v/>
      </c>
      <c r="B52" s="79">
        <f>IF(OR($T52="",$U52=""),IF($T52="","","Not on Firms tab"),INDEX(Firms!$B$5:$B$1004,$U52)&amp;"")</f>
        <v/>
      </c>
      <c r="C52" s="78">
        <f>IF($T52="","",IF($S52="S","Standard",INDEX('AFA Rates'!$B$5:$B$1004,$T52)&amp;""))</f>
        <v/>
      </c>
      <c r="D52" s="88">
        <f>IF($T52="","",IF($S52="S",IF(INDEX(Firms!$E$5:$E$1004,$T52)="","",INDEX(Firms!$E$5:$E$1004,$T52)),IF(INDEX('AFA Rates'!$C$5:$C$1004,$T52)="","",INDEX('AFA Rates'!$C$5:$C$1004,$T52))))</f>
        <v/>
      </c>
      <c r="E52" s="88">
        <f>IF($T52="","",IF($S52="S",IF(""="","",""),IF(INDEX('AFA Rates'!$D$5:$D$1004,$T52)="","",INDEX('AFA Rates'!$D$5:$D$1004,$T52))))</f>
        <v/>
      </c>
      <c r="F52" s="79">
        <f>IF($T52="","",IF($S52="S",IF(INDEX(Firms!$O$5:$O$1004,$T52)="","",INDEX(Firms!$O$5:$O$1004,$T52)),IF(INDEX('AFA Rates'!$O$5:$O$1004,$T52)="","",INDEX('AFA Rates'!$O$5:$O$1004,$T52))))</f>
        <v/>
      </c>
      <c r="G52" s="50">
        <f>IF($T52="","",IF($S52="S",IF(INDEX(Firms!$F$5:$F$1004,$T52)="","",INDEX(Firms!$F$5:$F$1004,$T52)),IF(INDEX('AFA Rates'!$E$5:$E$1004,$T52)="","",INDEX('AFA Rates'!$E$5:$E$1004,$T52))))</f>
        <v/>
      </c>
      <c r="H52" s="50">
        <f>IF($T52="","",IF($S52="S",IF(INDEX(Firms!$G$5:$G$1004,$T52)="","",INDEX(Firms!$G$5:$G$1004,$T52)),IF(INDEX('AFA Rates'!$F$5:$F$1004,$T52)="","",INDEX('AFA Rates'!$F$5:$F$1004,$T52))))</f>
        <v/>
      </c>
      <c r="I52" s="50">
        <f>IF($T52="","",IF($S52="S",IF(INDEX(Firms!$H$5:$H$1004,$T52)="","",INDEX(Firms!$H$5:$H$1004,$T52)),IF(INDEX('AFA Rates'!$G$5:$G$1004,$T52)="","",INDEX('AFA Rates'!$G$5:$G$1004,$T52))))</f>
        <v/>
      </c>
      <c r="J52" s="50">
        <f>IF($T52="","",IF($S52="S",IF(INDEX(Firms!$I$5:$I$1004,$T52)="","",INDEX(Firms!$I$5:$I$1004,$T52)),IF(INDEX('AFA Rates'!$H$5:$H$1004,$T52)="","",INDEX('AFA Rates'!$H$5:$H$1004,$T52))))</f>
        <v/>
      </c>
      <c r="K52" s="50">
        <f>IF($T52="","",IF($S52="S",IF(INDEX(Firms!$J$5:$J$1004,$T52)="","",INDEX(Firms!$J$5:$J$1004,$T52)),IF(INDEX('AFA Rates'!$I$5:$I$1004,$T52)="","",INDEX('AFA Rates'!$I$5:$I$1004,$T52))))</f>
        <v/>
      </c>
      <c r="L52" s="50">
        <f>IF($T52="","",IF($S52="S",IF(INDEX(Firms!$K$5:$K$1004,$T52)="","",INDEX(Firms!$K$5:$K$1004,$T52)),IF(INDEX('AFA Rates'!$J$5:$J$1004,$T52)="","",INDEX('AFA Rates'!$J$5:$J$1004,$T52))))</f>
        <v/>
      </c>
      <c r="M52" s="50">
        <f>IF($T52="","",IF($S52="S",IF(INDEX(Firms!$L$5:$L$1004,$T52)="","",INDEX(Firms!$L$5:$L$1004,$T52)),IF(INDEX('AFA Rates'!$K$5:$K$1004,$T52)="","",INDEX('AFA Rates'!$K$5:$K$1004,$T52))))</f>
        <v/>
      </c>
      <c r="N52" s="50">
        <f>IF($T52="","",IF($S52="S",IF(INDEX(Firms!$M$5:$M$1004,$T52)="","",INDEX(Firms!$M$5:$M$1004,$T52)),IF(INDEX('AFA Rates'!$L$5:$L$1004,$T52)="","",INDEX('AFA Rates'!$L$5:$L$1004,$T52))))</f>
        <v/>
      </c>
      <c r="O52" s="78">
        <f>IF(OR($T52="",$U52=""),"",IF(INDEX(Firms!$C$5:$C$1004,$U52)="","",INDEX(Firms!$C$5:$C$1004,$U52)))</f>
        <v/>
      </c>
      <c r="P52" s="79">
        <f>IF(OR($T52="",$U52=""),"",IF(INDEX(Firms!$N$5:$N$1004,$U52)="","",INDEX(Firms!$N$5:$N$1004,$U52)))</f>
        <v/>
      </c>
      <c r="Q52" s="78">
        <f>IF($T52="","",IF($S52="S",IF(INDEX(Firms!$T$5:$T$1004,$T52)="","",INDEX(Firms!$T$5:$T$1004,$T52)),IF(INDEX('AFA Rates'!$M$5:$M$1004,$T52)="","",INDEX('AFA Rates'!$M$5:$M$1004,$T52))))</f>
        <v/>
      </c>
      <c r="S52">
        <f>IF(48&lt;=$S$2,"S",IF(48&lt;=$S$2+$T$2,"A",""))</f>
        <v/>
      </c>
      <c r="T52">
        <f>IF(S52="S",MATCH(48,Firms!$W$5:$W$1004,0),IF(S52="A",IFERROR(MATCH(48-$S$2,'AFA Rates'!$R$5:$R$1004,0),""),""))</f>
        <v/>
      </c>
      <c r="U52">
        <f>IF(S52="S",T52,IF(AND(S52="A",T52&lt;&gt;""),IFERROR(MATCH(INDEX('AFA Rates'!$A$5:$A$1004,T52),Firms!$A$5:$A$1004,0),""),""))</f>
        <v/>
      </c>
    </row>
    <row r="53">
      <c r="A53" s="78">
        <f>IF($T53="","",IF($S53="S",IF(INDEX(Firms!$A$5:$A$1004,$T53)="","",INDEX(Firms!$A$5:$A$1004,$T53)),IF(INDEX('AFA Rates'!$A$5:$A$1004,$T53)="","",INDEX('AFA Rates'!$A$5:$A$1004,$T53))))</f>
        <v/>
      </c>
      <c r="B53" s="79">
        <f>IF(OR($T53="",$U53=""),IF($T53="","","Not on Firms tab"),INDEX(Firms!$B$5:$B$1004,$U53)&amp;"")</f>
        <v/>
      </c>
      <c r="C53" s="78">
        <f>IF($T53="","",IF($S53="S","Standard",INDEX('AFA Rates'!$B$5:$B$1004,$T53)&amp;""))</f>
        <v/>
      </c>
      <c r="D53" s="88">
        <f>IF($T53="","",IF($S53="S",IF(INDEX(Firms!$E$5:$E$1004,$T53)="","",INDEX(Firms!$E$5:$E$1004,$T53)),IF(INDEX('AFA Rates'!$C$5:$C$1004,$T53)="","",INDEX('AFA Rates'!$C$5:$C$1004,$T53))))</f>
        <v/>
      </c>
      <c r="E53" s="88">
        <f>IF($T53="","",IF($S53="S",IF(""="","",""),IF(INDEX('AFA Rates'!$D$5:$D$1004,$T53)="","",INDEX('AFA Rates'!$D$5:$D$1004,$T53))))</f>
        <v/>
      </c>
      <c r="F53" s="79">
        <f>IF($T53="","",IF($S53="S",IF(INDEX(Firms!$O$5:$O$1004,$T53)="","",INDEX(Firms!$O$5:$O$1004,$T53)),IF(INDEX('AFA Rates'!$O$5:$O$1004,$T53)="","",INDEX('AFA Rates'!$O$5:$O$1004,$T53))))</f>
        <v/>
      </c>
      <c r="G53" s="50">
        <f>IF($T53="","",IF($S53="S",IF(INDEX(Firms!$F$5:$F$1004,$T53)="","",INDEX(Firms!$F$5:$F$1004,$T53)),IF(INDEX('AFA Rates'!$E$5:$E$1004,$T53)="","",INDEX('AFA Rates'!$E$5:$E$1004,$T53))))</f>
        <v/>
      </c>
      <c r="H53" s="50">
        <f>IF($T53="","",IF($S53="S",IF(INDEX(Firms!$G$5:$G$1004,$T53)="","",INDEX(Firms!$G$5:$G$1004,$T53)),IF(INDEX('AFA Rates'!$F$5:$F$1004,$T53)="","",INDEX('AFA Rates'!$F$5:$F$1004,$T53))))</f>
        <v/>
      </c>
      <c r="I53" s="50">
        <f>IF($T53="","",IF($S53="S",IF(INDEX(Firms!$H$5:$H$1004,$T53)="","",INDEX(Firms!$H$5:$H$1004,$T53)),IF(INDEX('AFA Rates'!$G$5:$G$1004,$T53)="","",INDEX('AFA Rates'!$G$5:$G$1004,$T53))))</f>
        <v/>
      </c>
      <c r="J53" s="50">
        <f>IF($T53="","",IF($S53="S",IF(INDEX(Firms!$I$5:$I$1004,$T53)="","",INDEX(Firms!$I$5:$I$1004,$T53)),IF(INDEX('AFA Rates'!$H$5:$H$1004,$T53)="","",INDEX('AFA Rates'!$H$5:$H$1004,$T53))))</f>
        <v/>
      </c>
      <c r="K53" s="50">
        <f>IF($T53="","",IF($S53="S",IF(INDEX(Firms!$J$5:$J$1004,$T53)="","",INDEX(Firms!$J$5:$J$1004,$T53)),IF(INDEX('AFA Rates'!$I$5:$I$1004,$T53)="","",INDEX('AFA Rates'!$I$5:$I$1004,$T53))))</f>
        <v/>
      </c>
      <c r="L53" s="50">
        <f>IF($T53="","",IF($S53="S",IF(INDEX(Firms!$K$5:$K$1004,$T53)="","",INDEX(Firms!$K$5:$K$1004,$T53)),IF(INDEX('AFA Rates'!$J$5:$J$1004,$T53)="","",INDEX('AFA Rates'!$J$5:$J$1004,$T53))))</f>
        <v/>
      </c>
      <c r="M53" s="50">
        <f>IF($T53="","",IF($S53="S",IF(INDEX(Firms!$L$5:$L$1004,$T53)="","",INDEX(Firms!$L$5:$L$1004,$T53)),IF(INDEX('AFA Rates'!$K$5:$K$1004,$T53)="","",INDEX('AFA Rates'!$K$5:$K$1004,$T53))))</f>
        <v/>
      </c>
      <c r="N53" s="50">
        <f>IF($T53="","",IF($S53="S",IF(INDEX(Firms!$M$5:$M$1004,$T53)="","",INDEX(Firms!$M$5:$M$1004,$T53)),IF(INDEX('AFA Rates'!$L$5:$L$1004,$T53)="","",INDEX('AFA Rates'!$L$5:$L$1004,$T53))))</f>
        <v/>
      </c>
      <c r="O53" s="78">
        <f>IF(OR($T53="",$U53=""),"",IF(INDEX(Firms!$C$5:$C$1004,$U53)="","",INDEX(Firms!$C$5:$C$1004,$U53)))</f>
        <v/>
      </c>
      <c r="P53" s="79">
        <f>IF(OR($T53="",$U53=""),"",IF(INDEX(Firms!$N$5:$N$1004,$U53)="","",INDEX(Firms!$N$5:$N$1004,$U53)))</f>
        <v/>
      </c>
      <c r="Q53" s="78">
        <f>IF($T53="","",IF($S53="S",IF(INDEX(Firms!$T$5:$T$1004,$T53)="","",INDEX(Firms!$T$5:$T$1004,$T53)),IF(INDEX('AFA Rates'!$M$5:$M$1004,$T53)="","",INDEX('AFA Rates'!$M$5:$M$1004,$T53))))</f>
        <v/>
      </c>
      <c r="S53">
        <f>IF(49&lt;=$S$2,"S",IF(49&lt;=$S$2+$T$2,"A",""))</f>
        <v/>
      </c>
      <c r="T53">
        <f>IF(S53="S",MATCH(49,Firms!$W$5:$W$1004,0),IF(S53="A",IFERROR(MATCH(49-$S$2,'AFA Rates'!$R$5:$R$1004,0),""),""))</f>
        <v/>
      </c>
      <c r="U53">
        <f>IF(S53="S",T53,IF(AND(S53="A",T53&lt;&gt;""),IFERROR(MATCH(INDEX('AFA Rates'!$A$5:$A$1004,T53),Firms!$A$5:$A$1004,0),""),""))</f>
        <v/>
      </c>
    </row>
    <row r="54">
      <c r="A54" s="78">
        <f>IF($T54="","",IF($S54="S",IF(INDEX(Firms!$A$5:$A$1004,$T54)="","",INDEX(Firms!$A$5:$A$1004,$T54)),IF(INDEX('AFA Rates'!$A$5:$A$1004,$T54)="","",INDEX('AFA Rates'!$A$5:$A$1004,$T54))))</f>
        <v/>
      </c>
      <c r="B54" s="79">
        <f>IF(OR($T54="",$U54=""),IF($T54="","","Not on Firms tab"),INDEX(Firms!$B$5:$B$1004,$U54)&amp;"")</f>
        <v/>
      </c>
      <c r="C54" s="78">
        <f>IF($T54="","",IF($S54="S","Standard",INDEX('AFA Rates'!$B$5:$B$1004,$T54)&amp;""))</f>
        <v/>
      </c>
      <c r="D54" s="88">
        <f>IF($T54="","",IF($S54="S",IF(INDEX(Firms!$E$5:$E$1004,$T54)="","",INDEX(Firms!$E$5:$E$1004,$T54)),IF(INDEX('AFA Rates'!$C$5:$C$1004,$T54)="","",INDEX('AFA Rates'!$C$5:$C$1004,$T54))))</f>
        <v/>
      </c>
      <c r="E54" s="88">
        <f>IF($T54="","",IF($S54="S",IF(""="","",""),IF(INDEX('AFA Rates'!$D$5:$D$1004,$T54)="","",INDEX('AFA Rates'!$D$5:$D$1004,$T54))))</f>
        <v/>
      </c>
      <c r="F54" s="79">
        <f>IF($T54="","",IF($S54="S",IF(INDEX(Firms!$O$5:$O$1004,$T54)="","",INDEX(Firms!$O$5:$O$1004,$T54)),IF(INDEX('AFA Rates'!$O$5:$O$1004,$T54)="","",INDEX('AFA Rates'!$O$5:$O$1004,$T54))))</f>
        <v/>
      </c>
      <c r="G54" s="50">
        <f>IF($T54="","",IF($S54="S",IF(INDEX(Firms!$F$5:$F$1004,$T54)="","",INDEX(Firms!$F$5:$F$1004,$T54)),IF(INDEX('AFA Rates'!$E$5:$E$1004,$T54)="","",INDEX('AFA Rates'!$E$5:$E$1004,$T54))))</f>
        <v/>
      </c>
      <c r="H54" s="50">
        <f>IF($T54="","",IF($S54="S",IF(INDEX(Firms!$G$5:$G$1004,$T54)="","",INDEX(Firms!$G$5:$G$1004,$T54)),IF(INDEX('AFA Rates'!$F$5:$F$1004,$T54)="","",INDEX('AFA Rates'!$F$5:$F$1004,$T54))))</f>
        <v/>
      </c>
      <c r="I54" s="50">
        <f>IF($T54="","",IF($S54="S",IF(INDEX(Firms!$H$5:$H$1004,$T54)="","",INDEX(Firms!$H$5:$H$1004,$T54)),IF(INDEX('AFA Rates'!$G$5:$G$1004,$T54)="","",INDEX('AFA Rates'!$G$5:$G$1004,$T54))))</f>
        <v/>
      </c>
      <c r="J54" s="50">
        <f>IF($T54="","",IF($S54="S",IF(INDEX(Firms!$I$5:$I$1004,$T54)="","",INDEX(Firms!$I$5:$I$1004,$T54)),IF(INDEX('AFA Rates'!$H$5:$H$1004,$T54)="","",INDEX('AFA Rates'!$H$5:$H$1004,$T54))))</f>
        <v/>
      </c>
      <c r="K54" s="50">
        <f>IF($T54="","",IF($S54="S",IF(INDEX(Firms!$J$5:$J$1004,$T54)="","",INDEX(Firms!$J$5:$J$1004,$T54)),IF(INDEX('AFA Rates'!$I$5:$I$1004,$T54)="","",INDEX('AFA Rates'!$I$5:$I$1004,$T54))))</f>
        <v/>
      </c>
      <c r="L54" s="50">
        <f>IF($T54="","",IF($S54="S",IF(INDEX(Firms!$K$5:$K$1004,$T54)="","",INDEX(Firms!$K$5:$K$1004,$T54)),IF(INDEX('AFA Rates'!$J$5:$J$1004,$T54)="","",INDEX('AFA Rates'!$J$5:$J$1004,$T54))))</f>
        <v/>
      </c>
      <c r="M54" s="50">
        <f>IF($T54="","",IF($S54="S",IF(INDEX(Firms!$L$5:$L$1004,$T54)="","",INDEX(Firms!$L$5:$L$1004,$T54)),IF(INDEX('AFA Rates'!$K$5:$K$1004,$T54)="","",INDEX('AFA Rates'!$K$5:$K$1004,$T54))))</f>
        <v/>
      </c>
      <c r="N54" s="50">
        <f>IF($T54="","",IF($S54="S",IF(INDEX(Firms!$M$5:$M$1004,$T54)="","",INDEX(Firms!$M$5:$M$1004,$T54)),IF(INDEX('AFA Rates'!$L$5:$L$1004,$T54)="","",INDEX('AFA Rates'!$L$5:$L$1004,$T54))))</f>
        <v/>
      </c>
      <c r="O54" s="78">
        <f>IF(OR($T54="",$U54=""),"",IF(INDEX(Firms!$C$5:$C$1004,$U54)="","",INDEX(Firms!$C$5:$C$1004,$U54)))</f>
        <v/>
      </c>
      <c r="P54" s="79">
        <f>IF(OR($T54="",$U54=""),"",IF(INDEX(Firms!$N$5:$N$1004,$U54)="","",INDEX(Firms!$N$5:$N$1004,$U54)))</f>
        <v/>
      </c>
      <c r="Q54" s="78">
        <f>IF($T54="","",IF($S54="S",IF(INDEX(Firms!$T$5:$T$1004,$T54)="","",INDEX(Firms!$T$5:$T$1004,$T54)),IF(INDEX('AFA Rates'!$M$5:$M$1004,$T54)="","",INDEX('AFA Rates'!$M$5:$M$1004,$T54))))</f>
        <v/>
      </c>
      <c r="S54">
        <f>IF(50&lt;=$S$2,"S",IF(50&lt;=$S$2+$T$2,"A",""))</f>
        <v/>
      </c>
      <c r="T54">
        <f>IF(S54="S",MATCH(50,Firms!$W$5:$W$1004,0),IF(S54="A",IFERROR(MATCH(50-$S$2,'AFA Rates'!$R$5:$R$1004,0),""),""))</f>
        <v/>
      </c>
      <c r="U54">
        <f>IF(S54="S",T54,IF(AND(S54="A",T54&lt;&gt;""),IFERROR(MATCH(INDEX('AFA Rates'!$A$5:$A$1004,T54),Firms!$A$5:$A$1004,0),""),""))</f>
        <v/>
      </c>
    </row>
    <row r="55">
      <c r="A55" s="78">
        <f>IF($T55="","",IF($S55="S",IF(INDEX(Firms!$A$5:$A$1004,$T55)="","",INDEX(Firms!$A$5:$A$1004,$T55)),IF(INDEX('AFA Rates'!$A$5:$A$1004,$T55)="","",INDEX('AFA Rates'!$A$5:$A$1004,$T55))))</f>
        <v/>
      </c>
      <c r="B55" s="79">
        <f>IF(OR($T55="",$U55=""),IF($T55="","","Not on Firms tab"),INDEX(Firms!$B$5:$B$1004,$U55)&amp;"")</f>
        <v/>
      </c>
      <c r="C55" s="78">
        <f>IF($T55="","",IF($S55="S","Standard",INDEX('AFA Rates'!$B$5:$B$1004,$T55)&amp;""))</f>
        <v/>
      </c>
      <c r="D55" s="88">
        <f>IF($T55="","",IF($S55="S",IF(INDEX(Firms!$E$5:$E$1004,$T55)="","",INDEX(Firms!$E$5:$E$1004,$T55)),IF(INDEX('AFA Rates'!$C$5:$C$1004,$T55)="","",INDEX('AFA Rates'!$C$5:$C$1004,$T55))))</f>
        <v/>
      </c>
      <c r="E55" s="88">
        <f>IF($T55="","",IF($S55="S",IF(""="","",""),IF(INDEX('AFA Rates'!$D$5:$D$1004,$T55)="","",INDEX('AFA Rates'!$D$5:$D$1004,$T55))))</f>
        <v/>
      </c>
      <c r="F55" s="79">
        <f>IF($T55="","",IF($S55="S",IF(INDEX(Firms!$O$5:$O$1004,$T55)="","",INDEX(Firms!$O$5:$O$1004,$T55)),IF(INDEX('AFA Rates'!$O$5:$O$1004,$T55)="","",INDEX('AFA Rates'!$O$5:$O$1004,$T55))))</f>
        <v/>
      </c>
      <c r="G55" s="50">
        <f>IF($T55="","",IF($S55="S",IF(INDEX(Firms!$F$5:$F$1004,$T55)="","",INDEX(Firms!$F$5:$F$1004,$T55)),IF(INDEX('AFA Rates'!$E$5:$E$1004,$T55)="","",INDEX('AFA Rates'!$E$5:$E$1004,$T55))))</f>
        <v/>
      </c>
      <c r="H55" s="50">
        <f>IF($T55="","",IF($S55="S",IF(INDEX(Firms!$G$5:$G$1004,$T55)="","",INDEX(Firms!$G$5:$G$1004,$T55)),IF(INDEX('AFA Rates'!$F$5:$F$1004,$T55)="","",INDEX('AFA Rates'!$F$5:$F$1004,$T55))))</f>
        <v/>
      </c>
      <c r="I55" s="50">
        <f>IF($T55="","",IF($S55="S",IF(INDEX(Firms!$H$5:$H$1004,$T55)="","",INDEX(Firms!$H$5:$H$1004,$T55)),IF(INDEX('AFA Rates'!$G$5:$G$1004,$T55)="","",INDEX('AFA Rates'!$G$5:$G$1004,$T55))))</f>
        <v/>
      </c>
      <c r="J55" s="50">
        <f>IF($T55="","",IF($S55="S",IF(INDEX(Firms!$I$5:$I$1004,$T55)="","",INDEX(Firms!$I$5:$I$1004,$T55)),IF(INDEX('AFA Rates'!$H$5:$H$1004,$T55)="","",INDEX('AFA Rates'!$H$5:$H$1004,$T55))))</f>
        <v/>
      </c>
      <c r="K55" s="50">
        <f>IF($T55="","",IF($S55="S",IF(INDEX(Firms!$J$5:$J$1004,$T55)="","",INDEX(Firms!$J$5:$J$1004,$T55)),IF(INDEX('AFA Rates'!$I$5:$I$1004,$T55)="","",INDEX('AFA Rates'!$I$5:$I$1004,$T55))))</f>
        <v/>
      </c>
      <c r="L55" s="50">
        <f>IF($T55="","",IF($S55="S",IF(INDEX(Firms!$K$5:$K$1004,$T55)="","",INDEX(Firms!$K$5:$K$1004,$T55)),IF(INDEX('AFA Rates'!$J$5:$J$1004,$T55)="","",INDEX('AFA Rates'!$J$5:$J$1004,$T55))))</f>
        <v/>
      </c>
      <c r="M55" s="50">
        <f>IF($T55="","",IF($S55="S",IF(INDEX(Firms!$L$5:$L$1004,$T55)="","",INDEX(Firms!$L$5:$L$1004,$T55)),IF(INDEX('AFA Rates'!$K$5:$K$1004,$T55)="","",INDEX('AFA Rates'!$K$5:$K$1004,$T55))))</f>
        <v/>
      </c>
      <c r="N55" s="50">
        <f>IF($T55="","",IF($S55="S",IF(INDEX(Firms!$M$5:$M$1004,$T55)="","",INDEX(Firms!$M$5:$M$1004,$T55)),IF(INDEX('AFA Rates'!$L$5:$L$1004,$T55)="","",INDEX('AFA Rates'!$L$5:$L$1004,$T55))))</f>
        <v/>
      </c>
      <c r="O55" s="78">
        <f>IF(OR($T55="",$U55=""),"",IF(INDEX(Firms!$C$5:$C$1004,$U55)="","",INDEX(Firms!$C$5:$C$1004,$U55)))</f>
        <v/>
      </c>
      <c r="P55" s="79">
        <f>IF(OR($T55="",$U55=""),"",IF(INDEX(Firms!$N$5:$N$1004,$U55)="","",INDEX(Firms!$N$5:$N$1004,$U55)))</f>
        <v/>
      </c>
      <c r="Q55" s="78">
        <f>IF($T55="","",IF($S55="S",IF(INDEX(Firms!$T$5:$T$1004,$T55)="","",INDEX(Firms!$T$5:$T$1004,$T55)),IF(INDEX('AFA Rates'!$M$5:$M$1004,$T55)="","",INDEX('AFA Rates'!$M$5:$M$1004,$T55))))</f>
        <v/>
      </c>
      <c r="S55">
        <f>IF(51&lt;=$S$2,"S",IF(51&lt;=$S$2+$T$2,"A",""))</f>
        <v/>
      </c>
      <c r="T55">
        <f>IF(S55="S",MATCH(51,Firms!$W$5:$W$1004,0),IF(S55="A",IFERROR(MATCH(51-$S$2,'AFA Rates'!$R$5:$R$1004,0),""),""))</f>
        <v/>
      </c>
      <c r="U55">
        <f>IF(S55="S",T55,IF(AND(S55="A",T55&lt;&gt;""),IFERROR(MATCH(INDEX('AFA Rates'!$A$5:$A$1004,T55),Firms!$A$5:$A$1004,0),""),""))</f>
        <v/>
      </c>
    </row>
    <row r="56">
      <c r="A56" s="78">
        <f>IF($T56="","",IF($S56="S",IF(INDEX(Firms!$A$5:$A$1004,$T56)="","",INDEX(Firms!$A$5:$A$1004,$T56)),IF(INDEX('AFA Rates'!$A$5:$A$1004,$T56)="","",INDEX('AFA Rates'!$A$5:$A$1004,$T56))))</f>
        <v/>
      </c>
      <c r="B56" s="79">
        <f>IF(OR($T56="",$U56=""),IF($T56="","","Not on Firms tab"),INDEX(Firms!$B$5:$B$1004,$U56)&amp;"")</f>
        <v/>
      </c>
      <c r="C56" s="78">
        <f>IF($T56="","",IF($S56="S","Standard",INDEX('AFA Rates'!$B$5:$B$1004,$T56)&amp;""))</f>
        <v/>
      </c>
      <c r="D56" s="88">
        <f>IF($T56="","",IF($S56="S",IF(INDEX(Firms!$E$5:$E$1004,$T56)="","",INDEX(Firms!$E$5:$E$1004,$T56)),IF(INDEX('AFA Rates'!$C$5:$C$1004,$T56)="","",INDEX('AFA Rates'!$C$5:$C$1004,$T56))))</f>
        <v/>
      </c>
      <c r="E56" s="88">
        <f>IF($T56="","",IF($S56="S",IF(""="","",""),IF(INDEX('AFA Rates'!$D$5:$D$1004,$T56)="","",INDEX('AFA Rates'!$D$5:$D$1004,$T56))))</f>
        <v/>
      </c>
      <c r="F56" s="79">
        <f>IF($T56="","",IF($S56="S",IF(INDEX(Firms!$O$5:$O$1004,$T56)="","",INDEX(Firms!$O$5:$O$1004,$T56)),IF(INDEX('AFA Rates'!$O$5:$O$1004,$T56)="","",INDEX('AFA Rates'!$O$5:$O$1004,$T56))))</f>
        <v/>
      </c>
      <c r="G56" s="50">
        <f>IF($T56="","",IF($S56="S",IF(INDEX(Firms!$F$5:$F$1004,$T56)="","",INDEX(Firms!$F$5:$F$1004,$T56)),IF(INDEX('AFA Rates'!$E$5:$E$1004,$T56)="","",INDEX('AFA Rates'!$E$5:$E$1004,$T56))))</f>
        <v/>
      </c>
      <c r="H56" s="50">
        <f>IF($T56="","",IF($S56="S",IF(INDEX(Firms!$G$5:$G$1004,$T56)="","",INDEX(Firms!$G$5:$G$1004,$T56)),IF(INDEX('AFA Rates'!$F$5:$F$1004,$T56)="","",INDEX('AFA Rates'!$F$5:$F$1004,$T56))))</f>
        <v/>
      </c>
      <c r="I56" s="50">
        <f>IF($T56="","",IF($S56="S",IF(INDEX(Firms!$H$5:$H$1004,$T56)="","",INDEX(Firms!$H$5:$H$1004,$T56)),IF(INDEX('AFA Rates'!$G$5:$G$1004,$T56)="","",INDEX('AFA Rates'!$G$5:$G$1004,$T56))))</f>
        <v/>
      </c>
      <c r="J56" s="50">
        <f>IF($T56="","",IF($S56="S",IF(INDEX(Firms!$I$5:$I$1004,$T56)="","",INDEX(Firms!$I$5:$I$1004,$T56)),IF(INDEX('AFA Rates'!$H$5:$H$1004,$T56)="","",INDEX('AFA Rates'!$H$5:$H$1004,$T56))))</f>
        <v/>
      </c>
      <c r="K56" s="50">
        <f>IF($T56="","",IF($S56="S",IF(INDEX(Firms!$J$5:$J$1004,$T56)="","",INDEX(Firms!$J$5:$J$1004,$T56)),IF(INDEX('AFA Rates'!$I$5:$I$1004,$T56)="","",INDEX('AFA Rates'!$I$5:$I$1004,$T56))))</f>
        <v/>
      </c>
      <c r="L56" s="50">
        <f>IF($T56="","",IF($S56="S",IF(INDEX(Firms!$K$5:$K$1004,$T56)="","",INDEX(Firms!$K$5:$K$1004,$T56)),IF(INDEX('AFA Rates'!$J$5:$J$1004,$T56)="","",INDEX('AFA Rates'!$J$5:$J$1004,$T56))))</f>
        <v/>
      </c>
      <c r="M56" s="50">
        <f>IF($T56="","",IF($S56="S",IF(INDEX(Firms!$L$5:$L$1004,$T56)="","",INDEX(Firms!$L$5:$L$1004,$T56)),IF(INDEX('AFA Rates'!$K$5:$K$1004,$T56)="","",INDEX('AFA Rates'!$K$5:$K$1004,$T56))))</f>
        <v/>
      </c>
      <c r="N56" s="50">
        <f>IF($T56="","",IF($S56="S",IF(INDEX(Firms!$M$5:$M$1004,$T56)="","",INDEX(Firms!$M$5:$M$1004,$T56)),IF(INDEX('AFA Rates'!$L$5:$L$1004,$T56)="","",INDEX('AFA Rates'!$L$5:$L$1004,$T56))))</f>
        <v/>
      </c>
      <c r="O56" s="78">
        <f>IF(OR($T56="",$U56=""),"",IF(INDEX(Firms!$C$5:$C$1004,$U56)="","",INDEX(Firms!$C$5:$C$1004,$U56)))</f>
        <v/>
      </c>
      <c r="P56" s="79">
        <f>IF(OR($T56="",$U56=""),"",IF(INDEX(Firms!$N$5:$N$1004,$U56)="","",INDEX(Firms!$N$5:$N$1004,$U56)))</f>
        <v/>
      </c>
      <c r="Q56" s="78">
        <f>IF($T56="","",IF($S56="S",IF(INDEX(Firms!$T$5:$T$1004,$T56)="","",INDEX(Firms!$T$5:$T$1004,$T56)),IF(INDEX('AFA Rates'!$M$5:$M$1004,$T56)="","",INDEX('AFA Rates'!$M$5:$M$1004,$T56))))</f>
        <v/>
      </c>
      <c r="S56">
        <f>IF(52&lt;=$S$2,"S",IF(52&lt;=$S$2+$T$2,"A",""))</f>
        <v/>
      </c>
      <c r="T56">
        <f>IF(S56="S",MATCH(52,Firms!$W$5:$W$1004,0),IF(S56="A",IFERROR(MATCH(52-$S$2,'AFA Rates'!$R$5:$R$1004,0),""),""))</f>
        <v/>
      </c>
      <c r="U56">
        <f>IF(S56="S",T56,IF(AND(S56="A",T56&lt;&gt;""),IFERROR(MATCH(INDEX('AFA Rates'!$A$5:$A$1004,T56),Firms!$A$5:$A$1004,0),""),""))</f>
        <v/>
      </c>
    </row>
    <row r="57">
      <c r="A57" s="78">
        <f>IF($T57="","",IF($S57="S",IF(INDEX(Firms!$A$5:$A$1004,$T57)="","",INDEX(Firms!$A$5:$A$1004,$T57)),IF(INDEX('AFA Rates'!$A$5:$A$1004,$T57)="","",INDEX('AFA Rates'!$A$5:$A$1004,$T57))))</f>
        <v/>
      </c>
      <c r="B57" s="79">
        <f>IF(OR($T57="",$U57=""),IF($T57="","","Not on Firms tab"),INDEX(Firms!$B$5:$B$1004,$U57)&amp;"")</f>
        <v/>
      </c>
      <c r="C57" s="78">
        <f>IF($T57="","",IF($S57="S","Standard",INDEX('AFA Rates'!$B$5:$B$1004,$T57)&amp;""))</f>
        <v/>
      </c>
      <c r="D57" s="88">
        <f>IF($T57="","",IF($S57="S",IF(INDEX(Firms!$E$5:$E$1004,$T57)="","",INDEX(Firms!$E$5:$E$1004,$T57)),IF(INDEX('AFA Rates'!$C$5:$C$1004,$T57)="","",INDEX('AFA Rates'!$C$5:$C$1004,$T57))))</f>
        <v/>
      </c>
      <c r="E57" s="88">
        <f>IF($T57="","",IF($S57="S",IF(""="","",""),IF(INDEX('AFA Rates'!$D$5:$D$1004,$T57)="","",INDEX('AFA Rates'!$D$5:$D$1004,$T57))))</f>
        <v/>
      </c>
      <c r="F57" s="79">
        <f>IF($T57="","",IF($S57="S",IF(INDEX(Firms!$O$5:$O$1004,$T57)="","",INDEX(Firms!$O$5:$O$1004,$T57)),IF(INDEX('AFA Rates'!$O$5:$O$1004,$T57)="","",INDEX('AFA Rates'!$O$5:$O$1004,$T57))))</f>
        <v/>
      </c>
      <c r="G57" s="50">
        <f>IF($T57="","",IF($S57="S",IF(INDEX(Firms!$F$5:$F$1004,$T57)="","",INDEX(Firms!$F$5:$F$1004,$T57)),IF(INDEX('AFA Rates'!$E$5:$E$1004,$T57)="","",INDEX('AFA Rates'!$E$5:$E$1004,$T57))))</f>
        <v/>
      </c>
      <c r="H57" s="50">
        <f>IF($T57="","",IF($S57="S",IF(INDEX(Firms!$G$5:$G$1004,$T57)="","",INDEX(Firms!$G$5:$G$1004,$T57)),IF(INDEX('AFA Rates'!$F$5:$F$1004,$T57)="","",INDEX('AFA Rates'!$F$5:$F$1004,$T57))))</f>
        <v/>
      </c>
      <c r="I57" s="50">
        <f>IF($T57="","",IF($S57="S",IF(INDEX(Firms!$H$5:$H$1004,$T57)="","",INDEX(Firms!$H$5:$H$1004,$T57)),IF(INDEX('AFA Rates'!$G$5:$G$1004,$T57)="","",INDEX('AFA Rates'!$G$5:$G$1004,$T57))))</f>
        <v/>
      </c>
      <c r="J57" s="50">
        <f>IF($T57="","",IF($S57="S",IF(INDEX(Firms!$I$5:$I$1004,$T57)="","",INDEX(Firms!$I$5:$I$1004,$T57)),IF(INDEX('AFA Rates'!$H$5:$H$1004,$T57)="","",INDEX('AFA Rates'!$H$5:$H$1004,$T57))))</f>
        <v/>
      </c>
      <c r="K57" s="50">
        <f>IF($T57="","",IF($S57="S",IF(INDEX(Firms!$J$5:$J$1004,$T57)="","",INDEX(Firms!$J$5:$J$1004,$T57)),IF(INDEX('AFA Rates'!$I$5:$I$1004,$T57)="","",INDEX('AFA Rates'!$I$5:$I$1004,$T57))))</f>
        <v/>
      </c>
      <c r="L57" s="50">
        <f>IF($T57="","",IF($S57="S",IF(INDEX(Firms!$K$5:$K$1004,$T57)="","",INDEX(Firms!$K$5:$K$1004,$T57)),IF(INDEX('AFA Rates'!$J$5:$J$1004,$T57)="","",INDEX('AFA Rates'!$J$5:$J$1004,$T57))))</f>
        <v/>
      </c>
      <c r="M57" s="50">
        <f>IF($T57="","",IF($S57="S",IF(INDEX(Firms!$L$5:$L$1004,$T57)="","",INDEX(Firms!$L$5:$L$1004,$T57)),IF(INDEX('AFA Rates'!$K$5:$K$1004,$T57)="","",INDEX('AFA Rates'!$K$5:$K$1004,$T57))))</f>
        <v/>
      </c>
      <c r="N57" s="50">
        <f>IF($T57="","",IF($S57="S",IF(INDEX(Firms!$M$5:$M$1004,$T57)="","",INDEX(Firms!$M$5:$M$1004,$T57)),IF(INDEX('AFA Rates'!$L$5:$L$1004,$T57)="","",INDEX('AFA Rates'!$L$5:$L$1004,$T57))))</f>
        <v/>
      </c>
      <c r="O57" s="78">
        <f>IF(OR($T57="",$U57=""),"",IF(INDEX(Firms!$C$5:$C$1004,$U57)="","",INDEX(Firms!$C$5:$C$1004,$U57)))</f>
        <v/>
      </c>
      <c r="P57" s="79">
        <f>IF(OR($T57="",$U57=""),"",IF(INDEX(Firms!$N$5:$N$1004,$U57)="","",INDEX(Firms!$N$5:$N$1004,$U57)))</f>
        <v/>
      </c>
      <c r="Q57" s="78">
        <f>IF($T57="","",IF($S57="S",IF(INDEX(Firms!$T$5:$T$1004,$T57)="","",INDEX(Firms!$T$5:$T$1004,$T57)),IF(INDEX('AFA Rates'!$M$5:$M$1004,$T57)="","",INDEX('AFA Rates'!$M$5:$M$1004,$T57))))</f>
        <v/>
      </c>
      <c r="S57">
        <f>IF(53&lt;=$S$2,"S",IF(53&lt;=$S$2+$T$2,"A",""))</f>
        <v/>
      </c>
      <c r="T57">
        <f>IF(S57="S",MATCH(53,Firms!$W$5:$W$1004,0),IF(S57="A",IFERROR(MATCH(53-$S$2,'AFA Rates'!$R$5:$R$1004,0),""),""))</f>
        <v/>
      </c>
      <c r="U57">
        <f>IF(S57="S",T57,IF(AND(S57="A",T57&lt;&gt;""),IFERROR(MATCH(INDEX('AFA Rates'!$A$5:$A$1004,T57),Firms!$A$5:$A$1004,0),""),""))</f>
        <v/>
      </c>
    </row>
    <row r="58">
      <c r="A58" s="78">
        <f>IF($T58="","",IF($S58="S",IF(INDEX(Firms!$A$5:$A$1004,$T58)="","",INDEX(Firms!$A$5:$A$1004,$T58)),IF(INDEX('AFA Rates'!$A$5:$A$1004,$T58)="","",INDEX('AFA Rates'!$A$5:$A$1004,$T58))))</f>
        <v/>
      </c>
      <c r="B58" s="79">
        <f>IF(OR($T58="",$U58=""),IF($T58="","","Not on Firms tab"),INDEX(Firms!$B$5:$B$1004,$U58)&amp;"")</f>
        <v/>
      </c>
      <c r="C58" s="78">
        <f>IF($T58="","",IF($S58="S","Standard",INDEX('AFA Rates'!$B$5:$B$1004,$T58)&amp;""))</f>
        <v/>
      </c>
      <c r="D58" s="88">
        <f>IF($T58="","",IF($S58="S",IF(INDEX(Firms!$E$5:$E$1004,$T58)="","",INDEX(Firms!$E$5:$E$1004,$T58)),IF(INDEX('AFA Rates'!$C$5:$C$1004,$T58)="","",INDEX('AFA Rates'!$C$5:$C$1004,$T58))))</f>
        <v/>
      </c>
      <c r="E58" s="88">
        <f>IF($T58="","",IF($S58="S",IF(""="","",""),IF(INDEX('AFA Rates'!$D$5:$D$1004,$T58)="","",INDEX('AFA Rates'!$D$5:$D$1004,$T58))))</f>
        <v/>
      </c>
      <c r="F58" s="79">
        <f>IF($T58="","",IF($S58="S",IF(INDEX(Firms!$O$5:$O$1004,$T58)="","",INDEX(Firms!$O$5:$O$1004,$T58)),IF(INDEX('AFA Rates'!$O$5:$O$1004,$T58)="","",INDEX('AFA Rates'!$O$5:$O$1004,$T58))))</f>
        <v/>
      </c>
      <c r="G58" s="50">
        <f>IF($T58="","",IF($S58="S",IF(INDEX(Firms!$F$5:$F$1004,$T58)="","",INDEX(Firms!$F$5:$F$1004,$T58)),IF(INDEX('AFA Rates'!$E$5:$E$1004,$T58)="","",INDEX('AFA Rates'!$E$5:$E$1004,$T58))))</f>
        <v/>
      </c>
      <c r="H58" s="50">
        <f>IF($T58="","",IF($S58="S",IF(INDEX(Firms!$G$5:$G$1004,$T58)="","",INDEX(Firms!$G$5:$G$1004,$T58)),IF(INDEX('AFA Rates'!$F$5:$F$1004,$T58)="","",INDEX('AFA Rates'!$F$5:$F$1004,$T58))))</f>
        <v/>
      </c>
      <c r="I58" s="50">
        <f>IF($T58="","",IF($S58="S",IF(INDEX(Firms!$H$5:$H$1004,$T58)="","",INDEX(Firms!$H$5:$H$1004,$T58)),IF(INDEX('AFA Rates'!$G$5:$G$1004,$T58)="","",INDEX('AFA Rates'!$G$5:$G$1004,$T58))))</f>
        <v/>
      </c>
      <c r="J58" s="50">
        <f>IF($T58="","",IF($S58="S",IF(INDEX(Firms!$I$5:$I$1004,$T58)="","",INDEX(Firms!$I$5:$I$1004,$T58)),IF(INDEX('AFA Rates'!$H$5:$H$1004,$T58)="","",INDEX('AFA Rates'!$H$5:$H$1004,$T58))))</f>
        <v/>
      </c>
      <c r="K58" s="50">
        <f>IF($T58="","",IF($S58="S",IF(INDEX(Firms!$J$5:$J$1004,$T58)="","",INDEX(Firms!$J$5:$J$1004,$T58)),IF(INDEX('AFA Rates'!$I$5:$I$1004,$T58)="","",INDEX('AFA Rates'!$I$5:$I$1004,$T58))))</f>
        <v/>
      </c>
      <c r="L58" s="50">
        <f>IF($T58="","",IF($S58="S",IF(INDEX(Firms!$K$5:$K$1004,$T58)="","",INDEX(Firms!$K$5:$K$1004,$T58)),IF(INDEX('AFA Rates'!$J$5:$J$1004,$T58)="","",INDEX('AFA Rates'!$J$5:$J$1004,$T58))))</f>
        <v/>
      </c>
      <c r="M58" s="50">
        <f>IF($T58="","",IF($S58="S",IF(INDEX(Firms!$L$5:$L$1004,$T58)="","",INDEX(Firms!$L$5:$L$1004,$T58)),IF(INDEX('AFA Rates'!$K$5:$K$1004,$T58)="","",INDEX('AFA Rates'!$K$5:$K$1004,$T58))))</f>
        <v/>
      </c>
      <c r="N58" s="50">
        <f>IF($T58="","",IF($S58="S",IF(INDEX(Firms!$M$5:$M$1004,$T58)="","",INDEX(Firms!$M$5:$M$1004,$T58)),IF(INDEX('AFA Rates'!$L$5:$L$1004,$T58)="","",INDEX('AFA Rates'!$L$5:$L$1004,$T58))))</f>
        <v/>
      </c>
      <c r="O58" s="78">
        <f>IF(OR($T58="",$U58=""),"",IF(INDEX(Firms!$C$5:$C$1004,$U58)="","",INDEX(Firms!$C$5:$C$1004,$U58)))</f>
        <v/>
      </c>
      <c r="P58" s="79">
        <f>IF(OR($T58="",$U58=""),"",IF(INDEX(Firms!$N$5:$N$1004,$U58)="","",INDEX(Firms!$N$5:$N$1004,$U58)))</f>
        <v/>
      </c>
      <c r="Q58" s="78">
        <f>IF($T58="","",IF($S58="S",IF(INDEX(Firms!$T$5:$T$1004,$T58)="","",INDEX(Firms!$T$5:$T$1004,$T58)),IF(INDEX('AFA Rates'!$M$5:$M$1004,$T58)="","",INDEX('AFA Rates'!$M$5:$M$1004,$T58))))</f>
        <v/>
      </c>
      <c r="S58">
        <f>IF(54&lt;=$S$2,"S",IF(54&lt;=$S$2+$T$2,"A",""))</f>
        <v/>
      </c>
      <c r="T58">
        <f>IF(S58="S",MATCH(54,Firms!$W$5:$W$1004,0),IF(S58="A",IFERROR(MATCH(54-$S$2,'AFA Rates'!$R$5:$R$1004,0),""),""))</f>
        <v/>
      </c>
      <c r="U58">
        <f>IF(S58="S",T58,IF(AND(S58="A",T58&lt;&gt;""),IFERROR(MATCH(INDEX('AFA Rates'!$A$5:$A$1004,T58),Firms!$A$5:$A$1004,0),""),""))</f>
        <v/>
      </c>
    </row>
    <row r="59">
      <c r="A59" s="78">
        <f>IF($T59="","",IF($S59="S",IF(INDEX(Firms!$A$5:$A$1004,$T59)="","",INDEX(Firms!$A$5:$A$1004,$T59)),IF(INDEX('AFA Rates'!$A$5:$A$1004,$T59)="","",INDEX('AFA Rates'!$A$5:$A$1004,$T59))))</f>
        <v/>
      </c>
      <c r="B59" s="79">
        <f>IF(OR($T59="",$U59=""),IF($T59="","","Not on Firms tab"),INDEX(Firms!$B$5:$B$1004,$U59)&amp;"")</f>
        <v/>
      </c>
      <c r="C59" s="78">
        <f>IF($T59="","",IF($S59="S","Standard",INDEX('AFA Rates'!$B$5:$B$1004,$T59)&amp;""))</f>
        <v/>
      </c>
      <c r="D59" s="88">
        <f>IF($T59="","",IF($S59="S",IF(INDEX(Firms!$E$5:$E$1004,$T59)="","",INDEX(Firms!$E$5:$E$1004,$T59)),IF(INDEX('AFA Rates'!$C$5:$C$1004,$T59)="","",INDEX('AFA Rates'!$C$5:$C$1004,$T59))))</f>
        <v/>
      </c>
      <c r="E59" s="88">
        <f>IF($T59="","",IF($S59="S",IF(""="","",""),IF(INDEX('AFA Rates'!$D$5:$D$1004,$T59)="","",INDEX('AFA Rates'!$D$5:$D$1004,$T59))))</f>
        <v/>
      </c>
      <c r="F59" s="79">
        <f>IF($T59="","",IF($S59="S",IF(INDEX(Firms!$O$5:$O$1004,$T59)="","",INDEX(Firms!$O$5:$O$1004,$T59)),IF(INDEX('AFA Rates'!$O$5:$O$1004,$T59)="","",INDEX('AFA Rates'!$O$5:$O$1004,$T59))))</f>
        <v/>
      </c>
      <c r="G59" s="50">
        <f>IF($T59="","",IF($S59="S",IF(INDEX(Firms!$F$5:$F$1004,$T59)="","",INDEX(Firms!$F$5:$F$1004,$T59)),IF(INDEX('AFA Rates'!$E$5:$E$1004,$T59)="","",INDEX('AFA Rates'!$E$5:$E$1004,$T59))))</f>
        <v/>
      </c>
      <c r="H59" s="50">
        <f>IF($T59="","",IF($S59="S",IF(INDEX(Firms!$G$5:$G$1004,$T59)="","",INDEX(Firms!$G$5:$G$1004,$T59)),IF(INDEX('AFA Rates'!$F$5:$F$1004,$T59)="","",INDEX('AFA Rates'!$F$5:$F$1004,$T59))))</f>
        <v/>
      </c>
      <c r="I59" s="50">
        <f>IF($T59="","",IF($S59="S",IF(INDEX(Firms!$H$5:$H$1004,$T59)="","",INDEX(Firms!$H$5:$H$1004,$T59)),IF(INDEX('AFA Rates'!$G$5:$G$1004,$T59)="","",INDEX('AFA Rates'!$G$5:$G$1004,$T59))))</f>
        <v/>
      </c>
      <c r="J59" s="50">
        <f>IF($T59="","",IF($S59="S",IF(INDEX(Firms!$I$5:$I$1004,$T59)="","",INDEX(Firms!$I$5:$I$1004,$T59)),IF(INDEX('AFA Rates'!$H$5:$H$1004,$T59)="","",INDEX('AFA Rates'!$H$5:$H$1004,$T59))))</f>
        <v/>
      </c>
      <c r="K59" s="50">
        <f>IF($T59="","",IF($S59="S",IF(INDEX(Firms!$J$5:$J$1004,$T59)="","",INDEX(Firms!$J$5:$J$1004,$T59)),IF(INDEX('AFA Rates'!$I$5:$I$1004,$T59)="","",INDEX('AFA Rates'!$I$5:$I$1004,$T59))))</f>
        <v/>
      </c>
      <c r="L59" s="50">
        <f>IF($T59="","",IF($S59="S",IF(INDEX(Firms!$K$5:$K$1004,$T59)="","",INDEX(Firms!$K$5:$K$1004,$T59)),IF(INDEX('AFA Rates'!$J$5:$J$1004,$T59)="","",INDEX('AFA Rates'!$J$5:$J$1004,$T59))))</f>
        <v/>
      </c>
      <c r="M59" s="50">
        <f>IF($T59="","",IF($S59="S",IF(INDEX(Firms!$L$5:$L$1004,$T59)="","",INDEX(Firms!$L$5:$L$1004,$T59)),IF(INDEX('AFA Rates'!$K$5:$K$1004,$T59)="","",INDEX('AFA Rates'!$K$5:$K$1004,$T59))))</f>
        <v/>
      </c>
      <c r="N59" s="50">
        <f>IF($T59="","",IF($S59="S",IF(INDEX(Firms!$M$5:$M$1004,$T59)="","",INDEX(Firms!$M$5:$M$1004,$T59)),IF(INDEX('AFA Rates'!$L$5:$L$1004,$T59)="","",INDEX('AFA Rates'!$L$5:$L$1004,$T59))))</f>
        <v/>
      </c>
      <c r="O59" s="78">
        <f>IF(OR($T59="",$U59=""),"",IF(INDEX(Firms!$C$5:$C$1004,$U59)="","",INDEX(Firms!$C$5:$C$1004,$U59)))</f>
        <v/>
      </c>
      <c r="P59" s="79">
        <f>IF(OR($T59="",$U59=""),"",IF(INDEX(Firms!$N$5:$N$1004,$U59)="","",INDEX(Firms!$N$5:$N$1004,$U59)))</f>
        <v/>
      </c>
      <c r="Q59" s="78">
        <f>IF($T59="","",IF($S59="S",IF(INDEX(Firms!$T$5:$T$1004,$T59)="","",INDEX(Firms!$T$5:$T$1004,$T59)),IF(INDEX('AFA Rates'!$M$5:$M$1004,$T59)="","",INDEX('AFA Rates'!$M$5:$M$1004,$T59))))</f>
        <v/>
      </c>
      <c r="S59">
        <f>IF(55&lt;=$S$2,"S",IF(55&lt;=$S$2+$T$2,"A",""))</f>
        <v/>
      </c>
      <c r="T59">
        <f>IF(S59="S",MATCH(55,Firms!$W$5:$W$1004,0),IF(S59="A",IFERROR(MATCH(55-$S$2,'AFA Rates'!$R$5:$R$1004,0),""),""))</f>
        <v/>
      </c>
      <c r="U59">
        <f>IF(S59="S",T59,IF(AND(S59="A",T59&lt;&gt;""),IFERROR(MATCH(INDEX('AFA Rates'!$A$5:$A$1004,T59),Firms!$A$5:$A$1004,0),""),""))</f>
        <v/>
      </c>
    </row>
    <row r="60">
      <c r="A60" s="78">
        <f>IF($T60="","",IF($S60="S",IF(INDEX(Firms!$A$5:$A$1004,$T60)="","",INDEX(Firms!$A$5:$A$1004,$T60)),IF(INDEX('AFA Rates'!$A$5:$A$1004,$T60)="","",INDEX('AFA Rates'!$A$5:$A$1004,$T60))))</f>
        <v/>
      </c>
      <c r="B60" s="79">
        <f>IF(OR($T60="",$U60=""),IF($T60="","","Not on Firms tab"),INDEX(Firms!$B$5:$B$1004,$U60)&amp;"")</f>
        <v/>
      </c>
      <c r="C60" s="78">
        <f>IF($T60="","",IF($S60="S","Standard",INDEX('AFA Rates'!$B$5:$B$1004,$T60)&amp;""))</f>
        <v/>
      </c>
      <c r="D60" s="88">
        <f>IF($T60="","",IF($S60="S",IF(INDEX(Firms!$E$5:$E$1004,$T60)="","",INDEX(Firms!$E$5:$E$1004,$T60)),IF(INDEX('AFA Rates'!$C$5:$C$1004,$T60)="","",INDEX('AFA Rates'!$C$5:$C$1004,$T60))))</f>
        <v/>
      </c>
      <c r="E60" s="88">
        <f>IF($T60="","",IF($S60="S",IF(""="","",""),IF(INDEX('AFA Rates'!$D$5:$D$1004,$T60)="","",INDEX('AFA Rates'!$D$5:$D$1004,$T60))))</f>
        <v/>
      </c>
      <c r="F60" s="79">
        <f>IF($T60="","",IF($S60="S",IF(INDEX(Firms!$O$5:$O$1004,$T60)="","",INDEX(Firms!$O$5:$O$1004,$T60)),IF(INDEX('AFA Rates'!$O$5:$O$1004,$T60)="","",INDEX('AFA Rates'!$O$5:$O$1004,$T60))))</f>
        <v/>
      </c>
      <c r="G60" s="50">
        <f>IF($T60="","",IF($S60="S",IF(INDEX(Firms!$F$5:$F$1004,$T60)="","",INDEX(Firms!$F$5:$F$1004,$T60)),IF(INDEX('AFA Rates'!$E$5:$E$1004,$T60)="","",INDEX('AFA Rates'!$E$5:$E$1004,$T60))))</f>
        <v/>
      </c>
      <c r="H60" s="50">
        <f>IF($T60="","",IF($S60="S",IF(INDEX(Firms!$G$5:$G$1004,$T60)="","",INDEX(Firms!$G$5:$G$1004,$T60)),IF(INDEX('AFA Rates'!$F$5:$F$1004,$T60)="","",INDEX('AFA Rates'!$F$5:$F$1004,$T60))))</f>
        <v/>
      </c>
      <c r="I60" s="50">
        <f>IF($T60="","",IF($S60="S",IF(INDEX(Firms!$H$5:$H$1004,$T60)="","",INDEX(Firms!$H$5:$H$1004,$T60)),IF(INDEX('AFA Rates'!$G$5:$G$1004,$T60)="","",INDEX('AFA Rates'!$G$5:$G$1004,$T60))))</f>
        <v/>
      </c>
      <c r="J60" s="50">
        <f>IF($T60="","",IF($S60="S",IF(INDEX(Firms!$I$5:$I$1004,$T60)="","",INDEX(Firms!$I$5:$I$1004,$T60)),IF(INDEX('AFA Rates'!$H$5:$H$1004,$T60)="","",INDEX('AFA Rates'!$H$5:$H$1004,$T60))))</f>
        <v/>
      </c>
      <c r="K60" s="50">
        <f>IF($T60="","",IF($S60="S",IF(INDEX(Firms!$J$5:$J$1004,$T60)="","",INDEX(Firms!$J$5:$J$1004,$T60)),IF(INDEX('AFA Rates'!$I$5:$I$1004,$T60)="","",INDEX('AFA Rates'!$I$5:$I$1004,$T60))))</f>
        <v/>
      </c>
      <c r="L60" s="50">
        <f>IF($T60="","",IF($S60="S",IF(INDEX(Firms!$K$5:$K$1004,$T60)="","",INDEX(Firms!$K$5:$K$1004,$T60)),IF(INDEX('AFA Rates'!$J$5:$J$1004,$T60)="","",INDEX('AFA Rates'!$J$5:$J$1004,$T60))))</f>
        <v/>
      </c>
      <c r="M60" s="50">
        <f>IF($T60="","",IF($S60="S",IF(INDEX(Firms!$L$5:$L$1004,$T60)="","",INDEX(Firms!$L$5:$L$1004,$T60)),IF(INDEX('AFA Rates'!$K$5:$K$1004,$T60)="","",INDEX('AFA Rates'!$K$5:$K$1004,$T60))))</f>
        <v/>
      </c>
      <c r="N60" s="50">
        <f>IF($T60="","",IF($S60="S",IF(INDEX(Firms!$M$5:$M$1004,$T60)="","",INDEX(Firms!$M$5:$M$1004,$T60)),IF(INDEX('AFA Rates'!$L$5:$L$1004,$T60)="","",INDEX('AFA Rates'!$L$5:$L$1004,$T60))))</f>
        <v/>
      </c>
      <c r="O60" s="78">
        <f>IF(OR($T60="",$U60=""),"",IF(INDEX(Firms!$C$5:$C$1004,$U60)="","",INDEX(Firms!$C$5:$C$1004,$U60)))</f>
        <v/>
      </c>
      <c r="P60" s="79">
        <f>IF(OR($T60="",$U60=""),"",IF(INDEX(Firms!$N$5:$N$1004,$U60)="","",INDEX(Firms!$N$5:$N$1004,$U60)))</f>
        <v/>
      </c>
      <c r="Q60" s="78">
        <f>IF($T60="","",IF($S60="S",IF(INDEX(Firms!$T$5:$T$1004,$T60)="","",INDEX(Firms!$T$5:$T$1004,$T60)),IF(INDEX('AFA Rates'!$M$5:$M$1004,$T60)="","",INDEX('AFA Rates'!$M$5:$M$1004,$T60))))</f>
        <v/>
      </c>
      <c r="S60">
        <f>IF(56&lt;=$S$2,"S",IF(56&lt;=$S$2+$T$2,"A",""))</f>
        <v/>
      </c>
      <c r="T60">
        <f>IF(S60="S",MATCH(56,Firms!$W$5:$W$1004,0),IF(S60="A",IFERROR(MATCH(56-$S$2,'AFA Rates'!$R$5:$R$1004,0),""),""))</f>
        <v/>
      </c>
      <c r="U60">
        <f>IF(S60="S",T60,IF(AND(S60="A",T60&lt;&gt;""),IFERROR(MATCH(INDEX('AFA Rates'!$A$5:$A$1004,T60),Firms!$A$5:$A$1004,0),""),""))</f>
        <v/>
      </c>
    </row>
    <row r="61">
      <c r="A61" s="78">
        <f>IF($T61="","",IF($S61="S",IF(INDEX(Firms!$A$5:$A$1004,$T61)="","",INDEX(Firms!$A$5:$A$1004,$T61)),IF(INDEX('AFA Rates'!$A$5:$A$1004,$T61)="","",INDEX('AFA Rates'!$A$5:$A$1004,$T61))))</f>
        <v/>
      </c>
      <c r="B61" s="79">
        <f>IF(OR($T61="",$U61=""),IF($T61="","","Not on Firms tab"),INDEX(Firms!$B$5:$B$1004,$U61)&amp;"")</f>
        <v/>
      </c>
      <c r="C61" s="78">
        <f>IF($T61="","",IF($S61="S","Standard",INDEX('AFA Rates'!$B$5:$B$1004,$T61)&amp;""))</f>
        <v/>
      </c>
      <c r="D61" s="88">
        <f>IF($T61="","",IF($S61="S",IF(INDEX(Firms!$E$5:$E$1004,$T61)="","",INDEX(Firms!$E$5:$E$1004,$T61)),IF(INDEX('AFA Rates'!$C$5:$C$1004,$T61)="","",INDEX('AFA Rates'!$C$5:$C$1004,$T61))))</f>
        <v/>
      </c>
      <c r="E61" s="88">
        <f>IF($T61="","",IF($S61="S",IF(""="","",""),IF(INDEX('AFA Rates'!$D$5:$D$1004,$T61)="","",INDEX('AFA Rates'!$D$5:$D$1004,$T61))))</f>
        <v/>
      </c>
      <c r="F61" s="79">
        <f>IF($T61="","",IF($S61="S",IF(INDEX(Firms!$O$5:$O$1004,$T61)="","",INDEX(Firms!$O$5:$O$1004,$T61)),IF(INDEX('AFA Rates'!$O$5:$O$1004,$T61)="","",INDEX('AFA Rates'!$O$5:$O$1004,$T61))))</f>
        <v/>
      </c>
      <c r="G61" s="50">
        <f>IF($T61="","",IF($S61="S",IF(INDEX(Firms!$F$5:$F$1004,$T61)="","",INDEX(Firms!$F$5:$F$1004,$T61)),IF(INDEX('AFA Rates'!$E$5:$E$1004,$T61)="","",INDEX('AFA Rates'!$E$5:$E$1004,$T61))))</f>
        <v/>
      </c>
      <c r="H61" s="50">
        <f>IF($T61="","",IF($S61="S",IF(INDEX(Firms!$G$5:$G$1004,$T61)="","",INDEX(Firms!$G$5:$G$1004,$T61)),IF(INDEX('AFA Rates'!$F$5:$F$1004,$T61)="","",INDEX('AFA Rates'!$F$5:$F$1004,$T61))))</f>
        <v/>
      </c>
      <c r="I61" s="50">
        <f>IF($T61="","",IF($S61="S",IF(INDEX(Firms!$H$5:$H$1004,$T61)="","",INDEX(Firms!$H$5:$H$1004,$T61)),IF(INDEX('AFA Rates'!$G$5:$G$1004,$T61)="","",INDEX('AFA Rates'!$G$5:$G$1004,$T61))))</f>
        <v/>
      </c>
      <c r="J61" s="50">
        <f>IF($T61="","",IF($S61="S",IF(INDEX(Firms!$I$5:$I$1004,$T61)="","",INDEX(Firms!$I$5:$I$1004,$T61)),IF(INDEX('AFA Rates'!$H$5:$H$1004,$T61)="","",INDEX('AFA Rates'!$H$5:$H$1004,$T61))))</f>
        <v/>
      </c>
      <c r="K61" s="50">
        <f>IF($T61="","",IF($S61="S",IF(INDEX(Firms!$J$5:$J$1004,$T61)="","",INDEX(Firms!$J$5:$J$1004,$T61)),IF(INDEX('AFA Rates'!$I$5:$I$1004,$T61)="","",INDEX('AFA Rates'!$I$5:$I$1004,$T61))))</f>
        <v/>
      </c>
      <c r="L61" s="50">
        <f>IF($T61="","",IF($S61="S",IF(INDEX(Firms!$K$5:$K$1004,$T61)="","",INDEX(Firms!$K$5:$K$1004,$T61)),IF(INDEX('AFA Rates'!$J$5:$J$1004,$T61)="","",INDEX('AFA Rates'!$J$5:$J$1004,$T61))))</f>
        <v/>
      </c>
      <c r="M61" s="50">
        <f>IF($T61="","",IF($S61="S",IF(INDEX(Firms!$L$5:$L$1004,$T61)="","",INDEX(Firms!$L$5:$L$1004,$T61)),IF(INDEX('AFA Rates'!$K$5:$K$1004,$T61)="","",INDEX('AFA Rates'!$K$5:$K$1004,$T61))))</f>
        <v/>
      </c>
      <c r="N61" s="50">
        <f>IF($T61="","",IF($S61="S",IF(INDEX(Firms!$M$5:$M$1004,$T61)="","",INDEX(Firms!$M$5:$M$1004,$T61)),IF(INDEX('AFA Rates'!$L$5:$L$1004,$T61)="","",INDEX('AFA Rates'!$L$5:$L$1004,$T61))))</f>
        <v/>
      </c>
      <c r="O61" s="78">
        <f>IF(OR($T61="",$U61=""),"",IF(INDEX(Firms!$C$5:$C$1004,$U61)="","",INDEX(Firms!$C$5:$C$1004,$U61)))</f>
        <v/>
      </c>
      <c r="P61" s="79">
        <f>IF(OR($T61="",$U61=""),"",IF(INDEX(Firms!$N$5:$N$1004,$U61)="","",INDEX(Firms!$N$5:$N$1004,$U61)))</f>
        <v/>
      </c>
      <c r="Q61" s="78">
        <f>IF($T61="","",IF($S61="S",IF(INDEX(Firms!$T$5:$T$1004,$T61)="","",INDEX(Firms!$T$5:$T$1004,$T61)),IF(INDEX('AFA Rates'!$M$5:$M$1004,$T61)="","",INDEX('AFA Rates'!$M$5:$M$1004,$T61))))</f>
        <v/>
      </c>
      <c r="S61">
        <f>IF(57&lt;=$S$2,"S",IF(57&lt;=$S$2+$T$2,"A",""))</f>
        <v/>
      </c>
      <c r="T61">
        <f>IF(S61="S",MATCH(57,Firms!$W$5:$W$1004,0),IF(S61="A",IFERROR(MATCH(57-$S$2,'AFA Rates'!$R$5:$R$1004,0),""),""))</f>
        <v/>
      </c>
      <c r="U61">
        <f>IF(S61="S",T61,IF(AND(S61="A",T61&lt;&gt;""),IFERROR(MATCH(INDEX('AFA Rates'!$A$5:$A$1004,T61),Firms!$A$5:$A$1004,0),""),""))</f>
        <v/>
      </c>
    </row>
    <row r="62">
      <c r="A62" s="78">
        <f>IF($T62="","",IF($S62="S",IF(INDEX(Firms!$A$5:$A$1004,$T62)="","",INDEX(Firms!$A$5:$A$1004,$T62)),IF(INDEX('AFA Rates'!$A$5:$A$1004,$T62)="","",INDEX('AFA Rates'!$A$5:$A$1004,$T62))))</f>
        <v/>
      </c>
      <c r="B62" s="79">
        <f>IF(OR($T62="",$U62=""),IF($T62="","","Not on Firms tab"),INDEX(Firms!$B$5:$B$1004,$U62)&amp;"")</f>
        <v/>
      </c>
      <c r="C62" s="78">
        <f>IF($T62="","",IF($S62="S","Standard",INDEX('AFA Rates'!$B$5:$B$1004,$T62)&amp;""))</f>
        <v/>
      </c>
      <c r="D62" s="88">
        <f>IF($T62="","",IF($S62="S",IF(INDEX(Firms!$E$5:$E$1004,$T62)="","",INDEX(Firms!$E$5:$E$1004,$T62)),IF(INDEX('AFA Rates'!$C$5:$C$1004,$T62)="","",INDEX('AFA Rates'!$C$5:$C$1004,$T62))))</f>
        <v/>
      </c>
      <c r="E62" s="88">
        <f>IF($T62="","",IF($S62="S",IF(""="","",""),IF(INDEX('AFA Rates'!$D$5:$D$1004,$T62)="","",INDEX('AFA Rates'!$D$5:$D$1004,$T62))))</f>
        <v/>
      </c>
      <c r="F62" s="79">
        <f>IF($T62="","",IF($S62="S",IF(INDEX(Firms!$O$5:$O$1004,$T62)="","",INDEX(Firms!$O$5:$O$1004,$T62)),IF(INDEX('AFA Rates'!$O$5:$O$1004,$T62)="","",INDEX('AFA Rates'!$O$5:$O$1004,$T62))))</f>
        <v/>
      </c>
      <c r="G62" s="50">
        <f>IF($T62="","",IF($S62="S",IF(INDEX(Firms!$F$5:$F$1004,$T62)="","",INDEX(Firms!$F$5:$F$1004,$T62)),IF(INDEX('AFA Rates'!$E$5:$E$1004,$T62)="","",INDEX('AFA Rates'!$E$5:$E$1004,$T62))))</f>
        <v/>
      </c>
      <c r="H62" s="50">
        <f>IF($T62="","",IF($S62="S",IF(INDEX(Firms!$G$5:$G$1004,$T62)="","",INDEX(Firms!$G$5:$G$1004,$T62)),IF(INDEX('AFA Rates'!$F$5:$F$1004,$T62)="","",INDEX('AFA Rates'!$F$5:$F$1004,$T62))))</f>
        <v/>
      </c>
      <c r="I62" s="50">
        <f>IF($T62="","",IF($S62="S",IF(INDEX(Firms!$H$5:$H$1004,$T62)="","",INDEX(Firms!$H$5:$H$1004,$T62)),IF(INDEX('AFA Rates'!$G$5:$G$1004,$T62)="","",INDEX('AFA Rates'!$G$5:$G$1004,$T62))))</f>
        <v/>
      </c>
      <c r="J62" s="50">
        <f>IF($T62="","",IF($S62="S",IF(INDEX(Firms!$I$5:$I$1004,$T62)="","",INDEX(Firms!$I$5:$I$1004,$T62)),IF(INDEX('AFA Rates'!$H$5:$H$1004,$T62)="","",INDEX('AFA Rates'!$H$5:$H$1004,$T62))))</f>
        <v/>
      </c>
      <c r="K62" s="50">
        <f>IF($T62="","",IF($S62="S",IF(INDEX(Firms!$J$5:$J$1004,$T62)="","",INDEX(Firms!$J$5:$J$1004,$T62)),IF(INDEX('AFA Rates'!$I$5:$I$1004,$T62)="","",INDEX('AFA Rates'!$I$5:$I$1004,$T62))))</f>
        <v/>
      </c>
      <c r="L62" s="50">
        <f>IF($T62="","",IF($S62="S",IF(INDEX(Firms!$K$5:$K$1004,$T62)="","",INDEX(Firms!$K$5:$K$1004,$T62)),IF(INDEX('AFA Rates'!$J$5:$J$1004,$T62)="","",INDEX('AFA Rates'!$J$5:$J$1004,$T62))))</f>
        <v/>
      </c>
      <c r="M62" s="50">
        <f>IF($T62="","",IF($S62="S",IF(INDEX(Firms!$L$5:$L$1004,$T62)="","",INDEX(Firms!$L$5:$L$1004,$T62)),IF(INDEX('AFA Rates'!$K$5:$K$1004,$T62)="","",INDEX('AFA Rates'!$K$5:$K$1004,$T62))))</f>
        <v/>
      </c>
      <c r="N62" s="50">
        <f>IF($T62="","",IF($S62="S",IF(INDEX(Firms!$M$5:$M$1004,$T62)="","",INDEX(Firms!$M$5:$M$1004,$T62)),IF(INDEX('AFA Rates'!$L$5:$L$1004,$T62)="","",INDEX('AFA Rates'!$L$5:$L$1004,$T62))))</f>
        <v/>
      </c>
      <c r="O62" s="78">
        <f>IF(OR($T62="",$U62=""),"",IF(INDEX(Firms!$C$5:$C$1004,$U62)="","",INDEX(Firms!$C$5:$C$1004,$U62)))</f>
        <v/>
      </c>
      <c r="P62" s="79">
        <f>IF(OR($T62="",$U62=""),"",IF(INDEX(Firms!$N$5:$N$1004,$U62)="","",INDEX(Firms!$N$5:$N$1004,$U62)))</f>
        <v/>
      </c>
      <c r="Q62" s="78">
        <f>IF($T62="","",IF($S62="S",IF(INDEX(Firms!$T$5:$T$1004,$T62)="","",INDEX(Firms!$T$5:$T$1004,$T62)),IF(INDEX('AFA Rates'!$M$5:$M$1004,$T62)="","",INDEX('AFA Rates'!$M$5:$M$1004,$T62))))</f>
        <v/>
      </c>
      <c r="S62">
        <f>IF(58&lt;=$S$2,"S",IF(58&lt;=$S$2+$T$2,"A",""))</f>
        <v/>
      </c>
      <c r="T62">
        <f>IF(S62="S",MATCH(58,Firms!$W$5:$W$1004,0),IF(S62="A",IFERROR(MATCH(58-$S$2,'AFA Rates'!$R$5:$R$1004,0),""),""))</f>
        <v/>
      </c>
      <c r="U62">
        <f>IF(S62="S",T62,IF(AND(S62="A",T62&lt;&gt;""),IFERROR(MATCH(INDEX('AFA Rates'!$A$5:$A$1004,T62),Firms!$A$5:$A$1004,0),""),""))</f>
        <v/>
      </c>
    </row>
    <row r="63">
      <c r="A63" s="78">
        <f>IF($T63="","",IF($S63="S",IF(INDEX(Firms!$A$5:$A$1004,$T63)="","",INDEX(Firms!$A$5:$A$1004,$T63)),IF(INDEX('AFA Rates'!$A$5:$A$1004,$T63)="","",INDEX('AFA Rates'!$A$5:$A$1004,$T63))))</f>
        <v/>
      </c>
      <c r="B63" s="79">
        <f>IF(OR($T63="",$U63=""),IF($T63="","","Not on Firms tab"),INDEX(Firms!$B$5:$B$1004,$U63)&amp;"")</f>
        <v/>
      </c>
      <c r="C63" s="78">
        <f>IF($T63="","",IF($S63="S","Standard",INDEX('AFA Rates'!$B$5:$B$1004,$T63)&amp;""))</f>
        <v/>
      </c>
      <c r="D63" s="88">
        <f>IF($T63="","",IF($S63="S",IF(INDEX(Firms!$E$5:$E$1004,$T63)="","",INDEX(Firms!$E$5:$E$1004,$T63)),IF(INDEX('AFA Rates'!$C$5:$C$1004,$T63)="","",INDEX('AFA Rates'!$C$5:$C$1004,$T63))))</f>
        <v/>
      </c>
      <c r="E63" s="88">
        <f>IF($T63="","",IF($S63="S",IF(""="","",""),IF(INDEX('AFA Rates'!$D$5:$D$1004,$T63)="","",INDEX('AFA Rates'!$D$5:$D$1004,$T63))))</f>
        <v/>
      </c>
      <c r="F63" s="79">
        <f>IF($T63="","",IF($S63="S",IF(INDEX(Firms!$O$5:$O$1004,$T63)="","",INDEX(Firms!$O$5:$O$1004,$T63)),IF(INDEX('AFA Rates'!$O$5:$O$1004,$T63)="","",INDEX('AFA Rates'!$O$5:$O$1004,$T63))))</f>
        <v/>
      </c>
      <c r="G63" s="50">
        <f>IF($T63="","",IF($S63="S",IF(INDEX(Firms!$F$5:$F$1004,$T63)="","",INDEX(Firms!$F$5:$F$1004,$T63)),IF(INDEX('AFA Rates'!$E$5:$E$1004,$T63)="","",INDEX('AFA Rates'!$E$5:$E$1004,$T63))))</f>
        <v/>
      </c>
      <c r="H63" s="50">
        <f>IF($T63="","",IF($S63="S",IF(INDEX(Firms!$G$5:$G$1004,$T63)="","",INDEX(Firms!$G$5:$G$1004,$T63)),IF(INDEX('AFA Rates'!$F$5:$F$1004,$T63)="","",INDEX('AFA Rates'!$F$5:$F$1004,$T63))))</f>
        <v/>
      </c>
      <c r="I63" s="50">
        <f>IF($T63="","",IF($S63="S",IF(INDEX(Firms!$H$5:$H$1004,$T63)="","",INDEX(Firms!$H$5:$H$1004,$T63)),IF(INDEX('AFA Rates'!$G$5:$G$1004,$T63)="","",INDEX('AFA Rates'!$G$5:$G$1004,$T63))))</f>
        <v/>
      </c>
      <c r="J63" s="50">
        <f>IF($T63="","",IF($S63="S",IF(INDEX(Firms!$I$5:$I$1004,$T63)="","",INDEX(Firms!$I$5:$I$1004,$T63)),IF(INDEX('AFA Rates'!$H$5:$H$1004,$T63)="","",INDEX('AFA Rates'!$H$5:$H$1004,$T63))))</f>
        <v/>
      </c>
      <c r="K63" s="50">
        <f>IF($T63="","",IF($S63="S",IF(INDEX(Firms!$J$5:$J$1004,$T63)="","",INDEX(Firms!$J$5:$J$1004,$T63)),IF(INDEX('AFA Rates'!$I$5:$I$1004,$T63)="","",INDEX('AFA Rates'!$I$5:$I$1004,$T63))))</f>
        <v/>
      </c>
      <c r="L63" s="50">
        <f>IF($T63="","",IF($S63="S",IF(INDEX(Firms!$K$5:$K$1004,$T63)="","",INDEX(Firms!$K$5:$K$1004,$T63)),IF(INDEX('AFA Rates'!$J$5:$J$1004,$T63)="","",INDEX('AFA Rates'!$J$5:$J$1004,$T63))))</f>
        <v/>
      </c>
      <c r="M63" s="50">
        <f>IF($T63="","",IF($S63="S",IF(INDEX(Firms!$L$5:$L$1004,$T63)="","",INDEX(Firms!$L$5:$L$1004,$T63)),IF(INDEX('AFA Rates'!$K$5:$K$1004,$T63)="","",INDEX('AFA Rates'!$K$5:$K$1004,$T63))))</f>
        <v/>
      </c>
      <c r="N63" s="50">
        <f>IF($T63="","",IF($S63="S",IF(INDEX(Firms!$M$5:$M$1004,$T63)="","",INDEX(Firms!$M$5:$M$1004,$T63)),IF(INDEX('AFA Rates'!$L$5:$L$1004,$T63)="","",INDEX('AFA Rates'!$L$5:$L$1004,$T63))))</f>
        <v/>
      </c>
      <c r="O63" s="78">
        <f>IF(OR($T63="",$U63=""),"",IF(INDEX(Firms!$C$5:$C$1004,$U63)="","",INDEX(Firms!$C$5:$C$1004,$U63)))</f>
        <v/>
      </c>
      <c r="P63" s="79">
        <f>IF(OR($T63="",$U63=""),"",IF(INDEX(Firms!$N$5:$N$1004,$U63)="","",INDEX(Firms!$N$5:$N$1004,$U63)))</f>
        <v/>
      </c>
      <c r="Q63" s="78">
        <f>IF($T63="","",IF($S63="S",IF(INDEX(Firms!$T$5:$T$1004,$T63)="","",INDEX(Firms!$T$5:$T$1004,$T63)),IF(INDEX('AFA Rates'!$M$5:$M$1004,$T63)="","",INDEX('AFA Rates'!$M$5:$M$1004,$T63))))</f>
        <v/>
      </c>
      <c r="S63">
        <f>IF(59&lt;=$S$2,"S",IF(59&lt;=$S$2+$T$2,"A",""))</f>
        <v/>
      </c>
      <c r="T63">
        <f>IF(S63="S",MATCH(59,Firms!$W$5:$W$1004,0),IF(S63="A",IFERROR(MATCH(59-$S$2,'AFA Rates'!$R$5:$R$1004,0),""),""))</f>
        <v/>
      </c>
      <c r="U63">
        <f>IF(S63="S",T63,IF(AND(S63="A",T63&lt;&gt;""),IFERROR(MATCH(INDEX('AFA Rates'!$A$5:$A$1004,T63),Firms!$A$5:$A$1004,0),""),""))</f>
        <v/>
      </c>
    </row>
    <row r="64">
      <c r="A64" s="78">
        <f>IF($T64="","",IF($S64="S",IF(INDEX(Firms!$A$5:$A$1004,$T64)="","",INDEX(Firms!$A$5:$A$1004,$T64)),IF(INDEX('AFA Rates'!$A$5:$A$1004,$T64)="","",INDEX('AFA Rates'!$A$5:$A$1004,$T64))))</f>
        <v/>
      </c>
      <c r="B64" s="79">
        <f>IF(OR($T64="",$U64=""),IF($T64="","","Not on Firms tab"),INDEX(Firms!$B$5:$B$1004,$U64)&amp;"")</f>
        <v/>
      </c>
      <c r="C64" s="78">
        <f>IF($T64="","",IF($S64="S","Standard",INDEX('AFA Rates'!$B$5:$B$1004,$T64)&amp;""))</f>
        <v/>
      </c>
      <c r="D64" s="88">
        <f>IF($T64="","",IF($S64="S",IF(INDEX(Firms!$E$5:$E$1004,$T64)="","",INDEX(Firms!$E$5:$E$1004,$T64)),IF(INDEX('AFA Rates'!$C$5:$C$1004,$T64)="","",INDEX('AFA Rates'!$C$5:$C$1004,$T64))))</f>
        <v/>
      </c>
      <c r="E64" s="88">
        <f>IF($T64="","",IF($S64="S",IF(""="","",""),IF(INDEX('AFA Rates'!$D$5:$D$1004,$T64)="","",INDEX('AFA Rates'!$D$5:$D$1004,$T64))))</f>
        <v/>
      </c>
      <c r="F64" s="79">
        <f>IF($T64="","",IF($S64="S",IF(INDEX(Firms!$O$5:$O$1004,$T64)="","",INDEX(Firms!$O$5:$O$1004,$T64)),IF(INDEX('AFA Rates'!$O$5:$O$1004,$T64)="","",INDEX('AFA Rates'!$O$5:$O$1004,$T64))))</f>
        <v/>
      </c>
      <c r="G64" s="50">
        <f>IF($T64="","",IF($S64="S",IF(INDEX(Firms!$F$5:$F$1004,$T64)="","",INDEX(Firms!$F$5:$F$1004,$T64)),IF(INDEX('AFA Rates'!$E$5:$E$1004,$T64)="","",INDEX('AFA Rates'!$E$5:$E$1004,$T64))))</f>
        <v/>
      </c>
      <c r="H64" s="50">
        <f>IF($T64="","",IF($S64="S",IF(INDEX(Firms!$G$5:$G$1004,$T64)="","",INDEX(Firms!$G$5:$G$1004,$T64)),IF(INDEX('AFA Rates'!$F$5:$F$1004,$T64)="","",INDEX('AFA Rates'!$F$5:$F$1004,$T64))))</f>
        <v/>
      </c>
      <c r="I64" s="50">
        <f>IF($T64="","",IF($S64="S",IF(INDEX(Firms!$H$5:$H$1004,$T64)="","",INDEX(Firms!$H$5:$H$1004,$T64)),IF(INDEX('AFA Rates'!$G$5:$G$1004,$T64)="","",INDEX('AFA Rates'!$G$5:$G$1004,$T64))))</f>
        <v/>
      </c>
      <c r="J64" s="50">
        <f>IF($T64="","",IF($S64="S",IF(INDEX(Firms!$I$5:$I$1004,$T64)="","",INDEX(Firms!$I$5:$I$1004,$T64)),IF(INDEX('AFA Rates'!$H$5:$H$1004,$T64)="","",INDEX('AFA Rates'!$H$5:$H$1004,$T64))))</f>
        <v/>
      </c>
      <c r="K64" s="50">
        <f>IF($T64="","",IF($S64="S",IF(INDEX(Firms!$J$5:$J$1004,$T64)="","",INDEX(Firms!$J$5:$J$1004,$T64)),IF(INDEX('AFA Rates'!$I$5:$I$1004,$T64)="","",INDEX('AFA Rates'!$I$5:$I$1004,$T64))))</f>
        <v/>
      </c>
      <c r="L64" s="50">
        <f>IF($T64="","",IF($S64="S",IF(INDEX(Firms!$K$5:$K$1004,$T64)="","",INDEX(Firms!$K$5:$K$1004,$T64)),IF(INDEX('AFA Rates'!$J$5:$J$1004,$T64)="","",INDEX('AFA Rates'!$J$5:$J$1004,$T64))))</f>
        <v/>
      </c>
      <c r="M64" s="50">
        <f>IF($T64="","",IF($S64="S",IF(INDEX(Firms!$L$5:$L$1004,$T64)="","",INDEX(Firms!$L$5:$L$1004,$T64)),IF(INDEX('AFA Rates'!$K$5:$K$1004,$T64)="","",INDEX('AFA Rates'!$K$5:$K$1004,$T64))))</f>
        <v/>
      </c>
      <c r="N64" s="50">
        <f>IF($T64="","",IF($S64="S",IF(INDEX(Firms!$M$5:$M$1004,$T64)="","",INDEX(Firms!$M$5:$M$1004,$T64)),IF(INDEX('AFA Rates'!$L$5:$L$1004,$T64)="","",INDEX('AFA Rates'!$L$5:$L$1004,$T64))))</f>
        <v/>
      </c>
      <c r="O64" s="78">
        <f>IF(OR($T64="",$U64=""),"",IF(INDEX(Firms!$C$5:$C$1004,$U64)="","",INDEX(Firms!$C$5:$C$1004,$U64)))</f>
        <v/>
      </c>
      <c r="P64" s="79">
        <f>IF(OR($T64="",$U64=""),"",IF(INDEX(Firms!$N$5:$N$1004,$U64)="","",INDEX(Firms!$N$5:$N$1004,$U64)))</f>
        <v/>
      </c>
      <c r="Q64" s="78">
        <f>IF($T64="","",IF($S64="S",IF(INDEX(Firms!$T$5:$T$1004,$T64)="","",INDEX(Firms!$T$5:$T$1004,$T64)),IF(INDEX('AFA Rates'!$M$5:$M$1004,$T64)="","",INDEX('AFA Rates'!$M$5:$M$1004,$T64))))</f>
        <v/>
      </c>
      <c r="S64">
        <f>IF(60&lt;=$S$2,"S",IF(60&lt;=$S$2+$T$2,"A",""))</f>
        <v/>
      </c>
      <c r="T64">
        <f>IF(S64="S",MATCH(60,Firms!$W$5:$W$1004,0),IF(S64="A",IFERROR(MATCH(60-$S$2,'AFA Rates'!$R$5:$R$1004,0),""),""))</f>
        <v/>
      </c>
      <c r="U64">
        <f>IF(S64="S",T64,IF(AND(S64="A",T64&lt;&gt;""),IFERROR(MATCH(INDEX('AFA Rates'!$A$5:$A$1004,T64),Firms!$A$5:$A$1004,0),""),""))</f>
        <v/>
      </c>
    </row>
    <row r="65">
      <c r="A65" s="78">
        <f>IF($T65="","",IF($S65="S",IF(INDEX(Firms!$A$5:$A$1004,$T65)="","",INDEX(Firms!$A$5:$A$1004,$T65)),IF(INDEX('AFA Rates'!$A$5:$A$1004,$T65)="","",INDEX('AFA Rates'!$A$5:$A$1004,$T65))))</f>
        <v/>
      </c>
      <c r="B65" s="79">
        <f>IF(OR($T65="",$U65=""),IF($T65="","","Not on Firms tab"),INDEX(Firms!$B$5:$B$1004,$U65)&amp;"")</f>
        <v/>
      </c>
      <c r="C65" s="78">
        <f>IF($T65="","",IF($S65="S","Standard",INDEX('AFA Rates'!$B$5:$B$1004,$T65)&amp;""))</f>
        <v/>
      </c>
      <c r="D65" s="88">
        <f>IF($T65="","",IF($S65="S",IF(INDEX(Firms!$E$5:$E$1004,$T65)="","",INDEX(Firms!$E$5:$E$1004,$T65)),IF(INDEX('AFA Rates'!$C$5:$C$1004,$T65)="","",INDEX('AFA Rates'!$C$5:$C$1004,$T65))))</f>
        <v/>
      </c>
      <c r="E65" s="88">
        <f>IF($T65="","",IF($S65="S",IF(""="","",""),IF(INDEX('AFA Rates'!$D$5:$D$1004,$T65)="","",INDEX('AFA Rates'!$D$5:$D$1004,$T65))))</f>
        <v/>
      </c>
      <c r="F65" s="79">
        <f>IF($T65="","",IF($S65="S",IF(INDEX(Firms!$O$5:$O$1004,$T65)="","",INDEX(Firms!$O$5:$O$1004,$T65)),IF(INDEX('AFA Rates'!$O$5:$O$1004,$T65)="","",INDEX('AFA Rates'!$O$5:$O$1004,$T65))))</f>
        <v/>
      </c>
      <c r="G65" s="50">
        <f>IF($T65="","",IF($S65="S",IF(INDEX(Firms!$F$5:$F$1004,$T65)="","",INDEX(Firms!$F$5:$F$1004,$T65)),IF(INDEX('AFA Rates'!$E$5:$E$1004,$T65)="","",INDEX('AFA Rates'!$E$5:$E$1004,$T65))))</f>
        <v/>
      </c>
      <c r="H65" s="50">
        <f>IF($T65="","",IF($S65="S",IF(INDEX(Firms!$G$5:$G$1004,$T65)="","",INDEX(Firms!$G$5:$G$1004,$T65)),IF(INDEX('AFA Rates'!$F$5:$F$1004,$T65)="","",INDEX('AFA Rates'!$F$5:$F$1004,$T65))))</f>
        <v/>
      </c>
      <c r="I65" s="50">
        <f>IF($T65="","",IF($S65="S",IF(INDEX(Firms!$H$5:$H$1004,$T65)="","",INDEX(Firms!$H$5:$H$1004,$T65)),IF(INDEX('AFA Rates'!$G$5:$G$1004,$T65)="","",INDEX('AFA Rates'!$G$5:$G$1004,$T65))))</f>
        <v/>
      </c>
      <c r="J65" s="50">
        <f>IF($T65="","",IF($S65="S",IF(INDEX(Firms!$I$5:$I$1004,$T65)="","",INDEX(Firms!$I$5:$I$1004,$T65)),IF(INDEX('AFA Rates'!$H$5:$H$1004,$T65)="","",INDEX('AFA Rates'!$H$5:$H$1004,$T65))))</f>
        <v/>
      </c>
      <c r="K65" s="50">
        <f>IF($T65="","",IF($S65="S",IF(INDEX(Firms!$J$5:$J$1004,$T65)="","",INDEX(Firms!$J$5:$J$1004,$T65)),IF(INDEX('AFA Rates'!$I$5:$I$1004,$T65)="","",INDEX('AFA Rates'!$I$5:$I$1004,$T65))))</f>
        <v/>
      </c>
      <c r="L65" s="50">
        <f>IF($T65="","",IF($S65="S",IF(INDEX(Firms!$K$5:$K$1004,$T65)="","",INDEX(Firms!$K$5:$K$1004,$T65)),IF(INDEX('AFA Rates'!$J$5:$J$1004,$T65)="","",INDEX('AFA Rates'!$J$5:$J$1004,$T65))))</f>
        <v/>
      </c>
      <c r="M65" s="50">
        <f>IF($T65="","",IF($S65="S",IF(INDEX(Firms!$L$5:$L$1004,$T65)="","",INDEX(Firms!$L$5:$L$1004,$T65)),IF(INDEX('AFA Rates'!$K$5:$K$1004,$T65)="","",INDEX('AFA Rates'!$K$5:$K$1004,$T65))))</f>
        <v/>
      </c>
      <c r="N65" s="50">
        <f>IF($T65="","",IF($S65="S",IF(INDEX(Firms!$M$5:$M$1004,$T65)="","",INDEX(Firms!$M$5:$M$1004,$T65)),IF(INDEX('AFA Rates'!$L$5:$L$1004,$T65)="","",INDEX('AFA Rates'!$L$5:$L$1004,$T65))))</f>
        <v/>
      </c>
      <c r="O65" s="78">
        <f>IF(OR($T65="",$U65=""),"",IF(INDEX(Firms!$C$5:$C$1004,$U65)="","",INDEX(Firms!$C$5:$C$1004,$U65)))</f>
        <v/>
      </c>
      <c r="P65" s="79">
        <f>IF(OR($T65="",$U65=""),"",IF(INDEX(Firms!$N$5:$N$1004,$U65)="","",INDEX(Firms!$N$5:$N$1004,$U65)))</f>
        <v/>
      </c>
      <c r="Q65" s="78">
        <f>IF($T65="","",IF($S65="S",IF(INDEX(Firms!$T$5:$T$1004,$T65)="","",INDEX(Firms!$T$5:$T$1004,$T65)),IF(INDEX('AFA Rates'!$M$5:$M$1004,$T65)="","",INDEX('AFA Rates'!$M$5:$M$1004,$T65))))</f>
        <v/>
      </c>
      <c r="S65">
        <f>IF(61&lt;=$S$2,"S",IF(61&lt;=$S$2+$T$2,"A",""))</f>
        <v/>
      </c>
      <c r="T65">
        <f>IF(S65="S",MATCH(61,Firms!$W$5:$W$1004,0),IF(S65="A",IFERROR(MATCH(61-$S$2,'AFA Rates'!$R$5:$R$1004,0),""),""))</f>
        <v/>
      </c>
      <c r="U65">
        <f>IF(S65="S",T65,IF(AND(S65="A",T65&lt;&gt;""),IFERROR(MATCH(INDEX('AFA Rates'!$A$5:$A$1004,T65),Firms!$A$5:$A$1004,0),""),""))</f>
        <v/>
      </c>
    </row>
    <row r="66">
      <c r="A66" s="78">
        <f>IF($T66="","",IF($S66="S",IF(INDEX(Firms!$A$5:$A$1004,$T66)="","",INDEX(Firms!$A$5:$A$1004,$T66)),IF(INDEX('AFA Rates'!$A$5:$A$1004,$T66)="","",INDEX('AFA Rates'!$A$5:$A$1004,$T66))))</f>
        <v/>
      </c>
      <c r="B66" s="79">
        <f>IF(OR($T66="",$U66=""),IF($T66="","","Not on Firms tab"),INDEX(Firms!$B$5:$B$1004,$U66)&amp;"")</f>
        <v/>
      </c>
      <c r="C66" s="78">
        <f>IF($T66="","",IF($S66="S","Standard",INDEX('AFA Rates'!$B$5:$B$1004,$T66)&amp;""))</f>
        <v/>
      </c>
      <c r="D66" s="88">
        <f>IF($T66="","",IF($S66="S",IF(INDEX(Firms!$E$5:$E$1004,$T66)="","",INDEX(Firms!$E$5:$E$1004,$T66)),IF(INDEX('AFA Rates'!$C$5:$C$1004,$T66)="","",INDEX('AFA Rates'!$C$5:$C$1004,$T66))))</f>
        <v/>
      </c>
      <c r="E66" s="88">
        <f>IF($T66="","",IF($S66="S",IF(""="","",""),IF(INDEX('AFA Rates'!$D$5:$D$1004,$T66)="","",INDEX('AFA Rates'!$D$5:$D$1004,$T66))))</f>
        <v/>
      </c>
      <c r="F66" s="79">
        <f>IF($T66="","",IF($S66="S",IF(INDEX(Firms!$O$5:$O$1004,$T66)="","",INDEX(Firms!$O$5:$O$1004,$T66)),IF(INDEX('AFA Rates'!$O$5:$O$1004,$T66)="","",INDEX('AFA Rates'!$O$5:$O$1004,$T66))))</f>
        <v/>
      </c>
      <c r="G66" s="50">
        <f>IF($T66="","",IF($S66="S",IF(INDEX(Firms!$F$5:$F$1004,$T66)="","",INDEX(Firms!$F$5:$F$1004,$T66)),IF(INDEX('AFA Rates'!$E$5:$E$1004,$T66)="","",INDEX('AFA Rates'!$E$5:$E$1004,$T66))))</f>
        <v/>
      </c>
      <c r="H66" s="50">
        <f>IF($T66="","",IF($S66="S",IF(INDEX(Firms!$G$5:$G$1004,$T66)="","",INDEX(Firms!$G$5:$G$1004,$T66)),IF(INDEX('AFA Rates'!$F$5:$F$1004,$T66)="","",INDEX('AFA Rates'!$F$5:$F$1004,$T66))))</f>
        <v/>
      </c>
      <c r="I66" s="50">
        <f>IF($T66="","",IF($S66="S",IF(INDEX(Firms!$H$5:$H$1004,$T66)="","",INDEX(Firms!$H$5:$H$1004,$T66)),IF(INDEX('AFA Rates'!$G$5:$G$1004,$T66)="","",INDEX('AFA Rates'!$G$5:$G$1004,$T66))))</f>
        <v/>
      </c>
      <c r="J66" s="50">
        <f>IF($T66="","",IF($S66="S",IF(INDEX(Firms!$I$5:$I$1004,$T66)="","",INDEX(Firms!$I$5:$I$1004,$T66)),IF(INDEX('AFA Rates'!$H$5:$H$1004,$T66)="","",INDEX('AFA Rates'!$H$5:$H$1004,$T66))))</f>
        <v/>
      </c>
      <c r="K66" s="50">
        <f>IF($T66="","",IF($S66="S",IF(INDEX(Firms!$J$5:$J$1004,$T66)="","",INDEX(Firms!$J$5:$J$1004,$T66)),IF(INDEX('AFA Rates'!$I$5:$I$1004,$T66)="","",INDEX('AFA Rates'!$I$5:$I$1004,$T66))))</f>
        <v/>
      </c>
      <c r="L66" s="50">
        <f>IF($T66="","",IF($S66="S",IF(INDEX(Firms!$K$5:$K$1004,$T66)="","",INDEX(Firms!$K$5:$K$1004,$T66)),IF(INDEX('AFA Rates'!$J$5:$J$1004,$T66)="","",INDEX('AFA Rates'!$J$5:$J$1004,$T66))))</f>
        <v/>
      </c>
      <c r="M66" s="50">
        <f>IF($T66="","",IF($S66="S",IF(INDEX(Firms!$L$5:$L$1004,$T66)="","",INDEX(Firms!$L$5:$L$1004,$T66)),IF(INDEX('AFA Rates'!$K$5:$K$1004,$T66)="","",INDEX('AFA Rates'!$K$5:$K$1004,$T66))))</f>
        <v/>
      </c>
      <c r="N66" s="50">
        <f>IF($T66="","",IF($S66="S",IF(INDEX(Firms!$M$5:$M$1004,$T66)="","",INDEX(Firms!$M$5:$M$1004,$T66)),IF(INDEX('AFA Rates'!$L$5:$L$1004,$T66)="","",INDEX('AFA Rates'!$L$5:$L$1004,$T66))))</f>
        <v/>
      </c>
      <c r="O66" s="78">
        <f>IF(OR($T66="",$U66=""),"",IF(INDEX(Firms!$C$5:$C$1004,$U66)="","",INDEX(Firms!$C$5:$C$1004,$U66)))</f>
        <v/>
      </c>
      <c r="P66" s="79">
        <f>IF(OR($T66="",$U66=""),"",IF(INDEX(Firms!$N$5:$N$1004,$U66)="","",INDEX(Firms!$N$5:$N$1004,$U66)))</f>
        <v/>
      </c>
      <c r="Q66" s="78">
        <f>IF($T66="","",IF($S66="S",IF(INDEX(Firms!$T$5:$T$1004,$T66)="","",INDEX(Firms!$T$5:$T$1004,$T66)),IF(INDEX('AFA Rates'!$M$5:$M$1004,$T66)="","",INDEX('AFA Rates'!$M$5:$M$1004,$T66))))</f>
        <v/>
      </c>
      <c r="S66">
        <f>IF(62&lt;=$S$2,"S",IF(62&lt;=$S$2+$T$2,"A",""))</f>
        <v/>
      </c>
      <c r="T66">
        <f>IF(S66="S",MATCH(62,Firms!$W$5:$W$1004,0),IF(S66="A",IFERROR(MATCH(62-$S$2,'AFA Rates'!$R$5:$R$1004,0),""),""))</f>
        <v/>
      </c>
      <c r="U66">
        <f>IF(S66="S",T66,IF(AND(S66="A",T66&lt;&gt;""),IFERROR(MATCH(INDEX('AFA Rates'!$A$5:$A$1004,T66),Firms!$A$5:$A$1004,0),""),""))</f>
        <v/>
      </c>
    </row>
    <row r="67">
      <c r="A67" s="78">
        <f>IF($T67="","",IF($S67="S",IF(INDEX(Firms!$A$5:$A$1004,$T67)="","",INDEX(Firms!$A$5:$A$1004,$T67)),IF(INDEX('AFA Rates'!$A$5:$A$1004,$T67)="","",INDEX('AFA Rates'!$A$5:$A$1004,$T67))))</f>
        <v/>
      </c>
      <c r="B67" s="79">
        <f>IF(OR($T67="",$U67=""),IF($T67="","","Not on Firms tab"),INDEX(Firms!$B$5:$B$1004,$U67)&amp;"")</f>
        <v/>
      </c>
      <c r="C67" s="78">
        <f>IF($T67="","",IF($S67="S","Standard",INDEX('AFA Rates'!$B$5:$B$1004,$T67)&amp;""))</f>
        <v/>
      </c>
      <c r="D67" s="88">
        <f>IF($T67="","",IF($S67="S",IF(INDEX(Firms!$E$5:$E$1004,$T67)="","",INDEX(Firms!$E$5:$E$1004,$T67)),IF(INDEX('AFA Rates'!$C$5:$C$1004,$T67)="","",INDEX('AFA Rates'!$C$5:$C$1004,$T67))))</f>
        <v/>
      </c>
      <c r="E67" s="88">
        <f>IF($T67="","",IF($S67="S",IF(""="","",""),IF(INDEX('AFA Rates'!$D$5:$D$1004,$T67)="","",INDEX('AFA Rates'!$D$5:$D$1004,$T67))))</f>
        <v/>
      </c>
      <c r="F67" s="79">
        <f>IF($T67="","",IF($S67="S",IF(INDEX(Firms!$O$5:$O$1004,$T67)="","",INDEX(Firms!$O$5:$O$1004,$T67)),IF(INDEX('AFA Rates'!$O$5:$O$1004,$T67)="","",INDEX('AFA Rates'!$O$5:$O$1004,$T67))))</f>
        <v/>
      </c>
      <c r="G67" s="50">
        <f>IF($T67="","",IF($S67="S",IF(INDEX(Firms!$F$5:$F$1004,$T67)="","",INDEX(Firms!$F$5:$F$1004,$T67)),IF(INDEX('AFA Rates'!$E$5:$E$1004,$T67)="","",INDEX('AFA Rates'!$E$5:$E$1004,$T67))))</f>
        <v/>
      </c>
      <c r="H67" s="50">
        <f>IF($T67="","",IF($S67="S",IF(INDEX(Firms!$G$5:$G$1004,$T67)="","",INDEX(Firms!$G$5:$G$1004,$T67)),IF(INDEX('AFA Rates'!$F$5:$F$1004,$T67)="","",INDEX('AFA Rates'!$F$5:$F$1004,$T67))))</f>
        <v/>
      </c>
      <c r="I67" s="50">
        <f>IF($T67="","",IF($S67="S",IF(INDEX(Firms!$H$5:$H$1004,$T67)="","",INDEX(Firms!$H$5:$H$1004,$T67)),IF(INDEX('AFA Rates'!$G$5:$G$1004,$T67)="","",INDEX('AFA Rates'!$G$5:$G$1004,$T67))))</f>
        <v/>
      </c>
      <c r="J67" s="50">
        <f>IF($T67="","",IF($S67="S",IF(INDEX(Firms!$I$5:$I$1004,$T67)="","",INDEX(Firms!$I$5:$I$1004,$T67)),IF(INDEX('AFA Rates'!$H$5:$H$1004,$T67)="","",INDEX('AFA Rates'!$H$5:$H$1004,$T67))))</f>
        <v/>
      </c>
      <c r="K67" s="50">
        <f>IF($T67="","",IF($S67="S",IF(INDEX(Firms!$J$5:$J$1004,$T67)="","",INDEX(Firms!$J$5:$J$1004,$T67)),IF(INDEX('AFA Rates'!$I$5:$I$1004,$T67)="","",INDEX('AFA Rates'!$I$5:$I$1004,$T67))))</f>
        <v/>
      </c>
      <c r="L67" s="50">
        <f>IF($T67="","",IF($S67="S",IF(INDEX(Firms!$K$5:$K$1004,$T67)="","",INDEX(Firms!$K$5:$K$1004,$T67)),IF(INDEX('AFA Rates'!$J$5:$J$1004,$T67)="","",INDEX('AFA Rates'!$J$5:$J$1004,$T67))))</f>
        <v/>
      </c>
      <c r="M67" s="50">
        <f>IF($T67="","",IF($S67="S",IF(INDEX(Firms!$L$5:$L$1004,$T67)="","",INDEX(Firms!$L$5:$L$1004,$T67)),IF(INDEX('AFA Rates'!$K$5:$K$1004,$T67)="","",INDEX('AFA Rates'!$K$5:$K$1004,$T67))))</f>
        <v/>
      </c>
      <c r="N67" s="50">
        <f>IF($T67="","",IF($S67="S",IF(INDEX(Firms!$M$5:$M$1004,$T67)="","",INDEX(Firms!$M$5:$M$1004,$T67)),IF(INDEX('AFA Rates'!$L$5:$L$1004,$T67)="","",INDEX('AFA Rates'!$L$5:$L$1004,$T67))))</f>
        <v/>
      </c>
      <c r="O67" s="78">
        <f>IF(OR($T67="",$U67=""),"",IF(INDEX(Firms!$C$5:$C$1004,$U67)="","",INDEX(Firms!$C$5:$C$1004,$U67)))</f>
        <v/>
      </c>
      <c r="P67" s="79">
        <f>IF(OR($T67="",$U67=""),"",IF(INDEX(Firms!$N$5:$N$1004,$U67)="","",INDEX(Firms!$N$5:$N$1004,$U67)))</f>
        <v/>
      </c>
      <c r="Q67" s="78">
        <f>IF($T67="","",IF($S67="S",IF(INDEX(Firms!$T$5:$T$1004,$T67)="","",INDEX(Firms!$T$5:$T$1004,$T67)),IF(INDEX('AFA Rates'!$M$5:$M$1004,$T67)="","",INDEX('AFA Rates'!$M$5:$M$1004,$T67))))</f>
        <v/>
      </c>
      <c r="S67">
        <f>IF(63&lt;=$S$2,"S",IF(63&lt;=$S$2+$T$2,"A",""))</f>
        <v/>
      </c>
      <c r="T67">
        <f>IF(S67="S",MATCH(63,Firms!$W$5:$W$1004,0),IF(S67="A",IFERROR(MATCH(63-$S$2,'AFA Rates'!$R$5:$R$1004,0),""),""))</f>
        <v/>
      </c>
      <c r="U67">
        <f>IF(S67="S",T67,IF(AND(S67="A",T67&lt;&gt;""),IFERROR(MATCH(INDEX('AFA Rates'!$A$5:$A$1004,T67),Firms!$A$5:$A$1004,0),""),""))</f>
        <v/>
      </c>
    </row>
    <row r="68">
      <c r="A68" s="78">
        <f>IF($T68="","",IF($S68="S",IF(INDEX(Firms!$A$5:$A$1004,$T68)="","",INDEX(Firms!$A$5:$A$1004,$T68)),IF(INDEX('AFA Rates'!$A$5:$A$1004,$T68)="","",INDEX('AFA Rates'!$A$5:$A$1004,$T68))))</f>
        <v/>
      </c>
      <c r="B68" s="79">
        <f>IF(OR($T68="",$U68=""),IF($T68="","","Not on Firms tab"),INDEX(Firms!$B$5:$B$1004,$U68)&amp;"")</f>
        <v/>
      </c>
      <c r="C68" s="78">
        <f>IF($T68="","",IF($S68="S","Standard",INDEX('AFA Rates'!$B$5:$B$1004,$T68)&amp;""))</f>
        <v/>
      </c>
      <c r="D68" s="88">
        <f>IF($T68="","",IF($S68="S",IF(INDEX(Firms!$E$5:$E$1004,$T68)="","",INDEX(Firms!$E$5:$E$1004,$T68)),IF(INDEX('AFA Rates'!$C$5:$C$1004,$T68)="","",INDEX('AFA Rates'!$C$5:$C$1004,$T68))))</f>
        <v/>
      </c>
      <c r="E68" s="88">
        <f>IF($T68="","",IF($S68="S",IF(""="","",""),IF(INDEX('AFA Rates'!$D$5:$D$1004,$T68)="","",INDEX('AFA Rates'!$D$5:$D$1004,$T68))))</f>
        <v/>
      </c>
      <c r="F68" s="79">
        <f>IF($T68="","",IF($S68="S",IF(INDEX(Firms!$O$5:$O$1004,$T68)="","",INDEX(Firms!$O$5:$O$1004,$T68)),IF(INDEX('AFA Rates'!$O$5:$O$1004,$T68)="","",INDEX('AFA Rates'!$O$5:$O$1004,$T68))))</f>
        <v/>
      </c>
      <c r="G68" s="50">
        <f>IF($T68="","",IF($S68="S",IF(INDEX(Firms!$F$5:$F$1004,$T68)="","",INDEX(Firms!$F$5:$F$1004,$T68)),IF(INDEX('AFA Rates'!$E$5:$E$1004,$T68)="","",INDEX('AFA Rates'!$E$5:$E$1004,$T68))))</f>
        <v/>
      </c>
      <c r="H68" s="50">
        <f>IF($T68="","",IF($S68="S",IF(INDEX(Firms!$G$5:$G$1004,$T68)="","",INDEX(Firms!$G$5:$G$1004,$T68)),IF(INDEX('AFA Rates'!$F$5:$F$1004,$T68)="","",INDEX('AFA Rates'!$F$5:$F$1004,$T68))))</f>
        <v/>
      </c>
      <c r="I68" s="50">
        <f>IF($T68="","",IF($S68="S",IF(INDEX(Firms!$H$5:$H$1004,$T68)="","",INDEX(Firms!$H$5:$H$1004,$T68)),IF(INDEX('AFA Rates'!$G$5:$G$1004,$T68)="","",INDEX('AFA Rates'!$G$5:$G$1004,$T68))))</f>
        <v/>
      </c>
      <c r="J68" s="50">
        <f>IF($T68="","",IF($S68="S",IF(INDEX(Firms!$I$5:$I$1004,$T68)="","",INDEX(Firms!$I$5:$I$1004,$T68)),IF(INDEX('AFA Rates'!$H$5:$H$1004,$T68)="","",INDEX('AFA Rates'!$H$5:$H$1004,$T68))))</f>
        <v/>
      </c>
      <c r="K68" s="50">
        <f>IF($T68="","",IF($S68="S",IF(INDEX(Firms!$J$5:$J$1004,$T68)="","",INDEX(Firms!$J$5:$J$1004,$T68)),IF(INDEX('AFA Rates'!$I$5:$I$1004,$T68)="","",INDEX('AFA Rates'!$I$5:$I$1004,$T68))))</f>
        <v/>
      </c>
      <c r="L68" s="50">
        <f>IF($T68="","",IF($S68="S",IF(INDEX(Firms!$K$5:$K$1004,$T68)="","",INDEX(Firms!$K$5:$K$1004,$T68)),IF(INDEX('AFA Rates'!$J$5:$J$1004,$T68)="","",INDEX('AFA Rates'!$J$5:$J$1004,$T68))))</f>
        <v/>
      </c>
      <c r="M68" s="50">
        <f>IF($T68="","",IF($S68="S",IF(INDEX(Firms!$L$5:$L$1004,$T68)="","",INDEX(Firms!$L$5:$L$1004,$T68)),IF(INDEX('AFA Rates'!$K$5:$K$1004,$T68)="","",INDEX('AFA Rates'!$K$5:$K$1004,$T68))))</f>
        <v/>
      </c>
      <c r="N68" s="50">
        <f>IF($T68="","",IF($S68="S",IF(INDEX(Firms!$M$5:$M$1004,$T68)="","",INDEX(Firms!$M$5:$M$1004,$T68)),IF(INDEX('AFA Rates'!$L$5:$L$1004,$T68)="","",INDEX('AFA Rates'!$L$5:$L$1004,$T68))))</f>
        <v/>
      </c>
      <c r="O68" s="78">
        <f>IF(OR($T68="",$U68=""),"",IF(INDEX(Firms!$C$5:$C$1004,$U68)="","",INDEX(Firms!$C$5:$C$1004,$U68)))</f>
        <v/>
      </c>
      <c r="P68" s="79">
        <f>IF(OR($T68="",$U68=""),"",IF(INDEX(Firms!$N$5:$N$1004,$U68)="","",INDEX(Firms!$N$5:$N$1004,$U68)))</f>
        <v/>
      </c>
      <c r="Q68" s="78">
        <f>IF($T68="","",IF($S68="S",IF(INDEX(Firms!$T$5:$T$1004,$T68)="","",INDEX(Firms!$T$5:$T$1004,$T68)),IF(INDEX('AFA Rates'!$M$5:$M$1004,$T68)="","",INDEX('AFA Rates'!$M$5:$M$1004,$T68))))</f>
        <v/>
      </c>
      <c r="S68">
        <f>IF(64&lt;=$S$2,"S",IF(64&lt;=$S$2+$T$2,"A",""))</f>
        <v/>
      </c>
      <c r="T68">
        <f>IF(S68="S",MATCH(64,Firms!$W$5:$W$1004,0),IF(S68="A",IFERROR(MATCH(64-$S$2,'AFA Rates'!$R$5:$R$1004,0),""),""))</f>
        <v/>
      </c>
      <c r="U68">
        <f>IF(S68="S",T68,IF(AND(S68="A",T68&lt;&gt;""),IFERROR(MATCH(INDEX('AFA Rates'!$A$5:$A$1004,T68),Firms!$A$5:$A$1004,0),""),""))</f>
        <v/>
      </c>
    </row>
    <row r="69">
      <c r="A69" s="78">
        <f>IF($T69="","",IF($S69="S",IF(INDEX(Firms!$A$5:$A$1004,$T69)="","",INDEX(Firms!$A$5:$A$1004,$T69)),IF(INDEX('AFA Rates'!$A$5:$A$1004,$T69)="","",INDEX('AFA Rates'!$A$5:$A$1004,$T69))))</f>
        <v/>
      </c>
      <c r="B69" s="79">
        <f>IF(OR($T69="",$U69=""),IF($T69="","","Not on Firms tab"),INDEX(Firms!$B$5:$B$1004,$U69)&amp;"")</f>
        <v/>
      </c>
      <c r="C69" s="78">
        <f>IF($T69="","",IF($S69="S","Standard",INDEX('AFA Rates'!$B$5:$B$1004,$T69)&amp;""))</f>
        <v/>
      </c>
      <c r="D69" s="88">
        <f>IF($T69="","",IF($S69="S",IF(INDEX(Firms!$E$5:$E$1004,$T69)="","",INDEX(Firms!$E$5:$E$1004,$T69)),IF(INDEX('AFA Rates'!$C$5:$C$1004,$T69)="","",INDEX('AFA Rates'!$C$5:$C$1004,$T69))))</f>
        <v/>
      </c>
      <c r="E69" s="88">
        <f>IF($T69="","",IF($S69="S",IF(""="","",""),IF(INDEX('AFA Rates'!$D$5:$D$1004,$T69)="","",INDEX('AFA Rates'!$D$5:$D$1004,$T69))))</f>
        <v/>
      </c>
      <c r="F69" s="79">
        <f>IF($T69="","",IF($S69="S",IF(INDEX(Firms!$O$5:$O$1004,$T69)="","",INDEX(Firms!$O$5:$O$1004,$T69)),IF(INDEX('AFA Rates'!$O$5:$O$1004,$T69)="","",INDEX('AFA Rates'!$O$5:$O$1004,$T69))))</f>
        <v/>
      </c>
      <c r="G69" s="50">
        <f>IF($T69="","",IF($S69="S",IF(INDEX(Firms!$F$5:$F$1004,$T69)="","",INDEX(Firms!$F$5:$F$1004,$T69)),IF(INDEX('AFA Rates'!$E$5:$E$1004,$T69)="","",INDEX('AFA Rates'!$E$5:$E$1004,$T69))))</f>
        <v/>
      </c>
      <c r="H69" s="50">
        <f>IF($T69="","",IF($S69="S",IF(INDEX(Firms!$G$5:$G$1004,$T69)="","",INDEX(Firms!$G$5:$G$1004,$T69)),IF(INDEX('AFA Rates'!$F$5:$F$1004,$T69)="","",INDEX('AFA Rates'!$F$5:$F$1004,$T69))))</f>
        <v/>
      </c>
      <c r="I69" s="50">
        <f>IF($T69="","",IF($S69="S",IF(INDEX(Firms!$H$5:$H$1004,$T69)="","",INDEX(Firms!$H$5:$H$1004,$T69)),IF(INDEX('AFA Rates'!$G$5:$G$1004,$T69)="","",INDEX('AFA Rates'!$G$5:$G$1004,$T69))))</f>
        <v/>
      </c>
      <c r="J69" s="50">
        <f>IF($T69="","",IF($S69="S",IF(INDEX(Firms!$I$5:$I$1004,$T69)="","",INDEX(Firms!$I$5:$I$1004,$T69)),IF(INDEX('AFA Rates'!$H$5:$H$1004,$T69)="","",INDEX('AFA Rates'!$H$5:$H$1004,$T69))))</f>
        <v/>
      </c>
      <c r="K69" s="50">
        <f>IF($T69="","",IF($S69="S",IF(INDEX(Firms!$J$5:$J$1004,$T69)="","",INDEX(Firms!$J$5:$J$1004,$T69)),IF(INDEX('AFA Rates'!$I$5:$I$1004,$T69)="","",INDEX('AFA Rates'!$I$5:$I$1004,$T69))))</f>
        <v/>
      </c>
      <c r="L69" s="50">
        <f>IF($T69="","",IF($S69="S",IF(INDEX(Firms!$K$5:$K$1004,$T69)="","",INDEX(Firms!$K$5:$K$1004,$T69)),IF(INDEX('AFA Rates'!$J$5:$J$1004,$T69)="","",INDEX('AFA Rates'!$J$5:$J$1004,$T69))))</f>
        <v/>
      </c>
      <c r="M69" s="50">
        <f>IF($T69="","",IF($S69="S",IF(INDEX(Firms!$L$5:$L$1004,$T69)="","",INDEX(Firms!$L$5:$L$1004,$T69)),IF(INDEX('AFA Rates'!$K$5:$K$1004,$T69)="","",INDEX('AFA Rates'!$K$5:$K$1004,$T69))))</f>
        <v/>
      </c>
      <c r="N69" s="50">
        <f>IF($T69="","",IF($S69="S",IF(INDEX(Firms!$M$5:$M$1004,$T69)="","",INDEX(Firms!$M$5:$M$1004,$T69)),IF(INDEX('AFA Rates'!$L$5:$L$1004,$T69)="","",INDEX('AFA Rates'!$L$5:$L$1004,$T69))))</f>
        <v/>
      </c>
      <c r="O69" s="78">
        <f>IF(OR($T69="",$U69=""),"",IF(INDEX(Firms!$C$5:$C$1004,$U69)="","",INDEX(Firms!$C$5:$C$1004,$U69)))</f>
        <v/>
      </c>
      <c r="P69" s="79">
        <f>IF(OR($T69="",$U69=""),"",IF(INDEX(Firms!$N$5:$N$1004,$U69)="","",INDEX(Firms!$N$5:$N$1004,$U69)))</f>
        <v/>
      </c>
      <c r="Q69" s="78">
        <f>IF($T69="","",IF($S69="S",IF(INDEX(Firms!$T$5:$T$1004,$T69)="","",INDEX(Firms!$T$5:$T$1004,$T69)),IF(INDEX('AFA Rates'!$M$5:$M$1004,$T69)="","",INDEX('AFA Rates'!$M$5:$M$1004,$T69))))</f>
        <v/>
      </c>
      <c r="S69">
        <f>IF(65&lt;=$S$2,"S",IF(65&lt;=$S$2+$T$2,"A",""))</f>
        <v/>
      </c>
      <c r="T69">
        <f>IF(S69="S",MATCH(65,Firms!$W$5:$W$1004,0),IF(S69="A",IFERROR(MATCH(65-$S$2,'AFA Rates'!$R$5:$R$1004,0),""),""))</f>
        <v/>
      </c>
      <c r="U69">
        <f>IF(S69="S",T69,IF(AND(S69="A",T69&lt;&gt;""),IFERROR(MATCH(INDEX('AFA Rates'!$A$5:$A$1004,T69),Firms!$A$5:$A$1004,0),""),""))</f>
        <v/>
      </c>
    </row>
    <row r="70">
      <c r="A70" s="78">
        <f>IF($T70="","",IF($S70="S",IF(INDEX(Firms!$A$5:$A$1004,$T70)="","",INDEX(Firms!$A$5:$A$1004,$T70)),IF(INDEX('AFA Rates'!$A$5:$A$1004,$T70)="","",INDEX('AFA Rates'!$A$5:$A$1004,$T70))))</f>
        <v/>
      </c>
      <c r="B70" s="79">
        <f>IF(OR($T70="",$U70=""),IF($T70="","","Not on Firms tab"),INDEX(Firms!$B$5:$B$1004,$U70)&amp;"")</f>
        <v/>
      </c>
      <c r="C70" s="78">
        <f>IF($T70="","",IF($S70="S","Standard",INDEX('AFA Rates'!$B$5:$B$1004,$T70)&amp;""))</f>
        <v/>
      </c>
      <c r="D70" s="88">
        <f>IF($T70="","",IF($S70="S",IF(INDEX(Firms!$E$5:$E$1004,$T70)="","",INDEX(Firms!$E$5:$E$1004,$T70)),IF(INDEX('AFA Rates'!$C$5:$C$1004,$T70)="","",INDEX('AFA Rates'!$C$5:$C$1004,$T70))))</f>
        <v/>
      </c>
      <c r="E70" s="88">
        <f>IF($T70="","",IF($S70="S",IF(""="","",""),IF(INDEX('AFA Rates'!$D$5:$D$1004,$T70)="","",INDEX('AFA Rates'!$D$5:$D$1004,$T70))))</f>
        <v/>
      </c>
      <c r="F70" s="79">
        <f>IF($T70="","",IF($S70="S",IF(INDEX(Firms!$O$5:$O$1004,$T70)="","",INDEX(Firms!$O$5:$O$1004,$T70)),IF(INDEX('AFA Rates'!$O$5:$O$1004,$T70)="","",INDEX('AFA Rates'!$O$5:$O$1004,$T70))))</f>
        <v/>
      </c>
      <c r="G70" s="50">
        <f>IF($T70="","",IF($S70="S",IF(INDEX(Firms!$F$5:$F$1004,$T70)="","",INDEX(Firms!$F$5:$F$1004,$T70)),IF(INDEX('AFA Rates'!$E$5:$E$1004,$T70)="","",INDEX('AFA Rates'!$E$5:$E$1004,$T70))))</f>
        <v/>
      </c>
      <c r="H70" s="50">
        <f>IF($T70="","",IF($S70="S",IF(INDEX(Firms!$G$5:$G$1004,$T70)="","",INDEX(Firms!$G$5:$G$1004,$T70)),IF(INDEX('AFA Rates'!$F$5:$F$1004,$T70)="","",INDEX('AFA Rates'!$F$5:$F$1004,$T70))))</f>
        <v/>
      </c>
      <c r="I70" s="50">
        <f>IF($T70="","",IF($S70="S",IF(INDEX(Firms!$H$5:$H$1004,$T70)="","",INDEX(Firms!$H$5:$H$1004,$T70)),IF(INDEX('AFA Rates'!$G$5:$G$1004,$T70)="","",INDEX('AFA Rates'!$G$5:$G$1004,$T70))))</f>
        <v/>
      </c>
      <c r="J70" s="50">
        <f>IF($T70="","",IF($S70="S",IF(INDEX(Firms!$I$5:$I$1004,$T70)="","",INDEX(Firms!$I$5:$I$1004,$T70)),IF(INDEX('AFA Rates'!$H$5:$H$1004,$T70)="","",INDEX('AFA Rates'!$H$5:$H$1004,$T70))))</f>
        <v/>
      </c>
      <c r="K70" s="50">
        <f>IF($T70="","",IF($S70="S",IF(INDEX(Firms!$J$5:$J$1004,$T70)="","",INDEX(Firms!$J$5:$J$1004,$T70)),IF(INDEX('AFA Rates'!$I$5:$I$1004,$T70)="","",INDEX('AFA Rates'!$I$5:$I$1004,$T70))))</f>
        <v/>
      </c>
      <c r="L70" s="50">
        <f>IF($T70="","",IF($S70="S",IF(INDEX(Firms!$K$5:$K$1004,$T70)="","",INDEX(Firms!$K$5:$K$1004,$T70)),IF(INDEX('AFA Rates'!$J$5:$J$1004,$T70)="","",INDEX('AFA Rates'!$J$5:$J$1004,$T70))))</f>
        <v/>
      </c>
      <c r="M70" s="50">
        <f>IF($T70="","",IF($S70="S",IF(INDEX(Firms!$L$5:$L$1004,$T70)="","",INDEX(Firms!$L$5:$L$1004,$T70)),IF(INDEX('AFA Rates'!$K$5:$K$1004,$T70)="","",INDEX('AFA Rates'!$K$5:$K$1004,$T70))))</f>
        <v/>
      </c>
      <c r="N70" s="50">
        <f>IF($T70="","",IF($S70="S",IF(INDEX(Firms!$M$5:$M$1004,$T70)="","",INDEX(Firms!$M$5:$M$1004,$T70)),IF(INDEX('AFA Rates'!$L$5:$L$1004,$T70)="","",INDEX('AFA Rates'!$L$5:$L$1004,$T70))))</f>
        <v/>
      </c>
      <c r="O70" s="78">
        <f>IF(OR($T70="",$U70=""),"",IF(INDEX(Firms!$C$5:$C$1004,$U70)="","",INDEX(Firms!$C$5:$C$1004,$U70)))</f>
        <v/>
      </c>
      <c r="P70" s="79">
        <f>IF(OR($T70="",$U70=""),"",IF(INDEX(Firms!$N$5:$N$1004,$U70)="","",INDEX(Firms!$N$5:$N$1004,$U70)))</f>
        <v/>
      </c>
      <c r="Q70" s="78">
        <f>IF($T70="","",IF($S70="S",IF(INDEX(Firms!$T$5:$T$1004,$T70)="","",INDEX(Firms!$T$5:$T$1004,$T70)),IF(INDEX('AFA Rates'!$M$5:$M$1004,$T70)="","",INDEX('AFA Rates'!$M$5:$M$1004,$T70))))</f>
        <v/>
      </c>
      <c r="S70">
        <f>IF(66&lt;=$S$2,"S",IF(66&lt;=$S$2+$T$2,"A",""))</f>
        <v/>
      </c>
      <c r="T70">
        <f>IF(S70="S",MATCH(66,Firms!$W$5:$W$1004,0),IF(S70="A",IFERROR(MATCH(66-$S$2,'AFA Rates'!$R$5:$R$1004,0),""),""))</f>
        <v/>
      </c>
      <c r="U70">
        <f>IF(S70="S",T70,IF(AND(S70="A",T70&lt;&gt;""),IFERROR(MATCH(INDEX('AFA Rates'!$A$5:$A$1004,T70),Firms!$A$5:$A$1004,0),""),""))</f>
        <v/>
      </c>
    </row>
    <row r="71">
      <c r="A71" s="78">
        <f>IF($T71="","",IF($S71="S",IF(INDEX(Firms!$A$5:$A$1004,$T71)="","",INDEX(Firms!$A$5:$A$1004,$T71)),IF(INDEX('AFA Rates'!$A$5:$A$1004,$T71)="","",INDEX('AFA Rates'!$A$5:$A$1004,$T71))))</f>
        <v/>
      </c>
      <c r="B71" s="79">
        <f>IF(OR($T71="",$U71=""),IF($T71="","","Not on Firms tab"),INDEX(Firms!$B$5:$B$1004,$U71)&amp;"")</f>
        <v/>
      </c>
      <c r="C71" s="78">
        <f>IF($T71="","",IF($S71="S","Standard",INDEX('AFA Rates'!$B$5:$B$1004,$T71)&amp;""))</f>
        <v/>
      </c>
      <c r="D71" s="88">
        <f>IF($T71="","",IF($S71="S",IF(INDEX(Firms!$E$5:$E$1004,$T71)="","",INDEX(Firms!$E$5:$E$1004,$T71)),IF(INDEX('AFA Rates'!$C$5:$C$1004,$T71)="","",INDEX('AFA Rates'!$C$5:$C$1004,$T71))))</f>
        <v/>
      </c>
      <c r="E71" s="88">
        <f>IF($T71="","",IF($S71="S",IF(""="","",""),IF(INDEX('AFA Rates'!$D$5:$D$1004,$T71)="","",INDEX('AFA Rates'!$D$5:$D$1004,$T71))))</f>
        <v/>
      </c>
      <c r="F71" s="79">
        <f>IF($T71="","",IF($S71="S",IF(INDEX(Firms!$O$5:$O$1004,$T71)="","",INDEX(Firms!$O$5:$O$1004,$T71)),IF(INDEX('AFA Rates'!$O$5:$O$1004,$T71)="","",INDEX('AFA Rates'!$O$5:$O$1004,$T71))))</f>
        <v/>
      </c>
      <c r="G71" s="50">
        <f>IF($T71="","",IF($S71="S",IF(INDEX(Firms!$F$5:$F$1004,$T71)="","",INDEX(Firms!$F$5:$F$1004,$T71)),IF(INDEX('AFA Rates'!$E$5:$E$1004,$T71)="","",INDEX('AFA Rates'!$E$5:$E$1004,$T71))))</f>
        <v/>
      </c>
      <c r="H71" s="50">
        <f>IF($T71="","",IF($S71="S",IF(INDEX(Firms!$G$5:$G$1004,$T71)="","",INDEX(Firms!$G$5:$G$1004,$T71)),IF(INDEX('AFA Rates'!$F$5:$F$1004,$T71)="","",INDEX('AFA Rates'!$F$5:$F$1004,$T71))))</f>
        <v/>
      </c>
      <c r="I71" s="50">
        <f>IF($T71="","",IF($S71="S",IF(INDEX(Firms!$H$5:$H$1004,$T71)="","",INDEX(Firms!$H$5:$H$1004,$T71)),IF(INDEX('AFA Rates'!$G$5:$G$1004,$T71)="","",INDEX('AFA Rates'!$G$5:$G$1004,$T71))))</f>
        <v/>
      </c>
      <c r="J71" s="50">
        <f>IF($T71="","",IF($S71="S",IF(INDEX(Firms!$I$5:$I$1004,$T71)="","",INDEX(Firms!$I$5:$I$1004,$T71)),IF(INDEX('AFA Rates'!$H$5:$H$1004,$T71)="","",INDEX('AFA Rates'!$H$5:$H$1004,$T71))))</f>
        <v/>
      </c>
      <c r="K71" s="50">
        <f>IF($T71="","",IF($S71="S",IF(INDEX(Firms!$J$5:$J$1004,$T71)="","",INDEX(Firms!$J$5:$J$1004,$T71)),IF(INDEX('AFA Rates'!$I$5:$I$1004,$T71)="","",INDEX('AFA Rates'!$I$5:$I$1004,$T71))))</f>
        <v/>
      </c>
      <c r="L71" s="50">
        <f>IF($T71="","",IF($S71="S",IF(INDEX(Firms!$K$5:$K$1004,$T71)="","",INDEX(Firms!$K$5:$K$1004,$T71)),IF(INDEX('AFA Rates'!$J$5:$J$1004,$T71)="","",INDEX('AFA Rates'!$J$5:$J$1004,$T71))))</f>
        <v/>
      </c>
      <c r="M71" s="50">
        <f>IF($T71="","",IF($S71="S",IF(INDEX(Firms!$L$5:$L$1004,$T71)="","",INDEX(Firms!$L$5:$L$1004,$T71)),IF(INDEX('AFA Rates'!$K$5:$K$1004,$T71)="","",INDEX('AFA Rates'!$K$5:$K$1004,$T71))))</f>
        <v/>
      </c>
      <c r="N71" s="50">
        <f>IF($T71="","",IF($S71="S",IF(INDEX(Firms!$M$5:$M$1004,$T71)="","",INDEX(Firms!$M$5:$M$1004,$T71)),IF(INDEX('AFA Rates'!$L$5:$L$1004,$T71)="","",INDEX('AFA Rates'!$L$5:$L$1004,$T71))))</f>
        <v/>
      </c>
      <c r="O71" s="78">
        <f>IF(OR($T71="",$U71=""),"",IF(INDEX(Firms!$C$5:$C$1004,$U71)="","",INDEX(Firms!$C$5:$C$1004,$U71)))</f>
        <v/>
      </c>
      <c r="P71" s="79">
        <f>IF(OR($T71="",$U71=""),"",IF(INDEX(Firms!$N$5:$N$1004,$U71)="","",INDEX(Firms!$N$5:$N$1004,$U71)))</f>
        <v/>
      </c>
      <c r="Q71" s="78">
        <f>IF($T71="","",IF($S71="S",IF(INDEX(Firms!$T$5:$T$1004,$T71)="","",INDEX(Firms!$T$5:$T$1004,$T71)),IF(INDEX('AFA Rates'!$M$5:$M$1004,$T71)="","",INDEX('AFA Rates'!$M$5:$M$1004,$T71))))</f>
        <v/>
      </c>
      <c r="S71">
        <f>IF(67&lt;=$S$2,"S",IF(67&lt;=$S$2+$T$2,"A",""))</f>
        <v/>
      </c>
      <c r="T71">
        <f>IF(S71="S",MATCH(67,Firms!$W$5:$W$1004,0),IF(S71="A",IFERROR(MATCH(67-$S$2,'AFA Rates'!$R$5:$R$1004,0),""),""))</f>
        <v/>
      </c>
      <c r="U71">
        <f>IF(S71="S",T71,IF(AND(S71="A",T71&lt;&gt;""),IFERROR(MATCH(INDEX('AFA Rates'!$A$5:$A$1004,T71),Firms!$A$5:$A$1004,0),""),""))</f>
        <v/>
      </c>
    </row>
    <row r="72">
      <c r="A72" s="78">
        <f>IF($T72="","",IF($S72="S",IF(INDEX(Firms!$A$5:$A$1004,$T72)="","",INDEX(Firms!$A$5:$A$1004,$T72)),IF(INDEX('AFA Rates'!$A$5:$A$1004,$T72)="","",INDEX('AFA Rates'!$A$5:$A$1004,$T72))))</f>
        <v/>
      </c>
      <c r="B72" s="79">
        <f>IF(OR($T72="",$U72=""),IF($T72="","","Not on Firms tab"),INDEX(Firms!$B$5:$B$1004,$U72)&amp;"")</f>
        <v/>
      </c>
      <c r="C72" s="78">
        <f>IF($T72="","",IF($S72="S","Standard",INDEX('AFA Rates'!$B$5:$B$1004,$T72)&amp;""))</f>
        <v/>
      </c>
      <c r="D72" s="88">
        <f>IF($T72="","",IF($S72="S",IF(INDEX(Firms!$E$5:$E$1004,$T72)="","",INDEX(Firms!$E$5:$E$1004,$T72)),IF(INDEX('AFA Rates'!$C$5:$C$1004,$T72)="","",INDEX('AFA Rates'!$C$5:$C$1004,$T72))))</f>
        <v/>
      </c>
      <c r="E72" s="88">
        <f>IF($T72="","",IF($S72="S",IF(""="","",""),IF(INDEX('AFA Rates'!$D$5:$D$1004,$T72)="","",INDEX('AFA Rates'!$D$5:$D$1004,$T72))))</f>
        <v/>
      </c>
      <c r="F72" s="79">
        <f>IF($T72="","",IF($S72="S",IF(INDEX(Firms!$O$5:$O$1004,$T72)="","",INDEX(Firms!$O$5:$O$1004,$T72)),IF(INDEX('AFA Rates'!$O$5:$O$1004,$T72)="","",INDEX('AFA Rates'!$O$5:$O$1004,$T72))))</f>
        <v/>
      </c>
      <c r="G72" s="50">
        <f>IF($T72="","",IF($S72="S",IF(INDEX(Firms!$F$5:$F$1004,$T72)="","",INDEX(Firms!$F$5:$F$1004,$T72)),IF(INDEX('AFA Rates'!$E$5:$E$1004,$T72)="","",INDEX('AFA Rates'!$E$5:$E$1004,$T72))))</f>
        <v/>
      </c>
      <c r="H72" s="50">
        <f>IF($T72="","",IF($S72="S",IF(INDEX(Firms!$G$5:$G$1004,$T72)="","",INDEX(Firms!$G$5:$G$1004,$T72)),IF(INDEX('AFA Rates'!$F$5:$F$1004,$T72)="","",INDEX('AFA Rates'!$F$5:$F$1004,$T72))))</f>
        <v/>
      </c>
      <c r="I72" s="50">
        <f>IF($T72="","",IF($S72="S",IF(INDEX(Firms!$H$5:$H$1004,$T72)="","",INDEX(Firms!$H$5:$H$1004,$T72)),IF(INDEX('AFA Rates'!$G$5:$G$1004,$T72)="","",INDEX('AFA Rates'!$G$5:$G$1004,$T72))))</f>
        <v/>
      </c>
      <c r="J72" s="50">
        <f>IF($T72="","",IF($S72="S",IF(INDEX(Firms!$I$5:$I$1004,$T72)="","",INDEX(Firms!$I$5:$I$1004,$T72)),IF(INDEX('AFA Rates'!$H$5:$H$1004,$T72)="","",INDEX('AFA Rates'!$H$5:$H$1004,$T72))))</f>
        <v/>
      </c>
      <c r="K72" s="50">
        <f>IF($T72="","",IF($S72="S",IF(INDEX(Firms!$J$5:$J$1004,$T72)="","",INDEX(Firms!$J$5:$J$1004,$T72)),IF(INDEX('AFA Rates'!$I$5:$I$1004,$T72)="","",INDEX('AFA Rates'!$I$5:$I$1004,$T72))))</f>
        <v/>
      </c>
      <c r="L72" s="50">
        <f>IF($T72="","",IF($S72="S",IF(INDEX(Firms!$K$5:$K$1004,$T72)="","",INDEX(Firms!$K$5:$K$1004,$T72)),IF(INDEX('AFA Rates'!$J$5:$J$1004,$T72)="","",INDEX('AFA Rates'!$J$5:$J$1004,$T72))))</f>
        <v/>
      </c>
      <c r="M72" s="50">
        <f>IF($T72="","",IF($S72="S",IF(INDEX(Firms!$L$5:$L$1004,$T72)="","",INDEX(Firms!$L$5:$L$1004,$T72)),IF(INDEX('AFA Rates'!$K$5:$K$1004,$T72)="","",INDEX('AFA Rates'!$K$5:$K$1004,$T72))))</f>
        <v/>
      </c>
      <c r="N72" s="50">
        <f>IF($T72="","",IF($S72="S",IF(INDEX(Firms!$M$5:$M$1004,$T72)="","",INDEX(Firms!$M$5:$M$1004,$T72)),IF(INDEX('AFA Rates'!$L$5:$L$1004,$T72)="","",INDEX('AFA Rates'!$L$5:$L$1004,$T72))))</f>
        <v/>
      </c>
      <c r="O72" s="78">
        <f>IF(OR($T72="",$U72=""),"",IF(INDEX(Firms!$C$5:$C$1004,$U72)="","",INDEX(Firms!$C$5:$C$1004,$U72)))</f>
        <v/>
      </c>
      <c r="P72" s="79">
        <f>IF(OR($T72="",$U72=""),"",IF(INDEX(Firms!$N$5:$N$1004,$U72)="","",INDEX(Firms!$N$5:$N$1004,$U72)))</f>
        <v/>
      </c>
      <c r="Q72" s="78">
        <f>IF($T72="","",IF($S72="S",IF(INDEX(Firms!$T$5:$T$1004,$T72)="","",INDEX(Firms!$T$5:$T$1004,$T72)),IF(INDEX('AFA Rates'!$M$5:$M$1004,$T72)="","",INDEX('AFA Rates'!$M$5:$M$1004,$T72))))</f>
        <v/>
      </c>
      <c r="S72">
        <f>IF(68&lt;=$S$2,"S",IF(68&lt;=$S$2+$T$2,"A",""))</f>
        <v/>
      </c>
      <c r="T72">
        <f>IF(S72="S",MATCH(68,Firms!$W$5:$W$1004,0),IF(S72="A",IFERROR(MATCH(68-$S$2,'AFA Rates'!$R$5:$R$1004,0),""),""))</f>
        <v/>
      </c>
      <c r="U72">
        <f>IF(S72="S",T72,IF(AND(S72="A",T72&lt;&gt;""),IFERROR(MATCH(INDEX('AFA Rates'!$A$5:$A$1004,T72),Firms!$A$5:$A$1004,0),""),""))</f>
        <v/>
      </c>
    </row>
    <row r="73">
      <c r="A73" s="78">
        <f>IF($T73="","",IF($S73="S",IF(INDEX(Firms!$A$5:$A$1004,$T73)="","",INDEX(Firms!$A$5:$A$1004,$T73)),IF(INDEX('AFA Rates'!$A$5:$A$1004,$T73)="","",INDEX('AFA Rates'!$A$5:$A$1004,$T73))))</f>
        <v/>
      </c>
      <c r="B73" s="79">
        <f>IF(OR($T73="",$U73=""),IF($T73="","","Not on Firms tab"),INDEX(Firms!$B$5:$B$1004,$U73)&amp;"")</f>
        <v/>
      </c>
      <c r="C73" s="78">
        <f>IF($T73="","",IF($S73="S","Standard",INDEX('AFA Rates'!$B$5:$B$1004,$T73)&amp;""))</f>
        <v/>
      </c>
      <c r="D73" s="88">
        <f>IF($T73="","",IF($S73="S",IF(INDEX(Firms!$E$5:$E$1004,$T73)="","",INDEX(Firms!$E$5:$E$1004,$T73)),IF(INDEX('AFA Rates'!$C$5:$C$1004,$T73)="","",INDEX('AFA Rates'!$C$5:$C$1004,$T73))))</f>
        <v/>
      </c>
      <c r="E73" s="88">
        <f>IF($T73="","",IF($S73="S",IF(""="","",""),IF(INDEX('AFA Rates'!$D$5:$D$1004,$T73)="","",INDEX('AFA Rates'!$D$5:$D$1004,$T73))))</f>
        <v/>
      </c>
      <c r="F73" s="79">
        <f>IF($T73="","",IF($S73="S",IF(INDEX(Firms!$O$5:$O$1004,$T73)="","",INDEX(Firms!$O$5:$O$1004,$T73)),IF(INDEX('AFA Rates'!$O$5:$O$1004,$T73)="","",INDEX('AFA Rates'!$O$5:$O$1004,$T73))))</f>
        <v/>
      </c>
      <c r="G73" s="50">
        <f>IF($T73="","",IF($S73="S",IF(INDEX(Firms!$F$5:$F$1004,$T73)="","",INDEX(Firms!$F$5:$F$1004,$T73)),IF(INDEX('AFA Rates'!$E$5:$E$1004,$T73)="","",INDEX('AFA Rates'!$E$5:$E$1004,$T73))))</f>
        <v/>
      </c>
      <c r="H73" s="50">
        <f>IF($T73="","",IF($S73="S",IF(INDEX(Firms!$G$5:$G$1004,$T73)="","",INDEX(Firms!$G$5:$G$1004,$T73)),IF(INDEX('AFA Rates'!$F$5:$F$1004,$T73)="","",INDEX('AFA Rates'!$F$5:$F$1004,$T73))))</f>
        <v/>
      </c>
      <c r="I73" s="50">
        <f>IF($T73="","",IF($S73="S",IF(INDEX(Firms!$H$5:$H$1004,$T73)="","",INDEX(Firms!$H$5:$H$1004,$T73)),IF(INDEX('AFA Rates'!$G$5:$G$1004,$T73)="","",INDEX('AFA Rates'!$G$5:$G$1004,$T73))))</f>
        <v/>
      </c>
      <c r="J73" s="50">
        <f>IF($T73="","",IF($S73="S",IF(INDEX(Firms!$I$5:$I$1004,$T73)="","",INDEX(Firms!$I$5:$I$1004,$T73)),IF(INDEX('AFA Rates'!$H$5:$H$1004,$T73)="","",INDEX('AFA Rates'!$H$5:$H$1004,$T73))))</f>
        <v/>
      </c>
      <c r="K73" s="50">
        <f>IF($T73="","",IF($S73="S",IF(INDEX(Firms!$J$5:$J$1004,$T73)="","",INDEX(Firms!$J$5:$J$1004,$T73)),IF(INDEX('AFA Rates'!$I$5:$I$1004,$T73)="","",INDEX('AFA Rates'!$I$5:$I$1004,$T73))))</f>
        <v/>
      </c>
      <c r="L73" s="50">
        <f>IF($T73="","",IF($S73="S",IF(INDEX(Firms!$K$5:$K$1004,$T73)="","",INDEX(Firms!$K$5:$K$1004,$T73)),IF(INDEX('AFA Rates'!$J$5:$J$1004,$T73)="","",INDEX('AFA Rates'!$J$5:$J$1004,$T73))))</f>
        <v/>
      </c>
      <c r="M73" s="50">
        <f>IF($T73="","",IF($S73="S",IF(INDEX(Firms!$L$5:$L$1004,$T73)="","",INDEX(Firms!$L$5:$L$1004,$T73)),IF(INDEX('AFA Rates'!$K$5:$K$1004,$T73)="","",INDEX('AFA Rates'!$K$5:$K$1004,$T73))))</f>
        <v/>
      </c>
      <c r="N73" s="50">
        <f>IF($T73="","",IF($S73="S",IF(INDEX(Firms!$M$5:$M$1004,$T73)="","",INDEX(Firms!$M$5:$M$1004,$T73)),IF(INDEX('AFA Rates'!$L$5:$L$1004,$T73)="","",INDEX('AFA Rates'!$L$5:$L$1004,$T73))))</f>
        <v/>
      </c>
      <c r="O73" s="78">
        <f>IF(OR($T73="",$U73=""),"",IF(INDEX(Firms!$C$5:$C$1004,$U73)="","",INDEX(Firms!$C$5:$C$1004,$U73)))</f>
        <v/>
      </c>
      <c r="P73" s="79">
        <f>IF(OR($T73="",$U73=""),"",IF(INDEX(Firms!$N$5:$N$1004,$U73)="","",INDEX(Firms!$N$5:$N$1004,$U73)))</f>
        <v/>
      </c>
      <c r="Q73" s="78">
        <f>IF($T73="","",IF($S73="S",IF(INDEX(Firms!$T$5:$T$1004,$T73)="","",INDEX(Firms!$T$5:$T$1004,$T73)),IF(INDEX('AFA Rates'!$M$5:$M$1004,$T73)="","",INDEX('AFA Rates'!$M$5:$M$1004,$T73))))</f>
        <v/>
      </c>
      <c r="S73">
        <f>IF(69&lt;=$S$2,"S",IF(69&lt;=$S$2+$T$2,"A",""))</f>
        <v/>
      </c>
      <c r="T73">
        <f>IF(S73="S",MATCH(69,Firms!$W$5:$W$1004,0),IF(S73="A",IFERROR(MATCH(69-$S$2,'AFA Rates'!$R$5:$R$1004,0),""),""))</f>
        <v/>
      </c>
      <c r="U73">
        <f>IF(S73="S",T73,IF(AND(S73="A",T73&lt;&gt;""),IFERROR(MATCH(INDEX('AFA Rates'!$A$5:$A$1004,T73),Firms!$A$5:$A$1004,0),""),""))</f>
        <v/>
      </c>
    </row>
    <row r="74">
      <c r="A74" s="78">
        <f>IF($T74="","",IF($S74="S",IF(INDEX(Firms!$A$5:$A$1004,$T74)="","",INDEX(Firms!$A$5:$A$1004,$T74)),IF(INDEX('AFA Rates'!$A$5:$A$1004,$T74)="","",INDEX('AFA Rates'!$A$5:$A$1004,$T74))))</f>
        <v/>
      </c>
      <c r="B74" s="79">
        <f>IF(OR($T74="",$U74=""),IF($T74="","","Not on Firms tab"),INDEX(Firms!$B$5:$B$1004,$U74)&amp;"")</f>
        <v/>
      </c>
      <c r="C74" s="78">
        <f>IF($T74="","",IF($S74="S","Standard",INDEX('AFA Rates'!$B$5:$B$1004,$T74)&amp;""))</f>
        <v/>
      </c>
      <c r="D74" s="88">
        <f>IF($T74="","",IF($S74="S",IF(INDEX(Firms!$E$5:$E$1004,$T74)="","",INDEX(Firms!$E$5:$E$1004,$T74)),IF(INDEX('AFA Rates'!$C$5:$C$1004,$T74)="","",INDEX('AFA Rates'!$C$5:$C$1004,$T74))))</f>
        <v/>
      </c>
      <c r="E74" s="88">
        <f>IF($T74="","",IF($S74="S",IF(""="","",""),IF(INDEX('AFA Rates'!$D$5:$D$1004,$T74)="","",INDEX('AFA Rates'!$D$5:$D$1004,$T74))))</f>
        <v/>
      </c>
      <c r="F74" s="79">
        <f>IF($T74="","",IF($S74="S",IF(INDEX(Firms!$O$5:$O$1004,$T74)="","",INDEX(Firms!$O$5:$O$1004,$T74)),IF(INDEX('AFA Rates'!$O$5:$O$1004,$T74)="","",INDEX('AFA Rates'!$O$5:$O$1004,$T74))))</f>
        <v/>
      </c>
      <c r="G74" s="50">
        <f>IF($T74="","",IF($S74="S",IF(INDEX(Firms!$F$5:$F$1004,$T74)="","",INDEX(Firms!$F$5:$F$1004,$T74)),IF(INDEX('AFA Rates'!$E$5:$E$1004,$T74)="","",INDEX('AFA Rates'!$E$5:$E$1004,$T74))))</f>
        <v/>
      </c>
      <c r="H74" s="50">
        <f>IF($T74="","",IF($S74="S",IF(INDEX(Firms!$G$5:$G$1004,$T74)="","",INDEX(Firms!$G$5:$G$1004,$T74)),IF(INDEX('AFA Rates'!$F$5:$F$1004,$T74)="","",INDEX('AFA Rates'!$F$5:$F$1004,$T74))))</f>
        <v/>
      </c>
      <c r="I74" s="50">
        <f>IF($T74="","",IF($S74="S",IF(INDEX(Firms!$H$5:$H$1004,$T74)="","",INDEX(Firms!$H$5:$H$1004,$T74)),IF(INDEX('AFA Rates'!$G$5:$G$1004,$T74)="","",INDEX('AFA Rates'!$G$5:$G$1004,$T74))))</f>
        <v/>
      </c>
      <c r="J74" s="50">
        <f>IF($T74="","",IF($S74="S",IF(INDEX(Firms!$I$5:$I$1004,$T74)="","",INDEX(Firms!$I$5:$I$1004,$T74)),IF(INDEX('AFA Rates'!$H$5:$H$1004,$T74)="","",INDEX('AFA Rates'!$H$5:$H$1004,$T74))))</f>
        <v/>
      </c>
      <c r="K74" s="50">
        <f>IF($T74="","",IF($S74="S",IF(INDEX(Firms!$J$5:$J$1004,$T74)="","",INDEX(Firms!$J$5:$J$1004,$T74)),IF(INDEX('AFA Rates'!$I$5:$I$1004,$T74)="","",INDEX('AFA Rates'!$I$5:$I$1004,$T74))))</f>
        <v/>
      </c>
      <c r="L74" s="50">
        <f>IF($T74="","",IF($S74="S",IF(INDEX(Firms!$K$5:$K$1004,$T74)="","",INDEX(Firms!$K$5:$K$1004,$T74)),IF(INDEX('AFA Rates'!$J$5:$J$1004,$T74)="","",INDEX('AFA Rates'!$J$5:$J$1004,$T74))))</f>
        <v/>
      </c>
      <c r="M74" s="50">
        <f>IF($T74="","",IF($S74="S",IF(INDEX(Firms!$L$5:$L$1004,$T74)="","",INDEX(Firms!$L$5:$L$1004,$T74)),IF(INDEX('AFA Rates'!$K$5:$K$1004,$T74)="","",INDEX('AFA Rates'!$K$5:$K$1004,$T74))))</f>
        <v/>
      </c>
      <c r="N74" s="50">
        <f>IF($T74="","",IF($S74="S",IF(INDEX(Firms!$M$5:$M$1004,$T74)="","",INDEX(Firms!$M$5:$M$1004,$T74)),IF(INDEX('AFA Rates'!$L$5:$L$1004,$T74)="","",INDEX('AFA Rates'!$L$5:$L$1004,$T74))))</f>
        <v/>
      </c>
      <c r="O74" s="78">
        <f>IF(OR($T74="",$U74=""),"",IF(INDEX(Firms!$C$5:$C$1004,$U74)="","",INDEX(Firms!$C$5:$C$1004,$U74)))</f>
        <v/>
      </c>
      <c r="P74" s="79">
        <f>IF(OR($T74="",$U74=""),"",IF(INDEX(Firms!$N$5:$N$1004,$U74)="","",INDEX(Firms!$N$5:$N$1004,$U74)))</f>
        <v/>
      </c>
      <c r="Q74" s="78">
        <f>IF($T74="","",IF($S74="S",IF(INDEX(Firms!$T$5:$T$1004,$T74)="","",INDEX(Firms!$T$5:$T$1004,$T74)),IF(INDEX('AFA Rates'!$M$5:$M$1004,$T74)="","",INDEX('AFA Rates'!$M$5:$M$1004,$T74))))</f>
        <v/>
      </c>
      <c r="S74">
        <f>IF(70&lt;=$S$2,"S",IF(70&lt;=$S$2+$T$2,"A",""))</f>
        <v/>
      </c>
      <c r="T74">
        <f>IF(S74="S",MATCH(70,Firms!$W$5:$W$1004,0),IF(S74="A",IFERROR(MATCH(70-$S$2,'AFA Rates'!$R$5:$R$1004,0),""),""))</f>
        <v/>
      </c>
      <c r="U74">
        <f>IF(S74="S",T74,IF(AND(S74="A",T74&lt;&gt;""),IFERROR(MATCH(INDEX('AFA Rates'!$A$5:$A$1004,T74),Firms!$A$5:$A$1004,0),""),""))</f>
        <v/>
      </c>
    </row>
    <row r="75">
      <c r="A75" s="78">
        <f>IF($T75="","",IF($S75="S",IF(INDEX(Firms!$A$5:$A$1004,$T75)="","",INDEX(Firms!$A$5:$A$1004,$T75)),IF(INDEX('AFA Rates'!$A$5:$A$1004,$T75)="","",INDEX('AFA Rates'!$A$5:$A$1004,$T75))))</f>
        <v/>
      </c>
      <c r="B75" s="79">
        <f>IF(OR($T75="",$U75=""),IF($T75="","","Not on Firms tab"),INDEX(Firms!$B$5:$B$1004,$U75)&amp;"")</f>
        <v/>
      </c>
      <c r="C75" s="78">
        <f>IF($T75="","",IF($S75="S","Standard",INDEX('AFA Rates'!$B$5:$B$1004,$T75)&amp;""))</f>
        <v/>
      </c>
      <c r="D75" s="88">
        <f>IF($T75="","",IF($S75="S",IF(INDEX(Firms!$E$5:$E$1004,$T75)="","",INDEX(Firms!$E$5:$E$1004,$T75)),IF(INDEX('AFA Rates'!$C$5:$C$1004,$T75)="","",INDEX('AFA Rates'!$C$5:$C$1004,$T75))))</f>
        <v/>
      </c>
      <c r="E75" s="88">
        <f>IF($T75="","",IF($S75="S",IF(""="","",""),IF(INDEX('AFA Rates'!$D$5:$D$1004,$T75)="","",INDEX('AFA Rates'!$D$5:$D$1004,$T75))))</f>
        <v/>
      </c>
      <c r="F75" s="79">
        <f>IF($T75="","",IF($S75="S",IF(INDEX(Firms!$O$5:$O$1004,$T75)="","",INDEX(Firms!$O$5:$O$1004,$T75)),IF(INDEX('AFA Rates'!$O$5:$O$1004,$T75)="","",INDEX('AFA Rates'!$O$5:$O$1004,$T75))))</f>
        <v/>
      </c>
      <c r="G75" s="50">
        <f>IF($T75="","",IF($S75="S",IF(INDEX(Firms!$F$5:$F$1004,$T75)="","",INDEX(Firms!$F$5:$F$1004,$T75)),IF(INDEX('AFA Rates'!$E$5:$E$1004,$T75)="","",INDEX('AFA Rates'!$E$5:$E$1004,$T75))))</f>
        <v/>
      </c>
      <c r="H75" s="50">
        <f>IF($T75="","",IF($S75="S",IF(INDEX(Firms!$G$5:$G$1004,$T75)="","",INDEX(Firms!$G$5:$G$1004,$T75)),IF(INDEX('AFA Rates'!$F$5:$F$1004,$T75)="","",INDEX('AFA Rates'!$F$5:$F$1004,$T75))))</f>
        <v/>
      </c>
      <c r="I75" s="50">
        <f>IF($T75="","",IF($S75="S",IF(INDEX(Firms!$H$5:$H$1004,$T75)="","",INDEX(Firms!$H$5:$H$1004,$T75)),IF(INDEX('AFA Rates'!$G$5:$G$1004,$T75)="","",INDEX('AFA Rates'!$G$5:$G$1004,$T75))))</f>
        <v/>
      </c>
      <c r="J75" s="50">
        <f>IF($T75="","",IF($S75="S",IF(INDEX(Firms!$I$5:$I$1004,$T75)="","",INDEX(Firms!$I$5:$I$1004,$T75)),IF(INDEX('AFA Rates'!$H$5:$H$1004,$T75)="","",INDEX('AFA Rates'!$H$5:$H$1004,$T75))))</f>
        <v/>
      </c>
      <c r="K75" s="50">
        <f>IF($T75="","",IF($S75="S",IF(INDEX(Firms!$J$5:$J$1004,$T75)="","",INDEX(Firms!$J$5:$J$1004,$T75)),IF(INDEX('AFA Rates'!$I$5:$I$1004,$T75)="","",INDEX('AFA Rates'!$I$5:$I$1004,$T75))))</f>
        <v/>
      </c>
      <c r="L75" s="50">
        <f>IF($T75="","",IF($S75="S",IF(INDEX(Firms!$K$5:$K$1004,$T75)="","",INDEX(Firms!$K$5:$K$1004,$T75)),IF(INDEX('AFA Rates'!$J$5:$J$1004,$T75)="","",INDEX('AFA Rates'!$J$5:$J$1004,$T75))))</f>
        <v/>
      </c>
      <c r="M75" s="50">
        <f>IF($T75="","",IF($S75="S",IF(INDEX(Firms!$L$5:$L$1004,$T75)="","",INDEX(Firms!$L$5:$L$1004,$T75)),IF(INDEX('AFA Rates'!$K$5:$K$1004,$T75)="","",INDEX('AFA Rates'!$K$5:$K$1004,$T75))))</f>
        <v/>
      </c>
      <c r="N75" s="50">
        <f>IF($T75="","",IF($S75="S",IF(INDEX(Firms!$M$5:$M$1004,$T75)="","",INDEX(Firms!$M$5:$M$1004,$T75)),IF(INDEX('AFA Rates'!$L$5:$L$1004,$T75)="","",INDEX('AFA Rates'!$L$5:$L$1004,$T75))))</f>
        <v/>
      </c>
      <c r="O75" s="78">
        <f>IF(OR($T75="",$U75=""),"",IF(INDEX(Firms!$C$5:$C$1004,$U75)="","",INDEX(Firms!$C$5:$C$1004,$U75)))</f>
        <v/>
      </c>
      <c r="P75" s="79">
        <f>IF(OR($T75="",$U75=""),"",IF(INDEX(Firms!$N$5:$N$1004,$U75)="","",INDEX(Firms!$N$5:$N$1004,$U75)))</f>
        <v/>
      </c>
      <c r="Q75" s="78">
        <f>IF($T75="","",IF($S75="S",IF(INDEX(Firms!$T$5:$T$1004,$T75)="","",INDEX(Firms!$T$5:$T$1004,$T75)),IF(INDEX('AFA Rates'!$M$5:$M$1004,$T75)="","",INDEX('AFA Rates'!$M$5:$M$1004,$T75))))</f>
        <v/>
      </c>
      <c r="S75">
        <f>IF(71&lt;=$S$2,"S",IF(71&lt;=$S$2+$T$2,"A",""))</f>
        <v/>
      </c>
      <c r="T75">
        <f>IF(S75="S",MATCH(71,Firms!$W$5:$W$1004,0),IF(S75="A",IFERROR(MATCH(71-$S$2,'AFA Rates'!$R$5:$R$1004,0),""),""))</f>
        <v/>
      </c>
      <c r="U75">
        <f>IF(S75="S",T75,IF(AND(S75="A",T75&lt;&gt;""),IFERROR(MATCH(INDEX('AFA Rates'!$A$5:$A$1004,T75),Firms!$A$5:$A$1004,0),""),""))</f>
        <v/>
      </c>
    </row>
    <row r="76">
      <c r="A76" s="78">
        <f>IF($T76="","",IF($S76="S",IF(INDEX(Firms!$A$5:$A$1004,$T76)="","",INDEX(Firms!$A$5:$A$1004,$T76)),IF(INDEX('AFA Rates'!$A$5:$A$1004,$T76)="","",INDEX('AFA Rates'!$A$5:$A$1004,$T76))))</f>
        <v/>
      </c>
      <c r="B76" s="79">
        <f>IF(OR($T76="",$U76=""),IF($T76="","","Not on Firms tab"),INDEX(Firms!$B$5:$B$1004,$U76)&amp;"")</f>
        <v/>
      </c>
      <c r="C76" s="78">
        <f>IF($T76="","",IF($S76="S","Standard",INDEX('AFA Rates'!$B$5:$B$1004,$T76)&amp;""))</f>
        <v/>
      </c>
      <c r="D76" s="88">
        <f>IF($T76="","",IF($S76="S",IF(INDEX(Firms!$E$5:$E$1004,$T76)="","",INDEX(Firms!$E$5:$E$1004,$T76)),IF(INDEX('AFA Rates'!$C$5:$C$1004,$T76)="","",INDEX('AFA Rates'!$C$5:$C$1004,$T76))))</f>
        <v/>
      </c>
      <c r="E76" s="88">
        <f>IF($T76="","",IF($S76="S",IF(""="","",""),IF(INDEX('AFA Rates'!$D$5:$D$1004,$T76)="","",INDEX('AFA Rates'!$D$5:$D$1004,$T76))))</f>
        <v/>
      </c>
      <c r="F76" s="79">
        <f>IF($T76="","",IF($S76="S",IF(INDEX(Firms!$O$5:$O$1004,$T76)="","",INDEX(Firms!$O$5:$O$1004,$T76)),IF(INDEX('AFA Rates'!$O$5:$O$1004,$T76)="","",INDEX('AFA Rates'!$O$5:$O$1004,$T76))))</f>
        <v/>
      </c>
      <c r="G76" s="50">
        <f>IF($T76="","",IF($S76="S",IF(INDEX(Firms!$F$5:$F$1004,$T76)="","",INDEX(Firms!$F$5:$F$1004,$T76)),IF(INDEX('AFA Rates'!$E$5:$E$1004,$T76)="","",INDEX('AFA Rates'!$E$5:$E$1004,$T76))))</f>
        <v/>
      </c>
      <c r="H76" s="50">
        <f>IF($T76="","",IF($S76="S",IF(INDEX(Firms!$G$5:$G$1004,$T76)="","",INDEX(Firms!$G$5:$G$1004,$T76)),IF(INDEX('AFA Rates'!$F$5:$F$1004,$T76)="","",INDEX('AFA Rates'!$F$5:$F$1004,$T76))))</f>
        <v/>
      </c>
      <c r="I76" s="50">
        <f>IF($T76="","",IF($S76="S",IF(INDEX(Firms!$H$5:$H$1004,$T76)="","",INDEX(Firms!$H$5:$H$1004,$T76)),IF(INDEX('AFA Rates'!$G$5:$G$1004,$T76)="","",INDEX('AFA Rates'!$G$5:$G$1004,$T76))))</f>
        <v/>
      </c>
      <c r="J76" s="50">
        <f>IF($T76="","",IF($S76="S",IF(INDEX(Firms!$I$5:$I$1004,$T76)="","",INDEX(Firms!$I$5:$I$1004,$T76)),IF(INDEX('AFA Rates'!$H$5:$H$1004,$T76)="","",INDEX('AFA Rates'!$H$5:$H$1004,$T76))))</f>
        <v/>
      </c>
      <c r="K76" s="50">
        <f>IF($T76="","",IF($S76="S",IF(INDEX(Firms!$J$5:$J$1004,$T76)="","",INDEX(Firms!$J$5:$J$1004,$T76)),IF(INDEX('AFA Rates'!$I$5:$I$1004,$T76)="","",INDEX('AFA Rates'!$I$5:$I$1004,$T76))))</f>
        <v/>
      </c>
      <c r="L76" s="50">
        <f>IF($T76="","",IF($S76="S",IF(INDEX(Firms!$K$5:$K$1004,$T76)="","",INDEX(Firms!$K$5:$K$1004,$T76)),IF(INDEX('AFA Rates'!$J$5:$J$1004,$T76)="","",INDEX('AFA Rates'!$J$5:$J$1004,$T76))))</f>
        <v/>
      </c>
      <c r="M76" s="50">
        <f>IF($T76="","",IF($S76="S",IF(INDEX(Firms!$L$5:$L$1004,$T76)="","",INDEX(Firms!$L$5:$L$1004,$T76)),IF(INDEX('AFA Rates'!$K$5:$K$1004,$T76)="","",INDEX('AFA Rates'!$K$5:$K$1004,$T76))))</f>
        <v/>
      </c>
      <c r="N76" s="50">
        <f>IF($T76="","",IF($S76="S",IF(INDEX(Firms!$M$5:$M$1004,$T76)="","",INDEX(Firms!$M$5:$M$1004,$T76)),IF(INDEX('AFA Rates'!$L$5:$L$1004,$T76)="","",INDEX('AFA Rates'!$L$5:$L$1004,$T76))))</f>
        <v/>
      </c>
      <c r="O76" s="78">
        <f>IF(OR($T76="",$U76=""),"",IF(INDEX(Firms!$C$5:$C$1004,$U76)="","",INDEX(Firms!$C$5:$C$1004,$U76)))</f>
        <v/>
      </c>
      <c r="P76" s="79">
        <f>IF(OR($T76="",$U76=""),"",IF(INDEX(Firms!$N$5:$N$1004,$U76)="","",INDEX(Firms!$N$5:$N$1004,$U76)))</f>
        <v/>
      </c>
      <c r="Q76" s="78">
        <f>IF($T76="","",IF($S76="S",IF(INDEX(Firms!$T$5:$T$1004,$T76)="","",INDEX(Firms!$T$5:$T$1004,$T76)),IF(INDEX('AFA Rates'!$M$5:$M$1004,$T76)="","",INDEX('AFA Rates'!$M$5:$M$1004,$T76))))</f>
        <v/>
      </c>
      <c r="S76">
        <f>IF(72&lt;=$S$2,"S",IF(72&lt;=$S$2+$T$2,"A",""))</f>
        <v/>
      </c>
      <c r="T76">
        <f>IF(S76="S",MATCH(72,Firms!$W$5:$W$1004,0),IF(S76="A",IFERROR(MATCH(72-$S$2,'AFA Rates'!$R$5:$R$1004,0),""),""))</f>
        <v/>
      </c>
      <c r="U76">
        <f>IF(S76="S",T76,IF(AND(S76="A",T76&lt;&gt;""),IFERROR(MATCH(INDEX('AFA Rates'!$A$5:$A$1004,T76),Firms!$A$5:$A$1004,0),""),""))</f>
        <v/>
      </c>
    </row>
    <row r="77">
      <c r="A77" s="78">
        <f>IF($T77="","",IF($S77="S",IF(INDEX(Firms!$A$5:$A$1004,$T77)="","",INDEX(Firms!$A$5:$A$1004,$T77)),IF(INDEX('AFA Rates'!$A$5:$A$1004,$T77)="","",INDEX('AFA Rates'!$A$5:$A$1004,$T77))))</f>
        <v/>
      </c>
      <c r="B77" s="79">
        <f>IF(OR($T77="",$U77=""),IF($T77="","","Not on Firms tab"),INDEX(Firms!$B$5:$B$1004,$U77)&amp;"")</f>
        <v/>
      </c>
      <c r="C77" s="78">
        <f>IF($T77="","",IF($S77="S","Standard",INDEX('AFA Rates'!$B$5:$B$1004,$T77)&amp;""))</f>
        <v/>
      </c>
      <c r="D77" s="88">
        <f>IF($T77="","",IF($S77="S",IF(INDEX(Firms!$E$5:$E$1004,$T77)="","",INDEX(Firms!$E$5:$E$1004,$T77)),IF(INDEX('AFA Rates'!$C$5:$C$1004,$T77)="","",INDEX('AFA Rates'!$C$5:$C$1004,$T77))))</f>
        <v/>
      </c>
      <c r="E77" s="88">
        <f>IF($T77="","",IF($S77="S",IF(""="","",""),IF(INDEX('AFA Rates'!$D$5:$D$1004,$T77)="","",INDEX('AFA Rates'!$D$5:$D$1004,$T77))))</f>
        <v/>
      </c>
      <c r="F77" s="79">
        <f>IF($T77="","",IF($S77="S",IF(INDEX(Firms!$O$5:$O$1004,$T77)="","",INDEX(Firms!$O$5:$O$1004,$T77)),IF(INDEX('AFA Rates'!$O$5:$O$1004,$T77)="","",INDEX('AFA Rates'!$O$5:$O$1004,$T77))))</f>
        <v/>
      </c>
      <c r="G77" s="50">
        <f>IF($T77="","",IF($S77="S",IF(INDEX(Firms!$F$5:$F$1004,$T77)="","",INDEX(Firms!$F$5:$F$1004,$T77)),IF(INDEX('AFA Rates'!$E$5:$E$1004,$T77)="","",INDEX('AFA Rates'!$E$5:$E$1004,$T77))))</f>
        <v/>
      </c>
      <c r="H77" s="50">
        <f>IF($T77="","",IF($S77="S",IF(INDEX(Firms!$G$5:$G$1004,$T77)="","",INDEX(Firms!$G$5:$G$1004,$T77)),IF(INDEX('AFA Rates'!$F$5:$F$1004,$T77)="","",INDEX('AFA Rates'!$F$5:$F$1004,$T77))))</f>
        <v/>
      </c>
      <c r="I77" s="50">
        <f>IF($T77="","",IF($S77="S",IF(INDEX(Firms!$H$5:$H$1004,$T77)="","",INDEX(Firms!$H$5:$H$1004,$T77)),IF(INDEX('AFA Rates'!$G$5:$G$1004,$T77)="","",INDEX('AFA Rates'!$G$5:$G$1004,$T77))))</f>
        <v/>
      </c>
      <c r="J77" s="50">
        <f>IF($T77="","",IF($S77="S",IF(INDEX(Firms!$I$5:$I$1004,$T77)="","",INDEX(Firms!$I$5:$I$1004,$T77)),IF(INDEX('AFA Rates'!$H$5:$H$1004,$T77)="","",INDEX('AFA Rates'!$H$5:$H$1004,$T77))))</f>
        <v/>
      </c>
      <c r="K77" s="50">
        <f>IF($T77="","",IF($S77="S",IF(INDEX(Firms!$J$5:$J$1004,$T77)="","",INDEX(Firms!$J$5:$J$1004,$T77)),IF(INDEX('AFA Rates'!$I$5:$I$1004,$T77)="","",INDEX('AFA Rates'!$I$5:$I$1004,$T77))))</f>
        <v/>
      </c>
      <c r="L77" s="50">
        <f>IF($T77="","",IF($S77="S",IF(INDEX(Firms!$K$5:$K$1004,$T77)="","",INDEX(Firms!$K$5:$K$1004,$T77)),IF(INDEX('AFA Rates'!$J$5:$J$1004,$T77)="","",INDEX('AFA Rates'!$J$5:$J$1004,$T77))))</f>
        <v/>
      </c>
      <c r="M77" s="50">
        <f>IF($T77="","",IF($S77="S",IF(INDEX(Firms!$L$5:$L$1004,$T77)="","",INDEX(Firms!$L$5:$L$1004,$T77)),IF(INDEX('AFA Rates'!$K$5:$K$1004,$T77)="","",INDEX('AFA Rates'!$K$5:$K$1004,$T77))))</f>
        <v/>
      </c>
      <c r="N77" s="50">
        <f>IF($T77="","",IF($S77="S",IF(INDEX(Firms!$M$5:$M$1004,$T77)="","",INDEX(Firms!$M$5:$M$1004,$T77)),IF(INDEX('AFA Rates'!$L$5:$L$1004,$T77)="","",INDEX('AFA Rates'!$L$5:$L$1004,$T77))))</f>
        <v/>
      </c>
      <c r="O77" s="78">
        <f>IF(OR($T77="",$U77=""),"",IF(INDEX(Firms!$C$5:$C$1004,$U77)="","",INDEX(Firms!$C$5:$C$1004,$U77)))</f>
        <v/>
      </c>
      <c r="P77" s="79">
        <f>IF(OR($T77="",$U77=""),"",IF(INDEX(Firms!$N$5:$N$1004,$U77)="","",INDEX(Firms!$N$5:$N$1004,$U77)))</f>
        <v/>
      </c>
      <c r="Q77" s="78">
        <f>IF($T77="","",IF($S77="S",IF(INDEX(Firms!$T$5:$T$1004,$T77)="","",INDEX(Firms!$T$5:$T$1004,$T77)),IF(INDEX('AFA Rates'!$M$5:$M$1004,$T77)="","",INDEX('AFA Rates'!$M$5:$M$1004,$T77))))</f>
        <v/>
      </c>
      <c r="S77">
        <f>IF(73&lt;=$S$2,"S",IF(73&lt;=$S$2+$T$2,"A",""))</f>
        <v/>
      </c>
      <c r="T77">
        <f>IF(S77="S",MATCH(73,Firms!$W$5:$W$1004,0),IF(S77="A",IFERROR(MATCH(73-$S$2,'AFA Rates'!$R$5:$R$1004,0),""),""))</f>
        <v/>
      </c>
      <c r="U77">
        <f>IF(S77="S",T77,IF(AND(S77="A",T77&lt;&gt;""),IFERROR(MATCH(INDEX('AFA Rates'!$A$5:$A$1004,T77),Firms!$A$5:$A$1004,0),""),""))</f>
        <v/>
      </c>
    </row>
    <row r="78">
      <c r="A78" s="78">
        <f>IF($T78="","",IF($S78="S",IF(INDEX(Firms!$A$5:$A$1004,$T78)="","",INDEX(Firms!$A$5:$A$1004,$T78)),IF(INDEX('AFA Rates'!$A$5:$A$1004,$T78)="","",INDEX('AFA Rates'!$A$5:$A$1004,$T78))))</f>
        <v/>
      </c>
      <c r="B78" s="79">
        <f>IF(OR($T78="",$U78=""),IF($T78="","","Not on Firms tab"),INDEX(Firms!$B$5:$B$1004,$U78)&amp;"")</f>
        <v/>
      </c>
      <c r="C78" s="78">
        <f>IF($T78="","",IF($S78="S","Standard",INDEX('AFA Rates'!$B$5:$B$1004,$T78)&amp;""))</f>
        <v/>
      </c>
      <c r="D78" s="88">
        <f>IF($T78="","",IF($S78="S",IF(INDEX(Firms!$E$5:$E$1004,$T78)="","",INDEX(Firms!$E$5:$E$1004,$T78)),IF(INDEX('AFA Rates'!$C$5:$C$1004,$T78)="","",INDEX('AFA Rates'!$C$5:$C$1004,$T78))))</f>
        <v/>
      </c>
      <c r="E78" s="88">
        <f>IF($T78="","",IF($S78="S",IF(""="","",""),IF(INDEX('AFA Rates'!$D$5:$D$1004,$T78)="","",INDEX('AFA Rates'!$D$5:$D$1004,$T78))))</f>
        <v/>
      </c>
      <c r="F78" s="79">
        <f>IF($T78="","",IF($S78="S",IF(INDEX(Firms!$O$5:$O$1004,$T78)="","",INDEX(Firms!$O$5:$O$1004,$T78)),IF(INDEX('AFA Rates'!$O$5:$O$1004,$T78)="","",INDEX('AFA Rates'!$O$5:$O$1004,$T78))))</f>
        <v/>
      </c>
      <c r="G78" s="50">
        <f>IF($T78="","",IF($S78="S",IF(INDEX(Firms!$F$5:$F$1004,$T78)="","",INDEX(Firms!$F$5:$F$1004,$T78)),IF(INDEX('AFA Rates'!$E$5:$E$1004,$T78)="","",INDEX('AFA Rates'!$E$5:$E$1004,$T78))))</f>
        <v/>
      </c>
      <c r="H78" s="50">
        <f>IF($T78="","",IF($S78="S",IF(INDEX(Firms!$G$5:$G$1004,$T78)="","",INDEX(Firms!$G$5:$G$1004,$T78)),IF(INDEX('AFA Rates'!$F$5:$F$1004,$T78)="","",INDEX('AFA Rates'!$F$5:$F$1004,$T78))))</f>
        <v/>
      </c>
      <c r="I78" s="50">
        <f>IF($T78="","",IF($S78="S",IF(INDEX(Firms!$H$5:$H$1004,$T78)="","",INDEX(Firms!$H$5:$H$1004,$T78)),IF(INDEX('AFA Rates'!$G$5:$G$1004,$T78)="","",INDEX('AFA Rates'!$G$5:$G$1004,$T78))))</f>
        <v/>
      </c>
      <c r="J78" s="50">
        <f>IF($T78="","",IF($S78="S",IF(INDEX(Firms!$I$5:$I$1004,$T78)="","",INDEX(Firms!$I$5:$I$1004,$T78)),IF(INDEX('AFA Rates'!$H$5:$H$1004,$T78)="","",INDEX('AFA Rates'!$H$5:$H$1004,$T78))))</f>
        <v/>
      </c>
      <c r="K78" s="50">
        <f>IF($T78="","",IF($S78="S",IF(INDEX(Firms!$J$5:$J$1004,$T78)="","",INDEX(Firms!$J$5:$J$1004,$T78)),IF(INDEX('AFA Rates'!$I$5:$I$1004,$T78)="","",INDEX('AFA Rates'!$I$5:$I$1004,$T78))))</f>
        <v/>
      </c>
      <c r="L78" s="50">
        <f>IF($T78="","",IF($S78="S",IF(INDEX(Firms!$K$5:$K$1004,$T78)="","",INDEX(Firms!$K$5:$K$1004,$T78)),IF(INDEX('AFA Rates'!$J$5:$J$1004,$T78)="","",INDEX('AFA Rates'!$J$5:$J$1004,$T78))))</f>
        <v/>
      </c>
      <c r="M78" s="50">
        <f>IF($T78="","",IF($S78="S",IF(INDEX(Firms!$L$5:$L$1004,$T78)="","",INDEX(Firms!$L$5:$L$1004,$T78)),IF(INDEX('AFA Rates'!$K$5:$K$1004,$T78)="","",INDEX('AFA Rates'!$K$5:$K$1004,$T78))))</f>
        <v/>
      </c>
      <c r="N78" s="50">
        <f>IF($T78="","",IF($S78="S",IF(INDEX(Firms!$M$5:$M$1004,$T78)="","",INDEX(Firms!$M$5:$M$1004,$T78)),IF(INDEX('AFA Rates'!$L$5:$L$1004,$T78)="","",INDEX('AFA Rates'!$L$5:$L$1004,$T78))))</f>
        <v/>
      </c>
      <c r="O78" s="78">
        <f>IF(OR($T78="",$U78=""),"",IF(INDEX(Firms!$C$5:$C$1004,$U78)="","",INDEX(Firms!$C$5:$C$1004,$U78)))</f>
        <v/>
      </c>
      <c r="P78" s="79">
        <f>IF(OR($T78="",$U78=""),"",IF(INDEX(Firms!$N$5:$N$1004,$U78)="","",INDEX(Firms!$N$5:$N$1004,$U78)))</f>
        <v/>
      </c>
      <c r="Q78" s="78">
        <f>IF($T78="","",IF($S78="S",IF(INDEX(Firms!$T$5:$T$1004,$T78)="","",INDEX(Firms!$T$5:$T$1004,$T78)),IF(INDEX('AFA Rates'!$M$5:$M$1004,$T78)="","",INDEX('AFA Rates'!$M$5:$M$1004,$T78))))</f>
        <v/>
      </c>
      <c r="S78">
        <f>IF(74&lt;=$S$2,"S",IF(74&lt;=$S$2+$T$2,"A",""))</f>
        <v/>
      </c>
      <c r="T78">
        <f>IF(S78="S",MATCH(74,Firms!$W$5:$W$1004,0),IF(S78="A",IFERROR(MATCH(74-$S$2,'AFA Rates'!$R$5:$R$1004,0),""),""))</f>
        <v/>
      </c>
      <c r="U78">
        <f>IF(S78="S",T78,IF(AND(S78="A",T78&lt;&gt;""),IFERROR(MATCH(INDEX('AFA Rates'!$A$5:$A$1004,T78),Firms!$A$5:$A$1004,0),""),""))</f>
        <v/>
      </c>
    </row>
    <row r="79">
      <c r="A79" s="78">
        <f>IF($T79="","",IF($S79="S",IF(INDEX(Firms!$A$5:$A$1004,$T79)="","",INDEX(Firms!$A$5:$A$1004,$T79)),IF(INDEX('AFA Rates'!$A$5:$A$1004,$T79)="","",INDEX('AFA Rates'!$A$5:$A$1004,$T79))))</f>
        <v/>
      </c>
      <c r="B79" s="79">
        <f>IF(OR($T79="",$U79=""),IF($T79="","","Not on Firms tab"),INDEX(Firms!$B$5:$B$1004,$U79)&amp;"")</f>
        <v/>
      </c>
      <c r="C79" s="78">
        <f>IF($T79="","",IF($S79="S","Standard",INDEX('AFA Rates'!$B$5:$B$1004,$T79)&amp;""))</f>
        <v/>
      </c>
      <c r="D79" s="88">
        <f>IF($T79="","",IF($S79="S",IF(INDEX(Firms!$E$5:$E$1004,$T79)="","",INDEX(Firms!$E$5:$E$1004,$T79)),IF(INDEX('AFA Rates'!$C$5:$C$1004,$T79)="","",INDEX('AFA Rates'!$C$5:$C$1004,$T79))))</f>
        <v/>
      </c>
      <c r="E79" s="88">
        <f>IF($T79="","",IF($S79="S",IF(""="","",""),IF(INDEX('AFA Rates'!$D$5:$D$1004,$T79)="","",INDEX('AFA Rates'!$D$5:$D$1004,$T79))))</f>
        <v/>
      </c>
      <c r="F79" s="79">
        <f>IF($T79="","",IF($S79="S",IF(INDEX(Firms!$O$5:$O$1004,$T79)="","",INDEX(Firms!$O$5:$O$1004,$T79)),IF(INDEX('AFA Rates'!$O$5:$O$1004,$T79)="","",INDEX('AFA Rates'!$O$5:$O$1004,$T79))))</f>
        <v/>
      </c>
      <c r="G79" s="50">
        <f>IF($T79="","",IF($S79="S",IF(INDEX(Firms!$F$5:$F$1004,$T79)="","",INDEX(Firms!$F$5:$F$1004,$T79)),IF(INDEX('AFA Rates'!$E$5:$E$1004,$T79)="","",INDEX('AFA Rates'!$E$5:$E$1004,$T79))))</f>
        <v/>
      </c>
      <c r="H79" s="50">
        <f>IF($T79="","",IF($S79="S",IF(INDEX(Firms!$G$5:$G$1004,$T79)="","",INDEX(Firms!$G$5:$G$1004,$T79)),IF(INDEX('AFA Rates'!$F$5:$F$1004,$T79)="","",INDEX('AFA Rates'!$F$5:$F$1004,$T79))))</f>
        <v/>
      </c>
      <c r="I79" s="50">
        <f>IF($T79="","",IF($S79="S",IF(INDEX(Firms!$H$5:$H$1004,$T79)="","",INDEX(Firms!$H$5:$H$1004,$T79)),IF(INDEX('AFA Rates'!$G$5:$G$1004,$T79)="","",INDEX('AFA Rates'!$G$5:$G$1004,$T79))))</f>
        <v/>
      </c>
      <c r="J79" s="50">
        <f>IF($T79="","",IF($S79="S",IF(INDEX(Firms!$I$5:$I$1004,$T79)="","",INDEX(Firms!$I$5:$I$1004,$T79)),IF(INDEX('AFA Rates'!$H$5:$H$1004,$T79)="","",INDEX('AFA Rates'!$H$5:$H$1004,$T79))))</f>
        <v/>
      </c>
      <c r="K79" s="50">
        <f>IF($T79="","",IF($S79="S",IF(INDEX(Firms!$J$5:$J$1004,$T79)="","",INDEX(Firms!$J$5:$J$1004,$T79)),IF(INDEX('AFA Rates'!$I$5:$I$1004,$T79)="","",INDEX('AFA Rates'!$I$5:$I$1004,$T79))))</f>
        <v/>
      </c>
      <c r="L79" s="50">
        <f>IF($T79="","",IF($S79="S",IF(INDEX(Firms!$K$5:$K$1004,$T79)="","",INDEX(Firms!$K$5:$K$1004,$T79)),IF(INDEX('AFA Rates'!$J$5:$J$1004,$T79)="","",INDEX('AFA Rates'!$J$5:$J$1004,$T79))))</f>
        <v/>
      </c>
      <c r="M79" s="50">
        <f>IF($T79="","",IF($S79="S",IF(INDEX(Firms!$L$5:$L$1004,$T79)="","",INDEX(Firms!$L$5:$L$1004,$T79)),IF(INDEX('AFA Rates'!$K$5:$K$1004,$T79)="","",INDEX('AFA Rates'!$K$5:$K$1004,$T79))))</f>
        <v/>
      </c>
      <c r="N79" s="50">
        <f>IF($T79="","",IF($S79="S",IF(INDEX(Firms!$M$5:$M$1004,$T79)="","",INDEX(Firms!$M$5:$M$1004,$T79)),IF(INDEX('AFA Rates'!$L$5:$L$1004,$T79)="","",INDEX('AFA Rates'!$L$5:$L$1004,$T79))))</f>
        <v/>
      </c>
      <c r="O79" s="78">
        <f>IF(OR($T79="",$U79=""),"",IF(INDEX(Firms!$C$5:$C$1004,$U79)="","",INDEX(Firms!$C$5:$C$1004,$U79)))</f>
        <v/>
      </c>
      <c r="P79" s="79">
        <f>IF(OR($T79="",$U79=""),"",IF(INDEX(Firms!$N$5:$N$1004,$U79)="","",INDEX(Firms!$N$5:$N$1004,$U79)))</f>
        <v/>
      </c>
      <c r="Q79" s="78">
        <f>IF($T79="","",IF($S79="S",IF(INDEX(Firms!$T$5:$T$1004,$T79)="","",INDEX(Firms!$T$5:$T$1004,$T79)),IF(INDEX('AFA Rates'!$M$5:$M$1004,$T79)="","",INDEX('AFA Rates'!$M$5:$M$1004,$T79))))</f>
        <v/>
      </c>
      <c r="S79">
        <f>IF(75&lt;=$S$2,"S",IF(75&lt;=$S$2+$T$2,"A",""))</f>
        <v/>
      </c>
      <c r="T79">
        <f>IF(S79="S",MATCH(75,Firms!$W$5:$W$1004,0),IF(S79="A",IFERROR(MATCH(75-$S$2,'AFA Rates'!$R$5:$R$1004,0),""),""))</f>
        <v/>
      </c>
      <c r="U79">
        <f>IF(S79="S",T79,IF(AND(S79="A",T79&lt;&gt;""),IFERROR(MATCH(INDEX('AFA Rates'!$A$5:$A$1004,T79),Firms!$A$5:$A$1004,0),""),""))</f>
        <v/>
      </c>
    </row>
    <row r="80">
      <c r="A80" s="78">
        <f>IF($T80="","",IF($S80="S",IF(INDEX(Firms!$A$5:$A$1004,$T80)="","",INDEX(Firms!$A$5:$A$1004,$T80)),IF(INDEX('AFA Rates'!$A$5:$A$1004,$T80)="","",INDEX('AFA Rates'!$A$5:$A$1004,$T80))))</f>
        <v/>
      </c>
      <c r="B80" s="79">
        <f>IF(OR($T80="",$U80=""),IF($T80="","","Not on Firms tab"),INDEX(Firms!$B$5:$B$1004,$U80)&amp;"")</f>
        <v/>
      </c>
      <c r="C80" s="78">
        <f>IF($T80="","",IF($S80="S","Standard",INDEX('AFA Rates'!$B$5:$B$1004,$T80)&amp;""))</f>
        <v/>
      </c>
      <c r="D80" s="88">
        <f>IF($T80="","",IF($S80="S",IF(INDEX(Firms!$E$5:$E$1004,$T80)="","",INDEX(Firms!$E$5:$E$1004,$T80)),IF(INDEX('AFA Rates'!$C$5:$C$1004,$T80)="","",INDEX('AFA Rates'!$C$5:$C$1004,$T80))))</f>
        <v/>
      </c>
      <c r="E80" s="88">
        <f>IF($T80="","",IF($S80="S",IF(""="","",""),IF(INDEX('AFA Rates'!$D$5:$D$1004,$T80)="","",INDEX('AFA Rates'!$D$5:$D$1004,$T80))))</f>
        <v/>
      </c>
      <c r="F80" s="79">
        <f>IF($T80="","",IF($S80="S",IF(INDEX(Firms!$O$5:$O$1004,$T80)="","",INDEX(Firms!$O$5:$O$1004,$T80)),IF(INDEX('AFA Rates'!$O$5:$O$1004,$T80)="","",INDEX('AFA Rates'!$O$5:$O$1004,$T80))))</f>
        <v/>
      </c>
      <c r="G80" s="50">
        <f>IF($T80="","",IF($S80="S",IF(INDEX(Firms!$F$5:$F$1004,$T80)="","",INDEX(Firms!$F$5:$F$1004,$T80)),IF(INDEX('AFA Rates'!$E$5:$E$1004,$T80)="","",INDEX('AFA Rates'!$E$5:$E$1004,$T80))))</f>
        <v/>
      </c>
      <c r="H80" s="50">
        <f>IF($T80="","",IF($S80="S",IF(INDEX(Firms!$G$5:$G$1004,$T80)="","",INDEX(Firms!$G$5:$G$1004,$T80)),IF(INDEX('AFA Rates'!$F$5:$F$1004,$T80)="","",INDEX('AFA Rates'!$F$5:$F$1004,$T80))))</f>
        <v/>
      </c>
      <c r="I80" s="50">
        <f>IF($T80="","",IF($S80="S",IF(INDEX(Firms!$H$5:$H$1004,$T80)="","",INDEX(Firms!$H$5:$H$1004,$T80)),IF(INDEX('AFA Rates'!$G$5:$G$1004,$T80)="","",INDEX('AFA Rates'!$G$5:$G$1004,$T80))))</f>
        <v/>
      </c>
      <c r="J80" s="50">
        <f>IF($T80="","",IF($S80="S",IF(INDEX(Firms!$I$5:$I$1004,$T80)="","",INDEX(Firms!$I$5:$I$1004,$T80)),IF(INDEX('AFA Rates'!$H$5:$H$1004,$T80)="","",INDEX('AFA Rates'!$H$5:$H$1004,$T80))))</f>
        <v/>
      </c>
      <c r="K80" s="50">
        <f>IF($T80="","",IF($S80="S",IF(INDEX(Firms!$J$5:$J$1004,$T80)="","",INDEX(Firms!$J$5:$J$1004,$T80)),IF(INDEX('AFA Rates'!$I$5:$I$1004,$T80)="","",INDEX('AFA Rates'!$I$5:$I$1004,$T80))))</f>
        <v/>
      </c>
      <c r="L80" s="50">
        <f>IF($T80="","",IF($S80="S",IF(INDEX(Firms!$K$5:$K$1004,$T80)="","",INDEX(Firms!$K$5:$K$1004,$T80)),IF(INDEX('AFA Rates'!$J$5:$J$1004,$T80)="","",INDEX('AFA Rates'!$J$5:$J$1004,$T80))))</f>
        <v/>
      </c>
      <c r="M80" s="50">
        <f>IF($T80="","",IF($S80="S",IF(INDEX(Firms!$L$5:$L$1004,$T80)="","",INDEX(Firms!$L$5:$L$1004,$T80)),IF(INDEX('AFA Rates'!$K$5:$K$1004,$T80)="","",INDEX('AFA Rates'!$K$5:$K$1004,$T80))))</f>
        <v/>
      </c>
      <c r="N80" s="50">
        <f>IF($T80="","",IF($S80="S",IF(INDEX(Firms!$M$5:$M$1004,$T80)="","",INDEX(Firms!$M$5:$M$1004,$T80)),IF(INDEX('AFA Rates'!$L$5:$L$1004,$T80)="","",INDEX('AFA Rates'!$L$5:$L$1004,$T80))))</f>
        <v/>
      </c>
      <c r="O80" s="78">
        <f>IF(OR($T80="",$U80=""),"",IF(INDEX(Firms!$C$5:$C$1004,$U80)="","",INDEX(Firms!$C$5:$C$1004,$U80)))</f>
        <v/>
      </c>
      <c r="P80" s="79">
        <f>IF(OR($T80="",$U80=""),"",IF(INDEX(Firms!$N$5:$N$1004,$U80)="","",INDEX(Firms!$N$5:$N$1004,$U80)))</f>
        <v/>
      </c>
      <c r="Q80" s="78">
        <f>IF($T80="","",IF($S80="S",IF(INDEX(Firms!$T$5:$T$1004,$T80)="","",INDEX(Firms!$T$5:$T$1004,$T80)),IF(INDEX('AFA Rates'!$M$5:$M$1004,$T80)="","",INDEX('AFA Rates'!$M$5:$M$1004,$T80))))</f>
        <v/>
      </c>
      <c r="S80">
        <f>IF(76&lt;=$S$2,"S",IF(76&lt;=$S$2+$T$2,"A",""))</f>
        <v/>
      </c>
      <c r="T80">
        <f>IF(S80="S",MATCH(76,Firms!$W$5:$W$1004,0),IF(S80="A",IFERROR(MATCH(76-$S$2,'AFA Rates'!$R$5:$R$1004,0),""),""))</f>
        <v/>
      </c>
      <c r="U80">
        <f>IF(S80="S",T80,IF(AND(S80="A",T80&lt;&gt;""),IFERROR(MATCH(INDEX('AFA Rates'!$A$5:$A$1004,T80),Firms!$A$5:$A$1004,0),""),""))</f>
        <v/>
      </c>
    </row>
    <row r="81">
      <c r="A81" s="78">
        <f>IF($T81="","",IF($S81="S",IF(INDEX(Firms!$A$5:$A$1004,$T81)="","",INDEX(Firms!$A$5:$A$1004,$T81)),IF(INDEX('AFA Rates'!$A$5:$A$1004,$T81)="","",INDEX('AFA Rates'!$A$5:$A$1004,$T81))))</f>
        <v/>
      </c>
      <c r="B81" s="79">
        <f>IF(OR($T81="",$U81=""),IF($T81="","","Not on Firms tab"),INDEX(Firms!$B$5:$B$1004,$U81)&amp;"")</f>
        <v/>
      </c>
      <c r="C81" s="78">
        <f>IF($T81="","",IF($S81="S","Standard",INDEX('AFA Rates'!$B$5:$B$1004,$T81)&amp;""))</f>
        <v/>
      </c>
      <c r="D81" s="88">
        <f>IF($T81="","",IF($S81="S",IF(INDEX(Firms!$E$5:$E$1004,$T81)="","",INDEX(Firms!$E$5:$E$1004,$T81)),IF(INDEX('AFA Rates'!$C$5:$C$1004,$T81)="","",INDEX('AFA Rates'!$C$5:$C$1004,$T81))))</f>
        <v/>
      </c>
      <c r="E81" s="88">
        <f>IF($T81="","",IF($S81="S",IF(""="","",""),IF(INDEX('AFA Rates'!$D$5:$D$1004,$T81)="","",INDEX('AFA Rates'!$D$5:$D$1004,$T81))))</f>
        <v/>
      </c>
      <c r="F81" s="79">
        <f>IF($T81="","",IF($S81="S",IF(INDEX(Firms!$O$5:$O$1004,$T81)="","",INDEX(Firms!$O$5:$O$1004,$T81)),IF(INDEX('AFA Rates'!$O$5:$O$1004,$T81)="","",INDEX('AFA Rates'!$O$5:$O$1004,$T81))))</f>
        <v/>
      </c>
      <c r="G81" s="50">
        <f>IF($T81="","",IF($S81="S",IF(INDEX(Firms!$F$5:$F$1004,$T81)="","",INDEX(Firms!$F$5:$F$1004,$T81)),IF(INDEX('AFA Rates'!$E$5:$E$1004,$T81)="","",INDEX('AFA Rates'!$E$5:$E$1004,$T81))))</f>
        <v/>
      </c>
      <c r="H81" s="50">
        <f>IF($T81="","",IF($S81="S",IF(INDEX(Firms!$G$5:$G$1004,$T81)="","",INDEX(Firms!$G$5:$G$1004,$T81)),IF(INDEX('AFA Rates'!$F$5:$F$1004,$T81)="","",INDEX('AFA Rates'!$F$5:$F$1004,$T81))))</f>
        <v/>
      </c>
      <c r="I81" s="50">
        <f>IF($T81="","",IF($S81="S",IF(INDEX(Firms!$H$5:$H$1004,$T81)="","",INDEX(Firms!$H$5:$H$1004,$T81)),IF(INDEX('AFA Rates'!$G$5:$G$1004,$T81)="","",INDEX('AFA Rates'!$G$5:$G$1004,$T81))))</f>
        <v/>
      </c>
      <c r="J81" s="50">
        <f>IF($T81="","",IF($S81="S",IF(INDEX(Firms!$I$5:$I$1004,$T81)="","",INDEX(Firms!$I$5:$I$1004,$T81)),IF(INDEX('AFA Rates'!$H$5:$H$1004,$T81)="","",INDEX('AFA Rates'!$H$5:$H$1004,$T81))))</f>
        <v/>
      </c>
      <c r="K81" s="50">
        <f>IF($T81="","",IF($S81="S",IF(INDEX(Firms!$J$5:$J$1004,$T81)="","",INDEX(Firms!$J$5:$J$1004,$T81)),IF(INDEX('AFA Rates'!$I$5:$I$1004,$T81)="","",INDEX('AFA Rates'!$I$5:$I$1004,$T81))))</f>
        <v/>
      </c>
      <c r="L81" s="50">
        <f>IF($T81="","",IF($S81="S",IF(INDEX(Firms!$K$5:$K$1004,$T81)="","",INDEX(Firms!$K$5:$K$1004,$T81)),IF(INDEX('AFA Rates'!$J$5:$J$1004,$T81)="","",INDEX('AFA Rates'!$J$5:$J$1004,$T81))))</f>
        <v/>
      </c>
      <c r="M81" s="50">
        <f>IF($T81="","",IF($S81="S",IF(INDEX(Firms!$L$5:$L$1004,$T81)="","",INDEX(Firms!$L$5:$L$1004,$T81)),IF(INDEX('AFA Rates'!$K$5:$K$1004,$T81)="","",INDEX('AFA Rates'!$K$5:$K$1004,$T81))))</f>
        <v/>
      </c>
      <c r="N81" s="50">
        <f>IF($T81="","",IF($S81="S",IF(INDEX(Firms!$M$5:$M$1004,$T81)="","",INDEX(Firms!$M$5:$M$1004,$T81)),IF(INDEX('AFA Rates'!$L$5:$L$1004,$T81)="","",INDEX('AFA Rates'!$L$5:$L$1004,$T81))))</f>
        <v/>
      </c>
      <c r="O81" s="78">
        <f>IF(OR($T81="",$U81=""),"",IF(INDEX(Firms!$C$5:$C$1004,$U81)="","",INDEX(Firms!$C$5:$C$1004,$U81)))</f>
        <v/>
      </c>
      <c r="P81" s="79">
        <f>IF(OR($T81="",$U81=""),"",IF(INDEX(Firms!$N$5:$N$1004,$U81)="","",INDEX(Firms!$N$5:$N$1004,$U81)))</f>
        <v/>
      </c>
      <c r="Q81" s="78">
        <f>IF($T81="","",IF($S81="S",IF(INDEX(Firms!$T$5:$T$1004,$T81)="","",INDEX(Firms!$T$5:$T$1004,$T81)),IF(INDEX('AFA Rates'!$M$5:$M$1004,$T81)="","",INDEX('AFA Rates'!$M$5:$M$1004,$T81))))</f>
        <v/>
      </c>
      <c r="S81">
        <f>IF(77&lt;=$S$2,"S",IF(77&lt;=$S$2+$T$2,"A",""))</f>
        <v/>
      </c>
      <c r="T81">
        <f>IF(S81="S",MATCH(77,Firms!$W$5:$W$1004,0),IF(S81="A",IFERROR(MATCH(77-$S$2,'AFA Rates'!$R$5:$R$1004,0),""),""))</f>
        <v/>
      </c>
      <c r="U81">
        <f>IF(S81="S",T81,IF(AND(S81="A",T81&lt;&gt;""),IFERROR(MATCH(INDEX('AFA Rates'!$A$5:$A$1004,T81),Firms!$A$5:$A$1004,0),""),""))</f>
        <v/>
      </c>
    </row>
    <row r="82">
      <c r="A82" s="78">
        <f>IF($T82="","",IF($S82="S",IF(INDEX(Firms!$A$5:$A$1004,$T82)="","",INDEX(Firms!$A$5:$A$1004,$T82)),IF(INDEX('AFA Rates'!$A$5:$A$1004,$T82)="","",INDEX('AFA Rates'!$A$5:$A$1004,$T82))))</f>
        <v/>
      </c>
      <c r="B82" s="79">
        <f>IF(OR($T82="",$U82=""),IF($T82="","","Not on Firms tab"),INDEX(Firms!$B$5:$B$1004,$U82)&amp;"")</f>
        <v/>
      </c>
      <c r="C82" s="78">
        <f>IF($T82="","",IF($S82="S","Standard",INDEX('AFA Rates'!$B$5:$B$1004,$T82)&amp;""))</f>
        <v/>
      </c>
      <c r="D82" s="88">
        <f>IF($T82="","",IF($S82="S",IF(INDEX(Firms!$E$5:$E$1004,$T82)="","",INDEX(Firms!$E$5:$E$1004,$T82)),IF(INDEX('AFA Rates'!$C$5:$C$1004,$T82)="","",INDEX('AFA Rates'!$C$5:$C$1004,$T82))))</f>
        <v/>
      </c>
      <c r="E82" s="88">
        <f>IF($T82="","",IF($S82="S",IF(""="","",""),IF(INDEX('AFA Rates'!$D$5:$D$1004,$T82)="","",INDEX('AFA Rates'!$D$5:$D$1004,$T82))))</f>
        <v/>
      </c>
      <c r="F82" s="79">
        <f>IF($T82="","",IF($S82="S",IF(INDEX(Firms!$O$5:$O$1004,$T82)="","",INDEX(Firms!$O$5:$O$1004,$T82)),IF(INDEX('AFA Rates'!$O$5:$O$1004,$T82)="","",INDEX('AFA Rates'!$O$5:$O$1004,$T82))))</f>
        <v/>
      </c>
      <c r="G82" s="50">
        <f>IF($T82="","",IF($S82="S",IF(INDEX(Firms!$F$5:$F$1004,$T82)="","",INDEX(Firms!$F$5:$F$1004,$T82)),IF(INDEX('AFA Rates'!$E$5:$E$1004,$T82)="","",INDEX('AFA Rates'!$E$5:$E$1004,$T82))))</f>
        <v/>
      </c>
      <c r="H82" s="50">
        <f>IF($T82="","",IF($S82="S",IF(INDEX(Firms!$G$5:$G$1004,$T82)="","",INDEX(Firms!$G$5:$G$1004,$T82)),IF(INDEX('AFA Rates'!$F$5:$F$1004,$T82)="","",INDEX('AFA Rates'!$F$5:$F$1004,$T82))))</f>
        <v/>
      </c>
      <c r="I82" s="50">
        <f>IF($T82="","",IF($S82="S",IF(INDEX(Firms!$H$5:$H$1004,$T82)="","",INDEX(Firms!$H$5:$H$1004,$T82)),IF(INDEX('AFA Rates'!$G$5:$G$1004,$T82)="","",INDEX('AFA Rates'!$G$5:$G$1004,$T82))))</f>
        <v/>
      </c>
      <c r="J82" s="50">
        <f>IF($T82="","",IF($S82="S",IF(INDEX(Firms!$I$5:$I$1004,$T82)="","",INDEX(Firms!$I$5:$I$1004,$T82)),IF(INDEX('AFA Rates'!$H$5:$H$1004,$T82)="","",INDEX('AFA Rates'!$H$5:$H$1004,$T82))))</f>
        <v/>
      </c>
      <c r="K82" s="50">
        <f>IF($T82="","",IF($S82="S",IF(INDEX(Firms!$J$5:$J$1004,$T82)="","",INDEX(Firms!$J$5:$J$1004,$T82)),IF(INDEX('AFA Rates'!$I$5:$I$1004,$T82)="","",INDEX('AFA Rates'!$I$5:$I$1004,$T82))))</f>
        <v/>
      </c>
      <c r="L82" s="50">
        <f>IF($T82="","",IF($S82="S",IF(INDEX(Firms!$K$5:$K$1004,$T82)="","",INDEX(Firms!$K$5:$K$1004,$T82)),IF(INDEX('AFA Rates'!$J$5:$J$1004,$T82)="","",INDEX('AFA Rates'!$J$5:$J$1004,$T82))))</f>
        <v/>
      </c>
      <c r="M82" s="50">
        <f>IF($T82="","",IF($S82="S",IF(INDEX(Firms!$L$5:$L$1004,$T82)="","",INDEX(Firms!$L$5:$L$1004,$T82)),IF(INDEX('AFA Rates'!$K$5:$K$1004,$T82)="","",INDEX('AFA Rates'!$K$5:$K$1004,$T82))))</f>
        <v/>
      </c>
      <c r="N82" s="50">
        <f>IF($T82="","",IF($S82="S",IF(INDEX(Firms!$M$5:$M$1004,$T82)="","",INDEX(Firms!$M$5:$M$1004,$T82)),IF(INDEX('AFA Rates'!$L$5:$L$1004,$T82)="","",INDEX('AFA Rates'!$L$5:$L$1004,$T82))))</f>
        <v/>
      </c>
      <c r="O82" s="78">
        <f>IF(OR($T82="",$U82=""),"",IF(INDEX(Firms!$C$5:$C$1004,$U82)="","",INDEX(Firms!$C$5:$C$1004,$U82)))</f>
        <v/>
      </c>
      <c r="P82" s="79">
        <f>IF(OR($T82="",$U82=""),"",IF(INDEX(Firms!$N$5:$N$1004,$U82)="","",INDEX(Firms!$N$5:$N$1004,$U82)))</f>
        <v/>
      </c>
      <c r="Q82" s="78">
        <f>IF($T82="","",IF($S82="S",IF(INDEX(Firms!$T$5:$T$1004,$T82)="","",INDEX(Firms!$T$5:$T$1004,$T82)),IF(INDEX('AFA Rates'!$M$5:$M$1004,$T82)="","",INDEX('AFA Rates'!$M$5:$M$1004,$T82))))</f>
        <v/>
      </c>
      <c r="S82">
        <f>IF(78&lt;=$S$2,"S",IF(78&lt;=$S$2+$T$2,"A",""))</f>
        <v/>
      </c>
      <c r="T82">
        <f>IF(S82="S",MATCH(78,Firms!$W$5:$W$1004,0),IF(S82="A",IFERROR(MATCH(78-$S$2,'AFA Rates'!$R$5:$R$1004,0),""),""))</f>
        <v/>
      </c>
      <c r="U82">
        <f>IF(S82="S",T82,IF(AND(S82="A",T82&lt;&gt;""),IFERROR(MATCH(INDEX('AFA Rates'!$A$5:$A$1004,T82),Firms!$A$5:$A$1004,0),""),""))</f>
        <v/>
      </c>
    </row>
    <row r="83">
      <c r="A83" s="78">
        <f>IF($T83="","",IF($S83="S",IF(INDEX(Firms!$A$5:$A$1004,$T83)="","",INDEX(Firms!$A$5:$A$1004,$T83)),IF(INDEX('AFA Rates'!$A$5:$A$1004,$T83)="","",INDEX('AFA Rates'!$A$5:$A$1004,$T83))))</f>
        <v/>
      </c>
      <c r="B83" s="79">
        <f>IF(OR($T83="",$U83=""),IF($T83="","","Not on Firms tab"),INDEX(Firms!$B$5:$B$1004,$U83)&amp;"")</f>
        <v/>
      </c>
      <c r="C83" s="78">
        <f>IF($T83="","",IF($S83="S","Standard",INDEX('AFA Rates'!$B$5:$B$1004,$T83)&amp;""))</f>
        <v/>
      </c>
      <c r="D83" s="88">
        <f>IF($T83="","",IF($S83="S",IF(INDEX(Firms!$E$5:$E$1004,$T83)="","",INDEX(Firms!$E$5:$E$1004,$T83)),IF(INDEX('AFA Rates'!$C$5:$C$1004,$T83)="","",INDEX('AFA Rates'!$C$5:$C$1004,$T83))))</f>
        <v/>
      </c>
      <c r="E83" s="88">
        <f>IF($T83="","",IF($S83="S",IF(""="","",""),IF(INDEX('AFA Rates'!$D$5:$D$1004,$T83)="","",INDEX('AFA Rates'!$D$5:$D$1004,$T83))))</f>
        <v/>
      </c>
      <c r="F83" s="79">
        <f>IF($T83="","",IF($S83="S",IF(INDEX(Firms!$O$5:$O$1004,$T83)="","",INDEX(Firms!$O$5:$O$1004,$T83)),IF(INDEX('AFA Rates'!$O$5:$O$1004,$T83)="","",INDEX('AFA Rates'!$O$5:$O$1004,$T83))))</f>
        <v/>
      </c>
      <c r="G83" s="50">
        <f>IF($T83="","",IF($S83="S",IF(INDEX(Firms!$F$5:$F$1004,$T83)="","",INDEX(Firms!$F$5:$F$1004,$T83)),IF(INDEX('AFA Rates'!$E$5:$E$1004,$T83)="","",INDEX('AFA Rates'!$E$5:$E$1004,$T83))))</f>
        <v/>
      </c>
      <c r="H83" s="50">
        <f>IF($T83="","",IF($S83="S",IF(INDEX(Firms!$G$5:$G$1004,$T83)="","",INDEX(Firms!$G$5:$G$1004,$T83)),IF(INDEX('AFA Rates'!$F$5:$F$1004,$T83)="","",INDEX('AFA Rates'!$F$5:$F$1004,$T83))))</f>
        <v/>
      </c>
      <c r="I83" s="50">
        <f>IF($T83="","",IF($S83="S",IF(INDEX(Firms!$H$5:$H$1004,$T83)="","",INDEX(Firms!$H$5:$H$1004,$T83)),IF(INDEX('AFA Rates'!$G$5:$G$1004,$T83)="","",INDEX('AFA Rates'!$G$5:$G$1004,$T83))))</f>
        <v/>
      </c>
      <c r="J83" s="50">
        <f>IF($T83="","",IF($S83="S",IF(INDEX(Firms!$I$5:$I$1004,$T83)="","",INDEX(Firms!$I$5:$I$1004,$T83)),IF(INDEX('AFA Rates'!$H$5:$H$1004,$T83)="","",INDEX('AFA Rates'!$H$5:$H$1004,$T83))))</f>
        <v/>
      </c>
      <c r="K83" s="50">
        <f>IF($T83="","",IF($S83="S",IF(INDEX(Firms!$J$5:$J$1004,$T83)="","",INDEX(Firms!$J$5:$J$1004,$T83)),IF(INDEX('AFA Rates'!$I$5:$I$1004,$T83)="","",INDEX('AFA Rates'!$I$5:$I$1004,$T83))))</f>
        <v/>
      </c>
      <c r="L83" s="50">
        <f>IF($T83="","",IF($S83="S",IF(INDEX(Firms!$K$5:$K$1004,$T83)="","",INDEX(Firms!$K$5:$K$1004,$T83)),IF(INDEX('AFA Rates'!$J$5:$J$1004,$T83)="","",INDEX('AFA Rates'!$J$5:$J$1004,$T83))))</f>
        <v/>
      </c>
      <c r="M83" s="50">
        <f>IF($T83="","",IF($S83="S",IF(INDEX(Firms!$L$5:$L$1004,$T83)="","",INDEX(Firms!$L$5:$L$1004,$T83)),IF(INDEX('AFA Rates'!$K$5:$K$1004,$T83)="","",INDEX('AFA Rates'!$K$5:$K$1004,$T83))))</f>
        <v/>
      </c>
      <c r="N83" s="50">
        <f>IF($T83="","",IF($S83="S",IF(INDEX(Firms!$M$5:$M$1004,$T83)="","",INDEX(Firms!$M$5:$M$1004,$T83)),IF(INDEX('AFA Rates'!$L$5:$L$1004,$T83)="","",INDEX('AFA Rates'!$L$5:$L$1004,$T83))))</f>
        <v/>
      </c>
      <c r="O83" s="78">
        <f>IF(OR($T83="",$U83=""),"",IF(INDEX(Firms!$C$5:$C$1004,$U83)="","",INDEX(Firms!$C$5:$C$1004,$U83)))</f>
        <v/>
      </c>
      <c r="P83" s="79">
        <f>IF(OR($T83="",$U83=""),"",IF(INDEX(Firms!$N$5:$N$1004,$U83)="","",INDEX(Firms!$N$5:$N$1004,$U83)))</f>
        <v/>
      </c>
      <c r="Q83" s="78">
        <f>IF($T83="","",IF($S83="S",IF(INDEX(Firms!$T$5:$T$1004,$T83)="","",INDEX(Firms!$T$5:$T$1004,$T83)),IF(INDEX('AFA Rates'!$M$5:$M$1004,$T83)="","",INDEX('AFA Rates'!$M$5:$M$1004,$T83))))</f>
        <v/>
      </c>
      <c r="S83">
        <f>IF(79&lt;=$S$2,"S",IF(79&lt;=$S$2+$T$2,"A",""))</f>
        <v/>
      </c>
      <c r="T83">
        <f>IF(S83="S",MATCH(79,Firms!$W$5:$W$1004,0),IF(S83="A",IFERROR(MATCH(79-$S$2,'AFA Rates'!$R$5:$R$1004,0),""),""))</f>
        <v/>
      </c>
      <c r="U83">
        <f>IF(S83="S",T83,IF(AND(S83="A",T83&lt;&gt;""),IFERROR(MATCH(INDEX('AFA Rates'!$A$5:$A$1004,T83),Firms!$A$5:$A$1004,0),""),""))</f>
        <v/>
      </c>
    </row>
    <row r="84">
      <c r="A84" s="78">
        <f>IF($T84="","",IF($S84="S",IF(INDEX(Firms!$A$5:$A$1004,$T84)="","",INDEX(Firms!$A$5:$A$1004,$T84)),IF(INDEX('AFA Rates'!$A$5:$A$1004,$T84)="","",INDEX('AFA Rates'!$A$5:$A$1004,$T84))))</f>
        <v/>
      </c>
      <c r="B84" s="79">
        <f>IF(OR($T84="",$U84=""),IF($T84="","","Not on Firms tab"),INDEX(Firms!$B$5:$B$1004,$U84)&amp;"")</f>
        <v/>
      </c>
      <c r="C84" s="78">
        <f>IF($T84="","",IF($S84="S","Standard",INDEX('AFA Rates'!$B$5:$B$1004,$T84)&amp;""))</f>
        <v/>
      </c>
      <c r="D84" s="88">
        <f>IF($T84="","",IF($S84="S",IF(INDEX(Firms!$E$5:$E$1004,$T84)="","",INDEX(Firms!$E$5:$E$1004,$T84)),IF(INDEX('AFA Rates'!$C$5:$C$1004,$T84)="","",INDEX('AFA Rates'!$C$5:$C$1004,$T84))))</f>
        <v/>
      </c>
      <c r="E84" s="88">
        <f>IF($T84="","",IF($S84="S",IF(""="","",""),IF(INDEX('AFA Rates'!$D$5:$D$1004,$T84)="","",INDEX('AFA Rates'!$D$5:$D$1004,$T84))))</f>
        <v/>
      </c>
      <c r="F84" s="79">
        <f>IF($T84="","",IF($S84="S",IF(INDEX(Firms!$O$5:$O$1004,$T84)="","",INDEX(Firms!$O$5:$O$1004,$T84)),IF(INDEX('AFA Rates'!$O$5:$O$1004,$T84)="","",INDEX('AFA Rates'!$O$5:$O$1004,$T84))))</f>
        <v/>
      </c>
      <c r="G84" s="50">
        <f>IF($T84="","",IF($S84="S",IF(INDEX(Firms!$F$5:$F$1004,$T84)="","",INDEX(Firms!$F$5:$F$1004,$T84)),IF(INDEX('AFA Rates'!$E$5:$E$1004,$T84)="","",INDEX('AFA Rates'!$E$5:$E$1004,$T84))))</f>
        <v/>
      </c>
      <c r="H84" s="50">
        <f>IF($T84="","",IF($S84="S",IF(INDEX(Firms!$G$5:$G$1004,$T84)="","",INDEX(Firms!$G$5:$G$1004,$T84)),IF(INDEX('AFA Rates'!$F$5:$F$1004,$T84)="","",INDEX('AFA Rates'!$F$5:$F$1004,$T84))))</f>
        <v/>
      </c>
      <c r="I84" s="50">
        <f>IF($T84="","",IF($S84="S",IF(INDEX(Firms!$H$5:$H$1004,$T84)="","",INDEX(Firms!$H$5:$H$1004,$T84)),IF(INDEX('AFA Rates'!$G$5:$G$1004,$T84)="","",INDEX('AFA Rates'!$G$5:$G$1004,$T84))))</f>
        <v/>
      </c>
      <c r="J84" s="50">
        <f>IF($T84="","",IF($S84="S",IF(INDEX(Firms!$I$5:$I$1004,$T84)="","",INDEX(Firms!$I$5:$I$1004,$T84)),IF(INDEX('AFA Rates'!$H$5:$H$1004,$T84)="","",INDEX('AFA Rates'!$H$5:$H$1004,$T84))))</f>
        <v/>
      </c>
      <c r="K84" s="50">
        <f>IF($T84="","",IF($S84="S",IF(INDEX(Firms!$J$5:$J$1004,$T84)="","",INDEX(Firms!$J$5:$J$1004,$T84)),IF(INDEX('AFA Rates'!$I$5:$I$1004,$T84)="","",INDEX('AFA Rates'!$I$5:$I$1004,$T84))))</f>
        <v/>
      </c>
      <c r="L84" s="50">
        <f>IF($T84="","",IF($S84="S",IF(INDEX(Firms!$K$5:$K$1004,$T84)="","",INDEX(Firms!$K$5:$K$1004,$T84)),IF(INDEX('AFA Rates'!$J$5:$J$1004,$T84)="","",INDEX('AFA Rates'!$J$5:$J$1004,$T84))))</f>
        <v/>
      </c>
      <c r="M84" s="50">
        <f>IF($T84="","",IF($S84="S",IF(INDEX(Firms!$L$5:$L$1004,$T84)="","",INDEX(Firms!$L$5:$L$1004,$T84)),IF(INDEX('AFA Rates'!$K$5:$K$1004,$T84)="","",INDEX('AFA Rates'!$K$5:$K$1004,$T84))))</f>
        <v/>
      </c>
      <c r="N84" s="50">
        <f>IF($T84="","",IF($S84="S",IF(INDEX(Firms!$M$5:$M$1004,$T84)="","",INDEX(Firms!$M$5:$M$1004,$T84)),IF(INDEX('AFA Rates'!$L$5:$L$1004,$T84)="","",INDEX('AFA Rates'!$L$5:$L$1004,$T84))))</f>
        <v/>
      </c>
      <c r="O84" s="78">
        <f>IF(OR($T84="",$U84=""),"",IF(INDEX(Firms!$C$5:$C$1004,$U84)="","",INDEX(Firms!$C$5:$C$1004,$U84)))</f>
        <v/>
      </c>
      <c r="P84" s="79">
        <f>IF(OR($T84="",$U84=""),"",IF(INDEX(Firms!$N$5:$N$1004,$U84)="","",INDEX(Firms!$N$5:$N$1004,$U84)))</f>
        <v/>
      </c>
      <c r="Q84" s="78">
        <f>IF($T84="","",IF($S84="S",IF(INDEX(Firms!$T$5:$T$1004,$T84)="","",INDEX(Firms!$T$5:$T$1004,$T84)),IF(INDEX('AFA Rates'!$M$5:$M$1004,$T84)="","",INDEX('AFA Rates'!$M$5:$M$1004,$T84))))</f>
        <v/>
      </c>
      <c r="S84">
        <f>IF(80&lt;=$S$2,"S",IF(80&lt;=$S$2+$T$2,"A",""))</f>
        <v/>
      </c>
      <c r="T84">
        <f>IF(S84="S",MATCH(80,Firms!$W$5:$W$1004,0),IF(S84="A",IFERROR(MATCH(80-$S$2,'AFA Rates'!$R$5:$R$1004,0),""),""))</f>
        <v/>
      </c>
      <c r="U84">
        <f>IF(S84="S",T84,IF(AND(S84="A",T84&lt;&gt;""),IFERROR(MATCH(INDEX('AFA Rates'!$A$5:$A$1004,T84),Firms!$A$5:$A$1004,0),""),""))</f>
        <v/>
      </c>
    </row>
    <row r="85">
      <c r="A85" s="78">
        <f>IF($T85="","",IF($S85="S",IF(INDEX(Firms!$A$5:$A$1004,$T85)="","",INDEX(Firms!$A$5:$A$1004,$T85)),IF(INDEX('AFA Rates'!$A$5:$A$1004,$T85)="","",INDEX('AFA Rates'!$A$5:$A$1004,$T85))))</f>
        <v/>
      </c>
      <c r="B85" s="79">
        <f>IF(OR($T85="",$U85=""),IF($T85="","","Not on Firms tab"),INDEX(Firms!$B$5:$B$1004,$U85)&amp;"")</f>
        <v/>
      </c>
      <c r="C85" s="78">
        <f>IF($T85="","",IF($S85="S","Standard",INDEX('AFA Rates'!$B$5:$B$1004,$T85)&amp;""))</f>
        <v/>
      </c>
      <c r="D85" s="88">
        <f>IF($T85="","",IF($S85="S",IF(INDEX(Firms!$E$5:$E$1004,$T85)="","",INDEX(Firms!$E$5:$E$1004,$T85)),IF(INDEX('AFA Rates'!$C$5:$C$1004,$T85)="","",INDEX('AFA Rates'!$C$5:$C$1004,$T85))))</f>
        <v/>
      </c>
      <c r="E85" s="88">
        <f>IF($T85="","",IF($S85="S",IF(""="","",""),IF(INDEX('AFA Rates'!$D$5:$D$1004,$T85)="","",INDEX('AFA Rates'!$D$5:$D$1004,$T85))))</f>
        <v/>
      </c>
      <c r="F85" s="79">
        <f>IF($T85="","",IF($S85="S",IF(INDEX(Firms!$O$5:$O$1004,$T85)="","",INDEX(Firms!$O$5:$O$1004,$T85)),IF(INDEX('AFA Rates'!$O$5:$O$1004,$T85)="","",INDEX('AFA Rates'!$O$5:$O$1004,$T85))))</f>
        <v/>
      </c>
      <c r="G85" s="50">
        <f>IF($T85="","",IF($S85="S",IF(INDEX(Firms!$F$5:$F$1004,$T85)="","",INDEX(Firms!$F$5:$F$1004,$T85)),IF(INDEX('AFA Rates'!$E$5:$E$1004,$T85)="","",INDEX('AFA Rates'!$E$5:$E$1004,$T85))))</f>
        <v/>
      </c>
      <c r="H85" s="50">
        <f>IF($T85="","",IF($S85="S",IF(INDEX(Firms!$G$5:$G$1004,$T85)="","",INDEX(Firms!$G$5:$G$1004,$T85)),IF(INDEX('AFA Rates'!$F$5:$F$1004,$T85)="","",INDEX('AFA Rates'!$F$5:$F$1004,$T85))))</f>
        <v/>
      </c>
      <c r="I85" s="50">
        <f>IF($T85="","",IF($S85="S",IF(INDEX(Firms!$H$5:$H$1004,$T85)="","",INDEX(Firms!$H$5:$H$1004,$T85)),IF(INDEX('AFA Rates'!$G$5:$G$1004,$T85)="","",INDEX('AFA Rates'!$G$5:$G$1004,$T85))))</f>
        <v/>
      </c>
      <c r="J85" s="50">
        <f>IF($T85="","",IF($S85="S",IF(INDEX(Firms!$I$5:$I$1004,$T85)="","",INDEX(Firms!$I$5:$I$1004,$T85)),IF(INDEX('AFA Rates'!$H$5:$H$1004,$T85)="","",INDEX('AFA Rates'!$H$5:$H$1004,$T85))))</f>
        <v/>
      </c>
      <c r="K85" s="50">
        <f>IF($T85="","",IF($S85="S",IF(INDEX(Firms!$J$5:$J$1004,$T85)="","",INDEX(Firms!$J$5:$J$1004,$T85)),IF(INDEX('AFA Rates'!$I$5:$I$1004,$T85)="","",INDEX('AFA Rates'!$I$5:$I$1004,$T85))))</f>
        <v/>
      </c>
      <c r="L85" s="50">
        <f>IF($T85="","",IF($S85="S",IF(INDEX(Firms!$K$5:$K$1004,$T85)="","",INDEX(Firms!$K$5:$K$1004,$T85)),IF(INDEX('AFA Rates'!$J$5:$J$1004,$T85)="","",INDEX('AFA Rates'!$J$5:$J$1004,$T85))))</f>
        <v/>
      </c>
      <c r="M85" s="50">
        <f>IF($T85="","",IF($S85="S",IF(INDEX(Firms!$L$5:$L$1004,$T85)="","",INDEX(Firms!$L$5:$L$1004,$T85)),IF(INDEX('AFA Rates'!$K$5:$K$1004,$T85)="","",INDEX('AFA Rates'!$K$5:$K$1004,$T85))))</f>
        <v/>
      </c>
      <c r="N85" s="50">
        <f>IF($T85="","",IF($S85="S",IF(INDEX(Firms!$M$5:$M$1004,$T85)="","",INDEX(Firms!$M$5:$M$1004,$T85)),IF(INDEX('AFA Rates'!$L$5:$L$1004,$T85)="","",INDEX('AFA Rates'!$L$5:$L$1004,$T85))))</f>
        <v/>
      </c>
      <c r="O85" s="78">
        <f>IF(OR($T85="",$U85=""),"",IF(INDEX(Firms!$C$5:$C$1004,$U85)="","",INDEX(Firms!$C$5:$C$1004,$U85)))</f>
        <v/>
      </c>
      <c r="P85" s="79">
        <f>IF(OR($T85="",$U85=""),"",IF(INDEX(Firms!$N$5:$N$1004,$U85)="","",INDEX(Firms!$N$5:$N$1004,$U85)))</f>
        <v/>
      </c>
      <c r="Q85" s="78">
        <f>IF($T85="","",IF($S85="S",IF(INDEX(Firms!$T$5:$T$1004,$T85)="","",INDEX(Firms!$T$5:$T$1004,$T85)),IF(INDEX('AFA Rates'!$M$5:$M$1004,$T85)="","",INDEX('AFA Rates'!$M$5:$M$1004,$T85))))</f>
        <v/>
      </c>
      <c r="S85">
        <f>IF(81&lt;=$S$2,"S",IF(81&lt;=$S$2+$T$2,"A",""))</f>
        <v/>
      </c>
      <c r="T85">
        <f>IF(S85="S",MATCH(81,Firms!$W$5:$W$1004,0),IF(S85="A",IFERROR(MATCH(81-$S$2,'AFA Rates'!$R$5:$R$1004,0),""),""))</f>
        <v/>
      </c>
      <c r="U85">
        <f>IF(S85="S",T85,IF(AND(S85="A",T85&lt;&gt;""),IFERROR(MATCH(INDEX('AFA Rates'!$A$5:$A$1004,T85),Firms!$A$5:$A$1004,0),""),""))</f>
        <v/>
      </c>
    </row>
    <row r="86">
      <c r="A86" s="78">
        <f>IF($T86="","",IF($S86="S",IF(INDEX(Firms!$A$5:$A$1004,$T86)="","",INDEX(Firms!$A$5:$A$1004,$T86)),IF(INDEX('AFA Rates'!$A$5:$A$1004,$T86)="","",INDEX('AFA Rates'!$A$5:$A$1004,$T86))))</f>
        <v/>
      </c>
      <c r="B86" s="79">
        <f>IF(OR($T86="",$U86=""),IF($T86="","","Not on Firms tab"),INDEX(Firms!$B$5:$B$1004,$U86)&amp;"")</f>
        <v/>
      </c>
      <c r="C86" s="78">
        <f>IF($T86="","",IF($S86="S","Standard",INDEX('AFA Rates'!$B$5:$B$1004,$T86)&amp;""))</f>
        <v/>
      </c>
      <c r="D86" s="88">
        <f>IF($T86="","",IF($S86="S",IF(INDEX(Firms!$E$5:$E$1004,$T86)="","",INDEX(Firms!$E$5:$E$1004,$T86)),IF(INDEX('AFA Rates'!$C$5:$C$1004,$T86)="","",INDEX('AFA Rates'!$C$5:$C$1004,$T86))))</f>
        <v/>
      </c>
      <c r="E86" s="88">
        <f>IF($T86="","",IF($S86="S",IF(""="","",""),IF(INDEX('AFA Rates'!$D$5:$D$1004,$T86)="","",INDEX('AFA Rates'!$D$5:$D$1004,$T86))))</f>
        <v/>
      </c>
      <c r="F86" s="79">
        <f>IF($T86="","",IF($S86="S",IF(INDEX(Firms!$O$5:$O$1004,$T86)="","",INDEX(Firms!$O$5:$O$1004,$T86)),IF(INDEX('AFA Rates'!$O$5:$O$1004,$T86)="","",INDEX('AFA Rates'!$O$5:$O$1004,$T86))))</f>
        <v/>
      </c>
      <c r="G86" s="50">
        <f>IF($T86="","",IF($S86="S",IF(INDEX(Firms!$F$5:$F$1004,$T86)="","",INDEX(Firms!$F$5:$F$1004,$T86)),IF(INDEX('AFA Rates'!$E$5:$E$1004,$T86)="","",INDEX('AFA Rates'!$E$5:$E$1004,$T86))))</f>
        <v/>
      </c>
      <c r="H86" s="50">
        <f>IF($T86="","",IF($S86="S",IF(INDEX(Firms!$G$5:$G$1004,$T86)="","",INDEX(Firms!$G$5:$G$1004,$T86)),IF(INDEX('AFA Rates'!$F$5:$F$1004,$T86)="","",INDEX('AFA Rates'!$F$5:$F$1004,$T86))))</f>
        <v/>
      </c>
      <c r="I86" s="50">
        <f>IF($T86="","",IF($S86="S",IF(INDEX(Firms!$H$5:$H$1004,$T86)="","",INDEX(Firms!$H$5:$H$1004,$T86)),IF(INDEX('AFA Rates'!$G$5:$G$1004,$T86)="","",INDEX('AFA Rates'!$G$5:$G$1004,$T86))))</f>
        <v/>
      </c>
      <c r="J86" s="50">
        <f>IF($T86="","",IF($S86="S",IF(INDEX(Firms!$I$5:$I$1004,$T86)="","",INDEX(Firms!$I$5:$I$1004,$T86)),IF(INDEX('AFA Rates'!$H$5:$H$1004,$T86)="","",INDEX('AFA Rates'!$H$5:$H$1004,$T86))))</f>
        <v/>
      </c>
      <c r="K86" s="50">
        <f>IF($T86="","",IF($S86="S",IF(INDEX(Firms!$J$5:$J$1004,$T86)="","",INDEX(Firms!$J$5:$J$1004,$T86)),IF(INDEX('AFA Rates'!$I$5:$I$1004,$T86)="","",INDEX('AFA Rates'!$I$5:$I$1004,$T86))))</f>
        <v/>
      </c>
      <c r="L86" s="50">
        <f>IF($T86="","",IF($S86="S",IF(INDEX(Firms!$K$5:$K$1004,$T86)="","",INDEX(Firms!$K$5:$K$1004,$T86)),IF(INDEX('AFA Rates'!$J$5:$J$1004,$T86)="","",INDEX('AFA Rates'!$J$5:$J$1004,$T86))))</f>
        <v/>
      </c>
      <c r="M86" s="50">
        <f>IF($T86="","",IF($S86="S",IF(INDEX(Firms!$L$5:$L$1004,$T86)="","",INDEX(Firms!$L$5:$L$1004,$T86)),IF(INDEX('AFA Rates'!$K$5:$K$1004,$T86)="","",INDEX('AFA Rates'!$K$5:$K$1004,$T86))))</f>
        <v/>
      </c>
      <c r="N86" s="50">
        <f>IF($T86="","",IF($S86="S",IF(INDEX(Firms!$M$5:$M$1004,$T86)="","",INDEX(Firms!$M$5:$M$1004,$T86)),IF(INDEX('AFA Rates'!$L$5:$L$1004,$T86)="","",INDEX('AFA Rates'!$L$5:$L$1004,$T86))))</f>
        <v/>
      </c>
      <c r="O86" s="78">
        <f>IF(OR($T86="",$U86=""),"",IF(INDEX(Firms!$C$5:$C$1004,$U86)="","",INDEX(Firms!$C$5:$C$1004,$U86)))</f>
        <v/>
      </c>
      <c r="P86" s="79">
        <f>IF(OR($T86="",$U86=""),"",IF(INDEX(Firms!$N$5:$N$1004,$U86)="","",INDEX(Firms!$N$5:$N$1004,$U86)))</f>
        <v/>
      </c>
      <c r="Q86" s="78">
        <f>IF($T86="","",IF($S86="S",IF(INDEX(Firms!$T$5:$T$1004,$T86)="","",INDEX(Firms!$T$5:$T$1004,$T86)),IF(INDEX('AFA Rates'!$M$5:$M$1004,$T86)="","",INDEX('AFA Rates'!$M$5:$M$1004,$T86))))</f>
        <v/>
      </c>
      <c r="S86">
        <f>IF(82&lt;=$S$2,"S",IF(82&lt;=$S$2+$T$2,"A",""))</f>
        <v/>
      </c>
      <c r="T86">
        <f>IF(S86="S",MATCH(82,Firms!$W$5:$W$1004,0),IF(S86="A",IFERROR(MATCH(82-$S$2,'AFA Rates'!$R$5:$R$1004,0),""),""))</f>
        <v/>
      </c>
      <c r="U86">
        <f>IF(S86="S",T86,IF(AND(S86="A",T86&lt;&gt;""),IFERROR(MATCH(INDEX('AFA Rates'!$A$5:$A$1004,T86),Firms!$A$5:$A$1004,0),""),""))</f>
        <v/>
      </c>
    </row>
    <row r="87">
      <c r="A87" s="78">
        <f>IF($T87="","",IF($S87="S",IF(INDEX(Firms!$A$5:$A$1004,$T87)="","",INDEX(Firms!$A$5:$A$1004,$T87)),IF(INDEX('AFA Rates'!$A$5:$A$1004,$T87)="","",INDEX('AFA Rates'!$A$5:$A$1004,$T87))))</f>
        <v/>
      </c>
      <c r="B87" s="79">
        <f>IF(OR($T87="",$U87=""),IF($T87="","","Not on Firms tab"),INDEX(Firms!$B$5:$B$1004,$U87)&amp;"")</f>
        <v/>
      </c>
      <c r="C87" s="78">
        <f>IF($T87="","",IF($S87="S","Standard",INDEX('AFA Rates'!$B$5:$B$1004,$T87)&amp;""))</f>
        <v/>
      </c>
      <c r="D87" s="88">
        <f>IF($T87="","",IF($S87="S",IF(INDEX(Firms!$E$5:$E$1004,$T87)="","",INDEX(Firms!$E$5:$E$1004,$T87)),IF(INDEX('AFA Rates'!$C$5:$C$1004,$T87)="","",INDEX('AFA Rates'!$C$5:$C$1004,$T87))))</f>
        <v/>
      </c>
      <c r="E87" s="88">
        <f>IF($T87="","",IF($S87="S",IF(""="","",""),IF(INDEX('AFA Rates'!$D$5:$D$1004,$T87)="","",INDEX('AFA Rates'!$D$5:$D$1004,$T87))))</f>
        <v/>
      </c>
      <c r="F87" s="79">
        <f>IF($T87="","",IF($S87="S",IF(INDEX(Firms!$O$5:$O$1004,$T87)="","",INDEX(Firms!$O$5:$O$1004,$T87)),IF(INDEX('AFA Rates'!$O$5:$O$1004,$T87)="","",INDEX('AFA Rates'!$O$5:$O$1004,$T87))))</f>
        <v/>
      </c>
      <c r="G87" s="50">
        <f>IF($T87="","",IF($S87="S",IF(INDEX(Firms!$F$5:$F$1004,$T87)="","",INDEX(Firms!$F$5:$F$1004,$T87)),IF(INDEX('AFA Rates'!$E$5:$E$1004,$T87)="","",INDEX('AFA Rates'!$E$5:$E$1004,$T87))))</f>
        <v/>
      </c>
      <c r="H87" s="50">
        <f>IF($T87="","",IF($S87="S",IF(INDEX(Firms!$G$5:$G$1004,$T87)="","",INDEX(Firms!$G$5:$G$1004,$T87)),IF(INDEX('AFA Rates'!$F$5:$F$1004,$T87)="","",INDEX('AFA Rates'!$F$5:$F$1004,$T87))))</f>
        <v/>
      </c>
      <c r="I87" s="50">
        <f>IF($T87="","",IF($S87="S",IF(INDEX(Firms!$H$5:$H$1004,$T87)="","",INDEX(Firms!$H$5:$H$1004,$T87)),IF(INDEX('AFA Rates'!$G$5:$G$1004,$T87)="","",INDEX('AFA Rates'!$G$5:$G$1004,$T87))))</f>
        <v/>
      </c>
      <c r="J87" s="50">
        <f>IF($T87="","",IF($S87="S",IF(INDEX(Firms!$I$5:$I$1004,$T87)="","",INDEX(Firms!$I$5:$I$1004,$T87)),IF(INDEX('AFA Rates'!$H$5:$H$1004,$T87)="","",INDEX('AFA Rates'!$H$5:$H$1004,$T87))))</f>
        <v/>
      </c>
      <c r="K87" s="50">
        <f>IF($T87="","",IF($S87="S",IF(INDEX(Firms!$J$5:$J$1004,$T87)="","",INDEX(Firms!$J$5:$J$1004,$T87)),IF(INDEX('AFA Rates'!$I$5:$I$1004,$T87)="","",INDEX('AFA Rates'!$I$5:$I$1004,$T87))))</f>
        <v/>
      </c>
      <c r="L87" s="50">
        <f>IF($T87="","",IF($S87="S",IF(INDEX(Firms!$K$5:$K$1004,$T87)="","",INDEX(Firms!$K$5:$K$1004,$T87)),IF(INDEX('AFA Rates'!$J$5:$J$1004,$T87)="","",INDEX('AFA Rates'!$J$5:$J$1004,$T87))))</f>
        <v/>
      </c>
      <c r="M87" s="50">
        <f>IF($T87="","",IF($S87="S",IF(INDEX(Firms!$L$5:$L$1004,$T87)="","",INDEX(Firms!$L$5:$L$1004,$T87)),IF(INDEX('AFA Rates'!$K$5:$K$1004,$T87)="","",INDEX('AFA Rates'!$K$5:$K$1004,$T87))))</f>
        <v/>
      </c>
      <c r="N87" s="50">
        <f>IF($T87="","",IF($S87="S",IF(INDEX(Firms!$M$5:$M$1004,$T87)="","",INDEX(Firms!$M$5:$M$1004,$T87)),IF(INDEX('AFA Rates'!$L$5:$L$1004,$T87)="","",INDEX('AFA Rates'!$L$5:$L$1004,$T87))))</f>
        <v/>
      </c>
      <c r="O87" s="78">
        <f>IF(OR($T87="",$U87=""),"",IF(INDEX(Firms!$C$5:$C$1004,$U87)="","",INDEX(Firms!$C$5:$C$1004,$U87)))</f>
        <v/>
      </c>
      <c r="P87" s="79">
        <f>IF(OR($T87="",$U87=""),"",IF(INDEX(Firms!$N$5:$N$1004,$U87)="","",INDEX(Firms!$N$5:$N$1004,$U87)))</f>
        <v/>
      </c>
      <c r="Q87" s="78">
        <f>IF($T87="","",IF($S87="S",IF(INDEX(Firms!$T$5:$T$1004,$T87)="","",INDEX(Firms!$T$5:$T$1004,$T87)),IF(INDEX('AFA Rates'!$M$5:$M$1004,$T87)="","",INDEX('AFA Rates'!$M$5:$M$1004,$T87))))</f>
        <v/>
      </c>
      <c r="S87">
        <f>IF(83&lt;=$S$2,"S",IF(83&lt;=$S$2+$T$2,"A",""))</f>
        <v/>
      </c>
      <c r="T87">
        <f>IF(S87="S",MATCH(83,Firms!$W$5:$W$1004,0),IF(S87="A",IFERROR(MATCH(83-$S$2,'AFA Rates'!$R$5:$R$1004,0),""),""))</f>
        <v/>
      </c>
      <c r="U87">
        <f>IF(S87="S",T87,IF(AND(S87="A",T87&lt;&gt;""),IFERROR(MATCH(INDEX('AFA Rates'!$A$5:$A$1004,T87),Firms!$A$5:$A$1004,0),""),""))</f>
        <v/>
      </c>
    </row>
    <row r="88">
      <c r="A88" s="78">
        <f>IF($T88="","",IF($S88="S",IF(INDEX(Firms!$A$5:$A$1004,$T88)="","",INDEX(Firms!$A$5:$A$1004,$T88)),IF(INDEX('AFA Rates'!$A$5:$A$1004,$T88)="","",INDEX('AFA Rates'!$A$5:$A$1004,$T88))))</f>
        <v/>
      </c>
      <c r="B88" s="79">
        <f>IF(OR($T88="",$U88=""),IF($T88="","","Not on Firms tab"),INDEX(Firms!$B$5:$B$1004,$U88)&amp;"")</f>
        <v/>
      </c>
      <c r="C88" s="78">
        <f>IF($T88="","",IF($S88="S","Standard",INDEX('AFA Rates'!$B$5:$B$1004,$T88)&amp;""))</f>
        <v/>
      </c>
      <c r="D88" s="88">
        <f>IF($T88="","",IF($S88="S",IF(INDEX(Firms!$E$5:$E$1004,$T88)="","",INDEX(Firms!$E$5:$E$1004,$T88)),IF(INDEX('AFA Rates'!$C$5:$C$1004,$T88)="","",INDEX('AFA Rates'!$C$5:$C$1004,$T88))))</f>
        <v/>
      </c>
      <c r="E88" s="88">
        <f>IF($T88="","",IF($S88="S",IF(""="","",""),IF(INDEX('AFA Rates'!$D$5:$D$1004,$T88)="","",INDEX('AFA Rates'!$D$5:$D$1004,$T88))))</f>
        <v/>
      </c>
      <c r="F88" s="79">
        <f>IF($T88="","",IF($S88="S",IF(INDEX(Firms!$O$5:$O$1004,$T88)="","",INDEX(Firms!$O$5:$O$1004,$T88)),IF(INDEX('AFA Rates'!$O$5:$O$1004,$T88)="","",INDEX('AFA Rates'!$O$5:$O$1004,$T88))))</f>
        <v/>
      </c>
      <c r="G88" s="50">
        <f>IF($T88="","",IF($S88="S",IF(INDEX(Firms!$F$5:$F$1004,$T88)="","",INDEX(Firms!$F$5:$F$1004,$T88)),IF(INDEX('AFA Rates'!$E$5:$E$1004,$T88)="","",INDEX('AFA Rates'!$E$5:$E$1004,$T88))))</f>
        <v/>
      </c>
      <c r="H88" s="50">
        <f>IF($T88="","",IF($S88="S",IF(INDEX(Firms!$G$5:$G$1004,$T88)="","",INDEX(Firms!$G$5:$G$1004,$T88)),IF(INDEX('AFA Rates'!$F$5:$F$1004,$T88)="","",INDEX('AFA Rates'!$F$5:$F$1004,$T88))))</f>
        <v/>
      </c>
      <c r="I88" s="50">
        <f>IF($T88="","",IF($S88="S",IF(INDEX(Firms!$H$5:$H$1004,$T88)="","",INDEX(Firms!$H$5:$H$1004,$T88)),IF(INDEX('AFA Rates'!$G$5:$G$1004,$T88)="","",INDEX('AFA Rates'!$G$5:$G$1004,$T88))))</f>
        <v/>
      </c>
      <c r="J88" s="50">
        <f>IF($T88="","",IF($S88="S",IF(INDEX(Firms!$I$5:$I$1004,$T88)="","",INDEX(Firms!$I$5:$I$1004,$T88)),IF(INDEX('AFA Rates'!$H$5:$H$1004,$T88)="","",INDEX('AFA Rates'!$H$5:$H$1004,$T88))))</f>
        <v/>
      </c>
      <c r="K88" s="50">
        <f>IF($T88="","",IF($S88="S",IF(INDEX(Firms!$J$5:$J$1004,$T88)="","",INDEX(Firms!$J$5:$J$1004,$T88)),IF(INDEX('AFA Rates'!$I$5:$I$1004,$T88)="","",INDEX('AFA Rates'!$I$5:$I$1004,$T88))))</f>
        <v/>
      </c>
      <c r="L88" s="50">
        <f>IF($T88="","",IF($S88="S",IF(INDEX(Firms!$K$5:$K$1004,$T88)="","",INDEX(Firms!$K$5:$K$1004,$T88)),IF(INDEX('AFA Rates'!$J$5:$J$1004,$T88)="","",INDEX('AFA Rates'!$J$5:$J$1004,$T88))))</f>
        <v/>
      </c>
      <c r="M88" s="50">
        <f>IF($T88="","",IF($S88="S",IF(INDEX(Firms!$L$5:$L$1004,$T88)="","",INDEX(Firms!$L$5:$L$1004,$T88)),IF(INDEX('AFA Rates'!$K$5:$K$1004,$T88)="","",INDEX('AFA Rates'!$K$5:$K$1004,$T88))))</f>
        <v/>
      </c>
      <c r="N88" s="50">
        <f>IF($T88="","",IF($S88="S",IF(INDEX(Firms!$M$5:$M$1004,$T88)="","",INDEX(Firms!$M$5:$M$1004,$T88)),IF(INDEX('AFA Rates'!$L$5:$L$1004,$T88)="","",INDEX('AFA Rates'!$L$5:$L$1004,$T88))))</f>
        <v/>
      </c>
      <c r="O88" s="78">
        <f>IF(OR($T88="",$U88=""),"",IF(INDEX(Firms!$C$5:$C$1004,$U88)="","",INDEX(Firms!$C$5:$C$1004,$U88)))</f>
        <v/>
      </c>
      <c r="P88" s="79">
        <f>IF(OR($T88="",$U88=""),"",IF(INDEX(Firms!$N$5:$N$1004,$U88)="","",INDEX(Firms!$N$5:$N$1004,$U88)))</f>
        <v/>
      </c>
      <c r="Q88" s="78">
        <f>IF($T88="","",IF($S88="S",IF(INDEX(Firms!$T$5:$T$1004,$T88)="","",INDEX(Firms!$T$5:$T$1004,$T88)),IF(INDEX('AFA Rates'!$M$5:$M$1004,$T88)="","",INDEX('AFA Rates'!$M$5:$M$1004,$T88))))</f>
        <v/>
      </c>
      <c r="S88">
        <f>IF(84&lt;=$S$2,"S",IF(84&lt;=$S$2+$T$2,"A",""))</f>
        <v/>
      </c>
      <c r="T88">
        <f>IF(S88="S",MATCH(84,Firms!$W$5:$W$1004,0),IF(S88="A",IFERROR(MATCH(84-$S$2,'AFA Rates'!$R$5:$R$1004,0),""),""))</f>
        <v/>
      </c>
      <c r="U88">
        <f>IF(S88="S",T88,IF(AND(S88="A",T88&lt;&gt;""),IFERROR(MATCH(INDEX('AFA Rates'!$A$5:$A$1004,T88),Firms!$A$5:$A$1004,0),""),""))</f>
        <v/>
      </c>
    </row>
    <row r="89">
      <c r="A89" s="78">
        <f>IF($T89="","",IF($S89="S",IF(INDEX(Firms!$A$5:$A$1004,$T89)="","",INDEX(Firms!$A$5:$A$1004,$T89)),IF(INDEX('AFA Rates'!$A$5:$A$1004,$T89)="","",INDEX('AFA Rates'!$A$5:$A$1004,$T89))))</f>
        <v/>
      </c>
      <c r="B89" s="79">
        <f>IF(OR($T89="",$U89=""),IF($T89="","","Not on Firms tab"),INDEX(Firms!$B$5:$B$1004,$U89)&amp;"")</f>
        <v/>
      </c>
      <c r="C89" s="78">
        <f>IF($T89="","",IF($S89="S","Standard",INDEX('AFA Rates'!$B$5:$B$1004,$T89)&amp;""))</f>
        <v/>
      </c>
      <c r="D89" s="88">
        <f>IF($T89="","",IF($S89="S",IF(INDEX(Firms!$E$5:$E$1004,$T89)="","",INDEX(Firms!$E$5:$E$1004,$T89)),IF(INDEX('AFA Rates'!$C$5:$C$1004,$T89)="","",INDEX('AFA Rates'!$C$5:$C$1004,$T89))))</f>
        <v/>
      </c>
      <c r="E89" s="88">
        <f>IF($T89="","",IF($S89="S",IF(""="","",""),IF(INDEX('AFA Rates'!$D$5:$D$1004,$T89)="","",INDEX('AFA Rates'!$D$5:$D$1004,$T89))))</f>
        <v/>
      </c>
      <c r="F89" s="79">
        <f>IF($T89="","",IF($S89="S",IF(INDEX(Firms!$O$5:$O$1004,$T89)="","",INDEX(Firms!$O$5:$O$1004,$T89)),IF(INDEX('AFA Rates'!$O$5:$O$1004,$T89)="","",INDEX('AFA Rates'!$O$5:$O$1004,$T89))))</f>
        <v/>
      </c>
      <c r="G89" s="50">
        <f>IF($T89="","",IF($S89="S",IF(INDEX(Firms!$F$5:$F$1004,$T89)="","",INDEX(Firms!$F$5:$F$1004,$T89)),IF(INDEX('AFA Rates'!$E$5:$E$1004,$T89)="","",INDEX('AFA Rates'!$E$5:$E$1004,$T89))))</f>
        <v/>
      </c>
      <c r="H89" s="50">
        <f>IF($T89="","",IF($S89="S",IF(INDEX(Firms!$G$5:$G$1004,$T89)="","",INDEX(Firms!$G$5:$G$1004,$T89)),IF(INDEX('AFA Rates'!$F$5:$F$1004,$T89)="","",INDEX('AFA Rates'!$F$5:$F$1004,$T89))))</f>
        <v/>
      </c>
      <c r="I89" s="50">
        <f>IF($T89="","",IF($S89="S",IF(INDEX(Firms!$H$5:$H$1004,$T89)="","",INDEX(Firms!$H$5:$H$1004,$T89)),IF(INDEX('AFA Rates'!$G$5:$G$1004,$T89)="","",INDEX('AFA Rates'!$G$5:$G$1004,$T89))))</f>
        <v/>
      </c>
      <c r="J89" s="50">
        <f>IF($T89="","",IF($S89="S",IF(INDEX(Firms!$I$5:$I$1004,$T89)="","",INDEX(Firms!$I$5:$I$1004,$T89)),IF(INDEX('AFA Rates'!$H$5:$H$1004,$T89)="","",INDEX('AFA Rates'!$H$5:$H$1004,$T89))))</f>
        <v/>
      </c>
      <c r="K89" s="50">
        <f>IF($T89="","",IF($S89="S",IF(INDEX(Firms!$J$5:$J$1004,$T89)="","",INDEX(Firms!$J$5:$J$1004,$T89)),IF(INDEX('AFA Rates'!$I$5:$I$1004,$T89)="","",INDEX('AFA Rates'!$I$5:$I$1004,$T89))))</f>
        <v/>
      </c>
      <c r="L89" s="50">
        <f>IF($T89="","",IF($S89="S",IF(INDEX(Firms!$K$5:$K$1004,$T89)="","",INDEX(Firms!$K$5:$K$1004,$T89)),IF(INDEX('AFA Rates'!$J$5:$J$1004,$T89)="","",INDEX('AFA Rates'!$J$5:$J$1004,$T89))))</f>
        <v/>
      </c>
      <c r="M89" s="50">
        <f>IF($T89="","",IF($S89="S",IF(INDEX(Firms!$L$5:$L$1004,$T89)="","",INDEX(Firms!$L$5:$L$1004,$T89)),IF(INDEX('AFA Rates'!$K$5:$K$1004,$T89)="","",INDEX('AFA Rates'!$K$5:$K$1004,$T89))))</f>
        <v/>
      </c>
      <c r="N89" s="50">
        <f>IF($T89="","",IF($S89="S",IF(INDEX(Firms!$M$5:$M$1004,$T89)="","",INDEX(Firms!$M$5:$M$1004,$T89)),IF(INDEX('AFA Rates'!$L$5:$L$1004,$T89)="","",INDEX('AFA Rates'!$L$5:$L$1004,$T89))))</f>
        <v/>
      </c>
      <c r="O89" s="78">
        <f>IF(OR($T89="",$U89=""),"",IF(INDEX(Firms!$C$5:$C$1004,$U89)="","",INDEX(Firms!$C$5:$C$1004,$U89)))</f>
        <v/>
      </c>
      <c r="P89" s="79">
        <f>IF(OR($T89="",$U89=""),"",IF(INDEX(Firms!$N$5:$N$1004,$U89)="","",INDEX(Firms!$N$5:$N$1004,$U89)))</f>
        <v/>
      </c>
      <c r="Q89" s="78">
        <f>IF($T89="","",IF($S89="S",IF(INDEX(Firms!$T$5:$T$1004,$T89)="","",INDEX(Firms!$T$5:$T$1004,$T89)),IF(INDEX('AFA Rates'!$M$5:$M$1004,$T89)="","",INDEX('AFA Rates'!$M$5:$M$1004,$T89))))</f>
        <v/>
      </c>
      <c r="S89">
        <f>IF(85&lt;=$S$2,"S",IF(85&lt;=$S$2+$T$2,"A",""))</f>
        <v/>
      </c>
      <c r="T89">
        <f>IF(S89="S",MATCH(85,Firms!$W$5:$W$1004,0),IF(S89="A",IFERROR(MATCH(85-$S$2,'AFA Rates'!$R$5:$R$1004,0),""),""))</f>
        <v/>
      </c>
      <c r="U89">
        <f>IF(S89="S",T89,IF(AND(S89="A",T89&lt;&gt;""),IFERROR(MATCH(INDEX('AFA Rates'!$A$5:$A$1004,T89),Firms!$A$5:$A$1004,0),""),""))</f>
        <v/>
      </c>
    </row>
    <row r="90">
      <c r="A90" s="78">
        <f>IF($T90="","",IF($S90="S",IF(INDEX(Firms!$A$5:$A$1004,$T90)="","",INDEX(Firms!$A$5:$A$1004,$T90)),IF(INDEX('AFA Rates'!$A$5:$A$1004,$T90)="","",INDEX('AFA Rates'!$A$5:$A$1004,$T90))))</f>
        <v/>
      </c>
      <c r="B90" s="79">
        <f>IF(OR($T90="",$U90=""),IF($T90="","","Not on Firms tab"),INDEX(Firms!$B$5:$B$1004,$U90)&amp;"")</f>
        <v/>
      </c>
      <c r="C90" s="78">
        <f>IF($T90="","",IF($S90="S","Standard",INDEX('AFA Rates'!$B$5:$B$1004,$T90)&amp;""))</f>
        <v/>
      </c>
      <c r="D90" s="88">
        <f>IF($T90="","",IF($S90="S",IF(INDEX(Firms!$E$5:$E$1004,$T90)="","",INDEX(Firms!$E$5:$E$1004,$T90)),IF(INDEX('AFA Rates'!$C$5:$C$1004,$T90)="","",INDEX('AFA Rates'!$C$5:$C$1004,$T90))))</f>
        <v/>
      </c>
      <c r="E90" s="88">
        <f>IF($T90="","",IF($S90="S",IF(""="","",""),IF(INDEX('AFA Rates'!$D$5:$D$1004,$T90)="","",INDEX('AFA Rates'!$D$5:$D$1004,$T90))))</f>
        <v/>
      </c>
      <c r="F90" s="79">
        <f>IF($T90="","",IF($S90="S",IF(INDEX(Firms!$O$5:$O$1004,$T90)="","",INDEX(Firms!$O$5:$O$1004,$T90)),IF(INDEX('AFA Rates'!$O$5:$O$1004,$T90)="","",INDEX('AFA Rates'!$O$5:$O$1004,$T90))))</f>
        <v/>
      </c>
      <c r="G90" s="50">
        <f>IF($T90="","",IF($S90="S",IF(INDEX(Firms!$F$5:$F$1004,$T90)="","",INDEX(Firms!$F$5:$F$1004,$T90)),IF(INDEX('AFA Rates'!$E$5:$E$1004,$T90)="","",INDEX('AFA Rates'!$E$5:$E$1004,$T90))))</f>
        <v/>
      </c>
      <c r="H90" s="50">
        <f>IF($T90="","",IF($S90="S",IF(INDEX(Firms!$G$5:$G$1004,$T90)="","",INDEX(Firms!$G$5:$G$1004,$T90)),IF(INDEX('AFA Rates'!$F$5:$F$1004,$T90)="","",INDEX('AFA Rates'!$F$5:$F$1004,$T90))))</f>
        <v/>
      </c>
      <c r="I90" s="50">
        <f>IF($T90="","",IF($S90="S",IF(INDEX(Firms!$H$5:$H$1004,$T90)="","",INDEX(Firms!$H$5:$H$1004,$T90)),IF(INDEX('AFA Rates'!$G$5:$G$1004,$T90)="","",INDEX('AFA Rates'!$G$5:$G$1004,$T90))))</f>
        <v/>
      </c>
      <c r="J90" s="50">
        <f>IF($T90="","",IF($S90="S",IF(INDEX(Firms!$I$5:$I$1004,$T90)="","",INDEX(Firms!$I$5:$I$1004,$T90)),IF(INDEX('AFA Rates'!$H$5:$H$1004,$T90)="","",INDEX('AFA Rates'!$H$5:$H$1004,$T90))))</f>
        <v/>
      </c>
      <c r="K90" s="50">
        <f>IF($T90="","",IF($S90="S",IF(INDEX(Firms!$J$5:$J$1004,$T90)="","",INDEX(Firms!$J$5:$J$1004,$T90)),IF(INDEX('AFA Rates'!$I$5:$I$1004,$T90)="","",INDEX('AFA Rates'!$I$5:$I$1004,$T90))))</f>
        <v/>
      </c>
      <c r="L90" s="50">
        <f>IF($T90="","",IF($S90="S",IF(INDEX(Firms!$K$5:$K$1004,$T90)="","",INDEX(Firms!$K$5:$K$1004,$T90)),IF(INDEX('AFA Rates'!$J$5:$J$1004,$T90)="","",INDEX('AFA Rates'!$J$5:$J$1004,$T90))))</f>
        <v/>
      </c>
      <c r="M90" s="50">
        <f>IF($T90="","",IF($S90="S",IF(INDEX(Firms!$L$5:$L$1004,$T90)="","",INDEX(Firms!$L$5:$L$1004,$T90)),IF(INDEX('AFA Rates'!$K$5:$K$1004,$T90)="","",INDEX('AFA Rates'!$K$5:$K$1004,$T90))))</f>
        <v/>
      </c>
      <c r="N90" s="50">
        <f>IF($T90="","",IF($S90="S",IF(INDEX(Firms!$M$5:$M$1004,$T90)="","",INDEX(Firms!$M$5:$M$1004,$T90)),IF(INDEX('AFA Rates'!$L$5:$L$1004,$T90)="","",INDEX('AFA Rates'!$L$5:$L$1004,$T90))))</f>
        <v/>
      </c>
      <c r="O90" s="78">
        <f>IF(OR($T90="",$U90=""),"",IF(INDEX(Firms!$C$5:$C$1004,$U90)="","",INDEX(Firms!$C$5:$C$1004,$U90)))</f>
        <v/>
      </c>
      <c r="P90" s="79">
        <f>IF(OR($T90="",$U90=""),"",IF(INDEX(Firms!$N$5:$N$1004,$U90)="","",INDEX(Firms!$N$5:$N$1004,$U90)))</f>
        <v/>
      </c>
      <c r="Q90" s="78">
        <f>IF($T90="","",IF($S90="S",IF(INDEX(Firms!$T$5:$T$1004,$T90)="","",INDEX(Firms!$T$5:$T$1004,$T90)),IF(INDEX('AFA Rates'!$M$5:$M$1004,$T90)="","",INDEX('AFA Rates'!$M$5:$M$1004,$T90))))</f>
        <v/>
      </c>
      <c r="S90">
        <f>IF(86&lt;=$S$2,"S",IF(86&lt;=$S$2+$T$2,"A",""))</f>
        <v/>
      </c>
      <c r="T90">
        <f>IF(S90="S",MATCH(86,Firms!$W$5:$W$1004,0),IF(S90="A",IFERROR(MATCH(86-$S$2,'AFA Rates'!$R$5:$R$1004,0),""),""))</f>
        <v/>
      </c>
      <c r="U90">
        <f>IF(S90="S",T90,IF(AND(S90="A",T90&lt;&gt;""),IFERROR(MATCH(INDEX('AFA Rates'!$A$5:$A$1004,T90),Firms!$A$5:$A$1004,0),""),""))</f>
        <v/>
      </c>
    </row>
    <row r="91">
      <c r="A91" s="78">
        <f>IF($T91="","",IF($S91="S",IF(INDEX(Firms!$A$5:$A$1004,$T91)="","",INDEX(Firms!$A$5:$A$1004,$T91)),IF(INDEX('AFA Rates'!$A$5:$A$1004,$T91)="","",INDEX('AFA Rates'!$A$5:$A$1004,$T91))))</f>
        <v/>
      </c>
      <c r="B91" s="79">
        <f>IF(OR($T91="",$U91=""),IF($T91="","","Not on Firms tab"),INDEX(Firms!$B$5:$B$1004,$U91)&amp;"")</f>
        <v/>
      </c>
      <c r="C91" s="78">
        <f>IF($T91="","",IF($S91="S","Standard",INDEX('AFA Rates'!$B$5:$B$1004,$T91)&amp;""))</f>
        <v/>
      </c>
      <c r="D91" s="88">
        <f>IF($T91="","",IF($S91="S",IF(INDEX(Firms!$E$5:$E$1004,$T91)="","",INDEX(Firms!$E$5:$E$1004,$T91)),IF(INDEX('AFA Rates'!$C$5:$C$1004,$T91)="","",INDEX('AFA Rates'!$C$5:$C$1004,$T91))))</f>
        <v/>
      </c>
      <c r="E91" s="88">
        <f>IF($T91="","",IF($S91="S",IF(""="","",""),IF(INDEX('AFA Rates'!$D$5:$D$1004,$T91)="","",INDEX('AFA Rates'!$D$5:$D$1004,$T91))))</f>
        <v/>
      </c>
      <c r="F91" s="79">
        <f>IF($T91="","",IF($S91="S",IF(INDEX(Firms!$O$5:$O$1004,$T91)="","",INDEX(Firms!$O$5:$O$1004,$T91)),IF(INDEX('AFA Rates'!$O$5:$O$1004,$T91)="","",INDEX('AFA Rates'!$O$5:$O$1004,$T91))))</f>
        <v/>
      </c>
      <c r="G91" s="50">
        <f>IF($T91="","",IF($S91="S",IF(INDEX(Firms!$F$5:$F$1004,$T91)="","",INDEX(Firms!$F$5:$F$1004,$T91)),IF(INDEX('AFA Rates'!$E$5:$E$1004,$T91)="","",INDEX('AFA Rates'!$E$5:$E$1004,$T91))))</f>
        <v/>
      </c>
      <c r="H91" s="50">
        <f>IF($T91="","",IF($S91="S",IF(INDEX(Firms!$G$5:$G$1004,$T91)="","",INDEX(Firms!$G$5:$G$1004,$T91)),IF(INDEX('AFA Rates'!$F$5:$F$1004,$T91)="","",INDEX('AFA Rates'!$F$5:$F$1004,$T91))))</f>
        <v/>
      </c>
      <c r="I91" s="50">
        <f>IF($T91="","",IF($S91="S",IF(INDEX(Firms!$H$5:$H$1004,$T91)="","",INDEX(Firms!$H$5:$H$1004,$T91)),IF(INDEX('AFA Rates'!$G$5:$G$1004,$T91)="","",INDEX('AFA Rates'!$G$5:$G$1004,$T91))))</f>
        <v/>
      </c>
      <c r="J91" s="50">
        <f>IF($T91="","",IF($S91="S",IF(INDEX(Firms!$I$5:$I$1004,$T91)="","",INDEX(Firms!$I$5:$I$1004,$T91)),IF(INDEX('AFA Rates'!$H$5:$H$1004,$T91)="","",INDEX('AFA Rates'!$H$5:$H$1004,$T91))))</f>
        <v/>
      </c>
      <c r="K91" s="50">
        <f>IF($T91="","",IF($S91="S",IF(INDEX(Firms!$J$5:$J$1004,$T91)="","",INDEX(Firms!$J$5:$J$1004,$T91)),IF(INDEX('AFA Rates'!$I$5:$I$1004,$T91)="","",INDEX('AFA Rates'!$I$5:$I$1004,$T91))))</f>
        <v/>
      </c>
      <c r="L91" s="50">
        <f>IF($T91="","",IF($S91="S",IF(INDEX(Firms!$K$5:$K$1004,$T91)="","",INDEX(Firms!$K$5:$K$1004,$T91)),IF(INDEX('AFA Rates'!$J$5:$J$1004,$T91)="","",INDEX('AFA Rates'!$J$5:$J$1004,$T91))))</f>
        <v/>
      </c>
      <c r="M91" s="50">
        <f>IF($T91="","",IF($S91="S",IF(INDEX(Firms!$L$5:$L$1004,$T91)="","",INDEX(Firms!$L$5:$L$1004,$T91)),IF(INDEX('AFA Rates'!$K$5:$K$1004,$T91)="","",INDEX('AFA Rates'!$K$5:$K$1004,$T91))))</f>
        <v/>
      </c>
      <c r="N91" s="50">
        <f>IF($T91="","",IF($S91="S",IF(INDEX(Firms!$M$5:$M$1004,$T91)="","",INDEX(Firms!$M$5:$M$1004,$T91)),IF(INDEX('AFA Rates'!$L$5:$L$1004,$T91)="","",INDEX('AFA Rates'!$L$5:$L$1004,$T91))))</f>
        <v/>
      </c>
      <c r="O91" s="78">
        <f>IF(OR($T91="",$U91=""),"",IF(INDEX(Firms!$C$5:$C$1004,$U91)="","",INDEX(Firms!$C$5:$C$1004,$U91)))</f>
        <v/>
      </c>
      <c r="P91" s="79">
        <f>IF(OR($T91="",$U91=""),"",IF(INDEX(Firms!$N$5:$N$1004,$U91)="","",INDEX(Firms!$N$5:$N$1004,$U91)))</f>
        <v/>
      </c>
      <c r="Q91" s="78">
        <f>IF($T91="","",IF($S91="S",IF(INDEX(Firms!$T$5:$T$1004,$T91)="","",INDEX(Firms!$T$5:$T$1004,$T91)),IF(INDEX('AFA Rates'!$M$5:$M$1004,$T91)="","",INDEX('AFA Rates'!$M$5:$M$1004,$T91))))</f>
        <v/>
      </c>
      <c r="S91">
        <f>IF(87&lt;=$S$2,"S",IF(87&lt;=$S$2+$T$2,"A",""))</f>
        <v/>
      </c>
      <c r="T91">
        <f>IF(S91="S",MATCH(87,Firms!$W$5:$W$1004,0),IF(S91="A",IFERROR(MATCH(87-$S$2,'AFA Rates'!$R$5:$R$1004,0),""),""))</f>
        <v/>
      </c>
      <c r="U91">
        <f>IF(S91="S",T91,IF(AND(S91="A",T91&lt;&gt;""),IFERROR(MATCH(INDEX('AFA Rates'!$A$5:$A$1004,T91),Firms!$A$5:$A$1004,0),""),""))</f>
        <v/>
      </c>
    </row>
    <row r="92">
      <c r="A92" s="78">
        <f>IF($T92="","",IF($S92="S",IF(INDEX(Firms!$A$5:$A$1004,$T92)="","",INDEX(Firms!$A$5:$A$1004,$T92)),IF(INDEX('AFA Rates'!$A$5:$A$1004,$T92)="","",INDEX('AFA Rates'!$A$5:$A$1004,$T92))))</f>
        <v/>
      </c>
      <c r="B92" s="79">
        <f>IF(OR($T92="",$U92=""),IF($T92="","","Not on Firms tab"),INDEX(Firms!$B$5:$B$1004,$U92)&amp;"")</f>
        <v/>
      </c>
      <c r="C92" s="78">
        <f>IF($T92="","",IF($S92="S","Standard",INDEX('AFA Rates'!$B$5:$B$1004,$T92)&amp;""))</f>
        <v/>
      </c>
      <c r="D92" s="88">
        <f>IF($T92="","",IF($S92="S",IF(INDEX(Firms!$E$5:$E$1004,$T92)="","",INDEX(Firms!$E$5:$E$1004,$T92)),IF(INDEX('AFA Rates'!$C$5:$C$1004,$T92)="","",INDEX('AFA Rates'!$C$5:$C$1004,$T92))))</f>
        <v/>
      </c>
      <c r="E92" s="88">
        <f>IF($T92="","",IF($S92="S",IF(""="","",""),IF(INDEX('AFA Rates'!$D$5:$D$1004,$T92)="","",INDEX('AFA Rates'!$D$5:$D$1004,$T92))))</f>
        <v/>
      </c>
      <c r="F92" s="79">
        <f>IF($T92="","",IF($S92="S",IF(INDEX(Firms!$O$5:$O$1004,$T92)="","",INDEX(Firms!$O$5:$O$1004,$T92)),IF(INDEX('AFA Rates'!$O$5:$O$1004,$T92)="","",INDEX('AFA Rates'!$O$5:$O$1004,$T92))))</f>
        <v/>
      </c>
      <c r="G92" s="50">
        <f>IF($T92="","",IF($S92="S",IF(INDEX(Firms!$F$5:$F$1004,$T92)="","",INDEX(Firms!$F$5:$F$1004,$T92)),IF(INDEX('AFA Rates'!$E$5:$E$1004,$T92)="","",INDEX('AFA Rates'!$E$5:$E$1004,$T92))))</f>
        <v/>
      </c>
      <c r="H92" s="50">
        <f>IF($T92="","",IF($S92="S",IF(INDEX(Firms!$G$5:$G$1004,$T92)="","",INDEX(Firms!$G$5:$G$1004,$T92)),IF(INDEX('AFA Rates'!$F$5:$F$1004,$T92)="","",INDEX('AFA Rates'!$F$5:$F$1004,$T92))))</f>
        <v/>
      </c>
      <c r="I92" s="50">
        <f>IF($T92="","",IF($S92="S",IF(INDEX(Firms!$H$5:$H$1004,$T92)="","",INDEX(Firms!$H$5:$H$1004,$T92)),IF(INDEX('AFA Rates'!$G$5:$G$1004,$T92)="","",INDEX('AFA Rates'!$G$5:$G$1004,$T92))))</f>
        <v/>
      </c>
      <c r="J92" s="50">
        <f>IF($T92="","",IF($S92="S",IF(INDEX(Firms!$I$5:$I$1004,$T92)="","",INDEX(Firms!$I$5:$I$1004,$T92)),IF(INDEX('AFA Rates'!$H$5:$H$1004,$T92)="","",INDEX('AFA Rates'!$H$5:$H$1004,$T92))))</f>
        <v/>
      </c>
      <c r="K92" s="50">
        <f>IF($T92="","",IF($S92="S",IF(INDEX(Firms!$J$5:$J$1004,$T92)="","",INDEX(Firms!$J$5:$J$1004,$T92)),IF(INDEX('AFA Rates'!$I$5:$I$1004,$T92)="","",INDEX('AFA Rates'!$I$5:$I$1004,$T92))))</f>
        <v/>
      </c>
      <c r="L92" s="50">
        <f>IF($T92="","",IF($S92="S",IF(INDEX(Firms!$K$5:$K$1004,$T92)="","",INDEX(Firms!$K$5:$K$1004,$T92)),IF(INDEX('AFA Rates'!$J$5:$J$1004,$T92)="","",INDEX('AFA Rates'!$J$5:$J$1004,$T92))))</f>
        <v/>
      </c>
      <c r="M92" s="50">
        <f>IF($T92="","",IF($S92="S",IF(INDEX(Firms!$L$5:$L$1004,$T92)="","",INDEX(Firms!$L$5:$L$1004,$T92)),IF(INDEX('AFA Rates'!$K$5:$K$1004,$T92)="","",INDEX('AFA Rates'!$K$5:$K$1004,$T92))))</f>
        <v/>
      </c>
      <c r="N92" s="50">
        <f>IF($T92="","",IF($S92="S",IF(INDEX(Firms!$M$5:$M$1004,$T92)="","",INDEX(Firms!$M$5:$M$1004,$T92)),IF(INDEX('AFA Rates'!$L$5:$L$1004,$T92)="","",INDEX('AFA Rates'!$L$5:$L$1004,$T92))))</f>
        <v/>
      </c>
      <c r="O92" s="78">
        <f>IF(OR($T92="",$U92=""),"",IF(INDEX(Firms!$C$5:$C$1004,$U92)="","",INDEX(Firms!$C$5:$C$1004,$U92)))</f>
        <v/>
      </c>
      <c r="P92" s="79">
        <f>IF(OR($T92="",$U92=""),"",IF(INDEX(Firms!$N$5:$N$1004,$U92)="","",INDEX(Firms!$N$5:$N$1004,$U92)))</f>
        <v/>
      </c>
      <c r="Q92" s="78">
        <f>IF($T92="","",IF($S92="S",IF(INDEX(Firms!$T$5:$T$1004,$T92)="","",INDEX(Firms!$T$5:$T$1004,$T92)),IF(INDEX('AFA Rates'!$M$5:$M$1004,$T92)="","",INDEX('AFA Rates'!$M$5:$M$1004,$T92))))</f>
        <v/>
      </c>
      <c r="S92">
        <f>IF(88&lt;=$S$2,"S",IF(88&lt;=$S$2+$T$2,"A",""))</f>
        <v/>
      </c>
      <c r="T92">
        <f>IF(S92="S",MATCH(88,Firms!$W$5:$W$1004,0),IF(S92="A",IFERROR(MATCH(88-$S$2,'AFA Rates'!$R$5:$R$1004,0),""),""))</f>
        <v/>
      </c>
      <c r="U92">
        <f>IF(S92="S",T92,IF(AND(S92="A",T92&lt;&gt;""),IFERROR(MATCH(INDEX('AFA Rates'!$A$5:$A$1004,T92),Firms!$A$5:$A$1004,0),""),""))</f>
        <v/>
      </c>
    </row>
    <row r="93">
      <c r="A93" s="78">
        <f>IF($T93="","",IF($S93="S",IF(INDEX(Firms!$A$5:$A$1004,$T93)="","",INDEX(Firms!$A$5:$A$1004,$T93)),IF(INDEX('AFA Rates'!$A$5:$A$1004,$T93)="","",INDEX('AFA Rates'!$A$5:$A$1004,$T93))))</f>
        <v/>
      </c>
      <c r="B93" s="79">
        <f>IF(OR($T93="",$U93=""),IF($T93="","","Not on Firms tab"),INDEX(Firms!$B$5:$B$1004,$U93)&amp;"")</f>
        <v/>
      </c>
      <c r="C93" s="78">
        <f>IF($T93="","",IF($S93="S","Standard",INDEX('AFA Rates'!$B$5:$B$1004,$T93)&amp;""))</f>
        <v/>
      </c>
      <c r="D93" s="88">
        <f>IF($T93="","",IF($S93="S",IF(INDEX(Firms!$E$5:$E$1004,$T93)="","",INDEX(Firms!$E$5:$E$1004,$T93)),IF(INDEX('AFA Rates'!$C$5:$C$1004,$T93)="","",INDEX('AFA Rates'!$C$5:$C$1004,$T93))))</f>
        <v/>
      </c>
      <c r="E93" s="88">
        <f>IF($T93="","",IF($S93="S",IF(""="","",""),IF(INDEX('AFA Rates'!$D$5:$D$1004,$T93)="","",INDEX('AFA Rates'!$D$5:$D$1004,$T93))))</f>
        <v/>
      </c>
      <c r="F93" s="79">
        <f>IF($T93="","",IF($S93="S",IF(INDEX(Firms!$O$5:$O$1004,$T93)="","",INDEX(Firms!$O$5:$O$1004,$T93)),IF(INDEX('AFA Rates'!$O$5:$O$1004,$T93)="","",INDEX('AFA Rates'!$O$5:$O$1004,$T93))))</f>
        <v/>
      </c>
      <c r="G93" s="50">
        <f>IF($T93="","",IF($S93="S",IF(INDEX(Firms!$F$5:$F$1004,$T93)="","",INDEX(Firms!$F$5:$F$1004,$T93)),IF(INDEX('AFA Rates'!$E$5:$E$1004,$T93)="","",INDEX('AFA Rates'!$E$5:$E$1004,$T93))))</f>
        <v/>
      </c>
      <c r="H93" s="50">
        <f>IF($T93="","",IF($S93="S",IF(INDEX(Firms!$G$5:$G$1004,$T93)="","",INDEX(Firms!$G$5:$G$1004,$T93)),IF(INDEX('AFA Rates'!$F$5:$F$1004,$T93)="","",INDEX('AFA Rates'!$F$5:$F$1004,$T93))))</f>
        <v/>
      </c>
      <c r="I93" s="50">
        <f>IF($T93="","",IF($S93="S",IF(INDEX(Firms!$H$5:$H$1004,$T93)="","",INDEX(Firms!$H$5:$H$1004,$T93)),IF(INDEX('AFA Rates'!$G$5:$G$1004,$T93)="","",INDEX('AFA Rates'!$G$5:$G$1004,$T93))))</f>
        <v/>
      </c>
      <c r="J93" s="50">
        <f>IF($T93="","",IF($S93="S",IF(INDEX(Firms!$I$5:$I$1004,$T93)="","",INDEX(Firms!$I$5:$I$1004,$T93)),IF(INDEX('AFA Rates'!$H$5:$H$1004,$T93)="","",INDEX('AFA Rates'!$H$5:$H$1004,$T93))))</f>
        <v/>
      </c>
      <c r="K93" s="50">
        <f>IF($T93="","",IF($S93="S",IF(INDEX(Firms!$J$5:$J$1004,$T93)="","",INDEX(Firms!$J$5:$J$1004,$T93)),IF(INDEX('AFA Rates'!$I$5:$I$1004,$T93)="","",INDEX('AFA Rates'!$I$5:$I$1004,$T93))))</f>
        <v/>
      </c>
      <c r="L93" s="50">
        <f>IF($T93="","",IF($S93="S",IF(INDEX(Firms!$K$5:$K$1004,$T93)="","",INDEX(Firms!$K$5:$K$1004,$T93)),IF(INDEX('AFA Rates'!$J$5:$J$1004,$T93)="","",INDEX('AFA Rates'!$J$5:$J$1004,$T93))))</f>
        <v/>
      </c>
      <c r="M93" s="50">
        <f>IF($T93="","",IF($S93="S",IF(INDEX(Firms!$L$5:$L$1004,$T93)="","",INDEX(Firms!$L$5:$L$1004,$T93)),IF(INDEX('AFA Rates'!$K$5:$K$1004,$T93)="","",INDEX('AFA Rates'!$K$5:$K$1004,$T93))))</f>
        <v/>
      </c>
      <c r="N93" s="50">
        <f>IF($T93="","",IF($S93="S",IF(INDEX(Firms!$M$5:$M$1004,$T93)="","",INDEX(Firms!$M$5:$M$1004,$T93)),IF(INDEX('AFA Rates'!$L$5:$L$1004,$T93)="","",INDEX('AFA Rates'!$L$5:$L$1004,$T93))))</f>
        <v/>
      </c>
      <c r="O93" s="78">
        <f>IF(OR($T93="",$U93=""),"",IF(INDEX(Firms!$C$5:$C$1004,$U93)="","",INDEX(Firms!$C$5:$C$1004,$U93)))</f>
        <v/>
      </c>
      <c r="P93" s="79">
        <f>IF(OR($T93="",$U93=""),"",IF(INDEX(Firms!$N$5:$N$1004,$U93)="","",INDEX(Firms!$N$5:$N$1004,$U93)))</f>
        <v/>
      </c>
      <c r="Q93" s="78">
        <f>IF($T93="","",IF($S93="S",IF(INDEX(Firms!$T$5:$T$1004,$T93)="","",INDEX(Firms!$T$5:$T$1004,$T93)),IF(INDEX('AFA Rates'!$M$5:$M$1004,$T93)="","",INDEX('AFA Rates'!$M$5:$M$1004,$T93))))</f>
        <v/>
      </c>
      <c r="S93">
        <f>IF(89&lt;=$S$2,"S",IF(89&lt;=$S$2+$T$2,"A",""))</f>
        <v/>
      </c>
      <c r="T93">
        <f>IF(S93="S",MATCH(89,Firms!$W$5:$W$1004,0),IF(S93="A",IFERROR(MATCH(89-$S$2,'AFA Rates'!$R$5:$R$1004,0),""),""))</f>
        <v/>
      </c>
      <c r="U93">
        <f>IF(S93="S",T93,IF(AND(S93="A",T93&lt;&gt;""),IFERROR(MATCH(INDEX('AFA Rates'!$A$5:$A$1004,T93),Firms!$A$5:$A$1004,0),""),""))</f>
        <v/>
      </c>
    </row>
    <row r="94">
      <c r="A94" s="78">
        <f>IF($T94="","",IF($S94="S",IF(INDEX(Firms!$A$5:$A$1004,$T94)="","",INDEX(Firms!$A$5:$A$1004,$T94)),IF(INDEX('AFA Rates'!$A$5:$A$1004,$T94)="","",INDEX('AFA Rates'!$A$5:$A$1004,$T94))))</f>
        <v/>
      </c>
      <c r="B94" s="79">
        <f>IF(OR($T94="",$U94=""),IF($T94="","","Not on Firms tab"),INDEX(Firms!$B$5:$B$1004,$U94)&amp;"")</f>
        <v/>
      </c>
      <c r="C94" s="78">
        <f>IF($T94="","",IF($S94="S","Standard",INDEX('AFA Rates'!$B$5:$B$1004,$T94)&amp;""))</f>
        <v/>
      </c>
      <c r="D94" s="88">
        <f>IF($T94="","",IF($S94="S",IF(INDEX(Firms!$E$5:$E$1004,$T94)="","",INDEX(Firms!$E$5:$E$1004,$T94)),IF(INDEX('AFA Rates'!$C$5:$C$1004,$T94)="","",INDEX('AFA Rates'!$C$5:$C$1004,$T94))))</f>
        <v/>
      </c>
      <c r="E94" s="88">
        <f>IF($T94="","",IF($S94="S",IF(""="","",""),IF(INDEX('AFA Rates'!$D$5:$D$1004,$T94)="","",INDEX('AFA Rates'!$D$5:$D$1004,$T94))))</f>
        <v/>
      </c>
      <c r="F94" s="79">
        <f>IF($T94="","",IF($S94="S",IF(INDEX(Firms!$O$5:$O$1004,$T94)="","",INDEX(Firms!$O$5:$O$1004,$T94)),IF(INDEX('AFA Rates'!$O$5:$O$1004,$T94)="","",INDEX('AFA Rates'!$O$5:$O$1004,$T94))))</f>
        <v/>
      </c>
      <c r="G94" s="50">
        <f>IF($T94="","",IF($S94="S",IF(INDEX(Firms!$F$5:$F$1004,$T94)="","",INDEX(Firms!$F$5:$F$1004,$T94)),IF(INDEX('AFA Rates'!$E$5:$E$1004,$T94)="","",INDEX('AFA Rates'!$E$5:$E$1004,$T94))))</f>
        <v/>
      </c>
      <c r="H94" s="50">
        <f>IF($T94="","",IF($S94="S",IF(INDEX(Firms!$G$5:$G$1004,$T94)="","",INDEX(Firms!$G$5:$G$1004,$T94)),IF(INDEX('AFA Rates'!$F$5:$F$1004,$T94)="","",INDEX('AFA Rates'!$F$5:$F$1004,$T94))))</f>
        <v/>
      </c>
      <c r="I94" s="50">
        <f>IF($T94="","",IF($S94="S",IF(INDEX(Firms!$H$5:$H$1004,$T94)="","",INDEX(Firms!$H$5:$H$1004,$T94)),IF(INDEX('AFA Rates'!$G$5:$G$1004,$T94)="","",INDEX('AFA Rates'!$G$5:$G$1004,$T94))))</f>
        <v/>
      </c>
      <c r="J94" s="50">
        <f>IF($T94="","",IF($S94="S",IF(INDEX(Firms!$I$5:$I$1004,$T94)="","",INDEX(Firms!$I$5:$I$1004,$T94)),IF(INDEX('AFA Rates'!$H$5:$H$1004,$T94)="","",INDEX('AFA Rates'!$H$5:$H$1004,$T94))))</f>
        <v/>
      </c>
      <c r="K94" s="50">
        <f>IF($T94="","",IF($S94="S",IF(INDEX(Firms!$J$5:$J$1004,$T94)="","",INDEX(Firms!$J$5:$J$1004,$T94)),IF(INDEX('AFA Rates'!$I$5:$I$1004,$T94)="","",INDEX('AFA Rates'!$I$5:$I$1004,$T94))))</f>
        <v/>
      </c>
      <c r="L94" s="50">
        <f>IF($T94="","",IF($S94="S",IF(INDEX(Firms!$K$5:$K$1004,$T94)="","",INDEX(Firms!$K$5:$K$1004,$T94)),IF(INDEX('AFA Rates'!$J$5:$J$1004,$T94)="","",INDEX('AFA Rates'!$J$5:$J$1004,$T94))))</f>
        <v/>
      </c>
      <c r="M94" s="50">
        <f>IF($T94="","",IF($S94="S",IF(INDEX(Firms!$L$5:$L$1004,$T94)="","",INDEX(Firms!$L$5:$L$1004,$T94)),IF(INDEX('AFA Rates'!$K$5:$K$1004,$T94)="","",INDEX('AFA Rates'!$K$5:$K$1004,$T94))))</f>
        <v/>
      </c>
      <c r="N94" s="50">
        <f>IF($T94="","",IF($S94="S",IF(INDEX(Firms!$M$5:$M$1004,$T94)="","",INDEX(Firms!$M$5:$M$1004,$T94)),IF(INDEX('AFA Rates'!$L$5:$L$1004,$T94)="","",INDEX('AFA Rates'!$L$5:$L$1004,$T94))))</f>
        <v/>
      </c>
      <c r="O94" s="78">
        <f>IF(OR($T94="",$U94=""),"",IF(INDEX(Firms!$C$5:$C$1004,$U94)="","",INDEX(Firms!$C$5:$C$1004,$U94)))</f>
        <v/>
      </c>
      <c r="P94" s="79">
        <f>IF(OR($T94="",$U94=""),"",IF(INDEX(Firms!$N$5:$N$1004,$U94)="","",INDEX(Firms!$N$5:$N$1004,$U94)))</f>
        <v/>
      </c>
      <c r="Q94" s="78">
        <f>IF($T94="","",IF($S94="S",IF(INDEX(Firms!$T$5:$T$1004,$T94)="","",INDEX(Firms!$T$5:$T$1004,$T94)),IF(INDEX('AFA Rates'!$M$5:$M$1004,$T94)="","",INDEX('AFA Rates'!$M$5:$M$1004,$T94))))</f>
        <v/>
      </c>
      <c r="S94">
        <f>IF(90&lt;=$S$2,"S",IF(90&lt;=$S$2+$T$2,"A",""))</f>
        <v/>
      </c>
      <c r="T94">
        <f>IF(S94="S",MATCH(90,Firms!$W$5:$W$1004,0),IF(S94="A",IFERROR(MATCH(90-$S$2,'AFA Rates'!$R$5:$R$1004,0),""),""))</f>
        <v/>
      </c>
      <c r="U94">
        <f>IF(S94="S",T94,IF(AND(S94="A",T94&lt;&gt;""),IFERROR(MATCH(INDEX('AFA Rates'!$A$5:$A$1004,T94),Firms!$A$5:$A$1004,0),""),""))</f>
        <v/>
      </c>
    </row>
    <row r="95">
      <c r="A95" s="78">
        <f>IF($T95="","",IF($S95="S",IF(INDEX(Firms!$A$5:$A$1004,$T95)="","",INDEX(Firms!$A$5:$A$1004,$T95)),IF(INDEX('AFA Rates'!$A$5:$A$1004,$T95)="","",INDEX('AFA Rates'!$A$5:$A$1004,$T95))))</f>
        <v/>
      </c>
      <c r="B95" s="79">
        <f>IF(OR($T95="",$U95=""),IF($T95="","","Not on Firms tab"),INDEX(Firms!$B$5:$B$1004,$U95)&amp;"")</f>
        <v/>
      </c>
      <c r="C95" s="78">
        <f>IF($T95="","",IF($S95="S","Standard",INDEX('AFA Rates'!$B$5:$B$1004,$T95)&amp;""))</f>
        <v/>
      </c>
      <c r="D95" s="88">
        <f>IF($T95="","",IF($S95="S",IF(INDEX(Firms!$E$5:$E$1004,$T95)="","",INDEX(Firms!$E$5:$E$1004,$T95)),IF(INDEX('AFA Rates'!$C$5:$C$1004,$T95)="","",INDEX('AFA Rates'!$C$5:$C$1004,$T95))))</f>
        <v/>
      </c>
      <c r="E95" s="88">
        <f>IF($T95="","",IF($S95="S",IF(""="","",""),IF(INDEX('AFA Rates'!$D$5:$D$1004,$T95)="","",INDEX('AFA Rates'!$D$5:$D$1004,$T95))))</f>
        <v/>
      </c>
      <c r="F95" s="79">
        <f>IF($T95="","",IF($S95="S",IF(INDEX(Firms!$O$5:$O$1004,$T95)="","",INDEX(Firms!$O$5:$O$1004,$T95)),IF(INDEX('AFA Rates'!$O$5:$O$1004,$T95)="","",INDEX('AFA Rates'!$O$5:$O$1004,$T95))))</f>
        <v/>
      </c>
      <c r="G95" s="50">
        <f>IF($T95="","",IF($S95="S",IF(INDEX(Firms!$F$5:$F$1004,$T95)="","",INDEX(Firms!$F$5:$F$1004,$T95)),IF(INDEX('AFA Rates'!$E$5:$E$1004,$T95)="","",INDEX('AFA Rates'!$E$5:$E$1004,$T95))))</f>
        <v/>
      </c>
      <c r="H95" s="50">
        <f>IF($T95="","",IF($S95="S",IF(INDEX(Firms!$G$5:$G$1004,$T95)="","",INDEX(Firms!$G$5:$G$1004,$T95)),IF(INDEX('AFA Rates'!$F$5:$F$1004,$T95)="","",INDEX('AFA Rates'!$F$5:$F$1004,$T95))))</f>
        <v/>
      </c>
      <c r="I95" s="50">
        <f>IF($T95="","",IF($S95="S",IF(INDEX(Firms!$H$5:$H$1004,$T95)="","",INDEX(Firms!$H$5:$H$1004,$T95)),IF(INDEX('AFA Rates'!$G$5:$G$1004,$T95)="","",INDEX('AFA Rates'!$G$5:$G$1004,$T95))))</f>
        <v/>
      </c>
      <c r="J95" s="50">
        <f>IF($T95="","",IF($S95="S",IF(INDEX(Firms!$I$5:$I$1004,$T95)="","",INDEX(Firms!$I$5:$I$1004,$T95)),IF(INDEX('AFA Rates'!$H$5:$H$1004,$T95)="","",INDEX('AFA Rates'!$H$5:$H$1004,$T95))))</f>
        <v/>
      </c>
      <c r="K95" s="50">
        <f>IF($T95="","",IF($S95="S",IF(INDEX(Firms!$J$5:$J$1004,$T95)="","",INDEX(Firms!$J$5:$J$1004,$T95)),IF(INDEX('AFA Rates'!$I$5:$I$1004,$T95)="","",INDEX('AFA Rates'!$I$5:$I$1004,$T95))))</f>
        <v/>
      </c>
      <c r="L95" s="50">
        <f>IF($T95="","",IF($S95="S",IF(INDEX(Firms!$K$5:$K$1004,$T95)="","",INDEX(Firms!$K$5:$K$1004,$T95)),IF(INDEX('AFA Rates'!$J$5:$J$1004,$T95)="","",INDEX('AFA Rates'!$J$5:$J$1004,$T95))))</f>
        <v/>
      </c>
      <c r="M95" s="50">
        <f>IF($T95="","",IF($S95="S",IF(INDEX(Firms!$L$5:$L$1004,$T95)="","",INDEX(Firms!$L$5:$L$1004,$T95)),IF(INDEX('AFA Rates'!$K$5:$K$1004,$T95)="","",INDEX('AFA Rates'!$K$5:$K$1004,$T95))))</f>
        <v/>
      </c>
      <c r="N95" s="50">
        <f>IF($T95="","",IF($S95="S",IF(INDEX(Firms!$M$5:$M$1004,$T95)="","",INDEX(Firms!$M$5:$M$1004,$T95)),IF(INDEX('AFA Rates'!$L$5:$L$1004,$T95)="","",INDEX('AFA Rates'!$L$5:$L$1004,$T95))))</f>
        <v/>
      </c>
      <c r="O95" s="78">
        <f>IF(OR($T95="",$U95=""),"",IF(INDEX(Firms!$C$5:$C$1004,$U95)="","",INDEX(Firms!$C$5:$C$1004,$U95)))</f>
        <v/>
      </c>
      <c r="P95" s="79">
        <f>IF(OR($T95="",$U95=""),"",IF(INDEX(Firms!$N$5:$N$1004,$U95)="","",INDEX(Firms!$N$5:$N$1004,$U95)))</f>
        <v/>
      </c>
      <c r="Q95" s="78">
        <f>IF($T95="","",IF($S95="S",IF(INDEX(Firms!$T$5:$T$1004,$T95)="","",INDEX(Firms!$T$5:$T$1004,$T95)),IF(INDEX('AFA Rates'!$M$5:$M$1004,$T95)="","",INDEX('AFA Rates'!$M$5:$M$1004,$T95))))</f>
        <v/>
      </c>
      <c r="S95">
        <f>IF(91&lt;=$S$2,"S",IF(91&lt;=$S$2+$T$2,"A",""))</f>
        <v/>
      </c>
      <c r="T95">
        <f>IF(S95="S",MATCH(91,Firms!$W$5:$W$1004,0),IF(S95="A",IFERROR(MATCH(91-$S$2,'AFA Rates'!$R$5:$R$1004,0),""),""))</f>
        <v/>
      </c>
      <c r="U95">
        <f>IF(S95="S",T95,IF(AND(S95="A",T95&lt;&gt;""),IFERROR(MATCH(INDEX('AFA Rates'!$A$5:$A$1004,T95),Firms!$A$5:$A$1004,0),""),""))</f>
        <v/>
      </c>
    </row>
    <row r="96">
      <c r="A96" s="78">
        <f>IF($T96="","",IF($S96="S",IF(INDEX(Firms!$A$5:$A$1004,$T96)="","",INDEX(Firms!$A$5:$A$1004,$T96)),IF(INDEX('AFA Rates'!$A$5:$A$1004,$T96)="","",INDEX('AFA Rates'!$A$5:$A$1004,$T96))))</f>
        <v/>
      </c>
      <c r="B96" s="79">
        <f>IF(OR($T96="",$U96=""),IF($T96="","","Not on Firms tab"),INDEX(Firms!$B$5:$B$1004,$U96)&amp;"")</f>
        <v/>
      </c>
      <c r="C96" s="78">
        <f>IF($T96="","",IF($S96="S","Standard",INDEX('AFA Rates'!$B$5:$B$1004,$T96)&amp;""))</f>
        <v/>
      </c>
      <c r="D96" s="88">
        <f>IF($T96="","",IF($S96="S",IF(INDEX(Firms!$E$5:$E$1004,$T96)="","",INDEX(Firms!$E$5:$E$1004,$T96)),IF(INDEX('AFA Rates'!$C$5:$C$1004,$T96)="","",INDEX('AFA Rates'!$C$5:$C$1004,$T96))))</f>
        <v/>
      </c>
      <c r="E96" s="88">
        <f>IF($T96="","",IF($S96="S",IF(""="","",""),IF(INDEX('AFA Rates'!$D$5:$D$1004,$T96)="","",INDEX('AFA Rates'!$D$5:$D$1004,$T96))))</f>
        <v/>
      </c>
      <c r="F96" s="79">
        <f>IF($T96="","",IF($S96="S",IF(INDEX(Firms!$O$5:$O$1004,$T96)="","",INDEX(Firms!$O$5:$O$1004,$T96)),IF(INDEX('AFA Rates'!$O$5:$O$1004,$T96)="","",INDEX('AFA Rates'!$O$5:$O$1004,$T96))))</f>
        <v/>
      </c>
      <c r="G96" s="50">
        <f>IF($T96="","",IF($S96="S",IF(INDEX(Firms!$F$5:$F$1004,$T96)="","",INDEX(Firms!$F$5:$F$1004,$T96)),IF(INDEX('AFA Rates'!$E$5:$E$1004,$T96)="","",INDEX('AFA Rates'!$E$5:$E$1004,$T96))))</f>
        <v/>
      </c>
      <c r="H96" s="50">
        <f>IF($T96="","",IF($S96="S",IF(INDEX(Firms!$G$5:$G$1004,$T96)="","",INDEX(Firms!$G$5:$G$1004,$T96)),IF(INDEX('AFA Rates'!$F$5:$F$1004,$T96)="","",INDEX('AFA Rates'!$F$5:$F$1004,$T96))))</f>
        <v/>
      </c>
      <c r="I96" s="50">
        <f>IF($T96="","",IF($S96="S",IF(INDEX(Firms!$H$5:$H$1004,$T96)="","",INDEX(Firms!$H$5:$H$1004,$T96)),IF(INDEX('AFA Rates'!$G$5:$G$1004,$T96)="","",INDEX('AFA Rates'!$G$5:$G$1004,$T96))))</f>
        <v/>
      </c>
      <c r="J96" s="50">
        <f>IF($T96="","",IF($S96="S",IF(INDEX(Firms!$I$5:$I$1004,$T96)="","",INDEX(Firms!$I$5:$I$1004,$T96)),IF(INDEX('AFA Rates'!$H$5:$H$1004,$T96)="","",INDEX('AFA Rates'!$H$5:$H$1004,$T96))))</f>
        <v/>
      </c>
      <c r="K96" s="50">
        <f>IF($T96="","",IF($S96="S",IF(INDEX(Firms!$J$5:$J$1004,$T96)="","",INDEX(Firms!$J$5:$J$1004,$T96)),IF(INDEX('AFA Rates'!$I$5:$I$1004,$T96)="","",INDEX('AFA Rates'!$I$5:$I$1004,$T96))))</f>
        <v/>
      </c>
      <c r="L96" s="50">
        <f>IF($T96="","",IF($S96="S",IF(INDEX(Firms!$K$5:$K$1004,$T96)="","",INDEX(Firms!$K$5:$K$1004,$T96)),IF(INDEX('AFA Rates'!$J$5:$J$1004,$T96)="","",INDEX('AFA Rates'!$J$5:$J$1004,$T96))))</f>
        <v/>
      </c>
      <c r="M96" s="50">
        <f>IF($T96="","",IF($S96="S",IF(INDEX(Firms!$L$5:$L$1004,$T96)="","",INDEX(Firms!$L$5:$L$1004,$T96)),IF(INDEX('AFA Rates'!$K$5:$K$1004,$T96)="","",INDEX('AFA Rates'!$K$5:$K$1004,$T96))))</f>
        <v/>
      </c>
      <c r="N96" s="50">
        <f>IF($T96="","",IF($S96="S",IF(INDEX(Firms!$M$5:$M$1004,$T96)="","",INDEX(Firms!$M$5:$M$1004,$T96)),IF(INDEX('AFA Rates'!$L$5:$L$1004,$T96)="","",INDEX('AFA Rates'!$L$5:$L$1004,$T96))))</f>
        <v/>
      </c>
      <c r="O96" s="78">
        <f>IF(OR($T96="",$U96=""),"",IF(INDEX(Firms!$C$5:$C$1004,$U96)="","",INDEX(Firms!$C$5:$C$1004,$U96)))</f>
        <v/>
      </c>
      <c r="P96" s="79">
        <f>IF(OR($T96="",$U96=""),"",IF(INDEX(Firms!$N$5:$N$1004,$U96)="","",INDEX(Firms!$N$5:$N$1004,$U96)))</f>
        <v/>
      </c>
      <c r="Q96" s="78">
        <f>IF($T96="","",IF($S96="S",IF(INDEX(Firms!$T$5:$T$1004,$T96)="","",INDEX(Firms!$T$5:$T$1004,$T96)),IF(INDEX('AFA Rates'!$M$5:$M$1004,$T96)="","",INDEX('AFA Rates'!$M$5:$M$1004,$T96))))</f>
        <v/>
      </c>
      <c r="S96">
        <f>IF(92&lt;=$S$2,"S",IF(92&lt;=$S$2+$T$2,"A",""))</f>
        <v/>
      </c>
      <c r="T96">
        <f>IF(S96="S",MATCH(92,Firms!$W$5:$W$1004,0),IF(S96="A",IFERROR(MATCH(92-$S$2,'AFA Rates'!$R$5:$R$1004,0),""),""))</f>
        <v/>
      </c>
      <c r="U96">
        <f>IF(S96="S",T96,IF(AND(S96="A",T96&lt;&gt;""),IFERROR(MATCH(INDEX('AFA Rates'!$A$5:$A$1004,T96),Firms!$A$5:$A$1004,0),""),""))</f>
        <v/>
      </c>
    </row>
    <row r="97">
      <c r="A97" s="78">
        <f>IF($T97="","",IF($S97="S",IF(INDEX(Firms!$A$5:$A$1004,$T97)="","",INDEX(Firms!$A$5:$A$1004,$T97)),IF(INDEX('AFA Rates'!$A$5:$A$1004,$T97)="","",INDEX('AFA Rates'!$A$5:$A$1004,$T97))))</f>
        <v/>
      </c>
      <c r="B97" s="79">
        <f>IF(OR($T97="",$U97=""),IF($T97="","","Not on Firms tab"),INDEX(Firms!$B$5:$B$1004,$U97)&amp;"")</f>
        <v/>
      </c>
      <c r="C97" s="78">
        <f>IF($T97="","",IF($S97="S","Standard",INDEX('AFA Rates'!$B$5:$B$1004,$T97)&amp;""))</f>
        <v/>
      </c>
      <c r="D97" s="88">
        <f>IF($T97="","",IF($S97="S",IF(INDEX(Firms!$E$5:$E$1004,$T97)="","",INDEX(Firms!$E$5:$E$1004,$T97)),IF(INDEX('AFA Rates'!$C$5:$C$1004,$T97)="","",INDEX('AFA Rates'!$C$5:$C$1004,$T97))))</f>
        <v/>
      </c>
      <c r="E97" s="88">
        <f>IF($T97="","",IF($S97="S",IF(""="","",""),IF(INDEX('AFA Rates'!$D$5:$D$1004,$T97)="","",INDEX('AFA Rates'!$D$5:$D$1004,$T97))))</f>
        <v/>
      </c>
      <c r="F97" s="79">
        <f>IF($T97="","",IF($S97="S",IF(INDEX(Firms!$O$5:$O$1004,$T97)="","",INDEX(Firms!$O$5:$O$1004,$T97)),IF(INDEX('AFA Rates'!$O$5:$O$1004,$T97)="","",INDEX('AFA Rates'!$O$5:$O$1004,$T97))))</f>
        <v/>
      </c>
      <c r="G97" s="50">
        <f>IF($T97="","",IF($S97="S",IF(INDEX(Firms!$F$5:$F$1004,$T97)="","",INDEX(Firms!$F$5:$F$1004,$T97)),IF(INDEX('AFA Rates'!$E$5:$E$1004,$T97)="","",INDEX('AFA Rates'!$E$5:$E$1004,$T97))))</f>
        <v/>
      </c>
      <c r="H97" s="50">
        <f>IF($T97="","",IF($S97="S",IF(INDEX(Firms!$G$5:$G$1004,$T97)="","",INDEX(Firms!$G$5:$G$1004,$T97)),IF(INDEX('AFA Rates'!$F$5:$F$1004,$T97)="","",INDEX('AFA Rates'!$F$5:$F$1004,$T97))))</f>
        <v/>
      </c>
      <c r="I97" s="50">
        <f>IF($T97="","",IF($S97="S",IF(INDEX(Firms!$H$5:$H$1004,$T97)="","",INDEX(Firms!$H$5:$H$1004,$T97)),IF(INDEX('AFA Rates'!$G$5:$G$1004,$T97)="","",INDEX('AFA Rates'!$G$5:$G$1004,$T97))))</f>
        <v/>
      </c>
      <c r="J97" s="50">
        <f>IF($T97="","",IF($S97="S",IF(INDEX(Firms!$I$5:$I$1004,$T97)="","",INDEX(Firms!$I$5:$I$1004,$T97)),IF(INDEX('AFA Rates'!$H$5:$H$1004,$T97)="","",INDEX('AFA Rates'!$H$5:$H$1004,$T97))))</f>
        <v/>
      </c>
      <c r="K97" s="50">
        <f>IF($T97="","",IF($S97="S",IF(INDEX(Firms!$J$5:$J$1004,$T97)="","",INDEX(Firms!$J$5:$J$1004,$T97)),IF(INDEX('AFA Rates'!$I$5:$I$1004,$T97)="","",INDEX('AFA Rates'!$I$5:$I$1004,$T97))))</f>
        <v/>
      </c>
      <c r="L97" s="50">
        <f>IF($T97="","",IF($S97="S",IF(INDEX(Firms!$K$5:$K$1004,$T97)="","",INDEX(Firms!$K$5:$K$1004,$T97)),IF(INDEX('AFA Rates'!$J$5:$J$1004,$T97)="","",INDEX('AFA Rates'!$J$5:$J$1004,$T97))))</f>
        <v/>
      </c>
      <c r="M97" s="50">
        <f>IF($T97="","",IF($S97="S",IF(INDEX(Firms!$L$5:$L$1004,$T97)="","",INDEX(Firms!$L$5:$L$1004,$T97)),IF(INDEX('AFA Rates'!$K$5:$K$1004,$T97)="","",INDEX('AFA Rates'!$K$5:$K$1004,$T97))))</f>
        <v/>
      </c>
      <c r="N97" s="50">
        <f>IF($T97="","",IF($S97="S",IF(INDEX(Firms!$M$5:$M$1004,$T97)="","",INDEX(Firms!$M$5:$M$1004,$T97)),IF(INDEX('AFA Rates'!$L$5:$L$1004,$T97)="","",INDEX('AFA Rates'!$L$5:$L$1004,$T97))))</f>
        <v/>
      </c>
      <c r="O97" s="78">
        <f>IF(OR($T97="",$U97=""),"",IF(INDEX(Firms!$C$5:$C$1004,$U97)="","",INDEX(Firms!$C$5:$C$1004,$U97)))</f>
        <v/>
      </c>
      <c r="P97" s="79">
        <f>IF(OR($T97="",$U97=""),"",IF(INDEX(Firms!$N$5:$N$1004,$U97)="","",INDEX(Firms!$N$5:$N$1004,$U97)))</f>
        <v/>
      </c>
      <c r="Q97" s="78">
        <f>IF($T97="","",IF($S97="S",IF(INDEX(Firms!$T$5:$T$1004,$T97)="","",INDEX(Firms!$T$5:$T$1004,$T97)),IF(INDEX('AFA Rates'!$M$5:$M$1004,$T97)="","",INDEX('AFA Rates'!$M$5:$M$1004,$T97))))</f>
        <v/>
      </c>
      <c r="S97">
        <f>IF(93&lt;=$S$2,"S",IF(93&lt;=$S$2+$T$2,"A",""))</f>
        <v/>
      </c>
      <c r="T97">
        <f>IF(S97="S",MATCH(93,Firms!$W$5:$W$1004,0),IF(S97="A",IFERROR(MATCH(93-$S$2,'AFA Rates'!$R$5:$R$1004,0),""),""))</f>
        <v/>
      </c>
      <c r="U97">
        <f>IF(S97="S",T97,IF(AND(S97="A",T97&lt;&gt;""),IFERROR(MATCH(INDEX('AFA Rates'!$A$5:$A$1004,T97),Firms!$A$5:$A$1004,0),""),""))</f>
        <v/>
      </c>
    </row>
    <row r="98">
      <c r="A98" s="78">
        <f>IF($T98="","",IF($S98="S",IF(INDEX(Firms!$A$5:$A$1004,$T98)="","",INDEX(Firms!$A$5:$A$1004,$T98)),IF(INDEX('AFA Rates'!$A$5:$A$1004,$T98)="","",INDEX('AFA Rates'!$A$5:$A$1004,$T98))))</f>
        <v/>
      </c>
      <c r="B98" s="79">
        <f>IF(OR($T98="",$U98=""),IF($T98="","","Not on Firms tab"),INDEX(Firms!$B$5:$B$1004,$U98)&amp;"")</f>
        <v/>
      </c>
      <c r="C98" s="78">
        <f>IF($T98="","",IF($S98="S","Standard",INDEX('AFA Rates'!$B$5:$B$1004,$T98)&amp;""))</f>
        <v/>
      </c>
      <c r="D98" s="88">
        <f>IF($T98="","",IF($S98="S",IF(INDEX(Firms!$E$5:$E$1004,$T98)="","",INDEX(Firms!$E$5:$E$1004,$T98)),IF(INDEX('AFA Rates'!$C$5:$C$1004,$T98)="","",INDEX('AFA Rates'!$C$5:$C$1004,$T98))))</f>
        <v/>
      </c>
      <c r="E98" s="88">
        <f>IF($T98="","",IF($S98="S",IF(""="","",""),IF(INDEX('AFA Rates'!$D$5:$D$1004,$T98)="","",INDEX('AFA Rates'!$D$5:$D$1004,$T98))))</f>
        <v/>
      </c>
      <c r="F98" s="79">
        <f>IF($T98="","",IF($S98="S",IF(INDEX(Firms!$O$5:$O$1004,$T98)="","",INDEX(Firms!$O$5:$O$1004,$T98)),IF(INDEX('AFA Rates'!$O$5:$O$1004,$T98)="","",INDEX('AFA Rates'!$O$5:$O$1004,$T98))))</f>
        <v/>
      </c>
      <c r="G98" s="50">
        <f>IF($T98="","",IF($S98="S",IF(INDEX(Firms!$F$5:$F$1004,$T98)="","",INDEX(Firms!$F$5:$F$1004,$T98)),IF(INDEX('AFA Rates'!$E$5:$E$1004,$T98)="","",INDEX('AFA Rates'!$E$5:$E$1004,$T98))))</f>
        <v/>
      </c>
      <c r="H98" s="50">
        <f>IF($T98="","",IF($S98="S",IF(INDEX(Firms!$G$5:$G$1004,$T98)="","",INDEX(Firms!$G$5:$G$1004,$T98)),IF(INDEX('AFA Rates'!$F$5:$F$1004,$T98)="","",INDEX('AFA Rates'!$F$5:$F$1004,$T98))))</f>
        <v/>
      </c>
      <c r="I98" s="50">
        <f>IF($T98="","",IF($S98="S",IF(INDEX(Firms!$H$5:$H$1004,$T98)="","",INDEX(Firms!$H$5:$H$1004,$T98)),IF(INDEX('AFA Rates'!$G$5:$G$1004,$T98)="","",INDEX('AFA Rates'!$G$5:$G$1004,$T98))))</f>
        <v/>
      </c>
      <c r="J98" s="50">
        <f>IF($T98="","",IF($S98="S",IF(INDEX(Firms!$I$5:$I$1004,$T98)="","",INDEX(Firms!$I$5:$I$1004,$T98)),IF(INDEX('AFA Rates'!$H$5:$H$1004,$T98)="","",INDEX('AFA Rates'!$H$5:$H$1004,$T98))))</f>
        <v/>
      </c>
      <c r="K98" s="50">
        <f>IF($T98="","",IF($S98="S",IF(INDEX(Firms!$J$5:$J$1004,$T98)="","",INDEX(Firms!$J$5:$J$1004,$T98)),IF(INDEX('AFA Rates'!$I$5:$I$1004,$T98)="","",INDEX('AFA Rates'!$I$5:$I$1004,$T98))))</f>
        <v/>
      </c>
      <c r="L98" s="50">
        <f>IF($T98="","",IF($S98="S",IF(INDEX(Firms!$K$5:$K$1004,$T98)="","",INDEX(Firms!$K$5:$K$1004,$T98)),IF(INDEX('AFA Rates'!$J$5:$J$1004,$T98)="","",INDEX('AFA Rates'!$J$5:$J$1004,$T98))))</f>
        <v/>
      </c>
      <c r="M98" s="50">
        <f>IF($T98="","",IF($S98="S",IF(INDEX(Firms!$L$5:$L$1004,$T98)="","",INDEX(Firms!$L$5:$L$1004,$T98)),IF(INDEX('AFA Rates'!$K$5:$K$1004,$T98)="","",INDEX('AFA Rates'!$K$5:$K$1004,$T98))))</f>
        <v/>
      </c>
      <c r="N98" s="50">
        <f>IF($T98="","",IF($S98="S",IF(INDEX(Firms!$M$5:$M$1004,$T98)="","",INDEX(Firms!$M$5:$M$1004,$T98)),IF(INDEX('AFA Rates'!$L$5:$L$1004,$T98)="","",INDEX('AFA Rates'!$L$5:$L$1004,$T98))))</f>
        <v/>
      </c>
      <c r="O98" s="78">
        <f>IF(OR($T98="",$U98=""),"",IF(INDEX(Firms!$C$5:$C$1004,$U98)="","",INDEX(Firms!$C$5:$C$1004,$U98)))</f>
        <v/>
      </c>
      <c r="P98" s="79">
        <f>IF(OR($T98="",$U98=""),"",IF(INDEX(Firms!$N$5:$N$1004,$U98)="","",INDEX(Firms!$N$5:$N$1004,$U98)))</f>
        <v/>
      </c>
      <c r="Q98" s="78">
        <f>IF($T98="","",IF($S98="S",IF(INDEX(Firms!$T$5:$T$1004,$T98)="","",INDEX(Firms!$T$5:$T$1004,$T98)),IF(INDEX('AFA Rates'!$M$5:$M$1004,$T98)="","",INDEX('AFA Rates'!$M$5:$M$1004,$T98))))</f>
        <v/>
      </c>
      <c r="S98">
        <f>IF(94&lt;=$S$2,"S",IF(94&lt;=$S$2+$T$2,"A",""))</f>
        <v/>
      </c>
      <c r="T98">
        <f>IF(S98="S",MATCH(94,Firms!$W$5:$W$1004,0),IF(S98="A",IFERROR(MATCH(94-$S$2,'AFA Rates'!$R$5:$R$1004,0),""),""))</f>
        <v/>
      </c>
      <c r="U98">
        <f>IF(S98="S",T98,IF(AND(S98="A",T98&lt;&gt;""),IFERROR(MATCH(INDEX('AFA Rates'!$A$5:$A$1004,T98),Firms!$A$5:$A$1004,0),""),""))</f>
        <v/>
      </c>
    </row>
    <row r="99">
      <c r="A99" s="78">
        <f>IF($T99="","",IF($S99="S",IF(INDEX(Firms!$A$5:$A$1004,$T99)="","",INDEX(Firms!$A$5:$A$1004,$T99)),IF(INDEX('AFA Rates'!$A$5:$A$1004,$T99)="","",INDEX('AFA Rates'!$A$5:$A$1004,$T99))))</f>
        <v/>
      </c>
      <c r="B99" s="79">
        <f>IF(OR($T99="",$U99=""),IF($T99="","","Not on Firms tab"),INDEX(Firms!$B$5:$B$1004,$U99)&amp;"")</f>
        <v/>
      </c>
      <c r="C99" s="78">
        <f>IF($T99="","",IF($S99="S","Standard",INDEX('AFA Rates'!$B$5:$B$1004,$T99)&amp;""))</f>
        <v/>
      </c>
      <c r="D99" s="88">
        <f>IF($T99="","",IF($S99="S",IF(INDEX(Firms!$E$5:$E$1004,$T99)="","",INDEX(Firms!$E$5:$E$1004,$T99)),IF(INDEX('AFA Rates'!$C$5:$C$1004,$T99)="","",INDEX('AFA Rates'!$C$5:$C$1004,$T99))))</f>
        <v/>
      </c>
      <c r="E99" s="88">
        <f>IF($T99="","",IF($S99="S",IF(""="","",""),IF(INDEX('AFA Rates'!$D$5:$D$1004,$T99)="","",INDEX('AFA Rates'!$D$5:$D$1004,$T99))))</f>
        <v/>
      </c>
      <c r="F99" s="79">
        <f>IF($T99="","",IF($S99="S",IF(INDEX(Firms!$O$5:$O$1004,$T99)="","",INDEX(Firms!$O$5:$O$1004,$T99)),IF(INDEX('AFA Rates'!$O$5:$O$1004,$T99)="","",INDEX('AFA Rates'!$O$5:$O$1004,$T99))))</f>
        <v/>
      </c>
      <c r="G99" s="50">
        <f>IF($T99="","",IF($S99="S",IF(INDEX(Firms!$F$5:$F$1004,$T99)="","",INDEX(Firms!$F$5:$F$1004,$T99)),IF(INDEX('AFA Rates'!$E$5:$E$1004,$T99)="","",INDEX('AFA Rates'!$E$5:$E$1004,$T99))))</f>
        <v/>
      </c>
      <c r="H99" s="50">
        <f>IF($T99="","",IF($S99="S",IF(INDEX(Firms!$G$5:$G$1004,$T99)="","",INDEX(Firms!$G$5:$G$1004,$T99)),IF(INDEX('AFA Rates'!$F$5:$F$1004,$T99)="","",INDEX('AFA Rates'!$F$5:$F$1004,$T99))))</f>
        <v/>
      </c>
      <c r="I99" s="50">
        <f>IF($T99="","",IF($S99="S",IF(INDEX(Firms!$H$5:$H$1004,$T99)="","",INDEX(Firms!$H$5:$H$1004,$T99)),IF(INDEX('AFA Rates'!$G$5:$G$1004,$T99)="","",INDEX('AFA Rates'!$G$5:$G$1004,$T99))))</f>
        <v/>
      </c>
      <c r="J99" s="50">
        <f>IF($T99="","",IF($S99="S",IF(INDEX(Firms!$I$5:$I$1004,$T99)="","",INDEX(Firms!$I$5:$I$1004,$T99)),IF(INDEX('AFA Rates'!$H$5:$H$1004,$T99)="","",INDEX('AFA Rates'!$H$5:$H$1004,$T99))))</f>
        <v/>
      </c>
      <c r="K99" s="50">
        <f>IF($T99="","",IF($S99="S",IF(INDEX(Firms!$J$5:$J$1004,$T99)="","",INDEX(Firms!$J$5:$J$1004,$T99)),IF(INDEX('AFA Rates'!$I$5:$I$1004,$T99)="","",INDEX('AFA Rates'!$I$5:$I$1004,$T99))))</f>
        <v/>
      </c>
      <c r="L99" s="50">
        <f>IF($T99="","",IF($S99="S",IF(INDEX(Firms!$K$5:$K$1004,$T99)="","",INDEX(Firms!$K$5:$K$1004,$T99)),IF(INDEX('AFA Rates'!$J$5:$J$1004,$T99)="","",INDEX('AFA Rates'!$J$5:$J$1004,$T99))))</f>
        <v/>
      </c>
      <c r="M99" s="50">
        <f>IF($T99="","",IF($S99="S",IF(INDEX(Firms!$L$5:$L$1004,$T99)="","",INDEX(Firms!$L$5:$L$1004,$T99)),IF(INDEX('AFA Rates'!$K$5:$K$1004,$T99)="","",INDEX('AFA Rates'!$K$5:$K$1004,$T99))))</f>
        <v/>
      </c>
      <c r="N99" s="50">
        <f>IF($T99="","",IF($S99="S",IF(INDEX(Firms!$M$5:$M$1004,$T99)="","",INDEX(Firms!$M$5:$M$1004,$T99)),IF(INDEX('AFA Rates'!$L$5:$L$1004,$T99)="","",INDEX('AFA Rates'!$L$5:$L$1004,$T99))))</f>
        <v/>
      </c>
      <c r="O99" s="78">
        <f>IF(OR($T99="",$U99=""),"",IF(INDEX(Firms!$C$5:$C$1004,$U99)="","",INDEX(Firms!$C$5:$C$1004,$U99)))</f>
        <v/>
      </c>
      <c r="P99" s="79">
        <f>IF(OR($T99="",$U99=""),"",IF(INDEX(Firms!$N$5:$N$1004,$U99)="","",INDEX(Firms!$N$5:$N$1004,$U99)))</f>
        <v/>
      </c>
      <c r="Q99" s="78">
        <f>IF($T99="","",IF($S99="S",IF(INDEX(Firms!$T$5:$T$1004,$T99)="","",INDEX(Firms!$T$5:$T$1004,$T99)),IF(INDEX('AFA Rates'!$M$5:$M$1004,$T99)="","",INDEX('AFA Rates'!$M$5:$M$1004,$T99))))</f>
        <v/>
      </c>
      <c r="S99">
        <f>IF(95&lt;=$S$2,"S",IF(95&lt;=$S$2+$T$2,"A",""))</f>
        <v/>
      </c>
      <c r="T99">
        <f>IF(S99="S",MATCH(95,Firms!$W$5:$W$1004,0),IF(S99="A",IFERROR(MATCH(95-$S$2,'AFA Rates'!$R$5:$R$1004,0),""),""))</f>
        <v/>
      </c>
      <c r="U99">
        <f>IF(S99="S",T99,IF(AND(S99="A",T99&lt;&gt;""),IFERROR(MATCH(INDEX('AFA Rates'!$A$5:$A$1004,T99),Firms!$A$5:$A$1004,0),""),""))</f>
        <v/>
      </c>
    </row>
    <row r="100">
      <c r="A100" s="78">
        <f>IF($T100="","",IF($S100="S",IF(INDEX(Firms!$A$5:$A$1004,$T100)="","",INDEX(Firms!$A$5:$A$1004,$T100)),IF(INDEX('AFA Rates'!$A$5:$A$1004,$T100)="","",INDEX('AFA Rates'!$A$5:$A$1004,$T100))))</f>
        <v/>
      </c>
      <c r="B100" s="79">
        <f>IF(OR($T100="",$U100=""),IF($T100="","","Not on Firms tab"),INDEX(Firms!$B$5:$B$1004,$U100)&amp;"")</f>
        <v/>
      </c>
      <c r="C100" s="78">
        <f>IF($T100="","",IF($S100="S","Standard",INDEX('AFA Rates'!$B$5:$B$1004,$T100)&amp;""))</f>
        <v/>
      </c>
      <c r="D100" s="88">
        <f>IF($T100="","",IF($S100="S",IF(INDEX(Firms!$E$5:$E$1004,$T100)="","",INDEX(Firms!$E$5:$E$1004,$T100)),IF(INDEX('AFA Rates'!$C$5:$C$1004,$T100)="","",INDEX('AFA Rates'!$C$5:$C$1004,$T100))))</f>
        <v/>
      </c>
      <c r="E100" s="88">
        <f>IF($T100="","",IF($S100="S",IF(""="","",""),IF(INDEX('AFA Rates'!$D$5:$D$1004,$T100)="","",INDEX('AFA Rates'!$D$5:$D$1004,$T100))))</f>
        <v/>
      </c>
      <c r="F100" s="79">
        <f>IF($T100="","",IF($S100="S",IF(INDEX(Firms!$O$5:$O$1004,$T100)="","",INDEX(Firms!$O$5:$O$1004,$T100)),IF(INDEX('AFA Rates'!$O$5:$O$1004,$T100)="","",INDEX('AFA Rates'!$O$5:$O$1004,$T100))))</f>
        <v/>
      </c>
      <c r="G100" s="50">
        <f>IF($T100="","",IF($S100="S",IF(INDEX(Firms!$F$5:$F$1004,$T100)="","",INDEX(Firms!$F$5:$F$1004,$T100)),IF(INDEX('AFA Rates'!$E$5:$E$1004,$T100)="","",INDEX('AFA Rates'!$E$5:$E$1004,$T100))))</f>
        <v/>
      </c>
      <c r="H100" s="50">
        <f>IF($T100="","",IF($S100="S",IF(INDEX(Firms!$G$5:$G$1004,$T100)="","",INDEX(Firms!$G$5:$G$1004,$T100)),IF(INDEX('AFA Rates'!$F$5:$F$1004,$T100)="","",INDEX('AFA Rates'!$F$5:$F$1004,$T100))))</f>
        <v/>
      </c>
      <c r="I100" s="50">
        <f>IF($T100="","",IF($S100="S",IF(INDEX(Firms!$H$5:$H$1004,$T100)="","",INDEX(Firms!$H$5:$H$1004,$T100)),IF(INDEX('AFA Rates'!$G$5:$G$1004,$T100)="","",INDEX('AFA Rates'!$G$5:$G$1004,$T100))))</f>
        <v/>
      </c>
      <c r="J100" s="50">
        <f>IF($T100="","",IF($S100="S",IF(INDEX(Firms!$I$5:$I$1004,$T100)="","",INDEX(Firms!$I$5:$I$1004,$T100)),IF(INDEX('AFA Rates'!$H$5:$H$1004,$T100)="","",INDEX('AFA Rates'!$H$5:$H$1004,$T100))))</f>
        <v/>
      </c>
      <c r="K100" s="50">
        <f>IF($T100="","",IF($S100="S",IF(INDEX(Firms!$J$5:$J$1004,$T100)="","",INDEX(Firms!$J$5:$J$1004,$T100)),IF(INDEX('AFA Rates'!$I$5:$I$1004,$T100)="","",INDEX('AFA Rates'!$I$5:$I$1004,$T100))))</f>
        <v/>
      </c>
      <c r="L100" s="50">
        <f>IF($T100="","",IF($S100="S",IF(INDEX(Firms!$K$5:$K$1004,$T100)="","",INDEX(Firms!$K$5:$K$1004,$T100)),IF(INDEX('AFA Rates'!$J$5:$J$1004,$T100)="","",INDEX('AFA Rates'!$J$5:$J$1004,$T100))))</f>
        <v/>
      </c>
      <c r="M100" s="50">
        <f>IF($T100="","",IF($S100="S",IF(INDEX(Firms!$L$5:$L$1004,$T100)="","",INDEX(Firms!$L$5:$L$1004,$T100)),IF(INDEX('AFA Rates'!$K$5:$K$1004,$T100)="","",INDEX('AFA Rates'!$K$5:$K$1004,$T100))))</f>
        <v/>
      </c>
      <c r="N100" s="50">
        <f>IF($T100="","",IF($S100="S",IF(INDEX(Firms!$M$5:$M$1004,$T100)="","",INDEX(Firms!$M$5:$M$1004,$T100)),IF(INDEX('AFA Rates'!$L$5:$L$1004,$T100)="","",INDEX('AFA Rates'!$L$5:$L$1004,$T100))))</f>
        <v/>
      </c>
      <c r="O100" s="78">
        <f>IF(OR($T100="",$U100=""),"",IF(INDEX(Firms!$C$5:$C$1004,$U100)="","",INDEX(Firms!$C$5:$C$1004,$U100)))</f>
        <v/>
      </c>
      <c r="P100" s="79">
        <f>IF(OR($T100="",$U100=""),"",IF(INDEX(Firms!$N$5:$N$1004,$U100)="","",INDEX(Firms!$N$5:$N$1004,$U100)))</f>
        <v/>
      </c>
      <c r="Q100" s="78">
        <f>IF($T100="","",IF($S100="S",IF(INDEX(Firms!$T$5:$T$1004,$T100)="","",INDEX(Firms!$T$5:$T$1004,$T100)),IF(INDEX('AFA Rates'!$M$5:$M$1004,$T100)="","",INDEX('AFA Rates'!$M$5:$M$1004,$T100))))</f>
        <v/>
      </c>
      <c r="S100">
        <f>IF(96&lt;=$S$2,"S",IF(96&lt;=$S$2+$T$2,"A",""))</f>
        <v/>
      </c>
      <c r="T100">
        <f>IF(S100="S",MATCH(96,Firms!$W$5:$W$1004,0),IF(S100="A",IFERROR(MATCH(96-$S$2,'AFA Rates'!$R$5:$R$1004,0),""),""))</f>
        <v/>
      </c>
      <c r="U100">
        <f>IF(S100="S",T100,IF(AND(S100="A",T100&lt;&gt;""),IFERROR(MATCH(INDEX('AFA Rates'!$A$5:$A$1004,T100),Firms!$A$5:$A$1004,0),""),""))</f>
        <v/>
      </c>
    </row>
    <row r="101">
      <c r="A101" s="78">
        <f>IF($T101="","",IF($S101="S",IF(INDEX(Firms!$A$5:$A$1004,$T101)="","",INDEX(Firms!$A$5:$A$1004,$T101)),IF(INDEX('AFA Rates'!$A$5:$A$1004,$T101)="","",INDEX('AFA Rates'!$A$5:$A$1004,$T101))))</f>
        <v/>
      </c>
      <c r="B101" s="79">
        <f>IF(OR($T101="",$U101=""),IF($T101="","","Not on Firms tab"),INDEX(Firms!$B$5:$B$1004,$U101)&amp;"")</f>
        <v/>
      </c>
      <c r="C101" s="78">
        <f>IF($T101="","",IF($S101="S","Standard",INDEX('AFA Rates'!$B$5:$B$1004,$T101)&amp;""))</f>
        <v/>
      </c>
      <c r="D101" s="88">
        <f>IF($T101="","",IF($S101="S",IF(INDEX(Firms!$E$5:$E$1004,$T101)="","",INDEX(Firms!$E$5:$E$1004,$T101)),IF(INDEX('AFA Rates'!$C$5:$C$1004,$T101)="","",INDEX('AFA Rates'!$C$5:$C$1004,$T101))))</f>
        <v/>
      </c>
      <c r="E101" s="88">
        <f>IF($T101="","",IF($S101="S",IF(""="","",""),IF(INDEX('AFA Rates'!$D$5:$D$1004,$T101)="","",INDEX('AFA Rates'!$D$5:$D$1004,$T101))))</f>
        <v/>
      </c>
      <c r="F101" s="79">
        <f>IF($T101="","",IF($S101="S",IF(INDEX(Firms!$O$5:$O$1004,$T101)="","",INDEX(Firms!$O$5:$O$1004,$T101)),IF(INDEX('AFA Rates'!$O$5:$O$1004,$T101)="","",INDEX('AFA Rates'!$O$5:$O$1004,$T101))))</f>
        <v/>
      </c>
      <c r="G101" s="50">
        <f>IF($T101="","",IF($S101="S",IF(INDEX(Firms!$F$5:$F$1004,$T101)="","",INDEX(Firms!$F$5:$F$1004,$T101)),IF(INDEX('AFA Rates'!$E$5:$E$1004,$T101)="","",INDEX('AFA Rates'!$E$5:$E$1004,$T101))))</f>
        <v/>
      </c>
      <c r="H101" s="50">
        <f>IF($T101="","",IF($S101="S",IF(INDEX(Firms!$G$5:$G$1004,$T101)="","",INDEX(Firms!$G$5:$G$1004,$T101)),IF(INDEX('AFA Rates'!$F$5:$F$1004,$T101)="","",INDEX('AFA Rates'!$F$5:$F$1004,$T101))))</f>
        <v/>
      </c>
      <c r="I101" s="50">
        <f>IF($T101="","",IF($S101="S",IF(INDEX(Firms!$H$5:$H$1004,$T101)="","",INDEX(Firms!$H$5:$H$1004,$T101)),IF(INDEX('AFA Rates'!$G$5:$G$1004,$T101)="","",INDEX('AFA Rates'!$G$5:$G$1004,$T101))))</f>
        <v/>
      </c>
      <c r="J101" s="50">
        <f>IF($T101="","",IF($S101="S",IF(INDEX(Firms!$I$5:$I$1004,$T101)="","",INDEX(Firms!$I$5:$I$1004,$T101)),IF(INDEX('AFA Rates'!$H$5:$H$1004,$T101)="","",INDEX('AFA Rates'!$H$5:$H$1004,$T101))))</f>
        <v/>
      </c>
      <c r="K101" s="50">
        <f>IF($T101="","",IF($S101="S",IF(INDEX(Firms!$J$5:$J$1004,$T101)="","",INDEX(Firms!$J$5:$J$1004,$T101)),IF(INDEX('AFA Rates'!$I$5:$I$1004,$T101)="","",INDEX('AFA Rates'!$I$5:$I$1004,$T101))))</f>
        <v/>
      </c>
      <c r="L101" s="50">
        <f>IF($T101="","",IF($S101="S",IF(INDEX(Firms!$K$5:$K$1004,$T101)="","",INDEX(Firms!$K$5:$K$1004,$T101)),IF(INDEX('AFA Rates'!$J$5:$J$1004,$T101)="","",INDEX('AFA Rates'!$J$5:$J$1004,$T101))))</f>
        <v/>
      </c>
      <c r="M101" s="50">
        <f>IF($T101="","",IF($S101="S",IF(INDEX(Firms!$L$5:$L$1004,$T101)="","",INDEX(Firms!$L$5:$L$1004,$T101)),IF(INDEX('AFA Rates'!$K$5:$K$1004,$T101)="","",INDEX('AFA Rates'!$K$5:$K$1004,$T101))))</f>
        <v/>
      </c>
      <c r="N101" s="50">
        <f>IF($T101="","",IF($S101="S",IF(INDEX(Firms!$M$5:$M$1004,$T101)="","",INDEX(Firms!$M$5:$M$1004,$T101)),IF(INDEX('AFA Rates'!$L$5:$L$1004,$T101)="","",INDEX('AFA Rates'!$L$5:$L$1004,$T101))))</f>
        <v/>
      </c>
      <c r="O101" s="78">
        <f>IF(OR($T101="",$U101=""),"",IF(INDEX(Firms!$C$5:$C$1004,$U101)="","",INDEX(Firms!$C$5:$C$1004,$U101)))</f>
        <v/>
      </c>
      <c r="P101" s="79">
        <f>IF(OR($T101="",$U101=""),"",IF(INDEX(Firms!$N$5:$N$1004,$U101)="","",INDEX(Firms!$N$5:$N$1004,$U101)))</f>
        <v/>
      </c>
      <c r="Q101" s="78">
        <f>IF($T101="","",IF($S101="S",IF(INDEX(Firms!$T$5:$T$1004,$T101)="","",INDEX(Firms!$T$5:$T$1004,$T101)),IF(INDEX('AFA Rates'!$M$5:$M$1004,$T101)="","",INDEX('AFA Rates'!$M$5:$M$1004,$T101))))</f>
        <v/>
      </c>
      <c r="S101">
        <f>IF(97&lt;=$S$2,"S",IF(97&lt;=$S$2+$T$2,"A",""))</f>
        <v/>
      </c>
      <c r="T101">
        <f>IF(S101="S",MATCH(97,Firms!$W$5:$W$1004,0),IF(S101="A",IFERROR(MATCH(97-$S$2,'AFA Rates'!$R$5:$R$1004,0),""),""))</f>
        <v/>
      </c>
      <c r="U101">
        <f>IF(S101="S",T101,IF(AND(S101="A",T101&lt;&gt;""),IFERROR(MATCH(INDEX('AFA Rates'!$A$5:$A$1004,T101),Firms!$A$5:$A$1004,0),""),""))</f>
        <v/>
      </c>
    </row>
    <row r="102">
      <c r="A102" s="78">
        <f>IF($T102="","",IF($S102="S",IF(INDEX(Firms!$A$5:$A$1004,$T102)="","",INDEX(Firms!$A$5:$A$1004,$T102)),IF(INDEX('AFA Rates'!$A$5:$A$1004,$T102)="","",INDEX('AFA Rates'!$A$5:$A$1004,$T102))))</f>
        <v/>
      </c>
      <c r="B102" s="79">
        <f>IF(OR($T102="",$U102=""),IF($T102="","","Not on Firms tab"),INDEX(Firms!$B$5:$B$1004,$U102)&amp;"")</f>
        <v/>
      </c>
      <c r="C102" s="78">
        <f>IF($T102="","",IF($S102="S","Standard",INDEX('AFA Rates'!$B$5:$B$1004,$T102)&amp;""))</f>
        <v/>
      </c>
      <c r="D102" s="88">
        <f>IF($T102="","",IF($S102="S",IF(INDEX(Firms!$E$5:$E$1004,$T102)="","",INDEX(Firms!$E$5:$E$1004,$T102)),IF(INDEX('AFA Rates'!$C$5:$C$1004,$T102)="","",INDEX('AFA Rates'!$C$5:$C$1004,$T102))))</f>
        <v/>
      </c>
      <c r="E102" s="88">
        <f>IF($T102="","",IF($S102="S",IF(""="","",""),IF(INDEX('AFA Rates'!$D$5:$D$1004,$T102)="","",INDEX('AFA Rates'!$D$5:$D$1004,$T102))))</f>
        <v/>
      </c>
      <c r="F102" s="79">
        <f>IF($T102="","",IF($S102="S",IF(INDEX(Firms!$O$5:$O$1004,$T102)="","",INDEX(Firms!$O$5:$O$1004,$T102)),IF(INDEX('AFA Rates'!$O$5:$O$1004,$T102)="","",INDEX('AFA Rates'!$O$5:$O$1004,$T102))))</f>
        <v/>
      </c>
      <c r="G102" s="50">
        <f>IF($T102="","",IF($S102="S",IF(INDEX(Firms!$F$5:$F$1004,$T102)="","",INDEX(Firms!$F$5:$F$1004,$T102)),IF(INDEX('AFA Rates'!$E$5:$E$1004,$T102)="","",INDEX('AFA Rates'!$E$5:$E$1004,$T102))))</f>
        <v/>
      </c>
      <c r="H102" s="50">
        <f>IF($T102="","",IF($S102="S",IF(INDEX(Firms!$G$5:$G$1004,$T102)="","",INDEX(Firms!$G$5:$G$1004,$T102)),IF(INDEX('AFA Rates'!$F$5:$F$1004,$T102)="","",INDEX('AFA Rates'!$F$5:$F$1004,$T102))))</f>
        <v/>
      </c>
      <c r="I102" s="50">
        <f>IF($T102="","",IF($S102="S",IF(INDEX(Firms!$H$5:$H$1004,$T102)="","",INDEX(Firms!$H$5:$H$1004,$T102)),IF(INDEX('AFA Rates'!$G$5:$G$1004,$T102)="","",INDEX('AFA Rates'!$G$5:$G$1004,$T102))))</f>
        <v/>
      </c>
      <c r="J102" s="50">
        <f>IF($T102="","",IF($S102="S",IF(INDEX(Firms!$I$5:$I$1004,$T102)="","",INDEX(Firms!$I$5:$I$1004,$T102)),IF(INDEX('AFA Rates'!$H$5:$H$1004,$T102)="","",INDEX('AFA Rates'!$H$5:$H$1004,$T102))))</f>
        <v/>
      </c>
      <c r="K102" s="50">
        <f>IF($T102="","",IF($S102="S",IF(INDEX(Firms!$J$5:$J$1004,$T102)="","",INDEX(Firms!$J$5:$J$1004,$T102)),IF(INDEX('AFA Rates'!$I$5:$I$1004,$T102)="","",INDEX('AFA Rates'!$I$5:$I$1004,$T102))))</f>
        <v/>
      </c>
      <c r="L102" s="50">
        <f>IF($T102="","",IF($S102="S",IF(INDEX(Firms!$K$5:$K$1004,$T102)="","",INDEX(Firms!$K$5:$K$1004,$T102)),IF(INDEX('AFA Rates'!$J$5:$J$1004,$T102)="","",INDEX('AFA Rates'!$J$5:$J$1004,$T102))))</f>
        <v/>
      </c>
      <c r="M102" s="50">
        <f>IF($T102="","",IF($S102="S",IF(INDEX(Firms!$L$5:$L$1004,$T102)="","",INDEX(Firms!$L$5:$L$1004,$T102)),IF(INDEX('AFA Rates'!$K$5:$K$1004,$T102)="","",INDEX('AFA Rates'!$K$5:$K$1004,$T102))))</f>
        <v/>
      </c>
      <c r="N102" s="50">
        <f>IF($T102="","",IF($S102="S",IF(INDEX(Firms!$M$5:$M$1004,$T102)="","",INDEX(Firms!$M$5:$M$1004,$T102)),IF(INDEX('AFA Rates'!$L$5:$L$1004,$T102)="","",INDEX('AFA Rates'!$L$5:$L$1004,$T102))))</f>
        <v/>
      </c>
      <c r="O102" s="78">
        <f>IF(OR($T102="",$U102=""),"",IF(INDEX(Firms!$C$5:$C$1004,$U102)="","",INDEX(Firms!$C$5:$C$1004,$U102)))</f>
        <v/>
      </c>
      <c r="P102" s="79">
        <f>IF(OR($T102="",$U102=""),"",IF(INDEX(Firms!$N$5:$N$1004,$U102)="","",INDEX(Firms!$N$5:$N$1004,$U102)))</f>
        <v/>
      </c>
      <c r="Q102" s="78">
        <f>IF($T102="","",IF($S102="S",IF(INDEX(Firms!$T$5:$T$1004,$T102)="","",INDEX(Firms!$T$5:$T$1004,$T102)),IF(INDEX('AFA Rates'!$M$5:$M$1004,$T102)="","",INDEX('AFA Rates'!$M$5:$M$1004,$T102))))</f>
        <v/>
      </c>
      <c r="S102">
        <f>IF(98&lt;=$S$2,"S",IF(98&lt;=$S$2+$T$2,"A",""))</f>
        <v/>
      </c>
      <c r="T102">
        <f>IF(S102="S",MATCH(98,Firms!$W$5:$W$1004,0),IF(S102="A",IFERROR(MATCH(98-$S$2,'AFA Rates'!$R$5:$R$1004,0),""),""))</f>
        <v/>
      </c>
      <c r="U102">
        <f>IF(S102="S",T102,IF(AND(S102="A",T102&lt;&gt;""),IFERROR(MATCH(INDEX('AFA Rates'!$A$5:$A$1004,T102),Firms!$A$5:$A$1004,0),""),""))</f>
        <v/>
      </c>
    </row>
    <row r="103">
      <c r="A103" s="78">
        <f>IF($T103="","",IF($S103="S",IF(INDEX(Firms!$A$5:$A$1004,$T103)="","",INDEX(Firms!$A$5:$A$1004,$T103)),IF(INDEX('AFA Rates'!$A$5:$A$1004,$T103)="","",INDEX('AFA Rates'!$A$5:$A$1004,$T103))))</f>
        <v/>
      </c>
      <c r="B103" s="79">
        <f>IF(OR($T103="",$U103=""),IF($T103="","","Not on Firms tab"),INDEX(Firms!$B$5:$B$1004,$U103)&amp;"")</f>
        <v/>
      </c>
      <c r="C103" s="78">
        <f>IF($T103="","",IF($S103="S","Standard",INDEX('AFA Rates'!$B$5:$B$1004,$T103)&amp;""))</f>
        <v/>
      </c>
      <c r="D103" s="88">
        <f>IF($T103="","",IF($S103="S",IF(INDEX(Firms!$E$5:$E$1004,$T103)="","",INDEX(Firms!$E$5:$E$1004,$T103)),IF(INDEX('AFA Rates'!$C$5:$C$1004,$T103)="","",INDEX('AFA Rates'!$C$5:$C$1004,$T103))))</f>
        <v/>
      </c>
      <c r="E103" s="88">
        <f>IF($T103="","",IF($S103="S",IF(""="","",""),IF(INDEX('AFA Rates'!$D$5:$D$1004,$T103)="","",INDEX('AFA Rates'!$D$5:$D$1004,$T103))))</f>
        <v/>
      </c>
      <c r="F103" s="79">
        <f>IF($T103="","",IF($S103="S",IF(INDEX(Firms!$O$5:$O$1004,$T103)="","",INDEX(Firms!$O$5:$O$1004,$T103)),IF(INDEX('AFA Rates'!$O$5:$O$1004,$T103)="","",INDEX('AFA Rates'!$O$5:$O$1004,$T103))))</f>
        <v/>
      </c>
      <c r="G103" s="50">
        <f>IF($T103="","",IF($S103="S",IF(INDEX(Firms!$F$5:$F$1004,$T103)="","",INDEX(Firms!$F$5:$F$1004,$T103)),IF(INDEX('AFA Rates'!$E$5:$E$1004,$T103)="","",INDEX('AFA Rates'!$E$5:$E$1004,$T103))))</f>
        <v/>
      </c>
      <c r="H103" s="50">
        <f>IF($T103="","",IF($S103="S",IF(INDEX(Firms!$G$5:$G$1004,$T103)="","",INDEX(Firms!$G$5:$G$1004,$T103)),IF(INDEX('AFA Rates'!$F$5:$F$1004,$T103)="","",INDEX('AFA Rates'!$F$5:$F$1004,$T103))))</f>
        <v/>
      </c>
      <c r="I103" s="50">
        <f>IF($T103="","",IF($S103="S",IF(INDEX(Firms!$H$5:$H$1004,$T103)="","",INDEX(Firms!$H$5:$H$1004,$T103)),IF(INDEX('AFA Rates'!$G$5:$G$1004,$T103)="","",INDEX('AFA Rates'!$G$5:$G$1004,$T103))))</f>
        <v/>
      </c>
      <c r="J103" s="50">
        <f>IF($T103="","",IF($S103="S",IF(INDEX(Firms!$I$5:$I$1004,$T103)="","",INDEX(Firms!$I$5:$I$1004,$T103)),IF(INDEX('AFA Rates'!$H$5:$H$1004,$T103)="","",INDEX('AFA Rates'!$H$5:$H$1004,$T103))))</f>
        <v/>
      </c>
      <c r="K103" s="50">
        <f>IF($T103="","",IF($S103="S",IF(INDEX(Firms!$J$5:$J$1004,$T103)="","",INDEX(Firms!$J$5:$J$1004,$T103)),IF(INDEX('AFA Rates'!$I$5:$I$1004,$T103)="","",INDEX('AFA Rates'!$I$5:$I$1004,$T103))))</f>
        <v/>
      </c>
      <c r="L103" s="50">
        <f>IF($T103="","",IF($S103="S",IF(INDEX(Firms!$K$5:$K$1004,$T103)="","",INDEX(Firms!$K$5:$K$1004,$T103)),IF(INDEX('AFA Rates'!$J$5:$J$1004,$T103)="","",INDEX('AFA Rates'!$J$5:$J$1004,$T103))))</f>
        <v/>
      </c>
      <c r="M103" s="50">
        <f>IF($T103="","",IF($S103="S",IF(INDEX(Firms!$L$5:$L$1004,$T103)="","",INDEX(Firms!$L$5:$L$1004,$T103)),IF(INDEX('AFA Rates'!$K$5:$K$1004,$T103)="","",INDEX('AFA Rates'!$K$5:$K$1004,$T103))))</f>
        <v/>
      </c>
      <c r="N103" s="50">
        <f>IF($T103="","",IF($S103="S",IF(INDEX(Firms!$M$5:$M$1004,$T103)="","",INDEX(Firms!$M$5:$M$1004,$T103)),IF(INDEX('AFA Rates'!$L$5:$L$1004,$T103)="","",INDEX('AFA Rates'!$L$5:$L$1004,$T103))))</f>
        <v/>
      </c>
      <c r="O103" s="78">
        <f>IF(OR($T103="",$U103=""),"",IF(INDEX(Firms!$C$5:$C$1004,$U103)="","",INDEX(Firms!$C$5:$C$1004,$U103)))</f>
        <v/>
      </c>
      <c r="P103" s="79">
        <f>IF(OR($T103="",$U103=""),"",IF(INDEX(Firms!$N$5:$N$1004,$U103)="","",INDEX(Firms!$N$5:$N$1004,$U103)))</f>
        <v/>
      </c>
      <c r="Q103" s="78">
        <f>IF($T103="","",IF($S103="S",IF(INDEX(Firms!$T$5:$T$1004,$T103)="","",INDEX(Firms!$T$5:$T$1004,$T103)),IF(INDEX('AFA Rates'!$M$5:$M$1004,$T103)="","",INDEX('AFA Rates'!$M$5:$M$1004,$T103))))</f>
        <v/>
      </c>
      <c r="S103">
        <f>IF(99&lt;=$S$2,"S",IF(99&lt;=$S$2+$T$2,"A",""))</f>
        <v/>
      </c>
      <c r="T103">
        <f>IF(S103="S",MATCH(99,Firms!$W$5:$W$1004,0),IF(S103="A",IFERROR(MATCH(99-$S$2,'AFA Rates'!$R$5:$R$1004,0),""),""))</f>
        <v/>
      </c>
      <c r="U103">
        <f>IF(S103="S",T103,IF(AND(S103="A",T103&lt;&gt;""),IFERROR(MATCH(INDEX('AFA Rates'!$A$5:$A$1004,T103),Firms!$A$5:$A$1004,0),""),""))</f>
        <v/>
      </c>
    </row>
    <row r="104">
      <c r="A104" s="78">
        <f>IF($T104="","",IF($S104="S",IF(INDEX(Firms!$A$5:$A$1004,$T104)="","",INDEX(Firms!$A$5:$A$1004,$T104)),IF(INDEX('AFA Rates'!$A$5:$A$1004,$T104)="","",INDEX('AFA Rates'!$A$5:$A$1004,$T104))))</f>
        <v/>
      </c>
      <c r="B104" s="79">
        <f>IF(OR($T104="",$U104=""),IF($T104="","","Not on Firms tab"),INDEX(Firms!$B$5:$B$1004,$U104)&amp;"")</f>
        <v/>
      </c>
      <c r="C104" s="78">
        <f>IF($T104="","",IF($S104="S","Standard",INDEX('AFA Rates'!$B$5:$B$1004,$T104)&amp;""))</f>
        <v/>
      </c>
      <c r="D104" s="88">
        <f>IF($T104="","",IF($S104="S",IF(INDEX(Firms!$E$5:$E$1004,$T104)="","",INDEX(Firms!$E$5:$E$1004,$T104)),IF(INDEX('AFA Rates'!$C$5:$C$1004,$T104)="","",INDEX('AFA Rates'!$C$5:$C$1004,$T104))))</f>
        <v/>
      </c>
      <c r="E104" s="88">
        <f>IF($T104="","",IF($S104="S",IF(""="","",""),IF(INDEX('AFA Rates'!$D$5:$D$1004,$T104)="","",INDEX('AFA Rates'!$D$5:$D$1004,$T104))))</f>
        <v/>
      </c>
      <c r="F104" s="79">
        <f>IF($T104="","",IF($S104="S",IF(INDEX(Firms!$O$5:$O$1004,$T104)="","",INDEX(Firms!$O$5:$O$1004,$T104)),IF(INDEX('AFA Rates'!$O$5:$O$1004,$T104)="","",INDEX('AFA Rates'!$O$5:$O$1004,$T104))))</f>
        <v/>
      </c>
      <c r="G104" s="50">
        <f>IF($T104="","",IF($S104="S",IF(INDEX(Firms!$F$5:$F$1004,$T104)="","",INDEX(Firms!$F$5:$F$1004,$T104)),IF(INDEX('AFA Rates'!$E$5:$E$1004,$T104)="","",INDEX('AFA Rates'!$E$5:$E$1004,$T104))))</f>
        <v/>
      </c>
      <c r="H104" s="50">
        <f>IF($T104="","",IF($S104="S",IF(INDEX(Firms!$G$5:$G$1004,$T104)="","",INDEX(Firms!$G$5:$G$1004,$T104)),IF(INDEX('AFA Rates'!$F$5:$F$1004,$T104)="","",INDEX('AFA Rates'!$F$5:$F$1004,$T104))))</f>
        <v/>
      </c>
      <c r="I104" s="50">
        <f>IF($T104="","",IF($S104="S",IF(INDEX(Firms!$H$5:$H$1004,$T104)="","",INDEX(Firms!$H$5:$H$1004,$T104)),IF(INDEX('AFA Rates'!$G$5:$G$1004,$T104)="","",INDEX('AFA Rates'!$G$5:$G$1004,$T104))))</f>
        <v/>
      </c>
      <c r="J104" s="50">
        <f>IF($T104="","",IF($S104="S",IF(INDEX(Firms!$I$5:$I$1004,$T104)="","",INDEX(Firms!$I$5:$I$1004,$T104)),IF(INDEX('AFA Rates'!$H$5:$H$1004,$T104)="","",INDEX('AFA Rates'!$H$5:$H$1004,$T104))))</f>
        <v/>
      </c>
      <c r="K104" s="50">
        <f>IF($T104="","",IF($S104="S",IF(INDEX(Firms!$J$5:$J$1004,$T104)="","",INDEX(Firms!$J$5:$J$1004,$T104)),IF(INDEX('AFA Rates'!$I$5:$I$1004,$T104)="","",INDEX('AFA Rates'!$I$5:$I$1004,$T104))))</f>
        <v/>
      </c>
      <c r="L104" s="50">
        <f>IF($T104="","",IF($S104="S",IF(INDEX(Firms!$K$5:$K$1004,$T104)="","",INDEX(Firms!$K$5:$K$1004,$T104)),IF(INDEX('AFA Rates'!$J$5:$J$1004,$T104)="","",INDEX('AFA Rates'!$J$5:$J$1004,$T104))))</f>
        <v/>
      </c>
      <c r="M104" s="50">
        <f>IF($T104="","",IF($S104="S",IF(INDEX(Firms!$L$5:$L$1004,$T104)="","",INDEX(Firms!$L$5:$L$1004,$T104)),IF(INDEX('AFA Rates'!$K$5:$K$1004,$T104)="","",INDEX('AFA Rates'!$K$5:$K$1004,$T104))))</f>
        <v/>
      </c>
      <c r="N104" s="50">
        <f>IF($T104="","",IF($S104="S",IF(INDEX(Firms!$M$5:$M$1004,$T104)="","",INDEX(Firms!$M$5:$M$1004,$T104)),IF(INDEX('AFA Rates'!$L$5:$L$1004,$T104)="","",INDEX('AFA Rates'!$L$5:$L$1004,$T104))))</f>
        <v/>
      </c>
      <c r="O104" s="78">
        <f>IF(OR($T104="",$U104=""),"",IF(INDEX(Firms!$C$5:$C$1004,$U104)="","",INDEX(Firms!$C$5:$C$1004,$U104)))</f>
        <v/>
      </c>
      <c r="P104" s="79">
        <f>IF(OR($T104="",$U104=""),"",IF(INDEX(Firms!$N$5:$N$1004,$U104)="","",INDEX(Firms!$N$5:$N$1004,$U104)))</f>
        <v/>
      </c>
      <c r="Q104" s="78">
        <f>IF($T104="","",IF($S104="S",IF(INDEX(Firms!$T$5:$T$1004,$T104)="","",INDEX(Firms!$T$5:$T$1004,$T104)),IF(INDEX('AFA Rates'!$M$5:$M$1004,$T104)="","",INDEX('AFA Rates'!$M$5:$M$1004,$T104))))</f>
        <v/>
      </c>
      <c r="S104">
        <f>IF(100&lt;=$S$2,"S",IF(100&lt;=$S$2+$T$2,"A",""))</f>
        <v/>
      </c>
      <c r="T104">
        <f>IF(S104="S",MATCH(100,Firms!$W$5:$W$1004,0),IF(S104="A",IFERROR(MATCH(100-$S$2,'AFA Rates'!$R$5:$R$1004,0),""),""))</f>
        <v/>
      </c>
      <c r="U104">
        <f>IF(S104="S",T104,IF(AND(S104="A",T104&lt;&gt;""),IFERROR(MATCH(INDEX('AFA Rates'!$A$5:$A$1004,T104),Firms!$A$5:$A$1004,0),""),""))</f>
        <v/>
      </c>
    </row>
    <row r="105">
      <c r="A105" s="78">
        <f>IF($T105="","",IF($S105="S",IF(INDEX(Firms!$A$5:$A$1004,$T105)="","",INDEX(Firms!$A$5:$A$1004,$T105)),IF(INDEX('AFA Rates'!$A$5:$A$1004,$T105)="","",INDEX('AFA Rates'!$A$5:$A$1004,$T105))))</f>
        <v/>
      </c>
      <c r="B105" s="79">
        <f>IF(OR($T105="",$U105=""),IF($T105="","","Not on Firms tab"),INDEX(Firms!$B$5:$B$1004,$U105)&amp;"")</f>
        <v/>
      </c>
      <c r="C105" s="78">
        <f>IF($T105="","",IF($S105="S","Standard",INDEX('AFA Rates'!$B$5:$B$1004,$T105)&amp;""))</f>
        <v/>
      </c>
      <c r="D105" s="88">
        <f>IF($T105="","",IF($S105="S",IF(INDEX(Firms!$E$5:$E$1004,$T105)="","",INDEX(Firms!$E$5:$E$1004,$T105)),IF(INDEX('AFA Rates'!$C$5:$C$1004,$T105)="","",INDEX('AFA Rates'!$C$5:$C$1004,$T105))))</f>
        <v/>
      </c>
      <c r="E105" s="88">
        <f>IF($T105="","",IF($S105="S",IF(""="","",""),IF(INDEX('AFA Rates'!$D$5:$D$1004,$T105)="","",INDEX('AFA Rates'!$D$5:$D$1004,$T105))))</f>
        <v/>
      </c>
      <c r="F105" s="79">
        <f>IF($T105="","",IF($S105="S",IF(INDEX(Firms!$O$5:$O$1004,$T105)="","",INDEX(Firms!$O$5:$O$1004,$T105)),IF(INDEX('AFA Rates'!$O$5:$O$1004,$T105)="","",INDEX('AFA Rates'!$O$5:$O$1004,$T105))))</f>
        <v/>
      </c>
      <c r="G105" s="50">
        <f>IF($T105="","",IF($S105="S",IF(INDEX(Firms!$F$5:$F$1004,$T105)="","",INDEX(Firms!$F$5:$F$1004,$T105)),IF(INDEX('AFA Rates'!$E$5:$E$1004,$T105)="","",INDEX('AFA Rates'!$E$5:$E$1004,$T105))))</f>
        <v/>
      </c>
      <c r="H105" s="50">
        <f>IF($T105="","",IF($S105="S",IF(INDEX(Firms!$G$5:$G$1004,$T105)="","",INDEX(Firms!$G$5:$G$1004,$T105)),IF(INDEX('AFA Rates'!$F$5:$F$1004,$T105)="","",INDEX('AFA Rates'!$F$5:$F$1004,$T105))))</f>
        <v/>
      </c>
      <c r="I105" s="50">
        <f>IF($T105="","",IF($S105="S",IF(INDEX(Firms!$H$5:$H$1004,$T105)="","",INDEX(Firms!$H$5:$H$1004,$T105)),IF(INDEX('AFA Rates'!$G$5:$G$1004,$T105)="","",INDEX('AFA Rates'!$G$5:$G$1004,$T105))))</f>
        <v/>
      </c>
      <c r="J105" s="50">
        <f>IF($T105="","",IF($S105="S",IF(INDEX(Firms!$I$5:$I$1004,$T105)="","",INDEX(Firms!$I$5:$I$1004,$T105)),IF(INDEX('AFA Rates'!$H$5:$H$1004,$T105)="","",INDEX('AFA Rates'!$H$5:$H$1004,$T105))))</f>
        <v/>
      </c>
      <c r="K105" s="50">
        <f>IF($T105="","",IF($S105="S",IF(INDEX(Firms!$J$5:$J$1004,$T105)="","",INDEX(Firms!$J$5:$J$1004,$T105)),IF(INDEX('AFA Rates'!$I$5:$I$1004,$T105)="","",INDEX('AFA Rates'!$I$5:$I$1004,$T105))))</f>
        <v/>
      </c>
      <c r="L105" s="50">
        <f>IF($T105="","",IF($S105="S",IF(INDEX(Firms!$K$5:$K$1004,$T105)="","",INDEX(Firms!$K$5:$K$1004,$T105)),IF(INDEX('AFA Rates'!$J$5:$J$1004,$T105)="","",INDEX('AFA Rates'!$J$5:$J$1004,$T105))))</f>
        <v/>
      </c>
      <c r="M105" s="50">
        <f>IF($T105="","",IF($S105="S",IF(INDEX(Firms!$L$5:$L$1004,$T105)="","",INDEX(Firms!$L$5:$L$1004,$T105)),IF(INDEX('AFA Rates'!$K$5:$K$1004,$T105)="","",INDEX('AFA Rates'!$K$5:$K$1004,$T105))))</f>
        <v/>
      </c>
      <c r="N105" s="50">
        <f>IF($T105="","",IF($S105="S",IF(INDEX(Firms!$M$5:$M$1004,$T105)="","",INDEX(Firms!$M$5:$M$1004,$T105)),IF(INDEX('AFA Rates'!$L$5:$L$1004,$T105)="","",INDEX('AFA Rates'!$L$5:$L$1004,$T105))))</f>
        <v/>
      </c>
      <c r="O105" s="78">
        <f>IF(OR($T105="",$U105=""),"",IF(INDEX(Firms!$C$5:$C$1004,$U105)="","",INDEX(Firms!$C$5:$C$1004,$U105)))</f>
        <v/>
      </c>
      <c r="P105" s="79">
        <f>IF(OR($T105="",$U105=""),"",IF(INDEX(Firms!$N$5:$N$1004,$U105)="","",INDEX(Firms!$N$5:$N$1004,$U105)))</f>
        <v/>
      </c>
      <c r="Q105" s="78">
        <f>IF($T105="","",IF($S105="S",IF(INDEX(Firms!$T$5:$T$1004,$T105)="","",INDEX(Firms!$T$5:$T$1004,$T105)),IF(INDEX('AFA Rates'!$M$5:$M$1004,$T105)="","",INDEX('AFA Rates'!$M$5:$M$1004,$T105))))</f>
        <v/>
      </c>
      <c r="S105">
        <f>IF(101&lt;=$S$2,"S",IF(101&lt;=$S$2+$T$2,"A",""))</f>
        <v/>
      </c>
      <c r="T105">
        <f>IF(S105="S",MATCH(101,Firms!$W$5:$W$1004,0),IF(S105="A",IFERROR(MATCH(101-$S$2,'AFA Rates'!$R$5:$R$1004,0),""),""))</f>
        <v/>
      </c>
      <c r="U105">
        <f>IF(S105="S",T105,IF(AND(S105="A",T105&lt;&gt;""),IFERROR(MATCH(INDEX('AFA Rates'!$A$5:$A$1004,T105),Firms!$A$5:$A$1004,0),""),""))</f>
        <v/>
      </c>
    </row>
    <row r="106">
      <c r="A106" s="78">
        <f>IF($T106="","",IF($S106="S",IF(INDEX(Firms!$A$5:$A$1004,$T106)="","",INDEX(Firms!$A$5:$A$1004,$T106)),IF(INDEX('AFA Rates'!$A$5:$A$1004,$T106)="","",INDEX('AFA Rates'!$A$5:$A$1004,$T106))))</f>
        <v/>
      </c>
      <c r="B106" s="79">
        <f>IF(OR($T106="",$U106=""),IF($T106="","","Not on Firms tab"),INDEX(Firms!$B$5:$B$1004,$U106)&amp;"")</f>
        <v/>
      </c>
      <c r="C106" s="78">
        <f>IF($T106="","",IF($S106="S","Standard",INDEX('AFA Rates'!$B$5:$B$1004,$T106)&amp;""))</f>
        <v/>
      </c>
      <c r="D106" s="88">
        <f>IF($T106="","",IF($S106="S",IF(INDEX(Firms!$E$5:$E$1004,$T106)="","",INDEX(Firms!$E$5:$E$1004,$T106)),IF(INDEX('AFA Rates'!$C$5:$C$1004,$T106)="","",INDEX('AFA Rates'!$C$5:$C$1004,$T106))))</f>
        <v/>
      </c>
      <c r="E106" s="88">
        <f>IF($T106="","",IF($S106="S",IF(""="","",""),IF(INDEX('AFA Rates'!$D$5:$D$1004,$T106)="","",INDEX('AFA Rates'!$D$5:$D$1004,$T106))))</f>
        <v/>
      </c>
      <c r="F106" s="79">
        <f>IF($T106="","",IF($S106="S",IF(INDEX(Firms!$O$5:$O$1004,$T106)="","",INDEX(Firms!$O$5:$O$1004,$T106)),IF(INDEX('AFA Rates'!$O$5:$O$1004,$T106)="","",INDEX('AFA Rates'!$O$5:$O$1004,$T106))))</f>
        <v/>
      </c>
      <c r="G106" s="50">
        <f>IF($T106="","",IF($S106="S",IF(INDEX(Firms!$F$5:$F$1004,$T106)="","",INDEX(Firms!$F$5:$F$1004,$T106)),IF(INDEX('AFA Rates'!$E$5:$E$1004,$T106)="","",INDEX('AFA Rates'!$E$5:$E$1004,$T106))))</f>
        <v/>
      </c>
      <c r="H106" s="50">
        <f>IF($T106="","",IF($S106="S",IF(INDEX(Firms!$G$5:$G$1004,$T106)="","",INDEX(Firms!$G$5:$G$1004,$T106)),IF(INDEX('AFA Rates'!$F$5:$F$1004,$T106)="","",INDEX('AFA Rates'!$F$5:$F$1004,$T106))))</f>
        <v/>
      </c>
      <c r="I106" s="50">
        <f>IF($T106="","",IF($S106="S",IF(INDEX(Firms!$H$5:$H$1004,$T106)="","",INDEX(Firms!$H$5:$H$1004,$T106)),IF(INDEX('AFA Rates'!$G$5:$G$1004,$T106)="","",INDEX('AFA Rates'!$G$5:$G$1004,$T106))))</f>
        <v/>
      </c>
      <c r="J106" s="50">
        <f>IF($T106="","",IF($S106="S",IF(INDEX(Firms!$I$5:$I$1004,$T106)="","",INDEX(Firms!$I$5:$I$1004,$T106)),IF(INDEX('AFA Rates'!$H$5:$H$1004,$T106)="","",INDEX('AFA Rates'!$H$5:$H$1004,$T106))))</f>
        <v/>
      </c>
      <c r="K106" s="50">
        <f>IF($T106="","",IF($S106="S",IF(INDEX(Firms!$J$5:$J$1004,$T106)="","",INDEX(Firms!$J$5:$J$1004,$T106)),IF(INDEX('AFA Rates'!$I$5:$I$1004,$T106)="","",INDEX('AFA Rates'!$I$5:$I$1004,$T106))))</f>
        <v/>
      </c>
      <c r="L106" s="50">
        <f>IF($T106="","",IF($S106="S",IF(INDEX(Firms!$K$5:$K$1004,$T106)="","",INDEX(Firms!$K$5:$K$1004,$T106)),IF(INDEX('AFA Rates'!$J$5:$J$1004,$T106)="","",INDEX('AFA Rates'!$J$5:$J$1004,$T106))))</f>
        <v/>
      </c>
      <c r="M106" s="50">
        <f>IF($T106="","",IF($S106="S",IF(INDEX(Firms!$L$5:$L$1004,$T106)="","",INDEX(Firms!$L$5:$L$1004,$T106)),IF(INDEX('AFA Rates'!$K$5:$K$1004,$T106)="","",INDEX('AFA Rates'!$K$5:$K$1004,$T106))))</f>
        <v/>
      </c>
      <c r="N106" s="50">
        <f>IF($T106="","",IF($S106="S",IF(INDEX(Firms!$M$5:$M$1004,$T106)="","",INDEX(Firms!$M$5:$M$1004,$T106)),IF(INDEX('AFA Rates'!$L$5:$L$1004,$T106)="","",INDEX('AFA Rates'!$L$5:$L$1004,$T106))))</f>
        <v/>
      </c>
      <c r="O106" s="78">
        <f>IF(OR($T106="",$U106=""),"",IF(INDEX(Firms!$C$5:$C$1004,$U106)="","",INDEX(Firms!$C$5:$C$1004,$U106)))</f>
        <v/>
      </c>
      <c r="P106" s="79">
        <f>IF(OR($T106="",$U106=""),"",IF(INDEX(Firms!$N$5:$N$1004,$U106)="","",INDEX(Firms!$N$5:$N$1004,$U106)))</f>
        <v/>
      </c>
      <c r="Q106" s="78">
        <f>IF($T106="","",IF($S106="S",IF(INDEX(Firms!$T$5:$T$1004,$T106)="","",INDEX(Firms!$T$5:$T$1004,$T106)),IF(INDEX('AFA Rates'!$M$5:$M$1004,$T106)="","",INDEX('AFA Rates'!$M$5:$M$1004,$T106))))</f>
        <v/>
      </c>
      <c r="S106">
        <f>IF(102&lt;=$S$2,"S",IF(102&lt;=$S$2+$T$2,"A",""))</f>
        <v/>
      </c>
      <c r="T106">
        <f>IF(S106="S",MATCH(102,Firms!$W$5:$W$1004,0),IF(S106="A",IFERROR(MATCH(102-$S$2,'AFA Rates'!$R$5:$R$1004,0),""),""))</f>
        <v/>
      </c>
      <c r="U106">
        <f>IF(S106="S",T106,IF(AND(S106="A",T106&lt;&gt;""),IFERROR(MATCH(INDEX('AFA Rates'!$A$5:$A$1004,T106),Firms!$A$5:$A$1004,0),""),""))</f>
        <v/>
      </c>
    </row>
    <row r="107">
      <c r="A107" s="78">
        <f>IF($T107="","",IF($S107="S",IF(INDEX(Firms!$A$5:$A$1004,$T107)="","",INDEX(Firms!$A$5:$A$1004,$T107)),IF(INDEX('AFA Rates'!$A$5:$A$1004,$T107)="","",INDEX('AFA Rates'!$A$5:$A$1004,$T107))))</f>
        <v/>
      </c>
      <c r="B107" s="79">
        <f>IF(OR($T107="",$U107=""),IF($T107="","","Not on Firms tab"),INDEX(Firms!$B$5:$B$1004,$U107)&amp;"")</f>
        <v/>
      </c>
      <c r="C107" s="78">
        <f>IF($T107="","",IF($S107="S","Standard",INDEX('AFA Rates'!$B$5:$B$1004,$T107)&amp;""))</f>
        <v/>
      </c>
      <c r="D107" s="88">
        <f>IF($T107="","",IF($S107="S",IF(INDEX(Firms!$E$5:$E$1004,$T107)="","",INDEX(Firms!$E$5:$E$1004,$T107)),IF(INDEX('AFA Rates'!$C$5:$C$1004,$T107)="","",INDEX('AFA Rates'!$C$5:$C$1004,$T107))))</f>
        <v/>
      </c>
      <c r="E107" s="88">
        <f>IF($T107="","",IF($S107="S",IF(""="","",""),IF(INDEX('AFA Rates'!$D$5:$D$1004,$T107)="","",INDEX('AFA Rates'!$D$5:$D$1004,$T107))))</f>
        <v/>
      </c>
      <c r="F107" s="79">
        <f>IF($T107="","",IF($S107="S",IF(INDEX(Firms!$O$5:$O$1004,$T107)="","",INDEX(Firms!$O$5:$O$1004,$T107)),IF(INDEX('AFA Rates'!$O$5:$O$1004,$T107)="","",INDEX('AFA Rates'!$O$5:$O$1004,$T107))))</f>
        <v/>
      </c>
      <c r="G107" s="50">
        <f>IF($T107="","",IF($S107="S",IF(INDEX(Firms!$F$5:$F$1004,$T107)="","",INDEX(Firms!$F$5:$F$1004,$T107)),IF(INDEX('AFA Rates'!$E$5:$E$1004,$T107)="","",INDEX('AFA Rates'!$E$5:$E$1004,$T107))))</f>
        <v/>
      </c>
      <c r="H107" s="50">
        <f>IF($T107="","",IF($S107="S",IF(INDEX(Firms!$G$5:$G$1004,$T107)="","",INDEX(Firms!$G$5:$G$1004,$T107)),IF(INDEX('AFA Rates'!$F$5:$F$1004,$T107)="","",INDEX('AFA Rates'!$F$5:$F$1004,$T107))))</f>
        <v/>
      </c>
      <c r="I107" s="50">
        <f>IF($T107="","",IF($S107="S",IF(INDEX(Firms!$H$5:$H$1004,$T107)="","",INDEX(Firms!$H$5:$H$1004,$T107)),IF(INDEX('AFA Rates'!$G$5:$G$1004,$T107)="","",INDEX('AFA Rates'!$G$5:$G$1004,$T107))))</f>
        <v/>
      </c>
      <c r="J107" s="50">
        <f>IF($T107="","",IF($S107="S",IF(INDEX(Firms!$I$5:$I$1004,$T107)="","",INDEX(Firms!$I$5:$I$1004,$T107)),IF(INDEX('AFA Rates'!$H$5:$H$1004,$T107)="","",INDEX('AFA Rates'!$H$5:$H$1004,$T107))))</f>
        <v/>
      </c>
      <c r="K107" s="50">
        <f>IF($T107="","",IF($S107="S",IF(INDEX(Firms!$J$5:$J$1004,$T107)="","",INDEX(Firms!$J$5:$J$1004,$T107)),IF(INDEX('AFA Rates'!$I$5:$I$1004,$T107)="","",INDEX('AFA Rates'!$I$5:$I$1004,$T107))))</f>
        <v/>
      </c>
      <c r="L107" s="50">
        <f>IF($T107="","",IF($S107="S",IF(INDEX(Firms!$K$5:$K$1004,$T107)="","",INDEX(Firms!$K$5:$K$1004,$T107)),IF(INDEX('AFA Rates'!$J$5:$J$1004,$T107)="","",INDEX('AFA Rates'!$J$5:$J$1004,$T107))))</f>
        <v/>
      </c>
      <c r="M107" s="50">
        <f>IF($T107="","",IF($S107="S",IF(INDEX(Firms!$L$5:$L$1004,$T107)="","",INDEX(Firms!$L$5:$L$1004,$T107)),IF(INDEX('AFA Rates'!$K$5:$K$1004,$T107)="","",INDEX('AFA Rates'!$K$5:$K$1004,$T107))))</f>
        <v/>
      </c>
      <c r="N107" s="50">
        <f>IF($T107="","",IF($S107="S",IF(INDEX(Firms!$M$5:$M$1004,$T107)="","",INDEX(Firms!$M$5:$M$1004,$T107)),IF(INDEX('AFA Rates'!$L$5:$L$1004,$T107)="","",INDEX('AFA Rates'!$L$5:$L$1004,$T107))))</f>
        <v/>
      </c>
      <c r="O107" s="78">
        <f>IF(OR($T107="",$U107=""),"",IF(INDEX(Firms!$C$5:$C$1004,$U107)="","",INDEX(Firms!$C$5:$C$1004,$U107)))</f>
        <v/>
      </c>
      <c r="P107" s="79">
        <f>IF(OR($T107="",$U107=""),"",IF(INDEX(Firms!$N$5:$N$1004,$U107)="","",INDEX(Firms!$N$5:$N$1004,$U107)))</f>
        <v/>
      </c>
      <c r="Q107" s="78">
        <f>IF($T107="","",IF($S107="S",IF(INDEX(Firms!$T$5:$T$1004,$T107)="","",INDEX(Firms!$T$5:$T$1004,$T107)),IF(INDEX('AFA Rates'!$M$5:$M$1004,$T107)="","",INDEX('AFA Rates'!$M$5:$M$1004,$T107))))</f>
        <v/>
      </c>
      <c r="S107">
        <f>IF(103&lt;=$S$2,"S",IF(103&lt;=$S$2+$T$2,"A",""))</f>
        <v/>
      </c>
      <c r="T107">
        <f>IF(S107="S",MATCH(103,Firms!$W$5:$W$1004,0),IF(S107="A",IFERROR(MATCH(103-$S$2,'AFA Rates'!$R$5:$R$1004,0),""),""))</f>
        <v/>
      </c>
      <c r="U107">
        <f>IF(S107="S",T107,IF(AND(S107="A",T107&lt;&gt;""),IFERROR(MATCH(INDEX('AFA Rates'!$A$5:$A$1004,T107),Firms!$A$5:$A$1004,0),""),""))</f>
        <v/>
      </c>
    </row>
    <row r="108">
      <c r="A108" s="78">
        <f>IF($T108="","",IF($S108="S",IF(INDEX(Firms!$A$5:$A$1004,$T108)="","",INDEX(Firms!$A$5:$A$1004,$T108)),IF(INDEX('AFA Rates'!$A$5:$A$1004,$T108)="","",INDEX('AFA Rates'!$A$5:$A$1004,$T108))))</f>
        <v/>
      </c>
      <c r="B108" s="79">
        <f>IF(OR($T108="",$U108=""),IF($T108="","","Not on Firms tab"),INDEX(Firms!$B$5:$B$1004,$U108)&amp;"")</f>
        <v/>
      </c>
      <c r="C108" s="78">
        <f>IF($T108="","",IF($S108="S","Standard",INDEX('AFA Rates'!$B$5:$B$1004,$T108)&amp;""))</f>
        <v/>
      </c>
      <c r="D108" s="88">
        <f>IF($T108="","",IF($S108="S",IF(INDEX(Firms!$E$5:$E$1004,$T108)="","",INDEX(Firms!$E$5:$E$1004,$T108)),IF(INDEX('AFA Rates'!$C$5:$C$1004,$T108)="","",INDEX('AFA Rates'!$C$5:$C$1004,$T108))))</f>
        <v/>
      </c>
      <c r="E108" s="88">
        <f>IF($T108="","",IF($S108="S",IF(""="","",""),IF(INDEX('AFA Rates'!$D$5:$D$1004,$T108)="","",INDEX('AFA Rates'!$D$5:$D$1004,$T108))))</f>
        <v/>
      </c>
      <c r="F108" s="79">
        <f>IF($T108="","",IF($S108="S",IF(INDEX(Firms!$O$5:$O$1004,$T108)="","",INDEX(Firms!$O$5:$O$1004,$T108)),IF(INDEX('AFA Rates'!$O$5:$O$1004,$T108)="","",INDEX('AFA Rates'!$O$5:$O$1004,$T108))))</f>
        <v/>
      </c>
      <c r="G108" s="50">
        <f>IF($T108="","",IF($S108="S",IF(INDEX(Firms!$F$5:$F$1004,$T108)="","",INDEX(Firms!$F$5:$F$1004,$T108)),IF(INDEX('AFA Rates'!$E$5:$E$1004,$T108)="","",INDEX('AFA Rates'!$E$5:$E$1004,$T108))))</f>
        <v/>
      </c>
      <c r="H108" s="50">
        <f>IF($T108="","",IF($S108="S",IF(INDEX(Firms!$G$5:$G$1004,$T108)="","",INDEX(Firms!$G$5:$G$1004,$T108)),IF(INDEX('AFA Rates'!$F$5:$F$1004,$T108)="","",INDEX('AFA Rates'!$F$5:$F$1004,$T108))))</f>
        <v/>
      </c>
      <c r="I108" s="50">
        <f>IF($T108="","",IF($S108="S",IF(INDEX(Firms!$H$5:$H$1004,$T108)="","",INDEX(Firms!$H$5:$H$1004,$T108)),IF(INDEX('AFA Rates'!$G$5:$G$1004,$T108)="","",INDEX('AFA Rates'!$G$5:$G$1004,$T108))))</f>
        <v/>
      </c>
      <c r="J108" s="50">
        <f>IF($T108="","",IF($S108="S",IF(INDEX(Firms!$I$5:$I$1004,$T108)="","",INDEX(Firms!$I$5:$I$1004,$T108)),IF(INDEX('AFA Rates'!$H$5:$H$1004,$T108)="","",INDEX('AFA Rates'!$H$5:$H$1004,$T108))))</f>
        <v/>
      </c>
      <c r="K108" s="50">
        <f>IF($T108="","",IF($S108="S",IF(INDEX(Firms!$J$5:$J$1004,$T108)="","",INDEX(Firms!$J$5:$J$1004,$T108)),IF(INDEX('AFA Rates'!$I$5:$I$1004,$T108)="","",INDEX('AFA Rates'!$I$5:$I$1004,$T108))))</f>
        <v/>
      </c>
      <c r="L108" s="50">
        <f>IF($T108="","",IF($S108="S",IF(INDEX(Firms!$K$5:$K$1004,$T108)="","",INDEX(Firms!$K$5:$K$1004,$T108)),IF(INDEX('AFA Rates'!$J$5:$J$1004,$T108)="","",INDEX('AFA Rates'!$J$5:$J$1004,$T108))))</f>
        <v/>
      </c>
      <c r="M108" s="50">
        <f>IF($T108="","",IF($S108="S",IF(INDEX(Firms!$L$5:$L$1004,$T108)="","",INDEX(Firms!$L$5:$L$1004,$T108)),IF(INDEX('AFA Rates'!$K$5:$K$1004,$T108)="","",INDEX('AFA Rates'!$K$5:$K$1004,$T108))))</f>
        <v/>
      </c>
      <c r="N108" s="50">
        <f>IF($T108="","",IF($S108="S",IF(INDEX(Firms!$M$5:$M$1004,$T108)="","",INDEX(Firms!$M$5:$M$1004,$T108)),IF(INDEX('AFA Rates'!$L$5:$L$1004,$T108)="","",INDEX('AFA Rates'!$L$5:$L$1004,$T108))))</f>
        <v/>
      </c>
      <c r="O108" s="78">
        <f>IF(OR($T108="",$U108=""),"",IF(INDEX(Firms!$C$5:$C$1004,$U108)="","",INDEX(Firms!$C$5:$C$1004,$U108)))</f>
        <v/>
      </c>
      <c r="P108" s="79">
        <f>IF(OR($T108="",$U108=""),"",IF(INDEX(Firms!$N$5:$N$1004,$U108)="","",INDEX(Firms!$N$5:$N$1004,$U108)))</f>
        <v/>
      </c>
      <c r="Q108" s="78">
        <f>IF($T108="","",IF($S108="S",IF(INDEX(Firms!$T$5:$T$1004,$T108)="","",INDEX(Firms!$T$5:$T$1004,$T108)),IF(INDEX('AFA Rates'!$M$5:$M$1004,$T108)="","",INDEX('AFA Rates'!$M$5:$M$1004,$T108))))</f>
        <v/>
      </c>
      <c r="S108">
        <f>IF(104&lt;=$S$2,"S",IF(104&lt;=$S$2+$T$2,"A",""))</f>
        <v/>
      </c>
      <c r="T108">
        <f>IF(S108="S",MATCH(104,Firms!$W$5:$W$1004,0),IF(S108="A",IFERROR(MATCH(104-$S$2,'AFA Rates'!$R$5:$R$1004,0),""),""))</f>
        <v/>
      </c>
      <c r="U108">
        <f>IF(S108="S",T108,IF(AND(S108="A",T108&lt;&gt;""),IFERROR(MATCH(INDEX('AFA Rates'!$A$5:$A$1004,T108),Firms!$A$5:$A$1004,0),""),""))</f>
        <v/>
      </c>
    </row>
    <row r="109">
      <c r="A109" s="78">
        <f>IF($T109="","",IF($S109="S",IF(INDEX(Firms!$A$5:$A$1004,$T109)="","",INDEX(Firms!$A$5:$A$1004,$T109)),IF(INDEX('AFA Rates'!$A$5:$A$1004,$T109)="","",INDEX('AFA Rates'!$A$5:$A$1004,$T109))))</f>
        <v/>
      </c>
      <c r="B109" s="79">
        <f>IF(OR($T109="",$U109=""),IF($T109="","","Not on Firms tab"),INDEX(Firms!$B$5:$B$1004,$U109)&amp;"")</f>
        <v/>
      </c>
      <c r="C109" s="78">
        <f>IF($T109="","",IF($S109="S","Standard",INDEX('AFA Rates'!$B$5:$B$1004,$T109)&amp;""))</f>
        <v/>
      </c>
      <c r="D109" s="88">
        <f>IF($T109="","",IF($S109="S",IF(INDEX(Firms!$E$5:$E$1004,$T109)="","",INDEX(Firms!$E$5:$E$1004,$T109)),IF(INDEX('AFA Rates'!$C$5:$C$1004,$T109)="","",INDEX('AFA Rates'!$C$5:$C$1004,$T109))))</f>
        <v/>
      </c>
      <c r="E109" s="88">
        <f>IF($T109="","",IF($S109="S",IF(""="","",""),IF(INDEX('AFA Rates'!$D$5:$D$1004,$T109)="","",INDEX('AFA Rates'!$D$5:$D$1004,$T109))))</f>
        <v/>
      </c>
      <c r="F109" s="79">
        <f>IF($T109="","",IF($S109="S",IF(INDEX(Firms!$O$5:$O$1004,$T109)="","",INDEX(Firms!$O$5:$O$1004,$T109)),IF(INDEX('AFA Rates'!$O$5:$O$1004,$T109)="","",INDEX('AFA Rates'!$O$5:$O$1004,$T109))))</f>
        <v/>
      </c>
      <c r="G109" s="50">
        <f>IF($T109="","",IF($S109="S",IF(INDEX(Firms!$F$5:$F$1004,$T109)="","",INDEX(Firms!$F$5:$F$1004,$T109)),IF(INDEX('AFA Rates'!$E$5:$E$1004,$T109)="","",INDEX('AFA Rates'!$E$5:$E$1004,$T109))))</f>
        <v/>
      </c>
      <c r="H109" s="50">
        <f>IF($T109="","",IF($S109="S",IF(INDEX(Firms!$G$5:$G$1004,$T109)="","",INDEX(Firms!$G$5:$G$1004,$T109)),IF(INDEX('AFA Rates'!$F$5:$F$1004,$T109)="","",INDEX('AFA Rates'!$F$5:$F$1004,$T109))))</f>
        <v/>
      </c>
      <c r="I109" s="50">
        <f>IF($T109="","",IF($S109="S",IF(INDEX(Firms!$H$5:$H$1004,$T109)="","",INDEX(Firms!$H$5:$H$1004,$T109)),IF(INDEX('AFA Rates'!$G$5:$G$1004,$T109)="","",INDEX('AFA Rates'!$G$5:$G$1004,$T109))))</f>
        <v/>
      </c>
      <c r="J109" s="50">
        <f>IF($T109="","",IF($S109="S",IF(INDEX(Firms!$I$5:$I$1004,$T109)="","",INDEX(Firms!$I$5:$I$1004,$T109)),IF(INDEX('AFA Rates'!$H$5:$H$1004,$T109)="","",INDEX('AFA Rates'!$H$5:$H$1004,$T109))))</f>
        <v/>
      </c>
      <c r="K109" s="50">
        <f>IF($T109="","",IF($S109="S",IF(INDEX(Firms!$J$5:$J$1004,$T109)="","",INDEX(Firms!$J$5:$J$1004,$T109)),IF(INDEX('AFA Rates'!$I$5:$I$1004,$T109)="","",INDEX('AFA Rates'!$I$5:$I$1004,$T109))))</f>
        <v/>
      </c>
      <c r="L109" s="50">
        <f>IF($T109="","",IF($S109="S",IF(INDEX(Firms!$K$5:$K$1004,$T109)="","",INDEX(Firms!$K$5:$K$1004,$T109)),IF(INDEX('AFA Rates'!$J$5:$J$1004,$T109)="","",INDEX('AFA Rates'!$J$5:$J$1004,$T109))))</f>
        <v/>
      </c>
      <c r="M109" s="50">
        <f>IF($T109="","",IF($S109="S",IF(INDEX(Firms!$L$5:$L$1004,$T109)="","",INDEX(Firms!$L$5:$L$1004,$T109)),IF(INDEX('AFA Rates'!$K$5:$K$1004,$T109)="","",INDEX('AFA Rates'!$K$5:$K$1004,$T109))))</f>
        <v/>
      </c>
      <c r="N109" s="50">
        <f>IF($T109="","",IF($S109="S",IF(INDEX(Firms!$M$5:$M$1004,$T109)="","",INDEX(Firms!$M$5:$M$1004,$T109)),IF(INDEX('AFA Rates'!$L$5:$L$1004,$T109)="","",INDEX('AFA Rates'!$L$5:$L$1004,$T109))))</f>
        <v/>
      </c>
      <c r="O109" s="78">
        <f>IF(OR($T109="",$U109=""),"",IF(INDEX(Firms!$C$5:$C$1004,$U109)="","",INDEX(Firms!$C$5:$C$1004,$U109)))</f>
        <v/>
      </c>
      <c r="P109" s="79">
        <f>IF(OR($T109="",$U109=""),"",IF(INDEX(Firms!$N$5:$N$1004,$U109)="","",INDEX(Firms!$N$5:$N$1004,$U109)))</f>
        <v/>
      </c>
      <c r="Q109" s="78">
        <f>IF($T109="","",IF($S109="S",IF(INDEX(Firms!$T$5:$T$1004,$T109)="","",INDEX(Firms!$T$5:$T$1004,$T109)),IF(INDEX('AFA Rates'!$M$5:$M$1004,$T109)="","",INDEX('AFA Rates'!$M$5:$M$1004,$T109))))</f>
        <v/>
      </c>
      <c r="S109">
        <f>IF(105&lt;=$S$2,"S",IF(105&lt;=$S$2+$T$2,"A",""))</f>
        <v/>
      </c>
      <c r="T109">
        <f>IF(S109="S",MATCH(105,Firms!$W$5:$W$1004,0),IF(S109="A",IFERROR(MATCH(105-$S$2,'AFA Rates'!$R$5:$R$1004,0),""),""))</f>
        <v/>
      </c>
      <c r="U109">
        <f>IF(S109="S",T109,IF(AND(S109="A",T109&lt;&gt;""),IFERROR(MATCH(INDEX('AFA Rates'!$A$5:$A$1004,T109),Firms!$A$5:$A$1004,0),""),""))</f>
        <v/>
      </c>
    </row>
    <row r="110">
      <c r="A110" s="78">
        <f>IF($T110="","",IF($S110="S",IF(INDEX(Firms!$A$5:$A$1004,$T110)="","",INDEX(Firms!$A$5:$A$1004,$T110)),IF(INDEX('AFA Rates'!$A$5:$A$1004,$T110)="","",INDEX('AFA Rates'!$A$5:$A$1004,$T110))))</f>
        <v/>
      </c>
      <c r="B110" s="79">
        <f>IF(OR($T110="",$U110=""),IF($T110="","","Not on Firms tab"),INDEX(Firms!$B$5:$B$1004,$U110)&amp;"")</f>
        <v/>
      </c>
      <c r="C110" s="78">
        <f>IF($T110="","",IF($S110="S","Standard",INDEX('AFA Rates'!$B$5:$B$1004,$T110)&amp;""))</f>
        <v/>
      </c>
      <c r="D110" s="88">
        <f>IF($T110="","",IF($S110="S",IF(INDEX(Firms!$E$5:$E$1004,$T110)="","",INDEX(Firms!$E$5:$E$1004,$T110)),IF(INDEX('AFA Rates'!$C$5:$C$1004,$T110)="","",INDEX('AFA Rates'!$C$5:$C$1004,$T110))))</f>
        <v/>
      </c>
      <c r="E110" s="88">
        <f>IF($T110="","",IF($S110="S",IF(""="","",""),IF(INDEX('AFA Rates'!$D$5:$D$1004,$T110)="","",INDEX('AFA Rates'!$D$5:$D$1004,$T110))))</f>
        <v/>
      </c>
      <c r="F110" s="79">
        <f>IF($T110="","",IF($S110="S",IF(INDEX(Firms!$O$5:$O$1004,$T110)="","",INDEX(Firms!$O$5:$O$1004,$T110)),IF(INDEX('AFA Rates'!$O$5:$O$1004,$T110)="","",INDEX('AFA Rates'!$O$5:$O$1004,$T110))))</f>
        <v/>
      </c>
      <c r="G110" s="50">
        <f>IF($T110="","",IF($S110="S",IF(INDEX(Firms!$F$5:$F$1004,$T110)="","",INDEX(Firms!$F$5:$F$1004,$T110)),IF(INDEX('AFA Rates'!$E$5:$E$1004,$T110)="","",INDEX('AFA Rates'!$E$5:$E$1004,$T110))))</f>
        <v/>
      </c>
      <c r="H110" s="50">
        <f>IF($T110="","",IF($S110="S",IF(INDEX(Firms!$G$5:$G$1004,$T110)="","",INDEX(Firms!$G$5:$G$1004,$T110)),IF(INDEX('AFA Rates'!$F$5:$F$1004,$T110)="","",INDEX('AFA Rates'!$F$5:$F$1004,$T110))))</f>
        <v/>
      </c>
      <c r="I110" s="50">
        <f>IF($T110="","",IF($S110="S",IF(INDEX(Firms!$H$5:$H$1004,$T110)="","",INDEX(Firms!$H$5:$H$1004,$T110)),IF(INDEX('AFA Rates'!$G$5:$G$1004,$T110)="","",INDEX('AFA Rates'!$G$5:$G$1004,$T110))))</f>
        <v/>
      </c>
      <c r="J110" s="50">
        <f>IF($T110="","",IF($S110="S",IF(INDEX(Firms!$I$5:$I$1004,$T110)="","",INDEX(Firms!$I$5:$I$1004,$T110)),IF(INDEX('AFA Rates'!$H$5:$H$1004,$T110)="","",INDEX('AFA Rates'!$H$5:$H$1004,$T110))))</f>
        <v/>
      </c>
      <c r="K110" s="50">
        <f>IF($T110="","",IF($S110="S",IF(INDEX(Firms!$J$5:$J$1004,$T110)="","",INDEX(Firms!$J$5:$J$1004,$T110)),IF(INDEX('AFA Rates'!$I$5:$I$1004,$T110)="","",INDEX('AFA Rates'!$I$5:$I$1004,$T110))))</f>
        <v/>
      </c>
      <c r="L110" s="50">
        <f>IF($T110="","",IF($S110="S",IF(INDEX(Firms!$K$5:$K$1004,$T110)="","",INDEX(Firms!$K$5:$K$1004,$T110)),IF(INDEX('AFA Rates'!$J$5:$J$1004,$T110)="","",INDEX('AFA Rates'!$J$5:$J$1004,$T110))))</f>
        <v/>
      </c>
      <c r="M110" s="50">
        <f>IF($T110="","",IF($S110="S",IF(INDEX(Firms!$L$5:$L$1004,$T110)="","",INDEX(Firms!$L$5:$L$1004,$T110)),IF(INDEX('AFA Rates'!$K$5:$K$1004,$T110)="","",INDEX('AFA Rates'!$K$5:$K$1004,$T110))))</f>
        <v/>
      </c>
      <c r="N110" s="50">
        <f>IF($T110="","",IF($S110="S",IF(INDEX(Firms!$M$5:$M$1004,$T110)="","",INDEX(Firms!$M$5:$M$1004,$T110)),IF(INDEX('AFA Rates'!$L$5:$L$1004,$T110)="","",INDEX('AFA Rates'!$L$5:$L$1004,$T110))))</f>
        <v/>
      </c>
      <c r="O110" s="78">
        <f>IF(OR($T110="",$U110=""),"",IF(INDEX(Firms!$C$5:$C$1004,$U110)="","",INDEX(Firms!$C$5:$C$1004,$U110)))</f>
        <v/>
      </c>
      <c r="P110" s="79">
        <f>IF(OR($T110="",$U110=""),"",IF(INDEX(Firms!$N$5:$N$1004,$U110)="","",INDEX(Firms!$N$5:$N$1004,$U110)))</f>
        <v/>
      </c>
      <c r="Q110" s="78">
        <f>IF($T110="","",IF($S110="S",IF(INDEX(Firms!$T$5:$T$1004,$T110)="","",INDEX(Firms!$T$5:$T$1004,$T110)),IF(INDEX('AFA Rates'!$M$5:$M$1004,$T110)="","",INDEX('AFA Rates'!$M$5:$M$1004,$T110))))</f>
        <v/>
      </c>
      <c r="S110">
        <f>IF(106&lt;=$S$2,"S",IF(106&lt;=$S$2+$T$2,"A",""))</f>
        <v/>
      </c>
      <c r="T110">
        <f>IF(S110="S",MATCH(106,Firms!$W$5:$W$1004,0),IF(S110="A",IFERROR(MATCH(106-$S$2,'AFA Rates'!$R$5:$R$1004,0),""),""))</f>
        <v/>
      </c>
      <c r="U110">
        <f>IF(S110="S",T110,IF(AND(S110="A",T110&lt;&gt;""),IFERROR(MATCH(INDEX('AFA Rates'!$A$5:$A$1004,T110),Firms!$A$5:$A$1004,0),""),""))</f>
        <v/>
      </c>
    </row>
    <row r="111">
      <c r="A111" s="78">
        <f>IF($T111="","",IF($S111="S",IF(INDEX(Firms!$A$5:$A$1004,$T111)="","",INDEX(Firms!$A$5:$A$1004,$T111)),IF(INDEX('AFA Rates'!$A$5:$A$1004,$T111)="","",INDEX('AFA Rates'!$A$5:$A$1004,$T111))))</f>
        <v/>
      </c>
      <c r="B111" s="79">
        <f>IF(OR($T111="",$U111=""),IF($T111="","","Not on Firms tab"),INDEX(Firms!$B$5:$B$1004,$U111)&amp;"")</f>
        <v/>
      </c>
      <c r="C111" s="78">
        <f>IF($T111="","",IF($S111="S","Standard",INDEX('AFA Rates'!$B$5:$B$1004,$T111)&amp;""))</f>
        <v/>
      </c>
      <c r="D111" s="88">
        <f>IF($T111="","",IF($S111="S",IF(INDEX(Firms!$E$5:$E$1004,$T111)="","",INDEX(Firms!$E$5:$E$1004,$T111)),IF(INDEX('AFA Rates'!$C$5:$C$1004,$T111)="","",INDEX('AFA Rates'!$C$5:$C$1004,$T111))))</f>
        <v/>
      </c>
      <c r="E111" s="88">
        <f>IF($T111="","",IF($S111="S",IF(""="","",""),IF(INDEX('AFA Rates'!$D$5:$D$1004,$T111)="","",INDEX('AFA Rates'!$D$5:$D$1004,$T111))))</f>
        <v/>
      </c>
      <c r="F111" s="79">
        <f>IF($T111="","",IF($S111="S",IF(INDEX(Firms!$O$5:$O$1004,$T111)="","",INDEX(Firms!$O$5:$O$1004,$T111)),IF(INDEX('AFA Rates'!$O$5:$O$1004,$T111)="","",INDEX('AFA Rates'!$O$5:$O$1004,$T111))))</f>
        <v/>
      </c>
      <c r="G111" s="50">
        <f>IF($T111="","",IF($S111="S",IF(INDEX(Firms!$F$5:$F$1004,$T111)="","",INDEX(Firms!$F$5:$F$1004,$T111)),IF(INDEX('AFA Rates'!$E$5:$E$1004,$T111)="","",INDEX('AFA Rates'!$E$5:$E$1004,$T111))))</f>
        <v/>
      </c>
      <c r="H111" s="50">
        <f>IF($T111="","",IF($S111="S",IF(INDEX(Firms!$G$5:$G$1004,$T111)="","",INDEX(Firms!$G$5:$G$1004,$T111)),IF(INDEX('AFA Rates'!$F$5:$F$1004,$T111)="","",INDEX('AFA Rates'!$F$5:$F$1004,$T111))))</f>
        <v/>
      </c>
      <c r="I111" s="50">
        <f>IF($T111="","",IF($S111="S",IF(INDEX(Firms!$H$5:$H$1004,$T111)="","",INDEX(Firms!$H$5:$H$1004,$T111)),IF(INDEX('AFA Rates'!$G$5:$G$1004,$T111)="","",INDEX('AFA Rates'!$G$5:$G$1004,$T111))))</f>
        <v/>
      </c>
      <c r="J111" s="50">
        <f>IF($T111="","",IF($S111="S",IF(INDEX(Firms!$I$5:$I$1004,$T111)="","",INDEX(Firms!$I$5:$I$1004,$T111)),IF(INDEX('AFA Rates'!$H$5:$H$1004,$T111)="","",INDEX('AFA Rates'!$H$5:$H$1004,$T111))))</f>
        <v/>
      </c>
      <c r="K111" s="50">
        <f>IF($T111="","",IF($S111="S",IF(INDEX(Firms!$J$5:$J$1004,$T111)="","",INDEX(Firms!$J$5:$J$1004,$T111)),IF(INDEX('AFA Rates'!$I$5:$I$1004,$T111)="","",INDEX('AFA Rates'!$I$5:$I$1004,$T111))))</f>
        <v/>
      </c>
      <c r="L111" s="50">
        <f>IF($T111="","",IF($S111="S",IF(INDEX(Firms!$K$5:$K$1004,$T111)="","",INDEX(Firms!$K$5:$K$1004,$T111)),IF(INDEX('AFA Rates'!$J$5:$J$1004,$T111)="","",INDEX('AFA Rates'!$J$5:$J$1004,$T111))))</f>
        <v/>
      </c>
      <c r="M111" s="50">
        <f>IF($T111="","",IF($S111="S",IF(INDEX(Firms!$L$5:$L$1004,$T111)="","",INDEX(Firms!$L$5:$L$1004,$T111)),IF(INDEX('AFA Rates'!$K$5:$K$1004,$T111)="","",INDEX('AFA Rates'!$K$5:$K$1004,$T111))))</f>
        <v/>
      </c>
      <c r="N111" s="50">
        <f>IF($T111="","",IF($S111="S",IF(INDEX(Firms!$M$5:$M$1004,$T111)="","",INDEX(Firms!$M$5:$M$1004,$T111)),IF(INDEX('AFA Rates'!$L$5:$L$1004,$T111)="","",INDEX('AFA Rates'!$L$5:$L$1004,$T111))))</f>
        <v/>
      </c>
      <c r="O111" s="78">
        <f>IF(OR($T111="",$U111=""),"",IF(INDEX(Firms!$C$5:$C$1004,$U111)="","",INDEX(Firms!$C$5:$C$1004,$U111)))</f>
        <v/>
      </c>
      <c r="P111" s="79">
        <f>IF(OR($T111="",$U111=""),"",IF(INDEX(Firms!$N$5:$N$1004,$U111)="","",INDEX(Firms!$N$5:$N$1004,$U111)))</f>
        <v/>
      </c>
      <c r="Q111" s="78">
        <f>IF($T111="","",IF($S111="S",IF(INDEX(Firms!$T$5:$T$1004,$T111)="","",INDEX(Firms!$T$5:$T$1004,$T111)),IF(INDEX('AFA Rates'!$M$5:$M$1004,$T111)="","",INDEX('AFA Rates'!$M$5:$M$1004,$T111))))</f>
        <v/>
      </c>
      <c r="S111">
        <f>IF(107&lt;=$S$2,"S",IF(107&lt;=$S$2+$T$2,"A",""))</f>
        <v/>
      </c>
      <c r="T111">
        <f>IF(S111="S",MATCH(107,Firms!$W$5:$W$1004,0),IF(S111="A",IFERROR(MATCH(107-$S$2,'AFA Rates'!$R$5:$R$1004,0),""),""))</f>
        <v/>
      </c>
      <c r="U111">
        <f>IF(S111="S",T111,IF(AND(S111="A",T111&lt;&gt;""),IFERROR(MATCH(INDEX('AFA Rates'!$A$5:$A$1004,T111),Firms!$A$5:$A$1004,0),""),""))</f>
        <v/>
      </c>
    </row>
    <row r="112">
      <c r="A112" s="78">
        <f>IF($T112="","",IF($S112="S",IF(INDEX(Firms!$A$5:$A$1004,$T112)="","",INDEX(Firms!$A$5:$A$1004,$T112)),IF(INDEX('AFA Rates'!$A$5:$A$1004,$T112)="","",INDEX('AFA Rates'!$A$5:$A$1004,$T112))))</f>
        <v/>
      </c>
      <c r="B112" s="79">
        <f>IF(OR($T112="",$U112=""),IF($T112="","","Not on Firms tab"),INDEX(Firms!$B$5:$B$1004,$U112)&amp;"")</f>
        <v/>
      </c>
      <c r="C112" s="78">
        <f>IF($T112="","",IF($S112="S","Standard",INDEX('AFA Rates'!$B$5:$B$1004,$T112)&amp;""))</f>
        <v/>
      </c>
      <c r="D112" s="88">
        <f>IF($T112="","",IF($S112="S",IF(INDEX(Firms!$E$5:$E$1004,$T112)="","",INDEX(Firms!$E$5:$E$1004,$T112)),IF(INDEX('AFA Rates'!$C$5:$C$1004,$T112)="","",INDEX('AFA Rates'!$C$5:$C$1004,$T112))))</f>
        <v/>
      </c>
      <c r="E112" s="88">
        <f>IF($T112="","",IF($S112="S",IF(""="","",""),IF(INDEX('AFA Rates'!$D$5:$D$1004,$T112)="","",INDEX('AFA Rates'!$D$5:$D$1004,$T112))))</f>
        <v/>
      </c>
      <c r="F112" s="79">
        <f>IF($T112="","",IF($S112="S",IF(INDEX(Firms!$O$5:$O$1004,$T112)="","",INDEX(Firms!$O$5:$O$1004,$T112)),IF(INDEX('AFA Rates'!$O$5:$O$1004,$T112)="","",INDEX('AFA Rates'!$O$5:$O$1004,$T112))))</f>
        <v/>
      </c>
      <c r="G112" s="50">
        <f>IF($T112="","",IF($S112="S",IF(INDEX(Firms!$F$5:$F$1004,$T112)="","",INDEX(Firms!$F$5:$F$1004,$T112)),IF(INDEX('AFA Rates'!$E$5:$E$1004,$T112)="","",INDEX('AFA Rates'!$E$5:$E$1004,$T112))))</f>
        <v/>
      </c>
      <c r="H112" s="50">
        <f>IF($T112="","",IF($S112="S",IF(INDEX(Firms!$G$5:$G$1004,$T112)="","",INDEX(Firms!$G$5:$G$1004,$T112)),IF(INDEX('AFA Rates'!$F$5:$F$1004,$T112)="","",INDEX('AFA Rates'!$F$5:$F$1004,$T112))))</f>
        <v/>
      </c>
      <c r="I112" s="50">
        <f>IF($T112="","",IF($S112="S",IF(INDEX(Firms!$H$5:$H$1004,$T112)="","",INDEX(Firms!$H$5:$H$1004,$T112)),IF(INDEX('AFA Rates'!$G$5:$G$1004,$T112)="","",INDEX('AFA Rates'!$G$5:$G$1004,$T112))))</f>
        <v/>
      </c>
      <c r="J112" s="50">
        <f>IF($T112="","",IF($S112="S",IF(INDEX(Firms!$I$5:$I$1004,$T112)="","",INDEX(Firms!$I$5:$I$1004,$T112)),IF(INDEX('AFA Rates'!$H$5:$H$1004,$T112)="","",INDEX('AFA Rates'!$H$5:$H$1004,$T112))))</f>
        <v/>
      </c>
      <c r="K112" s="50">
        <f>IF($T112="","",IF($S112="S",IF(INDEX(Firms!$J$5:$J$1004,$T112)="","",INDEX(Firms!$J$5:$J$1004,$T112)),IF(INDEX('AFA Rates'!$I$5:$I$1004,$T112)="","",INDEX('AFA Rates'!$I$5:$I$1004,$T112))))</f>
        <v/>
      </c>
      <c r="L112" s="50">
        <f>IF($T112="","",IF($S112="S",IF(INDEX(Firms!$K$5:$K$1004,$T112)="","",INDEX(Firms!$K$5:$K$1004,$T112)),IF(INDEX('AFA Rates'!$J$5:$J$1004,$T112)="","",INDEX('AFA Rates'!$J$5:$J$1004,$T112))))</f>
        <v/>
      </c>
      <c r="M112" s="50">
        <f>IF($T112="","",IF($S112="S",IF(INDEX(Firms!$L$5:$L$1004,$T112)="","",INDEX(Firms!$L$5:$L$1004,$T112)),IF(INDEX('AFA Rates'!$K$5:$K$1004,$T112)="","",INDEX('AFA Rates'!$K$5:$K$1004,$T112))))</f>
        <v/>
      </c>
      <c r="N112" s="50">
        <f>IF($T112="","",IF($S112="S",IF(INDEX(Firms!$M$5:$M$1004,$T112)="","",INDEX(Firms!$M$5:$M$1004,$T112)),IF(INDEX('AFA Rates'!$L$5:$L$1004,$T112)="","",INDEX('AFA Rates'!$L$5:$L$1004,$T112))))</f>
        <v/>
      </c>
      <c r="O112" s="78">
        <f>IF(OR($T112="",$U112=""),"",IF(INDEX(Firms!$C$5:$C$1004,$U112)="","",INDEX(Firms!$C$5:$C$1004,$U112)))</f>
        <v/>
      </c>
      <c r="P112" s="79">
        <f>IF(OR($T112="",$U112=""),"",IF(INDEX(Firms!$N$5:$N$1004,$U112)="","",INDEX(Firms!$N$5:$N$1004,$U112)))</f>
        <v/>
      </c>
      <c r="Q112" s="78">
        <f>IF($T112="","",IF($S112="S",IF(INDEX(Firms!$T$5:$T$1004,$T112)="","",INDEX(Firms!$T$5:$T$1004,$T112)),IF(INDEX('AFA Rates'!$M$5:$M$1004,$T112)="","",INDEX('AFA Rates'!$M$5:$M$1004,$T112))))</f>
        <v/>
      </c>
      <c r="S112">
        <f>IF(108&lt;=$S$2,"S",IF(108&lt;=$S$2+$T$2,"A",""))</f>
        <v/>
      </c>
      <c r="T112">
        <f>IF(S112="S",MATCH(108,Firms!$W$5:$W$1004,0),IF(S112="A",IFERROR(MATCH(108-$S$2,'AFA Rates'!$R$5:$R$1004,0),""),""))</f>
        <v/>
      </c>
      <c r="U112">
        <f>IF(S112="S",T112,IF(AND(S112="A",T112&lt;&gt;""),IFERROR(MATCH(INDEX('AFA Rates'!$A$5:$A$1004,T112),Firms!$A$5:$A$1004,0),""),""))</f>
        <v/>
      </c>
    </row>
    <row r="113">
      <c r="A113" s="78">
        <f>IF($T113="","",IF($S113="S",IF(INDEX(Firms!$A$5:$A$1004,$T113)="","",INDEX(Firms!$A$5:$A$1004,$T113)),IF(INDEX('AFA Rates'!$A$5:$A$1004,$T113)="","",INDEX('AFA Rates'!$A$5:$A$1004,$T113))))</f>
        <v/>
      </c>
      <c r="B113" s="79">
        <f>IF(OR($T113="",$U113=""),IF($T113="","","Not on Firms tab"),INDEX(Firms!$B$5:$B$1004,$U113)&amp;"")</f>
        <v/>
      </c>
      <c r="C113" s="78">
        <f>IF($T113="","",IF($S113="S","Standard",INDEX('AFA Rates'!$B$5:$B$1004,$T113)&amp;""))</f>
        <v/>
      </c>
      <c r="D113" s="88">
        <f>IF($T113="","",IF($S113="S",IF(INDEX(Firms!$E$5:$E$1004,$T113)="","",INDEX(Firms!$E$5:$E$1004,$T113)),IF(INDEX('AFA Rates'!$C$5:$C$1004,$T113)="","",INDEX('AFA Rates'!$C$5:$C$1004,$T113))))</f>
        <v/>
      </c>
      <c r="E113" s="88">
        <f>IF($T113="","",IF($S113="S",IF(""="","",""),IF(INDEX('AFA Rates'!$D$5:$D$1004,$T113)="","",INDEX('AFA Rates'!$D$5:$D$1004,$T113))))</f>
        <v/>
      </c>
      <c r="F113" s="79">
        <f>IF($T113="","",IF($S113="S",IF(INDEX(Firms!$O$5:$O$1004,$T113)="","",INDEX(Firms!$O$5:$O$1004,$T113)),IF(INDEX('AFA Rates'!$O$5:$O$1004,$T113)="","",INDEX('AFA Rates'!$O$5:$O$1004,$T113))))</f>
        <v/>
      </c>
      <c r="G113" s="50">
        <f>IF($T113="","",IF($S113="S",IF(INDEX(Firms!$F$5:$F$1004,$T113)="","",INDEX(Firms!$F$5:$F$1004,$T113)),IF(INDEX('AFA Rates'!$E$5:$E$1004,$T113)="","",INDEX('AFA Rates'!$E$5:$E$1004,$T113))))</f>
        <v/>
      </c>
      <c r="H113" s="50">
        <f>IF($T113="","",IF($S113="S",IF(INDEX(Firms!$G$5:$G$1004,$T113)="","",INDEX(Firms!$G$5:$G$1004,$T113)),IF(INDEX('AFA Rates'!$F$5:$F$1004,$T113)="","",INDEX('AFA Rates'!$F$5:$F$1004,$T113))))</f>
        <v/>
      </c>
      <c r="I113" s="50">
        <f>IF($T113="","",IF($S113="S",IF(INDEX(Firms!$H$5:$H$1004,$T113)="","",INDEX(Firms!$H$5:$H$1004,$T113)),IF(INDEX('AFA Rates'!$G$5:$G$1004,$T113)="","",INDEX('AFA Rates'!$G$5:$G$1004,$T113))))</f>
        <v/>
      </c>
      <c r="J113" s="50">
        <f>IF($T113="","",IF($S113="S",IF(INDEX(Firms!$I$5:$I$1004,$T113)="","",INDEX(Firms!$I$5:$I$1004,$T113)),IF(INDEX('AFA Rates'!$H$5:$H$1004,$T113)="","",INDEX('AFA Rates'!$H$5:$H$1004,$T113))))</f>
        <v/>
      </c>
      <c r="K113" s="50">
        <f>IF($T113="","",IF($S113="S",IF(INDEX(Firms!$J$5:$J$1004,$T113)="","",INDEX(Firms!$J$5:$J$1004,$T113)),IF(INDEX('AFA Rates'!$I$5:$I$1004,$T113)="","",INDEX('AFA Rates'!$I$5:$I$1004,$T113))))</f>
        <v/>
      </c>
      <c r="L113" s="50">
        <f>IF($T113="","",IF($S113="S",IF(INDEX(Firms!$K$5:$K$1004,$T113)="","",INDEX(Firms!$K$5:$K$1004,$T113)),IF(INDEX('AFA Rates'!$J$5:$J$1004,$T113)="","",INDEX('AFA Rates'!$J$5:$J$1004,$T113))))</f>
        <v/>
      </c>
      <c r="M113" s="50">
        <f>IF($T113="","",IF($S113="S",IF(INDEX(Firms!$L$5:$L$1004,$T113)="","",INDEX(Firms!$L$5:$L$1004,$T113)),IF(INDEX('AFA Rates'!$K$5:$K$1004,$T113)="","",INDEX('AFA Rates'!$K$5:$K$1004,$T113))))</f>
        <v/>
      </c>
      <c r="N113" s="50">
        <f>IF($T113="","",IF($S113="S",IF(INDEX(Firms!$M$5:$M$1004,$T113)="","",INDEX(Firms!$M$5:$M$1004,$T113)),IF(INDEX('AFA Rates'!$L$5:$L$1004,$T113)="","",INDEX('AFA Rates'!$L$5:$L$1004,$T113))))</f>
        <v/>
      </c>
      <c r="O113" s="78">
        <f>IF(OR($T113="",$U113=""),"",IF(INDEX(Firms!$C$5:$C$1004,$U113)="","",INDEX(Firms!$C$5:$C$1004,$U113)))</f>
        <v/>
      </c>
      <c r="P113" s="79">
        <f>IF(OR($T113="",$U113=""),"",IF(INDEX(Firms!$N$5:$N$1004,$U113)="","",INDEX(Firms!$N$5:$N$1004,$U113)))</f>
        <v/>
      </c>
      <c r="Q113" s="78">
        <f>IF($T113="","",IF($S113="S",IF(INDEX(Firms!$T$5:$T$1004,$T113)="","",INDEX(Firms!$T$5:$T$1004,$T113)),IF(INDEX('AFA Rates'!$M$5:$M$1004,$T113)="","",INDEX('AFA Rates'!$M$5:$M$1004,$T113))))</f>
        <v/>
      </c>
      <c r="S113">
        <f>IF(109&lt;=$S$2,"S",IF(109&lt;=$S$2+$T$2,"A",""))</f>
        <v/>
      </c>
      <c r="T113">
        <f>IF(S113="S",MATCH(109,Firms!$W$5:$W$1004,0),IF(S113="A",IFERROR(MATCH(109-$S$2,'AFA Rates'!$R$5:$R$1004,0),""),""))</f>
        <v/>
      </c>
      <c r="U113">
        <f>IF(S113="S",T113,IF(AND(S113="A",T113&lt;&gt;""),IFERROR(MATCH(INDEX('AFA Rates'!$A$5:$A$1004,T113),Firms!$A$5:$A$1004,0),""),""))</f>
        <v/>
      </c>
    </row>
    <row r="114">
      <c r="A114" s="78">
        <f>IF($T114="","",IF($S114="S",IF(INDEX(Firms!$A$5:$A$1004,$T114)="","",INDEX(Firms!$A$5:$A$1004,$T114)),IF(INDEX('AFA Rates'!$A$5:$A$1004,$T114)="","",INDEX('AFA Rates'!$A$5:$A$1004,$T114))))</f>
        <v/>
      </c>
      <c r="B114" s="79">
        <f>IF(OR($T114="",$U114=""),IF($T114="","","Not on Firms tab"),INDEX(Firms!$B$5:$B$1004,$U114)&amp;"")</f>
        <v/>
      </c>
      <c r="C114" s="78">
        <f>IF($T114="","",IF($S114="S","Standard",INDEX('AFA Rates'!$B$5:$B$1004,$T114)&amp;""))</f>
        <v/>
      </c>
      <c r="D114" s="88">
        <f>IF($T114="","",IF($S114="S",IF(INDEX(Firms!$E$5:$E$1004,$T114)="","",INDEX(Firms!$E$5:$E$1004,$T114)),IF(INDEX('AFA Rates'!$C$5:$C$1004,$T114)="","",INDEX('AFA Rates'!$C$5:$C$1004,$T114))))</f>
        <v/>
      </c>
      <c r="E114" s="88">
        <f>IF($T114="","",IF($S114="S",IF(""="","",""),IF(INDEX('AFA Rates'!$D$5:$D$1004,$T114)="","",INDEX('AFA Rates'!$D$5:$D$1004,$T114))))</f>
        <v/>
      </c>
      <c r="F114" s="79">
        <f>IF($T114="","",IF($S114="S",IF(INDEX(Firms!$O$5:$O$1004,$T114)="","",INDEX(Firms!$O$5:$O$1004,$T114)),IF(INDEX('AFA Rates'!$O$5:$O$1004,$T114)="","",INDEX('AFA Rates'!$O$5:$O$1004,$T114))))</f>
        <v/>
      </c>
      <c r="G114" s="50">
        <f>IF($T114="","",IF($S114="S",IF(INDEX(Firms!$F$5:$F$1004,$T114)="","",INDEX(Firms!$F$5:$F$1004,$T114)),IF(INDEX('AFA Rates'!$E$5:$E$1004,$T114)="","",INDEX('AFA Rates'!$E$5:$E$1004,$T114))))</f>
        <v/>
      </c>
      <c r="H114" s="50">
        <f>IF($T114="","",IF($S114="S",IF(INDEX(Firms!$G$5:$G$1004,$T114)="","",INDEX(Firms!$G$5:$G$1004,$T114)),IF(INDEX('AFA Rates'!$F$5:$F$1004,$T114)="","",INDEX('AFA Rates'!$F$5:$F$1004,$T114))))</f>
        <v/>
      </c>
      <c r="I114" s="50">
        <f>IF($T114="","",IF($S114="S",IF(INDEX(Firms!$H$5:$H$1004,$T114)="","",INDEX(Firms!$H$5:$H$1004,$T114)),IF(INDEX('AFA Rates'!$G$5:$G$1004,$T114)="","",INDEX('AFA Rates'!$G$5:$G$1004,$T114))))</f>
        <v/>
      </c>
      <c r="J114" s="50">
        <f>IF($T114="","",IF($S114="S",IF(INDEX(Firms!$I$5:$I$1004,$T114)="","",INDEX(Firms!$I$5:$I$1004,$T114)),IF(INDEX('AFA Rates'!$H$5:$H$1004,$T114)="","",INDEX('AFA Rates'!$H$5:$H$1004,$T114))))</f>
        <v/>
      </c>
      <c r="K114" s="50">
        <f>IF($T114="","",IF($S114="S",IF(INDEX(Firms!$J$5:$J$1004,$T114)="","",INDEX(Firms!$J$5:$J$1004,$T114)),IF(INDEX('AFA Rates'!$I$5:$I$1004,$T114)="","",INDEX('AFA Rates'!$I$5:$I$1004,$T114))))</f>
        <v/>
      </c>
      <c r="L114" s="50">
        <f>IF($T114="","",IF($S114="S",IF(INDEX(Firms!$K$5:$K$1004,$T114)="","",INDEX(Firms!$K$5:$K$1004,$T114)),IF(INDEX('AFA Rates'!$J$5:$J$1004,$T114)="","",INDEX('AFA Rates'!$J$5:$J$1004,$T114))))</f>
        <v/>
      </c>
      <c r="M114" s="50">
        <f>IF($T114="","",IF($S114="S",IF(INDEX(Firms!$L$5:$L$1004,$T114)="","",INDEX(Firms!$L$5:$L$1004,$T114)),IF(INDEX('AFA Rates'!$K$5:$K$1004,$T114)="","",INDEX('AFA Rates'!$K$5:$K$1004,$T114))))</f>
        <v/>
      </c>
      <c r="N114" s="50">
        <f>IF($T114="","",IF($S114="S",IF(INDEX(Firms!$M$5:$M$1004,$T114)="","",INDEX(Firms!$M$5:$M$1004,$T114)),IF(INDEX('AFA Rates'!$L$5:$L$1004,$T114)="","",INDEX('AFA Rates'!$L$5:$L$1004,$T114))))</f>
        <v/>
      </c>
      <c r="O114" s="78">
        <f>IF(OR($T114="",$U114=""),"",IF(INDEX(Firms!$C$5:$C$1004,$U114)="","",INDEX(Firms!$C$5:$C$1004,$U114)))</f>
        <v/>
      </c>
      <c r="P114" s="79">
        <f>IF(OR($T114="",$U114=""),"",IF(INDEX(Firms!$N$5:$N$1004,$U114)="","",INDEX(Firms!$N$5:$N$1004,$U114)))</f>
        <v/>
      </c>
      <c r="Q114" s="78">
        <f>IF($T114="","",IF($S114="S",IF(INDEX(Firms!$T$5:$T$1004,$T114)="","",INDEX(Firms!$T$5:$T$1004,$T114)),IF(INDEX('AFA Rates'!$M$5:$M$1004,$T114)="","",INDEX('AFA Rates'!$M$5:$M$1004,$T114))))</f>
        <v/>
      </c>
      <c r="S114">
        <f>IF(110&lt;=$S$2,"S",IF(110&lt;=$S$2+$T$2,"A",""))</f>
        <v/>
      </c>
      <c r="T114">
        <f>IF(S114="S",MATCH(110,Firms!$W$5:$W$1004,0),IF(S114="A",IFERROR(MATCH(110-$S$2,'AFA Rates'!$R$5:$R$1004,0),""),""))</f>
        <v/>
      </c>
      <c r="U114">
        <f>IF(S114="S",T114,IF(AND(S114="A",T114&lt;&gt;""),IFERROR(MATCH(INDEX('AFA Rates'!$A$5:$A$1004,T114),Firms!$A$5:$A$1004,0),""),""))</f>
        <v/>
      </c>
    </row>
    <row r="115">
      <c r="A115" s="78">
        <f>IF($T115="","",IF($S115="S",IF(INDEX(Firms!$A$5:$A$1004,$T115)="","",INDEX(Firms!$A$5:$A$1004,$T115)),IF(INDEX('AFA Rates'!$A$5:$A$1004,$T115)="","",INDEX('AFA Rates'!$A$5:$A$1004,$T115))))</f>
        <v/>
      </c>
      <c r="B115" s="79">
        <f>IF(OR($T115="",$U115=""),IF($T115="","","Not on Firms tab"),INDEX(Firms!$B$5:$B$1004,$U115)&amp;"")</f>
        <v/>
      </c>
      <c r="C115" s="78">
        <f>IF($T115="","",IF($S115="S","Standard",INDEX('AFA Rates'!$B$5:$B$1004,$T115)&amp;""))</f>
        <v/>
      </c>
      <c r="D115" s="88">
        <f>IF($T115="","",IF($S115="S",IF(INDEX(Firms!$E$5:$E$1004,$T115)="","",INDEX(Firms!$E$5:$E$1004,$T115)),IF(INDEX('AFA Rates'!$C$5:$C$1004,$T115)="","",INDEX('AFA Rates'!$C$5:$C$1004,$T115))))</f>
        <v/>
      </c>
      <c r="E115" s="88">
        <f>IF($T115="","",IF($S115="S",IF(""="","",""),IF(INDEX('AFA Rates'!$D$5:$D$1004,$T115)="","",INDEX('AFA Rates'!$D$5:$D$1004,$T115))))</f>
        <v/>
      </c>
      <c r="F115" s="79">
        <f>IF($T115="","",IF($S115="S",IF(INDEX(Firms!$O$5:$O$1004,$T115)="","",INDEX(Firms!$O$5:$O$1004,$T115)),IF(INDEX('AFA Rates'!$O$5:$O$1004,$T115)="","",INDEX('AFA Rates'!$O$5:$O$1004,$T115))))</f>
        <v/>
      </c>
      <c r="G115" s="50">
        <f>IF($T115="","",IF($S115="S",IF(INDEX(Firms!$F$5:$F$1004,$T115)="","",INDEX(Firms!$F$5:$F$1004,$T115)),IF(INDEX('AFA Rates'!$E$5:$E$1004,$T115)="","",INDEX('AFA Rates'!$E$5:$E$1004,$T115))))</f>
        <v/>
      </c>
      <c r="H115" s="50">
        <f>IF($T115="","",IF($S115="S",IF(INDEX(Firms!$G$5:$G$1004,$T115)="","",INDEX(Firms!$G$5:$G$1004,$T115)),IF(INDEX('AFA Rates'!$F$5:$F$1004,$T115)="","",INDEX('AFA Rates'!$F$5:$F$1004,$T115))))</f>
        <v/>
      </c>
      <c r="I115" s="50">
        <f>IF($T115="","",IF($S115="S",IF(INDEX(Firms!$H$5:$H$1004,$T115)="","",INDEX(Firms!$H$5:$H$1004,$T115)),IF(INDEX('AFA Rates'!$G$5:$G$1004,$T115)="","",INDEX('AFA Rates'!$G$5:$G$1004,$T115))))</f>
        <v/>
      </c>
      <c r="J115" s="50">
        <f>IF($T115="","",IF($S115="S",IF(INDEX(Firms!$I$5:$I$1004,$T115)="","",INDEX(Firms!$I$5:$I$1004,$T115)),IF(INDEX('AFA Rates'!$H$5:$H$1004,$T115)="","",INDEX('AFA Rates'!$H$5:$H$1004,$T115))))</f>
        <v/>
      </c>
      <c r="K115" s="50">
        <f>IF($T115="","",IF($S115="S",IF(INDEX(Firms!$J$5:$J$1004,$T115)="","",INDEX(Firms!$J$5:$J$1004,$T115)),IF(INDEX('AFA Rates'!$I$5:$I$1004,$T115)="","",INDEX('AFA Rates'!$I$5:$I$1004,$T115))))</f>
        <v/>
      </c>
      <c r="L115" s="50">
        <f>IF($T115="","",IF($S115="S",IF(INDEX(Firms!$K$5:$K$1004,$T115)="","",INDEX(Firms!$K$5:$K$1004,$T115)),IF(INDEX('AFA Rates'!$J$5:$J$1004,$T115)="","",INDEX('AFA Rates'!$J$5:$J$1004,$T115))))</f>
        <v/>
      </c>
      <c r="M115" s="50">
        <f>IF($T115="","",IF($S115="S",IF(INDEX(Firms!$L$5:$L$1004,$T115)="","",INDEX(Firms!$L$5:$L$1004,$T115)),IF(INDEX('AFA Rates'!$K$5:$K$1004,$T115)="","",INDEX('AFA Rates'!$K$5:$K$1004,$T115))))</f>
        <v/>
      </c>
      <c r="N115" s="50">
        <f>IF($T115="","",IF($S115="S",IF(INDEX(Firms!$M$5:$M$1004,$T115)="","",INDEX(Firms!$M$5:$M$1004,$T115)),IF(INDEX('AFA Rates'!$L$5:$L$1004,$T115)="","",INDEX('AFA Rates'!$L$5:$L$1004,$T115))))</f>
        <v/>
      </c>
      <c r="O115" s="78">
        <f>IF(OR($T115="",$U115=""),"",IF(INDEX(Firms!$C$5:$C$1004,$U115)="","",INDEX(Firms!$C$5:$C$1004,$U115)))</f>
        <v/>
      </c>
      <c r="P115" s="79">
        <f>IF(OR($T115="",$U115=""),"",IF(INDEX(Firms!$N$5:$N$1004,$U115)="","",INDEX(Firms!$N$5:$N$1004,$U115)))</f>
        <v/>
      </c>
      <c r="Q115" s="78">
        <f>IF($T115="","",IF($S115="S",IF(INDEX(Firms!$T$5:$T$1004,$T115)="","",INDEX(Firms!$T$5:$T$1004,$T115)),IF(INDEX('AFA Rates'!$M$5:$M$1004,$T115)="","",INDEX('AFA Rates'!$M$5:$M$1004,$T115))))</f>
        <v/>
      </c>
      <c r="S115">
        <f>IF(111&lt;=$S$2,"S",IF(111&lt;=$S$2+$T$2,"A",""))</f>
        <v/>
      </c>
      <c r="T115">
        <f>IF(S115="S",MATCH(111,Firms!$W$5:$W$1004,0),IF(S115="A",IFERROR(MATCH(111-$S$2,'AFA Rates'!$R$5:$R$1004,0),""),""))</f>
        <v/>
      </c>
      <c r="U115">
        <f>IF(S115="S",T115,IF(AND(S115="A",T115&lt;&gt;""),IFERROR(MATCH(INDEX('AFA Rates'!$A$5:$A$1004,T115),Firms!$A$5:$A$1004,0),""),""))</f>
        <v/>
      </c>
    </row>
    <row r="116">
      <c r="A116" s="78">
        <f>IF($T116="","",IF($S116="S",IF(INDEX(Firms!$A$5:$A$1004,$T116)="","",INDEX(Firms!$A$5:$A$1004,$T116)),IF(INDEX('AFA Rates'!$A$5:$A$1004,$T116)="","",INDEX('AFA Rates'!$A$5:$A$1004,$T116))))</f>
        <v/>
      </c>
      <c r="B116" s="79">
        <f>IF(OR($T116="",$U116=""),IF($T116="","","Not on Firms tab"),INDEX(Firms!$B$5:$B$1004,$U116)&amp;"")</f>
        <v/>
      </c>
      <c r="C116" s="78">
        <f>IF($T116="","",IF($S116="S","Standard",INDEX('AFA Rates'!$B$5:$B$1004,$T116)&amp;""))</f>
        <v/>
      </c>
      <c r="D116" s="88">
        <f>IF($T116="","",IF($S116="S",IF(INDEX(Firms!$E$5:$E$1004,$T116)="","",INDEX(Firms!$E$5:$E$1004,$T116)),IF(INDEX('AFA Rates'!$C$5:$C$1004,$T116)="","",INDEX('AFA Rates'!$C$5:$C$1004,$T116))))</f>
        <v/>
      </c>
      <c r="E116" s="88">
        <f>IF($T116="","",IF($S116="S",IF(""="","",""),IF(INDEX('AFA Rates'!$D$5:$D$1004,$T116)="","",INDEX('AFA Rates'!$D$5:$D$1004,$T116))))</f>
        <v/>
      </c>
      <c r="F116" s="79">
        <f>IF($T116="","",IF($S116="S",IF(INDEX(Firms!$O$5:$O$1004,$T116)="","",INDEX(Firms!$O$5:$O$1004,$T116)),IF(INDEX('AFA Rates'!$O$5:$O$1004,$T116)="","",INDEX('AFA Rates'!$O$5:$O$1004,$T116))))</f>
        <v/>
      </c>
      <c r="G116" s="50">
        <f>IF($T116="","",IF($S116="S",IF(INDEX(Firms!$F$5:$F$1004,$T116)="","",INDEX(Firms!$F$5:$F$1004,$T116)),IF(INDEX('AFA Rates'!$E$5:$E$1004,$T116)="","",INDEX('AFA Rates'!$E$5:$E$1004,$T116))))</f>
        <v/>
      </c>
      <c r="H116" s="50">
        <f>IF($T116="","",IF($S116="S",IF(INDEX(Firms!$G$5:$G$1004,$T116)="","",INDEX(Firms!$G$5:$G$1004,$T116)),IF(INDEX('AFA Rates'!$F$5:$F$1004,$T116)="","",INDEX('AFA Rates'!$F$5:$F$1004,$T116))))</f>
        <v/>
      </c>
      <c r="I116" s="50">
        <f>IF($T116="","",IF($S116="S",IF(INDEX(Firms!$H$5:$H$1004,$T116)="","",INDEX(Firms!$H$5:$H$1004,$T116)),IF(INDEX('AFA Rates'!$G$5:$G$1004,$T116)="","",INDEX('AFA Rates'!$G$5:$G$1004,$T116))))</f>
        <v/>
      </c>
      <c r="J116" s="50">
        <f>IF($T116="","",IF($S116="S",IF(INDEX(Firms!$I$5:$I$1004,$T116)="","",INDEX(Firms!$I$5:$I$1004,$T116)),IF(INDEX('AFA Rates'!$H$5:$H$1004,$T116)="","",INDEX('AFA Rates'!$H$5:$H$1004,$T116))))</f>
        <v/>
      </c>
      <c r="K116" s="50">
        <f>IF($T116="","",IF($S116="S",IF(INDEX(Firms!$J$5:$J$1004,$T116)="","",INDEX(Firms!$J$5:$J$1004,$T116)),IF(INDEX('AFA Rates'!$I$5:$I$1004,$T116)="","",INDEX('AFA Rates'!$I$5:$I$1004,$T116))))</f>
        <v/>
      </c>
      <c r="L116" s="50">
        <f>IF($T116="","",IF($S116="S",IF(INDEX(Firms!$K$5:$K$1004,$T116)="","",INDEX(Firms!$K$5:$K$1004,$T116)),IF(INDEX('AFA Rates'!$J$5:$J$1004,$T116)="","",INDEX('AFA Rates'!$J$5:$J$1004,$T116))))</f>
        <v/>
      </c>
      <c r="M116" s="50">
        <f>IF($T116="","",IF($S116="S",IF(INDEX(Firms!$L$5:$L$1004,$T116)="","",INDEX(Firms!$L$5:$L$1004,$T116)),IF(INDEX('AFA Rates'!$K$5:$K$1004,$T116)="","",INDEX('AFA Rates'!$K$5:$K$1004,$T116))))</f>
        <v/>
      </c>
      <c r="N116" s="50">
        <f>IF($T116="","",IF($S116="S",IF(INDEX(Firms!$M$5:$M$1004,$T116)="","",INDEX(Firms!$M$5:$M$1004,$T116)),IF(INDEX('AFA Rates'!$L$5:$L$1004,$T116)="","",INDEX('AFA Rates'!$L$5:$L$1004,$T116))))</f>
        <v/>
      </c>
      <c r="O116" s="78">
        <f>IF(OR($T116="",$U116=""),"",IF(INDEX(Firms!$C$5:$C$1004,$U116)="","",INDEX(Firms!$C$5:$C$1004,$U116)))</f>
        <v/>
      </c>
      <c r="P116" s="79">
        <f>IF(OR($T116="",$U116=""),"",IF(INDEX(Firms!$N$5:$N$1004,$U116)="","",INDEX(Firms!$N$5:$N$1004,$U116)))</f>
        <v/>
      </c>
      <c r="Q116" s="78">
        <f>IF($T116="","",IF($S116="S",IF(INDEX(Firms!$T$5:$T$1004,$T116)="","",INDEX(Firms!$T$5:$T$1004,$T116)),IF(INDEX('AFA Rates'!$M$5:$M$1004,$T116)="","",INDEX('AFA Rates'!$M$5:$M$1004,$T116))))</f>
        <v/>
      </c>
      <c r="S116">
        <f>IF(112&lt;=$S$2,"S",IF(112&lt;=$S$2+$T$2,"A",""))</f>
        <v/>
      </c>
      <c r="T116">
        <f>IF(S116="S",MATCH(112,Firms!$W$5:$W$1004,0),IF(S116="A",IFERROR(MATCH(112-$S$2,'AFA Rates'!$R$5:$R$1004,0),""),""))</f>
        <v/>
      </c>
      <c r="U116">
        <f>IF(S116="S",T116,IF(AND(S116="A",T116&lt;&gt;""),IFERROR(MATCH(INDEX('AFA Rates'!$A$5:$A$1004,T116),Firms!$A$5:$A$1004,0),""),""))</f>
        <v/>
      </c>
    </row>
    <row r="117">
      <c r="A117" s="78">
        <f>IF($T117="","",IF($S117="S",IF(INDEX(Firms!$A$5:$A$1004,$T117)="","",INDEX(Firms!$A$5:$A$1004,$T117)),IF(INDEX('AFA Rates'!$A$5:$A$1004,$T117)="","",INDEX('AFA Rates'!$A$5:$A$1004,$T117))))</f>
        <v/>
      </c>
      <c r="B117" s="79">
        <f>IF(OR($T117="",$U117=""),IF($T117="","","Not on Firms tab"),INDEX(Firms!$B$5:$B$1004,$U117)&amp;"")</f>
        <v/>
      </c>
      <c r="C117" s="78">
        <f>IF($T117="","",IF($S117="S","Standard",INDEX('AFA Rates'!$B$5:$B$1004,$T117)&amp;""))</f>
        <v/>
      </c>
      <c r="D117" s="88">
        <f>IF($T117="","",IF($S117="S",IF(INDEX(Firms!$E$5:$E$1004,$T117)="","",INDEX(Firms!$E$5:$E$1004,$T117)),IF(INDEX('AFA Rates'!$C$5:$C$1004,$T117)="","",INDEX('AFA Rates'!$C$5:$C$1004,$T117))))</f>
        <v/>
      </c>
      <c r="E117" s="88">
        <f>IF($T117="","",IF($S117="S",IF(""="","",""),IF(INDEX('AFA Rates'!$D$5:$D$1004,$T117)="","",INDEX('AFA Rates'!$D$5:$D$1004,$T117))))</f>
        <v/>
      </c>
      <c r="F117" s="79">
        <f>IF($T117="","",IF($S117="S",IF(INDEX(Firms!$O$5:$O$1004,$T117)="","",INDEX(Firms!$O$5:$O$1004,$T117)),IF(INDEX('AFA Rates'!$O$5:$O$1004,$T117)="","",INDEX('AFA Rates'!$O$5:$O$1004,$T117))))</f>
        <v/>
      </c>
      <c r="G117" s="50">
        <f>IF($T117="","",IF($S117="S",IF(INDEX(Firms!$F$5:$F$1004,$T117)="","",INDEX(Firms!$F$5:$F$1004,$T117)),IF(INDEX('AFA Rates'!$E$5:$E$1004,$T117)="","",INDEX('AFA Rates'!$E$5:$E$1004,$T117))))</f>
        <v/>
      </c>
      <c r="H117" s="50">
        <f>IF($T117="","",IF($S117="S",IF(INDEX(Firms!$G$5:$G$1004,$T117)="","",INDEX(Firms!$G$5:$G$1004,$T117)),IF(INDEX('AFA Rates'!$F$5:$F$1004,$T117)="","",INDEX('AFA Rates'!$F$5:$F$1004,$T117))))</f>
        <v/>
      </c>
      <c r="I117" s="50">
        <f>IF($T117="","",IF($S117="S",IF(INDEX(Firms!$H$5:$H$1004,$T117)="","",INDEX(Firms!$H$5:$H$1004,$T117)),IF(INDEX('AFA Rates'!$G$5:$G$1004,$T117)="","",INDEX('AFA Rates'!$G$5:$G$1004,$T117))))</f>
        <v/>
      </c>
      <c r="J117" s="50">
        <f>IF($T117="","",IF($S117="S",IF(INDEX(Firms!$I$5:$I$1004,$T117)="","",INDEX(Firms!$I$5:$I$1004,$T117)),IF(INDEX('AFA Rates'!$H$5:$H$1004,$T117)="","",INDEX('AFA Rates'!$H$5:$H$1004,$T117))))</f>
        <v/>
      </c>
      <c r="K117" s="50">
        <f>IF($T117="","",IF($S117="S",IF(INDEX(Firms!$J$5:$J$1004,$T117)="","",INDEX(Firms!$J$5:$J$1004,$T117)),IF(INDEX('AFA Rates'!$I$5:$I$1004,$T117)="","",INDEX('AFA Rates'!$I$5:$I$1004,$T117))))</f>
        <v/>
      </c>
      <c r="L117" s="50">
        <f>IF($T117="","",IF($S117="S",IF(INDEX(Firms!$K$5:$K$1004,$T117)="","",INDEX(Firms!$K$5:$K$1004,$T117)),IF(INDEX('AFA Rates'!$J$5:$J$1004,$T117)="","",INDEX('AFA Rates'!$J$5:$J$1004,$T117))))</f>
        <v/>
      </c>
      <c r="M117" s="50">
        <f>IF($T117="","",IF($S117="S",IF(INDEX(Firms!$L$5:$L$1004,$T117)="","",INDEX(Firms!$L$5:$L$1004,$T117)),IF(INDEX('AFA Rates'!$K$5:$K$1004,$T117)="","",INDEX('AFA Rates'!$K$5:$K$1004,$T117))))</f>
        <v/>
      </c>
      <c r="N117" s="50">
        <f>IF($T117="","",IF($S117="S",IF(INDEX(Firms!$M$5:$M$1004,$T117)="","",INDEX(Firms!$M$5:$M$1004,$T117)),IF(INDEX('AFA Rates'!$L$5:$L$1004,$T117)="","",INDEX('AFA Rates'!$L$5:$L$1004,$T117))))</f>
        <v/>
      </c>
      <c r="O117" s="78">
        <f>IF(OR($T117="",$U117=""),"",IF(INDEX(Firms!$C$5:$C$1004,$U117)="","",INDEX(Firms!$C$5:$C$1004,$U117)))</f>
        <v/>
      </c>
      <c r="P117" s="79">
        <f>IF(OR($T117="",$U117=""),"",IF(INDEX(Firms!$N$5:$N$1004,$U117)="","",INDEX(Firms!$N$5:$N$1004,$U117)))</f>
        <v/>
      </c>
      <c r="Q117" s="78">
        <f>IF($T117="","",IF($S117="S",IF(INDEX(Firms!$T$5:$T$1004,$T117)="","",INDEX(Firms!$T$5:$T$1004,$T117)),IF(INDEX('AFA Rates'!$M$5:$M$1004,$T117)="","",INDEX('AFA Rates'!$M$5:$M$1004,$T117))))</f>
        <v/>
      </c>
      <c r="S117">
        <f>IF(113&lt;=$S$2,"S",IF(113&lt;=$S$2+$T$2,"A",""))</f>
        <v/>
      </c>
      <c r="T117">
        <f>IF(S117="S",MATCH(113,Firms!$W$5:$W$1004,0),IF(S117="A",IFERROR(MATCH(113-$S$2,'AFA Rates'!$R$5:$R$1004,0),""),""))</f>
        <v/>
      </c>
      <c r="U117">
        <f>IF(S117="S",T117,IF(AND(S117="A",T117&lt;&gt;""),IFERROR(MATCH(INDEX('AFA Rates'!$A$5:$A$1004,T117),Firms!$A$5:$A$1004,0),""),""))</f>
        <v/>
      </c>
    </row>
    <row r="118">
      <c r="A118" s="78">
        <f>IF($T118="","",IF($S118="S",IF(INDEX(Firms!$A$5:$A$1004,$T118)="","",INDEX(Firms!$A$5:$A$1004,$T118)),IF(INDEX('AFA Rates'!$A$5:$A$1004,$T118)="","",INDEX('AFA Rates'!$A$5:$A$1004,$T118))))</f>
        <v/>
      </c>
      <c r="B118" s="79">
        <f>IF(OR($T118="",$U118=""),IF($T118="","","Not on Firms tab"),INDEX(Firms!$B$5:$B$1004,$U118)&amp;"")</f>
        <v/>
      </c>
      <c r="C118" s="78">
        <f>IF($T118="","",IF($S118="S","Standard",INDEX('AFA Rates'!$B$5:$B$1004,$T118)&amp;""))</f>
        <v/>
      </c>
      <c r="D118" s="88">
        <f>IF($T118="","",IF($S118="S",IF(INDEX(Firms!$E$5:$E$1004,$T118)="","",INDEX(Firms!$E$5:$E$1004,$T118)),IF(INDEX('AFA Rates'!$C$5:$C$1004,$T118)="","",INDEX('AFA Rates'!$C$5:$C$1004,$T118))))</f>
        <v/>
      </c>
      <c r="E118" s="88">
        <f>IF($T118="","",IF($S118="S",IF(""="","",""),IF(INDEX('AFA Rates'!$D$5:$D$1004,$T118)="","",INDEX('AFA Rates'!$D$5:$D$1004,$T118))))</f>
        <v/>
      </c>
      <c r="F118" s="79">
        <f>IF($T118="","",IF($S118="S",IF(INDEX(Firms!$O$5:$O$1004,$T118)="","",INDEX(Firms!$O$5:$O$1004,$T118)),IF(INDEX('AFA Rates'!$O$5:$O$1004,$T118)="","",INDEX('AFA Rates'!$O$5:$O$1004,$T118))))</f>
        <v/>
      </c>
      <c r="G118" s="50">
        <f>IF($T118="","",IF($S118="S",IF(INDEX(Firms!$F$5:$F$1004,$T118)="","",INDEX(Firms!$F$5:$F$1004,$T118)),IF(INDEX('AFA Rates'!$E$5:$E$1004,$T118)="","",INDEX('AFA Rates'!$E$5:$E$1004,$T118))))</f>
        <v/>
      </c>
      <c r="H118" s="50">
        <f>IF($T118="","",IF($S118="S",IF(INDEX(Firms!$G$5:$G$1004,$T118)="","",INDEX(Firms!$G$5:$G$1004,$T118)),IF(INDEX('AFA Rates'!$F$5:$F$1004,$T118)="","",INDEX('AFA Rates'!$F$5:$F$1004,$T118))))</f>
        <v/>
      </c>
      <c r="I118" s="50">
        <f>IF($T118="","",IF($S118="S",IF(INDEX(Firms!$H$5:$H$1004,$T118)="","",INDEX(Firms!$H$5:$H$1004,$T118)),IF(INDEX('AFA Rates'!$G$5:$G$1004,$T118)="","",INDEX('AFA Rates'!$G$5:$G$1004,$T118))))</f>
        <v/>
      </c>
      <c r="J118" s="50">
        <f>IF($T118="","",IF($S118="S",IF(INDEX(Firms!$I$5:$I$1004,$T118)="","",INDEX(Firms!$I$5:$I$1004,$T118)),IF(INDEX('AFA Rates'!$H$5:$H$1004,$T118)="","",INDEX('AFA Rates'!$H$5:$H$1004,$T118))))</f>
        <v/>
      </c>
      <c r="K118" s="50">
        <f>IF($T118="","",IF($S118="S",IF(INDEX(Firms!$J$5:$J$1004,$T118)="","",INDEX(Firms!$J$5:$J$1004,$T118)),IF(INDEX('AFA Rates'!$I$5:$I$1004,$T118)="","",INDEX('AFA Rates'!$I$5:$I$1004,$T118))))</f>
        <v/>
      </c>
      <c r="L118" s="50">
        <f>IF($T118="","",IF($S118="S",IF(INDEX(Firms!$K$5:$K$1004,$T118)="","",INDEX(Firms!$K$5:$K$1004,$T118)),IF(INDEX('AFA Rates'!$J$5:$J$1004,$T118)="","",INDEX('AFA Rates'!$J$5:$J$1004,$T118))))</f>
        <v/>
      </c>
      <c r="M118" s="50">
        <f>IF($T118="","",IF($S118="S",IF(INDEX(Firms!$L$5:$L$1004,$T118)="","",INDEX(Firms!$L$5:$L$1004,$T118)),IF(INDEX('AFA Rates'!$K$5:$K$1004,$T118)="","",INDEX('AFA Rates'!$K$5:$K$1004,$T118))))</f>
        <v/>
      </c>
      <c r="N118" s="50">
        <f>IF($T118="","",IF($S118="S",IF(INDEX(Firms!$M$5:$M$1004,$T118)="","",INDEX(Firms!$M$5:$M$1004,$T118)),IF(INDEX('AFA Rates'!$L$5:$L$1004,$T118)="","",INDEX('AFA Rates'!$L$5:$L$1004,$T118))))</f>
        <v/>
      </c>
      <c r="O118" s="78">
        <f>IF(OR($T118="",$U118=""),"",IF(INDEX(Firms!$C$5:$C$1004,$U118)="","",INDEX(Firms!$C$5:$C$1004,$U118)))</f>
        <v/>
      </c>
      <c r="P118" s="79">
        <f>IF(OR($T118="",$U118=""),"",IF(INDEX(Firms!$N$5:$N$1004,$U118)="","",INDEX(Firms!$N$5:$N$1004,$U118)))</f>
        <v/>
      </c>
      <c r="Q118" s="78">
        <f>IF($T118="","",IF($S118="S",IF(INDEX(Firms!$T$5:$T$1004,$T118)="","",INDEX(Firms!$T$5:$T$1004,$T118)),IF(INDEX('AFA Rates'!$M$5:$M$1004,$T118)="","",INDEX('AFA Rates'!$M$5:$M$1004,$T118))))</f>
        <v/>
      </c>
      <c r="S118">
        <f>IF(114&lt;=$S$2,"S",IF(114&lt;=$S$2+$T$2,"A",""))</f>
        <v/>
      </c>
      <c r="T118">
        <f>IF(S118="S",MATCH(114,Firms!$W$5:$W$1004,0),IF(S118="A",IFERROR(MATCH(114-$S$2,'AFA Rates'!$R$5:$R$1004,0),""),""))</f>
        <v/>
      </c>
      <c r="U118">
        <f>IF(S118="S",T118,IF(AND(S118="A",T118&lt;&gt;""),IFERROR(MATCH(INDEX('AFA Rates'!$A$5:$A$1004,T118),Firms!$A$5:$A$1004,0),""),""))</f>
        <v/>
      </c>
    </row>
    <row r="119">
      <c r="A119" s="78">
        <f>IF($T119="","",IF($S119="S",IF(INDEX(Firms!$A$5:$A$1004,$T119)="","",INDEX(Firms!$A$5:$A$1004,$T119)),IF(INDEX('AFA Rates'!$A$5:$A$1004,$T119)="","",INDEX('AFA Rates'!$A$5:$A$1004,$T119))))</f>
        <v/>
      </c>
      <c r="B119" s="79">
        <f>IF(OR($T119="",$U119=""),IF($T119="","","Not on Firms tab"),INDEX(Firms!$B$5:$B$1004,$U119)&amp;"")</f>
        <v/>
      </c>
      <c r="C119" s="78">
        <f>IF($T119="","",IF($S119="S","Standard",INDEX('AFA Rates'!$B$5:$B$1004,$T119)&amp;""))</f>
        <v/>
      </c>
      <c r="D119" s="88">
        <f>IF($T119="","",IF($S119="S",IF(INDEX(Firms!$E$5:$E$1004,$T119)="","",INDEX(Firms!$E$5:$E$1004,$T119)),IF(INDEX('AFA Rates'!$C$5:$C$1004,$T119)="","",INDEX('AFA Rates'!$C$5:$C$1004,$T119))))</f>
        <v/>
      </c>
      <c r="E119" s="88">
        <f>IF($T119="","",IF($S119="S",IF(""="","",""),IF(INDEX('AFA Rates'!$D$5:$D$1004,$T119)="","",INDEX('AFA Rates'!$D$5:$D$1004,$T119))))</f>
        <v/>
      </c>
      <c r="F119" s="79">
        <f>IF($T119="","",IF($S119="S",IF(INDEX(Firms!$O$5:$O$1004,$T119)="","",INDEX(Firms!$O$5:$O$1004,$T119)),IF(INDEX('AFA Rates'!$O$5:$O$1004,$T119)="","",INDEX('AFA Rates'!$O$5:$O$1004,$T119))))</f>
        <v/>
      </c>
      <c r="G119" s="50">
        <f>IF($T119="","",IF($S119="S",IF(INDEX(Firms!$F$5:$F$1004,$T119)="","",INDEX(Firms!$F$5:$F$1004,$T119)),IF(INDEX('AFA Rates'!$E$5:$E$1004,$T119)="","",INDEX('AFA Rates'!$E$5:$E$1004,$T119))))</f>
        <v/>
      </c>
      <c r="H119" s="50">
        <f>IF($T119="","",IF($S119="S",IF(INDEX(Firms!$G$5:$G$1004,$T119)="","",INDEX(Firms!$G$5:$G$1004,$T119)),IF(INDEX('AFA Rates'!$F$5:$F$1004,$T119)="","",INDEX('AFA Rates'!$F$5:$F$1004,$T119))))</f>
        <v/>
      </c>
      <c r="I119" s="50">
        <f>IF($T119="","",IF($S119="S",IF(INDEX(Firms!$H$5:$H$1004,$T119)="","",INDEX(Firms!$H$5:$H$1004,$T119)),IF(INDEX('AFA Rates'!$G$5:$G$1004,$T119)="","",INDEX('AFA Rates'!$G$5:$G$1004,$T119))))</f>
        <v/>
      </c>
      <c r="J119" s="50">
        <f>IF($T119="","",IF($S119="S",IF(INDEX(Firms!$I$5:$I$1004,$T119)="","",INDEX(Firms!$I$5:$I$1004,$T119)),IF(INDEX('AFA Rates'!$H$5:$H$1004,$T119)="","",INDEX('AFA Rates'!$H$5:$H$1004,$T119))))</f>
        <v/>
      </c>
      <c r="K119" s="50">
        <f>IF($T119="","",IF($S119="S",IF(INDEX(Firms!$J$5:$J$1004,$T119)="","",INDEX(Firms!$J$5:$J$1004,$T119)),IF(INDEX('AFA Rates'!$I$5:$I$1004,$T119)="","",INDEX('AFA Rates'!$I$5:$I$1004,$T119))))</f>
        <v/>
      </c>
      <c r="L119" s="50">
        <f>IF($T119="","",IF($S119="S",IF(INDEX(Firms!$K$5:$K$1004,$T119)="","",INDEX(Firms!$K$5:$K$1004,$T119)),IF(INDEX('AFA Rates'!$J$5:$J$1004,$T119)="","",INDEX('AFA Rates'!$J$5:$J$1004,$T119))))</f>
        <v/>
      </c>
      <c r="M119" s="50">
        <f>IF($T119="","",IF($S119="S",IF(INDEX(Firms!$L$5:$L$1004,$T119)="","",INDEX(Firms!$L$5:$L$1004,$T119)),IF(INDEX('AFA Rates'!$K$5:$K$1004,$T119)="","",INDEX('AFA Rates'!$K$5:$K$1004,$T119))))</f>
        <v/>
      </c>
      <c r="N119" s="50">
        <f>IF($T119="","",IF($S119="S",IF(INDEX(Firms!$M$5:$M$1004,$T119)="","",INDEX(Firms!$M$5:$M$1004,$T119)),IF(INDEX('AFA Rates'!$L$5:$L$1004,$T119)="","",INDEX('AFA Rates'!$L$5:$L$1004,$T119))))</f>
        <v/>
      </c>
      <c r="O119" s="78">
        <f>IF(OR($T119="",$U119=""),"",IF(INDEX(Firms!$C$5:$C$1004,$U119)="","",INDEX(Firms!$C$5:$C$1004,$U119)))</f>
        <v/>
      </c>
      <c r="P119" s="79">
        <f>IF(OR($T119="",$U119=""),"",IF(INDEX(Firms!$N$5:$N$1004,$U119)="","",INDEX(Firms!$N$5:$N$1004,$U119)))</f>
        <v/>
      </c>
      <c r="Q119" s="78">
        <f>IF($T119="","",IF($S119="S",IF(INDEX(Firms!$T$5:$T$1004,$T119)="","",INDEX(Firms!$T$5:$T$1004,$T119)),IF(INDEX('AFA Rates'!$M$5:$M$1004,$T119)="","",INDEX('AFA Rates'!$M$5:$M$1004,$T119))))</f>
        <v/>
      </c>
      <c r="S119">
        <f>IF(115&lt;=$S$2,"S",IF(115&lt;=$S$2+$T$2,"A",""))</f>
        <v/>
      </c>
      <c r="T119">
        <f>IF(S119="S",MATCH(115,Firms!$W$5:$W$1004,0),IF(S119="A",IFERROR(MATCH(115-$S$2,'AFA Rates'!$R$5:$R$1004,0),""),""))</f>
        <v/>
      </c>
      <c r="U119">
        <f>IF(S119="S",T119,IF(AND(S119="A",T119&lt;&gt;""),IFERROR(MATCH(INDEX('AFA Rates'!$A$5:$A$1004,T119),Firms!$A$5:$A$1004,0),""),""))</f>
        <v/>
      </c>
    </row>
    <row r="120">
      <c r="A120" s="78">
        <f>IF($T120="","",IF($S120="S",IF(INDEX(Firms!$A$5:$A$1004,$T120)="","",INDEX(Firms!$A$5:$A$1004,$T120)),IF(INDEX('AFA Rates'!$A$5:$A$1004,$T120)="","",INDEX('AFA Rates'!$A$5:$A$1004,$T120))))</f>
        <v/>
      </c>
      <c r="B120" s="79">
        <f>IF(OR($T120="",$U120=""),IF($T120="","","Not on Firms tab"),INDEX(Firms!$B$5:$B$1004,$U120)&amp;"")</f>
        <v/>
      </c>
      <c r="C120" s="78">
        <f>IF($T120="","",IF($S120="S","Standard",INDEX('AFA Rates'!$B$5:$B$1004,$T120)&amp;""))</f>
        <v/>
      </c>
      <c r="D120" s="88">
        <f>IF($T120="","",IF($S120="S",IF(INDEX(Firms!$E$5:$E$1004,$T120)="","",INDEX(Firms!$E$5:$E$1004,$T120)),IF(INDEX('AFA Rates'!$C$5:$C$1004,$T120)="","",INDEX('AFA Rates'!$C$5:$C$1004,$T120))))</f>
        <v/>
      </c>
      <c r="E120" s="88">
        <f>IF($T120="","",IF($S120="S",IF(""="","",""),IF(INDEX('AFA Rates'!$D$5:$D$1004,$T120)="","",INDEX('AFA Rates'!$D$5:$D$1004,$T120))))</f>
        <v/>
      </c>
      <c r="F120" s="79">
        <f>IF($T120="","",IF($S120="S",IF(INDEX(Firms!$O$5:$O$1004,$T120)="","",INDEX(Firms!$O$5:$O$1004,$T120)),IF(INDEX('AFA Rates'!$O$5:$O$1004,$T120)="","",INDEX('AFA Rates'!$O$5:$O$1004,$T120))))</f>
        <v/>
      </c>
      <c r="G120" s="50">
        <f>IF($T120="","",IF($S120="S",IF(INDEX(Firms!$F$5:$F$1004,$T120)="","",INDEX(Firms!$F$5:$F$1004,$T120)),IF(INDEX('AFA Rates'!$E$5:$E$1004,$T120)="","",INDEX('AFA Rates'!$E$5:$E$1004,$T120))))</f>
        <v/>
      </c>
      <c r="H120" s="50">
        <f>IF($T120="","",IF($S120="S",IF(INDEX(Firms!$G$5:$G$1004,$T120)="","",INDEX(Firms!$G$5:$G$1004,$T120)),IF(INDEX('AFA Rates'!$F$5:$F$1004,$T120)="","",INDEX('AFA Rates'!$F$5:$F$1004,$T120))))</f>
        <v/>
      </c>
      <c r="I120" s="50">
        <f>IF($T120="","",IF($S120="S",IF(INDEX(Firms!$H$5:$H$1004,$T120)="","",INDEX(Firms!$H$5:$H$1004,$T120)),IF(INDEX('AFA Rates'!$G$5:$G$1004,$T120)="","",INDEX('AFA Rates'!$G$5:$G$1004,$T120))))</f>
        <v/>
      </c>
      <c r="J120" s="50">
        <f>IF($T120="","",IF($S120="S",IF(INDEX(Firms!$I$5:$I$1004,$T120)="","",INDEX(Firms!$I$5:$I$1004,$T120)),IF(INDEX('AFA Rates'!$H$5:$H$1004,$T120)="","",INDEX('AFA Rates'!$H$5:$H$1004,$T120))))</f>
        <v/>
      </c>
      <c r="K120" s="50">
        <f>IF($T120="","",IF($S120="S",IF(INDEX(Firms!$J$5:$J$1004,$T120)="","",INDEX(Firms!$J$5:$J$1004,$T120)),IF(INDEX('AFA Rates'!$I$5:$I$1004,$T120)="","",INDEX('AFA Rates'!$I$5:$I$1004,$T120))))</f>
        <v/>
      </c>
      <c r="L120" s="50">
        <f>IF($T120="","",IF($S120="S",IF(INDEX(Firms!$K$5:$K$1004,$T120)="","",INDEX(Firms!$K$5:$K$1004,$T120)),IF(INDEX('AFA Rates'!$J$5:$J$1004,$T120)="","",INDEX('AFA Rates'!$J$5:$J$1004,$T120))))</f>
        <v/>
      </c>
      <c r="M120" s="50">
        <f>IF($T120="","",IF($S120="S",IF(INDEX(Firms!$L$5:$L$1004,$T120)="","",INDEX(Firms!$L$5:$L$1004,$T120)),IF(INDEX('AFA Rates'!$K$5:$K$1004,$T120)="","",INDEX('AFA Rates'!$K$5:$K$1004,$T120))))</f>
        <v/>
      </c>
      <c r="N120" s="50">
        <f>IF($T120="","",IF($S120="S",IF(INDEX(Firms!$M$5:$M$1004,$T120)="","",INDEX(Firms!$M$5:$M$1004,$T120)),IF(INDEX('AFA Rates'!$L$5:$L$1004,$T120)="","",INDEX('AFA Rates'!$L$5:$L$1004,$T120))))</f>
        <v/>
      </c>
      <c r="O120" s="78">
        <f>IF(OR($T120="",$U120=""),"",IF(INDEX(Firms!$C$5:$C$1004,$U120)="","",INDEX(Firms!$C$5:$C$1004,$U120)))</f>
        <v/>
      </c>
      <c r="P120" s="79">
        <f>IF(OR($T120="",$U120=""),"",IF(INDEX(Firms!$N$5:$N$1004,$U120)="","",INDEX(Firms!$N$5:$N$1004,$U120)))</f>
        <v/>
      </c>
      <c r="Q120" s="78">
        <f>IF($T120="","",IF($S120="S",IF(INDEX(Firms!$T$5:$T$1004,$T120)="","",INDEX(Firms!$T$5:$T$1004,$T120)),IF(INDEX('AFA Rates'!$M$5:$M$1004,$T120)="","",INDEX('AFA Rates'!$M$5:$M$1004,$T120))))</f>
        <v/>
      </c>
      <c r="S120">
        <f>IF(116&lt;=$S$2,"S",IF(116&lt;=$S$2+$T$2,"A",""))</f>
        <v/>
      </c>
      <c r="T120">
        <f>IF(S120="S",MATCH(116,Firms!$W$5:$W$1004,0),IF(S120="A",IFERROR(MATCH(116-$S$2,'AFA Rates'!$R$5:$R$1004,0),""),""))</f>
        <v/>
      </c>
      <c r="U120">
        <f>IF(S120="S",T120,IF(AND(S120="A",T120&lt;&gt;""),IFERROR(MATCH(INDEX('AFA Rates'!$A$5:$A$1004,T120),Firms!$A$5:$A$1004,0),""),""))</f>
        <v/>
      </c>
    </row>
    <row r="121">
      <c r="A121" s="78">
        <f>IF($T121="","",IF($S121="S",IF(INDEX(Firms!$A$5:$A$1004,$T121)="","",INDEX(Firms!$A$5:$A$1004,$T121)),IF(INDEX('AFA Rates'!$A$5:$A$1004,$T121)="","",INDEX('AFA Rates'!$A$5:$A$1004,$T121))))</f>
        <v/>
      </c>
      <c r="B121" s="79">
        <f>IF(OR($T121="",$U121=""),IF($T121="","","Not on Firms tab"),INDEX(Firms!$B$5:$B$1004,$U121)&amp;"")</f>
        <v/>
      </c>
      <c r="C121" s="78">
        <f>IF($T121="","",IF($S121="S","Standard",INDEX('AFA Rates'!$B$5:$B$1004,$T121)&amp;""))</f>
        <v/>
      </c>
      <c r="D121" s="88">
        <f>IF($T121="","",IF($S121="S",IF(INDEX(Firms!$E$5:$E$1004,$T121)="","",INDEX(Firms!$E$5:$E$1004,$T121)),IF(INDEX('AFA Rates'!$C$5:$C$1004,$T121)="","",INDEX('AFA Rates'!$C$5:$C$1004,$T121))))</f>
        <v/>
      </c>
      <c r="E121" s="88">
        <f>IF($T121="","",IF($S121="S",IF(""="","",""),IF(INDEX('AFA Rates'!$D$5:$D$1004,$T121)="","",INDEX('AFA Rates'!$D$5:$D$1004,$T121))))</f>
        <v/>
      </c>
      <c r="F121" s="79">
        <f>IF($T121="","",IF($S121="S",IF(INDEX(Firms!$O$5:$O$1004,$T121)="","",INDEX(Firms!$O$5:$O$1004,$T121)),IF(INDEX('AFA Rates'!$O$5:$O$1004,$T121)="","",INDEX('AFA Rates'!$O$5:$O$1004,$T121))))</f>
        <v/>
      </c>
      <c r="G121" s="50">
        <f>IF($T121="","",IF($S121="S",IF(INDEX(Firms!$F$5:$F$1004,$T121)="","",INDEX(Firms!$F$5:$F$1004,$T121)),IF(INDEX('AFA Rates'!$E$5:$E$1004,$T121)="","",INDEX('AFA Rates'!$E$5:$E$1004,$T121))))</f>
        <v/>
      </c>
      <c r="H121" s="50">
        <f>IF($T121="","",IF($S121="S",IF(INDEX(Firms!$G$5:$G$1004,$T121)="","",INDEX(Firms!$G$5:$G$1004,$T121)),IF(INDEX('AFA Rates'!$F$5:$F$1004,$T121)="","",INDEX('AFA Rates'!$F$5:$F$1004,$T121))))</f>
        <v/>
      </c>
      <c r="I121" s="50">
        <f>IF($T121="","",IF($S121="S",IF(INDEX(Firms!$H$5:$H$1004,$T121)="","",INDEX(Firms!$H$5:$H$1004,$T121)),IF(INDEX('AFA Rates'!$G$5:$G$1004,$T121)="","",INDEX('AFA Rates'!$G$5:$G$1004,$T121))))</f>
        <v/>
      </c>
      <c r="J121" s="50">
        <f>IF($T121="","",IF($S121="S",IF(INDEX(Firms!$I$5:$I$1004,$T121)="","",INDEX(Firms!$I$5:$I$1004,$T121)),IF(INDEX('AFA Rates'!$H$5:$H$1004,$T121)="","",INDEX('AFA Rates'!$H$5:$H$1004,$T121))))</f>
        <v/>
      </c>
      <c r="K121" s="50">
        <f>IF($T121="","",IF($S121="S",IF(INDEX(Firms!$J$5:$J$1004,$T121)="","",INDEX(Firms!$J$5:$J$1004,$T121)),IF(INDEX('AFA Rates'!$I$5:$I$1004,$T121)="","",INDEX('AFA Rates'!$I$5:$I$1004,$T121))))</f>
        <v/>
      </c>
      <c r="L121" s="50">
        <f>IF($T121="","",IF($S121="S",IF(INDEX(Firms!$K$5:$K$1004,$T121)="","",INDEX(Firms!$K$5:$K$1004,$T121)),IF(INDEX('AFA Rates'!$J$5:$J$1004,$T121)="","",INDEX('AFA Rates'!$J$5:$J$1004,$T121))))</f>
        <v/>
      </c>
      <c r="M121" s="50">
        <f>IF($T121="","",IF($S121="S",IF(INDEX(Firms!$L$5:$L$1004,$T121)="","",INDEX(Firms!$L$5:$L$1004,$T121)),IF(INDEX('AFA Rates'!$K$5:$K$1004,$T121)="","",INDEX('AFA Rates'!$K$5:$K$1004,$T121))))</f>
        <v/>
      </c>
      <c r="N121" s="50">
        <f>IF($T121="","",IF($S121="S",IF(INDEX(Firms!$M$5:$M$1004,$T121)="","",INDEX(Firms!$M$5:$M$1004,$T121)),IF(INDEX('AFA Rates'!$L$5:$L$1004,$T121)="","",INDEX('AFA Rates'!$L$5:$L$1004,$T121))))</f>
        <v/>
      </c>
      <c r="O121" s="78">
        <f>IF(OR($T121="",$U121=""),"",IF(INDEX(Firms!$C$5:$C$1004,$U121)="","",INDEX(Firms!$C$5:$C$1004,$U121)))</f>
        <v/>
      </c>
      <c r="P121" s="79">
        <f>IF(OR($T121="",$U121=""),"",IF(INDEX(Firms!$N$5:$N$1004,$U121)="","",INDEX(Firms!$N$5:$N$1004,$U121)))</f>
        <v/>
      </c>
      <c r="Q121" s="78">
        <f>IF($T121="","",IF($S121="S",IF(INDEX(Firms!$T$5:$T$1004,$T121)="","",INDEX(Firms!$T$5:$T$1004,$T121)),IF(INDEX('AFA Rates'!$M$5:$M$1004,$T121)="","",INDEX('AFA Rates'!$M$5:$M$1004,$T121))))</f>
        <v/>
      </c>
      <c r="S121">
        <f>IF(117&lt;=$S$2,"S",IF(117&lt;=$S$2+$T$2,"A",""))</f>
        <v/>
      </c>
      <c r="T121">
        <f>IF(S121="S",MATCH(117,Firms!$W$5:$W$1004,0),IF(S121="A",IFERROR(MATCH(117-$S$2,'AFA Rates'!$R$5:$R$1004,0),""),""))</f>
        <v/>
      </c>
      <c r="U121">
        <f>IF(S121="S",T121,IF(AND(S121="A",T121&lt;&gt;""),IFERROR(MATCH(INDEX('AFA Rates'!$A$5:$A$1004,T121),Firms!$A$5:$A$1004,0),""),""))</f>
        <v/>
      </c>
    </row>
    <row r="122">
      <c r="A122" s="78">
        <f>IF($T122="","",IF($S122="S",IF(INDEX(Firms!$A$5:$A$1004,$T122)="","",INDEX(Firms!$A$5:$A$1004,$T122)),IF(INDEX('AFA Rates'!$A$5:$A$1004,$T122)="","",INDEX('AFA Rates'!$A$5:$A$1004,$T122))))</f>
        <v/>
      </c>
      <c r="B122" s="79">
        <f>IF(OR($T122="",$U122=""),IF($T122="","","Not on Firms tab"),INDEX(Firms!$B$5:$B$1004,$U122)&amp;"")</f>
        <v/>
      </c>
      <c r="C122" s="78">
        <f>IF($T122="","",IF($S122="S","Standard",INDEX('AFA Rates'!$B$5:$B$1004,$T122)&amp;""))</f>
        <v/>
      </c>
      <c r="D122" s="88">
        <f>IF($T122="","",IF($S122="S",IF(INDEX(Firms!$E$5:$E$1004,$T122)="","",INDEX(Firms!$E$5:$E$1004,$T122)),IF(INDEX('AFA Rates'!$C$5:$C$1004,$T122)="","",INDEX('AFA Rates'!$C$5:$C$1004,$T122))))</f>
        <v/>
      </c>
      <c r="E122" s="88">
        <f>IF($T122="","",IF($S122="S",IF(""="","",""),IF(INDEX('AFA Rates'!$D$5:$D$1004,$T122)="","",INDEX('AFA Rates'!$D$5:$D$1004,$T122))))</f>
        <v/>
      </c>
      <c r="F122" s="79">
        <f>IF($T122="","",IF($S122="S",IF(INDEX(Firms!$O$5:$O$1004,$T122)="","",INDEX(Firms!$O$5:$O$1004,$T122)),IF(INDEX('AFA Rates'!$O$5:$O$1004,$T122)="","",INDEX('AFA Rates'!$O$5:$O$1004,$T122))))</f>
        <v/>
      </c>
      <c r="G122" s="50">
        <f>IF($T122="","",IF($S122="S",IF(INDEX(Firms!$F$5:$F$1004,$T122)="","",INDEX(Firms!$F$5:$F$1004,$T122)),IF(INDEX('AFA Rates'!$E$5:$E$1004,$T122)="","",INDEX('AFA Rates'!$E$5:$E$1004,$T122))))</f>
        <v/>
      </c>
      <c r="H122" s="50">
        <f>IF($T122="","",IF($S122="S",IF(INDEX(Firms!$G$5:$G$1004,$T122)="","",INDEX(Firms!$G$5:$G$1004,$T122)),IF(INDEX('AFA Rates'!$F$5:$F$1004,$T122)="","",INDEX('AFA Rates'!$F$5:$F$1004,$T122))))</f>
        <v/>
      </c>
      <c r="I122" s="50">
        <f>IF($T122="","",IF($S122="S",IF(INDEX(Firms!$H$5:$H$1004,$T122)="","",INDEX(Firms!$H$5:$H$1004,$T122)),IF(INDEX('AFA Rates'!$G$5:$G$1004,$T122)="","",INDEX('AFA Rates'!$G$5:$G$1004,$T122))))</f>
        <v/>
      </c>
      <c r="J122" s="50">
        <f>IF($T122="","",IF($S122="S",IF(INDEX(Firms!$I$5:$I$1004,$T122)="","",INDEX(Firms!$I$5:$I$1004,$T122)),IF(INDEX('AFA Rates'!$H$5:$H$1004,$T122)="","",INDEX('AFA Rates'!$H$5:$H$1004,$T122))))</f>
        <v/>
      </c>
      <c r="K122" s="50">
        <f>IF($T122="","",IF($S122="S",IF(INDEX(Firms!$J$5:$J$1004,$T122)="","",INDEX(Firms!$J$5:$J$1004,$T122)),IF(INDEX('AFA Rates'!$I$5:$I$1004,$T122)="","",INDEX('AFA Rates'!$I$5:$I$1004,$T122))))</f>
        <v/>
      </c>
      <c r="L122" s="50">
        <f>IF($T122="","",IF($S122="S",IF(INDEX(Firms!$K$5:$K$1004,$T122)="","",INDEX(Firms!$K$5:$K$1004,$T122)),IF(INDEX('AFA Rates'!$J$5:$J$1004,$T122)="","",INDEX('AFA Rates'!$J$5:$J$1004,$T122))))</f>
        <v/>
      </c>
      <c r="M122" s="50">
        <f>IF($T122="","",IF($S122="S",IF(INDEX(Firms!$L$5:$L$1004,$T122)="","",INDEX(Firms!$L$5:$L$1004,$T122)),IF(INDEX('AFA Rates'!$K$5:$K$1004,$T122)="","",INDEX('AFA Rates'!$K$5:$K$1004,$T122))))</f>
        <v/>
      </c>
      <c r="N122" s="50">
        <f>IF($T122="","",IF($S122="S",IF(INDEX(Firms!$M$5:$M$1004,$T122)="","",INDEX(Firms!$M$5:$M$1004,$T122)),IF(INDEX('AFA Rates'!$L$5:$L$1004,$T122)="","",INDEX('AFA Rates'!$L$5:$L$1004,$T122))))</f>
        <v/>
      </c>
      <c r="O122" s="78">
        <f>IF(OR($T122="",$U122=""),"",IF(INDEX(Firms!$C$5:$C$1004,$U122)="","",INDEX(Firms!$C$5:$C$1004,$U122)))</f>
        <v/>
      </c>
      <c r="P122" s="79">
        <f>IF(OR($T122="",$U122=""),"",IF(INDEX(Firms!$N$5:$N$1004,$U122)="","",INDEX(Firms!$N$5:$N$1004,$U122)))</f>
        <v/>
      </c>
      <c r="Q122" s="78">
        <f>IF($T122="","",IF($S122="S",IF(INDEX(Firms!$T$5:$T$1004,$T122)="","",INDEX(Firms!$T$5:$T$1004,$T122)),IF(INDEX('AFA Rates'!$M$5:$M$1004,$T122)="","",INDEX('AFA Rates'!$M$5:$M$1004,$T122))))</f>
        <v/>
      </c>
      <c r="S122">
        <f>IF(118&lt;=$S$2,"S",IF(118&lt;=$S$2+$T$2,"A",""))</f>
        <v/>
      </c>
      <c r="T122">
        <f>IF(S122="S",MATCH(118,Firms!$W$5:$W$1004,0),IF(S122="A",IFERROR(MATCH(118-$S$2,'AFA Rates'!$R$5:$R$1004,0),""),""))</f>
        <v/>
      </c>
      <c r="U122">
        <f>IF(S122="S",T122,IF(AND(S122="A",T122&lt;&gt;""),IFERROR(MATCH(INDEX('AFA Rates'!$A$5:$A$1004,T122),Firms!$A$5:$A$1004,0),""),""))</f>
        <v/>
      </c>
    </row>
    <row r="123">
      <c r="A123" s="78">
        <f>IF($T123="","",IF($S123="S",IF(INDEX(Firms!$A$5:$A$1004,$T123)="","",INDEX(Firms!$A$5:$A$1004,$T123)),IF(INDEX('AFA Rates'!$A$5:$A$1004,$T123)="","",INDEX('AFA Rates'!$A$5:$A$1004,$T123))))</f>
        <v/>
      </c>
      <c r="B123" s="79">
        <f>IF(OR($T123="",$U123=""),IF($T123="","","Not on Firms tab"),INDEX(Firms!$B$5:$B$1004,$U123)&amp;"")</f>
        <v/>
      </c>
      <c r="C123" s="78">
        <f>IF($T123="","",IF($S123="S","Standard",INDEX('AFA Rates'!$B$5:$B$1004,$T123)&amp;""))</f>
        <v/>
      </c>
      <c r="D123" s="88">
        <f>IF($T123="","",IF($S123="S",IF(INDEX(Firms!$E$5:$E$1004,$T123)="","",INDEX(Firms!$E$5:$E$1004,$T123)),IF(INDEX('AFA Rates'!$C$5:$C$1004,$T123)="","",INDEX('AFA Rates'!$C$5:$C$1004,$T123))))</f>
        <v/>
      </c>
      <c r="E123" s="88">
        <f>IF($T123="","",IF($S123="S",IF(""="","",""),IF(INDEX('AFA Rates'!$D$5:$D$1004,$T123)="","",INDEX('AFA Rates'!$D$5:$D$1004,$T123))))</f>
        <v/>
      </c>
      <c r="F123" s="79">
        <f>IF($T123="","",IF($S123="S",IF(INDEX(Firms!$O$5:$O$1004,$T123)="","",INDEX(Firms!$O$5:$O$1004,$T123)),IF(INDEX('AFA Rates'!$O$5:$O$1004,$T123)="","",INDEX('AFA Rates'!$O$5:$O$1004,$T123))))</f>
        <v/>
      </c>
      <c r="G123" s="50">
        <f>IF($T123="","",IF($S123="S",IF(INDEX(Firms!$F$5:$F$1004,$T123)="","",INDEX(Firms!$F$5:$F$1004,$T123)),IF(INDEX('AFA Rates'!$E$5:$E$1004,$T123)="","",INDEX('AFA Rates'!$E$5:$E$1004,$T123))))</f>
        <v/>
      </c>
      <c r="H123" s="50">
        <f>IF($T123="","",IF($S123="S",IF(INDEX(Firms!$G$5:$G$1004,$T123)="","",INDEX(Firms!$G$5:$G$1004,$T123)),IF(INDEX('AFA Rates'!$F$5:$F$1004,$T123)="","",INDEX('AFA Rates'!$F$5:$F$1004,$T123))))</f>
        <v/>
      </c>
      <c r="I123" s="50">
        <f>IF($T123="","",IF($S123="S",IF(INDEX(Firms!$H$5:$H$1004,$T123)="","",INDEX(Firms!$H$5:$H$1004,$T123)),IF(INDEX('AFA Rates'!$G$5:$G$1004,$T123)="","",INDEX('AFA Rates'!$G$5:$G$1004,$T123))))</f>
        <v/>
      </c>
      <c r="J123" s="50">
        <f>IF($T123="","",IF($S123="S",IF(INDEX(Firms!$I$5:$I$1004,$T123)="","",INDEX(Firms!$I$5:$I$1004,$T123)),IF(INDEX('AFA Rates'!$H$5:$H$1004,$T123)="","",INDEX('AFA Rates'!$H$5:$H$1004,$T123))))</f>
        <v/>
      </c>
      <c r="K123" s="50">
        <f>IF($T123="","",IF($S123="S",IF(INDEX(Firms!$J$5:$J$1004,$T123)="","",INDEX(Firms!$J$5:$J$1004,$T123)),IF(INDEX('AFA Rates'!$I$5:$I$1004,$T123)="","",INDEX('AFA Rates'!$I$5:$I$1004,$T123))))</f>
        <v/>
      </c>
      <c r="L123" s="50">
        <f>IF($T123="","",IF($S123="S",IF(INDEX(Firms!$K$5:$K$1004,$T123)="","",INDEX(Firms!$K$5:$K$1004,$T123)),IF(INDEX('AFA Rates'!$J$5:$J$1004,$T123)="","",INDEX('AFA Rates'!$J$5:$J$1004,$T123))))</f>
        <v/>
      </c>
      <c r="M123" s="50">
        <f>IF($T123="","",IF($S123="S",IF(INDEX(Firms!$L$5:$L$1004,$T123)="","",INDEX(Firms!$L$5:$L$1004,$T123)),IF(INDEX('AFA Rates'!$K$5:$K$1004,$T123)="","",INDEX('AFA Rates'!$K$5:$K$1004,$T123))))</f>
        <v/>
      </c>
      <c r="N123" s="50">
        <f>IF($T123="","",IF($S123="S",IF(INDEX(Firms!$M$5:$M$1004,$T123)="","",INDEX(Firms!$M$5:$M$1004,$T123)),IF(INDEX('AFA Rates'!$L$5:$L$1004,$T123)="","",INDEX('AFA Rates'!$L$5:$L$1004,$T123))))</f>
        <v/>
      </c>
      <c r="O123" s="78">
        <f>IF(OR($T123="",$U123=""),"",IF(INDEX(Firms!$C$5:$C$1004,$U123)="","",INDEX(Firms!$C$5:$C$1004,$U123)))</f>
        <v/>
      </c>
      <c r="P123" s="79">
        <f>IF(OR($T123="",$U123=""),"",IF(INDEX(Firms!$N$5:$N$1004,$U123)="","",INDEX(Firms!$N$5:$N$1004,$U123)))</f>
        <v/>
      </c>
      <c r="Q123" s="78">
        <f>IF($T123="","",IF($S123="S",IF(INDEX(Firms!$T$5:$T$1004,$T123)="","",INDEX(Firms!$T$5:$T$1004,$T123)),IF(INDEX('AFA Rates'!$M$5:$M$1004,$T123)="","",INDEX('AFA Rates'!$M$5:$M$1004,$T123))))</f>
        <v/>
      </c>
      <c r="S123">
        <f>IF(119&lt;=$S$2,"S",IF(119&lt;=$S$2+$T$2,"A",""))</f>
        <v/>
      </c>
      <c r="T123">
        <f>IF(S123="S",MATCH(119,Firms!$W$5:$W$1004,0),IF(S123="A",IFERROR(MATCH(119-$S$2,'AFA Rates'!$R$5:$R$1004,0),""),""))</f>
        <v/>
      </c>
      <c r="U123">
        <f>IF(S123="S",T123,IF(AND(S123="A",T123&lt;&gt;""),IFERROR(MATCH(INDEX('AFA Rates'!$A$5:$A$1004,T123),Firms!$A$5:$A$1004,0),""),""))</f>
        <v/>
      </c>
    </row>
    <row r="124">
      <c r="A124" s="78">
        <f>IF($T124="","",IF($S124="S",IF(INDEX(Firms!$A$5:$A$1004,$T124)="","",INDEX(Firms!$A$5:$A$1004,$T124)),IF(INDEX('AFA Rates'!$A$5:$A$1004,$T124)="","",INDEX('AFA Rates'!$A$5:$A$1004,$T124))))</f>
        <v/>
      </c>
      <c r="B124" s="79">
        <f>IF(OR($T124="",$U124=""),IF($T124="","","Not on Firms tab"),INDEX(Firms!$B$5:$B$1004,$U124)&amp;"")</f>
        <v/>
      </c>
      <c r="C124" s="78">
        <f>IF($T124="","",IF($S124="S","Standard",INDEX('AFA Rates'!$B$5:$B$1004,$T124)&amp;""))</f>
        <v/>
      </c>
      <c r="D124" s="88">
        <f>IF($T124="","",IF($S124="S",IF(INDEX(Firms!$E$5:$E$1004,$T124)="","",INDEX(Firms!$E$5:$E$1004,$T124)),IF(INDEX('AFA Rates'!$C$5:$C$1004,$T124)="","",INDEX('AFA Rates'!$C$5:$C$1004,$T124))))</f>
        <v/>
      </c>
      <c r="E124" s="88">
        <f>IF($T124="","",IF($S124="S",IF(""="","",""),IF(INDEX('AFA Rates'!$D$5:$D$1004,$T124)="","",INDEX('AFA Rates'!$D$5:$D$1004,$T124))))</f>
        <v/>
      </c>
      <c r="F124" s="79">
        <f>IF($T124="","",IF($S124="S",IF(INDEX(Firms!$O$5:$O$1004,$T124)="","",INDEX(Firms!$O$5:$O$1004,$T124)),IF(INDEX('AFA Rates'!$O$5:$O$1004,$T124)="","",INDEX('AFA Rates'!$O$5:$O$1004,$T124))))</f>
        <v/>
      </c>
      <c r="G124" s="50">
        <f>IF($T124="","",IF($S124="S",IF(INDEX(Firms!$F$5:$F$1004,$T124)="","",INDEX(Firms!$F$5:$F$1004,$T124)),IF(INDEX('AFA Rates'!$E$5:$E$1004,$T124)="","",INDEX('AFA Rates'!$E$5:$E$1004,$T124))))</f>
        <v/>
      </c>
      <c r="H124" s="50">
        <f>IF($T124="","",IF($S124="S",IF(INDEX(Firms!$G$5:$G$1004,$T124)="","",INDEX(Firms!$G$5:$G$1004,$T124)),IF(INDEX('AFA Rates'!$F$5:$F$1004,$T124)="","",INDEX('AFA Rates'!$F$5:$F$1004,$T124))))</f>
        <v/>
      </c>
      <c r="I124" s="50">
        <f>IF($T124="","",IF($S124="S",IF(INDEX(Firms!$H$5:$H$1004,$T124)="","",INDEX(Firms!$H$5:$H$1004,$T124)),IF(INDEX('AFA Rates'!$G$5:$G$1004,$T124)="","",INDEX('AFA Rates'!$G$5:$G$1004,$T124))))</f>
        <v/>
      </c>
      <c r="J124" s="50">
        <f>IF($T124="","",IF($S124="S",IF(INDEX(Firms!$I$5:$I$1004,$T124)="","",INDEX(Firms!$I$5:$I$1004,$T124)),IF(INDEX('AFA Rates'!$H$5:$H$1004,$T124)="","",INDEX('AFA Rates'!$H$5:$H$1004,$T124))))</f>
        <v/>
      </c>
      <c r="K124" s="50">
        <f>IF($T124="","",IF($S124="S",IF(INDEX(Firms!$J$5:$J$1004,$T124)="","",INDEX(Firms!$J$5:$J$1004,$T124)),IF(INDEX('AFA Rates'!$I$5:$I$1004,$T124)="","",INDEX('AFA Rates'!$I$5:$I$1004,$T124))))</f>
        <v/>
      </c>
      <c r="L124" s="50">
        <f>IF($T124="","",IF($S124="S",IF(INDEX(Firms!$K$5:$K$1004,$T124)="","",INDEX(Firms!$K$5:$K$1004,$T124)),IF(INDEX('AFA Rates'!$J$5:$J$1004,$T124)="","",INDEX('AFA Rates'!$J$5:$J$1004,$T124))))</f>
        <v/>
      </c>
      <c r="M124" s="50">
        <f>IF($T124="","",IF($S124="S",IF(INDEX(Firms!$L$5:$L$1004,$T124)="","",INDEX(Firms!$L$5:$L$1004,$T124)),IF(INDEX('AFA Rates'!$K$5:$K$1004,$T124)="","",INDEX('AFA Rates'!$K$5:$K$1004,$T124))))</f>
        <v/>
      </c>
      <c r="N124" s="50">
        <f>IF($T124="","",IF($S124="S",IF(INDEX(Firms!$M$5:$M$1004,$T124)="","",INDEX(Firms!$M$5:$M$1004,$T124)),IF(INDEX('AFA Rates'!$L$5:$L$1004,$T124)="","",INDEX('AFA Rates'!$L$5:$L$1004,$T124))))</f>
        <v/>
      </c>
      <c r="O124" s="78">
        <f>IF(OR($T124="",$U124=""),"",IF(INDEX(Firms!$C$5:$C$1004,$U124)="","",INDEX(Firms!$C$5:$C$1004,$U124)))</f>
        <v/>
      </c>
      <c r="P124" s="79">
        <f>IF(OR($T124="",$U124=""),"",IF(INDEX(Firms!$N$5:$N$1004,$U124)="","",INDEX(Firms!$N$5:$N$1004,$U124)))</f>
        <v/>
      </c>
      <c r="Q124" s="78">
        <f>IF($T124="","",IF($S124="S",IF(INDEX(Firms!$T$5:$T$1004,$T124)="","",INDEX(Firms!$T$5:$T$1004,$T124)),IF(INDEX('AFA Rates'!$M$5:$M$1004,$T124)="","",INDEX('AFA Rates'!$M$5:$M$1004,$T124))))</f>
        <v/>
      </c>
      <c r="S124">
        <f>IF(120&lt;=$S$2,"S",IF(120&lt;=$S$2+$T$2,"A",""))</f>
        <v/>
      </c>
      <c r="T124">
        <f>IF(S124="S",MATCH(120,Firms!$W$5:$W$1004,0),IF(S124="A",IFERROR(MATCH(120-$S$2,'AFA Rates'!$R$5:$R$1004,0),""),""))</f>
        <v/>
      </c>
      <c r="U124">
        <f>IF(S124="S",T124,IF(AND(S124="A",T124&lt;&gt;""),IFERROR(MATCH(INDEX('AFA Rates'!$A$5:$A$1004,T124),Firms!$A$5:$A$1004,0),""),""))</f>
        <v/>
      </c>
    </row>
    <row r="125">
      <c r="A125" s="78">
        <f>IF($T125="","",IF($S125="S",IF(INDEX(Firms!$A$5:$A$1004,$T125)="","",INDEX(Firms!$A$5:$A$1004,$T125)),IF(INDEX('AFA Rates'!$A$5:$A$1004,$T125)="","",INDEX('AFA Rates'!$A$5:$A$1004,$T125))))</f>
        <v/>
      </c>
      <c r="B125" s="79">
        <f>IF(OR($T125="",$U125=""),IF($T125="","","Not on Firms tab"),INDEX(Firms!$B$5:$B$1004,$U125)&amp;"")</f>
        <v/>
      </c>
      <c r="C125" s="78">
        <f>IF($T125="","",IF($S125="S","Standard",INDEX('AFA Rates'!$B$5:$B$1004,$T125)&amp;""))</f>
        <v/>
      </c>
      <c r="D125" s="88">
        <f>IF($T125="","",IF($S125="S",IF(INDEX(Firms!$E$5:$E$1004,$T125)="","",INDEX(Firms!$E$5:$E$1004,$T125)),IF(INDEX('AFA Rates'!$C$5:$C$1004,$T125)="","",INDEX('AFA Rates'!$C$5:$C$1004,$T125))))</f>
        <v/>
      </c>
      <c r="E125" s="88">
        <f>IF($T125="","",IF($S125="S",IF(""="","",""),IF(INDEX('AFA Rates'!$D$5:$D$1004,$T125)="","",INDEX('AFA Rates'!$D$5:$D$1004,$T125))))</f>
        <v/>
      </c>
      <c r="F125" s="79">
        <f>IF($T125="","",IF($S125="S",IF(INDEX(Firms!$O$5:$O$1004,$T125)="","",INDEX(Firms!$O$5:$O$1004,$T125)),IF(INDEX('AFA Rates'!$O$5:$O$1004,$T125)="","",INDEX('AFA Rates'!$O$5:$O$1004,$T125))))</f>
        <v/>
      </c>
      <c r="G125" s="50">
        <f>IF($T125="","",IF($S125="S",IF(INDEX(Firms!$F$5:$F$1004,$T125)="","",INDEX(Firms!$F$5:$F$1004,$T125)),IF(INDEX('AFA Rates'!$E$5:$E$1004,$T125)="","",INDEX('AFA Rates'!$E$5:$E$1004,$T125))))</f>
        <v/>
      </c>
      <c r="H125" s="50">
        <f>IF($T125="","",IF($S125="S",IF(INDEX(Firms!$G$5:$G$1004,$T125)="","",INDEX(Firms!$G$5:$G$1004,$T125)),IF(INDEX('AFA Rates'!$F$5:$F$1004,$T125)="","",INDEX('AFA Rates'!$F$5:$F$1004,$T125))))</f>
        <v/>
      </c>
      <c r="I125" s="50">
        <f>IF($T125="","",IF($S125="S",IF(INDEX(Firms!$H$5:$H$1004,$T125)="","",INDEX(Firms!$H$5:$H$1004,$T125)),IF(INDEX('AFA Rates'!$G$5:$G$1004,$T125)="","",INDEX('AFA Rates'!$G$5:$G$1004,$T125))))</f>
        <v/>
      </c>
      <c r="J125" s="50">
        <f>IF($T125="","",IF($S125="S",IF(INDEX(Firms!$I$5:$I$1004,$T125)="","",INDEX(Firms!$I$5:$I$1004,$T125)),IF(INDEX('AFA Rates'!$H$5:$H$1004,$T125)="","",INDEX('AFA Rates'!$H$5:$H$1004,$T125))))</f>
        <v/>
      </c>
      <c r="K125" s="50">
        <f>IF($T125="","",IF($S125="S",IF(INDEX(Firms!$J$5:$J$1004,$T125)="","",INDEX(Firms!$J$5:$J$1004,$T125)),IF(INDEX('AFA Rates'!$I$5:$I$1004,$T125)="","",INDEX('AFA Rates'!$I$5:$I$1004,$T125))))</f>
        <v/>
      </c>
      <c r="L125" s="50">
        <f>IF($T125="","",IF($S125="S",IF(INDEX(Firms!$K$5:$K$1004,$T125)="","",INDEX(Firms!$K$5:$K$1004,$T125)),IF(INDEX('AFA Rates'!$J$5:$J$1004,$T125)="","",INDEX('AFA Rates'!$J$5:$J$1004,$T125))))</f>
        <v/>
      </c>
      <c r="M125" s="50">
        <f>IF($T125="","",IF($S125="S",IF(INDEX(Firms!$L$5:$L$1004,$T125)="","",INDEX(Firms!$L$5:$L$1004,$T125)),IF(INDEX('AFA Rates'!$K$5:$K$1004,$T125)="","",INDEX('AFA Rates'!$K$5:$K$1004,$T125))))</f>
        <v/>
      </c>
      <c r="N125" s="50">
        <f>IF($T125="","",IF($S125="S",IF(INDEX(Firms!$M$5:$M$1004,$T125)="","",INDEX(Firms!$M$5:$M$1004,$T125)),IF(INDEX('AFA Rates'!$L$5:$L$1004,$T125)="","",INDEX('AFA Rates'!$L$5:$L$1004,$T125))))</f>
        <v/>
      </c>
      <c r="O125" s="78">
        <f>IF(OR($T125="",$U125=""),"",IF(INDEX(Firms!$C$5:$C$1004,$U125)="","",INDEX(Firms!$C$5:$C$1004,$U125)))</f>
        <v/>
      </c>
      <c r="P125" s="79">
        <f>IF(OR($T125="",$U125=""),"",IF(INDEX(Firms!$N$5:$N$1004,$U125)="","",INDEX(Firms!$N$5:$N$1004,$U125)))</f>
        <v/>
      </c>
      <c r="Q125" s="78">
        <f>IF($T125="","",IF($S125="S",IF(INDEX(Firms!$T$5:$T$1004,$T125)="","",INDEX(Firms!$T$5:$T$1004,$T125)),IF(INDEX('AFA Rates'!$M$5:$M$1004,$T125)="","",INDEX('AFA Rates'!$M$5:$M$1004,$T125))))</f>
        <v/>
      </c>
      <c r="S125">
        <f>IF(121&lt;=$S$2,"S",IF(121&lt;=$S$2+$T$2,"A",""))</f>
        <v/>
      </c>
      <c r="T125">
        <f>IF(S125="S",MATCH(121,Firms!$W$5:$W$1004,0),IF(S125="A",IFERROR(MATCH(121-$S$2,'AFA Rates'!$R$5:$R$1004,0),""),""))</f>
        <v/>
      </c>
      <c r="U125">
        <f>IF(S125="S",T125,IF(AND(S125="A",T125&lt;&gt;""),IFERROR(MATCH(INDEX('AFA Rates'!$A$5:$A$1004,T125),Firms!$A$5:$A$1004,0),""),""))</f>
        <v/>
      </c>
    </row>
    <row r="126">
      <c r="A126" s="78">
        <f>IF($T126="","",IF($S126="S",IF(INDEX(Firms!$A$5:$A$1004,$T126)="","",INDEX(Firms!$A$5:$A$1004,$T126)),IF(INDEX('AFA Rates'!$A$5:$A$1004,$T126)="","",INDEX('AFA Rates'!$A$5:$A$1004,$T126))))</f>
        <v/>
      </c>
      <c r="B126" s="79">
        <f>IF(OR($T126="",$U126=""),IF($T126="","","Not on Firms tab"),INDEX(Firms!$B$5:$B$1004,$U126)&amp;"")</f>
        <v/>
      </c>
      <c r="C126" s="78">
        <f>IF($T126="","",IF($S126="S","Standard",INDEX('AFA Rates'!$B$5:$B$1004,$T126)&amp;""))</f>
        <v/>
      </c>
      <c r="D126" s="88">
        <f>IF($T126="","",IF($S126="S",IF(INDEX(Firms!$E$5:$E$1004,$T126)="","",INDEX(Firms!$E$5:$E$1004,$T126)),IF(INDEX('AFA Rates'!$C$5:$C$1004,$T126)="","",INDEX('AFA Rates'!$C$5:$C$1004,$T126))))</f>
        <v/>
      </c>
      <c r="E126" s="88">
        <f>IF($T126="","",IF($S126="S",IF(""="","",""),IF(INDEX('AFA Rates'!$D$5:$D$1004,$T126)="","",INDEX('AFA Rates'!$D$5:$D$1004,$T126))))</f>
        <v/>
      </c>
      <c r="F126" s="79">
        <f>IF($T126="","",IF($S126="S",IF(INDEX(Firms!$O$5:$O$1004,$T126)="","",INDEX(Firms!$O$5:$O$1004,$T126)),IF(INDEX('AFA Rates'!$O$5:$O$1004,$T126)="","",INDEX('AFA Rates'!$O$5:$O$1004,$T126))))</f>
        <v/>
      </c>
      <c r="G126" s="50">
        <f>IF($T126="","",IF($S126="S",IF(INDEX(Firms!$F$5:$F$1004,$T126)="","",INDEX(Firms!$F$5:$F$1004,$T126)),IF(INDEX('AFA Rates'!$E$5:$E$1004,$T126)="","",INDEX('AFA Rates'!$E$5:$E$1004,$T126))))</f>
        <v/>
      </c>
      <c r="H126" s="50">
        <f>IF($T126="","",IF($S126="S",IF(INDEX(Firms!$G$5:$G$1004,$T126)="","",INDEX(Firms!$G$5:$G$1004,$T126)),IF(INDEX('AFA Rates'!$F$5:$F$1004,$T126)="","",INDEX('AFA Rates'!$F$5:$F$1004,$T126))))</f>
        <v/>
      </c>
      <c r="I126" s="50">
        <f>IF($T126="","",IF($S126="S",IF(INDEX(Firms!$H$5:$H$1004,$T126)="","",INDEX(Firms!$H$5:$H$1004,$T126)),IF(INDEX('AFA Rates'!$G$5:$G$1004,$T126)="","",INDEX('AFA Rates'!$G$5:$G$1004,$T126))))</f>
        <v/>
      </c>
      <c r="J126" s="50">
        <f>IF($T126="","",IF($S126="S",IF(INDEX(Firms!$I$5:$I$1004,$T126)="","",INDEX(Firms!$I$5:$I$1004,$T126)),IF(INDEX('AFA Rates'!$H$5:$H$1004,$T126)="","",INDEX('AFA Rates'!$H$5:$H$1004,$T126))))</f>
        <v/>
      </c>
      <c r="K126" s="50">
        <f>IF($T126="","",IF($S126="S",IF(INDEX(Firms!$J$5:$J$1004,$T126)="","",INDEX(Firms!$J$5:$J$1004,$T126)),IF(INDEX('AFA Rates'!$I$5:$I$1004,$T126)="","",INDEX('AFA Rates'!$I$5:$I$1004,$T126))))</f>
        <v/>
      </c>
      <c r="L126" s="50">
        <f>IF($T126="","",IF($S126="S",IF(INDEX(Firms!$K$5:$K$1004,$T126)="","",INDEX(Firms!$K$5:$K$1004,$T126)),IF(INDEX('AFA Rates'!$J$5:$J$1004,$T126)="","",INDEX('AFA Rates'!$J$5:$J$1004,$T126))))</f>
        <v/>
      </c>
      <c r="M126" s="50">
        <f>IF($T126="","",IF($S126="S",IF(INDEX(Firms!$L$5:$L$1004,$T126)="","",INDEX(Firms!$L$5:$L$1004,$T126)),IF(INDEX('AFA Rates'!$K$5:$K$1004,$T126)="","",INDEX('AFA Rates'!$K$5:$K$1004,$T126))))</f>
        <v/>
      </c>
      <c r="N126" s="50">
        <f>IF($T126="","",IF($S126="S",IF(INDEX(Firms!$M$5:$M$1004,$T126)="","",INDEX(Firms!$M$5:$M$1004,$T126)),IF(INDEX('AFA Rates'!$L$5:$L$1004,$T126)="","",INDEX('AFA Rates'!$L$5:$L$1004,$T126))))</f>
        <v/>
      </c>
      <c r="O126" s="78">
        <f>IF(OR($T126="",$U126=""),"",IF(INDEX(Firms!$C$5:$C$1004,$U126)="","",INDEX(Firms!$C$5:$C$1004,$U126)))</f>
        <v/>
      </c>
      <c r="P126" s="79">
        <f>IF(OR($T126="",$U126=""),"",IF(INDEX(Firms!$N$5:$N$1004,$U126)="","",INDEX(Firms!$N$5:$N$1004,$U126)))</f>
        <v/>
      </c>
      <c r="Q126" s="78">
        <f>IF($T126="","",IF($S126="S",IF(INDEX(Firms!$T$5:$T$1004,$T126)="","",INDEX(Firms!$T$5:$T$1004,$T126)),IF(INDEX('AFA Rates'!$M$5:$M$1004,$T126)="","",INDEX('AFA Rates'!$M$5:$M$1004,$T126))))</f>
        <v/>
      </c>
      <c r="S126">
        <f>IF(122&lt;=$S$2,"S",IF(122&lt;=$S$2+$T$2,"A",""))</f>
        <v/>
      </c>
      <c r="T126">
        <f>IF(S126="S",MATCH(122,Firms!$W$5:$W$1004,0),IF(S126="A",IFERROR(MATCH(122-$S$2,'AFA Rates'!$R$5:$R$1004,0),""),""))</f>
        <v/>
      </c>
      <c r="U126">
        <f>IF(S126="S",T126,IF(AND(S126="A",T126&lt;&gt;""),IFERROR(MATCH(INDEX('AFA Rates'!$A$5:$A$1004,T126),Firms!$A$5:$A$1004,0),""),""))</f>
        <v/>
      </c>
    </row>
    <row r="127">
      <c r="A127" s="78">
        <f>IF($T127="","",IF($S127="S",IF(INDEX(Firms!$A$5:$A$1004,$T127)="","",INDEX(Firms!$A$5:$A$1004,$T127)),IF(INDEX('AFA Rates'!$A$5:$A$1004,$T127)="","",INDEX('AFA Rates'!$A$5:$A$1004,$T127))))</f>
        <v/>
      </c>
      <c r="B127" s="79">
        <f>IF(OR($T127="",$U127=""),IF($T127="","","Not on Firms tab"),INDEX(Firms!$B$5:$B$1004,$U127)&amp;"")</f>
        <v/>
      </c>
      <c r="C127" s="78">
        <f>IF($T127="","",IF($S127="S","Standard",INDEX('AFA Rates'!$B$5:$B$1004,$T127)&amp;""))</f>
        <v/>
      </c>
      <c r="D127" s="88">
        <f>IF($T127="","",IF($S127="S",IF(INDEX(Firms!$E$5:$E$1004,$T127)="","",INDEX(Firms!$E$5:$E$1004,$T127)),IF(INDEX('AFA Rates'!$C$5:$C$1004,$T127)="","",INDEX('AFA Rates'!$C$5:$C$1004,$T127))))</f>
        <v/>
      </c>
      <c r="E127" s="88">
        <f>IF($T127="","",IF($S127="S",IF(""="","",""),IF(INDEX('AFA Rates'!$D$5:$D$1004,$T127)="","",INDEX('AFA Rates'!$D$5:$D$1004,$T127))))</f>
        <v/>
      </c>
      <c r="F127" s="79">
        <f>IF($T127="","",IF($S127="S",IF(INDEX(Firms!$O$5:$O$1004,$T127)="","",INDEX(Firms!$O$5:$O$1004,$T127)),IF(INDEX('AFA Rates'!$O$5:$O$1004,$T127)="","",INDEX('AFA Rates'!$O$5:$O$1004,$T127))))</f>
        <v/>
      </c>
      <c r="G127" s="50">
        <f>IF($T127="","",IF($S127="S",IF(INDEX(Firms!$F$5:$F$1004,$T127)="","",INDEX(Firms!$F$5:$F$1004,$T127)),IF(INDEX('AFA Rates'!$E$5:$E$1004,$T127)="","",INDEX('AFA Rates'!$E$5:$E$1004,$T127))))</f>
        <v/>
      </c>
      <c r="H127" s="50">
        <f>IF($T127="","",IF($S127="S",IF(INDEX(Firms!$G$5:$G$1004,$T127)="","",INDEX(Firms!$G$5:$G$1004,$T127)),IF(INDEX('AFA Rates'!$F$5:$F$1004,$T127)="","",INDEX('AFA Rates'!$F$5:$F$1004,$T127))))</f>
        <v/>
      </c>
      <c r="I127" s="50">
        <f>IF($T127="","",IF($S127="S",IF(INDEX(Firms!$H$5:$H$1004,$T127)="","",INDEX(Firms!$H$5:$H$1004,$T127)),IF(INDEX('AFA Rates'!$G$5:$G$1004,$T127)="","",INDEX('AFA Rates'!$G$5:$G$1004,$T127))))</f>
        <v/>
      </c>
      <c r="J127" s="50">
        <f>IF($T127="","",IF($S127="S",IF(INDEX(Firms!$I$5:$I$1004,$T127)="","",INDEX(Firms!$I$5:$I$1004,$T127)),IF(INDEX('AFA Rates'!$H$5:$H$1004,$T127)="","",INDEX('AFA Rates'!$H$5:$H$1004,$T127))))</f>
        <v/>
      </c>
      <c r="K127" s="50">
        <f>IF($T127="","",IF($S127="S",IF(INDEX(Firms!$J$5:$J$1004,$T127)="","",INDEX(Firms!$J$5:$J$1004,$T127)),IF(INDEX('AFA Rates'!$I$5:$I$1004,$T127)="","",INDEX('AFA Rates'!$I$5:$I$1004,$T127))))</f>
        <v/>
      </c>
      <c r="L127" s="50">
        <f>IF($T127="","",IF($S127="S",IF(INDEX(Firms!$K$5:$K$1004,$T127)="","",INDEX(Firms!$K$5:$K$1004,$T127)),IF(INDEX('AFA Rates'!$J$5:$J$1004,$T127)="","",INDEX('AFA Rates'!$J$5:$J$1004,$T127))))</f>
        <v/>
      </c>
      <c r="M127" s="50">
        <f>IF($T127="","",IF($S127="S",IF(INDEX(Firms!$L$5:$L$1004,$T127)="","",INDEX(Firms!$L$5:$L$1004,$T127)),IF(INDEX('AFA Rates'!$K$5:$K$1004,$T127)="","",INDEX('AFA Rates'!$K$5:$K$1004,$T127))))</f>
        <v/>
      </c>
      <c r="N127" s="50">
        <f>IF($T127="","",IF($S127="S",IF(INDEX(Firms!$M$5:$M$1004,$T127)="","",INDEX(Firms!$M$5:$M$1004,$T127)),IF(INDEX('AFA Rates'!$L$5:$L$1004,$T127)="","",INDEX('AFA Rates'!$L$5:$L$1004,$T127))))</f>
        <v/>
      </c>
      <c r="O127" s="78">
        <f>IF(OR($T127="",$U127=""),"",IF(INDEX(Firms!$C$5:$C$1004,$U127)="","",INDEX(Firms!$C$5:$C$1004,$U127)))</f>
        <v/>
      </c>
      <c r="P127" s="79">
        <f>IF(OR($T127="",$U127=""),"",IF(INDEX(Firms!$N$5:$N$1004,$U127)="","",INDEX(Firms!$N$5:$N$1004,$U127)))</f>
        <v/>
      </c>
      <c r="Q127" s="78">
        <f>IF($T127="","",IF($S127="S",IF(INDEX(Firms!$T$5:$T$1004,$T127)="","",INDEX(Firms!$T$5:$T$1004,$T127)),IF(INDEX('AFA Rates'!$M$5:$M$1004,$T127)="","",INDEX('AFA Rates'!$M$5:$M$1004,$T127))))</f>
        <v/>
      </c>
      <c r="S127">
        <f>IF(123&lt;=$S$2,"S",IF(123&lt;=$S$2+$T$2,"A",""))</f>
        <v/>
      </c>
      <c r="T127">
        <f>IF(S127="S",MATCH(123,Firms!$W$5:$W$1004,0),IF(S127="A",IFERROR(MATCH(123-$S$2,'AFA Rates'!$R$5:$R$1004,0),""),""))</f>
        <v/>
      </c>
      <c r="U127">
        <f>IF(S127="S",T127,IF(AND(S127="A",T127&lt;&gt;""),IFERROR(MATCH(INDEX('AFA Rates'!$A$5:$A$1004,T127),Firms!$A$5:$A$1004,0),""),""))</f>
        <v/>
      </c>
    </row>
    <row r="128">
      <c r="A128" s="78">
        <f>IF($T128="","",IF($S128="S",IF(INDEX(Firms!$A$5:$A$1004,$T128)="","",INDEX(Firms!$A$5:$A$1004,$T128)),IF(INDEX('AFA Rates'!$A$5:$A$1004,$T128)="","",INDEX('AFA Rates'!$A$5:$A$1004,$T128))))</f>
        <v/>
      </c>
      <c r="B128" s="79">
        <f>IF(OR($T128="",$U128=""),IF($T128="","","Not on Firms tab"),INDEX(Firms!$B$5:$B$1004,$U128)&amp;"")</f>
        <v/>
      </c>
      <c r="C128" s="78">
        <f>IF($T128="","",IF($S128="S","Standard",INDEX('AFA Rates'!$B$5:$B$1004,$T128)&amp;""))</f>
        <v/>
      </c>
      <c r="D128" s="88">
        <f>IF($T128="","",IF($S128="S",IF(INDEX(Firms!$E$5:$E$1004,$T128)="","",INDEX(Firms!$E$5:$E$1004,$T128)),IF(INDEX('AFA Rates'!$C$5:$C$1004,$T128)="","",INDEX('AFA Rates'!$C$5:$C$1004,$T128))))</f>
        <v/>
      </c>
      <c r="E128" s="88">
        <f>IF($T128="","",IF($S128="S",IF(""="","",""),IF(INDEX('AFA Rates'!$D$5:$D$1004,$T128)="","",INDEX('AFA Rates'!$D$5:$D$1004,$T128))))</f>
        <v/>
      </c>
      <c r="F128" s="79">
        <f>IF($T128="","",IF($S128="S",IF(INDEX(Firms!$O$5:$O$1004,$T128)="","",INDEX(Firms!$O$5:$O$1004,$T128)),IF(INDEX('AFA Rates'!$O$5:$O$1004,$T128)="","",INDEX('AFA Rates'!$O$5:$O$1004,$T128))))</f>
        <v/>
      </c>
      <c r="G128" s="50">
        <f>IF($T128="","",IF($S128="S",IF(INDEX(Firms!$F$5:$F$1004,$T128)="","",INDEX(Firms!$F$5:$F$1004,$T128)),IF(INDEX('AFA Rates'!$E$5:$E$1004,$T128)="","",INDEX('AFA Rates'!$E$5:$E$1004,$T128))))</f>
        <v/>
      </c>
      <c r="H128" s="50">
        <f>IF($T128="","",IF($S128="S",IF(INDEX(Firms!$G$5:$G$1004,$T128)="","",INDEX(Firms!$G$5:$G$1004,$T128)),IF(INDEX('AFA Rates'!$F$5:$F$1004,$T128)="","",INDEX('AFA Rates'!$F$5:$F$1004,$T128))))</f>
        <v/>
      </c>
      <c r="I128" s="50">
        <f>IF($T128="","",IF($S128="S",IF(INDEX(Firms!$H$5:$H$1004,$T128)="","",INDEX(Firms!$H$5:$H$1004,$T128)),IF(INDEX('AFA Rates'!$G$5:$G$1004,$T128)="","",INDEX('AFA Rates'!$G$5:$G$1004,$T128))))</f>
        <v/>
      </c>
      <c r="J128" s="50">
        <f>IF($T128="","",IF($S128="S",IF(INDEX(Firms!$I$5:$I$1004,$T128)="","",INDEX(Firms!$I$5:$I$1004,$T128)),IF(INDEX('AFA Rates'!$H$5:$H$1004,$T128)="","",INDEX('AFA Rates'!$H$5:$H$1004,$T128))))</f>
        <v/>
      </c>
      <c r="K128" s="50">
        <f>IF($T128="","",IF($S128="S",IF(INDEX(Firms!$J$5:$J$1004,$T128)="","",INDEX(Firms!$J$5:$J$1004,$T128)),IF(INDEX('AFA Rates'!$I$5:$I$1004,$T128)="","",INDEX('AFA Rates'!$I$5:$I$1004,$T128))))</f>
        <v/>
      </c>
      <c r="L128" s="50">
        <f>IF($T128="","",IF($S128="S",IF(INDEX(Firms!$K$5:$K$1004,$T128)="","",INDEX(Firms!$K$5:$K$1004,$T128)),IF(INDEX('AFA Rates'!$J$5:$J$1004,$T128)="","",INDEX('AFA Rates'!$J$5:$J$1004,$T128))))</f>
        <v/>
      </c>
      <c r="M128" s="50">
        <f>IF($T128="","",IF($S128="S",IF(INDEX(Firms!$L$5:$L$1004,$T128)="","",INDEX(Firms!$L$5:$L$1004,$T128)),IF(INDEX('AFA Rates'!$K$5:$K$1004,$T128)="","",INDEX('AFA Rates'!$K$5:$K$1004,$T128))))</f>
        <v/>
      </c>
      <c r="N128" s="50">
        <f>IF($T128="","",IF($S128="S",IF(INDEX(Firms!$M$5:$M$1004,$T128)="","",INDEX(Firms!$M$5:$M$1004,$T128)),IF(INDEX('AFA Rates'!$L$5:$L$1004,$T128)="","",INDEX('AFA Rates'!$L$5:$L$1004,$T128))))</f>
        <v/>
      </c>
      <c r="O128" s="78">
        <f>IF(OR($T128="",$U128=""),"",IF(INDEX(Firms!$C$5:$C$1004,$U128)="","",INDEX(Firms!$C$5:$C$1004,$U128)))</f>
        <v/>
      </c>
      <c r="P128" s="79">
        <f>IF(OR($T128="",$U128=""),"",IF(INDEX(Firms!$N$5:$N$1004,$U128)="","",INDEX(Firms!$N$5:$N$1004,$U128)))</f>
        <v/>
      </c>
      <c r="Q128" s="78">
        <f>IF($T128="","",IF($S128="S",IF(INDEX(Firms!$T$5:$T$1004,$T128)="","",INDEX(Firms!$T$5:$T$1004,$T128)),IF(INDEX('AFA Rates'!$M$5:$M$1004,$T128)="","",INDEX('AFA Rates'!$M$5:$M$1004,$T128))))</f>
        <v/>
      </c>
      <c r="S128">
        <f>IF(124&lt;=$S$2,"S",IF(124&lt;=$S$2+$T$2,"A",""))</f>
        <v/>
      </c>
      <c r="T128">
        <f>IF(S128="S",MATCH(124,Firms!$W$5:$W$1004,0),IF(S128="A",IFERROR(MATCH(124-$S$2,'AFA Rates'!$R$5:$R$1004,0),""),""))</f>
        <v/>
      </c>
      <c r="U128">
        <f>IF(S128="S",T128,IF(AND(S128="A",T128&lt;&gt;""),IFERROR(MATCH(INDEX('AFA Rates'!$A$5:$A$1004,T128),Firms!$A$5:$A$1004,0),""),""))</f>
        <v/>
      </c>
    </row>
    <row r="129">
      <c r="A129" s="78">
        <f>IF($T129="","",IF($S129="S",IF(INDEX(Firms!$A$5:$A$1004,$T129)="","",INDEX(Firms!$A$5:$A$1004,$T129)),IF(INDEX('AFA Rates'!$A$5:$A$1004,$T129)="","",INDEX('AFA Rates'!$A$5:$A$1004,$T129))))</f>
        <v/>
      </c>
      <c r="B129" s="79">
        <f>IF(OR($T129="",$U129=""),IF($T129="","","Not on Firms tab"),INDEX(Firms!$B$5:$B$1004,$U129)&amp;"")</f>
        <v/>
      </c>
      <c r="C129" s="78">
        <f>IF($T129="","",IF($S129="S","Standard",INDEX('AFA Rates'!$B$5:$B$1004,$T129)&amp;""))</f>
        <v/>
      </c>
      <c r="D129" s="88">
        <f>IF($T129="","",IF($S129="S",IF(INDEX(Firms!$E$5:$E$1004,$T129)="","",INDEX(Firms!$E$5:$E$1004,$T129)),IF(INDEX('AFA Rates'!$C$5:$C$1004,$T129)="","",INDEX('AFA Rates'!$C$5:$C$1004,$T129))))</f>
        <v/>
      </c>
      <c r="E129" s="88">
        <f>IF($T129="","",IF($S129="S",IF(""="","",""),IF(INDEX('AFA Rates'!$D$5:$D$1004,$T129)="","",INDEX('AFA Rates'!$D$5:$D$1004,$T129))))</f>
        <v/>
      </c>
      <c r="F129" s="79">
        <f>IF($T129="","",IF($S129="S",IF(INDEX(Firms!$O$5:$O$1004,$T129)="","",INDEX(Firms!$O$5:$O$1004,$T129)),IF(INDEX('AFA Rates'!$O$5:$O$1004,$T129)="","",INDEX('AFA Rates'!$O$5:$O$1004,$T129))))</f>
        <v/>
      </c>
      <c r="G129" s="50">
        <f>IF($T129="","",IF($S129="S",IF(INDEX(Firms!$F$5:$F$1004,$T129)="","",INDEX(Firms!$F$5:$F$1004,$T129)),IF(INDEX('AFA Rates'!$E$5:$E$1004,$T129)="","",INDEX('AFA Rates'!$E$5:$E$1004,$T129))))</f>
        <v/>
      </c>
      <c r="H129" s="50">
        <f>IF($T129="","",IF($S129="S",IF(INDEX(Firms!$G$5:$G$1004,$T129)="","",INDEX(Firms!$G$5:$G$1004,$T129)),IF(INDEX('AFA Rates'!$F$5:$F$1004,$T129)="","",INDEX('AFA Rates'!$F$5:$F$1004,$T129))))</f>
        <v/>
      </c>
      <c r="I129" s="50">
        <f>IF($T129="","",IF($S129="S",IF(INDEX(Firms!$H$5:$H$1004,$T129)="","",INDEX(Firms!$H$5:$H$1004,$T129)),IF(INDEX('AFA Rates'!$G$5:$G$1004,$T129)="","",INDEX('AFA Rates'!$G$5:$G$1004,$T129))))</f>
        <v/>
      </c>
      <c r="J129" s="50">
        <f>IF($T129="","",IF($S129="S",IF(INDEX(Firms!$I$5:$I$1004,$T129)="","",INDEX(Firms!$I$5:$I$1004,$T129)),IF(INDEX('AFA Rates'!$H$5:$H$1004,$T129)="","",INDEX('AFA Rates'!$H$5:$H$1004,$T129))))</f>
        <v/>
      </c>
      <c r="K129" s="50">
        <f>IF($T129="","",IF($S129="S",IF(INDEX(Firms!$J$5:$J$1004,$T129)="","",INDEX(Firms!$J$5:$J$1004,$T129)),IF(INDEX('AFA Rates'!$I$5:$I$1004,$T129)="","",INDEX('AFA Rates'!$I$5:$I$1004,$T129))))</f>
        <v/>
      </c>
      <c r="L129" s="50">
        <f>IF($T129="","",IF($S129="S",IF(INDEX(Firms!$K$5:$K$1004,$T129)="","",INDEX(Firms!$K$5:$K$1004,$T129)),IF(INDEX('AFA Rates'!$J$5:$J$1004,$T129)="","",INDEX('AFA Rates'!$J$5:$J$1004,$T129))))</f>
        <v/>
      </c>
      <c r="M129" s="50">
        <f>IF($T129="","",IF($S129="S",IF(INDEX(Firms!$L$5:$L$1004,$T129)="","",INDEX(Firms!$L$5:$L$1004,$T129)),IF(INDEX('AFA Rates'!$K$5:$K$1004,$T129)="","",INDEX('AFA Rates'!$K$5:$K$1004,$T129))))</f>
        <v/>
      </c>
      <c r="N129" s="50">
        <f>IF($T129="","",IF($S129="S",IF(INDEX(Firms!$M$5:$M$1004,$T129)="","",INDEX(Firms!$M$5:$M$1004,$T129)),IF(INDEX('AFA Rates'!$L$5:$L$1004,$T129)="","",INDEX('AFA Rates'!$L$5:$L$1004,$T129))))</f>
        <v/>
      </c>
      <c r="O129" s="78">
        <f>IF(OR($T129="",$U129=""),"",IF(INDEX(Firms!$C$5:$C$1004,$U129)="","",INDEX(Firms!$C$5:$C$1004,$U129)))</f>
        <v/>
      </c>
      <c r="P129" s="79">
        <f>IF(OR($T129="",$U129=""),"",IF(INDEX(Firms!$N$5:$N$1004,$U129)="","",INDEX(Firms!$N$5:$N$1004,$U129)))</f>
        <v/>
      </c>
      <c r="Q129" s="78">
        <f>IF($T129="","",IF($S129="S",IF(INDEX(Firms!$T$5:$T$1004,$T129)="","",INDEX(Firms!$T$5:$T$1004,$T129)),IF(INDEX('AFA Rates'!$M$5:$M$1004,$T129)="","",INDEX('AFA Rates'!$M$5:$M$1004,$T129))))</f>
        <v/>
      </c>
      <c r="S129">
        <f>IF(125&lt;=$S$2,"S",IF(125&lt;=$S$2+$T$2,"A",""))</f>
        <v/>
      </c>
      <c r="T129">
        <f>IF(S129="S",MATCH(125,Firms!$W$5:$W$1004,0),IF(S129="A",IFERROR(MATCH(125-$S$2,'AFA Rates'!$R$5:$R$1004,0),""),""))</f>
        <v/>
      </c>
      <c r="U129">
        <f>IF(S129="S",T129,IF(AND(S129="A",T129&lt;&gt;""),IFERROR(MATCH(INDEX('AFA Rates'!$A$5:$A$1004,T129),Firms!$A$5:$A$1004,0),""),""))</f>
        <v/>
      </c>
    </row>
    <row r="130">
      <c r="A130" s="78">
        <f>IF($T130="","",IF($S130="S",IF(INDEX(Firms!$A$5:$A$1004,$T130)="","",INDEX(Firms!$A$5:$A$1004,$T130)),IF(INDEX('AFA Rates'!$A$5:$A$1004,$T130)="","",INDEX('AFA Rates'!$A$5:$A$1004,$T130))))</f>
        <v/>
      </c>
      <c r="B130" s="79">
        <f>IF(OR($T130="",$U130=""),IF($T130="","","Not on Firms tab"),INDEX(Firms!$B$5:$B$1004,$U130)&amp;"")</f>
        <v/>
      </c>
      <c r="C130" s="78">
        <f>IF($T130="","",IF($S130="S","Standard",INDEX('AFA Rates'!$B$5:$B$1004,$T130)&amp;""))</f>
        <v/>
      </c>
      <c r="D130" s="88">
        <f>IF($T130="","",IF($S130="S",IF(INDEX(Firms!$E$5:$E$1004,$T130)="","",INDEX(Firms!$E$5:$E$1004,$T130)),IF(INDEX('AFA Rates'!$C$5:$C$1004,$T130)="","",INDEX('AFA Rates'!$C$5:$C$1004,$T130))))</f>
        <v/>
      </c>
      <c r="E130" s="88">
        <f>IF($T130="","",IF($S130="S",IF(""="","",""),IF(INDEX('AFA Rates'!$D$5:$D$1004,$T130)="","",INDEX('AFA Rates'!$D$5:$D$1004,$T130))))</f>
        <v/>
      </c>
      <c r="F130" s="79">
        <f>IF($T130="","",IF($S130="S",IF(INDEX(Firms!$O$5:$O$1004,$T130)="","",INDEX(Firms!$O$5:$O$1004,$T130)),IF(INDEX('AFA Rates'!$O$5:$O$1004,$T130)="","",INDEX('AFA Rates'!$O$5:$O$1004,$T130))))</f>
        <v/>
      </c>
      <c r="G130" s="50">
        <f>IF($T130="","",IF($S130="S",IF(INDEX(Firms!$F$5:$F$1004,$T130)="","",INDEX(Firms!$F$5:$F$1004,$T130)),IF(INDEX('AFA Rates'!$E$5:$E$1004,$T130)="","",INDEX('AFA Rates'!$E$5:$E$1004,$T130))))</f>
        <v/>
      </c>
      <c r="H130" s="50">
        <f>IF($T130="","",IF($S130="S",IF(INDEX(Firms!$G$5:$G$1004,$T130)="","",INDEX(Firms!$G$5:$G$1004,$T130)),IF(INDEX('AFA Rates'!$F$5:$F$1004,$T130)="","",INDEX('AFA Rates'!$F$5:$F$1004,$T130))))</f>
        <v/>
      </c>
      <c r="I130" s="50">
        <f>IF($T130="","",IF($S130="S",IF(INDEX(Firms!$H$5:$H$1004,$T130)="","",INDEX(Firms!$H$5:$H$1004,$T130)),IF(INDEX('AFA Rates'!$G$5:$G$1004,$T130)="","",INDEX('AFA Rates'!$G$5:$G$1004,$T130))))</f>
        <v/>
      </c>
      <c r="J130" s="50">
        <f>IF($T130="","",IF($S130="S",IF(INDEX(Firms!$I$5:$I$1004,$T130)="","",INDEX(Firms!$I$5:$I$1004,$T130)),IF(INDEX('AFA Rates'!$H$5:$H$1004,$T130)="","",INDEX('AFA Rates'!$H$5:$H$1004,$T130))))</f>
        <v/>
      </c>
      <c r="K130" s="50">
        <f>IF($T130="","",IF($S130="S",IF(INDEX(Firms!$J$5:$J$1004,$T130)="","",INDEX(Firms!$J$5:$J$1004,$T130)),IF(INDEX('AFA Rates'!$I$5:$I$1004,$T130)="","",INDEX('AFA Rates'!$I$5:$I$1004,$T130))))</f>
        <v/>
      </c>
      <c r="L130" s="50">
        <f>IF($T130="","",IF($S130="S",IF(INDEX(Firms!$K$5:$K$1004,$T130)="","",INDEX(Firms!$K$5:$K$1004,$T130)),IF(INDEX('AFA Rates'!$J$5:$J$1004,$T130)="","",INDEX('AFA Rates'!$J$5:$J$1004,$T130))))</f>
        <v/>
      </c>
      <c r="M130" s="50">
        <f>IF($T130="","",IF($S130="S",IF(INDEX(Firms!$L$5:$L$1004,$T130)="","",INDEX(Firms!$L$5:$L$1004,$T130)),IF(INDEX('AFA Rates'!$K$5:$K$1004,$T130)="","",INDEX('AFA Rates'!$K$5:$K$1004,$T130))))</f>
        <v/>
      </c>
      <c r="N130" s="50">
        <f>IF($T130="","",IF($S130="S",IF(INDEX(Firms!$M$5:$M$1004,$T130)="","",INDEX(Firms!$M$5:$M$1004,$T130)),IF(INDEX('AFA Rates'!$L$5:$L$1004,$T130)="","",INDEX('AFA Rates'!$L$5:$L$1004,$T130))))</f>
        <v/>
      </c>
      <c r="O130" s="78">
        <f>IF(OR($T130="",$U130=""),"",IF(INDEX(Firms!$C$5:$C$1004,$U130)="","",INDEX(Firms!$C$5:$C$1004,$U130)))</f>
        <v/>
      </c>
      <c r="P130" s="79">
        <f>IF(OR($T130="",$U130=""),"",IF(INDEX(Firms!$N$5:$N$1004,$U130)="","",INDEX(Firms!$N$5:$N$1004,$U130)))</f>
        <v/>
      </c>
      <c r="Q130" s="78">
        <f>IF($T130="","",IF($S130="S",IF(INDEX(Firms!$T$5:$T$1004,$T130)="","",INDEX(Firms!$T$5:$T$1004,$T130)),IF(INDEX('AFA Rates'!$M$5:$M$1004,$T130)="","",INDEX('AFA Rates'!$M$5:$M$1004,$T130))))</f>
        <v/>
      </c>
      <c r="S130">
        <f>IF(126&lt;=$S$2,"S",IF(126&lt;=$S$2+$T$2,"A",""))</f>
        <v/>
      </c>
      <c r="T130">
        <f>IF(S130="S",MATCH(126,Firms!$W$5:$W$1004,0),IF(S130="A",IFERROR(MATCH(126-$S$2,'AFA Rates'!$R$5:$R$1004,0),""),""))</f>
        <v/>
      </c>
      <c r="U130">
        <f>IF(S130="S",T130,IF(AND(S130="A",T130&lt;&gt;""),IFERROR(MATCH(INDEX('AFA Rates'!$A$5:$A$1004,T130),Firms!$A$5:$A$1004,0),""),""))</f>
        <v/>
      </c>
    </row>
    <row r="131">
      <c r="A131" s="78">
        <f>IF($T131="","",IF($S131="S",IF(INDEX(Firms!$A$5:$A$1004,$T131)="","",INDEX(Firms!$A$5:$A$1004,$T131)),IF(INDEX('AFA Rates'!$A$5:$A$1004,$T131)="","",INDEX('AFA Rates'!$A$5:$A$1004,$T131))))</f>
        <v/>
      </c>
      <c r="B131" s="79">
        <f>IF(OR($T131="",$U131=""),IF($T131="","","Not on Firms tab"),INDEX(Firms!$B$5:$B$1004,$U131)&amp;"")</f>
        <v/>
      </c>
      <c r="C131" s="78">
        <f>IF($T131="","",IF($S131="S","Standard",INDEX('AFA Rates'!$B$5:$B$1004,$T131)&amp;""))</f>
        <v/>
      </c>
      <c r="D131" s="88">
        <f>IF($T131="","",IF($S131="S",IF(INDEX(Firms!$E$5:$E$1004,$T131)="","",INDEX(Firms!$E$5:$E$1004,$T131)),IF(INDEX('AFA Rates'!$C$5:$C$1004,$T131)="","",INDEX('AFA Rates'!$C$5:$C$1004,$T131))))</f>
        <v/>
      </c>
      <c r="E131" s="88">
        <f>IF($T131="","",IF($S131="S",IF(""="","",""),IF(INDEX('AFA Rates'!$D$5:$D$1004,$T131)="","",INDEX('AFA Rates'!$D$5:$D$1004,$T131))))</f>
        <v/>
      </c>
      <c r="F131" s="79">
        <f>IF($T131="","",IF($S131="S",IF(INDEX(Firms!$O$5:$O$1004,$T131)="","",INDEX(Firms!$O$5:$O$1004,$T131)),IF(INDEX('AFA Rates'!$O$5:$O$1004,$T131)="","",INDEX('AFA Rates'!$O$5:$O$1004,$T131))))</f>
        <v/>
      </c>
      <c r="G131" s="50">
        <f>IF($T131="","",IF($S131="S",IF(INDEX(Firms!$F$5:$F$1004,$T131)="","",INDEX(Firms!$F$5:$F$1004,$T131)),IF(INDEX('AFA Rates'!$E$5:$E$1004,$T131)="","",INDEX('AFA Rates'!$E$5:$E$1004,$T131))))</f>
        <v/>
      </c>
      <c r="H131" s="50">
        <f>IF($T131="","",IF($S131="S",IF(INDEX(Firms!$G$5:$G$1004,$T131)="","",INDEX(Firms!$G$5:$G$1004,$T131)),IF(INDEX('AFA Rates'!$F$5:$F$1004,$T131)="","",INDEX('AFA Rates'!$F$5:$F$1004,$T131))))</f>
        <v/>
      </c>
      <c r="I131" s="50">
        <f>IF($T131="","",IF($S131="S",IF(INDEX(Firms!$H$5:$H$1004,$T131)="","",INDEX(Firms!$H$5:$H$1004,$T131)),IF(INDEX('AFA Rates'!$G$5:$G$1004,$T131)="","",INDEX('AFA Rates'!$G$5:$G$1004,$T131))))</f>
        <v/>
      </c>
      <c r="J131" s="50">
        <f>IF($T131="","",IF($S131="S",IF(INDEX(Firms!$I$5:$I$1004,$T131)="","",INDEX(Firms!$I$5:$I$1004,$T131)),IF(INDEX('AFA Rates'!$H$5:$H$1004,$T131)="","",INDEX('AFA Rates'!$H$5:$H$1004,$T131))))</f>
        <v/>
      </c>
      <c r="K131" s="50">
        <f>IF($T131="","",IF($S131="S",IF(INDEX(Firms!$J$5:$J$1004,$T131)="","",INDEX(Firms!$J$5:$J$1004,$T131)),IF(INDEX('AFA Rates'!$I$5:$I$1004,$T131)="","",INDEX('AFA Rates'!$I$5:$I$1004,$T131))))</f>
        <v/>
      </c>
      <c r="L131" s="50">
        <f>IF($T131="","",IF($S131="S",IF(INDEX(Firms!$K$5:$K$1004,$T131)="","",INDEX(Firms!$K$5:$K$1004,$T131)),IF(INDEX('AFA Rates'!$J$5:$J$1004,$T131)="","",INDEX('AFA Rates'!$J$5:$J$1004,$T131))))</f>
        <v/>
      </c>
      <c r="M131" s="50">
        <f>IF($T131="","",IF($S131="S",IF(INDEX(Firms!$L$5:$L$1004,$T131)="","",INDEX(Firms!$L$5:$L$1004,$T131)),IF(INDEX('AFA Rates'!$K$5:$K$1004,$T131)="","",INDEX('AFA Rates'!$K$5:$K$1004,$T131))))</f>
        <v/>
      </c>
      <c r="N131" s="50">
        <f>IF($T131="","",IF($S131="S",IF(INDEX(Firms!$M$5:$M$1004,$T131)="","",INDEX(Firms!$M$5:$M$1004,$T131)),IF(INDEX('AFA Rates'!$L$5:$L$1004,$T131)="","",INDEX('AFA Rates'!$L$5:$L$1004,$T131))))</f>
        <v/>
      </c>
      <c r="O131" s="78">
        <f>IF(OR($T131="",$U131=""),"",IF(INDEX(Firms!$C$5:$C$1004,$U131)="","",INDEX(Firms!$C$5:$C$1004,$U131)))</f>
        <v/>
      </c>
      <c r="P131" s="79">
        <f>IF(OR($T131="",$U131=""),"",IF(INDEX(Firms!$N$5:$N$1004,$U131)="","",INDEX(Firms!$N$5:$N$1004,$U131)))</f>
        <v/>
      </c>
      <c r="Q131" s="78">
        <f>IF($T131="","",IF($S131="S",IF(INDEX(Firms!$T$5:$T$1004,$T131)="","",INDEX(Firms!$T$5:$T$1004,$T131)),IF(INDEX('AFA Rates'!$M$5:$M$1004,$T131)="","",INDEX('AFA Rates'!$M$5:$M$1004,$T131))))</f>
        <v/>
      </c>
      <c r="S131">
        <f>IF(127&lt;=$S$2,"S",IF(127&lt;=$S$2+$T$2,"A",""))</f>
        <v/>
      </c>
      <c r="T131">
        <f>IF(S131="S",MATCH(127,Firms!$W$5:$W$1004,0),IF(S131="A",IFERROR(MATCH(127-$S$2,'AFA Rates'!$R$5:$R$1004,0),""),""))</f>
        <v/>
      </c>
      <c r="U131">
        <f>IF(S131="S",T131,IF(AND(S131="A",T131&lt;&gt;""),IFERROR(MATCH(INDEX('AFA Rates'!$A$5:$A$1004,T131),Firms!$A$5:$A$1004,0),""),""))</f>
        <v/>
      </c>
    </row>
    <row r="132">
      <c r="A132" s="78">
        <f>IF($T132="","",IF($S132="S",IF(INDEX(Firms!$A$5:$A$1004,$T132)="","",INDEX(Firms!$A$5:$A$1004,$T132)),IF(INDEX('AFA Rates'!$A$5:$A$1004,$T132)="","",INDEX('AFA Rates'!$A$5:$A$1004,$T132))))</f>
        <v/>
      </c>
      <c r="B132" s="79">
        <f>IF(OR($T132="",$U132=""),IF($T132="","","Not on Firms tab"),INDEX(Firms!$B$5:$B$1004,$U132)&amp;"")</f>
        <v/>
      </c>
      <c r="C132" s="78">
        <f>IF($T132="","",IF($S132="S","Standard",INDEX('AFA Rates'!$B$5:$B$1004,$T132)&amp;""))</f>
        <v/>
      </c>
      <c r="D132" s="88">
        <f>IF($T132="","",IF($S132="S",IF(INDEX(Firms!$E$5:$E$1004,$T132)="","",INDEX(Firms!$E$5:$E$1004,$T132)),IF(INDEX('AFA Rates'!$C$5:$C$1004,$T132)="","",INDEX('AFA Rates'!$C$5:$C$1004,$T132))))</f>
        <v/>
      </c>
      <c r="E132" s="88">
        <f>IF($T132="","",IF($S132="S",IF(""="","",""),IF(INDEX('AFA Rates'!$D$5:$D$1004,$T132)="","",INDEX('AFA Rates'!$D$5:$D$1004,$T132))))</f>
        <v/>
      </c>
      <c r="F132" s="79">
        <f>IF($T132="","",IF($S132="S",IF(INDEX(Firms!$O$5:$O$1004,$T132)="","",INDEX(Firms!$O$5:$O$1004,$T132)),IF(INDEX('AFA Rates'!$O$5:$O$1004,$T132)="","",INDEX('AFA Rates'!$O$5:$O$1004,$T132))))</f>
        <v/>
      </c>
      <c r="G132" s="50">
        <f>IF($T132="","",IF($S132="S",IF(INDEX(Firms!$F$5:$F$1004,$T132)="","",INDEX(Firms!$F$5:$F$1004,$T132)),IF(INDEX('AFA Rates'!$E$5:$E$1004,$T132)="","",INDEX('AFA Rates'!$E$5:$E$1004,$T132))))</f>
        <v/>
      </c>
      <c r="H132" s="50">
        <f>IF($T132="","",IF($S132="S",IF(INDEX(Firms!$G$5:$G$1004,$T132)="","",INDEX(Firms!$G$5:$G$1004,$T132)),IF(INDEX('AFA Rates'!$F$5:$F$1004,$T132)="","",INDEX('AFA Rates'!$F$5:$F$1004,$T132))))</f>
        <v/>
      </c>
      <c r="I132" s="50">
        <f>IF($T132="","",IF($S132="S",IF(INDEX(Firms!$H$5:$H$1004,$T132)="","",INDEX(Firms!$H$5:$H$1004,$T132)),IF(INDEX('AFA Rates'!$G$5:$G$1004,$T132)="","",INDEX('AFA Rates'!$G$5:$G$1004,$T132))))</f>
        <v/>
      </c>
      <c r="J132" s="50">
        <f>IF($T132="","",IF($S132="S",IF(INDEX(Firms!$I$5:$I$1004,$T132)="","",INDEX(Firms!$I$5:$I$1004,$T132)),IF(INDEX('AFA Rates'!$H$5:$H$1004,$T132)="","",INDEX('AFA Rates'!$H$5:$H$1004,$T132))))</f>
        <v/>
      </c>
      <c r="K132" s="50">
        <f>IF($T132="","",IF($S132="S",IF(INDEX(Firms!$J$5:$J$1004,$T132)="","",INDEX(Firms!$J$5:$J$1004,$T132)),IF(INDEX('AFA Rates'!$I$5:$I$1004,$T132)="","",INDEX('AFA Rates'!$I$5:$I$1004,$T132))))</f>
        <v/>
      </c>
      <c r="L132" s="50">
        <f>IF($T132="","",IF($S132="S",IF(INDEX(Firms!$K$5:$K$1004,$T132)="","",INDEX(Firms!$K$5:$K$1004,$T132)),IF(INDEX('AFA Rates'!$J$5:$J$1004,$T132)="","",INDEX('AFA Rates'!$J$5:$J$1004,$T132))))</f>
        <v/>
      </c>
      <c r="M132" s="50">
        <f>IF($T132="","",IF($S132="S",IF(INDEX(Firms!$L$5:$L$1004,$T132)="","",INDEX(Firms!$L$5:$L$1004,$T132)),IF(INDEX('AFA Rates'!$K$5:$K$1004,$T132)="","",INDEX('AFA Rates'!$K$5:$K$1004,$T132))))</f>
        <v/>
      </c>
      <c r="N132" s="50">
        <f>IF($T132="","",IF($S132="S",IF(INDEX(Firms!$M$5:$M$1004,$T132)="","",INDEX(Firms!$M$5:$M$1004,$T132)),IF(INDEX('AFA Rates'!$L$5:$L$1004,$T132)="","",INDEX('AFA Rates'!$L$5:$L$1004,$T132))))</f>
        <v/>
      </c>
      <c r="O132" s="78">
        <f>IF(OR($T132="",$U132=""),"",IF(INDEX(Firms!$C$5:$C$1004,$U132)="","",INDEX(Firms!$C$5:$C$1004,$U132)))</f>
        <v/>
      </c>
      <c r="P132" s="79">
        <f>IF(OR($T132="",$U132=""),"",IF(INDEX(Firms!$N$5:$N$1004,$U132)="","",INDEX(Firms!$N$5:$N$1004,$U132)))</f>
        <v/>
      </c>
      <c r="Q132" s="78">
        <f>IF($T132="","",IF($S132="S",IF(INDEX(Firms!$T$5:$T$1004,$T132)="","",INDEX(Firms!$T$5:$T$1004,$T132)),IF(INDEX('AFA Rates'!$M$5:$M$1004,$T132)="","",INDEX('AFA Rates'!$M$5:$M$1004,$T132))))</f>
        <v/>
      </c>
      <c r="S132">
        <f>IF(128&lt;=$S$2,"S",IF(128&lt;=$S$2+$T$2,"A",""))</f>
        <v/>
      </c>
      <c r="T132">
        <f>IF(S132="S",MATCH(128,Firms!$W$5:$W$1004,0),IF(S132="A",IFERROR(MATCH(128-$S$2,'AFA Rates'!$R$5:$R$1004,0),""),""))</f>
        <v/>
      </c>
      <c r="U132">
        <f>IF(S132="S",T132,IF(AND(S132="A",T132&lt;&gt;""),IFERROR(MATCH(INDEX('AFA Rates'!$A$5:$A$1004,T132),Firms!$A$5:$A$1004,0),""),""))</f>
        <v/>
      </c>
    </row>
    <row r="133">
      <c r="A133" s="78">
        <f>IF($T133="","",IF($S133="S",IF(INDEX(Firms!$A$5:$A$1004,$T133)="","",INDEX(Firms!$A$5:$A$1004,$T133)),IF(INDEX('AFA Rates'!$A$5:$A$1004,$T133)="","",INDEX('AFA Rates'!$A$5:$A$1004,$T133))))</f>
        <v/>
      </c>
      <c r="B133" s="79">
        <f>IF(OR($T133="",$U133=""),IF($T133="","","Not on Firms tab"),INDEX(Firms!$B$5:$B$1004,$U133)&amp;"")</f>
        <v/>
      </c>
      <c r="C133" s="78">
        <f>IF($T133="","",IF($S133="S","Standard",INDEX('AFA Rates'!$B$5:$B$1004,$T133)&amp;""))</f>
        <v/>
      </c>
      <c r="D133" s="88">
        <f>IF($T133="","",IF($S133="S",IF(INDEX(Firms!$E$5:$E$1004,$T133)="","",INDEX(Firms!$E$5:$E$1004,$T133)),IF(INDEX('AFA Rates'!$C$5:$C$1004,$T133)="","",INDEX('AFA Rates'!$C$5:$C$1004,$T133))))</f>
        <v/>
      </c>
      <c r="E133" s="88">
        <f>IF($T133="","",IF($S133="S",IF(""="","",""),IF(INDEX('AFA Rates'!$D$5:$D$1004,$T133)="","",INDEX('AFA Rates'!$D$5:$D$1004,$T133))))</f>
        <v/>
      </c>
      <c r="F133" s="79">
        <f>IF($T133="","",IF($S133="S",IF(INDEX(Firms!$O$5:$O$1004,$T133)="","",INDEX(Firms!$O$5:$O$1004,$T133)),IF(INDEX('AFA Rates'!$O$5:$O$1004,$T133)="","",INDEX('AFA Rates'!$O$5:$O$1004,$T133))))</f>
        <v/>
      </c>
      <c r="G133" s="50">
        <f>IF($T133="","",IF($S133="S",IF(INDEX(Firms!$F$5:$F$1004,$T133)="","",INDEX(Firms!$F$5:$F$1004,$T133)),IF(INDEX('AFA Rates'!$E$5:$E$1004,$T133)="","",INDEX('AFA Rates'!$E$5:$E$1004,$T133))))</f>
        <v/>
      </c>
      <c r="H133" s="50">
        <f>IF($T133="","",IF($S133="S",IF(INDEX(Firms!$G$5:$G$1004,$T133)="","",INDEX(Firms!$G$5:$G$1004,$T133)),IF(INDEX('AFA Rates'!$F$5:$F$1004,$T133)="","",INDEX('AFA Rates'!$F$5:$F$1004,$T133))))</f>
        <v/>
      </c>
      <c r="I133" s="50">
        <f>IF($T133="","",IF($S133="S",IF(INDEX(Firms!$H$5:$H$1004,$T133)="","",INDEX(Firms!$H$5:$H$1004,$T133)),IF(INDEX('AFA Rates'!$G$5:$G$1004,$T133)="","",INDEX('AFA Rates'!$G$5:$G$1004,$T133))))</f>
        <v/>
      </c>
      <c r="J133" s="50">
        <f>IF($T133="","",IF($S133="S",IF(INDEX(Firms!$I$5:$I$1004,$T133)="","",INDEX(Firms!$I$5:$I$1004,$T133)),IF(INDEX('AFA Rates'!$H$5:$H$1004,$T133)="","",INDEX('AFA Rates'!$H$5:$H$1004,$T133))))</f>
        <v/>
      </c>
      <c r="K133" s="50">
        <f>IF($T133="","",IF($S133="S",IF(INDEX(Firms!$J$5:$J$1004,$T133)="","",INDEX(Firms!$J$5:$J$1004,$T133)),IF(INDEX('AFA Rates'!$I$5:$I$1004,$T133)="","",INDEX('AFA Rates'!$I$5:$I$1004,$T133))))</f>
        <v/>
      </c>
      <c r="L133" s="50">
        <f>IF($T133="","",IF($S133="S",IF(INDEX(Firms!$K$5:$K$1004,$T133)="","",INDEX(Firms!$K$5:$K$1004,$T133)),IF(INDEX('AFA Rates'!$J$5:$J$1004,$T133)="","",INDEX('AFA Rates'!$J$5:$J$1004,$T133))))</f>
        <v/>
      </c>
      <c r="M133" s="50">
        <f>IF($T133="","",IF($S133="S",IF(INDEX(Firms!$L$5:$L$1004,$T133)="","",INDEX(Firms!$L$5:$L$1004,$T133)),IF(INDEX('AFA Rates'!$K$5:$K$1004,$T133)="","",INDEX('AFA Rates'!$K$5:$K$1004,$T133))))</f>
        <v/>
      </c>
      <c r="N133" s="50">
        <f>IF($T133="","",IF($S133="S",IF(INDEX(Firms!$M$5:$M$1004,$T133)="","",INDEX(Firms!$M$5:$M$1004,$T133)),IF(INDEX('AFA Rates'!$L$5:$L$1004,$T133)="","",INDEX('AFA Rates'!$L$5:$L$1004,$T133))))</f>
        <v/>
      </c>
      <c r="O133" s="78">
        <f>IF(OR($T133="",$U133=""),"",IF(INDEX(Firms!$C$5:$C$1004,$U133)="","",INDEX(Firms!$C$5:$C$1004,$U133)))</f>
        <v/>
      </c>
      <c r="P133" s="79">
        <f>IF(OR($T133="",$U133=""),"",IF(INDEX(Firms!$N$5:$N$1004,$U133)="","",INDEX(Firms!$N$5:$N$1004,$U133)))</f>
        <v/>
      </c>
      <c r="Q133" s="78">
        <f>IF($T133="","",IF($S133="S",IF(INDEX(Firms!$T$5:$T$1004,$T133)="","",INDEX(Firms!$T$5:$T$1004,$T133)),IF(INDEX('AFA Rates'!$M$5:$M$1004,$T133)="","",INDEX('AFA Rates'!$M$5:$M$1004,$T133))))</f>
        <v/>
      </c>
      <c r="S133">
        <f>IF(129&lt;=$S$2,"S",IF(129&lt;=$S$2+$T$2,"A",""))</f>
        <v/>
      </c>
      <c r="T133">
        <f>IF(S133="S",MATCH(129,Firms!$W$5:$W$1004,0),IF(S133="A",IFERROR(MATCH(129-$S$2,'AFA Rates'!$R$5:$R$1004,0),""),""))</f>
        <v/>
      </c>
      <c r="U133">
        <f>IF(S133="S",T133,IF(AND(S133="A",T133&lt;&gt;""),IFERROR(MATCH(INDEX('AFA Rates'!$A$5:$A$1004,T133),Firms!$A$5:$A$1004,0),""),""))</f>
        <v/>
      </c>
    </row>
    <row r="134">
      <c r="A134" s="78">
        <f>IF($T134="","",IF($S134="S",IF(INDEX(Firms!$A$5:$A$1004,$T134)="","",INDEX(Firms!$A$5:$A$1004,$T134)),IF(INDEX('AFA Rates'!$A$5:$A$1004,$T134)="","",INDEX('AFA Rates'!$A$5:$A$1004,$T134))))</f>
        <v/>
      </c>
      <c r="B134" s="79">
        <f>IF(OR($T134="",$U134=""),IF($T134="","","Not on Firms tab"),INDEX(Firms!$B$5:$B$1004,$U134)&amp;"")</f>
        <v/>
      </c>
      <c r="C134" s="78">
        <f>IF($T134="","",IF($S134="S","Standard",INDEX('AFA Rates'!$B$5:$B$1004,$T134)&amp;""))</f>
        <v/>
      </c>
      <c r="D134" s="88">
        <f>IF($T134="","",IF($S134="S",IF(INDEX(Firms!$E$5:$E$1004,$T134)="","",INDEX(Firms!$E$5:$E$1004,$T134)),IF(INDEX('AFA Rates'!$C$5:$C$1004,$T134)="","",INDEX('AFA Rates'!$C$5:$C$1004,$T134))))</f>
        <v/>
      </c>
      <c r="E134" s="88">
        <f>IF($T134="","",IF($S134="S",IF(""="","",""),IF(INDEX('AFA Rates'!$D$5:$D$1004,$T134)="","",INDEX('AFA Rates'!$D$5:$D$1004,$T134))))</f>
        <v/>
      </c>
      <c r="F134" s="79">
        <f>IF($T134="","",IF($S134="S",IF(INDEX(Firms!$O$5:$O$1004,$T134)="","",INDEX(Firms!$O$5:$O$1004,$T134)),IF(INDEX('AFA Rates'!$O$5:$O$1004,$T134)="","",INDEX('AFA Rates'!$O$5:$O$1004,$T134))))</f>
        <v/>
      </c>
      <c r="G134" s="50">
        <f>IF($T134="","",IF($S134="S",IF(INDEX(Firms!$F$5:$F$1004,$T134)="","",INDEX(Firms!$F$5:$F$1004,$T134)),IF(INDEX('AFA Rates'!$E$5:$E$1004,$T134)="","",INDEX('AFA Rates'!$E$5:$E$1004,$T134))))</f>
        <v/>
      </c>
      <c r="H134" s="50">
        <f>IF($T134="","",IF($S134="S",IF(INDEX(Firms!$G$5:$G$1004,$T134)="","",INDEX(Firms!$G$5:$G$1004,$T134)),IF(INDEX('AFA Rates'!$F$5:$F$1004,$T134)="","",INDEX('AFA Rates'!$F$5:$F$1004,$T134))))</f>
        <v/>
      </c>
      <c r="I134" s="50">
        <f>IF($T134="","",IF($S134="S",IF(INDEX(Firms!$H$5:$H$1004,$T134)="","",INDEX(Firms!$H$5:$H$1004,$T134)),IF(INDEX('AFA Rates'!$G$5:$G$1004,$T134)="","",INDEX('AFA Rates'!$G$5:$G$1004,$T134))))</f>
        <v/>
      </c>
      <c r="J134" s="50">
        <f>IF($T134="","",IF($S134="S",IF(INDEX(Firms!$I$5:$I$1004,$T134)="","",INDEX(Firms!$I$5:$I$1004,$T134)),IF(INDEX('AFA Rates'!$H$5:$H$1004,$T134)="","",INDEX('AFA Rates'!$H$5:$H$1004,$T134))))</f>
        <v/>
      </c>
      <c r="K134" s="50">
        <f>IF($T134="","",IF($S134="S",IF(INDEX(Firms!$J$5:$J$1004,$T134)="","",INDEX(Firms!$J$5:$J$1004,$T134)),IF(INDEX('AFA Rates'!$I$5:$I$1004,$T134)="","",INDEX('AFA Rates'!$I$5:$I$1004,$T134))))</f>
        <v/>
      </c>
      <c r="L134" s="50">
        <f>IF($T134="","",IF($S134="S",IF(INDEX(Firms!$K$5:$K$1004,$T134)="","",INDEX(Firms!$K$5:$K$1004,$T134)),IF(INDEX('AFA Rates'!$J$5:$J$1004,$T134)="","",INDEX('AFA Rates'!$J$5:$J$1004,$T134))))</f>
        <v/>
      </c>
      <c r="M134" s="50">
        <f>IF($T134="","",IF($S134="S",IF(INDEX(Firms!$L$5:$L$1004,$T134)="","",INDEX(Firms!$L$5:$L$1004,$T134)),IF(INDEX('AFA Rates'!$K$5:$K$1004,$T134)="","",INDEX('AFA Rates'!$K$5:$K$1004,$T134))))</f>
        <v/>
      </c>
      <c r="N134" s="50">
        <f>IF($T134="","",IF($S134="S",IF(INDEX(Firms!$M$5:$M$1004,$T134)="","",INDEX(Firms!$M$5:$M$1004,$T134)),IF(INDEX('AFA Rates'!$L$5:$L$1004,$T134)="","",INDEX('AFA Rates'!$L$5:$L$1004,$T134))))</f>
        <v/>
      </c>
      <c r="O134" s="78">
        <f>IF(OR($T134="",$U134=""),"",IF(INDEX(Firms!$C$5:$C$1004,$U134)="","",INDEX(Firms!$C$5:$C$1004,$U134)))</f>
        <v/>
      </c>
      <c r="P134" s="79">
        <f>IF(OR($T134="",$U134=""),"",IF(INDEX(Firms!$N$5:$N$1004,$U134)="","",INDEX(Firms!$N$5:$N$1004,$U134)))</f>
        <v/>
      </c>
      <c r="Q134" s="78">
        <f>IF($T134="","",IF($S134="S",IF(INDEX(Firms!$T$5:$T$1004,$T134)="","",INDEX(Firms!$T$5:$T$1004,$T134)),IF(INDEX('AFA Rates'!$M$5:$M$1004,$T134)="","",INDEX('AFA Rates'!$M$5:$M$1004,$T134))))</f>
        <v/>
      </c>
      <c r="S134">
        <f>IF(130&lt;=$S$2,"S",IF(130&lt;=$S$2+$T$2,"A",""))</f>
        <v/>
      </c>
      <c r="T134">
        <f>IF(S134="S",MATCH(130,Firms!$W$5:$W$1004,0),IF(S134="A",IFERROR(MATCH(130-$S$2,'AFA Rates'!$R$5:$R$1004,0),""),""))</f>
        <v/>
      </c>
      <c r="U134">
        <f>IF(S134="S",T134,IF(AND(S134="A",T134&lt;&gt;""),IFERROR(MATCH(INDEX('AFA Rates'!$A$5:$A$1004,T134),Firms!$A$5:$A$1004,0),""),""))</f>
        <v/>
      </c>
    </row>
    <row r="135">
      <c r="A135" s="78">
        <f>IF($T135="","",IF($S135="S",IF(INDEX(Firms!$A$5:$A$1004,$T135)="","",INDEX(Firms!$A$5:$A$1004,$T135)),IF(INDEX('AFA Rates'!$A$5:$A$1004,$T135)="","",INDEX('AFA Rates'!$A$5:$A$1004,$T135))))</f>
        <v/>
      </c>
      <c r="B135" s="79">
        <f>IF(OR($T135="",$U135=""),IF($T135="","","Not on Firms tab"),INDEX(Firms!$B$5:$B$1004,$U135)&amp;"")</f>
        <v/>
      </c>
      <c r="C135" s="78">
        <f>IF($T135="","",IF($S135="S","Standard",INDEX('AFA Rates'!$B$5:$B$1004,$T135)&amp;""))</f>
        <v/>
      </c>
      <c r="D135" s="88">
        <f>IF($T135="","",IF($S135="S",IF(INDEX(Firms!$E$5:$E$1004,$T135)="","",INDEX(Firms!$E$5:$E$1004,$T135)),IF(INDEX('AFA Rates'!$C$5:$C$1004,$T135)="","",INDEX('AFA Rates'!$C$5:$C$1004,$T135))))</f>
        <v/>
      </c>
      <c r="E135" s="88">
        <f>IF($T135="","",IF($S135="S",IF(""="","",""),IF(INDEX('AFA Rates'!$D$5:$D$1004,$T135)="","",INDEX('AFA Rates'!$D$5:$D$1004,$T135))))</f>
        <v/>
      </c>
      <c r="F135" s="79">
        <f>IF($T135="","",IF($S135="S",IF(INDEX(Firms!$O$5:$O$1004,$T135)="","",INDEX(Firms!$O$5:$O$1004,$T135)),IF(INDEX('AFA Rates'!$O$5:$O$1004,$T135)="","",INDEX('AFA Rates'!$O$5:$O$1004,$T135))))</f>
        <v/>
      </c>
      <c r="G135" s="50">
        <f>IF($T135="","",IF($S135="S",IF(INDEX(Firms!$F$5:$F$1004,$T135)="","",INDEX(Firms!$F$5:$F$1004,$T135)),IF(INDEX('AFA Rates'!$E$5:$E$1004,$T135)="","",INDEX('AFA Rates'!$E$5:$E$1004,$T135))))</f>
        <v/>
      </c>
      <c r="H135" s="50">
        <f>IF($T135="","",IF($S135="S",IF(INDEX(Firms!$G$5:$G$1004,$T135)="","",INDEX(Firms!$G$5:$G$1004,$T135)),IF(INDEX('AFA Rates'!$F$5:$F$1004,$T135)="","",INDEX('AFA Rates'!$F$5:$F$1004,$T135))))</f>
        <v/>
      </c>
      <c r="I135" s="50">
        <f>IF($T135="","",IF($S135="S",IF(INDEX(Firms!$H$5:$H$1004,$T135)="","",INDEX(Firms!$H$5:$H$1004,$T135)),IF(INDEX('AFA Rates'!$G$5:$G$1004,$T135)="","",INDEX('AFA Rates'!$G$5:$G$1004,$T135))))</f>
        <v/>
      </c>
      <c r="J135" s="50">
        <f>IF($T135="","",IF($S135="S",IF(INDEX(Firms!$I$5:$I$1004,$T135)="","",INDEX(Firms!$I$5:$I$1004,$T135)),IF(INDEX('AFA Rates'!$H$5:$H$1004,$T135)="","",INDEX('AFA Rates'!$H$5:$H$1004,$T135))))</f>
        <v/>
      </c>
      <c r="K135" s="50">
        <f>IF($T135="","",IF($S135="S",IF(INDEX(Firms!$J$5:$J$1004,$T135)="","",INDEX(Firms!$J$5:$J$1004,$T135)),IF(INDEX('AFA Rates'!$I$5:$I$1004,$T135)="","",INDEX('AFA Rates'!$I$5:$I$1004,$T135))))</f>
        <v/>
      </c>
      <c r="L135" s="50">
        <f>IF($T135="","",IF($S135="S",IF(INDEX(Firms!$K$5:$K$1004,$T135)="","",INDEX(Firms!$K$5:$K$1004,$T135)),IF(INDEX('AFA Rates'!$J$5:$J$1004,$T135)="","",INDEX('AFA Rates'!$J$5:$J$1004,$T135))))</f>
        <v/>
      </c>
      <c r="M135" s="50">
        <f>IF($T135="","",IF($S135="S",IF(INDEX(Firms!$L$5:$L$1004,$T135)="","",INDEX(Firms!$L$5:$L$1004,$T135)),IF(INDEX('AFA Rates'!$K$5:$K$1004,$T135)="","",INDEX('AFA Rates'!$K$5:$K$1004,$T135))))</f>
        <v/>
      </c>
      <c r="N135" s="50">
        <f>IF($T135="","",IF($S135="S",IF(INDEX(Firms!$M$5:$M$1004,$T135)="","",INDEX(Firms!$M$5:$M$1004,$T135)),IF(INDEX('AFA Rates'!$L$5:$L$1004,$T135)="","",INDEX('AFA Rates'!$L$5:$L$1004,$T135))))</f>
        <v/>
      </c>
      <c r="O135" s="78">
        <f>IF(OR($T135="",$U135=""),"",IF(INDEX(Firms!$C$5:$C$1004,$U135)="","",INDEX(Firms!$C$5:$C$1004,$U135)))</f>
        <v/>
      </c>
      <c r="P135" s="79">
        <f>IF(OR($T135="",$U135=""),"",IF(INDEX(Firms!$N$5:$N$1004,$U135)="","",INDEX(Firms!$N$5:$N$1004,$U135)))</f>
        <v/>
      </c>
      <c r="Q135" s="78">
        <f>IF($T135="","",IF($S135="S",IF(INDEX(Firms!$T$5:$T$1004,$T135)="","",INDEX(Firms!$T$5:$T$1004,$T135)),IF(INDEX('AFA Rates'!$M$5:$M$1004,$T135)="","",INDEX('AFA Rates'!$M$5:$M$1004,$T135))))</f>
        <v/>
      </c>
      <c r="S135">
        <f>IF(131&lt;=$S$2,"S",IF(131&lt;=$S$2+$T$2,"A",""))</f>
        <v/>
      </c>
      <c r="T135">
        <f>IF(S135="S",MATCH(131,Firms!$W$5:$W$1004,0),IF(S135="A",IFERROR(MATCH(131-$S$2,'AFA Rates'!$R$5:$R$1004,0),""),""))</f>
        <v/>
      </c>
      <c r="U135">
        <f>IF(S135="S",T135,IF(AND(S135="A",T135&lt;&gt;""),IFERROR(MATCH(INDEX('AFA Rates'!$A$5:$A$1004,T135),Firms!$A$5:$A$1004,0),""),""))</f>
        <v/>
      </c>
    </row>
    <row r="136">
      <c r="A136" s="78">
        <f>IF($T136="","",IF($S136="S",IF(INDEX(Firms!$A$5:$A$1004,$T136)="","",INDEX(Firms!$A$5:$A$1004,$T136)),IF(INDEX('AFA Rates'!$A$5:$A$1004,$T136)="","",INDEX('AFA Rates'!$A$5:$A$1004,$T136))))</f>
        <v/>
      </c>
      <c r="B136" s="79">
        <f>IF(OR($T136="",$U136=""),IF($T136="","","Not on Firms tab"),INDEX(Firms!$B$5:$B$1004,$U136)&amp;"")</f>
        <v/>
      </c>
      <c r="C136" s="78">
        <f>IF($T136="","",IF($S136="S","Standard",INDEX('AFA Rates'!$B$5:$B$1004,$T136)&amp;""))</f>
        <v/>
      </c>
      <c r="D136" s="88">
        <f>IF($T136="","",IF($S136="S",IF(INDEX(Firms!$E$5:$E$1004,$T136)="","",INDEX(Firms!$E$5:$E$1004,$T136)),IF(INDEX('AFA Rates'!$C$5:$C$1004,$T136)="","",INDEX('AFA Rates'!$C$5:$C$1004,$T136))))</f>
        <v/>
      </c>
      <c r="E136" s="88">
        <f>IF($T136="","",IF($S136="S",IF(""="","",""),IF(INDEX('AFA Rates'!$D$5:$D$1004,$T136)="","",INDEX('AFA Rates'!$D$5:$D$1004,$T136))))</f>
        <v/>
      </c>
      <c r="F136" s="79">
        <f>IF($T136="","",IF($S136="S",IF(INDEX(Firms!$O$5:$O$1004,$T136)="","",INDEX(Firms!$O$5:$O$1004,$T136)),IF(INDEX('AFA Rates'!$O$5:$O$1004,$T136)="","",INDEX('AFA Rates'!$O$5:$O$1004,$T136))))</f>
        <v/>
      </c>
      <c r="G136" s="50">
        <f>IF($T136="","",IF($S136="S",IF(INDEX(Firms!$F$5:$F$1004,$T136)="","",INDEX(Firms!$F$5:$F$1004,$T136)),IF(INDEX('AFA Rates'!$E$5:$E$1004,$T136)="","",INDEX('AFA Rates'!$E$5:$E$1004,$T136))))</f>
        <v/>
      </c>
      <c r="H136" s="50">
        <f>IF($T136="","",IF($S136="S",IF(INDEX(Firms!$G$5:$G$1004,$T136)="","",INDEX(Firms!$G$5:$G$1004,$T136)),IF(INDEX('AFA Rates'!$F$5:$F$1004,$T136)="","",INDEX('AFA Rates'!$F$5:$F$1004,$T136))))</f>
        <v/>
      </c>
      <c r="I136" s="50">
        <f>IF($T136="","",IF($S136="S",IF(INDEX(Firms!$H$5:$H$1004,$T136)="","",INDEX(Firms!$H$5:$H$1004,$T136)),IF(INDEX('AFA Rates'!$G$5:$G$1004,$T136)="","",INDEX('AFA Rates'!$G$5:$G$1004,$T136))))</f>
        <v/>
      </c>
      <c r="J136" s="50">
        <f>IF($T136="","",IF($S136="S",IF(INDEX(Firms!$I$5:$I$1004,$T136)="","",INDEX(Firms!$I$5:$I$1004,$T136)),IF(INDEX('AFA Rates'!$H$5:$H$1004,$T136)="","",INDEX('AFA Rates'!$H$5:$H$1004,$T136))))</f>
        <v/>
      </c>
      <c r="K136" s="50">
        <f>IF($T136="","",IF($S136="S",IF(INDEX(Firms!$J$5:$J$1004,$T136)="","",INDEX(Firms!$J$5:$J$1004,$T136)),IF(INDEX('AFA Rates'!$I$5:$I$1004,$T136)="","",INDEX('AFA Rates'!$I$5:$I$1004,$T136))))</f>
        <v/>
      </c>
      <c r="L136" s="50">
        <f>IF($T136="","",IF($S136="S",IF(INDEX(Firms!$K$5:$K$1004,$T136)="","",INDEX(Firms!$K$5:$K$1004,$T136)),IF(INDEX('AFA Rates'!$J$5:$J$1004,$T136)="","",INDEX('AFA Rates'!$J$5:$J$1004,$T136))))</f>
        <v/>
      </c>
      <c r="M136" s="50">
        <f>IF($T136="","",IF($S136="S",IF(INDEX(Firms!$L$5:$L$1004,$T136)="","",INDEX(Firms!$L$5:$L$1004,$T136)),IF(INDEX('AFA Rates'!$K$5:$K$1004,$T136)="","",INDEX('AFA Rates'!$K$5:$K$1004,$T136))))</f>
        <v/>
      </c>
      <c r="N136" s="50">
        <f>IF($T136="","",IF($S136="S",IF(INDEX(Firms!$M$5:$M$1004,$T136)="","",INDEX(Firms!$M$5:$M$1004,$T136)),IF(INDEX('AFA Rates'!$L$5:$L$1004,$T136)="","",INDEX('AFA Rates'!$L$5:$L$1004,$T136))))</f>
        <v/>
      </c>
      <c r="O136" s="78">
        <f>IF(OR($T136="",$U136=""),"",IF(INDEX(Firms!$C$5:$C$1004,$U136)="","",INDEX(Firms!$C$5:$C$1004,$U136)))</f>
        <v/>
      </c>
      <c r="P136" s="79">
        <f>IF(OR($T136="",$U136=""),"",IF(INDEX(Firms!$N$5:$N$1004,$U136)="","",INDEX(Firms!$N$5:$N$1004,$U136)))</f>
        <v/>
      </c>
      <c r="Q136" s="78">
        <f>IF($T136="","",IF($S136="S",IF(INDEX(Firms!$T$5:$T$1004,$T136)="","",INDEX(Firms!$T$5:$T$1004,$T136)),IF(INDEX('AFA Rates'!$M$5:$M$1004,$T136)="","",INDEX('AFA Rates'!$M$5:$M$1004,$T136))))</f>
        <v/>
      </c>
      <c r="S136">
        <f>IF(132&lt;=$S$2,"S",IF(132&lt;=$S$2+$T$2,"A",""))</f>
        <v/>
      </c>
      <c r="T136">
        <f>IF(S136="S",MATCH(132,Firms!$W$5:$W$1004,0),IF(S136="A",IFERROR(MATCH(132-$S$2,'AFA Rates'!$R$5:$R$1004,0),""),""))</f>
        <v/>
      </c>
      <c r="U136">
        <f>IF(S136="S",T136,IF(AND(S136="A",T136&lt;&gt;""),IFERROR(MATCH(INDEX('AFA Rates'!$A$5:$A$1004,T136),Firms!$A$5:$A$1004,0),""),""))</f>
        <v/>
      </c>
    </row>
    <row r="137">
      <c r="A137" s="78">
        <f>IF($T137="","",IF($S137="S",IF(INDEX(Firms!$A$5:$A$1004,$T137)="","",INDEX(Firms!$A$5:$A$1004,$T137)),IF(INDEX('AFA Rates'!$A$5:$A$1004,$T137)="","",INDEX('AFA Rates'!$A$5:$A$1004,$T137))))</f>
        <v/>
      </c>
      <c r="B137" s="79">
        <f>IF(OR($T137="",$U137=""),IF($T137="","","Not on Firms tab"),INDEX(Firms!$B$5:$B$1004,$U137)&amp;"")</f>
        <v/>
      </c>
      <c r="C137" s="78">
        <f>IF($T137="","",IF($S137="S","Standard",INDEX('AFA Rates'!$B$5:$B$1004,$T137)&amp;""))</f>
        <v/>
      </c>
      <c r="D137" s="88">
        <f>IF($T137="","",IF($S137="S",IF(INDEX(Firms!$E$5:$E$1004,$T137)="","",INDEX(Firms!$E$5:$E$1004,$T137)),IF(INDEX('AFA Rates'!$C$5:$C$1004,$T137)="","",INDEX('AFA Rates'!$C$5:$C$1004,$T137))))</f>
        <v/>
      </c>
      <c r="E137" s="88">
        <f>IF($T137="","",IF($S137="S",IF(""="","",""),IF(INDEX('AFA Rates'!$D$5:$D$1004,$T137)="","",INDEX('AFA Rates'!$D$5:$D$1004,$T137))))</f>
        <v/>
      </c>
      <c r="F137" s="79">
        <f>IF($T137="","",IF($S137="S",IF(INDEX(Firms!$O$5:$O$1004,$T137)="","",INDEX(Firms!$O$5:$O$1004,$T137)),IF(INDEX('AFA Rates'!$O$5:$O$1004,$T137)="","",INDEX('AFA Rates'!$O$5:$O$1004,$T137))))</f>
        <v/>
      </c>
      <c r="G137" s="50">
        <f>IF($T137="","",IF($S137="S",IF(INDEX(Firms!$F$5:$F$1004,$T137)="","",INDEX(Firms!$F$5:$F$1004,$T137)),IF(INDEX('AFA Rates'!$E$5:$E$1004,$T137)="","",INDEX('AFA Rates'!$E$5:$E$1004,$T137))))</f>
        <v/>
      </c>
      <c r="H137" s="50">
        <f>IF($T137="","",IF($S137="S",IF(INDEX(Firms!$G$5:$G$1004,$T137)="","",INDEX(Firms!$G$5:$G$1004,$T137)),IF(INDEX('AFA Rates'!$F$5:$F$1004,$T137)="","",INDEX('AFA Rates'!$F$5:$F$1004,$T137))))</f>
        <v/>
      </c>
      <c r="I137" s="50">
        <f>IF($T137="","",IF($S137="S",IF(INDEX(Firms!$H$5:$H$1004,$T137)="","",INDEX(Firms!$H$5:$H$1004,$T137)),IF(INDEX('AFA Rates'!$G$5:$G$1004,$T137)="","",INDEX('AFA Rates'!$G$5:$G$1004,$T137))))</f>
        <v/>
      </c>
      <c r="J137" s="50">
        <f>IF($T137="","",IF($S137="S",IF(INDEX(Firms!$I$5:$I$1004,$T137)="","",INDEX(Firms!$I$5:$I$1004,$T137)),IF(INDEX('AFA Rates'!$H$5:$H$1004,$T137)="","",INDEX('AFA Rates'!$H$5:$H$1004,$T137))))</f>
        <v/>
      </c>
      <c r="K137" s="50">
        <f>IF($T137="","",IF($S137="S",IF(INDEX(Firms!$J$5:$J$1004,$T137)="","",INDEX(Firms!$J$5:$J$1004,$T137)),IF(INDEX('AFA Rates'!$I$5:$I$1004,$T137)="","",INDEX('AFA Rates'!$I$5:$I$1004,$T137))))</f>
        <v/>
      </c>
      <c r="L137" s="50">
        <f>IF($T137="","",IF($S137="S",IF(INDEX(Firms!$K$5:$K$1004,$T137)="","",INDEX(Firms!$K$5:$K$1004,$T137)),IF(INDEX('AFA Rates'!$J$5:$J$1004,$T137)="","",INDEX('AFA Rates'!$J$5:$J$1004,$T137))))</f>
        <v/>
      </c>
      <c r="M137" s="50">
        <f>IF($T137="","",IF($S137="S",IF(INDEX(Firms!$L$5:$L$1004,$T137)="","",INDEX(Firms!$L$5:$L$1004,$T137)),IF(INDEX('AFA Rates'!$K$5:$K$1004,$T137)="","",INDEX('AFA Rates'!$K$5:$K$1004,$T137))))</f>
        <v/>
      </c>
      <c r="N137" s="50">
        <f>IF($T137="","",IF($S137="S",IF(INDEX(Firms!$M$5:$M$1004,$T137)="","",INDEX(Firms!$M$5:$M$1004,$T137)),IF(INDEX('AFA Rates'!$L$5:$L$1004,$T137)="","",INDEX('AFA Rates'!$L$5:$L$1004,$T137))))</f>
        <v/>
      </c>
      <c r="O137" s="78">
        <f>IF(OR($T137="",$U137=""),"",IF(INDEX(Firms!$C$5:$C$1004,$U137)="","",INDEX(Firms!$C$5:$C$1004,$U137)))</f>
        <v/>
      </c>
      <c r="P137" s="79">
        <f>IF(OR($T137="",$U137=""),"",IF(INDEX(Firms!$N$5:$N$1004,$U137)="","",INDEX(Firms!$N$5:$N$1004,$U137)))</f>
        <v/>
      </c>
      <c r="Q137" s="78">
        <f>IF($T137="","",IF($S137="S",IF(INDEX(Firms!$T$5:$T$1004,$T137)="","",INDEX(Firms!$T$5:$T$1004,$T137)),IF(INDEX('AFA Rates'!$M$5:$M$1004,$T137)="","",INDEX('AFA Rates'!$M$5:$M$1004,$T137))))</f>
        <v/>
      </c>
      <c r="S137">
        <f>IF(133&lt;=$S$2,"S",IF(133&lt;=$S$2+$T$2,"A",""))</f>
        <v/>
      </c>
      <c r="T137">
        <f>IF(S137="S",MATCH(133,Firms!$W$5:$W$1004,0),IF(S137="A",IFERROR(MATCH(133-$S$2,'AFA Rates'!$R$5:$R$1004,0),""),""))</f>
        <v/>
      </c>
      <c r="U137">
        <f>IF(S137="S",T137,IF(AND(S137="A",T137&lt;&gt;""),IFERROR(MATCH(INDEX('AFA Rates'!$A$5:$A$1004,T137),Firms!$A$5:$A$1004,0),""),""))</f>
        <v/>
      </c>
    </row>
    <row r="138">
      <c r="A138" s="78">
        <f>IF($T138="","",IF($S138="S",IF(INDEX(Firms!$A$5:$A$1004,$T138)="","",INDEX(Firms!$A$5:$A$1004,$T138)),IF(INDEX('AFA Rates'!$A$5:$A$1004,$T138)="","",INDEX('AFA Rates'!$A$5:$A$1004,$T138))))</f>
        <v/>
      </c>
      <c r="B138" s="79">
        <f>IF(OR($T138="",$U138=""),IF($T138="","","Not on Firms tab"),INDEX(Firms!$B$5:$B$1004,$U138)&amp;"")</f>
        <v/>
      </c>
      <c r="C138" s="78">
        <f>IF($T138="","",IF($S138="S","Standard",INDEX('AFA Rates'!$B$5:$B$1004,$T138)&amp;""))</f>
        <v/>
      </c>
      <c r="D138" s="88">
        <f>IF($T138="","",IF($S138="S",IF(INDEX(Firms!$E$5:$E$1004,$T138)="","",INDEX(Firms!$E$5:$E$1004,$T138)),IF(INDEX('AFA Rates'!$C$5:$C$1004,$T138)="","",INDEX('AFA Rates'!$C$5:$C$1004,$T138))))</f>
        <v/>
      </c>
      <c r="E138" s="88">
        <f>IF($T138="","",IF($S138="S",IF(""="","",""),IF(INDEX('AFA Rates'!$D$5:$D$1004,$T138)="","",INDEX('AFA Rates'!$D$5:$D$1004,$T138))))</f>
        <v/>
      </c>
      <c r="F138" s="79">
        <f>IF($T138="","",IF($S138="S",IF(INDEX(Firms!$O$5:$O$1004,$T138)="","",INDEX(Firms!$O$5:$O$1004,$T138)),IF(INDEX('AFA Rates'!$O$5:$O$1004,$T138)="","",INDEX('AFA Rates'!$O$5:$O$1004,$T138))))</f>
        <v/>
      </c>
      <c r="G138" s="50">
        <f>IF($T138="","",IF($S138="S",IF(INDEX(Firms!$F$5:$F$1004,$T138)="","",INDEX(Firms!$F$5:$F$1004,$T138)),IF(INDEX('AFA Rates'!$E$5:$E$1004,$T138)="","",INDEX('AFA Rates'!$E$5:$E$1004,$T138))))</f>
        <v/>
      </c>
      <c r="H138" s="50">
        <f>IF($T138="","",IF($S138="S",IF(INDEX(Firms!$G$5:$G$1004,$T138)="","",INDEX(Firms!$G$5:$G$1004,$T138)),IF(INDEX('AFA Rates'!$F$5:$F$1004,$T138)="","",INDEX('AFA Rates'!$F$5:$F$1004,$T138))))</f>
        <v/>
      </c>
      <c r="I138" s="50">
        <f>IF($T138="","",IF($S138="S",IF(INDEX(Firms!$H$5:$H$1004,$T138)="","",INDEX(Firms!$H$5:$H$1004,$T138)),IF(INDEX('AFA Rates'!$G$5:$G$1004,$T138)="","",INDEX('AFA Rates'!$G$5:$G$1004,$T138))))</f>
        <v/>
      </c>
      <c r="J138" s="50">
        <f>IF($T138="","",IF($S138="S",IF(INDEX(Firms!$I$5:$I$1004,$T138)="","",INDEX(Firms!$I$5:$I$1004,$T138)),IF(INDEX('AFA Rates'!$H$5:$H$1004,$T138)="","",INDEX('AFA Rates'!$H$5:$H$1004,$T138))))</f>
        <v/>
      </c>
      <c r="K138" s="50">
        <f>IF($T138="","",IF($S138="S",IF(INDEX(Firms!$J$5:$J$1004,$T138)="","",INDEX(Firms!$J$5:$J$1004,$T138)),IF(INDEX('AFA Rates'!$I$5:$I$1004,$T138)="","",INDEX('AFA Rates'!$I$5:$I$1004,$T138))))</f>
        <v/>
      </c>
      <c r="L138" s="50">
        <f>IF($T138="","",IF($S138="S",IF(INDEX(Firms!$K$5:$K$1004,$T138)="","",INDEX(Firms!$K$5:$K$1004,$T138)),IF(INDEX('AFA Rates'!$J$5:$J$1004,$T138)="","",INDEX('AFA Rates'!$J$5:$J$1004,$T138))))</f>
        <v/>
      </c>
      <c r="M138" s="50">
        <f>IF($T138="","",IF($S138="S",IF(INDEX(Firms!$L$5:$L$1004,$T138)="","",INDEX(Firms!$L$5:$L$1004,$T138)),IF(INDEX('AFA Rates'!$K$5:$K$1004,$T138)="","",INDEX('AFA Rates'!$K$5:$K$1004,$T138))))</f>
        <v/>
      </c>
      <c r="N138" s="50">
        <f>IF($T138="","",IF($S138="S",IF(INDEX(Firms!$M$5:$M$1004,$T138)="","",INDEX(Firms!$M$5:$M$1004,$T138)),IF(INDEX('AFA Rates'!$L$5:$L$1004,$T138)="","",INDEX('AFA Rates'!$L$5:$L$1004,$T138))))</f>
        <v/>
      </c>
      <c r="O138" s="78">
        <f>IF(OR($T138="",$U138=""),"",IF(INDEX(Firms!$C$5:$C$1004,$U138)="","",INDEX(Firms!$C$5:$C$1004,$U138)))</f>
        <v/>
      </c>
      <c r="P138" s="79">
        <f>IF(OR($T138="",$U138=""),"",IF(INDEX(Firms!$N$5:$N$1004,$U138)="","",INDEX(Firms!$N$5:$N$1004,$U138)))</f>
        <v/>
      </c>
      <c r="Q138" s="78">
        <f>IF($T138="","",IF($S138="S",IF(INDEX(Firms!$T$5:$T$1004,$T138)="","",INDEX(Firms!$T$5:$T$1004,$T138)),IF(INDEX('AFA Rates'!$M$5:$M$1004,$T138)="","",INDEX('AFA Rates'!$M$5:$M$1004,$T138))))</f>
        <v/>
      </c>
      <c r="S138">
        <f>IF(134&lt;=$S$2,"S",IF(134&lt;=$S$2+$T$2,"A",""))</f>
        <v/>
      </c>
      <c r="T138">
        <f>IF(S138="S",MATCH(134,Firms!$W$5:$W$1004,0),IF(S138="A",IFERROR(MATCH(134-$S$2,'AFA Rates'!$R$5:$R$1004,0),""),""))</f>
        <v/>
      </c>
      <c r="U138">
        <f>IF(S138="S",T138,IF(AND(S138="A",T138&lt;&gt;""),IFERROR(MATCH(INDEX('AFA Rates'!$A$5:$A$1004,T138),Firms!$A$5:$A$1004,0),""),""))</f>
        <v/>
      </c>
    </row>
    <row r="139">
      <c r="A139" s="78">
        <f>IF($T139="","",IF($S139="S",IF(INDEX(Firms!$A$5:$A$1004,$T139)="","",INDEX(Firms!$A$5:$A$1004,$T139)),IF(INDEX('AFA Rates'!$A$5:$A$1004,$T139)="","",INDEX('AFA Rates'!$A$5:$A$1004,$T139))))</f>
        <v/>
      </c>
      <c r="B139" s="79">
        <f>IF(OR($T139="",$U139=""),IF($T139="","","Not on Firms tab"),INDEX(Firms!$B$5:$B$1004,$U139)&amp;"")</f>
        <v/>
      </c>
      <c r="C139" s="78">
        <f>IF($T139="","",IF($S139="S","Standard",INDEX('AFA Rates'!$B$5:$B$1004,$T139)&amp;""))</f>
        <v/>
      </c>
      <c r="D139" s="88">
        <f>IF($T139="","",IF($S139="S",IF(INDEX(Firms!$E$5:$E$1004,$T139)="","",INDEX(Firms!$E$5:$E$1004,$T139)),IF(INDEX('AFA Rates'!$C$5:$C$1004,$T139)="","",INDEX('AFA Rates'!$C$5:$C$1004,$T139))))</f>
        <v/>
      </c>
      <c r="E139" s="88">
        <f>IF($T139="","",IF($S139="S",IF(""="","",""),IF(INDEX('AFA Rates'!$D$5:$D$1004,$T139)="","",INDEX('AFA Rates'!$D$5:$D$1004,$T139))))</f>
        <v/>
      </c>
      <c r="F139" s="79">
        <f>IF($T139="","",IF($S139="S",IF(INDEX(Firms!$O$5:$O$1004,$T139)="","",INDEX(Firms!$O$5:$O$1004,$T139)),IF(INDEX('AFA Rates'!$O$5:$O$1004,$T139)="","",INDEX('AFA Rates'!$O$5:$O$1004,$T139))))</f>
        <v/>
      </c>
      <c r="G139" s="50">
        <f>IF($T139="","",IF($S139="S",IF(INDEX(Firms!$F$5:$F$1004,$T139)="","",INDEX(Firms!$F$5:$F$1004,$T139)),IF(INDEX('AFA Rates'!$E$5:$E$1004,$T139)="","",INDEX('AFA Rates'!$E$5:$E$1004,$T139))))</f>
        <v/>
      </c>
      <c r="H139" s="50">
        <f>IF($T139="","",IF($S139="S",IF(INDEX(Firms!$G$5:$G$1004,$T139)="","",INDEX(Firms!$G$5:$G$1004,$T139)),IF(INDEX('AFA Rates'!$F$5:$F$1004,$T139)="","",INDEX('AFA Rates'!$F$5:$F$1004,$T139))))</f>
        <v/>
      </c>
      <c r="I139" s="50">
        <f>IF($T139="","",IF($S139="S",IF(INDEX(Firms!$H$5:$H$1004,$T139)="","",INDEX(Firms!$H$5:$H$1004,$T139)),IF(INDEX('AFA Rates'!$G$5:$G$1004,$T139)="","",INDEX('AFA Rates'!$G$5:$G$1004,$T139))))</f>
        <v/>
      </c>
      <c r="J139" s="50">
        <f>IF($T139="","",IF($S139="S",IF(INDEX(Firms!$I$5:$I$1004,$T139)="","",INDEX(Firms!$I$5:$I$1004,$T139)),IF(INDEX('AFA Rates'!$H$5:$H$1004,$T139)="","",INDEX('AFA Rates'!$H$5:$H$1004,$T139))))</f>
        <v/>
      </c>
      <c r="K139" s="50">
        <f>IF($T139="","",IF($S139="S",IF(INDEX(Firms!$J$5:$J$1004,$T139)="","",INDEX(Firms!$J$5:$J$1004,$T139)),IF(INDEX('AFA Rates'!$I$5:$I$1004,$T139)="","",INDEX('AFA Rates'!$I$5:$I$1004,$T139))))</f>
        <v/>
      </c>
      <c r="L139" s="50">
        <f>IF($T139="","",IF($S139="S",IF(INDEX(Firms!$K$5:$K$1004,$T139)="","",INDEX(Firms!$K$5:$K$1004,$T139)),IF(INDEX('AFA Rates'!$J$5:$J$1004,$T139)="","",INDEX('AFA Rates'!$J$5:$J$1004,$T139))))</f>
        <v/>
      </c>
      <c r="M139" s="50">
        <f>IF($T139="","",IF($S139="S",IF(INDEX(Firms!$L$5:$L$1004,$T139)="","",INDEX(Firms!$L$5:$L$1004,$T139)),IF(INDEX('AFA Rates'!$K$5:$K$1004,$T139)="","",INDEX('AFA Rates'!$K$5:$K$1004,$T139))))</f>
        <v/>
      </c>
      <c r="N139" s="50">
        <f>IF($T139="","",IF($S139="S",IF(INDEX(Firms!$M$5:$M$1004,$T139)="","",INDEX(Firms!$M$5:$M$1004,$T139)),IF(INDEX('AFA Rates'!$L$5:$L$1004,$T139)="","",INDEX('AFA Rates'!$L$5:$L$1004,$T139))))</f>
        <v/>
      </c>
      <c r="O139" s="78">
        <f>IF(OR($T139="",$U139=""),"",IF(INDEX(Firms!$C$5:$C$1004,$U139)="","",INDEX(Firms!$C$5:$C$1004,$U139)))</f>
        <v/>
      </c>
      <c r="P139" s="79">
        <f>IF(OR($T139="",$U139=""),"",IF(INDEX(Firms!$N$5:$N$1004,$U139)="","",INDEX(Firms!$N$5:$N$1004,$U139)))</f>
        <v/>
      </c>
      <c r="Q139" s="78">
        <f>IF($T139="","",IF($S139="S",IF(INDEX(Firms!$T$5:$T$1004,$T139)="","",INDEX(Firms!$T$5:$T$1004,$T139)),IF(INDEX('AFA Rates'!$M$5:$M$1004,$T139)="","",INDEX('AFA Rates'!$M$5:$M$1004,$T139))))</f>
        <v/>
      </c>
      <c r="S139">
        <f>IF(135&lt;=$S$2,"S",IF(135&lt;=$S$2+$T$2,"A",""))</f>
        <v/>
      </c>
      <c r="T139">
        <f>IF(S139="S",MATCH(135,Firms!$W$5:$W$1004,0),IF(S139="A",IFERROR(MATCH(135-$S$2,'AFA Rates'!$R$5:$R$1004,0),""),""))</f>
        <v/>
      </c>
      <c r="U139">
        <f>IF(S139="S",T139,IF(AND(S139="A",T139&lt;&gt;""),IFERROR(MATCH(INDEX('AFA Rates'!$A$5:$A$1004,T139),Firms!$A$5:$A$1004,0),""),""))</f>
        <v/>
      </c>
    </row>
    <row r="140">
      <c r="A140" s="78">
        <f>IF($T140="","",IF($S140="S",IF(INDEX(Firms!$A$5:$A$1004,$T140)="","",INDEX(Firms!$A$5:$A$1004,$T140)),IF(INDEX('AFA Rates'!$A$5:$A$1004,$T140)="","",INDEX('AFA Rates'!$A$5:$A$1004,$T140))))</f>
        <v/>
      </c>
      <c r="B140" s="79">
        <f>IF(OR($T140="",$U140=""),IF($T140="","","Not on Firms tab"),INDEX(Firms!$B$5:$B$1004,$U140)&amp;"")</f>
        <v/>
      </c>
      <c r="C140" s="78">
        <f>IF($T140="","",IF($S140="S","Standard",INDEX('AFA Rates'!$B$5:$B$1004,$T140)&amp;""))</f>
        <v/>
      </c>
      <c r="D140" s="88">
        <f>IF($T140="","",IF($S140="S",IF(INDEX(Firms!$E$5:$E$1004,$T140)="","",INDEX(Firms!$E$5:$E$1004,$T140)),IF(INDEX('AFA Rates'!$C$5:$C$1004,$T140)="","",INDEX('AFA Rates'!$C$5:$C$1004,$T140))))</f>
        <v/>
      </c>
      <c r="E140" s="88">
        <f>IF($T140="","",IF($S140="S",IF(""="","",""),IF(INDEX('AFA Rates'!$D$5:$D$1004,$T140)="","",INDEX('AFA Rates'!$D$5:$D$1004,$T140))))</f>
        <v/>
      </c>
      <c r="F140" s="79">
        <f>IF($T140="","",IF($S140="S",IF(INDEX(Firms!$O$5:$O$1004,$T140)="","",INDEX(Firms!$O$5:$O$1004,$T140)),IF(INDEX('AFA Rates'!$O$5:$O$1004,$T140)="","",INDEX('AFA Rates'!$O$5:$O$1004,$T140))))</f>
        <v/>
      </c>
      <c r="G140" s="50">
        <f>IF($T140="","",IF($S140="S",IF(INDEX(Firms!$F$5:$F$1004,$T140)="","",INDEX(Firms!$F$5:$F$1004,$T140)),IF(INDEX('AFA Rates'!$E$5:$E$1004,$T140)="","",INDEX('AFA Rates'!$E$5:$E$1004,$T140))))</f>
        <v/>
      </c>
      <c r="H140" s="50">
        <f>IF($T140="","",IF($S140="S",IF(INDEX(Firms!$G$5:$G$1004,$T140)="","",INDEX(Firms!$G$5:$G$1004,$T140)),IF(INDEX('AFA Rates'!$F$5:$F$1004,$T140)="","",INDEX('AFA Rates'!$F$5:$F$1004,$T140))))</f>
        <v/>
      </c>
      <c r="I140" s="50">
        <f>IF($T140="","",IF($S140="S",IF(INDEX(Firms!$H$5:$H$1004,$T140)="","",INDEX(Firms!$H$5:$H$1004,$T140)),IF(INDEX('AFA Rates'!$G$5:$G$1004,$T140)="","",INDEX('AFA Rates'!$G$5:$G$1004,$T140))))</f>
        <v/>
      </c>
      <c r="J140" s="50">
        <f>IF($T140="","",IF($S140="S",IF(INDEX(Firms!$I$5:$I$1004,$T140)="","",INDEX(Firms!$I$5:$I$1004,$T140)),IF(INDEX('AFA Rates'!$H$5:$H$1004,$T140)="","",INDEX('AFA Rates'!$H$5:$H$1004,$T140))))</f>
        <v/>
      </c>
      <c r="K140" s="50">
        <f>IF($T140="","",IF($S140="S",IF(INDEX(Firms!$J$5:$J$1004,$T140)="","",INDEX(Firms!$J$5:$J$1004,$T140)),IF(INDEX('AFA Rates'!$I$5:$I$1004,$T140)="","",INDEX('AFA Rates'!$I$5:$I$1004,$T140))))</f>
        <v/>
      </c>
      <c r="L140" s="50">
        <f>IF($T140="","",IF($S140="S",IF(INDEX(Firms!$K$5:$K$1004,$T140)="","",INDEX(Firms!$K$5:$K$1004,$T140)),IF(INDEX('AFA Rates'!$J$5:$J$1004,$T140)="","",INDEX('AFA Rates'!$J$5:$J$1004,$T140))))</f>
        <v/>
      </c>
      <c r="M140" s="50">
        <f>IF($T140="","",IF($S140="S",IF(INDEX(Firms!$L$5:$L$1004,$T140)="","",INDEX(Firms!$L$5:$L$1004,$T140)),IF(INDEX('AFA Rates'!$K$5:$K$1004,$T140)="","",INDEX('AFA Rates'!$K$5:$K$1004,$T140))))</f>
        <v/>
      </c>
      <c r="N140" s="50">
        <f>IF($T140="","",IF($S140="S",IF(INDEX(Firms!$M$5:$M$1004,$T140)="","",INDEX(Firms!$M$5:$M$1004,$T140)),IF(INDEX('AFA Rates'!$L$5:$L$1004,$T140)="","",INDEX('AFA Rates'!$L$5:$L$1004,$T140))))</f>
        <v/>
      </c>
      <c r="O140" s="78">
        <f>IF(OR($T140="",$U140=""),"",IF(INDEX(Firms!$C$5:$C$1004,$U140)="","",INDEX(Firms!$C$5:$C$1004,$U140)))</f>
        <v/>
      </c>
      <c r="P140" s="79">
        <f>IF(OR($T140="",$U140=""),"",IF(INDEX(Firms!$N$5:$N$1004,$U140)="","",INDEX(Firms!$N$5:$N$1004,$U140)))</f>
        <v/>
      </c>
      <c r="Q140" s="78">
        <f>IF($T140="","",IF($S140="S",IF(INDEX(Firms!$T$5:$T$1004,$T140)="","",INDEX(Firms!$T$5:$T$1004,$T140)),IF(INDEX('AFA Rates'!$M$5:$M$1004,$T140)="","",INDEX('AFA Rates'!$M$5:$M$1004,$T140))))</f>
        <v/>
      </c>
      <c r="S140">
        <f>IF(136&lt;=$S$2,"S",IF(136&lt;=$S$2+$T$2,"A",""))</f>
        <v/>
      </c>
      <c r="T140">
        <f>IF(S140="S",MATCH(136,Firms!$W$5:$W$1004,0),IF(S140="A",IFERROR(MATCH(136-$S$2,'AFA Rates'!$R$5:$R$1004,0),""),""))</f>
        <v/>
      </c>
      <c r="U140">
        <f>IF(S140="S",T140,IF(AND(S140="A",T140&lt;&gt;""),IFERROR(MATCH(INDEX('AFA Rates'!$A$5:$A$1004,T140),Firms!$A$5:$A$1004,0),""),""))</f>
        <v/>
      </c>
    </row>
    <row r="141">
      <c r="A141" s="78">
        <f>IF($T141="","",IF($S141="S",IF(INDEX(Firms!$A$5:$A$1004,$T141)="","",INDEX(Firms!$A$5:$A$1004,$T141)),IF(INDEX('AFA Rates'!$A$5:$A$1004,$T141)="","",INDEX('AFA Rates'!$A$5:$A$1004,$T141))))</f>
        <v/>
      </c>
      <c r="B141" s="79">
        <f>IF(OR($T141="",$U141=""),IF($T141="","","Not on Firms tab"),INDEX(Firms!$B$5:$B$1004,$U141)&amp;"")</f>
        <v/>
      </c>
      <c r="C141" s="78">
        <f>IF($T141="","",IF($S141="S","Standard",INDEX('AFA Rates'!$B$5:$B$1004,$T141)&amp;""))</f>
        <v/>
      </c>
      <c r="D141" s="88">
        <f>IF($T141="","",IF($S141="S",IF(INDEX(Firms!$E$5:$E$1004,$T141)="","",INDEX(Firms!$E$5:$E$1004,$T141)),IF(INDEX('AFA Rates'!$C$5:$C$1004,$T141)="","",INDEX('AFA Rates'!$C$5:$C$1004,$T141))))</f>
        <v/>
      </c>
      <c r="E141" s="88">
        <f>IF($T141="","",IF($S141="S",IF(""="","",""),IF(INDEX('AFA Rates'!$D$5:$D$1004,$T141)="","",INDEX('AFA Rates'!$D$5:$D$1004,$T141))))</f>
        <v/>
      </c>
      <c r="F141" s="79">
        <f>IF($T141="","",IF($S141="S",IF(INDEX(Firms!$O$5:$O$1004,$T141)="","",INDEX(Firms!$O$5:$O$1004,$T141)),IF(INDEX('AFA Rates'!$O$5:$O$1004,$T141)="","",INDEX('AFA Rates'!$O$5:$O$1004,$T141))))</f>
        <v/>
      </c>
      <c r="G141" s="50">
        <f>IF($T141="","",IF($S141="S",IF(INDEX(Firms!$F$5:$F$1004,$T141)="","",INDEX(Firms!$F$5:$F$1004,$T141)),IF(INDEX('AFA Rates'!$E$5:$E$1004,$T141)="","",INDEX('AFA Rates'!$E$5:$E$1004,$T141))))</f>
        <v/>
      </c>
      <c r="H141" s="50">
        <f>IF($T141="","",IF($S141="S",IF(INDEX(Firms!$G$5:$G$1004,$T141)="","",INDEX(Firms!$G$5:$G$1004,$T141)),IF(INDEX('AFA Rates'!$F$5:$F$1004,$T141)="","",INDEX('AFA Rates'!$F$5:$F$1004,$T141))))</f>
        <v/>
      </c>
      <c r="I141" s="50">
        <f>IF($T141="","",IF($S141="S",IF(INDEX(Firms!$H$5:$H$1004,$T141)="","",INDEX(Firms!$H$5:$H$1004,$T141)),IF(INDEX('AFA Rates'!$G$5:$G$1004,$T141)="","",INDEX('AFA Rates'!$G$5:$G$1004,$T141))))</f>
        <v/>
      </c>
      <c r="J141" s="50">
        <f>IF($T141="","",IF($S141="S",IF(INDEX(Firms!$I$5:$I$1004,$T141)="","",INDEX(Firms!$I$5:$I$1004,$T141)),IF(INDEX('AFA Rates'!$H$5:$H$1004,$T141)="","",INDEX('AFA Rates'!$H$5:$H$1004,$T141))))</f>
        <v/>
      </c>
      <c r="K141" s="50">
        <f>IF($T141="","",IF($S141="S",IF(INDEX(Firms!$J$5:$J$1004,$T141)="","",INDEX(Firms!$J$5:$J$1004,$T141)),IF(INDEX('AFA Rates'!$I$5:$I$1004,$T141)="","",INDEX('AFA Rates'!$I$5:$I$1004,$T141))))</f>
        <v/>
      </c>
      <c r="L141" s="50">
        <f>IF($T141="","",IF($S141="S",IF(INDEX(Firms!$K$5:$K$1004,$T141)="","",INDEX(Firms!$K$5:$K$1004,$T141)),IF(INDEX('AFA Rates'!$J$5:$J$1004,$T141)="","",INDEX('AFA Rates'!$J$5:$J$1004,$T141))))</f>
        <v/>
      </c>
      <c r="M141" s="50">
        <f>IF($T141="","",IF($S141="S",IF(INDEX(Firms!$L$5:$L$1004,$T141)="","",INDEX(Firms!$L$5:$L$1004,$T141)),IF(INDEX('AFA Rates'!$K$5:$K$1004,$T141)="","",INDEX('AFA Rates'!$K$5:$K$1004,$T141))))</f>
        <v/>
      </c>
      <c r="N141" s="50">
        <f>IF($T141="","",IF($S141="S",IF(INDEX(Firms!$M$5:$M$1004,$T141)="","",INDEX(Firms!$M$5:$M$1004,$T141)),IF(INDEX('AFA Rates'!$L$5:$L$1004,$T141)="","",INDEX('AFA Rates'!$L$5:$L$1004,$T141))))</f>
        <v/>
      </c>
      <c r="O141" s="78">
        <f>IF(OR($T141="",$U141=""),"",IF(INDEX(Firms!$C$5:$C$1004,$U141)="","",INDEX(Firms!$C$5:$C$1004,$U141)))</f>
        <v/>
      </c>
      <c r="P141" s="79">
        <f>IF(OR($T141="",$U141=""),"",IF(INDEX(Firms!$N$5:$N$1004,$U141)="","",INDEX(Firms!$N$5:$N$1004,$U141)))</f>
        <v/>
      </c>
      <c r="Q141" s="78">
        <f>IF($T141="","",IF($S141="S",IF(INDEX(Firms!$T$5:$T$1004,$T141)="","",INDEX(Firms!$T$5:$T$1004,$T141)),IF(INDEX('AFA Rates'!$M$5:$M$1004,$T141)="","",INDEX('AFA Rates'!$M$5:$M$1004,$T141))))</f>
        <v/>
      </c>
      <c r="S141">
        <f>IF(137&lt;=$S$2,"S",IF(137&lt;=$S$2+$T$2,"A",""))</f>
        <v/>
      </c>
      <c r="T141">
        <f>IF(S141="S",MATCH(137,Firms!$W$5:$W$1004,0),IF(S141="A",IFERROR(MATCH(137-$S$2,'AFA Rates'!$R$5:$R$1004,0),""),""))</f>
        <v/>
      </c>
      <c r="U141">
        <f>IF(S141="S",T141,IF(AND(S141="A",T141&lt;&gt;""),IFERROR(MATCH(INDEX('AFA Rates'!$A$5:$A$1004,T141),Firms!$A$5:$A$1004,0),""),""))</f>
        <v/>
      </c>
    </row>
    <row r="142">
      <c r="A142" s="78">
        <f>IF($T142="","",IF($S142="S",IF(INDEX(Firms!$A$5:$A$1004,$T142)="","",INDEX(Firms!$A$5:$A$1004,$T142)),IF(INDEX('AFA Rates'!$A$5:$A$1004,$T142)="","",INDEX('AFA Rates'!$A$5:$A$1004,$T142))))</f>
        <v/>
      </c>
      <c r="B142" s="79">
        <f>IF(OR($T142="",$U142=""),IF($T142="","","Not on Firms tab"),INDEX(Firms!$B$5:$B$1004,$U142)&amp;"")</f>
        <v/>
      </c>
      <c r="C142" s="78">
        <f>IF($T142="","",IF($S142="S","Standard",INDEX('AFA Rates'!$B$5:$B$1004,$T142)&amp;""))</f>
        <v/>
      </c>
      <c r="D142" s="88">
        <f>IF($T142="","",IF($S142="S",IF(INDEX(Firms!$E$5:$E$1004,$T142)="","",INDEX(Firms!$E$5:$E$1004,$T142)),IF(INDEX('AFA Rates'!$C$5:$C$1004,$T142)="","",INDEX('AFA Rates'!$C$5:$C$1004,$T142))))</f>
        <v/>
      </c>
      <c r="E142" s="88">
        <f>IF($T142="","",IF($S142="S",IF(""="","",""),IF(INDEX('AFA Rates'!$D$5:$D$1004,$T142)="","",INDEX('AFA Rates'!$D$5:$D$1004,$T142))))</f>
        <v/>
      </c>
      <c r="F142" s="79">
        <f>IF($T142="","",IF($S142="S",IF(INDEX(Firms!$O$5:$O$1004,$T142)="","",INDEX(Firms!$O$5:$O$1004,$T142)),IF(INDEX('AFA Rates'!$O$5:$O$1004,$T142)="","",INDEX('AFA Rates'!$O$5:$O$1004,$T142))))</f>
        <v/>
      </c>
      <c r="G142" s="50">
        <f>IF($T142="","",IF($S142="S",IF(INDEX(Firms!$F$5:$F$1004,$T142)="","",INDEX(Firms!$F$5:$F$1004,$T142)),IF(INDEX('AFA Rates'!$E$5:$E$1004,$T142)="","",INDEX('AFA Rates'!$E$5:$E$1004,$T142))))</f>
        <v/>
      </c>
      <c r="H142" s="50">
        <f>IF($T142="","",IF($S142="S",IF(INDEX(Firms!$G$5:$G$1004,$T142)="","",INDEX(Firms!$G$5:$G$1004,$T142)),IF(INDEX('AFA Rates'!$F$5:$F$1004,$T142)="","",INDEX('AFA Rates'!$F$5:$F$1004,$T142))))</f>
        <v/>
      </c>
      <c r="I142" s="50">
        <f>IF($T142="","",IF($S142="S",IF(INDEX(Firms!$H$5:$H$1004,$T142)="","",INDEX(Firms!$H$5:$H$1004,$T142)),IF(INDEX('AFA Rates'!$G$5:$G$1004,$T142)="","",INDEX('AFA Rates'!$G$5:$G$1004,$T142))))</f>
        <v/>
      </c>
      <c r="J142" s="50">
        <f>IF($T142="","",IF($S142="S",IF(INDEX(Firms!$I$5:$I$1004,$T142)="","",INDEX(Firms!$I$5:$I$1004,$T142)),IF(INDEX('AFA Rates'!$H$5:$H$1004,$T142)="","",INDEX('AFA Rates'!$H$5:$H$1004,$T142))))</f>
        <v/>
      </c>
      <c r="K142" s="50">
        <f>IF($T142="","",IF($S142="S",IF(INDEX(Firms!$J$5:$J$1004,$T142)="","",INDEX(Firms!$J$5:$J$1004,$T142)),IF(INDEX('AFA Rates'!$I$5:$I$1004,$T142)="","",INDEX('AFA Rates'!$I$5:$I$1004,$T142))))</f>
        <v/>
      </c>
      <c r="L142" s="50">
        <f>IF($T142="","",IF($S142="S",IF(INDEX(Firms!$K$5:$K$1004,$T142)="","",INDEX(Firms!$K$5:$K$1004,$T142)),IF(INDEX('AFA Rates'!$J$5:$J$1004,$T142)="","",INDEX('AFA Rates'!$J$5:$J$1004,$T142))))</f>
        <v/>
      </c>
      <c r="M142" s="50">
        <f>IF($T142="","",IF($S142="S",IF(INDEX(Firms!$L$5:$L$1004,$T142)="","",INDEX(Firms!$L$5:$L$1004,$T142)),IF(INDEX('AFA Rates'!$K$5:$K$1004,$T142)="","",INDEX('AFA Rates'!$K$5:$K$1004,$T142))))</f>
        <v/>
      </c>
      <c r="N142" s="50">
        <f>IF($T142="","",IF($S142="S",IF(INDEX(Firms!$M$5:$M$1004,$T142)="","",INDEX(Firms!$M$5:$M$1004,$T142)),IF(INDEX('AFA Rates'!$L$5:$L$1004,$T142)="","",INDEX('AFA Rates'!$L$5:$L$1004,$T142))))</f>
        <v/>
      </c>
      <c r="O142" s="78">
        <f>IF(OR($T142="",$U142=""),"",IF(INDEX(Firms!$C$5:$C$1004,$U142)="","",INDEX(Firms!$C$5:$C$1004,$U142)))</f>
        <v/>
      </c>
      <c r="P142" s="79">
        <f>IF(OR($T142="",$U142=""),"",IF(INDEX(Firms!$N$5:$N$1004,$U142)="","",INDEX(Firms!$N$5:$N$1004,$U142)))</f>
        <v/>
      </c>
      <c r="Q142" s="78">
        <f>IF($T142="","",IF($S142="S",IF(INDEX(Firms!$T$5:$T$1004,$T142)="","",INDEX(Firms!$T$5:$T$1004,$T142)),IF(INDEX('AFA Rates'!$M$5:$M$1004,$T142)="","",INDEX('AFA Rates'!$M$5:$M$1004,$T142))))</f>
        <v/>
      </c>
      <c r="S142">
        <f>IF(138&lt;=$S$2,"S",IF(138&lt;=$S$2+$T$2,"A",""))</f>
        <v/>
      </c>
      <c r="T142">
        <f>IF(S142="S",MATCH(138,Firms!$W$5:$W$1004,0),IF(S142="A",IFERROR(MATCH(138-$S$2,'AFA Rates'!$R$5:$R$1004,0),""),""))</f>
        <v/>
      </c>
      <c r="U142">
        <f>IF(S142="S",T142,IF(AND(S142="A",T142&lt;&gt;""),IFERROR(MATCH(INDEX('AFA Rates'!$A$5:$A$1004,T142),Firms!$A$5:$A$1004,0),""),""))</f>
        <v/>
      </c>
    </row>
    <row r="143">
      <c r="A143" s="78">
        <f>IF($T143="","",IF($S143="S",IF(INDEX(Firms!$A$5:$A$1004,$T143)="","",INDEX(Firms!$A$5:$A$1004,$T143)),IF(INDEX('AFA Rates'!$A$5:$A$1004,$T143)="","",INDEX('AFA Rates'!$A$5:$A$1004,$T143))))</f>
        <v/>
      </c>
      <c r="B143" s="79">
        <f>IF(OR($T143="",$U143=""),IF($T143="","","Not on Firms tab"),INDEX(Firms!$B$5:$B$1004,$U143)&amp;"")</f>
        <v/>
      </c>
      <c r="C143" s="78">
        <f>IF($T143="","",IF($S143="S","Standard",INDEX('AFA Rates'!$B$5:$B$1004,$T143)&amp;""))</f>
        <v/>
      </c>
      <c r="D143" s="88">
        <f>IF($T143="","",IF($S143="S",IF(INDEX(Firms!$E$5:$E$1004,$T143)="","",INDEX(Firms!$E$5:$E$1004,$T143)),IF(INDEX('AFA Rates'!$C$5:$C$1004,$T143)="","",INDEX('AFA Rates'!$C$5:$C$1004,$T143))))</f>
        <v/>
      </c>
      <c r="E143" s="88">
        <f>IF($T143="","",IF($S143="S",IF(""="","",""),IF(INDEX('AFA Rates'!$D$5:$D$1004,$T143)="","",INDEX('AFA Rates'!$D$5:$D$1004,$T143))))</f>
        <v/>
      </c>
      <c r="F143" s="79">
        <f>IF($T143="","",IF($S143="S",IF(INDEX(Firms!$O$5:$O$1004,$T143)="","",INDEX(Firms!$O$5:$O$1004,$T143)),IF(INDEX('AFA Rates'!$O$5:$O$1004,$T143)="","",INDEX('AFA Rates'!$O$5:$O$1004,$T143))))</f>
        <v/>
      </c>
      <c r="G143" s="50">
        <f>IF($T143="","",IF($S143="S",IF(INDEX(Firms!$F$5:$F$1004,$T143)="","",INDEX(Firms!$F$5:$F$1004,$T143)),IF(INDEX('AFA Rates'!$E$5:$E$1004,$T143)="","",INDEX('AFA Rates'!$E$5:$E$1004,$T143))))</f>
        <v/>
      </c>
      <c r="H143" s="50">
        <f>IF($T143="","",IF($S143="S",IF(INDEX(Firms!$G$5:$G$1004,$T143)="","",INDEX(Firms!$G$5:$G$1004,$T143)),IF(INDEX('AFA Rates'!$F$5:$F$1004,$T143)="","",INDEX('AFA Rates'!$F$5:$F$1004,$T143))))</f>
        <v/>
      </c>
      <c r="I143" s="50">
        <f>IF($T143="","",IF($S143="S",IF(INDEX(Firms!$H$5:$H$1004,$T143)="","",INDEX(Firms!$H$5:$H$1004,$T143)),IF(INDEX('AFA Rates'!$G$5:$G$1004,$T143)="","",INDEX('AFA Rates'!$G$5:$G$1004,$T143))))</f>
        <v/>
      </c>
      <c r="J143" s="50">
        <f>IF($T143="","",IF($S143="S",IF(INDEX(Firms!$I$5:$I$1004,$T143)="","",INDEX(Firms!$I$5:$I$1004,$T143)),IF(INDEX('AFA Rates'!$H$5:$H$1004,$T143)="","",INDEX('AFA Rates'!$H$5:$H$1004,$T143))))</f>
        <v/>
      </c>
      <c r="K143" s="50">
        <f>IF($T143="","",IF($S143="S",IF(INDEX(Firms!$J$5:$J$1004,$T143)="","",INDEX(Firms!$J$5:$J$1004,$T143)),IF(INDEX('AFA Rates'!$I$5:$I$1004,$T143)="","",INDEX('AFA Rates'!$I$5:$I$1004,$T143))))</f>
        <v/>
      </c>
      <c r="L143" s="50">
        <f>IF($T143="","",IF($S143="S",IF(INDEX(Firms!$K$5:$K$1004,$T143)="","",INDEX(Firms!$K$5:$K$1004,$T143)),IF(INDEX('AFA Rates'!$J$5:$J$1004,$T143)="","",INDEX('AFA Rates'!$J$5:$J$1004,$T143))))</f>
        <v/>
      </c>
      <c r="M143" s="50">
        <f>IF($T143="","",IF($S143="S",IF(INDEX(Firms!$L$5:$L$1004,$T143)="","",INDEX(Firms!$L$5:$L$1004,$T143)),IF(INDEX('AFA Rates'!$K$5:$K$1004,$T143)="","",INDEX('AFA Rates'!$K$5:$K$1004,$T143))))</f>
        <v/>
      </c>
      <c r="N143" s="50">
        <f>IF($T143="","",IF($S143="S",IF(INDEX(Firms!$M$5:$M$1004,$T143)="","",INDEX(Firms!$M$5:$M$1004,$T143)),IF(INDEX('AFA Rates'!$L$5:$L$1004,$T143)="","",INDEX('AFA Rates'!$L$5:$L$1004,$T143))))</f>
        <v/>
      </c>
      <c r="O143" s="78">
        <f>IF(OR($T143="",$U143=""),"",IF(INDEX(Firms!$C$5:$C$1004,$U143)="","",INDEX(Firms!$C$5:$C$1004,$U143)))</f>
        <v/>
      </c>
      <c r="P143" s="79">
        <f>IF(OR($T143="",$U143=""),"",IF(INDEX(Firms!$N$5:$N$1004,$U143)="","",INDEX(Firms!$N$5:$N$1004,$U143)))</f>
        <v/>
      </c>
      <c r="Q143" s="78">
        <f>IF($T143="","",IF($S143="S",IF(INDEX(Firms!$T$5:$T$1004,$T143)="","",INDEX(Firms!$T$5:$T$1004,$T143)),IF(INDEX('AFA Rates'!$M$5:$M$1004,$T143)="","",INDEX('AFA Rates'!$M$5:$M$1004,$T143))))</f>
        <v/>
      </c>
      <c r="S143">
        <f>IF(139&lt;=$S$2,"S",IF(139&lt;=$S$2+$T$2,"A",""))</f>
        <v/>
      </c>
      <c r="T143">
        <f>IF(S143="S",MATCH(139,Firms!$W$5:$W$1004,0),IF(S143="A",IFERROR(MATCH(139-$S$2,'AFA Rates'!$R$5:$R$1004,0),""),""))</f>
        <v/>
      </c>
      <c r="U143">
        <f>IF(S143="S",T143,IF(AND(S143="A",T143&lt;&gt;""),IFERROR(MATCH(INDEX('AFA Rates'!$A$5:$A$1004,T143),Firms!$A$5:$A$1004,0),""),""))</f>
        <v/>
      </c>
    </row>
    <row r="144">
      <c r="A144" s="78">
        <f>IF($T144="","",IF($S144="S",IF(INDEX(Firms!$A$5:$A$1004,$T144)="","",INDEX(Firms!$A$5:$A$1004,$T144)),IF(INDEX('AFA Rates'!$A$5:$A$1004,$T144)="","",INDEX('AFA Rates'!$A$5:$A$1004,$T144))))</f>
        <v/>
      </c>
      <c r="B144" s="79">
        <f>IF(OR($T144="",$U144=""),IF($T144="","","Not on Firms tab"),INDEX(Firms!$B$5:$B$1004,$U144)&amp;"")</f>
        <v/>
      </c>
      <c r="C144" s="78">
        <f>IF($T144="","",IF($S144="S","Standard",INDEX('AFA Rates'!$B$5:$B$1004,$T144)&amp;""))</f>
        <v/>
      </c>
      <c r="D144" s="88">
        <f>IF($T144="","",IF($S144="S",IF(INDEX(Firms!$E$5:$E$1004,$T144)="","",INDEX(Firms!$E$5:$E$1004,$T144)),IF(INDEX('AFA Rates'!$C$5:$C$1004,$T144)="","",INDEX('AFA Rates'!$C$5:$C$1004,$T144))))</f>
        <v/>
      </c>
      <c r="E144" s="88">
        <f>IF($T144="","",IF($S144="S",IF(""="","",""),IF(INDEX('AFA Rates'!$D$5:$D$1004,$T144)="","",INDEX('AFA Rates'!$D$5:$D$1004,$T144))))</f>
        <v/>
      </c>
      <c r="F144" s="79">
        <f>IF($T144="","",IF($S144="S",IF(INDEX(Firms!$O$5:$O$1004,$T144)="","",INDEX(Firms!$O$5:$O$1004,$T144)),IF(INDEX('AFA Rates'!$O$5:$O$1004,$T144)="","",INDEX('AFA Rates'!$O$5:$O$1004,$T144))))</f>
        <v/>
      </c>
      <c r="G144" s="50">
        <f>IF($T144="","",IF($S144="S",IF(INDEX(Firms!$F$5:$F$1004,$T144)="","",INDEX(Firms!$F$5:$F$1004,$T144)),IF(INDEX('AFA Rates'!$E$5:$E$1004,$T144)="","",INDEX('AFA Rates'!$E$5:$E$1004,$T144))))</f>
        <v/>
      </c>
      <c r="H144" s="50">
        <f>IF($T144="","",IF($S144="S",IF(INDEX(Firms!$G$5:$G$1004,$T144)="","",INDEX(Firms!$G$5:$G$1004,$T144)),IF(INDEX('AFA Rates'!$F$5:$F$1004,$T144)="","",INDEX('AFA Rates'!$F$5:$F$1004,$T144))))</f>
        <v/>
      </c>
      <c r="I144" s="50">
        <f>IF($T144="","",IF($S144="S",IF(INDEX(Firms!$H$5:$H$1004,$T144)="","",INDEX(Firms!$H$5:$H$1004,$T144)),IF(INDEX('AFA Rates'!$G$5:$G$1004,$T144)="","",INDEX('AFA Rates'!$G$5:$G$1004,$T144))))</f>
        <v/>
      </c>
      <c r="J144" s="50">
        <f>IF($T144="","",IF($S144="S",IF(INDEX(Firms!$I$5:$I$1004,$T144)="","",INDEX(Firms!$I$5:$I$1004,$T144)),IF(INDEX('AFA Rates'!$H$5:$H$1004,$T144)="","",INDEX('AFA Rates'!$H$5:$H$1004,$T144))))</f>
        <v/>
      </c>
      <c r="K144" s="50">
        <f>IF($T144="","",IF($S144="S",IF(INDEX(Firms!$J$5:$J$1004,$T144)="","",INDEX(Firms!$J$5:$J$1004,$T144)),IF(INDEX('AFA Rates'!$I$5:$I$1004,$T144)="","",INDEX('AFA Rates'!$I$5:$I$1004,$T144))))</f>
        <v/>
      </c>
      <c r="L144" s="50">
        <f>IF($T144="","",IF($S144="S",IF(INDEX(Firms!$K$5:$K$1004,$T144)="","",INDEX(Firms!$K$5:$K$1004,$T144)),IF(INDEX('AFA Rates'!$J$5:$J$1004,$T144)="","",INDEX('AFA Rates'!$J$5:$J$1004,$T144))))</f>
        <v/>
      </c>
      <c r="M144" s="50">
        <f>IF($T144="","",IF($S144="S",IF(INDEX(Firms!$L$5:$L$1004,$T144)="","",INDEX(Firms!$L$5:$L$1004,$T144)),IF(INDEX('AFA Rates'!$K$5:$K$1004,$T144)="","",INDEX('AFA Rates'!$K$5:$K$1004,$T144))))</f>
        <v/>
      </c>
      <c r="N144" s="50">
        <f>IF($T144="","",IF($S144="S",IF(INDEX(Firms!$M$5:$M$1004,$T144)="","",INDEX(Firms!$M$5:$M$1004,$T144)),IF(INDEX('AFA Rates'!$L$5:$L$1004,$T144)="","",INDEX('AFA Rates'!$L$5:$L$1004,$T144))))</f>
        <v/>
      </c>
      <c r="O144" s="78">
        <f>IF(OR($T144="",$U144=""),"",IF(INDEX(Firms!$C$5:$C$1004,$U144)="","",INDEX(Firms!$C$5:$C$1004,$U144)))</f>
        <v/>
      </c>
      <c r="P144" s="79">
        <f>IF(OR($T144="",$U144=""),"",IF(INDEX(Firms!$N$5:$N$1004,$U144)="","",INDEX(Firms!$N$5:$N$1004,$U144)))</f>
        <v/>
      </c>
      <c r="Q144" s="78">
        <f>IF($T144="","",IF($S144="S",IF(INDEX(Firms!$T$5:$T$1004,$T144)="","",INDEX(Firms!$T$5:$T$1004,$T144)),IF(INDEX('AFA Rates'!$M$5:$M$1004,$T144)="","",INDEX('AFA Rates'!$M$5:$M$1004,$T144))))</f>
        <v/>
      </c>
      <c r="S144">
        <f>IF(140&lt;=$S$2,"S",IF(140&lt;=$S$2+$T$2,"A",""))</f>
        <v/>
      </c>
      <c r="T144">
        <f>IF(S144="S",MATCH(140,Firms!$W$5:$W$1004,0),IF(S144="A",IFERROR(MATCH(140-$S$2,'AFA Rates'!$R$5:$R$1004,0),""),""))</f>
        <v/>
      </c>
      <c r="U144">
        <f>IF(S144="S",T144,IF(AND(S144="A",T144&lt;&gt;""),IFERROR(MATCH(INDEX('AFA Rates'!$A$5:$A$1004,T144),Firms!$A$5:$A$1004,0),""),""))</f>
        <v/>
      </c>
    </row>
    <row r="145">
      <c r="A145" s="78">
        <f>IF($T145="","",IF($S145="S",IF(INDEX(Firms!$A$5:$A$1004,$T145)="","",INDEX(Firms!$A$5:$A$1004,$T145)),IF(INDEX('AFA Rates'!$A$5:$A$1004,$T145)="","",INDEX('AFA Rates'!$A$5:$A$1004,$T145))))</f>
        <v/>
      </c>
      <c r="B145" s="79">
        <f>IF(OR($T145="",$U145=""),IF($T145="","","Not on Firms tab"),INDEX(Firms!$B$5:$B$1004,$U145)&amp;"")</f>
        <v/>
      </c>
      <c r="C145" s="78">
        <f>IF($T145="","",IF($S145="S","Standard",INDEX('AFA Rates'!$B$5:$B$1004,$T145)&amp;""))</f>
        <v/>
      </c>
      <c r="D145" s="88">
        <f>IF($T145="","",IF($S145="S",IF(INDEX(Firms!$E$5:$E$1004,$T145)="","",INDEX(Firms!$E$5:$E$1004,$T145)),IF(INDEX('AFA Rates'!$C$5:$C$1004,$T145)="","",INDEX('AFA Rates'!$C$5:$C$1004,$T145))))</f>
        <v/>
      </c>
      <c r="E145" s="88">
        <f>IF($T145="","",IF($S145="S",IF(""="","",""),IF(INDEX('AFA Rates'!$D$5:$D$1004,$T145)="","",INDEX('AFA Rates'!$D$5:$D$1004,$T145))))</f>
        <v/>
      </c>
      <c r="F145" s="79">
        <f>IF($T145="","",IF($S145="S",IF(INDEX(Firms!$O$5:$O$1004,$T145)="","",INDEX(Firms!$O$5:$O$1004,$T145)),IF(INDEX('AFA Rates'!$O$5:$O$1004,$T145)="","",INDEX('AFA Rates'!$O$5:$O$1004,$T145))))</f>
        <v/>
      </c>
      <c r="G145" s="50">
        <f>IF($T145="","",IF($S145="S",IF(INDEX(Firms!$F$5:$F$1004,$T145)="","",INDEX(Firms!$F$5:$F$1004,$T145)),IF(INDEX('AFA Rates'!$E$5:$E$1004,$T145)="","",INDEX('AFA Rates'!$E$5:$E$1004,$T145))))</f>
        <v/>
      </c>
      <c r="H145" s="50">
        <f>IF($T145="","",IF($S145="S",IF(INDEX(Firms!$G$5:$G$1004,$T145)="","",INDEX(Firms!$G$5:$G$1004,$T145)),IF(INDEX('AFA Rates'!$F$5:$F$1004,$T145)="","",INDEX('AFA Rates'!$F$5:$F$1004,$T145))))</f>
        <v/>
      </c>
      <c r="I145" s="50">
        <f>IF($T145="","",IF($S145="S",IF(INDEX(Firms!$H$5:$H$1004,$T145)="","",INDEX(Firms!$H$5:$H$1004,$T145)),IF(INDEX('AFA Rates'!$G$5:$G$1004,$T145)="","",INDEX('AFA Rates'!$G$5:$G$1004,$T145))))</f>
        <v/>
      </c>
      <c r="J145" s="50">
        <f>IF($T145="","",IF($S145="S",IF(INDEX(Firms!$I$5:$I$1004,$T145)="","",INDEX(Firms!$I$5:$I$1004,$T145)),IF(INDEX('AFA Rates'!$H$5:$H$1004,$T145)="","",INDEX('AFA Rates'!$H$5:$H$1004,$T145))))</f>
        <v/>
      </c>
      <c r="K145" s="50">
        <f>IF($T145="","",IF($S145="S",IF(INDEX(Firms!$J$5:$J$1004,$T145)="","",INDEX(Firms!$J$5:$J$1004,$T145)),IF(INDEX('AFA Rates'!$I$5:$I$1004,$T145)="","",INDEX('AFA Rates'!$I$5:$I$1004,$T145))))</f>
        <v/>
      </c>
      <c r="L145" s="50">
        <f>IF($T145="","",IF($S145="S",IF(INDEX(Firms!$K$5:$K$1004,$T145)="","",INDEX(Firms!$K$5:$K$1004,$T145)),IF(INDEX('AFA Rates'!$J$5:$J$1004,$T145)="","",INDEX('AFA Rates'!$J$5:$J$1004,$T145))))</f>
        <v/>
      </c>
      <c r="M145" s="50">
        <f>IF($T145="","",IF($S145="S",IF(INDEX(Firms!$L$5:$L$1004,$T145)="","",INDEX(Firms!$L$5:$L$1004,$T145)),IF(INDEX('AFA Rates'!$K$5:$K$1004,$T145)="","",INDEX('AFA Rates'!$K$5:$K$1004,$T145))))</f>
        <v/>
      </c>
      <c r="N145" s="50">
        <f>IF($T145="","",IF($S145="S",IF(INDEX(Firms!$M$5:$M$1004,$T145)="","",INDEX(Firms!$M$5:$M$1004,$T145)),IF(INDEX('AFA Rates'!$L$5:$L$1004,$T145)="","",INDEX('AFA Rates'!$L$5:$L$1004,$T145))))</f>
        <v/>
      </c>
      <c r="O145" s="78">
        <f>IF(OR($T145="",$U145=""),"",IF(INDEX(Firms!$C$5:$C$1004,$U145)="","",INDEX(Firms!$C$5:$C$1004,$U145)))</f>
        <v/>
      </c>
      <c r="P145" s="79">
        <f>IF(OR($T145="",$U145=""),"",IF(INDEX(Firms!$N$5:$N$1004,$U145)="","",INDEX(Firms!$N$5:$N$1004,$U145)))</f>
        <v/>
      </c>
      <c r="Q145" s="78">
        <f>IF($T145="","",IF($S145="S",IF(INDEX(Firms!$T$5:$T$1004,$T145)="","",INDEX(Firms!$T$5:$T$1004,$T145)),IF(INDEX('AFA Rates'!$M$5:$M$1004,$T145)="","",INDEX('AFA Rates'!$M$5:$M$1004,$T145))))</f>
        <v/>
      </c>
      <c r="S145">
        <f>IF(141&lt;=$S$2,"S",IF(141&lt;=$S$2+$T$2,"A",""))</f>
        <v/>
      </c>
      <c r="T145">
        <f>IF(S145="S",MATCH(141,Firms!$W$5:$W$1004,0),IF(S145="A",IFERROR(MATCH(141-$S$2,'AFA Rates'!$R$5:$R$1004,0),""),""))</f>
        <v/>
      </c>
      <c r="U145">
        <f>IF(S145="S",T145,IF(AND(S145="A",T145&lt;&gt;""),IFERROR(MATCH(INDEX('AFA Rates'!$A$5:$A$1004,T145),Firms!$A$5:$A$1004,0),""),""))</f>
        <v/>
      </c>
    </row>
    <row r="146">
      <c r="A146" s="78">
        <f>IF($T146="","",IF($S146="S",IF(INDEX(Firms!$A$5:$A$1004,$T146)="","",INDEX(Firms!$A$5:$A$1004,$T146)),IF(INDEX('AFA Rates'!$A$5:$A$1004,$T146)="","",INDEX('AFA Rates'!$A$5:$A$1004,$T146))))</f>
        <v/>
      </c>
      <c r="B146" s="79">
        <f>IF(OR($T146="",$U146=""),IF($T146="","","Not on Firms tab"),INDEX(Firms!$B$5:$B$1004,$U146)&amp;"")</f>
        <v/>
      </c>
      <c r="C146" s="78">
        <f>IF($T146="","",IF($S146="S","Standard",INDEX('AFA Rates'!$B$5:$B$1004,$T146)&amp;""))</f>
        <v/>
      </c>
      <c r="D146" s="88">
        <f>IF($T146="","",IF($S146="S",IF(INDEX(Firms!$E$5:$E$1004,$T146)="","",INDEX(Firms!$E$5:$E$1004,$T146)),IF(INDEX('AFA Rates'!$C$5:$C$1004,$T146)="","",INDEX('AFA Rates'!$C$5:$C$1004,$T146))))</f>
        <v/>
      </c>
      <c r="E146" s="88">
        <f>IF($T146="","",IF($S146="S",IF(""="","",""),IF(INDEX('AFA Rates'!$D$5:$D$1004,$T146)="","",INDEX('AFA Rates'!$D$5:$D$1004,$T146))))</f>
        <v/>
      </c>
      <c r="F146" s="79">
        <f>IF($T146="","",IF($S146="S",IF(INDEX(Firms!$O$5:$O$1004,$T146)="","",INDEX(Firms!$O$5:$O$1004,$T146)),IF(INDEX('AFA Rates'!$O$5:$O$1004,$T146)="","",INDEX('AFA Rates'!$O$5:$O$1004,$T146))))</f>
        <v/>
      </c>
      <c r="G146" s="50">
        <f>IF($T146="","",IF($S146="S",IF(INDEX(Firms!$F$5:$F$1004,$T146)="","",INDEX(Firms!$F$5:$F$1004,$T146)),IF(INDEX('AFA Rates'!$E$5:$E$1004,$T146)="","",INDEX('AFA Rates'!$E$5:$E$1004,$T146))))</f>
        <v/>
      </c>
      <c r="H146" s="50">
        <f>IF($T146="","",IF($S146="S",IF(INDEX(Firms!$G$5:$G$1004,$T146)="","",INDEX(Firms!$G$5:$G$1004,$T146)),IF(INDEX('AFA Rates'!$F$5:$F$1004,$T146)="","",INDEX('AFA Rates'!$F$5:$F$1004,$T146))))</f>
        <v/>
      </c>
      <c r="I146" s="50">
        <f>IF($T146="","",IF($S146="S",IF(INDEX(Firms!$H$5:$H$1004,$T146)="","",INDEX(Firms!$H$5:$H$1004,$T146)),IF(INDEX('AFA Rates'!$G$5:$G$1004,$T146)="","",INDEX('AFA Rates'!$G$5:$G$1004,$T146))))</f>
        <v/>
      </c>
      <c r="J146" s="50">
        <f>IF($T146="","",IF($S146="S",IF(INDEX(Firms!$I$5:$I$1004,$T146)="","",INDEX(Firms!$I$5:$I$1004,$T146)),IF(INDEX('AFA Rates'!$H$5:$H$1004,$T146)="","",INDEX('AFA Rates'!$H$5:$H$1004,$T146))))</f>
        <v/>
      </c>
      <c r="K146" s="50">
        <f>IF($T146="","",IF($S146="S",IF(INDEX(Firms!$J$5:$J$1004,$T146)="","",INDEX(Firms!$J$5:$J$1004,$T146)),IF(INDEX('AFA Rates'!$I$5:$I$1004,$T146)="","",INDEX('AFA Rates'!$I$5:$I$1004,$T146))))</f>
        <v/>
      </c>
      <c r="L146" s="50">
        <f>IF($T146="","",IF($S146="S",IF(INDEX(Firms!$K$5:$K$1004,$T146)="","",INDEX(Firms!$K$5:$K$1004,$T146)),IF(INDEX('AFA Rates'!$J$5:$J$1004,$T146)="","",INDEX('AFA Rates'!$J$5:$J$1004,$T146))))</f>
        <v/>
      </c>
      <c r="M146" s="50">
        <f>IF($T146="","",IF($S146="S",IF(INDEX(Firms!$L$5:$L$1004,$T146)="","",INDEX(Firms!$L$5:$L$1004,$T146)),IF(INDEX('AFA Rates'!$K$5:$K$1004,$T146)="","",INDEX('AFA Rates'!$K$5:$K$1004,$T146))))</f>
        <v/>
      </c>
      <c r="N146" s="50">
        <f>IF($T146="","",IF($S146="S",IF(INDEX(Firms!$M$5:$M$1004,$T146)="","",INDEX(Firms!$M$5:$M$1004,$T146)),IF(INDEX('AFA Rates'!$L$5:$L$1004,$T146)="","",INDEX('AFA Rates'!$L$5:$L$1004,$T146))))</f>
        <v/>
      </c>
      <c r="O146" s="78">
        <f>IF(OR($T146="",$U146=""),"",IF(INDEX(Firms!$C$5:$C$1004,$U146)="","",INDEX(Firms!$C$5:$C$1004,$U146)))</f>
        <v/>
      </c>
      <c r="P146" s="79">
        <f>IF(OR($T146="",$U146=""),"",IF(INDEX(Firms!$N$5:$N$1004,$U146)="","",INDEX(Firms!$N$5:$N$1004,$U146)))</f>
        <v/>
      </c>
      <c r="Q146" s="78">
        <f>IF($T146="","",IF($S146="S",IF(INDEX(Firms!$T$5:$T$1004,$T146)="","",INDEX(Firms!$T$5:$T$1004,$T146)),IF(INDEX('AFA Rates'!$M$5:$M$1004,$T146)="","",INDEX('AFA Rates'!$M$5:$M$1004,$T146))))</f>
        <v/>
      </c>
      <c r="S146">
        <f>IF(142&lt;=$S$2,"S",IF(142&lt;=$S$2+$T$2,"A",""))</f>
        <v/>
      </c>
      <c r="T146">
        <f>IF(S146="S",MATCH(142,Firms!$W$5:$W$1004,0),IF(S146="A",IFERROR(MATCH(142-$S$2,'AFA Rates'!$R$5:$R$1004,0),""),""))</f>
        <v/>
      </c>
      <c r="U146">
        <f>IF(S146="S",T146,IF(AND(S146="A",T146&lt;&gt;""),IFERROR(MATCH(INDEX('AFA Rates'!$A$5:$A$1004,T146),Firms!$A$5:$A$1004,0),""),""))</f>
        <v/>
      </c>
    </row>
    <row r="147">
      <c r="A147" s="78">
        <f>IF($T147="","",IF($S147="S",IF(INDEX(Firms!$A$5:$A$1004,$T147)="","",INDEX(Firms!$A$5:$A$1004,$T147)),IF(INDEX('AFA Rates'!$A$5:$A$1004,$T147)="","",INDEX('AFA Rates'!$A$5:$A$1004,$T147))))</f>
        <v/>
      </c>
      <c r="B147" s="79">
        <f>IF(OR($T147="",$U147=""),IF($T147="","","Not on Firms tab"),INDEX(Firms!$B$5:$B$1004,$U147)&amp;"")</f>
        <v/>
      </c>
      <c r="C147" s="78">
        <f>IF($T147="","",IF($S147="S","Standard",INDEX('AFA Rates'!$B$5:$B$1004,$T147)&amp;""))</f>
        <v/>
      </c>
      <c r="D147" s="88">
        <f>IF($T147="","",IF($S147="S",IF(INDEX(Firms!$E$5:$E$1004,$T147)="","",INDEX(Firms!$E$5:$E$1004,$T147)),IF(INDEX('AFA Rates'!$C$5:$C$1004,$T147)="","",INDEX('AFA Rates'!$C$5:$C$1004,$T147))))</f>
        <v/>
      </c>
      <c r="E147" s="88">
        <f>IF($T147="","",IF($S147="S",IF(""="","",""),IF(INDEX('AFA Rates'!$D$5:$D$1004,$T147)="","",INDEX('AFA Rates'!$D$5:$D$1004,$T147))))</f>
        <v/>
      </c>
      <c r="F147" s="79">
        <f>IF($T147="","",IF($S147="S",IF(INDEX(Firms!$O$5:$O$1004,$T147)="","",INDEX(Firms!$O$5:$O$1004,$T147)),IF(INDEX('AFA Rates'!$O$5:$O$1004,$T147)="","",INDEX('AFA Rates'!$O$5:$O$1004,$T147))))</f>
        <v/>
      </c>
      <c r="G147" s="50">
        <f>IF($T147="","",IF($S147="S",IF(INDEX(Firms!$F$5:$F$1004,$T147)="","",INDEX(Firms!$F$5:$F$1004,$T147)),IF(INDEX('AFA Rates'!$E$5:$E$1004,$T147)="","",INDEX('AFA Rates'!$E$5:$E$1004,$T147))))</f>
        <v/>
      </c>
      <c r="H147" s="50">
        <f>IF($T147="","",IF($S147="S",IF(INDEX(Firms!$G$5:$G$1004,$T147)="","",INDEX(Firms!$G$5:$G$1004,$T147)),IF(INDEX('AFA Rates'!$F$5:$F$1004,$T147)="","",INDEX('AFA Rates'!$F$5:$F$1004,$T147))))</f>
        <v/>
      </c>
      <c r="I147" s="50">
        <f>IF($T147="","",IF($S147="S",IF(INDEX(Firms!$H$5:$H$1004,$T147)="","",INDEX(Firms!$H$5:$H$1004,$T147)),IF(INDEX('AFA Rates'!$G$5:$G$1004,$T147)="","",INDEX('AFA Rates'!$G$5:$G$1004,$T147))))</f>
        <v/>
      </c>
      <c r="J147" s="50">
        <f>IF($T147="","",IF($S147="S",IF(INDEX(Firms!$I$5:$I$1004,$T147)="","",INDEX(Firms!$I$5:$I$1004,$T147)),IF(INDEX('AFA Rates'!$H$5:$H$1004,$T147)="","",INDEX('AFA Rates'!$H$5:$H$1004,$T147))))</f>
        <v/>
      </c>
      <c r="K147" s="50">
        <f>IF($T147="","",IF($S147="S",IF(INDEX(Firms!$J$5:$J$1004,$T147)="","",INDEX(Firms!$J$5:$J$1004,$T147)),IF(INDEX('AFA Rates'!$I$5:$I$1004,$T147)="","",INDEX('AFA Rates'!$I$5:$I$1004,$T147))))</f>
        <v/>
      </c>
      <c r="L147" s="50">
        <f>IF($T147="","",IF($S147="S",IF(INDEX(Firms!$K$5:$K$1004,$T147)="","",INDEX(Firms!$K$5:$K$1004,$T147)),IF(INDEX('AFA Rates'!$J$5:$J$1004,$T147)="","",INDEX('AFA Rates'!$J$5:$J$1004,$T147))))</f>
        <v/>
      </c>
      <c r="M147" s="50">
        <f>IF($T147="","",IF($S147="S",IF(INDEX(Firms!$L$5:$L$1004,$T147)="","",INDEX(Firms!$L$5:$L$1004,$T147)),IF(INDEX('AFA Rates'!$K$5:$K$1004,$T147)="","",INDEX('AFA Rates'!$K$5:$K$1004,$T147))))</f>
        <v/>
      </c>
      <c r="N147" s="50">
        <f>IF($T147="","",IF($S147="S",IF(INDEX(Firms!$M$5:$M$1004,$T147)="","",INDEX(Firms!$M$5:$M$1004,$T147)),IF(INDEX('AFA Rates'!$L$5:$L$1004,$T147)="","",INDEX('AFA Rates'!$L$5:$L$1004,$T147))))</f>
        <v/>
      </c>
      <c r="O147" s="78">
        <f>IF(OR($T147="",$U147=""),"",IF(INDEX(Firms!$C$5:$C$1004,$U147)="","",INDEX(Firms!$C$5:$C$1004,$U147)))</f>
        <v/>
      </c>
      <c r="P147" s="79">
        <f>IF(OR($T147="",$U147=""),"",IF(INDEX(Firms!$N$5:$N$1004,$U147)="","",INDEX(Firms!$N$5:$N$1004,$U147)))</f>
        <v/>
      </c>
      <c r="Q147" s="78">
        <f>IF($T147="","",IF($S147="S",IF(INDEX(Firms!$T$5:$T$1004,$T147)="","",INDEX(Firms!$T$5:$T$1004,$T147)),IF(INDEX('AFA Rates'!$M$5:$M$1004,$T147)="","",INDEX('AFA Rates'!$M$5:$M$1004,$T147))))</f>
        <v/>
      </c>
      <c r="S147">
        <f>IF(143&lt;=$S$2,"S",IF(143&lt;=$S$2+$T$2,"A",""))</f>
        <v/>
      </c>
      <c r="T147">
        <f>IF(S147="S",MATCH(143,Firms!$W$5:$W$1004,0),IF(S147="A",IFERROR(MATCH(143-$S$2,'AFA Rates'!$R$5:$R$1004,0),""),""))</f>
        <v/>
      </c>
      <c r="U147">
        <f>IF(S147="S",T147,IF(AND(S147="A",T147&lt;&gt;""),IFERROR(MATCH(INDEX('AFA Rates'!$A$5:$A$1004,T147),Firms!$A$5:$A$1004,0),""),""))</f>
        <v/>
      </c>
    </row>
    <row r="148">
      <c r="A148" s="78">
        <f>IF($T148="","",IF($S148="S",IF(INDEX(Firms!$A$5:$A$1004,$T148)="","",INDEX(Firms!$A$5:$A$1004,$T148)),IF(INDEX('AFA Rates'!$A$5:$A$1004,$T148)="","",INDEX('AFA Rates'!$A$5:$A$1004,$T148))))</f>
        <v/>
      </c>
      <c r="B148" s="79">
        <f>IF(OR($T148="",$U148=""),IF($T148="","","Not on Firms tab"),INDEX(Firms!$B$5:$B$1004,$U148)&amp;"")</f>
        <v/>
      </c>
      <c r="C148" s="78">
        <f>IF($T148="","",IF($S148="S","Standard",INDEX('AFA Rates'!$B$5:$B$1004,$T148)&amp;""))</f>
        <v/>
      </c>
      <c r="D148" s="88">
        <f>IF($T148="","",IF($S148="S",IF(INDEX(Firms!$E$5:$E$1004,$T148)="","",INDEX(Firms!$E$5:$E$1004,$T148)),IF(INDEX('AFA Rates'!$C$5:$C$1004,$T148)="","",INDEX('AFA Rates'!$C$5:$C$1004,$T148))))</f>
        <v/>
      </c>
      <c r="E148" s="88">
        <f>IF($T148="","",IF($S148="S",IF(""="","",""),IF(INDEX('AFA Rates'!$D$5:$D$1004,$T148)="","",INDEX('AFA Rates'!$D$5:$D$1004,$T148))))</f>
        <v/>
      </c>
      <c r="F148" s="79">
        <f>IF($T148="","",IF($S148="S",IF(INDEX(Firms!$O$5:$O$1004,$T148)="","",INDEX(Firms!$O$5:$O$1004,$T148)),IF(INDEX('AFA Rates'!$O$5:$O$1004,$T148)="","",INDEX('AFA Rates'!$O$5:$O$1004,$T148))))</f>
        <v/>
      </c>
      <c r="G148" s="50">
        <f>IF($T148="","",IF($S148="S",IF(INDEX(Firms!$F$5:$F$1004,$T148)="","",INDEX(Firms!$F$5:$F$1004,$T148)),IF(INDEX('AFA Rates'!$E$5:$E$1004,$T148)="","",INDEX('AFA Rates'!$E$5:$E$1004,$T148))))</f>
        <v/>
      </c>
      <c r="H148" s="50">
        <f>IF($T148="","",IF($S148="S",IF(INDEX(Firms!$G$5:$G$1004,$T148)="","",INDEX(Firms!$G$5:$G$1004,$T148)),IF(INDEX('AFA Rates'!$F$5:$F$1004,$T148)="","",INDEX('AFA Rates'!$F$5:$F$1004,$T148))))</f>
        <v/>
      </c>
      <c r="I148" s="50">
        <f>IF($T148="","",IF($S148="S",IF(INDEX(Firms!$H$5:$H$1004,$T148)="","",INDEX(Firms!$H$5:$H$1004,$T148)),IF(INDEX('AFA Rates'!$G$5:$G$1004,$T148)="","",INDEX('AFA Rates'!$G$5:$G$1004,$T148))))</f>
        <v/>
      </c>
      <c r="J148" s="50">
        <f>IF($T148="","",IF($S148="S",IF(INDEX(Firms!$I$5:$I$1004,$T148)="","",INDEX(Firms!$I$5:$I$1004,$T148)),IF(INDEX('AFA Rates'!$H$5:$H$1004,$T148)="","",INDEX('AFA Rates'!$H$5:$H$1004,$T148))))</f>
        <v/>
      </c>
      <c r="K148" s="50">
        <f>IF($T148="","",IF($S148="S",IF(INDEX(Firms!$J$5:$J$1004,$T148)="","",INDEX(Firms!$J$5:$J$1004,$T148)),IF(INDEX('AFA Rates'!$I$5:$I$1004,$T148)="","",INDEX('AFA Rates'!$I$5:$I$1004,$T148))))</f>
        <v/>
      </c>
      <c r="L148" s="50">
        <f>IF($T148="","",IF($S148="S",IF(INDEX(Firms!$K$5:$K$1004,$T148)="","",INDEX(Firms!$K$5:$K$1004,$T148)),IF(INDEX('AFA Rates'!$J$5:$J$1004,$T148)="","",INDEX('AFA Rates'!$J$5:$J$1004,$T148))))</f>
        <v/>
      </c>
      <c r="M148" s="50">
        <f>IF($T148="","",IF($S148="S",IF(INDEX(Firms!$L$5:$L$1004,$T148)="","",INDEX(Firms!$L$5:$L$1004,$T148)),IF(INDEX('AFA Rates'!$K$5:$K$1004,$T148)="","",INDEX('AFA Rates'!$K$5:$K$1004,$T148))))</f>
        <v/>
      </c>
      <c r="N148" s="50">
        <f>IF($T148="","",IF($S148="S",IF(INDEX(Firms!$M$5:$M$1004,$T148)="","",INDEX(Firms!$M$5:$M$1004,$T148)),IF(INDEX('AFA Rates'!$L$5:$L$1004,$T148)="","",INDEX('AFA Rates'!$L$5:$L$1004,$T148))))</f>
        <v/>
      </c>
      <c r="O148" s="78">
        <f>IF(OR($T148="",$U148=""),"",IF(INDEX(Firms!$C$5:$C$1004,$U148)="","",INDEX(Firms!$C$5:$C$1004,$U148)))</f>
        <v/>
      </c>
      <c r="P148" s="79">
        <f>IF(OR($T148="",$U148=""),"",IF(INDEX(Firms!$N$5:$N$1004,$U148)="","",INDEX(Firms!$N$5:$N$1004,$U148)))</f>
        <v/>
      </c>
      <c r="Q148" s="78">
        <f>IF($T148="","",IF($S148="S",IF(INDEX(Firms!$T$5:$T$1004,$T148)="","",INDEX(Firms!$T$5:$T$1004,$T148)),IF(INDEX('AFA Rates'!$M$5:$M$1004,$T148)="","",INDEX('AFA Rates'!$M$5:$M$1004,$T148))))</f>
        <v/>
      </c>
      <c r="S148">
        <f>IF(144&lt;=$S$2,"S",IF(144&lt;=$S$2+$T$2,"A",""))</f>
        <v/>
      </c>
      <c r="T148">
        <f>IF(S148="S",MATCH(144,Firms!$W$5:$W$1004,0),IF(S148="A",IFERROR(MATCH(144-$S$2,'AFA Rates'!$R$5:$R$1004,0),""),""))</f>
        <v/>
      </c>
      <c r="U148">
        <f>IF(S148="S",T148,IF(AND(S148="A",T148&lt;&gt;""),IFERROR(MATCH(INDEX('AFA Rates'!$A$5:$A$1004,T148),Firms!$A$5:$A$1004,0),""),""))</f>
        <v/>
      </c>
    </row>
    <row r="149">
      <c r="A149" s="78">
        <f>IF($T149="","",IF($S149="S",IF(INDEX(Firms!$A$5:$A$1004,$T149)="","",INDEX(Firms!$A$5:$A$1004,$T149)),IF(INDEX('AFA Rates'!$A$5:$A$1004,$T149)="","",INDEX('AFA Rates'!$A$5:$A$1004,$T149))))</f>
        <v/>
      </c>
      <c r="B149" s="79">
        <f>IF(OR($T149="",$U149=""),IF($T149="","","Not on Firms tab"),INDEX(Firms!$B$5:$B$1004,$U149)&amp;"")</f>
        <v/>
      </c>
      <c r="C149" s="78">
        <f>IF($T149="","",IF($S149="S","Standard",INDEX('AFA Rates'!$B$5:$B$1004,$T149)&amp;""))</f>
        <v/>
      </c>
      <c r="D149" s="88">
        <f>IF($T149="","",IF($S149="S",IF(INDEX(Firms!$E$5:$E$1004,$T149)="","",INDEX(Firms!$E$5:$E$1004,$T149)),IF(INDEX('AFA Rates'!$C$5:$C$1004,$T149)="","",INDEX('AFA Rates'!$C$5:$C$1004,$T149))))</f>
        <v/>
      </c>
      <c r="E149" s="88">
        <f>IF($T149="","",IF($S149="S",IF(""="","",""),IF(INDEX('AFA Rates'!$D$5:$D$1004,$T149)="","",INDEX('AFA Rates'!$D$5:$D$1004,$T149))))</f>
        <v/>
      </c>
      <c r="F149" s="79">
        <f>IF($T149="","",IF($S149="S",IF(INDEX(Firms!$O$5:$O$1004,$T149)="","",INDEX(Firms!$O$5:$O$1004,$T149)),IF(INDEX('AFA Rates'!$O$5:$O$1004,$T149)="","",INDEX('AFA Rates'!$O$5:$O$1004,$T149))))</f>
        <v/>
      </c>
      <c r="G149" s="50">
        <f>IF($T149="","",IF($S149="S",IF(INDEX(Firms!$F$5:$F$1004,$T149)="","",INDEX(Firms!$F$5:$F$1004,$T149)),IF(INDEX('AFA Rates'!$E$5:$E$1004,$T149)="","",INDEX('AFA Rates'!$E$5:$E$1004,$T149))))</f>
        <v/>
      </c>
      <c r="H149" s="50">
        <f>IF($T149="","",IF($S149="S",IF(INDEX(Firms!$G$5:$G$1004,$T149)="","",INDEX(Firms!$G$5:$G$1004,$T149)),IF(INDEX('AFA Rates'!$F$5:$F$1004,$T149)="","",INDEX('AFA Rates'!$F$5:$F$1004,$T149))))</f>
        <v/>
      </c>
      <c r="I149" s="50">
        <f>IF($T149="","",IF($S149="S",IF(INDEX(Firms!$H$5:$H$1004,$T149)="","",INDEX(Firms!$H$5:$H$1004,$T149)),IF(INDEX('AFA Rates'!$G$5:$G$1004,$T149)="","",INDEX('AFA Rates'!$G$5:$G$1004,$T149))))</f>
        <v/>
      </c>
      <c r="J149" s="50">
        <f>IF($T149="","",IF($S149="S",IF(INDEX(Firms!$I$5:$I$1004,$T149)="","",INDEX(Firms!$I$5:$I$1004,$T149)),IF(INDEX('AFA Rates'!$H$5:$H$1004,$T149)="","",INDEX('AFA Rates'!$H$5:$H$1004,$T149))))</f>
        <v/>
      </c>
      <c r="K149" s="50">
        <f>IF($T149="","",IF($S149="S",IF(INDEX(Firms!$J$5:$J$1004,$T149)="","",INDEX(Firms!$J$5:$J$1004,$T149)),IF(INDEX('AFA Rates'!$I$5:$I$1004,$T149)="","",INDEX('AFA Rates'!$I$5:$I$1004,$T149))))</f>
        <v/>
      </c>
      <c r="L149" s="50">
        <f>IF($T149="","",IF($S149="S",IF(INDEX(Firms!$K$5:$K$1004,$T149)="","",INDEX(Firms!$K$5:$K$1004,$T149)),IF(INDEX('AFA Rates'!$J$5:$J$1004,$T149)="","",INDEX('AFA Rates'!$J$5:$J$1004,$T149))))</f>
        <v/>
      </c>
      <c r="M149" s="50">
        <f>IF($T149="","",IF($S149="S",IF(INDEX(Firms!$L$5:$L$1004,$T149)="","",INDEX(Firms!$L$5:$L$1004,$T149)),IF(INDEX('AFA Rates'!$K$5:$K$1004,$T149)="","",INDEX('AFA Rates'!$K$5:$K$1004,$T149))))</f>
        <v/>
      </c>
      <c r="N149" s="50">
        <f>IF($T149="","",IF($S149="S",IF(INDEX(Firms!$M$5:$M$1004,$T149)="","",INDEX(Firms!$M$5:$M$1004,$T149)),IF(INDEX('AFA Rates'!$L$5:$L$1004,$T149)="","",INDEX('AFA Rates'!$L$5:$L$1004,$T149))))</f>
        <v/>
      </c>
      <c r="O149" s="78">
        <f>IF(OR($T149="",$U149=""),"",IF(INDEX(Firms!$C$5:$C$1004,$U149)="","",INDEX(Firms!$C$5:$C$1004,$U149)))</f>
        <v/>
      </c>
      <c r="P149" s="79">
        <f>IF(OR($T149="",$U149=""),"",IF(INDEX(Firms!$N$5:$N$1004,$U149)="","",INDEX(Firms!$N$5:$N$1004,$U149)))</f>
        <v/>
      </c>
      <c r="Q149" s="78">
        <f>IF($T149="","",IF($S149="S",IF(INDEX(Firms!$T$5:$T$1004,$T149)="","",INDEX(Firms!$T$5:$T$1004,$T149)),IF(INDEX('AFA Rates'!$M$5:$M$1004,$T149)="","",INDEX('AFA Rates'!$M$5:$M$1004,$T149))))</f>
        <v/>
      </c>
      <c r="S149">
        <f>IF(145&lt;=$S$2,"S",IF(145&lt;=$S$2+$T$2,"A",""))</f>
        <v/>
      </c>
      <c r="T149">
        <f>IF(S149="S",MATCH(145,Firms!$W$5:$W$1004,0),IF(S149="A",IFERROR(MATCH(145-$S$2,'AFA Rates'!$R$5:$R$1004,0),""),""))</f>
        <v/>
      </c>
      <c r="U149">
        <f>IF(S149="S",T149,IF(AND(S149="A",T149&lt;&gt;""),IFERROR(MATCH(INDEX('AFA Rates'!$A$5:$A$1004,T149),Firms!$A$5:$A$1004,0),""),""))</f>
        <v/>
      </c>
    </row>
    <row r="150">
      <c r="A150" s="78">
        <f>IF($T150="","",IF($S150="S",IF(INDEX(Firms!$A$5:$A$1004,$T150)="","",INDEX(Firms!$A$5:$A$1004,$T150)),IF(INDEX('AFA Rates'!$A$5:$A$1004,$T150)="","",INDEX('AFA Rates'!$A$5:$A$1004,$T150))))</f>
        <v/>
      </c>
      <c r="B150" s="79">
        <f>IF(OR($T150="",$U150=""),IF($T150="","","Not on Firms tab"),INDEX(Firms!$B$5:$B$1004,$U150)&amp;"")</f>
        <v/>
      </c>
      <c r="C150" s="78">
        <f>IF($T150="","",IF($S150="S","Standard",INDEX('AFA Rates'!$B$5:$B$1004,$T150)&amp;""))</f>
        <v/>
      </c>
      <c r="D150" s="88">
        <f>IF($T150="","",IF($S150="S",IF(INDEX(Firms!$E$5:$E$1004,$T150)="","",INDEX(Firms!$E$5:$E$1004,$T150)),IF(INDEX('AFA Rates'!$C$5:$C$1004,$T150)="","",INDEX('AFA Rates'!$C$5:$C$1004,$T150))))</f>
        <v/>
      </c>
      <c r="E150" s="88">
        <f>IF($T150="","",IF($S150="S",IF(""="","",""),IF(INDEX('AFA Rates'!$D$5:$D$1004,$T150)="","",INDEX('AFA Rates'!$D$5:$D$1004,$T150))))</f>
        <v/>
      </c>
      <c r="F150" s="79">
        <f>IF($T150="","",IF($S150="S",IF(INDEX(Firms!$O$5:$O$1004,$T150)="","",INDEX(Firms!$O$5:$O$1004,$T150)),IF(INDEX('AFA Rates'!$O$5:$O$1004,$T150)="","",INDEX('AFA Rates'!$O$5:$O$1004,$T150))))</f>
        <v/>
      </c>
      <c r="G150" s="50">
        <f>IF($T150="","",IF($S150="S",IF(INDEX(Firms!$F$5:$F$1004,$T150)="","",INDEX(Firms!$F$5:$F$1004,$T150)),IF(INDEX('AFA Rates'!$E$5:$E$1004,$T150)="","",INDEX('AFA Rates'!$E$5:$E$1004,$T150))))</f>
        <v/>
      </c>
      <c r="H150" s="50">
        <f>IF($T150="","",IF($S150="S",IF(INDEX(Firms!$G$5:$G$1004,$T150)="","",INDEX(Firms!$G$5:$G$1004,$T150)),IF(INDEX('AFA Rates'!$F$5:$F$1004,$T150)="","",INDEX('AFA Rates'!$F$5:$F$1004,$T150))))</f>
        <v/>
      </c>
      <c r="I150" s="50">
        <f>IF($T150="","",IF($S150="S",IF(INDEX(Firms!$H$5:$H$1004,$T150)="","",INDEX(Firms!$H$5:$H$1004,$T150)),IF(INDEX('AFA Rates'!$G$5:$G$1004,$T150)="","",INDEX('AFA Rates'!$G$5:$G$1004,$T150))))</f>
        <v/>
      </c>
      <c r="J150" s="50">
        <f>IF($T150="","",IF($S150="S",IF(INDEX(Firms!$I$5:$I$1004,$T150)="","",INDEX(Firms!$I$5:$I$1004,$T150)),IF(INDEX('AFA Rates'!$H$5:$H$1004,$T150)="","",INDEX('AFA Rates'!$H$5:$H$1004,$T150))))</f>
        <v/>
      </c>
      <c r="K150" s="50">
        <f>IF($T150="","",IF($S150="S",IF(INDEX(Firms!$J$5:$J$1004,$T150)="","",INDEX(Firms!$J$5:$J$1004,$T150)),IF(INDEX('AFA Rates'!$I$5:$I$1004,$T150)="","",INDEX('AFA Rates'!$I$5:$I$1004,$T150))))</f>
        <v/>
      </c>
      <c r="L150" s="50">
        <f>IF($T150="","",IF($S150="S",IF(INDEX(Firms!$K$5:$K$1004,$T150)="","",INDEX(Firms!$K$5:$K$1004,$T150)),IF(INDEX('AFA Rates'!$J$5:$J$1004,$T150)="","",INDEX('AFA Rates'!$J$5:$J$1004,$T150))))</f>
        <v/>
      </c>
      <c r="M150" s="50">
        <f>IF($T150="","",IF($S150="S",IF(INDEX(Firms!$L$5:$L$1004,$T150)="","",INDEX(Firms!$L$5:$L$1004,$T150)),IF(INDEX('AFA Rates'!$K$5:$K$1004,$T150)="","",INDEX('AFA Rates'!$K$5:$K$1004,$T150))))</f>
        <v/>
      </c>
      <c r="N150" s="50">
        <f>IF($T150="","",IF($S150="S",IF(INDEX(Firms!$M$5:$M$1004,$T150)="","",INDEX(Firms!$M$5:$M$1004,$T150)),IF(INDEX('AFA Rates'!$L$5:$L$1004,$T150)="","",INDEX('AFA Rates'!$L$5:$L$1004,$T150))))</f>
        <v/>
      </c>
      <c r="O150" s="78">
        <f>IF(OR($T150="",$U150=""),"",IF(INDEX(Firms!$C$5:$C$1004,$U150)="","",INDEX(Firms!$C$5:$C$1004,$U150)))</f>
        <v/>
      </c>
      <c r="P150" s="79">
        <f>IF(OR($T150="",$U150=""),"",IF(INDEX(Firms!$N$5:$N$1004,$U150)="","",INDEX(Firms!$N$5:$N$1004,$U150)))</f>
        <v/>
      </c>
      <c r="Q150" s="78">
        <f>IF($T150="","",IF($S150="S",IF(INDEX(Firms!$T$5:$T$1004,$T150)="","",INDEX(Firms!$T$5:$T$1004,$T150)),IF(INDEX('AFA Rates'!$M$5:$M$1004,$T150)="","",INDEX('AFA Rates'!$M$5:$M$1004,$T150))))</f>
        <v/>
      </c>
      <c r="S150">
        <f>IF(146&lt;=$S$2,"S",IF(146&lt;=$S$2+$T$2,"A",""))</f>
        <v/>
      </c>
      <c r="T150">
        <f>IF(S150="S",MATCH(146,Firms!$W$5:$W$1004,0),IF(S150="A",IFERROR(MATCH(146-$S$2,'AFA Rates'!$R$5:$R$1004,0),""),""))</f>
        <v/>
      </c>
      <c r="U150">
        <f>IF(S150="S",T150,IF(AND(S150="A",T150&lt;&gt;""),IFERROR(MATCH(INDEX('AFA Rates'!$A$5:$A$1004,T150),Firms!$A$5:$A$1004,0),""),""))</f>
        <v/>
      </c>
    </row>
    <row r="151">
      <c r="A151" s="78">
        <f>IF($T151="","",IF($S151="S",IF(INDEX(Firms!$A$5:$A$1004,$T151)="","",INDEX(Firms!$A$5:$A$1004,$T151)),IF(INDEX('AFA Rates'!$A$5:$A$1004,$T151)="","",INDEX('AFA Rates'!$A$5:$A$1004,$T151))))</f>
        <v/>
      </c>
      <c r="B151" s="79">
        <f>IF(OR($T151="",$U151=""),IF($T151="","","Not on Firms tab"),INDEX(Firms!$B$5:$B$1004,$U151)&amp;"")</f>
        <v/>
      </c>
      <c r="C151" s="78">
        <f>IF($T151="","",IF($S151="S","Standard",INDEX('AFA Rates'!$B$5:$B$1004,$T151)&amp;""))</f>
        <v/>
      </c>
      <c r="D151" s="88">
        <f>IF($T151="","",IF($S151="S",IF(INDEX(Firms!$E$5:$E$1004,$T151)="","",INDEX(Firms!$E$5:$E$1004,$T151)),IF(INDEX('AFA Rates'!$C$5:$C$1004,$T151)="","",INDEX('AFA Rates'!$C$5:$C$1004,$T151))))</f>
        <v/>
      </c>
      <c r="E151" s="88">
        <f>IF($T151="","",IF($S151="S",IF(""="","",""),IF(INDEX('AFA Rates'!$D$5:$D$1004,$T151)="","",INDEX('AFA Rates'!$D$5:$D$1004,$T151))))</f>
        <v/>
      </c>
      <c r="F151" s="79">
        <f>IF($T151="","",IF($S151="S",IF(INDEX(Firms!$O$5:$O$1004,$T151)="","",INDEX(Firms!$O$5:$O$1004,$T151)),IF(INDEX('AFA Rates'!$O$5:$O$1004,$T151)="","",INDEX('AFA Rates'!$O$5:$O$1004,$T151))))</f>
        <v/>
      </c>
      <c r="G151" s="50">
        <f>IF($T151="","",IF($S151="S",IF(INDEX(Firms!$F$5:$F$1004,$T151)="","",INDEX(Firms!$F$5:$F$1004,$T151)),IF(INDEX('AFA Rates'!$E$5:$E$1004,$T151)="","",INDEX('AFA Rates'!$E$5:$E$1004,$T151))))</f>
        <v/>
      </c>
      <c r="H151" s="50">
        <f>IF($T151="","",IF($S151="S",IF(INDEX(Firms!$G$5:$G$1004,$T151)="","",INDEX(Firms!$G$5:$G$1004,$T151)),IF(INDEX('AFA Rates'!$F$5:$F$1004,$T151)="","",INDEX('AFA Rates'!$F$5:$F$1004,$T151))))</f>
        <v/>
      </c>
      <c r="I151" s="50">
        <f>IF($T151="","",IF($S151="S",IF(INDEX(Firms!$H$5:$H$1004,$T151)="","",INDEX(Firms!$H$5:$H$1004,$T151)),IF(INDEX('AFA Rates'!$G$5:$G$1004,$T151)="","",INDEX('AFA Rates'!$G$5:$G$1004,$T151))))</f>
        <v/>
      </c>
      <c r="J151" s="50">
        <f>IF($T151="","",IF($S151="S",IF(INDEX(Firms!$I$5:$I$1004,$T151)="","",INDEX(Firms!$I$5:$I$1004,$T151)),IF(INDEX('AFA Rates'!$H$5:$H$1004,$T151)="","",INDEX('AFA Rates'!$H$5:$H$1004,$T151))))</f>
        <v/>
      </c>
      <c r="K151" s="50">
        <f>IF($T151="","",IF($S151="S",IF(INDEX(Firms!$J$5:$J$1004,$T151)="","",INDEX(Firms!$J$5:$J$1004,$T151)),IF(INDEX('AFA Rates'!$I$5:$I$1004,$T151)="","",INDEX('AFA Rates'!$I$5:$I$1004,$T151))))</f>
        <v/>
      </c>
      <c r="L151" s="50">
        <f>IF($T151="","",IF($S151="S",IF(INDEX(Firms!$K$5:$K$1004,$T151)="","",INDEX(Firms!$K$5:$K$1004,$T151)),IF(INDEX('AFA Rates'!$J$5:$J$1004,$T151)="","",INDEX('AFA Rates'!$J$5:$J$1004,$T151))))</f>
        <v/>
      </c>
      <c r="M151" s="50">
        <f>IF($T151="","",IF($S151="S",IF(INDEX(Firms!$L$5:$L$1004,$T151)="","",INDEX(Firms!$L$5:$L$1004,$T151)),IF(INDEX('AFA Rates'!$K$5:$K$1004,$T151)="","",INDEX('AFA Rates'!$K$5:$K$1004,$T151))))</f>
        <v/>
      </c>
      <c r="N151" s="50">
        <f>IF($T151="","",IF($S151="S",IF(INDEX(Firms!$M$5:$M$1004,$T151)="","",INDEX(Firms!$M$5:$M$1004,$T151)),IF(INDEX('AFA Rates'!$L$5:$L$1004,$T151)="","",INDEX('AFA Rates'!$L$5:$L$1004,$T151))))</f>
        <v/>
      </c>
      <c r="O151" s="78">
        <f>IF(OR($T151="",$U151=""),"",IF(INDEX(Firms!$C$5:$C$1004,$U151)="","",INDEX(Firms!$C$5:$C$1004,$U151)))</f>
        <v/>
      </c>
      <c r="P151" s="79">
        <f>IF(OR($T151="",$U151=""),"",IF(INDEX(Firms!$N$5:$N$1004,$U151)="","",INDEX(Firms!$N$5:$N$1004,$U151)))</f>
        <v/>
      </c>
      <c r="Q151" s="78">
        <f>IF($T151="","",IF($S151="S",IF(INDEX(Firms!$T$5:$T$1004,$T151)="","",INDEX(Firms!$T$5:$T$1004,$T151)),IF(INDEX('AFA Rates'!$M$5:$M$1004,$T151)="","",INDEX('AFA Rates'!$M$5:$M$1004,$T151))))</f>
        <v/>
      </c>
      <c r="S151">
        <f>IF(147&lt;=$S$2,"S",IF(147&lt;=$S$2+$T$2,"A",""))</f>
        <v/>
      </c>
      <c r="T151">
        <f>IF(S151="S",MATCH(147,Firms!$W$5:$W$1004,0),IF(S151="A",IFERROR(MATCH(147-$S$2,'AFA Rates'!$R$5:$R$1004,0),""),""))</f>
        <v/>
      </c>
      <c r="U151">
        <f>IF(S151="S",T151,IF(AND(S151="A",T151&lt;&gt;""),IFERROR(MATCH(INDEX('AFA Rates'!$A$5:$A$1004,T151),Firms!$A$5:$A$1004,0),""),""))</f>
        <v/>
      </c>
    </row>
    <row r="152">
      <c r="A152" s="78">
        <f>IF($T152="","",IF($S152="S",IF(INDEX(Firms!$A$5:$A$1004,$T152)="","",INDEX(Firms!$A$5:$A$1004,$T152)),IF(INDEX('AFA Rates'!$A$5:$A$1004,$T152)="","",INDEX('AFA Rates'!$A$5:$A$1004,$T152))))</f>
        <v/>
      </c>
      <c r="B152" s="79">
        <f>IF(OR($T152="",$U152=""),IF($T152="","","Not on Firms tab"),INDEX(Firms!$B$5:$B$1004,$U152)&amp;"")</f>
        <v/>
      </c>
      <c r="C152" s="78">
        <f>IF($T152="","",IF($S152="S","Standard",INDEX('AFA Rates'!$B$5:$B$1004,$T152)&amp;""))</f>
        <v/>
      </c>
      <c r="D152" s="88">
        <f>IF($T152="","",IF($S152="S",IF(INDEX(Firms!$E$5:$E$1004,$T152)="","",INDEX(Firms!$E$5:$E$1004,$T152)),IF(INDEX('AFA Rates'!$C$5:$C$1004,$T152)="","",INDEX('AFA Rates'!$C$5:$C$1004,$T152))))</f>
        <v/>
      </c>
      <c r="E152" s="88">
        <f>IF($T152="","",IF($S152="S",IF(""="","",""),IF(INDEX('AFA Rates'!$D$5:$D$1004,$T152)="","",INDEX('AFA Rates'!$D$5:$D$1004,$T152))))</f>
        <v/>
      </c>
      <c r="F152" s="79">
        <f>IF($T152="","",IF($S152="S",IF(INDEX(Firms!$O$5:$O$1004,$T152)="","",INDEX(Firms!$O$5:$O$1004,$T152)),IF(INDEX('AFA Rates'!$O$5:$O$1004,$T152)="","",INDEX('AFA Rates'!$O$5:$O$1004,$T152))))</f>
        <v/>
      </c>
      <c r="G152" s="50">
        <f>IF($T152="","",IF($S152="S",IF(INDEX(Firms!$F$5:$F$1004,$T152)="","",INDEX(Firms!$F$5:$F$1004,$T152)),IF(INDEX('AFA Rates'!$E$5:$E$1004,$T152)="","",INDEX('AFA Rates'!$E$5:$E$1004,$T152))))</f>
        <v/>
      </c>
      <c r="H152" s="50">
        <f>IF($T152="","",IF($S152="S",IF(INDEX(Firms!$G$5:$G$1004,$T152)="","",INDEX(Firms!$G$5:$G$1004,$T152)),IF(INDEX('AFA Rates'!$F$5:$F$1004,$T152)="","",INDEX('AFA Rates'!$F$5:$F$1004,$T152))))</f>
        <v/>
      </c>
      <c r="I152" s="50">
        <f>IF($T152="","",IF($S152="S",IF(INDEX(Firms!$H$5:$H$1004,$T152)="","",INDEX(Firms!$H$5:$H$1004,$T152)),IF(INDEX('AFA Rates'!$G$5:$G$1004,$T152)="","",INDEX('AFA Rates'!$G$5:$G$1004,$T152))))</f>
        <v/>
      </c>
      <c r="J152" s="50">
        <f>IF($T152="","",IF($S152="S",IF(INDEX(Firms!$I$5:$I$1004,$T152)="","",INDEX(Firms!$I$5:$I$1004,$T152)),IF(INDEX('AFA Rates'!$H$5:$H$1004,$T152)="","",INDEX('AFA Rates'!$H$5:$H$1004,$T152))))</f>
        <v/>
      </c>
      <c r="K152" s="50">
        <f>IF($T152="","",IF($S152="S",IF(INDEX(Firms!$J$5:$J$1004,$T152)="","",INDEX(Firms!$J$5:$J$1004,$T152)),IF(INDEX('AFA Rates'!$I$5:$I$1004,$T152)="","",INDEX('AFA Rates'!$I$5:$I$1004,$T152))))</f>
        <v/>
      </c>
      <c r="L152" s="50">
        <f>IF($T152="","",IF($S152="S",IF(INDEX(Firms!$K$5:$K$1004,$T152)="","",INDEX(Firms!$K$5:$K$1004,$T152)),IF(INDEX('AFA Rates'!$J$5:$J$1004,$T152)="","",INDEX('AFA Rates'!$J$5:$J$1004,$T152))))</f>
        <v/>
      </c>
      <c r="M152" s="50">
        <f>IF($T152="","",IF($S152="S",IF(INDEX(Firms!$L$5:$L$1004,$T152)="","",INDEX(Firms!$L$5:$L$1004,$T152)),IF(INDEX('AFA Rates'!$K$5:$K$1004,$T152)="","",INDEX('AFA Rates'!$K$5:$K$1004,$T152))))</f>
        <v/>
      </c>
      <c r="N152" s="50">
        <f>IF($T152="","",IF($S152="S",IF(INDEX(Firms!$M$5:$M$1004,$T152)="","",INDEX(Firms!$M$5:$M$1004,$T152)),IF(INDEX('AFA Rates'!$L$5:$L$1004,$T152)="","",INDEX('AFA Rates'!$L$5:$L$1004,$T152))))</f>
        <v/>
      </c>
      <c r="O152" s="78">
        <f>IF(OR($T152="",$U152=""),"",IF(INDEX(Firms!$C$5:$C$1004,$U152)="","",INDEX(Firms!$C$5:$C$1004,$U152)))</f>
        <v/>
      </c>
      <c r="P152" s="79">
        <f>IF(OR($T152="",$U152=""),"",IF(INDEX(Firms!$N$5:$N$1004,$U152)="","",INDEX(Firms!$N$5:$N$1004,$U152)))</f>
        <v/>
      </c>
      <c r="Q152" s="78">
        <f>IF($T152="","",IF($S152="S",IF(INDEX(Firms!$T$5:$T$1004,$T152)="","",INDEX(Firms!$T$5:$T$1004,$T152)),IF(INDEX('AFA Rates'!$M$5:$M$1004,$T152)="","",INDEX('AFA Rates'!$M$5:$M$1004,$T152))))</f>
        <v/>
      </c>
      <c r="S152">
        <f>IF(148&lt;=$S$2,"S",IF(148&lt;=$S$2+$T$2,"A",""))</f>
        <v/>
      </c>
      <c r="T152">
        <f>IF(S152="S",MATCH(148,Firms!$W$5:$W$1004,0),IF(S152="A",IFERROR(MATCH(148-$S$2,'AFA Rates'!$R$5:$R$1004,0),""),""))</f>
        <v/>
      </c>
      <c r="U152">
        <f>IF(S152="S",T152,IF(AND(S152="A",T152&lt;&gt;""),IFERROR(MATCH(INDEX('AFA Rates'!$A$5:$A$1004,T152),Firms!$A$5:$A$1004,0),""),""))</f>
        <v/>
      </c>
    </row>
    <row r="153">
      <c r="A153" s="78">
        <f>IF($T153="","",IF($S153="S",IF(INDEX(Firms!$A$5:$A$1004,$T153)="","",INDEX(Firms!$A$5:$A$1004,$T153)),IF(INDEX('AFA Rates'!$A$5:$A$1004,$T153)="","",INDEX('AFA Rates'!$A$5:$A$1004,$T153))))</f>
        <v/>
      </c>
      <c r="B153" s="79">
        <f>IF(OR($T153="",$U153=""),IF($T153="","","Not on Firms tab"),INDEX(Firms!$B$5:$B$1004,$U153)&amp;"")</f>
        <v/>
      </c>
      <c r="C153" s="78">
        <f>IF($T153="","",IF($S153="S","Standard",INDEX('AFA Rates'!$B$5:$B$1004,$T153)&amp;""))</f>
        <v/>
      </c>
      <c r="D153" s="88">
        <f>IF($T153="","",IF($S153="S",IF(INDEX(Firms!$E$5:$E$1004,$T153)="","",INDEX(Firms!$E$5:$E$1004,$T153)),IF(INDEX('AFA Rates'!$C$5:$C$1004,$T153)="","",INDEX('AFA Rates'!$C$5:$C$1004,$T153))))</f>
        <v/>
      </c>
      <c r="E153" s="88">
        <f>IF($T153="","",IF($S153="S",IF(""="","",""),IF(INDEX('AFA Rates'!$D$5:$D$1004,$T153)="","",INDEX('AFA Rates'!$D$5:$D$1004,$T153))))</f>
        <v/>
      </c>
      <c r="F153" s="79">
        <f>IF($T153="","",IF($S153="S",IF(INDEX(Firms!$O$5:$O$1004,$T153)="","",INDEX(Firms!$O$5:$O$1004,$T153)),IF(INDEX('AFA Rates'!$O$5:$O$1004,$T153)="","",INDEX('AFA Rates'!$O$5:$O$1004,$T153))))</f>
        <v/>
      </c>
      <c r="G153" s="50">
        <f>IF($T153="","",IF($S153="S",IF(INDEX(Firms!$F$5:$F$1004,$T153)="","",INDEX(Firms!$F$5:$F$1004,$T153)),IF(INDEX('AFA Rates'!$E$5:$E$1004,$T153)="","",INDEX('AFA Rates'!$E$5:$E$1004,$T153))))</f>
        <v/>
      </c>
      <c r="H153" s="50">
        <f>IF($T153="","",IF($S153="S",IF(INDEX(Firms!$G$5:$G$1004,$T153)="","",INDEX(Firms!$G$5:$G$1004,$T153)),IF(INDEX('AFA Rates'!$F$5:$F$1004,$T153)="","",INDEX('AFA Rates'!$F$5:$F$1004,$T153))))</f>
        <v/>
      </c>
      <c r="I153" s="50">
        <f>IF($T153="","",IF($S153="S",IF(INDEX(Firms!$H$5:$H$1004,$T153)="","",INDEX(Firms!$H$5:$H$1004,$T153)),IF(INDEX('AFA Rates'!$G$5:$G$1004,$T153)="","",INDEX('AFA Rates'!$G$5:$G$1004,$T153))))</f>
        <v/>
      </c>
      <c r="J153" s="50">
        <f>IF($T153="","",IF($S153="S",IF(INDEX(Firms!$I$5:$I$1004,$T153)="","",INDEX(Firms!$I$5:$I$1004,$T153)),IF(INDEX('AFA Rates'!$H$5:$H$1004,$T153)="","",INDEX('AFA Rates'!$H$5:$H$1004,$T153))))</f>
        <v/>
      </c>
      <c r="K153" s="50">
        <f>IF($T153="","",IF($S153="S",IF(INDEX(Firms!$J$5:$J$1004,$T153)="","",INDEX(Firms!$J$5:$J$1004,$T153)),IF(INDEX('AFA Rates'!$I$5:$I$1004,$T153)="","",INDEX('AFA Rates'!$I$5:$I$1004,$T153))))</f>
        <v/>
      </c>
      <c r="L153" s="50">
        <f>IF($T153="","",IF($S153="S",IF(INDEX(Firms!$K$5:$K$1004,$T153)="","",INDEX(Firms!$K$5:$K$1004,$T153)),IF(INDEX('AFA Rates'!$J$5:$J$1004,$T153)="","",INDEX('AFA Rates'!$J$5:$J$1004,$T153))))</f>
        <v/>
      </c>
      <c r="M153" s="50">
        <f>IF($T153="","",IF($S153="S",IF(INDEX(Firms!$L$5:$L$1004,$T153)="","",INDEX(Firms!$L$5:$L$1004,$T153)),IF(INDEX('AFA Rates'!$K$5:$K$1004,$T153)="","",INDEX('AFA Rates'!$K$5:$K$1004,$T153))))</f>
        <v/>
      </c>
      <c r="N153" s="50">
        <f>IF($T153="","",IF($S153="S",IF(INDEX(Firms!$M$5:$M$1004,$T153)="","",INDEX(Firms!$M$5:$M$1004,$T153)),IF(INDEX('AFA Rates'!$L$5:$L$1004,$T153)="","",INDEX('AFA Rates'!$L$5:$L$1004,$T153))))</f>
        <v/>
      </c>
      <c r="O153" s="78">
        <f>IF(OR($T153="",$U153=""),"",IF(INDEX(Firms!$C$5:$C$1004,$U153)="","",INDEX(Firms!$C$5:$C$1004,$U153)))</f>
        <v/>
      </c>
      <c r="P153" s="79">
        <f>IF(OR($T153="",$U153=""),"",IF(INDEX(Firms!$N$5:$N$1004,$U153)="","",INDEX(Firms!$N$5:$N$1004,$U153)))</f>
        <v/>
      </c>
      <c r="Q153" s="78">
        <f>IF($T153="","",IF($S153="S",IF(INDEX(Firms!$T$5:$T$1004,$T153)="","",INDEX(Firms!$T$5:$T$1004,$T153)),IF(INDEX('AFA Rates'!$M$5:$M$1004,$T153)="","",INDEX('AFA Rates'!$M$5:$M$1004,$T153))))</f>
        <v/>
      </c>
      <c r="S153">
        <f>IF(149&lt;=$S$2,"S",IF(149&lt;=$S$2+$T$2,"A",""))</f>
        <v/>
      </c>
      <c r="T153">
        <f>IF(S153="S",MATCH(149,Firms!$W$5:$W$1004,0),IF(S153="A",IFERROR(MATCH(149-$S$2,'AFA Rates'!$R$5:$R$1004,0),""),""))</f>
        <v/>
      </c>
      <c r="U153">
        <f>IF(S153="S",T153,IF(AND(S153="A",T153&lt;&gt;""),IFERROR(MATCH(INDEX('AFA Rates'!$A$5:$A$1004,T153),Firms!$A$5:$A$1004,0),""),""))</f>
        <v/>
      </c>
    </row>
    <row r="154">
      <c r="A154" s="78">
        <f>IF($T154="","",IF($S154="S",IF(INDEX(Firms!$A$5:$A$1004,$T154)="","",INDEX(Firms!$A$5:$A$1004,$T154)),IF(INDEX('AFA Rates'!$A$5:$A$1004,$T154)="","",INDEX('AFA Rates'!$A$5:$A$1004,$T154))))</f>
        <v/>
      </c>
      <c r="B154" s="79">
        <f>IF(OR($T154="",$U154=""),IF($T154="","","Not on Firms tab"),INDEX(Firms!$B$5:$B$1004,$U154)&amp;"")</f>
        <v/>
      </c>
      <c r="C154" s="78">
        <f>IF($T154="","",IF($S154="S","Standard",INDEX('AFA Rates'!$B$5:$B$1004,$T154)&amp;""))</f>
        <v/>
      </c>
      <c r="D154" s="88">
        <f>IF($T154="","",IF($S154="S",IF(INDEX(Firms!$E$5:$E$1004,$T154)="","",INDEX(Firms!$E$5:$E$1004,$T154)),IF(INDEX('AFA Rates'!$C$5:$C$1004,$T154)="","",INDEX('AFA Rates'!$C$5:$C$1004,$T154))))</f>
        <v/>
      </c>
      <c r="E154" s="88">
        <f>IF($T154="","",IF($S154="S",IF(""="","",""),IF(INDEX('AFA Rates'!$D$5:$D$1004,$T154)="","",INDEX('AFA Rates'!$D$5:$D$1004,$T154))))</f>
        <v/>
      </c>
      <c r="F154" s="79">
        <f>IF($T154="","",IF($S154="S",IF(INDEX(Firms!$O$5:$O$1004,$T154)="","",INDEX(Firms!$O$5:$O$1004,$T154)),IF(INDEX('AFA Rates'!$O$5:$O$1004,$T154)="","",INDEX('AFA Rates'!$O$5:$O$1004,$T154))))</f>
        <v/>
      </c>
      <c r="G154" s="50">
        <f>IF($T154="","",IF($S154="S",IF(INDEX(Firms!$F$5:$F$1004,$T154)="","",INDEX(Firms!$F$5:$F$1004,$T154)),IF(INDEX('AFA Rates'!$E$5:$E$1004,$T154)="","",INDEX('AFA Rates'!$E$5:$E$1004,$T154))))</f>
        <v/>
      </c>
      <c r="H154" s="50">
        <f>IF($T154="","",IF($S154="S",IF(INDEX(Firms!$G$5:$G$1004,$T154)="","",INDEX(Firms!$G$5:$G$1004,$T154)),IF(INDEX('AFA Rates'!$F$5:$F$1004,$T154)="","",INDEX('AFA Rates'!$F$5:$F$1004,$T154))))</f>
        <v/>
      </c>
      <c r="I154" s="50">
        <f>IF($T154="","",IF($S154="S",IF(INDEX(Firms!$H$5:$H$1004,$T154)="","",INDEX(Firms!$H$5:$H$1004,$T154)),IF(INDEX('AFA Rates'!$G$5:$G$1004,$T154)="","",INDEX('AFA Rates'!$G$5:$G$1004,$T154))))</f>
        <v/>
      </c>
      <c r="J154" s="50">
        <f>IF($T154="","",IF($S154="S",IF(INDEX(Firms!$I$5:$I$1004,$T154)="","",INDEX(Firms!$I$5:$I$1004,$T154)),IF(INDEX('AFA Rates'!$H$5:$H$1004,$T154)="","",INDEX('AFA Rates'!$H$5:$H$1004,$T154))))</f>
        <v/>
      </c>
      <c r="K154" s="50">
        <f>IF($T154="","",IF($S154="S",IF(INDEX(Firms!$J$5:$J$1004,$T154)="","",INDEX(Firms!$J$5:$J$1004,$T154)),IF(INDEX('AFA Rates'!$I$5:$I$1004,$T154)="","",INDEX('AFA Rates'!$I$5:$I$1004,$T154))))</f>
        <v/>
      </c>
      <c r="L154" s="50">
        <f>IF($T154="","",IF($S154="S",IF(INDEX(Firms!$K$5:$K$1004,$T154)="","",INDEX(Firms!$K$5:$K$1004,$T154)),IF(INDEX('AFA Rates'!$J$5:$J$1004,$T154)="","",INDEX('AFA Rates'!$J$5:$J$1004,$T154))))</f>
        <v/>
      </c>
      <c r="M154" s="50">
        <f>IF($T154="","",IF($S154="S",IF(INDEX(Firms!$L$5:$L$1004,$T154)="","",INDEX(Firms!$L$5:$L$1004,$T154)),IF(INDEX('AFA Rates'!$K$5:$K$1004,$T154)="","",INDEX('AFA Rates'!$K$5:$K$1004,$T154))))</f>
        <v/>
      </c>
      <c r="N154" s="50">
        <f>IF($T154="","",IF($S154="S",IF(INDEX(Firms!$M$5:$M$1004,$T154)="","",INDEX(Firms!$M$5:$M$1004,$T154)),IF(INDEX('AFA Rates'!$L$5:$L$1004,$T154)="","",INDEX('AFA Rates'!$L$5:$L$1004,$T154))))</f>
        <v/>
      </c>
      <c r="O154" s="78">
        <f>IF(OR($T154="",$U154=""),"",IF(INDEX(Firms!$C$5:$C$1004,$U154)="","",INDEX(Firms!$C$5:$C$1004,$U154)))</f>
        <v/>
      </c>
      <c r="P154" s="79">
        <f>IF(OR($T154="",$U154=""),"",IF(INDEX(Firms!$N$5:$N$1004,$U154)="","",INDEX(Firms!$N$5:$N$1004,$U154)))</f>
        <v/>
      </c>
      <c r="Q154" s="78">
        <f>IF($T154="","",IF($S154="S",IF(INDEX(Firms!$T$5:$T$1004,$T154)="","",INDEX(Firms!$T$5:$T$1004,$T154)),IF(INDEX('AFA Rates'!$M$5:$M$1004,$T154)="","",INDEX('AFA Rates'!$M$5:$M$1004,$T154))))</f>
        <v/>
      </c>
      <c r="S154">
        <f>IF(150&lt;=$S$2,"S",IF(150&lt;=$S$2+$T$2,"A",""))</f>
        <v/>
      </c>
      <c r="T154">
        <f>IF(S154="S",MATCH(150,Firms!$W$5:$W$1004,0),IF(S154="A",IFERROR(MATCH(150-$S$2,'AFA Rates'!$R$5:$R$1004,0),""),""))</f>
        <v/>
      </c>
      <c r="U154">
        <f>IF(S154="S",T154,IF(AND(S154="A",T154&lt;&gt;""),IFERROR(MATCH(INDEX('AFA Rates'!$A$5:$A$1004,T154),Firms!$A$5:$A$1004,0),""),""))</f>
        <v/>
      </c>
    </row>
    <row r="155">
      <c r="A155" s="78">
        <f>IF($T155="","",IF($S155="S",IF(INDEX(Firms!$A$5:$A$1004,$T155)="","",INDEX(Firms!$A$5:$A$1004,$T155)),IF(INDEX('AFA Rates'!$A$5:$A$1004,$T155)="","",INDEX('AFA Rates'!$A$5:$A$1004,$T155))))</f>
        <v/>
      </c>
      <c r="B155" s="79">
        <f>IF(OR($T155="",$U155=""),IF($T155="","","Not on Firms tab"),INDEX(Firms!$B$5:$B$1004,$U155)&amp;"")</f>
        <v/>
      </c>
      <c r="C155" s="78">
        <f>IF($T155="","",IF($S155="S","Standard",INDEX('AFA Rates'!$B$5:$B$1004,$T155)&amp;""))</f>
        <v/>
      </c>
      <c r="D155" s="88">
        <f>IF($T155="","",IF($S155="S",IF(INDEX(Firms!$E$5:$E$1004,$T155)="","",INDEX(Firms!$E$5:$E$1004,$T155)),IF(INDEX('AFA Rates'!$C$5:$C$1004,$T155)="","",INDEX('AFA Rates'!$C$5:$C$1004,$T155))))</f>
        <v/>
      </c>
      <c r="E155" s="88">
        <f>IF($T155="","",IF($S155="S",IF(""="","",""),IF(INDEX('AFA Rates'!$D$5:$D$1004,$T155)="","",INDEX('AFA Rates'!$D$5:$D$1004,$T155))))</f>
        <v/>
      </c>
      <c r="F155" s="79">
        <f>IF($T155="","",IF($S155="S",IF(INDEX(Firms!$O$5:$O$1004,$T155)="","",INDEX(Firms!$O$5:$O$1004,$T155)),IF(INDEX('AFA Rates'!$O$5:$O$1004,$T155)="","",INDEX('AFA Rates'!$O$5:$O$1004,$T155))))</f>
        <v/>
      </c>
      <c r="G155" s="50">
        <f>IF($T155="","",IF($S155="S",IF(INDEX(Firms!$F$5:$F$1004,$T155)="","",INDEX(Firms!$F$5:$F$1004,$T155)),IF(INDEX('AFA Rates'!$E$5:$E$1004,$T155)="","",INDEX('AFA Rates'!$E$5:$E$1004,$T155))))</f>
        <v/>
      </c>
      <c r="H155" s="50">
        <f>IF($T155="","",IF($S155="S",IF(INDEX(Firms!$G$5:$G$1004,$T155)="","",INDEX(Firms!$G$5:$G$1004,$T155)),IF(INDEX('AFA Rates'!$F$5:$F$1004,$T155)="","",INDEX('AFA Rates'!$F$5:$F$1004,$T155))))</f>
        <v/>
      </c>
      <c r="I155" s="50">
        <f>IF($T155="","",IF($S155="S",IF(INDEX(Firms!$H$5:$H$1004,$T155)="","",INDEX(Firms!$H$5:$H$1004,$T155)),IF(INDEX('AFA Rates'!$G$5:$G$1004,$T155)="","",INDEX('AFA Rates'!$G$5:$G$1004,$T155))))</f>
        <v/>
      </c>
      <c r="J155" s="50">
        <f>IF($T155="","",IF($S155="S",IF(INDEX(Firms!$I$5:$I$1004,$T155)="","",INDEX(Firms!$I$5:$I$1004,$T155)),IF(INDEX('AFA Rates'!$H$5:$H$1004,$T155)="","",INDEX('AFA Rates'!$H$5:$H$1004,$T155))))</f>
        <v/>
      </c>
      <c r="K155" s="50">
        <f>IF($T155="","",IF($S155="S",IF(INDEX(Firms!$J$5:$J$1004,$T155)="","",INDEX(Firms!$J$5:$J$1004,$T155)),IF(INDEX('AFA Rates'!$I$5:$I$1004,$T155)="","",INDEX('AFA Rates'!$I$5:$I$1004,$T155))))</f>
        <v/>
      </c>
      <c r="L155" s="50">
        <f>IF($T155="","",IF($S155="S",IF(INDEX(Firms!$K$5:$K$1004,$T155)="","",INDEX(Firms!$K$5:$K$1004,$T155)),IF(INDEX('AFA Rates'!$J$5:$J$1004,$T155)="","",INDEX('AFA Rates'!$J$5:$J$1004,$T155))))</f>
        <v/>
      </c>
      <c r="M155" s="50">
        <f>IF($T155="","",IF($S155="S",IF(INDEX(Firms!$L$5:$L$1004,$T155)="","",INDEX(Firms!$L$5:$L$1004,$T155)),IF(INDEX('AFA Rates'!$K$5:$K$1004,$T155)="","",INDEX('AFA Rates'!$K$5:$K$1004,$T155))))</f>
        <v/>
      </c>
      <c r="N155" s="50">
        <f>IF($T155="","",IF($S155="S",IF(INDEX(Firms!$M$5:$M$1004,$T155)="","",INDEX(Firms!$M$5:$M$1004,$T155)),IF(INDEX('AFA Rates'!$L$5:$L$1004,$T155)="","",INDEX('AFA Rates'!$L$5:$L$1004,$T155))))</f>
        <v/>
      </c>
      <c r="O155" s="78">
        <f>IF(OR($T155="",$U155=""),"",IF(INDEX(Firms!$C$5:$C$1004,$U155)="","",INDEX(Firms!$C$5:$C$1004,$U155)))</f>
        <v/>
      </c>
      <c r="P155" s="79">
        <f>IF(OR($T155="",$U155=""),"",IF(INDEX(Firms!$N$5:$N$1004,$U155)="","",INDEX(Firms!$N$5:$N$1004,$U155)))</f>
        <v/>
      </c>
      <c r="Q155" s="78">
        <f>IF($T155="","",IF($S155="S",IF(INDEX(Firms!$T$5:$T$1004,$T155)="","",INDEX(Firms!$T$5:$T$1004,$T155)),IF(INDEX('AFA Rates'!$M$5:$M$1004,$T155)="","",INDEX('AFA Rates'!$M$5:$M$1004,$T155))))</f>
        <v/>
      </c>
      <c r="S155">
        <f>IF(151&lt;=$S$2,"S",IF(151&lt;=$S$2+$T$2,"A",""))</f>
        <v/>
      </c>
      <c r="T155">
        <f>IF(S155="S",MATCH(151,Firms!$W$5:$W$1004,0),IF(S155="A",IFERROR(MATCH(151-$S$2,'AFA Rates'!$R$5:$R$1004,0),""),""))</f>
        <v/>
      </c>
      <c r="U155">
        <f>IF(S155="S",T155,IF(AND(S155="A",T155&lt;&gt;""),IFERROR(MATCH(INDEX('AFA Rates'!$A$5:$A$1004,T155),Firms!$A$5:$A$1004,0),""),""))</f>
        <v/>
      </c>
    </row>
    <row r="156">
      <c r="A156" s="78">
        <f>IF($T156="","",IF($S156="S",IF(INDEX(Firms!$A$5:$A$1004,$T156)="","",INDEX(Firms!$A$5:$A$1004,$T156)),IF(INDEX('AFA Rates'!$A$5:$A$1004,$T156)="","",INDEX('AFA Rates'!$A$5:$A$1004,$T156))))</f>
        <v/>
      </c>
      <c r="B156" s="79">
        <f>IF(OR($T156="",$U156=""),IF($T156="","","Not on Firms tab"),INDEX(Firms!$B$5:$B$1004,$U156)&amp;"")</f>
        <v/>
      </c>
      <c r="C156" s="78">
        <f>IF($T156="","",IF($S156="S","Standard",INDEX('AFA Rates'!$B$5:$B$1004,$T156)&amp;""))</f>
        <v/>
      </c>
      <c r="D156" s="88">
        <f>IF($T156="","",IF($S156="S",IF(INDEX(Firms!$E$5:$E$1004,$T156)="","",INDEX(Firms!$E$5:$E$1004,$T156)),IF(INDEX('AFA Rates'!$C$5:$C$1004,$T156)="","",INDEX('AFA Rates'!$C$5:$C$1004,$T156))))</f>
        <v/>
      </c>
      <c r="E156" s="88">
        <f>IF($T156="","",IF($S156="S",IF(""="","",""),IF(INDEX('AFA Rates'!$D$5:$D$1004,$T156)="","",INDEX('AFA Rates'!$D$5:$D$1004,$T156))))</f>
        <v/>
      </c>
      <c r="F156" s="79">
        <f>IF($T156="","",IF($S156="S",IF(INDEX(Firms!$O$5:$O$1004,$T156)="","",INDEX(Firms!$O$5:$O$1004,$T156)),IF(INDEX('AFA Rates'!$O$5:$O$1004,$T156)="","",INDEX('AFA Rates'!$O$5:$O$1004,$T156))))</f>
        <v/>
      </c>
      <c r="G156" s="50">
        <f>IF($T156="","",IF($S156="S",IF(INDEX(Firms!$F$5:$F$1004,$T156)="","",INDEX(Firms!$F$5:$F$1004,$T156)),IF(INDEX('AFA Rates'!$E$5:$E$1004,$T156)="","",INDEX('AFA Rates'!$E$5:$E$1004,$T156))))</f>
        <v/>
      </c>
      <c r="H156" s="50">
        <f>IF($T156="","",IF($S156="S",IF(INDEX(Firms!$G$5:$G$1004,$T156)="","",INDEX(Firms!$G$5:$G$1004,$T156)),IF(INDEX('AFA Rates'!$F$5:$F$1004,$T156)="","",INDEX('AFA Rates'!$F$5:$F$1004,$T156))))</f>
        <v/>
      </c>
      <c r="I156" s="50">
        <f>IF($T156="","",IF($S156="S",IF(INDEX(Firms!$H$5:$H$1004,$T156)="","",INDEX(Firms!$H$5:$H$1004,$T156)),IF(INDEX('AFA Rates'!$G$5:$G$1004,$T156)="","",INDEX('AFA Rates'!$G$5:$G$1004,$T156))))</f>
        <v/>
      </c>
      <c r="J156" s="50">
        <f>IF($T156="","",IF($S156="S",IF(INDEX(Firms!$I$5:$I$1004,$T156)="","",INDEX(Firms!$I$5:$I$1004,$T156)),IF(INDEX('AFA Rates'!$H$5:$H$1004,$T156)="","",INDEX('AFA Rates'!$H$5:$H$1004,$T156))))</f>
        <v/>
      </c>
      <c r="K156" s="50">
        <f>IF($T156="","",IF($S156="S",IF(INDEX(Firms!$J$5:$J$1004,$T156)="","",INDEX(Firms!$J$5:$J$1004,$T156)),IF(INDEX('AFA Rates'!$I$5:$I$1004,$T156)="","",INDEX('AFA Rates'!$I$5:$I$1004,$T156))))</f>
        <v/>
      </c>
      <c r="L156" s="50">
        <f>IF($T156="","",IF($S156="S",IF(INDEX(Firms!$K$5:$K$1004,$T156)="","",INDEX(Firms!$K$5:$K$1004,$T156)),IF(INDEX('AFA Rates'!$J$5:$J$1004,$T156)="","",INDEX('AFA Rates'!$J$5:$J$1004,$T156))))</f>
        <v/>
      </c>
      <c r="M156" s="50">
        <f>IF($T156="","",IF($S156="S",IF(INDEX(Firms!$L$5:$L$1004,$T156)="","",INDEX(Firms!$L$5:$L$1004,$T156)),IF(INDEX('AFA Rates'!$K$5:$K$1004,$T156)="","",INDEX('AFA Rates'!$K$5:$K$1004,$T156))))</f>
        <v/>
      </c>
      <c r="N156" s="50">
        <f>IF($T156="","",IF($S156="S",IF(INDEX(Firms!$M$5:$M$1004,$T156)="","",INDEX(Firms!$M$5:$M$1004,$T156)),IF(INDEX('AFA Rates'!$L$5:$L$1004,$T156)="","",INDEX('AFA Rates'!$L$5:$L$1004,$T156))))</f>
        <v/>
      </c>
      <c r="O156" s="78">
        <f>IF(OR($T156="",$U156=""),"",IF(INDEX(Firms!$C$5:$C$1004,$U156)="","",INDEX(Firms!$C$5:$C$1004,$U156)))</f>
        <v/>
      </c>
      <c r="P156" s="79">
        <f>IF(OR($T156="",$U156=""),"",IF(INDEX(Firms!$N$5:$N$1004,$U156)="","",INDEX(Firms!$N$5:$N$1004,$U156)))</f>
        <v/>
      </c>
      <c r="Q156" s="78">
        <f>IF($T156="","",IF($S156="S",IF(INDEX(Firms!$T$5:$T$1004,$T156)="","",INDEX(Firms!$T$5:$T$1004,$T156)),IF(INDEX('AFA Rates'!$M$5:$M$1004,$T156)="","",INDEX('AFA Rates'!$M$5:$M$1004,$T156))))</f>
        <v/>
      </c>
      <c r="S156">
        <f>IF(152&lt;=$S$2,"S",IF(152&lt;=$S$2+$T$2,"A",""))</f>
        <v/>
      </c>
      <c r="T156">
        <f>IF(S156="S",MATCH(152,Firms!$W$5:$W$1004,0),IF(S156="A",IFERROR(MATCH(152-$S$2,'AFA Rates'!$R$5:$R$1004,0),""),""))</f>
        <v/>
      </c>
      <c r="U156">
        <f>IF(S156="S",T156,IF(AND(S156="A",T156&lt;&gt;""),IFERROR(MATCH(INDEX('AFA Rates'!$A$5:$A$1004,T156),Firms!$A$5:$A$1004,0),""),""))</f>
        <v/>
      </c>
    </row>
    <row r="157">
      <c r="A157" s="78">
        <f>IF($T157="","",IF($S157="S",IF(INDEX(Firms!$A$5:$A$1004,$T157)="","",INDEX(Firms!$A$5:$A$1004,$T157)),IF(INDEX('AFA Rates'!$A$5:$A$1004,$T157)="","",INDEX('AFA Rates'!$A$5:$A$1004,$T157))))</f>
        <v/>
      </c>
      <c r="B157" s="79">
        <f>IF(OR($T157="",$U157=""),IF($T157="","","Not on Firms tab"),INDEX(Firms!$B$5:$B$1004,$U157)&amp;"")</f>
        <v/>
      </c>
      <c r="C157" s="78">
        <f>IF($T157="","",IF($S157="S","Standard",INDEX('AFA Rates'!$B$5:$B$1004,$T157)&amp;""))</f>
        <v/>
      </c>
      <c r="D157" s="88">
        <f>IF($T157="","",IF($S157="S",IF(INDEX(Firms!$E$5:$E$1004,$T157)="","",INDEX(Firms!$E$5:$E$1004,$T157)),IF(INDEX('AFA Rates'!$C$5:$C$1004,$T157)="","",INDEX('AFA Rates'!$C$5:$C$1004,$T157))))</f>
        <v/>
      </c>
      <c r="E157" s="88">
        <f>IF($T157="","",IF($S157="S",IF(""="","",""),IF(INDEX('AFA Rates'!$D$5:$D$1004,$T157)="","",INDEX('AFA Rates'!$D$5:$D$1004,$T157))))</f>
        <v/>
      </c>
      <c r="F157" s="79">
        <f>IF($T157="","",IF($S157="S",IF(INDEX(Firms!$O$5:$O$1004,$T157)="","",INDEX(Firms!$O$5:$O$1004,$T157)),IF(INDEX('AFA Rates'!$O$5:$O$1004,$T157)="","",INDEX('AFA Rates'!$O$5:$O$1004,$T157))))</f>
        <v/>
      </c>
      <c r="G157" s="50">
        <f>IF($T157="","",IF($S157="S",IF(INDEX(Firms!$F$5:$F$1004,$T157)="","",INDEX(Firms!$F$5:$F$1004,$T157)),IF(INDEX('AFA Rates'!$E$5:$E$1004,$T157)="","",INDEX('AFA Rates'!$E$5:$E$1004,$T157))))</f>
        <v/>
      </c>
      <c r="H157" s="50">
        <f>IF($T157="","",IF($S157="S",IF(INDEX(Firms!$G$5:$G$1004,$T157)="","",INDEX(Firms!$G$5:$G$1004,$T157)),IF(INDEX('AFA Rates'!$F$5:$F$1004,$T157)="","",INDEX('AFA Rates'!$F$5:$F$1004,$T157))))</f>
        <v/>
      </c>
      <c r="I157" s="50">
        <f>IF($T157="","",IF($S157="S",IF(INDEX(Firms!$H$5:$H$1004,$T157)="","",INDEX(Firms!$H$5:$H$1004,$T157)),IF(INDEX('AFA Rates'!$G$5:$G$1004,$T157)="","",INDEX('AFA Rates'!$G$5:$G$1004,$T157))))</f>
        <v/>
      </c>
      <c r="J157" s="50">
        <f>IF($T157="","",IF($S157="S",IF(INDEX(Firms!$I$5:$I$1004,$T157)="","",INDEX(Firms!$I$5:$I$1004,$T157)),IF(INDEX('AFA Rates'!$H$5:$H$1004,$T157)="","",INDEX('AFA Rates'!$H$5:$H$1004,$T157))))</f>
        <v/>
      </c>
      <c r="K157" s="50">
        <f>IF($T157="","",IF($S157="S",IF(INDEX(Firms!$J$5:$J$1004,$T157)="","",INDEX(Firms!$J$5:$J$1004,$T157)),IF(INDEX('AFA Rates'!$I$5:$I$1004,$T157)="","",INDEX('AFA Rates'!$I$5:$I$1004,$T157))))</f>
        <v/>
      </c>
      <c r="L157" s="50">
        <f>IF($T157="","",IF($S157="S",IF(INDEX(Firms!$K$5:$K$1004,$T157)="","",INDEX(Firms!$K$5:$K$1004,$T157)),IF(INDEX('AFA Rates'!$J$5:$J$1004,$T157)="","",INDEX('AFA Rates'!$J$5:$J$1004,$T157))))</f>
        <v/>
      </c>
      <c r="M157" s="50">
        <f>IF($T157="","",IF($S157="S",IF(INDEX(Firms!$L$5:$L$1004,$T157)="","",INDEX(Firms!$L$5:$L$1004,$T157)),IF(INDEX('AFA Rates'!$K$5:$K$1004,$T157)="","",INDEX('AFA Rates'!$K$5:$K$1004,$T157))))</f>
        <v/>
      </c>
      <c r="N157" s="50">
        <f>IF($T157="","",IF($S157="S",IF(INDEX(Firms!$M$5:$M$1004,$T157)="","",INDEX(Firms!$M$5:$M$1004,$T157)),IF(INDEX('AFA Rates'!$L$5:$L$1004,$T157)="","",INDEX('AFA Rates'!$L$5:$L$1004,$T157))))</f>
        <v/>
      </c>
      <c r="O157" s="78">
        <f>IF(OR($T157="",$U157=""),"",IF(INDEX(Firms!$C$5:$C$1004,$U157)="","",INDEX(Firms!$C$5:$C$1004,$U157)))</f>
        <v/>
      </c>
      <c r="P157" s="79">
        <f>IF(OR($T157="",$U157=""),"",IF(INDEX(Firms!$N$5:$N$1004,$U157)="","",INDEX(Firms!$N$5:$N$1004,$U157)))</f>
        <v/>
      </c>
      <c r="Q157" s="78">
        <f>IF($T157="","",IF($S157="S",IF(INDEX(Firms!$T$5:$T$1004,$T157)="","",INDEX(Firms!$T$5:$T$1004,$T157)),IF(INDEX('AFA Rates'!$M$5:$M$1004,$T157)="","",INDEX('AFA Rates'!$M$5:$M$1004,$T157))))</f>
        <v/>
      </c>
      <c r="S157">
        <f>IF(153&lt;=$S$2,"S",IF(153&lt;=$S$2+$T$2,"A",""))</f>
        <v/>
      </c>
      <c r="T157">
        <f>IF(S157="S",MATCH(153,Firms!$W$5:$W$1004,0),IF(S157="A",IFERROR(MATCH(153-$S$2,'AFA Rates'!$R$5:$R$1004,0),""),""))</f>
        <v/>
      </c>
      <c r="U157">
        <f>IF(S157="S",T157,IF(AND(S157="A",T157&lt;&gt;""),IFERROR(MATCH(INDEX('AFA Rates'!$A$5:$A$1004,T157),Firms!$A$5:$A$1004,0),""),""))</f>
        <v/>
      </c>
    </row>
    <row r="158">
      <c r="A158" s="78">
        <f>IF($T158="","",IF($S158="S",IF(INDEX(Firms!$A$5:$A$1004,$T158)="","",INDEX(Firms!$A$5:$A$1004,$T158)),IF(INDEX('AFA Rates'!$A$5:$A$1004,$T158)="","",INDEX('AFA Rates'!$A$5:$A$1004,$T158))))</f>
        <v/>
      </c>
      <c r="B158" s="79">
        <f>IF(OR($T158="",$U158=""),IF($T158="","","Not on Firms tab"),INDEX(Firms!$B$5:$B$1004,$U158)&amp;"")</f>
        <v/>
      </c>
      <c r="C158" s="78">
        <f>IF($T158="","",IF($S158="S","Standard",INDEX('AFA Rates'!$B$5:$B$1004,$T158)&amp;""))</f>
        <v/>
      </c>
      <c r="D158" s="88">
        <f>IF($T158="","",IF($S158="S",IF(INDEX(Firms!$E$5:$E$1004,$T158)="","",INDEX(Firms!$E$5:$E$1004,$T158)),IF(INDEX('AFA Rates'!$C$5:$C$1004,$T158)="","",INDEX('AFA Rates'!$C$5:$C$1004,$T158))))</f>
        <v/>
      </c>
      <c r="E158" s="88">
        <f>IF($T158="","",IF($S158="S",IF(""="","",""),IF(INDEX('AFA Rates'!$D$5:$D$1004,$T158)="","",INDEX('AFA Rates'!$D$5:$D$1004,$T158))))</f>
        <v/>
      </c>
      <c r="F158" s="79">
        <f>IF($T158="","",IF($S158="S",IF(INDEX(Firms!$O$5:$O$1004,$T158)="","",INDEX(Firms!$O$5:$O$1004,$T158)),IF(INDEX('AFA Rates'!$O$5:$O$1004,$T158)="","",INDEX('AFA Rates'!$O$5:$O$1004,$T158))))</f>
        <v/>
      </c>
      <c r="G158" s="50">
        <f>IF($T158="","",IF($S158="S",IF(INDEX(Firms!$F$5:$F$1004,$T158)="","",INDEX(Firms!$F$5:$F$1004,$T158)),IF(INDEX('AFA Rates'!$E$5:$E$1004,$T158)="","",INDEX('AFA Rates'!$E$5:$E$1004,$T158))))</f>
        <v/>
      </c>
      <c r="H158" s="50">
        <f>IF($T158="","",IF($S158="S",IF(INDEX(Firms!$G$5:$G$1004,$T158)="","",INDEX(Firms!$G$5:$G$1004,$T158)),IF(INDEX('AFA Rates'!$F$5:$F$1004,$T158)="","",INDEX('AFA Rates'!$F$5:$F$1004,$T158))))</f>
        <v/>
      </c>
      <c r="I158" s="50">
        <f>IF($T158="","",IF($S158="S",IF(INDEX(Firms!$H$5:$H$1004,$T158)="","",INDEX(Firms!$H$5:$H$1004,$T158)),IF(INDEX('AFA Rates'!$G$5:$G$1004,$T158)="","",INDEX('AFA Rates'!$G$5:$G$1004,$T158))))</f>
        <v/>
      </c>
      <c r="J158" s="50">
        <f>IF($T158="","",IF($S158="S",IF(INDEX(Firms!$I$5:$I$1004,$T158)="","",INDEX(Firms!$I$5:$I$1004,$T158)),IF(INDEX('AFA Rates'!$H$5:$H$1004,$T158)="","",INDEX('AFA Rates'!$H$5:$H$1004,$T158))))</f>
        <v/>
      </c>
      <c r="K158" s="50">
        <f>IF($T158="","",IF($S158="S",IF(INDEX(Firms!$J$5:$J$1004,$T158)="","",INDEX(Firms!$J$5:$J$1004,$T158)),IF(INDEX('AFA Rates'!$I$5:$I$1004,$T158)="","",INDEX('AFA Rates'!$I$5:$I$1004,$T158))))</f>
        <v/>
      </c>
      <c r="L158" s="50">
        <f>IF($T158="","",IF($S158="S",IF(INDEX(Firms!$K$5:$K$1004,$T158)="","",INDEX(Firms!$K$5:$K$1004,$T158)),IF(INDEX('AFA Rates'!$J$5:$J$1004,$T158)="","",INDEX('AFA Rates'!$J$5:$J$1004,$T158))))</f>
        <v/>
      </c>
      <c r="M158" s="50">
        <f>IF($T158="","",IF($S158="S",IF(INDEX(Firms!$L$5:$L$1004,$T158)="","",INDEX(Firms!$L$5:$L$1004,$T158)),IF(INDEX('AFA Rates'!$K$5:$K$1004,$T158)="","",INDEX('AFA Rates'!$K$5:$K$1004,$T158))))</f>
        <v/>
      </c>
      <c r="N158" s="50">
        <f>IF($T158="","",IF($S158="S",IF(INDEX(Firms!$M$5:$M$1004,$T158)="","",INDEX(Firms!$M$5:$M$1004,$T158)),IF(INDEX('AFA Rates'!$L$5:$L$1004,$T158)="","",INDEX('AFA Rates'!$L$5:$L$1004,$T158))))</f>
        <v/>
      </c>
      <c r="O158" s="78">
        <f>IF(OR($T158="",$U158=""),"",IF(INDEX(Firms!$C$5:$C$1004,$U158)="","",INDEX(Firms!$C$5:$C$1004,$U158)))</f>
        <v/>
      </c>
      <c r="P158" s="79">
        <f>IF(OR($T158="",$U158=""),"",IF(INDEX(Firms!$N$5:$N$1004,$U158)="","",INDEX(Firms!$N$5:$N$1004,$U158)))</f>
        <v/>
      </c>
      <c r="Q158" s="78">
        <f>IF($T158="","",IF($S158="S",IF(INDEX(Firms!$T$5:$T$1004,$T158)="","",INDEX(Firms!$T$5:$T$1004,$T158)),IF(INDEX('AFA Rates'!$M$5:$M$1004,$T158)="","",INDEX('AFA Rates'!$M$5:$M$1004,$T158))))</f>
        <v/>
      </c>
      <c r="S158">
        <f>IF(154&lt;=$S$2,"S",IF(154&lt;=$S$2+$T$2,"A",""))</f>
        <v/>
      </c>
      <c r="T158">
        <f>IF(S158="S",MATCH(154,Firms!$W$5:$W$1004,0),IF(S158="A",IFERROR(MATCH(154-$S$2,'AFA Rates'!$R$5:$R$1004,0),""),""))</f>
        <v/>
      </c>
      <c r="U158">
        <f>IF(S158="S",T158,IF(AND(S158="A",T158&lt;&gt;""),IFERROR(MATCH(INDEX('AFA Rates'!$A$5:$A$1004,T158),Firms!$A$5:$A$1004,0),""),""))</f>
        <v/>
      </c>
    </row>
    <row r="159">
      <c r="A159" s="78">
        <f>IF($T159="","",IF($S159="S",IF(INDEX(Firms!$A$5:$A$1004,$T159)="","",INDEX(Firms!$A$5:$A$1004,$T159)),IF(INDEX('AFA Rates'!$A$5:$A$1004,$T159)="","",INDEX('AFA Rates'!$A$5:$A$1004,$T159))))</f>
        <v/>
      </c>
      <c r="B159" s="79">
        <f>IF(OR($T159="",$U159=""),IF($T159="","","Not on Firms tab"),INDEX(Firms!$B$5:$B$1004,$U159)&amp;"")</f>
        <v/>
      </c>
      <c r="C159" s="78">
        <f>IF($T159="","",IF($S159="S","Standard",INDEX('AFA Rates'!$B$5:$B$1004,$T159)&amp;""))</f>
        <v/>
      </c>
      <c r="D159" s="88">
        <f>IF($T159="","",IF($S159="S",IF(INDEX(Firms!$E$5:$E$1004,$T159)="","",INDEX(Firms!$E$5:$E$1004,$T159)),IF(INDEX('AFA Rates'!$C$5:$C$1004,$T159)="","",INDEX('AFA Rates'!$C$5:$C$1004,$T159))))</f>
        <v/>
      </c>
      <c r="E159" s="88">
        <f>IF($T159="","",IF($S159="S",IF(""="","",""),IF(INDEX('AFA Rates'!$D$5:$D$1004,$T159)="","",INDEX('AFA Rates'!$D$5:$D$1004,$T159))))</f>
        <v/>
      </c>
      <c r="F159" s="79">
        <f>IF($T159="","",IF($S159="S",IF(INDEX(Firms!$O$5:$O$1004,$T159)="","",INDEX(Firms!$O$5:$O$1004,$T159)),IF(INDEX('AFA Rates'!$O$5:$O$1004,$T159)="","",INDEX('AFA Rates'!$O$5:$O$1004,$T159))))</f>
        <v/>
      </c>
      <c r="G159" s="50">
        <f>IF($T159="","",IF($S159="S",IF(INDEX(Firms!$F$5:$F$1004,$T159)="","",INDEX(Firms!$F$5:$F$1004,$T159)),IF(INDEX('AFA Rates'!$E$5:$E$1004,$T159)="","",INDEX('AFA Rates'!$E$5:$E$1004,$T159))))</f>
        <v/>
      </c>
      <c r="H159" s="50">
        <f>IF($T159="","",IF($S159="S",IF(INDEX(Firms!$G$5:$G$1004,$T159)="","",INDEX(Firms!$G$5:$G$1004,$T159)),IF(INDEX('AFA Rates'!$F$5:$F$1004,$T159)="","",INDEX('AFA Rates'!$F$5:$F$1004,$T159))))</f>
        <v/>
      </c>
      <c r="I159" s="50">
        <f>IF($T159="","",IF($S159="S",IF(INDEX(Firms!$H$5:$H$1004,$T159)="","",INDEX(Firms!$H$5:$H$1004,$T159)),IF(INDEX('AFA Rates'!$G$5:$G$1004,$T159)="","",INDEX('AFA Rates'!$G$5:$G$1004,$T159))))</f>
        <v/>
      </c>
      <c r="J159" s="50">
        <f>IF($T159="","",IF($S159="S",IF(INDEX(Firms!$I$5:$I$1004,$T159)="","",INDEX(Firms!$I$5:$I$1004,$T159)),IF(INDEX('AFA Rates'!$H$5:$H$1004,$T159)="","",INDEX('AFA Rates'!$H$5:$H$1004,$T159))))</f>
        <v/>
      </c>
      <c r="K159" s="50">
        <f>IF($T159="","",IF($S159="S",IF(INDEX(Firms!$J$5:$J$1004,$T159)="","",INDEX(Firms!$J$5:$J$1004,$T159)),IF(INDEX('AFA Rates'!$I$5:$I$1004,$T159)="","",INDEX('AFA Rates'!$I$5:$I$1004,$T159))))</f>
        <v/>
      </c>
      <c r="L159" s="50">
        <f>IF($T159="","",IF($S159="S",IF(INDEX(Firms!$K$5:$K$1004,$T159)="","",INDEX(Firms!$K$5:$K$1004,$T159)),IF(INDEX('AFA Rates'!$J$5:$J$1004,$T159)="","",INDEX('AFA Rates'!$J$5:$J$1004,$T159))))</f>
        <v/>
      </c>
      <c r="M159" s="50">
        <f>IF($T159="","",IF($S159="S",IF(INDEX(Firms!$L$5:$L$1004,$T159)="","",INDEX(Firms!$L$5:$L$1004,$T159)),IF(INDEX('AFA Rates'!$K$5:$K$1004,$T159)="","",INDEX('AFA Rates'!$K$5:$K$1004,$T159))))</f>
        <v/>
      </c>
      <c r="N159" s="50">
        <f>IF($T159="","",IF($S159="S",IF(INDEX(Firms!$M$5:$M$1004,$T159)="","",INDEX(Firms!$M$5:$M$1004,$T159)),IF(INDEX('AFA Rates'!$L$5:$L$1004,$T159)="","",INDEX('AFA Rates'!$L$5:$L$1004,$T159))))</f>
        <v/>
      </c>
      <c r="O159" s="78">
        <f>IF(OR($T159="",$U159=""),"",IF(INDEX(Firms!$C$5:$C$1004,$U159)="","",INDEX(Firms!$C$5:$C$1004,$U159)))</f>
        <v/>
      </c>
      <c r="P159" s="79">
        <f>IF(OR($T159="",$U159=""),"",IF(INDEX(Firms!$N$5:$N$1004,$U159)="","",INDEX(Firms!$N$5:$N$1004,$U159)))</f>
        <v/>
      </c>
      <c r="Q159" s="78">
        <f>IF($T159="","",IF($S159="S",IF(INDEX(Firms!$T$5:$T$1004,$T159)="","",INDEX(Firms!$T$5:$T$1004,$T159)),IF(INDEX('AFA Rates'!$M$5:$M$1004,$T159)="","",INDEX('AFA Rates'!$M$5:$M$1004,$T159))))</f>
        <v/>
      </c>
      <c r="S159">
        <f>IF(155&lt;=$S$2,"S",IF(155&lt;=$S$2+$T$2,"A",""))</f>
        <v/>
      </c>
      <c r="T159">
        <f>IF(S159="S",MATCH(155,Firms!$W$5:$W$1004,0),IF(S159="A",IFERROR(MATCH(155-$S$2,'AFA Rates'!$R$5:$R$1004,0),""),""))</f>
        <v/>
      </c>
      <c r="U159">
        <f>IF(S159="S",T159,IF(AND(S159="A",T159&lt;&gt;""),IFERROR(MATCH(INDEX('AFA Rates'!$A$5:$A$1004,T159),Firms!$A$5:$A$1004,0),""),""))</f>
        <v/>
      </c>
    </row>
    <row r="160">
      <c r="A160" s="78">
        <f>IF($T160="","",IF($S160="S",IF(INDEX(Firms!$A$5:$A$1004,$T160)="","",INDEX(Firms!$A$5:$A$1004,$T160)),IF(INDEX('AFA Rates'!$A$5:$A$1004,$T160)="","",INDEX('AFA Rates'!$A$5:$A$1004,$T160))))</f>
        <v/>
      </c>
      <c r="B160" s="79">
        <f>IF(OR($T160="",$U160=""),IF($T160="","","Not on Firms tab"),INDEX(Firms!$B$5:$B$1004,$U160)&amp;"")</f>
        <v/>
      </c>
      <c r="C160" s="78">
        <f>IF($T160="","",IF($S160="S","Standard",INDEX('AFA Rates'!$B$5:$B$1004,$T160)&amp;""))</f>
        <v/>
      </c>
      <c r="D160" s="88">
        <f>IF($T160="","",IF($S160="S",IF(INDEX(Firms!$E$5:$E$1004,$T160)="","",INDEX(Firms!$E$5:$E$1004,$T160)),IF(INDEX('AFA Rates'!$C$5:$C$1004,$T160)="","",INDEX('AFA Rates'!$C$5:$C$1004,$T160))))</f>
        <v/>
      </c>
      <c r="E160" s="88">
        <f>IF($T160="","",IF($S160="S",IF(""="","",""),IF(INDEX('AFA Rates'!$D$5:$D$1004,$T160)="","",INDEX('AFA Rates'!$D$5:$D$1004,$T160))))</f>
        <v/>
      </c>
      <c r="F160" s="79">
        <f>IF($T160="","",IF($S160="S",IF(INDEX(Firms!$O$5:$O$1004,$T160)="","",INDEX(Firms!$O$5:$O$1004,$T160)),IF(INDEX('AFA Rates'!$O$5:$O$1004,$T160)="","",INDEX('AFA Rates'!$O$5:$O$1004,$T160))))</f>
        <v/>
      </c>
      <c r="G160" s="50">
        <f>IF($T160="","",IF($S160="S",IF(INDEX(Firms!$F$5:$F$1004,$T160)="","",INDEX(Firms!$F$5:$F$1004,$T160)),IF(INDEX('AFA Rates'!$E$5:$E$1004,$T160)="","",INDEX('AFA Rates'!$E$5:$E$1004,$T160))))</f>
        <v/>
      </c>
      <c r="H160" s="50">
        <f>IF($T160="","",IF($S160="S",IF(INDEX(Firms!$G$5:$G$1004,$T160)="","",INDEX(Firms!$G$5:$G$1004,$T160)),IF(INDEX('AFA Rates'!$F$5:$F$1004,$T160)="","",INDEX('AFA Rates'!$F$5:$F$1004,$T160))))</f>
        <v/>
      </c>
      <c r="I160" s="50">
        <f>IF($T160="","",IF($S160="S",IF(INDEX(Firms!$H$5:$H$1004,$T160)="","",INDEX(Firms!$H$5:$H$1004,$T160)),IF(INDEX('AFA Rates'!$G$5:$G$1004,$T160)="","",INDEX('AFA Rates'!$G$5:$G$1004,$T160))))</f>
        <v/>
      </c>
      <c r="J160" s="50">
        <f>IF($T160="","",IF($S160="S",IF(INDEX(Firms!$I$5:$I$1004,$T160)="","",INDEX(Firms!$I$5:$I$1004,$T160)),IF(INDEX('AFA Rates'!$H$5:$H$1004,$T160)="","",INDEX('AFA Rates'!$H$5:$H$1004,$T160))))</f>
        <v/>
      </c>
      <c r="K160" s="50">
        <f>IF($T160="","",IF($S160="S",IF(INDEX(Firms!$J$5:$J$1004,$T160)="","",INDEX(Firms!$J$5:$J$1004,$T160)),IF(INDEX('AFA Rates'!$I$5:$I$1004,$T160)="","",INDEX('AFA Rates'!$I$5:$I$1004,$T160))))</f>
        <v/>
      </c>
      <c r="L160" s="50">
        <f>IF($T160="","",IF($S160="S",IF(INDEX(Firms!$K$5:$K$1004,$T160)="","",INDEX(Firms!$K$5:$K$1004,$T160)),IF(INDEX('AFA Rates'!$J$5:$J$1004,$T160)="","",INDEX('AFA Rates'!$J$5:$J$1004,$T160))))</f>
        <v/>
      </c>
      <c r="M160" s="50">
        <f>IF($T160="","",IF($S160="S",IF(INDEX(Firms!$L$5:$L$1004,$T160)="","",INDEX(Firms!$L$5:$L$1004,$T160)),IF(INDEX('AFA Rates'!$K$5:$K$1004,$T160)="","",INDEX('AFA Rates'!$K$5:$K$1004,$T160))))</f>
        <v/>
      </c>
      <c r="N160" s="50">
        <f>IF($T160="","",IF($S160="S",IF(INDEX(Firms!$M$5:$M$1004,$T160)="","",INDEX(Firms!$M$5:$M$1004,$T160)),IF(INDEX('AFA Rates'!$L$5:$L$1004,$T160)="","",INDEX('AFA Rates'!$L$5:$L$1004,$T160))))</f>
        <v/>
      </c>
      <c r="O160" s="78">
        <f>IF(OR($T160="",$U160=""),"",IF(INDEX(Firms!$C$5:$C$1004,$U160)="","",INDEX(Firms!$C$5:$C$1004,$U160)))</f>
        <v/>
      </c>
      <c r="P160" s="79">
        <f>IF(OR($T160="",$U160=""),"",IF(INDEX(Firms!$N$5:$N$1004,$U160)="","",INDEX(Firms!$N$5:$N$1004,$U160)))</f>
        <v/>
      </c>
      <c r="Q160" s="78">
        <f>IF($T160="","",IF($S160="S",IF(INDEX(Firms!$T$5:$T$1004,$T160)="","",INDEX(Firms!$T$5:$T$1004,$T160)),IF(INDEX('AFA Rates'!$M$5:$M$1004,$T160)="","",INDEX('AFA Rates'!$M$5:$M$1004,$T160))))</f>
        <v/>
      </c>
      <c r="S160">
        <f>IF(156&lt;=$S$2,"S",IF(156&lt;=$S$2+$T$2,"A",""))</f>
        <v/>
      </c>
      <c r="T160">
        <f>IF(S160="S",MATCH(156,Firms!$W$5:$W$1004,0),IF(S160="A",IFERROR(MATCH(156-$S$2,'AFA Rates'!$R$5:$R$1004,0),""),""))</f>
        <v/>
      </c>
      <c r="U160">
        <f>IF(S160="S",T160,IF(AND(S160="A",T160&lt;&gt;""),IFERROR(MATCH(INDEX('AFA Rates'!$A$5:$A$1004,T160),Firms!$A$5:$A$1004,0),""),""))</f>
        <v/>
      </c>
    </row>
    <row r="161">
      <c r="A161" s="78">
        <f>IF($T161="","",IF($S161="S",IF(INDEX(Firms!$A$5:$A$1004,$T161)="","",INDEX(Firms!$A$5:$A$1004,$T161)),IF(INDEX('AFA Rates'!$A$5:$A$1004,$T161)="","",INDEX('AFA Rates'!$A$5:$A$1004,$T161))))</f>
        <v/>
      </c>
      <c r="B161" s="79">
        <f>IF(OR($T161="",$U161=""),IF($T161="","","Not on Firms tab"),INDEX(Firms!$B$5:$B$1004,$U161)&amp;"")</f>
        <v/>
      </c>
      <c r="C161" s="78">
        <f>IF($T161="","",IF($S161="S","Standard",INDEX('AFA Rates'!$B$5:$B$1004,$T161)&amp;""))</f>
        <v/>
      </c>
      <c r="D161" s="88">
        <f>IF($T161="","",IF($S161="S",IF(INDEX(Firms!$E$5:$E$1004,$T161)="","",INDEX(Firms!$E$5:$E$1004,$T161)),IF(INDEX('AFA Rates'!$C$5:$C$1004,$T161)="","",INDEX('AFA Rates'!$C$5:$C$1004,$T161))))</f>
        <v/>
      </c>
      <c r="E161" s="88">
        <f>IF($T161="","",IF($S161="S",IF(""="","",""),IF(INDEX('AFA Rates'!$D$5:$D$1004,$T161)="","",INDEX('AFA Rates'!$D$5:$D$1004,$T161))))</f>
        <v/>
      </c>
      <c r="F161" s="79">
        <f>IF($T161="","",IF($S161="S",IF(INDEX(Firms!$O$5:$O$1004,$T161)="","",INDEX(Firms!$O$5:$O$1004,$T161)),IF(INDEX('AFA Rates'!$O$5:$O$1004,$T161)="","",INDEX('AFA Rates'!$O$5:$O$1004,$T161))))</f>
        <v/>
      </c>
      <c r="G161" s="50">
        <f>IF($T161="","",IF($S161="S",IF(INDEX(Firms!$F$5:$F$1004,$T161)="","",INDEX(Firms!$F$5:$F$1004,$T161)),IF(INDEX('AFA Rates'!$E$5:$E$1004,$T161)="","",INDEX('AFA Rates'!$E$5:$E$1004,$T161))))</f>
        <v/>
      </c>
      <c r="H161" s="50">
        <f>IF($T161="","",IF($S161="S",IF(INDEX(Firms!$G$5:$G$1004,$T161)="","",INDEX(Firms!$G$5:$G$1004,$T161)),IF(INDEX('AFA Rates'!$F$5:$F$1004,$T161)="","",INDEX('AFA Rates'!$F$5:$F$1004,$T161))))</f>
        <v/>
      </c>
      <c r="I161" s="50">
        <f>IF($T161="","",IF($S161="S",IF(INDEX(Firms!$H$5:$H$1004,$T161)="","",INDEX(Firms!$H$5:$H$1004,$T161)),IF(INDEX('AFA Rates'!$G$5:$G$1004,$T161)="","",INDEX('AFA Rates'!$G$5:$G$1004,$T161))))</f>
        <v/>
      </c>
      <c r="J161" s="50">
        <f>IF($T161="","",IF($S161="S",IF(INDEX(Firms!$I$5:$I$1004,$T161)="","",INDEX(Firms!$I$5:$I$1004,$T161)),IF(INDEX('AFA Rates'!$H$5:$H$1004,$T161)="","",INDEX('AFA Rates'!$H$5:$H$1004,$T161))))</f>
        <v/>
      </c>
      <c r="K161" s="50">
        <f>IF($T161="","",IF($S161="S",IF(INDEX(Firms!$J$5:$J$1004,$T161)="","",INDEX(Firms!$J$5:$J$1004,$T161)),IF(INDEX('AFA Rates'!$I$5:$I$1004,$T161)="","",INDEX('AFA Rates'!$I$5:$I$1004,$T161))))</f>
        <v/>
      </c>
      <c r="L161" s="50">
        <f>IF($T161="","",IF($S161="S",IF(INDEX(Firms!$K$5:$K$1004,$T161)="","",INDEX(Firms!$K$5:$K$1004,$T161)),IF(INDEX('AFA Rates'!$J$5:$J$1004,$T161)="","",INDEX('AFA Rates'!$J$5:$J$1004,$T161))))</f>
        <v/>
      </c>
      <c r="M161" s="50">
        <f>IF($T161="","",IF($S161="S",IF(INDEX(Firms!$L$5:$L$1004,$T161)="","",INDEX(Firms!$L$5:$L$1004,$T161)),IF(INDEX('AFA Rates'!$K$5:$K$1004,$T161)="","",INDEX('AFA Rates'!$K$5:$K$1004,$T161))))</f>
        <v/>
      </c>
      <c r="N161" s="50">
        <f>IF($T161="","",IF($S161="S",IF(INDEX(Firms!$M$5:$M$1004,$T161)="","",INDEX(Firms!$M$5:$M$1004,$T161)),IF(INDEX('AFA Rates'!$L$5:$L$1004,$T161)="","",INDEX('AFA Rates'!$L$5:$L$1004,$T161))))</f>
        <v/>
      </c>
      <c r="O161" s="78">
        <f>IF(OR($T161="",$U161=""),"",IF(INDEX(Firms!$C$5:$C$1004,$U161)="","",INDEX(Firms!$C$5:$C$1004,$U161)))</f>
        <v/>
      </c>
      <c r="P161" s="79">
        <f>IF(OR($T161="",$U161=""),"",IF(INDEX(Firms!$N$5:$N$1004,$U161)="","",INDEX(Firms!$N$5:$N$1004,$U161)))</f>
        <v/>
      </c>
      <c r="Q161" s="78">
        <f>IF($T161="","",IF($S161="S",IF(INDEX(Firms!$T$5:$T$1004,$T161)="","",INDEX(Firms!$T$5:$T$1004,$T161)),IF(INDEX('AFA Rates'!$M$5:$M$1004,$T161)="","",INDEX('AFA Rates'!$M$5:$M$1004,$T161))))</f>
        <v/>
      </c>
      <c r="S161">
        <f>IF(157&lt;=$S$2,"S",IF(157&lt;=$S$2+$T$2,"A",""))</f>
        <v/>
      </c>
      <c r="T161">
        <f>IF(S161="S",MATCH(157,Firms!$W$5:$W$1004,0),IF(S161="A",IFERROR(MATCH(157-$S$2,'AFA Rates'!$R$5:$R$1004,0),""),""))</f>
        <v/>
      </c>
      <c r="U161">
        <f>IF(S161="S",T161,IF(AND(S161="A",T161&lt;&gt;""),IFERROR(MATCH(INDEX('AFA Rates'!$A$5:$A$1004,T161),Firms!$A$5:$A$1004,0),""),""))</f>
        <v/>
      </c>
    </row>
    <row r="162">
      <c r="A162" s="78">
        <f>IF($T162="","",IF($S162="S",IF(INDEX(Firms!$A$5:$A$1004,$T162)="","",INDEX(Firms!$A$5:$A$1004,$T162)),IF(INDEX('AFA Rates'!$A$5:$A$1004,$T162)="","",INDEX('AFA Rates'!$A$5:$A$1004,$T162))))</f>
        <v/>
      </c>
      <c r="B162" s="79">
        <f>IF(OR($T162="",$U162=""),IF($T162="","","Not on Firms tab"),INDEX(Firms!$B$5:$B$1004,$U162)&amp;"")</f>
        <v/>
      </c>
      <c r="C162" s="78">
        <f>IF($T162="","",IF($S162="S","Standard",INDEX('AFA Rates'!$B$5:$B$1004,$T162)&amp;""))</f>
        <v/>
      </c>
      <c r="D162" s="88">
        <f>IF($T162="","",IF($S162="S",IF(INDEX(Firms!$E$5:$E$1004,$T162)="","",INDEX(Firms!$E$5:$E$1004,$T162)),IF(INDEX('AFA Rates'!$C$5:$C$1004,$T162)="","",INDEX('AFA Rates'!$C$5:$C$1004,$T162))))</f>
        <v/>
      </c>
      <c r="E162" s="88">
        <f>IF($T162="","",IF($S162="S",IF(""="","",""),IF(INDEX('AFA Rates'!$D$5:$D$1004,$T162)="","",INDEX('AFA Rates'!$D$5:$D$1004,$T162))))</f>
        <v/>
      </c>
      <c r="F162" s="79">
        <f>IF($T162="","",IF($S162="S",IF(INDEX(Firms!$O$5:$O$1004,$T162)="","",INDEX(Firms!$O$5:$O$1004,$T162)),IF(INDEX('AFA Rates'!$O$5:$O$1004,$T162)="","",INDEX('AFA Rates'!$O$5:$O$1004,$T162))))</f>
        <v/>
      </c>
      <c r="G162" s="50">
        <f>IF($T162="","",IF($S162="S",IF(INDEX(Firms!$F$5:$F$1004,$T162)="","",INDEX(Firms!$F$5:$F$1004,$T162)),IF(INDEX('AFA Rates'!$E$5:$E$1004,$T162)="","",INDEX('AFA Rates'!$E$5:$E$1004,$T162))))</f>
        <v/>
      </c>
      <c r="H162" s="50">
        <f>IF($T162="","",IF($S162="S",IF(INDEX(Firms!$G$5:$G$1004,$T162)="","",INDEX(Firms!$G$5:$G$1004,$T162)),IF(INDEX('AFA Rates'!$F$5:$F$1004,$T162)="","",INDEX('AFA Rates'!$F$5:$F$1004,$T162))))</f>
        <v/>
      </c>
      <c r="I162" s="50">
        <f>IF($T162="","",IF($S162="S",IF(INDEX(Firms!$H$5:$H$1004,$T162)="","",INDEX(Firms!$H$5:$H$1004,$T162)),IF(INDEX('AFA Rates'!$G$5:$G$1004,$T162)="","",INDEX('AFA Rates'!$G$5:$G$1004,$T162))))</f>
        <v/>
      </c>
      <c r="J162" s="50">
        <f>IF($T162="","",IF($S162="S",IF(INDEX(Firms!$I$5:$I$1004,$T162)="","",INDEX(Firms!$I$5:$I$1004,$T162)),IF(INDEX('AFA Rates'!$H$5:$H$1004,$T162)="","",INDEX('AFA Rates'!$H$5:$H$1004,$T162))))</f>
        <v/>
      </c>
      <c r="K162" s="50">
        <f>IF($T162="","",IF($S162="S",IF(INDEX(Firms!$J$5:$J$1004,$T162)="","",INDEX(Firms!$J$5:$J$1004,$T162)),IF(INDEX('AFA Rates'!$I$5:$I$1004,$T162)="","",INDEX('AFA Rates'!$I$5:$I$1004,$T162))))</f>
        <v/>
      </c>
      <c r="L162" s="50">
        <f>IF($T162="","",IF($S162="S",IF(INDEX(Firms!$K$5:$K$1004,$T162)="","",INDEX(Firms!$K$5:$K$1004,$T162)),IF(INDEX('AFA Rates'!$J$5:$J$1004,$T162)="","",INDEX('AFA Rates'!$J$5:$J$1004,$T162))))</f>
        <v/>
      </c>
      <c r="M162" s="50">
        <f>IF($T162="","",IF($S162="S",IF(INDEX(Firms!$L$5:$L$1004,$T162)="","",INDEX(Firms!$L$5:$L$1004,$T162)),IF(INDEX('AFA Rates'!$K$5:$K$1004,$T162)="","",INDEX('AFA Rates'!$K$5:$K$1004,$T162))))</f>
        <v/>
      </c>
      <c r="N162" s="50">
        <f>IF($T162="","",IF($S162="S",IF(INDEX(Firms!$M$5:$M$1004,$T162)="","",INDEX(Firms!$M$5:$M$1004,$T162)),IF(INDEX('AFA Rates'!$L$5:$L$1004,$T162)="","",INDEX('AFA Rates'!$L$5:$L$1004,$T162))))</f>
        <v/>
      </c>
      <c r="O162" s="78">
        <f>IF(OR($T162="",$U162=""),"",IF(INDEX(Firms!$C$5:$C$1004,$U162)="","",INDEX(Firms!$C$5:$C$1004,$U162)))</f>
        <v/>
      </c>
      <c r="P162" s="79">
        <f>IF(OR($T162="",$U162=""),"",IF(INDEX(Firms!$N$5:$N$1004,$U162)="","",INDEX(Firms!$N$5:$N$1004,$U162)))</f>
        <v/>
      </c>
      <c r="Q162" s="78">
        <f>IF($T162="","",IF($S162="S",IF(INDEX(Firms!$T$5:$T$1004,$T162)="","",INDEX(Firms!$T$5:$T$1004,$T162)),IF(INDEX('AFA Rates'!$M$5:$M$1004,$T162)="","",INDEX('AFA Rates'!$M$5:$M$1004,$T162))))</f>
        <v/>
      </c>
      <c r="S162">
        <f>IF(158&lt;=$S$2,"S",IF(158&lt;=$S$2+$T$2,"A",""))</f>
        <v/>
      </c>
      <c r="T162">
        <f>IF(S162="S",MATCH(158,Firms!$W$5:$W$1004,0),IF(S162="A",IFERROR(MATCH(158-$S$2,'AFA Rates'!$R$5:$R$1004,0),""),""))</f>
        <v/>
      </c>
      <c r="U162">
        <f>IF(S162="S",T162,IF(AND(S162="A",T162&lt;&gt;""),IFERROR(MATCH(INDEX('AFA Rates'!$A$5:$A$1004,T162),Firms!$A$5:$A$1004,0),""),""))</f>
        <v/>
      </c>
    </row>
    <row r="163">
      <c r="A163" s="78">
        <f>IF($T163="","",IF($S163="S",IF(INDEX(Firms!$A$5:$A$1004,$T163)="","",INDEX(Firms!$A$5:$A$1004,$T163)),IF(INDEX('AFA Rates'!$A$5:$A$1004,$T163)="","",INDEX('AFA Rates'!$A$5:$A$1004,$T163))))</f>
        <v/>
      </c>
      <c r="B163" s="79">
        <f>IF(OR($T163="",$U163=""),IF($T163="","","Not on Firms tab"),INDEX(Firms!$B$5:$B$1004,$U163)&amp;"")</f>
        <v/>
      </c>
      <c r="C163" s="78">
        <f>IF($T163="","",IF($S163="S","Standard",INDEX('AFA Rates'!$B$5:$B$1004,$T163)&amp;""))</f>
        <v/>
      </c>
      <c r="D163" s="88">
        <f>IF($T163="","",IF($S163="S",IF(INDEX(Firms!$E$5:$E$1004,$T163)="","",INDEX(Firms!$E$5:$E$1004,$T163)),IF(INDEX('AFA Rates'!$C$5:$C$1004,$T163)="","",INDEX('AFA Rates'!$C$5:$C$1004,$T163))))</f>
        <v/>
      </c>
      <c r="E163" s="88">
        <f>IF($T163="","",IF($S163="S",IF(""="","",""),IF(INDEX('AFA Rates'!$D$5:$D$1004,$T163)="","",INDEX('AFA Rates'!$D$5:$D$1004,$T163))))</f>
        <v/>
      </c>
      <c r="F163" s="79">
        <f>IF($T163="","",IF($S163="S",IF(INDEX(Firms!$O$5:$O$1004,$T163)="","",INDEX(Firms!$O$5:$O$1004,$T163)),IF(INDEX('AFA Rates'!$O$5:$O$1004,$T163)="","",INDEX('AFA Rates'!$O$5:$O$1004,$T163))))</f>
        <v/>
      </c>
      <c r="G163" s="50">
        <f>IF($T163="","",IF($S163="S",IF(INDEX(Firms!$F$5:$F$1004,$T163)="","",INDEX(Firms!$F$5:$F$1004,$T163)),IF(INDEX('AFA Rates'!$E$5:$E$1004,$T163)="","",INDEX('AFA Rates'!$E$5:$E$1004,$T163))))</f>
        <v/>
      </c>
      <c r="H163" s="50">
        <f>IF($T163="","",IF($S163="S",IF(INDEX(Firms!$G$5:$G$1004,$T163)="","",INDEX(Firms!$G$5:$G$1004,$T163)),IF(INDEX('AFA Rates'!$F$5:$F$1004,$T163)="","",INDEX('AFA Rates'!$F$5:$F$1004,$T163))))</f>
        <v/>
      </c>
      <c r="I163" s="50">
        <f>IF($T163="","",IF($S163="S",IF(INDEX(Firms!$H$5:$H$1004,$T163)="","",INDEX(Firms!$H$5:$H$1004,$T163)),IF(INDEX('AFA Rates'!$G$5:$G$1004,$T163)="","",INDEX('AFA Rates'!$G$5:$G$1004,$T163))))</f>
        <v/>
      </c>
      <c r="J163" s="50">
        <f>IF($T163="","",IF($S163="S",IF(INDEX(Firms!$I$5:$I$1004,$T163)="","",INDEX(Firms!$I$5:$I$1004,$T163)),IF(INDEX('AFA Rates'!$H$5:$H$1004,$T163)="","",INDEX('AFA Rates'!$H$5:$H$1004,$T163))))</f>
        <v/>
      </c>
      <c r="K163" s="50">
        <f>IF($T163="","",IF($S163="S",IF(INDEX(Firms!$J$5:$J$1004,$T163)="","",INDEX(Firms!$J$5:$J$1004,$T163)),IF(INDEX('AFA Rates'!$I$5:$I$1004,$T163)="","",INDEX('AFA Rates'!$I$5:$I$1004,$T163))))</f>
        <v/>
      </c>
      <c r="L163" s="50">
        <f>IF($T163="","",IF($S163="S",IF(INDEX(Firms!$K$5:$K$1004,$T163)="","",INDEX(Firms!$K$5:$K$1004,$T163)),IF(INDEX('AFA Rates'!$J$5:$J$1004,$T163)="","",INDEX('AFA Rates'!$J$5:$J$1004,$T163))))</f>
        <v/>
      </c>
      <c r="M163" s="50">
        <f>IF($T163="","",IF($S163="S",IF(INDEX(Firms!$L$5:$L$1004,$T163)="","",INDEX(Firms!$L$5:$L$1004,$T163)),IF(INDEX('AFA Rates'!$K$5:$K$1004,$T163)="","",INDEX('AFA Rates'!$K$5:$K$1004,$T163))))</f>
        <v/>
      </c>
      <c r="N163" s="50">
        <f>IF($T163="","",IF($S163="S",IF(INDEX(Firms!$M$5:$M$1004,$T163)="","",INDEX(Firms!$M$5:$M$1004,$T163)),IF(INDEX('AFA Rates'!$L$5:$L$1004,$T163)="","",INDEX('AFA Rates'!$L$5:$L$1004,$T163))))</f>
        <v/>
      </c>
      <c r="O163" s="78">
        <f>IF(OR($T163="",$U163=""),"",IF(INDEX(Firms!$C$5:$C$1004,$U163)="","",INDEX(Firms!$C$5:$C$1004,$U163)))</f>
        <v/>
      </c>
      <c r="P163" s="79">
        <f>IF(OR($T163="",$U163=""),"",IF(INDEX(Firms!$N$5:$N$1004,$U163)="","",INDEX(Firms!$N$5:$N$1004,$U163)))</f>
        <v/>
      </c>
      <c r="Q163" s="78">
        <f>IF($T163="","",IF($S163="S",IF(INDEX(Firms!$T$5:$T$1004,$T163)="","",INDEX(Firms!$T$5:$T$1004,$T163)),IF(INDEX('AFA Rates'!$M$5:$M$1004,$T163)="","",INDEX('AFA Rates'!$M$5:$M$1004,$T163))))</f>
        <v/>
      </c>
      <c r="S163">
        <f>IF(159&lt;=$S$2,"S",IF(159&lt;=$S$2+$T$2,"A",""))</f>
        <v/>
      </c>
      <c r="T163">
        <f>IF(S163="S",MATCH(159,Firms!$W$5:$W$1004,0),IF(S163="A",IFERROR(MATCH(159-$S$2,'AFA Rates'!$R$5:$R$1004,0),""),""))</f>
        <v/>
      </c>
      <c r="U163">
        <f>IF(S163="S",T163,IF(AND(S163="A",T163&lt;&gt;""),IFERROR(MATCH(INDEX('AFA Rates'!$A$5:$A$1004,T163),Firms!$A$5:$A$1004,0),""),""))</f>
        <v/>
      </c>
    </row>
    <row r="164">
      <c r="A164" s="78">
        <f>IF($T164="","",IF($S164="S",IF(INDEX(Firms!$A$5:$A$1004,$T164)="","",INDEX(Firms!$A$5:$A$1004,$T164)),IF(INDEX('AFA Rates'!$A$5:$A$1004,$T164)="","",INDEX('AFA Rates'!$A$5:$A$1004,$T164))))</f>
        <v/>
      </c>
      <c r="B164" s="79">
        <f>IF(OR($T164="",$U164=""),IF($T164="","","Not on Firms tab"),INDEX(Firms!$B$5:$B$1004,$U164)&amp;"")</f>
        <v/>
      </c>
      <c r="C164" s="78">
        <f>IF($T164="","",IF($S164="S","Standard",INDEX('AFA Rates'!$B$5:$B$1004,$T164)&amp;""))</f>
        <v/>
      </c>
      <c r="D164" s="88">
        <f>IF($T164="","",IF($S164="S",IF(INDEX(Firms!$E$5:$E$1004,$T164)="","",INDEX(Firms!$E$5:$E$1004,$T164)),IF(INDEX('AFA Rates'!$C$5:$C$1004,$T164)="","",INDEX('AFA Rates'!$C$5:$C$1004,$T164))))</f>
        <v/>
      </c>
      <c r="E164" s="88">
        <f>IF($T164="","",IF($S164="S",IF(""="","",""),IF(INDEX('AFA Rates'!$D$5:$D$1004,$T164)="","",INDEX('AFA Rates'!$D$5:$D$1004,$T164))))</f>
        <v/>
      </c>
      <c r="F164" s="79">
        <f>IF($T164="","",IF($S164="S",IF(INDEX(Firms!$O$5:$O$1004,$T164)="","",INDEX(Firms!$O$5:$O$1004,$T164)),IF(INDEX('AFA Rates'!$O$5:$O$1004,$T164)="","",INDEX('AFA Rates'!$O$5:$O$1004,$T164))))</f>
        <v/>
      </c>
      <c r="G164" s="50">
        <f>IF($T164="","",IF($S164="S",IF(INDEX(Firms!$F$5:$F$1004,$T164)="","",INDEX(Firms!$F$5:$F$1004,$T164)),IF(INDEX('AFA Rates'!$E$5:$E$1004,$T164)="","",INDEX('AFA Rates'!$E$5:$E$1004,$T164))))</f>
        <v/>
      </c>
      <c r="H164" s="50">
        <f>IF($T164="","",IF($S164="S",IF(INDEX(Firms!$G$5:$G$1004,$T164)="","",INDEX(Firms!$G$5:$G$1004,$T164)),IF(INDEX('AFA Rates'!$F$5:$F$1004,$T164)="","",INDEX('AFA Rates'!$F$5:$F$1004,$T164))))</f>
        <v/>
      </c>
      <c r="I164" s="50">
        <f>IF($T164="","",IF($S164="S",IF(INDEX(Firms!$H$5:$H$1004,$T164)="","",INDEX(Firms!$H$5:$H$1004,$T164)),IF(INDEX('AFA Rates'!$G$5:$G$1004,$T164)="","",INDEX('AFA Rates'!$G$5:$G$1004,$T164))))</f>
        <v/>
      </c>
      <c r="J164" s="50">
        <f>IF($T164="","",IF($S164="S",IF(INDEX(Firms!$I$5:$I$1004,$T164)="","",INDEX(Firms!$I$5:$I$1004,$T164)),IF(INDEX('AFA Rates'!$H$5:$H$1004,$T164)="","",INDEX('AFA Rates'!$H$5:$H$1004,$T164))))</f>
        <v/>
      </c>
      <c r="K164" s="50">
        <f>IF($T164="","",IF($S164="S",IF(INDEX(Firms!$J$5:$J$1004,$T164)="","",INDEX(Firms!$J$5:$J$1004,$T164)),IF(INDEX('AFA Rates'!$I$5:$I$1004,$T164)="","",INDEX('AFA Rates'!$I$5:$I$1004,$T164))))</f>
        <v/>
      </c>
      <c r="L164" s="50">
        <f>IF($T164="","",IF($S164="S",IF(INDEX(Firms!$K$5:$K$1004,$T164)="","",INDEX(Firms!$K$5:$K$1004,$T164)),IF(INDEX('AFA Rates'!$J$5:$J$1004,$T164)="","",INDEX('AFA Rates'!$J$5:$J$1004,$T164))))</f>
        <v/>
      </c>
      <c r="M164" s="50">
        <f>IF($T164="","",IF($S164="S",IF(INDEX(Firms!$L$5:$L$1004,$T164)="","",INDEX(Firms!$L$5:$L$1004,$T164)),IF(INDEX('AFA Rates'!$K$5:$K$1004,$T164)="","",INDEX('AFA Rates'!$K$5:$K$1004,$T164))))</f>
        <v/>
      </c>
      <c r="N164" s="50">
        <f>IF($T164="","",IF($S164="S",IF(INDEX(Firms!$M$5:$M$1004,$T164)="","",INDEX(Firms!$M$5:$M$1004,$T164)),IF(INDEX('AFA Rates'!$L$5:$L$1004,$T164)="","",INDEX('AFA Rates'!$L$5:$L$1004,$T164))))</f>
        <v/>
      </c>
      <c r="O164" s="78">
        <f>IF(OR($T164="",$U164=""),"",IF(INDEX(Firms!$C$5:$C$1004,$U164)="","",INDEX(Firms!$C$5:$C$1004,$U164)))</f>
        <v/>
      </c>
      <c r="P164" s="79">
        <f>IF(OR($T164="",$U164=""),"",IF(INDEX(Firms!$N$5:$N$1004,$U164)="","",INDEX(Firms!$N$5:$N$1004,$U164)))</f>
        <v/>
      </c>
      <c r="Q164" s="78">
        <f>IF($T164="","",IF($S164="S",IF(INDEX(Firms!$T$5:$T$1004,$T164)="","",INDEX(Firms!$T$5:$T$1004,$T164)),IF(INDEX('AFA Rates'!$M$5:$M$1004,$T164)="","",INDEX('AFA Rates'!$M$5:$M$1004,$T164))))</f>
        <v/>
      </c>
      <c r="S164">
        <f>IF(160&lt;=$S$2,"S",IF(160&lt;=$S$2+$T$2,"A",""))</f>
        <v/>
      </c>
      <c r="T164">
        <f>IF(S164="S",MATCH(160,Firms!$W$5:$W$1004,0),IF(S164="A",IFERROR(MATCH(160-$S$2,'AFA Rates'!$R$5:$R$1004,0),""),""))</f>
        <v/>
      </c>
      <c r="U164">
        <f>IF(S164="S",T164,IF(AND(S164="A",T164&lt;&gt;""),IFERROR(MATCH(INDEX('AFA Rates'!$A$5:$A$1004,T164),Firms!$A$5:$A$1004,0),""),""))</f>
        <v/>
      </c>
    </row>
    <row r="165">
      <c r="A165" s="78">
        <f>IF($T165="","",IF($S165="S",IF(INDEX(Firms!$A$5:$A$1004,$T165)="","",INDEX(Firms!$A$5:$A$1004,$T165)),IF(INDEX('AFA Rates'!$A$5:$A$1004,$T165)="","",INDEX('AFA Rates'!$A$5:$A$1004,$T165))))</f>
        <v/>
      </c>
      <c r="B165" s="79">
        <f>IF(OR($T165="",$U165=""),IF($T165="","","Not on Firms tab"),INDEX(Firms!$B$5:$B$1004,$U165)&amp;"")</f>
        <v/>
      </c>
      <c r="C165" s="78">
        <f>IF($T165="","",IF($S165="S","Standard",INDEX('AFA Rates'!$B$5:$B$1004,$T165)&amp;""))</f>
        <v/>
      </c>
      <c r="D165" s="88">
        <f>IF($T165="","",IF($S165="S",IF(INDEX(Firms!$E$5:$E$1004,$T165)="","",INDEX(Firms!$E$5:$E$1004,$T165)),IF(INDEX('AFA Rates'!$C$5:$C$1004,$T165)="","",INDEX('AFA Rates'!$C$5:$C$1004,$T165))))</f>
        <v/>
      </c>
      <c r="E165" s="88">
        <f>IF($T165="","",IF($S165="S",IF(""="","",""),IF(INDEX('AFA Rates'!$D$5:$D$1004,$T165)="","",INDEX('AFA Rates'!$D$5:$D$1004,$T165))))</f>
        <v/>
      </c>
      <c r="F165" s="79">
        <f>IF($T165="","",IF($S165="S",IF(INDEX(Firms!$O$5:$O$1004,$T165)="","",INDEX(Firms!$O$5:$O$1004,$T165)),IF(INDEX('AFA Rates'!$O$5:$O$1004,$T165)="","",INDEX('AFA Rates'!$O$5:$O$1004,$T165))))</f>
        <v/>
      </c>
      <c r="G165" s="50">
        <f>IF($T165="","",IF($S165="S",IF(INDEX(Firms!$F$5:$F$1004,$T165)="","",INDEX(Firms!$F$5:$F$1004,$T165)),IF(INDEX('AFA Rates'!$E$5:$E$1004,$T165)="","",INDEX('AFA Rates'!$E$5:$E$1004,$T165))))</f>
        <v/>
      </c>
      <c r="H165" s="50">
        <f>IF($T165="","",IF($S165="S",IF(INDEX(Firms!$G$5:$G$1004,$T165)="","",INDEX(Firms!$G$5:$G$1004,$T165)),IF(INDEX('AFA Rates'!$F$5:$F$1004,$T165)="","",INDEX('AFA Rates'!$F$5:$F$1004,$T165))))</f>
        <v/>
      </c>
      <c r="I165" s="50">
        <f>IF($T165="","",IF($S165="S",IF(INDEX(Firms!$H$5:$H$1004,$T165)="","",INDEX(Firms!$H$5:$H$1004,$T165)),IF(INDEX('AFA Rates'!$G$5:$G$1004,$T165)="","",INDEX('AFA Rates'!$G$5:$G$1004,$T165))))</f>
        <v/>
      </c>
      <c r="J165" s="50">
        <f>IF($T165="","",IF($S165="S",IF(INDEX(Firms!$I$5:$I$1004,$T165)="","",INDEX(Firms!$I$5:$I$1004,$T165)),IF(INDEX('AFA Rates'!$H$5:$H$1004,$T165)="","",INDEX('AFA Rates'!$H$5:$H$1004,$T165))))</f>
        <v/>
      </c>
      <c r="K165" s="50">
        <f>IF($T165="","",IF($S165="S",IF(INDEX(Firms!$J$5:$J$1004,$T165)="","",INDEX(Firms!$J$5:$J$1004,$T165)),IF(INDEX('AFA Rates'!$I$5:$I$1004,$T165)="","",INDEX('AFA Rates'!$I$5:$I$1004,$T165))))</f>
        <v/>
      </c>
      <c r="L165" s="50">
        <f>IF($T165="","",IF($S165="S",IF(INDEX(Firms!$K$5:$K$1004,$T165)="","",INDEX(Firms!$K$5:$K$1004,$T165)),IF(INDEX('AFA Rates'!$J$5:$J$1004,$T165)="","",INDEX('AFA Rates'!$J$5:$J$1004,$T165))))</f>
        <v/>
      </c>
      <c r="M165" s="50">
        <f>IF($T165="","",IF($S165="S",IF(INDEX(Firms!$L$5:$L$1004,$T165)="","",INDEX(Firms!$L$5:$L$1004,$T165)),IF(INDEX('AFA Rates'!$K$5:$K$1004,$T165)="","",INDEX('AFA Rates'!$K$5:$K$1004,$T165))))</f>
        <v/>
      </c>
      <c r="N165" s="50">
        <f>IF($T165="","",IF($S165="S",IF(INDEX(Firms!$M$5:$M$1004,$T165)="","",INDEX(Firms!$M$5:$M$1004,$T165)),IF(INDEX('AFA Rates'!$L$5:$L$1004,$T165)="","",INDEX('AFA Rates'!$L$5:$L$1004,$T165))))</f>
        <v/>
      </c>
      <c r="O165" s="78">
        <f>IF(OR($T165="",$U165=""),"",IF(INDEX(Firms!$C$5:$C$1004,$U165)="","",INDEX(Firms!$C$5:$C$1004,$U165)))</f>
        <v/>
      </c>
      <c r="P165" s="79">
        <f>IF(OR($T165="",$U165=""),"",IF(INDEX(Firms!$N$5:$N$1004,$U165)="","",INDEX(Firms!$N$5:$N$1004,$U165)))</f>
        <v/>
      </c>
      <c r="Q165" s="78">
        <f>IF($T165="","",IF($S165="S",IF(INDEX(Firms!$T$5:$T$1004,$T165)="","",INDEX(Firms!$T$5:$T$1004,$T165)),IF(INDEX('AFA Rates'!$M$5:$M$1004,$T165)="","",INDEX('AFA Rates'!$M$5:$M$1004,$T165))))</f>
        <v/>
      </c>
      <c r="S165">
        <f>IF(161&lt;=$S$2,"S",IF(161&lt;=$S$2+$T$2,"A",""))</f>
        <v/>
      </c>
      <c r="T165">
        <f>IF(S165="S",MATCH(161,Firms!$W$5:$W$1004,0),IF(S165="A",IFERROR(MATCH(161-$S$2,'AFA Rates'!$R$5:$R$1004,0),""),""))</f>
        <v/>
      </c>
      <c r="U165">
        <f>IF(S165="S",T165,IF(AND(S165="A",T165&lt;&gt;""),IFERROR(MATCH(INDEX('AFA Rates'!$A$5:$A$1004,T165),Firms!$A$5:$A$1004,0),""),""))</f>
        <v/>
      </c>
    </row>
    <row r="166">
      <c r="A166" s="78">
        <f>IF($T166="","",IF($S166="S",IF(INDEX(Firms!$A$5:$A$1004,$T166)="","",INDEX(Firms!$A$5:$A$1004,$T166)),IF(INDEX('AFA Rates'!$A$5:$A$1004,$T166)="","",INDEX('AFA Rates'!$A$5:$A$1004,$T166))))</f>
        <v/>
      </c>
      <c r="B166" s="79">
        <f>IF(OR($T166="",$U166=""),IF($T166="","","Not on Firms tab"),INDEX(Firms!$B$5:$B$1004,$U166)&amp;"")</f>
        <v/>
      </c>
      <c r="C166" s="78">
        <f>IF($T166="","",IF($S166="S","Standard",INDEX('AFA Rates'!$B$5:$B$1004,$T166)&amp;""))</f>
        <v/>
      </c>
      <c r="D166" s="88">
        <f>IF($T166="","",IF($S166="S",IF(INDEX(Firms!$E$5:$E$1004,$T166)="","",INDEX(Firms!$E$5:$E$1004,$T166)),IF(INDEX('AFA Rates'!$C$5:$C$1004,$T166)="","",INDEX('AFA Rates'!$C$5:$C$1004,$T166))))</f>
        <v/>
      </c>
      <c r="E166" s="88">
        <f>IF($T166="","",IF($S166="S",IF(""="","",""),IF(INDEX('AFA Rates'!$D$5:$D$1004,$T166)="","",INDEX('AFA Rates'!$D$5:$D$1004,$T166))))</f>
        <v/>
      </c>
      <c r="F166" s="79">
        <f>IF($T166="","",IF($S166="S",IF(INDEX(Firms!$O$5:$O$1004,$T166)="","",INDEX(Firms!$O$5:$O$1004,$T166)),IF(INDEX('AFA Rates'!$O$5:$O$1004,$T166)="","",INDEX('AFA Rates'!$O$5:$O$1004,$T166))))</f>
        <v/>
      </c>
      <c r="G166" s="50">
        <f>IF($T166="","",IF($S166="S",IF(INDEX(Firms!$F$5:$F$1004,$T166)="","",INDEX(Firms!$F$5:$F$1004,$T166)),IF(INDEX('AFA Rates'!$E$5:$E$1004,$T166)="","",INDEX('AFA Rates'!$E$5:$E$1004,$T166))))</f>
        <v/>
      </c>
      <c r="H166" s="50">
        <f>IF($T166="","",IF($S166="S",IF(INDEX(Firms!$G$5:$G$1004,$T166)="","",INDEX(Firms!$G$5:$G$1004,$T166)),IF(INDEX('AFA Rates'!$F$5:$F$1004,$T166)="","",INDEX('AFA Rates'!$F$5:$F$1004,$T166))))</f>
        <v/>
      </c>
      <c r="I166" s="50">
        <f>IF($T166="","",IF($S166="S",IF(INDEX(Firms!$H$5:$H$1004,$T166)="","",INDEX(Firms!$H$5:$H$1004,$T166)),IF(INDEX('AFA Rates'!$G$5:$G$1004,$T166)="","",INDEX('AFA Rates'!$G$5:$G$1004,$T166))))</f>
        <v/>
      </c>
      <c r="J166" s="50">
        <f>IF($T166="","",IF($S166="S",IF(INDEX(Firms!$I$5:$I$1004,$T166)="","",INDEX(Firms!$I$5:$I$1004,$T166)),IF(INDEX('AFA Rates'!$H$5:$H$1004,$T166)="","",INDEX('AFA Rates'!$H$5:$H$1004,$T166))))</f>
        <v/>
      </c>
      <c r="K166" s="50">
        <f>IF($T166="","",IF($S166="S",IF(INDEX(Firms!$J$5:$J$1004,$T166)="","",INDEX(Firms!$J$5:$J$1004,$T166)),IF(INDEX('AFA Rates'!$I$5:$I$1004,$T166)="","",INDEX('AFA Rates'!$I$5:$I$1004,$T166))))</f>
        <v/>
      </c>
      <c r="L166" s="50">
        <f>IF($T166="","",IF($S166="S",IF(INDEX(Firms!$K$5:$K$1004,$T166)="","",INDEX(Firms!$K$5:$K$1004,$T166)),IF(INDEX('AFA Rates'!$J$5:$J$1004,$T166)="","",INDEX('AFA Rates'!$J$5:$J$1004,$T166))))</f>
        <v/>
      </c>
      <c r="M166" s="50">
        <f>IF($T166="","",IF($S166="S",IF(INDEX(Firms!$L$5:$L$1004,$T166)="","",INDEX(Firms!$L$5:$L$1004,$T166)),IF(INDEX('AFA Rates'!$K$5:$K$1004,$T166)="","",INDEX('AFA Rates'!$K$5:$K$1004,$T166))))</f>
        <v/>
      </c>
      <c r="N166" s="50">
        <f>IF($T166="","",IF($S166="S",IF(INDEX(Firms!$M$5:$M$1004,$T166)="","",INDEX(Firms!$M$5:$M$1004,$T166)),IF(INDEX('AFA Rates'!$L$5:$L$1004,$T166)="","",INDEX('AFA Rates'!$L$5:$L$1004,$T166))))</f>
        <v/>
      </c>
      <c r="O166" s="78">
        <f>IF(OR($T166="",$U166=""),"",IF(INDEX(Firms!$C$5:$C$1004,$U166)="","",INDEX(Firms!$C$5:$C$1004,$U166)))</f>
        <v/>
      </c>
      <c r="P166" s="79">
        <f>IF(OR($T166="",$U166=""),"",IF(INDEX(Firms!$N$5:$N$1004,$U166)="","",INDEX(Firms!$N$5:$N$1004,$U166)))</f>
        <v/>
      </c>
      <c r="Q166" s="78">
        <f>IF($T166="","",IF($S166="S",IF(INDEX(Firms!$T$5:$T$1004,$T166)="","",INDEX(Firms!$T$5:$T$1004,$T166)),IF(INDEX('AFA Rates'!$M$5:$M$1004,$T166)="","",INDEX('AFA Rates'!$M$5:$M$1004,$T166))))</f>
        <v/>
      </c>
      <c r="S166">
        <f>IF(162&lt;=$S$2,"S",IF(162&lt;=$S$2+$T$2,"A",""))</f>
        <v/>
      </c>
      <c r="T166">
        <f>IF(S166="S",MATCH(162,Firms!$W$5:$W$1004,0),IF(S166="A",IFERROR(MATCH(162-$S$2,'AFA Rates'!$R$5:$R$1004,0),""),""))</f>
        <v/>
      </c>
      <c r="U166">
        <f>IF(S166="S",T166,IF(AND(S166="A",T166&lt;&gt;""),IFERROR(MATCH(INDEX('AFA Rates'!$A$5:$A$1004,T166),Firms!$A$5:$A$1004,0),""),""))</f>
        <v/>
      </c>
    </row>
    <row r="167">
      <c r="A167" s="78">
        <f>IF($T167="","",IF($S167="S",IF(INDEX(Firms!$A$5:$A$1004,$T167)="","",INDEX(Firms!$A$5:$A$1004,$T167)),IF(INDEX('AFA Rates'!$A$5:$A$1004,$T167)="","",INDEX('AFA Rates'!$A$5:$A$1004,$T167))))</f>
        <v/>
      </c>
      <c r="B167" s="79">
        <f>IF(OR($T167="",$U167=""),IF($T167="","","Not on Firms tab"),INDEX(Firms!$B$5:$B$1004,$U167)&amp;"")</f>
        <v/>
      </c>
      <c r="C167" s="78">
        <f>IF($T167="","",IF($S167="S","Standard",INDEX('AFA Rates'!$B$5:$B$1004,$T167)&amp;""))</f>
        <v/>
      </c>
      <c r="D167" s="88">
        <f>IF($T167="","",IF($S167="S",IF(INDEX(Firms!$E$5:$E$1004,$T167)="","",INDEX(Firms!$E$5:$E$1004,$T167)),IF(INDEX('AFA Rates'!$C$5:$C$1004,$T167)="","",INDEX('AFA Rates'!$C$5:$C$1004,$T167))))</f>
        <v/>
      </c>
      <c r="E167" s="88">
        <f>IF($T167="","",IF($S167="S",IF(""="","",""),IF(INDEX('AFA Rates'!$D$5:$D$1004,$T167)="","",INDEX('AFA Rates'!$D$5:$D$1004,$T167))))</f>
        <v/>
      </c>
      <c r="F167" s="79">
        <f>IF($T167="","",IF($S167="S",IF(INDEX(Firms!$O$5:$O$1004,$T167)="","",INDEX(Firms!$O$5:$O$1004,$T167)),IF(INDEX('AFA Rates'!$O$5:$O$1004,$T167)="","",INDEX('AFA Rates'!$O$5:$O$1004,$T167))))</f>
        <v/>
      </c>
      <c r="G167" s="50">
        <f>IF($T167="","",IF($S167="S",IF(INDEX(Firms!$F$5:$F$1004,$T167)="","",INDEX(Firms!$F$5:$F$1004,$T167)),IF(INDEX('AFA Rates'!$E$5:$E$1004,$T167)="","",INDEX('AFA Rates'!$E$5:$E$1004,$T167))))</f>
        <v/>
      </c>
      <c r="H167" s="50">
        <f>IF($T167="","",IF($S167="S",IF(INDEX(Firms!$G$5:$G$1004,$T167)="","",INDEX(Firms!$G$5:$G$1004,$T167)),IF(INDEX('AFA Rates'!$F$5:$F$1004,$T167)="","",INDEX('AFA Rates'!$F$5:$F$1004,$T167))))</f>
        <v/>
      </c>
      <c r="I167" s="50">
        <f>IF($T167="","",IF($S167="S",IF(INDEX(Firms!$H$5:$H$1004,$T167)="","",INDEX(Firms!$H$5:$H$1004,$T167)),IF(INDEX('AFA Rates'!$G$5:$G$1004,$T167)="","",INDEX('AFA Rates'!$G$5:$G$1004,$T167))))</f>
        <v/>
      </c>
      <c r="J167" s="50">
        <f>IF($T167="","",IF($S167="S",IF(INDEX(Firms!$I$5:$I$1004,$T167)="","",INDEX(Firms!$I$5:$I$1004,$T167)),IF(INDEX('AFA Rates'!$H$5:$H$1004,$T167)="","",INDEX('AFA Rates'!$H$5:$H$1004,$T167))))</f>
        <v/>
      </c>
      <c r="K167" s="50">
        <f>IF($T167="","",IF($S167="S",IF(INDEX(Firms!$J$5:$J$1004,$T167)="","",INDEX(Firms!$J$5:$J$1004,$T167)),IF(INDEX('AFA Rates'!$I$5:$I$1004,$T167)="","",INDEX('AFA Rates'!$I$5:$I$1004,$T167))))</f>
        <v/>
      </c>
      <c r="L167" s="50">
        <f>IF($T167="","",IF($S167="S",IF(INDEX(Firms!$K$5:$K$1004,$T167)="","",INDEX(Firms!$K$5:$K$1004,$T167)),IF(INDEX('AFA Rates'!$J$5:$J$1004,$T167)="","",INDEX('AFA Rates'!$J$5:$J$1004,$T167))))</f>
        <v/>
      </c>
      <c r="M167" s="50">
        <f>IF($T167="","",IF($S167="S",IF(INDEX(Firms!$L$5:$L$1004,$T167)="","",INDEX(Firms!$L$5:$L$1004,$T167)),IF(INDEX('AFA Rates'!$K$5:$K$1004,$T167)="","",INDEX('AFA Rates'!$K$5:$K$1004,$T167))))</f>
        <v/>
      </c>
      <c r="N167" s="50">
        <f>IF($T167="","",IF($S167="S",IF(INDEX(Firms!$M$5:$M$1004,$T167)="","",INDEX(Firms!$M$5:$M$1004,$T167)),IF(INDEX('AFA Rates'!$L$5:$L$1004,$T167)="","",INDEX('AFA Rates'!$L$5:$L$1004,$T167))))</f>
        <v/>
      </c>
      <c r="O167" s="78">
        <f>IF(OR($T167="",$U167=""),"",IF(INDEX(Firms!$C$5:$C$1004,$U167)="","",INDEX(Firms!$C$5:$C$1004,$U167)))</f>
        <v/>
      </c>
      <c r="P167" s="79">
        <f>IF(OR($T167="",$U167=""),"",IF(INDEX(Firms!$N$5:$N$1004,$U167)="","",INDEX(Firms!$N$5:$N$1004,$U167)))</f>
        <v/>
      </c>
      <c r="Q167" s="78">
        <f>IF($T167="","",IF($S167="S",IF(INDEX(Firms!$T$5:$T$1004,$T167)="","",INDEX(Firms!$T$5:$T$1004,$T167)),IF(INDEX('AFA Rates'!$M$5:$M$1004,$T167)="","",INDEX('AFA Rates'!$M$5:$M$1004,$T167))))</f>
        <v/>
      </c>
      <c r="S167">
        <f>IF(163&lt;=$S$2,"S",IF(163&lt;=$S$2+$T$2,"A",""))</f>
        <v/>
      </c>
      <c r="T167">
        <f>IF(S167="S",MATCH(163,Firms!$W$5:$W$1004,0),IF(S167="A",IFERROR(MATCH(163-$S$2,'AFA Rates'!$R$5:$R$1004,0),""),""))</f>
        <v/>
      </c>
      <c r="U167">
        <f>IF(S167="S",T167,IF(AND(S167="A",T167&lt;&gt;""),IFERROR(MATCH(INDEX('AFA Rates'!$A$5:$A$1004,T167),Firms!$A$5:$A$1004,0),""),""))</f>
        <v/>
      </c>
    </row>
    <row r="168">
      <c r="A168" s="78">
        <f>IF($T168="","",IF($S168="S",IF(INDEX(Firms!$A$5:$A$1004,$T168)="","",INDEX(Firms!$A$5:$A$1004,$T168)),IF(INDEX('AFA Rates'!$A$5:$A$1004,$T168)="","",INDEX('AFA Rates'!$A$5:$A$1004,$T168))))</f>
        <v/>
      </c>
      <c r="B168" s="79">
        <f>IF(OR($T168="",$U168=""),IF($T168="","","Not on Firms tab"),INDEX(Firms!$B$5:$B$1004,$U168)&amp;"")</f>
        <v/>
      </c>
      <c r="C168" s="78">
        <f>IF($T168="","",IF($S168="S","Standard",INDEX('AFA Rates'!$B$5:$B$1004,$T168)&amp;""))</f>
        <v/>
      </c>
      <c r="D168" s="88">
        <f>IF($T168="","",IF($S168="S",IF(INDEX(Firms!$E$5:$E$1004,$T168)="","",INDEX(Firms!$E$5:$E$1004,$T168)),IF(INDEX('AFA Rates'!$C$5:$C$1004,$T168)="","",INDEX('AFA Rates'!$C$5:$C$1004,$T168))))</f>
        <v/>
      </c>
      <c r="E168" s="88">
        <f>IF($T168="","",IF($S168="S",IF(""="","",""),IF(INDEX('AFA Rates'!$D$5:$D$1004,$T168)="","",INDEX('AFA Rates'!$D$5:$D$1004,$T168))))</f>
        <v/>
      </c>
      <c r="F168" s="79">
        <f>IF($T168="","",IF($S168="S",IF(INDEX(Firms!$O$5:$O$1004,$T168)="","",INDEX(Firms!$O$5:$O$1004,$T168)),IF(INDEX('AFA Rates'!$O$5:$O$1004,$T168)="","",INDEX('AFA Rates'!$O$5:$O$1004,$T168))))</f>
        <v/>
      </c>
      <c r="G168" s="50">
        <f>IF($T168="","",IF($S168="S",IF(INDEX(Firms!$F$5:$F$1004,$T168)="","",INDEX(Firms!$F$5:$F$1004,$T168)),IF(INDEX('AFA Rates'!$E$5:$E$1004,$T168)="","",INDEX('AFA Rates'!$E$5:$E$1004,$T168))))</f>
        <v/>
      </c>
      <c r="H168" s="50">
        <f>IF($T168="","",IF($S168="S",IF(INDEX(Firms!$G$5:$G$1004,$T168)="","",INDEX(Firms!$G$5:$G$1004,$T168)),IF(INDEX('AFA Rates'!$F$5:$F$1004,$T168)="","",INDEX('AFA Rates'!$F$5:$F$1004,$T168))))</f>
        <v/>
      </c>
      <c r="I168" s="50">
        <f>IF($T168="","",IF($S168="S",IF(INDEX(Firms!$H$5:$H$1004,$T168)="","",INDEX(Firms!$H$5:$H$1004,$T168)),IF(INDEX('AFA Rates'!$G$5:$G$1004,$T168)="","",INDEX('AFA Rates'!$G$5:$G$1004,$T168))))</f>
        <v/>
      </c>
      <c r="J168" s="50">
        <f>IF($T168="","",IF($S168="S",IF(INDEX(Firms!$I$5:$I$1004,$T168)="","",INDEX(Firms!$I$5:$I$1004,$T168)),IF(INDEX('AFA Rates'!$H$5:$H$1004,$T168)="","",INDEX('AFA Rates'!$H$5:$H$1004,$T168))))</f>
        <v/>
      </c>
      <c r="K168" s="50">
        <f>IF($T168="","",IF($S168="S",IF(INDEX(Firms!$J$5:$J$1004,$T168)="","",INDEX(Firms!$J$5:$J$1004,$T168)),IF(INDEX('AFA Rates'!$I$5:$I$1004,$T168)="","",INDEX('AFA Rates'!$I$5:$I$1004,$T168))))</f>
        <v/>
      </c>
      <c r="L168" s="50">
        <f>IF($T168="","",IF($S168="S",IF(INDEX(Firms!$K$5:$K$1004,$T168)="","",INDEX(Firms!$K$5:$K$1004,$T168)),IF(INDEX('AFA Rates'!$J$5:$J$1004,$T168)="","",INDEX('AFA Rates'!$J$5:$J$1004,$T168))))</f>
        <v/>
      </c>
      <c r="M168" s="50">
        <f>IF($T168="","",IF($S168="S",IF(INDEX(Firms!$L$5:$L$1004,$T168)="","",INDEX(Firms!$L$5:$L$1004,$T168)),IF(INDEX('AFA Rates'!$K$5:$K$1004,$T168)="","",INDEX('AFA Rates'!$K$5:$K$1004,$T168))))</f>
        <v/>
      </c>
      <c r="N168" s="50">
        <f>IF($T168="","",IF($S168="S",IF(INDEX(Firms!$M$5:$M$1004,$T168)="","",INDEX(Firms!$M$5:$M$1004,$T168)),IF(INDEX('AFA Rates'!$L$5:$L$1004,$T168)="","",INDEX('AFA Rates'!$L$5:$L$1004,$T168))))</f>
        <v/>
      </c>
      <c r="O168" s="78">
        <f>IF(OR($T168="",$U168=""),"",IF(INDEX(Firms!$C$5:$C$1004,$U168)="","",INDEX(Firms!$C$5:$C$1004,$U168)))</f>
        <v/>
      </c>
      <c r="P168" s="79">
        <f>IF(OR($T168="",$U168=""),"",IF(INDEX(Firms!$N$5:$N$1004,$U168)="","",INDEX(Firms!$N$5:$N$1004,$U168)))</f>
        <v/>
      </c>
      <c r="Q168" s="78">
        <f>IF($T168="","",IF($S168="S",IF(INDEX(Firms!$T$5:$T$1004,$T168)="","",INDEX(Firms!$T$5:$T$1004,$T168)),IF(INDEX('AFA Rates'!$M$5:$M$1004,$T168)="","",INDEX('AFA Rates'!$M$5:$M$1004,$T168))))</f>
        <v/>
      </c>
      <c r="S168">
        <f>IF(164&lt;=$S$2,"S",IF(164&lt;=$S$2+$T$2,"A",""))</f>
        <v/>
      </c>
      <c r="T168">
        <f>IF(S168="S",MATCH(164,Firms!$W$5:$W$1004,0),IF(S168="A",IFERROR(MATCH(164-$S$2,'AFA Rates'!$R$5:$R$1004,0),""),""))</f>
        <v/>
      </c>
      <c r="U168">
        <f>IF(S168="S",T168,IF(AND(S168="A",T168&lt;&gt;""),IFERROR(MATCH(INDEX('AFA Rates'!$A$5:$A$1004,T168),Firms!$A$5:$A$1004,0),""),""))</f>
        <v/>
      </c>
    </row>
    <row r="169">
      <c r="A169" s="78">
        <f>IF($T169="","",IF($S169="S",IF(INDEX(Firms!$A$5:$A$1004,$T169)="","",INDEX(Firms!$A$5:$A$1004,$T169)),IF(INDEX('AFA Rates'!$A$5:$A$1004,$T169)="","",INDEX('AFA Rates'!$A$5:$A$1004,$T169))))</f>
        <v/>
      </c>
      <c r="B169" s="79">
        <f>IF(OR($T169="",$U169=""),IF($T169="","","Not on Firms tab"),INDEX(Firms!$B$5:$B$1004,$U169)&amp;"")</f>
        <v/>
      </c>
      <c r="C169" s="78">
        <f>IF($T169="","",IF($S169="S","Standard",INDEX('AFA Rates'!$B$5:$B$1004,$T169)&amp;""))</f>
        <v/>
      </c>
      <c r="D169" s="88">
        <f>IF($T169="","",IF($S169="S",IF(INDEX(Firms!$E$5:$E$1004,$T169)="","",INDEX(Firms!$E$5:$E$1004,$T169)),IF(INDEX('AFA Rates'!$C$5:$C$1004,$T169)="","",INDEX('AFA Rates'!$C$5:$C$1004,$T169))))</f>
        <v/>
      </c>
      <c r="E169" s="88">
        <f>IF($T169="","",IF($S169="S",IF(""="","",""),IF(INDEX('AFA Rates'!$D$5:$D$1004,$T169)="","",INDEX('AFA Rates'!$D$5:$D$1004,$T169))))</f>
        <v/>
      </c>
      <c r="F169" s="79">
        <f>IF($T169="","",IF($S169="S",IF(INDEX(Firms!$O$5:$O$1004,$T169)="","",INDEX(Firms!$O$5:$O$1004,$T169)),IF(INDEX('AFA Rates'!$O$5:$O$1004,$T169)="","",INDEX('AFA Rates'!$O$5:$O$1004,$T169))))</f>
        <v/>
      </c>
      <c r="G169" s="50">
        <f>IF($T169="","",IF($S169="S",IF(INDEX(Firms!$F$5:$F$1004,$T169)="","",INDEX(Firms!$F$5:$F$1004,$T169)),IF(INDEX('AFA Rates'!$E$5:$E$1004,$T169)="","",INDEX('AFA Rates'!$E$5:$E$1004,$T169))))</f>
        <v/>
      </c>
      <c r="H169" s="50">
        <f>IF($T169="","",IF($S169="S",IF(INDEX(Firms!$G$5:$G$1004,$T169)="","",INDEX(Firms!$G$5:$G$1004,$T169)),IF(INDEX('AFA Rates'!$F$5:$F$1004,$T169)="","",INDEX('AFA Rates'!$F$5:$F$1004,$T169))))</f>
        <v/>
      </c>
      <c r="I169" s="50">
        <f>IF($T169="","",IF($S169="S",IF(INDEX(Firms!$H$5:$H$1004,$T169)="","",INDEX(Firms!$H$5:$H$1004,$T169)),IF(INDEX('AFA Rates'!$G$5:$G$1004,$T169)="","",INDEX('AFA Rates'!$G$5:$G$1004,$T169))))</f>
        <v/>
      </c>
      <c r="J169" s="50">
        <f>IF($T169="","",IF($S169="S",IF(INDEX(Firms!$I$5:$I$1004,$T169)="","",INDEX(Firms!$I$5:$I$1004,$T169)),IF(INDEX('AFA Rates'!$H$5:$H$1004,$T169)="","",INDEX('AFA Rates'!$H$5:$H$1004,$T169))))</f>
        <v/>
      </c>
      <c r="K169" s="50">
        <f>IF($T169="","",IF($S169="S",IF(INDEX(Firms!$J$5:$J$1004,$T169)="","",INDEX(Firms!$J$5:$J$1004,$T169)),IF(INDEX('AFA Rates'!$I$5:$I$1004,$T169)="","",INDEX('AFA Rates'!$I$5:$I$1004,$T169))))</f>
        <v/>
      </c>
      <c r="L169" s="50">
        <f>IF($T169="","",IF($S169="S",IF(INDEX(Firms!$K$5:$K$1004,$T169)="","",INDEX(Firms!$K$5:$K$1004,$T169)),IF(INDEX('AFA Rates'!$J$5:$J$1004,$T169)="","",INDEX('AFA Rates'!$J$5:$J$1004,$T169))))</f>
        <v/>
      </c>
      <c r="M169" s="50">
        <f>IF($T169="","",IF($S169="S",IF(INDEX(Firms!$L$5:$L$1004,$T169)="","",INDEX(Firms!$L$5:$L$1004,$T169)),IF(INDEX('AFA Rates'!$K$5:$K$1004,$T169)="","",INDEX('AFA Rates'!$K$5:$K$1004,$T169))))</f>
        <v/>
      </c>
      <c r="N169" s="50">
        <f>IF($T169="","",IF($S169="S",IF(INDEX(Firms!$M$5:$M$1004,$T169)="","",INDEX(Firms!$M$5:$M$1004,$T169)),IF(INDEX('AFA Rates'!$L$5:$L$1004,$T169)="","",INDEX('AFA Rates'!$L$5:$L$1004,$T169))))</f>
        <v/>
      </c>
      <c r="O169" s="78">
        <f>IF(OR($T169="",$U169=""),"",IF(INDEX(Firms!$C$5:$C$1004,$U169)="","",INDEX(Firms!$C$5:$C$1004,$U169)))</f>
        <v/>
      </c>
      <c r="P169" s="79">
        <f>IF(OR($T169="",$U169=""),"",IF(INDEX(Firms!$N$5:$N$1004,$U169)="","",INDEX(Firms!$N$5:$N$1004,$U169)))</f>
        <v/>
      </c>
      <c r="Q169" s="78">
        <f>IF($T169="","",IF($S169="S",IF(INDEX(Firms!$T$5:$T$1004,$T169)="","",INDEX(Firms!$T$5:$T$1004,$T169)),IF(INDEX('AFA Rates'!$M$5:$M$1004,$T169)="","",INDEX('AFA Rates'!$M$5:$M$1004,$T169))))</f>
        <v/>
      </c>
      <c r="S169">
        <f>IF(165&lt;=$S$2,"S",IF(165&lt;=$S$2+$T$2,"A",""))</f>
        <v/>
      </c>
      <c r="T169">
        <f>IF(S169="S",MATCH(165,Firms!$W$5:$W$1004,0),IF(S169="A",IFERROR(MATCH(165-$S$2,'AFA Rates'!$R$5:$R$1004,0),""),""))</f>
        <v/>
      </c>
      <c r="U169">
        <f>IF(S169="S",T169,IF(AND(S169="A",T169&lt;&gt;""),IFERROR(MATCH(INDEX('AFA Rates'!$A$5:$A$1004,T169),Firms!$A$5:$A$1004,0),""),""))</f>
        <v/>
      </c>
    </row>
    <row r="170">
      <c r="A170" s="78">
        <f>IF($T170="","",IF($S170="S",IF(INDEX(Firms!$A$5:$A$1004,$T170)="","",INDEX(Firms!$A$5:$A$1004,$T170)),IF(INDEX('AFA Rates'!$A$5:$A$1004,$T170)="","",INDEX('AFA Rates'!$A$5:$A$1004,$T170))))</f>
        <v/>
      </c>
      <c r="B170" s="79">
        <f>IF(OR($T170="",$U170=""),IF($T170="","","Not on Firms tab"),INDEX(Firms!$B$5:$B$1004,$U170)&amp;"")</f>
        <v/>
      </c>
      <c r="C170" s="78">
        <f>IF($T170="","",IF($S170="S","Standard",INDEX('AFA Rates'!$B$5:$B$1004,$T170)&amp;""))</f>
        <v/>
      </c>
      <c r="D170" s="88">
        <f>IF($T170="","",IF($S170="S",IF(INDEX(Firms!$E$5:$E$1004,$T170)="","",INDEX(Firms!$E$5:$E$1004,$T170)),IF(INDEX('AFA Rates'!$C$5:$C$1004,$T170)="","",INDEX('AFA Rates'!$C$5:$C$1004,$T170))))</f>
        <v/>
      </c>
      <c r="E170" s="88">
        <f>IF($T170="","",IF($S170="S",IF(""="","",""),IF(INDEX('AFA Rates'!$D$5:$D$1004,$T170)="","",INDEX('AFA Rates'!$D$5:$D$1004,$T170))))</f>
        <v/>
      </c>
      <c r="F170" s="79">
        <f>IF($T170="","",IF($S170="S",IF(INDEX(Firms!$O$5:$O$1004,$T170)="","",INDEX(Firms!$O$5:$O$1004,$T170)),IF(INDEX('AFA Rates'!$O$5:$O$1004,$T170)="","",INDEX('AFA Rates'!$O$5:$O$1004,$T170))))</f>
        <v/>
      </c>
      <c r="G170" s="50">
        <f>IF($T170="","",IF($S170="S",IF(INDEX(Firms!$F$5:$F$1004,$T170)="","",INDEX(Firms!$F$5:$F$1004,$T170)),IF(INDEX('AFA Rates'!$E$5:$E$1004,$T170)="","",INDEX('AFA Rates'!$E$5:$E$1004,$T170))))</f>
        <v/>
      </c>
      <c r="H170" s="50">
        <f>IF($T170="","",IF($S170="S",IF(INDEX(Firms!$G$5:$G$1004,$T170)="","",INDEX(Firms!$G$5:$G$1004,$T170)),IF(INDEX('AFA Rates'!$F$5:$F$1004,$T170)="","",INDEX('AFA Rates'!$F$5:$F$1004,$T170))))</f>
        <v/>
      </c>
      <c r="I170" s="50">
        <f>IF($T170="","",IF($S170="S",IF(INDEX(Firms!$H$5:$H$1004,$T170)="","",INDEX(Firms!$H$5:$H$1004,$T170)),IF(INDEX('AFA Rates'!$G$5:$G$1004,$T170)="","",INDEX('AFA Rates'!$G$5:$G$1004,$T170))))</f>
        <v/>
      </c>
      <c r="J170" s="50">
        <f>IF($T170="","",IF($S170="S",IF(INDEX(Firms!$I$5:$I$1004,$T170)="","",INDEX(Firms!$I$5:$I$1004,$T170)),IF(INDEX('AFA Rates'!$H$5:$H$1004,$T170)="","",INDEX('AFA Rates'!$H$5:$H$1004,$T170))))</f>
        <v/>
      </c>
      <c r="K170" s="50">
        <f>IF($T170="","",IF($S170="S",IF(INDEX(Firms!$J$5:$J$1004,$T170)="","",INDEX(Firms!$J$5:$J$1004,$T170)),IF(INDEX('AFA Rates'!$I$5:$I$1004,$T170)="","",INDEX('AFA Rates'!$I$5:$I$1004,$T170))))</f>
        <v/>
      </c>
      <c r="L170" s="50">
        <f>IF($T170="","",IF($S170="S",IF(INDEX(Firms!$K$5:$K$1004,$T170)="","",INDEX(Firms!$K$5:$K$1004,$T170)),IF(INDEX('AFA Rates'!$J$5:$J$1004,$T170)="","",INDEX('AFA Rates'!$J$5:$J$1004,$T170))))</f>
        <v/>
      </c>
      <c r="M170" s="50">
        <f>IF($T170="","",IF($S170="S",IF(INDEX(Firms!$L$5:$L$1004,$T170)="","",INDEX(Firms!$L$5:$L$1004,$T170)),IF(INDEX('AFA Rates'!$K$5:$K$1004,$T170)="","",INDEX('AFA Rates'!$K$5:$K$1004,$T170))))</f>
        <v/>
      </c>
      <c r="N170" s="50">
        <f>IF($T170="","",IF($S170="S",IF(INDEX(Firms!$M$5:$M$1004,$T170)="","",INDEX(Firms!$M$5:$M$1004,$T170)),IF(INDEX('AFA Rates'!$L$5:$L$1004,$T170)="","",INDEX('AFA Rates'!$L$5:$L$1004,$T170))))</f>
        <v/>
      </c>
      <c r="O170" s="78">
        <f>IF(OR($T170="",$U170=""),"",IF(INDEX(Firms!$C$5:$C$1004,$U170)="","",INDEX(Firms!$C$5:$C$1004,$U170)))</f>
        <v/>
      </c>
      <c r="P170" s="79">
        <f>IF(OR($T170="",$U170=""),"",IF(INDEX(Firms!$N$5:$N$1004,$U170)="","",INDEX(Firms!$N$5:$N$1004,$U170)))</f>
        <v/>
      </c>
      <c r="Q170" s="78">
        <f>IF($T170="","",IF($S170="S",IF(INDEX(Firms!$T$5:$T$1004,$T170)="","",INDEX(Firms!$T$5:$T$1004,$T170)),IF(INDEX('AFA Rates'!$M$5:$M$1004,$T170)="","",INDEX('AFA Rates'!$M$5:$M$1004,$T170))))</f>
        <v/>
      </c>
      <c r="S170">
        <f>IF(166&lt;=$S$2,"S",IF(166&lt;=$S$2+$T$2,"A",""))</f>
        <v/>
      </c>
      <c r="T170">
        <f>IF(S170="S",MATCH(166,Firms!$W$5:$W$1004,0),IF(S170="A",IFERROR(MATCH(166-$S$2,'AFA Rates'!$R$5:$R$1004,0),""),""))</f>
        <v/>
      </c>
      <c r="U170">
        <f>IF(S170="S",T170,IF(AND(S170="A",T170&lt;&gt;""),IFERROR(MATCH(INDEX('AFA Rates'!$A$5:$A$1004,T170),Firms!$A$5:$A$1004,0),""),""))</f>
        <v/>
      </c>
    </row>
    <row r="171">
      <c r="A171" s="78">
        <f>IF($T171="","",IF($S171="S",IF(INDEX(Firms!$A$5:$A$1004,$T171)="","",INDEX(Firms!$A$5:$A$1004,$T171)),IF(INDEX('AFA Rates'!$A$5:$A$1004,$T171)="","",INDEX('AFA Rates'!$A$5:$A$1004,$T171))))</f>
        <v/>
      </c>
      <c r="B171" s="79">
        <f>IF(OR($T171="",$U171=""),IF($T171="","","Not on Firms tab"),INDEX(Firms!$B$5:$B$1004,$U171)&amp;"")</f>
        <v/>
      </c>
      <c r="C171" s="78">
        <f>IF($T171="","",IF($S171="S","Standard",INDEX('AFA Rates'!$B$5:$B$1004,$T171)&amp;""))</f>
        <v/>
      </c>
      <c r="D171" s="88">
        <f>IF($T171="","",IF($S171="S",IF(INDEX(Firms!$E$5:$E$1004,$T171)="","",INDEX(Firms!$E$5:$E$1004,$T171)),IF(INDEX('AFA Rates'!$C$5:$C$1004,$T171)="","",INDEX('AFA Rates'!$C$5:$C$1004,$T171))))</f>
        <v/>
      </c>
      <c r="E171" s="88">
        <f>IF($T171="","",IF($S171="S",IF(""="","",""),IF(INDEX('AFA Rates'!$D$5:$D$1004,$T171)="","",INDEX('AFA Rates'!$D$5:$D$1004,$T171))))</f>
        <v/>
      </c>
      <c r="F171" s="79">
        <f>IF($T171="","",IF($S171="S",IF(INDEX(Firms!$O$5:$O$1004,$T171)="","",INDEX(Firms!$O$5:$O$1004,$T171)),IF(INDEX('AFA Rates'!$O$5:$O$1004,$T171)="","",INDEX('AFA Rates'!$O$5:$O$1004,$T171))))</f>
        <v/>
      </c>
      <c r="G171" s="50">
        <f>IF($T171="","",IF($S171="S",IF(INDEX(Firms!$F$5:$F$1004,$T171)="","",INDEX(Firms!$F$5:$F$1004,$T171)),IF(INDEX('AFA Rates'!$E$5:$E$1004,$T171)="","",INDEX('AFA Rates'!$E$5:$E$1004,$T171))))</f>
        <v/>
      </c>
      <c r="H171" s="50">
        <f>IF($T171="","",IF($S171="S",IF(INDEX(Firms!$G$5:$G$1004,$T171)="","",INDEX(Firms!$G$5:$G$1004,$T171)),IF(INDEX('AFA Rates'!$F$5:$F$1004,$T171)="","",INDEX('AFA Rates'!$F$5:$F$1004,$T171))))</f>
        <v/>
      </c>
      <c r="I171" s="50">
        <f>IF($T171="","",IF($S171="S",IF(INDEX(Firms!$H$5:$H$1004,$T171)="","",INDEX(Firms!$H$5:$H$1004,$T171)),IF(INDEX('AFA Rates'!$G$5:$G$1004,$T171)="","",INDEX('AFA Rates'!$G$5:$G$1004,$T171))))</f>
        <v/>
      </c>
      <c r="J171" s="50">
        <f>IF($T171="","",IF($S171="S",IF(INDEX(Firms!$I$5:$I$1004,$T171)="","",INDEX(Firms!$I$5:$I$1004,$T171)),IF(INDEX('AFA Rates'!$H$5:$H$1004,$T171)="","",INDEX('AFA Rates'!$H$5:$H$1004,$T171))))</f>
        <v/>
      </c>
      <c r="K171" s="50">
        <f>IF($T171="","",IF($S171="S",IF(INDEX(Firms!$J$5:$J$1004,$T171)="","",INDEX(Firms!$J$5:$J$1004,$T171)),IF(INDEX('AFA Rates'!$I$5:$I$1004,$T171)="","",INDEX('AFA Rates'!$I$5:$I$1004,$T171))))</f>
        <v/>
      </c>
      <c r="L171" s="50">
        <f>IF($T171="","",IF($S171="S",IF(INDEX(Firms!$K$5:$K$1004,$T171)="","",INDEX(Firms!$K$5:$K$1004,$T171)),IF(INDEX('AFA Rates'!$J$5:$J$1004,$T171)="","",INDEX('AFA Rates'!$J$5:$J$1004,$T171))))</f>
        <v/>
      </c>
      <c r="M171" s="50">
        <f>IF($T171="","",IF($S171="S",IF(INDEX(Firms!$L$5:$L$1004,$T171)="","",INDEX(Firms!$L$5:$L$1004,$T171)),IF(INDEX('AFA Rates'!$K$5:$K$1004,$T171)="","",INDEX('AFA Rates'!$K$5:$K$1004,$T171))))</f>
        <v/>
      </c>
      <c r="N171" s="50">
        <f>IF($T171="","",IF($S171="S",IF(INDEX(Firms!$M$5:$M$1004,$T171)="","",INDEX(Firms!$M$5:$M$1004,$T171)),IF(INDEX('AFA Rates'!$L$5:$L$1004,$T171)="","",INDEX('AFA Rates'!$L$5:$L$1004,$T171))))</f>
        <v/>
      </c>
      <c r="O171" s="78">
        <f>IF(OR($T171="",$U171=""),"",IF(INDEX(Firms!$C$5:$C$1004,$U171)="","",INDEX(Firms!$C$5:$C$1004,$U171)))</f>
        <v/>
      </c>
      <c r="P171" s="79">
        <f>IF(OR($T171="",$U171=""),"",IF(INDEX(Firms!$N$5:$N$1004,$U171)="","",INDEX(Firms!$N$5:$N$1004,$U171)))</f>
        <v/>
      </c>
      <c r="Q171" s="78">
        <f>IF($T171="","",IF($S171="S",IF(INDEX(Firms!$T$5:$T$1004,$T171)="","",INDEX(Firms!$T$5:$T$1004,$T171)),IF(INDEX('AFA Rates'!$M$5:$M$1004,$T171)="","",INDEX('AFA Rates'!$M$5:$M$1004,$T171))))</f>
        <v/>
      </c>
      <c r="S171">
        <f>IF(167&lt;=$S$2,"S",IF(167&lt;=$S$2+$T$2,"A",""))</f>
        <v/>
      </c>
      <c r="T171">
        <f>IF(S171="S",MATCH(167,Firms!$W$5:$W$1004,0),IF(S171="A",IFERROR(MATCH(167-$S$2,'AFA Rates'!$R$5:$R$1004,0),""),""))</f>
        <v/>
      </c>
      <c r="U171">
        <f>IF(S171="S",T171,IF(AND(S171="A",T171&lt;&gt;""),IFERROR(MATCH(INDEX('AFA Rates'!$A$5:$A$1004,T171),Firms!$A$5:$A$1004,0),""),""))</f>
        <v/>
      </c>
    </row>
    <row r="172">
      <c r="A172" s="78">
        <f>IF($T172="","",IF($S172="S",IF(INDEX(Firms!$A$5:$A$1004,$T172)="","",INDEX(Firms!$A$5:$A$1004,$T172)),IF(INDEX('AFA Rates'!$A$5:$A$1004,$T172)="","",INDEX('AFA Rates'!$A$5:$A$1004,$T172))))</f>
        <v/>
      </c>
      <c r="B172" s="79">
        <f>IF(OR($T172="",$U172=""),IF($T172="","","Not on Firms tab"),INDEX(Firms!$B$5:$B$1004,$U172)&amp;"")</f>
        <v/>
      </c>
      <c r="C172" s="78">
        <f>IF($T172="","",IF($S172="S","Standard",INDEX('AFA Rates'!$B$5:$B$1004,$T172)&amp;""))</f>
        <v/>
      </c>
      <c r="D172" s="88">
        <f>IF($T172="","",IF($S172="S",IF(INDEX(Firms!$E$5:$E$1004,$T172)="","",INDEX(Firms!$E$5:$E$1004,$T172)),IF(INDEX('AFA Rates'!$C$5:$C$1004,$T172)="","",INDEX('AFA Rates'!$C$5:$C$1004,$T172))))</f>
        <v/>
      </c>
      <c r="E172" s="88">
        <f>IF($T172="","",IF($S172="S",IF(""="","",""),IF(INDEX('AFA Rates'!$D$5:$D$1004,$T172)="","",INDEX('AFA Rates'!$D$5:$D$1004,$T172))))</f>
        <v/>
      </c>
      <c r="F172" s="79">
        <f>IF($T172="","",IF($S172="S",IF(INDEX(Firms!$O$5:$O$1004,$T172)="","",INDEX(Firms!$O$5:$O$1004,$T172)),IF(INDEX('AFA Rates'!$O$5:$O$1004,$T172)="","",INDEX('AFA Rates'!$O$5:$O$1004,$T172))))</f>
        <v/>
      </c>
      <c r="G172" s="50">
        <f>IF($T172="","",IF($S172="S",IF(INDEX(Firms!$F$5:$F$1004,$T172)="","",INDEX(Firms!$F$5:$F$1004,$T172)),IF(INDEX('AFA Rates'!$E$5:$E$1004,$T172)="","",INDEX('AFA Rates'!$E$5:$E$1004,$T172))))</f>
        <v/>
      </c>
      <c r="H172" s="50">
        <f>IF($T172="","",IF($S172="S",IF(INDEX(Firms!$G$5:$G$1004,$T172)="","",INDEX(Firms!$G$5:$G$1004,$T172)),IF(INDEX('AFA Rates'!$F$5:$F$1004,$T172)="","",INDEX('AFA Rates'!$F$5:$F$1004,$T172))))</f>
        <v/>
      </c>
      <c r="I172" s="50">
        <f>IF($T172="","",IF($S172="S",IF(INDEX(Firms!$H$5:$H$1004,$T172)="","",INDEX(Firms!$H$5:$H$1004,$T172)),IF(INDEX('AFA Rates'!$G$5:$G$1004,$T172)="","",INDEX('AFA Rates'!$G$5:$G$1004,$T172))))</f>
        <v/>
      </c>
      <c r="J172" s="50">
        <f>IF($T172="","",IF($S172="S",IF(INDEX(Firms!$I$5:$I$1004,$T172)="","",INDEX(Firms!$I$5:$I$1004,$T172)),IF(INDEX('AFA Rates'!$H$5:$H$1004,$T172)="","",INDEX('AFA Rates'!$H$5:$H$1004,$T172))))</f>
        <v/>
      </c>
      <c r="K172" s="50">
        <f>IF($T172="","",IF($S172="S",IF(INDEX(Firms!$J$5:$J$1004,$T172)="","",INDEX(Firms!$J$5:$J$1004,$T172)),IF(INDEX('AFA Rates'!$I$5:$I$1004,$T172)="","",INDEX('AFA Rates'!$I$5:$I$1004,$T172))))</f>
        <v/>
      </c>
      <c r="L172" s="50">
        <f>IF($T172="","",IF($S172="S",IF(INDEX(Firms!$K$5:$K$1004,$T172)="","",INDEX(Firms!$K$5:$K$1004,$T172)),IF(INDEX('AFA Rates'!$J$5:$J$1004,$T172)="","",INDEX('AFA Rates'!$J$5:$J$1004,$T172))))</f>
        <v/>
      </c>
      <c r="M172" s="50">
        <f>IF($T172="","",IF($S172="S",IF(INDEX(Firms!$L$5:$L$1004,$T172)="","",INDEX(Firms!$L$5:$L$1004,$T172)),IF(INDEX('AFA Rates'!$K$5:$K$1004,$T172)="","",INDEX('AFA Rates'!$K$5:$K$1004,$T172))))</f>
        <v/>
      </c>
      <c r="N172" s="50">
        <f>IF($T172="","",IF($S172="S",IF(INDEX(Firms!$M$5:$M$1004,$T172)="","",INDEX(Firms!$M$5:$M$1004,$T172)),IF(INDEX('AFA Rates'!$L$5:$L$1004,$T172)="","",INDEX('AFA Rates'!$L$5:$L$1004,$T172))))</f>
        <v/>
      </c>
      <c r="O172" s="78">
        <f>IF(OR($T172="",$U172=""),"",IF(INDEX(Firms!$C$5:$C$1004,$U172)="","",INDEX(Firms!$C$5:$C$1004,$U172)))</f>
        <v/>
      </c>
      <c r="P172" s="79">
        <f>IF(OR($T172="",$U172=""),"",IF(INDEX(Firms!$N$5:$N$1004,$U172)="","",INDEX(Firms!$N$5:$N$1004,$U172)))</f>
        <v/>
      </c>
      <c r="Q172" s="78">
        <f>IF($T172="","",IF($S172="S",IF(INDEX(Firms!$T$5:$T$1004,$T172)="","",INDEX(Firms!$T$5:$T$1004,$T172)),IF(INDEX('AFA Rates'!$M$5:$M$1004,$T172)="","",INDEX('AFA Rates'!$M$5:$M$1004,$T172))))</f>
        <v/>
      </c>
      <c r="S172">
        <f>IF(168&lt;=$S$2,"S",IF(168&lt;=$S$2+$T$2,"A",""))</f>
        <v/>
      </c>
      <c r="T172">
        <f>IF(S172="S",MATCH(168,Firms!$W$5:$W$1004,0),IF(S172="A",IFERROR(MATCH(168-$S$2,'AFA Rates'!$R$5:$R$1004,0),""),""))</f>
        <v/>
      </c>
      <c r="U172">
        <f>IF(S172="S",T172,IF(AND(S172="A",T172&lt;&gt;""),IFERROR(MATCH(INDEX('AFA Rates'!$A$5:$A$1004,T172),Firms!$A$5:$A$1004,0),""),""))</f>
        <v/>
      </c>
    </row>
    <row r="173">
      <c r="A173" s="78">
        <f>IF($T173="","",IF($S173="S",IF(INDEX(Firms!$A$5:$A$1004,$T173)="","",INDEX(Firms!$A$5:$A$1004,$T173)),IF(INDEX('AFA Rates'!$A$5:$A$1004,$T173)="","",INDEX('AFA Rates'!$A$5:$A$1004,$T173))))</f>
        <v/>
      </c>
      <c r="B173" s="79">
        <f>IF(OR($T173="",$U173=""),IF($T173="","","Not on Firms tab"),INDEX(Firms!$B$5:$B$1004,$U173)&amp;"")</f>
        <v/>
      </c>
      <c r="C173" s="78">
        <f>IF($T173="","",IF($S173="S","Standard",INDEX('AFA Rates'!$B$5:$B$1004,$T173)&amp;""))</f>
        <v/>
      </c>
      <c r="D173" s="88">
        <f>IF($T173="","",IF($S173="S",IF(INDEX(Firms!$E$5:$E$1004,$T173)="","",INDEX(Firms!$E$5:$E$1004,$T173)),IF(INDEX('AFA Rates'!$C$5:$C$1004,$T173)="","",INDEX('AFA Rates'!$C$5:$C$1004,$T173))))</f>
        <v/>
      </c>
      <c r="E173" s="88">
        <f>IF($T173="","",IF($S173="S",IF(""="","",""),IF(INDEX('AFA Rates'!$D$5:$D$1004,$T173)="","",INDEX('AFA Rates'!$D$5:$D$1004,$T173))))</f>
        <v/>
      </c>
      <c r="F173" s="79">
        <f>IF($T173="","",IF($S173="S",IF(INDEX(Firms!$O$5:$O$1004,$T173)="","",INDEX(Firms!$O$5:$O$1004,$T173)),IF(INDEX('AFA Rates'!$O$5:$O$1004,$T173)="","",INDEX('AFA Rates'!$O$5:$O$1004,$T173))))</f>
        <v/>
      </c>
      <c r="G173" s="50">
        <f>IF($T173="","",IF($S173="S",IF(INDEX(Firms!$F$5:$F$1004,$T173)="","",INDEX(Firms!$F$5:$F$1004,$T173)),IF(INDEX('AFA Rates'!$E$5:$E$1004,$T173)="","",INDEX('AFA Rates'!$E$5:$E$1004,$T173))))</f>
        <v/>
      </c>
      <c r="H173" s="50">
        <f>IF($T173="","",IF($S173="S",IF(INDEX(Firms!$G$5:$G$1004,$T173)="","",INDEX(Firms!$G$5:$G$1004,$T173)),IF(INDEX('AFA Rates'!$F$5:$F$1004,$T173)="","",INDEX('AFA Rates'!$F$5:$F$1004,$T173))))</f>
        <v/>
      </c>
      <c r="I173" s="50">
        <f>IF($T173="","",IF($S173="S",IF(INDEX(Firms!$H$5:$H$1004,$T173)="","",INDEX(Firms!$H$5:$H$1004,$T173)),IF(INDEX('AFA Rates'!$G$5:$G$1004,$T173)="","",INDEX('AFA Rates'!$G$5:$G$1004,$T173))))</f>
        <v/>
      </c>
      <c r="J173" s="50">
        <f>IF($T173="","",IF($S173="S",IF(INDEX(Firms!$I$5:$I$1004,$T173)="","",INDEX(Firms!$I$5:$I$1004,$T173)),IF(INDEX('AFA Rates'!$H$5:$H$1004,$T173)="","",INDEX('AFA Rates'!$H$5:$H$1004,$T173))))</f>
        <v/>
      </c>
      <c r="K173" s="50">
        <f>IF($T173="","",IF($S173="S",IF(INDEX(Firms!$J$5:$J$1004,$T173)="","",INDEX(Firms!$J$5:$J$1004,$T173)),IF(INDEX('AFA Rates'!$I$5:$I$1004,$T173)="","",INDEX('AFA Rates'!$I$5:$I$1004,$T173))))</f>
        <v/>
      </c>
      <c r="L173" s="50">
        <f>IF($T173="","",IF($S173="S",IF(INDEX(Firms!$K$5:$K$1004,$T173)="","",INDEX(Firms!$K$5:$K$1004,$T173)),IF(INDEX('AFA Rates'!$J$5:$J$1004,$T173)="","",INDEX('AFA Rates'!$J$5:$J$1004,$T173))))</f>
        <v/>
      </c>
      <c r="M173" s="50">
        <f>IF($T173="","",IF($S173="S",IF(INDEX(Firms!$L$5:$L$1004,$T173)="","",INDEX(Firms!$L$5:$L$1004,$T173)),IF(INDEX('AFA Rates'!$K$5:$K$1004,$T173)="","",INDEX('AFA Rates'!$K$5:$K$1004,$T173))))</f>
        <v/>
      </c>
      <c r="N173" s="50">
        <f>IF($T173="","",IF($S173="S",IF(INDEX(Firms!$M$5:$M$1004,$T173)="","",INDEX(Firms!$M$5:$M$1004,$T173)),IF(INDEX('AFA Rates'!$L$5:$L$1004,$T173)="","",INDEX('AFA Rates'!$L$5:$L$1004,$T173))))</f>
        <v/>
      </c>
      <c r="O173" s="78">
        <f>IF(OR($T173="",$U173=""),"",IF(INDEX(Firms!$C$5:$C$1004,$U173)="","",INDEX(Firms!$C$5:$C$1004,$U173)))</f>
        <v/>
      </c>
      <c r="P173" s="79">
        <f>IF(OR($T173="",$U173=""),"",IF(INDEX(Firms!$N$5:$N$1004,$U173)="","",INDEX(Firms!$N$5:$N$1004,$U173)))</f>
        <v/>
      </c>
      <c r="Q173" s="78">
        <f>IF($T173="","",IF($S173="S",IF(INDEX(Firms!$T$5:$T$1004,$T173)="","",INDEX(Firms!$T$5:$T$1004,$T173)),IF(INDEX('AFA Rates'!$M$5:$M$1004,$T173)="","",INDEX('AFA Rates'!$M$5:$M$1004,$T173))))</f>
        <v/>
      </c>
      <c r="S173">
        <f>IF(169&lt;=$S$2,"S",IF(169&lt;=$S$2+$T$2,"A",""))</f>
        <v/>
      </c>
      <c r="T173">
        <f>IF(S173="S",MATCH(169,Firms!$W$5:$W$1004,0),IF(S173="A",IFERROR(MATCH(169-$S$2,'AFA Rates'!$R$5:$R$1004,0),""),""))</f>
        <v/>
      </c>
      <c r="U173">
        <f>IF(S173="S",T173,IF(AND(S173="A",T173&lt;&gt;""),IFERROR(MATCH(INDEX('AFA Rates'!$A$5:$A$1004,T173),Firms!$A$5:$A$1004,0),""),""))</f>
        <v/>
      </c>
    </row>
    <row r="174">
      <c r="A174" s="78">
        <f>IF($T174="","",IF($S174="S",IF(INDEX(Firms!$A$5:$A$1004,$T174)="","",INDEX(Firms!$A$5:$A$1004,$T174)),IF(INDEX('AFA Rates'!$A$5:$A$1004,$T174)="","",INDEX('AFA Rates'!$A$5:$A$1004,$T174))))</f>
        <v/>
      </c>
      <c r="B174" s="79">
        <f>IF(OR($T174="",$U174=""),IF($T174="","","Not on Firms tab"),INDEX(Firms!$B$5:$B$1004,$U174)&amp;"")</f>
        <v/>
      </c>
      <c r="C174" s="78">
        <f>IF($T174="","",IF($S174="S","Standard",INDEX('AFA Rates'!$B$5:$B$1004,$T174)&amp;""))</f>
        <v/>
      </c>
      <c r="D174" s="88">
        <f>IF($T174="","",IF($S174="S",IF(INDEX(Firms!$E$5:$E$1004,$T174)="","",INDEX(Firms!$E$5:$E$1004,$T174)),IF(INDEX('AFA Rates'!$C$5:$C$1004,$T174)="","",INDEX('AFA Rates'!$C$5:$C$1004,$T174))))</f>
        <v/>
      </c>
      <c r="E174" s="88">
        <f>IF($T174="","",IF($S174="S",IF(""="","",""),IF(INDEX('AFA Rates'!$D$5:$D$1004,$T174)="","",INDEX('AFA Rates'!$D$5:$D$1004,$T174))))</f>
        <v/>
      </c>
      <c r="F174" s="79">
        <f>IF($T174="","",IF($S174="S",IF(INDEX(Firms!$O$5:$O$1004,$T174)="","",INDEX(Firms!$O$5:$O$1004,$T174)),IF(INDEX('AFA Rates'!$O$5:$O$1004,$T174)="","",INDEX('AFA Rates'!$O$5:$O$1004,$T174))))</f>
        <v/>
      </c>
      <c r="G174" s="50">
        <f>IF($T174="","",IF($S174="S",IF(INDEX(Firms!$F$5:$F$1004,$T174)="","",INDEX(Firms!$F$5:$F$1004,$T174)),IF(INDEX('AFA Rates'!$E$5:$E$1004,$T174)="","",INDEX('AFA Rates'!$E$5:$E$1004,$T174))))</f>
        <v/>
      </c>
      <c r="H174" s="50">
        <f>IF($T174="","",IF($S174="S",IF(INDEX(Firms!$G$5:$G$1004,$T174)="","",INDEX(Firms!$G$5:$G$1004,$T174)),IF(INDEX('AFA Rates'!$F$5:$F$1004,$T174)="","",INDEX('AFA Rates'!$F$5:$F$1004,$T174))))</f>
        <v/>
      </c>
      <c r="I174" s="50">
        <f>IF($T174="","",IF($S174="S",IF(INDEX(Firms!$H$5:$H$1004,$T174)="","",INDEX(Firms!$H$5:$H$1004,$T174)),IF(INDEX('AFA Rates'!$G$5:$G$1004,$T174)="","",INDEX('AFA Rates'!$G$5:$G$1004,$T174))))</f>
        <v/>
      </c>
      <c r="J174" s="50">
        <f>IF($T174="","",IF($S174="S",IF(INDEX(Firms!$I$5:$I$1004,$T174)="","",INDEX(Firms!$I$5:$I$1004,$T174)),IF(INDEX('AFA Rates'!$H$5:$H$1004,$T174)="","",INDEX('AFA Rates'!$H$5:$H$1004,$T174))))</f>
        <v/>
      </c>
      <c r="K174" s="50">
        <f>IF($T174="","",IF($S174="S",IF(INDEX(Firms!$J$5:$J$1004,$T174)="","",INDEX(Firms!$J$5:$J$1004,$T174)),IF(INDEX('AFA Rates'!$I$5:$I$1004,$T174)="","",INDEX('AFA Rates'!$I$5:$I$1004,$T174))))</f>
        <v/>
      </c>
      <c r="L174" s="50">
        <f>IF($T174="","",IF($S174="S",IF(INDEX(Firms!$K$5:$K$1004,$T174)="","",INDEX(Firms!$K$5:$K$1004,$T174)),IF(INDEX('AFA Rates'!$J$5:$J$1004,$T174)="","",INDEX('AFA Rates'!$J$5:$J$1004,$T174))))</f>
        <v/>
      </c>
      <c r="M174" s="50">
        <f>IF($T174="","",IF($S174="S",IF(INDEX(Firms!$L$5:$L$1004,$T174)="","",INDEX(Firms!$L$5:$L$1004,$T174)),IF(INDEX('AFA Rates'!$K$5:$K$1004,$T174)="","",INDEX('AFA Rates'!$K$5:$K$1004,$T174))))</f>
        <v/>
      </c>
      <c r="N174" s="50">
        <f>IF($T174="","",IF($S174="S",IF(INDEX(Firms!$M$5:$M$1004,$T174)="","",INDEX(Firms!$M$5:$M$1004,$T174)),IF(INDEX('AFA Rates'!$L$5:$L$1004,$T174)="","",INDEX('AFA Rates'!$L$5:$L$1004,$T174))))</f>
        <v/>
      </c>
      <c r="O174" s="78">
        <f>IF(OR($T174="",$U174=""),"",IF(INDEX(Firms!$C$5:$C$1004,$U174)="","",INDEX(Firms!$C$5:$C$1004,$U174)))</f>
        <v/>
      </c>
      <c r="P174" s="79">
        <f>IF(OR($T174="",$U174=""),"",IF(INDEX(Firms!$N$5:$N$1004,$U174)="","",INDEX(Firms!$N$5:$N$1004,$U174)))</f>
        <v/>
      </c>
      <c r="Q174" s="78">
        <f>IF($T174="","",IF($S174="S",IF(INDEX(Firms!$T$5:$T$1004,$T174)="","",INDEX(Firms!$T$5:$T$1004,$T174)),IF(INDEX('AFA Rates'!$M$5:$M$1004,$T174)="","",INDEX('AFA Rates'!$M$5:$M$1004,$T174))))</f>
        <v/>
      </c>
      <c r="S174">
        <f>IF(170&lt;=$S$2,"S",IF(170&lt;=$S$2+$T$2,"A",""))</f>
        <v/>
      </c>
      <c r="T174">
        <f>IF(S174="S",MATCH(170,Firms!$W$5:$W$1004,0),IF(S174="A",IFERROR(MATCH(170-$S$2,'AFA Rates'!$R$5:$R$1004,0),""),""))</f>
        <v/>
      </c>
      <c r="U174">
        <f>IF(S174="S",T174,IF(AND(S174="A",T174&lt;&gt;""),IFERROR(MATCH(INDEX('AFA Rates'!$A$5:$A$1004,T174),Firms!$A$5:$A$1004,0),""),""))</f>
        <v/>
      </c>
    </row>
    <row r="175">
      <c r="A175" s="78">
        <f>IF($T175="","",IF($S175="S",IF(INDEX(Firms!$A$5:$A$1004,$T175)="","",INDEX(Firms!$A$5:$A$1004,$T175)),IF(INDEX('AFA Rates'!$A$5:$A$1004,$T175)="","",INDEX('AFA Rates'!$A$5:$A$1004,$T175))))</f>
        <v/>
      </c>
      <c r="B175" s="79">
        <f>IF(OR($T175="",$U175=""),IF($T175="","","Not on Firms tab"),INDEX(Firms!$B$5:$B$1004,$U175)&amp;"")</f>
        <v/>
      </c>
      <c r="C175" s="78">
        <f>IF($T175="","",IF($S175="S","Standard",INDEX('AFA Rates'!$B$5:$B$1004,$T175)&amp;""))</f>
        <v/>
      </c>
      <c r="D175" s="88">
        <f>IF($T175="","",IF($S175="S",IF(INDEX(Firms!$E$5:$E$1004,$T175)="","",INDEX(Firms!$E$5:$E$1004,$T175)),IF(INDEX('AFA Rates'!$C$5:$C$1004,$T175)="","",INDEX('AFA Rates'!$C$5:$C$1004,$T175))))</f>
        <v/>
      </c>
      <c r="E175" s="88">
        <f>IF($T175="","",IF($S175="S",IF(""="","",""),IF(INDEX('AFA Rates'!$D$5:$D$1004,$T175)="","",INDEX('AFA Rates'!$D$5:$D$1004,$T175))))</f>
        <v/>
      </c>
      <c r="F175" s="79">
        <f>IF($T175="","",IF($S175="S",IF(INDEX(Firms!$O$5:$O$1004,$T175)="","",INDEX(Firms!$O$5:$O$1004,$T175)),IF(INDEX('AFA Rates'!$O$5:$O$1004,$T175)="","",INDEX('AFA Rates'!$O$5:$O$1004,$T175))))</f>
        <v/>
      </c>
      <c r="G175" s="50">
        <f>IF($T175="","",IF($S175="S",IF(INDEX(Firms!$F$5:$F$1004,$T175)="","",INDEX(Firms!$F$5:$F$1004,$T175)),IF(INDEX('AFA Rates'!$E$5:$E$1004,$T175)="","",INDEX('AFA Rates'!$E$5:$E$1004,$T175))))</f>
        <v/>
      </c>
      <c r="H175" s="50">
        <f>IF($T175="","",IF($S175="S",IF(INDEX(Firms!$G$5:$G$1004,$T175)="","",INDEX(Firms!$G$5:$G$1004,$T175)),IF(INDEX('AFA Rates'!$F$5:$F$1004,$T175)="","",INDEX('AFA Rates'!$F$5:$F$1004,$T175))))</f>
        <v/>
      </c>
      <c r="I175" s="50">
        <f>IF($T175="","",IF($S175="S",IF(INDEX(Firms!$H$5:$H$1004,$T175)="","",INDEX(Firms!$H$5:$H$1004,$T175)),IF(INDEX('AFA Rates'!$G$5:$G$1004,$T175)="","",INDEX('AFA Rates'!$G$5:$G$1004,$T175))))</f>
        <v/>
      </c>
      <c r="J175" s="50">
        <f>IF($T175="","",IF($S175="S",IF(INDEX(Firms!$I$5:$I$1004,$T175)="","",INDEX(Firms!$I$5:$I$1004,$T175)),IF(INDEX('AFA Rates'!$H$5:$H$1004,$T175)="","",INDEX('AFA Rates'!$H$5:$H$1004,$T175))))</f>
        <v/>
      </c>
      <c r="K175" s="50">
        <f>IF($T175="","",IF($S175="S",IF(INDEX(Firms!$J$5:$J$1004,$T175)="","",INDEX(Firms!$J$5:$J$1004,$T175)),IF(INDEX('AFA Rates'!$I$5:$I$1004,$T175)="","",INDEX('AFA Rates'!$I$5:$I$1004,$T175))))</f>
        <v/>
      </c>
      <c r="L175" s="50">
        <f>IF($T175="","",IF($S175="S",IF(INDEX(Firms!$K$5:$K$1004,$T175)="","",INDEX(Firms!$K$5:$K$1004,$T175)),IF(INDEX('AFA Rates'!$J$5:$J$1004,$T175)="","",INDEX('AFA Rates'!$J$5:$J$1004,$T175))))</f>
        <v/>
      </c>
      <c r="M175" s="50">
        <f>IF($T175="","",IF($S175="S",IF(INDEX(Firms!$L$5:$L$1004,$T175)="","",INDEX(Firms!$L$5:$L$1004,$T175)),IF(INDEX('AFA Rates'!$K$5:$K$1004,$T175)="","",INDEX('AFA Rates'!$K$5:$K$1004,$T175))))</f>
        <v/>
      </c>
      <c r="N175" s="50">
        <f>IF($T175="","",IF($S175="S",IF(INDEX(Firms!$M$5:$M$1004,$T175)="","",INDEX(Firms!$M$5:$M$1004,$T175)),IF(INDEX('AFA Rates'!$L$5:$L$1004,$T175)="","",INDEX('AFA Rates'!$L$5:$L$1004,$T175))))</f>
        <v/>
      </c>
      <c r="O175" s="78">
        <f>IF(OR($T175="",$U175=""),"",IF(INDEX(Firms!$C$5:$C$1004,$U175)="","",INDEX(Firms!$C$5:$C$1004,$U175)))</f>
        <v/>
      </c>
      <c r="P175" s="79">
        <f>IF(OR($T175="",$U175=""),"",IF(INDEX(Firms!$N$5:$N$1004,$U175)="","",INDEX(Firms!$N$5:$N$1004,$U175)))</f>
        <v/>
      </c>
      <c r="Q175" s="78">
        <f>IF($T175="","",IF($S175="S",IF(INDEX(Firms!$T$5:$T$1004,$T175)="","",INDEX(Firms!$T$5:$T$1004,$T175)),IF(INDEX('AFA Rates'!$M$5:$M$1004,$T175)="","",INDEX('AFA Rates'!$M$5:$M$1004,$T175))))</f>
        <v/>
      </c>
      <c r="S175">
        <f>IF(171&lt;=$S$2,"S",IF(171&lt;=$S$2+$T$2,"A",""))</f>
        <v/>
      </c>
      <c r="T175">
        <f>IF(S175="S",MATCH(171,Firms!$W$5:$W$1004,0),IF(S175="A",IFERROR(MATCH(171-$S$2,'AFA Rates'!$R$5:$R$1004,0),""),""))</f>
        <v/>
      </c>
      <c r="U175">
        <f>IF(S175="S",T175,IF(AND(S175="A",T175&lt;&gt;""),IFERROR(MATCH(INDEX('AFA Rates'!$A$5:$A$1004,T175),Firms!$A$5:$A$1004,0),""),""))</f>
        <v/>
      </c>
    </row>
    <row r="176">
      <c r="A176" s="78">
        <f>IF($T176="","",IF($S176="S",IF(INDEX(Firms!$A$5:$A$1004,$T176)="","",INDEX(Firms!$A$5:$A$1004,$T176)),IF(INDEX('AFA Rates'!$A$5:$A$1004,$T176)="","",INDEX('AFA Rates'!$A$5:$A$1004,$T176))))</f>
        <v/>
      </c>
      <c r="B176" s="79">
        <f>IF(OR($T176="",$U176=""),IF($T176="","","Not on Firms tab"),INDEX(Firms!$B$5:$B$1004,$U176)&amp;"")</f>
        <v/>
      </c>
      <c r="C176" s="78">
        <f>IF($T176="","",IF($S176="S","Standard",INDEX('AFA Rates'!$B$5:$B$1004,$T176)&amp;""))</f>
        <v/>
      </c>
      <c r="D176" s="88">
        <f>IF($T176="","",IF($S176="S",IF(INDEX(Firms!$E$5:$E$1004,$T176)="","",INDEX(Firms!$E$5:$E$1004,$T176)),IF(INDEX('AFA Rates'!$C$5:$C$1004,$T176)="","",INDEX('AFA Rates'!$C$5:$C$1004,$T176))))</f>
        <v/>
      </c>
      <c r="E176" s="88">
        <f>IF($T176="","",IF($S176="S",IF(""="","",""),IF(INDEX('AFA Rates'!$D$5:$D$1004,$T176)="","",INDEX('AFA Rates'!$D$5:$D$1004,$T176))))</f>
        <v/>
      </c>
      <c r="F176" s="79">
        <f>IF($T176="","",IF($S176="S",IF(INDEX(Firms!$O$5:$O$1004,$T176)="","",INDEX(Firms!$O$5:$O$1004,$T176)),IF(INDEX('AFA Rates'!$O$5:$O$1004,$T176)="","",INDEX('AFA Rates'!$O$5:$O$1004,$T176))))</f>
        <v/>
      </c>
      <c r="G176" s="50">
        <f>IF($T176="","",IF($S176="S",IF(INDEX(Firms!$F$5:$F$1004,$T176)="","",INDEX(Firms!$F$5:$F$1004,$T176)),IF(INDEX('AFA Rates'!$E$5:$E$1004,$T176)="","",INDEX('AFA Rates'!$E$5:$E$1004,$T176))))</f>
        <v/>
      </c>
      <c r="H176" s="50">
        <f>IF($T176="","",IF($S176="S",IF(INDEX(Firms!$G$5:$G$1004,$T176)="","",INDEX(Firms!$G$5:$G$1004,$T176)),IF(INDEX('AFA Rates'!$F$5:$F$1004,$T176)="","",INDEX('AFA Rates'!$F$5:$F$1004,$T176))))</f>
        <v/>
      </c>
      <c r="I176" s="50">
        <f>IF($T176="","",IF($S176="S",IF(INDEX(Firms!$H$5:$H$1004,$T176)="","",INDEX(Firms!$H$5:$H$1004,$T176)),IF(INDEX('AFA Rates'!$G$5:$G$1004,$T176)="","",INDEX('AFA Rates'!$G$5:$G$1004,$T176))))</f>
        <v/>
      </c>
      <c r="J176" s="50">
        <f>IF($T176="","",IF($S176="S",IF(INDEX(Firms!$I$5:$I$1004,$T176)="","",INDEX(Firms!$I$5:$I$1004,$T176)),IF(INDEX('AFA Rates'!$H$5:$H$1004,$T176)="","",INDEX('AFA Rates'!$H$5:$H$1004,$T176))))</f>
        <v/>
      </c>
      <c r="K176" s="50">
        <f>IF($T176="","",IF($S176="S",IF(INDEX(Firms!$J$5:$J$1004,$T176)="","",INDEX(Firms!$J$5:$J$1004,$T176)),IF(INDEX('AFA Rates'!$I$5:$I$1004,$T176)="","",INDEX('AFA Rates'!$I$5:$I$1004,$T176))))</f>
        <v/>
      </c>
      <c r="L176" s="50">
        <f>IF($T176="","",IF($S176="S",IF(INDEX(Firms!$K$5:$K$1004,$T176)="","",INDEX(Firms!$K$5:$K$1004,$T176)),IF(INDEX('AFA Rates'!$J$5:$J$1004,$T176)="","",INDEX('AFA Rates'!$J$5:$J$1004,$T176))))</f>
        <v/>
      </c>
      <c r="M176" s="50">
        <f>IF($T176="","",IF($S176="S",IF(INDEX(Firms!$L$5:$L$1004,$T176)="","",INDEX(Firms!$L$5:$L$1004,$T176)),IF(INDEX('AFA Rates'!$K$5:$K$1004,$T176)="","",INDEX('AFA Rates'!$K$5:$K$1004,$T176))))</f>
        <v/>
      </c>
      <c r="N176" s="50">
        <f>IF($T176="","",IF($S176="S",IF(INDEX(Firms!$M$5:$M$1004,$T176)="","",INDEX(Firms!$M$5:$M$1004,$T176)),IF(INDEX('AFA Rates'!$L$5:$L$1004,$T176)="","",INDEX('AFA Rates'!$L$5:$L$1004,$T176))))</f>
        <v/>
      </c>
      <c r="O176" s="78">
        <f>IF(OR($T176="",$U176=""),"",IF(INDEX(Firms!$C$5:$C$1004,$U176)="","",INDEX(Firms!$C$5:$C$1004,$U176)))</f>
        <v/>
      </c>
      <c r="P176" s="79">
        <f>IF(OR($T176="",$U176=""),"",IF(INDEX(Firms!$N$5:$N$1004,$U176)="","",INDEX(Firms!$N$5:$N$1004,$U176)))</f>
        <v/>
      </c>
      <c r="Q176" s="78">
        <f>IF($T176="","",IF($S176="S",IF(INDEX(Firms!$T$5:$T$1004,$T176)="","",INDEX(Firms!$T$5:$T$1004,$T176)),IF(INDEX('AFA Rates'!$M$5:$M$1004,$T176)="","",INDEX('AFA Rates'!$M$5:$M$1004,$T176))))</f>
        <v/>
      </c>
      <c r="S176">
        <f>IF(172&lt;=$S$2,"S",IF(172&lt;=$S$2+$T$2,"A",""))</f>
        <v/>
      </c>
      <c r="T176">
        <f>IF(S176="S",MATCH(172,Firms!$W$5:$W$1004,0),IF(S176="A",IFERROR(MATCH(172-$S$2,'AFA Rates'!$R$5:$R$1004,0),""),""))</f>
        <v/>
      </c>
      <c r="U176">
        <f>IF(S176="S",T176,IF(AND(S176="A",T176&lt;&gt;""),IFERROR(MATCH(INDEX('AFA Rates'!$A$5:$A$1004,T176),Firms!$A$5:$A$1004,0),""),""))</f>
        <v/>
      </c>
    </row>
    <row r="177">
      <c r="A177" s="78">
        <f>IF($T177="","",IF($S177="S",IF(INDEX(Firms!$A$5:$A$1004,$T177)="","",INDEX(Firms!$A$5:$A$1004,$T177)),IF(INDEX('AFA Rates'!$A$5:$A$1004,$T177)="","",INDEX('AFA Rates'!$A$5:$A$1004,$T177))))</f>
        <v/>
      </c>
      <c r="B177" s="79">
        <f>IF(OR($T177="",$U177=""),IF($T177="","","Not on Firms tab"),INDEX(Firms!$B$5:$B$1004,$U177)&amp;"")</f>
        <v/>
      </c>
      <c r="C177" s="78">
        <f>IF($T177="","",IF($S177="S","Standard",INDEX('AFA Rates'!$B$5:$B$1004,$T177)&amp;""))</f>
        <v/>
      </c>
      <c r="D177" s="88">
        <f>IF($T177="","",IF($S177="S",IF(INDEX(Firms!$E$5:$E$1004,$T177)="","",INDEX(Firms!$E$5:$E$1004,$T177)),IF(INDEX('AFA Rates'!$C$5:$C$1004,$T177)="","",INDEX('AFA Rates'!$C$5:$C$1004,$T177))))</f>
        <v/>
      </c>
      <c r="E177" s="88">
        <f>IF($T177="","",IF($S177="S",IF(""="","",""),IF(INDEX('AFA Rates'!$D$5:$D$1004,$T177)="","",INDEX('AFA Rates'!$D$5:$D$1004,$T177))))</f>
        <v/>
      </c>
      <c r="F177" s="79">
        <f>IF($T177="","",IF($S177="S",IF(INDEX(Firms!$O$5:$O$1004,$T177)="","",INDEX(Firms!$O$5:$O$1004,$T177)),IF(INDEX('AFA Rates'!$O$5:$O$1004,$T177)="","",INDEX('AFA Rates'!$O$5:$O$1004,$T177))))</f>
        <v/>
      </c>
      <c r="G177" s="50">
        <f>IF($T177="","",IF($S177="S",IF(INDEX(Firms!$F$5:$F$1004,$T177)="","",INDEX(Firms!$F$5:$F$1004,$T177)),IF(INDEX('AFA Rates'!$E$5:$E$1004,$T177)="","",INDEX('AFA Rates'!$E$5:$E$1004,$T177))))</f>
        <v/>
      </c>
      <c r="H177" s="50">
        <f>IF($T177="","",IF($S177="S",IF(INDEX(Firms!$G$5:$G$1004,$T177)="","",INDEX(Firms!$G$5:$G$1004,$T177)),IF(INDEX('AFA Rates'!$F$5:$F$1004,$T177)="","",INDEX('AFA Rates'!$F$5:$F$1004,$T177))))</f>
        <v/>
      </c>
      <c r="I177" s="50">
        <f>IF($T177="","",IF($S177="S",IF(INDEX(Firms!$H$5:$H$1004,$T177)="","",INDEX(Firms!$H$5:$H$1004,$T177)),IF(INDEX('AFA Rates'!$G$5:$G$1004,$T177)="","",INDEX('AFA Rates'!$G$5:$G$1004,$T177))))</f>
        <v/>
      </c>
      <c r="J177" s="50">
        <f>IF($T177="","",IF($S177="S",IF(INDEX(Firms!$I$5:$I$1004,$T177)="","",INDEX(Firms!$I$5:$I$1004,$T177)),IF(INDEX('AFA Rates'!$H$5:$H$1004,$T177)="","",INDEX('AFA Rates'!$H$5:$H$1004,$T177))))</f>
        <v/>
      </c>
      <c r="K177" s="50">
        <f>IF($T177="","",IF($S177="S",IF(INDEX(Firms!$J$5:$J$1004,$T177)="","",INDEX(Firms!$J$5:$J$1004,$T177)),IF(INDEX('AFA Rates'!$I$5:$I$1004,$T177)="","",INDEX('AFA Rates'!$I$5:$I$1004,$T177))))</f>
        <v/>
      </c>
      <c r="L177" s="50">
        <f>IF($T177="","",IF($S177="S",IF(INDEX(Firms!$K$5:$K$1004,$T177)="","",INDEX(Firms!$K$5:$K$1004,$T177)),IF(INDEX('AFA Rates'!$J$5:$J$1004,$T177)="","",INDEX('AFA Rates'!$J$5:$J$1004,$T177))))</f>
        <v/>
      </c>
      <c r="M177" s="50">
        <f>IF($T177="","",IF($S177="S",IF(INDEX(Firms!$L$5:$L$1004,$T177)="","",INDEX(Firms!$L$5:$L$1004,$T177)),IF(INDEX('AFA Rates'!$K$5:$K$1004,$T177)="","",INDEX('AFA Rates'!$K$5:$K$1004,$T177))))</f>
        <v/>
      </c>
      <c r="N177" s="50">
        <f>IF($T177="","",IF($S177="S",IF(INDEX(Firms!$M$5:$M$1004,$T177)="","",INDEX(Firms!$M$5:$M$1004,$T177)),IF(INDEX('AFA Rates'!$L$5:$L$1004,$T177)="","",INDEX('AFA Rates'!$L$5:$L$1004,$T177))))</f>
        <v/>
      </c>
      <c r="O177" s="78">
        <f>IF(OR($T177="",$U177=""),"",IF(INDEX(Firms!$C$5:$C$1004,$U177)="","",INDEX(Firms!$C$5:$C$1004,$U177)))</f>
        <v/>
      </c>
      <c r="P177" s="79">
        <f>IF(OR($T177="",$U177=""),"",IF(INDEX(Firms!$N$5:$N$1004,$U177)="","",INDEX(Firms!$N$5:$N$1004,$U177)))</f>
        <v/>
      </c>
      <c r="Q177" s="78">
        <f>IF($T177="","",IF($S177="S",IF(INDEX(Firms!$T$5:$T$1004,$T177)="","",INDEX(Firms!$T$5:$T$1004,$T177)),IF(INDEX('AFA Rates'!$M$5:$M$1004,$T177)="","",INDEX('AFA Rates'!$M$5:$M$1004,$T177))))</f>
        <v/>
      </c>
      <c r="S177">
        <f>IF(173&lt;=$S$2,"S",IF(173&lt;=$S$2+$T$2,"A",""))</f>
        <v/>
      </c>
      <c r="T177">
        <f>IF(S177="S",MATCH(173,Firms!$W$5:$W$1004,0),IF(S177="A",IFERROR(MATCH(173-$S$2,'AFA Rates'!$R$5:$R$1004,0),""),""))</f>
        <v/>
      </c>
      <c r="U177">
        <f>IF(S177="S",T177,IF(AND(S177="A",T177&lt;&gt;""),IFERROR(MATCH(INDEX('AFA Rates'!$A$5:$A$1004,T177),Firms!$A$5:$A$1004,0),""),""))</f>
        <v/>
      </c>
    </row>
    <row r="178">
      <c r="A178" s="78">
        <f>IF($T178="","",IF($S178="S",IF(INDEX(Firms!$A$5:$A$1004,$T178)="","",INDEX(Firms!$A$5:$A$1004,$T178)),IF(INDEX('AFA Rates'!$A$5:$A$1004,$T178)="","",INDEX('AFA Rates'!$A$5:$A$1004,$T178))))</f>
        <v/>
      </c>
      <c r="B178" s="79">
        <f>IF(OR($T178="",$U178=""),IF($T178="","","Not on Firms tab"),INDEX(Firms!$B$5:$B$1004,$U178)&amp;"")</f>
        <v/>
      </c>
      <c r="C178" s="78">
        <f>IF($T178="","",IF($S178="S","Standard",INDEX('AFA Rates'!$B$5:$B$1004,$T178)&amp;""))</f>
        <v/>
      </c>
      <c r="D178" s="88">
        <f>IF($T178="","",IF($S178="S",IF(INDEX(Firms!$E$5:$E$1004,$T178)="","",INDEX(Firms!$E$5:$E$1004,$T178)),IF(INDEX('AFA Rates'!$C$5:$C$1004,$T178)="","",INDEX('AFA Rates'!$C$5:$C$1004,$T178))))</f>
        <v/>
      </c>
      <c r="E178" s="88">
        <f>IF($T178="","",IF($S178="S",IF(""="","",""),IF(INDEX('AFA Rates'!$D$5:$D$1004,$T178)="","",INDEX('AFA Rates'!$D$5:$D$1004,$T178))))</f>
        <v/>
      </c>
      <c r="F178" s="79">
        <f>IF($T178="","",IF($S178="S",IF(INDEX(Firms!$O$5:$O$1004,$T178)="","",INDEX(Firms!$O$5:$O$1004,$T178)),IF(INDEX('AFA Rates'!$O$5:$O$1004,$T178)="","",INDEX('AFA Rates'!$O$5:$O$1004,$T178))))</f>
        <v/>
      </c>
      <c r="G178" s="50">
        <f>IF($T178="","",IF($S178="S",IF(INDEX(Firms!$F$5:$F$1004,$T178)="","",INDEX(Firms!$F$5:$F$1004,$T178)),IF(INDEX('AFA Rates'!$E$5:$E$1004,$T178)="","",INDEX('AFA Rates'!$E$5:$E$1004,$T178))))</f>
        <v/>
      </c>
      <c r="H178" s="50">
        <f>IF($T178="","",IF($S178="S",IF(INDEX(Firms!$G$5:$G$1004,$T178)="","",INDEX(Firms!$G$5:$G$1004,$T178)),IF(INDEX('AFA Rates'!$F$5:$F$1004,$T178)="","",INDEX('AFA Rates'!$F$5:$F$1004,$T178))))</f>
        <v/>
      </c>
      <c r="I178" s="50">
        <f>IF($T178="","",IF($S178="S",IF(INDEX(Firms!$H$5:$H$1004,$T178)="","",INDEX(Firms!$H$5:$H$1004,$T178)),IF(INDEX('AFA Rates'!$G$5:$G$1004,$T178)="","",INDEX('AFA Rates'!$G$5:$G$1004,$T178))))</f>
        <v/>
      </c>
      <c r="J178" s="50">
        <f>IF($T178="","",IF($S178="S",IF(INDEX(Firms!$I$5:$I$1004,$T178)="","",INDEX(Firms!$I$5:$I$1004,$T178)),IF(INDEX('AFA Rates'!$H$5:$H$1004,$T178)="","",INDEX('AFA Rates'!$H$5:$H$1004,$T178))))</f>
        <v/>
      </c>
      <c r="K178" s="50">
        <f>IF($T178="","",IF($S178="S",IF(INDEX(Firms!$J$5:$J$1004,$T178)="","",INDEX(Firms!$J$5:$J$1004,$T178)),IF(INDEX('AFA Rates'!$I$5:$I$1004,$T178)="","",INDEX('AFA Rates'!$I$5:$I$1004,$T178))))</f>
        <v/>
      </c>
      <c r="L178" s="50">
        <f>IF($T178="","",IF($S178="S",IF(INDEX(Firms!$K$5:$K$1004,$T178)="","",INDEX(Firms!$K$5:$K$1004,$T178)),IF(INDEX('AFA Rates'!$J$5:$J$1004,$T178)="","",INDEX('AFA Rates'!$J$5:$J$1004,$T178))))</f>
        <v/>
      </c>
      <c r="M178" s="50">
        <f>IF($T178="","",IF($S178="S",IF(INDEX(Firms!$L$5:$L$1004,$T178)="","",INDEX(Firms!$L$5:$L$1004,$T178)),IF(INDEX('AFA Rates'!$K$5:$K$1004,$T178)="","",INDEX('AFA Rates'!$K$5:$K$1004,$T178))))</f>
        <v/>
      </c>
      <c r="N178" s="50">
        <f>IF($T178="","",IF($S178="S",IF(INDEX(Firms!$M$5:$M$1004,$T178)="","",INDEX(Firms!$M$5:$M$1004,$T178)),IF(INDEX('AFA Rates'!$L$5:$L$1004,$T178)="","",INDEX('AFA Rates'!$L$5:$L$1004,$T178))))</f>
        <v/>
      </c>
      <c r="O178" s="78">
        <f>IF(OR($T178="",$U178=""),"",IF(INDEX(Firms!$C$5:$C$1004,$U178)="","",INDEX(Firms!$C$5:$C$1004,$U178)))</f>
        <v/>
      </c>
      <c r="P178" s="79">
        <f>IF(OR($T178="",$U178=""),"",IF(INDEX(Firms!$N$5:$N$1004,$U178)="","",INDEX(Firms!$N$5:$N$1004,$U178)))</f>
        <v/>
      </c>
      <c r="Q178" s="78">
        <f>IF($T178="","",IF($S178="S",IF(INDEX(Firms!$T$5:$T$1004,$T178)="","",INDEX(Firms!$T$5:$T$1004,$T178)),IF(INDEX('AFA Rates'!$M$5:$M$1004,$T178)="","",INDEX('AFA Rates'!$M$5:$M$1004,$T178))))</f>
        <v/>
      </c>
      <c r="S178">
        <f>IF(174&lt;=$S$2,"S",IF(174&lt;=$S$2+$T$2,"A",""))</f>
        <v/>
      </c>
      <c r="T178">
        <f>IF(S178="S",MATCH(174,Firms!$W$5:$W$1004,0),IF(S178="A",IFERROR(MATCH(174-$S$2,'AFA Rates'!$R$5:$R$1004,0),""),""))</f>
        <v/>
      </c>
      <c r="U178">
        <f>IF(S178="S",T178,IF(AND(S178="A",T178&lt;&gt;""),IFERROR(MATCH(INDEX('AFA Rates'!$A$5:$A$1004,T178),Firms!$A$5:$A$1004,0),""),""))</f>
        <v/>
      </c>
    </row>
    <row r="179">
      <c r="A179" s="78">
        <f>IF($T179="","",IF($S179="S",IF(INDEX(Firms!$A$5:$A$1004,$T179)="","",INDEX(Firms!$A$5:$A$1004,$T179)),IF(INDEX('AFA Rates'!$A$5:$A$1004,$T179)="","",INDEX('AFA Rates'!$A$5:$A$1004,$T179))))</f>
        <v/>
      </c>
      <c r="B179" s="79">
        <f>IF(OR($T179="",$U179=""),IF($T179="","","Not on Firms tab"),INDEX(Firms!$B$5:$B$1004,$U179)&amp;"")</f>
        <v/>
      </c>
      <c r="C179" s="78">
        <f>IF($T179="","",IF($S179="S","Standard",INDEX('AFA Rates'!$B$5:$B$1004,$T179)&amp;""))</f>
        <v/>
      </c>
      <c r="D179" s="88">
        <f>IF($T179="","",IF($S179="S",IF(INDEX(Firms!$E$5:$E$1004,$T179)="","",INDEX(Firms!$E$5:$E$1004,$T179)),IF(INDEX('AFA Rates'!$C$5:$C$1004,$T179)="","",INDEX('AFA Rates'!$C$5:$C$1004,$T179))))</f>
        <v/>
      </c>
      <c r="E179" s="88">
        <f>IF($T179="","",IF($S179="S",IF(""="","",""),IF(INDEX('AFA Rates'!$D$5:$D$1004,$T179)="","",INDEX('AFA Rates'!$D$5:$D$1004,$T179))))</f>
        <v/>
      </c>
      <c r="F179" s="79">
        <f>IF($T179="","",IF($S179="S",IF(INDEX(Firms!$O$5:$O$1004,$T179)="","",INDEX(Firms!$O$5:$O$1004,$T179)),IF(INDEX('AFA Rates'!$O$5:$O$1004,$T179)="","",INDEX('AFA Rates'!$O$5:$O$1004,$T179))))</f>
        <v/>
      </c>
      <c r="G179" s="50">
        <f>IF($T179="","",IF($S179="S",IF(INDEX(Firms!$F$5:$F$1004,$T179)="","",INDEX(Firms!$F$5:$F$1004,$T179)),IF(INDEX('AFA Rates'!$E$5:$E$1004,$T179)="","",INDEX('AFA Rates'!$E$5:$E$1004,$T179))))</f>
        <v/>
      </c>
      <c r="H179" s="50">
        <f>IF($T179="","",IF($S179="S",IF(INDEX(Firms!$G$5:$G$1004,$T179)="","",INDEX(Firms!$G$5:$G$1004,$T179)),IF(INDEX('AFA Rates'!$F$5:$F$1004,$T179)="","",INDEX('AFA Rates'!$F$5:$F$1004,$T179))))</f>
        <v/>
      </c>
      <c r="I179" s="50">
        <f>IF($T179="","",IF($S179="S",IF(INDEX(Firms!$H$5:$H$1004,$T179)="","",INDEX(Firms!$H$5:$H$1004,$T179)),IF(INDEX('AFA Rates'!$G$5:$G$1004,$T179)="","",INDEX('AFA Rates'!$G$5:$G$1004,$T179))))</f>
        <v/>
      </c>
      <c r="J179" s="50">
        <f>IF($T179="","",IF($S179="S",IF(INDEX(Firms!$I$5:$I$1004,$T179)="","",INDEX(Firms!$I$5:$I$1004,$T179)),IF(INDEX('AFA Rates'!$H$5:$H$1004,$T179)="","",INDEX('AFA Rates'!$H$5:$H$1004,$T179))))</f>
        <v/>
      </c>
      <c r="K179" s="50">
        <f>IF($T179="","",IF($S179="S",IF(INDEX(Firms!$J$5:$J$1004,$T179)="","",INDEX(Firms!$J$5:$J$1004,$T179)),IF(INDEX('AFA Rates'!$I$5:$I$1004,$T179)="","",INDEX('AFA Rates'!$I$5:$I$1004,$T179))))</f>
        <v/>
      </c>
      <c r="L179" s="50">
        <f>IF($T179="","",IF($S179="S",IF(INDEX(Firms!$K$5:$K$1004,$T179)="","",INDEX(Firms!$K$5:$K$1004,$T179)),IF(INDEX('AFA Rates'!$J$5:$J$1004,$T179)="","",INDEX('AFA Rates'!$J$5:$J$1004,$T179))))</f>
        <v/>
      </c>
      <c r="M179" s="50">
        <f>IF($T179="","",IF($S179="S",IF(INDEX(Firms!$L$5:$L$1004,$T179)="","",INDEX(Firms!$L$5:$L$1004,$T179)),IF(INDEX('AFA Rates'!$K$5:$K$1004,$T179)="","",INDEX('AFA Rates'!$K$5:$K$1004,$T179))))</f>
        <v/>
      </c>
      <c r="N179" s="50">
        <f>IF($T179="","",IF($S179="S",IF(INDEX(Firms!$M$5:$M$1004,$T179)="","",INDEX(Firms!$M$5:$M$1004,$T179)),IF(INDEX('AFA Rates'!$L$5:$L$1004,$T179)="","",INDEX('AFA Rates'!$L$5:$L$1004,$T179))))</f>
        <v/>
      </c>
      <c r="O179" s="78">
        <f>IF(OR($T179="",$U179=""),"",IF(INDEX(Firms!$C$5:$C$1004,$U179)="","",INDEX(Firms!$C$5:$C$1004,$U179)))</f>
        <v/>
      </c>
      <c r="P179" s="79">
        <f>IF(OR($T179="",$U179=""),"",IF(INDEX(Firms!$N$5:$N$1004,$U179)="","",INDEX(Firms!$N$5:$N$1004,$U179)))</f>
        <v/>
      </c>
      <c r="Q179" s="78">
        <f>IF($T179="","",IF($S179="S",IF(INDEX(Firms!$T$5:$T$1004,$T179)="","",INDEX(Firms!$T$5:$T$1004,$T179)),IF(INDEX('AFA Rates'!$M$5:$M$1004,$T179)="","",INDEX('AFA Rates'!$M$5:$M$1004,$T179))))</f>
        <v/>
      </c>
      <c r="S179">
        <f>IF(175&lt;=$S$2,"S",IF(175&lt;=$S$2+$T$2,"A",""))</f>
        <v/>
      </c>
      <c r="T179">
        <f>IF(S179="S",MATCH(175,Firms!$W$5:$W$1004,0),IF(S179="A",IFERROR(MATCH(175-$S$2,'AFA Rates'!$R$5:$R$1004,0),""),""))</f>
        <v/>
      </c>
      <c r="U179">
        <f>IF(S179="S",T179,IF(AND(S179="A",T179&lt;&gt;""),IFERROR(MATCH(INDEX('AFA Rates'!$A$5:$A$1004,T179),Firms!$A$5:$A$1004,0),""),""))</f>
        <v/>
      </c>
    </row>
    <row r="180">
      <c r="A180" s="78">
        <f>IF($T180="","",IF($S180="S",IF(INDEX(Firms!$A$5:$A$1004,$T180)="","",INDEX(Firms!$A$5:$A$1004,$T180)),IF(INDEX('AFA Rates'!$A$5:$A$1004,$T180)="","",INDEX('AFA Rates'!$A$5:$A$1004,$T180))))</f>
        <v/>
      </c>
      <c r="B180" s="79">
        <f>IF(OR($T180="",$U180=""),IF($T180="","","Not on Firms tab"),INDEX(Firms!$B$5:$B$1004,$U180)&amp;"")</f>
        <v/>
      </c>
      <c r="C180" s="78">
        <f>IF($T180="","",IF($S180="S","Standard",INDEX('AFA Rates'!$B$5:$B$1004,$T180)&amp;""))</f>
        <v/>
      </c>
      <c r="D180" s="88">
        <f>IF($T180="","",IF($S180="S",IF(INDEX(Firms!$E$5:$E$1004,$T180)="","",INDEX(Firms!$E$5:$E$1004,$T180)),IF(INDEX('AFA Rates'!$C$5:$C$1004,$T180)="","",INDEX('AFA Rates'!$C$5:$C$1004,$T180))))</f>
        <v/>
      </c>
      <c r="E180" s="88">
        <f>IF($T180="","",IF($S180="S",IF(""="","",""),IF(INDEX('AFA Rates'!$D$5:$D$1004,$T180)="","",INDEX('AFA Rates'!$D$5:$D$1004,$T180))))</f>
        <v/>
      </c>
      <c r="F180" s="79">
        <f>IF($T180="","",IF($S180="S",IF(INDEX(Firms!$O$5:$O$1004,$T180)="","",INDEX(Firms!$O$5:$O$1004,$T180)),IF(INDEX('AFA Rates'!$O$5:$O$1004,$T180)="","",INDEX('AFA Rates'!$O$5:$O$1004,$T180))))</f>
        <v/>
      </c>
      <c r="G180" s="50">
        <f>IF($T180="","",IF($S180="S",IF(INDEX(Firms!$F$5:$F$1004,$T180)="","",INDEX(Firms!$F$5:$F$1004,$T180)),IF(INDEX('AFA Rates'!$E$5:$E$1004,$T180)="","",INDEX('AFA Rates'!$E$5:$E$1004,$T180))))</f>
        <v/>
      </c>
      <c r="H180" s="50">
        <f>IF($T180="","",IF($S180="S",IF(INDEX(Firms!$G$5:$G$1004,$T180)="","",INDEX(Firms!$G$5:$G$1004,$T180)),IF(INDEX('AFA Rates'!$F$5:$F$1004,$T180)="","",INDEX('AFA Rates'!$F$5:$F$1004,$T180))))</f>
        <v/>
      </c>
      <c r="I180" s="50">
        <f>IF($T180="","",IF($S180="S",IF(INDEX(Firms!$H$5:$H$1004,$T180)="","",INDEX(Firms!$H$5:$H$1004,$T180)),IF(INDEX('AFA Rates'!$G$5:$G$1004,$T180)="","",INDEX('AFA Rates'!$G$5:$G$1004,$T180))))</f>
        <v/>
      </c>
      <c r="J180" s="50">
        <f>IF($T180="","",IF($S180="S",IF(INDEX(Firms!$I$5:$I$1004,$T180)="","",INDEX(Firms!$I$5:$I$1004,$T180)),IF(INDEX('AFA Rates'!$H$5:$H$1004,$T180)="","",INDEX('AFA Rates'!$H$5:$H$1004,$T180))))</f>
        <v/>
      </c>
      <c r="K180" s="50">
        <f>IF($T180="","",IF($S180="S",IF(INDEX(Firms!$J$5:$J$1004,$T180)="","",INDEX(Firms!$J$5:$J$1004,$T180)),IF(INDEX('AFA Rates'!$I$5:$I$1004,$T180)="","",INDEX('AFA Rates'!$I$5:$I$1004,$T180))))</f>
        <v/>
      </c>
      <c r="L180" s="50">
        <f>IF($T180="","",IF($S180="S",IF(INDEX(Firms!$K$5:$K$1004,$T180)="","",INDEX(Firms!$K$5:$K$1004,$T180)),IF(INDEX('AFA Rates'!$J$5:$J$1004,$T180)="","",INDEX('AFA Rates'!$J$5:$J$1004,$T180))))</f>
        <v/>
      </c>
      <c r="M180" s="50">
        <f>IF($T180="","",IF($S180="S",IF(INDEX(Firms!$L$5:$L$1004,$T180)="","",INDEX(Firms!$L$5:$L$1004,$T180)),IF(INDEX('AFA Rates'!$K$5:$K$1004,$T180)="","",INDEX('AFA Rates'!$K$5:$K$1004,$T180))))</f>
        <v/>
      </c>
      <c r="N180" s="50">
        <f>IF($T180="","",IF($S180="S",IF(INDEX(Firms!$M$5:$M$1004,$T180)="","",INDEX(Firms!$M$5:$M$1004,$T180)),IF(INDEX('AFA Rates'!$L$5:$L$1004,$T180)="","",INDEX('AFA Rates'!$L$5:$L$1004,$T180))))</f>
        <v/>
      </c>
      <c r="O180" s="78">
        <f>IF(OR($T180="",$U180=""),"",IF(INDEX(Firms!$C$5:$C$1004,$U180)="","",INDEX(Firms!$C$5:$C$1004,$U180)))</f>
        <v/>
      </c>
      <c r="P180" s="79">
        <f>IF(OR($T180="",$U180=""),"",IF(INDEX(Firms!$N$5:$N$1004,$U180)="","",INDEX(Firms!$N$5:$N$1004,$U180)))</f>
        <v/>
      </c>
      <c r="Q180" s="78">
        <f>IF($T180="","",IF($S180="S",IF(INDEX(Firms!$T$5:$T$1004,$T180)="","",INDEX(Firms!$T$5:$T$1004,$T180)),IF(INDEX('AFA Rates'!$M$5:$M$1004,$T180)="","",INDEX('AFA Rates'!$M$5:$M$1004,$T180))))</f>
        <v/>
      </c>
      <c r="S180">
        <f>IF(176&lt;=$S$2,"S",IF(176&lt;=$S$2+$T$2,"A",""))</f>
        <v/>
      </c>
      <c r="T180">
        <f>IF(S180="S",MATCH(176,Firms!$W$5:$W$1004,0),IF(S180="A",IFERROR(MATCH(176-$S$2,'AFA Rates'!$R$5:$R$1004,0),""),""))</f>
        <v/>
      </c>
      <c r="U180">
        <f>IF(S180="S",T180,IF(AND(S180="A",T180&lt;&gt;""),IFERROR(MATCH(INDEX('AFA Rates'!$A$5:$A$1004,T180),Firms!$A$5:$A$1004,0),""),""))</f>
        <v/>
      </c>
    </row>
    <row r="181">
      <c r="A181" s="78">
        <f>IF($T181="","",IF($S181="S",IF(INDEX(Firms!$A$5:$A$1004,$T181)="","",INDEX(Firms!$A$5:$A$1004,$T181)),IF(INDEX('AFA Rates'!$A$5:$A$1004,$T181)="","",INDEX('AFA Rates'!$A$5:$A$1004,$T181))))</f>
        <v/>
      </c>
      <c r="B181" s="79">
        <f>IF(OR($T181="",$U181=""),IF($T181="","","Not on Firms tab"),INDEX(Firms!$B$5:$B$1004,$U181)&amp;"")</f>
        <v/>
      </c>
      <c r="C181" s="78">
        <f>IF($T181="","",IF($S181="S","Standard",INDEX('AFA Rates'!$B$5:$B$1004,$T181)&amp;""))</f>
        <v/>
      </c>
      <c r="D181" s="88">
        <f>IF($T181="","",IF($S181="S",IF(INDEX(Firms!$E$5:$E$1004,$T181)="","",INDEX(Firms!$E$5:$E$1004,$T181)),IF(INDEX('AFA Rates'!$C$5:$C$1004,$T181)="","",INDEX('AFA Rates'!$C$5:$C$1004,$T181))))</f>
        <v/>
      </c>
      <c r="E181" s="88">
        <f>IF($T181="","",IF($S181="S",IF(""="","",""),IF(INDEX('AFA Rates'!$D$5:$D$1004,$T181)="","",INDEX('AFA Rates'!$D$5:$D$1004,$T181))))</f>
        <v/>
      </c>
      <c r="F181" s="79">
        <f>IF($T181="","",IF($S181="S",IF(INDEX(Firms!$O$5:$O$1004,$T181)="","",INDEX(Firms!$O$5:$O$1004,$T181)),IF(INDEX('AFA Rates'!$O$5:$O$1004,$T181)="","",INDEX('AFA Rates'!$O$5:$O$1004,$T181))))</f>
        <v/>
      </c>
      <c r="G181" s="50">
        <f>IF($T181="","",IF($S181="S",IF(INDEX(Firms!$F$5:$F$1004,$T181)="","",INDEX(Firms!$F$5:$F$1004,$T181)),IF(INDEX('AFA Rates'!$E$5:$E$1004,$T181)="","",INDEX('AFA Rates'!$E$5:$E$1004,$T181))))</f>
        <v/>
      </c>
      <c r="H181" s="50">
        <f>IF($T181="","",IF($S181="S",IF(INDEX(Firms!$G$5:$G$1004,$T181)="","",INDEX(Firms!$G$5:$G$1004,$T181)),IF(INDEX('AFA Rates'!$F$5:$F$1004,$T181)="","",INDEX('AFA Rates'!$F$5:$F$1004,$T181))))</f>
        <v/>
      </c>
      <c r="I181" s="50">
        <f>IF($T181="","",IF($S181="S",IF(INDEX(Firms!$H$5:$H$1004,$T181)="","",INDEX(Firms!$H$5:$H$1004,$T181)),IF(INDEX('AFA Rates'!$G$5:$G$1004,$T181)="","",INDEX('AFA Rates'!$G$5:$G$1004,$T181))))</f>
        <v/>
      </c>
      <c r="J181" s="50">
        <f>IF($T181="","",IF($S181="S",IF(INDEX(Firms!$I$5:$I$1004,$T181)="","",INDEX(Firms!$I$5:$I$1004,$T181)),IF(INDEX('AFA Rates'!$H$5:$H$1004,$T181)="","",INDEX('AFA Rates'!$H$5:$H$1004,$T181))))</f>
        <v/>
      </c>
      <c r="K181" s="50">
        <f>IF($T181="","",IF($S181="S",IF(INDEX(Firms!$J$5:$J$1004,$T181)="","",INDEX(Firms!$J$5:$J$1004,$T181)),IF(INDEX('AFA Rates'!$I$5:$I$1004,$T181)="","",INDEX('AFA Rates'!$I$5:$I$1004,$T181))))</f>
        <v/>
      </c>
      <c r="L181" s="50">
        <f>IF($T181="","",IF($S181="S",IF(INDEX(Firms!$K$5:$K$1004,$T181)="","",INDEX(Firms!$K$5:$K$1004,$T181)),IF(INDEX('AFA Rates'!$J$5:$J$1004,$T181)="","",INDEX('AFA Rates'!$J$5:$J$1004,$T181))))</f>
        <v/>
      </c>
      <c r="M181" s="50">
        <f>IF($T181="","",IF($S181="S",IF(INDEX(Firms!$L$5:$L$1004,$T181)="","",INDEX(Firms!$L$5:$L$1004,$T181)),IF(INDEX('AFA Rates'!$K$5:$K$1004,$T181)="","",INDEX('AFA Rates'!$K$5:$K$1004,$T181))))</f>
        <v/>
      </c>
      <c r="N181" s="50">
        <f>IF($T181="","",IF($S181="S",IF(INDEX(Firms!$M$5:$M$1004,$T181)="","",INDEX(Firms!$M$5:$M$1004,$T181)),IF(INDEX('AFA Rates'!$L$5:$L$1004,$T181)="","",INDEX('AFA Rates'!$L$5:$L$1004,$T181))))</f>
        <v/>
      </c>
      <c r="O181" s="78">
        <f>IF(OR($T181="",$U181=""),"",IF(INDEX(Firms!$C$5:$C$1004,$U181)="","",INDEX(Firms!$C$5:$C$1004,$U181)))</f>
        <v/>
      </c>
      <c r="P181" s="79">
        <f>IF(OR($T181="",$U181=""),"",IF(INDEX(Firms!$N$5:$N$1004,$U181)="","",INDEX(Firms!$N$5:$N$1004,$U181)))</f>
        <v/>
      </c>
      <c r="Q181" s="78">
        <f>IF($T181="","",IF($S181="S",IF(INDEX(Firms!$T$5:$T$1004,$T181)="","",INDEX(Firms!$T$5:$T$1004,$T181)),IF(INDEX('AFA Rates'!$M$5:$M$1004,$T181)="","",INDEX('AFA Rates'!$M$5:$M$1004,$T181))))</f>
        <v/>
      </c>
      <c r="S181">
        <f>IF(177&lt;=$S$2,"S",IF(177&lt;=$S$2+$T$2,"A",""))</f>
        <v/>
      </c>
      <c r="T181">
        <f>IF(S181="S",MATCH(177,Firms!$W$5:$W$1004,0),IF(S181="A",IFERROR(MATCH(177-$S$2,'AFA Rates'!$R$5:$R$1004,0),""),""))</f>
        <v/>
      </c>
      <c r="U181">
        <f>IF(S181="S",T181,IF(AND(S181="A",T181&lt;&gt;""),IFERROR(MATCH(INDEX('AFA Rates'!$A$5:$A$1004,T181),Firms!$A$5:$A$1004,0),""),""))</f>
        <v/>
      </c>
    </row>
    <row r="182">
      <c r="A182" s="78">
        <f>IF($T182="","",IF($S182="S",IF(INDEX(Firms!$A$5:$A$1004,$T182)="","",INDEX(Firms!$A$5:$A$1004,$T182)),IF(INDEX('AFA Rates'!$A$5:$A$1004,$T182)="","",INDEX('AFA Rates'!$A$5:$A$1004,$T182))))</f>
        <v/>
      </c>
      <c r="B182" s="79">
        <f>IF(OR($T182="",$U182=""),IF($T182="","","Not on Firms tab"),INDEX(Firms!$B$5:$B$1004,$U182)&amp;"")</f>
        <v/>
      </c>
      <c r="C182" s="78">
        <f>IF($T182="","",IF($S182="S","Standard",INDEX('AFA Rates'!$B$5:$B$1004,$T182)&amp;""))</f>
        <v/>
      </c>
      <c r="D182" s="88">
        <f>IF($T182="","",IF($S182="S",IF(INDEX(Firms!$E$5:$E$1004,$T182)="","",INDEX(Firms!$E$5:$E$1004,$T182)),IF(INDEX('AFA Rates'!$C$5:$C$1004,$T182)="","",INDEX('AFA Rates'!$C$5:$C$1004,$T182))))</f>
        <v/>
      </c>
      <c r="E182" s="88">
        <f>IF($T182="","",IF($S182="S",IF(""="","",""),IF(INDEX('AFA Rates'!$D$5:$D$1004,$T182)="","",INDEX('AFA Rates'!$D$5:$D$1004,$T182))))</f>
        <v/>
      </c>
      <c r="F182" s="79">
        <f>IF($T182="","",IF($S182="S",IF(INDEX(Firms!$O$5:$O$1004,$T182)="","",INDEX(Firms!$O$5:$O$1004,$T182)),IF(INDEX('AFA Rates'!$O$5:$O$1004,$T182)="","",INDEX('AFA Rates'!$O$5:$O$1004,$T182))))</f>
        <v/>
      </c>
      <c r="G182" s="50">
        <f>IF($T182="","",IF($S182="S",IF(INDEX(Firms!$F$5:$F$1004,$T182)="","",INDEX(Firms!$F$5:$F$1004,$T182)),IF(INDEX('AFA Rates'!$E$5:$E$1004,$T182)="","",INDEX('AFA Rates'!$E$5:$E$1004,$T182))))</f>
        <v/>
      </c>
      <c r="H182" s="50">
        <f>IF($T182="","",IF($S182="S",IF(INDEX(Firms!$G$5:$G$1004,$T182)="","",INDEX(Firms!$G$5:$G$1004,$T182)),IF(INDEX('AFA Rates'!$F$5:$F$1004,$T182)="","",INDEX('AFA Rates'!$F$5:$F$1004,$T182))))</f>
        <v/>
      </c>
      <c r="I182" s="50">
        <f>IF($T182="","",IF($S182="S",IF(INDEX(Firms!$H$5:$H$1004,$T182)="","",INDEX(Firms!$H$5:$H$1004,$T182)),IF(INDEX('AFA Rates'!$G$5:$G$1004,$T182)="","",INDEX('AFA Rates'!$G$5:$G$1004,$T182))))</f>
        <v/>
      </c>
      <c r="J182" s="50">
        <f>IF($T182="","",IF($S182="S",IF(INDEX(Firms!$I$5:$I$1004,$T182)="","",INDEX(Firms!$I$5:$I$1004,$T182)),IF(INDEX('AFA Rates'!$H$5:$H$1004,$T182)="","",INDEX('AFA Rates'!$H$5:$H$1004,$T182))))</f>
        <v/>
      </c>
      <c r="K182" s="50">
        <f>IF($T182="","",IF($S182="S",IF(INDEX(Firms!$J$5:$J$1004,$T182)="","",INDEX(Firms!$J$5:$J$1004,$T182)),IF(INDEX('AFA Rates'!$I$5:$I$1004,$T182)="","",INDEX('AFA Rates'!$I$5:$I$1004,$T182))))</f>
        <v/>
      </c>
      <c r="L182" s="50">
        <f>IF($T182="","",IF($S182="S",IF(INDEX(Firms!$K$5:$K$1004,$T182)="","",INDEX(Firms!$K$5:$K$1004,$T182)),IF(INDEX('AFA Rates'!$J$5:$J$1004,$T182)="","",INDEX('AFA Rates'!$J$5:$J$1004,$T182))))</f>
        <v/>
      </c>
      <c r="M182" s="50">
        <f>IF($T182="","",IF($S182="S",IF(INDEX(Firms!$L$5:$L$1004,$T182)="","",INDEX(Firms!$L$5:$L$1004,$T182)),IF(INDEX('AFA Rates'!$K$5:$K$1004,$T182)="","",INDEX('AFA Rates'!$K$5:$K$1004,$T182))))</f>
        <v/>
      </c>
      <c r="N182" s="50">
        <f>IF($T182="","",IF($S182="S",IF(INDEX(Firms!$M$5:$M$1004,$T182)="","",INDEX(Firms!$M$5:$M$1004,$T182)),IF(INDEX('AFA Rates'!$L$5:$L$1004,$T182)="","",INDEX('AFA Rates'!$L$5:$L$1004,$T182))))</f>
        <v/>
      </c>
      <c r="O182" s="78">
        <f>IF(OR($T182="",$U182=""),"",IF(INDEX(Firms!$C$5:$C$1004,$U182)="","",INDEX(Firms!$C$5:$C$1004,$U182)))</f>
        <v/>
      </c>
      <c r="P182" s="79">
        <f>IF(OR($T182="",$U182=""),"",IF(INDEX(Firms!$N$5:$N$1004,$U182)="","",INDEX(Firms!$N$5:$N$1004,$U182)))</f>
        <v/>
      </c>
      <c r="Q182" s="78">
        <f>IF($T182="","",IF($S182="S",IF(INDEX(Firms!$T$5:$T$1004,$T182)="","",INDEX(Firms!$T$5:$T$1004,$T182)),IF(INDEX('AFA Rates'!$M$5:$M$1004,$T182)="","",INDEX('AFA Rates'!$M$5:$M$1004,$T182))))</f>
        <v/>
      </c>
      <c r="S182">
        <f>IF(178&lt;=$S$2,"S",IF(178&lt;=$S$2+$T$2,"A",""))</f>
        <v/>
      </c>
      <c r="T182">
        <f>IF(S182="S",MATCH(178,Firms!$W$5:$W$1004,0),IF(S182="A",IFERROR(MATCH(178-$S$2,'AFA Rates'!$R$5:$R$1004,0),""),""))</f>
        <v/>
      </c>
      <c r="U182">
        <f>IF(S182="S",T182,IF(AND(S182="A",T182&lt;&gt;""),IFERROR(MATCH(INDEX('AFA Rates'!$A$5:$A$1004,T182),Firms!$A$5:$A$1004,0),""),""))</f>
        <v/>
      </c>
    </row>
    <row r="183">
      <c r="A183" s="78">
        <f>IF($T183="","",IF($S183="S",IF(INDEX(Firms!$A$5:$A$1004,$T183)="","",INDEX(Firms!$A$5:$A$1004,$T183)),IF(INDEX('AFA Rates'!$A$5:$A$1004,$T183)="","",INDEX('AFA Rates'!$A$5:$A$1004,$T183))))</f>
        <v/>
      </c>
      <c r="B183" s="79">
        <f>IF(OR($T183="",$U183=""),IF($T183="","","Not on Firms tab"),INDEX(Firms!$B$5:$B$1004,$U183)&amp;"")</f>
        <v/>
      </c>
      <c r="C183" s="78">
        <f>IF($T183="","",IF($S183="S","Standard",INDEX('AFA Rates'!$B$5:$B$1004,$T183)&amp;""))</f>
        <v/>
      </c>
      <c r="D183" s="88">
        <f>IF($T183="","",IF($S183="S",IF(INDEX(Firms!$E$5:$E$1004,$T183)="","",INDEX(Firms!$E$5:$E$1004,$T183)),IF(INDEX('AFA Rates'!$C$5:$C$1004,$T183)="","",INDEX('AFA Rates'!$C$5:$C$1004,$T183))))</f>
        <v/>
      </c>
      <c r="E183" s="88">
        <f>IF($T183="","",IF($S183="S",IF(""="","",""),IF(INDEX('AFA Rates'!$D$5:$D$1004,$T183)="","",INDEX('AFA Rates'!$D$5:$D$1004,$T183))))</f>
        <v/>
      </c>
      <c r="F183" s="79">
        <f>IF($T183="","",IF($S183="S",IF(INDEX(Firms!$O$5:$O$1004,$T183)="","",INDEX(Firms!$O$5:$O$1004,$T183)),IF(INDEX('AFA Rates'!$O$5:$O$1004,$T183)="","",INDEX('AFA Rates'!$O$5:$O$1004,$T183))))</f>
        <v/>
      </c>
      <c r="G183" s="50">
        <f>IF($T183="","",IF($S183="S",IF(INDEX(Firms!$F$5:$F$1004,$T183)="","",INDEX(Firms!$F$5:$F$1004,$T183)),IF(INDEX('AFA Rates'!$E$5:$E$1004,$T183)="","",INDEX('AFA Rates'!$E$5:$E$1004,$T183))))</f>
        <v/>
      </c>
      <c r="H183" s="50">
        <f>IF($T183="","",IF($S183="S",IF(INDEX(Firms!$G$5:$G$1004,$T183)="","",INDEX(Firms!$G$5:$G$1004,$T183)),IF(INDEX('AFA Rates'!$F$5:$F$1004,$T183)="","",INDEX('AFA Rates'!$F$5:$F$1004,$T183))))</f>
        <v/>
      </c>
      <c r="I183" s="50">
        <f>IF($T183="","",IF($S183="S",IF(INDEX(Firms!$H$5:$H$1004,$T183)="","",INDEX(Firms!$H$5:$H$1004,$T183)),IF(INDEX('AFA Rates'!$G$5:$G$1004,$T183)="","",INDEX('AFA Rates'!$G$5:$G$1004,$T183))))</f>
        <v/>
      </c>
      <c r="J183" s="50">
        <f>IF($T183="","",IF($S183="S",IF(INDEX(Firms!$I$5:$I$1004,$T183)="","",INDEX(Firms!$I$5:$I$1004,$T183)),IF(INDEX('AFA Rates'!$H$5:$H$1004,$T183)="","",INDEX('AFA Rates'!$H$5:$H$1004,$T183))))</f>
        <v/>
      </c>
      <c r="K183" s="50">
        <f>IF($T183="","",IF($S183="S",IF(INDEX(Firms!$J$5:$J$1004,$T183)="","",INDEX(Firms!$J$5:$J$1004,$T183)),IF(INDEX('AFA Rates'!$I$5:$I$1004,$T183)="","",INDEX('AFA Rates'!$I$5:$I$1004,$T183))))</f>
        <v/>
      </c>
      <c r="L183" s="50">
        <f>IF($T183="","",IF($S183="S",IF(INDEX(Firms!$K$5:$K$1004,$T183)="","",INDEX(Firms!$K$5:$K$1004,$T183)),IF(INDEX('AFA Rates'!$J$5:$J$1004,$T183)="","",INDEX('AFA Rates'!$J$5:$J$1004,$T183))))</f>
        <v/>
      </c>
      <c r="M183" s="50">
        <f>IF($T183="","",IF($S183="S",IF(INDEX(Firms!$L$5:$L$1004,$T183)="","",INDEX(Firms!$L$5:$L$1004,$T183)),IF(INDEX('AFA Rates'!$K$5:$K$1004,$T183)="","",INDEX('AFA Rates'!$K$5:$K$1004,$T183))))</f>
        <v/>
      </c>
      <c r="N183" s="50">
        <f>IF($T183="","",IF($S183="S",IF(INDEX(Firms!$M$5:$M$1004,$T183)="","",INDEX(Firms!$M$5:$M$1004,$T183)),IF(INDEX('AFA Rates'!$L$5:$L$1004,$T183)="","",INDEX('AFA Rates'!$L$5:$L$1004,$T183))))</f>
        <v/>
      </c>
      <c r="O183" s="78">
        <f>IF(OR($T183="",$U183=""),"",IF(INDEX(Firms!$C$5:$C$1004,$U183)="","",INDEX(Firms!$C$5:$C$1004,$U183)))</f>
        <v/>
      </c>
      <c r="P183" s="79">
        <f>IF(OR($T183="",$U183=""),"",IF(INDEX(Firms!$N$5:$N$1004,$U183)="","",INDEX(Firms!$N$5:$N$1004,$U183)))</f>
        <v/>
      </c>
      <c r="Q183" s="78">
        <f>IF($T183="","",IF($S183="S",IF(INDEX(Firms!$T$5:$T$1004,$T183)="","",INDEX(Firms!$T$5:$T$1004,$T183)),IF(INDEX('AFA Rates'!$M$5:$M$1004,$T183)="","",INDEX('AFA Rates'!$M$5:$M$1004,$T183))))</f>
        <v/>
      </c>
      <c r="S183">
        <f>IF(179&lt;=$S$2,"S",IF(179&lt;=$S$2+$T$2,"A",""))</f>
        <v/>
      </c>
      <c r="T183">
        <f>IF(S183="S",MATCH(179,Firms!$W$5:$W$1004,0),IF(S183="A",IFERROR(MATCH(179-$S$2,'AFA Rates'!$R$5:$R$1004,0),""),""))</f>
        <v/>
      </c>
      <c r="U183">
        <f>IF(S183="S",T183,IF(AND(S183="A",T183&lt;&gt;""),IFERROR(MATCH(INDEX('AFA Rates'!$A$5:$A$1004,T183),Firms!$A$5:$A$1004,0),""),""))</f>
        <v/>
      </c>
    </row>
    <row r="184">
      <c r="A184" s="78">
        <f>IF($T184="","",IF($S184="S",IF(INDEX(Firms!$A$5:$A$1004,$T184)="","",INDEX(Firms!$A$5:$A$1004,$T184)),IF(INDEX('AFA Rates'!$A$5:$A$1004,$T184)="","",INDEX('AFA Rates'!$A$5:$A$1004,$T184))))</f>
        <v/>
      </c>
      <c r="B184" s="79">
        <f>IF(OR($T184="",$U184=""),IF($T184="","","Not on Firms tab"),INDEX(Firms!$B$5:$B$1004,$U184)&amp;"")</f>
        <v/>
      </c>
      <c r="C184" s="78">
        <f>IF($T184="","",IF($S184="S","Standard",INDEX('AFA Rates'!$B$5:$B$1004,$T184)&amp;""))</f>
        <v/>
      </c>
      <c r="D184" s="88">
        <f>IF($T184="","",IF($S184="S",IF(INDEX(Firms!$E$5:$E$1004,$T184)="","",INDEX(Firms!$E$5:$E$1004,$T184)),IF(INDEX('AFA Rates'!$C$5:$C$1004,$T184)="","",INDEX('AFA Rates'!$C$5:$C$1004,$T184))))</f>
        <v/>
      </c>
      <c r="E184" s="88">
        <f>IF($T184="","",IF($S184="S",IF(""="","",""),IF(INDEX('AFA Rates'!$D$5:$D$1004,$T184)="","",INDEX('AFA Rates'!$D$5:$D$1004,$T184))))</f>
        <v/>
      </c>
      <c r="F184" s="79">
        <f>IF($T184="","",IF($S184="S",IF(INDEX(Firms!$O$5:$O$1004,$T184)="","",INDEX(Firms!$O$5:$O$1004,$T184)),IF(INDEX('AFA Rates'!$O$5:$O$1004,$T184)="","",INDEX('AFA Rates'!$O$5:$O$1004,$T184))))</f>
        <v/>
      </c>
      <c r="G184" s="50">
        <f>IF($T184="","",IF($S184="S",IF(INDEX(Firms!$F$5:$F$1004,$T184)="","",INDEX(Firms!$F$5:$F$1004,$T184)),IF(INDEX('AFA Rates'!$E$5:$E$1004,$T184)="","",INDEX('AFA Rates'!$E$5:$E$1004,$T184))))</f>
        <v/>
      </c>
      <c r="H184" s="50">
        <f>IF($T184="","",IF($S184="S",IF(INDEX(Firms!$G$5:$G$1004,$T184)="","",INDEX(Firms!$G$5:$G$1004,$T184)),IF(INDEX('AFA Rates'!$F$5:$F$1004,$T184)="","",INDEX('AFA Rates'!$F$5:$F$1004,$T184))))</f>
        <v/>
      </c>
      <c r="I184" s="50">
        <f>IF($T184="","",IF($S184="S",IF(INDEX(Firms!$H$5:$H$1004,$T184)="","",INDEX(Firms!$H$5:$H$1004,$T184)),IF(INDEX('AFA Rates'!$G$5:$G$1004,$T184)="","",INDEX('AFA Rates'!$G$5:$G$1004,$T184))))</f>
        <v/>
      </c>
      <c r="J184" s="50">
        <f>IF($T184="","",IF($S184="S",IF(INDEX(Firms!$I$5:$I$1004,$T184)="","",INDEX(Firms!$I$5:$I$1004,$T184)),IF(INDEX('AFA Rates'!$H$5:$H$1004,$T184)="","",INDEX('AFA Rates'!$H$5:$H$1004,$T184))))</f>
        <v/>
      </c>
      <c r="K184" s="50">
        <f>IF($T184="","",IF($S184="S",IF(INDEX(Firms!$J$5:$J$1004,$T184)="","",INDEX(Firms!$J$5:$J$1004,$T184)),IF(INDEX('AFA Rates'!$I$5:$I$1004,$T184)="","",INDEX('AFA Rates'!$I$5:$I$1004,$T184))))</f>
        <v/>
      </c>
      <c r="L184" s="50">
        <f>IF($T184="","",IF($S184="S",IF(INDEX(Firms!$K$5:$K$1004,$T184)="","",INDEX(Firms!$K$5:$K$1004,$T184)),IF(INDEX('AFA Rates'!$J$5:$J$1004,$T184)="","",INDEX('AFA Rates'!$J$5:$J$1004,$T184))))</f>
        <v/>
      </c>
      <c r="M184" s="50">
        <f>IF($T184="","",IF($S184="S",IF(INDEX(Firms!$L$5:$L$1004,$T184)="","",INDEX(Firms!$L$5:$L$1004,$T184)),IF(INDEX('AFA Rates'!$K$5:$K$1004,$T184)="","",INDEX('AFA Rates'!$K$5:$K$1004,$T184))))</f>
        <v/>
      </c>
      <c r="N184" s="50">
        <f>IF($T184="","",IF($S184="S",IF(INDEX(Firms!$M$5:$M$1004,$T184)="","",INDEX(Firms!$M$5:$M$1004,$T184)),IF(INDEX('AFA Rates'!$L$5:$L$1004,$T184)="","",INDEX('AFA Rates'!$L$5:$L$1004,$T184))))</f>
        <v/>
      </c>
      <c r="O184" s="78">
        <f>IF(OR($T184="",$U184=""),"",IF(INDEX(Firms!$C$5:$C$1004,$U184)="","",INDEX(Firms!$C$5:$C$1004,$U184)))</f>
        <v/>
      </c>
      <c r="P184" s="79">
        <f>IF(OR($T184="",$U184=""),"",IF(INDEX(Firms!$N$5:$N$1004,$U184)="","",INDEX(Firms!$N$5:$N$1004,$U184)))</f>
        <v/>
      </c>
      <c r="Q184" s="78">
        <f>IF($T184="","",IF($S184="S",IF(INDEX(Firms!$T$5:$T$1004,$T184)="","",INDEX(Firms!$T$5:$T$1004,$T184)),IF(INDEX('AFA Rates'!$M$5:$M$1004,$T184)="","",INDEX('AFA Rates'!$M$5:$M$1004,$T184))))</f>
        <v/>
      </c>
      <c r="S184">
        <f>IF(180&lt;=$S$2,"S",IF(180&lt;=$S$2+$T$2,"A",""))</f>
        <v/>
      </c>
      <c r="T184">
        <f>IF(S184="S",MATCH(180,Firms!$W$5:$W$1004,0),IF(S184="A",IFERROR(MATCH(180-$S$2,'AFA Rates'!$R$5:$R$1004,0),""),""))</f>
        <v/>
      </c>
      <c r="U184">
        <f>IF(S184="S",T184,IF(AND(S184="A",T184&lt;&gt;""),IFERROR(MATCH(INDEX('AFA Rates'!$A$5:$A$1004,T184),Firms!$A$5:$A$1004,0),""),""))</f>
        <v/>
      </c>
    </row>
    <row r="185">
      <c r="A185" s="78">
        <f>IF($T185="","",IF($S185="S",IF(INDEX(Firms!$A$5:$A$1004,$T185)="","",INDEX(Firms!$A$5:$A$1004,$T185)),IF(INDEX('AFA Rates'!$A$5:$A$1004,$T185)="","",INDEX('AFA Rates'!$A$5:$A$1004,$T185))))</f>
        <v/>
      </c>
      <c r="B185" s="79">
        <f>IF(OR($T185="",$U185=""),IF($T185="","","Not on Firms tab"),INDEX(Firms!$B$5:$B$1004,$U185)&amp;"")</f>
        <v/>
      </c>
      <c r="C185" s="78">
        <f>IF($T185="","",IF($S185="S","Standard",INDEX('AFA Rates'!$B$5:$B$1004,$T185)&amp;""))</f>
        <v/>
      </c>
      <c r="D185" s="88">
        <f>IF($T185="","",IF($S185="S",IF(INDEX(Firms!$E$5:$E$1004,$T185)="","",INDEX(Firms!$E$5:$E$1004,$T185)),IF(INDEX('AFA Rates'!$C$5:$C$1004,$T185)="","",INDEX('AFA Rates'!$C$5:$C$1004,$T185))))</f>
        <v/>
      </c>
      <c r="E185" s="88">
        <f>IF($T185="","",IF($S185="S",IF(""="","",""),IF(INDEX('AFA Rates'!$D$5:$D$1004,$T185)="","",INDEX('AFA Rates'!$D$5:$D$1004,$T185))))</f>
        <v/>
      </c>
      <c r="F185" s="79">
        <f>IF($T185="","",IF($S185="S",IF(INDEX(Firms!$O$5:$O$1004,$T185)="","",INDEX(Firms!$O$5:$O$1004,$T185)),IF(INDEX('AFA Rates'!$O$5:$O$1004,$T185)="","",INDEX('AFA Rates'!$O$5:$O$1004,$T185))))</f>
        <v/>
      </c>
      <c r="G185" s="50">
        <f>IF($T185="","",IF($S185="S",IF(INDEX(Firms!$F$5:$F$1004,$T185)="","",INDEX(Firms!$F$5:$F$1004,$T185)),IF(INDEX('AFA Rates'!$E$5:$E$1004,$T185)="","",INDEX('AFA Rates'!$E$5:$E$1004,$T185))))</f>
        <v/>
      </c>
      <c r="H185" s="50">
        <f>IF($T185="","",IF($S185="S",IF(INDEX(Firms!$G$5:$G$1004,$T185)="","",INDEX(Firms!$G$5:$G$1004,$T185)),IF(INDEX('AFA Rates'!$F$5:$F$1004,$T185)="","",INDEX('AFA Rates'!$F$5:$F$1004,$T185))))</f>
        <v/>
      </c>
      <c r="I185" s="50">
        <f>IF($T185="","",IF($S185="S",IF(INDEX(Firms!$H$5:$H$1004,$T185)="","",INDEX(Firms!$H$5:$H$1004,$T185)),IF(INDEX('AFA Rates'!$G$5:$G$1004,$T185)="","",INDEX('AFA Rates'!$G$5:$G$1004,$T185))))</f>
        <v/>
      </c>
      <c r="J185" s="50">
        <f>IF($T185="","",IF($S185="S",IF(INDEX(Firms!$I$5:$I$1004,$T185)="","",INDEX(Firms!$I$5:$I$1004,$T185)),IF(INDEX('AFA Rates'!$H$5:$H$1004,$T185)="","",INDEX('AFA Rates'!$H$5:$H$1004,$T185))))</f>
        <v/>
      </c>
      <c r="K185" s="50">
        <f>IF($T185="","",IF($S185="S",IF(INDEX(Firms!$J$5:$J$1004,$T185)="","",INDEX(Firms!$J$5:$J$1004,$T185)),IF(INDEX('AFA Rates'!$I$5:$I$1004,$T185)="","",INDEX('AFA Rates'!$I$5:$I$1004,$T185))))</f>
        <v/>
      </c>
      <c r="L185" s="50">
        <f>IF($T185="","",IF($S185="S",IF(INDEX(Firms!$K$5:$K$1004,$T185)="","",INDEX(Firms!$K$5:$K$1004,$T185)),IF(INDEX('AFA Rates'!$J$5:$J$1004,$T185)="","",INDEX('AFA Rates'!$J$5:$J$1004,$T185))))</f>
        <v/>
      </c>
      <c r="M185" s="50">
        <f>IF($T185="","",IF($S185="S",IF(INDEX(Firms!$L$5:$L$1004,$T185)="","",INDEX(Firms!$L$5:$L$1004,$T185)),IF(INDEX('AFA Rates'!$K$5:$K$1004,$T185)="","",INDEX('AFA Rates'!$K$5:$K$1004,$T185))))</f>
        <v/>
      </c>
      <c r="N185" s="50">
        <f>IF($T185="","",IF($S185="S",IF(INDEX(Firms!$M$5:$M$1004,$T185)="","",INDEX(Firms!$M$5:$M$1004,$T185)),IF(INDEX('AFA Rates'!$L$5:$L$1004,$T185)="","",INDEX('AFA Rates'!$L$5:$L$1004,$T185))))</f>
        <v/>
      </c>
      <c r="O185" s="78">
        <f>IF(OR($T185="",$U185=""),"",IF(INDEX(Firms!$C$5:$C$1004,$U185)="","",INDEX(Firms!$C$5:$C$1004,$U185)))</f>
        <v/>
      </c>
      <c r="P185" s="79">
        <f>IF(OR($T185="",$U185=""),"",IF(INDEX(Firms!$N$5:$N$1004,$U185)="","",INDEX(Firms!$N$5:$N$1004,$U185)))</f>
        <v/>
      </c>
      <c r="Q185" s="78">
        <f>IF($T185="","",IF($S185="S",IF(INDEX(Firms!$T$5:$T$1004,$T185)="","",INDEX(Firms!$T$5:$T$1004,$T185)),IF(INDEX('AFA Rates'!$M$5:$M$1004,$T185)="","",INDEX('AFA Rates'!$M$5:$M$1004,$T185))))</f>
        <v/>
      </c>
      <c r="S185">
        <f>IF(181&lt;=$S$2,"S",IF(181&lt;=$S$2+$T$2,"A",""))</f>
        <v/>
      </c>
      <c r="T185">
        <f>IF(S185="S",MATCH(181,Firms!$W$5:$W$1004,0),IF(S185="A",IFERROR(MATCH(181-$S$2,'AFA Rates'!$R$5:$R$1004,0),""),""))</f>
        <v/>
      </c>
      <c r="U185">
        <f>IF(S185="S",T185,IF(AND(S185="A",T185&lt;&gt;""),IFERROR(MATCH(INDEX('AFA Rates'!$A$5:$A$1004,T185),Firms!$A$5:$A$1004,0),""),""))</f>
        <v/>
      </c>
    </row>
    <row r="186">
      <c r="A186" s="78">
        <f>IF($T186="","",IF($S186="S",IF(INDEX(Firms!$A$5:$A$1004,$T186)="","",INDEX(Firms!$A$5:$A$1004,$T186)),IF(INDEX('AFA Rates'!$A$5:$A$1004,$T186)="","",INDEX('AFA Rates'!$A$5:$A$1004,$T186))))</f>
        <v/>
      </c>
      <c r="B186" s="79">
        <f>IF(OR($T186="",$U186=""),IF($T186="","","Not on Firms tab"),INDEX(Firms!$B$5:$B$1004,$U186)&amp;"")</f>
        <v/>
      </c>
      <c r="C186" s="78">
        <f>IF($T186="","",IF($S186="S","Standard",INDEX('AFA Rates'!$B$5:$B$1004,$T186)&amp;""))</f>
        <v/>
      </c>
      <c r="D186" s="88">
        <f>IF($T186="","",IF($S186="S",IF(INDEX(Firms!$E$5:$E$1004,$T186)="","",INDEX(Firms!$E$5:$E$1004,$T186)),IF(INDEX('AFA Rates'!$C$5:$C$1004,$T186)="","",INDEX('AFA Rates'!$C$5:$C$1004,$T186))))</f>
        <v/>
      </c>
      <c r="E186" s="88">
        <f>IF($T186="","",IF($S186="S",IF(""="","",""),IF(INDEX('AFA Rates'!$D$5:$D$1004,$T186)="","",INDEX('AFA Rates'!$D$5:$D$1004,$T186))))</f>
        <v/>
      </c>
      <c r="F186" s="79">
        <f>IF($T186="","",IF($S186="S",IF(INDEX(Firms!$O$5:$O$1004,$T186)="","",INDEX(Firms!$O$5:$O$1004,$T186)),IF(INDEX('AFA Rates'!$O$5:$O$1004,$T186)="","",INDEX('AFA Rates'!$O$5:$O$1004,$T186))))</f>
        <v/>
      </c>
      <c r="G186" s="50">
        <f>IF($T186="","",IF($S186="S",IF(INDEX(Firms!$F$5:$F$1004,$T186)="","",INDEX(Firms!$F$5:$F$1004,$T186)),IF(INDEX('AFA Rates'!$E$5:$E$1004,$T186)="","",INDEX('AFA Rates'!$E$5:$E$1004,$T186))))</f>
        <v/>
      </c>
      <c r="H186" s="50">
        <f>IF($T186="","",IF($S186="S",IF(INDEX(Firms!$G$5:$G$1004,$T186)="","",INDEX(Firms!$G$5:$G$1004,$T186)),IF(INDEX('AFA Rates'!$F$5:$F$1004,$T186)="","",INDEX('AFA Rates'!$F$5:$F$1004,$T186))))</f>
        <v/>
      </c>
      <c r="I186" s="50">
        <f>IF($T186="","",IF($S186="S",IF(INDEX(Firms!$H$5:$H$1004,$T186)="","",INDEX(Firms!$H$5:$H$1004,$T186)),IF(INDEX('AFA Rates'!$G$5:$G$1004,$T186)="","",INDEX('AFA Rates'!$G$5:$G$1004,$T186))))</f>
        <v/>
      </c>
      <c r="J186" s="50">
        <f>IF($T186="","",IF($S186="S",IF(INDEX(Firms!$I$5:$I$1004,$T186)="","",INDEX(Firms!$I$5:$I$1004,$T186)),IF(INDEX('AFA Rates'!$H$5:$H$1004,$T186)="","",INDEX('AFA Rates'!$H$5:$H$1004,$T186))))</f>
        <v/>
      </c>
      <c r="K186" s="50">
        <f>IF($T186="","",IF($S186="S",IF(INDEX(Firms!$J$5:$J$1004,$T186)="","",INDEX(Firms!$J$5:$J$1004,$T186)),IF(INDEX('AFA Rates'!$I$5:$I$1004,$T186)="","",INDEX('AFA Rates'!$I$5:$I$1004,$T186))))</f>
        <v/>
      </c>
      <c r="L186" s="50">
        <f>IF($T186="","",IF($S186="S",IF(INDEX(Firms!$K$5:$K$1004,$T186)="","",INDEX(Firms!$K$5:$K$1004,$T186)),IF(INDEX('AFA Rates'!$J$5:$J$1004,$T186)="","",INDEX('AFA Rates'!$J$5:$J$1004,$T186))))</f>
        <v/>
      </c>
      <c r="M186" s="50">
        <f>IF($T186="","",IF($S186="S",IF(INDEX(Firms!$L$5:$L$1004,$T186)="","",INDEX(Firms!$L$5:$L$1004,$T186)),IF(INDEX('AFA Rates'!$K$5:$K$1004,$T186)="","",INDEX('AFA Rates'!$K$5:$K$1004,$T186))))</f>
        <v/>
      </c>
      <c r="N186" s="50">
        <f>IF($T186="","",IF($S186="S",IF(INDEX(Firms!$M$5:$M$1004,$T186)="","",INDEX(Firms!$M$5:$M$1004,$T186)),IF(INDEX('AFA Rates'!$L$5:$L$1004,$T186)="","",INDEX('AFA Rates'!$L$5:$L$1004,$T186))))</f>
        <v/>
      </c>
      <c r="O186" s="78">
        <f>IF(OR($T186="",$U186=""),"",IF(INDEX(Firms!$C$5:$C$1004,$U186)="","",INDEX(Firms!$C$5:$C$1004,$U186)))</f>
        <v/>
      </c>
      <c r="P186" s="79">
        <f>IF(OR($T186="",$U186=""),"",IF(INDEX(Firms!$N$5:$N$1004,$U186)="","",INDEX(Firms!$N$5:$N$1004,$U186)))</f>
        <v/>
      </c>
      <c r="Q186" s="78">
        <f>IF($T186="","",IF($S186="S",IF(INDEX(Firms!$T$5:$T$1004,$T186)="","",INDEX(Firms!$T$5:$T$1004,$T186)),IF(INDEX('AFA Rates'!$M$5:$M$1004,$T186)="","",INDEX('AFA Rates'!$M$5:$M$1004,$T186))))</f>
        <v/>
      </c>
      <c r="S186">
        <f>IF(182&lt;=$S$2,"S",IF(182&lt;=$S$2+$T$2,"A",""))</f>
        <v/>
      </c>
      <c r="T186">
        <f>IF(S186="S",MATCH(182,Firms!$W$5:$W$1004,0),IF(S186="A",IFERROR(MATCH(182-$S$2,'AFA Rates'!$R$5:$R$1004,0),""),""))</f>
        <v/>
      </c>
      <c r="U186">
        <f>IF(S186="S",T186,IF(AND(S186="A",T186&lt;&gt;""),IFERROR(MATCH(INDEX('AFA Rates'!$A$5:$A$1004,T186),Firms!$A$5:$A$1004,0),""),""))</f>
        <v/>
      </c>
    </row>
    <row r="187">
      <c r="A187" s="78">
        <f>IF($T187="","",IF($S187="S",IF(INDEX(Firms!$A$5:$A$1004,$T187)="","",INDEX(Firms!$A$5:$A$1004,$T187)),IF(INDEX('AFA Rates'!$A$5:$A$1004,$T187)="","",INDEX('AFA Rates'!$A$5:$A$1004,$T187))))</f>
        <v/>
      </c>
      <c r="B187" s="79">
        <f>IF(OR($T187="",$U187=""),IF($T187="","","Not on Firms tab"),INDEX(Firms!$B$5:$B$1004,$U187)&amp;"")</f>
        <v/>
      </c>
      <c r="C187" s="78">
        <f>IF($T187="","",IF($S187="S","Standard",INDEX('AFA Rates'!$B$5:$B$1004,$T187)&amp;""))</f>
        <v/>
      </c>
      <c r="D187" s="88">
        <f>IF($T187="","",IF($S187="S",IF(INDEX(Firms!$E$5:$E$1004,$T187)="","",INDEX(Firms!$E$5:$E$1004,$T187)),IF(INDEX('AFA Rates'!$C$5:$C$1004,$T187)="","",INDEX('AFA Rates'!$C$5:$C$1004,$T187))))</f>
        <v/>
      </c>
      <c r="E187" s="88">
        <f>IF($T187="","",IF($S187="S",IF(""="","",""),IF(INDEX('AFA Rates'!$D$5:$D$1004,$T187)="","",INDEX('AFA Rates'!$D$5:$D$1004,$T187))))</f>
        <v/>
      </c>
      <c r="F187" s="79">
        <f>IF($T187="","",IF($S187="S",IF(INDEX(Firms!$O$5:$O$1004,$T187)="","",INDEX(Firms!$O$5:$O$1004,$T187)),IF(INDEX('AFA Rates'!$O$5:$O$1004,$T187)="","",INDEX('AFA Rates'!$O$5:$O$1004,$T187))))</f>
        <v/>
      </c>
      <c r="G187" s="50">
        <f>IF($T187="","",IF($S187="S",IF(INDEX(Firms!$F$5:$F$1004,$T187)="","",INDEX(Firms!$F$5:$F$1004,$T187)),IF(INDEX('AFA Rates'!$E$5:$E$1004,$T187)="","",INDEX('AFA Rates'!$E$5:$E$1004,$T187))))</f>
        <v/>
      </c>
      <c r="H187" s="50">
        <f>IF($T187="","",IF($S187="S",IF(INDEX(Firms!$G$5:$G$1004,$T187)="","",INDEX(Firms!$G$5:$G$1004,$T187)),IF(INDEX('AFA Rates'!$F$5:$F$1004,$T187)="","",INDEX('AFA Rates'!$F$5:$F$1004,$T187))))</f>
        <v/>
      </c>
      <c r="I187" s="50">
        <f>IF($T187="","",IF($S187="S",IF(INDEX(Firms!$H$5:$H$1004,$T187)="","",INDEX(Firms!$H$5:$H$1004,$T187)),IF(INDEX('AFA Rates'!$G$5:$G$1004,$T187)="","",INDEX('AFA Rates'!$G$5:$G$1004,$T187))))</f>
        <v/>
      </c>
      <c r="J187" s="50">
        <f>IF($T187="","",IF($S187="S",IF(INDEX(Firms!$I$5:$I$1004,$T187)="","",INDEX(Firms!$I$5:$I$1004,$T187)),IF(INDEX('AFA Rates'!$H$5:$H$1004,$T187)="","",INDEX('AFA Rates'!$H$5:$H$1004,$T187))))</f>
        <v/>
      </c>
      <c r="K187" s="50">
        <f>IF($T187="","",IF($S187="S",IF(INDEX(Firms!$J$5:$J$1004,$T187)="","",INDEX(Firms!$J$5:$J$1004,$T187)),IF(INDEX('AFA Rates'!$I$5:$I$1004,$T187)="","",INDEX('AFA Rates'!$I$5:$I$1004,$T187))))</f>
        <v/>
      </c>
      <c r="L187" s="50">
        <f>IF($T187="","",IF($S187="S",IF(INDEX(Firms!$K$5:$K$1004,$T187)="","",INDEX(Firms!$K$5:$K$1004,$T187)),IF(INDEX('AFA Rates'!$J$5:$J$1004,$T187)="","",INDEX('AFA Rates'!$J$5:$J$1004,$T187))))</f>
        <v/>
      </c>
      <c r="M187" s="50">
        <f>IF($T187="","",IF($S187="S",IF(INDEX(Firms!$L$5:$L$1004,$T187)="","",INDEX(Firms!$L$5:$L$1004,$T187)),IF(INDEX('AFA Rates'!$K$5:$K$1004,$T187)="","",INDEX('AFA Rates'!$K$5:$K$1004,$T187))))</f>
        <v/>
      </c>
      <c r="N187" s="50">
        <f>IF($T187="","",IF($S187="S",IF(INDEX(Firms!$M$5:$M$1004,$T187)="","",INDEX(Firms!$M$5:$M$1004,$T187)),IF(INDEX('AFA Rates'!$L$5:$L$1004,$T187)="","",INDEX('AFA Rates'!$L$5:$L$1004,$T187))))</f>
        <v/>
      </c>
      <c r="O187" s="78">
        <f>IF(OR($T187="",$U187=""),"",IF(INDEX(Firms!$C$5:$C$1004,$U187)="","",INDEX(Firms!$C$5:$C$1004,$U187)))</f>
        <v/>
      </c>
      <c r="P187" s="79">
        <f>IF(OR($T187="",$U187=""),"",IF(INDEX(Firms!$N$5:$N$1004,$U187)="","",INDEX(Firms!$N$5:$N$1004,$U187)))</f>
        <v/>
      </c>
      <c r="Q187" s="78">
        <f>IF($T187="","",IF($S187="S",IF(INDEX(Firms!$T$5:$T$1004,$T187)="","",INDEX(Firms!$T$5:$T$1004,$T187)),IF(INDEX('AFA Rates'!$M$5:$M$1004,$T187)="","",INDEX('AFA Rates'!$M$5:$M$1004,$T187))))</f>
        <v/>
      </c>
      <c r="S187">
        <f>IF(183&lt;=$S$2,"S",IF(183&lt;=$S$2+$T$2,"A",""))</f>
        <v/>
      </c>
      <c r="T187">
        <f>IF(S187="S",MATCH(183,Firms!$W$5:$W$1004,0),IF(S187="A",IFERROR(MATCH(183-$S$2,'AFA Rates'!$R$5:$R$1004,0),""),""))</f>
        <v/>
      </c>
      <c r="U187">
        <f>IF(S187="S",T187,IF(AND(S187="A",T187&lt;&gt;""),IFERROR(MATCH(INDEX('AFA Rates'!$A$5:$A$1004,T187),Firms!$A$5:$A$1004,0),""),""))</f>
        <v/>
      </c>
    </row>
    <row r="188">
      <c r="A188" s="78">
        <f>IF($T188="","",IF($S188="S",IF(INDEX(Firms!$A$5:$A$1004,$T188)="","",INDEX(Firms!$A$5:$A$1004,$T188)),IF(INDEX('AFA Rates'!$A$5:$A$1004,$T188)="","",INDEX('AFA Rates'!$A$5:$A$1004,$T188))))</f>
        <v/>
      </c>
      <c r="B188" s="79">
        <f>IF(OR($T188="",$U188=""),IF($T188="","","Not on Firms tab"),INDEX(Firms!$B$5:$B$1004,$U188)&amp;"")</f>
        <v/>
      </c>
      <c r="C188" s="78">
        <f>IF($T188="","",IF($S188="S","Standard",INDEX('AFA Rates'!$B$5:$B$1004,$T188)&amp;""))</f>
        <v/>
      </c>
      <c r="D188" s="88">
        <f>IF($T188="","",IF($S188="S",IF(INDEX(Firms!$E$5:$E$1004,$T188)="","",INDEX(Firms!$E$5:$E$1004,$T188)),IF(INDEX('AFA Rates'!$C$5:$C$1004,$T188)="","",INDEX('AFA Rates'!$C$5:$C$1004,$T188))))</f>
        <v/>
      </c>
      <c r="E188" s="88">
        <f>IF($T188="","",IF($S188="S",IF(""="","",""),IF(INDEX('AFA Rates'!$D$5:$D$1004,$T188)="","",INDEX('AFA Rates'!$D$5:$D$1004,$T188))))</f>
        <v/>
      </c>
      <c r="F188" s="79">
        <f>IF($T188="","",IF($S188="S",IF(INDEX(Firms!$O$5:$O$1004,$T188)="","",INDEX(Firms!$O$5:$O$1004,$T188)),IF(INDEX('AFA Rates'!$O$5:$O$1004,$T188)="","",INDEX('AFA Rates'!$O$5:$O$1004,$T188))))</f>
        <v/>
      </c>
      <c r="G188" s="50">
        <f>IF($T188="","",IF($S188="S",IF(INDEX(Firms!$F$5:$F$1004,$T188)="","",INDEX(Firms!$F$5:$F$1004,$T188)),IF(INDEX('AFA Rates'!$E$5:$E$1004,$T188)="","",INDEX('AFA Rates'!$E$5:$E$1004,$T188))))</f>
        <v/>
      </c>
      <c r="H188" s="50">
        <f>IF($T188="","",IF($S188="S",IF(INDEX(Firms!$G$5:$G$1004,$T188)="","",INDEX(Firms!$G$5:$G$1004,$T188)),IF(INDEX('AFA Rates'!$F$5:$F$1004,$T188)="","",INDEX('AFA Rates'!$F$5:$F$1004,$T188))))</f>
        <v/>
      </c>
      <c r="I188" s="50">
        <f>IF($T188="","",IF($S188="S",IF(INDEX(Firms!$H$5:$H$1004,$T188)="","",INDEX(Firms!$H$5:$H$1004,$T188)),IF(INDEX('AFA Rates'!$G$5:$G$1004,$T188)="","",INDEX('AFA Rates'!$G$5:$G$1004,$T188))))</f>
        <v/>
      </c>
      <c r="J188" s="50">
        <f>IF($T188="","",IF($S188="S",IF(INDEX(Firms!$I$5:$I$1004,$T188)="","",INDEX(Firms!$I$5:$I$1004,$T188)),IF(INDEX('AFA Rates'!$H$5:$H$1004,$T188)="","",INDEX('AFA Rates'!$H$5:$H$1004,$T188))))</f>
        <v/>
      </c>
      <c r="K188" s="50">
        <f>IF($T188="","",IF($S188="S",IF(INDEX(Firms!$J$5:$J$1004,$T188)="","",INDEX(Firms!$J$5:$J$1004,$T188)),IF(INDEX('AFA Rates'!$I$5:$I$1004,$T188)="","",INDEX('AFA Rates'!$I$5:$I$1004,$T188))))</f>
        <v/>
      </c>
      <c r="L188" s="50">
        <f>IF($T188="","",IF($S188="S",IF(INDEX(Firms!$K$5:$K$1004,$T188)="","",INDEX(Firms!$K$5:$K$1004,$T188)),IF(INDEX('AFA Rates'!$J$5:$J$1004,$T188)="","",INDEX('AFA Rates'!$J$5:$J$1004,$T188))))</f>
        <v/>
      </c>
      <c r="M188" s="50">
        <f>IF($T188="","",IF($S188="S",IF(INDEX(Firms!$L$5:$L$1004,$T188)="","",INDEX(Firms!$L$5:$L$1004,$T188)),IF(INDEX('AFA Rates'!$K$5:$K$1004,$T188)="","",INDEX('AFA Rates'!$K$5:$K$1004,$T188))))</f>
        <v/>
      </c>
      <c r="N188" s="50">
        <f>IF($T188="","",IF($S188="S",IF(INDEX(Firms!$M$5:$M$1004,$T188)="","",INDEX(Firms!$M$5:$M$1004,$T188)),IF(INDEX('AFA Rates'!$L$5:$L$1004,$T188)="","",INDEX('AFA Rates'!$L$5:$L$1004,$T188))))</f>
        <v/>
      </c>
      <c r="O188" s="78">
        <f>IF(OR($T188="",$U188=""),"",IF(INDEX(Firms!$C$5:$C$1004,$U188)="","",INDEX(Firms!$C$5:$C$1004,$U188)))</f>
        <v/>
      </c>
      <c r="P188" s="79">
        <f>IF(OR($T188="",$U188=""),"",IF(INDEX(Firms!$N$5:$N$1004,$U188)="","",INDEX(Firms!$N$5:$N$1004,$U188)))</f>
        <v/>
      </c>
      <c r="Q188" s="78">
        <f>IF($T188="","",IF($S188="S",IF(INDEX(Firms!$T$5:$T$1004,$T188)="","",INDEX(Firms!$T$5:$T$1004,$T188)),IF(INDEX('AFA Rates'!$M$5:$M$1004,$T188)="","",INDEX('AFA Rates'!$M$5:$M$1004,$T188))))</f>
        <v/>
      </c>
      <c r="S188">
        <f>IF(184&lt;=$S$2,"S",IF(184&lt;=$S$2+$T$2,"A",""))</f>
        <v/>
      </c>
      <c r="T188">
        <f>IF(S188="S",MATCH(184,Firms!$W$5:$W$1004,0),IF(S188="A",IFERROR(MATCH(184-$S$2,'AFA Rates'!$R$5:$R$1004,0),""),""))</f>
        <v/>
      </c>
      <c r="U188">
        <f>IF(S188="S",T188,IF(AND(S188="A",T188&lt;&gt;""),IFERROR(MATCH(INDEX('AFA Rates'!$A$5:$A$1004,T188),Firms!$A$5:$A$1004,0),""),""))</f>
        <v/>
      </c>
    </row>
    <row r="189">
      <c r="A189" s="78">
        <f>IF($T189="","",IF($S189="S",IF(INDEX(Firms!$A$5:$A$1004,$T189)="","",INDEX(Firms!$A$5:$A$1004,$T189)),IF(INDEX('AFA Rates'!$A$5:$A$1004,$T189)="","",INDEX('AFA Rates'!$A$5:$A$1004,$T189))))</f>
        <v/>
      </c>
      <c r="B189" s="79">
        <f>IF(OR($T189="",$U189=""),IF($T189="","","Not on Firms tab"),INDEX(Firms!$B$5:$B$1004,$U189)&amp;"")</f>
        <v/>
      </c>
      <c r="C189" s="78">
        <f>IF($T189="","",IF($S189="S","Standard",INDEX('AFA Rates'!$B$5:$B$1004,$T189)&amp;""))</f>
        <v/>
      </c>
      <c r="D189" s="88">
        <f>IF($T189="","",IF($S189="S",IF(INDEX(Firms!$E$5:$E$1004,$T189)="","",INDEX(Firms!$E$5:$E$1004,$T189)),IF(INDEX('AFA Rates'!$C$5:$C$1004,$T189)="","",INDEX('AFA Rates'!$C$5:$C$1004,$T189))))</f>
        <v/>
      </c>
      <c r="E189" s="88">
        <f>IF($T189="","",IF($S189="S",IF(""="","",""),IF(INDEX('AFA Rates'!$D$5:$D$1004,$T189)="","",INDEX('AFA Rates'!$D$5:$D$1004,$T189))))</f>
        <v/>
      </c>
      <c r="F189" s="79">
        <f>IF($T189="","",IF($S189="S",IF(INDEX(Firms!$O$5:$O$1004,$T189)="","",INDEX(Firms!$O$5:$O$1004,$T189)),IF(INDEX('AFA Rates'!$O$5:$O$1004,$T189)="","",INDEX('AFA Rates'!$O$5:$O$1004,$T189))))</f>
        <v/>
      </c>
      <c r="G189" s="50">
        <f>IF($T189="","",IF($S189="S",IF(INDEX(Firms!$F$5:$F$1004,$T189)="","",INDEX(Firms!$F$5:$F$1004,$T189)),IF(INDEX('AFA Rates'!$E$5:$E$1004,$T189)="","",INDEX('AFA Rates'!$E$5:$E$1004,$T189))))</f>
        <v/>
      </c>
      <c r="H189" s="50">
        <f>IF($T189="","",IF($S189="S",IF(INDEX(Firms!$G$5:$G$1004,$T189)="","",INDEX(Firms!$G$5:$G$1004,$T189)),IF(INDEX('AFA Rates'!$F$5:$F$1004,$T189)="","",INDEX('AFA Rates'!$F$5:$F$1004,$T189))))</f>
        <v/>
      </c>
      <c r="I189" s="50">
        <f>IF($T189="","",IF($S189="S",IF(INDEX(Firms!$H$5:$H$1004,$T189)="","",INDEX(Firms!$H$5:$H$1004,$T189)),IF(INDEX('AFA Rates'!$G$5:$G$1004,$T189)="","",INDEX('AFA Rates'!$G$5:$G$1004,$T189))))</f>
        <v/>
      </c>
      <c r="J189" s="50">
        <f>IF($T189="","",IF($S189="S",IF(INDEX(Firms!$I$5:$I$1004,$T189)="","",INDEX(Firms!$I$5:$I$1004,$T189)),IF(INDEX('AFA Rates'!$H$5:$H$1004,$T189)="","",INDEX('AFA Rates'!$H$5:$H$1004,$T189))))</f>
        <v/>
      </c>
      <c r="K189" s="50">
        <f>IF($T189="","",IF($S189="S",IF(INDEX(Firms!$J$5:$J$1004,$T189)="","",INDEX(Firms!$J$5:$J$1004,$T189)),IF(INDEX('AFA Rates'!$I$5:$I$1004,$T189)="","",INDEX('AFA Rates'!$I$5:$I$1004,$T189))))</f>
        <v/>
      </c>
      <c r="L189" s="50">
        <f>IF($T189="","",IF($S189="S",IF(INDEX(Firms!$K$5:$K$1004,$T189)="","",INDEX(Firms!$K$5:$K$1004,$T189)),IF(INDEX('AFA Rates'!$J$5:$J$1004,$T189)="","",INDEX('AFA Rates'!$J$5:$J$1004,$T189))))</f>
        <v/>
      </c>
      <c r="M189" s="50">
        <f>IF($T189="","",IF($S189="S",IF(INDEX(Firms!$L$5:$L$1004,$T189)="","",INDEX(Firms!$L$5:$L$1004,$T189)),IF(INDEX('AFA Rates'!$K$5:$K$1004,$T189)="","",INDEX('AFA Rates'!$K$5:$K$1004,$T189))))</f>
        <v/>
      </c>
      <c r="N189" s="50">
        <f>IF($T189="","",IF($S189="S",IF(INDEX(Firms!$M$5:$M$1004,$T189)="","",INDEX(Firms!$M$5:$M$1004,$T189)),IF(INDEX('AFA Rates'!$L$5:$L$1004,$T189)="","",INDEX('AFA Rates'!$L$5:$L$1004,$T189))))</f>
        <v/>
      </c>
      <c r="O189" s="78">
        <f>IF(OR($T189="",$U189=""),"",IF(INDEX(Firms!$C$5:$C$1004,$U189)="","",INDEX(Firms!$C$5:$C$1004,$U189)))</f>
        <v/>
      </c>
      <c r="P189" s="79">
        <f>IF(OR($T189="",$U189=""),"",IF(INDEX(Firms!$N$5:$N$1004,$U189)="","",INDEX(Firms!$N$5:$N$1004,$U189)))</f>
        <v/>
      </c>
      <c r="Q189" s="78">
        <f>IF($T189="","",IF($S189="S",IF(INDEX(Firms!$T$5:$T$1004,$T189)="","",INDEX(Firms!$T$5:$T$1004,$T189)),IF(INDEX('AFA Rates'!$M$5:$M$1004,$T189)="","",INDEX('AFA Rates'!$M$5:$M$1004,$T189))))</f>
        <v/>
      </c>
      <c r="S189">
        <f>IF(185&lt;=$S$2,"S",IF(185&lt;=$S$2+$T$2,"A",""))</f>
        <v/>
      </c>
      <c r="T189">
        <f>IF(S189="S",MATCH(185,Firms!$W$5:$W$1004,0),IF(S189="A",IFERROR(MATCH(185-$S$2,'AFA Rates'!$R$5:$R$1004,0),""),""))</f>
        <v/>
      </c>
      <c r="U189">
        <f>IF(S189="S",T189,IF(AND(S189="A",T189&lt;&gt;""),IFERROR(MATCH(INDEX('AFA Rates'!$A$5:$A$1004,T189),Firms!$A$5:$A$1004,0),""),""))</f>
        <v/>
      </c>
    </row>
    <row r="190">
      <c r="A190" s="78">
        <f>IF($T190="","",IF($S190="S",IF(INDEX(Firms!$A$5:$A$1004,$T190)="","",INDEX(Firms!$A$5:$A$1004,$T190)),IF(INDEX('AFA Rates'!$A$5:$A$1004,$T190)="","",INDEX('AFA Rates'!$A$5:$A$1004,$T190))))</f>
        <v/>
      </c>
      <c r="B190" s="79">
        <f>IF(OR($T190="",$U190=""),IF($T190="","","Not on Firms tab"),INDEX(Firms!$B$5:$B$1004,$U190)&amp;"")</f>
        <v/>
      </c>
      <c r="C190" s="78">
        <f>IF($T190="","",IF($S190="S","Standard",INDEX('AFA Rates'!$B$5:$B$1004,$T190)&amp;""))</f>
        <v/>
      </c>
      <c r="D190" s="88">
        <f>IF($T190="","",IF($S190="S",IF(INDEX(Firms!$E$5:$E$1004,$T190)="","",INDEX(Firms!$E$5:$E$1004,$T190)),IF(INDEX('AFA Rates'!$C$5:$C$1004,$T190)="","",INDEX('AFA Rates'!$C$5:$C$1004,$T190))))</f>
        <v/>
      </c>
      <c r="E190" s="88">
        <f>IF($T190="","",IF($S190="S",IF(""="","",""),IF(INDEX('AFA Rates'!$D$5:$D$1004,$T190)="","",INDEX('AFA Rates'!$D$5:$D$1004,$T190))))</f>
        <v/>
      </c>
      <c r="F190" s="79">
        <f>IF($T190="","",IF($S190="S",IF(INDEX(Firms!$O$5:$O$1004,$T190)="","",INDEX(Firms!$O$5:$O$1004,$T190)),IF(INDEX('AFA Rates'!$O$5:$O$1004,$T190)="","",INDEX('AFA Rates'!$O$5:$O$1004,$T190))))</f>
        <v/>
      </c>
      <c r="G190" s="50">
        <f>IF($T190="","",IF($S190="S",IF(INDEX(Firms!$F$5:$F$1004,$T190)="","",INDEX(Firms!$F$5:$F$1004,$T190)),IF(INDEX('AFA Rates'!$E$5:$E$1004,$T190)="","",INDEX('AFA Rates'!$E$5:$E$1004,$T190))))</f>
        <v/>
      </c>
      <c r="H190" s="50">
        <f>IF($T190="","",IF($S190="S",IF(INDEX(Firms!$G$5:$G$1004,$T190)="","",INDEX(Firms!$G$5:$G$1004,$T190)),IF(INDEX('AFA Rates'!$F$5:$F$1004,$T190)="","",INDEX('AFA Rates'!$F$5:$F$1004,$T190))))</f>
        <v/>
      </c>
      <c r="I190" s="50">
        <f>IF($T190="","",IF($S190="S",IF(INDEX(Firms!$H$5:$H$1004,$T190)="","",INDEX(Firms!$H$5:$H$1004,$T190)),IF(INDEX('AFA Rates'!$G$5:$G$1004,$T190)="","",INDEX('AFA Rates'!$G$5:$G$1004,$T190))))</f>
        <v/>
      </c>
      <c r="J190" s="50">
        <f>IF($T190="","",IF($S190="S",IF(INDEX(Firms!$I$5:$I$1004,$T190)="","",INDEX(Firms!$I$5:$I$1004,$T190)),IF(INDEX('AFA Rates'!$H$5:$H$1004,$T190)="","",INDEX('AFA Rates'!$H$5:$H$1004,$T190))))</f>
        <v/>
      </c>
      <c r="K190" s="50">
        <f>IF($T190="","",IF($S190="S",IF(INDEX(Firms!$J$5:$J$1004,$T190)="","",INDEX(Firms!$J$5:$J$1004,$T190)),IF(INDEX('AFA Rates'!$I$5:$I$1004,$T190)="","",INDEX('AFA Rates'!$I$5:$I$1004,$T190))))</f>
        <v/>
      </c>
      <c r="L190" s="50">
        <f>IF($T190="","",IF($S190="S",IF(INDEX(Firms!$K$5:$K$1004,$T190)="","",INDEX(Firms!$K$5:$K$1004,$T190)),IF(INDEX('AFA Rates'!$J$5:$J$1004,$T190)="","",INDEX('AFA Rates'!$J$5:$J$1004,$T190))))</f>
        <v/>
      </c>
      <c r="M190" s="50">
        <f>IF($T190="","",IF($S190="S",IF(INDEX(Firms!$L$5:$L$1004,$T190)="","",INDEX(Firms!$L$5:$L$1004,$T190)),IF(INDEX('AFA Rates'!$K$5:$K$1004,$T190)="","",INDEX('AFA Rates'!$K$5:$K$1004,$T190))))</f>
        <v/>
      </c>
      <c r="N190" s="50">
        <f>IF($T190="","",IF($S190="S",IF(INDEX(Firms!$M$5:$M$1004,$T190)="","",INDEX(Firms!$M$5:$M$1004,$T190)),IF(INDEX('AFA Rates'!$L$5:$L$1004,$T190)="","",INDEX('AFA Rates'!$L$5:$L$1004,$T190))))</f>
        <v/>
      </c>
      <c r="O190" s="78">
        <f>IF(OR($T190="",$U190=""),"",IF(INDEX(Firms!$C$5:$C$1004,$U190)="","",INDEX(Firms!$C$5:$C$1004,$U190)))</f>
        <v/>
      </c>
      <c r="P190" s="79">
        <f>IF(OR($T190="",$U190=""),"",IF(INDEX(Firms!$N$5:$N$1004,$U190)="","",INDEX(Firms!$N$5:$N$1004,$U190)))</f>
        <v/>
      </c>
      <c r="Q190" s="78">
        <f>IF($T190="","",IF($S190="S",IF(INDEX(Firms!$T$5:$T$1004,$T190)="","",INDEX(Firms!$T$5:$T$1004,$T190)),IF(INDEX('AFA Rates'!$M$5:$M$1004,$T190)="","",INDEX('AFA Rates'!$M$5:$M$1004,$T190))))</f>
        <v/>
      </c>
      <c r="S190">
        <f>IF(186&lt;=$S$2,"S",IF(186&lt;=$S$2+$T$2,"A",""))</f>
        <v/>
      </c>
      <c r="T190">
        <f>IF(S190="S",MATCH(186,Firms!$W$5:$W$1004,0),IF(S190="A",IFERROR(MATCH(186-$S$2,'AFA Rates'!$R$5:$R$1004,0),""),""))</f>
        <v/>
      </c>
      <c r="U190">
        <f>IF(S190="S",T190,IF(AND(S190="A",T190&lt;&gt;""),IFERROR(MATCH(INDEX('AFA Rates'!$A$5:$A$1004,T190),Firms!$A$5:$A$1004,0),""),""))</f>
        <v/>
      </c>
    </row>
    <row r="191">
      <c r="A191" s="78">
        <f>IF($T191="","",IF($S191="S",IF(INDEX(Firms!$A$5:$A$1004,$T191)="","",INDEX(Firms!$A$5:$A$1004,$T191)),IF(INDEX('AFA Rates'!$A$5:$A$1004,$T191)="","",INDEX('AFA Rates'!$A$5:$A$1004,$T191))))</f>
        <v/>
      </c>
      <c r="B191" s="79">
        <f>IF(OR($T191="",$U191=""),IF($T191="","","Not on Firms tab"),INDEX(Firms!$B$5:$B$1004,$U191)&amp;"")</f>
        <v/>
      </c>
      <c r="C191" s="78">
        <f>IF($T191="","",IF($S191="S","Standard",INDEX('AFA Rates'!$B$5:$B$1004,$T191)&amp;""))</f>
        <v/>
      </c>
      <c r="D191" s="88">
        <f>IF($T191="","",IF($S191="S",IF(INDEX(Firms!$E$5:$E$1004,$T191)="","",INDEX(Firms!$E$5:$E$1004,$T191)),IF(INDEX('AFA Rates'!$C$5:$C$1004,$T191)="","",INDEX('AFA Rates'!$C$5:$C$1004,$T191))))</f>
        <v/>
      </c>
      <c r="E191" s="88">
        <f>IF($T191="","",IF($S191="S",IF(""="","",""),IF(INDEX('AFA Rates'!$D$5:$D$1004,$T191)="","",INDEX('AFA Rates'!$D$5:$D$1004,$T191))))</f>
        <v/>
      </c>
      <c r="F191" s="79">
        <f>IF($T191="","",IF($S191="S",IF(INDEX(Firms!$O$5:$O$1004,$T191)="","",INDEX(Firms!$O$5:$O$1004,$T191)),IF(INDEX('AFA Rates'!$O$5:$O$1004,$T191)="","",INDEX('AFA Rates'!$O$5:$O$1004,$T191))))</f>
        <v/>
      </c>
      <c r="G191" s="50">
        <f>IF($T191="","",IF($S191="S",IF(INDEX(Firms!$F$5:$F$1004,$T191)="","",INDEX(Firms!$F$5:$F$1004,$T191)),IF(INDEX('AFA Rates'!$E$5:$E$1004,$T191)="","",INDEX('AFA Rates'!$E$5:$E$1004,$T191))))</f>
        <v/>
      </c>
      <c r="H191" s="50">
        <f>IF($T191="","",IF($S191="S",IF(INDEX(Firms!$G$5:$G$1004,$T191)="","",INDEX(Firms!$G$5:$G$1004,$T191)),IF(INDEX('AFA Rates'!$F$5:$F$1004,$T191)="","",INDEX('AFA Rates'!$F$5:$F$1004,$T191))))</f>
        <v/>
      </c>
      <c r="I191" s="50">
        <f>IF($T191="","",IF($S191="S",IF(INDEX(Firms!$H$5:$H$1004,$T191)="","",INDEX(Firms!$H$5:$H$1004,$T191)),IF(INDEX('AFA Rates'!$G$5:$G$1004,$T191)="","",INDEX('AFA Rates'!$G$5:$G$1004,$T191))))</f>
        <v/>
      </c>
      <c r="J191" s="50">
        <f>IF($T191="","",IF($S191="S",IF(INDEX(Firms!$I$5:$I$1004,$T191)="","",INDEX(Firms!$I$5:$I$1004,$T191)),IF(INDEX('AFA Rates'!$H$5:$H$1004,$T191)="","",INDEX('AFA Rates'!$H$5:$H$1004,$T191))))</f>
        <v/>
      </c>
      <c r="K191" s="50">
        <f>IF($T191="","",IF($S191="S",IF(INDEX(Firms!$J$5:$J$1004,$T191)="","",INDEX(Firms!$J$5:$J$1004,$T191)),IF(INDEX('AFA Rates'!$I$5:$I$1004,$T191)="","",INDEX('AFA Rates'!$I$5:$I$1004,$T191))))</f>
        <v/>
      </c>
      <c r="L191" s="50">
        <f>IF($T191="","",IF($S191="S",IF(INDEX(Firms!$K$5:$K$1004,$T191)="","",INDEX(Firms!$K$5:$K$1004,$T191)),IF(INDEX('AFA Rates'!$J$5:$J$1004,$T191)="","",INDEX('AFA Rates'!$J$5:$J$1004,$T191))))</f>
        <v/>
      </c>
      <c r="M191" s="50">
        <f>IF($T191="","",IF($S191="S",IF(INDEX(Firms!$L$5:$L$1004,$T191)="","",INDEX(Firms!$L$5:$L$1004,$T191)),IF(INDEX('AFA Rates'!$K$5:$K$1004,$T191)="","",INDEX('AFA Rates'!$K$5:$K$1004,$T191))))</f>
        <v/>
      </c>
      <c r="N191" s="50">
        <f>IF($T191="","",IF($S191="S",IF(INDEX(Firms!$M$5:$M$1004,$T191)="","",INDEX(Firms!$M$5:$M$1004,$T191)),IF(INDEX('AFA Rates'!$L$5:$L$1004,$T191)="","",INDEX('AFA Rates'!$L$5:$L$1004,$T191))))</f>
        <v/>
      </c>
      <c r="O191" s="78">
        <f>IF(OR($T191="",$U191=""),"",IF(INDEX(Firms!$C$5:$C$1004,$U191)="","",INDEX(Firms!$C$5:$C$1004,$U191)))</f>
        <v/>
      </c>
      <c r="P191" s="79">
        <f>IF(OR($T191="",$U191=""),"",IF(INDEX(Firms!$N$5:$N$1004,$U191)="","",INDEX(Firms!$N$5:$N$1004,$U191)))</f>
        <v/>
      </c>
      <c r="Q191" s="78">
        <f>IF($T191="","",IF($S191="S",IF(INDEX(Firms!$T$5:$T$1004,$T191)="","",INDEX(Firms!$T$5:$T$1004,$T191)),IF(INDEX('AFA Rates'!$M$5:$M$1004,$T191)="","",INDEX('AFA Rates'!$M$5:$M$1004,$T191))))</f>
        <v/>
      </c>
      <c r="S191">
        <f>IF(187&lt;=$S$2,"S",IF(187&lt;=$S$2+$T$2,"A",""))</f>
        <v/>
      </c>
      <c r="T191">
        <f>IF(S191="S",MATCH(187,Firms!$W$5:$W$1004,0),IF(S191="A",IFERROR(MATCH(187-$S$2,'AFA Rates'!$R$5:$R$1004,0),""),""))</f>
        <v/>
      </c>
      <c r="U191">
        <f>IF(S191="S",T191,IF(AND(S191="A",T191&lt;&gt;""),IFERROR(MATCH(INDEX('AFA Rates'!$A$5:$A$1004,T191),Firms!$A$5:$A$1004,0),""),""))</f>
        <v/>
      </c>
    </row>
    <row r="192">
      <c r="A192" s="78">
        <f>IF($T192="","",IF($S192="S",IF(INDEX(Firms!$A$5:$A$1004,$T192)="","",INDEX(Firms!$A$5:$A$1004,$T192)),IF(INDEX('AFA Rates'!$A$5:$A$1004,$T192)="","",INDEX('AFA Rates'!$A$5:$A$1004,$T192))))</f>
        <v/>
      </c>
      <c r="B192" s="79">
        <f>IF(OR($T192="",$U192=""),IF($T192="","","Not on Firms tab"),INDEX(Firms!$B$5:$B$1004,$U192)&amp;"")</f>
        <v/>
      </c>
      <c r="C192" s="78">
        <f>IF($T192="","",IF($S192="S","Standard",INDEX('AFA Rates'!$B$5:$B$1004,$T192)&amp;""))</f>
        <v/>
      </c>
      <c r="D192" s="88">
        <f>IF($T192="","",IF($S192="S",IF(INDEX(Firms!$E$5:$E$1004,$T192)="","",INDEX(Firms!$E$5:$E$1004,$T192)),IF(INDEX('AFA Rates'!$C$5:$C$1004,$T192)="","",INDEX('AFA Rates'!$C$5:$C$1004,$T192))))</f>
        <v/>
      </c>
      <c r="E192" s="88">
        <f>IF($T192="","",IF($S192="S",IF(""="","",""),IF(INDEX('AFA Rates'!$D$5:$D$1004,$T192)="","",INDEX('AFA Rates'!$D$5:$D$1004,$T192))))</f>
        <v/>
      </c>
      <c r="F192" s="79">
        <f>IF($T192="","",IF($S192="S",IF(INDEX(Firms!$O$5:$O$1004,$T192)="","",INDEX(Firms!$O$5:$O$1004,$T192)),IF(INDEX('AFA Rates'!$O$5:$O$1004,$T192)="","",INDEX('AFA Rates'!$O$5:$O$1004,$T192))))</f>
        <v/>
      </c>
      <c r="G192" s="50">
        <f>IF($T192="","",IF($S192="S",IF(INDEX(Firms!$F$5:$F$1004,$T192)="","",INDEX(Firms!$F$5:$F$1004,$T192)),IF(INDEX('AFA Rates'!$E$5:$E$1004,$T192)="","",INDEX('AFA Rates'!$E$5:$E$1004,$T192))))</f>
        <v/>
      </c>
      <c r="H192" s="50">
        <f>IF($T192="","",IF($S192="S",IF(INDEX(Firms!$G$5:$G$1004,$T192)="","",INDEX(Firms!$G$5:$G$1004,$T192)),IF(INDEX('AFA Rates'!$F$5:$F$1004,$T192)="","",INDEX('AFA Rates'!$F$5:$F$1004,$T192))))</f>
        <v/>
      </c>
      <c r="I192" s="50">
        <f>IF($T192="","",IF($S192="S",IF(INDEX(Firms!$H$5:$H$1004,$T192)="","",INDEX(Firms!$H$5:$H$1004,$T192)),IF(INDEX('AFA Rates'!$G$5:$G$1004,$T192)="","",INDEX('AFA Rates'!$G$5:$G$1004,$T192))))</f>
        <v/>
      </c>
      <c r="J192" s="50">
        <f>IF($T192="","",IF($S192="S",IF(INDEX(Firms!$I$5:$I$1004,$T192)="","",INDEX(Firms!$I$5:$I$1004,$T192)),IF(INDEX('AFA Rates'!$H$5:$H$1004,$T192)="","",INDEX('AFA Rates'!$H$5:$H$1004,$T192))))</f>
        <v/>
      </c>
      <c r="K192" s="50">
        <f>IF($T192="","",IF($S192="S",IF(INDEX(Firms!$J$5:$J$1004,$T192)="","",INDEX(Firms!$J$5:$J$1004,$T192)),IF(INDEX('AFA Rates'!$I$5:$I$1004,$T192)="","",INDEX('AFA Rates'!$I$5:$I$1004,$T192))))</f>
        <v/>
      </c>
      <c r="L192" s="50">
        <f>IF($T192="","",IF($S192="S",IF(INDEX(Firms!$K$5:$K$1004,$T192)="","",INDEX(Firms!$K$5:$K$1004,$T192)),IF(INDEX('AFA Rates'!$J$5:$J$1004,$T192)="","",INDEX('AFA Rates'!$J$5:$J$1004,$T192))))</f>
        <v/>
      </c>
      <c r="M192" s="50">
        <f>IF($T192="","",IF($S192="S",IF(INDEX(Firms!$L$5:$L$1004,$T192)="","",INDEX(Firms!$L$5:$L$1004,$T192)),IF(INDEX('AFA Rates'!$K$5:$K$1004,$T192)="","",INDEX('AFA Rates'!$K$5:$K$1004,$T192))))</f>
        <v/>
      </c>
      <c r="N192" s="50">
        <f>IF($T192="","",IF($S192="S",IF(INDEX(Firms!$M$5:$M$1004,$T192)="","",INDEX(Firms!$M$5:$M$1004,$T192)),IF(INDEX('AFA Rates'!$L$5:$L$1004,$T192)="","",INDEX('AFA Rates'!$L$5:$L$1004,$T192))))</f>
        <v/>
      </c>
      <c r="O192" s="78">
        <f>IF(OR($T192="",$U192=""),"",IF(INDEX(Firms!$C$5:$C$1004,$U192)="","",INDEX(Firms!$C$5:$C$1004,$U192)))</f>
        <v/>
      </c>
      <c r="P192" s="79">
        <f>IF(OR($T192="",$U192=""),"",IF(INDEX(Firms!$N$5:$N$1004,$U192)="","",INDEX(Firms!$N$5:$N$1004,$U192)))</f>
        <v/>
      </c>
      <c r="Q192" s="78">
        <f>IF($T192="","",IF($S192="S",IF(INDEX(Firms!$T$5:$T$1004,$T192)="","",INDEX(Firms!$T$5:$T$1004,$T192)),IF(INDEX('AFA Rates'!$M$5:$M$1004,$T192)="","",INDEX('AFA Rates'!$M$5:$M$1004,$T192))))</f>
        <v/>
      </c>
      <c r="S192">
        <f>IF(188&lt;=$S$2,"S",IF(188&lt;=$S$2+$T$2,"A",""))</f>
        <v/>
      </c>
      <c r="T192">
        <f>IF(S192="S",MATCH(188,Firms!$W$5:$W$1004,0),IF(S192="A",IFERROR(MATCH(188-$S$2,'AFA Rates'!$R$5:$R$1004,0),""),""))</f>
        <v/>
      </c>
      <c r="U192">
        <f>IF(S192="S",T192,IF(AND(S192="A",T192&lt;&gt;""),IFERROR(MATCH(INDEX('AFA Rates'!$A$5:$A$1004,T192),Firms!$A$5:$A$1004,0),""),""))</f>
        <v/>
      </c>
    </row>
    <row r="193">
      <c r="A193" s="78">
        <f>IF($T193="","",IF($S193="S",IF(INDEX(Firms!$A$5:$A$1004,$T193)="","",INDEX(Firms!$A$5:$A$1004,$T193)),IF(INDEX('AFA Rates'!$A$5:$A$1004,$T193)="","",INDEX('AFA Rates'!$A$5:$A$1004,$T193))))</f>
        <v/>
      </c>
      <c r="B193" s="79">
        <f>IF(OR($T193="",$U193=""),IF($T193="","","Not on Firms tab"),INDEX(Firms!$B$5:$B$1004,$U193)&amp;"")</f>
        <v/>
      </c>
      <c r="C193" s="78">
        <f>IF($T193="","",IF($S193="S","Standard",INDEX('AFA Rates'!$B$5:$B$1004,$T193)&amp;""))</f>
        <v/>
      </c>
      <c r="D193" s="88">
        <f>IF($T193="","",IF($S193="S",IF(INDEX(Firms!$E$5:$E$1004,$T193)="","",INDEX(Firms!$E$5:$E$1004,$T193)),IF(INDEX('AFA Rates'!$C$5:$C$1004,$T193)="","",INDEX('AFA Rates'!$C$5:$C$1004,$T193))))</f>
        <v/>
      </c>
      <c r="E193" s="88">
        <f>IF($T193="","",IF($S193="S",IF(""="","",""),IF(INDEX('AFA Rates'!$D$5:$D$1004,$T193)="","",INDEX('AFA Rates'!$D$5:$D$1004,$T193))))</f>
        <v/>
      </c>
      <c r="F193" s="79">
        <f>IF($T193="","",IF($S193="S",IF(INDEX(Firms!$O$5:$O$1004,$T193)="","",INDEX(Firms!$O$5:$O$1004,$T193)),IF(INDEX('AFA Rates'!$O$5:$O$1004,$T193)="","",INDEX('AFA Rates'!$O$5:$O$1004,$T193))))</f>
        <v/>
      </c>
      <c r="G193" s="50">
        <f>IF($T193="","",IF($S193="S",IF(INDEX(Firms!$F$5:$F$1004,$T193)="","",INDEX(Firms!$F$5:$F$1004,$T193)),IF(INDEX('AFA Rates'!$E$5:$E$1004,$T193)="","",INDEX('AFA Rates'!$E$5:$E$1004,$T193))))</f>
        <v/>
      </c>
      <c r="H193" s="50">
        <f>IF($T193="","",IF($S193="S",IF(INDEX(Firms!$G$5:$G$1004,$T193)="","",INDEX(Firms!$G$5:$G$1004,$T193)),IF(INDEX('AFA Rates'!$F$5:$F$1004,$T193)="","",INDEX('AFA Rates'!$F$5:$F$1004,$T193))))</f>
        <v/>
      </c>
      <c r="I193" s="50">
        <f>IF($T193="","",IF($S193="S",IF(INDEX(Firms!$H$5:$H$1004,$T193)="","",INDEX(Firms!$H$5:$H$1004,$T193)),IF(INDEX('AFA Rates'!$G$5:$G$1004,$T193)="","",INDEX('AFA Rates'!$G$5:$G$1004,$T193))))</f>
        <v/>
      </c>
      <c r="J193" s="50">
        <f>IF($T193="","",IF($S193="S",IF(INDEX(Firms!$I$5:$I$1004,$T193)="","",INDEX(Firms!$I$5:$I$1004,$T193)),IF(INDEX('AFA Rates'!$H$5:$H$1004,$T193)="","",INDEX('AFA Rates'!$H$5:$H$1004,$T193))))</f>
        <v/>
      </c>
      <c r="K193" s="50">
        <f>IF($T193="","",IF($S193="S",IF(INDEX(Firms!$J$5:$J$1004,$T193)="","",INDEX(Firms!$J$5:$J$1004,$T193)),IF(INDEX('AFA Rates'!$I$5:$I$1004,$T193)="","",INDEX('AFA Rates'!$I$5:$I$1004,$T193))))</f>
        <v/>
      </c>
      <c r="L193" s="50">
        <f>IF($T193="","",IF($S193="S",IF(INDEX(Firms!$K$5:$K$1004,$T193)="","",INDEX(Firms!$K$5:$K$1004,$T193)),IF(INDEX('AFA Rates'!$J$5:$J$1004,$T193)="","",INDEX('AFA Rates'!$J$5:$J$1004,$T193))))</f>
        <v/>
      </c>
      <c r="M193" s="50">
        <f>IF($T193="","",IF($S193="S",IF(INDEX(Firms!$L$5:$L$1004,$T193)="","",INDEX(Firms!$L$5:$L$1004,$T193)),IF(INDEX('AFA Rates'!$K$5:$K$1004,$T193)="","",INDEX('AFA Rates'!$K$5:$K$1004,$T193))))</f>
        <v/>
      </c>
      <c r="N193" s="50">
        <f>IF($T193="","",IF($S193="S",IF(INDEX(Firms!$M$5:$M$1004,$T193)="","",INDEX(Firms!$M$5:$M$1004,$T193)),IF(INDEX('AFA Rates'!$L$5:$L$1004,$T193)="","",INDEX('AFA Rates'!$L$5:$L$1004,$T193))))</f>
        <v/>
      </c>
      <c r="O193" s="78">
        <f>IF(OR($T193="",$U193=""),"",IF(INDEX(Firms!$C$5:$C$1004,$U193)="","",INDEX(Firms!$C$5:$C$1004,$U193)))</f>
        <v/>
      </c>
      <c r="P193" s="79">
        <f>IF(OR($T193="",$U193=""),"",IF(INDEX(Firms!$N$5:$N$1004,$U193)="","",INDEX(Firms!$N$5:$N$1004,$U193)))</f>
        <v/>
      </c>
      <c r="Q193" s="78">
        <f>IF($T193="","",IF($S193="S",IF(INDEX(Firms!$T$5:$T$1004,$T193)="","",INDEX(Firms!$T$5:$T$1004,$T193)),IF(INDEX('AFA Rates'!$M$5:$M$1004,$T193)="","",INDEX('AFA Rates'!$M$5:$M$1004,$T193))))</f>
        <v/>
      </c>
      <c r="S193">
        <f>IF(189&lt;=$S$2,"S",IF(189&lt;=$S$2+$T$2,"A",""))</f>
        <v/>
      </c>
      <c r="T193">
        <f>IF(S193="S",MATCH(189,Firms!$W$5:$W$1004,0),IF(S193="A",IFERROR(MATCH(189-$S$2,'AFA Rates'!$R$5:$R$1004,0),""),""))</f>
        <v/>
      </c>
      <c r="U193">
        <f>IF(S193="S",T193,IF(AND(S193="A",T193&lt;&gt;""),IFERROR(MATCH(INDEX('AFA Rates'!$A$5:$A$1004,T193),Firms!$A$5:$A$1004,0),""),""))</f>
        <v/>
      </c>
    </row>
    <row r="194">
      <c r="A194" s="78">
        <f>IF($T194="","",IF($S194="S",IF(INDEX(Firms!$A$5:$A$1004,$T194)="","",INDEX(Firms!$A$5:$A$1004,$T194)),IF(INDEX('AFA Rates'!$A$5:$A$1004,$T194)="","",INDEX('AFA Rates'!$A$5:$A$1004,$T194))))</f>
        <v/>
      </c>
      <c r="B194" s="79">
        <f>IF(OR($T194="",$U194=""),IF($T194="","","Not on Firms tab"),INDEX(Firms!$B$5:$B$1004,$U194)&amp;"")</f>
        <v/>
      </c>
      <c r="C194" s="78">
        <f>IF($T194="","",IF($S194="S","Standard",INDEX('AFA Rates'!$B$5:$B$1004,$T194)&amp;""))</f>
        <v/>
      </c>
      <c r="D194" s="88">
        <f>IF($T194="","",IF($S194="S",IF(INDEX(Firms!$E$5:$E$1004,$T194)="","",INDEX(Firms!$E$5:$E$1004,$T194)),IF(INDEX('AFA Rates'!$C$5:$C$1004,$T194)="","",INDEX('AFA Rates'!$C$5:$C$1004,$T194))))</f>
        <v/>
      </c>
      <c r="E194" s="88">
        <f>IF($T194="","",IF($S194="S",IF(""="","",""),IF(INDEX('AFA Rates'!$D$5:$D$1004,$T194)="","",INDEX('AFA Rates'!$D$5:$D$1004,$T194))))</f>
        <v/>
      </c>
      <c r="F194" s="79">
        <f>IF($T194="","",IF($S194="S",IF(INDEX(Firms!$O$5:$O$1004,$T194)="","",INDEX(Firms!$O$5:$O$1004,$T194)),IF(INDEX('AFA Rates'!$O$5:$O$1004,$T194)="","",INDEX('AFA Rates'!$O$5:$O$1004,$T194))))</f>
        <v/>
      </c>
      <c r="G194" s="50">
        <f>IF($T194="","",IF($S194="S",IF(INDEX(Firms!$F$5:$F$1004,$T194)="","",INDEX(Firms!$F$5:$F$1004,$T194)),IF(INDEX('AFA Rates'!$E$5:$E$1004,$T194)="","",INDEX('AFA Rates'!$E$5:$E$1004,$T194))))</f>
        <v/>
      </c>
      <c r="H194" s="50">
        <f>IF($T194="","",IF($S194="S",IF(INDEX(Firms!$G$5:$G$1004,$T194)="","",INDEX(Firms!$G$5:$G$1004,$T194)),IF(INDEX('AFA Rates'!$F$5:$F$1004,$T194)="","",INDEX('AFA Rates'!$F$5:$F$1004,$T194))))</f>
        <v/>
      </c>
      <c r="I194" s="50">
        <f>IF($T194="","",IF($S194="S",IF(INDEX(Firms!$H$5:$H$1004,$T194)="","",INDEX(Firms!$H$5:$H$1004,$T194)),IF(INDEX('AFA Rates'!$G$5:$G$1004,$T194)="","",INDEX('AFA Rates'!$G$5:$G$1004,$T194))))</f>
        <v/>
      </c>
      <c r="J194" s="50">
        <f>IF($T194="","",IF($S194="S",IF(INDEX(Firms!$I$5:$I$1004,$T194)="","",INDEX(Firms!$I$5:$I$1004,$T194)),IF(INDEX('AFA Rates'!$H$5:$H$1004,$T194)="","",INDEX('AFA Rates'!$H$5:$H$1004,$T194))))</f>
        <v/>
      </c>
      <c r="K194" s="50">
        <f>IF($T194="","",IF($S194="S",IF(INDEX(Firms!$J$5:$J$1004,$T194)="","",INDEX(Firms!$J$5:$J$1004,$T194)),IF(INDEX('AFA Rates'!$I$5:$I$1004,$T194)="","",INDEX('AFA Rates'!$I$5:$I$1004,$T194))))</f>
        <v/>
      </c>
      <c r="L194" s="50">
        <f>IF($T194="","",IF($S194="S",IF(INDEX(Firms!$K$5:$K$1004,$T194)="","",INDEX(Firms!$K$5:$K$1004,$T194)),IF(INDEX('AFA Rates'!$J$5:$J$1004,$T194)="","",INDEX('AFA Rates'!$J$5:$J$1004,$T194))))</f>
        <v/>
      </c>
      <c r="M194" s="50">
        <f>IF($T194="","",IF($S194="S",IF(INDEX(Firms!$L$5:$L$1004,$T194)="","",INDEX(Firms!$L$5:$L$1004,$T194)),IF(INDEX('AFA Rates'!$K$5:$K$1004,$T194)="","",INDEX('AFA Rates'!$K$5:$K$1004,$T194))))</f>
        <v/>
      </c>
      <c r="N194" s="50">
        <f>IF($T194="","",IF($S194="S",IF(INDEX(Firms!$M$5:$M$1004,$T194)="","",INDEX(Firms!$M$5:$M$1004,$T194)),IF(INDEX('AFA Rates'!$L$5:$L$1004,$T194)="","",INDEX('AFA Rates'!$L$5:$L$1004,$T194))))</f>
        <v/>
      </c>
      <c r="O194" s="78">
        <f>IF(OR($T194="",$U194=""),"",IF(INDEX(Firms!$C$5:$C$1004,$U194)="","",INDEX(Firms!$C$5:$C$1004,$U194)))</f>
        <v/>
      </c>
      <c r="P194" s="79">
        <f>IF(OR($T194="",$U194=""),"",IF(INDEX(Firms!$N$5:$N$1004,$U194)="","",INDEX(Firms!$N$5:$N$1004,$U194)))</f>
        <v/>
      </c>
      <c r="Q194" s="78">
        <f>IF($T194="","",IF($S194="S",IF(INDEX(Firms!$T$5:$T$1004,$T194)="","",INDEX(Firms!$T$5:$T$1004,$T194)),IF(INDEX('AFA Rates'!$M$5:$M$1004,$T194)="","",INDEX('AFA Rates'!$M$5:$M$1004,$T194))))</f>
        <v/>
      </c>
      <c r="S194">
        <f>IF(190&lt;=$S$2,"S",IF(190&lt;=$S$2+$T$2,"A",""))</f>
        <v/>
      </c>
      <c r="T194">
        <f>IF(S194="S",MATCH(190,Firms!$W$5:$W$1004,0),IF(S194="A",IFERROR(MATCH(190-$S$2,'AFA Rates'!$R$5:$R$1004,0),""),""))</f>
        <v/>
      </c>
      <c r="U194">
        <f>IF(S194="S",T194,IF(AND(S194="A",T194&lt;&gt;""),IFERROR(MATCH(INDEX('AFA Rates'!$A$5:$A$1004,T194),Firms!$A$5:$A$1004,0),""),""))</f>
        <v/>
      </c>
    </row>
    <row r="195">
      <c r="A195" s="78">
        <f>IF($T195="","",IF($S195="S",IF(INDEX(Firms!$A$5:$A$1004,$T195)="","",INDEX(Firms!$A$5:$A$1004,$T195)),IF(INDEX('AFA Rates'!$A$5:$A$1004,$T195)="","",INDEX('AFA Rates'!$A$5:$A$1004,$T195))))</f>
        <v/>
      </c>
      <c r="B195" s="79">
        <f>IF(OR($T195="",$U195=""),IF($T195="","","Not on Firms tab"),INDEX(Firms!$B$5:$B$1004,$U195)&amp;"")</f>
        <v/>
      </c>
      <c r="C195" s="78">
        <f>IF($T195="","",IF($S195="S","Standard",INDEX('AFA Rates'!$B$5:$B$1004,$T195)&amp;""))</f>
        <v/>
      </c>
      <c r="D195" s="88">
        <f>IF($T195="","",IF($S195="S",IF(INDEX(Firms!$E$5:$E$1004,$T195)="","",INDEX(Firms!$E$5:$E$1004,$T195)),IF(INDEX('AFA Rates'!$C$5:$C$1004,$T195)="","",INDEX('AFA Rates'!$C$5:$C$1004,$T195))))</f>
        <v/>
      </c>
      <c r="E195" s="88">
        <f>IF($T195="","",IF($S195="S",IF(""="","",""),IF(INDEX('AFA Rates'!$D$5:$D$1004,$T195)="","",INDEX('AFA Rates'!$D$5:$D$1004,$T195))))</f>
        <v/>
      </c>
      <c r="F195" s="79">
        <f>IF($T195="","",IF($S195="S",IF(INDEX(Firms!$O$5:$O$1004,$T195)="","",INDEX(Firms!$O$5:$O$1004,$T195)),IF(INDEX('AFA Rates'!$O$5:$O$1004,$T195)="","",INDEX('AFA Rates'!$O$5:$O$1004,$T195))))</f>
        <v/>
      </c>
      <c r="G195" s="50">
        <f>IF($T195="","",IF($S195="S",IF(INDEX(Firms!$F$5:$F$1004,$T195)="","",INDEX(Firms!$F$5:$F$1004,$T195)),IF(INDEX('AFA Rates'!$E$5:$E$1004,$T195)="","",INDEX('AFA Rates'!$E$5:$E$1004,$T195))))</f>
        <v/>
      </c>
      <c r="H195" s="50">
        <f>IF($T195="","",IF($S195="S",IF(INDEX(Firms!$G$5:$G$1004,$T195)="","",INDEX(Firms!$G$5:$G$1004,$T195)),IF(INDEX('AFA Rates'!$F$5:$F$1004,$T195)="","",INDEX('AFA Rates'!$F$5:$F$1004,$T195))))</f>
        <v/>
      </c>
      <c r="I195" s="50">
        <f>IF($T195="","",IF($S195="S",IF(INDEX(Firms!$H$5:$H$1004,$T195)="","",INDEX(Firms!$H$5:$H$1004,$T195)),IF(INDEX('AFA Rates'!$G$5:$G$1004,$T195)="","",INDEX('AFA Rates'!$G$5:$G$1004,$T195))))</f>
        <v/>
      </c>
      <c r="J195" s="50">
        <f>IF($T195="","",IF($S195="S",IF(INDEX(Firms!$I$5:$I$1004,$T195)="","",INDEX(Firms!$I$5:$I$1004,$T195)),IF(INDEX('AFA Rates'!$H$5:$H$1004,$T195)="","",INDEX('AFA Rates'!$H$5:$H$1004,$T195))))</f>
        <v/>
      </c>
      <c r="K195" s="50">
        <f>IF($T195="","",IF($S195="S",IF(INDEX(Firms!$J$5:$J$1004,$T195)="","",INDEX(Firms!$J$5:$J$1004,$T195)),IF(INDEX('AFA Rates'!$I$5:$I$1004,$T195)="","",INDEX('AFA Rates'!$I$5:$I$1004,$T195))))</f>
        <v/>
      </c>
      <c r="L195" s="50">
        <f>IF($T195="","",IF($S195="S",IF(INDEX(Firms!$K$5:$K$1004,$T195)="","",INDEX(Firms!$K$5:$K$1004,$T195)),IF(INDEX('AFA Rates'!$J$5:$J$1004,$T195)="","",INDEX('AFA Rates'!$J$5:$J$1004,$T195))))</f>
        <v/>
      </c>
      <c r="M195" s="50">
        <f>IF($T195="","",IF($S195="S",IF(INDEX(Firms!$L$5:$L$1004,$T195)="","",INDEX(Firms!$L$5:$L$1004,$T195)),IF(INDEX('AFA Rates'!$K$5:$K$1004,$T195)="","",INDEX('AFA Rates'!$K$5:$K$1004,$T195))))</f>
        <v/>
      </c>
      <c r="N195" s="50">
        <f>IF($T195="","",IF($S195="S",IF(INDEX(Firms!$M$5:$M$1004,$T195)="","",INDEX(Firms!$M$5:$M$1004,$T195)),IF(INDEX('AFA Rates'!$L$5:$L$1004,$T195)="","",INDEX('AFA Rates'!$L$5:$L$1004,$T195))))</f>
        <v/>
      </c>
      <c r="O195" s="78">
        <f>IF(OR($T195="",$U195=""),"",IF(INDEX(Firms!$C$5:$C$1004,$U195)="","",INDEX(Firms!$C$5:$C$1004,$U195)))</f>
        <v/>
      </c>
      <c r="P195" s="79">
        <f>IF(OR($T195="",$U195=""),"",IF(INDEX(Firms!$N$5:$N$1004,$U195)="","",INDEX(Firms!$N$5:$N$1004,$U195)))</f>
        <v/>
      </c>
      <c r="Q195" s="78">
        <f>IF($T195="","",IF($S195="S",IF(INDEX(Firms!$T$5:$T$1004,$T195)="","",INDEX(Firms!$T$5:$T$1004,$T195)),IF(INDEX('AFA Rates'!$M$5:$M$1004,$T195)="","",INDEX('AFA Rates'!$M$5:$M$1004,$T195))))</f>
        <v/>
      </c>
      <c r="S195">
        <f>IF(191&lt;=$S$2,"S",IF(191&lt;=$S$2+$T$2,"A",""))</f>
        <v/>
      </c>
      <c r="T195">
        <f>IF(S195="S",MATCH(191,Firms!$W$5:$W$1004,0),IF(S195="A",IFERROR(MATCH(191-$S$2,'AFA Rates'!$R$5:$R$1004,0),""),""))</f>
        <v/>
      </c>
      <c r="U195">
        <f>IF(S195="S",T195,IF(AND(S195="A",T195&lt;&gt;""),IFERROR(MATCH(INDEX('AFA Rates'!$A$5:$A$1004,T195),Firms!$A$5:$A$1004,0),""),""))</f>
        <v/>
      </c>
    </row>
    <row r="196">
      <c r="A196" s="78">
        <f>IF($T196="","",IF($S196="S",IF(INDEX(Firms!$A$5:$A$1004,$T196)="","",INDEX(Firms!$A$5:$A$1004,$T196)),IF(INDEX('AFA Rates'!$A$5:$A$1004,$T196)="","",INDEX('AFA Rates'!$A$5:$A$1004,$T196))))</f>
        <v/>
      </c>
      <c r="B196" s="79">
        <f>IF(OR($T196="",$U196=""),IF($T196="","","Not on Firms tab"),INDEX(Firms!$B$5:$B$1004,$U196)&amp;"")</f>
        <v/>
      </c>
      <c r="C196" s="78">
        <f>IF($T196="","",IF($S196="S","Standard",INDEX('AFA Rates'!$B$5:$B$1004,$T196)&amp;""))</f>
        <v/>
      </c>
      <c r="D196" s="88">
        <f>IF($T196="","",IF($S196="S",IF(INDEX(Firms!$E$5:$E$1004,$T196)="","",INDEX(Firms!$E$5:$E$1004,$T196)),IF(INDEX('AFA Rates'!$C$5:$C$1004,$T196)="","",INDEX('AFA Rates'!$C$5:$C$1004,$T196))))</f>
        <v/>
      </c>
      <c r="E196" s="88">
        <f>IF($T196="","",IF($S196="S",IF(""="","",""),IF(INDEX('AFA Rates'!$D$5:$D$1004,$T196)="","",INDEX('AFA Rates'!$D$5:$D$1004,$T196))))</f>
        <v/>
      </c>
      <c r="F196" s="79">
        <f>IF($T196="","",IF($S196="S",IF(INDEX(Firms!$O$5:$O$1004,$T196)="","",INDEX(Firms!$O$5:$O$1004,$T196)),IF(INDEX('AFA Rates'!$O$5:$O$1004,$T196)="","",INDEX('AFA Rates'!$O$5:$O$1004,$T196))))</f>
        <v/>
      </c>
      <c r="G196" s="50">
        <f>IF($T196="","",IF($S196="S",IF(INDEX(Firms!$F$5:$F$1004,$T196)="","",INDEX(Firms!$F$5:$F$1004,$T196)),IF(INDEX('AFA Rates'!$E$5:$E$1004,$T196)="","",INDEX('AFA Rates'!$E$5:$E$1004,$T196))))</f>
        <v/>
      </c>
      <c r="H196" s="50">
        <f>IF($T196="","",IF($S196="S",IF(INDEX(Firms!$G$5:$G$1004,$T196)="","",INDEX(Firms!$G$5:$G$1004,$T196)),IF(INDEX('AFA Rates'!$F$5:$F$1004,$T196)="","",INDEX('AFA Rates'!$F$5:$F$1004,$T196))))</f>
        <v/>
      </c>
      <c r="I196" s="50">
        <f>IF($T196="","",IF($S196="S",IF(INDEX(Firms!$H$5:$H$1004,$T196)="","",INDEX(Firms!$H$5:$H$1004,$T196)),IF(INDEX('AFA Rates'!$G$5:$G$1004,$T196)="","",INDEX('AFA Rates'!$G$5:$G$1004,$T196))))</f>
        <v/>
      </c>
      <c r="J196" s="50">
        <f>IF($T196="","",IF($S196="S",IF(INDEX(Firms!$I$5:$I$1004,$T196)="","",INDEX(Firms!$I$5:$I$1004,$T196)),IF(INDEX('AFA Rates'!$H$5:$H$1004,$T196)="","",INDEX('AFA Rates'!$H$5:$H$1004,$T196))))</f>
        <v/>
      </c>
      <c r="K196" s="50">
        <f>IF($T196="","",IF($S196="S",IF(INDEX(Firms!$J$5:$J$1004,$T196)="","",INDEX(Firms!$J$5:$J$1004,$T196)),IF(INDEX('AFA Rates'!$I$5:$I$1004,$T196)="","",INDEX('AFA Rates'!$I$5:$I$1004,$T196))))</f>
        <v/>
      </c>
      <c r="L196" s="50">
        <f>IF($T196="","",IF($S196="S",IF(INDEX(Firms!$K$5:$K$1004,$T196)="","",INDEX(Firms!$K$5:$K$1004,$T196)),IF(INDEX('AFA Rates'!$J$5:$J$1004,$T196)="","",INDEX('AFA Rates'!$J$5:$J$1004,$T196))))</f>
        <v/>
      </c>
      <c r="M196" s="50">
        <f>IF($T196="","",IF($S196="S",IF(INDEX(Firms!$L$5:$L$1004,$T196)="","",INDEX(Firms!$L$5:$L$1004,$T196)),IF(INDEX('AFA Rates'!$K$5:$K$1004,$T196)="","",INDEX('AFA Rates'!$K$5:$K$1004,$T196))))</f>
        <v/>
      </c>
      <c r="N196" s="50">
        <f>IF($T196="","",IF($S196="S",IF(INDEX(Firms!$M$5:$M$1004,$T196)="","",INDEX(Firms!$M$5:$M$1004,$T196)),IF(INDEX('AFA Rates'!$L$5:$L$1004,$T196)="","",INDEX('AFA Rates'!$L$5:$L$1004,$T196))))</f>
        <v/>
      </c>
      <c r="O196" s="78">
        <f>IF(OR($T196="",$U196=""),"",IF(INDEX(Firms!$C$5:$C$1004,$U196)="","",INDEX(Firms!$C$5:$C$1004,$U196)))</f>
        <v/>
      </c>
      <c r="P196" s="79">
        <f>IF(OR($T196="",$U196=""),"",IF(INDEX(Firms!$N$5:$N$1004,$U196)="","",INDEX(Firms!$N$5:$N$1004,$U196)))</f>
        <v/>
      </c>
      <c r="Q196" s="78">
        <f>IF($T196="","",IF($S196="S",IF(INDEX(Firms!$T$5:$T$1004,$T196)="","",INDEX(Firms!$T$5:$T$1004,$T196)),IF(INDEX('AFA Rates'!$M$5:$M$1004,$T196)="","",INDEX('AFA Rates'!$M$5:$M$1004,$T196))))</f>
        <v/>
      </c>
      <c r="S196">
        <f>IF(192&lt;=$S$2,"S",IF(192&lt;=$S$2+$T$2,"A",""))</f>
        <v/>
      </c>
      <c r="T196">
        <f>IF(S196="S",MATCH(192,Firms!$W$5:$W$1004,0),IF(S196="A",IFERROR(MATCH(192-$S$2,'AFA Rates'!$R$5:$R$1004,0),""),""))</f>
        <v/>
      </c>
      <c r="U196">
        <f>IF(S196="S",T196,IF(AND(S196="A",T196&lt;&gt;""),IFERROR(MATCH(INDEX('AFA Rates'!$A$5:$A$1004,T196),Firms!$A$5:$A$1004,0),""),""))</f>
        <v/>
      </c>
    </row>
    <row r="197">
      <c r="A197" s="78">
        <f>IF($T197="","",IF($S197="S",IF(INDEX(Firms!$A$5:$A$1004,$T197)="","",INDEX(Firms!$A$5:$A$1004,$T197)),IF(INDEX('AFA Rates'!$A$5:$A$1004,$T197)="","",INDEX('AFA Rates'!$A$5:$A$1004,$T197))))</f>
        <v/>
      </c>
      <c r="B197" s="79">
        <f>IF(OR($T197="",$U197=""),IF($T197="","","Not on Firms tab"),INDEX(Firms!$B$5:$B$1004,$U197)&amp;"")</f>
        <v/>
      </c>
      <c r="C197" s="78">
        <f>IF($T197="","",IF($S197="S","Standard",INDEX('AFA Rates'!$B$5:$B$1004,$T197)&amp;""))</f>
        <v/>
      </c>
      <c r="D197" s="88">
        <f>IF($T197="","",IF($S197="S",IF(INDEX(Firms!$E$5:$E$1004,$T197)="","",INDEX(Firms!$E$5:$E$1004,$T197)),IF(INDEX('AFA Rates'!$C$5:$C$1004,$T197)="","",INDEX('AFA Rates'!$C$5:$C$1004,$T197))))</f>
        <v/>
      </c>
      <c r="E197" s="88">
        <f>IF($T197="","",IF($S197="S",IF(""="","",""),IF(INDEX('AFA Rates'!$D$5:$D$1004,$T197)="","",INDEX('AFA Rates'!$D$5:$D$1004,$T197))))</f>
        <v/>
      </c>
      <c r="F197" s="79">
        <f>IF($T197="","",IF($S197="S",IF(INDEX(Firms!$O$5:$O$1004,$T197)="","",INDEX(Firms!$O$5:$O$1004,$T197)),IF(INDEX('AFA Rates'!$O$5:$O$1004,$T197)="","",INDEX('AFA Rates'!$O$5:$O$1004,$T197))))</f>
        <v/>
      </c>
      <c r="G197" s="50">
        <f>IF($T197="","",IF($S197="S",IF(INDEX(Firms!$F$5:$F$1004,$T197)="","",INDEX(Firms!$F$5:$F$1004,$T197)),IF(INDEX('AFA Rates'!$E$5:$E$1004,$T197)="","",INDEX('AFA Rates'!$E$5:$E$1004,$T197))))</f>
        <v/>
      </c>
      <c r="H197" s="50">
        <f>IF($T197="","",IF($S197="S",IF(INDEX(Firms!$G$5:$G$1004,$T197)="","",INDEX(Firms!$G$5:$G$1004,$T197)),IF(INDEX('AFA Rates'!$F$5:$F$1004,$T197)="","",INDEX('AFA Rates'!$F$5:$F$1004,$T197))))</f>
        <v/>
      </c>
      <c r="I197" s="50">
        <f>IF($T197="","",IF($S197="S",IF(INDEX(Firms!$H$5:$H$1004,$T197)="","",INDEX(Firms!$H$5:$H$1004,$T197)),IF(INDEX('AFA Rates'!$G$5:$G$1004,$T197)="","",INDEX('AFA Rates'!$G$5:$G$1004,$T197))))</f>
        <v/>
      </c>
      <c r="J197" s="50">
        <f>IF($T197="","",IF($S197="S",IF(INDEX(Firms!$I$5:$I$1004,$T197)="","",INDEX(Firms!$I$5:$I$1004,$T197)),IF(INDEX('AFA Rates'!$H$5:$H$1004,$T197)="","",INDEX('AFA Rates'!$H$5:$H$1004,$T197))))</f>
        <v/>
      </c>
      <c r="K197" s="50">
        <f>IF($T197="","",IF($S197="S",IF(INDEX(Firms!$J$5:$J$1004,$T197)="","",INDEX(Firms!$J$5:$J$1004,$T197)),IF(INDEX('AFA Rates'!$I$5:$I$1004,$T197)="","",INDEX('AFA Rates'!$I$5:$I$1004,$T197))))</f>
        <v/>
      </c>
      <c r="L197" s="50">
        <f>IF($T197="","",IF($S197="S",IF(INDEX(Firms!$K$5:$K$1004,$T197)="","",INDEX(Firms!$K$5:$K$1004,$T197)),IF(INDEX('AFA Rates'!$J$5:$J$1004,$T197)="","",INDEX('AFA Rates'!$J$5:$J$1004,$T197))))</f>
        <v/>
      </c>
      <c r="M197" s="50">
        <f>IF($T197="","",IF($S197="S",IF(INDEX(Firms!$L$5:$L$1004,$T197)="","",INDEX(Firms!$L$5:$L$1004,$T197)),IF(INDEX('AFA Rates'!$K$5:$K$1004,$T197)="","",INDEX('AFA Rates'!$K$5:$K$1004,$T197))))</f>
        <v/>
      </c>
      <c r="N197" s="50">
        <f>IF($T197="","",IF($S197="S",IF(INDEX(Firms!$M$5:$M$1004,$T197)="","",INDEX(Firms!$M$5:$M$1004,$T197)),IF(INDEX('AFA Rates'!$L$5:$L$1004,$T197)="","",INDEX('AFA Rates'!$L$5:$L$1004,$T197))))</f>
        <v/>
      </c>
      <c r="O197" s="78">
        <f>IF(OR($T197="",$U197=""),"",IF(INDEX(Firms!$C$5:$C$1004,$U197)="","",INDEX(Firms!$C$5:$C$1004,$U197)))</f>
        <v/>
      </c>
      <c r="P197" s="79">
        <f>IF(OR($T197="",$U197=""),"",IF(INDEX(Firms!$N$5:$N$1004,$U197)="","",INDEX(Firms!$N$5:$N$1004,$U197)))</f>
        <v/>
      </c>
      <c r="Q197" s="78">
        <f>IF($T197="","",IF($S197="S",IF(INDEX(Firms!$T$5:$T$1004,$T197)="","",INDEX(Firms!$T$5:$T$1004,$T197)),IF(INDEX('AFA Rates'!$M$5:$M$1004,$T197)="","",INDEX('AFA Rates'!$M$5:$M$1004,$T197))))</f>
        <v/>
      </c>
      <c r="S197">
        <f>IF(193&lt;=$S$2,"S",IF(193&lt;=$S$2+$T$2,"A",""))</f>
        <v/>
      </c>
      <c r="T197">
        <f>IF(S197="S",MATCH(193,Firms!$W$5:$W$1004,0),IF(S197="A",IFERROR(MATCH(193-$S$2,'AFA Rates'!$R$5:$R$1004,0),""),""))</f>
        <v/>
      </c>
      <c r="U197">
        <f>IF(S197="S",T197,IF(AND(S197="A",T197&lt;&gt;""),IFERROR(MATCH(INDEX('AFA Rates'!$A$5:$A$1004,T197),Firms!$A$5:$A$1004,0),""),""))</f>
        <v/>
      </c>
    </row>
    <row r="198">
      <c r="A198" s="78">
        <f>IF($T198="","",IF($S198="S",IF(INDEX(Firms!$A$5:$A$1004,$T198)="","",INDEX(Firms!$A$5:$A$1004,$T198)),IF(INDEX('AFA Rates'!$A$5:$A$1004,$T198)="","",INDEX('AFA Rates'!$A$5:$A$1004,$T198))))</f>
        <v/>
      </c>
      <c r="B198" s="79">
        <f>IF(OR($T198="",$U198=""),IF($T198="","","Not on Firms tab"),INDEX(Firms!$B$5:$B$1004,$U198)&amp;"")</f>
        <v/>
      </c>
      <c r="C198" s="78">
        <f>IF($T198="","",IF($S198="S","Standard",INDEX('AFA Rates'!$B$5:$B$1004,$T198)&amp;""))</f>
        <v/>
      </c>
      <c r="D198" s="88">
        <f>IF($T198="","",IF($S198="S",IF(INDEX(Firms!$E$5:$E$1004,$T198)="","",INDEX(Firms!$E$5:$E$1004,$T198)),IF(INDEX('AFA Rates'!$C$5:$C$1004,$T198)="","",INDEX('AFA Rates'!$C$5:$C$1004,$T198))))</f>
        <v/>
      </c>
      <c r="E198" s="88">
        <f>IF($T198="","",IF($S198="S",IF(""="","",""),IF(INDEX('AFA Rates'!$D$5:$D$1004,$T198)="","",INDEX('AFA Rates'!$D$5:$D$1004,$T198))))</f>
        <v/>
      </c>
      <c r="F198" s="79">
        <f>IF($T198="","",IF($S198="S",IF(INDEX(Firms!$O$5:$O$1004,$T198)="","",INDEX(Firms!$O$5:$O$1004,$T198)),IF(INDEX('AFA Rates'!$O$5:$O$1004,$T198)="","",INDEX('AFA Rates'!$O$5:$O$1004,$T198))))</f>
        <v/>
      </c>
      <c r="G198" s="50">
        <f>IF($T198="","",IF($S198="S",IF(INDEX(Firms!$F$5:$F$1004,$T198)="","",INDEX(Firms!$F$5:$F$1004,$T198)),IF(INDEX('AFA Rates'!$E$5:$E$1004,$T198)="","",INDEX('AFA Rates'!$E$5:$E$1004,$T198))))</f>
        <v/>
      </c>
      <c r="H198" s="50">
        <f>IF($T198="","",IF($S198="S",IF(INDEX(Firms!$G$5:$G$1004,$T198)="","",INDEX(Firms!$G$5:$G$1004,$T198)),IF(INDEX('AFA Rates'!$F$5:$F$1004,$T198)="","",INDEX('AFA Rates'!$F$5:$F$1004,$T198))))</f>
        <v/>
      </c>
      <c r="I198" s="50">
        <f>IF($T198="","",IF($S198="S",IF(INDEX(Firms!$H$5:$H$1004,$T198)="","",INDEX(Firms!$H$5:$H$1004,$T198)),IF(INDEX('AFA Rates'!$G$5:$G$1004,$T198)="","",INDEX('AFA Rates'!$G$5:$G$1004,$T198))))</f>
        <v/>
      </c>
      <c r="J198" s="50">
        <f>IF($T198="","",IF($S198="S",IF(INDEX(Firms!$I$5:$I$1004,$T198)="","",INDEX(Firms!$I$5:$I$1004,$T198)),IF(INDEX('AFA Rates'!$H$5:$H$1004,$T198)="","",INDEX('AFA Rates'!$H$5:$H$1004,$T198))))</f>
        <v/>
      </c>
      <c r="K198" s="50">
        <f>IF($T198="","",IF($S198="S",IF(INDEX(Firms!$J$5:$J$1004,$T198)="","",INDEX(Firms!$J$5:$J$1004,$T198)),IF(INDEX('AFA Rates'!$I$5:$I$1004,$T198)="","",INDEX('AFA Rates'!$I$5:$I$1004,$T198))))</f>
        <v/>
      </c>
      <c r="L198" s="50">
        <f>IF($T198="","",IF($S198="S",IF(INDEX(Firms!$K$5:$K$1004,$T198)="","",INDEX(Firms!$K$5:$K$1004,$T198)),IF(INDEX('AFA Rates'!$J$5:$J$1004,$T198)="","",INDEX('AFA Rates'!$J$5:$J$1004,$T198))))</f>
        <v/>
      </c>
      <c r="M198" s="50">
        <f>IF($T198="","",IF($S198="S",IF(INDEX(Firms!$L$5:$L$1004,$T198)="","",INDEX(Firms!$L$5:$L$1004,$T198)),IF(INDEX('AFA Rates'!$K$5:$K$1004,$T198)="","",INDEX('AFA Rates'!$K$5:$K$1004,$T198))))</f>
        <v/>
      </c>
      <c r="N198" s="50">
        <f>IF($T198="","",IF($S198="S",IF(INDEX(Firms!$M$5:$M$1004,$T198)="","",INDEX(Firms!$M$5:$M$1004,$T198)),IF(INDEX('AFA Rates'!$L$5:$L$1004,$T198)="","",INDEX('AFA Rates'!$L$5:$L$1004,$T198))))</f>
        <v/>
      </c>
      <c r="O198" s="78">
        <f>IF(OR($T198="",$U198=""),"",IF(INDEX(Firms!$C$5:$C$1004,$U198)="","",INDEX(Firms!$C$5:$C$1004,$U198)))</f>
        <v/>
      </c>
      <c r="P198" s="79">
        <f>IF(OR($T198="",$U198=""),"",IF(INDEX(Firms!$N$5:$N$1004,$U198)="","",INDEX(Firms!$N$5:$N$1004,$U198)))</f>
        <v/>
      </c>
      <c r="Q198" s="78">
        <f>IF($T198="","",IF($S198="S",IF(INDEX(Firms!$T$5:$T$1004,$T198)="","",INDEX(Firms!$T$5:$T$1004,$T198)),IF(INDEX('AFA Rates'!$M$5:$M$1004,$T198)="","",INDEX('AFA Rates'!$M$5:$M$1004,$T198))))</f>
        <v/>
      </c>
      <c r="S198">
        <f>IF(194&lt;=$S$2,"S",IF(194&lt;=$S$2+$T$2,"A",""))</f>
        <v/>
      </c>
      <c r="T198">
        <f>IF(S198="S",MATCH(194,Firms!$W$5:$W$1004,0),IF(S198="A",IFERROR(MATCH(194-$S$2,'AFA Rates'!$R$5:$R$1004,0),""),""))</f>
        <v/>
      </c>
      <c r="U198">
        <f>IF(S198="S",T198,IF(AND(S198="A",T198&lt;&gt;""),IFERROR(MATCH(INDEX('AFA Rates'!$A$5:$A$1004,T198),Firms!$A$5:$A$1004,0),""),""))</f>
        <v/>
      </c>
    </row>
    <row r="199">
      <c r="A199" s="78">
        <f>IF($T199="","",IF($S199="S",IF(INDEX(Firms!$A$5:$A$1004,$T199)="","",INDEX(Firms!$A$5:$A$1004,$T199)),IF(INDEX('AFA Rates'!$A$5:$A$1004,$T199)="","",INDEX('AFA Rates'!$A$5:$A$1004,$T199))))</f>
        <v/>
      </c>
      <c r="B199" s="79">
        <f>IF(OR($T199="",$U199=""),IF($T199="","","Not on Firms tab"),INDEX(Firms!$B$5:$B$1004,$U199)&amp;"")</f>
        <v/>
      </c>
      <c r="C199" s="78">
        <f>IF($T199="","",IF($S199="S","Standard",INDEX('AFA Rates'!$B$5:$B$1004,$T199)&amp;""))</f>
        <v/>
      </c>
      <c r="D199" s="88">
        <f>IF($T199="","",IF($S199="S",IF(INDEX(Firms!$E$5:$E$1004,$T199)="","",INDEX(Firms!$E$5:$E$1004,$T199)),IF(INDEX('AFA Rates'!$C$5:$C$1004,$T199)="","",INDEX('AFA Rates'!$C$5:$C$1004,$T199))))</f>
        <v/>
      </c>
      <c r="E199" s="88">
        <f>IF($T199="","",IF($S199="S",IF(""="","",""),IF(INDEX('AFA Rates'!$D$5:$D$1004,$T199)="","",INDEX('AFA Rates'!$D$5:$D$1004,$T199))))</f>
        <v/>
      </c>
      <c r="F199" s="79">
        <f>IF($T199="","",IF($S199="S",IF(INDEX(Firms!$O$5:$O$1004,$T199)="","",INDEX(Firms!$O$5:$O$1004,$T199)),IF(INDEX('AFA Rates'!$O$5:$O$1004,$T199)="","",INDEX('AFA Rates'!$O$5:$O$1004,$T199))))</f>
        <v/>
      </c>
      <c r="G199" s="50">
        <f>IF($T199="","",IF($S199="S",IF(INDEX(Firms!$F$5:$F$1004,$T199)="","",INDEX(Firms!$F$5:$F$1004,$T199)),IF(INDEX('AFA Rates'!$E$5:$E$1004,$T199)="","",INDEX('AFA Rates'!$E$5:$E$1004,$T199))))</f>
        <v/>
      </c>
      <c r="H199" s="50">
        <f>IF($T199="","",IF($S199="S",IF(INDEX(Firms!$G$5:$G$1004,$T199)="","",INDEX(Firms!$G$5:$G$1004,$T199)),IF(INDEX('AFA Rates'!$F$5:$F$1004,$T199)="","",INDEX('AFA Rates'!$F$5:$F$1004,$T199))))</f>
        <v/>
      </c>
      <c r="I199" s="50">
        <f>IF($T199="","",IF($S199="S",IF(INDEX(Firms!$H$5:$H$1004,$T199)="","",INDEX(Firms!$H$5:$H$1004,$T199)),IF(INDEX('AFA Rates'!$G$5:$G$1004,$T199)="","",INDEX('AFA Rates'!$G$5:$G$1004,$T199))))</f>
        <v/>
      </c>
      <c r="J199" s="50">
        <f>IF($T199="","",IF($S199="S",IF(INDEX(Firms!$I$5:$I$1004,$T199)="","",INDEX(Firms!$I$5:$I$1004,$T199)),IF(INDEX('AFA Rates'!$H$5:$H$1004,$T199)="","",INDEX('AFA Rates'!$H$5:$H$1004,$T199))))</f>
        <v/>
      </c>
      <c r="K199" s="50">
        <f>IF($T199="","",IF($S199="S",IF(INDEX(Firms!$J$5:$J$1004,$T199)="","",INDEX(Firms!$J$5:$J$1004,$T199)),IF(INDEX('AFA Rates'!$I$5:$I$1004,$T199)="","",INDEX('AFA Rates'!$I$5:$I$1004,$T199))))</f>
        <v/>
      </c>
      <c r="L199" s="50">
        <f>IF($T199="","",IF($S199="S",IF(INDEX(Firms!$K$5:$K$1004,$T199)="","",INDEX(Firms!$K$5:$K$1004,$T199)),IF(INDEX('AFA Rates'!$J$5:$J$1004,$T199)="","",INDEX('AFA Rates'!$J$5:$J$1004,$T199))))</f>
        <v/>
      </c>
      <c r="M199" s="50">
        <f>IF($T199="","",IF($S199="S",IF(INDEX(Firms!$L$5:$L$1004,$T199)="","",INDEX(Firms!$L$5:$L$1004,$T199)),IF(INDEX('AFA Rates'!$K$5:$K$1004,$T199)="","",INDEX('AFA Rates'!$K$5:$K$1004,$T199))))</f>
        <v/>
      </c>
      <c r="N199" s="50">
        <f>IF($T199="","",IF($S199="S",IF(INDEX(Firms!$M$5:$M$1004,$T199)="","",INDEX(Firms!$M$5:$M$1004,$T199)),IF(INDEX('AFA Rates'!$L$5:$L$1004,$T199)="","",INDEX('AFA Rates'!$L$5:$L$1004,$T199))))</f>
        <v/>
      </c>
      <c r="O199" s="78">
        <f>IF(OR($T199="",$U199=""),"",IF(INDEX(Firms!$C$5:$C$1004,$U199)="","",INDEX(Firms!$C$5:$C$1004,$U199)))</f>
        <v/>
      </c>
      <c r="P199" s="79">
        <f>IF(OR($T199="",$U199=""),"",IF(INDEX(Firms!$N$5:$N$1004,$U199)="","",INDEX(Firms!$N$5:$N$1004,$U199)))</f>
        <v/>
      </c>
      <c r="Q199" s="78">
        <f>IF($T199="","",IF($S199="S",IF(INDEX(Firms!$T$5:$T$1004,$T199)="","",INDEX(Firms!$T$5:$T$1004,$T199)),IF(INDEX('AFA Rates'!$M$5:$M$1004,$T199)="","",INDEX('AFA Rates'!$M$5:$M$1004,$T199))))</f>
        <v/>
      </c>
      <c r="S199">
        <f>IF(195&lt;=$S$2,"S",IF(195&lt;=$S$2+$T$2,"A",""))</f>
        <v/>
      </c>
      <c r="T199">
        <f>IF(S199="S",MATCH(195,Firms!$W$5:$W$1004,0),IF(S199="A",IFERROR(MATCH(195-$S$2,'AFA Rates'!$R$5:$R$1004,0),""),""))</f>
        <v/>
      </c>
      <c r="U199">
        <f>IF(S199="S",T199,IF(AND(S199="A",T199&lt;&gt;""),IFERROR(MATCH(INDEX('AFA Rates'!$A$5:$A$1004,T199),Firms!$A$5:$A$1004,0),""),""))</f>
        <v/>
      </c>
    </row>
    <row r="200">
      <c r="A200" s="78">
        <f>IF($T200="","",IF($S200="S",IF(INDEX(Firms!$A$5:$A$1004,$T200)="","",INDEX(Firms!$A$5:$A$1004,$T200)),IF(INDEX('AFA Rates'!$A$5:$A$1004,$T200)="","",INDEX('AFA Rates'!$A$5:$A$1004,$T200))))</f>
        <v/>
      </c>
      <c r="B200" s="79">
        <f>IF(OR($T200="",$U200=""),IF($T200="","","Not on Firms tab"),INDEX(Firms!$B$5:$B$1004,$U200)&amp;"")</f>
        <v/>
      </c>
      <c r="C200" s="78">
        <f>IF($T200="","",IF($S200="S","Standard",INDEX('AFA Rates'!$B$5:$B$1004,$T200)&amp;""))</f>
        <v/>
      </c>
      <c r="D200" s="88">
        <f>IF($T200="","",IF($S200="S",IF(INDEX(Firms!$E$5:$E$1004,$T200)="","",INDEX(Firms!$E$5:$E$1004,$T200)),IF(INDEX('AFA Rates'!$C$5:$C$1004,$T200)="","",INDEX('AFA Rates'!$C$5:$C$1004,$T200))))</f>
        <v/>
      </c>
      <c r="E200" s="88">
        <f>IF($T200="","",IF($S200="S",IF(""="","",""),IF(INDEX('AFA Rates'!$D$5:$D$1004,$T200)="","",INDEX('AFA Rates'!$D$5:$D$1004,$T200))))</f>
        <v/>
      </c>
      <c r="F200" s="79">
        <f>IF($T200="","",IF($S200="S",IF(INDEX(Firms!$O$5:$O$1004,$T200)="","",INDEX(Firms!$O$5:$O$1004,$T200)),IF(INDEX('AFA Rates'!$O$5:$O$1004,$T200)="","",INDEX('AFA Rates'!$O$5:$O$1004,$T200))))</f>
        <v/>
      </c>
      <c r="G200" s="50">
        <f>IF($T200="","",IF($S200="S",IF(INDEX(Firms!$F$5:$F$1004,$T200)="","",INDEX(Firms!$F$5:$F$1004,$T200)),IF(INDEX('AFA Rates'!$E$5:$E$1004,$T200)="","",INDEX('AFA Rates'!$E$5:$E$1004,$T200))))</f>
        <v/>
      </c>
      <c r="H200" s="50">
        <f>IF($T200="","",IF($S200="S",IF(INDEX(Firms!$G$5:$G$1004,$T200)="","",INDEX(Firms!$G$5:$G$1004,$T200)),IF(INDEX('AFA Rates'!$F$5:$F$1004,$T200)="","",INDEX('AFA Rates'!$F$5:$F$1004,$T200))))</f>
        <v/>
      </c>
      <c r="I200" s="50">
        <f>IF($T200="","",IF($S200="S",IF(INDEX(Firms!$H$5:$H$1004,$T200)="","",INDEX(Firms!$H$5:$H$1004,$T200)),IF(INDEX('AFA Rates'!$G$5:$G$1004,$T200)="","",INDEX('AFA Rates'!$G$5:$G$1004,$T200))))</f>
        <v/>
      </c>
      <c r="J200" s="50">
        <f>IF($T200="","",IF($S200="S",IF(INDEX(Firms!$I$5:$I$1004,$T200)="","",INDEX(Firms!$I$5:$I$1004,$T200)),IF(INDEX('AFA Rates'!$H$5:$H$1004,$T200)="","",INDEX('AFA Rates'!$H$5:$H$1004,$T200))))</f>
        <v/>
      </c>
      <c r="K200" s="50">
        <f>IF($T200="","",IF($S200="S",IF(INDEX(Firms!$J$5:$J$1004,$T200)="","",INDEX(Firms!$J$5:$J$1004,$T200)),IF(INDEX('AFA Rates'!$I$5:$I$1004,$T200)="","",INDEX('AFA Rates'!$I$5:$I$1004,$T200))))</f>
        <v/>
      </c>
      <c r="L200" s="50">
        <f>IF($T200="","",IF($S200="S",IF(INDEX(Firms!$K$5:$K$1004,$T200)="","",INDEX(Firms!$K$5:$K$1004,$T200)),IF(INDEX('AFA Rates'!$J$5:$J$1004,$T200)="","",INDEX('AFA Rates'!$J$5:$J$1004,$T200))))</f>
        <v/>
      </c>
      <c r="M200" s="50">
        <f>IF($T200="","",IF($S200="S",IF(INDEX(Firms!$L$5:$L$1004,$T200)="","",INDEX(Firms!$L$5:$L$1004,$T200)),IF(INDEX('AFA Rates'!$K$5:$K$1004,$T200)="","",INDEX('AFA Rates'!$K$5:$K$1004,$T200))))</f>
        <v/>
      </c>
      <c r="N200" s="50">
        <f>IF($T200="","",IF($S200="S",IF(INDEX(Firms!$M$5:$M$1004,$T200)="","",INDEX(Firms!$M$5:$M$1004,$T200)),IF(INDEX('AFA Rates'!$L$5:$L$1004,$T200)="","",INDEX('AFA Rates'!$L$5:$L$1004,$T200))))</f>
        <v/>
      </c>
      <c r="O200" s="78">
        <f>IF(OR($T200="",$U200=""),"",IF(INDEX(Firms!$C$5:$C$1004,$U200)="","",INDEX(Firms!$C$5:$C$1004,$U200)))</f>
        <v/>
      </c>
      <c r="P200" s="79">
        <f>IF(OR($T200="",$U200=""),"",IF(INDEX(Firms!$N$5:$N$1004,$U200)="","",INDEX(Firms!$N$5:$N$1004,$U200)))</f>
        <v/>
      </c>
      <c r="Q200" s="78">
        <f>IF($T200="","",IF($S200="S",IF(INDEX(Firms!$T$5:$T$1004,$T200)="","",INDEX(Firms!$T$5:$T$1004,$T200)),IF(INDEX('AFA Rates'!$M$5:$M$1004,$T200)="","",INDEX('AFA Rates'!$M$5:$M$1004,$T200))))</f>
        <v/>
      </c>
      <c r="S200">
        <f>IF(196&lt;=$S$2,"S",IF(196&lt;=$S$2+$T$2,"A",""))</f>
        <v/>
      </c>
      <c r="T200">
        <f>IF(S200="S",MATCH(196,Firms!$W$5:$W$1004,0),IF(S200="A",IFERROR(MATCH(196-$S$2,'AFA Rates'!$R$5:$R$1004,0),""),""))</f>
        <v/>
      </c>
      <c r="U200">
        <f>IF(S200="S",T200,IF(AND(S200="A",T200&lt;&gt;""),IFERROR(MATCH(INDEX('AFA Rates'!$A$5:$A$1004,T200),Firms!$A$5:$A$1004,0),""),""))</f>
        <v/>
      </c>
    </row>
    <row r="201">
      <c r="A201" s="78">
        <f>IF($T201="","",IF($S201="S",IF(INDEX(Firms!$A$5:$A$1004,$T201)="","",INDEX(Firms!$A$5:$A$1004,$T201)),IF(INDEX('AFA Rates'!$A$5:$A$1004,$T201)="","",INDEX('AFA Rates'!$A$5:$A$1004,$T201))))</f>
        <v/>
      </c>
      <c r="B201" s="79">
        <f>IF(OR($T201="",$U201=""),IF($T201="","","Not on Firms tab"),INDEX(Firms!$B$5:$B$1004,$U201)&amp;"")</f>
        <v/>
      </c>
      <c r="C201" s="78">
        <f>IF($T201="","",IF($S201="S","Standard",INDEX('AFA Rates'!$B$5:$B$1004,$T201)&amp;""))</f>
        <v/>
      </c>
      <c r="D201" s="88">
        <f>IF($T201="","",IF($S201="S",IF(INDEX(Firms!$E$5:$E$1004,$T201)="","",INDEX(Firms!$E$5:$E$1004,$T201)),IF(INDEX('AFA Rates'!$C$5:$C$1004,$T201)="","",INDEX('AFA Rates'!$C$5:$C$1004,$T201))))</f>
        <v/>
      </c>
      <c r="E201" s="88">
        <f>IF($T201="","",IF($S201="S",IF(""="","",""),IF(INDEX('AFA Rates'!$D$5:$D$1004,$T201)="","",INDEX('AFA Rates'!$D$5:$D$1004,$T201))))</f>
        <v/>
      </c>
      <c r="F201" s="79">
        <f>IF($T201="","",IF($S201="S",IF(INDEX(Firms!$O$5:$O$1004,$T201)="","",INDEX(Firms!$O$5:$O$1004,$T201)),IF(INDEX('AFA Rates'!$O$5:$O$1004,$T201)="","",INDEX('AFA Rates'!$O$5:$O$1004,$T201))))</f>
        <v/>
      </c>
      <c r="G201" s="50">
        <f>IF($T201="","",IF($S201="S",IF(INDEX(Firms!$F$5:$F$1004,$T201)="","",INDEX(Firms!$F$5:$F$1004,$T201)),IF(INDEX('AFA Rates'!$E$5:$E$1004,$T201)="","",INDEX('AFA Rates'!$E$5:$E$1004,$T201))))</f>
        <v/>
      </c>
      <c r="H201" s="50">
        <f>IF($T201="","",IF($S201="S",IF(INDEX(Firms!$G$5:$G$1004,$T201)="","",INDEX(Firms!$G$5:$G$1004,$T201)),IF(INDEX('AFA Rates'!$F$5:$F$1004,$T201)="","",INDEX('AFA Rates'!$F$5:$F$1004,$T201))))</f>
        <v/>
      </c>
      <c r="I201" s="50">
        <f>IF($T201="","",IF($S201="S",IF(INDEX(Firms!$H$5:$H$1004,$T201)="","",INDEX(Firms!$H$5:$H$1004,$T201)),IF(INDEX('AFA Rates'!$G$5:$G$1004,$T201)="","",INDEX('AFA Rates'!$G$5:$G$1004,$T201))))</f>
        <v/>
      </c>
      <c r="J201" s="50">
        <f>IF($T201="","",IF($S201="S",IF(INDEX(Firms!$I$5:$I$1004,$T201)="","",INDEX(Firms!$I$5:$I$1004,$T201)),IF(INDEX('AFA Rates'!$H$5:$H$1004,$T201)="","",INDEX('AFA Rates'!$H$5:$H$1004,$T201))))</f>
        <v/>
      </c>
      <c r="K201" s="50">
        <f>IF($T201="","",IF($S201="S",IF(INDEX(Firms!$J$5:$J$1004,$T201)="","",INDEX(Firms!$J$5:$J$1004,$T201)),IF(INDEX('AFA Rates'!$I$5:$I$1004,$T201)="","",INDEX('AFA Rates'!$I$5:$I$1004,$T201))))</f>
        <v/>
      </c>
      <c r="L201" s="50">
        <f>IF($T201="","",IF($S201="S",IF(INDEX(Firms!$K$5:$K$1004,$T201)="","",INDEX(Firms!$K$5:$K$1004,$T201)),IF(INDEX('AFA Rates'!$J$5:$J$1004,$T201)="","",INDEX('AFA Rates'!$J$5:$J$1004,$T201))))</f>
        <v/>
      </c>
      <c r="M201" s="50">
        <f>IF($T201="","",IF($S201="S",IF(INDEX(Firms!$L$5:$L$1004,$T201)="","",INDEX(Firms!$L$5:$L$1004,$T201)),IF(INDEX('AFA Rates'!$K$5:$K$1004,$T201)="","",INDEX('AFA Rates'!$K$5:$K$1004,$T201))))</f>
        <v/>
      </c>
      <c r="N201" s="50">
        <f>IF($T201="","",IF($S201="S",IF(INDEX(Firms!$M$5:$M$1004,$T201)="","",INDEX(Firms!$M$5:$M$1004,$T201)),IF(INDEX('AFA Rates'!$L$5:$L$1004,$T201)="","",INDEX('AFA Rates'!$L$5:$L$1004,$T201))))</f>
        <v/>
      </c>
      <c r="O201" s="78">
        <f>IF(OR($T201="",$U201=""),"",IF(INDEX(Firms!$C$5:$C$1004,$U201)="","",INDEX(Firms!$C$5:$C$1004,$U201)))</f>
        <v/>
      </c>
      <c r="P201" s="79">
        <f>IF(OR($T201="",$U201=""),"",IF(INDEX(Firms!$N$5:$N$1004,$U201)="","",INDEX(Firms!$N$5:$N$1004,$U201)))</f>
        <v/>
      </c>
      <c r="Q201" s="78">
        <f>IF($T201="","",IF($S201="S",IF(INDEX(Firms!$T$5:$T$1004,$T201)="","",INDEX(Firms!$T$5:$T$1004,$T201)),IF(INDEX('AFA Rates'!$M$5:$M$1004,$T201)="","",INDEX('AFA Rates'!$M$5:$M$1004,$T201))))</f>
        <v/>
      </c>
      <c r="S201">
        <f>IF(197&lt;=$S$2,"S",IF(197&lt;=$S$2+$T$2,"A",""))</f>
        <v/>
      </c>
      <c r="T201">
        <f>IF(S201="S",MATCH(197,Firms!$W$5:$W$1004,0),IF(S201="A",IFERROR(MATCH(197-$S$2,'AFA Rates'!$R$5:$R$1004,0),""),""))</f>
        <v/>
      </c>
      <c r="U201">
        <f>IF(S201="S",T201,IF(AND(S201="A",T201&lt;&gt;""),IFERROR(MATCH(INDEX('AFA Rates'!$A$5:$A$1004,T201),Firms!$A$5:$A$1004,0),""),""))</f>
        <v/>
      </c>
    </row>
    <row r="202">
      <c r="A202" s="78">
        <f>IF($T202="","",IF($S202="S",IF(INDEX(Firms!$A$5:$A$1004,$T202)="","",INDEX(Firms!$A$5:$A$1004,$T202)),IF(INDEX('AFA Rates'!$A$5:$A$1004,$T202)="","",INDEX('AFA Rates'!$A$5:$A$1004,$T202))))</f>
        <v/>
      </c>
      <c r="B202" s="79">
        <f>IF(OR($T202="",$U202=""),IF($T202="","","Not on Firms tab"),INDEX(Firms!$B$5:$B$1004,$U202)&amp;"")</f>
        <v/>
      </c>
      <c r="C202" s="78">
        <f>IF($T202="","",IF($S202="S","Standard",INDEX('AFA Rates'!$B$5:$B$1004,$T202)&amp;""))</f>
        <v/>
      </c>
      <c r="D202" s="88">
        <f>IF($T202="","",IF($S202="S",IF(INDEX(Firms!$E$5:$E$1004,$T202)="","",INDEX(Firms!$E$5:$E$1004,$T202)),IF(INDEX('AFA Rates'!$C$5:$C$1004,$T202)="","",INDEX('AFA Rates'!$C$5:$C$1004,$T202))))</f>
        <v/>
      </c>
      <c r="E202" s="88">
        <f>IF($T202="","",IF($S202="S",IF(""="","",""),IF(INDEX('AFA Rates'!$D$5:$D$1004,$T202)="","",INDEX('AFA Rates'!$D$5:$D$1004,$T202))))</f>
        <v/>
      </c>
      <c r="F202" s="79">
        <f>IF($T202="","",IF($S202="S",IF(INDEX(Firms!$O$5:$O$1004,$T202)="","",INDEX(Firms!$O$5:$O$1004,$T202)),IF(INDEX('AFA Rates'!$O$5:$O$1004,$T202)="","",INDEX('AFA Rates'!$O$5:$O$1004,$T202))))</f>
        <v/>
      </c>
      <c r="G202" s="50">
        <f>IF($T202="","",IF($S202="S",IF(INDEX(Firms!$F$5:$F$1004,$T202)="","",INDEX(Firms!$F$5:$F$1004,$T202)),IF(INDEX('AFA Rates'!$E$5:$E$1004,$T202)="","",INDEX('AFA Rates'!$E$5:$E$1004,$T202))))</f>
        <v/>
      </c>
      <c r="H202" s="50">
        <f>IF($T202="","",IF($S202="S",IF(INDEX(Firms!$G$5:$G$1004,$T202)="","",INDEX(Firms!$G$5:$G$1004,$T202)),IF(INDEX('AFA Rates'!$F$5:$F$1004,$T202)="","",INDEX('AFA Rates'!$F$5:$F$1004,$T202))))</f>
        <v/>
      </c>
      <c r="I202" s="50">
        <f>IF($T202="","",IF($S202="S",IF(INDEX(Firms!$H$5:$H$1004,$T202)="","",INDEX(Firms!$H$5:$H$1004,$T202)),IF(INDEX('AFA Rates'!$G$5:$G$1004,$T202)="","",INDEX('AFA Rates'!$G$5:$G$1004,$T202))))</f>
        <v/>
      </c>
      <c r="J202" s="50">
        <f>IF($T202="","",IF($S202="S",IF(INDEX(Firms!$I$5:$I$1004,$T202)="","",INDEX(Firms!$I$5:$I$1004,$T202)),IF(INDEX('AFA Rates'!$H$5:$H$1004,$T202)="","",INDEX('AFA Rates'!$H$5:$H$1004,$T202))))</f>
        <v/>
      </c>
      <c r="K202" s="50">
        <f>IF($T202="","",IF($S202="S",IF(INDEX(Firms!$J$5:$J$1004,$T202)="","",INDEX(Firms!$J$5:$J$1004,$T202)),IF(INDEX('AFA Rates'!$I$5:$I$1004,$T202)="","",INDEX('AFA Rates'!$I$5:$I$1004,$T202))))</f>
        <v/>
      </c>
      <c r="L202" s="50">
        <f>IF($T202="","",IF($S202="S",IF(INDEX(Firms!$K$5:$K$1004,$T202)="","",INDEX(Firms!$K$5:$K$1004,$T202)),IF(INDEX('AFA Rates'!$J$5:$J$1004,$T202)="","",INDEX('AFA Rates'!$J$5:$J$1004,$T202))))</f>
        <v/>
      </c>
      <c r="M202" s="50">
        <f>IF($T202="","",IF($S202="S",IF(INDEX(Firms!$L$5:$L$1004,$T202)="","",INDEX(Firms!$L$5:$L$1004,$T202)),IF(INDEX('AFA Rates'!$K$5:$K$1004,$T202)="","",INDEX('AFA Rates'!$K$5:$K$1004,$T202))))</f>
        <v/>
      </c>
      <c r="N202" s="50">
        <f>IF($T202="","",IF($S202="S",IF(INDEX(Firms!$M$5:$M$1004,$T202)="","",INDEX(Firms!$M$5:$M$1004,$T202)),IF(INDEX('AFA Rates'!$L$5:$L$1004,$T202)="","",INDEX('AFA Rates'!$L$5:$L$1004,$T202))))</f>
        <v/>
      </c>
      <c r="O202" s="78">
        <f>IF(OR($T202="",$U202=""),"",IF(INDEX(Firms!$C$5:$C$1004,$U202)="","",INDEX(Firms!$C$5:$C$1004,$U202)))</f>
        <v/>
      </c>
      <c r="P202" s="79">
        <f>IF(OR($T202="",$U202=""),"",IF(INDEX(Firms!$N$5:$N$1004,$U202)="","",INDEX(Firms!$N$5:$N$1004,$U202)))</f>
        <v/>
      </c>
      <c r="Q202" s="78">
        <f>IF($T202="","",IF($S202="S",IF(INDEX(Firms!$T$5:$T$1004,$T202)="","",INDEX(Firms!$T$5:$T$1004,$T202)),IF(INDEX('AFA Rates'!$M$5:$M$1004,$T202)="","",INDEX('AFA Rates'!$M$5:$M$1004,$T202))))</f>
        <v/>
      </c>
      <c r="S202">
        <f>IF(198&lt;=$S$2,"S",IF(198&lt;=$S$2+$T$2,"A",""))</f>
        <v/>
      </c>
      <c r="T202">
        <f>IF(S202="S",MATCH(198,Firms!$W$5:$W$1004,0),IF(S202="A",IFERROR(MATCH(198-$S$2,'AFA Rates'!$R$5:$R$1004,0),""),""))</f>
        <v/>
      </c>
      <c r="U202">
        <f>IF(S202="S",T202,IF(AND(S202="A",T202&lt;&gt;""),IFERROR(MATCH(INDEX('AFA Rates'!$A$5:$A$1004,T202),Firms!$A$5:$A$1004,0),""),""))</f>
        <v/>
      </c>
    </row>
    <row r="203">
      <c r="A203" s="78">
        <f>IF($T203="","",IF($S203="S",IF(INDEX(Firms!$A$5:$A$1004,$T203)="","",INDEX(Firms!$A$5:$A$1004,$T203)),IF(INDEX('AFA Rates'!$A$5:$A$1004,$T203)="","",INDEX('AFA Rates'!$A$5:$A$1004,$T203))))</f>
        <v/>
      </c>
      <c r="B203" s="79">
        <f>IF(OR($T203="",$U203=""),IF($T203="","","Not on Firms tab"),INDEX(Firms!$B$5:$B$1004,$U203)&amp;"")</f>
        <v/>
      </c>
      <c r="C203" s="78">
        <f>IF($T203="","",IF($S203="S","Standard",INDEX('AFA Rates'!$B$5:$B$1004,$T203)&amp;""))</f>
        <v/>
      </c>
      <c r="D203" s="88">
        <f>IF($T203="","",IF($S203="S",IF(INDEX(Firms!$E$5:$E$1004,$T203)="","",INDEX(Firms!$E$5:$E$1004,$T203)),IF(INDEX('AFA Rates'!$C$5:$C$1004,$T203)="","",INDEX('AFA Rates'!$C$5:$C$1004,$T203))))</f>
        <v/>
      </c>
      <c r="E203" s="88">
        <f>IF($T203="","",IF($S203="S",IF(""="","",""),IF(INDEX('AFA Rates'!$D$5:$D$1004,$T203)="","",INDEX('AFA Rates'!$D$5:$D$1004,$T203))))</f>
        <v/>
      </c>
      <c r="F203" s="79">
        <f>IF($T203="","",IF($S203="S",IF(INDEX(Firms!$O$5:$O$1004,$T203)="","",INDEX(Firms!$O$5:$O$1004,$T203)),IF(INDEX('AFA Rates'!$O$5:$O$1004,$T203)="","",INDEX('AFA Rates'!$O$5:$O$1004,$T203))))</f>
        <v/>
      </c>
      <c r="G203" s="50">
        <f>IF($T203="","",IF($S203="S",IF(INDEX(Firms!$F$5:$F$1004,$T203)="","",INDEX(Firms!$F$5:$F$1004,$T203)),IF(INDEX('AFA Rates'!$E$5:$E$1004,$T203)="","",INDEX('AFA Rates'!$E$5:$E$1004,$T203))))</f>
        <v/>
      </c>
      <c r="H203" s="50">
        <f>IF($T203="","",IF($S203="S",IF(INDEX(Firms!$G$5:$G$1004,$T203)="","",INDEX(Firms!$G$5:$G$1004,$T203)),IF(INDEX('AFA Rates'!$F$5:$F$1004,$T203)="","",INDEX('AFA Rates'!$F$5:$F$1004,$T203))))</f>
        <v/>
      </c>
      <c r="I203" s="50">
        <f>IF($T203="","",IF($S203="S",IF(INDEX(Firms!$H$5:$H$1004,$T203)="","",INDEX(Firms!$H$5:$H$1004,$T203)),IF(INDEX('AFA Rates'!$G$5:$G$1004,$T203)="","",INDEX('AFA Rates'!$G$5:$G$1004,$T203))))</f>
        <v/>
      </c>
      <c r="J203" s="50">
        <f>IF($T203="","",IF($S203="S",IF(INDEX(Firms!$I$5:$I$1004,$T203)="","",INDEX(Firms!$I$5:$I$1004,$T203)),IF(INDEX('AFA Rates'!$H$5:$H$1004,$T203)="","",INDEX('AFA Rates'!$H$5:$H$1004,$T203))))</f>
        <v/>
      </c>
      <c r="K203" s="50">
        <f>IF($T203="","",IF($S203="S",IF(INDEX(Firms!$J$5:$J$1004,$T203)="","",INDEX(Firms!$J$5:$J$1004,$T203)),IF(INDEX('AFA Rates'!$I$5:$I$1004,$T203)="","",INDEX('AFA Rates'!$I$5:$I$1004,$T203))))</f>
        <v/>
      </c>
      <c r="L203" s="50">
        <f>IF($T203="","",IF($S203="S",IF(INDEX(Firms!$K$5:$K$1004,$T203)="","",INDEX(Firms!$K$5:$K$1004,$T203)),IF(INDEX('AFA Rates'!$J$5:$J$1004,$T203)="","",INDEX('AFA Rates'!$J$5:$J$1004,$T203))))</f>
        <v/>
      </c>
      <c r="M203" s="50">
        <f>IF($T203="","",IF($S203="S",IF(INDEX(Firms!$L$5:$L$1004,$T203)="","",INDEX(Firms!$L$5:$L$1004,$T203)),IF(INDEX('AFA Rates'!$K$5:$K$1004,$T203)="","",INDEX('AFA Rates'!$K$5:$K$1004,$T203))))</f>
        <v/>
      </c>
      <c r="N203" s="50">
        <f>IF($T203="","",IF($S203="S",IF(INDEX(Firms!$M$5:$M$1004,$T203)="","",INDEX(Firms!$M$5:$M$1004,$T203)),IF(INDEX('AFA Rates'!$L$5:$L$1004,$T203)="","",INDEX('AFA Rates'!$L$5:$L$1004,$T203))))</f>
        <v/>
      </c>
      <c r="O203" s="78">
        <f>IF(OR($T203="",$U203=""),"",IF(INDEX(Firms!$C$5:$C$1004,$U203)="","",INDEX(Firms!$C$5:$C$1004,$U203)))</f>
        <v/>
      </c>
      <c r="P203" s="79">
        <f>IF(OR($T203="",$U203=""),"",IF(INDEX(Firms!$N$5:$N$1004,$U203)="","",INDEX(Firms!$N$5:$N$1004,$U203)))</f>
        <v/>
      </c>
      <c r="Q203" s="78">
        <f>IF($T203="","",IF($S203="S",IF(INDEX(Firms!$T$5:$T$1004,$T203)="","",INDEX(Firms!$T$5:$T$1004,$T203)),IF(INDEX('AFA Rates'!$M$5:$M$1004,$T203)="","",INDEX('AFA Rates'!$M$5:$M$1004,$T203))))</f>
        <v/>
      </c>
      <c r="S203">
        <f>IF(199&lt;=$S$2,"S",IF(199&lt;=$S$2+$T$2,"A",""))</f>
        <v/>
      </c>
      <c r="T203">
        <f>IF(S203="S",MATCH(199,Firms!$W$5:$W$1004,0),IF(S203="A",IFERROR(MATCH(199-$S$2,'AFA Rates'!$R$5:$R$1004,0),""),""))</f>
        <v/>
      </c>
      <c r="U203">
        <f>IF(S203="S",T203,IF(AND(S203="A",T203&lt;&gt;""),IFERROR(MATCH(INDEX('AFA Rates'!$A$5:$A$1004,T203),Firms!$A$5:$A$1004,0),""),""))</f>
        <v/>
      </c>
    </row>
    <row r="204">
      <c r="A204" s="78">
        <f>IF($T204="","",IF($S204="S",IF(INDEX(Firms!$A$5:$A$1004,$T204)="","",INDEX(Firms!$A$5:$A$1004,$T204)),IF(INDEX('AFA Rates'!$A$5:$A$1004,$T204)="","",INDEX('AFA Rates'!$A$5:$A$1004,$T204))))</f>
        <v/>
      </c>
      <c r="B204" s="79">
        <f>IF(OR($T204="",$U204=""),IF($T204="","","Not on Firms tab"),INDEX(Firms!$B$5:$B$1004,$U204)&amp;"")</f>
        <v/>
      </c>
      <c r="C204" s="78">
        <f>IF($T204="","",IF($S204="S","Standard",INDEX('AFA Rates'!$B$5:$B$1004,$T204)&amp;""))</f>
        <v/>
      </c>
      <c r="D204" s="88">
        <f>IF($T204="","",IF($S204="S",IF(INDEX(Firms!$E$5:$E$1004,$T204)="","",INDEX(Firms!$E$5:$E$1004,$T204)),IF(INDEX('AFA Rates'!$C$5:$C$1004,$T204)="","",INDEX('AFA Rates'!$C$5:$C$1004,$T204))))</f>
        <v/>
      </c>
      <c r="E204" s="88">
        <f>IF($T204="","",IF($S204="S",IF(""="","",""),IF(INDEX('AFA Rates'!$D$5:$D$1004,$T204)="","",INDEX('AFA Rates'!$D$5:$D$1004,$T204))))</f>
        <v/>
      </c>
      <c r="F204" s="79">
        <f>IF($T204="","",IF($S204="S",IF(INDEX(Firms!$O$5:$O$1004,$T204)="","",INDEX(Firms!$O$5:$O$1004,$T204)),IF(INDEX('AFA Rates'!$O$5:$O$1004,$T204)="","",INDEX('AFA Rates'!$O$5:$O$1004,$T204))))</f>
        <v/>
      </c>
      <c r="G204" s="50">
        <f>IF($T204="","",IF($S204="S",IF(INDEX(Firms!$F$5:$F$1004,$T204)="","",INDEX(Firms!$F$5:$F$1004,$T204)),IF(INDEX('AFA Rates'!$E$5:$E$1004,$T204)="","",INDEX('AFA Rates'!$E$5:$E$1004,$T204))))</f>
        <v/>
      </c>
      <c r="H204" s="50">
        <f>IF($T204="","",IF($S204="S",IF(INDEX(Firms!$G$5:$G$1004,$T204)="","",INDEX(Firms!$G$5:$G$1004,$T204)),IF(INDEX('AFA Rates'!$F$5:$F$1004,$T204)="","",INDEX('AFA Rates'!$F$5:$F$1004,$T204))))</f>
        <v/>
      </c>
      <c r="I204" s="50">
        <f>IF($T204="","",IF($S204="S",IF(INDEX(Firms!$H$5:$H$1004,$T204)="","",INDEX(Firms!$H$5:$H$1004,$T204)),IF(INDEX('AFA Rates'!$G$5:$G$1004,$T204)="","",INDEX('AFA Rates'!$G$5:$G$1004,$T204))))</f>
        <v/>
      </c>
      <c r="J204" s="50">
        <f>IF($T204="","",IF($S204="S",IF(INDEX(Firms!$I$5:$I$1004,$T204)="","",INDEX(Firms!$I$5:$I$1004,$T204)),IF(INDEX('AFA Rates'!$H$5:$H$1004,$T204)="","",INDEX('AFA Rates'!$H$5:$H$1004,$T204))))</f>
        <v/>
      </c>
      <c r="K204" s="50">
        <f>IF($T204="","",IF($S204="S",IF(INDEX(Firms!$J$5:$J$1004,$T204)="","",INDEX(Firms!$J$5:$J$1004,$T204)),IF(INDEX('AFA Rates'!$I$5:$I$1004,$T204)="","",INDEX('AFA Rates'!$I$5:$I$1004,$T204))))</f>
        <v/>
      </c>
      <c r="L204" s="50">
        <f>IF($T204="","",IF($S204="S",IF(INDEX(Firms!$K$5:$K$1004,$T204)="","",INDEX(Firms!$K$5:$K$1004,$T204)),IF(INDEX('AFA Rates'!$J$5:$J$1004,$T204)="","",INDEX('AFA Rates'!$J$5:$J$1004,$T204))))</f>
        <v/>
      </c>
      <c r="M204" s="50">
        <f>IF($T204="","",IF($S204="S",IF(INDEX(Firms!$L$5:$L$1004,$T204)="","",INDEX(Firms!$L$5:$L$1004,$T204)),IF(INDEX('AFA Rates'!$K$5:$K$1004,$T204)="","",INDEX('AFA Rates'!$K$5:$K$1004,$T204))))</f>
        <v/>
      </c>
      <c r="N204" s="50">
        <f>IF($T204="","",IF($S204="S",IF(INDEX(Firms!$M$5:$M$1004,$T204)="","",INDEX(Firms!$M$5:$M$1004,$T204)),IF(INDEX('AFA Rates'!$L$5:$L$1004,$T204)="","",INDEX('AFA Rates'!$L$5:$L$1004,$T204))))</f>
        <v/>
      </c>
      <c r="O204" s="78">
        <f>IF(OR($T204="",$U204=""),"",IF(INDEX(Firms!$C$5:$C$1004,$U204)="","",INDEX(Firms!$C$5:$C$1004,$U204)))</f>
        <v/>
      </c>
      <c r="P204" s="79">
        <f>IF(OR($T204="",$U204=""),"",IF(INDEX(Firms!$N$5:$N$1004,$U204)="","",INDEX(Firms!$N$5:$N$1004,$U204)))</f>
        <v/>
      </c>
      <c r="Q204" s="78">
        <f>IF($T204="","",IF($S204="S",IF(INDEX(Firms!$T$5:$T$1004,$T204)="","",INDEX(Firms!$T$5:$T$1004,$T204)),IF(INDEX('AFA Rates'!$M$5:$M$1004,$T204)="","",INDEX('AFA Rates'!$M$5:$M$1004,$T204))))</f>
        <v/>
      </c>
      <c r="S204">
        <f>IF(200&lt;=$S$2,"S",IF(200&lt;=$S$2+$T$2,"A",""))</f>
        <v/>
      </c>
      <c r="T204">
        <f>IF(S204="S",MATCH(200,Firms!$W$5:$W$1004,0),IF(S204="A",IFERROR(MATCH(200-$S$2,'AFA Rates'!$R$5:$R$1004,0),""),""))</f>
        <v/>
      </c>
      <c r="U204">
        <f>IF(S204="S",T204,IF(AND(S204="A",T204&lt;&gt;""),IFERROR(MATCH(INDEX('AFA Rates'!$A$5:$A$1004,T204),Firms!$A$5:$A$1004,0),""),""))</f>
        <v/>
      </c>
    </row>
    <row r="205">
      <c r="A205" s="78">
        <f>IF($T205="","",IF($S205="S",IF(INDEX(Firms!$A$5:$A$1004,$T205)="","",INDEX(Firms!$A$5:$A$1004,$T205)),IF(INDEX('AFA Rates'!$A$5:$A$1004,$T205)="","",INDEX('AFA Rates'!$A$5:$A$1004,$T205))))</f>
        <v/>
      </c>
      <c r="B205" s="79">
        <f>IF(OR($T205="",$U205=""),IF($T205="","","Not on Firms tab"),INDEX(Firms!$B$5:$B$1004,$U205)&amp;"")</f>
        <v/>
      </c>
      <c r="C205" s="78">
        <f>IF($T205="","",IF($S205="S","Standard",INDEX('AFA Rates'!$B$5:$B$1004,$T205)&amp;""))</f>
        <v/>
      </c>
      <c r="D205" s="88">
        <f>IF($T205="","",IF($S205="S",IF(INDEX(Firms!$E$5:$E$1004,$T205)="","",INDEX(Firms!$E$5:$E$1004,$T205)),IF(INDEX('AFA Rates'!$C$5:$C$1004,$T205)="","",INDEX('AFA Rates'!$C$5:$C$1004,$T205))))</f>
        <v/>
      </c>
      <c r="E205" s="88">
        <f>IF($T205="","",IF($S205="S",IF(""="","",""),IF(INDEX('AFA Rates'!$D$5:$D$1004,$T205)="","",INDEX('AFA Rates'!$D$5:$D$1004,$T205))))</f>
        <v/>
      </c>
      <c r="F205" s="79">
        <f>IF($T205="","",IF($S205="S",IF(INDEX(Firms!$O$5:$O$1004,$T205)="","",INDEX(Firms!$O$5:$O$1004,$T205)),IF(INDEX('AFA Rates'!$O$5:$O$1004,$T205)="","",INDEX('AFA Rates'!$O$5:$O$1004,$T205))))</f>
        <v/>
      </c>
      <c r="G205" s="50">
        <f>IF($T205="","",IF($S205="S",IF(INDEX(Firms!$F$5:$F$1004,$T205)="","",INDEX(Firms!$F$5:$F$1004,$T205)),IF(INDEX('AFA Rates'!$E$5:$E$1004,$T205)="","",INDEX('AFA Rates'!$E$5:$E$1004,$T205))))</f>
        <v/>
      </c>
      <c r="H205" s="50">
        <f>IF($T205="","",IF($S205="S",IF(INDEX(Firms!$G$5:$G$1004,$T205)="","",INDEX(Firms!$G$5:$G$1004,$T205)),IF(INDEX('AFA Rates'!$F$5:$F$1004,$T205)="","",INDEX('AFA Rates'!$F$5:$F$1004,$T205))))</f>
        <v/>
      </c>
      <c r="I205" s="50">
        <f>IF($T205="","",IF($S205="S",IF(INDEX(Firms!$H$5:$H$1004,$T205)="","",INDEX(Firms!$H$5:$H$1004,$T205)),IF(INDEX('AFA Rates'!$G$5:$G$1004,$T205)="","",INDEX('AFA Rates'!$G$5:$G$1004,$T205))))</f>
        <v/>
      </c>
      <c r="J205" s="50">
        <f>IF($T205="","",IF($S205="S",IF(INDEX(Firms!$I$5:$I$1004,$T205)="","",INDEX(Firms!$I$5:$I$1004,$T205)),IF(INDEX('AFA Rates'!$H$5:$H$1004,$T205)="","",INDEX('AFA Rates'!$H$5:$H$1004,$T205))))</f>
        <v/>
      </c>
      <c r="K205" s="50">
        <f>IF($T205="","",IF($S205="S",IF(INDEX(Firms!$J$5:$J$1004,$T205)="","",INDEX(Firms!$J$5:$J$1004,$T205)),IF(INDEX('AFA Rates'!$I$5:$I$1004,$T205)="","",INDEX('AFA Rates'!$I$5:$I$1004,$T205))))</f>
        <v/>
      </c>
      <c r="L205" s="50">
        <f>IF($T205="","",IF($S205="S",IF(INDEX(Firms!$K$5:$K$1004,$T205)="","",INDEX(Firms!$K$5:$K$1004,$T205)),IF(INDEX('AFA Rates'!$J$5:$J$1004,$T205)="","",INDEX('AFA Rates'!$J$5:$J$1004,$T205))))</f>
        <v/>
      </c>
      <c r="M205" s="50">
        <f>IF($T205="","",IF($S205="S",IF(INDEX(Firms!$L$5:$L$1004,$T205)="","",INDEX(Firms!$L$5:$L$1004,$T205)),IF(INDEX('AFA Rates'!$K$5:$K$1004,$T205)="","",INDEX('AFA Rates'!$K$5:$K$1004,$T205))))</f>
        <v/>
      </c>
      <c r="N205" s="50">
        <f>IF($T205="","",IF($S205="S",IF(INDEX(Firms!$M$5:$M$1004,$T205)="","",INDEX(Firms!$M$5:$M$1004,$T205)),IF(INDEX('AFA Rates'!$L$5:$L$1004,$T205)="","",INDEX('AFA Rates'!$L$5:$L$1004,$T205))))</f>
        <v/>
      </c>
      <c r="O205" s="78">
        <f>IF(OR($T205="",$U205=""),"",IF(INDEX(Firms!$C$5:$C$1004,$U205)="","",INDEX(Firms!$C$5:$C$1004,$U205)))</f>
        <v/>
      </c>
      <c r="P205" s="79">
        <f>IF(OR($T205="",$U205=""),"",IF(INDEX(Firms!$N$5:$N$1004,$U205)="","",INDEX(Firms!$N$5:$N$1004,$U205)))</f>
        <v/>
      </c>
      <c r="Q205" s="78">
        <f>IF($T205="","",IF($S205="S",IF(INDEX(Firms!$T$5:$T$1004,$T205)="","",INDEX(Firms!$T$5:$T$1004,$T205)),IF(INDEX('AFA Rates'!$M$5:$M$1004,$T205)="","",INDEX('AFA Rates'!$M$5:$M$1004,$T205))))</f>
        <v/>
      </c>
      <c r="S205">
        <f>IF(201&lt;=$S$2,"S",IF(201&lt;=$S$2+$T$2,"A",""))</f>
        <v/>
      </c>
      <c r="T205">
        <f>IF(S205="S",MATCH(201,Firms!$W$5:$W$1004,0),IF(S205="A",IFERROR(MATCH(201-$S$2,'AFA Rates'!$R$5:$R$1004,0),""),""))</f>
        <v/>
      </c>
      <c r="U205">
        <f>IF(S205="S",T205,IF(AND(S205="A",T205&lt;&gt;""),IFERROR(MATCH(INDEX('AFA Rates'!$A$5:$A$1004,T205),Firms!$A$5:$A$1004,0),""),""))</f>
        <v/>
      </c>
    </row>
    <row r="206">
      <c r="A206" s="78">
        <f>IF($T206="","",IF($S206="S",IF(INDEX(Firms!$A$5:$A$1004,$T206)="","",INDEX(Firms!$A$5:$A$1004,$T206)),IF(INDEX('AFA Rates'!$A$5:$A$1004,$T206)="","",INDEX('AFA Rates'!$A$5:$A$1004,$T206))))</f>
        <v/>
      </c>
      <c r="B206" s="79">
        <f>IF(OR($T206="",$U206=""),IF($T206="","","Not on Firms tab"),INDEX(Firms!$B$5:$B$1004,$U206)&amp;"")</f>
        <v/>
      </c>
      <c r="C206" s="78">
        <f>IF($T206="","",IF($S206="S","Standard",INDEX('AFA Rates'!$B$5:$B$1004,$T206)&amp;""))</f>
        <v/>
      </c>
      <c r="D206" s="88">
        <f>IF($T206="","",IF($S206="S",IF(INDEX(Firms!$E$5:$E$1004,$T206)="","",INDEX(Firms!$E$5:$E$1004,$T206)),IF(INDEX('AFA Rates'!$C$5:$C$1004,$T206)="","",INDEX('AFA Rates'!$C$5:$C$1004,$T206))))</f>
        <v/>
      </c>
      <c r="E206" s="88">
        <f>IF($T206="","",IF($S206="S",IF(""="","",""),IF(INDEX('AFA Rates'!$D$5:$D$1004,$T206)="","",INDEX('AFA Rates'!$D$5:$D$1004,$T206))))</f>
        <v/>
      </c>
      <c r="F206" s="79">
        <f>IF($T206="","",IF($S206="S",IF(INDEX(Firms!$O$5:$O$1004,$T206)="","",INDEX(Firms!$O$5:$O$1004,$T206)),IF(INDEX('AFA Rates'!$O$5:$O$1004,$T206)="","",INDEX('AFA Rates'!$O$5:$O$1004,$T206))))</f>
        <v/>
      </c>
      <c r="G206" s="50">
        <f>IF($T206="","",IF($S206="S",IF(INDEX(Firms!$F$5:$F$1004,$T206)="","",INDEX(Firms!$F$5:$F$1004,$T206)),IF(INDEX('AFA Rates'!$E$5:$E$1004,$T206)="","",INDEX('AFA Rates'!$E$5:$E$1004,$T206))))</f>
        <v/>
      </c>
      <c r="H206" s="50">
        <f>IF($T206="","",IF($S206="S",IF(INDEX(Firms!$G$5:$G$1004,$T206)="","",INDEX(Firms!$G$5:$G$1004,$T206)),IF(INDEX('AFA Rates'!$F$5:$F$1004,$T206)="","",INDEX('AFA Rates'!$F$5:$F$1004,$T206))))</f>
        <v/>
      </c>
      <c r="I206" s="50">
        <f>IF($T206="","",IF($S206="S",IF(INDEX(Firms!$H$5:$H$1004,$T206)="","",INDEX(Firms!$H$5:$H$1004,$T206)),IF(INDEX('AFA Rates'!$G$5:$G$1004,$T206)="","",INDEX('AFA Rates'!$G$5:$G$1004,$T206))))</f>
        <v/>
      </c>
      <c r="J206" s="50">
        <f>IF($T206="","",IF($S206="S",IF(INDEX(Firms!$I$5:$I$1004,$T206)="","",INDEX(Firms!$I$5:$I$1004,$T206)),IF(INDEX('AFA Rates'!$H$5:$H$1004,$T206)="","",INDEX('AFA Rates'!$H$5:$H$1004,$T206))))</f>
        <v/>
      </c>
      <c r="K206" s="50">
        <f>IF($T206="","",IF($S206="S",IF(INDEX(Firms!$J$5:$J$1004,$T206)="","",INDEX(Firms!$J$5:$J$1004,$T206)),IF(INDEX('AFA Rates'!$I$5:$I$1004,$T206)="","",INDEX('AFA Rates'!$I$5:$I$1004,$T206))))</f>
        <v/>
      </c>
      <c r="L206" s="50">
        <f>IF($T206="","",IF($S206="S",IF(INDEX(Firms!$K$5:$K$1004,$T206)="","",INDEX(Firms!$K$5:$K$1004,$T206)),IF(INDEX('AFA Rates'!$J$5:$J$1004,$T206)="","",INDEX('AFA Rates'!$J$5:$J$1004,$T206))))</f>
        <v/>
      </c>
      <c r="M206" s="50">
        <f>IF($T206="","",IF($S206="S",IF(INDEX(Firms!$L$5:$L$1004,$T206)="","",INDEX(Firms!$L$5:$L$1004,$T206)),IF(INDEX('AFA Rates'!$K$5:$K$1004,$T206)="","",INDEX('AFA Rates'!$K$5:$K$1004,$T206))))</f>
        <v/>
      </c>
      <c r="N206" s="50">
        <f>IF($T206="","",IF($S206="S",IF(INDEX(Firms!$M$5:$M$1004,$T206)="","",INDEX(Firms!$M$5:$M$1004,$T206)),IF(INDEX('AFA Rates'!$L$5:$L$1004,$T206)="","",INDEX('AFA Rates'!$L$5:$L$1004,$T206))))</f>
        <v/>
      </c>
      <c r="O206" s="78">
        <f>IF(OR($T206="",$U206=""),"",IF(INDEX(Firms!$C$5:$C$1004,$U206)="","",INDEX(Firms!$C$5:$C$1004,$U206)))</f>
        <v/>
      </c>
      <c r="P206" s="79">
        <f>IF(OR($T206="",$U206=""),"",IF(INDEX(Firms!$N$5:$N$1004,$U206)="","",INDEX(Firms!$N$5:$N$1004,$U206)))</f>
        <v/>
      </c>
      <c r="Q206" s="78">
        <f>IF($T206="","",IF($S206="S",IF(INDEX(Firms!$T$5:$T$1004,$T206)="","",INDEX(Firms!$T$5:$T$1004,$T206)),IF(INDEX('AFA Rates'!$M$5:$M$1004,$T206)="","",INDEX('AFA Rates'!$M$5:$M$1004,$T206))))</f>
        <v/>
      </c>
      <c r="S206">
        <f>IF(202&lt;=$S$2,"S",IF(202&lt;=$S$2+$T$2,"A",""))</f>
        <v/>
      </c>
      <c r="T206">
        <f>IF(S206="S",MATCH(202,Firms!$W$5:$W$1004,0),IF(S206="A",IFERROR(MATCH(202-$S$2,'AFA Rates'!$R$5:$R$1004,0),""),""))</f>
        <v/>
      </c>
      <c r="U206">
        <f>IF(S206="S",T206,IF(AND(S206="A",T206&lt;&gt;""),IFERROR(MATCH(INDEX('AFA Rates'!$A$5:$A$1004,T206),Firms!$A$5:$A$1004,0),""),""))</f>
        <v/>
      </c>
    </row>
    <row r="207">
      <c r="A207" s="78">
        <f>IF($T207="","",IF($S207="S",IF(INDEX(Firms!$A$5:$A$1004,$T207)="","",INDEX(Firms!$A$5:$A$1004,$T207)),IF(INDEX('AFA Rates'!$A$5:$A$1004,$T207)="","",INDEX('AFA Rates'!$A$5:$A$1004,$T207))))</f>
        <v/>
      </c>
      <c r="B207" s="79">
        <f>IF(OR($T207="",$U207=""),IF($T207="","","Not on Firms tab"),INDEX(Firms!$B$5:$B$1004,$U207)&amp;"")</f>
        <v/>
      </c>
      <c r="C207" s="78">
        <f>IF($T207="","",IF($S207="S","Standard",INDEX('AFA Rates'!$B$5:$B$1004,$T207)&amp;""))</f>
        <v/>
      </c>
      <c r="D207" s="88">
        <f>IF($T207="","",IF($S207="S",IF(INDEX(Firms!$E$5:$E$1004,$T207)="","",INDEX(Firms!$E$5:$E$1004,$T207)),IF(INDEX('AFA Rates'!$C$5:$C$1004,$T207)="","",INDEX('AFA Rates'!$C$5:$C$1004,$T207))))</f>
        <v/>
      </c>
      <c r="E207" s="88">
        <f>IF($T207="","",IF($S207="S",IF(""="","",""),IF(INDEX('AFA Rates'!$D$5:$D$1004,$T207)="","",INDEX('AFA Rates'!$D$5:$D$1004,$T207))))</f>
        <v/>
      </c>
      <c r="F207" s="79">
        <f>IF($T207="","",IF($S207="S",IF(INDEX(Firms!$O$5:$O$1004,$T207)="","",INDEX(Firms!$O$5:$O$1004,$T207)),IF(INDEX('AFA Rates'!$O$5:$O$1004,$T207)="","",INDEX('AFA Rates'!$O$5:$O$1004,$T207))))</f>
        <v/>
      </c>
      <c r="G207" s="50">
        <f>IF($T207="","",IF($S207="S",IF(INDEX(Firms!$F$5:$F$1004,$T207)="","",INDEX(Firms!$F$5:$F$1004,$T207)),IF(INDEX('AFA Rates'!$E$5:$E$1004,$T207)="","",INDEX('AFA Rates'!$E$5:$E$1004,$T207))))</f>
        <v/>
      </c>
      <c r="H207" s="50">
        <f>IF($T207="","",IF($S207="S",IF(INDEX(Firms!$G$5:$G$1004,$T207)="","",INDEX(Firms!$G$5:$G$1004,$T207)),IF(INDEX('AFA Rates'!$F$5:$F$1004,$T207)="","",INDEX('AFA Rates'!$F$5:$F$1004,$T207))))</f>
        <v/>
      </c>
      <c r="I207" s="50">
        <f>IF($T207="","",IF($S207="S",IF(INDEX(Firms!$H$5:$H$1004,$T207)="","",INDEX(Firms!$H$5:$H$1004,$T207)),IF(INDEX('AFA Rates'!$G$5:$G$1004,$T207)="","",INDEX('AFA Rates'!$G$5:$G$1004,$T207))))</f>
        <v/>
      </c>
      <c r="J207" s="50">
        <f>IF($T207="","",IF($S207="S",IF(INDEX(Firms!$I$5:$I$1004,$T207)="","",INDEX(Firms!$I$5:$I$1004,$T207)),IF(INDEX('AFA Rates'!$H$5:$H$1004,$T207)="","",INDEX('AFA Rates'!$H$5:$H$1004,$T207))))</f>
        <v/>
      </c>
      <c r="K207" s="50">
        <f>IF($T207="","",IF($S207="S",IF(INDEX(Firms!$J$5:$J$1004,$T207)="","",INDEX(Firms!$J$5:$J$1004,$T207)),IF(INDEX('AFA Rates'!$I$5:$I$1004,$T207)="","",INDEX('AFA Rates'!$I$5:$I$1004,$T207))))</f>
        <v/>
      </c>
      <c r="L207" s="50">
        <f>IF($T207="","",IF($S207="S",IF(INDEX(Firms!$K$5:$K$1004,$T207)="","",INDEX(Firms!$K$5:$K$1004,$T207)),IF(INDEX('AFA Rates'!$J$5:$J$1004,$T207)="","",INDEX('AFA Rates'!$J$5:$J$1004,$T207))))</f>
        <v/>
      </c>
      <c r="M207" s="50">
        <f>IF($T207="","",IF($S207="S",IF(INDEX(Firms!$L$5:$L$1004,$T207)="","",INDEX(Firms!$L$5:$L$1004,$T207)),IF(INDEX('AFA Rates'!$K$5:$K$1004,$T207)="","",INDEX('AFA Rates'!$K$5:$K$1004,$T207))))</f>
        <v/>
      </c>
      <c r="N207" s="50">
        <f>IF($T207="","",IF($S207="S",IF(INDEX(Firms!$M$5:$M$1004,$T207)="","",INDEX(Firms!$M$5:$M$1004,$T207)),IF(INDEX('AFA Rates'!$L$5:$L$1004,$T207)="","",INDEX('AFA Rates'!$L$5:$L$1004,$T207))))</f>
        <v/>
      </c>
      <c r="O207" s="78">
        <f>IF(OR($T207="",$U207=""),"",IF(INDEX(Firms!$C$5:$C$1004,$U207)="","",INDEX(Firms!$C$5:$C$1004,$U207)))</f>
        <v/>
      </c>
      <c r="P207" s="79">
        <f>IF(OR($T207="",$U207=""),"",IF(INDEX(Firms!$N$5:$N$1004,$U207)="","",INDEX(Firms!$N$5:$N$1004,$U207)))</f>
        <v/>
      </c>
      <c r="Q207" s="78">
        <f>IF($T207="","",IF($S207="S",IF(INDEX(Firms!$T$5:$T$1004,$T207)="","",INDEX(Firms!$T$5:$T$1004,$T207)),IF(INDEX('AFA Rates'!$M$5:$M$1004,$T207)="","",INDEX('AFA Rates'!$M$5:$M$1004,$T207))))</f>
        <v/>
      </c>
      <c r="S207">
        <f>IF(203&lt;=$S$2,"S",IF(203&lt;=$S$2+$T$2,"A",""))</f>
        <v/>
      </c>
      <c r="T207">
        <f>IF(S207="S",MATCH(203,Firms!$W$5:$W$1004,0),IF(S207="A",IFERROR(MATCH(203-$S$2,'AFA Rates'!$R$5:$R$1004,0),""),""))</f>
        <v/>
      </c>
      <c r="U207">
        <f>IF(S207="S",T207,IF(AND(S207="A",T207&lt;&gt;""),IFERROR(MATCH(INDEX('AFA Rates'!$A$5:$A$1004,T207),Firms!$A$5:$A$1004,0),""),""))</f>
        <v/>
      </c>
    </row>
    <row r="208">
      <c r="A208" s="78">
        <f>IF($T208="","",IF($S208="S",IF(INDEX(Firms!$A$5:$A$1004,$T208)="","",INDEX(Firms!$A$5:$A$1004,$T208)),IF(INDEX('AFA Rates'!$A$5:$A$1004,$T208)="","",INDEX('AFA Rates'!$A$5:$A$1004,$T208))))</f>
        <v/>
      </c>
      <c r="B208" s="79">
        <f>IF(OR($T208="",$U208=""),IF($T208="","","Not on Firms tab"),INDEX(Firms!$B$5:$B$1004,$U208)&amp;"")</f>
        <v/>
      </c>
      <c r="C208" s="78">
        <f>IF($T208="","",IF($S208="S","Standard",INDEX('AFA Rates'!$B$5:$B$1004,$T208)&amp;""))</f>
        <v/>
      </c>
      <c r="D208" s="88">
        <f>IF($T208="","",IF($S208="S",IF(INDEX(Firms!$E$5:$E$1004,$T208)="","",INDEX(Firms!$E$5:$E$1004,$T208)),IF(INDEX('AFA Rates'!$C$5:$C$1004,$T208)="","",INDEX('AFA Rates'!$C$5:$C$1004,$T208))))</f>
        <v/>
      </c>
      <c r="E208" s="88">
        <f>IF($T208="","",IF($S208="S",IF(""="","",""),IF(INDEX('AFA Rates'!$D$5:$D$1004,$T208)="","",INDEX('AFA Rates'!$D$5:$D$1004,$T208))))</f>
        <v/>
      </c>
      <c r="F208" s="79">
        <f>IF($T208="","",IF($S208="S",IF(INDEX(Firms!$O$5:$O$1004,$T208)="","",INDEX(Firms!$O$5:$O$1004,$T208)),IF(INDEX('AFA Rates'!$O$5:$O$1004,$T208)="","",INDEX('AFA Rates'!$O$5:$O$1004,$T208))))</f>
        <v/>
      </c>
      <c r="G208" s="50">
        <f>IF($T208="","",IF($S208="S",IF(INDEX(Firms!$F$5:$F$1004,$T208)="","",INDEX(Firms!$F$5:$F$1004,$T208)),IF(INDEX('AFA Rates'!$E$5:$E$1004,$T208)="","",INDEX('AFA Rates'!$E$5:$E$1004,$T208))))</f>
        <v/>
      </c>
      <c r="H208" s="50">
        <f>IF($T208="","",IF($S208="S",IF(INDEX(Firms!$G$5:$G$1004,$T208)="","",INDEX(Firms!$G$5:$G$1004,$T208)),IF(INDEX('AFA Rates'!$F$5:$F$1004,$T208)="","",INDEX('AFA Rates'!$F$5:$F$1004,$T208))))</f>
        <v/>
      </c>
      <c r="I208" s="50">
        <f>IF($T208="","",IF($S208="S",IF(INDEX(Firms!$H$5:$H$1004,$T208)="","",INDEX(Firms!$H$5:$H$1004,$T208)),IF(INDEX('AFA Rates'!$G$5:$G$1004,$T208)="","",INDEX('AFA Rates'!$G$5:$G$1004,$T208))))</f>
        <v/>
      </c>
      <c r="J208" s="50">
        <f>IF($T208="","",IF($S208="S",IF(INDEX(Firms!$I$5:$I$1004,$T208)="","",INDEX(Firms!$I$5:$I$1004,$T208)),IF(INDEX('AFA Rates'!$H$5:$H$1004,$T208)="","",INDEX('AFA Rates'!$H$5:$H$1004,$T208))))</f>
        <v/>
      </c>
      <c r="K208" s="50">
        <f>IF($T208="","",IF($S208="S",IF(INDEX(Firms!$J$5:$J$1004,$T208)="","",INDEX(Firms!$J$5:$J$1004,$T208)),IF(INDEX('AFA Rates'!$I$5:$I$1004,$T208)="","",INDEX('AFA Rates'!$I$5:$I$1004,$T208))))</f>
        <v/>
      </c>
      <c r="L208" s="50">
        <f>IF($T208="","",IF($S208="S",IF(INDEX(Firms!$K$5:$K$1004,$T208)="","",INDEX(Firms!$K$5:$K$1004,$T208)),IF(INDEX('AFA Rates'!$J$5:$J$1004,$T208)="","",INDEX('AFA Rates'!$J$5:$J$1004,$T208))))</f>
        <v/>
      </c>
      <c r="M208" s="50">
        <f>IF($T208="","",IF($S208="S",IF(INDEX(Firms!$L$5:$L$1004,$T208)="","",INDEX(Firms!$L$5:$L$1004,$T208)),IF(INDEX('AFA Rates'!$K$5:$K$1004,$T208)="","",INDEX('AFA Rates'!$K$5:$K$1004,$T208))))</f>
        <v/>
      </c>
      <c r="N208" s="50">
        <f>IF($T208="","",IF($S208="S",IF(INDEX(Firms!$M$5:$M$1004,$T208)="","",INDEX(Firms!$M$5:$M$1004,$T208)),IF(INDEX('AFA Rates'!$L$5:$L$1004,$T208)="","",INDEX('AFA Rates'!$L$5:$L$1004,$T208))))</f>
        <v/>
      </c>
      <c r="O208" s="78">
        <f>IF(OR($T208="",$U208=""),"",IF(INDEX(Firms!$C$5:$C$1004,$U208)="","",INDEX(Firms!$C$5:$C$1004,$U208)))</f>
        <v/>
      </c>
      <c r="P208" s="79">
        <f>IF(OR($T208="",$U208=""),"",IF(INDEX(Firms!$N$5:$N$1004,$U208)="","",INDEX(Firms!$N$5:$N$1004,$U208)))</f>
        <v/>
      </c>
      <c r="Q208" s="78">
        <f>IF($T208="","",IF($S208="S",IF(INDEX(Firms!$T$5:$T$1004,$T208)="","",INDEX(Firms!$T$5:$T$1004,$T208)),IF(INDEX('AFA Rates'!$M$5:$M$1004,$T208)="","",INDEX('AFA Rates'!$M$5:$M$1004,$T208))))</f>
        <v/>
      </c>
      <c r="S208">
        <f>IF(204&lt;=$S$2,"S",IF(204&lt;=$S$2+$T$2,"A",""))</f>
        <v/>
      </c>
      <c r="T208">
        <f>IF(S208="S",MATCH(204,Firms!$W$5:$W$1004,0),IF(S208="A",IFERROR(MATCH(204-$S$2,'AFA Rates'!$R$5:$R$1004,0),""),""))</f>
        <v/>
      </c>
      <c r="U208">
        <f>IF(S208="S",T208,IF(AND(S208="A",T208&lt;&gt;""),IFERROR(MATCH(INDEX('AFA Rates'!$A$5:$A$1004,T208),Firms!$A$5:$A$1004,0),""),""))</f>
        <v/>
      </c>
    </row>
    <row r="209">
      <c r="A209" s="78">
        <f>IF($T209="","",IF($S209="S",IF(INDEX(Firms!$A$5:$A$1004,$T209)="","",INDEX(Firms!$A$5:$A$1004,$T209)),IF(INDEX('AFA Rates'!$A$5:$A$1004,$T209)="","",INDEX('AFA Rates'!$A$5:$A$1004,$T209))))</f>
        <v/>
      </c>
      <c r="B209" s="79">
        <f>IF(OR($T209="",$U209=""),IF($T209="","","Not on Firms tab"),INDEX(Firms!$B$5:$B$1004,$U209)&amp;"")</f>
        <v/>
      </c>
      <c r="C209" s="78">
        <f>IF($T209="","",IF($S209="S","Standard",INDEX('AFA Rates'!$B$5:$B$1004,$T209)&amp;""))</f>
        <v/>
      </c>
      <c r="D209" s="88">
        <f>IF($T209="","",IF($S209="S",IF(INDEX(Firms!$E$5:$E$1004,$T209)="","",INDEX(Firms!$E$5:$E$1004,$T209)),IF(INDEX('AFA Rates'!$C$5:$C$1004,$T209)="","",INDEX('AFA Rates'!$C$5:$C$1004,$T209))))</f>
        <v/>
      </c>
      <c r="E209" s="88">
        <f>IF($T209="","",IF($S209="S",IF(""="","",""),IF(INDEX('AFA Rates'!$D$5:$D$1004,$T209)="","",INDEX('AFA Rates'!$D$5:$D$1004,$T209))))</f>
        <v/>
      </c>
      <c r="F209" s="79">
        <f>IF($T209="","",IF($S209="S",IF(INDEX(Firms!$O$5:$O$1004,$T209)="","",INDEX(Firms!$O$5:$O$1004,$T209)),IF(INDEX('AFA Rates'!$O$5:$O$1004,$T209)="","",INDEX('AFA Rates'!$O$5:$O$1004,$T209))))</f>
        <v/>
      </c>
      <c r="G209" s="50">
        <f>IF($T209="","",IF($S209="S",IF(INDEX(Firms!$F$5:$F$1004,$T209)="","",INDEX(Firms!$F$5:$F$1004,$T209)),IF(INDEX('AFA Rates'!$E$5:$E$1004,$T209)="","",INDEX('AFA Rates'!$E$5:$E$1004,$T209))))</f>
        <v/>
      </c>
      <c r="H209" s="50">
        <f>IF($T209="","",IF($S209="S",IF(INDEX(Firms!$G$5:$G$1004,$T209)="","",INDEX(Firms!$G$5:$G$1004,$T209)),IF(INDEX('AFA Rates'!$F$5:$F$1004,$T209)="","",INDEX('AFA Rates'!$F$5:$F$1004,$T209))))</f>
        <v/>
      </c>
      <c r="I209" s="50">
        <f>IF($T209="","",IF($S209="S",IF(INDEX(Firms!$H$5:$H$1004,$T209)="","",INDEX(Firms!$H$5:$H$1004,$T209)),IF(INDEX('AFA Rates'!$G$5:$G$1004,$T209)="","",INDEX('AFA Rates'!$G$5:$G$1004,$T209))))</f>
        <v/>
      </c>
      <c r="J209" s="50">
        <f>IF($T209="","",IF($S209="S",IF(INDEX(Firms!$I$5:$I$1004,$T209)="","",INDEX(Firms!$I$5:$I$1004,$T209)),IF(INDEX('AFA Rates'!$H$5:$H$1004,$T209)="","",INDEX('AFA Rates'!$H$5:$H$1004,$T209))))</f>
        <v/>
      </c>
      <c r="K209" s="50">
        <f>IF($T209="","",IF($S209="S",IF(INDEX(Firms!$J$5:$J$1004,$T209)="","",INDEX(Firms!$J$5:$J$1004,$T209)),IF(INDEX('AFA Rates'!$I$5:$I$1004,$T209)="","",INDEX('AFA Rates'!$I$5:$I$1004,$T209))))</f>
        <v/>
      </c>
      <c r="L209" s="50">
        <f>IF($T209="","",IF($S209="S",IF(INDEX(Firms!$K$5:$K$1004,$T209)="","",INDEX(Firms!$K$5:$K$1004,$T209)),IF(INDEX('AFA Rates'!$J$5:$J$1004,$T209)="","",INDEX('AFA Rates'!$J$5:$J$1004,$T209))))</f>
        <v/>
      </c>
      <c r="M209" s="50">
        <f>IF($T209="","",IF($S209="S",IF(INDEX(Firms!$L$5:$L$1004,$T209)="","",INDEX(Firms!$L$5:$L$1004,$T209)),IF(INDEX('AFA Rates'!$K$5:$K$1004,$T209)="","",INDEX('AFA Rates'!$K$5:$K$1004,$T209))))</f>
        <v/>
      </c>
      <c r="N209" s="50">
        <f>IF($T209="","",IF($S209="S",IF(INDEX(Firms!$M$5:$M$1004,$T209)="","",INDEX(Firms!$M$5:$M$1004,$T209)),IF(INDEX('AFA Rates'!$L$5:$L$1004,$T209)="","",INDEX('AFA Rates'!$L$5:$L$1004,$T209))))</f>
        <v/>
      </c>
      <c r="O209" s="78">
        <f>IF(OR($T209="",$U209=""),"",IF(INDEX(Firms!$C$5:$C$1004,$U209)="","",INDEX(Firms!$C$5:$C$1004,$U209)))</f>
        <v/>
      </c>
      <c r="P209" s="79">
        <f>IF(OR($T209="",$U209=""),"",IF(INDEX(Firms!$N$5:$N$1004,$U209)="","",INDEX(Firms!$N$5:$N$1004,$U209)))</f>
        <v/>
      </c>
      <c r="Q209" s="78">
        <f>IF($T209="","",IF($S209="S",IF(INDEX(Firms!$T$5:$T$1004,$T209)="","",INDEX(Firms!$T$5:$T$1004,$T209)),IF(INDEX('AFA Rates'!$M$5:$M$1004,$T209)="","",INDEX('AFA Rates'!$M$5:$M$1004,$T209))))</f>
        <v/>
      </c>
      <c r="S209">
        <f>IF(205&lt;=$S$2,"S",IF(205&lt;=$S$2+$T$2,"A",""))</f>
        <v/>
      </c>
      <c r="T209">
        <f>IF(S209="S",MATCH(205,Firms!$W$5:$W$1004,0),IF(S209="A",IFERROR(MATCH(205-$S$2,'AFA Rates'!$R$5:$R$1004,0),""),""))</f>
        <v/>
      </c>
      <c r="U209">
        <f>IF(S209="S",T209,IF(AND(S209="A",T209&lt;&gt;""),IFERROR(MATCH(INDEX('AFA Rates'!$A$5:$A$1004,T209),Firms!$A$5:$A$1004,0),""),""))</f>
        <v/>
      </c>
    </row>
    <row r="210">
      <c r="A210" s="78">
        <f>IF($T210="","",IF($S210="S",IF(INDEX(Firms!$A$5:$A$1004,$T210)="","",INDEX(Firms!$A$5:$A$1004,$T210)),IF(INDEX('AFA Rates'!$A$5:$A$1004,$T210)="","",INDEX('AFA Rates'!$A$5:$A$1004,$T210))))</f>
        <v/>
      </c>
      <c r="B210" s="79">
        <f>IF(OR($T210="",$U210=""),IF($T210="","","Not on Firms tab"),INDEX(Firms!$B$5:$B$1004,$U210)&amp;"")</f>
        <v/>
      </c>
      <c r="C210" s="78">
        <f>IF($T210="","",IF($S210="S","Standard",INDEX('AFA Rates'!$B$5:$B$1004,$T210)&amp;""))</f>
        <v/>
      </c>
      <c r="D210" s="88">
        <f>IF($T210="","",IF($S210="S",IF(INDEX(Firms!$E$5:$E$1004,$T210)="","",INDEX(Firms!$E$5:$E$1004,$T210)),IF(INDEX('AFA Rates'!$C$5:$C$1004,$T210)="","",INDEX('AFA Rates'!$C$5:$C$1004,$T210))))</f>
        <v/>
      </c>
      <c r="E210" s="88">
        <f>IF($T210="","",IF($S210="S",IF(""="","",""),IF(INDEX('AFA Rates'!$D$5:$D$1004,$T210)="","",INDEX('AFA Rates'!$D$5:$D$1004,$T210))))</f>
        <v/>
      </c>
      <c r="F210" s="79">
        <f>IF($T210="","",IF($S210="S",IF(INDEX(Firms!$O$5:$O$1004,$T210)="","",INDEX(Firms!$O$5:$O$1004,$T210)),IF(INDEX('AFA Rates'!$O$5:$O$1004,$T210)="","",INDEX('AFA Rates'!$O$5:$O$1004,$T210))))</f>
        <v/>
      </c>
      <c r="G210" s="50">
        <f>IF($T210="","",IF($S210="S",IF(INDEX(Firms!$F$5:$F$1004,$T210)="","",INDEX(Firms!$F$5:$F$1004,$T210)),IF(INDEX('AFA Rates'!$E$5:$E$1004,$T210)="","",INDEX('AFA Rates'!$E$5:$E$1004,$T210))))</f>
        <v/>
      </c>
      <c r="H210" s="50">
        <f>IF($T210="","",IF($S210="S",IF(INDEX(Firms!$G$5:$G$1004,$T210)="","",INDEX(Firms!$G$5:$G$1004,$T210)),IF(INDEX('AFA Rates'!$F$5:$F$1004,$T210)="","",INDEX('AFA Rates'!$F$5:$F$1004,$T210))))</f>
        <v/>
      </c>
      <c r="I210" s="50">
        <f>IF($T210="","",IF($S210="S",IF(INDEX(Firms!$H$5:$H$1004,$T210)="","",INDEX(Firms!$H$5:$H$1004,$T210)),IF(INDEX('AFA Rates'!$G$5:$G$1004,$T210)="","",INDEX('AFA Rates'!$G$5:$G$1004,$T210))))</f>
        <v/>
      </c>
      <c r="J210" s="50">
        <f>IF($T210="","",IF($S210="S",IF(INDEX(Firms!$I$5:$I$1004,$T210)="","",INDEX(Firms!$I$5:$I$1004,$T210)),IF(INDEX('AFA Rates'!$H$5:$H$1004,$T210)="","",INDEX('AFA Rates'!$H$5:$H$1004,$T210))))</f>
        <v/>
      </c>
      <c r="K210" s="50">
        <f>IF($T210="","",IF($S210="S",IF(INDEX(Firms!$J$5:$J$1004,$T210)="","",INDEX(Firms!$J$5:$J$1004,$T210)),IF(INDEX('AFA Rates'!$I$5:$I$1004,$T210)="","",INDEX('AFA Rates'!$I$5:$I$1004,$T210))))</f>
        <v/>
      </c>
      <c r="L210" s="50">
        <f>IF($T210="","",IF($S210="S",IF(INDEX(Firms!$K$5:$K$1004,$T210)="","",INDEX(Firms!$K$5:$K$1004,$T210)),IF(INDEX('AFA Rates'!$J$5:$J$1004,$T210)="","",INDEX('AFA Rates'!$J$5:$J$1004,$T210))))</f>
        <v/>
      </c>
      <c r="M210" s="50">
        <f>IF($T210="","",IF($S210="S",IF(INDEX(Firms!$L$5:$L$1004,$T210)="","",INDEX(Firms!$L$5:$L$1004,$T210)),IF(INDEX('AFA Rates'!$K$5:$K$1004,$T210)="","",INDEX('AFA Rates'!$K$5:$K$1004,$T210))))</f>
        <v/>
      </c>
      <c r="N210" s="50">
        <f>IF($T210="","",IF($S210="S",IF(INDEX(Firms!$M$5:$M$1004,$T210)="","",INDEX(Firms!$M$5:$M$1004,$T210)),IF(INDEX('AFA Rates'!$L$5:$L$1004,$T210)="","",INDEX('AFA Rates'!$L$5:$L$1004,$T210))))</f>
        <v/>
      </c>
      <c r="O210" s="78">
        <f>IF(OR($T210="",$U210=""),"",IF(INDEX(Firms!$C$5:$C$1004,$U210)="","",INDEX(Firms!$C$5:$C$1004,$U210)))</f>
        <v/>
      </c>
      <c r="P210" s="79">
        <f>IF(OR($T210="",$U210=""),"",IF(INDEX(Firms!$N$5:$N$1004,$U210)="","",INDEX(Firms!$N$5:$N$1004,$U210)))</f>
        <v/>
      </c>
      <c r="Q210" s="78">
        <f>IF($T210="","",IF($S210="S",IF(INDEX(Firms!$T$5:$T$1004,$T210)="","",INDEX(Firms!$T$5:$T$1004,$T210)),IF(INDEX('AFA Rates'!$M$5:$M$1004,$T210)="","",INDEX('AFA Rates'!$M$5:$M$1004,$T210))))</f>
        <v/>
      </c>
      <c r="S210">
        <f>IF(206&lt;=$S$2,"S",IF(206&lt;=$S$2+$T$2,"A",""))</f>
        <v/>
      </c>
      <c r="T210">
        <f>IF(S210="S",MATCH(206,Firms!$W$5:$W$1004,0),IF(S210="A",IFERROR(MATCH(206-$S$2,'AFA Rates'!$R$5:$R$1004,0),""),""))</f>
        <v/>
      </c>
      <c r="U210">
        <f>IF(S210="S",T210,IF(AND(S210="A",T210&lt;&gt;""),IFERROR(MATCH(INDEX('AFA Rates'!$A$5:$A$1004,T210),Firms!$A$5:$A$1004,0),""),""))</f>
        <v/>
      </c>
    </row>
    <row r="211">
      <c r="A211" s="78">
        <f>IF($T211="","",IF($S211="S",IF(INDEX(Firms!$A$5:$A$1004,$T211)="","",INDEX(Firms!$A$5:$A$1004,$T211)),IF(INDEX('AFA Rates'!$A$5:$A$1004,$T211)="","",INDEX('AFA Rates'!$A$5:$A$1004,$T211))))</f>
        <v/>
      </c>
      <c r="B211" s="79">
        <f>IF(OR($T211="",$U211=""),IF($T211="","","Not on Firms tab"),INDEX(Firms!$B$5:$B$1004,$U211)&amp;"")</f>
        <v/>
      </c>
      <c r="C211" s="78">
        <f>IF($T211="","",IF($S211="S","Standard",INDEX('AFA Rates'!$B$5:$B$1004,$T211)&amp;""))</f>
        <v/>
      </c>
      <c r="D211" s="88">
        <f>IF($T211="","",IF($S211="S",IF(INDEX(Firms!$E$5:$E$1004,$T211)="","",INDEX(Firms!$E$5:$E$1004,$T211)),IF(INDEX('AFA Rates'!$C$5:$C$1004,$T211)="","",INDEX('AFA Rates'!$C$5:$C$1004,$T211))))</f>
        <v/>
      </c>
      <c r="E211" s="88">
        <f>IF($T211="","",IF($S211="S",IF(""="","",""),IF(INDEX('AFA Rates'!$D$5:$D$1004,$T211)="","",INDEX('AFA Rates'!$D$5:$D$1004,$T211))))</f>
        <v/>
      </c>
      <c r="F211" s="79">
        <f>IF($T211="","",IF($S211="S",IF(INDEX(Firms!$O$5:$O$1004,$T211)="","",INDEX(Firms!$O$5:$O$1004,$T211)),IF(INDEX('AFA Rates'!$O$5:$O$1004,$T211)="","",INDEX('AFA Rates'!$O$5:$O$1004,$T211))))</f>
        <v/>
      </c>
      <c r="G211" s="50">
        <f>IF($T211="","",IF($S211="S",IF(INDEX(Firms!$F$5:$F$1004,$T211)="","",INDEX(Firms!$F$5:$F$1004,$T211)),IF(INDEX('AFA Rates'!$E$5:$E$1004,$T211)="","",INDEX('AFA Rates'!$E$5:$E$1004,$T211))))</f>
        <v/>
      </c>
      <c r="H211" s="50">
        <f>IF($T211="","",IF($S211="S",IF(INDEX(Firms!$G$5:$G$1004,$T211)="","",INDEX(Firms!$G$5:$G$1004,$T211)),IF(INDEX('AFA Rates'!$F$5:$F$1004,$T211)="","",INDEX('AFA Rates'!$F$5:$F$1004,$T211))))</f>
        <v/>
      </c>
      <c r="I211" s="50">
        <f>IF($T211="","",IF($S211="S",IF(INDEX(Firms!$H$5:$H$1004,$T211)="","",INDEX(Firms!$H$5:$H$1004,$T211)),IF(INDEX('AFA Rates'!$G$5:$G$1004,$T211)="","",INDEX('AFA Rates'!$G$5:$G$1004,$T211))))</f>
        <v/>
      </c>
      <c r="J211" s="50">
        <f>IF($T211="","",IF($S211="S",IF(INDEX(Firms!$I$5:$I$1004,$T211)="","",INDEX(Firms!$I$5:$I$1004,$T211)),IF(INDEX('AFA Rates'!$H$5:$H$1004,$T211)="","",INDEX('AFA Rates'!$H$5:$H$1004,$T211))))</f>
        <v/>
      </c>
      <c r="K211" s="50">
        <f>IF($T211="","",IF($S211="S",IF(INDEX(Firms!$J$5:$J$1004,$T211)="","",INDEX(Firms!$J$5:$J$1004,$T211)),IF(INDEX('AFA Rates'!$I$5:$I$1004,$T211)="","",INDEX('AFA Rates'!$I$5:$I$1004,$T211))))</f>
        <v/>
      </c>
      <c r="L211" s="50">
        <f>IF($T211="","",IF($S211="S",IF(INDEX(Firms!$K$5:$K$1004,$T211)="","",INDEX(Firms!$K$5:$K$1004,$T211)),IF(INDEX('AFA Rates'!$J$5:$J$1004,$T211)="","",INDEX('AFA Rates'!$J$5:$J$1004,$T211))))</f>
        <v/>
      </c>
      <c r="M211" s="50">
        <f>IF($T211="","",IF($S211="S",IF(INDEX(Firms!$L$5:$L$1004,$T211)="","",INDEX(Firms!$L$5:$L$1004,$T211)),IF(INDEX('AFA Rates'!$K$5:$K$1004,$T211)="","",INDEX('AFA Rates'!$K$5:$K$1004,$T211))))</f>
        <v/>
      </c>
      <c r="N211" s="50">
        <f>IF($T211="","",IF($S211="S",IF(INDEX(Firms!$M$5:$M$1004,$T211)="","",INDEX(Firms!$M$5:$M$1004,$T211)),IF(INDEX('AFA Rates'!$L$5:$L$1004,$T211)="","",INDEX('AFA Rates'!$L$5:$L$1004,$T211))))</f>
        <v/>
      </c>
      <c r="O211" s="78">
        <f>IF(OR($T211="",$U211=""),"",IF(INDEX(Firms!$C$5:$C$1004,$U211)="","",INDEX(Firms!$C$5:$C$1004,$U211)))</f>
        <v/>
      </c>
      <c r="P211" s="79">
        <f>IF(OR($T211="",$U211=""),"",IF(INDEX(Firms!$N$5:$N$1004,$U211)="","",INDEX(Firms!$N$5:$N$1004,$U211)))</f>
        <v/>
      </c>
      <c r="Q211" s="78">
        <f>IF($T211="","",IF($S211="S",IF(INDEX(Firms!$T$5:$T$1004,$T211)="","",INDEX(Firms!$T$5:$T$1004,$T211)),IF(INDEX('AFA Rates'!$M$5:$M$1004,$T211)="","",INDEX('AFA Rates'!$M$5:$M$1004,$T211))))</f>
        <v/>
      </c>
      <c r="S211">
        <f>IF(207&lt;=$S$2,"S",IF(207&lt;=$S$2+$T$2,"A",""))</f>
        <v/>
      </c>
      <c r="T211">
        <f>IF(S211="S",MATCH(207,Firms!$W$5:$W$1004,0),IF(S211="A",IFERROR(MATCH(207-$S$2,'AFA Rates'!$R$5:$R$1004,0),""),""))</f>
        <v/>
      </c>
      <c r="U211">
        <f>IF(S211="S",T211,IF(AND(S211="A",T211&lt;&gt;""),IFERROR(MATCH(INDEX('AFA Rates'!$A$5:$A$1004,T211),Firms!$A$5:$A$1004,0),""),""))</f>
        <v/>
      </c>
    </row>
    <row r="212">
      <c r="A212" s="78">
        <f>IF($T212="","",IF($S212="S",IF(INDEX(Firms!$A$5:$A$1004,$T212)="","",INDEX(Firms!$A$5:$A$1004,$T212)),IF(INDEX('AFA Rates'!$A$5:$A$1004,$T212)="","",INDEX('AFA Rates'!$A$5:$A$1004,$T212))))</f>
        <v/>
      </c>
      <c r="B212" s="79">
        <f>IF(OR($T212="",$U212=""),IF($T212="","","Not on Firms tab"),INDEX(Firms!$B$5:$B$1004,$U212)&amp;"")</f>
        <v/>
      </c>
      <c r="C212" s="78">
        <f>IF($T212="","",IF($S212="S","Standard",INDEX('AFA Rates'!$B$5:$B$1004,$T212)&amp;""))</f>
        <v/>
      </c>
      <c r="D212" s="88">
        <f>IF($T212="","",IF($S212="S",IF(INDEX(Firms!$E$5:$E$1004,$T212)="","",INDEX(Firms!$E$5:$E$1004,$T212)),IF(INDEX('AFA Rates'!$C$5:$C$1004,$T212)="","",INDEX('AFA Rates'!$C$5:$C$1004,$T212))))</f>
        <v/>
      </c>
      <c r="E212" s="88">
        <f>IF($T212="","",IF($S212="S",IF(""="","",""),IF(INDEX('AFA Rates'!$D$5:$D$1004,$T212)="","",INDEX('AFA Rates'!$D$5:$D$1004,$T212))))</f>
        <v/>
      </c>
      <c r="F212" s="79">
        <f>IF($T212="","",IF($S212="S",IF(INDEX(Firms!$O$5:$O$1004,$T212)="","",INDEX(Firms!$O$5:$O$1004,$T212)),IF(INDEX('AFA Rates'!$O$5:$O$1004,$T212)="","",INDEX('AFA Rates'!$O$5:$O$1004,$T212))))</f>
        <v/>
      </c>
      <c r="G212" s="50">
        <f>IF($T212="","",IF($S212="S",IF(INDEX(Firms!$F$5:$F$1004,$T212)="","",INDEX(Firms!$F$5:$F$1004,$T212)),IF(INDEX('AFA Rates'!$E$5:$E$1004,$T212)="","",INDEX('AFA Rates'!$E$5:$E$1004,$T212))))</f>
        <v/>
      </c>
      <c r="H212" s="50">
        <f>IF($T212="","",IF($S212="S",IF(INDEX(Firms!$G$5:$G$1004,$T212)="","",INDEX(Firms!$G$5:$G$1004,$T212)),IF(INDEX('AFA Rates'!$F$5:$F$1004,$T212)="","",INDEX('AFA Rates'!$F$5:$F$1004,$T212))))</f>
        <v/>
      </c>
      <c r="I212" s="50">
        <f>IF($T212="","",IF($S212="S",IF(INDEX(Firms!$H$5:$H$1004,$T212)="","",INDEX(Firms!$H$5:$H$1004,$T212)),IF(INDEX('AFA Rates'!$G$5:$G$1004,$T212)="","",INDEX('AFA Rates'!$G$5:$G$1004,$T212))))</f>
        <v/>
      </c>
      <c r="J212" s="50">
        <f>IF($T212="","",IF($S212="S",IF(INDEX(Firms!$I$5:$I$1004,$T212)="","",INDEX(Firms!$I$5:$I$1004,$T212)),IF(INDEX('AFA Rates'!$H$5:$H$1004,$T212)="","",INDEX('AFA Rates'!$H$5:$H$1004,$T212))))</f>
        <v/>
      </c>
      <c r="K212" s="50">
        <f>IF($T212="","",IF($S212="S",IF(INDEX(Firms!$J$5:$J$1004,$T212)="","",INDEX(Firms!$J$5:$J$1004,$T212)),IF(INDEX('AFA Rates'!$I$5:$I$1004,$T212)="","",INDEX('AFA Rates'!$I$5:$I$1004,$T212))))</f>
        <v/>
      </c>
      <c r="L212" s="50">
        <f>IF($T212="","",IF($S212="S",IF(INDEX(Firms!$K$5:$K$1004,$T212)="","",INDEX(Firms!$K$5:$K$1004,$T212)),IF(INDEX('AFA Rates'!$J$5:$J$1004,$T212)="","",INDEX('AFA Rates'!$J$5:$J$1004,$T212))))</f>
        <v/>
      </c>
      <c r="M212" s="50">
        <f>IF($T212="","",IF($S212="S",IF(INDEX(Firms!$L$5:$L$1004,$T212)="","",INDEX(Firms!$L$5:$L$1004,$T212)),IF(INDEX('AFA Rates'!$K$5:$K$1004,$T212)="","",INDEX('AFA Rates'!$K$5:$K$1004,$T212))))</f>
        <v/>
      </c>
      <c r="N212" s="50">
        <f>IF($T212="","",IF($S212="S",IF(INDEX(Firms!$M$5:$M$1004,$T212)="","",INDEX(Firms!$M$5:$M$1004,$T212)),IF(INDEX('AFA Rates'!$L$5:$L$1004,$T212)="","",INDEX('AFA Rates'!$L$5:$L$1004,$T212))))</f>
        <v/>
      </c>
      <c r="O212" s="78">
        <f>IF(OR($T212="",$U212=""),"",IF(INDEX(Firms!$C$5:$C$1004,$U212)="","",INDEX(Firms!$C$5:$C$1004,$U212)))</f>
        <v/>
      </c>
      <c r="P212" s="79">
        <f>IF(OR($T212="",$U212=""),"",IF(INDEX(Firms!$N$5:$N$1004,$U212)="","",INDEX(Firms!$N$5:$N$1004,$U212)))</f>
        <v/>
      </c>
      <c r="Q212" s="78">
        <f>IF($T212="","",IF($S212="S",IF(INDEX(Firms!$T$5:$T$1004,$T212)="","",INDEX(Firms!$T$5:$T$1004,$T212)),IF(INDEX('AFA Rates'!$M$5:$M$1004,$T212)="","",INDEX('AFA Rates'!$M$5:$M$1004,$T212))))</f>
        <v/>
      </c>
      <c r="S212">
        <f>IF(208&lt;=$S$2,"S",IF(208&lt;=$S$2+$T$2,"A",""))</f>
        <v/>
      </c>
      <c r="T212">
        <f>IF(S212="S",MATCH(208,Firms!$W$5:$W$1004,0),IF(S212="A",IFERROR(MATCH(208-$S$2,'AFA Rates'!$R$5:$R$1004,0),""),""))</f>
        <v/>
      </c>
      <c r="U212">
        <f>IF(S212="S",T212,IF(AND(S212="A",T212&lt;&gt;""),IFERROR(MATCH(INDEX('AFA Rates'!$A$5:$A$1004,T212),Firms!$A$5:$A$1004,0),""),""))</f>
        <v/>
      </c>
    </row>
    <row r="213">
      <c r="A213" s="78">
        <f>IF($T213="","",IF($S213="S",IF(INDEX(Firms!$A$5:$A$1004,$T213)="","",INDEX(Firms!$A$5:$A$1004,$T213)),IF(INDEX('AFA Rates'!$A$5:$A$1004,$T213)="","",INDEX('AFA Rates'!$A$5:$A$1004,$T213))))</f>
        <v/>
      </c>
      <c r="B213" s="79">
        <f>IF(OR($T213="",$U213=""),IF($T213="","","Not on Firms tab"),INDEX(Firms!$B$5:$B$1004,$U213)&amp;"")</f>
        <v/>
      </c>
      <c r="C213" s="78">
        <f>IF($T213="","",IF($S213="S","Standard",INDEX('AFA Rates'!$B$5:$B$1004,$T213)&amp;""))</f>
        <v/>
      </c>
      <c r="D213" s="88">
        <f>IF($T213="","",IF($S213="S",IF(INDEX(Firms!$E$5:$E$1004,$T213)="","",INDEX(Firms!$E$5:$E$1004,$T213)),IF(INDEX('AFA Rates'!$C$5:$C$1004,$T213)="","",INDEX('AFA Rates'!$C$5:$C$1004,$T213))))</f>
        <v/>
      </c>
      <c r="E213" s="88">
        <f>IF($T213="","",IF($S213="S",IF(""="","",""),IF(INDEX('AFA Rates'!$D$5:$D$1004,$T213)="","",INDEX('AFA Rates'!$D$5:$D$1004,$T213))))</f>
        <v/>
      </c>
      <c r="F213" s="79">
        <f>IF($T213="","",IF($S213="S",IF(INDEX(Firms!$O$5:$O$1004,$T213)="","",INDEX(Firms!$O$5:$O$1004,$T213)),IF(INDEX('AFA Rates'!$O$5:$O$1004,$T213)="","",INDEX('AFA Rates'!$O$5:$O$1004,$T213))))</f>
        <v/>
      </c>
      <c r="G213" s="50">
        <f>IF($T213="","",IF($S213="S",IF(INDEX(Firms!$F$5:$F$1004,$T213)="","",INDEX(Firms!$F$5:$F$1004,$T213)),IF(INDEX('AFA Rates'!$E$5:$E$1004,$T213)="","",INDEX('AFA Rates'!$E$5:$E$1004,$T213))))</f>
        <v/>
      </c>
      <c r="H213" s="50">
        <f>IF($T213="","",IF($S213="S",IF(INDEX(Firms!$G$5:$G$1004,$T213)="","",INDEX(Firms!$G$5:$G$1004,$T213)),IF(INDEX('AFA Rates'!$F$5:$F$1004,$T213)="","",INDEX('AFA Rates'!$F$5:$F$1004,$T213))))</f>
        <v/>
      </c>
      <c r="I213" s="50">
        <f>IF($T213="","",IF($S213="S",IF(INDEX(Firms!$H$5:$H$1004,$T213)="","",INDEX(Firms!$H$5:$H$1004,$T213)),IF(INDEX('AFA Rates'!$G$5:$G$1004,$T213)="","",INDEX('AFA Rates'!$G$5:$G$1004,$T213))))</f>
        <v/>
      </c>
      <c r="J213" s="50">
        <f>IF($T213="","",IF($S213="S",IF(INDEX(Firms!$I$5:$I$1004,$T213)="","",INDEX(Firms!$I$5:$I$1004,$T213)),IF(INDEX('AFA Rates'!$H$5:$H$1004,$T213)="","",INDEX('AFA Rates'!$H$5:$H$1004,$T213))))</f>
        <v/>
      </c>
      <c r="K213" s="50">
        <f>IF($T213="","",IF($S213="S",IF(INDEX(Firms!$J$5:$J$1004,$T213)="","",INDEX(Firms!$J$5:$J$1004,$T213)),IF(INDEX('AFA Rates'!$I$5:$I$1004,$T213)="","",INDEX('AFA Rates'!$I$5:$I$1004,$T213))))</f>
        <v/>
      </c>
      <c r="L213" s="50">
        <f>IF($T213="","",IF($S213="S",IF(INDEX(Firms!$K$5:$K$1004,$T213)="","",INDEX(Firms!$K$5:$K$1004,$T213)),IF(INDEX('AFA Rates'!$J$5:$J$1004,$T213)="","",INDEX('AFA Rates'!$J$5:$J$1004,$T213))))</f>
        <v/>
      </c>
      <c r="M213" s="50">
        <f>IF($T213="","",IF($S213="S",IF(INDEX(Firms!$L$5:$L$1004,$T213)="","",INDEX(Firms!$L$5:$L$1004,$T213)),IF(INDEX('AFA Rates'!$K$5:$K$1004,$T213)="","",INDEX('AFA Rates'!$K$5:$K$1004,$T213))))</f>
        <v/>
      </c>
      <c r="N213" s="50">
        <f>IF($T213="","",IF($S213="S",IF(INDEX(Firms!$M$5:$M$1004,$T213)="","",INDEX(Firms!$M$5:$M$1004,$T213)),IF(INDEX('AFA Rates'!$L$5:$L$1004,$T213)="","",INDEX('AFA Rates'!$L$5:$L$1004,$T213))))</f>
        <v/>
      </c>
      <c r="O213" s="78">
        <f>IF(OR($T213="",$U213=""),"",IF(INDEX(Firms!$C$5:$C$1004,$U213)="","",INDEX(Firms!$C$5:$C$1004,$U213)))</f>
        <v/>
      </c>
      <c r="P213" s="79">
        <f>IF(OR($T213="",$U213=""),"",IF(INDEX(Firms!$N$5:$N$1004,$U213)="","",INDEX(Firms!$N$5:$N$1004,$U213)))</f>
        <v/>
      </c>
      <c r="Q213" s="78">
        <f>IF($T213="","",IF($S213="S",IF(INDEX(Firms!$T$5:$T$1004,$T213)="","",INDEX(Firms!$T$5:$T$1004,$T213)),IF(INDEX('AFA Rates'!$M$5:$M$1004,$T213)="","",INDEX('AFA Rates'!$M$5:$M$1004,$T213))))</f>
        <v/>
      </c>
      <c r="S213">
        <f>IF(209&lt;=$S$2,"S",IF(209&lt;=$S$2+$T$2,"A",""))</f>
        <v/>
      </c>
      <c r="T213">
        <f>IF(S213="S",MATCH(209,Firms!$W$5:$W$1004,0),IF(S213="A",IFERROR(MATCH(209-$S$2,'AFA Rates'!$R$5:$R$1004,0),""),""))</f>
        <v/>
      </c>
      <c r="U213">
        <f>IF(S213="S",T213,IF(AND(S213="A",T213&lt;&gt;""),IFERROR(MATCH(INDEX('AFA Rates'!$A$5:$A$1004,T213),Firms!$A$5:$A$1004,0),""),""))</f>
        <v/>
      </c>
    </row>
    <row r="214">
      <c r="A214" s="78">
        <f>IF($T214="","",IF($S214="S",IF(INDEX(Firms!$A$5:$A$1004,$T214)="","",INDEX(Firms!$A$5:$A$1004,$T214)),IF(INDEX('AFA Rates'!$A$5:$A$1004,$T214)="","",INDEX('AFA Rates'!$A$5:$A$1004,$T214))))</f>
        <v/>
      </c>
      <c r="B214" s="79">
        <f>IF(OR($T214="",$U214=""),IF($T214="","","Not on Firms tab"),INDEX(Firms!$B$5:$B$1004,$U214)&amp;"")</f>
        <v/>
      </c>
      <c r="C214" s="78">
        <f>IF($T214="","",IF($S214="S","Standard",INDEX('AFA Rates'!$B$5:$B$1004,$T214)&amp;""))</f>
        <v/>
      </c>
      <c r="D214" s="88">
        <f>IF($T214="","",IF($S214="S",IF(INDEX(Firms!$E$5:$E$1004,$T214)="","",INDEX(Firms!$E$5:$E$1004,$T214)),IF(INDEX('AFA Rates'!$C$5:$C$1004,$T214)="","",INDEX('AFA Rates'!$C$5:$C$1004,$T214))))</f>
        <v/>
      </c>
      <c r="E214" s="88">
        <f>IF($T214="","",IF($S214="S",IF(""="","",""),IF(INDEX('AFA Rates'!$D$5:$D$1004,$T214)="","",INDEX('AFA Rates'!$D$5:$D$1004,$T214))))</f>
        <v/>
      </c>
      <c r="F214" s="79">
        <f>IF($T214="","",IF($S214="S",IF(INDEX(Firms!$O$5:$O$1004,$T214)="","",INDEX(Firms!$O$5:$O$1004,$T214)),IF(INDEX('AFA Rates'!$O$5:$O$1004,$T214)="","",INDEX('AFA Rates'!$O$5:$O$1004,$T214))))</f>
        <v/>
      </c>
      <c r="G214" s="50">
        <f>IF($T214="","",IF($S214="S",IF(INDEX(Firms!$F$5:$F$1004,$T214)="","",INDEX(Firms!$F$5:$F$1004,$T214)),IF(INDEX('AFA Rates'!$E$5:$E$1004,$T214)="","",INDEX('AFA Rates'!$E$5:$E$1004,$T214))))</f>
        <v/>
      </c>
      <c r="H214" s="50">
        <f>IF($T214="","",IF($S214="S",IF(INDEX(Firms!$G$5:$G$1004,$T214)="","",INDEX(Firms!$G$5:$G$1004,$T214)),IF(INDEX('AFA Rates'!$F$5:$F$1004,$T214)="","",INDEX('AFA Rates'!$F$5:$F$1004,$T214))))</f>
        <v/>
      </c>
      <c r="I214" s="50">
        <f>IF($T214="","",IF($S214="S",IF(INDEX(Firms!$H$5:$H$1004,$T214)="","",INDEX(Firms!$H$5:$H$1004,$T214)),IF(INDEX('AFA Rates'!$G$5:$G$1004,$T214)="","",INDEX('AFA Rates'!$G$5:$G$1004,$T214))))</f>
        <v/>
      </c>
      <c r="J214" s="50">
        <f>IF($T214="","",IF($S214="S",IF(INDEX(Firms!$I$5:$I$1004,$T214)="","",INDEX(Firms!$I$5:$I$1004,$T214)),IF(INDEX('AFA Rates'!$H$5:$H$1004,$T214)="","",INDEX('AFA Rates'!$H$5:$H$1004,$T214))))</f>
        <v/>
      </c>
      <c r="K214" s="50">
        <f>IF($T214="","",IF($S214="S",IF(INDEX(Firms!$J$5:$J$1004,$T214)="","",INDEX(Firms!$J$5:$J$1004,$T214)),IF(INDEX('AFA Rates'!$I$5:$I$1004,$T214)="","",INDEX('AFA Rates'!$I$5:$I$1004,$T214))))</f>
        <v/>
      </c>
      <c r="L214" s="50">
        <f>IF($T214="","",IF($S214="S",IF(INDEX(Firms!$K$5:$K$1004,$T214)="","",INDEX(Firms!$K$5:$K$1004,$T214)),IF(INDEX('AFA Rates'!$J$5:$J$1004,$T214)="","",INDEX('AFA Rates'!$J$5:$J$1004,$T214))))</f>
        <v/>
      </c>
      <c r="M214" s="50">
        <f>IF($T214="","",IF($S214="S",IF(INDEX(Firms!$L$5:$L$1004,$T214)="","",INDEX(Firms!$L$5:$L$1004,$T214)),IF(INDEX('AFA Rates'!$K$5:$K$1004,$T214)="","",INDEX('AFA Rates'!$K$5:$K$1004,$T214))))</f>
        <v/>
      </c>
      <c r="N214" s="50">
        <f>IF($T214="","",IF($S214="S",IF(INDEX(Firms!$M$5:$M$1004,$T214)="","",INDEX(Firms!$M$5:$M$1004,$T214)),IF(INDEX('AFA Rates'!$L$5:$L$1004,$T214)="","",INDEX('AFA Rates'!$L$5:$L$1004,$T214))))</f>
        <v/>
      </c>
      <c r="O214" s="78">
        <f>IF(OR($T214="",$U214=""),"",IF(INDEX(Firms!$C$5:$C$1004,$U214)="","",INDEX(Firms!$C$5:$C$1004,$U214)))</f>
        <v/>
      </c>
      <c r="P214" s="79">
        <f>IF(OR($T214="",$U214=""),"",IF(INDEX(Firms!$N$5:$N$1004,$U214)="","",INDEX(Firms!$N$5:$N$1004,$U214)))</f>
        <v/>
      </c>
      <c r="Q214" s="78">
        <f>IF($T214="","",IF($S214="S",IF(INDEX(Firms!$T$5:$T$1004,$T214)="","",INDEX(Firms!$T$5:$T$1004,$T214)),IF(INDEX('AFA Rates'!$M$5:$M$1004,$T214)="","",INDEX('AFA Rates'!$M$5:$M$1004,$T214))))</f>
        <v/>
      </c>
      <c r="S214">
        <f>IF(210&lt;=$S$2,"S",IF(210&lt;=$S$2+$T$2,"A",""))</f>
        <v/>
      </c>
      <c r="T214">
        <f>IF(S214="S",MATCH(210,Firms!$W$5:$W$1004,0),IF(S214="A",IFERROR(MATCH(210-$S$2,'AFA Rates'!$R$5:$R$1004,0),""),""))</f>
        <v/>
      </c>
      <c r="U214">
        <f>IF(S214="S",T214,IF(AND(S214="A",T214&lt;&gt;""),IFERROR(MATCH(INDEX('AFA Rates'!$A$5:$A$1004,T214),Firms!$A$5:$A$1004,0),""),""))</f>
        <v/>
      </c>
    </row>
    <row r="215">
      <c r="A215" s="78">
        <f>IF($T215="","",IF($S215="S",IF(INDEX(Firms!$A$5:$A$1004,$T215)="","",INDEX(Firms!$A$5:$A$1004,$T215)),IF(INDEX('AFA Rates'!$A$5:$A$1004,$T215)="","",INDEX('AFA Rates'!$A$5:$A$1004,$T215))))</f>
        <v/>
      </c>
      <c r="B215" s="79">
        <f>IF(OR($T215="",$U215=""),IF($T215="","","Not on Firms tab"),INDEX(Firms!$B$5:$B$1004,$U215)&amp;"")</f>
        <v/>
      </c>
      <c r="C215" s="78">
        <f>IF($T215="","",IF($S215="S","Standard",INDEX('AFA Rates'!$B$5:$B$1004,$T215)&amp;""))</f>
        <v/>
      </c>
      <c r="D215" s="88">
        <f>IF($T215="","",IF($S215="S",IF(INDEX(Firms!$E$5:$E$1004,$T215)="","",INDEX(Firms!$E$5:$E$1004,$T215)),IF(INDEX('AFA Rates'!$C$5:$C$1004,$T215)="","",INDEX('AFA Rates'!$C$5:$C$1004,$T215))))</f>
        <v/>
      </c>
      <c r="E215" s="88">
        <f>IF($T215="","",IF($S215="S",IF(""="","",""),IF(INDEX('AFA Rates'!$D$5:$D$1004,$T215)="","",INDEX('AFA Rates'!$D$5:$D$1004,$T215))))</f>
        <v/>
      </c>
      <c r="F215" s="79">
        <f>IF($T215="","",IF($S215="S",IF(INDEX(Firms!$O$5:$O$1004,$T215)="","",INDEX(Firms!$O$5:$O$1004,$T215)),IF(INDEX('AFA Rates'!$O$5:$O$1004,$T215)="","",INDEX('AFA Rates'!$O$5:$O$1004,$T215))))</f>
        <v/>
      </c>
      <c r="G215" s="50">
        <f>IF($T215="","",IF($S215="S",IF(INDEX(Firms!$F$5:$F$1004,$T215)="","",INDEX(Firms!$F$5:$F$1004,$T215)),IF(INDEX('AFA Rates'!$E$5:$E$1004,$T215)="","",INDEX('AFA Rates'!$E$5:$E$1004,$T215))))</f>
        <v/>
      </c>
      <c r="H215" s="50">
        <f>IF($T215="","",IF($S215="S",IF(INDEX(Firms!$G$5:$G$1004,$T215)="","",INDEX(Firms!$G$5:$G$1004,$T215)),IF(INDEX('AFA Rates'!$F$5:$F$1004,$T215)="","",INDEX('AFA Rates'!$F$5:$F$1004,$T215))))</f>
        <v/>
      </c>
      <c r="I215" s="50">
        <f>IF($T215="","",IF($S215="S",IF(INDEX(Firms!$H$5:$H$1004,$T215)="","",INDEX(Firms!$H$5:$H$1004,$T215)),IF(INDEX('AFA Rates'!$G$5:$G$1004,$T215)="","",INDEX('AFA Rates'!$G$5:$G$1004,$T215))))</f>
        <v/>
      </c>
      <c r="J215" s="50">
        <f>IF($T215="","",IF($S215="S",IF(INDEX(Firms!$I$5:$I$1004,$T215)="","",INDEX(Firms!$I$5:$I$1004,$T215)),IF(INDEX('AFA Rates'!$H$5:$H$1004,$T215)="","",INDEX('AFA Rates'!$H$5:$H$1004,$T215))))</f>
        <v/>
      </c>
      <c r="K215" s="50">
        <f>IF($T215="","",IF($S215="S",IF(INDEX(Firms!$J$5:$J$1004,$T215)="","",INDEX(Firms!$J$5:$J$1004,$T215)),IF(INDEX('AFA Rates'!$I$5:$I$1004,$T215)="","",INDEX('AFA Rates'!$I$5:$I$1004,$T215))))</f>
        <v/>
      </c>
      <c r="L215" s="50">
        <f>IF($T215="","",IF($S215="S",IF(INDEX(Firms!$K$5:$K$1004,$T215)="","",INDEX(Firms!$K$5:$K$1004,$T215)),IF(INDEX('AFA Rates'!$J$5:$J$1004,$T215)="","",INDEX('AFA Rates'!$J$5:$J$1004,$T215))))</f>
        <v/>
      </c>
      <c r="M215" s="50">
        <f>IF($T215="","",IF($S215="S",IF(INDEX(Firms!$L$5:$L$1004,$T215)="","",INDEX(Firms!$L$5:$L$1004,$T215)),IF(INDEX('AFA Rates'!$K$5:$K$1004,$T215)="","",INDEX('AFA Rates'!$K$5:$K$1004,$T215))))</f>
        <v/>
      </c>
      <c r="N215" s="50">
        <f>IF($T215="","",IF($S215="S",IF(INDEX(Firms!$M$5:$M$1004,$T215)="","",INDEX(Firms!$M$5:$M$1004,$T215)),IF(INDEX('AFA Rates'!$L$5:$L$1004,$T215)="","",INDEX('AFA Rates'!$L$5:$L$1004,$T215))))</f>
        <v/>
      </c>
      <c r="O215" s="78">
        <f>IF(OR($T215="",$U215=""),"",IF(INDEX(Firms!$C$5:$C$1004,$U215)="","",INDEX(Firms!$C$5:$C$1004,$U215)))</f>
        <v/>
      </c>
      <c r="P215" s="79">
        <f>IF(OR($T215="",$U215=""),"",IF(INDEX(Firms!$N$5:$N$1004,$U215)="","",INDEX(Firms!$N$5:$N$1004,$U215)))</f>
        <v/>
      </c>
      <c r="Q215" s="78">
        <f>IF($T215="","",IF($S215="S",IF(INDEX(Firms!$T$5:$T$1004,$T215)="","",INDEX(Firms!$T$5:$T$1004,$T215)),IF(INDEX('AFA Rates'!$M$5:$M$1004,$T215)="","",INDEX('AFA Rates'!$M$5:$M$1004,$T215))))</f>
        <v/>
      </c>
      <c r="S215">
        <f>IF(211&lt;=$S$2,"S",IF(211&lt;=$S$2+$T$2,"A",""))</f>
        <v/>
      </c>
      <c r="T215">
        <f>IF(S215="S",MATCH(211,Firms!$W$5:$W$1004,0),IF(S215="A",IFERROR(MATCH(211-$S$2,'AFA Rates'!$R$5:$R$1004,0),""),""))</f>
        <v/>
      </c>
      <c r="U215">
        <f>IF(S215="S",T215,IF(AND(S215="A",T215&lt;&gt;""),IFERROR(MATCH(INDEX('AFA Rates'!$A$5:$A$1004,T215),Firms!$A$5:$A$1004,0),""),""))</f>
        <v/>
      </c>
    </row>
    <row r="216">
      <c r="A216" s="78">
        <f>IF($T216="","",IF($S216="S",IF(INDEX(Firms!$A$5:$A$1004,$T216)="","",INDEX(Firms!$A$5:$A$1004,$T216)),IF(INDEX('AFA Rates'!$A$5:$A$1004,$T216)="","",INDEX('AFA Rates'!$A$5:$A$1004,$T216))))</f>
        <v/>
      </c>
      <c r="B216" s="79">
        <f>IF(OR($T216="",$U216=""),IF($T216="","","Not on Firms tab"),INDEX(Firms!$B$5:$B$1004,$U216)&amp;"")</f>
        <v/>
      </c>
      <c r="C216" s="78">
        <f>IF($T216="","",IF($S216="S","Standard",INDEX('AFA Rates'!$B$5:$B$1004,$T216)&amp;""))</f>
        <v/>
      </c>
      <c r="D216" s="88">
        <f>IF($T216="","",IF($S216="S",IF(INDEX(Firms!$E$5:$E$1004,$T216)="","",INDEX(Firms!$E$5:$E$1004,$T216)),IF(INDEX('AFA Rates'!$C$5:$C$1004,$T216)="","",INDEX('AFA Rates'!$C$5:$C$1004,$T216))))</f>
        <v/>
      </c>
      <c r="E216" s="88">
        <f>IF($T216="","",IF($S216="S",IF(""="","",""),IF(INDEX('AFA Rates'!$D$5:$D$1004,$T216)="","",INDEX('AFA Rates'!$D$5:$D$1004,$T216))))</f>
        <v/>
      </c>
      <c r="F216" s="79">
        <f>IF($T216="","",IF($S216="S",IF(INDEX(Firms!$O$5:$O$1004,$T216)="","",INDEX(Firms!$O$5:$O$1004,$T216)),IF(INDEX('AFA Rates'!$O$5:$O$1004,$T216)="","",INDEX('AFA Rates'!$O$5:$O$1004,$T216))))</f>
        <v/>
      </c>
      <c r="G216" s="50">
        <f>IF($T216="","",IF($S216="S",IF(INDEX(Firms!$F$5:$F$1004,$T216)="","",INDEX(Firms!$F$5:$F$1004,$T216)),IF(INDEX('AFA Rates'!$E$5:$E$1004,$T216)="","",INDEX('AFA Rates'!$E$5:$E$1004,$T216))))</f>
        <v/>
      </c>
      <c r="H216" s="50">
        <f>IF($T216="","",IF($S216="S",IF(INDEX(Firms!$G$5:$G$1004,$T216)="","",INDEX(Firms!$G$5:$G$1004,$T216)),IF(INDEX('AFA Rates'!$F$5:$F$1004,$T216)="","",INDEX('AFA Rates'!$F$5:$F$1004,$T216))))</f>
        <v/>
      </c>
      <c r="I216" s="50">
        <f>IF($T216="","",IF($S216="S",IF(INDEX(Firms!$H$5:$H$1004,$T216)="","",INDEX(Firms!$H$5:$H$1004,$T216)),IF(INDEX('AFA Rates'!$G$5:$G$1004,$T216)="","",INDEX('AFA Rates'!$G$5:$G$1004,$T216))))</f>
        <v/>
      </c>
      <c r="J216" s="50">
        <f>IF($T216="","",IF($S216="S",IF(INDEX(Firms!$I$5:$I$1004,$T216)="","",INDEX(Firms!$I$5:$I$1004,$T216)),IF(INDEX('AFA Rates'!$H$5:$H$1004,$T216)="","",INDEX('AFA Rates'!$H$5:$H$1004,$T216))))</f>
        <v/>
      </c>
      <c r="K216" s="50">
        <f>IF($T216="","",IF($S216="S",IF(INDEX(Firms!$J$5:$J$1004,$T216)="","",INDEX(Firms!$J$5:$J$1004,$T216)),IF(INDEX('AFA Rates'!$I$5:$I$1004,$T216)="","",INDEX('AFA Rates'!$I$5:$I$1004,$T216))))</f>
        <v/>
      </c>
      <c r="L216" s="50">
        <f>IF($T216="","",IF($S216="S",IF(INDEX(Firms!$K$5:$K$1004,$T216)="","",INDEX(Firms!$K$5:$K$1004,$T216)),IF(INDEX('AFA Rates'!$J$5:$J$1004,$T216)="","",INDEX('AFA Rates'!$J$5:$J$1004,$T216))))</f>
        <v/>
      </c>
      <c r="M216" s="50">
        <f>IF($T216="","",IF($S216="S",IF(INDEX(Firms!$L$5:$L$1004,$T216)="","",INDEX(Firms!$L$5:$L$1004,$T216)),IF(INDEX('AFA Rates'!$K$5:$K$1004,$T216)="","",INDEX('AFA Rates'!$K$5:$K$1004,$T216))))</f>
        <v/>
      </c>
      <c r="N216" s="50">
        <f>IF($T216="","",IF($S216="S",IF(INDEX(Firms!$M$5:$M$1004,$T216)="","",INDEX(Firms!$M$5:$M$1004,$T216)),IF(INDEX('AFA Rates'!$L$5:$L$1004,$T216)="","",INDEX('AFA Rates'!$L$5:$L$1004,$T216))))</f>
        <v/>
      </c>
      <c r="O216" s="78">
        <f>IF(OR($T216="",$U216=""),"",IF(INDEX(Firms!$C$5:$C$1004,$U216)="","",INDEX(Firms!$C$5:$C$1004,$U216)))</f>
        <v/>
      </c>
      <c r="P216" s="79">
        <f>IF(OR($T216="",$U216=""),"",IF(INDEX(Firms!$N$5:$N$1004,$U216)="","",INDEX(Firms!$N$5:$N$1004,$U216)))</f>
        <v/>
      </c>
      <c r="Q216" s="78">
        <f>IF($T216="","",IF($S216="S",IF(INDEX(Firms!$T$5:$T$1004,$T216)="","",INDEX(Firms!$T$5:$T$1004,$T216)),IF(INDEX('AFA Rates'!$M$5:$M$1004,$T216)="","",INDEX('AFA Rates'!$M$5:$M$1004,$T216))))</f>
        <v/>
      </c>
      <c r="S216">
        <f>IF(212&lt;=$S$2,"S",IF(212&lt;=$S$2+$T$2,"A",""))</f>
        <v/>
      </c>
      <c r="T216">
        <f>IF(S216="S",MATCH(212,Firms!$W$5:$W$1004,0),IF(S216="A",IFERROR(MATCH(212-$S$2,'AFA Rates'!$R$5:$R$1004,0),""),""))</f>
        <v/>
      </c>
      <c r="U216">
        <f>IF(S216="S",T216,IF(AND(S216="A",T216&lt;&gt;""),IFERROR(MATCH(INDEX('AFA Rates'!$A$5:$A$1004,T216),Firms!$A$5:$A$1004,0),""),""))</f>
        <v/>
      </c>
    </row>
    <row r="217">
      <c r="A217" s="78">
        <f>IF($T217="","",IF($S217="S",IF(INDEX(Firms!$A$5:$A$1004,$T217)="","",INDEX(Firms!$A$5:$A$1004,$T217)),IF(INDEX('AFA Rates'!$A$5:$A$1004,$T217)="","",INDEX('AFA Rates'!$A$5:$A$1004,$T217))))</f>
        <v/>
      </c>
      <c r="B217" s="79">
        <f>IF(OR($T217="",$U217=""),IF($T217="","","Not on Firms tab"),INDEX(Firms!$B$5:$B$1004,$U217)&amp;"")</f>
        <v/>
      </c>
      <c r="C217" s="78">
        <f>IF($T217="","",IF($S217="S","Standard",INDEX('AFA Rates'!$B$5:$B$1004,$T217)&amp;""))</f>
        <v/>
      </c>
      <c r="D217" s="88">
        <f>IF($T217="","",IF($S217="S",IF(INDEX(Firms!$E$5:$E$1004,$T217)="","",INDEX(Firms!$E$5:$E$1004,$T217)),IF(INDEX('AFA Rates'!$C$5:$C$1004,$T217)="","",INDEX('AFA Rates'!$C$5:$C$1004,$T217))))</f>
        <v/>
      </c>
      <c r="E217" s="88">
        <f>IF($T217="","",IF($S217="S",IF(""="","",""),IF(INDEX('AFA Rates'!$D$5:$D$1004,$T217)="","",INDEX('AFA Rates'!$D$5:$D$1004,$T217))))</f>
        <v/>
      </c>
      <c r="F217" s="79">
        <f>IF($T217="","",IF($S217="S",IF(INDEX(Firms!$O$5:$O$1004,$T217)="","",INDEX(Firms!$O$5:$O$1004,$T217)),IF(INDEX('AFA Rates'!$O$5:$O$1004,$T217)="","",INDEX('AFA Rates'!$O$5:$O$1004,$T217))))</f>
        <v/>
      </c>
      <c r="G217" s="50">
        <f>IF($T217="","",IF($S217="S",IF(INDEX(Firms!$F$5:$F$1004,$T217)="","",INDEX(Firms!$F$5:$F$1004,$T217)),IF(INDEX('AFA Rates'!$E$5:$E$1004,$T217)="","",INDEX('AFA Rates'!$E$5:$E$1004,$T217))))</f>
        <v/>
      </c>
      <c r="H217" s="50">
        <f>IF($T217="","",IF($S217="S",IF(INDEX(Firms!$G$5:$G$1004,$T217)="","",INDEX(Firms!$G$5:$G$1004,$T217)),IF(INDEX('AFA Rates'!$F$5:$F$1004,$T217)="","",INDEX('AFA Rates'!$F$5:$F$1004,$T217))))</f>
        <v/>
      </c>
      <c r="I217" s="50">
        <f>IF($T217="","",IF($S217="S",IF(INDEX(Firms!$H$5:$H$1004,$T217)="","",INDEX(Firms!$H$5:$H$1004,$T217)),IF(INDEX('AFA Rates'!$G$5:$G$1004,$T217)="","",INDEX('AFA Rates'!$G$5:$G$1004,$T217))))</f>
        <v/>
      </c>
      <c r="J217" s="50">
        <f>IF($T217="","",IF($S217="S",IF(INDEX(Firms!$I$5:$I$1004,$T217)="","",INDEX(Firms!$I$5:$I$1004,$T217)),IF(INDEX('AFA Rates'!$H$5:$H$1004,$T217)="","",INDEX('AFA Rates'!$H$5:$H$1004,$T217))))</f>
        <v/>
      </c>
      <c r="K217" s="50">
        <f>IF($T217="","",IF($S217="S",IF(INDEX(Firms!$J$5:$J$1004,$T217)="","",INDEX(Firms!$J$5:$J$1004,$T217)),IF(INDEX('AFA Rates'!$I$5:$I$1004,$T217)="","",INDEX('AFA Rates'!$I$5:$I$1004,$T217))))</f>
        <v/>
      </c>
      <c r="L217" s="50">
        <f>IF($T217="","",IF($S217="S",IF(INDEX(Firms!$K$5:$K$1004,$T217)="","",INDEX(Firms!$K$5:$K$1004,$T217)),IF(INDEX('AFA Rates'!$J$5:$J$1004,$T217)="","",INDEX('AFA Rates'!$J$5:$J$1004,$T217))))</f>
        <v/>
      </c>
      <c r="M217" s="50">
        <f>IF($T217="","",IF($S217="S",IF(INDEX(Firms!$L$5:$L$1004,$T217)="","",INDEX(Firms!$L$5:$L$1004,$T217)),IF(INDEX('AFA Rates'!$K$5:$K$1004,$T217)="","",INDEX('AFA Rates'!$K$5:$K$1004,$T217))))</f>
        <v/>
      </c>
      <c r="N217" s="50">
        <f>IF($T217="","",IF($S217="S",IF(INDEX(Firms!$M$5:$M$1004,$T217)="","",INDEX(Firms!$M$5:$M$1004,$T217)),IF(INDEX('AFA Rates'!$L$5:$L$1004,$T217)="","",INDEX('AFA Rates'!$L$5:$L$1004,$T217))))</f>
        <v/>
      </c>
      <c r="O217" s="78">
        <f>IF(OR($T217="",$U217=""),"",IF(INDEX(Firms!$C$5:$C$1004,$U217)="","",INDEX(Firms!$C$5:$C$1004,$U217)))</f>
        <v/>
      </c>
      <c r="P217" s="79">
        <f>IF(OR($T217="",$U217=""),"",IF(INDEX(Firms!$N$5:$N$1004,$U217)="","",INDEX(Firms!$N$5:$N$1004,$U217)))</f>
        <v/>
      </c>
      <c r="Q217" s="78">
        <f>IF($T217="","",IF($S217="S",IF(INDEX(Firms!$T$5:$T$1004,$T217)="","",INDEX(Firms!$T$5:$T$1004,$T217)),IF(INDEX('AFA Rates'!$M$5:$M$1004,$T217)="","",INDEX('AFA Rates'!$M$5:$M$1004,$T217))))</f>
        <v/>
      </c>
      <c r="S217">
        <f>IF(213&lt;=$S$2,"S",IF(213&lt;=$S$2+$T$2,"A",""))</f>
        <v/>
      </c>
      <c r="T217">
        <f>IF(S217="S",MATCH(213,Firms!$W$5:$W$1004,0),IF(S217="A",IFERROR(MATCH(213-$S$2,'AFA Rates'!$R$5:$R$1004,0),""),""))</f>
        <v/>
      </c>
      <c r="U217">
        <f>IF(S217="S",T217,IF(AND(S217="A",T217&lt;&gt;""),IFERROR(MATCH(INDEX('AFA Rates'!$A$5:$A$1004,T217),Firms!$A$5:$A$1004,0),""),""))</f>
        <v/>
      </c>
    </row>
    <row r="218">
      <c r="A218" s="78">
        <f>IF($T218="","",IF($S218="S",IF(INDEX(Firms!$A$5:$A$1004,$T218)="","",INDEX(Firms!$A$5:$A$1004,$T218)),IF(INDEX('AFA Rates'!$A$5:$A$1004,$T218)="","",INDEX('AFA Rates'!$A$5:$A$1004,$T218))))</f>
        <v/>
      </c>
      <c r="B218" s="79">
        <f>IF(OR($T218="",$U218=""),IF($T218="","","Not on Firms tab"),INDEX(Firms!$B$5:$B$1004,$U218)&amp;"")</f>
        <v/>
      </c>
      <c r="C218" s="78">
        <f>IF($T218="","",IF($S218="S","Standard",INDEX('AFA Rates'!$B$5:$B$1004,$T218)&amp;""))</f>
        <v/>
      </c>
      <c r="D218" s="88">
        <f>IF($T218="","",IF($S218="S",IF(INDEX(Firms!$E$5:$E$1004,$T218)="","",INDEX(Firms!$E$5:$E$1004,$T218)),IF(INDEX('AFA Rates'!$C$5:$C$1004,$T218)="","",INDEX('AFA Rates'!$C$5:$C$1004,$T218))))</f>
        <v/>
      </c>
      <c r="E218" s="88">
        <f>IF($T218="","",IF($S218="S",IF(""="","",""),IF(INDEX('AFA Rates'!$D$5:$D$1004,$T218)="","",INDEX('AFA Rates'!$D$5:$D$1004,$T218))))</f>
        <v/>
      </c>
      <c r="F218" s="79">
        <f>IF($T218="","",IF($S218="S",IF(INDEX(Firms!$O$5:$O$1004,$T218)="","",INDEX(Firms!$O$5:$O$1004,$T218)),IF(INDEX('AFA Rates'!$O$5:$O$1004,$T218)="","",INDEX('AFA Rates'!$O$5:$O$1004,$T218))))</f>
        <v/>
      </c>
      <c r="G218" s="50">
        <f>IF($T218="","",IF($S218="S",IF(INDEX(Firms!$F$5:$F$1004,$T218)="","",INDEX(Firms!$F$5:$F$1004,$T218)),IF(INDEX('AFA Rates'!$E$5:$E$1004,$T218)="","",INDEX('AFA Rates'!$E$5:$E$1004,$T218))))</f>
        <v/>
      </c>
      <c r="H218" s="50">
        <f>IF($T218="","",IF($S218="S",IF(INDEX(Firms!$G$5:$G$1004,$T218)="","",INDEX(Firms!$G$5:$G$1004,$T218)),IF(INDEX('AFA Rates'!$F$5:$F$1004,$T218)="","",INDEX('AFA Rates'!$F$5:$F$1004,$T218))))</f>
        <v/>
      </c>
      <c r="I218" s="50">
        <f>IF($T218="","",IF($S218="S",IF(INDEX(Firms!$H$5:$H$1004,$T218)="","",INDEX(Firms!$H$5:$H$1004,$T218)),IF(INDEX('AFA Rates'!$G$5:$G$1004,$T218)="","",INDEX('AFA Rates'!$G$5:$G$1004,$T218))))</f>
        <v/>
      </c>
      <c r="J218" s="50">
        <f>IF($T218="","",IF($S218="S",IF(INDEX(Firms!$I$5:$I$1004,$T218)="","",INDEX(Firms!$I$5:$I$1004,$T218)),IF(INDEX('AFA Rates'!$H$5:$H$1004,$T218)="","",INDEX('AFA Rates'!$H$5:$H$1004,$T218))))</f>
        <v/>
      </c>
      <c r="K218" s="50">
        <f>IF($T218="","",IF($S218="S",IF(INDEX(Firms!$J$5:$J$1004,$T218)="","",INDEX(Firms!$J$5:$J$1004,$T218)),IF(INDEX('AFA Rates'!$I$5:$I$1004,$T218)="","",INDEX('AFA Rates'!$I$5:$I$1004,$T218))))</f>
        <v/>
      </c>
      <c r="L218" s="50">
        <f>IF($T218="","",IF($S218="S",IF(INDEX(Firms!$K$5:$K$1004,$T218)="","",INDEX(Firms!$K$5:$K$1004,$T218)),IF(INDEX('AFA Rates'!$J$5:$J$1004,$T218)="","",INDEX('AFA Rates'!$J$5:$J$1004,$T218))))</f>
        <v/>
      </c>
      <c r="M218" s="50">
        <f>IF($T218="","",IF($S218="S",IF(INDEX(Firms!$L$5:$L$1004,$T218)="","",INDEX(Firms!$L$5:$L$1004,$T218)),IF(INDEX('AFA Rates'!$K$5:$K$1004,$T218)="","",INDEX('AFA Rates'!$K$5:$K$1004,$T218))))</f>
        <v/>
      </c>
      <c r="N218" s="50">
        <f>IF($T218="","",IF($S218="S",IF(INDEX(Firms!$M$5:$M$1004,$T218)="","",INDEX(Firms!$M$5:$M$1004,$T218)),IF(INDEX('AFA Rates'!$L$5:$L$1004,$T218)="","",INDEX('AFA Rates'!$L$5:$L$1004,$T218))))</f>
        <v/>
      </c>
      <c r="O218" s="78">
        <f>IF(OR($T218="",$U218=""),"",IF(INDEX(Firms!$C$5:$C$1004,$U218)="","",INDEX(Firms!$C$5:$C$1004,$U218)))</f>
        <v/>
      </c>
      <c r="P218" s="79">
        <f>IF(OR($T218="",$U218=""),"",IF(INDEX(Firms!$N$5:$N$1004,$U218)="","",INDEX(Firms!$N$5:$N$1004,$U218)))</f>
        <v/>
      </c>
      <c r="Q218" s="78">
        <f>IF($T218="","",IF($S218="S",IF(INDEX(Firms!$T$5:$T$1004,$T218)="","",INDEX(Firms!$T$5:$T$1004,$T218)),IF(INDEX('AFA Rates'!$M$5:$M$1004,$T218)="","",INDEX('AFA Rates'!$M$5:$M$1004,$T218))))</f>
        <v/>
      </c>
      <c r="S218">
        <f>IF(214&lt;=$S$2,"S",IF(214&lt;=$S$2+$T$2,"A",""))</f>
        <v/>
      </c>
      <c r="T218">
        <f>IF(S218="S",MATCH(214,Firms!$W$5:$W$1004,0),IF(S218="A",IFERROR(MATCH(214-$S$2,'AFA Rates'!$R$5:$R$1004,0),""),""))</f>
        <v/>
      </c>
      <c r="U218">
        <f>IF(S218="S",T218,IF(AND(S218="A",T218&lt;&gt;""),IFERROR(MATCH(INDEX('AFA Rates'!$A$5:$A$1004,T218),Firms!$A$5:$A$1004,0),""),""))</f>
        <v/>
      </c>
    </row>
    <row r="219">
      <c r="A219" s="78">
        <f>IF($T219="","",IF($S219="S",IF(INDEX(Firms!$A$5:$A$1004,$T219)="","",INDEX(Firms!$A$5:$A$1004,$T219)),IF(INDEX('AFA Rates'!$A$5:$A$1004,$T219)="","",INDEX('AFA Rates'!$A$5:$A$1004,$T219))))</f>
        <v/>
      </c>
      <c r="B219" s="79">
        <f>IF(OR($T219="",$U219=""),IF($T219="","","Not on Firms tab"),INDEX(Firms!$B$5:$B$1004,$U219)&amp;"")</f>
        <v/>
      </c>
      <c r="C219" s="78">
        <f>IF($T219="","",IF($S219="S","Standard",INDEX('AFA Rates'!$B$5:$B$1004,$T219)&amp;""))</f>
        <v/>
      </c>
      <c r="D219" s="88">
        <f>IF($T219="","",IF($S219="S",IF(INDEX(Firms!$E$5:$E$1004,$T219)="","",INDEX(Firms!$E$5:$E$1004,$T219)),IF(INDEX('AFA Rates'!$C$5:$C$1004,$T219)="","",INDEX('AFA Rates'!$C$5:$C$1004,$T219))))</f>
        <v/>
      </c>
      <c r="E219" s="88">
        <f>IF($T219="","",IF($S219="S",IF(""="","",""),IF(INDEX('AFA Rates'!$D$5:$D$1004,$T219)="","",INDEX('AFA Rates'!$D$5:$D$1004,$T219))))</f>
        <v/>
      </c>
      <c r="F219" s="79">
        <f>IF($T219="","",IF($S219="S",IF(INDEX(Firms!$O$5:$O$1004,$T219)="","",INDEX(Firms!$O$5:$O$1004,$T219)),IF(INDEX('AFA Rates'!$O$5:$O$1004,$T219)="","",INDEX('AFA Rates'!$O$5:$O$1004,$T219))))</f>
        <v/>
      </c>
      <c r="G219" s="50">
        <f>IF($T219="","",IF($S219="S",IF(INDEX(Firms!$F$5:$F$1004,$T219)="","",INDEX(Firms!$F$5:$F$1004,$T219)),IF(INDEX('AFA Rates'!$E$5:$E$1004,$T219)="","",INDEX('AFA Rates'!$E$5:$E$1004,$T219))))</f>
        <v/>
      </c>
      <c r="H219" s="50">
        <f>IF($T219="","",IF($S219="S",IF(INDEX(Firms!$G$5:$G$1004,$T219)="","",INDEX(Firms!$G$5:$G$1004,$T219)),IF(INDEX('AFA Rates'!$F$5:$F$1004,$T219)="","",INDEX('AFA Rates'!$F$5:$F$1004,$T219))))</f>
        <v/>
      </c>
      <c r="I219" s="50">
        <f>IF($T219="","",IF($S219="S",IF(INDEX(Firms!$H$5:$H$1004,$T219)="","",INDEX(Firms!$H$5:$H$1004,$T219)),IF(INDEX('AFA Rates'!$G$5:$G$1004,$T219)="","",INDEX('AFA Rates'!$G$5:$G$1004,$T219))))</f>
        <v/>
      </c>
      <c r="J219" s="50">
        <f>IF($T219="","",IF($S219="S",IF(INDEX(Firms!$I$5:$I$1004,$T219)="","",INDEX(Firms!$I$5:$I$1004,$T219)),IF(INDEX('AFA Rates'!$H$5:$H$1004,$T219)="","",INDEX('AFA Rates'!$H$5:$H$1004,$T219))))</f>
        <v/>
      </c>
      <c r="K219" s="50">
        <f>IF($T219="","",IF($S219="S",IF(INDEX(Firms!$J$5:$J$1004,$T219)="","",INDEX(Firms!$J$5:$J$1004,$T219)),IF(INDEX('AFA Rates'!$I$5:$I$1004,$T219)="","",INDEX('AFA Rates'!$I$5:$I$1004,$T219))))</f>
        <v/>
      </c>
      <c r="L219" s="50">
        <f>IF($T219="","",IF($S219="S",IF(INDEX(Firms!$K$5:$K$1004,$T219)="","",INDEX(Firms!$K$5:$K$1004,$T219)),IF(INDEX('AFA Rates'!$J$5:$J$1004,$T219)="","",INDEX('AFA Rates'!$J$5:$J$1004,$T219))))</f>
        <v/>
      </c>
      <c r="M219" s="50">
        <f>IF($T219="","",IF($S219="S",IF(INDEX(Firms!$L$5:$L$1004,$T219)="","",INDEX(Firms!$L$5:$L$1004,$T219)),IF(INDEX('AFA Rates'!$K$5:$K$1004,$T219)="","",INDEX('AFA Rates'!$K$5:$K$1004,$T219))))</f>
        <v/>
      </c>
      <c r="N219" s="50">
        <f>IF($T219="","",IF($S219="S",IF(INDEX(Firms!$M$5:$M$1004,$T219)="","",INDEX(Firms!$M$5:$M$1004,$T219)),IF(INDEX('AFA Rates'!$L$5:$L$1004,$T219)="","",INDEX('AFA Rates'!$L$5:$L$1004,$T219))))</f>
        <v/>
      </c>
      <c r="O219" s="78">
        <f>IF(OR($T219="",$U219=""),"",IF(INDEX(Firms!$C$5:$C$1004,$U219)="","",INDEX(Firms!$C$5:$C$1004,$U219)))</f>
        <v/>
      </c>
      <c r="P219" s="79">
        <f>IF(OR($T219="",$U219=""),"",IF(INDEX(Firms!$N$5:$N$1004,$U219)="","",INDEX(Firms!$N$5:$N$1004,$U219)))</f>
        <v/>
      </c>
      <c r="Q219" s="78">
        <f>IF($T219="","",IF($S219="S",IF(INDEX(Firms!$T$5:$T$1004,$T219)="","",INDEX(Firms!$T$5:$T$1004,$T219)),IF(INDEX('AFA Rates'!$M$5:$M$1004,$T219)="","",INDEX('AFA Rates'!$M$5:$M$1004,$T219))))</f>
        <v/>
      </c>
      <c r="S219">
        <f>IF(215&lt;=$S$2,"S",IF(215&lt;=$S$2+$T$2,"A",""))</f>
        <v/>
      </c>
      <c r="T219">
        <f>IF(S219="S",MATCH(215,Firms!$W$5:$W$1004,0),IF(S219="A",IFERROR(MATCH(215-$S$2,'AFA Rates'!$R$5:$R$1004,0),""),""))</f>
        <v/>
      </c>
      <c r="U219">
        <f>IF(S219="S",T219,IF(AND(S219="A",T219&lt;&gt;""),IFERROR(MATCH(INDEX('AFA Rates'!$A$5:$A$1004,T219),Firms!$A$5:$A$1004,0),""),""))</f>
        <v/>
      </c>
    </row>
    <row r="220">
      <c r="A220" s="78">
        <f>IF($T220="","",IF($S220="S",IF(INDEX(Firms!$A$5:$A$1004,$T220)="","",INDEX(Firms!$A$5:$A$1004,$T220)),IF(INDEX('AFA Rates'!$A$5:$A$1004,$T220)="","",INDEX('AFA Rates'!$A$5:$A$1004,$T220))))</f>
        <v/>
      </c>
      <c r="B220" s="79">
        <f>IF(OR($T220="",$U220=""),IF($T220="","","Not on Firms tab"),INDEX(Firms!$B$5:$B$1004,$U220)&amp;"")</f>
        <v/>
      </c>
      <c r="C220" s="78">
        <f>IF($T220="","",IF($S220="S","Standard",INDEX('AFA Rates'!$B$5:$B$1004,$T220)&amp;""))</f>
        <v/>
      </c>
      <c r="D220" s="88">
        <f>IF($T220="","",IF($S220="S",IF(INDEX(Firms!$E$5:$E$1004,$T220)="","",INDEX(Firms!$E$5:$E$1004,$T220)),IF(INDEX('AFA Rates'!$C$5:$C$1004,$T220)="","",INDEX('AFA Rates'!$C$5:$C$1004,$T220))))</f>
        <v/>
      </c>
      <c r="E220" s="88">
        <f>IF($T220="","",IF($S220="S",IF(""="","",""),IF(INDEX('AFA Rates'!$D$5:$D$1004,$T220)="","",INDEX('AFA Rates'!$D$5:$D$1004,$T220))))</f>
        <v/>
      </c>
      <c r="F220" s="79">
        <f>IF($T220="","",IF($S220="S",IF(INDEX(Firms!$O$5:$O$1004,$T220)="","",INDEX(Firms!$O$5:$O$1004,$T220)),IF(INDEX('AFA Rates'!$O$5:$O$1004,$T220)="","",INDEX('AFA Rates'!$O$5:$O$1004,$T220))))</f>
        <v/>
      </c>
      <c r="G220" s="50">
        <f>IF($T220="","",IF($S220="S",IF(INDEX(Firms!$F$5:$F$1004,$T220)="","",INDEX(Firms!$F$5:$F$1004,$T220)),IF(INDEX('AFA Rates'!$E$5:$E$1004,$T220)="","",INDEX('AFA Rates'!$E$5:$E$1004,$T220))))</f>
        <v/>
      </c>
      <c r="H220" s="50">
        <f>IF($T220="","",IF($S220="S",IF(INDEX(Firms!$G$5:$G$1004,$T220)="","",INDEX(Firms!$G$5:$G$1004,$T220)),IF(INDEX('AFA Rates'!$F$5:$F$1004,$T220)="","",INDEX('AFA Rates'!$F$5:$F$1004,$T220))))</f>
        <v/>
      </c>
      <c r="I220" s="50">
        <f>IF($T220="","",IF($S220="S",IF(INDEX(Firms!$H$5:$H$1004,$T220)="","",INDEX(Firms!$H$5:$H$1004,$T220)),IF(INDEX('AFA Rates'!$G$5:$G$1004,$T220)="","",INDEX('AFA Rates'!$G$5:$G$1004,$T220))))</f>
        <v/>
      </c>
      <c r="J220" s="50">
        <f>IF($T220="","",IF($S220="S",IF(INDEX(Firms!$I$5:$I$1004,$T220)="","",INDEX(Firms!$I$5:$I$1004,$T220)),IF(INDEX('AFA Rates'!$H$5:$H$1004,$T220)="","",INDEX('AFA Rates'!$H$5:$H$1004,$T220))))</f>
        <v/>
      </c>
      <c r="K220" s="50">
        <f>IF($T220="","",IF($S220="S",IF(INDEX(Firms!$J$5:$J$1004,$T220)="","",INDEX(Firms!$J$5:$J$1004,$T220)),IF(INDEX('AFA Rates'!$I$5:$I$1004,$T220)="","",INDEX('AFA Rates'!$I$5:$I$1004,$T220))))</f>
        <v/>
      </c>
      <c r="L220" s="50">
        <f>IF($T220="","",IF($S220="S",IF(INDEX(Firms!$K$5:$K$1004,$T220)="","",INDEX(Firms!$K$5:$K$1004,$T220)),IF(INDEX('AFA Rates'!$J$5:$J$1004,$T220)="","",INDEX('AFA Rates'!$J$5:$J$1004,$T220))))</f>
        <v/>
      </c>
      <c r="M220" s="50">
        <f>IF($T220="","",IF($S220="S",IF(INDEX(Firms!$L$5:$L$1004,$T220)="","",INDEX(Firms!$L$5:$L$1004,$T220)),IF(INDEX('AFA Rates'!$K$5:$K$1004,$T220)="","",INDEX('AFA Rates'!$K$5:$K$1004,$T220))))</f>
        <v/>
      </c>
      <c r="N220" s="50">
        <f>IF($T220="","",IF($S220="S",IF(INDEX(Firms!$M$5:$M$1004,$T220)="","",INDEX(Firms!$M$5:$M$1004,$T220)),IF(INDEX('AFA Rates'!$L$5:$L$1004,$T220)="","",INDEX('AFA Rates'!$L$5:$L$1004,$T220))))</f>
        <v/>
      </c>
      <c r="O220" s="78">
        <f>IF(OR($T220="",$U220=""),"",IF(INDEX(Firms!$C$5:$C$1004,$U220)="","",INDEX(Firms!$C$5:$C$1004,$U220)))</f>
        <v/>
      </c>
      <c r="P220" s="79">
        <f>IF(OR($T220="",$U220=""),"",IF(INDEX(Firms!$N$5:$N$1004,$U220)="","",INDEX(Firms!$N$5:$N$1004,$U220)))</f>
        <v/>
      </c>
      <c r="Q220" s="78">
        <f>IF($T220="","",IF($S220="S",IF(INDEX(Firms!$T$5:$T$1004,$T220)="","",INDEX(Firms!$T$5:$T$1004,$T220)),IF(INDEX('AFA Rates'!$M$5:$M$1004,$T220)="","",INDEX('AFA Rates'!$M$5:$M$1004,$T220))))</f>
        <v/>
      </c>
      <c r="S220">
        <f>IF(216&lt;=$S$2,"S",IF(216&lt;=$S$2+$T$2,"A",""))</f>
        <v/>
      </c>
      <c r="T220">
        <f>IF(S220="S",MATCH(216,Firms!$W$5:$W$1004,0),IF(S220="A",IFERROR(MATCH(216-$S$2,'AFA Rates'!$R$5:$R$1004,0),""),""))</f>
        <v/>
      </c>
      <c r="U220">
        <f>IF(S220="S",T220,IF(AND(S220="A",T220&lt;&gt;""),IFERROR(MATCH(INDEX('AFA Rates'!$A$5:$A$1004,T220),Firms!$A$5:$A$1004,0),""),""))</f>
        <v/>
      </c>
    </row>
    <row r="221">
      <c r="A221" s="78">
        <f>IF($T221="","",IF($S221="S",IF(INDEX(Firms!$A$5:$A$1004,$T221)="","",INDEX(Firms!$A$5:$A$1004,$T221)),IF(INDEX('AFA Rates'!$A$5:$A$1004,$T221)="","",INDEX('AFA Rates'!$A$5:$A$1004,$T221))))</f>
        <v/>
      </c>
      <c r="B221" s="79">
        <f>IF(OR($T221="",$U221=""),IF($T221="","","Not on Firms tab"),INDEX(Firms!$B$5:$B$1004,$U221)&amp;"")</f>
        <v/>
      </c>
      <c r="C221" s="78">
        <f>IF($T221="","",IF($S221="S","Standard",INDEX('AFA Rates'!$B$5:$B$1004,$T221)&amp;""))</f>
        <v/>
      </c>
      <c r="D221" s="88">
        <f>IF($T221="","",IF($S221="S",IF(INDEX(Firms!$E$5:$E$1004,$T221)="","",INDEX(Firms!$E$5:$E$1004,$T221)),IF(INDEX('AFA Rates'!$C$5:$C$1004,$T221)="","",INDEX('AFA Rates'!$C$5:$C$1004,$T221))))</f>
        <v/>
      </c>
      <c r="E221" s="88">
        <f>IF($T221="","",IF($S221="S",IF(""="","",""),IF(INDEX('AFA Rates'!$D$5:$D$1004,$T221)="","",INDEX('AFA Rates'!$D$5:$D$1004,$T221))))</f>
        <v/>
      </c>
      <c r="F221" s="79">
        <f>IF($T221="","",IF($S221="S",IF(INDEX(Firms!$O$5:$O$1004,$T221)="","",INDEX(Firms!$O$5:$O$1004,$T221)),IF(INDEX('AFA Rates'!$O$5:$O$1004,$T221)="","",INDEX('AFA Rates'!$O$5:$O$1004,$T221))))</f>
        <v/>
      </c>
      <c r="G221" s="50">
        <f>IF($T221="","",IF($S221="S",IF(INDEX(Firms!$F$5:$F$1004,$T221)="","",INDEX(Firms!$F$5:$F$1004,$T221)),IF(INDEX('AFA Rates'!$E$5:$E$1004,$T221)="","",INDEX('AFA Rates'!$E$5:$E$1004,$T221))))</f>
        <v/>
      </c>
      <c r="H221" s="50">
        <f>IF($T221="","",IF($S221="S",IF(INDEX(Firms!$G$5:$G$1004,$T221)="","",INDEX(Firms!$G$5:$G$1004,$T221)),IF(INDEX('AFA Rates'!$F$5:$F$1004,$T221)="","",INDEX('AFA Rates'!$F$5:$F$1004,$T221))))</f>
        <v/>
      </c>
      <c r="I221" s="50">
        <f>IF($T221="","",IF($S221="S",IF(INDEX(Firms!$H$5:$H$1004,$T221)="","",INDEX(Firms!$H$5:$H$1004,$T221)),IF(INDEX('AFA Rates'!$G$5:$G$1004,$T221)="","",INDEX('AFA Rates'!$G$5:$G$1004,$T221))))</f>
        <v/>
      </c>
      <c r="J221" s="50">
        <f>IF($T221="","",IF($S221="S",IF(INDEX(Firms!$I$5:$I$1004,$T221)="","",INDEX(Firms!$I$5:$I$1004,$T221)),IF(INDEX('AFA Rates'!$H$5:$H$1004,$T221)="","",INDEX('AFA Rates'!$H$5:$H$1004,$T221))))</f>
        <v/>
      </c>
      <c r="K221" s="50">
        <f>IF($T221="","",IF($S221="S",IF(INDEX(Firms!$J$5:$J$1004,$T221)="","",INDEX(Firms!$J$5:$J$1004,$T221)),IF(INDEX('AFA Rates'!$I$5:$I$1004,$T221)="","",INDEX('AFA Rates'!$I$5:$I$1004,$T221))))</f>
        <v/>
      </c>
      <c r="L221" s="50">
        <f>IF($T221="","",IF($S221="S",IF(INDEX(Firms!$K$5:$K$1004,$T221)="","",INDEX(Firms!$K$5:$K$1004,$T221)),IF(INDEX('AFA Rates'!$J$5:$J$1004,$T221)="","",INDEX('AFA Rates'!$J$5:$J$1004,$T221))))</f>
        <v/>
      </c>
      <c r="M221" s="50">
        <f>IF($T221="","",IF($S221="S",IF(INDEX(Firms!$L$5:$L$1004,$T221)="","",INDEX(Firms!$L$5:$L$1004,$T221)),IF(INDEX('AFA Rates'!$K$5:$K$1004,$T221)="","",INDEX('AFA Rates'!$K$5:$K$1004,$T221))))</f>
        <v/>
      </c>
      <c r="N221" s="50">
        <f>IF($T221="","",IF($S221="S",IF(INDEX(Firms!$M$5:$M$1004,$T221)="","",INDEX(Firms!$M$5:$M$1004,$T221)),IF(INDEX('AFA Rates'!$L$5:$L$1004,$T221)="","",INDEX('AFA Rates'!$L$5:$L$1004,$T221))))</f>
        <v/>
      </c>
      <c r="O221" s="78">
        <f>IF(OR($T221="",$U221=""),"",IF(INDEX(Firms!$C$5:$C$1004,$U221)="","",INDEX(Firms!$C$5:$C$1004,$U221)))</f>
        <v/>
      </c>
      <c r="P221" s="79">
        <f>IF(OR($T221="",$U221=""),"",IF(INDEX(Firms!$N$5:$N$1004,$U221)="","",INDEX(Firms!$N$5:$N$1004,$U221)))</f>
        <v/>
      </c>
      <c r="Q221" s="78">
        <f>IF($T221="","",IF($S221="S",IF(INDEX(Firms!$T$5:$T$1004,$T221)="","",INDEX(Firms!$T$5:$T$1004,$T221)),IF(INDEX('AFA Rates'!$M$5:$M$1004,$T221)="","",INDEX('AFA Rates'!$M$5:$M$1004,$T221))))</f>
        <v/>
      </c>
      <c r="S221">
        <f>IF(217&lt;=$S$2,"S",IF(217&lt;=$S$2+$T$2,"A",""))</f>
        <v/>
      </c>
      <c r="T221">
        <f>IF(S221="S",MATCH(217,Firms!$W$5:$W$1004,0),IF(S221="A",IFERROR(MATCH(217-$S$2,'AFA Rates'!$R$5:$R$1004,0),""),""))</f>
        <v/>
      </c>
      <c r="U221">
        <f>IF(S221="S",T221,IF(AND(S221="A",T221&lt;&gt;""),IFERROR(MATCH(INDEX('AFA Rates'!$A$5:$A$1004,T221),Firms!$A$5:$A$1004,0),""),""))</f>
        <v/>
      </c>
    </row>
    <row r="222">
      <c r="A222" s="78">
        <f>IF($T222="","",IF($S222="S",IF(INDEX(Firms!$A$5:$A$1004,$T222)="","",INDEX(Firms!$A$5:$A$1004,$T222)),IF(INDEX('AFA Rates'!$A$5:$A$1004,$T222)="","",INDEX('AFA Rates'!$A$5:$A$1004,$T222))))</f>
        <v/>
      </c>
      <c r="B222" s="79">
        <f>IF(OR($T222="",$U222=""),IF($T222="","","Not on Firms tab"),INDEX(Firms!$B$5:$B$1004,$U222)&amp;"")</f>
        <v/>
      </c>
      <c r="C222" s="78">
        <f>IF($T222="","",IF($S222="S","Standard",INDEX('AFA Rates'!$B$5:$B$1004,$T222)&amp;""))</f>
        <v/>
      </c>
      <c r="D222" s="88">
        <f>IF($T222="","",IF($S222="S",IF(INDEX(Firms!$E$5:$E$1004,$T222)="","",INDEX(Firms!$E$5:$E$1004,$T222)),IF(INDEX('AFA Rates'!$C$5:$C$1004,$T222)="","",INDEX('AFA Rates'!$C$5:$C$1004,$T222))))</f>
        <v/>
      </c>
      <c r="E222" s="88">
        <f>IF($T222="","",IF($S222="S",IF(""="","",""),IF(INDEX('AFA Rates'!$D$5:$D$1004,$T222)="","",INDEX('AFA Rates'!$D$5:$D$1004,$T222))))</f>
        <v/>
      </c>
      <c r="F222" s="79">
        <f>IF($T222="","",IF($S222="S",IF(INDEX(Firms!$O$5:$O$1004,$T222)="","",INDEX(Firms!$O$5:$O$1004,$T222)),IF(INDEX('AFA Rates'!$O$5:$O$1004,$T222)="","",INDEX('AFA Rates'!$O$5:$O$1004,$T222))))</f>
        <v/>
      </c>
      <c r="G222" s="50">
        <f>IF($T222="","",IF($S222="S",IF(INDEX(Firms!$F$5:$F$1004,$T222)="","",INDEX(Firms!$F$5:$F$1004,$T222)),IF(INDEX('AFA Rates'!$E$5:$E$1004,$T222)="","",INDEX('AFA Rates'!$E$5:$E$1004,$T222))))</f>
        <v/>
      </c>
      <c r="H222" s="50">
        <f>IF($T222="","",IF($S222="S",IF(INDEX(Firms!$G$5:$G$1004,$T222)="","",INDEX(Firms!$G$5:$G$1004,$T222)),IF(INDEX('AFA Rates'!$F$5:$F$1004,$T222)="","",INDEX('AFA Rates'!$F$5:$F$1004,$T222))))</f>
        <v/>
      </c>
      <c r="I222" s="50">
        <f>IF($T222="","",IF($S222="S",IF(INDEX(Firms!$H$5:$H$1004,$T222)="","",INDEX(Firms!$H$5:$H$1004,$T222)),IF(INDEX('AFA Rates'!$G$5:$G$1004,$T222)="","",INDEX('AFA Rates'!$G$5:$G$1004,$T222))))</f>
        <v/>
      </c>
      <c r="J222" s="50">
        <f>IF($T222="","",IF($S222="S",IF(INDEX(Firms!$I$5:$I$1004,$T222)="","",INDEX(Firms!$I$5:$I$1004,$T222)),IF(INDEX('AFA Rates'!$H$5:$H$1004,$T222)="","",INDEX('AFA Rates'!$H$5:$H$1004,$T222))))</f>
        <v/>
      </c>
      <c r="K222" s="50">
        <f>IF($T222="","",IF($S222="S",IF(INDEX(Firms!$J$5:$J$1004,$T222)="","",INDEX(Firms!$J$5:$J$1004,$T222)),IF(INDEX('AFA Rates'!$I$5:$I$1004,$T222)="","",INDEX('AFA Rates'!$I$5:$I$1004,$T222))))</f>
        <v/>
      </c>
      <c r="L222" s="50">
        <f>IF($T222="","",IF($S222="S",IF(INDEX(Firms!$K$5:$K$1004,$T222)="","",INDEX(Firms!$K$5:$K$1004,$T222)),IF(INDEX('AFA Rates'!$J$5:$J$1004,$T222)="","",INDEX('AFA Rates'!$J$5:$J$1004,$T222))))</f>
        <v/>
      </c>
      <c r="M222" s="50">
        <f>IF($T222="","",IF($S222="S",IF(INDEX(Firms!$L$5:$L$1004,$T222)="","",INDEX(Firms!$L$5:$L$1004,$T222)),IF(INDEX('AFA Rates'!$K$5:$K$1004,$T222)="","",INDEX('AFA Rates'!$K$5:$K$1004,$T222))))</f>
        <v/>
      </c>
      <c r="N222" s="50">
        <f>IF($T222="","",IF($S222="S",IF(INDEX(Firms!$M$5:$M$1004,$T222)="","",INDEX(Firms!$M$5:$M$1004,$T222)),IF(INDEX('AFA Rates'!$L$5:$L$1004,$T222)="","",INDEX('AFA Rates'!$L$5:$L$1004,$T222))))</f>
        <v/>
      </c>
      <c r="O222" s="78">
        <f>IF(OR($T222="",$U222=""),"",IF(INDEX(Firms!$C$5:$C$1004,$U222)="","",INDEX(Firms!$C$5:$C$1004,$U222)))</f>
        <v/>
      </c>
      <c r="P222" s="79">
        <f>IF(OR($T222="",$U222=""),"",IF(INDEX(Firms!$N$5:$N$1004,$U222)="","",INDEX(Firms!$N$5:$N$1004,$U222)))</f>
        <v/>
      </c>
      <c r="Q222" s="78">
        <f>IF($T222="","",IF($S222="S",IF(INDEX(Firms!$T$5:$T$1004,$T222)="","",INDEX(Firms!$T$5:$T$1004,$T222)),IF(INDEX('AFA Rates'!$M$5:$M$1004,$T222)="","",INDEX('AFA Rates'!$M$5:$M$1004,$T222))))</f>
        <v/>
      </c>
      <c r="S222">
        <f>IF(218&lt;=$S$2,"S",IF(218&lt;=$S$2+$T$2,"A",""))</f>
        <v/>
      </c>
      <c r="T222">
        <f>IF(S222="S",MATCH(218,Firms!$W$5:$W$1004,0),IF(S222="A",IFERROR(MATCH(218-$S$2,'AFA Rates'!$R$5:$R$1004,0),""),""))</f>
        <v/>
      </c>
      <c r="U222">
        <f>IF(S222="S",T222,IF(AND(S222="A",T222&lt;&gt;""),IFERROR(MATCH(INDEX('AFA Rates'!$A$5:$A$1004,T222),Firms!$A$5:$A$1004,0),""),""))</f>
        <v/>
      </c>
    </row>
    <row r="223">
      <c r="A223" s="78">
        <f>IF($T223="","",IF($S223="S",IF(INDEX(Firms!$A$5:$A$1004,$T223)="","",INDEX(Firms!$A$5:$A$1004,$T223)),IF(INDEX('AFA Rates'!$A$5:$A$1004,$T223)="","",INDEX('AFA Rates'!$A$5:$A$1004,$T223))))</f>
        <v/>
      </c>
      <c r="B223" s="79">
        <f>IF(OR($T223="",$U223=""),IF($T223="","","Not on Firms tab"),INDEX(Firms!$B$5:$B$1004,$U223)&amp;"")</f>
        <v/>
      </c>
      <c r="C223" s="78">
        <f>IF($T223="","",IF($S223="S","Standard",INDEX('AFA Rates'!$B$5:$B$1004,$T223)&amp;""))</f>
        <v/>
      </c>
      <c r="D223" s="88">
        <f>IF($T223="","",IF($S223="S",IF(INDEX(Firms!$E$5:$E$1004,$T223)="","",INDEX(Firms!$E$5:$E$1004,$T223)),IF(INDEX('AFA Rates'!$C$5:$C$1004,$T223)="","",INDEX('AFA Rates'!$C$5:$C$1004,$T223))))</f>
        <v/>
      </c>
      <c r="E223" s="88">
        <f>IF($T223="","",IF($S223="S",IF(""="","",""),IF(INDEX('AFA Rates'!$D$5:$D$1004,$T223)="","",INDEX('AFA Rates'!$D$5:$D$1004,$T223))))</f>
        <v/>
      </c>
      <c r="F223" s="79">
        <f>IF($T223="","",IF($S223="S",IF(INDEX(Firms!$O$5:$O$1004,$T223)="","",INDEX(Firms!$O$5:$O$1004,$T223)),IF(INDEX('AFA Rates'!$O$5:$O$1004,$T223)="","",INDEX('AFA Rates'!$O$5:$O$1004,$T223))))</f>
        <v/>
      </c>
      <c r="G223" s="50">
        <f>IF($T223="","",IF($S223="S",IF(INDEX(Firms!$F$5:$F$1004,$T223)="","",INDEX(Firms!$F$5:$F$1004,$T223)),IF(INDEX('AFA Rates'!$E$5:$E$1004,$T223)="","",INDEX('AFA Rates'!$E$5:$E$1004,$T223))))</f>
        <v/>
      </c>
      <c r="H223" s="50">
        <f>IF($T223="","",IF($S223="S",IF(INDEX(Firms!$G$5:$G$1004,$T223)="","",INDEX(Firms!$G$5:$G$1004,$T223)),IF(INDEX('AFA Rates'!$F$5:$F$1004,$T223)="","",INDEX('AFA Rates'!$F$5:$F$1004,$T223))))</f>
        <v/>
      </c>
      <c r="I223" s="50">
        <f>IF($T223="","",IF($S223="S",IF(INDEX(Firms!$H$5:$H$1004,$T223)="","",INDEX(Firms!$H$5:$H$1004,$T223)),IF(INDEX('AFA Rates'!$G$5:$G$1004,$T223)="","",INDEX('AFA Rates'!$G$5:$G$1004,$T223))))</f>
        <v/>
      </c>
      <c r="J223" s="50">
        <f>IF($T223="","",IF($S223="S",IF(INDEX(Firms!$I$5:$I$1004,$T223)="","",INDEX(Firms!$I$5:$I$1004,$T223)),IF(INDEX('AFA Rates'!$H$5:$H$1004,$T223)="","",INDEX('AFA Rates'!$H$5:$H$1004,$T223))))</f>
        <v/>
      </c>
      <c r="K223" s="50">
        <f>IF($T223="","",IF($S223="S",IF(INDEX(Firms!$J$5:$J$1004,$T223)="","",INDEX(Firms!$J$5:$J$1004,$T223)),IF(INDEX('AFA Rates'!$I$5:$I$1004,$T223)="","",INDEX('AFA Rates'!$I$5:$I$1004,$T223))))</f>
        <v/>
      </c>
      <c r="L223" s="50">
        <f>IF($T223="","",IF($S223="S",IF(INDEX(Firms!$K$5:$K$1004,$T223)="","",INDEX(Firms!$K$5:$K$1004,$T223)),IF(INDEX('AFA Rates'!$J$5:$J$1004,$T223)="","",INDEX('AFA Rates'!$J$5:$J$1004,$T223))))</f>
        <v/>
      </c>
      <c r="M223" s="50">
        <f>IF($T223="","",IF($S223="S",IF(INDEX(Firms!$L$5:$L$1004,$T223)="","",INDEX(Firms!$L$5:$L$1004,$T223)),IF(INDEX('AFA Rates'!$K$5:$K$1004,$T223)="","",INDEX('AFA Rates'!$K$5:$K$1004,$T223))))</f>
        <v/>
      </c>
      <c r="N223" s="50">
        <f>IF($T223="","",IF($S223="S",IF(INDEX(Firms!$M$5:$M$1004,$T223)="","",INDEX(Firms!$M$5:$M$1004,$T223)),IF(INDEX('AFA Rates'!$L$5:$L$1004,$T223)="","",INDEX('AFA Rates'!$L$5:$L$1004,$T223))))</f>
        <v/>
      </c>
      <c r="O223" s="78">
        <f>IF(OR($T223="",$U223=""),"",IF(INDEX(Firms!$C$5:$C$1004,$U223)="","",INDEX(Firms!$C$5:$C$1004,$U223)))</f>
        <v/>
      </c>
      <c r="P223" s="79">
        <f>IF(OR($T223="",$U223=""),"",IF(INDEX(Firms!$N$5:$N$1004,$U223)="","",INDEX(Firms!$N$5:$N$1004,$U223)))</f>
        <v/>
      </c>
      <c r="Q223" s="78">
        <f>IF($T223="","",IF($S223="S",IF(INDEX(Firms!$T$5:$T$1004,$T223)="","",INDEX(Firms!$T$5:$T$1004,$T223)),IF(INDEX('AFA Rates'!$M$5:$M$1004,$T223)="","",INDEX('AFA Rates'!$M$5:$M$1004,$T223))))</f>
        <v/>
      </c>
      <c r="S223">
        <f>IF(219&lt;=$S$2,"S",IF(219&lt;=$S$2+$T$2,"A",""))</f>
        <v/>
      </c>
      <c r="T223">
        <f>IF(S223="S",MATCH(219,Firms!$W$5:$W$1004,0),IF(S223="A",IFERROR(MATCH(219-$S$2,'AFA Rates'!$R$5:$R$1004,0),""),""))</f>
        <v/>
      </c>
      <c r="U223">
        <f>IF(S223="S",T223,IF(AND(S223="A",T223&lt;&gt;""),IFERROR(MATCH(INDEX('AFA Rates'!$A$5:$A$1004,T223),Firms!$A$5:$A$1004,0),""),""))</f>
        <v/>
      </c>
    </row>
    <row r="224">
      <c r="A224" s="78">
        <f>IF($T224="","",IF($S224="S",IF(INDEX(Firms!$A$5:$A$1004,$T224)="","",INDEX(Firms!$A$5:$A$1004,$T224)),IF(INDEX('AFA Rates'!$A$5:$A$1004,$T224)="","",INDEX('AFA Rates'!$A$5:$A$1004,$T224))))</f>
        <v/>
      </c>
      <c r="B224" s="79">
        <f>IF(OR($T224="",$U224=""),IF($T224="","","Not on Firms tab"),INDEX(Firms!$B$5:$B$1004,$U224)&amp;"")</f>
        <v/>
      </c>
      <c r="C224" s="78">
        <f>IF($T224="","",IF($S224="S","Standard",INDEX('AFA Rates'!$B$5:$B$1004,$T224)&amp;""))</f>
        <v/>
      </c>
      <c r="D224" s="88">
        <f>IF($T224="","",IF($S224="S",IF(INDEX(Firms!$E$5:$E$1004,$T224)="","",INDEX(Firms!$E$5:$E$1004,$T224)),IF(INDEX('AFA Rates'!$C$5:$C$1004,$T224)="","",INDEX('AFA Rates'!$C$5:$C$1004,$T224))))</f>
        <v/>
      </c>
      <c r="E224" s="88">
        <f>IF($T224="","",IF($S224="S",IF(""="","",""),IF(INDEX('AFA Rates'!$D$5:$D$1004,$T224)="","",INDEX('AFA Rates'!$D$5:$D$1004,$T224))))</f>
        <v/>
      </c>
      <c r="F224" s="79">
        <f>IF($T224="","",IF($S224="S",IF(INDEX(Firms!$O$5:$O$1004,$T224)="","",INDEX(Firms!$O$5:$O$1004,$T224)),IF(INDEX('AFA Rates'!$O$5:$O$1004,$T224)="","",INDEX('AFA Rates'!$O$5:$O$1004,$T224))))</f>
        <v/>
      </c>
      <c r="G224" s="50">
        <f>IF($T224="","",IF($S224="S",IF(INDEX(Firms!$F$5:$F$1004,$T224)="","",INDEX(Firms!$F$5:$F$1004,$T224)),IF(INDEX('AFA Rates'!$E$5:$E$1004,$T224)="","",INDEX('AFA Rates'!$E$5:$E$1004,$T224))))</f>
        <v/>
      </c>
      <c r="H224" s="50">
        <f>IF($T224="","",IF($S224="S",IF(INDEX(Firms!$G$5:$G$1004,$T224)="","",INDEX(Firms!$G$5:$G$1004,$T224)),IF(INDEX('AFA Rates'!$F$5:$F$1004,$T224)="","",INDEX('AFA Rates'!$F$5:$F$1004,$T224))))</f>
        <v/>
      </c>
      <c r="I224" s="50">
        <f>IF($T224="","",IF($S224="S",IF(INDEX(Firms!$H$5:$H$1004,$T224)="","",INDEX(Firms!$H$5:$H$1004,$T224)),IF(INDEX('AFA Rates'!$G$5:$G$1004,$T224)="","",INDEX('AFA Rates'!$G$5:$G$1004,$T224))))</f>
        <v/>
      </c>
      <c r="J224" s="50">
        <f>IF($T224="","",IF($S224="S",IF(INDEX(Firms!$I$5:$I$1004,$T224)="","",INDEX(Firms!$I$5:$I$1004,$T224)),IF(INDEX('AFA Rates'!$H$5:$H$1004,$T224)="","",INDEX('AFA Rates'!$H$5:$H$1004,$T224))))</f>
        <v/>
      </c>
      <c r="K224" s="50">
        <f>IF($T224="","",IF($S224="S",IF(INDEX(Firms!$J$5:$J$1004,$T224)="","",INDEX(Firms!$J$5:$J$1004,$T224)),IF(INDEX('AFA Rates'!$I$5:$I$1004,$T224)="","",INDEX('AFA Rates'!$I$5:$I$1004,$T224))))</f>
        <v/>
      </c>
      <c r="L224" s="50">
        <f>IF($T224="","",IF($S224="S",IF(INDEX(Firms!$K$5:$K$1004,$T224)="","",INDEX(Firms!$K$5:$K$1004,$T224)),IF(INDEX('AFA Rates'!$J$5:$J$1004,$T224)="","",INDEX('AFA Rates'!$J$5:$J$1004,$T224))))</f>
        <v/>
      </c>
      <c r="M224" s="50">
        <f>IF($T224="","",IF($S224="S",IF(INDEX(Firms!$L$5:$L$1004,$T224)="","",INDEX(Firms!$L$5:$L$1004,$T224)),IF(INDEX('AFA Rates'!$K$5:$K$1004,$T224)="","",INDEX('AFA Rates'!$K$5:$K$1004,$T224))))</f>
        <v/>
      </c>
      <c r="N224" s="50">
        <f>IF($T224="","",IF($S224="S",IF(INDEX(Firms!$M$5:$M$1004,$T224)="","",INDEX(Firms!$M$5:$M$1004,$T224)),IF(INDEX('AFA Rates'!$L$5:$L$1004,$T224)="","",INDEX('AFA Rates'!$L$5:$L$1004,$T224))))</f>
        <v/>
      </c>
      <c r="O224" s="78">
        <f>IF(OR($T224="",$U224=""),"",IF(INDEX(Firms!$C$5:$C$1004,$U224)="","",INDEX(Firms!$C$5:$C$1004,$U224)))</f>
        <v/>
      </c>
      <c r="P224" s="79">
        <f>IF(OR($T224="",$U224=""),"",IF(INDEX(Firms!$N$5:$N$1004,$U224)="","",INDEX(Firms!$N$5:$N$1004,$U224)))</f>
        <v/>
      </c>
      <c r="Q224" s="78">
        <f>IF($T224="","",IF($S224="S",IF(INDEX(Firms!$T$5:$T$1004,$T224)="","",INDEX(Firms!$T$5:$T$1004,$T224)),IF(INDEX('AFA Rates'!$M$5:$M$1004,$T224)="","",INDEX('AFA Rates'!$M$5:$M$1004,$T224))))</f>
        <v/>
      </c>
      <c r="S224">
        <f>IF(220&lt;=$S$2,"S",IF(220&lt;=$S$2+$T$2,"A",""))</f>
        <v/>
      </c>
      <c r="T224">
        <f>IF(S224="S",MATCH(220,Firms!$W$5:$W$1004,0),IF(S224="A",IFERROR(MATCH(220-$S$2,'AFA Rates'!$R$5:$R$1004,0),""),""))</f>
        <v/>
      </c>
      <c r="U224">
        <f>IF(S224="S",T224,IF(AND(S224="A",T224&lt;&gt;""),IFERROR(MATCH(INDEX('AFA Rates'!$A$5:$A$1004,T224),Firms!$A$5:$A$1004,0),""),""))</f>
        <v/>
      </c>
    </row>
    <row r="225">
      <c r="A225" s="78">
        <f>IF($T225="","",IF($S225="S",IF(INDEX(Firms!$A$5:$A$1004,$T225)="","",INDEX(Firms!$A$5:$A$1004,$T225)),IF(INDEX('AFA Rates'!$A$5:$A$1004,$T225)="","",INDEX('AFA Rates'!$A$5:$A$1004,$T225))))</f>
        <v/>
      </c>
      <c r="B225" s="79">
        <f>IF(OR($T225="",$U225=""),IF($T225="","","Not on Firms tab"),INDEX(Firms!$B$5:$B$1004,$U225)&amp;"")</f>
        <v/>
      </c>
      <c r="C225" s="78">
        <f>IF($T225="","",IF($S225="S","Standard",INDEX('AFA Rates'!$B$5:$B$1004,$T225)&amp;""))</f>
        <v/>
      </c>
      <c r="D225" s="88">
        <f>IF($T225="","",IF($S225="S",IF(INDEX(Firms!$E$5:$E$1004,$T225)="","",INDEX(Firms!$E$5:$E$1004,$T225)),IF(INDEX('AFA Rates'!$C$5:$C$1004,$T225)="","",INDEX('AFA Rates'!$C$5:$C$1004,$T225))))</f>
        <v/>
      </c>
      <c r="E225" s="88">
        <f>IF($T225="","",IF($S225="S",IF(""="","",""),IF(INDEX('AFA Rates'!$D$5:$D$1004,$T225)="","",INDEX('AFA Rates'!$D$5:$D$1004,$T225))))</f>
        <v/>
      </c>
      <c r="F225" s="79">
        <f>IF($T225="","",IF($S225="S",IF(INDEX(Firms!$O$5:$O$1004,$T225)="","",INDEX(Firms!$O$5:$O$1004,$T225)),IF(INDEX('AFA Rates'!$O$5:$O$1004,$T225)="","",INDEX('AFA Rates'!$O$5:$O$1004,$T225))))</f>
        <v/>
      </c>
      <c r="G225" s="50">
        <f>IF($T225="","",IF($S225="S",IF(INDEX(Firms!$F$5:$F$1004,$T225)="","",INDEX(Firms!$F$5:$F$1004,$T225)),IF(INDEX('AFA Rates'!$E$5:$E$1004,$T225)="","",INDEX('AFA Rates'!$E$5:$E$1004,$T225))))</f>
        <v/>
      </c>
      <c r="H225" s="50">
        <f>IF($T225="","",IF($S225="S",IF(INDEX(Firms!$G$5:$G$1004,$T225)="","",INDEX(Firms!$G$5:$G$1004,$T225)),IF(INDEX('AFA Rates'!$F$5:$F$1004,$T225)="","",INDEX('AFA Rates'!$F$5:$F$1004,$T225))))</f>
        <v/>
      </c>
      <c r="I225" s="50">
        <f>IF($T225="","",IF($S225="S",IF(INDEX(Firms!$H$5:$H$1004,$T225)="","",INDEX(Firms!$H$5:$H$1004,$T225)),IF(INDEX('AFA Rates'!$G$5:$G$1004,$T225)="","",INDEX('AFA Rates'!$G$5:$G$1004,$T225))))</f>
        <v/>
      </c>
      <c r="J225" s="50">
        <f>IF($T225="","",IF($S225="S",IF(INDEX(Firms!$I$5:$I$1004,$T225)="","",INDEX(Firms!$I$5:$I$1004,$T225)),IF(INDEX('AFA Rates'!$H$5:$H$1004,$T225)="","",INDEX('AFA Rates'!$H$5:$H$1004,$T225))))</f>
        <v/>
      </c>
      <c r="K225" s="50">
        <f>IF($T225="","",IF($S225="S",IF(INDEX(Firms!$J$5:$J$1004,$T225)="","",INDEX(Firms!$J$5:$J$1004,$T225)),IF(INDEX('AFA Rates'!$I$5:$I$1004,$T225)="","",INDEX('AFA Rates'!$I$5:$I$1004,$T225))))</f>
        <v/>
      </c>
      <c r="L225" s="50">
        <f>IF($T225="","",IF($S225="S",IF(INDEX(Firms!$K$5:$K$1004,$T225)="","",INDEX(Firms!$K$5:$K$1004,$T225)),IF(INDEX('AFA Rates'!$J$5:$J$1004,$T225)="","",INDEX('AFA Rates'!$J$5:$J$1004,$T225))))</f>
        <v/>
      </c>
      <c r="M225" s="50">
        <f>IF($T225="","",IF($S225="S",IF(INDEX(Firms!$L$5:$L$1004,$T225)="","",INDEX(Firms!$L$5:$L$1004,$T225)),IF(INDEX('AFA Rates'!$K$5:$K$1004,$T225)="","",INDEX('AFA Rates'!$K$5:$K$1004,$T225))))</f>
        <v/>
      </c>
      <c r="N225" s="50">
        <f>IF($T225="","",IF($S225="S",IF(INDEX(Firms!$M$5:$M$1004,$T225)="","",INDEX(Firms!$M$5:$M$1004,$T225)),IF(INDEX('AFA Rates'!$L$5:$L$1004,$T225)="","",INDEX('AFA Rates'!$L$5:$L$1004,$T225))))</f>
        <v/>
      </c>
      <c r="O225" s="78">
        <f>IF(OR($T225="",$U225=""),"",IF(INDEX(Firms!$C$5:$C$1004,$U225)="","",INDEX(Firms!$C$5:$C$1004,$U225)))</f>
        <v/>
      </c>
      <c r="P225" s="79">
        <f>IF(OR($T225="",$U225=""),"",IF(INDEX(Firms!$N$5:$N$1004,$U225)="","",INDEX(Firms!$N$5:$N$1004,$U225)))</f>
        <v/>
      </c>
      <c r="Q225" s="78">
        <f>IF($T225="","",IF($S225="S",IF(INDEX(Firms!$T$5:$T$1004,$T225)="","",INDEX(Firms!$T$5:$T$1004,$T225)),IF(INDEX('AFA Rates'!$M$5:$M$1004,$T225)="","",INDEX('AFA Rates'!$M$5:$M$1004,$T225))))</f>
        <v/>
      </c>
      <c r="S225">
        <f>IF(221&lt;=$S$2,"S",IF(221&lt;=$S$2+$T$2,"A",""))</f>
        <v/>
      </c>
      <c r="T225">
        <f>IF(S225="S",MATCH(221,Firms!$W$5:$W$1004,0),IF(S225="A",IFERROR(MATCH(221-$S$2,'AFA Rates'!$R$5:$R$1004,0),""),""))</f>
        <v/>
      </c>
      <c r="U225">
        <f>IF(S225="S",T225,IF(AND(S225="A",T225&lt;&gt;""),IFERROR(MATCH(INDEX('AFA Rates'!$A$5:$A$1004,T225),Firms!$A$5:$A$1004,0),""),""))</f>
        <v/>
      </c>
    </row>
    <row r="226">
      <c r="A226" s="78">
        <f>IF($T226="","",IF($S226="S",IF(INDEX(Firms!$A$5:$A$1004,$T226)="","",INDEX(Firms!$A$5:$A$1004,$T226)),IF(INDEX('AFA Rates'!$A$5:$A$1004,$T226)="","",INDEX('AFA Rates'!$A$5:$A$1004,$T226))))</f>
        <v/>
      </c>
      <c r="B226" s="79">
        <f>IF(OR($T226="",$U226=""),IF($T226="","","Not on Firms tab"),INDEX(Firms!$B$5:$B$1004,$U226)&amp;"")</f>
        <v/>
      </c>
      <c r="C226" s="78">
        <f>IF($T226="","",IF($S226="S","Standard",INDEX('AFA Rates'!$B$5:$B$1004,$T226)&amp;""))</f>
        <v/>
      </c>
      <c r="D226" s="88">
        <f>IF($T226="","",IF($S226="S",IF(INDEX(Firms!$E$5:$E$1004,$T226)="","",INDEX(Firms!$E$5:$E$1004,$T226)),IF(INDEX('AFA Rates'!$C$5:$C$1004,$T226)="","",INDEX('AFA Rates'!$C$5:$C$1004,$T226))))</f>
        <v/>
      </c>
      <c r="E226" s="88">
        <f>IF($T226="","",IF($S226="S",IF(""="","",""),IF(INDEX('AFA Rates'!$D$5:$D$1004,$T226)="","",INDEX('AFA Rates'!$D$5:$D$1004,$T226))))</f>
        <v/>
      </c>
      <c r="F226" s="79">
        <f>IF($T226="","",IF($S226="S",IF(INDEX(Firms!$O$5:$O$1004,$T226)="","",INDEX(Firms!$O$5:$O$1004,$T226)),IF(INDEX('AFA Rates'!$O$5:$O$1004,$T226)="","",INDEX('AFA Rates'!$O$5:$O$1004,$T226))))</f>
        <v/>
      </c>
      <c r="G226" s="50">
        <f>IF($T226="","",IF($S226="S",IF(INDEX(Firms!$F$5:$F$1004,$T226)="","",INDEX(Firms!$F$5:$F$1004,$T226)),IF(INDEX('AFA Rates'!$E$5:$E$1004,$T226)="","",INDEX('AFA Rates'!$E$5:$E$1004,$T226))))</f>
        <v/>
      </c>
      <c r="H226" s="50">
        <f>IF($T226="","",IF($S226="S",IF(INDEX(Firms!$G$5:$G$1004,$T226)="","",INDEX(Firms!$G$5:$G$1004,$T226)),IF(INDEX('AFA Rates'!$F$5:$F$1004,$T226)="","",INDEX('AFA Rates'!$F$5:$F$1004,$T226))))</f>
        <v/>
      </c>
      <c r="I226" s="50">
        <f>IF($T226="","",IF($S226="S",IF(INDEX(Firms!$H$5:$H$1004,$T226)="","",INDEX(Firms!$H$5:$H$1004,$T226)),IF(INDEX('AFA Rates'!$G$5:$G$1004,$T226)="","",INDEX('AFA Rates'!$G$5:$G$1004,$T226))))</f>
        <v/>
      </c>
      <c r="J226" s="50">
        <f>IF($T226="","",IF($S226="S",IF(INDEX(Firms!$I$5:$I$1004,$T226)="","",INDEX(Firms!$I$5:$I$1004,$T226)),IF(INDEX('AFA Rates'!$H$5:$H$1004,$T226)="","",INDEX('AFA Rates'!$H$5:$H$1004,$T226))))</f>
        <v/>
      </c>
      <c r="K226" s="50">
        <f>IF($T226="","",IF($S226="S",IF(INDEX(Firms!$J$5:$J$1004,$T226)="","",INDEX(Firms!$J$5:$J$1004,$T226)),IF(INDEX('AFA Rates'!$I$5:$I$1004,$T226)="","",INDEX('AFA Rates'!$I$5:$I$1004,$T226))))</f>
        <v/>
      </c>
      <c r="L226" s="50">
        <f>IF($T226="","",IF($S226="S",IF(INDEX(Firms!$K$5:$K$1004,$T226)="","",INDEX(Firms!$K$5:$K$1004,$T226)),IF(INDEX('AFA Rates'!$J$5:$J$1004,$T226)="","",INDEX('AFA Rates'!$J$5:$J$1004,$T226))))</f>
        <v/>
      </c>
      <c r="M226" s="50">
        <f>IF($T226="","",IF($S226="S",IF(INDEX(Firms!$L$5:$L$1004,$T226)="","",INDEX(Firms!$L$5:$L$1004,$T226)),IF(INDEX('AFA Rates'!$K$5:$K$1004,$T226)="","",INDEX('AFA Rates'!$K$5:$K$1004,$T226))))</f>
        <v/>
      </c>
      <c r="N226" s="50">
        <f>IF($T226="","",IF($S226="S",IF(INDEX(Firms!$M$5:$M$1004,$T226)="","",INDEX(Firms!$M$5:$M$1004,$T226)),IF(INDEX('AFA Rates'!$L$5:$L$1004,$T226)="","",INDEX('AFA Rates'!$L$5:$L$1004,$T226))))</f>
        <v/>
      </c>
      <c r="O226" s="78">
        <f>IF(OR($T226="",$U226=""),"",IF(INDEX(Firms!$C$5:$C$1004,$U226)="","",INDEX(Firms!$C$5:$C$1004,$U226)))</f>
        <v/>
      </c>
      <c r="P226" s="79">
        <f>IF(OR($T226="",$U226=""),"",IF(INDEX(Firms!$N$5:$N$1004,$U226)="","",INDEX(Firms!$N$5:$N$1004,$U226)))</f>
        <v/>
      </c>
      <c r="Q226" s="78">
        <f>IF($T226="","",IF($S226="S",IF(INDEX(Firms!$T$5:$T$1004,$T226)="","",INDEX(Firms!$T$5:$T$1004,$T226)),IF(INDEX('AFA Rates'!$M$5:$M$1004,$T226)="","",INDEX('AFA Rates'!$M$5:$M$1004,$T226))))</f>
        <v/>
      </c>
      <c r="S226">
        <f>IF(222&lt;=$S$2,"S",IF(222&lt;=$S$2+$T$2,"A",""))</f>
        <v/>
      </c>
      <c r="T226">
        <f>IF(S226="S",MATCH(222,Firms!$W$5:$W$1004,0),IF(S226="A",IFERROR(MATCH(222-$S$2,'AFA Rates'!$R$5:$R$1004,0),""),""))</f>
        <v/>
      </c>
      <c r="U226">
        <f>IF(S226="S",T226,IF(AND(S226="A",T226&lt;&gt;""),IFERROR(MATCH(INDEX('AFA Rates'!$A$5:$A$1004,T226),Firms!$A$5:$A$1004,0),""),""))</f>
        <v/>
      </c>
    </row>
    <row r="227">
      <c r="A227" s="78">
        <f>IF($T227="","",IF($S227="S",IF(INDEX(Firms!$A$5:$A$1004,$T227)="","",INDEX(Firms!$A$5:$A$1004,$T227)),IF(INDEX('AFA Rates'!$A$5:$A$1004,$T227)="","",INDEX('AFA Rates'!$A$5:$A$1004,$T227))))</f>
        <v/>
      </c>
      <c r="B227" s="79">
        <f>IF(OR($T227="",$U227=""),IF($T227="","","Not on Firms tab"),INDEX(Firms!$B$5:$B$1004,$U227)&amp;"")</f>
        <v/>
      </c>
      <c r="C227" s="78">
        <f>IF($T227="","",IF($S227="S","Standard",INDEX('AFA Rates'!$B$5:$B$1004,$T227)&amp;""))</f>
        <v/>
      </c>
      <c r="D227" s="88">
        <f>IF($T227="","",IF($S227="S",IF(INDEX(Firms!$E$5:$E$1004,$T227)="","",INDEX(Firms!$E$5:$E$1004,$T227)),IF(INDEX('AFA Rates'!$C$5:$C$1004,$T227)="","",INDEX('AFA Rates'!$C$5:$C$1004,$T227))))</f>
        <v/>
      </c>
      <c r="E227" s="88">
        <f>IF($T227="","",IF($S227="S",IF(""="","",""),IF(INDEX('AFA Rates'!$D$5:$D$1004,$T227)="","",INDEX('AFA Rates'!$D$5:$D$1004,$T227))))</f>
        <v/>
      </c>
      <c r="F227" s="79">
        <f>IF($T227="","",IF($S227="S",IF(INDEX(Firms!$O$5:$O$1004,$T227)="","",INDEX(Firms!$O$5:$O$1004,$T227)),IF(INDEX('AFA Rates'!$O$5:$O$1004,$T227)="","",INDEX('AFA Rates'!$O$5:$O$1004,$T227))))</f>
        <v/>
      </c>
      <c r="G227" s="50">
        <f>IF($T227="","",IF($S227="S",IF(INDEX(Firms!$F$5:$F$1004,$T227)="","",INDEX(Firms!$F$5:$F$1004,$T227)),IF(INDEX('AFA Rates'!$E$5:$E$1004,$T227)="","",INDEX('AFA Rates'!$E$5:$E$1004,$T227))))</f>
        <v/>
      </c>
      <c r="H227" s="50">
        <f>IF($T227="","",IF($S227="S",IF(INDEX(Firms!$G$5:$G$1004,$T227)="","",INDEX(Firms!$G$5:$G$1004,$T227)),IF(INDEX('AFA Rates'!$F$5:$F$1004,$T227)="","",INDEX('AFA Rates'!$F$5:$F$1004,$T227))))</f>
        <v/>
      </c>
      <c r="I227" s="50">
        <f>IF($T227="","",IF($S227="S",IF(INDEX(Firms!$H$5:$H$1004,$T227)="","",INDEX(Firms!$H$5:$H$1004,$T227)),IF(INDEX('AFA Rates'!$G$5:$G$1004,$T227)="","",INDEX('AFA Rates'!$G$5:$G$1004,$T227))))</f>
        <v/>
      </c>
      <c r="J227" s="50">
        <f>IF($T227="","",IF($S227="S",IF(INDEX(Firms!$I$5:$I$1004,$T227)="","",INDEX(Firms!$I$5:$I$1004,$T227)),IF(INDEX('AFA Rates'!$H$5:$H$1004,$T227)="","",INDEX('AFA Rates'!$H$5:$H$1004,$T227))))</f>
        <v/>
      </c>
      <c r="K227" s="50">
        <f>IF($T227="","",IF($S227="S",IF(INDEX(Firms!$J$5:$J$1004,$T227)="","",INDEX(Firms!$J$5:$J$1004,$T227)),IF(INDEX('AFA Rates'!$I$5:$I$1004,$T227)="","",INDEX('AFA Rates'!$I$5:$I$1004,$T227))))</f>
        <v/>
      </c>
      <c r="L227" s="50">
        <f>IF($T227="","",IF($S227="S",IF(INDEX(Firms!$K$5:$K$1004,$T227)="","",INDEX(Firms!$K$5:$K$1004,$T227)),IF(INDEX('AFA Rates'!$J$5:$J$1004,$T227)="","",INDEX('AFA Rates'!$J$5:$J$1004,$T227))))</f>
        <v/>
      </c>
      <c r="M227" s="50">
        <f>IF($T227="","",IF($S227="S",IF(INDEX(Firms!$L$5:$L$1004,$T227)="","",INDEX(Firms!$L$5:$L$1004,$T227)),IF(INDEX('AFA Rates'!$K$5:$K$1004,$T227)="","",INDEX('AFA Rates'!$K$5:$K$1004,$T227))))</f>
        <v/>
      </c>
      <c r="N227" s="50">
        <f>IF($T227="","",IF($S227="S",IF(INDEX(Firms!$M$5:$M$1004,$T227)="","",INDEX(Firms!$M$5:$M$1004,$T227)),IF(INDEX('AFA Rates'!$L$5:$L$1004,$T227)="","",INDEX('AFA Rates'!$L$5:$L$1004,$T227))))</f>
        <v/>
      </c>
      <c r="O227" s="78">
        <f>IF(OR($T227="",$U227=""),"",IF(INDEX(Firms!$C$5:$C$1004,$U227)="","",INDEX(Firms!$C$5:$C$1004,$U227)))</f>
        <v/>
      </c>
      <c r="P227" s="79">
        <f>IF(OR($T227="",$U227=""),"",IF(INDEX(Firms!$N$5:$N$1004,$U227)="","",INDEX(Firms!$N$5:$N$1004,$U227)))</f>
        <v/>
      </c>
      <c r="Q227" s="78">
        <f>IF($T227="","",IF($S227="S",IF(INDEX(Firms!$T$5:$T$1004,$T227)="","",INDEX(Firms!$T$5:$T$1004,$T227)),IF(INDEX('AFA Rates'!$M$5:$M$1004,$T227)="","",INDEX('AFA Rates'!$M$5:$M$1004,$T227))))</f>
        <v/>
      </c>
      <c r="S227">
        <f>IF(223&lt;=$S$2,"S",IF(223&lt;=$S$2+$T$2,"A",""))</f>
        <v/>
      </c>
      <c r="T227">
        <f>IF(S227="S",MATCH(223,Firms!$W$5:$W$1004,0),IF(S227="A",IFERROR(MATCH(223-$S$2,'AFA Rates'!$R$5:$R$1004,0),""),""))</f>
        <v/>
      </c>
      <c r="U227">
        <f>IF(S227="S",T227,IF(AND(S227="A",T227&lt;&gt;""),IFERROR(MATCH(INDEX('AFA Rates'!$A$5:$A$1004,T227),Firms!$A$5:$A$1004,0),""),""))</f>
        <v/>
      </c>
    </row>
    <row r="228">
      <c r="A228" s="78">
        <f>IF($T228="","",IF($S228="S",IF(INDEX(Firms!$A$5:$A$1004,$T228)="","",INDEX(Firms!$A$5:$A$1004,$T228)),IF(INDEX('AFA Rates'!$A$5:$A$1004,$T228)="","",INDEX('AFA Rates'!$A$5:$A$1004,$T228))))</f>
        <v/>
      </c>
      <c r="B228" s="79">
        <f>IF(OR($T228="",$U228=""),IF($T228="","","Not on Firms tab"),INDEX(Firms!$B$5:$B$1004,$U228)&amp;"")</f>
        <v/>
      </c>
      <c r="C228" s="78">
        <f>IF($T228="","",IF($S228="S","Standard",INDEX('AFA Rates'!$B$5:$B$1004,$T228)&amp;""))</f>
        <v/>
      </c>
      <c r="D228" s="88">
        <f>IF($T228="","",IF($S228="S",IF(INDEX(Firms!$E$5:$E$1004,$T228)="","",INDEX(Firms!$E$5:$E$1004,$T228)),IF(INDEX('AFA Rates'!$C$5:$C$1004,$T228)="","",INDEX('AFA Rates'!$C$5:$C$1004,$T228))))</f>
        <v/>
      </c>
      <c r="E228" s="88">
        <f>IF($T228="","",IF($S228="S",IF(""="","",""),IF(INDEX('AFA Rates'!$D$5:$D$1004,$T228)="","",INDEX('AFA Rates'!$D$5:$D$1004,$T228))))</f>
        <v/>
      </c>
      <c r="F228" s="79">
        <f>IF($T228="","",IF($S228="S",IF(INDEX(Firms!$O$5:$O$1004,$T228)="","",INDEX(Firms!$O$5:$O$1004,$T228)),IF(INDEX('AFA Rates'!$O$5:$O$1004,$T228)="","",INDEX('AFA Rates'!$O$5:$O$1004,$T228))))</f>
        <v/>
      </c>
      <c r="G228" s="50">
        <f>IF($T228="","",IF($S228="S",IF(INDEX(Firms!$F$5:$F$1004,$T228)="","",INDEX(Firms!$F$5:$F$1004,$T228)),IF(INDEX('AFA Rates'!$E$5:$E$1004,$T228)="","",INDEX('AFA Rates'!$E$5:$E$1004,$T228))))</f>
        <v/>
      </c>
      <c r="H228" s="50">
        <f>IF($T228="","",IF($S228="S",IF(INDEX(Firms!$G$5:$G$1004,$T228)="","",INDEX(Firms!$G$5:$G$1004,$T228)),IF(INDEX('AFA Rates'!$F$5:$F$1004,$T228)="","",INDEX('AFA Rates'!$F$5:$F$1004,$T228))))</f>
        <v/>
      </c>
      <c r="I228" s="50">
        <f>IF($T228="","",IF($S228="S",IF(INDEX(Firms!$H$5:$H$1004,$T228)="","",INDEX(Firms!$H$5:$H$1004,$T228)),IF(INDEX('AFA Rates'!$G$5:$G$1004,$T228)="","",INDEX('AFA Rates'!$G$5:$G$1004,$T228))))</f>
        <v/>
      </c>
      <c r="J228" s="50">
        <f>IF($T228="","",IF($S228="S",IF(INDEX(Firms!$I$5:$I$1004,$T228)="","",INDEX(Firms!$I$5:$I$1004,$T228)),IF(INDEX('AFA Rates'!$H$5:$H$1004,$T228)="","",INDEX('AFA Rates'!$H$5:$H$1004,$T228))))</f>
        <v/>
      </c>
      <c r="K228" s="50">
        <f>IF($T228="","",IF($S228="S",IF(INDEX(Firms!$J$5:$J$1004,$T228)="","",INDEX(Firms!$J$5:$J$1004,$T228)),IF(INDEX('AFA Rates'!$I$5:$I$1004,$T228)="","",INDEX('AFA Rates'!$I$5:$I$1004,$T228))))</f>
        <v/>
      </c>
      <c r="L228" s="50">
        <f>IF($T228="","",IF($S228="S",IF(INDEX(Firms!$K$5:$K$1004,$T228)="","",INDEX(Firms!$K$5:$K$1004,$T228)),IF(INDEX('AFA Rates'!$J$5:$J$1004,$T228)="","",INDEX('AFA Rates'!$J$5:$J$1004,$T228))))</f>
        <v/>
      </c>
      <c r="M228" s="50">
        <f>IF($T228="","",IF($S228="S",IF(INDEX(Firms!$L$5:$L$1004,$T228)="","",INDEX(Firms!$L$5:$L$1004,$T228)),IF(INDEX('AFA Rates'!$K$5:$K$1004,$T228)="","",INDEX('AFA Rates'!$K$5:$K$1004,$T228))))</f>
        <v/>
      </c>
      <c r="N228" s="50">
        <f>IF($T228="","",IF($S228="S",IF(INDEX(Firms!$M$5:$M$1004,$T228)="","",INDEX(Firms!$M$5:$M$1004,$T228)),IF(INDEX('AFA Rates'!$L$5:$L$1004,$T228)="","",INDEX('AFA Rates'!$L$5:$L$1004,$T228))))</f>
        <v/>
      </c>
      <c r="O228" s="78">
        <f>IF(OR($T228="",$U228=""),"",IF(INDEX(Firms!$C$5:$C$1004,$U228)="","",INDEX(Firms!$C$5:$C$1004,$U228)))</f>
        <v/>
      </c>
      <c r="P228" s="79">
        <f>IF(OR($T228="",$U228=""),"",IF(INDEX(Firms!$N$5:$N$1004,$U228)="","",INDEX(Firms!$N$5:$N$1004,$U228)))</f>
        <v/>
      </c>
      <c r="Q228" s="78">
        <f>IF($T228="","",IF($S228="S",IF(INDEX(Firms!$T$5:$T$1004,$T228)="","",INDEX(Firms!$T$5:$T$1004,$T228)),IF(INDEX('AFA Rates'!$M$5:$M$1004,$T228)="","",INDEX('AFA Rates'!$M$5:$M$1004,$T228))))</f>
        <v/>
      </c>
      <c r="S228">
        <f>IF(224&lt;=$S$2,"S",IF(224&lt;=$S$2+$T$2,"A",""))</f>
        <v/>
      </c>
      <c r="T228">
        <f>IF(S228="S",MATCH(224,Firms!$W$5:$W$1004,0),IF(S228="A",IFERROR(MATCH(224-$S$2,'AFA Rates'!$R$5:$R$1004,0),""),""))</f>
        <v/>
      </c>
      <c r="U228">
        <f>IF(S228="S",T228,IF(AND(S228="A",T228&lt;&gt;""),IFERROR(MATCH(INDEX('AFA Rates'!$A$5:$A$1004,T228),Firms!$A$5:$A$1004,0),""),""))</f>
        <v/>
      </c>
    </row>
    <row r="229">
      <c r="A229" s="78">
        <f>IF($T229="","",IF($S229="S",IF(INDEX(Firms!$A$5:$A$1004,$T229)="","",INDEX(Firms!$A$5:$A$1004,$T229)),IF(INDEX('AFA Rates'!$A$5:$A$1004,$T229)="","",INDEX('AFA Rates'!$A$5:$A$1004,$T229))))</f>
        <v/>
      </c>
      <c r="B229" s="79">
        <f>IF(OR($T229="",$U229=""),IF($T229="","","Not on Firms tab"),INDEX(Firms!$B$5:$B$1004,$U229)&amp;"")</f>
        <v/>
      </c>
      <c r="C229" s="78">
        <f>IF($T229="","",IF($S229="S","Standard",INDEX('AFA Rates'!$B$5:$B$1004,$T229)&amp;""))</f>
        <v/>
      </c>
      <c r="D229" s="88">
        <f>IF($T229="","",IF($S229="S",IF(INDEX(Firms!$E$5:$E$1004,$T229)="","",INDEX(Firms!$E$5:$E$1004,$T229)),IF(INDEX('AFA Rates'!$C$5:$C$1004,$T229)="","",INDEX('AFA Rates'!$C$5:$C$1004,$T229))))</f>
        <v/>
      </c>
      <c r="E229" s="88">
        <f>IF($T229="","",IF($S229="S",IF(""="","",""),IF(INDEX('AFA Rates'!$D$5:$D$1004,$T229)="","",INDEX('AFA Rates'!$D$5:$D$1004,$T229))))</f>
        <v/>
      </c>
      <c r="F229" s="79">
        <f>IF($T229="","",IF($S229="S",IF(INDEX(Firms!$O$5:$O$1004,$T229)="","",INDEX(Firms!$O$5:$O$1004,$T229)),IF(INDEX('AFA Rates'!$O$5:$O$1004,$T229)="","",INDEX('AFA Rates'!$O$5:$O$1004,$T229))))</f>
        <v/>
      </c>
      <c r="G229" s="50">
        <f>IF($T229="","",IF($S229="S",IF(INDEX(Firms!$F$5:$F$1004,$T229)="","",INDEX(Firms!$F$5:$F$1004,$T229)),IF(INDEX('AFA Rates'!$E$5:$E$1004,$T229)="","",INDEX('AFA Rates'!$E$5:$E$1004,$T229))))</f>
        <v/>
      </c>
      <c r="H229" s="50">
        <f>IF($T229="","",IF($S229="S",IF(INDEX(Firms!$G$5:$G$1004,$T229)="","",INDEX(Firms!$G$5:$G$1004,$T229)),IF(INDEX('AFA Rates'!$F$5:$F$1004,$T229)="","",INDEX('AFA Rates'!$F$5:$F$1004,$T229))))</f>
        <v/>
      </c>
      <c r="I229" s="50">
        <f>IF($T229="","",IF($S229="S",IF(INDEX(Firms!$H$5:$H$1004,$T229)="","",INDEX(Firms!$H$5:$H$1004,$T229)),IF(INDEX('AFA Rates'!$G$5:$G$1004,$T229)="","",INDEX('AFA Rates'!$G$5:$G$1004,$T229))))</f>
        <v/>
      </c>
      <c r="J229" s="50">
        <f>IF($T229="","",IF($S229="S",IF(INDEX(Firms!$I$5:$I$1004,$T229)="","",INDEX(Firms!$I$5:$I$1004,$T229)),IF(INDEX('AFA Rates'!$H$5:$H$1004,$T229)="","",INDEX('AFA Rates'!$H$5:$H$1004,$T229))))</f>
        <v/>
      </c>
      <c r="K229" s="50">
        <f>IF($T229="","",IF($S229="S",IF(INDEX(Firms!$J$5:$J$1004,$T229)="","",INDEX(Firms!$J$5:$J$1004,$T229)),IF(INDEX('AFA Rates'!$I$5:$I$1004,$T229)="","",INDEX('AFA Rates'!$I$5:$I$1004,$T229))))</f>
        <v/>
      </c>
      <c r="L229" s="50">
        <f>IF($T229="","",IF($S229="S",IF(INDEX(Firms!$K$5:$K$1004,$T229)="","",INDEX(Firms!$K$5:$K$1004,$T229)),IF(INDEX('AFA Rates'!$J$5:$J$1004,$T229)="","",INDEX('AFA Rates'!$J$5:$J$1004,$T229))))</f>
        <v/>
      </c>
      <c r="M229" s="50">
        <f>IF($T229="","",IF($S229="S",IF(INDEX(Firms!$L$5:$L$1004,$T229)="","",INDEX(Firms!$L$5:$L$1004,$T229)),IF(INDEX('AFA Rates'!$K$5:$K$1004,$T229)="","",INDEX('AFA Rates'!$K$5:$K$1004,$T229))))</f>
        <v/>
      </c>
      <c r="N229" s="50">
        <f>IF($T229="","",IF($S229="S",IF(INDEX(Firms!$M$5:$M$1004,$T229)="","",INDEX(Firms!$M$5:$M$1004,$T229)),IF(INDEX('AFA Rates'!$L$5:$L$1004,$T229)="","",INDEX('AFA Rates'!$L$5:$L$1004,$T229))))</f>
        <v/>
      </c>
      <c r="O229" s="78">
        <f>IF(OR($T229="",$U229=""),"",IF(INDEX(Firms!$C$5:$C$1004,$U229)="","",INDEX(Firms!$C$5:$C$1004,$U229)))</f>
        <v/>
      </c>
      <c r="P229" s="79">
        <f>IF(OR($T229="",$U229=""),"",IF(INDEX(Firms!$N$5:$N$1004,$U229)="","",INDEX(Firms!$N$5:$N$1004,$U229)))</f>
        <v/>
      </c>
      <c r="Q229" s="78">
        <f>IF($T229="","",IF($S229="S",IF(INDEX(Firms!$T$5:$T$1004,$T229)="","",INDEX(Firms!$T$5:$T$1004,$T229)),IF(INDEX('AFA Rates'!$M$5:$M$1004,$T229)="","",INDEX('AFA Rates'!$M$5:$M$1004,$T229))))</f>
        <v/>
      </c>
      <c r="S229">
        <f>IF(225&lt;=$S$2,"S",IF(225&lt;=$S$2+$T$2,"A",""))</f>
        <v/>
      </c>
      <c r="T229">
        <f>IF(S229="S",MATCH(225,Firms!$W$5:$W$1004,0),IF(S229="A",IFERROR(MATCH(225-$S$2,'AFA Rates'!$R$5:$R$1004,0),""),""))</f>
        <v/>
      </c>
      <c r="U229">
        <f>IF(S229="S",T229,IF(AND(S229="A",T229&lt;&gt;""),IFERROR(MATCH(INDEX('AFA Rates'!$A$5:$A$1004,T229),Firms!$A$5:$A$1004,0),""),""))</f>
        <v/>
      </c>
    </row>
    <row r="230">
      <c r="A230" s="78">
        <f>IF($T230="","",IF($S230="S",IF(INDEX(Firms!$A$5:$A$1004,$T230)="","",INDEX(Firms!$A$5:$A$1004,$T230)),IF(INDEX('AFA Rates'!$A$5:$A$1004,$T230)="","",INDEX('AFA Rates'!$A$5:$A$1004,$T230))))</f>
        <v/>
      </c>
      <c r="B230" s="79">
        <f>IF(OR($T230="",$U230=""),IF($T230="","","Not on Firms tab"),INDEX(Firms!$B$5:$B$1004,$U230)&amp;"")</f>
        <v/>
      </c>
      <c r="C230" s="78">
        <f>IF($T230="","",IF($S230="S","Standard",INDEX('AFA Rates'!$B$5:$B$1004,$T230)&amp;""))</f>
        <v/>
      </c>
      <c r="D230" s="88">
        <f>IF($T230="","",IF($S230="S",IF(INDEX(Firms!$E$5:$E$1004,$T230)="","",INDEX(Firms!$E$5:$E$1004,$T230)),IF(INDEX('AFA Rates'!$C$5:$C$1004,$T230)="","",INDEX('AFA Rates'!$C$5:$C$1004,$T230))))</f>
        <v/>
      </c>
      <c r="E230" s="88">
        <f>IF($T230="","",IF($S230="S",IF(""="","",""),IF(INDEX('AFA Rates'!$D$5:$D$1004,$T230)="","",INDEX('AFA Rates'!$D$5:$D$1004,$T230))))</f>
        <v/>
      </c>
      <c r="F230" s="79">
        <f>IF($T230="","",IF($S230="S",IF(INDEX(Firms!$O$5:$O$1004,$T230)="","",INDEX(Firms!$O$5:$O$1004,$T230)),IF(INDEX('AFA Rates'!$O$5:$O$1004,$T230)="","",INDEX('AFA Rates'!$O$5:$O$1004,$T230))))</f>
        <v/>
      </c>
      <c r="G230" s="50">
        <f>IF($T230="","",IF($S230="S",IF(INDEX(Firms!$F$5:$F$1004,$T230)="","",INDEX(Firms!$F$5:$F$1004,$T230)),IF(INDEX('AFA Rates'!$E$5:$E$1004,$T230)="","",INDEX('AFA Rates'!$E$5:$E$1004,$T230))))</f>
        <v/>
      </c>
      <c r="H230" s="50">
        <f>IF($T230="","",IF($S230="S",IF(INDEX(Firms!$G$5:$G$1004,$T230)="","",INDEX(Firms!$G$5:$G$1004,$T230)),IF(INDEX('AFA Rates'!$F$5:$F$1004,$T230)="","",INDEX('AFA Rates'!$F$5:$F$1004,$T230))))</f>
        <v/>
      </c>
      <c r="I230" s="50">
        <f>IF($T230="","",IF($S230="S",IF(INDEX(Firms!$H$5:$H$1004,$T230)="","",INDEX(Firms!$H$5:$H$1004,$T230)),IF(INDEX('AFA Rates'!$G$5:$G$1004,$T230)="","",INDEX('AFA Rates'!$G$5:$G$1004,$T230))))</f>
        <v/>
      </c>
      <c r="J230" s="50">
        <f>IF($T230="","",IF($S230="S",IF(INDEX(Firms!$I$5:$I$1004,$T230)="","",INDEX(Firms!$I$5:$I$1004,$T230)),IF(INDEX('AFA Rates'!$H$5:$H$1004,$T230)="","",INDEX('AFA Rates'!$H$5:$H$1004,$T230))))</f>
        <v/>
      </c>
      <c r="K230" s="50">
        <f>IF($T230="","",IF($S230="S",IF(INDEX(Firms!$J$5:$J$1004,$T230)="","",INDEX(Firms!$J$5:$J$1004,$T230)),IF(INDEX('AFA Rates'!$I$5:$I$1004,$T230)="","",INDEX('AFA Rates'!$I$5:$I$1004,$T230))))</f>
        <v/>
      </c>
      <c r="L230" s="50">
        <f>IF($T230="","",IF($S230="S",IF(INDEX(Firms!$K$5:$K$1004,$T230)="","",INDEX(Firms!$K$5:$K$1004,$T230)),IF(INDEX('AFA Rates'!$J$5:$J$1004,$T230)="","",INDEX('AFA Rates'!$J$5:$J$1004,$T230))))</f>
        <v/>
      </c>
      <c r="M230" s="50">
        <f>IF($T230="","",IF($S230="S",IF(INDEX(Firms!$L$5:$L$1004,$T230)="","",INDEX(Firms!$L$5:$L$1004,$T230)),IF(INDEX('AFA Rates'!$K$5:$K$1004,$T230)="","",INDEX('AFA Rates'!$K$5:$K$1004,$T230))))</f>
        <v/>
      </c>
      <c r="N230" s="50">
        <f>IF($T230="","",IF($S230="S",IF(INDEX(Firms!$M$5:$M$1004,$T230)="","",INDEX(Firms!$M$5:$M$1004,$T230)),IF(INDEX('AFA Rates'!$L$5:$L$1004,$T230)="","",INDEX('AFA Rates'!$L$5:$L$1004,$T230))))</f>
        <v/>
      </c>
      <c r="O230" s="78">
        <f>IF(OR($T230="",$U230=""),"",IF(INDEX(Firms!$C$5:$C$1004,$U230)="","",INDEX(Firms!$C$5:$C$1004,$U230)))</f>
        <v/>
      </c>
      <c r="P230" s="79">
        <f>IF(OR($T230="",$U230=""),"",IF(INDEX(Firms!$N$5:$N$1004,$U230)="","",INDEX(Firms!$N$5:$N$1004,$U230)))</f>
        <v/>
      </c>
      <c r="Q230" s="78">
        <f>IF($T230="","",IF($S230="S",IF(INDEX(Firms!$T$5:$T$1004,$T230)="","",INDEX(Firms!$T$5:$T$1004,$T230)),IF(INDEX('AFA Rates'!$M$5:$M$1004,$T230)="","",INDEX('AFA Rates'!$M$5:$M$1004,$T230))))</f>
        <v/>
      </c>
      <c r="S230">
        <f>IF(226&lt;=$S$2,"S",IF(226&lt;=$S$2+$T$2,"A",""))</f>
        <v/>
      </c>
      <c r="T230">
        <f>IF(S230="S",MATCH(226,Firms!$W$5:$W$1004,0),IF(S230="A",IFERROR(MATCH(226-$S$2,'AFA Rates'!$R$5:$R$1004,0),""),""))</f>
        <v/>
      </c>
      <c r="U230">
        <f>IF(S230="S",T230,IF(AND(S230="A",T230&lt;&gt;""),IFERROR(MATCH(INDEX('AFA Rates'!$A$5:$A$1004,T230),Firms!$A$5:$A$1004,0),""),""))</f>
        <v/>
      </c>
    </row>
    <row r="231">
      <c r="A231" s="78">
        <f>IF($T231="","",IF($S231="S",IF(INDEX(Firms!$A$5:$A$1004,$T231)="","",INDEX(Firms!$A$5:$A$1004,$T231)),IF(INDEX('AFA Rates'!$A$5:$A$1004,$T231)="","",INDEX('AFA Rates'!$A$5:$A$1004,$T231))))</f>
        <v/>
      </c>
      <c r="B231" s="79">
        <f>IF(OR($T231="",$U231=""),IF($T231="","","Not on Firms tab"),INDEX(Firms!$B$5:$B$1004,$U231)&amp;"")</f>
        <v/>
      </c>
      <c r="C231" s="78">
        <f>IF($T231="","",IF($S231="S","Standard",INDEX('AFA Rates'!$B$5:$B$1004,$T231)&amp;""))</f>
        <v/>
      </c>
      <c r="D231" s="88">
        <f>IF($T231="","",IF($S231="S",IF(INDEX(Firms!$E$5:$E$1004,$T231)="","",INDEX(Firms!$E$5:$E$1004,$T231)),IF(INDEX('AFA Rates'!$C$5:$C$1004,$T231)="","",INDEX('AFA Rates'!$C$5:$C$1004,$T231))))</f>
        <v/>
      </c>
      <c r="E231" s="88">
        <f>IF($T231="","",IF($S231="S",IF(""="","",""),IF(INDEX('AFA Rates'!$D$5:$D$1004,$T231)="","",INDEX('AFA Rates'!$D$5:$D$1004,$T231))))</f>
        <v/>
      </c>
      <c r="F231" s="79">
        <f>IF($T231="","",IF($S231="S",IF(INDEX(Firms!$O$5:$O$1004,$T231)="","",INDEX(Firms!$O$5:$O$1004,$T231)),IF(INDEX('AFA Rates'!$O$5:$O$1004,$T231)="","",INDEX('AFA Rates'!$O$5:$O$1004,$T231))))</f>
        <v/>
      </c>
      <c r="G231" s="50">
        <f>IF($T231="","",IF($S231="S",IF(INDEX(Firms!$F$5:$F$1004,$T231)="","",INDEX(Firms!$F$5:$F$1004,$T231)),IF(INDEX('AFA Rates'!$E$5:$E$1004,$T231)="","",INDEX('AFA Rates'!$E$5:$E$1004,$T231))))</f>
        <v/>
      </c>
      <c r="H231" s="50">
        <f>IF($T231="","",IF($S231="S",IF(INDEX(Firms!$G$5:$G$1004,$T231)="","",INDEX(Firms!$G$5:$G$1004,$T231)),IF(INDEX('AFA Rates'!$F$5:$F$1004,$T231)="","",INDEX('AFA Rates'!$F$5:$F$1004,$T231))))</f>
        <v/>
      </c>
      <c r="I231" s="50">
        <f>IF($T231="","",IF($S231="S",IF(INDEX(Firms!$H$5:$H$1004,$T231)="","",INDEX(Firms!$H$5:$H$1004,$T231)),IF(INDEX('AFA Rates'!$G$5:$G$1004,$T231)="","",INDEX('AFA Rates'!$G$5:$G$1004,$T231))))</f>
        <v/>
      </c>
      <c r="J231" s="50">
        <f>IF($T231="","",IF($S231="S",IF(INDEX(Firms!$I$5:$I$1004,$T231)="","",INDEX(Firms!$I$5:$I$1004,$T231)),IF(INDEX('AFA Rates'!$H$5:$H$1004,$T231)="","",INDEX('AFA Rates'!$H$5:$H$1004,$T231))))</f>
        <v/>
      </c>
      <c r="K231" s="50">
        <f>IF($T231="","",IF($S231="S",IF(INDEX(Firms!$J$5:$J$1004,$T231)="","",INDEX(Firms!$J$5:$J$1004,$T231)),IF(INDEX('AFA Rates'!$I$5:$I$1004,$T231)="","",INDEX('AFA Rates'!$I$5:$I$1004,$T231))))</f>
        <v/>
      </c>
      <c r="L231" s="50">
        <f>IF($T231="","",IF($S231="S",IF(INDEX(Firms!$K$5:$K$1004,$T231)="","",INDEX(Firms!$K$5:$K$1004,$T231)),IF(INDEX('AFA Rates'!$J$5:$J$1004,$T231)="","",INDEX('AFA Rates'!$J$5:$J$1004,$T231))))</f>
        <v/>
      </c>
      <c r="M231" s="50">
        <f>IF($T231="","",IF($S231="S",IF(INDEX(Firms!$L$5:$L$1004,$T231)="","",INDEX(Firms!$L$5:$L$1004,$T231)),IF(INDEX('AFA Rates'!$K$5:$K$1004,$T231)="","",INDEX('AFA Rates'!$K$5:$K$1004,$T231))))</f>
        <v/>
      </c>
      <c r="N231" s="50">
        <f>IF($T231="","",IF($S231="S",IF(INDEX(Firms!$M$5:$M$1004,$T231)="","",INDEX(Firms!$M$5:$M$1004,$T231)),IF(INDEX('AFA Rates'!$L$5:$L$1004,$T231)="","",INDEX('AFA Rates'!$L$5:$L$1004,$T231))))</f>
        <v/>
      </c>
      <c r="O231" s="78">
        <f>IF(OR($T231="",$U231=""),"",IF(INDEX(Firms!$C$5:$C$1004,$U231)="","",INDEX(Firms!$C$5:$C$1004,$U231)))</f>
        <v/>
      </c>
      <c r="P231" s="79">
        <f>IF(OR($T231="",$U231=""),"",IF(INDEX(Firms!$N$5:$N$1004,$U231)="","",INDEX(Firms!$N$5:$N$1004,$U231)))</f>
        <v/>
      </c>
      <c r="Q231" s="78">
        <f>IF($T231="","",IF($S231="S",IF(INDEX(Firms!$T$5:$T$1004,$T231)="","",INDEX(Firms!$T$5:$T$1004,$T231)),IF(INDEX('AFA Rates'!$M$5:$M$1004,$T231)="","",INDEX('AFA Rates'!$M$5:$M$1004,$T231))))</f>
        <v/>
      </c>
      <c r="S231">
        <f>IF(227&lt;=$S$2,"S",IF(227&lt;=$S$2+$T$2,"A",""))</f>
        <v/>
      </c>
      <c r="T231">
        <f>IF(S231="S",MATCH(227,Firms!$W$5:$W$1004,0),IF(S231="A",IFERROR(MATCH(227-$S$2,'AFA Rates'!$R$5:$R$1004,0),""),""))</f>
        <v/>
      </c>
      <c r="U231">
        <f>IF(S231="S",T231,IF(AND(S231="A",T231&lt;&gt;""),IFERROR(MATCH(INDEX('AFA Rates'!$A$5:$A$1004,T231),Firms!$A$5:$A$1004,0),""),""))</f>
        <v/>
      </c>
    </row>
    <row r="232">
      <c r="A232" s="78">
        <f>IF($T232="","",IF($S232="S",IF(INDEX(Firms!$A$5:$A$1004,$T232)="","",INDEX(Firms!$A$5:$A$1004,$T232)),IF(INDEX('AFA Rates'!$A$5:$A$1004,$T232)="","",INDEX('AFA Rates'!$A$5:$A$1004,$T232))))</f>
        <v/>
      </c>
      <c r="B232" s="79">
        <f>IF(OR($T232="",$U232=""),IF($T232="","","Not on Firms tab"),INDEX(Firms!$B$5:$B$1004,$U232)&amp;"")</f>
        <v/>
      </c>
      <c r="C232" s="78">
        <f>IF($T232="","",IF($S232="S","Standard",INDEX('AFA Rates'!$B$5:$B$1004,$T232)&amp;""))</f>
        <v/>
      </c>
      <c r="D232" s="88">
        <f>IF($T232="","",IF($S232="S",IF(INDEX(Firms!$E$5:$E$1004,$T232)="","",INDEX(Firms!$E$5:$E$1004,$T232)),IF(INDEX('AFA Rates'!$C$5:$C$1004,$T232)="","",INDEX('AFA Rates'!$C$5:$C$1004,$T232))))</f>
        <v/>
      </c>
      <c r="E232" s="88">
        <f>IF($T232="","",IF($S232="S",IF(""="","",""),IF(INDEX('AFA Rates'!$D$5:$D$1004,$T232)="","",INDEX('AFA Rates'!$D$5:$D$1004,$T232))))</f>
        <v/>
      </c>
      <c r="F232" s="79">
        <f>IF($T232="","",IF($S232="S",IF(INDEX(Firms!$O$5:$O$1004,$T232)="","",INDEX(Firms!$O$5:$O$1004,$T232)),IF(INDEX('AFA Rates'!$O$5:$O$1004,$T232)="","",INDEX('AFA Rates'!$O$5:$O$1004,$T232))))</f>
        <v/>
      </c>
      <c r="G232" s="50">
        <f>IF($T232="","",IF($S232="S",IF(INDEX(Firms!$F$5:$F$1004,$T232)="","",INDEX(Firms!$F$5:$F$1004,$T232)),IF(INDEX('AFA Rates'!$E$5:$E$1004,$T232)="","",INDEX('AFA Rates'!$E$5:$E$1004,$T232))))</f>
        <v/>
      </c>
      <c r="H232" s="50">
        <f>IF($T232="","",IF($S232="S",IF(INDEX(Firms!$G$5:$G$1004,$T232)="","",INDEX(Firms!$G$5:$G$1004,$T232)),IF(INDEX('AFA Rates'!$F$5:$F$1004,$T232)="","",INDEX('AFA Rates'!$F$5:$F$1004,$T232))))</f>
        <v/>
      </c>
      <c r="I232" s="50">
        <f>IF($T232="","",IF($S232="S",IF(INDEX(Firms!$H$5:$H$1004,$T232)="","",INDEX(Firms!$H$5:$H$1004,$T232)),IF(INDEX('AFA Rates'!$G$5:$G$1004,$T232)="","",INDEX('AFA Rates'!$G$5:$G$1004,$T232))))</f>
        <v/>
      </c>
      <c r="J232" s="50">
        <f>IF($T232="","",IF($S232="S",IF(INDEX(Firms!$I$5:$I$1004,$T232)="","",INDEX(Firms!$I$5:$I$1004,$T232)),IF(INDEX('AFA Rates'!$H$5:$H$1004,$T232)="","",INDEX('AFA Rates'!$H$5:$H$1004,$T232))))</f>
        <v/>
      </c>
      <c r="K232" s="50">
        <f>IF($T232="","",IF($S232="S",IF(INDEX(Firms!$J$5:$J$1004,$T232)="","",INDEX(Firms!$J$5:$J$1004,$T232)),IF(INDEX('AFA Rates'!$I$5:$I$1004,$T232)="","",INDEX('AFA Rates'!$I$5:$I$1004,$T232))))</f>
        <v/>
      </c>
      <c r="L232" s="50">
        <f>IF($T232="","",IF($S232="S",IF(INDEX(Firms!$K$5:$K$1004,$T232)="","",INDEX(Firms!$K$5:$K$1004,$T232)),IF(INDEX('AFA Rates'!$J$5:$J$1004,$T232)="","",INDEX('AFA Rates'!$J$5:$J$1004,$T232))))</f>
        <v/>
      </c>
      <c r="M232" s="50">
        <f>IF($T232="","",IF($S232="S",IF(INDEX(Firms!$L$5:$L$1004,$T232)="","",INDEX(Firms!$L$5:$L$1004,$T232)),IF(INDEX('AFA Rates'!$K$5:$K$1004,$T232)="","",INDEX('AFA Rates'!$K$5:$K$1004,$T232))))</f>
        <v/>
      </c>
      <c r="N232" s="50">
        <f>IF($T232="","",IF($S232="S",IF(INDEX(Firms!$M$5:$M$1004,$T232)="","",INDEX(Firms!$M$5:$M$1004,$T232)),IF(INDEX('AFA Rates'!$L$5:$L$1004,$T232)="","",INDEX('AFA Rates'!$L$5:$L$1004,$T232))))</f>
        <v/>
      </c>
      <c r="O232" s="78">
        <f>IF(OR($T232="",$U232=""),"",IF(INDEX(Firms!$C$5:$C$1004,$U232)="","",INDEX(Firms!$C$5:$C$1004,$U232)))</f>
        <v/>
      </c>
      <c r="P232" s="79">
        <f>IF(OR($T232="",$U232=""),"",IF(INDEX(Firms!$N$5:$N$1004,$U232)="","",INDEX(Firms!$N$5:$N$1004,$U232)))</f>
        <v/>
      </c>
      <c r="Q232" s="78">
        <f>IF($T232="","",IF($S232="S",IF(INDEX(Firms!$T$5:$T$1004,$T232)="","",INDEX(Firms!$T$5:$T$1004,$T232)),IF(INDEX('AFA Rates'!$M$5:$M$1004,$T232)="","",INDEX('AFA Rates'!$M$5:$M$1004,$T232))))</f>
        <v/>
      </c>
      <c r="S232">
        <f>IF(228&lt;=$S$2,"S",IF(228&lt;=$S$2+$T$2,"A",""))</f>
        <v/>
      </c>
      <c r="T232">
        <f>IF(S232="S",MATCH(228,Firms!$W$5:$W$1004,0),IF(S232="A",IFERROR(MATCH(228-$S$2,'AFA Rates'!$R$5:$R$1004,0),""),""))</f>
        <v/>
      </c>
      <c r="U232">
        <f>IF(S232="S",T232,IF(AND(S232="A",T232&lt;&gt;""),IFERROR(MATCH(INDEX('AFA Rates'!$A$5:$A$1004,T232),Firms!$A$5:$A$1004,0),""),""))</f>
        <v/>
      </c>
    </row>
    <row r="233">
      <c r="A233" s="78">
        <f>IF($T233="","",IF($S233="S",IF(INDEX(Firms!$A$5:$A$1004,$T233)="","",INDEX(Firms!$A$5:$A$1004,$T233)),IF(INDEX('AFA Rates'!$A$5:$A$1004,$T233)="","",INDEX('AFA Rates'!$A$5:$A$1004,$T233))))</f>
        <v/>
      </c>
      <c r="B233" s="79">
        <f>IF(OR($T233="",$U233=""),IF($T233="","","Not on Firms tab"),INDEX(Firms!$B$5:$B$1004,$U233)&amp;"")</f>
        <v/>
      </c>
      <c r="C233" s="78">
        <f>IF($T233="","",IF($S233="S","Standard",INDEX('AFA Rates'!$B$5:$B$1004,$T233)&amp;""))</f>
        <v/>
      </c>
      <c r="D233" s="88">
        <f>IF($T233="","",IF($S233="S",IF(INDEX(Firms!$E$5:$E$1004,$T233)="","",INDEX(Firms!$E$5:$E$1004,$T233)),IF(INDEX('AFA Rates'!$C$5:$C$1004,$T233)="","",INDEX('AFA Rates'!$C$5:$C$1004,$T233))))</f>
        <v/>
      </c>
      <c r="E233" s="88">
        <f>IF($T233="","",IF($S233="S",IF(""="","",""),IF(INDEX('AFA Rates'!$D$5:$D$1004,$T233)="","",INDEX('AFA Rates'!$D$5:$D$1004,$T233))))</f>
        <v/>
      </c>
      <c r="F233" s="79">
        <f>IF($T233="","",IF($S233="S",IF(INDEX(Firms!$O$5:$O$1004,$T233)="","",INDEX(Firms!$O$5:$O$1004,$T233)),IF(INDEX('AFA Rates'!$O$5:$O$1004,$T233)="","",INDEX('AFA Rates'!$O$5:$O$1004,$T233))))</f>
        <v/>
      </c>
      <c r="G233" s="50">
        <f>IF($T233="","",IF($S233="S",IF(INDEX(Firms!$F$5:$F$1004,$T233)="","",INDEX(Firms!$F$5:$F$1004,$T233)),IF(INDEX('AFA Rates'!$E$5:$E$1004,$T233)="","",INDEX('AFA Rates'!$E$5:$E$1004,$T233))))</f>
        <v/>
      </c>
      <c r="H233" s="50">
        <f>IF($T233="","",IF($S233="S",IF(INDEX(Firms!$G$5:$G$1004,$T233)="","",INDEX(Firms!$G$5:$G$1004,$T233)),IF(INDEX('AFA Rates'!$F$5:$F$1004,$T233)="","",INDEX('AFA Rates'!$F$5:$F$1004,$T233))))</f>
        <v/>
      </c>
      <c r="I233" s="50">
        <f>IF($T233="","",IF($S233="S",IF(INDEX(Firms!$H$5:$H$1004,$T233)="","",INDEX(Firms!$H$5:$H$1004,$T233)),IF(INDEX('AFA Rates'!$G$5:$G$1004,$T233)="","",INDEX('AFA Rates'!$G$5:$G$1004,$T233))))</f>
        <v/>
      </c>
      <c r="J233" s="50">
        <f>IF($T233="","",IF($S233="S",IF(INDEX(Firms!$I$5:$I$1004,$T233)="","",INDEX(Firms!$I$5:$I$1004,$T233)),IF(INDEX('AFA Rates'!$H$5:$H$1004,$T233)="","",INDEX('AFA Rates'!$H$5:$H$1004,$T233))))</f>
        <v/>
      </c>
      <c r="K233" s="50">
        <f>IF($T233="","",IF($S233="S",IF(INDEX(Firms!$J$5:$J$1004,$T233)="","",INDEX(Firms!$J$5:$J$1004,$T233)),IF(INDEX('AFA Rates'!$I$5:$I$1004,$T233)="","",INDEX('AFA Rates'!$I$5:$I$1004,$T233))))</f>
        <v/>
      </c>
      <c r="L233" s="50">
        <f>IF($T233="","",IF($S233="S",IF(INDEX(Firms!$K$5:$K$1004,$T233)="","",INDEX(Firms!$K$5:$K$1004,$T233)),IF(INDEX('AFA Rates'!$J$5:$J$1004,$T233)="","",INDEX('AFA Rates'!$J$5:$J$1004,$T233))))</f>
        <v/>
      </c>
      <c r="M233" s="50">
        <f>IF($T233="","",IF($S233="S",IF(INDEX(Firms!$L$5:$L$1004,$T233)="","",INDEX(Firms!$L$5:$L$1004,$T233)),IF(INDEX('AFA Rates'!$K$5:$K$1004,$T233)="","",INDEX('AFA Rates'!$K$5:$K$1004,$T233))))</f>
        <v/>
      </c>
      <c r="N233" s="50">
        <f>IF($T233="","",IF($S233="S",IF(INDEX(Firms!$M$5:$M$1004,$T233)="","",INDEX(Firms!$M$5:$M$1004,$T233)),IF(INDEX('AFA Rates'!$L$5:$L$1004,$T233)="","",INDEX('AFA Rates'!$L$5:$L$1004,$T233))))</f>
        <v/>
      </c>
      <c r="O233" s="78">
        <f>IF(OR($T233="",$U233=""),"",IF(INDEX(Firms!$C$5:$C$1004,$U233)="","",INDEX(Firms!$C$5:$C$1004,$U233)))</f>
        <v/>
      </c>
      <c r="P233" s="79">
        <f>IF(OR($T233="",$U233=""),"",IF(INDEX(Firms!$N$5:$N$1004,$U233)="","",INDEX(Firms!$N$5:$N$1004,$U233)))</f>
        <v/>
      </c>
      <c r="Q233" s="78">
        <f>IF($T233="","",IF($S233="S",IF(INDEX(Firms!$T$5:$T$1004,$T233)="","",INDEX(Firms!$T$5:$T$1004,$T233)),IF(INDEX('AFA Rates'!$M$5:$M$1004,$T233)="","",INDEX('AFA Rates'!$M$5:$M$1004,$T233))))</f>
        <v/>
      </c>
      <c r="S233">
        <f>IF(229&lt;=$S$2,"S",IF(229&lt;=$S$2+$T$2,"A",""))</f>
        <v/>
      </c>
      <c r="T233">
        <f>IF(S233="S",MATCH(229,Firms!$W$5:$W$1004,0),IF(S233="A",IFERROR(MATCH(229-$S$2,'AFA Rates'!$R$5:$R$1004,0),""),""))</f>
        <v/>
      </c>
      <c r="U233">
        <f>IF(S233="S",T233,IF(AND(S233="A",T233&lt;&gt;""),IFERROR(MATCH(INDEX('AFA Rates'!$A$5:$A$1004,T233),Firms!$A$5:$A$1004,0),""),""))</f>
        <v/>
      </c>
    </row>
    <row r="234">
      <c r="A234" s="78">
        <f>IF($T234="","",IF($S234="S",IF(INDEX(Firms!$A$5:$A$1004,$T234)="","",INDEX(Firms!$A$5:$A$1004,$T234)),IF(INDEX('AFA Rates'!$A$5:$A$1004,$T234)="","",INDEX('AFA Rates'!$A$5:$A$1004,$T234))))</f>
        <v/>
      </c>
      <c r="B234" s="79">
        <f>IF(OR($T234="",$U234=""),IF($T234="","","Not on Firms tab"),INDEX(Firms!$B$5:$B$1004,$U234)&amp;"")</f>
        <v/>
      </c>
      <c r="C234" s="78">
        <f>IF($T234="","",IF($S234="S","Standard",INDEX('AFA Rates'!$B$5:$B$1004,$T234)&amp;""))</f>
        <v/>
      </c>
      <c r="D234" s="88">
        <f>IF($T234="","",IF($S234="S",IF(INDEX(Firms!$E$5:$E$1004,$T234)="","",INDEX(Firms!$E$5:$E$1004,$T234)),IF(INDEX('AFA Rates'!$C$5:$C$1004,$T234)="","",INDEX('AFA Rates'!$C$5:$C$1004,$T234))))</f>
        <v/>
      </c>
      <c r="E234" s="88">
        <f>IF($T234="","",IF($S234="S",IF(""="","",""),IF(INDEX('AFA Rates'!$D$5:$D$1004,$T234)="","",INDEX('AFA Rates'!$D$5:$D$1004,$T234))))</f>
        <v/>
      </c>
      <c r="F234" s="79">
        <f>IF($T234="","",IF($S234="S",IF(INDEX(Firms!$O$5:$O$1004,$T234)="","",INDEX(Firms!$O$5:$O$1004,$T234)),IF(INDEX('AFA Rates'!$O$5:$O$1004,$T234)="","",INDEX('AFA Rates'!$O$5:$O$1004,$T234))))</f>
        <v/>
      </c>
      <c r="G234" s="50">
        <f>IF($T234="","",IF($S234="S",IF(INDEX(Firms!$F$5:$F$1004,$T234)="","",INDEX(Firms!$F$5:$F$1004,$T234)),IF(INDEX('AFA Rates'!$E$5:$E$1004,$T234)="","",INDEX('AFA Rates'!$E$5:$E$1004,$T234))))</f>
        <v/>
      </c>
      <c r="H234" s="50">
        <f>IF($T234="","",IF($S234="S",IF(INDEX(Firms!$G$5:$G$1004,$T234)="","",INDEX(Firms!$G$5:$G$1004,$T234)),IF(INDEX('AFA Rates'!$F$5:$F$1004,$T234)="","",INDEX('AFA Rates'!$F$5:$F$1004,$T234))))</f>
        <v/>
      </c>
      <c r="I234" s="50">
        <f>IF($T234="","",IF($S234="S",IF(INDEX(Firms!$H$5:$H$1004,$T234)="","",INDEX(Firms!$H$5:$H$1004,$T234)),IF(INDEX('AFA Rates'!$G$5:$G$1004,$T234)="","",INDEX('AFA Rates'!$G$5:$G$1004,$T234))))</f>
        <v/>
      </c>
      <c r="J234" s="50">
        <f>IF($T234="","",IF($S234="S",IF(INDEX(Firms!$I$5:$I$1004,$T234)="","",INDEX(Firms!$I$5:$I$1004,$T234)),IF(INDEX('AFA Rates'!$H$5:$H$1004,$T234)="","",INDEX('AFA Rates'!$H$5:$H$1004,$T234))))</f>
        <v/>
      </c>
      <c r="K234" s="50">
        <f>IF($T234="","",IF($S234="S",IF(INDEX(Firms!$J$5:$J$1004,$T234)="","",INDEX(Firms!$J$5:$J$1004,$T234)),IF(INDEX('AFA Rates'!$I$5:$I$1004,$T234)="","",INDEX('AFA Rates'!$I$5:$I$1004,$T234))))</f>
        <v/>
      </c>
      <c r="L234" s="50">
        <f>IF($T234="","",IF($S234="S",IF(INDEX(Firms!$K$5:$K$1004,$T234)="","",INDEX(Firms!$K$5:$K$1004,$T234)),IF(INDEX('AFA Rates'!$J$5:$J$1004,$T234)="","",INDEX('AFA Rates'!$J$5:$J$1004,$T234))))</f>
        <v/>
      </c>
      <c r="M234" s="50">
        <f>IF($T234="","",IF($S234="S",IF(INDEX(Firms!$L$5:$L$1004,$T234)="","",INDEX(Firms!$L$5:$L$1004,$T234)),IF(INDEX('AFA Rates'!$K$5:$K$1004,$T234)="","",INDEX('AFA Rates'!$K$5:$K$1004,$T234))))</f>
        <v/>
      </c>
      <c r="N234" s="50">
        <f>IF($T234="","",IF($S234="S",IF(INDEX(Firms!$M$5:$M$1004,$T234)="","",INDEX(Firms!$M$5:$M$1004,$T234)),IF(INDEX('AFA Rates'!$L$5:$L$1004,$T234)="","",INDEX('AFA Rates'!$L$5:$L$1004,$T234))))</f>
        <v/>
      </c>
      <c r="O234" s="78">
        <f>IF(OR($T234="",$U234=""),"",IF(INDEX(Firms!$C$5:$C$1004,$U234)="","",INDEX(Firms!$C$5:$C$1004,$U234)))</f>
        <v/>
      </c>
      <c r="P234" s="79">
        <f>IF(OR($T234="",$U234=""),"",IF(INDEX(Firms!$N$5:$N$1004,$U234)="","",INDEX(Firms!$N$5:$N$1004,$U234)))</f>
        <v/>
      </c>
      <c r="Q234" s="78">
        <f>IF($T234="","",IF($S234="S",IF(INDEX(Firms!$T$5:$T$1004,$T234)="","",INDEX(Firms!$T$5:$T$1004,$T234)),IF(INDEX('AFA Rates'!$M$5:$M$1004,$T234)="","",INDEX('AFA Rates'!$M$5:$M$1004,$T234))))</f>
        <v/>
      </c>
      <c r="S234">
        <f>IF(230&lt;=$S$2,"S",IF(230&lt;=$S$2+$T$2,"A",""))</f>
        <v/>
      </c>
      <c r="T234">
        <f>IF(S234="S",MATCH(230,Firms!$W$5:$W$1004,0),IF(S234="A",IFERROR(MATCH(230-$S$2,'AFA Rates'!$R$5:$R$1004,0),""),""))</f>
        <v/>
      </c>
      <c r="U234">
        <f>IF(S234="S",T234,IF(AND(S234="A",T234&lt;&gt;""),IFERROR(MATCH(INDEX('AFA Rates'!$A$5:$A$1004,T234),Firms!$A$5:$A$1004,0),""),""))</f>
        <v/>
      </c>
    </row>
    <row r="235">
      <c r="A235" s="78">
        <f>IF($T235="","",IF($S235="S",IF(INDEX(Firms!$A$5:$A$1004,$T235)="","",INDEX(Firms!$A$5:$A$1004,$T235)),IF(INDEX('AFA Rates'!$A$5:$A$1004,$T235)="","",INDEX('AFA Rates'!$A$5:$A$1004,$T235))))</f>
        <v/>
      </c>
      <c r="B235" s="79">
        <f>IF(OR($T235="",$U235=""),IF($T235="","","Not on Firms tab"),INDEX(Firms!$B$5:$B$1004,$U235)&amp;"")</f>
        <v/>
      </c>
      <c r="C235" s="78">
        <f>IF($T235="","",IF($S235="S","Standard",INDEX('AFA Rates'!$B$5:$B$1004,$T235)&amp;""))</f>
        <v/>
      </c>
      <c r="D235" s="88">
        <f>IF($T235="","",IF($S235="S",IF(INDEX(Firms!$E$5:$E$1004,$T235)="","",INDEX(Firms!$E$5:$E$1004,$T235)),IF(INDEX('AFA Rates'!$C$5:$C$1004,$T235)="","",INDEX('AFA Rates'!$C$5:$C$1004,$T235))))</f>
        <v/>
      </c>
      <c r="E235" s="88">
        <f>IF($T235="","",IF($S235="S",IF(""="","",""),IF(INDEX('AFA Rates'!$D$5:$D$1004,$T235)="","",INDEX('AFA Rates'!$D$5:$D$1004,$T235))))</f>
        <v/>
      </c>
      <c r="F235" s="79">
        <f>IF($T235="","",IF($S235="S",IF(INDEX(Firms!$O$5:$O$1004,$T235)="","",INDEX(Firms!$O$5:$O$1004,$T235)),IF(INDEX('AFA Rates'!$O$5:$O$1004,$T235)="","",INDEX('AFA Rates'!$O$5:$O$1004,$T235))))</f>
        <v/>
      </c>
      <c r="G235" s="50">
        <f>IF($T235="","",IF($S235="S",IF(INDEX(Firms!$F$5:$F$1004,$T235)="","",INDEX(Firms!$F$5:$F$1004,$T235)),IF(INDEX('AFA Rates'!$E$5:$E$1004,$T235)="","",INDEX('AFA Rates'!$E$5:$E$1004,$T235))))</f>
        <v/>
      </c>
      <c r="H235" s="50">
        <f>IF($T235="","",IF($S235="S",IF(INDEX(Firms!$G$5:$G$1004,$T235)="","",INDEX(Firms!$G$5:$G$1004,$T235)),IF(INDEX('AFA Rates'!$F$5:$F$1004,$T235)="","",INDEX('AFA Rates'!$F$5:$F$1004,$T235))))</f>
        <v/>
      </c>
      <c r="I235" s="50">
        <f>IF($T235="","",IF($S235="S",IF(INDEX(Firms!$H$5:$H$1004,$T235)="","",INDEX(Firms!$H$5:$H$1004,$T235)),IF(INDEX('AFA Rates'!$G$5:$G$1004,$T235)="","",INDEX('AFA Rates'!$G$5:$G$1004,$T235))))</f>
        <v/>
      </c>
      <c r="J235" s="50">
        <f>IF($T235="","",IF($S235="S",IF(INDEX(Firms!$I$5:$I$1004,$T235)="","",INDEX(Firms!$I$5:$I$1004,$T235)),IF(INDEX('AFA Rates'!$H$5:$H$1004,$T235)="","",INDEX('AFA Rates'!$H$5:$H$1004,$T235))))</f>
        <v/>
      </c>
      <c r="K235" s="50">
        <f>IF($T235="","",IF($S235="S",IF(INDEX(Firms!$J$5:$J$1004,$T235)="","",INDEX(Firms!$J$5:$J$1004,$T235)),IF(INDEX('AFA Rates'!$I$5:$I$1004,$T235)="","",INDEX('AFA Rates'!$I$5:$I$1004,$T235))))</f>
        <v/>
      </c>
      <c r="L235" s="50">
        <f>IF($T235="","",IF($S235="S",IF(INDEX(Firms!$K$5:$K$1004,$T235)="","",INDEX(Firms!$K$5:$K$1004,$T235)),IF(INDEX('AFA Rates'!$J$5:$J$1004,$T235)="","",INDEX('AFA Rates'!$J$5:$J$1004,$T235))))</f>
        <v/>
      </c>
      <c r="M235" s="50">
        <f>IF($T235="","",IF($S235="S",IF(INDEX(Firms!$L$5:$L$1004,$T235)="","",INDEX(Firms!$L$5:$L$1004,$T235)),IF(INDEX('AFA Rates'!$K$5:$K$1004,$T235)="","",INDEX('AFA Rates'!$K$5:$K$1004,$T235))))</f>
        <v/>
      </c>
      <c r="N235" s="50">
        <f>IF($T235="","",IF($S235="S",IF(INDEX(Firms!$M$5:$M$1004,$T235)="","",INDEX(Firms!$M$5:$M$1004,$T235)),IF(INDEX('AFA Rates'!$L$5:$L$1004,$T235)="","",INDEX('AFA Rates'!$L$5:$L$1004,$T235))))</f>
        <v/>
      </c>
      <c r="O235" s="78">
        <f>IF(OR($T235="",$U235=""),"",IF(INDEX(Firms!$C$5:$C$1004,$U235)="","",INDEX(Firms!$C$5:$C$1004,$U235)))</f>
        <v/>
      </c>
      <c r="P235" s="79">
        <f>IF(OR($T235="",$U235=""),"",IF(INDEX(Firms!$N$5:$N$1004,$U235)="","",INDEX(Firms!$N$5:$N$1004,$U235)))</f>
        <v/>
      </c>
      <c r="Q235" s="78">
        <f>IF($T235="","",IF($S235="S",IF(INDEX(Firms!$T$5:$T$1004,$T235)="","",INDEX(Firms!$T$5:$T$1004,$T235)),IF(INDEX('AFA Rates'!$M$5:$M$1004,$T235)="","",INDEX('AFA Rates'!$M$5:$M$1004,$T235))))</f>
        <v/>
      </c>
      <c r="S235">
        <f>IF(231&lt;=$S$2,"S",IF(231&lt;=$S$2+$T$2,"A",""))</f>
        <v/>
      </c>
      <c r="T235">
        <f>IF(S235="S",MATCH(231,Firms!$W$5:$W$1004,0),IF(S235="A",IFERROR(MATCH(231-$S$2,'AFA Rates'!$R$5:$R$1004,0),""),""))</f>
        <v/>
      </c>
      <c r="U235">
        <f>IF(S235="S",T235,IF(AND(S235="A",T235&lt;&gt;""),IFERROR(MATCH(INDEX('AFA Rates'!$A$5:$A$1004,T235),Firms!$A$5:$A$1004,0),""),""))</f>
        <v/>
      </c>
    </row>
    <row r="236">
      <c r="A236" s="78">
        <f>IF($T236="","",IF($S236="S",IF(INDEX(Firms!$A$5:$A$1004,$T236)="","",INDEX(Firms!$A$5:$A$1004,$T236)),IF(INDEX('AFA Rates'!$A$5:$A$1004,$T236)="","",INDEX('AFA Rates'!$A$5:$A$1004,$T236))))</f>
        <v/>
      </c>
      <c r="B236" s="79">
        <f>IF(OR($T236="",$U236=""),IF($T236="","","Not on Firms tab"),INDEX(Firms!$B$5:$B$1004,$U236)&amp;"")</f>
        <v/>
      </c>
      <c r="C236" s="78">
        <f>IF($T236="","",IF($S236="S","Standard",INDEX('AFA Rates'!$B$5:$B$1004,$T236)&amp;""))</f>
        <v/>
      </c>
      <c r="D236" s="88">
        <f>IF($T236="","",IF($S236="S",IF(INDEX(Firms!$E$5:$E$1004,$T236)="","",INDEX(Firms!$E$5:$E$1004,$T236)),IF(INDEX('AFA Rates'!$C$5:$C$1004,$T236)="","",INDEX('AFA Rates'!$C$5:$C$1004,$T236))))</f>
        <v/>
      </c>
      <c r="E236" s="88">
        <f>IF($T236="","",IF($S236="S",IF(""="","",""),IF(INDEX('AFA Rates'!$D$5:$D$1004,$T236)="","",INDEX('AFA Rates'!$D$5:$D$1004,$T236))))</f>
        <v/>
      </c>
      <c r="F236" s="79">
        <f>IF($T236="","",IF($S236="S",IF(INDEX(Firms!$O$5:$O$1004,$T236)="","",INDEX(Firms!$O$5:$O$1004,$T236)),IF(INDEX('AFA Rates'!$O$5:$O$1004,$T236)="","",INDEX('AFA Rates'!$O$5:$O$1004,$T236))))</f>
        <v/>
      </c>
      <c r="G236" s="50">
        <f>IF($T236="","",IF($S236="S",IF(INDEX(Firms!$F$5:$F$1004,$T236)="","",INDEX(Firms!$F$5:$F$1004,$T236)),IF(INDEX('AFA Rates'!$E$5:$E$1004,$T236)="","",INDEX('AFA Rates'!$E$5:$E$1004,$T236))))</f>
        <v/>
      </c>
      <c r="H236" s="50">
        <f>IF($T236="","",IF($S236="S",IF(INDEX(Firms!$G$5:$G$1004,$T236)="","",INDEX(Firms!$G$5:$G$1004,$T236)),IF(INDEX('AFA Rates'!$F$5:$F$1004,$T236)="","",INDEX('AFA Rates'!$F$5:$F$1004,$T236))))</f>
        <v/>
      </c>
      <c r="I236" s="50">
        <f>IF($T236="","",IF($S236="S",IF(INDEX(Firms!$H$5:$H$1004,$T236)="","",INDEX(Firms!$H$5:$H$1004,$T236)),IF(INDEX('AFA Rates'!$G$5:$G$1004,$T236)="","",INDEX('AFA Rates'!$G$5:$G$1004,$T236))))</f>
        <v/>
      </c>
      <c r="J236" s="50">
        <f>IF($T236="","",IF($S236="S",IF(INDEX(Firms!$I$5:$I$1004,$T236)="","",INDEX(Firms!$I$5:$I$1004,$T236)),IF(INDEX('AFA Rates'!$H$5:$H$1004,$T236)="","",INDEX('AFA Rates'!$H$5:$H$1004,$T236))))</f>
        <v/>
      </c>
      <c r="K236" s="50">
        <f>IF($T236="","",IF($S236="S",IF(INDEX(Firms!$J$5:$J$1004,$T236)="","",INDEX(Firms!$J$5:$J$1004,$T236)),IF(INDEX('AFA Rates'!$I$5:$I$1004,$T236)="","",INDEX('AFA Rates'!$I$5:$I$1004,$T236))))</f>
        <v/>
      </c>
      <c r="L236" s="50">
        <f>IF($T236="","",IF($S236="S",IF(INDEX(Firms!$K$5:$K$1004,$T236)="","",INDEX(Firms!$K$5:$K$1004,$T236)),IF(INDEX('AFA Rates'!$J$5:$J$1004,$T236)="","",INDEX('AFA Rates'!$J$5:$J$1004,$T236))))</f>
        <v/>
      </c>
      <c r="M236" s="50">
        <f>IF($T236="","",IF($S236="S",IF(INDEX(Firms!$L$5:$L$1004,$T236)="","",INDEX(Firms!$L$5:$L$1004,$T236)),IF(INDEX('AFA Rates'!$K$5:$K$1004,$T236)="","",INDEX('AFA Rates'!$K$5:$K$1004,$T236))))</f>
        <v/>
      </c>
      <c r="N236" s="50">
        <f>IF($T236="","",IF($S236="S",IF(INDEX(Firms!$M$5:$M$1004,$T236)="","",INDEX(Firms!$M$5:$M$1004,$T236)),IF(INDEX('AFA Rates'!$L$5:$L$1004,$T236)="","",INDEX('AFA Rates'!$L$5:$L$1004,$T236))))</f>
        <v/>
      </c>
      <c r="O236" s="78">
        <f>IF(OR($T236="",$U236=""),"",IF(INDEX(Firms!$C$5:$C$1004,$U236)="","",INDEX(Firms!$C$5:$C$1004,$U236)))</f>
        <v/>
      </c>
      <c r="P236" s="79">
        <f>IF(OR($T236="",$U236=""),"",IF(INDEX(Firms!$N$5:$N$1004,$U236)="","",INDEX(Firms!$N$5:$N$1004,$U236)))</f>
        <v/>
      </c>
      <c r="Q236" s="78">
        <f>IF($T236="","",IF($S236="S",IF(INDEX(Firms!$T$5:$T$1004,$T236)="","",INDEX(Firms!$T$5:$T$1004,$T236)),IF(INDEX('AFA Rates'!$M$5:$M$1004,$T236)="","",INDEX('AFA Rates'!$M$5:$M$1004,$T236))))</f>
        <v/>
      </c>
      <c r="S236">
        <f>IF(232&lt;=$S$2,"S",IF(232&lt;=$S$2+$T$2,"A",""))</f>
        <v/>
      </c>
      <c r="T236">
        <f>IF(S236="S",MATCH(232,Firms!$W$5:$W$1004,0),IF(S236="A",IFERROR(MATCH(232-$S$2,'AFA Rates'!$R$5:$R$1004,0),""),""))</f>
        <v/>
      </c>
      <c r="U236">
        <f>IF(S236="S",T236,IF(AND(S236="A",T236&lt;&gt;""),IFERROR(MATCH(INDEX('AFA Rates'!$A$5:$A$1004,T236),Firms!$A$5:$A$1004,0),""),""))</f>
        <v/>
      </c>
    </row>
    <row r="237">
      <c r="A237" s="78">
        <f>IF($T237="","",IF($S237="S",IF(INDEX(Firms!$A$5:$A$1004,$T237)="","",INDEX(Firms!$A$5:$A$1004,$T237)),IF(INDEX('AFA Rates'!$A$5:$A$1004,$T237)="","",INDEX('AFA Rates'!$A$5:$A$1004,$T237))))</f>
        <v/>
      </c>
      <c r="B237" s="79">
        <f>IF(OR($T237="",$U237=""),IF($T237="","","Not on Firms tab"),INDEX(Firms!$B$5:$B$1004,$U237)&amp;"")</f>
        <v/>
      </c>
      <c r="C237" s="78">
        <f>IF($T237="","",IF($S237="S","Standard",INDEX('AFA Rates'!$B$5:$B$1004,$T237)&amp;""))</f>
        <v/>
      </c>
      <c r="D237" s="88">
        <f>IF($T237="","",IF($S237="S",IF(INDEX(Firms!$E$5:$E$1004,$T237)="","",INDEX(Firms!$E$5:$E$1004,$T237)),IF(INDEX('AFA Rates'!$C$5:$C$1004,$T237)="","",INDEX('AFA Rates'!$C$5:$C$1004,$T237))))</f>
        <v/>
      </c>
      <c r="E237" s="88">
        <f>IF($T237="","",IF($S237="S",IF(""="","",""),IF(INDEX('AFA Rates'!$D$5:$D$1004,$T237)="","",INDEX('AFA Rates'!$D$5:$D$1004,$T237))))</f>
        <v/>
      </c>
      <c r="F237" s="79">
        <f>IF($T237="","",IF($S237="S",IF(INDEX(Firms!$O$5:$O$1004,$T237)="","",INDEX(Firms!$O$5:$O$1004,$T237)),IF(INDEX('AFA Rates'!$O$5:$O$1004,$T237)="","",INDEX('AFA Rates'!$O$5:$O$1004,$T237))))</f>
        <v/>
      </c>
      <c r="G237" s="50">
        <f>IF($T237="","",IF($S237="S",IF(INDEX(Firms!$F$5:$F$1004,$T237)="","",INDEX(Firms!$F$5:$F$1004,$T237)),IF(INDEX('AFA Rates'!$E$5:$E$1004,$T237)="","",INDEX('AFA Rates'!$E$5:$E$1004,$T237))))</f>
        <v/>
      </c>
      <c r="H237" s="50">
        <f>IF($T237="","",IF($S237="S",IF(INDEX(Firms!$G$5:$G$1004,$T237)="","",INDEX(Firms!$G$5:$G$1004,$T237)),IF(INDEX('AFA Rates'!$F$5:$F$1004,$T237)="","",INDEX('AFA Rates'!$F$5:$F$1004,$T237))))</f>
        <v/>
      </c>
      <c r="I237" s="50">
        <f>IF($T237="","",IF($S237="S",IF(INDEX(Firms!$H$5:$H$1004,$T237)="","",INDEX(Firms!$H$5:$H$1004,$T237)),IF(INDEX('AFA Rates'!$G$5:$G$1004,$T237)="","",INDEX('AFA Rates'!$G$5:$G$1004,$T237))))</f>
        <v/>
      </c>
      <c r="J237" s="50">
        <f>IF($T237="","",IF($S237="S",IF(INDEX(Firms!$I$5:$I$1004,$T237)="","",INDEX(Firms!$I$5:$I$1004,$T237)),IF(INDEX('AFA Rates'!$H$5:$H$1004,$T237)="","",INDEX('AFA Rates'!$H$5:$H$1004,$T237))))</f>
        <v/>
      </c>
      <c r="K237" s="50">
        <f>IF($T237="","",IF($S237="S",IF(INDEX(Firms!$J$5:$J$1004,$T237)="","",INDEX(Firms!$J$5:$J$1004,$T237)),IF(INDEX('AFA Rates'!$I$5:$I$1004,$T237)="","",INDEX('AFA Rates'!$I$5:$I$1004,$T237))))</f>
        <v/>
      </c>
      <c r="L237" s="50">
        <f>IF($T237="","",IF($S237="S",IF(INDEX(Firms!$K$5:$K$1004,$T237)="","",INDEX(Firms!$K$5:$K$1004,$T237)),IF(INDEX('AFA Rates'!$J$5:$J$1004,$T237)="","",INDEX('AFA Rates'!$J$5:$J$1004,$T237))))</f>
        <v/>
      </c>
      <c r="M237" s="50">
        <f>IF($T237="","",IF($S237="S",IF(INDEX(Firms!$L$5:$L$1004,$T237)="","",INDEX(Firms!$L$5:$L$1004,$T237)),IF(INDEX('AFA Rates'!$K$5:$K$1004,$T237)="","",INDEX('AFA Rates'!$K$5:$K$1004,$T237))))</f>
        <v/>
      </c>
      <c r="N237" s="50">
        <f>IF($T237="","",IF($S237="S",IF(INDEX(Firms!$M$5:$M$1004,$T237)="","",INDEX(Firms!$M$5:$M$1004,$T237)),IF(INDEX('AFA Rates'!$L$5:$L$1004,$T237)="","",INDEX('AFA Rates'!$L$5:$L$1004,$T237))))</f>
        <v/>
      </c>
      <c r="O237" s="78">
        <f>IF(OR($T237="",$U237=""),"",IF(INDEX(Firms!$C$5:$C$1004,$U237)="","",INDEX(Firms!$C$5:$C$1004,$U237)))</f>
        <v/>
      </c>
      <c r="P237" s="79">
        <f>IF(OR($T237="",$U237=""),"",IF(INDEX(Firms!$N$5:$N$1004,$U237)="","",INDEX(Firms!$N$5:$N$1004,$U237)))</f>
        <v/>
      </c>
      <c r="Q237" s="78">
        <f>IF($T237="","",IF($S237="S",IF(INDEX(Firms!$T$5:$T$1004,$T237)="","",INDEX(Firms!$T$5:$T$1004,$T237)),IF(INDEX('AFA Rates'!$M$5:$M$1004,$T237)="","",INDEX('AFA Rates'!$M$5:$M$1004,$T237))))</f>
        <v/>
      </c>
      <c r="S237">
        <f>IF(233&lt;=$S$2,"S",IF(233&lt;=$S$2+$T$2,"A",""))</f>
        <v/>
      </c>
      <c r="T237">
        <f>IF(S237="S",MATCH(233,Firms!$W$5:$W$1004,0),IF(S237="A",IFERROR(MATCH(233-$S$2,'AFA Rates'!$R$5:$R$1004,0),""),""))</f>
        <v/>
      </c>
      <c r="U237">
        <f>IF(S237="S",T237,IF(AND(S237="A",T237&lt;&gt;""),IFERROR(MATCH(INDEX('AFA Rates'!$A$5:$A$1004,T237),Firms!$A$5:$A$1004,0),""),""))</f>
        <v/>
      </c>
    </row>
    <row r="238">
      <c r="A238" s="78">
        <f>IF($T238="","",IF($S238="S",IF(INDEX(Firms!$A$5:$A$1004,$T238)="","",INDEX(Firms!$A$5:$A$1004,$T238)),IF(INDEX('AFA Rates'!$A$5:$A$1004,$T238)="","",INDEX('AFA Rates'!$A$5:$A$1004,$T238))))</f>
        <v/>
      </c>
      <c r="B238" s="79">
        <f>IF(OR($T238="",$U238=""),IF($T238="","","Not on Firms tab"),INDEX(Firms!$B$5:$B$1004,$U238)&amp;"")</f>
        <v/>
      </c>
      <c r="C238" s="78">
        <f>IF($T238="","",IF($S238="S","Standard",INDEX('AFA Rates'!$B$5:$B$1004,$T238)&amp;""))</f>
        <v/>
      </c>
      <c r="D238" s="88">
        <f>IF($T238="","",IF($S238="S",IF(INDEX(Firms!$E$5:$E$1004,$T238)="","",INDEX(Firms!$E$5:$E$1004,$T238)),IF(INDEX('AFA Rates'!$C$5:$C$1004,$T238)="","",INDEX('AFA Rates'!$C$5:$C$1004,$T238))))</f>
        <v/>
      </c>
      <c r="E238" s="88">
        <f>IF($T238="","",IF($S238="S",IF(""="","",""),IF(INDEX('AFA Rates'!$D$5:$D$1004,$T238)="","",INDEX('AFA Rates'!$D$5:$D$1004,$T238))))</f>
        <v/>
      </c>
      <c r="F238" s="79">
        <f>IF($T238="","",IF($S238="S",IF(INDEX(Firms!$O$5:$O$1004,$T238)="","",INDEX(Firms!$O$5:$O$1004,$T238)),IF(INDEX('AFA Rates'!$O$5:$O$1004,$T238)="","",INDEX('AFA Rates'!$O$5:$O$1004,$T238))))</f>
        <v/>
      </c>
      <c r="G238" s="50">
        <f>IF($T238="","",IF($S238="S",IF(INDEX(Firms!$F$5:$F$1004,$T238)="","",INDEX(Firms!$F$5:$F$1004,$T238)),IF(INDEX('AFA Rates'!$E$5:$E$1004,$T238)="","",INDEX('AFA Rates'!$E$5:$E$1004,$T238))))</f>
        <v/>
      </c>
      <c r="H238" s="50">
        <f>IF($T238="","",IF($S238="S",IF(INDEX(Firms!$G$5:$G$1004,$T238)="","",INDEX(Firms!$G$5:$G$1004,$T238)),IF(INDEX('AFA Rates'!$F$5:$F$1004,$T238)="","",INDEX('AFA Rates'!$F$5:$F$1004,$T238))))</f>
        <v/>
      </c>
      <c r="I238" s="50">
        <f>IF($T238="","",IF($S238="S",IF(INDEX(Firms!$H$5:$H$1004,$T238)="","",INDEX(Firms!$H$5:$H$1004,$T238)),IF(INDEX('AFA Rates'!$G$5:$G$1004,$T238)="","",INDEX('AFA Rates'!$G$5:$G$1004,$T238))))</f>
        <v/>
      </c>
      <c r="J238" s="50">
        <f>IF($T238="","",IF($S238="S",IF(INDEX(Firms!$I$5:$I$1004,$T238)="","",INDEX(Firms!$I$5:$I$1004,$T238)),IF(INDEX('AFA Rates'!$H$5:$H$1004,$T238)="","",INDEX('AFA Rates'!$H$5:$H$1004,$T238))))</f>
        <v/>
      </c>
      <c r="K238" s="50">
        <f>IF($T238="","",IF($S238="S",IF(INDEX(Firms!$J$5:$J$1004,$T238)="","",INDEX(Firms!$J$5:$J$1004,$T238)),IF(INDEX('AFA Rates'!$I$5:$I$1004,$T238)="","",INDEX('AFA Rates'!$I$5:$I$1004,$T238))))</f>
        <v/>
      </c>
      <c r="L238" s="50">
        <f>IF($T238="","",IF($S238="S",IF(INDEX(Firms!$K$5:$K$1004,$T238)="","",INDEX(Firms!$K$5:$K$1004,$T238)),IF(INDEX('AFA Rates'!$J$5:$J$1004,$T238)="","",INDEX('AFA Rates'!$J$5:$J$1004,$T238))))</f>
        <v/>
      </c>
      <c r="M238" s="50">
        <f>IF($T238="","",IF($S238="S",IF(INDEX(Firms!$L$5:$L$1004,$T238)="","",INDEX(Firms!$L$5:$L$1004,$T238)),IF(INDEX('AFA Rates'!$K$5:$K$1004,$T238)="","",INDEX('AFA Rates'!$K$5:$K$1004,$T238))))</f>
        <v/>
      </c>
      <c r="N238" s="50">
        <f>IF($T238="","",IF($S238="S",IF(INDEX(Firms!$M$5:$M$1004,$T238)="","",INDEX(Firms!$M$5:$M$1004,$T238)),IF(INDEX('AFA Rates'!$L$5:$L$1004,$T238)="","",INDEX('AFA Rates'!$L$5:$L$1004,$T238))))</f>
        <v/>
      </c>
      <c r="O238" s="78">
        <f>IF(OR($T238="",$U238=""),"",IF(INDEX(Firms!$C$5:$C$1004,$U238)="","",INDEX(Firms!$C$5:$C$1004,$U238)))</f>
        <v/>
      </c>
      <c r="P238" s="79">
        <f>IF(OR($T238="",$U238=""),"",IF(INDEX(Firms!$N$5:$N$1004,$U238)="","",INDEX(Firms!$N$5:$N$1004,$U238)))</f>
        <v/>
      </c>
      <c r="Q238" s="78">
        <f>IF($T238="","",IF($S238="S",IF(INDEX(Firms!$T$5:$T$1004,$T238)="","",INDEX(Firms!$T$5:$T$1004,$T238)),IF(INDEX('AFA Rates'!$M$5:$M$1004,$T238)="","",INDEX('AFA Rates'!$M$5:$M$1004,$T238))))</f>
        <v/>
      </c>
      <c r="S238">
        <f>IF(234&lt;=$S$2,"S",IF(234&lt;=$S$2+$T$2,"A",""))</f>
        <v/>
      </c>
      <c r="T238">
        <f>IF(S238="S",MATCH(234,Firms!$W$5:$W$1004,0),IF(S238="A",IFERROR(MATCH(234-$S$2,'AFA Rates'!$R$5:$R$1004,0),""),""))</f>
        <v/>
      </c>
      <c r="U238">
        <f>IF(S238="S",T238,IF(AND(S238="A",T238&lt;&gt;""),IFERROR(MATCH(INDEX('AFA Rates'!$A$5:$A$1004,T238),Firms!$A$5:$A$1004,0),""),""))</f>
        <v/>
      </c>
    </row>
    <row r="239">
      <c r="A239" s="78">
        <f>IF($T239="","",IF($S239="S",IF(INDEX(Firms!$A$5:$A$1004,$T239)="","",INDEX(Firms!$A$5:$A$1004,$T239)),IF(INDEX('AFA Rates'!$A$5:$A$1004,$T239)="","",INDEX('AFA Rates'!$A$5:$A$1004,$T239))))</f>
        <v/>
      </c>
      <c r="B239" s="79">
        <f>IF(OR($T239="",$U239=""),IF($T239="","","Not on Firms tab"),INDEX(Firms!$B$5:$B$1004,$U239)&amp;"")</f>
        <v/>
      </c>
      <c r="C239" s="78">
        <f>IF($T239="","",IF($S239="S","Standard",INDEX('AFA Rates'!$B$5:$B$1004,$T239)&amp;""))</f>
        <v/>
      </c>
      <c r="D239" s="88">
        <f>IF($T239="","",IF($S239="S",IF(INDEX(Firms!$E$5:$E$1004,$T239)="","",INDEX(Firms!$E$5:$E$1004,$T239)),IF(INDEX('AFA Rates'!$C$5:$C$1004,$T239)="","",INDEX('AFA Rates'!$C$5:$C$1004,$T239))))</f>
        <v/>
      </c>
      <c r="E239" s="88">
        <f>IF($T239="","",IF($S239="S",IF(""="","",""),IF(INDEX('AFA Rates'!$D$5:$D$1004,$T239)="","",INDEX('AFA Rates'!$D$5:$D$1004,$T239))))</f>
        <v/>
      </c>
      <c r="F239" s="79">
        <f>IF($T239="","",IF($S239="S",IF(INDEX(Firms!$O$5:$O$1004,$T239)="","",INDEX(Firms!$O$5:$O$1004,$T239)),IF(INDEX('AFA Rates'!$O$5:$O$1004,$T239)="","",INDEX('AFA Rates'!$O$5:$O$1004,$T239))))</f>
        <v/>
      </c>
      <c r="G239" s="50">
        <f>IF($T239="","",IF($S239="S",IF(INDEX(Firms!$F$5:$F$1004,$T239)="","",INDEX(Firms!$F$5:$F$1004,$T239)),IF(INDEX('AFA Rates'!$E$5:$E$1004,$T239)="","",INDEX('AFA Rates'!$E$5:$E$1004,$T239))))</f>
        <v/>
      </c>
      <c r="H239" s="50">
        <f>IF($T239="","",IF($S239="S",IF(INDEX(Firms!$G$5:$G$1004,$T239)="","",INDEX(Firms!$G$5:$G$1004,$T239)),IF(INDEX('AFA Rates'!$F$5:$F$1004,$T239)="","",INDEX('AFA Rates'!$F$5:$F$1004,$T239))))</f>
        <v/>
      </c>
      <c r="I239" s="50">
        <f>IF($T239="","",IF($S239="S",IF(INDEX(Firms!$H$5:$H$1004,$T239)="","",INDEX(Firms!$H$5:$H$1004,$T239)),IF(INDEX('AFA Rates'!$G$5:$G$1004,$T239)="","",INDEX('AFA Rates'!$G$5:$G$1004,$T239))))</f>
        <v/>
      </c>
      <c r="J239" s="50">
        <f>IF($T239="","",IF($S239="S",IF(INDEX(Firms!$I$5:$I$1004,$T239)="","",INDEX(Firms!$I$5:$I$1004,$T239)),IF(INDEX('AFA Rates'!$H$5:$H$1004,$T239)="","",INDEX('AFA Rates'!$H$5:$H$1004,$T239))))</f>
        <v/>
      </c>
      <c r="K239" s="50">
        <f>IF($T239="","",IF($S239="S",IF(INDEX(Firms!$J$5:$J$1004,$T239)="","",INDEX(Firms!$J$5:$J$1004,$T239)),IF(INDEX('AFA Rates'!$I$5:$I$1004,$T239)="","",INDEX('AFA Rates'!$I$5:$I$1004,$T239))))</f>
        <v/>
      </c>
      <c r="L239" s="50">
        <f>IF($T239="","",IF($S239="S",IF(INDEX(Firms!$K$5:$K$1004,$T239)="","",INDEX(Firms!$K$5:$K$1004,$T239)),IF(INDEX('AFA Rates'!$J$5:$J$1004,$T239)="","",INDEX('AFA Rates'!$J$5:$J$1004,$T239))))</f>
        <v/>
      </c>
      <c r="M239" s="50">
        <f>IF($T239="","",IF($S239="S",IF(INDEX(Firms!$L$5:$L$1004,$T239)="","",INDEX(Firms!$L$5:$L$1004,$T239)),IF(INDEX('AFA Rates'!$K$5:$K$1004,$T239)="","",INDEX('AFA Rates'!$K$5:$K$1004,$T239))))</f>
        <v/>
      </c>
      <c r="N239" s="50">
        <f>IF($T239="","",IF($S239="S",IF(INDEX(Firms!$M$5:$M$1004,$T239)="","",INDEX(Firms!$M$5:$M$1004,$T239)),IF(INDEX('AFA Rates'!$L$5:$L$1004,$T239)="","",INDEX('AFA Rates'!$L$5:$L$1004,$T239))))</f>
        <v/>
      </c>
      <c r="O239" s="78">
        <f>IF(OR($T239="",$U239=""),"",IF(INDEX(Firms!$C$5:$C$1004,$U239)="","",INDEX(Firms!$C$5:$C$1004,$U239)))</f>
        <v/>
      </c>
      <c r="P239" s="79">
        <f>IF(OR($T239="",$U239=""),"",IF(INDEX(Firms!$N$5:$N$1004,$U239)="","",INDEX(Firms!$N$5:$N$1004,$U239)))</f>
        <v/>
      </c>
      <c r="Q239" s="78">
        <f>IF($T239="","",IF($S239="S",IF(INDEX(Firms!$T$5:$T$1004,$T239)="","",INDEX(Firms!$T$5:$T$1004,$T239)),IF(INDEX('AFA Rates'!$M$5:$M$1004,$T239)="","",INDEX('AFA Rates'!$M$5:$M$1004,$T239))))</f>
        <v/>
      </c>
      <c r="S239">
        <f>IF(235&lt;=$S$2,"S",IF(235&lt;=$S$2+$T$2,"A",""))</f>
        <v/>
      </c>
      <c r="T239">
        <f>IF(S239="S",MATCH(235,Firms!$W$5:$W$1004,0),IF(S239="A",IFERROR(MATCH(235-$S$2,'AFA Rates'!$R$5:$R$1004,0),""),""))</f>
        <v/>
      </c>
      <c r="U239">
        <f>IF(S239="S",T239,IF(AND(S239="A",T239&lt;&gt;""),IFERROR(MATCH(INDEX('AFA Rates'!$A$5:$A$1004,T239),Firms!$A$5:$A$1004,0),""),""))</f>
        <v/>
      </c>
    </row>
    <row r="240">
      <c r="A240" s="78">
        <f>IF($T240="","",IF($S240="S",IF(INDEX(Firms!$A$5:$A$1004,$T240)="","",INDEX(Firms!$A$5:$A$1004,$T240)),IF(INDEX('AFA Rates'!$A$5:$A$1004,$T240)="","",INDEX('AFA Rates'!$A$5:$A$1004,$T240))))</f>
        <v/>
      </c>
      <c r="B240" s="79">
        <f>IF(OR($T240="",$U240=""),IF($T240="","","Not on Firms tab"),INDEX(Firms!$B$5:$B$1004,$U240)&amp;"")</f>
        <v/>
      </c>
      <c r="C240" s="78">
        <f>IF($T240="","",IF($S240="S","Standard",INDEX('AFA Rates'!$B$5:$B$1004,$T240)&amp;""))</f>
        <v/>
      </c>
      <c r="D240" s="88">
        <f>IF($T240="","",IF($S240="S",IF(INDEX(Firms!$E$5:$E$1004,$T240)="","",INDEX(Firms!$E$5:$E$1004,$T240)),IF(INDEX('AFA Rates'!$C$5:$C$1004,$T240)="","",INDEX('AFA Rates'!$C$5:$C$1004,$T240))))</f>
        <v/>
      </c>
      <c r="E240" s="88">
        <f>IF($T240="","",IF($S240="S",IF(""="","",""),IF(INDEX('AFA Rates'!$D$5:$D$1004,$T240)="","",INDEX('AFA Rates'!$D$5:$D$1004,$T240))))</f>
        <v/>
      </c>
      <c r="F240" s="79">
        <f>IF($T240="","",IF($S240="S",IF(INDEX(Firms!$O$5:$O$1004,$T240)="","",INDEX(Firms!$O$5:$O$1004,$T240)),IF(INDEX('AFA Rates'!$O$5:$O$1004,$T240)="","",INDEX('AFA Rates'!$O$5:$O$1004,$T240))))</f>
        <v/>
      </c>
      <c r="G240" s="50">
        <f>IF($T240="","",IF($S240="S",IF(INDEX(Firms!$F$5:$F$1004,$T240)="","",INDEX(Firms!$F$5:$F$1004,$T240)),IF(INDEX('AFA Rates'!$E$5:$E$1004,$T240)="","",INDEX('AFA Rates'!$E$5:$E$1004,$T240))))</f>
        <v/>
      </c>
      <c r="H240" s="50">
        <f>IF($T240="","",IF($S240="S",IF(INDEX(Firms!$G$5:$G$1004,$T240)="","",INDEX(Firms!$G$5:$G$1004,$T240)),IF(INDEX('AFA Rates'!$F$5:$F$1004,$T240)="","",INDEX('AFA Rates'!$F$5:$F$1004,$T240))))</f>
        <v/>
      </c>
      <c r="I240" s="50">
        <f>IF($T240="","",IF($S240="S",IF(INDEX(Firms!$H$5:$H$1004,$T240)="","",INDEX(Firms!$H$5:$H$1004,$T240)),IF(INDEX('AFA Rates'!$G$5:$G$1004,$T240)="","",INDEX('AFA Rates'!$G$5:$G$1004,$T240))))</f>
        <v/>
      </c>
      <c r="J240" s="50">
        <f>IF($T240="","",IF($S240="S",IF(INDEX(Firms!$I$5:$I$1004,$T240)="","",INDEX(Firms!$I$5:$I$1004,$T240)),IF(INDEX('AFA Rates'!$H$5:$H$1004,$T240)="","",INDEX('AFA Rates'!$H$5:$H$1004,$T240))))</f>
        <v/>
      </c>
      <c r="K240" s="50">
        <f>IF($T240="","",IF($S240="S",IF(INDEX(Firms!$J$5:$J$1004,$T240)="","",INDEX(Firms!$J$5:$J$1004,$T240)),IF(INDEX('AFA Rates'!$I$5:$I$1004,$T240)="","",INDEX('AFA Rates'!$I$5:$I$1004,$T240))))</f>
        <v/>
      </c>
      <c r="L240" s="50">
        <f>IF($T240="","",IF($S240="S",IF(INDEX(Firms!$K$5:$K$1004,$T240)="","",INDEX(Firms!$K$5:$K$1004,$T240)),IF(INDEX('AFA Rates'!$J$5:$J$1004,$T240)="","",INDEX('AFA Rates'!$J$5:$J$1004,$T240))))</f>
        <v/>
      </c>
      <c r="M240" s="50">
        <f>IF($T240="","",IF($S240="S",IF(INDEX(Firms!$L$5:$L$1004,$T240)="","",INDEX(Firms!$L$5:$L$1004,$T240)),IF(INDEX('AFA Rates'!$K$5:$K$1004,$T240)="","",INDEX('AFA Rates'!$K$5:$K$1004,$T240))))</f>
        <v/>
      </c>
      <c r="N240" s="50">
        <f>IF($T240="","",IF($S240="S",IF(INDEX(Firms!$M$5:$M$1004,$T240)="","",INDEX(Firms!$M$5:$M$1004,$T240)),IF(INDEX('AFA Rates'!$L$5:$L$1004,$T240)="","",INDEX('AFA Rates'!$L$5:$L$1004,$T240))))</f>
        <v/>
      </c>
      <c r="O240" s="78">
        <f>IF(OR($T240="",$U240=""),"",IF(INDEX(Firms!$C$5:$C$1004,$U240)="","",INDEX(Firms!$C$5:$C$1004,$U240)))</f>
        <v/>
      </c>
      <c r="P240" s="79">
        <f>IF(OR($T240="",$U240=""),"",IF(INDEX(Firms!$N$5:$N$1004,$U240)="","",INDEX(Firms!$N$5:$N$1004,$U240)))</f>
        <v/>
      </c>
      <c r="Q240" s="78">
        <f>IF($T240="","",IF($S240="S",IF(INDEX(Firms!$T$5:$T$1004,$T240)="","",INDEX(Firms!$T$5:$T$1004,$T240)),IF(INDEX('AFA Rates'!$M$5:$M$1004,$T240)="","",INDEX('AFA Rates'!$M$5:$M$1004,$T240))))</f>
        <v/>
      </c>
      <c r="S240">
        <f>IF(236&lt;=$S$2,"S",IF(236&lt;=$S$2+$T$2,"A",""))</f>
        <v/>
      </c>
      <c r="T240">
        <f>IF(S240="S",MATCH(236,Firms!$W$5:$W$1004,0),IF(S240="A",IFERROR(MATCH(236-$S$2,'AFA Rates'!$R$5:$R$1004,0),""),""))</f>
        <v/>
      </c>
      <c r="U240">
        <f>IF(S240="S",T240,IF(AND(S240="A",T240&lt;&gt;""),IFERROR(MATCH(INDEX('AFA Rates'!$A$5:$A$1004,T240),Firms!$A$5:$A$1004,0),""),""))</f>
        <v/>
      </c>
    </row>
    <row r="241">
      <c r="A241" s="78">
        <f>IF($T241="","",IF($S241="S",IF(INDEX(Firms!$A$5:$A$1004,$T241)="","",INDEX(Firms!$A$5:$A$1004,$T241)),IF(INDEX('AFA Rates'!$A$5:$A$1004,$T241)="","",INDEX('AFA Rates'!$A$5:$A$1004,$T241))))</f>
        <v/>
      </c>
      <c r="B241" s="79">
        <f>IF(OR($T241="",$U241=""),IF($T241="","","Not on Firms tab"),INDEX(Firms!$B$5:$B$1004,$U241)&amp;"")</f>
        <v/>
      </c>
      <c r="C241" s="78">
        <f>IF($T241="","",IF($S241="S","Standard",INDEX('AFA Rates'!$B$5:$B$1004,$T241)&amp;""))</f>
        <v/>
      </c>
      <c r="D241" s="88">
        <f>IF($T241="","",IF($S241="S",IF(INDEX(Firms!$E$5:$E$1004,$T241)="","",INDEX(Firms!$E$5:$E$1004,$T241)),IF(INDEX('AFA Rates'!$C$5:$C$1004,$T241)="","",INDEX('AFA Rates'!$C$5:$C$1004,$T241))))</f>
        <v/>
      </c>
      <c r="E241" s="88">
        <f>IF($T241="","",IF($S241="S",IF(""="","",""),IF(INDEX('AFA Rates'!$D$5:$D$1004,$T241)="","",INDEX('AFA Rates'!$D$5:$D$1004,$T241))))</f>
        <v/>
      </c>
      <c r="F241" s="79">
        <f>IF($T241="","",IF($S241="S",IF(INDEX(Firms!$O$5:$O$1004,$T241)="","",INDEX(Firms!$O$5:$O$1004,$T241)),IF(INDEX('AFA Rates'!$O$5:$O$1004,$T241)="","",INDEX('AFA Rates'!$O$5:$O$1004,$T241))))</f>
        <v/>
      </c>
      <c r="G241" s="50">
        <f>IF($T241="","",IF($S241="S",IF(INDEX(Firms!$F$5:$F$1004,$T241)="","",INDEX(Firms!$F$5:$F$1004,$T241)),IF(INDEX('AFA Rates'!$E$5:$E$1004,$T241)="","",INDEX('AFA Rates'!$E$5:$E$1004,$T241))))</f>
        <v/>
      </c>
      <c r="H241" s="50">
        <f>IF($T241="","",IF($S241="S",IF(INDEX(Firms!$G$5:$G$1004,$T241)="","",INDEX(Firms!$G$5:$G$1004,$T241)),IF(INDEX('AFA Rates'!$F$5:$F$1004,$T241)="","",INDEX('AFA Rates'!$F$5:$F$1004,$T241))))</f>
        <v/>
      </c>
      <c r="I241" s="50">
        <f>IF($T241="","",IF($S241="S",IF(INDEX(Firms!$H$5:$H$1004,$T241)="","",INDEX(Firms!$H$5:$H$1004,$T241)),IF(INDEX('AFA Rates'!$G$5:$G$1004,$T241)="","",INDEX('AFA Rates'!$G$5:$G$1004,$T241))))</f>
        <v/>
      </c>
      <c r="J241" s="50">
        <f>IF($T241="","",IF($S241="S",IF(INDEX(Firms!$I$5:$I$1004,$T241)="","",INDEX(Firms!$I$5:$I$1004,$T241)),IF(INDEX('AFA Rates'!$H$5:$H$1004,$T241)="","",INDEX('AFA Rates'!$H$5:$H$1004,$T241))))</f>
        <v/>
      </c>
      <c r="K241" s="50">
        <f>IF($T241="","",IF($S241="S",IF(INDEX(Firms!$J$5:$J$1004,$T241)="","",INDEX(Firms!$J$5:$J$1004,$T241)),IF(INDEX('AFA Rates'!$I$5:$I$1004,$T241)="","",INDEX('AFA Rates'!$I$5:$I$1004,$T241))))</f>
        <v/>
      </c>
      <c r="L241" s="50">
        <f>IF($T241="","",IF($S241="S",IF(INDEX(Firms!$K$5:$K$1004,$T241)="","",INDEX(Firms!$K$5:$K$1004,$T241)),IF(INDEX('AFA Rates'!$J$5:$J$1004,$T241)="","",INDEX('AFA Rates'!$J$5:$J$1004,$T241))))</f>
        <v/>
      </c>
      <c r="M241" s="50">
        <f>IF($T241="","",IF($S241="S",IF(INDEX(Firms!$L$5:$L$1004,$T241)="","",INDEX(Firms!$L$5:$L$1004,$T241)),IF(INDEX('AFA Rates'!$K$5:$K$1004,$T241)="","",INDEX('AFA Rates'!$K$5:$K$1004,$T241))))</f>
        <v/>
      </c>
      <c r="N241" s="50">
        <f>IF($T241="","",IF($S241="S",IF(INDEX(Firms!$M$5:$M$1004,$T241)="","",INDEX(Firms!$M$5:$M$1004,$T241)),IF(INDEX('AFA Rates'!$L$5:$L$1004,$T241)="","",INDEX('AFA Rates'!$L$5:$L$1004,$T241))))</f>
        <v/>
      </c>
      <c r="O241" s="78">
        <f>IF(OR($T241="",$U241=""),"",IF(INDEX(Firms!$C$5:$C$1004,$U241)="","",INDEX(Firms!$C$5:$C$1004,$U241)))</f>
        <v/>
      </c>
      <c r="P241" s="79">
        <f>IF(OR($T241="",$U241=""),"",IF(INDEX(Firms!$N$5:$N$1004,$U241)="","",INDEX(Firms!$N$5:$N$1004,$U241)))</f>
        <v/>
      </c>
      <c r="Q241" s="78">
        <f>IF($T241="","",IF($S241="S",IF(INDEX(Firms!$T$5:$T$1004,$T241)="","",INDEX(Firms!$T$5:$T$1004,$T241)),IF(INDEX('AFA Rates'!$M$5:$M$1004,$T241)="","",INDEX('AFA Rates'!$M$5:$M$1004,$T241))))</f>
        <v/>
      </c>
      <c r="S241">
        <f>IF(237&lt;=$S$2,"S",IF(237&lt;=$S$2+$T$2,"A",""))</f>
        <v/>
      </c>
      <c r="T241">
        <f>IF(S241="S",MATCH(237,Firms!$W$5:$W$1004,0),IF(S241="A",IFERROR(MATCH(237-$S$2,'AFA Rates'!$R$5:$R$1004,0),""),""))</f>
        <v/>
      </c>
      <c r="U241">
        <f>IF(S241="S",T241,IF(AND(S241="A",T241&lt;&gt;""),IFERROR(MATCH(INDEX('AFA Rates'!$A$5:$A$1004,T241),Firms!$A$5:$A$1004,0),""),""))</f>
        <v/>
      </c>
    </row>
    <row r="242">
      <c r="A242" s="78">
        <f>IF($T242="","",IF($S242="S",IF(INDEX(Firms!$A$5:$A$1004,$T242)="","",INDEX(Firms!$A$5:$A$1004,$T242)),IF(INDEX('AFA Rates'!$A$5:$A$1004,$T242)="","",INDEX('AFA Rates'!$A$5:$A$1004,$T242))))</f>
        <v/>
      </c>
      <c r="B242" s="79">
        <f>IF(OR($T242="",$U242=""),IF($T242="","","Not on Firms tab"),INDEX(Firms!$B$5:$B$1004,$U242)&amp;"")</f>
        <v/>
      </c>
      <c r="C242" s="78">
        <f>IF($T242="","",IF($S242="S","Standard",INDEX('AFA Rates'!$B$5:$B$1004,$T242)&amp;""))</f>
        <v/>
      </c>
      <c r="D242" s="88">
        <f>IF($T242="","",IF($S242="S",IF(INDEX(Firms!$E$5:$E$1004,$T242)="","",INDEX(Firms!$E$5:$E$1004,$T242)),IF(INDEX('AFA Rates'!$C$5:$C$1004,$T242)="","",INDEX('AFA Rates'!$C$5:$C$1004,$T242))))</f>
        <v/>
      </c>
      <c r="E242" s="88">
        <f>IF($T242="","",IF($S242="S",IF(""="","",""),IF(INDEX('AFA Rates'!$D$5:$D$1004,$T242)="","",INDEX('AFA Rates'!$D$5:$D$1004,$T242))))</f>
        <v/>
      </c>
      <c r="F242" s="79">
        <f>IF($T242="","",IF($S242="S",IF(INDEX(Firms!$O$5:$O$1004,$T242)="","",INDEX(Firms!$O$5:$O$1004,$T242)),IF(INDEX('AFA Rates'!$O$5:$O$1004,$T242)="","",INDEX('AFA Rates'!$O$5:$O$1004,$T242))))</f>
        <v/>
      </c>
      <c r="G242" s="50">
        <f>IF($T242="","",IF($S242="S",IF(INDEX(Firms!$F$5:$F$1004,$T242)="","",INDEX(Firms!$F$5:$F$1004,$T242)),IF(INDEX('AFA Rates'!$E$5:$E$1004,$T242)="","",INDEX('AFA Rates'!$E$5:$E$1004,$T242))))</f>
        <v/>
      </c>
      <c r="H242" s="50">
        <f>IF($T242="","",IF($S242="S",IF(INDEX(Firms!$G$5:$G$1004,$T242)="","",INDEX(Firms!$G$5:$G$1004,$T242)),IF(INDEX('AFA Rates'!$F$5:$F$1004,$T242)="","",INDEX('AFA Rates'!$F$5:$F$1004,$T242))))</f>
        <v/>
      </c>
      <c r="I242" s="50">
        <f>IF($T242="","",IF($S242="S",IF(INDEX(Firms!$H$5:$H$1004,$T242)="","",INDEX(Firms!$H$5:$H$1004,$T242)),IF(INDEX('AFA Rates'!$G$5:$G$1004,$T242)="","",INDEX('AFA Rates'!$G$5:$G$1004,$T242))))</f>
        <v/>
      </c>
      <c r="J242" s="50">
        <f>IF($T242="","",IF($S242="S",IF(INDEX(Firms!$I$5:$I$1004,$T242)="","",INDEX(Firms!$I$5:$I$1004,$T242)),IF(INDEX('AFA Rates'!$H$5:$H$1004,$T242)="","",INDEX('AFA Rates'!$H$5:$H$1004,$T242))))</f>
        <v/>
      </c>
      <c r="K242" s="50">
        <f>IF($T242="","",IF($S242="S",IF(INDEX(Firms!$J$5:$J$1004,$T242)="","",INDEX(Firms!$J$5:$J$1004,$T242)),IF(INDEX('AFA Rates'!$I$5:$I$1004,$T242)="","",INDEX('AFA Rates'!$I$5:$I$1004,$T242))))</f>
        <v/>
      </c>
      <c r="L242" s="50">
        <f>IF($T242="","",IF($S242="S",IF(INDEX(Firms!$K$5:$K$1004,$T242)="","",INDEX(Firms!$K$5:$K$1004,$T242)),IF(INDEX('AFA Rates'!$J$5:$J$1004,$T242)="","",INDEX('AFA Rates'!$J$5:$J$1004,$T242))))</f>
        <v/>
      </c>
      <c r="M242" s="50">
        <f>IF($T242="","",IF($S242="S",IF(INDEX(Firms!$L$5:$L$1004,$T242)="","",INDEX(Firms!$L$5:$L$1004,$T242)),IF(INDEX('AFA Rates'!$K$5:$K$1004,$T242)="","",INDEX('AFA Rates'!$K$5:$K$1004,$T242))))</f>
        <v/>
      </c>
      <c r="N242" s="50">
        <f>IF($T242="","",IF($S242="S",IF(INDEX(Firms!$M$5:$M$1004,$T242)="","",INDEX(Firms!$M$5:$M$1004,$T242)),IF(INDEX('AFA Rates'!$L$5:$L$1004,$T242)="","",INDEX('AFA Rates'!$L$5:$L$1004,$T242))))</f>
        <v/>
      </c>
      <c r="O242" s="78">
        <f>IF(OR($T242="",$U242=""),"",IF(INDEX(Firms!$C$5:$C$1004,$U242)="","",INDEX(Firms!$C$5:$C$1004,$U242)))</f>
        <v/>
      </c>
      <c r="P242" s="79">
        <f>IF(OR($T242="",$U242=""),"",IF(INDEX(Firms!$N$5:$N$1004,$U242)="","",INDEX(Firms!$N$5:$N$1004,$U242)))</f>
        <v/>
      </c>
      <c r="Q242" s="78">
        <f>IF($T242="","",IF($S242="S",IF(INDEX(Firms!$T$5:$T$1004,$T242)="","",INDEX(Firms!$T$5:$T$1004,$T242)),IF(INDEX('AFA Rates'!$M$5:$M$1004,$T242)="","",INDEX('AFA Rates'!$M$5:$M$1004,$T242))))</f>
        <v/>
      </c>
      <c r="S242">
        <f>IF(238&lt;=$S$2,"S",IF(238&lt;=$S$2+$T$2,"A",""))</f>
        <v/>
      </c>
      <c r="T242">
        <f>IF(S242="S",MATCH(238,Firms!$W$5:$W$1004,0),IF(S242="A",IFERROR(MATCH(238-$S$2,'AFA Rates'!$R$5:$R$1004,0),""),""))</f>
        <v/>
      </c>
      <c r="U242">
        <f>IF(S242="S",T242,IF(AND(S242="A",T242&lt;&gt;""),IFERROR(MATCH(INDEX('AFA Rates'!$A$5:$A$1004,T242),Firms!$A$5:$A$1004,0),""),""))</f>
        <v/>
      </c>
    </row>
    <row r="243">
      <c r="A243" s="78">
        <f>IF($T243="","",IF($S243="S",IF(INDEX(Firms!$A$5:$A$1004,$T243)="","",INDEX(Firms!$A$5:$A$1004,$T243)),IF(INDEX('AFA Rates'!$A$5:$A$1004,$T243)="","",INDEX('AFA Rates'!$A$5:$A$1004,$T243))))</f>
        <v/>
      </c>
      <c r="B243" s="79">
        <f>IF(OR($T243="",$U243=""),IF($T243="","","Not on Firms tab"),INDEX(Firms!$B$5:$B$1004,$U243)&amp;"")</f>
        <v/>
      </c>
      <c r="C243" s="78">
        <f>IF($T243="","",IF($S243="S","Standard",INDEX('AFA Rates'!$B$5:$B$1004,$T243)&amp;""))</f>
        <v/>
      </c>
      <c r="D243" s="88">
        <f>IF($T243="","",IF($S243="S",IF(INDEX(Firms!$E$5:$E$1004,$T243)="","",INDEX(Firms!$E$5:$E$1004,$T243)),IF(INDEX('AFA Rates'!$C$5:$C$1004,$T243)="","",INDEX('AFA Rates'!$C$5:$C$1004,$T243))))</f>
        <v/>
      </c>
      <c r="E243" s="88">
        <f>IF($T243="","",IF($S243="S",IF(""="","",""),IF(INDEX('AFA Rates'!$D$5:$D$1004,$T243)="","",INDEX('AFA Rates'!$D$5:$D$1004,$T243))))</f>
        <v/>
      </c>
      <c r="F243" s="79">
        <f>IF($T243="","",IF($S243="S",IF(INDEX(Firms!$O$5:$O$1004,$T243)="","",INDEX(Firms!$O$5:$O$1004,$T243)),IF(INDEX('AFA Rates'!$O$5:$O$1004,$T243)="","",INDEX('AFA Rates'!$O$5:$O$1004,$T243))))</f>
        <v/>
      </c>
      <c r="G243" s="50">
        <f>IF($T243="","",IF($S243="S",IF(INDEX(Firms!$F$5:$F$1004,$T243)="","",INDEX(Firms!$F$5:$F$1004,$T243)),IF(INDEX('AFA Rates'!$E$5:$E$1004,$T243)="","",INDEX('AFA Rates'!$E$5:$E$1004,$T243))))</f>
        <v/>
      </c>
      <c r="H243" s="50">
        <f>IF($T243="","",IF($S243="S",IF(INDEX(Firms!$G$5:$G$1004,$T243)="","",INDEX(Firms!$G$5:$G$1004,$T243)),IF(INDEX('AFA Rates'!$F$5:$F$1004,$T243)="","",INDEX('AFA Rates'!$F$5:$F$1004,$T243))))</f>
        <v/>
      </c>
      <c r="I243" s="50">
        <f>IF($T243="","",IF($S243="S",IF(INDEX(Firms!$H$5:$H$1004,$T243)="","",INDEX(Firms!$H$5:$H$1004,$T243)),IF(INDEX('AFA Rates'!$G$5:$G$1004,$T243)="","",INDEX('AFA Rates'!$G$5:$G$1004,$T243))))</f>
        <v/>
      </c>
      <c r="J243" s="50">
        <f>IF($T243="","",IF($S243="S",IF(INDEX(Firms!$I$5:$I$1004,$T243)="","",INDEX(Firms!$I$5:$I$1004,$T243)),IF(INDEX('AFA Rates'!$H$5:$H$1004,$T243)="","",INDEX('AFA Rates'!$H$5:$H$1004,$T243))))</f>
        <v/>
      </c>
      <c r="K243" s="50">
        <f>IF($T243="","",IF($S243="S",IF(INDEX(Firms!$J$5:$J$1004,$T243)="","",INDEX(Firms!$J$5:$J$1004,$T243)),IF(INDEX('AFA Rates'!$I$5:$I$1004,$T243)="","",INDEX('AFA Rates'!$I$5:$I$1004,$T243))))</f>
        <v/>
      </c>
      <c r="L243" s="50">
        <f>IF($T243="","",IF($S243="S",IF(INDEX(Firms!$K$5:$K$1004,$T243)="","",INDEX(Firms!$K$5:$K$1004,$T243)),IF(INDEX('AFA Rates'!$J$5:$J$1004,$T243)="","",INDEX('AFA Rates'!$J$5:$J$1004,$T243))))</f>
        <v/>
      </c>
      <c r="M243" s="50">
        <f>IF($T243="","",IF($S243="S",IF(INDEX(Firms!$L$5:$L$1004,$T243)="","",INDEX(Firms!$L$5:$L$1004,$T243)),IF(INDEX('AFA Rates'!$K$5:$K$1004,$T243)="","",INDEX('AFA Rates'!$K$5:$K$1004,$T243))))</f>
        <v/>
      </c>
      <c r="N243" s="50">
        <f>IF($T243="","",IF($S243="S",IF(INDEX(Firms!$M$5:$M$1004,$T243)="","",INDEX(Firms!$M$5:$M$1004,$T243)),IF(INDEX('AFA Rates'!$L$5:$L$1004,$T243)="","",INDEX('AFA Rates'!$L$5:$L$1004,$T243))))</f>
        <v/>
      </c>
      <c r="O243" s="78">
        <f>IF(OR($T243="",$U243=""),"",IF(INDEX(Firms!$C$5:$C$1004,$U243)="","",INDEX(Firms!$C$5:$C$1004,$U243)))</f>
        <v/>
      </c>
      <c r="P243" s="79">
        <f>IF(OR($T243="",$U243=""),"",IF(INDEX(Firms!$N$5:$N$1004,$U243)="","",INDEX(Firms!$N$5:$N$1004,$U243)))</f>
        <v/>
      </c>
      <c r="Q243" s="78">
        <f>IF($T243="","",IF($S243="S",IF(INDEX(Firms!$T$5:$T$1004,$T243)="","",INDEX(Firms!$T$5:$T$1004,$T243)),IF(INDEX('AFA Rates'!$M$5:$M$1004,$T243)="","",INDEX('AFA Rates'!$M$5:$M$1004,$T243))))</f>
        <v/>
      </c>
      <c r="S243">
        <f>IF(239&lt;=$S$2,"S",IF(239&lt;=$S$2+$T$2,"A",""))</f>
        <v/>
      </c>
      <c r="T243">
        <f>IF(S243="S",MATCH(239,Firms!$W$5:$W$1004,0),IF(S243="A",IFERROR(MATCH(239-$S$2,'AFA Rates'!$R$5:$R$1004,0),""),""))</f>
        <v/>
      </c>
      <c r="U243">
        <f>IF(S243="S",T243,IF(AND(S243="A",T243&lt;&gt;""),IFERROR(MATCH(INDEX('AFA Rates'!$A$5:$A$1004,T243),Firms!$A$5:$A$1004,0),""),""))</f>
        <v/>
      </c>
    </row>
    <row r="244">
      <c r="A244" s="78">
        <f>IF($T244="","",IF($S244="S",IF(INDEX(Firms!$A$5:$A$1004,$T244)="","",INDEX(Firms!$A$5:$A$1004,$T244)),IF(INDEX('AFA Rates'!$A$5:$A$1004,$T244)="","",INDEX('AFA Rates'!$A$5:$A$1004,$T244))))</f>
        <v/>
      </c>
      <c r="B244" s="79">
        <f>IF(OR($T244="",$U244=""),IF($T244="","","Not on Firms tab"),INDEX(Firms!$B$5:$B$1004,$U244)&amp;"")</f>
        <v/>
      </c>
      <c r="C244" s="78">
        <f>IF($T244="","",IF($S244="S","Standard",INDEX('AFA Rates'!$B$5:$B$1004,$T244)&amp;""))</f>
        <v/>
      </c>
      <c r="D244" s="88">
        <f>IF($T244="","",IF($S244="S",IF(INDEX(Firms!$E$5:$E$1004,$T244)="","",INDEX(Firms!$E$5:$E$1004,$T244)),IF(INDEX('AFA Rates'!$C$5:$C$1004,$T244)="","",INDEX('AFA Rates'!$C$5:$C$1004,$T244))))</f>
        <v/>
      </c>
      <c r="E244" s="88">
        <f>IF($T244="","",IF($S244="S",IF(""="","",""),IF(INDEX('AFA Rates'!$D$5:$D$1004,$T244)="","",INDEX('AFA Rates'!$D$5:$D$1004,$T244))))</f>
        <v/>
      </c>
      <c r="F244" s="79">
        <f>IF($T244="","",IF($S244="S",IF(INDEX(Firms!$O$5:$O$1004,$T244)="","",INDEX(Firms!$O$5:$O$1004,$T244)),IF(INDEX('AFA Rates'!$O$5:$O$1004,$T244)="","",INDEX('AFA Rates'!$O$5:$O$1004,$T244))))</f>
        <v/>
      </c>
      <c r="G244" s="50">
        <f>IF($T244="","",IF($S244="S",IF(INDEX(Firms!$F$5:$F$1004,$T244)="","",INDEX(Firms!$F$5:$F$1004,$T244)),IF(INDEX('AFA Rates'!$E$5:$E$1004,$T244)="","",INDEX('AFA Rates'!$E$5:$E$1004,$T244))))</f>
        <v/>
      </c>
      <c r="H244" s="50">
        <f>IF($T244="","",IF($S244="S",IF(INDEX(Firms!$G$5:$G$1004,$T244)="","",INDEX(Firms!$G$5:$G$1004,$T244)),IF(INDEX('AFA Rates'!$F$5:$F$1004,$T244)="","",INDEX('AFA Rates'!$F$5:$F$1004,$T244))))</f>
        <v/>
      </c>
      <c r="I244" s="50">
        <f>IF($T244="","",IF($S244="S",IF(INDEX(Firms!$H$5:$H$1004,$T244)="","",INDEX(Firms!$H$5:$H$1004,$T244)),IF(INDEX('AFA Rates'!$G$5:$G$1004,$T244)="","",INDEX('AFA Rates'!$G$5:$G$1004,$T244))))</f>
        <v/>
      </c>
      <c r="J244" s="50">
        <f>IF($T244="","",IF($S244="S",IF(INDEX(Firms!$I$5:$I$1004,$T244)="","",INDEX(Firms!$I$5:$I$1004,$T244)),IF(INDEX('AFA Rates'!$H$5:$H$1004,$T244)="","",INDEX('AFA Rates'!$H$5:$H$1004,$T244))))</f>
        <v/>
      </c>
      <c r="K244" s="50">
        <f>IF($T244="","",IF($S244="S",IF(INDEX(Firms!$J$5:$J$1004,$T244)="","",INDEX(Firms!$J$5:$J$1004,$T244)),IF(INDEX('AFA Rates'!$I$5:$I$1004,$T244)="","",INDEX('AFA Rates'!$I$5:$I$1004,$T244))))</f>
        <v/>
      </c>
      <c r="L244" s="50">
        <f>IF($T244="","",IF($S244="S",IF(INDEX(Firms!$K$5:$K$1004,$T244)="","",INDEX(Firms!$K$5:$K$1004,$T244)),IF(INDEX('AFA Rates'!$J$5:$J$1004,$T244)="","",INDEX('AFA Rates'!$J$5:$J$1004,$T244))))</f>
        <v/>
      </c>
      <c r="M244" s="50">
        <f>IF($T244="","",IF($S244="S",IF(INDEX(Firms!$L$5:$L$1004,$T244)="","",INDEX(Firms!$L$5:$L$1004,$T244)),IF(INDEX('AFA Rates'!$K$5:$K$1004,$T244)="","",INDEX('AFA Rates'!$K$5:$K$1004,$T244))))</f>
        <v/>
      </c>
      <c r="N244" s="50">
        <f>IF($T244="","",IF($S244="S",IF(INDEX(Firms!$M$5:$M$1004,$T244)="","",INDEX(Firms!$M$5:$M$1004,$T244)),IF(INDEX('AFA Rates'!$L$5:$L$1004,$T244)="","",INDEX('AFA Rates'!$L$5:$L$1004,$T244))))</f>
        <v/>
      </c>
      <c r="O244" s="78">
        <f>IF(OR($T244="",$U244=""),"",IF(INDEX(Firms!$C$5:$C$1004,$U244)="","",INDEX(Firms!$C$5:$C$1004,$U244)))</f>
        <v/>
      </c>
      <c r="P244" s="79">
        <f>IF(OR($T244="",$U244=""),"",IF(INDEX(Firms!$N$5:$N$1004,$U244)="","",INDEX(Firms!$N$5:$N$1004,$U244)))</f>
        <v/>
      </c>
      <c r="Q244" s="78">
        <f>IF($T244="","",IF($S244="S",IF(INDEX(Firms!$T$5:$T$1004,$T244)="","",INDEX(Firms!$T$5:$T$1004,$T244)),IF(INDEX('AFA Rates'!$M$5:$M$1004,$T244)="","",INDEX('AFA Rates'!$M$5:$M$1004,$T244))))</f>
        <v/>
      </c>
      <c r="S244">
        <f>IF(240&lt;=$S$2,"S",IF(240&lt;=$S$2+$T$2,"A",""))</f>
        <v/>
      </c>
      <c r="T244">
        <f>IF(S244="S",MATCH(240,Firms!$W$5:$W$1004,0),IF(S244="A",IFERROR(MATCH(240-$S$2,'AFA Rates'!$R$5:$R$1004,0),""),""))</f>
        <v/>
      </c>
      <c r="U244">
        <f>IF(S244="S",T244,IF(AND(S244="A",T244&lt;&gt;""),IFERROR(MATCH(INDEX('AFA Rates'!$A$5:$A$1004,T244),Firms!$A$5:$A$1004,0),""),""))</f>
        <v/>
      </c>
    </row>
    <row r="245">
      <c r="A245" s="78">
        <f>IF($T245="","",IF($S245="S",IF(INDEX(Firms!$A$5:$A$1004,$T245)="","",INDEX(Firms!$A$5:$A$1004,$T245)),IF(INDEX('AFA Rates'!$A$5:$A$1004,$T245)="","",INDEX('AFA Rates'!$A$5:$A$1004,$T245))))</f>
        <v/>
      </c>
      <c r="B245" s="79">
        <f>IF(OR($T245="",$U245=""),IF($T245="","","Not on Firms tab"),INDEX(Firms!$B$5:$B$1004,$U245)&amp;"")</f>
        <v/>
      </c>
      <c r="C245" s="78">
        <f>IF($T245="","",IF($S245="S","Standard",INDEX('AFA Rates'!$B$5:$B$1004,$T245)&amp;""))</f>
        <v/>
      </c>
      <c r="D245" s="88">
        <f>IF($T245="","",IF($S245="S",IF(INDEX(Firms!$E$5:$E$1004,$T245)="","",INDEX(Firms!$E$5:$E$1004,$T245)),IF(INDEX('AFA Rates'!$C$5:$C$1004,$T245)="","",INDEX('AFA Rates'!$C$5:$C$1004,$T245))))</f>
        <v/>
      </c>
      <c r="E245" s="88">
        <f>IF($T245="","",IF($S245="S",IF(""="","",""),IF(INDEX('AFA Rates'!$D$5:$D$1004,$T245)="","",INDEX('AFA Rates'!$D$5:$D$1004,$T245))))</f>
        <v/>
      </c>
      <c r="F245" s="79">
        <f>IF($T245="","",IF($S245="S",IF(INDEX(Firms!$O$5:$O$1004,$T245)="","",INDEX(Firms!$O$5:$O$1004,$T245)),IF(INDEX('AFA Rates'!$O$5:$O$1004,$T245)="","",INDEX('AFA Rates'!$O$5:$O$1004,$T245))))</f>
        <v/>
      </c>
      <c r="G245" s="50">
        <f>IF($T245="","",IF($S245="S",IF(INDEX(Firms!$F$5:$F$1004,$T245)="","",INDEX(Firms!$F$5:$F$1004,$T245)),IF(INDEX('AFA Rates'!$E$5:$E$1004,$T245)="","",INDEX('AFA Rates'!$E$5:$E$1004,$T245))))</f>
        <v/>
      </c>
      <c r="H245" s="50">
        <f>IF($T245="","",IF($S245="S",IF(INDEX(Firms!$G$5:$G$1004,$T245)="","",INDEX(Firms!$G$5:$G$1004,$T245)),IF(INDEX('AFA Rates'!$F$5:$F$1004,$T245)="","",INDEX('AFA Rates'!$F$5:$F$1004,$T245))))</f>
        <v/>
      </c>
      <c r="I245" s="50">
        <f>IF($T245="","",IF($S245="S",IF(INDEX(Firms!$H$5:$H$1004,$T245)="","",INDEX(Firms!$H$5:$H$1004,$T245)),IF(INDEX('AFA Rates'!$G$5:$G$1004,$T245)="","",INDEX('AFA Rates'!$G$5:$G$1004,$T245))))</f>
        <v/>
      </c>
      <c r="J245" s="50">
        <f>IF($T245="","",IF($S245="S",IF(INDEX(Firms!$I$5:$I$1004,$T245)="","",INDEX(Firms!$I$5:$I$1004,$T245)),IF(INDEX('AFA Rates'!$H$5:$H$1004,$T245)="","",INDEX('AFA Rates'!$H$5:$H$1004,$T245))))</f>
        <v/>
      </c>
      <c r="K245" s="50">
        <f>IF($T245="","",IF($S245="S",IF(INDEX(Firms!$J$5:$J$1004,$T245)="","",INDEX(Firms!$J$5:$J$1004,$T245)),IF(INDEX('AFA Rates'!$I$5:$I$1004,$T245)="","",INDEX('AFA Rates'!$I$5:$I$1004,$T245))))</f>
        <v/>
      </c>
      <c r="L245" s="50">
        <f>IF($T245="","",IF($S245="S",IF(INDEX(Firms!$K$5:$K$1004,$T245)="","",INDEX(Firms!$K$5:$K$1004,$T245)),IF(INDEX('AFA Rates'!$J$5:$J$1004,$T245)="","",INDEX('AFA Rates'!$J$5:$J$1004,$T245))))</f>
        <v/>
      </c>
      <c r="M245" s="50">
        <f>IF($T245="","",IF($S245="S",IF(INDEX(Firms!$L$5:$L$1004,$T245)="","",INDEX(Firms!$L$5:$L$1004,$T245)),IF(INDEX('AFA Rates'!$K$5:$K$1004,$T245)="","",INDEX('AFA Rates'!$K$5:$K$1004,$T245))))</f>
        <v/>
      </c>
      <c r="N245" s="50">
        <f>IF($T245="","",IF($S245="S",IF(INDEX(Firms!$M$5:$M$1004,$T245)="","",INDEX(Firms!$M$5:$M$1004,$T245)),IF(INDEX('AFA Rates'!$L$5:$L$1004,$T245)="","",INDEX('AFA Rates'!$L$5:$L$1004,$T245))))</f>
        <v/>
      </c>
      <c r="O245" s="78">
        <f>IF(OR($T245="",$U245=""),"",IF(INDEX(Firms!$C$5:$C$1004,$U245)="","",INDEX(Firms!$C$5:$C$1004,$U245)))</f>
        <v/>
      </c>
      <c r="P245" s="79">
        <f>IF(OR($T245="",$U245=""),"",IF(INDEX(Firms!$N$5:$N$1004,$U245)="","",INDEX(Firms!$N$5:$N$1004,$U245)))</f>
        <v/>
      </c>
      <c r="Q245" s="78">
        <f>IF($T245="","",IF($S245="S",IF(INDEX(Firms!$T$5:$T$1004,$T245)="","",INDEX(Firms!$T$5:$T$1004,$T245)),IF(INDEX('AFA Rates'!$M$5:$M$1004,$T245)="","",INDEX('AFA Rates'!$M$5:$M$1004,$T245))))</f>
        <v/>
      </c>
      <c r="S245">
        <f>IF(241&lt;=$S$2,"S",IF(241&lt;=$S$2+$T$2,"A",""))</f>
        <v/>
      </c>
      <c r="T245">
        <f>IF(S245="S",MATCH(241,Firms!$W$5:$W$1004,0),IF(S245="A",IFERROR(MATCH(241-$S$2,'AFA Rates'!$R$5:$R$1004,0),""),""))</f>
        <v/>
      </c>
      <c r="U245">
        <f>IF(S245="S",T245,IF(AND(S245="A",T245&lt;&gt;""),IFERROR(MATCH(INDEX('AFA Rates'!$A$5:$A$1004,T245),Firms!$A$5:$A$1004,0),""),""))</f>
        <v/>
      </c>
    </row>
    <row r="246">
      <c r="A246" s="78">
        <f>IF($T246="","",IF($S246="S",IF(INDEX(Firms!$A$5:$A$1004,$T246)="","",INDEX(Firms!$A$5:$A$1004,$T246)),IF(INDEX('AFA Rates'!$A$5:$A$1004,$T246)="","",INDEX('AFA Rates'!$A$5:$A$1004,$T246))))</f>
        <v/>
      </c>
      <c r="B246" s="79">
        <f>IF(OR($T246="",$U246=""),IF($T246="","","Not on Firms tab"),INDEX(Firms!$B$5:$B$1004,$U246)&amp;"")</f>
        <v/>
      </c>
      <c r="C246" s="78">
        <f>IF($T246="","",IF($S246="S","Standard",INDEX('AFA Rates'!$B$5:$B$1004,$T246)&amp;""))</f>
        <v/>
      </c>
      <c r="D246" s="88">
        <f>IF($T246="","",IF($S246="S",IF(INDEX(Firms!$E$5:$E$1004,$T246)="","",INDEX(Firms!$E$5:$E$1004,$T246)),IF(INDEX('AFA Rates'!$C$5:$C$1004,$T246)="","",INDEX('AFA Rates'!$C$5:$C$1004,$T246))))</f>
        <v/>
      </c>
      <c r="E246" s="88">
        <f>IF($T246="","",IF($S246="S",IF(""="","",""),IF(INDEX('AFA Rates'!$D$5:$D$1004,$T246)="","",INDEX('AFA Rates'!$D$5:$D$1004,$T246))))</f>
        <v/>
      </c>
      <c r="F246" s="79">
        <f>IF($T246="","",IF($S246="S",IF(INDEX(Firms!$O$5:$O$1004,$T246)="","",INDEX(Firms!$O$5:$O$1004,$T246)),IF(INDEX('AFA Rates'!$O$5:$O$1004,$T246)="","",INDEX('AFA Rates'!$O$5:$O$1004,$T246))))</f>
        <v/>
      </c>
      <c r="G246" s="50">
        <f>IF($T246="","",IF($S246="S",IF(INDEX(Firms!$F$5:$F$1004,$T246)="","",INDEX(Firms!$F$5:$F$1004,$T246)),IF(INDEX('AFA Rates'!$E$5:$E$1004,$T246)="","",INDEX('AFA Rates'!$E$5:$E$1004,$T246))))</f>
        <v/>
      </c>
      <c r="H246" s="50">
        <f>IF($T246="","",IF($S246="S",IF(INDEX(Firms!$G$5:$G$1004,$T246)="","",INDEX(Firms!$G$5:$G$1004,$T246)),IF(INDEX('AFA Rates'!$F$5:$F$1004,$T246)="","",INDEX('AFA Rates'!$F$5:$F$1004,$T246))))</f>
        <v/>
      </c>
      <c r="I246" s="50">
        <f>IF($T246="","",IF($S246="S",IF(INDEX(Firms!$H$5:$H$1004,$T246)="","",INDEX(Firms!$H$5:$H$1004,$T246)),IF(INDEX('AFA Rates'!$G$5:$G$1004,$T246)="","",INDEX('AFA Rates'!$G$5:$G$1004,$T246))))</f>
        <v/>
      </c>
      <c r="J246" s="50">
        <f>IF($T246="","",IF($S246="S",IF(INDEX(Firms!$I$5:$I$1004,$T246)="","",INDEX(Firms!$I$5:$I$1004,$T246)),IF(INDEX('AFA Rates'!$H$5:$H$1004,$T246)="","",INDEX('AFA Rates'!$H$5:$H$1004,$T246))))</f>
        <v/>
      </c>
      <c r="K246" s="50">
        <f>IF($T246="","",IF($S246="S",IF(INDEX(Firms!$J$5:$J$1004,$T246)="","",INDEX(Firms!$J$5:$J$1004,$T246)),IF(INDEX('AFA Rates'!$I$5:$I$1004,$T246)="","",INDEX('AFA Rates'!$I$5:$I$1004,$T246))))</f>
        <v/>
      </c>
      <c r="L246" s="50">
        <f>IF($T246="","",IF($S246="S",IF(INDEX(Firms!$K$5:$K$1004,$T246)="","",INDEX(Firms!$K$5:$K$1004,$T246)),IF(INDEX('AFA Rates'!$J$5:$J$1004,$T246)="","",INDEX('AFA Rates'!$J$5:$J$1004,$T246))))</f>
        <v/>
      </c>
      <c r="M246" s="50">
        <f>IF($T246="","",IF($S246="S",IF(INDEX(Firms!$L$5:$L$1004,$T246)="","",INDEX(Firms!$L$5:$L$1004,$T246)),IF(INDEX('AFA Rates'!$K$5:$K$1004,$T246)="","",INDEX('AFA Rates'!$K$5:$K$1004,$T246))))</f>
        <v/>
      </c>
      <c r="N246" s="50">
        <f>IF($T246="","",IF($S246="S",IF(INDEX(Firms!$M$5:$M$1004,$T246)="","",INDEX(Firms!$M$5:$M$1004,$T246)),IF(INDEX('AFA Rates'!$L$5:$L$1004,$T246)="","",INDEX('AFA Rates'!$L$5:$L$1004,$T246))))</f>
        <v/>
      </c>
      <c r="O246" s="78">
        <f>IF(OR($T246="",$U246=""),"",IF(INDEX(Firms!$C$5:$C$1004,$U246)="","",INDEX(Firms!$C$5:$C$1004,$U246)))</f>
        <v/>
      </c>
      <c r="P246" s="79">
        <f>IF(OR($T246="",$U246=""),"",IF(INDEX(Firms!$N$5:$N$1004,$U246)="","",INDEX(Firms!$N$5:$N$1004,$U246)))</f>
        <v/>
      </c>
      <c r="Q246" s="78">
        <f>IF($T246="","",IF($S246="S",IF(INDEX(Firms!$T$5:$T$1004,$T246)="","",INDEX(Firms!$T$5:$T$1004,$T246)),IF(INDEX('AFA Rates'!$M$5:$M$1004,$T246)="","",INDEX('AFA Rates'!$M$5:$M$1004,$T246))))</f>
        <v/>
      </c>
      <c r="S246">
        <f>IF(242&lt;=$S$2,"S",IF(242&lt;=$S$2+$T$2,"A",""))</f>
        <v/>
      </c>
      <c r="T246">
        <f>IF(S246="S",MATCH(242,Firms!$W$5:$W$1004,0),IF(S246="A",IFERROR(MATCH(242-$S$2,'AFA Rates'!$R$5:$R$1004,0),""),""))</f>
        <v/>
      </c>
      <c r="U246">
        <f>IF(S246="S",T246,IF(AND(S246="A",T246&lt;&gt;""),IFERROR(MATCH(INDEX('AFA Rates'!$A$5:$A$1004,T246),Firms!$A$5:$A$1004,0),""),""))</f>
        <v/>
      </c>
    </row>
    <row r="247">
      <c r="A247" s="78">
        <f>IF($T247="","",IF($S247="S",IF(INDEX(Firms!$A$5:$A$1004,$T247)="","",INDEX(Firms!$A$5:$A$1004,$T247)),IF(INDEX('AFA Rates'!$A$5:$A$1004,$T247)="","",INDEX('AFA Rates'!$A$5:$A$1004,$T247))))</f>
        <v/>
      </c>
      <c r="B247" s="79">
        <f>IF(OR($T247="",$U247=""),IF($T247="","","Not on Firms tab"),INDEX(Firms!$B$5:$B$1004,$U247)&amp;"")</f>
        <v/>
      </c>
      <c r="C247" s="78">
        <f>IF($T247="","",IF($S247="S","Standard",INDEX('AFA Rates'!$B$5:$B$1004,$T247)&amp;""))</f>
        <v/>
      </c>
      <c r="D247" s="88">
        <f>IF($T247="","",IF($S247="S",IF(INDEX(Firms!$E$5:$E$1004,$T247)="","",INDEX(Firms!$E$5:$E$1004,$T247)),IF(INDEX('AFA Rates'!$C$5:$C$1004,$T247)="","",INDEX('AFA Rates'!$C$5:$C$1004,$T247))))</f>
        <v/>
      </c>
      <c r="E247" s="88">
        <f>IF($T247="","",IF($S247="S",IF(""="","",""),IF(INDEX('AFA Rates'!$D$5:$D$1004,$T247)="","",INDEX('AFA Rates'!$D$5:$D$1004,$T247))))</f>
        <v/>
      </c>
      <c r="F247" s="79">
        <f>IF($T247="","",IF($S247="S",IF(INDEX(Firms!$O$5:$O$1004,$T247)="","",INDEX(Firms!$O$5:$O$1004,$T247)),IF(INDEX('AFA Rates'!$O$5:$O$1004,$T247)="","",INDEX('AFA Rates'!$O$5:$O$1004,$T247))))</f>
        <v/>
      </c>
      <c r="G247" s="50">
        <f>IF($T247="","",IF($S247="S",IF(INDEX(Firms!$F$5:$F$1004,$T247)="","",INDEX(Firms!$F$5:$F$1004,$T247)),IF(INDEX('AFA Rates'!$E$5:$E$1004,$T247)="","",INDEX('AFA Rates'!$E$5:$E$1004,$T247))))</f>
        <v/>
      </c>
      <c r="H247" s="50">
        <f>IF($T247="","",IF($S247="S",IF(INDEX(Firms!$G$5:$G$1004,$T247)="","",INDEX(Firms!$G$5:$G$1004,$T247)),IF(INDEX('AFA Rates'!$F$5:$F$1004,$T247)="","",INDEX('AFA Rates'!$F$5:$F$1004,$T247))))</f>
        <v/>
      </c>
      <c r="I247" s="50">
        <f>IF($T247="","",IF($S247="S",IF(INDEX(Firms!$H$5:$H$1004,$T247)="","",INDEX(Firms!$H$5:$H$1004,$T247)),IF(INDEX('AFA Rates'!$G$5:$G$1004,$T247)="","",INDEX('AFA Rates'!$G$5:$G$1004,$T247))))</f>
        <v/>
      </c>
      <c r="J247" s="50">
        <f>IF($T247="","",IF($S247="S",IF(INDEX(Firms!$I$5:$I$1004,$T247)="","",INDEX(Firms!$I$5:$I$1004,$T247)),IF(INDEX('AFA Rates'!$H$5:$H$1004,$T247)="","",INDEX('AFA Rates'!$H$5:$H$1004,$T247))))</f>
        <v/>
      </c>
      <c r="K247" s="50">
        <f>IF($T247="","",IF($S247="S",IF(INDEX(Firms!$J$5:$J$1004,$T247)="","",INDEX(Firms!$J$5:$J$1004,$T247)),IF(INDEX('AFA Rates'!$I$5:$I$1004,$T247)="","",INDEX('AFA Rates'!$I$5:$I$1004,$T247))))</f>
        <v/>
      </c>
      <c r="L247" s="50">
        <f>IF($T247="","",IF($S247="S",IF(INDEX(Firms!$K$5:$K$1004,$T247)="","",INDEX(Firms!$K$5:$K$1004,$T247)),IF(INDEX('AFA Rates'!$J$5:$J$1004,$T247)="","",INDEX('AFA Rates'!$J$5:$J$1004,$T247))))</f>
        <v/>
      </c>
      <c r="M247" s="50">
        <f>IF($T247="","",IF($S247="S",IF(INDEX(Firms!$L$5:$L$1004,$T247)="","",INDEX(Firms!$L$5:$L$1004,$T247)),IF(INDEX('AFA Rates'!$K$5:$K$1004,$T247)="","",INDEX('AFA Rates'!$K$5:$K$1004,$T247))))</f>
        <v/>
      </c>
      <c r="N247" s="50">
        <f>IF($T247="","",IF($S247="S",IF(INDEX(Firms!$M$5:$M$1004,$T247)="","",INDEX(Firms!$M$5:$M$1004,$T247)),IF(INDEX('AFA Rates'!$L$5:$L$1004,$T247)="","",INDEX('AFA Rates'!$L$5:$L$1004,$T247))))</f>
        <v/>
      </c>
      <c r="O247" s="78">
        <f>IF(OR($T247="",$U247=""),"",IF(INDEX(Firms!$C$5:$C$1004,$U247)="","",INDEX(Firms!$C$5:$C$1004,$U247)))</f>
        <v/>
      </c>
      <c r="P247" s="79">
        <f>IF(OR($T247="",$U247=""),"",IF(INDEX(Firms!$N$5:$N$1004,$U247)="","",INDEX(Firms!$N$5:$N$1004,$U247)))</f>
        <v/>
      </c>
      <c r="Q247" s="78">
        <f>IF($T247="","",IF($S247="S",IF(INDEX(Firms!$T$5:$T$1004,$T247)="","",INDEX(Firms!$T$5:$T$1004,$T247)),IF(INDEX('AFA Rates'!$M$5:$M$1004,$T247)="","",INDEX('AFA Rates'!$M$5:$M$1004,$T247))))</f>
        <v/>
      </c>
      <c r="S247">
        <f>IF(243&lt;=$S$2,"S",IF(243&lt;=$S$2+$T$2,"A",""))</f>
        <v/>
      </c>
      <c r="T247">
        <f>IF(S247="S",MATCH(243,Firms!$W$5:$W$1004,0),IF(S247="A",IFERROR(MATCH(243-$S$2,'AFA Rates'!$R$5:$R$1004,0),""),""))</f>
        <v/>
      </c>
      <c r="U247">
        <f>IF(S247="S",T247,IF(AND(S247="A",T247&lt;&gt;""),IFERROR(MATCH(INDEX('AFA Rates'!$A$5:$A$1004,T247),Firms!$A$5:$A$1004,0),""),""))</f>
        <v/>
      </c>
    </row>
    <row r="248">
      <c r="A248" s="78">
        <f>IF($T248="","",IF($S248="S",IF(INDEX(Firms!$A$5:$A$1004,$T248)="","",INDEX(Firms!$A$5:$A$1004,$T248)),IF(INDEX('AFA Rates'!$A$5:$A$1004,$T248)="","",INDEX('AFA Rates'!$A$5:$A$1004,$T248))))</f>
        <v/>
      </c>
      <c r="B248" s="79">
        <f>IF(OR($T248="",$U248=""),IF($T248="","","Not on Firms tab"),INDEX(Firms!$B$5:$B$1004,$U248)&amp;"")</f>
        <v/>
      </c>
      <c r="C248" s="78">
        <f>IF($T248="","",IF($S248="S","Standard",INDEX('AFA Rates'!$B$5:$B$1004,$T248)&amp;""))</f>
        <v/>
      </c>
      <c r="D248" s="88">
        <f>IF($T248="","",IF($S248="S",IF(INDEX(Firms!$E$5:$E$1004,$T248)="","",INDEX(Firms!$E$5:$E$1004,$T248)),IF(INDEX('AFA Rates'!$C$5:$C$1004,$T248)="","",INDEX('AFA Rates'!$C$5:$C$1004,$T248))))</f>
        <v/>
      </c>
      <c r="E248" s="88">
        <f>IF($T248="","",IF($S248="S",IF(""="","",""),IF(INDEX('AFA Rates'!$D$5:$D$1004,$T248)="","",INDEX('AFA Rates'!$D$5:$D$1004,$T248))))</f>
        <v/>
      </c>
      <c r="F248" s="79">
        <f>IF($T248="","",IF($S248="S",IF(INDEX(Firms!$O$5:$O$1004,$T248)="","",INDEX(Firms!$O$5:$O$1004,$T248)),IF(INDEX('AFA Rates'!$O$5:$O$1004,$T248)="","",INDEX('AFA Rates'!$O$5:$O$1004,$T248))))</f>
        <v/>
      </c>
      <c r="G248" s="50">
        <f>IF($T248="","",IF($S248="S",IF(INDEX(Firms!$F$5:$F$1004,$T248)="","",INDEX(Firms!$F$5:$F$1004,$T248)),IF(INDEX('AFA Rates'!$E$5:$E$1004,$T248)="","",INDEX('AFA Rates'!$E$5:$E$1004,$T248))))</f>
        <v/>
      </c>
      <c r="H248" s="50">
        <f>IF($T248="","",IF($S248="S",IF(INDEX(Firms!$G$5:$G$1004,$T248)="","",INDEX(Firms!$G$5:$G$1004,$T248)),IF(INDEX('AFA Rates'!$F$5:$F$1004,$T248)="","",INDEX('AFA Rates'!$F$5:$F$1004,$T248))))</f>
        <v/>
      </c>
      <c r="I248" s="50">
        <f>IF($T248="","",IF($S248="S",IF(INDEX(Firms!$H$5:$H$1004,$T248)="","",INDEX(Firms!$H$5:$H$1004,$T248)),IF(INDEX('AFA Rates'!$G$5:$G$1004,$T248)="","",INDEX('AFA Rates'!$G$5:$G$1004,$T248))))</f>
        <v/>
      </c>
      <c r="J248" s="50">
        <f>IF($T248="","",IF($S248="S",IF(INDEX(Firms!$I$5:$I$1004,$T248)="","",INDEX(Firms!$I$5:$I$1004,$T248)),IF(INDEX('AFA Rates'!$H$5:$H$1004,$T248)="","",INDEX('AFA Rates'!$H$5:$H$1004,$T248))))</f>
        <v/>
      </c>
      <c r="K248" s="50">
        <f>IF($T248="","",IF($S248="S",IF(INDEX(Firms!$J$5:$J$1004,$T248)="","",INDEX(Firms!$J$5:$J$1004,$T248)),IF(INDEX('AFA Rates'!$I$5:$I$1004,$T248)="","",INDEX('AFA Rates'!$I$5:$I$1004,$T248))))</f>
        <v/>
      </c>
      <c r="L248" s="50">
        <f>IF($T248="","",IF($S248="S",IF(INDEX(Firms!$K$5:$K$1004,$T248)="","",INDEX(Firms!$K$5:$K$1004,$T248)),IF(INDEX('AFA Rates'!$J$5:$J$1004,$T248)="","",INDEX('AFA Rates'!$J$5:$J$1004,$T248))))</f>
        <v/>
      </c>
      <c r="M248" s="50">
        <f>IF($T248="","",IF($S248="S",IF(INDEX(Firms!$L$5:$L$1004,$T248)="","",INDEX(Firms!$L$5:$L$1004,$T248)),IF(INDEX('AFA Rates'!$K$5:$K$1004,$T248)="","",INDEX('AFA Rates'!$K$5:$K$1004,$T248))))</f>
        <v/>
      </c>
      <c r="N248" s="50">
        <f>IF($T248="","",IF($S248="S",IF(INDEX(Firms!$M$5:$M$1004,$T248)="","",INDEX(Firms!$M$5:$M$1004,$T248)),IF(INDEX('AFA Rates'!$L$5:$L$1004,$T248)="","",INDEX('AFA Rates'!$L$5:$L$1004,$T248))))</f>
        <v/>
      </c>
      <c r="O248" s="78">
        <f>IF(OR($T248="",$U248=""),"",IF(INDEX(Firms!$C$5:$C$1004,$U248)="","",INDEX(Firms!$C$5:$C$1004,$U248)))</f>
        <v/>
      </c>
      <c r="P248" s="79">
        <f>IF(OR($T248="",$U248=""),"",IF(INDEX(Firms!$N$5:$N$1004,$U248)="","",INDEX(Firms!$N$5:$N$1004,$U248)))</f>
        <v/>
      </c>
      <c r="Q248" s="78">
        <f>IF($T248="","",IF($S248="S",IF(INDEX(Firms!$T$5:$T$1004,$T248)="","",INDEX(Firms!$T$5:$T$1004,$T248)),IF(INDEX('AFA Rates'!$M$5:$M$1004,$T248)="","",INDEX('AFA Rates'!$M$5:$M$1004,$T248))))</f>
        <v/>
      </c>
      <c r="S248">
        <f>IF(244&lt;=$S$2,"S",IF(244&lt;=$S$2+$T$2,"A",""))</f>
        <v/>
      </c>
      <c r="T248">
        <f>IF(S248="S",MATCH(244,Firms!$W$5:$W$1004,0),IF(S248="A",IFERROR(MATCH(244-$S$2,'AFA Rates'!$R$5:$R$1004,0),""),""))</f>
        <v/>
      </c>
      <c r="U248">
        <f>IF(S248="S",T248,IF(AND(S248="A",T248&lt;&gt;""),IFERROR(MATCH(INDEX('AFA Rates'!$A$5:$A$1004,T248),Firms!$A$5:$A$1004,0),""),""))</f>
        <v/>
      </c>
    </row>
    <row r="249">
      <c r="A249" s="78">
        <f>IF($T249="","",IF($S249="S",IF(INDEX(Firms!$A$5:$A$1004,$T249)="","",INDEX(Firms!$A$5:$A$1004,$T249)),IF(INDEX('AFA Rates'!$A$5:$A$1004,$T249)="","",INDEX('AFA Rates'!$A$5:$A$1004,$T249))))</f>
        <v/>
      </c>
      <c r="B249" s="79">
        <f>IF(OR($T249="",$U249=""),IF($T249="","","Not on Firms tab"),INDEX(Firms!$B$5:$B$1004,$U249)&amp;"")</f>
        <v/>
      </c>
      <c r="C249" s="78">
        <f>IF($T249="","",IF($S249="S","Standard",INDEX('AFA Rates'!$B$5:$B$1004,$T249)&amp;""))</f>
        <v/>
      </c>
      <c r="D249" s="88">
        <f>IF($T249="","",IF($S249="S",IF(INDEX(Firms!$E$5:$E$1004,$T249)="","",INDEX(Firms!$E$5:$E$1004,$T249)),IF(INDEX('AFA Rates'!$C$5:$C$1004,$T249)="","",INDEX('AFA Rates'!$C$5:$C$1004,$T249))))</f>
        <v/>
      </c>
      <c r="E249" s="88">
        <f>IF($T249="","",IF($S249="S",IF(""="","",""),IF(INDEX('AFA Rates'!$D$5:$D$1004,$T249)="","",INDEX('AFA Rates'!$D$5:$D$1004,$T249))))</f>
        <v/>
      </c>
      <c r="F249" s="79">
        <f>IF($T249="","",IF($S249="S",IF(INDEX(Firms!$O$5:$O$1004,$T249)="","",INDEX(Firms!$O$5:$O$1004,$T249)),IF(INDEX('AFA Rates'!$O$5:$O$1004,$T249)="","",INDEX('AFA Rates'!$O$5:$O$1004,$T249))))</f>
        <v/>
      </c>
      <c r="G249" s="50">
        <f>IF($T249="","",IF($S249="S",IF(INDEX(Firms!$F$5:$F$1004,$T249)="","",INDEX(Firms!$F$5:$F$1004,$T249)),IF(INDEX('AFA Rates'!$E$5:$E$1004,$T249)="","",INDEX('AFA Rates'!$E$5:$E$1004,$T249))))</f>
        <v/>
      </c>
      <c r="H249" s="50">
        <f>IF($T249="","",IF($S249="S",IF(INDEX(Firms!$G$5:$G$1004,$T249)="","",INDEX(Firms!$G$5:$G$1004,$T249)),IF(INDEX('AFA Rates'!$F$5:$F$1004,$T249)="","",INDEX('AFA Rates'!$F$5:$F$1004,$T249))))</f>
        <v/>
      </c>
      <c r="I249" s="50">
        <f>IF($T249="","",IF($S249="S",IF(INDEX(Firms!$H$5:$H$1004,$T249)="","",INDEX(Firms!$H$5:$H$1004,$T249)),IF(INDEX('AFA Rates'!$G$5:$G$1004,$T249)="","",INDEX('AFA Rates'!$G$5:$G$1004,$T249))))</f>
        <v/>
      </c>
      <c r="J249" s="50">
        <f>IF($T249="","",IF($S249="S",IF(INDEX(Firms!$I$5:$I$1004,$T249)="","",INDEX(Firms!$I$5:$I$1004,$T249)),IF(INDEX('AFA Rates'!$H$5:$H$1004,$T249)="","",INDEX('AFA Rates'!$H$5:$H$1004,$T249))))</f>
        <v/>
      </c>
      <c r="K249" s="50">
        <f>IF($T249="","",IF($S249="S",IF(INDEX(Firms!$J$5:$J$1004,$T249)="","",INDEX(Firms!$J$5:$J$1004,$T249)),IF(INDEX('AFA Rates'!$I$5:$I$1004,$T249)="","",INDEX('AFA Rates'!$I$5:$I$1004,$T249))))</f>
        <v/>
      </c>
      <c r="L249" s="50">
        <f>IF($T249="","",IF($S249="S",IF(INDEX(Firms!$K$5:$K$1004,$T249)="","",INDEX(Firms!$K$5:$K$1004,$T249)),IF(INDEX('AFA Rates'!$J$5:$J$1004,$T249)="","",INDEX('AFA Rates'!$J$5:$J$1004,$T249))))</f>
        <v/>
      </c>
      <c r="M249" s="50">
        <f>IF($T249="","",IF($S249="S",IF(INDEX(Firms!$L$5:$L$1004,$T249)="","",INDEX(Firms!$L$5:$L$1004,$T249)),IF(INDEX('AFA Rates'!$K$5:$K$1004,$T249)="","",INDEX('AFA Rates'!$K$5:$K$1004,$T249))))</f>
        <v/>
      </c>
      <c r="N249" s="50">
        <f>IF($T249="","",IF($S249="S",IF(INDEX(Firms!$M$5:$M$1004,$T249)="","",INDEX(Firms!$M$5:$M$1004,$T249)),IF(INDEX('AFA Rates'!$L$5:$L$1004,$T249)="","",INDEX('AFA Rates'!$L$5:$L$1004,$T249))))</f>
        <v/>
      </c>
      <c r="O249" s="78">
        <f>IF(OR($T249="",$U249=""),"",IF(INDEX(Firms!$C$5:$C$1004,$U249)="","",INDEX(Firms!$C$5:$C$1004,$U249)))</f>
        <v/>
      </c>
      <c r="P249" s="79">
        <f>IF(OR($T249="",$U249=""),"",IF(INDEX(Firms!$N$5:$N$1004,$U249)="","",INDEX(Firms!$N$5:$N$1004,$U249)))</f>
        <v/>
      </c>
      <c r="Q249" s="78">
        <f>IF($T249="","",IF($S249="S",IF(INDEX(Firms!$T$5:$T$1004,$T249)="","",INDEX(Firms!$T$5:$T$1004,$T249)),IF(INDEX('AFA Rates'!$M$5:$M$1004,$T249)="","",INDEX('AFA Rates'!$M$5:$M$1004,$T249))))</f>
        <v/>
      </c>
      <c r="S249">
        <f>IF(245&lt;=$S$2,"S",IF(245&lt;=$S$2+$T$2,"A",""))</f>
        <v/>
      </c>
      <c r="T249">
        <f>IF(S249="S",MATCH(245,Firms!$W$5:$W$1004,0),IF(S249="A",IFERROR(MATCH(245-$S$2,'AFA Rates'!$R$5:$R$1004,0),""),""))</f>
        <v/>
      </c>
      <c r="U249">
        <f>IF(S249="S",T249,IF(AND(S249="A",T249&lt;&gt;""),IFERROR(MATCH(INDEX('AFA Rates'!$A$5:$A$1004,T249),Firms!$A$5:$A$1004,0),""),""))</f>
        <v/>
      </c>
    </row>
    <row r="250">
      <c r="A250" s="78">
        <f>IF($T250="","",IF($S250="S",IF(INDEX(Firms!$A$5:$A$1004,$T250)="","",INDEX(Firms!$A$5:$A$1004,$T250)),IF(INDEX('AFA Rates'!$A$5:$A$1004,$T250)="","",INDEX('AFA Rates'!$A$5:$A$1004,$T250))))</f>
        <v/>
      </c>
      <c r="B250" s="79">
        <f>IF(OR($T250="",$U250=""),IF($T250="","","Not on Firms tab"),INDEX(Firms!$B$5:$B$1004,$U250)&amp;"")</f>
        <v/>
      </c>
      <c r="C250" s="78">
        <f>IF($T250="","",IF($S250="S","Standard",INDEX('AFA Rates'!$B$5:$B$1004,$T250)&amp;""))</f>
        <v/>
      </c>
      <c r="D250" s="88">
        <f>IF($T250="","",IF($S250="S",IF(INDEX(Firms!$E$5:$E$1004,$T250)="","",INDEX(Firms!$E$5:$E$1004,$T250)),IF(INDEX('AFA Rates'!$C$5:$C$1004,$T250)="","",INDEX('AFA Rates'!$C$5:$C$1004,$T250))))</f>
        <v/>
      </c>
      <c r="E250" s="88">
        <f>IF($T250="","",IF($S250="S",IF(""="","",""),IF(INDEX('AFA Rates'!$D$5:$D$1004,$T250)="","",INDEX('AFA Rates'!$D$5:$D$1004,$T250))))</f>
        <v/>
      </c>
      <c r="F250" s="79">
        <f>IF($T250="","",IF($S250="S",IF(INDEX(Firms!$O$5:$O$1004,$T250)="","",INDEX(Firms!$O$5:$O$1004,$T250)),IF(INDEX('AFA Rates'!$O$5:$O$1004,$T250)="","",INDEX('AFA Rates'!$O$5:$O$1004,$T250))))</f>
        <v/>
      </c>
      <c r="G250" s="50">
        <f>IF($T250="","",IF($S250="S",IF(INDEX(Firms!$F$5:$F$1004,$T250)="","",INDEX(Firms!$F$5:$F$1004,$T250)),IF(INDEX('AFA Rates'!$E$5:$E$1004,$T250)="","",INDEX('AFA Rates'!$E$5:$E$1004,$T250))))</f>
        <v/>
      </c>
      <c r="H250" s="50">
        <f>IF($T250="","",IF($S250="S",IF(INDEX(Firms!$G$5:$G$1004,$T250)="","",INDEX(Firms!$G$5:$G$1004,$T250)),IF(INDEX('AFA Rates'!$F$5:$F$1004,$T250)="","",INDEX('AFA Rates'!$F$5:$F$1004,$T250))))</f>
        <v/>
      </c>
      <c r="I250" s="50">
        <f>IF($T250="","",IF($S250="S",IF(INDEX(Firms!$H$5:$H$1004,$T250)="","",INDEX(Firms!$H$5:$H$1004,$T250)),IF(INDEX('AFA Rates'!$G$5:$G$1004,$T250)="","",INDEX('AFA Rates'!$G$5:$G$1004,$T250))))</f>
        <v/>
      </c>
      <c r="J250" s="50">
        <f>IF($T250="","",IF($S250="S",IF(INDEX(Firms!$I$5:$I$1004,$T250)="","",INDEX(Firms!$I$5:$I$1004,$T250)),IF(INDEX('AFA Rates'!$H$5:$H$1004,$T250)="","",INDEX('AFA Rates'!$H$5:$H$1004,$T250))))</f>
        <v/>
      </c>
      <c r="K250" s="50">
        <f>IF($T250="","",IF($S250="S",IF(INDEX(Firms!$J$5:$J$1004,$T250)="","",INDEX(Firms!$J$5:$J$1004,$T250)),IF(INDEX('AFA Rates'!$I$5:$I$1004,$T250)="","",INDEX('AFA Rates'!$I$5:$I$1004,$T250))))</f>
        <v/>
      </c>
      <c r="L250" s="50">
        <f>IF($T250="","",IF($S250="S",IF(INDEX(Firms!$K$5:$K$1004,$T250)="","",INDEX(Firms!$K$5:$K$1004,$T250)),IF(INDEX('AFA Rates'!$J$5:$J$1004,$T250)="","",INDEX('AFA Rates'!$J$5:$J$1004,$T250))))</f>
        <v/>
      </c>
      <c r="M250" s="50">
        <f>IF($T250="","",IF($S250="S",IF(INDEX(Firms!$L$5:$L$1004,$T250)="","",INDEX(Firms!$L$5:$L$1004,$T250)),IF(INDEX('AFA Rates'!$K$5:$K$1004,$T250)="","",INDEX('AFA Rates'!$K$5:$K$1004,$T250))))</f>
        <v/>
      </c>
      <c r="N250" s="50">
        <f>IF($T250="","",IF($S250="S",IF(INDEX(Firms!$M$5:$M$1004,$T250)="","",INDEX(Firms!$M$5:$M$1004,$T250)),IF(INDEX('AFA Rates'!$L$5:$L$1004,$T250)="","",INDEX('AFA Rates'!$L$5:$L$1004,$T250))))</f>
        <v/>
      </c>
      <c r="O250" s="78">
        <f>IF(OR($T250="",$U250=""),"",IF(INDEX(Firms!$C$5:$C$1004,$U250)="","",INDEX(Firms!$C$5:$C$1004,$U250)))</f>
        <v/>
      </c>
      <c r="P250" s="79">
        <f>IF(OR($T250="",$U250=""),"",IF(INDEX(Firms!$N$5:$N$1004,$U250)="","",INDEX(Firms!$N$5:$N$1004,$U250)))</f>
        <v/>
      </c>
      <c r="Q250" s="78">
        <f>IF($T250="","",IF($S250="S",IF(INDEX(Firms!$T$5:$T$1004,$T250)="","",INDEX(Firms!$T$5:$T$1004,$T250)),IF(INDEX('AFA Rates'!$M$5:$M$1004,$T250)="","",INDEX('AFA Rates'!$M$5:$M$1004,$T250))))</f>
        <v/>
      </c>
      <c r="S250">
        <f>IF(246&lt;=$S$2,"S",IF(246&lt;=$S$2+$T$2,"A",""))</f>
        <v/>
      </c>
      <c r="T250">
        <f>IF(S250="S",MATCH(246,Firms!$W$5:$W$1004,0),IF(S250="A",IFERROR(MATCH(246-$S$2,'AFA Rates'!$R$5:$R$1004,0),""),""))</f>
        <v/>
      </c>
      <c r="U250">
        <f>IF(S250="S",T250,IF(AND(S250="A",T250&lt;&gt;""),IFERROR(MATCH(INDEX('AFA Rates'!$A$5:$A$1004,T250),Firms!$A$5:$A$1004,0),""),""))</f>
        <v/>
      </c>
    </row>
    <row r="251">
      <c r="A251" s="78">
        <f>IF($T251="","",IF($S251="S",IF(INDEX(Firms!$A$5:$A$1004,$T251)="","",INDEX(Firms!$A$5:$A$1004,$T251)),IF(INDEX('AFA Rates'!$A$5:$A$1004,$T251)="","",INDEX('AFA Rates'!$A$5:$A$1004,$T251))))</f>
        <v/>
      </c>
      <c r="B251" s="79">
        <f>IF(OR($T251="",$U251=""),IF($T251="","","Not on Firms tab"),INDEX(Firms!$B$5:$B$1004,$U251)&amp;"")</f>
        <v/>
      </c>
      <c r="C251" s="78">
        <f>IF($T251="","",IF($S251="S","Standard",INDEX('AFA Rates'!$B$5:$B$1004,$T251)&amp;""))</f>
        <v/>
      </c>
      <c r="D251" s="88">
        <f>IF($T251="","",IF($S251="S",IF(INDEX(Firms!$E$5:$E$1004,$T251)="","",INDEX(Firms!$E$5:$E$1004,$T251)),IF(INDEX('AFA Rates'!$C$5:$C$1004,$T251)="","",INDEX('AFA Rates'!$C$5:$C$1004,$T251))))</f>
        <v/>
      </c>
      <c r="E251" s="88">
        <f>IF($T251="","",IF($S251="S",IF(""="","",""),IF(INDEX('AFA Rates'!$D$5:$D$1004,$T251)="","",INDEX('AFA Rates'!$D$5:$D$1004,$T251))))</f>
        <v/>
      </c>
      <c r="F251" s="79">
        <f>IF($T251="","",IF($S251="S",IF(INDEX(Firms!$O$5:$O$1004,$T251)="","",INDEX(Firms!$O$5:$O$1004,$T251)),IF(INDEX('AFA Rates'!$O$5:$O$1004,$T251)="","",INDEX('AFA Rates'!$O$5:$O$1004,$T251))))</f>
        <v/>
      </c>
      <c r="G251" s="50">
        <f>IF($T251="","",IF($S251="S",IF(INDEX(Firms!$F$5:$F$1004,$T251)="","",INDEX(Firms!$F$5:$F$1004,$T251)),IF(INDEX('AFA Rates'!$E$5:$E$1004,$T251)="","",INDEX('AFA Rates'!$E$5:$E$1004,$T251))))</f>
        <v/>
      </c>
      <c r="H251" s="50">
        <f>IF($T251="","",IF($S251="S",IF(INDEX(Firms!$G$5:$G$1004,$T251)="","",INDEX(Firms!$G$5:$G$1004,$T251)),IF(INDEX('AFA Rates'!$F$5:$F$1004,$T251)="","",INDEX('AFA Rates'!$F$5:$F$1004,$T251))))</f>
        <v/>
      </c>
      <c r="I251" s="50">
        <f>IF($T251="","",IF($S251="S",IF(INDEX(Firms!$H$5:$H$1004,$T251)="","",INDEX(Firms!$H$5:$H$1004,$T251)),IF(INDEX('AFA Rates'!$G$5:$G$1004,$T251)="","",INDEX('AFA Rates'!$G$5:$G$1004,$T251))))</f>
        <v/>
      </c>
      <c r="J251" s="50">
        <f>IF($T251="","",IF($S251="S",IF(INDEX(Firms!$I$5:$I$1004,$T251)="","",INDEX(Firms!$I$5:$I$1004,$T251)),IF(INDEX('AFA Rates'!$H$5:$H$1004,$T251)="","",INDEX('AFA Rates'!$H$5:$H$1004,$T251))))</f>
        <v/>
      </c>
      <c r="K251" s="50">
        <f>IF($T251="","",IF($S251="S",IF(INDEX(Firms!$J$5:$J$1004,$T251)="","",INDEX(Firms!$J$5:$J$1004,$T251)),IF(INDEX('AFA Rates'!$I$5:$I$1004,$T251)="","",INDEX('AFA Rates'!$I$5:$I$1004,$T251))))</f>
        <v/>
      </c>
      <c r="L251" s="50">
        <f>IF($T251="","",IF($S251="S",IF(INDEX(Firms!$K$5:$K$1004,$T251)="","",INDEX(Firms!$K$5:$K$1004,$T251)),IF(INDEX('AFA Rates'!$J$5:$J$1004,$T251)="","",INDEX('AFA Rates'!$J$5:$J$1004,$T251))))</f>
        <v/>
      </c>
      <c r="M251" s="50">
        <f>IF($T251="","",IF($S251="S",IF(INDEX(Firms!$L$5:$L$1004,$T251)="","",INDEX(Firms!$L$5:$L$1004,$T251)),IF(INDEX('AFA Rates'!$K$5:$K$1004,$T251)="","",INDEX('AFA Rates'!$K$5:$K$1004,$T251))))</f>
        <v/>
      </c>
      <c r="N251" s="50">
        <f>IF($T251="","",IF($S251="S",IF(INDEX(Firms!$M$5:$M$1004,$T251)="","",INDEX(Firms!$M$5:$M$1004,$T251)),IF(INDEX('AFA Rates'!$L$5:$L$1004,$T251)="","",INDEX('AFA Rates'!$L$5:$L$1004,$T251))))</f>
        <v/>
      </c>
      <c r="O251" s="78">
        <f>IF(OR($T251="",$U251=""),"",IF(INDEX(Firms!$C$5:$C$1004,$U251)="","",INDEX(Firms!$C$5:$C$1004,$U251)))</f>
        <v/>
      </c>
      <c r="P251" s="79">
        <f>IF(OR($T251="",$U251=""),"",IF(INDEX(Firms!$N$5:$N$1004,$U251)="","",INDEX(Firms!$N$5:$N$1004,$U251)))</f>
        <v/>
      </c>
      <c r="Q251" s="78">
        <f>IF($T251="","",IF($S251="S",IF(INDEX(Firms!$T$5:$T$1004,$T251)="","",INDEX(Firms!$T$5:$T$1004,$T251)),IF(INDEX('AFA Rates'!$M$5:$M$1004,$T251)="","",INDEX('AFA Rates'!$M$5:$M$1004,$T251))))</f>
        <v/>
      </c>
      <c r="S251">
        <f>IF(247&lt;=$S$2,"S",IF(247&lt;=$S$2+$T$2,"A",""))</f>
        <v/>
      </c>
      <c r="T251">
        <f>IF(S251="S",MATCH(247,Firms!$W$5:$W$1004,0),IF(S251="A",IFERROR(MATCH(247-$S$2,'AFA Rates'!$R$5:$R$1004,0),""),""))</f>
        <v/>
      </c>
      <c r="U251">
        <f>IF(S251="S",T251,IF(AND(S251="A",T251&lt;&gt;""),IFERROR(MATCH(INDEX('AFA Rates'!$A$5:$A$1004,T251),Firms!$A$5:$A$1004,0),""),""))</f>
        <v/>
      </c>
    </row>
    <row r="252">
      <c r="A252" s="78">
        <f>IF($T252="","",IF($S252="S",IF(INDEX(Firms!$A$5:$A$1004,$T252)="","",INDEX(Firms!$A$5:$A$1004,$T252)),IF(INDEX('AFA Rates'!$A$5:$A$1004,$T252)="","",INDEX('AFA Rates'!$A$5:$A$1004,$T252))))</f>
        <v/>
      </c>
      <c r="B252" s="79">
        <f>IF(OR($T252="",$U252=""),IF($T252="","","Not on Firms tab"),INDEX(Firms!$B$5:$B$1004,$U252)&amp;"")</f>
        <v/>
      </c>
      <c r="C252" s="78">
        <f>IF($T252="","",IF($S252="S","Standard",INDEX('AFA Rates'!$B$5:$B$1004,$T252)&amp;""))</f>
        <v/>
      </c>
      <c r="D252" s="88">
        <f>IF($T252="","",IF($S252="S",IF(INDEX(Firms!$E$5:$E$1004,$T252)="","",INDEX(Firms!$E$5:$E$1004,$T252)),IF(INDEX('AFA Rates'!$C$5:$C$1004,$T252)="","",INDEX('AFA Rates'!$C$5:$C$1004,$T252))))</f>
        <v/>
      </c>
      <c r="E252" s="88">
        <f>IF($T252="","",IF($S252="S",IF(""="","",""),IF(INDEX('AFA Rates'!$D$5:$D$1004,$T252)="","",INDEX('AFA Rates'!$D$5:$D$1004,$T252))))</f>
        <v/>
      </c>
      <c r="F252" s="79">
        <f>IF($T252="","",IF($S252="S",IF(INDEX(Firms!$O$5:$O$1004,$T252)="","",INDEX(Firms!$O$5:$O$1004,$T252)),IF(INDEX('AFA Rates'!$O$5:$O$1004,$T252)="","",INDEX('AFA Rates'!$O$5:$O$1004,$T252))))</f>
        <v/>
      </c>
      <c r="G252" s="50">
        <f>IF($T252="","",IF($S252="S",IF(INDEX(Firms!$F$5:$F$1004,$T252)="","",INDEX(Firms!$F$5:$F$1004,$T252)),IF(INDEX('AFA Rates'!$E$5:$E$1004,$T252)="","",INDEX('AFA Rates'!$E$5:$E$1004,$T252))))</f>
        <v/>
      </c>
      <c r="H252" s="50">
        <f>IF($T252="","",IF($S252="S",IF(INDEX(Firms!$G$5:$G$1004,$T252)="","",INDEX(Firms!$G$5:$G$1004,$T252)),IF(INDEX('AFA Rates'!$F$5:$F$1004,$T252)="","",INDEX('AFA Rates'!$F$5:$F$1004,$T252))))</f>
        <v/>
      </c>
      <c r="I252" s="50">
        <f>IF($T252="","",IF($S252="S",IF(INDEX(Firms!$H$5:$H$1004,$T252)="","",INDEX(Firms!$H$5:$H$1004,$T252)),IF(INDEX('AFA Rates'!$G$5:$G$1004,$T252)="","",INDEX('AFA Rates'!$G$5:$G$1004,$T252))))</f>
        <v/>
      </c>
      <c r="J252" s="50">
        <f>IF($T252="","",IF($S252="S",IF(INDEX(Firms!$I$5:$I$1004,$T252)="","",INDEX(Firms!$I$5:$I$1004,$T252)),IF(INDEX('AFA Rates'!$H$5:$H$1004,$T252)="","",INDEX('AFA Rates'!$H$5:$H$1004,$T252))))</f>
        <v/>
      </c>
      <c r="K252" s="50">
        <f>IF($T252="","",IF($S252="S",IF(INDEX(Firms!$J$5:$J$1004,$T252)="","",INDEX(Firms!$J$5:$J$1004,$T252)),IF(INDEX('AFA Rates'!$I$5:$I$1004,$T252)="","",INDEX('AFA Rates'!$I$5:$I$1004,$T252))))</f>
        <v/>
      </c>
      <c r="L252" s="50">
        <f>IF($T252="","",IF($S252="S",IF(INDEX(Firms!$K$5:$K$1004,$T252)="","",INDEX(Firms!$K$5:$K$1004,$T252)),IF(INDEX('AFA Rates'!$J$5:$J$1004,$T252)="","",INDEX('AFA Rates'!$J$5:$J$1004,$T252))))</f>
        <v/>
      </c>
      <c r="M252" s="50">
        <f>IF($T252="","",IF($S252="S",IF(INDEX(Firms!$L$5:$L$1004,$T252)="","",INDEX(Firms!$L$5:$L$1004,$T252)),IF(INDEX('AFA Rates'!$K$5:$K$1004,$T252)="","",INDEX('AFA Rates'!$K$5:$K$1004,$T252))))</f>
        <v/>
      </c>
      <c r="N252" s="50">
        <f>IF($T252="","",IF($S252="S",IF(INDEX(Firms!$M$5:$M$1004,$T252)="","",INDEX(Firms!$M$5:$M$1004,$T252)),IF(INDEX('AFA Rates'!$L$5:$L$1004,$T252)="","",INDEX('AFA Rates'!$L$5:$L$1004,$T252))))</f>
        <v/>
      </c>
      <c r="O252" s="78">
        <f>IF(OR($T252="",$U252=""),"",IF(INDEX(Firms!$C$5:$C$1004,$U252)="","",INDEX(Firms!$C$5:$C$1004,$U252)))</f>
        <v/>
      </c>
      <c r="P252" s="79">
        <f>IF(OR($T252="",$U252=""),"",IF(INDEX(Firms!$N$5:$N$1004,$U252)="","",INDEX(Firms!$N$5:$N$1004,$U252)))</f>
        <v/>
      </c>
      <c r="Q252" s="78">
        <f>IF($T252="","",IF($S252="S",IF(INDEX(Firms!$T$5:$T$1004,$T252)="","",INDEX(Firms!$T$5:$T$1004,$T252)),IF(INDEX('AFA Rates'!$M$5:$M$1004,$T252)="","",INDEX('AFA Rates'!$M$5:$M$1004,$T252))))</f>
        <v/>
      </c>
      <c r="S252">
        <f>IF(248&lt;=$S$2,"S",IF(248&lt;=$S$2+$T$2,"A",""))</f>
        <v/>
      </c>
      <c r="T252">
        <f>IF(S252="S",MATCH(248,Firms!$W$5:$W$1004,0),IF(S252="A",IFERROR(MATCH(248-$S$2,'AFA Rates'!$R$5:$R$1004,0),""),""))</f>
        <v/>
      </c>
      <c r="U252">
        <f>IF(S252="S",T252,IF(AND(S252="A",T252&lt;&gt;""),IFERROR(MATCH(INDEX('AFA Rates'!$A$5:$A$1004,T252),Firms!$A$5:$A$1004,0),""),""))</f>
        <v/>
      </c>
    </row>
    <row r="253">
      <c r="A253" s="78">
        <f>IF($T253="","",IF($S253="S",IF(INDEX(Firms!$A$5:$A$1004,$T253)="","",INDEX(Firms!$A$5:$A$1004,$T253)),IF(INDEX('AFA Rates'!$A$5:$A$1004,$T253)="","",INDEX('AFA Rates'!$A$5:$A$1004,$T253))))</f>
        <v/>
      </c>
      <c r="B253" s="79">
        <f>IF(OR($T253="",$U253=""),IF($T253="","","Not on Firms tab"),INDEX(Firms!$B$5:$B$1004,$U253)&amp;"")</f>
        <v/>
      </c>
      <c r="C253" s="78">
        <f>IF($T253="","",IF($S253="S","Standard",INDEX('AFA Rates'!$B$5:$B$1004,$T253)&amp;""))</f>
        <v/>
      </c>
      <c r="D253" s="88">
        <f>IF($T253="","",IF($S253="S",IF(INDEX(Firms!$E$5:$E$1004,$T253)="","",INDEX(Firms!$E$5:$E$1004,$T253)),IF(INDEX('AFA Rates'!$C$5:$C$1004,$T253)="","",INDEX('AFA Rates'!$C$5:$C$1004,$T253))))</f>
        <v/>
      </c>
      <c r="E253" s="88">
        <f>IF($T253="","",IF($S253="S",IF(""="","",""),IF(INDEX('AFA Rates'!$D$5:$D$1004,$T253)="","",INDEX('AFA Rates'!$D$5:$D$1004,$T253))))</f>
        <v/>
      </c>
      <c r="F253" s="79">
        <f>IF($T253="","",IF($S253="S",IF(INDEX(Firms!$O$5:$O$1004,$T253)="","",INDEX(Firms!$O$5:$O$1004,$T253)),IF(INDEX('AFA Rates'!$O$5:$O$1004,$T253)="","",INDEX('AFA Rates'!$O$5:$O$1004,$T253))))</f>
        <v/>
      </c>
      <c r="G253" s="50">
        <f>IF($T253="","",IF($S253="S",IF(INDEX(Firms!$F$5:$F$1004,$T253)="","",INDEX(Firms!$F$5:$F$1004,$T253)),IF(INDEX('AFA Rates'!$E$5:$E$1004,$T253)="","",INDEX('AFA Rates'!$E$5:$E$1004,$T253))))</f>
        <v/>
      </c>
      <c r="H253" s="50">
        <f>IF($T253="","",IF($S253="S",IF(INDEX(Firms!$G$5:$G$1004,$T253)="","",INDEX(Firms!$G$5:$G$1004,$T253)),IF(INDEX('AFA Rates'!$F$5:$F$1004,$T253)="","",INDEX('AFA Rates'!$F$5:$F$1004,$T253))))</f>
        <v/>
      </c>
      <c r="I253" s="50">
        <f>IF($T253="","",IF($S253="S",IF(INDEX(Firms!$H$5:$H$1004,$T253)="","",INDEX(Firms!$H$5:$H$1004,$T253)),IF(INDEX('AFA Rates'!$G$5:$G$1004,$T253)="","",INDEX('AFA Rates'!$G$5:$G$1004,$T253))))</f>
        <v/>
      </c>
      <c r="J253" s="50">
        <f>IF($T253="","",IF($S253="S",IF(INDEX(Firms!$I$5:$I$1004,$T253)="","",INDEX(Firms!$I$5:$I$1004,$T253)),IF(INDEX('AFA Rates'!$H$5:$H$1004,$T253)="","",INDEX('AFA Rates'!$H$5:$H$1004,$T253))))</f>
        <v/>
      </c>
      <c r="K253" s="50">
        <f>IF($T253="","",IF($S253="S",IF(INDEX(Firms!$J$5:$J$1004,$T253)="","",INDEX(Firms!$J$5:$J$1004,$T253)),IF(INDEX('AFA Rates'!$I$5:$I$1004,$T253)="","",INDEX('AFA Rates'!$I$5:$I$1004,$T253))))</f>
        <v/>
      </c>
      <c r="L253" s="50">
        <f>IF($T253="","",IF($S253="S",IF(INDEX(Firms!$K$5:$K$1004,$T253)="","",INDEX(Firms!$K$5:$K$1004,$T253)),IF(INDEX('AFA Rates'!$J$5:$J$1004,$T253)="","",INDEX('AFA Rates'!$J$5:$J$1004,$T253))))</f>
        <v/>
      </c>
      <c r="M253" s="50">
        <f>IF($T253="","",IF($S253="S",IF(INDEX(Firms!$L$5:$L$1004,$T253)="","",INDEX(Firms!$L$5:$L$1004,$T253)),IF(INDEX('AFA Rates'!$K$5:$K$1004,$T253)="","",INDEX('AFA Rates'!$K$5:$K$1004,$T253))))</f>
        <v/>
      </c>
      <c r="N253" s="50">
        <f>IF($T253="","",IF($S253="S",IF(INDEX(Firms!$M$5:$M$1004,$T253)="","",INDEX(Firms!$M$5:$M$1004,$T253)),IF(INDEX('AFA Rates'!$L$5:$L$1004,$T253)="","",INDEX('AFA Rates'!$L$5:$L$1004,$T253))))</f>
        <v/>
      </c>
      <c r="O253" s="78">
        <f>IF(OR($T253="",$U253=""),"",IF(INDEX(Firms!$C$5:$C$1004,$U253)="","",INDEX(Firms!$C$5:$C$1004,$U253)))</f>
        <v/>
      </c>
      <c r="P253" s="79">
        <f>IF(OR($T253="",$U253=""),"",IF(INDEX(Firms!$N$5:$N$1004,$U253)="","",INDEX(Firms!$N$5:$N$1004,$U253)))</f>
        <v/>
      </c>
      <c r="Q253" s="78">
        <f>IF($T253="","",IF($S253="S",IF(INDEX(Firms!$T$5:$T$1004,$T253)="","",INDEX(Firms!$T$5:$T$1004,$T253)),IF(INDEX('AFA Rates'!$M$5:$M$1004,$T253)="","",INDEX('AFA Rates'!$M$5:$M$1004,$T253))))</f>
        <v/>
      </c>
      <c r="S253">
        <f>IF(249&lt;=$S$2,"S",IF(249&lt;=$S$2+$T$2,"A",""))</f>
        <v/>
      </c>
      <c r="T253">
        <f>IF(S253="S",MATCH(249,Firms!$W$5:$W$1004,0),IF(S253="A",IFERROR(MATCH(249-$S$2,'AFA Rates'!$R$5:$R$1004,0),""),""))</f>
        <v/>
      </c>
      <c r="U253">
        <f>IF(S253="S",T253,IF(AND(S253="A",T253&lt;&gt;""),IFERROR(MATCH(INDEX('AFA Rates'!$A$5:$A$1004,T253),Firms!$A$5:$A$1004,0),""),""))</f>
        <v/>
      </c>
    </row>
    <row r="254">
      <c r="A254" s="78">
        <f>IF($T254="","",IF($S254="S",IF(INDEX(Firms!$A$5:$A$1004,$T254)="","",INDEX(Firms!$A$5:$A$1004,$T254)),IF(INDEX('AFA Rates'!$A$5:$A$1004,$T254)="","",INDEX('AFA Rates'!$A$5:$A$1004,$T254))))</f>
        <v/>
      </c>
      <c r="B254" s="79">
        <f>IF(OR($T254="",$U254=""),IF($T254="","","Not on Firms tab"),INDEX(Firms!$B$5:$B$1004,$U254)&amp;"")</f>
        <v/>
      </c>
      <c r="C254" s="78">
        <f>IF($T254="","",IF($S254="S","Standard",INDEX('AFA Rates'!$B$5:$B$1004,$T254)&amp;""))</f>
        <v/>
      </c>
      <c r="D254" s="88">
        <f>IF($T254="","",IF($S254="S",IF(INDEX(Firms!$E$5:$E$1004,$T254)="","",INDEX(Firms!$E$5:$E$1004,$T254)),IF(INDEX('AFA Rates'!$C$5:$C$1004,$T254)="","",INDEX('AFA Rates'!$C$5:$C$1004,$T254))))</f>
        <v/>
      </c>
      <c r="E254" s="88">
        <f>IF($T254="","",IF($S254="S",IF(""="","",""),IF(INDEX('AFA Rates'!$D$5:$D$1004,$T254)="","",INDEX('AFA Rates'!$D$5:$D$1004,$T254))))</f>
        <v/>
      </c>
      <c r="F254" s="79">
        <f>IF($T254="","",IF($S254="S",IF(INDEX(Firms!$O$5:$O$1004,$T254)="","",INDEX(Firms!$O$5:$O$1004,$T254)),IF(INDEX('AFA Rates'!$O$5:$O$1004,$T254)="","",INDEX('AFA Rates'!$O$5:$O$1004,$T254))))</f>
        <v/>
      </c>
      <c r="G254" s="50">
        <f>IF($T254="","",IF($S254="S",IF(INDEX(Firms!$F$5:$F$1004,$T254)="","",INDEX(Firms!$F$5:$F$1004,$T254)),IF(INDEX('AFA Rates'!$E$5:$E$1004,$T254)="","",INDEX('AFA Rates'!$E$5:$E$1004,$T254))))</f>
        <v/>
      </c>
      <c r="H254" s="50">
        <f>IF($T254="","",IF($S254="S",IF(INDEX(Firms!$G$5:$G$1004,$T254)="","",INDEX(Firms!$G$5:$G$1004,$T254)),IF(INDEX('AFA Rates'!$F$5:$F$1004,$T254)="","",INDEX('AFA Rates'!$F$5:$F$1004,$T254))))</f>
        <v/>
      </c>
      <c r="I254" s="50">
        <f>IF($T254="","",IF($S254="S",IF(INDEX(Firms!$H$5:$H$1004,$T254)="","",INDEX(Firms!$H$5:$H$1004,$T254)),IF(INDEX('AFA Rates'!$G$5:$G$1004,$T254)="","",INDEX('AFA Rates'!$G$5:$G$1004,$T254))))</f>
        <v/>
      </c>
      <c r="J254" s="50">
        <f>IF($T254="","",IF($S254="S",IF(INDEX(Firms!$I$5:$I$1004,$T254)="","",INDEX(Firms!$I$5:$I$1004,$T254)),IF(INDEX('AFA Rates'!$H$5:$H$1004,$T254)="","",INDEX('AFA Rates'!$H$5:$H$1004,$T254))))</f>
        <v/>
      </c>
      <c r="K254" s="50">
        <f>IF($T254="","",IF($S254="S",IF(INDEX(Firms!$J$5:$J$1004,$T254)="","",INDEX(Firms!$J$5:$J$1004,$T254)),IF(INDEX('AFA Rates'!$I$5:$I$1004,$T254)="","",INDEX('AFA Rates'!$I$5:$I$1004,$T254))))</f>
        <v/>
      </c>
      <c r="L254" s="50">
        <f>IF($T254="","",IF($S254="S",IF(INDEX(Firms!$K$5:$K$1004,$T254)="","",INDEX(Firms!$K$5:$K$1004,$T254)),IF(INDEX('AFA Rates'!$J$5:$J$1004,$T254)="","",INDEX('AFA Rates'!$J$5:$J$1004,$T254))))</f>
        <v/>
      </c>
      <c r="M254" s="50">
        <f>IF($T254="","",IF($S254="S",IF(INDEX(Firms!$L$5:$L$1004,$T254)="","",INDEX(Firms!$L$5:$L$1004,$T254)),IF(INDEX('AFA Rates'!$K$5:$K$1004,$T254)="","",INDEX('AFA Rates'!$K$5:$K$1004,$T254))))</f>
        <v/>
      </c>
      <c r="N254" s="50">
        <f>IF($T254="","",IF($S254="S",IF(INDEX(Firms!$M$5:$M$1004,$T254)="","",INDEX(Firms!$M$5:$M$1004,$T254)),IF(INDEX('AFA Rates'!$L$5:$L$1004,$T254)="","",INDEX('AFA Rates'!$L$5:$L$1004,$T254))))</f>
        <v/>
      </c>
      <c r="O254" s="78">
        <f>IF(OR($T254="",$U254=""),"",IF(INDEX(Firms!$C$5:$C$1004,$U254)="","",INDEX(Firms!$C$5:$C$1004,$U254)))</f>
        <v/>
      </c>
      <c r="P254" s="79">
        <f>IF(OR($T254="",$U254=""),"",IF(INDEX(Firms!$N$5:$N$1004,$U254)="","",INDEX(Firms!$N$5:$N$1004,$U254)))</f>
        <v/>
      </c>
      <c r="Q254" s="78">
        <f>IF($T254="","",IF($S254="S",IF(INDEX(Firms!$T$5:$T$1004,$T254)="","",INDEX(Firms!$T$5:$T$1004,$T254)),IF(INDEX('AFA Rates'!$M$5:$M$1004,$T254)="","",INDEX('AFA Rates'!$M$5:$M$1004,$T254))))</f>
        <v/>
      </c>
      <c r="S254">
        <f>IF(250&lt;=$S$2,"S",IF(250&lt;=$S$2+$T$2,"A",""))</f>
        <v/>
      </c>
      <c r="T254">
        <f>IF(S254="S",MATCH(250,Firms!$W$5:$W$1004,0),IF(S254="A",IFERROR(MATCH(250-$S$2,'AFA Rates'!$R$5:$R$1004,0),""),""))</f>
        <v/>
      </c>
      <c r="U254">
        <f>IF(S254="S",T254,IF(AND(S254="A",T254&lt;&gt;""),IFERROR(MATCH(INDEX('AFA Rates'!$A$5:$A$1004,T254),Firms!$A$5:$A$1004,0),""),""))</f>
        <v/>
      </c>
    </row>
    <row r="255">
      <c r="A255" s="78">
        <f>IF($T255="","",IF($S255="S",IF(INDEX(Firms!$A$5:$A$1004,$T255)="","",INDEX(Firms!$A$5:$A$1004,$T255)),IF(INDEX('AFA Rates'!$A$5:$A$1004,$T255)="","",INDEX('AFA Rates'!$A$5:$A$1004,$T255))))</f>
        <v/>
      </c>
      <c r="B255" s="79">
        <f>IF(OR($T255="",$U255=""),IF($T255="","","Not on Firms tab"),INDEX(Firms!$B$5:$B$1004,$U255)&amp;"")</f>
        <v/>
      </c>
      <c r="C255" s="78">
        <f>IF($T255="","",IF($S255="S","Standard",INDEX('AFA Rates'!$B$5:$B$1004,$T255)&amp;""))</f>
        <v/>
      </c>
      <c r="D255" s="88">
        <f>IF($T255="","",IF($S255="S",IF(INDEX(Firms!$E$5:$E$1004,$T255)="","",INDEX(Firms!$E$5:$E$1004,$T255)),IF(INDEX('AFA Rates'!$C$5:$C$1004,$T255)="","",INDEX('AFA Rates'!$C$5:$C$1004,$T255))))</f>
        <v/>
      </c>
      <c r="E255" s="88">
        <f>IF($T255="","",IF($S255="S",IF(""="","",""),IF(INDEX('AFA Rates'!$D$5:$D$1004,$T255)="","",INDEX('AFA Rates'!$D$5:$D$1004,$T255))))</f>
        <v/>
      </c>
      <c r="F255" s="79">
        <f>IF($T255="","",IF($S255="S",IF(INDEX(Firms!$O$5:$O$1004,$T255)="","",INDEX(Firms!$O$5:$O$1004,$T255)),IF(INDEX('AFA Rates'!$O$5:$O$1004,$T255)="","",INDEX('AFA Rates'!$O$5:$O$1004,$T255))))</f>
        <v/>
      </c>
      <c r="G255" s="50">
        <f>IF($T255="","",IF($S255="S",IF(INDEX(Firms!$F$5:$F$1004,$T255)="","",INDEX(Firms!$F$5:$F$1004,$T255)),IF(INDEX('AFA Rates'!$E$5:$E$1004,$T255)="","",INDEX('AFA Rates'!$E$5:$E$1004,$T255))))</f>
        <v/>
      </c>
      <c r="H255" s="50">
        <f>IF($T255="","",IF($S255="S",IF(INDEX(Firms!$G$5:$G$1004,$T255)="","",INDEX(Firms!$G$5:$G$1004,$T255)),IF(INDEX('AFA Rates'!$F$5:$F$1004,$T255)="","",INDEX('AFA Rates'!$F$5:$F$1004,$T255))))</f>
        <v/>
      </c>
      <c r="I255" s="50">
        <f>IF($T255="","",IF($S255="S",IF(INDEX(Firms!$H$5:$H$1004,$T255)="","",INDEX(Firms!$H$5:$H$1004,$T255)),IF(INDEX('AFA Rates'!$G$5:$G$1004,$T255)="","",INDEX('AFA Rates'!$G$5:$G$1004,$T255))))</f>
        <v/>
      </c>
      <c r="J255" s="50">
        <f>IF($T255="","",IF($S255="S",IF(INDEX(Firms!$I$5:$I$1004,$T255)="","",INDEX(Firms!$I$5:$I$1004,$T255)),IF(INDEX('AFA Rates'!$H$5:$H$1004,$T255)="","",INDEX('AFA Rates'!$H$5:$H$1004,$T255))))</f>
        <v/>
      </c>
      <c r="K255" s="50">
        <f>IF($T255="","",IF($S255="S",IF(INDEX(Firms!$J$5:$J$1004,$T255)="","",INDEX(Firms!$J$5:$J$1004,$T255)),IF(INDEX('AFA Rates'!$I$5:$I$1004,$T255)="","",INDEX('AFA Rates'!$I$5:$I$1004,$T255))))</f>
        <v/>
      </c>
      <c r="L255" s="50">
        <f>IF($T255="","",IF($S255="S",IF(INDEX(Firms!$K$5:$K$1004,$T255)="","",INDEX(Firms!$K$5:$K$1004,$T255)),IF(INDEX('AFA Rates'!$J$5:$J$1004,$T255)="","",INDEX('AFA Rates'!$J$5:$J$1004,$T255))))</f>
        <v/>
      </c>
      <c r="M255" s="50">
        <f>IF($T255="","",IF($S255="S",IF(INDEX(Firms!$L$5:$L$1004,$T255)="","",INDEX(Firms!$L$5:$L$1004,$T255)),IF(INDEX('AFA Rates'!$K$5:$K$1004,$T255)="","",INDEX('AFA Rates'!$K$5:$K$1004,$T255))))</f>
        <v/>
      </c>
      <c r="N255" s="50">
        <f>IF($T255="","",IF($S255="S",IF(INDEX(Firms!$M$5:$M$1004,$T255)="","",INDEX(Firms!$M$5:$M$1004,$T255)),IF(INDEX('AFA Rates'!$L$5:$L$1004,$T255)="","",INDEX('AFA Rates'!$L$5:$L$1004,$T255))))</f>
        <v/>
      </c>
      <c r="O255" s="78">
        <f>IF(OR($T255="",$U255=""),"",IF(INDEX(Firms!$C$5:$C$1004,$U255)="","",INDEX(Firms!$C$5:$C$1004,$U255)))</f>
        <v/>
      </c>
      <c r="P255" s="79">
        <f>IF(OR($T255="",$U255=""),"",IF(INDEX(Firms!$N$5:$N$1004,$U255)="","",INDEX(Firms!$N$5:$N$1004,$U255)))</f>
        <v/>
      </c>
      <c r="Q255" s="78">
        <f>IF($T255="","",IF($S255="S",IF(INDEX(Firms!$T$5:$T$1004,$T255)="","",INDEX(Firms!$T$5:$T$1004,$T255)),IF(INDEX('AFA Rates'!$M$5:$M$1004,$T255)="","",INDEX('AFA Rates'!$M$5:$M$1004,$T255))))</f>
        <v/>
      </c>
      <c r="S255">
        <f>IF(251&lt;=$S$2,"S",IF(251&lt;=$S$2+$T$2,"A",""))</f>
        <v/>
      </c>
      <c r="T255">
        <f>IF(S255="S",MATCH(251,Firms!$W$5:$W$1004,0),IF(S255="A",IFERROR(MATCH(251-$S$2,'AFA Rates'!$R$5:$R$1004,0),""),""))</f>
        <v/>
      </c>
      <c r="U255">
        <f>IF(S255="S",T255,IF(AND(S255="A",T255&lt;&gt;""),IFERROR(MATCH(INDEX('AFA Rates'!$A$5:$A$1004,T255),Firms!$A$5:$A$1004,0),""),""))</f>
        <v/>
      </c>
    </row>
    <row r="256">
      <c r="A256" s="78">
        <f>IF($T256="","",IF($S256="S",IF(INDEX(Firms!$A$5:$A$1004,$T256)="","",INDEX(Firms!$A$5:$A$1004,$T256)),IF(INDEX('AFA Rates'!$A$5:$A$1004,$T256)="","",INDEX('AFA Rates'!$A$5:$A$1004,$T256))))</f>
        <v/>
      </c>
      <c r="B256" s="79">
        <f>IF(OR($T256="",$U256=""),IF($T256="","","Not on Firms tab"),INDEX(Firms!$B$5:$B$1004,$U256)&amp;"")</f>
        <v/>
      </c>
      <c r="C256" s="78">
        <f>IF($T256="","",IF($S256="S","Standard",INDEX('AFA Rates'!$B$5:$B$1004,$T256)&amp;""))</f>
        <v/>
      </c>
      <c r="D256" s="88">
        <f>IF($T256="","",IF($S256="S",IF(INDEX(Firms!$E$5:$E$1004,$T256)="","",INDEX(Firms!$E$5:$E$1004,$T256)),IF(INDEX('AFA Rates'!$C$5:$C$1004,$T256)="","",INDEX('AFA Rates'!$C$5:$C$1004,$T256))))</f>
        <v/>
      </c>
      <c r="E256" s="88">
        <f>IF($T256="","",IF($S256="S",IF(""="","",""),IF(INDEX('AFA Rates'!$D$5:$D$1004,$T256)="","",INDEX('AFA Rates'!$D$5:$D$1004,$T256))))</f>
        <v/>
      </c>
      <c r="F256" s="79">
        <f>IF($T256="","",IF($S256="S",IF(INDEX(Firms!$O$5:$O$1004,$T256)="","",INDEX(Firms!$O$5:$O$1004,$T256)),IF(INDEX('AFA Rates'!$O$5:$O$1004,$T256)="","",INDEX('AFA Rates'!$O$5:$O$1004,$T256))))</f>
        <v/>
      </c>
      <c r="G256" s="50">
        <f>IF($T256="","",IF($S256="S",IF(INDEX(Firms!$F$5:$F$1004,$T256)="","",INDEX(Firms!$F$5:$F$1004,$T256)),IF(INDEX('AFA Rates'!$E$5:$E$1004,$T256)="","",INDEX('AFA Rates'!$E$5:$E$1004,$T256))))</f>
        <v/>
      </c>
      <c r="H256" s="50">
        <f>IF($T256="","",IF($S256="S",IF(INDEX(Firms!$G$5:$G$1004,$T256)="","",INDEX(Firms!$G$5:$G$1004,$T256)),IF(INDEX('AFA Rates'!$F$5:$F$1004,$T256)="","",INDEX('AFA Rates'!$F$5:$F$1004,$T256))))</f>
        <v/>
      </c>
      <c r="I256" s="50">
        <f>IF($T256="","",IF($S256="S",IF(INDEX(Firms!$H$5:$H$1004,$T256)="","",INDEX(Firms!$H$5:$H$1004,$T256)),IF(INDEX('AFA Rates'!$G$5:$G$1004,$T256)="","",INDEX('AFA Rates'!$G$5:$G$1004,$T256))))</f>
        <v/>
      </c>
      <c r="J256" s="50">
        <f>IF($T256="","",IF($S256="S",IF(INDEX(Firms!$I$5:$I$1004,$T256)="","",INDEX(Firms!$I$5:$I$1004,$T256)),IF(INDEX('AFA Rates'!$H$5:$H$1004,$T256)="","",INDEX('AFA Rates'!$H$5:$H$1004,$T256))))</f>
        <v/>
      </c>
      <c r="K256" s="50">
        <f>IF($T256="","",IF($S256="S",IF(INDEX(Firms!$J$5:$J$1004,$T256)="","",INDEX(Firms!$J$5:$J$1004,$T256)),IF(INDEX('AFA Rates'!$I$5:$I$1004,$T256)="","",INDEX('AFA Rates'!$I$5:$I$1004,$T256))))</f>
        <v/>
      </c>
      <c r="L256" s="50">
        <f>IF($T256="","",IF($S256="S",IF(INDEX(Firms!$K$5:$K$1004,$T256)="","",INDEX(Firms!$K$5:$K$1004,$T256)),IF(INDEX('AFA Rates'!$J$5:$J$1004,$T256)="","",INDEX('AFA Rates'!$J$5:$J$1004,$T256))))</f>
        <v/>
      </c>
      <c r="M256" s="50">
        <f>IF($T256="","",IF($S256="S",IF(INDEX(Firms!$L$5:$L$1004,$T256)="","",INDEX(Firms!$L$5:$L$1004,$T256)),IF(INDEX('AFA Rates'!$K$5:$K$1004,$T256)="","",INDEX('AFA Rates'!$K$5:$K$1004,$T256))))</f>
        <v/>
      </c>
      <c r="N256" s="50">
        <f>IF($T256="","",IF($S256="S",IF(INDEX(Firms!$M$5:$M$1004,$T256)="","",INDEX(Firms!$M$5:$M$1004,$T256)),IF(INDEX('AFA Rates'!$L$5:$L$1004,$T256)="","",INDEX('AFA Rates'!$L$5:$L$1004,$T256))))</f>
        <v/>
      </c>
      <c r="O256" s="78">
        <f>IF(OR($T256="",$U256=""),"",IF(INDEX(Firms!$C$5:$C$1004,$U256)="","",INDEX(Firms!$C$5:$C$1004,$U256)))</f>
        <v/>
      </c>
      <c r="P256" s="79">
        <f>IF(OR($T256="",$U256=""),"",IF(INDEX(Firms!$N$5:$N$1004,$U256)="","",INDEX(Firms!$N$5:$N$1004,$U256)))</f>
        <v/>
      </c>
      <c r="Q256" s="78">
        <f>IF($T256="","",IF($S256="S",IF(INDEX(Firms!$T$5:$T$1004,$T256)="","",INDEX(Firms!$T$5:$T$1004,$T256)),IF(INDEX('AFA Rates'!$M$5:$M$1004,$T256)="","",INDEX('AFA Rates'!$M$5:$M$1004,$T256))))</f>
        <v/>
      </c>
      <c r="S256">
        <f>IF(252&lt;=$S$2,"S",IF(252&lt;=$S$2+$T$2,"A",""))</f>
        <v/>
      </c>
      <c r="T256">
        <f>IF(S256="S",MATCH(252,Firms!$W$5:$W$1004,0),IF(S256="A",IFERROR(MATCH(252-$S$2,'AFA Rates'!$R$5:$R$1004,0),""),""))</f>
        <v/>
      </c>
      <c r="U256">
        <f>IF(S256="S",T256,IF(AND(S256="A",T256&lt;&gt;""),IFERROR(MATCH(INDEX('AFA Rates'!$A$5:$A$1004,T256),Firms!$A$5:$A$1004,0),""),""))</f>
        <v/>
      </c>
    </row>
    <row r="257">
      <c r="A257" s="78">
        <f>IF($T257="","",IF($S257="S",IF(INDEX(Firms!$A$5:$A$1004,$T257)="","",INDEX(Firms!$A$5:$A$1004,$T257)),IF(INDEX('AFA Rates'!$A$5:$A$1004,$T257)="","",INDEX('AFA Rates'!$A$5:$A$1004,$T257))))</f>
        <v/>
      </c>
      <c r="B257" s="79">
        <f>IF(OR($T257="",$U257=""),IF($T257="","","Not on Firms tab"),INDEX(Firms!$B$5:$B$1004,$U257)&amp;"")</f>
        <v/>
      </c>
      <c r="C257" s="78">
        <f>IF($T257="","",IF($S257="S","Standard",INDEX('AFA Rates'!$B$5:$B$1004,$T257)&amp;""))</f>
        <v/>
      </c>
      <c r="D257" s="88">
        <f>IF($T257="","",IF($S257="S",IF(INDEX(Firms!$E$5:$E$1004,$T257)="","",INDEX(Firms!$E$5:$E$1004,$T257)),IF(INDEX('AFA Rates'!$C$5:$C$1004,$T257)="","",INDEX('AFA Rates'!$C$5:$C$1004,$T257))))</f>
        <v/>
      </c>
      <c r="E257" s="88">
        <f>IF($T257="","",IF($S257="S",IF(""="","",""),IF(INDEX('AFA Rates'!$D$5:$D$1004,$T257)="","",INDEX('AFA Rates'!$D$5:$D$1004,$T257))))</f>
        <v/>
      </c>
      <c r="F257" s="79">
        <f>IF($T257="","",IF($S257="S",IF(INDEX(Firms!$O$5:$O$1004,$T257)="","",INDEX(Firms!$O$5:$O$1004,$T257)),IF(INDEX('AFA Rates'!$O$5:$O$1004,$T257)="","",INDEX('AFA Rates'!$O$5:$O$1004,$T257))))</f>
        <v/>
      </c>
      <c r="G257" s="50">
        <f>IF($T257="","",IF($S257="S",IF(INDEX(Firms!$F$5:$F$1004,$T257)="","",INDEX(Firms!$F$5:$F$1004,$T257)),IF(INDEX('AFA Rates'!$E$5:$E$1004,$T257)="","",INDEX('AFA Rates'!$E$5:$E$1004,$T257))))</f>
        <v/>
      </c>
      <c r="H257" s="50">
        <f>IF($T257="","",IF($S257="S",IF(INDEX(Firms!$G$5:$G$1004,$T257)="","",INDEX(Firms!$G$5:$G$1004,$T257)),IF(INDEX('AFA Rates'!$F$5:$F$1004,$T257)="","",INDEX('AFA Rates'!$F$5:$F$1004,$T257))))</f>
        <v/>
      </c>
      <c r="I257" s="50">
        <f>IF($T257="","",IF($S257="S",IF(INDEX(Firms!$H$5:$H$1004,$T257)="","",INDEX(Firms!$H$5:$H$1004,$T257)),IF(INDEX('AFA Rates'!$G$5:$G$1004,$T257)="","",INDEX('AFA Rates'!$G$5:$G$1004,$T257))))</f>
        <v/>
      </c>
      <c r="J257" s="50">
        <f>IF($T257="","",IF($S257="S",IF(INDEX(Firms!$I$5:$I$1004,$T257)="","",INDEX(Firms!$I$5:$I$1004,$T257)),IF(INDEX('AFA Rates'!$H$5:$H$1004,$T257)="","",INDEX('AFA Rates'!$H$5:$H$1004,$T257))))</f>
        <v/>
      </c>
      <c r="K257" s="50">
        <f>IF($T257="","",IF($S257="S",IF(INDEX(Firms!$J$5:$J$1004,$T257)="","",INDEX(Firms!$J$5:$J$1004,$T257)),IF(INDEX('AFA Rates'!$I$5:$I$1004,$T257)="","",INDEX('AFA Rates'!$I$5:$I$1004,$T257))))</f>
        <v/>
      </c>
      <c r="L257" s="50">
        <f>IF($T257="","",IF($S257="S",IF(INDEX(Firms!$K$5:$K$1004,$T257)="","",INDEX(Firms!$K$5:$K$1004,$T257)),IF(INDEX('AFA Rates'!$J$5:$J$1004,$T257)="","",INDEX('AFA Rates'!$J$5:$J$1004,$T257))))</f>
        <v/>
      </c>
      <c r="M257" s="50">
        <f>IF($T257="","",IF($S257="S",IF(INDEX(Firms!$L$5:$L$1004,$T257)="","",INDEX(Firms!$L$5:$L$1004,$T257)),IF(INDEX('AFA Rates'!$K$5:$K$1004,$T257)="","",INDEX('AFA Rates'!$K$5:$K$1004,$T257))))</f>
        <v/>
      </c>
      <c r="N257" s="50">
        <f>IF($T257="","",IF($S257="S",IF(INDEX(Firms!$M$5:$M$1004,$T257)="","",INDEX(Firms!$M$5:$M$1004,$T257)),IF(INDEX('AFA Rates'!$L$5:$L$1004,$T257)="","",INDEX('AFA Rates'!$L$5:$L$1004,$T257))))</f>
        <v/>
      </c>
      <c r="O257" s="78">
        <f>IF(OR($T257="",$U257=""),"",IF(INDEX(Firms!$C$5:$C$1004,$U257)="","",INDEX(Firms!$C$5:$C$1004,$U257)))</f>
        <v/>
      </c>
      <c r="P257" s="79">
        <f>IF(OR($T257="",$U257=""),"",IF(INDEX(Firms!$N$5:$N$1004,$U257)="","",INDEX(Firms!$N$5:$N$1004,$U257)))</f>
        <v/>
      </c>
      <c r="Q257" s="78">
        <f>IF($T257="","",IF($S257="S",IF(INDEX(Firms!$T$5:$T$1004,$T257)="","",INDEX(Firms!$T$5:$T$1004,$T257)),IF(INDEX('AFA Rates'!$M$5:$M$1004,$T257)="","",INDEX('AFA Rates'!$M$5:$M$1004,$T257))))</f>
        <v/>
      </c>
      <c r="S257">
        <f>IF(253&lt;=$S$2,"S",IF(253&lt;=$S$2+$T$2,"A",""))</f>
        <v/>
      </c>
      <c r="T257">
        <f>IF(S257="S",MATCH(253,Firms!$W$5:$W$1004,0),IF(S257="A",IFERROR(MATCH(253-$S$2,'AFA Rates'!$R$5:$R$1004,0),""),""))</f>
        <v/>
      </c>
      <c r="U257">
        <f>IF(S257="S",T257,IF(AND(S257="A",T257&lt;&gt;""),IFERROR(MATCH(INDEX('AFA Rates'!$A$5:$A$1004,T257),Firms!$A$5:$A$1004,0),""),""))</f>
        <v/>
      </c>
    </row>
    <row r="258">
      <c r="A258" s="78">
        <f>IF($T258="","",IF($S258="S",IF(INDEX(Firms!$A$5:$A$1004,$T258)="","",INDEX(Firms!$A$5:$A$1004,$T258)),IF(INDEX('AFA Rates'!$A$5:$A$1004,$T258)="","",INDEX('AFA Rates'!$A$5:$A$1004,$T258))))</f>
        <v/>
      </c>
      <c r="B258" s="79">
        <f>IF(OR($T258="",$U258=""),IF($T258="","","Not on Firms tab"),INDEX(Firms!$B$5:$B$1004,$U258)&amp;"")</f>
        <v/>
      </c>
      <c r="C258" s="78">
        <f>IF($T258="","",IF($S258="S","Standard",INDEX('AFA Rates'!$B$5:$B$1004,$T258)&amp;""))</f>
        <v/>
      </c>
      <c r="D258" s="88">
        <f>IF($T258="","",IF($S258="S",IF(INDEX(Firms!$E$5:$E$1004,$T258)="","",INDEX(Firms!$E$5:$E$1004,$T258)),IF(INDEX('AFA Rates'!$C$5:$C$1004,$T258)="","",INDEX('AFA Rates'!$C$5:$C$1004,$T258))))</f>
        <v/>
      </c>
      <c r="E258" s="88">
        <f>IF($T258="","",IF($S258="S",IF(""="","",""),IF(INDEX('AFA Rates'!$D$5:$D$1004,$T258)="","",INDEX('AFA Rates'!$D$5:$D$1004,$T258))))</f>
        <v/>
      </c>
      <c r="F258" s="79">
        <f>IF($T258="","",IF($S258="S",IF(INDEX(Firms!$O$5:$O$1004,$T258)="","",INDEX(Firms!$O$5:$O$1004,$T258)),IF(INDEX('AFA Rates'!$O$5:$O$1004,$T258)="","",INDEX('AFA Rates'!$O$5:$O$1004,$T258))))</f>
        <v/>
      </c>
      <c r="G258" s="50">
        <f>IF($T258="","",IF($S258="S",IF(INDEX(Firms!$F$5:$F$1004,$T258)="","",INDEX(Firms!$F$5:$F$1004,$T258)),IF(INDEX('AFA Rates'!$E$5:$E$1004,$T258)="","",INDEX('AFA Rates'!$E$5:$E$1004,$T258))))</f>
        <v/>
      </c>
      <c r="H258" s="50">
        <f>IF($T258="","",IF($S258="S",IF(INDEX(Firms!$G$5:$G$1004,$T258)="","",INDEX(Firms!$G$5:$G$1004,$T258)),IF(INDEX('AFA Rates'!$F$5:$F$1004,$T258)="","",INDEX('AFA Rates'!$F$5:$F$1004,$T258))))</f>
        <v/>
      </c>
      <c r="I258" s="50">
        <f>IF($T258="","",IF($S258="S",IF(INDEX(Firms!$H$5:$H$1004,$T258)="","",INDEX(Firms!$H$5:$H$1004,$T258)),IF(INDEX('AFA Rates'!$G$5:$G$1004,$T258)="","",INDEX('AFA Rates'!$G$5:$G$1004,$T258))))</f>
        <v/>
      </c>
      <c r="J258" s="50">
        <f>IF($T258="","",IF($S258="S",IF(INDEX(Firms!$I$5:$I$1004,$T258)="","",INDEX(Firms!$I$5:$I$1004,$T258)),IF(INDEX('AFA Rates'!$H$5:$H$1004,$T258)="","",INDEX('AFA Rates'!$H$5:$H$1004,$T258))))</f>
        <v/>
      </c>
      <c r="K258" s="50">
        <f>IF($T258="","",IF($S258="S",IF(INDEX(Firms!$J$5:$J$1004,$T258)="","",INDEX(Firms!$J$5:$J$1004,$T258)),IF(INDEX('AFA Rates'!$I$5:$I$1004,$T258)="","",INDEX('AFA Rates'!$I$5:$I$1004,$T258))))</f>
        <v/>
      </c>
      <c r="L258" s="50">
        <f>IF($T258="","",IF($S258="S",IF(INDEX(Firms!$K$5:$K$1004,$T258)="","",INDEX(Firms!$K$5:$K$1004,$T258)),IF(INDEX('AFA Rates'!$J$5:$J$1004,$T258)="","",INDEX('AFA Rates'!$J$5:$J$1004,$T258))))</f>
        <v/>
      </c>
      <c r="M258" s="50">
        <f>IF($T258="","",IF($S258="S",IF(INDEX(Firms!$L$5:$L$1004,$T258)="","",INDEX(Firms!$L$5:$L$1004,$T258)),IF(INDEX('AFA Rates'!$K$5:$K$1004,$T258)="","",INDEX('AFA Rates'!$K$5:$K$1004,$T258))))</f>
        <v/>
      </c>
      <c r="N258" s="50">
        <f>IF($T258="","",IF($S258="S",IF(INDEX(Firms!$M$5:$M$1004,$T258)="","",INDEX(Firms!$M$5:$M$1004,$T258)),IF(INDEX('AFA Rates'!$L$5:$L$1004,$T258)="","",INDEX('AFA Rates'!$L$5:$L$1004,$T258))))</f>
        <v/>
      </c>
      <c r="O258" s="78">
        <f>IF(OR($T258="",$U258=""),"",IF(INDEX(Firms!$C$5:$C$1004,$U258)="","",INDEX(Firms!$C$5:$C$1004,$U258)))</f>
        <v/>
      </c>
      <c r="P258" s="79">
        <f>IF(OR($T258="",$U258=""),"",IF(INDEX(Firms!$N$5:$N$1004,$U258)="","",INDEX(Firms!$N$5:$N$1004,$U258)))</f>
        <v/>
      </c>
      <c r="Q258" s="78">
        <f>IF($T258="","",IF($S258="S",IF(INDEX(Firms!$T$5:$T$1004,$T258)="","",INDEX(Firms!$T$5:$T$1004,$T258)),IF(INDEX('AFA Rates'!$M$5:$M$1004,$T258)="","",INDEX('AFA Rates'!$M$5:$M$1004,$T258))))</f>
        <v/>
      </c>
      <c r="S258">
        <f>IF(254&lt;=$S$2,"S",IF(254&lt;=$S$2+$T$2,"A",""))</f>
        <v/>
      </c>
      <c r="T258">
        <f>IF(S258="S",MATCH(254,Firms!$W$5:$W$1004,0),IF(S258="A",IFERROR(MATCH(254-$S$2,'AFA Rates'!$R$5:$R$1004,0),""),""))</f>
        <v/>
      </c>
      <c r="U258">
        <f>IF(S258="S",T258,IF(AND(S258="A",T258&lt;&gt;""),IFERROR(MATCH(INDEX('AFA Rates'!$A$5:$A$1004,T258),Firms!$A$5:$A$1004,0),""),""))</f>
        <v/>
      </c>
    </row>
    <row r="259">
      <c r="A259" s="78">
        <f>IF($T259="","",IF($S259="S",IF(INDEX(Firms!$A$5:$A$1004,$T259)="","",INDEX(Firms!$A$5:$A$1004,$T259)),IF(INDEX('AFA Rates'!$A$5:$A$1004,$T259)="","",INDEX('AFA Rates'!$A$5:$A$1004,$T259))))</f>
        <v/>
      </c>
      <c r="B259" s="79">
        <f>IF(OR($T259="",$U259=""),IF($T259="","","Not on Firms tab"),INDEX(Firms!$B$5:$B$1004,$U259)&amp;"")</f>
        <v/>
      </c>
      <c r="C259" s="78">
        <f>IF($T259="","",IF($S259="S","Standard",INDEX('AFA Rates'!$B$5:$B$1004,$T259)&amp;""))</f>
        <v/>
      </c>
      <c r="D259" s="88">
        <f>IF($T259="","",IF($S259="S",IF(INDEX(Firms!$E$5:$E$1004,$T259)="","",INDEX(Firms!$E$5:$E$1004,$T259)),IF(INDEX('AFA Rates'!$C$5:$C$1004,$T259)="","",INDEX('AFA Rates'!$C$5:$C$1004,$T259))))</f>
        <v/>
      </c>
      <c r="E259" s="88">
        <f>IF($T259="","",IF($S259="S",IF(""="","",""),IF(INDEX('AFA Rates'!$D$5:$D$1004,$T259)="","",INDEX('AFA Rates'!$D$5:$D$1004,$T259))))</f>
        <v/>
      </c>
      <c r="F259" s="79">
        <f>IF($T259="","",IF($S259="S",IF(INDEX(Firms!$O$5:$O$1004,$T259)="","",INDEX(Firms!$O$5:$O$1004,$T259)),IF(INDEX('AFA Rates'!$O$5:$O$1004,$T259)="","",INDEX('AFA Rates'!$O$5:$O$1004,$T259))))</f>
        <v/>
      </c>
      <c r="G259" s="50">
        <f>IF($T259="","",IF($S259="S",IF(INDEX(Firms!$F$5:$F$1004,$T259)="","",INDEX(Firms!$F$5:$F$1004,$T259)),IF(INDEX('AFA Rates'!$E$5:$E$1004,$T259)="","",INDEX('AFA Rates'!$E$5:$E$1004,$T259))))</f>
        <v/>
      </c>
      <c r="H259" s="50">
        <f>IF($T259="","",IF($S259="S",IF(INDEX(Firms!$G$5:$G$1004,$T259)="","",INDEX(Firms!$G$5:$G$1004,$T259)),IF(INDEX('AFA Rates'!$F$5:$F$1004,$T259)="","",INDEX('AFA Rates'!$F$5:$F$1004,$T259))))</f>
        <v/>
      </c>
      <c r="I259" s="50">
        <f>IF($T259="","",IF($S259="S",IF(INDEX(Firms!$H$5:$H$1004,$T259)="","",INDEX(Firms!$H$5:$H$1004,$T259)),IF(INDEX('AFA Rates'!$G$5:$G$1004,$T259)="","",INDEX('AFA Rates'!$G$5:$G$1004,$T259))))</f>
        <v/>
      </c>
      <c r="J259" s="50">
        <f>IF($T259="","",IF($S259="S",IF(INDEX(Firms!$I$5:$I$1004,$T259)="","",INDEX(Firms!$I$5:$I$1004,$T259)),IF(INDEX('AFA Rates'!$H$5:$H$1004,$T259)="","",INDEX('AFA Rates'!$H$5:$H$1004,$T259))))</f>
        <v/>
      </c>
      <c r="K259" s="50">
        <f>IF($T259="","",IF($S259="S",IF(INDEX(Firms!$J$5:$J$1004,$T259)="","",INDEX(Firms!$J$5:$J$1004,$T259)),IF(INDEX('AFA Rates'!$I$5:$I$1004,$T259)="","",INDEX('AFA Rates'!$I$5:$I$1004,$T259))))</f>
        <v/>
      </c>
      <c r="L259" s="50">
        <f>IF($T259="","",IF($S259="S",IF(INDEX(Firms!$K$5:$K$1004,$T259)="","",INDEX(Firms!$K$5:$K$1004,$T259)),IF(INDEX('AFA Rates'!$J$5:$J$1004,$T259)="","",INDEX('AFA Rates'!$J$5:$J$1004,$T259))))</f>
        <v/>
      </c>
      <c r="M259" s="50">
        <f>IF($T259="","",IF($S259="S",IF(INDEX(Firms!$L$5:$L$1004,$T259)="","",INDEX(Firms!$L$5:$L$1004,$T259)),IF(INDEX('AFA Rates'!$K$5:$K$1004,$T259)="","",INDEX('AFA Rates'!$K$5:$K$1004,$T259))))</f>
        <v/>
      </c>
      <c r="N259" s="50">
        <f>IF($T259="","",IF($S259="S",IF(INDEX(Firms!$M$5:$M$1004,$T259)="","",INDEX(Firms!$M$5:$M$1004,$T259)),IF(INDEX('AFA Rates'!$L$5:$L$1004,$T259)="","",INDEX('AFA Rates'!$L$5:$L$1004,$T259))))</f>
        <v/>
      </c>
      <c r="O259" s="78">
        <f>IF(OR($T259="",$U259=""),"",IF(INDEX(Firms!$C$5:$C$1004,$U259)="","",INDEX(Firms!$C$5:$C$1004,$U259)))</f>
        <v/>
      </c>
      <c r="P259" s="79">
        <f>IF(OR($T259="",$U259=""),"",IF(INDEX(Firms!$N$5:$N$1004,$U259)="","",INDEX(Firms!$N$5:$N$1004,$U259)))</f>
        <v/>
      </c>
      <c r="Q259" s="78">
        <f>IF($T259="","",IF($S259="S",IF(INDEX(Firms!$T$5:$T$1004,$T259)="","",INDEX(Firms!$T$5:$T$1004,$T259)),IF(INDEX('AFA Rates'!$M$5:$M$1004,$T259)="","",INDEX('AFA Rates'!$M$5:$M$1004,$T259))))</f>
        <v/>
      </c>
      <c r="S259">
        <f>IF(255&lt;=$S$2,"S",IF(255&lt;=$S$2+$T$2,"A",""))</f>
        <v/>
      </c>
      <c r="T259">
        <f>IF(S259="S",MATCH(255,Firms!$W$5:$W$1004,0),IF(S259="A",IFERROR(MATCH(255-$S$2,'AFA Rates'!$R$5:$R$1004,0),""),""))</f>
        <v/>
      </c>
      <c r="U259">
        <f>IF(S259="S",T259,IF(AND(S259="A",T259&lt;&gt;""),IFERROR(MATCH(INDEX('AFA Rates'!$A$5:$A$1004,T259),Firms!$A$5:$A$1004,0),""),""))</f>
        <v/>
      </c>
    </row>
    <row r="260">
      <c r="A260" s="78">
        <f>IF($T260="","",IF($S260="S",IF(INDEX(Firms!$A$5:$A$1004,$T260)="","",INDEX(Firms!$A$5:$A$1004,$T260)),IF(INDEX('AFA Rates'!$A$5:$A$1004,$T260)="","",INDEX('AFA Rates'!$A$5:$A$1004,$T260))))</f>
        <v/>
      </c>
      <c r="B260" s="79">
        <f>IF(OR($T260="",$U260=""),IF($T260="","","Not on Firms tab"),INDEX(Firms!$B$5:$B$1004,$U260)&amp;"")</f>
        <v/>
      </c>
      <c r="C260" s="78">
        <f>IF($T260="","",IF($S260="S","Standard",INDEX('AFA Rates'!$B$5:$B$1004,$T260)&amp;""))</f>
        <v/>
      </c>
      <c r="D260" s="88">
        <f>IF($T260="","",IF($S260="S",IF(INDEX(Firms!$E$5:$E$1004,$T260)="","",INDEX(Firms!$E$5:$E$1004,$T260)),IF(INDEX('AFA Rates'!$C$5:$C$1004,$T260)="","",INDEX('AFA Rates'!$C$5:$C$1004,$T260))))</f>
        <v/>
      </c>
      <c r="E260" s="88">
        <f>IF($T260="","",IF($S260="S",IF(""="","",""),IF(INDEX('AFA Rates'!$D$5:$D$1004,$T260)="","",INDEX('AFA Rates'!$D$5:$D$1004,$T260))))</f>
        <v/>
      </c>
      <c r="F260" s="79">
        <f>IF($T260="","",IF($S260="S",IF(INDEX(Firms!$O$5:$O$1004,$T260)="","",INDEX(Firms!$O$5:$O$1004,$T260)),IF(INDEX('AFA Rates'!$O$5:$O$1004,$T260)="","",INDEX('AFA Rates'!$O$5:$O$1004,$T260))))</f>
        <v/>
      </c>
      <c r="G260" s="50">
        <f>IF($T260="","",IF($S260="S",IF(INDEX(Firms!$F$5:$F$1004,$T260)="","",INDEX(Firms!$F$5:$F$1004,$T260)),IF(INDEX('AFA Rates'!$E$5:$E$1004,$T260)="","",INDEX('AFA Rates'!$E$5:$E$1004,$T260))))</f>
        <v/>
      </c>
      <c r="H260" s="50">
        <f>IF($T260="","",IF($S260="S",IF(INDEX(Firms!$G$5:$G$1004,$T260)="","",INDEX(Firms!$G$5:$G$1004,$T260)),IF(INDEX('AFA Rates'!$F$5:$F$1004,$T260)="","",INDEX('AFA Rates'!$F$5:$F$1004,$T260))))</f>
        <v/>
      </c>
      <c r="I260" s="50">
        <f>IF($T260="","",IF($S260="S",IF(INDEX(Firms!$H$5:$H$1004,$T260)="","",INDEX(Firms!$H$5:$H$1004,$T260)),IF(INDEX('AFA Rates'!$G$5:$G$1004,$T260)="","",INDEX('AFA Rates'!$G$5:$G$1004,$T260))))</f>
        <v/>
      </c>
      <c r="J260" s="50">
        <f>IF($T260="","",IF($S260="S",IF(INDEX(Firms!$I$5:$I$1004,$T260)="","",INDEX(Firms!$I$5:$I$1004,$T260)),IF(INDEX('AFA Rates'!$H$5:$H$1004,$T260)="","",INDEX('AFA Rates'!$H$5:$H$1004,$T260))))</f>
        <v/>
      </c>
      <c r="K260" s="50">
        <f>IF($T260="","",IF($S260="S",IF(INDEX(Firms!$J$5:$J$1004,$T260)="","",INDEX(Firms!$J$5:$J$1004,$T260)),IF(INDEX('AFA Rates'!$I$5:$I$1004,$T260)="","",INDEX('AFA Rates'!$I$5:$I$1004,$T260))))</f>
        <v/>
      </c>
      <c r="L260" s="50">
        <f>IF($T260="","",IF($S260="S",IF(INDEX(Firms!$K$5:$K$1004,$T260)="","",INDEX(Firms!$K$5:$K$1004,$T260)),IF(INDEX('AFA Rates'!$J$5:$J$1004,$T260)="","",INDEX('AFA Rates'!$J$5:$J$1004,$T260))))</f>
        <v/>
      </c>
      <c r="M260" s="50">
        <f>IF($T260="","",IF($S260="S",IF(INDEX(Firms!$L$5:$L$1004,$T260)="","",INDEX(Firms!$L$5:$L$1004,$T260)),IF(INDEX('AFA Rates'!$K$5:$K$1004,$T260)="","",INDEX('AFA Rates'!$K$5:$K$1004,$T260))))</f>
        <v/>
      </c>
      <c r="N260" s="50">
        <f>IF($T260="","",IF($S260="S",IF(INDEX(Firms!$M$5:$M$1004,$T260)="","",INDEX(Firms!$M$5:$M$1004,$T260)),IF(INDEX('AFA Rates'!$L$5:$L$1004,$T260)="","",INDEX('AFA Rates'!$L$5:$L$1004,$T260))))</f>
        <v/>
      </c>
      <c r="O260" s="78">
        <f>IF(OR($T260="",$U260=""),"",IF(INDEX(Firms!$C$5:$C$1004,$U260)="","",INDEX(Firms!$C$5:$C$1004,$U260)))</f>
        <v/>
      </c>
      <c r="P260" s="79">
        <f>IF(OR($T260="",$U260=""),"",IF(INDEX(Firms!$N$5:$N$1004,$U260)="","",INDEX(Firms!$N$5:$N$1004,$U260)))</f>
        <v/>
      </c>
      <c r="Q260" s="78">
        <f>IF($T260="","",IF($S260="S",IF(INDEX(Firms!$T$5:$T$1004,$T260)="","",INDEX(Firms!$T$5:$T$1004,$T260)),IF(INDEX('AFA Rates'!$M$5:$M$1004,$T260)="","",INDEX('AFA Rates'!$M$5:$M$1004,$T260))))</f>
        <v/>
      </c>
      <c r="S260">
        <f>IF(256&lt;=$S$2,"S",IF(256&lt;=$S$2+$T$2,"A",""))</f>
        <v/>
      </c>
      <c r="T260">
        <f>IF(S260="S",MATCH(256,Firms!$W$5:$W$1004,0),IF(S260="A",IFERROR(MATCH(256-$S$2,'AFA Rates'!$R$5:$R$1004,0),""),""))</f>
        <v/>
      </c>
      <c r="U260">
        <f>IF(S260="S",T260,IF(AND(S260="A",T260&lt;&gt;""),IFERROR(MATCH(INDEX('AFA Rates'!$A$5:$A$1004,T260),Firms!$A$5:$A$1004,0),""),""))</f>
        <v/>
      </c>
    </row>
    <row r="261">
      <c r="A261" s="78">
        <f>IF($T261="","",IF($S261="S",IF(INDEX(Firms!$A$5:$A$1004,$T261)="","",INDEX(Firms!$A$5:$A$1004,$T261)),IF(INDEX('AFA Rates'!$A$5:$A$1004,$T261)="","",INDEX('AFA Rates'!$A$5:$A$1004,$T261))))</f>
        <v/>
      </c>
      <c r="B261" s="79">
        <f>IF(OR($T261="",$U261=""),IF($T261="","","Not on Firms tab"),INDEX(Firms!$B$5:$B$1004,$U261)&amp;"")</f>
        <v/>
      </c>
      <c r="C261" s="78">
        <f>IF($T261="","",IF($S261="S","Standard",INDEX('AFA Rates'!$B$5:$B$1004,$T261)&amp;""))</f>
        <v/>
      </c>
      <c r="D261" s="88">
        <f>IF($T261="","",IF($S261="S",IF(INDEX(Firms!$E$5:$E$1004,$T261)="","",INDEX(Firms!$E$5:$E$1004,$T261)),IF(INDEX('AFA Rates'!$C$5:$C$1004,$T261)="","",INDEX('AFA Rates'!$C$5:$C$1004,$T261))))</f>
        <v/>
      </c>
      <c r="E261" s="88">
        <f>IF($T261="","",IF($S261="S",IF(""="","",""),IF(INDEX('AFA Rates'!$D$5:$D$1004,$T261)="","",INDEX('AFA Rates'!$D$5:$D$1004,$T261))))</f>
        <v/>
      </c>
      <c r="F261" s="79">
        <f>IF($T261="","",IF($S261="S",IF(INDEX(Firms!$O$5:$O$1004,$T261)="","",INDEX(Firms!$O$5:$O$1004,$T261)),IF(INDEX('AFA Rates'!$O$5:$O$1004,$T261)="","",INDEX('AFA Rates'!$O$5:$O$1004,$T261))))</f>
        <v/>
      </c>
      <c r="G261" s="50">
        <f>IF($T261="","",IF($S261="S",IF(INDEX(Firms!$F$5:$F$1004,$T261)="","",INDEX(Firms!$F$5:$F$1004,$T261)),IF(INDEX('AFA Rates'!$E$5:$E$1004,$T261)="","",INDEX('AFA Rates'!$E$5:$E$1004,$T261))))</f>
        <v/>
      </c>
      <c r="H261" s="50">
        <f>IF($T261="","",IF($S261="S",IF(INDEX(Firms!$G$5:$G$1004,$T261)="","",INDEX(Firms!$G$5:$G$1004,$T261)),IF(INDEX('AFA Rates'!$F$5:$F$1004,$T261)="","",INDEX('AFA Rates'!$F$5:$F$1004,$T261))))</f>
        <v/>
      </c>
      <c r="I261" s="50">
        <f>IF($T261="","",IF($S261="S",IF(INDEX(Firms!$H$5:$H$1004,$T261)="","",INDEX(Firms!$H$5:$H$1004,$T261)),IF(INDEX('AFA Rates'!$G$5:$G$1004,$T261)="","",INDEX('AFA Rates'!$G$5:$G$1004,$T261))))</f>
        <v/>
      </c>
      <c r="J261" s="50">
        <f>IF($T261="","",IF($S261="S",IF(INDEX(Firms!$I$5:$I$1004,$T261)="","",INDEX(Firms!$I$5:$I$1004,$T261)),IF(INDEX('AFA Rates'!$H$5:$H$1004,$T261)="","",INDEX('AFA Rates'!$H$5:$H$1004,$T261))))</f>
        <v/>
      </c>
      <c r="K261" s="50">
        <f>IF($T261="","",IF($S261="S",IF(INDEX(Firms!$J$5:$J$1004,$T261)="","",INDEX(Firms!$J$5:$J$1004,$T261)),IF(INDEX('AFA Rates'!$I$5:$I$1004,$T261)="","",INDEX('AFA Rates'!$I$5:$I$1004,$T261))))</f>
        <v/>
      </c>
      <c r="L261" s="50">
        <f>IF($T261="","",IF($S261="S",IF(INDEX(Firms!$K$5:$K$1004,$T261)="","",INDEX(Firms!$K$5:$K$1004,$T261)),IF(INDEX('AFA Rates'!$J$5:$J$1004,$T261)="","",INDEX('AFA Rates'!$J$5:$J$1004,$T261))))</f>
        <v/>
      </c>
      <c r="M261" s="50">
        <f>IF($T261="","",IF($S261="S",IF(INDEX(Firms!$L$5:$L$1004,$T261)="","",INDEX(Firms!$L$5:$L$1004,$T261)),IF(INDEX('AFA Rates'!$K$5:$K$1004,$T261)="","",INDEX('AFA Rates'!$K$5:$K$1004,$T261))))</f>
        <v/>
      </c>
      <c r="N261" s="50">
        <f>IF($T261="","",IF($S261="S",IF(INDEX(Firms!$M$5:$M$1004,$T261)="","",INDEX(Firms!$M$5:$M$1004,$T261)),IF(INDEX('AFA Rates'!$L$5:$L$1004,$T261)="","",INDEX('AFA Rates'!$L$5:$L$1004,$T261))))</f>
        <v/>
      </c>
      <c r="O261" s="78">
        <f>IF(OR($T261="",$U261=""),"",IF(INDEX(Firms!$C$5:$C$1004,$U261)="","",INDEX(Firms!$C$5:$C$1004,$U261)))</f>
        <v/>
      </c>
      <c r="P261" s="79">
        <f>IF(OR($T261="",$U261=""),"",IF(INDEX(Firms!$N$5:$N$1004,$U261)="","",INDEX(Firms!$N$5:$N$1004,$U261)))</f>
        <v/>
      </c>
      <c r="Q261" s="78">
        <f>IF($T261="","",IF($S261="S",IF(INDEX(Firms!$T$5:$T$1004,$T261)="","",INDEX(Firms!$T$5:$T$1004,$T261)),IF(INDEX('AFA Rates'!$M$5:$M$1004,$T261)="","",INDEX('AFA Rates'!$M$5:$M$1004,$T261))))</f>
        <v/>
      </c>
      <c r="S261">
        <f>IF(257&lt;=$S$2,"S",IF(257&lt;=$S$2+$T$2,"A",""))</f>
        <v/>
      </c>
      <c r="T261">
        <f>IF(S261="S",MATCH(257,Firms!$W$5:$W$1004,0),IF(S261="A",IFERROR(MATCH(257-$S$2,'AFA Rates'!$R$5:$R$1004,0),""),""))</f>
        <v/>
      </c>
      <c r="U261">
        <f>IF(S261="S",T261,IF(AND(S261="A",T261&lt;&gt;""),IFERROR(MATCH(INDEX('AFA Rates'!$A$5:$A$1004,T261),Firms!$A$5:$A$1004,0),""),""))</f>
        <v/>
      </c>
    </row>
    <row r="262">
      <c r="A262" s="78">
        <f>IF($T262="","",IF($S262="S",IF(INDEX(Firms!$A$5:$A$1004,$T262)="","",INDEX(Firms!$A$5:$A$1004,$T262)),IF(INDEX('AFA Rates'!$A$5:$A$1004,$T262)="","",INDEX('AFA Rates'!$A$5:$A$1004,$T262))))</f>
        <v/>
      </c>
      <c r="B262" s="79">
        <f>IF(OR($T262="",$U262=""),IF($T262="","","Not on Firms tab"),INDEX(Firms!$B$5:$B$1004,$U262)&amp;"")</f>
        <v/>
      </c>
      <c r="C262" s="78">
        <f>IF($T262="","",IF($S262="S","Standard",INDEX('AFA Rates'!$B$5:$B$1004,$T262)&amp;""))</f>
        <v/>
      </c>
      <c r="D262" s="88">
        <f>IF($T262="","",IF($S262="S",IF(INDEX(Firms!$E$5:$E$1004,$T262)="","",INDEX(Firms!$E$5:$E$1004,$T262)),IF(INDEX('AFA Rates'!$C$5:$C$1004,$T262)="","",INDEX('AFA Rates'!$C$5:$C$1004,$T262))))</f>
        <v/>
      </c>
      <c r="E262" s="88">
        <f>IF($T262="","",IF($S262="S",IF(""="","",""),IF(INDEX('AFA Rates'!$D$5:$D$1004,$T262)="","",INDEX('AFA Rates'!$D$5:$D$1004,$T262))))</f>
        <v/>
      </c>
      <c r="F262" s="79">
        <f>IF($T262="","",IF($S262="S",IF(INDEX(Firms!$O$5:$O$1004,$T262)="","",INDEX(Firms!$O$5:$O$1004,$T262)),IF(INDEX('AFA Rates'!$O$5:$O$1004,$T262)="","",INDEX('AFA Rates'!$O$5:$O$1004,$T262))))</f>
        <v/>
      </c>
      <c r="G262" s="50">
        <f>IF($T262="","",IF($S262="S",IF(INDEX(Firms!$F$5:$F$1004,$T262)="","",INDEX(Firms!$F$5:$F$1004,$T262)),IF(INDEX('AFA Rates'!$E$5:$E$1004,$T262)="","",INDEX('AFA Rates'!$E$5:$E$1004,$T262))))</f>
        <v/>
      </c>
      <c r="H262" s="50">
        <f>IF($T262="","",IF($S262="S",IF(INDEX(Firms!$G$5:$G$1004,$T262)="","",INDEX(Firms!$G$5:$G$1004,$T262)),IF(INDEX('AFA Rates'!$F$5:$F$1004,$T262)="","",INDEX('AFA Rates'!$F$5:$F$1004,$T262))))</f>
        <v/>
      </c>
      <c r="I262" s="50">
        <f>IF($T262="","",IF($S262="S",IF(INDEX(Firms!$H$5:$H$1004,$T262)="","",INDEX(Firms!$H$5:$H$1004,$T262)),IF(INDEX('AFA Rates'!$G$5:$G$1004,$T262)="","",INDEX('AFA Rates'!$G$5:$G$1004,$T262))))</f>
        <v/>
      </c>
      <c r="J262" s="50">
        <f>IF($T262="","",IF($S262="S",IF(INDEX(Firms!$I$5:$I$1004,$T262)="","",INDEX(Firms!$I$5:$I$1004,$T262)),IF(INDEX('AFA Rates'!$H$5:$H$1004,$T262)="","",INDEX('AFA Rates'!$H$5:$H$1004,$T262))))</f>
        <v/>
      </c>
      <c r="K262" s="50">
        <f>IF($T262="","",IF($S262="S",IF(INDEX(Firms!$J$5:$J$1004,$T262)="","",INDEX(Firms!$J$5:$J$1004,$T262)),IF(INDEX('AFA Rates'!$I$5:$I$1004,$T262)="","",INDEX('AFA Rates'!$I$5:$I$1004,$T262))))</f>
        <v/>
      </c>
      <c r="L262" s="50">
        <f>IF($T262="","",IF($S262="S",IF(INDEX(Firms!$K$5:$K$1004,$T262)="","",INDEX(Firms!$K$5:$K$1004,$T262)),IF(INDEX('AFA Rates'!$J$5:$J$1004,$T262)="","",INDEX('AFA Rates'!$J$5:$J$1004,$T262))))</f>
        <v/>
      </c>
      <c r="M262" s="50">
        <f>IF($T262="","",IF($S262="S",IF(INDEX(Firms!$L$5:$L$1004,$T262)="","",INDEX(Firms!$L$5:$L$1004,$T262)),IF(INDEX('AFA Rates'!$K$5:$K$1004,$T262)="","",INDEX('AFA Rates'!$K$5:$K$1004,$T262))))</f>
        <v/>
      </c>
      <c r="N262" s="50">
        <f>IF($T262="","",IF($S262="S",IF(INDEX(Firms!$M$5:$M$1004,$T262)="","",INDEX(Firms!$M$5:$M$1004,$T262)),IF(INDEX('AFA Rates'!$L$5:$L$1004,$T262)="","",INDEX('AFA Rates'!$L$5:$L$1004,$T262))))</f>
        <v/>
      </c>
      <c r="O262" s="78">
        <f>IF(OR($T262="",$U262=""),"",IF(INDEX(Firms!$C$5:$C$1004,$U262)="","",INDEX(Firms!$C$5:$C$1004,$U262)))</f>
        <v/>
      </c>
      <c r="P262" s="79">
        <f>IF(OR($T262="",$U262=""),"",IF(INDEX(Firms!$N$5:$N$1004,$U262)="","",INDEX(Firms!$N$5:$N$1004,$U262)))</f>
        <v/>
      </c>
      <c r="Q262" s="78">
        <f>IF($T262="","",IF($S262="S",IF(INDEX(Firms!$T$5:$T$1004,$T262)="","",INDEX(Firms!$T$5:$T$1004,$T262)),IF(INDEX('AFA Rates'!$M$5:$M$1004,$T262)="","",INDEX('AFA Rates'!$M$5:$M$1004,$T262))))</f>
        <v/>
      </c>
      <c r="S262">
        <f>IF(258&lt;=$S$2,"S",IF(258&lt;=$S$2+$T$2,"A",""))</f>
        <v/>
      </c>
      <c r="T262">
        <f>IF(S262="S",MATCH(258,Firms!$W$5:$W$1004,0),IF(S262="A",IFERROR(MATCH(258-$S$2,'AFA Rates'!$R$5:$R$1004,0),""),""))</f>
        <v/>
      </c>
      <c r="U262">
        <f>IF(S262="S",T262,IF(AND(S262="A",T262&lt;&gt;""),IFERROR(MATCH(INDEX('AFA Rates'!$A$5:$A$1004,T262),Firms!$A$5:$A$1004,0),""),""))</f>
        <v/>
      </c>
    </row>
    <row r="263">
      <c r="A263" s="78">
        <f>IF($T263="","",IF($S263="S",IF(INDEX(Firms!$A$5:$A$1004,$T263)="","",INDEX(Firms!$A$5:$A$1004,$T263)),IF(INDEX('AFA Rates'!$A$5:$A$1004,$T263)="","",INDEX('AFA Rates'!$A$5:$A$1004,$T263))))</f>
        <v/>
      </c>
      <c r="B263" s="79">
        <f>IF(OR($T263="",$U263=""),IF($T263="","","Not on Firms tab"),INDEX(Firms!$B$5:$B$1004,$U263)&amp;"")</f>
        <v/>
      </c>
      <c r="C263" s="78">
        <f>IF($T263="","",IF($S263="S","Standard",INDEX('AFA Rates'!$B$5:$B$1004,$T263)&amp;""))</f>
        <v/>
      </c>
      <c r="D263" s="88">
        <f>IF($T263="","",IF($S263="S",IF(INDEX(Firms!$E$5:$E$1004,$T263)="","",INDEX(Firms!$E$5:$E$1004,$T263)),IF(INDEX('AFA Rates'!$C$5:$C$1004,$T263)="","",INDEX('AFA Rates'!$C$5:$C$1004,$T263))))</f>
        <v/>
      </c>
      <c r="E263" s="88">
        <f>IF($T263="","",IF($S263="S",IF(""="","",""),IF(INDEX('AFA Rates'!$D$5:$D$1004,$T263)="","",INDEX('AFA Rates'!$D$5:$D$1004,$T263))))</f>
        <v/>
      </c>
      <c r="F263" s="79">
        <f>IF($T263="","",IF($S263="S",IF(INDEX(Firms!$O$5:$O$1004,$T263)="","",INDEX(Firms!$O$5:$O$1004,$T263)),IF(INDEX('AFA Rates'!$O$5:$O$1004,$T263)="","",INDEX('AFA Rates'!$O$5:$O$1004,$T263))))</f>
        <v/>
      </c>
      <c r="G263" s="50">
        <f>IF($T263="","",IF($S263="S",IF(INDEX(Firms!$F$5:$F$1004,$T263)="","",INDEX(Firms!$F$5:$F$1004,$T263)),IF(INDEX('AFA Rates'!$E$5:$E$1004,$T263)="","",INDEX('AFA Rates'!$E$5:$E$1004,$T263))))</f>
        <v/>
      </c>
      <c r="H263" s="50">
        <f>IF($T263="","",IF($S263="S",IF(INDEX(Firms!$G$5:$G$1004,$T263)="","",INDEX(Firms!$G$5:$G$1004,$T263)),IF(INDEX('AFA Rates'!$F$5:$F$1004,$T263)="","",INDEX('AFA Rates'!$F$5:$F$1004,$T263))))</f>
        <v/>
      </c>
      <c r="I263" s="50">
        <f>IF($T263="","",IF($S263="S",IF(INDEX(Firms!$H$5:$H$1004,$T263)="","",INDEX(Firms!$H$5:$H$1004,$T263)),IF(INDEX('AFA Rates'!$G$5:$G$1004,$T263)="","",INDEX('AFA Rates'!$G$5:$G$1004,$T263))))</f>
        <v/>
      </c>
      <c r="J263" s="50">
        <f>IF($T263="","",IF($S263="S",IF(INDEX(Firms!$I$5:$I$1004,$T263)="","",INDEX(Firms!$I$5:$I$1004,$T263)),IF(INDEX('AFA Rates'!$H$5:$H$1004,$T263)="","",INDEX('AFA Rates'!$H$5:$H$1004,$T263))))</f>
        <v/>
      </c>
      <c r="K263" s="50">
        <f>IF($T263="","",IF($S263="S",IF(INDEX(Firms!$J$5:$J$1004,$T263)="","",INDEX(Firms!$J$5:$J$1004,$T263)),IF(INDEX('AFA Rates'!$I$5:$I$1004,$T263)="","",INDEX('AFA Rates'!$I$5:$I$1004,$T263))))</f>
        <v/>
      </c>
      <c r="L263" s="50">
        <f>IF($T263="","",IF($S263="S",IF(INDEX(Firms!$K$5:$K$1004,$T263)="","",INDEX(Firms!$K$5:$K$1004,$T263)),IF(INDEX('AFA Rates'!$J$5:$J$1004,$T263)="","",INDEX('AFA Rates'!$J$5:$J$1004,$T263))))</f>
        <v/>
      </c>
      <c r="M263" s="50">
        <f>IF($T263="","",IF($S263="S",IF(INDEX(Firms!$L$5:$L$1004,$T263)="","",INDEX(Firms!$L$5:$L$1004,$T263)),IF(INDEX('AFA Rates'!$K$5:$K$1004,$T263)="","",INDEX('AFA Rates'!$K$5:$K$1004,$T263))))</f>
        <v/>
      </c>
      <c r="N263" s="50">
        <f>IF($T263="","",IF($S263="S",IF(INDEX(Firms!$M$5:$M$1004,$T263)="","",INDEX(Firms!$M$5:$M$1004,$T263)),IF(INDEX('AFA Rates'!$L$5:$L$1004,$T263)="","",INDEX('AFA Rates'!$L$5:$L$1004,$T263))))</f>
        <v/>
      </c>
      <c r="O263" s="78">
        <f>IF(OR($T263="",$U263=""),"",IF(INDEX(Firms!$C$5:$C$1004,$U263)="","",INDEX(Firms!$C$5:$C$1004,$U263)))</f>
        <v/>
      </c>
      <c r="P263" s="79">
        <f>IF(OR($T263="",$U263=""),"",IF(INDEX(Firms!$N$5:$N$1004,$U263)="","",INDEX(Firms!$N$5:$N$1004,$U263)))</f>
        <v/>
      </c>
      <c r="Q263" s="78">
        <f>IF($T263="","",IF($S263="S",IF(INDEX(Firms!$T$5:$T$1004,$T263)="","",INDEX(Firms!$T$5:$T$1004,$T263)),IF(INDEX('AFA Rates'!$M$5:$M$1004,$T263)="","",INDEX('AFA Rates'!$M$5:$M$1004,$T263))))</f>
        <v/>
      </c>
      <c r="S263">
        <f>IF(259&lt;=$S$2,"S",IF(259&lt;=$S$2+$T$2,"A",""))</f>
        <v/>
      </c>
      <c r="T263">
        <f>IF(S263="S",MATCH(259,Firms!$W$5:$W$1004,0),IF(S263="A",IFERROR(MATCH(259-$S$2,'AFA Rates'!$R$5:$R$1004,0),""),""))</f>
        <v/>
      </c>
      <c r="U263">
        <f>IF(S263="S",T263,IF(AND(S263="A",T263&lt;&gt;""),IFERROR(MATCH(INDEX('AFA Rates'!$A$5:$A$1004,T263),Firms!$A$5:$A$1004,0),""),""))</f>
        <v/>
      </c>
    </row>
    <row r="264">
      <c r="A264" s="78">
        <f>IF($T264="","",IF($S264="S",IF(INDEX(Firms!$A$5:$A$1004,$T264)="","",INDEX(Firms!$A$5:$A$1004,$T264)),IF(INDEX('AFA Rates'!$A$5:$A$1004,$T264)="","",INDEX('AFA Rates'!$A$5:$A$1004,$T264))))</f>
        <v/>
      </c>
      <c r="B264" s="79">
        <f>IF(OR($T264="",$U264=""),IF($T264="","","Not on Firms tab"),INDEX(Firms!$B$5:$B$1004,$U264)&amp;"")</f>
        <v/>
      </c>
      <c r="C264" s="78">
        <f>IF($T264="","",IF($S264="S","Standard",INDEX('AFA Rates'!$B$5:$B$1004,$T264)&amp;""))</f>
        <v/>
      </c>
      <c r="D264" s="88">
        <f>IF($T264="","",IF($S264="S",IF(INDEX(Firms!$E$5:$E$1004,$T264)="","",INDEX(Firms!$E$5:$E$1004,$T264)),IF(INDEX('AFA Rates'!$C$5:$C$1004,$T264)="","",INDEX('AFA Rates'!$C$5:$C$1004,$T264))))</f>
        <v/>
      </c>
      <c r="E264" s="88">
        <f>IF($T264="","",IF($S264="S",IF(""="","",""),IF(INDEX('AFA Rates'!$D$5:$D$1004,$T264)="","",INDEX('AFA Rates'!$D$5:$D$1004,$T264))))</f>
        <v/>
      </c>
      <c r="F264" s="79">
        <f>IF($T264="","",IF($S264="S",IF(INDEX(Firms!$O$5:$O$1004,$T264)="","",INDEX(Firms!$O$5:$O$1004,$T264)),IF(INDEX('AFA Rates'!$O$5:$O$1004,$T264)="","",INDEX('AFA Rates'!$O$5:$O$1004,$T264))))</f>
        <v/>
      </c>
      <c r="G264" s="50">
        <f>IF($T264="","",IF($S264="S",IF(INDEX(Firms!$F$5:$F$1004,$T264)="","",INDEX(Firms!$F$5:$F$1004,$T264)),IF(INDEX('AFA Rates'!$E$5:$E$1004,$T264)="","",INDEX('AFA Rates'!$E$5:$E$1004,$T264))))</f>
        <v/>
      </c>
      <c r="H264" s="50">
        <f>IF($T264="","",IF($S264="S",IF(INDEX(Firms!$G$5:$G$1004,$T264)="","",INDEX(Firms!$G$5:$G$1004,$T264)),IF(INDEX('AFA Rates'!$F$5:$F$1004,$T264)="","",INDEX('AFA Rates'!$F$5:$F$1004,$T264))))</f>
        <v/>
      </c>
      <c r="I264" s="50">
        <f>IF($T264="","",IF($S264="S",IF(INDEX(Firms!$H$5:$H$1004,$T264)="","",INDEX(Firms!$H$5:$H$1004,$T264)),IF(INDEX('AFA Rates'!$G$5:$G$1004,$T264)="","",INDEX('AFA Rates'!$G$5:$G$1004,$T264))))</f>
        <v/>
      </c>
      <c r="J264" s="50">
        <f>IF($T264="","",IF($S264="S",IF(INDEX(Firms!$I$5:$I$1004,$T264)="","",INDEX(Firms!$I$5:$I$1004,$T264)),IF(INDEX('AFA Rates'!$H$5:$H$1004,$T264)="","",INDEX('AFA Rates'!$H$5:$H$1004,$T264))))</f>
        <v/>
      </c>
      <c r="K264" s="50">
        <f>IF($T264="","",IF($S264="S",IF(INDEX(Firms!$J$5:$J$1004,$T264)="","",INDEX(Firms!$J$5:$J$1004,$T264)),IF(INDEX('AFA Rates'!$I$5:$I$1004,$T264)="","",INDEX('AFA Rates'!$I$5:$I$1004,$T264))))</f>
        <v/>
      </c>
      <c r="L264" s="50">
        <f>IF($T264="","",IF($S264="S",IF(INDEX(Firms!$K$5:$K$1004,$T264)="","",INDEX(Firms!$K$5:$K$1004,$T264)),IF(INDEX('AFA Rates'!$J$5:$J$1004,$T264)="","",INDEX('AFA Rates'!$J$5:$J$1004,$T264))))</f>
        <v/>
      </c>
      <c r="M264" s="50">
        <f>IF($T264="","",IF($S264="S",IF(INDEX(Firms!$L$5:$L$1004,$T264)="","",INDEX(Firms!$L$5:$L$1004,$T264)),IF(INDEX('AFA Rates'!$K$5:$K$1004,$T264)="","",INDEX('AFA Rates'!$K$5:$K$1004,$T264))))</f>
        <v/>
      </c>
      <c r="N264" s="50">
        <f>IF($T264="","",IF($S264="S",IF(INDEX(Firms!$M$5:$M$1004,$T264)="","",INDEX(Firms!$M$5:$M$1004,$T264)),IF(INDEX('AFA Rates'!$L$5:$L$1004,$T264)="","",INDEX('AFA Rates'!$L$5:$L$1004,$T264))))</f>
        <v/>
      </c>
      <c r="O264" s="78">
        <f>IF(OR($T264="",$U264=""),"",IF(INDEX(Firms!$C$5:$C$1004,$U264)="","",INDEX(Firms!$C$5:$C$1004,$U264)))</f>
        <v/>
      </c>
      <c r="P264" s="79">
        <f>IF(OR($T264="",$U264=""),"",IF(INDEX(Firms!$N$5:$N$1004,$U264)="","",INDEX(Firms!$N$5:$N$1004,$U264)))</f>
        <v/>
      </c>
      <c r="Q264" s="78">
        <f>IF($T264="","",IF($S264="S",IF(INDEX(Firms!$T$5:$T$1004,$T264)="","",INDEX(Firms!$T$5:$T$1004,$T264)),IF(INDEX('AFA Rates'!$M$5:$M$1004,$T264)="","",INDEX('AFA Rates'!$M$5:$M$1004,$T264))))</f>
        <v/>
      </c>
      <c r="S264">
        <f>IF(260&lt;=$S$2,"S",IF(260&lt;=$S$2+$T$2,"A",""))</f>
        <v/>
      </c>
      <c r="T264">
        <f>IF(S264="S",MATCH(260,Firms!$W$5:$W$1004,0),IF(S264="A",IFERROR(MATCH(260-$S$2,'AFA Rates'!$R$5:$R$1004,0),""),""))</f>
        <v/>
      </c>
      <c r="U264">
        <f>IF(S264="S",T264,IF(AND(S264="A",T264&lt;&gt;""),IFERROR(MATCH(INDEX('AFA Rates'!$A$5:$A$1004,T264),Firms!$A$5:$A$1004,0),""),""))</f>
        <v/>
      </c>
    </row>
    <row r="265">
      <c r="A265" s="78">
        <f>IF($T265="","",IF($S265="S",IF(INDEX(Firms!$A$5:$A$1004,$T265)="","",INDEX(Firms!$A$5:$A$1004,$T265)),IF(INDEX('AFA Rates'!$A$5:$A$1004,$T265)="","",INDEX('AFA Rates'!$A$5:$A$1004,$T265))))</f>
        <v/>
      </c>
      <c r="B265" s="79">
        <f>IF(OR($T265="",$U265=""),IF($T265="","","Not on Firms tab"),INDEX(Firms!$B$5:$B$1004,$U265)&amp;"")</f>
        <v/>
      </c>
      <c r="C265" s="78">
        <f>IF($T265="","",IF($S265="S","Standard",INDEX('AFA Rates'!$B$5:$B$1004,$T265)&amp;""))</f>
        <v/>
      </c>
      <c r="D265" s="88">
        <f>IF($T265="","",IF($S265="S",IF(INDEX(Firms!$E$5:$E$1004,$T265)="","",INDEX(Firms!$E$5:$E$1004,$T265)),IF(INDEX('AFA Rates'!$C$5:$C$1004,$T265)="","",INDEX('AFA Rates'!$C$5:$C$1004,$T265))))</f>
        <v/>
      </c>
      <c r="E265" s="88">
        <f>IF($T265="","",IF($S265="S",IF(""="","",""),IF(INDEX('AFA Rates'!$D$5:$D$1004,$T265)="","",INDEX('AFA Rates'!$D$5:$D$1004,$T265))))</f>
        <v/>
      </c>
      <c r="F265" s="79">
        <f>IF($T265="","",IF($S265="S",IF(INDEX(Firms!$O$5:$O$1004,$T265)="","",INDEX(Firms!$O$5:$O$1004,$T265)),IF(INDEX('AFA Rates'!$O$5:$O$1004,$T265)="","",INDEX('AFA Rates'!$O$5:$O$1004,$T265))))</f>
        <v/>
      </c>
      <c r="G265" s="50">
        <f>IF($T265="","",IF($S265="S",IF(INDEX(Firms!$F$5:$F$1004,$T265)="","",INDEX(Firms!$F$5:$F$1004,$T265)),IF(INDEX('AFA Rates'!$E$5:$E$1004,$T265)="","",INDEX('AFA Rates'!$E$5:$E$1004,$T265))))</f>
        <v/>
      </c>
      <c r="H265" s="50">
        <f>IF($T265="","",IF($S265="S",IF(INDEX(Firms!$G$5:$G$1004,$T265)="","",INDEX(Firms!$G$5:$G$1004,$T265)),IF(INDEX('AFA Rates'!$F$5:$F$1004,$T265)="","",INDEX('AFA Rates'!$F$5:$F$1004,$T265))))</f>
        <v/>
      </c>
      <c r="I265" s="50">
        <f>IF($T265="","",IF($S265="S",IF(INDEX(Firms!$H$5:$H$1004,$T265)="","",INDEX(Firms!$H$5:$H$1004,$T265)),IF(INDEX('AFA Rates'!$G$5:$G$1004,$T265)="","",INDEX('AFA Rates'!$G$5:$G$1004,$T265))))</f>
        <v/>
      </c>
      <c r="J265" s="50">
        <f>IF($T265="","",IF($S265="S",IF(INDEX(Firms!$I$5:$I$1004,$T265)="","",INDEX(Firms!$I$5:$I$1004,$T265)),IF(INDEX('AFA Rates'!$H$5:$H$1004,$T265)="","",INDEX('AFA Rates'!$H$5:$H$1004,$T265))))</f>
        <v/>
      </c>
      <c r="K265" s="50">
        <f>IF($T265="","",IF($S265="S",IF(INDEX(Firms!$J$5:$J$1004,$T265)="","",INDEX(Firms!$J$5:$J$1004,$T265)),IF(INDEX('AFA Rates'!$I$5:$I$1004,$T265)="","",INDEX('AFA Rates'!$I$5:$I$1004,$T265))))</f>
        <v/>
      </c>
      <c r="L265" s="50">
        <f>IF($T265="","",IF($S265="S",IF(INDEX(Firms!$K$5:$K$1004,$T265)="","",INDEX(Firms!$K$5:$K$1004,$T265)),IF(INDEX('AFA Rates'!$J$5:$J$1004,$T265)="","",INDEX('AFA Rates'!$J$5:$J$1004,$T265))))</f>
        <v/>
      </c>
      <c r="M265" s="50">
        <f>IF($T265="","",IF($S265="S",IF(INDEX(Firms!$L$5:$L$1004,$T265)="","",INDEX(Firms!$L$5:$L$1004,$T265)),IF(INDEX('AFA Rates'!$K$5:$K$1004,$T265)="","",INDEX('AFA Rates'!$K$5:$K$1004,$T265))))</f>
        <v/>
      </c>
      <c r="N265" s="50">
        <f>IF($T265="","",IF($S265="S",IF(INDEX(Firms!$M$5:$M$1004,$T265)="","",INDEX(Firms!$M$5:$M$1004,$T265)),IF(INDEX('AFA Rates'!$L$5:$L$1004,$T265)="","",INDEX('AFA Rates'!$L$5:$L$1004,$T265))))</f>
        <v/>
      </c>
      <c r="O265" s="78">
        <f>IF(OR($T265="",$U265=""),"",IF(INDEX(Firms!$C$5:$C$1004,$U265)="","",INDEX(Firms!$C$5:$C$1004,$U265)))</f>
        <v/>
      </c>
      <c r="P265" s="79">
        <f>IF(OR($T265="",$U265=""),"",IF(INDEX(Firms!$N$5:$N$1004,$U265)="","",INDEX(Firms!$N$5:$N$1004,$U265)))</f>
        <v/>
      </c>
      <c r="Q265" s="78">
        <f>IF($T265="","",IF($S265="S",IF(INDEX(Firms!$T$5:$T$1004,$T265)="","",INDEX(Firms!$T$5:$T$1004,$T265)),IF(INDEX('AFA Rates'!$M$5:$M$1004,$T265)="","",INDEX('AFA Rates'!$M$5:$M$1004,$T265))))</f>
        <v/>
      </c>
      <c r="S265">
        <f>IF(261&lt;=$S$2,"S",IF(261&lt;=$S$2+$T$2,"A",""))</f>
        <v/>
      </c>
      <c r="T265">
        <f>IF(S265="S",MATCH(261,Firms!$W$5:$W$1004,0),IF(S265="A",IFERROR(MATCH(261-$S$2,'AFA Rates'!$R$5:$R$1004,0),""),""))</f>
        <v/>
      </c>
      <c r="U265">
        <f>IF(S265="S",T265,IF(AND(S265="A",T265&lt;&gt;""),IFERROR(MATCH(INDEX('AFA Rates'!$A$5:$A$1004,T265),Firms!$A$5:$A$1004,0),""),""))</f>
        <v/>
      </c>
    </row>
    <row r="266">
      <c r="A266" s="78">
        <f>IF($T266="","",IF($S266="S",IF(INDEX(Firms!$A$5:$A$1004,$T266)="","",INDEX(Firms!$A$5:$A$1004,$T266)),IF(INDEX('AFA Rates'!$A$5:$A$1004,$T266)="","",INDEX('AFA Rates'!$A$5:$A$1004,$T266))))</f>
        <v/>
      </c>
      <c r="B266" s="79">
        <f>IF(OR($T266="",$U266=""),IF($T266="","","Not on Firms tab"),INDEX(Firms!$B$5:$B$1004,$U266)&amp;"")</f>
        <v/>
      </c>
      <c r="C266" s="78">
        <f>IF($T266="","",IF($S266="S","Standard",INDEX('AFA Rates'!$B$5:$B$1004,$T266)&amp;""))</f>
        <v/>
      </c>
      <c r="D266" s="88">
        <f>IF($T266="","",IF($S266="S",IF(INDEX(Firms!$E$5:$E$1004,$T266)="","",INDEX(Firms!$E$5:$E$1004,$T266)),IF(INDEX('AFA Rates'!$C$5:$C$1004,$T266)="","",INDEX('AFA Rates'!$C$5:$C$1004,$T266))))</f>
        <v/>
      </c>
      <c r="E266" s="88">
        <f>IF($T266="","",IF($S266="S",IF(""="","",""),IF(INDEX('AFA Rates'!$D$5:$D$1004,$T266)="","",INDEX('AFA Rates'!$D$5:$D$1004,$T266))))</f>
        <v/>
      </c>
      <c r="F266" s="79">
        <f>IF($T266="","",IF($S266="S",IF(INDEX(Firms!$O$5:$O$1004,$T266)="","",INDEX(Firms!$O$5:$O$1004,$T266)),IF(INDEX('AFA Rates'!$O$5:$O$1004,$T266)="","",INDEX('AFA Rates'!$O$5:$O$1004,$T266))))</f>
        <v/>
      </c>
      <c r="G266" s="50">
        <f>IF($T266="","",IF($S266="S",IF(INDEX(Firms!$F$5:$F$1004,$T266)="","",INDEX(Firms!$F$5:$F$1004,$T266)),IF(INDEX('AFA Rates'!$E$5:$E$1004,$T266)="","",INDEX('AFA Rates'!$E$5:$E$1004,$T266))))</f>
        <v/>
      </c>
      <c r="H266" s="50">
        <f>IF($T266="","",IF($S266="S",IF(INDEX(Firms!$G$5:$G$1004,$T266)="","",INDEX(Firms!$G$5:$G$1004,$T266)),IF(INDEX('AFA Rates'!$F$5:$F$1004,$T266)="","",INDEX('AFA Rates'!$F$5:$F$1004,$T266))))</f>
        <v/>
      </c>
      <c r="I266" s="50">
        <f>IF($T266="","",IF($S266="S",IF(INDEX(Firms!$H$5:$H$1004,$T266)="","",INDEX(Firms!$H$5:$H$1004,$T266)),IF(INDEX('AFA Rates'!$G$5:$G$1004,$T266)="","",INDEX('AFA Rates'!$G$5:$G$1004,$T266))))</f>
        <v/>
      </c>
      <c r="J266" s="50">
        <f>IF($T266="","",IF($S266="S",IF(INDEX(Firms!$I$5:$I$1004,$T266)="","",INDEX(Firms!$I$5:$I$1004,$T266)),IF(INDEX('AFA Rates'!$H$5:$H$1004,$T266)="","",INDEX('AFA Rates'!$H$5:$H$1004,$T266))))</f>
        <v/>
      </c>
      <c r="K266" s="50">
        <f>IF($T266="","",IF($S266="S",IF(INDEX(Firms!$J$5:$J$1004,$T266)="","",INDEX(Firms!$J$5:$J$1004,$T266)),IF(INDEX('AFA Rates'!$I$5:$I$1004,$T266)="","",INDEX('AFA Rates'!$I$5:$I$1004,$T266))))</f>
        <v/>
      </c>
      <c r="L266" s="50">
        <f>IF($T266="","",IF($S266="S",IF(INDEX(Firms!$K$5:$K$1004,$T266)="","",INDEX(Firms!$K$5:$K$1004,$T266)),IF(INDEX('AFA Rates'!$J$5:$J$1004,$T266)="","",INDEX('AFA Rates'!$J$5:$J$1004,$T266))))</f>
        <v/>
      </c>
      <c r="M266" s="50">
        <f>IF($T266="","",IF($S266="S",IF(INDEX(Firms!$L$5:$L$1004,$T266)="","",INDEX(Firms!$L$5:$L$1004,$T266)),IF(INDEX('AFA Rates'!$K$5:$K$1004,$T266)="","",INDEX('AFA Rates'!$K$5:$K$1004,$T266))))</f>
        <v/>
      </c>
      <c r="N266" s="50">
        <f>IF($T266="","",IF($S266="S",IF(INDEX(Firms!$M$5:$M$1004,$T266)="","",INDEX(Firms!$M$5:$M$1004,$T266)),IF(INDEX('AFA Rates'!$L$5:$L$1004,$T266)="","",INDEX('AFA Rates'!$L$5:$L$1004,$T266))))</f>
        <v/>
      </c>
      <c r="O266" s="78">
        <f>IF(OR($T266="",$U266=""),"",IF(INDEX(Firms!$C$5:$C$1004,$U266)="","",INDEX(Firms!$C$5:$C$1004,$U266)))</f>
        <v/>
      </c>
      <c r="P266" s="79">
        <f>IF(OR($T266="",$U266=""),"",IF(INDEX(Firms!$N$5:$N$1004,$U266)="","",INDEX(Firms!$N$5:$N$1004,$U266)))</f>
        <v/>
      </c>
      <c r="Q266" s="78">
        <f>IF($T266="","",IF($S266="S",IF(INDEX(Firms!$T$5:$T$1004,$T266)="","",INDEX(Firms!$T$5:$T$1004,$T266)),IF(INDEX('AFA Rates'!$M$5:$M$1004,$T266)="","",INDEX('AFA Rates'!$M$5:$M$1004,$T266))))</f>
        <v/>
      </c>
      <c r="S266">
        <f>IF(262&lt;=$S$2,"S",IF(262&lt;=$S$2+$T$2,"A",""))</f>
        <v/>
      </c>
      <c r="T266">
        <f>IF(S266="S",MATCH(262,Firms!$W$5:$W$1004,0),IF(S266="A",IFERROR(MATCH(262-$S$2,'AFA Rates'!$R$5:$R$1004,0),""),""))</f>
        <v/>
      </c>
      <c r="U266">
        <f>IF(S266="S",T266,IF(AND(S266="A",T266&lt;&gt;""),IFERROR(MATCH(INDEX('AFA Rates'!$A$5:$A$1004,T266),Firms!$A$5:$A$1004,0),""),""))</f>
        <v/>
      </c>
    </row>
    <row r="267">
      <c r="A267" s="78">
        <f>IF($T267="","",IF($S267="S",IF(INDEX(Firms!$A$5:$A$1004,$T267)="","",INDEX(Firms!$A$5:$A$1004,$T267)),IF(INDEX('AFA Rates'!$A$5:$A$1004,$T267)="","",INDEX('AFA Rates'!$A$5:$A$1004,$T267))))</f>
        <v/>
      </c>
      <c r="B267" s="79">
        <f>IF(OR($T267="",$U267=""),IF($T267="","","Not on Firms tab"),INDEX(Firms!$B$5:$B$1004,$U267)&amp;"")</f>
        <v/>
      </c>
      <c r="C267" s="78">
        <f>IF($T267="","",IF($S267="S","Standard",INDEX('AFA Rates'!$B$5:$B$1004,$T267)&amp;""))</f>
        <v/>
      </c>
      <c r="D267" s="88">
        <f>IF($T267="","",IF($S267="S",IF(INDEX(Firms!$E$5:$E$1004,$T267)="","",INDEX(Firms!$E$5:$E$1004,$T267)),IF(INDEX('AFA Rates'!$C$5:$C$1004,$T267)="","",INDEX('AFA Rates'!$C$5:$C$1004,$T267))))</f>
        <v/>
      </c>
      <c r="E267" s="88">
        <f>IF($T267="","",IF($S267="S",IF(""="","",""),IF(INDEX('AFA Rates'!$D$5:$D$1004,$T267)="","",INDEX('AFA Rates'!$D$5:$D$1004,$T267))))</f>
        <v/>
      </c>
      <c r="F267" s="79">
        <f>IF($T267="","",IF($S267="S",IF(INDEX(Firms!$O$5:$O$1004,$T267)="","",INDEX(Firms!$O$5:$O$1004,$T267)),IF(INDEX('AFA Rates'!$O$5:$O$1004,$T267)="","",INDEX('AFA Rates'!$O$5:$O$1004,$T267))))</f>
        <v/>
      </c>
      <c r="G267" s="50">
        <f>IF($T267="","",IF($S267="S",IF(INDEX(Firms!$F$5:$F$1004,$T267)="","",INDEX(Firms!$F$5:$F$1004,$T267)),IF(INDEX('AFA Rates'!$E$5:$E$1004,$T267)="","",INDEX('AFA Rates'!$E$5:$E$1004,$T267))))</f>
        <v/>
      </c>
      <c r="H267" s="50">
        <f>IF($T267="","",IF($S267="S",IF(INDEX(Firms!$G$5:$G$1004,$T267)="","",INDEX(Firms!$G$5:$G$1004,$T267)),IF(INDEX('AFA Rates'!$F$5:$F$1004,$T267)="","",INDEX('AFA Rates'!$F$5:$F$1004,$T267))))</f>
        <v/>
      </c>
      <c r="I267" s="50">
        <f>IF($T267="","",IF($S267="S",IF(INDEX(Firms!$H$5:$H$1004,$T267)="","",INDEX(Firms!$H$5:$H$1004,$T267)),IF(INDEX('AFA Rates'!$G$5:$G$1004,$T267)="","",INDEX('AFA Rates'!$G$5:$G$1004,$T267))))</f>
        <v/>
      </c>
      <c r="J267" s="50">
        <f>IF($T267="","",IF($S267="S",IF(INDEX(Firms!$I$5:$I$1004,$T267)="","",INDEX(Firms!$I$5:$I$1004,$T267)),IF(INDEX('AFA Rates'!$H$5:$H$1004,$T267)="","",INDEX('AFA Rates'!$H$5:$H$1004,$T267))))</f>
        <v/>
      </c>
      <c r="K267" s="50">
        <f>IF($T267="","",IF($S267="S",IF(INDEX(Firms!$J$5:$J$1004,$T267)="","",INDEX(Firms!$J$5:$J$1004,$T267)),IF(INDEX('AFA Rates'!$I$5:$I$1004,$T267)="","",INDEX('AFA Rates'!$I$5:$I$1004,$T267))))</f>
        <v/>
      </c>
      <c r="L267" s="50">
        <f>IF($T267="","",IF($S267="S",IF(INDEX(Firms!$K$5:$K$1004,$T267)="","",INDEX(Firms!$K$5:$K$1004,$T267)),IF(INDEX('AFA Rates'!$J$5:$J$1004,$T267)="","",INDEX('AFA Rates'!$J$5:$J$1004,$T267))))</f>
        <v/>
      </c>
      <c r="M267" s="50">
        <f>IF($T267="","",IF($S267="S",IF(INDEX(Firms!$L$5:$L$1004,$T267)="","",INDEX(Firms!$L$5:$L$1004,$T267)),IF(INDEX('AFA Rates'!$K$5:$K$1004,$T267)="","",INDEX('AFA Rates'!$K$5:$K$1004,$T267))))</f>
        <v/>
      </c>
      <c r="N267" s="50">
        <f>IF($T267="","",IF($S267="S",IF(INDEX(Firms!$M$5:$M$1004,$T267)="","",INDEX(Firms!$M$5:$M$1004,$T267)),IF(INDEX('AFA Rates'!$L$5:$L$1004,$T267)="","",INDEX('AFA Rates'!$L$5:$L$1004,$T267))))</f>
        <v/>
      </c>
      <c r="O267" s="78">
        <f>IF(OR($T267="",$U267=""),"",IF(INDEX(Firms!$C$5:$C$1004,$U267)="","",INDEX(Firms!$C$5:$C$1004,$U267)))</f>
        <v/>
      </c>
      <c r="P267" s="79">
        <f>IF(OR($T267="",$U267=""),"",IF(INDEX(Firms!$N$5:$N$1004,$U267)="","",INDEX(Firms!$N$5:$N$1004,$U267)))</f>
        <v/>
      </c>
      <c r="Q267" s="78">
        <f>IF($T267="","",IF($S267="S",IF(INDEX(Firms!$T$5:$T$1004,$T267)="","",INDEX(Firms!$T$5:$T$1004,$T267)),IF(INDEX('AFA Rates'!$M$5:$M$1004,$T267)="","",INDEX('AFA Rates'!$M$5:$M$1004,$T267))))</f>
        <v/>
      </c>
      <c r="S267">
        <f>IF(263&lt;=$S$2,"S",IF(263&lt;=$S$2+$T$2,"A",""))</f>
        <v/>
      </c>
      <c r="T267">
        <f>IF(S267="S",MATCH(263,Firms!$W$5:$W$1004,0),IF(S267="A",IFERROR(MATCH(263-$S$2,'AFA Rates'!$R$5:$R$1004,0),""),""))</f>
        <v/>
      </c>
      <c r="U267">
        <f>IF(S267="S",T267,IF(AND(S267="A",T267&lt;&gt;""),IFERROR(MATCH(INDEX('AFA Rates'!$A$5:$A$1004,T267),Firms!$A$5:$A$1004,0),""),""))</f>
        <v/>
      </c>
    </row>
    <row r="268">
      <c r="A268" s="78">
        <f>IF($T268="","",IF($S268="S",IF(INDEX(Firms!$A$5:$A$1004,$T268)="","",INDEX(Firms!$A$5:$A$1004,$T268)),IF(INDEX('AFA Rates'!$A$5:$A$1004,$T268)="","",INDEX('AFA Rates'!$A$5:$A$1004,$T268))))</f>
        <v/>
      </c>
      <c r="B268" s="79">
        <f>IF(OR($T268="",$U268=""),IF($T268="","","Not on Firms tab"),INDEX(Firms!$B$5:$B$1004,$U268)&amp;"")</f>
        <v/>
      </c>
      <c r="C268" s="78">
        <f>IF($T268="","",IF($S268="S","Standard",INDEX('AFA Rates'!$B$5:$B$1004,$T268)&amp;""))</f>
        <v/>
      </c>
      <c r="D268" s="88">
        <f>IF($T268="","",IF($S268="S",IF(INDEX(Firms!$E$5:$E$1004,$T268)="","",INDEX(Firms!$E$5:$E$1004,$T268)),IF(INDEX('AFA Rates'!$C$5:$C$1004,$T268)="","",INDEX('AFA Rates'!$C$5:$C$1004,$T268))))</f>
        <v/>
      </c>
      <c r="E268" s="88">
        <f>IF($T268="","",IF($S268="S",IF(""="","",""),IF(INDEX('AFA Rates'!$D$5:$D$1004,$T268)="","",INDEX('AFA Rates'!$D$5:$D$1004,$T268))))</f>
        <v/>
      </c>
      <c r="F268" s="79">
        <f>IF($T268="","",IF($S268="S",IF(INDEX(Firms!$O$5:$O$1004,$T268)="","",INDEX(Firms!$O$5:$O$1004,$T268)),IF(INDEX('AFA Rates'!$O$5:$O$1004,$T268)="","",INDEX('AFA Rates'!$O$5:$O$1004,$T268))))</f>
        <v/>
      </c>
      <c r="G268" s="50">
        <f>IF($T268="","",IF($S268="S",IF(INDEX(Firms!$F$5:$F$1004,$T268)="","",INDEX(Firms!$F$5:$F$1004,$T268)),IF(INDEX('AFA Rates'!$E$5:$E$1004,$T268)="","",INDEX('AFA Rates'!$E$5:$E$1004,$T268))))</f>
        <v/>
      </c>
      <c r="H268" s="50">
        <f>IF($T268="","",IF($S268="S",IF(INDEX(Firms!$G$5:$G$1004,$T268)="","",INDEX(Firms!$G$5:$G$1004,$T268)),IF(INDEX('AFA Rates'!$F$5:$F$1004,$T268)="","",INDEX('AFA Rates'!$F$5:$F$1004,$T268))))</f>
        <v/>
      </c>
      <c r="I268" s="50">
        <f>IF($T268="","",IF($S268="S",IF(INDEX(Firms!$H$5:$H$1004,$T268)="","",INDEX(Firms!$H$5:$H$1004,$T268)),IF(INDEX('AFA Rates'!$G$5:$G$1004,$T268)="","",INDEX('AFA Rates'!$G$5:$G$1004,$T268))))</f>
        <v/>
      </c>
      <c r="J268" s="50">
        <f>IF($T268="","",IF($S268="S",IF(INDEX(Firms!$I$5:$I$1004,$T268)="","",INDEX(Firms!$I$5:$I$1004,$T268)),IF(INDEX('AFA Rates'!$H$5:$H$1004,$T268)="","",INDEX('AFA Rates'!$H$5:$H$1004,$T268))))</f>
        <v/>
      </c>
      <c r="K268" s="50">
        <f>IF($T268="","",IF($S268="S",IF(INDEX(Firms!$J$5:$J$1004,$T268)="","",INDEX(Firms!$J$5:$J$1004,$T268)),IF(INDEX('AFA Rates'!$I$5:$I$1004,$T268)="","",INDEX('AFA Rates'!$I$5:$I$1004,$T268))))</f>
        <v/>
      </c>
      <c r="L268" s="50">
        <f>IF($T268="","",IF($S268="S",IF(INDEX(Firms!$K$5:$K$1004,$T268)="","",INDEX(Firms!$K$5:$K$1004,$T268)),IF(INDEX('AFA Rates'!$J$5:$J$1004,$T268)="","",INDEX('AFA Rates'!$J$5:$J$1004,$T268))))</f>
        <v/>
      </c>
      <c r="M268" s="50">
        <f>IF($T268="","",IF($S268="S",IF(INDEX(Firms!$L$5:$L$1004,$T268)="","",INDEX(Firms!$L$5:$L$1004,$T268)),IF(INDEX('AFA Rates'!$K$5:$K$1004,$T268)="","",INDEX('AFA Rates'!$K$5:$K$1004,$T268))))</f>
        <v/>
      </c>
      <c r="N268" s="50">
        <f>IF($T268="","",IF($S268="S",IF(INDEX(Firms!$M$5:$M$1004,$T268)="","",INDEX(Firms!$M$5:$M$1004,$T268)),IF(INDEX('AFA Rates'!$L$5:$L$1004,$T268)="","",INDEX('AFA Rates'!$L$5:$L$1004,$T268))))</f>
        <v/>
      </c>
      <c r="O268" s="78">
        <f>IF(OR($T268="",$U268=""),"",IF(INDEX(Firms!$C$5:$C$1004,$U268)="","",INDEX(Firms!$C$5:$C$1004,$U268)))</f>
        <v/>
      </c>
      <c r="P268" s="79">
        <f>IF(OR($T268="",$U268=""),"",IF(INDEX(Firms!$N$5:$N$1004,$U268)="","",INDEX(Firms!$N$5:$N$1004,$U268)))</f>
        <v/>
      </c>
      <c r="Q268" s="78">
        <f>IF($T268="","",IF($S268="S",IF(INDEX(Firms!$T$5:$T$1004,$T268)="","",INDEX(Firms!$T$5:$T$1004,$T268)),IF(INDEX('AFA Rates'!$M$5:$M$1004,$T268)="","",INDEX('AFA Rates'!$M$5:$M$1004,$T268))))</f>
        <v/>
      </c>
      <c r="S268">
        <f>IF(264&lt;=$S$2,"S",IF(264&lt;=$S$2+$T$2,"A",""))</f>
        <v/>
      </c>
      <c r="T268">
        <f>IF(S268="S",MATCH(264,Firms!$W$5:$W$1004,0),IF(S268="A",IFERROR(MATCH(264-$S$2,'AFA Rates'!$R$5:$R$1004,0),""),""))</f>
        <v/>
      </c>
      <c r="U268">
        <f>IF(S268="S",T268,IF(AND(S268="A",T268&lt;&gt;""),IFERROR(MATCH(INDEX('AFA Rates'!$A$5:$A$1004,T268),Firms!$A$5:$A$1004,0),""),""))</f>
        <v/>
      </c>
    </row>
    <row r="269">
      <c r="A269" s="78">
        <f>IF($T269="","",IF($S269="S",IF(INDEX(Firms!$A$5:$A$1004,$T269)="","",INDEX(Firms!$A$5:$A$1004,$T269)),IF(INDEX('AFA Rates'!$A$5:$A$1004,$T269)="","",INDEX('AFA Rates'!$A$5:$A$1004,$T269))))</f>
        <v/>
      </c>
      <c r="B269" s="79">
        <f>IF(OR($T269="",$U269=""),IF($T269="","","Not on Firms tab"),INDEX(Firms!$B$5:$B$1004,$U269)&amp;"")</f>
        <v/>
      </c>
      <c r="C269" s="78">
        <f>IF($T269="","",IF($S269="S","Standard",INDEX('AFA Rates'!$B$5:$B$1004,$T269)&amp;""))</f>
        <v/>
      </c>
      <c r="D269" s="88">
        <f>IF($T269="","",IF($S269="S",IF(INDEX(Firms!$E$5:$E$1004,$T269)="","",INDEX(Firms!$E$5:$E$1004,$T269)),IF(INDEX('AFA Rates'!$C$5:$C$1004,$T269)="","",INDEX('AFA Rates'!$C$5:$C$1004,$T269))))</f>
        <v/>
      </c>
      <c r="E269" s="88">
        <f>IF($T269="","",IF($S269="S",IF(""="","",""),IF(INDEX('AFA Rates'!$D$5:$D$1004,$T269)="","",INDEX('AFA Rates'!$D$5:$D$1004,$T269))))</f>
        <v/>
      </c>
      <c r="F269" s="79">
        <f>IF($T269="","",IF($S269="S",IF(INDEX(Firms!$O$5:$O$1004,$T269)="","",INDEX(Firms!$O$5:$O$1004,$T269)),IF(INDEX('AFA Rates'!$O$5:$O$1004,$T269)="","",INDEX('AFA Rates'!$O$5:$O$1004,$T269))))</f>
        <v/>
      </c>
      <c r="G269" s="50">
        <f>IF($T269="","",IF($S269="S",IF(INDEX(Firms!$F$5:$F$1004,$T269)="","",INDEX(Firms!$F$5:$F$1004,$T269)),IF(INDEX('AFA Rates'!$E$5:$E$1004,$T269)="","",INDEX('AFA Rates'!$E$5:$E$1004,$T269))))</f>
        <v/>
      </c>
      <c r="H269" s="50">
        <f>IF($T269="","",IF($S269="S",IF(INDEX(Firms!$G$5:$G$1004,$T269)="","",INDEX(Firms!$G$5:$G$1004,$T269)),IF(INDEX('AFA Rates'!$F$5:$F$1004,$T269)="","",INDEX('AFA Rates'!$F$5:$F$1004,$T269))))</f>
        <v/>
      </c>
      <c r="I269" s="50">
        <f>IF($T269="","",IF($S269="S",IF(INDEX(Firms!$H$5:$H$1004,$T269)="","",INDEX(Firms!$H$5:$H$1004,$T269)),IF(INDEX('AFA Rates'!$G$5:$G$1004,$T269)="","",INDEX('AFA Rates'!$G$5:$G$1004,$T269))))</f>
        <v/>
      </c>
      <c r="J269" s="50">
        <f>IF($T269="","",IF($S269="S",IF(INDEX(Firms!$I$5:$I$1004,$T269)="","",INDEX(Firms!$I$5:$I$1004,$T269)),IF(INDEX('AFA Rates'!$H$5:$H$1004,$T269)="","",INDEX('AFA Rates'!$H$5:$H$1004,$T269))))</f>
        <v/>
      </c>
      <c r="K269" s="50">
        <f>IF($T269="","",IF($S269="S",IF(INDEX(Firms!$J$5:$J$1004,$T269)="","",INDEX(Firms!$J$5:$J$1004,$T269)),IF(INDEX('AFA Rates'!$I$5:$I$1004,$T269)="","",INDEX('AFA Rates'!$I$5:$I$1004,$T269))))</f>
        <v/>
      </c>
      <c r="L269" s="50">
        <f>IF($T269="","",IF($S269="S",IF(INDEX(Firms!$K$5:$K$1004,$T269)="","",INDEX(Firms!$K$5:$K$1004,$T269)),IF(INDEX('AFA Rates'!$J$5:$J$1004,$T269)="","",INDEX('AFA Rates'!$J$5:$J$1004,$T269))))</f>
        <v/>
      </c>
      <c r="M269" s="50">
        <f>IF($T269="","",IF($S269="S",IF(INDEX(Firms!$L$5:$L$1004,$T269)="","",INDEX(Firms!$L$5:$L$1004,$T269)),IF(INDEX('AFA Rates'!$K$5:$K$1004,$T269)="","",INDEX('AFA Rates'!$K$5:$K$1004,$T269))))</f>
        <v/>
      </c>
      <c r="N269" s="50">
        <f>IF($T269="","",IF($S269="S",IF(INDEX(Firms!$M$5:$M$1004,$T269)="","",INDEX(Firms!$M$5:$M$1004,$T269)),IF(INDEX('AFA Rates'!$L$5:$L$1004,$T269)="","",INDEX('AFA Rates'!$L$5:$L$1004,$T269))))</f>
        <v/>
      </c>
      <c r="O269" s="78">
        <f>IF(OR($T269="",$U269=""),"",IF(INDEX(Firms!$C$5:$C$1004,$U269)="","",INDEX(Firms!$C$5:$C$1004,$U269)))</f>
        <v/>
      </c>
      <c r="P269" s="79">
        <f>IF(OR($T269="",$U269=""),"",IF(INDEX(Firms!$N$5:$N$1004,$U269)="","",INDEX(Firms!$N$5:$N$1004,$U269)))</f>
        <v/>
      </c>
      <c r="Q269" s="78">
        <f>IF($T269="","",IF($S269="S",IF(INDEX(Firms!$T$5:$T$1004,$T269)="","",INDEX(Firms!$T$5:$T$1004,$T269)),IF(INDEX('AFA Rates'!$M$5:$M$1004,$T269)="","",INDEX('AFA Rates'!$M$5:$M$1004,$T269))))</f>
        <v/>
      </c>
      <c r="S269">
        <f>IF(265&lt;=$S$2,"S",IF(265&lt;=$S$2+$T$2,"A",""))</f>
        <v/>
      </c>
      <c r="T269">
        <f>IF(S269="S",MATCH(265,Firms!$W$5:$W$1004,0),IF(S269="A",IFERROR(MATCH(265-$S$2,'AFA Rates'!$R$5:$R$1004,0),""),""))</f>
        <v/>
      </c>
      <c r="U269">
        <f>IF(S269="S",T269,IF(AND(S269="A",T269&lt;&gt;""),IFERROR(MATCH(INDEX('AFA Rates'!$A$5:$A$1004,T269),Firms!$A$5:$A$1004,0),""),""))</f>
        <v/>
      </c>
    </row>
    <row r="270">
      <c r="A270" s="78">
        <f>IF($T270="","",IF($S270="S",IF(INDEX(Firms!$A$5:$A$1004,$T270)="","",INDEX(Firms!$A$5:$A$1004,$T270)),IF(INDEX('AFA Rates'!$A$5:$A$1004,$T270)="","",INDEX('AFA Rates'!$A$5:$A$1004,$T270))))</f>
        <v/>
      </c>
      <c r="B270" s="79">
        <f>IF(OR($T270="",$U270=""),IF($T270="","","Not on Firms tab"),INDEX(Firms!$B$5:$B$1004,$U270)&amp;"")</f>
        <v/>
      </c>
      <c r="C270" s="78">
        <f>IF($T270="","",IF($S270="S","Standard",INDEX('AFA Rates'!$B$5:$B$1004,$T270)&amp;""))</f>
        <v/>
      </c>
      <c r="D270" s="88">
        <f>IF($T270="","",IF($S270="S",IF(INDEX(Firms!$E$5:$E$1004,$T270)="","",INDEX(Firms!$E$5:$E$1004,$T270)),IF(INDEX('AFA Rates'!$C$5:$C$1004,$T270)="","",INDEX('AFA Rates'!$C$5:$C$1004,$T270))))</f>
        <v/>
      </c>
      <c r="E270" s="88">
        <f>IF($T270="","",IF($S270="S",IF(""="","",""),IF(INDEX('AFA Rates'!$D$5:$D$1004,$T270)="","",INDEX('AFA Rates'!$D$5:$D$1004,$T270))))</f>
        <v/>
      </c>
      <c r="F270" s="79">
        <f>IF($T270="","",IF($S270="S",IF(INDEX(Firms!$O$5:$O$1004,$T270)="","",INDEX(Firms!$O$5:$O$1004,$T270)),IF(INDEX('AFA Rates'!$O$5:$O$1004,$T270)="","",INDEX('AFA Rates'!$O$5:$O$1004,$T270))))</f>
        <v/>
      </c>
      <c r="G270" s="50">
        <f>IF($T270="","",IF($S270="S",IF(INDEX(Firms!$F$5:$F$1004,$T270)="","",INDEX(Firms!$F$5:$F$1004,$T270)),IF(INDEX('AFA Rates'!$E$5:$E$1004,$T270)="","",INDEX('AFA Rates'!$E$5:$E$1004,$T270))))</f>
        <v/>
      </c>
      <c r="H270" s="50">
        <f>IF($T270="","",IF($S270="S",IF(INDEX(Firms!$G$5:$G$1004,$T270)="","",INDEX(Firms!$G$5:$G$1004,$T270)),IF(INDEX('AFA Rates'!$F$5:$F$1004,$T270)="","",INDEX('AFA Rates'!$F$5:$F$1004,$T270))))</f>
        <v/>
      </c>
      <c r="I270" s="50">
        <f>IF($T270="","",IF($S270="S",IF(INDEX(Firms!$H$5:$H$1004,$T270)="","",INDEX(Firms!$H$5:$H$1004,$T270)),IF(INDEX('AFA Rates'!$G$5:$G$1004,$T270)="","",INDEX('AFA Rates'!$G$5:$G$1004,$T270))))</f>
        <v/>
      </c>
      <c r="J270" s="50">
        <f>IF($T270="","",IF($S270="S",IF(INDEX(Firms!$I$5:$I$1004,$T270)="","",INDEX(Firms!$I$5:$I$1004,$T270)),IF(INDEX('AFA Rates'!$H$5:$H$1004,$T270)="","",INDEX('AFA Rates'!$H$5:$H$1004,$T270))))</f>
        <v/>
      </c>
      <c r="K270" s="50">
        <f>IF($T270="","",IF($S270="S",IF(INDEX(Firms!$J$5:$J$1004,$T270)="","",INDEX(Firms!$J$5:$J$1004,$T270)),IF(INDEX('AFA Rates'!$I$5:$I$1004,$T270)="","",INDEX('AFA Rates'!$I$5:$I$1004,$T270))))</f>
        <v/>
      </c>
      <c r="L270" s="50">
        <f>IF($T270="","",IF($S270="S",IF(INDEX(Firms!$K$5:$K$1004,$T270)="","",INDEX(Firms!$K$5:$K$1004,$T270)),IF(INDEX('AFA Rates'!$J$5:$J$1004,$T270)="","",INDEX('AFA Rates'!$J$5:$J$1004,$T270))))</f>
        <v/>
      </c>
      <c r="M270" s="50">
        <f>IF($T270="","",IF($S270="S",IF(INDEX(Firms!$L$5:$L$1004,$T270)="","",INDEX(Firms!$L$5:$L$1004,$T270)),IF(INDEX('AFA Rates'!$K$5:$K$1004,$T270)="","",INDEX('AFA Rates'!$K$5:$K$1004,$T270))))</f>
        <v/>
      </c>
      <c r="N270" s="50">
        <f>IF($T270="","",IF($S270="S",IF(INDEX(Firms!$M$5:$M$1004,$T270)="","",INDEX(Firms!$M$5:$M$1004,$T270)),IF(INDEX('AFA Rates'!$L$5:$L$1004,$T270)="","",INDEX('AFA Rates'!$L$5:$L$1004,$T270))))</f>
        <v/>
      </c>
      <c r="O270" s="78">
        <f>IF(OR($T270="",$U270=""),"",IF(INDEX(Firms!$C$5:$C$1004,$U270)="","",INDEX(Firms!$C$5:$C$1004,$U270)))</f>
        <v/>
      </c>
      <c r="P270" s="79">
        <f>IF(OR($T270="",$U270=""),"",IF(INDEX(Firms!$N$5:$N$1004,$U270)="","",INDEX(Firms!$N$5:$N$1004,$U270)))</f>
        <v/>
      </c>
      <c r="Q270" s="78">
        <f>IF($T270="","",IF($S270="S",IF(INDEX(Firms!$T$5:$T$1004,$T270)="","",INDEX(Firms!$T$5:$T$1004,$T270)),IF(INDEX('AFA Rates'!$M$5:$M$1004,$T270)="","",INDEX('AFA Rates'!$M$5:$M$1004,$T270))))</f>
        <v/>
      </c>
      <c r="S270">
        <f>IF(266&lt;=$S$2,"S",IF(266&lt;=$S$2+$T$2,"A",""))</f>
        <v/>
      </c>
      <c r="T270">
        <f>IF(S270="S",MATCH(266,Firms!$W$5:$W$1004,0),IF(S270="A",IFERROR(MATCH(266-$S$2,'AFA Rates'!$R$5:$R$1004,0),""),""))</f>
        <v/>
      </c>
      <c r="U270">
        <f>IF(S270="S",T270,IF(AND(S270="A",T270&lt;&gt;""),IFERROR(MATCH(INDEX('AFA Rates'!$A$5:$A$1004,T270),Firms!$A$5:$A$1004,0),""),""))</f>
        <v/>
      </c>
    </row>
    <row r="271">
      <c r="A271" s="78">
        <f>IF($T271="","",IF($S271="S",IF(INDEX(Firms!$A$5:$A$1004,$T271)="","",INDEX(Firms!$A$5:$A$1004,$T271)),IF(INDEX('AFA Rates'!$A$5:$A$1004,$T271)="","",INDEX('AFA Rates'!$A$5:$A$1004,$T271))))</f>
        <v/>
      </c>
      <c r="B271" s="79">
        <f>IF(OR($T271="",$U271=""),IF($T271="","","Not on Firms tab"),INDEX(Firms!$B$5:$B$1004,$U271)&amp;"")</f>
        <v/>
      </c>
      <c r="C271" s="78">
        <f>IF($T271="","",IF($S271="S","Standard",INDEX('AFA Rates'!$B$5:$B$1004,$T271)&amp;""))</f>
        <v/>
      </c>
      <c r="D271" s="88">
        <f>IF($T271="","",IF($S271="S",IF(INDEX(Firms!$E$5:$E$1004,$T271)="","",INDEX(Firms!$E$5:$E$1004,$T271)),IF(INDEX('AFA Rates'!$C$5:$C$1004,$T271)="","",INDEX('AFA Rates'!$C$5:$C$1004,$T271))))</f>
        <v/>
      </c>
      <c r="E271" s="88">
        <f>IF($T271="","",IF($S271="S",IF(""="","",""),IF(INDEX('AFA Rates'!$D$5:$D$1004,$T271)="","",INDEX('AFA Rates'!$D$5:$D$1004,$T271))))</f>
        <v/>
      </c>
      <c r="F271" s="79">
        <f>IF($T271="","",IF($S271="S",IF(INDEX(Firms!$O$5:$O$1004,$T271)="","",INDEX(Firms!$O$5:$O$1004,$T271)),IF(INDEX('AFA Rates'!$O$5:$O$1004,$T271)="","",INDEX('AFA Rates'!$O$5:$O$1004,$T271))))</f>
        <v/>
      </c>
      <c r="G271" s="50">
        <f>IF($T271="","",IF($S271="S",IF(INDEX(Firms!$F$5:$F$1004,$T271)="","",INDEX(Firms!$F$5:$F$1004,$T271)),IF(INDEX('AFA Rates'!$E$5:$E$1004,$T271)="","",INDEX('AFA Rates'!$E$5:$E$1004,$T271))))</f>
        <v/>
      </c>
      <c r="H271" s="50">
        <f>IF($T271="","",IF($S271="S",IF(INDEX(Firms!$G$5:$G$1004,$T271)="","",INDEX(Firms!$G$5:$G$1004,$T271)),IF(INDEX('AFA Rates'!$F$5:$F$1004,$T271)="","",INDEX('AFA Rates'!$F$5:$F$1004,$T271))))</f>
        <v/>
      </c>
      <c r="I271" s="50">
        <f>IF($T271="","",IF($S271="S",IF(INDEX(Firms!$H$5:$H$1004,$T271)="","",INDEX(Firms!$H$5:$H$1004,$T271)),IF(INDEX('AFA Rates'!$G$5:$G$1004,$T271)="","",INDEX('AFA Rates'!$G$5:$G$1004,$T271))))</f>
        <v/>
      </c>
      <c r="J271" s="50">
        <f>IF($T271="","",IF($S271="S",IF(INDEX(Firms!$I$5:$I$1004,$T271)="","",INDEX(Firms!$I$5:$I$1004,$T271)),IF(INDEX('AFA Rates'!$H$5:$H$1004,$T271)="","",INDEX('AFA Rates'!$H$5:$H$1004,$T271))))</f>
        <v/>
      </c>
      <c r="K271" s="50">
        <f>IF($T271="","",IF($S271="S",IF(INDEX(Firms!$J$5:$J$1004,$T271)="","",INDEX(Firms!$J$5:$J$1004,$T271)),IF(INDEX('AFA Rates'!$I$5:$I$1004,$T271)="","",INDEX('AFA Rates'!$I$5:$I$1004,$T271))))</f>
        <v/>
      </c>
      <c r="L271" s="50">
        <f>IF($T271="","",IF($S271="S",IF(INDEX(Firms!$K$5:$K$1004,$T271)="","",INDEX(Firms!$K$5:$K$1004,$T271)),IF(INDEX('AFA Rates'!$J$5:$J$1004,$T271)="","",INDEX('AFA Rates'!$J$5:$J$1004,$T271))))</f>
        <v/>
      </c>
      <c r="M271" s="50">
        <f>IF($T271="","",IF($S271="S",IF(INDEX(Firms!$L$5:$L$1004,$T271)="","",INDEX(Firms!$L$5:$L$1004,$T271)),IF(INDEX('AFA Rates'!$K$5:$K$1004,$T271)="","",INDEX('AFA Rates'!$K$5:$K$1004,$T271))))</f>
        <v/>
      </c>
      <c r="N271" s="50">
        <f>IF($T271="","",IF($S271="S",IF(INDEX(Firms!$M$5:$M$1004,$T271)="","",INDEX(Firms!$M$5:$M$1004,$T271)),IF(INDEX('AFA Rates'!$L$5:$L$1004,$T271)="","",INDEX('AFA Rates'!$L$5:$L$1004,$T271))))</f>
        <v/>
      </c>
      <c r="O271" s="78">
        <f>IF(OR($T271="",$U271=""),"",IF(INDEX(Firms!$C$5:$C$1004,$U271)="","",INDEX(Firms!$C$5:$C$1004,$U271)))</f>
        <v/>
      </c>
      <c r="P271" s="79">
        <f>IF(OR($T271="",$U271=""),"",IF(INDEX(Firms!$N$5:$N$1004,$U271)="","",INDEX(Firms!$N$5:$N$1004,$U271)))</f>
        <v/>
      </c>
      <c r="Q271" s="78">
        <f>IF($T271="","",IF($S271="S",IF(INDEX(Firms!$T$5:$T$1004,$T271)="","",INDEX(Firms!$T$5:$T$1004,$T271)),IF(INDEX('AFA Rates'!$M$5:$M$1004,$T271)="","",INDEX('AFA Rates'!$M$5:$M$1004,$T271))))</f>
        <v/>
      </c>
      <c r="S271">
        <f>IF(267&lt;=$S$2,"S",IF(267&lt;=$S$2+$T$2,"A",""))</f>
        <v/>
      </c>
      <c r="T271">
        <f>IF(S271="S",MATCH(267,Firms!$W$5:$W$1004,0),IF(S271="A",IFERROR(MATCH(267-$S$2,'AFA Rates'!$R$5:$R$1004,0),""),""))</f>
        <v/>
      </c>
      <c r="U271">
        <f>IF(S271="S",T271,IF(AND(S271="A",T271&lt;&gt;""),IFERROR(MATCH(INDEX('AFA Rates'!$A$5:$A$1004,T271),Firms!$A$5:$A$1004,0),""),""))</f>
        <v/>
      </c>
    </row>
    <row r="272">
      <c r="A272" s="78">
        <f>IF($T272="","",IF($S272="S",IF(INDEX(Firms!$A$5:$A$1004,$T272)="","",INDEX(Firms!$A$5:$A$1004,$T272)),IF(INDEX('AFA Rates'!$A$5:$A$1004,$T272)="","",INDEX('AFA Rates'!$A$5:$A$1004,$T272))))</f>
        <v/>
      </c>
      <c r="B272" s="79">
        <f>IF(OR($T272="",$U272=""),IF($T272="","","Not on Firms tab"),INDEX(Firms!$B$5:$B$1004,$U272)&amp;"")</f>
        <v/>
      </c>
      <c r="C272" s="78">
        <f>IF($T272="","",IF($S272="S","Standard",INDEX('AFA Rates'!$B$5:$B$1004,$T272)&amp;""))</f>
        <v/>
      </c>
      <c r="D272" s="88">
        <f>IF($T272="","",IF($S272="S",IF(INDEX(Firms!$E$5:$E$1004,$T272)="","",INDEX(Firms!$E$5:$E$1004,$T272)),IF(INDEX('AFA Rates'!$C$5:$C$1004,$T272)="","",INDEX('AFA Rates'!$C$5:$C$1004,$T272))))</f>
        <v/>
      </c>
      <c r="E272" s="88">
        <f>IF($T272="","",IF($S272="S",IF(""="","",""),IF(INDEX('AFA Rates'!$D$5:$D$1004,$T272)="","",INDEX('AFA Rates'!$D$5:$D$1004,$T272))))</f>
        <v/>
      </c>
      <c r="F272" s="79">
        <f>IF($T272="","",IF($S272="S",IF(INDEX(Firms!$O$5:$O$1004,$T272)="","",INDEX(Firms!$O$5:$O$1004,$T272)),IF(INDEX('AFA Rates'!$O$5:$O$1004,$T272)="","",INDEX('AFA Rates'!$O$5:$O$1004,$T272))))</f>
        <v/>
      </c>
      <c r="G272" s="50">
        <f>IF($T272="","",IF($S272="S",IF(INDEX(Firms!$F$5:$F$1004,$T272)="","",INDEX(Firms!$F$5:$F$1004,$T272)),IF(INDEX('AFA Rates'!$E$5:$E$1004,$T272)="","",INDEX('AFA Rates'!$E$5:$E$1004,$T272))))</f>
        <v/>
      </c>
      <c r="H272" s="50">
        <f>IF($T272="","",IF($S272="S",IF(INDEX(Firms!$G$5:$G$1004,$T272)="","",INDEX(Firms!$G$5:$G$1004,$T272)),IF(INDEX('AFA Rates'!$F$5:$F$1004,$T272)="","",INDEX('AFA Rates'!$F$5:$F$1004,$T272))))</f>
        <v/>
      </c>
      <c r="I272" s="50">
        <f>IF($T272="","",IF($S272="S",IF(INDEX(Firms!$H$5:$H$1004,$T272)="","",INDEX(Firms!$H$5:$H$1004,$T272)),IF(INDEX('AFA Rates'!$G$5:$G$1004,$T272)="","",INDEX('AFA Rates'!$G$5:$G$1004,$T272))))</f>
        <v/>
      </c>
      <c r="J272" s="50">
        <f>IF($T272="","",IF($S272="S",IF(INDEX(Firms!$I$5:$I$1004,$T272)="","",INDEX(Firms!$I$5:$I$1004,$T272)),IF(INDEX('AFA Rates'!$H$5:$H$1004,$T272)="","",INDEX('AFA Rates'!$H$5:$H$1004,$T272))))</f>
        <v/>
      </c>
      <c r="K272" s="50">
        <f>IF($T272="","",IF($S272="S",IF(INDEX(Firms!$J$5:$J$1004,$T272)="","",INDEX(Firms!$J$5:$J$1004,$T272)),IF(INDEX('AFA Rates'!$I$5:$I$1004,$T272)="","",INDEX('AFA Rates'!$I$5:$I$1004,$T272))))</f>
        <v/>
      </c>
      <c r="L272" s="50">
        <f>IF($T272="","",IF($S272="S",IF(INDEX(Firms!$K$5:$K$1004,$T272)="","",INDEX(Firms!$K$5:$K$1004,$T272)),IF(INDEX('AFA Rates'!$J$5:$J$1004,$T272)="","",INDEX('AFA Rates'!$J$5:$J$1004,$T272))))</f>
        <v/>
      </c>
      <c r="M272" s="50">
        <f>IF($T272="","",IF($S272="S",IF(INDEX(Firms!$L$5:$L$1004,$T272)="","",INDEX(Firms!$L$5:$L$1004,$T272)),IF(INDEX('AFA Rates'!$K$5:$K$1004,$T272)="","",INDEX('AFA Rates'!$K$5:$K$1004,$T272))))</f>
        <v/>
      </c>
      <c r="N272" s="50">
        <f>IF($T272="","",IF($S272="S",IF(INDEX(Firms!$M$5:$M$1004,$T272)="","",INDEX(Firms!$M$5:$M$1004,$T272)),IF(INDEX('AFA Rates'!$L$5:$L$1004,$T272)="","",INDEX('AFA Rates'!$L$5:$L$1004,$T272))))</f>
        <v/>
      </c>
      <c r="O272" s="78">
        <f>IF(OR($T272="",$U272=""),"",IF(INDEX(Firms!$C$5:$C$1004,$U272)="","",INDEX(Firms!$C$5:$C$1004,$U272)))</f>
        <v/>
      </c>
      <c r="P272" s="79">
        <f>IF(OR($T272="",$U272=""),"",IF(INDEX(Firms!$N$5:$N$1004,$U272)="","",INDEX(Firms!$N$5:$N$1004,$U272)))</f>
        <v/>
      </c>
      <c r="Q272" s="78">
        <f>IF($T272="","",IF($S272="S",IF(INDEX(Firms!$T$5:$T$1004,$T272)="","",INDEX(Firms!$T$5:$T$1004,$T272)),IF(INDEX('AFA Rates'!$M$5:$M$1004,$T272)="","",INDEX('AFA Rates'!$M$5:$M$1004,$T272))))</f>
        <v/>
      </c>
      <c r="S272">
        <f>IF(268&lt;=$S$2,"S",IF(268&lt;=$S$2+$T$2,"A",""))</f>
        <v/>
      </c>
      <c r="T272">
        <f>IF(S272="S",MATCH(268,Firms!$W$5:$W$1004,0),IF(S272="A",IFERROR(MATCH(268-$S$2,'AFA Rates'!$R$5:$R$1004,0),""),""))</f>
        <v/>
      </c>
      <c r="U272">
        <f>IF(S272="S",T272,IF(AND(S272="A",T272&lt;&gt;""),IFERROR(MATCH(INDEX('AFA Rates'!$A$5:$A$1004,T272),Firms!$A$5:$A$1004,0),""),""))</f>
        <v/>
      </c>
    </row>
    <row r="273">
      <c r="A273" s="78">
        <f>IF($T273="","",IF($S273="S",IF(INDEX(Firms!$A$5:$A$1004,$T273)="","",INDEX(Firms!$A$5:$A$1004,$T273)),IF(INDEX('AFA Rates'!$A$5:$A$1004,$T273)="","",INDEX('AFA Rates'!$A$5:$A$1004,$T273))))</f>
        <v/>
      </c>
      <c r="B273" s="79">
        <f>IF(OR($T273="",$U273=""),IF($T273="","","Not on Firms tab"),INDEX(Firms!$B$5:$B$1004,$U273)&amp;"")</f>
        <v/>
      </c>
      <c r="C273" s="78">
        <f>IF($T273="","",IF($S273="S","Standard",INDEX('AFA Rates'!$B$5:$B$1004,$T273)&amp;""))</f>
        <v/>
      </c>
      <c r="D273" s="88">
        <f>IF($T273="","",IF($S273="S",IF(INDEX(Firms!$E$5:$E$1004,$T273)="","",INDEX(Firms!$E$5:$E$1004,$T273)),IF(INDEX('AFA Rates'!$C$5:$C$1004,$T273)="","",INDEX('AFA Rates'!$C$5:$C$1004,$T273))))</f>
        <v/>
      </c>
      <c r="E273" s="88">
        <f>IF($T273="","",IF($S273="S",IF(""="","",""),IF(INDEX('AFA Rates'!$D$5:$D$1004,$T273)="","",INDEX('AFA Rates'!$D$5:$D$1004,$T273))))</f>
        <v/>
      </c>
      <c r="F273" s="79">
        <f>IF($T273="","",IF($S273="S",IF(INDEX(Firms!$O$5:$O$1004,$T273)="","",INDEX(Firms!$O$5:$O$1004,$T273)),IF(INDEX('AFA Rates'!$O$5:$O$1004,$T273)="","",INDEX('AFA Rates'!$O$5:$O$1004,$T273))))</f>
        <v/>
      </c>
      <c r="G273" s="50">
        <f>IF($T273="","",IF($S273="S",IF(INDEX(Firms!$F$5:$F$1004,$T273)="","",INDEX(Firms!$F$5:$F$1004,$T273)),IF(INDEX('AFA Rates'!$E$5:$E$1004,$T273)="","",INDEX('AFA Rates'!$E$5:$E$1004,$T273))))</f>
        <v/>
      </c>
      <c r="H273" s="50">
        <f>IF($T273="","",IF($S273="S",IF(INDEX(Firms!$G$5:$G$1004,$T273)="","",INDEX(Firms!$G$5:$G$1004,$T273)),IF(INDEX('AFA Rates'!$F$5:$F$1004,$T273)="","",INDEX('AFA Rates'!$F$5:$F$1004,$T273))))</f>
        <v/>
      </c>
      <c r="I273" s="50">
        <f>IF($T273="","",IF($S273="S",IF(INDEX(Firms!$H$5:$H$1004,$T273)="","",INDEX(Firms!$H$5:$H$1004,$T273)),IF(INDEX('AFA Rates'!$G$5:$G$1004,$T273)="","",INDEX('AFA Rates'!$G$5:$G$1004,$T273))))</f>
        <v/>
      </c>
      <c r="J273" s="50">
        <f>IF($T273="","",IF($S273="S",IF(INDEX(Firms!$I$5:$I$1004,$T273)="","",INDEX(Firms!$I$5:$I$1004,$T273)),IF(INDEX('AFA Rates'!$H$5:$H$1004,$T273)="","",INDEX('AFA Rates'!$H$5:$H$1004,$T273))))</f>
        <v/>
      </c>
      <c r="K273" s="50">
        <f>IF($T273="","",IF($S273="S",IF(INDEX(Firms!$J$5:$J$1004,$T273)="","",INDEX(Firms!$J$5:$J$1004,$T273)),IF(INDEX('AFA Rates'!$I$5:$I$1004,$T273)="","",INDEX('AFA Rates'!$I$5:$I$1004,$T273))))</f>
        <v/>
      </c>
      <c r="L273" s="50">
        <f>IF($T273="","",IF($S273="S",IF(INDEX(Firms!$K$5:$K$1004,$T273)="","",INDEX(Firms!$K$5:$K$1004,$T273)),IF(INDEX('AFA Rates'!$J$5:$J$1004,$T273)="","",INDEX('AFA Rates'!$J$5:$J$1004,$T273))))</f>
        <v/>
      </c>
      <c r="M273" s="50">
        <f>IF($T273="","",IF($S273="S",IF(INDEX(Firms!$L$5:$L$1004,$T273)="","",INDEX(Firms!$L$5:$L$1004,$T273)),IF(INDEX('AFA Rates'!$K$5:$K$1004,$T273)="","",INDEX('AFA Rates'!$K$5:$K$1004,$T273))))</f>
        <v/>
      </c>
      <c r="N273" s="50">
        <f>IF($T273="","",IF($S273="S",IF(INDEX(Firms!$M$5:$M$1004,$T273)="","",INDEX(Firms!$M$5:$M$1004,$T273)),IF(INDEX('AFA Rates'!$L$5:$L$1004,$T273)="","",INDEX('AFA Rates'!$L$5:$L$1004,$T273))))</f>
        <v/>
      </c>
      <c r="O273" s="78">
        <f>IF(OR($T273="",$U273=""),"",IF(INDEX(Firms!$C$5:$C$1004,$U273)="","",INDEX(Firms!$C$5:$C$1004,$U273)))</f>
        <v/>
      </c>
      <c r="P273" s="79">
        <f>IF(OR($T273="",$U273=""),"",IF(INDEX(Firms!$N$5:$N$1004,$U273)="","",INDEX(Firms!$N$5:$N$1004,$U273)))</f>
        <v/>
      </c>
      <c r="Q273" s="78">
        <f>IF($T273="","",IF($S273="S",IF(INDEX(Firms!$T$5:$T$1004,$T273)="","",INDEX(Firms!$T$5:$T$1004,$T273)),IF(INDEX('AFA Rates'!$M$5:$M$1004,$T273)="","",INDEX('AFA Rates'!$M$5:$M$1004,$T273))))</f>
        <v/>
      </c>
      <c r="S273">
        <f>IF(269&lt;=$S$2,"S",IF(269&lt;=$S$2+$T$2,"A",""))</f>
        <v/>
      </c>
      <c r="T273">
        <f>IF(S273="S",MATCH(269,Firms!$W$5:$W$1004,0),IF(S273="A",IFERROR(MATCH(269-$S$2,'AFA Rates'!$R$5:$R$1004,0),""),""))</f>
        <v/>
      </c>
      <c r="U273">
        <f>IF(S273="S",T273,IF(AND(S273="A",T273&lt;&gt;""),IFERROR(MATCH(INDEX('AFA Rates'!$A$5:$A$1004,T273),Firms!$A$5:$A$1004,0),""),""))</f>
        <v/>
      </c>
    </row>
    <row r="274">
      <c r="A274" s="78">
        <f>IF($T274="","",IF($S274="S",IF(INDEX(Firms!$A$5:$A$1004,$T274)="","",INDEX(Firms!$A$5:$A$1004,$T274)),IF(INDEX('AFA Rates'!$A$5:$A$1004,$T274)="","",INDEX('AFA Rates'!$A$5:$A$1004,$T274))))</f>
        <v/>
      </c>
      <c r="B274" s="79">
        <f>IF(OR($T274="",$U274=""),IF($T274="","","Not on Firms tab"),INDEX(Firms!$B$5:$B$1004,$U274)&amp;"")</f>
        <v/>
      </c>
      <c r="C274" s="78">
        <f>IF($T274="","",IF($S274="S","Standard",INDEX('AFA Rates'!$B$5:$B$1004,$T274)&amp;""))</f>
        <v/>
      </c>
      <c r="D274" s="88">
        <f>IF($T274="","",IF($S274="S",IF(INDEX(Firms!$E$5:$E$1004,$T274)="","",INDEX(Firms!$E$5:$E$1004,$T274)),IF(INDEX('AFA Rates'!$C$5:$C$1004,$T274)="","",INDEX('AFA Rates'!$C$5:$C$1004,$T274))))</f>
        <v/>
      </c>
      <c r="E274" s="88">
        <f>IF($T274="","",IF($S274="S",IF(""="","",""),IF(INDEX('AFA Rates'!$D$5:$D$1004,$T274)="","",INDEX('AFA Rates'!$D$5:$D$1004,$T274))))</f>
        <v/>
      </c>
      <c r="F274" s="79">
        <f>IF($T274="","",IF($S274="S",IF(INDEX(Firms!$O$5:$O$1004,$T274)="","",INDEX(Firms!$O$5:$O$1004,$T274)),IF(INDEX('AFA Rates'!$O$5:$O$1004,$T274)="","",INDEX('AFA Rates'!$O$5:$O$1004,$T274))))</f>
        <v/>
      </c>
      <c r="G274" s="50">
        <f>IF($T274="","",IF($S274="S",IF(INDEX(Firms!$F$5:$F$1004,$T274)="","",INDEX(Firms!$F$5:$F$1004,$T274)),IF(INDEX('AFA Rates'!$E$5:$E$1004,$T274)="","",INDEX('AFA Rates'!$E$5:$E$1004,$T274))))</f>
        <v/>
      </c>
      <c r="H274" s="50">
        <f>IF($T274="","",IF($S274="S",IF(INDEX(Firms!$G$5:$G$1004,$T274)="","",INDEX(Firms!$G$5:$G$1004,$T274)),IF(INDEX('AFA Rates'!$F$5:$F$1004,$T274)="","",INDEX('AFA Rates'!$F$5:$F$1004,$T274))))</f>
        <v/>
      </c>
      <c r="I274" s="50">
        <f>IF($T274="","",IF($S274="S",IF(INDEX(Firms!$H$5:$H$1004,$T274)="","",INDEX(Firms!$H$5:$H$1004,$T274)),IF(INDEX('AFA Rates'!$G$5:$G$1004,$T274)="","",INDEX('AFA Rates'!$G$5:$G$1004,$T274))))</f>
        <v/>
      </c>
      <c r="J274" s="50">
        <f>IF($T274="","",IF($S274="S",IF(INDEX(Firms!$I$5:$I$1004,$T274)="","",INDEX(Firms!$I$5:$I$1004,$T274)),IF(INDEX('AFA Rates'!$H$5:$H$1004,$T274)="","",INDEX('AFA Rates'!$H$5:$H$1004,$T274))))</f>
        <v/>
      </c>
      <c r="K274" s="50">
        <f>IF($T274="","",IF($S274="S",IF(INDEX(Firms!$J$5:$J$1004,$T274)="","",INDEX(Firms!$J$5:$J$1004,$T274)),IF(INDEX('AFA Rates'!$I$5:$I$1004,$T274)="","",INDEX('AFA Rates'!$I$5:$I$1004,$T274))))</f>
        <v/>
      </c>
      <c r="L274" s="50">
        <f>IF($T274="","",IF($S274="S",IF(INDEX(Firms!$K$5:$K$1004,$T274)="","",INDEX(Firms!$K$5:$K$1004,$T274)),IF(INDEX('AFA Rates'!$J$5:$J$1004,$T274)="","",INDEX('AFA Rates'!$J$5:$J$1004,$T274))))</f>
        <v/>
      </c>
      <c r="M274" s="50">
        <f>IF($T274="","",IF($S274="S",IF(INDEX(Firms!$L$5:$L$1004,$T274)="","",INDEX(Firms!$L$5:$L$1004,$T274)),IF(INDEX('AFA Rates'!$K$5:$K$1004,$T274)="","",INDEX('AFA Rates'!$K$5:$K$1004,$T274))))</f>
        <v/>
      </c>
      <c r="N274" s="50">
        <f>IF($T274="","",IF($S274="S",IF(INDEX(Firms!$M$5:$M$1004,$T274)="","",INDEX(Firms!$M$5:$M$1004,$T274)),IF(INDEX('AFA Rates'!$L$5:$L$1004,$T274)="","",INDEX('AFA Rates'!$L$5:$L$1004,$T274))))</f>
        <v/>
      </c>
      <c r="O274" s="78">
        <f>IF(OR($T274="",$U274=""),"",IF(INDEX(Firms!$C$5:$C$1004,$U274)="","",INDEX(Firms!$C$5:$C$1004,$U274)))</f>
        <v/>
      </c>
      <c r="P274" s="79">
        <f>IF(OR($T274="",$U274=""),"",IF(INDEX(Firms!$N$5:$N$1004,$U274)="","",INDEX(Firms!$N$5:$N$1004,$U274)))</f>
        <v/>
      </c>
      <c r="Q274" s="78">
        <f>IF($T274="","",IF($S274="S",IF(INDEX(Firms!$T$5:$T$1004,$T274)="","",INDEX(Firms!$T$5:$T$1004,$T274)),IF(INDEX('AFA Rates'!$M$5:$M$1004,$T274)="","",INDEX('AFA Rates'!$M$5:$M$1004,$T274))))</f>
        <v/>
      </c>
      <c r="S274">
        <f>IF(270&lt;=$S$2,"S",IF(270&lt;=$S$2+$T$2,"A",""))</f>
        <v/>
      </c>
      <c r="T274">
        <f>IF(S274="S",MATCH(270,Firms!$W$5:$W$1004,0),IF(S274="A",IFERROR(MATCH(270-$S$2,'AFA Rates'!$R$5:$R$1004,0),""),""))</f>
        <v/>
      </c>
      <c r="U274">
        <f>IF(S274="S",T274,IF(AND(S274="A",T274&lt;&gt;""),IFERROR(MATCH(INDEX('AFA Rates'!$A$5:$A$1004,T274),Firms!$A$5:$A$1004,0),""),""))</f>
        <v/>
      </c>
    </row>
    <row r="275">
      <c r="A275" s="78">
        <f>IF($T275="","",IF($S275="S",IF(INDEX(Firms!$A$5:$A$1004,$T275)="","",INDEX(Firms!$A$5:$A$1004,$T275)),IF(INDEX('AFA Rates'!$A$5:$A$1004,$T275)="","",INDEX('AFA Rates'!$A$5:$A$1004,$T275))))</f>
        <v/>
      </c>
      <c r="B275" s="79">
        <f>IF(OR($T275="",$U275=""),IF($T275="","","Not on Firms tab"),INDEX(Firms!$B$5:$B$1004,$U275)&amp;"")</f>
        <v/>
      </c>
      <c r="C275" s="78">
        <f>IF($T275="","",IF($S275="S","Standard",INDEX('AFA Rates'!$B$5:$B$1004,$T275)&amp;""))</f>
        <v/>
      </c>
      <c r="D275" s="88">
        <f>IF($T275="","",IF($S275="S",IF(INDEX(Firms!$E$5:$E$1004,$T275)="","",INDEX(Firms!$E$5:$E$1004,$T275)),IF(INDEX('AFA Rates'!$C$5:$C$1004,$T275)="","",INDEX('AFA Rates'!$C$5:$C$1004,$T275))))</f>
        <v/>
      </c>
      <c r="E275" s="88">
        <f>IF($T275="","",IF($S275="S",IF(""="","",""),IF(INDEX('AFA Rates'!$D$5:$D$1004,$T275)="","",INDEX('AFA Rates'!$D$5:$D$1004,$T275))))</f>
        <v/>
      </c>
      <c r="F275" s="79">
        <f>IF($T275="","",IF($S275="S",IF(INDEX(Firms!$O$5:$O$1004,$T275)="","",INDEX(Firms!$O$5:$O$1004,$T275)),IF(INDEX('AFA Rates'!$O$5:$O$1004,$T275)="","",INDEX('AFA Rates'!$O$5:$O$1004,$T275))))</f>
        <v/>
      </c>
      <c r="G275" s="50">
        <f>IF($T275="","",IF($S275="S",IF(INDEX(Firms!$F$5:$F$1004,$T275)="","",INDEX(Firms!$F$5:$F$1004,$T275)),IF(INDEX('AFA Rates'!$E$5:$E$1004,$T275)="","",INDEX('AFA Rates'!$E$5:$E$1004,$T275))))</f>
        <v/>
      </c>
      <c r="H275" s="50">
        <f>IF($T275="","",IF($S275="S",IF(INDEX(Firms!$G$5:$G$1004,$T275)="","",INDEX(Firms!$G$5:$G$1004,$T275)),IF(INDEX('AFA Rates'!$F$5:$F$1004,$T275)="","",INDEX('AFA Rates'!$F$5:$F$1004,$T275))))</f>
        <v/>
      </c>
      <c r="I275" s="50">
        <f>IF($T275="","",IF($S275="S",IF(INDEX(Firms!$H$5:$H$1004,$T275)="","",INDEX(Firms!$H$5:$H$1004,$T275)),IF(INDEX('AFA Rates'!$G$5:$G$1004,$T275)="","",INDEX('AFA Rates'!$G$5:$G$1004,$T275))))</f>
        <v/>
      </c>
      <c r="J275" s="50">
        <f>IF($T275="","",IF($S275="S",IF(INDEX(Firms!$I$5:$I$1004,$T275)="","",INDEX(Firms!$I$5:$I$1004,$T275)),IF(INDEX('AFA Rates'!$H$5:$H$1004,$T275)="","",INDEX('AFA Rates'!$H$5:$H$1004,$T275))))</f>
        <v/>
      </c>
      <c r="K275" s="50">
        <f>IF($T275="","",IF($S275="S",IF(INDEX(Firms!$J$5:$J$1004,$T275)="","",INDEX(Firms!$J$5:$J$1004,$T275)),IF(INDEX('AFA Rates'!$I$5:$I$1004,$T275)="","",INDEX('AFA Rates'!$I$5:$I$1004,$T275))))</f>
        <v/>
      </c>
      <c r="L275" s="50">
        <f>IF($T275="","",IF($S275="S",IF(INDEX(Firms!$K$5:$K$1004,$T275)="","",INDEX(Firms!$K$5:$K$1004,$T275)),IF(INDEX('AFA Rates'!$J$5:$J$1004,$T275)="","",INDEX('AFA Rates'!$J$5:$J$1004,$T275))))</f>
        <v/>
      </c>
      <c r="M275" s="50">
        <f>IF($T275="","",IF($S275="S",IF(INDEX(Firms!$L$5:$L$1004,$T275)="","",INDEX(Firms!$L$5:$L$1004,$T275)),IF(INDEX('AFA Rates'!$K$5:$K$1004,$T275)="","",INDEX('AFA Rates'!$K$5:$K$1004,$T275))))</f>
        <v/>
      </c>
      <c r="N275" s="50">
        <f>IF($T275="","",IF($S275="S",IF(INDEX(Firms!$M$5:$M$1004,$T275)="","",INDEX(Firms!$M$5:$M$1004,$T275)),IF(INDEX('AFA Rates'!$L$5:$L$1004,$T275)="","",INDEX('AFA Rates'!$L$5:$L$1004,$T275))))</f>
        <v/>
      </c>
      <c r="O275" s="78">
        <f>IF(OR($T275="",$U275=""),"",IF(INDEX(Firms!$C$5:$C$1004,$U275)="","",INDEX(Firms!$C$5:$C$1004,$U275)))</f>
        <v/>
      </c>
      <c r="P275" s="79">
        <f>IF(OR($T275="",$U275=""),"",IF(INDEX(Firms!$N$5:$N$1004,$U275)="","",INDEX(Firms!$N$5:$N$1004,$U275)))</f>
        <v/>
      </c>
      <c r="Q275" s="78">
        <f>IF($T275="","",IF($S275="S",IF(INDEX(Firms!$T$5:$T$1004,$T275)="","",INDEX(Firms!$T$5:$T$1004,$T275)),IF(INDEX('AFA Rates'!$M$5:$M$1004,$T275)="","",INDEX('AFA Rates'!$M$5:$M$1004,$T275))))</f>
        <v/>
      </c>
      <c r="S275">
        <f>IF(271&lt;=$S$2,"S",IF(271&lt;=$S$2+$T$2,"A",""))</f>
        <v/>
      </c>
      <c r="T275">
        <f>IF(S275="S",MATCH(271,Firms!$W$5:$W$1004,0),IF(S275="A",IFERROR(MATCH(271-$S$2,'AFA Rates'!$R$5:$R$1004,0),""),""))</f>
        <v/>
      </c>
      <c r="U275">
        <f>IF(S275="S",T275,IF(AND(S275="A",T275&lt;&gt;""),IFERROR(MATCH(INDEX('AFA Rates'!$A$5:$A$1004,T275),Firms!$A$5:$A$1004,0),""),""))</f>
        <v/>
      </c>
    </row>
    <row r="276">
      <c r="A276" s="78">
        <f>IF($T276="","",IF($S276="S",IF(INDEX(Firms!$A$5:$A$1004,$T276)="","",INDEX(Firms!$A$5:$A$1004,$T276)),IF(INDEX('AFA Rates'!$A$5:$A$1004,$T276)="","",INDEX('AFA Rates'!$A$5:$A$1004,$T276))))</f>
        <v/>
      </c>
      <c r="B276" s="79">
        <f>IF(OR($T276="",$U276=""),IF($T276="","","Not on Firms tab"),INDEX(Firms!$B$5:$B$1004,$U276)&amp;"")</f>
        <v/>
      </c>
      <c r="C276" s="78">
        <f>IF($T276="","",IF($S276="S","Standard",INDEX('AFA Rates'!$B$5:$B$1004,$T276)&amp;""))</f>
        <v/>
      </c>
      <c r="D276" s="88">
        <f>IF($T276="","",IF($S276="S",IF(INDEX(Firms!$E$5:$E$1004,$T276)="","",INDEX(Firms!$E$5:$E$1004,$T276)),IF(INDEX('AFA Rates'!$C$5:$C$1004,$T276)="","",INDEX('AFA Rates'!$C$5:$C$1004,$T276))))</f>
        <v/>
      </c>
      <c r="E276" s="88">
        <f>IF($T276="","",IF($S276="S",IF(""="","",""),IF(INDEX('AFA Rates'!$D$5:$D$1004,$T276)="","",INDEX('AFA Rates'!$D$5:$D$1004,$T276))))</f>
        <v/>
      </c>
      <c r="F276" s="79">
        <f>IF($T276="","",IF($S276="S",IF(INDEX(Firms!$O$5:$O$1004,$T276)="","",INDEX(Firms!$O$5:$O$1004,$T276)),IF(INDEX('AFA Rates'!$O$5:$O$1004,$T276)="","",INDEX('AFA Rates'!$O$5:$O$1004,$T276))))</f>
        <v/>
      </c>
      <c r="G276" s="50">
        <f>IF($T276="","",IF($S276="S",IF(INDEX(Firms!$F$5:$F$1004,$T276)="","",INDEX(Firms!$F$5:$F$1004,$T276)),IF(INDEX('AFA Rates'!$E$5:$E$1004,$T276)="","",INDEX('AFA Rates'!$E$5:$E$1004,$T276))))</f>
        <v/>
      </c>
      <c r="H276" s="50">
        <f>IF($T276="","",IF($S276="S",IF(INDEX(Firms!$G$5:$G$1004,$T276)="","",INDEX(Firms!$G$5:$G$1004,$T276)),IF(INDEX('AFA Rates'!$F$5:$F$1004,$T276)="","",INDEX('AFA Rates'!$F$5:$F$1004,$T276))))</f>
        <v/>
      </c>
      <c r="I276" s="50">
        <f>IF($T276="","",IF($S276="S",IF(INDEX(Firms!$H$5:$H$1004,$T276)="","",INDEX(Firms!$H$5:$H$1004,$T276)),IF(INDEX('AFA Rates'!$G$5:$G$1004,$T276)="","",INDEX('AFA Rates'!$G$5:$G$1004,$T276))))</f>
        <v/>
      </c>
      <c r="J276" s="50">
        <f>IF($T276="","",IF($S276="S",IF(INDEX(Firms!$I$5:$I$1004,$T276)="","",INDEX(Firms!$I$5:$I$1004,$T276)),IF(INDEX('AFA Rates'!$H$5:$H$1004,$T276)="","",INDEX('AFA Rates'!$H$5:$H$1004,$T276))))</f>
        <v/>
      </c>
      <c r="K276" s="50">
        <f>IF($T276="","",IF($S276="S",IF(INDEX(Firms!$J$5:$J$1004,$T276)="","",INDEX(Firms!$J$5:$J$1004,$T276)),IF(INDEX('AFA Rates'!$I$5:$I$1004,$T276)="","",INDEX('AFA Rates'!$I$5:$I$1004,$T276))))</f>
        <v/>
      </c>
      <c r="L276" s="50">
        <f>IF($T276="","",IF($S276="S",IF(INDEX(Firms!$K$5:$K$1004,$T276)="","",INDEX(Firms!$K$5:$K$1004,$T276)),IF(INDEX('AFA Rates'!$J$5:$J$1004,$T276)="","",INDEX('AFA Rates'!$J$5:$J$1004,$T276))))</f>
        <v/>
      </c>
      <c r="M276" s="50">
        <f>IF($T276="","",IF($S276="S",IF(INDEX(Firms!$L$5:$L$1004,$T276)="","",INDEX(Firms!$L$5:$L$1004,$T276)),IF(INDEX('AFA Rates'!$K$5:$K$1004,$T276)="","",INDEX('AFA Rates'!$K$5:$K$1004,$T276))))</f>
        <v/>
      </c>
      <c r="N276" s="50">
        <f>IF($T276="","",IF($S276="S",IF(INDEX(Firms!$M$5:$M$1004,$T276)="","",INDEX(Firms!$M$5:$M$1004,$T276)),IF(INDEX('AFA Rates'!$L$5:$L$1004,$T276)="","",INDEX('AFA Rates'!$L$5:$L$1004,$T276))))</f>
        <v/>
      </c>
      <c r="O276" s="78">
        <f>IF(OR($T276="",$U276=""),"",IF(INDEX(Firms!$C$5:$C$1004,$U276)="","",INDEX(Firms!$C$5:$C$1004,$U276)))</f>
        <v/>
      </c>
      <c r="P276" s="79">
        <f>IF(OR($T276="",$U276=""),"",IF(INDEX(Firms!$N$5:$N$1004,$U276)="","",INDEX(Firms!$N$5:$N$1004,$U276)))</f>
        <v/>
      </c>
      <c r="Q276" s="78">
        <f>IF($T276="","",IF($S276="S",IF(INDEX(Firms!$T$5:$T$1004,$T276)="","",INDEX(Firms!$T$5:$T$1004,$T276)),IF(INDEX('AFA Rates'!$M$5:$M$1004,$T276)="","",INDEX('AFA Rates'!$M$5:$M$1004,$T276))))</f>
        <v/>
      </c>
      <c r="S276">
        <f>IF(272&lt;=$S$2,"S",IF(272&lt;=$S$2+$T$2,"A",""))</f>
        <v/>
      </c>
      <c r="T276">
        <f>IF(S276="S",MATCH(272,Firms!$W$5:$W$1004,0),IF(S276="A",IFERROR(MATCH(272-$S$2,'AFA Rates'!$R$5:$R$1004,0),""),""))</f>
        <v/>
      </c>
      <c r="U276">
        <f>IF(S276="S",T276,IF(AND(S276="A",T276&lt;&gt;""),IFERROR(MATCH(INDEX('AFA Rates'!$A$5:$A$1004,T276),Firms!$A$5:$A$1004,0),""),""))</f>
        <v/>
      </c>
    </row>
    <row r="277">
      <c r="A277" s="78">
        <f>IF($T277="","",IF($S277="S",IF(INDEX(Firms!$A$5:$A$1004,$T277)="","",INDEX(Firms!$A$5:$A$1004,$T277)),IF(INDEX('AFA Rates'!$A$5:$A$1004,$T277)="","",INDEX('AFA Rates'!$A$5:$A$1004,$T277))))</f>
        <v/>
      </c>
      <c r="B277" s="79">
        <f>IF(OR($T277="",$U277=""),IF($T277="","","Not on Firms tab"),INDEX(Firms!$B$5:$B$1004,$U277)&amp;"")</f>
        <v/>
      </c>
      <c r="C277" s="78">
        <f>IF($T277="","",IF($S277="S","Standard",INDEX('AFA Rates'!$B$5:$B$1004,$T277)&amp;""))</f>
        <v/>
      </c>
      <c r="D277" s="88">
        <f>IF($T277="","",IF($S277="S",IF(INDEX(Firms!$E$5:$E$1004,$T277)="","",INDEX(Firms!$E$5:$E$1004,$T277)),IF(INDEX('AFA Rates'!$C$5:$C$1004,$T277)="","",INDEX('AFA Rates'!$C$5:$C$1004,$T277))))</f>
        <v/>
      </c>
      <c r="E277" s="88">
        <f>IF($T277="","",IF($S277="S",IF(""="","",""),IF(INDEX('AFA Rates'!$D$5:$D$1004,$T277)="","",INDEX('AFA Rates'!$D$5:$D$1004,$T277))))</f>
        <v/>
      </c>
      <c r="F277" s="79">
        <f>IF($T277="","",IF($S277="S",IF(INDEX(Firms!$O$5:$O$1004,$T277)="","",INDEX(Firms!$O$5:$O$1004,$T277)),IF(INDEX('AFA Rates'!$O$5:$O$1004,$T277)="","",INDEX('AFA Rates'!$O$5:$O$1004,$T277))))</f>
        <v/>
      </c>
      <c r="G277" s="50">
        <f>IF($T277="","",IF($S277="S",IF(INDEX(Firms!$F$5:$F$1004,$T277)="","",INDEX(Firms!$F$5:$F$1004,$T277)),IF(INDEX('AFA Rates'!$E$5:$E$1004,$T277)="","",INDEX('AFA Rates'!$E$5:$E$1004,$T277))))</f>
        <v/>
      </c>
      <c r="H277" s="50">
        <f>IF($T277="","",IF($S277="S",IF(INDEX(Firms!$G$5:$G$1004,$T277)="","",INDEX(Firms!$G$5:$G$1004,$T277)),IF(INDEX('AFA Rates'!$F$5:$F$1004,$T277)="","",INDEX('AFA Rates'!$F$5:$F$1004,$T277))))</f>
        <v/>
      </c>
      <c r="I277" s="50">
        <f>IF($T277="","",IF($S277="S",IF(INDEX(Firms!$H$5:$H$1004,$T277)="","",INDEX(Firms!$H$5:$H$1004,$T277)),IF(INDEX('AFA Rates'!$G$5:$G$1004,$T277)="","",INDEX('AFA Rates'!$G$5:$G$1004,$T277))))</f>
        <v/>
      </c>
      <c r="J277" s="50">
        <f>IF($T277="","",IF($S277="S",IF(INDEX(Firms!$I$5:$I$1004,$T277)="","",INDEX(Firms!$I$5:$I$1004,$T277)),IF(INDEX('AFA Rates'!$H$5:$H$1004,$T277)="","",INDEX('AFA Rates'!$H$5:$H$1004,$T277))))</f>
        <v/>
      </c>
      <c r="K277" s="50">
        <f>IF($T277="","",IF($S277="S",IF(INDEX(Firms!$J$5:$J$1004,$T277)="","",INDEX(Firms!$J$5:$J$1004,$T277)),IF(INDEX('AFA Rates'!$I$5:$I$1004,$T277)="","",INDEX('AFA Rates'!$I$5:$I$1004,$T277))))</f>
        <v/>
      </c>
      <c r="L277" s="50">
        <f>IF($T277="","",IF($S277="S",IF(INDEX(Firms!$K$5:$K$1004,$T277)="","",INDEX(Firms!$K$5:$K$1004,$T277)),IF(INDEX('AFA Rates'!$J$5:$J$1004,$T277)="","",INDEX('AFA Rates'!$J$5:$J$1004,$T277))))</f>
        <v/>
      </c>
      <c r="M277" s="50">
        <f>IF($T277="","",IF($S277="S",IF(INDEX(Firms!$L$5:$L$1004,$T277)="","",INDEX(Firms!$L$5:$L$1004,$T277)),IF(INDEX('AFA Rates'!$K$5:$K$1004,$T277)="","",INDEX('AFA Rates'!$K$5:$K$1004,$T277))))</f>
        <v/>
      </c>
      <c r="N277" s="50">
        <f>IF($T277="","",IF($S277="S",IF(INDEX(Firms!$M$5:$M$1004,$T277)="","",INDEX(Firms!$M$5:$M$1004,$T277)),IF(INDEX('AFA Rates'!$L$5:$L$1004,$T277)="","",INDEX('AFA Rates'!$L$5:$L$1004,$T277))))</f>
        <v/>
      </c>
      <c r="O277" s="78">
        <f>IF(OR($T277="",$U277=""),"",IF(INDEX(Firms!$C$5:$C$1004,$U277)="","",INDEX(Firms!$C$5:$C$1004,$U277)))</f>
        <v/>
      </c>
      <c r="P277" s="79">
        <f>IF(OR($T277="",$U277=""),"",IF(INDEX(Firms!$N$5:$N$1004,$U277)="","",INDEX(Firms!$N$5:$N$1004,$U277)))</f>
        <v/>
      </c>
      <c r="Q277" s="78">
        <f>IF($T277="","",IF($S277="S",IF(INDEX(Firms!$T$5:$T$1004,$T277)="","",INDEX(Firms!$T$5:$T$1004,$T277)),IF(INDEX('AFA Rates'!$M$5:$M$1004,$T277)="","",INDEX('AFA Rates'!$M$5:$M$1004,$T277))))</f>
        <v/>
      </c>
      <c r="S277">
        <f>IF(273&lt;=$S$2,"S",IF(273&lt;=$S$2+$T$2,"A",""))</f>
        <v/>
      </c>
      <c r="T277">
        <f>IF(S277="S",MATCH(273,Firms!$W$5:$W$1004,0),IF(S277="A",IFERROR(MATCH(273-$S$2,'AFA Rates'!$R$5:$R$1004,0),""),""))</f>
        <v/>
      </c>
      <c r="U277">
        <f>IF(S277="S",T277,IF(AND(S277="A",T277&lt;&gt;""),IFERROR(MATCH(INDEX('AFA Rates'!$A$5:$A$1004,T277),Firms!$A$5:$A$1004,0),""),""))</f>
        <v/>
      </c>
    </row>
    <row r="278">
      <c r="A278" s="78">
        <f>IF($T278="","",IF($S278="S",IF(INDEX(Firms!$A$5:$A$1004,$T278)="","",INDEX(Firms!$A$5:$A$1004,$T278)),IF(INDEX('AFA Rates'!$A$5:$A$1004,$T278)="","",INDEX('AFA Rates'!$A$5:$A$1004,$T278))))</f>
        <v/>
      </c>
      <c r="B278" s="79">
        <f>IF(OR($T278="",$U278=""),IF($T278="","","Not on Firms tab"),INDEX(Firms!$B$5:$B$1004,$U278)&amp;"")</f>
        <v/>
      </c>
      <c r="C278" s="78">
        <f>IF($T278="","",IF($S278="S","Standard",INDEX('AFA Rates'!$B$5:$B$1004,$T278)&amp;""))</f>
        <v/>
      </c>
      <c r="D278" s="88">
        <f>IF($T278="","",IF($S278="S",IF(INDEX(Firms!$E$5:$E$1004,$T278)="","",INDEX(Firms!$E$5:$E$1004,$T278)),IF(INDEX('AFA Rates'!$C$5:$C$1004,$T278)="","",INDEX('AFA Rates'!$C$5:$C$1004,$T278))))</f>
        <v/>
      </c>
      <c r="E278" s="88">
        <f>IF($T278="","",IF($S278="S",IF(""="","",""),IF(INDEX('AFA Rates'!$D$5:$D$1004,$T278)="","",INDEX('AFA Rates'!$D$5:$D$1004,$T278))))</f>
        <v/>
      </c>
      <c r="F278" s="79">
        <f>IF($T278="","",IF($S278="S",IF(INDEX(Firms!$O$5:$O$1004,$T278)="","",INDEX(Firms!$O$5:$O$1004,$T278)),IF(INDEX('AFA Rates'!$O$5:$O$1004,$T278)="","",INDEX('AFA Rates'!$O$5:$O$1004,$T278))))</f>
        <v/>
      </c>
      <c r="G278" s="50">
        <f>IF($T278="","",IF($S278="S",IF(INDEX(Firms!$F$5:$F$1004,$T278)="","",INDEX(Firms!$F$5:$F$1004,$T278)),IF(INDEX('AFA Rates'!$E$5:$E$1004,$T278)="","",INDEX('AFA Rates'!$E$5:$E$1004,$T278))))</f>
        <v/>
      </c>
      <c r="H278" s="50">
        <f>IF($T278="","",IF($S278="S",IF(INDEX(Firms!$G$5:$G$1004,$T278)="","",INDEX(Firms!$G$5:$G$1004,$T278)),IF(INDEX('AFA Rates'!$F$5:$F$1004,$T278)="","",INDEX('AFA Rates'!$F$5:$F$1004,$T278))))</f>
        <v/>
      </c>
      <c r="I278" s="50">
        <f>IF($T278="","",IF($S278="S",IF(INDEX(Firms!$H$5:$H$1004,$T278)="","",INDEX(Firms!$H$5:$H$1004,$T278)),IF(INDEX('AFA Rates'!$G$5:$G$1004,$T278)="","",INDEX('AFA Rates'!$G$5:$G$1004,$T278))))</f>
        <v/>
      </c>
      <c r="J278" s="50">
        <f>IF($T278="","",IF($S278="S",IF(INDEX(Firms!$I$5:$I$1004,$T278)="","",INDEX(Firms!$I$5:$I$1004,$T278)),IF(INDEX('AFA Rates'!$H$5:$H$1004,$T278)="","",INDEX('AFA Rates'!$H$5:$H$1004,$T278))))</f>
        <v/>
      </c>
      <c r="K278" s="50">
        <f>IF($T278="","",IF($S278="S",IF(INDEX(Firms!$J$5:$J$1004,$T278)="","",INDEX(Firms!$J$5:$J$1004,$T278)),IF(INDEX('AFA Rates'!$I$5:$I$1004,$T278)="","",INDEX('AFA Rates'!$I$5:$I$1004,$T278))))</f>
        <v/>
      </c>
      <c r="L278" s="50">
        <f>IF($T278="","",IF($S278="S",IF(INDEX(Firms!$K$5:$K$1004,$T278)="","",INDEX(Firms!$K$5:$K$1004,$T278)),IF(INDEX('AFA Rates'!$J$5:$J$1004,$T278)="","",INDEX('AFA Rates'!$J$5:$J$1004,$T278))))</f>
        <v/>
      </c>
      <c r="M278" s="50">
        <f>IF($T278="","",IF($S278="S",IF(INDEX(Firms!$L$5:$L$1004,$T278)="","",INDEX(Firms!$L$5:$L$1004,$T278)),IF(INDEX('AFA Rates'!$K$5:$K$1004,$T278)="","",INDEX('AFA Rates'!$K$5:$K$1004,$T278))))</f>
        <v/>
      </c>
      <c r="N278" s="50">
        <f>IF($T278="","",IF($S278="S",IF(INDEX(Firms!$M$5:$M$1004,$T278)="","",INDEX(Firms!$M$5:$M$1004,$T278)),IF(INDEX('AFA Rates'!$L$5:$L$1004,$T278)="","",INDEX('AFA Rates'!$L$5:$L$1004,$T278))))</f>
        <v/>
      </c>
      <c r="O278" s="78">
        <f>IF(OR($T278="",$U278=""),"",IF(INDEX(Firms!$C$5:$C$1004,$U278)="","",INDEX(Firms!$C$5:$C$1004,$U278)))</f>
        <v/>
      </c>
      <c r="P278" s="79">
        <f>IF(OR($T278="",$U278=""),"",IF(INDEX(Firms!$N$5:$N$1004,$U278)="","",INDEX(Firms!$N$5:$N$1004,$U278)))</f>
        <v/>
      </c>
      <c r="Q278" s="78">
        <f>IF($T278="","",IF($S278="S",IF(INDEX(Firms!$T$5:$T$1004,$T278)="","",INDEX(Firms!$T$5:$T$1004,$T278)),IF(INDEX('AFA Rates'!$M$5:$M$1004,$T278)="","",INDEX('AFA Rates'!$M$5:$M$1004,$T278))))</f>
        <v/>
      </c>
      <c r="S278">
        <f>IF(274&lt;=$S$2,"S",IF(274&lt;=$S$2+$T$2,"A",""))</f>
        <v/>
      </c>
      <c r="T278">
        <f>IF(S278="S",MATCH(274,Firms!$W$5:$W$1004,0),IF(S278="A",IFERROR(MATCH(274-$S$2,'AFA Rates'!$R$5:$R$1004,0),""),""))</f>
        <v/>
      </c>
      <c r="U278">
        <f>IF(S278="S",T278,IF(AND(S278="A",T278&lt;&gt;""),IFERROR(MATCH(INDEX('AFA Rates'!$A$5:$A$1004,T278),Firms!$A$5:$A$1004,0),""),""))</f>
        <v/>
      </c>
    </row>
    <row r="279">
      <c r="A279" s="78">
        <f>IF($T279="","",IF($S279="S",IF(INDEX(Firms!$A$5:$A$1004,$T279)="","",INDEX(Firms!$A$5:$A$1004,$T279)),IF(INDEX('AFA Rates'!$A$5:$A$1004,$T279)="","",INDEX('AFA Rates'!$A$5:$A$1004,$T279))))</f>
        <v/>
      </c>
      <c r="B279" s="79">
        <f>IF(OR($T279="",$U279=""),IF($T279="","","Not on Firms tab"),INDEX(Firms!$B$5:$B$1004,$U279)&amp;"")</f>
        <v/>
      </c>
      <c r="C279" s="78">
        <f>IF($T279="","",IF($S279="S","Standard",INDEX('AFA Rates'!$B$5:$B$1004,$T279)&amp;""))</f>
        <v/>
      </c>
      <c r="D279" s="88">
        <f>IF($T279="","",IF($S279="S",IF(INDEX(Firms!$E$5:$E$1004,$T279)="","",INDEX(Firms!$E$5:$E$1004,$T279)),IF(INDEX('AFA Rates'!$C$5:$C$1004,$T279)="","",INDEX('AFA Rates'!$C$5:$C$1004,$T279))))</f>
        <v/>
      </c>
      <c r="E279" s="88">
        <f>IF($T279="","",IF($S279="S",IF(""="","",""),IF(INDEX('AFA Rates'!$D$5:$D$1004,$T279)="","",INDEX('AFA Rates'!$D$5:$D$1004,$T279))))</f>
        <v/>
      </c>
      <c r="F279" s="79">
        <f>IF($T279="","",IF($S279="S",IF(INDEX(Firms!$O$5:$O$1004,$T279)="","",INDEX(Firms!$O$5:$O$1004,$T279)),IF(INDEX('AFA Rates'!$O$5:$O$1004,$T279)="","",INDEX('AFA Rates'!$O$5:$O$1004,$T279))))</f>
        <v/>
      </c>
      <c r="G279" s="50">
        <f>IF($T279="","",IF($S279="S",IF(INDEX(Firms!$F$5:$F$1004,$T279)="","",INDEX(Firms!$F$5:$F$1004,$T279)),IF(INDEX('AFA Rates'!$E$5:$E$1004,$T279)="","",INDEX('AFA Rates'!$E$5:$E$1004,$T279))))</f>
        <v/>
      </c>
      <c r="H279" s="50">
        <f>IF($T279="","",IF($S279="S",IF(INDEX(Firms!$G$5:$G$1004,$T279)="","",INDEX(Firms!$G$5:$G$1004,$T279)),IF(INDEX('AFA Rates'!$F$5:$F$1004,$T279)="","",INDEX('AFA Rates'!$F$5:$F$1004,$T279))))</f>
        <v/>
      </c>
      <c r="I279" s="50">
        <f>IF($T279="","",IF($S279="S",IF(INDEX(Firms!$H$5:$H$1004,$T279)="","",INDEX(Firms!$H$5:$H$1004,$T279)),IF(INDEX('AFA Rates'!$G$5:$G$1004,$T279)="","",INDEX('AFA Rates'!$G$5:$G$1004,$T279))))</f>
        <v/>
      </c>
      <c r="J279" s="50">
        <f>IF($T279="","",IF($S279="S",IF(INDEX(Firms!$I$5:$I$1004,$T279)="","",INDEX(Firms!$I$5:$I$1004,$T279)),IF(INDEX('AFA Rates'!$H$5:$H$1004,$T279)="","",INDEX('AFA Rates'!$H$5:$H$1004,$T279))))</f>
        <v/>
      </c>
      <c r="K279" s="50">
        <f>IF($T279="","",IF($S279="S",IF(INDEX(Firms!$J$5:$J$1004,$T279)="","",INDEX(Firms!$J$5:$J$1004,$T279)),IF(INDEX('AFA Rates'!$I$5:$I$1004,$T279)="","",INDEX('AFA Rates'!$I$5:$I$1004,$T279))))</f>
        <v/>
      </c>
      <c r="L279" s="50">
        <f>IF($T279="","",IF($S279="S",IF(INDEX(Firms!$K$5:$K$1004,$T279)="","",INDEX(Firms!$K$5:$K$1004,$T279)),IF(INDEX('AFA Rates'!$J$5:$J$1004,$T279)="","",INDEX('AFA Rates'!$J$5:$J$1004,$T279))))</f>
        <v/>
      </c>
      <c r="M279" s="50">
        <f>IF($T279="","",IF($S279="S",IF(INDEX(Firms!$L$5:$L$1004,$T279)="","",INDEX(Firms!$L$5:$L$1004,$T279)),IF(INDEX('AFA Rates'!$K$5:$K$1004,$T279)="","",INDEX('AFA Rates'!$K$5:$K$1004,$T279))))</f>
        <v/>
      </c>
      <c r="N279" s="50">
        <f>IF($T279="","",IF($S279="S",IF(INDEX(Firms!$M$5:$M$1004,$T279)="","",INDEX(Firms!$M$5:$M$1004,$T279)),IF(INDEX('AFA Rates'!$L$5:$L$1004,$T279)="","",INDEX('AFA Rates'!$L$5:$L$1004,$T279))))</f>
        <v/>
      </c>
      <c r="O279" s="78">
        <f>IF(OR($T279="",$U279=""),"",IF(INDEX(Firms!$C$5:$C$1004,$U279)="","",INDEX(Firms!$C$5:$C$1004,$U279)))</f>
        <v/>
      </c>
      <c r="P279" s="79">
        <f>IF(OR($T279="",$U279=""),"",IF(INDEX(Firms!$N$5:$N$1004,$U279)="","",INDEX(Firms!$N$5:$N$1004,$U279)))</f>
        <v/>
      </c>
      <c r="Q279" s="78">
        <f>IF($T279="","",IF($S279="S",IF(INDEX(Firms!$T$5:$T$1004,$T279)="","",INDEX(Firms!$T$5:$T$1004,$T279)),IF(INDEX('AFA Rates'!$M$5:$M$1004,$T279)="","",INDEX('AFA Rates'!$M$5:$M$1004,$T279))))</f>
        <v/>
      </c>
      <c r="S279">
        <f>IF(275&lt;=$S$2,"S",IF(275&lt;=$S$2+$T$2,"A",""))</f>
        <v/>
      </c>
      <c r="T279">
        <f>IF(S279="S",MATCH(275,Firms!$W$5:$W$1004,0),IF(S279="A",IFERROR(MATCH(275-$S$2,'AFA Rates'!$R$5:$R$1004,0),""),""))</f>
        <v/>
      </c>
      <c r="U279">
        <f>IF(S279="S",T279,IF(AND(S279="A",T279&lt;&gt;""),IFERROR(MATCH(INDEX('AFA Rates'!$A$5:$A$1004,T279),Firms!$A$5:$A$1004,0),""),""))</f>
        <v/>
      </c>
    </row>
    <row r="280">
      <c r="A280" s="78">
        <f>IF($T280="","",IF($S280="S",IF(INDEX(Firms!$A$5:$A$1004,$T280)="","",INDEX(Firms!$A$5:$A$1004,$T280)),IF(INDEX('AFA Rates'!$A$5:$A$1004,$T280)="","",INDEX('AFA Rates'!$A$5:$A$1004,$T280))))</f>
        <v/>
      </c>
      <c r="B280" s="79">
        <f>IF(OR($T280="",$U280=""),IF($T280="","","Not on Firms tab"),INDEX(Firms!$B$5:$B$1004,$U280)&amp;"")</f>
        <v/>
      </c>
      <c r="C280" s="78">
        <f>IF($T280="","",IF($S280="S","Standard",INDEX('AFA Rates'!$B$5:$B$1004,$T280)&amp;""))</f>
        <v/>
      </c>
      <c r="D280" s="88">
        <f>IF($T280="","",IF($S280="S",IF(INDEX(Firms!$E$5:$E$1004,$T280)="","",INDEX(Firms!$E$5:$E$1004,$T280)),IF(INDEX('AFA Rates'!$C$5:$C$1004,$T280)="","",INDEX('AFA Rates'!$C$5:$C$1004,$T280))))</f>
        <v/>
      </c>
      <c r="E280" s="88">
        <f>IF($T280="","",IF($S280="S",IF(""="","",""),IF(INDEX('AFA Rates'!$D$5:$D$1004,$T280)="","",INDEX('AFA Rates'!$D$5:$D$1004,$T280))))</f>
        <v/>
      </c>
      <c r="F280" s="79">
        <f>IF($T280="","",IF($S280="S",IF(INDEX(Firms!$O$5:$O$1004,$T280)="","",INDEX(Firms!$O$5:$O$1004,$T280)),IF(INDEX('AFA Rates'!$O$5:$O$1004,$T280)="","",INDEX('AFA Rates'!$O$5:$O$1004,$T280))))</f>
        <v/>
      </c>
      <c r="G280" s="50">
        <f>IF($T280="","",IF($S280="S",IF(INDEX(Firms!$F$5:$F$1004,$T280)="","",INDEX(Firms!$F$5:$F$1004,$T280)),IF(INDEX('AFA Rates'!$E$5:$E$1004,$T280)="","",INDEX('AFA Rates'!$E$5:$E$1004,$T280))))</f>
        <v/>
      </c>
      <c r="H280" s="50">
        <f>IF($T280="","",IF($S280="S",IF(INDEX(Firms!$G$5:$G$1004,$T280)="","",INDEX(Firms!$G$5:$G$1004,$T280)),IF(INDEX('AFA Rates'!$F$5:$F$1004,$T280)="","",INDEX('AFA Rates'!$F$5:$F$1004,$T280))))</f>
        <v/>
      </c>
      <c r="I280" s="50">
        <f>IF($T280="","",IF($S280="S",IF(INDEX(Firms!$H$5:$H$1004,$T280)="","",INDEX(Firms!$H$5:$H$1004,$T280)),IF(INDEX('AFA Rates'!$G$5:$G$1004,$T280)="","",INDEX('AFA Rates'!$G$5:$G$1004,$T280))))</f>
        <v/>
      </c>
      <c r="J280" s="50">
        <f>IF($T280="","",IF($S280="S",IF(INDEX(Firms!$I$5:$I$1004,$T280)="","",INDEX(Firms!$I$5:$I$1004,$T280)),IF(INDEX('AFA Rates'!$H$5:$H$1004,$T280)="","",INDEX('AFA Rates'!$H$5:$H$1004,$T280))))</f>
        <v/>
      </c>
      <c r="K280" s="50">
        <f>IF($T280="","",IF($S280="S",IF(INDEX(Firms!$J$5:$J$1004,$T280)="","",INDEX(Firms!$J$5:$J$1004,$T280)),IF(INDEX('AFA Rates'!$I$5:$I$1004,$T280)="","",INDEX('AFA Rates'!$I$5:$I$1004,$T280))))</f>
        <v/>
      </c>
      <c r="L280" s="50">
        <f>IF($T280="","",IF($S280="S",IF(INDEX(Firms!$K$5:$K$1004,$T280)="","",INDEX(Firms!$K$5:$K$1004,$T280)),IF(INDEX('AFA Rates'!$J$5:$J$1004,$T280)="","",INDEX('AFA Rates'!$J$5:$J$1004,$T280))))</f>
        <v/>
      </c>
      <c r="M280" s="50">
        <f>IF($T280="","",IF($S280="S",IF(INDEX(Firms!$L$5:$L$1004,$T280)="","",INDEX(Firms!$L$5:$L$1004,$T280)),IF(INDEX('AFA Rates'!$K$5:$K$1004,$T280)="","",INDEX('AFA Rates'!$K$5:$K$1004,$T280))))</f>
        <v/>
      </c>
      <c r="N280" s="50">
        <f>IF($T280="","",IF($S280="S",IF(INDEX(Firms!$M$5:$M$1004,$T280)="","",INDEX(Firms!$M$5:$M$1004,$T280)),IF(INDEX('AFA Rates'!$L$5:$L$1004,$T280)="","",INDEX('AFA Rates'!$L$5:$L$1004,$T280))))</f>
        <v/>
      </c>
      <c r="O280" s="78">
        <f>IF(OR($T280="",$U280=""),"",IF(INDEX(Firms!$C$5:$C$1004,$U280)="","",INDEX(Firms!$C$5:$C$1004,$U280)))</f>
        <v/>
      </c>
      <c r="P280" s="79">
        <f>IF(OR($T280="",$U280=""),"",IF(INDEX(Firms!$N$5:$N$1004,$U280)="","",INDEX(Firms!$N$5:$N$1004,$U280)))</f>
        <v/>
      </c>
      <c r="Q280" s="78">
        <f>IF($T280="","",IF($S280="S",IF(INDEX(Firms!$T$5:$T$1004,$T280)="","",INDEX(Firms!$T$5:$T$1004,$T280)),IF(INDEX('AFA Rates'!$M$5:$M$1004,$T280)="","",INDEX('AFA Rates'!$M$5:$M$1004,$T280))))</f>
        <v/>
      </c>
      <c r="S280">
        <f>IF(276&lt;=$S$2,"S",IF(276&lt;=$S$2+$T$2,"A",""))</f>
        <v/>
      </c>
      <c r="T280">
        <f>IF(S280="S",MATCH(276,Firms!$W$5:$W$1004,0),IF(S280="A",IFERROR(MATCH(276-$S$2,'AFA Rates'!$R$5:$R$1004,0),""),""))</f>
        <v/>
      </c>
      <c r="U280">
        <f>IF(S280="S",T280,IF(AND(S280="A",T280&lt;&gt;""),IFERROR(MATCH(INDEX('AFA Rates'!$A$5:$A$1004,T280),Firms!$A$5:$A$1004,0),""),""))</f>
        <v/>
      </c>
    </row>
    <row r="281">
      <c r="A281" s="78">
        <f>IF($T281="","",IF($S281="S",IF(INDEX(Firms!$A$5:$A$1004,$T281)="","",INDEX(Firms!$A$5:$A$1004,$T281)),IF(INDEX('AFA Rates'!$A$5:$A$1004,$T281)="","",INDEX('AFA Rates'!$A$5:$A$1004,$T281))))</f>
        <v/>
      </c>
      <c r="B281" s="79">
        <f>IF(OR($T281="",$U281=""),IF($T281="","","Not on Firms tab"),INDEX(Firms!$B$5:$B$1004,$U281)&amp;"")</f>
        <v/>
      </c>
      <c r="C281" s="78">
        <f>IF($T281="","",IF($S281="S","Standard",INDEX('AFA Rates'!$B$5:$B$1004,$T281)&amp;""))</f>
        <v/>
      </c>
      <c r="D281" s="88">
        <f>IF($T281="","",IF($S281="S",IF(INDEX(Firms!$E$5:$E$1004,$T281)="","",INDEX(Firms!$E$5:$E$1004,$T281)),IF(INDEX('AFA Rates'!$C$5:$C$1004,$T281)="","",INDEX('AFA Rates'!$C$5:$C$1004,$T281))))</f>
        <v/>
      </c>
      <c r="E281" s="88">
        <f>IF($T281="","",IF($S281="S",IF(""="","",""),IF(INDEX('AFA Rates'!$D$5:$D$1004,$T281)="","",INDEX('AFA Rates'!$D$5:$D$1004,$T281))))</f>
        <v/>
      </c>
      <c r="F281" s="79">
        <f>IF($T281="","",IF($S281="S",IF(INDEX(Firms!$O$5:$O$1004,$T281)="","",INDEX(Firms!$O$5:$O$1004,$T281)),IF(INDEX('AFA Rates'!$O$5:$O$1004,$T281)="","",INDEX('AFA Rates'!$O$5:$O$1004,$T281))))</f>
        <v/>
      </c>
      <c r="G281" s="50">
        <f>IF($T281="","",IF($S281="S",IF(INDEX(Firms!$F$5:$F$1004,$T281)="","",INDEX(Firms!$F$5:$F$1004,$T281)),IF(INDEX('AFA Rates'!$E$5:$E$1004,$T281)="","",INDEX('AFA Rates'!$E$5:$E$1004,$T281))))</f>
        <v/>
      </c>
      <c r="H281" s="50">
        <f>IF($T281="","",IF($S281="S",IF(INDEX(Firms!$G$5:$G$1004,$T281)="","",INDEX(Firms!$G$5:$G$1004,$T281)),IF(INDEX('AFA Rates'!$F$5:$F$1004,$T281)="","",INDEX('AFA Rates'!$F$5:$F$1004,$T281))))</f>
        <v/>
      </c>
      <c r="I281" s="50">
        <f>IF($T281="","",IF($S281="S",IF(INDEX(Firms!$H$5:$H$1004,$T281)="","",INDEX(Firms!$H$5:$H$1004,$T281)),IF(INDEX('AFA Rates'!$G$5:$G$1004,$T281)="","",INDEX('AFA Rates'!$G$5:$G$1004,$T281))))</f>
        <v/>
      </c>
      <c r="J281" s="50">
        <f>IF($T281="","",IF($S281="S",IF(INDEX(Firms!$I$5:$I$1004,$T281)="","",INDEX(Firms!$I$5:$I$1004,$T281)),IF(INDEX('AFA Rates'!$H$5:$H$1004,$T281)="","",INDEX('AFA Rates'!$H$5:$H$1004,$T281))))</f>
        <v/>
      </c>
      <c r="K281" s="50">
        <f>IF($T281="","",IF($S281="S",IF(INDEX(Firms!$J$5:$J$1004,$T281)="","",INDEX(Firms!$J$5:$J$1004,$T281)),IF(INDEX('AFA Rates'!$I$5:$I$1004,$T281)="","",INDEX('AFA Rates'!$I$5:$I$1004,$T281))))</f>
        <v/>
      </c>
      <c r="L281" s="50">
        <f>IF($T281="","",IF($S281="S",IF(INDEX(Firms!$K$5:$K$1004,$T281)="","",INDEX(Firms!$K$5:$K$1004,$T281)),IF(INDEX('AFA Rates'!$J$5:$J$1004,$T281)="","",INDEX('AFA Rates'!$J$5:$J$1004,$T281))))</f>
        <v/>
      </c>
      <c r="M281" s="50">
        <f>IF($T281="","",IF($S281="S",IF(INDEX(Firms!$L$5:$L$1004,$T281)="","",INDEX(Firms!$L$5:$L$1004,$T281)),IF(INDEX('AFA Rates'!$K$5:$K$1004,$T281)="","",INDEX('AFA Rates'!$K$5:$K$1004,$T281))))</f>
        <v/>
      </c>
      <c r="N281" s="50">
        <f>IF($T281="","",IF($S281="S",IF(INDEX(Firms!$M$5:$M$1004,$T281)="","",INDEX(Firms!$M$5:$M$1004,$T281)),IF(INDEX('AFA Rates'!$L$5:$L$1004,$T281)="","",INDEX('AFA Rates'!$L$5:$L$1004,$T281))))</f>
        <v/>
      </c>
      <c r="O281" s="78">
        <f>IF(OR($T281="",$U281=""),"",IF(INDEX(Firms!$C$5:$C$1004,$U281)="","",INDEX(Firms!$C$5:$C$1004,$U281)))</f>
        <v/>
      </c>
      <c r="P281" s="79">
        <f>IF(OR($T281="",$U281=""),"",IF(INDEX(Firms!$N$5:$N$1004,$U281)="","",INDEX(Firms!$N$5:$N$1004,$U281)))</f>
        <v/>
      </c>
      <c r="Q281" s="78">
        <f>IF($T281="","",IF($S281="S",IF(INDEX(Firms!$T$5:$T$1004,$T281)="","",INDEX(Firms!$T$5:$T$1004,$T281)),IF(INDEX('AFA Rates'!$M$5:$M$1004,$T281)="","",INDEX('AFA Rates'!$M$5:$M$1004,$T281))))</f>
        <v/>
      </c>
      <c r="S281">
        <f>IF(277&lt;=$S$2,"S",IF(277&lt;=$S$2+$T$2,"A",""))</f>
        <v/>
      </c>
      <c r="T281">
        <f>IF(S281="S",MATCH(277,Firms!$W$5:$W$1004,0),IF(S281="A",IFERROR(MATCH(277-$S$2,'AFA Rates'!$R$5:$R$1004,0),""),""))</f>
        <v/>
      </c>
      <c r="U281">
        <f>IF(S281="S",T281,IF(AND(S281="A",T281&lt;&gt;""),IFERROR(MATCH(INDEX('AFA Rates'!$A$5:$A$1004,T281),Firms!$A$5:$A$1004,0),""),""))</f>
        <v/>
      </c>
    </row>
    <row r="282">
      <c r="A282" s="78">
        <f>IF($T282="","",IF($S282="S",IF(INDEX(Firms!$A$5:$A$1004,$T282)="","",INDEX(Firms!$A$5:$A$1004,$T282)),IF(INDEX('AFA Rates'!$A$5:$A$1004,$T282)="","",INDEX('AFA Rates'!$A$5:$A$1004,$T282))))</f>
        <v/>
      </c>
      <c r="B282" s="79">
        <f>IF(OR($T282="",$U282=""),IF($T282="","","Not on Firms tab"),INDEX(Firms!$B$5:$B$1004,$U282)&amp;"")</f>
        <v/>
      </c>
      <c r="C282" s="78">
        <f>IF($T282="","",IF($S282="S","Standard",INDEX('AFA Rates'!$B$5:$B$1004,$T282)&amp;""))</f>
        <v/>
      </c>
      <c r="D282" s="88">
        <f>IF($T282="","",IF($S282="S",IF(INDEX(Firms!$E$5:$E$1004,$T282)="","",INDEX(Firms!$E$5:$E$1004,$T282)),IF(INDEX('AFA Rates'!$C$5:$C$1004,$T282)="","",INDEX('AFA Rates'!$C$5:$C$1004,$T282))))</f>
        <v/>
      </c>
      <c r="E282" s="88">
        <f>IF($T282="","",IF($S282="S",IF(""="","",""),IF(INDEX('AFA Rates'!$D$5:$D$1004,$T282)="","",INDEX('AFA Rates'!$D$5:$D$1004,$T282))))</f>
        <v/>
      </c>
      <c r="F282" s="79">
        <f>IF($T282="","",IF($S282="S",IF(INDEX(Firms!$O$5:$O$1004,$T282)="","",INDEX(Firms!$O$5:$O$1004,$T282)),IF(INDEX('AFA Rates'!$O$5:$O$1004,$T282)="","",INDEX('AFA Rates'!$O$5:$O$1004,$T282))))</f>
        <v/>
      </c>
      <c r="G282" s="50">
        <f>IF($T282="","",IF($S282="S",IF(INDEX(Firms!$F$5:$F$1004,$T282)="","",INDEX(Firms!$F$5:$F$1004,$T282)),IF(INDEX('AFA Rates'!$E$5:$E$1004,$T282)="","",INDEX('AFA Rates'!$E$5:$E$1004,$T282))))</f>
        <v/>
      </c>
      <c r="H282" s="50">
        <f>IF($T282="","",IF($S282="S",IF(INDEX(Firms!$G$5:$G$1004,$T282)="","",INDEX(Firms!$G$5:$G$1004,$T282)),IF(INDEX('AFA Rates'!$F$5:$F$1004,$T282)="","",INDEX('AFA Rates'!$F$5:$F$1004,$T282))))</f>
        <v/>
      </c>
      <c r="I282" s="50">
        <f>IF($T282="","",IF($S282="S",IF(INDEX(Firms!$H$5:$H$1004,$T282)="","",INDEX(Firms!$H$5:$H$1004,$T282)),IF(INDEX('AFA Rates'!$G$5:$G$1004,$T282)="","",INDEX('AFA Rates'!$G$5:$G$1004,$T282))))</f>
        <v/>
      </c>
      <c r="J282" s="50">
        <f>IF($T282="","",IF($S282="S",IF(INDEX(Firms!$I$5:$I$1004,$T282)="","",INDEX(Firms!$I$5:$I$1004,$T282)),IF(INDEX('AFA Rates'!$H$5:$H$1004,$T282)="","",INDEX('AFA Rates'!$H$5:$H$1004,$T282))))</f>
        <v/>
      </c>
      <c r="K282" s="50">
        <f>IF($T282="","",IF($S282="S",IF(INDEX(Firms!$J$5:$J$1004,$T282)="","",INDEX(Firms!$J$5:$J$1004,$T282)),IF(INDEX('AFA Rates'!$I$5:$I$1004,$T282)="","",INDEX('AFA Rates'!$I$5:$I$1004,$T282))))</f>
        <v/>
      </c>
      <c r="L282" s="50">
        <f>IF($T282="","",IF($S282="S",IF(INDEX(Firms!$K$5:$K$1004,$T282)="","",INDEX(Firms!$K$5:$K$1004,$T282)),IF(INDEX('AFA Rates'!$J$5:$J$1004,$T282)="","",INDEX('AFA Rates'!$J$5:$J$1004,$T282))))</f>
        <v/>
      </c>
      <c r="M282" s="50">
        <f>IF($T282="","",IF($S282="S",IF(INDEX(Firms!$L$5:$L$1004,$T282)="","",INDEX(Firms!$L$5:$L$1004,$T282)),IF(INDEX('AFA Rates'!$K$5:$K$1004,$T282)="","",INDEX('AFA Rates'!$K$5:$K$1004,$T282))))</f>
        <v/>
      </c>
      <c r="N282" s="50">
        <f>IF($T282="","",IF($S282="S",IF(INDEX(Firms!$M$5:$M$1004,$T282)="","",INDEX(Firms!$M$5:$M$1004,$T282)),IF(INDEX('AFA Rates'!$L$5:$L$1004,$T282)="","",INDEX('AFA Rates'!$L$5:$L$1004,$T282))))</f>
        <v/>
      </c>
      <c r="O282" s="78">
        <f>IF(OR($T282="",$U282=""),"",IF(INDEX(Firms!$C$5:$C$1004,$U282)="","",INDEX(Firms!$C$5:$C$1004,$U282)))</f>
        <v/>
      </c>
      <c r="P282" s="79">
        <f>IF(OR($T282="",$U282=""),"",IF(INDEX(Firms!$N$5:$N$1004,$U282)="","",INDEX(Firms!$N$5:$N$1004,$U282)))</f>
        <v/>
      </c>
      <c r="Q282" s="78">
        <f>IF($T282="","",IF($S282="S",IF(INDEX(Firms!$T$5:$T$1004,$T282)="","",INDEX(Firms!$T$5:$T$1004,$T282)),IF(INDEX('AFA Rates'!$M$5:$M$1004,$T282)="","",INDEX('AFA Rates'!$M$5:$M$1004,$T282))))</f>
        <v/>
      </c>
      <c r="S282">
        <f>IF(278&lt;=$S$2,"S",IF(278&lt;=$S$2+$T$2,"A",""))</f>
        <v/>
      </c>
      <c r="T282">
        <f>IF(S282="S",MATCH(278,Firms!$W$5:$W$1004,0),IF(S282="A",IFERROR(MATCH(278-$S$2,'AFA Rates'!$R$5:$R$1004,0),""),""))</f>
        <v/>
      </c>
      <c r="U282">
        <f>IF(S282="S",T282,IF(AND(S282="A",T282&lt;&gt;""),IFERROR(MATCH(INDEX('AFA Rates'!$A$5:$A$1004,T282),Firms!$A$5:$A$1004,0),""),""))</f>
        <v/>
      </c>
    </row>
    <row r="283">
      <c r="A283" s="78">
        <f>IF($T283="","",IF($S283="S",IF(INDEX(Firms!$A$5:$A$1004,$T283)="","",INDEX(Firms!$A$5:$A$1004,$T283)),IF(INDEX('AFA Rates'!$A$5:$A$1004,$T283)="","",INDEX('AFA Rates'!$A$5:$A$1004,$T283))))</f>
        <v/>
      </c>
      <c r="B283" s="79">
        <f>IF(OR($T283="",$U283=""),IF($T283="","","Not on Firms tab"),INDEX(Firms!$B$5:$B$1004,$U283)&amp;"")</f>
        <v/>
      </c>
      <c r="C283" s="78">
        <f>IF($T283="","",IF($S283="S","Standard",INDEX('AFA Rates'!$B$5:$B$1004,$T283)&amp;""))</f>
        <v/>
      </c>
      <c r="D283" s="88">
        <f>IF($T283="","",IF($S283="S",IF(INDEX(Firms!$E$5:$E$1004,$T283)="","",INDEX(Firms!$E$5:$E$1004,$T283)),IF(INDEX('AFA Rates'!$C$5:$C$1004,$T283)="","",INDEX('AFA Rates'!$C$5:$C$1004,$T283))))</f>
        <v/>
      </c>
      <c r="E283" s="88">
        <f>IF($T283="","",IF($S283="S",IF(""="","",""),IF(INDEX('AFA Rates'!$D$5:$D$1004,$T283)="","",INDEX('AFA Rates'!$D$5:$D$1004,$T283))))</f>
        <v/>
      </c>
      <c r="F283" s="79">
        <f>IF($T283="","",IF($S283="S",IF(INDEX(Firms!$O$5:$O$1004,$T283)="","",INDEX(Firms!$O$5:$O$1004,$T283)),IF(INDEX('AFA Rates'!$O$5:$O$1004,$T283)="","",INDEX('AFA Rates'!$O$5:$O$1004,$T283))))</f>
        <v/>
      </c>
      <c r="G283" s="50">
        <f>IF($T283="","",IF($S283="S",IF(INDEX(Firms!$F$5:$F$1004,$T283)="","",INDEX(Firms!$F$5:$F$1004,$T283)),IF(INDEX('AFA Rates'!$E$5:$E$1004,$T283)="","",INDEX('AFA Rates'!$E$5:$E$1004,$T283))))</f>
        <v/>
      </c>
      <c r="H283" s="50">
        <f>IF($T283="","",IF($S283="S",IF(INDEX(Firms!$G$5:$G$1004,$T283)="","",INDEX(Firms!$G$5:$G$1004,$T283)),IF(INDEX('AFA Rates'!$F$5:$F$1004,$T283)="","",INDEX('AFA Rates'!$F$5:$F$1004,$T283))))</f>
        <v/>
      </c>
      <c r="I283" s="50">
        <f>IF($T283="","",IF($S283="S",IF(INDEX(Firms!$H$5:$H$1004,$T283)="","",INDEX(Firms!$H$5:$H$1004,$T283)),IF(INDEX('AFA Rates'!$G$5:$G$1004,$T283)="","",INDEX('AFA Rates'!$G$5:$G$1004,$T283))))</f>
        <v/>
      </c>
      <c r="J283" s="50">
        <f>IF($T283="","",IF($S283="S",IF(INDEX(Firms!$I$5:$I$1004,$T283)="","",INDEX(Firms!$I$5:$I$1004,$T283)),IF(INDEX('AFA Rates'!$H$5:$H$1004,$T283)="","",INDEX('AFA Rates'!$H$5:$H$1004,$T283))))</f>
        <v/>
      </c>
      <c r="K283" s="50">
        <f>IF($T283="","",IF($S283="S",IF(INDEX(Firms!$J$5:$J$1004,$T283)="","",INDEX(Firms!$J$5:$J$1004,$T283)),IF(INDEX('AFA Rates'!$I$5:$I$1004,$T283)="","",INDEX('AFA Rates'!$I$5:$I$1004,$T283))))</f>
        <v/>
      </c>
      <c r="L283" s="50">
        <f>IF($T283="","",IF($S283="S",IF(INDEX(Firms!$K$5:$K$1004,$T283)="","",INDEX(Firms!$K$5:$K$1004,$T283)),IF(INDEX('AFA Rates'!$J$5:$J$1004,$T283)="","",INDEX('AFA Rates'!$J$5:$J$1004,$T283))))</f>
        <v/>
      </c>
      <c r="M283" s="50">
        <f>IF($T283="","",IF($S283="S",IF(INDEX(Firms!$L$5:$L$1004,$T283)="","",INDEX(Firms!$L$5:$L$1004,$T283)),IF(INDEX('AFA Rates'!$K$5:$K$1004,$T283)="","",INDEX('AFA Rates'!$K$5:$K$1004,$T283))))</f>
        <v/>
      </c>
      <c r="N283" s="50">
        <f>IF($T283="","",IF($S283="S",IF(INDEX(Firms!$M$5:$M$1004,$T283)="","",INDEX(Firms!$M$5:$M$1004,$T283)),IF(INDEX('AFA Rates'!$L$5:$L$1004,$T283)="","",INDEX('AFA Rates'!$L$5:$L$1004,$T283))))</f>
        <v/>
      </c>
      <c r="O283" s="78">
        <f>IF(OR($T283="",$U283=""),"",IF(INDEX(Firms!$C$5:$C$1004,$U283)="","",INDEX(Firms!$C$5:$C$1004,$U283)))</f>
        <v/>
      </c>
      <c r="P283" s="79">
        <f>IF(OR($T283="",$U283=""),"",IF(INDEX(Firms!$N$5:$N$1004,$U283)="","",INDEX(Firms!$N$5:$N$1004,$U283)))</f>
        <v/>
      </c>
      <c r="Q283" s="78">
        <f>IF($T283="","",IF($S283="S",IF(INDEX(Firms!$T$5:$T$1004,$T283)="","",INDEX(Firms!$T$5:$T$1004,$T283)),IF(INDEX('AFA Rates'!$M$5:$M$1004,$T283)="","",INDEX('AFA Rates'!$M$5:$M$1004,$T283))))</f>
        <v/>
      </c>
      <c r="S283">
        <f>IF(279&lt;=$S$2,"S",IF(279&lt;=$S$2+$T$2,"A",""))</f>
        <v/>
      </c>
      <c r="T283">
        <f>IF(S283="S",MATCH(279,Firms!$W$5:$W$1004,0),IF(S283="A",IFERROR(MATCH(279-$S$2,'AFA Rates'!$R$5:$R$1004,0),""),""))</f>
        <v/>
      </c>
      <c r="U283">
        <f>IF(S283="S",T283,IF(AND(S283="A",T283&lt;&gt;""),IFERROR(MATCH(INDEX('AFA Rates'!$A$5:$A$1004,T283),Firms!$A$5:$A$1004,0),""),""))</f>
        <v/>
      </c>
    </row>
    <row r="284">
      <c r="A284" s="78">
        <f>IF($T284="","",IF($S284="S",IF(INDEX(Firms!$A$5:$A$1004,$T284)="","",INDEX(Firms!$A$5:$A$1004,$T284)),IF(INDEX('AFA Rates'!$A$5:$A$1004,$T284)="","",INDEX('AFA Rates'!$A$5:$A$1004,$T284))))</f>
        <v/>
      </c>
      <c r="B284" s="79">
        <f>IF(OR($T284="",$U284=""),IF($T284="","","Not on Firms tab"),INDEX(Firms!$B$5:$B$1004,$U284)&amp;"")</f>
        <v/>
      </c>
      <c r="C284" s="78">
        <f>IF($T284="","",IF($S284="S","Standard",INDEX('AFA Rates'!$B$5:$B$1004,$T284)&amp;""))</f>
        <v/>
      </c>
      <c r="D284" s="88">
        <f>IF($T284="","",IF($S284="S",IF(INDEX(Firms!$E$5:$E$1004,$T284)="","",INDEX(Firms!$E$5:$E$1004,$T284)),IF(INDEX('AFA Rates'!$C$5:$C$1004,$T284)="","",INDEX('AFA Rates'!$C$5:$C$1004,$T284))))</f>
        <v/>
      </c>
      <c r="E284" s="88">
        <f>IF($T284="","",IF($S284="S",IF(""="","",""),IF(INDEX('AFA Rates'!$D$5:$D$1004,$T284)="","",INDEX('AFA Rates'!$D$5:$D$1004,$T284))))</f>
        <v/>
      </c>
      <c r="F284" s="79">
        <f>IF($T284="","",IF($S284="S",IF(INDEX(Firms!$O$5:$O$1004,$T284)="","",INDEX(Firms!$O$5:$O$1004,$T284)),IF(INDEX('AFA Rates'!$O$5:$O$1004,$T284)="","",INDEX('AFA Rates'!$O$5:$O$1004,$T284))))</f>
        <v/>
      </c>
      <c r="G284" s="50">
        <f>IF($T284="","",IF($S284="S",IF(INDEX(Firms!$F$5:$F$1004,$T284)="","",INDEX(Firms!$F$5:$F$1004,$T284)),IF(INDEX('AFA Rates'!$E$5:$E$1004,$T284)="","",INDEX('AFA Rates'!$E$5:$E$1004,$T284))))</f>
        <v/>
      </c>
      <c r="H284" s="50">
        <f>IF($T284="","",IF($S284="S",IF(INDEX(Firms!$G$5:$G$1004,$T284)="","",INDEX(Firms!$G$5:$G$1004,$T284)),IF(INDEX('AFA Rates'!$F$5:$F$1004,$T284)="","",INDEX('AFA Rates'!$F$5:$F$1004,$T284))))</f>
        <v/>
      </c>
      <c r="I284" s="50">
        <f>IF($T284="","",IF($S284="S",IF(INDEX(Firms!$H$5:$H$1004,$T284)="","",INDEX(Firms!$H$5:$H$1004,$T284)),IF(INDEX('AFA Rates'!$G$5:$G$1004,$T284)="","",INDEX('AFA Rates'!$G$5:$G$1004,$T284))))</f>
        <v/>
      </c>
      <c r="J284" s="50">
        <f>IF($T284="","",IF($S284="S",IF(INDEX(Firms!$I$5:$I$1004,$T284)="","",INDEX(Firms!$I$5:$I$1004,$T284)),IF(INDEX('AFA Rates'!$H$5:$H$1004,$T284)="","",INDEX('AFA Rates'!$H$5:$H$1004,$T284))))</f>
        <v/>
      </c>
      <c r="K284" s="50">
        <f>IF($T284="","",IF($S284="S",IF(INDEX(Firms!$J$5:$J$1004,$T284)="","",INDEX(Firms!$J$5:$J$1004,$T284)),IF(INDEX('AFA Rates'!$I$5:$I$1004,$T284)="","",INDEX('AFA Rates'!$I$5:$I$1004,$T284))))</f>
        <v/>
      </c>
      <c r="L284" s="50">
        <f>IF($T284="","",IF($S284="S",IF(INDEX(Firms!$K$5:$K$1004,$T284)="","",INDEX(Firms!$K$5:$K$1004,$T284)),IF(INDEX('AFA Rates'!$J$5:$J$1004,$T284)="","",INDEX('AFA Rates'!$J$5:$J$1004,$T284))))</f>
        <v/>
      </c>
      <c r="M284" s="50">
        <f>IF($T284="","",IF($S284="S",IF(INDEX(Firms!$L$5:$L$1004,$T284)="","",INDEX(Firms!$L$5:$L$1004,$T284)),IF(INDEX('AFA Rates'!$K$5:$K$1004,$T284)="","",INDEX('AFA Rates'!$K$5:$K$1004,$T284))))</f>
        <v/>
      </c>
      <c r="N284" s="50">
        <f>IF($T284="","",IF($S284="S",IF(INDEX(Firms!$M$5:$M$1004,$T284)="","",INDEX(Firms!$M$5:$M$1004,$T284)),IF(INDEX('AFA Rates'!$L$5:$L$1004,$T284)="","",INDEX('AFA Rates'!$L$5:$L$1004,$T284))))</f>
        <v/>
      </c>
      <c r="O284" s="78">
        <f>IF(OR($T284="",$U284=""),"",IF(INDEX(Firms!$C$5:$C$1004,$U284)="","",INDEX(Firms!$C$5:$C$1004,$U284)))</f>
        <v/>
      </c>
      <c r="P284" s="79">
        <f>IF(OR($T284="",$U284=""),"",IF(INDEX(Firms!$N$5:$N$1004,$U284)="","",INDEX(Firms!$N$5:$N$1004,$U284)))</f>
        <v/>
      </c>
      <c r="Q284" s="78">
        <f>IF($T284="","",IF($S284="S",IF(INDEX(Firms!$T$5:$T$1004,$T284)="","",INDEX(Firms!$T$5:$T$1004,$T284)),IF(INDEX('AFA Rates'!$M$5:$M$1004,$T284)="","",INDEX('AFA Rates'!$M$5:$M$1004,$T284))))</f>
        <v/>
      </c>
      <c r="S284">
        <f>IF(280&lt;=$S$2,"S",IF(280&lt;=$S$2+$T$2,"A",""))</f>
        <v/>
      </c>
      <c r="T284">
        <f>IF(S284="S",MATCH(280,Firms!$W$5:$W$1004,0),IF(S284="A",IFERROR(MATCH(280-$S$2,'AFA Rates'!$R$5:$R$1004,0),""),""))</f>
        <v/>
      </c>
      <c r="U284">
        <f>IF(S284="S",T284,IF(AND(S284="A",T284&lt;&gt;""),IFERROR(MATCH(INDEX('AFA Rates'!$A$5:$A$1004,T284),Firms!$A$5:$A$1004,0),""),""))</f>
        <v/>
      </c>
    </row>
    <row r="285">
      <c r="A285" s="78">
        <f>IF($T285="","",IF($S285="S",IF(INDEX(Firms!$A$5:$A$1004,$T285)="","",INDEX(Firms!$A$5:$A$1004,$T285)),IF(INDEX('AFA Rates'!$A$5:$A$1004,$T285)="","",INDEX('AFA Rates'!$A$5:$A$1004,$T285))))</f>
        <v/>
      </c>
      <c r="B285" s="79">
        <f>IF(OR($T285="",$U285=""),IF($T285="","","Not on Firms tab"),INDEX(Firms!$B$5:$B$1004,$U285)&amp;"")</f>
        <v/>
      </c>
      <c r="C285" s="78">
        <f>IF($T285="","",IF($S285="S","Standard",INDEX('AFA Rates'!$B$5:$B$1004,$T285)&amp;""))</f>
        <v/>
      </c>
      <c r="D285" s="88">
        <f>IF($T285="","",IF($S285="S",IF(INDEX(Firms!$E$5:$E$1004,$T285)="","",INDEX(Firms!$E$5:$E$1004,$T285)),IF(INDEX('AFA Rates'!$C$5:$C$1004,$T285)="","",INDEX('AFA Rates'!$C$5:$C$1004,$T285))))</f>
        <v/>
      </c>
      <c r="E285" s="88">
        <f>IF($T285="","",IF($S285="S",IF(""="","",""),IF(INDEX('AFA Rates'!$D$5:$D$1004,$T285)="","",INDEX('AFA Rates'!$D$5:$D$1004,$T285))))</f>
        <v/>
      </c>
      <c r="F285" s="79">
        <f>IF($T285="","",IF($S285="S",IF(INDEX(Firms!$O$5:$O$1004,$T285)="","",INDEX(Firms!$O$5:$O$1004,$T285)),IF(INDEX('AFA Rates'!$O$5:$O$1004,$T285)="","",INDEX('AFA Rates'!$O$5:$O$1004,$T285))))</f>
        <v/>
      </c>
      <c r="G285" s="50">
        <f>IF($T285="","",IF($S285="S",IF(INDEX(Firms!$F$5:$F$1004,$T285)="","",INDEX(Firms!$F$5:$F$1004,$T285)),IF(INDEX('AFA Rates'!$E$5:$E$1004,$T285)="","",INDEX('AFA Rates'!$E$5:$E$1004,$T285))))</f>
        <v/>
      </c>
      <c r="H285" s="50">
        <f>IF($T285="","",IF($S285="S",IF(INDEX(Firms!$G$5:$G$1004,$T285)="","",INDEX(Firms!$G$5:$G$1004,$T285)),IF(INDEX('AFA Rates'!$F$5:$F$1004,$T285)="","",INDEX('AFA Rates'!$F$5:$F$1004,$T285))))</f>
        <v/>
      </c>
      <c r="I285" s="50">
        <f>IF($T285="","",IF($S285="S",IF(INDEX(Firms!$H$5:$H$1004,$T285)="","",INDEX(Firms!$H$5:$H$1004,$T285)),IF(INDEX('AFA Rates'!$G$5:$G$1004,$T285)="","",INDEX('AFA Rates'!$G$5:$G$1004,$T285))))</f>
        <v/>
      </c>
      <c r="J285" s="50">
        <f>IF($T285="","",IF($S285="S",IF(INDEX(Firms!$I$5:$I$1004,$T285)="","",INDEX(Firms!$I$5:$I$1004,$T285)),IF(INDEX('AFA Rates'!$H$5:$H$1004,$T285)="","",INDEX('AFA Rates'!$H$5:$H$1004,$T285))))</f>
        <v/>
      </c>
      <c r="K285" s="50">
        <f>IF($T285="","",IF($S285="S",IF(INDEX(Firms!$J$5:$J$1004,$T285)="","",INDEX(Firms!$J$5:$J$1004,$T285)),IF(INDEX('AFA Rates'!$I$5:$I$1004,$T285)="","",INDEX('AFA Rates'!$I$5:$I$1004,$T285))))</f>
        <v/>
      </c>
      <c r="L285" s="50">
        <f>IF($T285="","",IF($S285="S",IF(INDEX(Firms!$K$5:$K$1004,$T285)="","",INDEX(Firms!$K$5:$K$1004,$T285)),IF(INDEX('AFA Rates'!$J$5:$J$1004,$T285)="","",INDEX('AFA Rates'!$J$5:$J$1004,$T285))))</f>
        <v/>
      </c>
      <c r="M285" s="50">
        <f>IF($T285="","",IF($S285="S",IF(INDEX(Firms!$L$5:$L$1004,$T285)="","",INDEX(Firms!$L$5:$L$1004,$T285)),IF(INDEX('AFA Rates'!$K$5:$K$1004,$T285)="","",INDEX('AFA Rates'!$K$5:$K$1004,$T285))))</f>
        <v/>
      </c>
      <c r="N285" s="50">
        <f>IF($T285="","",IF($S285="S",IF(INDEX(Firms!$M$5:$M$1004,$T285)="","",INDEX(Firms!$M$5:$M$1004,$T285)),IF(INDEX('AFA Rates'!$L$5:$L$1004,$T285)="","",INDEX('AFA Rates'!$L$5:$L$1004,$T285))))</f>
        <v/>
      </c>
      <c r="O285" s="78">
        <f>IF(OR($T285="",$U285=""),"",IF(INDEX(Firms!$C$5:$C$1004,$U285)="","",INDEX(Firms!$C$5:$C$1004,$U285)))</f>
        <v/>
      </c>
      <c r="P285" s="79">
        <f>IF(OR($T285="",$U285=""),"",IF(INDEX(Firms!$N$5:$N$1004,$U285)="","",INDEX(Firms!$N$5:$N$1004,$U285)))</f>
        <v/>
      </c>
      <c r="Q285" s="78">
        <f>IF($T285="","",IF($S285="S",IF(INDEX(Firms!$T$5:$T$1004,$T285)="","",INDEX(Firms!$T$5:$T$1004,$T285)),IF(INDEX('AFA Rates'!$M$5:$M$1004,$T285)="","",INDEX('AFA Rates'!$M$5:$M$1004,$T285))))</f>
        <v/>
      </c>
      <c r="S285">
        <f>IF(281&lt;=$S$2,"S",IF(281&lt;=$S$2+$T$2,"A",""))</f>
        <v/>
      </c>
      <c r="T285">
        <f>IF(S285="S",MATCH(281,Firms!$W$5:$W$1004,0),IF(S285="A",IFERROR(MATCH(281-$S$2,'AFA Rates'!$R$5:$R$1004,0),""),""))</f>
        <v/>
      </c>
      <c r="U285">
        <f>IF(S285="S",T285,IF(AND(S285="A",T285&lt;&gt;""),IFERROR(MATCH(INDEX('AFA Rates'!$A$5:$A$1004,T285),Firms!$A$5:$A$1004,0),""),""))</f>
        <v/>
      </c>
    </row>
    <row r="286">
      <c r="A286" s="78">
        <f>IF($T286="","",IF($S286="S",IF(INDEX(Firms!$A$5:$A$1004,$T286)="","",INDEX(Firms!$A$5:$A$1004,$T286)),IF(INDEX('AFA Rates'!$A$5:$A$1004,$T286)="","",INDEX('AFA Rates'!$A$5:$A$1004,$T286))))</f>
        <v/>
      </c>
      <c r="B286" s="79">
        <f>IF(OR($T286="",$U286=""),IF($T286="","","Not on Firms tab"),INDEX(Firms!$B$5:$B$1004,$U286)&amp;"")</f>
        <v/>
      </c>
      <c r="C286" s="78">
        <f>IF($T286="","",IF($S286="S","Standard",INDEX('AFA Rates'!$B$5:$B$1004,$T286)&amp;""))</f>
        <v/>
      </c>
      <c r="D286" s="88">
        <f>IF($T286="","",IF($S286="S",IF(INDEX(Firms!$E$5:$E$1004,$T286)="","",INDEX(Firms!$E$5:$E$1004,$T286)),IF(INDEX('AFA Rates'!$C$5:$C$1004,$T286)="","",INDEX('AFA Rates'!$C$5:$C$1004,$T286))))</f>
        <v/>
      </c>
      <c r="E286" s="88">
        <f>IF($T286="","",IF($S286="S",IF(""="","",""),IF(INDEX('AFA Rates'!$D$5:$D$1004,$T286)="","",INDEX('AFA Rates'!$D$5:$D$1004,$T286))))</f>
        <v/>
      </c>
      <c r="F286" s="79">
        <f>IF($T286="","",IF($S286="S",IF(INDEX(Firms!$O$5:$O$1004,$T286)="","",INDEX(Firms!$O$5:$O$1004,$T286)),IF(INDEX('AFA Rates'!$O$5:$O$1004,$T286)="","",INDEX('AFA Rates'!$O$5:$O$1004,$T286))))</f>
        <v/>
      </c>
      <c r="G286" s="50">
        <f>IF($T286="","",IF($S286="S",IF(INDEX(Firms!$F$5:$F$1004,$T286)="","",INDEX(Firms!$F$5:$F$1004,$T286)),IF(INDEX('AFA Rates'!$E$5:$E$1004,$T286)="","",INDEX('AFA Rates'!$E$5:$E$1004,$T286))))</f>
        <v/>
      </c>
      <c r="H286" s="50">
        <f>IF($T286="","",IF($S286="S",IF(INDEX(Firms!$G$5:$G$1004,$T286)="","",INDEX(Firms!$G$5:$G$1004,$T286)),IF(INDEX('AFA Rates'!$F$5:$F$1004,$T286)="","",INDEX('AFA Rates'!$F$5:$F$1004,$T286))))</f>
        <v/>
      </c>
      <c r="I286" s="50">
        <f>IF($T286="","",IF($S286="S",IF(INDEX(Firms!$H$5:$H$1004,$T286)="","",INDEX(Firms!$H$5:$H$1004,$T286)),IF(INDEX('AFA Rates'!$G$5:$G$1004,$T286)="","",INDEX('AFA Rates'!$G$5:$G$1004,$T286))))</f>
        <v/>
      </c>
      <c r="J286" s="50">
        <f>IF($T286="","",IF($S286="S",IF(INDEX(Firms!$I$5:$I$1004,$T286)="","",INDEX(Firms!$I$5:$I$1004,$T286)),IF(INDEX('AFA Rates'!$H$5:$H$1004,$T286)="","",INDEX('AFA Rates'!$H$5:$H$1004,$T286))))</f>
        <v/>
      </c>
      <c r="K286" s="50">
        <f>IF($T286="","",IF($S286="S",IF(INDEX(Firms!$J$5:$J$1004,$T286)="","",INDEX(Firms!$J$5:$J$1004,$T286)),IF(INDEX('AFA Rates'!$I$5:$I$1004,$T286)="","",INDEX('AFA Rates'!$I$5:$I$1004,$T286))))</f>
        <v/>
      </c>
      <c r="L286" s="50">
        <f>IF($T286="","",IF($S286="S",IF(INDEX(Firms!$K$5:$K$1004,$T286)="","",INDEX(Firms!$K$5:$K$1004,$T286)),IF(INDEX('AFA Rates'!$J$5:$J$1004,$T286)="","",INDEX('AFA Rates'!$J$5:$J$1004,$T286))))</f>
        <v/>
      </c>
      <c r="M286" s="50">
        <f>IF($T286="","",IF($S286="S",IF(INDEX(Firms!$L$5:$L$1004,$T286)="","",INDEX(Firms!$L$5:$L$1004,$T286)),IF(INDEX('AFA Rates'!$K$5:$K$1004,$T286)="","",INDEX('AFA Rates'!$K$5:$K$1004,$T286))))</f>
        <v/>
      </c>
      <c r="N286" s="50">
        <f>IF($T286="","",IF($S286="S",IF(INDEX(Firms!$M$5:$M$1004,$T286)="","",INDEX(Firms!$M$5:$M$1004,$T286)),IF(INDEX('AFA Rates'!$L$5:$L$1004,$T286)="","",INDEX('AFA Rates'!$L$5:$L$1004,$T286))))</f>
        <v/>
      </c>
      <c r="O286" s="78">
        <f>IF(OR($T286="",$U286=""),"",IF(INDEX(Firms!$C$5:$C$1004,$U286)="","",INDEX(Firms!$C$5:$C$1004,$U286)))</f>
        <v/>
      </c>
      <c r="P286" s="79">
        <f>IF(OR($T286="",$U286=""),"",IF(INDEX(Firms!$N$5:$N$1004,$U286)="","",INDEX(Firms!$N$5:$N$1004,$U286)))</f>
        <v/>
      </c>
      <c r="Q286" s="78">
        <f>IF($T286="","",IF($S286="S",IF(INDEX(Firms!$T$5:$T$1004,$T286)="","",INDEX(Firms!$T$5:$T$1004,$T286)),IF(INDEX('AFA Rates'!$M$5:$M$1004,$T286)="","",INDEX('AFA Rates'!$M$5:$M$1004,$T286))))</f>
        <v/>
      </c>
      <c r="S286">
        <f>IF(282&lt;=$S$2,"S",IF(282&lt;=$S$2+$T$2,"A",""))</f>
        <v/>
      </c>
      <c r="T286">
        <f>IF(S286="S",MATCH(282,Firms!$W$5:$W$1004,0),IF(S286="A",IFERROR(MATCH(282-$S$2,'AFA Rates'!$R$5:$R$1004,0),""),""))</f>
        <v/>
      </c>
      <c r="U286">
        <f>IF(S286="S",T286,IF(AND(S286="A",T286&lt;&gt;""),IFERROR(MATCH(INDEX('AFA Rates'!$A$5:$A$1004,T286),Firms!$A$5:$A$1004,0),""),""))</f>
        <v/>
      </c>
    </row>
    <row r="287">
      <c r="A287" s="78">
        <f>IF($T287="","",IF($S287="S",IF(INDEX(Firms!$A$5:$A$1004,$T287)="","",INDEX(Firms!$A$5:$A$1004,$T287)),IF(INDEX('AFA Rates'!$A$5:$A$1004,$T287)="","",INDEX('AFA Rates'!$A$5:$A$1004,$T287))))</f>
        <v/>
      </c>
      <c r="B287" s="79">
        <f>IF(OR($T287="",$U287=""),IF($T287="","","Not on Firms tab"),INDEX(Firms!$B$5:$B$1004,$U287)&amp;"")</f>
        <v/>
      </c>
      <c r="C287" s="78">
        <f>IF($T287="","",IF($S287="S","Standard",INDEX('AFA Rates'!$B$5:$B$1004,$T287)&amp;""))</f>
        <v/>
      </c>
      <c r="D287" s="88">
        <f>IF($T287="","",IF($S287="S",IF(INDEX(Firms!$E$5:$E$1004,$T287)="","",INDEX(Firms!$E$5:$E$1004,$T287)),IF(INDEX('AFA Rates'!$C$5:$C$1004,$T287)="","",INDEX('AFA Rates'!$C$5:$C$1004,$T287))))</f>
        <v/>
      </c>
      <c r="E287" s="88">
        <f>IF($T287="","",IF($S287="S",IF(""="","",""),IF(INDEX('AFA Rates'!$D$5:$D$1004,$T287)="","",INDEX('AFA Rates'!$D$5:$D$1004,$T287))))</f>
        <v/>
      </c>
      <c r="F287" s="79">
        <f>IF($T287="","",IF($S287="S",IF(INDEX(Firms!$O$5:$O$1004,$T287)="","",INDEX(Firms!$O$5:$O$1004,$T287)),IF(INDEX('AFA Rates'!$O$5:$O$1004,$T287)="","",INDEX('AFA Rates'!$O$5:$O$1004,$T287))))</f>
        <v/>
      </c>
      <c r="G287" s="50">
        <f>IF($T287="","",IF($S287="S",IF(INDEX(Firms!$F$5:$F$1004,$T287)="","",INDEX(Firms!$F$5:$F$1004,$T287)),IF(INDEX('AFA Rates'!$E$5:$E$1004,$T287)="","",INDEX('AFA Rates'!$E$5:$E$1004,$T287))))</f>
        <v/>
      </c>
      <c r="H287" s="50">
        <f>IF($T287="","",IF($S287="S",IF(INDEX(Firms!$G$5:$G$1004,$T287)="","",INDEX(Firms!$G$5:$G$1004,$T287)),IF(INDEX('AFA Rates'!$F$5:$F$1004,$T287)="","",INDEX('AFA Rates'!$F$5:$F$1004,$T287))))</f>
        <v/>
      </c>
      <c r="I287" s="50">
        <f>IF($T287="","",IF($S287="S",IF(INDEX(Firms!$H$5:$H$1004,$T287)="","",INDEX(Firms!$H$5:$H$1004,$T287)),IF(INDEX('AFA Rates'!$G$5:$G$1004,$T287)="","",INDEX('AFA Rates'!$G$5:$G$1004,$T287))))</f>
        <v/>
      </c>
      <c r="J287" s="50">
        <f>IF($T287="","",IF($S287="S",IF(INDEX(Firms!$I$5:$I$1004,$T287)="","",INDEX(Firms!$I$5:$I$1004,$T287)),IF(INDEX('AFA Rates'!$H$5:$H$1004,$T287)="","",INDEX('AFA Rates'!$H$5:$H$1004,$T287))))</f>
        <v/>
      </c>
      <c r="K287" s="50">
        <f>IF($T287="","",IF($S287="S",IF(INDEX(Firms!$J$5:$J$1004,$T287)="","",INDEX(Firms!$J$5:$J$1004,$T287)),IF(INDEX('AFA Rates'!$I$5:$I$1004,$T287)="","",INDEX('AFA Rates'!$I$5:$I$1004,$T287))))</f>
        <v/>
      </c>
      <c r="L287" s="50">
        <f>IF($T287="","",IF($S287="S",IF(INDEX(Firms!$K$5:$K$1004,$T287)="","",INDEX(Firms!$K$5:$K$1004,$T287)),IF(INDEX('AFA Rates'!$J$5:$J$1004,$T287)="","",INDEX('AFA Rates'!$J$5:$J$1004,$T287))))</f>
        <v/>
      </c>
      <c r="M287" s="50">
        <f>IF($T287="","",IF($S287="S",IF(INDEX(Firms!$L$5:$L$1004,$T287)="","",INDEX(Firms!$L$5:$L$1004,$T287)),IF(INDEX('AFA Rates'!$K$5:$K$1004,$T287)="","",INDEX('AFA Rates'!$K$5:$K$1004,$T287))))</f>
        <v/>
      </c>
      <c r="N287" s="50">
        <f>IF($T287="","",IF($S287="S",IF(INDEX(Firms!$M$5:$M$1004,$T287)="","",INDEX(Firms!$M$5:$M$1004,$T287)),IF(INDEX('AFA Rates'!$L$5:$L$1004,$T287)="","",INDEX('AFA Rates'!$L$5:$L$1004,$T287))))</f>
        <v/>
      </c>
      <c r="O287" s="78">
        <f>IF(OR($T287="",$U287=""),"",IF(INDEX(Firms!$C$5:$C$1004,$U287)="","",INDEX(Firms!$C$5:$C$1004,$U287)))</f>
        <v/>
      </c>
      <c r="P287" s="79">
        <f>IF(OR($T287="",$U287=""),"",IF(INDEX(Firms!$N$5:$N$1004,$U287)="","",INDEX(Firms!$N$5:$N$1004,$U287)))</f>
        <v/>
      </c>
      <c r="Q287" s="78">
        <f>IF($T287="","",IF($S287="S",IF(INDEX(Firms!$T$5:$T$1004,$T287)="","",INDEX(Firms!$T$5:$T$1004,$T287)),IF(INDEX('AFA Rates'!$M$5:$M$1004,$T287)="","",INDEX('AFA Rates'!$M$5:$M$1004,$T287))))</f>
        <v/>
      </c>
      <c r="S287">
        <f>IF(283&lt;=$S$2,"S",IF(283&lt;=$S$2+$T$2,"A",""))</f>
        <v/>
      </c>
      <c r="T287">
        <f>IF(S287="S",MATCH(283,Firms!$W$5:$W$1004,0),IF(S287="A",IFERROR(MATCH(283-$S$2,'AFA Rates'!$R$5:$R$1004,0),""),""))</f>
        <v/>
      </c>
      <c r="U287">
        <f>IF(S287="S",T287,IF(AND(S287="A",T287&lt;&gt;""),IFERROR(MATCH(INDEX('AFA Rates'!$A$5:$A$1004,T287),Firms!$A$5:$A$1004,0),""),""))</f>
        <v/>
      </c>
    </row>
    <row r="288">
      <c r="A288" s="78">
        <f>IF($T288="","",IF($S288="S",IF(INDEX(Firms!$A$5:$A$1004,$T288)="","",INDEX(Firms!$A$5:$A$1004,$T288)),IF(INDEX('AFA Rates'!$A$5:$A$1004,$T288)="","",INDEX('AFA Rates'!$A$5:$A$1004,$T288))))</f>
        <v/>
      </c>
      <c r="B288" s="79">
        <f>IF(OR($T288="",$U288=""),IF($T288="","","Not on Firms tab"),INDEX(Firms!$B$5:$B$1004,$U288)&amp;"")</f>
        <v/>
      </c>
      <c r="C288" s="78">
        <f>IF($T288="","",IF($S288="S","Standard",INDEX('AFA Rates'!$B$5:$B$1004,$T288)&amp;""))</f>
        <v/>
      </c>
      <c r="D288" s="88">
        <f>IF($T288="","",IF($S288="S",IF(INDEX(Firms!$E$5:$E$1004,$T288)="","",INDEX(Firms!$E$5:$E$1004,$T288)),IF(INDEX('AFA Rates'!$C$5:$C$1004,$T288)="","",INDEX('AFA Rates'!$C$5:$C$1004,$T288))))</f>
        <v/>
      </c>
      <c r="E288" s="88">
        <f>IF($T288="","",IF($S288="S",IF(""="","",""),IF(INDEX('AFA Rates'!$D$5:$D$1004,$T288)="","",INDEX('AFA Rates'!$D$5:$D$1004,$T288))))</f>
        <v/>
      </c>
      <c r="F288" s="79">
        <f>IF($T288="","",IF($S288="S",IF(INDEX(Firms!$O$5:$O$1004,$T288)="","",INDEX(Firms!$O$5:$O$1004,$T288)),IF(INDEX('AFA Rates'!$O$5:$O$1004,$T288)="","",INDEX('AFA Rates'!$O$5:$O$1004,$T288))))</f>
        <v/>
      </c>
      <c r="G288" s="50">
        <f>IF($T288="","",IF($S288="S",IF(INDEX(Firms!$F$5:$F$1004,$T288)="","",INDEX(Firms!$F$5:$F$1004,$T288)),IF(INDEX('AFA Rates'!$E$5:$E$1004,$T288)="","",INDEX('AFA Rates'!$E$5:$E$1004,$T288))))</f>
        <v/>
      </c>
      <c r="H288" s="50">
        <f>IF($T288="","",IF($S288="S",IF(INDEX(Firms!$G$5:$G$1004,$T288)="","",INDEX(Firms!$G$5:$G$1004,$T288)),IF(INDEX('AFA Rates'!$F$5:$F$1004,$T288)="","",INDEX('AFA Rates'!$F$5:$F$1004,$T288))))</f>
        <v/>
      </c>
      <c r="I288" s="50">
        <f>IF($T288="","",IF($S288="S",IF(INDEX(Firms!$H$5:$H$1004,$T288)="","",INDEX(Firms!$H$5:$H$1004,$T288)),IF(INDEX('AFA Rates'!$G$5:$G$1004,$T288)="","",INDEX('AFA Rates'!$G$5:$G$1004,$T288))))</f>
        <v/>
      </c>
      <c r="J288" s="50">
        <f>IF($T288="","",IF($S288="S",IF(INDEX(Firms!$I$5:$I$1004,$T288)="","",INDEX(Firms!$I$5:$I$1004,$T288)),IF(INDEX('AFA Rates'!$H$5:$H$1004,$T288)="","",INDEX('AFA Rates'!$H$5:$H$1004,$T288))))</f>
        <v/>
      </c>
      <c r="K288" s="50">
        <f>IF($T288="","",IF($S288="S",IF(INDEX(Firms!$J$5:$J$1004,$T288)="","",INDEX(Firms!$J$5:$J$1004,$T288)),IF(INDEX('AFA Rates'!$I$5:$I$1004,$T288)="","",INDEX('AFA Rates'!$I$5:$I$1004,$T288))))</f>
        <v/>
      </c>
      <c r="L288" s="50">
        <f>IF($T288="","",IF($S288="S",IF(INDEX(Firms!$K$5:$K$1004,$T288)="","",INDEX(Firms!$K$5:$K$1004,$T288)),IF(INDEX('AFA Rates'!$J$5:$J$1004,$T288)="","",INDEX('AFA Rates'!$J$5:$J$1004,$T288))))</f>
        <v/>
      </c>
      <c r="M288" s="50">
        <f>IF($T288="","",IF($S288="S",IF(INDEX(Firms!$L$5:$L$1004,$T288)="","",INDEX(Firms!$L$5:$L$1004,$T288)),IF(INDEX('AFA Rates'!$K$5:$K$1004,$T288)="","",INDEX('AFA Rates'!$K$5:$K$1004,$T288))))</f>
        <v/>
      </c>
      <c r="N288" s="50">
        <f>IF($T288="","",IF($S288="S",IF(INDEX(Firms!$M$5:$M$1004,$T288)="","",INDEX(Firms!$M$5:$M$1004,$T288)),IF(INDEX('AFA Rates'!$L$5:$L$1004,$T288)="","",INDEX('AFA Rates'!$L$5:$L$1004,$T288))))</f>
        <v/>
      </c>
      <c r="O288" s="78">
        <f>IF(OR($T288="",$U288=""),"",IF(INDEX(Firms!$C$5:$C$1004,$U288)="","",INDEX(Firms!$C$5:$C$1004,$U288)))</f>
        <v/>
      </c>
      <c r="P288" s="79">
        <f>IF(OR($T288="",$U288=""),"",IF(INDEX(Firms!$N$5:$N$1004,$U288)="","",INDEX(Firms!$N$5:$N$1004,$U288)))</f>
        <v/>
      </c>
      <c r="Q288" s="78">
        <f>IF($T288="","",IF($S288="S",IF(INDEX(Firms!$T$5:$T$1004,$T288)="","",INDEX(Firms!$T$5:$T$1004,$T288)),IF(INDEX('AFA Rates'!$M$5:$M$1004,$T288)="","",INDEX('AFA Rates'!$M$5:$M$1004,$T288))))</f>
        <v/>
      </c>
      <c r="S288">
        <f>IF(284&lt;=$S$2,"S",IF(284&lt;=$S$2+$T$2,"A",""))</f>
        <v/>
      </c>
      <c r="T288">
        <f>IF(S288="S",MATCH(284,Firms!$W$5:$W$1004,0),IF(S288="A",IFERROR(MATCH(284-$S$2,'AFA Rates'!$R$5:$R$1004,0),""),""))</f>
        <v/>
      </c>
      <c r="U288">
        <f>IF(S288="S",T288,IF(AND(S288="A",T288&lt;&gt;""),IFERROR(MATCH(INDEX('AFA Rates'!$A$5:$A$1004,T288),Firms!$A$5:$A$1004,0),""),""))</f>
        <v/>
      </c>
    </row>
    <row r="289">
      <c r="A289" s="78">
        <f>IF($T289="","",IF($S289="S",IF(INDEX(Firms!$A$5:$A$1004,$T289)="","",INDEX(Firms!$A$5:$A$1004,$T289)),IF(INDEX('AFA Rates'!$A$5:$A$1004,$T289)="","",INDEX('AFA Rates'!$A$5:$A$1004,$T289))))</f>
        <v/>
      </c>
      <c r="B289" s="79">
        <f>IF(OR($T289="",$U289=""),IF($T289="","","Not on Firms tab"),INDEX(Firms!$B$5:$B$1004,$U289)&amp;"")</f>
        <v/>
      </c>
      <c r="C289" s="78">
        <f>IF($T289="","",IF($S289="S","Standard",INDEX('AFA Rates'!$B$5:$B$1004,$T289)&amp;""))</f>
        <v/>
      </c>
      <c r="D289" s="88">
        <f>IF($T289="","",IF($S289="S",IF(INDEX(Firms!$E$5:$E$1004,$T289)="","",INDEX(Firms!$E$5:$E$1004,$T289)),IF(INDEX('AFA Rates'!$C$5:$C$1004,$T289)="","",INDEX('AFA Rates'!$C$5:$C$1004,$T289))))</f>
        <v/>
      </c>
      <c r="E289" s="88">
        <f>IF($T289="","",IF($S289="S",IF(""="","",""),IF(INDEX('AFA Rates'!$D$5:$D$1004,$T289)="","",INDEX('AFA Rates'!$D$5:$D$1004,$T289))))</f>
        <v/>
      </c>
      <c r="F289" s="79">
        <f>IF($T289="","",IF($S289="S",IF(INDEX(Firms!$O$5:$O$1004,$T289)="","",INDEX(Firms!$O$5:$O$1004,$T289)),IF(INDEX('AFA Rates'!$O$5:$O$1004,$T289)="","",INDEX('AFA Rates'!$O$5:$O$1004,$T289))))</f>
        <v/>
      </c>
      <c r="G289" s="50">
        <f>IF($T289="","",IF($S289="S",IF(INDEX(Firms!$F$5:$F$1004,$T289)="","",INDEX(Firms!$F$5:$F$1004,$T289)),IF(INDEX('AFA Rates'!$E$5:$E$1004,$T289)="","",INDEX('AFA Rates'!$E$5:$E$1004,$T289))))</f>
        <v/>
      </c>
      <c r="H289" s="50">
        <f>IF($T289="","",IF($S289="S",IF(INDEX(Firms!$G$5:$G$1004,$T289)="","",INDEX(Firms!$G$5:$G$1004,$T289)),IF(INDEX('AFA Rates'!$F$5:$F$1004,$T289)="","",INDEX('AFA Rates'!$F$5:$F$1004,$T289))))</f>
        <v/>
      </c>
      <c r="I289" s="50">
        <f>IF($T289="","",IF($S289="S",IF(INDEX(Firms!$H$5:$H$1004,$T289)="","",INDEX(Firms!$H$5:$H$1004,$T289)),IF(INDEX('AFA Rates'!$G$5:$G$1004,$T289)="","",INDEX('AFA Rates'!$G$5:$G$1004,$T289))))</f>
        <v/>
      </c>
      <c r="J289" s="50">
        <f>IF($T289="","",IF($S289="S",IF(INDEX(Firms!$I$5:$I$1004,$T289)="","",INDEX(Firms!$I$5:$I$1004,$T289)),IF(INDEX('AFA Rates'!$H$5:$H$1004,$T289)="","",INDEX('AFA Rates'!$H$5:$H$1004,$T289))))</f>
        <v/>
      </c>
      <c r="K289" s="50">
        <f>IF($T289="","",IF($S289="S",IF(INDEX(Firms!$J$5:$J$1004,$T289)="","",INDEX(Firms!$J$5:$J$1004,$T289)),IF(INDEX('AFA Rates'!$I$5:$I$1004,$T289)="","",INDEX('AFA Rates'!$I$5:$I$1004,$T289))))</f>
        <v/>
      </c>
      <c r="L289" s="50">
        <f>IF($T289="","",IF($S289="S",IF(INDEX(Firms!$K$5:$K$1004,$T289)="","",INDEX(Firms!$K$5:$K$1004,$T289)),IF(INDEX('AFA Rates'!$J$5:$J$1004,$T289)="","",INDEX('AFA Rates'!$J$5:$J$1004,$T289))))</f>
        <v/>
      </c>
      <c r="M289" s="50">
        <f>IF($T289="","",IF($S289="S",IF(INDEX(Firms!$L$5:$L$1004,$T289)="","",INDEX(Firms!$L$5:$L$1004,$T289)),IF(INDEX('AFA Rates'!$K$5:$K$1004,$T289)="","",INDEX('AFA Rates'!$K$5:$K$1004,$T289))))</f>
        <v/>
      </c>
      <c r="N289" s="50">
        <f>IF($T289="","",IF($S289="S",IF(INDEX(Firms!$M$5:$M$1004,$T289)="","",INDEX(Firms!$M$5:$M$1004,$T289)),IF(INDEX('AFA Rates'!$L$5:$L$1004,$T289)="","",INDEX('AFA Rates'!$L$5:$L$1004,$T289))))</f>
        <v/>
      </c>
      <c r="O289" s="78">
        <f>IF(OR($T289="",$U289=""),"",IF(INDEX(Firms!$C$5:$C$1004,$U289)="","",INDEX(Firms!$C$5:$C$1004,$U289)))</f>
        <v/>
      </c>
      <c r="P289" s="79">
        <f>IF(OR($T289="",$U289=""),"",IF(INDEX(Firms!$N$5:$N$1004,$U289)="","",INDEX(Firms!$N$5:$N$1004,$U289)))</f>
        <v/>
      </c>
      <c r="Q289" s="78">
        <f>IF($T289="","",IF($S289="S",IF(INDEX(Firms!$T$5:$T$1004,$T289)="","",INDEX(Firms!$T$5:$T$1004,$T289)),IF(INDEX('AFA Rates'!$M$5:$M$1004,$T289)="","",INDEX('AFA Rates'!$M$5:$M$1004,$T289))))</f>
        <v/>
      </c>
      <c r="S289">
        <f>IF(285&lt;=$S$2,"S",IF(285&lt;=$S$2+$T$2,"A",""))</f>
        <v/>
      </c>
      <c r="T289">
        <f>IF(S289="S",MATCH(285,Firms!$W$5:$W$1004,0),IF(S289="A",IFERROR(MATCH(285-$S$2,'AFA Rates'!$R$5:$R$1004,0),""),""))</f>
        <v/>
      </c>
      <c r="U289">
        <f>IF(S289="S",T289,IF(AND(S289="A",T289&lt;&gt;""),IFERROR(MATCH(INDEX('AFA Rates'!$A$5:$A$1004,T289),Firms!$A$5:$A$1004,0),""),""))</f>
        <v/>
      </c>
    </row>
    <row r="290">
      <c r="A290" s="78">
        <f>IF($T290="","",IF($S290="S",IF(INDEX(Firms!$A$5:$A$1004,$T290)="","",INDEX(Firms!$A$5:$A$1004,$T290)),IF(INDEX('AFA Rates'!$A$5:$A$1004,$T290)="","",INDEX('AFA Rates'!$A$5:$A$1004,$T290))))</f>
        <v/>
      </c>
      <c r="B290" s="79">
        <f>IF(OR($T290="",$U290=""),IF($T290="","","Not on Firms tab"),INDEX(Firms!$B$5:$B$1004,$U290)&amp;"")</f>
        <v/>
      </c>
      <c r="C290" s="78">
        <f>IF($T290="","",IF($S290="S","Standard",INDEX('AFA Rates'!$B$5:$B$1004,$T290)&amp;""))</f>
        <v/>
      </c>
      <c r="D290" s="88">
        <f>IF($T290="","",IF($S290="S",IF(INDEX(Firms!$E$5:$E$1004,$T290)="","",INDEX(Firms!$E$5:$E$1004,$T290)),IF(INDEX('AFA Rates'!$C$5:$C$1004,$T290)="","",INDEX('AFA Rates'!$C$5:$C$1004,$T290))))</f>
        <v/>
      </c>
      <c r="E290" s="88">
        <f>IF($T290="","",IF($S290="S",IF(""="","",""),IF(INDEX('AFA Rates'!$D$5:$D$1004,$T290)="","",INDEX('AFA Rates'!$D$5:$D$1004,$T290))))</f>
        <v/>
      </c>
      <c r="F290" s="79">
        <f>IF($T290="","",IF($S290="S",IF(INDEX(Firms!$O$5:$O$1004,$T290)="","",INDEX(Firms!$O$5:$O$1004,$T290)),IF(INDEX('AFA Rates'!$O$5:$O$1004,$T290)="","",INDEX('AFA Rates'!$O$5:$O$1004,$T290))))</f>
        <v/>
      </c>
      <c r="G290" s="50">
        <f>IF($T290="","",IF($S290="S",IF(INDEX(Firms!$F$5:$F$1004,$T290)="","",INDEX(Firms!$F$5:$F$1004,$T290)),IF(INDEX('AFA Rates'!$E$5:$E$1004,$T290)="","",INDEX('AFA Rates'!$E$5:$E$1004,$T290))))</f>
        <v/>
      </c>
      <c r="H290" s="50">
        <f>IF($T290="","",IF($S290="S",IF(INDEX(Firms!$G$5:$G$1004,$T290)="","",INDEX(Firms!$G$5:$G$1004,$T290)),IF(INDEX('AFA Rates'!$F$5:$F$1004,$T290)="","",INDEX('AFA Rates'!$F$5:$F$1004,$T290))))</f>
        <v/>
      </c>
      <c r="I290" s="50">
        <f>IF($T290="","",IF($S290="S",IF(INDEX(Firms!$H$5:$H$1004,$T290)="","",INDEX(Firms!$H$5:$H$1004,$T290)),IF(INDEX('AFA Rates'!$G$5:$G$1004,$T290)="","",INDEX('AFA Rates'!$G$5:$G$1004,$T290))))</f>
        <v/>
      </c>
      <c r="J290" s="50">
        <f>IF($T290="","",IF($S290="S",IF(INDEX(Firms!$I$5:$I$1004,$T290)="","",INDEX(Firms!$I$5:$I$1004,$T290)),IF(INDEX('AFA Rates'!$H$5:$H$1004,$T290)="","",INDEX('AFA Rates'!$H$5:$H$1004,$T290))))</f>
        <v/>
      </c>
      <c r="K290" s="50">
        <f>IF($T290="","",IF($S290="S",IF(INDEX(Firms!$J$5:$J$1004,$T290)="","",INDEX(Firms!$J$5:$J$1004,$T290)),IF(INDEX('AFA Rates'!$I$5:$I$1004,$T290)="","",INDEX('AFA Rates'!$I$5:$I$1004,$T290))))</f>
        <v/>
      </c>
      <c r="L290" s="50">
        <f>IF($T290="","",IF($S290="S",IF(INDEX(Firms!$K$5:$K$1004,$T290)="","",INDEX(Firms!$K$5:$K$1004,$T290)),IF(INDEX('AFA Rates'!$J$5:$J$1004,$T290)="","",INDEX('AFA Rates'!$J$5:$J$1004,$T290))))</f>
        <v/>
      </c>
      <c r="M290" s="50">
        <f>IF($T290="","",IF($S290="S",IF(INDEX(Firms!$L$5:$L$1004,$T290)="","",INDEX(Firms!$L$5:$L$1004,$T290)),IF(INDEX('AFA Rates'!$K$5:$K$1004,$T290)="","",INDEX('AFA Rates'!$K$5:$K$1004,$T290))))</f>
        <v/>
      </c>
      <c r="N290" s="50">
        <f>IF($T290="","",IF($S290="S",IF(INDEX(Firms!$M$5:$M$1004,$T290)="","",INDEX(Firms!$M$5:$M$1004,$T290)),IF(INDEX('AFA Rates'!$L$5:$L$1004,$T290)="","",INDEX('AFA Rates'!$L$5:$L$1004,$T290))))</f>
        <v/>
      </c>
      <c r="O290" s="78">
        <f>IF(OR($T290="",$U290=""),"",IF(INDEX(Firms!$C$5:$C$1004,$U290)="","",INDEX(Firms!$C$5:$C$1004,$U290)))</f>
        <v/>
      </c>
      <c r="P290" s="79">
        <f>IF(OR($T290="",$U290=""),"",IF(INDEX(Firms!$N$5:$N$1004,$U290)="","",INDEX(Firms!$N$5:$N$1004,$U290)))</f>
        <v/>
      </c>
      <c r="Q290" s="78">
        <f>IF($T290="","",IF($S290="S",IF(INDEX(Firms!$T$5:$T$1004,$T290)="","",INDEX(Firms!$T$5:$T$1004,$T290)),IF(INDEX('AFA Rates'!$M$5:$M$1004,$T290)="","",INDEX('AFA Rates'!$M$5:$M$1004,$T290))))</f>
        <v/>
      </c>
      <c r="S290">
        <f>IF(286&lt;=$S$2,"S",IF(286&lt;=$S$2+$T$2,"A",""))</f>
        <v/>
      </c>
      <c r="T290">
        <f>IF(S290="S",MATCH(286,Firms!$W$5:$W$1004,0),IF(S290="A",IFERROR(MATCH(286-$S$2,'AFA Rates'!$R$5:$R$1004,0),""),""))</f>
        <v/>
      </c>
      <c r="U290">
        <f>IF(S290="S",T290,IF(AND(S290="A",T290&lt;&gt;""),IFERROR(MATCH(INDEX('AFA Rates'!$A$5:$A$1004,T290),Firms!$A$5:$A$1004,0),""),""))</f>
        <v/>
      </c>
    </row>
    <row r="291">
      <c r="A291" s="78">
        <f>IF($T291="","",IF($S291="S",IF(INDEX(Firms!$A$5:$A$1004,$T291)="","",INDEX(Firms!$A$5:$A$1004,$T291)),IF(INDEX('AFA Rates'!$A$5:$A$1004,$T291)="","",INDEX('AFA Rates'!$A$5:$A$1004,$T291))))</f>
        <v/>
      </c>
      <c r="B291" s="79">
        <f>IF(OR($T291="",$U291=""),IF($T291="","","Not on Firms tab"),INDEX(Firms!$B$5:$B$1004,$U291)&amp;"")</f>
        <v/>
      </c>
      <c r="C291" s="78">
        <f>IF($T291="","",IF($S291="S","Standard",INDEX('AFA Rates'!$B$5:$B$1004,$T291)&amp;""))</f>
        <v/>
      </c>
      <c r="D291" s="88">
        <f>IF($T291="","",IF($S291="S",IF(INDEX(Firms!$E$5:$E$1004,$T291)="","",INDEX(Firms!$E$5:$E$1004,$T291)),IF(INDEX('AFA Rates'!$C$5:$C$1004,$T291)="","",INDEX('AFA Rates'!$C$5:$C$1004,$T291))))</f>
        <v/>
      </c>
      <c r="E291" s="88">
        <f>IF($T291="","",IF($S291="S",IF(""="","",""),IF(INDEX('AFA Rates'!$D$5:$D$1004,$T291)="","",INDEX('AFA Rates'!$D$5:$D$1004,$T291))))</f>
        <v/>
      </c>
      <c r="F291" s="79">
        <f>IF($T291="","",IF($S291="S",IF(INDEX(Firms!$O$5:$O$1004,$T291)="","",INDEX(Firms!$O$5:$O$1004,$T291)),IF(INDEX('AFA Rates'!$O$5:$O$1004,$T291)="","",INDEX('AFA Rates'!$O$5:$O$1004,$T291))))</f>
        <v/>
      </c>
      <c r="G291" s="50">
        <f>IF($T291="","",IF($S291="S",IF(INDEX(Firms!$F$5:$F$1004,$T291)="","",INDEX(Firms!$F$5:$F$1004,$T291)),IF(INDEX('AFA Rates'!$E$5:$E$1004,$T291)="","",INDEX('AFA Rates'!$E$5:$E$1004,$T291))))</f>
        <v/>
      </c>
      <c r="H291" s="50">
        <f>IF($T291="","",IF($S291="S",IF(INDEX(Firms!$G$5:$G$1004,$T291)="","",INDEX(Firms!$G$5:$G$1004,$T291)),IF(INDEX('AFA Rates'!$F$5:$F$1004,$T291)="","",INDEX('AFA Rates'!$F$5:$F$1004,$T291))))</f>
        <v/>
      </c>
      <c r="I291" s="50">
        <f>IF($T291="","",IF($S291="S",IF(INDEX(Firms!$H$5:$H$1004,$T291)="","",INDEX(Firms!$H$5:$H$1004,$T291)),IF(INDEX('AFA Rates'!$G$5:$G$1004,$T291)="","",INDEX('AFA Rates'!$G$5:$G$1004,$T291))))</f>
        <v/>
      </c>
      <c r="J291" s="50">
        <f>IF($T291="","",IF($S291="S",IF(INDEX(Firms!$I$5:$I$1004,$T291)="","",INDEX(Firms!$I$5:$I$1004,$T291)),IF(INDEX('AFA Rates'!$H$5:$H$1004,$T291)="","",INDEX('AFA Rates'!$H$5:$H$1004,$T291))))</f>
        <v/>
      </c>
      <c r="K291" s="50">
        <f>IF($T291="","",IF($S291="S",IF(INDEX(Firms!$J$5:$J$1004,$T291)="","",INDEX(Firms!$J$5:$J$1004,$T291)),IF(INDEX('AFA Rates'!$I$5:$I$1004,$T291)="","",INDEX('AFA Rates'!$I$5:$I$1004,$T291))))</f>
        <v/>
      </c>
      <c r="L291" s="50">
        <f>IF($T291="","",IF($S291="S",IF(INDEX(Firms!$K$5:$K$1004,$T291)="","",INDEX(Firms!$K$5:$K$1004,$T291)),IF(INDEX('AFA Rates'!$J$5:$J$1004,$T291)="","",INDEX('AFA Rates'!$J$5:$J$1004,$T291))))</f>
        <v/>
      </c>
      <c r="M291" s="50">
        <f>IF($T291="","",IF($S291="S",IF(INDEX(Firms!$L$5:$L$1004,$T291)="","",INDEX(Firms!$L$5:$L$1004,$T291)),IF(INDEX('AFA Rates'!$K$5:$K$1004,$T291)="","",INDEX('AFA Rates'!$K$5:$K$1004,$T291))))</f>
        <v/>
      </c>
      <c r="N291" s="50">
        <f>IF($T291="","",IF($S291="S",IF(INDEX(Firms!$M$5:$M$1004,$T291)="","",INDEX(Firms!$M$5:$M$1004,$T291)),IF(INDEX('AFA Rates'!$L$5:$L$1004,$T291)="","",INDEX('AFA Rates'!$L$5:$L$1004,$T291))))</f>
        <v/>
      </c>
      <c r="O291" s="78">
        <f>IF(OR($T291="",$U291=""),"",IF(INDEX(Firms!$C$5:$C$1004,$U291)="","",INDEX(Firms!$C$5:$C$1004,$U291)))</f>
        <v/>
      </c>
      <c r="P291" s="79">
        <f>IF(OR($T291="",$U291=""),"",IF(INDEX(Firms!$N$5:$N$1004,$U291)="","",INDEX(Firms!$N$5:$N$1004,$U291)))</f>
        <v/>
      </c>
      <c r="Q291" s="78">
        <f>IF($T291="","",IF($S291="S",IF(INDEX(Firms!$T$5:$T$1004,$T291)="","",INDEX(Firms!$T$5:$T$1004,$T291)),IF(INDEX('AFA Rates'!$M$5:$M$1004,$T291)="","",INDEX('AFA Rates'!$M$5:$M$1004,$T291))))</f>
        <v/>
      </c>
      <c r="S291">
        <f>IF(287&lt;=$S$2,"S",IF(287&lt;=$S$2+$T$2,"A",""))</f>
        <v/>
      </c>
      <c r="T291">
        <f>IF(S291="S",MATCH(287,Firms!$W$5:$W$1004,0),IF(S291="A",IFERROR(MATCH(287-$S$2,'AFA Rates'!$R$5:$R$1004,0),""),""))</f>
        <v/>
      </c>
      <c r="U291">
        <f>IF(S291="S",T291,IF(AND(S291="A",T291&lt;&gt;""),IFERROR(MATCH(INDEX('AFA Rates'!$A$5:$A$1004,T291),Firms!$A$5:$A$1004,0),""),""))</f>
        <v/>
      </c>
    </row>
    <row r="292">
      <c r="A292" s="78">
        <f>IF($T292="","",IF($S292="S",IF(INDEX(Firms!$A$5:$A$1004,$T292)="","",INDEX(Firms!$A$5:$A$1004,$T292)),IF(INDEX('AFA Rates'!$A$5:$A$1004,$T292)="","",INDEX('AFA Rates'!$A$5:$A$1004,$T292))))</f>
        <v/>
      </c>
      <c r="B292" s="79">
        <f>IF(OR($T292="",$U292=""),IF($T292="","","Not on Firms tab"),INDEX(Firms!$B$5:$B$1004,$U292)&amp;"")</f>
        <v/>
      </c>
      <c r="C292" s="78">
        <f>IF($T292="","",IF($S292="S","Standard",INDEX('AFA Rates'!$B$5:$B$1004,$T292)&amp;""))</f>
        <v/>
      </c>
      <c r="D292" s="88">
        <f>IF($T292="","",IF($S292="S",IF(INDEX(Firms!$E$5:$E$1004,$T292)="","",INDEX(Firms!$E$5:$E$1004,$T292)),IF(INDEX('AFA Rates'!$C$5:$C$1004,$T292)="","",INDEX('AFA Rates'!$C$5:$C$1004,$T292))))</f>
        <v/>
      </c>
      <c r="E292" s="88">
        <f>IF($T292="","",IF($S292="S",IF(""="","",""),IF(INDEX('AFA Rates'!$D$5:$D$1004,$T292)="","",INDEX('AFA Rates'!$D$5:$D$1004,$T292))))</f>
        <v/>
      </c>
      <c r="F292" s="79">
        <f>IF($T292="","",IF($S292="S",IF(INDEX(Firms!$O$5:$O$1004,$T292)="","",INDEX(Firms!$O$5:$O$1004,$T292)),IF(INDEX('AFA Rates'!$O$5:$O$1004,$T292)="","",INDEX('AFA Rates'!$O$5:$O$1004,$T292))))</f>
        <v/>
      </c>
      <c r="G292" s="50">
        <f>IF($T292="","",IF($S292="S",IF(INDEX(Firms!$F$5:$F$1004,$T292)="","",INDEX(Firms!$F$5:$F$1004,$T292)),IF(INDEX('AFA Rates'!$E$5:$E$1004,$T292)="","",INDEX('AFA Rates'!$E$5:$E$1004,$T292))))</f>
        <v/>
      </c>
      <c r="H292" s="50">
        <f>IF($T292="","",IF($S292="S",IF(INDEX(Firms!$G$5:$G$1004,$T292)="","",INDEX(Firms!$G$5:$G$1004,$T292)),IF(INDEX('AFA Rates'!$F$5:$F$1004,$T292)="","",INDEX('AFA Rates'!$F$5:$F$1004,$T292))))</f>
        <v/>
      </c>
      <c r="I292" s="50">
        <f>IF($T292="","",IF($S292="S",IF(INDEX(Firms!$H$5:$H$1004,$T292)="","",INDEX(Firms!$H$5:$H$1004,$T292)),IF(INDEX('AFA Rates'!$G$5:$G$1004,$T292)="","",INDEX('AFA Rates'!$G$5:$G$1004,$T292))))</f>
        <v/>
      </c>
      <c r="J292" s="50">
        <f>IF($T292="","",IF($S292="S",IF(INDEX(Firms!$I$5:$I$1004,$T292)="","",INDEX(Firms!$I$5:$I$1004,$T292)),IF(INDEX('AFA Rates'!$H$5:$H$1004,$T292)="","",INDEX('AFA Rates'!$H$5:$H$1004,$T292))))</f>
        <v/>
      </c>
      <c r="K292" s="50">
        <f>IF($T292="","",IF($S292="S",IF(INDEX(Firms!$J$5:$J$1004,$T292)="","",INDEX(Firms!$J$5:$J$1004,$T292)),IF(INDEX('AFA Rates'!$I$5:$I$1004,$T292)="","",INDEX('AFA Rates'!$I$5:$I$1004,$T292))))</f>
        <v/>
      </c>
      <c r="L292" s="50">
        <f>IF($T292="","",IF($S292="S",IF(INDEX(Firms!$K$5:$K$1004,$T292)="","",INDEX(Firms!$K$5:$K$1004,$T292)),IF(INDEX('AFA Rates'!$J$5:$J$1004,$T292)="","",INDEX('AFA Rates'!$J$5:$J$1004,$T292))))</f>
        <v/>
      </c>
      <c r="M292" s="50">
        <f>IF($T292="","",IF($S292="S",IF(INDEX(Firms!$L$5:$L$1004,$T292)="","",INDEX(Firms!$L$5:$L$1004,$T292)),IF(INDEX('AFA Rates'!$K$5:$K$1004,$T292)="","",INDEX('AFA Rates'!$K$5:$K$1004,$T292))))</f>
        <v/>
      </c>
      <c r="N292" s="50">
        <f>IF($T292="","",IF($S292="S",IF(INDEX(Firms!$M$5:$M$1004,$T292)="","",INDEX(Firms!$M$5:$M$1004,$T292)),IF(INDEX('AFA Rates'!$L$5:$L$1004,$T292)="","",INDEX('AFA Rates'!$L$5:$L$1004,$T292))))</f>
        <v/>
      </c>
      <c r="O292" s="78">
        <f>IF(OR($T292="",$U292=""),"",IF(INDEX(Firms!$C$5:$C$1004,$U292)="","",INDEX(Firms!$C$5:$C$1004,$U292)))</f>
        <v/>
      </c>
      <c r="P292" s="79">
        <f>IF(OR($T292="",$U292=""),"",IF(INDEX(Firms!$N$5:$N$1004,$U292)="","",INDEX(Firms!$N$5:$N$1004,$U292)))</f>
        <v/>
      </c>
      <c r="Q292" s="78">
        <f>IF($T292="","",IF($S292="S",IF(INDEX(Firms!$T$5:$T$1004,$T292)="","",INDEX(Firms!$T$5:$T$1004,$T292)),IF(INDEX('AFA Rates'!$M$5:$M$1004,$T292)="","",INDEX('AFA Rates'!$M$5:$M$1004,$T292))))</f>
        <v/>
      </c>
      <c r="S292">
        <f>IF(288&lt;=$S$2,"S",IF(288&lt;=$S$2+$T$2,"A",""))</f>
        <v/>
      </c>
      <c r="T292">
        <f>IF(S292="S",MATCH(288,Firms!$W$5:$W$1004,0),IF(S292="A",IFERROR(MATCH(288-$S$2,'AFA Rates'!$R$5:$R$1004,0),""),""))</f>
        <v/>
      </c>
      <c r="U292">
        <f>IF(S292="S",T292,IF(AND(S292="A",T292&lt;&gt;""),IFERROR(MATCH(INDEX('AFA Rates'!$A$5:$A$1004,T292),Firms!$A$5:$A$1004,0),""),""))</f>
        <v/>
      </c>
    </row>
    <row r="293">
      <c r="A293" s="78">
        <f>IF($T293="","",IF($S293="S",IF(INDEX(Firms!$A$5:$A$1004,$T293)="","",INDEX(Firms!$A$5:$A$1004,$T293)),IF(INDEX('AFA Rates'!$A$5:$A$1004,$T293)="","",INDEX('AFA Rates'!$A$5:$A$1004,$T293))))</f>
        <v/>
      </c>
      <c r="B293" s="79">
        <f>IF(OR($T293="",$U293=""),IF($T293="","","Not on Firms tab"),INDEX(Firms!$B$5:$B$1004,$U293)&amp;"")</f>
        <v/>
      </c>
      <c r="C293" s="78">
        <f>IF($T293="","",IF($S293="S","Standard",INDEX('AFA Rates'!$B$5:$B$1004,$T293)&amp;""))</f>
        <v/>
      </c>
      <c r="D293" s="88">
        <f>IF($T293="","",IF($S293="S",IF(INDEX(Firms!$E$5:$E$1004,$T293)="","",INDEX(Firms!$E$5:$E$1004,$T293)),IF(INDEX('AFA Rates'!$C$5:$C$1004,$T293)="","",INDEX('AFA Rates'!$C$5:$C$1004,$T293))))</f>
        <v/>
      </c>
      <c r="E293" s="88">
        <f>IF($T293="","",IF($S293="S",IF(""="","",""),IF(INDEX('AFA Rates'!$D$5:$D$1004,$T293)="","",INDEX('AFA Rates'!$D$5:$D$1004,$T293))))</f>
        <v/>
      </c>
      <c r="F293" s="79">
        <f>IF($T293="","",IF($S293="S",IF(INDEX(Firms!$O$5:$O$1004,$T293)="","",INDEX(Firms!$O$5:$O$1004,$T293)),IF(INDEX('AFA Rates'!$O$5:$O$1004,$T293)="","",INDEX('AFA Rates'!$O$5:$O$1004,$T293))))</f>
        <v/>
      </c>
      <c r="G293" s="50">
        <f>IF($T293="","",IF($S293="S",IF(INDEX(Firms!$F$5:$F$1004,$T293)="","",INDEX(Firms!$F$5:$F$1004,$T293)),IF(INDEX('AFA Rates'!$E$5:$E$1004,$T293)="","",INDEX('AFA Rates'!$E$5:$E$1004,$T293))))</f>
        <v/>
      </c>
      <c r="H293" s="50">
        <f>IF($T293="","",IF($S293="S",IF(INDEX(Firms!$G$5:$G$1004,$T293)="","",INDEX(Firms!$G$5:$G$1004,$T293)),IF(INDEX('AFA Rates'!$F$5:$F$1004,$T293)="","",INDEX('AFA Rates'!$F$5:$F$1004,$T293))))</f>
        <v/>
      </c>
      <c r="I293" s="50">
        <f>IF($T293="","",IF($S293="S",IF(INDEX(Firms!$H$5:$H$1004,$T293)="","",INDEX(Firms!$H$5:$H$1004,$T293)),IF(INDEX('AFA Rates'!$G$5:$G$1004,$T293)="","",INDEX('AFA Rates'!$G$5:$G$1004,$T293))))</f>
        <v/>
      </c>
      <c r="J293" s="50">
        <f>IF($T293="","",IF($S293="S",IF(INDEX(Firms!$I$5:$I$1004,$T293)="","",INDEX(Firms!$I$5:$I$1004,$T293)),IF(INDEX('AFA Rates'!$H$5:$H$1004,$T293)="","",INDEX('AFA Rates'!$H$5:$H$1004,$T293))))</f>
        <v/>
      </c>
      <c r="K293" s="50">
        <f>IF($T293="","",IF($S293="S",IF(INDEX(Firms!$J$5:$J$1004,$T293)="","",INDEX(Firms!$J$5:$J$1004,$T293)),IF(INDEX('AFA Rates'!$I$5:$I$1004,$T293)="","",INDEX('AFA Rates'!$I$5:$I$1004,$T293))))</f>
        <v/>
      </c>
      <c r="L293" s="50">
        <f>IF($T293="","",IF($S293="S",IF(INDEX(Firms!$K$5:$K$1004,$T293)="","",INDEX(Firms!$K$5:$K$1004,$T293)),IF(INDEX('AFA Rates'!$J$5:$J$1004,$T293)="","",INDEX('AFA Rates'!$J$5:$J$1004,$T293))))</f>
        <v/>
      </c>
      <c r="M293" s="50">
        <f>IF($T293="","",IF($S293="S",IF(INDEX(Firms!$L$5:$L$1004,$T293)="","",INDEX(Firms!$L$5:$L$1004,$T293)),IF(INDEX('AFA Rates'!$K$5:$K$1004,$T293)="","",INDEX('AFA Rates'!$K$5:$K$1004,$T293))))</f>
        <v/>
      </c>
      <c r="N293" s="50">
        <f>IF($T293="","",IF($S293="S",IF(INDEX(Firms!$M$5:$M$1004,$T293)="","",INDEX(Firms!$M$5:$M$1004,$T293)),IF(INDEX('AFA Rates'!$L$5:$L$1004,$T293)="","",INDEX('AFA Rates'!$L$5:$L$1004,$T293))))</f>
        <v/>
      </c>
      <c r="O293" s="78">
        <f>IF(OR($T293="",$U293=""),"",IF(INDEX(Firms!$C$5:$C$1004,$U293)="","",INDEX(Firms!$C$5:$C$1004,$U293)))</f>
        <v/>
      </c>
      <c r="P293" s="79">
        <f>IF(OR($T293="",$U293=""),"",IF(INDEX(Firms!$N$5:$N$1004,$U293)="","",INDEX(Firms!$N$5:$N$1004,$U293)))</f>
        <v/>
      </c>
      <c r="Q293" s="78">
        <f>IF($T293="","",IF($S293="S",IF(INDEX(Firms!$T$5:$T$1004,$T293)="","",INDEX(Firms!$T$5:$T$1004,$T293)),IF(INDEX('AFA Rates'!$M$5:$M$1004,$T293)="","",INDEX('AFA Rates'!$M$5:$M$1004,$T293))))</f>
        <v/>
      </c>
      <c r="S293">
        <f>IF(289&lt;=$S$2,"S",IF(289&lt;=$S$2+$T$2,"A",""))</f>
        <v/>
      </c>
      <c r="T293">
        <f>IF(S293="S",MATCH(289,Firms!$W$5:$W$1004,0),IF(S293="A",IFERROR(MATCH(289-$S$2,'AFA Rates'!$R$5:$R$1004,0),""),""))</f>
        <v/>
      </c>
      <c r="U293">
        <f>IF(S293="S",T293,IF(AND(S293="A",T293&lt;&gt;""),IFERROR(MATCH(INDEX('AFA Rates'!$A$5:$A$1004,T293),Firms!$A$5:$A$1004,0),""),""))</f>
        <v/>
      </c>
    </row>
    <row r="294">
      <c r="A294" s="78">
        <f>IF($T294="","",IF($S294="S",IF(INDEX(Firms!$A$5:$A$1004,$T294)="","",INDEX(Firms!$A$5:$A$1004,$T294)),IF(INDEX('AFA Rates'!$A$5:$A$1004,$T294)="","",INDEX('AFA Rates'!$A$5:$A$1004,$T294))))</f>
        <v/>
      </c>
      <c r="B294" s="79">
        <f>IF(OR($T294="",$U294=""),IF($T294="","","Not on Firms tab"),INDEX(Firms!$B$5:$B$1004,$U294)&amp;"")</f>
        <v/>
      </c>
      <c r="C294" s="78">
        <f>IF($T294="","",IF($S294="S","Standard",INDEX('AFA Rates'!$B$5:$B$1004,$T294)&amp;""))</f>
        <v/>
      </c>
      <c r="D294" s="88">
        <f>IF($T294="","",IF($S294="S",IF(INDEX(Firms!$E$5:$E$1004,$T294)="","",INDEX(Firms!$E$5:$E$1004,$T294)),IF(INDEX('AFA Rates'!$C$5:$C$1004,$T294)="","",INDEX('AFA Rates'!$C$5:$C$1004,$T294))))</f>
        <v/>
      </c>
      <c r="E294" s="88">
        <f>IF($T294="","",IF($S294="S",IF(""="","",""),IF(INDEX('AFA Rates'!$D$5:$D$1004,$T294)="","",INDEX('AFA Rates'!$D$5:$D$1004,$T294))))</f>
        <v/>
      </c>
      <c r="F294" s="79">
        <f>IF($T294="","",IF($S294="S",IF(INDEX(Firms!$O$5:$O$1004,$T294)="","",INDEX(Firms!$O$5:$O$1004,$T294)),IF(INDEX('AFA Rates'!$O$5:$O$1004,$T294)="","",INDEX('AFA Rates'!$O$5:$O$1004,$T294))))</f>
        <v/>
      </c>
      <c r="G294" s="50">
        <f>IF($T294="","",IF($S294="S",IF(INDEX(Firms!$F$5:$F$1004,$T294)="","",INDEX(Firms!$F$5:$F$1004,$T294)),IF(INDEX('AFA Rates'!$E$5:$E$1004,$T294)="","",INDEX('AFA Rates'!$E$5:$E$1004,$T294))))</f>
        <v/>
      </c>
      <c r="H294" s="50">
        <f>IF($T294="","",IF($S294="S",IF(INDEX(Firms!$G$5:$G$1004,$T294)="","",INDEX(Firms!$G$5:$G$1004,$T294)),IF(INDEX('AFA Rates'!$F$5:$F$1004,$T294)="","",INDEX('AFA Rates'!$F$5:$F$1004,$T294))))</f>
        <v/>
      </c>
      <c r="I294" s="50">
        <f>IF($T294="","",IF($S294="S",IF(INDEX(Firms!$H$5:$H$1004,$T294)="","",INDEX(Firms!$H$5:$H$1004,$T294)),IF(INDEX('AFA Rates'!$G$5:$G$1004,$T294)="","",INDEX('AFA Rates'!$G$5:$G$1004,$T294))))</f>
        <v/>
      </c>
      <c r="J294" s="50">
        <f>IF($T294="","",IF($S294="S",IF(INDEX(Firms!$I$5:$I$1004,$T294)="","",INDEX(Firms!$I$5:$I$1004,$T294)),IF(INDEX('AFA Rates'!$H$5:$H$1004,$T294)="","",INDEX('AFA Rates'!$H$5:$H$1004,$T294))))</f>
        <v/>
      </c>
      <c r="K294" s="50">
        <f>IF($T294="","",IF($S294="S",IF(INDEX(Firms!$J$5:$J$1004,$T294)="","",INDEX(Firms!$J$5:$J$1004,$T294)),IF(INDEX('AFA Rates'!$I$5:$I$1004,$T294)="","",INDEX('AFA Rates'!$I$5:$I$1004,$T294))))</f>
        <v/>
      </c>
      <c r="L294" s="50">
        <f>IF($T294="","",IF($S294="S",IF(INDEX(Firms!$K$5:$K$1004,$T294)="","",INDEX(Firms!$K$5:$K$1004,$T294)),IF(INDEX('AFA Rates'!$J$5:$J$1004,$T294)="","",INDEX('AFA Rates'!$J$5:$J$1004,$T294))))</f>
        <v/>
      </c>
      <c r="M294" s="50">
        <f>IF($T294="","",IF($S294="S",IF(INDEX(Firms!$L$5:$L$1004,$T294)="","",INDEX(Firms!$L$5:$L$1004,$T294)),IF(INDEX('AFA Rates'!$K$5:$K$1004,$T294)="","",INDEX('AFA Rates'!$K$5:$K$1004,$T294))))</f>
        <v/>
      </c>
      <c r="N294" s="50">
        <f>IF($T294="","",IF($S294="S",IF(INDEX(Firms!$M$5:$M$1004,$T294)="","",INDEX(Firms!$M$5:$M$1004,$T294)),IF(INDEX('AFA Rates'!$L$5:$L$1004,$T294)="","",INDEX('AFA Rates'!$L$5:$L$1004,$T294))))</f>
        <v/>
      </c>
      <c r="O294" s="78">
        <f>IF(OR($T294="",$U294=""),"",IF(INDEX(Firms!$C$5:$C$1004,$U294)="","",INDEX(Firms!$C$5:$C$1004,$U294)))</f>
        <v/>
      </c>
      <c r="P294" s="79">
        <f>IF(OR($T294="",$U294=""),"",IF(INDEX(Firms!$N$5:$N$1004,$U294)="","",INDEX(Firms!$N$5:$N$1004,$U294)))</f>
        <v/>
      </c>
      <c r="Q294" s="78">
        <f>IF($T294="","",IF($S294="S",IF(INDEX(Firms!$T$5:$T$1004,$T294)="","",INDEX(Firms!$T$5:$T$1004,$T294)),IF(INDEX('AFA Rates'!$M$5:$M$1004,$T294)="","",INDEX('AFA Rates'!$M$5:$M$1004,$T294))))</f>
        <v/>
      </c>
      <c r="S294">
        <f>IF(290&lt;=$S$2,"S",IF(290&lt;=$S$2+$T$2,"A",""))</f>
        <v/>
      </c>
      <c r="T294">
        <f>IF(S294="S",MATCH(290,Firms!$W$5:$W$1004,0),IF(S294="A",IFERROR(MATCH(290-$S$2,'AFA Rates'!$R$5:$R$1004,0),""),""))</f>
        <v/>
      </c>
      <c r="U294">
        <f>IF(S294="S",T294,IF(AND(S294="A",T294&lt;&gt;""),IFERROR(MATCH(INDEX('AFA Rates'!$A$5:$A$1004,T294),Firms!$A$5:$A$1004,0),""),""))</f>
        <v/>
      </c>
    </row>
    <row r="295">
      <c r="A295" s="78">
        <f>IF($T295="","",IF($S295="S",IF(INDEX(Firms!$A$5:$A$1004,$T295)="","",INDEX(Firms!$A$5:$A$1004,$T295)),IF(INDEX('AFA Rates'!$A$5:$A$1004,$T295)="","",INDEX('AFA Rates'!$A$5:$A$1004,$T295))))</f>
        <v/>
      </c>
      <c r="B295" s="79">
        <f>IF(OR($T295="",$U295=""),IF($T295="","","Not on Firms tab"),INDEX(Firms!$B$5:$B$1004,$U295)&amp;"")</f>
        <v/>
      </c>
      <c r="C295" s="78">
        <f>IF($T295="","",IF($S295="S","Standard",INDEX('AFA Rates'!$B$5:$B$1004,$T295)&amp;""))</f>
        <v/>
      </c>
      <c r="D295" s="88">
        <f>IF($T295="","",IF($S295="S",IF(INDEX(Firms!$E$5:$E$1004,$T295)="","",INDEX(Firms!$E$5:$E$1004,$T295)),IF(INDEX('AFA Rates'!$C$5:$C$1004,$T295)="","",INDEX('AFA Rates'!$C$5:$C$1004,$T295))))</f>
        <v/>
      </c>
      <c r="E295" s="88">
        <f>IF($T295="","",IF($S295="S",IF(""="","",""),IF(INDEX('AFA Rates'!$D$5:$D$1004,$T295)="","",INDEX('AFA Rates'!$D$5:$D$1004,$T295))))</f>
        <v/>
      </c>
      <c r="F295" s="79">
        <f>IF($T295="","",IF($S295="S",IF(INDEX(Firms!$O$5:$O$1004,$T295)="","",INDEX(Firms!$O$5:$O$1004,$T295)),IF(INDEX('AFA Rates'!$O$5:$O$1004,$T295)="","",INDEX('AFA Rates'!$O$5:$O$1004,$T295))))</f>
        <v/>
      </c>
      <c r="G295" s="50">
        <f>IF($T295="","",IF($S295="S",IF(INDEX(Firms!$F$5:$F$1004,$T295)="","",INDEX(Firms!$F$5:$F$1004,$T295)),IF(INDEX('AFA Rates'!$E$5:$E$1004,$T295)="","",INDEX('AFA Rates'!$E$5:$E$1004,$T295))))</f>
        <v/>
      </c>
      <c r="H295" s="50">
        <f>IF($T295="","",IF($S295="S",IF(INDEX(Firms!$G$5:$G$1004,$T295)="","",INDEX(Firms!$G$5:$G$1004,$T295)),IF(INDEX('AFA Rates'!$F$5:$F$1004,$T295)="","",INDEX('AFA Rates'!$F$5:$F$1004,$T295))))</f>
        <v/>
      </c>
      <c r="I295" s="50">
        <f>IF($T295="","",IF($S295="S",IF(INDEX(Firms!$H$5:$H$1004,$T295)="","",INDEX(Firms!$H$5:$H$1004,$T295)),IF(INDEX('AFA Rates'!$G$5:$G$1004,$T295)="","",INDEX('AFA Rates'!$G$5:$G$1004,$T295))))</f>
        <v/>
      </c>
      <c r="J295" s="50">
        <f>IF($T295="","",IF($S295="S",IF(INDEX(Firms!$I$5:$I$1004,$T295)="","",INDEX(Firms!$I$5:$I$1004,$T295)),IF(INDEX('AFA Rates'!$H$5:$H$1004,$T295)="","",INDEX('AFA Rates'!$H$5:$H$1004,$T295))))</f>
        <v/>
      </c>
      <c r="K295" s="50">
        <f>IF($T295="","",IF($S295="S",IF(INDEX(Firms!$J$5:$J$1004,$T295)="","",INDEX(Firms!$J$5:$J$1004,$T295)),IF(INDEX('AFA Rates'!$I$5:$I$1004,$T295)="","",INDEX('AFA Rates'!$I$5:$I$1004,$T295))))</f>
        <v/>
      </c>
      <c r="L295" s="50">
        <f>IF($T295="","",IF($S295="S",IF(INDEX(Firms!$K$5:$K$1004,$T295)="","",INDEX(Firms!$K$5:$K$1004,$T295)),IF(INDEX('AFA Rates'!$J$5:$J$1004,$T295)="","",INDEX('AFA Rates'!$J$5:$J$1004,$T295))))</f>
        <v/>
      </c>
      <c r="M295" s="50">
        <f>IF($T295="","",IF($S295="S",IF(INDEX(Firms!$L$5:$L$1004,$T295)="","",INDEX(Firms!$L$5:$L$1004,$T295)),IF(INDEX('AFA Rates'!$K$5:$K$1004,$T295)="","",INDEX('AFA Rates'!$K$5:$K$1004,$T295))))</f>
        <v/>
      </c>
      <c r="N295" s="50">
        <f>IF($T295="","",IF($S295="S",IF(INDEX(Firms!$M$5:$M$1004,$T295)="","",INDEX(Firms!$M$5:$M$1004,$T295)),IF(INDEX('AFA Rates'!$L$5:$L$1004,$T295)="","",INDEX('AFA Rates'!$L$5:$L$1004,$T295))))</f>
        <v/>
      </c>
      <c r="O295" s="78">
        <f>IF(OR($T295="",$U295=""),"",IF(INDEX(Firms!$C$5:$C$1004,$U295)="","",INDEX(Firms!$C$5:$C$1004,$U295)))</f>
        <v/>
      </c>
      <c r="P295" s="79">
        <f>IF(OR($T295="",$U295=""),"",IF(INDEX(Firms!$N$5:$N$1004,$U295)="","",INDEX(Firms!$N$5:$N$1004,$U295)))</f>
        <v/>
      </c>
      <c r="Q295" s="78">
        <f>IF($T295="","",IF($S295="S",IF(INDEX(Firms!$T$5:$T$1004,$T295)="","",INDEX(Firms!$T$5:$T$1004,$T295)),IF(INDEX('AFA Rates'!$M$5:$M$1004,$T295)="","",INDEX('AFA Rates'!$M$5:$M$1004,$T295))))</f>
        <v/>
      </c>
      <c r="S295">
        <f>IF(291&lt;=$S$2,"S",IF(291&lt;=$S$2+$T$2,"A",""))</f>
        <v/>
      </c>
      <c r="T295">
        <f>IF(S295="S",MATCH(291,Firms!$W$5:$W$1004,0),IF(S295="A",IFERROR(MATCH(291-$S$2,'AFA Rates'!$R$5:$R$1004,0),""),""))</f>
        <v/>
      </c>
      <c r="U295">
        <f>IF(S295="S",T295,IF(AND(S295="A",T295&lt;&gt;""),IFERROR(MATCH(INDEX('AFA Rates'!$A$5:$A$1004,T295),Firms!$A$5:$A$1004,0),""),""))</f>
        <v/>
      </c>
    </row>
    <row r="296">
      <c r="A296" s="78">
        <f>IF($T296="","",IF($S296="S",IF(INDEX(Firms!$A$5:$A$1004,$T296)="","",INDEX(Firms!$A$5:$A$1004,$T296)),IF(INDEX('AFA Rates'!$A$5:$A$1004,$T296)="","",INDEX('AFA Rates'!$A$5:$A$1004,$T296))))</f>
        <v/>
      </c>
      <c r="B296" s="79">
        <f>IF(OR($T296="",$U296=""),IF($T296="","","Not on Firms tab"),INDEX(Firms!$B$5:$B$1004,$U296)&amp;"")</f>
        <v/>
      </c>
      <c r="C296" s="78">
        <f>IF($T296="","",IF($S296="S","Standard",INDEX('AFA Rates'!$B$5:$B$1004,$T296)&amp;""))</f>
        <v/>
      </c>
      <c r="D296" s="88">
        <f>IF($T296="","",IF($S296="S",IF(INDEX(Firms!$E$5:$E$1004,$T296)="","",INDEX(Firms!$E$5:$E$1004,$T296)),IF(INDEX('AFA Rates'!$C$5:$C$1004,$T296)="","",INDEX('AFA Rates'!$C$5:$C$1004,$T296))))</f>
        <v/>
      </c>
      <c r="E296" s="88">
        <f>IF($T296="","",IF($S296="S",IF(""="","",""),IF(INDEX('AFA Rates'!$D$5:$D$1004,$T296)="","",INDEX('AFA Rates'!$D$5:$D$1004,$T296))))</f>
        <v/>
      </c>
      <c r="F296" s="79">
        <f>IF($T296="","",IF($S296="S",IF(INDEX(Firms!$O$5:$O$1004,$T296)="","",INDEX(Firms!$O$5:$O$1004,$T296)),IF(INDEX('AFA Rates'!$O$5:$O$1004,$T296)="","",INDEX('AFA Rates'!$O$5:$O$1004,$T296))))</f>
        <v/>
      </c>
      <c r="G296" s="50">
        <f>IF($T296="","",IF($S296="S",IF(INDEX(Firms!$F$5:$F$1004,$T296)="","",INDEX(Firms!$F$5:$F$1004,$T296)),IF(INDEX('AFA Rates'!$E$5:$E$1004,$T296)="","",INDEX('AFA Rates'!$E$5:$E$1004,$T296))))</f>
        <v/>
      </c>
      <c r="H296" s="50">
        <f>IF($T296="","",IF($S296="S",IF(INDEX(Firms!$G$5:$G$1004,$T296)="","",INDEX(Firms!$G$5:$G$1004,$T296)),IF(INDEX('AFA Rates'!$F$5:$F$1004,$T296)="","",INDEX('AFA Rates'!$F$5:$F$1004,$T296))))</f>
        <v/>
      </c>
      <c r="I296" s="50">
        <f>IF($T296="","",IF($S296="S",IF(INDEX(Firms!$H$5:$H$1004,$T296)="","",INDEX(Firms!$H$5:$H$1004,$T296)),IF(INDEX('AFA Rates'!$G$5:$G$1004,$T296)="","",INDEX('AFA Rates'!$G$5:$G$1004,$T296))))</f>
        <v/>
      </c>
      <c r="J296" s="50">
        <f>IF($T296="","",IF($S296="S",IF(INDEX(Firms!$I$5:$I$1004,$T296)="","",INDEX(Firms!$I$5:$I$1004,$T296)),IF(INDEX('AFA Rates'!$H$5:$H$1004,$T296)="","",INDEX('AFA Rates'!$H$5:$H$1004,$T296))))</f>
        <v/>
      </c>
      <c r="K296" s="50">
        <f>IF($T296="","",IF($S296="S",IF(INDEX(Firms!$J$5:$J$1004,$T296)="","",INDEX(Firms!$J$5:$J$1004,$T296)),IF(INDEX('AFA Rates'!$I$5:$I$1004,$T296)="","",INDEX('AFA Rates'!$I$5:$I$1004,$T296))))</f>
        <v/>
      </c>
      <c r="L296" s="50">
        <f>IF($T296="","",IF($S296="S",IF(INDEX(Firms!$K$5:$K$1004,$T296)="","",INDEX(Firms!$K$5:$K$1004,$T296)),IF(INDEX('AFA Rates'!$J$5:$J$1004,$T296)="","",INDEX('AFA Rates'!$J$5:$J$1004,$T296))))</f>
        <v/>
      </c>
      <c r="M296" s="50">
        <f>IF($T296="","",IF($S296="S",IF(INDEX(Firms!$L$5:$L$1004,$T296)="","",INDEX(Firms!$L$5:$L$1004,$T296)),IF(INDEX('AFA Rates'!$K$5:$K$1004,$T296)="","",INDEX('AFA Rates'!$K$5:$K$1004,$T296))))</f>
        <v/>
      </c>
      <c r="N296" s="50">
        <f>IF($T296="","",IF($S296="S",IF(INDEX(Firms!$M$5:$M$1004,$T296)="","",INDEX(Firms!$M$5:$M$1004,$T296)),IF(INDEX('AFA Rates'!$L$5:$L$1004,$T296)="","",INDEX('AFA Rates'!$L$5:$L$1004,$T296))))</f>
        <v/>
      </c>
      <c r="O296" s="78">
        <f>IF(OR($T296="",$U296=""),"",IF(INDEX(Firms!$C$5:$C$1004,$U296)="","",INDEX(Firms!$C$5:$C$1004,$U296)))</f>
        <v/>
      </c>
      <c r="P296" s="79">
        <f>IF(OR($T296="",$U296=""),"",IF(INDEX(Firms!$N$5:$N$1004,$U296)="","",INDEX(Firms!$N$5:$N$1004,$U296)))</f>
        <v/>
      </c>
      <c r="Q296" s="78">
        <f>IF($T296="","",IF($S296="S",IF(INDEX(Firms!$T$5:$T$1004,$T296)="","",INDEX(Firms!$T$5:$T$1004,$T296)),IF(INDEX('AFA Rates'!$M$5:$M$1004,$T296)="","",INDEX('AFA Rates'!$M$5:$M$1004,$T296))))</f>
        <v/>
      </c>
      <c r="S296">
        <f>IF(292&lt;=$S$2,"S",IF(292&lt;=$S$2+$T$2,"A",""))</f>
        <v/>
      </c>
      <c r="T296">
        <f>IF(S296="S",MATCH(292,Firms!$W$5:$W$1004,0),IF(S296="A",IFERROR(MATCH(292-$S$2,'AFA Rates'!$R$5:$R$1004,0),""),""))</f>
        <v/>
      </c>
      <c r="U296">
        <f>IF(S296="S",T296,IF(AND(S296="A",T296&lt;&gt;""),IFERROR(MATCH(INDEX('AFA Rates'!$A$5:$A$1004,T296),Firms!$A$5:$A$1004,0),""),""))</f>
        <v/>
      </c>
    </row>
    <row r="297">
      <c r="A297" s="78">
        <f>IF($T297="","",IF($S297="S",IF(INDEX(Firms!$A$5:$A$1004,$T297)="","",INDEX(Firms!$A$5:$A$1004,$T297)),IF(INDEX('AFA Rates'!$A$5:$A$1004,$T297)="","",INDEX('AFA Rates'!$A$5:$A$1004,$T297))))</f>
        <v/>
      </c>
      <c r="B297" s="79">
        <f>IF(OR($T297="",$U297=""),IF($T297="","","Not on Firms tab"),INDEX(Firms!$B$5:$B$1004,$U297)&amp;"")</f>
        <v/>
      </c>
      <c r="C297" s="78">
        <f>IF($T297="","",IF($S297="S","Standard",INDEX('AFA Rates'!$B$5:$B$1004,$T297)&amp;""))</f>
        <v/>
      </c>
      <c r="D297" s="88">
        <f>IF($T297="","",IF($S297="S",IF(INDEX(Firms!$E$5:$E$1004,$T297)="","",INDEX(Firms!$E$5:$E$1004,$T297)),IF(INDEX('AFA Rates'!$C$5:$C$1004,$T297)="","",INDEX('AFA Rates'!$C$5:$C$1004,$T297))))</f>
        <v/>
      </c>
      <c r="E297" s="88">
        <f>IF($T297="","",IF($S297="S",IF(""="","",""),IF(INDEX('AFA Rates'!$D$5:$D$1004,$T297)="","",INDEX('AFA Rates'!$D$5:$D$1004,$T297))))</f>
        <v/>
      </c>
      <c r="F297" s="79">
        <f>IF($T297="","",IF($S297="S",IF(INDEX(Firms!$O$5:$O$1004,$T297)="","",INDEX(Firms!$O$5:$O$1004,$T297)),IF(INDEX('AFA Rates'!$O$5:$O$1004,$T297)="","",INDEX('AFA Rates'!$O$5:$O$1004,$T297))))</f>
        <v/>
      </c>
      <c r="G297" s="50">
        <f>IF($T297="","",IF($S297="S",IF(INDEX(Firms!$F$5:$F$1004,$T297)="","",INDEX(Firms!$F$5:$F$1004,$T297)),IF(INDEX('AFA Rates'!$E$5:$E$1004,$T297)="","",INDEX('AFA Rates'!$E$5:$E$1004,$T297))))</f>
        <v/>
      </c>
      <c r="H297" s="50">
        <f>IF($T297="","",IF($S297="S",IF(INDEX(Firms!$G$5:$G$1004,$T297)="","",INDEX(Firms!$G$5:$G$1004,$T297)),IF(INDEX('AFA Rates'!$F$5:$F$1004,$T297)="","",INDEX('AFA Rates'!$F$5:$F$1004,$T297))))</f>
        <v/>
      </c>
      <c r="I297" s="50">
        <f>IF($T297="","",IF($S297="S",IF(INDEX(Firms!$H$5:$H$1004,$T297)="","",INDEX(Firms!$H$5:$H$1004,$T297)),IF(INDEX('AFA Rates'!$G$5:$G$1004,$T297)="","",INDEX('AFA Rates'!$G$5:$G$1004,$T297))))</f>
        <v/>
      </c>
      <c r="J297" s="50">
        <f>IF($T297="","",IF($S297="S",IF(INDEX(Firms!$I$5:$I$1004,$T297)="","",INDEX(Firms!$I$5:$I$1004,$T297)),IF(INDEX('AFA Rates'!$H$5:$H$1004,$T297)="","",INDEX('AFA Rates'!$H$5:$H$1004,$T297))))</f>
        <v/>
      </c>
      <c r="K297" s="50">
        <f>IF($T297="","",IF($S297="S",IF(INDEX(Firms!$J$5:$J$1004,$T297)="","",INDEX(Firms!$J$5:$J$1004,$T297)),IF(INDEX('AFA Rates'!$I$5:$I$1004,$T297)="","",INDEX('AFA Rates'!$I$5:$I$1004,$T297))))</f>
        <v/>
      </c>
      <c r="L297" s="50">
        <f>IF($T297="","",IF($S297="S",IF(INDEX(Firms!$K$5:$K$1004,$T297)="","",INDEX(Firms!$K$5:$K$1004,$T297)),IF(INDEX('AFA Rates'!$J$5:$J$1004,$T297)="","",INDEX('AFA Rates'!$J$5:$J$1004,$T297))))</f>
        <v/>
      </c>
      <c r="M297" s="50">
        <f>IF($T297="","",IF($S297="S",IF(INDEX(Firms!$L$5:$L$1004,$T297)="","",INDEX(Firms!$L$5:$L$1004,$T297)),IF(INDEX('AFA Rates'!$K$5:$K$1004,$T297)="","",INDEX('AFA Rates'!$K$5:$K$1004,$T297))))</f>
        <v/>
      </c>
      <c r="N297" s="50">
        <f>IF($T297="","",IF($S297="S",IF(INDEX(Firms!$M$5:$M$1004,$T297)="","",INDEX(Firms!$M$5:$M$1004,$T297)),IF(INDEX('AFA Rates'!$L$5:$L$1004,$T297)="","",INDEX('AFA Rates'!$L$5:$L$1004,$T297))))</f>
        <v/>
      </c>
      <c r="O297" s="78">
        <f>IF(OR($T297="",$U297=""),"",IF(INDEX(Firms!$C$5:$C$1004,$U297)="","",INDEX(Firms!$C$5:$C$1004,$U297)))</f>
        <v/>
      </c>
      <c r="P297" s="79">
        <f>IF(OR($T297="",$U297=""),"",IF(INDEX(Firms!$N$5:$N$1004,$U297)="","",INDEX(Firms!$N$5:$N$1004,$U297)))</f>
        <v/>
      </c>
      <c r="Q297" s="78">
        <f>IF($T297="","",IF($S297="S",IF(INDEX(Firms!$T$5:$T$1004,$T297)="","",INDEX(Firms!$T$5:$T$1004,$T297)),IF(INDEX('AFA Rates'!$M$5:$M$1004,$T297)="","",INDEX('AFA Rates'!$M$5:$M$1004,$T297))))</f>
        <v/>
      </c>
      <c r="S297">
        <f>IF(293&lt;=$S$2,"S",IF(293&lt;=$S$2+$T$2,"A",""))</f>
        <v/>
      </c>
      <c r="T297">
        <f>IF(S297="S",MATCH(293,Firms!$W$5:$W$1004,0),IF(S297="A",IFERROR(MATCH(293-$S$2,'AFA Rates'!$R$5:$R$1004,0),""),""))</f>
        <v/>
      </c>
      <c r="U297">
        <f>IF(S297="S",T297,IF(AND(S297="A",T297&lt;&gt;""),IFERROR(MATCH(INDEX('AFA Rates'!$A$5:$A$1004,T297),Firms!$A$5:$A$1004,0),""),""))</f>
        <v/>
      </c>
    </row>
    <row r="298">
      <c r="A298" s="78">
        <f>IF($T298="","",IF($S298="S",IF(INDEX(Firms!$A$5:$A$1004,$T298)="","",INDEX(Firms!$A$5:$A$1004,$T298)),IF(INDEX('AFA Rates'!$A$5:$A$1004,$T298)="","",INDEX('AFA Rates'!$A$5:$A$1004,$T298))))</f>
        <v/>
      </c>
      <c r="B298" s="79">
        <f>IF(OR($T298="",$U298=""),IF($T298="","","Not on Firms tab"),INDEX(Firms!$B$5:$B$1004,$U298)&amp;"")</f>
        <v/>
      </c>
      <c r="C298" s="78">
        <f>IF($T298="","",IF($S298="S","Standard",INDEX('AFA Rates'!$B$5:$B$1004,$T298)&amp;""))</f>
        <v/>
      </c>
      <c r="D298" s="88">
        <f>IF($T298="","",IF($S298="S",IF(INDEX(Firms!$E$5:$E$1004,$T298)="","",INDEX(Firms!$E$5:$E$1004,$T298)),IF(INDEX('AFA Rates'!$C$5:$C$1004,$T298)="","",INDEX('AFA Rates'!$C$5:$C$1004,$T298))))</f>
        <v/>
      </c>
      <c r="E298" s="88">
        <f>IF($T298="","",IF($S298="S",IF(""="","",""),IF(INDEX('AFA Rates'!$D$5:$D$1004,$T298)="","",INDEX('AFA Rates'!$D$5:$D$1004,$T298))))</f>
        <v/>
      </c>
      <c r="F298" s="79">
        <f>IF($T298="","",IF($S298="S",IF(INDEX(Firms!$O$5:$O$1004,$T298)="","",INDEX(Firms!$O$5:$O$1004,$T298)),IF(INDEX('AFA Rates'!$O$5:$O$1004,$T298)="","",INDEX('AFA Rates'!$O$5:$O$1004,$T298))))</f>
        <v/>
      </c>
      <c r="G298" s="50">
        <f>IF($T298="","",IF($S298="S",IF(INDEX(Firms!$F$5:$F$1004,$T298)="","",INDEX(Firms!$F$5:$F$1004,$T298)),IF(INDEX('AFA Rates'!$E$5:$E$1004,$T298)="","",INDEX('AFA Rates'!$E$5:$E$1004,$T298))))</f>
        <v/>
      </c>
      <c r="H298" s="50">
        <f>IF($T298="","",IF($S298="S",IF(INDEX(Firms!$G$5:$G$1004,$T298)="","",INDEX(Firms!$G$5:$G$1004,$T298)),IF(INDEX('AFA Rates'!$F$5:$F$1004,$T298)="","",INDEX('AFA Rates'!$F$5:$F$1004,$T298))))</f>
        <v/>
      </c>
      <c r="I298" s="50">
        <f>IF($T298="","",IF($S298="S",IF(INDEX(Firms!$H$5:$H$1004,$T298)="","",INDEX(Firms!$H$5:$H$1004,$T298)),IF(INDEX('AFA Rates'!$G$5:$G$1004,$T298)="","",INDEX('AFA Rates'!$G$5:$G$1004,$T298))))</f>
        <v/>
      </c>
      <c r="J298" s="50">
        <f>IF($T298="","",IF($S298="S",IF(INDEX(Firms!$I$5:$I$1004,$T298)="","",INDEX(Firms!$I$5:$I$1004,$T298)),IF(INDEX('AFA Rates'!$H$5:$H$1004,$T298)="","",INDEX('AFA Rates'!$H$5:$H$1004,$T298))))</f>
        <v/>
      </c>
      <c r="K298" s="50">
        <f>IF($T298="","",IF($S298="S",IF(INDEX(Firms!$J$5:$J$1004,$T298)="","",INDEX(Firms!$J$5:$J$1004,$T298)),IF(INDEX('AFA Rates'!$I$5:$I$1004,$T298)="","",INDEX('AFA Rates'!$I$5:$I$1004,$T298))))</f>
        <v/>
      </c>
      <c r="L298" s="50">
        <f>IF($T298="","",IF($S298="S",IF(INDEX(Firms!$K$5:$K$1004,$T298)="","",INDEX(Firms!$K$5:$K$1004,$T298)),IF(INDEX('AFA Rates'!$J$5:$J$1004,$T298)="","",INDEX('AFA Rates'!$J$5:$J$1004,$T298))))</f>
        <v/>
      </c>
      <c r="M298" s="50">
        <f>IF($T298="","",IF($S298="S",IF(INDEX(Firms!$L$5:$L$1004,$T298)="","",INDEX(Firms!$L$5:$L$1004,$T298)),IF(INDEX('AFA Rates'!$K$5:$K$1004,$T298)="","",INDEX('AFA Rates'!$K$5:$K$1004,$T298))))</f>
        <v/>
      </c>
      <c r="N298" s="50">
        <f>IF($T298="","",IF($S298="S",IF(INDEX(Firms!$M$5:$M$1004,$T298)="","",INDEX(Firms!$M$5:$M$1004,$T298)),IF(INDEX('AFA Rates'!$L$5:$L$1004,$T298)="","",INDEX('AFA Rates'!$L$5:$L$1004,$T298))))</f>
        <v/>
      </c>
      <c r="O298" s="78">
        <f>IF(OR($T298="",$U298=""),"",IF(INDEX(Firms!$C$5:$C$1004,$U298)="","",INDEX(Firms!$C$5:$C$1004,$U298)))</f>
        <v/>
      </c>
      <c r="P298" s="79">
        <f>IF(OR($T298="",$U298=""),"",IF(INDEX(Firms!$N$5:$N$1004,$U298)="","",INDEX(Firms!$N$5:$N$1004,$U298)))</f>
        <v/>
      </c>
      <c r="Q298" s="78">
        <f>IF($T298="","",IF($S298="S",IF(INDEX(Firms!$T$5:$T$1004,$T298)="","",INDEX(Firms!$T$5:$T$1004,$T298)),IF(INDEX('AFA Rates'!$M$5:$M$1004,$T298)="","",INDEX('AFA Rates'!$M$5:$M$1004,$T298))))</f>
        <v/>
      </c>
      <c r="S298">
        <f>IF(294&lt;=$S$2,"S",IF(294&lt;=$S$2+$T$2,"A",""))</f>
        <v/>
      </c>
      <c r="T298">
        <f>IF(S298="S",MATCH(294,Firms!$W$5:$W$1004,0),IF(S298="A",IFERROR(MATCH(294-$S$2,'AFA Rates'!$R$5:$R$1004,0),""),""))</f>
        <v/>
      </c>
      <c r="U298">
        <f>IF(S298="S",T298,IF(AND(S298="A",T298&lt;&gt;""),IFERROR(MATCH(INDEX('AFA Rates'!$A$5:$A$1004,T298),Firms!$A$5:$A$1004,0),""),""))</f>
        <v/>
      </c>
    </row>
    <row r="299">
      <c r="A299" s="78">
        <f>IF($T299="","",IF($S299="S",IF(INDEX(Firms!$A$5:$A$1004,$T299)="","",INDEX(Firms!$A$5:$A$1004,$T299)),IF(INDEX('AFA Rates'!$A$5:$A$1004,$T299)="","",INDEX('AFA Rates'!$A$5:$A$1004,$T299))))</f>
        <v/>
      </c>
      <c r="B299" s="79">
        <f>IF(OR($T299="",$U299=""),IF($T299="","","Not on Firms tab"),INDEX(Firms!$B$5:$B$1004,$U299)&amp;"")</f>
        <v/>
      </c>
      <c r="C299" s="78">
        <f>IF($T299="","",IF($S299="S","Standard",INDEX('AFA Rates'!$B$5:$B$1004,$T299)&amp;""))</f>
        <v/>
      </c>
      <c r="D299" s="88">
        <f>IF($T299="","",IF($S299="S",IF(INDEX(Firms!$E$5:$E$1004,$T299)="","",INDEX(Firms!$E$5:$E$1004,$T299)),IF(INDEX('AFA Rates'!$C$5:$C$1004,$T299)="","",INDEX('AFA Rates'!$C$5:$C$1004,$T299))))</f>
        <v/>
      </c>
      <c r="E299" s="88">
        <f>IF($T299="","",IF($S299="S",IF(""="","",""),IF(INDEX('AFA Rates'!$D$5:$D$1004,$T299)="","",INDEX('AFA Rates'!$D$5:$D$1004,$T299))))</f>
        <v/>
      </c>
      <c r="F299" s="79">
        <f>IF($T299="","",IF($S299="S",IF(INDEX(Firms!$O$5:$O$1004,$T299)="","",INDEX(Firms!$O$5:$O$1004,$T299)),IF(INDEX('AFA Rates'!$O$5:$O$1004,$T299)="","",INDEX('AFA Rates'!$O$5:$O$1004,$T299))))</f>
        <v/>
      </c>
      <c r="G299" s="50">
        <f>IF($T299="","",IF($S299="S",IF(INDEX(Firms!$F$5:$F$1004,$T299)="","",INDEX(Firms!$F$5:$F$1004,$T299)),IF(INDEX('AFA Rates'!$E$5:$E$1004,$T299)="","",INDEX('AFA Rates'!$E$5:$E$1004,$T299))))</f>
        <v/>
      </c>
      <c r="H299" s="50">
        <f>IF($T299="","",IF($S299="S",IF(INDEX(Firms!$G$5:$G$1004,$T299)="","",INDEX(Firms!$G$5:$G$1004,$T299)),IF(INDEX('AFA Rates'!$F$5:$F$1004,$T299)="","",INDEX('AFA Rates'!$F$5:$F$1004,$T299))))</f>
        <v/>
      </c>
      <c r="I299" s="50">
        <f>IF($T299="","",IF($S299="S",IF(INDEX(Firms!$H$5:$H$1004,$T299)="","",INDEX(Firms!$H$5:$H$1004,$T299)),IF(INDEX('AFA Rates'!$G$5:$G$1004,$T299)="","",INDEX('AFA Rates'!$G$5:$G$1004,$T299))))</f>
        <v/>
      </c>
      <c r="J299" s="50">
        <f>IF($T299="","",IF($S299="S",IF(INDEX(Firms!$I$5:$I$1004,$T299)="","",INDEX(Firms!$I$5:$I$1004,$T299)),IF(INDEX('AFA Rates'!$H$5:$H$1004,$T299)="","",INDEX('AFA Rates'!$H$5:$H$1004,$T299))))</f>
        <v/>
      </c>
      <c r="K299" s="50">
        <f>IF($T299="","",IF($S299="S",IF(INDEX(Firms!$J$5:$J$1004,$T299)="","",INDEX(Firms!$J$5:$J$1004,$T299)),IF(INDEX('AFA Rates'!$I$5:$I$1004,$T299)="","",INDEX('AFA Rates'!$I$5:$I$1004,$T299))))</f>
        <v/>
      </c>
      <c r="L299" s="50">
        <f>IF($T299="","",IF($S299="S",IF(INDEX(Firms!$K$5:$K$1004,$T299)="","",INDEX(Firms!$K$5:$K$1004,$T299)),IF(INDEX('AFA Rates'!$J$5:$J$1004,$T299)="","",INDEX('AFA Rates'!$J$5:$J$1004,$T299))))</f>
        <v/>
      </c>
      <c r="M299" s="50">
        <f>IF($T299="","",IF($S299="S",IF(INDEX(Firms!$L$5:$L$1004,$T299)="","",INDEX(Firms!$L$5:$L$1004,$T299)),IF(INDEX('AFA Rates'!$K$5:$K$1004,$T299)="","",INDEX('AFA Rates'!$K$5:$K$1004,$T299))))</f>
        <v/>
      </c>
      <c r="N299" s="50">
        <f>IF($T299="","",IF($S299="S",IF(INDEX(Firms!$M$5:$M$1004,$T299)="","",INDEX(Firms!$M$5:$M$1004,$T299)),IF(INDEX('AFA Rates'!$L$5:$L$1004,$T299)="","",INDEX('AFA Rates'!$L$5:$L$1004,$T299))))</f>
        <v/>
      </c>
      <c r="O299" s="78">
        <f>IF(OR($T299="",$U299=""),"",IF(INDEX(Firms!$C$5:$C$1004,$U299)="","",INDEX(Firms!$C$5:$C$1004,$U299)))</f>
        <v/>
      </c>
      <c r="P299" s="79">
        <f>IF(OR($T299="",$U299=""),"",IF(INDEX(Firms!$N$5:$N$1004,$U299)="","",INDEX(Firms!$N$5:$N$1004,$U299)))</f>
        <v/>
      </c>
      <c r="Q299" s="78">
        <f>IF($T299="","",IF($S299="S",IF(INDEX(Firms!$T$5:$T$1004,$T299)="","",INDEX(Firms!$T$5:$T$1004,$T299)),IF(INDEX('AFA Rates'!$M$5:$M$1004,$T299)="","",INDEX('AFA Rates'!$M$5:$M$1004,$T299))))</f>
        <v/>
      </c>
      <c r="S299">
        <f>IF(295&lt;=$S$2,"S",IF(295&lt;=$S$2+$T$2,"A",""))</f>
        <v/>
      </c>
      <c r="T299">
        <f>IF(S299="S",MATCH(295,Firms!$W$5:$W$1004,0),IF(S299="A",IFERROR(MATCH(295-$S$2,'AFA Rates'!$R$5:$R$1004,0),""),""))</f>
        <v/>
      </c>
      <c r="U299">
        <f>IF(S299="S",T299,IF(AND(S299="A",T299&lt;&gt;""),IFERROR(MATCH(INDEX('AFA Rates'!$A$5:$A$1004,T299),Firms!$A$5:$A$1004,0),""),""))</f>
        <v/>
      </c>
    </row>
    <row r="300">
      <c r="A300" s="78">
        <f>IF($T300="","",IF($S300="S",IF(INDEX(Firms!$A$5:$A$1004,$T300)="","",INDEX(Firms!$A$5:$A$1004,$T300)),IF(INDEX('AFA Rates'!$A$5:$A$1004,$T300)="","",INDEX('AFA Rates'!$A$5:$A$1004,$T300))))</f>
        <v/>
      </c>
      <c r="B300" s="79">
        <f>IF(OR($T300="",$U300=""),IF($T300="","","Not on Firms tab"),INDEX(Firms!$B$5:$B$1004,$U300)&amp;"")</f>
        <v/>
      </c>
      <c r="C300" s="78">
        <f>IF($T300="","",IF($S300="S","Standard",INDEX('AFA Rates'!$B$5:$B$1004,$T300)&amp;""))</f>
        <v/>
      </c>
      <c r="D300" s="88">
        <f>IF($T300="","",IF($S300="S",IF(INDEX(Firms!$E$5:$E$1004,$T300)="","",INDEX(Firms!$E$5:$E$1004,$T300)),IF(INDEX('AFA Rates'!$C$5:$C$1004,$T300)="","",INDEX('AFA Rates'!$C$5:$C$1004,$T300))))</f>
        <v/>
      </c>
      <c r="E300" s="88">
        <f>IF($T300="","",IF($S300="S",IF(""="","",""),IF(INDEX('AFA Rates'!$D$5:$D$1004,$T300)="","",INDEX('AFA Rates'!$D$5:$D$1004,$T300))))</f>
        <v/>
      </c>
      <c r="F300" s="79">
        <f>IF($T300="","",IF($S300="S",IF(INDEX(Firms!$O$5:$O$1004,$T300)="","",INDEX(Firms!$O$5:$O$1004,$T300)),IF(INDEX('AFA Rates'!$O$5:$O$1004,$T300)="","",INDEX('AFA Rates'!$O$5:$O$1004,$T300))))</f>
        <v/>
      </c>
      <c r="G300" s="50">
        <f>IF($T300="","",IF($S300="S",IF(INDEX(Firms!$F$5:$F$1004,$T300)="","",INDEX(Firms!$F$5:$F$1004,$T300)),IF(INDEX('AFA Rates'!$E$5:$E$1004,$T300)="","",INDEX('AFA Rates'!$E$5:$E$1004,$T300))))</f>
        <v/>
      </c>
      <c r="H300" s="50">
        <f>IF($T300="","",IF($S300="S",IF(INDEX(Firms!$G$5:$G$1004,$T300)="","",INDEX(Firms!$G$5:$G$1004,$T300)),IF(INDEX('AFA Rates'!$F$5:$F$1004,$T300)="","",INDEX('AFA Rates'!$F$5:$F$1004,$T300))))</f>
        <v/>
      </c>
      <c r="I300" s="50">
        <f>IF($T300="","",IF($S300="S",IF(INDEX(Firms!$H$5:$H$1004,$T300)="","",INDEX(Firms!$H$5:$H$1004,$T300)),IF(INDEX('AFA Rates'!$G$5:$G$1004,$T300)="","",INDEX('AFA Rates'!$G$5:$G$1004,$T300))))</f>
        <v/>
      </c>
      <c r="J300" s="50">
        <f>IF($T300="","",IF($S300="S",IF(INDEX(Firms!$I$5:$I$1004,$T300)="","",INDEX(Firms!$I$5:$I$1004,$T300)),IF(INDEX('AFA Rates'!$H$5:$H$1004,$T300)="","",INDEX('AFA Rates'!$H$5:$H$1004,$T300))))</f>
        <v/>
      </c>
      <c r="K300" s="50">
        <f>IF($T300="","",IF($S300="S",IF(INDEX(Firms!$J$5:$J$1004,$T300)="","",INDEX(Firms!$J$5:$J$1004,$T300)),IF(INDEX('AFA Rates'!$I$5:$I$1004,$T300)="","",INDEX('AFA Rates'!$I$5:$I$1004,$T300))))</f>
        <v/>
      </c>
      <c r="L300" s="50">
        <f>IF($T300="","",IF($S300="S",IF(INDEX(Firms!$K$5:$K$1004,$T300)="","",INDEX(Firms!$K$5:$K$1004,$T300)),IF(INDEX('AFA Rates'!$J$5:$J$1004,$T300)="","",INDEX('AFA Rates'!$J$5:$J$1004,$T300))))</f>
        <v/>
      </c>
      <c r="M300" s="50">
        <f>IF($T300="","",IF($S300="S",IF(INDEX(Firms!$L$5:$L$1004,$T300)="","",INDEX(Firms!$L$5:$L$1004,$T300)),IF(INDEX('AFA Rates'!$K$5:$K$1004,$T300)="","",INDEX('AFA Rates'!$K$5:$K$1004,$T300))))</f>
        <v/>
      </c>
      <c r="N300" s="50">
        <f>IF($T300="","",IF($S300="S",IF(INDEX(Firms!$M$5:$M$1004,$T300)="","",INDEX(Firms!$M$5:$M$1004,$T300)),IF(INDEX('AFA Rates'!$L$5:$L$1004,$T300)="","",INDEX('AFA Rates'!$L$5:$L$1004,$T300))))</f>
        <v/>
      </c>
      <c r="O300" s="78">
        <f>IF(OR($T300="",$U300=""),"",IF(INDEX(Firms!$C$5:$C$1004,$U300)="","",INDEX(Firms!$C$5:$C$1004,$U300)))</f>
        <v/>
      </c>
      <c r="P300" s="79">
        <f>IF(OR($T300="",$U300=""),"",IF(INDEX(Firms!$N$5:$N$1004,$U300)="","",INDEX(Firms!$N$5:$N$1004,$U300)))</f>
        <v/>
      </c>
      <c r="Q300" s="78">
        <f>IF($T300="","",IF($S300="S",IF(INDEX(Firms!$T$5:$T$1004,$T300)="","",INDEX(Firms!$T$5:$T$1004,$T300)),IF(INDEX('AFA Rates'!$M$5:$M$1004,$T300)="","",INDEX('AFA Rates'!$M$5:$M$1004,$T300))))</f>
        <v/>
      </c>
      <c r="S300">
        <f>IF(296&lt;=$S$2,"S",IF(296&lt;=$S$2+$T$2,"A",""))</f>
        <v/>
      </c>
      <c r="T300">
        <f>IF(S300="S",MATCH(296,Firms!$W$5:$W$1004,0),IF(S300="A",IFERROR(MATCH(296-$S$2,'AFA Rates'!$R$5:$R$1004,0),""),""))</f>
        <v/>
      </c>
      <c r="U300">
        <f>IF(S300="S",T300,IF(AND(S300="A",T300&lt;&gt;""),IFERROR(MATCH(INDEX('AFA Rates'!$A$5:$A$1004,T300),Firms!$A$5:$A$1004,0),""),""))</f>
        <v/>
      </c>
    </row>
    <row r="301">
      <c r="A301" s="78">
        <f>IF($T301="","",IF($S301="S",IF(INDEX(Firms!$A$5:$A$1004,$T301)="","",INDEX(Firms!$A$5:$A$1004,$T301)),IF(INDEX('AFA Rates'!$A$5:$A$1004,$T301)="","",INDEX('AFA Rates'!$A$5:$A$1004,$T301))))</f>
        <v/>
      </c>
      <c r="B301" s="79">
        <f>IF(OR($T301="",$U301=""),IF($T301="","","Not on Firms tab"),INDEX(Firms!$B$5:$B$1004,$U301)&amp;"")</f>
        <v/>
      </c>
      <c r="C301" s="78">
        <f>IF($T301="","",IF($S301="S","Standard",INDEX('AFA Rates'!$B$5:$B$1004,$T301)&amp;""))</f>
        <v/>
      </c>
      <c r="D301" s="88">
        <f>IF($T301="","",IF($S301="S",IF(INDEX(Firms!$E$5:$E$1004,$T301)="","",INDEX(Firms!$E$5:$E$1004,$T301)),IF(INDEX('AFA Rates'!$C$5:$C$1004,$T301)="","",INDEX('AFA Rates'!$C$5:$C$1004,$T301))))</f>
        <v/>
      </c>
      <c r="E301" s="88">
        <f>IF($T301="","",IF($S301="S",IF(""="","",""),IF(INDEX('AFA Rates'!$D$5:$D$1004,$T301)="","",INDEX('AFA Rates'!$D$5:$D$1004,$T301))))</f>
        <v/>
      </c>
      <c r="F301" s="79">
        <f>IF($T301="","",IF($S301="S",IF(INDEX(Firms!$O$5:$O$1004,$T301)="","",INDEX(Firms!$O$5:$O$1004,$T301)),IF(INDEX('AFA Rates'!$O$5:$O$1004,$T301)="","",INDEX('AFA Rates'!$O$5:$O$1004,$T301))))</f>
        <v/>
      </c>
      <c r="G301" s="50">
        <f>IF($T301="","",IF($S301="S",IF(INDEX(Firms!$F$5:$F$1004,$T301)="","",INDEX(Firms!$F$5:$F$1004,$T301)),IF(INDEX('AFA Rates'!$E$5:$E$1004,$T301)="","",INDEX('AFA Rates'!$E$5:$E$1004,$T301))))</f>
        <v/>
      </c>
      <c r="H301" s="50">
        <f>IF($T301="","",IF($S301="S",IF(INDEX(Firms!$G$5:$G$1004,$T301)="","",INDEX(Firms!$G$5:$G$1004,$T301)),IF(INDEX('AFA Rates'!$F$5:$F$1004,$T301)="","",INDEX('AFA Rates'!$F$5:$F$1004,$T301))))</f>
        <v/>
      </c>
      <c r="I301" s="50">
        <f>IF($T301="","",IF($S301="S",IF(INDEX(Firms!$H$5:$H$1004,$T301)="","",INDEX(Firms!$H$5:$H$1004,$T301)),IF(INDEX('AFA Rates'!$G$5:$G$1004,$T301)="","",INDEX('AFA Rates'!$G$5:$G$1004,$T301))))</f>
        <v/>
      </c>
      <c r="J301" s="50">
        <f>IF($T301="","",IF($S301="S",IF(INDEX(Firms!$I$5:$I$1004,$T301)="","",INDEX(Firms!$I$5:$I$1004,$T301)),IF(INDEX('AFA Rates'!$H$5:$H$1004,$T301)="","",INDEX('AFA Rates'!$H$5:$H$1004,$T301))))</f>
        <v/>
      </c>
      <c r="K301" s="50">
        <f>IF($T301="","",IF($S301="S",IF(INDEX(Firms!$J$5:$J$1004,$T301)="","",INDEX(Firms!$J$5:$J$1004,$T301)),IF(INDEX('AFA Rates'!$I$5:$I$1004,$T301)="","",INDEX('AFA Rates'!$I$5:$I$1004,$T301))))</f>
        <v/>
      </c>
      <c r="L301" s="50">
        <f>IF($T301="","",IF($S301="S",IF(INDEX(Firms!$K$5:$K$1004,$T301)="","",INDEX(Firms!$K$5:$K$1004,$T301)),IF(INDEX('AFA Rates'!$J$5:$J$1004,$T301)="","",INDEX('AFA Rates'!$J$5:$J$1004,$T301))))</f>
        <v/>
      </c>
      <c r="M301" s="50">
        <f>IF($T301="","",IF($S301="S",IF(INDEX(Firms!$L$5:$L$1004,$T301)="","",INDEX(Firms!$L$5:$L$1004,$T301)),IF(INDEX('AFA Rates'!$K$5:$K$1004,$T301)="","",INDEX('AFA Rates'!$K$5:$K$1004,$T301))))</f>
        <v/>
      </c>
      <c r="N301" s="50">
        <f>IF($T301="","",IF($S301="S",IF(INDEX(Firms!$M$5:$M$1004,$T301)="","",INDEX(Firms!$M$5:$M$1004,$T301)),IF(INDEX('AFA Rates'!$L$5:$L$1004,$T301)="","",INDEX('AFA Rates'!$L$5:$L$1004,$T301))))</f>
        <v/>
      </c>
      <c r="O301" s="78">
        <f>IF(OR($T301="",$U301=""),"",IF(INDEX(Firms!$C$5:$C$1004,$U301)="","",INDEX(Firms!$C$5:$C$1004,$U301)))</f>
        <v/>
      </c>
      <c r="P301" s="79">
        <f>IF(OR($T301="",$U301=""),"",IF(INDEX(Firms!$N$5:$N$1004,$U301)="","",INDEX(Firms!$N$5:$N$1004,$U301)))</f>
        <v/>
      </c>
      <c r="Q301" s="78">
        <f>IF($T301="","",IF($S301="S",IF(INDEX(Firms!$T$5:$T$1004,$T301)="","",INDEX(Firms!$T$5:$T$1004,$T301)),IF(INDEX('AFA Rates'!$M$5:$M$1004,$T301)="","",INDEX('AFA Rates'!$M$5:$M$1004,$T301))))</f>
        <v/>
      </c>
      <c r="S301">
        <f>IF(297&lt;=$S$2,"S",IF(297&lt;=$S$2+$T$2,"A",""))</f>
        <v/>
      </c>
      <c r="T301">
        <f>IF(S301="S",MATCH(297,Firms!$W$5:$W$1004,0),IF(S301="A",IFERROR(MATCH(297-$S$2,'AFA Rates'!$R$5:$R$1004,0),""),""))</f>
        <v/>
      </c>
      <c r="U301">
        <f>IF(S301="S",T301,IF(AND(S301="A",T301&lt;&gt;""),IFERROR(MATCH(INDEX('AFA Rates'!$A$5:$A$1004,T301),Firms!$A$5:$A$1004,0),""),""))</f>
        <v/>
      </c>
    </row>
    <row r="302">
      <c r="A302" s="78">
        <f>IF($T302="","",IF($S302="S",IF(INDEX(Firms!$A$5:$A$1004,$T302)="","",INDEX(Firms!$A$5:$A$1004,$T302)),IF(INDEX('AFA Rates'!$A$5:$A$1004,$T302)="","",INDEX('AFA Rates'!$A$5:$A$1004,$T302))))</f>
        <v/>
      </c>
      <c r="B302" s="79">
        <f>IF(OR($T302="",$U302=""),IF($T302="","","Not on Firms tab"),INDEX(Firms!$B$5:$B$1004,$U302)&amp;"")</f>
        <v/>
      </c>
      <c r="C302" s="78">
        <f>IF($T302="","",IF($S302="S","Standard",INDEX('AFA Rates'!$B$5:$B$1004,$T302)&amp;""))</f>
        <v/>
      </c>
      <c r="D302" s="88">
        <f>IF($T302="","",IF($S302="S",IF(INDEX(Firms!$E$5:$E$1004,$T302)="","",INDEX(Firms!$E$5:$E$1004,$T302)),IF(INDEX('AFA Rates'!$C$5:$C$1004,$T302)="","",INDEX('AFA Rates'!$C$5:$C$1004,$T302))))</f>
        <v/>
      </c>
      <c r="E302" s="88">
        <f>IF($T302="","",IF($S302="S",IF(""="","",""),IF(INDEX('AFA Rates'!$D$5:$D$1004,$T302)="","",INDEX('AFA Rates'!$D$5:$D$1004,$T302))))</f>
        <v/>
      </c>
      <c r="F302" s="79">
        <f>IF($T302="","",IF($S302="S",IF(INDEX(Firms!$O$5:$O$1004,$T302)="","",INDEX(Firms!$O$5:$O$1004,$T302)),IF(INDEX('AFA Rates'!$O$5:$O$1004,$T302)="","",INDEX('AFA Rates'!$O$5:$O$1004,$T302))))</f>
        <v/>
      </c>
      <c r="G302" s="50">
        <f>IF($T302="","",IF($S302="S",IF(INDEX(Firms!$F$5:$F$1004,$T302)="","",INDEX(Firms!$F$5:$F$1004,$T302)),IF(INDEX('AFA Rates'!$E$5:$E$1004,$T302)="","",INDEX('AFA Rates'!$E$5:$E$1004,$T302))))</f>
        <v/>
      </c>
      <c r="H302" s="50">
        <f>IF($T302="","",IF($S302="S",IF(INDEX(Firms!$G$5:$G$1004,$T302)="","",INDEX(Firms!$G$5:$G$1004,$T302)),IF(INDEX('AFA Rates'!$F$5:$F$1004,$T302)="","",INDEX('AFA Rates'!$F$5:$F$1004,$T302))))</f>
        <v/>
      </c>
      <c r="I302" s="50">
        <f>IF($T302="","",IF($S302="S",IF(INDEX(Firms!$H$5:$H$1004,$T302)="","",INDEX(Firms!$H$5:$H$1004,$T302)),IF(INDEX('AFA Rates'!$G$5:$G$1004,$T302)="","",INDEX('AFA Rates'!$G$5:$G$1004,$T302))))</f>
        <v/>
      </c>
      <c r="J302" s="50">
        <f>IF($T302="","",IF($S302="S",IF(INDEX(Firms!$I$5:$I$1004,$T302)="","",INDEX(Firms!$I$5:$I$1004,$T302)),IF(INDEX('AFA Rates'!$H$5:$H$1004,$T302)="","",INDEX('AFA Rates'!$H$5:$H$1004,$T302))))</f>
        <v/>
      </c>
      <c r="K302" s="50">
        <f>IF($T302="","",IF($S302="S",IF(INDEX(Firms!$J$5:$J$1004,$T302)="","",INDEX(Firms!$J$5:$J$1004,$T302)),IF(INDEX('AFA Rates'!$I$5:$I$1004,$T302)="","",INDEX('AFA Rates'!$I$5:$I$1004,$T302))))</f>
        <v/>
      </c>
      <c r="L302" s="50">
        <f>IF($T302="","",IF($S302="S",IF(INDEX(Firms!$K$5:$K$1004,$T302)="","",INDEX(Firms!$K$5:$K$1004,$T302)),IF(INDEX('AFA Rates'!$J$5:$J$1004,$T302)="","",INDEX('AFA Rates'!$J$5:$J$1004,$T302))))</f>
        <v/>
      </c>
      <c r="M302" s="50">
        <f>IF($T302="","",IF($S302="S",IF(INDEX(Firms!$L$5:$L$1004,$T302)="","",INDEX(Firms!$L$5:$L$1004,$T302)),IF(INDEX('AFA Rates'!$K$5:$K$1004,$T302)="","",INDEX('AFA Rates'!$K$5:$K$1004,$T302))))</f>
        <v/>
      </c>
      <c r="N302" s="50">
        <f>IF($T302="","",IF($S302="S",IF(INDEX(Firms!$M$5:$M$1004,$T302)="","",INDEX(Firms!$M$5:$M$1004,$T302)),IF(INDEX('AFA Rates'!$L$5:$L$1004,$T302)="","",INDEX('AFA Rates'!$L$5:$L$1004,$T302))))</f>
        <v/>
      </c>
      <c r="O302" s="78">
        <f>IF(OR($T302="",$U302=""),"",IF(INDEX(Firms!$C$5:$C$1004,$U302)="","",INDEX(Firms!$C$5:$C$1004,$U302)))</f>
        <v/>
      </c>
      <c r="P302" s="79">
        <f>IF(OR($T302="",$U302=""),"",IF(INDEX(Firms!$N$5:$N$1004,$U302)="","",INDEX(Firms!$N$5:$N$1004,$U302)))</f>
        <v/>
      </c>
      <c r="Q302" s="78">
        <f>IF($T302="","",IF($S302="S",IF(INDEX(Firms!$T$5:$T$1004,$T302)="","",INDEX(Firms!$T$5:$T$1004,$T302)),IF(INDEX('AFA Rates'!$M$5:$M$1004,$T302)="","",INDEX('AFA Rates'!$M$5:$M$1004,$T302))))</f>
        <v/>
      </c>
      <c r="S302">
        <f>IF(298&lt;=$S$2,"S",IF(298&lt;=$S$2+$T$2,"A",""))</f>
        <v/>
      </c>
      <c r="T302">
        <f>IF(S302="S",MATCH(298,Firms!$W$5:$W$1004,0),IF(S302="A",IFERROR(MATCH(298-$S$2,'AFA Rates'!$R$5:$R$1004,0),""),""))</f>
        <v/>
      </c>
      <c r="U302">
        <f>IF(S302="S",T302,IF(AND(S302="A",T302&lt;&gt;""),IFERROR(MATCH(INDEX('AFA Rates'!$A$5:$A$1004,T302),Firms!$A$5:$A$1004,0),""),""))</f>
        <v/>
      </c>
    </row>
    <row r="303">
      <c r="A303" s="78">
        <f>IF($T303="","",IF($S303="S",IF(INDEX(Firms!$A$5:$A$1004,$T303)="","",INDEX(Firms!$A$5:$A$1004,$T303)),IF(INDEX('AFA Rates'!$A$5:$A$1004,$T303)="","",INDEX('AFA Rates'!$A$5:$A$1004,$T303))))</f>
        <v/>
      </c>
      <c r="B303" s="79">
        <f>IF(OR($T303="",$U303=""),IF($T303="","","Not on Firms tab"),INDEX(Firms!$B$5:$B$1004,$U303)&amp;"")</f>
        <v/>
      </c>
      <c r="C303" s="78">
        <f>IF($T303="","",IF($S303="S","Standard",INDEX('AFA Rates'!$B$5:$B$1004,$T303)&amp;""))</f>
        <v/>
      </c>
      <c r="D303" s="88">
        <f>IF($T303="","",IF($S303="S",IF(INDEX(Firms!$E$5:$E$1004,$T303)="","",INDEX(Firms!$E$5:$E$1004,$T303)),IF(INDEX('AFA Rates'!$C$5:$C$1004,$T303)="","",INDEX('AFA Rates'!$C$5:$C$1004,$T303))))</f>
        <v/>
      </c>
      <c r="E303" s="88">
        <f>IF($T303="","",IF($S303="S",IF(""="","",""),IF(INDEX('AFA Rates'!$D$5:$D$1004,$T303)="","",INDEX('AFA Rates'!$D$5:$D$1004,$T303))))</f>
        <v/>
      </c>
      <c r="F303" s="79">
        <f>IF($T303="","",IF($S303="S",IF(INDEX(Firms!$O$5:$O$1004,$T303)="","",INDEX(Firms!$O$5:$O$1004,$T303)),IF(INDEX('AFA Rates'!$O$5:$O$1004,$T303)="","",INDEX('AFA Rates'!$O$5:$O$1004,$T303))))</f>
        <v/>
      </c>
      <c r="G303" s="50">
        <f>IF($T303="","",IF($S303="S",IF(INDEX(Firms!$F$5:$F$1004,$T303)="","",INDEX(Firms!$F$5:$F$1004,$T303)),IF(INDEX('AFA Rates'!$E$5:$E$1004,$T303)="","",INDEX('AFA Rates'!$E$5:$E$1004,$T303))))</f>
        <v/>
      </c>
      <c r="H303" s="50">
        <f>IF($T303="","",IF($S303="S",IF(INDEX(Firms!$G$5:$G$1004,$T303)="","",INDEX(Firms!$G$5:$G$1004,$T303)),IF(INDEX('AFA Rates'!$F$5:$F$1004,$T303)="","",INDEX('AFA Rates'!$F$5:$F$1004,$T303))))</f>
        <v/>
      </c>
      <c r="I303" s="50">
        <f>IF($T303="","",IF($S303="S",IF(INDEX(Firms!$H$5:$H$1004,$T303)="","",INDEX(Firms!$H$5:$H$1004,$T303)),IF(INDEX('AFA Rates'!$G$5:$G$1004,$T303)="","",INDEX('AFA Rates'!$G$5:$G$1004,$T303))))</f>
        <v/>
      </c>
      <c r="J303" s="50">
        <f>IF($T303="","",IF($S303="S",IF(INDEX(Firms!$I$5:$I$1004,$T303)="","",INDEX(Firms!$I$5:$I$1004,$T303)),IF(INDEX('AFA Rates'!$H$5:$H$1004,$T303)="","",INDEX('AFA Rates'!$H$5:$H$1004,$T303))))</f>
        <v/>
      </c>
      <c r="K303" s="50">
        <f>IF($T303="","",IF($S303="S",IF(INDEX(Firms!$J$5:$J$1004,$T303)="","",INDEX(Firms!$J$5:$J$1004,$T303)),IF(INDEX('AFA Rates'!$I$5:$I$1004,$T303)="","",INDEX('AFA Rates'!$I$5:$I$1004,$T303))))</f>
        <v/>
      </c>
      <c r="L303" s="50">
        <f>IF($T303="","",IF($S303="S",IF(INDEX(Firms!$K$5:$K$1004,$T303)="","",INDEX(Firms!$K$5:$K$1004,$T303)),IF(INDEX('AFA Rates'!$J$5:$J$1004,$T303)="","",INDEX('AFA Rates'!$J$5:$J$1004,$T303))))</f>
        <v/>
      </c>
      <c r="M303" s="50">
        <f>IF($T303="","",IF($S303="S",IF(INDEX(Firms!$L$5:$L$1004,$T303)="","",INDEX(Firms!$L$5:$L$1004,$T303)),IF(INDEX('AFA Rates'!$K$5:$K$1004,$T303)="","",INDEX('AFA Rates'!$K$5:$K$1004,$T303))))</f>
        <v/>
      </c>
      <c r="N303" s="50">
        <f>IF($T303="","",IF($S303="S",IF(INDEX(Firms!$M$5:$M$1004,$T303)="","",INDEX(Firms!$M$5:$M$1004,$T303)),IF(INDEX('AFA Rates'!$L$5:$L$1004,$T303)="","",INDEX('AFA Rates'!$L$5:$L$1004,$T303))))</f>
        <v/>
      </c>
      <c r="O303" s="78">
        <f>IF(OR($T303="",$U303=""),"",IF(INDEX(Firms!$C$5:$C$1004,$U303)="","",INDEX(Firms!$C$5:$C$1004,$U303)))</f>
        <v/>
      </c>
      <c r="P303" s="79">
        <f>IF(OR($T303="",$U303=""),"",IF(INDEX(Firms!$N$5:$N$1004,$U303)="","",INDEX(Firms!$N$5:$N$1004,$U303)))</f>
        <v/>
      </c>
      <c r="Q303" s="78">
        <f>IF($T303="","",IF($S303="S",IF(INDEX(Firms!$T$5:$T$1004,$T303)="","",INDEX(Firms!$T$5:$T$1004,$T303)),IF(INDEX('AFA Rates'!$M$5:$M$1004,$T303)="","",INDEX('AFA Rates'!$M$5:$M$1004,$T303))))</f>
        <v/>
      </c>
      <c r="S303">
        <f>IF(299&lt;=$S$2,"S",IF(299&lt;=$S$2+$T$2,"A",""))</f>
        <v/>
      </c>
      <c r="T303">
        <f>IF(S303="S",MATCH(299,Firms!$W$5:$W$1004,0),IF(S303="A",IFERROR(MATCH(299-$S$2,'AFA Rates'!$R$5:$R$1004,0),""),""))</f>
        <v/>
      </c>
      <c r="U303">
        <f>IF(S303="S",T303,IF(AND(S303="A",T303&lt;&gt;""),IFERROR(MATCH(INDEX('AFA Rates'!$A$5:$A$1004,T303),Firms!$A$5:$A$1004,0),""),""))</f>
        <v/>
      </c>
    </row>
    <row r="304">
      <c r="A304" s="78">
        <f>IF($T304="","",IF($S304="S",IF(INDEX(Firms!$A$5:$A$1004,$T304)="","",INDEX(Firms!$A$5:$A$1004,$T304)),IF(INDEX('AFA Rates'!$A$5:$A$1004,$T304)="","",INDEX('AFA Rates'!$A$5:$A$1004,$T304))))</f>
        <v/>
      </c>
      <c r="B304" s="79">
        <f>IF(OR($T304="",$U304=""),IF($T304="","","Not on Firms tab"),INDEX(Firms!$B$5:$B$1004,$U304)&amp;"")</f>
        <v/>
      </c>
      <c r="C304" s="78">
        <f>IF($T304="","",IF($S304="S","Standard",INDEX('AFA Rates'!$B$5:$B$1004,$T304)&amp;""))</f>
        <v/>
      </c>
      <c r="D304" s="88">
        <f>IF($T304="","",IF($S304="S",IF(INDEX(Firms!$E$5:$E$1004,$T304)="","",INDEX(Firms!$E$5:$E$1004,$T304)),IF(INDEX('AFA Rates'!$C$5:$C$1004,$T304)="","",INDEX('AFA Rates'!$C$5:$C$1004,$T304))))</f>
        <v/>
      </c>
      <c r="E304" s="88">
        <f>IF($T304="","",IF($S304="S",IF(""="","",""),IF(INDEX('AFA Rates'!$D$5:$D$1004,$T304)="","",INDEX('AFA Rates'!$D$5:$D$1004,$T304))))</f>
        <v/>
      </c>
      <c r="F304" s="79">
        <f>IF($T304="","",IF($S304="S",IF(INDEX(Firms!$O$5:$O$1004,$T304)="","",INDEX(Firms!$O$5:$O$1004,$T304)),IF(INDEX('AFA Rates'!$O$5:$O$1004,$T304)="","",INDEX('AFA Rates'!$O$5:$O$1004,$T304))))</f>
        <v/>
      </c>
      <c r="G304" s="50">
        <f>IF($T304="","",IF($S304="S",IF(INDEX(Firms!$F$5:$F$1004,$T304)="","",INDEX(Firms!$F$5:$F$1004,$T304)),IF(INDEX('AFA Rates'!$E$5:$E$1004,$T304)="","",INDEX('AFA Rates'!$E$5:$E$1004,$T304))))</f>
        <v/>
      </c>
      <c r="H304" s="50">
        <f>IF($T304="","",IF($S304="S",IF(INDEX(Firms!$G$5:$G$1004,$T304)="","",INDEX(Firms!$G$5:$G$1004,$T304)),IF(INDEX('AFA Rates'!$F$5:$F$1004,$T304)="","",INDEX('AFA Rates'!$F$5:$F$1004,$T304))))</f>
        <v/>
      </c>
      <c r="I304" s="50">
        <f>IF($T304="","",IF($S304="S",IF(INDEX(Firms!$H$5:$H$1004,$T304)="","",INDEX(Firms!$H$5:$H$1004,$T304)),IF(INDEX('AFA Rates'!$G$5:$G$1004,$T304)="","",INDEX('AFA Rates'!$G$5:$G$1004,$T304))))</f>
        <v/>
      </c>
      <c r="J304" s="50">
        <f>IF($T304="","",IF($S304="S",IF(INDEX(Firms!$I$5:$I$1004,$T304)="","",INDEX(Firms!$I$5:$I$1004,$T304)),IF(INDEX('AFA Rates'!$H$5:$H$1004,$T304)="","",INDEX('AFA Rates'!$H$5:$H$1004,$T304))))</f>
        <v/>
      </c>
      <c r="K304" s="50">
        <f>IF($T304="","",IF($S304="S",IF(INDEX(Firms!$J$5:$J$1004,$T304)="","",INDEX(Firms!$J$5:$J$1004,$T304)),IF(INDEX('AFA Rates'!$I$5:$I$1004,$T304)="","",INDEX('AFA Rates'!$I$5:$I$1004,$T304))))</f>
        <v/>
      </c>
      <c r="L304" s="50">
        <f>IF($T304="","",IF($S304="S",IF(INDEX(Firms!$K$5:$K$1004,$T304)="","",INDEX(Firms!$K$5:$K$1004,$T304)),IF(INDEX('AFA Rates'!$J$5:$J$1004,$T304)="","",INDEX('AFA Rates'!$J$5:$J$1004,$T304))))</f>
        <v/>
      </c>
      <c r="M304" s="50">
        <f>IF($T304="","",IF($S304="S",IF(INDEX(Firms!$L$5:$L$1004,$T304)="","",INDEX(Firms!$L$5:$L$1004,$T304)),IF(INDEX('AFA Rates'!$K$5:$K$1004,$T304)="","",INDEX('AFA Rates'!$K$5:$K$1004,$T304))))</f>
        <v/>
      </c>
      <c r="N304" s="50">
        <f>IF($T304="","",IF($S304="S",IF(INDEX(Firms!$M$5:$M$1004,$T304)="","",INDEX(Firms!$M$5:$M$1004,$T304)),IF(INDEX('AFA Rates'!$L$5:$L$1004,$T304)="","",INDEX('AFA Rates'!$L$5:$L$1004,$T304))))</f>
        <v/>
      </c>
      <c r="O304" s="78">
        <f>IF(OR($T304="",$U304=""),"",IF(INDEX(Firms!$C$5:$C$1004,$U304)="","",INDEX(Firms!$C$5:$C$1004,$U304)))</f>
        <v/>
      </c>
      <c r="P304" s="79">
        <f>IF(OR($T304="",$U304=""),"",IF(INDEX(Firms!$N$5:$N$1004,$U304)="","",INDEX(Firms!$N$5:$N$1004,$U304)))</f>
        <v/>
      </c>
      <c r="Q304" s="78">
        <f>IF($T304="","",IF($S304="S",IF(INDEX(Firms!$T$5:$T$1004,$T304)="","",INDEX(Firms!$T$5:$T$1004,$T304)),IF(INDEX('AFA Rates'!$M$5:$M$1004,$T304)="","",INDEX('AFA Rates'!$M$5:$M$1004,$T304))))</f>
        <v/>
      </c>
      <c r="S304">
        <f>IF(300&lt;=$S$2,"S",IF(300&lt;=$S$2+$T$2,"A",""))</f>
        <v/>
      </c>
      <c r="T304">
        <f>IF(S304="S",MATCH(300,Firms!$W$5:$W$1004,0),IF(S304="A",IFERROR(MATCH(300-$S$2,'AFA Rates'!$R$5:$R$1004,0),""),""))</f>
        <v/>
      </c>
      <c r="U304">
        <f>IF(S304="S",T304,IF(AND(S304="A",T304&lt;&gt;""),IFERROR(MATCH(INDEX('AFA Rates'!$A$5:$A$1004,T304),Firms!$A$5:$A$1004,0),""),""))</f>
        <v/>
      </c>
    </row>
    <row r="305">
      <c r="A305" s="78">
        <f>IF($T305="","",IF($S305="S",IF(INDEX(Firms!$A$5:$A$1004,$T305)="","",INDEX(Firms!$A$5:$A$1004,$T305)),IF(INDEX('AFA Rates'!$A$5:$A$1004,$T305)="","",INDEX('AFA Rates'!$A$5:$A$1004,$T305))))</f>
        <v/>
      </c>
      <c r="B305" s="79">
        <f>IF(OR($T305="",$U305=""),IF($T305="","","Not on Firms tab"),INDEX(Firms!$B$5:$B$1004,$U305)&amp;"")</f>
        <v/>
      </c>
      <c r="C305" s="78">
        <f>IF($T305="","",IF($S305="S","Standard",INDEX('AFA Rates'!$B$5:$B$1004,$T305)&amp;""))</f>
        <v/>
      </c>
      <c r="D305" s="88">
        <f>IF($T305="","",IF($S305="S",IF(INDEX(Firms!$E$5:$E$1004,$T305)="","",INDEX(Firms!$E$5:$E$1004,$T305)),IF(INDEX('AFA Rates'!$C$5:$C$1004,$T305)="","",INDEX('AFA Rates'!$C$5:$C$1004,$T305))))</f>
        <v/>
      </c>
      <c r="E305" s="88">
        <f>IF($T305="","",IF($S305="S",IF(""="","",""),IF(INDEX('AFA Rates'!$D$5:$D$1004,$T305)="","",INDEX('AFA Rates'!$D$5:$D$1004,$T305))))</f>
        <v/>
      </c>
      <c r="F305" s="79">
        <f>IF($T305="","",IF($S305="S",IF(INDEX(Firms!$O$5:$O$1004,$T305)="","",INDEX(Firms!$O$5:$O$1004,$T305)),IF(INDEX('AFA Rates'!$O$5:$O$1004,$T305)="","",INDEX('AFA Rates'!$O$5:$O$1004,$T305))))</f>
        <v/>
      </c>
      <c r="G305" s="50">
        <f>IF($T305="","",IF($S305="S",IF(INDEX(Firms!$F$5:$F$1004,$T305)="","",INDEX(Firms!$F$5:$F$1004,$T305)),IF(INDEX('AFA Rates'!$E$5:$E$1004,$T305)="","",INDEX('AFA Rates'!$E$5:$E$1004,$T305))))</f>
        <v/>
      </c>
      <c r="H305" s="50">
        <f>IF($T305="","",IF($S305="S",IF(INDEX(Firms!$G$5:$G$1004,$T305)="","",INDEX(Firms!$G$5:$G$1004,$T305)),IF(INDEX('AFA Rates'!$F$5:$F$1004,$T305)="","",INDEX('AFA Rates'!$F$5:$F$1004,$T305))))</f>
        <v/>
      </c>
      <c r="I305" s="50">
        <f>IF($T305="","",IF($S305="S",IF(INDEX(Firms!$H$5:$H$1004,$T305)="","",INDEX(Firms!$H$5:$H$1004,$T305)),IF(INDEX('AFA Rates'!$G$5:$G$1004,$T305)="","",INDEX('AFA Rates'!$G$5:$G$1004,$T305))))</f>
        <v/>
      </c>
      <c r="J305" s="50">
        <f>IF($T305="","",IF($S305="S",IF(INDEX(Firms!$I$5:$I$1004,$T305)="","",INDEX(Firms!$I$5:$I$1004,$T305)),IF(INDEX('AFA Rates'!$H$5:$H$1004,$T305)="","",INDEX('AFA Rates'!$H$5:$H$1004,$T305))))</f>
        <v/>
      </c>
      <c r="K305" s="50">
        <f>IF($T305="","",IF($S305="S",IF(INDEX(Firms!$J$5:$J$1004,$T305)="","",INDEX(Firms!$J$5:$J$1004,$T305)),IF(INDEX('AFA Rates'!$I$5:$I$1004,$T305)="","",INDEX('AFA Rates'!$I$5:$I$1004,$T305))))</f>
        <v/>
      </c>
      <c r="L305" s="50">
        <f>IF($T305="","",IF($S305="S",IF(INDEX(Firms!$K$5:$K$1004,$T305)="","",INDEX(Firms!$K$5:$K$1004,$T305)),IF(INDEX('AFA Rates'!$J$5:$J$1004,$T305)="","",INDEX('AFA Rates'!$J$5:$J$1004,$T305))))</f>
        <v/>
      </c>
      <c r="M305" s="50">
        <f>IF($T305="","",IF($S305="S",IF(INDEX(Firms!$L$5:$L$1004,$T305)="","",INDEX(Firms!$L$5:$L$1004,$T305)),IF(INDEX('AFA Rates'!$K$5:$K$1004,$T305)="","",INDEX('AFA Rates'!$K$5:$K$1004,$T305))))</f>
        <v/>
      </c>
      <c r="N305" s="50">
        <f>IF($T305="","",IF($S305="S",IF(INDEX(Firms!$M$5:$M$1004,$T305)="","",INDEX(Firms!$M$5:$M$1004,$T305)),IF(INDEX('AFA Rates'!$L$5:$L$1004,$T305)="","",INDEX('AFA Rates'!$L$5:$L$1004,$T305))))</f>
        <v/>
      </c>
      <c r="O305" s="78">
        <f>IF(OR($T305="",$U305=""),"",IF(INDEX(Firms!$C$5:$C$1004,$U305)="","",INDEX(Firms!$C$5:$C$1004,$U305)))</f>
        <v/>
      </c>
      <c r="P305" s="79">
        <f>IF(OR($T305="",$U305=""),"",IF(INDEX(Firms!$N$5:$N$1004,$U305)="","",INDEX(Firms!$N$5:$N$1004,$U305)))</f>
        <v/>
      </c>
      <c r="Q305" s="78">
        <f>IF($T305="","",IF($S305="S",IF(INDEX(Firms!$T$5:$T$1004,$T305)="","",INDEX(Firms!$T$5:$T$1004,$T305)),IF(INDEX('AFA Rates'!$M$5:$M$1004,$T305)="","",INDEX('AFA Rates'!$M$5:$M$1004,$T305))))</f>
        <v/>
      </c>
      <c r="S305">
        <f>IF(301&lt;=$S$2,"S",IF(301&lt;=$S$2+$T$2,"A",""))</f>
        <v/>
      </c>
      <c r="T305">
        <f>IF(S305="S",MATCH(301,Firms!$W$5:$W$1004,0),IF(S305="A",IFERROR(MATCH(301-$S$2,'AFA Rates'!$R$5:$R$1004,0),""),""))</f>
        <v/>
      </c>
      <c r="U305">
        <f>IF(S305="S",T305,IF(AND(S305="A",T305&lt;&gt;""),IFERROR(MATCH(INDEX('AFA Rates'!$A$5:$A$1004,T305),Firms!$A$5:$A$1004,0),""),""))</f>
        <v/>
      </c>
    </row>
    <row r="306">
      <c r="A306" s="78">
        <f>IF($T306="","",IF($S306="S",IF(INDEX(Firms!$A$5:$A$1004,$T306)="","",INDEX(Firms!$A$5:$A$1004,$T306)),IF(INDEX('AFA Rates'!$A$5:$A$1004,$T306)="","",INDEX('AFA Rates'!$A$5:$A$1004,$T306))))</f>
        <v/>
      </c>
      <c r="B306" s="79">
        <f>IF(OR($T306="",$U306=""),IF($T306="","","Not on Firms tab"),INDEX(Firms!$B$5:$B$1004,$U306)&amp;"")</f>
        <v/>
      </c>
      <c r="C306" s="78">
        <f>IF($T306="","",IF($S306="S","Standard",INDEX('AFA Rates'!$B$5:$B$1004,$T306)&amp;""))</f>
        <v/>
      </c>
      <c r="D306" s="88">
        <f>IF($T306="","",IF($S306="S",IF(INDEX(Firms!$E$5:$E$1004,$T306)="","",INDEX(Firms!$E$5:$E$1004,$T306)),IF(INDEX('AFA Rates'!$C$5:$C$1004,$T306)="","",INDEX('AFA Rates'!$C$5:$C$1004,$T306))))</f>
        <v/>
      </c>
      <c r="E306" s="88">
        <f>IF($T306="","",IF($S306="S",IF(""="","",""),IF(INDEX('AFA Rates'!$D$5:$D$1004,$T306)="","",INDEX('AFA Rates'!$D$5:$D$1004,$T306))))</f>
        <v/>
      </c>
      <c r="F306" s="79">
        <f>IF($T306="","",IF($S306="S",IF(INDEX(Firms!$O$5:$O$1004,$T306)="","",INDEX(Firms!$O$5:$O$1004,$T306)),IF(INDEX('AFA Rates'!$O$5:$O$1004,$T306)="","",INDEX('AFA Rates'!$O$5:$O$1004,$T306))))</f>
        <v/>
      </c>
      <c r="G306" s="50">
        <f>IF($T306="","",IF($S306="S",IF(INDEX(Firms!$F$5:$F$1004,$T306)="","",INDEX(Firms!$F$5:$F$1004,$T306)),IF(INDEX('AFA Rates'!$E$5:$E$1004,$T306)="","",INDEX('AFA Rates'!$E$5:$E$1004,$T306))))</f>
        <v/>
      </c>
      <c r="H306" s="50">
        <f>IF($T306="","",IF($S306="S",IF(INDEX(Firms!$G$5:$G$1004,$T306)="","",INDEX(Firms!$G$5:$G$1004,$T306)),IF(INDEX('AFA Rates'!$F$5:$F$1004,$T306)="","",INDEX('AFA Rates'!$F$5:$F$1004,$T306))))</f>
        <v/>
      </c>
      <c r="I306" s="50">
        <f>IF($T306="","",IF($S306="S",IF(INDEX(Firms!$H$5:$H$1004,$T306)="","",INDEX(Firms!$H$5:$H$1004,$T306)),IF(INDEX('AFA Rates'!$G$5:$G$1004,$T306)="","",INDEX('AFA Rates'!$G$5:$G$1004,$T306))))</f>
        <v/>
      </c>
      <c r="J306" s="50">
        <f>IF($T306="","",IF($S306="S",IF(INDEX(Firms!$I$5:$I$1004,$T306)="","",INDEX(Firms!$I$5:$I$1004,$T306)),IF(INDEX('AFA Rates'!$H$5:$H$1004,$T306)="","",INDEX('AFA Rates'!$H$5:$H$1004,$T306))))</f>
        <v/>
      </c>
      <c r="K306" s="50">
        <f>IF($T306="","",IF($S306="S",IF(INDEX(Firms!$J$5:$J$1004,$T306)="","",INDEX(Firms!$J$5:$J$1004,$T306)),IF(INDEX('AFA Rates'!$I$5:$I$1004,$T306)="","",INDEX('AFA Rates'!$I$5:$I$1004,$T306))))</f>
        <v/>
      </c>
      <c r="L306" s="50">
        <f>IF($T306="","",IF($S306="S",IF(INDEX(Firms!$K$5:$K$1004,$T306)="","",INDEX(Firms!$K$5:$K$1004,$T306)),IF(INDEX('AFA Rates'!$J$5:$J$1004,$T306)="","",INDEX('AFA Rates'!$J$5:$J$1004,$T306))))</f>
        <v/>
      </c>
      <c r="M306" s="50">
        <f>IF($T306="","",IF($S306="S",IF(INDEX(Firms!$L$5:$L$1004,$T306)="","",INDEX(Firms!$L$5:$L$1004,$T306)),IF(INDEX('AFA Rates'!$K$5:$K$1004,$T306)="","",INDEX('AFA Rates'!$K$5:$K$1004,$T306))))</f>
        <v/>
      </c>
      <c r="N306" s="50">
        <f>IF($T306="","",IF($S306="S",IF(INDEX(Firms!$M$5:$M$1004,$T306)="","",INDEX(Firms!$M$5:$M$1004,$T306)),IF(INDEX('AFA Rates'!$L$5:$L$1004,$T306)="","",INDEX('AFA Rates'!$L$5:$L$1004,$T306))))</f>
        <v/>
      </c>
      <c r="O306" s="78">
        <f>IF(OR($T306="",$U306=""),"",IF(INDEX(Firms!$C$5:$C$1004,$U306)="","",INDEX(Firms!$C$5:$C$1004,$U306)))</f>
        <v/>
      </c>
      <c r="P306" s="79">
        <f>IF(OR($T306="",$U306=""),"",IF(INDEX(Firms!$N$5:$N$1004,$U306)="","",INDEX(Firms!$N$5:$N$1004,$U306)))</f>
        <v/>
      </c>
      <c r="Q306" s="78">
        <f>IF($T306="","",IF($S306="S",IF(INDEX(Firms!$T$5:$T$1004,$T306)="","",INDEX(Firms!$T$5:$T$1004,$T306)),IF(INDEX('AFA Rates'!$M$5:$M$1004,$T306)="","",INDEX('AFA Rates'!$M$5:$M$1004,$T306))))</f>
        <v/>
      </c>
      <c r="S306">
        <f>IF(302&lt;=$S$2,"S",IF(302&lt;=$S$2+$T$2,"A",""))</f>
        <v/>
      </c>
      <c r="T306">
        <f>IF(S306="S",MATCH(302,Firms!$W$5:$W$1004,0),IF(S306="A",IFERROR(MATCH(302-$S$2,'AFA Rates'!$R$5:$R$1004,0),""),""))</f>
        <v/>
      </c>
      <c r="U306">
        <f>IF(S306="S",T306,IF(AND(S306="A",T306&lt;&gt;""),IFERROR(MATCH(INDEX('AFA Rates'!$A$5:$A$1004,T306),Firms!$A$5:$A$1004,0),""),""))</f>
        <v/>
      </c>
    </row>
    <row r="307">
      <c r="A307" s="78">
        <f>IF($T307="","",IF($S307="S",IF(INDEX(Firms!$A$5:$A$1004,$T307)="","",INDEX(Firms!$A$5:$A$1004,$T307)),IF(INDEX('AFA Rates'!$A$5:$A$1004,$T307)="","",INDEX('AFA Rates'!$A$5:$A$1004,$T307))))</f>
        <v/>
      </c>
      <c r="B307" s="79">
        <f>IF(OR($T307="",$U307=""),IF($T307="","","Not on Firms tab"),INDEX(Firms!$B$5:$B$1004,$U307)&amp;"")</f>
        <v/>
      </c>
      <c r="C307" s="78">
        <f>IF($T307="","",IF($S307="S","Standard",INDEX('AFA Rates'!$B$5:$B$1004,$T307)&amp;""))</f>
        <v/>
      </c>
      <c r="D307" s="88">
        <f>IF($T307="","",IF($S307="S",IF(INDEX(Firms!$E$5:$E$1004,$T307)="","",INDEX(Firms!$E$5:$E$1004,$T307)),IF(INDEX('AFA Rates'!$C$5:$C$1004,$T307)="","",INDEX('AFA Rates'!$C$5:$C$1004,$T307))))</f>
        <v/>
      </c>
      <c r="E307" s="88">
        <f>IF($T307="","",IF($S307="S",IF(""="","",""),IF(INDEX('AFA Rates'!$D$5:$D$1004,$T307)="","",INDEX('AFA Rates'!$D$5:$D$1004,$T307))))</f>
        <v/>
      </c>
      <c r="F307" s="79">
        <f>IF($T307="","",IF($S307="S",IF(INDEX(Firms!$O$5:$O$1004,$T307)="","",INDEX(Firms!$O$5:$O$1004,$T307)),IF(INDEX('AFA Rates'!$O$5:$O$1004,$T307)="","",INDEX('AFA Rates'!$O$5:$O$1004,$T307))))</f>
        <v/>
      </c>
      <c r="G307" s="50">
        <f>IF($T307="","",IF($S307="S",IF(INDEX(Firms!$F$5:$F$1004,$T307)="","",INDEX(Firms!$F$5:$F$1004,$T307)),IF(INDEX('AFA Rates'!$E$5:$E$1004,$T307)="","",INDEX('AFA Rates'!$E$5:$E$1004,$T307))))</f>
        <v/>
      </c>
      <c r="H307" s="50">
        <f>IF($T307="","",IF($S307="S",IF(INDEX(Firms!$G$5:$G$1004,$T307)="","",INDEX(Firms!$G$5:$G$1004,$T307)),IF(INDEX('AFA Rates'!$F$5:$F$1004,$T307)="","",INDEX('AFA Rates'!$F$5:$F$1004,$T307))))</f>
        <v/>
      </c>
      <c r="I307" s="50">
        <f>IF($T307="","",IF($S307="S",IF(INDEX(Firms!$H$5:$H$1004,$T307)="","",INDEX(Firms!$H$5:$H$1004,$T307)),IF(INDEX('AFA Rates'!$G$5:$G$1004,$T307)="","",INDEX('AFA Rates'!$G$5:$G$1004,$T307))))</f>
        <v/>
      </c>
      <c r="J307" s="50">
        <f>IF($T307="","",IF($S307="S",IF(INDEX(Firms!$I$5:$I$1004,$T307)="","",INDEX(Firms!$I$5:$I$1004,$T307)),IF(INDEX('AFA Rates'!$H$5:$H$1004,$T307)="","",INDEX('AFA Rates'!$H$5:$H$1004,$T307))))</f>
        <v/>
      </c>
      <c r="K307" s="50">
        <f>IF($T307="","",IF($S307="S",IF(INDEX(Firms!$J$5:$J$1004,$T307)="","",INDEX(Firms!$J$5:$J$1004,$T307)),IF(INDEX('AFA Rates'!$I$5:$I$1004,$T307)="","",INDEX('AFA Rates'!$I$5:$I$1004,$T307))))</f>
        <v/>
      </c>
      <c r="L307" s="50">
        <f>IF($T307="","",IF($S307="S",IF(INDEX(Firms!$K$5:$K$1004,$T307)="","",INDEX(Firms!$K$5:$K$1004,$T307)),IF(INDEX('AFA Rates'!$J$5:$J$1004,$T307)="","",INDEX('AFA Rates'!$J$5:$J$1004,$T307))))</f>
        <v/>
      </c>
      <c r="M307" s="50">
        <f>IF($T307="","",IF($S307="S",IF(INDEX(Firms!$L$5:$L$1004,$T307)="","",INDEX(Firms!$L$5:$L$1004,$T307)),IF(INDEX('AFA Rates'!$K$5:$K$1004,$T307)="","",INDEX('AFA Rates'!$K$5:$K$1004,$T307))))</f>
        <v/>
      </c>
      <c r="N307" s="50">
        <f>IF($T307="","",IF($S307="S",IF(INDEX(Firms!$M$5:$M$1004,$T307)="","",INDEX(Firms!$M$5:$M$1004,$T307)),IF(INDEX('AFA Rates'!$L$5:$L$1004,$T307)="","",INDEX('AFA Rates'!$L$5:$L$1004,$T307))))</f>
        <v/>
      </c>
      <c r="O307" s="78">
        <f>IF(OR($T307="",$U307=""),"",IF(INDEX(Firms!$C$5:$C$1004,$U307)="","",INDEX(Firms!$C$5:$C$1004,$U307)))</f>
        <v/>
      </c>
      <c r="P307" s="79">
        <f>IF(OR($T307="",$U307=""),"",IF(INDEX(Firms!$N$5:$N$1004,$U307)="","",INDEX(Firms!$N$5:$N$1004,$U307)))</f>
        <v/>
      </c>
      <c r="Q307" s="78">
        <f>IF($T307="","",IF($S307="S",IF(INDEX(Firms!$T$5:$T$1004,$T307)="","",INDEX(Firms!$T$5:$T$1004,$T307)),IF(INDEX('AFA Rates'!$M$5:$M$1004,$T307)="","",INDEX('AFA Rates'!$M$5:$M$1004,$T307))))</f>
        <v/>
      </c>
      <c r="S307">
        <f>IF(303&lt;=$S$2,"S",IF(303&lt;=$S$2+$T$2,"A",""))</f>
        <v/>
      </c>
      <c r="T307">
        <f>IF(S307="S",MATCH(303,Firms!$W$5:$W$1004,0),IF(S307="A",IFERROR(MATCH(303-$S$2,'AFA Rates'!$R$5:$R$1004,0),""),""))</f>
        <v/>
      </c>
      <c r="U307">
        <f>IF(S307="S",T307,IF(AND(S307="A",T307&lt;&gt;""),IFERROR(MATCH(INDEX('AFA Rates'!$A$5:$A$1004,T307),Firms!$A$5:$A$1004,0),""),""))</f>
        <v/>
      </c>
    </row>
    <row r="308">
      <c r="A308" s="78">
        <f>IF($T308="","",IF($S308="S",IF(INDEX(Firms!$A$5:$A$1004,$T308)="","",INDEX(Firms!$A$5:$A$1004,$T308)),IF(INDEX('AFA Rates'!$A$5:$A$1004,$T308)="","",INDEX('AFA Rates'!$A$5:$A$1004,$T308))))</f>
        <v/>
      </c>
      <c r="B308" s="79">
        <f>IF(OR($T308="",$U308=""),IF($T308="","","Not on Firms tab"),INDEX(Firms!$B$5:$B$1004,$U308)&amp;"")</f>
        <v/>
      </c>
      <c r="C308" s="78">
        <f>IF($T308="","",IF($S308="S","Standard",INDEX('AFA Rates'!$B$5:$B$1004,$T308)&amp;""))</f>
        <v/>
      </c>
      <c r="D308" s="88">
        <f>IF($T308="","",IF($S308="S",IF(INDEX(Firms!$E$5:$E$1004,$T308)="","",INDEX(Firms!$E$5:$E$1004,$T308)),IF(INDEX('AFA Rates'!$C$5:$C$1004,$T308)="","",INDEX('AFA Rates'!$C$5:$C$1004,$T308))))</f>
        <v/>
      </c>
      <c r="E308" s="88">
        <f>IF($T308="","",IF($S308="S",IF(""="","",""),IF(INDEX('AFA Rates'!$D$5:$D$1004,$T308)="","",INDEX('AFA Rates'!$D$5:$D$1004,$T308))))</f>
        <v/>
      </c>
      <c r="F308" s="79">
        <f>IF($T308="","",IF($S308="S",IF(INDEX(Firms!$O$5:$O$1004,$T308)="","",INDEX(Firms!$O$5:$O$1004,$T308)),IF(INDEX('AFA Rates'!$O$5:$O$1004,$T308)="","",INDEX('AFA Rates'!$O$5:$O$1004,$T308))))</f>
        <v/>
      </c>
      <c r="G308" s="50">
        <f>IF($T308="","",IF($S308="S",IF(INDEX(Firms!$F$5:$F$1004,$T308)="","",INDEX(Firms!$F$5:$F$1004,$T308)),IF(INDEX('AFA Rates'!$E$5:$E$1004,$T308)="","",INDEX('AFA Rates'!$E$5:$E$1004,$T308))))</f>
        <v/>
      </c>
      <c r="H308" s="50">
        <f>IF($T308="","",IF($S308="S",IF(INDEX(Firms!$G$5:$G$1004,$T308)="","",INDEX(Firms!$G$5:$G$1004,$T308)),IF(INDEX('AFA Rates'!$F$5:$F$1004,$T308)="","",INDEX('AFA Rates'!$F$5:$F$1004,$T308))))</f>
        <v/>
      </c>
      <c r="I308" s="50">
        <f>IF($T308="","",IF($S308="S",IF(INDEX(Firms!$H$5:$H$1004,$T308)="","",INDEX(Firms!$H$5:$H$1004,$T308)),IF(INDEX('AFA Rates'!$G$5:$G$1004,$T308)="","",INDEX('AFA Rates'!$G$5:$G$1004,$T308))))</f>
        <v/>
      </c>
      <c r="J308" s="50">
        <f>IF($T308="","",IF($S308="S",IF(INDEX(Firms!$I$5:$I$1004,$T308)="","",INDEX(Firms!$I$5:$I$1004,$T308)),IF(INDEX('AFA Rates'!$H$5:$H$1004,$T308)="","",INDEX('AFA Rates'!$H$5:$H$1004,$T308))))</f>
        <v/>
      </c>
      <c r="K308" s="50">
        <f>IF($T308="","",IF($S308="S",IF(INDEX(Firms!$J$5:$J$1004,$T308)="","",INDEX(Firms!$J$5:$J$1004,$T308)),IF(INDEX('AFA Rates'!$I$5:$I$1004,$T308)="","",INDEX('AFA Rates'!$I$5:$I$1004,$T308))))</f>
        <v/>
      </c>
      <c r="L308" s="50">
        <f>IF($T308="","",IF($S308="S",IF(INDEX(Firms!$K$5:$K$1004,$T308)="","",INDEX(Firms!$K$5:$K$1004,$T308)),IF(INDEX('AFA Rates'!$J$5:$J$1004,$T308)="","",INDEX('AFA Rates'!$J$5:$J$1004,$T308))))</f>
        <v/>
      </c>
      <c r="M308" s="50">
        <f>IF($T308="","",IF($S308="S",IF(INDEX(Firms!$L$5:$L$1004,$T308)="","",INDEX(Firms!$L$5:$L$1004,$T308)),IF(INDEX('AFA Rates'!$K$5:$K$1004,$T308)="","",INDEX('AFA Rates'!$K$5:$K$1004,$T308))))</f>
        <v/>
      </c>
      <c r="N308" s="50">
        <f>IF($T308="","",IF($S308="S",IF(INDEX(Firms!$M$5:$M$1004,$T308)="","",INDEX(Firms!$M$5:$M$1004,$T308)),IF(INDEX('AFA Rates'!$L$5:$L$1004,$T308)="","",INDEX('AFA Rates'!$L$5:$L$1004,$T308))))</f>
        <v/>
      </c>
      <c r="O308" s="78">
        <f>IF(OR($T308="",$U308=""),"",IF(INDEX(Firms!$C$5:$C$1004,$U308)="","",INDEX(Firms!$C$5:$C$1004,$U308)))</f>
        <v/>
      </c>
      <c r="P308" s="79">
        <f>IF(OR($T308="",$U308=""),"",IF(INDEX(Firms!$N$5:$N$1004,$U308)="","",INDEX(Firms!$N$5:$N$1004,$U308)))</f>
        <v/>
      </c>
      <c r="Q308" s="78">
        <f>IF($T308="","",IF($S308="S",IF(INDEX(Firms!$T$5:$T$1004,$T308)="","",INDEX(Firms!$T$5:$T$1004,$T308)),IF(INDEX('AFA Rates'!$M$5:$M$1004,$T308)="","",INDEX('AFA Rates'!$M$5:$M$1004,$T308))))</f>
        <v/>
      </c>
      <c r="S308">
        <f>IF(304&lt;=$S$2,"S",IF(304&lt;=$S$2+$T$2,"A",""))</f>
        <v/>
      </c>
      <c r="T308">
        <f>IF(S308="S",MATCH(304,Firms!$W$5:$W$1004,0),IF(S308="A",IFERROR(MATCH(304-$S$2,'AFA Rates'!$R$5:$R$1004,0),""),""))</f>
        <v/>
      </c>
      <c r="U308">
        <f>IF(S308="S",T308,IF(AND(S308="A",T308&lt;&gt;""),IFERROR(MATCH(INDEX('AFA Rates'!$A$5:$A$1004,T308),Firms!$A$5:$A$1004,0),""),""))</f>
        <v/>
      </c>
    </row>
    <row r="309">
      <c r="A309" s="78">
        <f>IF($T309="","",IF($S309="S",IF(INDEX(Firms!$A$5:$A$1004,$T309)="","",INDEX(Firms!$A$5:$A$1004,$T309)),IF(INDEX('AFA Rates'!$A$5:$A$1004,$T309)="","",INDEX('AFA Rates'!$A$5:$A$1004,$T309))))</f>
        <v/>
      </c>
      <c r="B309" s="79">
        <f>IF(OR($T309="",$U309=""),IF($T309="","","Not on Firms tab"),INDEX(Firms!$B$5:$B$1004,$U309)&amp;"")</f>
        <v/>
      </c>
      <c r="C309" s="78">
        <f>IF($T309="","",IF($S309="S","Standard",INDEX('AFA Rates'!$B$5:$B$1004,$T309)&amp;""))</f>
        <v/>
      </c>
      <c r="D309" s="88">
        <f>IF($T309="","",IF($S309="S",IF(INDEX(Firms!$E$5:$E$1004,$T309)="","",INDEX(Firms!$E$5:$E$1004,$T309)),IF(INDEX('AFA Rates'!$C$5:$C$1004,$T309)="","",INDEX('AFA Rates'!$C$5:$C$1004,$T309))))</f>
        <v/>
      </c>
      <c r="E309" s="88">
        <f>IF($T309="","",IF($S309="S",IF(""="","",""),IF(INDEX('AFA Rates'!$D$5:$D$1004,$T309)="","",INDEX('AFA Rates'!$D$5:$D$1004,$T309))))</f>
        <v/>
      </c>
      <c r="F309" s="79">
        <f>IF($T309="","",IF($S309="S",IF(INDEX(Firms!$O$5:$O$1004,$T309)="","",INDEX(Firms!$O$5:$O$1004,$T309)),IF(INDEX('AFA Rates'!$O$5:$O$1004,$T309)="","",INDEX('AFA Rates'!$O$5:$O$1004,$T309))))</f>
        <v/>
      </c>
      <c r="G309" s="50">
        <f>IF($T309="","",IF($S309="S",IF(INDEX(Firms!$F$5:$F$1004,$T309)="","",INDEX(Firms!$F$5:$F$1004,$T309)),IF(INDEX('AFA Rates'!$E$5:$E$1004,$T309)="","",INDEX('AFA Rates'!$E$5:$E$1004,$T309))))</f>
        <v/>
      </c>
      <c r="H309" s="50">
        <f>IF($T309="","",IF($S309="S",IF(INDEX(Firms!$G$5:$G$1004,$T309)="","",INDEX(Firms!$G$5:$G$1004,$T309)),IF(INDEX('AFA Rates'!$F$5:$F$1004,$T309)="","",INDEX('AFA Rates'!$F$5:$F$1004,$T309))))</f>
        <v/>
      </c>
      <c r="I309" s="50">
        <f>IF($T309="","",IF($S309="S",IF(INDEX(Firms!$H$5:$H$1004,$T309)="","",INDEX(Firms!$H$5:$H$1004,$T309)),IF(INDEX('AFA Rates'!$G$5:$G$1004,$T309)="","",INDEX('AFA Rates'!$G$5:$G$1004,$T309))))</f>
        <v/>
      </c>
      <c r="J309" s="50">
        <f>IF($T309="","",IF($S309="S",IF(INDEX(Firms!$I$5:$I$1004,$T309)="","",INDEX(Firms!$I$5:$I$1004,$T309)),IF(INDEX('AFA Rates'!$H$5:$H$1004,$T309)="","",INDEX('AFA Rates'!$H$5:$H$1004,$T309))))</f>
        <v/>
      </c>
      <c r="K309" s="50">
        <f>IF($T309="","",IF($S309="S",IF(INDEX(Firms!$J$5:$J$1004,$T309)="","",INDEX(Firms!$J$5:$J$1004,$T309)),IF(INDEX('AFA Rates'!$I$5:$I$1004,$T309)="","",INDEX('AFA Rates'!$I$5:$I$1004,$T309))))</f>
        <v/>
      </c>
      <c r="L309" s="50">
        <f>IF($T309="","",IF($S309="S",IF(INDEX(Firms!$K$5:$K$1004,$T309)="","",INDEX(Firms!$K$5:$K$1004,$T309)),IF(INDEX('AFA Rates'!$J$5:$J$1004,$T309)="","",INDEX('AFA Rates'!$J$5:$J$1004,$T309))))</f>
        <v/>
      </c>
      <c r="M309" s="50">
        <f>IF($T309="","",IF($S309="S",IF(INDEX(Firms!$L$5:$L$1004,$T309)="","",INDEX(Firms!$L$5:$L$1004,$T309)),IF(INDEX('AFA Rates'!$K$5:$K$1004,$T309)="","",INDEX('AFA Rates'!$K$5:$K$1004,$T309))))</f>
        <v/>
      </c>
      <c r="N309" s="50">
        <f>IF($T309="","",IF($S309="S",IF(INDEX(Firms!$M$5:$M$1004,$T309)="","",INDEX(Firms!$M$5:$M$1004,$T309)),IF(INDEX('AFA Rates'!$L$5:$L$1004,$T309)="","",INDEX('AFA Rates'!$L$5:$L$1004,$T309))))</f>
        <v/>
      </c>
      <c r="O309" s="78">
        <f>IF(OR($T309="",$U309=""),"",IF(INDEX(Firms!$C$5:$C$1004,$U309)="","",INDEX(Firms!$C$5:$C$1004,$U309)))</f>
        <v/>
      </c>
      <c r="P309" s="79">
        <f>IF(OR($T309="",$U309=""),"",IF(INDEX(Firms!$N$5:$N$1004,$U309)="","",INDEX(Firms!$N$5:$N$1004,$U309)))</f>
        <v/>
      </c>
      <c r="Q309" s="78">
        <f>IF($T309="","",IF($S309="S",IF(INDEX(Firms!$T$5:$T$1004,$T309)="","",INDEX(Firms!$T$5:$T$1004,$T309)),IF(INDEX('AFA Rates'!$M$5:$M$1004,$T309)="","",INDEX('AFA Rates'!$M$5:$M$1004,$T309))))</f>
        <v/>
      </c>
      <c r="S309">
        <f>IF(305&lt;=$S$2,"S",IF(305&lt;=$S$2+$T$2,"A",""))</f>
        <v/>
      </c>
      <c r="T309">
        <f>IF(S309="S",MATCH(305,Firms!$W$5:$W$1004,0),IF(S309="A",IFERROR(MATCH(305-$S$2,'AFA Rates'!$R$5:$R$1004,0),""),""))</f>
        <v/>
      </c>
      <c r="U309">
        <f>IF(S309="S",T309,IF(AND(S309="A",T309&lt;&gt;""),IFERROR(MATCH(INDEX('AFA Rates'!$A$5:$A$1004,T309),Firms!$A$5:$A$1004,0),""),""))</f>
        <v/>
      </c>
    </row>
    <row r="310">
      <c r="A310" s="78">
        <f>IF($T310="","",IF($S310="S",IF(INDEX(Firms!$A$5:$A$1004,$T310)="","",INDEX(Firms!$A$5:$A$1004,$T310)),IF(INDEX('AFA Rates'!$A$5:$A$1004,$T310)="","",INDEX('AFA Rates'!$A$5:$A$1004,$T310))))</f>
        <v/>
      </c>
      <c r="B310" s="79">
        <f>IF(OR($T310="",$U310=""),IF($T310="","","Not on Firms tab"),INDEX(Firms!$B$5:$B$1004,$U310)&amp;"")</f>
        <v/>
      </c>
      <c r="C310" s="78">
        <f>IF($T310="","",IF($S310="S","Standard",INDEX('AFA Rates'!$B$5:$B$1004,$T310)&amp;""))</f>
        <v/>
      </c>
      <c r="D310" s="88">
        <f>IF($T310="","",IF($S310="S",IF(INDEX(Firms!$E$5:$E$1004,$T310)="","",INDEX(Firms!$E$5:$E$1004,$T310)),IF(INDEX('AFA Rates'!$C$5:$C$1004,$T310)="","",INDEX('AFA Rates'!$C$5:$C$1004,$T310))))</f>
        <v/>
      </c>
      <c r="E310" s="88">
        <f>IF($T310="","",IF($S310="S",IF(""="","",""),IF(INDEX('AFA Rates'!$D$5:$D$1004,$T310)="","",INDEX('AFA Rates'!$D$5:$D$1004,$T310))))</f>
        <v/>
      </c>
      <c r="F310" s="79">
        <f>IF($T310="","",IF($S310="S",IF(INDEX(Firms!$O$5:$O$1004,$T310)="","",INDEX(Firms!$O$5:$O$1004,$T310)),IF(INDEX('AFA Rates'!$O$5:$O$1004,$T310)="","",INDEX('AFA Rates'!$O$5:$O$1004,$T310))))</f>
        <v/>
      </c>
      <c r="G310" s="50">
        <f>IF($T310="","",IF($S310="S",IF(INDEX(Firms!$F$5:$F$1004,$T310)="","",INDEX(Firms!$F$5:$F$1004,$T310)),IF(INDEX('AFA Rates'!$E$5:$E$1004,$T310)="","",INDEX('AFA Rates'!$E$5:$E$1004,$T310))))</f>
        <v/>
      </c>
      <c r="H310" s="50">
        <f>IF($T310="","",IF($S310="S",IF(INDEX(Firms!$G$5:$G$1004,$T310)="","",INDEX(Firms!$G$5:$G$1004,$T310)),IF(INDEX('AFA Rates'!$F$5:$F$1004,$T310)="","",INDEX('AFA Rates'!$F$5:$F$1004,$T310))))</f>
        <v/>
      </c>
      <c r="I310" s="50">
        <f>IF($T310="","",IF($S310="S",IF(INDEX(Firms!$H$5:$H$1004,$T310)="","",INDEX(Firms!$H$5:$H$1004,$T310)),IF(INDEX('AFA Rates'!$G$5:$G$1004,$T310)="","",INDEX('AFA Rates'!$G$5:$G$1004,$T310))))</f>
        <v/>
      </c>
      <c r="J310" s="50">
        <f>IF($T310="","",IF($S310="S",IF(INDEX(Firms!$I$5:$I$1004,$T310)="","",INDEX(Firms!$I$5:$I$1004,$T310)),IF(INDEX('AFA Rates'!$H$5:$H$1004,$T310)="","",INDEX('AFA Rates'!$H$5:$H$1004,$T310))))</f>
        <v/>
      </c>
      <c r="K310" s="50">
        <f>IF($T310="","",IF($S310="S",IF(INDEX(Firms!$J$5:$J$1004,$T310)="","",INDEX(Firms!$J$5:$J$1004,$T310)),IF(INDEX('AFA Rates'!$I$5:$I$1004,$T310)="","",INDEX('AFA Rates'!$I$5:$I$1004,$T310))))</f>
        <v/>
      </c>
      <c r="L310" s="50">
        <f>IF($T310="","",IF($S310="S",IF(INDEX(Firms!$K$5:$K$1004,$T310)="","",INDEX(Firms!$K$5:$K$1004,$T310)),IF(INDEX('AFA Rates'!$J$5:$J$1004,$T310)="","",INDEX('AFA Rates'!$J$5:$J$1004,$T310))))</f>
        <v/>
      </c>
      <c r="M310" s="50">
        <f>IF($T310="","",IF($S310="S",IF(INDEX(Firms!$L$5:$L$1004,$T310)="","",INDEX(Firms!$L$5:$L$1004,$T310)),IF(INDEX('AFA Rates'!$K$5:$K$1004,$T310)="","",INDEX('AFA Rates'!$K$5:$K$1004,$T310))))</f>
        <v/>
      </c>
      <c r="N310" s="50">
        <f>IF($T310="","",IF($S310="S",IF(INDEX(Firms!$M$5:$M$1004,$T310)="","",INDEX(Firms!$M$5:$M$1004,$T310)),IF(INDEX('AFA Rates'!$L$5:$L$1004,$T310)="","",INDEX('AFA Rates'!$L$5:$L$1004,$T310))))</f>
        <v/>
      </c>
      <c r="O310" s="78">
        <f>IF(OR($T310="",$U310=""),"",IF(INDEX(Firms!$C$5:$C$1004,$U310)="","",INDEX(Firms!$C$5:$C$1004,$U310)))</f>
        <v/>
      </c>
      <c r="P310" s="79">
        <f>IF(OR($T310="",$U310=""),"",IF(INDEX(Firms!$N$5:$N$1004,$U310)="","",INDEX(Firms!$N$5:$N$1004,$U310)))</f>
        <v/>
      </c>
      <c r="Q310" s="78">
        <f>IF($T310="","",IF($S310="S",IF(INDEX(Firms!$T$5:$T$1004,$T310)="","",INDEX(Firms!$T$5:$T$1004,$T310)),IF(INDEX('AFA Rates'!$M$5:$M$1004,$T310)="","",INDEX('AFA Rates'!$M$5:$M$1004,$T310))))</f>
        <v/>
      </c>
      <c r="S310">
        <f>IF(306&lt;=$S$2,"S",IF(306&lt;=$S$2+$T$2,"A",""))</f>
        <v/>
      </c>
      <c r="T310">
        <f>IF(S310="S",MATCH(306,Firms!$W$5:$W$1004,0),IF(S310="A",IFERROR(MATCH(306-$S$2,'AFA Rates'!$R$5:$R$1004,0),""),""))</f>
        <v/>
      </c>
      <c r="U310">
        <f>IF(S310="S",T310,IF(AND(S310="A",T310&lt;&gt;""),IFERROR(MATCH(INDEX('AFA Rates'!$A$5:$A$1004,T310),Firms!$A$5:$A$1004,0),""),""))</f>
        <v/>
      </c>
    </row>
    <row r="311">
      <c r="A311" s="78">
        <f>IF($T311="","",IF($S311="S",IF(INDEX(Firms!$A$5:$A$1004,$T311)="","",INDEX(Firms!$A$5:$A$1004,$T311)),IF(INDEX('AFA Rates'!$A$5:$A$1004,$T311)="","",INDEX('AFA Rates'!$A$5:$A$1004,$T311))))</f>
        <v/>
      </c>
      <c r="B311" s="79">
        <f>IF(OR($T311="",$U311=""),IF($T311="","","Not on Firms tab"),INDEX(Firms!$B$5:$B$1004,$U311)&amp;"")</f>
        <v/>
      </c>
      <c r="C311" s="78">
        <f>IF($T311="","",IF($S311="S","Standard",INDEX('AFA Rates'!$B$5:$B$1004,$T311)&amp;""))</f>
        <v/>
      </c>
      <c r="D311" s="88">
        <f>IF($T311="","",IF($S311="S",IF(INDEX(Firms!$E$5:$E$1004,$T311)="","",INDEX(Firms!$E$5:$E$1004,$T311)),IF(INDEX('AFA Rates'!$C$5:$C$1004,$T311)="","",INDEX('AFA Rates'!$C$5:$C$1004,$T311))))</f>
        <v/>
      </c>
      <c r="E311" s="88">
        <f>IF($T311="","",IF($S311="S",IF(""="","",""),IF(INDEX('AFA Rates'!$D$5:$D$1004,$T311)="","",INDEX('AFA Rates'!$D$5:$D$1004,$T311))))</f>
        <v/>
      </c>
      <c r="F311" s="79">
        <f>IF($T311="","",IF($S311="S",IF(INDEX(Firms!$O$5:$O$1004,$T311)="","",INDEX(Firms!$O$5:$O$1004,$T311)),IF(INDEX('AFA Rates'!$O$5:$O$1004,$T311)="","",INDEX('AFA Rates'!$O$5:$O$1004,$T311))))</f>
        <v/>
      </c>
      <c r="G311" s="50">
        <f>IF($T311="","",IF($S311="S",IF(INDEX(Firms!$F$5:$F$1004,$T311)="","",INDEX(Firms!$F$5:$F$1004,$T311)),IF(INDEX('AFA Rates'!$E$5:$E$1004,$T311)="","",INDEX('AFA Rates'!$E$5:$E$1004,$T311))))</f>
        <v/>
      </c>
      <c r="H311" s="50">
        <f>IF($T311="","",IF($S311="S",IF(INDEX(Firms!$G$5:$G$1004,$T311)="","",INDEX(Firms!$G$5:$G$1004,$T311)),IF(INDEX('AFA Rates'!$F$5:$F$1004,$T311)="","",INDEX('AFA Rates'!$F$5:$F$1004,$T311))))</f>
        <v/>
      </c>
      <c r="I311" s="50">
        <f>IF($T311="","",IF($S311="S",IF(INDEX(Firms!$H$5:$H$1004,$T311)="","",INDEX(Firms!$H$5:$H$1004,$T311)),IF(INDEX('AFA Rates'!$G$5:$G$1004,$T311)="","",INDEX('AFA Rates'!$G$5:$G$1004,$T311))))</f>
        <v/>
      </c>
      <c r="J311" s="50">
        <f>IF($T311="","",IF($S311="S",IF(INDEX(Firms!$I$5:$I$1004,$T311)="","",INDEX(Firms!$I$5:$I$1004,$T311)),IF(INDEX('AFA Rates'!$H$5:$H$1004,$T311)="","",INDEX('AFA Rates'!$H$5:$H$1004,$T311))))</f>
        <v/>
      </c>
      <c r="K311" s="50">
        <f>IF($T311="","",IF($S311="S",IF(INDEX(Firms!$J$5:$J$1004,$T311)="","",INDEX(Firms!$J$5:$J$1004,$T311)),IF(INDEX('AFA Rates'!$I$5:$I$1004,$T311)="","",INDEX('AFA Rates'!$I$5:$I$1004,$T311))))</f>
        <v/>
      </c>
      <c r="L311" s="50">
        <f>IF($T311="","",IF($S311="S",IF(INDEX(Firms!$K$5:$K$1004,$T311)="","",INDEX(Firms!$K$5:$K$1004,$T311)),IF(INDEX('AFA Rates'!$J$5:$J$1004,$T311)="","",INDEX('AFA Rates'!$J$5:$J$1004,$T311))))</f>
        <v/>
      </c>
      <c r="M311" s="50">
        <f>IF($T311="","",IF($S311="S",IF(INDEX(Firms!$L$5:$L$1004,$T311)="","",INDEX(Firms!$L$5:$L$1004,$T311)),IF(INDEX('AFA Rates'!$K$5:$K$1004,$T311)="","",INDEX('AFA Rates'!$K$5:$K$1004,$T311))))</f>
        <v/>
      </c>
      <c r="N311" s="50">
        <f>IF($T311="","",IF($S311="S",IF(INDEX(Firms!$M$5:$M$1004,$T311)="","",INDEX(Firms!$M$5:$M$1004,$T311)),IF(INDEX('AFA Rates'!$L$5:$L$1004,$T311)="","",INDEX('AFA Rates'!$L$5:$L$1004,$T311))))</f>
        <v/>
      </c>
      <c r="O311" s="78">
        <f>IF(OR($T311="",$U311=""),"",IF(INDEX(Firms!$C$5:$C$1004,$U311)="","",INDEX(Firms!$C$5:$C$1004,$U311)))</f>
        <v/>
      </c>
      <c r="P311" s="79">
        <f>IF(OR($T311="",$U311=""),"",IF(INDEX(Firms!$N$5:$N$1004,$U311)="","",INDEX(Firms!$N$5:$N$1004,$U311)))</f>
        <v/>
      </c>
      <c r="Q311" s="78">
        <f>IF($T311="","",IF($S311="S",IF(INDEX(Firms!$T$5:$T$1004,$T311)="","",INDEX(Firms!$T$5:$T$1004,$T311)),IF(INDEX('AFA Rates'!$M$5:$M$1004,$T311)="","",INDEX('AFA Rates'!$M$5:$M$1004,$T311))))</f>
        <v/>
      </c>
      <c r="S311">
        <f>IF(307&lt;=$S$2,"S",IF(307&lt;=$S$2+$T$2,"A",""))</f>
        <v/>
      </c>
      <c r="T311">
        <f>IF(S311="S",MATCH(307,Firms!$W$5:$W$1004,0),IF(S311="A",IFERROR(MATCH(307-$S$2,'AFA Rates'!$R$5:$R$1004,0),""),""))</f>
        <v/>
      </c>
      <c r="U311">
        <f>IF(S311="S",T311,IF(AND(S311="A",T311&lt;&gt;""),IFERROR(MATCH(INDEX('AFA Rates'!$A$5:$A$1004,T311),Firms!$A$5:$A$1004,0),""),""))</f>
        <v/>
      </c>
    </row>
    <row r="312">
      <c r="A312" s="78">
        <f>IF($T312="","",IF($S312="S",IF(INDEX(Firms!$A$5:$A$1004,$T312)="","",INDEX(Firms!$A$5:$A$1004,$T312)),IF(INDEX('AFA Rates'!$A$5:$A$1004,$T312)="","",INDEX('AFA Rates'!$A$5:$A$1004,$T312))))</f>
        <v/>
      </c>
      <c r="B312" s="79">
        <f>IF(OR($T312="",$U312=""),IF($T312="","","Not on Firms tab"),INDEX(Firms!$B$5:$B$1004,$U312)&amp;"")</f>
        <v/>
      </c>
      <c r="C312" s="78">
        <f>IF($T312="","",IF($S312="S","Standard",INDEX('AFA Rates'!$B$5:$B$1004,$T312)&amp;""))</f>
        <v/>
      </c>
      <c r="D312" s="88">
        <f>IF($T312="","",IF($S312="S",IF(INDEX(Firms!$E$5:$E$1004,$T312)="","",INDEX(Firms!$E$5:$E$1004,$T312)),IF(INDEX('AFA Rates'!$C$5:$C$1004,$T312)="","",INDEX('AFA Rates'!$C$5:$C$1004,$T312))))</f>
        <v/>
      </c>
      <c r="E312" s="88">
        <f>IF($T312="","",IF($S312="S",IF(""="","",""),IF(INDEX('AFA Rates'!$D$5:$D$1004,$T312)="","",INDEX('AFA Rates'!$D$5:$D$1004,$T312))))</f>
        <v/>
      </c>
      <c r="F312" s="79">
        <f>IF($T312="","",IF($S312="S",IF(INDEX(Firms!$O$5:$O$1004,$T312)="","",INDEX(Firms!$O$5:$O$1004,$T312)),IF(INDEX('AFA Rates'!$O$5:$O$1004,$T312)="","",INDEX('AFA Rates'!$O$5:$O$1004,$T312))))</f>
        <v/>
      </c>
      <c r="G312" s="50">
        <f>IF($T312="","",IF($S312="S",IF(INDEX(Firms!$F$5:$F$1004,$T312)="","",INDEX(Firms!$F$5:$F$1004,$T312)),IF(INDEX('AFA Rates'!$E$5:$E$1004,$T312)="","",INDEX('AFA Rates'!$E$5:$E$1004,$T312))))</f>
        <v/>
      </c>
      <c r="H312" s="50">
        <f>IF($T312="","",IF($S312="S",IF(INDEX(Firms!$G$5:$G$1004,$T312)="","",INDEX(Firms!$G$5:$G$1004,$T312)),IF(INDEX('AFA Rates'!$F$5:$F$1004,$T312)="","",INDEX('AFA Rates'!$F$5:$F$1004,$T312))))</f>
        <v/>
      </c>
      <c r="I312" s="50">
        <f>IF($T312="","",IF($S312="S",IF(INDEX(Firms!$H$5:$H$1004,$T312)="","",INDEX(Firms!$H$5:$H$1004,$T312)),IF(INDEX('AFA Rates'!$G$5:$G$1004,$T312)="","",INDEX('AFA Rates'!$G$5:$G$1004,$T312))))</f>
        <v/>
      </c>
      <c r="J312" s="50">
        <f>IF($T312="","",IF($S312="S",IF(INDEX(Firms!$I$5:$I$1004,$T312)="","",INDEX(Firms!$I$5:$I$1004,$T312)),IF(INDEX('AFA Rates'!$H$5:$H$1004,$T312)="","",INDEX('AFA Rates'!$H$5:$H$1004,$T312))))</f>
        <v/>
      </c>
      <c r="K312" s="50">
        <f>IF($T312="","",IF($S312="S",IF(INDEX(Firms!$J$5:$J$1004,$T312)="","",INDEX(Firms!$J$5:$J$1004,$T312)),IF(INDEX('AFA Rates'!$I$5:$I$1004,$T312)="","",INDEX('AFA Rates'!$I$5:$I$1004,$T312))))</f>
        <v/>
      </c>
      <c r="L312" s="50">
        <f>IF($T312="","",IF($S312="S",IF(INDEX(Firms!$K$5:$K$1004,$T312)="","",INDEX(Firms!$K$5:$K$1004,$T312)),IF(INDEX('AFA Rates'!$J$5:$J$1004,$T312)="","",INDEX('AFA Rates'!$J$5:$J$1004,$T312))))</f>
        <v/>
      </c>
      <c r="M312" s="50">
        <f>IF($T312="","",IF($S312="S",IF(INDEX(Firms!$L$5:$L$1004,$T312)="","",INDEX(Firms!$L$5:$L$1004,$T312)),IF(INDEX('AFA Rates'!$K$5:$K$1004,$T312)="","",INDEX('AFA Rates'!$K$5:$K$1004,$T312))))</f>
        <v/>
      </c>
      <c r="N312" s="50">
        <f>IF($T312="","",IF($S312="S",IF(INDEX(Firms!$M$5:$M$1004,$T312)="","",INDEX(Firms!$M$5:$M$1004,$T312)),IF(INDEX('AFA Rates'!$L$5:$L$1004,$T312)="","",INDEX('AFA Rates'!$L$5:$L$1004,$T312))))</f>
        <v/>
      </c>
      <c r="O312" s="78">
        <f>IF(OR($T312="",$U312=""),"",IF(INDEX(Firms!$C$5:$C$1004,$U312)="","",INDEX(Firms!$C$5:$C$1004,$U312)))</f>
        <v/>
      </c>
      <c r="P312" s="79">
        <f>IF(OR($T312="",$U312=""),"",IF(INDEX(Firms!$N$5:$N$1004,$U312)="","",INDEX(Firms!$N$5:$N$1004,$U312)))</f>
        <v/>
      </c>
      <c r="Q312" s="78">
        <f>IF($T312="","",IF($S312="S",IF(INDEX(Firms!$T$5:$T$1004,$T312)="","",INDEX(Firms!$T$5:$T$1004,$T312)),IF(INDEX('AFA Rates'!$M$5:$M$1004,$T312)="","",INDEX('AFA Rates'!$M$5:$M$1004,$T312))))</f>
        <v/>
      </c>
      <c r="S312">
        <f>IF(308&lt;=$S$2,"S",IF(308&lt;=$S$2+$T$2,"A",""))</f>
        <v/>
      </c>
      <c r="T312">
        <f>IF(S312="S",MATCH(308,Firms!$W$5:$W$1004,0),IF(S312="A",IFERROR(MATCH(308-$S$2,'AFA Rates'!$R$5:$R$1004,0),""),""))</f>
        <v/>
      </c>
      <c r="U312">
        <f>IF(S312="S",T312,IF(AND(S312="A",T312&lt;&gt;""),IFERROR(MATCH(INDEX('AFA Rates'!$A$5:$A$1004,T312),Firms!$A$5:$A$1004,0),""),""))</f>
        <v/>
      </c>
    </row>
    <row r="313">
      <c r="A313" s="78">
        <f>IF($T313="","",IF($S313="S",IF(INDEX(Firms!$A$5:$A$1004,$T313)="","",INDEX(Firms!$A$5:$A$1004,$T313)),IF(INDEX('AFA Rates'!$A$5:$A$1004,$T313)="","",INDEX('AFA Rates'!$A$5:$A$1004,$T313))))</f>
        <v/>
      </c>
      <c r="B313" s="79">
        <f>IF(OR($T313="",$U313=""),IF($T313="","","Not on Firms tab"),INDEX(Firms!$B$5:$B$1004,$U313)&amp;"")</f>
        <v/>
      </c>
      <c r="C313" s="78">
        <f>IF($T313="","",IF($S313="S","Standard",INDEX('AFA Rates'!$B$5:$B$1004,$T313)&amp;""))</f>
        <v/>
      </c>
      <c r="D313" s="88">
        <f>IF($T313="","",IF($S313="S",IF(INDEX(Firms!$E$5:$E$1004,$T313)="","",INDEX(Firms!$E$5:$E$1004,$T313)),IF(INDEX('AFA Rates'!$C$5:$C$1004,$T313)="","",INDEX('AFA Rates'!$C$5:$C$1004,$T313))))</f>
        <v/>
      </c>
      <c r="E313" s="88">
        <f>IF($T313="","",IF($S313="S",IF(""="","",""),IF(INDEX('AFA Rates'!$D$5:$D$1004,$T313)="","",INDEX('AFA Rates'!$D$5:$D$1004,$T313))))</f>
        <v/>
      </c>
      <c r="F313" s="79">
        <f>IF($T313="","",IF($S313="S",IF(INDEX(Firms!$O$5:$O$1004,$T313)="","",INDEX(Firms!$O$5:$O$1004,$T313)),IF(INDEX('AFA Rates'!$O$5:$O$1004,$T313)="","",INDEX('AFA Rates'!$O$5:$O$1004,$T313))))</f>
        <v/>
      </c>
      <c r="G313" s="50">
        <f>IF($T313="","",IF($S313="S",IF(INDEX(Firms!$F$5:$F$1004,$T313)="","",INDEX(Firms!$F$5:$F$1004,$T313)),IF(INDEX('AFA Rates'!$E$5:$E$1004,$T313)="","",INDEX('AFA Rates'!$E$5:$E$1004,$T313))))</f>
        <v/>
      </c>
      <c r="H313" s="50">
        <f>IF($T313="","",IF($S313="S",IF(INDEX(Firms!$G$5:$G$1004,$T313)="","",INDEX(Firms!$G$5:$G$1004,$T313)),IF(INDEX('AFA Rates'!$F$5:$F$1004,$T313)="","",INDEX('AFA Rates'!$F$5:$F$1004,$T313))))</f>
        <v/>
      </c>
      <c r="I313" s="50">
        <f>IF($T313="","",IF($S313="S",IF(INDEX(Firms!$H$5:$H$1004,$T313)="","",INDEX(Firms!$H$5:$H$1004,$T313)),IF(INDEX('AFA Rates'!$G$5:$G$1004,$T313)="","",INDEX('AFA Rates'!$G$5:$G$1004,$T313))))</f>
        <v/>
      </c>
      <c r="J313" s="50">
        <f>IF($T313="","",IF($S313="S",IF(INDEX(Firms!$I$5:$I$1004,$T313)="","",INDEX(Firms!$I$5:$I$1004,$T313)),IF(INDEX('AFA Rates'!$H$5:$H$1004,$T313)="","",INDEX('AFA Rates'!$H$5:$H$1004,$T313))))</f>
        <v/>
      </c>
      <c r="K313" s="50">
        <f>IF($T313="","",IF($S313="S",IF(INDEX(Firms!$J$5:$J$1004,$T313)="","",INDEX(Firms!$J$5:$J$1004,$T313)),IF(INDEX('AFA Rates'!$I$5:$I$1004,$T313)="","",INDEX('AFA Rates'!$I$5:$I$1004,$T313))))</f>
        <v/>
      </c>
      <c r="L313" s="50">
        <f>IF($T313="","",IF($S313="S",IF(INDEX(Firms!$K$5:$K$1004,$T313)="","",INDEX(Firms!$K$5:$K$1004,$T313)),IF(INDEX('AFA Rates'!$J$5:$J$1004,$T313)="","",INDEX('AFA Rates'!$J$5:$J$1004,$T313))))</f>
        <v/>
      </c>
      <c r="M313" s="50">
        <f>IF($T313="","",IF($S313="S",IF(INDEX(Firms!$L$5:$L$1004,$T313)="","",INDEX(Firms!$L$5:$L$1004,$T313)),IF(INDEX('AFA Rates'!$K$5:$K$1004,$T313)="","",INDEX('AFA Rates'!$K$5:$K$1004,$T313))))</f>
        <v/>
      </c>
      <c r="N313" s="50">
        <f>IF($T313="","",IF($S313="S",IF(INDEX(Firms!$M$5:$M$1004,$T313)="","",INDEX(Firms!$M$5:$M$1004,$T313)),IF(INDEX('AFA Rates'!$L$5:$L$1004,$T313)="","",INDEX('AFA Rates'!$L$5:$L$1004,$T313))))</f>
        <v/>
      </c>
      <c r="O313" s="78">
        <f>IF(OR($T313="",$U313=""),"",IF(INDEX(Firms!$C$5:$C$1004,$U313)="","",INDEX(Firms!$C$5:$C$1004,$U313)))</f>
        <v/>
      </c>
      <c r="P313" s="79">
        <f>IF(OR($T313="",$U313=""),"",IF(INDEX(Firms!$N$5:$N$1004,$U313)="","",INDEX(Firms!$N$5:$N$1004,$U313)))</f>
        <v/>
      </c>
      <c r="Q313" s="78">
        <f>IF($T313="","",IF($S313="S",IF(INDEX(Firms!$T$5:$T$1004,$T313)="","",INDEX(Firms!$T$5:$T$1004,$T313)),IF(INDEX('AFA Rates'!$M$5:$M$1004,$T313)="","",INDEX('AFA Rates'!$M$5:$M$1004,$T313))))</f>
        <v/>
      </c>
      <c r="S313">
        <f>IF(309&lt;=$S$2,"S",IF(309&lt;=$S$2+$T$2,"A",""))</f>
        <v/>
      </c>
      <c r="T313">
        <f>IF(S313="S",MATCH(309,Firms!$W$5:$W$1004,0),IF(S313="A",IFERROR(MATCH(309-$S$2,'AFA Rates'!$R$5:$R$1004,0),""),""))</f>
        <v/>
      </c>
      <c r="U313">
        <f>IF(S313="S",T313,IF(AND(S313="A",T313&lt;&gt;""),IFERROR(MATCH(INDEX('AFA Rates'!$A$5:$A$1004,T313),Firms!$A$5:$A$1004,0),""),""))</f>
        <v/>
      </c>
    </row>
    <row r="314">
      <c r="A314" s="78">
        <f>IF($T314="","",IF($S314="S",IF(INDEX(Firms!$A$5:$A$1004,$T314)="","",INDEX(Firms!$A$5:$A$1004,$T314)),IF(INDEX('AFA Rates'!$A$5:$A$1004,$T314)="","",INDEX('AFA Rates'!$A$5:$A$1004,$T314))))</f>
        <v/>
      </c>
      <c r="B314" s="79">
        <f>IF(OR($T314="",$U314=""),IF($T314="","","Not on Firms tab"),INDEX(Firms!$B$5:$B$1004,$U314)&amp;"")</f>
        <v/>
      </c>
      <c r="C314" s="78">
        <f>IF($T314="","",IF($S314="S","Standard",INDEX('AFA Rates'!$B$5:$B$1004,$T314)&amp;""))</f>
        <v/>
      </c>
      <c r="D314" s="88">
        <f>IF($T314="","",IF($S314="S",IF(INDEX(Firms!$E$5:$E$1004,$T314)="","",INDEX(Firms!$E$5:$E$1004,$T314)),IF(INDEX('AFA Rates'!$C$5:$C$1004,$T314)="","",INDEX('AFA Rates'!$C$5:$C$1004,$T314))))</f>
        <v/>
      </c>
      <c r="E314" s="88">
        <f>IF($T314="","",IF($S314="S",IF(""="","",""),IF(INDEX('AFA Rates'!$D$5:$D$1004,$T314)="","",INDEX('AFA Rates'!$D$5:$D$1004,$T314))))</f>
        <v/>
      </c>
      <c r="F314" s="79">
        <f>IF($T314="","",IF($S314="S",IF(INDEX(Firms!$O$5:$O$1004,$T314)="","",INDEX(Firms!$O$5:$O$1004,$T314)),IF(INDEX('AFA Rates'!$O$5:$O$1004,$T314)="","",INDEX('AFA Rates'!$O$5:$O$1004,$T314))))</f>
        <v/>
      </c>
      <c r="G314" s="50">
        <f>IF($T314="","",IF($S314="S",IF(INDEX(Firms!$F$5:$F$1004,$T314)="","",INDEX(Firms!$F$5:$F$1004,$T314)),IF(INDEX('AFA Rates'!$E$5:$E$1004,$T314)="","",INDEX('AFA Rates'!$E$5:$E$1004,$T314))))</f>
        <v/>
      </c>
      <c r="H314" s="50">
        <f>IF($T314="","",IF($S314="S",IF(INDEX(Firms!$G$5:$G$1004,$T314)="","",INDEX(Firms!$G$5:$G$1004,$T314)),IF(INDEX('AFA Rates'!$F$5:$F$1004,$T314)="","",INDEX('AFA Rates'!$F$5:$F$1004,$T314))))</f>
        <v/>
      </c>
      <c r="I314" s="50">
        <f>IF($T314="","",IF($S314="S",IF(INDEX(Firms!$H$5:$H$1004,$T314)="","",INDEX(Firms!$H$5:$H$1004,$T314)),IF(INDEX('AFA Rates'!$G$5:$G$1004,$T314)="","",INDEX('AFA Rates'!$G$5:$G$1004,$T314))))</f>
        <v/>
      </c>
      <c r="J314" s="50">
        <f>IF($T314="","",IF($S314="S",IF(INDEX(Firms!$I$5:$I$1004,$T314)="","",INDEX(Firms!$I$5:$I$1004,$T314)),IF(INDEX('AFA Rates'!$H$5:$H$1004,$T314)="","",INDEX('AFA Rates'!$H$5:$H$1004,$T314))))</f>
        <v/>
      </c>
      <c r="K314" s="50">
        <f>IF($T314="","",IF($S314="S",IF(INDEX(Firms!$J$5:$J$1004,$T314)="","",INDEX(Firms!$J$5:$J$1004,$T314)),IF(INDEX('AFA Rates'!$I$5:$I$1004,$T314)="","",INDEX('AFA Rates'!$I$5:$I$1004,$T314))))</f>
        <v/>
      </c>
      <c r="L314" s="50">
        <f>IF($T314="","",IF($S314="S",IF(INDEX(Firms!$K$5:$K$1004,$T314)="","",INDEX(Firms!$K$5:$K$1004,$T314)),IF(INDEX('AFA Rates'!$J$5:$J$1004,$T314)="","",INDEX('AFA Rates'!$J$5:$J$1004,$T314))))</f>
        <v/>
      </c>
      <c r="M314" s="50">
        <f>IF($T314="","",IF($S314="S",IF(INDEX(Firms!$L$5:$L$1004,$T314)="","",INDEX(Firms!$L$5:$L$1004,$T314)),IF(INDEX('AFA Rates'!$K$5:$K$1004,$T314)="","",INDEX('AFA Rates'!$K$5:$K$1004,$T314))))</f>
        <v/>
      </c>
      <c r="N314" s="50">
        <f>IF($T314="","",IF($S314="S",IF(INDEX(Firms!$M$5:$M$1004,$T314)="","",INDEX(Firms!$M$5:$M$1004,$T314)),IF(INDEX('AFA Rates'!$L$5:$L$1004,$T314)="","",INDEX('AFA Rates'!$L$5:$L$1004,$T314))))</f>
        <v/>
      </c>
      <c r="O314" s="78">
        <f>IF(OR($T314="",$U314=""),"",IF(INDEX(Firms!$C$5:$C$1004,$U314)="","",INDEX(Firms!$C$5:$C$1004,$U314)))</f>
        <v/>
      </c>
      <c r="P314" s="79">
        <f>IF(OR($T314="",$U314=""),"",IF(INDEX(Firms!$N$5:$N$1004,$U314)="","",INDEX(Firms!$N$5:$N$1004,$U314)))</f>
        <v/>
      </c>
      <c r="Q314" s="78">
        <f>IF($T314="","",IF($S314="S",IF(INDEX(Firms!$T$5:$T$1004,$T314)="","",INDEX(Firms!$T$5:$T$1004,$T314)),IF(INDEX('AFA Rates'!$M$5:$M$1004,$T314)="","",INDEX('AFA Rates'!$M$5:$M$1004,$T314))))</f>
        <v/>
      </c>
      <c r="S314">
        <f>IF(310&lt;=$S$2,"S",IF(310&lt;=$S$2+$T$2,"A",""))</f>
        <v/>
      </c>
      <c r="T314">
        <f>IF(S314="S",MATCH(310,Firms!$W$5:$W$1004,0),IF(S314="A",IFERROR(MATCH(310-$S$2,'AFA Rates'!$R$5:$R$1004,0),""),""))</f>
        <v/>
      </c>
      <c r="U314">
        <f>IF(S314="S",T314,IF(AND(S314="A",T314&lt;&gt;""),IFERROR(MATCH(INDEX('AFA Rates'!$A$5:$A$1004,T314),Firms!$A$5:$A$1004,0),""),""))</f>
        <v/>
      </c>
    </row>
    <row r="315">
      <c r="A315" s="78">
        <f>IF($T315="","",IF($S315="S",IF(INDEX(Firms!$A$5:$A$1004,$T315)="","",INDEX(Firms!$A$5:$A$1004,$T315)),IF(INDEX('AFA Rates'!$A$5:$A$1004,$T315)="","",INDEX('AFA Rates'!$A$5:$A$1004,$T315))))</f>
        <v/>
      </c>
      <c r="B315" s="79">
        <f>IF(OR($T315="",$U315=""),IF($T315="","","Not on Firms tab"),INDEX(Firms!$B$5:$B$1004,$U315)&amp;"")</f>
        <v/>
      </c>
      <c r="C315" s="78">
        <f>IF($T315="","",IF($S315="S","Standard",INDEX('AFA Rates'!$B$5:$B$1004,$T315)&amp;""))</f>
        <v/>
      </c>
      <c r="D315" s="88">
        <f>IF($T315="","",IF($S315="S",IF(INDEX(Firms!$E$5:$E$1004,$T315)="","",INDEX(Firms!$E$5:$E$1004,$T315)),IF(INDEX('AFA Rates'!$C$5:$C$1004,$T315)="","",INDEX('AFA Rates'!$C$5:$C$1004,$T315))))</f>
        <v/>
      </c>
      <c r="E315" s="88">
        <f>IF($T315="","",IF($S315="S",IF(""="","",""),IF(INDEX('AFA Rates'!$D$5:$D$1004,$T315)="","",INDEX('AFA Rates'!$D$5:$D$1004,$T315))))</f>
        <v/>
      </c>
      <c r="F315" s="79">
        <f>IF($T315="","",IF($S315="S",IF(INDEX(Firms!$O$5:$O$1004,$T315)="","",INDEX(Firms!$O$5:$O$1004,$T315)),IF(INDEX('AFA Rates'!$O$5:$O$1004,$T315)="","",INDEX('AFA Rates'!$O$5:$O$1004,$T315))))</f>
        <v/>
      </c>
      <c r="G315" s="50">
        <f>IF($T315="","",IF($S315="S",IF(INDEX(Firms!$F$5:$F$1004,$T315)="","",INDEX(Firms!$F$5:$F$1004,$T315)),IF(INDEX('AFA Rates'!$E$5:$E$1004,$T315)="","",INDEX('AFA Rates'!$E$5:$E$1004,$T315))))</f>
        <v/>
      </c>
      <c r="H315" s="50">
        <f>IF($T315="","",IF($S315="S",IF(INDEX(Firms!$G$5:$G$1004,$T315)="","",INDEX(Firms!$G$5:$G$1004,$T315)),IF(INDEX('AFA Rates'!$F$5:$F$1004,$T315)="","",INDEX('AFA Rates'!$F$5:$F$1004,$T315))))</f>
        <v/>
      </c>
      <c r="I315" s="50">
        <f>IF($T315="","",IF($S315="S",IF(INDEX(Firms!$H$5:$H$1004,$T315)="","",INDEX(Firms!$H$5:$H$1004,$T315)),IF(INDEX('AFA Rates'!$G$5:$G$1004,$T315)="","",INDEX('AFA Rates'!$G$5:$G$1004,$T315))))</f>
        <v/>
      </c>
      <c r="J315" s="50">
        <f>IF($T315="","",IF($S315="S",IF(INDEX(Firms!$I$5:$I$1004,$T315)="","",INDEX(Firms!$I$5:$I$1004,$T315)),IF(INDEX('AFA Rates'!$H$5:$H$1004,$T315)="","",INDEX('AFA Rates'!$H$5:$H$1004,$T315))))</f>
        <v/>
      </c>
      <c r="K315" s="50">
        <f>IF($T315="","",IF($S315="S",IF(INDEX(Firms!$J$5:$J$1004,$T315)="","",INDEX(Firms!$J$5:$J$1004,$T315)),IF(INDEX('AFA Rates'!$I$5:$I$1004,$T315)="","",INDEX('AFA Rates'!$I$5:$I$1004,$T315))))</f>
        <v/>
      </c>
      <c r="L315" s="50">
        <f>IF($T315="","",IF($S315="S",IF(INDEX(Firms!$K$5:$K$1004,$T315)="","",INDEX(Firms!$K$5:$K$1004,$T315)),IF(INDEX('AFA Rates'!$J$5:$J$1004,$T315)="","",INDEX('AFA Rates'!$J$5:$J$1004,$T315))))</f>
        <v/>
      </c>
      <c r="M315" s="50">
        <f>IF($T315="","",IF($S315="S",IF(INDEX(Firms!$L$5:$L$1004,$T315)="","",INDEX(Firms!$L$5:$L$1004,$T315)),IF(INDEX('AFA Rates'!$K$5:$K$1004,$T315)="","",INDEX('AFA Rates'!$K$5:$K$1004,$T315))))</f>
        <v/>
      </c>
      <c r="N315" s="50">
        <f>IF($T315="","",IF($S315="S",IF(INDEX(Firms!$M$5:$M$1004,$T315)="","",INDEX(Firms!$M$5:$M$1004,$T315)),IF(INDEX('AFA Rates'!$L$5:$L$1004,$T315)="","",INDEX('AFA Rates'!$L$5:$L$1004,$T315))))</f>
        <v/>
      </c>
      <c r="O315" s="78">
        <f>IF(OR($T315="",$U315=""),"",IF(INDEX(Firms!$C$5:$C$1004,$U315)="","",INDEX(Firms!$C$5:$C$1004,$U315)))</f>
        <v/>
      </c>
      <c r="P315" s="79">
        <f>IF(OR($T315="",$U315=""),"",IF(INDEX(Firms!$N$5:$N$1004,$U315)="","",INDEX(Firms!$N$5:$N$1004,$U315)))</f>
        <v/>
      </c>
      <c r="Q315" s="78">
        <f>IF($T315="","",IF($S315="S",IF(INDEX(Firms!$T$5:$T$1004,$T315)="","",INDEX(Firms!$T$5:$T$1004,$T315)),IF(INDEX('AFA Rates'!$M$5:$M$1004,$T315)="","",INDEX('AFA Rates'!$M$5:$M$1004,$T315))))</f>
        <v/>
      </c>
      <c r="S315">
        <f>IF(311&lt;=$S$2,"S",IF(311&lt;=$S$2+$T$2,"A",""))</f>
        <v/>
      </c>
      <c r="T315">
        <f>IF(S315="S",MATCH(311,Firms!$W$5:$W$1004,0),IF(S315="A",IFERROR(MATCH(311-$S$2,'AFA Rates'!$R$5:$R$1004,0),""),""))</f>
        <v/>
      </c>
      <c r="U315">
        <f>IF(S315="S",T315,IF(AND(S315="A",T315&lt;&gt;""),IFERROR(MATCH(INDEX('AFA Rates'!$A$5:$A$1004,T315),Firms!$A$5:$A$1004,0),""),""))</f>
        <v/>
      </c>
    </row>
    <row r="316">
      <c r="A316" s="78">
        <f>IF($T316="","",IF($S316="S",IF(INDEX(Firms!$A$5:$A$1004,$T316)="","",INDEX(Firms!$A$5:$A$1004,$T316)),IF(INDEX('AFA Rates'!$A$5:$A$1004,$T316)="","",INDEX('AFA Rates'!$A$5:$A$1004,$T316))))</f>
        <v/>
      </c>
      <c r="B316" s="79">
        <f>IF(OR($T316="",$U316=""),IF($T316="","","Not on Firms tab"),INDEX(Firms!$B$5:$B$1004,$U316)&amp;"")</f>
        <v/>
      </c>
      <c r="C316" s="78">
        <f>IF($T316="","",IF($S316="S","Standard",INDEX('AFA Rates'!$B$5:$B$1004,$T316)&amp;""))</f>
        <v/>
      </c>
      <c r="D316" s="88">
        <f>IF($T316="","",IF($S316="S",IF(INDEX(Firms!$E$5:$E$1004,$T316)="","",INDEX(Firms!$E$5:$E$1004,$T316)),IF(INDEX('AFA Rates'!$C$5:$C$1004,$T316)="","",INDEX('AFA Rates'!$C$5:$C$1004,$T316))))</f>
        <v/>
      </c>
      <c r="E316" s="88">
        <f>IF($T316="","",IF($S316="S",IF(""="","",""),IF(INDEX('AFA Rates'!$D$5:$D$1004,$T316)="","",INDEX('AFA Rates'!$D$5:$D$1004,$T316))))</f>
        <v/>
      </c>
      <c r="F316" s="79">
        <f>IF($T316="","",IF($S316="S",IF(INDEX(Firms!$O$5:$O$1004,$T316)="","",INDEX(Firms!$O$5:$O$1004,$T316)),IF(INDEX('AFA Rates'!$O$5:$O$1004,$T316)="","",INDEX('AFA Rates'!$O$5:$O$1004,$T316))))</f>
        <v/>
      </c>
      <c r="G316" s="50">
        <f>IF($T316="","",IF($S316="S",IF(INDEX(Firms!$F$5:$F$1004,$T316)="","",INDEX(Firms!$F$5:$F$1004,$T316)),IF(INDEX('AFA Rates'!$E$5:$E$1004,$T316)="","",INDEX('AFA Rates'!$E$5:$E$1004,$T316))))</f>
        <v/>
      </c>
      <c r="H316" s="50">
        <f>IF($T316="","",IF($S316="S",IF(INDEX(Firms!$G$5:$G$1004,$T316)="","",INDEX(Firms!$G$5:$G$1004,$T316)),IF(INDEX('AFA Rates'!$F$5:$F$1004,$T316)="","",INDEX('AFA Rates'!$F$5:$F$1004,$T316))))</f>
        <v/>
      </c>
      <c r="I316" s="50">
        <f>IF($T316="","",IF($S316="S",IF(INDEX(Firms!$H$5:$H$1004,$T316)="","",INDEX(Firms!$H$5:$H$1004,$T316)),IF(INDEX('AFA Rates'!$G$5:$G$1004,$T316)="","",INDEX('AFA Rates'!$G$5:$G$1004,$T316))))</f>
        <v/>
      </c>
      <c r="J316" s="50">
        <f>IF($T316="","",IF($S316="S",IF(INDEX(Firms!$I$5:$I$1004,$T316)="","",INDEX(Firms!$I$5:$I$1004,$T316)),IF(INDEX('AFA Rates'!$H$5:$H$1004,$T316)="","",INDEX('AFA Rates'!$H$5:$H$1004,$T316))))</f>
        <v/>
      </c>
      <c r="K316" s="50">
        <f>IF($T316="","",IF($S316="S",IF(INDEX(Firms!$J$5:$J$1004,$T316)="","",INDEX(Firms!$J$5:$J$1004,$T316)),IF(INDEX('AFA Rates'!$I$5:$I$1004,$T316)="","",INDEX('AFA Rates'!$I$5:$I$1004,$T316))))</f>
        <v/>
      </c>
      <c r="L316" s="50">
        <f>IF($T316="","",IF($S316="S",IF(INDEX(Firms!$K$5:$K$1004,$T316)="","",INDEX(Firms!$K$5:$K$1004,$T316)),IF(INDEX('AFA Rates'!$J$5:$J$1004,$T316)="","",INDEX('AFA Rates'!$J$5:$J$1004,$T316))))</f>
        <v/>
      </c>
      <c r="M316" s="50">
        <f>IF($T316="","",IF($S316="S",IF(INDEX(Firms!$L$5:$L$1004,$T316)="","",INDEX(Firms!$L$5:$L$1004,$T316)),IF(INDEX('AFA Rates'!$K$5:$K$1004,$T316)="","",INDEX('AFA Rates'!$K$5:$K$1004,$T316))))</f>
        <v/>
      </c>
      <c r="N316" s="50">
        <f>IF($T316="","",IF($S316="S",IF(INDEX(Firms!$M$5:$M$1004,$T316)="","",INDEX(Firms!$M$5:$M$1004,$T316)),IF(INDEX('AFA Rates'!$L$5:$L$1004,$T316)="","",INDEX('AFA Rates'!$L$5:$L$1004,$T316))))</f>
        <v/>
      </c>
      <c r="O316" s="78">
        <f>IF(OR($T316="",$U316=""),"",IF(INDEX(Firms!$C$5:$C$1004,$U316)="","",INDEX(Firms!$C$5:$C$1004,$U316)))</f>
        <v/>
      </c>
      <c r="P316" s="79">
        <f>IF(OR($T316="",$U316=""),"",IF(INDEX(Firms!$N$5:$N$1004,$U316)="","",INDEX(Firms!$N$5:$N$1004,$U316)))</f>
        <v/>
      </c>
      <c r="Q316" s="78">
        <f>IF($T316="","",IF($S316="S",IF(INDEX(Firms!$T$5:$T$1004,$T316)="","",INDEX(Firms!$T$5:$T$1004,$T316)),IF(INDEX('AFA Rates'!$M$5:$M$1004,$T316)="","",INDEX('AFA Rates'!$M$5:$M$1004,$T316))))</f>
        <v/>
      </c>
      <c r="S316">
        <f>IF(312&lt;=$S$2,"S",IF(312&lt;=$S$2+$T$2,"A",""))</f>
        <v/>
      </c>
      <c r="T316">
        <f>IF(S316="S",MATCH(312,Firms!$W$5:$W$1004,0),IF(S316="A",IFERROR(MATCH(312-$S$2,'AFA Rates'!$R$5:$R$1004,0),""),""))</f>
        <v/>
      </c>
      <c r="U316">
        <f>IF(S316="S",T316,IF(AND(S316="A",T316&lt;&gt;""),IFERROR(MATCH(INDEX('AFA Rates'!$A$5:$A$1004,T316),Firms!$A$5:$A$1004,0),""),""))</f>
        <v/>
      </c>
    </row>
    <row r="317">
      <c r="A317" s="78">
        <f>IF($T317="","",IF($S317="S",IF(INDEX(Firms!$A$5:$A$1004,$T317)="","",INDEX(Firms!$A$5:$A$1004,$T317)),IF(INDEX('AFA Rates'!$A$5:$A$1004,$T317)="","",INDEX('AFA Rates'!$A$5:$A$1004,$T317))))</f>
        <v/>
      </c>
      <c r="B317" s="79">
        <f>IF(OR($T317="",$U317=""),IF($T317="","","Not on Firms tab"),INDEX(Firms!$B$5:$B$1004,$U317)&amp;"")</f>
        <v/>
      </c>
      <c r="C317" s="78">
        <f>IF($T317="","",IF($S317="S","Standard",INDEX('AFA Rates'!$B$5:$B$1004,$T317)&amp;""))</f>
        <v/>
      </c>
      <c r="D317" s="88">
        <f>IF($T317="","",IF($S317="S",IF(INDEX(Firms!$E$5:$E$1004,$T317)="","",INDEX(Firms!$E$5:$E$1004,$T317)),IF(INDEX('AFA Rates'!$C$5:$C$1004,$T317)="","",INDEX('AFA Rates'!$C$5:$C$1004,$T317))))</f>
        <v/>
      </c>
      <c r="E317" s="88">
        <f>IF($T317="","",IF($S317="S",IF(""="","",""),IF(INDEX('AFA Rates'!$D$5:$D$1004,$T317)="","",INDEX('AFA Rates'!$D$5:$D$1004,$T317))))</f>
        <v/>
      </c>
      <c r="F317" s="79">
        <f>IF($T317="","",IF($S317="S",IF(INDEX(Firms!$O$5:$O$1004,$T317)="","",INDEX(Firms!$O$5:$O$1004,$T317)),IF(INDEX('AFA Rates'!$O$5:$O$1004,$T317)="","",INDEX('AFA Rates'!$O$5:$O$1004,$T317))))</f>
        <v/>
      </c>
      <c r="G317" s="50">
        <f>IF($T317="","",IF($S317="S",IF(INDEX(Firms!$F$5:$F$1004,$T317)="","",INDEX(Firms!$F$5:$F$1004,$T317)),IF(INDEX('AFA Rates'!$E$5:$E$1004,$T317)="","",INDEX('AFA Rates'!$E$5:$E$1004,$T317))))</f>
        <v/>
      </c>
      <c r="H317" s="50">
        <f>IF($T317="","",IF($S317="S",IF(INDEX(Firms!$G$5:$G$1004,$T317)="","",INDEX(Firms!$G$5:$G$1004,$T317)),IF(INDEX('AFA Rates'!$F$5:$F$1004,$T317)="","",INDEX('AFA Rates'!$F$5:$F$1004,$T317))))</f>
        <v/>
      </c>
      <c r="I317" s="50">
        <f>IF($T317="","",IF($S317="S",IF(INDEX(Firms!$H$5:$H$1004,$T317)="","",INDEX(Firms!$H$5:$H$1004,$T317)),IF(INDEX('AFA Rates'!$G$5:$G$1004,$T317)="","",INDEX('AFA Rates'!$G$5:$G$1004,$T317))))</f>
        <v/>
      </c>
      <c r="J317" s="50">
        <f>IF($T317="","",IF($S317="S",IF(INDEX(Firms!$I$5:$I$1004,$T317)="","",INDEX(Firms!$I$5:$I$1004,$T317)),IF(INDEX('AFA Rates'!$H$5:$H$1004,$T317)="","",INDEX('AFA Rates'!$H$5:$H$1004,$T317))))</f>
        <v/>
      </c>
      <c r="K317" s="50">
        <f>IF($T317="","",IF($S317="S",IF(INDEX(Firms!$J$5:$J$1004,$T317)="","",INDEX(Firms!$J$5:$J$1004,$T317)),IF(INDEX('AFA Rates'!$I$5:$I$1004,$T317)="","",INDEX('AFA Rates'!$I$5:$I$1004,$T317))))</f>
        <v/>
      </c>
      <c r="L317" s="50">
        <f>IF($T317="","",IF($S317="S",IF(INDEX(Firms!$K$5:$K$1004,$T317)="","",INDEX(Firms!$K$5:$K$1004,$T317)),IF(INDEX('AFA Rates'!$J$5:$J$1004,$T317)="","",INDEX('AFA Rates'!$J$5:$J$1004,$T317))))</f>
        <v/>
      </c>
      <c r="M317" s="50">
        <f>IF($T317="","",IF($S317="S",IF(INDEX(Firms!$L$5:$L$1004,$T317)="","",INDEX(Firms!$L$5:$L$1004,$T317)),IF(INDEX('AFA Rates'!$K$5:$K$1004,$T317)="","",INDEX('AFA Rates'!$K$5:$K$1004,$T317))))</f>
        <v/>
      </c>
      <c r="N317" s="50">
        <f>IF($T317="","",IF($S317="S",IF(INDEX(Firms!$M$5:$M$1004,$T317)="","",INDEX(Firms!$M$5:$M$1004,$T317)),IF(INDEX('AFA Rates'!$L$5:$L$1004,$T317)="","",INDEX('AFA Rates'!$L$5:$L$1004,$T317))))</f>
        <v/>
      </c>
      <c r="O317" s="78">
        <f>IF(OR($T317="",$U317=""),"",IF(INDEX(Firms!$C$5:$C$1004,$U317)="","",INDEX(Firms!$C$5:$C$1004,$U317)))</f>
        <v/>
      </c>
      <c r="P317" s="79">
        <f>IF(OR($T317="",$U317=""),"",IF(INDEX(Firms!$N$5:$N$1004,$U317)="","",INDEX(Firms!$N$5:$N$1004,$U317)))</f>
        <v/>
      </c>
      <c r="Q317" s="78">
        <f>IF($T317="","",IF($S317="S",IF(INDEX(Firms!$T$5:$T$1004,$T317)="","",INDEX(Firms!$T$5:$T$1004,$T317)),IF(INDEX('AFA Rates'!$M$5:$M$1004,$T317)="","",INDEX('AFA Rates'!$M$5:$M$1004,$T317))))</f>
        <v/>
      </c>
      <c r="S317">
        <f>IF(313&lt;=$S$2,"S",IF(313&lt;=$S$2+$T$2,"A",""))</f>
        <v/>
      </c>
      <c r="T317">
        <f>IF(S317="S",MATCH(313,Firms!$W$5:$W$1004,0),IF(S317="A",IFERROR(MATCH(313-$S$2,'AFA Rates'!$R$5:$R$1004,0),""),""))</f>
        <v/>
      </c>
      <c r="U317">
        <f>IF(S317="S",T317,IF(AND(S317="A",T317&lt;&gt;""),IFERROR(MATCH(INDEX('AFA Rates'!$A$5:$A$1004,T317),Firms!$A$5:$A$1004,0),""),""))</f>
        <v/>
      </c>
    </row>
    <row r="318">
      <c r="A318" s="78">
        <f>IF($T318="","",IF($S318="S",IF(INDEX(Firms!$A$5:$A$1004,$T318)="","",INDEX(Firms!$A$5:$A$1004,$T318)),IF(INDEX('AFA Rates'!$A$5:$A$1004,$T318)="","",INDEX('AFA Rates'!$A$5:$A$1004,$T318))))</f>
        <v/>
      </c>
      <c r="B318" s="79">
        <f>IF(OR($T318="",$U318=""),IF($T318="","","Not on Firms tab"),INDEX(Firms!$B$5:$B$1004,$U318)&amp;"")</f>
        <v/>
      </c>
      <c r="C318" s="78">
        <f>IF($T318="","",IF($S318="S","Standard",INDEX('AFA Rates'!$B$5:$B$1004,$T318)&amp;""))</f>
        <v/>
      </c>
      <c r="D318" s="88">
        <f>IF($T318="","",IF($S318="S",IF(INDEX(Firms!$E$5:$E$1004,$T318)="","",INDEX(Firms!$E$5:$E$1004,$T318)),IF(INDEX('AFA Rates'!$C$5:$C$1004,$T318)="","",INDEX('AFA Rates'!$C$5:$C$1004,$T318))))</f>
        <v/>
      </c>
      <c r="E318" s="88">
        <f>IF($T318="","",IF($S318="S",IF(""="","",""),IF(INDEX('AFA Rates'!$D$5:$D$1004,$T318)="","",INDEX('AFA Rates'!$D$5:$D$1004,$T318))))</f>
        <v/>
      </c>
      <c r="F318" s="79">
        <f>IF($T318="","",IF($S318="S",IF(INDEX(Firms!$O$5:$O$1004,$T318)="","",INDEX(Firms!$O$5:$O$1004,$T318)),IF(INDEX('AFA Rates'!$O$5:$O$1004,$T318)="","",INDEX('AFA Rates'!$O$5:$O$1004,$T318))))</f>
        <v/>
      </c>
      <c r="G318" s="50">
        <f>IF($T318="","",IF($S318="S",IF(INDEX(Firms!$F$5:$F$1004,$T318)="","",INDEX(Firms!$F$5:$F$1004,$T318)),IF(INDEX('AFA Rates'!$E$5:$E$1004,$T318)="","",INDEX('AFA Rates'!$E$5:$E$1004,$T318))))</f>
        <v/>
      </c>
      <c r="H318" s="50">
        <f>IF($T318="","",IF($S318="S",IF(INDEX(Firms!$G$5:$G$1004,$T318)="","",INDEX(Firms!$G$5:$G$1004,$T318)),IF(INDEX('AFA Rates'!$F$5:$F$1004,$T318)="","",INDEX('AFA Rates'!$F$5:$F$1004,$T318))))</f>
        <v/>
      </c>
      <c r="I318" s="50">
        <f>IF($T318="","",IF($S318="S",IF(INDEX(Firms!$H$5:$H$1004,$T318)="","",INDEX(Firms!$H$5:$H$1004,$T318)),IF(INDEX('AFA Rates'!$G$5:$G$1004,$T318)="","",INDEX('AFA Rates'!$G$5:$G$1004,$T318))))</f>
        <v/>
      </c>
      <c r="J318" s="50">
        <f>IF($T318="","",IF($S318="S",IF(INDEX(Firms!$I$5:$I$1004,$T318)="","",INDEX(Firms!$I$5:$I$1004,$T318)),IF(INDEX('AFA Rates'!$H$5:$H$1004,$T318)="","",INDEX('AFA Rates'!$H$5:$H$1004,$T318))))</f>
        <v/>
      </c>
      <c r="K318" s="50">
        <f>IF($T318="","",IF($S318="S",IF(INDEX(Firms!$J$5:$J$1004,$T318)="","",INDEX(Firms!$J$5:$J$1004,$T318)),IF(INDEX('AFA Rates'!$I$5:$I$1004,$T318)="","",INDEX('AFA Rates'!$I$5:$I$1004,$T318))))</f>
        <v/>
      </c>
      <c r="L318" s="50">
        <f>IF($T318="","",IF($S318="S",IF(INDEX(Firms!$K$5:$K$1004,$T318)="","",INDEX(Firms!$K$5:$K$1004,$T318)),IF(INDEX('AFA Rates'!$J$5:$J$1004,$T318)="","",INDEX('AFA Rates'!$J$5:$J$1004,$T318))))</f>
        <v/>
      </c>
      <c r="M318" s="50">
        <f>IF($T318="","",IF($S318="S",IF(INDEX(Firms!$L$5:$L$1004,$T318)="","",INDEX(Firms!$L$5:$L$1004,$T318)),IF(INDEX('AFA Rates'!$K$5:$K$1004,$T318)="","",INDEX('AFA Rates'!$K$5:$K$1004,$T318))))</f>
        <v/>
      </c>
      <c r="N318" s="50">
        <f>IF($T318="","",IF($S318="S",IF(INDEX(Firms!$M$5:$M$1004,$T318)="","",INDEX(Firms!$M$5:$M$1004,$T318)),IF(INDEX('AFA Rates'!$L$5:$L$1004,$T318)="","",INDEX('AFA Rates'!$L$5:$L$1004,$T318))))</f>
        <v/>
      </c>
      <c r="O318" s="78">
        <f>IF(OR($T318="",$U318=""),"",IF(INDEX(Firms!$C$5:$C$1004,$U318)="","",INDEX(Firms!$C$5:$C$1004,$U318)))</f>
        <v/>
      </c>
      <c r="P318" s="79">
        <f>IF(OR($T318="",$U318=""),"",IF(INDEX(Firms!$N$5:$N$1004,$U318)="","",INDEX(Firms!$N$5:$N$1004,$U318)))</f>
        <v/>
      </c>
      <c r="Q318" s="78">
        <f>IF($T318="","",IF($S318="S",IF(INDEX(Firms!$T$5:$T$1004,$T318)="","",INDEX(Firms!$T$5:$T$1004,$T318)),IF(INDEX('AFA Rates'!$M$5:$M$1004,$T318)="","",INDEX('AFA Rates'!$M$5:$M$1004,$T318))))</f>
        <v/>
      </c>
      <c r="S318">
        <f>IF(314&lt;=$S$2,"S",IF(314&lt;=$S$2+$T$2,"A",""))</f>
        <v/>
      </c>
      <c r="T318">
        <f>IF(S318="S",MATCH(314,Firms!$W$5:$W$1004,0),IF(S318="A",IFERROR(MATCH(314-$S$2,'AFA Rates'!$R$5:$R$1004,0),""),""))</f>
        <v/>
      </c>
      <c r="U318">
        <f>IF(S318="S",T318,IF(AND(S318="A",T318&lt;&gt;""),IFERROR(MATCH(INDEX('AFA Rates'!$A$5:$A$1004,T318),Firms!$A$5:$A$1004,0),""),""))</f>
        <v/>
      </c>
    </row>
    <row r="319">
      <c r="A319" s="78">
        <f>IF($T319="","",IF($S319="S",IF(INDEX(Firms!$A$5:$A$1004,$T319)="","",INDEX(Firms!$A$5:$A$1004,$T319)),IF(INDEX('AFA Rates'!$A$5:$A$1004,$T319)="","",INDEX('AFA Rates'!$A$5:$A$1004,$T319))))</f>
        <v/>
      </c>
      <c r="B319" s="79">
        <f>IF(OR($T319="",$U319=""),IF($T319="","","Not on Firms tab"),INDEX(Firms!$B$5:$B$1004,$U319)&amp;"")</f>
        <v/>
      </c>
      <c r="C319" s="78">
        <f>IF($T319="","",IF($S319="S","Standard",INDEX('AFA Rates'!$B$5:$B$1004,$T319)&amp;""))</f>
        <v/>
      </c>
      <c r="D319" s="88">
        <f>IF($T319="","",IF($S319="S",IF(INDEX(Firms!$E$5:$E$1004,$T319)="","",INDEX(Firms!$E$5:$E$1004,$T319)),IF(INDEX('AFA Rates'!$C$5:$C$1004,$T319)="","",INDEX('AFA Rates'!$C$5:$C$1004,$T319))))</f>
        <v/>
      </c>
      <c r="E319" s="88">
        <f>IF($T319="","",IF($S319="S",IF(""="","",""),IF(INDEX('AFA Rates'!$D$5:$D$1004,$T319)="","",INDEX('AFA Rates'!$D$5:$D$1004,$T319))))</f>
        <v/>
      </c>
      <c r="F319" s="79">
        <f>IF($T319="","",IF($S319="S",IF(INDEX(Firms!$O$5:$O$1004,$T319)="","",INDEX(Firms!$O$5:$O$1004,$T319)),IF(INDEX('AFA Rates'!$O$5:$O$1004,$T319)="","",INDEX('AFA Rates'!$O$5:$O$1004,$T319))))</f>
        <v/>
      </c>
      <c r="G319" s="50">
        <f>IF($T319="","",IF($S319="S",IF(INDEX(Firms!$F$5:$F$1004,$T319)="","",INDEX(Firms!$F$5:$F$1004,$T319)),IF(INDEX('AFA Rates'!$E$5:$E$1004,$T319)="","",INDEX('AFA Rates'!$E$5:$E$1004,$T319))))</f>
        <v/>
      </c>
      <c r="H319" s="50">
        <f>IF($T319="","",IF($S319="S",IF(INDEX(Firms!$G$5:$G$1004,$T319)="","",INDEX(Firms!$G$5:$G$1004,$T319)),IF(INDEX('AFA Rates'!$F$5:$F$1004,$T319)="","",INDEX('AFA Rates'!$F$5:$F$1004,$T319))))</f>
        <v/>
      </c>
      <c r="I319" s="50">
        <f>IF($T319="","",IF($S319="S",IF(INDEX(Firms!$H$5:$H$1004,$T319)="","",INDEX(Firms!$H$5:$H$1004,$T319)),IF(INDEX('AFA Rates'!$G$5:$G$1004,$T319)="","",INDEX('AFA Rates'!$G$5:$G$1004,$T319))))</f>
        <v/>
      </c>
      <c r="J319" s="50">
        <f>IF($T319="","",IF($S319="S",IF(INDEX(Firms!$I$5:$I$1004,$T319)="","",INDEX(Firms!$I$5:$I$1004,$T319)),IF(INDEX('AFA Rates'!$H$5:$H$1004,$T319)="","",INDEX('AFA Rates'!$H$5:$H$1004,$T319))))</f>
        <v/>
      </c>
      <c r="K319" s="50">
        <f>IF($T319="","",IF($S319="S",IF(INDEX(Firms!$J$5:$J$1004,$T319)="","",INDEX(Firms!$J$5:$J$1004,$T319)),IF(INDEX('AFA Rates'!$I$5:$I$1004,$T319)="","",INDEX('AFA Rates'!$I$5:$I$1004,$T319))))</f>
        <v/>
      </c>
      <c r="L319" s="50">
        <f>IF($T319="","",IF($S319="S",IF(INDEX(Firms!$K$5:$K$1004,$T319)="","",INDEX(Firms!$K$5:$K$1004,$T319)),IF(INDEX('AFA Rates'!$J$5:$J$1004,$T319)="","",INDEX('AFA Rates'!$J$5:$J$1004,$T319))))</f>
        <v/>
      </c>
      <c r="M319" s="50">
        <f>IF($T319="","",IF($S319="S",IF(INDEX(Firms!$L$5:$L$1004,$T319)="","",INDEX(Firms!$L$5:$L$1004,$T319)),IF(INDEX('AFA Rates'!$K$5:$K$1004,$T319)="","",INDEX('AFA Rates'!$K$5:$K$1004,$T319))))</f>
        <v/>
      </c>
      <c r="N319" s="50">
        <f>IF($T319="","",IF($S319="S",IF(INDEX(Firms!$M$5:$M$1004,$T319)="","",INDEX(Firms!$M$5:$M$1004,$T319)),IF(INDEX('AFA Rates'!$L$5:$L$1004,$T319)="","",INDEX('AFA Rates'!$L$5:$L$1004,$T319))))</f>
        <v/>
      </c>
      <c r="O319" s="78">
        <f>IF(OR($T319="",$U319=""),"",IF(INDEX(Firms!$C$5:$C$1004,$U319)="","",INDEX(Firms!$C$5:$C$1004,$U319)))</f>
        <v/>
      </c>
      <c r="P319" s="79">
        <f>IF(OR($T319="",$U319=""),"",IF(INDEX(Firms!$N$5:$N$1004,$U319)="","",INDEX(Firms!$N$5:$N$1004,$U319)))</f>
        <v/>
      </c>
      <c r="Q319" s="78">
        <f>IF($T319="","",IF($S319="S",IF(INDEX(Firms!$T$5:$T$1004,$T319)="","",INDEX(Firms!$T$5:$T$1004,$T319)),IF(INDEX('AFA Rates'!$M$5:$M$1004,$T319)="","",INDEX('AFA Rates'!$M$5:$M$1004,$T319))))</f>
        <v/>
      </c>
      <c r="S319">
        <f>IF(315&lt;=$S$2,"S",IF(315&lt;=$S$2+$T$2,"A",""))</f>
        <v/>
      </c>
      <c r="T319">
        <f>IF(S319="S",MATCH(315,Firms!$W$5:$W$1004,0),IF(S319="A",IFERROR(MATCH(315-$S$2,'AFA Rates'!$R$5:$R$1004,0),""),""))</f>
        <v/>
      </c>
      <c r="U319">
        <f>IF(S319="S",T319,IF(AND(S319="A",T319&lt;&gt;""),IFERROR(MATCH(INDEX('AFA Rates'!$A$5:$A$1004,T319),Firms!$A$5:$A$1004,0),""),""))</f>
        <v/>
      </c>
    </row>
    <row r="320">
      <c r="A320" s="78">
        <f>IF($T320="","",IF($S320="S",IF(INDEX(Firms!$A$5:$A$1004,$T320)="","",INDEX(Firms!$A$5:$A$1004,$T320)),IF(INDEX('AFA Rates'!$A$5:$A$1004,$T320)="","",INDEX('AFA Rates'!$A$5:$A$1004,$T320))))</f>
        <v/>
      </c>
      <c r="B320" s="79">
        <f>IF(OR($T320="",$U320=""),IF($T320="","","Not on Firms tab"),INDEX(Firms!$B$5:$B$1004,$U320)&amp;"")</f>
        <v/>
      </c>
      <c r="C320" s="78">
        <f>IF($T320="","",IF($S320="S","Standard",INDEX('AFA Rates'!$B$5:$B$1004,$T320)&amp;""))</f>
        <v/>
      </c>
      <c r="D320" s="88">
        <f>IF($T320="","",IF($S320="S",IF(INDEX(Firms!$E$5:$E$1004,$T320)="","",INDEX(Firms!$E$5:$E$1004,$T320)),IF(INDEX('AFA Rates'!$C$5:$C$1004,$T320)="","",INDEX('AFA Rates'!$C$5:$C$1004,$T320))))</f>
        <v/>
      </c>
      <c r="E320" s="88">
        <f>IF($T320="","",IF($S320="S",IF(""="","",""),IF(INDEX('AFA Rates'!$D$5:$D$1004,$T320)="","",INDEX('AFA Rates'!$D$5:$D$1004,$T320))))</f>
        <v/>
      </c>
      <c r="F320" s="79">
        <f>IF($T320="","",IF($S320="S",IF(INDEX(Firms!$O$5:$O$1004,$T320)="","",INDEX(Firms!$O$5:$O$1004,$T320)),IF(INDEX('AFA Rates'!$O$5:$O$1004,$T320)="","",INDEX('AFA Rates'!$O$5:$O$1004,$T320))))</f>
        <v/>
      </c>
      <c r="G320" s="50">
        <f>IF($T320="","",IF($S320="S",IF(INDEX(Firms!$F$5:$F$1004,$T320)="","",INDEX(Firms!$F$5:$F$1004,$T320)),IF(INDEX('AFA Rates'!$E$5:$E$1004,$T320)="","",INDEX('AFA Rates'!$E$5:$E$1004,$T320))))</f>
        <v/>
      </c>
      <c r="H320" s="50">
        <f>IF($T320="","",IF($S320="S",IF(INDEX(Firms!$G$5:$G$1004,$T320)="","",INDEX(Firms!$G$5:$G$1004,$T320)),IF(INDEX('AFA Rates'!$F$5:$F$1004,$T320)="","",INDEX('AFA Rates'!$F$5:$F$1004,$T320))))</f>
        <v/>
      </c>
      <c r="I320" s="50">
        <f>IF($T320="","",IF($S320="S",IF(INDEX(Firms!$H$5:$H$1004,$T320)="","",INDEX(Firms!$H$5:$H$1004,$T320)),IF(INDEX('AFA Rates'!$G$5:$G$1004,$T320)="","",INDEX('AFA Rates'!$G$5:$G$1004,$T320))))</f>
        <v/>
      </c>
      <c r="J320" s="50">
        <f>IF($T320="","",IF($S320="S",IF(INDEX(Firms!$I$5:$I$1004,$T320)="","",INDEX(Firms!$I$5:$I$1004,$T320)),IF(INDEX('AFA Rates'!$H$5:$H$1004,$T320)="","",INDEX('AFA Rates'!$H$5:$H$1004,$T320))))</f>
        <v/>
      </c>
      <c r="K320" s="50">
        <f>IF($T320="","",IF($S320="S",IF(INDEX(Firms!$J$5:$J$1004,$T320)="","",INDEX(Firms!$J$5:$J$1004,$T320)),IF(INDEX('AFA Rates'!$I$5:$I$1004,$T320)="","",INDEX('AFA Rates'!$I$5:$I$1004,$T320))))</f>
        <v/>
      </c>
      <c r="L320" s="50">
        <f>IF($T320="","",IF($S320="S",IF(INDEX(Firms!$K$5:$K$1004,$T320)="","",INDEX(Firms!$K$5:$K$1004,$T320)),IF(INDEX('AFA Rates'!$J$5:$J$1004,$T320)="","",INDEX('AFA Rates'!$J$5:$J$1004,$T320))))</f>
        <v/>
      </c>
      <c r="M320" s="50">
        <f>IF($T320="","",IF($S320="S",IF(INDEX(Firms!$L$5:$L$1004,$T320)="","",INDEX(Firms!$L$5:$L$1004,$T320)),IF(INDEX('AFA Rates'!$K$5:$K$1004,$T320)="","",INDEX('AFA Rates'!$K$5:$K$1004,$T320))))</f>
        <v/>
      </c>
      <c r="N320" s="50">
        <f>IF($T320="","",IF($S320="S",IF(INDEX(Firms!$M$5:$M$1004,$T320)="","",INDEX(Firms!$M$5:$M$1004,$T320)),IF(INDEX('AFA Rates'!$L$5:$L$1004,$T320)="","",INDEX('AFA Rates'!$L$5:$L$1004,$T320))))</f>
        <v/>
      </c>
      <c r="O320" s="78">
        <f>IF(OR($T320="",$U320=""),"",IF(INDEX(Firms!$C$5:$C$1004,$U320)="","",INDEX(Firms!$C$5:$C$1004,$U320)))</f>
        <v/>
      </c>
      <c r="P320" s="79">
        <f>IF(OR($T320="",$U320=""),"",IF(INDEX(Firms!$N$5:$N$1004,$U320)="","",INDEX(Firms!$N$5:$N$1004,$U320)))</f>
        <v/>
      </c>
      <c r="Q320" s="78">
        <f>IF($T320="","",IF($S320="S",IF(INDEX(Firms!$T$5:$T$1004,$T320)="","",INDEX(Firms!$T$5:$T$1004,$T320)),IF(INDEX('AFA Rates'!$M$5:$M$1004,$T320)="","",INDEX('AFA Rates'!$M$5:$M$1004,$T320))))</f>
        <v/>
      </c>
      <c r="S320">
        <f>IF(316&lt;=$S$2,"S",IF(316&lt;=$S$2+$T$2,"A",""))</f>
        <v/>
      </c>
      <c r="T320">
        <f>IF(S320="S",MATCH(316,Firms!$W$5:$W$1004,0),IF(S320="A",IFERROR(MATCH(316-$S$2,'AFA Rates'!$R$5:$R$1004,0),""),""))</f>
        <v/>
      </c>
      <c r="U320">
        <f>IF(S320="S",T320,IF(AND(S320="A",T320&lt;&gt;""),IFERROR(MATCH(INDEX('AFA Rates'!$A$5:$A$1004,T320),Firms!$A$5:$A$1004,0),""),""))</f>
        <v/>
      </c>
    </row>
    <row r="321">
      <c r="A321" s="78">
        <f>IF($T321="","",IF($S321="S",IF(INDEX(Firms!$A$5:$A$1004,$T321)="","",INDEX(Firms!$A$5:$A$1004,$T321)),IF(INDEX('AFA Rates'!$A$5:$A$1004,$T321)="","",INDEX('AFA Rates'!$A$5:$A$1004,$T321))))</f>
        <v/>
      </c>
      <c r="B321" s="79">
        <f>IF(OR($T321="",$U321=""),IF($T321="","","Not on Firms tab"),INDEX(Firms!$B$5:$B$1004,$U321)&amp;"")</f>
        <v/>
      </c>
      <c r="C321" s="78">
        <f>IF($T321="","",IF($S321="S","Standard",INDEX('AFA Rates'!$B$5:$B$1004,$T321)&amp;""))</f>
        <v/>
      </c>
      <c r="D321" s="88">
        <f>IF($T321="","",IF($S321="S",IF(INDEX(Firms!$E$5:$E$1004,$T321)="","",INDEX(Firms!$E$5:$E$1004,$T321)),IF(INDEX('AFA Rates'!$C$5:$C$1004,$T321)="","",INDEX('AFA Rates'!$C$5:$C$1004,$T321))))</f>
        <v/>
      </c>
      <c r="E321" s="88">
        <f>IF($T321="","",IF($S321="S",IF(""="","",""),IF(INDEX('AFA Rates'!$D$5:$D$1004,$T321)="","",INDEX('AFA Rates'!$D$5:$D$1004,$T321))))</f>
        <v/>
      </c>
      <c r="F321" s="79">
        <f>IF($T321="","",IF($S321="S",IF(INDEX(Firms!$O$5:$O$1004,$T321)="","",INDEX(Firms!$O$5:$O$1004,$T321)),IF(INDEX('AFA Rates'!$O$5:$O$1004,$T321)="","",INDEX('AFA Rates'!$O$5:$O$1004,$T321))))</f>
        <v/>
      </c>
      <c r="G321" s="50">
        <f>IF($T321="","",IF($S321="S",IF(INDEX(Firms!$F$5:$F$1004,$T321)="","",INDEX(Firms!$F$5:$F$1004,$T321)),IF(INDEX('AFA Rates'!$E$5:$E$1004,$T321)="","",INDEX('AFA Rates'!$E$5:$E$1004,$T321))))</f>
        <v/>
      </c>
      <c r="H321" s="50">
        <f>IF($T321="","",IF($S321="S",IF(INDEX(Firms!$G$5:$G$1004,$T321)="","",INDEX(Firms!$G$5:$G$1004,$T321)),IF(INDEX('AFA Rates'!$F$5:$F$1004,$T321)="","",INDEX('AFA Rates'!$F$5:$F$1004,$T321))))</f>
        <v/>
      </c>
      <c r="I321" s="50">
        <f>IF($T321="","",IF($S321="S",IF(INDEX(Firms!$H$5:$H$1004,$T321)="","",INDEX(Firms!$H$5:$H$1004,$T321)),IF(INDEX('AFA Rates'!$G$5:$G$1004,$T321)="","",INDEX('AFA Rates'!$G$5:$G$1004,$T321))))</f>
        <v/>
      </c>
      <c r="J321" s="50">
        <f>IF($T321="","",IF($S321="S",IF(INDEX(Firms!$I$5:$I$1004,$T321)="","",INDEX(Firms!$I$5:$I$1004,$T321)),IF(INDEX('AFA Rates'!$H$5:$H$1004,$T321)="","",INDEX('AFA Rates'!$H$5:$H$1004,$T321))))</f>
        <v/>
      </c>
      <c r="K321" s="50">
        <f>IF($T321="","",IF($S321="S",IF(INDEX(Firms!$J$5:$J$1004,$T321)="","",INDEX(Firms!$J$5:$J$1004,$T321)),IF(INDEX('AFA Rates'!$I$5:$I$1004,$T321)="","",INDEX('AFA Rates'!$I$5:$I$1004,$T321))))</f>
        <v/>
      </c>
      <c r="L321" s="50">
        <f>IF($T321="","",IF($S321="S",IF(INDEX(Firms!$K$5:$K$1004,$T321)="","",INDEX(Firms!$K$5:$K$1004,$T321)),IF(INDEX('AFA Rates'!$J$5:$J$1004,$T321)="","",INDEX('AFA Rates'!$J$5:$J$1004,$T321))))</f>
        <v/>
      </c>
      <c r="M321" s="50">
        <f>IF($T321="","",IF($S321="S",IF(INDEX(Firms!$L$5:$L$1004,$T321)="","",INDEX(Firms!$L$5:$L$1004,$T321)),IF(INDEX('AFA Rates'!$K$5:$K$1004,$T321)="","",INDEX('AFA Rates'!$K$5:$K$1004,$T321))))</f>
        <v/>
      </c>
      <c r="N321" s="50">
        <f>IF($T321="","",IF($S321="S",IF(INDEX(Firms!$M$5:$M$1004,$T321)="","",INDEX(Firms!$M$5:$M$1004,$T321)),IF(INDEX('AFA Rates'!$L$5:$L$1004,$T321)="","",INDEX('AFA Rates'!$L$5:$L$1004,$T321))))</f>
        <v/>
      </c>
      <c r="O321" s="78">
        <f>IF(OR($T321="",$U321=""),"",IF(INDEX(Firms!$C$5:$C$1004,$U321)="","",INDEX(Firms!$C$5:$C$1004,$U321)))</f>
        <v/>
      </c>
      <c r="P321" s="79">
        <f>IF(OR($T321="",$U321=""),"",IF(INDEX(Firms!$N$5:$N$1004,$U321)="","",INDEX(Firms!$N$5:$N$1004,$U321)))</f>
        <v/>
      </c>
      <c r="Q321" s="78">
        <f>IF($T321="","",IF($S321="S",IF(INDEX(Firms!$T$5:$T$1004,$T321)="","",INDEX(Firms!$T$5:$T$1004,$T321)),IF(INDEX('AFA Rates'!$M$5:$M$1004,$T321)="","",INDEX('AFA Rates'!$M$5:$M$1004,$T321))))</f>
        <v/>
      </c>
      <c r="S321">
        <f>IF(317&lt;=$S$2,"S",IF(317&lt;=$S$2+$T$2,"A",""))</f>
        <v/>
      </c>
      <c r="T321">
        <f>IF(S321="S",MATCH(317,Firms!$W$5:$W$1004,0),IF(S321="A",IFERROR(MATCH(317-$S$2,'AFA Rates'!$R$5:$R$1004,0),""),""))</f>
        <v/>
      </c>
      <c r="U321">
        <f>IF(S321="S",T321,IF(AND(S321="A",T321&lt;&gt;""),IFERROR(MATCH(INDEX('AFA Rates'!$A$5:$A$1004,T321),Firms!$A$5:$A$1004,0),""),""))</f>
        <v/>
      </c>
    </row>
    <row r="322">
      <c r="A322" s="78">
        <f>IF($T322="","",IF($S322="S",IF(INDEX(Firms!$A$5:$A$1004,$T322)="","",INDEX(Firms!$A$5:$A$1004,$T322)),IF(INDEX('AFA Rates'!$A$5:$A$1004,$T322)="","",INDEX('AFA Rates'!$A$5:$A$1004,$T322))))</f>
        <v/>
      </c>
      <c r="B322" s="79">
        <f>IF(OR($T322="",$U322=""),IF($T322="","","Not on Firms tab"),INDEX(Firms!$B$5:$B$1004,$U322)&amp;"")</f>
        <v/>
      </c>
      <c r="C322" s="78">
        <f>IF($T322="","",IF($S322="S","Standard",INDEX('AFA Rates'!$B$5:$B$1004,$T322)&amp;""))</f>
        <v/>
      </c>
      <c r="D322" s="88">
        <f>IF($T322="","",IF($S322="S",IF(INDEX(Firms!$E$5:$E$1004,$T322)="","",INDEX(Firms!$E$5:$E$1004,$T322)),IF(INDEX('AFA Rates'!$C$5:$C$1004,$T322)="","",INDEX('AFA Rates'!$C$5:$C$1004,$T322))))</f>
        <v/>
      </c>
      <c r="E322" s="88">
        <f>IF($T322="","",IF($S322="S",IF(""="","",""),IF(INDEX('AFA Rates'!$D$5:$D$1004,$T322)="","",INDEX('AFA Rates'!$D$5:$D$1004,$T322))))</f>
        <v/>
      </c>
      <c r="F322" s="79">
        <f>IF($T322="","",IF($S322="S",IF(INDEX(Firms!$O$5:$O$1004,$T322)="","",INDEX(Firms!$O$5:$O$1004,$T322)),IF(INDEX('AFA Rates'!$O$5:$O$1004,$T322)="","",INDEX('AFA Rates'!$O$5:$O$1004,$T322))))</f>
        <v/>
      </c>
      <c r="G322" s="50">
        <f>IF($T322="","",IF($S322="S",IF(INDEX(Firms!$F$5:$F$1004,$T322)="","",INDEX(Firms!$F$5:$F$1004,$T322)),IF(INDEX('AFA Rates'!$E$5:$E$1004,$T322)="","",INDEX('AFA Rates'!$E$5:$E$1004,$T322))))</f>
        <v/>
      </c>
      <c r="H322" s="50">
        <f>IF($T322="","",IF($S322="S",IF(INDEX(Firms!$G$5:$G$1004,$T322)="","",INDEX(Firms!$G$5:$G$1004,$T322)),IF(INDEX('AFA Rates'!$F$5:$F$1004,$T322)="","",INDEX('AFA Rates'!$F$5:$F$1004,$T322))))</f>
        <v/>
      </c>
      <c r="I322" s="50">
        <f>IF($T322="","",IF($S322="S",IF(INDEX(Firms!$H$5:$H$1004,$T322)="","",INDEX(Firms!$H$5:$H$1004,$T322)),IF(INDEX('AFA Rates'!$G$5:$G$1004,$T322)="","",INDEX('AFA Rates'!$G$5:$G$1004,$T322))))</f>
        <v/>
      </c>
      <c r="J322" s="50">
        <f>IF($T322="","",IF($S322="S",IF(INDEX(Firms!$I$5:$I$1004,$T322)="","",INDEX(Firms!$I$5:$I$1004,$T322)),IF(INDEX('AFA Rates'!$H$5:$H$1004,$T322)="","",INDEX('AFA Rates'!$H$5:$H$1004,$T322))))</f>
        <v/>
      </c>
      <c r="K322" s="50">
        <f>IF($T322="","",IF($S322="S",IF(INDEX(Firms!$J$5:$J$1004,$T322)="","",INDEX(Firms!$J$5:$J$1004,$T322)),IF(INDEX('AFA Rates'!$I$5:$I$1004,$T322)="","",INDEX('AFA Rates'!$I$5:$I$1004,$T322))))</f>
        <v/>
      </c>
      <c r="L322" s="50">
        <f>IF($T322="","",IF($S322="S",IF(INDEX(Firms!$K$5:$K$1004,$T322)="","",INDEX(Firms!$K$5:$K$1004,$T322)),IF(INDEX('AFA Rates'!$J$5:$J$1004,$T322)="","",INDEX('AFA Rates'!$J$5:$J$1004,$T322))))</f>
        <v/>
      </c>
      <c r="M322" s="50">
        <f>IF($T322="","",IF($S322="S",IF(INDEX(Firms!$L$5:$L$1004,$T322)="","",INDEX(Firms!$L$5:$L$1004,$T322)),IF(INDEX('AFA Rates'!$K$5:$K$1004,$T322)="","",INDEX('AFA Rates'!$K$5:$K$1004,$T322))))</f>
        <v/>
      </c>
      <c r="N322" s="50">
        <f>IF($T322="","",IF($S322="S",IF(INDEX(Firms!$M$5:$M$1004,$T322)="","",INDEX(Firms!$M$5:$M$1004,$T322)),IF(INDEX('AFA Rates'!$L$5:$L$1004,$T322)="","",INDEX('AFA Rates'!$L$5:$L$1004,$T322))))</f>
        <v/>
      </c>
      <c r="O322" s="78">
        <f>IF(OR($T322="",$U322=""),"",IF(INDEX(Firms!$C$5:$C$1004,$U322)="","",INDEX(Firms!$C$5:$C$1004,$U322)))</f>
        <v/>
      </c>
      <c r="P322" s="79">
        <f>IF(OR($T322="",$U322=""),"",IF(INDEX(Firms!$N$5:$N$1004,$U322)="","",INDEX(Firms!$N$5:$N$1004,$U322)))</f>
        <v/>
      </c>
      <c r="Q322" s="78">
        <f>IF($T322="","",IF($S322="S",IF(INDEX(Firms!$T$5:$T$1004,$T322)="","",INDEX(Firms!$T$5:$T$1004,$T322)),IF(INDEX('AFA Rates'!$M$5:$M$1004,$T322)="","",INDEX('AFA Rates'!$M$5:$M$1004,$T322))))</f>
        <v/>
      </c>
      <c r="S322">
        <f>IF(318&lt;=$S$2,"S",IF(318&lt;=$S$2+$T$2,"A",""))</f>
        <v/>
      </c>
      <c r="T322">
        <f>IF(S322="S",MATCH(318,Firms!$W$5:$W$1004,0),IF(S322="A",IFERROR(MATCH(318-$S$2,'AFA Rates'!$R$5:$R$1004,0),""),""))</f>
        <v/>
      </c>
      <c r="U322">
        <f>IF(S322="S",T322,IF(AND(S322="A",T322&lt;&gt;""),IFERROR(MATCH(INDEX('AFA Rates'!$A$5:$A$1004,T322),Firms!$A$5:$A$1004,0),""),""))</f>
        <v/>
      </c>
    </row>
    <row r="323">
      <c r="A323" s="78">
        <f>IF($T323="","",IF($S323="S",IF(INDEX(Firms!$A$5:$A$1004,$T323)="","",INDEX(Firms!$A$5:$A$1004,$T323)),IF(INDEX('AFA Rates'!$A$5:$A$1004,$T323)="","",INDEX('AFA Rates'!$A$5:$A$1004,$T323))))</f>
        <v/>
      </c>
      <c r="B323" s="79">
        <f>IF(OR($T323="",$U323=""),IF($T323="","","Not on Firms tab"),INDEX(Firms!$B$5:$B$1004,$U323)&amp;"")</f>
        <v/>
      </c>
      <c r="C323" s="78">
        <f>IF($T323="","",IF($S323="S","Standard",INDEX('AFA Rates'!$B$5:$B$1004,$T323)&amp;""))</f>
        <v/>
      </c>
      <c r="D323" s="88">
        <f>IF($T323="","",IF($S323="S",IF(INDEX(Firms!$E$5:$E$1004,$T323)="","",INDEX(Firms!$E$5:$E$1004,$T323)),IF(INDEX('AFA Rates'!$C$5:$C$1004,$T323)="","",INDEX('AFA Rates'!$C$5:$C$1004,$T323))))</f>
        <v/>
      </c>
      <c r="E323" s="88">
        <f>IF($T323="","",IF($S323="S",IF(""="","",""),IF(INDEX('AFA Rates'!$D$5:$D$1004,$T323)="","",INDEX('AFA Rates'!$D$5:$D$1004,$T323))))</f>
        <v/>
      </c>
      <c r="F323" s="79">
        <f>IF($T323="","",IF($S323="S",IF(INDEX(Firms!$O$5:$O$1004,$T323)="","",INDEX(Firms!$O$5:$O$1004,$T323)),IF(INDEX('AFA Rates'!$O$5:$O$1004,$T323)="","",INDEX('AFA Rates'!$O$5:$O$1004,$T323))))</f>
        <v/>
      </c>
      <c r="G323" s="50">
        <f>IF($T323="","",IF($S323="S",IF(INDEX(Firms!$F$5:$F$1004,$T323)="","",INDEX(Firms!$F$5:$F$1004,$T323)),IF(INDEX('AFA Rates'!$E$5:$E$1004,$T323)="","",INDEX('AFA Rates'!$E$5:$E$1004,$T323))))</f>
        <v/>
      </c>
      <c r="H323" s="50">
        <f>IF($T323="","",IF($S323="S",IF(INDEX(Firms!$G$5:$G$1004,$T323)="","",INDEX(Firms!$G$5:$G$1004,$T323)),IF(INDEX('AFA Rates'!$F$5:$F$1004,$T323)="","",INDEX('AFA Rates'!$F$5:$F$1004,$T323))))</f>
        <v/>
      </c>
      <c r="I323" s="50">
        <f>IF($T323="","",IF($S323="S",IF(INDEX(Firms!$H$5:$H$1004,$T323)="","",INDEX(Firms!$H$5:$H$1004,$T323)),IF(INDEX('AFA Rates'!$G$5:$G$1004,$T323)="","",INDEX('AFA Rates'!$G$5:$G$1004,$T323))))</f>
        <v/>
      </c>
      <c r="J323" s="50">
        <f>IF($T323="","",IF($S323="S",IF(INDEX(Firms!$I$5:$I$1004,$T323)="","",INDEX(Firms!$I$5:$I$1004,$T323)),IF(INDEX('AFA Rates'!$H$5:$H$1004,$T323)="","",INDEX('AFA Rates'!$H$5:$H$1004,$T323))))</f>
        <v/>
      </c>
      <c r="K323" s="50">
        <f>IF($T323="","",IF($S323="S",IF(INDEX(Firms!$J$5:$J$1004,$T323)="","",INDEX(Firms!$J$5:$J$1004,$T323)),IF(INDEX('AFA Rates'!$I$5:$I$1004,$T323)="","",INDEX('AFA Rates'!$I$5:$I$1004,$T323))))</f>
        <v/>
      </c>
      <c r="L323" s="50">
        <f>IF($T323="","",IF($S323="S",IF(INDEX(Firms!$K$5:$K$1004,$T323)="","",INDEX(Firms!$K$5:$K$1004,$T323)),IF(INDEX('AFA Rates'!$J$5:$J$1004,$T323)="","",INDEX('AFA Rates'!$J$5:$J$1004,$T323))))</f>
        <v/>
      </c>
      <c r="M323" s="50">
        <f>IF($T323="","",IF($S323="S",IF(INDEX(Firms!$L$5:$L$1004,$T323)="","",INDEX(Firms!$L$5:$L$1004,$T323)),IF(INDEX('AFA Rates'!$K$5:$K$1004,$T323)="","",INDEX('AFA Rates'!$K$5:$K$1004,$T323))))</f>
        <v/>
      </c>
      <c r="N323" s="50">
        <f>IF($T323="","",IF($S323="S",IF(INDEX(Firms!$M$5:$M$1004,$T323)="","",INDEX(Firms!$M$5:$M$1004,$T323)),IF(INDEX('AFA Rates'!$L$5:$L$1004,$T323)="","",INDEX('AFA Rates'!$L$5:$L$1004,$T323))))</f>
        <v/>
      </c>
      <c r="O323" s="78">
        <f>IF(OR($T323="",$U323=""),"",IF(INDEX(Firms!$C$5:$C$1004,$U323)="","",INDEX(Firms!$C$5:$C$1004,$U323)))</f>
        <v/>
      </c>
      <c r="P323" s="79">
        <f>IF(OR($T323="",$U323=""),"",IF(INDEX(Firms!$N$5:$N$1004,$U323)="","",INDEX(Firms!$N$5:$N$1004,$U323)))</f>
        <v/>
      </c>
      <c r="Q323" s="78">
        <f>IF($T323="","",IF($S323="S",IF(INDEX(Firms!$T$5:$T$1004,$T323)="","",INDEX(Firms!$T$5:$T$1004,$T323)),IF(INDEX('AFA Rates'!$M$5:$M$1004,$T323)="","",INDEX('AFA Rates'!$M$5:$M$1004,$T323))))</f>
        <v/>
      </c>
      <c r="S323">
        <f>IF(319&lt;=$S$2,"S",IF(319&lt;=$S$2+$T$2,"A",""))</f>
        <v/>
      </c>
      <c r="T323">
        <f>IF(S323="S",MATCH(319,Firms!$W$5:$W$1004,0),IF(S323="A",IFERROR(MATCH(319-$S$2,'AFA Rates'!$R$5:$R$1004,0),""),""))</f>
        <v/>
      </c>
      <c r="U323">
        <f>IF(S323="S",T323,IF(AND(S323="A",T323&lt;&gt;""),IFERROR(MATCH(INDEX('AFA Rates'!$A$5:$A$1004,T323),Firms!$A$5:$A$1004,0),""),""))</f>
        <v/>
      </c>
    </row>
    <row r="324">
      <c r="A324" s="78">
        <f>IF($T324="","",IF($S324="S",IF(INDEX(Firms!$A$5:$A$1004,$T324)="","",INDEX(Firms!$A$5:$A$1004,$T324)),IF(INDEX('AFA Rates'!$A$5:$A$1004,$T324)="","",INDEX('AFA Rates'!$A$5:$A$1004,$T324))))</f>
        <v/>
      </c>
      <c r="B324" s="79">
        <f>IF(OR($T324="",$U324=""),IF($T324="","","Not on Firms tab"),INDEX(Firms!$B$5:$B$1004,$U324)&amp;"")</f>
        <v/>
      </c>
      <c r="C324" s="78">
        <f>IF($T324="","",IF($S324="S","Standard",INDEX('AFA Rates'!$B$5:$B$1004,$T324)&amp;""))</f>
        <v/>
      </c>
      <c r="D324" s="88">
        <f>IF($T324="","",IF($S324="S",IF(INDEX(Firms!$E$5:$E$1004,$T324)="","",INDEX(Firms!$E$5:$E$1004,$T324)),IF(INDEX('AFA Rates'!$C$5:$C$1004,$T324)="","",INDEX('AFA Rates'!$C$5:$C$1004,$T324))))</f>
        <v/>
      </c>
      <c r="E324" s="88">
        <f>IF($T324="","",IF($S324="S",IF(""="","",""),IF(INDEX('AFA Rates'!$D$5:$D$1004,$T324)="","",INDEX('AFA Rates'!$D$5:$D$1004,$T324))))</f>
        <v/>
      </c>
      <c r="F324" s="79">
        <f>IF($T324="","",IF($S324="S",IF(INDEX(Firms!$O$5:$O$1004,$T324)="","",INDEX(Firms!$O$5:$O$1004,$T324)),IF(INDEX('AFA Rates'!$O$5:$O$1004,$T324)="","",INDEX('AFA Rates'!$O$5:$O$1004,$T324))))</f>
        <v/>
      </c>
      <c r="G324" s="50">
        <f>IF($T324="","",IF($S324="S",IF(INDEX(Firms!$F$5:$F$1004,$T324)="","",INDEX(Firms!$F$5:$F$1004,$T324)),IF(INDEX('AFA Rates'!$E$5:$E$1004,$T324)="","",INDEX('AFA Rates'!$E$5:$E$1004,$T324))))</f>
        <v/>
      </c>
      <c r="H324" s="50">
        <f>IF($T324="","",IF($S324="S",IF(INDEX(Firms!$G$5:$G$1004,$T324)="","",INDEX(Firms!$G$5:$G$1004,$T324)),IF(INDEX('AFA Rates'!$F$5:$F$1004,$T324)="","",INDEX('AFA Rates'!$F$5:$F$1004,$T324))))</f>
        <v/>
      </c>
      <c r="I324" s="50">
        <f>IF($T324="","",IF($S324="S",IF(INDEX(Firms!$H$5:$H$1004,$T324)="","",INDEX(Firms!$H$5:$H$1004,$T324)),IF(INDEX('AFA Rates'!$G$5:$G$1004,$T324)="","",INDEX('AFA Rates'!$G$5:$G$1004,$T324))))</f>
        <v/>
      </c>
      <c r="J324" s="50">
        <f>IF($T324="","",IF($S324="S",IF(INDEX(Firms!$I$5:$I$1004,$T324)="","",INDEX(Firms!$I$5:$I$1004,$T324)),IF(INDEX('AFA Rates'!$H$5:$H$1004,$T324)="","",INDEX('AFA Rates'!$H$5:$H$1004,$T324))))</f>
        <v/>
      </c>
      <c r="K324" s="50">
        <f>IF($T324="","",IF($S324="S",IF(INDEX(Firms!$J$5:$J$1004,$T324)="","",INDEX(Firms!$J$5:$J$1004,$T324)),IF(INDEX('AFA Rates'!$I$5:$I$1004,$T324)="","",INDEX('AFA Rates'!$I$5:$I$1004,$T324))))</f>
        <v/>
      </c>
      <c r="L324" s="50">
        <f>IF($T324="","",IF($S324="S",IF(INDEX(Firms!$K$5:$K$1004,$T324)="","",INDEX(Firms!$K$5:$K$1004,$T324)),IF(INDEX('AFA Rates'!$J$5:$J$1004,$T324)="","",INDEX('AFA Rates'!$J$5:$J$1004,$T324))))</f>
        <v/>
      </c>
      <c r="M324" s="50">
        <f>IF($T324="","",IF($S324="S",IF(INDEX(Firms!$L$5:$L$1004,$T324)="","",INDEX(Firms!$L$5:$L$1004,$T324)),IF(INDEX('AFA Rates'!$K$5:$K$1004,$T324)="","",INDEX('AFA Rates'!$K$5:$K$1004,$T324))))</f>
        <v/>
      </c>
      <c r="N324" s="50">
        <f>IF($T324="","",IF($S324="S",IF(INDEX(Firms!$M$5:$M$1004,$T324)="","",INDEX(Firms!$M$5:$M$1004,$T324)),IF(INDEX('AFA Rates'!$L$5:$L$1004,$T324)="","",INDEX('AFA Rates'!$L$5:$L$1004,$T324))))</f>
        <v/>
      </c>
      <c r="O324" s="78">
        <f>IF(OR($T324="",$U324=""),"",IF(INDEX(Firms!$C$5:$C$1004,$U324)="","",INDEX(Firms!$C$5:$C$1004,$U324)))</f>
        <v/>
      </c>
      <c r="P324" s="79">
        <f>IF(OR($T324="",$U324=""),"",IF(INDEX(Firms!$N$5:$N$1004,$U324)="","",INDEX(Firms!$N$5:$N$1004,$U324)))</f>
        <v/>
      </c>
      <c r="Q324" s="78">
        <f>IF($T324="","",IF($S324="S",IF(INDEX(Firms!$T$5:$T$1004,$T324)="","",INDEX(Firms!$T$5:$T$1004,$T324)),IF(INDEX('AFA Rates'!$M$5:$M$1004,$T324)="","",INDEX('AFA Rates'!$M$5:$M$1004,$T324))))</f>
        <v/>
      </c>
      <c r="S324">
        <f>IF(320&lt;=$S$2,"S",IF(320&lt;=$S$2+$T$2,"A",""))</f>
        <v/>
      </c>
      <c r="T324">
        <f>IF(S324="S",MATCH(320,Firms!$W$5:$W$1004,0),IF(S324="A",IFERROR(MATCH(320-$S$2,'AFA Rates'!$R$5:$R$1004,0),""),""))</f>
        <v/>
      </c>
      <c r="U324">
        <f>IF(S324="S",T324,IF(AND(S324="A",T324&lt;&gt;""),IFERROR(MATCH(INDEX('AFA Rates'!$A$5:$A$1004,T324),Firms!$A$5:$A$1004,0),""),""))</f>
        <v/>
      </c>
    </row>
    <row r="325">
      <c r="A325" s="78">
        <f>IF($T325="","",IF($S325="S",IF(INDEX(Firms!$A$5:$A$1004,$T325)="","",INDEX(Firms!$A$5:$A$1004,$T325)),IF(INDEX('AFA Rates'!$A$5:$A$1004,$T325)="","",INDEX('AFA Rates'!$A$5:$A$1004,$T325))))</f>
        <v/>
      </c>
      <c r="B325" s="79">
        <f>IF(OR($T325="",$U325=""),IF($T325="","","Not on Firms tab"),INDEX(Firms!$B$5:$B$1004,$U325)&amp;"")</f>
        <v/>
      </c>
      <c r="C325" s="78">
        <f>IF($T325="","",IF($S325="S","Standard",INDEX('AFA Rates'!$B$5:$B$1004,$T325)&amp;""))</f>
        <v/>
      </c>
      <c r="D325" s="88">
        <f>IF($T325="","",IF($S325="S",IF(INDEX(Firms!$E$5:$E$1004,$T325)="","",INDEX(Firms!$E$5:$E$1004,$T325)),IF(INDEX('AFA Rates'!$C$5:$C$1004,$T325)="","",INDEX('AFA Rates'!$C$5:$C$1004,$T325))))</f>
        <v/>
      </c>
      <c r="E325" s="88">
        <f>IF($T325="","",IF($S325="S",IF(""="","",""),IF(INDEX('AFA Rates'!$D$5:$D$1004,$T325)="","",INDEX('AFA Rates'!$D$5:$D$1004,$T325))))</f>
        <v/>
      </c>
      <c r="F325" s="79">
        <f>IF($T325="","",IF($S325="S",IF(INDEX(Firms!$O$5:$O$1004,$T325)="","",INDEX(Firms!$O$5:$O$1004,$T325)),IF(INDEX('AFA Rates'!$O$5:$O$1004,$T325)="","",INDEX('AFA Rates'!$O$5:$O$1004,$T325))))</f>
        <v/>
      </c>
      <c r="G325" s="50">
        <f>IF($T325="","",IF($S325="S",IF(INDEX(Firms!$F$5:$F$1004,$T325)="","",INDEX(Firms!$F$5:$F$1004,$T325)),IF(INDEX('AFA Rates'!$E$5:$E$1004,$T325)="","",INDEX('AFA Rates'!$E$5:$E$1004,$T325))))</f>
        <v/>
      </c>
      <c r="H325" s="50">
        <f>IF($T325="","",IF($S325="S",IF(INDEX(Firms!$G$5:$G$1004,$T325)="","",INDEX(Firms!$G$5:$G$1004,$T325)),IF(INDEX('AFA Rates'!$F$5:$F$1004,$T325)="","",INDEX('AFA Rates'!$F$5:$F$1004,$T325))))</f>
        <v/>
      </c>
      <c r="I325" s="50">
        <f>IF($T325="","",IF($S325="S",IF(INDEX(Firms!$H$5:$H$1004,$T325)="","",INDEX(Firms!$H$5:$H$1004,$T325)),IF(INDEX('AFA Rates'!$G$5:$G$1004,$T325)="","",INDEX('AFA Rates'!$G$5:$G$1004,$T325))))</f>
        <v/>
      </c>
      <c r="J325" s="50">
        <f>IF($T325="","",IF($S325="S",IF(INDEX(Firms!$I$5:$I$1004,$T325)="","",INDEX(Firms!$I$5:$I$1004,$T325)),IF(INDEX('AFA Rates'!$H$5:$H$1004,$T325)="","",INDEX('AFA Rates'!$H$5:$H$1004,$T325))))</f>
        <v/>
      </c>
      <c r="K325" s="50">
        <f>IF($T325="","",IF($S325="S",IF(INDEX(Firms!$J$5:$J$1004,$T325)="","",INDEX(Firms!$J$5:$J$1004,$T325)),IF(INDEX('AFA Rates'!$I$5:$I$1004,$T325)="","",INDEX('AFA Rates'!$I$5:$I$1004,$T325))))</f>
        <v/>
      </c>
      <c r="L325" s="50">
        <f>IF($T325="","",IF($S325="S",IF(INDEX(Firms!$K$5:$K$1004,$T325)="","",INDEX(Firms!$K$5:$K$1004,$T325)),IF(INDEX('AFA Rates'!$J$5:$J$1004,$T325)="","",INDEX('AFA Rates'!$J$5:$J$1004,$T325))))</f>
        <v/>
      </c>
      <c r="M325" s="50">
        <f>IF($T325="","",IF($S325="S",IF(INDEX(Firms!$L$5:$L$1004,$T325)="","",INDEX(Firms!$L$5:$L$1004,$T325)),IF(INDEX('AFA Rates'!$K$5:$K$1004,$T325)="","",INDEX('AFA Rates'!$K$5:$K$1004,$T325))))</f>
        <v/>
      </c>
      <c r="N325" s="50">
        <f>IF($T325="","",IF($S325="S",IF(INDEX(Firms!$M$5:$M$1004,$T325)="","",INDEX(Firms!$M$5:$M$1004,$T325)),IF(INDEX('AFA Rates'!$L$5:$L$1004,$T325)="","",INDEX('AFA Rates'!$L$5:$L$1004,$T325))))</f>
        <v/>
      </c>
      <c r="O325" s="78">
        <f>IF(OR($T325="",$U325=""),"",IF(INDEX(Firms!$C$5:$C$1004,$U325)="","",INDEX(Firms!$C$5:$C$1004,$U325)))</f>
        <v/>
      </c>
      <c r="P325" s="79">
        <f>IF(OR($T325="",$U325=""),"",IF(INDEX(Firms!$N$5:$N$1004,$U325)="","",INDEX(Firms!$N$5:$N$1004,$U325)))</f>
        <v/>
      </c>
      <c r="Q325" s="78">
        <f>IF($T325="","",IF($S325="S",IF(INDEX(Firms!$T$5:$T$1004,$T325)="","",INDEX(Firms!$T$5:$T$1004,$T325)),IF(INDEX('AFA Rates'!$M$5:$M$1004,$T325)="","",INDEX('AFA Rates'!$M$5:$M$1004,$T325))))</f>
        <v/>
      </c>
      <c r="S325">
        <f>IF(321&lt;=$S$2,"S",IF(321&lt;=$S$2+$T$2,"A",""))</f>
        <v/>
      </c>
      <c r="T325">
        <f>IF(S325="S",MATCH(321,Firms!$W$5:$W$1004,0),IF(S325="A",IFERROR(MATCH(321-$S$2,'AFA Rates'!$R$5:$R$1004,0),""),""))</f>
        <v/>
      </c>
      <c r="U325">
        <f>IF(S325="S",T325,IF(AND(S325="A",T325&lt;&gt;""),IFERROR(MATCH(INDEX('AFA Rates'!$A$5:$A$1004,T325),Firms!$A$5:$A$1004,0),""),""))</f>
        <v/>
      </c>
    </row>
    <row r="326">
      <c r="A326" s="78">
        <f>IF($T326="","",IF($S326="S",IF(INDEX(Firms!$A$5:$A$1004,$T326)="","",INDEX(Firms!$A$5:$A$1004,$T326)),IF(INDEX('AFA Rates'!$A$5:$A$1004,$T326)="","",INDEX('AFA Rates'!$A$5:$A$1004,$T326))))</f>
        <v/>
      </c>
      <c r="B326" s="79">
        <f>IF(OR($T326="",$U326=""),IF($T326="","","Not on Firms tab"),INDEX(Firms!$B$5:$B$1004,$U326)&amp;"")</f>
        <v/>
      </c>
      <c r="C326" s="78">
        <f>IF($T326="","",IF($S326="S","Standard",INDEX('AFA Rates'!$B$5:$B$1004,$T326)&amp;""))</f>
        <v/>
      </c>
      <c r="D326" s="88">
        <f>IF($T326="","",IF($S326="S",IF(INDEX(Firms!$E$5:$E$1004,$T326)="","",INDEX(Firms!$E$5:$E$1004,$T326)),IF(INDEX('AFA Rates'!$C$5:$C$1004,$T326)="","",INDEX('AFA Rates'!$C$5:$C$1004,$T326))))</f>
        <v/>
      </c>
      <c r="E326" s="88">
        <f>IF($T326="","",IF($S326="S",IF(""="","",""),IF(INDEX('AFA Rates'!$D$5:$D$1004,$T326)="","",INDEX('AFA Rates'!$D$5:$D$1004,$T326))))</f>
        <v/>
      </c>
      <c r="F326" s="79">
        <f>IF($T326="","",IF($S326="S",IF(INDEX(Firms!$O$5:$O$1004,$T326)="","",INDEX(Firms!$O$5:$O$1004,$T326)),IF(INDEX('AFA Rates'!$O$5:$O$1004,$T326)="","",INDEX('AFA Rates'!$O$5:$O$1004,$T326))))</f>
        <v/>
      </c>
      <c r="G326" s="50">
        <f>IF($T326="","",IF($S326="S",IF(INDEX(Firms!$F$5:$F$1004,$T326)="","",INDEX(Firms!$F$5:$F$1004,$T326)),IF(INDEX('AFA Rates'!$E$5:$E$1004,$T326)="","",INDEX('AFA Rates'!$E$5:$E$1004,$T326))))</f>
        <v/>
      </c>
      <c r="H326" s="50">
        <f>IF($T326="","",IF($S326="S",IF(INDEX(Firms!$G$5:$G$1004,$T326)="","",INDEX(Firms!$G$5:$G$1004,$T326)),IF(INDEX('AFA Rates'!$F$5:$F$1004,$T326)="","",INDEX('AFA Rates'!$F$5:$F$1004,$T326))))</f>
        <v/>
      </c>
      <c r="I326" s="50">
        <f>IF($T326="","",IF($S326="S",IF(INDEX(Firms!$H$5:$H$1004,$T326)="","",INDEX(Firms!$H$5:$H$1004,$T326)),IF(INDEX('AFA Rates'!$G$5:$G$1004,$T326)="","",INDEX('AFA Rates'!$G$5:$G$1004,$T326))))</f>
        <v/>
      </c>
      <c r="J326" s="50">
        <f>IF($T326="","",IF($S326="S",IF(INDEX(Firms!$I$5:$I$1004,$T326)="","",INDEX(Firms!$I$5:$I$1004,$T326)),IF(INDEX('AFA Rates'!$H$5:$H$1004,$T326)="","",INDEX('AFA Rates'!$H$5:$H$1004,$T326))))</f>
        <v/>
      </c>
      <c r="K326" s="50">
        <f>IF($T326="","",IF($S326="S",IF(INDEX(Firms!$J$5:$J$1004,$T326)="","",INDEX(Firms!$J$5:$J$1004,$T326)),IF(INDEX('AFA Rates'!$I$5:$I$1004,$T326)="","",INDEX('AFA Rates'!$I$5:$I$1004,$T326))))</f>
        <v/>
      </c>
      <c r="L326" s="50">
        <f>IF($T326="","",IF($S326="S",IF(INDEX(Firms!$K$5:$K$1004,$T326)="","",INDEX(Firms!$K$5:$K$1004,$T326)),IF(INDEX('AFA Rates'!$J$5:$J$1004,$T326)="","",INDEX('AFA Rates'!$J$5:$J$1004,$T326))))</f>
        <v/>
      </c>
      <c r="M326" s="50">
        <f>IF($T326="","",IF($S326="S",IF(INDEX(Firms!$L$5:$L$1004,$T326)="","",INDEX(Firms!$L$5:$L$1004,$T326)),IF(INDEX('AFA Rates'!$K$5:$K$1004,$T326)="","",INDEX('AFA Rates'!$K$5:$K$1004,$T326))))</f>
        <v/>
      </c>
      <c r="N326" s="50">
        <f>IF($T326="","",IF($S326="S",IF(INDEX(Firms!$M$5:$M$1004,$T326)="","",INDEX(Firms!$M$5:$M$1004,$T326)),IF(INDEX('AFA Rates'!$L$5:$L$1004,$T326)="","",INDEX('AFA Rates'!$L$5:$L$1004,$T326))))</f>
        <v/>
      </c>
      <c r="O326" s="78">
        <f>IF(OR($T326="",$U326=""),"",IF(INDEX(Firms!$C$5:$C$1004,$U326)="","",INDEX(Firms!$C$5:$C$1004,$U326)))</f>
        <v/>
      </c>
      <c r="P326" s="79">
        <f>IF(OR($T326="",$U326=""),"",IF(INDEX(Firms!$N$5:$N$1004,$U326)="","",INDEX(Firms!$N$5:$N$1004,$U326)))</f>
        <v/>
      </c>
      <c r="Q326" s="78">
        <f>IF($T326="","",IF($S326="S",IF(INDEX(Firms!$T$5:$T$1004,$T326)="","",INDEX(Firms!$T$5:$T$1004,$T326)),IF(INDEX('AFA Rates'!$M$5:$M$1004,$T326)="","",INDEX('AFA Rates'!$M$5:$M$1004,$T326))))</f>
        <v/>
      </c>
      <c r="S326">
        <f>IF(322&lt;=$S$2,"S",IF(322&lt;=$S$2+$T$2,"A",""))</f>
        <v/>
      </c>
      <c r="T326">
        <f>IF(S326="S",MATCH(322,Firms!$W$5:$W$1004,0),IF(S326="A",IFERROR(MATCH(322-$S$2,'AFA Rates'!$R$5:$R$1004,0),""),""))</f>
        <v/>
      </c>
      <c r="U326">
        <f>IF(S326="S",T326,IF(AND(S326="A",T326&lt;&gt;""),IFERROR(MATCH(INDEX('AFA Rates'!$A$5:$A$1004,T326),Firms!$A$5:$A$1004,0),""),""))</f>
        <v/>
      </c>
    </row>
    <row r="327">
      <c r="A327" s="78">
        <f>IF($T327="","",IF($S327="S",IF(INDEX(Firms!$A$5:$A$1004,$T327)="","",INDEX(Firms!$A$5:$A$1004,$T327)),IF(INDEX('AFA Rates'!$A$5:$A$1004,$T327)="","",INDEX('AFA Rates'!$A$5:$A$1004,$T327))))</f>
        <v/>
      </c>
      <c r="B327" s="79">
        <f>IF(OR($T327="",$U327=""),IF($T327="","","Not on Firms tab"),INDEX(Firms!$B$5:$B$1004,$U327)&amp;"")</f>
        <v/>
      </c>
      <c r="C327" s="78">
        <f>IF($T327="","",IF($S327="S","Standard",INDEX('AFA Rates'!$B$5:$B$1004,$T327)&amp;""))</f>
        <v/>
      </c>
      <c r="D327" s="88">
        <f>IF($T327="","",IF($S327="S",IF(INDEX(Firms!$E$5:$E$1004,$T327)="","",INDEX(Firms!$E$5:$E$1004,$T327)),IF(INDEX('AFA Rates'!$C$5:$C$1004,$T327)="","",INDEX('AFA Rates'!$C$5:$C$1004,$T327))))</f>
        <v/>
      </c>
      <c r="E327" s="88">
        <f>IF($T327="","",IF($S327="S",IF(""="","",""),IF(INDEX('AFA Rates'!$D$5:$D$1004,$T327)="","",INDEX('AFA Rates'!$D$5:$D$1004,$T327))))</f>
        <v/>
      </c>
      <c r="F327" s="79">
        <f>IF($T327="","",IF($S327="S",IF(INDEX(Firms!$O$5:$O$1004,$T327)="","",INDEX(Firms!$O$5:$O$1004,$T327)),IF(INDEX('AFA Rates'!$O$5:$O$1004,$T327)="","",INDEX('AFA Rates'!$O$5:$O$1004,$T327))))</f>
        <v/>
      </c>
      <c r="G327" s="50">
        <f>IF($T327="","",IF($S327="S",IF(INDEX(Firms!$F$5:$F$1004,$T327)="","",INDEX(Firms!$F$5:$F$1004,$T327)),IF(INDEX('AFA Rates'!$E$5:$E$1004,$T327)="","",INDEX('AFA Rates'!$E$5:$E$1004,$T327))))</f>
        <v/>
      </c>
      <c r="H327" s="50">
        <f>IF($T327="","",IF($S327="S",IF(INDEX(Firms!$G$5:$G$1004,$T327)="","",INDEX(Firms!$G$5:$G$1004,$T327)),IF(INDEX('AFA Rates'!$F$5:$F$1004,$T327)="","",INDEX('AFA Rates'!$F$5:$F$1004,$T327))))</f>
        <v/>
      </c>
      <c r="I327" s="50">
        <f>IF($T327="","",IF($S327="S",IF(INDEX(Firms!$H$5:$H$1004,$T327)="","",INDEX(Firms!$H$5:$H$1004,$T327)),IF(INDEX('AFA Rates'!$G$5:$G$1004,$T327)="","",INDEX('AFA Rates'!$G$5:$G$1004,$T327))))</f>
        <v/>
      </c>
      <c r="J327" s="50">
        <f>IF($T327="","",IF($S327="S",IF(INDEX(Firms!$I$5:$I$1004,$T327)="","",INDEX(Firms!$I$5:$I$1004,$T327)),IF(INDEX('AFA Rates'!$H$5:$H$1004,$T327)="","",INDEX('AFA Rates'!$H$5:$H$1004,$T327))))</f>
        <v/>
      </c>
      <c r="K327" s="50">
        <f>IF($T327="","",IF($S327="S",IF(INDEX(Firms!$J$5:$J$1004,$T327)="","",INDEX(Firms!$J$5:$J$1004,$T327)),IF(INDEX('AFA Rates'!$I$5:$I$1004,$T327)="","",INDEX('AFA Rates'!$I$5:$I$1004,$T327))))</f>
        <v/>
      </c>
      <c r="L327" s="50">
        <f>IF($T327="","",IF($S327="S",IF(INDEX(Firms!$K$5:$K$1004,$T327)="","",INDEX(Firms!$K$5:$K$1004,$T327)),IF(INDEX('AFA Rates'!$J$5:$J$1004,$T327)="","",INDEX('AFA Rates'!$J$5:$J$1004,$T327))))</f>
        <v/>
      </c>
      <c r="M327" s="50">
        <f>IF($T327="","",IF($S327="S",IF(INDEX(Firms!$L$5:$L$1004,$T327)="","",INDEX(Firms!$L$5:$L$1004,$T327)),IF(INDEX('AFA Rates'!$K$5:$K$1004,$T327)="","",INDEX('AFA Rates'!$K$5:$K$1004,$T327))))</f>
        <v/>
      </c>
      <c r="N327" s="50">
        <f>IF($T327="","",IF($S327="S",IF(INDEX(Firms!$M$5:$M$1004,$T327)="","",INDEX(Firms!$M$5:$M$1004,$T327)),IF(INDEX('AFA Rates'!$L$5:$L$1004,$T327)="","",INDEX('AFA Rates'!$L$5:$L$1004,$T327))))</f>
        <v/>
      </c>
      <c r="O327" s="78">
        <f>IF(OR($T327="",$U327=""),"",IF(INDEX(Firms!$C$5:$C$1004,$U327)="","",INDEX(Firms!$C$5:$C$1004,$U327)))</f>
        <v/>
      </c>
      <c r="P327" s="79">
        <f>IF(OR($T327="",$U327=""),"",IF(INDEX(Firms!$N$5:$N$1004,$U327)="","",INDEX(Firms!$N$5:$N$1004,$U327)))</f>
        <v/>
      </c>
      <c r="Q327" s="78">
        <f>IF($T327="","",IF($S327="S",IF(INDEX(Firms!$T$5:$T$1004,$T327)="","",INDEX(Firms!$T$5:$T$1004,$T327)),IF(INDEX('AFA Rates'!$M$5:$M$1004,$T327)="","",INDEX('AFA Rates'!$M$5:$M$1004,$T327))))</f>
        <v/>
      </c>
      <c r="S327">
        <f>IF(323&lt;=$S$2,"S",IF(323&lt;=$S$2+$T$2,"A",""))</f>
        <v/>
      </c>
      <c r="T327">
        <f>IF(S327="S",MATCH(323,Firms!$W$5:$W$1004,0),IF(S327="A",IFERROR(MATCH(323-$S$2,'AFA Rates'!$R$5:$R$1004,0),""),""))</f>
        <v/>
      </c>
      <c r="U327">
        <f>IF(S327="S",T327,IF(AND(S327="A",T327&lt;&gt;""),IFERROR(MATCH(INDEX('AFA Rates'!$A$5:$A$1004,T327),Firms!$A$5:$A$1004,0),""),""))</f>
        <v/>
      </c>
    </row>
    <row r="328">
      <c r="A328" s="78">
        <f>IF($T328="","",IF($S328="S",IF(INDEX(Firms!$A$5:$A$1004,$T328)="","",INDEX(Firms!$A$5:$A$1004,$T328)),IF(INDEX('AFA Rates'!$A$5:$A$1004,$T328)="","",INDEX('AFA Rates'!$A$5:$A$1004,$T328))))</f>
        <v/>
      </c>
      <c r="B328" s="79">
        <f>IF(OR($T328="",$U328=""),IF($T328="","","Not on Firms tab"),INDEX(Firms!$B$5:$B$1004,$U328)&amp;"")</f>
        <v/>
      </c>
      <c r="C328" s="78">
        <f>IF($T328="","",IF($S328="S","Standard",INDEX('AFA Rates'!$B$5:$B$1004,$T328)&amp;""))</f>
        <v/>
      </c>
      <c r="D328" s="88">
        <f>IF($T328="","",IF($S328="S",IF(INDEX(Firms!$E$5:$E$1004,$T328)="","",INDEX(Firms!$E$5:$E$1004,$T328)),IF(INDEX('AFA Rates'!$C$5:$C$1004,$T328)="","",INDEX('AFA Rates'!$C$5:$C$1004,$T328))))</f>
        <v/>
      </c>
      <c r="E328" s="88">
        <f>IF($T328="","",IF($S328="S",IF(""="","",""),IF(INDEX('AFA Rates'!$D$5:$D$1004,$T328)="","",INDEX('AFA Rates'!$D$5:$D$1004,$T328))))</f>
        <v/>
      </c>
      <c r="F328" s="79">
        <f>IF($T328="","",IF($S328="S",IF(INDEX(Firms!$O$5:$O$1004,$T328)="","",INDEX(Firms!$O$5:$O$1004,$T328)),IF(INDEX('AFA Rates'!$O$5:$O$1004,$T328)="","",INDEX('AFA Rates'!$O$5:$O$1004,$T328))))</f>
        <v/>
      </c>
      <c r="G328" s="50">
        <f>IF($T328="","",IF($S328="S",IF(INDEX(Firms!$F$5:$F$1004,$T328)="","",INDEX(Firms!$F$5:$F$1004,$T328)),IF(INDEX('AFA Rates'!$E$5:$E$1004,$T328)="","",INDEX('AFA Rates'!$E$5:$E$1004,$T328))))</f>
        <v/>
      </c>
      <c r="H328" s="50">
        <f>IF($T328="","",IF($S328="S",IF(INDEX(Firms!$G$5:$G$1004,$T328)="","",INDEX(Firms!$G$5:$G$1004,$T328)),IF(INDEX('AFA Rates'!$F$5:$F$1004,$T328)="","",INDEX('AFA Rates'!$F$5:$F$1004,$T328))))</f>
        <v/>
      </c>
      <c r="I328" s="50">
        <f>IF($T328="","",IF($S328="S",IF(INDEX(Firms!$H$5:$H$1004,$T328)="","",INDEX(Firms!$H$5:$H$1004,$T328)),IF(INDEX('AFA Rates'!$G$5:$G$1004,$T328)="","",INDEX('AFA Rates'!$G$5:$G$1004,$T328))))</f>
        <v/>
      </c>
      <c r="J328" s="50">
        <f>IF($T328="","",IF($S328="S",IF(INDEX(Firms!$I$5:$I$1004,$T328)="","",INDEX(Firms!$I$5:$I$1004,$T328)),IF(INDEX('AFA Rates'!$H$5:$H$1004,$T328)="","",INDEX('AFA Rates'!$H$5:$H$1004,$T328))))</f>
        <v/>
      </c>
      <c r="K328" s="50">
        <f>IF($T328="","",IF($S328="S",IF(INDEX(Firms!$J$5:$J$1004,$T328)="","",INDEX(Firms!$J$5:$J$1004,$T328)),IF(INDEX('AFA Rates'!$I$5:$I$1004,$T328)="","",INDEX('AFA Rates'!$I$5:$I$1004,$T328))))</f>
        <v/>
      </c>
      <c r="L328" s="50">
        <f>IF($T328="","",IF($S328="S",IF(INDEX(Firms!$K$5:$K$1004,$T328)="","",INDEX(Firms!$K$5:$K$1004,$T328)),IF(INDEX('AFA Rates'!$J$5:$J$1004,$T328)="","",INDEX('AFA Rates'!$J$5:$J$1004,$T328))))</f>
        <v/>
      </c>
      <c r="M328" s="50">
        <f>IF($T328="","",IF($S328="S",IF(INDEX(Firms!$L$5:$L$1004,$T328)="","",INDEX(Firms!$L$5:$L$1004,$T328)),IF(INDEX('AFA Rates'!$K$5:$K$1004,$T328)="","",INDEX('AFA Rates'!$K$5:$K$1004,$T328))))</f>
        <v/>
      </c>
      <c r="N328" s="50">
        <f>IF($T328="","",IF($S328="S",IF(INDEX(Firms!$M$5:$M$1004,$T328)="","",INDEX(Firms!$M$5:$M$1004,$T328)),IF(INDEX('AFA Rates'!$L$5:$L$1004,$T328)="","",INDEX('AFA Rates'!$L$5:$L$1004,$T328))))</f>
        <v/>
      </c>
      <c r="O328" s="78">
        <f>IF(OR($T328="",$U328=""),"",IF(INDEX(Firms!$C$5:$C$1004,$U328)="","",INDEX(Firms!$C$5:$C$1004,$U328)))</f>
        <v/>
      </c>
      <c r="P328" s="79">
        <f>IF(OR($T328="",$U328=""),"",IF(INDEX(Firms!$N$5:$N$1004,$U328)="","",INDEX(Firms!$N$5:$N$1004,$U328)))</f>
        <v/>
      </c>
      <c r="Q328" s="78">
        <f>IF($T328="","",IF($S328="S",IF(INDEX(Firms!$T$5:$T$1004,$T328)="","",INDEX(Firms!$T$5:$T$1004,$T328)),IF(INDEX('AFA Rates'!$M$5:$M$1004,$T328)="","",INDEX('AFA Rates'!$M$5:$M$1004,$T328))))</f>
        <v/>
      </c>
      <c r="S328">
        <f>IF(324&lt;=$S$2,"S",IF(324&lt;=$S$2+$T$2,"A",""))</f>
        <v/>
      </c>
      <c r="T328">
        <f>IF(S328="S",MATCH(324,Firms!$W$5:$W$1004,0),IF(S328="A",IFERROR(MATCH(324-$S$2,'AFA Rates'!$R$5:$R$1004,0),""),""))</f>
        <v/>
      </c>
      <c r="U328">
        <f>IF(S328="S",T328,IF(AND(S328="A",T328&lt;&gt;""),IFERROR(MATCH(INDEX('AFA Rates'!$A$5:$A$1004,T328),Firms!$A$5:$A$1004,0),""),""))</f>
        <v/>
      </c>
    </row>
    <row r="329">
      <c r="A329" s="78">
        <f>IF($T329="","",IF($S329="S",IF(INDEX(Firms!$A$5:$A$1004,$T329)="","",INDEX(Firms!$A$5:$A$1004,$T329)),IF(INDEX('AFA Rates'!$A$5:$A$1004,$T329)="","",INDEX('AFA Rates'!$A$5:$A$1004,$T329))))</f>
        <v/>
      </c>
      <c r="B329" s="79">
        <f>IF(OR($T329="",$U329=""),IF($T329="","","Not on Firms tab"),INDEX(Firms!$B$5:$B$1004,$U329)&amp;"")</f>
        <v/>
      </c>
      <c r="C329" s="78">
        <f>IF($T329="","",IF($S329="S","Standard",INDEX('AFA Rates'!$B$5:$B$1004,$T329)&amp;""))</f>
        <v/>
      </c>
      <c r="D329" s="88">
        <f>IF($T329="","",IF($S329="S",IF(INDEX(Firms!$E$5:$E$1004,$T329)="","",INDEX(Firms!$E$5:$E$1004,$T329)),IF(INDEX('AFA Rates'!$C$5:$C$1004,$T329)="","",INDEX('AFA Rates'!$C$5:$C$1004,$T329))))</f>
        <v/>
      </c>
      <c r="E329" s="88">
        <f>IF($T329="","",IF($S329="S",IF(""="","",""),IF(INDEX('AFA Rates'!$D$5:$D$1004,$T329)="","",INDEX('AFA Rates'!$D$5:$D$1004,$T329))))</f>
        <v/>
      </c>
      <c r="F329" s="79">
        <f>IF($T329="","",IF($S329="S",IF(INDEX(Firms!$O$5:$O$1004,$T329)="","",INDEX(Firms!$O$5:$O$1004,$T329)),IF(INDEX('AFA Rates'!$O$5:$O$1004,$T329)="","",INDEX('AFA Rates'!$O$5:$O$1004,$T329))))</f>
        <v/>
      </c>
      <c r="G329" s="50">
        <f>IF($T329="","",IF($S329="S",IF(INDEX(Firms!$F$5:$F$1004,$T329)="","",INDEX(Firms!$F$5:$F$1004,$T329)),IF(INDEX('AFA Rates'!$E$5:$E$1004,$T329)="","",INDEX('AFA Rates'!$E$5:$E$1004,$T329))))</f>
        <v/>
      </c>
      <c r="H329" s="50">
        <f>IF($T329="","",IF($S329="S",IF(INDEX(Firms!$G$5:$G$1004,$T329)="","",INDEX(Firms!$G$5:$G$1004,$T329)),IF(INDEX('AFA Rates'!$F$5:$F$1004,$T329)="","",INDEX('AFA Rates'!$F$5:$F$1004,$T329))))</f>
        <v/>
      </c>
      <c r="I329" s="50">
        <f>IF($T329="","",IF($S329="S",IF(INDEX(Firms!$H$5:$H$1004,$T329)="","",INDEX(Firms!$H$5:$H$1004,$T329)),IF(INDEX('AFA Rates'!$G$5:$G$1004,$T329)="","",INDEX('AFA Rates'!$G$5:$G$1004,$T329))))</f>
        <v/>
      </c>
      <c r="J329" s="50">
        <f>IF($T329="","",IF($S329="S",IF(INDEX(Firms!$I$5:$I$1004,$T329)="","",INDEX(Firms!$I$5:$I$1004,$T329)),IF(INDEX('AFA Rates'!$H$5:$H$1004,$T329)="","",INDEX('AFA Rates'!$H$5:$H$1004,$T329))))</f>
        <v/>
      </c>
      <c r="K329" s="50">
        <f>IF($T329="","",IF($S329="S",IF(INDEX(Firms!$J$5:$J$1004,$T329)="","",INDEX(Firms!$J$5:$J$1004,$T329)),IF(INDEX('AFA Rates'!$I$5:$I$1004,$T329)="","",INDEX('AFA Rates'!$I$5:$I$1004,$T329))))</f>
        <v/>
      </c>
      <c r="L329" s="50">
        <f>IF($T329="","",IF($S329="S",IF(INDEX(Firms!$K$5:$K$1004,$T329)="","",INDEX(Firms!$K$5:$K$1004,$T329)),IF(INDEX('AFA Rates'!$J$5:$J$1004,$T329)="","",INDEX('AFA Rates'!$J$5:$J$1004,$T329))))</f>
        <v/>
      </c>
      <c r="M329" s="50">
        <f>IF($T329="","",IF($S329="S",IF(INDEX(Firms!$L$5:$L$1004,$T329)="","",INDEX(Firms!$L$5:$L$1004,$T329)),IF(INDEX('AFA Rates'!$K$5:$K$1004,$T329)="","",INDEX('AFA Rates'!$K$5:$K$1004,$T329))))</f>
        <v/>
      </c>
      <c r="N329" s="50">
        <f>IF($T329="","",IF($S329="S",IF(INDEX(Firms!$M$5:$M$1004,$T329)="","",INDEX(Firms!$M$5:$M$1004,$T329)),IF(INDEX('AFA Rates'!$L$5:$L$1004,$T329)="","",INDEX('AFA Rates'!$L$5:$L$1004,$T329))))</f>
        <v/>
      </c>
      <c r="O329" s="78">
        <f>IF(OR($T329="",$U329=""),"",IF(INDEX(Firms!$C$5:$C$1004,$U329)="","",INDEX(Firms!$C$5:$C$1004,$U329)))</f>
        <v/>
      </c>
      <c r="P329" s="79">
        <f>IF(OR($T329="",$U329=""),"",IF(INDEX(Firms!$N$5:$N$1004,$U329)="","",INDEX(Firms!$N$5:$N$1004,$U329)))</f>
        <v/>
      </c>
      <c r="Q329" s="78">
        <f>IF($T329="","",IF($S329="S",IF(INDEX(Firms!$T$5:$T$1004,$T329)="","",INDEX(Firms!$T$5:$T$1004,$T329)),IF(INDEX('AFA Rates'!$M$5:$M$1004,$T329)="","",INDEX('AFA Rates'!$M$5:$M$1004,$T329))))</f>
        <v/>
      </c>
      <c r="S329">
        <f>IF(325&lt;=$S$2,"S",IF(325&lt;=$S$2+$T$2,"A",""))</f>
        <v/>
      </c>
      <c r="T329">
        <f>IF(S329="S",MATCH(325,Firms!$W$5:$W$1004,0),IF(S329="A",IFERROR(MATCH(325-$S$2,'AFA Rates'!$R$5:$R$1004,0),""),""))</f>
        <v/>
      </c>
      <c r="U329">
        <f>IF(S329="S",T329,IF(AND(S329="A",T329&lt;&gt;""),IFERROR(MATCH(INDEX('AFA Rates'!$A$5:$A$1004,T329),Firms!$A$5:$A$1004,0),""),""))</f>
        <v/>
      </c>
    </row>
    <row r="330">
      <c r="A330" s="78">
        <f>IF($T330="","",IF($S330="S",IF(INDEX(Firms!$A$5:$A$1004,$T330)="","",INDEX(Firms!$A$5:$A$1004,$T330)),IF(INDEX('AFA Rates'!$A$5:$A$1004,$T330)="","",INDEX('AFA Rates'!$A$5:$A$1004,$T330))))</f>
        <v/>
      </c>
      <c r="B330" s="79">
        <f>IF(OR($T330="",$U330=""),IF($T330="","","Not on Firms tab"),INDEX(Firms!$B$5:$B$1004,$U330)&amp;"")</f>
        <v/>
      </c>
      <c r="C330" s="78">
        <f>IF($T330="","",IF($S330="S","Standard",INDEX('AFA Rates'!$B$5:$B$1004,$T330)&amp;""))</f>
        <v/>
      </c>
      <c r="D330" s="88">
        <f>IF($T330="","",IF($S330="S",IF(INDEX(Firms!$E$5:$E$1004,$T330)="","",INDEX(Firms!$E$5:$E$1004,$T330)),IF(INDEX('AFA Rates'!$C$5:$C$1004,$T330)="","",INDEX('AFA Rates'!$C$5:$C$1004,$T330))))</f>
        <v/>
      </c>
      <c r="E330" s="88">
        <f>IF($T330="","",IF($S330="S",IF(""="","",""),IF(INDEX('AFA Rates'!$D$5:$D$1004,$T330)="","",INDEX('AFA Rates'!$D$5:$D$1004,$T330))))</f>
        <v/>
      </c>
      <c r="F330" s="79">
        <f>IF($T330="","",IF($S330="S",IF(INDEX(Firms!$O$5:$O$1004,$T330)="","",INDEX(Firms!$O$5:$O$1004,$T330)),IF(INDEX('AFA Rates'!$O$5:$O$1004,$T330)="","",INDEX('AFA Rates'!$O$5:$O$1004,$T330))))</f>
        <v/>
      </c>
      <c r="G330" s="50">
        <f>IF($T330="","",IF($S330="S",IF(INDEX(Firms!$F$5:$F$1004,$T330)="","",INDEX(Firms!$F$5:$F$1004,$T330)),IF(INDEX('AFA Rates'!$E$5:$E$1004,$T330)="","",INDEX('AFA Rates'!$E$5:$E$1004,$T330))))</f>
        <v/>
      </c>
      <c r="H330" s="50">
        <f>IF($T330="","",IF($S330="S",IF(INDEX(Firms!$G$5:$G$1004,$T330)="","",INDEX(Firms!$G$5:$G$1004,$T330)),IF(INDEX('AFA Rates'!$F$5:$F$1004,$T330)="","",INDEX('AFA Rates'!$F$5:$F$1004,$T330))))</f>
        <v/>
      </c>
      <c r="I330" s="50">
        <f>IF($T330="","",IF($S330="S",IF(INDEX(Firms!$H$5:$H$1004,$T330)="","",INDEX(Firms!$H$5:$H$1004,$T330)),IF(INDEX('AFA Rates'!$G$5:$G$1004,$T330)="","",INDEX('AFA Rates'!$G$5:$G$1004,$T330))))</f>
        <v/>
      </c>
      <c r="J330" s="50">
        <f>IF($T330="","",IF($S330="S",IF(INDEX(Firms!$I$5:$I$1004,$T330)="","",INDEX(Firms!$I$5:$I$1004,$T330)),IF(INDEX('AFA Rates'!$H$5:$H$1004,$T330)="","",INDEX('AFA Rates'!$H$5:$H$1004,$T330))))</f>
        <v/>
      </c>
      <c r="K330" s="50">
        <f>IF($T330="","",IF($S330="S",IF(INDEX(Firms!$J$5:$J$1004,$T330)="","",INDEX(Firms!$J$5:$J$1004,$T330)),IF(INDEX('AFA Rates'!$I$5:$I$1004,$T330)="","",INDEX('AFA Rates'!$I$5:$I$1004,$T330))))</f>
        <v/>
      </c>
      <c r="L330" s="50">
        <f>IF($T330="","",IF($S330="S",IF(INDEX(Firms!$K$5:$K$1004,$T330)="","",INDEX(Firms!$K$5:$K$1004,$T330)),IF(INDEX('AFA Rates'!$J$5:$J$1004,$T330)="","",INDEX('AFA Rates'!$J$5:$J$1004,$T330))))</f>
        <v/>
      </c>
      <c r="M330" s="50">
        <f>IF($T330="","",IF($S330="S",IF(INDEX(Firms!$L$5:$L$1004,$T330)="","",INDEX(Firms!$L$5:$L$1004,$T330)),IF(INDEX('AFA Rates'!$K$5:$K$1004,$T330)="","",INDEX('AFA Rates'!$K$5:$K$1004,$T330))))</f>
        <v/>
      </c>
      <c r="N330" s="50">
        <f>IF($T330="","",IF($S330="S",IF(INDEX(Firms!$M$5:$M$1004,$T330)="","",INDEX(Firms!$M$5:$M$1004,$T330)),IF(INDEX('AFA Rates'!$L$5:$L$1004,$T330)="","",INDEX('AFA Rates'!$L$5:$L$1004,$T330))))</f>
        <v/>
      </c>
      <c r="O330" s="78">
        <f>IF(OR($T330="",$U330=""),"",IF(INDEX(Firms!$C$5:$C$1004,$U330)="","",INDEX(Firms!$C$5:$C$1004,$U330)))</f>
        <v/>
      </c>
      <c r="P330" s="79">
        <f>IF(OR($T330="",$U330=""),"",IF(INDEX(Firms!$N$5:$N$1004,$U330)="","",INDEX(Firms!$N$5:$N$1004,$U330)))</f>
        <v/>
      </c>
      <c r="Q330" s="78">
        <f>IF($T330="","",IF($S330="S",IF(INDEX(Firms!$T$5:$T$1004,$T330)="","",INDEX(Firms!$T$5:$T$1004,$T330)),IF(INDEX('AFA Rates'!$M$5:$M$1004,$T330)="","",INDEX('AFA Rates'!$M$5:$M$1004,$T330))))</f>
        <v/>
      </c>
      <c r="S330">
        <f>IF(326&lt;=$S$2,"S",IF(326&lt;=$S$2+$T$2,"A",""))</f>
        <v/>
      </c>
      <c r="T330">
        <f>IF(S330="S",MATCH(326,Firms!$W$5:$W$1004,0),IF(S330="A",IFERROR(MATCH(326-$S$2,'AFA Rates'!$R$5:$R$1004,0),""),""))</f>
        <v/>
      </c>
      <c r="U330">
        <f>IF(S330="S",T330,IF(AND(S330="A",T330&lt;&gt;""),IFERROR(MATCH(INDEX('AFA Rates'!$A$5:$A$1004,T330),Firms!$A$5:$A$1004,0),""),""))</f>
        <v/>
      </c>
    </row>
    <row r="331">
      <c r="A331" s="78">
        <f>IF($T331="","",IF($S331="S",IF(INDEX(Firms!$A$5:$A$1004,$T331)="","",INDEX(Firms!$A$5:$A$1004,$T331)),IF(INDEX('AFA Rates'!$A$5:$A$1004,$T331)="","",INDEX('AFA Rates'!$A$5:$A$1004,$T331))))</f>
        <v/>
      </c>
      <c r="B331" s="79">
        <f>IF(OR($T331="",$U331=""),IF($T331="","","Not on Firms tab"),INDEX(Firms!$B$5:$B$1004,$U331)&amp;"")</f>
        <v/>
      </c>
      <c r="C331" s="78">
        <f>IF($T331="","",IF($S331="S","Standard",INDEX('AFA Rates'!$B$5:$B$1004,$T331)&amp;""))</f>
        <v/>
      </c>
      <c r="D331" s="88">
        <f>IF($T331="","",IF($S331="S",IF(INDEX(Firms!$E$5:$E$1004,$T331)="","",INDEX(Firms!$E$5:$E$1004,$T331)),IF(INDEX('AFA Rates'!$C$5:$C$1004,$T331)="","",INDEX('AFA Rates'!$C$5:$C$1004,$T331))))</f>
        <v/>
      </c>
      <c r="E331" s="88">
        <f>IF($T331="","",IF($S331="S",IF(""="","",""),IF(INDEX('AFA Rates'!$D$5:$D$1004,$T331)="","",INDEX('AFA Rates'!$D$5:$D$1004,$T331))))</f>
        <v/>
      </c>
      <c r="F331" s="79">
        <f>IF($T331="","",IF($S331="S",IF(INDEX(Firms!$O$5:$O$1004,$T331)="","",INDEX(Firms!$O$5:$O$1004,$T331)),IF(INDEX('AFA Rates'!$O$5:$O$1004,$T331)="","",INDEX('AFA Rates'!$O$5:$O$1004,$T331))))</f>
        <v/>
      </c>
      <c r="G331" s="50">
        <f>IF($T331="","",IF($S331="S",IF(INDEX(Firms!$F$5:$F$1004,$T331)="","",INDEX(Firms!$F$5:$F$1004,$T331)),IF(INDEX('AFA Rates'!$E$5:$E$1004,$T331)="","",INDEX('AFA Rates'!$E$5:$E$1004,$T331))))</f>
        <v/>
      </c>
      <c r="H331" s="50">
        <f>IF($T331="","",IF($S331="S",IF(INDEX(Firms!$G$5:$G$1004,$T331)="","",INDEX(Firms!$G$5:$G$1004,$T331)),IF(INDEX('AFA Rates'!$F$5:$F$1004,$T331)="","",INDEX('AFA Rates'!$F$5:$F$1004,$T331))))</f>
        <v/>
      </c>
      <c r="I331" s="50">
        <f>IF($T331="","",IF($S331="S",IF(INDEX(Firms!$H$5:$H$1004,$T331)="","",INDEX(Firms!$H$5:$H$1004,$T331)),IF(INDEX('AFA Rates'!$G$5:$G$1004,$T331)="","",INDEX('AFA Rates'!$G$5:$G$1004,$T331))))</f>
        <v/>
      </c>
      <c r="J331" s="50">
        <f>IF($T331="","",IF($S331="S",IF(INDEX(Firms!$I$5:$I$1004,$T331)="","",INDEX(Firms!$I$5:$I$1004,$T331)),IF(INDEX('AFA Rates'!$H$5:$H$1004,$T331)="","",INDEX('AFA Rates'!$H$5:$H$1004,$T331))))</f>
        <v/>
      </c>
      <c r="K331" s="50">
        <f>IF($T331="","",IF($S331="S",IF(INDEX(Firms!$J$5:$J$1004,$T331)="","",INDEX(Firms!$J$5:$J$1004,$T331)),IF(INDEX('AFA Rates'!$I$5:$I$1004,$T331)="","",INDEX('AFA Rates'!$I$5:$I$1004,$T331))))</f>
        <v/>
      </c>
      <c r="L331" s="50">
        <f>IF($T331="","",IF($S331="S",IF(INDEX(Firms!$K$5:$K$1004,$T331)="","",INDEX(Firms!$K$5:$K$1004,$T331)),IF(INDEX('AFA Rates'!$J$5:$J$1004,$T331)="","",INDEX('AFA Rates'!$J$5:$J$1004,$T331))))</f>
        <v/>
      </c>
      <c r="M331" s="50">
        <f>IF($T331="","",IF($S331="S",IF(INDEX(Firms!$L$5:$L$1004,$T331)="","",INDEX(Firms!$L$5:$L$1004,$T331)),IF(INDEX('AFA Rates'!$K$5:$K$1004,$T331)="","",INDEX('AFA Rates'!$K$5:$K$1004,$T331))))</f>
        <v/>
      </c>
      <c r="N331" s="50">
        <f>IF($T331="","",IF($S331="S",IF(INDEX(Firms!$M$5:$M$1004,$T331)="","",INDEX(Firms!$M$5:$M$1004,$T331)),IF(INDEX('AFA Rates'!$L$5:$L$1004,$T331)="","",INDEX('AFA Rates'!$L$5:$L$1004,$T331))))</f>
        <v/>
      </c>
      <c r="O331" s="78">
        <f>IF(OR($T331="",$U331=""),"",IF(INDEX(Firms!$C$5:$C$1004,$U331)="","",INDEX(Firms!$C$5:$C$1004,$U331)))</f>
        <v/>
      </c>
      <c r="P331" s="79">
        <f>IF(OR($T331="",$U331=""),"",IF(INDEX(Firms!$N$5:$N$1004,$U331)="","",INDEX(Firms!$N$5:$N$1004,$U331)))</f>
        <v/>
      </c>
      <c r="Q331" s="78">
        <f>IF($T331="","",IF($S331="S",IF(INDEX(Firms!$T$5:$T$1004,$T331)="","",INDEX(Firms!$T$5:$T$1004,$T331)),IF(INDEX('AFA Rates'!$M$5:$M$1004,$T331)="","",INDEX('AFA Rates'!$M$5:$M$1004,$T331))))</f>
        <v/>
      </c>
      <c r="S331">
        <f>IF(327&lt;=$S$2,"S",IF(327&lt;=$S$2+$T$2,"A",""))</f>
        <v/>
      </c>
      <c r="T331">
        <f>IF(S331="S",MATCH(327,Firms!$W$5:$W$1004,0),IF(S331="A",IFERROR(MATCH(327-$S$2,'AFA Rates'!$R$5:$R$1004,0),""),""))</f>
        <v/>
      </c>
      <c r="U331">
        <f>IF(S331="S",T331,IF(AND(S331="A",T331&lt;&gt;""),IFERROR(MATCH(INDEX('AFA Rates'!$A$5:$A$1004,T331),Firms!$A$5:$A$1004,0),""),""))</f>
        <v/>
      </c>
    </row>
    <row r="332">
      <c r="A332" s="78">
        <f>IF($T332="","",IF($S332="S",IF(INDEX(Firms!$A$5:$A$1004,$T332)="","",INDEX(Firms!$A$5:$A$1004,$T332)),IF(INDEX('AFA Rates'!$A$5:$A$1004,$T332)="","",INDEX('AFA Rates'!$A$5:$A$1004,$T332))))</f>
        <v/>
      </c>
      <c r="B332" s="79">
        <f>IF(OR($T332="",$U332=""),IF($T332="","","Not on Firms tab"),INDEX(Firms!$B$5:$B$1004,$U332)&amp;"")</f>
        <v/>
      </c>
      <c r="C332" s="78">
        <f>IF($T332="","",IF($S332="S","Standard",INDEX('AFA Rates'!$B$5:$B$1004,$T332)&amp;""))</f>
        <v/>
      </c>
      <c r="D332" s="88">
        <f>IF($T332="","",IF($S332="S",IF(INDEX(Firms!$E$5:$E$1004,$T332)="","",INDEX(Firms!$E$5:$E$1004,$T332)),IF(INDEX('AFA Rates'!$C$5:$C$1004,$T332)="","",INDEX('AFA Rates'!$C$5:$C$1004,$T332))))</f>
        <v/>
      </c>
      <c r="E332" s="88">
        <f>IF($T332="","",IF($S332="S",IF(""="","",""),IF(INDEX('AFA Rates'!$D$5:$D$1004,$T332)="","",INDEX('AFA Rates'!$D$5:$D$1004,$T332))))</f>
        <v/>
      </c>
      <c r="F332" s="79">
        <f>IF($T332="","",IF($S332="S",IF(INDEX(Firms!$O$5:$O$1004,$T332)="","",INDEX(Firms!$O$5:$O$1004,$T332)),IF(INDEX('AFA Rates'!$O$5:$O$1004,$T332)="","",INDEX('AFA Rates'!$O$5:$O$1004,$T332))))</f>
        <v/>
      </c>
      <c r="G332" s="50">
        <f>IF($T332="","",IF($S332="S",IF(INDEX(Firms!$F$5:$F$1004,$T332)="","",INDEX(Firms!$F$5:$F$1004,$T332)),IF(INDEX('AFA Rates'!$E$5:$E$1004,$T332)="","",INDEX('AFA Rates'!$E$5:$E$1004,$T332))))</f>
        <v/>
      </c>
      <c r="H332" s="50">
        <f>IF($T332="","",IF($S332="S",IF(INDEX(Firms!$G$5:$G$1004,$T332)="","",INDEX(Firms!$G$5:$G$1004,$T332)),IF(INDEX('AFA Rates'!$F$5:$F$1004,$T332)="","",INDEX('AFA Rates'!$F$5:$F$1004,$T332))))</f>
        <v/>
      </c>
      <c r="I332" s="50">
        <f>IF($T332="","",IF($S332="S",IF(INDEX(Firms!$H$5:$H$1004,$T332)="","",INDEX(Firms!$H$5:$H$1004,$T332)),IF(INDEX('AFA Rates'!$G$5:$G$1004,$T332)="","",INDEX('AFA Rates'!$G$5:$G$1004,$T332))))</f>
        <v/>
      </c>
      <c r="J332" s="50">
        <f>IF($T332="","",IF($S332="S",IF(INDEX(Firms!$I$5:$I$1004,$T332)="","",INDEX(Firms!$I$5:$I$1004,$T332)),IF(INDEX('AFA Rates'!$H$5:$H$1004,$T332)="","",INDEX('AFA Rates'!$H$5:$H$1004,$T332))))</f>
        <v/>
      </c>
      <c r="K332" s="50">
        <f>IF($T332="","",IF($S332="S",IF(INDEX(Firms!$J$5:$J$1004,$T332)="","",INDEX(Firms!$J$5:$J$1004,$T332)),IF(INDEX('AFA Rates'!$I$5:$I$1004,$T332)="","",INDEX('AFA Rates'!$I$5:$I$1004,$T332))))</f>
        <v/>
      </c>
      <c r="L332" s="50">
        <f>IF($T332="","",IF($S332="S",IF(INDEX(Firms!$K$5:$K$1004,$T332)="","",INDEX(Firms!$K$5:$K$1004,$T332)),IF(INDEX('AFA Rates'!$J$5:$J$1004,$T332)="","",INDEX('AFA Rates'!$J$5:$J$1004,$T332))))</f>
        <v/>
      </c>
      <c r="M332" s="50">
        <f>IF($T332="","",IF($S332="S",IF(INDEX(Firms!$L$5:$L$1004,$T332)="","",INDEX(Firms!$L$5:$L$1004,$T332)),IF(INDEX('AFA Rates'!$K$5:$K$1004,$T332)="","",INDEX('AFA Rates'!$K$5:$K$1004,$T332))))</f>
        <v/>
      </c>
      <c r="N332" s="50">
        <f>IF($T332="","",IF($S332="S",IF(INDEX(Firms!$M$5:$M$1004,$T332)="","",INDEX(Firms!$M$5:$M$1004,$T332)),IF(INDEX('AFA Rates'!$L$5:$L$1004,$T332)="","",INDEX('AFA Rates'!$L$5:$L$1004,$T332))))</f>
        <v/>
      </c>
      <c r="O332" s="78">
        <f>IF(OR($T332="",$U332=""),"",IF(INDEX(Firms!$C$5:$C$1004,$U332)="","",INDEX(Firms!$C$5:$C$1004,$U332)))</f>
        <v/>
      </c>
      <c r="P332" s="79">
        <f>IF(OR($T332="",$U332=""),"",IF(INDEX(Firms!$N$5:$N$1004,$U332)="","",INDEX(Firms!$N$5:$N$1004,$U332)))</f>
        <v/>
      </c>
      <c r="Q332" s="78">
        <f>IF($T332="","",IF($S332="S",IF(INDEX(Firms!$T$5:$T$1004,$T332)="","",INDEX(Firms!$T$5:$T$1004,$T332)),IF(INDEX('AFA Rates'!$M$5:$M$1004,$T332)="","",INDEX('AFA Rates'!$M$5:$M$1004,$T332))))</f>
        <v/>
      </c>
      <c r="S332">
        <f>IF(328&lt;=$S$2,"S",IF(328&lt;=$S$2+$T$2,"A",""))</f>
        <v/>
      </c>
      <c r="T332">
        <f>IF(S332="S",MATCH(328,Firms!$W$5:$W$1004,0),IF(S332="A",IFERROR(MATCH(328-$S$2,'AFA Rates'!$R$5:$R$1004,0),""),""))</f>
        <v/>
      </c>
      <c r="U332">
        <f>IF(S332="S",T332,IF(AND(S332="A",T332&lt;&gt;""),IFERROR(MATCH(INDEX('AFA Rates'!$A$5:$A$1004,T332),Firms!$A$5:$A$1004,0),""),""))</f>
        <v/>
      </c>
    </row>
    <row r="333">
      <c r="A333" s="78">
        <f>IF($T333="","",IF($S333="S",IF(INDEX(Firms!$A$5:$A$1004,$T333)="","",INDEX(Firms!$A$5:$A$1004,$T333)),IF(INDEX('AFA Rates'!$A$5:$A$1004,$T333)="","",INDEX('AFA Rates'!$A$5:$A$1004,$T333))))</f>
        <v/>
      </c>
      <c r="B333" s="79">
        <f>IF(OR($T333="",$U333=""),IF($T333="","","Not on Firms tab"),INDEX(Firms!$B$5:$B$1004,$U333)&amp;"")</f>
        <v/>
      </c>
      <c r="C333" s="78">
        <f>IF($T333="","",IF($S333="S","Standard",INDEX('AFA Rates'!$B$5:$B$1004,$T333)&amp;""))</f>
        <v/>
      </c>
      <c r="D333" s="88">
        <f>IF($T333="","",IF($S333="S",IF(INDEX(Firms!$E$5:$E$1004,$T333)="","",INDEX(Firms!$E$5:$E$1004,$T333)),IF(INDEX('AFA Rates'!$C$5:$C$1004,$T333)="","",INDEX('AFA Rates'!$C$5:$C$1004,$T333))))</f>
        <v/>
      </c>
      <c r="E333" s="88">
        <f>IF($T333="","",IF($S333="S",IF(""="","",""),IF(INDEX('AFA Rates'!$D$5:$D$1004,$T333)="","",INDEX('AFA Rates'!$D$5:$D$1004,$T333))))</f>
        <v/>
      </c>
      <c r="F333" s="79">
        <f>IF($T333="","",IF($S333="S",IF(INDEX(Firms!$O$5:$O$1004,$T333)="","",INDEX(Firms!$O$5:$O$1004,$T333)),IF(INDEX('AFA Rates'!$O$5:$O$1004,$T333)="","",INDEX('AFA Rates'!$O$5:$O$1004,$T333))))</f>
        <v/>
      </c>
      <c r="G333" s="50">
        <f>IF($T333="","",IF($S333="S",IF(INDEX(Firms!$F$5:$F$1004,$T333)="","",INDEX(Firms!$F$5:$F$1004,$T333)),IF(INDEX('AFA Rates'!$E$5:$E$1004,$T333)="","",INDEX('AFA Rates'!$E$5:$E$1004,$T333))))</f>
        <v/>
      </c>
      <c r="H333" s="50">
        <f>IF($T333="","",IF($S333="S",IF(INDEX(Firms!$G$5:$G$1004,$T333)="","",INDEX(Firms!$G$5:$G$1004,$T333)),IF(INDEX('AFA Rates'!$F$5:$F$1004,$T333)="","",INDEX('AFA Rates'!$F$5:$F$1004,$T333))))</f>
        <v/>
      </c>
      <c r="I333" s="50">
        <f>IF($T333="","",IF($S333="S",IF(INDEX(Firms!$H$5:$H$1004,$T333)="","",INDEX(Firms!$H$5:$H$1004,$T333)),IF(INDEX('AFA Rates'!$G$5:$G$1004,$T333)="","",INDEX('AFA Rates'!$G$5:$G$1004,$T333))))</f>
        <v/>
      </c>
      <c r="J333" s="50">
        <f>IF($T333="","",IF($S333="S",IF(INDEX(Firms!$I$5:$I$1004,$T333)="","",INDEX(Firms!$I$5:$I$1004,$T333)),IF(INDEX('AFA Rates'!$H$5:$H$1004,$T333)="","",INDEX('AFA Rates'!$H$5:$H$1004,$T333))))</f>
        <v/>
      </c>
      <c r="K333" s="50">
        <f>IF($T333="","",IF($S333="S",IF(INDEX(Firms!$J$5:$J$1004,$T333)="","",INDEX(Firms!$J$5:$J$1004,$T333)),IF(INDEX('AFA Rates'!$I$5:$I$1004,$T333)="","",INDEX('AFA Rates'!$I$5:$I$1004,$T333))))</f>
        <v/>
      </c>
      <c r="L333" s="50">
        <f>IF($T333="","",IF($S333="S",IF(INDEX(Firms!$K$5:$K$1004,$T333)="","",INDEX(Firms!$K$5:$K$1004,$T333)),IF(INDEX('AFA Rates'!$J$5:$J$1004,$T333)="","",INDEX('AFA Rates'!$J$5:$J$1004,$T333))))</f>
        <v/>
      </c>
      <c r="M333" s="50">
        <f>IF($T333="","",IF($S333="S",IF(INDEX(Firms!$L$5:$L$1004,$T333)="","",INDEX(Firms!$L$5:$L$1004,$T333)),IF(INDEX('AFA Rates'!$K$5:$K$1004,$T333)="","",INDEX('AFA Rates'!$K$5:$K$1004,$T333))))</f>
        <v/>
      </c>
      <c r="N333" s="50">
        <f>IF($T333="","",IF($S333="S",IF(INDEX(Firms!$M$5:$M$1004,$T333)="","",INDEX(Firms!$M$5:$M$1004,$T333)),IF(INDEX('AFA Rates'!$L$5:$L$1004,$T333)="","",INDEX('AFA Rates'!$L$5:$L$1004,$T333))))</f>
        <v/>
      </c>
      <c r="O333" s="78">
        <f>IF(OR($T333="",$U333=""),"",IF(INDEX(Firms!$C$5:$C$1004,$U333)="","",INDEX(Firms!$C$5:$C$1004,$U333)))</f>
        <v/>
      </c>
      <c r="P333" s="79">
        <f>IF(OR($T333="",$U333=""),"",IF(INDEX(Firms!$N$5:$N$1004,$U333)="","",INDEX(Firms!$N$5:$N$1004,$U333)))</f>
        <v/>
      </c>
      <c r="Q333" s="78">
        <f>IF($T333="","",IF($S333="S",IF(INDEX(Firms!$T$5:$T$1004,$T333)="","",INDEX(Firms!$T$5:$T$1004,$T333)),IF(INDEX('AFA Rates'!$M$5:$M$1004,$T333)="","",INDEX('AFA Rates'!$M$5:$M$1004,$T333))))</f>
        <v/>
      </c>
      <c r="S333">
        <f>IF(329&lt;=$S$2,"S",IF(329&lt;=$S$2+$T$2,"A",""))</f>
        <v/>
      </c>
      <c r="T333">
        <f>IF(S333="S",MATCH(329,Firms!$W$5:$W$1004,0),IF(S333="A",IFERROR(MATCH(329-$S$2,'AFA Rates'!$R$5:$R$1004,0),""),""))</f>
        <v/>
      </c>
      <c r="U333">
        <f>IF(S333="S",T333,IF(AND(S333="A",T333&lt;&gt;""),IFERROR(MATCH(INDEX('AFA Rates'!$A$5:$A$1004,T333),Firms!$A$5:$A$1004,0),""),""))</f>
        <v/>
      </c>
    </row>
    <row r="334">
      <c r="A334" s="78">
        <f>IF($T334="","",IF($S334="S",IF(INDEX(Firms!$A$5:$A$1004,$T334)="","",INDEX(Firms!$A$5:$A$1004,$T334)),IF(INDEX('AFA Rates'!$A$5:$A$1004,$T334)="","",INDEX('AFA Rates'!$A$5:$A$1004,$T334))))</f>
        <v/>
      </c>
      <c r="B334" s="79">
        <f>IF(OR($T334="",$U334=""),IF($T334="","","Not on Firms tab"),INDEX(Firms!$B$5:$B$1004,$U334)&amp;"")</f>
        <v/>
      </c>
      <c r="C334" s="78">
        <f>IF($T334="","",IF($S334="S","Standard",INDEX('AFA Rates'!$B$5:$B$1004,$T334)&amp;""))</f>
        <v/>
      </c>
      <c r="D334" s="88">
        <f>IF($T334="","",IF($S334="S",IF(INDEX(Firms!$E$5:$E$1004,$T334)="","",INDEX(Firms!$E$5:$E$1004,$T334)),IF(INDEX('AFA Rates'!$C$5:$C$1004,$T334)="","",INDEX('AFA Rates'!$C$5:$C$1004,$T334))))</f>
        <v/>
      </c>
      <c r="E334" s="88">
        <f>IF($T334="","",IF($S334="S",IF(""="","",""),IF(INDEX('AFA Rates'!$D$5:$D$1004,$T334)="","",INDEX('AFA Rates'!$D$5:$D$1004,$T334))))</f>
        <v/>
      </c>
      <c r="F334" s="79">
        <f>IF($T334="","",IF($S334="S",IF(INDEX(Firms!$O$5:$O$1004,$T334)="","",INDEX(Firms!$O$5:$O$1004,$T334)),IF(INDEX('AFA Rates'!$O$5:$O$1004,$T334)="","",INDEX('AFA Rates'!$O$5:$O$1004,$T334))))</f>
        <v/>
      </c>
      <c r="G334" s="50">
        <f>IF($T334="","",IF($S334="S",IF(INDEX(Firms!$F$5:$F$1004,$T334)="","",INDEX(Firms!$F$5:$F$1004,$T334)),IF(INDEX('AFA Rates'!$E$5:$E$1004,$T334)="","",INDEX('AFA Rates'!$E$5:$E$1004,$T334))))</f>
        <v/>
      </c>
      <c r="H334" s="50">
        <f>IF($T334="","",IF($S334="S",IF(INDEX(Firms!$G$5:$G$1004,$T334)="","",INDEX(Firms!$G$5:$G$1004,$T334)),IF(INDEX('AFA Rates'!$F$5:$F$1004,$T334)="","",INDEX('AFA Rates'!$F$5:$F$1004,$T334))))</f>
        <v/>
      </c>
      <c r="I334" s="50">
        <f>IF($T334="","",IF($S334="S",IF(INDEX(Firms!$H$5:$H$1004,$T334)="","",INDEX(Firms!$H$5:$H$1004,$T334)),IF(INDEX('AFA Rates'!$G$5:$G$1004,$T334)="","",INDEX('AFA Rates'!$G$5:$G$1004,$T334))))</f>
        <v/>
      </c>
      <c r="J334" s="50">
        <f>IF($T334="","",IF($S334="S",IF(INDEX(Firms!$I$5:$I$1004,$T334)="","",INDEX(Firms!$I$5:$I$1004,$T334)),IF(INDEX('AFA Rates'!$H$5:$H$1004,$T334)="","",INDEX('AFA Rates'!$H$5:$H$1004,$T334))))</f>
        <v/>
      </c>
      <c r="K334" s="50">
        <f>IF($T334="","",IF($S334="S",IF(INDEX(Firms!$J$5:$J$1004,$T334)="","",INDEX(Firms!$J$5:$J$1004,$T334)),IF(INDEX('AFA Rates'!$I$5:$I$1004,$T334)="","",INDEX('AFA Rates'!$I$5:$I$1004,$T334))))</f>
        <v/>
      </c>
      <c r="L334" s="50">
        <f>IF($T334="","",IF($S334="S",IF(INDEX(Firms!$K$5:$K$1004,$T334)="","",INDEX(Firms!$K$5:$K$1004,$T334)),IF(INDEX('AFA Rates'!$J$5:$J$1004,$T334)="","",INDEX('AFA Rates'!$J$5:$J$1004,$T334))))</f>
        <v/>
      </c>
      <c r="M334" s="50">
        <f>IF($T334="","",IF($S334="S",IF(INDEX(Firms!$L$5:$L$1004,$T334)="","",INDEX(Firms!$L$5:$L$1004,$T334)),IF(INDEX('AFA Rates'!$K$5:$K$1004,$T334)="","",INDEX('AFA Rates'!$K$5:$K$1004,$T334))))</f>
        <v/>
      </c>
      <c r="N334" s="50">
        <f>IF($T334="","",IF($S334="S",IF(INDEX(Firms!$M$5:$M$1004,$T334)="","",INDEX(Firms!$M$5:$M$1004,$T334)),IF(INDEX('AFA Rates'!$L$5:$L$1004,$T334)="","",INDEX('AFA Rates'!$L$5:$L$1004,$T334))))</f>
        <v/>
      </c>
      <c r="O334" s="78">
        <f>IF(OR($T334="",$U334=""),"",IF(INDEX(Firms!$C$5:$C$1004,$U334)="","",INDEX(Firms!$C$5:$C$1004,$U334)))</f>
        <v/>
      </c>
      <c r="P334" s="79">
        <f>IF(OR($T334="",$U334=""),"",IF(INDEX(Firms!$N$5:$N$1004,$U334)="","",INDEX(Firms!$N$5:$N$1004,$U334)))</f>
        <v/>
      </c>
      <c r="Q334" s="78">
        <f>IF($T334="","",IF($S334="S",IF(INDEX(Firms!$T$5:$T$1004,$T334)="","",INDEX(Firms!$T$5:$T$1004,$T334)),IF(INDEX('AFA Rates'!$M$5:$M$1004,$T334)="","",INDEX('AFA Rates'!$M$5:$M$1004,$T334))))</f>
        <v/>
      </c>
      <c r="S334">
        <f>IF(330&lt;=$S$2,"S",IF(330&lt;=$S$2+$T$2,"A",""))</f>
        <v/>
      </c>
      <c r="T334">
        <f>IF(S334="S",MATCH(330,Firms!$W$5:$W$1004,0),IF(S334="A",IFERROR(MATCH(330-$S$2,'AFA Rates'!$R$5:$R$1004,0),""),""))</f>
        <v/>
      </c>
      <c r="U334">
        <f>IF(S334="S",T334,IF(AND(S334="A",T334&lt;&gt;""),IFERROR(MATCH(INDEX('AFA Rates'!$A$5:$A$1004,T334),Firms!$A$5:$A$1004,0),""),""))</f>
        <v/>
      </c>
    </row>
    <row r="335">
      <c r="A335" s="78">
        <f>IF($T335="","",IF($S335="S",IF(INDEX(Firms!$A$5:$A$1004,$T335)="","",INDEX(Firms!$A$5:$A$1004,$T335)),IF(INDEX('AFA Rates'!$A$5:$A$1004,$T335)="","",INDEX('AFA Rates'!$A$5:$A$1004,$T335))))</f>
        <v/>
      </c>
      <c r="B335" s="79">
        <f>IF(OR($T335="",$U335=""),IF($T335="","","Not on Firms tab"),INDEX(Firms!$B$5:$B$1004,$U335)&amp;"")</f>
        <v/>
      </c>
      <c r="C335" s="78">
        <f>IF($T335="","",IF($S335="S","Standard",INDEX('AFA Rates'!$B$5:$B$1004,$T335)&amp;""))</f>
        <v/>
      </c>
      <c r="D335" s="88">
        <f>IF($T335="","",IF($S335="S",IF(INDEX(Firms!$E$5:$E$1004,$T335)="","",INDEX(Firms!$E$5:$E$1004,$T335)),IF(INDEX('AFA Rates'!$C$5:$C$1004,$T335)="","",INDEX('AFA Rates'!$C$5:$C$1004,$T335))))</f>
        <v/>
      </c>
      <c r="E335" s="88">
        <f>IF($T335="","",IF($S335="S",IF(""="","",""),IF(INDEX('AFA Rates'!$D$5:$D$1004,$T335)="","",INDEX('AFA Rates'!$D$5:$D$1004,$T335))))</f>
        <v/>
      </c>
      <c r="F335" s="79">
        <f>IF($T335="","",IF($S335="S",IF(INDEX(Firms!$O$5:$O$1004,$T335)="","",INDEX(Firms!$O$5:$O$1004,$T335)),IF(INDEX('AFA Rates'!$O$5:$O$1004,$T335)="","",INDEX('AFA Rates'!$O$5:$O$1004,$T335))))</f>
        <v/>
      </c>
      <c r="G335" s="50">
        <f>IF($T335="","",IF($S335="S",IF(INDEX(Firms!$F$5:$F$1004,$T335)="","",INDEX(Firms!$F$5:$F$1004,$T335)),IF(INDEX('AFA Rates'!$E$5:$E$1004,$T335)="","",INDEX('AFA Rates'!$E$5:$E$1004,$T335))))</f>
        <v/>
      </c>
      <c r="H335" s="50">
        <f>IF($T335="","",IF($S335="S",IF(INDEX(Firms!$G$5:$G$1004,$T335)="","",INDEX(Firms!$G$5:$G$1004,$T335)),IF(INDEX('AFA Rates'!$F$5:$F$1004,$T335)="","",INDEX('AFA Rates'!$F$5:$F$1004,$T335))))</f>
        <v/>
      </c>
      <c r="I335" s="50">
        <f>IF($T335="","",IF($S335="S",IF(INDEX(Firms!$H$5:$H$1004,$T335)="","",INDEX(Firms!$H$5:$H$1004,$T335)),IF(INDEX('AFA Rates'!$G$5:$G$1004,$T335)="","",INDEX('AFA Rates'!$G$5:$G$1004,$T335))))</f>
        <v/>
      </c>
      <c r="J335" s="50">
        <f>IF($T335="","",IF($S335="S",IF(INDEX(Firms!$I$5:$I$1004,$T335)="","",INDEX(Firms!$I$5:$I$1004,$T335)),IF(INDEX('AFA Rates'!$H$5:$H$1004,$T335)="","",INDEX('AFA Rates'!$H$5:$H$1004,$T335))))</f>
        <v/>
      </c>
      <c r="K335" s="50">
        <f>IF($T335="","",IF($S335="S",IF(INDEX(Firms!$J$5:$J$1004,$T335)="","",INDEX(Firms!$J$5:$J$1004,$T335)),IF(INDEX('AFA Rates'!$I$5:$I$1004,$T335)="","",INDEX('AFA Rates'!$I$5:$I$1004,$T335))))</f>
        <v/>
      </c>
      <c r="L335" s="50">
        <f>IF($T335="","",IF($S335="S",IF(INDEX(Firms!$K$5:$K$1004,$T335)="","",INDEX(Firms!$K$5:$K$1004,$T335)),IF(INDEX('AFA Rates'!$J$5:$J$1004,$T335)="","",INDEX('AFA Rates'!$J$5:$J$1004,$T335))))</f>
        <v/>
      </c>
      <c r="M335" s="50">
        <f>IF($T335="","",IF($S335="S",IF(INDEX(Firms!$L$5:$L$1004,$T335)="","",INDEX(Firms!$L$5:$L$1004,$T335)),IF(INDEX('AFA Rates'!$K$5:$K$1004,$T335)="","",INDEX('AFA Rates'!$K$5:$K$1004,$T335))))</f>
        <v/>
      </c>
      <c r="N335" s="50">
        <f>IF($T335="","",IF($S335="S",IF(INDEX(Firms!$M$5:$M$1004,$T335)="","",INDEX(Firms!$M$5:$M$1004,$T335)),IF(INDEX('AFA Rates'!$L$5:$L$1004,$T335)="","",INDEX('AFA Rates'!$L$5:$L$1004,$T335))))</f>
        <v/>
      </c>
      <c r="O335" s="78">
        <f>IF(OR($T335="",$U335=""),"",IF(INDEX(Firms!$C$5:$C$1004,$U335)="","",INDEX(Firms!$C$5:$C$1004,$U335)))</f>
        <v/>
      </c>
      <c r="P335" s="79">
        <f>IF(OR($T335="",$U335=""),"",IF(INDEX(Firms!$N$5:$N$1004,$U335)="","",INDEX(Firms!$N$5:$N$1004,$U335)))</f>
        <v/>
      </c>
      <c r="Q335" s="78">
        <f>IF($T335="","",IF($S335="S",IF(INDEX(Firms!$T$5:$T$1004,$T335)="","",INDEX(Firms!$T$5:$T$1004,$T335)),IF(INDEX('AFA Rates'!$M$5:$M$1004,$T335)="","",INDEX('AFA Rates'!$M$5:$M$1004,$T335))))</f>
        <v/>
      </c>
      <c r="S335">
        <f>IF(331&lt;=$S$2,"S",IF(331&lt;=$S$2+$T$2,"A",""))</f>
        <v/>
      </c>
      <c r="T335">
        <f>IF(S335="S",MATCH(331,Firms!$W$5:$W$1004,0),IF(S335="A",IFERROR(MATCH(331-$S$2,'AFA Rates'!$R$5:$R$1004,0),""),""))</f>
        <v/>
      </c>
      <c r="U335">
        <f>IF(S335="S",T335,IF(AND(S335="A",T335&lt;&gt;""),IFERROR(MATCH(INDEX('AFA Rates'!$A$5:$A$1004,T335),Firms!$A$5:$A$1004,0),""),""))</f>
        <v/>
      </c>
    </row>
    <row r="336">
      <c r="A336" s="78">
        <f>IF($T336="","",IF($S336="S",IF(INDEX(Firms!$A$5:$A$1004,$T336)="","",INDEX(Firms!$A$5:$A$1004,$T336)),IF(INDEX('AFA Rates'!$A$5:$A$1004,$T336)="","",INDEX('AFA Rates'!$A$5:$A$1004,$T336))))</f>
        <v/>
      </c>
      <c r="B336" s="79">
        <f>IF(OR($T336="",$U336=""),IF($T336="","","Not on Firms tab"),INDEX(Firms!$B$5:$B$1004,$U336)&amp;"")</f>
        <v/>
      </c>
      <c r="C336" s="78">
        <f>IF($T336="","",IF($S336="S","Standard",INDEX('AFA Rates'!$B$5:$B$1004,$T336)&amp;""))</f>
        <v/>
      </c>
      <c r="D336" s="88">
        <f>IF($T336="","",IF($S336="S",IF(INDEX(Firms!$E$5:$E$1004,$T336)="","",INDEX(Firms!$E$5:$E$1004,$T336)),IF(INDEX('AFA Rates'!$C$5:$C$1004,$T336)="","",INDEX('AFA Rates'!$C$5:$C$1004,$T336))))</f>
        <v/>
      </c>
      <c r="E336" s="88">
        <f>IF($T336="","",IF($S336="S",IF(""="","",""),IF(INDEX('AFA Rates'!$D$5:$D$1004,$T336)="","",INDEX('AFA Rates'!$D$5:$D$1004,$T336))))</f>
        <v/>
      </c>
      <c r="F336" s="79">
        <f>IF($T336="","",IF($S336="S",IF(INDEX(Firms!$O$5:$O$1004,$T336)="","",INDEX(Firms!$O$5:$O$1004,$T336)),IF(INDEX('AFA Rates'!$O$5:$O$1004,$T336)="","",INDEX('AFA Rates'!$O$5:$O$1004,$T336))))</f>
        <v/>
      </c>
      <c r="G336" s="50">
        <f>IF($T336="","",IF($S336="S",IF(INDEX(Firms!$F$5:$F$1004,$T336)="","",INDEX(Firms!$F$5:$F$1004,$T336)),IF(INDEX('AFA Rates'!$E$5:$E$1004,$T336)="","",INDEX('AFA Rates'!$E$5:$E$1004,$T336))))</f>
        <v/>
      </c>
      <c r="H336" s="50">
        <f>IF($T336="","",IF($S336="S",IF(INDEX(Firms!$G$5:$G$1004,$T336)="","",INDEX(Firms!$G$5:$G$1004,$T336)),IF(INDEX('AFA Rates'!$F$5:$F$1004,$T336)="","",INDEX('AFA Rates'!$F$5:$F$1004,$T336))))</f>
        <v/>
      </c>
      <c r="I336" s="50">
        <f>IF($T336="","",IF($S336="S",IF(INDEX(Firms!$H$5:$H$1004,$T336)="","",INDEX(Firms!$H$5:$H$1004,$T336)),IF(INDEX('AFA Rates'!$G$5:$G$1004,$T336)="","",INDEX('AFA Rates'!$G$5:$G$1004,$T336))))</f>
        <v/>
      </c>
      <c r="J336" s="50">
        <f>IF($T336="","",IF($S336="S",IF(INDEX(Firms!$I$5:$I$1004,$T336)="","",INDEX(Firms!$I$5:$I$1004,$T336)),IF(INDEX('AFA Rates'!$H$5:$H$1004,$T336)="","",INDEX('AFA Rates'!$H$5:$H$1004,$T336))))</f>
        <v/>
      </c>
      <c r="K336" s="50">
        <f>IF($T336="","",IF($S336="S",IF(INDEX(Firms!$J$5:$J$1004,$T336)="","",INDEX(Firms!$J$5:$J$1004,$T336)),IF(INDEX('AFA Rates'!$I$5:$I$1004,$T336)="","",INDEX('AFA Rates'!$I$5:$I$1004,$T336))))</f>
        <v/>
      </c>
      <c r="L336" s="50">
        <f>IF($T336="","",IF($S336="S",IF(INDEX(Firms!$K$5:$K$1004,$T336)="","",INDEX(Firms!$K$5:$K$1004,$T336)),IF(INDEX('AFA Rates'!$J$5:$J$1004,$T336)="","",INDEX('AFA Rates'!$J$5:$J$1004,$T336))))</f>
        <v/>
      </c>
      <c r="M336" s="50">
        <f>IF($T336="","",IF($S336="S",IF(INDEX(Firms!$L$5:$L$1004,$T336)="","",INDEX(Firms!$L$5:$L$1004,$T336)),IF(INDEX('AFA Rates'!$K$5:$K$1004,$T336)="","",INDEX('AFA Rates'!$K$5:$K$1004,$T336))))</f>
        <v/>
      </c>
      <c r="N336" s="50">
        <f>IF($T336="","",IF($S336="S",IF(INDEX(Firms!$M$5:$M$1004,$T336)="","",INDEX(Firms!$M$5:$M$1004,$T336)),IF(INDEX('AFA Rates'!$L$5:$L$1004,$T336)="","",INDEX('AFA Rates'!$L$5:$L$1004,$T336))))</f>
        <v/>
      </c>
      <c r="O336" s="78">
        <f>IF(OR($T336="",$U336=""),"",IF(INDEX(Firms!$C$5:$C$1004,$U336)="","",INDEX(Firms!$C$5:$C$1004,$U336)))</f>
        <v/>
      </c>
      <c r="P336" s="79">
        <f>IF(OR($T336="",$U336=""),"",IF(INDEX(Firms!$N$5:$N$1004,$U336)="","",INDEX(Firms!$N$5:$N$1004,$U336)))</f>
        <v/>
      </c>
      <c r="Q336" s="78">
        <f>IF($T336="","",IF($S336="S",IF(INDEX(Firms!$T$5:$T$1004,$T336)="","",INDEX(Firms!$T$5:$T$1004,$T336)),IF(INDEX('AFA Rates'!$M$5:$M$1004,$T336)="","",INDEX('AFA Rates'!$M$5:$M$1004,$T336))))</f>
        <v/>
      </c>
      <c r="S336">
        <f>IF(332&lt;=$S$2,"S",IF(332&lt;=$S$2+$T$2,"A",""))</f>
        <v/>
      </c>
      <c r="T336">
        <f>IF(S336="S",MATCH(332,Firms!$W$5:$W$1004,0),IF(S336="A",IFERROR(MATCH(332-$S$2,'AFA Rates'!$R$5:$R$1004,0),""),""))</f>
        <v/>
      </c>
      <c r="U336">
        <f>IF(S336="S",T336,IF(AND(S336="A",T336&lt;&gt;""),IFERROR(MATCH(INDEX('AFA Rates'!$A$5:$A$1004,T336),Firms!$A$5:$A$1004,0),""),""))</f>
        <v/>
      </c>
    </row>
    <row r="337">
      <c r="A337" s="78">
        <f>IF($T337="","",IF($S337="S",IF(INDEX(Firms!$A$5:$A$1004,$T337)="","",INDEX(Firms!$A$5:$A$1004,$T337)),IF(INDEX('AFA Rates'!$A$5:$A$1004,$T337)="","",INDEX('AFA Rates'!$A$5:$A$1004,$T337))))</f>
        <v/>
      </c>
      <c r="B337" s="79">
        <f>IF(OR($T337="",$U337=""),IF($T337="","","Not on Firms tab"),INDEX(Firms!$B$5:$B$1004,$U337)&amp;"")</f>
        <v/>
      </c>
      <c r="C337" s="78">
        <f>IF($T337="","",IF($S337="S","Standard",INDEX('AFA Rates'!$B$5:$B$1004,$T337)&amp;""))</f>
        <v/>
      </c>
      <c r="D337" s="88">
        <f>IF($T337="","",IF($S337="S",IF(INDEX(Firms!$E$5:$E$1004,$T337)="","",INDEX(Firms!$E$5:$E$1004,$T337)),IF(INDEX('AFA Rates'!$C$5:$C$1004,$T337)="","",INDEX('AFA Rates'!$C$5:$C$1004,$T337))))</f>
        <v/>
      </c>
      <c r="E337" s="88">
        <f>IF($T337="","",IF($S337="S",IF(""="","",""),IF(INDEX('AFA Rates'!$D$5:$D$1004,$T337)="","",INDEX('AFA Rates'!$D$5:$D$1004,$T337))))</f>
        <v/>
      </c>
      <c r="F337" s="79">
        <f>IF($T337="","",IF($S337="S",IF(INDEX(Firms!$O$5:$O$1004,$T337)="","",INDEX(Firms!$O$5:$O$1004,$T337)),IF(INDEX('AFA Rates'!$O$5:$O$1004,$T337)="","",INDEX('AFA Rates'!$O$5:$O$1004,$T337))))</f>
        <v/>
      </c>
      <c r="G337" s="50">
        <f>IF($T337="","",IF($S337="S",IF(INDEX(Firms!$F$5:$F$1004,$T337)="","",INDEX(Firms!$F$5:$F$1004,$T337)),IF(INDEX('AFA Rates'!$E$5:$E$1004,$T337)="","",INDEX('AFA Rates'!$E$5:$E$1004,$T337))))</f>
        <v/>
      </c>
      <c r="H337" s="50">
        <f>IF($T337="","",IF($S337="S",IF(INDEX(Firms!$G$5:$G$1004,$T337)="","",INDEX(Firms!$G$5:$G$1004,$T337)),IF(INDEX('AFA Rates'!$F$5:$F$1004,$T337)="","",INDEX('AFA Rates'!$F$5:$F$1004,$T337))))</f>
        <v/>
      </c>
      <c r="I337" s="50">
        <f>IF($T337="","",IF($S337="S",IF(INDEX(Firms!$H$5:$H$1004,$T337)="","",INDEX(Firms!$H$5:$H$1004,$T337)),IF(INDEX('AFA Rates'!$G$5:$G$1004,$T337)="","",INDEX('AFA Rates'!$G$5:$G$1004,$T337))))</f>
        <v/>
      </c>
      <c r="J337" s="50">
        <f>IF($T337="","",IF($S337="S",IF(INDEX(Firms!$I$5:$I$1004,$T337)="","",INDEX(Firms!$I$5:$I$1004,$T337)),IF(INDEX('AFA Rates'!$H$5:$H$1004,$T337)="","",INDEX('AFA Rates'!$H$5:$H$1004,$T337))))</f>
        <v/>
      </c>
      <c r="K337" s="50">
        <f>IF($T337="","",IF($S337="S",IF(INDEX(Firms!$J$5:$J$1004,$T337)="","",INDEX(Firms!$J$5:$J$1004,$T337)),IF(INDEX('AFA Rates'!$I$5:$I$1004,$T337)="","",INDEX('AFA Rates'!$I$5:$I$1004,$T337))))</f>
        <v/>
      </c>
      <c r="L337" s="50">
        <f>IF($T337="","",IF($S337="S",IF(INDEX(Firms!$K$5:$K$1004,$T337)="","",INDEX(Firms!$K$5:$K$1004,$T337)),IF(INDEX('AFA Rates'!$J$5:$J$1004,$T337)="","",INDEX('AFA Rates'!$J$5:$J$1004,$T337))))</f>
        <v/>
      </c>
      <c r="M337" s="50">
        <f>IF($T337="","",IF($S337="S",IF(INDEX(Firms!$L$5:$L$1004,$T337)="","",INDEX(Firms!$L$5:$L$1004,$T337)),IF(INDEX('AFA Rates'!$K$5:$K$1004,$T337)="","",INDEX('AFA Rates'!$K$5:$K$1004,$T337))))</f>
        <v/>
      </c>
      <c r="N337" s="50">
        <f>IF($T337="","",IF($S337="S",IF(INDEX(Firms!$M$5:$M$1004,$T337)="","",INDEX(Firms!$M$5:$M$1004,$T337)),IF(INDEX('AFA Rates'!$L$5:$L$1004,$T337)="","",INDEX('AFA Rates'!$L$5:$L$1004,$T337))))</f>
        <v/>
      </c>
      <c r="O337" s="78">
        <f>IF(OR($T337="",$U337=""),"",IF(INDEX(Firms!$C$5:$C$1004,$U337)="","",INDEX(Firms!$C$5:$C$1004,$U337)))</f>
        <v/>
      </c>
      <c r="P337" s="79">
        <f>IF(OR($T337="",$U337=""),"",IF(INDEX(Firms!$N$5:$N$1004,$U337)="","",INDEX(Firms!$N$5:$N$1004,$U337)))</f>
        <v/>
      </c>
      <c r="Q337" s="78">
        <f>IF($T337="","",IF($S337="S",IF(INDEX(Firms!$T$5:$T$1004,$T337)="","",INDEX(Firms!$T$5:$T$1004,$T337)),IF(INDEX('AFA Rates'!$M$5:$M$1004,$T337)="","",INDEX('AFA Rates'!$M$5:$M$1004,$T337))))</f>
        <v/>
      </c>
      <c r="S337">
        <f>IF(333&lt;=$S$2,"S",IF(333&lt;=$S$2+$T$2,"A",""))</f>
        <v/>
      </c>
      <c r="T337">
        <f>IF(S337="S",MATCH(333,Firms!$W$5:$W$1004,0),IF(S337="A",IFERROR(MATCH(333-$S$2,'AFA Rates'!$R$5:$R$1004,0),""),""))</f>
        <v/>
      </c>
      <c r="U337">
        <f>IF(S337="S",T337,IF(AND(S337="A",T337&lt;&gt;""),IFERROR(MATCH(INDEX('AFA Rates'!$A$5:$A$1004,T337),Firms!$A$5:$A$1004,0),""),""))</f>
        <v/>
      </c>
    </row>
    <row r="338">
      <c r="A338" s="78">
        <f>IF($T338="","",IF($S338="S",IF(INDEX(Firms!$A$5:$A$1004,$T338)="","",INDEX(Firms!$A$5:$A$1004,$T338)),IF(INDEX('AFA Rates'!$A$5:$A$1004,$T338)="","",INDEX('AFA Rates'!$A$5:$A$1004,$T338))))</f>
        <v/>
      </c>
      <c r="B338" s="79">
        <f>IF(OR($T338="",$U338=""),IF($T338="","","Not on Firms tab"),INDEX(Firms!$B$5:$B$1004,$U338)&amp;"")</f>
        <v/>
      </c>
      <c r="C338" s="78">
        <f>IF($T338="","",IF($S338="S","Standard",INDEX('AFA Rates'!$B$5:$B$1004,$T338)&amp;""))</f>
        <v/>
      </c>
      <c r="D338" s="88">
        <f>IF($T338="","",IF($S338="S",IF(INDEX(Firms!$E$5:$E$1004,$T338)="","",INDEX(Firms!$E$5:$E$1004,$T338)),IF(INDEX('AFA Rates'!$C$5:$C$1004,$T338)="","",INDEX('AFA Rates'!$C$5:$C$1004,$T338))))</f>
        <v/>
      </c>
      <c r="E338" s="88">
        <f>IF($T338="","",IF($S338="S",IF(""="","",""),IF(INDEX('AFA Rates'!$D$5:$D$1004,$T338)="","",INDEX('AFA Rates'!$D$5:$D$1004,$T338))))</f>
        <v/>
      </c>
      <c r="F338" s="79">
        <f>IF($T338="","",IF($S338="S",IF(INDEX(Firms!$O$5:$O$1004,$T338)="","",INDEX(Firms!$O$5:$O$1004,$T338)),IF(INDEX('AFA Rates'!$O$5:$O$1004,$T338)="","",INDEX('AFA Rates'!$O$5:$O$1004,$T338))))</f>
        <v/>
      </c>
      <c r="G338" s="50">
        <f>IF($T338="","",IF($S338="S",IF(INDEX(Firms!$F$5:$F$1004,$T338)="","",INDEX(Firms!$F$5:$F$1004,$T338)),IF(INDEX('AFA Rates'!$E$5:$E$1004,$T338)="","",INDEX('AFA Rates'!$E$5:$E$1004,$T338))))</f>
        <v/>
      </c>
      <c r="H338" s="50">
        <f>IF($T338="","",IF($S338="S",IF(INDEX(Firms!$G$5:$G$1004,$T338)="","",INDEX(Firms!$G$5:$G$1004,$T338)),IF(INDEX('AFA Rates'!$F$5:$F$1004,$T338)="","",INDEX('AFA Rates'!$F$5:$F$1004,$T338))))</f>
        <v/>
      </c>
      <c r="I338" s="50">
        <f>IF($T338="","",IF($S338="S",IF(INDEX(Firms!$H$5:$H$1004,$T338)="","",INDEX(Firms!$H$5:$H$1004,$T338)),IF(INDEX('AFA Rates'!$G$5:$G$1004,$T338)="","",INDEX('AFA Rates'!$G$5:$G$1004,$T338))))</f>
        <v/>
      </c>
      <c r="J338" s="50">
        <f>IF($T338="","",IF($S338="S",IF(INDEX(Firms!$I$5:$I$1004,$T338)="","",INDEX(Firms!$I$5:$I$1004,$T338)),IF(INDEX('AFA Rates'!$H$5:$H$1004,$T338)="","",INDEX('AFA Rates'!$H$5:$H$1004,$T338))))</f>
        <v/>
      </c>
      <c r="K338" s="50">
        <f>IF($T338="","",IF($S338="S",IF(INDEX(Firms!$J$5:$J$1004,$T338)="","",INDEX(Firms!$J$5:$J$1004,$T338)),IF(INDEX('AFA Rates'!$I$5:$I$1004,$T338)="","",INDEX('AFA Rates'!$I$5:$I$1004,$T338))))</f>
        <v/>
      </c>
      <c r="L338" s="50">
        <f>IF($T338="","",IF($S338="S",IF(INDEX(Firms!$K$5:$K$1004,$T338)="","",INDEX(Firms!$K$5:$K$1004,$T338)),IF(INDEX('AFA Rates'!$J$5:$J$1004,$T338)="","",INDEX('AFA Rates'!$J$5:$J$1004,$T338))))</f>
        <v/>
      </c>
      <c r="M338" s="50">
        <f>IF($T338="","",IF($S338="S",IF(INDEX(Firms!$L$5:$L$1004,$T338)="","",INDEX(Firms!$L$5:$L$1004,$T338)),IF(INDEX('AFA Rates'!$K$5:$K$1004,$T338)="","",INDEX('AFA Rates'!$K$5:$K$1004,$T338))))</f>
        <v/>
      </c>
      <c r="N338" s="50">
        <f>IF($T338="","",IF($S338="S",IF(INDEX(Firms!$M$5:$M$1004,$T338)="","",INDEX(Firms!$M$5:$M$1004,$T338)),IF(INDEX('AFA Rates'!$L$5:$L$1004,$T338)="","",INDEX('AFA Rates'!$L$5:$L$1004,$T338))))</f>
        <v/>
      </c>
      <c r="O338" s="78">
        <f>IF(OR($T338="",$U338=""),"",IF(INDEX(Firms!$C$5:$C$1004,$U338)="","",INDEX(Firms!$C$5:$C$1004,$U338)))</f>
        <v/>
      </c>
      <c r="P338" s="79">
        <f>IF(OR($T338="",$U338=""),"",IF(INDEX(Firms!$N$5:$N$1004,$U338)="","",INDEX(Firms!$N$5:$N$1004,$U338)))</f>
        <v/>
      </c>
      <c r="Q338" s="78">
        <f>IF($T338="","",IF($S338="S",IF(INDEX(Firms!$T$5:$T$1004,$T338)="","",INDEX(Firms!$T$5:$T$1004,$T338)),IF(INDEX('AFA Rates'!$M$5:$M$1004,$T338)="","",INDEX('AFA Rates'!$M$5:$M$1004,$T338))))</f>
        <v/>
      </c>
      <c r="S338">
        <f>IF(334&lt;=$S$2,"S",IF(334&lt;=$S$2+$T$2,"A",""))</f>
        <v/>
      </c>
      <c r="T338">
        <f>IF(S338="S",MATCH(334,Firms!$W$5:$W$1004,0),IF(S338="A",IFERROR(MATCH(334-$S$2,'AFA Rates'!$R$5:$R$1004,0),""),""))</f>
        <v/>
      </c>
      <c r="U338">
        <f>IF(S338="S",T338,IF(AND(S338="A",T338&lt;&gt;""),IFERROR(MATCH(INDEX('AFA Rates'!$A$5:$A$1004,T338),Firms!$A$5:$A$1004,0),""),""))</f>
        <v/>
      </c>
    </row>
    <row r="339">
      <c r="A339" s="78">
        <f>IF($T339="","",IF($S339="S",IF(INDEX(Firms!$A$5:$A$1004,$T339)="","",INDEX(Firms!$A$5:$A$1004,$T339)),IF(INDEX('AFA Rates'!$A$5:$A$1004,$T339)="","",INDEX('AFA Rates'!$A$5:$A$1004,$T339))))</f>
        <v/>
      </c>
      <c r="B339" s="79">
        <f>IF(OR($T339="",$U339=""),IF($T339="","","Not on Firms tab"),INDEX(Firms!$B$5:$B$1004,$U339)&amp;"")</f>
        <v/>
      </c>
      <c r="C339" s="78">
        <f>IF($T339="","",IF($S339="S","Standard",INDEX('AFA Rates'!$B$5:$B$1004,$T339)&amp;""))</f>
        <v/>
      </c>
      <c r="D339" s="88">
        <f>IF($T339="","",IF($S339="S",IF(INDEX(Firms!$E$5:$E$1004,$T339)="","",INDEX(Firms!$E$5:$E$1004,$T339)),IF(INDEX('AFA Rates'!$C$5:$C$1004,$T339)="","",INDEX('AFA Rates'!$C$5:$C$1004,$T339))))</f>
        <v/>
      </c>
      <c r="E339" s="88">
        <f>IF($T339="","",IF($S339="S",IF(""="","",""),IF(INDEX('AFA Rates'!$D$5:$D$1004,$T339)="","",INDEX('AFA Rates'!$D$5:$D$1004,$T339))))</f>
        <v/>
      </c>
      <c r="F339" s="79">
        <f>IF($T339="","",IF($S339="S",IF(INDEX(Firms!$O$5:$O$1004,$T339)="","",INDEX(Firms!$O$5:$O$1004,$T339)),IF(INDEX('AFA Rates'!$O$5:$O$1004,$T339)="","",INDEX('AFA Rates'!$O$5:$O$1004,$T339))))</f>
        <v/>
      </c>
      <c r="G339" s="50">
        <f>IF($T339="","",IF($S339="S",IF(INDEX(Firms!$F$5:$F$1004,$T339)="","",INDEX(Firms!$F$5:$F$1004,$T339)),IF(INDEX('AFA Rates'!$E$5:$E$1004,$T339)="","",INDEX('AFA Rates'!$E$5:$E$1004,$T339))))</f>
        <v/>
      </c>
      <c r="H339" s="50">
        <f>IF($T339="","",IF($S339="S",IF(INDEX(Firms!$G$5:$G$1004,$T339)="","",INDEX(Firms!$G$5:$G$1004,$T339)),IF(INDEX('AFA Rates'!$F$5:$F$1004,$T339)="","",INDEX('AFA Rates'!$F$5:$F$1004,$T339))))</f>
        <v/>
      </c>
      <c r="I339" s="50">
        <f>IF($T339="","",IF($S339="S",IF(INDEX(Firms!$H$5:$H$1004,$T339)="","",INDEX(Firms!$H$5:$H$1004,$T339)),IF(INDEX('AFA Rates'!$G$5:$G$1004,$T339)="","",INDEX('AFA Rates'!$G$5:$G$1004,$T339))))</f>
        <v/>
      </c>
      <c r="J339" s="50">
        <f>IF($T339="","",IF($S339="S",IF(INDEX(Firms!$I$5:$I$1004,$T339)="","",INDEX(Firms!$I$5:$I$1004,$T339)),IF(INDEX('AFA Rates'!$H$5:$H$1004,$T339)="","",INDEX('AFA Rates'!$H$5:$H$1004,$T339))))</f>
        <v/>
      </c>
      <c r="K339" s="50">
        <f>IF($T339="","",IF($S339="S",IF(INDEX(Firms!$J$5:$J$1004,$T339)="","",INDEX(Firms!$J$5:$J$1004,$T339)),IF(INDEX('AFA Rates'!$I$5:$I$1004,$T339)="","",INDEX('AFA Rates'!$I$5:$I$1004,$T339))))</f>
        <v/>
      </c>
      <c r="L339" s="50">
        <f>IF($T339="","",IF($S339="S",IF(INDEX(Firms!$K$5:$K$1004,$T339)="","",INDEX(Firms!$K$5:$K$1004,$T339)),IF(INDEX('AFA Rates'!$J$5:$J$1004,$T339)="","",INDEX('AFA Rates'!$J$5:$J$1004,$T339))))</f>
        <v/>
      </c>
      <c r="M339" s="50">
        <f>IF($T339="","",IF($S339="S",IF(INDEX(Firms!$L$5:$L$1004,$T339)="","",INDEX(Firms!$L$5:$L$1004,$T339)),IF(INDEX('AFA Rates'!$K$5:$K$1004,$T339)="","",INDEX('AFA Rates'!$K$5:$K$1004,$T339))))</f>
        <v/>
      </c>
      <c r="N339" s="50">
        <f>IF($T339="","",IF($S339="S",IF(INDEX(Firms!$M$5:$M$1004,$T339)="","",INDEX(Firms!$M$5:$M$1004,$T339)),IF(INDEX('AFA Rates'!$L$5:$L$1004,$T339)="","",INDEX('AFA Rates'!$L$5:$L$1004,$T339))))</f>
        <v/>
      </c>
      <c r="O339" s="78">
        <f>IF(OR($T339="",$U339=""),"",IF(INDEX(Firms!$C$5:$C$1004,$U339)="","",INDEX(Firms!$C$5:$C$1004,$U339)))</f>
        <v/>
      </c>
      <c r="P339" s="79">
        <f>IF(OR($T339="",$U339=""),"",IF(INDEX(Firms!$N$5:$N$1004,$U339)="","",INDEX(Firms!$N$5:$N$1004,$U339)))</f>
        <v/>
      </c>
      <c r="Q339" s="78">
        <f>IF($T339="","",IF($S339="S",IF(INDEX(Firms!$T$5:$T$1004,$T339)="","",INDEX(Firms!$T$5:$T$1004,$T339)),IF(INDEX('AFA Rates'!$M$5:$M$1004,$T339)="","",INDEX('AFA Rates'!$M$5:$M$1004,$T339))))</f>
        <v/>
      </c>
      <c r="S339">
        <f>IF(335&lt;=$S$2,"S",IF(335&lt;=$S$2+$T$2,"A",""))</f>
        <v/>
      </c>
      <c r="T339">
        <f>IF(S339="S",MATCH(335,Firms!$W$5:$W$1004,0),IF(S339="A",IFERROR(MATCH(335-$S$2,'AFA Rates'!$R$5:$R$1004,0),""),""))</f>
        <v/>
      </c>
      <c r="U339">
        <f>IF(S339="S",T339,IF(AND(S339="A",T339&lt;&gt;""),IFERROR(MATCH(INDEX('AFA Rates'!$A$5:$A$1004,T339),Firms!$A$5:$A$1004,0),""),""))</f>
        <v/>
      </c>
    </row>
    <row r="340">
      <c r="A340" s="78">
        <f>IF($T340="","",IF($S340="S",IF(INDEX(Firms!$A$5:$A$1004,$T340)="","",INDEX(Firms!$A$5:$A$1004,$T340)),IF(INDEX('AFA Rates'!$A$5:$A$1004,$T340)="","",INDEX('AFA Rates'!$A$5:$A$1004,$T340))))</f>
        <v/>
      </c>
      <c r="B340" s="79">
        <f>IF(OR($T340="",$U340=""),IF($T340="","","Not on Firms tab"),INDEX(Firms!$B$5:$B$1004,$U340)&amp;"")</f>
        <v/>
      </c>
      <c r="C340" s="78">
        <f>IF($T340="","",IF($S340="S","Standard",INDEX('AFA Rates'!$B$5:$B$1004,$T340)&amp;""))</f>
        <v/>
      </c>
      <c r="D340" s="88">
        <f>IF($T340="","",IF($S340="S",IF(INDEX(Firms!$E$5:$E$1004,$T340)="","",INDEX(Firms!$E$5:$E$1004,$T340)),IF(INDEX('AFA Rates'!$C$5:$C$1004,$T340)="","",INDEX('AFA Rates'!$C$5:$C$1004,$T340))))</f>
        <v/>
      </c>
      <c r="E340" s="88">
        <f>IF($T340="","",IF($S340="S",IF(""="","",""),IF(INDEX('AFA Rates'!$D$5:$D$1004,$T340)="","",INDEX('AFA Rates'!$D$5:$D$1004,$T340))))</f>
        <v/>
      </c>
      <c r="F340" s="79">
        <f>IF($T340="","",IF($S340="S",IF(INDEX(Firms!$O$5:$O$1004,$T340)="","",INDEX(Firms!$O$5:$O$1004,$T340)),IF(INDEX('AFA Rates'!$O$5:$O$1004,$T340)="","",INDEX('AFA Rates'!$O$5:$O$1004,$T340))))</f>
        <v/>
      </c>
      <c r="G340" s="50">
        <f>IF($T340="","",IF($S340="S",IF(INDEX(Firms!$F$5:$F$1004,$T340)="","",INDEX(Firms!$F$5:$F$1004,$T340)),IF(INDEX('AFA Rates'!$E$5:$E$1004,$T340)="","",INDEX('AFA Rates'!$E$5:$E$1004,$T340))))</f>
        <v/>
      </c>
      <c r="H340" s="50">
        <f>IF($T340="","",IF($S340="S",IF(INDEX(Firms!$G$5:$G$1004,$T340)="","",INDEX(Firms!$G$5:$G$1004,$T340)),IF(INDEX('AFA Rates'!$F$5:$F$1004,$T340)="","",INDEX('AFA Rates'!$F$5:$F$1004,$T340))))</f>
        <v/>
      </c>
      <c r="I340" s="50">
        <f>IF($T340="","",IF($S340="S",IF(INDEX(Firms!$H$5:$H$1004,$T340)="","",INDEX(Firms!$H$5:$H$1004,$T340)),IF(INDEX('AFA Rates'!$G$5:$G$1004,$T340)="","",INDEX('AFA Rates'!$G$5:$G$1004,$T340))))</f>
        <v/>
      </c>
      <c r="J340" s="50">
        <f>IF($T340="","",IF($S340="S",IF(INDEX(Firms!$I$5:$I$1004,$T340)="","",INDEX(Firms!$I$5:$I$1004,$T340)),IF(INDEX('AFA Rates'!$H$5:$H$1004,$T340)="","",INDEX('AFA Rates'!$H$5:$H$1004,$T340))))</f>
        <v/>
      </c>
      <c r="K340" s="50">
        <f>IF($T340="","",IF($S340="S",IF(INDEX(Firms!$J$5:$J$1004,$T340)="","",INDEX(Firms!$J$5:$J$1004,$T340)),IF(INDEX('AFA Rates'!$I$5:$I$1004,$T340)="","",INDEX('AFA Rates'!$I$5:$I$1004,$T340))))</f>
        <v/>
      </c>
      <c r="L340" s="50">
        <f>IF($T340="","",IF($S340="S",IF(INDEX(Firms!$K$5:$K$1004,$T340)="","",INDEX(Firms!$K$5:$K$1004,$T340)),IF(INDEX('AFA Rates'!$J$5:$J$1004,$T340)="","",INDEX('AFA Rates'!$J$5:$J$1004,$T340))))</f>
        <v/>
      </c>
      <c r="M340" s="50">
        <f>IF($T340="","",IF($S340="S",IF(INDEX(Firms!$L$5:$L$1004,$T340)="","",INDEX(Firms!$L$5:$L$1004,$T340)),IF(INDEX('AFA Rates'!$K$5:$K$1004,$T340)="","",INDEX('AFA Rates'!$K$5:$K$1004,$T340))))</f>
        <v/>
      </c>
      <c r="N340" s="50">
        <f>IF($T340="","",IF($S340="S",IF(INDEX(Firms!$M$5:$M$1004,$T340)="","",INDEX(Firms!$M$5:$M$1004,$T340)),IF(INDEX('AFA Rates'!$L$5:$L$1004,$T340)="","",INDEX('AFA Rates'!$L$5:$L$1004,$T340))))</f>
        <v/>
      </c>
      <c r="O340" s="78">
        <f>IF(OR($T340="",$U340=""),"",IF(INDEX(Firms!$C$5:$C$1004,$U340)="","",INDEX(Firms!$C$5:$C$1004,$U340)))</f>
        <v/>
      </c>
      <c r="P340" s="79">
        <f>IF(OR($T340="",$U340=""),"",IF(INDEX(Firms!$N$5:$N$1004,$U340)="","",INDEX(Firms!$N$5:$N$1004,$U340)))</f>
        <v/>
      </c>
      <c r="Q340" s="78">
        <f>IF($T340="","",IF($S340="S",IF(INDEX(Firms!$T$5:$T$1004,$T340)="","",INDEX(Firms!$T$5:$T$1004,$T340)),IF(INDEX('AFA Rates'!$M$5:$M$1004,$T340)="","",INDEX('AFA Rates'!$M$5:$M$1004,$T340))))</f>
        <v/>
      </c>
      <c r="S340">
        <f>IF(336&lt;=$S$2,"S",IF(336&lt;=$S$2+$T$2,"A",""))</f>
        <v/>
      </c>
      <c r="T340">
        <f>IF(S340="S",MATCH(336,Firms!$W$5:$W$1004,0),IF(S340="A",IFERROR(MATCH(336-$S$2,'AFA Rates'!$R$5:$R$1004,0),""),""))</f>
        <v/>
      </c>
      <c r="U340">
        <f>IF(S340="S",T340,IF(AND(S340="A",T340&lt;&gt;""),IFERROR(MATCH(INDEX('AFA Rates'!$A$5:$A$1004,T340),Firms!$A$5:$A$1004,0),""),""))</f>
        <v/>
      </c>
    </row>
    <row r="341">
      <c r="A341" s="78">
        <f>IF($T341="","",IF($S341="S",IF(INDEX(Firms!$A$5:$A$1004,$T341)="","",INDEX(Firms!$A$5:$A$1004,$T341)),IF(INDEX('AFA Rates'!$A$5:$A$1004,$T341)="","",INDEX('AFA Rates'!$A$5:$A$1004,$T341))))</f>
        <v/>
      </c>
      <c r="B341" s="79">
        <f>IF(OR($T341="",$U341=""),IF($T341="","","Not on Firms tab"),INDEX(Firms!$B$5:$B$1004,$U341)&amp;"")</f>
        <v/>
      </c>
      <c r="C341" s="78">
        <f>IF($T341="","",IF($S341="S","Standard",INDEX('AFA Rates'!$B$5:$B$1004,$T341)&amp;""))</f>
        <v/>
      </c>
      <c r="D341" s="88">
        <f>IF($T341="","",IF($S341="S",IF(INDEX(Firms!$E$5:$E$1004,$T341)="","",INDEX(Firms!$E$5:$E$1004,$T341)),IF(INDEX('AFA Rates'!$C$5:$C$1004,$T341)="","",INDEX('AFA Rates'!$C$5:$C$1004,$T341))))</f>
        <v/>
      </c>
      <c r="E341" s="88">
        <f>IF($T341="","",IF($S341="S",IF(""="","",""),IF(INDEX('AFA Rates'!$D$5:$D$1004,$T341)="","",INDEX('AFA Rates'!$D$5:$D$1004,$T341))))</f>
        <v/>
      </c>
      <c r="F341" s="79">
        <f>IF($T341="","",IF($S341="S",IF(INDEX(Firms!$O$5:$O$1004,$T341)="","",INDEX(Firms!$O$5:$O$1004,$T341)),IF(INDEX('AFA Rates'!$O$5:$O$1004,$T341)="","",INDEX('AFA Rates'!$O$5:$O$1004,$T341))))</f>
        <v/>
      </c>
      <c r="G341" s="50">
        <f>IF($T341="","",IF($S341="S",IF(INDEX(Firms!$F$5:$F$1004,$T341)="","",INDEX(Firms!$F$5:$F$1004,$T341)),IF(INDEX('AFA Rates'!$E$5:$E$1004,$T341)="","",INDEX('AFA Rates'!$E$5:$E$1004,$T341))))</f>
        <v/>
      </c>
      <c r="H341" s="50">
        <f>IF($T341="","",IF($S341="S",IF(INDEX(Firms!$G$5:$G$1004,$T341)="","",INDEX(Firms!$G$5:$G$1004,$T341)),IF(INDEX('AFA Rates'!$F$5:$F$1004,$T341)="","",INDEX('AFA Rates'!$F$5:$F$1004,$T341))))</f>
        <v/>
      </c>
      <c r="I341" s="50">
        <f>IF($T341="","",IF($S341="S",IF(INDEX(Firms!$H$5:$H$1004,$T341)="","",INDEX(Firms!$H$5:$H$1004,$T341)),IF(INDEX('AFA Rates'!$G$5:$G$1004,$T341)="","",INDEX('AFA Rates'!$G$5:$G$1004,$T341))))</f>
        <v/>
      </c>
      <c r="J341" s="50">
        <f>IF($T341="","",IF($S341="S",IF(INDEX(Firms!$I$5:$I$1004,$T341)="","",INDEX(Firms!$I$5:$I$1004,$T341)),IF(INDEX('AFA Rates'!$H$5:$H$1004,$T341)="","",INDEX('AFA Rates'!$H$5:$H$1004,$T341))))</f>
        <v/>
      </c>
      <c r="K341" s="50">
        <f>IF($T341="","",IF($S341="S",IF(INDEX(Firms!$J$5:$J$1004,$T341)="","",INDEX(Firms!$J$5:$J$1004,$T341)),IF(INDEX('AFA Rates'!$I$5:$I$1004,$T341)="","",INDEX('AFA Rates'!$I$5:$I$1004,$T341))))</f>
        <v/>
      </c>
      <c r="L341" s="50">
        <f>IF($T341="","",IF($S341="S",IF(INDEX(Firms!$K$5:$K$1004,$T341)="","",INDEX(Firms!$K$5:$K$1004,$T341)),IF(INDEX('AFA Rates'!$J$5:$J$1004,$T341)="","",INDEX('AFA Rates'!$J$5:$J$1004,$T341))))</f>
        <v/>
      </c>
      <c r="M341" s="50">
        <f>IF($T341="","",IF($S341="S",IF(INDEX(Firms!$L$5:$L$1004,$T341)="","",INDEX(Firms!$L$5:$L$1004,$T341)),IF(INDEX('AFA Rates'!$K$5:$K$1004,$T341)="","",INDEX('AFA Rates'!$K$5:$K$1004,$T341))))</f>
        <v/>
      </c>
      <c r="N341" s="50">
        <f>IF($T341="","",IF($S341="S",IF(INDEX(Firms!$M$5:$M$1004,$T341)="","",INDEX(Firms!$M$5:$M$1004,$T341)),IF(INDEX('AFA Rates'!$L$5:$L$1004,$T341)="","",INDEX('AFA Rates'!$L$5:$L$1004,$T341))))</f>
        <v/>
      </c>
      <c r="O341" s="78">
        <f>IF(OR($T341="",$U341=""),"",IF(INDEX(Firms!$C$5:$C$1004,$U341)="","",INDEX(Firms!$C$5:$C$1004,$U341)))</f>
        <v/>
      </c>
      <c r="P341" s="79">
        <f>IF(OR($T341="",$U341=""),"",IF(INDEX(Firms!$N$5:$N$1004,$U341)="","",INDEX(Firms!$N$5:$N$1004,$U341)))</f>
        <v/>
      </c>
      <c r="Q341" s="78">
        <f>IF($T341="","",IF($S341="S",IF(INDEX(Firms!$T$5:$T$1004,$T341)="","",INDEX(Firms!$T$5:$T$1004,$T341)),IF(INDEX('AFA Rates'!$M$5:$M$1004,$T341)="","",INDEX('AFA Rates'!$M$5:$M$1004,$T341))))</f>
        <v/>
      </c>
      <c r="S341">
        <f>IF(337&lt;=$S$2,"S",IF(337&lt;=$S$2+$T$2,"A",""))</f>
        <v/>
      </c>
      <c r="T341">
        <f>IF(S341="S",MATCH(337,Firms!$W$5:$W$1004,0),IF(S341="A",IFERROR(MATCH(337-$S$2,'AFA Rates'!$R$5:$R$1004,0),""),""))</f>
        <v/>
      </c>
      <c r="U341">
        <f>IF(S341="S",T341,IF(AND(S341="A",T341&lt;&gt;""),IFERROR(MATCH(INDEX('AFA Rates'!$A$5:$A$1004,T341),Firms!$A$5:$A$1004,0),""),""))</f>
        <v/>
      </c>
    </row>
    <row r="342">
      <c r="A342" s="78">
        <f>IF($T342="","",IF($S342="S",IF(INDEX(Firms!$A$5:$A$1004,$T342)="","",INDEX(Firms!$A$5:$A$1004,$T342)),IF(INDEX('AFA Rates'!$A$5:$A$1004,$T342)="","",INDEX('AFA Rates'!$A$5:$A$1004,$T342))))</f>
        <v/>
      </c>
      <c r="B342" s="79">
        <f>IF(OR($T342="",$U342=""),IF($T342="","","Not on Firms tab"),INDEX(Firms!$B$5:$B$1004,$U342)&amp;"")</f>
        <v/>
      </c>
      <c r="C342" s="78">
        <f>IF($T342="","",IF($S342="S","Standard",INDEX('AFA Rates'!$B$5:$B$1004,$T342)&amp;""))</f>
        <v/>
      </c>
      <c r="D342" s="88">
        <f>IF($T342="","",IF($S342="S",IF(INDEX(Firms!$E$5:$E$1004,$T342)="","",INDEX(Firms!$E$5:$E$1004,$T342)),IF(INDEX('AFA Rates'!$C$5:$C$1004,$T342)="","",INDEX('AFA Rates'!$C$5:$C$1004,$T342))))</f>
        <v/>
      </c>
      <c r="E342" s="88">
        <f>IF($T342="","",IF($S342="S",IF(""="","",""),IF(INDEX('AFA Rates'!$D$5:$D$1004,$T342)="","",INDEX('AFA Rates'!$D$5:$D$1004,$T342))))</f>
        <v/>
      </c>
      <c r="F342" s="79">
        <f>IF($T342="","",IF($S342="S",IF(INDEX(Firms!$O$5:$O$1004,$T342)="","",INDEX(Firms!$O$5:$O$1004,$T342)),IF(INDEX('AFA Rates'!$O$5:$O$1004,$T342)="","",INDEX('AFA Rates'!$O$5:$O$1004,$T342))))</f>
        <v/>
      </c>
      <c r="G342" s="50">
        <f>IF($T342="","",IF($S342="S",IF(INDEX(Firms!$F$5:$F$1004,$T342)="","",INDEX(Firms!$F$5:$F$1004,$T342)),IF(INDEX('AFA Rates'!$E$5:$E$1004,$T342)="","",INDEX('AFA Rates'!$E$5:$E$1004,$T342))))</f>
        <v/>
      </c>
      <c r="H342" s="50">
        <f>IF($T342="","",IF($S342="S",IF(INDEX(Firms!$G$5:$G$1004,$T342)="","",INDEX(Firms!$G$5:$G$1004,$T342)),IF(INDEX('AFA Rates'!$F$5:$F$1004,$T342)="","",INDEX('AFA Rates'!$F$5:$F$1004,$T342))))</f>
        <v/>
      </c>
      <c r="I342" s="50">
        <f>IF($T342="","",IF($S342="S",IF(INDEX(Firms!$H$5:$H$1004,$T342)="","",INDEX(Firms!$H$5:$H$1004,$T342)),IF(INDEX('AFA Rates'!$G$5:$G$1004,$T342)="","",INDEX('AFA Rates'!$G$5:$G$1004,$T342))))</f>
        <v/>
      </c>
      <c r="J342" s="50">
        <f>IF($T342="","",IF($S342="S",IF(INDEX(Firms!$I$5:$I$1004,$T342)="","",INDEX(Firms!$I$5:$I$1004,$T342)),IF(INDEX('AFA Rates'!$H$5:$H$1004,$T342)="","",INDEX('AFA Rates'!$H$5:$H$1004,$T342))))</f>
        <v/>
      </c>
      <c r="K342" s="50">
        <f>IF($T342="","",IF($S342="S",IF(INDEX(Firms!$J$5:$J$1004,$T342)="","",INDEX(Firms!$J$5:$J$1004,$T342)),IF(INDEX('AFA Rates'!$I$5:$I$1004,$T342)="","",INDEX('AFA Rates'!$I$5:$I$1004,$T342))))</f>
        <v/>
      </c>
      <c r="L342" s="50">
        <f>IF($T342="","",IF($S342="S",IF(INDEX(Firms!$K$5:$K$1004,$T342)="","",INDEX(Firms!$K$5:$K$1004,$T342)),IF(INDEX('AFA Rates'!$J$5:$J$1004,$T342)="","",INDEX('AFA Rates'!$J$5:$J$1004,$T342))))</f>
        <v/>
      </c>
      <c r="M342" s="50">
        <f>IF($T342="","",IF($S342="S",IF(INDEX(Firms!$L$5:$L$1004,$T342)="","",INDEX(Firms!$L$5:$L$1004,$T342)),IF(INDEX('AFA Rates'!$K$5:$K$1004,$T342)="","",INDEX('AFA Rates'!$K$5:$K$1004,$T342))))</f>
        <v/>
      </c>
      <c r="N342" s="50">
        <f>IF($T342="","",IF($S342="S",IF(INDEX(Firms!$M$5:$M$1004,$T342)="","",INDEX(Firms!$M$5:$M$1004,$T342)),IF(INDEX('AFA Rates'!$L$5:$L$1004,$T342)="","",INDEX('AFA Rates'!$L$5:$L$1004,$T342))))</f>
        <v/>
      </c>
      <c r="O342" s="78">
        <f>IF(OR($T342="",$U342=""),"",IF(INDEX(Firms!$C$5:$C$1004,$U342)="","",INDEX(Firms!$C$5:$C$1004,$U342)))</f>
        <v/>
      </c>
      <c r="P342" s="79">
        <f>IF(OR($T342="",$U342=""),"",IF(INDEX(Firms!$N$5:$N$1004,$U342)="","",INDEX(Firms!$N$5:$N$1004,$U342)))</f>
        <v/>
      </c>
      <c r="Q342" s="78">
        <f>IF($T342="","",IF($S342="S",IF(INDEX(Firms!$T$5:$T$1004,$T342)="","",INDEX(Firms!$T$5:$T$1004,$T342)),IF(INDEX('AFA Rates'!$M$5:$M$1004,$T342)="","",INDEX('AFA Rates'!$M$5:$M$1004,$T342))))</f>
        <v/>
      </c>
      <c r="S342">
        <f>IF(338&lt;=$S$2,"S",IF(338&lt;=$S$2+$T$2,"A",""))</f>
        <v/>
      </c>
      <c r="T342">
        <f>IF(S342="S",MATCH(338,Firms!$W$5:$W$1004,0),IF(S342="A",IFERROR(MATCH(338-$S$2,'AFA Rates'!$R$5:$R$1004,0),""),""))</f>
        <v/>
      </c>
      <c r="U342">
        <f>IF(S342="S",T342,IF(AND(S342="A",T342&lt;&gt;""),IFERROR(MATCH(INDEX('AFA Rates'!$A$5:$A$1004,T342),Firms!$A$5:$A$1004,0),""),""))</f>
        <v/>
      </c>
    </row>
    <row r="343">
      <c r="A343" s="78">
        <f>IF($T343="","",IF($S343="S",IF(INDEX(Firms!$A$5:$A$1004,$T343)="","",INDEX(Firms!$A$5:$A$1004,$T343)),IF(INDEX('AFA Rates'!$A$5:$A$1004,$T343)="","",INDEX('AFA Rates'!$A$5:$A$1004,$T343))))</f>
        <v/>
      </c>
      <c r="B343" s="79">
        <f>IF(OR($T343="",$U343=""),IF($T343="","","Not on Firms tab"),INDEX(Firms!$B$5:$B$1004,$U343)&amp;"")</f>
        <v/>
      </c>
      <c r="C343" s="78">
        <f>IF($T343="","",IF($S343="S","Standard",INDEX('AFA Rates'!$B$5:$B$1004,$T343)&amp;""))</f>
        <v/>
      </c>
      <c r="D343" s="88">
        <f>IF($T343="","",IF($S343="S",IF(INDEX(Firms!$E$5:$E$1004,$T343)="","",INDEX(Firms!$E$5:$E$1004,$T343)),IF(INDEX('AFA Rates'!$C$5:$C$1004,$T343)="","",INDEX('AFA Rates'!$C$5:$C$1004,$T343))))</f>
        <v/>
      </c>
      <c r="E343" s="88">
        <f>IF($T343="","",IF($S343="S",IF(""="","",""),IF(INDEX('AFA Rates'!$D$5:$D$1004,$T343)="","",INDEX('AFA Rates'!$D$5:$D$1004,$T343))))</f>
        <v/>
      </c>
      <c r="F343" s="79">
        <f>IF($T343="","",IF($S343="S",IF(INDEX(Firms!$O$5:$O$1004,$T343)="","",INDEX(Firms!$O$5:$O$1004,$T343)),IF(INDEX('AFA Rates'!$O$5:$O$1004,$T343)="","",INDEX('AFA Rates'!$O$5:$O$1004,$T343))))</f>
        <v/>
      </c>
      <c r="G343" s="50">
        <f>IF($T343="","",IF($S343="S",IF(INDEX(Firms!$F$5:$F$1004,$T343)="","",INDEX(Firms!$F$5:$F$1004,$T343)),IF(INDEX('AFA Rates'!$E$5:$E$1004,$T343)="","",INDEX('AFA Rates'!$E$5:$E$1004,$T343))))</f>
        <v/>
      </c>
      <c r="H343" s="50">
        <f>IF($T343="","",IF($S343="S",IF(INDEX(Firms!$G$5:$G$1004,$T343)="","",INDEX(Firms!$G$5:$G$1004,$T343)),IF(INDEX('AFA Rates'!$F$5:$F$1004,$T343)="","",INDEX('AFA Rates'!$F$5:$F$1004,$T343))))</f>
        <v/>
      </c>
      <c r="I343" s="50">
        <f>IF($T343="","",IF($S343="S",IF(INDEX(Firms!$H$5:$H$1004,$T343)="","",INDEX(Firms!$H$5:$H$1004,$T343)),IF(INDEX('AFA Rates'!$G$5:$G$1004,$T343)="","",INDEX('AFA Rates'!$G$5:$G$1004,$T343))))</f>
        <v/>
      </c>
      <c r="J343" s="50">
        <f>IF($T343="","",IF($S343="S",IF(INDEX(Firms!$I$5:$I$1004,$T343)="","",INDEX(Firms!$I$5:$I$1004,$T343)),IF(INDEX('AFA Rates'!$H$5:$H$1004,$T343)="","",INDEX('AFA Rates'!$H$5:$H$1004,$T343))))</f>
        <v/>
      </c>
      <c r="K343" s="50">
        <f>IF($T343="","",IF($S343="S",IF(INDEX(Firms!$J$5:$J$1004,$T343)="","",INDEX(Firms!$J$5:$J$1004,$T343)),IF(INDEX('AFA Rates'!$I$5:$I$1004,$T343)="","",INDEX('AFA Rates'!$I$5:$I$1004,$T343))))</f>
        <v/>
      </c>
      <c r="L343" s="50">
        <f>IF($T343="","",IF($S343="S",IF(INDEX(Firms!$K$5:$K$1004,$T343)="","",INDEX(Firms!$K$5:$K$1004,$T343)),IF(INDEX('AFA Rates'!$J$5:$J$1004,$T343)="","",INDEX('AFA Rates'!$J$5:$J$1004,$T343))))</f>
        <v/>
      </c>
      <c r="M343" s="50">
        <f>IF($T343="","",IF($S343="S",IF(INDEX(Firms!$L$5:$L$1004,$T343)="","",INDEX(Firms!$L$5:$L$1004,$T343)),IF(INDEX('AFA Rates'!$K$5:$K$1004,$T343)="","",INDEX('AFA Rates'!$K$5:$K$1004,$T343))))</f>
        <v/>
      </c>
      <c r="N343" s="50">
        <f>IF($T343="","",IF($S343="S",IF(INDEX(Firms!$M$5:$M$1004,$T343)="","",INDEX(Firms!$M$5:$M$1004,$T343)),IF(INDEX('AFA Rates'!$L$5:$L$1004,$T343)="","",INDEX('AFA Rates'!$L$5:$L$1004,$T343))))</f>
        <v/>
      </c>
      <c r="O343" s="78">
        <f>IF(OR($T343="",$U343=""),"",IF(INDEX(Firms!$C$5:$C$1004,$U343)="","",INDEX(Firms!$C$5:$C$1004,$U343)))</f>
        <v/>
      </c>
      <c r="P343" s="79">
        <f>IF(OR($T343="",$U343=""),"",IF(INDEX(Firms!$N$5:$N$1004,$U343)="","",INDEX(Firms!$N$5:$N$1004,$U343)))</f>
        <v/>
      </c>
      <c r="Q343" s="78">
        <f>IF($T343="","",IF($S343="S",IF(INDEX(Firms!$T$5:$T$1004,$T343)="","",INDEX(Firms!$T$5:$T$1004,$T343)),IF(INDEX('AFA Rates'!$M$5:$M$1004,$T343)="","",INDEX('AFA Rates'!$M$5:$M$1004,$T343))))</f>
        <v/>
      </c>
      <c r="S343">
        <f>IF(339&lt;=$S$2,"S",IF(339&lt;=$S$2+$T$2,"A",""))</f>
        <v/>
      </c>
      <c r="T343">
        <f>IF(S343="S",MATCH(339,Firms!$W$5:$W$1004,0),IF(S343="A",IFERROR(MATCH(339-$S$2,'AFA Rates'!$R$5:$R$1004,0),""),""))</f>
        <v/>
      </c>
      <c r="U343">
        <f>IF(S343="S",T343,IF(AND(S343="A",T343&lt;&gt;""),IFERROR(MATCH(INDEX('AFA Rates'!$A$5:$A$1004,T343),Firms!$A$5:$A$1004,0),""),""))</f>
        <v/>
      </c>
    </row>
    <row r="344">
      <c r="A344" s="78">
        <f>IF($T344="","",IF($S344="S",IF(INDEX(Firms!$A$5:$A$1004,$T344)="","",INDEX(Firms!$A$5:$A$1004,$T344)),IF(INDEX('AFA Rates'!$A$5:$A$1004,$T344)="","",INDEX('AFA Rates'!$A$5:$A$1004,$T344))))</f>
        <v/>
      </c>
      <c r="B344" s="79">
        <f>IF(OR($T344="",$U344=""),IF($T344="","","Not on Firms tab"),INDEX(Firms!$B$5:$B$1004,$U344)&amp;"")</f>
        <v/>
      </c>
      <c r="C344" s="78">
        <f>IF($T344="","",IF($S344="S","Standard",INDEX('AFA Rates'!$B$5:$B$1004,$T344)&amp;""))</f>
        <v/>
      </c>
      <c r="D344" s="88">
        <f>IF($T344="","",IF($S344="S",IF(INDEX(Firms!$E$5:$E$1004,$T344)="","",INDEX(Firms!$E$5:$E$1004,$T344)),IF(INDEX('AFA Rates'!$C$5:$C$1004,$T344)="","",INDEX('AFA Rates'!$C$5:$C$1004,$T344))))</f>
        <v/>
      </c>
      <c r="E344" s="88">
        <f>IF($T344="","",IF($S344="S",IF(""="","",""),IF(INDEX('AFA Rates'!$D$5:$D$1004,$T344)="","",INDEX('AFA Rates'!$D$5:$D$1004,$T344))))</f>
        <v/>
      </c>
      <c r="F344" s="79">
        <f>IF($T344="","",IF($S344="S",IF(INDEX(Firms!$O$5:$O$1004,$T344)="","",INDEX(Firms!$O$5:$O$1004,$T344)),IF(INDEX('AFA Rates'!$O$5:$O$1004,$T344)="","",INDEX('AFA Rates'!$O$5:$O$1004,$T344))))</f>
        <v/>
      </c>
      <c r="G344" s="50">
        <f>IF($T344="","",IF($S344="S",IF(INDEX(Firms!$F$5:$F$1004,$T344)="","",INDEX(Firms!$F$5:$F$1004,$T344)),IF(INDEX('AFA Rates'!$E$5:$E$1004,$T344)="","",INDEX('AFA Rates'!$E$5:$E$1004,$T344))))</f>
        <v/>
      </c>
      <c r="H344" s="50">
        <f>IF($T344="","",IF($S344="S",IF(INDEX(Firms!$G$5:$G$1004,$T344)="","",INDEX(Firms!$G$5:$G$1004,$T344)),IF(INDEX('AFA Rates'!$F$5:$F$1004,$T344)="","",INDEX('AFA Rates'!$F$5:$F$1004,$T344))))</f>
        <v/>
      </c>
      <c r="I344" s="50">
        <f>IF($T344="","",IF($S344="S",IF(INDEX(Firms!$H$5:$H$1004,$T344)="","",INDEX(Firms!$H$5:$H$1004,$T344)),IF(INDEX('AFA Rates'!$G$5:$G$1004,$T344)="","",INDEX('AFA Rates'!$G$5:$G$1004,$T344))))</f>
        <v/>
      </c>
      <c r="J344" s="50">
        <f>IF($T344="","",IF($S344="S",IF(INDEX(Firms!$I$5:$I$1004,$T344)="","",INDEX(Firms!$I$5:$I$1004,$T344)),IF(INDEX('AFA Rates'!$H$5:$H$1004,$T344)="","",INDEX('AFA Rates'!$H$5:$H$1004,$T344))))</f>
        <v/>
      </c>
      <c r="K344" s="50">
        <f>IF($T344="","",IF($S344="S",IF(INDEX(Firms!$J$5:$J$1004,$T344)="","",INDEX(Firms!$J$5:$J$1004,$T344)),IF(INDEX('AFA Rates'!$I$5:$I$1004,$T344)="","",INDEX('AFA Rates'!$I$5:$I$1004,$T344))))</f>
        <v/>
      </c>
      <c r="L344" s="50">
        <f>IF($T344="","",IF($S344="S",IF(INDEX(Firms!$K$5:$K$1004,$T344)="","",INDEX(Firms!$K$5:$K$1004,$T344)),IF(INDEX('AFA Rates'!$J$5:$J$1004,$T344)="","",INDEX('AFA Rates'!$J$5:$J$1004,$T344))))</f>
        <v/>
      </c>
      <c r="M344" s="50">
        <f>IF($T344="","",IF($S344="S",IF(INDEX(Firms!$L$5:$L$1004,$T344)="","",INDEX(Firms!$L$5:$L$1004,$T344)),IF(INDEX('AFA Rates'!$K$5:$K$1004,$T344)="","",INDEX('AFA Rates'!$K$5:$K$1004,$T344))))</f>
        <v/>
      </c>
      <c r="N344" s="50">
        <f>IF($T344="","",IF($S344="S",IF(INDEX(Firms!$M$5:$M$1004,$T344)="","",INDEX(Firms!$M$5:$M$1004,$T344)),IF(INDEX('AFA Rates'!$L$5:$L$1004,$T344)="","",INDEX('AFA Rates'!$L$5:$L$1004,$T344))))</f>
        <v/>
      </c>
      <c r="O344" s="78">
        <f>IF(OR($T344="",$U344=""),"",IF(INDEX(Firms!$C$5:$C$1004,$U344)="","",INDEX(Firms!$C$5:$C$1004,$U344)))</f>
        <v/>
      </c>
      <c r="P344" s="79">
        <f>IF(OR($T344="",$U344=""),"",IF(INDEX(Firms!$N$5:$N$1004,$U344)="","",INDEX(Firms!$N$5:$N$1004,$U344)))</f>
        <v/>
      </c>
      <c r="Q344" s="78">
        <f>IF($T344="","",IF($S344="S",IF(INDEX(Firms!$T$5:$T$1004,$T344)="","",INDEX(Firms!$T$5:$T$1004,$T344)),IF(INDEX('AFA Rates'!$M$5:$M$1004,$T344)="","",INDEX('AFA Rates'!$M$5:$M$1004,$T344))))</f>
        <v/>
      </c>
      <c r="S344">
        <f>IF(340&lt;=$S$2,"S",IF(340&lt;=$S$2+$T$2,"A",""))</f>
        <v/>
      </c>
      <c r="T344">
        <f>IF(S344="S",MATCH(340,Firms!$W$5:$W$1004,0),IF(S344="A",IFERROR(MATCH(340-$S$2,'AFA Rates'!$R$5:$R$1004,0),""),""))</f>
        <v/>
      </c>
      <c r="U344">
        <f>IF(S344="S",T344,IF(AND(S344="A",T344&lt;&gt;""),IFERROR(MATCH(INDEX('AFA Rates'!$A$5:$A$1004,T344),Firms!$A$5:$A$1004,0),""),""))</f>
        <v/>
      </c>
    </row>
    <row r="345">
      <c r="A345" s="78">
        <f>IF($T345="","",IF($S345="S",IF(INDEX(Firms!$A$5:$A$1004,$T345)="","",INDEX(Firms!$A$5:$A$1004,$T345)),IF(INDEX('AFA Rates'!$A$5:$A$1004,$T345)="","",INDEX('AFA Rates'!$A$5:$A$1004,$T345))))</f>
        <v/>
      </c>
      <c r="B345" s="79">
        <f>IF(OR($T345="",$U345=""),IF($T345="","","Not on Firms tab"),INDEX(Firms!$B$5:$B$1004,$U345)&amp;"")</f>
        <v/>
      </c>
      <c r="C345" s="78">
        <f>IF($T345="","",IF($S345="S","Standard",INDEX('AFA Rates'!$B$5:$B$1004,$T345)&amp;""))</f>
        <v/>
      </c>
      <c r="D345" s="88">
        <f>IF($T345="","",IF($S345="S",IF(INDEX(Firms!$E$5:$E$1004,$T345)="","",INDEX(Firms!$E$5:$E$1004,$T345)),IF(INDEX('AFA Rates'!$C$5:$C$1004,$T345)="","",INDEX('AFA Rates'!$C$5:$C$1004,$T345))))</f>
        <v/>
      </c>
      <c r="E345" s="88">
        <f>IF($T345="","",IF($S345="S",IF(""="","",""),IF(INDEX('AFA Rates'!$D$5:$D$1004,$T345)="","",INDEX('AFA Rates'!$D$5:$D$1004,$T345))))</f>
        <v/>
      </c>
      <c r="F345" s="79">
        <f>IF($T345="","",IF($S345="S",IF(INDEX(Firms!$O$5:$O$1004,$T345)="","",INDEX(Firms!$O$5:$O$1004,$T345)),IF(INDEX('AFA Rates'!$O$5:$O$1004,$T345)="","",INDEX('AFA Rates'!$O$5:$O$1004,$T345))))</f>
        <v/>
      </c>
      <c r="G345" s="50">
        <f>IF($T345="","",IF($S345="S",IF(INDEX(Firms!$F$5:$F$1004,$T345)="","",INDEX(Firms!$F$5:$F$1004,$T345)),IF(INDEX('AFA Rates'!$E$5:$E$1004,$T345)="","",INDEX('AFA Rates'!$E$5:$E$1004,$T345))))</f>
        <v/>
      </c>
      <c r="H345" s="50">
        <f>IF($T345="","",IF($S345="S",IF(INDEX(Firms!$G$5:$G$1004,$T345)="","",INDEX(Firms!$G$5:$G$1004,$T345)),IF(INDEX('AFA Rates'!$F$5:$F$1004,$T345)="","",INDEX('AFA Rates'!$F$5:$F$1004,$T345))))</f>
        <v/>
      </c>
      <c r="I345" s="50">
        <f>IF($T345="","",IF($S345="S",IF(INDEX(Firms!$H$5:$H$1004,$T345)="","",INDEX(Firms!$H$5:$H$1004,$T345)),IF(INDEX('AFA Rates'!$G$5:$G$1004,$T345)="","",INDEX('AFA Rates'!$G$5:$G$1004,$T345))))</f>
        <v/>
      </c>
      <c r="J345" s="50">
        <f>IF($T345="","",IF($S345="S",IF(INDEX(Firms!$I$5:$I$1004,$T345)="","",INDEX(Firms!$I$5:$I$1004,$T345)),IF(INDEX('AFA Rates'!$H$5:$H$1004,$T345)="","",INDEX('AFA Rates'!$H$5:$H$1004,$T345))))</f>
        <v/>
      </c>
      <c r="K345" s="50">
        <f>IF($T345="","",IF($S345="S",IF(INDEX(Firms!$J$5:$J$1004,$T345)="","",INDEX(Firms!$J$5:$J$1004,$T345)),IF(INDEX('AFA Rates'!$I$5:$I$1004,$T345)="","",INDEX('AFA Rates'!$I$5:$I$1004,$T345))))</f>
        <v/>
      </c>
      <c r="L345" s="50">
        <f>IF($T345="","",IF($S345="S",IF(INDEX(Firms!$K$5:$K$1004,$T345)="","",INDEX(Firms!$K$5:$K$1004,$T345)),IF(INDEX('AFA Rates'!$J$5:$J$1004,$T345)="","",INDEX('AFA Rates'!$J$5:$J$1004,$T345))))</f>
        <v/>
      </c>
      <c r="M345" s="50">
        <f>IF($T345="","",IF($S345="S",IF(INDEX(Firms!$L$5:$L$1004,$T345)="","",INDEX(Firms!$L$5:$L$1004,$T345)),IF(INDEX('AFA Rates'!$K$5:$K$1004,$T345)="","",INDEX('AFA Rates'!$K$5:$K$1004,$T345))))</f>
        <v/>
      </c>
      <c r="N345" s="50">
        <f>IF($T345="","",IF($S345="S",IF(INDEX(Firms!$M$5:$M$1004,$T345)="","",INDEX(Firms!$M$5:$M$1004,$T345)),IF(INDEX('AFA Rates'!$L$5:$L$1004,$T345)="","",INDEX('AFA Rates'!$L$5:$L$1004,$T345))))</f>
        <v/>
      </c>
      <c r="O345" s="78">
        <f>IF(OR($T345="",$U345=""),"",IF(INDEX(Firms!$C$5:$C$1004,$U345)="","",INDEX(Firms!$C$5:$C$1004,$U345)))</f>
        <v/>
      </c>
      <c r="P345" s="79">
        <f>IF(OR($T345="",$U345=""),"",IF(INDEX(Firms!$N$5:$N$1004,$U345)="","",INDEX(Firms!$N$5:$N$1004,$U345)))</f>
        <v/>
      </c>
      <c r="Q345" s="78">
        <f>IF($T345="","",IF($S345="S",IF(INDEX(Firms!$T$5:$T$1004,$T345)="","",INDEX(Firms!$T$5:$T$1004,$T345)),IF(INDEX('AFA Rates'!$M$5:$M$1004,$T345)="","",INDEX('AFA Rates'!$M$5:$M$1004,$T345))))</f>
        <v/>
      </c>
      <c r="S345">
        <f>IF(341&lt;=$S$2,"S",IF(341&lt;=$S$2+$T$2,"A",""))</f>
        <v/>
      </c>
      <c r="T345">
        <f>IF(S345="S",MATCH(341,Firms!$W$5:$W$1004,0),IF(S345="A",IFERROR(MATCH(341-$S$2,'AFA Rates'!$R$5:$R$1004,0),""),""))</f>
        <v/>
      </c>
      <c r="U345">
        <f>IF(S345="S",T345,IF(AND(S345="A",T345&lt;&gt;""),IFERROR(MATCH(INDEX('AFA Rates'!$A$5:$A$1004,T345),Firms!$A$5:$A$1004,0),""),""))</f>
        <v/>
      </c>
    </row>
    <row r="346">
      <c r="A346" s="78">
        <f>IF($T346="","",IF($S346="S",IF(INDEX(Firms!$A$5:$A$1004,$T346)="","",INDEX(Firms!$A$5:$A$1004,$T346)),IF(INDEX('AFA Rates'!$A$5:$A$1004,$T346)="","",INDEX('AFA Rates'!$A$5:$A$1004,$T346))))</f>
        <v/>
      </c>
      <c r="B346" s="79">
        <f>IF(OR($T346="",$U346=""),IF($T346="","","Not on Firms tab"),INDEX(Firms!$B$5:$B$1004,$U346)&amp;"")</f>
        <v/>
      </c>
      <c r="C346" s="78">
        <f>IF($T346="","",IF($S346="S","Standard",INDEX('AFA Rates'!$B$5:$B$1004,$T346)&amp;""))</f>
        <v/>
      </c>
      <c r="D346" s="88">
        <f>IF($T346="","",IF($S346="S",IF(INDEX(Firms!$E$5:$E$1004,$T346)="","",INDEX(Firms!$E$5:$E$1004,$T346)),IF(INDEX('AFA Rates'!$C$5:$C$1004,$T346)="","",INDEX('AFA Rates'!$C$5:$C$1004,$T346))))</f>
        <v/>
      </c>
      <c r="E346" s="88">
        <f>IF($T346="","",IF($S346="S",IF(""="","",""),IF(INDEX('AFA Rates'!$D$5:$D$1004,$T346)="","",INDEX('AFA Rates'!$D$5:$D$1004,$T346))))</f>
        <v/>
      </c>
      <c r="F346" s="79">
        <f>IF($T346="","",IF($S346="S",IF(INDEX(Firms!$O$5:$O$1004,$T346)="","",INDEX(Firms!$O$5:$O$1004,$T346)),IF(INDEX('AFA Rates'!$O$5:$O$1004,$T346)="","",INDEX('AFA Rates'!$O$5:$O$1004,$T346))))</f>
        <v/>
      </c>
      <c r="G346" s="50">
        <f>IF($T346="","",IF($S346="S",IF(INDEX(Firms!$F$5:$F$1004,$T346)="","",INDEX(Firms!$F$5:$F$1004,$T346)),IF(INDEX('AFA Rates'!$E$5:$E$1004,$T346)="","",INDEX('AFA Rates'!$E$5:$E$1004,$T346))))</f>
        <v/>
      </c>
      <c r="H346" s="50">
        <f>IF($T346="","",IF($S346="S",IF(INDEX(Firms!$G$5:$G$1004,$T346)="","",INDEX(Firms!$G$5:$G$1004,$T346)),IF(INDEX('AFA Rates'!$F$5:$F$1004,$T346)="","",INDEX('AFA Rates'!$F$5:$F$1004,$T346))))</f>
        <v/>
      </c>
      <c r="I346" s="50">
        <f>IF($T346="","",IF($S346="S",IF(INDEX(Firms!$H$5:$H$1004,$T346)="","",INDEX(Firms!$H$5:$H$1004,$T346)),IF(INDEX('AFA Rates'!$G$5:$G$1004,$T346)="","",INDEX('AFA Rates'!$G$5:$G$1004,$T346))))</f>
        <v/>
      </c>
      <c r="J346" s="50">
        <f>IF($T346="","",IF($S346="S",IF(INDEX(Firms!$I$5:$I$1004,$T346)="","",INDEX(Firms!$I$5:$I$1004,$T346)),IF(INDEX('AFA Rates'!$H$5:$H$1004,$T346)="","",INDEX('AFA Rates'!$H$5:$H$1004,$T346))))</f>
        <v/>
      </c>
      <c r="K346" s="50">
        <f>IF($T346="","",IF($S346="S",IF(INDEX(Firms!$J$5:$J$1004,$T346)="","",INDEX(Firms!$J$5:$J$1004,$T346)),IF(INDEX('AFA Rates'!$I$5:$I$1004,$T346)="","",INDEX('AFA Rates'!$I$5:$I$1004,$T346))))</f>
        <v/>
      </c>
      <c r="L346" s="50">
        <f>IF($T346="","",IF($S346="S",IF(INDEX(Firms!$K$5:$K$1004,$T346)="","",INDEX(Firms!$K$5:$K$1004,$T346)),IF(INDEX('AFA Rates'!$J$5:$J$1004,$T346)="","",INDEX('AFA Rates'!$J$5:$J$1004,$T346))))</f>
        <v/>
      </c>
      <c r="M346" s="50">
        <f>IF($T346="","",IF($S346="S",IF(INDEX(Firms!$L$5:$L$1004,$T346)="","",INDEX(Firms!$L$5:$L$1004,$T346)),IF(INDEX('AFA Rates'!$K$5:$K$1004,$T346)="","",INDEX('AFA Rates'!$K$5:$K$1004,$T346))))</f>
        <v/>
      </c>
      <c r="N346" s="50">
        <f>IF($T346="","",IF($S346="S",IF(INDEX(Firms!$M$5:$M$1004,$T346)="","",INDEX(Firms!$M$5:$M$1004,$T346)),IF(INDEX('AFA Rates'!$L$5:$L$1004,$T346)="","",INDEX('AFA Rates'!$L$5:$L$1004,$T346))))</f>
        <v/>
      </c>
      <c r="O346" s="78">
        <f>IF(OR($T346="",$U346=""),"",IF(INDEX(Firms!$C$5:$C$1004,$U346)="","",INDEX(Firms!$C$5:$C$1004,$U346)))</f>
        <v/>
      </c>
      <c r="P346" s="79">
        <f>IF(OR($T346="",$U346=""),"",IF(INDEX(Firms!$N$5:$N$1004,$U346)="","",INDEX(Firms!$N$5:$N$1004,$U346)))</f>
        <v/>
      </c>
      <c r="Q346" s="78">
        <f>IF($T346="","",IF($S346="S",IF(INDEX(Firms!$T$5:$T$1004,$T346)="","",INDEX(Firms!$T$5:$T$1004,$T346)),IF(INDEX('AFA Rates'!$M$5:$M$1004,$T346)="","",INDEX('AFA Rates'!$M$5:$M$1004,$T346))))</f>
        <v/>
      </c>
      <c r="S346">
        <f>IF(342&lt;=$S$2,"S",IF(342&lt;=$S$2+$T$2,"A",""))</f>
        <v/>
      </c>
      <c r="T346">
        <f>IF(S346="S",MATCH(342,Firms!$W$5:$W$1004,0),IF(S346="A",IFERROR(MATCH(342-$S$2,'AFA Rates'!$R$5:$R$1004,0),""),""))</f>
        <v/>
      </c>
      <c r="U346">
        <f>IF(S346="S",T346,IF(AND(S346="A",T346&lt;&gt;""),IFERROR(MATCH(INDEX('AFA Rates'!$A$5:$A$1004,T346),Firms!$A$5:$A$1004,0),""),""))</f>
        <v/>
      </c>
    </row>
    <row r="347">
      <c r="A347" s="78">
        <f>IF($T347="","",IF($S347="S",IF(INDEX(Firms!$A$5:$A$1004,$T347)="","",INDEX(Firms!$A$5:$A$1004,$T347)),IF(INDEX('AFA Rates'!$A$5:$A$1004,$T347)="","",INDEX('AFA Rates'!$A$5:$A$1004,$T347))))</f>
        <v/>
      </c>
      <c r="B347" s="79">
        <f>IF(OR($T347="",$U347=""),IF($T347="","","Not on Firms tab"),INDEX(Firms!$B$5:$B$1004,$U347)&amp;"")</f>
        <v/>
      </c>
      <c r="C347" s="78">
        <f>IF($T347="","",IF($S347="S","Standard",INDEX('AFA Rates'!$B$5:$B$1004,$T347)&amp;""))</f>
        <v/>
      </c>
      <c r="D347" s="88">
        <f>IF($T347="","",IF($S347="S",IF(INDEX(Firms!$E$5:$E$1004,$T347)="","",INDEX(Firms!$E$5:$E$1004,$T347)),IF(INDEX('AFA Rates'!$C$5:$C$1004,$T347)="","",INDEX('AFA Rates'!$C$5:$C$1004,$T347))))</f>
        <v/>
      </c>
      <c r="E347" s="88">
        <f>IF($T347="","",IF($S347="S",IF(""="","",""),IF(INDEX('AFA Rates'!$D$5:$D$1004,$T347)="","",INDEX('AFA Rates'!$D$5:$D$1004,$T347))))</f>
        <v/>
      </c>
      <c r="F347" s="79">
        <f>IF($T347="","",IF($S347="S",IF(INDEX(Firms!$O$5:$O$1004,$T347)="","",INDEX(Firms!$O$5:$O$1004,$T347)),IF(INDEX('AFA Rates'!$O$5:$O$1004,$T347)="","",INDEX('AFA Rates'!$O$5:$O$1004,$T347))))</f>
        <v/>
      </c>
      <c r="G347" s="50">
        <f>IF($T347="","",IF($S347="S",IF(INDEX(Firms!$F$5:$F$1004,$T347)="","",INDEX(Firms!$F$5:$F$1004,$T347)),IF(INDEX('AFA Rates'!$E$5:$E$1004,$T347)="","",INDEX('AFA Rates'!$E$5:$E$1004,$T347))))</f>
        <v/>
      </c>
      <c r="H347" s="50">
        <f>IF($T347="","",IF($S347="S",IF(INDEX(Firms!$G$5:$G$1004,$T347)="","",INDEX(Firms!$G$5:$G$1004,$T347)),IF(INDEX('AFA Rates'!$F$5:$F$1004,$T347)="","",INDEX('AFA Rates'!$F$5:$F$1004,$T347))))</f>
        <v/>
      </c>
      <c r="I347" s="50">
        <f>IF($T347="","",IF($S347="S",IF(INDEX(Firms!$H$5:$H$1004,$T347)="","",INDEX(Firms!$H$5:$H$1004,$T347)),IF(INDEX('AFA Rates'!$G$5:$G$1004,$T347)="","",INDEX('AFA Rates'!$G$5:$G$1004,$T347))))</f>
        <v/>
      </c>
      <c r="J347" s="50">
        <f>IF($T347="","",IF($S347="S",IF(INDEX(Firms!$I$5:$I$1004,$T347)="","",INDEX(Firms!$I$5:$I$1004,$T347)),IF(INDEX('AFA Rates'!$H$5:$H$1004,$T347)="","",INDEX('AFA Rates'!$H$5:$H$1004,$T347))))</f>
        <v/>
      </c>
      <c r="K347" s="50">
        <f>IF($T347="","",IF($S347="S",IF(INDEX(Firms!$J$5:$J$1004,$T347)="","",INDEX(Firms!$J$5:$J$1004,$T347)),IF(INDEX('AFA Rates'!$I$5:$I$1004,$T347)="","",INDEX('AFA Rates'!$I$5:$I$1004,$T347))))</f>
        <v/>
      </c>
      <c r="L347" s="50">
        <f>IF($T347="","",IF($S347="S",IF(INDEX(Firms!$K$5:$K$1004,$T347)="","",INDEX(Firms!$K$5:$K$1004,$T347)),IF(INDEX('AFA Rates'!$J$5:$J$1004,$T347)="","",INDEX('AFA Rates'!$J$5:$J$1004,$T347))))</f>
        <v/>
      </c>
      <c r="M347" s="50">
        <f>IF($T347="","",IF($S347="S",IF(INDEX(Firms!$L$5:$L$1004,$T347)="","",INDEX(Firms!$L$5:$L$1004,$T347)),IF(INDEX('AFA Rates'!$K$5:$K$1004,$T347)="","",INDEX('AFA Rates'!$K$5:$K$1004,$T347))))</f>
        <v/>
      </c>
      <c r="N347" s="50">
        <f>IF($T347="","",IF($S347="S",IF(INDEX(Firms!$M$5:$M$1004,$T347)="","",INDEX(Firms!$M$5:$M$1004,$T347)),IF(INDEX('AFA Rates'!$L$5:$L$1004,$T347)="","",INDEX('AFA Rates'!$L$5:$L$1004,$T347))))</f>
        <v/>
      </c>
      <c r="O347" s="78">
        <f>IF(OR($T347="",$U347=""),"",IF(INDEX(Firms!$C$5:$C$1004,$U347)="","",INDEX(Firms!$C$5:$C$1004,$U347)))</f>
        <v/>
      </c>
      <c r="P347" s="79">
        <f>IF(OR($T347="",$U347=""),"",IF(INDEX(Firms!$N$5:$N$1004,$U347)="","",INDEX(Firms!$N$5:$N$1004,$U347)))</f>
        <v/>
      </c>
      <c r="Q347" s="78">
        <f>IF($T347="","",IF($S347="S",IF(INDEX(Firms!$T$5:$T$1004,$T347)="","",INDEX(Firms!$T$5:$T$1004,$T347)),IF(INDEX('AFA Rates'!$M$5:$M$1004,$T347)="","",INDEX('AFA Rates'!$M$5:$M$1004,$T347))))</f>
        <v/>
      </c>
      <c r="S347">
        <f>IF(343&lt;=$S$2,"S",IF(343&lt;=$S$2+$T$2,"A",""))</f>
        <v/>
      </c>
      <c r="T347">
        <f>IF(S347="S",MATCH(343,Firms!$W$5:$W$1004,0),IF(S347="A",IFERROR(MATCH(343-$S$2,'AFA Rates'!$R$5:$R$1004,0),""),""))</f>
        <v/>
      </c>
      <c r="U347">
        <f>IF(S347="S",T347,IF(AND(S347="A",T347&lt;&gt;""),IFERROR(MATCH(INDEX('AFA Rates'!$A$5:$A$1004,T347),Firms!$A$5:$A$1004,0),""),""))</f>
        <v/>
      </c>
    </row>
    <row r="348">
      <c r="A348" s="78">
        <f>IF($T348="","",IF($S348="S",IF(INDEX(Firms!$A$5:$A$1004,$T348)="","",INDEX(Firms!$A$5:$A$1004,$T348)),IF(INDEX('AFA Rates'!$A$5:$A$1004,$T348)="","",INDEX('AFA Rates'!$A$5:$A$1004,$T348))))</f>
        <v/>
      </c>
      <c r="B348" s="79">
        <f>IF(OR($T348="",$U348=""),IF($T348="","","Not on Firms tab"),INDEX(Firms!$B$5:$B$1004,$U348)&amp;"")</f>
        <v/>
      </c>
      <c r="C348" s="78">
        <f>IF($T348="","",IF($S348="S","Standard",INDEX('AFA Rates'!$B$5:$B$1004,$T348)&amp;""))</f>
        <v/>
      </c>
      <c r="D348" s="88">
        <f>IF($T348="","",IF($S348="S",IF(INDEX(Firms!$E$5:$E$1004,$T348)="","",INDEX(Firms!$E$5:$E$1004,$T348)),IF(INDEX('AFA Rates'!$C$5:$C$1004,$T348)="","",INDEX('AFA Rates'!$C$5:$C$1004,$T348))))</f>
        <v/>
      </c>
      <c r="E348" s="88">
        <f>IF($T348="","",IF($S348="S",IF(""="","",""),IF(INDEX('AFA Rates'!$D$5:$D$1004,$T348)="","",INDEX('AFA Rates'!$D$5:$D$1004,$T348))))</f>
        <v/>
      </c>
      <c r="F348" s="79">
        <f>IF($T348="","",IF($S348="S",IF(INDEX(Firms!$O$5:$O$1004,$T348)="","",INDEX(Firms!$O$5:$O$1004,$T348)),IF(INDEX('AFA Rates'!$O$5:$O$1004,$T348)="","",INDEX('AFA Rates'!$O$5:$O$1004,$T348))))</f>
        <v/>
      </c>
      <c r="G348" s="50">
        <f>IF($T348="","",IF($S348="S",IF(INDEX(Firms!$F$5:$F$1004,$T348)="","",INDEX(Firms!$F$5:$F$1004,$T348)),IF(INDEX('AFA Rates'!$E$5:$E$1004,$T348)="","",INDEX('AFA Rates'!$E$5:$E$1004,$T348))))</f>
        <v/>
      </c>
      <c r="H348" s="50">
        <f>IF($T348="","",IF($S348="S",IF(INDEX(Firms!$G$5:$G$1004,$T348)="","",INDEX(Firms!$G$5:$G$1004,$T348)),IF(INDEX('AFA Rates'!$F$5:$F$1004,$T348)="","",INDEX('AFA Rates'!$F$5:$F$1004,$T348))))</f>
        <v/>
      </c>
      <c r="I348" s="50">
        <f>IF($T348="","",IF($S348="S",IF(INDEX(Firms!$H$5:$H$1004,$T348)="","",INDEX(Firms!$H$5:$H$1004,$T348)),IF(INDEX('AFA Rates'!$G$5:$G$1004,$T348)="","",INDEX('AFA Rates'!$G$5:$G$1004,$T348))))</f>
        <v/>
      </c>
      <c r="J348" s="50">
        <f>IF($T348="","",IF($S348="S",IF(INDEX(Firms!$I$5:$I$1004,$T348)="","",INDEX(Firms!$I$5:$I$1004,$T348)),IF(INDEX('AFA Rates'!$H$5:$H$1004,$T348)="","",INDEX('AFA Rates'!$H$5:$H$1004,$T348))))</f>
        <v/>
      </c>
      <c r="K348" s="50">
        <f>IF($T348="","",IF($S348="S",IF(INDEX(Firms!$J$5:$J$1004,$T348)="","",INDEX(Firms!$J$5:$J$1004,$T348)),IF(INDEX('AFA Rates'!$I$5:$I$1004,$T348)="","",INDEX('AFA Rates'!$I$5:$I$1004,$T348))))</f>
        <v/>
      </c>
      <c r="L348" s="50">
        <f>IF($T348="","",IF($S348="S",IF(INDEX(Firms!$K$5:$K$1004,$T348)="","",INDEX(Firms!$K$5:$K$1004,$T348)),IF(INDEX('AFA Rates'!$J$5:$J$1004,$T348)="","",INDEX('AFA Rates'!$J$5:$J$1004,$T348))))</f>
        <v/>
      </c>
      <c r="M348" s="50">
        <f>IF($T348="","",IF($S348="S",IF(INDEX(Firms!$L$5:$L$1004,$T348)="","",INDEX(Firms!$L$5:$L$1004,$T348)),IF(INDEX('AFA Rates'!$K$5:$K$1004,$T348)="","",INDEX('AFA Rates'!$K$5:$K$1004,$T348))))</f>
        <v/>
      </c>
      <c r="N348" s="50">
        <f>IF($T348="","",IF($S348="S",IF(INDEX(Firms!$M$5:$M$1004,$T348)="","",INDEX(Firms!$M$5:$M$1004,$T348)),IF(INDEX('AFA Rates'!$L$5:$L$1004,$T348)="","",INDEX('AFA Rates'!$L$5:$L$1004,$T348))))</f>
        <v/>
      </c>
      <c r="O348" s="78">
        <f>IF(OR($T348="",$U348=""),"",IF(INDEX(Firms!$C$5:$C$1004,$U348)="","",INDEX(Firms!$C$5:$C$1004,$U348)))</f>
        <v/>
      </c>
      <c r="P348" s="79">
        <f>IF(OR($T348="",$U348=""),"",IF(INDEX(Firms!$N$5:$N$1004,$U348)="","",INDEX(Firms!$N$5:$N$1004,$U348)))</f>
        <v/>
      </c>
      <c r="Q348" s="78">
        <f>IF($T348="","",IF($S348="S",IF(INDEX(Firms!$T$5:$T$1004,$T348)="","",INDEX(Firms!$T$5:$T$1004,$T348)),IF(INDEX('AFA Rates'!$M$5:$M$1004,$T348)="","",INDEX('AFA Rates'!$M$5:$M$1004,$T348))))</f>
        <v/>
      </c>
      <c r="S348">
        <f>IF(344&lt;=$S$2,"S",IF(344&lt;=$S$2+$T$2,"A",""))</f>
        <v/>
      </c>
      <c r="T348">
        <f>IF(S348="S",MATCH(344,Firms!$W$5:$W$1004,0),IF(S348="A",IFERROR(MATCH(344-$S$2,'AFA Rates'!$R$5:$R$1004,0),""),""))</f>
        <v/>
      </c>
      <c r="U348">
        <f>IF(S348="S",T348,IF(AND(S348="A",T348&lt;&gt;""),IFERROR(MATCH(INDEX('AFA Rates'!$A$5:$A$1004,T348),Firms!$A$5:$A$1004,0),""),""))</f>
        <v/>
      </c>
    </row>
    <row r="349">
      <c r="A349" s="78">
        <f>IF($T349="","",IF($S349="S",IF(INDEX(Firms!$A$5:$A$1004,$T349)="","",INDEX(Firms!$A$5:$A$1004,$T349)),IF(INDEX('AFA Rates'!$A$5:$A$1004,$T349)="","",INDEX('AFA Rates'!$A$5:$A$1004,$T349))))</f>
        <v/>
      </c>
      <c r="B349" s="79">
        <f>IF(OR($T349="",$U349=""),IF($T349="","","Not on Firms tab"),INDEX(Firms!$B$5:$B$1004,$U349)&amp;"")</f>
        <v/>
      </c>
      <c r="C349" s="78">
        <f>IF($T349="","",IF($S349="S","Standard",INDEX('AFA Rates'!$B$5:$B$1004,$T349)&amp;""))</f>
        <v/>
      </c>
      <c r="D349" s="88">
        <f>IF($T349="","",IF($S349="S",IF(INDEX(Firms!$E$5:$E$1004,$T349)="","",INDEX(Firms!$E$5:$E$1004,$T349)),IF(INDEX('AFA Rates'!$C$5:$C$1004,$T349)="","",INDEX('AFA Rates'!$C$5:$C$1004,$T349))))</f>
        <v/>
      </c>
      <c r="E349" s="88">
        <f>IF($T349="","",IF($S349="S",IF(""="","",""),IF(INDEX('AFA Rates'!$D$5:$D$1004,$T349)="","",INDEX('AFA Rates'!$D$5:$D$1004,$T349))))</f>
        <v/>
      </c>
      <c r="F349" s="79">
        <f>IF($T349="","",IF($S349="S",IF(INDEX(Firms!$O$5:$O$1004,$T349)="","",INDEX(Firms!$O$5:$O$1004,$T349)),IF(INDEX('AFA Rates'!$O$5:$O$1004,$T349)="","",INDEX('AFA Rates'!$O$5:$O$1004,$T349))))</f>
        <v/>
      </c>
      <c r="G349" s="50">
        <f>IF($T349="","",IF($S349="S",IF(INDEX(Firms!$F$5:$F$1004,$T349)="","",INDEX(Firms!$F$5:$F$1004,$T349)),IF(INDEX('AFA Rates'!$E$5:$E$1004,$T349)="","",INDEX('AFA Rates'!$E$5:$E$1004,$T349))))</f>
        <v/>
      </c>
      <c r="H349" s="50">
        <f>IF($T349="","",IF($S349="S",IF(INDEX(Firms!$G$5:$G$1004,$T349)="","",INDEX(Firms!$G$5:$G$1004,$T349)),IF(INDEX('AFA Rates'!$F$5:$F$1004,$T349)="","",INDEX('AFA Rates'!$F$5:$F$1004,$T349))))</f>
        <v/>
      </c>
      <c r="I349" s="50">
        <f>IF($T349="","",IF($S349="S",IF(INDEX(Firms!$H$5:$H$1004,$T349)="","",INDEX(Firms!$H$5:$H$1004,$T349)),IF(INDEX('AFA Rates'!$G$5:$G$1004,$T349)="","",INDEX('AFA Rates'!$G$5:$G$1004,$T349))))</f>
        <v/>
      </c>
      <c r="J349" s="50">
        <f>IF($T349="","",IF($S349="S",IF(INDEX(Firms!$I$5:$I$1004,$T349)="","",INDEX(Firms!$I$5:$I$1004,$T349)),IF(INDEX('AFA Rates'!$H$5:$H$1004,$T349)="","",INDEX('AFA Rates'!$H$5:$H$1004,$T349))))</f>
        <v/>
      </c>
      <c r="K349" s="50">
        <f>IF($T349="","",IF($S349="S",IF(INDEX(Firms!$J$5:$J$1004,$T349)="","",INDEX(Firms!$J$5:$J$1004,$T349)),IF(INDEX('AFA Rates'!$I$5:$I$1004,$T349)="","",INDEX('AFA Rates'!$I$5:$I$1004,$T349))))</f>
        <v/>
      </c>
      <c r="L349" s="50">
        <f>IF($T349="","",IF($S349="S",IF(INDEX(Firms!$K$5:$K$1004,$T349)="","",INDEX(Firms!$K$5:$K$1004,$T349)),IF(INDEX('AFA Rates'!$J$5:$J$1004,$T349)="","",INDEX('AFA Rates'!$J$5:$J$1004,$T349))))</f>
        <v/>
      </c>
      <c r="M349" s="50">
        <f>IF($T349="","",IF($S349="S",IF(INDEX(Firms!$L$5:$L$1004,$T349)="","",INDEX(Firms!$L$5:$L$1004,$T349)),IF(INDEX('AFA Rates'!$K$5:$K$1004,$T349)="","",INDEX('AFA Rates'!$K$5:$K$1004,$T349))))</f>
        <v/>
      </c>
      <c r="N349" s="50">
        <f>IF($T349="","",IF($S349="S",IF(INDEX(Firms!$M$5:$M$1004,$T349)="","",INDEX(Firms!$M$5:$M$1004,$T349)),IF(INDEX('AFA Rates'!$L$5:$L$1004,$T349)="","",INDEX('AFA Rates'!$L$5:$L$1004,$T349))))</f>
        <v/>
      </c>
      <c r="O349" s="78">
        <f>IF(OR($T349="",$U349=""),"",IF(INDEX(Firms!$C$5:$C$1004,$U349)="","",INDEX(Firms!$C$5:$C$1004,$U349)))</f>
        <v/>
      </c>
      <c r="P349" s="79">
        <f>IF(OR($T349="",$U349=""),"",IF(INDEX(Firms!$N$5:$N$1004,$U349)="","",INDEX(Firms!$N$5:$N$1004,$U349)))</f>
        <v/>
      </c>
      <c r="Q349" s="78">
        <f>IF($T349="","",IF($S349="S",IF(INDEX(Firms!$T$5:$T$1004,$T349)="","",INDEX(Firms!$T$5:$T$1004,$T349)),IF(INDEX('AFA Rates'!$M$5:$M$1004,$T349)="","",INDEX('AFA Rates'!$M$5:$M$1004,$T349))))</f>
        <v/>
      </c>
      <c r="S349">
        <f>IF(345&lt;=$S$2,"S",IF(345&lt;=$S$2+$T$2,"A",""))</f>
        <v/>
      </c>
      <c r="T349">
        <f>IF(S349="S",MATCH(345,Firms!$W$5:$W$1004,0),IF(S349="A",IFERROR(MATCH(345-$S$2,'AFA Rates'!$R$5:$R$1004,0),""),""))</f>
        <v/>
      </c>
      <c r="U349">
        <f>IF(S349="S",T349,IF(AND(S349="A",T349&lt;&gt;""),IFERROR(MATCH(INDEX('AFA Rates'!$A$5:$A$1004,T349),Firms!$A$5:$A$1004,0),""),""))</f>
        <v/>
      </c>
    </row>
    <row r="350">
      <c r="A350" s="78">
        <f>IF($T350="","",IF($S350="S",IF(INDEX(Firms!$A$5:$A$1004,$T350)="","",INDEX(Firms!$A$5:$A$1004,$T350)),IF(INDEX('AFA Rates'!$A$5:$A$1004,$T350)="","",INDEX('AFA Rates'!$A$5:$A$1004,$T350))))</f>
        <v/>
      </c>
      <c r="B350" s="79">
        <f>IF(OR($T350="",$U350=""),IF($T350="","","Not on Firms tab"),INDEX(Firms!$B$5:$B$1004,$U350)&amp;"")</f>
        <v/>
      </c>
      <c r="C350" s="78">
        <f>IF($T350="","",IF($S350="S","Standard",INDEX('AFA Rates'!$B$5:$B$1004,$T350)&amp;""))</f>
        <v/>
      </c>
      <c r="D350" s="88">
        <f>IF($T350="","",IF($S350="S",IF(INDEX(Firms!$E$5:$E$1004,$T350)="","",INDEX(Firms!$E$5:$E$1004,$T350)),IF(INDEX('AFA Rates'!$C$5:$C$1004,$T350)="","",INDEX('AFA Rates'!$C$5:$C$1004,$T350))))</f>
        <v/>
      </c>
      <c r="E350" s="88">
        <f>IF($T350="","",IF($S350="S",IF(""="","",""),IF(INDEX('AFA Rates'!$D$5:$D$1004,$T350)="","",INDEX('AFA Rates'!$D$5:$D$1004,$T350))))</f>
        <v/>
      </c>
      <c r="F350" s="79">
        <f>IF($T350="","",IF($S350="S",IF(INDEX(Firms!$O$5:$O$1004,$T350)="","",INDEX(Firms!$O$5:$O$1004,$T350)),IF(INDEX('AFA Rates'!$O$5:$O$1004,$T350)="","",INDEX('AFA Rates'!$O$5:$O$1004,$T350))))</f>
        <v/>
      </c>
      <c r="G350" s="50">
        <f>IF($T350="","",IF($S350="S",IF(INDEX(Firms!$F$5:$F$1004,$T350)="","",INDEX(Firms!$F$5:$F$1004,$T350)),IF(INDEX('AFA Rates'!$E$5:$E$1004,$T350)="","",INDEX('AFA Rates'!$E$5:$E$1004,$T350))))</f>
        <v/>
      </c>
      <c r="H350" s="50">
        <f>IF($T350="","",IF($S350="S",IF(INDEX(Firms!$G$5:$G$1004,$T350)="","",INDEX(Firms!$G$5:$G$1004,$T350)),IF(INDEX('AFA Rates'!$F$5:$F$1004,$T350)="","",INDEX('AFA Rates'!$F$5:$F$1004,$T350))))</f>
        <v/>
      </c>
      <c r="I350" s="50">
        <f>IF($T350="","",IF($S350="S",IF(INDEX(Firms!$H$5:$H$1004,$T350)="","",INDEX(Firms!$H$5:$H$1004,$T350)),IF(INDEX('AFA Rates'!$G$5:$G$1004,$T350)="","",INDEX('AFA Rates'!$G$5:$G$1004,$T350))))</f>
        <v/>
      </c>
      <c r="J350" s="50">
        <f>IF($T350="","",IF($S350="S",IF(INDEX(Firms!$I$5:$I$1004,$T350)="","",INDEX(Firms!$I$5:$I$1004,$T350)),IF(INDEX('AFA Rates'!$H$5:$H$1004,$T350)="","",INDEX('AFA Rates'!$H$5:$H$1004,$T350))))</f>
        <v/>
      </c>
      <c r="K350" s="50">
        <f>IF($T350="","",IF($S350="S",IF(INDEX(Firms!$J$5:$J$1004,$T350)="","",INDEX(Firms!$J$5:$J$1004,$T350)),IF(INDEX('AFA Rates'!$I$5:$I$1004,$T350)="","",INDEX('AFA Rates'!$I$5:$I$1004,$T350))))</f>
        <v/>
      </c>
      <c r="L350" s="50">
        <f>IF($T350="","",IF($S350="S",IF(INDEX(Firms!$K$5:$K$1004,$T350)="","",INDEX(Firms!$K$5:$K$1004,$T350)),IF(INDEX('AFA Rates'!$J$5:$J$1004,$T350)="","",INDEX('AFA Rates'!$J$5:$J$1004,$T350))))</f>
        <v/>
      </c>
      <c r="M350" s="50">
        <f>IF($T350="","",IF($S350="S",IF(INDEX(Firms!$L$5:$L$1004,$T350)="","",INDEX(Firms!$L$5:$L$1004,$T350)),IF(INDEX('AFA Rates'!$K$5:$K$1004,$T350)="","",INDEX('AFA Rates'!$K$5:$K$1004,$T350))))</f>
        <v/>
      </c>
      <c r="N350" s="50">
        <f>IF($T350="","",IF($S350="S",IF(INDEX(Firms!$M$5:$M$1004,$T350)="","",INDEX(Firms!$M$5:$M$1004,$T350)),IF(INDEX('AFA Rates'!$L$5:$L$1004,$T350)="","",INDEX('AFA Rates'!$L$5:$L$1004,$T350))))</f>
        <v/>
      </c>
      <c r="O350" s="78">
        <f>IF(OR($T350="",$U350=""),"",IF(INDEX(Firms!$C$5:$C$1004,$U350)="","",INDEX(Firms!$C$5:$C$1004,$U350)))</f>
        <v/>
      </c>
      <c r="P350" s="79">
        <f>IF(OR($T350="",$U350=""),"",IF(INDEX(Firms!$N$5:$N$1004,$U350)="","",INDEX(Firms!$N$5:$N$1004,$U350)))</f>
        <v/>
      </c>
      <c r="Q350" s="78">
        <f>IF($T350="","",IF($S350="S",IF(INDEX(Firms!$T$5:$T$1004,$T350)="","",INDEX(Firms!$T$5:$T$1004,$T350)),IF(INDEX('AFA Rates'!$M$5:$M$1004,$T350)="","",INDEX('AFA Rates'!$M$5:$M$1004,$T350))))</f>
        <v/>
      </c>
      <c r="S350">
        <f>IF(346&lt;=$S$2,"S",IF(346&lt;=$S$2+$T$2,"A",""))</f>
        <v/>
      </c>
      <c r="T350">
        <f>IF(S350="S",MATCH(346,Firms!$W$5:$W$1004,0),IF(S350="A",IFERROR(MATCH(346-$S$2,'AFA Rates'!$R$5:$R$1004,0),""),""))</f>
        <v/>
      </c>
      <c r="U350">
        <f>IF(S350="S",T350,IF(AND(S350="A",T350&lt;&gt;""),IFERROR(MATCH(INDEX('AFA Rates'!$A$5:$A$1004,T350),Firms!$A$5:$A$1004,0),""),""))</f>
        <v/>
      </c>
    </row>
    <row r="351">
      <c r="A351" s="78">
        <f>IF($T351="","",IF($S351="S",IF(INDEX(Firms!$A$5:$A$1004,$T351)="","",INDEX(Firms!$A$5:$A$1004,$T351)),IF(INDEX('AFA Rates'!$A$5:$A$1004,$T351)="","",INDEX('AFA Rates'!$A$5:$A$1004,$T351))))</f>
        <v/>
      </c>
      <c r="B351" s="79">
        <f>IF(OR($T351="",$U351=""),IF($T351="","","Not on Firms tab"),INDEX(Firms!$B$5:$B$1004,$U351)&amp;"")</f>
        <v/>
      </c>
      <c r="C351" s="78">
        <f>IF($T351="","",IF($S351="S","Standard",INDEX('AFA Rates'!$B$5:$B$1004,$T351)&amp;""))</f>
        <v/>
      </c>
      <c r="D351" s="88">
        <f>IF($T351="","",IF($S351="S",IF(INDEX(Firms!$E$5:$E$1004,$T351)="","",INDEX(Firms!$E$5:$E$1004,$T351)),IF(INDEX('AFA Rates'!$C$5:$C$1004,$T351)="","",INDEX('AFA Rates'!$C$5:$C$1004,$T351))))</f>
        <v/>
      </c>
      <c r="E351" s="88">
        <f>IF($T351="","",IF($S351="S",IF(""="","",""),IF(INDEX('AFA Rates'!$D$5:$D$1004,$T351)="","",INDEX('AFA Rates'!$D$5:$D$1004,$T351))))</f>
        <v/>
      </c>
      <c r="F351" s="79">
        <f>IF($T351="","",IF($S351="S",IF(INDEX(Firms!$O$5:$O$1004,$T351)="","",INDEX(Firms!$O$5:$O$1004,$T351)),IF(INDEX('AFA Rates'!$O$5:$O$1004,$T351)="","",INDEX('AFA Rates'!$O$5:$O$1004,$T351))))</f>
        <v/>
      </c>
      <c r="G351" s="50">
        <f>IF($T351="","",IF($S351="S",IF(INDEX(Firms!$F$5:$F$1004,$T351)="","",INDEX(Firms!$F$5:$F$1004,$T351)),IF(INDEX('AFA Rates'!$E$5:$E$1004,$T351)="","",INDEX('AFA Rates'!$E$5:$E$1004,$T351))))</f>
        <v/>
      </c>
      <c r="H351" s="50">
        <f>IF($T351="","",IF($S351="S",IF(INDEX(Firms!$G$5:$G$1004,$T351)="","",INDEX(Firms!$G$5:$G$1004,$T351)),IF(INDEX('AFA Rates'!$F$5:$F$1004,$T351)="","",INDEX('AFA Rates'!$F$5:$F$1004,$T351))))</f>
        <v/>
      </c>
      <c r="I351" s="50">
        <f>IF($T351="","",IF($S351="S",IF(INDEX(Firms!$H$5:$H$1004,$T351)="","",INDEX(Firms!$H$5:$H$1004,$T351)),IF(INDEX('AFA Rates'!$G$5:$G$1004,$T351)="","",INDEX('AFA Rates'!$G$5:$G$1004,$T351))))</f>
        <v/>
      </c>
      <c r="J351" s="50">
        <f>IF($T351="","",IF($S351="S",IF(INDEX(Firms!$I$5:$I$1004,$T351)="","",INDEX(Firms!$I$5:$I$1004,$T351)),IF(INDEX('AFA Rates'!$H$5:$H$1004,$T351)="","",INDEX('AFA Rates'!$H$5:$H$1004,$T351))))</f>
        <v/>
      </c>
      <c r="K351" s="50">
        <f>IF($T351="","",IF($S351="S",IF(INDEX(Firms!$J$5:$J$1004,$T351)="","",INDEX(Firms!$J$5:$J$1004,$T351)),IF(INDEX('AFA Rates'!$I$5:$I$1004,$T351)="","",INDEX('AFA Rates'!$I$5:$I$1004,$T351))))</f>
        <v/>
      </c>
      <c r="L351" s="50">
        <f>IF($T351="","",IF($S351="S",IF(INDEX(Firms!$K$5:$K$1004,$T351)="","",INDEX(Firms!$K$5:$K$1004,$T351)),IF(INDEX('AFA Rates'!$J$5:$J$1004,$T351)="","",INDEX('AFA Rates'!$J$5:$J$1004,$T351))))</f>
        <v/>
      </c>
      <c r="M351" s="50">
        <f>IF($T351="","",IF($S351="S",IF(INDEX(Firms!$L$5:$L$1004,$T351)="","",INDEX(Firms!$L$5:$L$1004,$T351)),IF(INDEX('AFA Rates'!$K$5:$K$1004,$T351)="","",INDEX('AFA Rates'!$K$5:$K$1004,$T351))))</f>
        <v/>
      </c>
      <c r="N351" s="50">
        <f>IF($T351="","",IF($S351="S",IF(INDEX(Firms!$M$5:$M$1004,$T351)="","",INDEX(Firms!$M$5:$M$1004,$T351)),IF(INDEX('AFA Rates'!$L$5:$L$1004,$T351)="","",INDEX('AFA Rates'!$L$5:$L$1004,$T351))))</f>
        <v/>
      </c>
      <c r="O351" s="78">
        <f>IF(OR($T351="",$U351=""),"",IF(INDEX(Firms!$C$5:$C$1004,$U351)="","",INDEX(Firms!$C$5:$C$1004,$U351)))</f>
        <v/>
      </c>
      <c r="P351" s="79">
        <f>IF(OR($T351="",$U351=""),"",IF(INDEX(Firms!$N$5:$N$1004,$U351)="","",INDEX(Firms!$N$5:$N$1004,$U351)))</f>
        <v/>
      </c>
      <c r="Q351" s="78">
        <f>IF($T351="","",IF($S351="S",IF(INDEX(Firms!$T$5:$T$1004,$T351)="","",INDEX(Firms!$T$5:$T$1004,$T351)),IF(INDEX('AFA Rates'!$M$5:$M$1004,$T351)="","",INDEX('AFA Rates'!$M$5:$M$1004,$T351))))</f>
        <v/>
      </c>
      <c r="S351">
        <f>IF(347&lt;=$S$2,"S",IF(347&lt;=$S$2+$T$2,"A",""))</f>
        <v/>
      </c>
      <c r="T351">
        <f>IF(S351="S",MATCH(347,Firms!$W$5:$W$1004,0),IF(S351="A",IFERROR(MATCH(347-$S$2,'AFA Rates'!$R$5:$R$1004,0),""),""))</f>
        <v/>
      </c>
      <c r="U351">
        <f>IF(S351="S",T351,IF(AND(S351="A",T351&lt;&gt;""),IFERROR(MATCH(INDEX('AFA Rates'!$A$5:$A$1004,T351),Firms!$A$5:$A$1004,0),""),""))</f>
        <v/>
      </c>
    </row>
    <row r="352">
      <c r="A352" s="78">
        <f>IF($T352="","",IF($S352="S",IF(INDEX(Firms!$A$5:$A$1004,$T352)="","",INDEX(Firms!$A$5:$A$1004,$T352)),IF(INDEX('AFA Rates'!$A$5:$A$1004,$T352)="","",INDEX('AFA Rates'!$A$5:$A$1004,$T352))))</f>
        <v/>
      </c>
      <c r="B352" s="79">
        <f>IF(OR($T352="",$U352=""),IF($T352="","","Not on Firms tab"),INDEX(Firms!$B$5:$B$1004,$U352)&amp;"")</f>
        <v/>
      </c>
      <c r="C352" s="78">
        <f>IF($T352="","",IF($S352="S","Standard",INDEX('AFA Rates'!$B$5:$B$1004,$T352)&amp;""))</f>
        <v/>
      </c>
      <c r="D352" s="88">
        <f>IF($T352="","",IF($S352="S",IF(INDEX(Firms!$E$5:$E$1004,$T352)="","",INDEX(Firms!$E$5:$E$1004,$T352)),IF(INDEX('AFA Rates'!$C$5:$C$1004,$T352)="","",INDEX('AFA Rates'!$C$5:$C$1004,$T352))))</f>
        <v/>
      </c>
      <c r="E352" s="88">
        <f>IF($T352="","",IF($S352="S",IF(""="","",""),IF(INDEX('AFA Rates'!$D$5:$D$1004,$T352)="","",INDEX('AFA Rates'!$D$5:$D$1004,$T352))))</f>
        <v/>
      </c>
      <c r="F352" s="79">
        <f>IF($T352="","",IF($S352="S",IF(INDEX(Firms!$O$5:$O$1004,$T352)="","",INDEX(Firms!$O$5:$O$1004,$T352)),IF(INDEX('AFA Rates'!$O$5:$O$1004,$T352)="","",INDEX('AFA Rates'!$O$5:$O$1004,$T352))))</f>
        <v/>
      </c>
      <c r="G352" s="50">
        <f>IF($T352="","",IF($S352="S",IF(INDEX(Firms!$F$5:$F$1004,$T352)="","",INDEX(Firms!$F$5:$F$1004,$T352)),IF(INDEX('AFA Rates'!$E$5:$E$1004,$T352)="","",INDEX('AFA Rates'!$E$5:$E$1004,$T352))))</f>
        <v/>
      </c>
      <c r="H352" s="50">
        <f>IF($T352="","",IF($S352="S",IF(INDEX(Firms!$G$5:$G$1004,$T352)="","",INDEX(Firms!$G$5:$G$1004,$T352)),IF(INDEX('AFA Rates'!$F$5:$F$1004,$T352)="","",INDEX('AFA Rates'!$F$5:$F$1004,$T352))))</f>
        <v/>
      </c>
      <c r="I352" s="50">
        <f>IF($T352="","",IF($S352="S",IF(INDEX(Firms!$H$5:$H$1004,$T352)="","",INDEX(Firms!$H$5:$H$1004,$T352)),IF(INDEX('AFA Rates'!$G$5:$G$1004,$T352)="","",INDEX('AFA Rates'!$G$5:$G$1004,$T352))))</f>
        <v/>
      </c>
      <c r="J352" s="50">
        <f>IF($T352="","",IF($S352="S",IF(INDEX(Firms!$I$5:$I$1004,$T352)="","",INDEX(Firms!$I$5:$I$1004,$T352)),IF(INDEX('AFA Rates'!$H$5:$H$1004,$T352)="","",INDEX('AFA Rates'!$H$5:$H$1004,$T352))))</f>
        <v/>
      </c>
      <c r="K352" s="50">
        <f>IF($T352="","",IF($S352="S",IF(INDEX(Firms!$J$5:$J$1004,$T352)="","",INDEX(Firms!$J$5:$J$1004,$T352)),IF(INDEX('AFA Rates'!$I$5:$I$1004,$T352)="","",INDEX('AFA Rates'!$I$5:$I$1004,$T352))))</f>
        <v/>
      </c>
      <c r="L352" s="50">
        <f>IF($T352="","",IF($S352="S",IF(INDEX(Firms!$K$5:$K$1004,$T352)="","",INDEX(Firms!$K$5:$K$1004,$T352)),IF(INDEX('AFA Rates'!$J$5:$J$1004,$T352)="","",INDEX('AFA Rates'!$J$5:$J$1004,$T352))))</f>
        <v/>
      </c>
      <c r="M352" s="50">
        <f>IF($T352="","",IF($S352="S",IF(INDEX(Firms!$L$5:$L$1004,$T352)="","",INDEX(Firms!$L$5:$L$1004,$T352)),IF(INDEX('AFA Rates'!$K$5:$K$1004,$T352)="","",INDEX('AFA Rates'!$K$5:$K$1004,$T352))))</f>
        <v/>
      </c>
      <c r="N352" s="50">
        <f>IF($T352="","",IF($S352="S",IF(INDEX(Firms!$M$5:$M$1004,$T352)="","",INDEX(Firms!$M$5:$M$1004,$T352)),IF(INDEX('AFA Rates'!$L$5:$L$1004,$T352)="","",INDEX('AFA Rates'!$L$5:$L$1004,$T352))))</f>
        <v/>
      </c>
      <c r="O352" s="78">
        <f>IF(OR($T352="",$U352=""),"",IF(INDEX(Firms!$C$5:$C$1004,$U352)="","",INDEX(Firms!$C$5:$C$1004,$U352)))</f>
        <v/>
      </c>
      <c r="P352" s="79">
        <f>IF(OR($T352="",$U352=""),"",IF(INDEX(Firms!$N$5:$N$1004,$U352)="","",INDEX(Firms!$N$5:$N$1004,$U352)))</f>
        <v/>
      </c>
      <c r="Q352" s="78">
        <f>IF($T352="","",IF($S352="S",IF(INDEX(Firms!$T$5:$T$1004,$T352)="","",INDEX(Firms!$T$5:$T$1004,$T352)),IF(INDEX('AFA Rates'!$M$5:$M$1004,$T352)="","",INDEX('AFA Rates'!$M$5:$M$1004,$T352))))</f>
        <v/>
      </c>
      <c r="S352">
        <f>IF(348&lt;=$S$2,"S",IF(348&lt;=$S$2+$T$2,"A",""))</f>
        <v/>
      </c>
      <c r="T352">
        <f>IF(S352="S",MATCH(348,Firms!$W$5:$W$1004,0),IF(S352="A",IFERROR(MATCH(348-$S$2,'AFA Rates'!$R$5:$R$1004,0),""),""))</f>
        <v/>
      </c>
      <c r="U352">
        <f>IF(S352="S",T352,IF(AND(S352="A",T352&lt;&gt;""),IFERROR(MATCH(INDEX('AFA Rates'!$A$5:$A$1004,T352),Firms!$A$5:$A$1004,0),""),""))</f>
        <v/>
      </c>
    </row>
    <row r="353">
      <c r="A353" s="78">
        <f>IF($T353="","",IF($S353="S",IF(INDEX(Firms!$A$5:$A$1004,$T353)="","",INDEX(Firms!$A$5:$A$1004,$T353)),IF(INDEX('AFA Rates'!$A$5:$A$1004,$T353)="","",INDEX('AFA Rates'!$A$5:$A$1004,$T353))))</f>
        <v/>
      </c>
      <c r="B353" s="79">
        <f>IF(OR($T353="",$U353=""),IF($T353="","","Not on Firms tab"),INDEX(Firms!$B$5:$B$1004,$U353)&amp;"")</f>
        <v/>
      </c>
      <c r="C353" s="78">
        <f>IF($T353="","",IF($S353="S","Standard",INDEX('AFA Rates'!$B$5:$B$1004,$T353)&amp;""))</f>
        <v/>
      </c>
      <c r="D353" s="88">
        <f>IF($T353="","",IF($S353="S",IF(INDEX(Firms!$E$5:$E$1004,$T353)="","",INDEX(Firms!$E$5:$E$1004,$T353)),IF(INDEX('AFA Rates'!$C$5:$C$1004,$T353)="","",INDEX('AFA Rates'!$C$5:$C$1004,$T353))))</f>
        <v/>
      </c>
      <c r="E353" s="88">
        <f>IF($T353="","",IF($S353="S",IF(""="","",""),IF(INDEX('AFA Rates'!$D$5:$D$1004,$T353)="","",INDEX('AFA Rates'!$D$5:$D$1004,$T353))))</f>
        <v/>
      </c>
      <c r="F353" s="79">
        <f>IF($T353="","",IF($S353="S",IF(INDEX(Firms!$O$5:$O$1004,$T353)="","",INDEX(Firms!$O$5:$O$1004,$T353)),IF(INDEX('AFA Rates'!$O$5:$O$1004,$T353)="","",INDEX('AFA Rates'!$O$5:$O$1004,$T353))))</f>
        <v/>
      </c>
      <c r="G353" s="50">
        <f>IF($T353="","",IF($S353="S",IF(INDEX(Firms!$F$5:$F$1004,$T353)="","",INDEX(Firms!$F$5:$F$1004,$T353)),IF(INDEX('AFA Rates'!$E$5:$E$1004,$T353)="","",INDEX('AFA Rates'!$E$5:$E$1004,$T353))))</f>
        <v/>
      </c>
      <c r="H353" s="50">
        <f>IF($T353="","",IF($S353="S",IF(INDEX(Firms!$G$5:$G$1004,$T353)="","",INDEX(Firms!$G$5:$G$1004,$T353)),IF(INDEX('AFA Rates'!$F$5:$F$1004,$T353)="","",INDEX('AFA Rates'!$F$5:$F$1004,$T353))))</f>
        <v/>
      </c>
      <c r="I353" s="50">
        <f>IF($T353="","",IF($S353="S",IF(INDEX(Firms!$H$5:$H$1004,$T353)="","",INDEX(Firms!$H$5:$H$1004,$T353)),IF(INDEX('AFA Rates'!$G$5:$G$1004,$T353)="","",INDEX('AFA Rates'!$G$5:$G$1004,$T353))))</f>
        <v/>
      </c>
      <c r="J353" s="50">
        <f>IF($T353="","",IF($S353="S",IF(INDEX(Firms!$I$5:$I$1004,$T353)="","",INDEX(Firms!$I$5:$I$1004,$T353)),IF(INDEX('AFA Rates'!$H$5:$H$1004,$T353)="","",INDEX('AFA Rates'!$H$5:$H$1004,$T353))))</f>
        <v/>
      </c>
      <c r="K353" s="50">
        <f>IF($T353="","",IF($S353="S",IF(INDEX(Firms!$J$5:$J$1004,$T353)="","",INDEX(Firms!$J$5:$J$1004,$T353)),IF(INDEX('AFA Rates'!$I$5:$I$1004,$T353)="","",INDEX('AFA Rates'!$I$5:$I$1004,$T353))))</f>
        <v/>
      </c>
      <c r="L353" s="50">
        <f>IF($T353="","",IF($S353="S",IF(INDEX(Firms!$K$5:$K$1004,$T353)="","",INDEX(Firms!$K$5:$K$1004,$T353)),IF(INDEX('AFA Rates'!$J$5:$J$1004,$T353)="","",INDEX('AFA Rates'!$J$5:$J$1004,$T353))))</f>
        <v/>
      </c>
      <c r="M353" s="50">
        <f>IF($T353="","",IF($S353="S",IF(INDEX(Firms!$L$5:$L$1004,$T353)="","",INDEX(Firms!$L$5:$L$1004,$T353)),IF(INDEX('AFA Rates'!$K$5:$K$1004,$T353)="","",INDEX('AFA Rates'!$K$5:$K$1004,$T353))))</f>
        <v/>
      </c>
      <c r="N353" s="50">
        <f>IF($T353="","",IF($S353="S",IF(INDEX(Firms!$M$5:$M$1004,$T353)="","",INDEX(Firms!$M$5:$M$1004,$T353)),IF(INDEX('AFA Rates'!$L$5:$L$1004,$T353)="","",INDEX('AFA Rates'!$L$5:$L$1004,$T353))))</f>
        <v/>
      </c>
      <c r="O353" s="78">
        <f>IF(OR($T353="",$U353=""),"",IF(INDEX(Firms!$C$5:$C$1004,$U353)="","",INDEX(Firms!$C$5:$C$1004,$U353)))</f>
        <v/>
      </c>
      <c r="P353" s="79">
        <f>IF(OR($T353="",$U353=""),"",IF(INDEX(Firms!$N$5:$N$1004,$U353)="","",INDEX(Firms!$N$5:$N$1004,$U353)))</f>
        <v/>
      </c>
      <c r="Q353" s="78">
        <f>IF($T353="","",IF($S353="S",IF(INDEX(Firms!$T$5:$T$1004,$T353)="","",INDEX(Firms!$T$5:$T$1004,$T353)),IF(INDEX('AFA Rates'!$M$5:$M$1004,$T353)="","",INDEX('AFA Rates'!$M$5:$M$1004,$T353))))</f>
        <v/>
      </c>
      <c r="S353">
        <f>IF(349&lt;=$S$2,"S",IF(349&lt;=$S$2+$T$2,"A",""))</f>
        <v/>
      </c>
      <c r="T353">
        <f>IF(S353="S",MATCH(349,Firms!$W$5:$W$1004,0),IF(S353="A",IFERROR(MATCH(349-$S$2,'AFA Rates'!$R$5:$R$1004,0),""),""))</f>
        <v/>
      </c>
      <c r="U353">
        <f>IF(S353="S",T353,IF(AND(S353="A",T353&lt;&gt;""),IFERROR(MATCH(INDEX('AFA Rates'!$A$5:$A$1004,T353),Firms!$A$5:$A$1004,0),""),""))</f>
        <v/>
      </c>
    </row>
    <row r="354">
      <c r="A354" s="78">
        <f>IF($T354="","",IF($S354="S",IF(INDEX(Firms!$A$5:$A$1004,$T354)="","",INDEX(Firms!$A$5:$A$1004,$T354)),IF(INDEX('AFA Rates'!$A$5:$A$1004,$T354)="","",INDEX('AFA Rates'!$A$5:$A$1004,$T354))))</f>
        <v/>
      </c>
      <c r="B354" s="79">
        <f>IF(OR($T354="",$U354=""),IF($T354="","","Not on Firms tab"),INDEX(Firms!$B$5:$B$1004,$U354)&amp;"")</f>
        <v/>
      </c>
      <c r="C354" s="78">
        <f>IF($T354="","",IF($S354="S","Standard",INDEX('AFA Rates'!$B$5:$B$1004,$T354)&amp;""))</f>
        <v/>
      </c>
      <c r="D354" s="88">
        <f>IF($T354="","",IF($S354="S",IF(INDEX(Firms!$E$5:$E$1004,$T354)="","",INDEX(Firms!$E$5:$E$1004,$T354)),IF(INDEX('AFA Rates'!$C$5:$C$1004,$T354)="","",INDEX('AFA Rates'!$C$5:$C$1004,$T354))))</f>
        <v/>
      </c>
      <c r="E354" s="88">
        <f>IF($T354="","",IF($S354="S",IF(""="","",""),IF(INDEX('AFA Rates'!$D$5:$D$1004,$T354)="","",INDEX('AFA Rates'!$D$5:$D$1004,$T354))))</f>
        <v/>
      </c>
      <c r="F354" s="79">
        <f>IF($T354="","",IF($S354="S",IF(INDEX(Firms!$O$5:$O$1004,$T354)="","",INDEX(Firms!$O$5:$O$1004,$T354)),IF(INDEX('AFA Rates'!$O$5:$O$1004,$T354)="","",INDEX('AFA Rates'!$O$5:$O$1004,$T354))))</f>
        <v/>
      </c>
      <c r="G354" s="50">
        <f>IF($T354="","",IF($S354="S",IF(INDEX(Firms!$F$5:$F$1004,$T354)="","",INDEX(Firms!$F$5:$F$1004,$T354)),IF(INDEX('AFA Rates'!$E$5:$E$1004,$T354)="","",INDEX('AFA Rates'!$E$5:$E$1004,$T354))))</f>
        <v/>
      </c>
      <c r="H354" s="50">
        <f>IF($T354="","",IF($S354="S",IF(INDEX(Firms!$G$5:$G$1004,$T354)="","",INDEX(Firms!$G$5:$G$1004,$T354)),IF(INDEX('AFA Rates'!$F$5:$F$1004,$T354)="","",INDEX('AFA Rates'!$F$5:$F$1004,$T354))))</f>
        <v/>
      </c>
      <c r="I354" s="50">
        <f>IF($T354="","",IF($S354="S",IF(INDEX(Firms!$H$5:$H$1004,$T354)="","",INDEX(Firms!$H$5:$H$1004,$T354)),IF(INDEX('AFA Rates'!$G$5:$G$1004,$T354)="","",INDEX('AFA Rates'!$G$5:$G$1004,$T354))))</f>
        <v/>
      </c>
      <c r="J354" s="50">
        <f>IF($T354="","",IF($S354="S",IF(INDEX(Firms!$I$5:$I$1004,$T354)="","",INDEX(Firms!$I$5:$I$1004,$T354)),IF(INDEX('AFA Rates'!$H$5:$H$1004,$T354)="","",INDEX('AFA Rates'!$H$5:$H$1004,$T354))))</f>
        <v/>
      </c>
      <c r="K354" s="50">
        <f>IF($T354="","",IF($S354="S",IF(INDEX(Firms!$J$5:$J$1004,$T354)="","",INDEX(Firms!$J$5:$J$1004,$T354)),IF(INDEX('AFA Rates'!$I$5:$I$1004,$T354)="","",INDEX('AFA Rates'!$I$5:$I$1004,$T354))))</f>
        <v/>
      </c>
      <c r="L354" s="50">
        <f>IF($T354="","",IF($S354="S",IF(INDEX(Firms!$K$5:$K$1004,$T354)="","",INDEX(Firms!$K$5:$K$1004,$T354)),IF(INDEX('AFA Rates'!$J$5:$J$1004,$T354)="","",INDEX('AFA Rates'!$J$5:$J$1004,$T354))))</f>
        <v/>
      </c>
      <c r="M354" s="50">
        <f>IF($T354="","",IF($S354="S",IF(INDEX(Firms!$L$5:$L$1004,$T354)="","",INDEX(Firms!$L$5:$L$1004,$T354)),IF(INDEX('AFA Rates'!$K$5:$K$1004,$T354)="","",INDEX('AFA Rates'!$K$5:$K$1004,$T354))))</f>
        <v/>
      </c>
      <c r="N354" s="50">
        <f>IF($T354="","",IF($S354="S",IF(INDEX(Firms!$M$5:$M$1004,$T354)="","",INDEX(Firms!$M$5:$M$1004,$T354)),IF(INDEX('AFA Rates'!$L$5:$L$1004,$T354)="","",INDEX('AFA Rates'!$L$5:$L$1004,$T354))))</f>
        <v/>
      </c>
      <c r="O354" s="78">
        <f>IF(OR($T354="",$U354=""),"",IF(INDEX(Firms!$C$5:$C$1004,$U354)="","",INDEX(Firms!$C$5:$C$1004,$U354)))</f>
        <v/>
      </c>
      <c r="P354" s="79">
        <f>IF(OR($T354="",$U354=""),"",IF(INDEX(Firms!$N$5:$N$1004,$U354)="","",INDEX(Firms!$N$5:$N$1004,$U354)))</f>
        <v/>
      </c>
      <c r="Q354" s="78">
        <f>IF($T354="","",IF($S354="S",IF(INDEX(Firms!$T$5:$T$1004,$T354)="","",INDEX(Firms!$T$5:$T$1004,$T354)),IF(INDEX('AFA Rates'!$M$5:$M$1004,$T354)="","",INDEX('AFA Rates'!$M$5:$M$1004,$T354))))</f>
        <v/>
      </c>
      <c r="S354">
        <f>IF(350&lt;=$S$2,"S",IF(350&lt;=$S$2+$T$2,"A",""))</f>
        <v/>
      </c>
      <c r="T354">
        <f>IF(S354="S",MATCH(350,Firms!$W$5:$W$1004,0),IF(S354="A",IFERROR(MATCH(350-$S$2,'AFA Rates'!$R$5:$R$1004,0),""),""))</f>
        <v/>
      </c>
      <c r="U354">
        <f>IF(S354="S",T354,IF(AND(S354="A",T354&lt;&gt;""),IFERROR(MATCH(INDEX('AFA Rates'!$A$5:$A$1004,T354),Firms!$A$5:$A$1004,0),""),""))</f>
        <v/>
      </c>
    </row>
    <row r="355">
      <c r="A355" s="78">
        <f>IF($T355="","",IF($S355="S",IF(INDEX(Firms!$A$5:$A$1004,$T355)="","",INDEX(Firms!$A$5:$A$1004,$T355)),IF(INDEX('AFA Rates'!$A$5:$A$1004,$T355)="","",INDEX('AFA Rates'!$A$5:$A$1004,$T355))))</f>
        <v/>
      </c>
      <c r="B355" s="79">
        <f>IF(OR($T355="",$U355=""),IF($T355="","","Not on Firms tab"),INDEX(Firms!$B$5:$B$1004,$U355)&amp;"")</f>
        <v/>
      </c>
      <c r="C355" s="78">
        <f>IF($T355="","",IF($S355="S","Standard",INDEX('AFA Rates'!$B$5:$B$1004,$T355)&amp;""))</f>
        <v/>
      </c>
      <c r="D355" s="88">
        <f>IF($T355="","",IF($S355="S",IF(INDEX(Firms!$E$5:$E$1004,$T355)="","",INDEX(Firms!$E$5:$E$1004,$T355)),IF(INDEX('AFA Rates'!$C$5:$C$1004,$T355)="","",INDEX('AFA Rates'!$C$5:$C$1004,$T355))))</f>
        <v/>
      </c>
      <c r="E355" s="88">
        <f>IF($T355="","",IF($S355="S",IF(""="","",""),IF(INDEX('AFA Rates'!$D$5:$D$1004,$T355)="","",INDEX('AFA Rates'!$D$5:$D$1004,$T355))))</f>
        <v/>
      </c>
      <c r="F355" s="79">
        <f>IF($T355="","",IF($S355="S",IF(INDEX(Firms!$O$5:$O$1004,$T355)="","",INDEX(Firms!$O$5:$O$1004,$T355)),IF(INDEX('AFA Rates'!$O$5:$O$1004,$T355)="","",INDEX('AFA Rates'!$O$5:$O$1004,$T355))))</f>
        <v/>
      </c>
      <c r="G355" s="50">
        <f>IF($T355="","",IF($S355="S",IF(INDEX(Firms!$F$5:$F$1004,$T355)="","",INDEX(Firms!$F$5:$F$1004,$T355)),IF(INDEX('AFA Rates'!$E$5:$E$1004,$T355)="","",INDEX('AFA Rates'!$E$5:$E$1004,$T355))))</f>
        <v/>
      </c>
      <c r="H355" s="50">
        <f>IF($T355="","",IF($S355="S",IF(INDEX(Firms!$G$5:$G$1004,$T355)="","",INDEX(Firms!$G$5:$G$1004,$T355)),IF(INDEX('AFA Rates'!$F$5:$F$1004,$T355)="","",INDEX('AFA Rates'!$F$5:$F$1004,$T355))))</f>
        <v/>
      </c>
      <c r="I355" s="50">
        <f>IF($T355="","",IF($S355="S",IF(INDEX(Firms!$H$5:$H$1004,$T355)="","",INDEX(Firms!$H$5:$H$1004,$T355)),IF(INDEX('AFA Rates'!$G$5:$G$1004,$T355)="","",INDEX('AFA Rates'!$G$5:$G$1004,$T355))))</f>
        <v/>
      </c>
      <c r="J355" s="50">
        <f>IF($T355="","",IF($S355="S",IF(INDEX(Firms!$I$5:$I$1004,$T355)="","",INDEX(Firms!$I$5:$I$1004,$T355)),IF(INDEX('AFA Rates'!$H$5:$H$1004,$T355)="","",INDEX('AFA Rates'!$H$5:$H$1004,$T355))))</f>
        <v/>
      </c>
      <c r="K355" s="50">
        <f>IF($T355="","",IF($S355="S",IF(INDEX(Firms!$J$5:$J$1004,$T355)="","",INDEX(Firms!$J$5:$J$1004,$T355)),IF(INDEX('AFA Rates'!$I$5:$I$1004,$T355)="","",INDEX('AFA Rates'!$I$5:$I$1004,$T355))))</f>
        <v/>
      </c>
      <c r="L355" s="50">
        <f>IF($T355="","",IF($S355="S",IF(INDEX(Firms!$K$5:$K$1004,$T355)="","",INDEX(Firms!$K$5:$K$1004,$T355)),IF(INDEX('AFA Rates'!$J$5:$J$1004,$T355)="","",INDEX('AFA Rates'!$J$5:$J$1004,$T355))))</f>
        <v/>
      </c>
      <c r="M355" s="50">
        <f>IF($T355="","",IF($S355="S",IF(INDEX(Firms!$L$5:$L$1004,$T355)="","",INDEX(Firms!$L$5:$L$1004,$T355)),IF(INDEX('AFA Rates'!$K$5:$K$1004,$T355)="","",INDEX('AFA Rates'!$K$5:$K$1004,$T355))))</f>
        <v/>
      </c>
      <c r="N355" s="50">
        <f>IF($T355="","",IF($S355="S",IF(INDEX(Firms!$M$5:$M$1004,$T355)="","",INDEX(Firms!$M$5:$M$1004,$T355)),IF(INDEX('AFA Rates'!$L$5:$L$1004,$T355)="","",INDEX('AFA Rates'!$L$5:$L$1004,$T355))))</f>
        <v/>
      </c>
      <c r="O355" s="78">
        <f>IF(OR($T355="",$U355=""),"",IF(INDEX(Firms!$C$5:$C$1004,$U355)="","",INDEX(Firms!$C$5:$C$1004,$U355)))</f>
        <v/>
      </c>
      <c r="P355" s="79">
        <f>IF(OR($T355="",$U355=""),"",IF(INDEX(Firms!$N$5:$N$1004,$U355)="","",INDEX(Firms!$N$5:$N$1004,$U355)))</f>
        <v/>
      </c>
      <c r="Q355" s="78">
        <f>IF($T355="","",IF($S355="S",IF(INDEX(Firms!$T$5:$T$1004,$T355)="","",INDEX(Firms!$T$5:$T$1004,$T355)),IF(INDEX('AFA Rates'!$M$5:$M$1004,$T355)="","",INDEX('AFA Rates'!$M$5:$M$1004,$T355))))</f>
        <v/>
      </c>
      <c r="S355">
        <f>IF(351&lt;=$S$2,"S",IF(351&lt;=$S$2+$T$2,"A",""))</f>
        <v/>
      </c>
      <c r="T355">
        <f>IF(S355="S",MATCH(351,Firms!$W$5:$W$1004,0),IF(S355="A",IFERROR(MATCH(351-$S$2,'AFA Rates'!$R$5:$R$1004,0),""),""))</f>
        <v/>
      </c>
      <c r="U355">
        <f>IF(S355="S",T355,IF(AND(S355="A",T355&lt;&gt;""),IFERROR(MATCH(INDEX('AFA Rates'!$A$5:$A$1004,T355),Firms!$A$5:$A$1004,0),""),""))</f>
        <v/>
      </c>
    </row>
    <row r="356">
      <c r="A356" s="78">
        <f>IF($T356="","",IF($S356="S",IF(INDEX(Firms!$A$5:$A$1004,$T356)="","",INDEX(Firms!$A$5:$A$1004,$T356)),IF(INDEX('AFA Rates'!$A$5:$A$1004,$T356)="","",INDEX('AFA Rates'!$A$5:$A$1004,$T356))))</f>
        <v/>
      </c>
      <c r="B356" s="79">
        <f>IF(OR($T356="",$U356=""),IF($T356="","","Not on Firms tab"),INDEX(Firms!$B$5:$B$1004,$U356)&amp;"")</f>
        <v/>
      </c>
      <c r="C356" s="78">
        <f>IF($T356="","",IF($S356="S","Standard",INDEX('AFA Rates'!$B$5:$B$1004,$T356)&amp;""))</f>
        <v/>
      </c>
      <c r="D356" s="88">
        <f>IF($T356="","",IF($S356="S",IF(INDEX(Firms!$E$5:$E$1004,$T356)="","",INDEX(Firms!$E$5:$E$1004,$T356)),IF(INDEX('AFA Rates'!$C$5:$C$1004,$T356)="","",INDEX('AFA Rates'!$C$5:$C$1004,$T356))))</f>
        <v/>
      </c>
      <c r="E356" s="88">
        <f>IF($T356="","",IF($S356="S",IF(""="","",""),IF(INDEX('AFA Rates'!$D$5:$D$1004,$T356)="","",INDEX('AFA Rates'!$D$5:$D$1004,$T356))))</f>
        <v/>
      </c>
      <c r="F356" s="79">
        <f>IF($T356="","",IF($S356="S",IF(INDEX(Firms!$O$5:$O$1004,$T356)="","",INDEX(Firms!$O$5:$O$1004,$T356)),IF(INDEX('AFA Rates'!$O$5:$O$1004,$T356)="","",INDEX('AFA Rates'!$O$5:$O$1004,$T356))))</f>
        <v/>
      </c>
      <c r="G356" s="50">
        <f>IF($T356="","",IF($S356="S",IF(INDEX(Firms!$F$5:$F$1004,$T356)="","",INDEX(Firms!$F$5:$F$1004,$T356)),IF(INDEX('AFA Rates'!$E$5:$E$1004,$T356)="","",INDEX('AFA Rates'!$E$5:$E$1004,$T356))))</f>
        <v/>
      </c>
      <c r="H356" s="50">
        <f>IF($T356="","",IF($S356="S",IF(INDEX(Firms!$G$5:$G$1004,$T356)="","",INDEX(Firms!$G$5:$G$1004,$T356)),IF(INDEX('AFA Rates'!$F$5:$F$1004,$T356)="","",INDEX('AFA Rates'!$F$5:$F$1004,$T356))))</f>
        <v/>
      </c>
      <c r="I356" s="50">
        <f>IF($T356="","",IF($S356="S",IF(INDEX(Firms!$H$5:$H$1004,$T356)="","",INDEX(Firms!$H$5:$H$1004,$T356)),IF(INDEX('AFA Rates'!$G$5:$G$1004,$T356)="","",INDEX('AFA Rates'!$G$5:$G$1004,$T356))))</f>
        <v/>
      </c>
      <c r="J356" s="50">
        <f>IF($T356="","",IF($S356="S",IF(INDEX(Firms!$I$5:$I$1004,$T356)="","",INDEX(Firms!$I$5:$I$1004,$T356)),IF(INDEX('AFA Rates'!$H$5:$H$1004,$T356)="","",INDEX('AFA Rates'!$H$5:$H$1004,$T356))))</f>
        <v/>
      </c>
      <c r="K356" s="50">
        <f>IF($T356="","",IF($S356="S",IF(INDEX(Firms!$J$5:$J$1004,$T356)="","",INDEX(Firms!$J$5:$J$1004,$T356)),IF(INDEX('AFA Rates'!$I$5:$I$1004,$T356)="","",INDEX('AFA Rates'!$I$5:$I$1004,$T356))))</f>
        <v/>
      </c>
      <c r="L356" s="50">
        <f>IF($T356="","",IF($S356="S",IF(INDEX(Firms!$K$5:$K$1004,$T356)="","",INDEX(Firms!$K$5:$K$1004,$T356)),IF(INDEX('AFA Rates'!$J$5:$J$1004,$T356)="","",INDEX('AFA Rates'!$J$5:$J$1004,$T356))))</f>
        <v/>
      </c>
      <c r="M356" s="50">
        <f>IF($T356="","",IF($S356="S",IF(INDEX(Firms!$L$5:$L$1004,$T356)="","",INDEX(Firms!$L$5:$L$1004,$T356)),IF(INDEX('AFA Rates'!$K$5:$K$1004,$T356)="","",INDEX('AFA Rates'!$K$5:$K$1004,$T356))))</f>
        <v/>
      </c>
      <c r="N356" s="50">
        <f>IF($T356="","",IF($S356="S",IF(INDEX(Firms!$M$5:$M$1004,$T356)="","",INDEX(Firms!$M$5:$M$1004,$T356)),IF(INDEX('AFA Rates'!$L$5:$L$1004,$T356)="","",INDEX('AFA Rates'!$L$5:$L$1004,$T356))))</f>
        <v/>
      </c>
      <c r="O356" s="78">
        <f>IF(OR($T356="",$U356=""),"",IF(INDEX(Firms!$C$5:$C$1004,$U356)="","",INDEX(Firms!$C$5:$C$1004,$U356)))</f>
        <v/>
      </c>
      <c r="P356" s="79">
        <f>IF(OR($T356="",$U356=""),"",IF(INDEX(Firms!$N$5:$N$1004,$U356)="","",INDEX(Firms!$N$5:$N$1004,$U356)))</f>
        <v/>
      </c>
      <c r="Q356" s="78">
        <f>IF($T356="","",IF($S356="S",IF(INDEX(Firms!$T$5:$T$1004,$T356)="","",INDEX(Firms!$T$5:$T$1004,$T356)),IF(INDEX('AFA Rates'!$M$5:$M$1004,$T356)="","",INDEX('AFA Rates'!$M$5:$M$1004,$T356))))</f>
        <v/>
      </c>
      <c r="S356">
        <f>IF(352&lt;=$S$2,"S",IF(352&lt;=$S$2+$T$2,"A",""))</f>
        <v/>
      </c>
      <c r="T356">
        <f>IF(S356="S",MATCH(352,Firms!$W$5:$W$1004,0),IF(S356="A",IFERROR(MATCH(352-$S$2,'AFA Rates'!$R$5:$R$1004,0),""),""))</f>
        <v/>
      </c>
      <c r="U356">
        <f>IF(S356="S",T356,IF(AND(S356="A",T356&lt;&gt;""),IFERROR(MATCH(INDEX('AFA Rates'!$A$5:$A$1004,T356),Firms!$A$5:$A$1004,0),""),""))</f>
        <v/>
      </c>
    </row>
    <row r="357">
      <c r="A357" s="78">
        <f>IF($T357="","",IF($S357="S",IF(INDEX(Firms!$A$5:$A$1004,$T357)="","",INDEX(Firms!$A$5:$A$1004,$T357)),IF(INDEX('AFA Rates'!$A$5:$A$1004,$T357)="","",INDEX('AFA Rates'!$A$5:$A$1004,$T357))))</f>
        <v/>
      </c>
      <c r="B357" s="79">
        <f>IF(OR($T357="",$U357=""),IF($T357="","","Not on Firms tab"),INDEX(Firms!$B$5:$B$1004,$U357)&amp;"")</f>
        <v/>
      </c>
      <c r="C357" s="78">
        <f>IF($T357="","",IF($S357="S","Standard",INDEX('AFA Rates'!$B$5:$B$1004,$T357)&amp;""))</f>
        <v/>
      </c>
      <c r="D357" s="88">
        <f>IF($T357="","",IF($S357="S",IF(INDEX(Firms!$E$5:$E$1004,$T357)="","",INDEX(Firms!$E$5:$E$1004,$T357)),IF(INDEX('AFA Rates'!$C$5:$C$1004,$T357)="","",INDEX('AFA Rates'!$C$5:$C$1004,$T357))))</f>
        <v/>
      </c>
      <c r="E357" s="88">
        <f>IF($T357="","",IF($S357="S",IF(""="","",""),IF(INDEX('AFA Rates'!$D$5:$D$1004,$T357)="","",INDEX('AFA Rates'!$D$5:$D$1004,$T357))))</f>
        <v/>
      </c>
      <c r="F357" s="79">
        <f>IF($T357="","",IF($S357="S",IF(INDEX(Firms!$O$5:$O$1004,$T357)="","",INDEX(Firms!$O$5:$O$1004,$T357)),IF(INDEX('AFA Rates'!$O$5:$O$1004,$T357)="","",INDEX('AFA Rates'!$O$5:$O$1004,$T357))))</f>
        <v/>
      </c>
      <c r="G357" s="50">
        <f>IF($T357="","",IF($S357="S",IF(INDEX(Firms!$F$5:$F$1004,$T357)="","",INDEX(Firms!$F$5:$F$1004,$T357)),IF(INDEX('AFA Rates'!$E$5:$E$1004,$T357)="","",INDEX('AFA Rates'!$E$5:$E$1004,$T357))))</f>
        <v/>
      </c>
      <c r="H357" s="50">
        <f>IF($T357="","",IF($S357="S",IF(INDEX(Firms!$G$5:$G$1004,$T357)="","",INDEX(Firms!$G$5:$G$1004,$T357)),IF(INDEX('AFA Rates'!$F$5:$F$1004,$T357)="","",INDEX('AFA Rates'!$F$5:$F$1004,$T357))))</f>
        <v/>
      </c>
      <c r="I357" s="50">
        <f>IF($T357="","",IF($S357="S",IF(INDEX(Firms!$H$5:$H$1004,$T357)="","",INDEX(Firms!$H$5:$H$1004,$T357)),IF(INDEX('AFA Rates'!$G$5:$G$1004,$T357)="","",INDEX('AFA Rates'!$G$5:$G$1004,$T357))))</f>
        <v/>
      </c>
      <c r="J357" s="50">
        <f>IF($T357="","",IF($S357="S",IF(INDEX(Firms!$I$5:$I$1004,$T357)="","",INDEX(Firms!$I$5:$I$1004,$T357)),IF(INDEX('AFA Rates'!$H$5:$H$1004,$T357)="","",INDEX('AFA Rates'!$H$5:$H$1004,$T357))))</f>
        <v/>
      </c>
      <c r="K357" s="50">
        <f>IF($T357="","",IF($S357="S",IF(INDEX(Firms!$J$5:$J$1004,$T357)="","",INDEX(Firms!$J$5:$J$1004,$T357)),IF(INDEX('AFA Rates'!$I$5:$I$1004,$T357)="","",INDEX('AFA Rates'!$I$5:$I$1004,$T357))))</f>
        <v/>
      </c>
      <c r="L357" s="50">
        <f>IF($T357="","",IF($S357="S",IF(INDEX(Firms!$K$5:$K$1004,$T357)="","",INDEX(Firms!$K$5:$K$1004,$T357)),IF(INDEX('AFA Rates'!$J$5:$J$1004,$T357)="","",INDEX('AFA Rates'!$J$5:$J$1004,$T357))))</f>
        <v/>
      </c>
      <c r="M357" s="50">
        <f>IF($T357="","",IF($S357="S",IF(INDEX(Firms!$L$5:$L$1004,$T357)="","",INDEX(Firms!$L$5:$L$1004,$T357)),IF(INDEX('AFA Rates'!$K$5:$K$1004,$T357)="","",INDEX('AFA Rates'!$K$5:$K$1004,$T357))))</f>
        <v/>
      </c>
      <c r="N357" s="50">
        <f>IF($T357="","",IF($S357="S",IF(INDEX(Firms!$M$5:$M$1004,$T357)="","",INDEX(Firms!$M$5:$M$1004,$T357)),IF(INDEX('AFA Rates'!$L$5:$L$1004,$T357)="","",INDEX('AFA Rates'!$L$5:$L$1004,$T357))))</f>
        <v/>
      </c>
      <c r="O357" s="78">
        <f>IF(OR($T357="",$U357=""),"",IF(INDEX(Firms!$C$5:$C$1004,$U357)="","",INDEX(Firms!$C$5:$C$1004,$U357)))</f>
        <v/>
      </c>
      <c r="P357" s="79">
        <f>IF(OR($T357="",$U357=""),"",IF(INDEX(Firms!$N$5:$N$1004,$U357)="","",INDEX(Firms!$N$5:$N$1004,$U357)))</f>
        <v/>
      </c>
      <c r="Q357" s="78">
        <f>IF($T357="","",IF($S357="S",IF(INDEX(Firms!$T$5:$T$1004,$T357)="","",INDEX(Firms!$T$5:$T$1004,$T357)),IF(INDEX('AFA Rates'!$M$5:$M$1004,$T357)="","",INDEX('AFA Rates'!$M$5:$M$1004,$T357))))</f>
        <v/>
      </c>
      <c r="S357">
        <f>IF(353&lt;=$S$2,"S",IF(353&lt;=$S$2+$T$2,"A",""))</f>
        <v/>
      </c>
      <c r="T357">
        <f>IF(S357="S",MATCH(353,Firms!$W$5:$W$1004,0),IF(S357="A",IFERROR(MATCH(353-$S$2,'AFA Rates'!$R$5:$R$1004,0),""),""))</f>
        <v/>
      </c>
      <c r="U357">
        <f>IF(S357="S",T357,IF(AND(S357="A",T357&lt;&gt;""),IFERROR(MATCH(INDEX('AFA Rates'!$A$5:$A$1004,T357),Firms!$A$5:$A$1004,0),""),""))</f>
        <v/>
      </c>
    </row>
    <row r="358">
      <c r="A358" s="78">
        <f>IF($T358="","",IF($S358="S",IF(INDEX(Firms!$A$5:$A$1004,$T358)="","",INDEX(Firms!$A$5:$A$1004,$T358)),IF(INDEX('AFA Rates'!$A$5:$A$1004,$T358)="","",INDEX('AFA Rates'!$A$5:$A$1004,$T358))))</f>
        <v/>
      </c>
      <c r="B358" s="79">
        <f>IF(OR($T358="",$U358=""),IF($T358="","","Not on Firms tab"),INDEX(Firms!$B$5:$B$1004,$U358)&amp;"")</f>
        <v/>
      </c>
      <c r="C358" s="78">
        <f>IF($T358="","",IF($S358="S","Standard",INDEX('AFA Rates'!$B$5:$B$1004,$T358)&amp;""))</f>
        <v/>
      </c>
      <c r="D358" s="88">
        <f>IF($T358="","",IF($S358="S",IF(INDEX(Firms!$E$5:$E$1004,$T358)="","",INDEX(Firms!$E$5:$E$1004,$T358)),IF(INDEX('AFA Rates'!$C$5:$C$1004,$T358)="","",INDEX('AFA Rates'!$C$5:$C$1004,$T358))))</f>
        <v/>
      </c>
      <c r="E358" s="88">
        <f>IF($T358="","",IF($S358="S",IF(""="","",""),IF(INDEX('AFA Rates'!$D$5:$D$1004,$T358)="","",INDEX('AFA Rates'!$D$5:$D$1004,$T358))))</f>
        <v/>
      </c>
      <c r="F358" s="79">
        <f>IF($T358="","",IF($S358="S",IF(INDEX(Firms!$O$5:$O$1004,$T358)="","",INDEX(Firms!$O$5:$O$1004,$T358)),IF(INDEX('AFA Rates'!$O$5:$O$1004,$T358)="","",INDEX('AFA Rates'!$O$5:$O$1004,$T358))))</f>
        <v/>
      </c>
      <c r="G358" s="50">
        <f>IF($T358="","",IF($S358="S",IF(INDEX(Firms!$F$5:$F$1004,$T358)="","",INDEX(Firms!$F$5:$F$1004,$T358)),IF(INDEX('AFA Rates'!$E$5:$E$1004,$T358)="","",INDEX('AFA Rates'!$E$5:$E$1004,$T358))))</f>
        <v/>
      </c>
      <c r="H358" s="50">
        <f>IF($T358="","",IF($S358="S",IF(INDEX(Firms!$G$5:$G$1004,$T358)="","",INDEX(Firms!$G$5:$G$1004,$T358)),IF(INDEX('AFA Rates'!$F$5:$F$1004,$T358)="","",INDEX('AFA Rates'!$F$5:$F$1004,$T358))))</f>
        <v/>
      </c>
      <c r="I358" s="50">
        <f>IF($T358="","",IF($S358="S",IF(INDEX(Firms!$H$5:$H$1004,$T358)="","",INDEX(Firms!$H$5:$H$1004,$T358)),IF(INDEX('AFA Rates'!$G$5:$G$1004,$T358)="","",INDEX('AFA Rates'!$G$5:$G$1004,$T358))))</f>
        <v/>
      </c>
      <c r="J358" s="50">
        <f>IF($T358="","",IF($S358="S",IF(INDEX(Firms!$I$5:$I$1004,$T358)="","",INDEX(Firms!$I$5:$I$1004,$T358)),IF(INDEX('AFA Rates'!$H$5:$H$1004,$T358)="","",INDEX('AFA Rates'!$H$5:$H$1004,$T358))))</f>
        <v/>
      </c>
      <c r="K358" s="50">
        <f>IF($T358="","",IF($S358="S",IF(INDEX(Firms!$J$5:$J$1004,$T358)="","",INDEX(Firms!$J$5:$J$1004,$T358)),IF(INDEX('AFA Rates'!$I$5:$I$1004,$T358)="","",INDEX('AFA Rates'!$I$5:$I$1004,$T358))))</f>
        <v/>
      </c>
      <c r="L358" s="50">
        <f>IF($T358="","",IF($S358="S",IF(INDEX(Firms!$K$5:$K$1004,$T358)="","",INDEX(Firms!$K$5:$K$1004,$T358)),IF(INDEX('AFA Rates'!$J$5:$J$1004,$T358)="","",INDEX('AFA Rates'!$J$5:$J$1004,$T358))))</f>
        <v/>
      </c>
      <c r="M358" s="50">
        <f>IF($T358="","",IF($S358="S",IF(INDEX(Firms!$L$5:$L$1004,$T358)="","",INDEX(Firms!$L$5:$L$1004,$T358)),IF(INDEX('AFA Rates'!$K$5:$K$1004,$T358)="","",INDEX('AFA Rates'!$K$5:$K$1004,$T358))))</f>
        <v/>
      </c>
      <c r="N358" s="50">
        <f>IF($T358="","",IF($S358="S",IF(INDEX(Firms!$M$5:$M$1004,$T358)="","",INDEX(Firms!$M$5:$M$1004,$T358)),IF(INDEX('AFA Rates'!$L$5:$L$1004,$T358)="","",INDEX('AFA Rates'!$L$5:$L$1004,$T358))))</f>
        <v/>
      </c>
      <c r="O358" s="78">
        <f>IF(OR($T358="",$U358=""),"",IF(INDEX(Firms!$C$5:$C$1004,$U358)="","",INDEX(Firms!$C$5:$C$1004,$U358)))</f>
        <v/>
      </c>
      <c r="P358" s="79">
        <f>IF(OR($T358="",$U358=""),"",IF(INDEX(Firms!$N$5:$N$1004,$U358)="","",INDEX(Firms!$N$5:$N$1004,$U358)))</f>
        <v/>
      </c>
      <c r="Q358" s="78">
        <f>IF($T358="","",IF($S358="S",IF(INDEX(Firms!$T$5:$T$1004,$T358)="","",INDEX(Firms!$T$5:$T$1004,$T358)),IF(INDEX('AFA Rates'!$M$5:$M$1004,$T358)="","",INDEX('AFA Rates'!$M$5:$M$1004,$T358))))</f>
        <v/>
      </c>
      <c r="S358">
        <f>IF(354&lt;=$S$2,"S",IF(354&lt;=$S$2+$T$2,"A",""))</f>
        <v/>
      </c>
      <c r="T358">
        <f>IF(S358="S",MATCH(354,Firms!$W$5:$W$1004,0),IF(S358="A",IFERROR(MATCH(354-$S$2,'AFA Rates'!$R$5:$R$1004,0),""),""))</f>
        <v/>
      </c>
      <c r="U358">
        <f>IF(S358="S",T358,IF(AND(S358="A",T358&lt;&gt;""),IFERROR(MATCH(INDEX('AFA Rates'!$A$5:$A$1004,T358),Firms!$A$5:$A$1004,0),""),""))</f>
        <v/>
      </c>
    </row>
    <row r="359">
      <c r="A359" s="78">
        <f>IF($T359="","",IF($S359="S",IF(INDEX(Firms!$A$5:$A$1004,$T359)="","",INDEX(Firms!$A$5:$A$1004,$T359)),IF(INDEX('AFA Rates'!$A$5:$A$1004,$T359)="","",INDEX('AFA Rates'!$A$5:$A$1004,$T359))))</f>
        <v/>
      </c>
      <c r="B359" s="79">
        <f>IF(OR($T359="",$U359=""),IF($T359="","","Not on Firms tab"),INDEX(Firms!$B$5:$B$1004,$U359)&amp;"")</f>
        <v/>
      </c>
      <c r="C359" s="78">
        <f>IF($T359="","",IF($S359="S","Standard",INDEX('AFA Rates'!$B$5:$B$1004,$T359)&amp;""))</f>
        <v/>
      </c>
      <c r="D359" s="88">
        <f>IF($T359="","",IF($S359="S",IF(INDEX(Firms!$E$5:$E$1004,$T359)="","",INDEX(Firms!$E$5:$E$1004,$T359)),IF(INDEX('AFA Rates'!$C$5:$C$1004,$T359)="","",INDEX('AFA Rates'!$C$5:$C$1004,$T359))))</f>
        <v/>
      </c>
      <c r="E359" s="88">
        <f>IF($T359="","",IF($S359="S",IF(""="","",""),IF(INDEX('AFA Rates'!$D$5:$D$1004,$T359)="","",INDEX('AFA Rates'!$D$5:$D$1004,$T359))))</f>
        <v/>
      </c>
      <c r="F359" s="79">
        <f>IF($T359="","",IF($S359="S",IF(INDEX(Firms!$O$5:$O$1004,$T359)="","",INDEX(Firms!$O$5:$O$1004,$T359)),IF(INDEX('AFA Rates'!$O$5:$O$1004,$T359)="","",INDEX('AFA Rates'!$O$5:$O$1004,$T359))))</f>
        <v/>
      </c>
      <c r="G359" s="50">
        <f>IF($T359="","",IF($S359="S",IF(INDEX(Firms!$F$5:$F$1004,$T359)="","",INDEX(Firms!$F$5:$F$1004,$T359)),IF(INDEX('AFA Rates'!$E$5:$E$1004,$T359)="","",INDEX('AFA Rates'!$E$5:$E$1004,$T359))))</f>
        <v/>
      </c>
      <c r="H359" s="50">
        <f>IF($T359="","",IF($S359="S",IF(INDEX(Firms!$G$5:$G$1004,$T359)="","",INDEX(Firms!$G$5:$G$1004,$T359)),IF(INDEX('AFA Rates'!$F$5:$F$1004,$T359)="","",INDEX('AFA Rates'!$F$5:$F$1004,$T359))))</f>
        <v/>
      </c>
      <c r="I359" s="50">
        <f>IF($T359="","",IF($S359="S",IF(INDEX(Firms!$H$5:$H$1004,$T359)="","",INDEX(Firms!$H$5:$H$1004,$T359)),IF(INDEX('AFA Rates'!$G$5:$G$1004,$T359)="","",INDEX('AFA Rates'!$G$5:$G$1004,$T359))))</f>
        <v/>
      </c>
      <c r="J359" s="50">
        <f>IF($T359="","",IF($S359="S",IF(INDEX(Firms!$I$5:$I$1004,$T359)="","",INDEX(Firms!$I$5:$I$1004,$T359)),IF(INDEX('AFA Rates'!$H$5:$H$1004,$T359)="","",INDEX('AFA Rates'!$H$5:$H$1004,$T359))))</f>
        <v/>
      </c>
      <c r="K359" s="50">
        <f>IF($T359="","",IF($S359="S",IF(INDEX(Firms!$J$5:$J$1004,$T359)="","",INDEX(Firms!$J$5:$J$1004,$T359)),IF(INDEX('AFA Rates'!$I$5:$I$1004,$T359)="","",INDEX('AFA Rates'!$I$5:$I$1004,$T359))))</f>
        <v/>
      </c>
      <c r="L359" s="50">
        <f>IF($T359="","",IF($S359="S",IF(INDEX(Firms!$K$5:$K$1004,$T359)="","",INDEX(Firms!$K$5:$K$1004,$T359)),IF(INDEX('AFA Rates'!$J$5:$J$1004,$T359)="","",INDEX('AFA Rates'!$J$5:$J$1004,$T359))))</f>
        <v/>
      </c>
      <c r="M359" s="50">
        <f>IF($T359="","",IF($S359="S",IF(INDEX(Firms!$L$5:$L$1004,$T359)="","",INDEX(Firms!$L$5:$L$1004,$T359)),IF(INDEX('AFA Rates'!$K$5:$K$1004,$T359)="","",INDEX('AFA Rates'!$K$5:$K$1004,$T359))))</f>
        <v/>
      </c>
      <c r="N359" s="50">
        <f>IF($T359="","",IF($S359="S",IF(INDEX(Firms!$M$5:$M$1004,$T359)="","",INDEX(Firms!$M$5:$M$1004,$T359)),IF(INDEX('AFA Rates'!$L$5:$L$1004,$T359)="","",INDEX('AFA Rates'!$L$5:$L$1004,$T359))))</f>
        <v/>
      </c>
      <c r="O359" s="78">
        <f>IF(OR($T359="",$U359=""),"",IF(INDEX(Firms!$C$5:$C$1004,$U359)="","",INDEX(Firms!$C$5:$C$1004,$U359)))</f>
        <v/>
      </c>
      <c r="P359" s="79">
        <f>IF(OR($T359="",$U359=""),"",IF(INDEX(Firms!$N$5:$N$1004,$U359)="","",INDEX(Firms!$N$5:$N$1004,$U359)))</f>
        <v/>
      </c>
      <c r="Q359" s="78">
        <f>IF($T359="","",IF($S359="S",IF(INDEX(Firms!$T$5:$T$1004,$T359)="","",INDEX(Firms!$T$5:$T$1004,$T359)),IF(INDEX('AFA Rates'!$M$5:$M$1004,$T359)="","",INDEX('AFA Rates'!$M$5:$M$1004,$T359))))</f>
        <v/>
      </c>
      <c r="S359">
        <f>IF(355&lt;=$S$2,"S",IF(355&lt;=$S$2+$T$2,"A",""))</f>
        <v/>
      </c>
      <c r="T359">
        <f>IF(S359="S",MATCH(355,Firms!$W$5:$W$1004,0),IF(S359="A",IFERROR(MATCH(355-$S$2,'AFA Rates'!$R$5:$R$1004,0),""),""))</f>
        <v/>
      </c>
      <c r="U359">
        <f>IF(S359="S",T359,IF(AND(S359="A",T359&lt;&gt;""),IFERROR(MATCH(INDEX('AFA Rates'!$A$5:$A$1004,T359),Firms!$A$5:$A$1004,0),""),""))</f>
        <v/>
      </c>
    </row>
    <row r="360">
      <c r="A360" s="78">
        <f>IF($T360="","",IF($S360="S",IF(INDEX(Firms!$A$5:$A$1004,$T360)="","",INDEX(Firms!$A$5:$A$1004,$T360)),IF(INDEX('AFA Rates'!$A$5:$A$1004,$T360)="","",INDEX('AFA Rates'!$A$5:$A$1004,$T360))))</f>
        <v/>
      </c>
      <c r="B360" s="79">
        <f>IF(OR($T360="",$U360=""),IF($T360="","","Not on Firms tab"),INDEX(Firms!$B$5:$B$1004,$U360)&amp;"")</f>
        <v/>
      </c>
      <c r="C360" s="78">
        <f>IF($T360="","",IF($S360="S","Standard",INDEX('AFA Rates'!$B$5:$B$1004,$T360)&amp;""))</f>
        <v/>
      </c>
      <c r="D360" s="88">
        <f>IF($T360="","",IF($S360="S",IF(INDEX(Firms!$E$5:$E$1004,$T360)="","",INDEX(Firms!$E$5:$E$1004,$T360)),IF(INDEX('AFA Rates'!$C$5:$C$1004,$T360)="","",INDEX('AFA Rates'!$C$5:$C$1004,$T360))))</f>
        <v/>
      </c>
      <c r="E360" s="88">
        <f>IF($T360="","",IF($S360="S",IF(""="","",""),IF(INDEX('AFA Rates'!$D$5:$D$1004,$T360)="","",INDEX('AFA Rates'!$D$5:$D$1004,$T360))))</f>
        <v/>
      </c>
      <c r="F360" s="79">
        <f>IF($T360="","",IF($S360="S",IF(INDEX(Firms!$O$5:$O$1004,$T360)="","",INDEX(Firms!$O$5:$O$1004,$T360)),IF(INDEX('AFA Rates'!$O$5:$O$1004,$T360)="","",INDEX('AFA Rates'!$O$5:$O$1004,$T360))))</f>
        <v/>
      </c>
      <c r="G360" s="50">
        <f>IF($T360="","",IF($S360="S",IF(INDEX(Firms!$F$5:$F$1004,$T360)="","",INDEX(Firms!$F$5:$F$1004,$T360)),IF(INDEX('AFA Rates'!$E$5:$E$1004,$T360)="","",INDEX('AFA Rates'!$E$5:$E$1004,$T360))))</f>
        <v/>
      </c>
      <c r="H360" s="50">
        <f>IF($T360="","",IF($S360="S",IF(INDEX(Firms!$G$5:$G$1004,$T360)="","",INDEX(Firms!$G$5:$G$1004,$T360)),IF(INDEX('AFA Rates'!$F$5:$F$1004,$T360)="","",INDEX('AFA Rates'!$F$5:$F$1004,$T360))))</f>
        <v/>
      </c>
      <c r="I360" s="50">
        <f>IF($T360="","",IF($S360="S",IF(INDEX(Firms!$H$5:$H$1004,$T360)="","",INDEX(Firms!$H$5:$H$1004,$T360)),IF(INDEX('AFA Rates'!$G$5:$G$1004,$T360)="","",INDEX('AFA Rates'!$G$5:$G$1004,$T360))))</f>
        <v/>
      </c>
      <c r="J360" s="50">
        <f>IF($T360="","",IF($S360="S",IF(INDEX(Firms!$I$5:$I$1004,$T360)="","",INDEX(Firms!$I$5:$I$1004,$T360)),IF(INDEX('AFA Rates'!$H$5:$H$1004,$T360)="","",INDEX('AFA Rates'!$H$5:$H$1004,$T360))))</f>
        <v/>
      </c>
      <c r="K360" s="50">
        <f>IF($T360="","",IF($S360="S",IF(INDEX(Firms!$J$5:$J$1004,$T360)="","",INDEX(Firms!$J$5:$J$1004,$T360)),IF(INDEX('AFA Rates'!$I$5:$I$1004,$T360)="","",INDEX('AFA Rates'!$I$5:$I$1004,$T360))))</f>
        <v/>
      </c>
      <c r="L360" s="50">
        <f>IF($T360="","",IF($S360="S",IF(INDEX(Firms!$K$5:$K$1004,$T360)="","",INDEX(Firms!$K$5:$K$1004,$T360)),IF(INDEX('AFA Rates'!$J$5:$J$1004,$T360)="","",INDEX('AFA Rates'!$J$5:$J$1004,$T360))))</f>
        <v/>
      </c>
      <c r="M360" s="50">
        <f>IF($T360="","",IF($S360="S",IF(INDEX(Firms!$L$5:$L$1004,$T360)="","",INDEX(Firms!$L$5:$L$1004,$T360)),IF(INDEX('AFA Rates'!$K$5:$K$1004,$T360)="","",INDEX('AFA Rates'!$K$5:$K$1004,$T360))))</f>
        <v/>
      </c>
      <c r="N360" s="50">
        <f>IF($T360="","",IF($S360="S",IF(INDEX(Firms!$M$5:$M$1004,$T360)="","",INDEX(Firms!$M$5:$M$1004,$T360)),IF(INDEX('AFA Rates'!$L$5:$L$1004,$T360)="","",INDEX('AFA Rates'!$L$5:$L$1004,$T360))))</f>
        <v/>
      </c>
      <c r="O360" s="78">
        <f>IF(OR($T360="",$U360=""),"",IF(INDEX(Firms!$C$5:$C$1004,$U360)="","",INDEX(Firms!$C$5:$C$1004,$U360)))</f>
        <v/>
      </c>
      <c r="P360" s="79">
        <f>IF(OR($T360="",$U360=""),"",IF(INDEX(Firms!$N$5:$N$1004,$U360)="","",INDEX(Firms!$N$5:$N$1004,$U360)))</f>
        <v/>
      </c>
      <c r="Q360" s="78">
        <f>IF($T360="","",IF($S360="S",IF(INDEX(Firms!$T$5:$T$1004,$T360)="","",INDEX(Firms!$T$5:$T$1004,$T360)),IF(INDEX('AFA Rates'!$M$5:$M$1004,$T360)="","",INDEX('AFA Rates'!$M$5:$M$1004,$T360))))</f>
        <v/>
      </c>
      <c r="S360">
        <f>IF(356&lt;=$S$2,"S",IF(356&lt;=$S$2+$T$2,"A",""))</f>
        <v/>
      </c>
      <c r="T360">
        <f>IF(S360="S",MATCH(356,Firms!$W$5:$W$1004,0),IF(S360="A",IFERROR(MATCH(356-$S$2,'AFA Rates'!$R$5:$R$1004,0),""),""))</f>
        <v/>
      </c>
      <c r="U360">
        <f>IF(S360="S",T360,IF(AND(S360="A",T360&lt;&gt;""),IFERROR(MATCH(INDEX('AFA Rates'!$A$5:$A$1004,T360),Firms!$A$5:$A$1004,0),""),""))</f>
        <v/>
      </c>
    </row>
    <row r="361">
      <c r="A361" s="78">
        <f>IF($T361="","",IF($S361="S",IF(INDEX(Firms!$A$5:$A$1004,$T361)="","",INDEX(Firms!$A$5:$A$1004,$T361)),IF(INDEX('AFA Rates'!$A$5:$A$1004,$T361)="","",INDEX('AFA Rates'!$A$5:$A$1004,$T361))))</f>
        <v/>
      </c>
      <c r="B361" s="79">
        <f>IF(OR($T361="",$U361=""),IF($T361="","","Not on Firms tab"),INDEX(Firms!$B$5:$B$1004,$U361)&amp;"")</f>
        <v/>
      </c>
      <c r="C361" s="78">
        <f>IF($T361="","",IF($S361="S","Standard",INDEX('AFA Rates'!$B$5:$B$1004,$T361)&amp;""))</f>
        <v/>
      </c>
      <c r="D361" s="88">
        <f>IF($T361="","",IF($S361="S",IF(INDEX(Firms!$E$5:$E$1004,$T361)="","",INDEX(Firms!$E$5:$E$1004,$T361)),IF(INDEX('AFA Rates'!$C$5:$C$1004,$T361)="","",INDEX('AFA Rates'!$C$5:$C$1004,$T361))))</f>
        <v/>
      </c>
      <c r="E361" s="88">
        <f>IF($T361="","",IF($S361="S",IF(""="","",""),IF(INDEX('AFA Rates'!$D$5:$D$1004,$T361)="","",INDEX('AFA Rates'!$D$5:$D$1004,$T361))))</f>
        <v/>
      </c>
      <c r="F361" s="79">
        <f>IF($T361="","",IF($S361="S",IF(INDEX(Firms!$O$5:$O$1004,$T361)="","",INDEX(Firms!$O$5:$O$1004,$T361)),IF(INDEX('AFA Rates'!$O$5:$O$1004,$T361)="","",INDEX('AFA Rates'!$O$5:$O$1004,$T361))))</f>
        <v/>
      </c>
      <c r="G361" s="50">
        <f>IF($T361="","",IF($S361="S",IF(INDEX(Firms!$F$5:$F$1004,$T361)="","",INDEX(Firms!$F$5:$F$1004,$T361)),IF(INDEX('AFA Rates'!$E$5:$E$1004,$T361)="","",INDEX('AFA Rates'!$E$5:$E$1004,$T361))))</f>
        <v/>
      </c>
      <c r="H361" s="50">
        <f>IF($T361="","",IF($S361="S",IF(INDEX(Firms!$G$5:$G$1004,$T361)="","",INDEX(Firms!$G$5:$G$1004,$T361)),IF(INDEX('AFA Rates'!$F$5:$F$1004,$T361)="","",INDEX('AFA Rates'!$F$5:$F$1004,$T361))))</f>
        <v/>
      </c>
      <c r="I361" s="50">
        <f>IF($T361="","",IF($S361="S",IF(INDEX(Firms!$H$5:$H$1004,$T361)="","",INDEX(Firms!$H$5:$H$1004,$T361)),IF(INDEX('AFA Rates'!$G$5:$G$1004,$T361)="","",INDEX('AFA Rates'!$G$5:$G$1004,$T361))))</f>
        <v/>
      </c>
      <c r="J361" s="50">
        <f>IF($T361="","",IF($S361="S",IF(INDEX(Firms!$I$5:$I$1004,$T361)="","",INDEX(Firms!$I$5:$I$1004,$T361)),IF(INDEX('AFA Rates'!$H$5:$H$1004,$T361)="","",INDEX('AFA Rates'!$H$5:$H$1004,$T361))))</f>
        <v/>
      </c>
      <c r="K361" s="50">
        <f>IF($T361="","",IF($S361="S",IF(INDEX(Firms!$J$5:$J$1004,$T361)="","",INDEX(Firms!$J$5:$J$1004,$T361)),IF(INDEX('AFA Rates'!$I$5:$I$1004,$T361)="","",INDEX('AFA Rates'!$I$5:$I$1004,$T361))))</f>
        <v/>
      </c>
      <c r="L361" s="50">
        <f>IF($T361="","",IF($S361="S",IF(INDEX(Firms!$K$5:$K$1004,$T361)="","",INDEX(Firms!$K$5:$K$1004,$T361)),IF(INDEX('AFA Rates'!$J$5:$J$1004,$T361)="","",INDEX('AFA Rates'!$J$5:$J$1004,$T361))))</f>
        <v/>
      </c>
      <c r="M361" s="50">
        <f>IF($T361="","",IF($S361="S",IF(INDEX(Firms!$L$5:$L$1004,$T361)="","",INDEX(Firms!$L$5:$L$1004,$T361)),IF(INDEX('AFA Rates'!$K$5:$K$1004,$T361)="","",INDEX('AFA Rates'!$K$5:$K$1004,$T361))))</f>
        <v/>
      </c>
      <c r="N361" s="50">
        <f>IF($T361="","",IF($S361="S",IF(INDEX(Firms!$M$5:$M$1004,$T361)="","",INDEX(Firms!$M$5:$M$1004,$T361)),IF(INDEX('AFA Rates'!$L$5:$L$1004,$T361)="","",INDEX('AFA Rates'!$L$5:$L$1004,$T361))))</f>
        <v/>
      </c>
      <c r="O361" s="78">
        <f>IF(OR($T361="",$U361=""),"",IF(INDEX(Firms!$C$5:$C$1004,$U361)="","",INDEX(Firms!$C$5:$C$1004,$U361)))</f>
        <v/>
      </c>
      <c r="P361" s="79">
        <f>IF(OR($T361="",$U361=""),"",IF(INDEX(Firms!$N$5:$N$1004,$U361)="","",INDEX(Firms!$N$5:$N$1004,$U361)))</f>
        <v/>
      </c>
      <c r="Q361" s="78">
        <f>IF($T361="","",IF($S361="S",IF(INDEX(Firms!$T$5:$T$1004,$T361)="","",INDEX(Firms!$T$5:$T$1004,$T361)),IF(INDEX('AFA Rates'!$M$5:$M$1004,$T361)="","",INDEX('AFA Rates'!$M$5:$M$1004,$T361))))</f>
        <v/>
      </c>
      <c r="S361">
        <f>IF(357&lt;=$S$2,"S",IF(357&lt;=$S$2+$T$2,"A",""))</f>
        <v/>
      </c>
      <c r="T361">
        <f>IF(S361="S",MATCH(357,Firms!$W$5:$W$1004,0),IF(S361="A",IFERROR(MATCH(357-$S$2,'AFA Rates'!$R$5:$R$1004,0),""),""))</f>
        <v/>
      </c>
      <c r="U361">
        <f>IF(S361="S",T361,IF(AND(S361="A",T361&lt;&gt;""),IFERROR(MATCH(INDEX('AFA Rates'!$A$5:$A$1004,T361),Firms!$A$5:$A$1004,0),""),""))</f>
        <v/>
      </c>
    </row>
    <row r="362">
      <c r="A362" s="78">
        <f>IF($T362="","",IF($S362="S",IF(INDEX(Firms!$A$5:$A$1004,$T362)="","",INDEX(Firms!$A$5:$A$1004,$T362)),IF(INDEX('AFA Rates'!$A$5:$A$1004,$T362)="","",INDEX('AFA Rates'!$A$5:$A$1004,$T362))))</f>
        <v/>
      </c>
      <c r="B362" s="79">
        <f>IF(OR($T362="",$U362=""),IF($T362="","","Not on Firms tab"),INDEX(Firms!$B$5:$B$1004,$U362)&amp;"")</f>
        <v/>
      </c>
      <c r="C362" s="78">
        <f>IF($T362="","",IF($S362="S","Standard",INDEX('AFA Rates'!$B$5:$B$1004,$T362)&amp;""))</f>
        <v/>
      </c>
      <c r="D362" s="88">
        <f>IF($T362="","",IF($S362="S",IF(INDEX(Firms!$E$5:$E$1004,$T362)="","",INDEX(Firms!$E$5:$E$1004,$T362)),IF(INDEX('AFA Rates'!$C$5:$C$1004,$T362)="","",INDEX('AFA Rates'!$C$5:$C$1004,$T362))))</f>
        <v/>
      </c>
      <c r="E362" s="88">
        <f>IF($T362="","",IF($S362="S",IF(""="","",""),IF(INDEX('AFA Rates'!$D$5:$D$1004,$T362)="","",INDEX('AFA Rates'!$D$5:$D$1004,$T362))))</f>
        <v/>
      </c>
      <c r="F362" s="79">
        <f>IF($T362="","",IF($S362="S",IF(INDEX(Firms!$O$5:$O$1004,$T362)="","",INDEX(Firms!$O$5:$O$1004,$T362)),IF(INDEX('AFA Rates'!$O$5:$O$1004,$T362)="","",INDEX('AFA Rates'!$O$5:$O$1004,$T362))))</f>
        <v/>
      </c>
      <c r="G362" s="50">
        <f>IF($T362="","",IF($S362="S",IF(INDEX(Firms!$F$5:$F$1004,$T362)="","",INDEX(Firms!$F$5:$F$1004,$T362)),IF(INDEX('AFA Rates'!$E$5:$E$1004,$T362)="","",INDEX('AFA Rates'!$E$5:$E$1004,$T362))))</f>
        <v/>
      </c>
      <c r="H362" s="50">
        <f>IF($T362="","",IF($S362="S",IF(INDEX(Firms!$G$5:$G$1004,$T362)="","",INDEX(Firms!$G$5:$G$1004,$T362)),IF(INDEX('AFA Rates'!$F$5:$F$1004,$T362)="","",INDEX('AFA Rates'!$F$5:$F$1004,$T362))))</f>
        <v/>
      </c>
      <c r="I362" s="50">
        <f>IF($T362="","",IF($S362="S",IF(INDEX(Firms!$H$5:$H$1004,$T362)="","",INDEX(Firms!$H$5:$H$1004,$T362)),IF(INDEX('AFA Rates'!$G$5:$G$1004,$T362)="","",INDEX('AFA Rates'!$G$5:$G$1004,$T362))))</f>
        <v/>
      </c>
      <c r="J362" s="50">
        <f>IF($T362="","",IF($S362="S",IF(INDEX(Firms!$I$5:$I$1004,$T362)="","",INDEX(Firms!$I$5:$I$1004,$T362)),IF(INDEX('AFA Rates'!$H$5:$H$1004,$T362)="","",INDEX('AFA Rates'!$H$5:$H$1004,$T362))))</f>
        <v/>
      </c>
      <c r="K362" s="50">
        <f>IF($T362="","",IF($S362="S",IF(INDEX(Firms!$J$5:$J$1004,$T362)="","",INDEX(Firms!$J$5:$J$1004,$T362)),IF(INDEX('AFA Rates'!$I$5:$I$1004,$T362)="","",INDEX('AFA Rates'!$I$5:$I$1004,$T362))))</f>
        <v/>
      </c>
      <c r="L362" s="50">
        <f>IF($T362="","",IF($S362="S",IF(INDEX(Firms!$K$5:$K$1004,$T362)="","",INDEX(Firms!$K$5:$K$1004,$T362)),IF(INDEX('AFA Rates'!$J$5:$J$1004,$T362)="","",INDEX('AFA Rates'!$J$5:$J$1004,$T362))))</f>
        <v/>
      </c>
      <c r="M362" s="50">
        <f>IF($T362="","",IF($S362="S",IF(INDEX(Firms!$L$5:$L$1004,$T362)="","",INDEX(Firms!$L$5:$L$1004,$T362)),IF(INDEX('AFA Rates'!$K$5:$K$1004,$T362)="","",INDEX('AFA Rates'!$K$5:$K$1004,$T362))))</f>
        <v/>
      </c>
      <c r="N362" s="50">
        <f>IF($T362="","",IF($S362="S",IF(INDEX(Firms!$M$5:$M$1004,$T362)="","",INDEX(Firms!$M$5:$M$1004,$T362)),IF(INDEX('AFA Rates'!$L$5:$L$1004,$T362)="","",INDEX('AFA Rates'!$L$5:$L$1004,$T362))))</f>
        <v/>
      </c>
      <c r="O362" s="78">
        <f>IF(OR($T362="",$U362=""),"",IF(INDEX(Firms!$C$5:$C$1004,$U362)="","",INDEX(Firms!$C$5:$C$1004,$U362)))</f>
        <v/>
      </c>
      <c r="P362" s="79">
        <f>IF(OR($T362="",$U362=""),"",IF(INDEX(Firms!$N$5:$N$1004,$U362)="","",INDEX(Firms!$N$5:$N$1004,$U362)))</f>
        <v/>
      </c>
      <c r="Q362" s="78">
        <f>IF($T362="","",IF($S362="S",IF(INDEX(Firms!$T$5:$T$1004,$T362)="","",INDEX(Firms!$T$5:$T$1004,$T362)),IF(INDEX('AFA Rates'!$M$5:$M$1004,$T362)="","",INDEX('AFA Rates'!$M$5:$M$1004,$T362))))</f>
        <v/>
      </c>
      <c r="S362">
        <f>IF(358&lt;=$S$2,"S",IF(358&lt;=$S$2+$T$2,"A",""))</f>
        <v/>
      </c>
      <c r="T362">
        <f>IF(S362="S",MATCH(358,Firms!$W$5:$W$1004,0),IF(S362="A",IFERROR(MATCH(358-$S$2,'AFA Rates'!$R$5:$R$1004,0),""),""))</f>
        <v/>
      </c>
      <c r="U362">
        <f>IF(S362="S",T362,IF(AND(S362="A",T362&lt;&gt;""),IFERROR(MATCH(INDEX('AFA Rates'!$A$5:$A$1004,T362),Firms!$A$5:$A$1004,0),""),""))</f>
        <v/>
      </c>
    </row>
    <row r="363">
      <c r="A363" s="78">
        <f>IF($T363="","",IF($S363="S",IF(INDEX(Firms!$A$5:$A$1004,$T363)="","",INDEX(Firms!$A$5:$A$1004,$T363)),IF(INDEX('AFA Rates'!$A$5:$A$1004,$T363)="","",INDEX('AFA Rates'!$A$5:$A$1004,$T363))))</f>
        <v/>
      </c>
      <c r="B363" s="79">
        <f>IF(OR($T363="",$U363=""),IF($T363="","","Not on Firms tab"),INDEX(Firms!$B$5:$B$1004,$U363)&amp;"")</f>
        <v/>
      </c>
      <c r="C363" s="78">
        <f>IF($T363="","",IF($S363="S","Standard",INDEX('AFA Rates'!$B$5:$B$1004,$T363)&amp;""))</f>
        <v/>
      </c>
      <c r="D363" s="88">
        <f>IF($T363="","",IF($S363="S",IF(INDEX(Firms!$E$5:$E$1004,$T363)="","",INDEX(Firms!$E$5:$E$1004,$T363)),IF(INDEX('AFA Rates'!$C$5:$C$1004,$T363)="","",INDEX('AFA Rates'!$C$5:$C$1004,$T363))))</f>
        <v/>
      </c>
      <c r="E363" s="88">
        <f>IF($T363="","",IF($S363="S",IF(""="","",""),IF(INDEX('AFA Rates'!$D$5:$D$1004,$T363)="","",INDEX('AFA Rates'!$D$5:$D$1004,$T363))))</f>
        <v/>
      </c>
      <c r="F363" s="79">
        <f>IF($T363="","",IF($S363="S",IF(INDEX(Firms!$O$5:$O$1004,$T363)="","",INDEX(Firms!$O$5:$O$1004,$T363)),IF(INDEX('AFA Rates'!$O$5:$O$1004,$T363)="","",INDEX('AFA Rates'!$O$5:$O$1004,$T363))))</f>
        <v/>
      </c>
      <c r="G363" s="50">
        <f>IF($T363="","",IF($S363="S",IF(INDEX(Firms!$F$5:$F$1004,$T363)="","",INDEX(Firms!$F$5:$F$1004,$T363)),IF(INDEX('AFA Rates'!$E$5:$E$1004,$T363)="","",INDEX('AFA Rates'!$E$5:$E$1004,$T363))))</f>
        <v/>
      </c>
      <c r="H363" s="50">
        <f>IF($T363="","",IF($S363="S",IF(INDEX(Firms!$G$5:$G$1004,$T363)="","",INDEX(Firms!$G$5:$G$1004,$T363)),IF(INDEX('AFA Rates'!$F$5:$F$1004,$T363)="","",INDEX('AFA Rates'!$F$5:$F$1004,$T363))))</f>
        <v/>
      </c>
      <c r="I363" s="50">
        <f>IF($T363="","",IF($S363="S",IF(INDEX(Firms!$H$5:$H$1004,$T363)="","",INDEX(Firms!$H$5:$H$1004,$T363)),IF(INDEX('AFA Rates'!$G$5:$G$1004,$T363)="","",INDEX('AFA Rates'!$G$5:$G$1004,$T363))))</f>
        <v/>
      </c>
      <c r="J363" s="50">
        <f>IF($T363="","",IF($S363="S",IF(INDEX(Firms!$I$5:$I$1004,$T363)="","",INDEX(Firms!$I$5:$I$1004,$T363)),IF(INDEX('AFA Rates'!$H$5:$H$1004,$T363)="","",INDEX('AFA Rates'!$H$5:$H$1004,$T363))))</f>
        <v/>
      </c>
      <c r="K363" s="50">
        <f>IF($T363="","",IF($S363="S",IF(INDEX(Firms!$J$5:$J$1004,$T363)="","",INDEX(Firms!$J$5:$J$1004,$T363)),IF(INDEX('AFA Rates'!$I$5:$I$1004,$T363)="","",INDEX('AFA Rates'!$I$5:$I$1004,$T363))))</f>
        <v/>
      </c>
      <c r="L363" s="50">
        <f>IF($T363="","",IF($S363="S",IF(INDEX(Firms!$K$5:$K$1004,$T363)="","",INDEX(Firms!$K$5:$K$1004,$T363)),IF(INDEX('AFA Rates'!$J$5:$J$1004,$T363)="","",INDEX('AFA Rates'!$J$5:$J$1004,$T363))))</f>
        <v/>
      </c>
      <c r="M363" s="50">
        <f>IF($T363="","",IF($S363="S",IF(INDEX(Firms!$L$5:$L$1004,$T363)="","",INDEX(Firms!$L$5:$L$1004,$T363)),IF(INDEX('AFA Rates'!$K$5:$K$1004,$T363)="","",INDEX('AFA Rates'!$K$5:$K$1004,$T363))))</f>
        <v/>
      </c>
      <c r="N363" s="50">
        <f>IF($T363="","",IF($S363="S",IF(INDEX(Firms!$M$5:$M$1004,$T363)="","",INDEX(Firms!$M$5:$M$1004,$T363)),IF(INDEX('AFA Rates'!$L$5:$L$1004,$T363)="","",INDEX('AFA Rates'!$L$5:$L$1004,$T363))))</f>
        <v/>
      </c>
      <c r="O363" s="78">
        <f>IF(OR($T363="",$U363=""),"",IF(INDEX(Firms!$C$5:$C$1004,$U363)="","",INDEX(Firms!$C$5:$C$1004,$U363)))</f>
        <v/>
      </c>
      <c r="P363" s="79">
        <f>IF(OR($T363="",$U363=""),"",IF(INDEX(Firms!$N$5:$N$1004,$U363)="","",INDEX(Firms!$N$5:$N$1004,$U363)))</f>
        <v/>
      </c>
      <c r="Q363" s="78">
        <f>IF($T363="","",IF($S363="S",IF(INDEX(Firms!$T$5:$T$1004,$T363)="","",INDEX(Firms!$T$5:$T$1004,$T363)),IF(INDEX('AFA Rates'!$M$5:$M$1004,$T363)="","",INDEX('AFA Rates'!$M$5:$M$1004,$T363))))</f>
        <v/>
      </c>
      <c r="S363">
        <f>IF(359&lt;=$S$2,"S",IF(359&lt;=$S$2+$T$2,"A",""))</f>
        <v/>
      </c>
      <c r="T363">
        <f>IF(S363="S",MATCH(359,Firms!$W$5:$W$1004,0),IF(S363="A",IFERROR(MATCH(359-$S$2,'AFA Rates'!$R$5:$R$1004,0),""),""))</f>
        <v/>
      </c>
      <c r="U363">
        <f>IF(S363="S",T363,IF(AND(S363="A",T363&lt;&gt;""),IFERROR(MATCH(INDEX('AFA Rates'!$A$5:$A$1004,T363),Firms!$A$5:$A$1004,0),""),""))</f>
        <v/>
      </c>
    </row>
    <row r="364">
      <c r="A364" s="78">
        <f>IF($T364="","",IF($S364="S",IF(INDEX(Firms!$A$5:$A$1004,$T364)="","",INDEX(Firms!$A$5:$A$1004,$T364)),IF(INDEX('AFA Rates'!$A$5:$A$1004,$T364)="","",INDEX('AFA Rates'!$A$5:$A$1004,$T364))))</f>
        <v/>
      </c>
      <c r="B364" s="79">
        <f>IF(OR($T364="",$U364=""),IF($T364="","","Not on Firms tab"),INDEX(Firms!$B$5:$B$1004,$U364)&amp;"")</f>
        <v/>
      </c>
      <c r="C364" s="78">
        <f>IF($T364="","",IF($S364="S","Standard",INDEX('AFA Rates'!$B$5:$B$1004,$T364)&amp;""))</f>
        <v/>
      </c>
      <c r="D364" s="88">
        <f>IF($T364="","",IF($S364="S",IF(INDEX(Firms!$E$5:$E$1004,$T364)="","",INDEX(Firms!$E$5:$E$1004,$T364)),IF(INDEX('AFA Rates'!$C$5:$C$1004,$T364)="","",INDEX('AFA Rates'!$C$5:$C$1004,$T364))))</f>
        <v/>
      </c>
      <c r="E364" s="88">
        <f>IF($T364="","",IF($S364="S",IF(""="","",""),IF(INDEX('AFA Rates'!$D$5:$D$1004,$T364)="","",INDEX('AFA Rates'!$D$5:$D$1004,$T364))))</f>
        <v/>
      </c>
      <c r="F364" s="79">
        <f>IF($T364="","",IF($S364="S",IF(INDEX(Firms!$O$5:$O$1004,$T364)="","",INDEX(Firms!$O$5:$O$1004,$T364)),IF(INDEX('AFA Rates'!$O$5:$O$1004,$T364)="","",INDEX('AFA Rates'!$O$5:$O$1004,$T364))))</f>
        <v/>
      </c>
      <c r="G364" s="50">
        <f>IF($T364="","",IF($S364="S",IF(INDEX(Firms!$F$5:$F$1004,$T364)="","",INDEX(Firms!$F$5:$F$1004,$T364)),IF(INDEX('AFA Rates'!$E$5:$E$1004,$T364)="","",INDEX('AFA Rates'!$E$5:$E$1004,$T364))))</f>
        <v/>
      </c>
      <c r="H364" s="50">
        <f>IF($T364="","",IF($S364="S",IF(INDEX(Firms!$G$5:$G$1004,$T364)="","",INDEX(Firms!$G$5:$G$1004,$T364)),IF(INDEX('AFA Rates'!$F$5:$F$1004,$T364)="","",INDEX('AFA Rates'!$F$5:$F$1004,$T364))))</f>
        <v/>
      </c>
      <c r="I364" s="50">
        <f>IF($T364="","",IF($S364="S",IF(INDEX(Firms!$H$5:$H$1004,$T364)="","",INDEX(Firms!$H$5:$H$1004,$T364)),IF(INDEX('AFA Rates'!$G$5:$G$1004,$T364)="","",INDEX('AFA Rates'!$G$5:$G$1004,$T364))))</f>
        <v/>
      </c>
      <c r="J364" s="50">
        <f>IF($T364="","",IF($S364="S",IF(INDEX(Firms!$I$5:$I$1004,$T364)="","",INDEX(Firms!$I$5:$I$1004,$T364)),IF(INDEX('AFA Rates'!$H$5:$H$1004,$T364)="","",INDEX('AFA Rates'!$H$5:$H$1004,$T364))))</f>
        <v/>
      </c>
      <c r="K364" s="50">
        <f>IF($T364="","",IF($S364="S",IF(INDEX(Firms!$J$5:$J$1004,$T364)="","",INDEX(Firms!$J$5:$J$1004,$T364)),IF(INDEX('AFA Rates'!$I$5:$I$1004,$T364)="","",INDEX('AFA Rates'!$I$5:$I$1004,$T364))))</f>
        <v/>
      </c>
      <c r="L364" s="50">
        <f>IF($T364="","",IF($S364="S",IF(INDEX(Firms!$K$5:$K$1004,$T364)="","",INDEX(Firms!$K$5:$K$1004,$T364)),IF(INDEX('AFA Rates'!$J$5:$J$1004,$T364)="","",INDEX('AFA Rates'!$J$5:$J$1004,$T364))))</f>
        <v/>
      </c>
      <c r="M364" s="50">
        <f>IF($T364="","",IF($S364="S",IF(INDEX(Firms!$L$5:$L$1004,$T364)="","",INDEX(Firms!$L$5:$L$1004,$T364)),IF(INDEX('AFA Rates'!$K$5:$K$1004,$T364)="","",INDEX('AFA Rates'!$K$5:$K$1004,$T364))))</f>
        <v/>
      </c>
      <c r="N364" s="50">
        <f>IF($T364="","",IF($S364="S",IF(INDEX(Firms!$M$5:$M$1004,$T364)="","",INDEX(Firms!$M$5:$M$1004,$T364)),IF(INDEX('AFA Rates'!$L$5:$L$1004,$T364)="","",INDEX('AFA Rates'!$L$5:$L$1004,$T364))))</f>
        <v/>
      </c>
      <c r="O364" s="78">
        <f>IF(OR($T364="",$U364=""),"",IF(INDEX(Firms!$C$5:$C$1004,$U364)="","",INDEX(Firms!$C$5:$C$1004,$U364)))</f>
        <v/>
      </c>
      <c r="P364" s="79">
        <f>IF(OR($T364="",$U364=""),"",IF(INDEX(Firms!$N$5:$N$1004,$U364)="","",INDEX(Firms!$N$5:$N$1004,$U364)))</f>
        <v/>
      </c>
      <c r="Q364" s="78">
        <f>IF($T364="","",IF($S364="S",IF(INDEX(Firms!$T$5:$T$1004,$T364)="","",INDEX(Firms!$T$5:$T$1004,$T364)),IF(INDEX('AFA Rates'!$M$5:$M$1004,$T364)="","",INDEX('AFA Rates'!$M$5:$M$1004,$T364))))</f>
        <v/>
      </c>
      <c r="S364">
        <f>IF(360&lt;=$S$2,"S",IF(360&lt;=$S$2+$T$2,"A",""))</f>
        <v/>
      </c>
      <c r="T364">
        <f>IF(S364="S",MATCH(360,Firms!$W$5:$W$1004,0),IF(S364="A",IFERROR(MATCH(360-$S$2,'AFA Rates'!$R$5:$R$1004,0),""),""))</f>
        <v/>
      </c>
      <c r="U364">
        <f>IF(S364="S",T364,IF(AND(S364="A",T364&lt;&gt;""),IFERROR(MATCH(INDEX('AFA Rates'!$A$5:$A$1004,T364),Firms!$A$5:$A$1004,0),""),""))</f>
        <v/>
      </c>
    </row>
    <row r="365">
      <c r="A365" s="78">
        <f>IF($T365="","",IF($S365="S",IF(INDEX(Firms!$A$5:$A$1004,$T365)="","",INDEX(Firms!$A$5:$A$1004,$T365)),IF(INDEX('AFA Rates'!$A$5:$A$1004,$T365)="","",INDEX('AFA Rates'!$A$5:$A$1004,$T365))))</f>
        <v/>
      </c>
      <c r="B365" s="79">
        <f>IF(OR($T365="",$U365=""),IF($T365="","","Not on Firms tab"),INDEX(Firms!$B$5:$B$1004,$U365)&amp;"")</f>
        <v/>
      </c>
      <c r="C365" s="78">
        <f>IF($T365="","",IF($S365="S","Standard",INDEX('AFA Rates'!$B$5:$B$1004,$T365)&amp;""))</f>
        <v/>
      </c>
      <c r="D365" s="88">
        <f>IF($T365="","",IF($S365="S",IF(INDEX(Firms!$E$5:$E$1004,$T365)="","",INDEX(Firms!$E$5:$E$1004,$T365)),IF(INDEX('AFA Rates'!$C$5:$C$1004,$T365)="","",INDEX('AFA Rates'!$C$5:$C$1004,$T365))))</f>
        <v/>
      </c>
      <c r="E365" s="88">
        <f>IF($T365="","",IF($S365="S",IF(""="","",""),IF(INDEX('AFA Rates'!$D$5:$D$1004,$T365)="","",INDEX('AFA Rates'!$D$5:$D$1004,$T365))))</f>
        <v/>
      </c>
      <c r="F365" s="79">
        <f>IF($T365="","",IF($S365="S",IF(INDEX(Firms!$O$5:$O$1004,$T365)="","",INDEX(Firms!$O$5:$O$1004,$T365)),IF(INDEX('AFA Rates'!$O$5:$O$1004,$T365)="","",INDEX('AFA Rates'!$O$5:$O$1004,$T365))))</f>
        <v/>
      </c>
      <c r="G365" s="50">
        <f>IF($T365="","",IF($S365="S",IF(INDEX(Firms!$F$5:$F$1004,$T365)="","",INDEX(Firms!$F$5:$F$1004,$T365)),IF(INDEX('AFA Rates'!$E$5:$E$1004,$T365)="","",INDEX('AFA Rates'!$E$5:$E$1004,$T365))))</f>
        <v/>
      </c>
      <c r="H365" s="50">
        <f>IF($T365="","",IF($S365="S",IF(INDEX(Firms!$G$5:$G$1004,$T365)="","",INDEX(Firms!$G$5:$G$1004,$T365)),IF(INDEX('AFA Rates'!$F$5:$F$1004,$T365)="","",INDEX('AFA Rates'!$F$5:$F$1004,$T365))))</f>
        <v/>
      </c>
      <c r="I365" s="50">
        <f>IF($T365="","",IF($S365="S",IF(INDEX(Firms!$H$5:$H$1004,$T365)="","",INDEX(Firms!$H$5:$H$1004,$T365)),IF(INDEX('AFA Rates'!$G$5:$G$1004,$T365)="","",INDEX('AFA Rates'!$G$5:$G$1004,$T365))))</f>
        <v/>
      </c>
      <c r="J365" s="50">
        <f>IF($T365="","",IF($S365="S",IF(INDEX(Firms!$I$5:$I$1004,$T365)="","",INDEX(Firms!$I$5:$I$1004,$T365)),IF(INDEX('AFA Rates'!$H$5:$H$1004,$T365)="","",INDEX('AFA Rates'!$H$5:$H$1004,$T365))))</f>
        <v/>
      </c>
      <c r="K365" s="50">
        <f>IF($T365="","",IF($S365="S",IF(INDEX(Firms!$J$5:$J$1004,$T365)="","",INDEX(Firms!$J$5:$J$1004,$T365)),IF(INDEX('AFA Rates'!$I$5:$I$1004,$T365)="","",INDEX('AFA Rates'!$I$5:$I$1004,$T365))))</f>
        <v/>
      </c>
      <c r="L365" s="50">
        <f>IF($T365="","",IF($S365="S",IF(INDEX(Firms!$K$5:$K$1004,$T365)="","",INDEX(Firms!$K$5:$K$1004,$T365)),IF(INDEX('AFA Rates'!$J$5:$J$1004,$T365)="","",INDEX('AFA Rates'!$J$5:$J$1004,$T365))))</f>
        <v/>
      </c>
      <c r="M365" s="50">
        <f>IF($T365="","",IF($S365="S",IF(INDEX(Firms!$L$5:$L$1004,$T365)="","",INDEX(Firms!$L$5:$L$1004,$T365)),IF(INDEX('AFA Rates'!$K$5:$K$1004,$T365)="","",INDEX('AFA Rates'!$K$5:$K$1004,$T365))))</f>
        <v/>
      </c>
      <c r="N365" s="50">
        <f>IF($T365="","",IF($S365="S",IF(INDEX(Firms!$M$5:$M$1004,$T365)="","",INDEX(Firms!$M$5:$M$1004,$T365)),IF(INDEX('AFA Rates'!$L$5:$L$1004,$T365)="","",INDEX('AFA Rates'!$L$5:$L$1004,$T365))))</f>
        <v/>
      </c>
      <c r="O365" s="78">
        <f>IF(OR($T365="",$U365=""),"",IF(INDEX(Firms!$C$5:$C$1004,$U365)="","",INDEX(Firms!$C$5:$C$1004,$U365)))</f>
        <v/>
      </c>
      <c r="P365" s="79">
        <f>IF(OR($T365="",$U365=""),"",IF(INDEX(Firms!$N$5:$N$1004,$U365)="","",INDEX(Firms!$N$5:$N$1004,$U365)))</f>
        <v/>
      </c>
      <c r="Q365" s="78">
        <f>IF($T365="","",IF($S365="S",IF(INDEX(Firms!$T$5:$T$1004,$T365)="","",INDEX(Firms!$T$5:$T$1004,$T365)),IF(INDEX('AFA Rates'!$M$5:$M$1004,$T365)="","",INDEX('AFA Rates'!$M$5:$M$1004,$T365))))</f>
        <v/>
      </c>
      <c r="S365">
        <f>IF(361&lt;=$S$2,"S",IF(361&lt;=$S$2+$T$2,"A",""))</f>
        <v/>
      </c>
      <c r="T365">
        <f>IF(S365="S",MATCH(361,Firms!$W$5:$W$1004,0),IF(S365="A",IFERROR(MATCH(361-$S$2,'AFA Rates'!$R$5:$R$1004,0),""),""))</f>
        <v/>
      </c>
      <c r="U365">
        <f>IF(S365="S",T365,IF(AND(S365="A",T365&lt;&gt;""),IFERROR(MATCH(INDEX('AFA Rates'!$A$5:$A$1004,T365),Firms!$A$5:$A$1004,0),""),""))</f>
        <v/>
      </c>
    </row>
    <row r="366">
      <c r="A366" s="78">
        <f>IF($T366="","",IF($S366="S",IF(INDEX(Firms!$A$5:$A$1004,$T366)="","",INDEX(Firms!$A$5:$A$1004,$T366)),IF(INDEX('AFA Rates'!$A$5:$A$1004,$T366)="","",INDEX('AFA Rates'!$A$5:$A$1004,$T366))))</f>
        <v/>
      </c>
      <c r="B366" s="79">
        <f>IF(OR($T366="",$U366=""),IF($T366="","","Not on Firms tab"),INDEX(Firms!$B$5:$B$1004,$U366)&amp;"")</f>
        <v/>
      </c>
      <c r="C366" s="78">
        <f>IF($T366="","",IF($S366="S","Standard",INDEX('AFA Rates'!$B$5:$B$1004,$T366)&amp;""))</f>
        <v/>
      </c>
      <c r="D366" s="88">
        <f>IF($T366="","",IF($S366="S",IF(INDEX(Firms!$E$5:$E$1004,$T366)="","",INDEX(Firms!$E$5:$E$1004,$T366)),IF(INDEX('AFA Rates'!$C$5:$C$1004,$T366)="","",INDEX('AFA Rates'!$C$5:$C$1004,$T366))))</f>
        <v/>
      </c>
      <c r="E366" s="88">
        <f>IF($T366="","",IF($S366="S",IF(""="","",""),IF(INDEX('AFA Rates'!$D$5:$D$1004,$T366)="","",INDEX('AFA Rates'!$D$5:$D$1004,$T366))))</f>
        <v/>
      </c>
      <c r="F366" s="79">
        <f>IF($T366="","",IF($S366="S",IF(INDEX(Firms!$O$5:$O$1004,$T366)="","",INDEX(Firms!$O$5:$O$1004,$T366)),IF(INDEX('AFA Rates'!$O$5:$O$1004,$T366)="","",INDEX('AFA Rates'!$O$5:$O$1004,$T366))))</f>
        <v/>
      </c>
      <c r="G366" s="50">
        <f>IF($T366="","",IF($S366="S",IF(INDEX(Firms!$F$5:$F$1004,$T366)="","",INDEX(Firms!$F$5:$F$1004,$T366)),IF(INDEX('AFA Rates'!$E$5:$E$1004,$T366)="","",INDEX('AFA Rates'!$E$5:$E$1004,$T366))))</f>
        <v/>
      </c>
      <c r="H366" s="50">
        <f>IF($T366="","",IF($S366="S",IF(INDEX(Firms!$G$5:$G$1004,$T366)="","",INDEX(Firms!$G$5:$G$1004,$T366)),IF(INDEX('AFA Rates'!$F$5:$F$1004,$T366)="","",INDEX('AFA Rates'!$F$5:$F$1004,$T366))))</f>
        <v/>
      </c>
      <c r="I366" s="50">
        <f>IF($T366="","",IF($S366="S",IF(INDEX(Firms!$H$5:$H$1004,$T366)="","",INDEX(Firms!$H$5:$H$1004,$T366)),IF(INDEX('AFA Rates'!$G$5:$G$1004,$T366)="","",INDEX('AFA Rates'!$G$5:$G$1004,$T366))))</f>
        <v/>
      </c>
      <c r="J366" s="50">
        <f>IF($T366="","",IF($S366="S",IF(INDEX(Firms!$I$5:$I$1004,$T366)="","",INDEX(Firms!$I$5:$I$1004,$T366)),IF(INDEX('AFA Rates'!$H$5:$H$1004,$T366)="","",INDEX('AFA Rates'!$H$5:$H$1004,$T366))))</f>
        <v/>
      </c>
      <c r="K366" s="50">
        <f>IF($T366="","",IF($S366="S",IF(INDEX(Firms!$J$5:$J$1004,$T366)="","",INDEX(Firms!$J$5:$J$1004,$T366)),IF(INDEX('AFA Rates'!$I$5:$I$1004,$T366)="","",INDEX('AFA Rates'!$I$5:$I$1004,$T366))))</f>
        <v/>
      </c>
      <c r="L366" s="50">
        <f>IF($T366="","",IF($S366="S",IF(INDEX(Firms!$K$5:$K$1004,$T366)="","",INDEX(Firms!$K$5:$K$1004,$T366)),IF(INDEX('AFA Rates'!$J$5:$J$1004,$T366)="","",INDEX('AFA Rates'!$J$5:$J$1004,$T366))))</f>
        <v/>
      </c>
      <c r="M366" s="50">
        <f>IF($T366="","",IF($S366="S",IF(INDEX(Firms!$L$5:$L$1004,$T366)="","",INDEX(Firms!$L$5:$L$1004,$T366)),IF(INDEX('AFA Rates'!$K$5:$K$1004,$T366)="","",INDEX('AFA Rates'!$K$5:$K$1004,$T366))))</f>
        <v/>
      </c>
      <c r="N366" s="50">
        <f>IF($T366="","",IF($S366="S",IF(INDEX(Firms!$M$5:$M$1004,$T366)="","",INDEX(Firms!$M$5:$M$1004,$T366)),IF(INDEX('AFA Rates'!$L$5:$L$1004,$T366)="","",INDEX('AFA Rates'!$L$5:$L$1004,$T366))))</f>
        <v/>
      </c>
      <c r="O366" s="78">
        <f>IF(OR($T366="",$U366=""),"",IF(INDEX(Firms!$C$5:$C$1004,$U366)="","",INDEX(Firms!$C$5:$C$1004,$U366)))</f>
        <v/>
      </c>
      <c r="P366" s="79">
        <f>IF(OR($T366="",$U366=""),"",IF(INDEX(Firms!$N$5:$N$1004,$U366)="","",INDEX(Firms!$N$5:$N$1004,$U366)))</f>
        <v/>
      </c>
      <c r="Q366" s="78">
        <f>IF($T366="","",IF($S366="S",IF(INDEX(Firms!$T$5:$T$1004,$T366)="","",INDEX(Firms!$T$5:$T$1004,$T366)),IF(INDEX('AFA Rates'!$M$5:$M$1004,$T366)="","",INDEX('AFA Rates'!$M$5:$M$1004,$T366))))</f>
        <v/>
      </c>
      <c r="S366">
        <f>IF(362&lt;=$S$2,"S",IF(362&lt;=$S$2+$T$2,"A",""))</f>
        <v/>
      </c>
      <c r="T366">
        <f>IF(S366="S",MATCH(362,Firms!$W$5:$W$1004,0),IF(S366="A",IFERROR(MATCH(362-$S$2,'AFA Rates'!$R$5:$R$1004,0),""),""))</f>
        <v/>
      </c>
      <c r="U366">
        <f>IF(S366="S",T366,IF(AND(S366="A",T366&lt;&gt;""),IFERROR(MATCH(INDEX('AFA Rates'!$A$5:$A$1004,T366),Firms!$A$5:$A$1004,0),""),""))</f>
        <v/>
      </c>
    </row>
    <row r="367">
      <c r="A367" s="78">
        <f>IF($T367="","",IF($S367="S",IF(INDEX(Firms!$A$5:$A$1004,$T367)="","",INDEX(Firms!$A$5:$A$1004,$T367)),IF(INDEX('AFA Rates'!$A$5:$A$1004,$T367)="","",INDEX('AFA Rates'!$A$5:$A$1004,$T367))))</f>
        <v/>
      </c>
      <c r="B367" s="79">
        <f>IF(OR($T367="",$U367=""),IF($T367="","","Not on Firms tab"),INDEX(Firms!$B$5:$B$1004,$U367)&amp;"")</f>
        <v/>
      </c>
      <c r="C367" s="78">
        <f>IF($T367="","",IF($S367="S","Standard",INDEX('AFA Rates'!$B$5:$B$1004,$T367)&amp;""))</f>
        <v/>
      </c>
      <c r="D367" s="88">
        <f>IF($T367="","",IF($S367="S",IF(INDEX(Firms!$E$5:$E$1004,$T367)="","",INDEX(Firms!$E$5:$E$1004,$T367)),IF(INDEX('AFA Rates'!$C$5:$C$1004,$T367)="","",INDEX('AFA Rates'!$C$5:$C$1004,$T367))))</f>
        <v/>
      </c>
      <c r="E367" s="88">
        <f>IF($T367="","",IF($S367="S",IF(""="","",""),IF(INDEX('AFA Rates'!$D$5:$D$1004,$T367)="","",INDEX('AFA Rates'!$D$5:$D$1004,$T367))))</f>
        <v/>
      </c>
      <c r="F367" s="79">
        <f>IF($T367="","",IF($S367="S",IF(INDEX(Firms!$O$5:$O$1004,$T367)="","",INDEX(Firms!$O$5:$O$1004,$T367)),IF(INDEX('AFA Rates'!$O$5:$O$1004,$T367)="","",INDEX('AFA Rates'!$O$5:$O$1004,$T367))))</f>
        <v/>
      </c>
      <c r="G367" s="50">
        <f>IF($T367="","",IF($S367="S",IF(INDEX(Firms!$F$5:$F$1004,$T367)="","",INDEX(Firms!$F$5:$F$1004,$T367)),IF(INDEX('AFA Rates'!$E$5:$E$1004,$T367)="","",INDEX('AFA Rates'!$E$5:$E$1004,$T367))))</f>
        <v/>
      </c>
      <c r="H367" s="50">
        <f>IF($T367="","",IF($S367="S",IF(INDEX(Firms!$G$5:$G$1004,$T367)="","",INDEX(Firms!$G$5:$G$1004,$T367)),IF(INDEX('AFA Rates'!$F$5:$F$1004,$T367)="","",INDEX('AFA Rates'!$F$5:$F$1004,$T367))))</f>
        <v/>
      </c>
      <c r="I367" s="50">
        <f>IF($T367="","",IF($S367="S",IF(INDEX(Firms!$H$5:$H$1004,$T367)="","",INDEX(Firms!$H$5:$H$1004,$T367)),IF(INDEX('AFA Rates'!$G$5:$G$1004,$T367)="","",INDEX('AFA Rates'!$G$5:$G$1004,$T367))))</f>
        <v/>
      </c>
      <c r="J367" s="50">
        <f>IF($T367="","",IF($S367="S",IF(INDEX(Firms!$I$5:$I$1004,$T367)="","",INDEX(Firms!$I$5:$I$1004,$T367)),IF(INDEX('AFA Rates'!$H$5:$H$1004,$T367)="","",INDEX('AFA Rates'!$H$5:$H$1004,$T367))))</f>
        <v/>
      </c>
      <c r="K367" s="50">
        <f>IF($T367="","",IF($S367="S",IF(INDEX(Firms!$J$5:$J$1004,$T367)="","",INDEX(Firms!$J$5:$J$1004,$T367)),IF(INDEX('AFA Rates'!$I$5:$I$1004,$T367)="","",INDEX('AFA Rates'!$I$5:$I$1004,$T367))))</f>
        <v/>
      </c>
      <c r="L367" s="50">
        <f>IF($T367="","",IF($S367="S",IF(INDEX(Firms!$K$5:$K$1004,$T367)="","",INDEX(Firms!$K$5:$K$1004,$T367)),IF(INDEX('AFA Rates'!$J$5:$J$1004,$T367)="","",INDEX('AFA Rates'!$J$5:$J$1004,$T367))))</f>
        <v/>
      </c>
      <c r="M367" s="50">
        <f>IF($T367="","",IF($S367="S",IF(INDEX(Firms!$L$5:$L$1004,$T367)="","",INDEX(Firms!$L$5:$L$1004,$T367)),IF(INDEX('AFA Rates'!$K$5:$K$1004,$T367)="","",INDEX('AFA Rates'!$K$5:$K$1004,$T367))))</f>
        <v/>
      </c>
      <c r="N367" s="50">
        <f>IF($T367="","",IF($S367="S",IF(INDEX(Firms!$M$5:$M$1004,$T367)="","",INDEX(Firms!$M$5:$M$1004,$T367)),IF(INDEX('AFA Rates'!$L$5:$L$1004,$T367)="","",INDEX('AFA Rates'!$L$5:$L$1004,$T367))))</f>
        <v/>
      </c>
      <c r="O367" s="78">
        <f>IF(OR($T367="",$U367=""),"",IF(INDEX(Firms!$C$5:$C$1004,$U367)="","",INDEX(Firms!$C$5:$C$1004,$U367)))</f>
        <v/>
      </c>
      <c r="P367" s="79">
        <f>IF(OR($T367="",$U367=""),"",IF(INDEX(Firms!$N$5:$N$1004,$U367)="","",INDEX(Firms!$N$5:$N$1004,$U367)))</f>
        <v/>
      </c>
      <c r="Q367" s="78">
        <f>IF($T367="","",IF($S367="S",IF(INDEX(Firms!$T$5:$T$1004,$T367)="","",INDEX(Firms!$T$5:$T$1004,$T367)),IF(INDEX('AFA Rates'!$M$5:$M$1004,$T367)="","",INDEX('AFA Rates'!$M$5:$M$1004,$T367))))</f>
        <v/>
      </c>
      <c r="S367">
        <f>IF(363&lt;=$S$2,"S",IF(363&lt;=$S$2+$T$2,"A",""))</f>
        <v/>
      </c>
      <c r="T367">
        <f>IF(S367="S",MATCH(363,Firms!$W$5:$W$1004,0),IF(S367="A",IFERROR(MATCH(363-$S$2,'AFA Rates'!$R$5:$R$1004,0),""),""))</f>
        <v/>
      </c>
      <c r="U367">
        <f>IF(S367="S",T367,IF(AND(S367="A",T367&lt;&gt;""),IFERROR(MATCH(INDEX('AFA Rates'!$A$5:$A$1004,T367),Firms!$A$5:$A$1004,0),""),""))</f>
        <v/>
      </c>
    </row>
    <row r="368">
      <c r="A368" s="78">
        <f>IF($T368="","",IF($S368="S",IF(INDEX(Firms!$A$5:$A$1004,$T368)="","",INDEX(Firms!$A$5:$A$1004,$T368)),IF(INDEX('AFA Rates'!$A$5:$A$1004,$T368)="","",INDEX('AFA Rates'!$A$5:$A$1004,$T368))))</f>
        <v/>
      </c>
      <c r="B368" s="79">
        <f>IF(OR($T368="",$U368=""),IF($T368="","","Not on Firms tab"),INDEX(Firms!$B$5:$B$1004,$U368)&amp;"")</f>
        <v/>
      </c>
      <c r="C368" s="78">
        <f>IF($T368="","",IF($S368="S","Standard",INDEX('AFA Rates'!$B$5:$B$1004,$T368)&amp;""))</f>
        <v/>
      </c>
      <c r="D368" s="88">
        <f>IF($T368="","",IF($S368="S",IF(INDEX(Firms!$E$5:$E$1004,$T368)="","",INDEX(Firms!$E$5:$E$1004,$T368)),IF(INDEX('AFA Rates'!$C$5:$C$1004,$T368)="","",INDEX('AFA Rates'!$C$5:$C$1004,$T368))))</f>
        <v/>
      </c>
      <c r="E368" s="88">
        <f>IF($T368="","",IF($S368="S",IF(""="","",""),IF(INDEX('AFA Rates'!$D$5:$D$1004,$T368)="","",INDEX('AFA Rates'!$D$5:$D$1004,$T368))))</f>
        <v/>
      </c>
      <c r="F368" s="79">
        <f>IF($T368="","",IF($S368="S",IF(INDEX(Firms!$O$5:$O$1004,$T368)="","",INDEX(Firms!$O$5:$O$1004,$T368)),IF(INDEX('AFA Rates'!$O$5:$O$1004,$T368)="","",INDEX('AFA Rates'!$O$5:$O$1004,$T368))))</f>
        <v/>
      </c>
      <c r="G368" s="50">
        <f>IF($T368="","",IF($S368="S",IF(INDEX(Firms!$F$5:$F$1004,$T368)="","",INDEX(Firms!$F$5:$F$1004,$T368)),IF(INDEX('AFA Rates'!$E$5:$E$1004,$T368)="","",INDEX('AFA Rates'!$E$5:$E$1004,$T368))))</f>
        <v/>
      </c>
      <c r="H368" s="50">
        <f>IF($T368="","",IF($S368="S",IF(INDEX(Firms!$G$5:$G$1004,$T368)="","",INDEX(Firms!$G$5:$G$1004,$T368)),IF(INDEX('AFA Rates'!$F$5:$F$1004,$T368)="","",INDEX('AFA Rates'!$F$5:$F$1004,$T368))))</f>
        <v/>
      </c>
      <c r="I368" s="50">
        <f>IF($T368="","",IF($S368="S",IF(INDEX(Firms!$H$5:$H$1004,$T368)="","",INDEX(Firms!$H$5:$H$1004,$T368)),IF(INDEX('AFA Rates'!$G$5:$G$1004,$T368)="","",INDEX('AFA Rates'!$G$5:$G$1004,$T368))))</f>
        <v/>
      </c>
      <c r="J368" s="50">
        <f>IF($T368="","",IF($S368="S",IF(INDEX(Firms!$I$5:$I$1004,$T368)="","",INDEX(Firms!$I$5:$I$1004,$T368)),IF(INDEX('AFA Rates'!$H$5:$H$1004,$T368)="","",INDEX('AFA Rates'!$H$5:$H$1004,$T368))))</f>
        <v/>
      </c>
      <c r="K368" s="50">
        <f>IF($T368="","",IF($S368="S",IF(INDEX(Firms!$J$5:$J$1004,$T368)="","",INDEX(Firms!$J$5:$J$1004,$T368)),IF(INDEX('AFA Rates'!$I$5:$I$1004,$T368)="","",INDEX('AFA Rates'!$I$5:$I$1004,$T368))))</f>
        <v/>
      </c>
      <c r="L368" s="50">
        <f>IF($T368="","",IF($S368="S",IF(INDEX(Firms!$K$5:$K$1004,$T368)="","",INDEX(Firms!$K$5:$K$1004,$T368)),IF(INDEX('AFA Rates'!$J$5:$J$1004,$T368)="","",INDEX('AFA Rates'!$J$5:$J$1004,$T368))))</f>
        <v/>
      </c>
      <c r="M368" s="50">
        <f>IF($T368="","",IF($S368="S",IF(INDEX(Firms!$L$5:$L$1004,$T368)="","",INDEX(Firms!$L$5:$L$1004,$T368)),IF(INDEX('AFA Rates'!$K$5:$K$1004,$T368)="","",INDEX('AFA Rates'!$K$5:$K$1004,$T368))))</f>
        <v/>
      </c>
      <c r="N368" s="50">
        <f>IF($T368="","",IF($S368="S",IF(INDEX(Firms!$M$5:$M$1004,$T368)="","",INDEX(Firms!$M$5:$M$1004,$T368)),IF(INDEX('AFA Rates'!$L$5:$L$1004,$T368)="","",INDEX('AFA Rates'!$L$5:$L$1004,$T368))))</f>
        <v/>
      </c>
      <c r="O368" s="78">
        <f>IF(OR($T368="",$U368=""),"",IF(INDEX(Firms!$C$5:$C$1004,$U368)="","",INDEX(Firms!$C$5:$C$1004,$U368)))</f>
        <v/>
      </c>
      <c r="P368" s="79">
        <f>IF(OR($T368="",$U368=""),"",IF(INDEX(Firms!$N$5:$N$1004,$U368)="","",INDEX(Firms!$N$5:$N$1004,$U368)))</f>
        <v/>
      </c>
      <c r="Q368" s="78">
        <f>IF($T368="","",IF($S368="S",IF(INDEX(Firms!$T$5:$T$1004,$T368)="","",INDEX(Firms!$T$5:$T$1004,$T368)),IF(INDEX('AFA Rates'!$M$5:$M$1004,$T368)="","",INDEX('AFA Rates'!$M$5:$M$1004,$T368))))</f>
        <v/>
      </c>
      <c r="S368">
        <f>IF(364&lt;=$S$2,"S",IF(364&lt;=$S$2+$T$2,"A",""))</f>
        <v/>
      </c>
      <c r="T368">
        <f>IF(S368="S",MATCH(364,Firms!$W$5:$W$1004,0),IF(S368="A",IFERROR(MATCH(364-$S$2,'AFA Rates'!$R$5:$R$1004,0),""),""))</f>
        <v/>
      </c>
      <c r="U368">
        <f>IF(S368="S",T368,IF(AND(S368="A",T368&lt;&gt;""),IFERROR(MATCH(INDEX('AFA Rates'!$A$5:$A$1004,T368),Firms!$A$5:$A$1004,0),""),""))</f>
        <v/>
      </c>
    </row>
    <row r="369">
      <c r="A369" s="78">
        <f>IF($T369="","",IF($S369="S",IF(INDEX(Firms!$A$5:$A$1004,$T369)="","",INDEX(Firms!$A$5:$A$1004,$T369)),IF(INDEX('AFA Rates'!$A$5:$A$1004,$T369)="","",INDEX('AFA Rates'!$A$5:$A$1004,$T369))))</f>
        <v/>
      </c>
      <c r="B369" s="79">
        <f>IF(OR($T369="",$U369=""),IF($T369="","","Not on Firms tab"),INDEX(Firms!$B$5:$B$1004,$U369)&amp;"")</f>
        <v/>
      </c>
      <c r="C369" s="78">
        <f>IF($T369="","",IF($S369="S","Standard",INDEX('AFA Rates'!$B$5:$B$1004,$T369)&amp;""))</f>
        <v/>
      </c>
      <c r="D369" s="88">
        <f>IF($T369="","",IF($S369="S",IF(INDEX(Firms!$E$5:$E$1004,$T369)="","",INDEX(Firms!$E$5:$E$1004,$T369)),IF(INDEX('AFA Rates'!$C$5:$C$1004,$T369)="","",INDEX('AFA Rates'!$C$5:$C$1004,$T369))))</f>
        <v/>
      </c>
      <c r="E369" s="88">
        <f>IF($T369="","",IF($S369="S",IF(""="","",""),IF(INDEX('AFA Rates'!$D$5:$D$1004,$T369)="","",INDEX('AFA Rates'!$D$5:$D$1004,$T369))))</f>
        <v/>
      </c>
      <c r="F369" s="79">
        <f>IF($T369="","",IF($S369="S",IF(INDEX(Firms!$O$5:$O$1004,$T369)="","",INDEX(Firms!$O$5:$O$1004,$T369)),IF(INDEX('AFA Rates'!$O$5:$O$1004,$T369)="","",INDEX('AFA Rates'!$O$5:$O$1004,$T369))))</f>
        <v/>
      </c>
      <c r="G369" s="50">
        <f>IF($T369="","",IF($S369="S",IF(INDEX(Firms!$F$5:$F$1004,$T369)="","",INDEX(Firms!$F$5:$F$1004,$T369)),IF(INDEX('AFA Rates'!$E$5:$E$1004,$T369)="","",INDEX('AFA Rates'!$E$5:$E$1004,$T369))))</f>
        <v/>
      </c>
      <c r="H369" s="50">
        <f>IF($T369="","",IF($S369="S",IF(INDEX(Firms!$G$5:$G$1004,$T369)="","",INDEX(Firms!$G$5:$G$1004,$T369)),IF(INDEX('AFA Rates'!$F$5:$F$1004,$T369)="","",INDEX('AFA Rates'!$F$5:$F$1004,$T369))))</f>
        <v/>
      </c>
      <c r="I369" s="50">
        <f>IF($T369="","",IF($S369="S",IF(INDEX(Firms!$H$5:$H$1004,$T369)="","",INDEX(Firms!$H$5:$H$1004,$T369)),IF(INDEX('AFA Rates'!$G$5:$G$1004,$T369)="","",INDEX('AFA Rates'!$G$5:$G$1004,$T369))))</f>
        <v/>
      </c>
      <c r="J369" s="50">
        <f>IF($T369="","",IF($S369="S",IF(INDEX(Firms!$I$5:$I$1004,$T369)="","",INDEX(Firms!$I$5:$I$1004,$T369)),IF(INDEX('AFA Rates'!$H$5:$H$1004,$T369)="","",INDEX('AFA Rates'!$H$5:$H$1004,$T369))))</f>
        <v/>
      </c>
      <c r="K369" s="50">
        <f>IF($T369="","",IF($S369="S",IF(INDEX(Firms!$J$5:$J$1004,$T369)="","",INDEX(Firms!$J$5:$J$1004,$T369)),IF(INDEX('AFA Rates'!$I$5:$I$1004,$T369)="","",INDEX('AFA Rates'!$I$5:$I$1004,$T369))))</f>
        <v/>
      </c>
      <c r="L369" s="50">
        <f>IF($T369="","",IF($S369="S",IF(INDEX(Firms!$K$5:$K$1004,$T369)="","",INDEX(Firms!$K$5:$K$1004,$T369)),IF(INDEX('AFA Rates'!$J$5:$J$1004,$T369)="","",INDEX('AFA Rates'!$J$5:$J$1004,$T369))))</f>
        <v/>
      </c>
      <c r="M369" s="50">
        <f>IF($T369="","",IF($S369="S",IF(INDEX(Firms!$L$5:$L$1004,$T369)="","",INDEX(Firms!$L$5:$L$1004,$T369)),IF(INDEX('AFA Rates'!$K$5:$K$1004,$T369)="","",INDEX('AFA Rates'!$K$5:$K$1004,$T369))))</f>
        <v/>
      </c>
      <c r="N369" s="50">
        <f>IF($T369="","",IF($S369="S",IF(INDEX(Firms!$M$5:$M$1004,$T369)="","",INDEX(Firms!$M$5:$M$1004,$T369)),IF(INDEX('AFA Rates'!$L$5:$L$1004,$T369)="","",INDEX('AFA Rates'!$L$5:$L$1004,$T369))))</f>
        <v/>
      </c>
      <c r="O369" s="78">
        <f>IF(OR($T369="",$U369=""),"",IF(INDEX(Firms!$C$5:$C$1004,$U369)="","",INDEX(Firms!$C$5:$C$1004,$U369)))</f>
        <v/>
      </c>
      <c r="P369" s="79">
        <f>IF(OR($T369="",$U369=""),"",IF(INDEX(Firms!$N$5:$N$1004,$U369)="","",INDEX(Firms!$N$5:$N$1004,$U369)))</f>
        <v/>
      </c>
      <c r="Q369" s="78">
        <f>IF($T369="","",IF($S369="S",IF(INDEX(Firms!$T$5:$T$1004,$T369)="","",INDEX(Firms!$T$5:$T$1004,$T369)),IF(INDEX('AFA Rates'!$M$5:$M$1004,$T369)="","",INDEX('AFA Rates'!$M$5:$M$1004,$T369))))</f>
        <v/>
      </c>
      <c r="S369">
        <f>IF(365&lt;=$S$2,"S",IF(365&lt;=$S$2+$T$2,"A",""))</f>
        <v/>
      </c>
      <c r="T369">
        <f>IF(S369="S",MATCH(365,Firms!$W$5:$W$1004,0),IF(S369="A",IFERROR(MATCH(365-$S$2,'AFA Rates'!$R$5:$R$1004,0),""),""))</f>
        <v/>
      </c>
      <c r="U369">
        <f>IF(S369="S",T369,IF(AND(S369="A",T369&lt;&gt;""),IFERROR(MATCH(INDEX('AFA Rates'!$A$5:$A$1004,T369),Firms!$A$5:$A$1004,0),""),""))</f>
        <v/>
      </c>
    </row>
    <row r="370">
      <c r="A370" s="78">
        <f>IF($T370="","",IF($S370="S",IF(INDEX(Firms!$A$5:$A$1004,$T370)="","",INDEX(Firms!$A$5:$A$1004,$T370)),IF(INDEX('AFA Rates'!$A$5:$A$1004,$T370)="","",INDEX('AFA Rates'!$A$5:$A$1004,$T370))))</f>
        <v/>
      </c>
      <c r="B370" s="79">
        <f>IF(OR($T370="",$U370=""),IF($T370="","","Not on Firms tab"),INDEX(Firms!$B$5:$B$1004,$U370)&amp;"")</f>
        <v/>
      </c>
      <c r="C370" s="78">
        <f>IF($T370="","",IF($S370="S","Standard",INDEX('AFA Rates'!$B$5:$B$1004,$T370)&amp;""))</f>
        <v/>
      </c>
      <c r="D370" s="88">
        <f>IF($T370="","",IF($S370="S",IF(INDEX(Firms!$E$5:$E$1004,$T370)="","",INDEX(Firms!$E$5:$E$1004,$T370)),IF(INDEX('AFA Rates'!$C$5:$C$1004,$T370)="","",INDEX('AFA Rates'!$C$5:$C$1004,$T370))))</f>
        <v/>
      </c>
      <c r="E370" s="88">
        <f>IF($T370="","",IF($S370="S",IF(""="","",""),IF(INDEX('AFA Rates'!$D$5:$D$1004,$T370)="","",INDEX('AFA Rates'!$D$5:$D$1004,$T370))))</f>
        <v/>
      </c>
      <c r="F370" s="79">
        <f>IF($T370="","",IF($S370="S",IF(INDEX(Firms!$O$5:$O$1004,$T370)="","",INDEX(Firms!$O$5:$O$1004,$T370)),IF(INDEX('AFA Rates'!$O$5:$O$1004,$T370)="","",INDEX('AFA Rates'!$O$5:$O$1004,$T370))))</f>
        <v/>
      </c>
      <c r="G370" s="50">
        <f>IF($T370="","",IF($S370="S",IF(INDEX(Firms!$F$5:$F$1004,$T370)="","",INDEX(Firms!$F$5:$F$1004,$T370)),IF(INDEX('AFA Rates'!$E$5:$E$1004,$T370)="","",INDEX('AFA Rates'!$E$5:$E$1004,$T370))))</f>
        <v/>
      </c>
      <c r="H370" s="50">
        <f>IF($T370="","",IF($S370="S",IF(INDEX(Firms!$G$5:$G$1004,$T370)="","",INDEX(Firms!$G$5:$G$1004,$T370)),IF(INDEX('AFA Rates'!$F$5:$F$1004,$T370)="","",INDEX('AFA Rates'!$F$5:$F$1004,$T370))))</f>
        <v/>
      </c>
      <c r="I370" s="50">
        <f>IF($T370="","",IF($S370="S",IF(INDEX(Firms!$H$5:$H$1004,$T370)="","",INDEX(Firms!$H$5:$H$1004,$T370)),IF(INDEX('AFA Rates'!$G$5:$G$1004,$T370)="","",INDEX('AFA Rates'!$G$5:$G$1004,$T370))))</f>
        <v/>
      </c>
      <c r="J370" s="50">
        <f>IF($T370="","",IF($S370="S",IF(INDEX(Firms!$I$5:$I$1004,$T370)="","",INDEX(Firms!$I$5:$I$1004,$T370)),IF(INDEX('AFA Rates'!$H$5:$H$1004,$T370)="","",INDEX('AFA Rates'!$H$5:$H$1004,$T370))))</f>
        <v/>
      </c>
      <c r="K370" s="50">
        <f>IF($T370="","",IF($S370="S",IF(INDEX(Firms!$J$5:$J$1004,$T370)="","",INDEX(Firms!$J$5:$J$1004,$T370)),IF(INDEX('AFA Rates'!$I$5:$I$1004,$T370)="","",INDEX('AFA Rates'!$I$5:$I$1004,$T370))))</f>
        <v/>
      </c>
      <c r="L370" s="50">
        <f>IF($T370="","",IF($S370="S",IF(INDEX(Firms!$K$5:$K$1004,$T370)="","",INDEX(Firms!$K$5:$K$1004,$T370)),IF(INDEX('AFA Rates'!$J$5:$J$1004,$T370)="","",INDEX('AFA Rates'!$J$5:$J$1004,$T370))))</f>
        <v/>
      </c>
      <c r="M370" s="50">
        <f>IF($T370="","",IF($S370="S",IF(INDEX(Firms!$L$5:$L$1004,$T370)="","",INDEX(Firms!$L$5:$L$1004,$T370)),IF(INDEX('AFA Rates'!$K$5:$K$1004,$T370)="","",INDEX('AFA Rates'!$K$5:$K$1004,$T370))))</f>
        <v/>
      </c>
      <c r="N370" s="50">
        <f>IF($T370="","",IF($S370="S",IF(INDEX(Firms!$M$5:$M$1004,$T370)="","",INDEX(Firms!$M$5:$M$1004,$T370)),IF(INDEX('AFA Rates'!$L$5:$L$1004,$T370)="","",INDEX('AFA Rates'!$L$5:$L$1004,$T370))))</f>
        <v/>
      </c>
      <c r="O370" s="78">
        <f>IF(OR($T370="",$U370=""),"",IF(INDEX(Firms!$C$5:$C$1004,$U370)="","",INDEX(Firms!$C$5:$C$1004,$U370)))</f>
        <v/>
      </c>
      <c r="P370" s="79">
        <f>IF(OR($T370="",$U370=""),"",IF(INDEX(Firms!$N$5:$N$1004,$U370)="","",INDEX(Firms!$N$5:$N$1004,$U370)))</f>
        <v/>
      </c>
      <c r="Q370" s="78">
        <f>IF($T370="","",IF($S370="S",IF(INDEX(Firms!$T$5:$T$1004,$T370)="","",INDEX(Firms!$T$5:$T$1004,$T370)),IF(INDEX('AFA Rates'!$M$5:$M$1004,$T370)="","",INDEX('AFA Rates'!$M$5:$M$1004,$T370))))</f>
        <v/>
      </c>
      <c r="S370">
        <f>IF(366&lt;=$S$2,"S",IF(366&lt;=$S$2+$T$2,"A",""))</f>
        <v/>
      </c>
      <c r="T370">
        <f>IF(S370="S",MATCH(366,Firms!$W$5:$W$1004,0),IF(S370="A",IFERROR(MATCH(366-$S$2,'AFA Rates'!$R$5:$R$1004,0),""),""))</f>
        <v/>
      </c>
      <c r="U370">
        <f>IF(S370="S",T370,IF(AND(S370="A",T370&lt;&gt;""),IFERROR(MATCH(INDEX('AFA Rates'!$A$5:$A$1004,T370),Firms!$A$5:$A$1004,0),""),""))</f>
        <v/>
      </c>
    </row>
    <row r="371">
      <c r="A371" s="78">
        <f>IF($T371="","",IF($S371="S",IF(INDEX(Firms!$A$5:$A$1004,$T371)="","",INDEX(Firms!$A$5:$A$1004,$T371)),IF(INDEX('AFA Rates'!$A$5:$A$1004,$T371)="","",INDEX('AFA Rates'!$A$5:$A$1004,$T371))))</f>
        <v/>
      </c>
      <c r="B371" s="79">
        <f>IF(OR($T371="",$U371=""),IF($T371="","","Not on Firms tab"),INDEX(Firms!$B$5:$B$1004,$U371)&amp;"")</f>
        <v/>
      </c>
      <c r="C371" s="78">
        <f>IF($T371="","",IF($S371="S","Standard",INDEX('AFA Rates'!$B$5:$B$1004,$T371)&amp;""))</f>
        <v/>
      </c>
      <c r="D371" s="88">
        <f>IF($T371="","",IF($S371="S",IF(INDEX(Firms!$E$5:$E$1004,$T371)="","",INDEX(Firms!$E$5:$E$1004,$T371)),IF(INDEX('AFA Rates'!$C$5:$C$1004,$T371)="","",INDEX('AFA Rates'!$C$5:$C$1004,$T371))))</f>
        <v/>
      </c>
      <c r="E371" s="88">
        <f>IF($T371="","",IF($S371="S",IF(""="","",""),IF(INDEX('AFA Rates'!$D$5:$D$1004,$T371)="","",INDEX('AFA Rates'!$D$5:$D$1004,$T371))))</f>
        <v/>
      </c>
      <c r="F371" s="79">
        <f>IF($T371="","",IF($S371="S",IF(INDEX(Firms!$O$5:$O$1004,$T371)="","",INDEX(Firms!$O$5:$O$1004,$T371)),IF(INDEX('AFA Rates'!$O$5:$O$1004,$T371)="","",INDEX('AFA Rates'!$O$5:$O$1004,$T371))))</f>
        <v/>
      </c>
      <c r="G371" s="50">
        <f>IF($T371="","",IF($S371="S",IF(INDEX(Firms!$F$5:$F$1004,$T371)="","",INDEX(Firms!$F$5:$F$1004,$T371)),IF(INDEX('AFA Rates'!$E$5:$E$1004,$T371)="","",INDEX('AFA Rates'!$E$5:$E$1004,$T371))))</f>
        <v/>
      </c>
      <c r="H371" s="50">
        <f>IF($T371="","",IF($S371="S",IF(INDEX(Firms!$G$5:$G$1004,$T371)="","",INDEX(Firms!$G$5:$G$1004,$T371)),IF(INDEX('AFA Rates'!$F$5:$F$1004,$T371)="","",INDEX('AFA Rates'!$F$5:$F$1004,$T371))))</f>
        <v/>
      </c>
      <c r="I371" s="50">
        <f>IF($T371="","",IF($S371="S",IF(INDEX(Firms!$H$5:$H$1004,$T371)="","",INDEX(Firms!$H$5:$H$1004,$T371)),IF(INDEX('AFA Rates'!$G$5:$G$1004,$T371)="","",INDEX('AFA Rates'!$G$5:$G$1004,$T371))))</f>
        <v/>
      </c>
      <c r="J371" s="50">
        <f>IF($T371="","",IF($S371="S",IF(INDEX(Firms!$I$5:$I$1004,$T371)="","",INDEX(Firms!$I$5:$I$1004,$T371)),IF(INDEX('AFA Rates'!$H$5:$H$1004,$T371)="","",INDEX('AFA Rates'!$H$5:$H$1004,$T371))))</f>
        <v/>
      </c>
      <c r="K371" s="50">
        <f>IF($T371="","",IF($S371="S",IF(INDEX(Firms!$J$5:$J$1004,$T371)="","",INDEX(Firms!$J$5:$J$1004,$T371)),IF(INDEX('AFA Rates'!$I$5:$I$1004,$T371)="","",INDEX('AFA Rates'!$I$5:$I$1004,$T371))))</f>
        <v/>
      </c>
      <c r="L371" s="50">
        <f>IF($T371="","",IF($S371="S",IF(INDEX(Firms!$K$5:$K$1004,$T371)="","",INDEX(Firms!$K$5:$K$1004,$T371)),IF(INDEX('AFA Rates'!$J$5:$J$1004,$T371)="","",INDEX('AFA Rates'!$J$5:$J$1004,$T371))))</f>
        <v/>
      </c>
      <c r="M371" s="50">
        <f>IF($T371="","",IF($S371="S",IF(INDEX(Firms!$L$5:$L$1004,$T371)="","",INDEX(Firms!$L$5:$L$1004,$T371)),IF(INDEX('AFA Rates'!$K$5:$K$1004,$T371)="","",INDEX('AFA Rates'!$K$5:$K$1004,$T371))))</f>
        <v/>
      </c>
      <c r="N371" s="50">
        <f>IF($T371="","",IF($S371="S",IF(INDEX(Firms!$M$5:$M$1004,$T371)="","",INDEX(Firms!$M$5:$M$1004,$T371)),IF(INDEX('AFA Rates'!$L$5:$L$1004,$T371)="","",INDEX('AFA Rates'!$L$5:$L$1004,$T371))))</f>
        <v/>
      </c>
      <c r="O371" s="78">
        <f>IF(OR($T371="",$U371=""),"",IF(INDEX(Firms!$C$5:$C$1004,$U371)="","",INDEX(Firms!$C$5:$C$1004,$U371)))</f>
        <v/>
      </c>
      <c r="P371" s="79">
        <f>IF(OR($T371="",$U371=""),"",IF(INDEX(Firms!$N$5:$N$1004,$U371)="","",INDEX(Firms!$N$5:$N$1004,$U371)))</f>
        <v/>
      </c>
      <c r="Q371" s="78">
        <f>IF($T371="","",IF($S371="S",IF(INDEX(Firms!$T$5:$T$1004,$T371)="","",INDEX(Firms!$T$5:$T$1004,$T371)),IF(INDEX('AFA Rates'!$M$5:$M$1004,$T371)="","",INDEX('AFA Rates'!$M$5:$M$1004,$T371))))</f>
        <v/>
      </c>
      <c r="S371">
        <f>IF(367&lt;=$S$2,"S",IF(367&lt;=$S$2+$T$2,"A",""))</f>
        <v/>
      </c>
      <c r="T371">
        <f>IF(S371="S",MATCH(367,Firms!$W$5:$W$1004,0),IF(S371="A",IFERROR(MATCH(367-$S$2,'AFA Rates'!$R$5:$R$1004,0),""),""))</f>
        <v/>
      </c>
      <c r="U371">
        <f>IF(S371="S",T371,IF(AND(S371="A",T371&lt;&gt;""),IFERROR(MATCH(INDEX('AFA Rates'!$A$5:$A$1004,T371),Firms!$A$5:$A$1004,0),""),""))</f>
        <v/>
      </c>
    </row>
    <row r="372">
      <c r="A372" s="78">
        <f>IF($T372="","",IF($S372="S",IF(INDEX(Firms!$A$5:$A$1004,$T372)="","",INDEX(Firms!$A$5:$A$1004,$T372)),IF(INDEX('AFA Rates'!$A$5:$A$1004,$T372)="","",INDEX('AFA Rates'!$A$5:$A$1004,$T372))))</f>
        <v/>
      </c>
      <c r="B372" s="79">
        <f>IF(OR($T372="",$U372=""),IF($T372="","","Not on Firms tab"),INDEX(Firms!$B$5:$B$1004,$U372)&amp;"")</f>
        <v/>
      </c>
      <c r="C372" s="78">
        <f>IF($T372="","",IF($S372="S","Standard",INDEX('AFA Rates'!$B$5:$B$1004,$T372)&amp;""))</f>
        <v/>
      </c>
      <c r="D372" s="88">
        <f>IF($T372="","",IF($S372="S",IF(INDEX(Firms!$E$5:$E$1004,$T372)="","",INDEX(Firms!$E$5:$E$1004,$T372)),IF(INDEX('AFA Rates'!$C$5:$C$1004,$T372)="","",INDEX('AFA Rates'!$C$5:$C$1004,$T372))))</f>
        <v/>
      </c>
      <c r="E372" s="88">
        <f>IF($T372="","",IF($S372="S",IF(""="","",""),IF(INDEX('AFA Rates'!$D$5:$D$1004,$T372)="","",INDEX('AFA Rates'!$D$5:$D$1004,$T372))))</f>
        <v/>
      </c>
      <c r="F372" s="79">
        <f>IF($T372="","",IF($S372="S",IF(INDEX(Firms!$O$5:$O$1004,$T372)="","",INDEX(Firms!$O$5:$O$1004,$T372)),IF(INDEX('AFA Rates'!$O$5:$O$1004,$T372)="","",INDEX('AFA Rates'!$O$5:$O$1004,$T372))))</f>
        <v/>
      </c>
      <c r="G372" s="50">
        <f>IF($T372="","",IF($S372="S",IF(INDEX(Firms!$F$5:$F$1004,$T372)="","",INDEX(Firms!$F$5:$F$1004,$T372)),IF(INDEX('AFA Rates'!$E$5:$E$1004,$T372)="","",INDEX('AFA Rates'!$E$5:$E$1004,$T372))))</f>
        <v/>
      </c>
      <c r="H372" s="50">
        <f>IF($T372="","",IF($S372="S",IF(INDEX(Firms!$G$5:$G$1004,$T372)="","",INDEX(Firms!$G$5:$G$1004,$T372)),IF(INDEX('AFA Rates'!$F$5:$F$1004,$T372)="","",INDEX('AFA Rates'!$F$5:$F$1004,$T372))))</f>
        <v/>
      </c>
      <c r="I372" s="50">
        <f>IF($T372="","",IF($S372="S",IF(INDEX(Firms!$H$5:$H$1004,$T372)="","",INDEX(Firms!$H$5:$H$1004,$T372)),IF(INDEX('AFA Rates'!$G$5:$G$1004,$T372)="","",INDEX('AFA Rates'!$G$5:$G$1004,$T372))))</f>
        <v/>
      </c>
      <c r="J372" s="50">
        <f>IF($T372="","",IF($S372="S",IF(INDEX(Firms!$I$5:$I$1004,$T372)="","",INDEX(Firms!$I$5:$I$1004,$T372)),IF(INDEX('AFA Rates'!$H$5:$H$1004,$T372)="","",INDEX('AFA Rates'!$H$5:$H$1004,$T372))))</f>
        <v/>
      </c>
      <c r="K372" s="50">
        <f>IF($T372="","",IF($S372="S",IF(INDEX(Firms!$J$5:$J$1004,$T372)="","",INDEX(Firms!$J$5:$J$1004,$T372)),IF(INDEX('AFA Rates'!$I$5:$I$1004,$T372)="","",INDEX('AFA Rates'!$I$5:$I$1004,$T372))))</f>
        <v/>
      </c>
      <c r="L372" s="50">
        <f>IF($T372="","",IF($S372="S",IF(INDEX(Firms!$K$5:$K$1004,$T372)="","",INDEX(Firms!$K$5:$K$1004,$T372)),IF(INDEX('AFA Rates'!$J$5:$J$1004,$T372)="","",INDEX('AFA Rates'!$J$5:$J$1004,$T372))))</f>
        <v/>
      </c>
      <c r="M372" s="50">
        <f>IF($T372="","",IF($S372="S",IF(INDEX(Firms!$L$5:$L$1004,$T372)="","",INDEX(Firms!$L$5:$L$1004,$T372)),IF(INDEX('AFA Rates'!$K$5:$K$1004,$T372)="","",INDEX('AFA Rates'!$K$5:$K$1004,$T372))))</f>
        <v/>
      </c>
      <c r="N372" s="50">
        <f>IF($T372="","",IF($S372="S",IF(INDEX(Firms!$M$5:$M$1004,$T372)="","",INDEX(Firms!$M$5:$M$1004,$T372)),IF(INDEX('AFA Rates'!$L$5:$L$1004,$T372)="","",INDEX('AFA Rates'!$L$5:$L$1004,$T372))))</f>
        <v/>
      </c>
      <c r="O372" s="78">
        <f>IF(OR($T372="",$U372=""),"",IF(INDEX(Firms!$C$5:$C$1004,$U372)="","",INDEX(Firms!$C$5:$C$1004,$U372)))</f>
        <v/>
      </c>
      <c r="P372" s="79">
        <f>IF(OR($T372="",$U372=""),"",IF(INDEX(Firms!$N$5:$N$1004,$U372)="","",INDEX(Firms!$N$5:$N$1004,$U372)))</f>
        <v/>
      </c>
      <c r="Q372" s="78">
        <f>IF($T372="","",IF($S372="S",IF(INDEX(Firms!$T$5:$T$1004,$T372)="","",INDEX(Firms!$T$5:$T$1004,$T372)),IF(INDEX('AFA Rates'!$M$5:$M$1004,$T372)="","",INDEX('AFA Rates'!$M$5:$M$1004,$T372))))</f>
        <v/>
      </c>
      <c r="S372">
        <f>IF(368&lt;=$S$2,"S",IF(368&lt;=$S$2+$T$2,"A",""))</f>
        <v/>
      </c>
      <c r="T372">
        <f>IF(S372="S",MATCH(368,Firms!$W$5:$W$1004,0),IF(S372="A",IFERROR(MATCH(368-$S$2,'AFA Rates'!$R$5:$R$1004,0),""),""))</f>
        <v/>
      </c>
      <c r="U372">
        <f>IF(S372="S",T372,IF(AND(S372="A",T372&lt;&gt;""),IFERROR(MATCH(INDEX('AFA Rates'!$A$5:$A$1004,T372),Firms!$A$5:$A$1004,0),""),""))</f>
        <v/>
      </c>
    </row>
    <row r="373">
      <c r="A373" s="78">
        <f>IF($T373="","",IF($S373="S",IF(INDEX(Firms!$A$5:$A$1004,$T373)="","",INDEX(Firms!$A$5:$A$1004,$T373)),IF(INDEX('AFA Rates'!$A$5:$A$1004,$T373)="","",INDEX('AFA Rates'!$A$5:$A$1004,$T373))))</f>
        <v/>
      </c>
      <c r="B373" s="79">
        <f>IF(OR($T373="",$U373=""),IF($T373="","","Not on Firms tab"),INDEX(Firms!$B$5:$B$1004,$U373)&amp;"")</f>
        <v/>
      </c>
      <c r="C373" s="78">
        <f>IF($T373="","",IF($S373="S","Standard",INDEX('AFA Rates'!$B$5:$B$1004,$T373)&amp;""))</f>
        <v/>
      </c>
      <c r="D373" s="88">
        <f>IF($T373="","",IF($S373="S",IF(INDEX(Firms!$E$5:$E$1004,$T373)="","",INDEX(Firms!$E$5:$E$1004,$T373)),IF(INDEX('AFA Rates'!$C$5:$C$1004,$T373)="","",INDEX('AFA Rates'!$C$5:$C$1004,$T373))))</f>
        <v/>
      </c>
      <c r="E373" s="88">
        <f>IF($T373="","",IF($S373="S",IF(""="","",""),IF(INDEX('AFA Rates'!$D$5:$D$1004,$T373)="","",INDEX('AFA Rates'!$D$5:$D$1004,$T373))))</f>
        <v/>
      </c>
      <c r="F373" s="79">
        <f>IF($T373="","",IF($S373="S",IF(INDEX(Firms!$O$5:$O$1004,$T373)="","",INDEX(Firms!$O$5:$O$1004,$T373)),IF(INDEX('AFA Rates'!$O$5:$O$1004,$T373)="","",INDEX('AFA Rates'!$O$5:$O$1004,$T373))))</f>
        <v/>
      </c>
      <c r="G373" s="50">
        <f>IF($T373="","",IF($S373="S",IF(INDEX(Firms!$F$5:$F$1004,$T373)="","",INDEX(Firms!$F$5:$F$1004,$T373)),IF(INDEX('AFA Rates'!$E$5:$E$1004,$T373)="","",INDEX('AFA Rates'!$E$5:$E$1004,$T373))))</f>
        <v/>
      </c>
      <c r="H373" s="50">
        <f>IF($T373="","",IF($S373="S",IF(INDEX(Firms!$G$5:$G$1004,$T373)="","",INDEX(Firms!$G$5:$G$1004,$T373)),IF(INDEX('AFA Rates'!$F$5:$F$1004,$T373)="","",INDEX('AFA Rates'!$F$5:$F$1004,$T373))))</f>
        <v/>
      </c>
      <c r="I373" s="50">
        <f>IF($T373="","",IF($S373="S",IF(INDEX(Firms!$H$5:$H$1004,$T373)="","",INDEX(Firms!$H$5:$H$1004,$T373)),IF(INDEX('AFA Rates'!$G$5:$G$1004,$T373)="","",INDEX('AFA Rates'!$G$5:$G$1004,$T373))))</f>
        <v/>
      </c>
      <c r="J373" s="50">
        <f>IF($T373="","",IF($S373="S",IF(INDEX(Firms!$I$5:$I$1004,$T373)="","",INDEX(Firms!$I$5:$I$1004,$T373)),IF(INDEX('AFA Rates'!$H$5:$H$1004,$T373)="","",INDEX('AFA Rates'!$H$5:$H$1004,$T373))))</f>
        <v/>
      </c>
      <c r="K373" s="50">
        <f>IF($T373="","",IF($S373="S",IF(INDEX(Firms!$J$5:$J$1004,$T373)="","",INDEX(Firms!$J$5:$J$1004,$T373)),IF(INDEX('AFA Rates'!$I$5:$I$1004,$T373)="","",INDEX('AFA Rates'!$I$5:$I$1004,$T373))))</f>
        <v/>
      </c>
      <c r="L373" s="50">
        <f>IF($T373="","",IF($S373="S",IF(INDEX(Firms!$K$5:$K$1004,$T373)="","",INDEX(Firms!$K$5:$K$1004,$T373)),IF(INDEX('AFA Rates'!$J$5:$J$1004,$T373)="","",INDEX('AFA Rates'!$J$5:$J$1004,$T373))))</f>
        <v/>
      </c>
      <c r="M373" s="50">
        <f>IF($T373="","",IF($S373="S",IF(INDEX(Firms!$L$5:$L$1004,$T373)="","",INDEX(Firms!$L$5:$L$1004,$T373)),IF(INDEX('AFA Rates'!$K$5:$K$1004,$T373)="","",INDEX('AFA Rates'!$K$5:$K$1004,$T373))))</f>
        <v/>
      </c>
      <c r="N373" s="50">
        <f>IF($T373="","",IF($S373="S",IF(INDEX(Firms!$M$5:$M$1004,$T373)="","",INDEX(Firms!$M$5:$M$1004,$T373)),IF(INDEX('AFA Rates'!$L$5:$L$1004,$T373)="","",INDEX('AFA Rates'!$L$5:$L$1004,$T373))))</f>
        <v/>
      </c>
      <c r="O373" s="78">
        <f>IF(OR($T373="",$U373=""),"",IF(INDEX(Firms!$C$5:$C$1004,$U373)="","",INDEX(Firms!$C$5:$C$1004,$U373)))</f>
        <v/>
      </c>
      <c r="P373" s="79">
        <f>IF(OR($T373="",$U373=""),"",IF(INDEX(Firms!$N$5:$N$1004,$U373)="","",INDEX(Firms!$N$5:$N$1004,$U373)))</f>
        <v/>
      </c>
      <c r="Q373" s="78">
        <f>IF($T373="","",IF($S373="S",IF(INDEX(Firms!$T$5:$T$1004,$T373)="","",INDEX(Firms!$T$5:$T$1004,$T373)),IF(INDEX('AFA Rates'!$M$5:$M$1004,$T373)="","",INDEX('AFA Rates'!$M$5:$M$1004,$T373))))</f>
        <v/>
      </c>
      <c r="S373">
        <f>IF(369&lt;=$S$2,"S",IF(369&lt;=$S$2+$T$2,"A",""))</f>
        <v/>
      </c>
      <c r="T373">
        <f>IF(S373="S",MATCH(369,Firms!$W$5:$W$1004,0),IF(S373="A",IFERROR(MATCH(369-$S$2,'AFA Rates'!$R$5:$R$1004,0),""),""))</f>
        <v/>
      </c>
      <c r="U373">
        <f>IF(S373="S",T373,IF(AND(S373="A",T373&lt;&gt;""),IFERROR(MATCH(INDEX('AFA Rates'!$A$5:$A$1004,T373),Firms!$A$5:$A$1004,0),""),""))</f>
        <v/>
      </c>
    </row>
    <row r="374">
      <c r="A374" s="78">
        <f>IF($T374="","",IF($S374="S",IF(INDEX(Firms!$A$5:$A$1004,$T374)="","",INDEX(Firms!$A$5:$A$1004,$T374)),IF(INDEX('AFA Rates'!$A$5:$A$1004,$T374)="","",INDEX('AFA Rates'!$A$5:$A$1004,$T374))))</f>
        <v/>
      </c>
      <c r="B374" s="79">
        <f>IF(OR($T374="",$U374=""),IF($T374="","","Not on Firms tab"),INDEX(Firms!$B$5:$B$1004,$U374)&amp;"")</f>
        <v/>
      </c>
      <c r="C374" s="78">
        <f>IF($T374="","",IF($S374="S","Standard",INDEX('AFA Rates'!$B$5:$B$1004,$T374)&amp;""))</f>
        <v/>
      </c>
      <c r="D374" s="88">
        <f>IF($T374="","",IF($S374="S",IF(INDEX(Firms!$E$5:$E$1004,$T374)="","",INDEX(Firms!$E$5:$E$1004,$T374)),IF(INDEX('AFA Rates'!$C$5:$C$1004,$T374)="","",INDEX('AFA Rates'!$C$5:$C$1004,$T374))))</f>
        <v/>
      </c>
      <c r="E374" s="88">
        <f>IF($T374="","",IF($S374="S",IF(""="","",""),IF(INDEX('AFA Rates'!$D$5:$D$1004,$T374)="","",INDEX('AFA Rates'!$D$5:$D$1004,$T374))))</f>
        <v/>
      </c>
      <c r="F374" s="79">
        <f>IF($T374="","",IF($S374="S",IF(INDEX(Firms!$O$5:$O$1004,$T374)="","",INDEX(Firms!$O$5:$O$1004,$T374)),IF(INDEX('AFA Rates'!$O$5:$O$1004,$T374)="","",INDEX('AFA Rates'!$O$5:$O$1004,$T374))))</f>
        <v/>
      </c>
      <c r="G374" s="50">
        <f>IF($T374="","",IF($S374="S",IF(INDEX(Firms!$F$5:$F$1004,$T374)="","",INDEX(Firms!$F$5:$F$1004,$T374)),IF(INDEX('AFA Rates'!$E$5:$E$1004,$T374)="","",INDEX('AFA Rates'!$E$5:$E$1004,$T374))))</f>
        <v/>
      </c>
      <c r="H374" s="50">
        <f>IF($T374="","",IF($S374="S",IF(INDEX(Firms!$G$5:$G$1004,$T374)="","",INDEX(Firms!$G$5:$G$1004,$T374)),IF(INDEX('AFA Rates'!$F$5:$F$1004,$T374)="","",INDEX('AFA Rates'!$F$5:$F$1004,$T374))))</f>
        <v/>
      </c>
      <c r="I374" s="50">
        <f>IF($T374="","",IF($S374="S",IF(INDEX(Firms!$H$5:$H$1004,$T374)="","",INDEX(Firms!$H$5:$H$1004,$T374)),IF(INDEX('AFA Rates'!$G$5:$G$1004,$T374)="","",INDEX('AFA Rates'!$G$5:$G$1004,$T374))))</f>
        <v/>
      </c>
      <c r="J374" s="50">
        <f>IF($T374="","",IF($S374="S",IF(INDEX(Firms!$I$5:$I$1004,$T374)="","",INDEX(Firms!$I$5:$I$1004,$T374)),IF(INDEX('AFA Rates'!$H$5:$H$1004,$T374)="","",INDEX('AFA Rates'!$H$5:$H$1004,$T374))))</f>
        <v/>
      </c>
      <c r="K374" s="50">
        <f>IF($T374="","",IF($S374="S",IF(INDEX(Firms!$J$5:$J$1004,$T374)="","",INDEX(Firms!$J$5:$J$1004,$T374)),IF(INDEX('AFA Rates'!$I$5:$I$1004,$T374)="","",INDEX('AFA Rates'!$I$5:$I$1004,$T374))))</f>
        <v/>
      </c>
      <c r="L374" s="50">
        <f>IF($T374="","",IF($S374="S",IF(INDEX(Firms!$K$5:$K$1004,$T374)="","",INDEX(Firms!$K$5:$K$1004,$T374)),IF(INDEX('AFA Rates'!$J$5:$J$1004,$T374)="","",INDEX('AFA Rates'!$J$5:$J$1004,$T374))))</f>
        <v/>
      </c>
      <c r="M374" s="50">
        <f>IF($T374="","",IF($S374="S",IF(INDEX(Firms!$L$5:$L$1004,$T374)="","",INDEX(Firms!$L$5:$L$1004,$T374)),IF(INDEX('AFA Rates'!$K$5:$K$1004,$T374)="","",INDEX('AFA Rates'!$K$5:$K$1004,$T374))))</f>
        <v/>
      </c>
      <c r="N374" s="50">
        <f>IF($T374="","",IF($S374="S",IF(INDEX(Firms!$M$5:$M$1004,$T374)="","",INDEX(Firms!$M$5:$M$1004,$T374)),IF(INDEX('AFA Rates'!$L$5:$L$1004,$T374)="","",INDEX('AFA Rates'!$L$5:$L$1004,$T374))))</f>
        <v/>
      </c>
      <c r="O374" s="78">
        <f>IF(OR($T374="",$U374=""),"",IF(INDEX(Firms!$C$5:$C$1004,$U374)="","",INDEX(Firms!$C$5:$C$1004,$U374)))</f>
        <v/>
      </c>
      <c r="P374" s="79">
        <f>IF(OR($T374="",$U374=""),"",IF(INDEX(Firms!$N$5:$N$1004,$U374)="","",INDEX(Firms!$N$5:$N$1004,$U374)))</f>
        <v/>
      </c>
      <c r="Q374" s="78">
        <f>IF($T374="","",IF($S374="S",IF(INDEX(Firms!$T$5:$T$1004,$T374)="","",INDEX(Firms!$T$5:$T$1004,$T374)),IF(INDEX('AFA Rates'!$M$5:$M$1004,$T374)="","",INDEX('AFA Rates'!$M$5:$M$1004,$T374))))</f>
        <v/>
      </c>
      <c r="S374">
        <f>IF(370&lt;=$S$2,"S",IF(370&lt;=$S$2+$T$2,"A",""))</f>
        <v/>
      </c>
      <c r="T374">
        <f>IF(S374="S",MATCH(370,Firms!$W$5:$W$1004,0),IF(S374="A",IFERROR(MATCH(370-$S$2,'AFA Rates'!$R$5:$R$1004,0),""),""))</f>
        <v/>
      </c>
      <c r="U374">
        <f>IF(S374="S",T374,IF(AND(S374="A",T374&lt;&gt;""),IFERROR(MATCH(INDEX('AFA Rates'!$A$5:$A$1004,T374),Firms!$A$5:$A$1004,0),""),""))</f>
        <v/>
      </c>
    </row>
    <row r="375">
      <c r="A375" s="78">
        <f>IF($T375="","",IF($S375="S",IF(INDEX(Firms!$A$5:$A$1004,$T375)="","",INDEX(Firms!$A$5:$A$1004,$T375)),IF(INDEX('AFA Rates'!$A$5:$A$1004,$T375)="","",INDEX('AFA Rates'!$A$5:$A$1004,$T375))))</f>
        <v/>
      </c>
      <c r="B375" s="79">
        <f>IF(OR($T375="",$U375=""),IF($T375="","","Not on Firms tab"),INDEX(Firms!$B$5:$B$1004,$U375)&amp;"")</f>
        <v/>
      </c>
      <c r="C375" s="78">
        <f>IF($T375="","",IF($S375="S","Standard",INDEX('AFA Rates'!$B$5:$B$1004,$T375)&amp;""))</f>
        <v/>
      </c>
      <c r="D375" s="88">
        <f>IF($T375="","",IF($S375="S",IF(INDEX(Firms!$E$5:$E$1004,$T375)="","",INDEX(Firms!$E$5:$E$1004,$T375)),IF(INDEX('AFA Rates'!$C$5:$C$1004,$T375)="","",INDEX('AFA Rates'!$C$5:$C$1004,$T375))))</f>
        <v/>
      </c>
      <c r="E375" s="88">
        <f>IF($T375="","",IF($S375="S",IF(""="","",""),IF(INDEX('AFA Rates'!$D$5:$D$1004,$T375)="","",INDEX('AFA Rates'!$D$5:$D$1004,$T375))))</f>
        <v/>
      </c>
      <c r="F375" s="79">
        <f>IF($T375="","",IF($S375="S",IF(INDEX(Firms!$O$5:$O$1004,$T375)="","",INDEX(Firms!$O$5:$O$1004,$T375)),IF(INDEX('AFA Rates'!$O$5:$O$1004,$T375)="","",INDEX('AFA Rates'!$O$5:$O$1004,$T375))))</f>
        <v/>
      </c>
      <c r="G375" s="50">
        <f>IF($T375="","",IF($S375="S",IF(INDEX(Firms!$F$5:$F$1004,$T375)="","",INDEX(Firms!$F$5:$F$1004,$T375)),IF(INDEX('AFA Rates'!$E$5:$E$1004,$T375)="","",INDEX('AFA Rates'!$E$5:$E$1004,$T375))))</f>
        <v/>
      </c>
      <c r="H375" s="50">
        <f>IF($T375="","",IF($S375="S",IF(INDEX(Firms!$G$5:$G$1004,$T375)="","",INDEX(Firms!$G$5:$G$1004,$T375)),IF(INDEX('AFA Rates'!$F$5:$F$1004,$T375)="","",INDEX('AFA Rates'!$F$5:$F$1004,$T375))))</f>
        <v/>
      </c>
      <c r="I375" s="50">
        <f>IF($T375="","",IF($S375="S",IF(INDEX(Firms!$H$5:$H$1004,$T375)="","",INDEX(Firms!$H$5:$H$1004,$T375)),IF(INDEX('AFA Rates'!$G$5:$G$1004,$T375)="","",INDEX('AFA Rates'!$G$5:$G$1004,$T375))))</f>
        <v/>
      </c>
      <c r="J375" s="50">
        <f>IF($T375="","",IF($S375="S",IF(INDEX(Firms!$I$5:$I$1004,$T375)="","",INDEX(Firms!$I$5:$I$1004,$T375)),IF(INDEX('AFA Rates'!$H$5:$H$1004,$T375)="","",INDEX('AFA Rates'!$H$5:$H$1004,$T375))))</f>
        <v/>
      </c>
      <c r="K375" s="50">
        <f>IF($T375="","",IF($S375="S",IF(INDEX(Firms!$J$5:$J$1004,$T375)="","",INDEX(Firms!$J$5:$J$1004,$T375)),IF(INDEX('AFA Rates'!$I$5:$I$1004,$T375)="","",INDEX('AFA Rates'!$I$5:$I$1004,$T375))))</f>
        <v/>
      </c>
      <c r="L375" s="50">
        <f>IF($T375="","",IF($S375="S",IF(INDEX(Firms!$K$5:$K$1004,$T375)="","",INDEX(Firms!$K$5:$K$1004,$T375)),IF(INDEX('AFA Rates'!$J$5:$J$1004,$T375)="","",INDEX('AFA Rates'!$J$5:$J$1004,$T375))))</f>
        <v/>
      </c>
      <c r="M375" s="50">
        <f>IF($T375="","",IF($S375="S",IF(INDEX(Firms!$L$5:$L$1004,$T375)="","",INDEX(Firms!$L$5:$L$1004,$T375)),IF(INDEX('AFA Rates'!$K$5:$K$1004,$T375)="","",INDEX('AFA Rates'!$K$5:$K$1004,$T375))))</f>
        <v/>
      </c>
      <c r="N375" s="50">
        <f>IF($T375="","",IF($S375="S",IF(INDEX(Firms!$M$5:$M$1004,$T375)="","",INDEX(Firms!$M$5:$M$1004,$T375)),IF(INDEX('AFA Rates'!$L$5:$L$1004,$T375)="","",INDEX('AFA Rates'!$L$5:$L$1004,$T375))))</f>
        <v/>
      </c>
      <c r="O375" s="78">
        <f>IF(OR($T375="",$U375=""),"",IF(INDEX(Firms!$C$5:$C$1004,$U375)="","",INDEX(Firms!$C$5:$C$1004,$U375)))</f>
        <v/>
      </c>
      <c r="P375" s="79">
        <f>IF(OR($T375="",$U375=""),"",IF(INDEX(Firms!$N$5:$N$1004,$U375)="","",INDEX(Firms!$N$5:$N$1004,$U375)))</f>
        <v/>
      </c>
      <c r="Q375" s="78">
        <f>IF($T375="","",IF($S375="S",IF(INDEX(Firms!$T$5:$T$1004,$T375)="","",INDEX(Firms!$T$5:$T$1004,$T375)),IF(INDEX('AFA Rates'!$M$5:$M$1004,$T375)="","",INDEX('AFA Rates'!$M$5:$M$1004,$T375))))</f>
        <v/>
      </c>
      <c r="S375">
        <f>IF(371&lt;=$S$2,"S",IF(371&lt;=$S$2+$T$2,"A",""))</f>
        <v/>
      </c>
      <c r="T375">
        <f>IF(S375="S",MATCH(371,Firms!$W$5:$W$1004,0),IF(S375="A",IFERROR(MATCH(371-$S$2,'AFA Rates'!$R$5:$R$1004,0),""),""))</f>
        <v/>
      </c>
      <c r="U375">
        <f>IF(S375="S",T375,IF(AND(S375="A",T375&lt;&gt;""),IFERROR(MATCH(INDEX('AFA Rates'!$A$5:$A$1004,T375),Firms!$A$5:$A$1004,0),""),""))</f>
        <v/>
      </c>
    </row>
    <row r="376">
      <c r="A376" s="78">
        <f>IF($T376="","",IF($S376="S",IF(INDEX(Firms!$A$5:$A$1004,$T376)="","",INDEX(Firms!$A$5:$A$1004,$T376)),IF(INDEX('AFA Rates'!$A$5:$A$1004,$T376)="","",INDEX('AFA Rates'!$A$5:$A$1004,$T376))))</f>
        <v/>
      </c>
      <c r="B376" s="79">
        <f>IF(OR($T376="",$U376=""),IF($T376="","","Not on Firms tab"),INDEX(Firms!$B$5:$B$1004,$U376)&amp;"")</f>
        <v/>
      </c>
      <c r="C376" s="78">
        <f>IF($T376="","",IF($S376="S","Standard",INDEX('AFA Rates'!$B$5:$B$1004,$T376)&amp;""))</f>
        <v/>
      </c>
      <c r="D376" s="88">
        <f>IF($T376="","",IF($S376="S",IF(INDEX(Firms!$E$5:$E$1004,$T376)="","",INDEX(Firms!$E$5:$E$1004,$T376)),IF(INDEX('AFA Rates'!$C$5:$C$1004,$T376)="","",INDEX('AFA Rates'!$C$5:$C$1004,$T376))))</f>
        <v/>
      </c>
      <c r="E376" s="88">
        <f>IF($T376="","",IF($S376="S",IF(""="","",""),IF(INDEX('AFA Rates'!$D$5:$D$1004,$T376)="","",INDEX('AFA Rates'!$D$5:$D$1004,$T376))))</f>
        <v/>
      </c>
      <c r="F376" s="79">
        <f>IF($T376="","",IF($S376="S",IF(INDEX(Firms!$O$5:$O$1004,$T376)="","",INDEX(Firms!$O$5:$O$1004,$T376)),IF(INDEX('AFA Rates'!$O$5:$O$1004,$T376)="","",INDEX('AFA Rates'!$O$5:$O$1004,$T376))))</f>
        <v/>
      </c>
      <c r="G376" s="50">
        <f>IF($T376="","",IF($S376="S",IF(INDEX(Firms!$F$5:$F$1004,$T376)="","",INDEX(Firms!$F$5:$F$1004,$T376)),IF(INDEX('AFA Rates'!$E$5:$E$1004,$T376)="","",INDEX('AFA Rates'!$E$5:$E$1004,$T376))))</f>
        <v/>
      </c>
      <c r="H376" s="50">
        <f>IF($T376="","",IF($S376="S",IF(INDEX(Firms!$G$5:$G$1004,$T376)="","",INDEX(Firms!$G$5:$G$1004,$T376)),IF(INDEX('AFA Rates'!$F$5:$F$1004,$T376)="","",INDEX('AFA Rates'!$F$5:$F$1004,$T376))))</f>
        <v/>
      </c>
      <c r="I376" s="50">
        <f>IF($T376="","",IF($S376="S",IF(INDEX(Firms!$H$5:$H$1004,$T376)="","",INDEX(Firms!$H$5:$H$1004,$T376)),IF(INDEX('AFA Rates'!$G$5:$G$1004,$T376)="","",INDEX('AFA Rates'!$G$5:$G$1004,$T376))))</f>
        <v/>
      </c>
      <c r="J376" s="50">
        <f>IF($T376="","",IF($S376="S",IF(INDEX(Firms!$I$5:$I$1004,$T376)="","",INDEX(Firms!$I$5:$I$1004,$T376)),IF(INDEX('AFA Rates'!$H$5:$H$1004,$T376)="","",INDEX('AFA Rates'!$H$5:$H$1004,$T376))))</f>
        <v/>
      </c>
      <c r="K376" s="50">
        <f>IF($T376="","",IF($S376="S",IF(INDEX(Firms!$J$5:$J$1004,$T376)="","",INDEX(Firms!$J$5:$J$1004,$T376)),IF(INDEX('AFA Rates'!$I$5:$I$1004,$T376)="","",INDEX('AFA Rates'!$I$5:$I$1004,$T376))))</f>
        <v/>
      </c>
      <c r="L376" s="50">
        <f>IF($T376="","",IF($S376="S",IF(INDEX(Firms!$K$5:$K$1004,$T376)="","",INDEX(Firms!$K$5:$K$1004,$T376)),IF(INDEX('AFA Rates'!$J$5:$J$1004,$T376)="","",INDEX('AFA Rates'!$J$5:$J$1004,$T376))))</f>
        <v/>
      </c>
      <c r="M376" s="50">
        <f>IF($T376="","",IF($S376="S",IF(INDEX(Firms!$L$5:$L$1004,$T376)="","",INDEX(Firms!$L$5:$L$1004,$T376)),IF(INDEX('AFA Rates'!$K$5:$K$1004,$T376)="","",INDEX('AFA Rates'!$K$5:$K$1004,$T376))))</f>
        <v/>
      </c>
      <c r="N376" s="50">
        <f>IF($T376="","",IF($S376="S",IF(INDEX(Firms!$M$5:$M$1004,$T376)="","",INDEX(Firms!$M$5:$M$1004,$T376)),IF(INDEX('AFA Rates'!$L$5:$L$1004,$T376)="","",INDEX('AFA Rates'!$L$5:$L$1004,$T376))))</f>
        <v/>
      </c>
      <c r="O376" s="78">
        <f>IF(OR($T376="",$U376=""),"",IF(INDEX(Firms!$C$5:$C$1004,$U376)="","",INDEX(Firms!$C$5:$C$1004,$U376)))</f>
        <v/>
      </c>
      <c r="P376" s="79">
        <f>IF(OR($T376="",$U376=""),"",IF(INDEX(Firms!$N$5:$N$1004,$U376)="","",INDEX(Firms!$N$5:$N$1004,$U376)))</f>
        <v/>
      </c>
      <c r="Q376" s="78">
        <f>IF($T376="","",IF($S376="S",IF(INDEX(Firms!$T$5:$T$1004,$T376)="","",INDEX(Firms!$T$5:$T$1004,$T376)),IF(INDEX('AFA Rates'!$M$5:$M$1004,$T376)="","",INDEX('AFA Rates'!$M$5:$M$1004,$T376))))</f>
        <v/>
      </c>
      <c r="S376">
        <f>IF(372&lt;=$S$2,"S",IF(372&lt;=$S$2+$T$2,"A",""))</f>
        <v/>
      </c>
      <c r="T376">
        <f>IF(S376="S",MATCH(372,Firms!$W$5:$W$1004,0),IF(S376="A",IFERROR(MATCH(372-$S$2,'AFA Rates'!$R$5:$R$1004,0),""),""))</f>
        <v/>
      </c>
      <c r="U376">
        <f>IF(S376="S",T376,IF(AND(S376="A",T376&lt;&gt;""),IFERROR(MATCH(INDEX('AFA Rates'!$A$5:$A$1004,T376),Firms!$A$5:$A$1004,0),""),""))</f>
        <v/>
      </c>
    </row>
    <row r="377">
      <c r="A377" s="78">
        <f>IF($T377="","",IF($S377="S",IF(INDEX(Firms!$A$5:$A$1004,$T377)="","",INDEX(Firms!$A$5:$A$1004,$T377)),IF(INDEX('AFA Rates'!$A$5:$A$1004,$T377)="","",INDEX('AFA Rates'!$A$5:$A$1004,$T377))))</f>
        <v/>
      </c>
      <c r="B377" s="79">
        <f>IF(OR($T377="",$U377=""),IF($T377="","","Not on Firms tab"),INDEX(Firms!$B$5:$B$1004,$U377)&amp;"")</f>
        <v/>
      </c>
      <c r="C377" s="78">
        <f>IF($T377="","",IF($S377="S","Standard",INDEX('AFA Rates'!$B$5:$B$1004,$T377)&amp;""))</f>
        <v/>
      </c>
      <c r="D377" s="88">
        <f>IF($T377="","",IF($S377="S",IF(INDEX(Firms!$E$5:$E$1004,$T377)="","",INDEX(Firms!$E$5:$E$1004,$T377)),IF(INDEX('AFA Rates'!$C$5:$C$1004,$T377)="","",INDEX('AFA Rates'!$C$5:$C$1004,$T377))))</f>
        <v/>
      </c>
      <c r="E377" s="88">
        <f>IF($T377="","",IF($S377="S",IF(""="","",""),IF(INDEX('AFA Rates'!$D$5:$D$1004,$T377)="","",INDEX('AFA Rates'!$D$5:$D$1004,$T377))))</f>
        <v/>
      </c>
      <c r="F377" s="79">
        <f>IF($T377="","",IF($S377="S",IF(INDEX(Firms!$O$5:$O$1004,$T377)="","",INDEX(Firms!$O$5:$O$1004,$T377)),IF(INDEX('AFA Rates'!$O$5:$O$1004,$T377)="","",INDEX('AFA Rates'!$O$5:$O$1004,$T377))))</f>
        <v/>
      </c>
      <c r="G377" s="50">
        <f>IF($T377="","",IF($S377="S",IF(INDEX(Firms!$F$5:$F$1004,$T377)="","",INDEX(Firms!$F$5:$F$1004,$T377)),IF(INDEX('AFA Rates'!$E$5:$E$1004,$T377)="","",INDEX('AFA Rates'!$E$5:$E$1004,$T377))))</f>
        <v/>
      </c>
      <c r="H377" s="50">
        <f>IF($T377="","",IF($S377="S",IF(INDEX(Firms!$G$5:$G$1004,$T377)="","",INDEX(Firms!$G$5:$G$1004,$T377)),IF(INDEX('AFA Rates'!$F$5:$F$1004,$T377)="","",INDEX('AFA Rates'!$F$5:$F$1004,$T377))))</f>
        <v/>
      </c>
      <c r="I377" s="50">
        <f>IF($T377="","",IF($S377="S",IF(INDEX(Firms!$H$5:$H$1004,$T377)="","",INDEX(Firms!$H$5:$H$1004,$T377)),IF(INDEX('AFA Rates'!$G$5:$G$1004,$T377)="","",INDEX('AFA Rates'!$G$5:$G$1004,$T377))))</f>
        <v/>
      </c>
      <c r="J377" s="50">
        <f>IF($T377="","",IF($S377="S",IF(INDEX(Firms!$I$5:$I$1004,$T377)="","",INDEX(Firms!$I$5:$I$1004,$T377)),IF(INDEX('AFA Rates'!$H$5:$H$1004,$T377)="","",INDEX('AFA Rates'!$H$5:$H$1004,$T377))))</f>
        <v/>
      </c>
      <c r="K377" s="50">
        <f>IF($T377="","",IF($S377="S",IF(INDEX(Firms!$J$5:$J$1004,$T377)="","",INDEX(Firms!$J$5:$J$1004,$T377)),IF(INDEX('AFA Rates'!$I$5:$I$1004,$T377)="","",INDEX('AFA Rates'!$I$5:$I$1004,$T377))))</f>
        <v/>
      </c>
      <c r="L377" s="50">
        <f>IF($T377="","",IF($S377="S",IF(INDEX(Firms!$K$5:$K$1004,$T377)="","",INDEX(Firms!$K$5:$K$1004,$T377)),IF(INDEX('AFA Rates'!$J$5:$J$1004,$T377)="","",INDEX('AFA Rates'!$J$5:$J$1004,$T377))))</f>
        <v/>
      </c>
      <c r="M377" s="50">
        <f>IF($T377="","",IF($S377="S",IF(INDEX(Firms!$L$5:$L$1004,$T377)="","",INDEX(Firms!$L$5:$L$1004,$T377)),IF(INDEX('AFA Rates'!$K$5:$K$1004,$T377)="","",INDEX('AFA Rates'!$K$5:$K$1004,$T377))))</f>
        <v/>
      </c>
      <c r="N377" s="50">
        <f>IF($T377="","",IF($S377="S",IF(INDEX(Firms!$M$5:$M$1004,$T377)="","",INDEX(Firms!$M$5:$M$1004,$T377)),IF(INDEX('AFA Rates'!$L$5:$L$1004,$T377)="","",INDEX('AFA Rates'!$L$5:$L$1004,$T377))))</f>
        <v/>
      </c>
      <c r="O377" s="78">
        <f>IF(OR($T377="",$U377=""),"",IF(INDEX(Firms!$C$5:$C$1004,$U377)="","",INDEX(Firms!$C$5:$C$1004,$U377)))</f>
        <v/>
      </c>
      <c r="P377" s="79">
        <f>IF(OR($T377="",$U377=""),"",IF(INDEX(Firms!$N$5:$N$1004,$U377)="","",INDEX(Firms!$N$5:$N$1004,$U377)))</f>
        <v/>
      </c>
      <c r="Q377" s="78">
        <f>IF($T377="","",IF($S377="S",IF(INDEX(Firms!$T$5:$T$1004,$T377)="","",INDEX(Firms!$T$5:$T$1004,$T377)),IF(INDEX('AFA Rates'!$M$5:$M$1004,$T377)="","",INDEX('AFA Rates'!$M$5:$M$1004,$T377))))</f>
        <v/>
      </c>
      <c r="S377">
        <f>IF(373&lt;=$S$2,"S",IF(373&lt;=$S$2+$T$2,"A",""))</f>
        <v/>
      </c>
      <c r="T377">
        <f>IF(S377="S",MATCH(373,Firms!$W$5:$W$1004,0),IF(S377="A",IFERROR(MATCH(373-$S$2,'AFA Rates'!$R$5:$R$1004,0),""),""))</f>
        <v/>
      </c>
      <c r="U377">
        <f>IF(S377="S",T377,IF(AND(S377="A",T377&lt;&gt;""),IFERROR(MATCH(INDEX('AFA Rates'!$A$5:$A$1004,T377),Firms!$A$5:$A$1004,0),""),""))</f>
        <v/>
      </c>
    </row>
    <row r="378">
      <c r="A378" s="78">
        <f>IF($T378="","",IF($S378="S",IF(INDEX(Firms!$A$5:$A$1004,$T378)="","",INDEX(Firms!$A$5:$A$1004,$T378)),IF(INDEX('AFA Rates'!$A$5:$A$1004,$T378)="","",INDEX('AFA Rates'!$A$5:$A$1004,$T378))))</f>
        <v/>
      </c>
      <c r="B378" s="79">
        <f>IF(OR($T378="",$U378=""),IF($T378="","","Not on Firms tab"),INDEX(Firms!$B$5:$B$1004,$U378)&amp;"")</f>
        <v/>
      </c>
      <c r="C378" s="78">
        <f>IF($T378="","",IF($S378="S","Standard",INDEX('AFA Rates'!$B$5:$B$1004,$T378)&amp;""))</f>
        <v/>
      </c>
      <c r="D378" s="88">
        <f>IF($T378="","",IF($S378="S",IF(INDEX(Firms!$E$5:$E$1004,$T378)="","",INDEX(Firms!$E$5:$E$1004,$T378)),IF(INDEX('AFA Rates'!$C$5:$C$1004,$T378)="","",INDEX('AFA Rates'!$C$5:$C$1004,$T378))))</f>
        <v/>
      </c>
      <c r="E378" s="88">
        <f>IF($T378="","",IF($S378="S",IF(""="","",""),IF(INDEX('AFA Rates'!$D$5:$D$1004,$T378)="","",INDEX('AFA Rates'!$D$5:$D$1004,$T378))))</f>
        <v/>
      </c>
      <c r="F378" s="79">
        <f>IF($T378="","",IF($S378="S",IF(INDEX(Firms!$O$5:$O$1004,$T378)="","",INDEX(Firms!$O$5:$O$1004,$T378)),IF(INDEX('AFA Rates'!$O$5:$O$1004,$T378)="","",INDEX('AFA Rates'!$O$5:$O$1004,$T378))))</f>
        <v/>
      </c>
      <c r="G378" s="50">
        <f>IF($T378="","",IF($S378="S",IF(INDEX(Firms!$F$5:$F$1004,$T378)="","",INDEX(Firms!$F$5:$F$1004,$T378)),IF(INDEX('AFA Rates'!$E$5:$E$1004,$T378)="","",INDEX('AFA Rates'!$E$5:$E$1004,$T378))))</f>
        <v/>
      </c>
      <c r="H378" s="50">
        <f>IF($T378="","",IF($S378="S",IF(INDEX(Firms!$G$5:$G$1004,$T378)="","",INDEX(Firms!$G$5:$G$1004,$T378)),IF(INDEX('AFA Rates'!$F$5:$F$1004,$T378)="","",INDEX('AFA Rates'!$F$5:$F$1004,$T378))))</f>
        <v/>
      </c>
      <c r="I378" s="50">
        <f>IF($T378="","",IF($S378="S",IF(INDEX(Firms!$H$5:$H$1004,$T378)="","",INDEX(Firms!$H$5:$H$1004,$T378)),IF(INDEX('AFA Rates'!$G$5:$G$1004,$T378)="","",INDEX('AFA Rates'!$G$5:$G$1004,$T378))))</f>
        <v/>
      </c>
      <c r="J378" s="50">
        <f>IF($T378="","",IF($S378="S",IF(INDEX(Firms!$I$5:$I$1004,$T378)="","",INDEX(Firms!$I$5:$I$1004,$T378)),IF(INDEX('AFA Rates'!$H$5:$H$1004,$T378)="","",INDEX('AFA Rates'!$H$5:$H$1004,$T378))))</f>
        <v/>
      </c>
      <c r="K378" s="50">
        <f>IF($T378="","",IF($S378="S",IF(INDEX(Firms!$J$5:$J$1004,$T378)="","",INDEX(Firms!$J$5:$J$1004,$T378)),IF(INDEX('AFA Rates'!$I$5:$I$1004,$T378)="","",INDEX('AFA Rates'!$I$5:$I$1004,$T378))))</f>
        <v/>
      </c>
      <c r="L378" s="50">
        <f>IF($T378="","",IF($S378="S",IF(INDEX(Firms!$K$5:$K$1004,$T378)="","",INDEX(Firms!$K$5:$K$1004,$T378)),IF(INDEX('AFA Rates'!$J$5:$J$1004,$T378)="","",INDEX('AFA Rates'!$J$5:$J$1004,$T378))))</f>
        <v/>
      </c>
      <c r="M378" s="50">
        <f>IF($T378="","",IF($S378="S",IF(INDEX(Firms!$L$5:$L$1004,$T378)="","",INDEX(Firms!$L$5:$L$1004,$T378)),IF(INDEX('AFA Rates'!$K$5:$K$1004,$T378)="","",INDEX('AFA Rates'!$K$5:$K$1004,$T378))))</f>
        <v/>
      </c>
      <c r="N378" s="50">
        <f>IF($T378="","",IF($S378="S",IF(INDEX(Firms!$M$5:$M$1004,$T378)="","",INDEX(Firms!$M$5:$M$1004,$T378)),IF(INDEX('AFA Rates'!$L$5:$L$1004,$T378)="","",INDEX('AFA Rates'!$L$5:$L$1004,$T378))))</f>
        <v/>
      </c>
      <c r="O378" s="78">
        <f>IF(OR($T378="",$U378=""),"",IF(INDEX(Firms!$C$5:$C$1004,$U378)="","",INDEX(Firms!$C$5:$C$1004,$U378)))</f>
        <v/>
      </c>
      <c r="P378" s="79">
        <f>IF(OR($T378="",$U378=""),"",IF(INDEX(Firms!$N$5:$N$1004,$U378)="","",INDEX(Firms!$N$5:$N$1004,$U378)))</f>
        <v/>
      </c>
      <c r="Q378" s="78">
        <f>IF($T378="","",IF($S378="S",IF(INDEX(Firms!$T$5:$T$1004,$T378)="","",INDEX(Firms!$T$5:$T$1004,$T378)),IF(INDEX('AFA Rates'!$M$5:$M$1004,$T378)="","",INDEX('AFA Rates'!$M$5:$M$1004,$T378))))</f>
        <v/>
      </c>
      <c r="S378">
        <f>IF(374&lt;=$S$2,"S",IF(374&lt;=$S$2+$T$2,"A",""))</f>
        <v/>
      </c>
      <c r="T378">
        <f>IF(S378="S",MATCH(374,Firms!$W$5:$W$1004,0),IF(S378="A",IFERROR(MATCH(374-$S$2,'AFA Rates'!$R$5:$R$1004,0),""),""))</f>
        <v/>
      </c>
      <c r="U378">
        <f>IF(S378="S",T378,IF(AND(S378="A",T378&lt;&gt;""),IFERROR(MATCH(INDEX('AFA Rates'!$A$5:$A$1004,T378),Firms!$A$5:$A$1004,0),""),""))</f>
        <v/>
      </c>
    </row>
    <row r="379">
      <c r="A379" s="78">
        <f>IF($T379="","",IF($S379="S",IF(INDEX(Firms!$A$5:$A$1004,$T379)="","",INDEX(Firms!$A$5:$A$1004,$T379)),IF(INDEX('AFA Rates'!$A$5:$A$1004,$T379)="","",INDEX('AFA Rates'!$A$5:$A$1004,$T379))))</f>
        <v/>
      </c>
      <c r="B379" s="79">
        <f>IF(OR($T379="",$U379=""),IF($T379="","","Not on Firms tab"),INDEX(Firms!$B$5:$B$1004,$U379)&amp;"")</f>
        <v/>
      </c>
      <c r="C379" s="78">
        <f>IF($T379="","",IF($S379="S","Standard",INDEX('AFA Rates'!$B$5:$B$1004,$T379)&amp;""))</f>
        <v/>
      </c>
      <c r="D379" s="88">
        <f>IF($T379="","",IF($S379="S",IF(INDEX(Firms!$E$5:$E$1004,$T379)="","",INDEX(Firms!$E$5:$E$1004,$T379)),IF(INDEX('AFA Rates'!$C$5:$C$1004,$T379)="","",INDEX('AFA Rates'!$C$5:$C$1004,$T379))))</f>
        <v/>
      </c>
      <c r="E379" s="88">
        <f>IF($T379="","",IF($S379="S",IF(""="","",""),IF(INDEX('AFA Rates'!$D$5:$D$1004,$T379)="","",INDEX('AFA Rates'!$D$5:$D$1004,$T379))))</f>
        <v/>
      </c>
      <c r="F379" s="79">
        <f>IF($T379="","",IF($S379="S",IF(INDEX(Firms!$O$5:$O$1004,$T379)="","",INDEX(Firms!$O$5:$O$1004,$T379)),IF(INDEX('AFA Rates'!$O$5:$O$1004,$T379)="","",INDEX('AFA Rates'!$O$5:$O$1004,$T379))))</f>
        <v/>
      </c>
      <c r="G379" s="50">
        <f>IF($T379="","",IF($S379="S",IF(INDEX(Firms!$F$5:$F$1004,$T379)="","",INDEX(Firms!$F$5:$F$1004,$T379)),IF(INDEX('AFA Rates'!$E$5:$E$1004,$T379)="","",INDEX('AFA Rates'!$E$5:$E$1004,$T379))))</f>
        <v/>
      </c>
      <c r="H379" s="50">
        <f>IF($T379="","",IF($S379="S",IF(INDEX(Firms!$G$5:$G$1004,$T379)="","",INDEX(Firms!$G$5:$G$1004,$T379)),IF(INDEX('AFA Rates'!$F$5:$F$1004,$T379)="","",INDEX('AFA Rates'!$F$5:$F$1004,$T379))))</f>
        <v/>
      </c>
      <c r="I379" s="50">
        <f>IF($T379="","",IF($S379="S",IF(INDEX(Firms!$H$5:$H$1004,$T379)="","",INDEX(Firms!$H$5:$H$1004,$T379)),IF(INDEX('AFA Rates'!$G$5:$G$1004,$T379)="","",INDEX('AFA Rates'!$G$5:$G$1004,$T379))))</f>
        <v/>
      </c>
      <c r="J379" s="50">
        <f>IF($T379="","",IF($S379="S",IF(INDEX(Firms!$I$5:$I$1004,$T379)="","",INDEX(Firms!$I$5:$I$1004,$T379)),IF(INDEX('AFA Rates'!$H$5:$H$1004,$T379)="","",INDEX('AFA Rates'!$H$5:$H$1004,$T379))))</f>
        <v/>
      </c>
      <c r="K379" s="50">
        <f>IF($T379="","",IF($S379="S",IF(INDEX(Firms!$J$5:$J$1004,$T379)="","",INDEX(Firms!$J$5:$J$1004,$T379)),IF(INDEX('AFA Rates'!$I$5:$I$1004,$T379)="","",INDEX('AFA Rates'!$I$5:$I$1004,$T379))))</f>
        <v/>
      </c>
      <c r="L379" s="50">
        <f>IF($T379="","",IF($S379="S",IF(INDEX(Firms!$K$5:$K$1004,$T379)="","",INDEX(Firms!$K$5:$K$1004,$T379)),IF(INDEX('AFA Rates'!$J$5:$J$1004,$T379)="","",INDEX('AFA Rates'!$J$5:$J$1004,$T379))))</f>
        <v/>
      </c>
      <c r="M379" s="50">
        <f>IF($T379="","",IF($S379="S",IF(INDEX(Firms!$L$5:$L$1004,$T379)="","",INDEX(Firms!$L$5:$L$1004,$T379)),IF(INDEX('AFA Rates'!$K$5:$K$1004,$T379)="","",INDEX('AFA Rates'!$K$5:$K$1004,$T379))))</f>
        <v/>
      </c>
      <c r="N379" s="50">
        <f>IF($T379="","",IF($S379="S",IF(INDEX(Firms!$M$5:$M$1004,$T379)="","",INDEX(Firms!$M$5:$M$1004,$T379)),IF(INDEX('AFA Rates'!$L$5:$L$1004,$T379)="","",INDEX('AFA Rates'!$L$5:$L$1004,$T379))))</f>
        <v/>
      </c>
      <c r="O379" s="78">
        <f>IF(OR($T379="",$U379=""),"",IF(INDEX(Firms!$C$5:$C$1004,$U379)="","",INDEX(Firms!$C$5:$C$1004,$U379)))</f>
        <v/>
      </c>
      <c r="P379" s="79">
        <f>IF(OR($T379="",$U379=""),"",IF(INDEX(Firms!$N$5:$N$1004,$U379)="","",INDEX(Firms!$N$5:$N$1004,$U379)))</f>
        <v/>
      </c>
      <c r="Q379" s="78">
        <f>IF($T379="","",IF($S379="S",IF(INDEX(Firms!$T$5:$T$1004,$T379)="","",INDEX(Firms!$T$5:$T$1004,$T379)),IF(INDEX('AFA Rates'!$M$5:$M$1004,$T379)="","",INDEX('AFA Rates'!$M$5:$M$1004,$T379))))</f>
        <v/>
      </c>
      <c r="S379">
        <f>IF(375&lt;=$S$2,"S",IF(375&lt;=$S$2+$T$2,"A",""))</f>
        <v/>
      </c>
      <c r="T379">
        <f>IF(S379="S",MATCH(375,Firms!$W$5:$W$1004,0),IF(S379="A",IFERROR(MATCH(375-$S$2,'AFA Rates'!$R$5:$R$1004,0),""),""))</f>
        <v/>
      </c>
      <c r="U379">
        <f>IF(S379="S",T379,IF(AND(S379="A",T379&lt;&gt;""),IFERROR(MATCH(INDEX('AFA Rates'!$A$5:$A$1004,T379),Firms!$A$5:$A$1004,0),""),""))</f>
        <v/>
      </c>
    </row>
    <row r="380">
      <c r="A380" s="78">
        <f>IF($T380="","",IF($S380="S",IF(INDEX(Firms!$A$5:$A$1004,$T380)="","",INDEX(Firms!$A$5:$A$1004,$T380)),IF(INDEX('AFA Rates'!$A$5:$A$1004,$T380)="","",INDEX('AFA Rates'!$A$5:$A$1004,$T380))))</f>
        <v/>
      </c>
      <c r="B380" s="79">
        <f>IF(OR($T380="",$U380=""),IF($T380="","","Not on Firms tab"),INDEX(Firms!$B$5:$B$1004,$U380)&amp;"")</f>
        <v/>
      </c>
      <c r="C380" s="78">
        <f>IF($T380="","",IF($S380="S","Standard",INDEX('AFA Rates'!$B$5:$B$1004,$T380)&amp;""))</f>
        <v/>
      </c>
      <c r="D380" s="88">
        <f>IF($T380="","",IF($S380="S",IF(INDEX(Firms!$E$5:$E$1004,$T380)="","",INDEX(Firms!$E$5:$E$1004,$T380)),IF(INDEX('AFA Rates'!$C$5:$C$1004,$T380)="","",INDEX('AFA Rates'!$C$5:$C$1004,$T380))))</f>
        <v/>
      </c>
      <c r="E380" s="88">
        <f>IF($T380="","",IF($S380="S",IF(""="","",""),IF(INDEX('AFA Rates'!$D$5:$D$1004,$T380)="","",INDEX('AFA Rates'!$D$5:$D$1004,$T380))))</f>
        <v/>
      </c>
      <c r="F380" s="79">
        <f>IF($T380="","",IF($S380="S",IF(INDEX(Firms!$O$5:$O$1004,$T380)="","",INDEX(Firms!$O$5:$O$1004,$T380)),IF(INDEX('AFA Rates'!$O$5:$O$1004,$T380)="","",INDEX('AFA Rates'!$O$5:$O$1004,$T380))))</f>
        <v/>
      </c>
      <c r="G380" s="50">
        <f>IF($T380="","",IF($S380="S",IF(INDEX(Firms!$F$5:$F$1004,$T380)="","",INDEX(Firms!$F$5:$F$1004,$T380)),IF(INDEX('AFA Rates'!$E$5:$E$1004,$T380)="","",INDEX('AFA Rates'!$E$5:$E$1004,$T380))))</f>
        <v/>
      </c>
      <c r="H380" s="50">
        <f>IF($T380="","",IF($S380="S",IF(INDEX(Firms!$G$5:$G$1004,$T380)="","",INDEX(Firms!$G$5:$G$1004,$T380)),IF(INDEX('AFA Rates'!$F$5:$F$1004,$T380)="","",INDEX('AFA Rates'!$F$5:$F$1004,$T380))))</f>
        <v/>
      </c>
      <c r="I380" s="50">
        <f>IF($T380="","",IF($S380="S",IF(INDEX(Firms!$H$5:$H$1004,$T380)="","",INDEX(Firms!$H$5:$H$1004,$T380)),IF(INDEX('AFA Rates'!$G$5:$G$1004,$T380)="","",INDEX('AFA Rates'!$G$5:$G$1004,$T380))))</f>
        <v/>
      </c>
      <c r="J380" s="50">
        <f>IF($T380="","",IF($S380="S",IF(INDEX(Firms!$I$5:$I$1004,$T380)="","",INDEX(Firms!$I$5:$I$1004,$T380)),IF(INDEX('AFA Rates'!$H$5:$H$1004,$T380)="","",INDEX('AFA Rates'!$H$5:$H$1004,$T380))))</f>
        <v/>
      </c>
      <c r="K380" s="50">
        <f>IF($T380="","",IF($S380="S",IF(INDEX(Firms!$J$5:$J$1004,$T380)="","",INDEX(Firms!$J$5:$J$1004,$T380)),IF(INDEX('AFA Rates'!$I$5:$I$1004,$T380)="","",INDEX('AFA Rates'!$I$5:$I$1004,$T380))))</f>
        <v/>
      </c>
      <c r="L380" s="50">
        <f>IF($T380="","",IF($S380="S",IF(INDEX(Firms!$K$5:$K$1004,$T380)="","",INDEX(Firms!$K$5:$K$1004,$T380)),IF(INDEX('AFA Rates'!$J$5:$J$1004,$T380)="","",INDEX('AFA Rates'!$J$5:$J$1004,$T380))))</f>
        <v/>
      </c>
      <c r="M380" s="50">
        <f>IF($T380="","",IF($S380="S",IF(INDEX(Firms!$L$5:$L$1004,$T380)="","",INDEX(Firms!$L$5:$L$1004,$T380)),IF(INDEX('AFA Rates'!$K$5:$K$1004,$T380)="","",INDEX('AFA Rates'!$K$5:$K$1004,$T380))))</f>
        <v/>
      </c>
      <c r="N380" s="50">
        <f>IF($T380="","",IF($S380="S",IF(INDEX(Firms!$M$5:$M$1004,$T380)="","",INDEX(Firms!$M$5:$M$1004,$T380)),IF(INDEX('AFA Rates'!$L$5:$L$1004,$T380)="","",INDEX('AFA Rates'!$L$5:$L$1004,$T380))))</f>
        <v/>
      </c>
      <c r="O380" s="78">
        <f>IF(OR($T380="",$U380=""),"",IF(INDEX(Firms!$C$5:$C$1004,$U380)="","",INDEX(Firms!$C$5:$C$1004,$U380)))</f>
        <v/>
      </c>
      <c r="P380" s="79">
        <f>IF(OR($T380="",$U380=""),"",IF(INDEX(Firms!$N$5:$N$1004,$U380)="","",INDEX(Firms!$N$5:$N$1004,$U380)))</f>
        <v/>
      </c>
      <c r="Q380" s="78">
        <f>IF($T380="","",IF($S380="S",IF(INDEX(Firms!$T$5:$T$1004,$T380)="","",INDEX(Firms!$T$5:$T$1004,$T380)),IF(INDEX('AFA Rates'!$M$5:$M$1004,$T380)="","",INDEX('AFA Rates'!$M$5:$M$1004,$T380))))</f>
        <v/>
      </c>
      <c r="S380">
        <f>IF(376&lt;=$S$2,"S",IF(376&lt;=$S$2+$T$2,"A",""))</f>
        <v/>
      </c>
      <c r="T380">
        <f>IF(S380="S",MATCH(376,Firms!$W$5:$W$1004,0),IF(S380="A",IFERROR(MATCH(376-$S$2,'AFA Rates'!$R$5:$R$1004,0),""),""))</f>
        <v/>
      </c>
      <c r="U380">
        <f>IF(S380="S",T380,IF(AND(S380="A",T380&lt;&gt;""),IFERROR(MATCH(INDEX('AFA Rates'!$A$5:$A$1004,T380),Firms!$A$5:$A$1004,0),""),""))</f>
        <v/>
      </c>
    </row>
    <row r="381">
      <c r="A381" s="78">
        <f>IF($T381="","",IF($S381="S",IF(INDEX(Firms!$A$5:$A$1004,$T381)="","",INDEX(Firms!$A$5:$A$1004,$T381)),IF(INDEX('AFA Rates'!$A$5:$A$1004,$T381)="","",INDEX('AFA Rates'!$A$5:$A$1004,$T381))))</f>
        <v/>
      </c>
      <c r="B381" s="79">
        <f>IF(OR($T381="",$U381=""),IF($T381="","","Not on Firms tab"),INDEX(Firms!$B$5:$B$1004,$U381)&amp;"")</f>
        <v/>
      </c>
      <c r="C381" s="78">
        <f>IF($T381="","",IF($S381="S","Standard",INDEX('AFA Rates'!$B$5:$B$1004,$T381)&amp;""))</f>
        <v/>
      </c>
      <c r="D381" s="88">
        <f>IF($T381="","",IF($S381="S",IF(INDEX(Firms!$E$5:$E$1004,$T381)="","",INDEX(Firms!$E$5:$E$1004,$T381)),IF(INDEX('AFA Rates'!$C$5:$C$1004,$T381)="","",INDEX('AFA Rates'!$C$5:$C$1004,$T381))))</f>
        <v/>
      </c>
      <c r="E381" s="88">
        <f>IF($T381="","",IF($S381="S",IF(""="","",""),IF(INDEX('AFA Rates'!$D$5:$D$1004,$T381)="","",INDEX('AFA Rates'!$D$5:$D$1004,$T381))))</f>
        <v/>
      </c>
      <c r="F381" s="79">
        <f>IF($T381="","",IF($S381="S",IF(INDEX(Firms!$O$5:$O$1004,$T381)="","",INDEX(Firms!$O$5:$O$1004,$T381)),IF(INDEX('AFA Rates'!$O$5:$O$1004,$T381)="","",INDEX('AFA Rates'!$O$5:$O$1004,$T381))))</f>
        <v/>
      </c>
      <c r="G381" s="50">
        <f>IF($T381="","",IF($S381="S",IF(INDEX(Firms!$F$5:$F$1004,$T381)="","",INDEX(Firms!$F$5:$F$1004,$T381)),IF(INDEX('AFA Rates'!$E$5:$E$1004,$T381)="","",INDEX('AFA Rates'!$E$5:$E$1004,$T381))))</f>
        <v/>
      </c>
      <c r="H381" s="50">
        <f>IF($T381="","",IF($S381="S",IF(INDEX(Firms!$G$5:$G$1004,$T381)="","",INDEX(Firms!$G$5:$G$1004,$T381)),IF(INDEX('AFA Rates'!$F$5:$F$1004,$T381)="","",INDEX('AFA Rates'!$F$5:$F$1004,$T381))))</f>
        <v/>
      </c>
      <c r="I381" s="50">
        <f>IF($T381="","",IF($S381="S",IF(INDEX(Firms!$H$5:$H$1004,$T381)="","",INDEX(Firms!$H$5:$H$1004,$T381)),IF(INDEX('AFA Rates'!$G$5:$G$1004,$T381)="","",INDEX('AFA Rates'!$G$5:$G$1004,$T381))))</f>
        <v/>
      </c>
      <c r="J381" s="50">
        <f>IF($T381="","",IF($S381="S",IF(INDEX(Firms!$I$5:$I$1004,$T381)="","",INDEX(Firms!$I$5:$I$1004,$T381)),IF(INDEX('AFA Rates'!$H$5:$H$1004,$T381)="","",INDEX('AFA Rates'!$H$5:$H$1004,$T381))))</f>
        <v/>
      </c>
      <c r="K381" s="50">
        <f>IF($T381="","",IF($S381="S",IF(INDEX(Firms!$J$5:$J$1004,$T381)="","",INDEX(Firms!$J$5:$J$1004,$T381)),IF(INDEX('AFA Rates'!$I$5:$I$1004,$T381)="","",INDEX('AFA Rates'!$I$5:$I$1004,$T381))))</f>
        <v/>
      </c>
      <c r="L381" s="50">
        <f>IF($T381="","",IF($S381="S",IF(INDEX(Firms!$K$5:$K$1004,$T381)="","",INDEX(Firms!$K$5:$K$1004,$T381)),IF(INDEX('AFA Rates'!$J$5:$J$1004,$T381)="","",INDEX('AFA Rates'!$J$5:$J$1004,$T381))))</f>
        <v/>
      </c>
      <c r="M381" s="50">
        <f>IF($T381="","",IF($S381="S",IF(INDEX(Firms!$L$5:$L$1004,$T381)="","",INDEX(Firms!$L$5:$L$1004,$T381)),IF(INDEX('AFA Rates'!$K$5:$K$1004,$T381)="","",INDEX('AFA Rates'!$K$5:$K$1004,$T381))))</f>
        <v/>
      </c>
      <c r="N381" s="50">
        <f>IF($T381="","",IF($S381="S",IF(INDEX(Firms!$M$5:$M$1004,$T381)="","",INDEX(Firms!$M$5:$M$1004,$T381)),IF(INDEX('AFA Rates'!$L$5:$L$1004,$T381)="","",INDEX('AFA Rates'!$L$5:$L$1004,$T381))))</f>
        <v/>
      </c>
      <c r="O381" s="78">
        <f>IF(OR($T381="",$U381=""),"",IF(INDEX(Firms!$C$5:$C$1004,$U381)="","",INDEX(Firms!$C$5:$C$1004,$U381)))</f>
        <v/>
      </c>
      <c r="P381" s="79">
        <f>IF(OR($T381="",$U381=""),"",IF(INDEX(Firms!$N$5:$N$1004,$U381)="","",INDEX(Firms!$N$5:$N$1004,$U381)))</f>
        <v/>
      </c>
      <c r="Q381" s="78">
        <f>IF($T381="","",IF($S381="S",IF(INDEX(Firms!$T$5:$T$1004,$T381)="","",INDEX(Firms!$T$5:$T$1004,$T381)),IF(INDEX('AFA Rates'!$M$5:$M$1004,$T381)="","",INDEX('AFA Rates'!$M$5:$M$1004,$T381))))</f>
        <v/>
      </c>
      <c r="S381">
        <f>IF(377&lt;=$S$2,"S",IF(377&lt;=$S$2+$T$2,"A",""))</f>
        <v/>
      </c>
      <c r="T381">
        <f>IF(S381="S",MATCH(377,Firms!$W$5:$W$1004,0),IF(S381="A",IFERROR(MATCH(377-$S$2,'AFA Rates'!$R$5:$R$1004,0),""),""))</f>
        <v/>
      </c>
      <c r="U381">
        <f>IF(S381="S",T381,IF(AND(S381="A",T381&lt;&gt;""),IFERROR(MATCH(INDEX('AFA Rates'!$A$5:$A$1004,T381),Firms!$A$5:$A$1004,0),""),""))</f>
        <v/>
      </c>
    </row>
    <row r="382">
      <c r="A382" s="78">
        <f>IF($T382="","",IF($S382="S",IF(INDEX(Firms!$A$5:$A$1004,$T382)="","",INDEX(Firms!$A$5:$A$1004,$T382)),IF(INDEX('AFA Rates'!$A$5:$A$1004,$T382)="","",INDEX('AFA Rates'!$A$5:$A$1004,$T382))))</f>
        <v/>
      </c>
      <c r="B382" s="79">
        <f>IF(OR($T382="",$U382=""),IF($T382="","","Not on Firms tab"),INDEX(Firms!$B$5:$B$1004,$U382)&amp;"")</f>
        <v/>
      </c>
      <c r="C382" s="78">
        <f>IF($T382="","",IF($S382="S","Standard",INDEX('AFA Rates'!$B$5:$B$1004,$T382)&amp;""))</f>
        <v/>
      </c>
      <c r="D382" s="88">
        <f>IF($T382="","",IF($S382="S",IF(INDEX(Firms!$E$5:$E$1004,$T382)="","",INDEX(Firms!$E$5:$E$1004,$T382)),IF(INDEX('AFA Rates'!$C$5:$C$1004,$T382)="","",INDEX('AFA Rates'!$C$5:$C$1004,$T382))))</f>
        <v/>
      </c>
      <c r="E382" s="88">
        <f>IF($T382="","",IF($S382="S",IF(""="","",""),IF(INDEX('AFA Rates'!$D$5:$D$1004,$T382)="","",INDEX('AFA Rates'!$D$5:$D$1004,$T382))))</f>
        <v/>
      </c>
      <c r="F382" s="79">
        <f>IF($T382="","",IF($S382="S",IF(INDEX(Firms!$O$5:$O$1004,$T382)="","",INDEX(Firms!$O$5:$O$1004,$T382)),IF(INDEX('AFA Rates'!$O$5:$O$1004,$T382)="","",INDEX('AFA Rates'!$O$5:$O$1004,$T382))))</f>
        <v/>
      </c>
      <c r="G382" s="50">
        <f>IF($T382="","",IF($S382="S",IF(INDEX(Firms!$F$5:$F$1004,$T382)="","",INDEX(Firms!$F$5:$F$1004,$T382)),IF(INDEX('AFA Rates'!$E$5:$E$1004,$T382)="","",INDEX('AFA Rates'!$E$5:$E$1004,$T382))))</f>
        <v/>
      </c>
      <c r="H382" s="50">
        <f>IF($T382="","",IF($S382="S",IF(INDEX(Firms!$G$5:$G$1004,$T382)="","",INDEX(Firms!$G$5:$G$1004,$T382)),IF(INDEX('AFA Rates'!$F$5:$F$1004,$T382)="","",INDEX('AFA Rates'!$F$5:$F$1004,$T382))))</f>
        <v/>
      </c>
      <c r="I382" s="50">
        <f>IF($T382="","",IF($S382="S",IF(INDEX(Firms!$H$5:$H$1004,$T382)="","",INDEX(Firms!$H$5:$H$1004,$T382)),IF(INDEX('AFA Rates'!$G$5:$G$1004,$T382)="","",INDEX('AFA Rates'!$G$5:$G$1004,$T382))))</f>
        <v/>
      </c>
      <c r="J382" s="50">
        <f>IF($T382="","",IF($S382="S",IF(INDEX(Firms!$I$5:$I$1004,$T382)="","",INDEX(Firms!$I$5:$I$1004,$T382)),IF(INDEX('AFA Rates'!$H$5:$H$1004,$T382)="","",INDEX('AFA Rates'!$H$5:$H$1004,$T382))))</f>
        <v/>
      </c>
      <c r="K382" s="50">
        <f>IF($T382="","",IF($S382="S",IF(INDEX(Firms!$J$5:$J$1004,$T382)="","",INDEX(Firms!$J$5:$J$1004,$T382)),IF(INDEX('AFA Rates'!$I$5:$I$1004,$T382)="","",INDEX('AFA Rates'!$I$5:$I$1004,$T382))))</f>
        <v/>
      </c>
      <c r="L382" s="50">
        <f>IF($T382="","",IF($S382="S",IF(INDEX(Firms!$K$5:$K$1004,$T382)="","",INDEX(Firms!$K$5:$K$1004,$T382)),IF(INDEX('AFA Rates'!$J$5:$J$1004,$T382)="","",INDEX('AFA Rates'!$J$5:$J$1004,$T382))))</f>
        <v/>
      </c>
      <c r="M382" s="50">
        <f>IF($T382="","",IF($S382="S",IF(INDEX(Firms!$L$5:$L$1004,$T382)="","",INDEX(Firms!$L$5:$L$1004,$T382)),IF(INDEX('AFA Rates'!$K$5:$K$1004,$T382)="","",INDEX('AFA Rates'!$K$5:$K$1004,$T382))))</f>
        <v/>
      </c>
      <c r="N382" s="50">
        <f>IF($T382="","",IF($S382="S",IF(INDEX(Firms!$M$5:$M$1004,$T382)="","",INDEX(Firms!$M$5:$M$1004,$T382)),IF(INDEX('AFA Rates'!$L$5:$L$1004,$T382)="","",INDEX('AFA Rates'!$L$5:$L$1004,$T382))))</f>
        <v/>
      </c>
      <c r="O382" s="78">
        <f>IF(OR($T382="",$U382=""),"",IF(INDEX(Firms!$C$5:$C$1004,$U382)="","",INDEX(Firms!$C$5:$C$1004,$U382)))</f>
        <v/>
      </c>
      <c r="P382" s="79">
        <f>IF(OR($T382="",$U382=""),"",IF(INDEX(Firms!$N$5:$N$1004,$U382)="","",INDEX(Firms!$N$5:$N$1004,$U382)))</f>
        <v/>
      </c>
      <c r="Q382" s="78">
        <f>IF($T382="","",IF($S382="S",IF(INDEX(Firms!$T$5:$T$1004,$T382)="","",INDEX(Firms!$T$5:$T$1004,$T382)),IF(INDEX('AFA Rates'!$M$5:$M$1004,$T382)="","",INDEX('AFA Rates'!$M$5:$M$1004,$T382))))</f>
        <v/>
      </c>
      <c r="S382">
        <f>IF(378&lt;=$S$2,"S",IF(378&lt;=$S$2+$T$2,"A",""))</f>
        <v/>
      </c>
      <c r="T382">
        <f>IF(S382="S",MATCH(378,Firms!$W$5:$W$1004,0),IF(S382="A",IFERROR(MATCH(378-$S$2,'AFA Rates'!$R$5:$R$1004,0),""),""))</f>
        <v/>
      </c>
      <c r="U382">
        <f>IF(S382="S",T382,IF(AND(S382="A",T382&lt;&gt;""),IFERROR(MATCH(INDEX('AFA Rates'!$A$5:$A$1004,T382),Firms!$A$5:$A$1004,0),""),""))</f>
        <v/>
      </c>
    </row>
    <row r="383">
      <c r="A383" s="78">
        <f>IF($T383="","",IF($S383="S",IF(INDEX(Firms!$A$5:$A$1004,$T383)="","",INDEX(Firms!$A$5:$A$1004,$T383)),IF(INDEX('AFA Rates'!$A$5:$A$1004,$T383)="","",INDEX('AFA Rates'!$A$5:$A$1004,$T383))))</f>
        <v/>
      </c>
      <c r="B383" s="79">
        <f>IF(OR($T383="",$U383=""),IF($T383="","","Not on Firms tab"),INDEX(Firms!$B$5:$B$1004,$U383)&amp;"")</f>
        <v/>
      </c>
      <c r="C383" s="78">
        <f>IF($T383="","",IF($S383="S","Standard",INDEX('AFA Rates'!$B$5:$B$1004,$T383)&amp;""))</f>
        <v/>
      </c>
      <c r="D383" s="88">
        <f>IF($T383="","",IF($S383="S",IF(INDEX(Firms!$E$5:$E$1004,$T383)="","",INDEX(Firms!$E$5:$E$1004,$T383)),IF(INDEX('AFA Rates'!$C$5:$C$1004,$T383)="","",INDEX('AFA Rates'!$C$5:$C$1004,$T383))))</f>
        <v/>
      </c>
      <c r="E383" s="88">
        <f>IF($T383="","",IF($S383="S",IF(""="","",""),IF(INDEX('AFA Rates'!$D$5:$D$1004,$T383)="","",INDEX('AFA Rates'!$D$5:$D$1004,$T383))))</f>
        <v/>
      </c>
      <c r="F383" s="79">
        <f>IF($T383="","",IF($S383="S",IF(INDEX(Firms!$O$5:$O$1004,$T383)="","",INDEX(Firms!$O$5:$O$1004,$T383)),IF(INDEX('AFA Rates'!$O$5:$O$1004,$T383)="","",INDEX('AFA Rates'!$O$5:$O$1004,$T383))))</f>
        <v/>
      </c>
      <c r="G383" s="50">
        <f>IF($T383="","",IF($S383="S",IF(INDEX(Firms!$F$5:$F$1004,$T383)="","",INDEX(Firms!$F$5:$F$1004,$T383)),IF(INDEX('AFA Rates'!$E$5:$E$1004,$T383)="","",INDEX('AFA Rates'!$E$5:$E$1004,$T383))))</f>
        <v/>
      </c>
      <c r="H383" s="50">
        <f>IF($T383="","",IF($S383="S",IF(INDEX(Firms!$G$5:$G$1004,$T383)="","",INDEX(Firms!$G$5:$G$1004,$T383)),IF(INDEX('AFA Rates'!$F$5:$F$1004,$T383)="","",INDEX('AFA Rates'!$F$5:$F$1004,$T383))))</f>
        <v/>
      </c>
      <c r="I383" s="50">
        <f>IF($T383="","",IF($S383="S",IF(INDEX(Firms!$H$5:$H$1004,$T383)="","",INDEX(Firms!$H$5:$H$1004,$T383)),IF(INDEX('AFA Rates'!$G$5:$G$1004,$T383)="","",INDEX('AFA Rates'!$G$5:$G$1004,$T383))))</f>
        <v/>
      </c>
      <c r="J383" s="50">
        <f>IF($T383="","",IF($S383="S",IF(INDEX(Firms!$I$5:$I$1004,$T383)="","",INDEX(Firms!$I$5:$I$1004,$T383)),IF(INDEX('AFA Rates'!$H$5:$H$1004,$T383)="","",INDEX('AFA Rates'!$H$5:$H$1004,$T383))))</f>
        <v/>
      </c>
      <c r="K383" s="50">
        <f>IF($T383="","",IF($S383="S",IF(INDEX(Firms!$J$5:$J$1004,$T383)="","",INDEX(Firms!$J$5:$J$1004,$T383)),IF(INDEX('AFA Rates'!$I$5:$I$1004,$T383)="","",INDEX('AFA Rates'!$I$5:$I$1004,$T383))))</f>
        <v/>
      </c>
      <c r="L383" s="50">
        <f>IF($T383="","",IF($S383="S",IF(INDEX(Firms!$K$5:$K$1004,$T383)="","",INDEX(Firms!$K$5:$K$1004,$T383)),IF(INDEX('AFA Rates'!$J$5:$J$1004,$T383)="","",INDEX('AFA Rates'!$J$5:$J$1004,$T383))))</f>
        <v/>
      </c>
      <c r="M383" s="50">
        <f>IF($T383="","",IF($S383="S",IF(INDEX(Firms!$L$5:$L$1004,$T383)="","",INDEX(Firms!$L$5:$L$1004,$T383)),IF(INDEX('AFA Rates'!$K$5:$K$1004,$T383)="","",INDEX('AFA Rates'!$K$5:$K$1004,$T383))))</f>
        <v/>
      </c>
      <c r="N383" s="50">
        <f>IF($T383="","",IF($S383="S",IF(INDEX(Firms!$M$5:$M$1004,$T383)="","",INDEX(Firms!$M$5:$M$1004,$T383)),IF(INDEX('AFA Rates'!$L$5:$L$1004,$T383)="","",INDEX('AFA Rates'!$L$5:$L$1004,$T383))))</f>
        <v/>
      </c>
      <c r="O383" s="78">
        <f>IF(OR($T383="",$U383=""),"",IF(INDEX(Firms!$C$5:$C$1004,$U383)="","",INDEX(Firms!$C$5:$C$1004,$U383)))</f>
        <v/>
      </c>
      <c r="P383" s="79">
        <f>IF(OR($T383="",$U383=""),"",IF(INDEX(Firms!$N$5:$N$1004,$U383)="","",INDEX(Firms!$N$5:$N$1004,$U383)))</f>
        <v/>
      </c>
      <c r="Q383" s="78">
        <f>IF($T383="","",IF($S383="S",IF(INDEX(Firms!$T$5:$T$1004,$T383)="","",INDEX(Firms!$T$5:$T$1004,$T383)),IF(INDEX('AFA Rates'!$M$5:$M$1004,$T383)="","",INDEX('AFA Rates'!$M$5:$M$1004,$T383))))</f>
        <v/>
      </c>
      <c r="S383">
        <f>IF(379&lt;=$S$2,"S",IF(379&lt;=$S$2+$T$2,"A",""))</f>
        <v/>
      </c>
      <c r="T383">
        <f>IF(S383="S",MATCH(379,Firms!$W$5:$W$1004,0),IF(S383="A",IFERROR(MATCH(379-$S$2,'AFA Rates'!$R$5:$R$1004,0),""),""))</f>
        <v/>
      </c>
      <c r="U383">
        <f>IF(S383="S",T383,IF(AND(S383="A",T383&lt;&gt;""),IFERROR(MATCH(INDEX('AFA Rates'!$A$5:$A$1004,T383),Firms!$A$5:$A$1004,0),""),""))</f>
        <v/>
      </c>
    </row>
    <row r="384">
      <c r="A384" s="78">
        <f>IF($T384="","",IF($S384="S",IF(INDEX(Firms!$A$5:$A$1004,$T384)="","",INDEX(Firms!$A$5:$A$1004,$T384)),IF(INDEX('AFA Rates'!$A$5:$A$1004,$T384)="","",INDEX('AFA Rates'!$A$5:$A$1004,$T384))))</f>
        <v/>
      </c>
      <c r="B384" s="79">
        <f>IF(OR($T384="",$U384=""),IF($T384="","","Not on Firms tab"),INDEX(Firms!$B$5:$B$1004,$U384)&amp;"")</f>
        <v/>
      </c>
      <c r="C384" s="78">
        <f>IF($T384="","",IF($S384="S","Standard",INDEX('AFA Rates'!$B$5:$B$1004,$T384)&amp;""))</f>
        <v/>
      </c>
      <c r="D384" s="88">
        <f>IF($T384="","",IF($S384="S",IF(INDEX(Firms!$E$5:$E$1004,$T384)="","",INDEX(Firms!$E$5:$E$1004,$T384)),IF(INDEX('AFA Rates'!$C$5:$C$1004,$T384)="","",INDEX('AFA Rates'!$C$5:$C$1004,$T384))))</f>
        <v/>
      </c>
      <c r="E384" s="88">
        <f>IF($T384="","",IF($S384="S",IF(""="","",""),IF(INDEX('AFA Rates'!$D$5:$D$1004,$T384)="","",INDEX('AFA Rates'!$D$5:$D$1004,$T384))))</f>
        <v/>
      </c>
      <c r="F384" s="79">
        <f>IF($T384="","",IF($S384="S",IF(INDEX(Firms!$O$5:$O$1004,$T384)="","",INDEX(Firms!$O$5:$O$1004,$T384)),IF(INDEX('AFA Rates'!$O$5:$O$1004,$T384)="","",INDEX('AFA Rates'!$O$5:$O$1004,$T384))))</f>
        <v/>
      </c>
      <c r="G384" s="50">
        <f>IF($T384="","",IF($S384="S",IF(INDEX(Firms!$F$5:$F$1004,$T384)="","",INDEX(Firms!$F$5:$F$1004,$T384)),IF(INDEX('AFA Rates'!$E$5:$E$1004,$T384)="","",INDEX('AFA Rates'!$E$5:$E$1004,$T384))))</f>
        <v/>
      </c>
      <c r="H384" s="50">
        <f>IF($T384="","",IF($S384="S",IF(INDEX(Firms!$G$5:$G$1004,$T384)="","",INDEX(Firms!$G$5:$G$1004,$T384)),IF(INDEX('AFA Rates'!$F$5:$F$1004,$T384)="","",INDEX('AFA Rates'!$F$5:$F$1004,$T384))))</f>
        <v/>
      </c>
      <c r="I384" s="50">
        <f>IF($T384="","",IF($S384="S",IF(INDEX(Firms!$H$5:$H$1004,$T384)="","",INDEX(Firms!$H$5:$H$1004,$T384)),IF(INDEX('AFA Rates'!$G$5:$G$1004,$T384)="","",INDEX('AFA Rates'!$G$5:$G$1004,$T384))))</f>
        <v/>
      </c>
      <c r="J384" s="50">
        <f>IF($T384="","",IF($S384="S",IF(INDEX(Firms!$I$5:$I$1004,$T384)="","",INDEX(Firms!$I$5:$I$1004,$T384)),IF(INDEX('AFA Rates'!$H$5:$H$1004,$T384)="","",INDEX('AFA Rates'!$H$5:$H$1004,$T384))))</f>
        <v/>
      </c>
      <c r="K384" s="50">
        <f>IF($T384="","",IF($S384="S",IF(INDEX(Firms!$J$5:$J$1004,$T384)="","",INDEX(Firms!$J$5:$J$1004,$T384)),IF(INDEX('AFA Rates'!$I$5:$I$1004,$T384)="","",INDEX('AFA Rates'!$I$5:$I$1004,$T384))))</f>
        <v/>
      </c>
      <c r="L384" s="50">
        <f>IF($T384="","",IF($S384="S",IF(INDEX(Firms!$K$5:$K$1004,$T384)="","",INDEX(Firms!$K$5:$K$1004,$T384)),IF(INDEX('AFA Rates'!$J$5:$J$1004,$T384)="","",INDEX('AFA Rates'!$J$5:$J$1004,$T384))))</f>
        <v/>
      </c>
      <c r="M384" s="50">
        <f>IF($T384="","",IF($S384="S",IF(INDEX(Firms!$L$5:$L$1004,$T384)="","",INDEX(Firms!$L$5:$L$1004,$T384)),IF(INDEX('AFA Rates'!$K$5:$K$1004,$T384)="","",INDEX('AFA Rates'!$K$5:$K$1004,$T384))))</f>
        <v/>
      </c>
      <c r="N384" s="50">
        <f>IF($T384="","",IF($S384="S",IF(INDEX(Firms!$M$5:$M$1004,$T384)="","",INDEX(Firms!$M$5:$M$1004,$T384)),IF(INDEX('AFA Rates'!$L$5:$L$1004,$T384)="","",INDEX('AFA Rates'!$L$5:$L$1004,$T384))))</f>
        <v/>
      </c>
      <c r="O384" s="78">
        <f>IF(OR($T384="",$U384=""),"",IF(INDEX(Firms!$C$5:$C$1004,$U384)="","",INDEX(Firms!$C$5:$C$1004,$U384)))</f>
        <v/>
      </c>
      <c r="P384" s="79">
        <f>IF(OR($T384="",$U384=""),"",IF(INDEX(Firms!$N$5:$N$1004,$U384)="","",INDEX(Firms!$N$5:$N$1004,$U384)))</f>
        <v/>
      </c>
      <c r="Q384" s="78">
        <f>IF($T384="","",IF($S384="S",IF(INDEX(Firms!$T$5:$T$1004,$T384)="","",INDEX(Firms!$T$5:$T$1004,$T384)),IF(INDEX('AFA Rates'!$M$5:$M$1004,$T384)="","",INDEX('AFA Rates'!$M$5:$M$1004,$T384))))</f>
        <v/>
      </c>
      <c r="S384">
        <f>IF(380&lt;=$S$2,"S",IF(380&lt;=$S$2+$T$2,"A",""))</f>
        <v/>
      </c>
      <c r="T384">
        <f>IF(S384="S",MATCH(380,Firms!$W$5:$W$1004,0),IF(S384="A",IFERROR(MATCH(380-$S$2,'AFA Rates'!$R$5:$R$1004,0),""),""))</f>
        <v/>
      </c>
      <c r="U384">
        <f>IF(S384="S",T384,IF(AND(S384="A",T384&lt;&gt;""),IFERROR(MATCH(INDEX('AFA Rates'!$A$5:$A$1004,T384),Firms!$A$5:$A$1004,0),""),""))</f>
        <v/>
      </c>
    </row>
    <row r="385">
      <c r="A385" s="78">
        <f>IF($T385="","",IF($S385="S",IF(INDEX(Firms!$A$5:$A$1004,$T385)="","",INDEX(Firms!$A$5:$A$1004,$T385)),IF(INDEX('AFA Rates'!$A$5:$A$1004,$T385)="","",INDEX('AFA Rates'!$A$5:$A$1004,$T385))))</f>
        <v/>
      </c>
      <c r="B385" s="79">
        <f>IF(OR($T385="",$U385=""),IF($T385="","","Not on Firms tab"),INDEX(Firms!$B$5:$B$1004,$U385)&amp;"")</f>
        <v/>
      </c>
      <c r="C385" s="78">
        <f>IF($T385="","",IF($S385="S","Standard",INDEX('AFA Rates'!$B$5:$B$1004,$T385)&amp;""))</f>
        <v/>
      </c>
      <c r="D385" s="88">
        <f>IF($T385="","",IF($S385="S",IF(INDEX(Firms!$E$5:$E$1004,$T385)="","",INDEX(Firms!$E$5:$E$1004,$T385)),IF(INDEX('AFA Rates'!$C$5:$C$1004,$T385)="","",INDEX('AFA Rates'!$C$5:$C$1004,$T385))))</f>
        <v/>
      </c>
      <c r="E385" s="88">
        <f>IF($T385="","",IF($S385="S",IF(""="","",""),IF(INDEX('AFA Rates'!$D$5:$D$1004,$T385)="","",INDEX('AFA Rates'!$D$5:$D$1004,$T385))))</f>
        <v/>
      </c>
      <c r="F385" s="79">
        <f>IF($T385="","",IF($S385="S",IF(INDEX(Firms!$O$5:$O$1004,$T385)="","",INDEX(Firms!$O$5:$O$1004,$T385)),IF(INDEX('AFA Rates'!$O$5:$O$1004,$T385)="","",INDEX('AFA Rates'!$O$5:$O$1004,$T385))))</f>
        <v/>
      </c>
      <c r="G385" s="50">
        <f>IF($T385="","",IF($S385="S",IF(INDEX(Firms!$F$5:$F$1004,$T385)="","",INDEX(Firms!$F$5:$F$1004,$T385)),IF(INDEX('AFA Rates'!$E$5:$E$1004,$T385)="","",INDEX('AFA Rates'!$E$5:$E$1004,$T385))))</f>
        <v/>
      </c>
      <c r="H385" s="50">
        <f>IF($T385="","",IF($S385="S",IF(INDEX(Firms!$G$5:$G$1004,$T385)="","",INDEX(Firms!$G$5:$G$1004,$T385)),IF(INDEX('AFA Rates'!$F$5:$F$1004,$T385)="","",INDEX('AFA Rates'!$F$5:$F$1004,$T385))))</f>
        <v/>
      </c>
      <c r="I385" s="50">
        <f>IF($T385="","",IF($S385="S",IF(INDEX(Firms!$H$5:$H$1004,$T385)="","",INDEX(Firms!$H$5:$H$1004,$T385)),IF(INDEX('AFA Rates'!$G$5:$G$1004,$T385)="","",INDEX('AFA Rates'!$G$5:$G$1004,$T385))))</f>
        <v/>
      </c>
      <c r="J385" s="50">
        <f>IF($T385="","",IF($S385="S",IF(INDEX(Firms!$I$5:$I$1004,$T385)="","",INDEX(Firms!$I$5:$I$1004,$T385)),IF(INDEX('AFA Rates'!$H$5:$H$1004,$T385)="","",INDEX('AFA Rates'!$H$5:$H$1004,$T385))))</f>
        <v/>
      </c>
      <c r="K385" s="50">
        <f>IF($T385="","",IF($S385="S",IF(INDEX(Firms!$J$5:$J$1004,$T385)="","",INDEX(Firms!$J$5:$J$1004,$T385)),IF(INDEX('AFA Rates'!$I$5:$I$1004,$T385)="","",INDEX('AFA Rates'!$I$5:$I$1004,$T385))))</f>
        <v/>
      </c>
      <c r="L385" s="50">
        <f>IF($T385="","",IF($S385="S",IF(INDEX(Firms!$K$5:$K$1004,$T385)="","",INDEX(Firms!$K$5:$K$1004,$T385)),IF(INDEX('AFA Rates'!$J$5:$J$1004,$T385)="","",INDEX('AFA Rates'!$J$5:$J$1004,$T385))))</f>
        <v/>
      </c>
      <c r="M385" s="50">
        <f>IF($T385="","",IF($S385="S",IF(INDEX(Firms!$L$5:$L$1004,$T385)="","",INDEX(Firms!$L$5:$L$1004,$T385)),IF(INDEX('AFA Rates'!$K$5:$K$1004,$T385)="","",INDEX('AFA Rates'!$K$5:$K$1004,$T385))))</f>
        <v/>
      </c>
      <c r="N385" s="50">
        <f>IF($T385="","",IF($S385="S",IF(INDEX(Firms!$M$5:$M$1004,$T385)="","",INDEX(Firms!$M$5:$M$1004,$T385)),IF(INDEX('AFA Rates'!$L$5:$L$1004,$T385)="","",INDEX('AFA Rates'!$L$5:$L$1004,$T385))))</f>
        <v/>
      </c>
      <c r="O385" s="78">
        <f>IF(OR($T385="",$U385=""),"",IF(INDEX(Firms!$C$5:$C$1004,$U385)="","",INDEX(Firms!$C$5:$C$1004,$U385)))</f>
        <v/>
      </c>
      <c r="P385" s="79">
        <f>IF(OR($T385="",$U385=""),"",IF(INDEX(Firms!$N$5:$N$1004,$U385)="","",INDEX(Firms!$N$5:$N$1004,$U385)))</f>
        <v/>
      </c>
      <c r="Q385" s="78">
        <f>IF($T385="","",IF($S385="S",IF(INDEX(Firms!$T$5:$T$1004,$T385)="","",INDEX(Firms!$T$5:$T$1004,$T385)),IF(INDEX('AFA Rates'!$M$5:$M$1004,$T385)="","",INDEX('AFA Rates'!$M$5:$M$1004,$T385))))</f>
        <v/>
      </c>
      <c r="S385">
        <f>IF(381&lt;=$S$2,"S",IF(381&lt;=$S$2+$T$2,"A",""))</f>
        <v/>
      </c>
      <c r="T385">
        <f>IF(S385="S",MATCH(381,Firms!$W$5:$W$1004,0),IF(S385="A",IFERROR(MATCH(381-$S$2,'AFA Rates'!$R$5:$R$1004,0),""),""))</f>
        <v/>
      </c>
      <c r="U385">
        <f>IF(S385="S",T385,IF(AND(S385="A",T385&lt;&gt;""),IFERROR(MATCH(INDEX('AFA Rates'!$A$5:$A$1004,T385),Firms!$A$5:$A$1004,0),""),""))</f>
        <v/>
      </c>
    </row>
    <row r="386">
      <c r="A386" s="78">
        <f>IF($T386="","",IF($S386="S",IF(INDEX(Firms!$A$5:$A$1004,$T386)="","",INDEX(Firms!$A$5:$A$1004,$T386)),IF(INDEX('AFA Rates'!$A$5:$A$1004,$T386)="","",INDEX('AFA Rates'!$A$5:$A$1004,$T386))))</f>
        <v/>
      </c>
      <c r="B386" s="79">
        <f>IF(OR($T386="",$U386=""),IF($T386="","","Not on Firms tab"),INDEX(Firms!$B$5:$B$1004,$U386)&amp;"")</f>
        <v/>
      </c>
      <c r="C386" s="78">
        <f>IF($T386="","",IF($S386="S","Standard",INDEX('AFA Rates'!$B$5:$B$1004,$T386)&amp;""))</f>
        <v/>
      </c>
      <c r="D386" s="88">
        <f>IF($T386="","",IF($S386="S",IF(INDEX(Firms!$E$5:$E$1004,$T386)="","",INDEX(Firms!$E$5:$E$1004,$T386)),IF(INDEX('AFA Rates'!$C$5:$C$1004,$T386)="","",INDEX('AFA Rates'!$C$5:$C$1004,$T386))))</f>
        <v/>
      </c>
      <c r="E386" s="88">
        <f>IF($T386="","",IF($S386="S",IF(""="","",""),IF(INDEX('AFA Rates'!$D$5:$D$1004,$T386)="","",INDEX('AFA Rates'!$D$5:$D$1004,$T386))))</f>
        <v/>
      </c>
      <c r="F386" s="79">
        <f>IF($T386="","",IF($S386="S",IF(INDEX(Firms!$O$5:$O$1004,$T386)="","",INDEX(Firms!$O$5:$O$1004,$T386)),IF(INDEX('AFA Rates'!$O$5:$O$1004,$T386)="","",INDEX('AFA Rates'!$O$5:$O$1004,$T386))))</f>
        <v/>
      </c>
      <c r="G386" s="50">
        <f>IF($T386="","",IF($S386="S",IF(INDEX(Firms!$F$5:$F$1004,$T386)="","",INDEX(Firms!$F$5:$F$1004,$T386)),IF(INDEX('AFA Rates'!$E$5:$E$1004,$T386)="","",INDEX('AFA Rates'!$E$5:$E$1004,$T386))))</f>
        <v/>
      </c>
      <c r="H386" s="50">
        <f>IF($T386="","",IF($S386="S",IF(INDEX(Firms!$G$5:$G$1004,$T386)="","",INDEX(Firms!$G$5:$G$1004,$T386)),IF(INDEX('AFA Rates'!$F$5:$F$1004,$T386)="","",INDEX('AFA Rates'!$F$5:$F$1004,$T386))))</f>
        <v/>
      </c>
      <c r="I386" s="50">
        <f>IF($T386="","",IF($S386="S",IF(INDEX(Firms!$H$5:$H$1004,$T386)="","",INDEX(Firms!$H$5:$H$1004,$T386)),IF(INDEX('AFA Rates'!$G$5:$G$1004,$T386)="","",INDEX('AFA Rates'!$G$5:$G$1004,$T386))))</f>
        <v/>
      </c>
      <c r="J386" s="50">
        <f>IF($T386="","",IF($S386="S",IF(INDEX(Firms!$I$5:$I$1004,$T386)="","",INDEX(Firms!$I$5:$I$1004,$T386)),IF(INDEX('AFA Rates'!$H$5:$H$1004,$T386)="","",INDEX('AFA Rates'!$H$5:$H$1004,$T386))))</f>
        <v/>
      </c>
      <c r="K386" s="50">
        <f>IF($T386="","",IF($S386="S",IF(INDEX(Firms!$J$5:$J$1004,$T386)="","",INDEX(Firms!$J$5:$J$1004,$T386)),IF(INDEX('AFA Rates'!$I$5:$I$1004,$T386)="","",INDEX('AFA Rates'!$I$5:$I$1004,$T386))))</f>
        <v/>
      </c>
      <c r="L386" s="50">
        <f>IF($T386="","",IF($S386="S",IF(INDEX(Firms!$K$5:$K$1004,$T386)="","",INDEX(Firms!$K$5:$K$1004,$T386)),IF(INDEX('AFA Rates'!$J$5:$J$1004,$T386)="","",INDEX('AFA Rates'!$J$5:$J$1004,$T386))))</f>
        <v/>
      </c>
      <c r="M386" s="50">
        <f>IF($T386="","",IF($S386="S",IF(INDEX(Firms!$L$5:$L$1004,$T386)="","",INDEX(Firms!$L$5:$L$1004,$T386)),IF(INDEX('AFA Rates'!$K$5:$K$1004,$T386)="","",INDEX('AFA Rates'!$K$5:$K$1004,$T386))))</f>
        <v/>
      </c>
      <c r="N386" s="50">
        <f>IF($T386="","",IF($S386="S",IF(INDEX(Firms!$M$5:$M$1004,$T386)="","",INDEX(Firms!$M$5:$M$1004,$T386)),IF(INDEX('AFA Rates'!$L$5:$L$1004,$T386)="","",INDEX('AFA Rates'!$L$5:$L$1004,$T386))))</f>
        <v/>
      </c>
      <c r="O386" s="78">
        <f>IF(OR($T386="",$U386=""),"",IF(INDEX(Firms!$C$5:$C$1004,$U386)="","",INDEX(Firms!$C$5:$C$1004,$U386)))</f>
        <v/>
      </c>
      <c r="P386" s="79">
        <f>IF(OR($T386="",$U386=""),"",IF(INDEX(Firms!$N$5:$N$1004,$U386)="","",INDEX(Firms!$N$5:$N$1004,$U386)))</f>
        <v/>
      </c>
      <c r="Q386" s="78">
        <f>IF($T386="","",IF($S386="S",IF(INDEX(Firms!$T$5:$T$1004,$T386)="","",INDEX(Firms!$T$5:$T$1004,$T386)),IF(INDEX('AFA Rates'!$M$5:$M$1004,$T386)="","",INDEX('AFA Rates'!$M$5:$M$1004,$T386))))</f>
        <v/>
      </c>
      <c r="S386">
        <f>IF(382&lt;=$S$2,"S",IF(382&lt;=$S$2+$T$2,"A",""))</f>
        <v/>
      </c>
      <c r="T386">
        <f>IF(S386="S",MATCH(382,Firms!$W$5:$W$1004,0),IF(S386="A",IFERROR(MATCH(382-$S$2,'AFA Rates'!$R$5:$R$1004,0),""),""))</f>
        <v/>
      </c>
      <c r="U386">
        <f>IF(S386="S",T386,IF(AND(S386="A",T386&lt;&gt;""),IFERROR(MATCH(INDEX('AFA Rates'!$A$5:$A$1004,T386),Firms!$A$5:$A$1004,0),""),""))</f>
        <v/>
      </c>
    </row>
    <row r="387">
      <c r="A387" s="78">
        <f>IF($T387="","",IF($S387="S",IF(INDEX(Firms!$A$5:$A$1004,$T387)="","",INDEX(Firms!$A$5:$A$1004,$T387)),IF(INDEX('AFA Rates'!$A$5:$A$1004,$T387)="","",INDEX('AFA Rates'!$A$5:$A$1004,$T387))))</f>
        <v/>
      </c>
      <c r="B387" s="79">
        <f>IF(OR($T387="",$U387=""),IF($T387="","","Not on Firms tab"),INDEX(Firms!$B$5:$B$1004,$U387)&amp;"")</f>
        <v/>
      </c>
      <c r="C387" s="78">
        <f>IF($T387="","",IF($S387="S","Standard",INDEX('AFA Rates'!$B$5:$B$1004,$T387)&amp;""))</f>
        <v/>
      </c>
      <c r="D387" s="88">
        <f>IF($T387="","",IF($S387="S",IF(INDEX(Firms!$E$5:$E$1004,$T387)="","",INDEX(Firms!$E$5:$E$1004,$T387)),IF(INDEX('AFA Rates'!$C$5:$C$1004,$T387)="","",INDEX('AFA Rates'!$C$5:$C$1004,$T387))))</f>
        <v/>
      </c>
      <c r="E387" s="88">
        <f>IF($T387="","",IF($S387="S",IF(""="","",""),IF(INDEX('AFA Rates'!$D$5:$D$1004,$T387)="","",INDEX('AFA Rates'!$D$5:$D$1004,$T387))))</f>
        <v/>
      </c>
      <c r="F387" s="79">
        <f>IF($T387="","",IF($S387="S",IF(INDEX(Firms!$O$5:$O$1004,$T387)="","",INDEX(Firms!$O$5:$O$1004,$T387)),IF(INDEX('AFA Rates'!$O$5:$O$1004,$T387)="","",INDEX('AFA Rates'!$O$5:$O$1004,$T387))))</f>
        <v/>
      </c>
      <c r="G387" s="50">
        <f>IF($T387="","",IF($S387="S",IF(INDEX(Firms!$F$5:$F$1004,$T387)="","",INDEX(Firms!$F$5:$F$1004,$T387)),IF(INDEX('AFA Rates'!$E$5:$E$1004,$T387)="","",INDEX('AFA Rates'!$E$5:$E$1004,$T387))))</f>
        <v/>
      </c>
      <c r="H387" s="50">
        <f>IF($T387="","",IF($S387="S",IF(INDEX(Firms!$G$5:$G$1004,$T387)="","",INDEX(Firms!$G$5:$G$1004,$T387)),IF(INDEX('AFA Rates'!$F$5:$F$1004,$T387)="","",INDEX('AFA Rates'!$F$5:$F$1004,$T387))))</f>
        <v/>
      </c>
      <c r="I387" s="50">
        <f>IF($T387="","",IF($S387="S",IF(INDEX(Firms!$H$5:$H$1004,$T387)="","",INDEX(Firms!$H$5:$H$1004,$T387)),IF(INDEX('AFA Rates'!$G$5:$G$1004,$T387)="","",INDEX('AFA Rates'!$G$5:$G$1004,$T387))))</f>
        <v/>
      </c>
      <c r="J387" s="50">
        <f>IF($T387="","",IF($S387="S",IF(INDEX(Firms!$I$5:$I$1004,$T387)="","",INDEX(Firms!$I$5:$I$1004,$T387)),IF(INDEX('AFA Rates'!$H$5:$H$1004,$T387)="","",INDEX('AFA Rates'!$H$5:$H$1004,$T387))))</f>
        <v/>
      </c>
      <c r="K387" s="50">
        <f>IF($T387="","",IF($S387="S",IF(INDEX(Firms!$J$5:$J$1004,$T387)="","",INDEX(Firms!$J$5:$J$1004,$T387)),IF(INDEX('AFA Rates'!$I$5:$I$1004,$T387)="","",INDEX('AFA Rates'!$I$5:$I$1004,$T387))))</f>
        <v/>
      </c>
      <c r="L387" s="50">
        <f>IF($T387="","",IF($S387="S",IF(INDEX(Firms!$K$5:$K$1004,$T387)="","",INDEX(Firms!$K$5:$K$1004,$T387)),IF(INDEX('AFA Rates'!$J$5:$J$1004,$T387)="","",INDEX('AFA Rates'!$J$5:$J$1004,$T387))))</f>
        <v/>
      </c>
      <c r="M387" s="50">
        <f>IF($T387="","",IF($S387="S",IF(INDEX(Firms!$L$5:$L$1004,$T387)="","",INDEX(Firms!$L$5:$L$1004,$T387)),IF(INDEX('AFA Rates'!$K$5:$K$1004,$T387)="","",INDEX('AFA Rates'!$K$5:$K$1004,$T387))))</f>
        <v/>
      </c>
      <c r="N387" s="50">
        <f>IF($T387="","",IF($S387="S",IF(INDEX(Firms!$M$5:$M$1004,$T387)="","",INDEX(Firms!$M$5:$M$1004,$T387)),IF(INDEX('AFA Rates'!$L$5:$L$1004,$T387)="","",INDEX('AFA Rates'!$L$5:$L$1004,$T387))))</f>
        <v/>
      </c>
      <c r="O387" s="78">
        <f>IF(OR($T387="",$U387=""),"",IF(INDEX(Firms!$C$5:$C$1004,$U387)="","",INDEX(Firms!$C$5:$C$1004,$U387)))</f>
        <v/>
      </c>
      <c r="P387" s="79">
        <f>IF(OR($T387="",$U387=""),"",IF(INDEX(Firms!$N$5:$N$1004,$U387)="","",INDEX(Firms!$N$5:$N$1004,$U387)))</f>
        <v/>
      </c>
      <c r="Q387" s="78">
        <f>IF($T387="","",IF($S387="S",IF(INDEX(Firms!$T$5:$T$1004,$T387)="","",INDEX(Firms!$T$5:$T$1004,$T387)),IF(INDEX('AFA Rates'!$M$5:$M$1004,$T387)="","",INDEX('AFA Rates'!$M$5:$M$1004,$T387))))</f>
        <v/>
      </c>
      <c r="S387">
        <f>IF(383&lt;=$S$2,"S",IF(383&lt;=$S$2+$T$2,"A",""))</f>
        <v/>
      </c>
      <c r="T387">
        <f>IF(S387="S",MATCH(383,Firms!$W$5:$W$1004,0),IF(S387="A",IFERROR(MATCH(383-$S$2,'AFA Rates'!$R$5:$R$1004,0),""),""))</f>
        <v/>
      </c>
      <c r="U387">
        <f>IF(S387="S",T387,IF(AND(S387="A",T387&lt;&gt;""),IFERROR(MATCH(INDEX('AFA Rates'!$A$5:$A$1004,T387),Firms!$A$5:$A$1004,0),""),""))</f>
        <v/>
      </c>
    </row>
    <row r="388">
      <c r="A388" s="78">
        <f>IF($T388="","",IF($S388="S",IF(INDEX(Firms!$A$5:$A$1004,$T388)="","",INDEX(Firms!$A$5:$A$1004,$T388)),IF(INDEX('AFA Rates'!$A$5:$A$1004,$T388)="","",INDEX('AFA Rates'!$A$5:$A$1004,$T388))))</f>
        <v/>
      </c>
      <c r="B388" s="79">
        <f>IF(OR($T388="",$U388=""),IF($T388="","","Not on Firms tab"),INDEX(Firms!$B$5:$B$1004,$U388)&amp;"")</f>
        <v/>
      </c>
      <c r="C388" s="78">
        <f>IF($T388="","",IF($S388="S","Standard",INDEX('AFA Rates'!$B$5:$B$1004,$T388)&amp;""))</f>
        <v/>
      </c>
      <c r="D388" s="88">
        <f>IF($T388="","",IF($S388="S",IF(INDEX(Firms!$E$5:$E$1004,$T388)="","",INDEX(Firms!$E$5:$E$1004,$T388)),IF(INDEX('AFA Rates'!$C$5:$C$1004,$T388)="","",INDEX('AFA Rates'!$C$5:$C$1004,$T388))))</f>
        <v/>
      </c>
      <c r="E388" s="88">
        <f>IF($T388="","",IF($S388="S",IF(""="","",""),IF(INDEX('AFA Rates'!$D$5:$D$1004,$T388)="","",INDEX('AFA Rates'!$D$5:$D$1004,$T388))))</f>
        <v/>
      </c>
      <c r="F388" s="79">
        <f>IF($T388="","",IF($S388="S",IF(INDEX(Firms!$O$5:$O$1004,$T388)="","",INDEX(Firms!$O$5:$O$1004,$T388)),IF(INDEX('AFA Rates'!$O$5:$O$1004,$T388)="","",INDEX('AFA Rates'!$O$5:$O$1004,$T388))))</f>
        <v/>
      </c>
      <c r="G388" s="50">
        <f>IF($T388="","",IF($S388="S",IF(INDEX(Firms!$F$5:$F$1004,$T388)="","",INDEX(Firms!$F$5:$F$1004,$T388)),IF(INDEX('AFA Rates'!$E$5:$E$1004,$T388)="","",INDEX('AFA Rates'!$E$5:$E$1004,$T388))))</f>
        <v/>
      </c>
      <c r="H388" s="50">
        <f>IF($T388="","",IF($S388="S",IF(INDEX(Firms!$G$5:$G$1004,$T388)="","",INDEX(Firms!$G$5:$G$1004,$T388)),IF(INDEX('AFA Rates'!$F$5:$F$1004,$T388)="","",INDEX('AFA Rates'!$F$5:$F$1004,$T388))))</f>
        <v/>
      </c>
      <c r="I388" s="50">
        <f>IF($T388="","",IF($S388="S",IF(INDEX(Firms!$H$5:$H$1004,$T388)="","",INDEX(Firms!$H$5:$H$1004,$T388)),IF(INDEX('AFA Rates'!$G$5:$G$1004,$T388)="","",INDEX('AFA Rates'!$G$5:$G$1004,$T388))))</f>
        <v/>
      </c>
      <c r="J388" s="50">
        <f>IF($T388="","",IF($S388="S",IF(INDEX(Firms!$I$5:$I$1004,$T388)="","",INDEX(Firms!$I$5:$I$1004,$T388)),IF(INDEX('AFA Rates'!$H$5:$H$1004,$T388)="","",INDEX('AFA Rates'!$H$5:$H$1004,$T388))))</f>
        <v/>
      </c>
      <c r="K388" s="50">
        <f>IF($T388="","",IF($S388="S",IF(INDEX(Firms!$J$5:$J$1004,$T388)="","",INDEX(Firms!$J$5:$J$1004,$T388)),IF(INDEX('AFA Rates'!$I$5:$I$1004,$T388)="","",INDEX('AFA Rates'!$I$5:$I$1004,$T388))))</f>
        <v/>
      </c>
      <c r="L388" s="50">
        <f>IF($T388="","",IF($S388="S",IF(INDEX(Firms!$K$5:$K$1004,$T388)="","",INDEX(Firms!$K$5:$K$1004,$T388)),IF(INDEX('AFA Rates'!$J$5:$J$1004,$T388)="","",INDEX('AFA Rates'!$J$5:$J$1004,$T388))))</f>
        <v/>
      </c>
      <c r="M388" s="50">
        <f>IF($T388="","",IF($S388="S",IF(INDEX(Firms!$L$5:$L$1004,$T388)="","",INDEX(Firms!$L$5:$L$1004,$T388)),IF(INDEX('AFA Rates'!$K$5:$K$1004,$T388)="","",INDEX('AFA Rates'!$K$5:$K$1004,$T388))))</f>
        <v/>
      </c>
      <c r="N388" s="50">
        <f>IF($T388="","",IF($S388="S",IF(INDEX(Firms!$M$5:$M$1004,$T388)="","",INDEX(Firms!$M$5:$M$1004,$T388)),IF(INDEX('AFA Rates'!$L$5:$L$1004,$T388)="","",INDEX('AFA Rates'!$L$5:$L$1004,$T388))))</f>
        <v/>
      </c>
      <c r="O388" s="78">
        <f>IF(OR($T388="",$U388=""),"",IF(INDEX(Firms!$C$5:$C$1004,$U388)="","",INDEX(Firms!$C$5:$C$1004,$U388)))</f>
        <v/>
      </c>
      <c r="P388" s="79">
        <f>IF(OR($T388="",$U388=""),"",IF(INDEX(Firms!$N$5:$N$1004,$U388)="","",INDEX(Firms!$N$5:$N$1004,$U388)))</f>
        <v/>
      </c>
      <c r="Q388" s="78">
        <f>IF($T388="","",IF($S388="S",IF(INDEX(Firms!$T$5:$T$1004,$T388)="","",INDEX(Firms!$T$5:$T$1004,$T388)),IF(INDEX('AFA Rates'!$M$5:$M$1004,$T388)="","",INDEX('AFA Rates'!$M$5:$M$1004,$T388))))</f>
        <v/>
      </c>
      <c r="S388">
        <f>IF(384&lt;=$S$2,"S",IF(384&lt;=$S$2+$T$2,"A",""))</f>
        <v/>
      </c>
      <c r="T388">
        <f>IF(S388="S",MATCH(384,Firms!$W$5:$W$1004,0),IF(S388="A",IFERROR(MATCH(384-$S$2,'AFA Rates'!$R$5:$R$1004,0),""),""))</f>
        <v/>
      </c>
      <c r="U388">
        <f>IF(S388="S",T388,IF(AND(S388="A",T388&lt;&gt;""),IFERROR(MATCH(INDEX('AFA Rates'!$A$5:$A$1004,T388),Firms!$A$5:$A$1004,0),""),""))</f>
        <v/>
      </c>
    </row>
    <row r="389">
      <c r="A389" s="78">
        <f>IF($T389="","",IF($S389="S",IF(INDEX(Firms!$A$5:$A$1004,$T389)="","",INDEX(Firms!$A$5:$A$1004,$T389)),IF(INDEX('AFA Rates'!$A$5:$A$1004,$T389)="","",INDEX('AFA Rates'!$A$5:$A$1004,$T389))))</f>
        <v/>
      </c>
      <c r="B389" s="79">
        <f>IF(OR($T389="",$U389=""),IF($T389="","","Not on Firms tab"),INDEX(Firms!$B$5:$B$1004,$U389)&amp;"")</f>
        <v/>
      </c>
      <c r="C389" s="78">
        <f>IF($T389="","",IF($S389="S","Standard",INDEX('AFA Rates'!$B$5:$B$1004,$T389)&amp;""))</f>
        <v/>
      </c>
      <c r="D389" s="88">
        <f>IF($T389="","",IF($S389="S",IF(INDEX(Firms!$E$5:$E$1004,$T389)="","",INDEX(Firms!$E$5:$E$1004,$T389)),IF(INDEX('AFA Rates'!$C$5:$C$1004,$T389)="","",INDEX('AFA Rates'!$C$5:$C$1004,$T389))))</f>
        <v/>
      </c>
      <c r="E389" s="88">
        <f>IF($T389="","",IF($S389="S",IF(""="","",""),IF(INDEX('AFA Rates'!$D$5:$D$1004,$T389)="","",INDEX('AFA Rates'!$D$5:$D$1004,$T389))))</f>
        <v/>
      </c>
      <c r="F389" s="79">
        <f>IF($T389="","",IF($S389="S",IF(INDEX(Firms!$O$5:$O$1004,$T389)="","",INDEX(Firms!$O$5:$O$1004,$T389)),IF(INDEX('AFA Rates'!$O$5:$O$1004,$T389)="","",INDEX('AFA Rates'!$O$5:$O$1004,$T389))))</f>
        <v/>
      </c>
      <c r="G389" s="50">
        <f>IF($T389="","",IF($S389="S",IF(INDEX(Firms!$F$5:$F$1004,$T389)="","",INDEX(Firms!$F$5:$F$1004,$T389)),IF(INDEX('AFA Rates'!$E$5:$E$1004,$T389)="","",INDEX('AFA Rates'!$E$5:$E$1004,$T389))))</f>
        <v/>
      </c>
      <c r="H389" s="50">
        <f>IF($T389="","",IF($S389="S",IF(INDEX(Firms!$G$5:$G$1004,$T389)="","",INDEX(Firms!$G$5:$G$1004,$T389)),IF(INDEX('AFA Rates'!$F$5:$F$1004,$T389)="","",INDEX('AFA Rates'!$F$5:$F$1004,$T389))))</f>
        <v/>
      </c>
      <c r="I389" s="50">
        <f>IF($T389="","",IF($S389="S",IF(INDEX(Firms!$H$5:$H$1004,$T389)="","",INDEX(Firms!$H$5:$H$1004,$T389)),IF(INDEX('AFA Rates'!$G$5:$G$1004,$T389)="","",INDEX('AFA Rates'!$G$5:$G$1004,$T389))))</f>
        <v/>
      </c>
      <c r="J389" s="50">
        <f>IF($T389="","",IF($S389="S",IF(INDEX(Firms!$I$5:$I$1004,$T389)="","",INDEX(Firms!$I$5:$I$1004,$T389)),IF(INDEX('AFA Rates'!$H$5:$H$1004,$T389)="","",INDEX('AFA Rates'!$H$5:$H$1004,$T389))))</f>
        <v/>
      </c>
      <c r="K389" s="50">
        <f>IF($T389="","",IF($S389="S",IF(INDEX(Firms!$J$5:$J$1004,$T389)="","",INDEX(Firms!$J$5:$J$1004,$T389)),IF(INDEX('AFA Rates'!$I$5:$I$1004,$T389)="","",INDEX('AFA Rates'!$I$5:$I$1004,$T389))))</f>
        <v/>
      </c>
      <c r="L389" s="50">
        <f>IF($T389="","",IF($S389="S",IF(INDEX(Firms!$K$5:$K$1004,$T389)="","",INDEX(Firms!$K$5:$K$1004,$T389)),IF(INDEX('AFA Rates'!$J$5:$J$1004,$T389)="","",INDEX('AFA Rates'!$J$5:$J$1004,$T389))))</f>
        <v/>
      </c>
      <c r="M389" s="50">
        <f>IF($T389="","",IF($S389="S",IF(INDEX(Firms!$L$5:$L$1004,$T389)="","",INDEX(Firms!$L$5:$L$1004,$T389)),IF(INDEX('AFA Rates'!$K$5:$K$1004,$T389)="","",INDEX('AFA Rates'!$K$5:$K$1004,$T389))))</f>
        <v/>
      </c>
      <c r="N389" s="50">
        <f>IF($T389="","",IF($S389="S",IF(INDEX(Firms!$M$5:$M$1004,$T389)="","",INDEX(Firms!$M$5:$M$1004,$T389)),IF(INDEX('AFA Rates'!$L$5:$L$1004,$T389)="","",INDEX('AFA Rates'!$L$5:$L$1004,$T389))))</f>
        <v/>
      </c>
      <c r="O389" s="78">
        <f>IF(OR($T389="",$U389=""),"",IF(INDEX(Firms!$C$5:$C$1004,$U389)="","",INDEX(Firms!$C$5:$C$1004,$U389)))</f>
        <v/>
      </c>
      <c r="P389" s="79">
        <f>IF(OR($T389="",$U389=""),"",IF(INDEX(Firms!$N$5:$N$1004,$U389)="","",INDEX(Firms!$N$5:$N$1004,$U389)))</f>
        <v/>
      </c>
      <c r="Q389" s="78">
        <f>IF($T389="","",IF($S389="S",IF(INDEX(Firms!$T$5:$T$1004,$T389)="","",INDEX(Firms!$T$5:$T$1004,$T389)),IF(INDEX('AFA Rates'!$M$5:$M$1004,$T389)="","",INDEX('AFA Rates'!$M$5:$M$1004,$T389))))</f>
        <v/>
      </c>
      <c r="S389">
        <f>IF(385&lt;=$S$2,"S",IF(385&lt;=$S$2+$T$2,"A",""))</f>
        <v/>
      </c>
      <c r="T389">
        <f>IF(S389="S",MATCH(385,Firms!$W$5:$W$1004,0),IF(S389="A",IFERROR(MATCH(385-$S$2,'AFA Rates'!$R$5:$R$1004,0),""),""))</f>
        <v/>
      </c>
      <c r="U389">
        <f>IF(S389="S",T389,IF(AND(S389="A",T389&lt;&gt;""),IFERROR(MATCH(INDEX('AFA Rates'!$A$5:$A$1004,T389),Firms!$A$5:$A$1004,0),""),""))</f>
        <v/>
      </c>
    </row>
    <row r="390">
      <c r="A390" s="78">
        <f>IF($T390="","",IF($S390="S",IF(INDEX(Firms!$A$5:$A$1004,$T390)="","",INDEX(Firms!$A$5:$A$1004,$T390)),IF(INDEX('AFA Rates'!$A$5:$A$1004,$T390)="","",INDEX('AFA Rates'!$A$5:$A$1004,$T390))))</f>
        <v/>
      </c>
      <c r="B390" s="79">
        <f>IF(OR($T390="",$U390=""),IF($T390="","","Not on Firms tab"),INDEX(Firms!$B$5:$B$1004,$U390)&amp;"")</f>
        <v/>
      </c>
      <c r="C390" s="78">
        <f>IF($T390="","",IF($S390="S","Standard",INDEX('AFA Rates'!$B$5:$B$1004,$T390)&amp;""))</f>
        <v/>
      </c>
      <c r="D390" s="88">
        <f>IF($T390="","",IF($S390="S",IF(INDEX(Firms!$E$5:$E$1004,$T390)="","",INDEX(Firms!$E$5:$E$1004,$T390)),IF(INDEX('AFA Rates'!$C$5:$C$1004,$T390)="","",INDEX('AFA Rates'!$C$5:$C$1004,$T390))))</f>
        <v/>
      </c>
      <c r="E390" s="88">
        <f>IF($T390="","",IF($S390="S",IF(""="","",""),IF(INDEX('AFA Rates'!$D$5:$D$1004,$T390)="","",INDEX('AFA Rates'!$D$5:$D$1004,$T390))))</f>
        <v/>
      </c>
      <c r="F390" s="79">
        <f>IF($T390="","",IF($S390="S",IF(INDEX(Firms!$O$5:$O$1004,$T390)="","",INDEX(Firms!$O$5:$O$1004,$T390)),IF(INDEX('AFA Rates'!$O$5:$O$1004,$T390)="","",INDEX('AFA Rates'!$O$5:$O$1004,$T390))))</f>
        <v/>
      </c>
      <c r="G390" s="50">
        <f>IF($T390="","",IF($S390="S",IF(INDEX(Firms!$F$5:$F$1004,$T390)="","",INDEX(Firms!$F$5:$F$1004,$T390)),IF(INDEX('AFA Rates'!$E$5:$E$1004,$T390)="","",INDEX('AFA Rates'!$E$5:$E$1004,$T390))))</f>
        <v/>
      </c>
      <c r="H390" s="50">
        <f>IF($T390="","",IF($S390="S",IF(INDEX(Firms!$G$5:$G$1004,$T390)="","",INDEX(Firms!$G$5:$G$1004,$T390)),IF(INDEX('AFA Rates'!$F$5:$F$1004,$T390)="","",INDEX('AFA Rates'!$F$5:$F$1004,$T390))))</f>
        <v/>
      </c>
      <c r="I390" s="50">
        <f>IF($T390="","",IF($S390="S",IF(INDEX(Firms!$H$5:$H$1004,$T390)="","",INDEX(Firms!$H$5:$H$1004,$T390)),IF(INDEX('AFA Rates'!$G$5:$G$1004,$T390)="","",INDEX('AFA Rates'!$G$5:$G$1004,$T390))))</f>
        <v/>
      </c>
      <c r="J390" s="50">
        <f>IF($T390="","",IF($S390="S",IF(INDEX(Firms!$I$5:$I$1004,$T390)="","",INDEX(Firms!$I$5:$I$1004,$T390)),IF(INDEX('AFA Rates'!$H$5:$H$1004,$T390)="","",INDEX('AFA Rates'!$H$5:$H$1004,$T390))))</f>
        <v/>
      </c>
      <c r="K390" s="50">
        <f>IF($T390="","",IF($S390="S",IF(INDEX(Firms!$J$5:$J$1004,$T390)="","",INDEX(Firms!$J$5:$J$1004,$T390)),IF(INDEX('AFA Rates'!$I$5:$I$1004,$T390)="","",INDEX('AFA Rates'!$I$5:$I$1004,$T390))))</f>
        <v/>
      </c>
      <c r="L390" s="50">
        <f>IF($T390="","",IF($S390="S",IF(INDEX(Firms!$K$5:$K$1004,$T390)="","",INDEX(Firms!$K$5:$K$1004,$T390)),IF(INDEX('AFA Rates'!$J$5:$J$1004,$T390)="","",INDEX('AFA Rates'!$J$5:$J$1004,$T390))))</f>
        <v/>
      </c>
      <c r="M390" s="50">
        <f>IF($T390="","",IF($S390="S",IF(INDEX(Firms!$L$5:$L$1004,$T390)="","",INDEX(Firms!$L$5:$L$1004,$T390)),IF(INDEX('AFA Rates'!$K$5:$K$1004,$T390)="","",INDEX('AFA Rates'!$K$5:$K$1004,$T390))))</f>
        <v/>
      </c>
      <c r="N390" s="50">
        <f>IF($T390="","",IF($S390="S",IF(INDEX(Firms!$M$5:$M$1004,$T390)="","",INDEX(Firms!$M$5:$M$1004,$T390)),IF(INDEX('AFA Rates'!$L$5:$L$1004,$T390)="","",INDEX('AFA Rates'!$L$5:$L$1004,$T390))))</f>
        <v/>
      </c>
      <c r="O390" s="78">
        <f>IF(OR($T390="",$U390=""),"",IF(INDEX(Firms!$C$5:$C$1004,$U390)="","",INDEX(Firms!$C$5:$C$1004,$U390)))</f>
        <v/>
      </c>
      <c r="P390" s="79">
        <f>IF(OR($T390="",$U390=""),"",IF(INDEX(Firms!$N$5:$N$1004,$U390)="","",INDEX(Firms!$N$5:$N$1004,$U390)))</f>
        <v/>
      </c>
      <c r="Q390" s="78">
        <f>IF($T390="","",IF($S390="S",IF(INDEX(Firms!$T$5:$T$1004,$T390)="","",INDEX(Firms!$T$5:$T$1004,$T390)),IF(INDEX('AFA Rates'!$M$5:$M$1004,$T390)="","",INDEX('AFA Rates'!$M$5:$M$1004,$T390))))</f>
        <v/>
      </c>
      <c r="S390">
        <f>IF(386&lt;=$S$2,"S",IF(386&lt;=$S$2+$T$2,"A",""))</f>
        <v/>
      </c>
      <c r="T390">
        <f>IF(S390="S",MATCH(386,Firms!$W$5:$W$1004,0),IF(S390="A",IFERROR(MATCH(386-$S$2,'AFA Rates'!$R$5:$R$1004,0),""),""))</f>
        <v/>
      </c>
      <c r="U390">
        <f>IF(S390="S",T390,IF(AND(S390="A",T390&lt;&gt;""),IFERROR(MATCH(INDEX('AFA Rates'!$A$5:$A$1004,T390),Firms!$A$5:$A$1004,0),""),""))</f>
        <v/>
      </c>
    </row>
    <row r="391">
      <c r="A391" s="78">
        <f>IF($T391="","",IF($S391="S",IF(INDEX(Firms!$A$5:$A$1004,$T391)="","",INDEX(Firms!$A$5:$A$1004,$T391)),IF(INDEX('AFA Rates'!$A$5:$A$1004,$T391)="","",INDEX('AFA Rates'!$A$5:$A$1004,$T391))))</f>
        <v/>
      </c>
      <c r="B391" s="79">
        <f>IF(OR($T391="",$U391=""),IF($T391="","","Not on Firms tab"),INDEX(Firms!$B$5:$B$1004,$U391)&amp;"")</f>
        <v/>
      </c>
      <c r="C391" s="78">
        <f>IF($T391="","",IF($S391="S","Standard",INDEX('AFA Rates'!$B$5:$B$1004,$T391)&amp;""))</f>
        <v/>
      </c>
      <c r="D391" s="88">
        <f>IF($T391="","",IF($S391="S",IF(INDEX(Firms!$E$5:$E$1004,$T391)="","",INDEX(Firms!$E$5:$E$1004,$T391)),IF(INDEX('AFA Rates'!$C$5:$C$1004,$T391)="","",INDEX('AFA Rates'!$C$5:$C$1004,$T391))))</f>
        <v/>
      </c>
      <c r="E391" s="88">
        <f>IF($T391="","",IF($S391="S",IF(""="","",""),IF(INDEX('AFA Rates'!$D$5:$D$1004,$T391)="","",INDEX('AFA Rates'!$D$5:$D$1004,$T391))))</f>
        <v/>
      </c>
      <c r="F391" s="79">
        <f>IF($T391="","",IF($S391="S",IF(INDEX(Firms!$O$5:$O$1004,$T391)="","",INDEX(Firms!$O$5:$O$1004,$T391)),IF(INDEX('AFA Rates'!$O$5:$O$1004,$T391)="","",INDEX('AFA Rates'!$O$5:$O$1004,$T391))))</f>
        <v/>
      </c>
      <c r="G391" s="50">
        <f>IF($T391="","",IF($S391="S",IF(INDEX(Firms!$F$5:$F$1004,$T391)="","",INDEX(Firms!$F$5:$F$1004,$T391)),IF(INDEX('AFA Rates'!$E$5:$E$1004,$T391)="","",INDEX('AFA Rates'!$E$5:$E$1004,$T391))))</f>
        <v/>
      </c>
      <c r="H391" s="50">
        <f>IF($T391="","",IF($S391="S",IF(INDEX(Firms!$G$5:$G$1004,$T391)="","",INDEX(Firms!$G$5:$G$1004,$T391)),IF(INDEX('AFA Rates'!$F$5:$F$1004,$T391)="","",INDEX('AFA Rates'!$F$5:$F$1004,$T391))))</f>
        <v/>
      </c>
      <c r="I391" s="50">
        <f>IF($T391="","",IF($S391="S",IF(INDEX(Firms!$H$5:$H$1004,$T391)="","",INDEX(Firms!$H$5:$H$1004,$T391)),IF(INDEX('AFA Rates'!$G$5:$G$1004,$T391)="","",INDEX('AFA Rates'!$G$5:$G$1004,$T391))))</f>
        <v/>
      </c>
      <c r="J391" s="50">
        <f>IF($T391="","",IF($S391="S",IF(INDEX(Firms!$I$5:$I$1004,$T391)="","",INDEX(Firms!$I$5:$I$1004,$T391)),IF(INDEX('AFA Rates'!$H$5:$H$1004,$T391)="","",INDEX('AFA Rates'!$H$5:$H$1004,$T391))))</f>
        <v/>
      </c>
      <c r="K391" s="50">
        <f>IF($T391="","",IF($S391="S",IF(INDEX(Firms!$J$5:$J$1004,$T391)="","",INDEX(Firms!$J$5:$J$1004,$T391)),IF(INDEX('AFA Rates'!$I$5:$I$1004,$T391)="","",INDEX('AFA Rates'!$I$5:$I$1004,$T391))))</f>
        <v/>
      </c>
      <c r="L391" s="50">
        <f>IF($T391="","",IF($S391="S",IF(INDEX(Firms!$K$5:$K$1004,$T391)="","",INDEX(Firms!$K$5:$K$1004,$T391)),IF(INDEX('AFA Rates'!$J$5:$J$1004,$T391)="","",INDEX('AFA Rates'!$J$5:$J$1004,$T391))))</f>
        <v/>
      </c>
      <c r="M391" s="50">
        <f>IF($T391="","",IF($S391="S",IF(INDEX(Firms!$L$5:$L$1004,$T391)="","",INDEX(Firms!$L$5:$L$1004,$T391)),IF(INDEX('AFA Rates'!$K$5:$K$1004,$T391)="","",INDEX('AFA Rates'!$K$5:$K$1004,$T391))))</f>
        <v/>
      </c>
      <c r="N391" s="50">
        <f>IF($T391="","",IF($S391="S",IF(INDEX(Firms!$M$5:$M$1004,$T391)="","",INDEX(Firms!$M$5:$M$1004,$T391)),IF(INDEX('AFA Rates'!$L$5:$L$1004,$T391)="","",INDEX('AFA Rates'!$L$5:$L$1004,$T391))))</f>
        <v/>
      </c>
      <c r="O391" s="78">
        <f>IF(OR($T391="",$U391=""),"",IF(INDEX(Firms!$C$5:$C$1004,$U391)="","",INDEX(Firms!$C$5:$C$1004,$U391)))</f>
        <v/>
      </c>
      <c r="P391" s="79">
        <f>IF(OR($T391="",$U391=""),"",IF(INDEX(Firms!$N$5:$N$1004,$U391)="","",INDEX(Firms!$N$5:$N$1004,$U391)))</f>
        <v/>
      </c>
      <c r="Q391" s="78">
        <f>IF($T391="","",IF($S391="S",IF(INDEX(Firms!$T$5:$T$1004,$T391)="","",INDEX(Firms!$T$5:$T$1004,$T391)),IF(INDEX('AFA Rates'!$M$5:$M$1004,$T391)="","",INDEX('AFA Rates'!$M$5:$M$1004,$T391))))</f>
        <v/>
      </c>
      <c r="S391">
        <f>IF(387&lt;=$S$2,"S",IF(387&lt;=$S$2+$T$2,"A",""))</f>
        <v/>
      </c>
      <c r="T391">
        <f>IF(S391="S",MATCH(387,Firms!$W$5:$W$1004,0),IF(S391="A",IFERROR(MATCH(387-$S$2,'AFA Rates'!$R$5:$R$1004,0),""),""))</f>
        <v/>
      </c>
      <c r="U391">
        <f>IF(S391="S",T391,IF(AND(S391="A",T391&lt;&gt;""),IFERROR(MATCH(INDEX('AFA Rates'!$A$5:$A$1004,T391),Firms!$A$5:$A$1004,0),""),""))</f>
        <v/>
      </c>
    </row>
    <row r="392">
      <c r="A392" s="78">
        <f>IF($T392="","",IF($S392="S",IF(INDEX(Firms!$A$5:$A$1004,$T392)="","",INDEX(Firms!$A$5:$A$1004,$T392)),IF(INDEX('AFA Rates'!$A$5:$A$1004,$T392)="","",INDEX('AFA Rates'!$A$5:$A$1004,$T392))))</f>
        <v/>
      </c>
      <c r="B392" s="79">
        <f>IF(OR($T392="",$U392=""),IF($T392="","","Not on Firms tab"),INDEX(Firms!$B$5:$B$1004,$U392)&amp;"")</f>
        <v/>
      </c>
      <c r="C392" s="78">
        <f>IF($T392="","",IF($S392="S","Standard",INDEX('AFA Rates'!$B$5:$B$1004,$T392)&amp;""))</f>
        <v/>
      </c>
      <c r="D392" s="88">
        <f>IF($T392="","",IF($S392="S",IF(INDEX(Firms!$E$5:$E$1004,$T392)="","",INDEX(Firms!$E$5:$E$1004,$T392)),IF(INDEX('AFA Rates'!$C$5:$C$1004,$T392)="","",INDEX('AFA Rates'!$C$5:$C$1004,$T392))))</f>
        <v/>
      </c>
      <c r="E392" s="88">
        <f>IF($T392="","",IF($S392="S",IF(""="","",""),IF(INDEX('AFA Rates'!$D$5:$D$1004,$T392)="","",INDEX('AFA Rates'!$D$5:$D$1004,$T392))))</f>
        <v/>
      </c>
      <c r="F392" s="79">
        <f>IF($T392="","",IF($S392="S",IF(INDEX(Firms!$O$5:$O$1004,$T392)="","",INDEX(Firms!$O$5:$O$1004,$T392)),IF(INDEX('AFA Rates'!$O$5:$O$1004,$T392)="","",INDEX('AFA Rates'!$O$5:$O$1004,$T392))))</f>
        <v/>
      </c>
      <c r="G392" s="50">
        <f>IF($T392="","",IF($S392="S",IF(INDEX(Firms!$F$5:$F$1004,$T392)="","",INDEX(Firms!$F$5:$F$1004,$T392)),IF(INDEX('AFA Rates'!$E$5:$E$1004,$T392)="","",INDEX('AFA Rates'!$E$5:$E$1004,$T392))))</f>
        <v/>
      </c>
      <c r="H392" s="50">
        <f>IF($T392="","",IF($S392="S",IF(INDEX(Firms!$G$5:$G$1004,$T392)="","",INDEX(Firms!$G$5:$G$1004,$T392)),IF(INDEX('AFA Rates'!$F$5:$F$1004,$T392)="","",INDEX('AFA Rates'!$F$5:$F$1004,$T392))))</f>
        <v/>
      </c>
      <c r="I392" s="50">
        <f>IF($T392="","",IF($S392="S",IF(INDEX(Firms!$H$5:$H$1004,$T392)="","",INDEX(Firms!$H$5:$H$1004,$T392)),IF(INDEX('AFA Rates'!$G$5:$G$1004,$T392)="","",INDEX('AFA Rates'!$G$5:$G$1004,$T392))))</f>
        <v/>
      </c>
      <c r="J392" s="50">
        <f>IF($T392="","",IF($S392="S",IF(INDEX(Firms!$I$5:$I$1004,$T392)="","",INDEX(Firms!$I$5:$I$1004,$T392)),IF(INDEX('AFA Rates'!$H$5:$H$1004,$T392)="","",INDEX('AFA Rates'!$H$5:$H$1004,$T392))))</f>
        <v/>
      </c>
      <c r="K392" s="50">
        <f>IF($T392="","",IF($S392="S",IF(INDEX(Firms!$J$5:$J$1004,$T392)="","",INDEX(Firms!$J$5:$J$1004,$T392)),IF(INDEX('AFA Rates'!$I$5:$I$1004,$T392)="","",INDEX('AFA Rates'!$I$5:$I$1004,$T392))))</f>
        <v/>
      </c>
      <c r="L392" s="50">
        <f>IF($T392="","",IF($S392="S",IF(INDEX(Firms!$K$5:$K$1004,$T392)="","",INDEX(Firms!$K$5:$K$1004,$T392)),IF(INDEX('AFA Rates'!$J$5:$J$1004,$T392)="","",INDEX('AFA Rates'!$J$5:$J$1004,$T392))))</f>
        <v/>
      </c>
      <c r="M392" s="50">
        <f>IF($T392="","",IF($S392="S",IF(INDEX(Firms!$L$5:$L$1004,$T392)="","",INDEX(Firms!$L$5:$L$1004,$T392)),IF(INDEX('AFA Rates'!$K$5:$K$1004,$T392)="","",INDEX('AFA Rates'!$K$5:$K$1004,$T392))))</f>
        <v/>
      </c>
      <c r="N392" s="50">
        <f>IF($T392="","",IF($S392="S",IF(INDEX(Firms!$M$5:$M$1004,$T392)="","",INDEX(Firms!$M$5:$M$1004,$T392)),IF(INDEX('AFA Rates'!$L$5:$L$1004,$T392)="","",INDEX('AFA Rates'!$L$5:$L$1004,$T392))))</f>
        <v/>
      </c>
      <c r="O392" s="78">
        <f>IF(OR($T392="",$U392=""),"",IF(INDEX(Firms!$C$5:$C$1004,$U392)="","",INDEX(Firms!$C$5:$C$1004,$U392)))</f>
        <v/>
      </c>
      <c r="P392" s="79">
        <f>IF(OR($T392="",$U392=""),"",IF(INDEX(Firms!$N$5:$N$1004,$U392)="","",INDEX(Firms!$N$5:$N$1004,$U392)))</f>
        <v/>
      </c>
      <c r="Q392" s="78">
        <f>IF($T392="","",IF($S392="S",IF(INDEX(Firms!$T$5:$T$1004,$T392)="","",INDEX(Firms!$T$5:$T$1004,$T392)),IF(INDEX('AFA Rates'!$M$5:$M$1004,$T392)="","",INDEX('AFA Rates'!$M$5:$M$1004,$T392))))</f>
        <v/>
      </c>
      <c r="S392">
        <f>IF(388&lt;=$S$2,"S",IF(388&lt;=$S$2+$T$2,"A",""))</f>
        <v/>
      </c>
      <c r="T392">
        <f>IF(S392="S",MATCH(388,Firms!$W$5:$W$1004,0),IF(S392="A",IFERROR(MATCH(388-$S$2,'AFA Rates'!$R$5:$R$1004,0),""),""))</f>
        <v/>
      </c>
      <c r="U392">
        <f>IF(S392="S",T392,IF(AND(S392="A",T392&lt;&gt;""),IFERROR(MATCH(INDEX('AFA Rates'!$A$5:$A$1004,T392),Firms!$A$5:$A$1004,0),""),""))</f>
        <v/>
      </c>
    </row>
    <row r="393">
      <c r="A393" s="78">
        <f>IF($T393="","",IF($S393="S",IF(INDEX(Firms!$A$5:$A$1004,$T393)="","",INDEX(Firms!$A$5:$A$1004,$T393)),IF(INDEX('AFA Rates'!$A$5:$A$1004,$T393)="","",INDEX('AFA Rates'!$A$5:$A$1004,$T393))))</f>
        <v/>
      </c>
      <c r="B393" s="79">
        <f>IF(OR($T393="",$U393=""),IF($T393="","","Not on Firms tab"),INDEX(Firms!$B$5:$B$1004,$U393)&amp;"")</f>
        <v/>
      </c>
      <c r="C393" s="78">
        <f>IF($T393="","",IF($S393="S","Standard",INDEX('AFA Rates'!$B$5:$B$1004,$T393)&amp;""))</f>
        <v/>
      </c>
      <c r="D393" s="88">
        <f>IF($T393="","",IF($S393="S",IF(INDEX(Firms!$E$5:$E$1004,$T393)="","",INDEX(Firms!$E$5:$E$1004,$T393)),IF(INDEX('AFA Rates'!$C$5:$C$1004,$T393)="","",INDEX('AFA Rates'!$C$5:$C$1004,$T393))))</f>
        <v/>
      </c>
      <c r="E393" s="88">
        <f>IF($T393="","",IF($S393="S",IF(""="","",""),IF(INDEX('AFA Rates'!$D$5:$D$1004,$T393)="","",INDEX('AFA Rates'!$D$5:$D$1004,$T393))))</f>
        <v/>
      </c>
      <c r="F393" s="79">
        <f>IF($T393="","",IF($S393="S",IF(INDEX(Firms!$O$5:$O$1004,$T393)="","",INDEX(Firms!$O$5:$O$1004,$T393)),IF(INDEX('AFA Rates'!$O$5:$O$1004,$T393)="","",INDEX('AFA Rates'!$O$5:$O$1004,$T393))))</f>
        <v/>
      </c>
      <c r="G393" s="50">
        <f>IF($T393="","",IF($S393="S",IF(INDEX(Firms!$F$5:$F$1004,$T393)="","",INDEX(Firms!$F$5:$F$1004,$T393)),IF(INDEX('AFA Rates'!$E$5:$E$1004,$T393)="","",INDEX('AFA Rates'!$E$5:$E$1004,$T393))))</f>
        <v/>
      </c>
      <c r="H393" s="50">
        <f>IF($T393="","",IF($S393="S",IF(INDEX(Firms!$G$5:$G$1004,$T393)="","",INDEX(Firms!$G$5:$G$1004,$T393)),IF(INDEX('AFA Rates'!$F$5:$F$1004,$T393)="","",INDEX('AFA Rates'!$F$5:$F$1004,$T393))))</f>
        <v/>
      </c>
      <c r="I393" s="50">
        <f>IF($T393="","",IF($S393="S",IF(INDEX(Firms!$H$5:$H$1004,$T393)="","",INDEX(Firms!$H$5:$H$1004,$T393)),IF(INDEX('AFA Rates'!$G$5:$G$1004,$T393)="","",INDEX('AFA Rates'!$G$5:$G$1004,$T393))))</f>
        <v/>
      </c>
      <c r="J393" s="50">
        <f>IF($T393="","",IF($S393="S",IF(INDEX(Firms!$I$5:$I$1004,$T393)="","",INDEX(Firms!$I$5:$I$1004,$T393)),IF(INDEX('AFA Rates'!$H$5:$H$1004,$T393)="","",INDEX('AFA Rates'!$H$5:$H$1004,$T393))))</f>
        <v/>
      </c>
      <c r="K393" s="50">
        <f>IF($T393="","",IF($S393="S",IF(INDEX(Firms!$J$5:$J$1004,$T393)="","",INDEX(Firms!$J$5:$J$1004,$T393)),IF(INDEX('AFA Rates'!$I$5:$I$1004,$T393)="","",INDEX('AFA Rates'!$I$5:$I$1004,$T393))))</f>
        <v/>
      </c>
      <c r="L393" s="50">
        <f>IF($T393="","",IF($S393="S",IF(INDEX(Firms!$K$5:$K$1004,$T393)="","",INDEX(Firms!$K$5:$K$1004,$T393)),IF(INDEX('AFA Rates'!$J$5:$J$1004,$T393)="","",INDEX('AFA Rates'!$J$5:$J$1004,$T393))))</f>
        <v/>
      </c>
      <c r="M393" s="50">
        <f>IF($T393="","",IF($S393="S",IF(INDEX(Firms!$L$5:$L$1004,$T393)="","",INDEX(Firms!$L$5:$L$1004,$T393)),IF(INDEX('AFA Rates'!$K$5:$K$1004,$T393)="","",INDEX('AFA Rates'!$K$5:$K$1004,$T393))))</f>
        <v/>
      </c>
      <c r="N393" s="50">
        <f>IF($T393="","",IF($S393="S",IF(INDEX(Firms!$M$5:$M$1004,$T393)="","",INDEX(Firms!$M$5:$M$1004,$T393)),IF(INDEX('AFA Rates'!$L$5:$L$1004,$T393)="","",INDEX('AFA Rates'!$L$5:$L$1004,$T393))))</f>
        <v/>
      </c>
      <c r="O393" s="78">
        <f>IF(OR($T393="",$U393=""),"",IF(INDEX(Firms!$C$5:$C$1004,$U393)="","",INDEX(Firms!$C$5:$C$1004,$U393)))</f>
        <v/>
      </c>
      <c r="P393" s="79">
        <f>IF(OR($T393="",$U393=""),"",IF(INDEX(Firms!$N$5:$N$1004,$U393)="","",INDEX(Firms!$N$5:$N$1004,$U393)))</f>
        <v/>
      </c>
      <c r="Q393" s="78">
        <f>IF($T393="","",IF($S393="S",IF(INDEX(Firms!$T$5:$T$1004,$T393)="","",INDEX(Firms!$T$5:$T$1004,$T393)),IF(INDEX('AFA Rates'!$M$5:$M$1004,$T393)="","",INDEX('AFA Rates'!$M$5:$M$1004,$T393))))</f>
        <v/>
      </c>
      <c r="S393">
        <f>IF(389&lt;=$S$2,"S",IF(389&lt;=$S$2+$T$2,"A",""))</f>
        <v/>
      </c>
      <c r="T393">
        <f>IF(S393="S",MATCH(389,Firms!$W$5:$W$1004,0),IF(S393="A",IFERROR(MATCH(389-$S$2,'AFA Rates'!$R$5:$R$1004,0),""),""))</f>
        <v/>
      </c>
      <c r="U393">
        <f>IF(S393="S",T393,IF(AND(S393="A",T393&lt;&gt;""),IFERROR(MATCH(INDEX('AFA Rates'!$A$5:$A$1004,T393),Firms!$A$5:$A$1004,0),""),""))</f>
        <v/>
      </c>
    </row>
    <row r="394">
      <c r="A394" s="78">
        <f>IF($T394="","",IF($S394="S",IF(INDEX(Firms!$A$5:$A$1004,$T394)="","",INDEX(Firms!$A$5:$A$1004,$T394)),IF(INDEX('AFA Rates'!$A$5:$A$1004,$T394)="","",INDEX('AFA Rates'!$A$5:$A$1004,$T394))))</f>
        <v/>
      </c>
      <c r="B394" s="79">
        <f>IF(OR($T394="",$U394=""),IF($T394="","","Not on Firms tab"),INDEX(Firms!$B$5:$B$1004,$U394)&amp;"")</f>
        <v/>
      </c>
      <c r="C394" s="78">
        <f>IF($T394="","",IF($S394="S","Standard",INDEX('AFA Rates'!$B$5:$B$1004,$T394)&amp;""))</f>
        <v/>
      </c>
      <c r="D394" s="88">
        <f>IF($T394="","",IF($S394="S",IF(INDEX(Firms!$E$5:$E$1004,$T394)="","",INDEX(Firms!$E$5:$E$1004,$T394)),IF(INDEX('AFA Rates'!$C$5:$C$1004,$T394)="","",INDEX('AFA Rates'!$C$5:$C$1004,$T394))))</f>
        <v/>
      </c>
      <c r="E394" s="88">
        <f>IF($T394="","",IF($S394="S",IF(""="","",""),IF(INDEX('AFA Rates'!$D$5:$D$1004,$T394)="","",INDEX('AFA Rates'!$D$5:$D$1004,$T394))))</f>
        <v/>
      </c>
      <c r="F394" s="79">
        <f>IF($T394="","",IF($S394="S",IF(INDEX(Firms!$O$5:$O$1004,$T394)="","",INDEX(Firms!$O$5:$O$1004,$T394)),IF(INDEX('AFA Rates'!$O$5:$O$1004,$T394)="","",INDEX('AFA Rates'!$O$5:$O$1004,$T394))))</f>
        <v/>
      </c>
      <c r="G394" s="50">
        <f>IF($T394="","",IF($S394="S",IF(INDEX(Firms!$F$5:$F$1004,$T394)="","",INDEX(Firms!$F$5:$F$1004,$T394)),IF(INDEX('AFA Rates'!$E$5:$E$1004,$T394)="","",INDEX('AFA Rates'!$E$5:$E$1004,$T394))))</f>
        <v/>
      </c>
      <c r="H394" s="50">
        <f>IF($T394="","",IF($S394="S",IF(INDEX(Firms!$G$5:$G$1004,$T394)="","",INDEX(Firms!$G$5:$G$1004,$T394)),IF(INDEX('AFA Rates'!$F$5:$F$1004,$T394)="","",INDEX('AFA Rates'!$F$5:$F$1004,$T394))))</f>
        <v/>
      </c>
      <c r="I394" s="50">
        <f>IF($T394="","",IF($S394="S",IF(INDEX(Firms!$H$5:$H$1004,$T394)="","",INDEX(Firms!$H$5:$H$1004,$T394)),IF(INDEX('AFA Rates'!$G$5:$G$1004,$T394)="","",INDEX('AFA Rates'!$G$5:$G$1004,$T394))))</f>
        <v/>
      </c>
      <c r="J394" s="50">
        <f>IF($T394="","",IF($S394="S",IF(INDEX(Firms!$I$5:$I$1004,$T394)="","",INDEX(Firms!$I$5:$I$1004,$T394)),IF(INDEX('AFA Rates'!$H$5:$H$1004,$T394)="","",INDEX('AFA Rates'!$H$5:$H$1004,$T394))))</f>
        <v/>
      </c>
      <c r="K394" s="50">
        <f>IF($T394="","",IF($S394="S",IF(INDEX(Firms!$J$5:$J$1004,$T394)="","",INDEX(Firms!$J$5:$J$1004,$T394)),IF(INDEX('AFA Rates'!$I$5:$I$1004,$T394)="","",INDEX('AFA Rates'!$I$5:$I$1004,$T394))))</f>
        <v/>
      </c>
      <c r="L394" s="50">
        <f>IF($T394="","",IF($S394="S",IF(INDEX(Firms!$K$5:$K$1004,$T394)="","",INDEX(Firms!$K$5:$K$1004,$T394)),IF(INDEX('AFA Rates'!$J$5:$J$1004,$T394)="","",INDEX('AFA Rates'!$J$5:$J$1004,$T394))))</f>
        <v/>
      </c>
      <c r="M394" s="50">
        <f>IF($T394="","",IF($S394="S",IF(INDEX(Firms!$L$5:$L$1004,$T394)="","",INDEX(Firms!$L$5:$L$1004,$T394)),IF(INDEX('AFA Rates'!$K$5:$K$1004,$T394)="","",INDEX('AFA Rates'!$K$5:$K$1004,$T394))))</f>
        <v/>
      </c>
      <c r="N394" s="50">
        <f>IF($T394="","",IF($S394="S",IF(INDEX(Firms!$M$5:$M$1004,$T394)="","",INDEX(Firms!$M$5:$M$1004,$T394)),IF(INDEX('AFA Rates'!$L$5:$L$1004,$T394)="","",INDEX('AFA Rates'!$L$5:$L$1004,$T394))))</f>
        <v/>
      </c>
      <c r="O394" s="78">
        <f>IF(OR($T394="",$U394=""),"",IF(INDEX(Firms!$C$5:$C$1004,$U394)="","",INDEX(Firms!$C$5:$C$1004,$U394)))</f>
        <v/>
      </c>
      <c r="P394" s="79">
        <f>IF(OR($T394="",$U394=""),"",IF(INDEX(Firms!$N$5:$N$1004,$U394)="","",INDEX(Firms!$N$5:$N$1004,$U394)))</f>
        <v/>
      </c>
      <c r="Q394" s="78">
        <f>IF($T394="","",IF($S394="S",IF(INDEX(Firms!$T$5:$T$1004,$T394)="","",INDEX(Firms!$T$5:$T$1004,$T394)),IF(INDEX('AFA Rates'!$M$5:$M$1004,$T394)="","",INDEX('AFA Rates'!$M$5:$M$1004,$T394))))</f>
        <v/>
      </c>
      <c r="S394">
        <f>IF(390&lt;=$S$2,"S",IF(390&lt;=$S$2+$T$2,"A",""))</f>
        <v/>
      </c>
      <c r="T394">
        <f>IF(S394="S",MATCH(390,Firms!$W$5:$W$1004,0),IF(S394="A",IFERROR(MATCH(390-$S$2,'AFA Rates'!$R$5:$R$1004,0),""),""))</f>
        <v/>
      </c>
      <c r="U394">
        <f>IF(S394="S",T394,IF(AND(S394="A",T394&lt;&gt;""),IFERROR(MATCH(INDEX('AFA Rates'!$A$5:$A$1004,T394),Firms!$A$5:$A$1004,0),""),""))</f>
        <v/>
      </c>
    </row>
    <row r="395">
      <c r="A395" s="78">
        <f>IF($T395="","",IF($S395="S",IF(INDEX(Firms!$A$5:$A$1004,$T395)="","",INDEX(Firms!$A$5:$A$1004,$T395)),IF(INDEX('AFA Rates'!$A$5:$A$1004,$T395)="","",INDEX('AFA Rates'!$A$5:$A$1004,$T395))))</f>
        <v/>
      </c>
      <c r="B395" s="79">
        <f>IF(OR($T395="",$U395=""),IF($T395="","","Not on Firms tab"),INDEX(Firms!$B$5:$B$1004,$U395)&amp;"")</f>
        <v/>
      </c>
      <c r="C395" s="78">
        <f>IF($T395="","",IF($S395="S","Standard",INDEX('AFA Rates'!$B$5:$B$1004,$T395)&amp;""))</f>
        <v/>
      </c>
      <c r="D395" s="88">
        <f>IF($T395="","",IF($S395="S",IF(INDEX(Firms!$E$5:$E$1004,$T395)="","",INDEX(Firms!$E$5:$E$1004,$T395)),IF(INDEX('AFA Rates'!$C$5:$C$1004,$T395)="","",INDEX('AFA Rates'!$C$5:$C$1004,$T395))))</f>
        <v/>
      </c>
      <c r="E395" s="88">
        <f>IF($T395="","",IF($S395="S",IF(""="","",""),IF(INDEX('AFA Rates'!$D$5:$D$1004,$T395)="","",INDEX('AFA Rates'!$D$5:$D$1004,$T395))))</f>
        <v/>
      </c>
      <c r="F395" s="79">
        <f>IF($T395="","",IF($S395="S",IF(INDEX(Firms!$O$5:$O$1004,$T395)="","",INDEX(Firms!$O$5:$O$1004,$T395)),IF(INDEX('AFA Rates'!$O$5:$O$1004,$T395)="","",INDEX('AFA Rates'!$O$5:$O$1004,$T395))))</f>
        <v/>
      </c>
      <c r="G395" s="50">
        <f>IF($T395="","",IF($S395="S",IF(INDEX(Firms!$F$5:$F$1004,$T395)="","",INDEX(Firms!$F$5:$F$1004,$T395)),IF(INDEX('AFA Rates'!$E$5:$E$1004,$T395)="","",INDEX('AFA Rates'!$E$5:$E$1004,$T395))))</f>
        <v/>
      </c>
      <c r="H395" s="50">
        <f>IF($T395="","",IF($S395="S",IF(INDEX(Firms!$G$5:$G$1004,$T395)="","",INDEX(Firms!$G$5:$G$1004,$T395)),IF(INDEX('AFA Rates'!$F$5:$F$1004,$T395)="","",INDEX('AFA Rates'!$F$5:$F$1004,$T395))))</f>
        <v/>
      </c>
      <c r="I395" s="50">
        <f>IF($T395="","",IF($S395="S",IF(INDEX(Firms!$H$5:$H$1004,$T395)="","",INDEX(Firms!$H$5:$H$1004,$T395)),IF(INDEX('AFA Rates'!$G$5:$G$1004,$T395)="","",INDEX('AFA Rates'!$G$5:$G$1004,$T395))))</f>
        <v/>
      </c>
      <c r="J395" s="50">
        <f>IF($T395="","",IF($S395="S",IF(INDEX(Firms!$I$5:$I$1004,$T395)="","",INDEX(Firms!$I$5:$I$1004,$T395)),IF(INDEX('AFA Rates'!$H$5:$H$1004,$T395)="","",INDEX('AFA Rates'!$H$5:$H$1004,$T395))))</f>
        <v/>
      </c>
      <c r="K395" s="50">
        <f>IF($T395="","",IF($S395="S",IF(INDEX(Firms!$J$5:$J$1004,$T395)="","",INDEX(Firms!$J$5:$J$1004,$T395)),IF(INDEX('AFA Rates'!$I$5:$I$1004,$T395)="","",INDEX('AFA Rates'!$I$5:$I$1004,$T395))))</f>
        <v/>
      </c>
      <c r="L395" s="50">
        <f>IF($T395="","",IF($S395="S",IF(INDEX(Firms!$K$5:$K$1004,$T395)="","",INDEX(Firms!$K$5:$K$1004,$T395)),IF(INDEX('AFA Rates'!$J$5:$J$1004,$T395)="","",INDEX('AFA Rates'!$J$5:$J$1004,$T395))))</f>
        <v/>
      </c>
      <c r="M395" s="50">
        <f>IF($T395="","",IF($S395="S",IF(INDEX(Firms!$L$5:$L$1004,$T395)="","",INDEX(Firms!$L$5:$L$1004,$T395)),IF(INDEX('AFA Rates'!$K$5:$K$1004,$T395)="","",INDEX('AFA Rates'!$K$5:$K$1004,$T395))))</f>
        <v/>
      </c>
      <c r="N395" s="50">
        <f>IF($T395="","",IF($S395="S",IF(INDEX(Firms!$M$5:$M$1004,$T395)="","",INDEX(Firms!$M$5:$M$1004,$T395)),IF(INDEX('AFA Rates'!$L$5:$L$1004,$T395)="","",INDEX('AFA Rates'!$L$5:$L$1004,$T395))))</f>
        <v/>
      </c>
      <c r="O395" s="78">
        <f>IF(OR($T395="",$U395=""),"",IF(INDEX(Firms!$C$5:$C$1004,$U395)="","",INDEX(Firms!$C$5:$C$1004,$U395)))</f>
        <v/>
      </c>
      <c r="P395" s="79">
        <f>IF(OR($T395="",$U395=""),"",IF(INDEX(Firms!$N$5:$N$1004,$U395)="","",INDEX(Firms!$N$5:$N$1004,$U395)))</f>
        <v/>
      </c>
      <c r="Q395" s="78">
        <f>IF($T395="","",IF($S395="S",IF(INDEX(Firms!$T$5:$T$1004,$T395)="","",INDEX(Firms!$T$5:$T$1004,$T395)),IF(INDEX('AFA Rates'!$M$5:$M$1004,$T395)="","",INDEX('AFA Rates'!$M$5:$M$1004,$T395))))</f>
        <v/>
      </c>
      <c r="S395">
        <f>IF(391&lt;=$S$2,"S",IF(391&lt;=$S$2+$T$2,"A",""))</f>
        <v/>
      </c>
      <c r="T395">
        <f>IF(S395="S",MATCH(391,Firms!$W$5:$W$1004,0),IF(S395="A",IFERROR(MATCH(391-$S$2,'AFA Rates'!$R$5:$R$1004,0),""),""))</f>
        <v/>
      </c>
      <c r="U395">
        <f>IF(S395="S",T395,IF(AND(S395="A",T395&lt;&gt;""),IFERROR(MATCH(INDEX('AFA Rates'!$A$5:$A$1004,T395),Firms!$A$5:$A$1004,0),""),""))</f>
        <v/>
      </c>
    </row>
    <row r="396">
      <c r="A396" s="78">
        <f>IF($T396="","",IF($S396="S",IF(INDEX(Firms!$A$5:$A$1004,$T396)="","",INDEX(Firms!$A$5:$A$1004,$T396)),IF(INDEX('AFA Rates'!$A$5:$A$1004,$T396)="","",INDEX('AFA Rates'!$A$5:$A$1004,$T396))))</f>
        <v/>
      </c>
      <c r="B396" s="79">
        <f>IF(OR($T396="",$U396=""),IF($T396="","","Not on Firms tab"),INDEX(Firms!$B$5:$B$1004,$U396)&amp;"")</f>
        <v/>
      </c>
      <c r="C396" s="78">
        <f>IF($T396="","",IF($S396="S","Standard",INDEX('AFA Rates'!$B$5:$B$1004,$T396)&amp;""))</f>
        <v/>
      </c>
      <c r="D396" s="88">
        <f>IF($T396="","",IF($S396="S",IF(INDEX(Firms!$E$5:$E$1004,$T396)="","",INDEX(Firms!$E$5:$E$1004,$T396)),IF(INDEX('AFA Rates'!$C$5:$C$1004,$T396)="","",INDEX('AFA Rates'!$C$5:$C$1004,$T396))))</f>
        <v/>
      </c>
      <c r="E396" s="88">
        <f>IF($T396="","",IF($S396="S",IF(""="","",""),IF(INDEX('AFA Rates'!$D$5:$D$1004,$T396)="","",INDEX('AFA Rates'!$D$5:$D$1004,$T396))))</f>
        <v/>
      </c>
      <c r="F396" s="79">
        <f>IF($T396="","",IF($S396="S",IF(INDEX(Firms!$O$5:$O$1004,$T396)="","",INDEX(Firms!$O$5:$O$1004,$T396)),IF(INDEX('AFA Rates'!$O$5:$O$1004,$T396)="","",INDEX('AFA Rates'!$O$5:$O$1004,$T396))))</f>
        <v/>
      </c>
      <c r="G396" s="50">
        <f>IF($T396="","",IF($S396="S",IF(INDEX(Firms!$F$5:$F$1004,$T396)="","",INDEX(Firms!$F$5:$F$1004,$T396)),IF(INDEX('AFA Rates'!$E$5:$E$1004,$T396)="","",INDEX('AFA Rates'!$E$5:$E$1004,$T396))))</f>
        <v/>
      </c>
      <c r="H396" s="50">
        <f>IF($T396="","",IF($S396="S",IF(INDEX(Firms!$G$5:$G$1004,$T396)="","",INDEX(Firms!$G$5:$G$1004,$T396)),IF(INDEX('AFA Rates'!$F$5:$F$1004,$T396)="","",INDEX('AFA Rates'!$F$5:$F$1004,$T396))))</f>
        <v/>
      </c>
      <c r="I396" s="50">
        <f>IF($T396="","",IF($S396="S",IF(INDEX(Firms!$H$5:$H$1004,$T396)="","",INDEX(Firms!$H$5:$H$1004,$T396)),IF(INDEX('AFA Rates'!$G$5:$G$1004,$T396)="","",INDEX('AFA Rates'!$G$5:$G$1004,$T396))))</f>
        <v/>
      </c>
      <c r="J396" s="50">
        <f>IF($T396="","",IF($S396="S",IF(INDEX(Firms!$I$5:$I$1004,$T396)="","",INDEX(Firms!$I$5:$I$1004,$T396)),IF(INDEX('AFA Rates'!$H$5:$H$1004,$T396)="","",INDEX('AFA Rates'!$H$5:$H$1004,$T396))))</f>
        <v/>
      </c>
      <c r="K396" s="50">
        <f>IF($T396="","",IF($S396="S",IF(INDEX(Firms!$J$5:$J$1004,$T396)="","",INDEX(Firms!$J$5:$J$1004,$T396)),IF(INDEX('AFA Rates'!$I$5:$I$1004,$T396)="","",INDEX('AFA Rates'!$I$5:$I$1004,$T396))))</f>
        <v/>
      </c>
      <c r="L396" s="50">
        <f>IF($T396="","",IF($S396="S",IF(INDEX(Firms!$K$5:$K$1004,$T396)="","",INDEX(Firms!$K$5:$K$1004,$T396)),IF(INDEX('AFA Rates'!$J$5:$J$1004,$T396)="","",INDEX('AFA Rates'!$J$5:$J$1004,$T396))))</f>
        <v/>
      </c>
      <c r="M396" s="50">
        <f>IF($T396="","",IF($S396="S",IF(INDEX(Firms!$L$5:$L$1004,$T396)="","",INDEX(Firms!$L$5:$L$1004,$T396)),IF(INDEX('AFA Rates'!$K$5:$K$1004,$T396)="","",INDEX('AFA Rates'!$K$5:$K$1004,$T396))))</f>
        <v/>
      </c>
      <c r="N396" s="50">
        <f>IF($T396="","",IF($S396="S",IF(INDEX(Firms!$M$5:$M$1004,$T396)="","",INDEX(Firms!$M$5:$M$1004,$T396)),IF(INDEX('AFA Rates'!$L$5:$L$1004,$T396)="","",INDEX('AFA Rates'!$L$5:$L$1004,$T396))))</f>
        <v/>
      </c>
      <c r="O396" s="78">
        <f>IF(OR($T396="",$U396=""),"",IF(INDEX(Firms!$C$5:$C$1004,$U396)="","",INDEX(Firms!$C$5:$C$1004,$U396)))</f>
        <v/>
      </c>
      <c r="P396" s="79">
        <f>IF(OR($T396="",$U396=""),"",IF(INDEX(Firms!$N$5:$N$1004,$U396)="","",INDEX(Firms!$N$5:$N$1004,$U396)))</f>
        <v/>
      </c>
      <c r="Q396" s="78">
        <f>IF($T396="","",IF($S396="S",IF(INDEX(Firms!$T$5:$T$1004,$T396)="","",INDEX(Firms!$T$5:$T$1004,$T396)),IF(INDEX('AFA Rates'!$M$5:$M$1004,$T396)="","",INDEX('AFA Rates'!$M$5:$M$1004,$T396))))</f>
        <v/>
      </c>
      <c r="S396">
        <f>IF(392&lt;=$S$2,"S",IF(392&lt;=$S$2+$T$2,"A",""))</f>
        <v/>
      </c>
      <c r="T396">
        <f>IF(S396="S",MATCH(392,Firms!$W$5:$W$1004,0),IF(S396="A",IFERROR(MATCH(392-$S$2,'AFA Rates'!$R$5:$R$1004,0),""),""))</f>
        <v/>
      </c>
      <c r="U396">
        <f>IF(S396="S",T396,IF(AND(S396="A",T396&lt;&gt;""),IFERROR(MATCH(INDEX('AFA Rates'!$A$5:$A$1004,T396),Firms!$A$5:$A$1004,0),""),""))</f>
        <v/>
      </c>
    </row>
    <row r="397">
      <c r="A397" s="78">
        <f>IF($T397="","",IF($S397="S",IF(INDEX(Firms!$A$5:$A$1004,$T397)="","",INDEX(Firms!$A$5:$A$1004,$T397)),IF(INDEX('AFA Rates'!$A$5:$A$1004,$T397)="","",INDEX('AFA Rates'!$A$5:$A$1004,$T397))))</f>
        <v/>
      </c>
      <c r="B397" s="79">
        <f>IF(OR($T397="",$U397=""),IF($T397="","","Not on Firms tab"),INDEX(Firms!$B$5:$B$1004,$U397)&amp;"")</f>
        <v/>
      </c>
      <c r="C397" s="78">
        <f>IF($T397="","",IF($S397="S","Standard",INDEX('AFA Rates'!$B$5:$B$1004,$T397)&amp;""))</f>
        <v/>
      </c>
      <c r="D397" s="88">
        <f>IF($T397="","",IF($S397="S",IF(INDEX(Firms!$E$5:$E$1004,$T397)="","",INDEX(Firms!$E$5:$E$1004,$T397)),IF(INDEX('AFA Rates'!$C$5:$C$1004,$T397)="","",INDEX('AFA Rates'!$C$5:$C$1004,$T397))))</f>
        <v/>
      </c>
      <c r="E397" s="88">
        <f>IF($T397="","",IF($S397="S",IF(""="","",""),IF(INDEX('AFA Rates'!$D$5:$D$1004,$T397)="","",INDEX('AFA Rates'!$D$5:$D$1004,$T397))))</f>
        <v/>
      </c>
      <c r="F397" s="79">
        <f>IF($T397="","",IF($S397="S",IF(INDEX(Firms!$O$5:$O$1004,$T397)="","",INDEX(Firms!$O$5:$O$1004,$T397)),IF(INDEX('AFA Rates'!$O$5:$O$1004,$T397)="","",INDEX('AFA Rates'!$O$5:$O$1004,$T397))))</f>
        <v/>
      </c>
      <c r="G397" s="50">
        <f>IF($T397="","",IF($S397="S",IF(INDEX(Firms!$F$5:$F$1004,$T397)="","",INDEX(Firms!$F$5:$F$1004,$T397)),IF(INDEX('AFA Rates'!$E$5:$E$1004,$T397)="","",INDEX('AFA Rates'!$E$5:$E$1004,$T397))))</f>
        <v/>
      </c>
      <c r="H397" s="50">
        <f>IF($T397="","",IF($S397="S",IF(INDEX(Firms!$G$5:$G$1004,$T397)="","",INDEX(Firms!$G$5:$G$1004,$T397)),IF(INDEX('AFA Rates'!$F$5:$F$1004,$T397)="","",INDEX('AFA Rates'!$F$5:$F$1004,$T397))))</f>
        <v/>
      </c>
      <c r="I397" s="50">
        <f>IF($T397="","",IF($S397="S",IF(INDEX(Firms!$H$5:$H$1004,$T397)="","",INDEX(Firms!$H$5:$H$1004,$T397)),IF(INDEX('AFA Rates'!$G$5:$G$1004,$T397)="","",INDEX('AFA Rates'!$G$5:$G$1004,$T397))))</f>
        <v/>
      </c>
      <c r="J397" s="50">
        <f>IF($T397="","",IF($S397="S",IF(INDEX(Firms!$I$5:$I$1004,$T397)="","",INDEX(Firms!$I$5:$I$1004,$T397)),IF(INDEX('AFA Rates'!$H$5:$H$1004,$T397)="","",INDEX('AFA Rates'!$H$5:$H$1004,$T397))))</f>
        <v/>
      </c>
      <c r="K397" s="50">
        <f>IF($T397="","",IF($S397="S",IF(INDEX(Firms!$J$5:$J$1004,$T397)="","",INDEX(Firms!$J$5:$J$1004,$T397)),IF(INDEX('AFA Rates'!$I$5:$I$1004,$T397)="","",INDEX('AFA Rates'!$I$5:$I$1004,$T397))))</f>
        <v/>
      </c>
      <c r="L397" s="50">
        <f>IF($T397="","",IF($S397="S",IF(INDEX(Firms!$K$5:$K$1004,$T397)="","",INDEX(Firms!$K$5:$K$1004,$T397)),IF(INDEX('AFA Rates'!$J$5:$J$1004,$T397)="","",INDEX('AFA Rates'!$J$5:$J$1004,$T397))))</f>
        <v/>
      </c>
      <c r="M397" s="50">
        <f>IF($T397="","",IF($S397="S",IF(INDEX(Firms!$L$5:$L$1004,$T397)="","",INDEX(Firms!$L$5:$L$1004,$T397)),IF(INDEX('AFA Rates'!$K$5:$K$1004,$T397)="","",INDEX('AFA Rates'!$K$5:$K$1004,$T397))))</f>
        <v/>
      </c>
      <c r="N397" s="50">
        <f>IF($T397="","",IF($S397="S",IF(INDEX(Firms!$M$5:$M$1004,$T397)="","",INDEX(Firms!$M$5:$M$1004,$T397)),IF(INDEX('AFA Rates'!$L$5:$L$1004,$T397)="","",INDEX('AFA Rates'!$L$5:$L$1004,$T397))))</f>
        <v/>
      </c>
      <c r="O397" s="78">
        <f>IF(OR($T397="",$U397=""),"",IF(INDEX(Firms!$C$5:$C$1004,$U397)="","",INDEX(Firms!$C$5:$C$1004,$U397)))</f>
        <v/>
      </c>
      <c r="P397" s="79">
        <f>IF(OR($T397="",$U397=""),"",IF(INDEX(Firms!$N$5:$N$1004,$U397)="","",INDEX(Firms!$N$5:$N$1004,$U397)))</f>
        <v/>
      </c>
      <c r="Q397" s="78">
        <f>IF($T397="","",IF($S397="S",IF(INDEX(Firms!$T$5:$T$1004,$T397)="","",INDEX(Firms!$T$5:$T$1004,$T397)),IF(INDEX('AFA Rates'!$M$5:$M$1004,$T397)="","",INDEX('AFA Rates'!$M$5:$M$1004,$T397))))</f>
        <v/>
      </c>
      <c r="S397">
        <f>IF(393&lt;=$S$2,"S",IF(393&lt;=$S$2+$T$2,"A",""))</f>
        <v/>
      </c>
      <c r="T397">
        <f>IF(S397="S",MATCH(393,Firms!$W$5:$W$1004,0),IF(S397="A",IFERROR(MATCH(393-$S$2,'AFA Rates'!$R$5:$R$1004,0),""),""))</f>
        <v/>
      </c>
      <c r="U397">
        <f>IF(S397="S",T397,IF(AND(S397="A",T397&lt;&gt;""),IFERROR(MATCH(INDEX('AFA Rates'!$A$5:$A$1004,T397),Firms!$A$5:$A$1004,0),""),""))</f>
        <v/>
      </c>
    </row>
    <row r="398">
      <c r="A398" s="78">
        <f>IF($T398="","",IF($S398="S",IF(INDEX(Firms!$A$5:$A$1004,$T398)="","",INDEX(Firms!$A$5:$A$1004,$T398)),IF(INDEX('AFA Rates'!$A$5:$A$1004,$T398)="","",INDEX('AFA Rates'!$A$5:$A$1004,$T398))))</f>
        <v/>
      </c>
      <c r="B398" s="79">
        <f>IF(OR($T398="",$U398=""),IF($T398="","","Not on Firms tab"),INDEX(Firms!$B$5:$B$1004,$U398)&amp;"")</f>
        <v/>
      </c>
      <c r="C398" s="78">
        <f>IF($T398="","",IF($S398="S","Standard",INDEX('AFA Rates'!$B$5:$B$1004,$T398)&amp;""))</f>
        <v/>
      </c>
      <c r="D398" s="88">
        <f>IF($T398="","",IF($S398="S",IF(INDEX(Firms!$E$5:$E$1004,$T398)="","",INDEX(Firms!$E$5:$E$1004,$T398)),IF(INDEX('AFA Rates'!$C$5:$C$1004,$T398)="","",INDEX('AFA Rates'!$C$5:$C$1004,$T398))))</f>
        <v/>
      </c>
      <c r="E398" s="88">
        <f>IF($T398="","",IF($S398="S",IF(""="","",""),IF(INDEX('AFA Rates'!$D$5:$D$1004,$T398)="","",INDEX('AFA Rates'!$D$5:$D$1004,$T398))))</f>
        <v/>
      </c>
      <c r="F398" s="79">
        <f>IF($T398="","",IF($S398="S",IF(INDEX(Firms!$O$5:$O$1004,$T398)="","",INDEX(Firms!$O$5:$O$1004,$T398)),IF(INDEX('AFA Rates'!$O$5:$O$1004,$T398)="","",INDEX('AFA Rates'!$O$5:$O$1004,$T398))))</f>
        <v/>
      </c>
      <c r="G398" s="50">
        <f>IF($T398="","",IF($S398="S",IF(INDEX(Firms!$F$5:$F$1004,$T398)="","",INDEX(Firms!$F$5:$F$1004,$T398)),IF(INDEX('AFA Rates'!$E$5:$E$1004,$T398)="","",INDEX('AFA Rates'!$E$5:$E$1004,$T398))))</f>
        <v/>
      </c>
      <c r="H398" s="50">
        <f>IF($T398="","",IF($S398="S",IF(INDEX(Firms!$G$5:$G$1004,$T398)="","",INDEX(Firms!$G$5:$G$1004,$T398)),IF(INDEX('AFA Rates'!$F$5:$F$1004,$T398)="","",INDEX('AFA Rates'!$F$5:$F$1004,$T398))))</f>
        <v/>
      </c>
      <c r="I398" s="50">
        <f>IF($T398="","",IF($S398="S",IF(INDEX(Firms!$H$5:$H$1004,$T398)="","",INDEX(Firms!$H$5:$H$1004,$T398)),IF(INDEX('AFA Rates'!$G$5:$G$1004,$T398)="","",INDEX('AFA Rates'!$G$5:$G$1004,$T398))))</f>
        <v/>
      </c>
      <c r="J398" s="50">
        <f>IF($T398="","",IF($S398="S",IF(INDEX(Firms!$I$5:$I$1004,$T398)="","",INDEX(Firms!$I$5:$I$1004,$T398)),IF(INDEX('AFA Rates'!$H$5:$H$1004,$T398)="","",INDEX('AFA Rates'!$H$5:$H$1004,$T398))))</f>
        <v/>
      </c>
      <c r="K398" s="50">
        <f>IF($T398="","",IF($S398="S",IF(INDEX(Firms!$J$5:$J$1004,$T398)="","",INDEX(Firms!$J$5:$J$1004,$T398)),IF(INDEX('AFA Rates'!$I$5:$I$1004,$T398)="","",INDEX('AFA Rates'!$I$5:$I$1004,$T398))))</f>
        <v/>
      </c>
      <c r="L398" s="50">
        <f>IF($T398="","",IF($S398="S",IF(INDEX(Firms!$K$5:$K$1004,$T398)="","",INDEX(Firms!$K$5:$K$1004,$T398)),IF(INDEX('AFA Rates'!$J$5:$J$1004,$T398)="","",INDEX('AFA Rates'!$J$5:$J$1004,$T398))))</f>
        <v/>
      </c>
      <c r="M398" s="50">
        <f>IF($T398="","",IF($S398="S",IF(INDEX(Firms!$L$5:$L$1004,$T398)="","",INDEX(Firms!$L$5:$L$1004,$T398)),IF(INDEX('AFA Rates'!$K$5:$K$1004,$T398)="","",INDEX('AFA Rates'!$K$5:$K$1004,$T398))))</f>
        <v/>
      </c>
      <c r="N398" s="50">
        <f>IF($T398="","",IF($S398="S",IF(INDEX(Firms!$M$5:$M$1004,$T398)="","",INDEX(Firms!$M$5:$M$1004,$T398)),IF(INDEX('AFA Rates'!$L$5:$L$1004,$T398)="","",INDEX('AFA Rates'!$L$5:$L$1004,$T398))))</f>
        <v/>
      </c>
      <c r="O398" s="78">
        <f>IF(OR($T398="",$U398=""),"",IF(INDEX(Firms!$C$5:$C$1004,$U398)="","",INDEX(Firms!$C$5:$C$1004,$U398)))</f>
        <v/>
      </c>
      <c r="P398" s="79">
        <f>IF(OR($T398="",$U398=""),"",IF(INDEX(Firms!$N$5:$N$1004,$U398)="","",INDEX(Firms!$N$5:$N$1004,$U398)))</f>
        <v/>
      </c>
      <c r="Q398" s="78">
        <f>IF($T398="","",IF($S398="S",IF(INDEX(Firms!$T$5:$T$1004,$T398)="","",INDEX(Firms!$T$5:$T$1004,$T398)),IF(INDEX('AFA Rates'!$M$5:$M$1004,$T398)="","",INDEX('AFA Rates'!$M$5:$M$1004,$T398))))</f>
        <v/>
      </c>
      <c r="S398">
        <f>IF(394&lt;=$S$2,"S",IF(394&lt;=$S$2+$T$2,"A",""))</f>
        <v/>
      </c>
      <c r="T398">
        <f>IF(S398="S",MATCH(394,Firms!$W$5:$W$1004,0),IF(S398="A",IFERROR(MATCH(394-$S$2,'AFA Rates'!$R$5:$R$1004,0),""),""))</f>
        <v/>
      </c>
      <c r="U398">
        <f>IF(S398="S",T398,IF(AND(S398="A",T398&lt;&gt;""),IFERROR(MATCH(INDEX('AFA Rates'!$A$5:$A$1004,T398),Firms!$A$5:$A$1004,0),""),""))</f>
        <v/>
      </c>
    </row>
    <row r="399">
      <c r="A399" s="78">
        <f>IF($T399="","",IF($S399="S",IF(INDEX(Firms!$A$5:$A$1004,$T399)="","",INDEX(Firms!$A$5:$A$1004,$T399)),IF(INDEX('AFA Rates'!$A$5:$A$1004,$T399)="","",INDEX('AFA Rates'!$A$5:$A$1004,$T399))))</f>
        <v/>
      </c>
      <c r="B399" s="79">
        <f>IF(OR($T399="",$U399=""),IF($T399="","","Not on Firms tab"),INDEX(Firms!$B$5:$B$1004,$U399)&amp;"")</f>
        <v/>
      </c>
      <c r="C399" s="78">
        <f>IF($T399="","",IF($S399="S","Standard",INDEX('AFA Rates'!$B$5:$B$1004,$T399)&amp;""))</f>
        <v/>
      </c>
      <c r="D399" s="88">
        <f>IF($T399="","",IF($S399="S",IF(INDEX(Firms!$E$5:$E$1004,$T399)="","",INDEX(Firms!$E$5:$E$1004,$T399)),IF(INDEX('AFA Rates'!$C$5:$C$1004,$T399)="","",INDEX('AFA Rates'!$C$5:$C$1004,$T399))))</f>
        <v/>
      </c>
      <c r="E399" s="88">
        <f>IF($T399="","",IF($S399="S",IF(""="","",""),IF(INDEX('AFA Rates'!$D$5:$D$1004,$T399)="","",INDEX('AFA Rates'!$D$5:$D$1004,$T399))))</f>
        <v/>
      </c>
      <c r="F399" s="79">
        <f>IF($T399="","",IF($S399="S",IF(INDEX(Firms!$O$5:$O$1004,$T399)="","",INDEX(Firms!$O$5:$O$1004,$T399)),IF(INDEX('AFA Rates'!$O$5:$O$1004,$T399)="","",INDEX('AFA Rates'!$O$5:$O$1004,$T399))))</f>
        <v/>
      </c>
      <c r="G399" s="50">
        <f>IF($T399="","",IF($S399="S",IF(INDEX(Firms!$F$5:$F$1004,$T399)="","",INDEX(Firms!$F$5:$F$1004,$T399)),IF(INDEX('AFA Rates'!$E$5:$E$1004,$T399)="","",INDEX('AFA Rates'!$E$5:$E$1004,$T399))))</f>
        <v/>
      </c>
      <c r="H399" s="50">
        <f>IF($T399="","",IF($S399="S",IF(INDEX(Firms!$G$5:$G$1004,$T399)="","",INDEX(Firms!$G$5:$G$1004,$T399)),IF(INDEX('AFA Rates'!$F$5:$F$1004,$T399)="","",INDEX('AFA Rates'!$F$5:$F$1004,$T399))))</f>
        <v/>
      </c>
      <c r="I399" s="50">
        <f>IF($T399="","",IF($S399="S",IF(INDEX(Firms!$H$5:$H$1004,$T399)="","",INDEX(Firms!$H$5:$H$1004,$T399)),IF(INDEX('AFA Rates'!$G$5:$G$1004,$T399)="","",INDEX('AFA Rates'!$G$5:$G$1004,$T399))))</f>
        <v/>
      </c>
      <c r="J399" s="50">
        <f>IF($T399="","",IF($S399="S",IF(INDEX(Firms!$I$5:$I$1004,$T399)="","",INDEX(Firms!$I$5:$I$1004,$T399)),IF(INDEX('AFA Rates'!$H$5:$H$1004,$T399)="","",INDEX('AFA Rates'!$H$5:$H$1004,$T399))))</f>
        <v/>
      </c>
      <c r="K399" s="50">
        <f>IF($T399="","",IF($S399="S",IF(INDEX(Firms!$J$5:$J$1004,$T399)="","",INDEX(Firms!$J$5:$J$1004,$T399)),IF(INDEX('AFA Rates'!$I$5:$I$1004,$T399)="","",INDEX('AFA Rates'!$I$5:$I$1004,$T399))))</f>
        <v/>
      </c>
      <c r="L399" s="50">
        <f>IF($T399="","",IF($S399="S",IF(INDEX(Firms!$K$5:$K$1004,$T399)="","",INDEX(Firms!$K$5:$K$1004,$T399)),IF(INDEX('AFA Rates'!$J$5:$J$1004,$T399)="","",INDEX('AFA Rates'!$J$5:$J$1004,$T399))))</f>
        <v/>
      </c>
      <c r="M399" s="50">
        <f>IF($T399="","",IF($S399="S",IF(INDEX(Firms!$L$5:$L$1004,$T399)="","",INDEX(Firms!$L$5:$L$1004,$T399)),IF(INDEX('AFA Rates'!$K$5:$K$1004,$T399)="","",INDEX('AFA Rates'!$K$5:$K$1004,$T399))))</f>
        <v/>
      </c>
      <c r="N399" s="50">
        <f>IF($T399="","",IF($S399="S",IF(INDEX(Firms!$M$5:$M$1004,$T399)="","",INDEX(Firms!$M$5:$M$1004,$T399)),IF(INDEX('AFA Rates'!$L$5:$L$1004,$T399)="","",INDEX('AFA Rates'!$L$5:$L$1004,$T399))))</f>
        <v/>
      </c>
      <c r="O399" s="78">
        <f>IF(OR($T399="",$U399=""),"",IF(INDEX(Firms!$C$5:$C$1004,$U399)="","",INDEX(Firms!$C$5:$C$1004,$U399)))</f>
        <v/>
      </c>
      <c r="P399" s="79">
        <f>IF(OR($T399="",$U399=""),"",IF(INDEX(Firms!$N$5:$N$1004,$U399)="","",INDEX(Firms!$N$5:$N$1004,$U399)))</f>
        <v/>
      </c>
      <c r="Q399" s="78">
        <f>IF($T399="","",IF($S399="S",IF(INDEX(Firms!$T$5:$T$1004,$T399)="","",INDEX(Firms!$T$5:$T$1004,$T399)),IF(INDEX('AFA Rates'!$M$5:$M$1004,$T399)="","",INDEX('AFA Rates'!$M$5:$M$1004,$T399))))</f>
        <v/>
      </c>
      <c r="S399">
        <f>IF(395&lt;=$S$2,"S",IF(395&lt;=$S$2+$T$2,"A",""))</f>
        <v/>
      </c>
      <c r="T399">
        <f>IF(S399="S",MATCH(395,Firms!$W$5:$W$1004,0),IF(S399="A",IFERROR(MATCH(395-$S$2,'AFA Rates'!$R$5:$R$1004,0),""),""))</f>
        <v/>
      </c>
      <c r="U399">
        <f>IF(S399="S",T399,IF(AND(S399="A",T399&lt;&gt;""),IFERROR(MATCH(INDEX('AFA Rates'!$A$5:$A$1004,T399),Firms!$A$5:$A$1004,0),""),""))</f>
        <v/>
      </c>
    </row>
    <row r="400">
      <c r="A400" s="78">
        <f>IF($T400="","",IF($S400="S",IF(INDEX(Firms!$A$5:$A$1004,$T400)="","",INDEX(Firms!$A$5:$A$1004,$T400)),IF(INDEX('AFA Rates'!$A$5:$A$1004,$T400)="","",INDEX('AFA Rates'!$A$5:$A$1004,$T400))))</f>
        <v/>
      </c>
      <c r="B400" s="79">
        <f>IF(OR($T400="",$U400=""),IF($T400="","","Not on Firms tab"),INDEX(Firms!$B$5:$B$1004,$U400)&amp;"")</f>
        <v/>
      </c>
      <c r="C400" s="78">
        <f>IF($T400="","",IF($S400="S","Standard",INDEX('AFA Rates'!$B$5:$B$1004,$T400)&amp;""))</f>
        <v/>
      </c>
      <c r="D400" s="88">
        <f>IF($T400="","",IF($S400="S",IF(INDEX(Firms!$E$5:$E$1004,$T400)="","",INDEX(Firms!$E$5:$E$1004,$T400)),IF(INDEX('AFA Rates'!$C$5:$C$1004,$T400)="","",INDEX('AFA Rates'!$C$5:$C$1004,$T400))))</f>
        <v/>
      </c>
      <c r="E400" s="88">
        <f>IF($T400="","",IF($S400="S",IF(""="","",""),IF(INDEX('AFA Rates'!$D$5:$D$1004,$T400)="","",INDEX('AFA Rates'!$D$5:$D$1004,$T400))))</f>
        <v/>
      </c>
      <c r="F400" s="79">
        <f>IF($T400="","",IF($S400="S",IF(INDEX(Firms!$O$5:$O$1004,$T400)="","",INDEX(Firms!$O$5:$O$1004,$T400)),IF(INDEX('AFA Rates'!$O$5:$O$1004,$T400)="","",INDEX('AFA Rates'!$O$5:$O$1004,$T400))))</f>
        <v/>
      </c>
      <c r="G400" s="50">
        <f>IF($T400="","",IF($S400="S",IF(INDEX(Firms!$F$5:$F$1004,$T400)="","",INDEX(Firms!$F$5:$F$1004,$T400)),IF(INDEX('AFA Rates'!$E$5:$E$1004,$T400)="","",INDEX('AFA Rates'!$E$5:$E$1004,$T400))))</f>
        <v/>
      </c>
      <c r="H400" s="50">
        <f>IF($T400="","",IF($S400="S",IF(INDEX(Firms!$G$5:$G$1004,$T400)="","",INDEX(Firms!$G$5:$G$1004,$T400)),IF(INDEX('AFA Rates'!$F$5:$F$1004,$T400)="","",INDEX('AFA Rates'!$F$5:$F$1004,$T400))))</f>
        <v/>
      </c>
      <c r="I400" s="50">
        <f>IF($T400="","",IF($S400="S",IF(INDEX(Firms!$H$5:$H$1004,$T400)="","",INDEX(Firms!$H$5:$H$1004,$T400)),IF(INDEX('AFA Rates'!$G$5:$G$1004,$T400)="","",INDEX('AFA Rates'!$G$5:$G$1004,$T400))))</f>
        <v/>
      </c>
      <c r="J400" s="50">
        <f>IF($T400="","",IF($S400="S",IF(INDEX(Firms!$I$5:$I$1004,$T400)="","",INDEX(Firms!$I$5:$I$1004,$T400)),IF(INDEX('AFA Rates'!$H$5:$H$1004,$T400)="","",INDEX('AFA Rates'!$H$5:$H$1004,$T400))))</f>
        <v/>
      </c>
      <c r="K400" s="50">
        <f>IF($T400="","",IF($S400="S",IF(INDEX(Firms!$J$5:$J$1004,$T400)="","",INDEX(Firms!$J$5:$J$1004,$T400)),IF(INDEX('AFA Rates'!$I$5:$I$1004,$T400)="","",INDEX('AFA Rates'!$I$5:$I$1004,$T400))))</f>
        <v/>
      </c>
      <c r="L400" s="50">
        <f>IF($T400="","",IF($S400="S",IF(INDEX(Firms!$K$5:$K$1004,$T400)="","",INDEX(Firms!$K$5:$K$1004,$T400)),IF(INDEX('AFA Rates'!$J$5:$J$1004,$T400)="","",INDEX('AFA Rates'!$J$5:$J$1004,$T400))))</f>
        <v/>
      </c>
      <c r="M400" s="50">
        <f>IF($T400="","",IF($S400="S",IF(INDEX(Firms!$L$5:$L$1004,$T400)="","",INDEX(Firms!$L$5:$L$1004,$T400)),IF(INDEX('AFA Rates'!$K$5:$K$1004,$T400)="","",INDEX('AFA Rates'!$K$5:$K$1004,$T400))))</f>
        <v/>
      </c>
      <c r="N400" s="50">
        <f>IF($T400="","",IF($S400="S",IF(INDEX(Firms!$M$5:$M$1004,$T400)="","",INDEX(Firms!$M$5:$M$1004,$T400)),IF(INDEX('AFA Rates'!$L$5:$L$1004,$T400)="","",INDEX('AFA Rates'!$L$5:$L$1004,$T400))))</f>
        <v/>
      </c>
      <c r="O400" s="78">
        <f>IF(OR($T400="",$U400=""),"",IF(INDEX(Firms!$C$5:$C$1004,$U400)="","",INDEX(Firms!$C$5:$C$1004,$U400)))</f>
        <v/>
      </c>
      <c r="P400" s="79">
        <f>IF(OR($T400="",$U400=""),"",IF(INDEX(Firms!$N$5:$N$1004,$U400)="","",INDEX(Firms!$N$5:$N$1004,$U400)))</f>
        <v/>
      </c>
      <c r="Q400" s="78">
        <f>IF($T400="","",IF($S400="S",IF(INDEX(Firms!$T$5:$T$1004,$T400)="","",INDEX(Firms!$T$5:$T$1004,$T400)),IF(INDEX('AFA Rates'!$M$5:$M$1004,$T400)="","",INDEX('AFA Rates'!$M$5:$M$1004,$T400))))</f>
        <v/>
      </c>
      <c r="S400">
        <f>IF(396&lt;=$S$2,"S",IF(396&lt;=$S$2+$T$2,"A",""))</f>
        <v/>
      </c>
      <c r="T400">
        <f>IF(S400="S",MATCH(396,Firms!$W$5:$W$1004,0),IF(S400="A",IFERROR(MATCH(396-$S$2,'AFA Rates'!$R$5:$R$1004,0),""),""))</f>
        <v/>
      </c>
      <c r="U400">
        <f>IF(S400="S",T400,IF(AND(S400="A",T400&lt;&gt;""),IFERROR(MATCH(INDEX('AFA Rates'!$A$5:$A$1004,T400),Firms!$A$5:$A$1004,0),""),""))</f>
        <v/>
      </c>
    </row>
    <row r="401">
      <c r="A401" s="78">
        <f>IF($T401="","",IF($S401="S",IF(INDEX(Firms!$A$5:$A$1004,$T401)="","",INDEX(Firms!$A$5:$A$1004,$T401)),IF(INDEX('AFA Rates'!$A$5:$A$1004,$T401)="","",INDEX('AFA Rates'!$A$5:$A$1004,$T401))))</f>
        <v/>
      </c>
      <c r="B401" s="79">
        <f>IF(OR($T401="",$U401=""),IF($T401="","","Not on Firms tab"),INDEX(Firms!$B$5:$B$1004,$U401)&amp;"")</f>
        <v/>
      </c>
      <c r="C401" s="78">
        <f>IF($T401="","",IF($S401="S","Standard",INDEX('AFA Rates'!$B$5:$B$1004,$T401)&amp;""))</f>
        <v/>
      </c>
      <c r="D401" s="88">
        <f>IF($T401="","",IF($S401="S",IF(INDEX(Firms!$E$5:$E$1004,$T401)="","",INDEX(Firms!$E$5:$E$1004,$T401)),IF(INDEX('AFA Rates'!$C$5:$C$1004,$T401)="","",INDEX('AFA Rates'!$C$5:$C$1004,$T401))))</f>
        <v/>
      </c>
      <c r="E401" s="88">
        <f>IF($T401="","",IF($S401="S",IF(""="","",""),IF(INDEX('AFA Rates'!$D$5:$D$1004,$T401)="","",INDEX('AFA Rates'!$D$5:$D$1004,$T401))))</f>
        <v/>
      </c>
      <c r="F401" s="79">
        <f>IF($T401="","",IF($S401="S",IF(INDEX(Firms!$O$5:$O$1004,$T401)="","",INDEX(Firms!$O$5:$O$1004,$T401)),IF(INDEX('AFA Rates'!$O$5:$O$1004,$T401)="","",INDEX('AFA Rates'!$O$5:$O$1004,$T401))))</f>
        <v/>
      </c>
      <c r="G401" s="50">
        <f>IF($T401="","",IF($S401="S",IF(INDEX(Firms!$F$5:$F$1004,$T401)="","",INDEX(Firms!$F$5:$F$1004,$T401)),IF(INDEX('AFA Rates'!$E$5:$E$1004,$T401)="","",INDEX('AFA Rates'!$E$5:$E$1004,$T401))))</f>
        <v/>
      </c>
      <c r="H401" s="50">
        <f>IF($T401="","",IF($S401="S",IF(INDEX(Firms!$G$5:$G$1004,$T401)="","",INDEX(Firms!$G$5:$G$1004,$T401)),IF(INDEX('AFA Rates'!$F$5:$F$1004,$T401)="","",INDEX('AFA Rates'!$F$5:$F$1004,$T401))))</f>
        <v/>
      </c>
      <c r="I401" s="50">
        <f>IF($T401="","",IF($S401="S",IF(INDEX(Firms!$H$5:$H$1004,$T401)="","",INDEX(Firms!$H$5:$H$1004,$T401)),IF(INDEX('AFA Rates'!$G$5:$G$1004,$T401)="","",INDEX('AFA Rates'!$G$5:$G$1004,$T401))))</f>
        <v/>
      </c>
      <c r="J401" s="50">
        <f>IF($T401="","",IF($S401="S",IF(INDEX(Firms!$I$5:$I$1004,$T401)="","",INDEX(Firms!$I$5:$I$1004,$T401)),IF(INDEX('AFA Rates'!$H$5:$H$1004,$T401)="","",INDEX('AFA Rates'!$H$5:$H$1004,$T401))))</f>
        <v/>
      </c>
      <c r="K401" s="50">
        <f>IF($T401="","",IF($S401="S",IF(INDEX(Firms!$J$5:$J$1004,$T401)="","",INDEX(Firms!$J$5:$J$1004,$T401)),IF(INDEX('AFA Rates'!$I$5:$I$1004,$T401)="","",INDEX('AFA Rates'!$I$5:$I$1004,$T401))))</f>
        <v/>
      </c>
      <c r="L401" s="50">
        <f>IF($T401="","",IF($S401="S",IF(INDEX(Firms!$K$5:$K$1004,$T401)="","",INDEX(Firms!$K$5:$K$1004,$T401)),IF(INDEX('AFA Rates'!$J$5:$J$1004,$T401)="","",INDEX('AFA Rates'!$J$5:$J$1004,$T401))))</f>
        <v/>
      </c>
      <c r="M401" s="50">
        <f>IF($T401="","",IF($S401="S",IF(INDEX(Firms!$L$5:$L$1004,$T401)="","",INDEX(Firms!$L$5:$L$1004,$T401)),IF(INDEX('AFA Rates'!$K$5:$K$1004,$T401)="","",INDEX('AFA Rates'!$K$5:$K$1004,$T401))))</f>
        <v/>
      </c>
      <c r="N401" s="50">
        <f>IF($T401="","",IF($S401="S",IF(INDEX(Firms!$M$5:$M$1004,$T401)="","",INDEX(Firms!$M$5:$M$1004,$T401)),IF(INDEX('AFA Rates'!$L$5:$L$1004,$T401)="","",INDEX('AFA Rates'!$L$5:$L$1004,$T401))))</f>
        <v/>
      </c>
      <c r="O401" s="78">
        <f>IF(OR($T401="",$U401=""),"",IF(INDEX(Firms!$C$5:$C$1004,$U401)="","",INDEX(Firms!$C$5:$C$1004,$U401)))</f>
        <v/>
      </c>
      <c r="P401" s="79">
        <f>IF(OR($T401="",$U401=""),"",IF(INDEX(Firms!$N$5:$N$1004,$U401)="","",INDEX(Firms!$N$5:$N$1004,$U401)))</f>
        <v/>
      </c>
      <c r="Q401" s="78">
        <f>IF($T401="","",IF($S401="S",IF(INDEX(Firms!$T$5:$T$1004,$T401)="","",INDEX(Firms!$T$5:$T$1004,$T401)),IF(INDEX('AFA Rates'!$M$5:$M$1004,$T401)="","",INDEX('AFA Rates'!$M$5:$M$1004,$T401))))</f>
        <v/>
      </c>
      <c r="S401">
        <f>IF(397&lt;=$S$2,"S",IF(397&lt;=$S$2+$T$2,"A",""))</f>
        <v/>
      </c>
      <c r="T401">
        <f>IF(S401="S",MATCH(397,Firms!$W$5:$W$1004,0),IF(S401="A",IFERROR(MATCH(397-$S$2,'AFA Rates'!$R$5:$R$1004,0),""),""))</f>
        <v/>
      </c>
      <c r="U401">
        <f>IF(S401="S",T401,IF(AND(S401="A",T401&lt;&gt;""),IFERROR(MATCH(INDEX('AFA Rates'!$A$5:$A$1004,T401),Firms!$A$5:$A$1004,0),""),""))</f>
        <v/>
      </c>
    </row>
    <row r="402">
      <c r="A402" s="78">
        <f>IF($T402="","",IF($S402="S",IF(INDEX(Firms!$A$5:$A$1004,$T402)="","",INDEX(Firms!$A$5:$A$1004,$T402)),IF(INDEX('AFA Rates'!$A$5:$A$1004,$T402)="","",INDEX('AFA Rates'!$A$5:$A$1004,$T402))))</f>
        <v/>
      </c>
      <c r="B402" s="79">
        <f>IF(OR($T402="",$U402=""),IF($T402="","","Not on Firms tab"),INDEX(Firms!$B$5:$B$1004,$U402)&amp;"")</f>
        <v/>
      </c>
      <c r="C402" s="78">
        <f>IF($T402="","",IF($S402="S","Standard",INDEX('AFA Rates'!$B$5:$B$1004,$T402)&amp;""))</f>
        <v/>
      </c>
      <c r="D402" s="88">
        <f>IF($T402="","",IF($S402="S",IF(INDEX(Firms!$E$5:$E$1004,$T402)="","",INDEX(Firms!$E$5:$E$1004,$T402)),IF(INDEX('AFA Rates'!$C$5:$C$1004,$T402)="","",INDEX('AFA Rates'!$C$5:$C$1004,$T402))))</f>
        <v/>
      </c>
      <c r="E402" s="88">
        <f>IF($T402="","",IF($S402="S",IF(""="","",""),IF(INDEX('AFA Rates'!$D$5:$D$1004,$T402)="","",INDEX('AFA Rates'!$D$5:$D$1004,$T402))))</f>
        <v/>
      </c>
      <c r="F402" s="79">
        <f>IF($T402="","",IF($S402="S",IF(INDEX(Firms!$O$5:$O$1004,$T402)="","",INDEX(Firms!$O$5:$O$1004,$T402)),IF(INDEX('AFA Rates'!$O$5:$O$1004,$T402)="","",INDEX('AFA Rates'!$O$5:$O$1004,$T402))))</f>
        <v/>
      </c>
      <c r="G402" s="50">
        <f>IF($T402="","",IF($S402="S",IF(INDEX(Firms!$F$5:$F$1004,$T402)="","",INDEX(Firms!$F$5:$F$1004,$T402)),IF(INDEX('AFA Rates'!$E$5:$E$1004,$T402)="","",INDEX('AFA Rates'!$E$5:$E$1004,$T402))))</f>
        <v/>
      </c>
      <c r="H402" s="50">
        <f>IF($T402="","",IF($S402="S",IF(INDEX(Firms!$G$5:$G$1004,$T402)="","",INDEX(Firms!$G$5:$G$1004,$T402)),IF(INDEX('AFA Rates'!$F$5:$F$1004,$T402)="","",INDEX('AFA Rates'!$F$5:$F$1004,$T402))))</f>
        <v/>
      </c>
      <c r="I402" s="50">
        <f>IF($T402="","",IF($S402="S",IF(INDEX(Firms!$H$5:$H$1004,$T402)="","",INDEX(Firms!$H$5:$H$1004,$T402)),IF(INDEX('AFA Rates'!$G$5:$G$1004,$T402)="","",INDEX('AFA Rates'!$G$5:$G$1004,$T402))))</f>
        <v/>
      </c>
      <c r="J402" s="50">
        <f>IF($T402="","",IF($S402="S",IF(INDEX(Firms!$I$5:$I$1004,$T402)="","",INDEX(Firms!$I$5:$I$1004,$T402)),IF(INDEX('AFA Rates'!$H$5:$H$1004,$T402)="","",INDEX('AFA Rates'!$H$5:$H$1004,$T402))))</f>
        <v/>
      </c>
      <c r="K402" s="50">
        <f>IF($T402="","",IF($S402="S",IF(INDEX(Firms!$J$5:$J$1004,$T402)="","",INDEX(Firms!$J$5:$J$1004,$T402)),IF(INDEX('AFA Rates'!$I$5:$I$1004,$T402)="","",INDEX('AFA Rates'!$I$5:$I$1004,$T402))))</f>
        <v/>
      </c>
      <c r="L402" s="50">
        <f>IF($T402="","",IF($S402="S",IF(INDEX(Firms!$K$5:$K$1004,$T402)="","",INDEX(Firms!$K$5:$K$1004,$T402)),IF(INDEX('AFA Rates'!$J$5:$J$1004,$T402)="","",INDEX('AFA Rates'!$J$5:$J$1004,$T402))))</f>
        <v/>
      </c>
      <c r="M402" s="50">
        <f>IF($T402="","",IF($S402="S",IF(INDEX(Firms!$L$5:$L$1004,$T402)="","",INDEX(Firms!$L$5:$L$1004,$T402)),IF(INDEX('AFA Rates'!$K$5:$K$1004,$T402)="","",INDEX('AFA Rates'!$K$5:$K$1004,$T402))))</f>
        <v/>
      </c>
      <c r="N402" s="50">
        <f>IF($T402="","",IF($S402="S",IF(INDEX(Firms!$M$5:$M$1004,$T402)="","",INDEX(Firms!$M$5:$M$1004,$T402)),IF(INDEX('AFA Rates'!$L$5:$L$1004,$T402)="","",INDEX('AFA Rates'!$L$5:$L$1004,$T402))))</f>
        <v/>
      </c>
      <c r="O402" s="78">
        <f>IF(OR($T402="",$U402=""),"",IF(INDEX(Firms!$C$5:$C$1004,$U402)="","",INDEX(Firms!$C$5:$C$1004,$U402)))</f>
        <v/>
      </c>
      <c r="P402" s="79">
        <f>IF(OR($T402="",$U402=""),"",IF(INDEX(Firms!$N$5:$N$1004,$U402)="","",INDEX(Firms!$N$5:$N$1004,$U402)))</f>
        <v/>
      </c>
      <c r="Q402" s="78">
        <f>IF($T402="","",IF($S402="S",IF(INDEX(Firms!$T$5:$T$1004,$T402)="","",INDEX(Firms!$T$5:$T$1004,$T402)),IF(INDEX('AFA Rates'!$M$5:$M$1004,$T402)="","",INDEX('AFA Rates'!$M$5:$M$1004,$T402))))</f>
        <v/>
      </c>
      <c r="S402">
        <f>IF(398&lt;=$S$2,"S",IF(398&lt;=$S$2+$T$2,"A",""))</f>
        <v/>
      </c>
      <c r="T402">
        <f>IF(S402="S",MATCH(398,Firms!$W$5:$W$1004,0),IF(S402="A",IFERROR(MATCH(398-$S$2,'AFA Rates'!$R$5:$R$1004,0),""),""))</f>
        <v/>
      </c>
      <c r="U402">
        <f>IF(S402="S",T402,IF(AND(S402="A",T402&lt;&gt;""),IFERROR(MATCH(INDEX('AFA Rates'!$A$5:$A$1004,T402),Firms!$A$5:$A$1004,0),""),""))</f>
        <v/>
      </c>
    </row>
    <row r="403">
      <c r="A403" s="78">
        <f>IF($T403="","",IF($S403="S",IF(INDEX(Firms!$A$5:$A$1004,$T403)="","",INDEX(Firms!$A$5:$A$1004,$T403)),IF(INDEX('AFA Rates'!$A$5:$A$1004,$T403)="","",INDEX('AFA Rates'!$A$5:$A$1004,$T403))))</f>
        <v/>
      </c>
      <c r="B403" s="79">
        <f>IF(OR($T403="",$U403=""),IF($T403="","","Not on Firms tab"),INDEX(Firms!$B$5:$B$1004,$U403)&amp;"")</f>
        <v/>
      </c>
      <c r="C403" s="78">
        <f>IF($T403="","",IF($S403="S","Standard",INDEX('AFA Rates'!$B$5:$B$1004,$T403)&amp;""))</f>
        <v/>
      </c>
      <c r="D403" s="88">
        <f>IF($T403="","",IF($S403="S",IF(INDEX(Firms!$E$5:$E$1004,$T403)="","",INDEX(Firms!$E$5:$E$1004,$T403)),IF(INDEX('AFA Rates'!$C$5:$C$1004,$T403)="","",INDEX('AFA Rates'!$C$5:$C$1004,$T403))))</f>
        <v/>
      </c>
      <c r="E403" s="88">
        <f>IF($T403="","",IF($S403="S",IF(""="","",""),IF(INDEX('AFA Rates'!$D$5:$D$1004,$T403)="","",INDEX('AFA Rates'!$D$5:$D$1004,$T403))))</f>
        <v/>
      </c>
      <c r="F403" s="79">
        <f>IF($T403="","",IF($S403="S",IF(INDEX(Firms!$O$5:$O$1004,$T403)="","",INDEX(Firms!$O$5:$O$1004,$T403)),IF(INDEX('AFA Rates'!$O$5:$O$1004,$T403)="","",INDEX('AFA Rates'!$O$5:$O$1004,$T403))))</f>
        <v/>
      </c>
      <c r="G403" s="50">
        <f>IF($T403="","",IF($S403="S",IF(INDEX(Firms!$F$5:$F$1004,$T403)="","",INDEX(Firms!$F$5:$F$1004,$T403)),IF(INDEX('AFA Rates'!$E$5:$E$1004,$T403)="","",INDEX('AFA Rates'!$E$5:$E$1004,$T403))))</f>
        <v/>
      </c>
      <c r="H403" s="50">
        <f>IF($T403="","",IF($S403="S",IF(INDEX(Firms!$G$5:$G$1004,$T403)="","",INDEX(Firms!$G$5:$G$1004,$T403)),IF(INDEX('AFA Rates'!$F$5:$F$1004,$T403)="","",INDEX('AFA Rates'!$F$5:$F$1004,$T403))))</f>
        <v/>
      </c>
      <c r="I403" s="50">
        <f>IF($T403="","",IF($S403="S",IF(INDEX(Firms!$H$5:$H$1004,$T403)="","",INDEX(Firms!$H$5:$H$1004,$T403)),IF(INDEX('AFA Rates'!$G$5:$G$1004,$T403)="","",INDEX('AFA Rates'!$G$5:$G$1004,$T403))))</f>
        <v/>
      </c>
      <c r="J403" s="50">
        <f>IF($T403="","",IF($S403="S",IF(INDEX(Firms!$I$5:$I$1004,$T403)="","",INDEX(Firms!$I$5:$I$1004,$T403)),IF(INDEX('AFA Rates'!$H$5:$H$1004,$T403)="","",INDEX('AFA Rates'!$H$5:$H$1004,$T403))))</f>
        <v/>
      </c>
      <c r="K403" s="50">
        <f>IF($T403="","",IF($S403="S",IF(INDEX(Firms!$J$5:$J$1004,$T403)="","",INDEX(Firms!$J$5:$J$1004,$T403)),IF(INDEX('AFA Rates'!$I$5:$I$1004,$T403)="","",INDEX('AFA Rates'!$I$5:$I$1004,$T403))))</f>
        <v/>
      </c>
      <c r="L403" s="50">
        <f>IF($T403="","",IF($S403="S",IF(INDEX(Firms!$K$5:$K$1004,$T403)="","",INDEX(Firms!$K$5:$K$1004,$T403)),IF(INDEX('AFA Rates'!$J$5:$J$1004,$T403)="","",INDEX('AFA Rates'!$J$5:$J$1004,$T403))))</f>
        <v/>
      </c>
      <c r="M403" s="50">
        <f>IF($T403="","",IF($S403="S",IF(INDEX(Firms!$L$5:$L$1004,$T403)="","",INDEX(Firms!$L$5:$L$1004,$T403)),IF(INDEX('AFA Rates'!$K$5:$K$1004,$T403)="","",INDEX('AFA Rates'!$K$5:$K$1004,$T403))))</f>
        <v/>
      </c>
      <c r="N403" s="50">
        <f>IF($T403="","",IF($S403="S",IF(INDEX(Firms!$M$5:$M$1004,$T403)="","",INDEX(Firms!$M$5:$M$1004,$T403)),IF(INDEX('AFA Rates'!$L$5:$L$1004,$T403)="","",INDEX('AFA Rates'!$L$5:$L$1004,$T403))))</f>
        <v/>
      </c>
      <c r="O403" s="78">
        <f>IF(OR($T403="",$U403=""),"",IF(INDEX(Firms!$C$5:$C$1004,$U403)="","",INDEX(Firms!$C$5:$C$1004,$U403)))</f>
        <v/>
      </c>
      <c r="P403" s="79">
        <f>IF(OR($T403="",$U403=""),"",IF(INDEX(Firms!$N$5:$N$1004,$U403)="","",INDEX(Firms!$N$5:$N$1004,$U403)))</f>
        <v/>
      </c>
      <c r="Q403" s="78">
        <f>IF($T403="","",IF($S403="S",IF(INDEX(Firms!$T$5:$T$1004,$T403)="","",INDEX(Firms!$T$5:$T$1004,$T403)),IF(INDEX('AFA Rates'!$M$5:$M$1004,$T403)="","",INDEX('AFA Rates'!$M$5:$M$1004,$T403))))</f>
        <v/>
      </c>
      <c r="S403">
        <f>IF(399&lt;=$S$2,"S",IF(399&lt;=$S$2+$T$2,"A",""))</f>
        <v/>
      </c>
      <c r="T403">
        <f>IF(S403="S",MATCH(399,Firms!$W$5:$W$1004,0),IF(S403="A",IFERROR(MATCH(399-$S$2,'AFA Rates'!$R$5:$R$1004,0),""),""))</f>
        <v/>
      </c>
      <c r="U403">
        <f>IF(S403="S",T403,IF(AND(S403="A",T403&lt;&gt;""),IFERROR(MATCH(INDEX('AFA Rates'!$A$5:$A$1004,T403),Firms!$A$5:$A$1004,0),""),""))</f>
        <v/>
      </c>
    </row>
    <row r="404">
      <c r="A404" s="78">
        <f>IF($T404="","",IF($S404="S",IF(INDEX(Firms!$A$5:$A$1004,$T404)="","",INDEX(Firms!$A$5:$A$1004,$T404)),IF(INDEX('AFA Rates'!$A$5:$A$1004,$T404)="","",INDEX('AFA Rates'!$A$5:$A$1004,$T404))))</f>
        <v/>
      </c>
      <c r="B404" s="79">
        <f>IF(OR($T404="",$U404=""),IF($T404="","","Not on Firms tab"),INDEX(Firms!$B$5:$B$1004,$U404)&amp;"")</f>
        <v/>
      </c>
      <c r="C404" s="78">
        <f>IF($T404="","",IF($S404="S","Standard",INDEX('AFA Rates'!$B$5:$B$1004,$T404)&amp;""))</f>
        <v/>
      </c>
      <c r="D404" s="88">
        <f>IF($T404="","",IF($S404="S",IF(INDEX(Firms!$E$5:$E$1004,$T404)="","",INDEX(Firms!$E$5:$E$1004,$T404)),IF(INDEX('AFA Rates'!$C$5:$C$1004,$T404)="","",INDEX('AFA Rates'!$C$5:$C$1004,$T404))))</f>
        <v/>
      </c>
      <c r="E404" s="88">
        <f>IF($T404="","",IF($S404="S",IF(""="","",""),IF(INDEX('AFA Rates'!$D$5:$D$1004,$T404)="","",INDEX('AFA Rates'!$D$5:$D$1004,$T404))))</f>
        <v/>
      </c>
      <c r="F404" s="79">
        <f>IF($T404="","",IF($S404="S",IF(INDEX(Firms!$O$5:$O$1004,$T404)="","",INDEX(Firms!$O$5:$O$1004,$T404)),IF(INDEX('AFA Rates'!$O$5:$O$1004,$T404)="","",INDEX('AFA Rates'!$O$5:$O$1004,$T404))))</f>
        <v/>
      </c>
      <c r="G404" s="50">
        <f>IF($T404="","",IF($S404="S",IF(INDEX(Firms!$F$5:$F$1004,$T404)="","",INDEX(Firms!$F$5:$F$1004,$T404)),IF(INDEX('AFA Rates'!$E$5:$E$1004,$T404)="","",INDEX('AFA Rates'!$E$5:$E$1004,$T404))))</f>
        <v/>
      </c>
      <c r="H404" s="50">
        <f>IF($T404="","",IF($S404="S",IF(INDEX(Firms!$G$5:$G$1004,$T404)="","",INDEX(Firms!$G$5:$G$1004,$T404)),IF(INDEX('AFA Rates'!$F$5:$F$1004,$T404)="","",INDEX('AFA Rates'!$F$5:$F$1004,$T404))))</f>
        <v/>
      </c>
      <c r="I404" s="50">
        <f>IF($T404="","",IF($S404="S",IF(INDEX(Firms!$H$5:$H$1004,$T404)="","",INDEX(Firms!$H$5:$H$1004,$T404)),IF(INDEX('AFA Rates'!$G$5:$G$1004,$T404)="","",INDEX('AFA Rates'!$G$5:$G$1004,$T404))))</f>
        <v/>
      </c>
      <c r="J404" s="50">
        <f>IF($T404="","",IF($S404="S",IF(INDEX(Firms!$I$5:$I$1004,$T404)="","",INDEX(Firms!$I$5:$I$1004,$T404)),IF(INDEX('AFA Rates'!$H$5:$H$1004,$T404)="","",INDEX('AFA Rates'!$H$5:$H$1004,$T404))))</f>
        <v/>
      </c>
      <c r="K404" s="50">
        <f>IF($T404="","",IF($S404="S",IF(INDEX(Firms!$J$5:$J$1004,$T404)="","",INDEX(Firms!$J$5:$J$1004,$T404)),IF(INDEX('AFA Rates'!$I$5:$I$1004,$T404)="","",INDEX('AFA Rates'!$I$5:$I$1004,$T404))))</f>
        <v/>
      </c>
      <c r="L404" s="50">
        <f>IF($T404="","",IF($S404="S",IF(INDEX(Firms!$K$5:$K$1004,$T404)="","",INDEX(Firms!$K$5:$K$1004,$T404)),IF(INDEX('AFA Rates'!$J$5:$J$1004,$T404)="","",INDEX('AFA Rates'!$J$5:$J$1004,$T404))))</f>
        <v/>
      </c>
      <c r="M404" s="50">
        <f>IF($T404="","",IF($S404="S",IF(INDEX(Firms!$L$5:$L$1004,$T404)="","",INDEX(Firms!$L$5:$L$1004,$T404)),IF(INDEX('AFA Rates'!$K$5:$K$1004,$T404)="","",INDEX('AFA Rates'!$K$5:$K$1004,$T404))))</f>
        <v/>
      </c>
      <c r="N404" s="50">
        <f>IF($T404="","",IF($S404="S",IF(INDEX(Firms!$M$5:$M$1004,$T404)="","",INDEX(Firms!$M$5:$M$1004,$T404)),IF(INDEX('AFA Rates'!$L$5:$L$1004,$T404)="","",INDEX('AFA Rates'!$L$5:$L$1004,$T404))))</f>
        <v/>
      </c>
      <c r="O404" s="78">
        <f>IF(OR($T404="",$U404=""),"",IF(INDEX(Firms!$C$5:$C$1004,$U404)="","",INDEX(Firms!$C$5:$C$1004,$U404)))</f>
        <v/>
      </c>
      <c r="P404" s="79">
        <f>IF(OR($T404="",$U404=""),"",IF(INDEX(Firms!$N$5:$N$1004,$U404)="","",INDEX(Firms!$N$5:$N$1004,$U404)))</f>
        <v/>
      </c>
      <c r="Q404" s="78">
        <f>IF($T404="","",IF($S404="S",IF(INDEX(Firms!$T$5:$T$1004,$T404)="","",INDEX(Firms!$T$5:$T$1004,$T404)),IF(INDEX('AFA Rates'!$M$5:$M$1004,$T404)="","",INDEX('AFA Rates'!$M$5:$M$1004,$T404))))</f>
        <v/>
      </c>
      <c r="S404">
        <f>IF(400&lt;=$S$2,"S",IF(400&lt;=$S$2+$T$2,"A",""))</f>
        <v/>
      </c>
      <c r="T404">
        <f>IF(S404="S",MATCH(400,Firms!$W$5:$W$1004,0),IF(S404="A",IFERROR(MATCH(400-$S$2,'AFA Rates'!$R$5:$R$1004,0),""),""))</f>
        <v/>
      </c>
      <c r="U404">
        <f>IF(S404="S",T404,IF(AND(S404="A",T404&lt;&gt;""),IFERROR(MATCH(INDEX('AFA Rates'!$A$5:$A$1004,T404),Firms!$A$5:$A$1004,0),""),""))</f>
        <v/>
      </c>
    </row>
    <row r="405">
      <c r="A405" s="78">
        <f>IF($T405="","",IF($S405="S",IF(INDEX(Firms!$A$5:$A$1004,$T405)="","",INDEX(Firms!$A$5:$A$1004,$T405)),IF(INDEX('AFA Rates'!$A$5:$A$1004,$T405)="","",INDEX('AFA Rates'!$A$5:$A$1004,$T405))))</f>
        <v/>
      </c>
      <c r="B405" s="79">
        <f>IF(OR($T405="",$U405=""),IF($T405="","","Not on Firms tab"),INDEX(Firms!$B$5:$B$1004,$U405)&amp;"")</f>
        <v/>
      </c>
      <c r="C405" s="78">
        <f>IF($T405="","",IF($S405="S","Standard",INDEX('AFA Rates'!$B$5:$B$1004,$T405)&amp;""))</f>
        <v/>
      </c>
      <c r="D405" s="88">
        <f>IF($T405="","",IF($S405="S",IF(INDEX(Firms!$E$5:$E$1004,$T405)="","",INDEX(Firms!$E$5:$E$1004,$T405)),IF(INDEX('AFA Rates'!$C$5:$C$1004,$T405)="","",INDEX('AFA Rates'!$C$5:$C$1004,$T405))))</f>
        <v/>
      </c>
      <c r="E405" s="88">
        <f>IF($T405="","",IF($S405="S",IF(""="","",""),IF(INDEX('AFA Rates'!$D$5:$D$1004,$T405)="","",INDEX('AFA Rates'!$D$5:$D$1004,$T405))))</f>
        <v/>
      </c>
      <c r="F405" s="79">
        <f>IF($T405="","",IF($S405="S",IF(INDEX(Firms!$O$5:$O$1004,$T405)="","",INDEX(Firms!$O$5:$O$1004,$T405)),IF(INDEX('AFA Rates'!$O$5:$O$1004,$T405)="","",INDEX('AFA Rates'!$O$5:$O$1004,$T405))))</f>
        <v/>
      </c>
      <c r="G405" s="50">
        <f>IF($T405="","",IF($S405="S",IF(INDEX(Firms!$F$5:$F$1004,$T405)="","",INDEX(Firms!$F$5:$F$1004,$T405)),IF(INDEX('AFA Rates'!$E$5:$E$1004,$T405)="","",INDEX('AFA Rates'!$E$5:$E$1004,$T405))))</f>
        <v/>
      </c>
      <c r="H405" s="50">
        <f>IF($T405="","",IF($S405="S",IF(INDEX(Firms!$G$5:$G$1004,$T405)="","",INDEX(Firms!$G$5:$G$1004,$T405)),IF(INDEX('AFA Rates'!$F$5:$F$1004,$T405)="","",INDEX('AFA Rates'!$F$5:$F$1004,$T405))))</f>
        <v/>
      </c>
      <c r="I405" s="50">
        <f>IF($T405="","",IF($S405="S",IF(INDEX(Firms!$H$5:$H$1004,$T405)="","",INDEX(Firms!$H$5:$H$1004,$T405)),IF(INDEX('AFA Rates'!$G$5:$G$1004,$T405)="","",INDEX('AFA Rates'!$G$5:$G$1004,$T405))))</f>
        <v/>
      </c>
      <c r="J405" s="50">
        <f>IF($T405="","",IF($S405="S",IF(INDEX(Firms!$I$5:$I$1004,$T405)="","",INDEX(Firms!$I$5:$I$1004,$T405)),IF(INDEX('AFA Rates'!$H$5:$H$1004,$T405)="","",INDEX('AFA Rates'!$H$5:$H$1004,$T405))))</f>
        <v/>
      </c>
      <c r="K405" s="50">
        <f>IF($T405="","",IF($S405="S",IF(INDEX(Firms!$J$5:$J$1004,$T405)="","",INDEX(Firms!$J$5:$J$1004,$T405)),IF(INDEX('AFA Rates'!$I$5:$I$1004,$T405)="","",INDEX('AFA Rates'!$I$5:$I$1004,$T405))))</f>
        <v/>
      </c>
      <c r="L405" s="50">
        <f>IF($T405="","",IF($S405="S",IF(INDEX(Firms!$K$5:$K$1004,$T405)="","",INDEX(Firms!$K$5:$K$1004,$T405)),IF(INDEX('AFA Rates'!$J$5:$J$1004,$T405)="","",INDEX('AFA Rates'!$J$5:$J$1004,$T405))))</f>
        <v/>
      </c>
      <c r="M405" s="50">
        <f>IF($T405="","",IF($S405="S",IF(INDEX(Firms!$L$5:$L$1004,$T405)="","",INDEX(Firms!$L$5:$L$1004,$T405)),IF(INDEX('AFA Rates'!$K$5:$K$1004,$T405)="","",INDEX('AFA Rates'!$K$5:$K$1004,$T405))))</f>
        <v/>
      </c>
      <c r="N405" s="50">
        <f>IF($T405="","",IF($S405="S",IF(INDEX(Firms!$M$5:$M$1004,$T405)="","",INDEX(Firms!$M$5:$M$1004,$T405)),IF(INDEX('AFA Rates'!$L$5:$L$1004,$T405)="","",INDEX('AFA Rates'!$L$5:$L$1004,$T405))))</f>
        <v/>
      </c>
      <c r="O405" s="78">
        <f>IF(OR($T405="",$U405=""),"",IF(INDEX(Firms!$C$5:$C$1004,$U405)="","",INDEX(Firms!$C$5:$C$1004,$U405)))</f>
        <v/>
      </c>
      <c r="P405" s="79">
        <f>IF(OR($T405="",$U405=""),"",IF(INDEX(Firms!$N$5:$N$1004,$U405)="","",INDEX(Firms!$N$5:$N$1004,$U405)))</f>
        <v/>
      </c>
      <c r="Q405" s="78">
        <f>IF($T405="","",IF($S405="S",IF(INDEX(Firms!$T$5:$T$1004,$T405)="","",INDEX(Firms!$T$5:$T$1004,$T405)),IF(INDEX('AFA Rates'!$M$5:$M$1004,$T405)="","",INDEX('AFA Rates'!$M$5:$M$1004,$T405))))</f>
        <v/>
      </c>
      <c r="S405">
        <f>IF(401&lt;=$S$2,"S",IF(401&lt;=$S$2+$T$2,"A",""))</f>
        <v/>
      </c>
      <c r="T405">
        <f>IF(S405="S",MATCH(401,Firms!$W$5:$W$1004,0),IF(S405="A",IFERROR(MATCH(401-$S$2,'AFA Rates'!$R$5:$R$1004,0),""),""))</f>
        <v/>
      </c>
      <c r="U405">
        <f>IF(S405="S",T405,IF(AND(S405="A",T405&lt;&gt;""),IFERROR(MATCH(INDEX('AFA Rates'!$A$5:$A$1004,T405),Firms!$A$5:$A$1004,0),""),""))</f>
        <v/>
      </c>
    </row>
    <row r="406">
      <c r="A406" s="78">
        <f>IF($T406="","",IF($S406="S",IF(INDEX(Firms!$A$5:$A$1004,$T406)="","",INDEX(Firms!$A$5:$A$1004,$T406)),IF(INDEX('AFA Rates'!$A$5:$A$1004,$T406)="","",INDEX('AFA Rates'!$A$5:$A$1004,$T406))))</f>
        <v/>
      </c>
      <c r="B406" s="79">
        <f>IF(OR($T406="",$U406=""),IF($T406="","","Not on Firms tab"),INDEX(Firms!$B$5:$B$1004,$U406)&amp;"")</f>
        <v/>
      </c>
      <c r="C406" s="78">
        <f>IF($T406="","",IF($S406="S","Standard",INDEX('AFA Rates'!$B$5:$B$1004,$T406)&amp;""))</f>
        <v/>
      </c>
      <c r="D406" s="88">
        <f>IF($T406="","",IF($S406="S",IF(INDEX(Firms!$E$5:$E$1004,$T406)="","",INDEX(Firms!$E$5:$E$1004,$T406)),IF(INDEX('AFA Rates'!$C$5:$C$1004,$T406)="","",INDEX('AFA Rates'!$C$5:$C$1004,$T406))))</f>
        <v/>
      </c>
      <c r="E406" s="88">
        <f>IF($T406="","",IF($S406="S",IF(""="","",""),IF(INDEX('AFA Rates'!$D$5:$D$1004,$T406)="","",INDEX('AFA Rates'!$D$5:$D$1004,$T406))))</f>
        <v/>
      </c>
      <c r="F406" s="79">
        <f>IF($T406="","",IF($S406="S",IF(INDEX(Firms!$O$5:$O$1004,$T406)="","",INDEX(Firms!$O$5:$O$1004,$T406)),IF(INDEX('AFA Rates'!$O$5:$O$1004,$T406)="","",INDEX('AFA Rates'!$O$5:$O$1004,$T406))))</f>
        <v/>
      </c>
      <c r="G406" s="50">
        <f>IF($T406="","",IF($S406="S",IF(INDEX(Firms!$F$5:$F$1004,$T406)="","",INDEX(Firms!$F$5:$F$1004,$T406)),IF(INDEX('AFA Rates'!$E$5:$E$1004,$T406)="","",INDEX('AFA Rates'!$E$5:$E$1004,$T406))))</f>
        <v/>
      </c>
      <c r="H406" s="50">
        <f>IF($T406="","",IF($S406="S",IF(INDEX(Firms!$G$5:$G$1004,$T406)="","",INDEX(Firms!$G$5:$G$1004,$T406)),IF(INDEX('AFA Rates'!$F$5:$F$1004,$T406)="","",INDEX('AFA Rates'!$F$5:$F$1004,$T406))))</f>
        <v/>
      </c>
      <c r="I406" s="50">
        <f>IF($T406="","",IF($S406="S",IF(INDEX(Firms!$H$5:$H$1004,$T406)="","",INDEX(Firms!$H$5:$H$1004,$T406)),IF(INDEX('AFA Rates'!$G$5:$G$1004,$T406)="","",INDEX('AFA Rates'!$G$5:$G$1004,$T406))))</f>
        <v/>
      </c>
      <c r="J406" s="50">
        <f>IF($T406="","",IF($S406="S",IF(INDEX(Firms!$I$5:$I$1004,$T406)="","",INDEX(Firms!$I$5:$I$1004,$T406)),IF(INDEX('AFA Rates'!$H$5:$H$1004,$T406)="","",INDEX('AFA Rates'!$H$5:$H$1004,$T406))))</f>
        <v/>
      </c>
      <c r="K406" s="50">
        <f>IF($T406="","",IF($S406="S",IF(INDEX(Firms!$J$5:$J$1004,$T406)="","",INDEX(Firms!$J$5:$J$1004,$T406)),IF(INDEX('AFA Rates'!$I$5:$I$1004,$T406)="","",INDEX('AFA Rates'!$I$5:$I$1004,$T406))))</f>
        <v/>
      </c>
      <c r="L406" s="50">
        <f>IF($T406="","",IF($S406="S",IF(INDEX(Firms!$K$5:$K$1004,$T406)="","",INDEX(Firms!$K$5:$K$1004,$T406)),IF(INDEX('AFA Rates'!$J$5:$J$1004,$T406)="","",INDEX('AFA Rates'!$J$5:$J$1004,$T406))))</f>
        <v/>
      </c>
      <c r="M406" s="50">
        <f>IF($T406="","",IF($S406="S",IF(INDEX(Firms!$L$5:$L$1004,$T406)="","",INDEX(Firms!$L$5:$L$1004,$T406)),IF(INDEX('AFA Rates'!$K$5:$K$1004,$T406)="","",INDEX('AFA Rates'!$K$5:$K$1004,$T406))))</f>
        <v/>
      </c>
      <c r="N406" s="50">
        <f>IF($T406="","",IF($S406="S",IF(INDEX(Firms!$M$5:$M$1004,$T406)="","",INDEX(Firms!$M$5:$M$1004,$T406)),IF(INDEX('AFA Rates'!$L$5:$L$1004,$T406)="","",INDEX('AFA Rates'!$L$5:$L$1004,$T406))))</f>
        <v/>
      </c>
      <c r="O406" s="78">
        <f>IF(OR($T406="",$U406=""),"",IF(INDEX(Firms!$C$5:$C$1004,$U406)="","",INDEX(Firms!$C$5:$C$1004,$U406)))</f>
        <v/>
      </c>
      <c r="P406" s="79">
        <f>IF(OR($T406="",$U406=""),"",IF(INDEX(Firms!$N$5:$N$1004,$U406)="","",INDEX(Firms!$N$5:$N$1004,$U406)))</f>
        <v/>
      </c>
      <c r="Q406" s="78">
        <f>IF($T406="","",IF($S406="S",IF(INDEX(Firms!$T$5:$T$1004,$T406)="","",INDEX(Firms!$T$5:$T$1004,$T406)),IF(INDEX('AFA Rates'!$M$5:$M$1004,$T406)="","",INDEX('AFA Rates'!$M$5:$M$1004,$T406))))</f>
        <v/>
      </c>
      <c r="S406">
        <f>IF(402&lt;=$S$2,"S",IF(402&lt;=$S$2+$T$2,"A",""))</f>
        <v/>
      </c>
      <c r="T406">
        <f>IF(S406="S",MATCH(402,Firms!$W$5:$W$1004,0),IF(S406="A",IFERROR(MATCH(402-$S$2,'AFA Rates'!$R$5:$R$1004,0),""),""))</f>
        <v/>
      </c>
      <c r="U406">
        <f>IF(S406="S",T406,IF(AND(S406="A",T406&lt;&gt;""),IFERROR(MATCH(INDEX('AFA Rates'!$A$5:$A$1004,T406),Firms!$A$5:$A$1004,0),""),""))</f>
        <v/>
      </c>
    </row>
    <row r="407">
      <c r="A407" s="78">
        <f>IF($T407="","",IF($S407="S",IF(INDEX(Firms!$A$5:$A$1004,$T407)="","",INDEX(Firms!$A$5:$A$1004,$T407)),IF(INDEX('AFA Rates'!$A$5:$A$1004,$T407)="","",INDEX('AFA Rates'!$A$5:$A$1004,$T407))))</f>
        <v/>
      </c>
      <c r="B407" s="79">
        <f>IF(OR($T407="",$U407=""),IF($T407="","","Not on Firms tab"),INDEX(Firms!$B$5:$B$1004,$U407)&amp;"")</f>
        <v/>
      </c>
      <c r="C407" s="78">
        <f>IF($T407="","",IF($S407="S","Standard",INDEX('AFA Rates'!$B$5:$B$1004,$T407)&amp;""))</f>
        <v/>
      </c>
      <c r="D407" s="88">
        <f>IF($T407="","",IF($S407="S",IF(INDEX(Firms!$E$5:$E$1004,$T407)="","",INDEX(Firms!$E$5:$E$1004,$T407)),IF(INDEX('AFA Rates'!$C$5:$C$1004,$T407)="","",INDEX('AFA Rates'!$C$5:$C$1004,$T407))))</f>
        <v/>
      </c>
      <c r="E407" s="88">
        <f>IF($T407="","",IF($S407="S",IF(""="","",""),IF(INDEX('AFA Rates'!$D$5:$D$1004,$T407)="","",INDEX('AFA Rates'!$D$5:$D$1004,$T407))))</f>
        <v/>
      </c>
      <c r="F407" s="79">
        <f>IF($T407="","",IF($S407="S",IF(INDEX(Firms!$O$5:$O$1004,$T407)="","",INDEX(Firms!$O$5:$O$1004,$T407)),IF(INDEX('AFA Rates'!$O$5:$O$1004,$T407)="","",INDEX('AFA Rates'!$O$5:$O$1004,$T407))))</f>
        <v/>
      </c>
      <c r="G407" s="50">
        <f>IF($T407="","",IF($S407="S",IF(INDEX(Firms!$F$5:$F$1004,$T407)="","",INDEX(Firms!$F$5:$F$1004,$T407)),IF(INDEX('AFA Rates'!$E$5:$E$1004,$T407)="","",INDEX('AFA Rates'!$E$5:$E$1004,$T407))))</f>
        <v/>
      </c>
      <c r="H407" s="50">
        <f>IF($T407="","",IF($S407="S",IF(INDEX(Firms!$G$5:$G$1004,$T407)="","",INDEX(Firms!$G$5:$G$1004,$T407)),IF(INDEX('AFA Rates'!$F$5:$F$1004,$T407)="","",INDEX('AFA Rates'!$F$5:$F$1004,$T407))))</f>
        <v/>
      </c>
      <c r="I407" s="50">
        <f>IF($T407="","",IF($S407="S",IF(INDEX(Firms!$H$5:$H$1004,$T407)="","",INDEX(Firms!$H$5:$H$1004,$T407)),IF(INDEX('AFA Rates'!$G$5:$G$1004,$T407)="","",INDEX('AFA Rates'!$G$5:$G$1004,$T407))))</f>
        <v/>
      </c>
      <c r="J407" s="50">
        <f>IF($T407="","",IF($S407="S",IF(INDEX(Firms!$I$5:$I$1004,$T407)="","",INDEX(Firms!$I$5:$I$1004,$T407)),IF(INDEX('AFA Rates'!$H$5:$H$1004,$T407)="","",INDEX('AFA Rates'!$H$5:$H$1004,$T407))))</f>
        <v/>
      </c>
      <c r="K407" s="50">
        <f>IF($T407="","",IF($S407="S",IF(INDEX(Firms!$J$5:$J$1004,$T407)="","",INDEX(Firms!$J$5:$J$1004,$T407)),IF(INDEX('AFA Rates'!$I$5:$I$1004,$T407)="","",INDEX('AFA Rates'!$I$5:$I$1004,$T407))))</f>
        <v/>
      </c>
      <c r="L407" s="50">
        <f>IF($T407="","",IF($S407="S",IF(INDEX(Firms!$K$5:$K$1004,$T407)="","",INDEX(Firms!$K$5:$K$1004,$T407)),IF(INDEX('AFA Rates'!$J$5:$J$1004,$T407)="","",INDEX('AFA Rates'!$J$5:$J$1004,$T407))))</f>
        <v/>
      </c>
      <c r="M407" s="50">
        <f>IF($T407="","",IF($S407="S",IF(INDEX(Firms!$L$5:$L$1004,$T407)="","",INDEX(Firms!$L$5:$L$1004,$T407)),IF(INDEX('AFA Rates'!$K$5:$K$1004,$T407)="","",INDEX('AFA Rates'!$K$5:$K$1004,$T407))))</f>
        <v/>
      </c>
      <c r="N407" s="50">
        <f>IF($T407="","",IF($S407="S",IF(INDEX(Firms!$M$5:$M$1004,$T407)="","",INDEX(Firms!$M$5:$M$1004,$T407)),IF(INDEX('AFA Rates'!$L$5:$L$1004,$T407)="","",INDEX('AFA Rates'!$L$5:$L$1004,$T407))))</f>
        <v/>
      </c>
      <c r="O407" s="78">
        <f>IF(OR($T407="",$U407=""),"",IF(INDEX(Firms!$C$5:$C$1004,$U407)="","",INDEX(Firms!$C$5:$C$1004,$U407)))</f>
        <v/>
      </c>
      <c r="P407" s="79">
        <f>IF(OR($T407="",$U407=""),"",IF(INDEX(Firms!$N$5:$N$1004,$U407)="","",INDEX(Firms!$N$5:$N$1004,$U407)))</f>
        <v/>
      </c>
      <c r="Q407" s="78">
        <f>IF($T407="","",IF($S407="S",IF(INDEX(Firms!$T$5:$T$1004,$T407)="","",INDEX(Firms!$T$5:$T$1004,$T407)),IF(INDEX('AFA Rates'!$M$5:$M$1004,$T407)="","",INDEX('AFA Rates'!$M$5:$M$1004,$T407))))</f>
        <v/>
      </c>
      <c r="S407">
        <f>IF(403&lt;=$S$2,"S",IF(403&lt;=$S$2+$T$2,"A",""))</f>
        <v/>
      </c>
      <c r="T407">
        <f>IF(S407="S",MATCH(403,Firms!$W$5:$W$1004,0),IF(S407="A",IFERROR(MATCH(403-$S$2,'AFA Rates'!$R$5:$R$1004,0),""),""))</f>
        <v/>
      </c>
      <c r="U407">
        <f>IF(S407="S",T407,IF(AND(S407="A",T407&lt;&gt;""),IFERROR(MATCH(INDEX('AFA Rates'!$A$5:$A$1004,T407),Firms!$A$5:$A$1004,0),""),""))</f>
        <v/>
      </c>
    </row>
    <row r="408">
      <c r="A408" s="78">
        <f>IF($T408="","",IF($S408="S",IF(INDEX(Firms!$A$5:$A$1004,$T408)="","",INDEX(Firms!$A$5:$A$1004,$T408)),IF(INDEX('AFA Rates'!$A$5:$A$1004,$T408)="","",INDEX('AFA Rates'!$A$5:$A$1004,$T408))))</f>
        <v/>
      </c>
      <c r="B408" s="79">
        <f>IF(OR($T408="",$U408=""),IF($T408="","","Not on Firms tab"),INDEX(Firms!$B$5:$B$1004,$U408)&amp;"")</f>
        <v/>
      </c>
      <c r="C408" s="78">
        <f>IF($T408="","",IF($S408="S","Standard",INDEX('AFA Rates'!$B$5:$B$1004,$T408)&amp;""))</f>
        <v/>
      </c>
      <c r="D408" s="88">
        <f>IF($T408="","",IF($S408="S",IF(INDEX(Firms!$E$5:$E$1004,$T408)="","",INDEX(Firms!$E$5:$E$1004,$T408)),IF(INDEX('AFA Rates'!$C$5:$C$1004,$T408)="","",INDEX('AFA Rates'!$C$5:$C$1004,$T408))))</f>
        <v/>
      </c>
      <c r="E408" s="88">
        <f>IF($T408="","",IF($S408="S",IF(""="","",""),IF(INDEX('AFA Rates'!$D$5:$D$1004,$T408)="","",INDEX('AFA Rates'!$D$5:$D$1004,$T408))))</f>
        <v/>
      </c>
      <c r="F408" s="79">
        <f>IF($T408="","",IF($S408="S",IF(INDEX(Firms!$O$5:$O$1004,$T408)="","",INDEX(Firms!$O$5:$O$1004,$T408)),IF(INDEX('AFA Rates'!$O$5:$O$1004,$T408)="","",INDEX('AFA Rates'!$O$5:$O$1004,$T408))))</f>
        <v/>
      </c>
      <c r="G408" s="50">
        <f>IF($T408="","",IF($S408="S",IF(INDEX(Firms!$F$5:$F$1004,$T408)="","",INDEX(Firms!$F$5:$F$1004,$T408)),IF(INDEX('AFA Rates'!$E$5:$E$1004,$T408)="","",INDEX('AFA Rates'!$E$5:$E$1004,$T408))))</f>
        <v/>
      </c>
      <c r="H408" s="50">
        <f>IF($T408="","",IF($S408="S",IF(INDEX(Firms!$G$5:$G$1004,$T408)="","",INDEX(Firms!$G$5:$G$1004,$T408)),IF(INDEX('AFA Rates'!$F$5:$F$1004,$T408)="","",INDEX('AFA Rates'!$F$5:$F$1004,$T408))))</f>
        <v/>
      </c>
      <c r="I408" s="50">
        <f>IF($T408="","",IF($S408="S",IF(INDEX(Firms!$H$5:$H$1004,$T408)="","",INDEX(Firms!$H$5:$H$1004,$T408)),IF(INDEX('AFA Rates'!$G$5:$G$1004,$T408)="","",INDEX('AFA Rates'!$G$5:$G$1004,$T408))))</f>
        <v/>
      </c>
      <c r="J408" s="50">
        <f>IF($T408="","",IF($S408="S",IF(INDEX(Firms!$I$5:$I$1004,$T408)="","",INDEX(Firms!$I$5:$I$1004,$T408)),IF(INDEX('AFA Rates'!$H$5:$H$1004,$T408)="","",INDEX('AFA Rates'!$H$5:$H$1004,$T408))))</f>
        <v/>
      </c>
      <c r="K408" s="50">
        <f>IF($T408="","",IF($S408="S",IF(INDEX(Firms!$J$5:$J$1004,$T408)="","",INDEX(Firms!$J$5:$J$1004,$T408)),IF(INDEX('AFA Rates'!$I$5:$I$1004,$T408)="","",INDEX('AFA Rates'!$I$5:$I$1004,$T408))))</f>
        <v/>
      </c>
      <c r="L408" s="50">
        <f>IF($T408="","",IF($S408="S",IF(INDEX(Firms!$K$5:$K$1004,$T408)="","",INDEX(Firms!$K$5:$K$1004,$T408)),IF(INDEX('AFA Rates'!$J$5:$J$1004,$T408)="","",INDEX('AFA Rates'!$J$5:$J$1004,$T408))))</f>
        <v/>
      </c>
      <c r="M408" s="50">
        <f>IF($T408="","",IF($S408="S",IF(INDEX(Firms!$L$5:$L$1004,$T408)="","",INDEX(Firms!$L$5:$L$1004,$T408)),IF(INDEX('AFA Rates'!$K$5:$K$1004,$T408)="","",INDEX('AFA Rates'!$K$5:$K$1004,$T408))))</f>
        <v/>
      </c>
      <c r="N408" s="50">
        <f>IF($T408="","",IF($S408="S",IF(INDEX(Firms!$M$5:$M$1004,$T408)="","",INDEX(Firms!$M$5:$M$1004,$T408)),IF(INDEX('AFA Rates'!$L$5:$L$1004,$T408)="","",INDEX('AFA Rates'!$L$5:$L$1004,$T408))))</f>
        <v/>
      </c>
      <c r="O408" s="78">
        <f>IF(OR($T408="",$U408=""),"",IF(INDEX(Firms!$C$5:$C$1004,$U408)="","",INDEX(Firms!$C$5:$C$1004,$U408)))</f>
        <v/>
      </c>
      <c r="P408" s="79">
        <f>IF(OR($T408="",$U408=""),"",IF(INDEX(Firms!$N$5:$N$1004,$U408)="","",INDEX(Firms!$N$5:$N$1004,$U408)))</f>
        <v/>
      </c>
      <c r="Q408" s="78">
        <f>IF($T408="","",IF($S408="S",IF(INDEX(Firms!$T$5:$T$1004,$T408)="","",INDEX(Firms!$T$5:$T$1004,$T408)),IF(INDEX('AFA Rates'!$M$5:$M$1004,$T408)="","",INDEX('AFA Rates'!$M$5:$M$1004,$T408))))</f>
        <v/>
      </c>
      <c r="S408">
        <f>IF(404&lt;=$S$2,"S",IF(404&lt;=$S$2+$T$2,"A",""))</f>
        <v/>
      </c>
      <c r="T408">
        <f>IF(S408="S",MATCH(404,Firms!$W$5:$W$1004,0),IF(S408="A",IFERROR(MATCH(404-$S$2,'AFA Rates'!$R$5:$R$1004,0),""),""))</f>
        <v/>
      </c>
      <c r="U408">
        <f>IF(S408="S",T408,IF(AND(S408="A",T408&lt;&gt;""),IFERROR(MATCH(INDEX('AFA Rates'!$A$5:$A$1004,T408),Firms!$A$5:$A$1004,0),""),""))</f>
        <v/>
      </c>
    </row>
    <row r="409">
      <c r="A409" s="78">
        <f>IF($T409="","",IF($S409="S",IF(INDEX(Firms!$A$5:$A$1004,$T409)="","",INDEX(Firms!$A$5:$A$1004,$T409)),IF(INDEX('AFA Rates'!$A$5:$A$1004,$T409)="","",INDEX('AFA Rates'!$A$5:$A$1004,$T409))))</f>
        <v/>
      </c>
      <c r="B409" s="79">
        <f>IF(OR($T409="",$U409=""),IF($T409="","","Not on Firms tab"),INDEX(Firms!$B$5:$B$1004,$U409)&amp;"")</f>
        <v/>
      </c>
      <c r="C409" s="78">
        <f>IF($T409="","",IF($S409="S","Standard",INDEX('AFA Rates'!$B$5:$B$1004,$T409)&amp;""))</f>
        <v/>
      </c>
      <c r="D409" s="88">
        <f>IF($T409="","",IF($S409="S",IF(INDEX(Firms!$E$5:$E$1004,$T409)="","",INDEX(Firms!$E$5:$E$1004,$T409)),IF(INDEX('AFA Rates'!$C$5:$C$1004,$T409)="","",INDEX('AFA Rates'!$C$5:$C$1004,$T409))))</f>
        <v/>
      </c>
      <c r="E409" s="88">
        <f>IF($T409="","",IF($S409="S",IF(""="","",""),IF(INDEX('AFA Rates'!$D$5:$D$1004,$T409)="","",INDEX('AFA Rates'!$D$5:$D$1004,$T409))))</f>
        <v/>
      </c>
      <c r="F409" s="79">
        <f>IF($T409="","",IF($S409="S",IF(INDEX(Firms!$O$5:$O$1004,$T409)="","",INDEX(Firms!$O$5:$O$1004,$T409)),IF(INDEX('AFA Rates'!$O$5:$O$1004,$T409)="","",INDEX('AFA Rates'!$O$5:$O$1004,$T409))))</f>
        <v/>
      </c>
      <c r="G409" s="50">
        <f>IF($T409="","",IF($S409="S",IF(INDEX(Firms!$F$5:$F$1004,$T409)="","",INDEX(Firms!$F$5:$F$1004,$T409)),IF(INDEX('AFA Rates'!$E$5:$E$1004,$T409)="","",INDEX('AFA Rates'!$E$5:$E$1004,$T409))))</f>
        <v/>
      </c>
      <c r="H409" s="50">
        <f>IF($T409="","",IF($S409="S",IF(INDEX(Firms!$G$5:$G$1004,$T409)="","",INDEX(Firms!$G$5:$G$1004,$T409)),IF(INDEX('AFA Rates'!$F$5:$F$1004,$T409)="","",INDEX('AFA Rates'!$F$5:$F$1004,$T409))))</f>
        <v/>
      </c>
      <c r="I409" s="50">
        <f>IF($T409="","",IF($S409="S",IF(INDEX(Firms!$H$5:$H$1004,$T409)="","",INDEX(Firms!$H$5:$H$1004,$T409)),IF(INDEX('AFA Rates'!$G$5:$G$1004,$T409)="","",INDEX('AFA Rates'!$G$5:$G$1004,$T409))))</f>
        <v/>
      </c>
      <c r="J409" s="50">
        <f>IF($T409="","",IF($S409="S",IF(INDEX(Firms!$I$5:$I$1004,$T409)="","",INDEX(Firms!$I$5:$I$1004,$T409)),IF(INDEX('AFA Rates'!$H$5:$H$1004,$T409)="","",INDEX('AFA Rates'!$H$5:$H$1004,$T409))))</f>
        <v/>
      </c>
      <c r="K409" s="50">
        <f>IF($T409="","",IF($S409="S",IF(INDEX(Firms!$J$5:$J$1004,$T409)="","",INDEX(Firms!$J$5:$J$1004,$T409)),IF(INDEX('AFA Rates'!$I$5:$I$1004,$T409)="","",INDEX('AFA Rates'!$I$5:$I$1004,$T409))))</f>
        <v/>
      </c>
      <c r="L409" s="50">
        <f>IF($T409="","",IF($S409="S",IF(INDEX(Firms!$K$5:$K$1004,$T409)="","",INDEX(Firms!$K$5:$K$1004,$T409)),IF(INDEX('AFA Rates'!$J$5:$J$1004,$T409)="","",INDEX('AFA Rates'!$J$5:$J$1004,$T409))))</f>
        <v/>
      </c>
      <c r="M409" s="50">
        <f>IF($T409="","",IF($S409="S",IF(INDEX(Firms!$L$5:$L$1004,$T409)="","",INDEX(Firms!$L$5:$L$1004,$T409)),IF(INDEX('AFA Rates'!$K$5:$K$1004,$T409)="","",INDEX('AFA Rates'!$K$5:$K$1004,$T409))))</f>
        <v/>
      </c>
      <c r="N409" s="50">
        <f>IF($T409="","",IF($S409="S",IF(INDEX(Firms!$M$5:$M$1004,$T409)="","",INDEX(Firms!$M$5:$M$1004,$T409)),IF(INDEX('AFA Rates'!$L$5:$L$1004,$T409)="","",INDEX('AFA Rates'!$L$5:$L$1004,$T409))))</f>
        <v/>
      </c>
      <c r="O409" s="78">
        <f>IF(OR($T409="",$U409=""),"",IF(INDEX(Firms!$C$5:$C$1004,$U409)="","",INDEX(Firms!$C$5:$C$1004,$U409)))</f>
        <v/>
      </c>
      <c r="P409" s="79">
        <f>IF(OR($T409="",$U409=""),"",IF(INDEX(Firms!$N$5:$N$1004,$U409)="","",INDEX(Firms!$N$5:$N$1004,$U409)))</f>
        <v/>
      </c>
      <c r="Q409" s="78">
        <f>IF($T409="","",IF($S409="S",IF(INDEX(Firms!$T$5:$T$1004,$T409)="","",INDEX(Firms!$T$5:$T$1004,$T409)),IF(INDEX('AFA Rates'!$M$5:$M$1004,$T409)="","",INDEX('AFA Rates'!$M$5:$M$1004,$T409))))</f>
        <v/>
      </c>
      <c r="S409">
        <f>IF(405&lt;=$S$2,"S",IF(405&lt;=$S$2+$T$2,"A",""))</f>
        <v/>
      </c>
      <c r="T409">
        <f>IF(S409="S",MATCH(405,Firms!$W$5:$W$1004,0),IF(S409="A",IFERROR(MATCH(405-$S$2,'AFA Rates'!$R$5:$R$1004,0),""),""))</f>
        <v/>
      </c>
      <c r="U409">
        <f>IF(S409="S",T409,IF(AND(S409="A",T409&lt;&gt;""),IFERROR(MATCH(INDEX('AFA Rates'!$A$5:$A$1004,T409),Firms!$A$5:$A$1004,0),""),""))</f>
        <v/>
      </c>
    </row>
    <row r="410">
      <c r="A410" s="78">
        <f>IF($T410="","",IF($S410="S",IF(INDEX(Firms!$A$5:$A$1004,$T410)="","",INDEX(Firms!$A$5:$A$1004,$T410)),IF(INDEX('AFA Rates'!$A$5:$A$1004,$T410)="","",INDEX('AFA Rates'!$A$5:$A$1004,$T410))))</f>
        <v/>
      </c>
      <c r="B410" s="79">
        <f>IF(OR($T410="",$U410=""),IF($T410="","","Not on Firms tab"),INDEX(Firms!$B$5:$B$1004,$U410)&amp;"")</f>
        <v/>
      </c>
      <c r="C410" s="78">
        <f>IF($T410="","",IF($S410="S","Standard",INDEX('AFA Rates'!$B$5:$B$1004,$T410)&amp;""))</f>
        <v/>
      </c>
      <c r="D410" s="88">
        <f>IF($T410="","",IF($S410="S",IF(INDEX(Firms!$E$5:$E$1004,$T410)="","",INDEX(Firms!$E$5:$E$1004,$T410)),IF(INDEX('AFA Rates'!$C$5:$C$1004,$T410)="","",INDEX('AFA Rates'!$C$5:$C$1004,$T410))))</f>
        <v/>
      </c>
      <c r="E410" s="88">
        <f>IF($T410="","",IF($S410="S",IF(""="","",""),IF(INDEX('AFA Rates'!$D$5:$D$1004,$T410)="","",INDEX('AFA Rates'!$D$5:$D$1004,$T410))))</f>
        <v/>
      </c>
      <c r="F410" s="79">
        <f>IF($T410="","",IF($S410="S",IF(INDEX(Firms!$O$5:$O$1004,$T410)="","",INDEX(Firms!$O$5:$O$1004,$T410)),IF(INDEX('AFA Rates'!$O$5:$O$1004,$T410)="","",INDEX('AFA Rates'!$O$5:$O$1004,$T410))))</f>
        <v/>
      </c>
      <c r="G410" s="50">
        <f>IF($T410="","",IF($S410="S",IF(INDEX(Firms!$F$5:$F$1004,$T410)="","",INDEX(Firms!$F$5:$F$1004,$T410)),IF(INDEX('AFA Rates'!$E$5:$E$1004,$T410)="","",INDEX('AFA Rates'!$E$5:$E$1004,$T410))))</f>
        <v/>
      </c>
      <c r="H410" s="50">
        <f>IF($T410="","",IF($S410="S",IF(INDEX(Firms!$G$5:$G$1004,$T410)="","",INDEX(Firms!$G$5:$G$1004,$T410)),IF(INDEX('AFA Rates'!$F$5:$F$1004,$T410)="","",INDEX('AFA Rates'!$F$5:$F$1004,$T410))))</f>
        <v/>
      </c>
      <c r="I410" s="50">
        <f>IF($T410="","",IF($S410="S",IF(INDEX(Firms!$H$5:$H$1004,$T410)="","",INDEX(Firms!$H$5:$H$1004,$T410)),IF(INDEX('AFA Rates'!$G$5:$G$1004,$T410)="","",INDEX('AFA Rates'!$G$5:$G$1004,$T410))))</f>
        <v/>
      </c>
      <c r="J410" s="50">
        <f>IF($T410="","",IF($S410="S",IF(INDEX(Firms!$I$5:$I$1004,$T410)="","",INDEX(Firms!$I$5:$I$1004,$T410)),IF(INDEX('AFA Rates'!$H$5:$H$1004,$T410)="","",INDEX('AFA Rates'!$H$5:$H$1004,$T410))))</f>
        <v/>
      </c>
      <c r="K410" s="50">
        <f>IF($T410="","",IF($S410="S",IF(INDEX(Firms!$J$5:$J$1004,$T410)="","",INDEX(Firms!$J$5:$J$1004,$T410)),IF(INDEX('AFA Rates'!$I$5:$I$1004,$T410)="","",INDEX('AFA Rates'!$I$5:$I$1004,$T410))))</f>
        <v/>
      </c>
      <c r="L410" s="50">
        <f>IF($T410="","",IF($S410="S",IF(INDEX(Firms!$K$5:$K$1004,$T410)="","",INDEX(Firms!$K$5:$K$1004,$T410)),IF(INDEX('AFA Rates'!$J$5:$J$1004,$T410)="","",INDEX('AFA Rates'!$J$5:$J$1004,$T410))))</f>
        <v/>
      </c>
      <c r="M410" s="50">
        <f>IF($T410="","",IF($S410="S",IF(INDEX(Firms!$L$5:$L$1004,$T410)="","",INDEX(Firms!$L$5:$L$1004,$T410)),IF(INDEX('AFA Rates'!$K$5:$K$1004,$T410)="","",INDEX('AFA Rates'!$K$5:$K$1004,$T410))))</f>
        <v/>
      </c>
      <c r="N410" s="50">
        <f>IF($T410="","",IF($S410="S",IF(INDEX(Firms!$M$5:$M$1004,$T410)="","",INDEX(Firms!$M$5:$M$1004,$T410)),IF(INDEX('AFA Rates'!$L$5:$L$1004,$T410)="","",INDEX('AFA Rates'!$L$5:$L$1004,$T410))))</f>
        <v/>
      </c>
      <c r="O410" s="78">
        <f>IF(OR($T410="",$U410=""),"",IF(INDEX(Firms!$C$5:$C$1004,$U410)="","",INDEX(Firms!$C$5:$C$1004,$U410)))</f>
        <v/>
      </c>
      <c r="P410" s="79">
        <f>IF(OR($T410="",$U410=""),"",IF(INDEX(Firms!$N$5:$N$1004,$U410)="","",INDEX(Firms!$N$5:$N$1004,$U410)))</f>
        <v/>
      </c>
      <c r="Q410" s="78">
        <f>IF($T410="","",IF($S410="S",IF(INDEX(Firms!$T$5:$T$1004,$T410)="","",INDEX(Firms!$T$5:$T$1004,$T410)),IF(INDEX('AFA Rates'!$M$5:$M$1004,$T410)="","",INDEX('AFA Rates'!$M$5:$M$1004,$T410))))</f>
        <v/>
      </c>
      <c r="S410">
        <f>IF(406&lt;=$S$2,"S",IF(406&lt;=$S$2+$T$2,"A",""))</f>
        <v/>
      </c>
      <c r="T410">
        <f>IF(S410="S",MATCH(406,Firms!$W$5:$W$1004,0),IF(S410="A",IFERROR(MATCH(406-$S$2,'AFA Rates'!$R$5:$R$1004,0),""),""))</f>
        <v/>
      </c>
      <c r="U410">
        <f>IF(S410="S",T410,IF(AND(S410="A",T410&lt;&gt;""),IFERROR(MATCH(INDEX('AFA Rates'!$A$5:$A$1004,T410),Firms!$A$5:$A$1004,0),""),""))</f>
        <v/>
      </c>
    </row>
    <row r="411">
      <c r="A411" s="78">
        <f>IF($T411="","",IF($S411="S",IF(INDEX(Firms!$A$5:$A$1004,$T411)="","",INDEX(Firms!$A$5:$A$1004,$T411)),IF(INDEX('AFA Rates'!$A$5:$A$1004,$T411)="","",INDEX('AFA Rates'!$A$5:$A$1004,$T411))))</f>
        <v/>
      </c>
      <c r="B411" s="79">
        <f>IF(OR($T411="",$U411=""),IF($T411="","","Not on Firms tab"),INDEX(Firms!$B$5:$B$1004,$U411)&amp;"")</f>
        <v/>
      </c>
      <c r="C411" s="78">
        <f>IF($T411="","",IF($S411="S","Standard",INDEX('AFA Rates'!$B$5:$B$1004,$T411)&amp;""))</f>
        <v/>
      </c>
      <c r="D411" s="88">
        <f>IF($T411="","",IF($S411="S",IF(INDEX(Firms!$E$5:$E$1004,$T411)="","",INDEX(Firms!$E$5:$E$1004,$T411)),IF(INDEX('AFA Rates'!$C$5:$C$1004,$T411)="","",INDEX('AFA Rates'!$C$5:$C$1004,$T411))))</f>
        <v/>
      </c>
      <c r="E411" s="88">
        <f>IF($T411="","",IF($S411="S",IF(""="","",""),IF(INDEX('AFA Rates'!$D$5:$D$1004,$T411)="","",INDEX('AFA Rates'!$D$5:$D$1004,$T411))))</f>
        <v/>
      </c>
      <c r="F411" s="79">
        <f>IF($T411="","",IF($S411="S",IF(INDEX(Firms!$O$5:$O$1004,$T411)="","",INDEX(Firms!$O$5:$O$1004,$T411)),IF(INDEX('AFA Rates'!$O$5:$O$1004,$T411)="","",INDEX('AFA Rates'!$O$5:$O$1004,$T411))))</f>
        <v/>
      </c>
      <c r="G411" s="50">
        <f>IF($T411="","",IF($S411="S",IF(INDEX(Firms!$F$5:$F$1004,$T411)="","",INDEX(Firms!$F$5:$F$1004,$T411)),IF(INDEX('AFA Rates'!$E$5:$E$1004,$T411)="","",INDEX('AFA Rates'!$E$5:$E$1004,$T411))))</f>
        <v/>
      </c>
      <c r="H411" s="50">
        <f>IF($T411="","",IF($S411="S",IF(INDEX(Firms!$G$5:$G$1004,$T411)="","",INDEX(Firms!$G$5:$G$1004,$T411)),IF(INDEX('AFA Rates'!$F$5:$F$1004,$T411)="","",INDEX('AFA Rates'!$F$5:$F$1004,$T411))))</f>
        <v/>
      </c>
      <c r="I411" s="50">
        <f>IF($T411="","",IF($S411="S",IF(INDEX(Firms!$H$5:$H$1004,$T411)="","",INDEX(Firms!$H$5:$H$1004,$T411)),IF(INDEX('AFA Rates'!$G$5:$G$1004,$T411)="","",INDEX('AFA Rates'!$G$5:$G$1004,$T411))))</f>
        <v/>
      </c>
      <c r="J411" s="50">
        <f>IF($T411="","",IF($S411="S",IF(INDEX(Firms!$I$5:$I$1004,$T411)="","",INDEX(Firms!$I$5:$I$1004,$T411)),IF(INDEX('AFA Rates'!$H$5:$H$1004,$T411)="","",INDEX('AFA Rates'!$H$5:$H$1004,$T411))))</f>
        <v/>
      </c>
      <c r="K411" s="50">
        <f>IF($T411="","",IF($S411="S",IF(INDEX(Firms!$J$5:$J$1004,$T411)="","",INDEX(Firms!$J$5:$J$1004,$T411)),IF(INDEX('AFA Rates'!$I$5:$I$1004,$T411)="","",INDEX('AFA Rates'!$I$5:$I$1004,$T411))))</f>
        <v/>
      </c>
      <c r="L411" s="50">
        <f>IF($T411="","",IF($S411="S",IF(INDEX(Firms!$K$5:$K$1004,$T411)="","",INDEX(Firms!$K$5:$K$1004,$T411)),IF(INDEX('AFA Rates'!$J$5:$J$1004,$T411)="","",INDEX('AFA Rates'!$J$5:$J$1004,$T411))))</f>
        <v/>
      </c>
      <c r="M411" s="50">
        <f>IF($T411="","",IF($S411="S",IF(INDEX(Firms!$L$5:$L$1004,$T411)="","",INDEX(Firms!$L$5:$L$1004,$T411)),IF(INDEX('AFA Rates'!$K$5:$K$1004,$T411)="","",INDEX('AFA Rates'!$K$5:$K$1004,$T411))))</f>
        <v/>
      </c>
      <c r="N411" s="50">
        <f>IF($T411="","",IF($S411="S",IF(INDEX(Firms!$M$5:$M$1004,$T411)="","",INDEX(Firms!$M$5:$M$1004,$T411)),IF(INDEX('AFA Rates'!$L$5:$L$1004,$T411)="","",INDEX('AFA Rates'!$L$5:$L$1004,$T411))))</f>
        <v/>
      </c>
      <c r="O411" s="78">
        <f>IF(OR($T411="",$U411=""),"",IF(INDEX(Firms!$C$5:$C$1004,$U411)="","",INDEX(Firms!$C$5:$C$1004,$U411)))</f>
        <v/>
      </c>
      <c r="P411" s="79">
        <f>IF(OR($T411="",$U411=""),"",IF(INDEX(Firms!$N$5:$N$1004,$U411)="","",INDEX(Firms!$N$5:$N$1004,$U411)))</f>
        <v/>
      </c>
      <c r="Q411" s="78">
        <f>IF($T411="","",IF($S411="S",IF(INDEX(Firms!$T$5:$T$1004,$T411)="","",INDEX(Firms!$T$5:$T$1004,$T411)),IF(INDEX('AFA Rates'!$M$5:$M$1004,$T411)="","",INDEX('AFA Rates'!$M$5:$M$1004,$T411))))</f>
        <v/>
      </c>
      <c r="S411">
        <f>IF(407&lt;=$S$2,"S",IF(407&lt;=$S$2+$T$2,"A",""))</f>
        <v/>
      </c>
      <c r="T411">
        <f>IF(S411="S",MATCH(407,Firms!$W$5:$W$1004,0),IF(S411="A",IFERROR(MATCH(407-$S$2,'AFA Rates'!$R$5:$R$1004,0),""),""))</f>
        <v/>
      </c>
      <c r="U411">
        <f>IF(S411="S",T411,IF(AND(S411="A",T411&lt;&gt;""),IFERROR(MATCH(INDEX('AFA Rates'!$A$5:$A$1004,T411),Firms!$A$5:$A$1004,0),""),""))</f>
        <v/>
      </c>
    </row>
    <row r="412">
      <c r="A412" s="78">
        <f>IF($T412="","",IF($S412="S",IF(INDEX(Firms!$A$5:$A$1004,$T412)="","",INDEX(Firms!$A$5:$A$1004,$T412)),IF(INDEX('AFA Rates'!$A$5:$A$1004,$T412)="","",INDEX('AFA Rates'!$A$5:$A$1004,$T412))))</f>
        <v/>
      </c>
      <c r="B412" s="79">
        <f>IF(OR($T412="",$U412=""),IF($T412="","","Not on Firms tab"),INDEX(Firms!$B$5:$B$1004,$U412)&amp;"")</f>
        <v/>
      </c>
      <c r="C412" s="78">
        <f>IF($T412="","",IF($S412="S","Standard",INDEX('AFA Rates'!$B$5:$B$1004,$T412)&amp;""))</f>
        <v/>
      </c>
      <c r="D412" s="88">
        <f>IF($T412="","",IF($S412="S",IF(INDEX(Firms!$E$5:$E$1004,$T412)="","",INDEX(Firms!$E$5:$E$1004,$T412)),IF(INDEX('AFA Rates'!$C$5:$C$1004,$T412)="","",INDEX('AFA Rates'!$C$5:$C$1004,$T412))))</f>
        <v/>
      </c>
      <c r="E412" s="88">
        <f>IF($T412="","",IF($S412="S",IF(""="","",""),IF(INDEX('AFA Rates'!$D$5:$D$1004,$T412)="","",INDEX('AFA Rates'!$D$5:$D$1004,$T412))))</f>
        <v/>
      </c>
      <c r="F412" s="79">
        <f>IF($T412="","",IF($S412="S",IF(INDEX(Firms!$O$5:$O$1004,$T412)="","",INDEX(Firms!$O$5:$O$1004,$T412)),IF(INDEX('AFA Rates'!$O$5:$O$1004,$T412)="","",INDEX('AFA Rates'!$O$5:$O$1004,$T412))))</f>
        <v/>
      </c>
      <c r="G412" s="50">
        <f>IF($T412="","",IF($S412="S",IF(INDEX(Firms!$F$5:$F$1004,$T412)="","",INDEX(Firms!$F$5:$F$1004,$T412)),IF(INDEX('AFA Rates'!$E$5:$E$1004,$T412)="","",INDEX('AFA Rates'!$E$5:$E$1004,$T412))))</f>
        <v/>
      </c>
      <c r="H412" s="50">
        <f>IF($T412="","",IF($S412="S",IF(INDEX(Firms!$G$5:$G$1004,$T412)="","",INDEX(Firms!$G$5:$G$1004,$T412)),IF(INDEX('AFA Rates'!$F$5:$F$1004,$T412)="","",INDEX('AFA Rates'!$F$5:$F$1004,$T412))))</f>
        <v/>
      </c>
      <c r="I412" s="50">
        <f>IF($T412="","",IF($S412="S",IF(INDEX(Firms!$H$5:$H$1004,$T412)="","",INDEX(Firms!$H$5:$H$1004,$T412)),IF(INDEX('AFA Rates'!$G$5:$G$1004,$T412)="","",INDEX('AFA Rates'!$G$5:$G$1004,$T412))))</f>
        <v/>
      </c>
      <c r="J412" s="50">
        <f>IF($T412="","",IF($S412="S",IF(INDEX(Firms!$I$5:$I$1004,$T412)="","",INDEX(Firms!$I$5:$I$1004,$T412)),IF(INDEX('AFA Rates'!$H$5:$H$1004,$T412)="","",INDEX('AFA Rates'!$H$5:$H$1004,$T412))))</f>
        <v/>
      </c>
      <c r="K412" s="50">
        <f>IF($T412="","",IF($S412="S",IF(INDEX(Firms!$J$5:$J$1004,$T412)="","",INDEX(Firms!$J$5:$J$1004,$T412)),IF(INDEX('AFA Rates'!$I$5:$I$1004,$T412)="","",INDEX('AFA Rates'!$I$5:$I$1004,$T412))))</f>
        <v/>
      </c>
      <c r="L412" s="50">
        <f>IF($T412="","",IF($S412="S",IF(INDEX(Firms!$K$5:$K$1004,$T412)="","",INDEX(Firms!$K$5:$K$1004,$T412)),IF(INDEX('AFA Rates'!$J$5:$J$1004,$T412)="","",INDEX('AFA Rates'!$J$5:$J$1004,$T412))))</f>
        <v/>
      </c>
      <c r="M412" s="50">
        <f>IF($T412="","",IF($S412="S",IF(INDEX(Firms!$L$5:$L$1004,$T412)="","",INDEX(Firms!$L$5:$L$1004,$T412)),IF(INDEX('AFA Rates'!$K$5:$K$1004,$T412)="","",INDEX('AFA Rates'!$K$5:$K$1004,$T412))))</f>
        <v/>
      </c>
      <c r="N412" s="50">
        <f>IF($T412="","",IF($S412="S",IF(INDEX(Firms!$M$5:$M$1004,$T412)="","",INDEX(Firms!$M$5:$M$1004,$T412)),IF(INDEX('AFA Rates'!$L$5:$L$1004,$T412)="","",INDEX('AFA Rates'!$L$5:$L$1004,$T412))))</f>
        <v/>
      </c>
      <c r="O412" s="78">
        <f>IF(OR($T412="",$U412=""),"",IF(INDEX(Firms!$C$5:$C$1004,$U412)="","",INDEX(Firms!$C$5:$C$1004,$U412)))</f>
        <v/>
      </c>
      <c r="P412" s="79">
        <f>IF(OR($T412="",$U412=""),"",IF(INDEX(Firms!$N$5:$N$1004,$U412)="","",INDEX(Firms!$N$5:$N$1004,$U412)))</f>
        <v/>
      </c>
      <c r="Q412" s="78">
        <f>IF($T412="","",IF($S412="S",IF(INDEX(Firms!$T$5:$T$1004,$T412)="","",INDEX(Firms!$T$5:$T$1004,$T412)),IF(INDEX('AFA Rates'!$M$5:$M$1004,$T412)="","",INDEX('AFA Rates'!$M$5:$M$1004,$T412))))</f>
        <v/>
      </c>
      <c r="S412">
        <f>IF(408&lt;=$S$2,"S",IF(408&lt;=$S$2+$T$2,"A",""))</f>
        <v/>
      </c>
      <c r="T412">
        <f>IF(S412="S",MATCH(408,Firms!$W$5:$W$1004,0),IF(S412="A",IFERROR(MATCH(408-$S$2,'AFA Rates'!$R$5:$R$1004,0),""),""))</f>
        <v/>
      </c>
      <c r="U412">
        <f>IF(S412="S",T412,IF(AND(S412="A",T412&lt;&gt;""),IFERROR(MATCH(INDEX('AFA Rates'!$A$5:$A$1004,T412),Firms!$A$5:$A$1004,0),""),""))</f>
        <v/>
      </c>
    </row>
    <row r="413">
      <c r="A413" s="78">
        <f>IF($T413="","",IF($S413="S",IF(INDEX(Firms!$A$5:$A$1004,$T413)="","",INDEX(Firms!$A$5:$A$1004,$T413)),IF(INDEX('AFA Rates'!$A$5:$A$1004,$T413)="","",INDEX('AFA Rates'!$A$5:$A$1004,$T413))))</f>
        <v/>
      </c>
      <c r="B413" s="79">
        <f>IF(OR($T413="",$U413=""),IF($T413="","","Not on Firms tab"),INDEX(Firms!$B$5:$B$1004,$U413)&amp;"")</f>
        <v/>
      </c>
      <c r="C413" s="78">
        <f>IF($T413="","",IF($S413="S","Standard",INDEX('AFA Rates'!$B$5:$B$1004,$T413)&amp;""))</f>
        <v/>
      </c>
      <c r="D413" s="88">
        <f>IF($T413="","",IF($S413="S",IF(INDEX(Firms!$E$5:$E$1004,$T413)="","",INDEX(Firms!$E$5:$E$1004,$T413)),IF(INDEX('AFA Rates'!$C$5:$C$1004,$T413)="","",INDEX('AFA Rates'!$C$5:$C$1004,$T413))))</f>
        <v/>
      </c>
      <c r="E413" s="88">
        <f>IF($T413="","",IF($S413="S",IF(""="","",""),IF(INDEX('AFA Rates'!$D$5:$D$1004,$T413)="","",INDEX('AFA Rates'!$D$5:$D$1004,$T413))))</f>
        <v/>
      </c>
      <c r="F413" s="79">
        <f>IF($T413="","",IF($S413="S",IF(INDEX(Firms!$O$5:$O$1004,$T413)="","",INDEX(Firms!$O$5:$O$1004,$T413)),IF(INDEX('AFA Rates'!$O$5:$O$1004,$T413)="","",INDEX('AFA Rates'!$O$5:$O$1004,$T413))))</f>
        <v/>
      </c>
      <c r="G413" s="50">
        <f>IF($T413="","",IF($S413="S",IF(INDEX(Firms!$F$5:$F$1004,$T413)="","",INDEX(Firms!$F$5:$F$1004,$T413)),IF(INDEX('AFA Rates'!$E$5:$E$1004,$T413)="","",INDEX('AFA Rates'!$E$5:$E$1004,$T413))))</f>
        <v/>
      </c>
      <c r="H413" s="50">
        <f>IF($T413="","",IF($S413="S",IF(INDEX(Firms!$G$5:$G$1004,$T413)="","",INDEX(Firms!$G$5:$G$1004,$T413)),IF(INDEX('AFA Rates'!$F$5:$F$1004,$T413)="","",INDEX('AFA Rates'!$F$5:$F$1004,$T413))))</f>
        <v/>
      </c>
      <c r="I413" s="50">
        <f>IF($T413="","",IF($S413="S",IF(INDEX(Firms!$H$5:$H$1004,$T413)="","",INDEX(Firms!$H$5:$H$1004,$T413)),IF(INDEX('AFA Rates'!$G$5:$G$1004,$T413)="","",INDEX('AFA Rates'!$G$5:$G$1004,$T413))))</f>
        <v/>
      </c>
      <c r="J413" s="50">
        <f>IF($T413="","",IF($S413="S",IF(INDEX(Firms!$I$5:$I$1004,$T413)="","",INDEX(Firms!$I$5:$I$1004,$T413)),IF(INDEX('AFA Rates'!$H$5:$H$1004,$T413)="","",INDEX('AFA Rates'!$H$5:$H$1004,$T413))))</f>
        <v/>
      </c>
      <c r="K413" s="50">
        <f>IF($T413="","",IF($S413="S",IF(INDEX(Firms!$J$5:$J$1004,$T413)="","",INDEX(Firms!$J$5:$J$1004,$T413)),IF(INDEX('AFA Rates'!$I$5:$I$1004,$T413)="","",INDEX('AFA Rates'!$I$5:$I$1004,$T413))))</f>
        <v/>
      </c>
      <c r="L413" s="50">
        <f>IF($T413="","",IF($S413="S",IF(INDEX(Firms!$K$5:$K$1004,$T413)="","",INDEX(Firms!$K$5:$K$1004,$T413)),IF(INDEX('AFA Rates'!$J$5:$J$1004,$T413)="","",INDEX('AFA Rates'!$J$5:$J$1004,$T413))))</f>
        <v/>
      </c>
      <c r="M413" s="50">
        <f>IF($T413="","",IF($S413="S",IF(INDEX(Firms!$L$5:$L$1004,$T413)="","",INDEX(Firms!$L$5:$L$1004,$T413)),IF(INDEX('AFA Rates'!$K$5:$K$1004,$T413)="","",INDEX('AFA Rates'!$K$5:$K$1004,$T413))))</f>
        <v/>
      </c>
      <c r="N413" s="50">
        <f>IF($T413="","",IF($S413="S",IF(INDEX(Firms!$M$5:$M$1004,$T413)="","",INDEX(Firms!$M$5:$M$1004,$T413)),IF(INDEX('AFA Rates'!$L$5:$L$1004,$T413)="","",INDEX('AFA Rates'!$L$5:$L$1004,$T413))))</f>
        <v/>
      </c>
      <c r="O413" s="78">
        <f>IF(OR($T413="",$U413=""),"",IF(INDEX(Firms!$C$5:$C$1004,$U413)="","",INDEX(Firms!$C$5:$C$1004,$U413)))</f>
        <v/>
      </c>
      <c r="P413" s="79">
        <f>IF(OR($T413="",$U413=""),"",IF(INDEX(Firms!$N$5:$N$1004,$U413)="","",INDEX(Firms!$N$5:$N$1004,$U413)))</f>
        <v/>
      </c>
      <c r="Q413" s="78">
        <f>IF($T413="","",IF($S413="S",IF(INDEX(Firms!$T$5:$T$1004,$T413)="","",INDEX(Firms!$T$5:$T$1004,$T413)),IF(INDEX('AFA Rates'!$M$5:$M$1004,$T413)="","",INDEX('AFA Rates'!$M$5:$M$1004,$T413))))</f>
        <v/>
      </c>
      <c r="S413">
        <f>IF(409&lt;=$S$2,"S",IF(409&lt;=$S$2+$T$2,"A",""))</f>
        <v/>
      </c>
      <c r="T413">
        <f>IF(S413="S",MATCH(409,Firms!$W$5:$W$1004,0),IF(S413="A",IFERROR(MATCH(409-$S$2,'AFA Rates'!$R$5:$R$1004,0),""),""))</f>
        <v/>
      </c>
      <c r="U413">
        <f>IF(S413="S",T413,IF(AND(S413="A",T413&lt;&gt;""),IFERROR(MATCH(INDEX('AFA Rates'!$A$5:$A$1004,T413),Firms!$A$5:$A$1004,0),""),""))</f>
        <v/>
      </c>
    </row>
    <row r="414">
      <c r="A414" s="78">
        <f>IF($T414="","",IF($S414="S",IF(INDEX(Firms!$A$5:$A$1004,$T414)="","",INDEX(Firms!$A$5:$A$1004,$T414)),IF(INDEX('AFA Rates'!$A$5:$A$1004,$T414)="","",INDEX('AFA Rates'!$A$5:$A$1004,$T414))))</f>
        <v/>
      </c>
      <c r="B414" s="79">
        <f>IF(OR($T414="",$U414=""),IF($T414="","","Not on Firms tab"),INDEX(Firms!$B$5:$B$1004,$U414)&amp;"")</f>
        <v/>
      </c>
      <c r="C414" s="78">
        <f>IF($T414="","",IF($S414="S","Standard",INDEX('AFA Rates'!$B$5:$B$1004,$T414)&amp;""))</f>
        <v/>
      </c>
      <c r="D414" s="88">
        <f>IF($T414="","",IF($S414="S",IF(INDEX(Firms!$E$5:$E$1004,$T414)="","",INDEX(Firms!$E$5:$E$1004,$T414)),IF(INDEX('AFA Rates'!$C$5:$C$1004,$T414)="","",INDEX('AFA Rates'!$C$5:$C$1004,$T414))))</f>
        <v/>
      </c>
      <c r="E414" s="88">
        <f>IF($T414="","",IF($S414="S",IF(""="","",""),IF(INDEX('AFA Rates'!$D$5:$D$1004,$T414)="","",INDEX('AFA Rates'!$D$5:$D$1004,$T414))))</f>
        <v/>
      </c>
      <c r="F414" s="79">
        <f>IF($T414="","",IF($S414="S",IF(INDEX(Firms!$O$5:$O$1004,$T414)="","",INDEX(Firms!$O$5:$O$1004,$T414)),IF(INDEX('AFA Rates'!$O$5:$O$1004,$T414)="","",INDEX('AFA Rates'!$O$5:$O$1004,$T414))))</f>
        <v/>
      </c>
      <c r="G414" s="50">
        <f>IF($T414="","",IF($S414="S",IF(INDEX(Firms!$F$5:$F$1004,$T414)="","",INDEX(Firms!$F$5:$F$1004,$T414)),IF(INDEX('AFA Rates'!$E$5:$E$1004,$T414)="","",INDEX('AFA Rates'!$E$5:$E$1004,$T414))))</f>
        <v/>
      </c>
      <c r="H414" s="50">
        <f>IF($T414="","",IF($S414="S",IF(INDEX(Firms!$G$5:$G$1004,$T414)="","",INDEX(Firms!$G$5:$G$1004,$T414)),IF(INDEX('AFA Rates'!$F$5:$F$1004,$T414)="","",INDEX('AFA Rates'!$F$5:$F$1004,$T414))))</f>
        <v/>
      </c>
      <c r="I414" s="50">
        <f>IF($T414="","",IF($S414="S",IF(INDEX(Firms!$H$5:$H$1004,$T414)="","",INDEX(Firms!$H$5:$H$1004,$T414)),IF(INDEX('AFA Rates'!$G$5:$G$1004,$T414)="","",INDEX('AFA Rates'!$G$5:$G$1004,$T414))))</f>
        <v/>
      </c>
      <c r="J414" s="50">
        <f>IF($T414="","",IF($S414="S",IF(INDEX(Firms!$I$5:$I$1004,$T414)="","",INDEX(Firms!$I$5:$I$1004,$T414)),IF(INDEX('AFA Rates'!$H$5:$H$1004,$T414)="","",INDEX('AFA Rates'!$H$5:$H$1004,$T414))))</f>
        <v/>
      </c>
      <c r="K414" s="50">
        <f>IF($T414="","",IF($S414="S",IF(INDEX(Firms!$J$5:$J$1004,$T414)="","",INDEX(Firms!$J$5:$J$1004,$T414)),IF(INDEX('AFA Rates'!$I$5:$I$1004,$T414)="","",INDEX('AFA Rates'!$I$5:$I$1004,$T414))))</f>
        <v/>
      </c>
      <c r="L414" s="50">
        <f>IF($T414="","",IF($S414="S",IF(INDEX(Firms!$K$5:$K$1004,$T414)="","",INDEX(Firms!$K$5:$K$1004,$T414)),IF(INDEX('AFA Rates'!$J$5:$J$1004,$T414)="","",INDEX('AFA Rates'!$J$5:$J$1004,$T414))))</f>
        <v/>
      </c>
      <c r="M414" s="50">
        <f>IF($T414="","",IF($S414="S",IF(INDEX(Firms!$L$5:$L$1004,$T414)="","",INDEX(Firms!$L$5:$L$1004,$T414)),IF(INDEX('AFA Rates'!$K$5:$K$1004,$T414)="","",INDEX('AFA Rates'!$K$5:$K$1004,$T414))))</f>
        <v/>
      </c>
      <c r="N414" s="50">
        <f>IF($T414="","",IF($S414="S",IF(INDEX(Firms!$M$5:$M$1004,$T414)="","",INDEX(Firms!$M$5:$M$1004,$T414)),IF(INDEX('AFA Rates'!$L$5:$L$1004,$T414)="","",INDEX('AFA Rates'!$L$5:$L$1004,$T414))))</f>
        <v/>
      </c>
      <c r="O414" s="78">
        <f>IF(OR($T414="",$U414=""),"",IF(INDEX(Firms!$C$5:$C$1004,$U414)="","",INDEX(Firms!$C$5:$C$1004,$U414)))</f>
        <v/>
      </c>
      <c r="P414" s="79">
        <f>IF(OR($T414="",$U414=""),"",IF(INDEX(Firms!$N$5:$N$1004,$U414)="","",INDEX(Firms!$N$5:$N$1004,$U414)))</f>
        <v/>
      </c>
      <c r="Q414" s="78">
        <f>IF($T414="","",IF($S414="S",IF(INDEX(Firms!$T$5:$T$1004,$T414)="","",INDEX(Firms!$T$5:$T$1004,$T414)),IF(INDEX('AFA Rates'!$M$5:$M$1004,$T414)="","",INDEX('AFA Rates'!$M$5:$M$1004,$T414))))</f>
        <v/>
      </c>
      <c r="S414">
        <f>IF(410&lt;=$S$2,"S",IF(410&lt;=$S$2+$T$2,"A",""))</f>
        <v/>
      </c>
      <c r="T414">
        <f>IF(S414="S",MATCH(410,Firms!$W$5:$W$1004,0),IF(S414="A",IFERROR(MATCH(410-$S$2,'AFA Rates'!$R$5:$R$1004,0),""),""))</f>
        <v/>
      </c>
      <c r="U414">
        <f>IF(S414="S",T414,IF(AND(S414="A",T414&lt;&gt;""),IFERROR(MATCH(INDEX('AFA Rates'!$A$5:$A$1004,T414),Firms!$A$5:$A$1004,0),""),""))</f>
        <v/>
      </c>
    </row>
    <row r="415">
      <c r="A415" s="78">
        <f>IF($T415="","",IF($S415="S",IF(INDEX(Firms!$A$5:$A$1004,$T415)="","",INDEX(Firms!$A$5:$A$1004,$T415)),IF(INDEX('AFA Rates'!$A$5:$A$1004,$T415)="","",INDEX('AFA Rates'!$A$5:$A$1004,$T415))))</f>
        <v/>
      </c>
      <c r="B415" s="79">
        <f>IF(OR($T415="",$U415=""),IF($T415="","","Not on Firms tab"),INDEX(Firms!$B$5:$B$1004,$U415)&amp;"")</f>
        <v/>
      </c>
      <c r="C415" s="78">
        <f>IF($T415="","",IF($S415="S","Standard",INDEX('AFA Rates'!$B$5:$B$1004,$T415)&amp;""))</f>
        <v/>
      </c>
      <c r="D415" s="88">
        <f>IF($T415="","",IF($S415="S",IF(INDEX(Firms!$E$5:$E$1004,$T415)="","",INDEX(Firms!$E$5:$E$1004,$T415)),IF(INDEX('AFA Rates'!$C$5:$C$1004,$T415)="","",INDEX('AFA Rates'!$C$5:$C$1004,$T415))))</f>
        <v/>
      </c>
      <c r="E415" s="88">
        <f>IF($T415="","",IF($S415="S",IF(""="","",""),IF(INDEX('AFA Rates'!$D$5:$D$1004,$T415)="","",INDEX('AFA Rates'!$D$5:$D$1004,$T415))))</f>
        <v/>
      </c>
      <c r="F415" s="79">
        <f>IF($T415="","",IF($S415="S",IF(INDEX(Firms!$O$5:$O$1004,$T415)="","",INDEX(Firms!$O$5:$O$1004,$T415)),IF(INDEX('AFA Rates'!$O$5:$O$1004,$T415)="","",INDEX('AFA Rates'!$O$5:$O$1004,$T415))))</f>
        <v/>
      </c>
      <c r="G415" s="50">
        <f>IF($T415="","",IF($S415="S",IF(INDEX(Firms!$F$5:$F$1004,$T415)="","",INDEX(Firms!$F$5:$F$1004,$T415)),IF(INDEX('AFA Rates'!$E$5:$E$1004,$T415)="","",INDEX('AFA Rates'!$E$5:$E$1004,$T415))))</f>
        <v/>
      </c>
      <c r="H415" s="50">
        <f>IF($T415="","",IF($S415="S",IF(INDEX(Firms!$G$5:$G$1004,$T415)="","",INDEX(Firms!$G$5:$G$1004,$T415)),IF(INDEX('AFA Rates'!$F$5:$F$1004,$T415)="","",INDEX('AFA Rates'!$F$5:$F$1004,$T415))))</f>
        <v/>
      </c>
      <c r="I415" s="50">
        <f>IF($T415="","",IF($S415="S",IF(INDEX(Firms!$H$5:$H$1004,$T415)="","",INDEX(Firms!$H$5:$H$1004,$T415)),IF(INDEX('AFA Rates'!$G$5:$G$1004,$T415)="","",INDEX('AFA Rates'!$G$5:$G$1004,$T415))))</f>
        <v/>
      </c>
      <c r="J415" s="50">
        <f>IF($T415="","",IF($S415="S",IF(INDEX(Firms!$I$5:$I$1004,$T415)="","",INDEX(Firms!$I$5:$I$1004,$T415)),IF(INDEX('AFA Rates'!$H$5:$H$1004,$T415)="","",INDEX('AFA Rates'!$H$5:$H$1004,$T415))))</f>
        <v/>
      </c>
      <c r="K415" s="50">
        <f>IF($T415="","",IF($S415="S",IF(INDEX(Firms!$J$5:$J$1004,$T415)="","",INDEX(Firms!$J$5:$J$1004,$T415)),IF(INDEX('AFA Rates'!$I$5:$I$1004,$T415)="","",INDEX('AFA Rates'!$I$5:$I$1004,$T415))))</f>
        <v/>
      </c>
      <c r="L415" s="50">
        <f>IF($T415="","",IF($S415="S",IF(INDEX(Firms!$K$5:$K$1004,$T415)="","",INDEX(Firms!$K$5:$K$1004,$T415)),IF(INDEX('AFA Rates'!$J$5:$J$1004,$T415)="","",INDEX('AFA Rates'!$J$5:$J$1004,$T415))))</f>
        <v/>
      </c>
      <c r="M415" s="50">
        <f>IF($T415="","",IF($S415="S",IF(INDEX(Firms!$L$5:$L$1004,$T415)="","",INDEX(Firms!$L$5:$L$1004,$T415)),IF(INDEX('AFA Rates'!$K$5:$K$1004,$T415)="","",INDEX('AFA Rates'!$K$5:$K$1004,$T415))))</f>
        <v/>
      </c>
      <c r="N415" s="50">
        <f>IF($T415="","",IF($S415="S",IF(INDEX(Firms!$M$5:$M$1004,$T415)="","",INDEX(Firms!$M$5:$M$1004,$T415)),IF(INDEX('AFA Rates'!$L$5:$L$1004,$T415)="","",INDEX('AFA Rates'!$L$5:$L$1004,$T415))))</f>
        <v/>
      </c>
      <c r="O415" s="78">
        <f>IF(OR($T415="",$U415=""),"",IF(INDEX(Firms!$C$5:$C$1004,$U415)="","",INDEX(Firms!$C$5:$C$1004,$U415)))</f>
        <v/>
      </c>
      <c r="P415" s="79">
        <f>IF(OR($T415="",$U415=""),"",IF(INDEX(Firms!$N$5:$N$1004,$U415)="","",INDEX(Firms!$N$5:$N$1004,$U415)))</f>
        <v/>
      </c>
      <c r="Q415" s="78">
        <f>IF($T415="","",IF($S415="S",IF(INDEX(Firms!$T$5:$T$1004,$T415)="","",INDEX(Firms!$T$5:$T$1004,$T415)),IF(INDEX('AFA Rates'!$M$5:$M$1004,$T415)="","",INDEX('AFA Rates'!$M$5:$M$1004,$T415))))</f>
        <v/>
      </c>
      <c r="S415">
        <f>IF(411&lt;=$S$2,"S",IF(411&lt;=$S$2+$T$2,"A",""))</f>
        <v/>
      </c>
      <c r="T415">
        <f>IF(S415="S",MATCH(411,Firms!$W$5:$W$1004,0),IF(S415="A",IFERROR(MATCH(411-$S$2,'AFA Rates'!$R$5:$R$1004,0),""),""))</f>
        <v/>
      </c>
      <c r="U415">
        <f>IF(S415="S",T415,IF(AND(S415="A",T415&lt;&gt;""),IFERROR(MATCH(INDEX('AFA Rates'!$A$5:$A$1004,T415),Firms!$A$5:$A$1004,0),""),""))</f>
        <v/>
      </c>
    </row>
    <row r="416">
      <c r="A416" s="78">
        <f>IF($T416="","",IF($S416="S",IF(INDEX(Firms!$A$5:$A$1004,$T416)="","",INDEX(Firms!$A$5:$A$1004,$T416)),IF(INDEX('AFA Rates'!$A$5:$A$1004,$T416)="","",INDEX('AFA Rates'!$A$5:$A$1004,$T416))))</f>
        <v/>
      </c>
      <c r="B416" s="79">
        <f>IF(OR($T416="",$U416=""),IF($T416="","","Not on Firms tab"),INDEX(Firms!$B$5:$B$1004,$U416)&amp;"")</f>
        <v/>
      </c>
      <c r="C416" s="78">
        <f>IF($T416="","",IF($S416="S","Standard",INDEX('AFA Rates'!$B$5:$B$1004,$T416)&amp;""))</f>
        <v/>
      </c>
      <c r="D416" s="88">
        <f>IF($T416="","",IF($S416="S",IF(INDEX(Firms!$E$5:$E$1004,$T416)="","",INDEX(Firms!$E$5:$E$1004,$T416)),IF(INDEX('AFA Rates'!$C$5:$C$1004,$T416)="","",INDEX('AFA Rates'!$C$5:$C$1004,$T416))))</f>
        <v/>
      </c>
      <c r="E416" s="88">
        <f>IF($T416="","",IF($S416="S",IF(""="","",""),IF(INDEX('AFA Rates'!$D$5:$D$1004,$T416)="","",INDEX('AFA Rates'!$D$5:$D$1004,$T416))))</f>
        <v/>
      </c>
      <c r="F416" s="79">
        <f>IF($T416="","",IF($S416="S",IF(INDEX(Firms!$O$5:$O$1004,$T416)="","",INDEX(Firms!$O$5:$O$1004,$T416)),IF(INDEX('AFA Rates'!$O$5:$O$1004,$T416)="","",INDEX('AFA Rates'!$O$5:$O$1004,$T416))))</f>
        <v/>
      </c>
      <c r="G416" s="50">
        <f>IF($T416="","",IF($S416="S",IF(INDEX(Firms!$F$5:$F$1004,$T416)="","",INDEX(Firms!$F$5:$F$1004,$T416)),IF(INDEX('AFA Rates'!$E$5:$E$1004,$T416)="","",INDEX('AFA Rates'!$E$5:$E$1004,$T416))))</f>
        <v/>
      </c>
      <c r="H416" s="50">
        <f>IF($T416="","",IF($S416="S",IF(INDEX(Firms!$G$5:$G$1004,$T416)="","",INDEX(Firms!$G$5:$G$1004,$T416)),IF(INDEX('AFA Rates'!$F$5:$F$1004,$T416)="","",INDEX('AFA Rates'!$F$5:$F$1004,$T416))))</f>
        <v/>
      </c>
      <c r="I416" s="50">
        <f>IF($T416="","",IF($S416="S",IF(INDEX(Firms!$H$5:$H$1004,$T416)="","",INDEX(Firms!$H$5:$H$1004,$T416)),IF(INDEX('AFA Rates'!$G$5:$G$1004,$T416)="","",INDEX('AFA Rates'!$G$5:$G$1004,$T416))))</f>
        <v/>
      </c>
      <c r="J416" s="50">
        <f>IF($T416="","",IF($S416="S",IF(INDEX(Firms!$I$5:$I$1004,$T416)="","",INDEX(Firms!$I$5:$I$1004,$T416)),IF(INDEX('AFA Rates'!$H$5:$H$1004,$T416)="","",INDEX('AFA Rates'!$H$5:$H$1004,$T416))))</f>
        <v/>
      </c>
      <c r="K416" s="50">
        <f>IF($T416="","",IF($S416="S",IF(INDEX(Firms!$J$5:$J$1004,$T416)="","",INDEX(Firms!$J$5:$J$1004,$T416)),IF(INDEX('AFA Rates'!$I$5:$I$1004,$T416)="","",INDEX('AFA Rates'!$I$5:$I$1004,$T416))))</f>
        <v/>
      </c>
      <c r="L416" s="50">
        <f>IF($T416="","",IF($S416="S",IF(INDEX(Firms!$K$5:$K$1004,$T416)="","",INDEX(Firms!$K$5:$K$1004,$T416)),IF(INDEX('AFA Rates'!$J$5:$J$1004,$T416)="","",INDEX('AFA Rates'!$J$5:$J$1004,$T416))))</f>
        <v/>
      </c>
      <c r="M416" s="50">
        <f>IF($T416="","",IF($S416="S",IF(INDEX(Firms!$L$5:$L$1004,$T416)="","",INDEX(Firms!$L$5:$L$1004,$T416)),IF(INDEX('AFA Rates'!$K$5:$K$1004,$T416)="","",INDEX('AFA Rates'!$K$5:$K$1004,$T416))))</f>
        <v/>
      </c>
      <c r="N416" s="50">
        <f>IF($T416="","",IF($S416="S",IF(INDEX(Firms!$M$5:$M$1004,$T416)="","",INDEX(Firms!$M$5:$M$1004,$T416)),IF(INDEX('AFA Rates'!$L$5:$L$1004,$T416)="","",INDEX('AFA Rates'!$L$5:$L$1004,$T416))))</f>
        <v/>
      </c>
      <c r="O416" s="78">
        <f>IF(OR($T416="",$U416=""),"",IF(INDEX(Firms!$C$5:$C$1004,$U416)="","",INDEX(Firms!$C$5:$C$1004,$U416)))</f>
        <v/>
      </c>
      <c r="P416" s="79">
        <f>IF(OR($T416="",$U416=""),"",IF(INDEX(Firms!$N$5:$N$1004,$U416)="","",INDEX(Firms!$N$5:$N$1004,$U416)))</f>
        <v/>
      </c>
      <c r="Q416" s="78">
        <f>IF($T416="","",IF($S416="S",IF(INDEX(Firms!$T$5:$T$1004,$T416)="","",INDEX(Firms!$T$5:$T$1004,$T416)),IF(INDEX('AFA Rates'!$M$5:$M$1004,$T416)="","",INDEX('AFA Rates'!$M$5:$M$1004,$T416))))</f>
        <v/>
      </c>
      <c r="S416">
        <f>IF(412&lt;=$S$2,"S",IF(412&lt;=$S$2+$T$2,"A",""))</f>
        <v/>
      </c>
      <c r="T416">
        <f>IF(S416="S",MATCH(412,Firms!$W$5:$W$1004,0),IF(S416="A",IFERROR(MATCH(412-$S$2,'AFA Rates'!$R$5:$R$1004,0),""),""))</f>
        <v/>
      </c>
      <c r="U416">
        <f>IF(S416="S",T416,IF(AND(S416="A",T416&lt;&gt;""),IFERROR(MATCH(INDEX('AFA Rates'!$A$5:$A$1004,T416),Firms!$A$5:$A$1004,0),""),""))</f>
        <v/>
      </c>
    </row>
    <row r="417">
      <c r="A417" s="78">
        <f>IF($T417="","",IF($S417="S",IF(INDEX(Firms!$A$5:$A$1004,$T417)="","",INDEX(Firms!$A$5:$A$1004,$T417)),IF(INDEX('AFA Rates'!$A$5:$A$1004,$T417)="","",INDEX('AFA Rates'!$A$5:$A$1004,$T417))))</f>
        <v/>
      </c>
      <c r="B417" s="79">
        <f>IF(OR($T417="",$U417=""),IF($T417="","","Not on Firms tab"),INDEX(Firms!$B$5:$B$1004,$U417)&amp;"")</f>
        <v/>
      </c>
      <c r="C417" s="78">
        <f>IF($T417="","",IF($S417="S","Standard",INDEX('AFA Rates'!$B$5:$B$1004,$T417)&amp;""))</f>
        <v/>
      </c>
      <c r="D417" s="88">
        <f>IF($T417="","",IF($S417="S",IF(INDEX(Firms!$E$5:$E$1004,$T417)="","",INDEX(Firms!$E$5:$E$1004,$T417)),IF(INDEX('AFA Rates'!$C$5:$C$1004,$T417)="","",INDEX('AFA Rates'!$C$5:$C$1004,$T417))))</f>
        <v/>
      </c>
      <c r="E417" s="88">
        <f>IF($T417="","",IF($S417="S",IF(""="","",""),IF(INDEX('AFA Rates'!$D$5:$D$1004,$T417)="","",INDEX('AFA Rates'!$D$5:$D$1004,$T417))))</f>
        <v/>
      </c>
      <c r="F417" s="79">
        <f>IF($T417="","",IF($S417="S",IF(INDEX(Firms!$O$5:$O$1004,$T417)="","",INDEX(Firms!$O$5:$O$1004,$T417)),IF(INDEX('AFA Rates'!$O$5:$O$1004,$T417)="","",INDEX('AFA Rates'!$O$5:$O$1004,$T417))))</f>
        <v/>
      </c>
      <c r="G417" s="50">
        <f>IF($T417="","",IF($S417="S",IF(INDEX(Firms!$F$5:$F$1004,$T417)="","",INDEX(Firms!$F$5:$F$1004,$T417)),IF(INDEX('AFA Rates'!$E$5:$E$1004,$T417)="","",INDEX('AFA Rates'!$E$5:$E$1004,$T417))))</f>
        <v/>
      </c>
      <c r="H417" s="50">
        <f>IF($T417="","",IF($S417="S",IF(INDEX(Firms!$G$5:$G$1004,$T417)="","",INDEX(Firms!$G$5:$G$1004,$T417)),IF(INDEX('AFA Rates'!$F$5:$F$1004,$T417)="","",INDEX('AFA Rates'!$F$5:$F$1004,$T417))))</f>
        <v/>
      </c>
      <c r="I417" s="50">
        <f>IF($T417="","",IF($S417="S",IF(INDEX(Firms!$H$5:$H$1004,$T417)="","",INDEX(Firms!$H$5:$H$1004,$T417)),IF(INDEX('AFA Rates'!$G$5:$G$1004,$T417)="","",INDEX('AFA Rates'!$G$5:$G$1004,$T417))))</f>
        <v/>
      </c>
      <c r="J417" s="50">
        <f>IF($T417="","",IF($S417="S",IF(INDEX(Firms!$I$5:$I$1004,$T417)="","",INDEX(Firms!$I$5:$I$1004,$T417)),IF(INDEX('AFA Rates'!$H$5:$H$1004,$T417)="","",INDEX('AFA Rates'!$H$5:$H$1004,$T417))))</f>
        <v/>
      </c>
      <c r="K417" s="50">
        <f>IF($T417="","",IF($S417="S",IF(INDEX(Firms!$J$5:$J$1004,$T417)="","",INDEX(Firms!$J$5:$J$1004,$T417)),IF(INDEX('AFA Rates'!$I$5:$I$1004,$T417)="","",INDEX('AFA Rates'!$I$5:$I$1004,$T417))))</f>
        <v/>
      </c>
      <c r="L417" s="50">
        <f>IF($T417="","",IF($S417="S",IF(INDEX(Firms!$K$5:$K$1004,$T417)="","",INDEX(Firms!$K$5:$K$1004,$T417)),IF(INDEX('AFA Rates'!$J$5:$J$1004,$T417)="","",INDEX('AFA Rates'!$J$5:$J$1004,$T417))))</f>
        <v/>
      </c>
      <c r="M417" s="50">
        <f>IF($T417="","",IF($S417="S",IF(INDEX(Firms!$L$5:$L$1004,$T417)="","",INDEX(Firms!$L$5:$L$1004,$T417)),IF(INDEX('AFA Rates'!$K$5:$K$1004,$T417)="","",INDEX('AFA Rates'!$K$5:$K$1004,$T417))))</f>
        <v/>
      </c>
      <c r="N417" s="50">
        <f>IF($T417="","",IF($S417="S",IF(INDEX(Firms!$M$5:$M$1004,$T417)="","",INDEX(Firms!$M$5:$M$1004,$T417)),IF(INDEX('AFA Rates'!$L$5:$L$1004,$T417)="","",INDEX('AFA Rates'!$L$5:$L$1004,$T417))))</f>
        <v/>
      </c>
      <c r="O417" s="78">
        <f>IF(OR($T417="",$U417=""),"",IF(INDEX(Firms!$C$5:$C$1004,$U417)="","",INDEX(Firms!$C$5:$C$1004,$U417)))</f>
        <v/>
      </c>
      <c r="P417" s="79">
        <f>IF(OR($T417="",$U417=""),"",IF(INDEX(Firms!$N$5:$N$1004,$U417)="","",INDEX(Firms!$N$5:$N$1004,$U417)))</f>
        <v/>
      </c>
      <c r="Q417" s="78">
        <f>IF($T417="","",IF($S417="S",IF(INDEX(Firms!$T$5:$T$1004,$T417)="","",INDEX(Firms!$T$5:$T$1004,$T417)),IF(INDEX('AFA Rates'!$M$5:$M$1004,$T417)="","",INDEX('AFA Rates'!$M$5:$M$1004,$T417))))</f>
        <v/>
      </c>
      <c r="S417">
        <f>IF(413&lt;=$S$2,"S",IF(413&lt;=$S$2+$T$2,"A",""))</f>
        <v/>
      </c>
      <c r="T417">
        <f>IF(S417="S",MATCH(413,Firms!$W$5:$W$1004,0),IF(S417="A",IFERROR(MATCH(413-$S$2,'AFA Rates'!$R$5:$R$1004,0),""),""))</f>
        <v/>
      </c>
      <c r="U417">
        <f>IF(S417="S",T417,IF(AND(S417="A",T417&lt;&gt;""),IFERROR(MATCH(INDEX('AFA Rates'!$A$5:$A$1004,T417),Firms!$A$5:$A$1004,0),""),""))</f>
        <v/>
      </c>
    </row>
    <row r="418">
      <c r="A418" s="78">
        <f>IF($T418="","",IF($S418="S",IF(INDEX(Firms!$A$5:$A$1004,$T418)="","",INDEX(Firms!$A$5:$A$1004,$T418)),IF(INDEX('AFA Rates'!$A$5:$A$1004,$T418)="","",INDEX('AFA Rates'!$A$5:$A$1004,$T418))))</f>
        <v/>
      </c>
      <c r="B418" s="79">
        <f>IF(OR($T418="",$U418=""),IF($T418="","","Not on Firms tab"),INDEX(Firms!$B$5:$B$1004,$U418)&amp;"")</f>
        <v/>
      </c>
      <c r="C418" s="78">
        <f>IF($T418="","",IF($S418="S","Standard",INDEX('AFA Rates'!$B$5:$B$1004,$T418)&amp;""))</f>
        <v/>
      </c>
      <c r="D418" s="88">
        <f>IF($T418="","",IF($S418="S",IF(INDEX(Firms!$E$5:$E$1004,$T418)="","",INDEX(Firms!$E$5:$E$1004,$T418)),IF(INDEX('AFA Rates'!$C$5:$C$1004,$T418)="","",INDEX('AFA Rates'!$C$5:$C$1004,$T418))))</f>
        <v/>
      </c>
      <c r="E418" s="88">
        <f>IF($T418="","",IF($S418="S",IF(""="","",""),IF(INDEX('AFA Rates'!$D$5:$D$1004,$T418)="","",INDEX('AFA Rates'!$D$5:$D$1004,$T418))))</f>
        <v/>
      </c>
      <c r="F418" s="79">
        <f>IF($T418="","",IF($S418="S",IF(INDEX(Firms!$O$5:$O$1004,$T418)="","",INDEX(Firms!$O$5:$O$1004,$T418)),IF(INDEX('AFA Rates'!$O$5:$O$1004,$T418)="","",INDEX('AFA Rates'!$O$5:$O$1004,$T418))))</f>
        <v/>
      </c>
      <c r="G418" s="50">
        <f>IF($T418="","",IF($S418="S",IF(INDEX(Firms!$F$5:$F$1004,$T418)="","",INDEX(Firms!$F$5:$F$1004,$T418)),IF(INDEX('AFA Rates'!$E$5:$E$1004,$T418)="","",INDEX('AFA Rates'!$E$5:$E$1004,$T418))))</f>
        <v/>
      </c>
      <c r="H418" s="50">
        <f>IF($T418="","",IF($S418="S",IF(INDEX(Firms!$G$5:$G$1004,$T418)="","",INDEX(Firms!$G$5:$G$1004,$T418)),IF(INDEX('AFA Rates'!$F$5:$F$1004,$T418)="","",INDEX('AFA Rates'!$F$5:$F$1004,$T418))))</f>
        <v/>
      </c>
      <c r="I418" s="50">
        <f>IF($T418="","",IF($S418="S",IF(INDEX(Firms!$H$5:$H$1004,$T418)="","",INDEX(Firms!$H$5:$H$1004,$T418)),IF(INDEX('AFA Rates'!$G$5:$G$1004,$T418)="","",INDEX('AFA Rates'!$G$5:$G$1004,$T418))))</f>
        <v/>
      </c>
      <c r="J418" s="50">
        <f>IF($T418="","",IF($S418="S",IF(INDEX(Firms!$I$5:$I$1004,$T418)="","",INDEX(Firms!$I$5:$I$1004,$T418)),IF(INDEX('AFA Rates'!$H$5:$H$1004,$T418)="","",INDEX('AFA Rates'!$H$5:$H$1004,$T418))))</f>
        <v/>
      </c>
      <c r="K418" s="50">
        <f>IF($T418="","",IF($S418="S",IF(INDEX(Firms!$J$5:$J$1004,$T418)="","",INDEX(Firms!$J$5:$J$1004,$T418)),IF(INDEX('AFA Rates'!$I$5:$I$1004,$T418)="","",INDEX('AFA Rates'!$I$5:$I$1004,$T418))))</f>
        <v/>
      </c>
      <c r="L418" s="50">
        <f>IF($T418="","",IF($S418="S",IF(INDEX(Firms!$K$5:$K$1004,$T418)="","",INDEX(Firms!$K$5:$K$1004,$T418)),IF(INDEX('AFA Rates'!$J$5:$J$1004,$T418)="","",INDEX('AFA Rates'!$J$5:$J$1004,$T418))))</f>
        <v/>
      </c>
      <c r="M418" s="50">
        <f>IF($T418="","",IF($S418="S",IF(INDEX(Firms!$L$5:$L$1004,$T418)="","",INDEX(Firms!$L$5:$L$1004,$T418)),IF(INDEX('AFA Rates'!$K$5:$K$1004,$T418)="","",INDEX('AFA Rates'!$K$5:$K$1004,$T418))))</f>
        <v/>
      </c>
      <c r="N418" s="50">
        <f>IF($T418="","",IF($S418="S",IF(INDEX(Firms!$M$5:$M$1004,$T418)="","",INDEX(Firms!$M$5:$M$1004,$T418)),IF(INDEX('AFA Rates'!$L$5:$L$1004,$T418)="","",INDEX('AFA Rates'!$L$5:$L$1004,$T418))))</f>
        <v/>
      </c>
      <c r="O418" s="78">
        <f>IF(OR($T418="",$U418=""),"",IF(INDEX(Firms!$C$5:$C$1004,$U418)="","",INDEX(Firms!$C$5:$C$1004,$U418)))</f>
        <v/>
      </c>
      <c r="P418" s="79">
        <f>IF(OR($T418="",$U418=""),"",IF(INDEX(Firms!$N$5:$N$1004,$U418)="","",INDEX(Firms!$N$5:$N$1004,$U418)))</f>
        <v/>
      </c>
      <c r="Q418" s="78">
        <f>IF($T418="","",IF($S418="S",IF(INDEX(Firms!$T$5:$T$1004,$T418)="","",INDEX(Firms!$T$5:$T$1004,$T418)),IF(INDEX('AFA Rates'!$M$5:$M$1004,$T418)="","",INDEX('AFA Rates'!$M$5:$M$1004,$T418))))</f>
        <v/>
      </c>
      <c r="S418">
        <f>IF(414&lt;=$S$2,"S",IF(414&lt;=$S$2+$T$2,"A",""))</f>
        <v/>
      </c>
      <c r="T418">
        <f>IF(S418="S",MATCH(414,Firms!$W$5:$W$1004,0),IF(S418="A",IFERROR(MATCH(414-$S$2,'AFA Rates'!$R$5:$R$1004,0),""),""))</f>
        <v/>
      </c>
      <c r="U418">
        <f>IF(S418="S",T418,IF(AND(S418="A",T418&lt;&gt;""),IFERROR(MATCH(INDEX('AFA Rates'!$A$5:$A$1004,T418),Firms!$A$5:$A$1004,0),""),""))</f>
        <v/>
      </c>
    </row>
    <row r="419">
      <c r="A419" s="78">
        <f>IF($T419="","",IF($S419="S",IF(INDEX(Firms!$A$5:$A$1004,$T419)="","",INDEX(Firms!$A$5:$A$1004,$T419)),IF(INDEX('AFA Rates'!$A$5:$A$1004,$T419)="","",INDEX('AFA Rates'!$A$5:$A$1004,$T419))))</f>
        <v/>
      </c>
      <c r="B419" s="79">
        <f>IF(OR($T419="",$U419=""),IF($T419="","","Not on Firms tab"),INDEX(Firms!$B$5:$B$1004,$U419)&amp;"")</f>
        <v/>
      </c>
      <c r="C419" s="78">
        <f>IF($T419="","",IF($S419="S","Standard",INDEX('AFA Rates'!$B$5:$B$1004,$T419)&amp;""))</f>
        <v/>
      </c>
      <c r="D419" s="88">
        <f>IF($T419="","",IF($S419="S",IF(INDEX(Firms!$E$5:$E$1004,$T419)="","",INDEX(Firms!$E$5:$E$1004,$T419)),IF(INDEX('AFA Rates'!$C$5:$C$1004,$T419)="","",INDEX('AFA Rates'!$C$5:$C$1004,$T419))))</f>
        <v/>
      </c>
      <c r="E419" s="88">
        <f>IF($T419="","",IF($S419="S",IF(""="","",""),IF(INDEX('AFA Rates'!$D$5:$D$1004,$T419)="","",INDEX('AFA Rates'!$D$5:$D$1004,$T419))))</f>
        <v/>
      </c>
      <c r="F419" s="79">
        <f>IF($T419="","",IF($S419="S",IF(INDEX(Firms!$O$5:$O$1004,$T419)="","",INDEX(Firms!$O$5:$O$1004,$T419)),IF(INDEX('AFA Rates'!$O$5:$O$1004,$T419)="","",INDEX('AFA Rates'!$O$5:$O$1004,$T419))))</f>
        <v/>
      </c>
      <c r="G419" s="50">
        <f>IF($T419="","",IF($S419="S",IF(INDEX(Firms!$F$5:$F$1004,$T419)="","",INDEX(Firms!$F$5:$F$1004,$T419)),IF(INDEX('AFA Rates'!$E$5:$E$1004,$T419)="","",INDEX('AFA Rates'!$E$5:$E$1004,$T419))))</f>
        <v/>
      </c>
      <c r="H419" s="50">
        <f>IF($T419="","",IF($S419="S",IF(INDEX(Firms!$G$5:$G$1004,$T419)="","",INDEX(Firms!$G$5:$G$1004,$T419)),IF(INDEX('AFA Rates'!$F$5:$F$1004,$T419)="","",INDEX('AFA Rates'!$F$5:$F$1004,$T419))))</f>
        <v/>
      </c>
      <c r="I419" s="50">
        <f>IF($T419="","",IF($S419="S",IF(INDEX(Firms!$H$5:$H$1004,$T419)="","",INDEX(Firms!$H$5:$H$1004,$T419)),IF(INDEX('AFA Rates'!$G$5:$G$1004,$T419)="","",INDEX('AFA Rates'!$G$5:$G$1004,$T419))))</f>
        <v/>
      </c>
      <c r="J419" s="50">
        <f>IF($T419="","",IF($S419="S",IF(INDEX(Firms!$I$5:$I$1004,$T419)="","",INDEX(Firms!$I$5:$I$1004,$T419)),IF(INDEX('AFA Rates'!$H$5:$H$1004,$T419)="","",INDEX('AFA Rates'!$H$5:$H$1004,$T419))))</f>
        <v/>
      </c>
      <c r="K419" s="50">
        <f>IF($T419="","",IF($S419="S",IF(INDEX(Firms!$J$5:$J$1004,$T419)="","",INDEX(Firms!$J$5:$J$1004,$T419)),IF(INDEX('AFA Rates'!$I$5:$I$1004,$T419)="","",INDEX('AFA Rates'!$I$5:$I$1004,$T419))))</f>
        <v/>
      </c>
      <c r="L419" s="50">
        <f>IF($T419="","",IF($S419="S",IF(INDEX(Firms!$K$5:$K$1004,$T419)="","",INDEX(Firms!$K$5:$K$1004,$T419)),IF(INDEX('AFA Rates'!$J$5:$J$1004,$T419)="","",INDEX('AFA Rates'!$J$5:$J$1004,$T419))))</f>
        <v/>
      </c>
      <c r="M419" s="50">
        <f>IF($T419="","",IF($S419="S",IF(INDEX(Firms!$L$5:$L$1004,$T419)="","",INDEX(Firms!$L$5:$L$1004,$T419)),IF(INDEX('AFA Rates'!$K$5:$K$1004,$T419)="","",INDEX('AFA Rates'!$K$5:$K$1004,$T419))))</f>
        <v/>
      </c>
      <c r="N419" s="50">
        <f>IF($T419="","",IF($S419="S",IF(INDEX(Firms!$M$5:$M$1004,$T419)="","",INDEX(Firms!$M$5:$M$1004,$T419)),IF(INDEX('AFA Rates'!$L$5:$L$1004,$T419)="","",INDEX('AFA Rates'!$L$5:$L$1004,$T419))))</f>
        <v/>
      </c>
      <c r="O419" s="78">
        <f>IF(OR($T419="",$U419=""),"",IF(INDEX(Firms!$C$5:$C$1004,$U419)="","",INDEX(Firms!$C$5:$C$1004,$U419)))</f>
        <v/>
      </c>
      <c r="P419" s="79">
        <f>IF(OR($T419="",$U419=""),"",IF(INDEX(Firms!$N$5:$N$1004,$U419)="","",INDEX(Firms!$N$5:$N$1004,$U419)))</f>
        <v/>
      </c>
      <c r="Q419" s="78">
        <f>IF($T419="","",IF($S419="S",IF(INDEX(Firms!$T$5:$T$1004,$T419)="","",INDEX(Firms!$T$5:$T$1004,$T419)),IF(INDEX('AFA Rates'!$M$5:$M$1004,$T419)="","",INDEX('AFA Rates'!$M$5:$M$1004,$T419))))</f>
        <v/>
      </c>
      <c r="S419">
        <f>IF(415&lt;=$S$2,"S",IF(415&lt;=$S$2+$T$2,"A",""))</f>
        <v/>
      </c>
      <c r="T419">
        <f>IF(S419="S",MATCH(415,Firms!$W$5:$W$1004,0),IF(S419="A",IFERROR(MATCH(415-$S$2,'AFA Rates'!$R$5:$R$1004,0),""),""))</f>
        <v/>
      </c>
      <c r="U419">
        <f>IF(S419="S",T419,IF(AND(S419="A",T419&lt;&gt;""),IFERROR(MATCH(INDEX('AFA Rates'!$A$5:$A$1004,T419),Firms!$A$5:$A$1004,0),""),""))</f>
        <v/>
      </c>
    </row>
    <row r="420">
      <c r="A420" s="78">
        <f>IF($T420="","",IF($S420="S",IF(INDEX(Firms!$A$5:$A$1004,$T420)="","",INDEX(Firms!$A$5:$A$1004,$T420)),IF(INDEX('AFA Rates'!$A$5:$A$1004,$T420)="","",INDEX('AFA Rates'!$A$5:$A$1004,$T420))))</f>
        <v/>
      </c>
      <c r="B420" s="79">
        <f>IF(OR($T420="",$U420=""),IF($T420="","","Not on Firms tab"),INDEX(Firms!$B$5:$B$1004,$U420)&amp;"")</f>
        <v/>
      </c>
      <c r="C420" s="78">
        <f>IF($T420="","",IF($S420="S","Standard",INDEX('AFA Rates'!$B$5:$B$1004,$T420)&amp;""))</f>
        <v/>
      </c>
      <c r="D420" s="88">
        <f>IF($T420="","",IF($S420="S",IF(INDEX(Firms!$E$5:$E$1004,$T420)="","",INDEX(Firms!$E$5:$E$1004,$T420)),IF(INDEX('AFA Rates'!$C$5:$C$1004,$T420)="","",INDEX('AFA Rates'!$C$5:$C$1004,$T420))))</f>
        <v/>
      </c>
      <c r="E420" s="88">
        <f>IF($T420="","",IF($S420="S",IF(""="","",""),IF(INDEX('AFA Rates'!$D$5:$D$1004,$T420)="","",INDEX('AFA Rates'!$D$5:$D$1004,$T420))))</f>
        <v/>
      </c>
      <c r="F420" s="79">
        <f>IF($T420="","",IF($S420="S",IF(INDEX(Firms!$O$5:$O$1004,$T420)="","",INDEX(Firms!$O$5:$O$1004,$T420)),IF(INDEX('AFA Rates'!$O$5:$O$1004,$T420)="","",INDEX('AFA Rates'!$O$5:$O$1004,$T420))))</f>
        <v/>
      </c>
      <c r="G420" s="50">
        <f>IF($T420="","",IF($S420="S",IF(INDEX(Firms!$F$5:$F$1004,$T420)="","",INDEX(Firms!$F$5:$F$1004,$T420)),IF(INDEX('AFA Rates'!$E$5:$E$1004,$T420)="","",INDEX('AFA Rates'!$E$5:$E$1004,$T420))))</f>
        <v/>
      </c>
      <c r="H420" s="50">
        <f>IF($T420="","",IF($S420="S",IF(INDEX(Firms!$G$5:$G$1004,$T420)="","",INDEX(Firms!$G$5:$G$1004,$T420)),IF(INDEX('AFA Rates'!$F$5:$F$1004,$T420)="","",INDEX('AFA Rates'!$F$5:$F$1004,$T420))))</f>
        <v/>
      </c>
      <c r="I420" s="50">
        <f>IF($T420="","",IF($S420="S",IF(INDEX(Firms!$H$5:$H$1004,$T420)="","",INDEX(Firms!$H$5:$H$1004,$T420)),IF(INDEX('AFA Rates'!$G$5:$G$1004,$T420)="","",INDEX('AFA Rates'!$G$5:$G$1004,$T420))))</f>
        <v/>
      </c>
      <c r="J420" s="50">
        <f>IF($T420="","",IF($S420="S",IF(INDEX(Firms!$I$5:$I$1004,$T420)="","",INDEX(Firms!$I$5:$I$1004,$T420)),IF(INDEX('AFA Rates'!$H$5:$H$1004,$T420)="","",INDEX('AFA Rates'!$H$5:$H$1004,$T420))))</f>
        <v/>
      </c>
      <c r="K420" s="50">
        <f>IF($T420="","",IF($S420="S",IF(INDEX(Firms!$J$5:$J$1004,$T420)="","",INDEX(Firms!$J$5:$J$1004,$T420)),IF(INDEX('AFA Rates'!$I$5:$I$1004,$T420)="","",INDEX('AFA Rates'!$I$5:$I$1004,$T420))))</f>
        <v/>
      </c>
      <c r="L420" s="50">
        <f>IF($T420="","",IF($S420="S",IF(INDEX(Firms!$K$5:$K$1004,$T420)="","",INDEX(Firms!$K$5:$K$1004,$T420)),IF(INDEX('AFA Rates'!$J$5:$J$1004,$T420)="","",INDEX('AFA Rates'!$J$5:$J$1004,$T420))))</f>
        <v/>
      </c>
      <c r="M420" s="50">
        <f>IF($T420="","",IF($S420="S",IF(INDEX(Firms!$L$5:$L$1004,$T420)="","",INDEX(Firms!$L$5:$L$1004,$T420)),IF(INDEX('AFA Rates'!$K$5:$K$1004,$T420)="","",INDEX('AFA Rates'!$K$5:$K$1004,$T420))))</f>
        <v/>
      </c>
      <c r="N420" s="50">
        <f>IF($T420="","",IF($S420="S",IF(INDEX(Firms!$M$5:$M$1004,$T420)="","",INDEX(Firms!$M$5:$M$1004,$T420)),IF(INDEX('AFA Rates'!$L$5:$L$1004,$T420)="","",INDEX('AFA Rates'!$L$5:$L$1004,$T420))))</f>
        <v/>
      </c>
      <c r="O420" s="78">
        <f>IF(OR($T420="",$U420=""),"",IF(INDEX(Firms!$C$5:$C$1004,$U420)="","",INDEX(Firms!$C$5:$C$1004,$U420)))</f>
        <v/>
      </c>
      <c r="P420" s="79">
        <f>IF(OR($T420="",$U420=""),"",IF(INDEX(Firms!$N$5:$N$1004,$U420)="","",INDEX(Firms!$N$5:$N$1004,$U420)))</f>
        <v/>
      </c>
      <c r="Q420" s="78">
        <f>IF($T420="","",IF($S420="S",IF(INDEX(Firms!$T$5:$T$1004,$T420)="","",INDEX(Firms!$T$5:$T$1004,$T420)),IF(INDEX('AFA Rates'!$M$5:$M$1004,$T420)="","",INDEX('AFA Rates'!$M$5:$M$1004,$T420))))</f>
        <v/>
      </c>
      <c r="S420">
        <f>IF(416&lt;=$S$2,"S",IF(416&lt;=$S$2+$T$2,"A",""))</f>
        <v/>
      </c>
      <c r="T420">
        <f>IF(S420="S",MATCH(416,Firms!$W$5:$W$1004,0),IF(S420="A",IFERROR(MATCH(416-$S$2,'AFA Rates'!$R$5:$R$1004,0),""),""))</f>
        <v/>
      </c>
      <c r="U420">
        <f>IF(S420="S",T420,IF(AND(S420="A",T420&lt;&gt;""),IFERROR(MATCH(INDEX('AFA Rates'!$A$5:$A$1004,T420),Firms!$A$5:$A$1004,0),""),""))</f>
        <v/>
      </c>
    </row>
    <row r="421">
      <c r="A421" s="78">
        <f>IF($T421="","",IF($S421="S",IF(INDEX(Firms!$A$5:$A$1004,$T421)="","",INDEX(Firms!$A$5:$A$1004,$T421)),IF(INDEX('AFA Rates'!$A$5:$A$1004,$T421)="","",INDEX('AFA Rates'!$A$5:$A$1004,$T421))))</f>
        <v/>
      </c>
      <c r="B421" s="79">
        <f>IF(OR($T421="",$U421=""),IF($T421="","","Not on Firms tab"),INDEX(Firms!$B$5:$B$1004,$U421)&amp;"")</f>
        <v/>
      </c>
      <c r="C421" s="78">
        <f>IF($T421="","",IF($S421="S","Standard",INDEX('AFA Rates'!$B$5:$B$1004,$T421)&amp;""))</f>
        <v/>
      </c>
      <c r="D421" s="88">
        <f>IF($T421="","",IF($S421="S",IF(INDEX(Firms!$E$5:$E$1004,$T421)="","",INDEX(Firms!$E$5:$E$1004,$T421)),IF(INDEX('AFA Rates'!$C$5:$C$1004,$T421)="","",INDEX('AFA Rates'!$C$5:$C$1004,$T421))))</f>
        <v/>
      </c>
      <c r="E421" s="88">
        <f>IF($T421="","",IF($S421="S",IF(""="","",""),IF(INDEX('AFA Rates'!$D$5:$D$1004,$T421)="","",INDEX('AFA Rates'!$D$5:$D$1004,$T421))))</f>
        <v/>
      </c>
      <c r="F421" s="79">
        <f>IF($T421="","",IF($S421="S",IF(INDEX(Firms!$O$5:$O$1004,$T421)="","",INDEX(Firms!$O$5:$O$1004,$T421)),IF(INDEX('AFA Rates'!$O$5:$O$1004,$T421)="","",INDEX('AFA Rates'!$O$5:$O$1004,$T421))))</f>
        <v/>
      </c>
      <c r="G421" s="50">
        <f>IF($T421="","",IF($S421="S",IF(INDEX(Firms!$F$5:$F$1004,$T421)="","",INDEX(Firms!$F$5:$F$1004,$T421)),IF(INDEX('AFA Rates'!$E$5:$E$1004,$T421)="","",INDEX('AFA Rates'!$E$5:$E$1004,$T421))))</f>
        <v/>
      </c>
      <c r="H421" s="50">
        <f>IF($T421="","",IF($S421="S",IF(INDEX(Firms!$G$5:$G$1004,$T421)="","",INDEX(Firms!$G$5:$G$1004,$T421)),IF(INDEX('AFA Rates'!$F$5:$F$1004,$T421)="","",INDEX('AFA Rates'!$F$5:$F$1004,$T421))))</f>
        <v/>
      </c>
      <c r="I421" s="50">
        <f>IF($T421="","",IF($S421="S",IF(INDEX(Firms!$H$5:$H$1004,$T421)="","",INDEX(Firms!$H$5:$H$1004,$T421)),IF(INDEX('AFA Rates'!$G$5:$G$1004,$T421)="","",INDEX('AFA Rates'!$G$5:$G$1004,$T421))))</f>
        <v/>
      </c>
      <c r="J421" s="50">
        <f>IF($T421="","",IF($S421="S",IF(INDEX(Firms!$I$5:$I$1004,$T421)="","",INDEX(Firms!$I$5:$I$1004,$T421)),IF(INDEX('AFA Rates'!$H$5:$H$1004,$T421)="","",INDEX('AFA Rates'!$H$5:$H$1004,$T421))))</f>
        <v/>
      </c>
      <c r="K421" s="50">
        <f>IF($T421="","",IF($S421="S",IF(INDEX(Firms!$J$5:$J$1004,$T421)="","",INDEX(Firms!$J$5:$J$1004,$T421)),IF(INDEX('AFA Rates'!$I$5:$I$1004,$T421)="","",INDEX('AFA Rates'!$I$5:$I$1004,$T421))))</f>
        <v/>
      </c>
      <c r="L421" s="50">
        <f>IF($T421="","",IF($S421="S",IF(INDEX(Firms!$K$5:$K$1004,$T421)="","",INDEX(Firms!$K$5:$K$1004,$T421)),IF(INDEX('AFA Rates'!$J$5:$J$1004,$T421)="","",INDEX('AFA Rates'!$J$5:$J$1004,$T421))))</f>
        <v/>
      </c>
      <c r="M421" s="50">
        <f>IF($T421="","",IF($S421="S",IF(INDEX(Firms!$L$5:$L$1004,$T421)="","",INDEX(Firms!$L$5:$L$1004,$T421)),IF(INDEX('AFA Rates'!$K$5:$K$1004,$T421)="","",INDEX('AFA Rates'!$K$5:$K$1004,$T421))))</f>
        <v/>
      </c>
      <c r="N421" s="50">
        <f>IF($T421="","",IF($S421="S",IF(INDEX(Firms!$M$5:$M$1004,$T421)="","",INDEX(Firms!$M$5:$M$1004,$T421)),IF(INDEX('AFA Rates'!$L$5:$L$1004,$T421)="","",INDEX('AFA Rates'!$L$5:$L$1004,$T421))))</f>
        <v/>
      </c>
      <c r="O421" s="78">
        <f>IF(OR($T421="",$U421=""),"",IF(INDEX(Firms!$C$5:$C$1004,$U421)="","",INDEX(Firms!$C$5:$C$1004,$U421)))</f>
        <v/>
      </c>
      <c r="P421" s="79">
        <f>IF(OR($T421="",$U421=""),"",IF(INDEX(Firms!$N$5:$N$1004,$U421)="","",INDEX(Firms!$N$5:$N$1004,$U421)))</f>
        <v/>
      </c>
      <c r="Q421" s="78">
        <f>IF($T421="","",IF($S421="S",IF(INDEX(Firms!$T$5:$T$1004,$T421)="","",INDEX(Firms!$T$5:$T$1004,$T421)),IF(INDEX('AFA Rates'!$M$5:$M$1004,$T421)="","",INDEX('AFA Rates'!$M$5:$M$1004,$T421))))</f>
        <v/>
      </c>
      <c r="S421">
        <f>IF(417&lt;=$S$2,"S",IF(417&lt;=$S$2+$T$2,"A",""))</f>
        <v/>
      </c>
      <c r="T421">
        <f>IF(S421="S",MATCH(417,Firms!$W$5:$W$1004,0),IF(S421="A",IFERROR(MATCH(417-$S$2,'AFA Rates'!$R$5:$R$1004,0),""),""))</f>
        <v/>
      </c>
      <c r="U421">
        <f>IF(S421="S",T421,IF(AND(S421="A",T421&lt;&gt;""),IFERROR(MATCH(INDEX('AFA Rates'!$A$5:$A$1004,T421),Firms!$A$5:$A$1004,0),""),""))</f>
        <v/>
      </c>
    </row>
    <row r="422">
      <c r="A422" s="78">
        <f>IF($T422="","",IF($S422="S",IF(INDEX(Firms!$A$5:$A$1004,$T422)="","",INDEX(Firms!$A$5:$A$1004,$T422)),IF(INDEX('AFA Rates'!$A$5:$A$1004,$T422)="","",INDEX('AFA Rates'!$A$5:$A$1004,$T422))))</f>
        <v/>
      </c>
      <c r="B422" s="79">
        <f>IF(OR($T422="",$U422=""),IF($T422="","","Not on Firms tab"),INDEX(Firms!$B$5:$B$1004,$U422)&amp;"")</f>
        <v/>
      </c>
      <c r="C422" s="78">
        <f>IF($T422="","",IF($S422="S","Standard",INDEX('AFA Rates'!$B$5:$B$1004,$T422)&amp;""))</f>
        <v/>
      </c>
      <c r="D422" s="88">
        <f>IF($T422="","",IF($S422="S",IF(INDEX(Firms!$E$5:$E$1004,$T422)="","",INDEX(Firms!$E$5:$E$1004,$T422)),IF(INDEX('AFA Rates'!$C$5:$C$1004,$T422)="","",INDEX('AFA Rates'!$C$5:$C$1004,$T422))))</f>
        <v/>
      </c>
      <c r="E422" s="88">
        <f>IF($T422="","",IF($S422="S",IF(""="","",""),IF(INDEX('AFA Rates'!$D$5:$D$1004,$T422)="","",INDEX('AFA Rates'!$D$5:$D$1004,$T422))))</f>
        <v/>
      </c>
      <c r="F422" s="79">
        <f>IF($T422="","",IF($S422="S",IF(INDEX(Firms!$O$5:$O$1004,$T422)="","",INDEX(Firms!$O$5:$O$1004,$T422)),IF(INDEX('AFA Rates'!$O$5:$O$1004,$T422)="","",INDEX('AFA Rates'!$O$5:$O$1004,$T422))))</f>
        <v/>
      </c>
      <c r="G422" s="50">
        <f>IF($T422="","",IF($S422="S",IF(INDEX(Firms!$F$5:$F$1004,$T422)="","",INDEX(Firms!$F$5:$F$1004,$T422)),IF(INDEX('AFA Rates'!$E$5:$E$1004,$T422)="","",INDEX('AFA Rates'!$E$5:$E$1004,$T422))))</f>
        <v/>
      </c>
      <c r="H422" s="50">
        <f>IF($T422="","",IF($S422="S",IF(INDEX(Firms!$G$5:$G$1004,$T422)="","",INDEX(Firms!$G$5:$G$1004,$T422)),IF(INDEX('AFA Rates'!$F$5:$F$1004,$T422)="","",INDEX('AFA Rates'!$F$5:$F$1004,$T422))))</f>
        <v/>
      </c>
      <c r="I422" s="50">
        <f>IF($T422="","",IF($S422="S",IF(INDEX(Firms!$H$5:$H$1004,$T422)="","",INDEX(Firms!$H$5:$H$1004,$T422)),IF(INDEX('AFA Rates'!$G$5:$G$1004,$T422)="","",INDEX('AFA Rates'!$G$5:$G$1004,$T422))))</f>
        <v/>
      </c>
      <c r="J422" s="50">
        <f>IF($T422="","",IF($S422="S",IF(INDEX(Firms!$I$5:$I$1004,$T422)="","",INDEX(Firms!$I$5:$I$1004,$T422)),IF(INDEX('AFA Rates'!$H$5:$H$1004,$T422)="","",INDEX('AFA Rates'!$H$5:$H$1004,$T422))))</f>
        <v/>
      </c>
      <c r="K422" s="50">
        <f>IF($T422="","",IF($S422="S",IF(INDEX(Firms!$J$5:$J$1004,$T422)="","",INDEX(Firms!$J$5:$J$1004,$T422)),IF(INDEX('AFA Rates'!$I$5:$I$1004,$T422)="","",INDEX('AFA Rates'!$I$5:$I$1004,$T422))))</f>
        <v/>
      </c>
      <c r="L422" s="50">
        <f>IF($T422="","",IF($S422="S",IF(INDEX(Firms!$K$5:$K$1004,$T422)="","",INDEX(Firms!$K$5:$K$1004,$T422)),IF(INDEX('AFA Rates'!$J$5:$J$1004,$T422)="","",INDEX('AFA Rates'!$J$5:$J$1004,$T422))))</f>
        <v/>
      </c>
      <c r="M422" s="50">
        <f>IF($T422="","",IF($S422="S",IF(INDEX(Firms!$L$5:$L$1004,$T422)="","",INDEX(Firms!$L$5:$L$1004,$T422)),IF(INDEX('AFA Rates'!$K$5:$K$1004,$T422)="","",INDEX('AFA Rates'!$K$5:$K$1004,$T422))))</f>
        <v/>
      </c>
      <c r="N422" s="50">
        <f>IF($T422="","",IF($S422="S",IF(INDEX(Firms!$M$5:$M$1004,$T422)="","",INDEX(Firms!$M$5:$M$1004,$T422)),IF(INDEX('AFA Rates'!$L$5:$L$1004,$T422)="","",INDEX('AFA Rates'!$L$5:$L$1004,$T422))))</f>
        <v/>
      </c>
      <c r="O422" s="78">
        <f>IF(OR($T422="",$U422=""),"",IF(INDEX(Firms!$C$5:$C$1004,$U422)="","",INDEX(Firms!$C$5:$C$1004,$U422)))</f>
        <v/>
      </c>
      <c r="P422" s="79">
        <f>IF(OR($T422="",$U422=""),"",IF(INDEX(Firms!$N$5:$N$1004,$U422)="","",INDEX(Firms!$N$5:$N$1004,$U422)))</f>
        <v/>
      </c>
      <c r="Q422" s="78">
        <f>IF($T422="","",IF($S422="S",IF(INDEX(Firms!$T$5:$T$1004,$T422)="","",INDEX(Firms!$T$5:$T$1004,$T422)),IF(INDEX('AFA Rates'!$M$5:$M$1004,$T422)="","",INDEX('AFA Rates'!$M$5:$M$1004,$T422))))</f>
        <v/>
      </c>
      <c r="S422">
        <f>IF(418&lt;=$S$2,"S",IF(418&lt;=$S$2+$T$2,"A",""))</f>
        <v/>
      </c>
      <c r="T422">
        <f>IF(S422="S",MATCH(418,Firms!$W$5:$W$1004,0),IF(S422="A",IFERROR(MATCH(418-$S$2,'AFA Rates'!$R$5:$R$1004,0),""),""))</f>
        <v/>
      </c>
      <c r="U422">
        <f>IF(S422="S",T422,IF(AND(S422="A",T422&lt;&gt;""),IFERROR(MATCH(INDEX('AFA Rates'!$A$5:$A$1004,T422),Firms!$A$5:$A$1004,0),""),""))</f>
        <v/>
      </c>
    </row>
    <row r="423">
      <c r="A423" s="78">
        <f>IF($T423="","",IF($S423="S",IF(INDEX(Firms!$A$5:$A$1004,$T423)="","",INDEX(Firms!$A$5:$A$1004,$T423)),IF(INDEX('AFA Rates'!$A$5:$A$1004,$T423)="","",INDEX('AFA Rates'!$A$5:$A$1004,$T423))))</f>
        <v/>
      </c>
      <c r="B423" s="79">
        <f>IF(OR($T423="",$U423=""),IF($T423="","","Not on Firms tab"),INDEX(Firms!$B$5:$B$1004,$U423)&amp;"")</f>
        <v/>
      </c>
      <c r="C423" s="78">
        <f>IF($T423="","",IF($S423="S","Standard",INDEX('AFA Rates'!$B$5:$B$1004,$T423)&amp;""))</f>
        <v/>
      </c>
      <c r="D423" s="88">
        <f>IF($T423="","",IF($S423="S",IF(INDEX(Firms!$E$5:$E$1004,$T423)="","",INDEX(Firms!$E$5:$E$1004,$T423)),IF(INDEX('AFA Rates'!$C$5:$C$1004,$T423)="","",INDEX('AFA Rates'!$C$5:$C$1004,$T423))))</f>
        <v/>
      </c>
      <c r="E423" s="88">
        <f>IF($T423="","",IF($S423="S",IF(""="","",""),IF(INDEX('AFA Rates'!$D$5:$D$1004,$T423)="","",INDEX('AFA Rates'!$D$5:$D$1004,$T423))))</f>
        <v/>
      </c>
      <c r="F423" s="79">
        <f>IF($T423="","",IF($S423="S",IF(INDEX(Firms!$O$5:$O$1004,$T423)="","",INDEX(Firms!$O$5:$O$1004,$T423)),IF(INDEX('AFA Rates'!$O$5:$O$1004,$T423)="","",INDEX('AFA Rates'!$O$5:$O$1004,$T423))))</f>
        <v/>
      </c>
      <c r="G423" s="50">
        <f>IF($T423="","",IF($S423="S",IF(INDEX(Firms!$F$5:$F$1004,$T423)="","",INDEX(Firms!$F$5:$F$1004,$T423)),IF(INDEX('AFA Rates'!$E$5:$E$1004,$T423)="","",INDEX('AFA Rates'!$E$5:$E$1004,$T423))))</f>
        <v/>
      </c>
      <c r="H423" s="50">
        <f>IF($T423="","",IF($S423="S",IF(INDEX(Firms!$G$5:$G$1004,$T423)="","",INDEX(Firms!$G$5:$G$1004,$T423)),IF(INDEX('AFA Rates'!$F$5:$F$1004,$T423)="","",INDEX('AFA Rates'!$F$5:$F$1004,$T423))))</f>
        <v/>
      </c>
      <c r="I423" s="50">
        <f>IF($T423="","",IF($S423="S",IF(INDEX(Firms!$H$5:$H$1004,$T423)="","",INDEX(Firms!$H$5:$H$1004,$T423)),IF(INDEX('AFA Rates'!$G$5:$G$1004,$T423)="","",INDEX('AFA Rates'!$G$5:$G$1004,$T423))))</f>
        <v/>
      </c>
      <c r="J423" s="50">
        <f>IF($T423="","",IF($S423="S",IF(INDEX(Firms!$I$5:$I$1004,$T423)="","",INDEX(Firms!$I$5:$I$1004,$T423)),IF(INDEX('AFA Rates'!$H$5:$H$1004,$T423)="","",INDEX('AFA Rates'!$H$5:$H$1004,$T423))))</f>
        <v/>
      </c>
      <c r="K423" s="50">
        <f>IF($T423="","",IF($S423="S",IF(INDEX(Firms!$J$5:$J$1004,$T423)="","",INDEX(Firms!$J$5:$J$1004,$T423)),IF(INDEX('AFA Rates'!$I$5:$I$1004,$T423)="","",INDEX('AFA Rates'!$I$5:$I$1004,$T423))))</f>
        <v/>
      </c>
      <c r="L423" s="50">
        <f>IF($T423="","",IF($S423="S",IF(INDEX(Firms!$K$5:$K$1004,$T423)="","",INDEX(Firms!$K$5:$K$1004,$T423)),IF(INDEX('AFA Rates'!$J$5:$J$1004,$T423)="","",INDEX('AFA Rates'!$J$5:$J$1004,$T423))))</f>
        <v/>
      </c>
      <c r="M423" s="50">
        <f>IF($T423="","",IF($S423="S",IF(INDEX(Firms!$L$5:$L$1004,$T423)="","",INDEX(Firms!$L$5:$L$1004,$T423)),IF(INDEX('AFA Rates'!$K$5:$K$1004,$T423)="","",INDEX('AFA Rates'!$K$5:$K$1004,$T423))))</f>
        <v/>
      </c>
      <c r="N423" s="50">
        <f>IF($T423="","",IF($S423="S",IF(INDEX(Firms!$M$5:$M$1004,$T423)="","",INDEX(Firms!$M$5:$M$1004,$T423)),IF(INDEX('AFA Rates'!$L$5:$L$1004,$T423)="","",INDEX('AFA Rates'!$L$5:$L$1004,$T423))))</f>
        <v/>
      </c>
      <c r="O423" s="78">
        <f>IF(OR($T423="",$U423=""),"",IF(INDEX(Firms!$C$5:$C$1004,$U423)="","",INDEX(Firms!$C$5:$C$1004,$U423)))</f>
        <v/>
      </c>
      <c r="P423" s="79">
        <f>IF(OR($T423="",$U423=""),"",IF(INDEX(Firms!$N$5:$N$1004,$U423)="","",INDEX(Firms!$N$5:$N$1004,$U423)))</f>
        <v/>
      </c>
      <c r="Q423" s="78">
        <f>IF($T423="","",IF($S423="S",IF(INDEX(Firms!$T$5:$T$1004,$T423)="","",INDEX(Firms!$T$5:$T$1004,$T423)),IF(INDEX('AFA Rates'!$M$5:$M$1004,$T423)="","",INDEX('AFA Rates'!$M$5:$M$1004,$T423))))</f>
        <v/>
      </c>
      <c r="S423">
        <f>IF(419&lt;=$S$2,"S",IF(419&lt;=$S$2+$T$2,"A",""))</f>
        <v/>
      </c>
      <c r="T423">
        <f>IF(S423="S",MATCH(419,Firms!$W$5:$W$1004,0),IF(S423="A",IFERROR(MATCH(419-$S$2,'AFA Rates'!$R$5:$R$1004,0),""),""))</f>
        <v/>
      </c>
      <c r="U423">
        <f>IF(S423="S",T423,IF(AND(S423="A",T423&lt;&gt;""),IFERROR(MATCH(INDEX('AFA Rates'!$A$5:$A$1004,T423),Firms!$A$5:$A$1004,0),""),""))</f>
        <v/>
      </c>
    </row>
    <row r="424">
      <c r="A424" s="78">
        <f>IF($T424="","",IF($S424="S",IF(INDEX(Firms!$A$5:$A$1004,$T424)="","",INDEX(Firms!$A$5:$A$1004,$T424)),IF(INDEX('AFA Rates'!$A$5:$A$1004,$T424)="","",INDEX('AFA Rates'!$A$5:$A$1004,$T424))))</f>
        <v/>
      </c>
      <c r="B424" s="79">
        <f>IF(OR($T424="",$U424=""),IF($T424="","","Not on Firms tab"),INDEX(Firms!$B$5:$B$1004,$U424)&amp;"")</f>
        <v/>
      </c>
      <c r="C424" s="78">
        <f>IF($T424="","",IF($S424="S","Standard",INDEX('AFA Rates'!$B$5:$B$1004,$T424)&amp;""))</f>
        <v/>
      </c>
      <c r="D424" s="88">
        <f>IF($T424="","",IF($S424="S",IF(INDEX(Firms!$E$5:$E$1004,$T424)="","",INDEX(Firms!$E$5:$E$1004,$T424)),IF(INDEX('AFA Rates'!$C$5:$C$1004,$T424)="","",INDEX('AFA Rates'!$C$5:$C$1004,$T424))))</f>
        <v/>
      </c>
      <c r="E424" s="88">
        <f>IF($T424="","",IF($S424="S",IF(""="","",""),IF(INDEX('AFA Rates'!$D$5:$D$1004,$T424)="","",INDEX('AFA Rates'!$D$5:$D$1004,$T424))))</f>
        <v/>
      </c>
      <c r="F424" s="79">
        <f>IF($T424="","",IF($S424="S",IF(INDEX(Firms!$O$5:$O$1004,$T424)="","",INDEX(Firms!$O$5:$O$1004,$T424)),IF(INDEX('AFA Rates'!$O$5:$O$1004,$T424)="","",INDEX('AFA Rates'!$O$5:$O$1004,$T424))))</f>
        <v/>
      </c>
      <c r="G424" s="50">
        <f>IF($T424="","",IF($S424="S",IF(INDEX(Firms!$F$5:$F$1004,$T424)="","",INDEX(Firms!$F$5:$F$1004,$T424)),IF(INDEX('AFA Rates'!$E$5:$E$1004,$T424)="","",INDEX('AFA Rates'!$E$5:$E$1004,$T424))))</f>
        <v/>
      </c>
      <c r="H424" s="50">
        <f>IF($T424="","",IF($S424="S",IF(INDEX(Firms!$G$5:$G$1004,$T424)="","",INDEX(Firms!$G$5:$G$1004,$T424)),IF(INDEX('AFA Rates'!$F$5:$F$1004,$T424)="","",INDEX('AFA Rates'!$F$5:$F$1004,$T424))))</f>
        <v/>
      </c>
      <c r="I424" s="50">
        <f>IF($T424="","",IF($S424="S",IF(INDEX(Firms!$H$5:$H$1004,$T424)="","",INDEX(Firms!$H$5:$H$1004,$T424)),IF(INDEX('AFA Rates'!$G$5:$G$1004,$T424)="","",INDEX('AFA Rates'!$G$5:$G$1004,$T424))))</f>
        <v/>
      </c>
      <c r="J424" s="50">
        <f>IF($T424="","",IF($S424="S",IF(INDEX(Firms!$I$5:$I$1004,$T424)="","",INDEX(Firms!$I$5:$I$1004,$T424)),IF(INDEX('AFA Rates'!$H$5:$H$1004,$T424)="","",INDEX('AFA Rates'!$H$5:$H$1004,$T424))))</f>
        <v/>
      </c>
      <c r="K424" s="50">
        <f>IF($T424="","",IF($S424="S",IF(INDEX(Firms!$J$5:$J$1004,$T424)="","",INDEX(Firms!$J$5:$J$1004,$T424)),IF(INDEX('AFA Rates'!$I$5:$I$1004,$T424)="","",INDEX('AFA Rates'!$I$5:$I$1004,$T424))))</f>
        <v/>
      </c>
      <c r="L424" s="50">
        <f>IF($T424="","",IF($S424="S",IF(INDEX(Firms!$K$5:$K$1004,$T424)="","",INDEX(Firms!$K$5:$K$1004,$T424)),IF(INDEX('AFA Rates'!$J$5:$J$1004,$T424)="","",INDEX('AFA Rates'!$J$5:$J$1004,$T424))))</f>
        <v/>
      </c>
      <c r="M424" s="50">
        <f>IF($T424="","",IF($S424="S",IF(INDEX(Firms!$L$5:$L$1004,$T424)="","",INDEX(Firms!$L$5:$L$1004,$T424)),IF(INDEX('AFA Rates'!$K$5:$K$1004,$T424)="","",INDEX('AFA Rates'!$K$5:$K$1004,$T424))))</f>
        <v/>
      </c>
      <c r="N424" s="50">
        <f>IF($T424="","",IF($S424="S",IF(INDEX(Firms!$M$5:$M$1004,$T424)="","",INDEX(Firms!$M$5:$M$1004,$T424)),IF(INDEX('AFA Rates'!$L$5:$L$1004,$T424)="","",INDEX('AFA Rates'!$L$5:$L$1004,$T424))))</f>
        <v/>
      </c>
      <c r="O424" s="78">
        <f>IF(OR($T424="",$U424=""),"",IF(INDEX(Firms!$C$5:$C$1004,$U424)="","",INDEX(Firms!$C$5:$C$1004,$U424)))</f>
        <v/>
      </c>
      <c r="P424" s="79">
        <f>IF(OR($T424="",$U424=""),"",IF(INDEX(Firms!$N$5:$N$1004,$U424)="","",INDEX(Firms!$N$5:$N$1004,$U424)))</f>
        <v/>
      </c>
      <c r="Q424" s="78">
        <f>IF($T424="","",IF($S424="S",IF(INDEX(Firms!$T$5:$T$1004,$T424)="","",INDEX(Firms!$T$5:$T$1004,$T424)),IF(INDEX('AFA Rates'!$M$5:$M$1004,$T424)="","",INDEX('AFA Rates'!$M$5:$M$1004,$T424))))</f>
        <v/>
      </c>
      <c r="S424">
        <f>IF(420&lt;=$S$2,"S",IF(420&lt;=$S$2+$T$2,"A",""))</f>
        <v/>
      </c>
      <c r="T424">
        <f>IF(S424="S",MATCH(420,Firms!$W$5:$W$1004,0),IF(S424="A",IFERROR(MATCH(420-$S$2,'AFA Rates'!$R$5:$R$1004,0),""),""))</f>
        <v/>
      </c>
      <c r="U424">
        <f>IF(S424="S",T424,IF(AND(S424="A",T424&lt;&gt;""),IFERROR(MATCH(INDEX('AFA Rates'!$A$5:$A$1004,T424),Firms!$A$5:$A$1004,0),""),""))</f>
        <v/>
      </c>
    </row>
    <row r="425">
      <c r="A425" s="78">
        <f>IF($T425="","",IF($S425="S",IF(INDEX(Firms!$A$5:$A$1004,$T425)="","",INDEX(Firms!$A$5:$A$1004,$T425)),IF(INDEX('AFA Rates'!$A$5:$A$1004,$T425)="","",INDEX('AFA Rates'!$A$5:$A$1004,$T425))))</f>
        <v/>
      </c>
      <c r="B425" s="79">
        <f>IF(OR($T425="",$U425=""),IF($T425="","","Not on Firms tab"),INDEX(Firms!$B$5:$B$1004,$U425)&amp;"")</f>
        <v/>
      </c>
      <c r="C425" s="78">
        <f>IF($T425="","",IF($S425="S","Standard",INDEX('AFA Rates'!$B$5:$B$1004,$T425)&amp;""))</f>
        <v/>
      </c>
      <c r="D425" s="88">
        <f>IF($T425="","",IF($S425="S",IF(INDEX(Firms!$E$5:$E$1004,$T425)="","",INDEX(Firms!$E$5:$E$1004,$T425)),IF(INDEX('AFA Rates'!$C$5:$C$1004,$T425)="","",INDEX('AFA Rates'!$C$5:$C$1004,$T425))))</f>
        <v/>
      </c>
      <c r="E425" s="88">
        <f>IF($T425="","",IF($S425="S",IF(""="","",""),IF(INDEX('AFA Rates'!$D$5:$D$1004,$T425)="","",INDEX('AFA Rates'!$D$5:$D$1004,$T425))))</f>
        <v/>
      </c>
      <c r="F425" s="79">
        <f>IF($T425="","",IF($S425="S",IF(INDEX(Firms!$O$5:$O$1004,$T425)="","",INDEX(Firms!$O$5:$O$1004,$T425)),IF(INDEX('AFA Rates'!$O$5:$O$1004,$T425)="","",INDEX('AFA Rates'!$O$5:$O$1004,$T425))))</f>
        <v/>
      </c>
      <c r="G425" s="50">
        <f>IF($T425="","",IF($S425="S",IF(INDEX(Firms!$F$5:$F$1004,$T425)="","",INDEX(Firms!$F$5:$F$1004,$T425)),IF(INDEX('AFA Rates'!$E$5:$E$1004,$T425)="","",INDEX('AFA Rates'!$E$5:$E$1004,$T425))))</f>
        <v/>
      </c>
      <c r="H425" s="50">
        <f>IF($T425="","",IF($S425="S",IF(INDEX(Firms!$G$5:$G$1004,$T425)="","",INDEX(Firms!$G$5:$G$1004,$T425)),IF(INDEX('AFA Rates'!$F$5:$F$1004,$T425)="","",INDEX('AFA Rates'!$F$5:$F$1004,$T425))))</f>
        <v/>
      </c>
      <c r="I425" s="50">
        <f>IF($T425="","",IF($S425="S",IF(INDEX(Firms!$H$5:$H$1004,$T425)="","",INDEX(Firms!$H$5:$H$1004,$T425)),IF(INDEX('AFA Rates'!$G$5:$G$1004,$T425)="","",INDEX('AFA Rates'!$G$5:$G$1004,$T425))))</f>
        <v/>
      </c>
      <c r="J425" s="50">
        <f>IF($T425="","",IF($S425="S",IF(INDEX(Firms!$I$5:$I$1004,$T425)="","",INDEX(Firms!$I$5:$I$1004,$T425)),IF(INDEX('AFA Rates'!$H$5:$H$1004,$T425)="","",INDEX('AFA Rates'!$H$5:$H$1004,$T425))))</f>
        <v/>
      </c>
      <c r="K425" s="50">
        <f>IF($T425="","",IF($S425="S",IF(INDEX(Firms!$J$5:$J$1004,$T425)="","",INDEX(Firms!$J$5:$J$1004,$T425)),IF(INDEX('AFA Rates'!$I$5:$I$1004,$T425)="","",INDEX('AFA Rates'!$I$5:$I$1004,$T425))))</f>
        <v/>
      </c>
      <c r="L425" s="50">
        <f>IF($T425="","",IF($S425="S",IF(INDEX(Firms!$K$5:$K$1004,$T425)="","",INDEX(Firms!$K$5:$K$1004,$T425)),IF(INDEX('AFA Rates'!$J$5:$J$1004,$T425)="","",INDEX('AFA Rates'!$J$5:$J$1004,$T425))))</f>
        <v/>
      </c>
      <c r="M425" s="50">
        <f>IF($T425="","",IF($S425="S",IF(INDEX(Firms!$L$5:$L$1004,$T425)="","",INDEX(Firms!$L$5:$L$1004,$T425)),IF(INDEX('AFA Rates'!$K$5:$K$1004,$T425)="","",INDEX('AFA Rates'!$K$5:$K$1004,$T425))))</f>
        <v/>
      </c>
      <c r="N425" s="50">
        <f>IF($T425="","",IF($S425="S",IF(INDEX(Firms!$M$5:$M$1004,$T425)="","",INDEX(Firms!$M$5:$M$1004,$T425)),IF(INDEX('AFA Rates'!$L$5:$L$1004,$T425)="","",INDEX('AFA Rates'!$L$5:$L$1004,$T425))))</f>
        <v/>
      </c>
      <c r="O425" s="78">
        <f>IF(OR($T425="",$U425=""),"",IF(INDEX(Firms!$C$5:$C$1004,$U425)="","",INDEX(Firms!$C$5:$C$1004,$U425)))</f>
        <v/>
      </c>
      <c r="P425" s="79">
        <f>IF(OR($T425="",$U425=""),"",IF(INDEX(Firms!$N$5:$N$1004,$U425)="","",INDEX(Firms!$N$5:$N$1004,$U425)))</f>
        <v/>
      </c>
      <c r="Q425" s="78">
        <f>IF($T425="","",IF($S425="S",IF(INDEX(Firms!$T$5:$T$1004,$T425)="","",INDEX(Firms!$T$5:$T$1004,$T425)),IF(INDEX('AFA Rates'!$M$5:$M$1004,$T425)="","",INDEX('AFA Rates'!$M$5:$M$1004,$T425))))</f>
        <v/>
      </c>
      <c r="S425">
        <f>IF(421&lt;=$S$2,"S",IF(421&lt;=$S$2+$T$2,"A",""))</f>
        <v/>
      </c>
      <c r="T425">
        <f>IF(S425="S",MATCH(421,Firms!$W$5:$W$1004,0),IF(S425="A",IFERROR(MATCH(421-$S$2,'AFA Rates'!$R$5:$R$1004,0),""),""))</f>
        <v/>
      </c>
      <c r="U425">
        <f>IF(S425="S",T425,IF(AND(S425="A",T425&lt;&gt;""),IFERROR(MATCH(INDEX('AFA Rates'!$A$5:$A$1004,T425),Firms!$A$5:$A$1004,0),""),""))</f>
        <v/>
      </c>
    </row>
    <row r="426">
      <c r="A426" s="78">
        <f>IF($T426="","",IF($S426="S",IF(INDEX(Firms!$A$5:$A$1004,$T426)="","",INDEX(Firms!$A$5:$A$1004,$T426)),IF(INDEX('AFA Rates'!$A$5:$A$1004,$T426)="","",INDEX('AFA Rates'!$A$5:$A$1004,$T426))))</f>
        <v/>
      </c>
      <c r="B426" s="79">
        <f>IF(OR($T426="",$U426=""),IF($T426="","","Not on Firms tab"),INDEX(Firms!$B$5:$B$1004,$U426)&amp;"")</f>
        <v/>
      </c>
      <c r="C426" s="78">
        <f>IF($T426="","",IF($S426="S","Standard",INDEX('AFA Rates'!$B$5:$B$1004,$T426)&amp;""))</f>
        <v/>
      </c>
      <c r="D426" s="88">
        <f>IF($T426="","",IF($S426="S",IF(INDEX(Firms!$E$5:$E$1004,$T426)="","",INDEX(Firms!$E$5:$E$1004,$T426)),IF(INDEX('AFA Rates'!$C$5:$C$1004,$T426)="","",INDEX('AFA Rates'!$C$5:$C$1004,$T426))))</f>
        <v/>
      </c>
      <c r="E426" s="88">
        <f>IF($T426="","",IF($S426="S",IF(""="","",""),IF(INDEX('AFA Rates'!$D$5:$D$1004,$T426)="","",INDEX('AFA Rates'!$D$5:$D$1004,$T426))))</f>
        <v/>
      </c>
      <c r="F426" s="79">
        <f>IF($T426="","",IF($S426="S",IF(INDEX(Firms!$O$5:$O$1004,$T426)="","",INDEX(Firms!$O$5:$O$1004,$T426)),IF(INDEX('AFA Rates'!$O$5:$O$1004,$T426)="","",INDEX('AFA Rates'!$O$5:$O$1004,$T426))))</f>
        <v/>
      </c>
      <c r="G426" s="50">
        <f>IF($T426="","",IF($S426="S",IF(INDEX(Firms!$F$5:$F$1004,$T426)="","",INDEX(Firms!$F$5:$F$1004,$T426)),IF(INDEX('AFA Rates'!$E$5:$E$1004,$T426)="","",INDEX('AFA Rates'!$E$5:$E$1004,$T426))))</f>
        <v/>
      </c>
      <c r="H426" s="50">
        <f>IF($T426="","",IF($S426="S",IF(INDEX(Firms!$G$5:$G$1004,$T426)="","",INDEX(Firms!$G$5:$G$1004,$T426)),IF(INDEX('AFA Rates'!$F$5:$F$1004,$T426)="","",INDEX('AFA Rates'!$F$5:$F$1004,$T426))))</f>
        <v/>
      </c>
      <c r="I426" s="50">
        <f>IF($T426="","",IF($S426="S",IF(INDEX(Firms!$H$5:$H$1004,$T426)="","",INDEX(Firms!$H$5:$H$1004,$T426)),IF(INDEX('AFA Rates'!$G$5:$G$1004,$T426)="","",INDEX('AFA Rates'!$G$5:$G$1004,$T426))))</f>
        <v/>
      </c>
      <c r="J426" s="50">
        <f>IF($T426="","",IF($S426="S",IF(INDEX(Firms!$I$5:$I$1004,$T426)="","",INDEX(Firms!$I$5:$I$1004,$T426)),IF(INDEX('AFA Rates'!$H$5:$H$1004,$T426)="","",INDEX('AFA Rates'!$H$5:$H$1004,$T426))))</f>
        <v/>
      </c>
      <c r="K426" s="50">
        <f>IF($T426="","",IF($S426="S",IF(INDEX(Firms!$J$5:$J$1004,$T426)="","",INDEX(Firms!$J$5:$J$1004,$T426)),IF(INDEX('AFA Rates'!$I$5:$I$1004,$T426)="","",INDEX('AFA Rates'!$I$5:$I$1004,$T426))))</f>
        <v/>
      </c>
      <c r="L426" s="50">
        <f>IF($T426="","",IF($S426="S",IF(INDEX(Firms!$K$5:$K$1004,$T426)="","",INDEX(Firms!$K$5:$K$1004,$T426)),IF(INDEX('AFA Rates'!$J$5:$J$1004,$T426)="","",INDEX('AFA Rates'!$J$5:$J$1004,$T426))))</f>
        <v/>
      </c>
      <c r="M426" s="50">
        <f>IF($T426="","",IF($S426="S",IF(INDEX(Firms!$L$5:$L$1004,$T426)="","",INDEX(Firms!$L$5:$L$1004,$T426)),IF(INDEX('AFA Rates'!$K$5:$K$1004,$T426)="","",INDEX('AFA Rates'!$K$5:$K$1004,$T426))))</f>
        <v/>
      </c>
      <c r="N426" s="50">
        <f>IF($T426="","",IF($S426="S",IF(INDEX(Firms!$M$5:$M$1004,$T426)="","",INDEX(Firms!$M$5:$M$1004,$T426)),IF(INDEX('AFA Rates'!$L$5:$L$1004,$T426)="","",INDEX('AFA Rates'!$L$5:$L$1004,$T426))))</f>
        <v/>
      </c>
      <c r="O426" s="78">
        <f>IF(OR($T426="",$U426=""),"",IF(INDEX(Firms!$C$5:$C$1004,$U426)="","",INDEX(Firms!$C$5:$C$1004,$U426)))</f>
        <v/>
      </c>
      <c r="P426" s="79">
        <f>IF(OR($T426="",$U426=""),"",IF(INDEX(Firms!$N$5:$N$1004,$U426)="","",INDEX(Firms!$N$5:$N$1004,$U426)))</f>
        <v/>
      </c>
      <c r="Q426" s="78">
        <f>IF($T426="","",IF($S426="S",IF(INDEX(Firms!$T$5:$T$1004,$T426)="","",INDEX(Firms!$T$5:$T$1004,$T426)),IF(INDEX('AFA Rates'!$M$5:$M$1004,$T426)="","",INDEX('AFA Rates'!$M$5:$M$1004,$T426))))</f>
        <v/>
      </c>
      <c r="S426">
        <f>IF(422&lt;=$S$2,"S",IF(422&lt;=$S$2+$T$2,"A",""))</f>
        <v/>
      </c>
      <c r="T426">
        <f>IF(S426="S",MATCH(422,Firms!$W$5:$W$1004,0),IF(S426="A",IFERROR(MATCH(422-$S$2,'AFA Rates'!$R$5:$R$1004,0),""),""))</f>
        <v/>
      </c>
      <c r="U426">
        <f>IF(S426="S",T426,IF(AND(S426="A",T426&lt;&gt;""),IFERROR(MATCH(INDEX('AFA Rates'!$A$5:$A$1004,T426),Firms!$A$5:$A$1004,0),""),""))</f>
        <v/>
      </c>
    </row>
    <row r="427">
      <c r="A427" s="78">
        <f>IF($T427="","",IF($S427="S",IF(INDEX(Firms!$A$5:$A$1004,$T427)="","",INDEX(Firms!$A$5:$A$1004,$T427)),IF(INDEX('AFA Rates'!$A$5:$A$1004,$T427)="","",INDEX('AFA Rates'!$A$5:$A$1004,$T427))))</f>
        <v/>
      </c>
      <c r="B427" s="79">
        <f>IF(OR($T427="",$U427=""),IF($T427="","","Not on Firms tab"),INDEX(Firms!$B$5:$B$1004,$U427)&amp;"")</f>
        <v/>
      </c>
      <c r="C427" s="78">
        <f>IF($T427="","",IF($S427="S","Standard",INDEX('AFA Rates'!$B$5:$B$1004,$T427)&amp;""))</f>
        <v/>
      </c>
      <c r="D427" s="88">
        <f>IF($T427="","",IF($S427="S",IF(INDEX(Firms!$E$5:$E$1004,$T427)="","",INDEX(Firms!$E$5:$E$1004,$T427)),IF(INDEX('AFA Rates'!$C$5:$C$1004,$T427)="","",INDEX('AFA Rates'!$C$5:$C$1004,$T427))))</f>
        <v/>
      </c>
      <c r="E427" s="88">
        <f>IF($T427="","",IF($S427="S",IF(""="","",""),IF(INDEX('AFA Rates'!$D$5:$D$1004,$T427)="","",INDEX('AFA Rates'!$D$5:$D$1004,$T427))))</f>
        <v/>
      </c>
      <c r="F427" s="79">
        <f>IF($T427="","",IF($S427="S",IF(INDEX(Firms!$O$5:$O$1004,$T427)="","",INDEX(Firms!$O$5:$O$1004,$T427)),IF(INDEX('AFA Rates'!$O$5:$O$1004,$T427)="","",INDEX('AFA Rates'!$O$5:$O$1004,$T427))))</f>
        <v/>
      </c>
      <c r="G427" s="50">
        <f>IF($T427="","",IF($S427="S",IF(INDEX(Firms!$F$5:$F$1004,$T427)="","",INDEX(Firms!$F$5:$F$1004,$T427)),IF(INDEX('AFA Rates'!$E$5:$E$1004,$T427)="","",INDEX('AFA Rates'!$E$5:$E$1004,$T427))))</f>
        <v/>
      </c>
      <c r="H427" s="50">
        <f>IF($T427="","",IF($S427="S",IF(INDEX(Firms!$G$5:$G$1004,$T427)="","",INDEX(Firms!$G$5:$G$1004,$T427)),IF(INDEX('AFA Rates'!$F$5:$F$1004,$T427)="","",INDEX('AFA Rates'!$F$5:$F$1004,$T427))))</f>
        <v/>
      </c>
      <c r="I427" s="50">
        <f>IF($T427="","",IF($S427="S",IF(INDEX(Firms!$H$5:$H$1004,$T427)="","",INDEX(Firms!$H$5:$H$1004,$T427)),IF(INDEX('AFA Rates'!$G$5:$G$1004,$T427)="","",INDEX('AFA Rates'!$G$5:$G$1004,$T427))))</f>
        <v/>
      </c>
      <c r="J427" s="50">
        <f>IF($T427="","",IF($S427="S",IF(INDEX(Firms!$I$5:$I$1004,$T427)="","",INDEX(Firms!$I$5:$I$1004,$T427)),IF(INDEX('AFA Rates'!$H$5:$H$1004,$T427)="","",INDEX('AFA Rates'!$H$5:$H$1004,$T427))))</f>
        <v/>
      </c>
      <c r="K427" s="50">
        <f>IF($T427="","",IF($S427="S",IF(INDEX(Firms!$J$5:$J$1004,$T427)="","",INDEX(Firms!$J$5:$J$1004,$T427)),IF(INDEX('AFA Rates'!$I$5:$I$1004,$T427)="","",INDEX('AFA Rates'!$I$5:$I$1004,$T427))))</f>
        <v/>
      </c>
      <c r="L427" s="50">
        <f>IF($T427="","",IF($S427="S",IF(INDEX(Firms!$K$5:$K$1004,$T427)="","",INDEX(Firms!$K$5:$K$1004,$T427)),IF(INDEX('AFA Rates'!$J$5:$J$1004,$T427)="","",INDEX('AFA Rates'!$J$5:$J$1004,$T427))))</f>
        <v/>
      </c>
      <c r="M427" s="50">
        <f>IF($T427="","",IF($S427="S",IF(INDEX(Firms!$L$5:$L$1004,$T427)="","",INDEX(Firms!$L$5:$L$1004,$T427)),IF(INDEX('AFA Rates'!$K$5:$K$1004,$T427)="","",INDEX('AFA Rates'!$K$5:$K$1004,$T427))))</f>
        <v/>
      </c>
      <c r="N427" s="50">
        <f>IF($T427="","",IF($S427="S",IF(INDEX(Firms!$M$5:$M$1004,$T427)="","",INDEX(Firms!$M$5:$M$1004,$T427)),IF(INDEX('AFA Rates'!$L$5:$L$1004,$T427)="","",INDEX('AFA Rates'!$L$5:$L$1004,$T427))))</f>
        <v/>
      </c>
      <c r="O427" s="78">
        <f>IF(OR($T427="",$U427=""),"",IF(INDEX(Firms!$C$5:$C$1004,$U427)="","",INDEX(Firms!$C$5:$C$1004,$U427)))</f>
        <v/>
      </c>
      <c r="P427" s="79">
        <f>IF(OR($T427="",$U427=""),"",IF(INDEX(Firms!$N$5:$N$1004,$U427)="","",INDEX(Firms!$N$5:$N$1004,$U427)))</f>
        <v/>
      </c>
      <c r="Q427" s="78">
        <f>IF($T427="","",IF($S427="S",IF(INDEX(Firms!$T$5:$T$1004,$T427)="","",INDEX(Firms!$T$5:$T$1004,$T427)),IF(INDEX('AFA Rates'!$M$5:$M$1004,$T427)="","",INDEX('AFA Rates'!$M$5:$M$1004,$T427))))</f>
        <v/>
      </c>
      <c r="S427">
        <f>IF(423&lt;=$S$2,"S",IF(423&lt;=$S$2+$T$2,"A",""))</f>
        <v/>
      </c>
      <c r="T427">
        <f>IF(S427="S",MATCH(423,Firms!$W$5:$W$1004,0),IF(S427="A",IFERROR(MATCH(423-$S$2,'AFA Rates'!$R$5:$R$1004,0),""),""))</f>
        <v/>
      </c>
      <c r="U427">
        <f>IF(S427="S",T427,IF(AND(S427="A",T427&lt;&gt;""),IFERROR(MATCH(INDEX('AFA Rates'!$A$5:$A$1004,T427),Firms!$A$5:$A$1004,0),""),""))</f>
        <v/>
      </c>
    </row>
    <row r="428">
      <c r="A428" s="78">
        <f>IF($T428="","",IF($S428="S",IF(INDEX(Firms!$A$5:$A$1004,$T428)="","",INDEX(Firms!$A$5:$A$1004,$T428)),IF(INDEX('AFA Rates'!$A$5:$A$1004,$T428)="","",INDEX('AFA Rates'!$A$5:$A$1004,$T428))))</f>
        <v/>
      </c>
      <c r="B428" s="79">
        <f>IF(OR($T428="",$U428=""),IF($T428="","","Not on Firms tab"),INDEX(Firms!$B$5:$B$1004,$U428)&amp;"")</f>
        <v/>
      </c>
      <c r="C428" s="78">
        <f>IF($T428="","",IF($S428="S","Standard",INDEX('AFA Rates'!$B$5:$B$1004,$T428)&amp;""))</f>
        <v/>
      </c>
      <c r="D428" s="88">
        <f>IF($T428="","",IF($S428="S",IF(INDEX(Firms!$E$5:$E$1004,$T428)="","",INDEX(Firms!$E$5:$E$1004,$T428)),IF(INDEX('AFA Rates'!$C$5:$C$1004,$T428)="","",INDEX('AFA Rates'!$C$5:$C$1004,$T428))))</f>
        <v/>
      </c>
      <c r="E428" s="88">
        <f>IF($T428="","",IF($S428="S",IF(""="","",""),IF(INDEX('AFA Rates'!$D$5:$D$1004,$T428)="","",INDEX('AFA Rates'!$D$5:$D$1004,$T428))))</f>
        <v/>
      </c>
      <c r="F428" s="79">
        <f>IF($T428="","",IF($S428="S",IF(INDEX(Firms!$O$5:$O$1004,$T428)="","",INDEX(Firms!$O$5:$O$1004,$T428)),IF(INDEX('AFA Rates'!$O$5:$O$1004,$T428)="","",INDEX('AFA Rates'!$O$5:$O$1004,$T428))))</f>
        <v/>
      </c>
      <c r="G428" s="50">
        <f>IF($T428="","",IF($S428="S",IF(INDEX(Firms!$F$5:$F$1004,$T428)="","",INDEX(Firms!$F$5:$F$1004,$T428)),IF(INDEX('AFA Rates'!$E$5:$E$1004,$T428)="","",INDEX('AFA Rates'!$E$5:$E$1004,$T428))))</f>
        <v/>
      </c>
      <c r="H428" s="50">
        <f>IF($T428="","",IF($S428="S",IF(INDEX(Firms!$G$5:$G$1004,$T428)="","",INDEX(Firms!$G$5:$G$1004,$T428)),IF(INDEX('AFA Rates'!$F$5:$F$1004,$T428)="","",INDEX('AFA Rates'!$F$5:$F$1004,$T428))))</f>
        <v/>
      </c>
      <c r="I428" s="50">
        <f>IF($T428="","",IF($S428="S",IF(INDEX(Firms!$H$5:$H$1004,$T428)="","",INDEX(Firms!$H$5:$H$1004,$T428)),IF(INDEX('AFA Rates'!$G$5:$G$1004,$T428)="","",INDEX('AFA Rates'!$G$5:$G$1004,$T428))))</f>
        <v/>
      </c>
      <c r="J428" s="50">
        <f>IF($T428="","",IF($S428="S",IF(INDEX(Firms!$I$5:$I$1004,$T428)="","",INDEX(Firms!$I$5:$I$1004,$T428)),IF(INDEX('AFA Rates'!$H$5:$H$1004,$T428)="","",INDEX('AFA Rates'!$H$5:$H$1004,$T428))))</f>
        <v/>
      </c>
      <c r="K428" s="50">
        <f>IF($T428="","",IF($S428="S",IF(INDEX(Firms!$J$5:$J$1004,$T428)="","",INDEX(Firms!$J$5:$J$1004,$T428)),IF(INDEX('AFA Rates'!$I$5:$I$1004,$T428)="","",INDEX('AFA Rates'!$I$5:$I$1004,$T428))))</f>
        <v/>
      </c>
      <c r="L428" s="50">
        <f>IF($T428="","",IF($S428="S",IF(INDEX(Firms!$K$5:$K$1004,$T428)="","",INDEX(Firms!$K$5:$K$1004,$T428)),IF(INDEX('AFA Rates'!$J$5:$J$1004,$T428)="","",INDEX('AFA Rates'!$J$5:$J$1004,$T428))))</f>
        <v/>
      </c>
      <c r="M428" s="50">
        <f>IF($T428="","",IF($S428="S",IF(INDEX(Firms!$L$5:$L$1004,$T428)="","",INDEX(Firms!$L$5:$L$1004,$T428)),IF(INDEX('AFA Rates'!$K$5:$K$1004,$T428)="","",INDEX('AFA Rates'!$K$5:$K$1004,$T428))))</f>
        <v/>
      </c>
      <c r="N428" s="50">
        <f>IF($T428="","",IF($S428="S",IF(INDEX(Firms!$M$5:$M$1004,$T428)="","",INDEX(Firms!$M$5:$M$1004,$T428)),IF(INDEX('AFA Rates'!$L$5:$L$1004,$T428)="","",INDEX('AFA Rates'!$L$5:$L$1004,$T428))))</f>
        <v/>
      </c>
      <c r="O428" s="78">
        <f>IF(OR($T428="",$U428=""),"",IF(INDEX(Firms!$C$5:$C$1004,$U428)="","",INDEX(Firms!$C$5:$C$1004,$U428)))</f>
        <v/>
      </c>
      <c r="P428" s="79">
        <f>IF(OR($T428="",$U428=""),"",IF(INDEX(Firms!$N$5:$N$1004,$U428)="","",INDEX(Firms!$N$5:$N$1004,$U428)))</f>
        <v/>
      </c>
      <c r="Q428" s="78">
        <f>IF($T428="","",IF($S428="S",IF(INDEX(Firms!$T$5:$T$1004,$T428)="","",INDEX(Firms!$T$5:$T$1004,$T428)),IF(INDEX('AFA Rates'!$M$5:$M$1004,$T428)="","",INDEX('AFA Rates'!$M$5:$M$1004,$T428))))</f>
        <v/>
      </c>
      <c r="S428">
        <f>IF(424&lt;=$S$2,"S",IF(424&lt;=$S$2+$T$2,"A",""))</f>
        <v/>
      </c>
      <c r="T428">
        <f>IF(S428="S",MATCH(424,Firms!$W$5:$W$1004,0),IF(S428="A",IFERROR(MATCH(424-$S$2,'AFA Rates'!$R$5:$R$1004,0),""),""))</f>
        <v/>
      </c>
      <c r="U428">
        <f>IF(S428="S",T428,IF(AND(S428="A",T428&lt;&gt;""),IFERROR(MATCH(INDEX('AFA Rates'!$A$5:$A$1004,T428),Firms!$A$5:$A$1004,0),""),""))</f>
        <v/>
      </c>
    </row>
    <row r="429">
      <c r="A429" s="78">
        <f>IF($T429="","",IF($S429="S",IF(INDEX(Firms!$A$5:$A$1004,$T429)="","",INDEX(Firms!$A$5:$A$1004,$T429)),IF(INDEX('AFA Rates'!$A$5:$A$1004,$T429)="","",INDEX('AFA Rates'!$A$5:$A$1004,$T429))))</f>
        <v/>
      </c>
      <c r="B429" s="79">
        <f>IF(OR($T429="",$U429=""),IF($T429="","","Not on Firms tab"),INDEX(Firms!$B$5:$B$1004,$U429)&amp;"")</f>
        <v/>
      </c>
      <c r="C429" s="78">
        <f>IF($T429="","",IF($S429="S","Standard",INDEX('AFA Rates'!$B$5:$B$1004,$T429)&amp;""))</f>
        <v/>
      </c>
      <c r="D429" s="88">
        <f>IF($T429="","",IF($S429="S",IF(INDEX(Firms!$E$5:$E$1004,$T429)="","",INDEX(Firms!$E$5:$E$1004,$T429)),IF(INDEX('AFA Rates'!$C$5:$C$1004,$T429)="","",INDEX('AFA Rates'!$C$5:$C$1004,$T429))))</f>
        <v/>
      </c>
      <c r="E429" s="88">
        <f>IF($T429="","",IF($S429="S",IF(""="","",""),IF(INDEX('AFA Rates'!$D$5:$D$1004,$T429)="","",INDEX('AFA Rates'!$D$5:$D$1004,$T429))))</f>
        <v/>
      </c>
      <c r="F429" s="79">
        <f>IF($T429="","",IF($S429="S",IF(INDEX(Firms!$O$5:$O$1004,$T429)="","",INDEX(Firms!$O$5:$O$1004,$T429)),IF(INDEX('AFA Rates'!$O$5:$O$1004,$T429)="","",INDEX('AFA Rates'!$O$5:$O$1004,$T429))))</f>
        <v/>
      </c>
      <c r="G429" s="50">
        <f>IF($T429="","",IF($S429="S",IF(INDEX(Firms!$F$5:$F$1004,$T429)="","",INDEX(Firms!$F$5:$F$1004,$T429)),IF(INDEX('AFA Rates'!$E$5:$E$1004,$T429)="","",INDEX('AFA Rates'!$E$5:$E$1004,$T429))))</f>
        <v/>
      </c>
      <c r="H429" s="50">
        <f>IF($T429="","",IF($S429="S",IF(INDEX(Firms!$G$5:$G$1004,$T429)="","",INDEX(Firms!$G$5:$G$1004,$T429)),IF(INDEX('AFA Rates'!$F$5:$F$1004,$T429)="","",INDEX('AFA Rates'!$F$5:$F$1004,$T429))))</f>
        <v/>
      </c>
      <c r="I429" s="50">
        <f>IF($T429="","",IF($S429="S",IF(INDEX(Firms!$H$5:$H$1004,$T429)="","",INDEX(Firms!$H$5:$H$1004,$T429)),IF(INDEX('AFA Rates'!$G$5:$G$1004,$T429)="","",INDEX('AFA Rates'!$G$5:$G$1004,$T429))))</f>
        <v/>
      </c>
      <c r="J429" s="50">
        <f>IF($T429="","",IF($S429="S",IF(INDEX(Firms!$I$5:$I$1004,$T429)="","",INDEX(Firms!$I$5:$I$1004,$T429)),IF(INDEX('AFA Rates'!$H$5:$H$1004,$T429)="","",INDEX('AFA Rates'!$H$5:$H$1004,$T429))))</f>
        <v/>
      </c>
      <c r="K429" s="50">
        <f>IF($T429="","",IF($S429="S",IF(INDEX(Firms!$J$5:$J$1004,$T429)="","",INDEX(Firms!$J$5:$J$1004,$T429)),IF(INDEX('AFA Rates'!$I$5:$I$1004,$T429)="","",INDEX('AFA Rates'!$I$5:$I$1004,$T429))))</f>
        <v/>
      </c>
      <c r="L429" s="50">
        <f>IF($T429="","",IF($S429="S",IF(INDEX(Firms!$K$5:$K$1004,$T429)="","",INDEX(Firms!$K$5:$K$1004,$T429)),IF(INDEX('AFA Rates'!$J$5:$J$1004,$T429)="","",INDEX('AFA Rates'!$J$5:$J$1004,$T429))))</f>
        <v/>
      </c>
      <c r="M429" s="50">
        <f>IF($T429="","",IF($S429="S",IF(INDEX(Firms!$L$5:$L$1004,$T429)="","",INDEX(Firms!$L$5:$L$1004,$T429)),IF(INDEX('AFA Rates'!$K$5:$K$1004,$T429)="","",INDEX('AFA Rates'!$K$5:$K$1004,$T429))))</f>
        <v/>
      </c>
      <c r="N429" s="50">
        <f>IF($T429="","",IF($S429="S",IF(INDEX(Firms!$M$5:$M$1004,$T429)="","",INDEX(Firms!$M$5:$M$1004,$T429)),IF(INDEX('AFA Rates'!$L$5:$L$1004,$T429)="","",INDEX('AFA Rates'!$L$5:$L$1004,$T429))))</f>
        <v/>
      </c>
      <c r="O429" s="78">
        <f>IF(OR($T429="",$U429=""),"",IF(INDEX(Firms!$C$5:$C$1004,$U429)="","",INDEX(Firms!$C$5:$C$1004,$U429)))</f>
        <v/>
      </c>
      <c r="P429" s="79">
        <f>IF(OR($T429="",$U429=""),"",IF(INDEX(Firms!$N$5:$N$1004,$U429)="","",INDEX(Firms!$N$5:$N$1004,$U429)))</f>
        <v/>
      </c>
      <c r="Q429" s="78">
        <f>IF($T429="","",IF($S429="S",IF(INDEX(Firms!$T$5:$T$1004,$T429)="","",INDEX(Firms!$T$5:$T$1004,$T429)),IF(INDEX('AFA Rates'!$M$5:$M$1004,$T429)="","",INDEX('AFA Rates'!$M$5:$M$1004,$T429))))</f>
        <v/>
      </c>
      <c r="S429">
        <f>IF(425&lt;=$S$2,"S",IF(425&lt;=$S$2+$T$2,"A",""))</f>
        <v/>
      </c>
      <c r="T429">
        <f>IF(S429="S",MATCH(425,Firms!$W$5:$W$1004,0),IF(S429="A",IFERROR(MATCH(425-$S$2,'AFA Rates'!$R$5:$R$1004,0),""),""))</f>
        <v/>
      </c>
      <c r="U429">
        <f>IF(S429="S",T429,IF(AND(S429="A",T429&lt;&gt;""),IFERROR(MATCH(INDEX('AFA Rates'!$A$5:$A$1004,T429),Firms!$A$5:$A$1004,0),""),""))</f>
        <v/>
      </c>
    </row>
    <row r="430">
      <c r="A430" s="78">
        <f>IF($T430="","",IF($S430="S",IF(INDEX(Firms!$A$5:$A$1004,$T430)="","",INDEX(Firms!$A$5:$A$1004,$T430)),IF(INDEX('AFA Rates'!$A$5:$A$1004,$T430)="","",INDEX('AFA Rates'!$A$5:$A$1004,$T430))))</f>
        <v/>
      </c>
      <c r="B430" s="79">
        <f>IF(OR($T430="",$U430=""),IF($T430="","","Not on Firms tab"),INDEX(Firms!$B$5:$B$1004,$U430)&amp;"")</f>
        <v/>
      </c>
      <c r="C430" s="78">
        <f>IF($T430="","",IF($S430="S","Standard",INDEX('AFA Rates'!$B$5:$B$1004,$T430)&amp;""))</f>
        <v/>
      </c>
      <c r="D430" s="88">
        <f>IF($T430="","",IF($S430="S",IF(INDEX(Firms!$E$5:$E$1004,$T430)="","",INDEX(Firms!$E$5:$E$1004,$T430)),IF(INDEX('AFA Rates'!$C$5:$C$1004,$T430)="","",INDEX('AFA Rates'!$C$5:$C$1004,$T430))))</f>
        <v/>
      </c>
      <c r="E430" s="88">
        <f>IF($T430="","",IF($S430="S",IF(""="","",""),IF(INDEX('AFA Rates'!$D$5:$D$1004,$T430)="","",INDEX('AFA Rates'!$D$5:$D$1004,$T430))))</f>
        <v/>
      </c>
      <c r="F430" s="79">
        <f>IF($T430="","",IF($S430="S",IF(INDEX(Firms!$O$5:$O$1004,$T430)="","",INDEX(Firms!$O$5:$O$1004,$T430)),IF(INDEX('AFA Rates'!$O$5:$O$1004,$T430)="","",INDEX('AFA Rates'!$O$5:$O$1004,$T430))))</f>
        <v/>
      </c>
      <c r="G430" s="50">
        <f>IF($T430="","",IF($S430="S",IF(INDEX(Firms!$F$5:$F$1004,$T430)="","",INDEX(Firms!$F$5:$F$1004,$T430)),IF(INDEX('AFA Rates'!$E$5:$E$1004,$T430)="","",INDEX('AFA Rates'!$E$5:$E$1004,$T430))))</f>
        <v/>
      </c>
      <c r="H430" s="50">
        <f>IF($T430="","",IF($S430="S",IF(INDEX(Firms!$G$5:$G$1004,$T430)="","",INDEX(Firms!$G$5:$G$1004,$T430)),IF(INDEX('AFA Rates'!$F$5:$F$1004,$T430)="","",INDEX('AFA Rates'!$F$5:$F$1004,$T430))))</f>
        <v/>
      </c>
      <c r="I430" s="50">
        <f>IF($T430="","",IF($S430="S",IF(INDEX(Firms!$H$5:$H$1004,$T430)="","",INDEX(Firms!$H$5:$H$1004,$T430)),IF(INDEX('AFA Rates'!$G$5:$G$1004,$T430)="","",INDEX('AFA Rates'!$G$5:$G$1004,$T430))))</f>
        <v/>
      </c>
      <c r="J430" s="50">
        <f>IF($T430="","",IF($S430="S",IF(INDEX(Firms!$I$5:$I$1004,$T430)="","",INDEX(Firms!$I$5:$I$1004,$T430)),IF(INDEX('AFA Rates'!$H$5:$H$1004,$T430)="","",INDEX('AFA Rates'!$H$5:$H$1004,$T430))))</f>
        <v/>
      </c>
      <c r="K430" s="50">
        <f>IF($T430="","",IF($S430="S",IF(INDEX(Firms!$J$5:$J$1004,$T430)="","",INDEX(Firms!$J$5:$J$1004,$T430)),IF(INDEX('AFA Rates'!$I$5:$I$1004,$T430)="","",INDEX('AFA Rates'!$I$5:$I$1004,$T430))))</f>
        <v/>
      </c>
      <c r="L430" s="50">
        <f>IF($T430="","",IF($S430="S",IF(INDEX(Firms!$K$5:$K$1004,$T430)="","",INDEX(Firms!$K$5:$K$1004,$T430)),IF(INDEX('AFA Rates'!$J$5:$J$1004,$T430)="","",INDEX('AFA Rates'!$J$5:$J$1004,$T430))))</f>
        <v/>
      </c>
      <c r="M430" s="50">
        <f>IF($T430="","",IF($S430="S",IF(INDEX(Firms!$L$5:$L$1004,$T430)="","",INDEX(Firms!$L$5:$L$1004,$T430)),IF(INDEX('AFA Rates'!$K$5:$K$1004,$T430)="","",INDEX('AFA Rates'!$K$5:$K$1004,$T430))))</f>
        <v/>
      </c>
      <c r="N430" s="50">
        <f>IF($T430="","",IF($S430="S",IF(INDEX(Firms!$M$5:$M$1004,$T430)="","",INDEX(Firms!$M$5:$M$1004,$T430)),IF(INDEX('AFA Rates'!$L$5:$L$1004,$T430)="","",INDEX('AFA Rates'!$L$5:$L$1004,$T430))))</f>
        <v/>
      </c>
      <c r="O430" s="78">
        <f>IF(OR($T430="",$U430=""),"",IF(INDEX(Firms!$C$5:$C$1004,$U430)="","",INDEX(Firms!$C$5:$C$1004,$U430)))</f>
        <v/>
      </c>
      <c r="P430" s="79">
        <f>IF(OR($T430="",$U430=""),"",IF(INDEX(Firms!$N$5:$N$1004,$U430)="","",INDEX(Firms!$N$5:$N$1004,$U430)))</f>
        <v/>
      </c>
      <c r="Q430" s="78">
        <f>IF($T430="","",IF($S430="S",IF(INDEX(Firms!$T$5:$T$1004,$T430)="","",INDEX(Firms!$T$5:$T$1004,$T430)),IF(INDEX('AFA Rates'!$M$5:$M$1004,$T430)="","",INDEX('AFA Rates'!$M$5:$M$1004,$T430))))</f>
        <v/>
      </c>
      <c r="S430">
        <f>IF(426&lt;=$S$2,"S",IF(426&lt;=$S$2+$T$2,"A",""))</f>
        <v/>
      </c>
      <c r="T430">
        <f>IF(S430="S",MATCH(426,Firms!$W$5:$W$1004,0),IF(S430="A",IFERROR(MATCH(426-$S$2,'AFA Rates'!$R$5:$R$1004,0),""),""))</f>
        <v/>
      </c>
      <c r="U430">
        <f>IF(S430="S",T430,IF(AND(S430="A",T430&lt;&gt;""),IFERROR(MATCH(INDEX('AFA Rates'!$A$5:$A$1004,T430),Firms!$A$5:$A$1004,0),""),""))</f>
        <v/>
      </c>
    </row>
    <row r="431">
      <c r="A431" s="78">
        <f>IF($T431="","",IF($S431="S",IF(INDEX(Firms!$A$5:$A$1004,$T431)="","",INDEX(Firms!$A$5:$A$1004,$T431)),IF(INDEX('AFA Rates'!$A$5:$A$1004,$T431)="","",INDEX('AFA Rates'!$A$5:$A$1004,$T431))))</f>
        <v/>
      </c>
      <c r="B431" s="79">
        <f>IF(OR($T431="",$U431=""),IF($T431="","","Not on Firms tab"),INDEX(Firms!$B$5:$B$1004,$U431)&amp;"")</f>
        <v/>
      </c>
      <c r="C431" s="78">
        <f>IF($T431="","",IF($S431="S","Standard",INDEX('AFA Rates'!$B$5:$B$1004,$T431)&amp;""))</f>
        <v/>
      </c>
      <c r="D431" s="88">
        <f>IF($T431="","",IF($S431="S",IF(INDEX(Firms!$E$5:$E$1004,$T431)="","",INDEX(Firms!$E$5:$E$1004,$T431)),IF(INDEX('AFA Rates'!$C$5:$C$1004,$T431)="","",INDEX('AFA Rates'!$C$5:$C$1004,$T431))))</f>
        <v/>
      </c>
      <c r="E431" s="88">
        <f>IF($T431="","",IF($S431="S",IF(""="","",""),IF(INDEX('AFA Rates'!$D$5:$D$1004,$T431)="","",INDEX('AFA Rates'!$D$5:$D$1004,$T431))))</f>
        <v/>
      </c>
      <c r="F431" s="79">
        <f>IF($T431="","",IF($S431="S",IF(INDEX(Firms!$O$5:$O$1004,$T431)="","",INDEX(Firms!$O$5:$O$1004,$T431)),IF(INDEX('AFA Rates'!$O$5:$O$1004,$T431)="","",INDEX('AFA Rates'!$O$5:$O$1004,$T431))))</f>
        <v/>
      </c>
      <c r="G431" s="50">
        <f>IF($T431="","",IF($S431="S",IF(INDEX(Firms!$F$5:$F$1004,$T431)="","",INDEX(Firms!$F$5:$F$1004,$T431)),IF(INDEX('AFA Rates'!$E$5:$E$1004,$T431)="","",INDEX('AFA Rates'!$E$5:$E$1004,$T431))))</f>
        <v/>
      </c>
      <c r="H431" s="50">
        <f>IF($T431="","",IF($S431="S",IF(INDEX(Firms!$G$5:$G$1004,$T431)="","",INDEX(Firms!$G$5:$G$1004,$T431)),IF(INDEX('AFA Rates'!$F$5:$F$1004,$T431)="","",INDEX('AFA Rates'!$F$5:$F$1004,$T431))))</f>
        <v/>
      </c>
      <c r="I431" s="50">
        <f>IF($T431="","",IF($S431="S",IF(INDEX(Firms!$H$5:$H$1004,$T431)="","",INDEX(Firms!$H$5:$H$1004,$T431)),IF(INDEX('AFA Rates'!$G$5:$G$1004,$T431)="","",INDEX('AFA Rates'!$G$5:$G$1004,$T431))))</f>
        <v/>
      </c>
      <c r="J431" s="50">
        <f>IF($T431="","",IF($S431="S",IF(INDEX(Firms!$I$5:$I$1004,$T431)="","",INDEX(Firms!$I$5:$I$1004,$T431)),IF(INDEX('AFA Rates'!$H$5:$H$1004,$T431)="","",INDEX('AFA Rates'!$H$5:$H$1004,$T431))))</f>
        <v/>
      </c>
      <c r="K431" s="50">
        <f>IF($T431="","",IF($S431="S",IF(INDEX(Firms!$J$5:$J$1004,$T431)="","",INDEX(Firms!$J$5:$J$1004,$T431)),IF(INDEX('AFA Rates'!$I$5:$I$1004,$T431)="","",INDEX('AFA Rates'!$I$5:$I$1004,$T431))))</f>
        <v/>
      </c>
      <c r="L431" s="50">
        <f>IF($T431="","",IF($S431="S",IF(INDEX(Firms!$K$5:$K$1004,$T431)="","",INDEX(Firms!$K$5:$K$1004,$T431)),IF(INDEX('AFA Rates'!$J$5:$J$1004,$T431)="","",INDEX('AFA Rates'!$J$5:$J$1004,$T431))))</f>
        <v/>
      </c>
      <c r="M431" s="50">
        <f>IF($T431="","",IF($S431="S",IF(INDEX(Firms!$L$5:$L$1004,$T431)="","",INDEX(Firms!$L$5:$L$1004,$T431)),IF(INDEX('AFA Rates'!$K$5:$K$1004,$T431)="","",INDEX('AFA Rates'!$K$5:$K$1004,$T431))))</f>
        <v/>
      </c>
      <c r="N431" s="50">
        <f>IF($T431="","",IF($S431="S",IF(INDEX(Firms!$M$5:$M$1004,$T431)="","",INDEX(Firms!$M$5:$M$1004,$T431)),IF(INDEX('AFA Rates'!$L$5:$L$1004,$T431)="","",INDEX('AFA Rates'!$L$5:$L$1004,$T431))))</f>
        <v/>
      </c>
      <c r="O431" s="78">
        <f>IF(OR($T431="",$U431=""),"",IF(INDEX(Firms!$C$5:$C$1004,$U431)="","",INDEX(Firms!$C$5:$C$1004,$U431)))</f>
        <v/>
      </c>
      <c r="P431" s="79">
        <f>IF(OR($T431="",$U431=""),"",IF(INDEX(Firms!$N$5:$N$1004,$U431)="","",INDEX(Firms!$N$5:$N$1004,$U431)))</f>
        <v/>
      </c>
      <c r="Q431" s="78">
        <f>IF($T431="","",IF($S431="S",IF(INDEX(Firms!$T$5:$T$1004,$T431)="","",INDEX(Firms!$T$5:$T$1004,$T431)),IF(INDEX('AFA Rates'!$M$5:$M$1004,$T431)="","",INDEX('AFA Rates'!$M$5:$M$1004,$T431))))</f>
        <v/>
      </c>
      <c r="S431">
        <f>IF(427&lt;=$S$2,"S",IF(427&lt;=$S$2+$T$2,"A",""))</f>
        <v/>
      </c>
      <c r="T431">
        <f>IF(S431="S",MATCH(427,Firms!$W$5:$W$1004,0),IF(S431="A",IFERROR(MATCH(427-$S$2,'AFA Rates'!$R$5:$R$1004,0),""),""))</f>
        <v/>
      </c>
      <c r="U431">
        <f>IF(S431="S",T431,IF(AND(S431="A",T431&lt;&gt;""),IFERROR(MATCH(INDEX('AFA Rates'!$A$5:$A$1004,T431),Firms!$A$5:$A$1004,0),""),""))</f>
        <v/>
      </c>
    </row>
    <row r="432">
      <c r="A432" s="78">
        <f>IF($T432="","",IF($S432="S",IF(INDEX(Firms!$A$5:$A$1004,$T432)="","",INDEX(Firms!$A$5:$A$1004,$T432)),IF(INDEX('AFA Rates'!$A$5:$A$1004,$T432)="","",INDEX('AFA Rates'!$A$5:$A$1004,$T432))))</f>
        <v/>
      </c>
      <c r="B432" s="79">
        <f>IF(OR($T432="",$U432=""),IF($T432="","","Not on Firms tab"),INDEX(Firms!$B$5:$B$1004,$U432)&amp;"")</f>
        <v/>
      </c>
      <c r="C432" s="78">
        <f>IF($T432="","",IF($S432="S","Standard",INDEX('AFA Rates'!$B$5:$B$1004,$T432)&amp;""))</f>
        <v/>
      </c>
      <c r="D432" s="88">
        <f>IF($T432="","",IF($S432="S",IF(INDEX(Firms!$E$5:$E$1004,$T432)="","",INDEX(Firms!$E$5:$E$1004,$T432)),IF(INDEX('AFA Rates'!$C$5:$C$1004,$T432)="","",INDEX('AFA Rates'!$C$5:$C$1004,$T432))))</f>
        <v/>
      </c>
      <c r="E432" s="88">
        <f>IF($T432="","",IF($S432="S",IF(""="","",""),IF(INDEX('AFA Rates'!$D$5:$D$1004,$T432)="","",INDEX('AFA Rates'!$D$5:$D$1004,$T432))))</f>
        <v/>
      </c>
      <c r="F432" s="79">
        <f>IF($T432="","",IF($S432="S",IF(INDEX(Firms!$O$5:$O$1004,$T432)="","",INDEX(Firms!$O$5:$O$1004,$T432)),IF(INDEX('AFA Rates'!$O$5:$O$1004,$T432)="","",INDEX('AFA Rates'!$O$5:$O$1004,$T432))))</f>
        <v/>
      </c>
      <c r="G432" s="50">
        <f>IF($T432="","",IF($S432="S",IF(INDEX(Firms!$F$5:$F$1004,$T432)="","",INDEX(Firms!$F$5:$F$1004,$T432)),IF(INDEX('AFA Rates'!$E$5:$E$1004,$T432)="","",INDEX('AFA Rates'!$E$5:$E$1004,$T432))))</f>
        <v/>
      </c>
      <c r="H432" s="50">
        <f>IF($T432="","",IF($S432="S",IF(INDEX(Firms!$G$5:$G$1004,$T432)="","",INDEX(Firms!$G$5:$G$1004,$T432)),IF(INDEX('AFA Rates'!$F$5:$F$1004,$T432)="","",INDEX('AFA Rates'!$F$5:$F$1004,$T432))))</f>
        <v/>
      </c>
      <c r="I432" s="50">
        <f>IF($T432="","",IF($S432="S",IF(INDEX(Firms!$H$5:$H$1004,$T432)="","",INDEX(Firms!$H$5:$H$1004,$T432)),IF(INDEX('AFA Rates'!$G$5:$G$1004,$T432)="","",INDEX('AFA Rates'!$G$5:$G$1004,$T432))))</f>
        <v/>
      </c>
      <c r="J432" s="50">
        <f>IF($T432="","",IF($S432="S",IF(INDEX(Firms!$I$5:$I$1004,$T432)="","",INDEX(Firms!$I$5:$I$1004,$T432)),IF(INDEX('AFA Rates'!$H$5:$H$1004,$T432)="","",INDEX('AFA Rates'!$H$5:$H$1004,$T432))))</f>
        <v/>
      </c>
      <c r="K432" s="50">
        <f>IF($T432="","",IF($S432="S",IF(INDEX(Firms!$J$5:$J$1004,$T432)="","",INDEX(Firms!$J$5:$J$1004,$T432)),IF(INDEX('AFA Rates'!$I$5:$I$1004,$T432)="","",INDEX('AFA Rates'!$I$5:$I$1004,$T432))))</f>
        <v/>
      </c>
      <c r="L432" s="50">
        <f>IF($T432="","",IF($S432="S",IF(INDEX(Firms!$K$5:$K$1004,$T432)="","",INDEX(Firms!$K$5:$K$1004,$T432)),IF(INDEX('AFA Rates'!$J$5:$J$1004,$T432)="","",INDEX('AFA Rates'!$J$5:$J$1004,$T432))))</f>
        <v/>
      </c>
      <c r="M432" s="50">
        <f>IF($T432="","",IF($S432="S",IF(INDEX(Firms!$L$5:$L$1004,$T432)="","",INDEX(Firms!$L$5:$L$1004,$T432)),IF(INDEX('AFA Rates'!$K$5:$K$1004,$T432)="","",INDEX('AFA Rates'!$K$5:$K$1004,$T432))))</f>
        <v/>
      </c>
      <c r="N432" s="50">
        <f>IF($T432="","",IF($S432="S",IF(INDEX(Firms!$M$5:$M$1004,$T432)="","",INDEX(Firms!$M$5:$M$1004,$T432)),IF(INDEX('AFA Rates'!$L$5:$L$1004,$T432)="","",INDEX('AFA Rates'!$L$5:$L$1004,$T432))))</f>
        <v/>
      </c>
      <c r="O432" s="78">
        <f>IF(OR($T432="",$U432=""),"",IF(INDEX(Firms!$C$5:$C$1004,$U432)="","",INDEX(Firms!$C$5:$C$1004,$U432)))</f>
        <v/>
      </c>
      <c r="P432" s="79">
        <f>IF(OR($T432="",$U432=""),"",IF(INDEX(Firms!$N$5:$N$1004,$U432)="","",INDEX(Firms!$N$5:$N$1004,$U432)))</f>
        <v/>
      </c>
      <c r="Q432" s="78">
        <f>IF($T432="","",IF($S432="S",IF(INDEX(Firms!$T$5:$T$1004,$T432)="","",INDEX(Firms!$T$5:$T$1004,$T432)),IF(INDEX('AFA Rates'!$M$5:$M$1004,$T432)="","",INDEX('AFA Rates'!$M$5:$M$1004,$T432))))</f>
        <v/>
      </c>
      <c r="S432">
        <f>IF(428&lt;=$S$2,"S",IF(428&lt;=$S$2+$T$2,"A",""))</f>
        <v/>
      </c>
      <c r="T432">
        <f>IF(S432="S",MATCH(428,Firms!$W$5:$W$1004,0),IF(S432="A",IFERROR(MATCH(428-$S$2,'AFA Rates'!$R$5:$R$1004,0),""),""))</f>
        <v/>
      </c>
      <c r="U432">
        <f>IF(S432="S",T432,IF(AND(S432="A",T432&lt;&gt;""),IFERROR(MATCH(INDEX('AFA Rates'!$A$5:$A$1004,T432),Firms!$A$5:$A$1004,0),""),""))</f>
        <v/>
      </c>
    </row>
    <row r="433">
      <c r="A433" s="78">
        <f>IF($T433="","",IF($S433="S",IF(INDEX(Firms!$A$5:$A$1004,$T433)="","",INDEX(Firms!$A$5:$A$1004,$T433)),IF(INDEX('AFA Rates'!$A$5:$A$1004,$T433)="","",INDEX('AFA Rates'!$A$5:$A$1004,$T433))))</f>
        <v/>
      </c>
      <c r="B433" s="79">
        <f>IF(OR($T433="",$U433=""),IF($T433="","","Not on Firms tab"),INDEX(Firms!$B$5:$B$1004,$U433)&amp;"")</f>
        <v/>
      </c>
      <c r="C433" s="78">
        <f>IF($T433="","",IF($S433="S","Standard",INDEX('AFA Rates'!$B$5:$B$1004,$T433)&amp;""))</f>
        <v/>
      </c>
      <c r="D433" s="88">
        <f>IF($T433="","",IF($S433="S",IF(INDEX(Firms!$E$5:$E$1004,$T433)="","",INDEX(Firms!$E$5:$E$1004,$T433)),IF(INDEX('AFA Rates'!$C$5:$C$1004,$T433)="","",INDEX('AFA Rates'!$C$5:$C$1004,$T433))))</f>
        <v/>
      </c>
      <c r="E433" s="88">
        <f>IF($T433="","",IF($S433="S",IF(""="","",""),IF(INDEX('AFA Rates'!$D$5:$D$1004,$T433)="","",INDEX('AFA Rates'!$D$5:$D$1004,$T433))))</f>
        <v/>
      </c>
      <c r="F433" s="79">
        <f>IF($T433="","",IF($S433="S",IF(INDEX(Firms!$O$5:$O$1004,$T433)="","",INDEX(Firms!$O$5:$O$1004,$T433)),IF(INDEX('AFA Rates'!$O$5:$O$1004,$T433)="","",INDEX('AFA Rates'!$O$5:$O$1004,$T433))))</f>
        <v/>
      </c>
      <c r="G433" s="50">
        <f>IF($T433="","",IF($S433="S",IF(INDEX(Firms!$F$5:$F$1004,$T433)="","",INDEX(Firms!$F$5:$F$1004,$T433)),IF(INDEX('AFA Rates'!$E$5:$E$1004,$T433)="","",INDEX('AFA Rates'!$E$5:$E$1004,$T433))))</f>
        <v/>
      </c>
      <c r="H433" s="50">
        <f>IF($T433="","",IF($S433="S",IF(INDEX(Firms!$G$5:$G$1004,$T433)="","",INDEX(Firms!$G$5:$G$1004,$T433)),IF(INDEX('AFA Rates'!$F$5:$F$1004,$T433)="","",INDEX('AFA Rates'!$F$5:$F$1004,$T433))))</f>
        <v/>
      </c>
      <c r="I433" s="50">
        <f>IF($T433="","",IF($S433="S",IF(INDEX(Firms!$H$5:$H$1004,$T433)="","",INDEX(Firms!$H$5:$H$1004,$T433)),IF(INDEX('AFA Rates'!$G$5:$G$1004,$T433)="","",INDEX('AFA Rates'!$G$5:$G$1004,$T433))))</f>
        <v/>
      </c>
      <c r="J433" s="50">
        <f>IF($T433="","",IF($S433="S",IF(INDEX(Firms!$I$5:$I$1004,$T433)="","",INDEX(Firms!$I$5:$I$1004,$T433)),IF(INDEX('AFA Rates'!$H$5:$H$1004,$T433)="","",INDEX('AFA Rates'!$H$5:$H$1004,$T433))))</f>
        <v/>
      </c>
      <c r="K433" s="50">
        <f>IF($T433="","",IF($S433="S",IF(INDEX(Firms!$J$5:$J$1004,$T433)="","",INDEX(Firms!$J$5:$J$1004,$T433)),IF(INDEX('AFA Rates'!$I$5:$I$1004,$T433)="","",INDEX('AFA Rates'!$I$5:$I$1004,$T433))))</f>
        <v/>
      </c>
      <c r="L433" s="50">
        <f>IF($T433="","",IF($S433="S",IF(INDEX(Firms!$K$5:$K$1004,$T433)="","",INDEX(Firms!$K$5:$K$1004,$T433)),IF(INDEX('AFA Rates'!$J$5:$J$1004,$T433)="","",INDEX('AFA Rates'!$J$5:$J$1004,$T433))))</f>
        <v/>
      </c>
      <c r="M433" s="50">
        <f>IF($T433="","",IF($S433="S",IF(INDEX(Firms!$L$5:$L$1004,$T433)="","",INDEX(Firms!$L$5:$L$1004,$T433)),IF(INDEX('AFA Rates'!$K$5:$K$1004,$T433)="","",INDEX('AFA Rates'!$K$5:$K$1004,$T433))))</f>
        <v/>
      </c>
      <c r="N433" s="50">
        <f>IF($T433="","",IF($S433="S",IF(INDEX(Firms!$M$5:$M$1004,$T433)="","",INDEX(Firms!$M$5:$M$1004,$T433)),IF(INDEX('AFA Rates'!$L$5:$L$1004,$T433)="","",INDEX('AFA Rates'!$L$5:$L$1004,$T433))))</f>
        <v/>
      </c>
      <c r="O433" s="78">
        <f>IF(OR($T433="",$U433=""),"",IF(INDEX(Firms!$C$5:$C$1004,$U433)="","",INDEX(Firms!$C$5:$C$1004,$U433)))</f>
        <v/>
      </c>
      <c r="P433" s="79">
        <f>IF(OR($T433="",$U433=""),"",IF(INDEX(Firms!$N$5:$N$1004,$U433)="","",INDEX(Firms!$N$5:$N$1004,$U433)))</f>
        <v/>
      </c>
      <c r="Q433" s="78">
        <f>IF($T433="","",IF($S433="S",IF(INDEX(Firms!$T$5:$T$1004,$T433)="","",INDEX(Firms!$T$5:$T$1004,$T433)),IF(INDEX('AFA Rates'!$M$5:$M$1004,$T433)="","",INDEX('AFA Rates'!$M$5:$M$1004,$T433))))</f>
        <v/>
      </c>
      <c r="S433">
        <f>IF(429&lt;=$S$2,"S",IF(429&lt;=$S$2+$T$2,"A",""))</f>
        <v/>
      </c>
      <c r="T433">
        <f>IF(S433="S",MATCH(429,Firms!$W$5:$W$1004,0),IF(S433="A",IFERROR(MATCH(429-$S$2,'AFA Rates'!$R$5:$R$1004,0),""),""))</f>
        <v/>
      </c>
      <c r="U433">
        <f>IF(S433="S",T433,IF(AND(S433="A",T433&lt;&gt;""),IFERROR(MATCH(INDEX('AFA Rates'!$A$5:$A$1004,T433),Firms!$A$5:$A$1004,0),""),""))</f>
        <v/>
      </c>
    </row>
    <row r="434">
      <c r="A434" s="78">
        <f>IF($T434="","",IF($S434="S",IF(INDEX(Firms!$A$5:$A$1004,$T434)="","",INDEX(Firms!$A$5:$A$1004,$T434)),IF(INDEX('AFA Rates'!$A$5:$A$1004,$T434)="","",INDEX('AFA Rates'!$A$5:$A$1004,$T434))))</f>
        <v/>
      </c>
      <c r="B434" s="79">
        <f>IF(OR($T434="",$U434=""),IF($T434="","","Not on Firms tab"),INDEX(Firms!$B$5:$B$1004,$U434)&amp;"")</f>
        <v/>
      </c>
      <c r="C434" s="78">
        <f>IF($T434="","",IF($S434="S","Standard",INDEX('AFA Rates'!$B$5:$B$1004,$T434)&amp;""))</f>
        <v/>
      </c>
      <c r="D434" s="88">
        <f>IF($T434="","",IF($S434="S",IF(INDEX(Firms!$E$5:$E$1004,$T434)="","",INDEX(Firms!$E$5:$E$1004,$T434)),IF(INDEX('AFA Rates'!$C$5:$C$1004,$T434)="","",INDEX('AFA Rates'!$C$5:$C$1004,$T434))))</f>
        <v/>
      </c>
      <c r="E434" s="88">
        <f>IF($T434="","",IF($S434="S",IF(""="","",""),IF(INDEX('AFA Rates'!$D$5:$D$1004,$T434)="","",INDEX('AFA Rates'!$D$5:$D$1004,$T434))))</f>
        <v/>
      </c>
      <c r="F434" s="79">
        <f>IF($T434="","",IF($S434="S",IF(INDEX(Firms!$O$5:$O$1004,$T434)="","",INDEX(Firms!$O$5:$O$1004,$T434)),IF(INDEX('AFA Rates'!$O$5:$O$1004,$T434)="","",INDEX('AFA Rates'!$O$5:$O$1004,$T434))))</f>
        <v/>
      </c>
      <c r="G434" s="50">
        <f>IF($T434="","",IF($S434="S",IF(INDEX(Firms!$F$5:$F$1004,$T434)="","",INDEX(Firms!$F$5:$F$1004,$T434)),IF(INDEX('AFA Rates'!$E$5:$E$1004,$T434)="","",INDEX('AFA Rates'!$E$5:$E$1004,$T434))))</f>
        <v/>
      </c>
      <c r="H434" s="50">
        <f>IF($T434="","",IF($S434="S",IF(INDEX(Firms!$G$5:$G$1004,$T434)="","",INDEX(Firms!$G$5:$G$1004,$T434)),IF(INDEX('AFA Rates'!$F$5:$F$1004,$T434)="","",INDEX('AFA Rates'!$F$5:$F$1004,$T434))))</f>
        <v/>
      </c>
      <c r="I434" s="50">
        <f>IF($T434="","",IF($S434="S",IF(INDEX(Firms!$H$5:$H$1004,$T434)="","",INDEX(Firms!$H$5:$H$1004,$T434)),IF(INDEX('AFA Rates'!$G$5:$G$1004,$T434)="","",INDEX('AFA Rates'!$G$5:$G$1004,$T434))))</f>
        <v/>
      </c>
      <c r="J434" s="50">
        <f>IF($T434="","",IF($S434="S",IF(INDEX(Firms!$I$5:$I$1004,$T434)="","",INDEX(Firms!$I$5:$I$1004,$T434)),IF(INDEX('AFA Rates'!$H$5:$H$1004,$T434)="","",INDEX('AFA Rates'!$H$5:$H$1004,$T434))))</f>
        <v/>
      </c>
      <c r="K434" s="50">
        <f>IF($T434="","",IF($S434="S",IF(INDEX(Firms!$J$5:$J$1004,$T434)="","",INDEX(Firms!$J$5:$J$1004,$T434)),IF(INDEX('AFA Rates'!$I$5:$I$1004,$T434)="","",INDEX('AFA Rates'!$I$5:$I$1004,$T434))))</f>
        <v/>
      </c>
      <c r="L434" s="50">
        <f>IF($T434="","",IF($S434="S",IF(INDEX(Firms!$K$5:$K$1004,$T434)="","",INDEX(Firms!$K$5:$K$1004,$T434)),IF(INDEX('AFA Rates'!$J$5:$J$1004,$T434)="","",INDEX('AFA Rates'!$J$5:$J$1004,$T434))))</f>
        <v/>
      </c>
      <c r="M434" s="50">
        <f>IF($T434="","",IF($S434="S",IF(INDEX(Firms!$L$5:$L$1004,$T434)="","",INDEX(Firms!$L$5:$L$1004,$T434)),IF(INDEX('AFA Rates'!$K$5:$K$1004,$T434)="","",INDEX('AFA Rates'!$K$5:$K$1004,$T434))))</f>
        <v/>
      </c>
      <c r="N434" s="50">
        <f>IF($T434="","",IF($S434="S",IF(INDEX(Firms!$M$5:$M$1004,$T434)="","",INDEX(Firms!$M$5:$M$1004,$T434)),IF(INDEX('AFA Rates'!$L$5:$L$1004,$T434)="","",INDEX('AFA Rates'!$L$5:$L$1004,$T434))))</f>
        <v/>
      </c>
      <c r="O434" s="78">
        <f>IF(OR($T434="",$U434=""),"",IF(INDEX(Firms!$C$5:$C$1004,$U434)="","",INDEX(Firms!$C$5:$C$1004,$U434)))</f>
        <v/>
      </c>
      <c r="P434" s="79">
        <f>IF(OR($T434="",$U434=""),"",IF(INDEX(Firms!$N$5:$N$1004,$U434)="","",INDEX(Firms!$N$5:$N$1004,$U434)))</f>
        <v/>
      </c>
      <c r="Q434" s="78">
        <f>IF($T434="","",IF($S434="S",IF(INDEX(Firms!$T$5:$T$1004,$T434)="","",INDEX(Firms!$T$5:$T$1004,$T434)),IF(INDEX('AFA Rates'!$M$5:$M$1004,$T434)="","",INDEX('AFA Rates'!$M$5:$M$1004,$T434))))</f>
        <v/>
      </c>
      <c r="S434">
        <f>IF(430&lt;=$S$2,"S",IF(430&lt;=$S$2+$T$2,"A",""))</f>
        <v/>
      </c>
      <c r="T434">
        <f>IF(S434="S",MATCH(430,Firms!$W$5:$W$1004,0),IF(S434="A",IFERROR(MATCH(430-$S$2,'AFA Rates'!$R$5:$R$1004,0),""),""))</f>
        <v/>
      </c>
      <c r="U434">
        <f>IF(S434="S",T434,IF(AND(S434="A",T434&lt;&gt;""),IFERROR(MATCH(INDEX('AFA Rates'!$A$5:$A$1004,T434),Firms!$A$5:$A$1004,0),""),""))</f>
        <v/>
      </c>
    </row>
    <row r="435">
      <c r="A435" s="78">
        <f>IF($T435="","",IF($S435="S",IF(INDEX(Firms!$A$5:$A$1004,$T435)="","",INDEX(Firms!$A$5:$A$1004,$T435)),IF(INDEX('AFA Rates'!$A$5:$A$1004,$T435)="","",INDEX('AFA Rates'!$A$5:$A$1004,$T435))))</f>
        <v/>
      </c>
      <c r="B435" s="79">
        <f>IF(OR($T435="",$U435=""),IF($T435="","","Not on Firms tab"),INDEX(Firms!$B$5:$B$1004,$U435)&amp;"")</f>
        <v/>
      </c>
      <c r="C435" s="78">
        <f>IF($T435="","",IF($S435="S","Standard",INDEX('AFA Rates'!$B$5:$B$1004,$T435)&amp;""))</f>
        <v/>
      </c>
      <c r="D435" s="88">
        <f>IF($T435="","",IF($S435="S",IF(INDEX(Firms!$E$5:$E$1004,$T435)="","",INDEX(Firms!$E$5:$E$1004,$T435)),IF(INDEX('AFA Rates'!$C$5:$C$1004,$T435)="","",INDEX('AFA Rates'!$C$5:$C$1004,$T435))))</f>
        <v/>
      </c>
      <c r="E435" s="88">
        <f>IF($T435="","",IF($S435="S",IF(""="","",""),IF(INDEX('AFA Rates'!$D$5:$D$1004,$T435)="","",INDEX('AFA Rates'!$D$5:$D$1004,$T435))))</f>
        <v/>
      </c>
      <c r="F435" s="79">
        <f>IF($T435="","",IF($S435="S",IF(INDEX(Firms!$O$5:$O$1004,$T435)="","",INDEX(Firms!$O$5:$O$1004,$T435)),IF(INDEX('AFA Rates'!$O$5:$O$1004,$T435)="","",INDEX('AFA Rates'!$O$5:$O$1004,$T435))))</f>
        <v/>
      </c>
      <c r="G435" s="50">
        <f>IF($T435="","",IF($S435="S",IF(INDEX(Firms!$F$5:$F$1004,$T435)="","",INDEX(Firms!$F$5:$F$1004,$T435)),IF(INDEX('AFA Rates'!$E$5:$E$1004,$T435)="","",INDEX('AFA Rates'!$E$5:$E$1004,$T435))))</f>
        <v/>
      </c>
      <c r="H435" s="50">
        <f>IF($T435="","",IF($S435="S",IF(INDEX(Firms!$G$5:$G$1004,$T435)="","",INDEX(Firms!$G$5:$G$1004,$T435)),IF(INDEX('AFA Rates'!$F$5:$F$1004,$T435)="","",INDEX('AFA Rates'!$F$5:$F$1004,$T435))))</f>
        <v/>
      </c>
      <c r="I435" s="50">
        <f>IF($T435="","",IF($S435="S",IF(INDEX(Firms!$H$5:$H$1004,$T435)="","",INDEX(Firms!$H$5:$H$1004,$T435)),IF(INDEX('AFA Rates'!$G$5:$G$1004,$T435)="","",INDEX('AFA Rates'!$G$5:$G$1004,$T435))))</f>
        <v/>
      </c>
      <c r="J435" s="50">
        <f>IF($T435="","",IF($S435="S",IF(INDEX(Firms!$I$5:$I$1004,$T435)="","",INDEX(Firms!$I$5:$I$1004,$T435)),IF(INDEX('AFA Rates'!$H$5:$H$1004,$T435)="","",INDEX('AFA Rates'!$H$5:$H$1004,$T435))))</f>
        <v/>
      </c>
      <c r="K435" s="50">
        <f>IF($T435="","",IF($S435="S",IF(INDEX(Firms!$J$5:$J$1004,$T435)="","",INDEX(Firms!$J$5:$J$1004,$T435)),IF(INDEX('AFA Rates'!$I$5:$I$1004,$T435)="","",INDEX('AFA Rates'!$I$5:$I$1004,$T435))))</f>
        <v/>
      </c>
      <c r="L435" s="50">
        <f>IF($T435="","",IF($S435="S",IF(INDEX(Firms!$K$5:$K$1004,$T435)="","",INDEX(Firms!$K$5:$K$1004,$T435)),IF(INDEX('AFA Rates'!$J$5:$J$1004,$T435)="","",INDEX('AFA Rates'!$J$5:$J$1004,$T435))))</f>
        <v/>
      </c>
      <c r="M435" s="50">
        <f>IF($T435="","",IF($S435="S",IF(INDEX(Firms!$L$5:$L$1004,$T435)="","",INDEX(Firms!$L$5:$L$1004,$T435)),IF(INDEX('AFA Rates'!$K$5:$K$1004,$T435)="","",INDEX('AFA Rates'!$K$5:$K$1004,$T435))))</f>
        <v/>
      </c>
      <c r="N435" s="50">
        <f>IF($T435="","",IF($S435="S",IF(INDEX(Firms!$M$5:$M$1004,$T435)="","",INDEX(Firms!$M$5:$M$1004,$T435)),IF(INDEX('AFA Rates'!$L$5:$L$1004,$T435)="","",INDEX('AFA Rates'!$L$5:$L$1004,$T435))))</f>
        <v/>
      </c>
      <c r="O435" s="78">
        <f>IF(OR($T435="",$U435=""),"",IF(INDEX(Firms!$C$5:$C$1004,$U435)="","",INDEX(Firms!$C$5:$C$1004,$U435)))</f>
        <v/>
      </c>
      <c r="P435" s="79">
        <f>IF(OR($T435="",$U435=""),"",IF(INDEX(Firms!$N$5:$N$1004,$U435)="","",INDEX(Firms!$N$5:$N$1004,$U435)))</f>
        <v/>
      </c>
      <c r="Q435" s="78">
        <f>IF($T435="","",IF($S435="S",IF(INDEX(Firms!$T$5:$T$1004,$T435)="","",INDEX(Firms!$T$5:$T$1004,$T435)),IF(INDEX('AFA Rates'!$M$5:$M$1004,$T435)="","",INDEX('AFA Rates'!$M$5:$M$1004,$T435))))</f>
        <v/>
      </c>
      <c r="S435">
        <f>IF(431&lt;=$S$2,"S",IF(431&lt;=$S$2+$T$2,"A",""))</f>
        <v/>
      </c>
      <c r="T435">
        <f>IF(S435="S",MATCH(431,Firms!$W$5:$W$1004,0),IF(S435="A",IFERROR(MATCH(431-$S$2,'AFA Rates'!$R$5:$R$1004,0),""),""))</f>
        <v/>
      </c>
      <c r="U435">
        <f>IF(S435="S",T435,IF(AND(S435="A",T435&lt;&gt;""),IFERROR(MATCH(INDEX('AFA Rates'!$A$5:$A$1004,T435),Firms!$A$5:$A$1004,0),""),""))</f>
        <v/>
      </c>
    </row>
    <row r="436">
      <c r="A436" s="78">
        <f>IF($T436="","",IF($S436="S",IF(INDEX(Firms!$A$5:$A$1004,$T436)="","",INDEX(Firms!$A$5:$A$1004,$T436)),IF(INDEX('AFA Rates'!$A$5:$A$1004,$T436)="","",INDEX('AFA Rates'!$A$5:$A$1004,$T436))))</f>
        <v/>
      </c>
      <c r="B436" s="79">
        <f>IF(OR($T436="",$U436=""),IF($T436="","","Not on Firms tab"),INDEX(Firms!$B$5:$B$1004,$U436)&amp;"")</f>
        <v/>
      </c>
      <c r="C436" s="78">
        <f>IF($T436="","",IF($S436="S","Standard",INDEX('AFA Rates'!$B$5:$B$1004,$T436)&amp;""))</f>
        <v/>
      </c>
      <c r="D436" s="88">
        <f>IF($T436="","",IF($S436="S",IF(INDEX(Firms!$E$5:$E$1004,$T436)="","",INDEX(Firms!$E$5:$E$1004,$T436)),IF(INDEX('AFA Rates'!$C$5:$C$1004,$T436)="","",INDEX('AFA Rates'!$C$5:$C$1004,$T436))))</f>
        <v/>
      </c>
      <c r="E436" s="88">
        <f>IF($T436="","",IF($S436="S",IF(""="","",""),IF(INDEX('AFA Rates'!$D$5:$D$1004,$T436)="","",INDEX('AFA Rates'!$D$5:$D$1004,$T436))))</f>
        <v/>
      </c>
      <c r="F436" s="79">
        <f>IF($T436="","",IF($S436="S",IF(INDEX(Firms!$O$5:$O$1004,$T436)="","",INDEX(Firms!$O$5:$O$1004,$T436)),IF(INDEX('AFA Rates'!$O$5:$O$1004,$T436)="","",INDEX('AFA Rates'!$O$5:$O$1004,$T436))))</f>
        <v/>
      </c>
      <c r="G436" s="50">
        <f>IF($T436="","",IF($S436="S",IF(INDEX(Firms!$F$5:$F$1004,$T436)="","",INDEX(Firms!$F$5:$F$1004,$T436)),IF(INDEX('AFA Rates'!$E$5:$E$1004,$T436)="","",INDEX('AFA Rates'!$E$5:$E$1004,$T436))))</f>
        <v/>
      </c>
      <c r="H436" s="50">
        <f>IF($T436="","",IF($S436="S",IF(INDEX(Firms!$G$5:$G$1004,$T436)="","",INDEX(Firms!$G$5:$G$1004,$T436)),IF(INDEX('AFA Rates'!$F$5:$F$1004,$T436)="","",INDEX('AFA Rates'!$F$5:$F$1004,$T436))))</f>
        <v/>
      </c>
      <c r="I436" s="50">
        <f>IF($T436="","",IF($S436="S",IF(INDEX(Firms!$H$5:$H$1004,$T436)="","",INDEX(Firms!$H$5:$H$1004,$T436)),IF(INDEX('AFA Rates'!$G$5:$G$1004,$T436)="","",INDEX('AFA Rates'!$G$5:$G$1004,$T436))))</f>
        <v/>
      </c>
      <c r="J436" s="50">
        <f>IF($T436="","",IF($S436="S",IF(INDEX(Firms!$I$5:$I$1004,$T436)="","",INDEX(Firms!$I$5:$I$1004,$T436)),IF(INDEX('AFA Rates'!$H$5:$H$1004,$T436)="","",INDEX('AFA Rates'!$H$5:$H$1004,$T436))))</f>
        <v/>
      </c>
      <c r="K436" s="50">
        <f>IF($T436="","",IF($S436="S",IF(INDEX(Firms!$J$5:$J$1004,$T436)="","",INDEX(Firms!$J$5:$J$1004,$T436)),IF(INDEX('AFA Rates'!$I$5:$I$1004,$T436)="","",INDEX('AFA Rates'!$I$5:$I$1004,$T436))))</f>
        <v/>
      </c>
      <c r="L436" s="50">
        <f>IF($T436="","",IF($S436="S",IF(INDEX(Firms!$K$5:$K$1004,$T436)="","",INDEX(Firms!$K$5:$K$1004,$T436)),IF(INDEX('AFA Rates'!$J$5:$J$1004,$T436)="","",INDEX('AFA Rates'!$J$5:$J$1004,$T436))))</f>
        <v/>
      </c>
      <c r="M436" s="50">
        <f>IF($T436="","",IF($S436="S",IF(INDEX(Firms!$L$5:$L$1004,$T436)="","",INDEX(Firms!$L$5:$L$1004,$T436)),IF(INDEX('AFA Rates'!$K$5:$K$1004,$T436)="","",INDEX('AFA Rates'!$K$5:$K$1004,$T436))))</f>
        <v/>
      </c>
      <c r="N436" s="50">
        <f>IF($T436="","",IF($S436="S",IF(INDEX(Firms!$M$5:$M$1004,$T436)="","",INDEX(Firms!$M$5:$M$1004,$T436)),IF(INDEX('AFA Rates'!$L$5:$L$1004,$T436)="","",INDEX('AFA Rates'!$L$5:$L$1004,$T436))))</f>
        <v/>
      </c>
      <c r="O436" s="78">
        <f>IF(OR($T436="",$U436=""),"",IF(INDEX(Firms!$C$5:$C$1004,$U436)="","",INDEX(Firms!$C$5:$C$1004,$U436)))</f>
        <v/>
      </c>
      <c r="P436" s="79">
        <f>IF(OR($T436="",$U436=""),"",IF(INDEX(Firms!$N$5:$N$1004,$U436)="","",INDEX(Firms!$N$5:$N$1004,$U436)))</f>
        <v/>
      </c>
      <c r="Q436" s="78">
        <f>IF($T436="","",IF($S436="S",IF(INDEX(Firms!$T$5:$T$1004,$T436)="","",INDEX(Firms!$T$5:$T$1004,$T436)),IF(INDEX('AFA Rates'!$M$5:$M$1004,$T436)="","",INDEX('AFA Rates'!$M$5:$M$1004,$T436))))</f>
        <v/>
      </c>
      <c r="S436">
        <f>IF(432&lt;=$S$2,"S",IF(432&lt;=$S$2+$T$2,"A",""))</f>
        <v/>
      </c>
      <c r="T436">
        <f>IF(S436="S",MATCH(432,Firms!$W$5:$W$1004,0),IF(S436="A",IFERROR(MATCH(432-$S$2,'AFA Rates'!$R$5:$R$1004,0),""),""))</f>
        <v/>
      </c>
      <c r="U436">
        <f>IF(S436="S",T436,IF(AND(S436="A",T436&lt;&gt;""),IFERROR(MATCH(INDEX('AFA Rates'!$A$5:$A$1004,T436),Firms!$A$5:$A$1004,0),""),""))</f>
        <v/>
      </c>
    </row>
    <row r="437">
      <c r="A437" s="78">
        <f>IF($T437="","",IF($S437="S",IF(INDEX(Firms!$A$5:$A$1004,$T437)="","",INDEX(Firms!$A$5:$A$1004,$T437)),IF(INDEX('AFA Rates'!$A$5:$A$1004,$T437)="","",INDEX('AFA Rates'!$A$5:$A$1004,$T437))))</f>
        <v/>
      </c>
      <c r="B437" s="79">
        <f>IF(OR($T437="",$U437=""),IF($T437="","","Not on Firms tab"),INDEX(Firms!$B$5:$B$1004,$U437)&amp;"")</f>
        <v/>
      </c>
      <c r="C437" s="78">
        <f>IF($T437="","",IF($S437="S","Standard",INDEX('AFA Rates'!$B$5:$B$1004,$T437)&amp;""))</f>
        <v/>
      </c>
      <c r="D437" s="88">
        <f>IF($T437="","",IF($S437="S",IF(INDEX(Firms!$E$5:$E$1004,$T437)="","",INDEX(Firms!$E$5:$E$1004,$T437)),IF(INDEX('AFA Rates'!$C$5:$C$1004,$T437)="","",INDEX('AFA Rates'!$C$5:$C$1004,$T437))))</f>
        <v/>
      </c>
      <c r="E437" s="88">
        <f>IF($T437="","",IF($S437="S",IF(""="","",""),IF(INDEX('AFA Rates'!$D$5:$D$1004,$T437)="","",INDEX('AFA Rates'!$D$5:$D$1004,$T437))))</f>
        <v/>
      </c>
      <c r="F437" s="79">
        <f>IF($T437="","",IF($S437="S",IF(INDEX(Firms!$O$5:$O$1004,$T437)="","",INDEX(Firms!$O$5:$O$1004,$T437)),IF(INDEX('AFA Rates'!$O$5:$O$1004,$T437)="","",INDEX('AFA Rates'!$O$5:$O$1004,$T437))))</f>
        <v/>
      </c>
      <c r="G437" s="50">
        <f>IF($T437="","",IF($S437="S",IF(INDEX(Firms!$F$5:$F$1004,$T437)="","",INDEX(Firms!$F$5:$F$1004,$T437)),IF(INDEX('AFA Rates'!$E$5:$E$1004,$T437)="","",INDEX('AFA Rates'!$E$5:$E$1004,$T437))))</f>
        <v/>
      </c>
      <c r="H437" s="50">
        <f>IF($T437="","",IF($S437="S",IF(INDEX(Firms!$G$5:$G$1004,$T437)="","",INDEX(Firms!$G$5:$G$1004,$T437)),IF(INDEX('AFA Rates'!$F$5:$F$1004,$T437)="","",INDEX('AFA Rates'!$F$5:$F$1004,$T437))))</f>
        <v/>
      </c>
      <c r="I437" s="50">
        <f>IF($T437="","",IF($S437="S",IF(INDEX(Firms!$H$5:$H$1004,$T437)="","",INDEX(Firms!$H$5:$H$1004,$T437)),IF(INDEX('AFA Rates'!$G$5:$G$1004,$T437)="","",INDEX('AFA Rates'!$G$5:$G$1004,$T437))))</f>
        <v/>
      </c>
      <c r="J437" s="50">
        <f>IF($T437="","",IF($S437="S",IF(INDEX(Firms!$I$5:$I$1004,$T437)="","",INDEX(Firms!$I$5:$I$1004,$T437)),IF(INDEX('AFA Rates'!$H$5:$H$1004,$T437)="","",INDEX('AFA Rates'!$H$5:$H$1004,$T437))))</f>
        <v/>
      </c>
      <c r="K437" s="50">
        <f>IF($T437="","",IF($S437="S",IF(INDEX(Firms!$J$5:$J$1004,$T437)="","",INDEX(Firms!$J$5:$J$1004,$T437)),IF(INDEX('AFA Rates'!$I$5:$I$1004,$T437)="","",INDEX('AFA Rates'!$I$5:$I$1004,$T437))))</f>
        <v/>
      </c>
      <c r="L437" s="50">
        <f>IF($T437="","",IF($S437="S",IF(INDEX(Firms!$K$5:$K$1004,$T437)="","",INDEX(Firms!$K$5:$K$1004,$T437)),IF(INDEX('AFA Rates'!$J$5:$J$1004,$T437)="","",INDEX('AFA Rates'!$J$5:$J$1004,$T437))))</f>
        <v/>
      </c>
      <c r="M437" s="50">
        <f>IF($T437="","",IF($S437="S",IF(INDEX(Firms!$L$5:$L$1004,$T437)="","",INDEX(Firms!$L$5:$L$1004,$T437)),IF(INDEX('AFA Rates'!$K$5:$K$1004,$T437)="","",INDEX('AFA Rates'!$K$5:$K$1004,$T437))))</f>
        <v/>
      </c>
      <c r="N437" s="50">
        <f>IF($T437="","",IF($S437="S",IF(INDEX(Firms!$M$5:$M$1004,$T437)="","",INDEX(Firms!$M$5:$M$1004,$T437)),IF(INDEX('AFA Rates'!$L$5:$L$1004,$T437)="","",INDEX('AFA Rates'!$L$5:$L$1004,$T437))))</f>
        <v/>
      </c>
      <c r="O437" s="78">
        <f>IF(OR($T437="",$U437=""),"",IF(INDEX(Firms!$C$5:$C$1004,$U437)="","",INDEX(Firms!$C$5:$C$1004,$U437)))</f>
        <v/>
      </c>
      <c r="P437" s="79">
        <f>IF(OR($T437="",$U437=""),"",IF(INDEX(Firms!$N$5:$N$1004,$U437)="","",INDEX(Firms!$N$5:$N$1004,$U437)))</f>
        <v/>
      </c>
      <c r="Q437" s="78">
        <f>IF($T437="","",IF($S437="S",IF(INDEX(Firms!$T$5:$T$1004,$T437)="","",INDEX(Firms!$T$5:$T$1004,$T437)),IF(INDEX('AFA Rates'!$M$5:$M$1004,$T437)="","",INDEX('AFA Rates'!$M$5:$M$1004,$T437))))</f>
        <v/>
      </c>
      <c r="S437">
        <f>IF(433&lt;=$S$2,"S",IF(433&lt;=$S$2+$T$2,"A",""))</f>
        <v/>
      </c>
      <c r="T437">
        <f>IF(S437="S",MATCH(433,Firms!$W$5:$W$1004,0),IF(S437="A",IFERROR(MATCH(433-$S$2,'AFA Rates'!$R$5:$R$1004,0),""),""))</f>
        <v/>
      </c>
      <c r="U437">
        <f>IF(S437="S",T437,IF(AND(S437="A",T437&lt;&gt;""),IFERROR(MATCH(INDEX('AFA Rates'!$A$5:$A$1004,T437),Firms!$A$5:$A$1004,0),""),""))</f>
        <v/>
      </c>
    </row>
    <row r="438">
      <c r="A438" s="78">
        <f>IF($T438="","",IF($S438="S",IF(INDEX(Firms!$A$5:$A$1004,$T438)="","",INDEX(Firms!$A$5:$A$1004,$T438)),IF(INDEX('AFA Rates'!$A$5:$A$1004,$T438)="","",INDEX('AFA Rates'!$A$5:$A$1004,$T438))))</f>
        <v/>
      </c>
      <c r="B438" s="79">
        <f>IF(OR($T438="",$U438=""),IF($T438="","","Not on Firms tab"),INDEX(Firms!$B$5:$B$1004,$U438)&amp;"")</f>
        <v/>
      </c>
      <c r="C438" s="78">
        <f>IF($T438="","",IF($S438="S","Standard",INDEX('AFA Rates'!$B$5:$B$1004,$T438)&amp;""))</f>
        <v/>
      </c>
      <c r="D438" s="88">
        <f>IF($T438="","",IF($S438="S",IF(INDEX(Firms!$E$5:$E$1004,$T438)="","",INDEX(Firms!$E$5:$E$1004,$T438)),IF(INDEX('AFA Rates'!$C$5:$C$1004,$T438)="","",INDEX('AFA Rates'!$C$5:$C$1004,$T438))))</f>
        <v/>
      </c>
      <c r="E438" s="88">
        <f>IF($T438="","",IF($S438="S",IF(""="","",""),IF(INDEX('AFA Rates'!$D$5:$D$1004,$T438)="","",INDEX('AFA Rates'!$D$5:$D$1004,$T438))))</f>
        <v/>
      </c>
      <c r="F438" s="79">
        <f>IF($T438="","",IF($S438="S",IF(INDEX(Firms!$O$5:$O$1004,$T438)="","",INDEX(Firms!$O$5:$O$1004,$T438)),IF(INDEX('AFA Rates'!$O$5:$O$1004,$T438)="","",INDEX('AFA Rates'!$O$5:$O$1004,$T438))))</f>
        <v/>
      </c>
      <c r="G438" s="50">
        <f>IF($T438="","",IF($S438="S",IF(INDEX(Firms!$F$5:$F$1004,$T438)="","",INDEX(Firms!$F$5:$F$1004,$T438)),IF(INDEX('AFA Rates'!$E$5:$E$1004,$T438)="","",INDEX('AFA Rates'!$E$5:$E$1004,$T438))))</f>
        <v/>
      </c>
      <c r="H438" s="50">
        <f>IF($T438="","",IF($S438="S",IF(INDEX(Firms!$G$5:$G$1004,$T438)="","",INDEX(Firms!$G$5:$G$1004,$T438)),IF(INDEX('AFA Rates'!$F$5:$F$1004,$T438)="","",INDEX('AFA Rates'!$F$5:$F$1004,$T438))))</f>
        <v/>
      </c>
      <c r="I438" s="50">
        <f>IF($T438="","",IF($S438="S",IF(INDEX(Firms!$H$5:$H$1004,$T438)="","",INDEX(Firms!$H$5:$H$1004,$T438)),IF(INDEX('AFA Rates'!$G$5:$G$1004,$T438)="","",INDEX('AFA Rates'!$G$5:$G$1004,$T438))))</f>
        <v/>
      </c>
      <c r="J438" s="50">
        <f>IF($T438="","",IF($S438="S",IF(INDEX(Firms!$I$5:$I$1004,$T438)="","",INDEX(Firms!$I$5:$I$1004,$T438)),IF(INDEX('AFA Rates'!$H$5:$H$1004,$T438)="","",INDEX('AFA Rates'!$H$5:$H$1004,$T438))))</f>
        <v/>
      </c>
      <c r="K438" s="50">
        <f>IF($T438="","",IF($S438="S",IF(INDEX(Firms!$J$5:$J$1004,$T438)="","",INDEX(Firms!$J$5:$J$1004,$T438)),IF(INDEX('AFA Rates'!$I$5:$I$1004,$T438)="","",INDEX('AFA Rates'!$I$5:$I$1004,$T438))))</f>
        <v/>
      </c>
      <c r="L438" s="50">
        <f>IF($T438="","",IF($S438="S",IF(INDEX(Firms!$K$5:$K$1004,$T438)="","",INDEX(Firms!$K$5:$K$1004,$T438)),IF(INDEX('AFA Rates'!$J$5:$J$1004,$T438)="","",INDEX('AFA Rates'!$J$5:$J$1004,$T438))))</f>
        <v/>
      </c>
      <c r="M438" s="50">
        <f>IF($T438="","",IF($S438="S",IF(INDEX(Firms!$L$5:$L$1004,$T438)="","",INDEX(Firms!$L$5:$L$1004,$T438)),IF(INDEX('AFA Rates'!$K$5:$K$1004,$T438)="","",INDEX('AFA Rates'!$K$5:$K$1004,$T438))))</f>
        <v/>
      </c>
      <c r="N438" s="50">
        <f>IF($T438="","",IF($S438="S",IF(INDEX(Firms!$M$5:$M$1004,$T438)="","",INDEX(Firms!$M$5:$M$1004,$T438)),IF(INDEX('AFA Rates'!$L$5:$L$1004,$T438)="","",INDEX('AFA Rates'!$L$5:$L$1004,$T438))))</f>
        <v/>
      </c>
      <c r="O438" s="78">
        <f>IF(OR($T438="",$U438=""),"",IF(INDEX(Firms!$C$5:$C$1004,$U438)="","",INDEX(Firms!$C$5:$C$1004,$U438)))</f>
        <v/>
      </c>
      <c r="P438" s="79">
        <f>IF(OR($T438="",$U438=""),"",IF(INDEX(Firms!$N$5:$N$1004,$U438)="","",INDEX(Firms!$N$5:$N$1004,$U438)))</f>
        <v/>
      </c>
      <c r="Q438" s="78">
        <f>IF($T438="","",IF($S438="S",IF(INDEX(Firms!$T$5:$T$1004,$T438)="","",INDEX(Firms!$T$5:$T$1004,$T438)),IF(INDEX('AFA Rates'!$M$5:$M$1004,$T438)="","",INDEX('AFA Rates'!$M$5:$M$1004,$T438))))</f>
        <v/>
      </c>
      <c r="S438">
        <f>IF(434&lt;=$S$2,"S",IF(434&lt;=$S$2+$T$2,"A",""))</f>
        <v/>
      </c>
      <c r="T438">
        <f>IF(S438="S",MATCH(434,Firms!$W$5:$W$1004,0),IF(S438="A",IFERROR(MATCH(434-$S$2,'AFA Rates'!$R$5:$R$1004,0),""),""))</f>
        <v/>
      </c>
      <c r="U438">
        <f>IF(S438="S",T438,IF(AND(S438="A",T438&lt;&gt;""),IFERROR(MATCH(INDEX('AFA Rates'!$A$5:$A$1004,T438),Firms!$A$5:$A$1004,0),""),""))</f>
        <v/>
      </c>
    </row>
    <row r="439">
      <c r="A439" s="78">
        <f>IF($T439="","",IF($S439="S",IF(INDEX(Firms!$A$5:$A$1004,$T439)="","",INDEX(Firms!$A$5:$A$1004,$T439)),IF(INDEX('AFA Rates'!$A$5:$A$1004,$T439)="","",INDEX('AFA Rates'!$A$5:$A$1004,$T439))))</f>
        <v/>
      </c>
      <c r="B439" s="79">
        <f>IF(OR($T439="",$U439=""),IF($T439="","","Not on Firms tab"),INDEX(Firms!$B$5:$B$1004,$U439)&amp;"")</f>
        <v/>
      </c>
      <c r="C439" s="78">
        <f>IF($T439="","",IF($S439="S","Standard",INDEX('AFA Rates'!$B$5:$B$1004,$T439)&amp;""))</f>
        <v/>
      </c>
      <c r="D439" s="88">
        <f>IF($T439="","",IF($S439="S",IF(INDEX(Firms!$E$5:$E$1004,$T439)="","",INDEX(Firms!$E$5:$E$1004,$T439)),IF(INDEX('AFA Rates'!$C$5:$C$1004,$T439)="","",INDEX('AFA Rates'!$C$5:$C$1004,$T439))))</f>
        <v/>
      </c>
      <c r="E439" s="88">
        <f>IF($T439="","",IF($S439="S",IF(""="","",""),IF(INDEX('AFA Rates'!$D$5:$D$1004,$T439)="","",INDEX('AFA Rates'!$D$5:$D$1004,$T439))))</f>
        <v/>
      </c>
      <c r="F439" s="79">
        <f>IF($T439="","",IF($S439="S",IF(INDEX(Firms!$O$5:$O$1004,$T439)="","",INDEX(Firms!$O$5:$O$1004,$T439)),IF(INDEX('AFA Rates'!$O$5:$O$1004,$T439)="","",INDEX('AFA Rates'!$O$5:$O$1004,$T439))))</f>
        <v/>
      </c>
      <c r="G439" s="50">
        <f>IF($T439="","",IF($S439="S",IF(INDEX(Firms!$F$5:$F$1004,$T439)="","",INDEX(Firms!$F$5:$F$1004,$T439)),IF(INDEX('AFA Rates'!$E$5:$E$1004,$T439)="","",INDEX('AFA Rates'!$E$5:$E$1004,$T439))))</f>
        <v/>
      </c>
      <c r="H439" s="50">
        <f>IF($T439="","",IF($S439="S",IF(INDEX(Firms!$G$5:$G$1004,$T439)="","",INDEX(Firms!$G$5:$G$1004,$T439)),IF(INDEX('AFA Rates'!$F$5:$F$1004,$T439)="","",INDEX('AFA Rates'!$F$5:$F$1004,$T439))))</f>
        <v/>
      </c>
      <c r="I439" s="50">
        <f>IF($T439="","",IF($S439="S",IF(INDEX(Firms!$H$5:$H$1004,$T439)="","",INDEX(Firms!$H$5:$H$1004,$T439)),IF(INDEX('AFA Rates'!$G$5:$G$1004,$T439)="","",INDEX('AFA Rates'!$G$5:$G$1004,$T439))))</f>
        <v/>
      </c>
      <c r="J439" s="50">
        <f>IF($T439="","",IF($S439="S",IF(INDEX(Firms!$I$5:$I$1004,$T439)="","",INDEX(Firms!$I$5:$I$1004,$T439)),IF(INDEX('AFA Rates'!$H$5:$H$1004,$T439)="","",INDEX('AFA Rates'!$H$5:$H$1004,$T439))))</f>
        <v/>
      </c>
      <c r="K439" s="50">
        <f>IF($T439="","",IF($S439="S",IF(INDEX(Firms!$J$5:$J$1004,$T439)="","",INDEX(Firms!$J$5:$J$1004,$T439)),IF(INDEX('AFA Rates'!$I$5:$I$1004,$T439)="","",INDEX('AFA Rates'!$I$5:$I$1004,$T439))))</f>
        <v/>
      </c>
      <c r="L439" s="50">
        <f>IF($T439="","",IF($S439="S",IF(INDEX(Firms!$K$5:$K$1004,$T439)="","",INDEX(Firms!$K$5:$K$1004,$T439)),IF(INDEX('AFA Rates'!$J$5:$J$1004,$T439)="","",INDEX('AFA Rates'!$J$5:$J$1004,$T439))))</f>
        <v/>
      </c>
      <c r="M439" s="50">
        <f>IF($T439="","",IF($S439="S",IF(INDEX(Firms!$L$5:$L$1004,$T439)="","",INDEX(Firms!$L$5:$L$1004,$T439)),IF(INDEX('AFA Rates'!$K$5:$K$1004,$T439)="","",INDEX('AFA Rates'!$K$5:$K$1004,$T439))))</f>
        <v/>
      </c>
      <c r="N439" s="50">
        <f>IF($T439="","",IF($S439="S",IF(INDEX(Firms!$M$5:$M$1004,$T439)="","",INDEX(Firms!$M$5:$M$1004,$T439)),IF(INDEX('AFA Rates'!$L$5:$L$1004,$T439)="","",INDEX('AFA Rates'!$L$5:$L$1004,$T439))))</f>
        <v/>
      </c>
      <c r="O439" s="78">
        <f>IF(OR($T439="",$U439=""),"",IF(INDEX(Firms!$C$5:$C$1004,$U439)="","",INDEX(Firms!$C$5:$C$1004,$U439)))</f>
        <v/>
      </c>
      <c r="P439" s="79">
        <f>IF(OR($T439="",$U439=""),"",IF(INDEX(Firms!$N$5:$N$1004,$U439)="","",INDEX(Firms!$N$5:$N$1004,$U439)))</f>
        <v/>
      </c>
      <c r="Q439" s="78">
        <f>IF($T439="","",IF($S439="S",IF(INDEX(Firms!$T$5:$T$1004,$T439)="","",INDEX(Firms!$T$5:$T$1004,$T439)),IF(INDEX('AFA Rates'!$M$5:$M$1004,$T439)="","",INDEX('AFA Rates'!$M$5:$M$1004,$T439))))</f>
        <v/>
      </c>
      <c r="S439">
        <f>IF(435&lt;=$S$2,"S",IF(435&lt;=$S$2+$T$2,"A",""))</f>
        <v/>
      </c>
      <c r="T439">
        <f>IF(S439="S",MATCH(435,Firms!$W$5:$W$1004,0),IF(S439="A",IFERROR(MATCH(435-$S$2,'AFA Rates'!$R$5:$R$1004,0),""),""))</f>
        <v/>
      </c>
      <c r="U439">
        <f>IF(S439="S",T439,IF(AND(S439="A",T439&lt;&gt;""),IFERROR(MATCH(INDEX('AFA Rates'!$A$5:$A$1004,T439),Firms!$A$5:$A$1004,0),""),""))</f>
        <v/>
      </c>
    </row>
    <row r="440">
      <c r="A440" s="78">
        <f>IF($T440="","",IF($S440="S",IF(INDEX(Firms!$A$5:$A$1004,$T440)="","",INDEX(Firms!$A$5:$A$1004,$T440)),IF(INDEX('AFA Rates'!$A$5:$A$1004,$T440)="","",INDEX('AFA Rates'!$A$5:$A$1004,$T440))))</f>
        <v/>
      </c>
      <c r="B440" s="79">
        <f>IF(OR($T440="",$U440=""),IF($T440="","","Not on Firms tab"),INDEX(Firms!$B$5:$B$1004,$U440)&amp;"")</f>
        <v/>
      </c>
      <c r="C440" s="78">
        <f>IF($T440="","",IF($S440="S","Standard",INDEX('AFA Rates'!$B$5:$B$1004,$T440)&amp;""))</f>
        <v/>
      </c>
      <c r="D440" s="88">
        <f>IF($T440="","",IF($S440="S",IF(INDEX(Firms!$E$5:$E$1004,$T440)="","",INDEX(Firms!$E$5:$E$1004,$T440)),IF(INDEX('AFA Rates'!$C$5:$C$1004,$T440)="","",INDEX('AFA Rates'!$C$5:$C$1004,$T440))))</f>
        <v/>
      </c>
      <c r="E440" s="88">
        <f>IF($T440="","",IF($S440="S",IF(""="","",""),IF(INDEX('AFA Rates'!$D$5:$D$1004,$T440)="","",INDEX('AFA Rates'!$D$5:$D$1004,$T440))))</f>
        <v/>
      </c>
      <c r="F440" s="79">
        <f>IF($T440="","",IF($S440="S",IF(INDEX(Firms!$O$5:$O$1004,$T440)="","",INDEX(Firms!$O$5:$O$1004,$T440)),IF(INDEX('AFA Rates'!$O$5:$O$1004,$T440)="","",INDEX('AFA Rates'!$O$5:$O$1004,$T440))))</f>
        <v/>
      </c>
      <c r="G440" s="50">
        <f>IF($T440="","",IF($S440="S",IF(INDEX(Firms!$F$5:$F$1004,$T440)="","",INDEX(Firms!$F$5:$F$1004,$T440)),IF(INDEX('AFA Rates'!$E$5:$E$1004,$T440)="","",INDEX('AFA Rates'!$E$5:$E$1004,$T440))))</f>
        <v/>
      </c>
      <c r="H440" s="50">
        <f>IF($T440="","",IF($S440="S",IF(INDEX(Firms!$G$5:$G$1004,$T440)="","",INDEX(Firms!$G$5:$G$1004,$T440)),IF(INDEX('AFA Rates'!$F$5:$F$1004,$T440)="","",INDEX('AFA Rates'!$F$5:$F$1004,$T440))))</f>
        <v/>
      </c>
      <c r="I440" s="50">
        <f>IF($T440="","",IF($S440="S",IF(INDEX(Firms!$H$5:$H$1004,$T440)="","",INDEX(Firms!$H$5:$H$1004,$T440)),IF(INDEX('AFA Rates'!$G$5:$G$1004,$T440)="","",INDEX('AFA Rates'!$G$5:$G$1004,$T440))))</f>
        <v/>
      </c>
      <c r="J440" s="50">
        <f>IF($T440="","",IF($S440="S",IF(INDEX(Firms!$I$5:$I$1004,$T440)="","",INDEX(Firms!$I$5:$I$1004,$T440)),IF(INDEX('AFA Rates'!$H$5:$H$1004,$T440)="","",INDEX('AFA Rates'!$H$5:$H$1004,$T440))))</f>
        <v/>
      </c>
      <c r="K440" s="50">
        <f>IF($T440="","",IF($S440="S",IF(INDEX(Firms!$J$5:$J$1004,$T440)="","",INDEX(Firms!$J$5:$J$1004,$T440)),IF(INDEX('AFA Rates'!$I$5:$I$1004,$T440)="","",INDEX('AFA Rates'!$I$5:$I$1004,$T440))))</f>
        <v/>
      </c>
      <c r="L440" s="50">
        <f>IF($T440="","",IF($S440="S",IF(INDEX(Firms!$K$5:$K$1004,$T440)="","",INDEX(Firms!$K$5:$K$1004,$T440)),IF(INDEX('AFA Rates'!$J$5:$J$1004,$T440)="","",INDEX('AFA Rates'!$J$5:$J$1004,$T440))))</f>
        <v/>
      </c>
      <c r="M440" s="50">
        <f>IF($T440="","",IF($S440="S",IF(INDEX(Firms!$L$5:$L$1004,$T440)="","",INDEX(Firms!$L$5:$L$1004,$T440)),IF(INDEX('AFA Rates'!$K$5:$K$1004,$T440)="","",INDEX('AFA Rates'!$K$5:$K$1004,$T440))))</f>
        <v/>
      </c>
      <c r="N440" s="50">
        <f>IF($T440="","",IF($S440="S",IF(INDEX(Firms!$M$5:$M$1004,$T440)="","",INDEX(Firms!$M$5:$M$1004,$T440)),IF(INDEX('AFA Rates'!$L$5:$L$1004,$T440)="","",INDEX('AFA Rates'!$L$5:$L$1004,$T440))))</f>
        <v/>
      </c>
      <c r="O440" s="78">
        <f>IF(OR($T440="",$U440=""),"",IF(INDEX(Firms!$C$5:$C$1004,$U440)="","",INDEX(Firms!$C$5:$C$1004,$U440)))</f>
        <v/>
      </c>
      <c r="P440" s="79">
        <f>IF(OR($T440="",$U440=""),"",IF(INDEX(Firms!$N$5:$N$1004,$U440)="","",INDEX(Firms!$N$5:$N$1004,$U440)))</f>
        <v/>
      </c>
      <c r="Q440" s="78">
        <f>IF($T440="","",IF($S440="S",IF(INDEX(Firms!$T$5:$T$1004,$T440)="","",INDEX(Firms!$T$5:$T$1004,$T440)),IF(INDEX('AFA Rates'!$M$5:$M$1004,$T440)="","",INDEX('AFA Rates'!$M$5:$M$1004,$T440))))</f>
        <v/>
      </c>
      <c r="S440">
        <f>IF(436&lt;=$S$2,"S",IF(436&lt;=$S$2+$T$2,"A",""))</f>
        <v/>
      </c>
      <c r="T440">
        <f>IF(S440="S",MATCH(436,Firms!$W$5:$W$1004,0),IF(S440="A",IFERROR(MATCH(436-$S$2,'AFA Rates'!$R$5:$R$1004,0),""),""))</f>
        <v/>
      </c>
      <c r="U440">
        <f>IF(S440="S",T440,IF(AND(S440="A",T440&lt;&gt;""),IFERROR(MATCH(INDEX('AFA Rates'!$A$5:$A$1004,T440),Firms!$A$5:$A$1004,0),""),""))</f>
        <v/>
      </c>
    </row>
    <row r="441">
      <c r="A441" s="78">
        <f>IF($T441="","",IF($S441="S",IF(INDEX(Firms!$A$5:$A$1004,$T441)="","",INDEX(Firms!$A$5:$A$1004,$T441)),IF(INDEX('AFA Rates'!$A$5:$A$1004,$T441)="","",INDEX('AFA Rates'!$A$5:$A$1004,$T441))))</f>
        <v/>
      </c>
      <c r="B441" s="79">
        <f>IF(OR($T441="",$U441=""),IF($T441="","","Not on Firms tab"),INDEX(Firms!$B$5:$B$1004,$U441)&amp;"")</f>
        <v/>
      </c>
      <c r="C441" s="78">
        <f>IF($T441="","",IF($S441="S","Standard",INDEX('AFA Rates'!$B$5:$B$1004,$T441)&amp;""))</f>
        <v/>
      </c>
      <c r="D441" s="88">
        <f>IF($T441="","",IF($S441="S",IF(INDEX(Firms!$E$5:$E$1004,$T441)="","",INDEX(Firms!$E$5:$E$1004,$T441)),IF(INDEX('AFA Rates'!$C$5:$C$1004,$T441)="","",INDEX('AFA Rates'!$C$5:$C$1004,$T441))))</f>
        <v/>
      </c>
      <c r="E441" s="88">
        <f>IF($T441="","",IF($S441="S",IF(""="","",""),IF(INDEX('AFA Rates'!$D$5:$D$1004,$T441)="","",INDEX('AFA Rates'!$D$5:$D$1004,$T441))))</f>
        <v/>
      </c>
      <c r="F441" s="79">
        <f>IF($T441="","",IF($S441="S",IF(INDEX(Firms!$O$5:$O$1004,$T441)="","",INDEX(Firms!$O$5:$O$1004,$T441)),IF(INDEX('AFA Rates'!$O$5:$O$1004,$T441)="","",INDEX('AFA Rates'!$O$5:$O$1004,$T441))))</f>
        <v/>
      </c>
      <c r="G441" s="50">
        <f>IF($T441="","",IF($S441="S",IF(INDEX(Firms!$F$5:$F$1004,$T441)="","",INDEX(Firms!$F$5:$F$1004,$T441)),IF(INDEX('AFA Rates'!$E$5:$E$1004,$T441)="","",INDEX('AFA Rates'!$E$5:$E$1004,$T441))))</f>
        <v/>
      </c>
      <c r="H441" s="50">
        <f>IF($T441="","",IF($S441="S",IF(INDEX(Firms!$G$5:$G$1004,$T441)="","",INDEX(Firms!$G$5:$G$1004,$T441)),IF(INDEX('AFA Rates'!$F$5:$F$1004,$T441)="","",INDEX('AFA Rates'!$F$5:$F$1004,$T441))))</f>
        <v/>
      </c>
      <c r="I441" s="50">
        <f>IF($T441="","",IF($S441="S",IF(INDEX(Firms!$H$5:$H$1004,$T441)="","",INDEX(Firms!$H$5:$H$1004,$T441)),IF(INDEX('AFA Rates'!$G$5:$G$1004,$T441)="","",INDEX('AFA Rates'!$G$5:$G$1004,$T441))))</f>
        <v/>
      </c>
      <c r="J441" s="50">
        <f>IF($T441="","",IF($S441="S",IF(INDEX(Firms!$I$5:$I$1004,$T441)="","",INDEX(Firms!$I$5:$I$1004,$T441)),IF(INDEX('AFA Rates'!$H$5:$H$1004,$T441)="","",INDEX('AFA Rates'!$H$5:$H$1004,$T441))))</f>
        <v/>
      </c>
      <c r="K441" s="50">
        <f>IF($T441="","",IF($S441="S",IF(INDEX(Firms!$J$5:$J$1004,$T441)="","",INDEX(Firms!$J$5:$J$1004,$T441)),IF(INDEX('AFA Rates'!$I$5:$I$1004,$T441)="","",INDEX('AFA Rates'!$I$5:$I$1004,$T441))))</f>
        <v/>
      </c>
      <c r="L441" s="50">
        <f>IF($T441="","",IF($S441="S",IF(INDEX(Firms!$K$5:$K$1004,$T441)="","",INDEX(Firms!$K$5:$K$1004,$T441)),IF(INDEX('AFA Rates'!$J$5:$J$1004,$T441)="","",INDEX('AFA Rates'!$J$5:$J$1004,$T441))))</f>
        <v/>
      </c>
      <c r="M441" s="50">
        <f>IF($T441="","",IF($S441="S",IF(INDEX(Firms!$L$5:$L$1004,$T441)="","",INDEX(Firms!$L$5:$L$1004,$T441)),IF(INDEX('AFA Rates'!$K$5:$K$1004,$T441)="","",INDEX('AFA Rates'!$K$5:$K$1004,$T441))))</f>
        <v/>
      </c>
      <c r="N441" s="50">
        <f>IF($T441="","",IF($S441="S",IF(INDEX(Firms!$M$5:$M$1004,$T441)="","",INDEX(Firms!$M$5:$M$1004,$T441)),IF(INDEX('AFA Rates'!$L$5:$L$1004,$T441)="","",INDEX('AFA Rates'!$L$5:$L$1004,$T441))))</f>
        <v/>
      </c>
      <c r="O441" s="78">
        <f>IF(OR($T441="",$U441=""),"",IF(INDEX(Firms!$C$5:$C$1004,$U441)="","",INDEX(Firms!$C$5:$C$1004,$U441)))</f>
        <v/>
      </c>
      <c r="P441" s="79">
        <f>IF(OR($T441="",$U441=""),"",IF(INDEX(Firms!$N$5:$N$1004,$U441)="","",INDEX(Firms!$N$5:$N$1004,$U441)))</f>
        <v/>
      </c>
      <c r="Q441" s="78">
        <f>IF($T441="","",IF($S441="S",IF(INDEX(Firms!$T$5:$T$1004,$T441)="","",INDEX(Firms!$T$5:$T$1004,$T441)),IF(INDEX('AFA Rates'!$M$5:$M$1004,$T441)="","",INDEX('AFA Rates'!$M$5:$M$1004,$T441))))</f>
        <v/>
      </c>
      <c r="S441">
        <f>IF(437&lt;=$S$2,"S",IF(437&lt;=$S$2+$T$2,"A",""))</f>
        <v/>
      </c>
      <c r="T441">
        <f>IF(S441="S",MATCH(437,Firms!$W$5:$W$1004,0),IF(S441="A",IFERROR(MATCH(437-$S$2,'AFA Rates'!$R$5:$R$1004,0),""),""))</f>
        <v/>
      </c>
      <c r="U441">
        <f>IF(S441="S",T441,IF(AND(S441="A",T441&lt;&gt;""),IFERROR(MATCH(INDEX('AFA Rates'!$A$5:$A$1004,T441),Firms!$A$5:$A$1004,0),""),""))</f>
        <v/>
      </c>
    </row>
    <row r="442">
      <c r="A442" s="78">
        <f>IF($T442="","",IF($S442="S",IF(INDEX(Firms!$A$5:$A$1004,$T442)="","",INDEX(Firms!$A$5:$A$1004,$T442)),IF(INDEX('AFA Rates'!$A$5:$A$1004,$T442)="","",INDEX('AFA Rates'!$A$5:$A$1004,$T442))))</f>
        <v/>
      </c>
      <c r="B442" s="79">
        <f>IF(OR($T442="",$U442=""),IF($T442="","","Not on Firms tab"),INDEX(Firms!$B$5:$B$1004,$U442)&amp;"")</f>
        <v/>
      </c>
      <c r="C442" s="78">
        <f>IF($T442="","",IF($S442="S","Standard",INDEX('AFA Rates'!$B$5:$B$1004,$T442)&amp;""))</f>
        <v/>
      </c>
      <c r="D442" s="88">
        <f>IF($T442="","",IF($S442="S",IF(INDEX(Firms!$E$5:$E$1004,$T442)="","",INDEX(Firms!$E$5:$E$1004,$T442)),IF(INDEX('AFA Rates'!$C$5:$C$1004,$T442)="","",INDEX('AFA Rates'!$C$5:$C$1004,$T442))))</f>
        <v/>
      </c>
      <c r="E442" s="88">
        <f>IF($T442="","",IF($S442="S",IF(""="","",""),IF(INDEX('AFA Rates'!$D$5:$D$1004,$T442)="","",INDEX('AFA Rates'!$D$5:$D$1004,$T442))))</f>
        <v/>
      </c>
      <c r="F442" s="79">
        <f>IF($T442="","",IF($S442="S",IF(INDEX(Firms!$O$5:$O$1004,$T442)="","",INDEX(Firms!$O$5:$O$1004,$T442)),IF(INDEX('AFA Rates'!$O$5:$O$1004,$T442)="","",INDEX('AFA Rates'!$O$5:$O$1004,$T442))))</f>
        <v/>
      </c>
      <c r="G442" s="50">
        <f>IF($T442="","",IF($S442="S",IF(INDEX(Firms!$F$5:$F$1004,$T442)="","",INDEX(Firms!$F$5:$F$1004,$T442)),IF(INDEX('AFA Rates'!$E$5:$E$1004,$T442)="","",INDEX('AFA Rates'!$E$5:$E$1004,$T442))))</f>
        <v/>
      </c>
      <c r="H442" s="50">
        <f>IF($T442="","",IF($S442="S",IF(INDEX(Firms!$G$5:$G$1004,$T442)="","",INDEX(Firms!$G$5:$G$1004,$T442)),IF(INDEX('AFA Rates'!$F$5:$F$1004,$T442)="","",INDEX('AFA Rates'!$F$5:$F$1004,$T442))))</f>
        <v/>
      </c>
      <c r="I442" s="50">
        <f>IF($T442="","",IF($S442="S",IF(INDEX(Firms!$H$5:$H$1004,$T442)="","",INDEX(Firms!$H$5:$H$1004,$T442)),IF(INDEX('AFA Rates'!$G$5:$G$1004,$T442)="","",INDEX('AFA Rates'!$G$5:$G$1004,$T442))))</f>
        <v/>
      </c>
      <c r="J442" s="50">
        <f>IF($T442="","",IF($S442="S",IF(INDEX(Firms!$I$5:$I$1004,$T442)="","",INDEX(Firms!$I$5:$I$1004,$T442)),IF(INDEX('AFA Rates'!$H$5:$H$1004,$T442)="","",INDEX('AFA Rates'!$H$5:$H$1004,$T442))))</f>
        <v/>
      </c>
      <c r="K442" s="50">
        <f>IF($T442="","",IF($S442="S",IF(INDEX(Firms!$J$5:$J$1004,$T442)="","",INDEX(Firms!$J$5:$J$1004,$T442)),IF(INDEX('AFA Rates'!$I$5:$I$1004,$T442)="","",INDEX('AFA Rates'!$I$5:$I$1004,$T442))))</f>
        <v/>
      </c>
      <c r="L442" s="50">
        <f>IF($T442="","",IF($S442="S",IF(INDEX(Firms!$K$5:$K$1004,$T442)="","",INDEX(Firms!$K$5:$K$1004,$T442)),IF(INDEX('AFA Rates'!$J$5:$J$1004,$T442)="","",INDEX('AFA Rates'!$J$5:$J$1004,$T442))))</f>
        <v/>
      </c>
      <c r="M442" s="50">
        <f>IF($T442="","",IF($S442="S",IF(INDEX(Firms!$L$5:$L$1004,$T442)="","",INDEX(Firms!$L$5:$L$1004,$T442)),IF(INDEX('AFA Rates'!$K$5:$K$1004,$T442)="","",INDEX('AFA Rates'!$K$5:$K$1004,$T442))))</f>
        <v/>
      </c>
      <c r="N442" s="50">
        <f>IF($T442="","",IF($S442="S",IF(INDEX(Firms!$M$5:$M$1004,$T442)="","",INDEX(Firms!$M$5:$M$1004,$T442)),IF(INDEX('AFA Rates'!$L$5:$L$1004,$T442)="","",INDEX('AFA Rates'!$L$5:$L$1004,$T442))))</f>
        <v/>
      </c>
      <c r="O442" s="78">
        <f>IF(OR($T442="",$U442=""),"",IF(INDEX(Firms!$C$5:$C$1004,$U442)="","",INDEX(Firms!$C$5:$C$1004,$U442)))</f>
        <v/>
      </c>
      <c r="P442" s="79">
        <f>IF(OR($T442="",$U442=""),"",IF(INDEX(Firms!$N$5:$N$1004,$U442)="","",INDEX(Firms!$N$5:$N$1004,$U442)))</f>
        <v/>
      </c>
      <c r="Q442" s="78">
        <f>IF($T442="","",IF($S442="S",IF(INDEX(Firms!$T$5:$T$1004,$T442)="","",INDEX(Firms!$T$5:$T$1004,$T442)),IF(INDEX('AFA Rates'!$M$5:$M$1004,$T442)="","",INDEX('AFA Rates'!$M$5:$M$1004,$T442))))</f>
        <v/>
      </c>
      <c r="S442">
        <f>IF(438&lt;=$S$2,"S",IF(438&lt;=$S$2+$T$2,"A",""))</f>
        <v/>
      </c>
      <c r="T442">
        <f>IF(S442="S",MATCH(438,Firms!$W$5:$W$1004,0),IF(S442="A",IFERROR(MATCH(438-$S$2,'AFA Rates'!$R$5:$R$1004,0),""),""))</f>
        <v/>
      </c>
      <c r="U442">
        <f>IF(S442="S",T442,IF(AND(S442="A",T442&lt;&gt;""),IFERROR(MATCH(INDEX('AFA Rates'!$A$5:$A$1004,T442),Firms!$A$5:$A$1004,0),""),""))</f>
        <v/>
      </c>
    </row>
    <row r="443">
      <c r="A443" s="78">
        <f>IF($T443="","",IF($S443="S",IF(INDEX(Firms!$A$5:$A$1004,$T443)="","",INDEX(Firms!$A$5:$A$1004,$T443)),IF(INDEX('AFA Rates'!$A$5:$A$1004,$T443)="","",INDEX('AFA Rates'!$A$5:$A$1004,$T443))))</f>
        <v/>
      </c>
      <c r="B443" s="79">
        <f>IF(OR($T443="",$U443=""),IF($T443="","","Not on Firms tab"),INDEX(Firms!$B$5:$B$1004,$U443)&amp;"")</f>
        <v/>
      </c>
      <c r="C443" s="78">
        <f>IF($T443="","",IF($S443="S","Standard",INDEX('AFA Rates'!$B$5:$B$1004,$T443)&amp;""))</f>
        <v/>
      </c>
      <c r="D443" s="88">
        <f>IF($T443="","",IF($S443="S",IF(INDEX(Firms!$E$5:$E$1004,$T443)="","",INDEX(Firms!$E$5:$E$1004,$T443)),IF(INDEX('AFA Rates'!$C$5:$C$1004,$T443)="","",INDEX('AFA Rates'!$C$5:$C$1004,$T443))))</f>
        <v/>
      </c>
      <c r="E443" s="88">
        <f>IF($T443="","",IF($S443="S",IF(""="","",""),IF(INDEX('AFA Rates'!$D$5:$D$1004,$T443)="","",INDEX('AFA Rates'!$D$5:$D$1004,$T443))))</f>
        <v/>
      </c>
      <c r="F443" s="79">
        <f>IF($T443="","",IF($S443="S",IF(INDEX(Firms!$O$5:$O$1004,$T443)="","",INDEX(Firms!$O$5:$O$1004,$T443)),IF(INDEX('AFA Rates'!$O$5:$O$1004,$T443)="","",INDEX('AFA Rates'!$O$5:$O$1004,$T443))))</f>
        <v/>
      </c>
      <c r="G443" s="50">
        <f>IF($T443="","",IF($S443="S",IF(INDEX(Firms!$F$5:$F$1004,$T443)="","",INDEX(Firms!$F$5:$F$1004,$T443)),IF(INDEX('AFA Rates'!$E$5:$E$1004,$T443)="","",INDEX('AFA Rates'!$E$5:$E$1004,$T443))))</f>
        <v/>
      </c>
      <c r="H443" s="50">
        <f>IF($T443="","",IF($S443="S",IF(INDEX(Firms!$G$5:$G$1004,$T443)="","",INDEX(Firms!$G$5:$G$1004,$T443)),IF(INDEX('AFA Rates'!$F$5:$F$1004,$T443)="","",INDEX('AFA Rates'!$F$5:$F$1004,$T443))))</f>
        <v/>
      </c>
      <c r="I443" s="50">
        <f>IF($T443="","",IF($S443="S",IF(INDEX(Firms!$H$5:$H$1004,$T443)="","",INDEX(Firms!$H$5:$H$1004,$T443)),IF(INDEX('AFA Rates'!$G$5:$G$1004,$T443)="","",INDEX('AFA Rates'!$G$5:$G$1004,$T443))))</f>
        <v/>
      </c>
      <c r="J443" s="50">
        <f>IF($T443="","",IF($S443="S",IF(INDEX(Firms!$I$5:$I$1004,$T443)="","",INDEX(Firms!$I$5:$I$1004,$T443)),IF(INDEX('AFA Rates'!$H$5:$H$1004,$T443)="","",INDEX('AFA Rates'!$H$5:$H$1004,$T443))))</f>
        <v/>
      </c>
      <c r="K443" s="50">
        <f>IF($T443="","",IF($S443="S",IF(INDEX(Firms!$J$5:$J$1004,$T443)="","",INDEX(Firms!$J$5:$J$1004,$T443)),IF(INDEX('AFA Rates'!$I$5:$I$1004,$T443)="","",INDEX('AFA Rates'!$I$5:$I$1004,$T443))))</f>
        <v/>
      </c>
      <c r="L443" s="50">
        <f>IF($T443="","",IF($S443="S",IF(INDEX(Firms!$K$5:$K$1004,$T443)="","",INDEX(Firms!$K$5:$K$1004,$T443)),IF(INDEX('AFA Rates'!$J$5:$J$1004,$T443)="","",INDEX('AFA Rates'!$J$5:$J$1004,$T443))))</f>
        <v/>
      </c>
      <c r="M443" s="50">
        <f>IF($T443="","",IF($S443="S",IF(INDEX(Firms!$L$5:$L$1004,$T443)="","",INDEX(Firms!$L$5:$L$1004,$T443)),IF(INDEX('AFA Rates'!$K$5:$K$1004,$T443)="","",INDEX('AFA Rates'!$K$5:$K$1004,$T443))))</f>
        <v/>
      </c>
      <c r="N443" s="50">
        <f>IF($T443="","",IF($S443="S",IF(INDEX(Firms!$M$5:$M$1004,$T443)="","",INDEX(Firms!$M$5:$M$1004,$T443)),IF(INDEX('AFA Rates'!$L$5:$L$1004,$T443)="","",INDEX('AFA Rates'!$L$5:$L$1004,$T443))))</f>
        <v/>
      </c>
      <c r="O443" s="78">
        <f>IF(OR($T443="",$U443=""),"",IF(INDEX(Firms!$C$5:$C$1004,$U443)="","",INDEX(Firms!$C$5:$C$1004,$U443)))</f>
        <v/>
      </c>
      <c r="P443" s="79">
        <f>IF(OR($T443="",$U443=""),"",IF(INDEX(Firms!$N$5:$N$1004,$U443)="","",INDEX(Firms!$N$5:$N$1004,$U443)))</f>
        <v/>
      </c>
      <c r="Q443" s="78">
        <f>IF($T443="","",IF($S443="S",IF(INDEX(Firms!$T$5:$T$1004,$T443)="","",INDEX(Firms!$T$5:$T$1004,$T443)),IF(INDEX('AFA Rates'!$M$5:$M$1004,$T443)="","",INDEX('AFA Rates'!$M$5:$M$1004,$T443))))</f>
        <v/>
      </c>
      <c r="S443">
        <f>IF(439&lt;=$S$2,"S",IF(439&lt;=$S$2+$T$2,"A",""))</f>
        <v/>
      </c>
      <c r="T443">
        <f>IF(S443="S",MATCH(439,Firms!$W$5:$W$1004,0),IF(S443="A",IFERROR(MATCH(439-$S$2,'AFA Rates'!$R$5:$R$1004,0),""),""))</f>
        <v/>
      </c>
      <c r="U443">
        <f>IF(S443="S",T443,IF(AND(S443="A",T443&lt;&gt;""),IFERROR(MATCH(INDEX('AFA Rates'!$A$5:$A$1004,T443),Firms!$A$5:$A$1004,0),""),""))</f>
        <v/>
      </c>
    </row>
    <row r="444">
      <c r="A444" s="78">
        <f>IF($T444="","",IF($S444="S",IF(INDEX(Firms!$A$5:$A$1004,$T444)="","",INDEX(Firms!$A$5:$A$1004,$T444)),IF(INDEX('AFA Rates'!$A$5:$A$1004,$T444)="","",INDEX('AFA Rates'!$A$5:$A$1004,$T444))))</f>
        <v/>
      </c>
      <c r="B444" s="79">
        <f>IF(OR($T444="",$U444=""),IF($T444="","","Not on Firms tab"),INDEX(Firms!$B$5:$B$1004,$U444)&amp;"")</f>
        <v/>
      </c>
      <c r="C444" s="78">
        <f>IF($T444="","",IF($S444="S","Standard",INDEX('AFA Rates'!$B$5:$B$1004,$T444)&amp;""))</f>
        <v/>
      </c>
      <c r="D444" s="88">
        <f>IF($T444="","",IF($S444="S",IF(INDEX(Firms!$E$5:$E$1004,$T444)="","",INDEX(Firms!$E$5:$E$1004,$T444)),IF(INDEX('AFA Rates'!$C$5:$C$1004,$T444)="","",INDEX('AFA Rates'!$C$5:$C$1004,$T444))))</f>
        <v/>
      </c>
      <c r="E444" s="88">
        <f>IF($T444="","",IF($S444="S",IF(""="","",""),IF(INDEX('AFA Rates'!$D$5:$D$1004,$T444)="","",INDEX('AFA Rates'!$D$5:$D$1004,$T444))))</f>
        <v/>
      </c>
      <c r="F444" s="79">
        <f>IF($T444="","",IF($S444="S",IF(INDEX(Firms!$O$5:$O$1004,$T444)="","",INDEX(Firms!$O$5:$O$1004,$T444)),IF(INDEX('AFA Rates'!$O$5:$O$1004,$T444)="","",INDEX('AFA Rates'!$O$5:$O$1004,$T444))))</f>
        <v/>
      </c>
      <c r="G444" s="50">
        <f>IF($T444="","",IF($S444="S",IF(INDEX(Firms!$F$5:$F$1004,$T444)="","",INDEX(Firms!$F$5:$F$1004,$T444)),IF(INDEX('AFA Rates'!$E$5:$E$1004,$T444)="","",INDEX('AFA Rates'!$E$5:$E$1004,$T444))))</f>
        <v/>
      </c>
      <c r="H444" s="50">
        <f>IF($T444="","",IF($S444="S",IF(INDEX(Firms!$G$5:$G$1004,$T444)="","",INDEX(Firms!$G$5:$G$1004,$T444)),IF(INDEX('AFA Rates'!$F$5:$F$1004,$T444)="","",INDEX('AFA Rates'!$F$5:$F$1004,$T444))))</f>
        <v/>
      </c>
      <c r="I444" s="50">
        <f>IF($T444="","",IF($S444="S",IF(INDEX(Firms!$H$5:$H$1004,$T444)="","",INDEX(Firms!$H$5:$H$1004,$T444)),IF(INDEX('AFA Rates'!$G$5:$G$1004,$T444)="","",INDEX('AFA Rates'!$G$5:$G$1004,$T444))))</f>
        <v/>
      </c>
      <c r="J444" s="50">
        <f>IF($T444="","",IF($S444="S",IF(INDEX(Firms!$I$5:$I$1004,$T444)="","",INDEX(Firms!$I$5:$I$1004,$T444)),IF(INDEX('AFA Rates'!$H$5:$H$1004,$T444)="","",INDEX('AFA Rates'!$H$5:$H$1004,$T444))))</f>
        <v/>
      </c>
      <c r="K444" s="50">
        <f>IF($T444="","",IF($S444="S",IF(INDEX(Firms!$J$5:$J$1004,$T444)="","",INDEX(Firms!$J$5:$J$1004,$T444)),IF(INDEX('AFA Rates'!$I$5:$I$1004,$T444)="","",INDEX('AFA Rates'!$I$5:$I$1004,$T444))))</f>
        <v/>
      </c>
      <c r="L444" s="50">
        <f>IF($T444="","",IF($S444="S",IF(INDEX(Firms!$K$5:$K$1004,$T444)="","",INDEX(Firms!$K$5:$K$1004,$T444)),IF(INDEX('AFA Rates'!$J$5:$J$1004,$T444)="","",INDEX('AFA Rates'!$J$5:$J$1004,$T444))))</f>
        <v/>
      </c>
      <c r="M444" s="50">
        <f>IF($T444="","",IF($S444="S",IF(INDEX(Firms!$L$5:$L$1004,$T444)="","",INDEX(Firms!$L$5:$L$1004,$T444)),IF(INDEX('AFA Rates'!$K$5:$K$1004,$T444)="","",INDEX('AFA Rates'!$K$5:$K$1004,$T444))))</f>
        <v/>
      </c>
      <c r="N444" s="50">
        <f>IF($T444="","",IF($S444="S",IF(INDEX(Firms!$M$5:$M$1004,$T444)="","",INDEX(Firms!$M$5:$M$1004,$T444)),IF(INDEX('AFA Rates'!$L$5:$L$1004,$T444)="","",INDEX('AFA Rates'!$L$5:$L$1004,$T444))))</f>
        <v/>
      </c>
      <c r="O444" s="78">
        <f>IF(OR($T444="",$U444=""),"",IF(INDEX(Firms!$C$5:$C$1004,$U444)="","",INDEX(Firms!$C$5:$C$1004,$U444)))</f>
        <v/>
      </c>
      <c r="P444" s="79">
        <f>IF(OR($T444="",$U444=""),"",IF(INDEX(Firms!$N$5:$N$1004,$U444)="","",INDEX(Firms!$N$5:$N$1004,$U444)))</f>
        <v/>
      </c>
      <c r="Q444" s="78">
        <f>IF($T444="","",IF($S444="S",IF(INDEX(Firms!$T$5:$T$1004,$T444)="","",INDEX(Firms!$T$5:$T$1004,$T444)),IF(INDEX('AFA Rates'!$M$5:$M$1004,$T444)="","",INDEX('AFA Rates'!$M$5:$M$1004,$T444))))</f>
        <v/>
      </c>
      <c r="S444">
        <f>IF(440&lt;=$S$2,"S",IF(440&lt;=$S$2+$T$2,"A",""))</f>
        <v/>
      </c>
      <c r="T444">
        <f>IF(S444="S",MATCH(440,Firms!$W$5:$W$1004,0),IF(S444="A",IFERROR(MATCH(440-$S$2,'AFA Rates'!$R$5:$R$1004,0),""),""))</f>
        <v/>
      </c>
      <c r="U444">
        <f>IF(S444="S",T444,IF(AND(S444="A",T444&lt;&gt;""),IFERROR(MATCH(INDEX('AFA Rates'!$A$5:$A$1004,T444),Firms!$A$5:$A$1004,0),""),""))</f>
        <v/>
      </c>
    </row>
    <row r="445">
      <c r="A445" s="78">
        <f>IF($T445="","",IF($S445="S",IF(INDEX(Firms!$A$5:$A$1004,$T445)="","",INDEX(Firms!$A$5:$A$1004,$T445)),IF(INDEX('AFA Rates'!$A$5:$A$1004,$T445)="","",INDEX('AFA Rates'!$A$5:$A$1004,$T445))))</f>
        <v/>
      </c>
      <c r="B445" s="79">
        <f>IF(OR($T445="",$U445=""),IF($T445="","","Not on Firms tab"),INDEX(Firms!$B$5:$B$1004,$U445)&amp;"")</f>
        <v/>
      </c>
      <c r="C445" s="78">
        <f>IF($T445="","",IF($S445="S","Standard",INDEX('AFA Rates'!$B$5:$B$1004,$T445)&amp;""))</f>
        <v/>
      </c>
      <c r="D445" s="88">
        <f>IF($T445="","",IF($S445="S",IF(INDEX(Firms!$E$5:$E$1004,$T445)="","",INDEX(Firms!$E$5:$E$1004,$T445)),IF(INDEX('AFA Rates'!$C$5:$C$1004,$T445)="","",INDEX('AFA Rates'!$C$5:$C$1004,$T445))))</f>
        <v/>
      </c>
      <c r="E445" s="88">
        <f>IF($T445="","",IF($S445="S",IF(""="","",""),IF(INDEX('AFA Rates'!$D$5:$D$1004,$T445)="","",INDEX('AFA Rates'!$D$5:$D$1004,$T445))))</f>
        <v/>
      </c>
      <c r="F445" s="79">
        <f>IF($T445="","",IF($S445="S",IF(INDEX(Firms!$O$5:$O$1004,$T445)="","",INDEX(Firms!$O$5:$O$1004,$T445)),IF(INDEX('AFA Rates'!$O$5:$O$1004,$T445)="","",INDEX('AFA Rates'!$O$5:$O$1004,$T445))))</f>
        <v/>
      </c>
      <c r="G445" s="50">
        <f>IF($T445="","",IF($S445="S",IF(INDEX(Firms!$F$5:$F$1004,$T445)="","",INDEX(Firms!$F$5:$F$1004,$T445)),IF(INDEX('AFA Rates'!$E$5:$E$1004,$T445)="","",INDEX('AFA Rates'!$E$5:$E$1004,$T445))))</f>
        <v/>
      </c>
      <c r="H445" s="50">
        <f>IF($T445="","",IF($S445="S",IF(INDEX(Firms!$G$5:$G$1004,$T445)="","",INDEX(Firms!$G$5:$G$1004,$T445)),IF(INDEX('AFA Rates'!$F$5:$F$1004,$T445)="","",INDEX('AFA Rates'!$F$5:$F$1004,$T445))))</f>
        <v/>
      </c>
      <c r="I445" s="50">
        <f>IF($T445="","",IF($S445="S",IF(INDEX(Firms!$H$5:$H$1004,$T445)="","",INDEX(Firms!$H$5:$H$1004,$T445)),IF(INDEX('AFA Rates'!$G$5:$G$1004,$T445)="","",INDEX('AFA Rates'!$G$5:$G$1004,$T445))))</f>
        <v/>
      </c>
      <c r="J445" s="50">
        <f>IF($T445="","",IF($S445="S",IF(INDEX(Firms!$I$5:$I$1004,$T445)="","",INDEX(Firms!$I$5:$I$1004,$T445)),IF(INDEX('AFA Rates'!$H$5:$H$1004,$T445)="","",INDEX('AFA Rates'!$H$5:$H$1004,$T445))))</f>
        <v/>
      </c>
      <c r="K445" s="50">
        <f>IF($T445="","",IF($S445="S",IF(INDEX(Firms!$J$5:$J$1004,$T445)="","",INDEX(Firms!$J$5:$J$1004,$T445)),IF(INDEX('AFA Rates'!$I$5:$I$1004,$T445)="","",INDEX('AFA Rates'!$I$5:$I$1004,$T445))))</f>
        <v/>
      </c>
      <c r="L445" s="50">
        <f>IF($T445="","",IF($S445="S",IF(INDEX(Firms!$K$5:$K$1004,$T445)="","",INDEX(Firms!$K$5:$K$1004,$T445)),IF(INDEX('AFA Rates'!$J$5:$J$1004,$T445)="","",INDEX('AFA Rates'!$J$5:$J$1004,$T445))))</f>
        <v/>
      </c>
      <c r="M445" s="50">
        <f>IF($T445="","",IF($S445="S",IF(INDEX(Firms!$L$5:$L$1004,$T445)="","",INDEX(Firms!$L$5:$L$1004,$T445)),IF(INDEX('AFA Rates'!$K$5:$K$1004,$T445)="","",INDEX('AFA Rates'!$K$5:$K$1004,$T445))))</f>
        <v/>
      </c>
      <c r="N445" s="50">
        <f>IF($T445="","",IF($S445="S",IF(INDEX(Firms!$M$5:$M$1004,$T445)="","",INDEX(Firms!$M$5:$M$1004,$T445)),IF(INDEX('AFA Rates'!$L$5:$L$1004,$T445)="","",INDEX('AFA Rates'!$L$5:$L$1004,$T445))))</f>
        <v/>
      </c>
      <c r="O445" s="78">
        <f>IF(OR($T445="",$U445=""),"",IF(INDEX(Firms!$C$5:$C$1004,$U445)="","",INDEX(Firms!$C$5:$C$1004,$U445)))</f>
        <v/>
      </c>
      <c r="P445" s="79">
        <f>IF(OR($T445="",$U445=""),"",IF(INDEX(Firms!$N$5:$N$1004,$U445)="","",INDEX(Firms!$N$5:$N$1004,$U445)))</f>
        <v/>
      </c>
      <c r="Q445" s="78">
        <f>IF($T445="","",IF($S445="S",IF(INDEX(Firms!$T$5:$T$1004,$T445)="","",INDEX(Firms!$T$5:$T$1004,$T445)),IF(INDEX('AFA Rates'!$M$5:$M$1004,$T445)="","",INDEX('AFA Rates'!$M$5:$M$1004,$T445))))</f>
        <v/>
      </c>
      <c r="S445">
        <f>IF(441&lt;=$S$2,"S",IF(441&lt;=$S$2+$T$2,"A",""))</f>
        <v/>
      </c>
      <c r="T445">
        <f>IF(S445="S",MATCH(441,Firms!$W$5:$W$1004,0),IF(S445="A",IFERROR(MATCH(441-$S$2,'AFA Rates'!$R$5:$R$1004,0),""),""))</f>
        <v/>
      </c>
      <c r="U445">
        <f>IF(S445="S",T445,IF(AND(S445="A",T445&lt;&gt;""),IFERROR(MATCH(INDEX('AFA Rates'!$A$5:$A$1004,T445),Firms!$A$5:$A$1004,0),""),""))</f>
        <v/>
      </c>
    </row>
    <row r="446">
      <c r="A446" s="78">
        <f>IF($T446="","",IF($S446="S",IF(INDEX(Firms!$A$5:$A$1004,$T446)="","",INDEX(Firms!$A$5:$A$1004,$T446)),IF(INDEX('AFA Rates'!$A$5:$A$1004,$T446)="","",INDEX('AFA Rates'!$A$5:$A$1004,$T446))))</f>
        <v/>
      </c>
      <c r="B446" s="79">
        <f>IF(OR($T446="",$U446=""),IF($T446="","","Not on Firms tab"),INDEX(Firms!$B$5:$B$1004,$U446)&amp;"")</f>
        <v/>
      </c>
      <c r="C446" s="78">
        <f>IF($T446="","",IF($S446="S","Standard",INDEX('AFA Rates'!$B$5:$B$1004,$T446)&amp;""))</f>
        <v/>
      </c>
      <c r="D446" s="88">
        <f>IF($T446="","",IF($S446="S",IF(INDEX(Firms!$E$5:$E$1004,$T446)="","",INDEX(Firms!$E$5:$E$1004,$T446)),IF(INDEX('AFA Rates'!$C$5:$C$1004,$T446)="","",INDEX('AFA Rates'!$C$5:$C$1004,$T446))))</f>
        <v/>
      </c>
      <c r="E446" s="88">
        <f>IF($T446="","",IF($S446="S",IF(""="","",""),IF(INDEX('AFA Rates'!$D$5:$D$1004,$T446)="","",INDEX('AFA Rates'!$D$5:$D$1004,$T446))))</f>
        <v/>
      </c>
      <c r="F446" s="79">
        <f>IF($T446="","",IF($S446="S",IF(INDEX(Firms!$O$5:$O$1004,$T446)="","",INDEX(Firms!$O$5:$O$1004,$T446)),IF(INDEX('AFA Rates'!$O$5:$O$1004,$T446)="","",INDEX('AFA Rates'!$O$5:$O$1004,$T446))))</f>
        <v/>
      </c>
      <c r="G446" s="50">
        <f>IF($T446="","",IF($S446="S",IF(INDEX(Firms!$F$5:$F$1004,$T446)="","",INDEX(Firms!$F$5:$F$1004,$T446)),IF(INDEX('AFA Rates'!$E$5:$E$1004,$T446)="","",INDEX('AFA Rates'!$E$5:$E$1004,$T446))))</f>
        <v/>
      </c>
      <c r="H446" s="50">
        <f>IF($T446="","",IF($S446="S",IF(INDEX(Firms!$G$5:$G$1004,$T446)="","",INDEX(Firms!$G$5:$G$1004,$T446)),IF(INDEX('AFA Rates'!$F$5:$F$1004,$T446)="","",INDEX('AFA Rates'!$F$5:$F$1004,$T446))))</f>
        <v/>
      </c>
      <c r="I446" s="50">
        <f>IF($T446="","",IF($S446="S",IF(INDEX(Firms!$H$5:$H$1004,$T446)="","",INDEX(Firms!$H$5:$H$1004,$T446)),IF(INDEX('AFA Rates'!$G$5:$G$1004,$T446)="","",INDEX('AFA Rates'!$G$5:$G$1004,$T446))))</f>
        <v/>
      </c>
      <c r="J446" s="50">
        <f>IF($T446="","",IF($S446="S",IF(INDEX(Firms!$I$5:$I$1004,$T446)="","",INDEX(Firms!$I$5:$I$1004,$T446)),IF(INDEX('AFA Rates'!$H$5:$H$1004,$T446)="","",INDEX('AFA Rates'!$H$5:$H$1004,$T446))))</f>
        <v/>
      </c>
      <c r="K446" s="50">
        <f>IF($T446="","",IF($S446="S",IF(INDEX(Firms!$J$5:$J$1004,$T446)="","",INDEX(Firms!$J$5:$J$1004,$T446)),IF(INDEX('AFA Rates'!$I$5:$I$1004,$T446)="","",INDEX('AFA Rates'!$I$5:$I$1004,$T446))))</f>
        <v/>
      </c>
      <c r="L446" s="50">
        <f>IF($T446="","",IF($S446="S",IF(INDEX(Firms!$K$5:$K$1004,$T446)="","",INDEX(Firms!$K$5:$K$1004,$T446)),IF(INDEX('AFA Rates'!$J$5:$J$1004,$T446)="","",INDEX('AFA Rates'!$J$5:$J$1004,$T446))))</f>
        <v/>
      </c>
      <c r="M446" s="50">
        <f>IF($T446="","",IF($S446="S",IF(INDEX(Firms!$L$5:$L$1004,$T446)="","",INDEX(Firms!$L$5:$L$1004,$T446)),IF(INDEX('AFA Rates'!$K$5:$K$1004,$T446)="","",INDEX('AFA Rates'!$K$5:$K$1004,$T446))))</f>
        <v/>
      </c>
      <c r="N446" s="50">
        <f>IF($T446="","",IF($S446="S",IF(INDEX(Firms!$M$5:$M$1004,$T446)="","",INDEX(Firms!$M$5:$M$1004,$T446)),IF(INDEX('AFA Rates'!$L$5:$L$1004,$T446)="","",INDEX('AFA Rates'!$L$5:$L$1004,$T446))))</f>
        <v/>
      </c>
      <c r="O446" s="78">
        <f>IF(OR($T446="",$U446=""),"",IF(INDEX(Firms!$C$5:$C$1004,$U446)="","",INDEX(Firms!$C$5:$C$1004,$U446)))</f>
        <v/>
      </c>
      <c r="P446" s="79">
        <f>IF(OR($T446="",$U446=""),"",IF(INDEX(Firms!$N$5:$N$1004,$U446)="","",INDEX(Firms!$N$5:$N$1004,$U446)))</f>
        <v/>
      </c>
      <c r="Q446" s="78">
        <f>IF($T446="","",IF($S446="S",IF(INDEX(Firms!$T$5:$T$1004,$T446)="","",INDEX(Firms!$T$5:$T$1004,$T446)),IF(INDEX('AFA Rates'!$M$5:$M$1004,$T446)="","",INDEX('AFA Rates'!$M$5:$M$1004,$T446))))</f>
        <v/>
      </c>
      <c r="S446">
        <f>IF(442&lt;=$S$2,"S",IF(442&lt;=$S$2+$T$2,"A",""))</f>
        <v/>
      </c>
      <c r="T446">
        <f>IF(S446="S",MATCH(442,Firms!$W$5:$W$1004,0),IF(S446="A",IFERROR(MATCH(442-$S$2,'AFA Rates'!$R$5:$R$1004,0),""),""))</f>
        <v/>
      </c>
      <c r="U446">
        <f>IF(S446="S",T446,IF(AND(S446="A",T446&lt;&gt;""),IFERROR(MATCH(INDEX('AFA Rates'!$A$5:$A$1004,T446),Firms!$A$5:$A$1004,0),""),""))</f>
        <v/>
      </c>
    </row>
    <row r="447">
      <c r="A447" s="78">
        <f>IF($T447="","",IF($S447="S",IF(INDEX(Firms!$A$5:$A$1004,$T447)="","",INDEX(Firms!$A$5:$A$1004,$T447)),IF(INDEX('AFA Rates'!$A$5:$A$1004,$T447)="","",INDEX('AFA Rates'!$A$5:$A$1004,$T447))))</f>
        <v/>
      </c>
      <c r="B447" s="79">
        <f>IF(OR($T447="",$U447=""),IF($T447="","","Not on Firms tab"),INDEX(Firms!$B$5:$B$1004,$U447)&amp;"")</f>
        <v/>
      </c>
      <c r="C447" s="78">
        <f>IF($T447="","",IF($S447="S","Standard",INDEX('AFA Rates'!$B$5:$B$1004,$T447)&amp;""))</f>
        <v/>
      </c>
      <c r="D447" s="88">
        <f>IF($T447="","",IF($S447="S",IF(INDEX(Firms!$E$5:$E$1004,$T447)="","",INDEX(Firms!$E$5:$E$1004,$T447)),IF(INDEX('AFA Rates'!$C$5:$C$1004,$T447)="","",INDEX('AFA Rates'!$C$5:$C$1004,$T447))))</f>
        <v/>
      </c>
      <c r="E447" s="88">
        <f>IF($T447="","",IF($S447="S",IF(""="","",""),IF(INDEX('AFA Rates'!$D$5:$D$1004,$T447)="","",INDEX('AFA Rates'!$D$5:$D$1004,$T447))))</f>
        <v/>
      </c>
      <c r="F447" s="79">
        <f>IF($T447="","",IF($S447="S",IF(INDEX(Firms!$O$5:$O$1004,$T447)="","",INDEX(Firms!$O$5:$O$1004,$T447)),IF(INDEX('AFA Rates'!$O$5:$O$1004,$T447)="","",INDEX('AFA Rates'!$O$5:$O$1004,$T447))))</f>
        <v/>
      </c>
      <c r="G447" s="50">
        <f>IF($T447="","",IF($S447="S",IF(INDEX(Firms!$F$5:$F$1004,$T447)="","",INDEX(Firms!$F$5:$F$1004,$T447)),IF(INDEX('AFA Rates'!$E$5:$E$1004,$T447)="","",INDEX('AFA Rates'!$E$5:$E$1004,$T447))))</f>
        <v/>
      </c>
      <c r="H447" s="50">
        <f>IF($T447="","",IF($S447="S",IF(INDEX(Firms!$G$5:$G$1004,$T447)="","",INDEX(Firms!$G$5:$G$1004,$T447)),IF(INDEX('AFA Rates'!$F$5:$F$1004,$T447)="","",INDEX('AFA Rates'!$F$5:$F$1004,$T447))))</f>
        <v/>
      </c>
      <c r="I447" s="50">
        <f>IF($T447="","",IF($S447="S",IF(INDEX(Firms!$H$5:$H$1004,$T447)="","",INDEX(Firms!$H$5:$H$1004,$T447)),IF(INDEX('AFA Rates'!$G$5:$G$1004,$T447)="","",INDEX('AFA Rates'!$G$5:$G$1004,$T447))))</f>
        <v/>
      </c>
      <c r="J447" s="50">
        <f>IF($T447="","",IF($S447="S",IF(INDEX(Firms!$I$5:$I$1004,$T447)="","",INDEX(Firms!$I$5:$I$1004,$T447)),IF(INDEX('AFA Rates'!$H$5:$H$1004,$T447)="","",INDEX('AFA Rates'!$H$5:$H$1004,$T447))))</f>
        <v/>
      </c>
      <c r="K447" s="50">
        <f>IF($T447="","",IF($S447="S",IF(INDEX(Firms!$J$5:$J$1004,$T447)="","",INDEX(Firms!$J$5:$J$1004,$T447)),IF(INDEX('AFA Rates'!$I$5:$I$1004,$T447)="","",INDEX('AFA Rates'!$I$5:$I$1004,$T447))))</f>
        <v/>
      </c>
      <c r="L447" s="50">
        <f>IF($T447="","",IF($S447="S",IF(INDEX(Firms!$K$5:$K$1004,$T447)="","",INDEX(Firms!$K$5:$K$1004,$T447)),IF(INDEX('AFA Rates'!$J$5:$J$1004,$T447)="","",INDEX('AFA Rates'!$J$5:$J$1004,$T447))))</f>
        <v/>
      </c>
      <c r="M447" s="50">
        <f>IF($T447="","",IF($S447="S",IF(INDEX(Firms!$L$5:$L$1004,$T447)="","",INDEX(Firms!$L$5:$L$1004,$T447)),IF(INDEX('AFA Rates'!$K$5:$K$1004,$T447)="","",INDEX('AFA Rates'!$K$5:$K$1004,$T447))))</f>
        <v/>
      </c>
      <c r="N447" s="50">
        <f>IF($T447="","",IF($S447="S",IF(INDEX(Firms!$M$5:$M$1004,$T447)="","",INDEX(Firms!$M$5:$M$1004,$T447)),IF(INDEX('AFA Rates'!$L$5:$L$1004,$T447)="","",INDEX('AFA Rates'!$L$5:$L$1004,$T447))))</f>
        <v/>
      </c>
      <c r="O447" s="78">
        <f>IF(OR($T447="",$U447=""),"",IF(INDEX(Firms!$C$5:$C$1004,$U447)="","",INDEX(Firms!$C$5:$C$1004,$U447)))</f>
        <v/>
      </c>
      <c r="P447" s="79">
        <f>IF(OR($T447="",$U447=""),"",IF(INDEX(Firms!$N$5:$N$1004,$U447)="","",INDEX(Firms!$N$5:$N$1004,$U447)))</f>
        <v/>
      </c>
      <c r="Q447" s="78">
        <f>IF($T447="","",IF($S447="S",IF(INDEX(Firms!$T$5:$T$1004,$T447)="","",INDEX(Firms!$T$5:$T$1004,$T447)),IF(INDEX('AFA Rates'!$M$5:$M$1004,$T447)="","",INDEX('AFA Rates'!$M$5:$M$1004,$T447))))</f>
        <v/>
      </c>
      <c r="S447">
        <f>IF(443&lt;=$S$2,"S",IF(443&lt;=$S$2+$T$2,"A",""))</f>
        <v/>
      </c>
      <c r="T447">
        <f>IF(S447="S",MATCH(443,Firms!$W$5:$W$1004,0),IF(S447="A",IFERROR(MATCH(443-$S$2,'AFA Rates'!$R$5:$R$1004,0),""),""))</f>
        <v/>
      </c>
      <c r="U447">
        <f>IF(S447="S",T447,IF(AND(S447="A",T447&lt;&gt;""),IFERROR(MATCH(INDEX('AFA Rates'!$A$5:$A$1004,T447),Firms!$A$5:$A$1004,0),""),""))</f>
        <v/>
      </c>
    </row>
    <row r="448">
      <c r="A448" s="78">
        <f>IF($T448="","",IF($S448="S",IF(INDEX(Firms!$A$5:$A$1004,$T448)="","",INDEX(Firms!$A$5:$A$1004,$T448)),IF(INDEX('AFA Rates'!$A$5:$A$1004,$T448)="","",INDEX('AFA Rates'!$A$5:$A$1004,$T448))))</f>
        <v/>
      </c>
      <c r="B448" s="79">
        <f>IF(OR($T448="",$U448=""),IF($T448="","","Not on Firms tab"),INDEX(Firms!$B$5:$B$1004,$U448)&amp;"")</f>
        <v/>
      </c>
      <c r="C448" s="78">
        <f>IF($T448="","",IF($S448="S","Standard",INDEX('AFA Rates'!$B$5:$B$1004,$T448)&amp;""))</f>
        <v/>
      </c>
      <c r="D448" s="88">
        <f>IF($T448="","",IF($S448="S",IF(INDEX(Firms!$E$5:$E$1004,$T448)="","",INDEX(Firms!$E$5:$E$1004,$T448)),IF(INDEX('AFA Rates'!$C$5:$C$1004,$T448)="","",INDEX('AFA Rates'!$C$5:$C$1004,$T448))))</f>
        <v/>
      </c>
      <c r="E448" s="88">
        <f>IF($T448="","",IF($S448="S",IF(""="","",""),IF(INDEX('AFA Rates'!$D$5:$D$1004,$T448)="","",INDEX('AFA Rates'!$D$5:$D$1004,$T448))))</f>
        <v/>
      </c>
      <c r="F448" s="79">
        <f>IF($T448="","",IF($S448="S",IF(INDEX(Firms!$O$5:$O$1004,$T448)="","",INDEX(Firms!$O$5:$O$1004,$T448)),IF(INDEX('AFA Rates'!$O$5:$O$1004,$T448)="","",INDEX('AFA Rates'!$O$5:$O$1004,$T448))))</f>
        <v/>
      </c>
      <c r="G448" s="50">
        <f>IF($T448="","",IF($S448="S",IF(INDEX(Firms!$F$5:$F$1004,$T448)="","",INDEX(Firms!$F$5:$F$1004,$T448)),IF(INDEX('AFA Rates'!$E$5:$E$1004,$T448)="","",INDEX('AFA Rates'!$E$5:$E$1004,$T448))))</f>
        <v/>
      </c>
      <c r="H448" s="50">
        <f>IF($T448="","",IF($S448="S",IF(INDEX(Firms!$G$5:$G$1004,$T448)="","",INDEX(Firms!$G$5:$G$1004,$T448)),IF(INDEX('AFA Rates'!$F$5:$F$1004,$T448)="","",INDEX('AFA Rates'!$F$5:$F$1004,$T448))))</f>
        <v/>
      </c>
      <c r="I448" s="50">
        <f>IF($T448="","",IF($S448="S",IF(INDEX(Firms!$H$5:$H$1004,$T448)="","",INDEX(Firms!$H$5:$H$1004,$T448)),IF(INDEX('AFA Rates'!$G$5:$G$1004,$T448)="","",INDEX('AFA Rates'!$G$5:$G$1004,$T448))))</f>
        <v/>
      </c>
      <c r="J448" s="50">
        <f>IF($T448="","",IF($S448="S",IF(INDEX(Firms!$I$5:$I$1004,$T448)="","",INDEX(Firms!$I$5:$I$1004,$T448)),IF(INDEX('AFA Rates'!$H$5:$H$1004,$T448)="","",INDEX('AFA Rates'!$H$5:$H$1004,$T448))))</f>
        <v/>
      </c>
      <c r="K448" s="50">
        <f>IF($T448="","",IF($S448="S",IF(INDEX(Firms!$J$5:$J$1004,$T448)="","",INDEX(Firms!$J$5:$J$1004,$T448)),IF(INDEX('AFA Rates'!$I$5:$I$1004,$T448)="","",INDEX('AFA Rates'!$I$5:$I$1004,$T448))))</f>
        <v/>
      </c>
      <c r="L448" s="50">
        <f>IF($T448="","",IF($S448="S",IF(INDEX(Firms!$K$5:$K$1004,$T448)="","",INDEX(Firms!$K$5:$K$1004,$T448)),IF(INDEX('AFA Rates'!$J$5:$J$1004,$T448)="","",INDEX('AFA Rates'!$J$5:$J$1004,$T448))))</f>
        <v/>
      </c>
      <c r="M448" s="50">
        <f>IF($T448="","",IF($S448="S",IF(INDEX(Firms!$L$5:$L$1004,$T448)="","",INDEX(Firms!$L$5:$L$1004,$T448)),IF(INDEX('AFA Rates'!$K$5:$K$1004,$T448)="","",INDEX('AFA Rates'!$K$5:$K$1004,$T448))))</f>
        <v/>
      </c>
      <c r="N448" s="50">
        <f>IF($T448="","",IF($S448="S",IF(INDEX(Firms!$M$5:$M$1004,$T448)="","",INDEX(Firms!$M$5:$M$1004,$T448)),IF(INDEX('AFA Rates'!$L$5:$L$1004,$T448)="","",INDEX('AFA Rates'!$L$5:$L$1004,$T448))))</f>
        <v/>
      </c>
      <c r="O448" s="78">
        <f>IF(OR($T448="",$U448=""),"",IF(INDEX(Firms!$C$5:$C$1004,$U448)="","",INDEX(Firms!$C$5:$C$1004,$U448)))</f>
        <v/>
      </c>
      <c r="P448" s="79">
        <f>IF(OR($T448="",$U448=""),"",IF(INDEX(Firms!$N$5:$N$1004,$U448)="","",INDEX(Firms!$N$5:$N$1004,$U448)))</f>
        <v/>
      </c>
      <c r="Q448" s="78">
        <f>IF($T448="","",IF($S448="S",IF(INDEX(Firms!$T$5:$T$1004,$T448)="","",INDEX(Firms!$T$5:$T$1004,$T448)),IF(INDEX('AFA Rates'!$M$5:$M$1004,$T448)="","",INDEX('AFA Rates'!$M$5:$M$1004,$T448))))</f>
        <v/>
      </c>
      <c r="S448">
        <f>IF(444&lt;=$S$2,"S",IF(444&lt;=$S$2+$T$2,"A",""))</f>
        <v/>
      </c>
      <c r="T448">
        <f>IF(S448="S",MATCH(444,Firms!$W$5:$W$1004,0),IF(S448="A",IFERROR(MATCH(444-$S$2,'AFA Rates'!$R$5:$R$1004,0),""),""))</f>
        <v/>
      </c>
      <c r="U448">
        <f>IF(S448="S",T448,IF(AND(S448="A",T448&lt;&gt;""),IFERROR(MATCH(INDEX('AFA Rates'!$A$5:$A$1004,T448),Firms!$A$5:$A$1004,0),""),""))</f>
        <v/>
      </c>
    </row>
    <row r="449">
      <c r="A449" s="78">
        <f>IF($T449="","",IF($S449="S",IF(INDEX(Firms!$A$5:$A$1004,$T449)="","",INDEX(Firms!$A$5:$A$1004,$T449)),IF(INDEX('AFA Rates'!$A$5:$A$1004,$T449)="","",INDEX('AFA Rates'!$A$5:$A$1004,$T449))))</f>
        <v/>
      </c>
      <c r="B449" s="79">
        <f>IF(OR($T449="",$U449=""),IF($T449="","","Not on Firms tab"),INDEX(Firms!$B$5:$B$1004,$U449)&amp;"")</f>
        <v/>
      </c>
      <c r="C449" s="78">
        <f>IF($T449="","",IF($S449="S","Standard",INDEX('AFA Rates'!$B$5:$B$1004,$T449)&amp;""))</f>
        <v/>
      </c>
      <c r="D449" s="88">
        <f>IF($T449="","",IF($S449="S",IF(INDEX(Firms!$E$5:$E$1004,$T449)="","",INDEX(Firms!$E$5:$E$1004,$T449)),IF(INDEX('AFA Rates'!$C$5:$C$1004,$T449)="","",INDEX('AFA Rates'!$C$5:$C$1004,$T449))))</f>
        <v/>
      </c>
      <c r="E449" s="88">
        <f>IF($T449="","",IF($S449="S",IF(""="","",""),IF(INDEX('AFA Rates'!$D$5:$D$1004,$T449)="","",INDEX('AFA Rates'!$D$5:$D$1004,$T449))))</f>
        <v/>
      </c>
      <c r="F449" s="79">
        <f>IF($T449="","",IF($S449="S",IF(INDEX(Firms!$O$5:$O$1004,$T449)="","",INDEX(Firms!$O$5:$O$1004,$T449)),IF(INDEX('AFA Rates'!$O$5:$O$1004,$T449)="","",INDEX('AFA Rates'!$O$5:$O$1004,$T449))))</f>
        <v/>
      </c>
      <c r="G449" s="50">
        <f>IF($T449="","",IF($S449="S",IF(INDEX(Firms!$F$5:$F$1004,$T449)="","",INDEX(Firms!$F$5:$F$1004,$T449)),IF(INDEX('AFA Rates'!$E$5:$E$1004,$T449)="","",INDEX('AFA Rates'!$E$5:$E$1004,$T449))))</f>
        <v/>
      </c>
      <c r="H449" s="50">
        <f>IF($T449="","",IF($S449="S",IF(INDEX(Firms!$G$5:$G$1004,$T449)="","",INDEX(Firms!$G$5:$G$1004,$T449)),IF(INDEX('AFA Rates'!$F$5:$F$1004,$T449)="","",INDEX('AFA Rates'!$F$5:$F$1004,$T449))))</f>
        <v/>
      </c>
      <c r="I449" s="50">
        <f>IF($T449="","",IF($S449="S",IF(INDEX(Firms!$H$5:$H$1004,$T449)="","",INDEX(Firms!$H$5:$H$1004,$T449)),IF(INDEX('AFA Rates'!$G$5:$G$1004,$T449)="","",INDEX('AFA Rates'!$G$5:$G$1004,$T449))))</f>
        <v/>
      </c>
      <c r="J449" s="50">
        <f>IF($T449="","",IF($S449="S",IF(INDEX(Firms!$I$5:$I$1004,$T449)="","",INDEX(Firms!$I$5:$I$1004,$T449)),IF(INDEX('AFA Rates'!$H$5:$H$1004,$T449)="","",INDEX('AFA Rates'!$H$5:$H$1004,$T449))))</f>
        <v/>
      </c>
      <c r="K449" s="50">
        <f>IF($T449="","",IF($S449="S",IF(INDEX(Firms!$J$5:$J$1004,$T449)="","",INDEX(Firms!$J$5:$J$1004,$T449)),IF(INDEX('AFA Rates'!$I$5:$I$1004,$T449)="","",INDEX('AFA Rates'!$I$5:$I$1004,$T449))))</f>
        <v/>
      </c>
      <c r="L449" s="50">
        <f>IF($T449="","",IF($S449="S",IF(INDEX(Firms!$K$5:$K$1004,$T449)="","",INDEX(Firms!$K$5:$K$1004,$T449)),IF(INDEX('AFA Rates'!$J$5:$J$1004,$T449)="","",INDEX('AFA Rates'!$J$5:$J$1004,$T449))))</f>
        <v/>
      </c>
      <c r="M449" s="50">
        <f>IF($T449="","",IF($S449="S",IF(INDEX(Firms!$L$5:$L$1004,$T449)="","",INDEX(Firms!$L$5:$L$1004,$T449)),IF(INDEX('AFA Rates'!$K$5:$K$1004,$T449)="","",INDEX('AFA Rates'!$K$5:$K$1004,$T449))))</f>
        <v/>
      </c>
      <c r="N449" s="50">
        <f>IF($T449="","",IF($S449="S",IF(INDEX(Firms!$M$5:$M$1004,$T449)="","",INDEX(Firms!$M$5:$M$1004,$T449)),IF(INDEX('AFA Rates'!$L$5:$L$1004,$T449)="","",INDEX('AFA Rates'!$L$5:$L$1004,$T449))))</f>
        <v/>
      </c>
      <c r="O449" s="78">
        <f>IF(OR($T449="",$U449=""),"",IF(INDEX(Firms!$C$5:$C$1004,$U449)="","",INDEX(Firms!$C$5:$C$1004,$U449)))</f>
        <v/>
      </c>
      <c r="P449" s="79">
        <f>IF(OR($T449="",$U449=""),"",IF(INDEX(Firms!$N$5:$N$1004,$U449)="","",INDEX(Firms!$N$5:$N$1004,$U449)))</f>
        <v/>
      </c>
      <c r="Q449" s="78">
        <f>IF($T449="","",IF($S449="S",IF(INDEX(Firms!$T$5:$T$1004,$T449)="","",INDEX(Firms!$T$5:$T$1004,$T449)),IF(INDEX('AFA Rates'!$M$5:$M$1004,$T449)="","",INDEX('AFA Rates'!$M$5:$M$1004,$T449))))</f>
        <v/>
      </c>
      <c r="S449">
        <f>IF(445&lt;=$S$2,"S",IF(445&lt;=$S$2+$T$2,"A",""))</f>
        <v/>
      </c>
      <c r="T449">
        <f>IF(S449="S",MATCH(445,Firms!$W$5:$W$1004,0),IF(S449="A",IFERROR(MATCH(445-$S$2,'AFA Rates'!$R$5:$R$1004,0),""),""))</f>
        <v/>
      </c>
      <c r="U449">
        <f>IF(S449="S",T449,IF(AND(S449="A",T449&lt;&gt;""),IFERROR(MATCH(INDEX('AFA Rates'!$A$5:$A$1004,T449),Firms!$A$5:$A$1004,0),""),""))</f>
        <v/>
      </c>
    </row>
    <row r="450">
      <c r="A450" s="78">
        <f>IF($T450="","",IF($S450="S",IF(INDEX(Firms!$A$5:$A$1004,$T450)="","",INDEX(Firms!$A$5:$A$1004,$T450)),IF(INDEX('AFA Rates'!$A$5:$A$1004,$T450)="","",INDEX('AFA Rates'!$A$5:$A$1004,$T450))))</f>
        <v/>
      </c>
      <c r="B450" s="79">
        <f>IF(OR($T450="",$U450=""),IF($T450="","","Not on Firms tab"),INDEX(Firms!$B$5:$B$1004,$U450)&amp;"")</f>
        <v/>
      </c>
      <c r="C450" s="78">
        <f>IF($T450="","",IF($S450="S","Standard",INDEX('AFA Rates'!$B$5:$B$1004,$T450)&amp;""))</f>
        <v/>
      </c>
      <c r="D450" s="88">
        <f>IF($T450="","",IF($S450="S",IF(INDEX(Firms!$E$5:$E$1004,$T450)="","",INDEX(Firms!$E$5:$E$1004,$T450)),IF(INDEX('AFA Rates'!$C$5:$C$1004,$T450)="","",INDEX('AFA Rates'!$C$5:$C$1004,$T450))))</f>
        <v/>
      </c>
      <c r="E450" s="88">
        <f>IF($T450="","",IF($S450="S",IF(""="","",""),IF(INDEX('AFA Rates'!$D$5:$D$1004,$T450)="","",INDEX('AFA Rates'!$D$5:$D$1004,$T450))))</f>
        <v/>
      </c>
      <c r="F450" s="79">
        <f>IF($T450="","",IF($S450="S",IF(INDEX(Firms!$O$5:$O$1004,$T450)="","",INDEX(Firms!$O$5:$O$1004,$T450)),IF(INDEX('AFA Rates'!$O$5:$O$1004,$T450)="","",INDEX('AFA Rates'!$O$5:$O$1004,$T450))))</f>
        <v/>
      </c>
      <c r="G450" s="50">
        <f>IF($T450="","",IF($S450="S",IF(INDEX(Firms!$F$5:$F$1004,$T450)="","",INDEX(Firms!$F$5:$F$1004,$T450)),IF(INDEX('AFA Rates'!$E$5:$E$1004,$T450)="","",INDEX('AFA Rates'!$E$5:$E$1004,$T450))))</f>
        <v/>
      </c>
      <c r="H450" s="50">
        <f>IF($T450="","",IF($S450="S",IF(INDEX(Firms!$G$5:$G$1004,$T450)="","",INDEX(Firms!$G$5:$G$1004,$T450)),IF(INDEX('AFA Rates'!$F$5:$F$1004,$T450)="","",INDEX('AFA Rates'!$F$5:$F$1004,$T450))))</f>
        <v/>
      </c>
      <c r="I450" s="50">
        <f>IF($T450="","",IF($S450="S",IF(INDEX(Firms!$H$5:$H$1004,$T450)="","",INDEX(Firms!$H$5:$H$1004,$T450)),IF(INDEX('AFA Rates'!$G$5:$G$1004,$T450)="","",INDEX('AFA Rates'!$G$5:$G$1004,$T450))))</f>
        <v/>
      </c>
      <c r="J450" s="50">
        <f>IF($T450="","",IF($S450="S",IF(INDEX(Firms!$I$5:$I$1004,$T450)="","",INDEX(Firms!$I$5:$I$1004,$T450)),IF(INDEX('AFA Rates'!$H$5:$H$1004,$T450)="","",INDEX('AFA Rates'!$H$5:$H$1004,$T450))))</f>
        <v/>
      </c>
      <c r="K450" s="50">
        <f>IF($T450="","",IF($S450="S",IF(INDEX(Firms!$J$5:$J$1004,$T450)="","",INDEX(Firms!$J$5:$J$1004,$T450)),IF(INDEX('AFA Rates'!$I$5:$I$1004,$T450)="","",INDEX('AFA Rates'!$I$5:$I$1004,$T450))))</f>
        <v/>
      </c>
      <c r="L450" s="50">
        <f>IF($T450="","",IF($S450="S",IF(INDEX(Firms!$K$5:$K$1004,$T450)="","",INDEX(Firms!$K$5:$K$1004,$T450)),IF(INDEX('AFA Rates'!$J$5:$J$1004,$T450)="","",INDEX('AFA Rates'!$J$5:$J$1004,$T450))))</f>
        <v/>
      </c>
      <c r="M450" s="50">
        <f>IF($T450="","",IF($S450="S",IF(INDEX(Firms!$L$5:$L$1004,$T450)="","",INDEX(Firms!$L$5:$L$1004,$T450)),IF(INDEX('AFA Rates'!$K$5:$K$1004,$T450)="","",INDEX('AFA Rates'!$K$5:$K$1004,$T450))))</f>
        <v/>
      </c>
      <c r="N450" s="50">
        <f>IF($T450="","",IF($S450="S",IF(INDEX(Firms!$M$5:$M$1004,$T450)="","",INDEX(Firms!$M$5:$M$1004,$T450)),IF(INDEX('AFA Rates'!$L$5:$L$1004,$T450)="","",INDEX('AFA Rates'!$L$5:$L$1004,$T450))))</f>
        <v/>
      </c>
      <c r="O450" s="78">
        <f>IF(OR($T450="",$U450=""),"",IF(INDEX(Firms!$C$5:$C$1004,$U450)="","",INDEX(Firms!$C$5:$C$1004,$U450)))</f>
        <v/>
      </c>
      <c r="P450" s="79">
        <f>IF(OR($T450="",$U450=""),"",IF(INDEX(Firms!$N$5:$N$1004,$U450)="","",INDEX(Firms!$N$5:$N$1004,$U450)))</f>
        <v/>
      </c>
      <c r="Q450" s="78">
        <f>IF($T450="","",IF($S450="S",IF(INDEX(Firms!$T$5:$T$1004,$T450)="","",INDEX(Firms!$T$5:$T$1004,$T450)),IF(INDEX('AFA Rates'!$M$5:$M$1004,$T450)="","",INDEX('AFA Rates'!$M$5:$M$1004,$T450))))</f>
        <v/>
      </c>
      <c r="S450">
        <f>IF(446&lt;=$S$2,"S",IF(446&lt;=$S$2+$T$2,"A",""))</f>
        <v/>
      </c>
      <c r="T450">
        <f>IF(S450="S",MATCH(446,Firms!$W$5:$W$1004,0),IF(S450="A",IFERROR(MATCH(446-$S$2,'AFA Rates'!$R$5:$R$1004,0),""),""))</f>
        <v/>
      </c>
      <c r="U450">
        <f>IF(S450="S",T450,IF(AND(S450="A",T450&lt;&gt;""),IFERROR(MATCH(INDEX('AFA Rates'!$A$5:$A$1004,T450),Firms!$A$5:$A$1004,0),""),""))</f>
        <v/>
      </c>
    </row>
    <row r="451">
      <c r="A451" s="78">
        <f>IF($T451="","",IF($S451="S",IF(INDEX(Firms!$A$5:$A$1004,$T451)="","",INDEX(Firms!$A$5:$A$1004,$T451)),IF(INDEX('AFA Rates'!$A$5:$A$1004,$T451)="","",INDEX('AFA Rates'!$A$5:$A$1004,$T451))))</f>
        <v/>
      </c>
      <c r="B451" s="79">
        <f>IF(OR($T451="",$U451=""),IF($T451="","","Not on Firms tab"),INDEX(Firms!$B$5:$B$1004,$U451)&amp;"")</f>
        <v/>
      </c>
      <c r="C451" s="78">
        <f>IF($T451="","",IF($S451="S","Standard",INDEX('AFA Rates'!$B$5:$B$1004,$T451)&amp;""))</f>
        <v/>
      </c>
      <c r="D451" s="88">
        <f>IF($T451="","",IF($S451="S",IF(INDEX(Firms!$E$5:$E$1004,$T451)="","",INDEX(Firms!$E$5:$E$1004,$T451)),IF(INDEX('AFA Rates'!$C$5:$C$1004,$T451)="","",INDEX('AFA Rates'!$C$5:$C$1004,$T451))))</f>
        <v/>
      </c>
      <c r="E451" s="88">
        <f>IF($T451="","",IF($S451="S",IF(""="","",""),IF(INDEX('AFA Rates'!$D$5:$D$1004,$T451)="","",INDEX('AFA Rates'!$D$5:$D$1004,$T451))))</f>
        <v/>
      </c>
      <c r="F451" s="79">
        <f>IF($T451="","",IF($S451="S",IF(INDEX(Firms!$O$5:$O$1004,$T451)="","",INDEX(Firms!$O$5:$O$1004,$T451)),IF(INDEX('AFA Rates'!$O$5:$O$1004,$T451)="","",INDEX('AFA Rates'!$O$5:$O$1004,$T451))))</f>
        <v/>
      </c>
      <c r="G451" s="50">
        <f>IF($T451="","",IF($S451="S",IF(INDEX(Firms!$F$5:$F$1004,$T451)="","",INDEX(Firms!$F$5:$F$1004,$T451)),IF(INDEX('AFA Rates'!$E$5:$E$1004,$T451)="","",INDEX('AFA Rates'!$E$5:$E$1004,$T451))))</f>
        <v/>
      </c>
      <c r="H451" s="50">
        <f>IF($T451="","",IF($S451="S",IF(INDEX(Firms!$G$5:$G$1004,$T451)="","",INDEX(Firms!$G$5:$G$1004,$T451)),IF(INDEX('AFA Rates'!$F$5:$F$1004,$T451)="","",INDEX('AFA Rates'!$F$5:$F$1004,$T451))))</f>
        <v/>
      </c>
      <c r="I451" s="50">
        <f>IF($T451="","",IF($S451="S",IF(INDEX(Firms!$H$5:$H$1004,$T451)="","",INDEX(Firms!$H$5:$H$1004,$T451)),IF(INDEX('AFA Rates'!$G$5:$G$1004,$T451)="","",INDEX('AFA Rates'!$G$5:$G$1004,$T451))))</f>
        <v/>
      </c>
      <c r="J451" s="50">
        <f>IF($T451="","",IF($S451="S",IF(INDEX(Firms!$I$5:$I$1004,$T451)="","",INDEX(Firms!$I$5:$I$1004,$T451)),IF(INDEX('AFA Rates'!$H$5:$H$1004,$T451)="","",INDEX('AFA Rates'!$H$5:$H$1004,$T451))))</f>
        <v/>
      </c>
      <c r="K451" s="50">
        <f>IF($T451="","",IF($S451="S",IF(INDEX(Firms!$J$5:$J$1004,$T451)="","",INDEX(Firms!$J$5:$J$1004,$T451)),IF(INDEX('AFA Rates'!$I$5:$I$1004,$T451)="","",INDEX('AFA Rates'!$I$5:$I$1004,$T451))))</f>
        <v/>
      </c>
      <c r="L451" s="50">
        <f>IF($T451="","",IF($S451="S",IF(INDEX(Firms!$K$5:$K$1004,$T451)="","",INDEX(Firms!$K$5:$K$1004,$T451)),IF(INDEX('AFA Rates'!$J$5:$J$1004,$T451)="","",INDEX('AFA Rates'!$J$5:$J$1004,$T451))))</f>
        <v/>
      </c>
      <c r="M451" s="50">
        <f>IF($T451="","",IF($S451="S",IF(INDEX(Firms!$L$5:$L$1004,$T451)="","",INDEX(Firms!$L$5:$L$1004,$T451)),IF(INDEX('AFA Rates'!$K$5:$K$1004,$T451)="","",INDEX('AFA Rates'!$K$5:$K$1004,$T451))))</f>
        <v/>
      </c>
      <c r="N451" s="50">
        <f>IF($T451="","",IF($S451="S",IF(INDEX(Firms!$M$5:$M$1004,$T451)="","",INDEX(Firms!$M$5:$M$1004,$T451)),IF(INDEX('AFA Rates'!$L$5:$L$1004,$T451)="","",INDEX('AFA Rates'!$L$5:$L$1004,$T451))))</f>
        <v/>
      </c>
      <c r="O451" s="78">
        <f>IF(OR($T451="",$U451=""),"",IF(INDEX(Firms!$C$5:$C$1004,$U451)="","",INDEX(Firms!$C$5:$C$1004,$U451)))</f>
        <v/>
      </c>
      <c r="P451" s="79">
        <f>IF(OR($T451="",$U451=""),"",IF(INDEX(Firms!$N$5:$N$1004,$U451)="","",INDEX(Firms!$N$5:$N$1004,$U451)))</f>
        <v/>
      </c>
      <c r="Q451" s="78">
        <f>IF($T451="","",IF($S451="S",IF(INDEX(Firms!$T$5:$T$1004,$T451)="","",INDEX(Firms!$T$5:$T$1004,$T451)),IF(INDEX('AFA Rates'!$M$5:$M$1004,$T451)="","",INDEX('AFA Rates'!$M$5:$M$1004,$T451))))</f>
        <v/>
      </c>
      <c r="S451">
        <f>IF(447&lt;=$S$2,"S",IF(447&lt;=$S$2+$T$2,"A",""))</f>
        <v/>
      </c>
      <c r="T451">
        <f>IF(S451="S",MATCH(447,Firms!$W$5:$W$1004,0),IF(S451="A",IFERROR(MATCH(447-$S$2,'AFA Rates'!$R$5:$R$1004,0),""),""))</f>
        <v/>
      </c>
      <c r="U451">
        <f>IF(S451="S",T451,IF(AND(S451="A",T451&lt;&gt;""),IFERROR(MATCH(INDEX('AFA Rates'!$A$5:$A$1004,T451),Firms!$A$5:$A$1004,0),""),""))</f>
        <v/>
      </c>
    </row>
    <row r="452">
      <c r="A452" s="78">
        <f>IF($T452="","",IF($S452="S",IF(INDEX(Firms!$A$5:$A$1004,$T452)="","",INDEX(Firms!$A$5:$A$1004,$T452)),IF(INDEX('AFA Rates'!$A$5:$A$1004,$T452)="","",INDEX('AFA Rates'!$A$5:$A$1004,$T452))))</f>
        <v/>
      </c>
      <c r="B452" s="79">
        <f>IF(OR($T452="",$U452=""),IF($T452="","","Not on Firms tab"),INDEX(Firms!$B$5:$B$1004,$U452)&amp;"")</f>
        <v/>
      </c>
      <c r="C452" s="78">
        <f>IF($T452="","",IF($S452="S","Standard",INDEX('AFA Rates'!$B$5:$B$1004,$T452)&amp;""))</f>
        <v/>
      </c>
      <c r="D452" s="88">
        <f>IF($T452="","",IF($S452="S",IF(INDEX(Firms!$E$5:$E$1004,$T452)="","",INDEX(Firms!$E$5:$E$1004,$T452)),IF(INDEX('AFA Rates'!$C$5:$C$1004,$T452)="","",INDEX('AFA Rates'!$C$5:$C$1004,$T452))))</f>
        <v/>
      </c>
      <c r="E452" s="88">
        <f>IF($T452="","",IF($S452="S",IF(""="","",""),IF(INDEX('AFA Rates'!$D$5:$D$1004,$T452)="","",INDEX('AFA Rates'!$D$5:$D$1004,$T452))))</f>
        <v/>
      </c>
      <c r="F452" s="79">
        <f>IF($T452="","",IF($S452="S",IF(INDEX(Firms!$O$5:$O$1004,$T452)="","",INDEX(Firms!$O$5:$O$1004,$T452)),IF(INDEX('AFA Rates'!$O$5:$O$1004,$T452)="","",INDEX('AFA Rates'!$O$5:$O$1004,$T452))))</f>
        <v/>
      </c>
      <c r="G452" s="50">
        <f>IF($T452="","",IF($S452="S",IF(INDEX(Firms!$F$5:$F$1004,$T452)="","",INDEX(Firms!$F$5:$F$1004,$T452)),IF(INDEX('AFA Rates'!$E$5:$E$1004,$T452)="","",INDEX('AFA Rates'!$E$5:$E$1004,$T452))))</f>
        <v/>
      </c>
      <c r="H452" s="50">
        <f>IF($T452="","",IF($S452="S",IF(INDEX(Firms!$G$5:$G$1004,$T452)="","",INDEX(Firms!$G$5:$G$1004,$T452)),IF(INDEX('AFA Rates'!$F$5:$F$1004,$T452)="","",INDEX('AFA Rates'!$F$5:$F$1004,$T452))))</f>
        <v/>
      </c>
      <c r="I452" s="50">
        <f>IF($T452="","",IF($S452="S",IF(INDEX(Firms!$H$5:$H$1004,$T452)="","",INDEX(Firms!$H$5:$H$1004,$T452)),IF(INDEX('AFA Rates'!$G$5:$G$1004,$T452)="","",INDEX('AFA Rates'!$G$5:$G$1004,$T452))))</f>
        <v/>
      </c>
      <c r="J452" s="50">
        <f>IF($T452="","",IF($S452="S",IF(INDEX(Firms!$I$5:$I$1004,$T452)="","",INDEX(Firms!$I$5:$I$1004,$T452)),IF(INDEX('AFA Rates'!$H$5:$H$1004,$T452)="","",INDEX('AFA Rates'!$H$5:$H$1004,$T452))))</f>
        <v/>
      </c>
      <c r="K452" s="50">
        <f>IF($T452="","",IF($S452="S",IF(INDEX(Firms!$J$5:$J$1004,$T452)="","",INDEX(Firms!$J$5:$J$1004,$T452)),IF(INDEX('AFA Rates'!$I$5:$I$1004,$T452)="","",INDEX('AFA Rates'!$I$5:$I$1004,$T452))))</f>
        <v/>
      </c>
      <c r="L452" s="50">
        <f>IF($T452="","",IF($S452="S",IF(INDEX(Firms!$K$5:$K$1004,$T452)="","",INDEX(Firms!$K$5:$K$1004,$T452)),IF(INDEX('AFA Rates'!$J$5:$J$1004,$T452)="","",INDEX('AFA Rates'!$J$5:$J$1004,$T452))))</f>
        <v/>
      </c>
      <c r="M452" s="50">
        <f>IF($T452="","",IF($S452="S",IF(INDEX(Firms!$L$5:$L$1004,$T452)="","",INDEX(Firms!$L$5:$L$1004,$T452)),IF(INDEX('AFA Rates'!$K$5:$K$1004,$T452)="","",INDEX('AFA Rates'!$K$5:$K$1004,$T452))))</f>
        <v/>
      </c>
      <c r="N452" s="50">
        <f>IF($T452="","",IF($S452="S",IF(INDEX(Firms!$M$5:$M$1004,$T452)="","",INDEX(Firms!$M$5:$M$1004,$T452)),IF(INDEX('AFA Rates'!$L$5:$L$1004,$T452)="","",INDEX('AFA Rates'!$L$5:$L$1004,$T452))))</f>
        <v/>
      </c>
      <c r="O452" s="78">
        <f>IF(OR($T452="",$U452=""),"",IF(INDEX(Firms!$C$5:$C$1004,$U452)="","",INDEX(Firms!$C$5:$C$1004,$U452)))</f>
        <v/>
      </c>
      <c r="P452" s="79">
        <f>IF(OR($T452="",$U452=""),"",IF(INDEX(Firms!$N$5:$N$1004,$U452)="","",INDEX(Firms!$N$5:$N$1004,$U452)))</f>
        <v/>
      </c>
      <c r="Q452" s="78">
        <f>IF($T452="","",IF($S452="S",IF(INDEX(Firms!$T$5:$T$1004,$T452)="","",INDEX(Firms!$T$5:$T$1004,$T452)),IF(INDEX('AFA Rates'!$M$5:$M$1004,$T452)="","",INDEX('AFA Rates'!$M$5:$M$1004,$T452))))</f>
        <v/>
      </c>
      <c r="S452">
        <f>IF(448&lt;=$S$2,"S",IF(448&lt;=$S$2+$T$2,"A",""))</f>
        <v/>
      </c>
      <c r="T452">
        <f>IF(S452="S",MATCH(448,Firms!$W$5:$W$1004,0),IF(S452="A",IFERROR(MATCH(448-$S$2,'AFA Rates'!$R$5:$R$1004,0),""),""))</f>
        <v/>
      </c>
      <c r="U452">
        <f>IF(S452="S",T452,IF(AND(S452="A",T452&lt;&gt;""),IFERROR(MATCH(INDEX('AFA Rates'!$A$5:$A$1004,T452),Firms!$A$5:$A$1004,0),""),""))</f>
        <v/>
      </c>
    </row>
    <row r="453">
      <c r="A453" s="78">
        <f>IF($T453="","",IF($S453="S",IF(INDEX(Firms!$A$5:$A$1004,$T453)="","",INDEX(Firms!$A$5:$A$1004,$T453)),IF(INDEX('AFA Rates'!$A$5:$A$1004,$T453)="","",INDEX('AFA Rates'!$A$5:$A$1004,$T453))))</f>
        <v/>
      </c>
      <c r="B453" s="79">
        <f>IF(OR($T453="",$U453=""),IF($T453="","","Not on Firms tab"),INDEX(Firms!$B$5:$B$1004,$U453)&amp;"")</f>
        <v/>
      </c>
      <c r="C453" s="78">
        <f>IF($T453="","",IF($S453="S","Standard",INDEX('AFA Rates'!$B$5:$B$1004,$T453)&amp;""))</f>
        <v/>
      </c>
      <c r="D453" s="88">
        <f>IF($T453="","",IF($S453="S",IF(INDEX(Firms!$E$5:$E$1004,$T453)="","",INDEX(Firms!$E$5:$E$1004,$T453)),IF(INDEX('AFA Rates'!$C$5:$C$1004,$T453)="","",INDEX('AFA Rates'!$C$5:$C$1004,$T453))))</f>
        <v/>
      </c>
      <c r="E453" s="88">
        <f>IF($T453="","",IF($S453="S",IF(""="","",""),IF(INDEX('AFA Rates'!$D$5:$D$1004,$T453)="","",INDEX('AFA Rates'!$D$5:$D$1004,$T453))))</f>
        <v/>
      </c>
      <c r="F453" s="79">
        <f>IF($T453="","",IF($S453="S",IF(INDEX(Firms!$O$5:$O$1004,$T453)="","",INDEX(Firms!$O$5:$O$1004,$T453)),IF(INDEX('AFA Rates'!$O$5:$O$1004,$T453)="","",INDEX('AFA Rates'!$O$5:$O$1004,$T453))))</f>
        <v/>
      </c>
      <c r="G453" s="50">
        <f>IF($T453="","",IF($S453="S",IF(INDEX(Firms!$F$5:$F$1004,$T453)="","",INDEX(Firms!$F$5:$F$1004,$T453)),IF(INDEX('AFA Rates'!$E$5:$E$1004,$T453)="","",INDEX('AFA Rates'!$E$5:$E$1004,$T453))))</f>
        <v/>
      </c>
      <c r="H453" s="50">
        <f>IF($T453="","",IF($S453="S",IF(INDEX(Firms!$G$5:$G$1004,$T453)="","",INDEX(Firms!$G$5:$G$1004,$T453)),IF(INDEX('AFA Rates'!$F$5:$F$1004,$T453)="","",INDEX('AFA Rates'!$F$5:$F$1004,$T453))))</f>
        <v/>
      </c>
      <c r="I453" s="50">
        <f>IF($T453="","",IF($S453="S",IF(INDEX(Firms!$H$5:$H$1004,$T453)="","",INDEX(Firms!$H$5:$H$1004,$T453)),IF(INDEX('AFA Rates'!$G$5:$G$1004,$T453)="","",INDEX('AFA Rates'!$G$5:$G$1004,$T453))))</f>
        <v/>
      </c>
      <c r="J453" s="50">
        <f>IF($T453="","",IF($S453="S",IF(INDEX(Firms!$I$5:$I$1004,$T453)="","",INDEX(Firms!$I$5:$I$1004,$T453)),IF(INDEX('AFA Rates'!$H$5:$H$1004,$T453)="","",INDEX('AFA Rates'!$H$5:$H$1004,$T453))))</f>
        <v/>
      </c>
      <c r="K453" s="50">
        <f>IF($T453="","",IF($S453="S",IF(INDEX(Firms!$J$5:$J$1004,$T453)="","",INDEX(Firms!$J$5:$J$1004,$T453)),IF(INDEX('AFA Rates'!$I$5:$I$1004,$T453)="","",INDEX('AFA Rates'!$I$5:$I$1004,$T453))))</f>
        <v/>
      </c>
      <c r="L453" s="50">
        <f>IF($T453="","",IF($S453="S",IF(INDEX(Firms!$K$5:$K$1004,$T453)="","",INDEX(Firms!$K$5:$K$1004,$T453)),IF(INDEX('AFA Rates'!$J$5:$J$1004,$T453)="","",INDEX('AFA Rates'!$J$5:$J$1004,$T453))))</f>
        <v/>
      </c>
      <c r="M453" s="50">
        <f>IF($T453="","",IF($S453="S",IF(INDEX(Firms!$L$5:$L$1004,$T453)="","",INDEX(Firms!$L$5:$L$1004,$T453)),IF(INDEX('AFA Rates'!$K$5:$K$1004,$T453)="","",INDEX('AFA Rates'!$K$5:$K$1004,$T453))))</f>
        <v/>
      </c>
      <c r="N453" s="50">
        <f>IF($T453="","",IF($S453="S",IF(INDEX(Firms!$M$5:$M$1004,$T453)="","",INDEX(Firms!$M$5:$M$1004,$T453)),IF(INDEX('AFA Rates'!$L$5:$L$1004,$T453)="","",INDEX('AFA Rates'!$L$5:$L$1004,$T453))))</f>
        <v/>
      </c>
      <c r="O453" s="78">
        <f>IF(OR($T453="",$U453=""),"",IF(INDEX(Firms!$C$5:$C$1004,$U453)="","",INDEX(Firms!$C$5:$C$1004,$U453)))</f>
        <v/>
      </c>
      <c r="P453" s="79">
        <f>IF(OR($T453="",$U453=""),"",IF(INDEX(Firms!$N$5:$N$1004,$U453)="","",INDEX(Firms!$N$5:$N$1004,$U453)))</f>
        <v/>
      </c>
      <c r="Q453" s="78">
        <f>IF($T453="","",IF($S453="S",IF(INDEX(Firms!$T$5:$T$1004,$T453)="","",INDEX(Firms!$T$5:$T$1004,$T453)),IF(INDEX('AFA Rates'!$M$5:$M$1004,$T453)="","",INDEX('AFA Rates'!$M$5:$M$1004,$T453))))</f>
        <v/>
      </c>
      <c r="S453">
        <f>IF(449&lt;=$S$2,"S",IF(449&lt;=$S$2+$T$2,"A",""))</f>
        <v/>
      </c>
      <c r="T453">
        <f>IF(S453="S",MATCH(449,Firms!$W$5:$W$1004,0),IF(S453="A",IFERROR(MATCH(449-$S$2,'AFA Rates'!$R$5:$R$1004,0),""),""))</f>
        <v/>
      </c>
      <c r="U453">
        <f>IF(S453="S",T453,IF(AND(S453="A",T453&lt;&gt;""),IFERROR(MATCH(INDEX('AFA Rates'!$A$5:$A$1004,T453),Firms!$A$5:$A$1004,0),""),""))</f>
        <v/>
      </c>
    </row>
    <row r="454">
      <c r="A454" s="78">
        <f>IF($T454="","",IF($S454="S",IF(INDEX(Firms!$A$5:$A$1004,$T454)="","",INDEX(Firms!$A$5:$A$1004,$T454)),IF(INDEX('AFA Rates'!$A$5:$A$1004,$T454)="","",INDEX('AFA Rates'!$A$5:$A$1004,$T454))))</f>
        <v/>
      </c>
      <c r="B454" s="79">
        <f>IF(OR($T454="",$U454=""),IF($T454="","","Not on Firms tab"),INDEX(Firms!$B$5:$B$1004,$U454)&amp;"")</f>
        <v/>
      </c>
      <c r="C454" s="78">
        <f>IF($T454="","",IF($S454="S","Standard",INDEX('AFA Rates'!$B$5:$B$1004,$T454)&amp;""))</f>
        <v/>
      </c>
      <c r="D454" s="88">
        <f>IF($T454="","",IF($S454="S",IF(INDEX(Firms!$E$5:$E$1004,$T454)="","",INDEX(Firms!$E$5:$E$1004,$T454)),IF(INDEX('AFA Rates'!$C$5:$C$1004,$T454)="","",INDEX('AFA Rates'!$C$5:$C$1004,$T454))))</f>
        <v/>
      </c>
      <c r="E454" s="88">
        <f>IF($T454="","",IF($S454="S",IF(""="","",""),IF(INDEX('AFA Rates'!$D$5:$D$1004,$T454)="","",INDEX('AFA Rates'!$D$5:$D$1004,$T454))))</f>
        <v/>
      </c>
      <c r="F454" s="79">
        <f>IF($T454="","",IF($S454="S",IF(INDEX(Firms!$O$5:$O$1004,$T454)="","",INDEX(Firms!$O$5:$O$1004,$T454)),IF(INDEX('AFA Rates'!$O$5:$O$1004,$T454)="","",INDEX('AFA Rates'!$O$5:$O$1004,$T454))))</f>
        <v/>
      </c>
      <c r="G454" s="50">
        <f>IF($T454="","",IF($S454="S",IF(INDEX(Firms!$F$5:$F$1004,$T454)="","",INDEX(Firms!$F$5:$F$1004,$T454)),IF(INDEX('AFA Rates'!$E$5:$E$1004,$T454)="","",INDEX('AFA Rates'!$E$5:$E$1004,$T454))))</f>
        <v/>
      </c>
      <c r="H454" s="50">
        <f>IF($T454="","",IF($S454="S",IF(INDEX(Firms!$G$5:$G$1004,$T454)="","",INDEX(Firms!$G$5:$G$1004,$T454)),IF(INDEX('AFA Rates'!$F$5:$F$1004,$T454)="","",INDEX('AFA Rates'!$F$5:$F$1004,$T454))))</f>
        <v/>
      </c>
      <c r="I454" s="50">
        <f>IF($T454="","",IF($S454="S",IF(INDEX(Firms!$H$5:$H$1004,$T454)="","",INDEX(Firms!$H$5:$H$1004,$T454)),IF(INDEX('AFA Rates'!$G$5:$G$1004,$T454)="","",INDEX('AFA Rates'!$G$5:$G$1004,$T454))))</f>
        <v/>
      </c>
      <c r="J454" s="50">
        <f>IF($T454="","",IF($S454="S",IF(INDEX(Firms!$I$5:$I$1004,$T454)="","",INDEX(Firms!$I$5:$I$1004,$T454)),IF(INDEX('AFA Rates'!$H$5:$H$1004,$T454)="","",INDEX('AFA Rates'!$H$5:$H$1004,$T454))))</f>
        <v/>
      </c>
      <c r="K454" s="50">
        <f>IF($T454="","",IF($S454="S",IF(INDEX(Firms!$J$5:$J$1004,$T454)="","",INDEX(Firms!$J$5:$J$1004,$T454)),IF(INDEX('AFA Rates'!$I$5:$I$1004,$T454)="","",INDEX('AFA Rates'!$I$5:$I$1004,$T454))))</f>
        <v/>
      </c>
      <c r="L454" s="50">
        <f>IF($T454="","",IF($S454="S",IF(INDEX(Firms!$K$5:$K$1004,$T454)="","",INDEX(Firms!$K$5:$K$1004,$T454)),IF(INDEX('AFA Rates'!$J$5:$J$1004,$T454)="","",INDEX('AFA Rates'!$J$5:$J$1004,$T454))))</f>
        <v/>
      </c>
      <c r="M454" s="50">
        <f>IF($T454="","",IF($S454="S",IF(INDEX(Firms!$L$5:$L$1004,$T454)="","",INDEX(Firms!$L$5:$L$1004,$T454)),IF(INDEX('AFA Rates'!$K$5:$K$1004,$T454)="","",INDEX('AFA Rates'!$K$5:$K$1004,$T454))))</f>
        <v/>
      </c>
      <c r="N454" s="50">
        <f>IF($T454="","",IF($S454="S",IF(INDEX(Firms!$M$5:$M$1004,$T454)="","",INDEX(Firms!$M$5:$M$1004,$T454)),IF(INDEX('AFA Rates'!$L$5:$L$1004,$T454)="","",INDEX('AFA Rates'!$L$5:$L$1004,$T454))))</f>
        <v/>
      </c>
      <c r="O454" s="78">
        <f>IF(OR($T454="",$U454=""),"",IF(INDEX(Firms!$C$5:$C$1004,$U454)="","",INDEX(Firms!$C$5:$C$1004,$U454)))</f>
        <v/>
      </c>
      <c r="P454" s="79">
        <f>IF(OR($T454="",$U454=""),"",IF(INDEX(Firms!$N$5:$N$1004,$U454)="","",INDEX(Firms!$N$5:$N$1004,$U454)))</f>
        <v/>
      </c>
      <c r="Q454" s="78">
        <f>IF($T454="","",IF($S454="S",IF(INDEX(Firms!$T$5:$T$1004,$T454)="","",INDEX(Firms!$T$5:$T$1004,$T454)),IF(INDEX('AFA Rates'!$M$5:$M$1004,$T454)="","",INDEX('AFA Rates'!$M$5:$M$1004,$T454))))</f>
        <v/>
      </c>
      <c r="S454">
        <f>IF(450&lt;=$S$2,"S",IF(450&lt;=$S$2+$T$2,"A",""))</f>
        <v/>
      </c>
      <c r="T454">
        <f>IF(S454="S",MATCH(450,Firms!$W$5:$W$1004,0),IF(S454="A",IFERROR(MATCH(450-$S$2,'AFA Rates'!$R$5:$R$1004,0),""),""))</f>
        <v/>
      </c>
      <c r="U454">
        <f>IF(S454="S",T454,IF(AND(S454="A",T454&lt;&gt;""),IFERROR(MATCH(INDEX('AFA Rates'!$A$5:$A$1004,T454),Firms!$A$5:$A$1004,0),""),""))</f>
        <v/>
      </c>
    </row>
    <row r="455">
      <c r="A455" s="78">
        <f>IF($T455="","",IF($S455="S",IF(INDEX(Firms!$A$5:$A$1004,$T455)="","",INDEX(Firms!$A$5:$A$1004,$T455)),IF(INDEX('AFA Rates'!$A$5:$A$1004,$T455)="","",INDEX('AFA Rates'!$A$5:$A$1004,$T455))))</f>
        <v/>
      </c>
      <c r="B455" s="79">
        <f>IF(OR($T455="",$U455=""),IF($T455="","","Not on Firms tab"),INDEX(Firms!$B$5:$B$1004,$U455)&amp;"")</f>
        <v/>
      </c>
      <c r="C455" s="78">
        <f>IF($T455="","",IF($S455="S","Standard",INDEX('AFA Rates'!$B$5:$B$1004,$T455)&amp;""))</f>
        <v/>
      </c>
      <c r="D455" s="88">
        <f>IF($T455="","",IF($S455="S",IF(INDEX(Firms!$E$5:$E$1004,$T455)="","",INDEX(Firms!$E$5:$E$1004,$T455)),IF(INDEX('AFA Rates'!$C$5:$C$1004,$T455)="","",INDEX('AFA Rates'!$C$5:$C$1004,$T455))))</f>
        <v/>
      </c>
      <c r="E455" s="88">
        <f>IF($T455="","",IF($S455="S",IF(""="","",""),IF(INDEX('AFA Rates'!$D$5:$D$1004,$T455)="","",INDEX('AFA Rates'!$D$5:$D$1004,$T455))))</f>
        <v/>
      </c>
      <c r="F455" s="79">
        <f>IF($T455="","",IF($S455="S",IF(INDEX(Firms!$O$5:$O$1004,$T455)="","",INDEX(Firms!$O$5:$O$1004,$T455)),IF(INDEX('AFA Rates'!$O$5:$O$1004,$T455)="","",INDEX('AFA Rates'!$O$5:$O$1004,$T455))))</f>
        <v/>
      </c>
      <c r="G455" s="50">
        <f>IF($T455="","",IF($S455="S",IF(INDEX(Firms!$F$5:$F$1004,$T455)="","",INDEX(Firms!$F$5:$F$1004,$T455)),IF(INDEX('AFA Rates'!$E$5:$E$1004,$T455)="","",INDEX('AFA Rates'!$E$5:$E$1004,$T455))))</f>
        <v/>
      </c>
      <c r="H455" s="50">
        <f>IF($T455="","",IF($S455="S",IF(INDEX(Firms!$G$5:$G$1004,$T455)="","",INDEX(Firms!$G$5:$G$1004,$T455)),IF(INDEX('AFA Rates'!$F$5:$F$1004,$T455)="","",INDEX('AFA Rates'!$F$5:$F$1004,$T455))))</f>
        <v/>
      </c>
      <c r="I455" s="50">
        <f>IF($T455="","",IF($S455="S",IF(INDEX(Firms!$H$5:$H$1004,$T455)="","",INDEX(Firms!$H$5:$H$1004,$T455)),IF(INDEX('AFA Rates'!$G$5:$G$1004,$T455)="","",INDEX('AFA Rates'!$G$5:$G$1004,$T455))))</f>
        <v/>
      </c>
      <c r="J455" s="50">
        <f>IF($T455="","",IF($S455="S",IF(INDEX(Firms!$I$5:$I$1004,$T455)="","",INDEX(Firms!$I$5:$I$1004,$T455)),IF(INDEX('AFA Rates'!$H$5:$H$1004,$T455)="","",INDEX('AFA Rates'!$H$5:$H$1004,$T455))))</f>
        <v/>
      </c>
      <c r="K455" s="50">
        <f>IF($T455="","",IF($S455="S",IF(INDEX(Firms!$J$5:$J$1004,$T455)="","",INDEX(Firms!$J$5:$J$1004,$T455)),IF(INDEX('AFA Rates'!$I$5:$I$1004,$T455)="","",INDEX('AFA Rates'!$I$5:$I$1004,$T455))))</f>
        <v/>
      </c>
      <c r="L455" s="50">
        <f>IF($T455="","",IF($S455="S",IF(INDEX(Firms!$K$5:$K$1004,$T455)="","",INDEX(Firms!$K$5:$K$1004,$T455)),IF(INDEX('AFA Rates'!$J$5:$J$1004,$T455)="","",INDEX('AFA Rates'!$J$5:$J$1004,$T455))))</f>
        <v/>
      </c>
      <c r="M455" s="50">
        <f>IF($T455="","",IF($S455="S",IF(INDEX(Firms!$L$5:$L$1004,$T455)="","",INDEX(Firms!$L$5:$L$1004,$T455)),IF(INDEX('AFA Rates'!$K$5:$K$1004,$T455)="","",INDEX('AFA Rates'!$K$5:$K$1004,$T455))))</f>
        <v/>
      </c>
      <c r="N455" s="50">
        <f>IF($T455="","",IF($S455="S",IF(INDEX(Firms!$M$5:$M$1004,$T455)="","",INDEX(Firms!$M$5:$M$1004,$T455)),IF(INDEX('AFA Rates'!$L$5:$L$1004,$T455)="","",INDEX('AFA Rates'!$L$5:$L$1004,$T455))))</f>
        <v/>
      </c>
      <c r="O455" s="78">
        <f>IF(OR($T455="",$U455=""),"",IF(INDEX(Firms!$C$5:$C$1004,$U455)="","",INDEX(Firms!$C$5:$C$1004,$U455)))</f>
        <v/>
      </c>
      <c r="P455" s="79">
        <f>IF(OR($T455="",$U455=""),"",IF(INDEX(Firms!$N$5:$N$1004,$U455)="","",INDEX(Firms!$N$5:$N$1004,$U455)))</f>
        <v/>
      </c>
      <c r="Q455" s="78">
        <f>IF($T455="","",IF($S455="S",IF(INDEX(Firms!$T$5:$T$1004,$T455)="","",INDEX(Firms!$T$5:$T$1004,$T455)),IF(INDEX('AFA Rates'!$M$5:$M$1004,$T455)="","",INDEX('AFA Rates'!$M$5:$M$1004,$T455))))</f>
        <v/>
      </c>
      <c r="S455">
        <f>IF(451&lt;=$S$2,"S",IF(451&lt;=$S$2+$T$2,"A",""))</f>
        <v/>
      </c>
      <c r="T455">
        <f>IF(S455="S",MATCH(451,Firms!$W$5:$W$1004,0),IF(S455="A",IFERROR(MATCH(451-$S$2,'AFA Rates'!$R$5:$R$1004,0),""),""))</f>
        <v/>
      </c>
      <c r="U455">
        <f>IF(S455="S",T455,IF(AND(S455="A",T455&lt;&gt;""),IFERROR(MATCH(INDEX('AFA Rates'!$A$5:$A$1004,T455),Firms!$A$5:$A$1004,0),""),""))</f>
        <v/>
      </c>
    </row>
    <row r="456">
      <c r="A456" s="78">
        <f>IF($T456="","",IF($S456="S",IF(INDEX(Firms!$A$5:$A$1004,$T456)="","",INDEX(Firms!$A$5:$A$1004,$T456)),IF(INDEX('AFA Rates'!$A$5:$A$1004,$T456)="","",INDEX('AFA Rates'!$A$5:$A$1004,$T456))))</f>
        <v/>
      </c>
      <c r="B456" s="79">
        <f>IF(OR($T456="",$U456=""),IF($T456="","","Not on Firms tab"),INDEX(Firms!$B$5:$B$1004,$U456)&amp;"")</f>
        <v/>
      </c>
      <c r="C456" s="78">
        <f>IF($T456="","",IF($S456="S","Standard",INDEX('AFA Rates'!$B$5:$B$1004,$T456)&amp;""))</f>
        <v/>
      </c>
      <c r="D456" s="88">
        <f>IF($T456="","",IF($S456="S",IF(INDEX(Firms!$E$5:$E$1004,$T456)="","",INDEX(Firms!$E$5:$E$1004,$T456)),IF(INDEX('AFA Rates'!$C$5:$C$1004,$T456)="","",INDEX('AFA Rates'!$C$5:$C$1004,$T456))))</f>
        <v/>
      </c>
      <c r="E456" s="88">
        <f>IF($T456="","",IF($S456="S",IF(""="","",""),IF(INDEX('AFA Rates'!$D$5:$D$1004,$T456)="","",INDEX('AFA Rates'!$D$5:$D$1004,$T456))))</f>
        <v/>
      </c>
      <c r="F456" s="79">
        <f>IF($T456="","",IF($S456="S",IF(INDEX(Firms!$O$5:$O$1004,$T456)="","",INDEX(Firms!$O$5:$O$1004,$T456)),IF(INDEX('AFA Rates'!$O$5:$O$1004,$T456)="","",INDEX('AFA Rates'!$O$5:$O$1004,$T456))))</f>
        <v/>
      </c>
      <c r="G456" s="50">
        <f>IF($T456="","",IF($S456="S",IF(INDEX(Firms!$F$5:$F$1004,$T456)="","",INDEX(Firms!$F$5:$F$1004,$T456)),IF(INDEX('AFA Rates'!$E$5:$E$1004,$T456)="","",INDEX('AFA Rates'!$E$5:$E$1004,$T456))))</f>
        <v/>
      </c>
      <c r="H456" s="50">
        <f>IF($T456="","",IF($S456="S",IF(INDEX(Firms!$G$5:$G$1004,$T456)="","",INDEX(Firms!$G$5:$G$1004,$T456)),IF(INDEX('AFA Rates'!$F$5:$F$1004,$T456)="","",INDEX('AFA Rates'!$F$5:$F$1004,$T456))))</f>
        <v/>
      </c>
      <c r="I456" s="50">
        <f>IF($T456="","",IF($S456="S",IF(INDEX(Firms!$H$5:$H$1004,$T456)="","",INDEX(Firms!$H$5:$H$1004,$T456)),IF(INDEX('AFA Rates'!$G$5:$G$1004,$T456)="","",INDEX('AFA Rates'!$G$5:$G$1004,$T456))))</f>
        <v/>
      </c>
      <c r="J456" s="50">
        <f>IF($T456="","",IF($S456="S",IF(INDEX(Firms!$I$5:$I$1004,$T456)="","",INDEX(Firms!$I$5:$I$1004,$T456)),IF(INDEX('AFA Rates'!$H$5:$H$1004,$T456)="","",INDEX('AFA Rates'!$H$5:$H$1004,$T456))))</f>
        <v/>
      </c>
      <c r="K456" s="50">
        <f>IF($T456="","",IF($S456="S",IF(INDEX(Firms!$J$5:$J$1004,$T456)="","",INDEX(Firms!$J$5:$J$1004,$T456)),IF(INDEX('AFA Rates'!$I$5:$I$1004,$T456)="","",INDEX('AFA Rates'!$I$5:$I$1004,$T456))))</f>
        <v/>
      </c>
      <c r="L456" s="50">
        <f>IF($T456="","",IF($S456="S",IF(INDEX(Firms!$K$5:$K$1004,$T456)="","",INDEX(Firms!$K$5:$K$1004,$T456)),IF(INDEX('AFA Rates'!$J$5:$J$1004,$T456)="","",INDEX('AFA Rates'!$J$5:$J$1004,$T456))))</f>
        <v/>
      </c>
      <c r="M456" s="50">
        <f>IF($T456="","",IF($S456="S",IF(INDEX(Firms!$L$5:$L$1004,$T456)="","",INDEX(Firms!$L$5:$L$1004,$T456)),IF(INDEX('AFA Rates'!$K$5:$K$1004,$T456)="","",INDEX('AFA Rates'!$K$5:$K$1004,$T456))))</f>
        <v/>
      </c>
      <c r="N456" s="50">
        <f>IF($T456="","",IF($S456="S",IF(INDEX(Firms!$M$5:$M$1004,$T456)="","",INDEX(Firms!$M$5:$M$1004,$T456)),IF(INDEX('AFA Rates'!$L$5:$L$1004,$T456)="","",INDEX('AFA Rates'!$L$5:$L$1004,$T456))))</f>
        <v/>
      </c>
      <c r="O456" s="78">
        <f>IF(OR($T456="",$U456=""),"",IF(INDEX(Firms!$C$5:$C$1004,$U456)="","",INDEX(Firms!$C$5:$C$1004,$U456)))</f>
        <v/>
      </c>
      <c r="P456" s="79">
        <f>IF(OR($T456="",$U456=""),"",IF(INDEX(Firms!$N$5:$N$1004,$U456)="","",INDEX(Firms!$N$5:$N$1004,$U456)))</f>
        <v/>
      </c>
      <c r="Q456" s="78">
        <f>IF($T456="","",IF($S456="S",IF(INDEX(Firms!$T$5:$T$1004,$T456)="","",INDEX(Firms!$T$5:$T$1004,$T456)),IF(INDEX('AFA Rates'!$M$5:$M$1004,$T456)="","",INDEX('AFA Rates'!$M$5:$M$1004,$T456))))</f>
        <v/>
      </c>
      <c r="S456">
        <f>IF(452&lt;=$S$2,"S",IF(452&lt;=$S$2+$T$2,"A",""))</f>
        <v/>
      </c>
      <c r="T456">
        <f>IF(S456="S",MATCH(452,Firms!$W$5:$W$1004,0),IF(S456="A",IFERROR(MATCH(452-$S$2,'AFA Rates'!$R$5:$R$1004,0),""),""))</f>
        <v/>
      </c>
      <c r="U456">
        <f>IF(S456="S",T456,IF(AND(S456="A",T456&lt;&gt;""),IFERROR(MATCH(INDEX('AFA Rates'!$A$5:$A$1004,T456),Firms!$A$5:$A$1004,0),""),""))</f>
        <v/>
      </c>
    </row>
    <row r="457">
      <c r="A457" s="78">
        <f>IF($T457="","",IF($S457="S",IF(INDEX(Firms!$A$5:$A$1004,$T457)="","",INDEX(Firms!$A$5:$A$1004,$T457)),IF(INDEX('AFA Rates'!$A$5:$A$1004,$T457)="","",INDEX('AFA Rates'!$A$5:$A$1004,$T457))))</f>
        <v/>
      </c>
      <c r="B457" s="79">
        <f>IF(OR($T457="",$U457=""),IF($T457="","","Not on Firms tab"),INDEX(Firms!$B$5:$B$1004,$U457)&amp;"")</f>
        <v/>
      </c>
      <c r="C457" s="78">
        <f>IF($T457="","",IF($S457="S","Standard",INDEX('AFA Rates'!$B$5:$B$1004,$T457)&amp;""))</f>
        <v/>
      </c>
      <c r="D457" s="88">
        <f>IF($T457="","",IF($S457="S",IF(INDEX(Firms!$E$5:$E$1004,$T457)="","",INDEX(Firms!$E$5:$E$1004,$T457)),IF(INDEX('AFA Rates'!$C$5:$C$1004,$T457)="","",INDEX('AFA Rates'!$C$5:$C$1004,$T457))))</f>
        <v/>
      </c>
      <c r="E457" s="88">
        <f>IF($T457="","",IF($S457="S",IF(""="","",""),IF(INDEX('AFA Rates'!$D$5:$D$1004,$T457)="","",INDEX('AFA Rates'!$D$5:$D$1004,$T457))))</f>
        <v/>
      </c>
      <c r="F457" s="79">
        <f>IF($T457="","",IF($S457="S",IF(INDEX(Firms!$O$5:$O$1004,$T457)="","",INDEX(Firms!$O$5:$O$1004,$T457)),IF(INDEX('AFA Rates'!$O$5:$O$1004,$T457)="","",INDEX('AFA Rates'!$O$5:$O$1004,$T457))))</f>
        <v/>
      </c>
      <c r="G457" s="50">
        <f>IF($T457="","",IF($S457="S",IF(INDEX(Firms!$F$5:$F$1004,$T457)="","",INDEX(Firms!$F$5:$F$1004,$T457)),IF(INDEX('AFA Rates'!$E$5:$E$1004,$T457)="","",INDEX('AFA Rates'!$E$5:$E$1004,$T457))))</f>
        <v/>
      </c>
      <c r="H457" s="50">
        <f>IF($T457="","",IF($S457="S",IF(INDEX(Firms!$G$5:$G$1004,$T457)="","",INDEX(Firms!$G$5:$G$1004,$T457)),IF(INDEX('AFA Rates'!$F$5:$F$1004,$T457)="","",INDEX('AFA Rates'!$F$5:$F$1004,$T457))))</f>
        <v/>
      </c>
      <c r="I457" s="50">
        <f>IF($T457="","",IF($S457="S",IF(INDEX(Firms!$H$5:$H$1004,$T457)="","",INDEX(Firms!$H$5:$H$1004,$T457)),IF(INDEX('AFA Rates'!$G$5:$G$1004,$T457)="","",INDEX('AFA Rates'!$G$5:$G$1004,$T457))))</f>
        <v/>
      </c>
      <c r="J457" s="50">
        <f>IF($T457="","",IF($S457="S",IF(INDEX(Firms!$I$5:$I$1004,$T457)="","",INDEX(Firms!$I$5:$I$1004,$T457)),IF(INDEX('AFA Rates'!$H$5:$H$1004,$T457)="","",INDEX('AFA Rates'!$H$5:$H$1004,$T457))))</f>
        <v/>
      </c>
      <c r="K457" s="50">
        <f>IF($T457="","",IF($S457="S",IF(INDEX(Firms!$J$5:$J$1004,$T457)="","",INDEX(Firms!$J$5:$J$1004,$T457)),IF(INDEX('AFA Rates'!$I$5:$I$1004,$T457)="","",INDEX('AFA Rates'!$I$5:$I$1004,$T457))))</f>
        <v/>
      </c>
      <c r="L457" s="50">
        <f>IF($T457="","",IF($S457="S",IF(INDEX(Firms!$K$5:$K$1004,$T457)="","",INDEX(Firms!$K$5:$K$1004,$T457)),IF(INDEX('AFA Rates'!$J$5:$J$1004,$T457)="","",INDEX('AFA Rates'!$J$5:$J$1004,$T457))))</f>
        <v/>
      </c>
      <c r="M457" s="50">
        <f>IF($T457="","",IF($S457="S",IF(INDEX(Firms!$L$5:$L$1004,$T457)="","",INDEX(Firms!$L$5:$L$1004,$T457)),IF(INDEX('AFA Rates'!$K$5:$K$1004,$T457)="","",INDEX('AFA Rates'!$K$5:$K$1004,$T457))))</f>
        <v/>
      </c>
      <c r="N457" s="50">
        <f>IF($T457="","",IF($S457="S",IF(INDEX(Firms!$M$5:$M$1004,$T457)="","",INDEX(Firms!$M$5:$M$1004,$T457)),IF(INDEX('AFA Rates'!$L$5:$L$1004,$T457)="","",INDEX('AFA Rates'!$L$5:$L$1004,$T457))))</f>
        <v/>
      </c>
      <c r="O457" s="78">
        <f>IF(OR($T457="",$U457=""),"",IF(INDEX(Firms!$C$5:$C$1004,$U457)="","",INDEX(Firms!$C$5:$C$1004,$U457)))</f>
        <v/>
      </c>
      <c r="P457" s="79">
        <f>IF(OR($T457="",$U457=""),"",IF(INDEX(Firms!$N$5:$N$1004,$U457)="","",INDEX(Firms!$N$5:$N$1004,$U457)))</f>
        <v/>
      </c>
      <c r="Q457" s="78">
        <f>IF($T457="","",IF($S457="S",IF(INDEX(Firms!$T$5:$T$1004,$T457)="","",INDEX(Firms!$T$5:$T$1004,$T457)),IF(INDEX('AFA Rates'!$M$5:$M$1004,$T457)="","",INDEX('AFA Rates'!$M$5:$M$1004,$T457))))</f>
        <v/>
      </c>
      <c r="S457">
        <f>IF(453&lt;=$S$2,"S",IF(453&lt;=$S$2+$T$2,"A",""))</f>
        <v/>
      </c>
      <c r="T457">
        <f>IF(S457="S",MATCH(453,Firms!$W$5:$W$1004,0),IF(S457="A",IFERROR(MATCH(453-$S$2,'AFA Rates'!$R$5:$R$1004,0),""),""))</f>
        <v/>
      </c>
      <c r="U457">
        <f>IF(S457="S",T457,IF(AND(S457="A",T457&lt;&gt;""),IFERROR(MATCH(INDEX('AFA Rates'!$A$5:$A$1004,T457),Firms!$A$5:$A$1004,0),""),""))</f>
        <v/>
      </c>
    </row>
    <row r="458">
      <c r="A458" s="78">
        <f>IF($T458="","",IF($S458="S",IF(INDEX(Firms!$A$5:$A$1004,$T458)="","",INDEX(Firms!$A$5:$A$1004,$T458)),IF(INDEX('AFA Rates'!$A$5:$A$1004,$T458)="","",INDEX('AFA Rates'!$A$5:$A$1004,$T458))))</f>
        <v/>
      </c>
      <c r="B458" s="79">
        <f>IF(OR($T458="",$U458=""),IF($T458="","","Not on Firms tab"),INDEX(Firms!$B$5:$B$1004,$U458)&amp;"")</f>
        <v/>
      </c>
      <c r="C458" s="78">
        <f>IF($T458="","",IF($S458="S","Standard",INDEX('AFA Rates'!$B$5:$B$1004,$T458)&amp;""))</f>
        <v/>
      </c>
      <c r="D458" s="88">
        <f>IF($T458="","",IF($S458="S",IF(INDEX(Firms!$E$5:$E$1004,$T458)="","",INDEX(Firms!$E$5:$E$1004,$T458)),IF(INDEX('AFA Rates'!$C$5:$C$1004,$T458)="","",INDEX('AFA Rates'!$C$5:$C$1004,$T458))))</f>
        <v/>
      </c>
      <c r="E458" s="88">
        <f>IF($T458="","",IF($S458="S",IF(""="","",""),IF(INDEX('AFA Rates'!$D$5:$D$1004,$T458)="","",INDEX('AFA Rates'!$D$5:$D$1004,$T458))))</f>
        <v/>
      </c>
      <c r="F458" s="79">
        <f>IF($T458="","",IF($S458="S",IF(INDEX(Firms!$O$5:$O$1004,$T458)="","",INDEX(Firms!$O$5:$O$1004,$T458)),IF(INDEX('AFA Rates'!$O$5:$O$1004,$T458)="","",INDEX('AFA Rates'!$O$5:$O$1004,$T458))))</f>
        <v/>
      </c>
      <c r="G458" s="50">
        <f>IF($T458="","",IF($S458="S",IF(INDEX(Firms!$F$5:$F$1004,$T458)="","",INDEX(Firms!$F$5:$F$1004,$T458)),IF(INDEX('AFA Rates'!$E$5:$E$1004,$T458)="","",INDEX('AFA Rates'!$E$5:$E$1004,$T458))))</f>
        <v/>
      </c>
      <c r="H458" s="50">
        <f>IF($T458="","",IF($S458="S",IF(INDEX(Firms!$G$5:$G$1004,$T458)="","",INDEX(Firms!$G$5:$G$1004,$T458)),IF(INDEX('AFA Rates'!$F$5:$F$1004,$T458)="","",INDEX('AFA Rates'!$F$5:$F$1004,$T458))))</f>
        <v/>
      </c>
      <c r="I458" s="50">
        <f>IF($T458="","",IF($S458="S",IF(INDEX(Firms!$H$5:$H$1004,$T458)="","",INDEX(Firms!$H$5:$H$1004,$T458)),IF(INDEX('AFA Rates'!$G$5:$G$1004,$T458)="","",INDEX('AFA Rates'!$G$5:$G$1004,$T458))))</f>
        <v/>
      </c>
      <c r="J458" s="50">
        <f>IF($T458="","",IF($S458="S",IF(INDEX(Firms!$I$5:$I$1004,$T458)="","",INDEX(Firms!$I$5:$I$1004,$T458)),IF(INDEX('AFA Rates'!$H$5:$H$1004,$T458)="","",INDEX('AFA Rates'!$H$5:$H$1004,$T458))))</f>
        <v/>
      </c>
      <c r="K458" s="50">
        <f>IF($T458="","",IF($S458="S",IF(INDEX(Firms!$J$5:$J$1004,$T458)="","",INDEX(Firms!$J$5:$J$1004,$T458)),IF(INDEX('AFA Rates'!$I$5:$I$1004,$T458)="","",INDEX('AFA Rates'!$I$5:$I$1004,$T458))))</f>
        <v/>
      </c>
      <c r="L458" s="50">
        <f>IF($T458="","",IF($S458="S",IF(INDEX(Firms!$K$5:$K$1004,$T458)="","",INDEX(Firms!$K$5:$K$1004,$T458)),IF(INDEX('AFA Rates'!$J$5:$J$1004,$T458)="","",INDEX('AFA Rates'!$J$5:$J$1004,$T458))))</f>
        <v/>
      </c>
      <c r="M458" s="50">
        <f>IF($T458="","",IF($S458="S",IF(INDEX(Firms!$L$5:$L$1004,$T458)="","",INDEX(Firms!$L$5:$L$1004,$T458)),IF(INDEX('AFA Rates'!$K$5:$K$1004,$T458)="","",INDEX('AFA Rates'!$K$5:$K$1004,$T458))))</f>
        <v/>
      </c>
      <c r="N458" s="50">
        <f>IF($T458="","",IF($S458="S",IF(INDEX(Firms!$M$5:$M$1004,$T458)="","",INDEX(Firms!$M$5:$M$1004,$T458)),IF(INDEX('AFA Rates'!$L$5:$L$1004,$T458)="","",INDEX('AFA Rates'!$L$5:$L$1004,$T458))))</f>
        <v/>
      </c>
      <c r="O458" s="78">
        <f>IF(OR($T458="",$U458=""),"",IF(INDEX(Firms!$C$5:$C$1004,$U458)="","",INDEX(Firms!$C$5:$C$1004,$U458)))</f>
        <v/>
      </c>
      <c r="P458" s="79">
        <f>IF(OR($T458="",$U458=""),"",IF(INDEX(Firms!$N$5:$N$1004,$U458)="","",INDEX(Firms!$N$5:$N$1004,$U458)))</f>
        <v/>
      </c>
      <c r="Q458" s="78">
        <f>IF($T458="","",IF($S458="S",IF(INDEX(Firms!$T$5:$T$1004,$T458)="","",INDEX(Firms!$T$5:$T$1004,$T458)),IF(INDEX('AFA Rates'!$M$5:$M$1004,$T458)="","",INDEX('AFA Rates'!$M$5:$M$1004,$T458))))</f>
        <v/>
      </c>
      <c r="S458">
        <f>IF(454&lt;=$S$2,"S",IF(454&lt;=$S$2+$T$2,"A",""))</f>
        <v/>
      </c>
      <c r="T458">
        <f>IF(S458="S",MATCH(454,Firms!$W$5:$W$1004,0),IF(S458="A",IFERROR(MATCH(454-$S$2,'AFA Rates'!$R$5:$R$1004,0),""),""))</f>
        <v/>
      </c>
      <c r="U458">
        <f>IF(S458="S",T458,IF(AND(S458="A",T458&lt;&gt;""),IFERROR(MATCH(INDEX('AFA Rates'!$A$5:$A$1004,T458),Firms!$A$5:$A$1004,0),""),""))</f>
        <v/>
      </c>
    </row>
    <row r="459">
      <c r="A459" s="78">
        <f>IF($T459="","",IF($S459="S",IF(INDEX(Firms!$A$5:$A$1004,$T459)="","",INDEX(Firms!$A$5:$A$1004,$T459)),IF(INDEX('AFA Rates'!$A$5:$A$1004,$T459)="","",INDEX('AFA Rates'!$A$5:$A$1004,$T459))))</f>
        <v/>
      </c>
      <c r="B459" s="79">
        <f>IF(OR($T459="",$U459=""),IF($T459="","","Not on Firms tab"),INDEX(Firms!$B$5:$B$1004,$U459)&amp;"")</f>
        <v/>
      </c>
      <c r="C459" s="78">
        <f>IF($T459="","",IF($S459="S","Standard",INDEX('AFA Rates'!$B$5:$B$1004,$T459)&amp;""))</f>
        <v/>
      </c>
      <c r="D459" s="88">
        <f>IF($T459="","",IF($S459="S",IF(INDEX(Firms!$E$5:$E$1004,$T459)="","",INDEX(Firms!$E$5:$E$1004,$T459)),IF(INDEX('AFA Rates'!$C$5:$C$1004,$T459)="","",INDEX('AFA Rates'!$C$5:$C$1004,$T459))))</f>
        <v/>
      </c>
      <c r="E459" s="88">
        <f>IF($T459="","",IF($S459="S",IF(""="","",""),IF(INDEX('AFA Rates'!$D$5:$D$1004,$T459)="","",INDEX('AFA Rates'!$D$5:$D$1004,$T459))))</f>
        <v/>
      </c>
      <c r="F459" s="79">
        <f>IF($T459="","",IF($S459="S",IF(INDEX(Firms!$O$5:$O$1004,$T459)="","",INDEX(Firms!$O$5:$O$1004,$T459)),IF(INDEX('AFA Rates'!$O$5:$O$1004,$T459)="","",INDEX('AFA Rates'!$O$5:$O$1004,$T459))))</f>
        <v/>
      </c>
      <c r="G459" s="50">
        <f>IF($T459="","",IF($S459="S",IF(INDEX(Firms!$F$5:$F$1004,$T459)="","",INDEX(Firms!$F$5:$F$1004,$T459)),IF(INDEX('AFA Rates'!$E$5:$E$1004,$T459)="","",INDEX('AFA Rates'!$E$5:$E$1004,$T459))))</f>
        <v/>
      </c>
      <c r="H459" s="50">
        <f>IF($T459="","",IF($S459="S",IF(INDEX(Firms!$G$5:$G$1004,$T459)="","",INDEX(Firms!$G$5:$G$1004,$T459)),IF(INDEX('AFA Rates'!$F$5:$F$1004,$T459)="","",INDEX('AFA Rates'!$F$5:$F$1004,$T459))))</f>
        <v/>
      </c>
      <c r="I459" s="50">
        <f>IF($T459="","",IF($S459="S",IF(INDEX(Firms!$H$5:$H$1004,$T459)="","",INDEX(Firms!$H$5:$H$1004,$T459)),IF(INDEX('AFA Rates'!$G$5:$G$1004,$T459)="","",INDEX('AFA Rates'!$G$5:$G$1004,$T459))))</f>
        <v/>
      </c>
      <c r="J459" s="50">
        <f>IF($T459="","",IF($S459="S",IF(INDEX(Firms!$I$5:$I$1004,$T459)="","",INDEX(Firms!$I$5:$I$1004,$T459)),IF(INDEX('AFA Rates'!$H$5:$H$1004,$T459)="","",INDEX('AFA Rates'!$H$5:$H$1004,$T459))))</f>
        <v/>
      </c>
      <c r="K459" s="50">
        <f>IF($T459="","",IF($S459="S",IF(INDEX(Firms!$J$5:$J$1004,$T459)="","",INDEX(Firms!$J$5:$J$1004,$T459)),IF(INDEX('AFA Rates'!$I$5:$I$1004,$T459)="","",INDEX('AFA Rates'!$I$5:$I$1004,$T459))))</f>
        <v/>
      </c>
      <c r="L459" s="50">
        <f>IF($T459="","",IF($S459="S",IF(INDEX(Firms!$K$5:$K$1004,$T459)="","",INDEX(Firms!$K$5:$K$1004,$T459)),IF(INDEX('AFA Rates'!$J$5:$J$1004,$T459)="","",INDEX('AFA Rates'!$J$5:$J$1004,$T459))))</f>
        <v/>
      </c>
      <c r="M459" s="50">
        <f>IF($T459="","",IF($S459="S",IF(INDEX(Firms!$L$5:$L$1004,$T459)="","",INDEX(Firms!$L$5:$L$1004,$T459)),IF(INDEX('AFA Rates'!$K$5:$K$1004,$T459)="","",INDEX('AFA Rates'!$K$5:$K$1004,$T459))))</f>
        <v/>
      </c>
      <c r="N459" s="50">
        <f>IF($T459="","",IF($S459="S",IF(INDEX(Firms!$M$5:$M$1004,$T459)="","",INDEX(Firms!$M$5:$M$1004,$T459)),IF(INDEX('AFA Rates'!$L$5:$L$1004,$T459)="","",INDEX('AFA Rates'!$L$5:$L$1004,$T459))))</f>
        <v/>
      </c>
      <c r="O459" s="78">
        <f>IF(OR($T459="",$U459=""),"",IF(INDEX(Firms!$C$5:$C$1004,$U459)="","",INDEX(Firms!$C$5:$C$1004,$U459)))</f>
        <v/>
      </c>
      <c r="P459" s="79">
        <f>IF(OR($T459="",$U459=""),"",IF(INDEX(Firms!$N$5:$N$1004,$U459)="","",INDEX(Firms!$N$5:$N$1004,$U459)))</f>
        <v/>
      </c>
      <c r="Q459" s="78">
        <f>IF($T459="","",IF($S459="S",IF(INDEX(Firms!$T$5:$T$1004,$T459)="","",INDEX(Firms!$T$5:$T$1004,$T459)),IF(INDEX('AFA Rates'!$M$5:$M$1004,$T459)="","",INDEX('AFA Rates'!$M$5:$M$1004,$T459))))</f>
        <v/>
      </c>
      <c r="S459">
        <f>IF(455&lt;=$S$2,"S",IF(455&lt;=$S$2+$T$2,"A",""))</f>
        <v/>
      </c>
      <c r="T459">
        <f>IF(S459="S",MATCH(455,Firms!$W$5:$W$1004,0),IF(S459="A",IFERROR(MATCH(455-$S$2,'AFA Rates'!$R$5:$R$1004,0),""),""))</f>
        <v/>
      </c>
      <c r="U459">
        <f>IF(S459="S",T459,IF(AND(S459="A",T459&lt;&gt;""),IFERROR(MATCH(INDEX('AFA Rates'!$A$5:$A$1004,T459),Firms!$A$5:$A$1004,0),""),""))</f>
        <v/>
      </c>
    </row>
    <row r="460">
      <c r="A460" s="78">
        <f>IF($T460="","",IF($S460="S",IF(INDEX(Firms!$A$5:$A$1004,$T460)="","",INDEX(Firms!$A$5:$A$1004,$T460)),IF(INDEX('AFA Rates'!$A$5:$A$1004,$T460)="","",INDEX('AFA Rates'!$A$5:$A$1004,$T460))))</f>
        <v/>
      </c>
      <c r="B460" s="79">
        <f>IF(OR($T460="",$U460=""),IF($T460="","","Not on Firms tab"),INDEX(Firms!$B$5:$B$1004,$U460)&amp;"")</f>
        <v/>
      </c>
      <c r="C460" s="78">
        <f>IF($T460="","",IF($S460="S","Standard",INDEX('AFA Rates'!$B$5:$B$1004,$T460)&amp;""))</f>
        <v/>
      </c>
      <c r="D460" s="88">
        <f>IF($T460="","",IF($S460="S",IF(INDEX(Firms!$E$5:$E$1004,$T460)="","",INDEX(Firms!$E$5:$E$1004,$T460)),IF(INDEX('AFA Rates'!$C$5:$C$1004,$T460)="","",INDEX('AFA Rates'!$C$5:$C$1004,$T460))))</f>
        <v/>
      </c>
      <c r="E460" s="88">
        <f>IF($T460="","",IF($S460="S",IF(""="","",""),IF(INDEX('AFA Rates'!$D$5:$D$1004,$T460)="","",INDEX('AFA Rates'!$D$5:$D$1004,$T460))))</f>
        <v/>
      </c>
      <c r="F460" s="79">
        <f>IF($T460="","",IF($S460="S",IF(INDEX(Firms!$O$5:$O$1004,$T460)="","",INDEX(Firms!$O$5:$O$1004,$T460)),IF(INDEX('AFA Rates'!$O$5:$O$1004,$T460)="","",INDEX('AFA Rates'!$O$5:$O$1004,$T460))))</f>
        <v/>
      </c>
      <c r="G460" s="50">
        <f>IF($T460="","",IF($S460="S",IF(INDEX(Firms!$F$5:$F$1004,$T460)="","",INDEX(Firms!$F$5:$F$1004,$T460)),IF(INDEX('AFA Rates'!$E$5:$E$1004,$T460)="","",INDEX('AFA Rates'!$E$5:$E$1004,$T460))))</f>
        <v/>
      </c>
      <c r="H460" s="50">
        <f>IF($T460="","",IF($S460="S",IF(INDEX(Firms!$G$5:$G$1004,$T460)="","",INDEX(Firms!$G$5:$G$1004,$T460)),IF(INDEX('AFA Rates'!$F$5:$F$1004,$T460)="","",INDEX('AFA Rates'!$F$5:$F$1004,$T460))))</f>
        <v/>
      </c>
      <c r="I460" s="50">
        <f>IF($T460="","",IF($S460="S",IF(INDEX(Firms!$H$5:$H$1004,$T460)="","",INDEX(Firms!$H$5:$H$1004,$T460)),IF(INDEX('AFA Rates'!$G$5:$G$1004,$T460)="","",INDEX('AFA Rates'!$G$5:$G$1004,$T460))))</f>
        <v/>
      </c>
      <c r="J460" s="50">
        <f>IF($T460="","",IF($S460="S",IF(INDEX(Firms!$I$5:$I$1004,$T460)="","",INDEX(Firms!$I$5:$I$1004,$T460)),IF(INDEX('AFA Rates'!$H$5:$H$1004,$T460)="","",INDEX('AFA Rates'!$H$5:$H$1004,$T460))))</f>
        <v/>
      </c>
      <c r="K460" s="50">
        <f>IF($T460="","",IF($S460="S",IF(INDEX(Firms!$J$5:$J$1004,$T460)="","",INDEX(Firms!$J$5:$J$1004,$T460)),IF(INDEX('AFA Rates'!$I$5:$I$1004,$T460)="","",INDEX('AFA Rates'!$I$5:$I$1004,$T460))))</f>
        <v/>
      </c>
      <c r="L460" s="50">
        <f>IF($T460="","",IF($S460="S",IF(INDEX(Firms!$K$5:$K$1004,$T460)="","",INDEX(Firms!$K$5:$K$1004,$T460)),IF(INDEX('AFA Rates'!$J$5:$J$1004,$T460)="","",INDEX('AFA Rates'!$J$5:$J$1004,$T460))))</f>
        <v/>
      </c>
      <c r="M460" s="50">
        <f>IF($T460="","",IF($S460="S",IF(INDEX(Firms!$L$5:$L$1004,$T460)="","",INDEX(Firms!$L$5:$L$1004,$T460)),IF(INDEX('AFA Rates'!$K$5:$K$1004,$T460)="","",INDEX('AFA Rates'!$K$5:$K$1004,$T460))))</f>
        <v/>
      </c>
      <c r="N460" s="50">
        <f>IF($T460="","",IF($S460="S",IF(INDEX(Firms!$M$5:$M$1004,$T460)="","",INDEX(Firms!$M$5:$M$1004,$T460)),IF(INDEX('AFA Rates'!$L$5:$L$1004,$T460)="","",INDEX('AFA Rates'!$L$5:$L$1004,$T460))))</f>
        <v/>
      </c>
      <c r="O460" s="78">
        <f>IF(OR($T460="",$U460=""),"",IF(INDEX(Firms!$C$5:$C$1004,$U460)="","",INDEX(Firms!$C$5:$C$1004,$U460)))</f>
        <v/>
      </c>
      <c r="P460" s="79">
        <f>IF(OR($T460="",$U460=""),"",IF(INDEX(Firms!$N$5:$N$1004,$U460)="","",INDEX(Firms!$N$5:$N$1004,$U460)))</f>
        <v/>
      </c>
      <c r="Q460" s="78">
        <f>IF($T460="","",IF($S460="S",IF(INDEX(Firms!$T$5:$T$1004,$T460)="","",INDEX(Firms!$T$5:$T$1004,$T460)),IF(INDEX('AFA Rates'!$M$5:$M$1004,$T460)="","",INDEX('AFA Rates'!$M$5:$M$1004,$T460))))</f>
        <v/>
      </c>
      <c r="S460">
        <f>IF(456&lt;=$S$2,"S",IF(456&lt;=$S$2+$T$2,"A",""))</f>
        <v/>
      </c>
      <c r="T460">
        <f>IF(S460="S",MATCH(456,Firms!$W$5:$W$1004,0),IF(S460="A",IFERROR(MATCH(456-$S$2,'AFA Rates'!$R$5:$R$1004,0),""),""))</f>
        <v/>
      </c>
      <c r="U460">
        <f>IF(S460="S",T460,IF(AND(S460="A",T460&lt;&gt;""),IFERROR(MATCH(INDEX('AFA Rates'!$A$5:$A$1004,T460),Firms!$A$5:$A$1004,0),""),""))</f>
        <v/>
      </c>
    </row>
    <row r="461">
      <c r="A461" s="78">
        <f>IF($T461="","",IF($S461="S",IF(INDEX(Firms!$A$5:$A$1004,$T461)="","",INDEX(Firms!$A$5:$A$1004,$T461)),IF(INDEX('AFA Rates'!$A$5:$A$1004,$T461)="","",INDEX('AFA Rates'!$A$5:$A$1004,$T461))))</f>
        <v/>
      </c>
      <c r="B461" s="79">
        <f>IF(OR($T461="",$U461=""),IF($T461="","","Not on Firms tab"),INDEX(Firms!$B$5:$B$1004,$U461)&amp;"")</f>
        <v/>
      </c>
      <c r="C461" s="78">
        <f>IF($T461="","",IF($S461="S","Standard",INDEX('AFA Rates'!$B$5:$B$1004,$T461)&amp;""))</f>
        <v/>
      </c>
      <c r="D461" s="88">
        <f>IF($T461="","",IF($S461="S",IF(INDEX(Firms!$E$5:$E$1004,$T461)="","",INDEX(Firms!$E$5:$E$1004,$T461)),IF(INDEX('AFA Rates'!$C$5:$C$1004,$T461)="","",INDEX('AFA Rates'!$C$5:$C$1004,$T461))))</f>
        <v/>
      </c>
      <c r="E461" s="88">
        <f>IF($T461="","",IF($S461="S",IF(""="","",""),IF(INDEX('AFA Rates'!$D$5:$D$1004,$T461)="","",INDEX('AFA Rates'!$D$5:$D$1004,$T461))))</f>
        <v/>
      </c>
      <c r="F461" s="79">
        <f>IF($T461="","",IF($S461="S",IF(INDEX(Firms!$O$5:$O$1004,$T461)="","",INDEX(Firms!$O$5:$O$1004,$T461)),IF(INDEX('AFA Rates'!$O$5:$O$1004,$T461)="","",INDEX('AFA Rates'!$O$5:$O$1004,$T461))))</f>
        <v/>
      </c>
      <c r="G461" s="50">
        <f>IF($T461="","",IF($S461="S",IF(INDEX(Firms!$F$5:$F$1004,$T461)="","",INDEX(Firms!$F$5:$F$1004,$T461)),IF(INDEX('AFA Rates'!$E$5:$E$1004,$T461)="","",INDEX('AFA Rates'!$E$5:$E$1004,$T461))))</f>
        <v/>
      </c>
      <c r="H461" s="50">
        <f>IF($T461="","",IF($S461="S",IF(INDEX(Firms!$G$5:$G$1004,$T461)="","",INDEX(Firms!$G$5:$G$1004,$T461)),IF(INDEX('AFA Rates'!$F$5:$F$1004,$T461)="","",INDEX('AFA Rates'!$F$5:$F$1004,$T461))))</f>
        <v/>
      </c>
      <c r="I461" s="50">
        <f>IF($T461="","",IF($S461="S",IF(INDEX(Firms!$H$5:$H$1004,$T461)="","",INDEX(Firms!$H$5:$H$1004,$T461)),IF(INDEX('AFA Rates'!$G$5:$G$1004,$T461)="","",INDEX('AFA Rates'!$G$5:$G$1004,$T461))))</f>
        <v/>
      </c>
      <c r="J461" s="50">
        <f>IF($T461="","",IF($S461="S",IF(INDEX(Firms!$I$5:$I$1004,$T461)="","",INDEX(Firms!$I$5:$I$1004,$T461)),IF(INDEX('AFA Rates'!$H$5:$H$1004,$T461)="","",INDEX('AFA Rates'!$H$5:$H$1004,$T461))))</f>
        <v/>
      </c>
      <c r="K461" s="50">
        <f>IF($T461="","",IF($S461="S",IF(INDEX(Firms!$J$5:$J$1004,$T461)="","",INDEX(Firms!$J$5:$J$1004,$T461)),IF(INDEX('AFA Rates'!$I$5:$I$1004,$T461)="","",INDEX('AFA Rates'!$I$5:$I$1004,$T461))))</f>
        <v/>
      </c>
      <c r="L461" s="50">
        <f>IF($T461="","",IF($S461="S",IF(INDEX(Firms!$K$5:$K$1004,$T461)="","",INDEX(Firms!$K$5:$K$1004,$T461)),IF(INDEX('AFA Rates'!$J$5:$J$1004,$T461)="","",INDEX('AFA Rates'!$J$5:$J$1004,$T461))))</f>
        <v/>
      </c>
      <c r="M461" s="50">
        <f>IF($T461="","",IF($S461="S",IF(INDEX(Firms!$L$5:$L$1004,$T461)="","",INDEX(Firms!$L$5:$L$1004,$T461)),IF(INDEX('AFA Rates'!$K$5:$K$1004,$T461)="","",INDEX('AFA Rates'!$K$5:$K$1004,$T461))))</f>
        <v/>
      </c>
      <c r="N461" s="50">
        <f>IF($T461="","",IF($S461="S",IF(INDEX(Firms!$M$5:$M$1004,$T461)="","",INDEX(Firms!$M$5:$M$1004,$T461)),IF(INDEX('AFA Rates'!$L$5:$L$1004,$T461)="","",INDEX('AFA Rates'!$L$5:$L$1004,$T461))))</f>
        <v/>
      </c>
      <c r="O461" s="78">
        <f>IF(OR($T461="",$U461=""),"",IF(INDEX(Firms!$C$5:$C$1004,$U461)="","",INDEX(Firms!$C$5:$C$1004,$U461)))</f>
        <v/>
      </c>
      <c r="P461" s="79">
        <f>IF(OR($T461="",$U461=""),"",IF(INDEX(Firms!$N$5:$N$1004,$U461)="","",INDEX(Firms!$N$5:$N$1004,$U461)))</f>
        <v/>
      </c>
      <c r="Q461" s="78">
        <f>IF($T461="","",IF($S461="S",IF(INDEX(Firms!$T$5:$T$1004,$T461)="","",INDEX(Firms!$T$5:$T$1004,$T461)),IF(INDEX('AFA Rates'!$M$5:$M$1004,$T461)="","",INDEX('AFA Rates'!$M$5:$M$1004,$T461))))</f>
        <v/>
      </c>
      <c r="S461">
        <f>IF(457&lt;=$S$2,"S",IF(457&lt;=$S$2+$T$2,"A",""))</f>
        <v/>
      </c>
      <c r="T461">
        <f>IF(S461="S",MATCH(457,Firms!$W$5:$W$1004,0),IF(S461="A",IFERROR(MATCH(457-$S$2,'AFA Rates'!$R$5:$R$1004,0),""),""))</f>
        <v/>
      </c>
      <c r="U461">
        <f>IF(S461="S",T461,IF(AND(S461="A",T461&lt;&gt;""),IFERROR(MATCH(INDEX('AFA Rates'!$A$5:$A$1004,T461),Firms!$A$5:$A$1004,0),""),""))</f>
        <v/>
      </c>
    </row>
    <row r="462">
      <c r="A462" s="78">
        <f>IF($T462="","",IF($S462="S",IF(INDEX(Firms!$A$5:$A$1004,$T462)="","",INDEX(Firms!$A$5:$A$1004,$T462)),IF(INDEX('AFA Rates'!$A$5:$A$1004,$T462)="","",INDEX('AFA Rates'!$A$5:$A$1004,$T462))))</f>
        <v/>
      </c>
      <c r="B462" s="79">
        <f>IF(OR($T462="",$U462=""),IF($T462="","","Not on Firms tab"),INDEX(Firms!$B$5:$B$1004,$U462)&amp;"")</f>
        <v/>
      </c>
      <c r="C462" s="78">
        <f>IF($T462="","",IF($S462="S","Standard",INDEX('AFA Rates'!$B$5:$B$1004,$T462)&amp;""))</f>
        <v/>
      </c>
      <c r="D462" s="88">
        <f>IF($T462="","",IF($S462="S",IF(INDEX(Firms!$E$5:$E$1004,$T462)="","",INDEX(Firms!$E$5:$E$1004,$T462)),IF(INDEX('AFA Rates'!$C$5:$C$1004,$T462)="","",INDEX('AFA Rates'!$C$5:$C$1004,$T462))))</f>
        <v/>
      </c>
      <c r="E462" s="88">
        <f>IF($T462="","",IF($S462="S",IF(""="","",""),IF(INDEX('AFA Rates'!$D$5:$D$1004,$T462)="","",INDEX('AFA Rates'!$D$5:$D$1004,$T462))))</f>
        <v/>
      </c>
      <c r="F462" s="79">
        <f>IF($T462="","",IF($S462="S",IF(INDEX(Firms!$O$5:$O$1004,$T462)="","",INDEX(Firms!$O$5:$O$1004,$T462)),IF(INDEX('AFA Rates'!$O$5:$O$1004,$T462)="","",INDEX('AFA Rates'!$O$5:$O$1004,$T462))))</f>
        <v/>
      </c>
      <c r="G462" s="50">
        <f>IF($T462="","",IF($S462="S",IF(INDEX(Firms!$F$5:$F$1004,$T462)="","",INDEX(Firms!$F$5:$F$1004,$T462)),IF(INDEX('AFA Rates'!$E$5:$E$1004,$T462)="","",INDEX('AFA Rates'!$E$5:$E$1004,$T462))))</f>
        <v/>
      </c>
      <c r="H462" s="50">
        <f>IF($T462="","",IF($S462="S",IF(INDEX(Firms!$G$5:$G$1004,$T462)="","",INDEX(Firms!$G$5:$G$1004,$T462)),IF(INDEX('AFA Rates'!$F$5:$F$1004,$T462)="","",INDEX('AFA Rates'!$F$5:$F$1004,$T462))))</f>
        <v/>
      </c>
      <c r="I462" s="50">
        <f>IF($T462="","",IF($S462="S",IF(INDEX(Firms!$H$5:$H$1004,$T462)="","",INDEX(Firms!$H$5:$H$1004,$T462)),IF(INDEX('AFA Rates'!$G$5:$G$1004,$T462)="","",INDEX('AFA Rates'!$G$5:$G$1004,$T462))))</f>
        <v/>
      </c>
      <c r="J462" s="50">
        <f>IF($T462="","",IF($S462="S",IF(INDEX(Firms!$I$5:$I$1004,$T462)="","",INDEX(Firms!$I$5:$I$1004,$T462)),IF(INDEX('AFA Rates'!$H$5:$H$1004,$T462)="","",INDEX('AFA Rates'!$H$5:$H$1004,$T462))))</f>
        <v/>
      </c>
      <c r="K462" s="50">
        <f>IF($T462="","",IF($S462="S",IF(INDEX(Firms!$J$5:$J$1004,$T462)="","",INDEX(Firms!$J$5:$J$1004,$T462)),IF(INDEX('AFA Rates'!$I$5:$I$1004,$T462)="","",INDEX('AFA Rates'!$I$5:$I$1004,$T462))))</f>
        <v/>
      </c>
      <c r="L462" s="50">
        <f>IF($T462="","",IF($S462="S",IF(INDEX(Firms!$K$5:$K$1004,$T462)="","",INDEX(Firms!$K$5:$K$1004,$T462)),IF(INDEX('AFA Rates'!$J$5:$J$1004,$T462)="","",INDEX('AFA Rates'!$J$5:$J$1004,$T462))))</f>
        <v/>
      </c>
      <c r="M462" s="50">
        <f>IF($T462="","",IF($S462="S",IF(INDEX(Firms!$L$5:$L$1004,$T462)="","",INDEX(Firms!$L$5:$L$1004,$T462)),IF(INDEX('AFA Rates'!$K$5:$K$1004,$T462)="","",INDEX('AFA Rates'!$K$5:$K$1004,$T462))))</f>
        <v/>
      </c>
      <c r="N462" s="50">
        <f>IF($T462="","",IF($S462="S",IF(INDEX(Firms!$M$5:$M$1004,$T462)="","",INDEX(Firms!$M$5:$M$1004,$T462)),IF(INDEX('AFA Rates'!$L$5:$L$1004,$T462)="","",INDEX('AFA Rates'!$L$5:$L$1004,$T462))))</f>
        <v/>
      </c>
      <c r="O462" s="78">
        <f>IF(OR($T462="",$U462=""),"",IF(INDEX(Firms!$C$5:$C$1004,$U462)="","",INDEX(Firms!$C$5:$C$1004,$U462)))</f>
        <v/>
      </c>
      <c r="P462" s="79">
        <f>IF(OR($T462="",$U462=""),"",IF(INDEX(Firms!$N$5:$N$1004,$U462)="","",INDEX(Firms!$N$5:$N$1004,$U462)))</f>
        <v/>
      </c>
      <c r="Q462" s="78">
        <f>IF($T462="","",IF($S462="S",IF(INDEX(Firms!$T$5:$T$1004,$T462)="","",INDEX(Firms!$T$5:$T$1004,$T462)),IF(INDEX('AFA Rates'!$M$5:$M$1004,$T462)="","",INDEX('AFA Rates'!$M$5:$M$1004,$T462))))</f>
        <v/>
      </c>
      <c r="S462">
        <f>IF(458&lt;=$S$2,"S",IF(458&lt;=$S$2+$T$2,"A",""))</f>
        <v/>
      </c>
      <c r="T462">
        <f>IF(S462="S",MATCH(458,Firms!$W$5:$W$1004,0),IF(S462="A",IFERROR(MATCH(458-$S$2,'AFA Rates'!$R$5:$R$1004,0),""),""))</f>
        <v/>
      </c>
      <c r="U462">
        <f>IF(S462="S",T462,IF(AND(S462="A",T462&lt;&gt;""),IFERROR(MATCH(INDEX('AFA Rates'!$A$5:$A$1004,T462),Firms!$A$5:$A$1004,0),""),""))</f>
        <v/>
      </c>
    </row>
    <row r="463">
      <c r="A463" s="78">
        <f>IF($T463="","",IF($S463="S",IF(INDEX(Firms!$A$5:$A$1004,$T463)="","",INDEX(Firms!$A$5:$A$1004,$T463)),IF(INDEX('AFA Rates'!$A$5:$A$1004,$T463)="","",INDEX('AFA Rates'!$A$5:$A$1004,$T463))))</f>
        <v/>
      </c>
      <c r="B463" s="79">
        <f>IF(OR($T463="",$U463=""),IF($T463="","","Not on Firms tab"),INDEX(Firms!$B$5:$B$1004,$U463)&amp;"")</f>
        <v/>
      </c>
      <c r="C463" s="78">
        <f>IF($T463="","",IF($S463="S","Standard",INDEX('AFA Rates'!$B$5:$B$1004,$T463)&amp;""))</f>
        <v/>
      </c>
      <c r="D463" s="88">
        <f>IF($T463="","",IF($S463="S",IF(INDEX(Firms!$E$5:$E$1004,$T463)="","",INDEX(Firms!$E$5:$E$1004,$T463)),IF(INDEX('AFA Rates'!$C$5:$C$1004,$T463)="","",INDEX('AFA Rates'!$C$5:$C$1004,$T463))))</f>
        <v/>
      </c>
      <c r="E463" s="88">
        <f>IF($T463="","",IF($S463="S",IF(""="","",""),IF(INDEX('AFA Rates'!$D$5:$D$1004,$T463)="","",INDEX('AFA Rates'!$D$5:$D$1004,$T463))))</f>
        <v/>
      </c>
      <c r="F463" s="79">
        <f>IF($T463="","",IF($S463="S",IF(INDEX(Firms!$O$5:$O$1004,$T463)="","",INDEX(Firms!$O$5:$O$1004,$T463)),IF(INDEX('AFA Rates'!$O$5:$O$1004,$T463)="","",INDEX('AFA Rates'!$O$5:$O$1004,$T463))))</f>
        <v/>
      </c>
      <c r="G463" s="50">
        <f>IF($T463="","",IF($S463="S",IF(INDEX(Firms!$F$5:$F$1004,$T463)="","",INDEX(Firms!$F$5:$F$1004,$T463)),IF(INDEX('AFA Rates'!$E$5:$E$1004,$T463)="","",INDEX('AFA Rates'!$E$5:$E$1004,$T463))))</f>
        <v/>
      </c>
      <c r="H463" s="50">
        <f>IF($T463="","",IF($S463="S",IF(INDEX(Firms!$G$5:$G$1004,$T463)="","",INDEX(Firms!$G$5:$G$1004,$T463)),IF(INDEX('AFA Rates'!$F$5:$F$1004,$T463)="","",INDEX('AFA Rates'!$F$5:$F$1004,$T463))))</f>
        <v/>
      </c>
      <c r="I463" s="50">
        <f>IF($T463="","",IF($S463="S",IF(INDEX(Firms!$H$5:$H$1004,$T463)="","",INDEX(Firms!$H$5:$H$1004,$T463)),IF(INDEX('AFA Rates'!$G$5:$G$1004,$T463)="","",INDEX('AFA Rates'!$G$5:$G$1004,$T463))))</f>
        <v/>
      </c>
      <c r="J463" s="50">
        <f>IF($T463="","",IF($S463="S",IF(INDEX(Firms!$I$5:$I$1004,$T463)="","",INDEX(Firms!$I$5:$I$1004,$T463)),IF(INDEX('AFA Rates'!$H$5:$H$1004,$T463)="","",INDEX('AFA Rates'!$H$5:$H$1004,$T463))))</f>
        <v/>
      </c>
      <c r="K463" s="50">
        <f>IF($T463="","",IF($S463="S",IF(INDEX(Firms!$J$5:$J$1004,$T463)="","",INDEX(Firms!$J$5:$J$1004,$T463)),IF(INDEX('AFA Rates'!$I$5:$I$1004,$T463)="","",INDEX('AFA Rates'!$I$5:$I$1004,$T463))))</f>
        <v/>
      </c>
      <c r="L463" s="50">
        <f>IF($T463="","",IF($S463="S",IF(INDEX(Firms!$K$5:$K$1004,$T463)="","",INDEX(Firms!$K$5:$K$1004,$T463)),IF(INDEX('AFA Rates'!$J$5:$J$1004,$T463)="","",INDEX('AFA Rates'!$J$5:$J$1004,$T463))))</f>
        <v/>
      </c>
      <c r="M463" s="50">
        <f>IF($T463="","",IF($S463="S",IF(INDEX(Firms!$L$5:$L$1004,$T463)="","",INDEX(Firms!$L$5:$L$1004,$T463)),IF(INDEX('AFA Rates'!$K$5:$K$1004,$T463)="","",INDEX('AFA Rates'!$K$5:$K$1004,$T463))))</f>
        <v/>
      </c>
      <c r="N463" s="50">
        <f>IF($T463="","",IF($S463="S",IF(INDEX(Firms!$M$5:$M$1004,$T463)="","",INDEX(Firms!$M$5:$M$1004,$T463)),IF(INDEX('AFA Rates'!$L$5:$L$1004,$T463)="","",INDEX('AFA Rates'!$L$5:$L$1004,$T463))))</f>
        <v/>
      </c>
      <c r="O463" s="78">
        <f>IF(OR($T463="",$U463=""),"",IF(INDEX(Firms!$C$5:$C$1004,$U463)="","",INDEX(Firms!$C$5:$C$1004,$U463)))</f>
        <v/>
      </c>
      <c r="P463" s="79">
        <f>IF(OR($T463="",$U463=""),"",IF(INDEX(Firms!$N$5:$N$1004,$U463)="","",INDEX(Firms!$N$5:$N$1004,$U463)))</f>
        <v/>
      </c>
      <c r="Q463" s="78">
        <f>IF($T463="","",IF($S463="S",IF(INDEX(Firms!$T$5:$T$1004,$T463)="","",INDEX(Firms!$T$5:$T$1004,$T463)),IF(INDEX('AFA Rates'!$M$5:$M$1004,$T463)="","",INDEX('AFA Rates'!$M$5:$M$1004,$T463))))</f>
        <v/>
      </c>
      <c r="S463">
        <f>IF(459&lt;=$S$2,"S",IF(459&lt;=$S$2+$T$2,"A",""))</f>
        <v/>
      </c>
      <c r="T463">
        <f>IF(S463="S",MATCH(459,Firms!$W$5:$W$1004,0),IF(S463="A",IFERROR(MATCH(459-$S$2,'AFA Rates'!$R$5:$R$1004,0),""),""))</f>
        <v/>
      </c>
      <c r="U463">
        <f>IF(S463="S",T463,IF(AND(S463="A",T463&lt;&gt;""),IFERROR(MATCH(INDEX('AFA Rates'!$A$5:$A$1004,T463),Firms!$A$5:$A$1004,0),""),""))</f>
        <v/>
      </c>
    </row>
    <row r="464">
      <c r="A464" s="78">
        <f>IF($T464="","",IF($S464="S",IF(INDEX(Firms!$A$5:$A$1004,$T464)="","",INDEX(Firms!$A$5:$A$1004,$T464)),IF(INDEX('AFA Rates'!$A$5:$A$1004,$T464)="","",INDEX('AFA Rates'!$A$5:$A$1004,$T464))))</f>
        <v/>
      </c>
      <c r="B464" s="79">
        <f>IF(OR($T464="",$U464=""),IF($T464="","","Not on Firms tab"),INDEX(Firms!$B$5:$B$1004,$U464)&amp;"")</f>
        <v/>
      </c>
      <c r="C464" s="78">
        <f>IF($T464="","",IF($S464="S","Standard",INDEX('AFA Rates'!$B$5:$B$1004,$T464)&amp;""))</f>
        <v/>
      </c>
      <c r="D464" s="88">
        <f>IF($T464="","",IF($S464="S",IF(INDEX(Firms!$E$5:$E$1004,$T464)="","",INDEX(Firms!$E$5:$E$1004,$T464)),IF(INDEX('AFA Rates'!$C$5:$C$1004,$T464)="","",INDEX('AFA Rates'!$C$5:$C$1004,$T464))))</f>
        <v/>
      </c>
      <c r="E464" s="88">
        <f>IF($T464="","",IF($S464="S",IF(""="","",""),IF(INDEX('AFA Rates'!$D$5:$D$1004,$T464)="","",INDEX('AFA Rates'!$D$5:$D$1004,$T464))))</f>
        <v/>
      </c>
      <c r="F464" s="79">
        <f>IF($T464="","",IF($S464="S",IF(INDEX(Firms!$O$5:$O$1004,$T464)="","",INDEX(Firms!$O$5:$O$1004,$T464)),IF(INDEX('AFA Rates'!$O$5:$O$1004,$T464)="","",INDEX('AFA Rates'!$O$5:$O$1004,$T464))))</f>
        <v/>
      </c>
      <c r="G464" s="50">
        <f>IF($T464="","",IF($S464="S",IF(INDEX(Firms!$F$5:$F$1004,$T464)="","",INDEX(Firms!$F$5:$F$1004,$T464)),IF(INDEX('AFA Rates'!$E$5:$E$1004,$T464)="","",INDEX('AFA Rates'!$E$5:$E$1004,$T464))))</f>
        <v/>
      </c>
      <c r="H464" s="50">
        <f>IF($T464="","",IF($S464="S",IF(INDEX(Firms!$G$5:$G$1004,$T464)="","",INDEX(Firms!$G$5:$G$1004,$T464)),IF(INDEX('AFA Rates'!$F$5:$F$1004,$T464)="","",INDEX('AFA Rates'!$F$5:$F$1004,$T464))))</f>
        <v/>
      </c>
      <c r="I464" s="50">
        <f>IF($T464="","",IF($S464="S",IF(INDEX(Firms!$H$5:$H$1004,$T464)="","",INDEX(Firms!$H$5:$H$1004,$T464)),IF(INDEX('AFA Rates'!$G$5:$G$1004,$T464)="","",INDEX('AFA Rates'!$G$5:$G$1004,$T464))))</f>
        <v/>
      </c>
      <c r="J464" s="50">
        <f>IF($T464="","",IF($S464="S",IF(INDEX(Firms!$I$5:$I$1004,$T464)="","",INDEX(Firms!$I$5:$I$1004,$T464)),IF(INDEX('AFA Rates'!$H$5:$H$1004,$T464)="","",INDEX('AFA Rates'!$H$5:$H$1004,$T464))))</f>
        <v/>
      </c>
      <c r="K464" s="50">
        <f>IF($T464="","",IF($S464="S",IF(INDEX(Firms!$J$5:$J$1004,$T464)="","",INDEX(Firms!$J$5:$J$1004,$T464)),IF(INDEX('AFA Rates'!$I$5:$I$1004,$T464)="","",INDEX('AFA Rates'!$I$5:$I$1004,$T464))))</f>
        <v/>
      </c>
      <c r="L464" s="50">
        <f>IF($T464="","",IF($S464="S",IF(INDEX(Firms!$K$5:$K$1004,$T464)="","",INDEX(Firms!$K$5:$K$1004,$T464)),IF(INDEX('AFA Rates'!$J$5:$J$1004,$T464)="","",INDEX('AFA Rates'!$J$5:$J$1004,$T464))))</f>
        <v/>
      </c>
      <c r="M464" s="50">
        <f>IF($T464="","",IF($S464="S",IF(INDEX(Firms!$L$5:$L$1004,$T464)="","",INDEX(Firms!$L$5:$L$1004,$T464)),IF(INDEX('AFA Rates'!$K$5:$K$1004,$T464)="","",INDEX('AFA Rates'!$K$5:$K$1004,$T464))))</f>
        <v/>
      </c>
      <c r="N464" s="50">
        <f>IF($T464="","",IF($S464="S",IF(INDEX(Firms!$M$5:$M$1004,$T464)="","",INDEX(Firms!$M$5:$M$1004,$T464)),IF(INDEX('AFA Rates'!$L$5:$L$1004,$T464)="","",INDEX('AFA Rates'!$L$5:$L$1004,$T464))))</f>
        <v/>
      </c>
      <c r="O464" s="78">
        <f>IF(OR($T464="",$U464=""),"",IF(INDEX(Firms!$C$5:$C$1004,$U464)="","",INDEX(Firms!$C$5:$C$1004,$U464)))</f>
        <v/>
      </c>
      <c r="P464" s="79">
        <f>IF(OR($T464="",$U464=""),"",IF(INDEX(Firms!$N$5:$N$1004,$U464)="","",INDEX(Firms!$N$5:$N$1004,$U464)))</f>
        <v/>
      </c>
      <c r="Q464" s="78">
        <f>IF($T464="","",IF($S464="S",IF(INDEX(Firms!$T$5:$T$1004,$T464)="","",INDEX(Firms!$T$5:$T$1004,$T464)),IF(INDEX('AFA Rates'!$M$5:$M$1004,$T464)="","",INDEX('AFA Rates'!$M$5:$M$1004,$T464))))</f>
        <v/>
      </c>
      <c r="S464">
        <f>IF(460&lt;=$S$2,"S",IF(460&lt;=$S$2+$T$2,"A",""))</f>
        <v/>
      </c>
      <c r="T464">
        <f>IF(S464="S",MATCH(460,Firms!$W$5:$W$1004,0),IF(S464="A",IFERROR(MATCH(460-$S$2,'AFA Rates'!$R$5:$R$1004,0),""),""))</f>
        <v/>
      </c>
      <c r="U464">
        <f>IF(S464="S",T464,IF(AND(S464="A",T464&lt;&gt;""),IFERROR(MATCH(INDEX('AFA Rates'!$A$5:$A$1004,T464),Firms!$A$5:$A$1004,0),""),""))</f>
        <v/>
      </c>
    </row>
    <row r="465">
      <c r="A465" s="78">
        <f>IF($T465="","",IF($S465="S",IF(INDEX(Firms!$A$5:$A$1004,$T465)="","",INDEX(Firms!$A$5:$A$1004,$T465)),IF(INDEX('AFA Rates'!$A$5:$A$1004,$T465)="","",INDEX('AFA Rates'!$A$5:$A$1004,$T465))))</f>
        <v/>
      </c>
      <c r="B465" s="79">
        <f>IF(OR($T465="",$U465=""),IF($T465="","","Not on Firms tab"),INDEX(Firms!$B$5:$B$1004,$U465)&amp;"")</f>
        <v/>
      </c>
      <c r="C465" s="78">
        <f>IF($T465="","",IF($S465="S","Standard",INDEX('AFA Rates'!$B$5:$B$1004,$T465)&amp;""))</f>
        <v/>
      </c>
      <c r="D465" s="88">
        <f>IF($T465="","",IF($S465="S",IF(INDEX(Firms!$E$5:$E$1004,$T465)="","",INDEX(Firms!$E$5:$E$1004,$T465)),IF(INDEX('AFA Rates'!$C$5:$C$1004,$T465)="","",INDEX('AFA Rates'!$C$5:$C$1004,$T465))))</f>
        <v/>
      </c>
      <c r="E465" s="88">
        <f>IF($T465="","",IF($S465="S",IF(""="","",""),IF(INDEX('AFA Rates'!$D$5:$D$1004,$T465)="","",INDEX('AFA Rates'!$D$5:$D$1004,$T465))))</f>
        <v/>
      </c>
      <c r="F465" s="79">
        <f>IF($T465="","",IF($S465="S",IF(INDEX(Firms!$O$5:$O$1004,$T465)="","",INDEX(Firms!$O$5:$O$1004,$T465)),IF(INDEX('AFA Rates'!$O$5:$O$1004,$T465)="","",INDEX('AFA Rates'!$O$5:$O$1004,$T465))))</f>
        <v/>
      </c>
      <c r="G465" s="50">
        <f>IF($T465="","",IF($S465="S",IF(INDEX(Firms!$F$5:$F$1004,$T465)="","",INDEX(Firms!$F$5:$F$1004,$T465)),IF(INDEX('AFA Rates'!$E$5:$E$1004,$T465)="","",INDEX('AFA Rates'!$E$5:$E$1004,$T465))))</f>
        <v/>
      </c>
      <c r="H465" s="50">
        <f>IF($T465="","",IF($S465="S",IF(INDEX(Firms!$G$5:$G$1004,$T465)="","",INDEX(Firms!$G$5:$G$1004,$T465)),IF(INDEX('AFA Rates'!$F$5:$F$1004,$T465)="","",INDEX('AFA Rates'!$F$5:$F$1004,$T465))))</f>
        <v/>
      </c>
      <c r="I465" s="50">
        <f>IF($T465="","",IF($S465="S",IF(INDEX(Firms!$H$5:$H$1004,$T465)="","",INDEX(Firms!$H$5:$H$1004,$T465)),IF(INDEX('AFA Rates'!$G$5:$G$1004,$T465)="","",INDEX('AFA Rates'!$G$5:$G$1004,$T465))))</f>
        <v/>
      </c>
      <c r="J465" s="50">
        <f>IF($T465="","",IF($S465="S",IF(INDEX(Firms!$I$5:$I$1004,$T465)="","",INDEX(Firms!$I$5:$I$1004,$T465)),IF(INDEX('AFA Rates'!$H$5:$H$1004,$T465)="","",INDEX('AFA Rates'!$H$5:$H$1004,$T465))))</f>
        <v/>
      </c>
      <c r="K465" s="50">
        <f>IF($T465="","",IF($S465="S",IF(INDEX(Firms!$J$5:$J$1004,$T465)="","",INDEX(Firms!$J$5:$J$1004,$T465)),IF(INDEX('AFA Rates'!$I$5:$I$1004,$T465)="","",INDEX('AFA Rates'!$I$5:$I$1004,$T465))))</f>
        <v/>
      </c>
      <c r="L465" s="50">
        <f>IF($T465="","",IF($S465="S",IF(INDEX(Firms!$K$5:$K$1004,$T465)="","",INDEX(Firms!$K$5:$K$1004,$T465)),IF(INDEX('AFA Rates'!$J$5:$J$1004,$T465)="","",INDEX('AFA Rates'!$J$5:$J$1004,$T465))))</f>
        <v/>
      </c>
      <c r="M465" s="50">
        <f>IF($T465="","",IF($S465="S",IF(INDEX(Firms!$L$5:$L$1004,$T465)="","",INDEX(Firms!$L$5:$L$1004,$T465)),IF(INDEX('AFA Rates'!$K$5:$K$1004,$T465)="","",INDEX('AFA Rates'!$K$5:$K$1004,$T465))))</f>
        <v/>
      </c>
      <c r="N465" s="50">
        <f>IF($T465="","",IF($S465="S",IF(INDEX(Firms!$M$5:$M$1004,$T465)="","",INDEX(Firms!$M$5:$M$1004,$T465)),IF(INDEX('AFA Rates'!$L$5:$L$1004,$T465)="","",INDEX('AFA Rates'!$L$5:$L$1004,$T465))))</f>
        <v/>
      </c>
      <c r="O465" s="78">
        <f>IF(OR($T465="",$U465=""),"",IF(INDEX(Firms!$C$5:$C$1004,$U465)="","",INDEX(Firms!$C$5:$C$1004,$U465)))</f>
        <v/>
      </c>
      <c r="P465" s="79">
        <f>IF(OR($T465="",$U465=""),"",IF(INDEX(Firms!$N$5:$N$1004,$U465)="","",INDEX(Firms!$N$5:$N$1004,$U465)))</f>
        <v/>
      </c>
      <c r="Q465" s="78">
        <f>IF($T465="","",IF($S465="S",IF(INDEX(Firms!$T$5:$T$1004,$T465)="","",INDEX(Firms!$T$5:$T$1004,$T465)),IF(INDEX('AFA Rates'!$M$5:$M$1004,$T465)="","",INDEX('AFA Rates'!$M$5:$M$1004,$T465))))</f>
        <v/>
      </c>
      <c r="S465">
        <f>IF(461&lt;=$S$2,"S",IF(461&lt;=$S$2+$T$2,"A",""))</f>
        <v/>
      </c>
      <c r="T465">
        <f>IF(S465="S",MATCH(461,Firms!$W$5:$W$1004,0),IF(S465="A",IFERROR(MATCH(461-$S$2,'AFA Rates'!$R$5:$R$1004,0),""),""))</f>
        <v/>
      </c>
      <c r="U465">
        <f>IF(S465="S",T465,IF(AND(S465="A",T465&lt;&gt;""),IFERROR(MATCH(INDEX('AFA Rates'!$A$5:$A$1004,T465),Firms!$A$5:$A$1004,0),""),""))</f>
        <v/>
      </c>
    </row>
    <row r="466">
      <c r="A466" s="78">
        <f>IF($T466="","",IF($S466="S",IF(INDEX(Firms!$A$5:$A$1004,$T466)="","",INDEX(Firms!$A$5:$A$1004,$T466)),IF(INDEX('AFA Rates'!$A$5:$A$1004,$T466)="","",INDEX('AFA Rates'!$A$5:$A$1004,$T466))))</f>
        <v/>
      </c>
      <c r="B466" s="79">
        <f>IF(OR($T466="",$U466=""),IF($T466="","","Not on Firms tab"),INDEX(Firms!$B$5:$B$1004,$U466)&amp;"")</f>
        <v/>
      </c>
      <c r="C466" s="78">
        <f>IF($T466="","",IF($S466="S","Standard",INDEX('AFA Rates'!$B$5:$B$1004,$T466)&amp;""))</f>
        <v/>
      </c>
      <c r="D466" s="88">
        <f>IF($T466="","",IF($S466="S",IF(INDEX(Firms!$E$5:$E$1004,$T466)="","",INDEX(Firms!$E$5:$E$1004,$T466)),IF(INDEX('AFA Rates'!$C$5:$C$1004,$T466)="","",INDEX('AFA Rates'!$C$5:$C$1004,$T466))))</f>
        <v/>
      </c>
      <c r="E466" s="88">
        <f>IF($T466="","",IF($S466="S",IF(""="","",""),IF(INDEX('AFA Rates'!$D$5:$D$1004,$T466)="","",INDEX('AFA Rates'!$D$5:$D$1004,$T466))))</f>
        <v/>
      </c>
      <c r="F466" s="79">
        <f>IF($T466="","",IF($S466="S",IF(INDEX(Firms!$O$5:$O$1004,$T466)="","",INDEX(Firms!$O$5:$O$1004,$T466)),IF(INDEX('AFA Rates'!$O$5:$O$1004,$T466)="","",INDEX('AFA Rates'!$O$5:$O$1004,$T466))))</f>
        <v/>
      </c>
      <c r="G466" s="50">
        <f>IF($T466="","",IF($S466="S",IF(INDEX(Firms!$F$5:$F$1004,$T466)="","",INDEX(Firms!$F$5:$F$1004,$T466)),IF(INDEX('AFA Rates'!$E$5:$E$1004,$T466)="","",INDEX('AFA Rates'!$E$5:$E$1004,$T466))))</f>
        <v/>
      </c>
      <c r="H466" s="50">
        <f>IF($T466="","",IF($S466="S",IF(INDEX(Firms!$G$5:$G$1004,$T466)="","",INDEX(Firms!$G$5:$G$1004,$T466)),IF(INDEX('AFA Rates'!$F$5:$F$1004,$T466)="","",INDEX('AFA Rates'!$F$5:$F$1004,$T466))))</f>
        <v/>
      </c>
      <c r="I466" s="50">
        <f>IF($T466="","",IF($S466="S",IF(INDEX(Firms!$H$5:$H$1004,$T466)="","",INDEX(Firms!$H$5:$H$1004,$T466)),IF(INDEX('AFA Rates'!$G$5:$G$1004,$T466)="","",INDEX('AFA Rates'!$G$5:$G$1004,$T466))))</f>
        <v/>
      </c>
      <c r="J466" s="50">
        <f>IF($T466="","",IF($S466="S",IF(INDEX(Firms!$I$5:$I$1004,$T466)="","",INDEX(Firms!$I$5:$I$1004,$T466)),IF(INDEX('AFA Rates'!$H$5:$H$1004,$T466)="","",INDEX('AFA Rates'!$H$5:$H$1004,$T466))))</f>
        <v/>
      </c>
      <c r="K466" s="50">
        <f>IF($T466="","",IF($S466="S",IF(INDEX(Firms!$J$5:$J$1004,$T466)="","",INDEX(Firms!$J$5:$J$1004,$T466)),IF(INDEX('AFA Rates'!$I$5:$I$1004,$T466)="","",INDEX('AFA Rates'!$I$5:$I$1004,$T466))))</f>
        <v/>
      </c>
      <c r="L466" s="50">
        <f>IF($T466="","",IF($S466="S",IF(INDEX(Firms!$K$5:$K$1004,$T466)="","",INDEX(Firms!$K$5:$K$1004,$T466)),IF(INDEX('AFA Rates'!$J$5:$J$1004,$T466)="","",INDEX('AFA Rates'!$J$5:$J$1004,$T466))))</f>
        <v/>
      </c>
      <c r="M466" s="50">
        <f>IF($T466="","",IF($S466="S",IF(INDEX(Firms!$L$5:$L$1004,$T466)="","",INDEX(Firms!$L$5:$L$1004,$T466)),IF(INDEX('AFA Rates'!$K$5:$K$1004,$T466)="","",INDEX('AFA Rates'!$K$5:$K$1004,$T466))))</f>
        <v/>
      </c>
      <c r="N466" s="50">
        <f>IF($T466="","",IF($S466="S",IF(INDEX(Firms!$M$5:$M$1004,$T466)="","",INDEX(Firms!$M$5:$M$1004,$T466)),IF(INDEX('AFA Rates'!$L$5:$L$1004,$T466)="","",INDEX('AFA Rates'!$L$5:$L$1004,$T466))))</f>
        <v/>
      </c>
      <c r="O466" s="78">
        <f>IF(OR($T466="",$U466=""),"",IF(INDEX(Firms!$C$5:$C$1004,$U466)="","",INDEX(Firms!$C$5:$C$1004,$U466)))</f>
        <v/>
      </c>
      <c r="P466" s="79">
        <f>IF(OR($T466="",$U466=""),"",IF(INDEX(Firms!$N$5:$N$1004,$U466)="","",INDEX(Firms!$N$5:$N$1004,$U466)))</f>
        <v/>
      </c>
      <c r="Q466" s="78">
        <f>IF($T466="","",IF($S466="S",IF(INDEX(Firms!$T$5:$T$1004,$T466)="","",INDEX(Firms!$T$5:$T$1004,$T466)),IF(INDEX('AFA Rates'!$M$5:$M$1004,$T466)="","",INDEX('AFA Rates'!$M$5:$M$1004,$T466))))</f>
        <v/>
      </c>
      <c r="S466">
        <f>IF(462&lt;=$S$2,"S",IF(462&lt;=$S$2+$T$2,"A",""))</f>
        <v/>
      </c>
      <c r="T466">
        <f>IF(S466="S",MATCH(462,Firms!$W$5:$W$1004,0),IF(S466="A",IFERROR(MATCH(462-$S$2,'AFA Rates'!$R$5:$R$1004,0),""),""))</f>
        <v/>
      </c>
      <c r="U466">
        <f>IF(S466="S",T466,IF(AND(S466="A",T466&lt;&gt;""),IFERROR(MATCH(INDEX('AFA Rates'!$A$5:$A$1004,T466),Firms!$A$5:$A$1004,0),""),""))</f>
        <v/>
      </c>
    </row>
    <row r="467">
      <c r="A467" s="78">
        <f>IF($T467="","",IF($S467="S",IF(INDEX(Firms!$A$5:$A$1004,$T467)="","",INDEX(Firms!$A$5:$A$1004,$T467)),IF(INDEX('AFA Rates'!$A$5:$A$1004,$T467)="","",INDEX('AFA Rates'!$A$5:$A$1004,$T467))))</f>
        <v/>
      </c>
      <c r="B467" s="79">
        <f>IF(OR($T467="",$U467=""),IF($T467="","","Not on Firms tab"),INDEX(Firms!$B$5:$B$1004,$U467)&amp;"")</f>
        <v/>
      </c>
      <c r="C467" s="78">
        <f>IF($T467="","",IF($S467="S","Standard",INDEX('AFA Rates'!$B$5:$B$1004,$T467)&amp;""))</f>
        <v/>
      </c>
      <c r="D467" s="88">
        <f>IF($T467="","",IF($S467="S",IF(INDEX(Firms!$E$5:$E$1004,$T467)="","",INDEX(Firms!$E$5:$E$1004,$T467)),IF(INDEX('AFA Rates'!$C$5:$C$1004,$T467)="","",INDEX('AFA Rates'!$C$5:$C$1004,$T467))))</f>
        <v/>
      </c>
      <c r="E467" s="88">
        <f>IF($T467="","",IF($S467="S",IF(""="","",""),IF(INDEX('AFA Rates'!$D$5:$D$1004,$T467)="","",INDEX('AFA Rates'!$D$5:$D$1004,$T467))))</f>
        <v/>
      </c>
      <c r="F467" s="79">
        <f>IF($T467="","",IF($S467="S",IF(INDEX(Firms!$O$5:$O$1004,$T467)="","",INDEX(Firms!$O$5:$O$1004,$T467)),IF(INDEX('AFA Rates'!$O$5:$O$1004,$T467)="","",INDEX('AFA Rates'!$O$5:$O$1004,$T467))))</f>
        <v/>
      </c>
      <c r="G467" s="50">
        <f>IF($T467="","",IF($S467="S",IF(INDEX(Firms!$F$5:$F$1004,$T467)="","",INDEX(Firms!$F$5:$F$1004,$T467)),IF(INDEX('AFA Rates'!$E$5:$E$1004,$T467)="","",INDEX('AFA Rates'!$E$5:$E$1004,$T467))))</f>
        <v/>
      </c>
      <c r="H467" s="50">
        <f>IF($T467="","",IF($S467="S",IF(INDEX(Firms!$G$5:$G$1004,$T467)="","",INDEX(Firms!$G$5:$G$1004,$T467)),IF(INDEX('AFA Rates'!$F$5:$F$1004,$T467)="","",INDEX('AFA Rates'!$F$5:$F$1004,$T467))))</f>
        <v/>
      </c>
      <c r="I467" s="50">
        <f>IF($T467="","",IF($S467="S",IF(INDEX(Firms!$H$5:$H$1004,$T467)="","",INDEX(Firms!$H$5:$H$1004,$T467)),IF(INDEX('AFA Rates'!$G$5:$G$1004,$T467)="","",INDEX('AFA Rates'!$G$5:$G$1004,$T467))))</f>
        <v/>
      </c>
      <c r="J467" s="50">
        <f>IF($T467="","",IF($S467="S",IF(INDEX(Firms!$I$5:$I$1004,$T467)="","",INDEX(Firms!$I$5:$I$1004,$T467)),IF(INDEX('AFA Rates'!$H$5:$H$1004,$T467)="","",INDEX('AFA Rates'!$H$5:$H$1004,$T467))))</f>
        <v/>
      </c>
      <c r="K467" s="50">
        <f>IF($T467="","",IF($S467="S",IF(INDEX(Firms!$J$5:$J$1004,$T467)="","",INDEX(Firms!$J$5:$J$1004,$T467)),IF(INDEX('AFA Rates'!$I$5:$I$1004,$T467)="","",INDEX('AFA Rates'!$I$5:$I$1004,$T467))))</f>
        <v/>
      </c>
      <c r="L467" s="50">
        <f>IF($T467="","",IF($S467="S",IF(INDEX(Firms!$K$5:$K$1004,$T467)="","",INDEX(Firms!$K$5:$K$1004,$T467)),IF(INDEX('AFA Rates'!$J$5:$J$1004,$T467)="","",INDEX('AFA Rates'!$J$5:$J$1004,$T467))))</f>
        <v/>
      </c>
      <c r="M467" s="50">
        <f>IF($T467="","",IF($S467="S",IF(INDEX(Firms!$L$5:$L$1004,$T467)="","",INDEX(Firms!$L$5:$L$1004,$T467)),IF(INDEX('AFA Rates'!$K$5:$K$1004,$T467)="","",INDEX('AFA Rates'!$K$5:$K$1004,$T467))))</f>
        <v/>
      </c>
      <c r="N467" s="50">
        <f>IF($T467="","",IF($S467="S",IF(INDEX(Firms!$M$5:$M$1004,$T467)="","",INDEX(Firms!$M$5:$M$1004,$T467)),IF(INDEX('AFA Rates'!$L$5:$L$1004,$T467)="","",INDEX('AFA Rates'!$L$5:$L$1004,$T467))))</f>
        <v/>
      </c>
      <c r="O467" s="78">
        <f>IF(OR($T467="",$U467=""),"",IF(INDEX(Firms!$C$5:$C$1004,$U467)="","",INDEX(Firms!$C$5:$C$1004,$U467)))</f>
        <v/>
      </c>
      <c r="P467" s="79">
        <f>IF(OR($T467="",$U467=""),"",IF(INDEX(Firms!$N$5:$N$1004,$U467)="","",INDEX(Firms!$N$5:$N$1004,$U467)))</f>
        <v/>
      </c>
      <c r="Q467" s="78">
        <f>IF($T467="","",IF($S467="S",IF(INDEX(Firms!$T$5:$T$1004,$T467)="","",INDEX(Firms!$T$5:$T$1004,$T467)),IF(INDEX('AFA Rates'!$M$5:$M$1004,$T467)="","",INDEX('AFA Rates'!$M$5:$M$1004,$T467))))</f>
        <v/>
      </c>
      <c r="S467">
        <f>IF(463&lt;=$S$2,"S",IF(463&lt;=$S$2+$T$2,"A",""))</f>
        <v/>
      </c>
      <c r="T467">
        <f>IF(S467="S",MATCH(463,Firms!$W$5:$W$1004,0),IF(S467="A",IFERROR(MATCH(463-$S$2,'AFA Rates'!$R$5:$R$1004,0),""),""))</f>
        <v/>
      </c>
      <c r="U467">
        <f>IF(S467="S",T467,IF(AND(S467="A",T467&lt;&gt;""),IFERROR(MATCH(INDEX('AFA Rates'!$A$5:$A$1004,T467),Firms!$A$5:$A$1004,0),""),""))</f>
        <v/>
      </c>
    </row>
    <row r="468">
      <c r="A468" s="78">
        <f>IF($T468="","",IF($S468="S",IF(INDEX(Firms!$A$5:$A$1004,$T468)="","",INDEX(Firms!$A$5:$A$1004,$T468)),IF(INDEX('AFA Rates'!$A$5:$A$1004,$T468)="","",INDEX('AFA Rates'!$A$5:$A$1004,$T468))))</f>
        <v/>
      </c>
      <c r="B468" s="79">
        <f>IF(OR($T468="",$U468=""),IF($T468="","","Not on Firms tab"),INDEX(Firms!$B$5:$B$1004,$U468)&amp;"")</f>
        <v/>
      </c>
      <c r="C468" s="78">
        <f>IF($T468="","",IF($S468="S","Standard",INDEX('AFA Rates'!$B$5:$B$1004,$T468)&amp;""))</f>
        <v/>
      </c>
      <c r="D468" s="88">
        <f>IF($T468="","",IF($S468="S",IF(INDEX(Firms!$E$5:$E$1004,$T468)="","",INDEX(Firms!$E$5:$E$1004,$T468)),IF(INDEX('AFA Rates'!$C$5:$C$1004,$T468)="","",INDEX('AFA Rates'!$C$5:$C$1004,$T468))))</f>
        <v/>
      </c>
      <c r="E468" s="88">
        <f>IF($T468="","",IF($S468="S",IF(""="","",""),IF(INDEX('AFA Rates'!$D$5:$D$1004,$T468)="","",INDEX('AFA Rates'!$D$5:$D$1004,$T468))))</f>
        <v/>
      </c>
      <c r="F468" s="79">
        <f>IF($T468="","",IF($S468="S",IF(INDEX(Firms!$O$5:$O$1004,$T468)="","",INDEX(Firms!$O$5:$O$1004,$T468)),IF(INDEX('AFA Rates'!$O$5:$O$1004,$T468)="","",INDEX('AFA Rates'!$O$5:$O$1004,$T468))))</f>
        <v/>
      </c>
      <c r="G468" s="50">
        <f>IF($T468="","",IF($S468="S",IF(INDEX(Firms!$F$5:$F$1004,$T468)="","",INDEX(Firms!$F$5:$F$1004,$T468)),IF(INDEX('AFA Rates'!$E$5:$E$1004,$T468)="","",INDEX('AFA Rates'!$E$5:$E$1004,$T468))))</f>
        <v/>
      </c>
      <c r="H468" s="50">
        <f>IF($T468="","",IF($S468="S",IF(INDEX(Firms!$G$5:$G$1004,$T468)="","",INDEX(Firms!$G$5:$G$1004,$T468)),IF(INDEX('AFA Rates'!$F$5:$F$1004,$T468)="","",INDEX('AFA Rates'!$F$5:$F$1004,$T468))))</f>
        <v/>
      </c>
      <c r="I468" s="50">
        <f>IF($T468="","",IF($S468="S",IF(INDEX(Firms!$H$5:$H$1004,$T468)="","",INDEX(Firms!$H$5:$H$1004,$T468)),IF(INDEX('AFA Rates'!$G$5:$G$1004,$T468)="","",INDEX('AFA Rates'!$G$5:$G$1004,$T468))))</f>
        <v/>
      </c>
      <c r="J468" s="50">
        <f>IF($T468="","",IF($S468="S",IF(INDEX(Firms!$I$5:$I$1004,$T468)="","",INDEX(Firms!$I$5:$I$1004,$T468)),IF(INDEX('AFA Rates'!$H$5:$H$1004,$T468)="","",INDEX('AFA Rates'!$H$5:$H$1004,$T468))))</f>
        <v/>
      </c>
      <c r="K468" s="50">
        <f>IF($T468="","",IF($S468="S",IF(INDEX(Firms!$J$5:$J$1004,$T468)="","",INDEX(Firms!$J$5:$J$1004,$T468)),IF(INDEX('AFA Rates'!$I$5:$I$1004,$T468)="","",INDEX('AFA Rates'!$I$5:$I$1004,$T468))))</f>
        <v/>
      </c>
      <c r="L468" s="50">
        <f>IF($T468="","",IF($S468="S",IF(INDEX(Firms!$K$5:$K$1004,$T468)="","",INDEX(Firms!$K$5:$K$1004,$T468)),IF(INDEX('AFA Rates'!$J$5:$J$1004,$T468)="","",INDEX('AFA Rates'!$J$5:$J$1004,$T468))))</f>
        <v/>
      </c>
      <c r="M468" s="50">
        <f>IF($T468="","",IF($S468="S",IF(INDEX(Firms!$L$5:$L$1004,$T468)="","",INDEX(Firms!$L$5:$L$1004,$T468)),IF(INDEX('AFA Rates'!$K$5:$K$1004,$T468)="","",INDEX('AFA Rates'!$K$5:$K$1004,$T468))))</f>
        <v/>
      </c>
      <c r="N468" s="50">
        <f>IF($T468="","",IF($S468="S",IF(INDEX(Firms!$M$5:$M$1004,$T468)="","",INDEX(Firms!$M$5:$M$1004,$T468)),IF(INDEX('AFA Rates'!$L$5:$L$1004,$T468)="","",INDEX('AFA Rates'!$L$5:$L$1004,$T468))))</f>
        <v/>
      </c>
      <c r="O468" s="78">
        <f>IF(OR($T468="",$U468=""),"",IF(INDEX(Firms!$C$5:$C$1004,$U468)="","",INDEX(Firms!$C$5:$C$1004,$U468)))</f>
        <v/>
      </c>
      <c r="P468" s="79">
        <f>IF(OR($T468="",$U468=""),"",IF(INDEX(Firms!$N$5:$N$1004,$U468)="","",INDEX(Firms!$N$5:$N$1004,$U468)))</f>
        <v/>
      </c>
      <c r="Q468" s="78">
        <f>IF($T468="","",IF($S468="S",IF(INDEX(Firms!$T$5:$T$1004,$T468)="","",INDEX(Firms!$T$5:$T$1004,$T468)),IF(INDEX('AFA Rates'!$M$5:$M$1004,$T468)="","",INDEX('AFA Rates'!$M$5:$M$1004,$T468))))</f>
        <v/>
      </c>
      <c r="S468">
        <f>IF(464&lt;=$S$2,"S",IF(464&lt;=$S$2+$T$2,"A",""))</f>
        <v/>
      </c>
      <c r="T468">
        <f>IF(S468="S",MATCH(464,Firms!$W$5:$W$1004,0),IF(S468="A",IFERROR(MATCH(464-$S$2,'AFA Rates'!$R$5:$R$1004,0),""),""))</f>
        <v/>
      </c>
      <c r="U468">
        <f>IF(S468="S",T468,IF(AND(S468="A",T468&lt;&gt;""),IFERROR(MATCH(INDEX('AFA Rates'!$A$5:$A$1004,T468),Firms!$A$5:$A$1004,0),""),""))</f>
        <v/>
      </c>
    </row>
    <row r="469">
      <c r="A469" s="78">
        <f>IF($T469="","",IF($S469="S",IF(INDEX(Firms!$A$5:$A$1004,$T469)="","",INDEX(Firms!$A$5:$A$1004,$T469)),IF(INDEX('AFA Rates'!$A$5:$A$1004,$T469)="","",INDEX('AFA Rates'!$A$5:$A$1004,$T469))))</f>
        <v/>
      </c>
      <c r="B469" s="79">
        <f>IF(OR($T469="",$U469=""),IF($T469="","","Not on Firms tab"),INDEX(Firms!$B$5:$B$1004,$U469)&amp;"")</f>
        <v/>
      </c>
      <c r="C469" s="78">
        <f>IF($T469="","",IF($S469="S","Standard",INDEX('AFA Rates'!$B$5:$B$1004,$T469)&amp;""))</f>
        <v/>
      </c>
      <c r="D469" s="88">
        <f>IF($T469="","",IF($S469="S",IF(INDEX(Firms!$E$5:$E$1004,$T469)="","",INDEX(Firms!$E$5:$E$1004,$T469)),IF(INDEX('AFA Rates'!$C$5:$C$1004,$T469)="","",INDEX('AFA Rates'!$C$5:$C$1004,$T469))))</f>
        <v/>
      </c>
      <c r="E469" s="88">
        <f>IF($T469="","",IF($S469="S",IF(""="","",""),IF(INDEX('AFA Rates'!$D$5:$D$1004,$T469)="","",INDEX('AFA Rates'!$D$5:$D$1004,$T469))))</f>
        <v/>
      </c>
      <c r="F469" s="79">
        <f>IF($T469="","",IF($S469="S",IF(INDEX(Firms!$O$5:$O$1004,$T469)="","",INDEX(Firms!$O$5:$O$1004,$T469)),IF(INDEX('AFA Rates'!$O$5:$O$1004,$T469)="","",INDEX('AFA Rates'!$O$5:$O$1004,$T469))))</f>
        <v/>
      </c>
      <c r="G469" s="50">
        <f>IF($T469="","",IF($S469="S",IF(INDEX(Firms!$F$5:$F$1004,$T469)="","",INDEX(Firms!$F$5:$F$1004,$T469)),IF(INDEX('AFA Rates'!$E$5:$E$1004,$T469)="","",INDEX('AFA Rates'!$E$5:$E$1004,$T469))))</f>
        <v/>
      </c>
      <c r="H469" s="50">
        <f>IF($T469="","",IF($S469="S",IF(INDEX(Firms!$G$5:$G$1004,$T469)="","",INDEX(Firms!$G$5:$G$1004,$T469)),IF(INDEX('AFA Rates'!$F$5:$F$1004,$T469)="","",INDEX('AFA Rates'!$F$5:$F$1004,$T469))))</f>
        <v/>
      </c>
      <c r="I469" s="50">
        <f>IF($T469="","",IF($S469="S",IF(INDEX(Firms!$H$5:$H$1004,$T469)="","",INDEX(Firms!$H$5:$H$1004,$T469)),IF(INDEX('AFA Rates'!$G$5:$G$1004,$T469)="","",INDEX('AFA Rates'!$G$5:$G$1004,$T469))))</f>
        <v/>
      </c>
      <c r="J469" s="50">
        <f>IF($T469="","",IF($S469="S",IF(INDEX(Firms!$I$5:$I$1004,$T469)="","",INDEX(Firms!$I$5:$I$1004,$T469)),IF(INDEX('AFA Rates'!$H$5:$H$1004,$T469)="","",INDEX('AFA Rates'!$H$5:$H$1004,$T469))))</f>
        <v/>
      </c>
      <c r="K469" s="50">
        <f>IF($T469="","",IF($S469="S",IF(INDEX(Firms!$J$5:$J$1004,$T469)="","",INDEX(Firms!$J$5:$J$1004,$T469)),IF(INDEX('AFA Rates'!$I$5:$I$1004,$T469)="","",INDEX('AFA Rates'!$I$5:$I$1004,$T469))))</f>
        <v/>
      </c>
      <c r="L469" s="50">
        <f>IF($T469="","",IF($S469="S",IF(INDEX(Firms!$K$5:$K$1004,$T469)="","",INDEX(Firms!$K$5:$K$1004,$T469)),IF(INDEX('AFA Rates'!$J$5:$J$1004,$T469)="","",INDEX('AFA Rates'!$J$5:$J$1004,$T469))))</f>
        <v/>
      </c>
      <c r="M469" s="50">
        <f>IF($T469="","",IF($S469="S",IF(INDEX(Firms!$L$5:$L$1004,$T469)="","",INDEX(Firms!$L$5:$L$1004,$T469)),IF(INDEX('AFA Rates'!$K$5:$K$1004,$T469)="","",INDEX('AFA Rates'!$K$5:$K$1004,$T469))))</f>
        <v/>
      </c>
      <c r="N469" s="50">
        <f>IF($T469="","",IF($S469="S",IF(INDEX(Firms!$M$5:$M$1004,$T469)="","",INDEX(Firms!$M$5:$M$1004,$T469)),IF(INDEX('AFA Rates'!$L$5:$L$1004,$T469)="","",INDEX('AFA Rates'!$L$5:$L$1004,$T469))))</f>
        <v/>
      </c>
      <c r="O469" s="78">
        <f>IF(OR($T469="",$U469=""),"",IF(INDEX(Firms!$C$5:$C$1004,$U469)="","",INDEX(Firms!$C$5:$C$1004,$U469)))</f>
        <v/>
      </c>
      <c r="P469" s="79">
        <f>IF(OR($T469="",$U469=""),"",IF(INDEX(Firms!$N$5:$N$1004,$U469)="","",INDEX(Firms!$N$5:$N$1004,$U469)))</f>
        <v/>
      </c>
      <c r="Q469" s="78">
        <f>IF($T469="","",IF($S469="S",IF(INDEX(Firms!$T$5:$T$1004,$T469)="","",INDEX(Firms!$T$5:$T$1004,$T469)),IF(INDEX('AFA Rates'!$M$5:$M$1004,$T469)="","",INDEX('AFA Rates'!$M$5:$M$1004,$T469))))</f>
        <v/>
      </c>
      <c r="S469">
        <f>IF(465&lt;=$S$2,"S",IF(465&lt;=$S$2+$T$2,"A",""))</f>
        <v/>
      </c>
      <c r="T469">
        <f>IF(S469="S",MATCH(465,Firms!$W$5:$W$1004,0),IF(S469="A",IFERROR(MATCH(465-$S$2,'AFA Rates'!$R$5:$R$1004,0),""),""))</f>
        <v/>
      </c>
      <c r="U469">
        <f>IF(S469="S",T469,IF(AND(S469="A",T469&lt;&gt;""),IFERROR(MATCH(INDEX('AFA Rates'!$A$5:$A$1004,T469),Firms!$A$5:$A$1004,0),""),""))</f>
        <v/>
      </c>
    </row>
    <row r="470">
      <c r="A470" s="78">
        <f>IF($T470="","",IF($S470="S",IF(INDEX(Firms!$A$5:$A$1004,$T470)="","",INDEX(Firms!$A$5:$A$1004,$T470)),IF(INDEX('AFA Rates'!$A$5:$A$1004,$T470)="","",INDEX('AFA Rates'!$A$5:$A$1004,$T470))))</f>
        <v/>
      </c>
      <c r="B470" s="79">
        <f>IF(OR($T470="",$U470=""),IF($T470="","","Not on Firms tab"),INDEX(Firms!$B$5:$B$1004,$U470)&amp;"")</f>
        <v/>
      </c>
      <c r="C470" s="78">
        <f>IF($T470="","",IF($S470="S","Standard",INDEX('AFA Rates'!$B$5:$B$1004,$T470)&amp;""))</f>
        <v/>
      </c>
      <c r="D470" s="88">
        <f>IF($T470="","",IF($S470="S",IF(INDEX(Firms!$E$5:$E$1004,$T470)="","",INDEX(Firms!$E$5:$E$1004,$T470)),IF(INDEX('AFA Rates'!$C$5:$C$1004,$T470)="","",INDEX('AFA Rates'!$C$5:$C$1004,$T470))))</f>
        <v/>
      </c>
      <c r="E470" s="88">
        <f>IF($T470="","",IF($S470="S",IF(""="","",""),IF(INDEX('AFA Rates'!$D$5:$D$1004,$T470)="","",INDEX('AFA Rates'!$D$5:$D$1004,$T470))))</f>
        <v/>
      </c>
      <c r="F470" s="79">
        <f>IF($T470="","",IF($S470="S",IF(INDEX(Firms!$O$5:$O$1004,$T470)="","",INDEX(Firms!$O$5:$O$1004,$T470)),IF(INDEX('AFA Rates'!$O$5:$O$1004,$T470)="","",INDEX('AFA Rates'!$O$5:$O$1004,$T470))))</f>
        <v/>
      </c>
      <c r="G470" s="50">
        <f>IF($T470="","",IF($S470="S",IF(INDEX(Firms!$F$5:$F$1004,$T470)="","",INDEX(Firms!$F$5:$F$1004,$T470)),IF(INDEX('AFA Rates'!$E$5:$E$1004,$T470)="","",INDEX('AFA Rates'!$E$5:$E$1004,$T470))))</f>
        <v/>
      </c>
      <c r="H470" s="50">
        <f>IF($T470="","",IF($S470="S",IF(INDEX(Firms!$G$5:$G$1004,$T470)="","",INDEX(Firms!$G$5:$G$1004,$T470)),IF(INDEX('AFA Rates'!$F$5:$F$1004,$T470)="","",INDEX('AFA Rates'!$F$5:$F$1004,$T470))))</f>
        <v/>
      </c>
      <c r="I470" s="50">
        <f>IF($T470="","",IF($S470="S",IF(INDEX(Firms!$H$5:$H$1004,$T470)="","",INDEX(Firms!$H$5:$H$1004,$T470)),IF(INDEX('AFA Rates'!$G$5:$G$1004,$T470)="","",INDEX('AFA Rates'!$G$5:$G$1004,$T470))))</f>
        <v/>
      </c>
      <c r="J470" s="50">
        <f>IF($T470="","",IF($S470="S",IF(INDEX(Firms!$I$5:$I$1004,$T470)="","",INDEX(Firms!$I$5:$I$1004,$T470)),IF(INDEX('AFA Rates'!$H$5:$H$1004,$T470)="","",INDEX('AFA Rates'!$H$5:$H$1004,$T470))))</f>
        <v/>
      </c>
      <c r="K470" s="50">
        <f>IF($T470="","",IF($S470="S",IF(INDEX(Firms!$J$5:$J$1004,$T470)="","",INDEX(Firms!$J$5:$J$1004,$T470)),IF(INDEX('AFA Rates'!$I$5:$I$1004,$T470)="","",INDEX('AFA Rates'!$I$5:$I$1004,$T470))))</f>
        <v/>
      </c>
      <c r="L470" s="50">
        <f>IF($T470="","",IF($S470="S",IF(INDEX(Firms!$K$5:$K$1004,$T470)="","",INDEX(Firms!$K$5:$K$1004,$T470)),IF(INDEX('AFA Rates'!$J$5:$J$1004,$T470)="","",INDEX('AFA Rates'!$J$5:$J$1004,$T470))))</f>
        <v/>
      </c>
      <c r="M470" s="50">
        <f>IF($T470="","",IF($S470="S",IF(INDEX(Firms!$L$5:$L$1004,$T470)="","",INDEX(Firms!$L$5:$L$1004,$T470)),IF(INDEX('AFA Rates'!$K$5:$K$1004,$T470)="","",INDEX('AFA Rates'!$K$5:$K$1004,$T470))))</f>
        <v/>
      </c>
      <c r="N470" s="50">
        <f>IF($T470="","",IF($S470="S",IF(INDEX(Firms!$M$5:$M$1004,$T470)="","",INDEX(Firms!$M$5:$M$1004,$T470)),IF(INDEX('AFA Rates'!$L$5:$L$1004,$T470)="","",INDEX('AFA Rates'!$L$5:$L$1004,$T470))))</f>
        <v/>
      </c>
      <c r="O470" s="78">
        <f>IF(OR($T470="",$U470=""),"",IF(INDEX(Firms!$C$5:$C$1004,$U470)="","",INDEX(Firms!$C$5:$C$1004,$U470)))</f>
        <v/>
      </c>
      <c r="P470" s="79">
        <f>IF(OR($T470="",$U470=""),"",IF(INDEX(Firms!$N$5:$N$1004,$U470)="","",INDEX(Firms!$N$5:$N$1004,$U470)))</f>
        <v/>
      </c>
      <c r="Q470" s="78">
        <f>IF($T470="","",IF($S470="S",IF(INDEX(Firms!$T$5:$T$1004,$T470)="","",INDEX(Firms!$T$5:$T$1004,$T470)),IF(INDEX('AFA Rates'!$M$5:$M$1004,$T470)="","",INDEX('AFA Rates'!$M$5:$M$1004,$T470))))</f>
        <v/>
      </c>
      <c r="S470">
        <f>IF(466&lt;=$S$2,"S",IF(466&lt;=$S$2+$T$2,"A",""))</f>
        <v/>
      </c>
      <c r="T470">
        <f>IF(S470="S",MATCH(466,Firms!$W$5:$W$1004,0),IF(S470="A",IFERROR(MATCH(466-$S$2,'AFA Rates'!$R$5:$R$1004,0),""),""))</f>
        <v/>
      </c>
      <c r="U470">
        <f>IF(S470="S",T470,IF(AND(S470="A",T470&lt;&gt;""),IFERROR(MATCH(INDEX('AFA Rates'!$A$5:$A$1004,T470),Firms!$A$5:$A$1004,0),""),""))</f>
        <v/>
      </c>
    </row>
    <row r="471">
      <c r="A471" s="78">
        <f>IF($T471="","",IF($S471="S",IF(INDEX(Firms!$A$5:$A$1004,$T471)="","",INDEX(Firms!$A$5:$A$1004,$T471)),IF(INDEX('AFA Rates'!$A$5:$A$1004,$T471)="","",INDEX('AFA Rates'!$A$5:$A$1004,$T471))))</f>
        <v/>
      </c>
      <c r="B471" s="79">
        <f>IF(OR($T471="",$U471=""),IF($T471="","","Not on Firms tab"),INDEX(Firms!$B$5:$B$1004,$U471)&amp;"")</f>
        <v/>
      </c>
      <c r="C471" s="78">
        <f>IF($T471="","",IF($S471="S","Standard",INDEX('AFA Rates'!$B$5:$B$1004,$T471)&amp;""))</f>
        <v/>
      </c>
      <c r="D471" s="88">
        <f>IF($T471="","",IF($S471="S",IF(INDEX(Firms!$E$5:$E$1004,$T471)="","",INDEX(Firms!$E$5:$E$1004,$T471)),IF(INDEX('AFA Rates'!$C$5:$C$1004,$T471)="","",INDEX('AFA Rates'!$C$5:$C$1004,$T471))))</f>
        <v/>
      </c>
      <c r="E471" s="88">
        <f>IF($T471="","",IF($S471="S",IF(""="","",""),IF(INDEX('AFA Rates'!$D$5:$D$1004,$T471)="","",INDEX('AFA Rates'!$D$5:$D$1004,$T471))))</f>
        <v/>
      </c>
      <c r="F471" s="79">
        <f>IF($T471="","",IF($S471="S",IF(INDEX(Firms!$O$5:$O$1004,$T471)="","",INDEX(Firms!$O$5:$O$1004,$T471)),IF(INDEX('AFA Rates'!$O$5:$O$1004,$T471)="","",INDEX('AFA Rates'!$O$5:$O$1004,$T471))))</f>
        <v/>
      </c>
      <c r="G471" s="50">
        <f>IF($T471="","",IF($S471="S",IF(INDEX(Firms!$F$5:$F$1004,$T471)="","",INDEX(Firms!$F$5:$F$1004,$T471)),IF(INDEX('AFA Rates'!$E$5:$E$1004,$T471)="","",INDEX('AFA Rates'!$E$5:$E$1004,$T471))))</f>
        <v/>
      </c>
      <c r="H471" s="50">
        <f>IF($T471="","",IF($S471="S",IF(INDEX(Firms!$G$5:$G$1004,$T471)="","",INDEX(Firms!$G$5:$G$1004,$T471)),IF(INDEX('AFA Rates'!$F$5:$F$1004,$T471)="","",INDEX('AFA Rates'!$F$5:$F$1004,$T471))))</f>
        <v/>
      </c>
      <c r="I471" s="50">
        <f>IF($T471="","",IF($S471="S",IF(INDEX(Firms!$H$5:$H$1004,$T471)="","",INDEX(Firms!$H$5:$H$1004,$T471)),IF(INDEX('AFA Rates'!$G$5:$G$1004,$T471)="","",INDEX('AFA Rates'!$G$5:$G$1004,$T471))))</f>
        <v/>
      </c>
      <c r="J471" s="50">
        <f>IF($T471="","",IF($S471="S",IF(INDEX(Firms!$I$5:$I$1004,$T471)="","",INDEX(Firms!$I$5:$I$1004,$T471)),IF(INDEX('AFA Rates'!$H$5:$H$1004,$T471)="","",INDEX('AFA Rates'!$H$5:$H$1004,$T471))))</f>
        <v/>
      </c>
      <c r="K471" s="50">
        <f>IF($T471="","",IF($S471="S",IF(INDEX(Firms!$J$5:$J$1004,$T471)="","",INDEX(Firms!$J$5:$J$1004,$T471)),IF(INDEX('AFA Rates'!$I$5:$I$1004,$T471)="","",INDEX('AFA Rates'!$I$5:$I$1004,$T471))))</f>
        <v/>
      </c>
      <c r="L471" s="50">
        <f>IF($T471="","",IF($S471="S",IF(INDEX(Firms!$K$5:$K$1004,$T471)="","",INDEX(Firms!$K$5:$K$1004,$T471)),IF(INDEX('AFA Rates'!$J$5:$J$1004,$T471)="","",INDEX('AFA Rates'!$J$5:$J$1004,$T471))))</f>
        <v/>
      </c>
      <c r="M471" s="50">
        <f>IF($T471="","",IF($S471="S",IF(INDEX(Firms!$L$5:$L$1004,$T471)="","",INDEX(Firms!$L$5:$L$1004,$T471)),IF(INDEX('AFA Rates'!$K$5:$K$1004,$T471)="","",INDEX('AFA Rates'!$K$5:$K$1004,$T471))))</f>
        <v/>
      </c>
      <c r="N471" s="50">
        <f>IF($T471="","",IF($S471="S",IF(INDEX(Firms!$M$5:$M$1004,$T471)="","",INDEX(Firms!$M$5:$M$1004,$T471)),IF(INDEX('AFA Rates'!$L$5:$L$1004,$T471)="","",INDEX('AFA Rates'!$L$5:$L$1004,$T471))))</f>
        <v/>
      </c>
      <c r="O471" s="78">
        <f>IF(OR($T471="",$U471=""),"",IF(INDEX(Firms!$C$5:$C$1004,$U471)="","",INDEX(Firms!$C$5:$C$1004,$U471)))</f>
        <v/>
      </c>
      <c r="P471" s="79">
        <f>IF(OR($T471="",$U471=""),"",IF(INDEX(Firms!$N$5:$N$1004,$U471)="","",INDEX(Firms!$N$5:$N$1004,$U471)))</f>
        <v/>
      </c>
      <c r="Q471" s="78">
        <f>IF($T471="","",IF($S471="S",IF(INDEX(Firms!$T$5:$T$1004,$T471)="","",INDEX(Firms!$T$5:$T$1004,$T471)),IF(INDEX('AFA Rates'!$M$5:$M$1004,$T471)="","",INDEX('AFA Rates'!$M$5:$M$1004,$T471))))</f>
        <v/>
      </c>
      <c r="S471">
        <f>IF(467&lt;=$S$2,"S",IF(467&lt;=$S$2+$T$2,"A",""))</f>
        <v/>
      </c>
      <c r="T471">
        <f>IF(S471="S",MATCH(467,Firms!$W$5:$W$1004,0),IF(S471="A",IFERROR(MATCH(467-$S$2,'AFA Rates'!$R$5:$R$1004,0),""),""))</f>
        <v/>
      </c>
      <c r="U471">
        <f>IF(S471="S",T471,IF(AND(S471="A",T471&lt;&gt;""),IFERROR(MATCH(INDEX('AFA Rates'!$A$5:$A$1004,T471),Firms!$A$5:$A$1004,0),""),""))</f>
        <v/>
      </c>
    </row>
    <row r="472">
      <c r="A472" s="78">
        <f>IF($T472="","",IF($S472="S",IF(INDEX(Firms!$A$5:$A$1004,$T472)="","",INDEX(Firms!$A$5:$A$1004,$T472)),IF(INDEX('AFA Rates'!$A$5:$A$1004,$T472)="","",INDEX('AFA Rates'!$A$5:$A$1004,$T472))))</f>
        <v/>
      </c>
      <c r="B472" s="79">
        <f>IF(OR($T472="",$U472=""),IF($T472="","","Not on Firms tab"),INDEX(Firms!$B$5:$B$1004,$U472)&amp;"")</f>
        <v/>
      </c>
      <c r="C472" s="78">
        <f>IF($T472="","",IF($S472="S","Standard",INDEX('AFA Rates'!$B$5:$B$1004,$T472)&amp;""))</f>
        <v/>
      </c>
      <c r="D472" s="88">
        <f>IF($T472="","",IF($S472="S",IF(INDEX(Firms!$E$5:$E$1004,$T472)="","",INDEX(Firms!$E$5:$E$1004,$T472)),IF(INDEX('AFA Rates'!$C$5:$C$1004,$T472)="","",INDEX('AFA Rates'!$C$5:$C$1004,$T472))))</f>
        <v/>
      </c>
      <c r="E472" s="88">
        <f>IF($T472="","",IF($S472="S",IF(""="","",""),IF(INDEX('AFA Rates'!$D$5:$D$1004,$T472)="","",INDEX('AFA Rates'!$D$5:$D$1004,$T472))))</f>
        <v/>
      </c>
      <c r="F472" s="79">
        <f>IF($T472="","",IF($S472="S",IF(INDEX(Firms!$O$5:$O$1004,$T472)="","",INDEX(Firms!$O$5:$O$1004,$T472)),IF(INDEX('AFA Rates'!$O$5:$O$1004,$T472)="","",INDEX('AFA Rates'!$O$5:$O$1004,$T472))))</f>
        <v/>
      </c>
      <c r="G472" s="50">
        <f>IF($T472="","",IF($S472="S",IF(INDEX(Firms!$F$5:$F$1004,$T472)="","",INDEX(Firms!$F$5:$F$1004,$T472)),IF(INDEX('AFA Rates'!$E$5:$E$1004,$T472)="","",INDEX('AFA Rates'!$E$5:$E$1004,$T472))))</f>
        <v/>
      </c>
      <c r="H472" s="50">
        <f>IF($T472="","",IF($S472="S",IF(INDEX(Firms!$G$5:$G$1004,$T472)="","",INDEX(Firms!$G$5:$G$1004,$T472)),IF(INDEX('AFA Rates'!$F$5:$F$1004,$T472)="","",INDEX('AFA Rates'!$F$5:$F$1004,$T472))))</f>
        <v/>
      </c>
      <c r="I472" s="50">
        <f>IF($T472="","",IF($S472="S",IF(INDEX(Firms!$H$5:$H$1004,$T472)="","",INDEX(Firms!$H$5:$H$1004,$T472)),IF(INDEX('AFA Rates'!$G$5:$G$1004,$T472)="","",INDEX('AFA Rates'!$G$5:$G$1004,$T472))))</f>
        <v/>
      </c>
      <c r="J472" s="50">
        <f>IF($T472="","",IF($S472="S",IF(INDEX(Firms!$I$5:$I$1004,$T472)="","",INDEX(Firms!$I$5:$I$1004,$T472)),IF(INDEX('AFA Rates'!$H$5:$H$1004,$T472)="","",INDEX('AFA Rates'!$H$5:$H$1004,$T472))))</f>
        <v/>
      </c>
      <c r="K472" s="50">
        <f>IF($T472="","",IF($S472="S",IF(INDEX(Firms!$J$5:$J$1004,$T472)="","",INDEX(Firms!$J$5:$J$1004,$T472)),IF(INDEX('AFA Rates'!$I$5:$I$1004,$T472)="","",INDEX('AFA Rates'!$I$5:$I$1004,$T472))))</f>
        <v/>
      </c>
      <c r="L472" s="50">
        <f>IF($T472="","",IF($S472="S",IF(INDEX(Firms!$K$5:$K$1004,$T472)="","",INDEX(Firms!$K$5:$K$1004,$T472)),IF(INDEX('AFA Rates'!$J$5:$J$1004,$T472)="","",INDEX('AFA Rates'!$J$5:$J$1004,$T472))))</f>
        <v/>
      </c>
      <c r="M472" s="50">
        <f>IF($T472="","",IF($S472="S",IF(INDEX(Firms!$L$5:$L$1004,$T472)="","",INDEX(Firms!$L$5:$L$1004,$T472)),IF(INDEX('AFA Rates'!$K$5:$K$1004,$T472)="","",INDEX('AFA Rates'!$K$5:$K$1004,$T472))))</f>
        <v/>
      </c>
      <c r="N472" s="50">
        <f>IF($T472="","",IF($S472="S",IF(INDEX(Firms!$M$5:$M$1004,$T472)="","",INDEX(Firms!$M$5:$M$1004,$T472)),IF(INDEX('AFA Rates'!$L$5:$L$1004,$T472)="","",INDEX('AFA Rates'!$L$5:$L$1004,$T472))))</f>
        <v/>
      </c>
      <c r="O472" s="78">
        <f>IF(OR($T472="",$U472=""),"",IF(INDEX(Firms!$C$5:$C$1004,$U472)="","",INDEX(Firms!$C$5:$C$1004,$U472)))</f>
        <v/>
      </c>
      <c r="P472" s="79">
        <f>IF(OR($T472="",$U472=""),"",IF(INDEX(Firms!$N$5:$N$1004,$U472)="","",INDEX(Firms!$N$5:$N$1004,$U472)))</f>
        <v/>
      </c>
      <c r="Q472" s="78">
        <f>IF($T472="","",IF($S472="S",IF(INDEX(Firms!$T$5:$T$1004,$T472)="","",INDEX(Firms!$T$5:$T$1004,$T472)),IF(INDEX('AFA Rates'!$M$5:$M$1004,$T472)="","",INDEX('AFA Rates'!$M$5:$M$1004,$T472))))</f>
        <v/>
      </c>
      <c r="S472">
        <f>IF(468&lt;=$S$2,"S",IF(468&lt;=$S$2+$T$2,"A",""))</f>
        <v/>
      </c>
      <c r="T472">
        <f>IF(S472="S",MATCH(468,Firms!$W$5:$W$1004,0),IF(S472="A",IFERROR(MATCH(468-$S$2,'AFA Rates'!$R$5:$R$1004,0),""),""))</f>
        <v/>
      </c>
      <c r="U472">
        <f>IF(S472="S",T472,IF(AND(S472="A",T472&lt;&gt;""),IFERROR(MATCH(INDEX('AFA Rates'!$A$5:$A$1004,T472),Firms!$A$5:$A$1004,0),""),""))</f>
        <v/>
      </c>
    </row>
    <row r="473">
      <c r="A473" s="78">
        <f>IF($T473="","",IF($S473="S",IF(INDEX(Firms!$A$5:$A$1004,$T473)="","",INDEX(Firms!$A$5:$A$1004,$T473)),IF(INDEX('AFA Rates'!$A$5:$A$1004,$T473)="","",INDEX('AFA Rates'!$A$5:$A$1004,$T473))))</f>
        <v/>
      </c>
      <c r="B473" s="79">
        <f>IF(OR($T473="",$U473=""),IF($T473="","","Not on Firms tab"),INDEX(Firms!$B$5:$B$1004,$U473)&amp;"")</f>
        <v/>
      </c>
      <c r="C473" s="78">
        <f>IF($T473="","",IF($S473="S","Standard",INDEX('AFA Rates'!$B$5:$B$1004,$T473)&amp;""))</f>
        <v/>
      </c>
      <c r="D473" s="88">
        <f>IF($T473="","",IF($S473="S",IF(INDEX(Firms!$E$5:$E$1004,$T473)="","",INDEX(Firms!$E$5:$E$1004,$T473)),IF(INDEX('AFA Rates'!$C$5:$C$1004,$T473)="","",INDEX('AFA Rates'!$C$5:$C$1004,$T473))))</f>
        <v/>
      </c>
      <c r="E473" s="88">
        <f>IF($T473="","",IF($S473="S",IF(""="","",""),IF(INDEX('AFA Rates'!$D$5:$D$1004,$T473)="","",INDEX('AFA Rates'!$D$5:$D$1004,$T473))))</f>
        <v/>
      </c>
      <c r="F473" s="79">
        <f>IF($T473="","",IF($S473="S",IF(INDEX(Firms!$O$5:$O$1004,$T473)="","",INDEX(Firms!$O$5:$O$1004,$T473)),IF(INDEX('AFA Rates'!$O$5:$O$1004,$T473)="","",INDEX('AFA Rates'!$O$5:$O$1004,$T473))))</f>
        <v/>
      </c>
      <c r="G473" s="50">
        <f>IF($T473="","",IF($S473="S",IF(INDEX(Firms!$F$5:$F$1004,$T473)="","",INDEX(Firms!$F$5:$F$1004,$T473)),IF(INDEX('AFA Rates'!$E$5:$E$1004,$T473)="","",INDEX('AFA Rates'!$E$5:$E$1004,$T473))))</f>
        <v/>
      </c>
      <c r="H473" s="50">
        <f>IF($T473="","",IF($S473="S",IF(INDEX(Firms!$G$5:$G$1004,$T473)="","",INDEX(Firms!$G$5:$G$1004,$T473)),IF(INDEX('AFA Rates'!$F$5:$F$1004,$T473)="","",INDEX('AFA Rates'!$F$5:$F$1004,$T473))))</f>
        <v/>
      </c>
      <c r="I473" s="50">
        <f>IF($T473="","",IF($S473="S",IF(INDEX(Firms!$H$5:$H$1004,$T473)="","",INDEX(Firms!$H$5:$H$1004,$T473)),IF(INDEX('AFA Rates'!$G$5:$G$1004,$T473)="","",INDEX('AFA Rates'!$G$5:$G$1004,$T473))))</f>
        <v/>
      </c>
      <c r="J473" s="50">
        <f>IF($T473="","",IF($S473="S",IF(INDEX(Firms!$I$5:$I$1004,$T473)="","",INDEX(Firms!$I$5:$I$1004,$T473)),IF(INDEX('AFA Rates'!$H$5:$H$1004,$T473)="","",INDEX('AFA Rates'!$H$5:$H$1004,$T473))))</f>
        <v/>
      </c>
      <c r="K473" s="50">
        <f>IF($T473="","",IF($S473="S",IF(INDEX(Firms!$J$5:$J$1004,$T473)="","",INDEX(Firms!$J$5:$J$1004,$T473)),IF(INDEX('AFA Rates'!$I$5:$I$1004,$T473)="","",INDEX('AFA Rates'!$I$5:$I$1004,$T473))))</f>
        <v/>
      </c>
      <c r="L473" s="50">
        <f>IF($T473="","",IF($S473="S",IF(INDEX(Firms!$K$5:$K$1004,$T473)="","",INDEX(Firms!$K$5:$K$1004,$T473)),IF(INDEX('AFA Rates'!$J$5:$J$1004,$T473)="","",INDEX('AFA Rates'!$J$5:$J$1004,$T473))))</f>
        <v/>
      </c>
      <c r="M473" s="50">
        <f>IF($T473="","",IF($S473="S",IF(INDEX(Firms!$L$5:$L$1004,$T473)="","",INDEX(Firms!$L$5:$L$1004,$T473)),IF(INDEX('AFA Rates'!$K$5:$K$1004,$T473)="","",INDEX('AFA Rates'!$K$5:$K$1004,$T473))))</f>
        <v/>
      </c>
      <c r="N473" s="50">
        <f>IF($T473="","",IF($S473="S",IF(INDEX(Firms!$M$5:$M$1004,$T473)="","",INDEX(Firms!$M$5:$M$1004,$T473)),IF(INDEX('AFA Rates'!$L$5:$L$1004,$T473)="","",INDEX('AFA Rates'!$L$5:$L$1004,$T473))))</f>
        <v/>
      </c>
      <c r="O473" s="78">
        <f>IF(OR($T473="",$U473=""),"",IF(INDEX(Firms!$C$5:$C$1004,$U473)="","",INDEX(Firms!$C$5:$C$1004,$U473)))</f>
        <v/>
      </c>
      <c r="P473" s="79">
        <f>IF(OR($T473="",$U473=""),"",IF(INDEX(Firms!$N$5:$N$1004,$U473)="","",INDEX(Firms!$N$5:$N$1004,$U473)))</f>
        <v/>
      </c>
      <c r="Q473" s="78">
        <f>IF($T473="","",IF($S473="S",IF(INDEX(Firms!$T$5:$T$1004,$T473)="","",INDEX(Firms!$T$5:$T$1004,$T473)),IF(INDEX('AFA Rates'!$M$5:$M$1004,$T473)="","",INDEX('AFA Rates'!$M$5:$M$1004,$T473))))</f>
        <v/>
      </c>
      <c r="S473">
        <f>IF(469&lt;=$S$2,"S",IF(469&lt;=$S$2+$T$2,"A",""))</f>
        <v/>
      </c>
      <c r="T473">
        <f>IF(S473="S",MATCH(469,Firms!$W$5:$W$1004,0),IF(S473="A",IFERROR(MATCH(469-$S$2,'AFA Rates'!$R$5:$R$1004,0),""),""))</f>
        <v/>
      </c>
      <c r="U473">
        <f>IF(S473="S",T473,IF(AND(S473="A",T473&lt;&gt;""),IFERROR(MATCH(INDEX('AFA Rates'!$A$5:$A$1004,T473),Firms!$A$5:$A$1004,0),""),""))</f>
        <v/>
      </c>
    </row>
    <row r="474">
      <c r="A474" s="78">
        <f>IF($T474="","",IF($S474="S",IF(INDEX(Firms!$A$5:$A$1004,$T474)="","",INDEX(Firms!$A$5:$A$1004,$T474)),IF(INDEX('AFA Rates'!$A$5:$A$1004,$T474)="","",INDEX('AFA Rates'!$A$5:$A$1004,$T474))))</f>
        <v/>
      </c>
      <c r="B474" s="79">
        <f>IF(OR($T474="",$U474=""),IF($T474="","","Not on Firms tab"),INDEX(Firms!$B$5:$B$1004,$U474)&amp;"")</f>
        <v/>
      </c>
      <c r="C474" s="78">
        <f>IF($T474="","",IF($S474="S","Standard",INDEX('AFA Rates'!$B$5:$B$1004,$T474)&amp;""))</f>
        <v/>
      </c>
      <c r="D474" s="88">
        <f>IF($T474="","",IF($S474="S",IF(INDEX(Firms!$E$5:$E$1004,$T474)="","",INDEX(Firms!$E$5:$E$1004,$T474)),IF(INDEX('AFA Rates'!$C$5:$C$1004,$T474)="","",INDEX('AFA Rates'!$C$5:$C$1004,$T474))))</f>
        <v/>
      </c>
      <c r="E474" s="88">
        <f>IF($T474="","",IF($S474="S",IF(""="","",""),IF(INDEX('AFA Rates'!$D$5:$D$1004,$T474)="","",INDEX('AFA Rates'!$D$5:$D$1004,$T474))))</f>
        <v/>
      </c>
      <c r="F474" s="79">
        <f>IF($T474="","",IF($S474="S",IF(INDEX(Firms!$O$5:$O$1004,$T474)="","",INDEX(Firms!$O$5:$O$1004,$T474)),IF(INDEX('AFA Rates'!$O$5:$O$1004,$T474)="","",INDEX('AFA Rates'!$O$5:$O$1004,$T474))))</f>
        <v/>
      </c>
      <c r="G474" s="50">
        <f>IF($T474="","",IF($S474="S",IF(INDEX(Firms!$F$5:$F$1004,$T474)="","",INDEX(Firms!$F$5:$F$1004,$T474)),IF(INDEX('AFA Rates'!$E$5:$E$1004,$T474)="","",INDEX('AFA Rates'!$E$5:$E$1004,$T474))))</f>
        <v/>
      </c>
      <c r="H474" s="50">
        <f>IF($T474="","",IF($S474="S",IF(INDEX(Firms!$G$5:$G$1004,$T474)="","",INDEX(Firms!$G$5:$G$1004,$T474)),IF(INDEX('AFA Rates'!$F$5:$F$1004,$T474)="","",INDEX('AFA Rates'!$F$5:$F$1004,$T474))))</f>
        <v/>
      </c>
      <c r="I474" s="50">
        <f>IF($T474="","",IF($S474="S",IF(INDEX(Firms!$H$5:$H$1004,$T474)="","",INDEX(Firms!$H$5:$H$1004,$T474)),IF(INDEX('AFA Rates'!$G$5:$G$1004,$T474)="","",INDEX('AFA Rates'!$G$5:$G$1004,$T474))))</f>
        <v/>
      </c>
      <c r="J474" s="50">
        <f>IF($T474="","",IF($S474="S",IF(INDEX(Firms!$I$5:$I$1004,$T474)="","",INDEX(Firms!$I$5:$I$1004,$T474)),IF(INDEX('AFA Rates'!$H$5:$H$1004,$T474)="","",INDEX('AFA Rates'!$H$5:$H$1004,$T474))))</f>
        <v/>
      </c>
      <c r="K474" s="50">
        <f>IF($T474="","",IF($S474="S",IF(INDEX(Firms!$J$5:$J$1004,$T474)="","",INDEX(Firms!$J$5:$J$1004,$T474)),IF(INDEX('AFA Rates'!$I$5:$I$1004,$T474)="","",INDEX('AFA Rates'!$I$5:$I$1004,$T474))))</f>
        <v/>
      </c>
      <c r="L474" s="50">
        <f>IF($T474="","",IF($S474="S",IF(INDEX(Firms!$K$5:$K$1004,$T474)="","",INDEX(Firms!$K$5:$K$1004,$T474)),IF(INDEX('AFA Rates'!$J$5:$J$1004,$T474)="","",INDEX('AFA Rates'!$J$5:$J$1004,$T474))))</f>
        <v/>
      </c>
      <c r="M474" s="50">
        <f>IF($T474="","",IF($S474="S",IF(INDEX(Firms!$L$5:$L$1004,$T474)="","",INDEX(Firms!$L$5:$L$1004,$T474)),IF(INDEX('AFA Rates'!$K$5:$K$1004,$T474)="","",INDEX('AFA Rates'!$K$5:$K$1004,$T474))))</f>
        <v/>
      </c>
      <c r="N474" s="50">
        <f>IF($T474="","",IF($S474="S",IF(INDEX(Firms!$M$5:$M$1004,$T474)="","",INDEX(Firms!$M$5:$M$1004,$T474)),IF(INDEX('AFA Rates'!$L$5:$L$1004,$T474)="","",INDEX('AFA Rates'!$L$5:$L$1004,$T474))))</f>
        <v/>
      </c>
      <c r="O474" s="78">
        <f>IF(OR($T474="",$U474=""),"",IF(INDEX(Firms!$C$5:$C$1004,$U474)="","",INDEX(Firms!$C$5:$C$1004,$U474)))</f>
        <v/>
      </c>
      <c r="P474" s="79">
        <f>IF(OR($T474="",$U474=""),"",IF(INDEX(Firms!$N$5:$N$1004,$U474)="","",INDEX(Firms!$N$5:$N$1004,$U474)))</f>
        <v/>
      </c>
      <c r="Q474" s="78">
        <f>IF($T474="","",IF($S474="S",IF(INDEX(Firms!$T$5:$T$1004,$T474)="","",INDEX(Firms!$T$5:$T$1004,$T474)),IF(INDEX('AFA Rates'!$M$5:$M$1004,$T474)="","",INDEX('AFA Rates'!$M$5:$M$1004,$T474))))</f>
        <v/>
      </c>
      <c r="S474">
        <f>IF(470&lt;=$S$2,"S",IF(470&lt;=$S$2+$T$2,"A",""))</f>
        <v/>
      </c>
      <c r="T474">
        <f>IF(S474="S",MATCH(470,Firms!$W$5:$W$1004,0),IF(S474="A",IFERROR(MATCH(470-$S$2,'AFA Rates'!$R$5:$R$1004,0),""),""))</f>
        <v/>
      </c>
      <c r="U474">
        <f>IF(S474="S",T474,IF(AND(S474="A",T474&lt;&gt;""),IFERROR(MATCH(INDEX('AFA Rates'!$A$5:$A$1004,T474),Firms!$A$5:$A$1004,0),""),""))</f>
        <v/>
      </c>
    </row>
    <row r="475">
      <c r="A475" s="78">
        <f>IF($T475="","",IF($S475="S",IF(INDEX(Firms!$A$5:$A$1004,$T475)="","",INDEX(Firms!$A$5:$A$1004,$T475)),IF(INDEX('AFA Rates'!$A$5:$A$1004,$T475)="","",INDEX('AFA Rates'!$A$5:$A$1004,$T475))))</f>
        <v/>
      </c>
      <c r="B475" s="79">
        <f>IF(OR($T475="",$U475=""),IF($T475="","","Not on Firms tab"),INDEX(Firms!$B$5:$B$1004,$U475)&amp;"")</f>
        <v/>
      </c>
      <c r="C475" s="78">
        <f>IF($T475="","",IF($S475="S","Standard",INDEX('AFA Rates'!$B$5:$B$1004,$T475)&amp;""))</f>
        <v/>
      </c>
      <c r="D475" s="88">
        <f>IF($T475="","",IF($S475="S",IF(INDEX(Firms!$E$5:$E$1004,$T475)="","",INDEX(Firms!$E$5:$E$1004,$T475)),IF(INDEX('AFA Rates'!$C$5:$C$1004,$T475)="","",INDEX('AFA Rates'!$C$5:$C$1004,$T475))))</f>
        <v/>
      </c>
      <c r="E475" s="88">
        <f>IF($T475="","",IF($S475="S",IF(""="","",""),IF(INDEX('AFA Rates'!$D$5:$D$1004,$T475)="","",INDEX('AFA Rates'!$D$5:$D$1004,$T475))))</f>
        <v/>
      </c>
      <c r="F475" s="79">
        <f>IF($T475="","",IF($S475="S",IF(INDEX(Firms!$O$5:$O$1004,$T475)="","",INDEX(Firms!$O$5:$O$1004,$T475)),IF(INDEX('AFA Rates'!$O$5:$O$1004,$T475)="","",INDEX('AFA Rates'!$O$5:$O$1004,$T475))))</f>
        <v/>
      </c>
      <c r="G475" s="50">
        <f>IF($T475="","",IF($S475="S",IF(INDEX(Firms!$F$5:$F$1004,$T475)="","",INDEX(Firms!$F$5:$F$1004,$T475)),IF(INDEX('AFA Rates'!$E$5:$E$1004,$T475)="","",INDEX('AFA Rates'!$E$5:$E$1004,$T475))))</f>
        <v/>
      </c>
      <c r="H475" s="50">
        <f>IF($T475="","",IF($S475="S",IF(INDEX(Firms!$G$5:$G$1004,$T475)="","",INDEX(Firms!$G$5:$G$1004,$T475)),IF(INDEX('AFA Rates'!$F$5:$F$1004,$T475)="","",INDEX('AFA Rates'!$F$5:$F$1004,$T475))))</f>
        <v/>
      </c>
      <c r="I475" s="50">
        <f>IF($T475="","",IF($S475="S",IF(INDEX(Firms!$H$5:$H$1004,$T475)="","",INDEX(Firms!$H$5:$H$1004,$T475)),IF(INDEX('AFA Rates'!$G$5:$G$1004,$T475)="","",INDEX('AFA Rates'!$G$5:$G$1004,$T475))))</f>
        <v/>
      </c>
      <c r="J475" s="50">
        <f>IF($T475="","",IF($S475="S",IF(INDEX(Firms!$I$5:$I$1004,$T475)="","",INDEX(Firms!$I$5:$I$1004,$T475)),IF(INDEX('AFA Rates'!$H$5:$H$1004,$T475)="","",INDEX('AFA Rates'!$H$5:$H$1004,$T475))))</f>
        <v/>
      </c>
      <c r="K475" s="50">
        <f>IF($T475="","",IF($S475="S",IF(INDEX(Firms!$J$5:$J$1004,$T475)="","",INDEX(Firms!$J$5:$J$1004,$T475)),IF(INDEX('AFA Rates'!$I$5:$I$1004,$T475)="","",INDEX('AFA Rates'!$I$5:$I$1004,$T475))))</f>
        <v/>
      </c>
      <c r="L475" s="50">
        <f>IF($T475="","",IF($S475="S",IF(INDEX(Firms!$K$5:$K$1004,$T475)="","",INDEX(Firms!$K$5:$K$1004,$T475)),IF(INDEX('AFA Rates'!$J$5:$J$1004,$T475)="","",INDEX('AFA Rates'!$J$5:$J$1004,$T475))))</f>
        <v/>
      </c>
      <c r="M475" s="50">
        <f>IF($T475="","",IF($S475="S",IF(INDEX(Firms!$L$5:$L$1004,$T475)="","",INDEX(Firms!$L$5:$L$1004,$T475)),IF(INDEX('AFA Rates'!$K$5:$K$1004,$T475)="","",INDEX('AFA Rates'!$K$5:$K$1004,$T475))))</f>
        <v/>
      </c>
      <c r="N475" s="50">
        <f>IF($T475="","",IF($S475="S",IF(INDEX(Firms!$M$5:$M$1004,$T475)="","",INDEX(Firms!$M$5:$M$1004,$T475)),IF(INDEX('AFA Rates'!$L$5:$L$1004,$T475)="","",INDEX('AFA Rates'!$L$5:$L$1004,$T475))))</f>
        <v/>
      </c>
      <c r="O475" s="78">
        <f>IF(OR($T475="",$U475=""),"",IF(INDEX(Firms!$C$5:$C$1004,$U475)="","",INDEX(Firms!$C$5:$C$1004,$U475)))</f>
        <v/>
      </c>
      <c r="P475" s="79">
        <f>IF(OR($T475="",$U475=""),"",IF(INDEX(Firms!$N$5:$N$1004,$U475)="","",INDEX(Firms!$N$5:$N$1004,$U475)))</f>
        <v/>
      </c>
      <c r="Q475" s="78">
        <f>IF($T475="","",IF($S475="S",IF(INDEX(Firms!$T$5:$T$1004,$T475)="","",INDEX(Firms!$T$5:$T$1004,$T475)),IF(INDEX('AFA Rates'!$M$5:$M$1004,$T475)="","",INDEX('AFA Rates'!$M$5:$M$1004,$T475))))</f>
        <v/>
      </c>
      <c r="S475">
        <f>IF(471&lt;=$S$2,"S",IF(471&lt;=$S$2+$T$2,"A",""))</f>
        <v/>
      </c>
      <c r="T475">
        <f>IF(S475="S",MATCH(471,Firms!$W$5:$W$1004,0),IF(S475="A",IFERROR(MATCH(471-$S$2,'AFA Rates'!$R$5:$R$1004,0),""),""))</f>
        <v/>
      </c>
      <c r="U475">
        <f>IF(S475="S",T475,IF(AND(S475="A",T475&lt;&gt;""),IFERROR(MATCH(INDEX('AFA Rates'!$A$5:$A$1004,T475),Firms!$A$5:$A$1004,0),""),""))</f>
        <v/>
      </c>
    </row>
    <row r="476">
      <c r="A476" s="78">
        <f>IF($T476="","",IF($S476="S",IF(INDEX(Firms!$A$5:$A$1004,$T476)="","",INDEX(Firms!$A$5:$A$1004,$T476)),IF(INDEX('AFA Rates'!$A$5:$A$1004,$T476)="","",INDEX('AFA Rates'!$A$5:$A$1004,$T476))))</f>
        <v/>
      </c>
      <c r="B476" s="79">
        <f>IF(OR($T476="",$U476=""),IF($T476="","","Not on Firms tab"),INDEX(Firms!$B$5:$B$1004,$U476)&amp;"")</f>
        <v/>
      </c>
      <c r="C476" s="78">
        <f>IF($T476="","",IF($S476="S","Standard",INDEX('AFA Rates'!$B$5:$B$1004,$T476)&amp;""))</f>
        <v/>
      </c>
      <c r="D476" s="88">
        <f>IF($T476="","",IF($S476="S",IF(INDEX(Firms!$E$5:$E$1004,$T476)="","",INDEX(Firms!$E$5:$E$1004,$T476)),IF(INDEX('AFA Rates'!$C$5:$C$1004,$T476)="","",INDEX('AFA Rates'!$C$5:$C$1004,$T476))))</f>
        <v/>
      </c>
      <c r="E476" s="88">
        <f>IF($T476="","",IF($S476="S",IF(""="","",""),IF(INDEX('AFA Rates'!$D$5:$D$1004,$T476)="","",INDEX('AFA Rates'!$D$5:$D$1004,$T476))))</f>
        <v/>
      </c>
      <c r="F476" s="79">
        <f>IF($T476="","",IF($S476="S",IF(INDEX(Firms!$O$5:$O$1004,$T476)="","",INDEX(Firms!$O$5:$O$1004,$T476)),IF(INDEX('AFA Rates'!$O$5:$O$1004,$T476)="","",INDEX('AFA Rates'!$O$5:$O$1004,$T476))))</f>
        <v/>
      </c>
      <c r="G476" s="50">
        <f>IF($T476="","",IF($S476="S",IF(INDEX(Firms!$F$5:$F$1004,$T476)="","",INDEX(Firms!$F$5:$F$1004,$T476)),IF(INDEX('AFA Rates'!$E$5:$E$1004,$T476)="","",INDEX('AFA Rates'!$E$5:$E$1004,$T476))))</f>
        <v/>
      </c>
      <c r="H476" s="50">
        <f>IF($T476="","",IF($S476="S",IF(INDEX(Firms!$G$5:$G$1004,$T476)="","",INDEX(Firms!$G$5:$G$1004,$T476)),IF(INDEX('AFA Rates'!$F$5:$F$1004,$T476)="","",INDEX('AFA Rates'!$F$5:$F$1004,$T476))))</f>
        <v/>
      </c>
      <c r="I476" s="50">
        <f>IF($T476="","",IF($S476="S",IF(INDEX(Firms!$H$5:$H$1004,$T476)="","",INDEX(Firms!$H$5:$H$1004,$T476)),IF(INDEX('AFA Rates'!$G$5:$G$1004,$T476)="","",INDEX('AFA Rates'!$G$5:$G$1004,$T476))))</f>
        <v/>
      </c>
      <c r="J476" s="50">
        <f>IF($T476="","",IF($S476="S",IF(INDEX(Firms!$I$5:$I$1004,$T476)="","",INDEX(Firms!$I$5:$I$1004,$T476)),IF(INDEX('AFA Rates'!$H$5:$H$1004,$T476)="","",INDEX('AFA Rates'!$H$5:$H$1004,$T476))))</f>
        <v/>
      </c>
      <c r="K476" s="50">
        <f>IF($T476="","",IF($S476="S",IF(INDEX(Firms!$J$5:$J$1004,$T476)="","",INDEX(Firms!$J$5:$J$1004,$T476)),IF(INDEX('AFA Rates'!$I$5:$I$1004,$T476)="","",INDEX('AFA Rates'!$I$5:$I$1004,$T476))))</f>
        <v/>
      </c>
      <c r="L476" s="50">
        <f>IF($T476="","",IF($S476="S",IF(INDEX(Firms!$K$5:$K$1004,$T476)="","",INDEX(Firms!$K$5:$K$1004,$T476)),IF(INDEX('AFA Rates'!$J$5:$J$1004,$T476)="","",INDEX('AFA Rates'!$J$5:$J$1004,$T476))))</f>
        <v/>
      </c>
      <c r="M476" s="50">
        <f>IF($T476="","",IF($S476="S",IF(INDEX(Firms!$L$5:$L$1004,$T476)="","",INDEX(Firms!$L$5:$L$1004,$T476)),IF(INDEX('AFA Rates'!$K$5:$K$1004,$T476)="","",INDEX('AFA Rates'!$K$5:$K$1004,$T476))))</f>
        <v/>
      </c>
      <c r="N476" s="50">
        <f>IF($T476="","",IF($S476="S",IF(INDEX(Firms!$M$5:$M$1004,$T476)="","",INDEX(Firms!$M$5:$M$1004,$T476)),IF(INDEX('AFA Rates'!$L$5:$L$1004,$T476)="","",INDEX('AFA Rates'!$L$5:$L$1004,$T476))))</f>
        <v/>
      </c>
      <c r="O476" s="78">
        <f>IF(OR($T476="",$U476=""),"",IF(INDEX(Firms!$C$5:$C$1004,$U476)="","",INDEX(Firms!$C$5:$C$1004,$U476)))</f>
        <v/>
      </c>
      <c r="P476" s="79">
        <f>IF(OR($T476="",$U476=""),"",IF(INDEX(Firms!$N$5:$N$1004,$U476)="","",INDEX(Firms!$N$5:$N$1004,$U476)))</f>
        <v/>
      </c>
      <c r="Q476" s="78">
        <f>IF($T476="","",IF($S476="S",IF(INDEX(Firms!$T$5:$T$1004,$T476)="","",INDEX(Firms!$T$5:$T$1004,$T476)),IF(INDEX('AFA Rates'!$M$5:$M$1004,$T476)="","",INDEX('AFA Rates'!$M$5:$M$1004,$T476))))</f>
        <v/>
      </c>
      <c r="S476">
        <f>IF(472&lt;=$S$2,"S",IF(472&lt;=$S$2+$T$2,"A",""))</f>
        <v/>
      </c>
      <c r="T476">
        <f>IF(S476="S",MATCH(472,Firms!$W$5:$W$1004,0),IF(S476="A",IFERROR(MATCH(472-$S$2,'AFA Rates'!$R$5:$R$1004,0),""),""))</f>
        <v/>
      </c>
      <c r="U476">
        <f>IF(S476="S",T476,IF(AND(S476="A",T476&lt;&gt;""),IFERROR(MATCH(INDEX('AFA Rates'!$A$5:$A$1004,T476),Firms!$A$5:$A$1004,0),""),""))</f>
        <v/>
      </c>
    </row>
    <row r="477">
      <c r="A477" s="78">
        <f>IF($T477="","",IF($S477="S",IF(INDEX(Firms!$A$5:$A$1004,$T477)="","",INDEX(Firms!$A$5:$A$1004,$T477)),IF(INDEX('AFA Rates'!$A$5:$A$1004,$T477)="","",INDEX('AFA Rates'!$A$5:$A$1004,$T477))))</f>
        <v/>
      </c>
      <c r="B477" s="79">
        <f>IF(OR($T477="",$U477=""),IF($T477="","","Not on Firms tab"),INDEX(Firms!$B$5:$B$1004,$U477)&amp;"")</f>
        <v/>
      </c>
      <c r="C477" s="78">
        <f>IF($T477="","",IF($S477="S","Standard",INDEX('AFA Rates'!$B$5:$B$1004,$T477)&amp;""))</f>
        <v/>
      </c>
      <c r="D477" s="88">
        <f>IF($T477="","",IF($S477="S",IF(INDEX(Firms!$E$5:$E$1004,$T477)="","",INDEX(Firms!$E$5:$E$1004,$T477)),IF(INDEX('AFA Rates'!$C$5:$C$1004,$T477)="","",INDEX('AFA Rates'!$C$5:$C$1004,$T477))))</f>
        <v/>
      </c>
      <c r="E477" s="88">
        <f>IF($T477="","",IF($S477="S",IF(""="","",""),IF(INDEX('AFA Rates'!$D$5:$D$1004,$T477)="","",INDEX('AFA Rates'!$D$5:$D$1004,$T477))))</f>
        <v/>
      </c>
      <c r="F477" s="79">
        <f>IF($T477="","",IF($S477="S",IF(INDEX(Firms!$O$5:$O$1004,$T477)="","",INDEX(Firms!$O$5:$O$1004,$T477)),IF(INDEX('AFA Rates'!$O$5:$O$1004,$T477)="","",INDEX('AFA Rates'!$O$5:$O$1004,$T477))))</f>
        <v/>
      </c>
      <c r="G477" s="50">
        <f>IF($T477="","",IF($S477="S",IF(INDEX(Firms!$F$5:$F$1004,$T477)="","",INDEX(Firms!$F$5:$F$1004,$T477)),IF(INDEX('AFA Rates'!$E$5:$E$1004,$T477)="","",INDEX('AFA Rates'!$E$5:$E$1004,$T477))))</f>
        <v/>
      </c>
      <c r="H477" s="50">
        <f>IF($T477="","",IF($S477="S",IF(INDEX(Firms!$G$5:$G$1004,$T477)="","",INDEX(Firms!$G$5:$G$1004,$T477)),IF(INDEX('AFA Rates'!$F$5:$F$1004,$T477)="","",INDEX('AFA Rates'!$F$5:$F$1004,$T477))))</f>
        <v/>
      </c>
      <c r="I477" s="50">
        <f>IF($T477="","",IF($S477="S",IF(INDEX(Firms!$H$5:$H$1004,$T477)="","",INDEX(Firms!$H$5:$H$1004,$T477)),IF(INDEX('AFA Rates'!$G$5:$G$1004,$T477)="","",INDEX('AFA Rates'!$G$5:$G$1004,$T477))))</f>
        <v/>
      </c>
      <c r="J477" s="50">
        <f>IF($T477="","",IF($S477="S",IF(INDEX(Firms!$I$5:$I$1004,$T477)="","",INDEX(Firms!$I$5:$I$1004,$T477)),IF(INDEX('AFA Rates'!$H$5:$H$1004,$T477)="","",INDEX('AFA Rates'!$H$5:$H$1004,$T477))))</f>
        <v/>
      </c>
      <c r="K477" s="50">
        <f>IF($T477="","",IF($S477="S",IF(INDEX(Firms!$J$5:$J$1004,$T477)="","",INDEX(Firms!$J$5:$J$1004,$T477)),IF(INDEX('AFA Rates'!$I$5:$I$1004,$T477)="","",INDEX('AFA Rates'!$I$5:$I$1004,$T477))))</f>
        <v/>
      </c>
      <c r="L477" s="50">
        <f>IF($T477="","",IF($S477="S",IF(INDEX(Firms!$K$5:$K$1004,$T477)="","",INDEX(Firms!$K$5:$K$1004,$T477)),IF(INDEX('AFA Rates'!$J$5:$J$1004,$T477)="","",INDEX('AFA Rates'!$J$5:$J$1004,$T477))))</f>
        <v/>
      </c>
      <c r="M477" s="50">
        <f>IF($T477="","",IF($S477="S",IF(INDEX(Firms!$L$5:$L$1004,$T477)="","",INDEX(Firms!$L$5:$L$1004,$T477)),IF(INDEX('AFA Rates'!$K$5:$K$1004,$T477)="","",INDEX('AFA Rates'!$K$5:$K$1004,$T477))))</f>
        <v/>
      </c>
      <c r="N477" s="50">
        <f>IF($T477="","",IF($S477="S",IF(INDEX(Firms!$M$5:$M$1004,$T477)="","",INDEX(Firms!$M$5:$M$1004,$T477)),IF(INDEX('AFA Rates'!$L$5:$L$1004,$T477)="","",INDEX('AFA Rates'!$L$5:$L$1004,$T477))))</f>
        <v/>
      </c>
      <c r="O477" s="78">
        <f>IF(OR($T477="",$U477=""),"",IF(INDEX(Firms!$C$5:$C$1004,$U477)="","",INDEX(Firms!$C$5:$C$1004,$U477)))</f>
        <v/>
      </c>
      <c r="P477" s="79">
        <f>IF(OR($T477="",$U477=""),"",IF(INDEX(Firms!$N$5:$N$1004,$U477)="","",INDEX(Firms!$N$5:$N$1004,$U477)))</f>
        <v/>
      </c>
      <c r="Q477" s="78">
        <f>IF($T477="","",IF($S477="S",IF(INDEX(Firms!$T$5:$T$1004,$T477)="","",INDEX(Firms!$T$5:$T$1004,$T477)),IF(INDEX('AFA Rates'!$M$5:$M$1004,$T477)="","",INDEX('AFA Rates'!$M$5:$M$1004,$T477))))</f>
        <v/>
      </c>
      <c r="S477">
        <f>IF(473&lt;=$S$2,"S",IF(473&lt;=$S$2+$T$2,"A",""))</f>
        <v/>
      </c>
      <c r="T477">
        <f>IF(S477="S",MATCH(473,Firms!$W$5:$W$1004,0),IF(S477="A",IFERROR(MATCH(473-$S$2,'AFA Rates'!$R$5:$R$1004,0),""),""))</f>
        <v/>
      </c>
      <c r="U477">
        <f>IF(S477="S",T477,IF(AND(S477="A",T477&lt;&gt;""),IFERROR(MATCH(INDEX('AFA Rates'!$A$5:$A$1004,T477),Firms!$A$5:$A$1004,0),""),""))</f>
        <v/>
      </c>
    </row>
    <row r="478">
      <c r="A478" s="78">
        <f>IF($T478="","",IF($S478="S",IF(INDEX(Firms!$A$5:$A$1004,$T478)="","",INDEX(Firms!$A$5:$A$1004,$T478)),IF(INDEX('AFA Rates'!$A$5:$A$1004,$T478)="","",INDEX('AFA Rates'!$A$5:$A$1004,$T478))))</f>
        <v/>
      </c>
      <c r="B478" s="79">
        <f>IF(OR($T478="",$U478=""),IF($T478="","","Not on Firms tab"),INDEX(Firms!$B$5:$B$1004,$U478)&amp;"")</f>
        <v/>
      </c>
      <c r="C478" s="78">
        <f>IF($T478="","",IF($S478="S","Standard",INDEX('AFA Rates'!$B$5:$B$1004,$T478)&amp;""))</f>
        <v/>
      </c>
      <c r="D478" s="88">
        <f>IF($T478="","",IF($S478="S",IF(INDEX(Firms!$E$5:$E$1004,$T478)="","",INDEX(Firms!$E$5:$E$1004,$T478)),IF(INDEX('AFA Rates'!$C$5:$C$1004,$T478)="","",INDEX('AFA Rates'!$C$5:$C$1004,$T478))))</f>
        <v/>
      </c>
      <c r="E478" s="88">
        <f>IF($T478="","",IF($S478="S",IF(""="","",""),IF(INDEX('AFA Rates'!$D$5:$D$1004,$T478)="","",INDEX('AFA Rates'!$D$5:$D$1004,$T478))))</f>
        <v/>
      </c>
      <c r="F478" s="79">
        <f>IF($T478="","",IF($S478="S",IF(INDEX(Firms!$O$5:$O$1004,$T478)="","",INDEX(Firms!$O$5:$O$1004,$T478)),IF(INDEX('AFA Rates'!$O$5:$O$1004,$T478)="","",INDEX('AFA Rates'!$O$5:$O$1004,$T478))))</f>
        <v/>
      </c>
      <c r="G478" s="50">
        <f>IF($T478="","",IF($S478="S",IF(INDEX(Firms!$F$5:$F$1004,$T478)="","",INDEX(Firms!$F$5:$F$1004,$T478)),IF(INDEX('AFA Rates'!$E$5:$E$1004,$T478)="","",INDEX('AFA Rates'!$E$5:$E$1004,$T478))))</f>
        <v/>
      </c>
      <c r="H478" s="50">
        <f>IF($T478="","",IF($S478="S",IF(INDEX(Firms!$G$5:$G$1004,$T478)="","",INDEX(Firms!$G$5:$G$1004,$T478)),IF(INDEX('AFA Rates'!$F$5:$F$1004,$T478)="","",INDEX('AFA Rates'!$F$5:$F$1004,$T478))))</f>
        <v/>
      </c>
      <c r="I478" s="50">
        <f>IF($T478="","",IF($S478="S",IF(INDEX(Firms!$H$5:$H$1004,$T478)="","",INDEX(Firms!$H$5:$H$1004,$T478)),IF(INDEX('AFA Rates'!$G$5:$G$1004,$T478)="","",INDEX('AFA Rates'!$G$5:$G$1004,$T478))))</f>
        <v/>
      </c>
      <c r="J478" s="50">
        <f>IF($T478="","",IF($S478="S",IF(INDEX(Firms!$I$5:$I$1004,$T478)="","",INDEX(Firms!$I$5:$I$1004,$T478)),IF(INDEX('AFA Rates'!$H$5:$H$1004,$T478)="","",INDEX('AFA Rates'!$H$5:$H$1004,$T478))))</f>
        <v/>
      </c>
      <c r="K478" s="50">
        <f>IF($T478="","",IF($S478="S",IF(INDEX(Firms!$J$5:$J$1004,$T478)="","",INDEX(Firms!$J$5:$J$1004,$T478)),IF(INDEX('AFA Rates'!$I$5:$I$1004,$T478)="","",INDEX('AFA Rates'!$I$5:$I$1004,$T478))))</f>
        <v/>
      </c>
      <c r="L478" s="50">
        <f>IF($T478="","",IF($S478="S",IF(INDEX(Firms!$K$5:$K$1004,$T478)="","",INDEX(Firms!$K$5:$K$1004,$T478)),IF(INDEX('AFA Rates'!$J$5:$J$1004,$T478)="","",INDEX('AFA Rates'!$J$5:$J$1004,$T478))))</f>
        <v/>
      </c>
      <c r="M478" s="50">
        <f>IF($T478="","",IF($S478="S",IF(INDEX(Firms!$L$5:$L$1004,$T478)="","",INDEX(Firms!$L$5:$L$1004,$T478)),IF(INDEX('AFA Rates'!$K$5:$K$1004,$T478)="","",INDEX('AFA Rates'!$K$5:$K$1004,$T478))))</f>
        <v/>
      </c>
      <c r="N478" s="50">
        <f>IF($T478="","",IF($S478="S",IF(INDEX(Firms!$M$5:$M$1004,$T478)="","",INDEX(Firms!$M$5:$M$1004,$T478)),IF(INDEX('AFA Rates'!$L$5:$L$1004,$T478)="","",INDEX('AFA Rates'!$L$5:$L$1004,$T478))))</f>
        <v/>
      </c>
      <c r="O478" s="78">
        <f>IF(OR($T478="",$U478=""),"",IF(INDEX(Firms!$C$5:$C$1004,$U478)="","",INDEX(Firms!$C$5:$C$1004,$U478)))</f>
        <v/>
      </c>
      <c r="P478" s="79">
        <f>IF(OR($T478="",$U478=""),"",IF(INDEX(Firms!$N$5:$N$1004,$U478)="","",INDEX(Firms!$N$5:$N$1004,$U478)))</f>
        <v/>
      </c>
      <c r="Q478" s="78">
        <f>IF($T478="","",IF($S478="S",IF(INDEX(Firms!$T$5:$T$1004,$T478)="","",INDEX(Firms!$T$5:$T$1004,$T478)),IF(INDEX('AFA Rates'!$M$5:$M$1004,$T478)="","",INDEX('AFA Rates'!$M$5:$M$1004,$T478))))</f>
        <v/>
      </c>
      <c r="S478">
        <f>IF(474&lt;=$S$2,"S",IF(474&lt;=$S$2+$T$2,"A",""))</f>
        <v/>
      </c>
      <c r="T478">
        <f>IF(S478="S",MATCH(474,Firms!$W$5:$W$1004,0),IF(S478="A",IFERROR(MATCH(474-$S$2,'AFA Rates'!$R$5:$R$1004,0),""),""))</f>
        <v/>
      </c>
      <c r="U478">
        <f>IF(S478="S",T478,IF(AND(S478="A",T478&lt;&gt;""),IFERROR(MATCH(INDEX('AFA Rates'!$A$5:$A$1004,T478),Firms!$A$5:$A$1004,0),""),""))</f>
        <v/>
      </c>
    </row>
    <row r="479">
      <c r="A479" s="78">
        <f>IF($T479="","",IF($S479="S",IF(INDEX(Firms!$A$5:$A$1004,$T479)="","",INDEX(Firms!$A$5:$A$1004,$T479)),IF(INDEX('AFA Rates'!$A$5:$A$1004,$T479)="","",INDEX('AFA Rates'!$A$5:$A$1004,$T479))))</f>
        <v/>
      </c>
      <c r="B479" s="79">
        <f>IF(OR($T479="",$U479=""),IF($T479="","","Not on Firms tab"),INDEX(Firms!$B$5:$B$1004,$U479)&amp;"")</f>
        <v/>
      </c>
      <c r="C479" s="78">
        <f>IF($T479="","",IF($S479="S","Standard",INDEX('AFA Rates'!$B$5:$B$1004,$T479)&amp;""))</f>
        <v/>
      </c>
      <c r="D479" s="88">
        <f>IF($T479="","",IF($S479="S",IF(INDEX(Firms!$E$5:$E$1004,$T479)="","",INDEX(Firms!$E$5:$E$1004,$T479)),IF(INDEX('AFA Rates'!$C$5:$C$1004,$T479)="","",INDEX('AFA Rates'!$C$5:$C$1004,$T479))))</f>
        <v/>
      </c>
      <c r="E479" s="88">
        <f>IF($T479="","",IF($S479="S",IF(""="","",""),IF(INDEX('AFA Rates'!$D$5:$D$1004,$T479)="","",INDEX('AFA Rates'!$D$5:$D$1004,$T479))))</f>
        <v/>
      </c>
      <c r="F479" s="79">
        <f>IF($T479="","",IF($S479="S",IF(INDEX(Firms!$O$5:$O$1004,$T479)="","",INDEX(Firms!$O$5:$O$1004,$T479)),IF(INDEX('AFA Rates'!$O$5:$O$1004,$T479)="","",INDEX('AFA Rates'!$O$5:$O$1004,$T479))))</f>
        <v/>
      </c>
      <c r="G479" s="50">
        <f>IF($T479="","",IF($S479="S",IF(INDEX(Firms!$F$5:$F$1004,$T479)="","",INDEX(Firms!$F$5:$F$1004,$T479)),IF(INDEX('AFA Rates'!$E$5:$E$1004,$T479)="","",INDEX('AFA Rates'!$E$5:$E$1004,$T479))))</f>
        <v/>
      </c>
      <c r="H479" s="50">
        <f>IF($T479="","",IF($S479="S",IF(INDEX(Firms!$G$5:$G$1004,$T479)="","",INDEX(Firms!$G$5:$G$1004,$T479)),IF(INDEX('AFA Rates'!$F$5:$F$1004,$T479)="","",INDEX('AFA Rates'!$F$5:$F$1004,$T479))))</f>
        <v/>
      </c>
      <c r="I479" s="50">
        <f>IF($T479="","",IF($S479="S",IF(INDEX(Firms!$H$5:$H$1004,$T479)="","",INDEX(Firms!$H$5:$H$1004,$T479)),IF(INDEX('AFA Rates'!$G$5:$G$1004,$T479)="","",INDEX('AFA Rates'!$G$5:$G$1004,$T479))))</f>
        <v/>
      </c>
      <c r="J479" s="50">
        <f>IF($T479="","",IF($S479="S",IF(INDEX(Firms!$I$5:$I$1004,$T479)="","",INDEX(Firms!$I$5:$I$1004,$T479)),IF(INDEX('AFA Rates'!$H$5:$H$1004,$T479)="","",INDEX('AFA Rates'!$H$5:$H$1004,$T479))))</f>
        <v/>
      </c>
      <c r="K479" s="50">
        <f>IF($T479="","",IF($S479="S",IF(INDEX(Firms!$J$5:$J$1004,$T479)="","",INDEX(Firms!$J$5:$J$1004,$T479)),IF(INDEX('AFA Rates'!$I$5:$I$1004,$T479)="","",INDEX('AFA Rates'!$I$5:$I$1004,$T479))))</f>
        <v/>
      </c>
      <c r="L479" s="50">
        <f>IF($T479="","",IF($S479="S",IF(INDEX(Firms!$K$5:$K$1004,$T479)="","",INDEX(Firms!$K$5:$K$1004,$T479)),IF(INDEX('AFA Rates'!$J$5:$J$1004,$T479)="","",INDEX('AFA Rates'!$J$5:$J$1004,$T479))))</f>
        <v/>
      </c>
      <c r="M479" s="50">
        <f>IF($T479="","",IF($S479="S",IF(INDEX(Firms!$L$5:$L$1004,$T479)="","",INDEX(Firms!$L$5:$L$1004,$T479)),IF(INDEX('AFA Rates'!$K$5:$K$1004,$T479)="","",INDEX('AFA Rates'!$K$5:$K$1004,$T479))))</f>
        <v/>
      </c>
      <c r="N479" s="50">
        <f>IF($T479="","",IF($S479="S",IF(INDEX(Firms!$M$5:$M$1004,$T479)="","",INDEX(Firms!$M$5:$M$1004,$T479)),IF(INDEX('AFA Rates'!$L$5:$L$1004,$T479)="","",INDEX('AFA Rates'!$L$5:$L$1004,$T479))))</f>
        <v/>
      </c>
      <c r="O479" s="78">
        <f>IF(OR($T479="",$U479=""),"",IF(INDEX(Firms!$C$5:$C$1004,$U479)="","",INDEX(Firms!$C$5:$C$1004,$U479)))</f>
        <v/>
      </c>
      <c r="P479" s="79">
        <f>IF(OR($T479="",$U479=""),"",IF(INDEX(Firms!$N$5:$N$1004,$U479)="","",INDEX(Firms!$N$5:$N$1004,$U479)))</f>
        <v/>
      </c>
      <c r="Q479" s="78">
        <f>IF($T479="","",IF($S479="S",IF(INDEX(Firms!$T$5:$T$1004,$T479)="","",INDEX(Firms!$T$5:$T$1004,$T479)),IF(INDEX('AFA Rates'!$M$5:$M$1004,$T479)="","",INDEX('AFA Rates'!$M$5:$M$1004,$T479))))</f>
        <v/>
      </c>
      <c r="S479">
        <f>IF(475&lt;=$S$2,"S",IF(475&lt;=$S$2+$T$2,"A",""))</f>
        <v/>
      </c>
      <c r="T479">
        <f>IF(S479="S",MATCH(475,Firms!$W$5:$W$1004,0),IF(S479="A",IFERROR(MATCH(475-$S$2,'AFA Rates'!$R$5:$R$1004,0),""),""))</f>
        <v/>
      </c>
      <c r="U479">
        <f>IF(S479="S",T479,IF(AND(S479="A",T479&lt;&gt;""),IFERROR(MATCH(INDEX('AFA Rates'!$A$5:$A$1004,T479),Firms!$A$5:$A$1004,0),""),""))</f>
        <v/>
      </c>
    </row>
    <row r="480">
      <c r="A480" s="78">
        <f>IF($T480="","",IF($S480="S",IF(INDEX(Firms!$A$5:$A$1004,$T480)="","",INDEX(Firms!$A$5:$A$1004,$T480)),IF(INDEX('AFA Rates'!$A$5:$A$1004,$T480)="","",INDEX('AFA Rates'!$A$5:$A$1004,$T480))))</f>
        <v/>
      </c>
      <c r="B480" s="79">
        <f>IF(OR($T480="",$U480=""),IF($T480="","","Not on Firms tab"),INDEX(Firms!$B$5:$B$1004,$U480)&amp;"")</f>
        <v/>
      </c>
      <c r="C480" s="78">
        <f>IF($T480="","",IF($S480="S","Standard",INDEX('AFA Rates'!$B$5:$B$1004,$T480)&amp;""))</f>
        <v/>
      </c>
      <c r="D480" s="88">
        <f>IF($T480="","",IF($S480="S",IF(INDEX(Firms!$E$5:$E$1004,$T480)="","",INDEX(Firms!$E$5:$E$1004,$T480)),IF(INDEX('AFA Rates'!$C$5:$C$1004,$T480)="","",INDEX('AFA Rates'!$C$5:$C$1004,$T480))))</f>
        <v/>
      </c>
      <c r="E480" s="88">
        <f>IF($T480="","",IF($S480="S",IF(""="","",""),IF(INDEX('AFA Rates'!$D$5:$D$1004,$T480)="","",INDEX('AFA Rates'!$D$5:$D$1004,$T480))))</f>
        <v/>
      </c>
      <c r="F480" s="79">
        <f>IF($T480="","",IF($S480="S",IF(INDEX(Firms!$O$5:$O$1004,$T480)="","",INDEX(Firms!$O$5:$O$1004,$T480)),IF(INDEX('AFA Rates'!$O$5:$O$1004,$T480)="","",INDEX('AFA Rates'!$O$5:$O$1004,$T480))))</f>
        <v/>
      </c>
      <c r="G480" s="50">
        <f>IF($T480="","",IF($S480="S",IF(INDEX(Firms!$F$5:$F$1004,$T480)="","",INDEX(Firms!$F$5:$F$1004,$T480)),IF(INDEX('AFA Rates'!$E$5:$E$1004,$T480)="","",INDEX('AFA Rates'!$E$5:$E$1004,$T480))))</f>
        <v/>
      </c>
      <c r="H480" s="50">
        <f>IF($T480="","",IF($S480="S",IF(INDEX(Firms!$G$5:$G$1004,$T480)="","",INDEX(Firms!$G$5:$G$1004,$T480)),IF(INDEX('AFA Rates'!$F$5:$F$1004,$T480)="","",INDEX('AFA Rates'!$F$5:$F$1004,$T480))))</f>
        <v/>
      </c>
      <c r="I480" s="50">
        <f>IF($T480="","",IF($S480="S",IF(INDEX(Firms!$H$5:$H$1004,$T480)="","",INDEX(Firms!$H$5:$H$1004,$T480)),IF(INDEX('AFA Rates'!$G$5:$G$1004,$T480)="","",INDEX('AFA Rates'!$G$5:$G$1004,$T480))))</f>
        <v/>
      </c>
      <c r="J480" s="50">
        <f>IF($T480="","",IF($S480="S",IF(INDEX(Firms!$I$5:$I$1004,$T480)="","",INDEX(Firms!$I$5:$I$1004,$T480)),IF(INDEX('AFA Rates'!$H$5:$H$1004,$T480)="","",INDEX('AFA Rates'!$H$5:$H$1004,$T480))))</f>
        <v/>
      </c>
      <c r="K480" s="50">
        <f>IF($T480="","",IF($S480="S",IF(INDEX(Firms!$J$5:$J$1004,$T480)="","",INDEX(Firms!$J$5:$J$1004,$T480)),IF(INDEX('AFA Rates'!$I$5:$I$1004,$T480)="","",INDEX('AFA Rates'!$I$5:$I$1004,$T480))))</f>
        <v/>
      </c>
      <c r="L480" s="50">
        <f>IF($T480="","",IF($S480="S",IF(INDEX(Firms!$K$5:$K$1004,$T480)="","",INDEX(Firms!$K$5:$K$1004,$T480)),IF(INDEX('AFA Rates'!$J$5:$J$1004,$T480)="","",INDEX('AFA Rates'!$J$5:$J$1004,$T480))))</f>
        <v/>
      </c>
      <c r="M480" s="50">
        <f>IF($T480="","",IF($S480="S",IF(INDEX(Firms!$L$5:$L$1004,$T480)="","",INDEX(Firms!$L$5:$L$1004,$T480)),IF(INDEX('AFA Rates'!$K$5:$K$1004,$T480)="","",INDEX('AFA Rates'!$K$5:$K$1004,$T480))))</f>
        <v/>
      </c>
      <c r="N480" s="50">
        <f>IF($T480="","",IF($S480="S",IF(INDEX(Firms!$M$5:$M$1004,$T480)="","",INDEX(Firms!$M$5:$M$1004,$T480)),IF(INDEX('AFA Rates'!$L$5:$L$1004,$T480)="","",INDEX('AFA Rates'!$L$5:$L$1004,$T480))))</f>
        <v/>
      </c>
      <c r="O480" s="78">
        <f>IF(OR($T480="",$U480=""),"",IF(INDEX(Firms!$C$5:$C$1004,$U480)="","",INDEX(Firms!$C$5:$C$1004,$U480)))</f>
        <v/>
      </c>
      <c r="P480" s="79">
        <f>IF(OR($T480="",$U480=""),"",IF(INDEX(Firms!$N$5:$N$1004,$U480)="","",INDEX(Firms!$N$5:$N$1004,$U480)))</f>
        <v/>
      </c>
      <c r="Q480" s="78">
        <f>IF($T480="","",IF($S480="S",IF(INDEX(Firms!$T$5:$T$1004,$T480)="","",INDEX(Firms!$T$5:$T$1004,$T480)),IF(INDEX('AFA Rates'!$M$5:$M$1004,$T480)="","",INDEX('AFA Rates'!$M$5:$M$1004,$T480))))</f>
        <v/>
      </c>
      <c r="S480">
        <f>IF(476&lt;=$S$2,"S",IF(476&lt;=$S$2+$T$2,"A",""))</f>
        <v/>
      </c>
      <c r="T480">
        <f>IF(S480="S",MATCH(476,Firms!$W$5:$W$1004,0),IF(S480="A",IFERROR(MATCH(476-$S$2,'AFA Rates'!$R$5:$R$1004,0),""),""))</f>
        <v/>
      </c>
      <c r="U480">
        <f>IF(S480="S",T480,IF(AND(S480="A",T480&lt;&gt;""),IFERROR(MATCH(INDEX('AFA Rates'!$A$5:$A$1004,T480),Firms!$A$5:$A$1004,0),""),""))</f>
        <v/>
      </c>
    </row>
    <row r="481">
      <c r="A481" s="78">
        <f>IF($T481="","",IF($S481="S",IF(INDEX(Firms!$A$5:$A$1004,$T481)="","",INDEX(Firms!$A$5:$A$1004,$T481)),IF(INDEX('AFA Rates'!$A$5:$A$1004,$T481)="","",INDEX('AFA Rates'!$A$5:$A$1004,$T481))))</f>
        <v/>
      </c>
      <c r="B481" s="79">
        <f>IF(OR($T481="",$U481=""),IF($T481="","","Not on Firms tab"),INDEX(Firms!$B$5:$B$1004,$U481)&amp;"")</f>
        <v/>
      </c>
      <c r="C481" s="78">
        <f>IF($T481="","",IF($S481="S","Standard",INDEX('AFA Rates'!$B$5:$B$1004,$T481)&amp;""))</f>
        <v/>
      </c>
      <c r="D481" s="88">
        <f>IF($T481="","",IF($S481="S",IF(INDEX(Firms!$E$5:$E$1004,$T481)="","",INDEX(Firms!$E$5:$E$1004,$T481)),IF(INDEX('AFA Rates'!$C$5:$C$1004,$T481)="","",INDEX('AFA Rates'!$C$5:$C$1004,$T481))))</f>
        <v/>
      </c>
      <c r="E481" s="88">
        <f>IF($T481="","",IF($S481="S",IF(""="","",""),IF(INDEX('AFA Rates'!$D$5:$D$1004,$T481)="","",INDEX('AFA Rates'!$D$5:$D$1004,$T481))))</f>
        <v/>
      </c>
      <c r="F481" s="79">
        <f>IF($T481="","",IF($S481="S",IF(INDEX(Firms!$O$5:$O$1004,$T481)="","",INDEX(Firms!$O$5:$O$1004,$T481)),IF(INDEX('AFA Rates'!$O$5:$O$1004,$T481)="","",INDEX('AFA Rates'!$O$5:$O$1004,$T481))))</f>
        <v/>
      </c>
      <c r="G481" s="50">
        <f>IF($T481="","",IF($S481="S",IF(INDEX(Firms!$F$5:$F$1004,$T481)="","",INDEX(Firms!$F$5:$F$1004,$T481)),IF(INDEX('AFA Rates'!$E$5:$E$1004,$T481)="","",INDEX('AFA Rates'!$E$5:$E$1004,$T481))))</f>
        <v/>
      </c>
      <c r="H481" s="50">
        <f>IF($T481="","",IF($S481="S",IF(INDEX(Firms!$G$5:$G$1004,$T481)="","",INDEX(Firms!$G$5:$G$1004,$T481)),IF(INDEX('AFA Rates'!$F$5:$F$1004,$T481)="","",INDEX('AFA Rates'!$F$5:$F$1004,$T481))))</f>
        <v/>
      </c>
      <c r="I481" s="50">
        <f>IF($T481="","",IF($S481="S",IF(INDEX(Firms!$H$5:$H$1004,$T481)="","",INDEX(Firms!$H$5:$H$1004,$T481)),IF(INDEX('AFA Rates'!$G$5:$G$1004,$T481)="","",INDEX('AFA Rates'!$G$5:$G$1004,$T481))))</f>
        <v/>
      </c>
      <c r="J481" s="50">
        <f>IF($T481="","",IF($S481="S",IF(INDEX(Firms!$I$5:$I$1004,$T481)="","",INDEX(Firms!$I$5:$I$1004,$T481)),IF(INDEX('AFA Rates'!$H$5:$H$1004,$T481)="","",INDEX('AFA Rates'!$H$5:$H$1004,$T481))))</f>
        <v/>
      </c>
      <c r="K481" s="50">
        <f>IF($T481="","",IF($S481="S",IF(INDEX(Firms!$J$5:$J$1004,$T481)="","",INDEX(Firms!$J$5:$J$1004,$T481)),IF(INDEX('AFA Rates'!$I$5:$I$1004,$T481)="","",INDEX('AFA Rates'!$I$5:$I$1004,$T481))))</f>
        <v/>
      </c>
      <c r="L481" s="50">
        <f>IF($T481="","",IF($S481="S",IF(INDEX(Firms!$K$5:$K$1004,$T481)="","",INDEX(Firms!$K$5:$K$1004,$T481)),IF(INDEX('AFA Rates'!$J$5:$J$1004,$T481)="","",INDEX('AFA Rates'!$J$5:$J$1004,$T481))))</f>
        <v/>
      </c>
      <c r="M481" s="50">
        <f>IF($T481="","",IF($S481="S",IF(INDEX(Firms!$L$5:$L$1004,$T481)="","",INDEX(Firms!$L$5:$L$1004,$T481)),IF(INDEX('AFA Rates'!$K$5:$K$1004,$T481)="","",INDEX('AFA Rates'!$K$5:$K$1004,$T481))))</f>
        <v/>
      </c>
      <c r="N481" s="50">
        <f>IF($T481="","",IF($S481="S",IF(INDEX(Firms!$M$5:$M$1004,$T481)="","",INDEX(Firms!$M$5:$M$1004,$T481)),IF(INDEX('AFA Rates'!$L$5:$L$1004,$T481)="","",INDEX('AFA Rates'!$L$5:$L$1004,$T481))))</f>
        <v/>
      </c>
      <c r="O481" s="78">
        <f>IF(OR($T481="",$U481=""),"",IF(INDEX(Firms!$C$5:$C$1004,$U481)="","",INDEX(Firms!$C$5:$C$1004,$U481)))</f>
        <v/>
      </c>
      <c r="P481" s="79">
        <f>IF(OR($T481="",$U481=""),"",IF(INDEX(Firms!$N$5:$N$1004,$U481)="","",INDEX(Firms!$N$5:$N$1004,$U481)))</f>
        <v/>
      </c>
      <c r="Q481" s="78">
        <f>IF($T481="","",IF($S481="S",IF(INDEX(Firms!$T$5:$T$1004,$T481)="","",INDEX(Firms!$T$5:$T$1004,$T481)),IF(INDEX('AFA Rates'!$M$5:$M$1004,$T481)="","",INDEX('AFA Rates'!$M$5:$M$1004,$T481))))</f>
        <v/>
      </c>
      <c r="S481">
        <f>IF(477&lt;=$S$2,"S",IF(477&lt;=$S$2+$T$2,"A",""))</f>
        <v/>
      </c>
      <c r="T481">
        <f>IF(S481="S",MATCH(477,Firms!$W$5:$W$1004,0),IF(S481="A",IFERROR(MATCH(477-$S$2,'AFA Rates'!$R$5:$R$1004,0),""),""))</f>
        <v/>
      </c>
      <c r="U481">
        <f>IF(S481="S",T481,IF(AND(S481="A",T481&lt;&gt;""),IFERROR(MATCH(INDEX('AFA Rates'!$A$5:$A$1004,T481),Firms!$A$5:$A$1004,0),""),""))</f>
        <v/>
      </c>
    </row>
    <row r="482">
      <c r="A482" s="78">
        <f>IF($T482="","",IF($S482="S",IF(INDEX(Firms!$A$5:$A$1004,$T482)="","",INDEX(Firms!$A$5:$A$1004,$T482)),IF(INDEX('AFA Rates'!$A$5:$A$1004,$T482)="","",INDEX('AFA Rates'!$A$5:$A$1004,$T482))))</f>
        <v/>
      </c>
      <c r="B482" s="79">
        <f>IF(OR($T482="",$U482=""),IF($T482="","","Not on Firms tab"),INDEX(Firms!$B$5:$B$1004,$U482)&amp;"")</f>
        <v/>
      </c>
      <c r="C482" s="78">
        <f>IF($T482="","",IF($S482="S","Standard",INDEX('AFA Rates'!$B$5:$B$1004,$T482)&amp;""))</f>
        <v/>
      </c>
      <c r="D482" s="88">
        <f>IF($T482="","",IF($S482="S",IF(INDEX(Firms!$E$5:$E$1004,$T482)="","",INDEX(Firms!$E$5:$E$1004,$T482)),IF(INDEX('AFA Rates'!$C$5:$C$1004,$T482)="","",INDEX('AFA Rates'!$C$5:$C$1004,$T482))))</f>
        <v/>
      </c>
      <c r="E482" s="88">
        <f>IF($T482="","",IF($S482="S",IF(""="","",""),IF(INDEX('AFA Rates'!$D$5:$D$1004,$T482)="","",INDEX('AFA Rates'!$D$5:$D$1004,$T482))))</f>
        <v/>
      </c>
      <c r="F482" s="79">
        <f>IF($T482="","",IF($S482="S",IF(INDEX(Firms!$O$5:$O$1004,$T482)="","",INDEX(Firms!$O$5:$O$1004,$T482)),IF(INDEX('AFA Rates'!$O$5:$O$1004,$T482)="","",INDEX('AFA Rates'!$O$5:$O$1004,$T482))))</f>
        <v/>
      </c>
      <c r="G482" s="50">
        <f>IF($T482="","",IF($S482="S",IF(INDEX(Firms!$F$5:$F$1004,$T482)="","",INDEX(Firms!$F$5:$F$1004,$T482)),IF(INDEX('AFA Rates'!$E$5:$E$1004,$T482)="","",INDEX('AFA Rates'!$E$5:$E$1004,$T482))))</f>
        <v/>
      </c>
      <c r="H482" s="50">
        <f>IF($T482="","",IF($S482="S",IF(INDEX(Firms!$G$5:$G$1004,$T482)="","",INDEX(Firms!$G$5:$G$1004,$T482)),IF(INDEX('AFA Rates'!$F$5:$F$1004,$T482)="","",INDEX('AFA Rates'!$F$5:$F$1004,$T482))))</f>
        <v/>
      </c>
      <c r="I482" s="50">
        <f>IF($T482="","",IF($S482="S",IF(INDEX(Firms!$H$5:$H$1004,$T482)="","",INDEX(Firms!$H$5:$H$1004,$T482)),IF(INDEX('AFA Rates'!$G$5:$G$1004,$T482)="","",INDEX('AFA Rates'!$G$5:$G$1004,$T482))))</f>
        <v/>
      </c>
      <c r="J482" s="50">
        <f>IF($T482="","",IF($S482="S",IF(INDEX(Firms!$I$5:$I$1004,$T482)="","",INDEX(Firms!$I$5:$I$1004,$T482)),IF(INDEX('AFA Rates'!$H$5:$H$1004,$T482)="","",INDEX('AFA Rates'!$H$5:$H$1004,$T482))))</f>
        <v/>
      </c>
      <c r="K482" s="50">
        <f>IF($T482="","",IF($S482="S",IF(INDEX(Firms!$J$5:$J$1004,$T482)="","",INDEX(Firms!$J$5:$J$1004,$T482)),IF(INDEX('AFA Rates'!$I$5:$I$1004,$T482)="","",INDEX('AFA Rates'!$I$5:$I$1004,$T482))))</f>
        <v/>
      </c>
      <c r="L482" s="50">
        <f>IF($T482="","",IF($S482="S",IF(INDEX(Firms!$K$5:$K$1004,$T482)="","",INDEX(Firms!$K$5:$K$1004,$T482)),IF(INDEX('AFA Rates'!$J$5:$J$1004,$T482)="","",INDEX('AFA Rates'!$J$5:$J$1004,$T482))))</f>
        <v/>
      </c>
      <c r="M482" s="50">
        <f>IF($T482="","",IF($S482="S",IF(INDEX(Firms!$L$5:$L$1004,$T482)="","",INDEX(Firms!$L$5:$L$1004,$T482)),IF(INDEX('AFA Rates'!$K$5:$K$1004,$T482)="","",INDEX('AFA Rates'!$K$5:$K$1004,$T482))))</f>
        <v/>
      </c>
      <c r="N482" s="50">
        <f>IF($T482="","",IF($S482="S",IF(INDEX(Firms!$M$5:$M$1004,$T482)="","",INDEX(Firms!$M$5:$M$1004,$T482)),IF(INDEX('AFA Rates'!$L$5:$L$1004,$T482)="","",INDEX('AFA Rates'!$L$5:$L$1004,$T482))))</f>
        <v/>
      </c>
      <c r="O482" s="78">
        <f>IF(OR($T482="",$U482=""),"",IF(INDEX(Firms!$C$5:$C$1004,$U482)="","",INDEX(Firms!$C$5:$C$1004,$U482)))</f>
        <v/>
      </c>
      <c r="P482" s="79">
        <f>IF(OR($T482="",$U482=""),"",IF(INDEX(Firms!$N$5:$N$1004,$U482)="","",INDEX(Firms!$N$5:$N$1004,$U482)))</f>
        <v/>
      </c>
      <c r="Q482" s="78">
        <f>IF($T482="","",IF($S482="S",IF(INDEX(Firms!$T$5:$T$1004,$T482)="","",INDEX(Firms!$T$5:$T$1004,$T482)),IF(INDEX('AFA Rates'!$M$5:$M$1004,$T482)="","",INDEX('AFA Rates'!$M$5:$M$1004,$T482))))</f>
        <v/>
      </c>
      <c r="S482">
        <f>IF(478&lt;=$S$2,"S",IF(478&lt;=$S$2+$T$2,"A",""))</f>
        <v/>
      </c>
      <c r="T482">
        <f>IF(S482="S",MATCH(478,Firms!$W$5:$W$1004,0),IF(S482="A",IFERROR(MATCH(478-$S$2,'AFA Rates'!$R$5:$R$1004,0),""),""))</f>
        <v/>
      </c>
      <c r="U482">
        <f>IF(S482="S",T482,IF(AND(S482="A",T482&lt;&gt;""),IFERROR(MATCH(INDEX('AFA Rates'!$A$5:$A$1004,T482),Firms!$A$5:$A$1004,0),""),""))</f>
        <v/>
      </c>
    </row>
    <row r="483">
      <c r="A483" s="78">
        <f>IF($T483="","",IF($S483="S",IF(INDEX(Firms!$A$5:$A$1004,$T483)="","",INDEX(Firms!$A$5:$A$1004,$T483)),IF(INDEX('AFA Rates'!$A$5:$A$1004,$T483)="","",INDEX('AFA Rates'!$A$5:$A$1004,$T483))))</f>
        <v/>
      </c>
      <c r="B483" s="79">
        <f>IF(OR($T483="",$U483=""),IF($T483="","","Not on Firms tab"),INDEX(Firms!$B$5:$B$1004,$U483)&amp;"")</f>
        <v/>
      </c>
      <c r="C483" s="78">
        <f>IF($T483="","",IF($S483="S","Standard",INDEX('AFA Rates'!$B$5:$B$1004,$T483)&amp;""))</f>
        <v/>
      </c>
      <c r="D483" s="88">
        <f>IF($T483="","",IF($S483="S",IF(INDEX(Firms!$E$5:$E$1004,$T483)="","",INDEX(Firms!$E$5:$E$1004,$T483)),IF(INDEX('AFA Rates'!$C$5:$C$1004,$T483)="","",INDEX('AFA Rates'!$C$5:$C$1004,$T483))))</f>
        <v/>
      </c>
      <c r="E483" s="88">
        <f>IF($T483="","",IF($S483="S",IF(""="","",""),IF(INDEX('AFA Rates'!$D$5:$D$1004,$T483)="","",INDEX('AFA Rates'!$D$5:$D$1004,$T483))))</f>
        <v/>
      </c>
      <c r="F483" s="79">
        <f>IF($T483="","",IF($S483="S",IF(INDEX(Firms!$O$5:$O$1004,$T483)="","",INDEX(Firms!$O$5:$O$1004,$T483)),IF(INDEX('AFA Rates'!$O$5:$O$1004,$T483)="","",INDEX('AFA Rates'!$O$5:$O$1004,$T483))))</f>
        <v/>
      </c>
      <c r="G483" s="50">
        <f>IF($T483="","",IF($S483="S",IF(INDEX(Firms!$F$5:$F$1004,$T483)="","",INDEX(Firms!$F$5:$F$1004,$T483)),IF(INDEX('AFA Rates'!$E$5:$E$1004,$T483)="","",INDEX('AFA Rates'!$E$5:$E$1004,$T483))))</f>
        <v/>
      </c>
      <c r="H483" s="50">
        <f>IF($T483="","",IF($S483="S",IF(INDEX(Firms!$G$5:$G$1004,$T483)="","",INDEX(Firms!$G$5:$G$1004,$T483)),IF(INDEX('AFA Rates'!$F$5:$F$1004,$T483)="","",INDEX('AFA Rates'!$F$5:$F$1004,$T483))))</f>
        <v/>
      </c>
      <c r="I483" s="50">
        <f>IF($T483="","",IF($S483="S",IF(INDEX(Firms!$H$5:$H$1004,$T483)="","",INDEX(Firms!$H$5:$H$1004,$T483)),IF(INDEX('AFA Rates'!$G$5:$G$1004,$T483)="","",INDEX('AFA Rates'!$G$5:$G$1004,$T483))))</f>
        <v/>
      </c>
      <c r="J483" s="50">
        <f>IF($T483="","",IF($S483="S",IF(INDEX(Firms!$I$5:$I$1004,$T483)="","",INDEX(Firms!$I$5:$I$1004,$T483)),IF(INDEX('AFA Rates'!$H$5:$H$1004,$T483)="","",INDEX('AFA Rates'!$H$5:$H$1004,$T483))))</f>
        <v/>
      </c>
      <c r="K483" s="50">
        <f>IF($T483="","",IF($S483="S",IF(INDEX(Firms!$J$5:$J$1004,$T483)="","",INDEX(Firms!$J$5:$J$1004,$T483)),IF(INDEX('AFA Rates'!$I$5:$I$1004,$T483)="","",INDEX('AFA Rates'!$I$5:$I$1004,$T483))))</f>
        <v/>
      </c>
      <c r="L483" s="50">
        <f>IF($T483="","",IF($S483="S",IF(INDEX(Firms!$K$5:$K$1004,$T483)="","",INDEX(Firms!$K$5:$K$1004,$T483)),IF(INDEX('AFA Rates'!$J$5:$J$1004,$T483)="","",INDEX('AFA Rates'!$J$5:$J$1004,$T483))))</f>
        <v/>
      </c>
      <c r="M483" s="50">
        <f>IF($T483="","",IF($S483="S",IF(INDEX(Firms!$L$5:$L$1004,$T483)="","",INDEX(Firms!$L$5:$L$1004,$T483)),IF(INDEX('AFA Rates'!$K$5:$K$1004,$T483)="","",INDEX('AFA Rates'!$K$5:$K$1004,$T483))))</f>
        <v/>
      </c>
      <c r="N483" s="50">
        <f>IF($T483="","",IF($S483="S",IF(INDEX(Firms!$M$5:$M$1004,$T483)="","",INDEX(Firms!$M$5:$M$1004,$T483)),IF(INDEX('AFA Rates'!$L$5:$L$1004,$T483)="","",INDEX('AFA Rates'!$L$5:$L$1004,$T483))))</f>
        <v/>
      </c>
      <c r="O483" s="78">
        <f>IF(OR($T483="",$U483=""),"",IF(INDEX(Firms!$C$5:$C$1004,$U483)="","",INDEX(Firms!$C$5:$C$1004,$U483)))</f>
        <v/>
      </c>
      <c r="P483" s="79">
        <f>IF(OR($T483="",$U483=""),"",IF(INDEX(Firms!$N$5:$N$1004,$U483)="","",INDEX(Firms!$N$5:$N$1004,$U483)))</f>
        <v/>
      </c>
      <c r="Q483" s="78">
        <f>IF($T483="","",IF($S483="S",IF(INDEX(Firms!$T$5:$T$1004,$T483)="","",INDEX(Firms!$T$5:$T$1004,$T483)),IF(INDEX('AFA Rates'!$M$5:$M$1004,$T483)="","",INDEX('AFA Rates'!$M$5:$M$1004,$T483))))</f>
        <v/>
      </c>
      <c r="S483">
        <f>IF(479&lt;=$S$2,"S",IF(479&lt;=$S$2+$T$2,"A",""))</f>
        <v/>
      </c>
      <c r="T483">
        <f>IF(S483="S",MATCH(479,Firms!$W$5:$W$1004,0),IF(S483="A",IFERROR(MATCH(479-$S$2,'AFA Rates'!$R$5:$R$1004,0),""),""))</f>
        <v/>
      </c>
      <c r="U483">
        <f>IF(S483="S",T483,IF(AND(S483="A",T483&lt;&gt;""),IFERROR(MATCH(INDEX('AFA Rates'!$A$5:$A$1004,T483),Firms!$A$5:$A$1004,0),""),""))</f>
        <v/>
      </c>
    </row>
    <row r="484">
      <c r="A484" s="78">
        <f>IF($T484="","",IF($S484="S",IF(INDEX(Firms!$A$5:$A$1004,$T484)="","",INDEX(Firms!$A$5:$A$1004,$T484)),IF(INDEX('AFA Rates'!$A$5:$A$1004,$T484)="","",INDEX('AFA Rates'!$A$5:$A$1004,$T484))))</f>
        <v/>
      </c>
      <c r="B484" s="79">
        <f>IF(OR($T484="",$U484=""),IF($T484="","","Not on Firms tab"),INDEX(Firms!$B$5:$B$1004,$U484)&amp;"")</f>
        <v/>
      </c>
      <c r="C484" s="78">
        <f>IF($T484="","",IF($S484="S","Standard",INDEX('AFA Rates'!$B$5:$B$1004,$T484)&amp;""))</f>
        <v/>
      </c>
      <c r="D484" s="88">
        <f>IF($T484="","",IF($S484="S",IF(INDEX(Firms!$E$5:$E$1004,$T484)="","",INDEX(Firms!$E$5:$E$1004,$T484)),IF(INDEX('AFA Rates'!$C$5:$C$1004,$T484)="","",INDEX('AFA Rates'!$C$5:$C$1004,$T484))))</f>
        <v/>
      </c>
      <c r="E484" s="88">
        <f>IF($T484="","",IF($S484="S",IF(""="","",""),IF(INDEX('AFA Rates'!$D$5:$D$1004,$T484)="","",INDEX('AFA Rates'!$D$5:$D$1004,$T484))))</f>
        <v/>
      </c>
      <c r="F484" s="79">
        <f>IF($T484="","",IF($S484="S",IF(INDEX(Firms!$O$5:$O$1004,$T484)="","",INDEX(Firms!$O$5:$O$1004,$T484)),IF(INDEX('AFA Rates'!$O$5:$O$1004,$T484)="","",INDEX('AFA Rates'!$O$5:$O$1004,$T484))))</f>
        <v/>
      </c>
      <c r="G484" s="50">
        <f>IF($T484="","",IF($S484="S",IF(INDEX(Firms!$F$5:$F$1004,$T484)="","",INDEX(Firms!$F$5:$F$1004,$T484)),IF(INDEX('AFA Rates'!$E$5:$E$1004,$T484)="","",INDEX('AFA Rates'!$E$5:$E$1004,$T484))))</f>
        <v/>
      </c>
      <c r="H484" s="50">
        <f>IF($T484="","",IF($S484="S",IF(INDEX(Firms!$G$5:$G$1004,$T484)="","",INDEX(Firms!$G$5:$G$1004,$T484)),IF(INDEX('AFA Rates'!$F$5:$F$1004,$T484)="","",INDEX('AFA Rates'!$F$5:$F$1004,$T484))))</f>
        <v/>
      </c>
      <c r="I484" s="50">
        <f>IF($T484="","",IF($S484="S",IF(INDEX(Firms!$H$5:$H$1004,$T484)="","",INDEX(Firms!$H$5:$H$1004,$T484)),IF(INDEX('AFA Rates'!$G$5:$G$1004,$T484)="","",INDEX('AFA Rates'!$G$5:$G$1004,$T484))))</f>
        <v/>
      </c>
      <c r="J484" s="50">
        <f>IF($T484="","",IF($S484="S",IF(INDEX(Firms!$I$5:$I$1004,$T484)="","",INDEX(Firms!$I$5:$I$1004,$T484)),IF(INDEX('AFA Rates'!$H$5:$H$1004,$T484)="","",INDEX('AFA Rates'!$H$5:$H$1004,$T484))))</f>
        <v/>
      </c>
      <c r="K484" s="50">
        <f>IF($T484="","",IF($S484="S",IF(INDEX(Firms!$J$5:$J$1004,$T484)="","",INDEX(Firms!$J$5:$J$1004,$T484)),IF(INDEX('AFA Rates'!$I$5:$I$1004,$T484)="","",INDEX('AFA Rates'!$I$5:$I$1004,$T484))))</f>
        <v/>
      </c>
      <c r="L484" s="50">
        <f>IF($T484="","",IF($S484="S",IF(INDEX(Firms!$K$5:$K$1004,$T484)="","",INDEX(Firms!$K$5:$K$1004,$T484)),IF(INDEX('AFA Rates'!$J$5:$J$1004,$T484)="","",INDEX('AFA Rates'!$J$5:$J$1004,$T484))))</f>
        <v/>
      </c>
      <c r="M484" s="50">
        <f>IF($T484="","",IF($S484="S",IF(INDEX(Firms!$L$5:$L$1004,$T484)="","",INDEX(Firms!$L$5:$L$1004,$T484)),IF(INDEX('AFA Rates'!$K$5:$K$1004,$T484)="","",INDEX('AFA Rates'!$K$5:$K$1004,$T484))))</f>
        <v/>
      </c>
      <c r="N484" s="50">
        <f>IF($T484="","",IF($S484="S",IF(INDEX(Firms!$M$5:$M$1004,$T484)="","",INDEX(Firms!$M$5:$M$1004,$T484)),IF(INDEX('AFA Rates'!$L$5:$L$1004,$T484)="","",INDEX('AFA Rates'!$L$5:$L$1004,$T484))))</f>
        <v/>
      </c>
      <c r="O484" s="78">
        <f>IF(OR($T484="",$U484=""),"",IF(INDEX(Firms!$C$5:$C$1004,$U484)="","",INDEX(Firms!$C$5:$C$1004,$U484)))</f>
        <v/>
      </c>
      <c r="P484" s="79">
        <f>IF(OR($T484="",$U484=""),"",IF(INDEX(Firms!$N$5:$N$1004,$U484)="","",INDEX(Firms!$N$5:$N$1004,$U484)))</f>
        <v/>
      </c>
      <c r="Q484" s="78">
        <f>IF($T484="","",IF($S484="S",IF(INDEX(Firms!$T$5:$T$1004,$T484)="","",INDEX(Firms!$T$5:$T$1004,$T484)),IF(INDEX('AFA Rates'!$M$5:$M$1004,$T484)="","",INDEX('AFA Rates'!$M$5:$M$1004,$T484))))</f>
        <v/>
      </c>
      <c r="S484">
        <f>IF(480&lt;=$S$2,"S",IF(480&lt;=$S$2+$T$2,"A",""))</f>
        <v/>
      </c>
      <c r="T484">
        <f>IF(S484="S",MATCH(480,Firms!$W$5:$W$1004,0),IF(S484="A",IFERROR(MATCH(480-$S$2,'AFA Rates'!$R$5:$R$1004,0),""),""))</f>
        <v/>
      </c>
      <c r="U484">
        <f>IF(S484="S",T484,IF(AND(S484="A",T484&lt;&gt;""),IFERROR(MATCH(INDEX('AFA Rates'!$A$5:$A$1004,T484),Firms!$A$5:$A$1004,0),""),""))</f>
        <v/>
      </c>
    </row>
    <row r="485">
      <c r="A485" s="78">
        <f>IF($T485="","",IF($S485="S",IF(INDEX(Firms!$A$5:$A$1004,$T485)="","",INDEX(Firms!$A$5:$A$1004,$T485)),IF(INDEX('AFA Rates'!$A$5:$A$1004,$T485)="","",INDEX('AFA Rates'!$A$5:$A$1004,$T485))))</f>
        <v/>
      </c>
      <c r="B485" s="79">
        <f>IF(OR($T485="",$U485=""),IF($T485="","","Not on Firms tab"),INDEX(Firms!$B$5:$B$1004,$U485)&amp;"")</f>
        <v/>
      </c>
      <c r="C485" s="78">
        <f>IF($T485="","",IF($S485="S","Standard",INDEX('AFA Rates'!$B$5:$B$1004,$T485)&amp;""))</f>
        <v/>
      </c>
      <c r="D485" s="88">
        <f>IF($T485="","",IF($S485="S",IF(INDEX(Firms!$E$5:$E$1004,$T485)="","",INDEX(Firms!$E$5:$E$1004,$T485)),IF(INDEX('AFA Rates'!$C$5:$C$1004,$T485)="","",INDEX('AFA Rates'!$C$5:$C$1004,$T485))))</f>
        <v/>
      </c>
      <c r="E485" s="88">
        <f>IF($T485="","",IF($S485="S",IF(""="","",""),IF(INDEX('AFA Rates'!$D$5:$D$1004,$T485)="","",INDEX('AFA Rates'!$D$5:$D$1004,$T485))))</f>
        <v/>
      </c>
      <c r="F485" s="79">
        <f>IF($T485="","",IF($S485="S",IF(INDEX(Firms!$O$5:$O$1004,$T485)="","",INDEX(Firms!$O$5:$O$1004,$T485)),IF(INDEX('AFA Rates'!$O$5:$O$1004,$T485)="","",INDEX('AFA Rates'!$O$5:$O$1004,$T485))))</f>
        <v/>
      </c>
      <c r="G485" s="50">
        <f>IF($T485="","",IF($S485="S",IF(INDEX(Firms!$F$5:$F$1004,$T485)="","",INDEX(Firms!$F$5:$F$1004,$T485)),IF(INDEX('AFA Rates'!$E$5:$E$1004,$T485)="","",INDEX('AFA Rates'!$E$5:$E$1004,$T485))))</f>
        <v/>
      </c>
      <c r="H485" s="50">
        <f>IF($T485="","",IF($S485="S",IF(INDEX(Firms!$G$5:$G$1004,$T485)="","",INDEX(Firms!$G$5:$G$1004,$T485)),IF(INDEX('AFA Rates'!$F$5:$F$1004,$T485)="","",INDEX('AFA Rates'!$F$5:$F$1004,$T485))))</f>
        <v/>
      </c>
      <c r="I485" s="50">
        <f>IF($T485="","",IF($S485="S",IF(INDEX(Firms!$H$5:$H$1004,$T485)="","",INDEX(Firms!$H$5:$H$1004,$T485)),IF(INDEX('AFA Rates'!$G$5:$G$1004,$T485)="","",INDEX('AFA Rates'!$G$5:$G$1004,$T485))))</f>
        <v/>
      </c>
      <c r="J485" s="50">
        <f>IF($T485="","",IF($S485="S",IF(INDEX(Firms!$I$5:$I$1004,$T485)="","",INDEX(Firms!$I$5:$I$1004,$T485)),IF(INDEX('AFA Rates'!$H$5:$H$1004,$T485)="","",INDEX('AFA Rates'!$H$5:$H$1004,$T485))))</f>
        <v/>
      </c>
      <c r="K485" s="50">
        <f>IF($T485="","",IF($S485="S",IF(INDEX(Firms!$J$5:$J$1004,$T485)="","",INDEX(Firms!$J$5:$J$1004,$T485)),IF(INDEX('AFA Rates'!$I$5:$I$1004,$T485)="","",INDEX('AFA Rates'!$I$5:$I$1004,$T485))))</f>
        <v/>
      </c>
      <c r="L485" s="50">
        <f>IF($T485="","",IF($S485="S",IF(INDEX(Firms!$K$5:$K$1004,$T485)="","",INDEX(Firms!$K$5:$K$1004,$T485)),IF(INDEX('AFA Rates'!$J$5:$J$1004,$T485)="","",INDEX('AFA Rates'!$J$5:$J$1004,$T485))))</f>
        <v/>
      </c>
      <c r="M485" s="50">
        <f>IF($T485="","",IF($S485="S",IF(INDEX(Firms!$L$5:$L$1004,$T485)="","",INDEX(Firms!$L$5:$L$1004,$T485)),IF(INDEX('AFA Rates'!$K$5:$K$1004,$T485)="","",INDEX('AFA Rates'!$K$5:$K$1004,$T485))))</f>
        <v/>
      </c>
      <c r="N485" s="50">
        <f>IF($T485="","",IF($S485="S",IF(INDEX(Firms!$M$5:$M$1004,$T485)="","",INDEX(Firms!$M$5:$M$1004,$T485)),IF(INDEX('AFA Rates'!$L$5:$L$1004,$T485)="","",INDEX('AFA Rates'!$L$5:$L$1004,$T485))))</f>
        <v/>
      </c>
      <c r="O485" s="78">
        <f>IF(OR($T485="",$U485=""),"",IF(INDEX(Firms!$C$5:$C$1004,$U485)="","",INDEX(Firms!$C$5:$C$1004,$U485)))</f>
        <v/>
      </c>
      <c r="P485" s="79">
        <f>IF(OR($T485="",$U485=""),"",IF(INDEX(Firms!$N$5:$N$1004,$U485)="","",INDEX(Firms!$N$5:$N$1004,$U485)))</f>
        <v/>
      </c>
      <c r="Q485" s="78">
        <f>IF($T485="","",IF($S485="S",IF(INDEX(Firms!$T$5:$T$1004,$T485)="","",INDEX(Firms!$T$5:$T$1004,$T485)),IF(INDEX('AFA Rates'!$M$5:$M$1004,$T485)="","",INDEX('AFA Rates'!$M$5:$M$1004,$T485))))</f>
        <v/>
      </c>
      <c r="S485">
        <f>IF(481&lt;=$S$2,"S",IF(481&lt;=$S$2+$T$2,"A",""))</f>
        <v/>
      </c>
      <c r="T485">
        <f>IF(S485="S",MATCH(481,Firms!$W$5:$W$1004,0),IF(S485="A",IFERROR(MATCH(481-$S$2,'AFA Rates'!$R$5:$R$1004,0),""),""))</f>
        <v/>
      </c>
      <c r="U485">
        <f>IF(S485="S",T485,IF(AND(S485="A",T485&lt;&gt;""),IFERROR(MATCH(INDEX('AFA Rates'!$A$5:$A$1004,T485),Firms!$A$5:$A$1004,0),""),""))</f>
        <v/>
      </c>
    </row>
    <row r="486">
      <c r="A486" s="78">
        <f>IF($T486="","",IF($S486="S",IF(INDEX(Firms!$A$5:$A$1004,$T486)="","",INDEX(Firms!$A$5:$A$1004,$T486)),IF(INDEX('AFA Rates'!$A$5:$A$1004,$T486)="","",INDEX('AFA Rates'!$A$5:$A$1004,$T486))))</f>
        <v/>
      </c>
      <c r="B486" s="79">
        <f>IF(OR($T486="",$U486=""),IF($T486="","","Not on Firms tab"),INDEX(Firms!$B$5:$B$1004,$U486)&amp;"")</f>
        <v/>
      </c>
      <c r="C486" s="78">
        <f>IF($T486="","",IF($S486="S","Standard",INDEX('AFA Rates'!$B$5:$B$1004,$T486)&amp;""))</f>
        <v/>
      </c>
      <c r="D486" s="88">
        <f>IF($T486="","",IF($S486="S",IF(INDEX(Firms!$E$5:$E$1004,$T486)="","",INDEX(Firms!$E$5:$E$1004,$T486)),IF(INDEX('AFA Rates'!$C$5:$C$1004,$T486)="","",INDEX('AFA Rates'!$C$5:$C$1004,$T486))))</f>
        <v/>
      </c>
      <c r="E486" s="88">
        <f>IF($T486="","",IF($S486="S",IF(""="","",""),IF(INDEX('AFA Rates'!$D$5:$D$1004,$T486)="","",INDEX('AFA Rates'!$D$5:$D$1004,$T486))))</f>
        <v/>
      </c>
      <c r="F486" s="79">
        <f>IF($T486="","",IF($S486="S",IF(INDEX(Firms!$O$5:$O$1004,$T486)="","",INDEX(Firms!$O$5:$O$1004,$T486)),IF(INDEX('AFA Rates'!$O$5:$O$1004,$T486)="","",INDEX('AFA Rates'!$O$5:$O$1004,$T486))))</f>
        <v/>
      </c>
      <c r="G486" s="50">
        <f>IF($T486="","",IF($S486="S",IF(INDEX(Firms!$F$5:$F$1004,$T486)="","",INDEX(Firms!$F$5:$F$1004,$T486)),IF(INDEX('AFA Rates'!$E$5:$E$1004,$T486)="","",INDEX('AFA Rates'!$E$5:$E$1004,$T486))))</f>
        <v/>
      </c>
      <c r="H486" s="50">
        <f>IF($T486="","",IF($S486="S",IF(INDEX(Firms!$G$5:$G$1004,$T486)="","",INDEX(Firms!$G$5:$G$1004,$T486)),IF(INDEX('AFA Rates'!$F$5:$F$1004,$T486)="","",INDEX('AFA Rates'!$F$5:$F$1004,$T486))))</f>
        <v/>
      </c>
      <c r="I486" s="50">
        <f>IF($T486="","",IF($S486="S",IF(INDEX(Firms!$H$5:$H$1004,$T486)="","",INDEX(Firms!$H$5:$H$1004,$T486)),IF(INDEX('AFA Rates'!$G$5:$G$1004,$T486)="","",INDEX('AFA Rates'!$G$5:$G$1004,$T486))))</f>
        <v/>
      </c>
      <c r="J486" s="50">
        <f>IF($T486="","",IF($S486="S",IF(INDEX(Firms!$I$5:$I$1004,$T486)="","",INDEX(Firms!$I$5:$I$1004,$T486)),IF(INDEX('AFA Rates'!$H$5:$H$1004,$T486)="","",INDEX('AFA Rates'!$H$5:$H$1004,$T486))))</f>
        <v/>
      </c>
      <c r="K486" s="50">
        <f>IF($T486="","",IF($S486="S",IF(INDEX(Firms!$J$5:$J$1004,$T486)="","",INDEX(Firms!$J$5:$J$1004,$T486)),IF(INDEX('AFA Rates'!$I$5:$I$1004,$T486)="","",INDEX('AFA Rates'!$I$5:$I$1004,$T486))))</f>
        <v/>
      </c>
      <c r="L486" s="50">
        <f>IF($T486="","",IF($S486="S",IF(INDEX(Firms!$K$5:$K$1004,$T486)="","",INDEX(Firms!$K$5:$K$1004,$T486)),IF(INDEX('AFA Rates'!$J$5:$J$1004,$T486)="","",INDEX('AFA Rates'!$J$5:$J$1004,$T486))))</f>
        <v/>
      </c>
      <c r="M486" s="50">
        <f>IF($T486="","",IF($S486="S",IF(INDEX(Firms!$L$5:$L$1004,$T486)="","",INDEX(Firms!$L$5:$L$1004,$T486)),IF(INDEX('AFA Rates'!$K$5:$K$1004,$T486)="","",INDEX('AFA Rates'!$K$5:$K$1004,$T486))))</f>
        <v/>
      </c>
      <c r="N486" s="50">
        <f>IF($T486="","",IF($S486="S",IF(INDEX(Firms!$M$5:$M$1004,$T486)="","",INDEX(Firms!$M$5:$M$1004,$T486)),IF(INDEX('AFA Rates'!$L$5:$L$1004,$T486)="","",INDEX('AFA Rates'!$L$5:$L$1004,$T486))))</f>
        <v/>
      </c>
      <c r="O486" s="78">
        <f>IF(OR($T486="",$U486=""),"",IF(INDEX(Firms!$C$5:$C$1004,$U486)="","",INDEX(Firms!$C$5:$C$1004,$U486)))</f>
        <v/>
      </c>
      <c r="P486" s="79">
        <f>IF(OR($T486="",$U486=""),"",IF(INDEX(Firms!$N$5:$N$1004,$U486)="","",INDEX(Firms!$N$5:$N$1004,$U486)))</f>
        <v/>
      </c>
      <c r="Q486" s="78">
        <f>IF($T486="","",IF($S486="S",IF(INDEX(Firms!$T$5:$T$1004,$T486)="","",INDEX(Firms!$T$5:$T$1004,$T486)),IF(INDEX('AFA Rates'!$M$5:$M$1004,$T486)="","",INDEX('AFA Rates'!$M$5:$M$1004,$T486))))</f>
        <v/>
      </c>
      <c r="S486">
        <f>IF(482&lt;=$S$2,"S",IF(482&lt;=$S$2+$T$2,"A",""))</f>
        <v/>
      </c>
      <c r="T486">
        <f>IF(S486="S",MATCH(482,Firms!$W$5:$W$1004,0),IF(S486="A",IFERROR(MATCH(482-$S$2,'AFA Rates'!$R$5:$R$1004,0),""),""))</f>
        <v/>
      </c>
      <c r="U486">
        <f>IF(S486="S",T486,IF(AND(S486="A",T486&lt;&gt;""),IFERROR(MATCH(INDEX('AFA Rates'!$A$5:$A$1004,T486),Firms!$A$5:$A$1004,0),""),""))</f>
        <v/>
      </c>
    </row>
    <row r="487">
      <c r="A487" s="78">
        <f>IF($T487="","",IF($S487="S",IF(INDEX(Firms!$A$5:$A$1004,$T487)="","",INDEX(Firms!$A$5:$A$1004,$T487)),IF(INDEX('AFA Rates'!$A$5:$A$1004,$T487)="","",INDEX('AFA Rates'!$A$5:$A$1004,$T487))))</f>
        <v/>
      </c>
      <c r="B487" s="79">
        <f>IF(OR($T487="",$U487=""),IF($T487="","","Not on Firms tab"),INDEX(Firms!$B$5:$B$1004,$U487)&amp;"")</f>
        <v/>
      </c>
      <c r="C487" s="78">
        <f>IF($T487="","",IF($S487="S","Standard",INDEX('AFA Rates'!$B$5:$B$1004,$T487)&amp;""))</f>
        <v/>
      </c>
      <c r="D487" s="88">
        <f>IF($T487="","",IF($S487="S",IF(INDEX(Firms!$E$5:$E$1004,$T487)="","",INDEX(Firms!$E$5:$E$1004,$T487)),IF(INDEX('AFA Rates'!$C$5:$C$1004,$T487)="","",INDEX('AFA Rates'!$C$5:$C$1004,$T487))))</f>
        <v/>
      </c>
      <c r="E487" s="88">
        <f>IF($T487="","",IF($S487="S",IF(""="","",""),IF(INDEX('AFA Rates'!$D$5:$D$1004,$T487)="","",INDEX('AFA Rates'!$D$5:$D$1004,$T487))))</f>
        <v/>
      </c>
      <c r="F487" s="79">
        <f>IF($T487="","",IF($S487="S",IF(INDEX(Firms!$O$5:$O$1004,$T487)="","",INDEX(Firms!$O$5:$O$1004,$T487)),IF(INDEX('AFA Rates'!$O$5:$O$1004,$T487)="","",INDEX('AFA Rates'!$O$5:$O$1004,$T487))))</f>
        <v/>
      </c>
      <c r="G487" s="50">
        <f>IF($T487="","",IF($S487="S",IF(INDEX(Firms!$F$5:$F$1004,$T487)="","",INDEX(Firms!$F$5:$F$1004,$T487)),IF(INDEX('AFA Rates'!$E$5:$E$1004,$T487)="","",INDEX('AFA Rates'!$E$5:$E$1004,$T487))))</f>
        <v/>
      </c>
      <c r="H487" s="50">
        <f>IF($T487="","",IF($S487="S",IF(INDEX(Firms!$G$5:$G$1004,$T487)="","",INDEX(Firms!$G$5:$G$1004,$T487)),IF(INDEX('AFA Rates'!$F$5:$F$1004,$T487)="","",INDEX('AFA Rates'!$F$5:$F$1004,$T487))))</f>
        <v/>
      </c>
      <c r="I487" s="50">
        <f>IF($T487="","",IF($S487="S",IF(INDEX(Firms!$H$5:$H$1004,$T487)="","",INDEX(Firms!$H$5:$H$1004,$T487)),IF(INDEX('AFA Rates'!$G$5:$G$1004,$T487)="","",INDEX('AFA Rates'!$G$5:$G$1004,$T487))))</f>
        <v/>
      </c>
      <c r="J487" s="50">
        <f>IF($T487="","",IF($S487="S",IF(INDEX(Firms!$I$5:$I$1004,$T487)="","",INDEX(Firms!$I$5:$I$1004,$T487)),IF(INDEX('AFA Rates'!$H$5:$H$1004,$T487)="","",INDEX('AFA Rates'!$H$5:$H$1004,$T487))))</f>
        <v/>
      </c>
      <c r="K487" s="50">
        <f>IF($T487="","",IF($S487="S",IF(INDEX(Firms!$J$5:$J$1004,$T487)="","",INDEX(Firms!$J$5:$J$1004,$T487)),IF(INDEX('AFA Rates'!$I$5:$I$1004,$T487)="","",INDEX('AFA Rates'!$I$5:$I$1004,$T487))))</f>
        <v/>
      </c>
      <c r="L487" s="50">
        <f>IF($T487="","",IF($S487="S",IF(INDEX(Firms!$K$5:$K$1004,$T487)="","",INDEX(Firms!$K$5:$K$1004,$T487)),IF(INDEX('AFA Rates'!$J$5:$J$1004,$T487)="","",INDEX('AFA Rates'!$J$5:$J$1004,$T487))))</f>
        <v/>
      </c>
      <c r="M487" s="50">
        <f>IF($T487="","",IF($S487="S",IF(INDEX(Firms!$L$5:$L$1004,$T487)="","",INDEX(Firms!$L$5:$L$1004,$T487)),IF(INDEX('AFA Rates'!$K$5:$K$1004,$T487)="","",INDEX('AFA Rates'!$K$5:$K$1004,$T487))))</f>
        <v/>
      </c>
      <c r="N487" s="50">
        <f>IF($T487="","",IF($S487="S",IF(INDEX(Firms!$M$5:$M$1004,$T487)="","",INDEX(Firms!$M$5:$M$1004,$T487)),IF(INDEX('AFA Rates'!$L$5:$L$1004,$T487)="","",INDEX('AFA Rates'!$L$5:$L$1004,$T487))))</f>
        <v/>
      </c>
      <c r="O487" s="78">
        <f>IF(OR($T487="",$U487=""),"",IF(INDEX(Firms!$C$5:$C$1004,$U487)="","",INDEX(Firms!$C$5:$C$1004,$U487)))</f>
        <v/>
      </c>
      <c r="P487" s="79">
        <f>IF(OR($T487="",$U487=""),"",IF(INDEX(Firms!$N$5:$N$1004,$U487)="","",INDEX(Firms!$N$5:$N$1004,$U487)))</f>
        <v/>
      </c>
      <c r="Q487" s="78">
        <f>IF($T487="","",IF($S487="S",IF(INDEX(Firms!$T$5:$T$1004,$T487)="","",INDEX(Firms!$T$5:$T$1004,$T487)),IF(INDEX('AFA Rates'!$M$5:$M$1004,$T487)="","",INDEX('AFA Rates'!$M$5:$M$1004,$T487))))</f>
        <v/>
      </c>
      <c r="S487">
        <f>IF(483&lt;=$S$2,"S",IF(483&lt;=$S$2+$T$2,"A",""))</f>
        <v/>
      </c>
      <c r="T487">
        <f>IF(S487="S",MATCH(483,Firms!$W$5:$W$1004,0),IF(S487="A",IFERROR(MATCH(483-$S$2,'AFA Rates'!$R$5:$R$1004,0),""),""))</f>
        <v/>
      </c>
      <c r="U487">
        <f>IF(S487="S",T487,IF(AND(S487="A",T487&lt;&gt;""),IFERROR(MATCH(INDEX('AFA Rates'!$A$5:$A$1004,T487),Firms!$A$5:$A$1004,0),""),""))</f>
        <v/>
      </c>
    </row>
    <row r="488">
      <c r="A488" s="78">
        <f>IF($T488="","",IF($S488="S",IF(INDEX(Firms!$A$5:$A$1004,$T488)="","",INDEX(Firms!$A$5:$A$1004,$T488)),IF(INDEX('AFA Rates'!$A$5:$A$1004,$T488)="","",INDEX('AFA Rates'!$A$5:$A$1004,$T488))))</f>
        <v/>
      </c>
      <c r="B488" s="79">
        <f>IF(OR($T488="",$U488=""),IF($T488="","","Not on Firms tab"),INDEX(Firms!$B$5:$B$1004,$U488)&amp;"")</f>
        <v/>
      </c>
      <c r="C488" s="78">
        <f>IF($T488="","",IF($S488="S","Standard",INDEX('AFA Rates'!$B$5:$B$1004,$T488)&amp;""))</f>
        <v/>
      </c>
      <c r="D488" s="88">
        <f>IF($T488="","",IF($S488="S",IF(INDEX(Firms!$E$5:$E$1004,$T488)="","",INDEX(Firms!$E$5:$E$1004,$T488)),IF(INDEX('AFA Rates'!$C$5:$C$1004,$T488)="","",INDEX('AFA Rates'!$C$5:$C$1004,$T488))))</f>
        <v/>
      </c>
      <c r="E488" s="88">
        <f>IF($T488="","",IF($S488="S",IF(""="","",""),IF(INDEX('AFA Rates'!$D$5:$D$1004,$T488)="","",INDEX('AFA Rates'!$D$5:$D$1004,$T488))))</f>
        <v/>
      </c>
      <c r="F488" s="79">
        <f>IF($T488="","",IF($S488="S",IF(INDEX(Firms!$O$5:$O$1004,$T488)="","",INDEX(Firms!$O$5:$O$1004,$T488)),IF(INDEX('AFA Rates'!$O$5:$O$1004,$T488)="","",INDEX('AFA Rates'!$O$5:$O$1004,$T488))))</f>
        <v/>
      </c>
      <c r="G488" s="50">
        <f>IF($T488="","",IF($S488="S",IF(INDEX(Firms!$F$5:$F$1004,$T488)="","",INDEX(Firms!$F$5:$F$1004,$T488)),IF(INDEX('AFA Rates'!$E$5:$E$1004,$T488)="","",INDEX('AFA Rates'!$E$5:$E$1004,$T488))))</f>
        <v/>
      </c>
      <c r="H488" s="50">
        <f>IF($T488="","",IF($S488="S",IF(INDEX(Firms!$G$5:$G$1004,$T488)="","",INDEX(Firms!$G$5:$G$1004,$T488)),IF(INDEX('AFA Rates'!$F$5:$F$1004,$T488)="","",INDEX('AFA Rates'!$F$5:$F$1004,$T488))))</f>
        <v/>
      </c>
      <c r="I488" s="50">
        <f>IF($T488="","",IF($S488="S",IF(INDEX(Firms!$H$5:$H$1004,$T488)="","",INDEX(Firms!$H$5:$H$1004,$T488)),IF(INDEX('AFA Rates'!$G$5:$G$1004,$T488)="","",INDEX('AFA Rates'!$G$5:$G$1004,$T488))))</f>
        <v/>
      </c>
      <c r="J488" s="50">
        <f>IF($T488="","",IF($S488="S",IF(INDEX(Firms!$I$5:$I$1004,$T488)="","",INDEX(Firms!$I$5:$I$1004,$T488)),IF(INDEX('AFA Rates'!$H$5:$H$1004,$T488)="","",INDEX('AFA Rates'!$H$5:$H$1004,$T488))))</f>
        <v/>
      </c>
      <c r="K488" s="50">
        <f>IF($T488="","",IF($S488="S",IF(INDEX(Firms!$J$5:$J$1004,$T488)="","",INDEX(Firms!$J$5:$J$1004,$T488)),IF(INDEX('AFA Rates'!$I$5:$I$1004,$T488)="","",INDEX('AFA Rates'!$I$5:$I$1004,$T488))))</f>
        <v/>
      </c>
      <c r="L488" s="50">
        <f>IF($T488="","",IF($S488="S",IF(INDEX(Firms!$K$5:$K$1004,$T488)="","",INDEX(Firms!$K$5:$K$1004,$T488)),IF(INDEX('AFA Rates'!$J$5:$J$1004,$T488)="","",INDEX('AFA Rates'!$J$5:$J$1004,$T488))))</f>
        <v/>
      </c>
      <c r="M488" s="50">
        <f>IF($T488="","",IF($S488="S",IF(INDEX(Firms!$L$5:$L$1004,$T488)="","",INDEX(Firms!$L$5:$L$1004,$T488)),IF(INDEX('AFA Rates'!$K$5:$K$1004,$T488)="","",INDEX('AFA Rates'!$K$5:$K$1004,$T488))))</f>
        <v/>
      </c>
      <c r="N488" s="50">
        <f>IF($T488="","",IF($S488="S",IF(INDEX(Firms!$M$5:$M$1004,$T488)="","",INDEX(Firms!$M$5:$M$1004,$T488)),IF(INDEX('AFA Rates'!$L$5:$L$1004,$T488)="","",INDEX('AFA Rates'!$L$5:$L$1004,$T488))))</f>
        <v/>
      </c>
      <c r="O488" s="78">
        <f>IF(OR($T488="",$U488=""),"",IF(INDEX(Firms!$C$5:$C$1004,$U488)="","",INDEX(Firms!$C$5:$C$1004,$U488)))</f>
        <v/>
      </c>
      <c r="P488" s="79">
        <f>IF(OR($T488="",$U488=""),"",IF(INDEX(Firms!$N$5:$N$1004,$U488)="","",INDEX(Firms!$N$5:$N$1004,$U488)))</f>
        <v/>
      </c>
      <c r="Q488" s="78">
        <f>IF($T488="","",IF($S488="S",IF(INDEX(Firms!$T$5:$T$1004,$T488)="","",INDEX(Firms!$T$5:$T$1004,$T488)),IF(INDEX('AFA Rates'!$M$5:$M$1004,$T488)="","",INDEX('AFA Rates'!$M$5:$M$1004,$T488))))</f>
        <v/>
      </c>
      <c r="S488">
        <f>IF(484&lt;=$S$2,"S",IF(484&lt;=$S$2+$T$2,"A",""))</f>
        <v/>
      </c>
      <c r="T488">
        <f>IF(S488="S",MATCH(484,Firms!$W$5:$W$1004,0),IF(S488="A",IFERROR(MATCH(484-$S$2,'AFA Rates'!$R$5:$R$1004,0),""),""))</f>
        <v/>
      </c>
      <c r="U488">
        <f>IF(S488="S",T488,IF(AND(S488="A",T488&lt;&gt;""),IFERROR(MATCH(INDEX('AFA Rates'!$A$5:$A$1004,T488),Firms!$A$5:$A$1004,0),""),""))</f>
        <v/>
      </c>
    </row>
    <row r="489">
      <c r="A489" s="78">
        <f>IF($T489="","",IF($S489="S",IF(INDEX(Firms!$A$5:$A$1004,$T489)="","",INDEX(Firms!$A$5:$A$1004,$T489)),IF(INDEX('AFA Rates'!$A$5:$A$1004,$T489)="","",INDEX('AFA Rates'!$A$5:$A$1004,$T489))))</f>
        <v/>
      </c>
      <c r="B489" s="79">
        <f>IF(OR($T489="",$U489=""),IF($T489="","","Not on Firms tab"),INDEX(Firms!$B$5:$B$1004,$U489)&amp;"")</f>
        <v/>
      </c>
      <c r="C489" s="78">
        <f>IF($T489="","",IF($S489="S","Standard",INDEX('AFA Rates'!$B$5:$B$1004,$T489)&amp;""))</f>
        <v/>
      </c>
      <c r="D489" s="88">
        <f>IF($T489="","",IF($S489="S",IF(INDEX(Firms!$E$5:$E$1004,$T489)="","",INDEX(Firms!$E$5:$E$1004,$T489)),IF(INDEX('AFA Rates'!$C$5:$C$1004,$T489)="","",INDEX('AFA Rates'!$C$5:$C$1004,$T489))))</f>
        <v/>
      </c>
      <c r="E489" s="88">
        <f>IF($T489="","",IF($S489="S",IF(""="","",""),IF(INDEX('AFA Rates'!$D$5:$D$1004,$T489)="","",INDEX('AFA Rates'!$D$5:$D$1004,$T489))))</f>
        <v/>
      </c>
      <c r="F489" s="79">
        <f>IF($T489="","",IF($S489="S",IF(INDEX(Firms!$O$5:$O$1004,$T489)="","",INDEX(Firms!$O$5:$O$1004,$T489)),IF(INDEX('AFA Rates'!$O$5:$O$1004,$T489)="","",INDEX('AFA Rates'!$O$5:$O$1004,$T489))))</f>
        <v/>
      </c>
      <c r="G489" s="50">
        <f>IF($T489="","",IF($S489="S",IF(INDEX(Firms!$F$5:$F$1004,$T489)="","",INDEX(Firms!$F$5:$F$1004,$T489)),IF(INDEX('AFA Rates'!$E$5:$E$1004,$T489)="","",INDEX('AFA Rates'!$E$5:$E$1004,$T489))))</f>
        <v/>
      </c>
      <c r="H489" s="50">
        <f>IF($T489="","",IF($S489="S",IF(INDEX(Firms!$G$5:$G$1004,$T489)="","",INDEX(Firms!$G$5:$G$1004,$T489)),IF(INDEX('AFA Rates'!$F$5:$F$1004,$T489)="","",INDEX('AFA Rates'!$F$5:$F$1004,$T489))))</f>
        <v/>
      </c>
      <c r="I489" s="50">
        <f>IF($T489="","",IF($S489="S",IF(INDEX(Firms!$H$5:$H$1004,$T489)="","",INDEX(Firms!$H$5:$H$1004,$T489)),IF(INDEX('AFA Rates'!$G$5:$G$1004,$T489)="","",INDEX('AFA Rates'!$G$5:$G$1004,$T489))))</f>
        <v/>
      </c>
      <c r="J489" s="50">
        <f>IF($T489="","",IF($S489="S",IF(INDEX(Firms!$I$5:$I$1004,$T489)="","",INDEX(Firms!$I$5:$I$1004,$T489)),IF(INDEX('AFA Rates'!$H$5:$H$1004,$T489)="","",INDEX('AFA Rates'!$H$5:$H$1004,$T489))))</f>
        <v/>
      </c>
      <c r="K489" s="50">
        <f>IF($T489="","",IF($S489="S",IF(INDEX(Firms!$J$5:$J$1004,$T489)="","",INDEX(Firms!$J$5:$J$1004,$T489)),IF(INDEX('AFA Rates'!$I$5:$I$1004,$T489)="","",INDEX('AFA Rates'!$I$5:$I$1004,$T489))))</f>
        <v/>
      </c>
      <c r="L489" s="50">
        <f>IF($T489="","",IF($S489="S",IF(INDEX(Firms!$K$5:$K$1004,$T489)="","",INDEX(Firms!$K$5:$K$1004,$T489)),IF(INDEX('AFA Rates'!$J$5:$J$1004,$T489)="","",INDEX('AFA Rates'!$J$5:$J$1004,$T489))))</f>
        <v/>
      </c>
      <c r="M489" s="50">
        <f>IF($T489="","",IF($S489="S",IF(INDEX(Firms!$L$5:$L$1004,$T489)="","",INDEX(Firms!$L$5:$L$1004,$T489)),IF(INDEX('AFA Rates'!$K$5:$K$1004,$T489)="","",INDEX('AFA Rates'!$K$5:$K$1004,$T489))))</f>
        <v/>
      </c>
      <c r="N489" s="50">
        <f>IF($T489="","",IF($S489="S",IF(INDEX(Firms!$M$5:$M$1004,$T489)="","",INDEX(Firms!$M$5:$M$1004,$T489)),IF(INDEX('AFA Rates'!$L$5:$L$1004,$T489)="","",INDEX('AFA Rates'!$L$5:$L$1004,$T489))))</f>
        <v/>
      </c>
      <c r="O489" s="78">
        <f>IF(OR($T489="",$U489=""),"",IF(INDEX(Firms!$C$5:$C$1004,$U489)="","",INDEX(Firms!$C$5:$C$1004,$U489)))</f>
        <v/>
      </c>
      <c r="P489" s="79">
        <f>IF(OR($T489="",$U489=""),"",IF(INDEX(Firms!$N$5:$N$1004,$U489)="","",INDEX(Firms!$N$5:$N$1004,$U489)))</f>
        <v/>
      </c>
      <c r="Q489" s="78">
        <f>IF($T489="","",IF($S489="S",IF(INDEX(Firms!$T$5:$T$1004,$T489)="","",INDEX(Firms!$T$5:$T$1004,$T489)),IF(INDEX('AFA Rates'!$M$5:$M$1004,$T489)="","",INDEX('AFA Rates'!$M$5:$M$1004,$T489))))</f>
        <v/>
      </c>
      <c r="S489">
        <f>IF(485&lt;=$S$2,"S",IF(485&lt;=$S$2+$T$2,"A",""))</f>
        <v/>
      </c>
      <c r="T489">
        <f>IF(S489="S",MATCH(485,Firms!$W$5:$W$1004,0),IF(S489="A",IFERROR(MATCH(485-$S$2,'AFA Rates'!$R$5:$R$1004,0),""),""))</f>
        <v/>
      </c>
      <c r="U489">
        <f>IF(S489="S",T489,IF(AND(S489="A",T489&lt;&gt;""),IFERROR(MATCH(INDEX('AFA Rates'!$A$5:$A$1004,T489),Firms!$A$5:$A$1004,0),""),""))</f>
        <v/>
      </c>
    </row>
    <row r="490">
      <c r="A490" s="78">
        <f>IF($T490="","",IF($S490="S",IF(INDEX(Firms!$A$5:$A$1004,$T490)="","",INDEX(Firms!$A$5:$A$1004,$T490)),IF(INDEX('AFA Rates'!$A$5:$A$1004,$T490)="","",INDEX('AFA Rates'!$A$5:$A$1004,$T490))))</f>
        <v/>
      </c>
      <c r="B490" s="79">
        <f>IF(OR($T490="",$U490=""),IF($T490="","","Not on Firms tab"),INDEX(Firms!$B$5:$B$1004,$U490)&amp;"")</f>
        <v/>
      </c>
      <c r="C490" s="78">
        <f>IF($T490="","",IF($S490="S","Standard",INDEX('AFA Rates'!$B$5:$B$1004,$T490)&amp;""))</f>
        <v/>
      </c>
      <c r="D490" s="88">
        <f>IF($T490="","",IF($S490="S",IF(INDEX(Firms!$E$5:$E$1004,$T490)="","",INDEX(Firms!$E$5:$E$1004,$T490)),IF(INDEX('AFA Rates'!$C$5:$C$1004,$T490)="","",INDEX('AFA Rates'!$C$5:$C$1004,$T490))))</f>
        <v/>
      </c>
      <c r="E490" s="88">
        <f>IF($T490="","",IF($S490="S",IF(""="","",""),IF(INDEX('AFA Rates'!$D$5:$D$1004,$T490)="","",INDEX('AFA Rates'!$D$5:$D$1004,$T490))))</f>
        <v/>
      </c>
      <c r="F490" s="79">
        <f>IF($T490="","",IF($S490="S",IF(INDEX(Firms!$O$5:$O$1004,$T490)="","",INDEX(Firms!$O$5:$O$1004,$T490)),IF(INDEX('AFA Rates'!$O$5:$O$1004,$T490)="","",INDEX('AFA Rates'!$O$5:$O$1004,$T490))))</f>
        <v/>
      </c>
      <c r="G490" s="50">
        <f>IF($T490="","",IF($S490="S",IF(INDEX(Firms!$F$5:$F$1004,$T490)="","",INDEX(Firms!$F$5:$F$1004,$T490)),IF(INDEX('AFA Rates'!$E$5:$E$1004,$T490)="","",INDEX('AFA Rates'!$E$5:$E$1004,$T490))))</f>
        <v/>
      </c>
      <c r="H490" s="50">
        <f>IF($T490="","",IF($S490="S",IF(INDEX(Firms!$G$5:$G$1004,$T490)="","",INDEX(Firms!$G$5:$G$1004,$T490)),IF(INDEX('AFA Rates'!$F$5:$F$1004,$T490)="","",INDEX('AFA Rates'!$F$5:$F$1004,$T490))))</f>
        <v/>
      </c>
      <c r="I490" s="50">
        <f>IF($T490="","",IF($S490="S",IF(INDEX(Firms!$H$5:$H$1004,$T490)="","",INDEX(Firms!$H$5:$H$1004,$T490)),IF(INDEX('AFA Rates'!$G$5:$G$1004,$T490)="","",INDEX('AFA Rates'!$G$5:$G$1004,$T490))))</f>
        <v/>
      </c>
      <c r="J490" s="50">
        <f>IF($T490="","",IF($S490="S",IF(INDEX(Firms!$I$5:$I$1004,$T490)="","",INDEX(Firms!$I$5:$I$1004,$T490)),IF(INDEX('AFA Rates'!$H$5:$H$1004,$T490)="","",INDEX('AFA Rates'!$H$5:$H$1004,$T490))))</f>
        <v/>
      </c>
      <c r="K490" s="50">
        <f>IF($T490="","",IF($S490="S",IF(INDEX(Firms!$J$5:$J$1004,$T490)="","",INDEX(Firms!$J$5:$J$1004,$T490)),IF(INDEX('AFA Rates'!$I$5:$I$1004,$T490)="","",INDEX('AFA Rates'!$I$5:$I$1004,$T490))))</f>
        <v/>
      </c>
      <c r="L490" s="50">
        <f>IF($T490="","",IF($S490="S",IF(INDEX(Firms!$K$5:$K$1004,$T490)="","",INDEX(Firms!$K$5:$K$1004,$T490)),IF(INDEX('AFA Rates'!$J$5:$J$1004,$T490)="","",INDEX('AFA Rates'!$J$5:$J$1004,$T490))))</f>
        <v/>
      </c>
      <c r="M490" s="50">
        <f>IF($T490="","",IF($S490="S",IF(INDEX(Firms!$L$5:$L$1004,$T490)="","",INDEX(Firms!$L$5:$L$1004,$T490)),IF(INDEX('AFA Rates'!$K$5:$K$1004,$T490)="","",INDEX('AFA Rates'!$K$5:$K$1004,$T490))))</f>
        <v/>
      </c>
      <c r="N490" s="50">
        <f>IF($T490="","",IF($S490="S",IF(INDEX(Firms!$M$5:$M$1004,$T490)="","",INDEX(Firms!$M$5:$M$1004,$T490)),IF(INDEX('AFA Rates'!$L$5:$L$1004,$T490)="","",INDEX('AFA Rates'!$L$5:$L$1004,$T490))))</f>
        <v/>
      </c>
      <c r="O490" s="78">
        <f>IF(OR($T490="",$U490=""),"",IF(INDEX(Firms!$C$5:$C$1004,$U490)="","",INDEX(Firms!$C$5:$C$1004,$U490)))</f>
        <v/>
      </c>
      <c r="P490" s="79">
        <f>IF(OR($T490="",$U490=""),"",IF(INDEX(Firms!$N$5:$N$1004,$U490)="","",INDEX(Firms!$N$5:$N$1004,$U490)))</f>
        <v/>
      </c>
      <c r="Q490" s="78">
        <f>IF($T490="","",IF($S490="S",IF(INDEX(Firms!$T$5:$T$1004,$T490)="","",INDEX(Firms!$T$5:$T$1004,$T490)),IF(INDEX('AFA Rates'!$M$5:$M$1004,$T490)="","",INDEX('AFA Rates'!$M$5:$M$1004,$T490))))</f>
        <v/>
      </c>
      <c r="S490">
        <f>IF(486&lt;=$S$2,"S",IF(486&lt;=$S$2+$T$2,"A",""))</f>
        <v/>
      </c>
      <c r="T490">
        <f>IF(S490="S",MATCH(486,Firms!$W$5:$W$1004,0),IF(S490="A",IFERROR(MATCH(486-$S$2,'AFA Rates'!$R$5:$R$1004,0),""),""))</f>
        <v/>
      </c>
      <c r="U490">
        <f>IF(S490="S",T490,IF(AND(S490="A",T490&lt;&gt;""),IFERROR(MATCH(INDEX('AFA Rates'!$A$5:$A$1004,T490),Firms!$A$5:$A$1004,0),""),""))</f>
        <v/>
      </c>
    </row>
    <row r="491">
      <c r="A491" s="78">
        <f>IF($T491="","",IF($S491="S",IF(INDEX(Firms!$A$5:$A$1004,$T491)="","",INDEX(Firms!$A$5:$A$1004,$T491)),IF(INDEX('AFA Rates'!$A$5:$A$1004,$T491)="","",INDEX('AFA Rates'!$A$5:$A$1004,$T491))))</f>
        <v/>
      </c>
      <c r="B491" s="79">
        <f>IF(OR($T491="",$U491=""),IF($T491="","","Not on Firms tab"),INDEX(Firms!$B$5:$B$1004,$U491)&amp;"")</f>
        <v/>
      </c>
      <c r="C491" s="78">
        <f>IF($T491="","",IF($S491="S","Standard",INDEX('AFA Rates'!$B$5:$B$1004,$T491)&amp;""))</f>
        <v/>
      </c>
      <c r="D491" s="88">
        <f>IF($T491="","",IF($S491="S",IF(INDEX(Firms!$E$5:$E$1004,$T491)="","",INDEX(Firms!$E$5:$E$1004,$T491)),IF(INDEX('AFA Rates'!$C$5:$C$1004,$T491)="","",INDEX('AFA Rates'!$C$5:$C$1004,$T491))))</f>
        <v/>
      </c>
      <c r="E491" s="88">
        <f>IF($T491="","",IF($S491="S",IF(""="","",""),IF(INDEX('AFA Rates'!$D$5:$D$1004,$T491)="","",INDEX('AFA Rates'!$D$5:$D$1004,$T491))))</f>
        <v/>
      </c>
      <c r="F491" s="79">
        <f>IF($T491="","",IF($S491="S",IF(INDEX(Firms!$O$5:$O$1004,$T491)="","",INDEX(Firms!$O$5:$O$1004,$T491)),IF(INDEX('AFA Rates'!$O$5:$O$1004,$T491)="","",INDEX('AFA Rates'!$O$5:$O$1004,$T491))))</f>
        <v/>
      </c>
      <c r="G491" s="50">
        <f>IF($T491="","",IF($S491="S",IF(INDEX(Firms!$F$5:$F$1004,$T491)="","",INDEX(Firms!$F$5:$F$1004,$T491)),IF(INDEX('AFA Rates'!$E$5:$E$1004,$T491)="","",INDEX('AFA Rates'!$E$5:$E$1004,$T491))))</f>
        <v/>
      </c>
      <c r="H491" s="50">
        <f>IF($T491="","",IF($S491="S",IF(INDEX(Firms!$G$5:$G$1004,$T491)="","",INDEX(Firms!$G$5:$G$1004,$T491)),IF(INDEX('AFA Rates'!$F$5:$F$1004,$T491)="","",INDEX('AFA Rates'!$F$5:$F$1004,$T491))))</f>
        <v/>
      </c>
      <c r="I491" s="50">
        <f>IF($T491="","",IF($S491="S",IF(INDEX(Firms!$H$5:$H$1004,$T491)="","",INDEX(Firms!$H$5:$H$1004,$T491)),IF(INDEX('AFA Rates'!$G$5:$G$1004,$T491)="","",INDEX('AFA Rates'!$G$5:$G$1004,$T491))))</f>
        <v/>
      </c>
      <c r="J491" s="50">
        <f>IF($T491="","",IF($S491="S",IF(INDEX(Firms!$I$5:$I$1004,$T491)="","",INDEX(Firms!$I$5:$I$1004,$T491)),IF(INDEX('AFA Rates'!$H$5:$H$1004,$T491)="","",INDEX('AFA Rates'!$H$5:$H$1004,$T491))))</f>
        <v/>
      </c>
      <c r="K491" s="50">
        <f>IF($T491="","",IF($S491="S",IF(INDEX(Firms!$J$5:$J$1004,$T491)="","",INDEX(Firms!$J$5:$J$1004,$T491)),IF(INDEX('AFA Rates'!$I$5:$I$1004,$T491)="","",INDEX('AFA Rates'!$I$5:$I$1004,$T491))))</f>
        <v/>
      </c>
      <c r="L491" s="50">
        <f>IF($T491="","",IF($S491="S",IF(INDEX(Firms!$K$5:$K$1004,$T491)="","",INDEX(Firms!$K$5:$K$1004,$T491)),IF(INDEX('AFA Rates'!$J$5:$J$1004,$T491)="","",INDEX('AFA Rates'!$J$5:$J$1004,$T491))))</f>
        <v/>
      </c>
      <c r="M491" s="50">
        <f>IF($T491="","",IF($S491="S",IF(INDEX(Firms!$L$5:$L$1004,$T491)="","",INDEX(Firms!$L$5:$L$1004,$T491)),IF(INDEX('AFA Rates'!$K$5:$K$1004,$T491)="","",INDEX('AFA Rates'!$K$5:$K$1004,$T491))))</f>
        <v/>
      </c>
      <c r="N491" s="50">
        <f>IF($T491="","",IF($S491="S",IF(INDEX(Firms!$M$5:$M$1004,$T491)="","",INDEX(Firms!$M$5:$M$1004,$T491)),IF(INDEX('AFA Rates'!$L$5:$L$1004,$T491)="","",INDEX('AFA Rates'!$L$5:$L$1004,$T491))))</f>
        <v/>
      </c>
      <c r="O491" s="78">
        <f>IF(OR($T491="",$U491=""),"",IF(INDEX(Firms!$C$5:$C$1004,$U491)="","",INDEX(Firms!$C$5:$C$1004,$U491)))</f>
        <v/>
      </c>
      <c r="P491" s="79">
        <f>IF(OR($T491="",$U491=""),"",IF(INDEX(Firms!$N$5:$N$1004,$U491)="","",INDEX(Firms!$N$5:$N$1004,$U491)))</f>
        <v/>
      </c>
      <c r="Q491" s="78">
        <f>IF($T491="","",IF($S491="S",IF(INDEX(Firms!$T$5:$T$1004,$T491)="","",INDEX(Firms!$T$5:$T$1004,$T491)),IF(INDEX('AFA Rates'!$M$5:$M$1004,$T491)="","",INDEX('AFA Rates'!$M$5:$M$1004,$T491))))</f>
        <v/>
      </c>
      <c r="S491">
        <f>IF(487&lt;=$S$2,"S",IF(487&lt;=$S$2+$T$2,"A",""))</f>
        <v/>
      </c>
      <c r="T491">
        <f>IF(S491="S",MATCH(487,Firms!$W$5:$W$1004,0),IF(S491="A",IFERROR(MATCH(487-$S$2,'AFA Rates'!$R$5:$R$1004,0),""),""))</f>
        <v/>
      </c>
      <c r="U491">
        <f>IF(S491="S",T491,IF(AND(S491="A",T491&lt;&gt;""),IFERROR(MATCH(INDEX('AFA Rates'!$A$5:$A$1004,T491),Firms!$A$5:$A$1004,0),""),""))</f>
        <v/>
      </c>
    </row>
    <row r="492">
      <c r="A492" s="78">
        <f>IF($T492="","",IF($S492="S",IF(INDEX(Firms!$A$5:$A$1004,$T492)="","",INDEX(Firms!$A$5:$A$1004,$T492)),IF(INDEX('AFA Rates'!$A$5:$A$1004,$T492)="","",INDEX('AFA Rates'!$A$5:$A$1004,$T492))))</f>
        <v/>
      </c>
      <c r="B492" s="79">
        <f>IF(OR($T492="",$U492=""),IF($T492="","","Not on Firms tab"),INDEX(Firms!$B$5:$B$1004,$U492)&amp;"")</f>
        <v/>
      </c>
      <c r="C492" s="78">
        <f>IF($T492="","",IF($S492="S","Standard",INDEX('AFA Rates'!$B$5:$B$1004,$T492)&amp;""))</f>
        <v/>
      </c>
      <c r="D492" s="88">
        <f>IF($T492="","",IF($S492="S",IF(INDEX(Firms!$E$5:$E$1004,$T492)="","",INDEX(Firms!$E$5:$E$1004,$T492)),IF(INDEX('AFA Rates'!$C$5:$C$1004,$T492)="","",INDEX('AFA Rates'!$C$5:$C$1004,$T492))))</f>
        <v/>
      </c>
      <c r="E492" s="88">
        <f>IF($T492="","",IF($S492="S",IF(""="","",""),IF(INDEX('AFA Rates'!$D$5:$D$1004,$T492)="","",INDEX('AFA Rates'!$D$5:$D$1004,$T492))))</f>
        <v/>
      </c>
      <c r="F492" s="79">
        <f>IF($T492="","",IF($S492="S",IF(INDEX(Firms!$O$5:$O$1004,$T492)="","",INDEX(Firms!$O$5:$O$1004,$T492)),IF(INDEX('AFA Rates'!$O$5:$O$1004,$T492)="","",INDEX('AFA Rates'!$O$5:$O$1004,$T492))))</f>
        <v/>
      </c>
      <c r="G492" s="50">
        <f>IF($T492="","",IF($S492="S",IF(INDEX(Firms!$F$5:$F$1004,$T492)="","",INDEX(Firms!$F$5:$F$1004,$T492)),IF(INDEX('AFA Rates'!$E$5:$E$1004,$T492)="","",INDEX('AFA Rates'!$E$5:$E$1004,$T492))))</f>
        <v/>
      </c>
      <c r="H492" s="50">
        <f>IF($T492="","",IF($S492="S",IF(INDEX(Firms!$G$5:$G$1004,$T492)="","",INDEX(Firms!$G$5:$G$1004,$T492)),IF(INDEX('AFA Rates'!$F$5:$F$1004,$T492)="","",INDEX('AFA Rates'!$F$5:$F$1004,$T492))))</f>
        <v/>
      </c>
      <c r="I492" s="50">
        <f>IF($T492="","",IF($S492="S",IF(INDEX(Firms!$H$5:$H$1004,$T492)="","",INDEX(Firms!$H$5:$H$1004,$T492)),IF(INDEX('AFA Rates'!$G$5:$G$1004,$T492)="","",INDEX('AFA Rates'!$G$5:$G$1004,$T492))))</f>
        <v/>
      </c>
      <c r="J492" s="50">
        <f>IF($T492="","",IF($S492="S",IF(INDEX(Firms!$I$5:$I$1004,$T492)="","",INDEX(Firms!$I$5:$I$1004,$T492)),IF(INDEX('AFA Rates'!$H$5:$H$1004,$T492)="","",INDEX('AFA Rates'!$H$5:$H$1004,$T492))))</f>
        <v/>
      </c>
      <c r="K492" s="50">
        <f>IF($T492="","",IF($S492="S",IF(INDEX(Firms!$J$5:$J$1004,$T492)="","",INDEX(Firms!$J$5:$J$1004,$T492)),IF(INDEX('AFA Rates'!$I$5:$I$1004,$T492)="","",INDEX('AFA Rates'!$I$5:$I$1004,$T492))))</f>
        <v/>
      </c>
      <c r="L492" s="50">
        <f>IF($T492="","",IF($S492="S",IF(INDEX(Firms!$K$5:$K$1004,$T492)="","",INDEX(Firms!$K$5:$K$1004,$T492)),IF(INDEX('AFA Rates'!$J$5:$J$1004,$T492)="","",INDEX('AFA Rates'!$J$5:$J$1004,$T492))))</f>
        <v/>
      </c>
      <c r="M492" s="50">
        <f>IF($T492="","",IF($S492="S",IF(INDEX(Firms!$L$5:$L$1004,$T492)="","",INDEX(Firms!$L$5:$L$1004,$T492)),IF(INDEX('AFA Rates'!$K$5:$K$1004,$T492)="","",INDEX('AFA Rates'!$K$5:$K$1004,$T492))))</f>
        <v/>
      </c>
      <c r="N492" s="50">
        <f>IF($T492="","",IF($S492="S",IF(INDEX(Firms!$M$5:$M$1004,$T492)="","",INDEX(Firms!$M$5:$M$1004,$T492)),IF(INDEX('AFA Rates'!$L$5:$L$1004,$T492)="","",INDEX('AFA Rates'!$L$5:$L$1004,$T492))))</f>
        <v/>
      </c>
      <c r="O492" s="78">
        <f>IF(OR($T492="",$U492=""),"",IF(INDEX(Firms!$C$5:$C$1004,$U492)="","",INDEX(Firms!$C$5:$C$1004,$U492)))</f>
        <v/>
      </c>
      <c r="P492" s="79">
        <f>IF(OR($T492="",$U492=""),"",IF(INDEX(Firms!$N$5:$N$1004,$U492)="","",INDEX(Firms!$N$5:$N$1004,$U492)))</f>
        <v/>
      </c>
      <c r="Q492" s="78">
        <f>IF($T492="","",IF($S492="S",IF(INDEX(Firms!$T$5:$T$1004,$T492)="","",INDEX(Firms!$T$5:$T$1004,$T492)),IF(INDEX('AFA Rates'!$M$5:$M$1004,$T492)="","",INDEX('AFA Rates'!$M$5:$M$1004,$T492))))</f>
        <v/>
      </c>
      <c r="S492">
        <f>IF(488&lt;=$S$2,"S",IF(488&lt;=$S$2+$T$2,"A",""))</f>
        <v/>
      </c>
      <c r="T492">
        <f>IF(S492="S",MATCH(488,Firms!$W$5:$W$1004,0),IF(S492="A",IFERROR(MATCH(488-$S$2,'AFA Rates'!$R$5:$R$1004,0),""),""))</f>
        <v/>
      </c>
      <c r="U492">
        <f>IF(S492="S",T492,IF(AND(S492="A",T492&lt;&gt;""),IFERROR(MATCH(INDEX('AFA Rates'!$A$5:$A$1004,T492),Firms!$A$5:$A$1004,0),""),""))</f>
        <v/>
      </c>
    </row>
    <row r="493">
      <c r="A493" s="78">
        <f>IF($T493="","",IF($S493="S",IF(INDEX(Firms!$A$5:$A$1004,$T493)="","",INDEX(Firms!$A$5:$A$1004,$T493)),IF(INDEX('AFA Rates'!$A$5:$A$1004,$T493)="","",INDEX('AFA Rates'!$A$5:$A$1004,$T493))))</f>
        <v/>
      </c>
      <c r="B493" s="79">
        <f>IF(OR($T493="",$U493=""),IF($T493="","","Not on Firms tab"),INDEX(Firms!$B$5:$B$1004,$U493)&amp;"")</f>
        <v/>
      </c>
      <c r="C493" s="78">
        <f>IF($T493="","",IF($S493="S","Standard",INDEX('AFA Rates'!$B$5:$B$1004,$T493)&amp;""))</f>
        <v/>
      </c>
      <c r="D493" s="88">
        <f>IF($T493="","",IF($S493="S",IF(INDEX(Firms!$E$5:$E$1004,$T493)="","",INDEX(Firms!$E$5:$E$1004,$T493)),IF(INDEX('AFA Rates'!$C$5:$C$1004,$T493)="","",INDEX('AFA Rates'!$C$5:$C$1004,$T493))))</f>
        <v/>
      </c>
      <c r="E493" s="88">
        <f>IF($T493="","",IF($S493="S",IF(""="","",""),IF(INDEX('AFA Rates'!$D$5:$D$1004,$T493)="","",INDEX('AFA Rates'!$D$5:$D$1004,$T493))))</f>
        <v/>
      </c>
      <c r="F493" s="79">
        <f>IF($T493="","",IF($S493="S",IF(INDEX(Firms!$O$5:$O$1004,$T493)="","",INDEX(Firms!$O$5:$O$1004,$T493)),IF(INDEX('AFA Rates'!$O$5:$O$1004,$T493)="","",INDEX('AFA Rates'!$O$5:$O$1004,$T493))))</f>
        <v/>
      </c>
      <c r="G493" s="50">
        <f>IF($T493="","",IF($S493="S",IF(INDEX(Firms!$F$5:$F$1004,$T493)="","",INDEX(Firms!$F$5:$F$1004,$T493)),IF(INDEX('AFA Rates'!$E$5:$E$1004,$T493)="","",INDEX('AFA Rates'!$E$5:$E$1004,$T493))))</f>
        <v/>
      </c>
      <c r="H493" s="50">
        <f>IF($T493="","",IF($S493="S",IF(INDEX(Firms!$G$5:$G$1004,$T493)="","",INDEX(Firms!$G$5:$G$1004,$T493)),IF(INDEX('AFA Rates'!$F$5:$F$1004,$T493)="","",INDEX('AFA Rates'!$F$5:$F$1004,$T493))))</f>
        <v/>
      </c>
      <c r="I493" s="50">
        <f>IF($T493="","",IF($S493="S",IF(INDEX(Firms!$H$5:$H$1004,$T493)="","",INDEX(Firms!$H$5:$H$1004,$T493)),IF(INDEX('AFA Rates'!$G$5:$G$1004,$T493)="","",INDEX('AFA Rates'!$G$5:$G$1004,$T493))))</f>
        <v/>
      </c>
      <c r="J493" s="50">
        <f>IF($T493="","",IF($S493="S",IF(INDEX(Firms!$I$5:$I$1004,$T493)="","",INDEX(Firms!$I$5:$I$1004,$T493)),IF(INDEX('AFA Rates'!$H$5:$H$1004,$T493)="","",INDEX('AFA Rates'!$H$5:$H$1004,$T493))))</f>
        <v/>
      </c>
      <c r="K493" s="50">
        <f>IF($T493="","",IF($S493="S",IF(INDEX(Firms!$J$5:$J$1004,$T493)="","",INDEX(Firms!$J$5:$J$1004,$T493)),IF(INDEX('AFA Rates'!$I$5:$I$1004,$T493)="","",INDEX('AFA Rates'!$I$5:$I$1004,$T493))))</f>
        <v/>
      </c>
      <c r="L493" s="50">
        <f>IF($T493="","",IF($S493="S",IF(INDEX(Firms!$K$5:$K$1004,$T493)="","",INDEX(Firms!$K$5:$K$1004,$T493)),IF(INDEX('AFA Rates'!$J$5:$J$1004,$T493)="","",INDEX('AFA Rates'!$J$5:$J$1004,$T493))))</f>
        <v/>
      </c>
      <c r="M493" s="50">
        <f>IF($T493="","",IF($S493="S",IF(INDEX(Firms!$L$5:$L$1004,$T493)="","",INDEX(Firms!$L$5:$L$1004,$T493)),IF(INDEX('AFA Rates'!$K$5:$K$1004,$T493)="","",INDEX('AFA Rates'!$K$5:$K$1004,$T493))))</f>
        <v/>
      </c>
      <c r="N493" s="50">
        <f>IF($T493="","",IF($S493="S",IF(INDEX(Firms!$M$5:$M$1004,$T493)="","",INDEX(Firms!$M$5:$M$1004,$T493)),IF(INDEX('AFA Rates'!$L$5:$L$1004,$T493)="","",INDEX('AFA Rates'!$L$5:$L$1004,$T493))))</f>
        <v/>
      </c>
      <c r="O493" s="78">
        <f>IF(OR($T493="",$U493=""),"",IF(INDEX(Firms!$C$5:$C$1004,$U493)="","",INDEX(Firms!$C$5:$C$1004,$U493)))</f>
        <v/>
      </c>
      <c r="P493" s="79">
        <f>IF(OR($T493="",$U493=""),"",IF(INDEX(Firms!$N$5:$N$1004,$U493)="","",INDEX(Firms!$N$5:$N$1004,$U493)))</f>
        <v/>
      </c>
      <c r="Q493" s="78">
        <f>IF($T493="","",IF($S493="S",IF(INDEX(Firms!$T$5:$T$1004,$T493)="","",INDEX(Firms!$T$5:$T$1004,$T493)),IF(INDEX('AFA Rates'!$M$5:$M$1004,$T493)="","",INDEX('AFA Rates'!$M$5:$M$1004,$T493))))</f>
        <v/>
      </c>
      <c r="S493">
        <f>IF(489&lt;=$S$2,"S",IF(489&lt;=$S$2+$T$2,"A",""))</f>
        <v/>
      </c>
      <c r="T493">
        <f>IF(S493="S",MATCH(489,Firms!$W$5:$W$1004,0),IF(S493="A",IFERROR(MATCH(489-$S$2,'AFA Rates'!$R$5:$R$1004,0),""),""))</f>
        <v/>
      </c>
      <c r="U493">
        <f>IF(S493="S",T493,IF(AND(S493="A",T493&lt;&gt;""),IFERROR(MATCH(INDEX('AFA Rates'!$A$5:$A$1004,T493),Firms!$A$5:$A$1004,0),""),""))</f>
        <v/>
      </c>
    </row>
    <row r="494">
      <c r="A494" s="78">
        <f>IF($T494="","",IF($S494="S",IF(INDEX(Firms!$A$5:$A$1004,$T494)="","",INDEX(Firms!$A$5:$A$1004,$T494)),IF(INDEX('AFA Rates'!$A$5:$A$1004,$T494)="","",INDEX('AFA Rates'!$A$5:$A$1004,$T494))))</f>
        <v/>
      </c>
      <c r="B494" s="79">
        <f>IF(OR($T494="",$U494=""),IF($T494="","","Not on Firms tab"),INDEX(Firms!$B$5:$B$1004,$U494)&amp;"")</f>
        <v/>
      </c>
      <c r="C494" s="78">
        <f>IF($T494="","",IF($S494="S","Standard",INDEX('AFA Rates'!$B$5:$B$1004,$T494)&amp;""))</f>
        <v/>
      </c>
      <c r="D494" s="88">
        <f>IF($T494="","",IF($S494="S",IF(INDEX(Firms!$E$5:$E$1004,$T494)="","",INDEX(Firms!$E$5:$E$1004,$T494)),IF(INDEX('AFA Rates'!$C$5:$C$1004,$T494)="","",INDEX('AFA Rates'!$C$5:$C$1004,$T494))))</f>
        <v/>
      </c>
      <c r="E494" s="88">
        <f>IF($T494="","",IF($S494="S",IF(""="","",""),IF(INDEX('AFA Rates'!$D$5:$D$1004,$T494)="","",INDEX('AFA Rates'!$D$5:$D$1004,$T494))))</f>
        <v/>
      </c>
      <c r="F494" s="79">
        <f>IF($T494="","",IF($S494="S",IF(INDEX(Firms!$O$5:$O$1004,$T494)="","",INDEX(Firms!$O$5:$O$1004,$T494)),IF(INDEX('AFA Rates'!$O$5:$O$1004,$T494)="","",INDEX('AFA Rates'!$O$5:$O$1004,$T494))))</f>
        <v/>
      </c>
      <c r="G494" s="50">
        <f>IF($T494="","",IF($S494="S",IF(INDEX(Firms!$F$5:$F$1004,$T494)="","",INDEX(Firms!$F$5:$F$1004,$T494)),IF(INDEX('AFA Rates'!$E$5:$E$1004,$T494)="","",INDEX('AFA Rates'!$E$5:$E$1004,$T494))))</f>
        <v/>
      </c>
      <c r="H494" s="50">
        <f>IF($T494="","",IF($S494="S",IF(INDEX(Firms!$G$5:$G$1004,$T494)="","",INDEX(Firms!$G$5:$G$1004,$T494)),IF(INDEX('AFA Rates'!$F$5:$F$1004,$T494)="","",INDEX('AFA Rates'!$F$5:$F$1004,$T494))))</f>
        <v/>
      </c>
      <c r="I494" s="50">
        <f>IF($T494="","",IF($S494="S",IF(INDEX(Firms!$H$5:$H$1004,$T494)="","",INDEX(Firms!$H$5:$H$1004,$T494)),IF(INDEX('AFA Rates'!$G$5:$G$1004,$T494)="","",INDEX('AFA Rates'!$G$5:$G$1004,$T494))))</f>
        <v/>
      </c>
      <c r="J494" s="50">
        <f>IF($T494="","",IF($S494="S",IF(INDEX(Firms!$I$5:$I$1004,$T494)="","",INDEX(Firms!$I$5:$I$1004,$T494)),IF(INDEX('AFA Rates'!$H$5:$H$1004,$T494)="","",INDEX('AFA Rates'!$H$5:$H$1004,$T494))))</f>
        <v/>
      </c>
      <c r="K494" s="50">
        <f>IF($T494="","",IF($S494="S",IF(INDEX(Firms!$J$5:$J$1004,$T494)="","",INDEX(Firms!$J$5:$J$1004,$T494)),IF(INDEX('AFA Rates'!$I$5:$I$1004,$T494)="","",INDEX('AFA Rates'!$I$5:$I$1004,$T494))))</f>
        <v/>
      </c>
      <c r="L494" s="50">
        <f>IF($T494="","",IF($S494="S",IF(INDEX(Firms!$K$5:$K$1004,$T494)="","",INDEX(Firms!$K$5:$K$1004,$T494)),IF(INDEX('AFA Rates'!$J$5:$J$1004,$T494)="","",INDEX('AFA Rates'!$J$5:$J$1004,$T494))))</f>
        <v/>
      </c>
      <c r="M494" s="50">
        <f>IF($T494="","",IF($S494="S",IF(INDEX(Firms!$L$5:$L$1004,$T494)="","",INDEX(Firms!$L$5:$L$1004,$T494)),IF(INDEX('AFA Rates'!$K$5:$K$1004,$T494)="","",INDEX('AFA Rates'!$K$5:$K$1004,$T494))))</f>
        <v/>
      </c>
      <c r="N494" s="50">
        <f>IF($T494="","",IF($S494="S",IF(INDEX(Firms!$M$5:$M$1004,$T494)="","",INDEX(Firms!$M$5:$M$1004,$T494)),IF(INDEX('AFA Rates'!$L$5:$L$1004,$T494)="","",INDEX('AFA Rates'!$L$5:$L$1004,$T494))))</f>
        <v/>
      </c>
      <c r="O494" s="78">
        <f>IF(OR($T494="",$U494=""),"",IF(INDEX(Firms!$C$5:$C$1004,$U494)="","",INDEX(Firms!$C$5:$C$1004,$U494)))</f>
        <v/>
      </c>
      <c r="P494" s="79">
        <f>IF(OR($T494="",$U494=""),"",IF(INDEX(Firms!$N$5:$N$1004,$U494)="","",INDEX(Firms!$N$5:$N$1004,$U494)))</f>
        <v/>
      </c>
      <c r="Q494" s="78">
        <f>IF($T494="","",IF($S494="S",IF(INDEX(Firms!$T$5:$T$1004,$T494)="","",INDEX(Firms!$T$5:$T$1004,$T494)),IF(INDEX('AFA Rates'!$M$5:$M$1004,$T494)="","",INDEX('AFA Rates'!$M$5:$M$1004,$T494))))</f>
        <v/>
      </c>
      <c r="S494">
        <f>IF(490&lt;=$S$2,"S",IF(490&lt;=$S$2+$T$2,"A",""))</f>
        <v/>
      </c>
      <c r="T494">
        <f>IF(S494="S",MATCH(490,Firms!$W$5:$W$1004,0),IF(S494="A",IFERROR(MATCH(490-$S$2,'AFA Rates'!$R$5:$R$1004,0),""),""))</f>
        <v/>
      </c>
      <c r="U494">
        <f>IF(S494="S",T494,IF(AND(S494="A",T494&lt;&gt;""),IFERROR(MATCH(INDEX('AFA Rates'!$A$5:$A$1004,T494),Firms!$A$5:$A$1004,0),""),""))</f>
        <v/>
      </c>
    </row>
    <row r="495">
      <c r="A495" s="78">
        <f>IF($T495="","",IF($S495="S",IF(INDEX(Firms!$A$5:$A$1004,$T495)="","",INDEX(Firms!$A$5:$A$1004,$T495)),IF(INDEX('AFA Rates'!$A$5:$A$1004,$T495)="","",INDEX('AFA Rates'!$A$5:$A$1004,$T495))))</f>
        <v/>
      </c>
      <c r="B495" s="79">
        <f>IF(OR($T495="",$U495=""),IF($T495="","","Not on Firms tab"),INDEX(Firms!$B$5:$B$1004,$U495)&amp;"")</f>
        <v/>
      </c>
      <c r="C495" s="78">
        <f>IF($T495="","",IF($S495="S","Standard",INDEX('AFA Rates'!$B$5:$B$1004,$T495)&amp;""))</f>
        <v/>
      </c>
      <c r="D495" s="88">
        <f>IF($T495="","",IF($S495="S",IF(INDEX(Firms!$E$5:$E$1004,$T495)="","",INDEX(Firms!$E$5:$E$1004,$T495)),IF(INDEX('AFA Rates'!$C$5:$C$1004,$T495)="","",INDEX('AFA Rates'!$C$5:$C$1004,$T495))))</f>
        <v/>
      </c>
      <c r="E495" s="88">
        <f>IF($T495="","",IF($S495="S",IF(""="","",""),IF(INDEX('AFA Rates'!$D$5:$D$1004,$T495)="","",INDEX('AFA Rates'!$D$5:$D$1004,$T495))))</f>
        <v/>
      </c>
      <c r="F495" s="79">
        <f>IF($T495="","",IF($S495="S",IF(INDEX(Firms!$O$5:$O$1004,$T495)="","",INDEX(Firms!$O$5:$O$1004,$T495)),IF(INDEX('AFA Rates'!$O$5:$O$1004,$T495)="","",INDEX('AFA Rates'!$O$5:$O$1004,$T495))))</f>
        <v/>
      </c>
      <c r="G495" s="50">
        <f>IF($T495="","",IF($S495="S",IF(INDEX(Firms!$F$5:$F$1004,$T495)="","",INDEX(Firms!$F$5:$F$1004,$T495)),IF(INDEX('AFA Rates'!$E$5:$E$1004,$T495)="","",INDEX('AFA Rates'!$E$5:$E$1004,$T495))))</f>
        <v/>
      </c>
      <c r="H495" s="50">
        <f>IF($T495="","",IF($S495="S",IF(INDEX(Firms!$G$5:$G$1004,$T495)="","",INDEX(Firms!$G$5:$G$1004,$T495)),IF(INDEX('AFA Rates'!$F$5:$F$1004,$T495)="","",INDEX('AFA Rates'!$F$5:$F$1004,$T495))))</f>
        <v/>
      </c>
      <c r="I495" s="50">
        <f>IF($T495="","",IF($S495="S",IF(INDEX(Firms!$H$5:$H$1004,$T495)="","",INDEX(Firms!$H$5:$H$1004,$T495)),IF(INDEX('AFA Rates'!$G$5:$G$1004,$T495)="","",INDEX('AFA Rates'!$G$5:$G$1004,$T495))))</f>
        <v/>
      </c>
      <c r="J495" s="50">
        <f>IF($T495="","",IF($S495="S",IF(INDEX(Firms!$I$5:$I$1004,$T495)="","",INDEX(Firms!$I$5:$I$1004,$T495)),IF(INDEX('AFA Rates'!$H$5:$H$1004,$T495)="","",INDEX('AFA Rates'!$H$5:$H$1004,$T495))))</f>
        <v/>
      </c>
      <c r="K495" s="50">
        <f>IF($T495="","",IF($S495="S",IF(INDEX(Firms!$J$5:$J$1004,$T495)="","",INDEX(Firms!$J$5:$J$1004,$T495)),IF(INDEX('AFA Rates'!$I$5:$I$1004,$T495)="","",INDEX('AFA Rates'!$I$5:$I$1004,$T495))))</f>
        <v/>
      </c>
      <c r="L495" s="50">
        <f>IF($T495="","",IF($S495="S",IF(INDEX(Firms!$K$5:$K$1004,$T495)="","",INDEX(Firms!$K$5:$K$1004,$T495)),IF(INDEX('AFA Rates'!$J$5:$J$1004,$T495)="","",INDEX('AFA Rates'!$J$5:$J$1004,$T495))))</f>
        <v/>
      </c>
      <c r="M495" s="50">
        <f>IF($T495="","",IF($S495="S",IF(INDEX(Firms!$L$5:$L$1004,$T495)="","",INDEX(Firms!$L$5:$L$1004,$T495)),IF(INDEX('AFA Rates'!$K$5:$K$1004,$T495)="","",INDEX('AFA Rates'!$K$5:$K$1004,$T495))))</f>
        <v/>
      </c>
      <c r="N495" s="50">
        <f>IF($T495="","",IF($S495="S",IF(INDEX(Firms!$M$5:$M$1004,$T495)="","",INDEX(Firms!$M$5:$M$1004,$T495)),IF(INDEX('AFA Rates'!$L$5:$L$1004,$T495)="","",INDEX('AFA Rates'!$L$5:$L$1004,$T495))))</f>
        <v/>
      </c>
      <c r="O495" s="78">
        <f>IF(OR($T495="",$U495=""),"",IF(INDEX(Firms!$C$5:$C$1004,$U495)="","",INDEX(Firms!$C$5:$C$1004,$U495)))</f>
        <v/>
      </c>
      <c r="P495" s="79">
        <f>IF(OR($T495="",$U495=""),"",IF(INDEX(Firms!$N$5:$N$1004,$U495)="","",INDEX(Firms!$N$5:$N$1004,$U495)))</f>
        <v/>
      </c>
      <c r="Q495" s="78">
        <f>IF($T495="","",IF($S495="S",IF(INDEX(Firms!$T$5:$T$1004,$T495)="","",INDEX(Firms!$T$5:$T$1004,$T495)),IF(INDEX('AFA Rates'!$M$5:$M$1004,$T495)="","",INDEX('AFA Rates'!$M$5:$M$1004,$T495))))</f>
        <v/>
      </c>
      <c r="S495">
        <f>IF(491&lt;=$S$2,"S",IF(491&lt;=$S$2+$T$2,"A",""))</f>
        <v/>
      </c>
      <c r="T495">
        <f>IF(S495="S",MATCH(491,Firms!$W$5:$W$1004,0),IF(S495="A",IFERROR(MATCH(491-$S$2,'AFA Rates'!$R$5:$R$1004,0),""),""))</f>
        <v/>
      </c>
      <c r="U495">
        <f>IF(S495="S",T495,IF(AND(S495="A",T495&lt;&gt;""),IFERROR(MATCH(INDEX('AFA Rates'!$A$5:$A$1004,T495),Firms!$A$5:$A$1004,0),""),""))</f>
        <v/>
      </c>
    </row>
    <row r="496">
      <c r="A496" s="78">
        <f>IF($T496="","",IF($S496="S",IF(INDEX(Firms!$A$5:$A$1004,$T496)="","",INDEX(Firms!$A$5:$A$1004,$T496)),IF(INDEX('AFA Rates'!$A$5:$A$1004,$T496)="","",INDEX('AFA Rates'!$A$5:$A$1004,$T496))))</f>
        <v/>
      </c>
      <c r="B496" s="79">
        <f>IF(OR($T496="",$U496=""),IF($T496="","","Not on Firms tab"),INDEX(Firms!$B$5:$B$1004,$U496)&amp;"")</f>
        <v/>
      </c>
      <c r="C496" s="78">
        <f>IF($T496="","",IF($S496="S","Standard",INDEX('AFA Rates'!$B$5:$B$1004,$T496)&amp;""))</f>
        <v/>
      </c>
      <c r="D496" s="88">
        <f>IF($T496="","",IF($S496="S",IF(INDEX(Firms!$E$5:$E$1004,$T496)="","",INDEX(Firms!$E$5:$E$1004,$T496)),IF(INDEX('AFA Rates'!$C$5:$C$1004,$T496)="","",INDEX('AFA Rates'!$C$5:$C$1004,$T496))))</f>
        <v/>
      </c>
      <c r="E496" s="88">
        <f>IF($T496="","",IF($S496="S",IF(""="","",""),IF(INDEX('AFA Rates'!$D$5:$D$1004,$T496)="","",INDEX('AFA Rates'!$D$5:$D$1004,$T496))))</f>
        <v/>
      </c>
      <c r="F496" s="79">
        <f>IF($T496="","",IF($S496="S",IF(INDEX(Firms!$O$5:$O$1004,$T496)="","",INDEX(Firms!$O$5:$O$1004,$T496)),IF(INDEX('AFA Rates'!$O$5:$O$1004,$T496)="","",INDEX('AFA Rates'!$O$5:$O$1004,$T496))))</f>
        <v/>
      </c>
      <c r="G496" s="50">
        <f>IF($T496="","",IF($S496="S",IF(INDEX(Firms!$F$5:$F$1004,$T496)="","",INDEX(Firms!$F$5:$F$1004,$T496)),IF(INDEX('AFA Rates'!$E$5:$E$1004,$T496)="","",INDEX('AFA Rates'!$E$5:$E$1004,$T496))))</f>
        <v/>
      </c>
      <c r="H496" s="50">
        <f>IF($T496="","",IF($S496="S",IF(INDEX(Firms!$G$5:$G$1004,$T496)="","",INDEX(Firms!$G$5:$G$1004,$T496)),IF(INDEX('AFA Rates'!$F$5:$F$1004,$T496)="","",INDEX('AFA Rates'!$F$5:$F$1004,$T496))))</f>
        <v/>
      </c>
      <c r="I496" s="50">
        <f>IF($T496="","",IF($S496="S",IF(INDEX(Firms!$H$5:$H$1004,$T496)="","",INDEX(Firms!$H$5:$H$1004,$T496)),IF(INDEX('AFA Rates'!$G$5:$G$1004,$T496)="","",INDEX('AFA Rates'!$G$5:$G$1004,$T496))))</f>
        <v/>
      </c>
      <c r="J496" s="50">
        <f>IF($T496="","",IF($S496="S",IF(INDEX(Firms!$I$5:$I$1004,$T496)="","",INDEX(Firms!$I$5:$I$1004,$T496)),IF(INDEX('AFA Rates'!$H$5:$H$1004,$T496)="","",INDEX('AFA Rates'!$H$5:$H$1004,$T496))))</f>
        <v/>
      </c>
      <c r="K496" s="50">
        <f>IF($T496="","",IF($S496="S",IF(INDEX(Firms!$J$5:$J$1004,$T496)="","",INDEX(Firms!$J$5:$J$1004,$T496)),IF(INDEX('AFA Rates'!$I$5:$I$1004,$T496)="","",INDEX('AFA Rates'!$I$5:$I$1004,$T496))))</f>
        <v/>
      </c>
      <c r="L496" s="50">
        <f>IF($T496="","",IF($S496="S",IF(INDEX(Firms!$K$5:$K$1004,$T496)="","",INDEX(Firms!$K$5:$K$1004,$T496)),IF(INDEX('AFA Rates'!$J$5:$J$1004,$T496)="","",INDEX('AFA Rates'!$J$5:$J$1004,$T496))))</f>
        <v/>
      </c>
      <c r="M496" s="50">
        <f>IF($T496="","",IF($S496="S",IF(INDEX(Firms!$L$5:$L$1004,$T496)="","",INDEX(Firms!$L$5:$L$1004,$T496)),IF(INDEX('AFA Rates'!$K$5:$K$1004,$T496)="","",INDEX('AFA Rates'!$K$5:$K$1004,$T496))))</f>
        <v/>
      </c>
      <c r="N496" s="50">
        <f>IF($T496="","",IF($S496="S",IF(INDEX(Firms!$M$5:$M$1004,$T496)="","",INDEX(Firms!$M$5:$M$1004,$T496)),IF(INDEX('AFA Rates'!$L$5:$L$1004,$T496)="","",INDEX('AFA Rates'!$L$5:$L$1004,$T496))))</f>
        <v/>
      </c>
      <c r="O496" s="78">
        <f>IF(OR($T496="",$U496=""),"",IF(INDEX(Firms!$C$5:$C$1004,$U496)="","",INDEX(Firms!$C$5:$C$1004,$U496)))</f>
        <v/>
      </c>
      <c r="P496" s="79">
        <f>IF(OR($T496="",$U496=""),"",IF(INDEX(Firms!$N$5:$N$1004,$U496)="","",INDEX(Firms!$N$5:$N$1004,$U496)))</f>
        <v/>
      </c>
      <c r="Q496" s="78">
        <f>IF($T496="","",IF($S496="S",IF(INDEX(Firms!$T$5:$T$1004,$T496)="","",INDEX(Firms!$T$5:$T$1004,$T496)),IF(INDEX('AFA Rates'!$M$5:$M$1004,$T496)="","",INDEX('AFA Rates'!$M$5:$M$1004,$T496))))</f>
        <v/>
      </c>
      <c r="S496">
        <f>IF(492&lt;=$S$2,"S",IF(492&lt;=$S$2+$T$2,"A",""))</f>
        <v/>
      </c>
      <c r="T496">
        <f>IF(S496="S",MATCH(492,Firms!$W$5:$W$1004,0),IF(S496="A",IFERROR(MATCH(492-$S$2,'AFA Rates'!$R$5:$R$1004,0),""),""))</f>
        <v/>
      </c>
      <c r="U496">
        <f>IF(S496="S",T496,IF(AND(S496="A",T496&lt;&gt;""),IFERROR(MATCH(INDEX('AFA Rates'!$A$5:$A$1004,T496),Firms!$A$5:$A$1004,0),""),""))</f>
        <v/>
      </c>
    </row>
    <row r="497">
      <c r="A497" s="78">
        <f>IF($T497="","",IF($S497="S",IF(INDEX(Firms!$A$5:$A$1004,$T497)="","",INDEX(Firms!$A$5:$A$1004,$T497)),IF(INDEX('AFA Rates'!$A$5:$A$1004,$T497)="","",INDEX('AFA Rates'!$A$5:$A$1004,$T497))))</f>
        <v/>
      </c>
      <c r="B497" s="79">
        <f>IF(OR($T497="",$U497=""),IF($T497="","","Not on Firms tab"),INDEX(Firms!$B$5:$B$1004,$U497)&amp;"")</f>
        <v/>
      </c>
      <c r="C497" s="78">
        <f>IF($T497="","",IF($S497="S","Standard",INDEX('AFA Rates'!$B$5:$B$1004,$T497)&amp;""))</f>
        <v/>
      </c>
      <c r="D497" s="88">
        <f>IF($T497="","",IF($S497="S",IF(INDEX(Firms!$E$5:$E$1004,$T497)="","",INDEX(Firms!$E$5:$E$1004,$T497)),IF(INDEX('AFA Rates'!$C$5:$C$1004,$T497)="","",INDEX('AFA Rates'!$C$5:$C$1004,$T497))))</f>
        <v/>
      </c>
      <c r="E497" s="88">
        <f>IF($T497="","",IF($S497="S",IF(""="","",""),IF(INDEX('AFA Rates'!$D$5:$D$1004,$T497)="","",INDEX('AFA Rates'!$D$5:$D$1004,$T497))))</f>
        <v/>
      </c>
      <c r="F497" s="79">
        <f>IF($T497="","",IF($S497="S",IF(INDEX(Firms!$O$5:$O$1004,$T497)="","",INDEX(Firms!$O$5:$O$1004,$T497)),IF(INDEX('AFA Rates'!$O$5:$O$1004,$T497)="","",INDEX('AFA Rates'!$O$5:$O$1004,$T497))))</f>
        <v/>
      </c>
      <c r="G497" s="50">
        <f>IF($T497="","",IF($S497="S",IF(INDEX(Firms!$F$5:$F$1004,$T497)="","",INDEX(Firms!$F$5:$F$1004,$T497)),IF(INDEX('AFA Rates'!$E$5:$E$1004,$T497)="","",INDEX('AFA Rates'!$E$5:$E$1004,$T497))))</f>
        <v/>
      </c>
      <c r="H497" s="50">
        <f>IF($T497="","",IF($S497="S",IF(INDEX(Firms!$G$5:$G$1004,$T497)="","",INDEX(Firms!$G$5:$G$1004,$T497)),IF(INDEX('AFA Rates'!$F$5:$F$1004,$T497)="","",INDEX('AFA Rates'!$F$5:$F$1004,$T497))))</f>
        <v/>
      </c>
      <c r="I497" s="50">
        <f>IF($T497="","",IF($S497="S",IF(INDEX(Firms!$H$5:$H$1004,$T497)="","",INDEX(Firms!$H$5:$H$1004,$T497)),IF(INDEX('AFA Rates'!$G$5:$G$1004,$T497)="","",INDEX('AFA Rates'!$G$5:$G$1004,$T497))))</f>
        <v/>
      </c>
      <c r="J497" s="50">
        <f>IF($T497="","",IF($S497="S",IF(INDEX(Firms!$I$5:$I$1004,$T497)="","",INDEX(Firms!$I$5:$I$1004,$T497)),IF(INDEX('AFA Rates'!$H$5:$H$1004,$T497)="","",INDEX('AFA Rates'!$H$5:$H$1004,$T497))))</f>
        <v/>
      </c>
      <c r="K497" s="50">
        <f>IF($T497="","",IF($S497="S",IF(INDEX(Firms!$J$5:$J$1004,$T497)="","",INDEX(Firms!$J$5:$J$1004,$T497)),IF(INDEX('AFA Rates'!$I$5:$I$1004,$T497)="","",INDEX('AFA Rates'!$I$5:$I$1004,$T497))))</f>
        <v/>
      </c>
      <c r="L497" s="50">
        <f>IF($T497="","",IF($S497="S",IF(INDEX(Firms!$K$5:$K$1004,$T497)="","",INDEX(Firms!$K$5:$K$1004,$T497)),IF(INDEX('AFA Rates'!$J$5:$J$1004,$T497)="","",INDEX('AFA Rates'!$J$5:$J$1004,$T497))))</f>
        <v/>
      </c>
      <c r="M497" s="50">
        <f>IF($T497="","",IF($S497="S",IF(INDEX(Firms!$L$5:$L$1004,$T497)="","",INDEX(Firms!$L$5:$L$1004,$T497)),IF(INDEX('AFA Rates'!$K$5:$K$1004,$T497)="","",INDEX('AFA Rates'!$K$5:$K$1004,$T497))))</f>
        <v/>
      </c>
      <c r="N497" s="50">
        <f>IF($T497="","",IF($S497="S",IF(INDEX(Firms!$M$5:$M$1004,$T497)="","",INDEX(Firms!$M$5:$M$1004,$T497)),IF(INDEX('AFA Rates'!$L$5:$L$1004,$T497)="","",INDEX('AFA Rates'!$L$5:$L$1004,$T497))))</f>
        <v/>
      </c>
      <c r="O497" s="78">
        <f>IF(OR($T497="",$U497=""),"",IF(INDEX(Firms!$C$5:$C$1004,$U497)="","",INDEX(Firms!$C$5:$C$1004,$U497)))</f>
        <v/>
      </c>
      <c r="P497" s="79">
        <f>IF(OR($T497="",$U497=""),"",IF(INDEX(Firms!$N$5:$N$1004,$U497)="","",INDEX(Firms!$N$5:$N$1004,$U497)))</f>
        <v/>
      </c>
      <c r="Q497" s="78">
        <f>IF($T497="","",IF($S497="S",IF(INDEX(Firms!$T$5:$T$1004,$T497)="","",INDEX(Firms!$T$5:$T$1004,$T497)),IF(INDEX('AFA Rates'!$M$5:$M$1004,$T497)="","",INDEX('AFA Rates'!$M$5:$M$1004,$T497))))</f>
        <v/>
      </c>
      <c r="S497">
        <f>IF(493&lt;=$S$2,"S",IF(493&lt;=$S$2+$T$2,"A",""))</f>
        <v/>
      </c>
      <c r="T497">
        <f>IF(S497="S",MATCH(493,Firms!$W$5:$W$1004,0),IF(S497="A",IFERROR(MATCH(493-$S$2,'AFA Rates'!$R$5:$R$1004,0),""),""))</f>
        <v/>
      </c>
      <c r="U497">
        <f>IF(S497="S",T497,IF(AND(S497="A",T497&lt;&gt;""),IFERROR(MATCH(INDEX('AFA Rates'!$A$5:$A$1004,T497),Firms!$A$5:$A$1004,0),""),""))</f>
        <v/>
      </c>
    </row>
    <row r="498">
      <c r="A498" s="78">
        <f>IF($T498="","",IF($S498="S",IF(INDEX(Firms!$A$5:$A$1004,$T498)="","",INDEX(Firms!$A$5:$A$1004,$T498)),IF(INDEX('AFA Rates'!$A$5:$A$1004,$T498)="","",INDEX('AFA Rates'!$A$5:$A$1004,$T498))))</f>
        <v/>
      </c>
      <c r="B498" s="79">
        <f>IF(OR($T498="",$U498=""),IF($T498="","","Not on Firms tab"),INDEX(Firms!$B$5:$B$1004,$U498)&amp;"")</f>
        <v/>
      </c>
      <c r="C498" s="78">
        <f>IF($T498="","",IF($S498="S","Standard",INDEX('AFA Rates'!$B$5:$B$1004,$T498)&amp;""))</f>
        <v/>
      </c>
      <c r="D498" s="88">
        <f>IF($T498="","",IF($S498="S",IF(INDEX(Firms!$E$5:$E$1004,$T498)="","",INDEX(Firms!$E$5:$E$1004,$T498)),IF(INDEX('AFA Rates'!$C$5:$C$1004,$T498)="","",INDEX('AFA Rates'!$C$5:$C$1004,$T498))))</f>
        <v/>
      </c>
      <c r="E498" s="88">
        <f>IF($T498="","",IF($S498="S",IF(""="","",""),IF(INDEX('AFA Rates'!$D$5:$D$1004,$T498)="","",INDEX('AFA Rates'!$D$5:$D$1004,$T498))))</f>
        <v/>
      </c>
      <c r="F498" s="79">
        <f>IF($T498="","",IF($S498="S",IF(INDEX(Firms!$O$5:$O$1004,$T498)="","",INDEX(Firms!$O$5:$O$1004,$T498)),IF(INDEX('AFA Rates'!$O$5:$O$1004,$T498)="","",INDEX('AFA Rates'!$O$5:$O$1004,$T498))))</f>
        <v/>
      </c>
      <c r="G498" s="50">
        <f>IF($T498="","",IF($S498="S",IF(INDEX(Firms!$F$5:$F$1004,$T498)="","",INDEX(Firms!$F$5:$F$1004,$T498)),IF(INDEX('AFA Rates'!$E$5:$E$1004,$T498)="","",INDEX('AFA Rates'!$E$5:$E$1004,$T498))))</f>
        <v/>
      </c>
      <c r="H498" s="50">
        <f>IF($T498="","",IF($S498="S",IF(INDEX(Firms!$G$5:$G$1004,$T498)="","",INDEX(Firms!$G$5:$G$1004,$T498)),IF(INDEX('AFA Rates'!$F$5:$F$1004,$T498)="","",INDEX('AFA Rates'!$F$5:$F$1004,$T498))))</f>
        <v/>
      </c>
      <c r="I498" s="50">
        <f>IF($T498="","",IF($S498="S",IF(INDEX(Firms!$H$5:$H$1004,$T498)="","",INDEX(Firms!$H$5:$H$1004,$T498)),IF(INDEX('AFA Rates'!$G$5:$G$1004,$T498)="","",INDEX('AFA Rates'!$G$5:$G$1004,$T498))))</f>
        <v/>
      </c>
      <c r="J498" s="50">
        <f>IF($T498="","",IF($S498="S",IF(INDEX(Firms!$I$5:$I$1004,$T498)="","",INDEX(Firms!$I$5:$I$1004,$T498)),IF(INDEX('AFA Rates'!$H$5:$H$1004,$T498)="","",INDEX('AFA Rates'!$H$5:$H$1004,$T498))))</f>
        <v/>
      </c>
      <c r="K498" s="50">
        <f>IF($T498="","",IF($S498="S",IF(INDEX(Firms!$J$5:$J$1004,$T498)="","",INDEX(Firms!$J$5:$J$1004,$T498)),IF(INDEX('AFA Rates'!$I$5:$I$1004,$T498)="","",INDEX('AFA Rates'!$I$5:$I$1004,$T498))))</f>
        <v/>
      </c>
      <c r="L498" s="50">
        <f>IF($T498="","",IF($S498="S",IF(INDEX(Firms!$K$5:$K$1004,$T498)="","",INDEX(Firms!$K$5:$K$1004,$T498)),IF(INDEX('AFA Rates'!$J$5:$J$1004,$T498)="","",INDEX('AFA Rates'!$J$5:$J$1004,$T498))))</f>
        <v/>
      </c>
      <c r="M498" s="50">
        <f>IF($T498="","",IF($S498="S",IF(INDEX(Firms!$L$5:$L$1004,$T498)="","",INDEX(Firms!$L$5:$L$1004,$T498)),IF(INDEX('AFA Rates'!$K$5:$K$1004,$T498)="","",INDEX('AFA Rates'!$K$5:$K$1004,$T498))))</f>
        <v/>
      </c>
      <c r="N498" s="50">
        <f>IF($T498="","",IF($S498="S",IF(INDEX(Firms!$M$5:$M$1004,$T498)="","",INDEX(Firms!$M$5:$M$1004,$T498)),IF(INDEX('AFA Rates'!$L$5:$L$1004,$T498)="","",INDEX('AFA Rates'!$L$5:$L$1004,$T498))))</f>
        <v/>
      </c>
      <c r="O498" s="78">
        <f>IF(OR($T498="",$U498=""),"",IF(INDEX(Firms!$C$5:$C$1004,$U498)="","",INDEX(Firms!$C$5:$C$1004,$U498)))</f>
        <v/>
      </c>
      <c r="P498" s="79">
        <f>IF(OR($T498="",$U498=""),"",IF(INDEX(Firms!$N$5:$N$1004,$U498)="","",INDEX(Firms!$N$5:$N$1004,$U498)))</f>
        <v/>
      </c>
      <c r="Q498" s="78">
        <f>IF($T498="","",IF($S498="S",IF(INDEX(Firms!$T$5:$T$1004,$T498)="","",INDEX(Firms!$T$5:$T$1004,$T498)),IF(INDEX('AFA Rates'!$M$5:$M$1004,$T498)="","",INDEX('AFA Rates'!$M$5:$M$1004,$T498))))</f>
        <v/>
      </c>
      <c r="S498">
        <f>IF(494&lt;=$S$2,"S",IF(494&lt;=$S$2+$T$2,"A",""))</f>
        <v/>
      </c>
      <c r="T498">
        <f>IF(S498="S",MATCH(494,Firms!$W$5:$W$1004,0),IF(S498="A",IFERROR(MATCH(494-$S$2,'AFA Rates'!$R$5:$R$1004,0),""),""))</f>
        <v/>
      </c>
      <c r="U498">
        <f>IF(S498="S",T498,IF(AND(S498="A",T498&lt;&gt;""),IFERROR(MATCH(INDEX('AFA Rates'!$A$5:$A$1004,T498),Firms!$A$5:$A$1004,0),""),""))</f>
        <v/>
      </c>
    </row>
    <row r="499">
      <c r="A499" s="78">
        <f>IF($T499="","",IF($S499="S",IF(INDEX(Firms!$A$5:$A$1004,$T499)="","",INDEX(Firms!$A$5:$A$1004,$T499)),IF(INDEX('AFA Rates'!$A$5:$A$1004,$T499)="","",INDEX('AFA Rates'!$A$5:$A$1004,$T499))))</f>
        <v/>
      </c>
      <c r="B499" s="79">
        <f>IF(OR($T499="",$U499=""),IF($T499="","","Not on Firms tab"),INDEX(Firms!$B$5:$B$1004,$U499)&amp;"")</f>
        <v/>
      </c>
      <c r="C499" s="78">
        <f>IF($T499="","",IF($S499="S","Standard",INDEX('AFA Rates'!$B$5:$B$1004,$T499)&amp;""))</f>
        <v/>
      </c>
      <c r="D499" s="88">
        <f>IF($T499="","",IF($S499="S",IF(INDEX(Firms!$E$5:$E$1004,$T499)="","",INDEX(Firms!$E$5:$E$1004,$T499)),IF(INDEX('AFA Rates'!$C$5:$C$1004,$T499)="","",INDEX('AFA Rates'!$C$5:$C$1004,$T499))))</f>
        <v/>
      </c>
      <c r="E499" s="88">
        <f>IF($T499="","",IF($S499="S",IF(""="","",""),IF(INDEX('AFA Rates'!$D$5:$D$1004,$T499)="","",INDEX('AFA Rates'!$D$5:$D$1004,$T499))))</f>
        <v/>
      </c>
      <c r="F499" s="79">
        <f>IF($T499="","",IF($S499="S",IF(INDEX(Firms!$O$5:$O$1004,$T499)="","",INDEX(Firms!$O$5:$O$1004,$T499)),IF(INDEX('AFA Rates'!$O$5:$O$1004,$T499)="","",INDEX('AFA Rates'!$O$5:$O$1004,$T499))))</f>
        <v/>
      </c>
      <c r="G499" s="50">
        <f>IF($T499="","",IF($S499="S",IF(INDEX(Firms!$F$5:$F$1004,$T499)="","",INDEX(Firms!$F$5:$F$1004,$T499)),IF(INDEX('AFA Rates'!$E$5:$E$1004,$T499)="","",INDEX('AFA Rates'!$E$5:$E$1004,$T499))))</f>
        <v/>
      </c>
      <c r="H499" s="50">
        <f>IF($T499="","",IF($S499="S",IF(INDEX(Firms!$G$5:$G$1004,$T499)="","",INDEX(Firms!$G$5:$G$1004,$T499)),IF(INDEX('AFA Rates'!$F$5:$F$1004,$T499)="","",INDEX('AFA Rates'!$F$5:$F$1004,$T499))))</f>
        <v/>
      </c>
      <c r="I499" s="50">
        <f>IF($T499="","",IF($S499="S",IF(INDEX(Firms!$H$5:$H$1004,$T499)="","",INDEX(Firms!$H$5:$H$1004,$T499)),IF(INDEX('AFA Rates'!$G$5:$G$1004,$T499)="","",INDEX('AFA Rates'!$G$5:$G$1004,$T499))))</f>
        <v/>
      </c>
      <c r="J499" s="50">
        <f>IF($T499="","",IF($S499="S",IF(INDEX(Firms!$I$5:$I$1004,$T499)="","",INDEX(Firms!$I$5:$I$1004,$T499)),IF(INDEX('AFA Rates'!$H$5:$H$1004,$T499)="","",INDEX('AFA Rates'!$H$5:$H$1004,$T499))))</f>
        <v/>
      </c>
      <c r="K499" s="50">
        <f>IF($T499="","",IF($S499="S",IF(INDEX(Firms!$J$5:$J$1004,$T499)="","",INDEX(Firms!$J$5:$J$1004,$T499)),IF(INDEX('AFA Rates'!$I$5:$I$1004,$T499)="","",INDEX('AFA Rates'!$I$5:$I$1004,$T499))))</f>
        <v/>
      </c>
      <c r="L499" s="50">
        <f>IF($T499="","",IF($S499="S",IF(INDEX(Firms!$K$5:$K$1004,$T499)="","",INDEX(Firms!$K$5:$K$1004,$T499)),IF(INDEX('AFA Rates'!$J$5:$J$1004,$T499)="","",INDEX('AFA Rates'!$J$5:$J$1004,$T499))))</f>
        <v/>
      </c>
      <c r="M499" s="50">
        <f>IF($T499="","",IF($S499="S",IF(INDEX(Firms!$L$5:$L$1004,$T499)="","",INDEX(Firms!$L$5:$L$1004,$T499)),IF(INDEX('AFA Rates'!$K$5:$K$1004,$T499)="","",INDEX('AFA Rates'!$K$5:$K$1004,$T499))))</f>
        <v/>
      </c>
      <c r="N499" s="50">
        <f>IF($T499="","",IF($S499="S",IF(INDEX(Firms!$M$5:$M$1004,$T499)="","",INDEX(Firms!$M$5:$M$1004,$T499)),IF(INDEX('AFA Rates'!$L$5:$L$1004,$T499)="","",INDEX('AFA Rates'!$L$5:$L$1004,$T499))))</f>
        <v/>
      </c>
      <c r="O499" s="78">
        <f>IF(OR($T499="",$U499=""),"",IF(INDEX(Firms!$C$5:$C$1004,$U499)="","",INDEX(Firms!$C$5:$C$1004,$U499)))</f>
        <v/>
      </c>
      <c r="P499" s="79">
        <f>IF(OR($T499="",$U499=""),"",IF(INDEX(Firms!$N$5:$N$1004,$U499)="","",INDEX(Firms!$N$5:$N$1004,$U499)))</f>
        <v/>
      </c>
      <c r="Q499" s="78">
        <f>IF($T499="","",IF($S499="S",IF(INDEX(Firms!$T$5:$T$1004,$T499)="","",INDEX(Firms!$T$5:$T$1004,$T499)),IF(INDEX('AFA Rates'!$M$5:$M$1004,$T499)="","",INDEX('AFA Rates'!$M$5:$M$1004,$T499))))</f>
        <v/>
      </c>
      <c r="S499">
        <f>IF(495&lt;=$S$2,"S",IF(495&lt;=$S$2+$T$2,"A",""))</f>
        <v/>
      </c>
      <c r="T499">
        <f>IF(S499="S",MATCH(495,Firms!$W$5:$W$1004,0),IF(S499="A",IFERROR(MATCH(495-$S$2,'AFA Rates'!$R$5:$R$1004,0),""),""))</f>
        <v/>
      </c>
      <c r="U499">
        <f>IF(S499="S",T499,IF(AND(S499="A",T499&lt;&gt;""),IFERROR(MATCH(INDEX('AFA Rates'!$A$5:$A$1004,T499),Firms!$A$5:$A$1004,0),""),""))</f>
        <v/>
      </c>
    </row>
    <row r="500">
      <c r="A500" s="78">
        <f>IF($T500="","",IF($S500="S",IF(INDEX(Firms!$A$5:$A$1004,$T500)="","",INDEX(Firms!$A$5:$A$1004,$T500)),IF(INDEX('AFA Rates'!$A$5:$A$1004,$T500)="","",INDEX('AFA Rates'!$A$5:$A$1004,$T500))))</f>
        <v/>
      </c>
      <c r="B500" s="79">
        <f>IF(OR($T500="",$U500=""),IF($T500="","","Not on Firms tab"),INDEX(Firms!$B$5:$B$1004,$U500)&amp;"")</f>
        <v/>
      </c>
      <c r="C500" s="78">
        <f>IF($T500="","",IF($S500="S","Standard",INDEX('AFA Rates'!$B$5:$B$1004,$T500)&amp;""))</f>
        <v/>
      </c>
      <c r="D500" s="88">
        <f>IF($T500="","",IF($S500="S",IF(INDEX(Firms!$E$5:$E$1004,$T500)="","",INDEX(Firms!$E$5:$E$1004,$T500)),IF(INDEX('AFA Rates'!$C$5:$C$1004,$T500)="","",INDEX('AFA Rates'!$C$5:$C$1004,$T500))))</f>
        <v/>
      </c>
      <c r="E500" s="88">
        <f>IF($T500="","",IF($S500="S",IF(""="","",""),IF(INDEX('AFA Rates'!$D$5:$D$1004,$T500)="","",INDEX('AFA Rates'!$D$5:$D$1004,$T500))))</f>
        <v/>
      </c>
      <c r="F500" s="79">
        <f>IF($T500="","",IF($S500="S",IF(INDEX(Firms!$O$5:$O$1004,$T500)="","",INDEX(Firms!$O$5:$O$1004,$T500)),IF(INDEX('AFA Rates'!$O$5:$O$1004,$T500)="","",INDEX('AFA Rates'!$O$5:$O$1004,$T500))))</f>
        <v/>
      </c>
      <c r="G500" s="50">
        <f>IF($T500="","",IF($S500="S",IF(INDEX(Firms!$F$5:$F$1004,$T500)="","",INDEX(Firms!$F$5:$F$1004,$T500)),IF(INDEX('AFA Rates'!$E$5:$E$1004,$T500)="","",INDEX('AFA Rates'!$E$5:$E$1004,$T500))))</f>
        <v/>
      </c>
      <c r="H500" s="50">
        <f>IF($T500="","",IF($S500="S",IF(INDEX(Firms!$G$5:$G$1004,$T500)="","",INDEX(Firms!$G$5:$G$1004,$T500)),IF(INDEX('AFA Rates'!$F$5:$F$1004,$T500)="","",INDEX('AFA Rates'!$F$5:$F$1004,$T500))))</f>
        <v/>
      </c>
      <c r="I500" s="50">
        <f>IF($T500="","",IF($S500="S",IF(INDEX(Firms!$H$5:$H$1004,$T500)="","",INDEX(Firms!$H$5:$H$1004,$T500)),IF(INDEX('AFA Rates'!$G$5:$G$1004,$T500)="","",INDEX('AFA Rates'!$G$5:$G$1004,$T500))))</f>
        <v/>
      </c>
      <c r="J500" s="50">
        <f>IF($T500="","",IF($S500="S",IF(INDEX(Firms!$I$5:$I$1004,$T500)="","",INDEX(Firms!$I$5:$I$1004,$T500)),IF(INDEX('AFA Rates'!$H$5:$H$1004,$T500)="","",INDEX('AFA Rates'!$H$5:$H$1004,$T500))))</f>
        <v/>
      </c>
      <c r="K500" s="50">
        <f>IF($T500="","",IF($S500="S",IF(INDEX(Firms!$J$5:$J$1004,$T500)="","",INDEX(Firms!$J$5:$J$1004,$T500)),IF(INDEX('AFA Rates'!$I$5:$I$1004,$T500)="","",INDEX('AFA Rates'!$I$5:$I$1004,$T500))))</f>
        <v/>
      </c>
      <c r="L500" s="50">
        <f>IF($T500="","",IF($S500="S",IF(INDEX(Firms!$K$5:$K$1004,$T500)="","",INDEX(Firms!$K$5:$K$1004,$T500)),IF(INDEX('AFA Rates'!$J$5:$J$1004,$T500)="","",INDEX('AFA Rates'!$J$5:$J$1004,$T500))))</f>
        <v/>
      </c>
      <c r="M500" s="50">
        <f>IF($T500="","",IF($S500="S",IF(INDEX(Firms!$L$5:$L$1004,$T500)="","",INDEX(Firms!$L$5:$L$1004,$T500)),IF(INDEX('AFA Rates'!$K$5:$K$1004,$T500)="","",INDEX('AFA Rates'!$K$5:$K$1004,$T500))))</f>
        <v/>
      </c>
      <c r="N500" s="50">
        <f>IF($T500="","",IF($S500="S",IF(INDEX(Firms!$M$5:$M$1004,$T500)="","",INDEX(Firms!$M$5:$M$1004,$T500)),IF(INDEX('AFA Rates'!$L$5:$L$1004,$T500)="","",INDEX('AFA Rates'!$L$5:$L$1004,$T500))))</f>
        <v/>
      </c>
      <c r="O500" s="78">
        <f>IF(OR($T500="",$U500=""),"",IF(INDEX(Firms!$C$5:$C$1004,$U500)="","",INDEX(Firms!$C$5:$C$1004,$U500)))</f>
        <v/>
      </c>
      <c r="P500" s="79">
        <f>IF(OR($T500="",$U500=""),"",IF(INDEX(Firms!$N$5:$N$1004,$U500)="","",INDEX(Firms!$N$5:$N$1004,$U500)))</f>
        <v/>
      </c>
      <c r="Q500" s="78">
        <f>IF($T500="","",IF($S500="S",IF(INDEX(Firms!$T$5:$T$1004,$T500)="","",INDEX(Firms!$T$5:$T$1004,$T500)),IF(INDEX('AFA Rates'!$M$5:$M$1004,$T500)="","",INDEX('AFA Rates'!$M$5:$M$1004,$T500))))</f>
        <v/>
      </c>
      <c r="S500">
        <f>IF(496&lt;=$S$2,"S",IF(496&lt;=$S$2+$T$2,"A",""))</f>
        <v/>
      </c>
      <c r="T500">
        <f>IF(S500="S",MATCH(496,Firms!$W$5:$W$1004,0),IF(S500="A",IFERROR(MATCH(496-$S$2,'AFA Rates'!$R$5:$R$1004,0),""),""))</f>
        <v/>
      </c>
      <c r="U500">
        <f>IF(S500="S",T500,IF(AND(S500="A",T500&lt;&gt;""),IFERROR(MATCH(INDEX('AFA Rates'!$A$5:$A$1004,T500),Firms!$A$5:$A$1004,0),""),""))</f>
        <v/>
      </c>
    </row>
    <row r="501">
      <c r="A501" s="78">
        <f>IF($T501="","",IF($S501="S",IF(INDEX(Firms!$A$5:$A$1004,$T501)="","",INDEX(Firms!$A$5:$A$1004,$T501)),IF(INDEX('AFA Rates'!$A$5:$A$1004,$T501)="","",INDEX('AFA Rates'!$A$5:$A$1004,$T501))))</f>
        <v/>
      </c>
      <c r="B501" s="79">
        <f>IF(OR($T501="",$U501=""),IF($T501="","","Not on Firms tab"),INDEX(Firms!$B$5:$B$1004,$U501)&amp;"")</f>
        <v/>
      </c>
      <c r="C501" s="78">
        <f>IF($T501="","",IF($S501="S","Standard",INDEX('AFA Rates'!$B$5:$B$1004,$T501)&amp;""))</f>
        <v/>
      </c>
      <c r="D501" s="88">
        <f>IF($T501="","",IF($S501="S",IF(INDEX(Firms!$E$5:$E$1004,$T501)="","",INDEX(Firms!$E$5:$E$1004,$T501)),IF(INDEX('AFA Rates'!$C$5:$C$1004,$T501)="","",INDEX('AFA Rates'!$C$5:$C$1004,$T501))))</f>
        <v/>
      </c>
      <c r="E501" s="88">
        <f>IF($T501="","",IF($S501="S",IF(""="","",""),IF(INDEX('AFA Rates'!$D$5:$D$1004,$T501)="","",INDEX('AFA Rates'!$D$5:$D$1004,$T501))))</f>
        <v/>
      </c>
      <c r="F501" s="79">
        <f>IF($T501="","",IF($S501="S",IF(INDEX(Firms!$O$5:$O$1004,$T501)="","",INDEX(Firms!$O$5:$O$1004,$T501)),IF(INDEX('AFA Rates'!$O$5:$O$1004,$T501)="","",INDEX('AFA Rates'!$O$5:$O$1004,$T501))))</f>
        <v/>
      </c>
      <c r="G501" s="50">
        <f>IF($T501="","",IF($S501="S",IF(INDEX(Firms!$F$5:$F$1004,$T501)="","",INDEX(Firms!$F$5:$F$1004,$T501)),IF(INDEX('AFA Rates'!$E$5:$E$1004,$T501)="","",INDEX('AFA Rates'!$E$5:$E$1004,$T501))))</f>
        <v/>
      </c>
      <c r="H501" s="50">
        <f>IF($T501="","",IF($S501="S",IF(INDEX(Firms!$G$5:$G$1004,$T501)="","",INDEX(Firms!$G$5:$G$1004,$T501)),IF(INDEX('AFA Rates'!$F$5:$F$1004,$T501)="","",INDEX('AFA Rates'!$F$5:$F$1004,$T501))))</f>
        <v/>
      </c>
      <c r="I501" s="50">
        <f>IF($T501="","",IF($S501="S",IF(INDEX(Firms!$H$5:$H$1004,$T501)="","",INDEX(Firms!$H$5:$H$1004,$T501)),IF(INDEX('AFA Rates'!$G$5:$G$1004,$T501)="","",INDEX('AFA Rates'!$G$5:$G$1004,$T501))))</f>
        <v/>
      </c>
      <c r="J501" s="50">
        <f>IF($T501="","",IF($S501="S",IF(INDEX(Firms!$I$5:$I$1004,$T501)="","",INDEX(Firms!$I$5:$I$1004,$T501)),IF(INDEX('AFA Rates'!$H$5:$H$1004,$T501)="","",INDEX('AFA Rates'!$H$5:$H$1004,$T501))))</f>
        <v/>
      </c>
      <c r="K501" s="50">
        <f>IF($T501="","",IF($S501="S",IF(INDEX(Firms!$J$5:$J$1004,$T501)="","",INDEX(Firms!$J$5:$J$1004,$T501)),IF(INDEX('AFA Rates'!$I$5:$I$1004,$T501)="","",INDEX('AFA Rates'!$I$5:$I$1004,$T501))))</f>
        <v/>
      </c>
      <c r="L501" s="50">
        <f>IF($T501="","",IF($S501="S",IF(INDEX(Firms!$K$5:$K$1004,$T501)="","",INDEX(Firms!$K$5:$K$1004,$T501)),IF(INDEX('AFA Rates'!$J$5:$J$1004,$T501)="","",INDEX('AFA Rates'!$J$5:$J$1004,$T501))))</f>
        <v/>
      </c>
      <c r="M501" s="50">
        <f>IF($T501="","",IF($S501="S",IF(INDEX(Firms!$L$5:$L$1004,$T501)="","",INDEX(Firms!$L$5:$L$1004,$T501)),IF(INDEX('AFA Rates'!$K$5:$K$1004,$T501)="","",INDEX('AFA Rates'!$K$5:$K$1004,$T501))))</f>
        <v/>
      </c>
      <c r="N501" s="50">
        <f>IF($T501="","",IF($S501="S",IF(INDEX(Firms!$M$5:$M$1004,$T501)="","",INDEX(Firms!$M$5:$M$1004,$T501)),IF(INDEX('AFA Rates'!$L$5:$L$1004,$T501)="","",INDEX('AFA Rates'!$L$5:$L$1004,$T501))))</f>
        <v/>
      </c>
      <c r="O501" s="78">
        <f>IF(OR($T501="",$U501=""),"",IF(INDEX(Firms!$C$5:$C$1004,$U501)="","",INDEX(Firms!$C$5:$C$1004,$U501)))</f>
        <v/>
      </c>
      <c r="P501" s="79">
        <f>IF(OR($T501="",$U501=""),"",IF(INDEX(Firms!$N$5:$N$1004,$U501)="","",INDEX(Firms!$N$5:$N$1004,$U501)))</f>
        <v/>
      </c>
      <c r="Q501" s="78">
        <f>IF($T501="","",IF($S501="S",IF(INDEX(Firms!$T$5:$T$1004,$T501)="","",INDEX(Firms!$T$5:$T$1004,$T501)),IF(INDEX('AFA Rates'!$M$5:$M$1004,$T501)="","",INDEX('AFA Rates'!$M$5:$M$1004,$T501))))</f>
        <v/>
      </c>
      <c r="S501">
        <f>IF(497&lt;=$S$2,"S",IF(497&lt;=$S$2+$T$2,"A",""))</f>
        <v/>
      </c>
      <c r="T501">
        <f>IF(S501="S",MATCH(497,Firms!$W$5:$W$1004,0),IF(S501="A",IFERROR(MATCH(497-$S$2,'AFA Rates'!$R$5:$R$1004,0),""),""))</f>
        <v/>
      </c>
      <c r="U501">
        <f>IF(S501="S",T501,IF(AND(S501="A",T501&lt;&gt;""),IFERROR(MATCH(INDEX('AFA Rates'!$A$5:$A$1004,T501),Firms!$A$5:$A$1004,0),""),""))</f>
        <v/>
      </c>
    </row>
    <row r="502">
      <c r="A502" s="78">
        <f>IF($T502="","",IF($S502="S",IF(INDEX(Firms!$A$5:$A$1004,$T502)="","",INDEX(Firms!$A$5:$A$1004,$T502)),IF(INDEX('AFA Rates'!$A$5:$A$1004,$T502)="","",INDEX('AFA Rates'!$A$5:$A$1004,$T502))))</f>
        <v/>
      </c>
      <c r="B502" s="79">
        <f>IF(OR($T502="",$U502=""),IF($T502="","","Not on Firms tab"),INDEX(Firms!$B$5:$B$1004,$U502)&amp;"")</f>
        <v/>
      </c>
      <c r="C502" s="78">
        <f>IF($T502="","",IF($S502="S","Standard",INDEX('AFA Rates'!$B$5:$B$1004,$T502)&amp;""))</f>
        <v/>
      </c>
      <c r="D502" s="88">
        <f>IF($T502="","",IF($S502="S",IF(INDEX(Firms!$E$5:$E$1004,$T502)="","",INDEX(Firms!$E$5:$E$1004,$T502)),IF(INDEX('AFA Rates'!$C$5:$C$1004,$T502)="","",INDEX('AFA Rates'!$C$5:$C$1004,$T502))))</f>
        <v/>
      </c>
      <c r="E502" s="88">
        <f>IF($T502="","",IF($S502="S",IF(""="","",""),IF(INDEX('AFA Rates'!$D$5:$D$1004,$T502)="","",INDEX('AFA Rates'!$D$5:$D$1004,$T502))))</f>
        <v/>
      </c>
      <c r="F502" s="79">
        <f>IF($T502="","",IF($S502="S",IF(INDEX(Firms!$O$5:$O$1004,$T502)="","",INDEX(Firms!$O$5:$O$1004,$T502)),IF(INDEX('AFA Rates'!$O$5:$O$1004,$T502)="","",INDEX('AFA Rates'!$O$5:$O$1004,$T502))))</f>
        <v/>
      </c>
      <c r="G502" s="50">
        <f>IF($T502="","",IF($S502="S",IF(INDEX(Firms!$F$5:$F$1004,$T502)="","",INDEX(Firms!$F$5:$F$1004,$T502)),IF(INDEX('AFA Rates'!$E$5:$E$1004,$T502)="","",INDEX('AFA Rates'!$E$5:$E$1004,$T502))))</f>
        <v/>
      </c>
      <c r="H502" s="50">
        <f>IF($T502="","",IF($S502="S",IF(INDEX(Firms!$G$5:$G$1004,$T502)="","",INDEX(Firms!$G$5:$G$1004,$T502)),IF(INDEX('AFA Rates'!$F$5:$F$1004,$T502)="","",INDEX('AFA Rates'!$F$5:$F$1004,$T502))))</f>
        <v/>
      </c>
      <c r="I502" s="50">
        <f>IF($T502="","",IF($S502="S",IF(INDEX(Firms!$H$5:$H$1004,$T502)="","",INDEX(Firms!$H$5:$H$1004,$T502)),IF(INDEX('AFA Rates'!$G$5:$G$1004,$T502)="","",INDEX('AFA Rates'!$G$5:$G$1004,$T502))))</f>
        <v/>
      </c>
      <c r="J502" s="50">
        <f>IF($T502="","",IF($S502="S",IF(INDEX(Firms!$I$5:$I$1004,$T502)="","",INDEX(Firms!$I$5:$I$1004,$T502)),IF(INDEX('AFA Rates'!$H$5:$H$1004,$T502)="","",INDEX('AFA Rates'!$H$5:$H$1004,$T502))))</f>
        <v/>
      </c>
      <c r="K502" s="50">
        <f>IF($T502="","",IF($S502="S",IF(INDEX(Firms!$J$5:$J$1004,$T502)="","",INDEX(Firms!$J$5:$J$1004,$T502)),IF(INDEX('AFA Rates'!$I$5:$I$1004,$T502)="","",INDEX('AFA Rates'!$I$5:$I$1004,$T502))))</f>
        <v/>
      </c>
      <c r="L502" s="50">
        <f>IF($T502="","",IF($S502="S",IF(INDEX(Firms!$K$5:$K$1004,$T502)="","",INDEX(Firms!$K$5:$K$1004,$T502)),IF(INDEX('AFA Rates'!$J$5:$J$1004,$T502)="","",INDEX('AFA Rates'!$J$5:$J$1004,$T502))))</f>
        <v/>
      </c>
      <c r="M502" s="50">
        <f>IF($T502="","",IF($S502="S",IF(INDEX(Firms!$L$5:$L$1004,$T502)="","",INDEX(Firms!$L$5:$L$1004,$T502)),IF(INDEX('AFA Rates'!$K$5:$K$1004,$T502)="","",INDEX('AFA Rates'!$K$5:$K$1004,$T502))))</f>
        <v/>
      </c>
      <c r="N502" s="50">
        <f>IF($T502="","",IF($S502="S",IF(INDEX(Firms!$M$5:$M$1004,$T502)="","",INDEX(Firms!$M$5:$M$1004,$T502)),IF(INDEX('AFA Rates'!$L$5:$L$1004,$T502)="","",INDEX('AFA Rates'!$L$5:$L$1004,$T502))))</f>
        <v/>
      </c>
      <c r="O502" s="78">
        <f>IF(OR($T502="",$U502=""),"",IF(INDEX(Firms!$C$5:$C$1004,$U502)="","",INDEX(Firms!$C$5:$C$1004,$U502)))</f>
        <v/>
      </c>
      <c r="P502" s="79">
        <f>IF(OR($T502="",$U502=""),"",IF(INDEX(Firms!$N$5:$N$1004,$U502)="","",INDEX(Firms!$N$5:$N$1004,$U502)))</f>
        <v/>
      </c>
      <c r="Q502" s="78">
        <f>IF($T502="","",IF($S502="S",IF(INDEX(Firms!$T$5:$T$1004,$T502)="","",INDEX(Firms!$T$5:$T$1004,$T502)),IF(INDEX('AFA Rates'!$M$5:$M$1004,$T502)="","",INDEX('AFA Rates'!$M$5:$M$1004,$T502))))</f>
        <v/>
      </c>
      <c r="S502">
        <f>IF(498&lt;=$S$2,"S",IF(498&lt;=$S$2+$T$2,"A",""))</f>
        <v/>
      </c>
      <c r="T502">
        <f>IF(S502="S",MATCH(498,Firms!$W$5:$W$1004,0),IF(S502="A",IFERROR(MATCH(498-$S$2,'AFA Rates'!$R$5:$R$1004,0),""),""))</f>
        <v/>
      </c>
      <c r="U502">
        <f>IF(S502="S",T502,IF(AND(S502="A",T502&lt;&gt;""),IFERROR(MATCH(INDEX('AFA Rates'!$A$5:$A$1004,T502),Firms!$A$5:$A$1004,0),""),""))</f>
        <v/>
      </c>
    </row>
    <row r="503">
      <c r="A503" s="78">
        <f>IF($T503="","",IF($S503="S",IF(INDEX(Firms!$A$5:$A$1004,$T503)="","",INDEX(Firms!$A$5:$A$1004,$T503)),IF(INDEX('AFA Rates'!$A$5:$A$1004,$T503)="","",INDEX('AFA Rates'!$A$5:$A$1004,$T503))))</f>
        <v/>
      </c>
      <c r="B503" s="79">
        <f>IF(OR($T503="",$U503=""),IF($T503="","","Not on Firms tab"),INDEX(Firms!$B$5:$B$1004,$U503)&amp;"")</f>
        <v/>
      </c>
      <c r="C503" s="78">
        <f>IF($T503="","",IF($S503="S","Standard",INDEX('AFA Rates'!$B$5:$B$1004,$T503)&amp;""))</f>
        <v/>
      </c>
      <c r="D503" s="88">
        <f>IF($T503="","",IF($S503="S",IF(INDEX(Firms!$E$5:$E$1004,$T503)="","",INDEX(Firms!$E$5:$E$1004,$T503)),IF(INDEX('AFA Rates'!$C$5:$C$1004,$T503)="","",INDEX('AFA Rates'!$C$5:$C$1004,$T503))))</f>
        <v/>
      </c>
      <c r="E503" s="88">
        <f>IF($T503="","",IF($S503="S",IF(""="","",""),IF(INDEX('AFA Rates'!$D$5:$D$1004,$T503)="","",INDEX('AFA Rates'!$D$5:$D$1004,$T503))))</f>
        <v/>
      </c>
      <c r="F503" s="79">
        <f>IF($T503="","",IF($S503="S",IF(INDEX(Firms!$O$5:$O$1004,$T503)="","",INDEX(Firms!$O$5:$O$1004,$T503)),IF(INDEX('AFA Rates'!$O$5:$O$1004,$T503)="","",INDEX('AFA Rates'!$O$5:$O$1004,$T503))))</f>
        <v/>
      </c>
      <c r="G503" s="50">
        <f>IF($T503="","",IF($S503="S",IF(INDEX(Firms!$F$5:$F$1004,$T503)="","",INDEX(Firms!$F$5:$F$1004,$T503)),IF(INDEX('AFA Rates'!$E$5:$E$1004,$T503)="","",INDEX('AFA Rates'!$E$5:$E$1004,$T503))))</f>
        <v/>
      </c>
      <c r="H503" s="50">
        <f>IF($T503="","",IF($S503="S",IF(INDEX(Firms!$G$5:$G$1004,$T503)="","",INDEX(Firms!$G$5:$G$1004,$T503)),IF(INDEX('AFA Rates'!$F$5:$F$1004,$T503)="","",INDEX('AFA Rates'!$F$5:$F$1004,$T503))))</f>
        <v/>
      </c>
      <c r="I503" s="50">
        <f>IF($T503="","",IF($S503="S",IF(INDEX(Firms!$H$5:$H$1004,$T503)="","",INDEX(Firms!$H$5:$H$1004,$T503)),IF(INDEX('AFA Rates'!$G$5:$G$1004,$T503)="","",INDEX('AFA Rates'!$G$5:$G$1004,$T503))))</f>
        <v/>
      </c>
      <c r="J503" s="50">
        <f>IF($T503="","",IF($S503="S",IF(INDEX(Firms!$I$5:$I$1004,$T503)="","",INDEX(Firms!$I$5:$I$1004,$T503)),IF(INDEX('AFA Rates'!$H$5:$H$1004,$T503)="","",INDEX('AFA Rates'!$H$5:$H$1004,$T503))))</f>
        <v/>
      </c>
      <c r="K503" s="50">
        <f>IF($T503="","",IF($S503="S",IF(INDEX(Firms!$J$5:$J$1004,$T503)="","",INDEX(Firms!$J$5:$J$1004,$T503)),IF(INDEX('AFA Rates'!$I$5:$I$1004,$T503)="","",INDEX('AFA Rates'!$I$5:$I$1004,$T503))))</f>
        <v/>
      </c>
      <c r="L503" s="50">
        <f>IF($T503="","",IF($S503="S",IF(INDEX(Firms!$K$5:$K$1004,$T503)="","",INDEX(Firms!$K$5:$K$1004,$T503)),IF(INDEX('AFA Rates'!$J$5:$J$1004,$T503)="","",INDEX('AFA Rates'!$J$5:$J$1004,$T503))))</f>
        <v/>
      </c>
      <c r="M503" s="50">
        <f>IF($T503="","",IF($S503="S",IF(INDEX(Firms!$L$5:$L$1004,$T503)="","",INDEX(Firms!$L$5:$L$1004,$T503)),IF(INDEX('AFA Rates'!$K$5:$K$1004,$T503)="","",INDEX('AFA Rates'!$K$5:$K$1004,$T503))))</f>
        <v/>
      </c>
      <c r="N503" s="50">
        <f>IF($T503="","",IF($S503="S",IF(INDEX(Firms!$M$5:$M$1004,$T503)="","",INDEX(Firms!$M$5:$M$1004,$T503)),IF(INDEX('AFA Rates'!$L$5:$L$1004,$T503)="","",INDEX('AFA Rates'!$L$5:$L$1004,$T503))))</f>
        <v/>
      </c>
      <c r="O503" s="78">
        <f>IF(OR($T503="",$U503=""),"",IF(INDEX(Firms!$C$5:$C$1004,$U503)="","",INDEX(Firms!$C$5:$C$1004,$U503)))</f>
        <v/>
      </c>
      <c r="P503" s="79">
        <f>IF(OR($T503="",$U503=""),"",IF(INDEX(Firms!$N$5:$N$1004,$U503)="","",INDEX(Firms!$N$5:$N$1004,$U503)))</f>
        <v/>
      </c>
      <c r="Q503" s="78">
        <f>IF($T503="","",IF($S503="S",IF(INDEX(Firms!$T$5:$T$1004,$T503)="","",INDEX(Firms!$T$5:$T$1004,$T503)),IF(INDEX('AFA Rates'!$M$5:$M$1004,$T503)="","",INDEX('AFA Rates'!$M$5:$M$1004,$T503))))</f>
        <v/>
      </c>
      <c r="S503">
        <f>IF(499&lt;=$S$2,"S",IF(499&lt;=$S$2+$T$2,"A",""))</f>
        <v/>
      </c>
      <c r="T503">
        <f>IF(S503="S",MATCH(499,Firms!$W$5:$W$1004,0),IF(S503="A",IFERROR(MATCH(499-$S$2,'AFA Rates'!$R$5:$R$1004,0),""),""))</f>
        <v/>
      </c>
      <c r="U503">
        <f>IF(S503="S",T503,IF(AND(S503="A",T503&lt;&gt;""),IFERROR(MATCH(INDEX('AFA Rates'!$A$5:$A$1004,T503),Firms!$A$5:$A$1004,0),""),""))</f>
        <v/>
      </c>
    </row>
    <row r="504">
      <c r="A504" s="78">
        <f>IF($T504="","",IF($S504="S",IF(INDEX(Firms!$A$5:$A$1004,$T504)="","",INDEX(Firms!$A$5:$A$1004,$T504)),IF(INDEX('AFA Rates'!$A$5:$A$1004,$T504)="","",INDEX('AFA Rates'!$A$5:$A$1004,$T504))))</f>
        <v/>
      </c>
      <c r="B504" s="79">
        <f>IF(OR($T504="",$U504=""),IF($T504="","","Not on Firms tab"),INDEX(Firms!$B$5:$B$1004,$U504)&amp;"")</f>
        <v/>
      </c>
      <c r="C504" s="78">
        <f>IF($T504="","",IF($S504="S","Standard",INDEX('AFA Rates'!$B$5:$B$1004,$T504)&amp;""))</f>
        <v/>
      </c>
      <c r="D504" s="88">
        <f>IF($T504="","",IF($S504="S",IF(INDEX(Firms!$E$5:$E$1004,$T504)="","",INDEX(Firms!$E$5:$E$1004,$T504)),IF(INDEX('AFA Rates'!$C$5:$C$1004,$T504)="","",INDEX('AFA Rates'!$C$5:$C$1004,$T504))))</f>
        <v/>
      </c>
      <c r="E504" s="88">
        <f>IF($T504="","",IF($S504="S",IF(""="","",""),IF(INDEX('AFA Rates'!$D$5:$D$1004,$T504)="","",INDEX('AFA Rates'!$D$5:$D$1004,$T504))))</f>
        <v/>
      </c>
      <c r="F504" s="79">
        <f>IF($T504="","",IF($S504="S",IF(INDEX(Firms!$O$5:$O$1004,$T504)="","",INDEX(Firms!$O$5:$O$1004,$T504)),IF(INDEX('AFA Rates'!$O$5:$O$1004,$T504)="","",INDEX('AFA Rates'!$O$5:$O$1004,$T504))))</f>
        <v/>
      </c>
      <c r="G504" s="50">
        <f>IF($T504="","",IF($S504="S",IF(INDEX(Firms!$F$5:$F$1004,$T504)="","",INDEX(Firms!$F$5:$F$1004,$T504)),IF(INDEX('AFA Rates'!$E$5:$E$1004,$T504)="","",INDEX('AFA Rates'!$E$5:$E$1004,$T504))))</f>
        <v/>
      </c>
      <c r="H504" s="50">
        <f>IF($T504="","",IF($S504="S",IF(INDEX(Firms!$G$5:$G$1004,$T504)="","",INDEX(Firms!$G$5:$G$1004,$T504)),IF(INDEX('AFA Rates'!$F$5:$F$1004,$T504)="","",INDEX('AFA Rates'!$F$5:$F$1004,$T504))))</f>
        <v/>
      </c>
      <c r="I504" s="50">
        <f>IF($T504="","",IF($S504="S",IF(INDEX(Firms!$H$5:$H$1004,$T504)="","",INDEX(Firms!$H$5:$H$1004,$T504)),IF(INDEX('AFA Rates'!$G$5:$G$1004,$T504)="","",INDEX('AFA Rates'!$G$5:$G$1004,$T504))))</f>
        <v/>
      </c>
      <c r="J504" s="50">
        <f>IF($T504="","",IF($S504="S",IF(INDEX(Firms!$I$5:$I$1004,$T504)="","",INDEX(Firms!$I$5:$I$1004,$T504)),IF(INDEX('AFA Rates'!$H$5:$H$1004,$T504)="","",INDEX('AFA Rates'!$H$5:$H$1004,$T504))))</f>
        <v/>
      </c>
      <c r="K504" s="50">
        <f>IF($T504="","",IF($S504="S",IF(INDEX(Firms!$J$5:$J$1004,$T504)="","",INDEX(Firms!$J$5:$J$1004,$T504)),IF(INDEX('AFA Rates'!$I$5:$I$1004,$T504)="","",INDEX('AFA Rates'!$I$5:$I$1004,$T504))))</f>
        <v/>
      </c>
      <c r="L504" s="50">
        <f>IF($T504="","",IF($S504="S",IF(INDEX(Firms!$K$5:$K$1004,$T504)="","",INDEX(Firms!$K$5:$K$1004,$T504)),IF(INDEX('AFA Rates'!$J$5:$J$1004,$T504)="","",INDEX('AFA Rates'!$J$5:$J$1004,$T504))))</f>
        <v/>
      </c>
      <c r="M504" s="50">
        <f>IF($T504="","",IF($S504="S",IF(INDEX(Firms!$L$5:$L$1004,$T504)="","",INDEX(Firms!$L$5:$L$1004,$T504)),IF(INDEX('AFA Rates'!$K$5:$K$1004,$T504)="","",INDEX('AFA Rates'!$K$5:$K$1004,$T504))))</f>
        <v/>
      </c>
      <c r="N504" s="50">
        <f>IF($T504="","",IF($S504="S",IF(INDEX(Firms!$M$5:$M$1004,$T504)="","",INDEX(Firms!$M$5:$M$1004,$T504)),IF(INDEX('AFA Rates'!$L$5:$L$1004,$T504)="","",INDEX('AFA Rates'!$L$5:$L$1004,$T504))))</f>
        <v/>
      </c>
      <c r="O504" s="78">
        <f>IF(OR($T504="",$U504=""),"",IF(INDEX(Firms!$C$5:$C$1004,$U504)="","",INDEX(Firms!$C$5:$C$1004,$U504)))</f>
        <v/>
      </c>
      <c r="P504" s="79">
        <f>IF(OR($T504="",$U504=""),"",IF(INDEX(Firms!$N$5:$N$1004,$U504)="","",INDEX(Firms!$N$5:$N$1004,$U504)))</f>
        <v/>
      </c>
      <c r="Q504" s="78">
        <f>IF($T504="","",IF($S504="S",IF(INDEX(Firms!$T$5:$T$1004,$T504)="","",INDEX(Firms!$T$5:$T$1004,$T504)),IF(INDEX('AFA Rates'!$M$5:$M$1004,$T504)="","",INDEX('AFA Rates'!$M$5:$M$1004,$T504))))</f>
        <v/>
      </c>
      <c r="S504">
        <f>IF(500&lt;=$S$2,"S",IF(500&lt;=$S$2+$T$2,"A",""))</f>
        <v/>
      </c>
      <c r="T504">
        <f>IF(S504="S",MATCH(500,Firms!$W$5:$W$1004,0),IF(S504="A",IFERROR(MATCH(500-$S$2,'AFA Rates'!$R$5:$R$1004,0),""),""))</f>
        <v/>
      </c>
      <c r="U504">
        <f>IF(S504="S",T504,IF(AND(S504="A",T504&lt;&gt;""),IFERROR(MATCH(INDEX('AFA Rates'!$A$5:$A$1004,T504),Firms!$A$5:$A$1004,0),""),""))</f>
        <v/>
      </c>
    </row>
    <row r="505">
      <c r="A505" s="78">
        <f>IF($T505="","",IF($S505="S",IF(INDEX(Firms!$A$5:$A$1004,$T505)="","",INDEX(Firms!$A$5:$A$1004,$T505)),IF(INDEX('AFA Rates'!$A$5:$A$1004,$T505)="","",INDEX('AFA Rates'!$A$5:$A$1004,$T505))))</f>
        <v/>
      </c>
      <c r="B505" s="79">
        <f>IF(OR($T505="",$U505=""),IF($T505="","","Not on Firms tab"),INDEX(Firms!$B$5:$B$1004,$U505)&amp;"")</f>
        <v/>
      </c>
      <c r="C505" s="78">
        <f>IF($T505="","",IF($S505="S","Standard",INDEX('AFA Rates'!$B$5:$B$1004,$T505)&amp;""))</f>
        <v/>
      </c>
      <c r="D505" s="88">
        <f>IF($T505="","",IF($S505="S",IF(INDEX(Firms!$E$5:$E$1004,$T505)="","",INDEX(Firms!$E$5:$E$1004,$T505)),IF(INDEX('AFA Rates'!$C$5:$C$1004,$T505)="","",INDEX('AFA Rates'!$C$5:$C$1004,$T505))))</f>
        <v/>
      </c>
      <c r="E505" s="88">
        <f>IF($T505="","",IF($S505="S",IF(""="","",""),IF(INDEX('AFA Rates'!$D$5:$D$1004,$T505)="","",INDEX('AFA Rates'!$D$5:$D$1004,$T505))))</f>
        <v/>
      </c>
      <c r="F505" s="79">
        <f>IF($T505="","",IF($S505="S",IF(INDEX(Firms!$O$5:$O$1004,$T505)="","",INDEX(Firms!$O$5:$O$1004,$T505)),IF(INDEX('AFA Rates'!$O$5:$O$1004,$T505)="","",INDEX('AFA Rates'!$O$5:$O$1004,$T505))))</f>
        <v/>
      </c>
      <c r="G505" s="50">
        <f>IF($T505="","",IF($S505="S",IF(INDEX(Firms!$F$5:$F$1004,$T505)="","",INDEX(Firms!$F$5:$F$1004,$T505)),IF(INDEX('AFA Rates'!$E$5:$E$1004,$T505)="","",INDEX('AFA Rates'!$E$5:$E$1004,$T505))))</f>
        <v/>
      </c>
      <c r="H505" s="50">
        <f>IF($T505="","",IF($S505="S",IF(INDEX(Firms!$G$5:$G$1004,$T505)="","",INDEX(Firms!$G$5:$G$1004,$T505)),IF(INDEX('AFA Rates'!$F$5:$F$1004,$T505)="","",INDEX('AFA Rates'!$F$5:$F$1004,$T505))))</f>
        <v/>
      </c>
      <c r="I505" s="50">
        <f>IF($T505="","",IF($S505="S",IF(INDEX(Firms!$H$5:$H$1004,$T505)="","",INDEX(Firms!$H$5:$H$1004,$T505)),IF(INDEX('AFA Rates'!$G$5:$G$1004,$T505)="","",INDEX('AFA Rates'!$G$5:$G$1004,$T505))))</f>
        <v/>
      </c>
      <c r="J505" s="50">
        <f>IF($T505="","",IF($S505="S",IF(INDEX(Firms!$I$5:$I$1004,$T505)="","",INDEX(Firms!$I$5:$I$1004,$T505)),IF(INDEX('AFA Rates'!$H$5:$H$1004,$T505)="","",INDEX('AFA Rates'!$H$5:$H$1004,$T505))))</f>
        <v/>
      </c>
      <c r="K505" s="50">
        <f>IF($T505="","",IF($S505="S",IF(INDEX(Firms!$J$5:$J$1004,$T505)="","",INDEX(Firms!$J$5:$J$1004,$T505)),IF(INDEX('AFA Rates'!$I$5:$I$1004,$T505)="","",INDEX('AFA Rates'!$I$5:$I$1004,$T505))))</f>
        <v/>
      </c>
      <c r="L505" s="50">
        <f>IF($T505="","",IF($S505="S",IF(INDEX(Firms!$K$5:$K$1004,$T505)="","",INDEX(Firms!$K$5:$K$1004,$T505)),IF(INDEX('AFA Rates'!$J$5:$J$1004,$T505)="","",INDEX('AFA Rates'!$J$5:$J$1004,$T505))))</f>
        <v/>
      </c>
      <c r="M505" s="50">
        <f>IF($T505="","",IF($S505="S",IF(INDEX(Firms!$L$5:$L$1004,$T505)="","",INDEX(Firms!$L$5:$L$1004,$T505)),IF(INDEX('AFA Rates'!$K$5:$K$1004,$T505)="","",INDEX('AFA Rates'!$K$5:$K$1004,$T505))))</f>
        <v/>
      </c>
      <c r="N505" s="50">
        <f>IF($T505="","",IF($S505="S",IF(INDEX(Firms!$M$5:$M$1004,$T505)="","",INDEX(Firms!$M$5:$M$1004,$T505)),IF(INDEX('AFA Rates'!$L$5:$L$1004,$T505)="","",INDEX('AFA Rates'!$L$5:$L$1004,$T505))))</f>
        <v/>
      </c>
      <c r="O505" s="78">
        <f>IF(OR($T505="",$U505=""),"",IF(INDEX(Firms!$C$5:$C$1004,$U505)="","",INDEX(Firms!$C$5:$C$1004,$U505)))</f>
        <v/>
      </c>
      <c r="P505" s="79">
        <f>IF(OR($T505="",$U505=""),"",IF(INDEX(Firms!$N$5:$N$1004,$U505)="","",INDEX(Firms!$N$5:$N$1004,$U505)))</f>
        <v/>
      </c>
      <c r="Q505" s="78">
        <f>IF($T505="","",IF($S505="S",IF(INDEX(Firms!$T$5:$T$1004,$T505)="","",INDEX(Firms!$T$5:$T$1004,$T505)),IF(INDEX('AFA Rates'!$M$5:$M$1004,$T505)="","",INDEX('AFA Rates'!$M$5:$M$1004,$T505))))</f>
        <v/>
      </c>
      <c r="S505">
        <f>IF(501&lt;=$S$2,"S",IF(501&lt;=$S$2+$T$2,"A",""))</f>
        <v/>
      </c>
      <c r="T505">
        <f>IF(S505="S",MATCH(501,Firms!$W$5:$W$1004,0),IF(S505="A",IFERROR(MATCH(501-$S$2,'AFA Rates'!$R$5:$R$1004,0),""),""))</f>
        <v/>
      </c>
      <c r="U505">
        <f>IF(S505="S",T505,IF(AND(S505="A",T505&lt;&gt;""),IFERROR(MATCH(INDEX('AFA Rates'!$A$5:$A$1004,T505),Firms!$A$5:$A$1004,0),""),""))</f>
        <v/>
      </c>
    </row>
    <row r="506">
      <c r="A506" s="78">
        <f>IF($T506="","",IF($S506="S",IF(INDEX(Firms!$A$5:$A$1004,$T506)="","",INDEX(Firms!$A$5:$A$1004,$T506)),IF(INDEX('AFA Rates'!$A$5:$A$1004,$T506)="","",INDEX('AFA Rates'!$A$5:$A$1004,$T506))))</f>
        <v/>
      </c>
      <c r="B506" s="79">
        <f>IF(OR($T506="",$U506=""),IF($T506="","","Not on Firms tab"),INDEX(Firms!$B$5:$B$1004,$U506)&amp;"")</f>
        <v/>
      </c>
      <c r="C506" s="78">
        <f>IF($T506="","",IF($S506="S","Standard",INDEX('AFA Rates'!$B$5:$B$1004,$T506)&amp;""))</f>
        <v/>
      </c>
      <c r="D506" s="88">
        <f>IF($T506="","",IF($S506="S",IF(INDEX(Firms!$E$5:$E$1004,$T506)="","",INDEX(Firms!$E$5:$E$1004,$T506)),IF(INDEX('AFA Rates'!$C$5:$C$1004,$T506)="","",INDEX('AFA Rates'!$C$5:$C$1004,$T506))))</f>
        <v/>
      </c>
      <c r="E506" s="88">
        <f>IF($T506="","",IF($S506="S",IF(""="","",""),IF(INDEX('AFA Rates'!$D$5:$D$1004,$T506)="","",INDEX('AFA Rates'!$D$5:$D$1004,$T506))))</f>
        <v/>
      </c>
      <c r="F506" s="79">
        <f>IF($T506="","",IF($S506="S",IF(INDEX(Firms!$O$5:$O$1004,$T506)="","",INDEX(Firms!$O$5:$O$1004,$T506)),IF(INDEX('AFA Rates'!$O$5:$O$1004,$T506)="","",INDEX('AFA Rates'!$O$5:$O$1004,$T506))))</f>
        <v/>
      </c>
      <c r="G506" s="50">
        <f>IF($T506="","",IF($S506="S",IF(INDEX(Firms!$F$5:$F$1004,$T506)="","",INDEX(Firms!$F$5:$F$1004,$T506)),IF(INDEX('AFA Rates'!$E$5:$E$1004,$T506)="","",INDEX('AFA Rates'!$E$5:$E$1004,$T506))))</f>
        <v/>
      </c>
      <c r="H506" s="50">
        <f>IF($T506="","",IF($S506="S",IF(INDEX(Firms!$G$5:$G$1004,$T506)="","",INDEX(Firms!$G$5:$G$1004,$T506)),IF(INDEX('AFA Rates'!$F$5:$F$1004,$T506)="","",INDEX('AFA Rates'!$F$5:$F$1004,$T506))))</f>
        <v/>
      </c>
      <c r="I506" s="50">
        <f>IF($T506="","",IF($S506="S",IF(INDEX(Firms!$H$5:$H$1004,$T506)="","",INDEX(Firms!$H$5:$H$1004,$T506)),IF(INDEX('AFA Rates'!$G$5:$G$1004,$T506)="","",INDEX('AFA Rates'!$G$5:$G$1004,$T506))))</f>
        <v/>
      </c>
      <c r="J506" s="50">
        <f>IF($T506="","",IF($S506="S",IF(INDEX(Firms!$I$5:$I$1004,$T506)="","",INDEX(Firms!$I$5:$I$1004,$T506)),IF(INDEX('AFA Rates'!$H$5:$H$1004,$T506)="","",INDEX('AFA Rates'!$H$5:$H$1004,$T506))))</f>
        <v/>
      </c>
      <c r="K506" s="50">
        <f>IF($T506="","",IF($S506="S",IF(INDEX(Firms!$J$5:$J$1004,$T506)="","",INDEX(Firms!$J$5:$J$1004,$T506)),IF(INDEX('AFA Rates'!$I$5:$I$1004,$T506)="","",INDEX('AFA Rates'!$I$5:$I$1004,$T506))))</f>
        <v/>
      </c>
      <c r="L506" s="50">
        <f>IF($T506="","",IF($S506="S",IF(INDEX(Firms!$K$5:$K$1004,$T506)="","",INDEX(Firms!$K$5:$K$1004,$T506)),IF(INDEX('AFA Rates'!$J$5:$J$1004,$T506)="","",INDEX('AFA Rates'!$J$5:$J$1004,$T506))))</f>
        <v/>
      </c>
      <c r="M506" s="50">
        <f>IF($T506="","",IF($S506="S",IF(INDEX(Firms!$L$5:$L$1004,$T506)="","",INDEX(Firms!$L$5:$L$1004,$T506)),IF(INDEX('AFA Rates'!$K$5:$K$1004,$T506)="","",INDEX('AFA Rates'!$K$5:$K$1004,$T506))))</f>
        <v/>
      </c>
      <c r="N506" s="50">
        <f>IF($T506="","",IF($S506="S",IF(INDEX(Firms!$M$5:$M$1004,$T506)="","",INDEX(Firms!$M$5:$M$1004,$T506)),IF(INDEX('AFA Rates'!$L$5:$L$1004,$T506)="","",INDEX('AFA Rates'!$L$5:$L$1004,$T506))))</f>
        <v/>
      </c>
      <c r="O506" s="78">
        <f>IF(OR($T506="",$U506=""),"",IF(INDEX(Firms!$C$5:$C$1004,$U506)="","",INDEX(Firms!$C$5:$C$1004,$U506)))</f>
        <v/>
      </c>
      <c r="P506" s="79">
        <f>IF(OR($T506="",$U506=""),"",IF(INDEX(Firms!$N$5:$N$1004,$U506)="","",INDEX(Firms!$N$5:$N$1004,$U506)))</f>
        <v/>
      </c>
      <c r="Q506" s="78">
        <f>IF($T506="","",IF($S506="S",IF(INDEX(Firms!$T$5:$T$1004,$T506)="","",INDEX(Firms!$T$5:$T$1004,$T506)),IF(INDEX('AFA Rates'!$M$5:$M$1004,$T506)="","",INDEX('AFA Rates'!$M$5:$M$1004,$T506))))</f>
        <v/>
      </c>
      <c r="S506">
        <f>IF(502&lt;=$S$2,"S",IF(502&lt;=$S$2+$T$2,"A",""))</f>
        <v/>
      </c>
      <c r="T506">
        <f>IF(S506="S",MATCH(502,Firms!$W$5:$W$1004,0),IF(S506="A",IFERROR(MATCH(502-$S$2,'AFA Rates'!$R$5:$R$1004,0),""),""))</f>
        <v/>
      </c>
      <c r="U506">
        <f>IF(S506="S",T506,IF(AND(S506="A",T506&lt;&gt;""),IFERROR(MATCH(INDEX('AFA Rates'!$A$5:$A$1004,T506),Firms!$A$5:$A$1004,0),""),""))</f>
        <v/>
      </c>
    </row>
    <row r="507">
      <c r="A507" s="78">
        <f>IF($T507="","",IF($S507="S",IF(INDEX(Firms!$A$5:$A$1004,$T507)="","",INDEX(Firms!$A$5:$A$1004,$T507)),IF(INDEX('AFA Rates'!$A$5:$A$1004,$T507)="","",INDEX('AFA Rates'!$A$5:$A$1004,$T507))))</f>
        <v/>
      </c>
      <c r="B507" s="79">
        <f>IF(OR($T507="",$U507=""),IF($T507="","","Not on Firms tab"),INDEX(Firms!$B$5:$B$1004,$U507)&amp;"")</f>
        <v/>
      </c>
      <c r="C507" s="78">
        <f>IF($T507="","",IF($S507="S","Standard",INDEX('AFA Rates'!$B$5:$B$1004,$T507)&amp;""))</f>
        <v/>
      </c>
      <c r="D507" s="88">
        <f>IF($T507="","",IF($S507="S",IF(INDEX(Firms!$E$5:$E$1004,$T507)="","",INDEX(Firms!$E$5:$E$1004,$T507)),IF(INDEX('AFA Rates'!$C$5:$C$1004,$T507)="","",INDEX('AFA Rates'!$C$5:$C$1004,$T507))))</f>
        <v/>
      </c>
      <c r="E507" s="88">
        <f>IF($T507="","",IF($S507="S",IF(""="","",""),IF(INDEX('AFA Rates'!$D$5:$D$1004,$T507)="","",INDEX('AFA Rates'!$D$5:$D$1004,$T507))))</f>
        <v/>
      </c>
      <c r="F507" s="79">
        <f>IF($T507="","",IF($S507="S",IF(INDEX(Firms!$O$5:$O$1004,$T507)="","",INDEX(Firms!$O$5:$O$1004,$T507)),IF(INDEX('AFA Rates'!$O$5:$O$1004,$T507)="","",INDEX('AFA Rates'!$O$5:$O$1004,$T507))))</f>
        <v/>
      </c>
      <c r="G507" s="50">
        <f>IF($T507="","",IF($S507="S",IF(INDEX(Firms!$F$5:$F$1004,$T507)="","",INDEX(Firms!$F$5:$F$1004,$T507)),IF(INDEX('AFA Rates'!$E$5:$E$1004,$T507)="","",INDEX('AFA Rates'!$E$5:$E$1004,$T507))))</f>
        <v/>
      </c>
      <c r="H507" s="50">
        <f>IF($T507="","",IF($S507="S",IF(INDEX(Firms!$G$5:$G$1004,$T507)="","",INDEX(Firms!$G$5:$G$1004,$T507)),IF(INDEX('AFA Rates'!$F$5:$F$1004,$T507)="","",INDEX('AFA Rates'!$F$5:$F$1004,$T507))))</f>
        <v/>
      </c>
      <c r="I507" s="50">
        <f>IF($T507="","",IF($S507="S",IF(INDEX(Firms!$H$5:$H$1004,$T507)="","",INDEX(Firms!$H$5:$H$1004,$T507)),IF(INDEX('AFA Rates'!$G$5:$G$1004,$T507)="","",INDEX('AFA Rates'!$G$5:$G$1004,$T507))))</f>
        <v/>
      </c>
      <c r="J507" s="50">
        <f>IF($T507="","",IF($S507="S",IF(INDEX(Firms!$I$5:$I$1004,$T507)="","",INDEX(Firms!$I$5:$I$1004,$T507)),IF(INDEX('AFA Rates'!$H$5:$H$1004,$T507)="","",INDEX('AFA Rates'!$H$5:$H$1004,$T507))))</f>
        <v/>
      </c>
      <c r="K507" s="50">
        <f>IF($T507="","",IF($S507="S",IF(INDEX(Firms!$J$5:$J$1004,$T507)="","",INDEX(Firms!$J$5:$J$1004,$T507)),IF(INDEX('AFA Rates'!$I$5:$I$1004,$T507)="","",INDEX('AFA Rates'!$I$5:$I$1004,$T507))))</f>
        <v/>
      </c>
      <c r="L507" s="50">
        <f>IF($T507="","",IF($S507="S",IF(INDEX(Firms!$K$5:$K$1004,$T507)="","",INDEX(Firms!$K$5:$K$1004,$T507)),IF(INDEX('AFA Rates'!$J$5:$J$1004,$T507)="","",INDEX('AFA Rates'!$J$5:$J$1004,$T507))))</f>
        <v/>
      </c>
      <c r="M507" s="50">
        <f>IF($T507="","",IF($S507="S",IF(INDEX(Firms!$L$5:$L$1004,$T507)="","",INDEX(Firms!$L$5:$L$1004,$T507)),IF(INDEX('AFA Rates'!$K$5:$K$1004,$T507)="","",INDEX('AFA Rates'!$K$5:$K$1004,$T507))))</f>
        <v/>
      </c>
      <c r="N507" s="50">
        <f>IF($T507="","",IF($S507="S",IF(INDEX(Firms!$M$5:$M$1004,$T507)="","",INDEX(Firms!$M$5:$M$1004,$T507)),IF(INDEX('AFA Rates'!$L$5:$L$1004,$T507)="","",INDEX('AFA Rates'!$L$5:$L$1004,$T507))))</f>
        <v/>
      </c>
      <c r="O507" s="78">
        <f>IF(OR($T507="",$U507=""),"",IF(INDEX(Firms!$C$5:$C$1004,$U507)="","",INDEX(Firms!$C$5:$C$1004,$U507)))</f>
        <v/>
      </c>
      <c r="P507" s="79">
        <f>IF(OR($T507="",$U507=""),"",IF(INDEX(Firms!$N$5:$N$1004,$U507)="","",INDEX(Firms!$N$5:$N$1004,$U507)))</f>
        <v/>
      </c>
      <c r="Q507" s="78">
        <f>IF($T507="","",IF($S507="S",IF(INDEX(Firms!$T$5:$T$1004,$T507)="","",INDEX(Firms!$T$5:$T$1004,$T507)),IF(INDEX('AFA Rates'!$M$5:$M$1004,$T507)="","",INDEX('AFA Rates'!$M$5:$M$1004,$T507))))</f>
        <v/>
      </c>
      <c r="S507">
        <f>IF(503&lt;=$S$2,"S",IF(503&lt;=$S$2+$T$2,"A",""))</f>
        <v/>
      </c>
      <c r="T507">
        <f>IF(S507="S",MATCH(503,Firms!$W$5:$W$1004,0),IF(S507="A",IFERROR(MATCH(503-$S$2,'AFA Rates'!$R$5:$R$1004,0),""),""))</f>
        <v/>
      </c>
      <c r="U507">
        <f>IF(S507="S",T507,IF(AND(S507="A",T507&lt;&gt;""),IFERROR(MATCH(INDEX('AFA Rates'!$A$5:$A$1004,T507),Firms!$A$5:$A$1004,0),""),""))</f>
        <v/>
      </c>
    </row>
    <row r="508">
      <c r="A508" s="78">
        <f>IF($T508="","",IF($S508="S",IF(INDEX(Firms!$A$5:$A$1004,$T508)="","",INDEX(Firms!$A$5:$A$1004,$T508)),IF(INDEX('AFA Rates'!$A$5:$A$1004,$T508)="","",INDEX('AFA Rates'!$A$5:$A$1004,$T508))))</f>
        <v/>
      </c>
      <c r="B508" s="79">
        <f>IF(OR($T508="",$U508=""),IF($T508="","","Not on Firms tab"),INDEX(Firms!$B$5:$B$1004,$U508)&amp;"")</f>
        <v/>
      </c>
      <c r="C508" s="78">
        <f>IF($T508="","",IF($S508="S","Standard",INDEX('AFA Rates'!$B$5:$B$1004,$T508)&amp;""))</f>
        <v/>
      </c>
      <c r="D508" s="88">
        <f>IF($T508="","",IF($S508="S",IF(INDEX(Firms!$E$5:$E$1004,$T508)="","",INDEX(Firms!$E$5:$E$1004,$T508)),IF(INDEX('AFA Rates'!$C$5:$C$1004,$T508)="","",INDEX('AFA Rates'!$C$5:$C$1004,$T508))))</f>
        <v/>
      </c>
      <c r="E508" s="88">
        <f>IF($T508="","",IF($S508="S",IF(""="","",""),IF(INDEX('AFA Rates'!$D$5:$D$1004,$T508)="","",INDEX('AFA Rates'!$D$5:$D$1004,$T508))))</f>
        <v/>
      </c>
      <c r="F508" s="79">
        <f>IF($T508="","",IF($S508="S",IF(INDEX(Firms!$O$5:$O$1004,$T508)="","",INDEX(Firms!$O$5:$O$1004,$T508)),IF(INDEX('AFA Rates'!$O$5:$O$1004,$T508)="","",INDEX('AFA Rates'!$O$5:$O$1004,$T508))))</f>
        <v/>
      </c>
      <c r="G508" s="50">
        <f>IF($T508="","",IF($S508="S",IF(INDEX(Firms!$F$5:$F$1004,$T508)="","",INDEX(Firms!$F$5:$F$1004,$T508)),IF(INDEX('AFA Rates'!$E$5:$E$1004,$T508)="","",INDEX('AFA Rates'!$E$5:$E$1004,$T508))))</f>
        <v/>
      </c>
      <c r="H508" s="50">
        <f>IF($T508="","",IF($S508="S",IF(INDEX(Firms!$G$5:$G$1004,$T508)="","",INDEX(Firms!$G$5:$G$1004,$T508)),IF(INDEX('AFA Rates'!$F$5:$F$1004,$T508)="","",INDEX('AFA Rates'!$F$5:$F$1004,$T508))))</f>
        <v/>
      </c>
      <c r="I508" s="50">
        <f>IF($T508="","",IF($S508="S",IF(INDEX(Firms!$H$5:$H$1004,$T508)="","",INDEX(Firms!$H$5:$H$1004,$T508)),IF(INDEX('AFA Rates'!$G$5:$G$1004,$T508)="","",INDEX('AFA Rates'!$G$5:$G$1004,$T508))))</f>
        <v/>
      </c>
      <c r="J508" s="50">
        <f>IF($T508="","",IF($S508="S",IF(INDEX(Firms!$I$5:$I$1004,$T508)="","",INDEX(Firms!$I$5:$I$1004,$T508)),IF(INDEX('AFA Rates'!$H$5:$H$1004,$T508)="","",INDEX('AFA Rates'!$H$5:$H$1004,$T508))))</f>
        <v/>
      </c>
      <c r="K508" s="50">
        <f>IF($T508="","",IF($S508="S",IF(INDEX(Firms!$J$5:$J$1004,$T508)="","",INDEX(Firms!$J$5:$J$1004,$T508)),IF(INDEX('AFA Rates'!$I$5:$I$1004,$T508)="","",INDEX('AFA Rates'!$I$5:$I$1004,$T508))))</f>
        <v/>
      </c>
      <c r="L508" s="50">
        <f>IF($T508="","",IF($S508="S",IF(INDEX(Firms!$K$5:$K$1004,$T508)="","",INDEX(Firms!$K$5:$K$1004,$T508)),IF(INDEX('AFA Rates'!$J$5:$J$1004,$T508)="","",INDEX('AFA Rates'!$J$5:$J$1004,$T508))))</f>
        <v/>
      </c>
      <c r="M508" s="50">
        <f>IF($T508="","",IF($S508="S",IF(INDEX(Firms!$L$5:$L$1004,$T508)="","",INDEX(Firms!$L$5:$L$1004,$T508)),IF(INDEX('AFA Rates'!$K$5:$K$1004,$T508)="","",INDEX('AFA Rates'!$K$5:$K$1004,$T508))))</f>
        <v/>
      </c>
      <c r="N508" s="50">
        <f>IF($T508="","",IF($S508="S",IF(INDEX(Firms!$M$5:$M$1004,$T508)="","",INDEX(Firms!$M$5:$M$1004,$T508)),IF(INDEX('AFA Rates'!$L$5:$L$1004,$T508)="","",INDEX('AFA Rates'!$L$5:$L$1004,$T508))))</f>
        <v/>
      </c>
      <c r="O508" s="78">
        <f>IF(OR($T508="",$U508=""),"",IF(INDEX(Firms!$C$5:$C$1004,$U508)="","",INDEX(Firms!$C$5:$C$1004,$U508)))</f>
        <v/>
      </c>
      <c r="P508" s="79">
        <f>IF(OR($T508="",$U508=""),"",IF(INDEX(Firms!$N$5:$N$1004,$U508)="","",INDEX(Firms!$N$5:$N$1004,$U508)))</f>
        <v/>
      </c>
      <c r="Q508" s="78">
        <f>IF($T508="","",IF($S508="S",IF(INDEX(Firms!$T$5:$T$1004,$T508)="","",INDEX(Firms!$T$5:$T$1004,$T508)),IF(INDEX('AFA Rates'!$M$5:$M$1004,$T508)="","",INDEX('AFA Rates'!$M$5:$M$1004,$T508))))</f>
        <v/>
      </c>
      <c r="S508">
        <f>IF(504&lt;=$S$2,"S",IF(504&lt;=$S$2+$T$2,"A",""))</f>
        <v/>
      </c>
      <c r="T508">
        <f>IF(S508="S",MATCH(504,Firms!$W$5:$W$1004,0),IF(S508="A",IFERROR(MATCH(504-$S$2,'AFA Rates'!$R$5:$R$1004,0),""),""))</f>
        <v/>
      </c>
      <c r="U508">
        <f>IF(S508="S",T508,IF(AND(S508="A",T508&lt;&gt;""),IFERROR(MATCH(INDEX('AFA Rates'!$A$5:$A$1004,T508),Firms!$A$5:$A$1004,0),""),""))</f>
        <v/>
      </c>
    </row>
    <row r="509">
      <c r="A509" s="78">
        <f>IF($T509="","",IF($S509="S",IF(INDEX(Firms!$A$5:$A$1004,$T509)="","",INDEX(Firms!$A$5:$A$1004,$T509)),IF(INDEX('AFA Rates'!$A$5:$A$1004,$T509)="","",INDEX('AFA Rates'!$A$5:$A$1004,$T509))))</f>
        <v/>
      </c>
      <c r="B509" s="79">
        <f>IF(OR($T509="",$U509=""),IF($T509="","","Not on Firms tab"),INDEX(Firms!$B$5:$B$1004,$U509)&amp;"")</f>
        <v/>
      </c>
      <c r="C509" s="78">
        <f>IF($T509="","",IF($S509="S","Standard",INDEX('AFA Rates'!$B$5:$B$1004,$T509)&amp;""))</f>
        <v/>
      </c>
      <c r="D509" s="88">
        <f>IF($T509="","",IF($S509="S",IF(INDEX(Firms!$E$5:$E$1004,$T509)="","",INDEX(Firms!$E$5:$E$1004,$T509)),IF(INDEX('AFA Rates'!$C$5:$C$1004,$T509)="","",INDEX('AFA Rates'!$C$5:$C$1004,$T509))))</f>
        <v/>
      </c>
      <c r="E509" s="88">
        <f>IF($T509="","",IF($S509="S",IF(""="","",""),IF(INDEX('AFA Rates'!$D$5:$D$1004,$T509)="","",INDEX('AFA Rates'!$D$5:$D$1004,$T509))))</f>
        <v/>
      </c>
      <c r="F509" s="79">
        <f>IF($T509="","",IF($S509="S",IF(INDEX(Firms!$O$5:$O$1004,$T509)="","",INDEX(Firms!$O$5:$O$1004,$T509)),IF(INDEX('AFA Rates'!$O$5:$O$1004,$T509)="","",INDEX('AFA Rates'!$O$5:$O$1004,$T509))))</f>
        <v/>
      </c>
      <c r="G509" s="50">
        <f>IF($T509="","",IF($S509="S",IF(INDEX(Firms!$F$5:$F$1004,$T509)="","",INDEX(Firms!$F$5:$F$1004,$T509)),IF(INDEX('AFA Rates'!$E$5:$E$1004,$T509)="","",INDEX('AFA Rates'!$E$5:$E$1004,$T509))))</f>
        <v/>
      </c>
      <c r="H509" s="50">
        <f>IF($T509="","",IF($S509="S",IF(INDEX(Firms!$G$5:$G$1004,$T509)="","",INDEX(Firms!$G$5:$G$1004,$T509)),IF(INDEX('AFA Rates'!$F$5:$F$1004,$T509)="","",INDEX('AFA Rates'!$F$5:$F$1004,$T509))))</f>
        <v/>
      </c>
      <c r="I509" s="50">
        <f>IF($T509="","",IF($S509="S",IF(INDEX(Firms!$H$5:$H$1004,$T509)="","",INDEX(Firms!$H$5:$H$1004,$T509)),IF(INDEX('AFA Rates'!$G$5:$G$1004,$T509)="","",INDEX('AFA Rates'!$G$5:$G$1004,$T509))))</f>
        <v/>
      </c>
      <c r="J509" s="50">
        <f>IF($T509="","",IF($S509="S",IF(INDEX(Firms!$I$5:$I$1004,$T509)="","",INDEX(Firms!$I$5:$I$1004,$T509)),IF(INDEX('AFA Rates'!$H$5:$H$1004,$T509)="","",INDEX('AFA Rates'!$H$5:$H$1004,$T509))))</f>
        <v/>
      </c>
      <c r="K509" s="50">
        <f>IF($T509="","",IF($S509="S",IF(INDEX(Firms!$J$5:$J$1004,$T509)="","",INDEX(Firms!$J$5:$J$1004,$T509)),IF(INDEX('AFA Rates'!$I$5:$I$1004,$T509)="","",INDEX('AFA Rates'!$I$5:$I$1004,$T509))))</f>
        <v/>
      </c>
      <c r="L509" s="50">
        <f>IF($T509="","",IF($S509="S",IF(INDEX(Firms!$K$5:$K$1004,$T509)="","",INDEX(Firms!$K$5:$K$1004,$T509)),IF(INDEX('AFA Rates'!$J$5:$J$1004,$T509)="","",INDEX('AFA Rates'!$J$5:$J$1004,$T509))))</f>
        <v/>
      </c>
      <c r="M509" s="50">
        <f>IF($T509="","",IF($S509="S",IF(INDEX(Firms!$L$5:$L$1004,$T509)="","",INDEX(Firms!$L$5:$L$1004,$T509)),IF(INDEX('AFA Rates'!$K$5:$K$1004,$T509)="","",INDEX('AFA Rates'!$K$5:$K$1004,$T509))))</f>
        <v/>
      </c>
      <c r="N509" s="50">
        <f>IF($T509="","",IF($S509="S",IF(INDEX(Firms!$M$5:$M$1004,$T509)="","",INDEX(Firms!$M$5:$M$1004,$T509)),IF(INDEX('AFA Rates'!$L$5:$L$1004,$T509)="","",INDEX('AFA Rates'!$L$5:$L$1004,$T509))))</f>
        <v/>
      </c>
      <c r="O509" s="78">
        <f>IF(OR($T509="",$U509=""),"",IF(INDEX(Firms!$C$5:$C$1004,$U509)="","",INDEX(Firms!$C$5:$C$1004,$U509)))</f>
        <v/>
      </c>
      <c r="P509" s="79">
        <f>IF(OR($T509="",$U509=""),"",IF(INDEX(Firms!$N$5:$N$1004,$U509)="","",INDEX(Firms!$N$5:$N$1004,$U509)))</f>
        <v/>
      </c>
      <c r="Q509" s="78">
        <f>IF($T509="","",IF($S509="S",IF(INDEX(Firms!$T$5:$T$1004,$T509)="","",INDEX(Firms!$T$5:$T$1004,$T509)),IF(INDEX('AFA Rates'!$M$5:$M$1004,$T509)="","",INDEX('AFA Rates'!$M$5:$M$1004,$T509))))</f>
        <v/>
      </c>
      <c r="S509">
        <f>IF(505&lt;=$S$2,"S",IF(505&lt;=$S$2+$T$2,"A",""))</f>
        <v/>
      </c>
      <c r="T509">
        <f>IF(S509="S",MATCH(505,Firms!$W$5:$W$1004,0),IF(S509="A",IFERROR(MATCH(505-$S$2,'AFA Rates'!$R$5:$R$1004,0),""),""))</f>
        <v/>
      </c>
      <c r="U509">
        <f>IF(S509="S",T509,IF(AND(S509="A",T509&lt;&gt;""),IFERROR(MATCH(INDEX('AFA Rates'!$A$5:$A$1004,T509),Firms!$A$5:$A$1004,0),""),""))</f>
        <v/>
      </c>
    </row>
    <row r="510">
      <c r="A510" s="78">
        <f>IF($T510="","",IF($S510="S",IF(INDEX(Firms!$A$5:$A$1004,$T510)="","",INDEX(Firms!$A$5:$A$1004,$T510)),IF(INDEX('AFA Rates'!$A$5:$A$1004,$T510)="","",INDEX('AFA Rates'!$A$5:$A$1004,$T510))))</f>
        <v/>
      </c>
      <c r="B510" s="79">
        <f>IF(OR($T510="",$U510=""),IF($T510="","","Not on Firms tab"),INDEX(Firms!$B$5:$B$1004,$U510)&amp;"")</f>
        <v/>
      </c>
      <c r="C510" s="78">
        <f>IF($T510="","",IF($S510="S","Standard",INDEX('AFA Rates'!$B$5:$B$1004,$T510)&amp;""))</f>
        <v/>
      </c>
      <c r="D510" s="88">
        <f>IF($T510="","",IF($S510="S",IF(INDEX(Firms!$E$5:$E$1004,$T510)="","",INDEX(Firms!$E$5:$E$1004,$T510)),IF(INDEX('AFA Rates'!$C$5:$C$1004,$T510)="","",INDEX('AFA Rates'!$C$5:$C$1004,$T510))))</f>
        <v/>
      </c>
      <c r="E510" s="88">
        <f>IF($T510="","",IF($S510="S",IF(""="","",""),IF(INDEX('AFA Rates'!$D$5:$D$1004,$T510)="","",INDEX('AFA Rates'!$D$5:$D$1004,$T510))))</f>
        <v/>
      </c>
      <c r="F510" s="79">
        <f>IF($T510="","",IF($S510="S",IF(INDEX(Firms!$O$5:$O$1004,$T510)="","",INDEX(Firms!$O$5:$O$1004,$T510)),IF(INDEX('AFA Rates'!$O$5:$O$1004,$T510)="","",INDEX('AFA Rates'!$O$5:$O$1004,$T510))))</f>
        <v/>
      </c>
      <c r="G510" s="50">
        <f>IF($T510="","",IF($S510="S",IF(INDEX(Firms!$F$5:$F$1004,$T510)="","",INDEX(Firms!$F$5:$F$1004,$T510)),IF(INDEX('AFA Rates'!$E$5:$E$1004,$T510)="","",INDEX('AFA Rates'!$E$5:$E$1004,$T510))))</f>
        <v/>
      </c>
      <c r="H510" s="50">
        <f>IF($T510="","",IF($S510="S",IF(INDEX(Firms!$G$5:$G$1004,$T510)="","",INDEX(Firms!$G$5:$G$1004,$T510)),IF(INDEX('AFA Rates'!$F$5:$F$1004,$T510)="","",INDEX('AFA Rates'!$F$5:$F$1004,$T510))))</f>
        <v/>
      </c>
      <c r="I510" s="50">
        <f>IF($T510="","",IF($S510="S",IF(INDEX(Firms!$H$5:$H$1004,$T510)="","",INDEX(Firms!$H$5:$H$1004,$T510)),IF(INDEX('AFA Rates'!$G$5:$G$1004,$T510)="","",INDEX('AFA Rates'!$G$5:$G$1004,$T510))))</f>
        <v/>
      </c>
      <c r="J510" s="50">
        <f>IF($T510="","",IF($S510="S",IF(INDEX(Firms!$I$5:$I$1004,$T510)="","",INDEX(Firms!$I$5:$I$1004,$T510)),IF(INDEX('AFA Rates'!$H$5:$H$1004,$T510)="","",INDEX('AFA Rates'!$H$5:$H$1004,$T510))))</f>
        <v/>
      </c>
      <c r="K510" s="50">
        <f>IF($T510="","",IF($S510="S",IF(INDEX(Firms!$J$5:$J$1004,$T510)="","",INDEX(Firms!$J$5:$J$1004,$T510)),IF(INDEX('AFA Rates'!$I$5:$I$1004,$T510)="","",INDEX('AFA Rates'!$I$5:$I$1004,$T510))))</f>
        <v/>
      </c>
      <c r="L510" s="50">
        <f>IF($T510="","",IF($S510="S",IF(INDEX(Firms!$K$5:$K$1004,$T510)="","",INDEX(Firms!$K$5:$K$1004,$T510)),IF(INDEX('AFA Rates'!$J$5:$J$1004,$T510)="","",INDEX('AFA Rates'!$J$5:$J$1004,$T510))))</f>
        <v/>
      </c>
      <c r="M510" s="50">
        <f>IF($T510="","",IF($S510="S",IF(INDEX(Firms!$L$5:$L$1004,$T510)="","",INDEX(Firms!$L$5:$L$1004,$T510)),IF(INDEX('AFA Rates'!$K$5:$K$1004,$T510)="","",INDEX('AFA Rates'!$K$5:$K$1004,$T510))))</f>
        <v/>
      </c>
      <c r="N510" s="50">
        <f>IF($T510="","",IF($S510="S",IF(INDEX(Firms!$M$5:$M$1004,$T510)="","",INDEX(Firms!$M$5:$M$1004,$T510)),IF(INDEX('AFA Rates'!$L$5:$L$1004,$T510)="","",INDEX('AFA Rates'!$L$5:$L$1004,$T510))))</f>
        <v/>
      </c>
      <c r="O510" s="78">
        <f>IF(OR($T510="",$U510=""),"",IF(INDEX(Firms!$C$5:$C$1004,$U510)="","",INDEX(Firms!$C$5:$C$1004,$U510)))</f>
        <v/>
      </c>
      <c r="P510" s="79">
        <f>IF(OR($T510="",$U510=""),"",IF(INDEX(Firms!$N$5:$N$1004,$U510)="","",INDEX(Firms!$N$5:$N$1004,$U510)))</f>
        <v/>
      </c>
      <c r="Q510" s="78">
        <f>IF($T510="","",IF($S510="S",IF(INDEX(Firms!$T$5:$T$1004,$T510)="","",INDEX(Firms!$T$5:$T$1004,$T510)),IF(INDEX('AFA Rates'!$M$5:$M$1004,$T510)="","",INDEX('AFA Rates'!$M$5:$M$1004,$T510))))</f>
        <v/>
      </c>
      <c r="S510">
        <f>IF(506&lt;=$S$2,"S",IF(506&lt;=$S$2+$T$2,"A",""))</f>
        <v/>
      </c>
      <c r="T510">
        <f>IF(S510="S",MATCH(506,Firms!$W$5:$W$1004,0),IF(S510="A",IFERROR(MATCH(506-$S$2,'AFA Rates'!$R$5:$R$1004,0),""),""))</f>
        <v/>
      </c>
      <c r="U510">
        <f>IF(S510="S",T510,IF(AND(S510="A",T510&lt;&gt;""),IFERROR(MATCH(INDEX('AFA Rates'!$A$5:$A$1004,T510),Firms!$A$5:$A$1004,0),""),""))</f>
        <v/>
      </c>
    </row>
    <row r="511">
      <c r="A511" s="78">
        <f>IF($T511="","",IF($S511="S",IF(INDEX(Firms!$A$5:$A$1004,$T511)="","",INDEX(Firms!$A$5:$A$1004,$T511)),IF(INDEX('AFA Rates'!$A$5:$A$1004,$T511)="","",INDEX('AFA Rates'!$A$5:$A$1004,$T511))))</f>
        <v/>
      </c>
      <c r="B511" s="79">
        <f>IF(OR($T511="",$U511=""),IF($T511="","","Not on Firms tab"),INDEX(Firms!$B$5:$B$1004,$U511)&amp;"")</f>
        <v/>
      </c>
      <c r="C511" s="78">
        <f>IF($T511="","",IF($S511="S","Standard",INDEX('AFA Rates'!$B$5:$B$1004,$T511)&amp;""))</f>
        <v/>
      </c>
      <c r="D511" s="88">
        <f>IF($T511="","",IF($S511="S",IF(INDEX(Firms!$E$5:$E$1004,$T511)="","",INDEX(Firms!$E$5:$E$1004,$T511)),IF(INDEX('AFA Rates'!$C$5:$C$1004,$T511)="","",INDEX('AFA Rates'!$C$5:$C$1004,$T511))))</f>
        <v/>
      </c>
      <c r="E511" s="88">
        <f>IF($T511="","",IF($S511="S",IF(""="","",""),IF(INDEX('AFA Rates'!$D$5:$D$1004,$T511)="","",INDEX('AFA Rates'!$D$5:$D$1004,$T511))))</f>
        <v/>
      </c>
      <c r="F511" s="79">
        <f>IF($T511="","",IF($S511="S",IF(INDEX(Firms!$O$5:$O$1004,$T511)="","",INDEX(Firms!$O$5:$O$1004,$T511)),IF(INDEX('AFA Rates'!$O$5:$O$1004,$T511)="","",INDEX('AFA Rates'!$O$5:$O$1004,$T511))))</f>
        <v/>
      </c>
      <c r="G511" s="50">
        <f>IF($T511="","",IF($S511="S",IF(INDEX(Firms!$F$5:$F$1004,$T511)="","",INDEX(Firms!$F$5:$F$1004,$T511)),IF(INDEX('AFA Rates'!$E$5:$E$1004,$T511)="","",INDEX('AFA Rates'!$E$5:$E$1004,$T511))))</f>
        <v/>
      </c>
      <c r="H511" s="50">
        <f>IF($T511="","",IF($S511="S",IF(INDEX(Firms!$G$5:$G$1004,$T511)="","",INDEX(Firms!$G$5:$G$1004,$T511)),IF(INDEX('AFA Rates'!$F$5:$F$1004,$T511)="","",INDEX('AFA Rates'!$F$5:$F$1004,$T511))))</f>
        <v/>
      </c>
      <c r="I511" s="50">
        <f>IF($T511="","",IF($S511="S",IF(INDEX(Firms!$H$5:$H$1004,$T511)="","",INDEX(Firms!$H$5:$H$1004,$T511)),IF(INDEX('AFA Rates'!$G$5:$G$1004,$T511)="","",INDEX('AFA Rates'!$G$5:$G$1004,$T511))))</f>
        <v/>
      </c>
      <c r="J511" s="50">
        <f>IF($T511="","",IF($S511="S",IF(INDEX(Firms!$I$5:$I$1004,$T511)="","",INDEX(Firms!$I$5:$I$1004,$T511)),IF(INDEX('AFA Rates'!$H$5:$H$1004,$T511)="","",INDEX('AFA Rates'!$H$5:$H$1004,$T511))))</f>
        <v/>
      </c>
      <c r="K511" s="50">
        <f>IF($T511="","",IF($S511="S",IF(INDEX(Firms!$J$5:$J$1004,$T511)="","",INDEX(Firms!$J$5:$J$1004,$T511)),IF(INDEX('AFA Rates'!$I$5:$I$1004,$T511)="","",INDEX('AFA Rates'!$I$5:$I$1004,$T511))))</f>
        <v/>
      </c>
      <c r="L511" s="50">
        <f>IF($T511="","",IF($S511="S",IF(INDEX(Firms!$K$5:$K$1004,$T511)="","",INDEX(Firms!$K$5:$K$1004,$T511)),IF(INDEX('AFA Rates'!$J$5:$J$1004,$T511)="","",INDEX('AFA Rates'!$J$5:$J$1004,$T511))))</f>
        <v/>
      </c>
      <c r="M511" s="50">
        <f>IF($T511="","",IF($S511="S",IF(INDEX(Firms!$L$5:$L$1004,$T511)="","",INDEX(Firms!$L$5:$L$1004,$T511)),IF(INDEX('AFA Rates'!$K$5:$K$1004,$T511)="","",INDEX('AFA Rates'!$K$5:$K$1004,$T511))))</f>
        <v/>
      </c>
      <c r="N511" s="50">
        <f>IF($T511="","",IF($S511="S",IF(INDEX(Firms!$M$5:$M$1004,$T511)="","",INDEX(Firms!$M$5:$M$1004,$T511)),IF(INDEX('AFA Rates'!$L$5:$L$1004,$T511)="","",INDEX('AFA Rates'!$L$5:$L$1004,$T511))))</f>
        <v/>
      </c>
      <c r="O511" s="78">
        <f>IF(OR($T511="",$U511=""),"",IF(INDEX(Firms!$C$5:$C$1004,$U511)="","",INDEX(Firms!$C$5:$C$1004,$U511)))</f>
        <v/>
      </c>
      <c r="P511" s="79">
        <f>IF(OR($T511="",$U511=""),"",IF(INDEX(Firms!$N$5:$N$1004,$U511)="","",INDEX(Firms!$N$5:$N$1004,$U511)))</f>
        <v/>
      </c>
      <c r="Q511" s="78">
        <f>IF($T511="","",IF($S511="S",IF(INDEX(Firms!$T$5:$T$1004,$T511)="","",INDEX(Firms!$T$5:$T$1004,$T511)),IF(INDEX('AFA Rates'!$M$5:$M$1004,$T511)="","",INDEX('AFA Rates'!$M$5:$M$1004,$T511))))</f>
        <v/>
      </c>
      <c r="S511">
        <f>IF(507&lt;=$S$2,"S",IF(507&lt;=$S$2+$T$2,"A",""))</f>
        <v/>
      </c>
      <c r="T511">
        <f>IF(S511="S",MATCH(507,Firms!$W$5:$W$1004,0),IF(S511="A",IFERROR(MATCH(507-$S$2,'AFA Rates'!$R$5:$R$1004,0),""),""))</f>
        <v/>
      </c>
      <c r="U511">
        <f>IF(S511="S",T511,IF(AND(S511="A",T511&lt;&gt;""),IFERROR(MATCH(INDEX('AFA Rates'!$A$5:$A$1004,T511),Firms!$A$5:$A$1004,0),""),""))</f>
        <v/>
      </c>
    </row>
    <row r="512">
      <c r="A512" s="78">
        <f>IF($T512="","",IF($S512="S",IF(INDEX(Firms!$A$5:$A$1004,$T512)="","",INDEX(Firms!$A$5:$A$1004,$T512)),IF(INDEX('AFA Rates'!$A$5:$A$1004,$T512)="","",INDEX('AFA Rates'!$A$5:$A$1004,$T512))))</f>
        <v/>
      </c>
      <c r="B512" s="79">
        <f>IF(OR($T512="",$U512=""),IF($T512="","","Not on Firms tab"),INDEX(Firms!$B$5:$B$1004,$U512)&amp;"")</f>
        <v/>
      </c>
      <c r="C512" s="78">
        <f>IF($T512="","",IF($S512="S","Standard",INDEX('AFA Rates'!$B$5:$B$1004,$T512)&amp;""))</f>
        <v/>
      </c>
      <c r="D512" s="88">
        <f>IF($T512="","",IF($S512="S",IF(INDEX(Firms!$E$5:$E$1004,$T512)="","",INDEX(Firms!$E$5:$E$1004,$T512)),IF(INDEX('AFA Rates'!$C$5:$C$1004,$T512)="","",INDEX('AFA Rates'!$C$5:$C$1004,$T512))))</f>
        <v/>
      </c>
      <c r="E512" s="88">
        <f>IF($T512="","",IF($S512="S",IF(""="","",""),IF(INDEX('AFA Rates'!$D$5:$D$1004,$T512)="","",INDEX('AFA Rates'!$D$5:$D$1004,$T512))))</f>
        <v/>
      </c>
      <c r="F512" s="79">
        <f>IF($T512="","",IF($S512="S",IF(INDEX(Firms!$O$5:$O$1004,$T512)="","",INDEX(Firms!$O$5:$O$1004,$T512)),IF(INDEX('AFA Rates'!$O$5:$O$1004,$T512)="","",INDEX('AFA Rates'!$O$5:$O$1004,$T512))))</f>
        <v/>
      </c>
      <c r="G512" s="50">
        <f>IF($T512="","",IF($S512="S",IF(INDEX(Firms!$F$5:$F$1004,$T512)="","",INDEX(Firms!$F$5:$F$1004,$T512)),IF(INDEX('AFA Rates'!$E$5:$E$1004,$T512)="","",INDEX('AFA Rates'!$E$5:$E$1004,$T512))))</f>
        <v/>
      </c>
      <c r="H512" s="50">
        <f>IF($T512="","",IF($S512="S",IF(INDEX(Firms!$G$5:$G$1004,$T512)="","",INDEX(Firms!$G$5:$G$1004,$T512)),IF(INDEX('AFA Rates'!$F$5:$F$1004,$T512)="","",INDEX('AFA Rates'!$F$5:$F$1004,$T512))))</f>
        <v/>
      </c>
      <c r="I512" s="50">
        <f>IF($T512="","",IF($S512="S",IF(INDEX(Firms!$H$5:$H$1004,$T512)="","",INDEX(Firms!$H$5:$H$1004,$T512)),IF(INDEX('AFA Rates'!$G$5:$G$1004,$T512)="","",INDEX('AFA Rates'!$G$5:$G$1004,$T512))))</f>
        <v/>
      </c>
      <c r="J512" s="50">
        <f>IF($T512="","",IF($S512="S",IF(INDEX(Firms!$I$5:$I$1004,$T512)="","",INDEX(Firms!$I$5:$I$1004,$T512)),IF(INDEX('AFA Rates'!$H$5:$H$1004,$T512)="","",INDEX('AFA Rates'!$H$5:$H$1004,$T512))))</f>
        <v/>
      </c>
      <c r="K512" s="50">
        <f>IF($T512="","",IF($S512="S",IF(INDEX(Firms!$J$5:$J$1004,$T512)="","",INDEX(Firms!$J$5:$J$1004,$T512)),IF(INDEX('AFA Rates'!$I$5:$I$1004,$T512)="","",INDEX('AFA Rates'!$I$5:$I$1004,$T512))))</f>
        <v/>
      </c>
      <c r="L512" s="50">
        <f>IF($T512="","",IF($S512="S",IF(INDEX(Firms!$K$5:$K$1004,$T512)="","",INDEX(Firms!$K$5:$K$1004,$T512)),IF(INDEX('AFA Rates'!$J$5:$J$1004,$T512)="","",INDEX('AFA Rates'!$J$5:$J$1004,$T512))))</f>
        <v/>
      </c>
      <c r="M512" s="50">
        <f>IF($T512="","",IF($S512="S",IF(INDEX(Firms!$L$5:$L$1004,$T512)="","",INDEX(Firms!$L$5:$L$1004,$T512)),IF(INDEX('AFA Rates'!$K$5:$K$1004,$T512)="","",INDEX('AFA Rates'!$K$5:$K$1004,$T512))))</f>
        <v/>
      </c>
      <c r="N512" s="50">
        <f>IF($T512="","",IF($S512="S",IF(INDEX(Firms!$M$5:$M$1004,$T512)="","",INDEX(Firms!$M$5:$M$1004,$T512)),IF(INDEX('AFA Rates'!$L$5:$L$1004,$T512)="","",INDEX('AFA Rates'!$L$5:$L$1004,$T512))))</f>
        <v/>
      </c>
      <c r="O512" s="78">
        <f>IF(OR($T512="",$U512=""),"",IF(INDEX(Firms!$C$5:$C$1004,$U512)="","",INDEX(Firms!$C$5:$C$1004,$U512)))</f>
        <v/>
      </c>
      <c r="P512" s="79">
        <f>IF(OR($T512="",$U512=""),"",IF(INDEX(Firms!$N$5:$N$1004,$U512)="","",INDEX(Firms!$N$5:$N$1004,$U512)))</f>
        <v/>
      </c>
      <c r="Q512" s="78">
        <f>IF($T512="","",IF($S512="S",IF(INDEX(Firms!$T$5:$T$1004,$T512)="","",INDEX(Firms!$T$5:$T$1004,$T512)),IF(INDEX('AFA Rates'!$M$5:$M$1004,$T512)="","",INDEX('AFA Rates'!$M$5:$M$1004,$T512))))</f>
        <v/>
      </c>
      <c r="S512">
        <f>IF(508&lt;=$S$2,"S",IF(508&lt;=$S$2+$T$2,"A",""))</f>
        <v/>
      </c>
      <c r="T512">
        <f>IF(S512="S",MATCH(508,Firms!$W$5:$W$1004,0),IF(S512="A",IFERROR(MATCH(508-$S$2,'AFA Rates'!$R$5:$R$1004,0),""),""))</f>
        <v/>
      </c>
      <c r="U512">
        <f>IF(S512="S",T512,IF(AND(S512="A",T512&lt;&gt;""),IFERROR(MATCH(INDEX('AFA Rates'!$A$5:$A$1004,T512),Firms!$A$5:$A$1004,0),""),""))</f>
        <v/>
      </c>
    </row>
    <row r="513">
      <c r="A513" s="78">
        <f>IF($T513="","",IF($S513="S",IF(INDEX(Firms!$A$5:$A$1004,$T513)="","",INDEX(Firms!$A$5:$A$1004,$T513)),IF(INDEX('AFA Rates'!$A$5:$A$1004,$T513)="","",INDEX('AFA Rates'!$A$5:$A$1004,$T513))))</f>
        <v/>
      </c>
      <c r="B513" s="79">
        <f>IF(OR($T513="",$U513=""),IF($T513="","","Not on Firms tab"),INDEX(Firms!$B$5:$B$1004,$U513)&amp;"")</f>
        <v/>
      </c>
      <c r="C513" s="78">
        <f>IF($T513="","",IF($S513="S","Standard",INDEX('AFA Rates'!$B$5:$B$1004,$T513)&amp;""))</f>
        <v/>
      </c>
      <c r="D513" s="88">
        <f>IF($T513="","",IF($S513="S",IF(INDEX(Firms!$E$5:$E$1004,$T513)="","",INDEX(Firms!$E$5:$E$1004,$T513)),IF(INDEX('AFA Rates'!$C$5:$C$1004,$T513)="","",INDEX('AFA Rates'!$C$5:$C$1004,$T513))))</f>
        <v/>
      </c>
      <c r="E513" s="88">
        <f>IF($T513="","",IF($S513="S",IF(""="","",""),IF(INDEX('AFA Rates'!$D$5:$D$1004,$T513)="","",INDEX('AFA Rates'!$D$5:$D$1004,$T513))))</f>
        <v/>
      </c>
      <c r="F513" s="79">
        <f>IF($T513="","",IF($S513="S",IF(INDEX(Firms!$O$5:$O$1004,$T513)="","",INDEX(Firms!$O$5:$O$1004,$T513)),IF(INDEX('AFA Rates'!$O$5:$O$1004,$T513)="","",INDEX('AFA Rates'!$O$5:$O$1004,$T513))))</f>
        <v/>
      </c>
      <c r="G513" s="50">
        <f>IF($T513="","",IF($S513="S",IF(INDEX(Firms!$F$5:$F$1004,$T513)="","",INDEX(Firms!$F$5:$F$1004,$T513)),IF(INDEX('AFA Rates'!$E$5:$E$1004,$T513)="","",INDEX('AFA Rates'!$E$5:$E$1004,$T513))))</f>
        <v/>
      </c>
      <c r="H513" s="50">
        <f>IF($T513="","",IF($S513="S",IF(INDEX(Firms!$G$5:$G$1004,$T513)="","",INDEX(Firms!$G$5:$G$1004,$T513)),IF(INDEX('AFA Rates'!$F$5:$F$1004,$T513)="","",INDEX('AFA Rates'!$F$5:$F$1004,$T513))))</f>
        <v/>
      </c>
      <c r="I513" s="50">
        <f>IF($T513="","",IF($S513="S",IF(INDEX(Firms!$H$5:$H$1004,$T513)="","",INDEX(Firms!$H$5:$H$1004,$T513)),IF(INDEX('AFA Rates'!$G$5:$G$1004,$T513)="","",INDEX('AFA Rates'!$G$5:$G$1004,$T513))))</f>
        <v/>
      </c>
      <c r="J513" s="50">
        <f>IF($T513="","",IF($S513="S",IF(INDEX(Firms!$I$5:$I$1004,$T513)="","",INDEX(Firms!$I$5:$I$1004,$T513)),IF(INDEX('AFA Rates'!$H$5:$H$1004,$T513)="","",INDEX('AFA Rates'!$H$5:$H$1004,$T513))))</f>
        <v/>
      </c>
      <c r="K513" s="50">
        <f>IF($T513="","",IF($S513="S",IF(INDEX(Firms!$J$5:$J$1004,$T513)="","",INDEX(Firms!$J$5:$J$1004,$T513)),IF(INDEX('AFA Rates'!$I$5:$I$1004,$T513)="","",INDEX('AFA Rates'!$I$5:$I$1004,$T513))))</f>
        <v/>
      </c>
      <c r="L513" s="50">
        <f>IF($T513="","",IF($S513="S",IF(INDEX(Firms!$K$5:$K$1004,$T513)="","",INDEX(Firms!$K$5:$K$1004,$T513)),IF(INDEX('AFA Rates'!$J$5:$J$1004,$T513)="","",INDEX('AFA Rates'!$J$5:$J$1004,$T513))))</f>
        <v/>
      </c>
      <c r="M513" s="50">
        <f>IF($T513="","",IF($S513="S",IF(INDEX(Firms!$L$5:$L$1004,$T513)="","",INDEX(Firms!$L$5:$L$1004,$T513)),IF(INDEX('AFA Rates'!$K$5:$K$1004,$T513)="","",INDEX('AFA Rates'!$K$5:$K$1004,$T513))))</f>
        <v/>
      </c>
      <c r="N513" s="50">
        <f>IF($T513="","",IF($S513="S",IF(INDEX(Firms!$M$5:$M$1004,$T513)="","",INDEX(Firms!$M$5:$M$1004,$T513)),IF(INDEX('AFA Rates'!$L$5:$L$1004,$T513)="","",INDEX('AFA Rates'!$L$5:$L$1004,$T513))))</f>
        <v/>
      </c>
      <c r="O513" s="78">
        <f>IF(OR($T513="",$U513=""),"",IF(INDEX(Firms!$C$5:$C$1004,$U513)="","",INDEX(Firms!$C$5:$C$1004,$U513)))</f>
        <v/>
      </c>
      <c r="P513" s="79">
        <f>IF(OR($T513="",$U513=""),"",IF(INDEX(Firms!$N$5:$N$1004,$U513)="","",INDEX(Firms!$N$5:$N$1004,$U513)))</f>
        <v/>
      </c>
      <c r="Q513" s="78">
        <f>IF($T513="","",IF($S513="S",IF(INDEX(Firms!$T$5:$T$1004,$T513)="","",INDEX(Firms!$T$5:$T$1004,$T513)),IF(INDEX('AFA Rates'!$M$5:$M$1004,$T513)="","",INDEX('AFA Rates'!$M$5:$M$1004,$T513))))</f>
        <v/>
      </c>
      <c r="S513">
        <f>IF(509&lt;=$S$2,"S",IF(509&lt;=$S$2+$T$2,"A",""))</f>
        <v/>
      </c>
      <c r="T513">
        <f>IF(S513="S",MATCH(509,Firms!$W$5:$W$1004,0),IF(S513="A",IFERROR(MATCH(509-$S$2,'AFA Rates'!$R$5:$R$1004,0),""),""))</f>
        <v/>
      </c>
      <c r="U513">
        <f>IF(S513="S",T513,IF(AND(S513="A",T513&lt;&gt;""),IFERROR(MATCH(INDEX('AFA Rates'!$A$5:$A$1004,T513),Firms!$A$5:$A$1004,0),""),""))</f>
        <v/>
      </c>
    </row>
    <row r="514">
      <c r="A514" s="78">
        <f>IF($T514="","",IF($S514="S",IF(INDEX(Firms!$A$5:$A$1004,$T514)="","",INDEX(Firms!$A$5:$A$1004,$T514)),IF(INDEX('AFA Rates'!$A$5:$A$1004,$T514)="","",INDEX('AFA Rates'!$A$5:$A$1004,$T514))))</f>
        <v/>
      </c>
      <c r="B514" s="79">
        <f>IF(OR($T514="",$U514=""),IF($T514="","","Not on Firms tab"),INDEX(Firms!$B$5:$B$1004,$U514)&amp;"")</f>
        <v/>
      </c>
      <c r="C514" s="78">
        <f>IF($T514="","",IF($S514="S","Standard",INDEX('AFA Rates'!$B$5:$B$1004,$T514)&amp;""))</f>
        <v/>
      </c>
      <c r="D514" s="88">
        <f>IF($T514="","",IF($S514="S",IF(INDEX(Firms!$E$5:$E$1004,$T514)="","",INDEX(Firms!$E$5:$E$1004,$T514)),IF(INDEX('AFA Rates'!$C$5:$C$1004,$T514)="","",INDEX('AFA Rates'!$C$5:$C$1004,$T514))))</f>
        <v/>
      </c>
      <c r="E514" s="88">
        <f>IF($T514="","",IF($S514="S",IF(""="","",""),IF(INDEX('AFA Rates'!$D$5:$D$1004,$T514)="","",INDEX('AFA Rates'!$D$5:$D$1004,$T514))))</f>
        <v/>
      </c>
      <c r="F514" s="79">
        <f>IF($T514="","",IF($S514="S",IF(INDEX(Firms!$O$5:$O$1004,$T514)="","",INDEX(Firms!$O$5:$O$1004,$T514)),IF(INDEX('AFA Rates'!$O$5:$O$1004,$T514)="","",INDEX('AFA Rates'!$O$5:$O$1004,$T514))))</f>
        <v/>
      </c>
      <c r="G514" s="50">
        <f>IF($T514="","",IF($S514="S",IF(INDEX(Firms!$F$5:$F$1004,$T514)="","",INDEX(Firms!$F$5:$F$1004,$T514)),IF(INDEX('AFA Rates'!$E$5:$E$1004,$T514)="","",INDEX('AFA Rates'!$E$5:$E$1004,$T514))))</f>
        <v/>
      </c>
      <c r="H514" s="50">
        <f>IF($T514="","",IF($S514="S",IF(INDEX(Firms!$G$5:$G$1004,$T514)="","",INDEX(Firms!$G$5:$G$1004,$T514)),IF(INDEX('AFA Rates'!$F$5:$F$1004,$T514)="","",INDEX('AFA Rates'!$F$5:$F$1004,$T514))))</f>
        <v/>
      </c>
      <c r="I514" s="50">
        <f>IF($T514="","",IF($S514="S",IF(INDEX(Firms!$H$5:$H$1004,$T514)="","",INDEX(Firms!$H$5:$H$1004,$T514)),IF(INDEX('AFA Rates'!$G$5:$G$1004,$T514)="","",INDEX('AFA Rates'!$G$5:$G$1004,$T514))))</f>
        <v/>
      </c>
      <c r="J514" s="50">
        <f>IF($T514="","",IF($S514="S",IF(INDEX(Firms!$I$5:$I$1004,$T514)="","",INDEX(Firms!$I$5:$I$1004,$T514)),IF(INDEX('AFA Rates'!$H$5:$H$1004,$T514)="","",INDEX('AFA Rates'!$H$5:$H$1004,$T514))))</f>
        <v/>
      </c>
      <c r="K514" s="50">
        <f>IF($T514="","",IF($S514="S",IF(INDEX(Firms!$J$5:$J$1004,$T514)="","",INDEX(Firms!$J$5:$J$1004,$T514)),IF(INDEX('AFA Rates'!$I$5:$I$1004,$T514)="","",INDEX('AFA Rates'!$I$5:$I$1004,$T514))))</f>
        <v/>
      </c>
      <c r="L514" s="50">
        <f>IF($T514="","",IF($S514="S",IF(INDEX(Firms!$K$5:$K$1004,$T514)="","",INDEX(Firms!$K$5:$K$1004,$T514)),IF(INDEX('AFA Rates'!$J$5:$J$1004,$T514)="","",INDEX('AFA Rates'!$J$5:$J$1004,$T514))))</f>
        <v/>
      </c>
      <c r="M514" s="50">
        <f>IF($T514="","",IF($S514="S",IF(INDEX(Firms!$L$5:$L$1004,$T514)="","",INDEX(Firms!$L$5:$L$1004,$T514)),IF(INDEX('AFA Rates'!$K$5:$K$1004,$T514)="","",INDEX('AFA Rates'!$K$5:$K$1004,$T514))))</f>
        <v/>
      </c>
      <c r="N514" s="50">
        <f>IF($T514="","",IF($S514="S",IF(INDEX(Firms!$M$5:$M$1004,$T514)="","",INDEX(Firms!$M$5:$M$1004,$T514)),IF(INDEX('AFA Rates'!$L$5:$L$1004,$T514)="","",INDEX('AFA Rates'!$L$5:$L$1004,$T514))))</f>
        <v/>
      </c>
      <c r="O514" s="78">
        <f>IF(OR($T514="",$U514=""),"",IF(INDEX(Firms!$C$5:$C$1004,$U514)="","",INDEX(Firms!$C$5:$C$1004,$U514)))</f>
        <v/>
      </c>
      <c r="P514" s="79">
        <f>IF(OR($T514="",$U514=""),"",IF(INDEX(Firms!$N$5:$N$1004,$U514)="","",INDEX(Firms!$N$5:$N$1004,$U514)))</f>
        <v/>
      </c>
      <c r="Q514" s="78">
        <f>IF($T514="","",IF($S514="S",IF(INDEX(Firms!$T$5:$T$1004,$T514)="","",INDEX(Firms!$T$5:$T$1004,$T514)),IF(INDEX('AFA Rates'!$M$5:$M$1004,$T514)="","",INDEX('AFA Rates'!$M$5:$M$1004,$T514))))</f>
        <v/>
      </c>
      <c r="S514">
        <f>IF(510&lt;=$S$2,"S",IF(510&lt;=$S$2+$T$2,"A",""))</f>
        <v/>
      </c>
      <c r="T514">
        <f>IF(S514="S",MATCH(510,Firms!$W$5:$W$1004,0),IF(S514="A",IFERROR(MATCH(510-$S$2,'AFA Rates'!$R$5:$R$1004,0),""),""))</f>
        <v/>
      </c>
      <c r="U514">
        <f>IF(S514="S",T514,IF(AND(S514="A",T514&lt;&gt;""),IFERROR(MATCH(INDEX('AFA Rates'!$A$5:$A$1004,T514),Firms!$A$5:$A$1004,0),""),""))</f>
        <v/>
      </c>
    </row>
    <row r="515">
      <c r="A515" s="78">
        <f>IF($T515="","",IF($S515="S",IF(INDEX(Firms!$A$5:$A$1004,$T515)="","",INDEX(Firms!$A$5:$A$1004,$T515)),IF(INDEX('AFA Rates'!$A$5:$A$1004,$T515)="","",INDEX('AFA Rates'!$A$5:$A$1004,$T515))))</f>
        <v/>
      </c>
      <c r="B515" s="79">
        <f>IF(OR($T515="",$U515=""),IF($T515="","","Not on Firms tab"),INDEX(Firms!$B$5:$B$1004,$U515)&amp;"")</f>
        <v/>
      </c>
      <c r="C515" s="78">
        <f>IF($T515="","",IF($S515="S","Standard",INDEX('AFA Rates'!$B$5:$B$1004,$T515)&amp;""))</f>
        <v/>
      </c>
      <c r="D515" s="88">
        <f>IF($T515="","",IF($S515="S",IF(INDEX(Firms!$E$5:$E$1004,$T515)="","",INDEX(Firms!$E$5:$E$1004,$T515)),IF(INDEX('AFA Rates'!$C$5:$C$1004,$T515)="","",INDEX('AFA Rates'!$C$5:$C$1004,$T515))))</f>
        <v/>
      </c>
      <c r="E515" s="88">
        <f>IF($T515="","",IF($S515="S",IF(""="","",""),IF(INDEX('AFA Rates'!$D$5:$D$1004,$T515)="","",INDEX('AFA Rates'!$D$5:$D$1004,$T515))))</f>
        <v/>
      </c>
      <c r="F515" s="79">
        <f>IF($T515="","",IF($S515="S",IF(INDEX(Firms!$O$5:$O$1004,$T515)="","",INDEX(Firms!$O$5:$O$1004,$T515)),IF(INDEX('AFA Rates'!$O$5:$O$1004,$T515)="","",INDEX('AFA Rates'!$O$5:$O$1004,$T515))))</f>
        <v/>
      </c>
      <c r="G515" s="50">
        <f>IF($T515="","",IF($S515="S",IF(INDEX(Firms!$F$5:$F$1004,$T515)="","",INDEX(Firms!$F$5:$F$1004,$T515)),IF(INDEX('AFA Rates'!$E$5:$E$1004,$T515)="","",INDEX('AFA Rates'!$E$5:$E$1004,$T515))))</f>
        <v/>
      </c>
      <c r="H515" s="50">
        <f>IF($T515="","",IF($S515="S",IF(INDEX(Firms!$G$5:$G$1004,$T515)="","",INDEX(Firms!$G$5:$G$1004,$T515)),IF(INDEX('AFA Rates'!$F$5:$F$1004,$T515)="","",INDEX('AFA Rates'!$F$5:$F$1004,$T515))))</f>
        <v/>
      </c>
      <c r="I515" s="50">
        <f>IF($T515="","",IF($S515="S",IF(INDEX(Firms!$H$5:$H$1004,$T515)="","",INDEX(Firms!$H$5:$H$1004,$T515)),IF(INDEX('AFA Rates'!$G$5:$G$1004,$T515)="","",INDEX('AFA Rates'!$G$5:$G$1004,$T515))))</f>
        <v/>
      </c>
      <c r="J515" s="50">
        <f>IF($T515="","",IF($S515="S",IF(INDEX(Firms!$I$5:$I$1004,$T515)="","",INDEX(Firms!$I$5:$I$1004,$T515)),IF(INDEX('AFA Rates'!$H$5:$H$1004,$T515)="","",INDEX('AFA Rates'!$H$5:$H$1004,$T515))))</f>
        <v/>
      </c>
      <c r="K515" s="50">
        <f>IF($T515="","",IF($S515="S",IF(INDEX(Firms!$J$5:$J$1004,$T515)="","",INDEX(Firms!$J$5:$J$1004,$T515)),IF(INDEX('AFA Rates'!$I$5:$I$1004,$T515)="","",INDEX('AFA Rates'!$I$5:$I$1004,$T515))))</f>
        <v/>
      </c>
      <c r="L515" s="50">
        <f>IF($T515="","",IF($S515="S",IF(INDEX(Firms!$K$5:$K$1004,$T515)="","",INDEX(Firms!$K$5:$K$1004,$T515)),IF(INDEX('AFA Rates'!$J$5:$J$1004,$T515)="","",INDEX('AFA Rates'!$J$5:$J$1004,$T515))))</f>
        <v/>
      </c>
      <c r="M515" s="50">
        <f>IF($T515="","",IF($S515="S",IF(INDEX(Firms!$L$5:$L$1004,$T515)="","",INDEX(Firms!$L$5:$L$1004,$T515)),IF(INDEX('AFA Rates'!$K$5:$K$1004,$T515)="","",INDEX('AFA Rates'!$K$5:$K$1004,$T515))))</f>
        <v/>
      </c>
      <c r="N515" s="50">
        <f>IF($T515="","",IF($S515="S",IF(INDEX(Firms!$M$5:$M$1004,$T515)="","",INDEX(Firms!$M$5:$M$1004,$T515)),IF(INDEX('AFA Rates'!$L$5:$L$1004,$T515)="","",INDEX('AFA Rates'!$L$5:$L$1004,$T515))))</f>
        <v/>
      </c>
      <c r="O515" s="78">
        <f>IF(OR($T515="",$U515=""),"",IF(INDEX(Firms!$C$5:$C$1004,$U515)="","",INDEX(Firms!$C$5:$C$1004,$U515)))</f>
        <v/>
      </c>
      <c r="P515" s="79">
        <f>IF(OR($T515="",$U515=""),"",IF(INDEX(Firms!$N$5:$N$1004,$U515)="","",INDEX(Firms!$N$5:$N$1004,$U515)))</f>
        <v/>
      </c>
      <c r="Q515" s="78">
        <f>IF($T515="","",IF($S515="S",IF(INDEX(Firms!$T$5:$T$1004,$T515)="","",INDEX(Firms!$T$5:$T$1004,$T515)),IF(INDEX('AFA Rates'!$M$5:$M$1004,$T515)="","",INDEX('AFA Rates'!$M$5:$M$1004,$T515))))</f>
        <v/>
      </c>
      <c r="S515">
        <f>IF(511&lt;=$S$2,"S",IF(511&lt;=$S$2+$T$2,"A",""))</f>
        <v/>
      </c>
      <c r="T515">
        <f>IF(S515="S",MATCH(511,Firms!$W$5:$W$1004,0),IF(S515="A",IFERROR(MATCH(511-$S$2,'AFA Rates'!$R$5:$R$1004,0),""),""))</f>
        <v/>
      </c>
      <c r="U515">
        <f>IF(S515="S",T515,IF(AND(S515="A",T515&lt;&gt;""),IFERROR(MATCH(INDEX('AFA Rates'!$A$5:$A$1004,T515),Firms!$A$5:$A$1004,0),""),""))</f>
        <v/>
      </c>
    </row>
    <row r="516">
      <c r="A516" s="78">
        <f>IF($T516="","",IF($S516="S",IF(INDEX(Firms!$A$5:$A$1004,$T516)="","",INDEX(Firms!$A$5:$A$1004,$T516)),IF(INDEX('AFA Rates'!$A$5:$A$1004,$T516)="","",INDEX('AFA Rates'!$A$5:$A$1004,$T516))))</f>
        <v/>
      </c>
      <c r="B516" s="79">
        <f>IF(OR($T516="",$U516=""),IF($T516="","","Not on Firms tab"),INDEX(Firms!$B$5:$B$1004,$U516)&amp;"")</f>
        <v/>
      </c>
      <c r="C516" s="78">
        <f>IF($T516="","",IF($S516="S","Standard",INDEX('AFA Rates'!$B$5:$B$1004,$T516)&amp;""))</f>
        <v/>
      </c>
      <c r="D516" s="88">
        <f>IF($T516="","",IF($S516="S",IF(INDEX(Firms!$E$5:$E$1004,$T516)="","",INDEX(Firms!$E$5:$E$1004,$T516)),IF(INDEX('AFA Rates'!$C$5:$C$1004,$T516)="","",INDEX('AFA Rates'!$C$5:$C$1004,$T516))))</f>
        <v/>
      </c>
      <c r="E516" s="88">
        <f>IF($T516="","",IF($S516="S",IF(""="","",""),IF(INDEX('AFA Rates'!$D$5:$D$1004,$T516)="","",INDEX('AFA Rates'!$D$5:$D$1004,$T516))))</f>
        <v/>
      </c>
      <c r="F516" s="79">
        <f>IF($T516="","",IF($S516="S",IF(INDEX(Firms!$O$5:$O$1004,$T516)="","",INDEX(Firms!$O$5:$O$1004,$T516)),IF(INDEX('AFA Rates'!$O$5:$O$1004,$T516)="","",INDEX('AFA Rates'!$O$5:$O$1004,$T516))))</f>
        <v/>
      </c>
      <c r="G516" s="50">
        <f>IF($T516="","",IF($S516="S",IF(INDEX(Firms!$F$5:$F$1004,$T516)="","",INDEX(Firms!$F$5:$F$1004,$T516)),IF(INDEX('AFA Rates'!$E$5:$E$1004,$T516)="","",INDEX('AFA Rates'!$E$5:$E$1004,$T516))))</f>
        <v/>
      </c>
      <c r="H516" s="50">
        <f>IF($T516="","",IF($S516="S",IF(INDEX(Firms!$G$5:$G$1004,$T516)="","",INDEX(Firms!$G$5:$G$1004,$T516)),IF(INDEX('AFA Rates'!$F$5:$F$1004,$T516)="","",INDEX('AFA Rates'!$F$5:$F$1004,$T516))))</f>
        <v/>
      </c>
      <c r="I516" s="50">
        <f>IF($T516="","",IF($S516="S",IF(INDEX(Firms!$H$5:$H$1004,$T516)="","",INDEX(Firms!$H$5:$H$1004,$T516)),IF(INDEX('AFA Rates'!$G$5:$G$1004,$T516)="","",INDEX('AFA Rates'!$G$5:$G$1004,$T516))))</f>
        <v/>
      </c>
      <c r="J516" s="50">
        <f>IF($T516="","",IF($S516="S",IF(INDEX(Firms!$I$5:$I$1004,$T516)="","",INDEX(Firms!$I$5:$I$1004,$T516)),IF(INDEX('AFA Rates'!$H$5:$H$1004,$T516)="","",INDEX('AFA Rates'!$H$5:$H$1004,$T516))))</f>
        <v/>
      </c>
      <c r="K516" s="50">
        <f>IF($T516="","",IF($S516="S",IF(INDEX(Firms!$J$5:$J$1004,$T516)="","",INDEX(Firms!$J$5:$J$1004,$T516)),IF(INDEX('AFA Rates'!$I$5:$I$1004,$T516)="","",INDEX('AFA Rates'!$I$5:$I$1004,$T516))))</f>
        <v/>
      </c>
      <c r="L516" s="50">
        <f>IF($T516="","",IF($S516="S",IF(INDEX(Firms!$K$5:$K$1004,$T516)="","",INDEX(Firms!$K$5:$K$1004,$T516)),IF(INDEX('AFA Rates'!$J$5:$J$1004,$T516)="","",INDEX('AFA Rates'!$J$5:$J$1004,$T516))))</f>
        <v/>
      </c>
      <c r="M516" s="50">
        <f>IF($T516="","",IF($S516="S",IF(INDEX(Firms!$L$5:$L$1004,$T516)="","",INDEX(Firms!$L$5:$L$1004,$T516)),IF(INDEX('AFA Rates'!$K$5:$K$1004,$T516)="","",INDEX('AFA Rates'!$K$5:$K$1004,$T516))))</f>
        <v/>
      </c>
      <c r="N516" s="50">
        <f>IF($T516="","",IF($S516="S",IF(INDEX(Firms!$M$5:$M$1004,$T516)="","",INDEX(Firms!$M$5:$M$1004,$T516)),IF(INDEX('AFA Rates'!$L$5:$L$1004,$T516)="","",INDEX('AFA Rates'!$L$5:$L$1004,$T516))))</f>
        <v/>
      </c>
      <c r="O516" s="78">
        <f>IF(OR($T516="",$U516=""),"",IF(INDEX(Firms!$C$5:$C$1004,$U516)="","",INDEX(Firms!$C$5:$C$1004,$U516)))</f>
        <v/>
      </c>
      <c r="P516" s="79">
        <f>IF(OR($T516="",$U516=""),"",IF(INDEX(Firms!$N$5:$N$1004,$U516)="","",INDEX(Firms!$N$5:$N$1004,$U516)))</f>
        <v/>
      </c>
      <c r="Q516" s="78">
        <f>IF($T516="","",IF($S516="S",IF(INDEX(Firms!$T$5:$T$1004,$T516)="","",INDEX(Firms!$T$5:$T$1004,$T516)),IF(INDEX('AFA Rates'!$M$5:$M$1004,$T516)="","",INDEX('AFA Rates'!$M$5:$M$1004,$T516))))</f>
        <v/>
      </c>
      <c r="S516">
        <f>IF(512&lt;=$S$2,"S",IF(512&lt;=$S$2+$T$2,"A",""))</f>
        <v/>
      </c>
      <c r="T516">
        <f>IF(S516="S",MATCH(512,Firms!$W$5:$W$1004,0),IF(S516="A",IFERROR(MATCH(512-$S$2,'AFA Rates'!$R$5:$R$1004,0),""),""))</f>
        <v/>
      </c>
      <c r="U516">
        <f>IF(S516="S",T516,IF(AND(S516="A",T516&lt;&gt;""),IFERROR(MATCH(INDEX('AFA Rates'!$A$5:$A$1004,T516),Firms!$A$5:$A$1004,0),""),""))</f>
        <v/>
      </c>
    </row>
    <row r="517">
      <c r="A517" s="78">
        <f>IF($T517="","",IF($S517="S",IF(INDEX(Firms!$A$5:$A$1004,$T517)="","",INDEX(Firms!$A$5:$A$1004,$T517)),IF(INDEX('AFA Rates'!$A$5:$A$1004,$T517)="","",INDEX('AFA Rates'!$A$5:$A$1004,$T517))))</f>
        <v/>
      </c>
      <c r="B517" s="79">
        <f>IF(OR($T517="",$U517=""),IF($T517="","","Not on Firms tab"),INDEX(Firms!$B$5:$B$1004,$U517)&amp;"")</f>
        <v/>
      </c>
      <c r="C517" s="78">
        <f>IF($T517="","",IF($S517="S","Standard",INDEX('AFA Rates'!$B$5:$B$1004,$T517)&amp;""))</f>
        <v/>
      </c>
      <c r="D517" s="88">
        <f>IF($T517="","",IF($S517="S",IF(INDEX(Firms!$E$5:$E$1004,$T517)="","",INDEX(Firms!$E$5:$E$1004,$T517)),IF(INDEX('AFA Rates'!$C$5:$C$1004,$T517)="","",INDEX('AFA Rates'!$C$5:$C$1004,$T517))))</f>
        <v/>
      </c>
      <c r="E517" s="88">
        <f>IF($T517="","",IF($S517="S",IF(""="","",""),IF(INDEX('AFA Rates'!$D$5:$D$1004,$T517)="","",INDEX('AFA Rates'!$D$5:$D$1004,$T517))))</f>
        <v/>
      </c>
      <c r="F517" s="79">
        <f>IF($T517="","",IF($S517="S",IF(INDEX(Firms!$O$5:$O$1004,$T517)="","",INDEX(Firms!$O$5:$O$1004,$T517)),IF(INDEX('AFA Rates'!$O$5:$O$1004,$T517)="","",INDEX('AFA Rates'!$O$5:$O$1004,$T517))))</f>
        <v/>
      </c>
      <c r="G517" s="50">
        <f>IF($T517="","",IF($S517="S",IF(INDEX(Firms!$F$5:$F$1004,$T517)="","",INDEX(Firms!$F$5:$F$1004,$T517)),IF(INDEX('AFA Rates'!$E$5:$E$1004,$T517)="","",INDEX('AFA Rates'!$E$5:$E$1004,$T517))))</f>
        <v/>
      </c>
      <c r="H517" s="50">
        <f>IF($T517="","",IF($S517="S",IF(INDEX(Firms!$G$5:$G$1004,$T517)="","",INDEX(Firms!$G$5:$G$1004,$T517)),IF(INDEX('AFA Rates'!$F$5:$F$1004,$T517)="","",INDEX('AFA Rates'!$F$5:$F$1004,$T517))))</f>
        <v/>
      </c>
      <c r="I517" s="50">
        <f>IF($T517="","",IF($S517="S",IF(INDEX(Firms!$H$5:$H$1004,$T517)="","",INDEX(Firms!$H$5:$H$1004,$T517)),IF(INDEX('AFA Rates'!$G$5:$G$1004,$T517)="","",INDEX('AFA Rates'!$G$5:$G$1004,$T517))))</f>
        <v/>
      </c>
      <c r="J517" s="50">
        <f>IF($T517="","",IF($S517="S",IF(INDEX(Firms!$I$5:$I$1004,$T517)="","",INDEX(Firms!$I$5:$I$1004,$T517)),IF(INDEX('AFA Rates'!$H$5:$H$1004,$T517)="","",INDEX('AFA Rates'!$H$5:$H$1004,$T517))))</f>
        <v/>
      </c>
      <c r="K517" s="50">
        <f>IF($T517="","",IF($S517="S",IF(INDEX(Firms!$J$5:$J$1004,$T517)="","",INDEX(Firms!$J$5:$J$1004,$T517)),IF(INDEX('AFA Rates'!$I$5:$I$1004,$T517)="","",INDEX('AFA Rates'!$I$5:$I$1004,$T517))))</f>
        <v/>
      </c>
      <c r="L517" s="50">
        <f>IF($T517="","",IF($S517="S",IF(INDEX(Firms!$K$5:$K$1004,$T517)="","",INDEX(Firms!$K$5:$K$1004,$T517)),IF(INDEX('AFA Rates'!$J$5:$J$1004,$T517)="","",INDEX('AFA Rates'!$J$5:$J$1004,$T517))))</f>
        <v/>
      </c>
      <c r="M517" s="50">
        <f>IF($T517="","",IF($S517="S",IF(INDEX(Firms!$L$5:$L$1004,$T517)="","",INDEX(Firms!$L$5:$L$1004,$T517)),IF(INDEX('AFA Rates'!$K$5:$K$1004,$T517)="","",INDEX('AFA Rates'!$K$5:$K$1004,$T517))))</f>
        <v/>
      </c>
      <c r="N517" s="50">
        <f>IF($T517="","",IF($S517="S",IF(INDEX(Firms!$M$5:$M$1004,$T517)="","",INDEX(Firms!$M$5:$M$1004,$T517)),IF(INDEX('AFA Rates'!$L$5:$L$1004,$T517)="","",INDEX('AFA Rates'!$L$5:$L$1004,$T517))))</f>
        <v/>
      </c>
      <c r="O517" s="78">
        <f>IF(OR($T517="",$U517=""),"",IF(INDEX(Firms!$C$5:$C$1004,$U517)="","",INDEX(Firms!$C$5:$C$1004,$U517)))</f>
        <v/>
      </c>
      <c r="P517" s="79">
        <f>IF(OR($T517="",$U517=""),"",IF(INDEX(Firms!$N$5:$N$1004,$U517)="","",INDEX(Firms!$N$5:$N$1004,$U517)))</f>
        <v/>
      </c>
      <c r="Q517" s="78">
        <f>IF($T517="","",IF($S517="S",IF(INDEX(Firms!$T$5:$T$1004,$T517)="","",INDEX(Firms!$T$5:$T$1004,$T517)),IF(INDEX('AFA Rates'!$M$5:$M$1004,$T517)="","",INDEX('AFA Rates'!$M$5:$M$1004,$T517))))</f>
        <v/>
      </c>
      <c r="S517">
        <f>IF(513&lt;=$S$2,"S",IF(513&lt;=$S$2+$T$2,"A",""))</f>
        <v/>
      </c>
      <c r="T517">
        <f>IF(S517="S",MATCH(513,Firms!$W$5:$W$1004,0),IF(S517="A",IFERROR(MATCH(513-$S$2,'AFA Rates'!$R$5:$R$1004,0),""),""))</f>
        <v/>
      </c>
      <c r="U517">
        <f>IF(S517="S",T517,IF(AND(S517="A",T517&lt;&gt;""),IFERROR(MATCH(INDEX('AFA Rates'!$A$5:$A$1004,T517),Firms!$A$5:$A$1004,0),""),""))</f>
        <v/>
      </c>
    </row>
    <row r="518">
      <c r="A518" s="78">
        <f>IF($T518="","",IF($S518="S",IF(INDEX(Firms!$A$5:$A$1004,$T518)="","",INDEX(Firms!$A$5:$A$1004,$T518)),IF(INDEX('AFA Rates'!$A$5:$A$1004,$T518)="","",INDEX('AFA Rates'!$A$5:$A$1004,$T518))))</f>
        <v/>
      </c>
      <c r="B518" s="79">
        <f>IF(OR($T518="",$U518=""),IF($T518="","","Not on Firms tab"),INDEX(Firms!$B$5:$B$1004,$U518)&amp;"")</f>
        <v/>
      </c>
      <c r="C518" s="78">
        <f>IF($T518="","",IF($S518="S","Standard",INDEX('AFA Rates'!$B$5:$B$1004,$T518)&amp;""))</f>
        <v/>
      </c>
      <c r="D518" s="88">
        <f>IF($T518="","",IF($S518="S",IF(INDEX(Firms!$E$5:$E$1004,$T518)="","",INDEX(Firms!$E$5:$E$1004,$T518)),IF(INDEX('AFA Rates'!$C$5:$C$1004,$T518)="","",INDEX('AFA Rates'!$C$5:$C$1004,$T518))))</f>
        <v/>
      </c>
      <c r="E518" s="88">
        <f>IF($T518="","",IF($S518="S",IF(""="","",""),IF(INDEX('AFA Rates'!$D$5:$D$1004,$T518)="","",INDEX('AFA Rates'!$D$5:$D$1004,$T518))))</f>
        <v/>
      </c>
      <c r="F518" s="79">
        <f>IF($T518="","",IF($S518="S",IF(INDEX(Firms!$O$5:$O$1004,$T518)="","",INDEX(Firms!$O$5:$O$1004,$T518)),IF(INDEX('AFA Rates'!$O$5:$O$1004,$T518)="","",INDEX('AFA Rates'!$O$5:$O$1004,$T518))))</f>
        <v/>
      </c>
      <c r="G518" s="50">
        <f>IF($T518="","",IF($S518="S",IF(INDEX(Firms!$F$5:$F$1004,$T518)="","",INDEX(Firms!$F$5:$F$1004,$T518)),IF(INDEX('AFA Rates'!$E$5:$E$1004,$T518)="","",INDEX('AFA Rates'!$E$5:$E$1004,$T518))))</f>
        <v/>
      </c>
      <c r="H518" s="50">
        <f>IF($T518="","",IF($S518="S",IF(INDEX(Firms!$G$5:$G$1004,$T518)="","",INDEX(Firms!$G$5:$G$1004,$T518)),IF(INDEX('AFA Rates'!$F$5:$F$1004,$T518)="","",INDEX('AFA Rates'!$F$5:$F$1004,$T518))))</f>
        <v/>
      </c>
      <c r="I518" s="50">
        <f>IF($T518="","",IF($S518="S",IF(INDEX(Firms!$H$5:$H$1004,$T518)="","",INDEX(Firms!$H$5:$H$1004,$T518)),IF(INDEX('AFA Rates'!$G$5:$G$1004,$T518)="","",INDEX('AFA Rates'!$G$5:$G$1004,$T518))))</f>
        <v/>
      </c>
      <c r="J518" s="50">
        <f>IF($T518="","",IF($S518="S",IF(INDEX(Firms!$I$5:$I$1004,$T518)="","",INDEX(Firms!$I$5:$I$1004,$T518)),IF(INDEX('AFA Rates'!$H$5:$H$1004,$T518)="","",INDEX('AFA Rates'!$H$5:$H$1004,$T518))))</f>
        <v/>
      </c>
      <c r="K518" s="50">
        <f>IF($T518="","",IF($S518="S",IF(INDEX(Firms!$J$5:$J$1004,$T518)="","",INDEX(Firms!$J$5:$J$1004,$T518)),IF(INDEX('AFA Rates'!$I$5:$I$1004,$T518)="","",INDEX('AFA Rates'!$I$5:$I$1004,$T518))))</f>
        <v/>
      </c>
      <c r="L518" s="50">
        <f>IF($T518="","",IF($S518="S",IF(INDEX(Firms!$K$5:$K$1004,$T518)="","",INDEX(Firms!$K$5:$K$1004,$T518)),IF(INDEX('AFA Rates'!$J$5:$J$1004,$T518)="","",INDEX('AFA Rates'!$J$5:$J$1004,$T518))))</f>
        <v/>
      </c>
      <c r="M518" s="50">
        <f>IF($T518="","",IF($S518="S",IF(INDEX(Firms!$L$5:$L$1004,$T518)="","",INDEX(Firms!$L$5:$L$1004,$T518)),IF(INDEX('AFA Rates'!$K$5:$K$1004,$T518)="","",INDEX('AFA Rates'!$K$5:$K$1004,$T518))))</f>
        <v/>
      </c>
      <c r="N518" s="50">
        <f>IF($T518="","",IF($S518="S",IF(INDEX(Firms!$M$5:$M$1004,$T518)="","",INDEX(Firms!$M$5:$M$1004,$T518)),IF(INDEX('AFA Rates'!$L$5:$L$1004,$T518)="","",INDEX('AFA Rates'!$L$5:$L$1004,$T518))))</f>
        <v/>
      </c>
      <c r="O518" s="78">
        <f>IF(OR($T518="",$U518=""),"",IF(INDEX(Firms!$C$5:$C$1004,$U518)="","",INDEX(Firms!$C$5:$C$1004,$U518)))</f>
        <v/>
      </c>
      <c r="P518" s="79">
        <f>IF(OR($T518="",$U518=""),"",IF(INDEX(Firms!$N$5:$N$1004,$U518)="","",INDEX(Firms!$N$5:$N$1004,$U518)))</f>
        <v/>
      </c>
      <c r="Q518" s="78">
        <f>IF($T518="","",IF($S518="S",IF(INDEX(Firms!$T$5:$T$1004,$T518)="","",INDEX(Firms!$T$5:$T$1004,$T518)),IF(INDEX('AFA Rates'!$M$5:$M$1004,$T518)="","",INDEX('AFA Rates'!$M$5:$M$1004,$T518))))</f>
        <v/>
      </c>
      <c r="S518">
        <f>IF(514&lt;=$S$2,"S",IF(514&lt;=$S$2+$T$2,"A",""))</f>
        <v/>
      </c>
      <c r="T518">
        <f>IF(S518="S",MATCH(514,Firms!$W$5:$W$1004,0),IF(S518="A",IFERROR(MATCH(514-$S$2,'AFA Rates'!$R$5:$R$1004,0),""),""))</f>
        <v/>
      </c>
      <c r="U518">
        <f>IF(S518="S",T518,IF(AND(S518="A",T518&lt;&gt;""),IFERROR(MATCH(INDEX('AFA Rates'!$A$5:$A$1004,T518),Firms!$A$5:$A$1004,0),""),""))</f>
        <v/>
      </c>
    </row>
    <row r="519">
      <c r="A519" s="78">
        <f>IF($T519="","",IF($S519="S",IF(INDEX(Firms!$A$5:$A$1004,$T519)="","",INDEX(Firms!$A$5:$A$1004,$T519)),IF(INDEX('AFA Rates'!$A$5:$A$1004,$T519)="","",INDEX('AFA Rates'!$A$5:$A$1004,$T519))))</f>
        <v/>
      </c>
      <c r="B519" s="79">
        <f>IF(OR($T519="",$U519=""),IF($T519="","","Not on Firms tab"),INDEX(Firms!$B$5:$B$1004,$U519)&amp;"")</f>
        <v/>
      </c>
      <c r="C519" s="78">
        <f>IF($T519="","",IF($S519="S","Standard",INDEX('AFA Rates'!$B$5:$B$1004,$T519)&amp;""))</f>
        <v/>
      </c>
      <c r="D519" s="88">
        <f>IF($T519="","",IF($S519="S",IF(INDEX(Firms!$E$5:$E$1004,$T519)="","",INDEX(Firms!$E$5:$E$1004,$T519)),IF(INDEX('AFA Rates'!$C$5:$C$1004,$T519)="","",INDEX('AFA Rates'!$C$5:$C$1004,$T519))))</f>
        <v/>
      </c>
      <c r="E519" s="88">
        <f>IF($T519="","",IF($S519="S",IF(""="","",""),IF(INDEX('AFA Rates'!$D$5:$D$1004,$T519)="","",INDEX('AFA Rates'!$D$5:$D$1004,$T519))))</f>
        <v/>
      </c>
      <c r="F519" s="79">
        <f>IF($T519="","",IF($S519="S",IF(INDEX(Firms!$O$5:$O$1004,$T519)="","",INDEX(Firms!$O$5:$O$1004,$T519)),IF(INDEX('AFA Rates'!$O$5:$O$1004,$T519)="","",INDEX('AFA Rates'!$O$5:$O$1004,$T519))))</f>
        <v/>
      </c>
      <c r="G519" s="50">
        <f>IF($T519="","",IF($S519="S",IF(INDEX(Firms!$F$5:$F$1004,$T519)="","",INDEX(Firms!$F$5:$F$1004,$T519)),IF(INDEX('AFA Rates'!$E$5:$E$1004,$T519)="","",INDEX('AFA Rates'!$E$5:$E$1004,$T519))))</f>
        <v/>
      </c>
      <c r="H519" s="50">
        <f>IF($T519="","",IF($S519="S",IF(INDEX(Firms!$G$5:$G$1004,$T519)="","",INDEX(Firms!$G$5:$G$1004,$T519)),IF(INDEX('AFA Rates'!$F$5:$F$1004,$T519)="","",INDEX('AFA Rates'!$F$5:$F$1004,$T519))))</f>
        <v/>
      </c>
      <c r="I519" s="50">
        <f>IF($T519="","",IF($S519="S",IF(INDEX(Firms!$H$5:$H$1004,$T519)="","",INDEX(Firms!$H$5:$H$1004,$T519)),IF(INDEX('AFA Rates'!$G$5:$G$1004,$T519)="","",INDEX('AFA Rates'!$G$5:$G$1004,$T519))))</f>
        <v/>
      </c>
      <c r="J519" s="50">
        <f>IF($T519="","",IF($S519="S",IF(INDEX(Firms!$I$5:$I$1004,$T519)="","",INDEX(Firms!$I$5:$I$1004,$T519)),IF(INDEX('AFA Rates'!$H$5:$H$1004,$T519)="","",INDEX('AFA Rates'!$H$5:$H$1004,$T519))))</f>
        <v/>
      </c>
      <c r="K519" s="50">
        <f>IF($T519="","",IF($S519="S",IF(INDEX(Firms!$J$5:$J$1004,$T519)="","",INDEX(Firms!$J$5:$J$1004,$T519)),IF(INDEX('AFA Rates'!$I$5:$I$1004,$T519)="","",INDEX('AFA Rates'!$I$5:$I$1004,$T519))))</f>
        <v/>
      </c>
      <c r="L519" s="50">
        <f>IF($T519="","",IF($S519="S",IF(INDEX(Firms!$K$5:$K$1004,$T519)="","",INDEX(Firms!$K$5:$K$1004,$T519)),IF(INDEX('AFA Rates'!$J$5:$J$1004,$T519)="","",INDEX('AFA Rates'!$J$5:$J$1004,$T519))))</f>
        <v/>
      </c>
      <c r="M519" s="50">
        <f>IF($T519="","",IF($S519="S",IF(INDEX(Firms!$L$5:$L$1004,$T519)="","",INDEX(Firms!$L$5:$L$1004,$T519)),IF(INDEX('AFA Rates'!$K$5:$K$1004,$T519)="","",INDEX('AFA Rates'!$K$5:$K$1004,$T519))))</f>
        <v/>
      </c>
      <c r="N519" s="50">
        <f>IF($T519="","",IF($S519="S",IF(INDEX(Firms!$M$5:$M$1004,$T519)="","",INDEX(Firms!$M$5:$M$1004,$T519)),IF(INDEX('AFA Rates'!$L$5:$L$1004,$T519)="","",INDEX('AFA Rates'!$L$5:$L$1004,$T519))))</f>
        <v/>
      </c>
      <c r="O519" s="78">
        <f>IF(OR($T519="",$U519=""),"",IF(INDEX(Firms!$C$5:$C$1004,$U519)="","",INDEX(Firms!$C$5:$C$1004,$U519)))</f>
        <v/>
      </c>
      <c r="P519" s="79">
        <f>IF(OR($T519="",$U519=""),"",IF(INDEX(Firms!$N$5:$N$1004,$U519)="","",INDEX(Firms!$N$5:$N$1004,$U519)))</f>
        <v/>
      </c>
      <c r="Q519" s="78">
        <f>IF($T519="","",IF($S519="S",IF(INDEX(Firms!$T$5:$T$1004,$T519)="","",INDEX(Firms!$T$5:$T$1004,$T519)),IF(INDEX('AFA Rates'!$M$5:$M$1004,$T519)="","",INDEX('AFA Rates'!$M$5:$M$1004,$T519))))</f>
        <v/>
      </c>
      <c r="S519">
        <f>IF(515&lt;=$S$2,"S",IF(515&lt;=$S$2+$T$2,"A",""))</f>
        <v/>
      </c>
      <c r="T519">
        <f>IF(S519="S",MATCH(515,Firms!$W$5:$W$1004,0),IF(S519="A",IFERROR(MATCH(515-$S$2,'AFA Rates'!$R$5:$R$1004,0),""),""))</f>
        <v/>
      </c>
      <c r="U519">
        <f>IF(S519="S",T519,IF(AND(S519="A",T519&lt;&gt;""),IFERROR(MATCH(INDEX('AFA Rates'!$A$5:$A$1004,T519),Firms!$A$5:$A$1004,0),""),""))</f>
        <v/>
      </c>
    </row>
    <row r="520">
      <c r="A520" s="78">
        <f>IF($T520="","",IF($S520="S",IF(INDEX(Firms!$A$5:$A$1004,$T520)="","",INDEX(Firms!$A$5:$A$1004,$T520)),IF(INDEX('AFA Rates'!$A$5:$A$1004,$T520)="","",INDEX('AFA Rates'!$A$5:$A$1004,$T520))))</f>
        <v/>
      </c>
      <c r="B520" s="79">
        <f>IF(OR($T520="",$U520=""),IF($T520="","","Not on Firms tab"),INDEX(Firms!$B$5:$B$1004,$U520)&amp;"")</f>
        <v/>
      </c>
      <c r="C520" s="78">
        <f>IF($T520="","",IF($S520="S","Standard",INDEX('AFA Rates'!$B$5:$B$1004,$T520)&amp;""))</f>
        <v/>
      </c>
      <c r="D520" s="88">
        <f>IF($T520="","",IF($S520="S",IF(INDEX(Firms!$E$5:$E$1004,$T520)="","",INDEX(Firms!$E$5:$E$1004,$T520)),IF(INDEX('AFA Rates'!$C$5:$C$1004,$T520)="","",INDEX('AFA Rates'!$C$5:$C$1004,$T520))))</f>
        <v/>
      </c>
      <c r="E520" s="88">
        <f>IF($T520="","",IF($S520="S",IF(""="","",""),IF(INDEX('AFA Rates'!$D$5:$D$1004,$T520)="","",INDEX('AFA Rates'!$D$5:$D$1004,$T520))))</f>
        <v/>
      </c>
      <c r="F520" s="79">
        <f>IF($T520="","",IF($S520="S",IF(INDEX(Firms!$O$5:$O$1004,$T520)="","",INDEX(Firms!$O$5:$O$1004,$T520)),IF(INDEX('AFA Rates'!$O$5:$O$1004,$T520)="","",INDEX('AFA Rates'!$O$5:$O$1004,$T520))))</f>
        <v/>
      </c>
      <c r="G520" s="50">
        <f>IF($T520="","",IF($S520="S",IF(INDEX(Firms!$F$5:$F$1004,$T520)="","",INDEX(Firms!$F$5:$F$1004,$T520)),IF(INDEX('AFA Rates'!$E$5:$E$1004,$T520)="","",INDEX('AFA Rates'!$E$5:$E$1004,$T520))))</f>
        <v/>
      </c>
      <c r="H520" s="50">
        <f>IF($T520="","",IF($S520="S",IF(INDEX(Firms!$G$5:$G$1004,$T520)="","",INDEX(Firms!$G$5:$G$1004,$T520)),IF(INDEX('AFA Rates'!$F$5:$F$1004,$T520)="","",INDEX('AFA Rates'!$F$5:$F$1004,$T520))))</f>
        <v/>
      </c>
      <c r="I520" s="50">
        <f>IF($T520="","",IF($S520="S",IF(INDEX(Firms!$H$5:$H$1004,$T520)="","",INDEX(Firms!$H$5:$H$1004,$T520)),IF(INDEX('AFA Rates'!$G$5:$G$1004,$T520)="","",INDEX('AFA Rates'!$G$5:$G$1004,$T520))))</f>
        <v/>
      </c>
      <c r="J520" s="50">
        <f>IF($T520="","",IF($S520="S",IF(INDEX(Firms!$I$5:$I$1004,$T520)="","",INDEX(Firms!$I$5:$I$1004,$T520)),IF(INDEX('AFA Rates'!$H$5:$H$1004,$T520)="","",INDEX('AFA Rates'!$H$5:$H$1004,$T520))))</f>
        <v/>
      </c>
      <c r="K520" s="50">
        <f>IF($T520="","",IF($S520="S",IF(INDEX(Firms!$J$5:$J$1004,$T520)="","",INDEX(Firms!$J$5:$J$1004,$T520)),IF(INDEX('AFA Rates'!$I$5:$I$1004,$T520)="","",INDEX('AFA Rates'!$I$5:$I$1004,$T520))))</f>
        <v/>
      </c>
      <c r="L520" s="50">
        <f>IF($T520="","",IF($S520="S",IF(INDEX(Firms!$K$5:$K$1004,$T520)="","",INDEX(Firms!$K$5:$K$1004,$T520)),IF(INDEX('AFA Rates'!$J$5:$J$1004,$T520)="","",INDEX('AFA Rates'!$J$5:$J$1004,$T520))))</f>
        <v/>
      </c>
      <c r="M520" s="50">
        <f>IF($T520="","",IF($S520="S",IF(INDEX(Firms!$L$5:$L$1004,$T520)="","",INDEX(Firms!$L$5:$L$1004,$T520)),IF(INDEX('AFA Rates'!$K$5:$K$1004,$T520)="","",INDEX('AFA Rates'!$K$5:$K$1004,$T520))))</f>
        <v/>
      </c>
      <c r="N520" s="50">
        <f>IF($T520="","",IF($S520="S",IF(INDEX(Firms!$M$5:$M$1004,$T520)="","",INDEX(Firms!$M$5:$M$1004,$T520)),IF(INDEX('AFA Rates'!$L$5:$L$1004,$T520)="","",INDEX('AFA Rates'!$L$5:$L$1004,$T520))))</f>
        <v/>
      </c>
      <c r="O520" s="78">
        <f>IF(OR($T520="",$U520=""),"",IF(INDEX(Firms!$C$5:$C$1004,$U520)="","",INDEX(Firms!$C$5:$C$1004,$U520)))</f>
        <v/>
      </c>
      <c r="P520" s="79">
        <f>IF(OR($T520="",$U520=""),"",IF(INDEX(Firms!$N$5:$N$1004,$U520)="","",INDEX(Firms!$N$5:$N$1004,$U520)))</f>
        <v/>
      </c>
      <c r="Q520" s="78">
        <f>IF($T520="","",IF($S520="S",IF(INDEX(Firms!$T$5:$T$1004,$T520)="","",INDEX(Firms!$T$5:$T$1004,$T520)),IF(INDEX('AFA Rates'!$M$5:$M$1004,$T520)="","",INDEX('AFA Rates'!$M$5:$M$1004,$T520))))</f>
        <v/>
      </c>
      <c r="S520">
        <f>IF(516&lt;=$S$2,"S",IF(516&lt;=$S$2+$T$2,"A",""))</f>
        <v/>
      </c>
      <c r="T520">
        <f>IF(S520="S",MATCH(516,Firms!$W$5:$W$1004,0),IF(S520="A",IFERROR(MATCH(516-$S$2,'AFA Rates'!$R$5:$R$1004,0),""),""))</f>
        <v/>
      </c>
      <c r="U520">
        <f>IF(S520="S",T520,IF(AND(S520="A",T520&lt;&gt;""),IFERROR(MATCH(INDEX('AFA Rates'!$A$5:$A$1004,T520),Firms!$A$5:$A$1004,0),""),""))</f>
        <v/>
      </c>
    </row>
    <row r="521">
      <c r="A521" s="78">
        <f>IF($T521="","",IF($S521="S",IF(INDEX(Firms!$A$5:$A$1004,$T521)="","",INDEX(Firms!$A$5:$A$1004,$T521)),IF(INDEX('AFA Rates'!$A$5:$A$1004,$T521)="","",INDEX('AFA Rates'!$A$5:$A$1004,$T521))))</f>
        <v/>
      </c>
      <c r="B521" s="79">
        <f>IF(OR($T521="",$U521=""),IF($T521="","","Not on Firms tab"),INDEX(Firms!$B$5:$B$1004,$U521)&amp;"")</f>
        <v/>
      </c>
      <c r="C521" s="78">
        <f>IF($T521="","",IF($S521="S","Standard",INDEX('AFA Rates'!$B$5:$B$1004,$T521)&amp;""))</f>
        <v/>
      </c>
      <c r="D521" s="88">
        <f>IF($T521="","",IF($S521="S",IF(INDEX(Firms!$E$5:$E$1004,$T521)="","",INDEX(Firms!$E$5:$E$1004,$T521)),IF(INDEX('AFA Rates'!$C$5:$C$1004,$T521)="","",INDEX('AFA Rates'!$C$5:$C$1004,$T521))))</f>
        <v/>
      </c>
      <c r="E521" s="88">
        <f>IF($T521="","",IF($S521="S",IF(""="","",""),IF(INDEX('AFA Rates'!$D$5:$D$1004,$T521)="","",INDEX('AFA Rates'!$D$5:$D$1004,$T521))))</f>
        <v/>
      </c>
      <c r="F521" s="79">
        <f>IF($T521="","",IF($S521="S",IF(INDEX(Firms!$O$5:$O$1004,$T521)="","",INDEX(Firms!$O$5:$O$1004,$T521)),IF(INDEX('AFA Rates'!$O$5:$O$1004,$T521)="","",INDEX('AFA Rates'!$O$5:$O$1004,$T521))))</f>
        <v/>
      </c>
      <c r="G521" s="50">
        <f>IF($T521="","",IF($S521="S",IF(INDEX(Firms!$F$5:$F$1004,$T521)="","",INDEX(Firms!$F$5:$F$1004,$T521)),IF(INDEX('AFA Rates'!$E$5:$E$1004,$T521)="","",INDEX('AFA Rates'!$E$5:$E$1004,$T521))))</f>
        <v/>
      </c>
      <c r="H521" s="50">
        <f>IF($T521="","",IF($S521="S",IF(INDEX(Firms!$G$5:$G$1004,$T521)="","",INDEX(Firms!$G$5:$G$1004,$T521)),IF(INDEX('AFA Rates'!$F$5:$F$1004,$T521)="","",INDEX('AFA Rates'!$F$5:$F$1004,$T521))))</f>
        <v/>
      </c>
      <c r="I521" s="50">
        <f>IF($T521="","",IF($S521="S",IF(INDEX(Firms!$H$5:$H$1004,$T521)="","",INDEX(Firms!$H$5:$H$1004,$T521)),IF(INDEX('AFA Rates'!$G$5:$G$1004,$T521)="","",INDEX('AFA Rates'!$G$5:$G$1004,$T521))))</f>
        <v/>
      </c>
      <c r="J521" s="50">
        <f>IF($T521="","",IF($S521="S",IF(INDEX(Firms!$I$5:$I$1004,$T521)="","",INDEX(Firms!$I$5:$I$1004,$T521)),IF(INDEX('AFA Rates'!$H$5:$H$1004,$T521)="","",INDEX('AFA Rates'!$H$5:$H$1004,$T521))))</f>
        <v/>
      </c>
      <c r="K521" s="50">
        <f>IF($T521="","",IF($S521="S",IF(INDEX(Firms!$J$5:$J$1004,$T521)="","",INDEX(Firms!$J$5:$J$1004,$T521)),IF(INDEX('AFA Rates'!$I$5:$I$1004,$T521)="","",INDEX('AFA Rates'!$I$5:$I$1004,$T521))))</f>
        <v/>
      </c>
      <c r="L521" s="50">
        <f>IF($T521="","",IF($S521="S",IF(INDEX(Firms!$K$5:$K$1004,$T521)="","",INDEX(Firms!$K$5:$K$1004,$T521)),IF(INDEX('AFA Rates'!$J$5:$J$1004,$T521)="","",INDEX('AFA Rates'!$J$5:$J$1004,$T521))))</f>
        <v/>
      </c>
      <c r="M521" s="50">
        <f>IF($T521="","",IF($S521="S",IF(INDEX(Firms!$L$5:$L$1004,$T521)="","",INDEX(Firms!$L$5:$L$1004,$T521)),IF(INDEX('AFA Rates'!$K$5:$K$1004,$T521)="","",INDEX('AFA Rates'!$K$5:$K$1004,$T521))))</f>
        <v/>
      </c>
      <c r="N521" s="50">
        <f>IF($T521="","",IF($S521="S",IF(INDEX(Firms!$M$5:$M$1004,$T521)="","",INDEX(Firms!$M$5:$M$1004,$T521)),IF(INDEX('AFA Rates'!$L$5:$L$1004,$T521)="","",INDEX('AFA Rates'!$L$5:$L$1004,$T521))))</f>
        <v/>
      </c>
      <c r="O521" s="78">
        <f>IF(OR($T521="",$U521=""),"",IF(INDEX(Firms!$C$5:$C$1004,$U521)="","",INDEX(Firms!$C$5:$C$1004,$U521)))</f>
        <v/>
      </c>
      <c r="P521" s="79">
        <f>IF(OR($T521="",$U521=""),"",IF(INDEX(Firms!$N$5:$N$1004,$U521)="","",INDEX(Firms!$N$5:$N$1004,$U521)))</f>
        <v/>
      </c>
      <c r="Q521" s="78">
        <f>IF($T521="","",IF($S521="S",IF(INDEX(Firms!$T$5:$T$1004,$T521)="","",INDEX(Firms!$T$5:$T$1004,$T521)),IF(INDEX('AFA Rates'!$M$5:$M$1004,$T521)="","",INDEX('AFA Rates'!$M$5:$M$1004,$T521))))</f>
        <v/>
      </c>
      <c r="S521">
        <f>IF(517&lt;=$S$2,"S",IF(517&lt;=$S$2+$T$2,"A",""))</f>
        <v/>
      </c>
      <c r="T521">
        <f>IF(S521="S",MATCH(517,Firms!$W$5:$W$1004,0),IF(S521="A",IFERROR(MATCH(517-$S$2,'AFA Rates'!$R$5:$R$1004,0),""),""))</f>
        <v/>
      </c>
      <c r="U521">
        <f>IF(S521="S",T521,IF(AND(S521="A",T521&lt;&gt;""),IFERROR(MATCH(INDEX('AFA Rates'!$A$5:$A$1004,T521),Firms!$A$5:$A$1004,0),""),""))</f>
        <v/>
      </c>
    </row>
    <row r="522">
      <c r="A522" s="78">
        <f>IF($T522="","",IF($S522="S",IF(INDEX(Firms!$A$5:$A$1004,$T522)="","",INDEX(Firms!$A$5:$A$1004,$T522)),IF(INDEX('AFA Rates'!$A$5:$A$1004,$T522)="","",INDEX('AFA Rates'!$A$5:$A$1004,$T522))))</f>
        <v/>
      </c>
      <c r="B522" s="79">
        <f>IF(OR($T522="",$U522=""),IF($T522="","","Not on Firms tab"),INDEX(Firms!$B$5:$B$1004,$U522)&amp;"")</f>
        <v/>
      </c>
      <c r="C522" s="78">
        <f>IF($T522="","",IF($S522="S","Standard",INDEX('AFA Rates'!$B$5:$B$1004,$T522)&amp;""))</f>
        <v/>
      </c>
      <c r="D522" s="88">
        <f>IF($T522="","",IF($S522="S",IF(INDEX(Firms!$E$5:$E$1004,$T522)="","",INDEX(Firms!$E$5:$E$1004,$T522)),IF(INDEX('AFA Rates'!$C$5:$C$1004,$T522)="","",INDEX('AFA Rates'!$C$5:$C$1004,$T522))))</f>
        <v/>
      </c>
      <c r="E522" s="88">
        <f>IF($T522="","",IF($S522="S",IF(""="","",""),IF(INDEX('AFA Rates'!$D$5:$D$1004,$T522)="","",INDEX('AFA Rates'!$D$5:$D$1004,$T522))))</f>
        <v/>
      </c>
      <c r="F522" s="79">
        <f>IF($T522="","",IF($S522="S",IF(INDEX(Firms!$O$5:$O$1004,$T522)="","",INDEX(Firms!$O$5:$O$1004,$T522)),IF(INDEX('AFA Rates'!$O$5:$O$1004,$T522)="","",INDEX('AFA Rates'!$O$5:$O$1004,$T522))))</f>
        <v/>
      </c>
      <c r="G522" s="50">
        <f>IF($T522="","",IF($S522="S",IF(INDEX(Firms!$F$5:$F$1004,$T522)="","",INDEX(Firms!$F$5:$F$1004,$T522)),IF(INDEX('AFA Rates'!$E$5:$E$1004,$T522)="","",INDEX('AFA Rates'!$E$5:$E$1004,$T522))))</f>
        <v/>
      </c>
      <c r="H522" s="50">
        <f>IF($T522="","",IF($S522="S",IF(INDEX(Firms!$G$5:$G$1004,$T522)="","",INDEX(Firms!$G$5:$G$1004,$T522)),IF(INDEX('AFA Rates'!$F$5:$F$1004,$T522)="","",INDEX('AFA Rates'!$F$5:$F$1004,$T522))))</f>
        <v/>
      </c>
      <c r="I522" s="50">
        <f>IF($T522="","",IF($S522="S",IF(INDEX(Firms!$H$5:$H$1004,$T522)="","",INDEX(Firms!$H$5:$H$1004,$T522)),IF(INDEX('AFA Rates'!$G$5:$G$1004,$T522)="","",INDEX('AFA Rates'!$G$5:$G$1004,$T522))))</f>
        <v/>
      </c>
      <c r="J522" s="50">
        <f>IF($T522="","",IF($S522="S",IF(INDEX(Firms!$I$5:$I$1004,$T522)="","",INDEX(Firms!$I$5:$I$1004,$T522)),IF(INDEX('AFA Rates'!$H$5:$H$1004,$T522)="","",INDEX('AFA Rates'!$H$5:$H$1004,$T522))))</f>
        <v/>
      </c>
      <c r="K522" s="50">
        <f>IF($T522="","",IF($S522="S",IF(INDEX(Firms!$J$5:$J$1004,$T522)="","",INDEX(Firms!$J$5:$J$1004,$T522)),IF(INDEX('AFA Rates'!$I$5:$I$1004,$T522)="","",INDEX('AFA Rates'!$I$5:$I$1004,$T522))))</f>
        <v/>
      </c>
      <c r="L522" s="50">
        <f>IF($T522="","",IF($S522="S",IF(INDEX(Firms!$K$5:$K$1004,$T522)="","",INDEX(Firms!$K$5:$K$1004,$T522)),IF(INDEX('AFA Rates'!$J$5:$J$1004,$T522)="","",INDEX('AFA Rates'!$J$5:$J$1004,$T522))))</f>
        <v/>
      </c>
      <c r="M522" s="50">
        <f>IF($T522="","",IF($S522="S",IF(INDEX(Firms!$L$5:$L$1004,$T522)="","",INDEX(Firms!$L$5:$L$1004,$T522)),IF(INDEX('AFA Rates'!$K$5:$K$1004,$T522)="","",INDEX('AFA Rates'!$K$5:$K$1004,$T522))))</f>
        <v/>
      </c>
      <c r="N522" s="50">
        <f>IF($T522="","",IF($S522="S",IF(INDEX(Firms!$M$5:$M$1004,$T522)="","",INDEX(Firms!$M$5:$M$1004,$T522)),IF(INDEX('AFA Rates'!$L$5:$L$1004,$T522)="","",INDEX('AFA Rates'!$L$5:$L$1004,$T522))))</f>
        <v/>
      </c>
      <c r="O522" s="78">
        <f>IF(OR($T522="",$U522=""),"",IF(INDEX(Firms!$C$5:$C$1004,$U522)="","",INDEX(Firms!$C$5:$C$1004,$U522)))</f>
        <v/>
      </c>
      <c r="P522" s="79">
        <f>IF(OR($T522="",$U522=""),"",IF(INDEX(Firms!$N$5:$N$1004,$U522)="","",INDEX(Firms!$N$5:$N$1004,$U522)))</f>
        <v/>
      </c>
      <c r="Q522" s="78">
        <f>IF($T522="","",IF($S522="S",IF(INDEX(Firms!$T$5:$T$1004,$T522)="","",INDEX(Firms!$T$5:$T$1004,$T522)),IF(INDEX('AFA Rates'!$M$5:$M$1004,$T522)="","",INDEX('AFA Rates'!$M$5:$M$1004,$T522))))</f>
        <v/>
      </c>
      <c r="S522">
        <f>IF(518&lt;=$S$2,"S",IF(518&lt;=$S$2+$T$2,"A",""))</f>
        <v/>
      </c>
      <c r="T522">
        <f>IF(S522="S",MATCH(518,Firms!$W$5:$W$1004,0),IF(S522="A",IFERROR(MATCH(518-$S$2,'AFA Rates'!$R$5:$R$1004,0),""),""))</f>
        <v/>
      </c>
      <c r="U522">
        <f>IF(S522="S",T522,IF(AND(S522="A",T522&lt;&gt;""),IFERROR(MATCH(INDEX('AFA Rates'!$A$5:$A$1004,T522),Firms!$A$5:$A$1004,0),""),""))</f>
        <v/>
      </c>
    </row>
    <row r="523">
      <c r="A523" s="78">
        <f>IF($T523="","",IF($S523="S",IF(INDEX(Firms!$A$5:$A$1004,$T523)="","",INDEX(Firms!$A$5:$A$1004,$T523)),IF(INDEX('AFA Rates'!$A$5:$A$1004,$T523)="","",INDEX('AFA Rates'!$A$5:$A$1004,$T523))))</f>
        <v/>
      </c>
      <c r="B523" s="79">
        <f>IF(OR($T523="",$U523=""),IF($T523="","","Not on Firms tab"),INDEX(Firms!$B$5:$B$1004,$U523)&amp;"")</f>
        <v/>
      </c>
      <c r="C523" s="78">
        <f>IF($T523="","",IF($S523="S","Standard",INDEX('AFA Rates'!$B$5:$B$1004,$T523)&amp;""))</f>
        <v/>
      </c>
      <c r="D523" s="88">
        <f>IF($T523="","",IF($S523="S",IF(INDEX(Firms!$E$5:$E$1004,$T523)="","",INDEX(Firms!$E$5:$E$1004,$T523)),IF(INDEX('AFA Rates'!$C$5:$C$1004,$T523)="","",INDEX('AFA Rates'!$C$5:$C$1004,$T523))))</f>
        <v/>
      </c>
      <c r="E523" s="88">
        <f>IF($T523="","",IF($S523="S",IF(""="","",""),IF(INDEX('AFA Rates'!$D$5:$D$1004,$T523)="","",INDEX('AFA Rates'!$D$5:$D$1004,$T523))))</f>
        <v/>
      </c>
      <c r="F523" s="79">
        <f>IF($T523="","",IF($S523="S",IF(INDEX(Firms!$O$5:$O$1004,$T523)="","",INDEX(Firms!$O$5:$O$1004,$T523)),IF(INDEX('AFA Rates'!$O$5:$O$1004,$T523)="","",INDEX('AFA Rates'!$O$5:$O$1004,$T523))))</f>
        <v/>
      </c>
      <c r="G523" s="50">
        <f>IF($T523="","",IF($S523="S",IF(INDEX(Firms!$F$5:$F$1004,$T523)="","",INDEX(Firms!$F$5:$F$1004,$T523)),IF(INDEX('AFA Rates'!$E$5:$E$1004,$T523)="","",INDEX('AFA Rates'!$E$5:$E$1004,$T523))))</f>
        <v/>
      </c>
      <c r="H523" s="50">
        <f>IF($T523="","",IF($S523="S",IF(INDEX(Firms!$G$5:$G$1004,$T523)="","",INDEX(Firms!$G$5:$G$1004,$T523)),IF(INDEX('AFA Rates'!$F$5:$F$1004,$T523)="","",INDEX('AFA Rates'!$F$5:$F$1004,$T523))))</f>
        <v/>
      </c>
      <c r="I523" s="50">
        <f>IF($T523="","",IF($S523="S",IF(INDEX(Firms!$H$5:$H$1004,$T523)="","",INDEX(Firms!$H$5:$H$1004,$T523)),IF(INDEX('AFA Rates'!$G$5:$G$1004,$T523)="","",INDEX('AFA Rates'!$G$5:$G$1004,$T523))))</f>
        <v/>
      </c>
      <c r="J523" s="50">
        <f>IF($T523="","",IF($S523="S",IF(INDEX(Firms!$I$5:$I$1004,$T523)="","",INDEX(Firms!$I$5:$I$1004,$T523)),IF(INDEX('AFA Rates'!$H$5:$H$1004,$T523)="","",INDEX('AFA Rates'!$H$5:$H$1004,$T523))))</f>
        <v/>
      </c>
      <c r="K523" s="50">
        <f>IF($T523="","",IF($S523="S",IF(INDEX(Firms!$J$5:$J$1004,$T523)="","",INDEX(Firms!$J$5:$J$1004,$T523)),IF(INDEX('AFA Rates'!$I$5:$I$1004,$T523)="","",INDEX('AFA Rates'!$I$5:$I$1004,$T523))))</f>
        <v/>
      </c>
      <c r="L523" s="50">
        <f>IF($T523="","",IF($S523="S",IF(INDEX(Firms!$K$5:$K$1004,$T523)="","",INDEX(Firms!$K$5:$K$1004,$T523)),IF(INDEX('AFA Rates'!$J$5:$J$1004,$T523)="","",INDEX('AFA Rates'!$J$5:$J$1004,$T523))))</f>
        <v/>
      </c>
      <c r="M523" s="50">
        <f>IF($T523="","",IF($S523="S",IF(INDEX(Firms!$L$5:$L$1004,$T523)="","",INDEX(Firms!$L$5:$L$1004,$T523)),IF(INDEX('AFA Rates'!$K$5:$K$1004,$T523)="","",INDEX('AFA Rates'!$K$5:$K$1004,$T523))))</f>
        <v/>
      </c>
      <c r="N523" s="50">
        <f>IF($T523="","",IF($S523="S",IF(INDEX(Firms!$M$5:$M$1004,$T523)="","",INDEX(Firms!$M$5:$M$1004,$T523)),IF(INDEX('AFA Rates'!$L$5:$L$1004,$T523)="","",INDEX('AFA Rates'!$L$5:$L$1004,$T523))))</f>
        <v/>
      </c>
      <c r="O523" s="78">
        <f>IF(OR($T523="",$U523=""),"",IF(INDEX(Firms!$C$5:$C$1004,$U523)="","",INDEX(Firms!$C$5:$C$1004,$U523)))</f>
        <v/>
      </c>
      <c r="P523" s="79">
        <f>IF(OR($T523="",$U523=""),"",IF(INDEX(Firms!$N$5:$N$1004,$U523)="","",INDEX(Firms!$N$5:$N$1004,$U523)))</f>
        <v/>
      </c>
      <c r="Q523" s="78">
        <f>IF($T523="","",IF($S523="S",IF(INDEX(Firms!$T$5:$T$1004,$T523)="","",INDEX(Firms!$T$5:$T$1004,$T523)),IF(INDEX('AFA Rates'!$M$5:$M$1004,$T523)="","",INDEX('AFA Rates'!$M$5:$M$1004,$T523))))</f>
        <v/>
      </c>
      <c r="S523">
        <f>IF(519&lt;=$S$2,"S",IF(519&lt;=$S$2+$T$2,"A",""))</f>
        <v/>
      </c>
      <c r="T523">
        <f>IF(S523="S",MATCH(519,Firms!$W$5:$W$1004,0),IF(S523="A",IFERROR(MATCH(519-$S$2,'AFA Rates'!$R$5:$R$1004,0),""),""))</f>
        <v/>
      </c>
      <c r="U523">
        <f>IF(S523="S",T523,IF(AND(S523="A",T523&lt;&gt;""),IFERROR(MATCH(INDEX('AFA Rates'!$A$5:$A$1004,T523),Firms!$A$5:$A$1004,0),""),""))</f>
        <v/>
      </c>
    </row>
    <row r="524">
      <c r="A524" s="78">
        <f>IF($T524="","",IF($S524="S",IF(INDEX(Firms!$A$5:$A$1004,$T524)="","",INDEX(Firms!$A$5:$A$1004,$T524)),IF(INDEX('AFA Rates'!$A$5:$A$1004,$T524)="","",INDEX('AFA Rates'!$A$5:$A$1004,$T524))))</f>
        <v/>
      </c>
      <c r="B524" s="79">
        <f>IF(OR($T524="",$U524=""),IF($T524="","","Not on Firms tab"),INDEX(Firms!$B$5:$B$1004,$U524)&amp;"")</f>
        <v/>
      </c>
      <c r="C524" s="78">
        <f>IF($T524="","",IF($S524="S","Standard",INDEX('AFA Rates'!$B$5:$B$1004,$T524)&amp;""))</f>
        <v/>
      </c>
      <c r="D524" s="88">
        <f>IF($T524="","",IF($S524="S",IF(INDEX(Firms!$E$5:$E$1004,$T524)="","",INDEX(Firms!$E$5:$E$1004,$T524)),IF(INDEX('AFA Rates'!$C$5:$C$1004,$T524)="","",INDEX('AFA Rates'!$C$5:$C$1004,$T524))))</f>
        <v/>
      </c>
      <c r="E524" s="88">
        <f>IF($T524="","",IF($S524="S",IF(""="","",""),IF(INDEX('AFA Rates'!$D$5:$D$1004,$T524)="","",INDEX('AFA Rates'!$D$5:$D$1004,$T524))))</f>
        <v/>
      </c>
      <c r="F524" s="79">
        <f>IF($T524="","",IF($S524="S",IF(INDEX(Firms!$O$5:$O$1004,$T524)="","",INDEX(Firms!$O$5:$O$1004,$T524)),IF(INDEX('AFA Rates'!$O$5:$O$1004,$T524)="","",INDEX('AFA Rates'!$O$5:$O$1004,$T524))))</f>
        <v/>
      </c>
      <c r="G524" s="50">
        <f>IF($T524="","",IF($S524="S",IF(INDEX(Firms!$F$5:$F$1004,$T524)="","",INDEX(Firms!$F$5:$F$1004,$T524)),IF(INDEX('AFA Rates'!$E$5:$E$1004,$T524)="","",INDEX('AFA Rates'!$E$5:$E$1004,$T524))))</f>
        <v/>
      </c>
      <c r="H524" s="50">
        <f>IF($T524="","",IF($S524="S",IF(INDEX(Firms!$G$5:$G$1004,$T524)="","",INDEX(Firms!$G$5:$G$1004,$T524)),IF(INDEX('AFA Rates'!$F$5:$F$1004,$T524)="","",INDEX('AFA Rates'!$F$5:$F$1004,$T524))))</f>
        <v/>
      </c>
      <c r="I524" s="50">
        <f>IF($T524="","",IF($S524="S",IF(INDEX(Firms!$H$5:$H$1004,$T524)="","",INDEX(Firms!$H$5:$H$1004,$T524)),IF(INDEX('AFA Rates'!$G$5:$G$1004,$T524)="","",INDEX('AFA Rates'!$G$5:$G$1004,$T524))))</f>
        <v/>
      </c>
      <c r="J524" s="50">
        <f>IF($T524="","",IF($S524="S",IF(INDEX(Firms!$I$5:$I$1004,$T524)="","",INDEX(Firms!$I$5:$I$1004,$T524)),IF(INDEX('AFA Rates'!$H$5:$H$1004,$T524)="","",INDEX('AFA Rates'!$H$5:$H$1004,$T524))))</f>
        <v/>
      </c>
      <c r="K524" s="50">
        <f>IF($T524="","",IF($S524="S",IF(INDEX(Firms!$J$5:$J$1004,$T524)="","",INDEX(Firms!$J$5:$J$1004,$T524)),IF(INDEX('AFA Rates'!$I$5:$I$1004,$T524)="","",INDEX('AFA Rates'!$I$5:$I$1004,$T524))))</f>
        <v/>
      </c>
      <c r="L524" s="50">
        <f>IF($T524="","",IF($S524="S",IF(INDEX(Firms!$K$5:$K$1004,$T524)="","",INDEX(Firms!$K$5:$K$1004,$T524)),IF(INDEX('AFA Rates'!$J$5:$J$1004,$T524)="","",INDEX('AFA Rates'!$J$5:$J$1004,$T524))))</f>
        <v/>
      </c>
      <c r="M524" s="50">
        <f>IF($T524="","",IF($S524="S",IF(INDEX(Firms!$L$5:$L$1004,$T524)="","",INDEX(Firms!$L$5:$L$1004,$T524)),IF(INDEX('AFA Rates'!$K$5:$K$1004,$T524)="","",INDEX('AFA Rates'!$K$5:$K$1004,$T524))))</f>
        <v/>
      </c>
      <c r="N524" s="50">
        <f>IF($T524="","",IF($S524="S",IF(INDEX(Firms!$M$5:$M$1004,$T524)="","",INDEX(Firms!$M$5:$M$1004,$T524)),IF(INDEX('AFA Rates'!$L$5:$L$1004,$T524)="","",INDEX('AFA Rates'!$L$5:$L$1004,$T524))))</f>
        <v/>
      </c>
      <c r="O524" s="78">
        <f>IF(OR($T524="",$U524=""),"",IF(INDEX(Firms!$C$5:$C$1004,$U524)="","",INDEX(Firms!$C$5:$C$1004,$U524)))</f>
        <v/>
      </c>
      <c r="P524" s="79">
        <f>IF(OR($T524="",$U524=""),"",IF(INDEX(Firms!$N$5:$N$1004,$U524)="","",INDEX(Firms!$N$5:$N$1004,$U524)))</f>
        <v/>
      </c>
      <c r="Q524" s="78">
        <f>IF($T524="","",IF($S524="S",IF(INDEX(Firms!$T$5:$T$1004,$T524)="","",INDEX(Firms!$T$5:$T$1004,$T524)),IF(INDEX('AFA Rates'!$M$5:$M$1004,$T524)="","",INDEX('AFA Rates'!$M$5:$M$1004,$T524))))</f>
        <v/>
      </c>
      <c r="S524">
        <f>IF(520&lt;=$S$2,"S",IF(520&lt;=$S$2+$T$2,"A",""))</f>
        <v/>
      </c>
      <c r="T524">
        <f>IF(S524="S",MATCH(520,Firms!$W$5:$W$1004,0),IF(S524="A",IFERROR(MATCH(520-$S$2,'AFA Rates'!$R$5:$R$1004,0),""),""))</f>
        <v/>
      </c>
      <c r="U524">
        <f>IF(S524="S",T524,IF(AND(S524="A",T524&lt;&gt;""),IFERROR(MATCH(INDEX('AFA Rates'!$A$5:$A$1004,T524),Firms!$A$5:$A$1004,0),""),""))</f>
        <v/>
      </c>
    </row>
    <row r="525">
      <c r="A525" s="78">
        <f>IF($T525="","",IF($S525="S",IF(INDEX(Firms!$A$5:$A$1004,$T525)="","",INDEX(Firms!$A$5:$A$1004,$T525)),IF(INDEX('AFA Rates'!$A$5:$A$1004,$T525)="","",INDEX('AFA Rates'!$A$5:$A$1004,$T525))))</f>
        <v/>
      </c>
      <c r="B525" s="79">
        <f>IF(OR($T525="",$U525=""),IF($T525="","","Not on Firms tab"),INDEX(Firms!$B$5:$B$1004,$U525)&amp;"")</f>
        <v/>
      </c>
      <c r="C525" s="78">
        <f>IF($T525="","",IF($S525="S","Standard",INDEX('AFA Rates'!$B$5:$B$1004,$T525)&amp;""))</f>
        <v/>
      </c>
      <c r="D525" s="88">
        <f>IF($T525="","",IF($S525="S",IF(INDEX(Firms!$E$5:$E$1004,$T525)="","",INDEX(Firms!$E$5:$E$1004,$T525)),IF(INDEX('AFA Rates'!$C$5:$C$1004,$T525)="","",INDEX('AFA Rates'!$C$5:$C$1004,$T525))))</f>
        <v/>
      </c>
      <c r="E525" s="88">
        <f>IF($T525="","",IF($S525="S",IF(""="","",""),IF(INDEX('AFA Rates'!$D$5:$D$1004,$T525)="","",INDEX('AFA Rates'!$D$5:$D$1004,$T525))))</f>
        <v/>
      </c>
      <c r="F525" s="79">
        <f>IF($T525="","",IF($S525="S",IF(INDEX(Firms!$O$5:$O$1004,$T525)="","",INDEX(Firms!$O$5:$O$1004,$T525)),IF(INDEX('AFA Rates'!$O$5:$O$1004,$T525)="","",INDEX('AFA Rates'!$O$5:$O$1004,$T525))))</f>
        <v/>
      </c>
      <c r="G525" s="50">
        <f>IF($T525="","",IF($S525="S",IF(INDEX(Firms!$F$5:$F$1004,$T525)="","",INDEX(Firms!$F$5:$F$1004,$T525)),IF(INDEX('AFA Rates'!$E$5:$E$1004,$T525)="","",INDEX('AFA Rates'!$E$5:$E$1004,$T525))))</f>
        <v/>
      </c>
      <c r="H525" s="50">
        <f>IF($T525="","",IF($S525="S",IF(INDEX(Firms!$G$5:$G$1004,$T525)="","",INDEX(Firms!$G$5:$G$1004,$T525)),IF(INDEX('AFA Rates'!$F$5:$F$1004,$T525)="","",INDEX('AFA Rates'!$F$5:$F$1004,$T525))))</f>
        <v/>
      </c>
      <c r="I525" s="50">
        <f>IF($T525="","",IF($S525="S",IF(INDEX(Firms!$H$5:$H$1004,$T525)="","",INDEX(Firms!$H$5:$H$1004,$T525)),IF(INDEX('AFA Rates'!$G$5:$G$1004,$T525)="","",INDEX('AFA Rates'!$G$5:$G$1004,$T525))))</f>
        <v/>
      </c>
      <c r="J525" s="50">
        <f>IF($T525="","",IF($S525="S",IF(INDEX(Firms!$I$5:$I$1004,$T525)="","",INDEX(Firms!$I$5:$I$1004,$T525)),IF(INDEX('AFA Rates'!$H$5:$H$1004,$T525)="","",INDEX('AFA Rates'!$H$5:$H$1004,$T525))))</f>
        <v/>
      </c>
      <c r="K525" s="50">
        <f>IF($T525="","",IF($S525="S",IF(INDEX(Firms!$J$5:$J$1004,$T525)="","",INDEX(Firms!$J$5:$J$1004,$T525)),IF(INDEX('AFA Rates'!$I$5:$I$1004,$T525)="","",INDEX('AFA Rates'!$I$5:$I$1004,$T525))))</f>
        <v/>
      </c>
      <c r="L525" s="50">
        <f>IF($T525="","",IF($S525="S",IF(INDEX(Firms!$K$5:$K$1004,$T525)="","",INDEX(Firms!$K$5:$K$1004,$T525)),IF(INDEX('AFA Rates'!$J$5:$J$1004,$T525)="","",INDEX('AFA Rates'!$J$5:$J$1004,$T525))))</f>
        <v/>
      </c>
      <c r="M525" s="50">
        <f>IF($T525="","",IF($S525="S",IF(INDEX(Firms!$L$5:$L$1004,$T525)="","",INDEX(Firms!$L$5:$L$1004,$T525)),IF(INDEX('AFA Rates'!$K$5:$K$1004,$T525)="","",INDEX('AFA Rates'!$K$5:$K$1004,$T525))))</f>
        <v/>
      </c>
      <c r="N525" s="50">
        <f>IF($T525="","",IF($S525="S",IF(INDEX(Firms!$M$5:$M$1004,$T525)="","",INDEX(Firms!$M$5:$M$1004,$T525)),IF(INDEX('AFA Rates'!$L$5:$L$1004,$T525)="","",INDEX('AFA Rates'!$L$5:$L$1004,$T525))))</f>
        <v/>
      </c>
      <c r="O525" s="78">
        <f>IF(OR($T525="",$U525=""),"",IF(INDEX(Firms!$C$5:$C$1004,$U525)="","",INDEX(Firms!$C$5:$C$1004,$U525)))</f>
        <v/>
      </c>
      <c r="P525" s="79">
        <f>IF(OR($T525="",$U525=""),"",IF(INDEX(Firms!$N$5:$N$1004,$U525)="","",INDEX(Firms!$N$5:$N$1004,$U525)))</f>
        <v/>
      </c>
      <c r="Q525" s="78">
        <f>IF($T525="","",IF($S525="S",IF(INDEX(Firms!$T$5:$T$1004,$T525)="","",INDEX(Firms!$T$5:$T$1004,$T525)),IF(INDEX('AFA Rates'!$M$5:$M$1004,$T525)="","",INDEX('AFA Rates'!$M$5:$M$1004,$T525))))</f>
        <v/>
      </c>
      <c r="S525">
        <f>IF(521&lt;=$S$2,"S",IF(521&lt;=$S$2+$T$2,"A",""))</f>
        <v/>
      </c>
      <c r="T525">
        <f>IF(S525="S",MATCH(521,Firms!$W$5:$W$1004,0),IF(S525="A",IFERROR(MATCH(521-$S$2,'AFA Rates'!$R$5:$R$1004,0),""),""))</f>
        <v/>
      </c>
      <c r="U525">
        <f>IF(S525="S",T525,IF(AND(S525="A",T525&lt;&gt;""),IFERROR(MATCH(INDEX('AFA Rates'!$A$5:$A$1004,T525),Firms!$A$5:$A$1004,0),""),""))</f>
        <v/>
      </c>
    </row>
    <row r="526">
      <c r="A526" s="78">
        <f>IF($T526="","",IF($S526="S",IF(INDEX(Firms!$A$5:$A$1004,$T526)="","",INDEX(Firms!$A$5:$A$1004,$T526)),IF(INDEX('AFA Rates'!$A$5:$A$1004,$T526)="","",INDEX('AFA Rates'!$A$5:$A$1004,$T526))))</f>
        <v/>
      </c>
      <c r="B526" s="79">
        <f>IF(OR($T526="",$U526=""),IF($T526="","","Not on Firms tab"),INDEX(Firms!$B$5:$B$1004,$U526)&amp;"")</f>
        <v/>
      </c>
      <c r="C526" s="78">
        <f>IF($T526="","",IF($S526="S","Standard",INDEX('AFA Rates'!$B$5:$B$1004,$T526)&amp;""))</f>
        <v/>
      </c>
      <c r="D526" s="88">
        <f>IF($T526="","",IF($S526="S",IF(INDEX(Firms!$E$5:$E$1004,$T526)="","",INDEX(Firms!$E$5:$E$1004,$T526)),IF(INDEX('AFA Rates'!$C$5:$C$1004,$T526)="","",INDEX('AFA Rates'!$C$5:$C$1004,$T526))))</f>
        <v/>
      </c>
      <c r="E526" s="88">
        <f>IF($T526="","",IF($S526="S",IF(""="","",""),IF(INDEX('AFA Rates'!$D$5:$D$1004,$T526)="","",INDEX('AFA Rates'!$D$5:$D$1004,$T526))))</f>
        <v/>
      </c>
      <c r="F526" s="79">
        <f>IF($T526="","",IF($S526="S",IF(INDEX(Firms!$O$5:$O$1004,$T526)="","",INDEX(Firms!$O$5:$O$1004,$T526)),IF(INDEX('AFA Rates'!$O$5:$O$1004,$T526)="","",INDEX('AFA Rates'!$O$5:$O$1004,$T526))))</f>
        <v/>
      </c>
      <c r="G526" s="50">
        <f>IF($T526="","",IF($S526="S",IF(INDEX(Firms!$F$5:$F$1004,$T526)="","",INDEX(Firms!$F$5:$F$1004,$T526)),IF(INDEX('AFA Rates'!$E$5:$E$1004,$T526)="","",INDEX('AFA Rates'!$E$5:$E$1004,$T526))))</f>
        <v/>
      </c>
      <c r="H526" s="50">
        <f>IF($T526="","",IF($S526="S",IF(INDEX(Firms!$G$5:$G$1004,$T526)="","",INDEX(Firms!$G$5:$G$1004,$T526)),IF(INDEX('AFA Rates'!$F$5:$F$1004,$T526)="","",INDEX('AFA Rates'!$F$5:$F$1004,$T526))))</f>
        <v/>
      </c>
      <c r="I526" s="50">
        <f>IF($T526="","",IF($S526="S",IF(INDEX(Firms!$H$5:$H$1004,$T526)="","",INDEX(Firms!$H$5:$H$1004,$T526)),IF(INDEX('AFA Rates'!$G$5:$G$1004,$T526)="","",INDEX('AFA Rates'!$G$5:$G$1004,$T526))))</f>
        <v/>
      </c>
      <c r="J526" s="50">
        <f>IF($T526="","",IF($S526="S",IF(INDEX(Firms!$I$5:$I$1004,$T526)="","",INDEX(Firms!$I$5:$I$1004,$T526)),IF(INDEX('AFA Rates'!$H$5:$H$1004,$T526)="","",INDEX('AFA Rates'!$H$5:$H$1004,$T526))))</f>
        <v/>
      </c>
      <c r="K526" s="50">
        <f>IF($T526="","",IF($S526="S",IF(INDEX(Firms!$J$5:$J$1004,$T526)="","",INDEX(Firms!$J$5:$J$1004,$T526)),IF(INDEX('AFA Rates'!$I$5:$I$1004,$T526)="","",INDEX('AFA Rates'!$I$5:$I$1004,$T526))))</f>
        <v/>
      </c>
      <c r="L526" s="50">
        <f>IF($T526="","",IF($S526="S",IF(INDEX(Firms!$K$5:$K$1004,$T526)="","",INDEX(Firms!$K$5:$K$1004,$T526)),IF(INDEX('AFA Rates'!$J$5:$J$1004,$T526)="","",INDEX('AFA Rates'!$J$5:$J$1004,$T526))))</f>
        <v/>
      </c>
      <c r="M526" s="50">
        <f>IF($T526="","",IF($S526="S",IF(INDEX(Firms!$L$5:$L$1004,$T526)="","",INDEX(Firms!$L$5:$L$1004,$T526)),IF(INDEX('AFA Rates'!$K$5:$K$1004,$T526)="","",INDEX('AFA Rates'!$K$5:$K$1004,$T526))))</f>
        <v/>
      </c>
      <c r="N526" s="50">
        <f>IF($T526="","",IF($S526="S",IF(INDEX(Firms!$M$5:$M$1004,$T526)="","",INDEX(Firms!$M$5:$M$1004,$T526)),IF(INDEX('AFA Rates'!$L$5:$L$1004,$T526)="","",INDEX('AFA Rates'!$L$5:$L$1004,$T526))))</f>
        <v/>
      </c>
      <c r="O526" s="78">
        <f>IF(OR($T526="",$U526=""),"",IF(INDEX(Firms!$C$5:$C$1004,$U526)="","",INDEX(Firms!$C$5:$C$1004,$U526)))</f>
        <v/>
      </c>
      <c r="P526" s="79">
        <f>IF(OR($T526="",$U526=""),"",IF(INDEX(Firms!$N$5:$N$1004,$U526)="","",INDEX(Firms!$N$5:$N$1004,$U526)))</f>
        <v/>
      </c>
      <c r="Q526" s="78">
        <f>IF($T526="","",IF($S526="S",IF(INDEX(Firms!$T$5:$T$1004,$T526)="","",INDEX(Firms!$T$5:$T$1004,$T526)),IF(INDEX('AFA Rates'!$M$5:$M$1004,$T526)="","",INDEX('AFA Rates'!$M$5:$M$1004,$T526))))</f>
        <v/>
      </c>
      <c r="S526">
        <f>IF(522&lt;=$S$2,"S",IF(522&lt;=$S$2+$T$2,"A",""))</f>
        <v/>
      </c>
      <c r="T526">
        <f>IF(S526="S",MATCH(522,Firms!$W$5:$W$1004,0),IF(S526="A",IFERROR(MATCH(522-$S$2,'AFA Rates'!$R$5:$R$1004,0),""),""))</f>
        <v/>
      </c>
      <c r="U526">
        <f>IF(S526="S",T526,IF(AND(S526="A",T526&lt;&gt;""),IFERROR(MATCH(INDEX('AFA Rates'!$A$5:$A$1004,T526),Firms!$A$5:$A$1004,0),""),""))</f>
        <v/>
      </c>
    </row>
    <row r="527">
      <c r="A527" s="78">
        <f>IF($T527="","",IF($S527="S",IF(INDEX(Firms!$A$5:$A$1004,$T527)="","",INDEX(Firms!$A$5:$A$1004,$T527)),IF(INDEX('AFA Rates'!$A$5:$A$1004,$T527)="","",INDEX('AFA Rates'!$A$5:$A$1004,$T527))))</f>
        <v/>
      </c>
      <c r="B527" s="79">
        <f>IF(OR($T527="",$U527=""),IF($T527="","","Not on Firms tab"),INDEX(Firms!$B$5:$B$1004,$U527)&amp;"")</f>
        <v/>
      </c>
      <c r="C527" s="78">
        <f>IF($T527="","",IF($S527="S","Standard",INDEX('AFA Rates'!$B$5:$B$1004,$T527)&amp;""))</f>
        <v/>
      </c>
      <c r="D527" s="88">
        <f>IF($T527="","",IF($S527="S",IF(INDEX(Firms!$E$5:$E$1004,$T527)="","",INDEX(Firms!$E$5:$E$1004,$T527)),IF(INDEX('AFA Rates'!$C$5:$C$1004,$T527)="","",INDEX('AFA Rates'!$C$5:$C$1004,$T527))))</f>
        <v/>
      </c>
      <c r="E527" s="88">
        <f>IF($T527="","",IF($S527="S",IF(""="","",""),IF(INDEX('AFA Rates'!$D$5:$D$1004,$T527)="","",INDEX('AFA Rates'!$D$5:$D$1004,$T527))))</f>
        <v/>
      </c>
      <c r="F527" s="79">
        <f>IF($T527="","",IF($S527="S",IF(INDEX(Firms!$O$5:$O$1004,$T527)="","",INDEX(Firms!$O$5:$O$1004,$T527)),IF(INDEX('AFA Rates'!$O$5:$O$1004,$T527)="","",INDEX('AFA Rates'!$O$5:$O$1004,$T527))))</f>
        <v/>
      </c>
      <c r="G527" s="50">
        <f>IF($T527="","",IF($S527="S",IF(INDEX(Firms!$F$5:$F$1004,$T527)="","",INDEX(Firms!$F$5:$F$1004,$T527)),IF(INDEX('AFA Rates'!$E$5:$E$1004,$T527)="","",INDEX('AFA Rates'!$E$5:$E$1004,$T527))))</f>
        <v/>
      </c>
      <c r="H527" s="50">
        <f>IF($T527="","",IF($S527="S",IF(INDEX(Firms!$G$5:$G$1004,$T527)="","",INDEX(Firms!$G$5:$G$1004,$T527)),IF(INDEX('AFA Rates'!$F$5:$F$1004,$T527)="","",INDEX('AFA Rates'!$F$5:$F$1004,$T527))))</f>
        <v/>
      </c>
      <c r="I527" s="50">
        <f>IF($T527="","",IF($S527="S",IF(INDEX(Firms!$H$5:$H$1004,$T527)="","",INDEX(Firms!$H$5:$H$1004,$T527)),IF(INDEX('AFA Rates'!$G$5:$G$1004,$T527)="","",INDEX('AFA Rates'!$G$5:$G$1004,$T527))))</f>
        <v/>
      </c>
      <c r="J527" s="50">
        <f>IF($T527="","",IF($S527="S",IF(INDEX(Firms!$I$5:$I$1004,$T527)="","",INDEX(Firms!$I$5:$I$1004,$T527)),IF(INDEX('AFA Rates'!$H$5:$H$1004,$T527)="","",INDEX('AFA Rates'!$H$5:$H$1004,$T527))))</f>
        <v/>
      </c>
      <c r="K527" s="50">
        <f>IF($T527="","",IF($S527="S",IF(INDEX(Firms!$J$5:$J$1004,$T527)="","",INDEX(Firms!$J$5:$J$1004,$T527)),IF(INDEX('AFA Rates'!$I$5:$I$1004,$T527)="","",INDEX('AFA Rates'!$I$5:$I$1004,$T527))))</f>
        <v/>
      </c>
      <c r="L527" s="50">
        <f>IF($T527="","",IF($S527="S",IF(INDEX(Firms!$K$5:$K$1004,$T527)="","",INDEX(Firms!$K$5:$K$1004,$T527)),IF(INDEX('AFA Rates'!$J$5:$J$1004,$T527)="","",INDEX('AFA Rates'!$J$5:$J$1004,$T527))))</f>
        <v/>
      </c>
      <c r="M527" s="50">
        <f>IF($T527="","",IF($S527="S",IF(INDEX(Firms!$L$5:$L$1004,$T527)="","",INDEX(Firms!$L$5:$L$1004,$T527)),IF(INDEX('AFA Rates'!$K$5:$K$1004,$T527)="","",INDEX('AFA Rates'!$K$5:$K$1004,$T527))))</f>
        <v/>
      </c>
      <c r="N527" s="50">
        <f>IF($T527="","",IF($S527="S",IF(INDEX(Firms!$M$5:$M$1004,$T527)="","",INDEX(Firms!$M$5:$M$1004,$T527)),IF(INDEX('AFA Rates'!$L$5:$L$1004,$T527)="","",INDEX('AFA Rates'!$L$5:$L$1004,$T527))))</f>
        <v/>
      </c>
      <c r="O527" s="78">
        <f>IF(OR($T527="",$U527=""),"",IF(INDEX(Firms!$C$5:$C$1004,$U527)="","",INDEX(Firms!$C$5:$C$1004,$U527)))</f>
        <v/>
      </c>
      <c r="P527" s="79">
        <f>IF(OR($T527="",$U527=""),"",IF(INDEX(Firms!$N$5:$N$1004,$U527)="","",INDEX(Firms!$N$5:$N$1004,$U527)))</f>
        <v/>
      </c>
      <c r="Q527" s="78">
        <f>IF($T527="","",IF($S527="S",IF(INDEX(Firms!$T$5:$T$1004,$T527)="","",INDEX(Firms!$T$5:$T$1004,$T527)),IF(INDEX('AFA Rates'!$M$5:$M$1004,$T527)="","",INDEX('AFA Rates'!$M$5:$M$1004,$T527))))</f>
        <v/>
      </c>
      <c r="S527">
        <f>IF(523&lt;=$S$2,"S",IF(523&lt;=$S$2+$T$2,"A",""))</f>
        <v/>
      </c>
      <c r="T527">
        <f>IF(S527="S",MATCH(523,Firms!$W$5:$W$1004,0),IF(S527="A",IFERROR(MATCH(523-$S$2,'AFA Rates'!$R$5:$R$1004,0),""),""))</f>
        <v/>
      </c>
      <c r="U527">
        <f>IF(S527="S",T527,IF(AND(S527="A",T527&lt;&gt;""),IFERROR(MATCH(INDEX('AFA Rates'!$A$5:$A$1004,T527),Firms!$A$5:$A$1004,0),""),""))</f>
        <v/>
      </c>
    </row>
    <row r="528">
      <c r="A528" s="78">
        <f>IF($T528="","",IF($S528="S",IF(INDEX(Firms!$A$5:$A$1004,$T528)="","",INDEX(Firms!$A$5:$A$1004,$T528)),IF(INDEX('AFA Rates'!$A$5:$A$1004,$T528)="","",INDEX('AFA Rates'!$A$5:$A$1004,$T528))))</f>
        <v/>
      </c>
      <c r="B528" s="79">
        <f>IF(OR($T528="",$U528=""),IF($T528="","","Not on Firms tab"),INDEX(Firms!$B$5:$B$1004,$U528)&amp;"")</f>
        <v/>
      </c>
      <c r="C528" s="78">
        <f>IF($T528="","",IF($S528="S","Standard",INDEX('AFA Rates'!$B$5:$B$1004,$T528)&amp;""))</f>
        <v/>
      </c>
      <c r="D528" s="88">
        <f>IF($T528="","",IF($S528="S",IF(INDEX(Firms!$E$5:$E$1004,$T528)="","",INDEX(Firms!$E$5:$E$1004,$T528)),IF(INDEX('AFA Rates'!$C$5:$C$1004,$T528)="","",INDEX('AFA Rates'!$C$5:$C$1004,$T528))))</f>
        <v/>
      </c>
      <c r="E528" s="88">
        <f>IF($T528="","",IF($S528="S",IF(""="","",""),IF(INDEX('AFA Rates'!$D$5:$D$1004,$T528)="","",INDEX('AFA Rates'!$D$5:$D$1004,$T528))))</f>
        <v/>
      </c>
      <c r="F528" s="79">
        <f>IF($T528="","",IF($S528="S",IF(INDEX(Firms!$O$5:$O$1004,$T528)="","",INDEX(Firms!$O$5:$O$1004,$T528)),IF(INDEX('AFA Rates'!$O$5:$O$1004,$T528)="","",INDEX('AFA Rates'!$O$5:$O$1004,$T528))))</f>
        <v/>
      </c>
      <c r="G528" s="50">
        <f>IF($T528="","",IF($S528="S",IF(INDEX(Firms!$F$5:$F$1004,$T528)="","",INDEX(Firms!$F$5:$F$1004,$T528)),IF(INDEX('AFA Rates'!$E$5:$E$1004,$T528)="","",INDEX('AFA Rates'!$E$5:$E$1004,$T528))))</f>
        <v/>
      </c>
      <c r="H528" s="50">
        <f>IF($T528="","",IF($S528="S",IF(INDEX(Firms!$G$5:$G$1004,$T528)="","",INDEX(Firms!$G$5:$G$1004,$T528)),IF(INDEX('AFA Rates'!$F$5:$F$1004,$T528)="","",INDEX('AFA Rates'!$F$5:$F$1004,$T528))))</f>
        <v/>
      </c>
      <c r="I528" s="50">
        <f>IF($T528="","",IF($S528="S",IF(INDEX(Firms!$H$5:$H$1004,$T528)="","",INDEX(Firms!$H$5:$H$1004,$T528)),IF(INDEX('AFA Rates'!$G$5:$G$1004,$T528)="","",INDEX('AFA Rates'!$G$5:$G$1004,$T528))))</f>
        <v/>
      </c>
      <c r="J528" s="50">
        <f>IF($T528="","",IF($S528="S",IF(INDEX(Firms!$I$5:$I$1004,$T528)="","",INDEX(Firms!$I$5:$I$1004,$T528)),IF(INDEX('AFA Rates'!$H$5:$H$1004,$T528)="","",INDEX('AFA Rates'!$H$5:$H$1004,$T528))))</f>
        <v/>
      </c>
      <c r="K528" s="50">
        <f>IF($T528="","",IF($S528="S",IF(INDEX(Firms!$J$5:$J$1004,$T528)="","",INDEX(Firms!$J$5:$J$1004,$T528)),IF(INDEX('AFA Rates'!$I$5:$I$1004,$T528)="","",INDEX('AFA Rates'!$I$5:$I$1004,$T528))))</f>
        <v/>
      </c>
      <c r="L528" s="50">
        <f>IF($T528="","",IF($S528="S",IF(INDEX(Firms!$K$5:$K$1004,$T528)="","",INDEX(Firms!$K$5:$K$1004,$T528)),IF(INDEX('AFA Rates'!$J$5:$J$1004,$T528)="","",INDEX('AFA Rates'!$J$5:$J$1004,$T528))))</f>
        <v/>
      </c>
      <c r="M528" s="50">
        <f>IF($T528="","",IF($S528="S",IF(INDEX(Firms!$L$5:$L$1004,$T528)="","",INDEX(Firms!$L$5:$L$1004,$T528)),IF(INDEX('AFA Rates'!$K$5:$K$1004,$T528)="","",INDEX('AFA Rates'!$K$5:$K$1004,$T528))))</f>
        <v/>
      </c>
      <c r="N528" s="50">
        <f>IF($T528="","",IF($S528="S",IF(INDEX(Firms!$M$5:$M$1004,$T528)="","",INDEX(Firms!$M$5:$M$1004,$T528)),IF(INDEX('AFA Rates'!$L$5:$L$1004,$T528)="","",INDEX('AFA Rates'!$L$5:$L$1004,$T528))))</f>
        <v/>
      </c>
      <c r="O528" s="78">
        <f>IF(OR($T528="",$U528=""),"",IF(INDEX(Firms!$C$5:$C$1004,$U528)="","",INDEX(Firms!$C$5:$C$1004,$U528)))</f>
        <v/>
      </c>
      <c r="P528" s="79">
        <f>IF(OR($T528="",$U528=""),"",IF(INDEX(Firms!$N$5:$N$1004,$U528)="","",INDEX(Firms!$N$5:$N$1004,$U528)))</f>
        <v/>
      </c>
      <c r="Q528" s="78">
        <f>IF($T528="","",IF($S528="S",IF(INDEX(Firms!$T$5:$T$1004,$T528)="","",INDEX(Firms!$T$5:$T$1004,$T528)),IF(INDEX('AFA Rates'!$M$5:$M$1004,$T528)="","",INDEX('AFA Rates'!$M$5:$M$1004,$T528))))</f>
        <v/>
      </c>
      <c r="S528">
        <f>IF(524&lt;=$S$2,"S",IF(524&lt;=$S$2+$T$2,"A",""))</f>
        <v/>
      </c>
      <c r="T528">
        <f>IF(S528="S",MATCH(524,Firms!$W$5:$W$1004,0),IF(S528="A",IFERROR(MATCH(524-$S$2,'AFA Rates'!$R$5:$R$1004,0),""),""))</f>
        <v/>
      </c>
      <c r="U528">
        <f>IF(S528="S",T528,IF(AND(S528="A",T528&lt;&gt;""),IFERROR(MATCH(INDEX('AFA Rates'!$A$5:$A$1004,T528),Firms!$A$5:$A$1004,0),""),""))</f>
        <v/>
      </c>
    </row>
    <row r="529">
      <c r="A529" s="78">
        <f>IF($T529="","",IF($S529="S",IF(INDEX(Firms!$A$5:$A$1004,$T529)="","",INDEX(Firms!$A$5:$A$1004,$T529)),IF(INDEX('AFA Rates'!$A$5:$A$1004,$T529)="","",INDEX('AFA Rates'!$A$5:$A$1004,$T529))))</f>
        <v/>
      </c>
      <c r="B529" s="79">
        <f>IF(OR($T529="",$U529=""),IF($T529="","","Not on Firms tab"),INDEX(Firms!$B$5:$B$1004,$U529)&amp;"")</f>
        <v/>
      </c>
      <c r="C529" s="78">
        <f>IF($T529="","",IF($S529="S","Standard",INDEX('AFA Rates'!$B$5:$B$1004,$T529)&amp;""))</f>
        <v/>
      </c>
      <c r="D529" s="88">
        <f>IF($T529="","",IF($S529="S",IF(INDEX(Firms!$E$5:$E$1004,$T529)="","",INDEX(Firms!$E$5:$E$1004,$T529)),IF(INDEX('AFA Rates'!$C$5:$C$1004,$T529)="","",INDEX('AFA Rates'!$C$5:$C$1004,$T529))))</f>
        <v/>
      </c>
      <c r="E529" s="88">
        <f>IF($T529="","",IF($S529="S",IF(""="","",""),IF(INDEX('AFA Rates'!$D$5:$D$1004,$T529)="","",INDEX('AFA Rates'!$D$5:$D$1004,$T529))))</f>
        <v/>
      </c>
      <c r="F529" s="79">
        <f>IF($T529="","",IF($S529="S",IF(INDEX(Firms!$O$5:$O$1004,$T529)="","",INDEX(Firms!$O$5:$O$1004,$T529)),IF(INDEX('AFA Rates'!$O$5:$O$1004,$T529)="","",INDEX('AFA Rates'!$O$5:$O$1004,$T529))))</f>
        <v/>
      </c>
      <c r="G529" s="50">
        <f>IF($T529="","",IF($S529="S",IF(INDEX(Firms!$F$5:$F$1004,$T529)="","",INDEX(Firms!$F$5:$F$1004,$T529)),IF(INDEX('AFA Rates'!$E$5:$E$1004,$T529)="","",INDEX('AFA Rates'!$E$5:$E$1004,$T529))))</f>
        <v/>
      </c>
      <c r="H529" s="50">
        <f>IF($T529="","",IF($S529="S",IF(INDEX(Firms!$G$5:$G$1004,$T529)="","",INDEX(Firms!$G$5:$G$1004,$T529)),IF(INDEX('AFA Rates'!$F$5:$F$1004,$T529)="","",INDEX('AFA Rates'!$F$5:$F$1004,$T529))))</f>
        <v/>
      </c>
      <c r="I529" s="50">
        <f>IF($T529="","",IF($S529="S",IF(INDEX(Firms!$H$5:$H$1004,$T529)="","",INDEX(Firms!$H$5:$H$1004,$T529)),IF(INDEX('AFA Rates'!$G$5:$G$1004,$T529)="","",INDEX('AFA Rates'!$G$5:$G$1004,$T529))))</f>
        <v/>
      </c>
      <c r="J529" s="50">
        <f>IF($T529="","",IF($S529="S",IF(INDEX(Firms!$I$5:$I$1004,$T529)="","",INDEX(Firms!$I$5:$I$1004,$T529)),IF(INDEX('AFA Rates'!$H$5:$H$1004,$T529)="","",INDEX('AFA Rates'!$H$5:$H$1004,$T529))))</f>
        <v/>
      </c>
      <c r="K529" s="50">
        <f>IF($T529="","",IF($S529="S",IF(INDEX(Firms!$J$5:$J$1004,$T529)="","",INDEX(Firms!$J$5:$J$1004,$T529)),IF(INDEX('AFA Rates'!$I$5:$I$1004,$T529)="","",INDEX('AFA Rates'!$I$5:$I$1004,$T529))))</f>
        <v/>
      </c>
      <c r="L529" s="50">
        <f>IF($T529="","",IF($S529="S",IF(INDEX(Firms!$K$5:$K$1004,$T529)="","",INDEX(Firms!$K$5:$K$1004,$T529)),IF(INDEX('AFA Rates'!$J$5:$J$1004,$T529)="","",INDEX('AFA Rates'!$J$5:$J$1004,$T529))))</f>
        <v/>
      </c>
      <c r="M529" s="50">
        <f>IF($T529="","",IF($S529="S",IF(INDEX(Firms!$L$5:$L$1004,$T529)="","",INDEX(Firms!$L$5:$L$1004,$T529)),IF(INDEX('AFA Rates'!$K$5:$K$1004,$T529)="","",INDEX('AFA Rates'!$K$5:$K$1004,$T529))))</f>
        <v/>
      </c>
      <c r="N529" s="50">
        <f>IF($T529="","",IF($S529="S",IF(INDEX(Firms!$M$5:$M$1004,$T529)="","",INDEX(Firms!$M$5:$M$1004,$T529)),IF(INDEX('AFA Rates'!$L$5:$L$1004,$T529)="","",INDEX('AFA Rates'!$L$5:$L$1004,$T529))))</f>
        <v/>
      </c>
      <c r="O529" s="78">
        <f>IF(OR($T529="",$U529=""),"",IF(INDEX(Firms!$C$5:$C$1004,$U529)="","",INDEX(Firms!$C$5:$C$1004,$U529)))</f>
        <v/>
      </c>
      <c r="P529" s="79">
        <f>IF(OR($T529="",$U529=""),"",IF(INDEX(Firms!$N$5:$N$1004,$U529)="","",INDEX(Firms!$N$5:$N$1004,$U529)))</f>
        <v/>
      </c>
      <c r="Q529" s="78">
        <f>IF($T529="","",IF($S529="S",IF(INDEX(Firms!$T$5:$T$1004,$T529)="","",INDEX(Firms!$T$5:$T$1004,$T529)),IF(INDEX('AFA Rates'!$M$5:$M$1004,$T529)="","",INDEX('AFA Rates'!$M$5:$M$1004,$T529))))</f>
        <v/>
      </c>
      <c r="S529">
        <f>IF(525&lt;=$S$2,"S",IF(525&lt;=$S$2+$T$2,"A",""))</f>
        <v/>
      </c>
      <c r="T529">
        <f>IF(S529="S",MATCH(525,Firms!$W$5:$W$1004,0),IF(S529="A",IFERROR(MATCH(525-$S$2,'AFA Rates'!$R$5:$R$1004,0),""),""))</f>
        <v/>
      </c>
      <c r="U529">
        <f>IF(S529="S",T529,IF(AND(S529="A",T529&lt;&gt;""),IFERROR(MATCH(INDEX('AFA Rates'!$A$5:$A$1004,T529),Firms!$A$5:$A$1004,0),""),""))</f>
        <v/>
      </c>
    </row>
    <row r="530">
      <c r="A530" s="78">
        <f>IF($T530="","",IF($S530="S",IF(INDEX(Firms!$A$5:$A$1004,$T530)="","",INDEX(Firms!$A$5:$A$1004,$T530)),IF(INDEX('AFA Rates'!$A$5:$A$1004,$T530)="","",INDEX('AFA Rates'!$A$5:$A$1004,$T530))))</f>
        <v/>
      </c>
      <c r="B530" s="79">
        <f>IF(OR($T530="",$U530=""),IF($T530="","","Not on Firms tab"),INDEX(Firms!$B$5:$B$1004,$U530)&amp;"")</f>
        <v/>
      </c>
      <c r="C530" s="78">
        <f>IF($T530="","",IF($S530="S","Standard",INDEX('AFA Rates'!$B$5:$B$1004,$T530)&amp;""))</f>
        <v/>
      </c>
      <c r="D530" s="88">
        <f>IF($T530="","",IF($S530="S",IF(INDEX(Firms!$E$5:$E$1004,$T530)="","",INDEX(Firms!$E$5:$E$1004,$T530)),IF(INDEX('AFA Rates'!$C$5:$C$1004,$T530)="","",INDEX('AFA Rates'!$C$5:$C$1004,$T530))))</f>
        <v/>
      </c>
      <c r="E530" s="88">
        <f>IF($T530="","",IF($S530="S",IF(""="","",""),IF(INDEX('AFA Rates'!$D$5:$D$1004,$T530)="","",INDEX('AFA Rates'!$D$5:$D$1004,$T530))))</f>
        <v/>
      </c>
      <c r="F530" s="79">
        <f>IF($T530="","",IF($S530="S",IF(INDEX(Firms!$O$5:$O$1004,$T530)="","",INDEX(Firms!$O$5:$O$1004,$T530)),IF(INDEX('AFA Rates'!$O$5:$O$1004,$T530)="","",INDEX('AFA Rates'!$O$5:$O$1004,$T530))))</f>
        <v/>
      </c>
      <c r="G530" s="50">
        <f>IF($T530="","",IF($S530="S",IF(INDEX(Firms!$F$5:$F$1004,$T530)="","",INDEX(Firms!$F$5:$F$1004,$T530)),IF(INDEX('AFA Rates'!$E$5:$E$1004,$T530)="","",INDEX('AFA Rates'!$E$5:$E$1004,$T530))))</f>
        <v/>
      </c>
      <c r="H530" s="50">
        <f>IF($T530="","",IF($S530="S",IF(INDEX(Firms!$G$5:$G$1004,$T530)="","",INDEX(Firms!$G$5:$G$1004,$T530)),IF(INDEX('AFA Rates'!$F$5:$F$1004,$T530)="","",INDEX('AFA Rates'!$F$5:$F$1004,$T530))))</f>
        <v/>
      </c>
      <c r="I530" s="50">
        <f>IF($T530="","",IF($S530="S",IF(INDEX(Firms!$H$5:$H$1004,$T530)="","",INDEX(Firms!$H$5:$H$1004,$T530)),IF(INDEX('AFA Rates'!$G$5:$G$1004,$T530)="","",INDEX('AFA Rates'!$G$5:$G$1004,$T530))))</f>
        <v/>
      </c>
      <c r="J530" s="50">
        <f>IF($T530="","",IF($S530="S",IF(INDEX(Firms!$I$5:$I$1004,$T530)="","",INDEX(Firms!$I$5:$I$1004,$T530)),IF(INDEX('AFA Rates'!$H$5:$H$1004,$T530)="","",INDEX('AFA Rates'!$H$5:$H$1004,$T530))))</f>
        <v/>
      </c>
      <c r="K530" s="50">
        <f>IF($T530="","",IF($S530="S",IF(INDEX(Firms!$J$5:$J$1004,$T530)="","",INDEX(Firms!$J$5:$J$1004,$T530)),IF(INDEX('AFA Rates'!$I$5:$I$1004,$T530)="","",INDEX('AFA Rates'!$I$5:$I$1004,$T530))))</f>
        <v/>
      </c>
      <c r="L530" s="50">
        <f>IF($T530="","",IF($S530="S",IF(INDEX(Firms!$K$5:$K$1004,$T530)="","",INDEX(Firms!$K$5:$K$1004,$T530)),IF(INDEX('AFA Rates'!$J$5:$J$1004,$T530)="","",INDEX('AFA Rates'!$J$5:$J$1004,$T530))))</f>
        <v/>
      </c>
      <c r="M530" s="50">
        <f>IF($T530="","",IF($S530="S",IF(INDEX(Firms!$L$5:$L$1004,$T530)="","",INDEX(Firms!$L$5:$L$1004,$T530)),IF(INDEX('AFA Rates'!$K$5:$K$1004,$T530)="","",INDEX('AFA Rates'!$K$5:$K$1004,$T530))))</f>
        <v/>
      </c>
      <c r="N530" s="50">
        <f>IF($T530="","",IF($S530="S",IF(INDEX(Firms!$M$5:$M$1004,$T530)="","",INDEX(Firms!$M$5:$M$1004,$T530)),IF(INDEX('AFA Rates'!$L$5:$L$1004,$T530)="","",INDEX('AFA Rates'!$L$5:$L$1004,$T530))))</f>
        <v/>
      </c>
      <c r="O530" s="78">
        <f>IF(OR($T530="",$U530=""),"",IF(INDEX(Firms!$C$5:$C$1004,$U530)="","",INDEX(Firms!$C$5:$C$1004,$U530)))</f>
        <v/>
      </c>
      <c r="P530" s="79">
        <f>IF(OR($T530="",$U530=""),"",IF(INDEX(Firms!$N$5:$N$1004,$U530)="","",INDEX(Firms!$N$5:$N$1004,$U530)))</f>
        <v/>
      </c>
      <c r="Q530" s="78">
        <f>IF($T530="","",IF($S530="S",IF(INDEX(Firms!$T$5:$T$1004,$T530)="","",INDEX(Firms!$T$5:$T$1004,$T530)),IF(INDEX('AFA Rates'!$M$5:$M$1004,$T530)="","",INDEX('AFA Rates'!$M$5:$M$1004,$T530))))</f>
        <v/>
      </c>
      <c r="S530">
        <f>IF(526&lt;=$S$2,"S",IF(526&lt;=$S$2+$T$2,"A",""))</f>
        <v/>
      </c>
      <c r="T530">
        <f>IF(S530="S",MATCH(526,Firms!$W$5:$W$1004,0),IF(S530="A",IFERROR(MATCH(526-$S$2,'AFA Rates'!$R$5:$R$1004,0),""),""))</f>
        <v/>
      </c>
      <c r="U530">
        <f>IF(S530="S",T530,IF(AND(S530="A",T530&lt;&gt;""),IFERROR(MATCH(INDEX('AFA Rates'!$A$5:$A$1004,T530),Firms!$A$5:$A$1004,0),""),""))</f>
        <v/>
      </c>
    </row>
    <row r="531">
      <c r="A531" s="78">
        <f>IF($T531="","",IF($S531="S",IF(INDEX(Firms!$A$5:$A$1004,$T531)="","",INDEX(Firms!$A$5:$A$1004,$T531)),IF(INDEX('AFA Rates'!$A$5:$A$1004,$T531)="","",INDEX('AFA Rates'!$A$5:$A$1004,$T531))))</f>
        <v/>
      </c>
      <c r="B531" s="79">
        <f>IF(OR($T531="",$U531=""),IF($T531="","","Not on Firms tab"),INDEX(Firms!$B$5:$B$1004,$U531)&amp;"")</f>
        <v/>
      </c>
      <c r="C531" s="78">
        <f>IF($T531="","",IF($S531="S","Standard",INDEX('AFA Rates'!$B$5:$B$1004,$T531)&amp;""))</f>
        <v/>
      </c>
      <c r="D531" s="88">
        <f>IF($T531="","",IF($S531="S",IF(INDEX(Firms!$E$5:$E$1004,$T531)="","",INDEX(Firms!$E$5:$E$1004,$T531)),IF(INDEX('AFA Rates'!$C$5:$C$1004,$T531)="","",INDEX('AFA Rates'!$C$5:$C$1004,$T531))))</f>
        <v/>
      </c>
      <c r="E531" s="88">
        <f>IF($T531="","",IF($S531="S",IF(""="","",""),IF(INDEX('AFA Rates'!$D$5:$D$1004,$T531)="","",INDEX('AFA Rates'!$D$5:$D$1004,$T531))))</f>
        <v/>
      </c>
      <c r="F531" s="79">
        <f>IF($T531="","",IF($S531="S",IF(INDEX(Firms!$O$5:$O$1004,$T531)="","",INDEX(Firms!$O$5:$O$1004,$T531)),IF(INDEX('AFA Rates'!$O$5:$O$1004,$T531)="","",INDEX('AFA Rates'!$O$5:$O$1004,$T531))))</f>
        <v/>
      </c>
      <c r="G531" s="50">
        <f>IF($T531="","",IF($S531="S",IF(INDEX(Firms!$F$5:$F$1004,$T531)="","",INDEX(Firms!$F$5:$F$1004,$T531)),IF(INDEX('AFA Rates'!$E$5:$E$1004,$T531)="","",INDEX('AFA Rates'!$E$5:$E$1004,$T531))))</f>
        <v/>
      </c>
      <c r="H531" s="50">
        <f>IF($T531="","",IF($S531="S",IF(INDEX(Firms!$G$5:$G$1004,$T531)="","",INDEX(Firms!$G$5:$G$1004,$T531)),IF(INDEX('AFA Rates'!$F$5:$F$1004,$T531)="","",INDEX('AFA Rates'!$F$5:$F$1004,$T531))))</f>
        <v/>
      </c>
      <c r="I531" s="50">
        <f>IF($T531="","",IF($S531="S",IF(INDEX(Firms!$H$5:$H$1004,$T531)="","",INDEX(Firms!$H$5:$H$1004,$T531)),IF(INDEX('AFA Rates'!$G$5:$G$1004,$T531)="","",INDEX('AFA Rates'!$G$5:$G$1004,$T531))))</f>
        <v/>
      </c>
      <c r="J531" s="50">
        <f>IF($T531="","",IF($S531="S",IF(INDEX(Firms!$I$5:$I$1004,$T531)="","",INDEX(Firms!$I$5:$I$1004,$T531)),IF(INDEX('AFA Rates'!$H$5:$H$1004,$T531)="","",INDEX('AFA Rates'!$H$5:$H$1004,$T531))))</f>
        <v/>
      </c>
      <c r="K531" s="50">
        <f>IF($T531="","",IF($S531="S",IF(INDEX(Firms!$J$5:$J$1004,$T531)="","",INDEX(Firms!$J$5:$J$1004,$T531)),IF(INDEX('AFA Rates'!$I$5:$I$1004,$T531)="","",INDEX('AFA Rates'!$I$5:$I$1004,$T531))))</f>
        <v/>
      </c>
      <c r="L531" s="50">
        <f>IF($T531="","",IF($S531="S",IF(INDEX(Firms!$K$5:$K$1004,$T531)="","",INDEX(Firms!$K$5:$K$1004,$T531)),IF(INDEX('AFA Rates'!$J$5:$J$1004,$T531)="","",INDEX('AFA Rates'!$J$5:$J$1004,$T531))))</f>
        <v/>
      </c>
      <c r="M531" s="50">
        <f>IF($T531="","",IF($S531="S",IF(INDEX(Firms!$L$5:$L$1004,$T531)="","",INDEX(Firms!$L$5:$L$1004,$T531)),IF(INDEX('AFA Rates'!$K$5:$K$1004,$T531)="","",INDEX('AFA Rates'!$K$5:$K$1004,$T531))))</f>
        <v/>
      </c>
      <c r="N531" s="50">
        <f>IF($T531="","",IF($S531="S",IF(INDEX(Firms!$M$5:$M$1004,$T531)="","",INDEX(Firms!$M$5:$M$1004,$T531)),IF(INDEX('AFA Rates'!$L$5:$L$1004,$T531)="","",INDEX('AFA Rates'!$L$5:$L$1004,$T531))))</f>
        <v/>
      </c>
      <c r="O531" s="78">
        <f>IF(OR($T531="",$U531=""),"",IF(INDEX(Firms!$C$5:$C$1004,$U531)="","",INDEX(Firms!$C$5:$C$1004,$U531)))</f>
        <v/>
      </c>
      <c r="P531" s="79">
        <f>IF(OR($T531="",$U531=""),"",IF(INDEX(Firms!$N$5:$N$1004,$U531)="","",INDEX(Firms!$N$5:$N$1004,$U531)))</f>
        <v/>
      </c>
      <c r="Q531" s="78">
        <f>IF($T531="","",IF($S531="S",IF(INDEX(Firms!$T$5:$T$1004,$T531)="","",INDEX(Firms!$T$5:$T$1004,$T531)),IF(INDEX('AFA Rates'!$M$5:$M$1004,$T531)="","",INDEX('AFA Rates'!$M$5:$M$1004,$T531))))</f>
        <v/>
      </c>
      <c r="S531">
        <f>IF(527&lt;=$S$2,"S",IF(527&lt;=$S$2+$T$2,"A",""))</f>
        <v/>
      </c>
      <c r="T531">
        <f>IF(S531="S",MATCH(527,Firms!$W$5:$W$1004,0),IF(S531="A",IFERROR(MATCH(527-$S$2,'AFA Rates'!$R$5:$R$1004,0),""),""))</f>
        <v/>
      </c>
      <c r="U531">
        <f>IF(S531="S",T531,IF(AND(S531="A",T531&lt;&gt;""),IFERROR(MATCH(INDEX('AFA Rates'!$A$5:$A$1004,T531),Firms!$A$5:$A$1004,0),""),""))</f>
        <v/>
      </c>
    </row>
    <row r="532">
      <c r="A532" s="78">
        <f>IF($T532="","",IF($S532="S",IF(INDEX(Firms!$A$5:$A$1004,$T532)="","",INDEX(Firms!$A$5:$A$1004,$T532)),IF(INDEX('AFA Rates'!$A$5:$A$1004,$T532)="","",INDEX('AFA Rates'!$A$5:$A$1004,$T532))))</f>
        <v/>
      </c>
      <c r="B532" s="79">
        <f>IF(OR($T532="",$U532=""),IF($T532="","","Not on Firms tab"),INDEX(Firms!$B$5:$B$1004,$U532)&amp;"")</f>
        <v/>
      </c>
      <c r="C532" s="78">
        <f>IF($T532="","",IF($S532="S","Standard",INDEX('AFA Rates'!$B$5:$B$1004,$T532)&amp;""))</f>
        <v/>
      </c>
      <c r="D532" s="88">
        <f>IF($T532="","",IF($S532="S",IF(INDEX(Firms!$E$5:$E$1004,$T532)="","",INDEX(Firms!$E$5:$E$1004,$T532)),IF(INDEX('AFA Rates'!$C$5:$C$1004,$T532)="","",INDEX('AFA Rates'!$C$5:$C$1004,$T532))))</f>
        <v/>
      </c>
      <c r="E532" s="88">
        <f>IF($T532="","",IF($S532="S",IF(""="","",""),IF(INDEX('AFA Rates'!$D$5:$D$1004,$T532)="","",INDEX('AFA Rates'!$D$5:$D$1004,$T532))))</f>
        <v/>
      </c>
      <c r="F532" s="79">
        <f>IF($T532="","",IF($S532="S",IF(INDEX(Firms!$O$5:$O$1004,$T532)="","",INDEX(Firms!$O$5:$O$1004,$T532)),IF(INDEX('AFA Rates'!$O$5:$O$1004,$T532)="","",INDEX('AFA Rates'!$O$5:$O$1004,$T532))))</f>
        <v/>
      </c>
      <c r="G532" s="50">
        <f>IF($T532="","",IF($S532="S",IF(INDEX(Firms!$F$5:$F$1004,$T532)="","",INDEX(Firms!$F$5:$F$1004,$T532)),IF(INDEX('AFA Rates'!$E$5:$E$1004,$T532)="","",INDEX('AFA Rates'!$E$5:$E$1004,$T532))))</f>
        <v/>
      </c>
      <c r="H532" s="50">
        <f>IF($T532="","",IF($S532="S",IF(INDEX(Firms!$G$5:$G$1004,$T532)="","",INDEX(Firms!$G$5:$G$1004,$T532)),IF(INDEX('AFA Rates'!$F$5:$F$1004,$T532)="","",INDEX('AFA Rates'!$F$5:$F$1004,$T532))))</f>
        <v/>
      </c>
      <c r="I532" s="50">
        <f>IF($T532="","",IF($S532="S",IF(INDEX(Firms!$H$5:$H$1004,$T532)="","",INDEX(Firms!$H$5:$H$1004,$T532)),IF(INDEX('AFA Rates'!$G$5:$G$1004,$T532)="","",INDEX('AFA Rates'!$G$5:$G$1004,$T532))))</f>
        <v/>
      </c>
      <c r="J532" s="50">
        <f>IF($T532="","",IF($S532="S",IF(INDEX(Firms!$I$5:$I$1004,$T532)="","",INDEX(Firms!$I$5:$I$1004,$T532)),IF(INDEX('AFA Rates'!$H$5:$H$1004,$T532)="","",INDEX('AFA Rates'!$H$5:$H$1004,$T532))))</f>
        <v/>
      </c>
      <c r="K532" s="50">
        <f>IF($T532="","",IF($S532="S",IF(INDEX(Firms!$J$5:$J$1004,$T532)="","",INDEX(Firms!$J$5:$J$1004,$T532)),IF(INDEX('AFA Rates'!$I$5:$I$1004,$T532)="","",INDEX('AFA Rates'!$I$5:$I$1004,$T532))))</f>
        <v/>
      </c>
      <c r="L532" s="50">
        <f>IF($T532="","",IF($S532="S",IF(INDEX(Firms!$K$5:$K$1004,$T532)="","",INDEX(Firms!$K$5:$K$1004,$T532)),IF(INDEX('AFA Rates'!$J$5:$J$1004,$T532)="","",INDEX('AFA Rates'!$J$5:$J$1004,$T532))))</f>
        <v/>
      </c>
      <c r="M532" s="50">
        <f>IF($T532="","",IF($S532="S",IF(INDEX(Firms!$L$5:$L$1004,$T532)="","",INDEX(Firms!$L$5:$L$1004,$T532)),IF(INDEX('AFA Rates'!$K$5:$K$1004,$T532)="","",INDEX('AFA Rates'!$K$5:$K$1004,$T532))))</f>
        <v/>
      </c>
      <c r="N532" s="50">
        <f>IF($T532="","",IF($S532="S",IF(INDEX(Firms!$M$5:$M$1004,$T532)="","",INDEX(Firms!$M$5:$M$1004,$T532)),IF(INDEX('AFA Rates'!$L$5:$L$1004,$T532)="","",INDEX('AFA Rates'!$L$5:$L$1004,$T532))))</f>
        <v/>
      </c>
      <c r="O532" s="78">
        <f>IF(OR($T532="",$U532=""),"",IF(INDEX(Firms!$C$5:$C$1004,$U532)="","",INDEX(Firms!$C$5:$C$1004,$U532)))</f>
        <v/>
      </c>
      <c r="P532" s="79">
        <f>IF(OR($T532="",$U532=""),"",IF(INDEX(Firms!$N$5:$N$1004,$U532)="","",INDEX(Firms!$N$5:$N$1004,$U532)))</f>
        <v/>
      </c>
      <c r="Q532" s="78">
        <f>IF($T532="","",IF($S532="S",IF(INDEX(Firms!$T$5:$T$1004,$T532)="","",INDEX(Firms!$T$5:$T$1004,$T532)),IF(INDEX('AFA Rates'!$M$5:$M$1004,$T532)="","",INDEX('AFA Rates'!$M$5:$M$1004,$T532))))</f>
        <v/>
      </c>
      <c r="S532">
        <f>IF(528&lt;=$S$2,"S",IF(528&lt;=$S$2+$T$2,"A",""))</f>
        <v/>
      </c>
      <c r="T532">
        <f>IF(S532="S",MATCH(528,Firms!$W$5:$W$1004,0),IF(S532="A",IFERROR(MATCH(528-$S$2,'AFA Rates'!$R$5:$R$1004,0),""),""))</f>
        <v/>
      </c>
      <c r="U532">
        <f>IF(S532="S",T532,IF(AND(S532="A",T532&lt;&gt;""),IFERROR(MATCH(INDEX('AFA Rates'!$A$5:$A$1004,T532),Firms!$A$5:$A$1004,0),""),""))</f>
        <v/>
      </c>
    </row>
    <row r="533">
      <c r="A533" s="78">
        <f>IF($T533="","",IF($S533="S",IF(INDEX(Firms!$A$5:$A$1004,$T533)="","",INDEX(Firms!$A$5:$A$1004,$T533)),IF(INDEX('AFA Rates'!$A$5:$A$1004,$T533)="","",INDEX('AFA Rates'!$A$5:$A$1004,$T533))))</f>
        <v/>
      </c>
      <c r="B533" s="79">
        <f>IF(OR($T533="",$U533=""),IF($T533="","","Not on Firms tab"),INDEX(Firms!$B$5:$B$1004,$U533)&amp;"")</f>
        <v/>
      </c>
      <c r="C533" s="78">
        <f>IF($T533="","",IF($S533="S","Standard",INDEX('AFA Rates'!$B$5:$B$1004,$T533)&amp;""))</f>
        <v/>
      </c>
      <c r="D533" s="88">
        <f>IF($T533="","",IF($S533="S",IF(INDEX(Firms!$E$5:$E$1004,$T533)="","",INDEX(Firms!$E$5:$E$1004,$T533)),IF(INDEX('AFA Rates'!$C$5:$C$1004,$T533)="","",INDEX('AFA Rates'!$C$5:$C$1004,$T533))))</f>
        <v/>
      </c>
      <c r="E533" s="88">
        <f>IF($T533="","",IF($S533="S",IF(""="","",""),IF(INDEX('AFA Rates'!$D$5:$D$1004,$T533)="","",INDEX('AFA Rates'!$D$5:$D$1004,$T533))))</f>
        <v/>
      </c>
      <c r="F533" s="79">
        <f>IF($T533="","",IF($S533="S",IF(INDEX(Firms!$O$5:$O$1004,$T533)="","",INDEX(Firms!$O$5:$O$1004,$T533)),IF(INDEX('AFA Rates'!$O$5:$O$1004,$T533)="","",INDEX('AFA Rates'!$O$5:$O$1004,$T533))))</f>
        <v/>
      </c>
      <c r="G533" s="50">
        <f>IF($T533="","",IF($S533="S",IF(INDEX(Firms!$F$5:$F$1004,$T533)="","",INDEX(Firms!$F$5:$F$1004,$T533)),IF(INDEX('AFA Rates'!$E$5:$E$1004,$T533)="","",INDEX('AFA Rates'!$E$5:$E$1004,$T533))))</f>
        <v/>
      </c>
      <c r="H533" s="50">
        <f>IF($T533="","",IF($S533="S",IF(INDEX(Firms!$G$5:$G$1004,$T533)="","",INDEX(Firms!$G$5:$G$1004,$T533)),IF(INDEX('AFA Rates'!$F$5:$F$1004,$T533)="","",INDEX('AFA Rates'!$F$5:$F$1004,$T533))))</f>
        <v/>
      </c>
      <c r="I533" s="50">
        <f>IF($T533="","",IF($S533="S",IF(INDEX(Firms!$H$5:$H$1004,$T533)="","",INDEX(Firms!$H$5:$H$1004,$T533)),IF(INDEX('AFA Rates'!$G$5:$G$1004,$T533)="","",INDEX('AFA Rates'!$G$5:$G$1004,$T533))))</f>
        <v/>
      </c>
      <c r="J533" s="50">
        <f>IF($T533="","",IF($S533="S",IF(INDEX(Firms!$I$5:$I$1004,$T533)="","",INDEX(Firms!$I$5:$I$1004,$T533)),IF(INDEX('AFA Rates'!$H$5:$H$1004,$T533)="","",INDEX('AFA Rates'!$H$5:$H$1004,$T533))))</f>
        <v/>
      </c>
      <c r="K533" s="50">
        <f>IF($T533="","",IF($S533="S",IF(INDEX(Firms!$J$5:$J$1004,$T533)="","",INDEX(Firms!$J$5:$J$1004,$T533)),IF(INDEX('AFA Rates'!$I$5:$I$1004,$T533)="","",INDEX('AFA Rates'!$I$5:$I$1004,$T533))))</f>
        <v/>
      </c>
      <c r="L533" s="50">
        <f>IF($T533="","",IF($S533="S",IF(INDEX(Firms!$K$5:$K$1004,$T533)="","",INDEX(Firms!$K$5:$K$1004,$T533)),IF(INDEX('AFA Rates'!$J$5:$J$1004,$T533)="","",INDEX('AFA Rates'!$J$5:$J$1004,$T533))))</f>
        <v/>
      </c>
      <c r="M533" s="50">
        <f>IF($T533="","",IF($S533="S",IF(INDEX(Firms!$L$5:$L$1004,$T533)="","",INDEX(Firms!$L$5:$L$1004,$T533)),IF(INDEX('AFA Rates'!$K$5:$K$1004,$T533)="","",INDEX('AFA Rates'!$K$5:$K$1004,$T533))))</f>
        <v/>
      </c>
      <c r="N533" s="50">
        <f>IF($T533="","",IF($S533="S",IF(INDEX(Firms!$M$5:$M$1004,$T533)="","",INDEX(Firms!$M$5:$M$1004,$T533)),IF(INDEX('AFA Rates'!$L$5:$L$1004,$T533)="","",INDEX('AFA Rates'!$L$5:$L$1004,$T533))))</f>
        <v/>
      </c>
      <c r="O533" s="78">
        <f>IF(OR($T533="",$U533=""),"",IF(INDEX(Firms!$C$5:$C$1004,$U533)="","",INDEX(Firms!$C$5:$C$1004,$U533)))</f>
        <v/>
      </c>
      <c r="P533" s="79">
        <f>IF(OR($T533="",$U533=""),"",IF(INDEX(Firms!$N$5:$N$1004,$U533)="","",INDEX(Firms!$N$5:$N$1004,$U533)))</f>
        <v/>
      </c>
      <c r="Q533" s="78">
        <f>IF($T533="","",IF($S533="S",IF(INDEX(Firms!$T$5:$T$1004,$T533)="","",INDEX(Firms!$T$5:$T$1004,$T533)),IF(INDEX('AFA Rates'!$M$5:$M$1004,$T533)="","",INDEX('AFA Rates'!$M$5:$M$1004,$T533))))</f>
        <v/>
      </c>
      <c r="S533">
        <f>IF(529&lt;=$S$2,"S",IF(529&lt;=$S$2+$T$2,"A",""))</f>
        <v/>
      </c>
      <c r="T533">
        <f>IF(S533="S",MATCH(529,Firms!$W$5:$W$1004,0),IF(S533="A",IFERROR(MATCH(529-$S$2,'AFA Rates'!$R$5:$R$1004,0),""),""))</f>
        <v/>
      </c>
      <c r="U533">
        <f>IF(S533="S",T533,IF(AND(S533="A",T533&lt;&gt;""),IFERROR(MATCH(INDEX('AFA Rates'!$A$5:$A$1004,T533),Firms!$A$5:$A$1004,0),""),""))</f>
        <v/>
      </c>
    </row>
    <row r="534">
      <c r="A534" s="78">
        <f>IF($T534="","",IF($S534="S",IF(INDEX(Firms!$A$5:$A$1004,$T534)="","",INDEX(Firms!$A$5:$A$1004,$T534)),IF(INDEX('AFA Rates'!$A$5:$A$1004,$T534)="","",INDEX('AFA Rates'!$A$5:$A$1004,$T534))))</f>
        <v/>
      </c>
      <c r="B534" s="79">
        <f>IF(OR($T534="",$U534=""),IF($T534="","","Not on Firms tab"),INDEX(Firms!$B$5:$B$1004,$U534)&amp;"")</f>
        <v/>
      </c>
      <c r="C534" s="78">
        <f>IF($T534="","",IF($S534="S","Standard",INDEX('AFA Rates'!$B$5:$B$1004,$T534)&amp;""))</f>
        <v/>
      </c>
      <c r="D534" s="88">
        <f>IF($T534="","",IF($S534="S",IF(INDEX(Firms!$E$5:$E$1004,$T534)="","",INDEX(Firms!$E$5:$E$1004,$T534)),IF(INDEX('AFA Rates'!$C$5:$C$1004,$T534)="","",INDEX('AFA Rates'!$C$5:$C$1004,$T534))))</f>
        <v/>
      </c>
      <c r="E534" s="88">
        <f>IF($T534="","",IF($S534="S",IF(""="","",""),IF(INDEX('AFA Rates'!$D$5:$D$1004,$T534)="","",INDEX('AFA Rates'!$D$5:$D$1004,$T534))))</f>
        <v/>
      </c>
      <c r="F534" s="79">
        <f>IF($T534="","",IF($S534="S",IF(INDEX(Firms!$O$5:$O$1004,$T534)="","",INDEX(Firms!$O$5:$O$1004,$T534)),IF(INDEX('AFA Rates'!$O$5:$O$1004,$T534)="","",INDEX('AFA Rates'!$O$5:$O$1004,$T534))))</f>
        <v/>
      </c>
      <c r="G534" s="50">
        <f>IF($T534="","",IF($S534="S",IF(INDEX(Firms!$F$5:$F$1004,$T534)="","",INDEX(Firms!$F$5:$F$1004,$T534)),IF(INDEX('AFA Rates'!$E$5:$E$1004,$T534)="","",INDEX('AFA Rates'!$E$5:$E$1004,$T534))))</f>
        <v/>
      </c>
      <c r="H534" s="50">
        <f>IF($T534="","",IF($S534="S",IF(INDEX(Firms!$G$5:$G$1004,$T534)="","",INDEX(Firms!$G$5:$G$1004,$T534)),IF(INDEX('AFA Rates'!$F$5:$F$1004,$T534)="","",INDEX('AFA Rates'!$F$5:$F$1004,$T534))))</f>
        <v/>
      </c>
      <c r="I534" s="50">
        <f>IF($T534="","",IF($S534="S",IF(INDEX(Firms!$H$5:$H$1004,$T534)="","",INDEX(Firms!$H$5:$H$1004,$T534)),IF(INDEX('AFA Rates'!$G$5:$G$1004,$T534)="","",INDEX('AFA Rates'!$G$5:$G$1004,$T534))))</f>
        <v/>
      </c>
      <c r="J534" s="50">
        <f>IF($T534="","",IF($S534="S",IF(INDEX(Firms!$I$5:$I$1004,$T534)="","",INDEX(Firms!$I$5:$I$1004,$T534)),IF(INDEX('AFA Rates'!$H$5:$H$1004,$T534)="","",INDEX('AFA Rates'!$H$5:$H$1004,$T534))))</f>
        <v/>
      </c>
      <c r="K534" s="50">
        <f>IF($T534="","",IF($S534="S",IF(INDEX(Firms!$J$5:$J$1004,$T534)="","",INDEX(Firms!$J$5:$J$1004,$T534)),IF(INDEX('AFA Rates'!$I$5:$I$1004,$T534)="","",INDEX('AFA Rates'!$I$5:$I$1004,$T534))))</f>
        <v/>
      </c>
      <c r="L534" s="50">
        <f>IF($T534="","",IF($S534="S",IF(INDEX(Firms!$K$5:$K$1004,$T534)="","",INDEX(Firms!$K$5:$K$1004,$T534)),IF(INDEX('AFA Rates'!$J$5:$J$1004,$T534)="","",INDEX('AFA Rates'!$J$5:$J$1004,$T534))))</f>
        <v/>
      </c>
      <c r="M534" s="50">
        <f>IF($T534="","",IF($S534="S",IF(INDEX(Firms!$L$5:$L$1004,$T534)="","",INDEX(Firms!$L$5:$L$1004,$T534)),IF(INDEX('AFA Rates'!$K$5:$K$1004,$T534)="","",INDEX('AFA Rates'!$K$5:$K$1004,$T534))))</f>
        <v/>
      </c>
      <c r="N534" s="50">
        <f>IF($T534="","",IF($S534="S",IF(INDEX(Firms!$M$5:$M$1004,$T534)="","",INDEX(Firms!$M$5:$M$1004,$T534)),IF(INDEX('AFA Rates'!$L$5:$L$1004,$T534)="","",INDEX('AFA Rates'!$L$5:$L$1004,$T534))))</f>
        <v/>
      </c>
      <c r="O534" s="78">
        <f>IF(OR($T534="",$U534=""),"",IF(INDEX(Firms!$C$5:$C$1004,$U534)="","",INDEX(Firms!$C$5:$C$1004,$U534)))</f>
        <v/>
      </c>
      <c r="P534" s="79">
        <f>IF(OR($T534="",$U534=""),"",IF(INDEX(Firms!$N$5:$N$1004,$U534)="","",INDEX(Firms!$N$5:$N$1004,$U534)))</f>
        <v/>
      </c>
      <c r="Q534" s="78">
        <f>IF($T534="","",IF($S534="S",IF(INDEX(Firms!$T$5:$T$1004,$T534)="","",INDEX(Firms!$T$5:$T$1004,$T534)),IF(INDEX('AFA Rates'!$M$5:$M$1004,$T534)="","",INDEX('AFA Rates'!$M$5:$M$1004,$T534))))</f>
        <v/>
      </c>
      <c r="S534">
        <f>IF(530&lt;=$S$2,"S",IF(530&lt;=$S$2+$T$2,"A",""))</f>
        <v/>
      </c>
      <c r="T534">
        <f>IF(S534="S",MATCH(530,Firms!$W$5:$W$1004,0),IF(S534="A",IFERROR(MATCH(530-$S$2,'AFA Rates'!$R$5:$R$1004,0),""),""))</f>
        <v/>
      </c>
      <c r="U534">
        <f>IF(S534="S",T534,IF(AND(S534="A",T534&lt;&gt;""),IFERROR(MATCH(INDEX('AFA Rates'!$A$5:$A$1004,T534),Firms!$A$5:$A$1004,0),""),""))</f>
        <v/>
      </c>
    </row>
    <row r="535">
      <c r="A535" s="78">
        <f>IF($T535="","",IF($S535="S",IF(INDEX(Firms!$A$5:$A$1004,$T535)="","",INDEX(Firms!$A$5:$A$1004,$T535)),IF(INDEX('AFA Rates'!$A$5:$A$1004,$T535)="","",INDEX('AFA Rates'!$A$5:$A$1004,$T535))))</f>
        <v/>
      </c>
      <c r="B535" s="79">
        <f>IF(OR($T535="",$U535=""),IF($T535="","","Not on Firms tab"),INDEX(Firms!$B$5:$B$1004,$U535)&amp;"")</f>
        <v/>
      </c>
      <c r="C535" s="78">
        <f>IF($T535="","",IF($S535="S","Standard",INDEX('AFA Rates'!$B$5:$B$1004,$T535)&amp;""))</f>
        <v/>
      </c>
      <c r="D535" s="88">
        <f>IF($T535="","",IF($S535="S",IF(INDEX(Firms!$E$5:$E$1004,$T535)="","",INDEX(Firms!$E$5:$E$1004,$T535)),IF(INDEX('AFA Rates'!$C$5:$C$1004,$T535)="","",INDEX('AFA Rates'!$C$5:$C$1004,$T535))))</f>
        <v/>
      </c>
      <c r="E535" s="88">
        <f>IF($T535="","",IF($S535="S",IF(""="","",""),IF(INDEX('AFA Rates'!$D$5:$D$1004,$T535)="","",INDEX('AFA Rates'!$D$5:$D$1004,$T535))))</f>
        <v/>
      </c>
      <c r="F535" s="79">
        <f>IF($T535="","",IF($S535="S",IF(INDEX(Firms!$O$5:$O$1004,$T535)="","",INDEX(Firms!$O$5:$O$1004,$T535)),IF(INDEX('AFA Rates'!$O$5:$O$1004,$T535)="","",INDEX('AFA Rates'!$O$5:$O$1004,$T535))))</f>
        <v/>
      </c>
      <c r="G535" s="50">
        <f>IF($T535="","",IF($S535="S",IF(INDEX(Firms!$F$5:$F$1004,$T535)="","",INDEX(Firms!$F$5:$F$1004,$T535)),IF(INDEX('AFA Rates'!$E$5:$E$1004,$T535)="","",INDEX('AFA Rates'!$E$5:$E$1004,$T535))))</f>
        <v/>
      </c>
      <c r="H535" s="50">
        <f>IF($T535="","",IF($S535="S",IF(INDEX(Firms!$G$5:$G$1004,$T535)="","",INDEX(Firms!$G$5:$G$1004,$T535)),IF(INDEX('AFA Rates'!$F$5:$F$1004,$T535)="","",INDEX('AFA Rates'!$F$5:$F$1004,$T535))))</f>
        <v/>
      </c>
      <c r="I535" s="50">
        <f>IF($T535="","",IF($S535="S",IF(INDEX(Firms!$H$5:$H$1004,$T535)="","",INDEX(Firms!$H$5:$H$1004,$T535)),IF(INDEX('AFA Rates'!$G$5:$G$1004,$T535)="","",INDEX('AFA Rates'!$G$5:$G$1004,$T535))))</f>
        <v/>
      </c>
      <c r="J535" s="50">
        <f>IF($T535="","",IF($S535="S",IF(INDEX(Firms!$I$5:$I$1004,$T535)="","",INDEX(Firms!$I$5:$I$1004,$T535)),IF(INDEX('AFA Rates'!$H$5:$H$1004,$T535)="","",INDEX('AFA Rates'!$H$5:$H$1004,$T535))))</f>
        <v/>
      </c>
      <c r="K535" s="50">
        <f>IF($T535="","",IF($S535="S",IF(INDEX(Firms!$J$5:$J$1004,$T535)="","",INDEX(Firms!$J$5:$J$1004,$T535)),IF(INDEX('AFA Rates'!$I$5:$I$1004,$T535)="","",INDEX('AFA Rates'!$I$5:$I$1004,$T535))))</f>
        <v/>
      </c>
      <c r="L535" s="50">
        <f>IF($T535="","",IF($S535="S",IF(INDEX(Firms!$K$5:$K$1004,$T535)="","",INDEX(Firms!$K$5:$K$1004,$T535)),IF(INDEX('AFA Rates'!$J$5:$J$1004,$T535)="","",INDEX('AFA Rates'!$J$5:$J$1004,$T535))))</f>
        <v/>
      </c>
      <c r="M535" s="50">
        <f>IF($T535="","",IF($S535="S",IF(INDEX(Firms!$L$5:$L$1004,$T535)="","",INDEX(Firms!$L$5:$L$1004,$T535)),IF(INDEX('AFA Rates'!$K$5:$K$1004,$T535)="","",INDEX('AFA Rates'!$K$5:$K$1004,$T535))))</f>
        <v/>
      </c>
      <c r="N535" s="50">
        <f>IF($T535="","",IF($S535="S",IF(INDEX(Firms!$M$5:$M$1004,$T535)="","",INDEX(Firms!$M$5:$M$1004,$T535)),IF(INDEX('AFA Rates'!$L$5:$L$1004,$T535)="","",INDEX('AFA Rates'!$L$5:$L$1004,$T535))))</f>
        <v/>
      </c>
      <c r="O535" s="78">
        <f>IF(OR($T535="",$U535=""),"",IF(INDEX(Firms!$C$5:$C$1004,$U535)="","",INDEX(Firms!$C$5:$C$1004,$U535)))</f>
        <v/>
      </c>
      <c r="P535" s="79">
        <f>IF(OR($T535="",$U535=""),"",IF(INDEX(Firms!$N$5:$N$1004,$U535)="","",INDEX(Firms!$N$5:$N$1004,$U535)))</f>
        <v/>
      </c>
      <c r="Q535" s="78">
        <f>IF($T535="","",IF($S535="S",IF(INDEX(Firms!$T$5:$T$1004,$T535)="","",INDEX(Firms!$T$5:$T$1004,$T535)),IF(INDEX('AFA Rates'!$M$5:$M$1004,$T535)="","",INDEX('AFA Rates'!$M$5:$M$1004,$T535))))</f>
        <v/>
      </c>
      <c r="S535">
        <f>IF(531&lt;=$S$2,"S",IF(531&lt;=$S$2+$T$2,"A",""))</f>
        <v/>
      </c>
      <c r="T535">
        <f>IF(S535="S",MATCH(531,Firms!$W$5:$W$1004,0),IF(S535="A",IFERROR(MATCH(531-$S$2,'AFA Rates'!$R$5:$R$1004,0),""),""))</f>
        <v/>
      </c>
      <c r="U535">
        <f>IF(S535="S",T535,IF(AND(S535="A",T535&lt;&gt;""),IFERROR(MATCH(INDEX('AFA Rates'!$A$5:$A$1004,T535),Firms!$A$5:$A$1004,0),""),""))</f>
        <v/>
      </c>
    </row>
    <row r="536">
      <c r="A536" s="78">
        <f>IF($T536="","",IF($S536="S",IF(INDEX(Firms!$A$5:$A$1004,$T536)="","",INDEX(Firms!$A$5:$A$1004,$T536)),IF(INDEX('AFA Rates'!$A$5:$A$1004,$T536)="","",INDEX('AFA Rates'!$A$5:$A$1004,$T536))))</f>
        <v/>
      </c>
      <c r="B536" s="79">
        <f>IF(OR($T536="",$U536=""),IF($T536="","","Not on Firms tab"),INDEX(Firms!$B$5:$B$1004,$U536)&amp;"")</f>
        <v/>
      </c>
      <c r="C536" s="78">
        <f>IF($T536="","",IF($S536="S","Standard",INDEX('AFA Rates'!$B$5:$B$1004,$T536)&amp;""))</f>
        <v/>
      </c>
      <c r="D536" s="88">
        <f>IF($T536="","",IF($S536="S",IF(INDEX(Firms!$E$5:$E$1004,$T536)="","",INDEX(Firms!$E$5:$E$1004,$T536)),IF(INDEX('AFA Rates'!$C$5:$C$1004,$T536)="","",INDEX('AFA Rates'!$C$5:$C$1004,$T536))))</f>
        <v/>
      </c>
      <c r="E536" s="88">
        <f>IF($T536="","",IF($S536="S",IF(""="","",""),IF(INDEX('AFA Rates'!$D$5:$D$1004,$T536)="","",INDEX('AFA Rates'!$D$5:$D$1004,$T536))))</f>
        <v/>
      </c>
      <c r="F536" s="79">
        <f>IF($T536="","",IF($S536="S",IF(INDEX(Firms!$O$5:$O$1004,$T536)="","",INDEX(Firms!$O$5:$O$1004,$T536)),IF(INDEX('AFA Rates'!$O$5:$O$1004,$T536)="","",INDEX('AFA Rates'!$O$5:$O$1004,$T536))))</f>
        <v/>
      </c>
      <c r="G536" s="50">
        <f>IF($T536="","",IF($S536="S",IF(INDEX(Firms!$F$5:$F$1004,$T536)="","",INDEX(Firms!$F$5:$F$1004,$T536)),IF(INDEX('AFA Rates'!$E$5:$E$1004,$T536)="","",INDEX('AFA Rates'!$E$5:$E$1004,$T536))))</f>
        <v/>
      </c>
      <c r="H536" s="50">
        <f>IF($T536="","",IF($S536="S",IF(INDEX(Firms!$G$5:$G$1004,$T536)="","",INDEX(Firms!$G$5:$G$1004,$T536)),IF(INDEX('AFA Rates'!$F$5:$F$1004,$T536)="","",INDEX('AFA Rates'!$F$5:$F$1004,$T536))))</f>
        <v/>
      </c>
      <c r="I536" s="50">
        <f>IF($T536="","",IF($S536="S",IF(INDEX(Firms!$H$5:$H$1004,$T536)="","",INDEX(Firms!$H$5:$H$1004,$T536)),IF(INDEX('AFA Rates'!$G$5:$G$1004,$T536)="","",INDEX('AFA Rates'!$G$5:$G$1004,$T536))))</f>
        <v/>
      </c>
      <c r="J536" s="50">
        <f>IF($T536="","",IF($S536="S",IF(INDEX(Firms!$I$5:$I$1004,$T536)="","",INDEX(Firms!$I$5:$I$1004,$T536)),IF(INDEX('AFA Rates'!$H$5:$H$1004,$T536)="","",INDEX('AFA Rates'!$H$5:$H$1004,$T536))))</f>
        <v/>
      </c>
      <c r="K536" s="50">
        <f>IF($T536="","",IF($S536="S",IF(INDEX(Firms!$J$5:$J$1004,$T536)="","",INDEX(Firms!$J$5:$J$1004,$T536)),IF(INDEX('AFA Rates'!$I$5:$I$1004,$T536)="","",INDEX('AFA Rates'!$I$5:$I$1004,$T536))))</f>
        <v/>
      </c>
      <c r="L536" s="50">
        <f>IF($T536="","",IF($S536="S",IF(INDEX(Firms!$K$5:$K$1004,$T536)="","",INDEX(Firms!$K$5:$K$1004,$T536)),IF(INDEX('AFA Rates'!$J$5:$J$1004,$T536)="","",INDEX('AFA Rates'!$J$5:$J$1004,$T536))))</f>
        <v/>
      </c>
      <c r="M536" s="50">
        <f>IF($T536="","",IF($S536="S",IF(INDEX(Firms!$L$5:$L$1004,$T536)="","",INDEX(Firms!$L$5:$L$1004,$T536)),IF(INDEX('AFA Rates'!$K$5:$K$1004,$T536)="","",INDEX('AFA Rates'!$K$5:$K$1004,$T536))))</f>
        <v/>
      </c>
      <c r="N536" s="50">
        <f>IF($T536="","",IF($S536="S",IF(INDEX(Firms!$M$5:$M$1004,$T536)="","",INDEX(Firms!$M$5:$M$1004,$T536)),IF(INDEX('AFA Rates'!$L$5:$L$1004,$T536)="","",INDEX('AFA Rates'!$L$5:$L$1004,$T536))))</f>
        <v/>
      </c>
      <c r="O536" s="78">
        <f>IF(OR($T536="",$U536=""),"",IF(INDEX(Firms!$C$5:$C$1004,$U536)="","",INDEX(Firms!$C$5:$C$1004,$U536)))</f>
        <v/>
      </c>
      <c r="P536" s="79">
        <f>IF(OR($T536="",$U536=""),"",IF(INDEX(Firms!$N$5:$N$1004,$U536)="","",INDEX(Firms!$N$5:$N$1004,$U536)))</f>
        <v/>
      </c>
      <c r="Q536" s="78">
        <f>IF($T536="","",IF($S536="S",IF(INDEX(Firms!$T$5:$T$1004,$T536)="","",INDEX(Firms!$T$5:$T$1004,$T536)),IF(INDEX('AFA Rates'!$M$5:$M$1004,$T536)="","",INDEX('AFA Rates'!$M$5:$M$1004,$T536))))</f>
        <v/>
      </c>
      <c r="S536">
        <f>IF(532&lt;=$S$2,"S",IF(532&lt;=$S$2+$T$2,"A",""))</f>
        <v/>
      </c>
      <c r="T536">
        <f>IF(S536="S",MATCH(532,Firms!$W$5:$W$1004,0),IF(S536="A",IFERROR(MATCH(532-$S$2,'AFA Rates'!$R$5:$R$1004,0),""),""))</f>
        <v/>
      </c>
      <c r="U536">
        <f>IF(S536="S",T536,IF(AND(S536="A",T536&lt;&gt;""),IFERROR(MATCH(INDEX('AFA Rates'!$A$5:$A$1004,T536),Firms!$A$5:$A$1004,0),""),""))</f>
        <v/>
      </c>
    </row>
    <row r="537">
      <c r="A537" s="78">
        <f>IF($T537="","",IF($S537="S",IF(INDEX(Firms!$A$5:$A$1004,$T537)="","",INDEX(Firms!$A$5:$A$1004,$T537)),IF(INDEX('AFA Rates'!$A$5:$A$1004,$T537)="","",INDEX('AFA Rates'!$A$5:$A$1004,$T537))))</f>
        <v/>
      </c>
      <c r="B537" s="79">
        <f>IF(OR($T537="",$U537=""),IF($T537="","","Not on Firms tab"),INDEX(Firms!$B$5:$B$1004,$U537)&amp;"")</f>
        <v/>
      </c>
      <c r="C537" s="78">
        <f>IF($T537="","",IF($S537="S","Standard",INDEX('AFA Rates'!$B$5:$B$1004,$T537)&amp;""))</f>
        <v/>
      </c>
      <c r="D537" s="88">
        <f>IF($T537="","",IF($S537="S",IF(INDEX(Firms!$E$5:$E$1004,$T537)="","",INDEX(Firms!$E$5:$E$1004,$T537)),IF(INDEX('AFA Rates'!$C$5:$C$1004,$T537)="","",INDEX('AFA Rates'!$C$5:$C$1004,$T537))))</f>
        <v/>
      </c>
      <c r="E537" s="88">
        <f>IF($T537="","",IF($S537="S",IF(""="","",""),IF(INDEX('AFA Rates'!$D$5:$D$1004,$T537)="","",INDEX('AFA Rates'!$D$5:$D$1004,$T537))))</f>
        <v/>
      </c>
      <c r="F537" s="79">
        <f>IF($T537="","",IF($S537="S",IF(INDEX(Firms!$O$5:$O$1004,$T537)="","",INDEX(Firms!$O$5:$O$1004,$T537)),IF(INDEX('AFA Rates'!$O$5:$O$1004,$T537)="","",INDEX('AFA Rates'!$O$5:$O$1004,$T537))))</f>
        <v/>
      </c>
      <c r="G537" s="50">
        <f>IF($T537="","",IF($S537="S",IF(INDEX(Firms!$F$5:$F$1004,$T537)="","",INDEX(Firms!$F$5:$F$1004,$T537)),IF(INDEX('AFA Rates'!$E$5:$E$1004,$T537)="","",INDEX('AFA Rates'!$E$5:$E$1004,$T537))))</f>
        <v/>
      </c>
      <c r="H537" s="50">
        <f>IF($T537="","",IF($S537="S",IF(INDEX(Firms!$G$5:$G$1004,$T537)="","",INDEX(Firms!$G$5:$G$1004,$T537)),IF(INDEX('AFA Rates'!$F$5:$F$1004,$T537)="","",INDEX('AFA Rates'!$F$5:$F$1004,$T537))))</f>
        <v/>
      </c>
      <c r="I537" s="50">
        <f>IF($T537="","",IF($S537="S",IF(INDEX(Firms!$H$5:$H$1004,$T537)="","",INDEX(Firms!$H$5:$H$1004,$T537)),IF(INDEX('AFA Rates'!$G$5:$G$1004,$T537)="","",INDEX('AFA Rates'!$G$5:$G$1004,$T537))))</f>
        <v/>
      </c>
      <c r="J537" s="50">
        <f>IF($T537="","",IF($S537="S",IF(INDEX(Firms!$I$5:$I$1004,$T537)="","",INDEX(Firms!$I$5:$I$1004,$T537)),IF(INDEX('AFA Rates'!$H$5:$H$1004,$T537)="","",INDEX('AFA Rates'!$H$5:$H$1004,$T537))))</f>
        <v/>
      </c>
      <c r="K537" s="50">
        <f>IF($T537="","",IF($S537="S",IF(INDEX(Firms!$J$5:$J$1004,$T537)="","",INDEX(Firms!$J$5:$J$1004,$T537)),IF(INDEX('AFA Rates'!$I$5:$I$1004,$T537)="","",INDEX('AFA Rates'!$I$5:$I$1004,$T537))))</f>
        <v/>
      </c>
      <c r="L537" s="50">
        <f>IF($T537="","",IF($S537="S",IF(INDEX(Firms!$K$5:$K$1004,$T537)="","",INDEX(Firms!$K$5:$K$1004,$T537)),IF(INDEX('AFA Rates'!$J$5:$J$1004,$T537)="","",INDEX('AFA Rates'!$J$5:$J$1004,$T537))))</f>
        <v/>
      </c>
      <c r="M537" s="50">
        <f>IF($T537="","",IF($S537="S",IF(INDEX(Firms!$L$5:$L$1004,$T537)="","",INDEX(Firms!$L$5:$L$1004,$T537)),IF(INDEX('AFA Rates'!$K$5:$K$1004,$T537)="","",INDEX('AFA Rates'!$K$5:$K$1004,$T537))))</f>
        <v/>
      </c>
      <c r="N537" s="50">
        <f>IF($T537="","",IF($S537="S",IF(INDEX(Firms!$M$5:$M$1004,$T537)="","",INDEX(Firms!$M$5:$M$1004,$T537)),IF(INDEX('AFA Rates'!$L$5:$L$1004,$T537)="","",INDEX('AFA Rates'!$L$5:$L$1004,$T537))))</f>
        <v/>
      </c>
      <c r="O537" s="78">
        <f>IF(OR($T537="",$U537=""),"",IF(INDEX(Firms!$C$5:$C$1004,$U537)="","",INDEX(Firms!$C$5:$C$1004,$U537)))</f>
        <v/>
      </c>
      <c r="P537" s="79">
        <f>IF(OR($T537="",$U537=""),"",IF(INDEX(Firms!$N$5:$N$1004,$U537)="","",INDEX(Firms!$N$5:$N$1004,$U537)))</f>
        <v/>
      </c>
      <c r="Q537" s="78">
        <f>IF($T537="","",IF($S537="S",IF(INDEX(Firms!$T$5:$T$1004,$T537)="","",INDEX(Firms!$T$5:$T$1004,$T537)),IF(INDEX('AFA Rates'!$M$5:$M$1004,$T537)="","",INDEX('AFA Rates'!$M$5:$M$1004,$T537))))</f>
        <v/>
      </c>
      <c r="S537">
        <f>IF(533&lt;=$S$2,"S",IF(533&lt;=$S$2+$T$2,"A",""))</f>
        <v/>
      </c>
      <c r="T537">
        <f>IF(S537="S",MATCH(533,Firms!$W$5:$W$1004,0),IF(S537="A",IFERROR(MATCH(533-$S$2,'AFA Rates'!$R$5:$R$1004,0),""),""))</f>
        <v/>
      </c>
      <c r="U537">
        <f>IF(S537="S",T537,IF(AND(S537="A",T537&lt;&gt;""),IFERROR(MATCH(INDEX('AFA Rates'!$A$5:$A$1004,T537),Firms!$A$5:$A$1004,0),""),""))</f>
        <v/>
      </c>
    </row>
    <row r="538">
      <c r="A538" s="78">
        <f>IF($T538="","",IF($S538="S",IF(INDEX(Firms!$A$5:$A$1004,$T538)="","",INDEX(Firms!$A$5:$A$1004,$T538)),IF(INDEX('AFA Rates'!$A$5:$A$1004,$T538)="","",INDEX('AFA Rates'!$A$5:$A$1004,$T538))))</f>
        <v/>
      </c>
      <c r="B538" s="79">
        <f>IF(OR($T538="",$U538=""),IF($T538="","","Not on Firms tab"),INDEX(Firms!$B$5:$B$1004,$U538)&amp;"")</f>
        <v/>
      </c>
      <c r="C538" s="78">
        <f>IF($T538="","",IF($S538="S","Standard",INDEX('AFA Rates'!$B$5:$B$1004,$T538)&amp;""))</f>
        <v/>
      </c>
      <c r="D538" s="88">
        <f>IF($T538="","",IF($S538="S",IF(INDEX(Firms!$E$5:$E$1004,$T538)="","",INDEX(Firms!$E$5:$E$1004,$T538)),IF(INDEX('AFA Rates'!$C$5:$C$1004,$T538)="","",INDEX('AFA Rates'!$C$5:$C$1004,$T538))))</f>
        <v/>
      </c>
      <c r="E538" s="88">
        <f>IF($T538="","",IF($S538="S",IF(""="","",""),IF(INDEX('AFA Rates'!$D$5:$D$1004,$T538)="","",INDEX('AFA Rates'!$D$5:$D$1004,$T538))))</f>
        <v/>
      </c>
      <c r="F538" s="79">
        <f>IF($T538="","",IF($S538="S",IF(INDEX(Firms!$O$5:$O$1004,$T538)="","",INDEX(Firms!$O$5:$O$1004,$T538)),IF(INDEX('AFA Rates'!$O$5:$O$1004,$T538)="","",INDEX('AFA Rates'!$O$5:$O$1004,$T538))))</f>
        <v/>
      </c>
      <c r="G538" s="50">
        <f>IF($T538="","",IF($S538="S",IF(INDEX(Firms!$F$5:$F$1004,$T538)="","",INDEX(Firms!$F$5:$F$1004,$T538)),IF(INDEX('AFA Rates'!$E$5:$E$1004,$T538)="","",INDEX('AFA Rates'!$E$5:$E$1004,$T538))))</f>
        <v/>
      </c>
      <c r="H538" s="50">
        <f>IF($T538="","",IF($S538="S",IF(INDEX(Firms!$G$5:$G$1004,$T538)="","",INDEX(Firms!$G$5:$G$1004,$T538)),IF(INDEX('AFA Rates'!$F$5:$F$1004,$T538)="","",INDEX('AFA Rates'!$F$5:$F$1004,$T538))))</f>
        <v/>
      </c>
      <c r="I538" s="50">
        <f>IF($T538="","",IF($S538="S",IF(INDEX(Firms!$H$5:$H$1004,$T538)="","",INDEX(Firms!$H$5:$H$1004,$T538)),IF(INDEX('AFA Rates'!$G$5:$G$1004,$T538)="","",INDEX('AFA Rates'!$G$5:$G$1004,$T538))))</f>
        <v/>
      </c>
      <c r="J538" s="50">
        <f>IF($T538="","",IF($S538="S",IF(INDEX(Firms!$I$5:$I$1004,$T538)="","",INDEX(Firms!$I$5:$I$1004,$T538)),IF(INDEX('AFA Rates'!$H$5:$H$1004,$T538)="","",INDEX('AFA Rates'!$H$5:$H$1004,$T538))))</f>
        <v/>
      </c>
      <c r="K538" s="50">
        <f>IF($T538="","",IF($S538="S",IF(INDEX(Firms!$J$5:$J$1004,$T538)="","",INDEX(Firms!$J$5:$J$1004,$T538)),IF(INDEX('AFA Rates'!$I$5:$I$1004,$T538)="","",INDEX('AFA Rates'!$I$5:$I$1004,$T538))))</f>
        <v/>
      </c>
      <c r="L538" s="50">
        <f>IF($T538="","",IF($S538="S",IF(INDEX(Firms!$K$5:$K$1004,$T538)="","",INDEX(Firms!$K$5:$K$1004,$T538)),IF(INDEX('AFA Rates'!$J$5:$J$1004,$T538)="","",INDEX('AFA Rates'!$J$5:$J$1004,$T538))))</f>
        <v/>
      </c>
      <c r="M538" s="50">
        <f>IF($T538="","",IF($S538="S",IF(INDEX(Firms!$L$5:$L$1004,$T538)="","",INDEX(Firms!$L$5:$L$1004,$T538)),IF(INDEX('AFA Rates'!$K$5:$K$1004,$T538)="","",INDEX('AFA Rates'!$K$5:$K$1004,$T538))))</f>
        <v/>
      </c>
      <c r="N538" s="50">
        <f>IF($T538="","",IF($S538="S",IF(INDEX(Firms!$M$5:$M$1004,$T538)="","",INDEX(Firms!$M$5:$M$1004,$T538)),IF(INDEX('AFA Rates'!$L$5:$L$1004,$T538)="","",INDEX('AFA Rates'!$L$5:$L$1004,$T538))))</f>
        <v/>
      </c>
      <c r="O538" s="78">
        <f>IF(OR($T538="",$U538=""),"",IF(INDEX(Firms!$C$5:$C$1004,$U538)="","",INDEX(Firms!$C$5:$C$1004,$U538)))</f>
        <v/>
      </c>
      <c r="P538" s="79">
        <f>IF(OR($T538="",$U538=""),"",IF(INDEX(Firms!$N$5:$N$1004,$U538)="","",INDEX(Firms!$N$5:$N$1004,$U538)))</f>
        <v/>
      </c>
      <c r="Q538" s="78">
        <f>IF($T538="","",IF($S538="S",IF(INDEX(Firms!$T$5:$T$1004,$T538)="","",INDEX(Firms!$T$5:$T$1004,$T538)),IF(INDEX('AFA Rates'!$M$5:$M$1004,$T538)="","",INDEX('AFA Rates'!$M$5:$M$1004,$T538))))</f>
        <v/>
      </c>
      <c r="S538">
        <f>IF(534&lt;=$S$2,"S",IF(534&lt;=$S$2+$T$2,"A",""))</f>
        <v/>
      </c>
      <c r="T538">
        <f>IF(S538="S",MATCH(534,Firms!$W$5:$W$1004,0),IF(S538="A",IFERROR(MATCH(534-$S$2,'AFA Rates'!$R$5:$R$1004,0),""),""))</f>
        <v/>
      </c>
      <c r="U538">
        <f>IF(S538="S",T538,IF(AND(S538="A",T538&lt;&gt;""),IFERROR(MATCH(INDEX('AFA Rates'!$A$5:$A$1004,T538),Firms!$A$5:$A$1004,0),""),""))</f>
        <v/>
      </c>
    </row>
    <row r="539">
      <c r="A539" s="78">
        <f>IF($T539="","",IF($S539="S",IF(INDEX(Firms!$A$5:$A$1004,$T539)="","",INDEX(Firms!$A$5:$A$1004,$T539)),IF(INDEX('AFA Rates'!$A$5:$A$1004,$T539)="","",INDEX('AFA Rates'!$A$5:$A$1004,$T539))))</f>
        <v/>
      </c>
      <c r="B539" s="79">
        <f>IF(OR($T539="",$U539=""),IF($T539="","","Not on Firms tab"),INDEX(Firms!$B$5:$B$1004,$U539)&amp;"")</f>
        <v/>
      </c>
      <c r="C539" s="78">
        <f>IF($T539="","",IF($S539="S","Standard",INDEX('AFA Rates'!$B$5:$B$1004,$T539)&amp;""))</f>
        <v/>
      </c>
      <c r="D539" s="88">
        <f>IF($T539="","",IF($S539="S",IF(INDEX(Firms!$E$5:$E$1004,$T539)="","",INDEX(Firms!$E$5:$E$1004,$T539)),IF(INDEX('AFA Rates'!$C$5:$C$1004,$T539)="","",INDEX('AFA Rates'!$C$5:$C$1004,$T539))))</f>
        <v/>
      </c>
      <c r="E539" s="88">
        <f>IF($T539="","",IF($S539="S",IF(""="","",""),IF(INDEX('AFA Rates'!$D$5:$D$1004,$T539)="","",INDEX('AFA Rates'!$D$5:$D$1004,$T539))))</f>
        <v/>
      </c>
      <c r="F539" s="79">
        <f>IF($T539="","",IF($S539="S",IF(INDEX(Firms!$O$5:$O$1004,$T539)="","",INDEX(Firms!$O$5:$O$1004,$T539)),IF(INDEX('AFA Rates'!$O$5:$O$1004,$T539)="","",INDEX('AFA Rates'!$O$5:$O$1004,$T539))))</f>
        <v/>
      </c>
      <c r="G539" s="50">
        <f>IF($T539="","",IF($S539="S",IF(INDEX(Firms!$F$5:$F$1004,$T539)="","",INDEX(Firms!$F$5:$F$1004,$T539)),IF(INDEX('AFA Rates'!$E$5:$E$1004,$T539)="","",INDEX('AFA Rates'!$E$5:$E$1004,$T539))))</f>
        <v/>
      </c>
      <c r="H539" s="50">
        <f>IF($T539="","",IF($S539="S",IF(INDEX(Firms!$G$5:$G$1004,$T539)="","",INDEX(Firms!$G$5:$G$1004,$T539)),IF(INDEX('AFA Rates'!$F$5:$F$1004,$T539)="","",INDEX('AFA Rates'!$F$5:$F$1004,$T539))))</f>
        <v/>
      </c>
      <c r="I539" s="50">
        <f>IF($T539="","",IF($S539="S",IF(INDEX(Firms!$H$5:$H$1004,$T539)="","",INDEX(Firms!$H$5:$H$1004,$T539)),IF(INDEX('AFA Rates'!$G$5:$G$1004,$T539)="","",INDEX('AFA Rates'!$G$5:$G$1004,$T539))))</f>
        <v/>
      </c>
      <c r="J539" s="50">
        <f>IF($T539="","",IF($S539="S",IF(INDEX(Firms!$I$5:$I$1004,$T539)="","",INDEX(Firms!$I$5:$I$1004,$T539)),IF(INDEX('AFA Rates'!$H$5:$H$1004,$T539)="","",INDEX('AFA Rates'!$H$5:$H$1004,$T539))))</f>
        <v/>
      </c>
      <c r="K539" s="50">
        <f>IF($T539="","",IF($S539="S",IF(INDEX(Firms!$J$5:$J$1004,$T539)="","",INDEX(Firms!$J$5:$J$1004,$T539)),IF(INDEX('AFA Rates'!$I$5:$I$1004,$T539)="","",INDEX('AFA Rates'!$I$5:$I$1004,$T539))))</f>
        <v/>
      </c>
      <c r="L539" s="50">
        <f>IF($T539="","",IF($S539="S",IF(INDEX(Firms!$K$5:$K$1004,$T539)="","",INDEX(Firms!$K$5:$K$1004,$T539)),IF(INDEX('AFA Rates'!$J$5:$J$1004,$T539)="","",INDEX('AFA Rates'!$J$5:$J$1004,$T539))))</f>
        <v/>
      </c>
      <c r="M539" s="50">
        <f>IF($T539="","",IF($S539="S",IF(INDEX(Firms!$L$5:$L$1004,$T539)="","",INDEX(Firms!$L$5:$L$1004,$T539)),IF(INDEX('AFA Rates'!$K$5:$K$1004,$T539)="","",INDEX('AFA Rates'!$K$5:$K$1004,$T539))))</f>
        <v/>
      </c>
      <c r="N539" s="50">
        <f>IF($T539="","",IF($S539="S",IF(INDEX(Firms!$M$5:$M$1004,$T539)="","",INDEX(Firms!$M$5:$M$1004,$T539)),IF(INDEX('AFA Rates'!$L$5:$L$1004,$T539)="","",INDEX('AFA Rates'!$L$5:$L$1004,$T539))))</f>
        <v/>
      </c>
      <c r="O539" s="78">
        <f>IF(OR($T539="",$U539=""),"",IF(INDEX(Firms!$C$5:$C$1004,$U539)="","",INDEX(Firms!$C$5:$C$1004,$U539)))</f>
        <v/>
      </c>
      <c r="P539" s="79">
        <f>IF(OR($T539="",$U539=""),"",IF(INDEX(Firms!$N$5:$N$1004,$U539)="","",INDEX(Firms!$N$5:$N$1004,$U539)))</f>
        <v/>
      </c>
      <c r="Q539" s="78">
        <f>IF($T539="","",IF($S539="S",IF(INDEX(Firms!$T$5:$T$1004,$T539)="","",INDEX(Firms!$T$5:$T$1004,$T539)),IF(INDEX('AFA Rates'!$M$5:$M$1004,$T539)="","",INDEX('AFA Rates'!$M$5:$M$1004,$T539))))</f>
        <v/>
      </c>
      <c r="S539">
        <f>IF(535&lt;=$S$2,"S",IF(535&lt;=$S$2+$T$2,"A",""))</f>
        <v/>
      </c>
      <c r="T539">
        <f>IF(S539="S",MATCH(535,Firms!$W$5:$W$1004,0),IF(S539="A",IFERROR(MATCH(535-$S$2,'AFA Rates'!$R$5:$R$1004,0),""),""))</f>
        <v/>
      </c>
      <c r="U539">
        <f>IF(S539="S",T539,IF(AND(S539="A",T539&lt;&gt;""),IFERROR(MATCH(INDEX('AFA Rates'!$A$5:$A$1004,T539),Firms!$A$5:$A$1004,0),""),""))</f>
        <v/>
      </c>
    </row>
    <row r="540">
      <c r="A540" s="78">
        <f>IF($T540="","",IF($S540="S",IF(INDEX(Firms!$A$5:$A$1004,$T540)="","",INDEX(Firms!$A$5:$A$1004,$T540)),IF(INDEX('AFA Rates'!$A$5:$A$1004,$T540)="","",INDEX('AFA Rates'!$A$5:$A$1004,$T540))))</f>
        <v/>
      </c>
      <c r="B540" s="79">
        <f>IF(OR($T540="",$U540=""),IF($T540="","","Not on Firms tab"),INDEX(Firms!$B$5:$B$1004,$U540)&amp;"")</f>
        <v/>
      </c>
      <c r="C540" s="78">
        <f>IF($T540="","",IF($S540="S","Standard",INDEX('AFA Rates'!$B$5:$B$1004,$T540)&amp;""))</f>
        <v/>
      </c>
      <c r="D540" s="88">
        <f>IF($T540="","",IF($S540="S",IF(INDEX(Firms!$E$5:$E$1004,$T540)="","",INDEX(Firms!$E$5:$E$1004,$T540)),IF(INDEX('AFA Rates'!$C$5:$C$1004,$T540)="","",INDEX('AFA Rates'!$C$5:$C$1004,$T540))))</f>
        <v/>
      </c>
      <c r="E540" s="88">
        <f>IF($T540="","",IF($S540="S",IF(""="","",""),IF(INDEX('AFA Rates'!$D$5:$D$1004,$T540)="","",INDEX('AFA Rates'!$D$5:$D$1004,$T540))))</f>
        <v/>
      </c>
      <c r="F540" s="79">
        <f>IF($T540="","",IF($S540="S",IF(INDEX(Firms!$O$5:$O$1004,$T540)="","",INDEX(Firms!$O$5:$O$1004,$T540)),IF(INDEX('AFA Rates'!$O$5:$O$1004,$T540)="","",INDEX('AFA Rates'!$O$5:$O$1004,$T540))))</f>
        <v/>
      </c>
      <c r="G540" s="50">
        <f>IF($T540="","",IF($S540="S",IF(INDEX(Firms!$F$5:$F$1004,$T540)="","",INDEX(Firms!$F$5:$F$1004,$T540)),IF(INDEX('AFA Rates'!$E$5:$E$1004,$T540)="","",INDEX('AFA Rates'!$E$5:$E$1004,$T540))))</f>
        <v/>
      </c>
      <c r="H540" s="50">
        <f>IF($T540="","",IF($S540="S",IF(INDEX(Firms!$G$5:$G$1004,$T540)="","",INDEX(Firms!$G$5:$G$1004,$T540)),IF(INDEX('AFA Rates'!$F$5:$F$1004,$T540)="","",INDEX('AFA Rates'!$F$5:$F$1004,$T540))))</f>
        <v/>
      </c>
      <c r="I540" s="50">
        <f>IF($T540="","",IF($S540="S",IF(INDEX(Firms!$H$5:$H$1004,$T540)="","",INDEX(Firms!$H$5:$H$1004,$T540)),IF(INDEX('AFA Rates'!$G$5:$G$1004,$T540)="","",INDEX('AFA Rates'!$G$5:$G$1004,$T540))))</f>
        <v/>
      </c>
      <c r="J540" s="50">
        <f>IF($T540="","",IF($S540="S",IF(INDEX(Firms!$I$5:$I$1004,$T540)="","",INDEX(Firms!$I$5:$I$1004,$T540)),IF(INDEX('AFA Rates'!$H$5:$H$1004,$T540)="","",INDEX('AFA Rates'!$H$5:$H$1004,$T540))))</f>
        <v/>
      </c>
      <c r="K540" s="50">
        <f>IF($T540="","",IF($S540="S",IF(INDEX(Firms!$J$5:$J$1004,$T540)="","",INDEX(Firms!$J$5:$J$1004,$T540)),IF(INDEX('AFA Rates'!$I$5:$I$1004,$T540)="","",INDEX('AFA Rates'!$I$5:$I$1004,$T540))))</f>
        <v/>
      </c>
      <c r="L540" s="50">
        <f>IF($T540="","",IF($S540="S",IF(INDEX(Firms!$K$5:$K$1004,$T540)="","",INDEX(Firms!$K$5:$K$1004,$T540)),IF(INDEX('AFA Rates'!$J$5:$J$1004,$T540)="","",INDEX('AFA Rates'!$J$5:$J$1004,$T540))))</f>
        <v/>
      </c>
      <c r="M540" s="50">
        <f>IF($T540="","",IF($S540="S",IF(INDEX(Firms!$L$5:$L$1004,$T540)="","",INDEX(Firms!$L$5:$L$1004,$T540)),IF(INDEX('AFA Rates'!$K$5:$K$1004,$T540)="","",INDEX('AFA Rates'!$K$5:$K$1004,$T540))))</f>
        <v/>
      </c>
      <c r="N540" s="50">
        <f>IF($T540="","",IF($S540="S",IF(INDEX(Firms!$M$5:$M$1004,$T540)="","",INDEX(Firms!$M$5:$M$1004,$T540)),IF(INDEX('AFA Rates'!$L$5:$L$1004,$T540)="","",INDEX('AFA Rates'!$L$5:$L$1004,$T540))))</f>
        <v/>
      </c>
      <c r="O540" s="78">
        <f>IF(OR($T540="",$U540=""),"",IF(INDEX(Firms!$C$5:$C$1004,$U540)="","",INDEX(Firms!$C$5:$C$1004,$U540)))</f>
        <v/>
      </c>
      <c r="P540" s="79">
        <f>IF(OR($T540="",$U540=""),"",IF(INDEX(Firms!$N$5:$N$1004,$U540)="","",INDEX(Firms!$N$5:$N$1004,$U540)))</f>
        <v/>
      </c>
      <c r="Q540" s="78">
        <f>IF($T540="","",IF($S540="S",IF(INDEX(Firms!$T$5:$T$1004,$T540)="","",INDEX(Firms!$T$5:$T$1004,$T540)),IF(INDEX('AFA Rates'!$M$5:$M$1004,$T540)="","",INDEX('AFA Rates'!$M$5:$M$1004,$T540))))</f>
        <v/>
      </c>
      <c r="S540">
        <f>IF(536&lt;=$S$2,"S",IF(536&lt;=$S$2+$T$2,"A",""))</f>
        <v/>
      </c>
      <c r="T540">
        <f>IF(S540="S",MATCH(536,Firms!$W$5:$W$1004,0),IF(S540="A",IFERROR(MATCH(536-$S$2,'AFA Rates'!$R$5:$R$1004,0),""),""))</f>
        <v/>
      </c>
      <c r="U540">
        <f>IF(S540="S",T540,IF(AND(S540="A",T540&lt;&gt;""),IFERROR(MATCH(INDEX('AFA Rates'!$A$5:$A$1004,T540),Firms!$A$5:$A$1004,0),""),""))</f>
        <v/>
      </c>
    </row>
    <row r="541">
      <c r="A541" s="78">
        <f>IF($T541="","",IF($S541="S",IF(INDEX(Firms!$A$5:$A$1004,$T541)="","",INDEX(Firms!$A$5:$A$1004,$T541)),IF(INDEX('AFA Rates'!$A$5:$A$1004,$T541)="","",INDEX('AFA Rates'!$A$5:$A$1004,$T541))))</f>
        <v/>
      </c>
      <c r="B541" s="79">
        <f>IF(OR($T541="",$U541=""),IF($T541="","","Not on Firms tab"),INDEX(Firms!$B$5:$B$1004,$U541)&amp;"")</f>
        <v/>
      </c>
      <c r="C541" s="78">
        <f>IF($T541="","",IF($S541="S","Standard",INDEX('AFA Rates'!$B$5:$B$1004,$T541)&amp;""))</f>
        <v/>
      </c>
      <c r="D541" s="88">
        <f>IF($T541="","",IF($S541="S",IF(INDEX(Firms!$E$5:$E$1004,$T541)="","",INDEX(Firms!$E$5:$E$1004,$T541)),IF(INDEX('AFA Rates'!$C$5:$C$1004,$T541)="","",INDEX('AFA Rates'!$C$5:$C$1004,$T541))))</f>
        <v/>
      </c>
      <c r="E541" s="88">
        <f>IF($T541="","",IF($S541="S",IF(""="","",""),IF(INDEX('AFA Rates'!$D$5:$D$1004,$T541)="","",INDEX('AFA Rates'!$D$5:$D$1004,$T541))))</f>
        <v/>
      </c>
      <c r="F541" s="79">
        <f>IF($T541="","",IF($S541="S",IF(INDEX(Firms!$O$5:$O$1004,$T541)="","",INDEX(Firms!$O$5:$O$1004,$T541)),IF(INDEX('AFA Rates'!$O$5:$O$1004,$T541)="","",INDEX('AFA Rates'!$O$5:$O$1004,$T541))))</f>
        <v/>
      </c>
      <c r="G541" s="50">
        <f>IF($T541="","",IF($S541="S",IF(INDEX(Firms!$F$5:$F$1004,$T541)="","",INDEX(Firms!$F$5:$F$1004,$T541)),IF(INDEX('AFA Rates'!$E$5:$E$1004,$T541)="","",INDEX('AFA Rates'!$E$5:$E$1004,$T541))))</f>
        <v/>
      </c>
      <c r="H541" s="50">
        <f>IF($T541="","",IF($S541="S",IF(INDEX(Firms!$G$5:$G$1004,$T541)="","",INDEX(Firms!$G$5:$G$1004,$T541)),IF(INDEX('AFA Rates'!$F$5:$F$1004,$T541)="","",INDEX('AFA Rates'!$F$5:$F$1004,$T541))))</f>
        <v/>
      </c>
      <c r="I541" s="50">
        <f>IF($T541="","",IF($S541="S",IF(INDEX(Firms!$H$5:$H$1004,$T541)="","",INDEX(Firms!$H$5:$H$1004,$T541)),IF(INDEX('AFA Rates'!$G$5:$G$1004,$T541)="","",INDEX('AFA Rates'!$G$5:$G$1004,$T541))))</f>
        <v/>
      </c>
      <c r="J541" s="50">
        <f>IF($T541="","",IF($S541="S",IF(INDEX(Firms!$I$5:$I$1004,$T541)="","",INDEX(Firms!$I$5:$I$1004,$T541)),IF(INDEX('AFA Rates'!$H$5:$H$1004,$T541)="","",INDEX('AFA Rates'!$H$5:$H$1004,$T541))))</f>
        <v/>
      </c>
      <c r="K541" s="50">
        <f>IF($T541="","",IF($S541="S",IF(INDEX(Firms!$J$5:$J$1004,$T541)="","",INDEX(Firms!$J$5:$J$1004,$T541)),IF(INDEX('AFA Rates'!$I$5:$I$1004,$T541)="","",INDEX('AFA Rates'!$I$5:$I$1004,$T541))))</f>
        <v/>
      </c>
      <c r="L541" s="50">
        <f>IF($T541="","",IF($S541="S",IF(INDEX(Firms!$K$5:$K$1004,$T541)="","",INDEX(Firms!$K$5:$K$1004,$T541)),IF(INDEX('AFA Rates'!$J$5:$J$1004,$T541)="","",INDEX('AFA Rates'!$J$5:$J$1004,$T541))))</f>
        <v/>
      </c>
      <c r="M541" s="50">
        <f>IF($T541="","",IF($S541="S",IF(INDEX(Firms!$L$5:$L$1004,$T541)="","",INDEX(Firms!$L$5:$L$1004,$T541)),IF(INDEX('AFA Rates'!$K$5:$K$1004,$T541)="","",INDEX('AFA Rates'!$K$5:$K$1004,$T541))))</f>
        <v/>
      </c>
      <c r="N541" s="50">
        <f>IF($T541="","",IF($S541="S",IF(INDEX(Firms!$M$5:$M$1004,$T541)="","",INDEX(Firms!$M$5:$M$1004,$T541)),IF(INDEX('AFA Rates'!$L$5:$L$1004,$T541)="","",INDEX('AFA Rates'!$L$5:$L$1004,$T541))))</f>
        <v/>
      </c>
      <c r="O541" s="78">
        <f>IF(OR($T541="",$U541=""),"",IF(INDEX(Firms!$C$5:$C$1004,$U541)="","",INDEX(Firms!$C$5:$C$1004,$U541)))</f>
        <v/>
      </c>
      <c r="P541" s="79">
        <f>IF(OR($T541="",$U541=""),"",IF(INDEX(Firms!$N$5:$N$1004,$U541)="","",INDEX(Firms!$N$5:$N$1004,$U541)))</f>
        <v/>
      </c>
      <c r="Q541" s="78">
        <f>IF($T541="","",IF($S541="S",IF(INDEX(Firms!$T$5:$T$1004,$T541)="","",INDEX(Firms!$T$5:$T$1004,$T541)),IF(INDEX('AFA Rates'!$M$5:$M$1004,$T541)="","",INDEX('AFA Rates'!$M$5:$M$1004,$T541))))</f>
        <v/>
      </c>
      <c r="S541">
        <f>IF(537&lt;=$S$2,"S",IF(537&lt;=$S$2+$T$2,"A",""))</f>
        <v/>
      </c>
      <c r="T541">
        <f>IF(S541="S",MATCH(537,Firms!$W$5:$W$1004,0),IF(S541="A",IFERROR(MATCH(537-$S$2,'AFA Rates'!$R$5:$R$1004,0),""),""))</f>
        <v/>
      </c>
      <c r="U541">
        <f>IF(S541="S",T541,IF(AND(S541="A",T541&lt;&gt;""),IFERROR(MATCH(INDEX('AFA Rates'!$A$5:$A$1004,T541),Firms!$A$5:$A$1004,0),""),""))</f>
        <v/>
      </c>
    </row>
    <row r="542">
      <c r="A542" s="78">
        <f>IF($T542="","",IF($S542="S",IF(INDEX(Firms!$A$5:$A$1004,$T542)="","",INDEX(Firms!$A$5:$A$1004,$T542)),IF(INDEX('AFA Rates'!$A$5:$A$1004,$T542)="","",INDEX('AFA Rates'!$A$5:$A$1004,$T542))))</f>
        <v/>
      </c>
      <c r="B542" s="79">
        <f>IF(OR($T542="",$U542=""),IF($T542="","","Not on Firms tab"),INDEX(Firms!$B$5:$B$1004,$U542)&amp;"")</f>
        <v/>
      </c>
      <c r="C542" s="78">
        <f>IF($T542="","",IF($S542="S","Standard",INDEX('AFA Rates'!$B$5:$B$1004,$T542)&amp;""))</f>
        <v/>
      </c>
      <c r="D542" s="88">
        <f>IF($T542="","",IF($S542="S",IF(INDEX(Firms!$E$5:$E$1004,$T542)="","",INDEX(Firms!$E$5:$E$1004,$T542)),IF(INDEX('AFA Rates'!$C$5:$C$1004,$T542)="","",INDEX('AFA Rates'!$C$5:$C$1004,$T542))))</f>
        <v/>
      </c>
      <c r="E542" s="88">
        <f>IF($T542="","",IF($S542="S",IF(""="","",""),IF(INDEX('AFA Rates'!$D$5:$D$1004,$T542)="","",INDEX('AFA Rates'!$D$5:$D$1004,$T542))))</f>
        <v/>
      </c>
      <c r="F542" s="79">
        <f>IF($T542="","",IF($S542="S",IF(INDEX(Firms!$O$5:$O$1004,$T542)="","",INDEX(Firms!$O$5:$O$1004,$T542)),IF(INDEX('AFA Rates'!$O$5:$O$1004,$T542)="","",INDEX('AFA Rates'!$O$5:$O$1004,$T542))))</f>
        <v/>
      </c>
      <c r="G542" s="50">
        <f>IF($T542="","",IF($S542="S",IF(INDEX(Firms!$F$5:$F$1004,$T542)="","",INDEX(Firms!$F$5:$F$1004,$T542)),IF(INDEX('AFA Rates'!$E$5:$E$1004,$T542)="","",INDEX('AFA Rates'!$E$5:$E$1004,$T542))))</f>
        <v/>
      </c>
      <c r="H542" s="50">
        <f>IF($T542="","",IF($S542="S",IF(INDEX(Firms!$G$5:$G$1004,$T542)="","",INDEX(Firms!$G$5:$G$1004,$T542)),IF(INDEX('AFA Rates'!$F$5:$F$1004,$T542)="","",INDEX('AFA Rates'!$F$5:$F$1004,$T542))))</f>
        <v/>
      </c>
      <c r="I542" s="50">
        <f>IF($T542="","",IF($S542="S",IF(INDEX(Firms!$H$5:$H$1004,$T542)="","",INDEX(Firms!$H$5:$H$1004,$T542)),IF(INDEX('AFA Rates'!$G$5:$G$1004,$T542)="","",INDEX('AFA Rates'!$G$5:$G$1004,$T542))))</f>
        <v/>
      </c>
      <c r="J542" s="50">
        <f>IF($T542="","",IF($S542="S",IF(INDEX(Firms!$I$5:$I$1004,$T542)="","",INDEX(Firms!$I$5:$I$1004,$T542)),IF(INDEX('AFA Rates'!$H$5:$H$1004,$T542)="","",INDEX('AFA Rates'!$H$5:$H$1004,$T542))))</f>
        <v/>
      </c>
      <c r="K542" s="50">
        <f>IF($T542="","",IF($S542="S",IF(INDEX(Firms!$J$5:$J$1004,$T542)="","",INDEX(Firms!$J$5:$J$1004,$T542)),IF(INDEX('AFA Rates'!$I$5:$I$1004,$T542)="","",INDEX('AFA Rates'!$I$5:$I$1004,$T542))))</f>
        <v/>
      </c>
      <c r="L542" s="50">
        <f>IF($T542="","",IF($S542="S",IF(INDEX(Firms!$K$5:$K$1004,$T542)="","",INDEX(Firms!$K$5:$K$1004,$T542)),IF(INDEX('AFA Rates'!$J$5:$J$1004,$T542)="","",INDEX('AFA Rates'!$J$5:$J$1004,$T542))))</f>
        <v/>
      </c>
      <c r="M542" s="50">
        <f>IF($T542="","",IF($S542="S",IF(INDEX(Firms!$L$5:$L$1004,$T542)="","",INDEX(Firms!$L$5:$L$1004,$T542)),IF(INDEX('AFA Rates'!$K$5:$K$1004,$T542)="","",INDEX('AFA Rates'!$K$5:$K$1004,$T542))))</f>
        <v/>
      </c>
      <c r="N542" s="50">
        <f>IF($T542="","",IF($S542="S",IF(INDEX(Firms!$M$5:$M$1004,$T542)="","",INDEX(Firms!$M$5:$M$1004,$T542)),IF(INDEX('AFA Rates'!$L$5:$L$1004,$T542)="","",INDEX('AFA Rates'!$L$5:$L$1004,$T542))))</f>
        <v/>
      </c>
      <c r="O542" s="78">
        <f>IF(OR($T542="",$U542=""),"",IF(INDEX(Firms!$C$5:$C$1004,$U542)="","",INDEX(Firms!$C$5:$C$1004,$U542)))</f>
        <v/>
      </c>
      <c r="P542" s="79">
        <f>IF(OR($T542="",$U542=""),"",IF(INDEX(Firms!$N$5:$N$1004,$U542)="","",INDEX(Firms!$N$5:$N$1004,$U542)))</f>
        <v/>
      </c>
      <c r="Q542" s="78">
        <f>IF($T542="","",IF($S542="S",IF(INDEX(Firms!$T$5:$T$1004,$T542)="","",INDEX(Firms!$T$5:$T$1004,$T542)),IF(INDEX('AFA Rates'!$M$5:$M$1004,$T542)="","",INDEX('AFA Rates'!$M$5:$M$1004,$T542))))</f>
        <v/>
      </c>
      <c r="S542">
        <f>IF(538&lt;=$S$2,"S",IF(538&lt;=$S$2+$T$2,"A",""))</f>
        <v/>
      </c>
      <c r="T542">
        <f>IF(S542="S",MATCH(538,Firms!$W$5:$W$1004,0),IF(S542="A",IFERROR(MATCH(538-$S$2,'AFA Rates'!$R$5:$R$1004,0),""),""))</f>
        <v/>
      </c>
      <c r="U542">
        <f>IF(S542="S",T542,IF(AND(S542="A",T542&lt;&gt;""),IFERROR(MATCH(INDEX('AFA Rates'!$A$5:$A$1004,T542),Firms!$A$5:$A$1004,0),""),""))</f>
        <v/>
      </c>
    </row>
    <row r="543">
      <c r="A543" s="78">
        <f>IF($T543="","",IF($S543="S",IF(INDEX(Firms!$A$5:$A$1004,$T543)="","",INDEX(Firms!$A$5:$A$1004,$T543)),IF(INDEX('AFA Rates'!$A$5:$A$1004,$T543)="","",INDEX('AFA Rates'!$A$5:$A$1004,$T543))))</f>
        <v/>
      </c>
      <c r="B543" s="79">
        <f>IF(OR($T543="",$U543=""),IF($T543="","","Not on Firms tab"),INDEX(Firms!$B$5:$B$1004,$U543)&amp;"")</f>
        <v/>
      </c>
      <c r="C543" s="78">
        <f>IF($T543="","",IF($S543="S","Standard",INDEX('AFA Rates'!$B$5:$B$1004,$T543)&amp;""))</f>
        <v/>
      </c>
      <c r="D543" s="88">
        <f>IF($T543="","",IF($S543="S",IF(INDEX(Firms!$E$5:$E$1004,$T543)="","",INDEX(Firms!$E$5:$E$1004,$T543)),IF(INDEX('AFA Rates'!$C$5:$C$1004,$T543)="","",INDEX('AFA Rates'!$C$5:$C$1004,$T543))))</f>
        <v/>
      </c>
      <c r="E543" s="88">
        <f>IF($T543="","",IF($S543="S",IF(""="","",""),IF(INDEX('AFA Rates'!$D$5:$D$1004,$T543)="","",INDEX('AFA Rates'!$D$5:$D$1004,$T543))))</f>
        <v/>
      </c>
      <c r="F543" s="79">
        <f>IF($T543="","",IF($S543="S",IF(INDEX(Firms!$O$5:$O$1004,$T543)="","",INDEX(Firms!$O$5:$O$1004,$T543)),IF(INDEX('AFA Rates'!$O$5:$O$1004,$T543)="","",INDEX('AFA Rates'!$O$5:$O$1004,$T543))))</f>
        <v/>
      </c>
      <c r="G543" s="50">
        <f>IF($T543="","",IF($S543="S",IF(INDEX(Firms!$F$5:$F$1004,$T543)="","",INDEX(Firms!$F$5:$F$1004,$T543)),IF(INDEX('AFA Rates'!$E$5:$E$1004,$T543)="","",INDEX('AFA Rates'!$E$5:$E$1004,$T543))))</f>
        <v/>
      </c>
      <c r="H543" s="50">
        <f>IF($T543="","",IF($S543="S",IF(INDEX(Firms!$G$5:$G$1004,$T543)="","",INDEX(Firms!$G$5:$G$1004,$T543)),IF(INDEX('AFA Rates'!$F$5:$F$1004,$T543)="","",INDEX('AFA Rates'!$F$5:$F$1004,$T543))))</f>
        <v/>
      </c>
      <c r="I543" s="50">
        <f>IF($T543="","",IF($S543="S",IF(INDEX(Firms!$H$5:$H$1004,$T543)="","",INDEX(Firms!$H$5:$H$1004,$T543)),IF(INDEX('AFA Rates'!$G$5:$G$1004,$T543)="","",INDEX('AFA Rates'!$G$5:$G$1004,$T543))))</f>
        <v/>
      </c>
      <c r="J543" s="50">
        <f>IF($T543="","",IF($S543="S",IF(INDEX(Firms!$I$5:$I$1004,$T543)="","",INDEX(Firms!$I$5:$I$1004,$T543)),IF(INDEX('AFA Rates'!$H$5:$H$1004,$T543)="","",INDEX('AFA Rates'!$H$5:$H$1004,$T543))))</f>
        <v/>
      </c>
      <c r="K543" s="50">
        <f>IF($T543="","",IF($S543="S",IF(INDEX(Firms!$J$5:$J$1004,$T543)="","",INDEX(Firms!$J$5:$J$1004,$T543)),IF(INDEX('AFA Rates'!$I$5:$I$1004,$T543)="","",INDEX('AFA Rates'!$I$5:$I$1004,$T543))))</f>
        <v/>
      </c>
      <c r="L543" s="50">
        <f>IF($T543="","",IF($S543="S",IF(INDEX(Firms!$K$5:$K$1004,$T543)="","",INDEX(Firms!$K$5:$K$1004,$T543)),IF(INDEX('AFA Rates'!$J$5:$J$1004,$T543)="","",INDEX('AFA Rates'!$J$5:$J$1004,$T543))))</f>
        <v/>
      </c>
      <c r="M543" s="50">
        <f>IF($T543="","",IF($S543="S",IF(INDEX(Firms!$L$5:$L$1004,$T543)="","",INDEX(Firms!$L$5:$L$1004,$T543)),IF(INDEX('AFA Rates'!$K$5:$K$1004,$T543)="","",INDEX('AFA Rates'!$K$5:$K$1004,$T543))))</f>
        <v/>
      </c>
      <c r="N543" s="50">
        <f>IF($T543="","",IF($S543="S",IF(INDEX(Firms!$M$5:$M$1004,$T543)="","",INDEX(Firms!$M$5:$M$1004,$T543)),IF(INDEX('AFA Rates'!$L$5:$L$1004,$T543)="","",INDEX('AFA Rates'!$L$5:$L$1004,$T543))))</f>
        <v/>
      </c>
      <c r="O543" s="78">
        <f>IF(OR($T543="",$U543=""),"",IF(INDEX(Firms!$C$5:$C$1004,$U543)="","",INDEX(Firms!$C$5:$C$1004,$U543)))</f>
        <v/>
      </c>
      <c r="P543" s="79">
        <f>IF(OR($T543="",$U543=""),"",IF(INDEX(Firms!$N$5:$N$1004,$U543)="","",INDEX(Firms!$N$5:$N$1004,$U543)))</f>
        <v/>
      </c>
      <c r="Q543" s="78">
        <f>IF($T543="","",IF($S543="S",IF(INDEX(Firms!$T$5:$T$1004,$T543)="","",INDEX(Firms!$T$5:$T$1004,$T543)),IF(INDEX('AFA Rates'!$M$5:$M$1004,$T543)="","",INDEX('AFA Rates'!$M$5:$M$1004,$T543))))</f>
        <v/>
      </c>
      <c r="S543">
        <f>IF(539&lt;=$S$2,"S",IF(539&lt;=$S$2+$T$2,"A",""))</f>
        <v/>
      </c>
      <c r="T543">
        <f>IF(S543="S",MATCH(539,Firms!$W$5:$W$1004,0),IF(S543="A",IFERROR(MATCH(539-$S$2,'AFA Rates'!$R$5:$R$1004,0),""),""))</f>
        <v/>
      </c>
      <c r="U543">
        <f>IF(S543="S",T543,IF(AND(S543="A",T543&lt;&gt;""),IFERROR(MATCH(INDEX('AFA Rates'!$A$5:$A$1004,T543),Firms!$A$5:$A$1004,0),""),""))</f>
        <v/>
      </c>
    </row>
    <row r="544">
      <c r="A544" s="78">
        <f>IF($T544="","",IF($S544="S",IF(INDEX(Firms!$A$5:$A$1004,$T544)="","",INDEX(Firms!$A$5:$A$1004,$T544)),IF(INDEX('AFA Rates'!$A$5:$A$1004,$T544)="","",INDEX('AFA Rates'!$A$5:$A$1004,$T544))))</f>
        <v/>
      </c>
      <c r="B544" s="79">
        <f>IF(OR($T544="",$U544=""),IF($T544="","","Not on Firms tab"),INDEX(Firms!$B$5:$B$1004,$U544)&amp;"")</f>
        <v/>
      </c>
      <c r="C544" s="78">
        <f>IF($T544="","",IF($S544="S","Standard",INDEX('AFA Rates'!$B$5:$B$1004,$T544)&amp;""))</f>
        <v/>
      </c>
      <c r="D544" s="88">
        <f>IF($T544="","",IF($S544="S",IF(INDEX(Firms!$E$5:$E$1004,$T544)="","",INDEX(Firms!$E$5:$E$1004,$T544)),IF(INDEX('AFA Rates'!$C$5:$C$1004,$T544)="","",INDEX('AFA Rates'!$C$5:$C$1004,$T544))))</f>
        <v/>
      </c>
      <c r="E544" s="88">
        <f>IF($T544="","",IF($S544="S",IF(""="","",""),IF(INDEX('AFA Rates'!$D$5:$D$1004,$T544)="","",INDEX('AFA Rates'!$D$5:$D$1004,$T544))))</f>
        <v/>
      </c>
      <c r="F544" s="79">
        <f>IF($T544="","",IF($S544="S",IF(INDEX(Firms!$O$5:$O$1004,$T544)="","",INDEX(Firms!$O$5:$O$1004,$T544)),IF(INDEX('AFA Rates'!$O$5:$O$1004,$T544)="","",INDEX('AFA Rates'!$O$5:$O$1004,$T544))))</f>
        <v/>
      </c>
      <c r="G544" s="50">
        <f>IF($T544="","",IF($S544="S",IF(INDEX(Firms!$F$5:$F$1004,$T544)="","",INDEX(Firms!$F$5:$F$1004,$T544)),IF(INDEX('AFA Rates'!$E$5:$E$1004,$T544)="","",INDEX('AFA Rates'!$E$5:$E$1004,$T544))))</f>
        <v/>
      </c>
      <c r="H544" s="50">
        <f>IF($T544="","",IF($S544="S",IF(INDEX(Firms!$G$5:$G$1004,$T544)="","",INDEX(Firms!$G$5:$G$1004,$T544)),IF(INDEX('AFA Rates'!$F$5:$F$1004,$T544)="","",INDEX('AFA Rates'!$F$5:$F$1004,$T544))))</f>
        <v/>
      </c>
      <c r="I544" s="50">
        <f>IF($T544="","",IF($S544="S",IF(INDEX(Firms!$H$5:$H$1004,$T544)="","",INDEX(Firms!$H$5:$H$1004,$T544)),IF(INDEX('AFA Rates'!$G$5:$G$1004,$T544)="","",INDEX('AFA Rates'!$G$5:$G$1004,$T544))))</f>
        <v/>
      </c>
      <c r="J544" s="50">
        <f>IF($T544="","",IF($S544="S",IF(INDEX(Firms!$I$5:$I$1004,$T544)="","",INDEX(Firms!$I$5:$I$1004,$T544)),IF(INDEX('AFA Rates'!$H$5:$H$1004,$T544)="","",INDEX('AFA Rates'!$H$5:$H$1004,$T544))))</f>
        <v/>
      </c>
      <c r="K544" s="50">
        <f>IF($T544="","",IF($S544="S",IF(INDEX(Firms!$J$5:$J$1004,$T544)="","",INDEX(Firms!$J$5:$J$1004,$T544)),IF(INDEX('AFA Rates'!$I$5:$I$1004,$T544)="","",INDEX('AFA Rates'!$I$5:$I$1004,$T544))))</f>
        <v/>
      </c>
      <c r="L544" s="50">
        <f>IF($T544="","",IF($S544="S",IF(INDEX(Firms!$K$5:$K$1004,$T544)="","",INDEX(Firms!$K$5:$K$1004,$T544)),IF(INDEX('AFA Rates'!$J$5:$J$1004,$T544)="","",INDEX('AFA Rates'!$J$5:$J$1004,$T544))))</f>
        <v/>
      </c>
      <c r="M544" s="50">
        <f>IF($T544="","",IF($S544="S",IF(INDEX(Firms!$L$5:$L$1004,$T544)="","",INDEX(Firms!$L$5:$L$1004,$T544)),IF(INDEX('AFA Rates'!$K$5:$K$1004,$T544)="","",INDEX('AFA Rates'!$K$5:$K$1004,$T544))))</f>
        <v/>
      </c>
      <c r="N544" s="50">
        <f>IF($T544="","",IF($S544="S",IF(INDEX(Firms!$M$5:$M$1004,$T544)="","",INDEX(Firms!$M$5:$M$1004,$T544)),IF(INDEX('AFA Rates'!$L$5:$L$1004,$T544)="","",INDEX('AFA Rates'!$L$5:$L$1004,$T544))))</f>
        <v/>
      </c>
      <c r="O544" s="78">
        <f>IF(OR($T544="",$U544=""),"",IF(INDEX(Firms!$C$5:$C$1004,$U544)="","",INDEX(Firms!$C$5:$C$1004,$U544)))</f>
        <v/>
      </c>
      <c r="P544" s="79">
        <f>IF(OR($T544="",$U544=""),"",IF(INDEX(Firms!$N$5:$N$1004,$U544)="","",INDEX(Firms!$N$5:$N$1004,$U544)))</f>
        <v/>
      </c>
      <c r="Q544" s="78">
        <f>IF($T544="","",IF($S544="S",IF(INDEX(Firms!$T$5:$T$1004,$T544)="","",INDEX(Firms!$T$5:$T$1004,$T544)),IF(INDEX('AFA Rates'!$M$5:$M$1004,$T544)="","",INDEX('AFA Rates'!$M$5:$M$1004,$T544))))</f>
        <v/>
      </c>
      <c r="S544">
        <f>IF(540&lt;=$S$2,"S",IF(540&lt;=$S$2+$T$2,"A",""))</f>
        <v/>
      </c>
      <c r="T544">
        <f>IF(S544="S",MATCH(540,Firms!$W$5:$W$1004,0),IF(S544="A",IFERROR(MATCH(540-$S$2,'AFA Rates'!$R$5:$R$1004,0),""),""))</f>
        <v/>
      </c>
      <c r="U544">
        <f>IF(S544="S",T544,IF(AND(S544="A",T544&lt;&gt;""),IFERROR(MATCH(INDEX('AFA Rates'!$A$5:$A$1004,T544),Firms!$A$5:$A$1004,0),""),""))</f>
        <v/>
      </c>
    </row>
    <row r="545">
      <c r="A545" s="78">
        <f>IF($T545="","",IF($S545="S",IF(INDEX(Firms!$A$5:$A$1004,$T545)="","",INDEX(Firms!$A$5:$A$1004,$T545)),IF(INDEX('AFA Rates'!$A$5:$A$1004,$T545)="","",INDEX('AFA Rates'!$A$5:$A$1004,$T545))))</f>
        <v/>
      </c>
      <c r="B545" s="79">
        <f>IF(OR($T545="",$U545=""),IF($T545="","","Not on Firms tab"),INDEX(Firms!$B$5:$B$1004,$U545)&amp;"")</f>
        <v/>
      </c>
      <c r="C545" s="78">
        <f>IF($T545="","",IF($S545="S","Standard",INDEX('AFA Rates'!$B$5:$B$1004,$T545)&amp;""))</f>
        <v/>
      </c>
      <c r="D545" s="88">
        <f>IF($T545="","",IF($S545="S",IF(INDEX(Firms!$E$5:$E$1004,$T545)="","",INDEX(Firms!$E$5:$E$1004,$T545)),IF(INDEX('AFA Rates'!$C$5:$C$1004,$T545)="","",INDEX('AFA Rates'!$C$5:$C$1004,$T545))))</f>
        <v/>
      </c>
      <c r="E545" s="88">
        <f>IF($T545="","",IF($S545="S",IF(""="","",""),IF(INDEX('AFA Rates'!$D$5:$D$1004,$T545)="","",INDEX('AFA Rates'!$D$5:$D$1004,$T545))))</f>
        <v/>
      </c>
      <c r="F545" s="79">
        <f>IF($T545="","",IF($S545="S",IF(INDEX(Firms!$O$5:$O$1004,$T545)="","",INDEX(Firms!$O$5:$O$1004,$T545)),IF(INDEX('AFA Rates'!$O$5:$O$1004,$T545)="","",INDEX('AFA Rates'!$O$5:$O$1004,$T545))))</f>
        <v/>
      </c>
      <c r="G545" s="50">
        <f>IF($T545="","",IF($S545="S",IF(INDEX(Firms!$F$5:$F$1004,$T545)="","",INDEX(Firms!$F$5:$F$1004,$T545)),IF(INDEX('AFA Rates'!$E$5:$E$1004,$T545)="","",INDEX('AFA Rates'!$E$5:$E$1004,$T545))))</f>
        <v/>
      </c>
      <c r="H545" s="50">
        <f>IF($T545="","",IF($S545="S",IF(INDEX(Firms!$G$5:$G$1004,$T545)="","",INDEX(Firms!$G$5:$G$1004,$T545)),IF(INDEX('AFA Rates'!$F$5:$F$1004,$T545)="","",INDEX('AFA Rates'!$F$5:$F$1004,$T545))))</f>
        <v/>
      </c>
      <c r="I545" s="50">
        <f>IF($T545="","",IF($S545="S",IF(INDEX(Firms!$H$5:$H$1004,$T545)="","",INDEX(Firms!$H$5:$H$1004,$T545)),IF(INDEX('AFA Rates'!$G$5:$G$1004,$T545)="","",INDEX('AFA Rates'!$G$5:$G$1004,$T545))))</f>
        <v/>
      </c>
      <c r="J545" s="50">
        <f>IF($T545="","",IF($S545="S",IF(INDEX(Firms!$I$5:$I$1004,$T545)="","",INDEX(Firms!$I$5:$I$1004,$T545)),IF(INDEX('AFA Rates'!$H$5:$H$1004,$T545)="","",INDEX('AFA Rates'!$H$5:$H$1004,$T545))))</f>
        <v/>
      </c>
      <c r="K545" s="50">
        <f>IF($T545="","",IF($S545="S",IF(INDEX(Firms!$J$5:$J$1004,$T545)="","",INDEX(Firms!$J$5:$J$1004,$T545)),IF(INDEX('AFA Rates'!$I$5:$I$1004,$T545)="","",INDEX('AFA Rates'!$I$5:$I$1004,$T545))))</f>
        <v/>
      </c>
      <c r="L545" s="50">
        <f>IF($T545="","",IF($S545="S",IF(INDEX(Firms!$K$5:$K$1004,$T545)="","",INDEX(Firms!$K$5:$K$1004,$T545)),IF(INDEX('AFA Rates'!$J$5:$J$1004,$T545)="","",INDEX('AFA Rates'!$J$5:$J$1004,$T545))))</f>
        <v/>
      </c>
      <c r="M545" s="50">
        <f>IF($T545="","",IF($S545="S",IF(INDEX(Firms!$L$5:$L$1004,$T545)="","",INDEX(Firms!$L$5:$L$1004,$T545)),IF(INDEX('AFA Rates'!$K$5:$K$1004,$T545)="","",INDEX('AFA Rates'!$K$5:$K$1004,$T545))))</f>
        <v/>
      </c>
      <c r="N545" s="50">
        <f>IF($T545="","",IF($S545="S",IF(INDEX(Firms!$M$5:$M$1004,$T545)="","",INDEX(Firms!$M$5:$M$1004,$T545)),IF(INDEX('AFA Rates'!$L$5:$L$1004,$T545)="","",INDEX('AFA Rates'!$L$5:$L$1004,$T545))))</f>
        <v/>
      </c>
      <c r="O545" s="78">
        <f>IF(OR($T545="",$U545=""),"",IF(INDEX(Firms!$C$5:$C$1004,$U545)="","",INDEX(Firms!$C$5:$C$1004,$U545)))</f>
        <v/>
      </c>
      <c r="P545" s="79">
        <f>IF(OR($T545="",$U545=""),"",IF(INDEX(Firms!$N$5:$N$1004,$U545)="","",INDEX(Firms!$N$5:$N$1004,$U545)))</f>
        <v/>
      </c>
      <c r="Q545" s="78">
        <f>IF($T545="","",IF($S545="S",IF(INDEX(Firms!$T$5:$T$1004,$T545)="","",INDEX(Firms!$T$5:$T$1004,$T545)),IF(INDEX('AFA Rates'!$M$5:$M$1004,$T545)="","",INDEX('AFA Rates'!$M$5:$M$1004,$T545))))</f>
        <v/>
      </c>
      <c r="S545">
        <f>IF(541&lt;=$S$2,"S",IF(541&lt;=$S$2+$T$2,"A",""))</f>
        <v/>
      </c>
      <c r="T545">
        <f>IF(S545="S",MATCH(541,Firms!$W$5:$W$1004,0),IF(S545="A",IFERROR(MATCH(541-$S$2,'AFA Rates'!$R$5:$R$1004,0),""),""))</f>
        <v/>
      </c>
      <c r="U545">
        <f>IF(S545="S",T545,IF(AND(S545="A",T545&lt;&gt;""),IFERROR(MATCH(INDEX('AFA Rates'!$A$5:$A$1004,T545),Firms!$A$5:$A$1004,0),""),""))</f>
        <v/>
      </c>
    </row>
    <row r="546">
      <c r="A546" s="78">
        <f>IF($T546="","",IF($S546="S",IF(INDEX(Firms!$A$5:$A$1004,$T546)="","",INDEX(Firms!$A$5:$A$1004,$T546)),IF(INDEX('AFA Rates'!$A$5:$A$1004,$T546)="","",INDEX('AFA Rates'!$A$5:$A$1004,$T546))))</f>
        <v/>
      </c>
      <c r="B546" s="79">
        <f>IF(OR($T546="",$U546=""),IF($T546="","","Not on Firms tab"),INDEX(Firms!$B$5:$B$1004,$U546)&amp;"")</f>
        <v/>
      </c>
      <c r="C546" s="78">
        <f>IF($T546="","",IF($S546="S","Standard",INDEX('AFA Rates'!$B$5:$B$1004,$T546)&amp;""))</f>
        <v/>
      </c>
      <c r="D546" s="88">
        <f>IF($T546="","",IF($S546="S",IF(INDEX(Firms!$E$5:$E$1004,$T546)="","",INDEX(Firms!$E$5:$E$1004,$T546)),IF(INDEX('AFA Rates'!$C$5:$C$1004,$T546)="","",INDEX('AFA Rates'!$C$5:$C$1004,$T546))))</f>
        <v/>
      </c>
      <c r="E546" s="88">
        <f>IF($T546="","",IF($S546="S",IF(""="","",""),IF(INDEX('AFA Rates'!$D$5:$D$1004,$T546)="","",INDEX('AFA Rates'!$D$5:$D$1004,$T546))))</f>
        <v/>
      </c>
      <c r="F546" s="79">
        <f>IF($T546="","",IF($S546="S",IF(INDEX(Firms!$O$5:$O$1004,$T546)="","",INDEX(Firms!$O$5:$O$1004,$T546)),IF(INDEX('AFA Rates'!$O$5:$O$1004,$T546)="","",INDEX('AFA Rates'!$O$5:$O$1004,$T546))))</f>
        <v/>
      </c>
      <c r="G546" s="50">
        <f>IF($T546="","",IF($S546="S",IF(INDEX(Firms!$F$5:$F$1004,$T546)="","",INDEX(Firms!$F$5:$F$1004,$T546)),IF(INDEX('AFA Rates'!$E$5:$E$1004,$T546)="","",INDEX('AFA Rates'!$E$5:$E$1004,$T546))))</f>
        <v/>
      </c>
      <c r="H546" s="50">
        <f>IF($T546="","",IF($S546="S",IF(INDEX(Firms!$G$5:$G$1004,$T546)="","",INDEX(Firms!$G$5:$G$1004,$T546)),IF(INDEX('AFA Rates'!$F$5:$F$1004,$T546)="","",INDEX('AFA Rates'!$F$5:$F$1004,$T546))))</f>
        <v/>
      </c>
      <c r="I546" s="50">
        <f>IF($T546="","",IF($S546="S",IF(INDEX(Firms!$H$5:$H$1004,$T546)="","",INDEX(Firms!$H$5:$H$1004,$T546)),IF(INDEX('AFA Rates'!$G$5:$G$1004,$T546)="","",INDEX('AFA Rates'!$G$5:$G$1004,$T546))))</f>
        <v/>
      </c>
      <c r="J546" s="50">
        <f>IF($T546="","",IF($S546="S",IF(INDEX(Firms!$I$5:$I$1004,$T546)="","",INDEX(Firms!$I$5:$I$1004,$T546)),IF(INDEX('AFA Rates'!$H$5:$H$1004,$T546)="","",INDEX('AFA Rates'!$H$5:$H$1004,$T546))))</f>
        <v/>
      </c>
      <c r="K546" s="50">
        <f>IF($T546="","",IF($S546="S",IF(INDEX(Firms!$J$5:$J$1004,$T546)="","",INDEX(Firms!$J$5:$J$1004,$T546)),IF(INDEX('AFA Rates'!$I$5:$I$1004,$T546)="","",INDEX('AFA Rates'!$I$5:$I$1004,$T546))))</f>
        <v/>
      </c>
      <c r="L546" s="50">
        <f>IF($T546="","",IF($S546="S",IF(INDEX(Firms!$K$5:$K$1004,$T546)="","",INDEX(Firms!$K$5:$K$1004,$T546)),IF(INDEX('AFA Rates'!$J$5:$J$1004,$T546)="","",INDEX('AFA Rates'!$J$5:$J$1004,$T546))))</f>
        <v/>
      </c>
      <c r="M546" s="50">
        <f>IF($T546="","",IF($S546="S",IF(INDEX(Firms!$L$5:$L$1004,$T546)="","",INDEX(Firms!$L$5:$L$1004,$T546)),IF(INDEX('AFA Rates'!$K$5:$K$1004,$T546)="","",INDEX('AFA Rates'!$K$5:$K$1004,$T546))))</f>
        <v/>
      </c>
      <c r="N546" s="50">
        <f>IF($T546="","",IF($S546="S",IF(INDEX(Firms!$M$5:$M$1004,$T546)="","",INDEX(Firms!$M$5:$M$1004,$T546)),IF(INDEX('AFA Rates'!$L$5:$L$1004,$T546)="","",INDEX('AFA Rates'!$L$5:$L$1004,$T546))))</f>
        <v/>
      </c>
      <c r="O546" s="78">
        <f>IF(OR($T546="",$U546=""),"",IF(INDEX(Firms!$C$5:$C$1004,$U546)="","",INDEX(Firms!$C$5:$C$1004,$U546)))</f>
        <v/>
      </c>
      <c r="P546" s="79">
        <f>IF(OR($T546="",$U546=""),"",IF(INDEX(Firms!$N$5:$N$1004,$U546)="","",INDEX(Firms!$N$5:$N$1004,$U546)))</f>
        <v/>
      </c>
      <c r="Q546" s="78">
        <f>IF($T546="","",IF($S546="S",IF(INDEX(Firms!$T$5:$T$1004,$T546)="","",INDEX(Firms!$T$5:$T$1004,$T546)),IF(INDEX('AFA Rates'!$M$5:$M$1004,$T546)="","",INDEX('AFA Rates'!$M$5:$M$1004,$T546))))</f>
        <v/>
      </c>
      <c r="S546">
        <f>IF(542&lt;=$S$2,"S",IF(542&lt;=$S$2+$T$2,"A",""))</f>
        <v/>
      </c>
      <c r="T546">
        <f>IF(S546="S",MATCH(542,Firms!$W$5:$W$1004,0),IF(S546="A",IFERROR(MATCH(542-$S$2,'AFA Rates'!$R$5:$R$1004,0),""),""))</f>
        <v/>
      </c>
      <c r="U546">
        <f>IF(S546="S",T546,IF(AND(S546="A",T546&lt;&gt;""),IFERROR(MATCH(INDEX('AFA Rates'!$A$5:$A$1004,T546),Firms!$A$5:$A$1004,0),""),""))</f>
        <v/>
      </c>
    </row>
    <row r="547">
      <c r="A547" s="78">
        <f>IF($T547="","",IF($S547="S",IF(INDEX(Firms!$A$5:$A$1004,$T547)="","",INDEX(Firms!$A$5:$A$1004,$T547)),IF(INDEX('AFA Rates'!$A$5:$A$1004,$T547)="","",INDEX('AFA Rates'!$A$5:$A$1004,$T547))))</f>
        <v/>
      </c>
      <c r="B547" s="79">
        <f>IF(OR($T547="",$U547=""),IF($T547="","","Not on Firms tab"),INDEX(Firms!$B$5:$B$1004,$U547)&amp;"")</f>
        <v/>
      </c>
      <c r="C547" s="78">
        <f>IF($T547="","",IF($S547="S","Standard",INDEX('AFA Rates'!$B$5:$B$1004,$T547)&amp;""))</f>
        <v/>
      </c>
      <c r="D547" s="88">
        <f>IF($T547="","",IF($S547="S",IF(INDEX(Firms!$E$5:$E$1004,$T547)="","",INDEX(Firms!$E$5:$E$1004,$T547)),IF(INDEX('AFA Rates'!$C$5:$C$1004,$T547)="","",INDEX('AFA Rates'!$C$5:$C$1004,$T547))))</f>
        <v/>
      </c>
      <c r="E547" s="88">
        <f>IF($T547="","",IF($S547="S",IF(""="","",""),IF(INDEX('AFA Rates'!$D$5:$D$1004,$T547)="","",INDEX('AFA Rates'!$D$5:$D$1004,$T547))))</f>
        <v/>
      </c>
      <c r="F547" s="79">
        <f>IF($T547="","",IF($S547="S",IF(INDEX(Firms!$O$5:$O$1004,$T547)="","",INDEX(Firms!$O$5:$O$1004,$T547)),IF(INDEX('AFA Rates'!$O$5:$O$1004,$T547)="","",INDEX('AFA Rates'!$O$5:$O$1004,$T547))))</f>
        <v/>
      </c>
      <c r="G547" s="50">
        <f>IF($T547="","",IF($S547="S",IF(INDEX(Firms!$F$5:$F$1004,$T547)="","",INDEX(Firms!$F$5:$F$1004,$T547)),IF(INDEX('AFA Rates'!$E$5:$E$1004,$T547)="","",INDEX('AFA Rates'!$E$5:$E$1004,$T547))))</f>
        <v/>
      </c>
      <c r="H547" s="50">
        <f>IF($T547="","",IF($S547="S",IF(INDEX(Firms!$G$5:$G$1004,$T547)="","",INDEX(Firms!$G$5:$G$1004,$T547)),IF(INDEX('AFA Rates'!$F$5:$F$1004,$T547)="","",INDEX('AFA Rates'!$F$5:$F$1004,$T547))))</f>
        <v/>
      </c>
      <c r="I547" s="50">
        <f>IF($T547="","",IF($S547="S",IF(INDEX(Firms!$H$5:$H$1004,$T547)="","",INDEX(Firms!$H$5:$H$1004,$T547)),IF(INDEX('AFA Rates'!$G$5:$G$1004,$T547)="","",INDEX('AFA Rates'!$G$5:$G$1004,$T547))))</f>
        <v/>
      </c>
      <c r="J547" s="50">
        <f>IF($T547="","",IF($S547="S",IF(INDEX(Firms!$I$5:$I$1004,$T547)="","",INDEX(Firms!$I$5:$I$1004,$T547)),IF(INDEX('AFA Rates'!$H$5:$H$1004,$T547)="","",INDEX('AFA Rates'!$H$5:$H$1004,$T547))))</f>
        <v/>
      </c>
      <c r="K547" s="50">
        <f>IF($T547="","",IF($S547="S",IF(INDEX(Firms!$J$5:$J$1004,$T547)="","",INDEX(Firms!$J$5:$J$1004,$T547)),IF(INDEX('AFA Rates'!$I$5:$I$1004,$T547)="","",INDEX('AFA Rates'!$I$5:$I$1004,$T547))))</f>
        <v/>
      </c>
      <c r="L547" s="50">
        <f>IF($T547="","",IF($S547="S",IF(INDEX(Firms!$K$5:$K$1004,$T547)="","",INDEX(Firms!$K$5:$K$1004,$T547)),IF(INDEX('AFA Rates'!$J$5:$J$1004,$T547)="","",INDEX('AFA Rates'!$J$5:$J$1004,$T547))))</f>
        <v/>
      </c>
      <c r="M547" s="50">
        <f>IF($T547="","",IF($S547="S",IF(INDEX(Firms!$L$5:$L$1004,$T547)="","",INDEX(Firms!$L$5:$L$1004,$T547)),IF(INDEX('AFA Rates'!$K$5:$K$1004,$T547)="","",INDEX('AFA Rates'!$K$5:$K$1004,$T547))))</f>
        <v/>
      </c>
      <c r="N547" s="50">
        <f>IF($T547="","",IF($S547="S",IF(INDEX(Firms!$M$5:$M$1004,$T547)="","",INDEX(Firms!$M$5:$M$1004,$T547)),IF(INDEX('AFA Rates'!$L$5:$L$1004,$T547)="","",INDEX('AFA Rates'!$L$5:$L$1004,$T547))))</f>
        <v/>
      </c>
      <c r="O547" s="78">
        <f>IF(OR($T547="",$U547=""),"",IF(INDEX(Firms!$C$5:$C$1004,$U547)="","",INDEX(Firms!$C$5:$C$1004,$U547)))</f>
        <v/>
      </c>
      <c r="P547" s="79">
        <f>IF(OR($T547="",$U547=""),"",IF(INDEX(Firms!$N$5:$N$1004,$U547)="","",INDEX(Firms!$N$5:$N$1004,$U547)))</f>
        <v/>
      </c>
      <c r="Q547" s="78">
        <f>IF($T547="","",IF($S547="S",IF(INDEX(Firms!$T$5:$T$1004,$T547)="","",INDEX(Firms!$T$5:$T$1004,$T547)),IF(INDEX('AFA Rates'!$M$5:$M$1004,$T547)="","",INDEX('AFA Rates'!$M$5:$M$1004,$T547))))</f>
        <v/>
      </c>
      <c r="S547">
        <f>IF(543&lt;=$S$2,"S",IF(543&lt;=$S$2+$T$2,"A",""))</f>
        <v/>
      </c>
      <c r="T547">
        <f>IF(S547="S",MATCH(543,Firms!$W$5:$W$1004,0),IF(S547="A",IFERROR(MATCH(543-$S$2,'AFA Rates'!$R$5:$R$1004,0),""),""))</f>
        <v/>
      </c>
      <c r="U547">
        <f>IF(S547="S",T547,IF(AND(S547="A",T547&lt;&gt;""),IFERROR(MATCH(INDEX('AFA Rates'!$A$5:$A$1004,T547),Firms!$A$5:$A$1004,0),""),""))</f>
        <v/>
      </c>
    </row>
    <row r="548">
      <c r="A548" s="78">
        <f>IF($T548="","",IF($S548="S",IF(INDEX(Firms!$A$5:$A$1004,$T548)="","",INDEX(Firms!$A$5:$A$1004,$T548)),IF(INDEX('AFA Rates'!$A$5:$A$1004,$T548)="","",INDEX('AFA Rates'!$A$5:$A$1004,$T548))))</f>
        <v/>
      </c>
      <c r="B548" s="79">
        <f>IF(OR($T548="",$U548=""),IF($T548="","","Not on Firms tab"),INDEX(Firms!$B$5:$B$1004,$U548)&amp;"")</f>
        <v/>
      </c>
      <c r="C548" s="78">
        <f>IF($T548="","",IF($S548="S","Standard",INDEX('AFA Rates'!$B$5:$B$1004,$T548)&amp;""))</f>
        <v/>
      </c>
      <c r="D548" s="88">
        <f>IF($T548="","",IF($S548="S",IF(INDEX(Firms!$E$5:$E$1004,$T548)="","",INDEX(Firms!$E$5:$E$1004,$T548)),IF(INDEX('AFA Rates'!$C$5:$C$1004,$T548)="","",INDEX('AFA Rates'!$C$5:$C$1004,$T548))))</f>
        <v/>
      </c>
      <c r="E548" s="88">
        <f>IF($T548="","",IF($S548="S",IF(""="","",""),IF(INDEX('AFA Rates'!$D$5:$D$1004,$T548)="","",INDEX('AFA Rates'!$D$5:$D$1004,$T548))))</f>
        <v/>
      </c>
      <c r="F548" s="79">
        <f>IF($T548="","",IF($S548="S",IF(INDEX(Firms!$O$5:$O$1004,$T548)="","",INDEX(Firms!$O$5:$O$1004,$T548)),IF(INDEX('AFA Rates'!$O$5:$O$1004,$T548)="","",INDEX('AFA Rates'!$O$5:$O$1004,$T548))))</f>
        <v/>
      </c>
      <c r="G548" s="50">
        <f>IF($T548="","",IF($S548="S",IF(INDEX(Firms!$F$5:$F$1004,$T548)="","",INDEX(Firms!$F$5:$F$1004,$T548)),IF(INDEX('AFA Rates'!$E$5:$E$1004,$T548)="","",INDEX('AFA Rates'!$E$5:$E$1004,$T548))))</f>
        <v/>
      </c>
      <c r="H548" s="50">
        <f>IF($T548="","",IF($S548="S",IF(INDEX(Firms!$G$5:$G$1004,$T548)="","",INDEX(Firms!$G$5:$G$1004,$T548)),IF(INDEX('AFA Rates'!$F$5:$F$1004,$T548)="","",INDEX('AFA Rates'!$F$5:$F$1004,$T548))))</f>
        <v/>
      </c>
      <c r="I548" s="50">
        <f>IF($T548="","",IF($S548="S",IF(INDEX(Firms!$H$5:$H$1004,$T548)="","",INDEX(Firms!$H$5:$H$1004,$T548)),IF(INDEX('AFA Rates'!$G$5:$G$1004,$T548)="","",INDEX('AFA Rates'!$G$5:$G$1004,$T548))))</f>
        <v/>
      </c>
      <c r="J548" s="50">
        <f>IF($T548="","",IF($S548="S",IF(INDEX(Firms!$I$5:$I$1004,$T548)="","",INDEX(Firms!$I$5:$I$1004,$T548)),IF(INDEX('AFA Rates'!$H$5:$H$1004,$T548)="","",INDEX('AFA Rates'!$H$5:$H$1004,$T548))))</f>
        <v/>
      </c>
      <c r="K548" s="50">
        <f>IF($T548="","",IF($S548="S",IF(INDEX(Firms!$J$5:$J$1004,$T548)="","",INDEX(Firms!$J$5:$J$1004,$T548)),IF(INDEX('AFA Rates'!$I$5:$I$1004,$T548)="","",INDEX('AFA Rates'!$I$5:$I$1004,$T548))))</f>
        <v/>
      </c>
      <c r="L548" s="50">
        <f>IF($T548="","",IF($S548="S",IF(INDEX(Firms!$K$5:$K$1004,$T548)="","",INDEX(Firms!$K$5:$K$1004,$T548)),IF(INDEX('AFA Rates'!$J$5:$J$1004,$T548)="","",INDEX('AFA Rates'!$J$5:$J$1004,$T548))))</f>
        <v/>
      </c>
      <c r="M548" s="50">
        <f>IF($T548="","",IF($S548="S",IF(INDEX(Firms!$L$5:$L$1004,$T548)="","",INDEX(Firms!$L$5:$L$1004,$T548)),IF(INDEX('AFA Rates'!$K$5:$K$1004,$T548)="","",INDEX('AFA Rates'!$K$5:$K$1004,$T548))))</f>
        <v/>
      </c>
      <c r="N548" s="50">
        <f>IF($T548="","",IF($S548="S",IF(INDEX(Firms!$M$5:$M$1004,$T548)="","",INDEX(Firms!$M$5:$M$1004,$T548)),IF(INDEX('AFA Rates'!$L$5:$L$1004,$T548)="","",INDEX('AFA Rates'!$L$5:$L$1004,$T548))))</f>
        <v/>
      </c>
      <c r="O548" s="78">
        <f>IF(OR($T548="",$U548=""),"",IF(INDEX(Firms!$C$5:$C$1004,$U548)="","",INDEX(Firms!$C$5:$C$1004,$U548)))</f>
        <v/>
      </c>
      <c r="P548" s="79">
        <f>IF(OR($T548="",$U548=""),"",IF(INDEX(Firms!$N$5:$N$1004,$U548)="","",INDEX(Firms!$N$5:$N$1004,$U548)))</f>
        <v/>
      </c>
      <c r="Q548" s="78">
        <f>IF($T548="","",IF($S548="S",IF(INDEX(Firms!$T$5:$T$1004,$T548)="","",INDEX(Firms!$T$5:$T$1004,$T548)),IF(INDEX('AFA Rates'!$M$5:$M$1004,$T548)="","",INDEX('AFA Rates'!$M$5:$M$1004,$T548))))</f>
        <v/>
      </c>
      <c r="S548">
        <f>IF(544&lt;=$S$2,"S",IF(544&lt;=$S$2+$T$2,"A",""))</f>
        <v/>
      </c>
      <c r="T548">
        <f>IF(S548="S",MATCH(544,Firms!$W$5:$W$1004,0),IF(S548="A",IFERROR(MATCH(544-$S$2,'AFA Rates'!$R$5:$R$1004,0),""),""))</f>
        <v/>
      </c>
      <c r="U548">
        <f>IF(S548="S",T548,IF(AND(S548="A",T548&lt;&gt;""),IFERROR(MATCH(INDEX('AFA Rates'!$A$5:$A$1004,T548),Firms!$A$5:$A$1004,0),""),""))</f>
        <v/>
      </c>
    </row>
    <row r="549">
      <c r="A549" s="78">
        <f>IF($T549="","",IF($S549="S",IF(INDEX(Firms!$A$5:$A$1004,$T549)="","",INDEX(Firms!$A$5:$A$1004,$T549)),IF(INDEX('AFA Rates'!$A$5:$A$1004,$T549)="","",INDEX('AFA Rates'!$A$5:$A$1004,$T549))))</f>
        <v/>
      </c>
      <c r="B549" s="79">
        <f>IF(OR($T549="",$U549=""),IF($T549="","","Not on Firms tab"),INDEX(Firms!$B$5:$B$1004,$U549)&amp;"")</f>
        <v/>
      </c>
      <c r="C549" s="78">
        <f>IF($T549="","",IF($S549="S","Standard",INDEX('AFA Rates'!$B$5:$B$1004,$T549)&amp;""))</f>
        <v/>
      </c>
      <c r="D549" s="88">
        <f>IF($T549="","",IF($S549="S",IF(INDEX(Firms!$E$5:$E$1004,$T549)="","",INDEX(Firms!$E$5:$E$1004,$T549)),IF(INDEX('AFA Rates'!$C$5:$C$1004,$T549)="","",INDEX('AFA Rates'!$C$5:$C$1004,$T549))))</f>
        <v/>
      </c>
      <c r="E549" s="88">
        <f>IF($T549="","",IF($S549="S",IF(""="","",""),IF(INDEX('AFA Rates'!$D$5:$D$1004,$T549)="","",INDEX('AFA Rates'!$D$5:$D$1004,$T549))))</f>
        <v/>
      </c>
      <c r="F549" s="79">
        <f>IF($T549="","",IF($S549="S",IF(INDEX(Firms!$O$5:$O$1004,$T549)="","",INDEX(Firms!$O$5:$O$1004,$T549)),IF(INDEX('AFA Rates'!$O$5:$O$1004,$T549)="","",INDEX('AFA Rates'!$O$5:$O$1004,$T549))))</f>
        <v/>
      </c>
      <c r="G549" s="50">
        <f>IF($T549="","",IF($S549="S",IF(INDEX(Firms!$F$5:$F$1004,$T549)="","",INDEX(Firms!$F$5:$F$1004,$T549)),IF(INDEX('AFA Rates'!$E$5:$E$1004,$T549)="","",INDEX('AFA Rates'!$E$5:$E$1004,$T549))))</f>
        <v/>
      </c>
      <c r="H549" s="50">
        <f>IF($T549="","",IF($S549="S",IF(INDEX(Firms!$G$5:$G$1004,$T549)="","",INDEX(Firms!$G$5:$G$1004,$T549)),IF(INDEX('AFA Rates'!$F$5:$F$1004,$T549)="","",INDEX('AFA Rates'!$F$5:$F$1004,$T549))))</f>
        <v/>
      </c>
      <c r="I549" s="50">
        <f>IF($T549="","",IF($S549="S",IF(INDEX(Firms!$H$5:$H$1004,$T549)="","",INDEX(Firms!$H$5:$H$1004,$T549)),IF(INDEX('AFA Rates'!$G$5:$G$1004,$T549)="","",INDEX('AFA Rates'!$G$5:$G$1004,$T549))))</f>
        <v/>
      </c>
      <c r="J549" s="50">
        <f>IF($T549="","",IF($S549="S",IF(INDEX(Firms!$I$5:$I$1004,$T549)="","",INDEX(Firms!$I$5:$I$1004,$T549)),IF(INDEX('AFA Rates'!$H$5:$H$1004,$T549)="","",INDEX('AFA Rates'!$H$5:$H$1004,$T549))))</f>
        <v/>
      </c>
      <c r="K549" s="50">
        <f>IF($T549="","",IF($S549="S",IF(INDEX(Firms!$J$5:$J$1004,$T549)="","",INDEX(Firms!$J$5:$J$1004,$T549)),IF(INDEX('AFA Rates'!$I$5:$I$1004,$T549)="","",INDEX('AFA Rates'!$I$5:$I$1004,$T549))))</f>
        <v/>
      </c>
      <c r="L549" s="50">
        <f>IF($T549="","",IF($S549="S",IF(INDEX(Firms!$K$5:$K$1004,$T549)="","",INDEX(Firms!$K$5:$K$1004,$T549)),IF(INDEX('AFA Rates'!$J$5:$J$1004,$T549)="","",INDEX('AFA Rates'!$J$5:$J$1004,$T549))))</f>
        <v/>
      </c>
      <c r="M549" s="50">
        <f>IF($T549="","",IF($S549="S",IF(INDEX(Firms!$L$5:$L$1004,$T549)="","",INDEX(Firms!$L$5:$L$1004,$T549)),IF(INDEX('AFA Rates'!$K$5:$K$1004,$T549)="","",INDEX('AFA Rates'!$K$5:$K$1004,$T549))))</f>
        <v/>
      </c>
      <c r="N549" s="50">
        <f>IF($T549="","",IF($S549="S",IF(INDEX(Firms!$M$5:$M$1004,$T549)="","",INDEX(Firms!$M$5:$M$1004,$T549)),IF(INDEX('AFA Rates'!$L$5:$L$1004,$T549)="","",INDEX('AFA Rates'!$L$5:$L$1004,$T549))))</f>
        <v/>
      </c>
      <c r="O549" s="78">
        <f>IF(OR($T549="",$U549=""),"",IF(INDEX(Firms!$C$5:$C$1004,$U549)="","",INDEX(Firms!$C$5:$C$1004,$U549)))</f>
        <v/>
      </c>
      <c r="P549" s="79">
        <f>IF(OR($T549="",$U549=""),"",IF(INDEX(Firms!$N$5:$N$1004,$U549)="","",INDEX(Firms!$N$5:$N$1004,$U549)))</f>
        <v/>
      </c>
      <c r="Q549" s="78">
        <f>IF($T549="","",IF($S549="S",IF(INDEX(Firms!$T$5:$T$1004,$T549)="","",INDEX(Firms!$T$5:$T$1004,$T549)),IF(INDEX('AFA Rates'!$M$5:$M$1004,$T549)="","",INDEX('AFA Rates'!$M$5:$M$1004,$T549))))</f>
        <v/>
      </c>
      <c r="S549">
        <f>IF(545&lt;=$S$2,"S",IF(545&lt;=$S$2+$T$2,"A",""))</f>
        <v/>
      </c>
      <c r="T549">
        <f>IF(S549="S",MATCH(545,Firms!$W$5:$W$1004,0),IF(S549="A",IFERROR(MATCH(545-$S$2,'AFA Rates'!$R$5:$R$1004,0),""),""))</f>
        <v/>
      </c>
      <c r="U549">
        <f>IF(S549="S",T549,IF(AND(S549="A",T549&lt;&gt;""),IFERROR(MATCH(INDEX('AFA Rates'!$A$5:$A$1004,T549),Firms!$A$5:$A$1004,0),""),""))</f>
        <v/>
      </c>
    </row>
    <row r="550">
      <c r="A550" s="78">
        <f>IF($T550="","",IF($S550="S",IF(INDEX(Firms!$A$5:$A$1004,$T550)="","",INDEX(Firms!$A$5:$A$1004,$T550)),IF(INDEX('AFA Rates'!$A$5:$A$1004,$T550)="","",INDEX('AFA Rates'!$A$5:$A$1004,$T550))))</f>
        <v/>
      </c>
      <c r="B550" s="79">
        <f>IF(OR($T550="",$U550=""),IF($T550="","","Not on Firms tab"),INDEX(Firms!$B$5:$B$1004,$U550)&amp;"")</f>
        <v/>
      </c>
      <c r="C550" s="78">
        <f>IF($T550="","",IF($S550="S","Standard",INDEX('AFA Rates'!$B$5:$B$1004,$T550)&amp;""))</f>
        <v/>
      </c>
      <c r="D550" s="88">
        <f>IF($T550="","",IF($S550="S",IF(INDEX(Firms!$E$5:$E$1004,$T550)="","",INDEX(Firms!$E$5:$E$1004,$T550)),IF(INDEX('AFA Rates'!$C$5:$C$1004,$T550)="","",INDEX('AFA Rates'!$C$5:$C$1004,$T550))))</f>
        <v/>
      </c>
      <c r="E550" s="88">
        <f>IF($T550="","",IF($S550="S",IF(""="","",""),IF(INDEX('AFA Rates'!$D$5:$D$1004,$T550)="","",INDEX('AFA Rates'!$D$5:$D$1004,$T550))))</f>
        <v/>
      </c>
      <c r="F550" s="79">
        <f>IF($T550="","",IF($S550="S",IF(INDEX(Firms!$O$5:$O$1004,$T550)="","",INDEX(Firms!$O$5:$O$1004,$T550)),IF(INDEX('AFA Rates'!$O$5:$O$1004,$T550)="","",INDEX('AFA Rates'!$O$5:$O$1004,$T550))))</f>
        <v/>
      </c>
      <c r="G550" s="50">
        <f>IF($T550="","",IF($S550="S",IF(INDEX(Firms!$F$5:$F$1004,$T550)="","",INDEX(Firms!$F$5:$F$1004,$T550)),IF(INDEX('AFA Rates'!$E$5:$E$1004,$T550)="","",INDEX('AFA Rates'!$E$5:$E$1004,$T550))))</f>
        <v/>
      </c>
      <c r="H550" s="50">
        <f>IF($T550="","",IF($S550="S",IF(INDEX(Firms!$G$5:$G$1004,$T550)="","",INDEX(Firms!$G$5:$G$1004,$T550)),IF(INDEX('AFA Rates'!$F$5:$F$1004,$T550)="","",INDEX('AFA Rates'!$F$5:$F$1004,$T550))))</f>
        <v/>
      </c>
      <c r="I550" s="50">
        <f>IF($T550="","",IF($S550="S",IF(INDEX(Firms!$H$5:$H$1004,$T550)="","",INDEX(Firms!$H$5:$H$1004,$T550)),IF(INDEX('AFA Rates'!$G$5:$G$1004,$T550)="","",INDEX('AFA Rates'!$G$5:$G$1004,$T550))))</f>
        <v/>
      </c>
      <c r="J550" s="50">
        <f>IF($T550="","",IF($S550="S",IF(INDEX(Firms!$I$5:$I$1004,$T550)="","",INDEX(Firms!$I$5:$I$1004,$T550)),IF(INDEX('AFA Rates'!$H$5:$H$1004,$T550)="","",INDEX('AFA Rates'!$H$5:$H$1004,$T550))))</f>
        <v/>
      </c>
      <c r="K550" s="50">
        <f>IF($T550="","",IF($S550="S",IF(INDEX(Firms!$J$5:$J$1004,$T550)="","",INDEX(Firms!$J$5:$J$1004,$T550)),IF(INDEX('AFA Rates'!$I$5:$I$1004,$T550)="","",INDEX('AFA Rates'!$I$5:$I$1004,$T550))))</f>
        <v/>
      </c>
      <c r="L550" s="50">
        <f>IF($T550="","",IF($S550="S",IF(INDEX(Firms!$K$5:$K$1004,$T550)="","",INDEX(Firms!$K$5:$K$1004,$T550)),IF(INDEX('AFA Rates'!$J$5:$J$1004,$T550)="","",INDEX('AFA Rates'!$J$5:$J$1004,$T550))))</f>
        <v/>
      </c>
      <c r="M550" s="50">
        <f>IF($T550="","",IF($S550="S",IF(INDEX(Firms!$L$5:$L$1004,$T550)="","",INDEX(Firms!$L$5:$L$1004,$T550)),IF(INDEX('AFA Rates'!$K$5:$K$1004,$T550)="","",INDEX('AFA Rates'!$K$5:$K$1004,$T550))))</f>
        <v/>
      </c>
      <c r="N550" s="50">
        <f>IF($T550="","",IF($S550="S",IF(INDEX(Firms!$M$5:$M$1004,$T550)="","",INDEX(Firms!$M$5:$M$1004,$T550)),IF(INDEX('AFA Rates'!$L$5:$L$1004,$T550)="","",INDEX('AFA Rates'!$L$5:$L$1004,$T550))))</f>
        <v/>
      </c>
      <c r="O550" s="78">
        <f>IF(OR($T550="",$U550=""),"",IF(INDEX(Firms!$C$5:$C$1004,$U550)="","",INDEX(Firms!$C$5:$C$1004,$U550)))</f>
        <v/>
      </c>
      <c r="P550" s="79">
        <f>IF(OR($T550="",$U550=""),"",IF(INDEX(Firms!$N$5:$N$1004,$U550)="","",INDEX(Firms!$N$5:$N$1004,$U550)))</f>
        <v/>
      </c>
      <c r="Q550" s="78">
        <f>IF($T550="","",IF($S550="S",IF(INDEX(Firms!$T$5:$T$1004,$T550)="","",INDEX(Firms!$T$5:$T$1004,$T550)),IF(INDEX('AFA Rates'!$M$5:$M$1004,$T550)="","",INDEX('AFA Rates'!$M$5:$M$1004,$T550))))</f>
        <v/>
      </c>
      <c r="S550">
        <f>IF(546&lt;=$S$2,"S",IF(546&lt;=$S$2+$T$2,"A",""))</f>
        <v/>
      </c>
      <c r="T550">
        <f>IF(S550="S",MATCH(546,Firms!$W$5:$W$1004,0),IF(S550="A",IFERROR(MATCH(546-$S$2,'AFA Rates'!$R$5:$R$1004,0),""),""))</f>
        <v/>
      </c>
      <c r="U550">
        <f>IF(S550="S",T550,IF(AND(S550="A",T550&lt;&gt;""),IFERROR(MATCH(INDEX('AFA Rates'!$A$5:$A$1004,T550),Firms!$A$5:$A$1004,0),""),""))</f>
        <v/>
      </c>
    </row>
    <row r="551">
      <c r="A551" s="78">
        <f>IF($T551="","",IF($S551="S",IF(INDEX(Firms!$A$5:$A$1004,$T551)="","",INDEX(Firms!$A$5:$A$1004,$T551)),IF(INDEX('AFA Rates'!$A$5:$A$1004,$T551)="","",INDEX('AFA Rates'!$A$5:$A$1004,$T551))))</f>
        <v/>
      </c>
      <c r="B551" s="79">
        <f>IF(OR($T551="",$U551=""),IF($T551="","","Not on Firms tab"),INDEX(Firms!$B$5:$B$1004,$U551)&amp;"")</f>
        <v/>
      </c>
      <c r="C551" s="78">
        <f>IF($T551="","",IF($S551="S","Standard",INDEX('AFA Rates'!$B$5:$B$1004,$T551)&amp;""))</f>
        <v/>
      </c>
      <c r="D551" s="88">
        <f>IF($T551="","",IF($S551="S",IF(INDEX(Firms!$E$5:$E$1004,$T551)="","",INDEX(Firms!$E$5:$E$1004,$T551)),IF(INDEX('AFA Rates'!$C$5:$C$1004,$T551)="","",INDEX('AFA Rates'!$C$5:$C$1004,$T551))))</f>
        <v/>
      </c>
      <c r="E551" s="88">
        <f>IF($T551="","",IF($S551="S",IF(""="","",""),IF(INDEX('AFA Rates'!$D$5:$D$1004,$T551)="","",INDEX('AFA Rates'!$D$5:$D$1004,$T551))))</f>
        <v/>
      </c>
      <c r="F551" s="79">
        <f>IF($T551="","",IF($S551="S",IF(INDEX(Firms!$O$5:$O$1004,$T551)="","",INDEX(Firms!$O$5:$O$1004,$T551)),IF(INDEX('AFA Rates'!$O$5:$O$1004,$T551)="","",INDEX('AFA Rates'!$O$5:$O$1004,$T551))))</f>
        <v/>
      </c>
      <c r="G551" s="50">
        <f>IF($T551="","",IF($S551="S",IF(INDEX(Firms!$F$5:$F$1004,$T551)="","",INDEX(Firms!$F$5:$F$1004,$T551)),IF(INDEX('AFA Rates'!$E$5:$E$1004,$T551)="","",INDEX('AFA Rates'!$E$5:$E$1004,$T551))))</f>
        <v/>
      </c>
      <c r="H551" s="50">
        <f>IF($T551="","",IF($S551="S",IF(INDEX(Firms!$G$5:$G$1004,$T551)="","",INDEX(Firms!$G$5:$G$1004,$T551)),IF(INDEX('AFA Rates'!$F$5:$F$1004,$T551)="","",INDEX('AFA Rates'!$F$5:$F$1004,$T551))))</f>
        <v/>
      </c>
      <c r="I551" s="50">
        <f>IF($T551="","",IF($S551="S",IF(INDEX(Firms!$H$5:$H$1004,$T551)="","",INDEX(Firms!$H$5:$H$1004,$T551)),IF(INDEX('AFA Rates'!$G$5:$G$1004,$T551)="","",INDEX('AFA Rates'!$G$5:$G$1004,$T551))))</f>
        <v/>
      </c>
      <c r="J551" s="50">
        <f>IF($T551="","",IF($S551="S",IF(INDEX(Firms!$I$5:$I$1004,$T551)="","",INDEX(Firms!$I$5:$I$1004,$T551)),IF(INDEX('AFA Rates'!$H$5:$H$1004,$T551)="","",INDEX('AFA Rates'!$H$5:$H$1004,$T551))))</f>
        <v/>
      </c>
      <c r="K551" s="50">
        <f>IF($T551="","",IF($S551="S",IF(INDEX(Firms!$J$5:$J$1004,$T551)="","",INDEX(Firms!$J$5:$J$1004,$T551)),IF(INDEX('AFA Rates'!$I$5:$I$1004,$T551)="","",INDEX('AFA Rates'!$I$5:$I$1004,$T551))))</f>
        <v/>
      </c>
      <c r="L551" s="50">
        <f>IF($T551="","",IF($S551="S",IF(INDEX(Firms!$K$5:$K$1004,$T551)="","",INDEX(Firms!$K$5:$K$1004,$T551)),IF(INDEX('AFA Rates'!$J$5:$J$1004,$T551)="","",INDEX('AFA Rates'!$J$5:$J$1004,$T551))))</f>
        <v/>
      </c>
      <c r="M551" s="50">
        <f>IF($T551="","",IF($S551="S",IF(INDEX(Firms!$L$5:$L$1004,$T551)="","",INDEX(Firms!$L$5:$L$1004,$T551)),IF(INDEX('AFA Rates'!$K$5:$K$1004,$T551)="","",INDEX('AFA Rates'!$K$5:$K$1004,$T551))))</f>
        <v/>
      </c>
      <c r="N551" s="50">
        <f>IF($T551="","",IF($S551="S",IF(INDEX(Firms!$M$5:$M$1004,$T551)="","",INDEX(Firms!$M$5:$M$1004,$T551)),IF(INDEX('AFA Rates'!$L$5:$L$1004,$T551)="","",INDEX('AFA Rates'!$L$5:$L$1004,$T551))))</f>
        <v/>
      </c>
      <c r="O551" s="78">
        <f>IF(OR($T551="",$U551=""),"",IF(INDEX(Firms!$C$5:$C$1004,$U551)="","",INDEX(Firms!$C$5:$C$1004,$U551)))</f>
        <v/>
      </c>
      <c r="P551" s="79">
        <f>IF(OR($T551="",$U551=""),"",IF(INDEX(Firms!$N$5:$N$1004,$U551)="","",INDEX(Firms!$N$5:$N$1004,$U551)))</f>
        <v/>
      </c>
      <c r="Q551" s="78">
        <f>IF($T551="","",IF($S551="S",IF(INDEX(Firms!$T$5:$T$1004,$T551)="","",INDEX(Firms!$T$5:$T$1004,$T551)),IF(INDEX('AFA Rates'!$M$5:$M$1004,$T551)="","",INDEX('AFA Rates'!$M$5:$M$1004,$T551))))</f>
        <v/>
      </c>
      <c r="S551">
        <f>IF(547&lt;=$S$2,"S",IF(547&lt;=$S$2+$T$2,"A",""))</f>
        <v/>
      </c>
      <c r="T551">
        <f>IF(S551="S",MATCH(547,Firms!$W$5:$W$1004,0),IF(S551="A",IFERROR(MATCH(547-$S$2,'AFA Rates'!$R$5:$R$1004,0),""),""))</f>
        <v/>
      </c>
      <c r="U551">
        <f>IF(S551="S",T551,IF(AND(S551="A",T551&lt;&gt;""),IFERROR(MATCH(INDEX('AFA Rates'!$A$5:$A$1004,T551),Firms!$A$5:$A$1004,0),""),""))</f>
        <v/>
      </c>
    </row>
    <row r="552">
      <c r="A552" s="78">
        <f>IF($T552="","",IF($S552="S",IF(INDEX(Firms!$A$5:$A$1004,$T552)="","",INDEX(Firms!$A$5:$A$1004,$T552)),IF(INDEX('AFA Rates'!$A$5:$A$1004,$T552)="","",INDEX('AFA Rates'!$A$5:$A$1004,$T552))))</f>
        <v/>
      </c>
      <c r="B552" s="79">
        <f>IF(OR($T552="",$U552=""),IF($T552="","","Not on Firms tab"),INDEX(Firms!$B$5:$B$1004,$U552)&amp;"")</f>
        <v/>
      </c>
      <c r="C552" s="78">
        <f>IF($T552="","",IF($S552="S","Standard",INDEX('AFA Rates'!$B$5:$B$1004,$T552)&amp;""))</f>
        <v/>
      </c>
      <c r="D552" s="88">
        <f>IF($T552="","",IF($S552="S",IF(INDEX(Firms!$E$5:$E$1004,$T552)="","",INDEX(Firms!$E$5:$E$1004,$T552)),IF(INDEX('AFA Rates'!$C$5:$C$1004,$T552)="","",INDEX('AFA Rates'!$C$5:$C$1004,$T552))))</f>
        <v/>
      </c>
      <c r="E552" s="88">
        <f>IF($T552="","",IF($S552="S",IF(""="","",""),IF(INDEX('AFA Rates'!$D$5:$D$1004,$T552)="","",INDEX('AFA Rates'!$D$5:$D$1004,$T552))))</f>
        <v/>
      </c>
      <c r="F552" s="79">
        <f>IF($T552="","",IF($S552="S",IF(INDEX(Firms!$O$5:$O$1004,$T552)="","",INDEX(Firms!$O$5:$O$1004,$T552)),IF(INDEX('AFA Rates'!$O$5:$O$1004,$T552)="","",INDEX('AFA Rates'!$O$5:$O$1004,$T552))))</f>
        <v/>
      </c>
      <c r="G552" s="50">
        <f>IF($T552="","",IF($S552="S",IF(INDEX(Firms!$F$5:$F$1004,$T552)="","",INDEX(Firms!$F$5:$F$1004,$T552)),IF(INDEX('AFA Rates'!$E$5:$E$1004,$T552)="","",INDEX('AFA Rates'!$E$5:$E$1004,$T552))))</f>
        <v/>
      </c>
      <c r="H552" s="50">
        <f>IF($T552="","",IF($S552="S",IF(INDEX(Firms!$G$5:$G$1004,$T552)="","",INDEX(Firms!$G$5:$G$1004,$T552)),IF(INDEX('AFA Rates'!$F$5:$F$1004,$T552)="","",INDEX('AFA Rates'!$F$5:$F$1004,$T552))))</f>
        <v/>
      </c>
      <c r="I552" s="50">
        <f>IF($T552="","",IF($S552="S",IF(INDEX(Firms!$H$5:$H$1004,$T552)="","",INDEX(Firms!$H$5:$H$1004,$T552)),IF(INDEX('AFA Rates'!$G$5:$G$1004,$T552)="","",INDEX('AFA Rates'!$G$5:$G$1004,$T552))))</f>
        <v/>
      </c>
      <c r="J552" s="50">
        <f>IF($T552="","",IF($S552="S",IF(INDEX(Firms!$I$5:$I$1004,$T552)="","",INDEX(Firms!$I$5:$I$1004,$T552)),IF(INDEX('AFA Rates'!$H$5:$H$1004,$T552)="","",INDEX('AFA Rates'!$H$5:$H$1004,$T552))))</f>
        <v/>
      </c>
      <c r="K552" s="50">
        <f>IF($T552="","",IF($S552="S",IF(INDEX(Firms!$J$5:$J$1004,$T552)="","",INDEX(Firms!$J$5:$J$1004,$T552)),IF(INDEX('AFA Rates'!$I$5:$I$1004,$T552)="","",INDEX('AFA Rates'!$I$5:$I$1004,$T552))))</f>
        <v/>
      </c>
      <c r="L552" s="50">
        <f>IF($T552="","",IF($S552="S",IF(INDEX(Firms!$K$5:$K$1004,$T552)="","",INDEX(Firms!$K$5:$K$1004,$T552)),IF(INDEX('AFA Rates'!$J$5:$J$1004,$T552)="","",INDEX('AFA Rates'!$J$5:$J$1004,$T552))))</f>
        <v/>
      </c>
      <c r="M552" s="50">
        <f>IF($T552="","",IF($S552="S",IF(INDEX(Firms!$L$5:$L$1004,$T552)="","",INDEX(Firms!$L$5:$L$1004,$T552)),IF(INDEX('AFA Rates'!$K$5:$K$1004,$T552)="","",INDEX('AFA Rates'!$K$5:$K$1004,$T552))))</f>
        <v/>
      </c>
      <c r="N552" s="50">
        <f>IF($T552="","",IF($S552="S",IF(INDEX(Firms!$M$5:$M$1004,$T552)="","",INDEX(Firms!$M$5:$M$1004,$T552)),IF(INDEX('AFA Rates'!$L$5:$L$1004,$T552)="","",INDEX('AFA Rates'!$L$5:$L$1004,$T552))))</f>
        <v/>
      </c>
      <c r="O552" s="78">
        <f>IF(OR($T552="",$U552=""),"",IF(INDEX(Firms!$C$5:$C$1004,$U552)="","",INDEX(Firms!$C$5:$C$1004,$U552)))</f>
        <v/>
      </c>
      <c r="P552" s="79">
        <f>IF(OR($T552="",$U552=""),"",IF(INDEX(Firms!$N$5:$N$1004,$U552)="","",INDEX(Firms!$N$5:$N$1004,$U552)))</f>
        <v/>
      </c>
      <c r="Q552" s="78">
        <f>IF($T552="","",IF($S552="S",IF(INDEX(Firms!$T$5:$T$1004,$T552)="","",INDEX(Firms!$T$5:$T$1004,$T552)),IF(INDEX('AFA Rates'!$M$5:$M$1004,$T552)="","",INDEX('AFA Rates'!$M$5:$M$1004,$T552))))</f>
        <v/>
      </c>
      <c r="S552">
        <f>IF(548&lt;=$S$2,"S",IF(548&lt;=$S$2+$T$2,"A",""))</f>
        <v/>
      </c>
      <c r="T552">
        <f>IF(S552="S",MATCH(548,Firms!$W$5:$W$1004,0),IF(S552="A",IFERROR(MATCH(548-$S$2,'AFA Rates'!$R$5:$R$1004,0),""),""))</f>
        <v/>
      </c>
      <c r="U552">
        <f>IF(S552="S",T552,IF(AND(S552="A",T552&lt;&gt;""),IFERROR(MATCH(INDEX('AFA Rates'!$A$5:$A$1004,T552),Firms!$A$5:$A$1004,0),""),""))</f>
        <v/>
      </c>
    </row>
    <row r="553">
      <c r="A553" s="78">
        <f>IF($T553="","",IF($S553="S",IF(INDEX(Firms!$A$5:$A$1004,$T553)="","",INDEX(Firms!$A$5:$A$1004,$T553)),IF(INDEX('AFA Rates'!$A$5:$A$1004,$T553)="","",INDEX('AFA Rates'!$A$5:$A$1004,$T553))))</f>
        <v/>
      </c>
      <c r="B553" s="79">
        <f>IF(OR($T553="",$U553=""),IF($T553="","","Not on Firms tab"),INDEX(Firms!$B$5:$B$1004,$U553)&amp;"")</f>
        <v/>
      </c>
      <c r="C553" s="78">
        <f>IF($T553="","",IF($S553="S","Standard",INDEX('AFA Rates'!$B$5:$B$1004,$T553)&amp;""))</f>
        <v/>
      </c>
      <c r="D553" s="88">
        <f>IF($T553="","",IF($S553="S",IF(INDEX(Firms!$E$5:$E$1004,$T553)="","",INDEX(Firms!$E$5:$E$1004,$T553)),IF(INDEX('AFA Rates'!$C$5:$C$1004,$T553)="","",INDEX('AFA Rates'!$C$5:$C$1004,$T553))))</f>
        <v/>
      </c>
      <c r="E553" s="88">
        <f>IF($T553="","",IF($S553="S",IF(""="","",""),IF(INDEX('AFA Rates'!$D$5:$D$1004,$T553)="","",INDEX('AFA Rates'!$D$5:$D$1004,$T553))))</f>
        <v/>
      </c>
      <c r="F553" s="79">
        <f>IF($T553="","",IF($S553="S",IF(INDEX(Firms!$O$5:$O$1004,$T553)="","",INDEX(Firms!$O$5:$O$1004,$T553)),IF(INDEX('AFA Rates'!$O$5:$O$1004,$T553)="","",INDEX('AFA Rates'!$O$5:$O$1004,$T553))))</f>
        <v/>
      </c>
      <c r="G553" s="50">
        <f>IF($T553="","",IF($S553="S",IF(INDEX(Firms!$F$5:$F$1004,$T553)="","",INDEX(Firms!$F$5:$F$1004,$T553)),IF(INDEX('AFA Rates'!$E$5:$E$1004,$T553)="","",INDEX('AFA Rates'!$E$5:$E$1004,$T553))))</f>
        <v/>
      </c>
      <c r="H553" s="50">
        <f>IF($T553="","",IF($S553="S",IF(INDEX(Firms!$G$5:$G$1004,$T553)="","",INDEX(Firms!$G$5:$G$1004,$T553)),IF(INDEX('AFA Rates'!$F$5:$F$1004,$T553)="","",INDEX('AFA Rates'!$F$5:$F$1004,$T553))))</f>
        <v/>
      </c>
      <c r="I553" s="50">
        <f>IF($T553="","",IF($S553="S",IF(INDEX(Firms!$H$5:$H$1004,$T553)="","",INDEX(Firms!$H$5:$H$1004,$T553)),IF(INDEX('AFA Rates'!$G$5:$G$1004,$T553)="","",INDEX('AFA Rates'!$G$5:$G$1004,$T553))))</f>
        <v/>
      </c>
      <c r="J553" s="50">
        <f>IF($T553="","",IF($S553="S",IF(INDEX(Firms!$I$5:$I$1004,$T553)="","",INDEX(Firms!$I$5:$I$1004,$T553)),IF(INDEX('AFA Rates'!$H$5:$H$1004,$T553)="","",INDEX('AFA Rates'!$H$5:$H$1004,$T553))))</f>
        <v/>
      </c>
      <c r="K553" s="50">
        <f>IF($T553="","",IF($S553="S",IF(INDEX(Firms!$J$5:$J$1004,$T553)="","",INDEX(Firms!$J$5:$J$1004,$T553)),IF(INDEX('AFA Rates'!$I$5:$I$1004,$T553)="","",INDEX('AFA Rates'!$I$5:$I$1004,$T553))))</f>
        <v/>
      </c>
      <c r="L553" s="50">
        <f>IF($T553="","",IF($S553="S",IF(INDEX(Firms!$K$5:$K$1004,$T553)="","",INDEX(Firms!$K$5:$K$1004,$T553)),IF(INDEX('AFA Rates'!$J$5:$J$1004,$T553)="","",INDEX('AFA Rates'!$J$5:$J$1004,$T553))))</f>
        <v/>
      </c>
      <c r="M553" s="50">
        <f>IF($T553="","",IF($S553="S",IF(INDEX(Firms!$L$5:$L$1004,$T553)="","",INDEX(Firms!$L$5:$L$1004,$T553)),IF(INDEX('AFA Rates'!$K$5:$K$1004,$T553)="","",INDEX('AFA Rates'!$K$5:$K$1004,$T553))))</f>
        <v/>
      </c>
      <c r="N553" s="50">
        <f>IF($T553="","",IF($S553="S",IF(INDEX(Firms!$M$5:$M$1004,$T553)="","",INDEX(Firms!$M$5:$M$1004,$T553)),IF(INDEX('AFA Rates'!$L$5:$L$1004,$T553)="","",INDEX('AFA Rates'!$L$5:$L$1004,$T553))))</f>
        <v/>
      </c>
      <c r="O553" s="78">
        <f>IF(OR($T553="",$U553=""),"",IF(INDEX(Firms!$C$5:$C$1004,$U553)="","",INDEX(Firms!$C$5:$C$1004,$U553)))</f>
        <v/>
      </c>
      <c r="P553" s="79">
        <f>IF(OR($T553="",$U553=""),"",IF(INDEX(Firms!$N$5:$N$1004,$U553)="","",INDEX(Firms!$N$5:$N$1004,$U553)))</f>
        <v/>
      </c>
      <c r="Q553" s="78">
        <f>IF($T553="","",IF($S553="S",IF(INDEX(Firms!$T$5:$T$1004,$T553)="","",INDEX(Firms!$T$5:$T$1004,$T553)),IF(INDEX('AFA Rates'!$M$5:$M$1004,$T553)="","",INDEX('AFA Rates'!$M$5:$M$1004,$T553))))</f>
        <v/>
      </c>
      <c r="S553">
        <f>IF(549&lt;=$S$2,"S",IF(549&lt;=$S$2+$T$2,"A",""))</f>
        <v/>
      </c>
      <c r="T553">
        <f>IF(S553="S",MATCH(549,Firms!$W$5:$W$1004,0),IF(S553="A",IFERROR(MATCH(549-$S$2,'AFA Rates'!$R$5:$R$1004,0),""),""))</f>
        <v/>
      </c>
      <c r="U553">
        <f>IF(S553="S",T553,IF(AND(S553="A",T553&lt;&gt;""),IFERROR(MATCH(INDEX('AFA Rates'!$A$5:$A$1004,T553),Firms!$A$5:$A$1004,0),""),""))</f>
        <v/>
      </c>
    </row>
    <row r="554">
      <c r="A554" s="78">
        <f>IF($T554="","",IF($S554="S",IF(INDEX(Firms!$A$5:$A$1004,$T554)="","",INDEX(Firms!$A$5:$A$1004,$T554)),IF(INDEX('AFA Rates'!$A$5:$A$1004,$T554)="","",INDEX('AFA Rates'!$A$5:$A$1004,$T554))))</f>
        <v/>
      </c>
      <c r="B554" s="79">
        <f>IF(OR($T554="",$U554=""),IF($T554="","","Not on Firms tab"),INDEX(Firms!$B$5:$B$1004,$U554)&amp;"")</f>
        <v/>
      </c>
      <c r="C554" s="78">
        <f>IF($T554="","",IF($S554="S","Standard",INDEX('AFA Rates'!$B$5:$B$1004,$T554)&amp;""))</f>
        <v/>
      </c>
      <c r="D554" s="88">
        <f>IF($T554="","",IF($S554="S",IF(INDEX(Firms!$E$5:$E$1004,$T554)="","",INDEX(Firms!$E$5:$E$1004,$T554)),IF(INDEX('AFA Rates'!$C$5:$C$1004,$T554)="","",INDEX('AFA Rates'!$C$5:$C$1004,$T554))))</f>
        <v/>
      </c>
      <c r="E554" s="88">
        <f>IF($T554="","",IF($S554="S",IF(""="","",""),IF(INDEX('AFA Rates'!$D$5:$D$1004,$T554)="","",INDEX('AFA Rates'!$D$5:$D$1004,$T554))))</f>
        <v/>
      </c>
      <c r="F554" s="79">
        <f>IF($T554="","",IF($S554="S",IF(INDEX(Firms!$O$5:$O$1004,$T554)="","",INDEX(Firms!$O$5:$O$1004,$T554)),IF(INDEX('AFA Rates'!$O$5:$O$1004,$T554)="","",INDEX('AFA Rates'!$O$5:$O$1004,$T554))))</f>
        <v/>
      </c>
      <c r="G554" s="50">
        <f>IF($T554="","",IF($S554="S",IF(INDEX(Firms!$F$5:$F$1004,$T554)="","",INDEX(Firms!$F$5:$F$1004,$T554)),IF(INDEX('AFA Rates'!$E$5:$E$1004,$T554)="","",INDEX('AFA Rates'!$E$5:$E$1004,$T554))))</f>
        <v/>
      </c>
      <c r="H554" s="50">
        <f>IF($T554="","",IF($S554="S",IF(INDEX(Firms!$G$5:$G$1004,$T554)="","",INDEX(Firms!$G$5:$G$1004,$T554)),IF(INDEX('AFA Rates'!$F$5:$F$1004,$T554)="","",INDEX('AFA Rates'!$F$5:$F$1004,$T554))))</f>
        <v/>
      </c>
      <c r="I554" s="50">
        <f>IF($T554="","",IF($S554="S",IF(INDEX(Firms!$H$5:$H$1004,$T554)="","",INDEX(Firms!$H$5:$H$1004,$T554)),IF(INDEX('AFA Rates'!$G$5:$G$1004,$T554)="","",INDEX('AFA Rates'!$G$5:$G$1004,$T554))))</f>
        <v/>
      </c>
      <c r="J554" s="50">
        <f>IF($T554="","",IF($S554="S",IF(INDEX(Firms!$I$5:$I$1004,$T554)="","",INDEX(Firms!$I$5:$I$1004,$T554)),IF(INDEX('AFA Rates'!$H$5:$H$1004,$T554)="","",INDEX('AFA Rates'!$H$5:$H$1004,$T554))))</f>
        <v/>
      </c>
      <c r="K554" s="50">
        <f>IF($T554="","",IF($S554="S",IF(INDEX(Firms!$J$5:$J$1004,$T554)="","",INDEX(Firms!$J$5:$J$1004,$T554)),IF(INDEX('AFA Rates'!$I$5:$I$1004,$T554)="","",INDEX('AFA Rates'!$I$5:$I$1004,$T554))))</f>
        <v/>
      </c>
      <c r="L554" s="50">
        <f>IF($T554="","",IF($S554="S",IF(INDEX(Firms!$K$5:$K$1004,$T554)="","",INDEX(Firms!$K$5:$K$1004,$T554)),IF(INDEX('AFA Rates'!$J$5:$J$1004,$T554)="","",INDEX('AFA Rates'!$J$5:$J$1004,$T554))))</f>
        <v/>
      </c>
      <c r="M554" s="50">
        <f>IF($T554="","",IF($S554="S",IF(INDEX(Firms!$L$5:$L$1004,$T554)="","",INDEX(Firms!$L$5:$L$1004,$T554)),IF(INDEX('AFA Rates'!$K$5:$K$1004,$T554)="","",INDEX('AFA Rates'!$K$5:$K$1004,$T554))))</f>
        <v/>
      </c>
      <c r="N554" s="50">
        <f>IF($T554="","",IF($S554="S",IF(INDEX(Firms!$M$5:$M$1004,$T554)="","",INDEX(Firms!$M$5:$M$1004,$T554)),IF(INDEX('AFA Rates'!$L$5:$L$1004,$T554)="","",INDEX('AFA Rates'!$L$5:$L$1004,$T554))))</f>
        <v/>
      </c>
      <c r="O554" s="78">
        <f>IF(OR($T554="",$U554=""),"",IF(INDEX(Firms!$C$5:$C$1004,$U554)="","",INDEX(Firms!$C$5:$C$1004,$U554)))</f>
        <v/>
      </c>
      <c r="P554" s="79">
        <f>IF(OR($T554="",$U554=""),"",IF(INDEX(Firms!$N$5:$N$1004,$U554)="","",INDEX(Firms!$N$5:$N$1004,$U554)))</f>
        <v/>
      </c>
      <c r="Q554" s="78">
        <f>IF($T554="","",IF($S554="S",IF(INDEX(Firms!$T$5:$T$1004,$T554)="","",INDEX(Firms!$T$5:$T$1004,$T554)),IF(INDEX('AFA Rates'!$M$5:$M$1004,$T554)="","",INDEX('AFA Rates'!$M$5:$M$1004,$T554))))</f>
        <v/>
      </c>
      <c r="S554">
        <f>IF(550&lt;=$S$2,"S",IF(550&lt;=$S$2+$T$2,"A",""))</f>
        <v/>
      </c>
      <c r="T554">
        <f>IF(S554="S",MATCH(550,Firms!$W$5:$W$1004,0),IF(S554="A",IFERROR(MATCH(550-$S$2,'AFA Rates'!$R$5:$R$1004,0),""),""))</f>
        <v/>
      </c>
      <c r="U554">
        <f>IF(S554="S",T554,IF(AND(S554="A",T554&lt;&gt;""),IFERROR(MATCH(INDEX('AFA Rates'!$A$5:$A$1004,T554),Firms!$A$5:$A$1004,0),""),""))</f>
        <v/>
      </c>
    </row>
    <row r="555">
      <c r="A555" s="78">
        <f>IF($T555="","",IF($S555="S",IF(INDEX(Firms!$A$5:$A$1004,$T555)="","",INDEX(Firms!$A$5:$A$1004,$T555)),IF(INDEX('AFA Rates'!$A$5:$A$1004,$T555)="","",INDEX('AFA Rates'!$A$5:$A$1004,$T555))))</f>
        <v/>
      </c>
      <c r="B555" s="79">
        <f>IF(OR($T555="",$U555=""),IF($T555="","","Not on Firms tab"),INDEX(Firms!$B$5:$B$1004,$U555)&amp;"")</f>
        <v/>
      </c>
      <c r="C555" s="78">
        <f>IF($T555="","",IF($S555="S","Standard",INDEX('AFA Rates'!$B$5:$B$1004,$T555)&amp;""))</f>
        <v/>
      </c>
      <c r="D555" s="88">
        <f>IF($T555="","",IF($S555="S",IF(INDEX(Firms!$E$5:$E$1004,$T555)="","",INDEX(Firms!$E$5:$E$1004,$T555)),IF(INDEX('AFA Rates'!$C$5:$C$1004,$T555)="","",INDEX('AFA Rates'!$C$5:$C$1004,$T555))))</f>
        <v/>
      </c>
      <c r="E555" s="88">
        <f>IF($T555="","",IF($S555="S",IF(""="","",""),IF(INDEX('AFA Rates'!$D$5:$D$1004,$T555)="","",INDEX('AFA Rates'!$D$5:$D$1004,$T555))))</f>
        <v/>
      </c>
      <c r="F555" s="79">
        <f>IF($T555="","",IF($S555="S",IF(INDEX(Firms!$O$5:$O$1004,$T555)="","",INDEX(Firms!$O$5:$O$1004,$T555)),IF(INDEX('AFA Rates'!$O$5:$O$1004,$T555)="","",INDEX('AFA Rates'!$O$5:$O$1004,$T555))))</f>
        <v/>
      </c>
      <c r="G555" s="50">
        <f>IF($T555="","",IF($S555="S",IF(INDEX(Firms!$F$5:$F$1004,$T555)="","",INDEX(Firms!$F$5:$F$1004,$T555)),IF(INDEX('AFA Rates'!$E$5:$E$1004,$T555)="","",INDEX('AFA Rates'!$E$5:$E$1004,$T555))))</f>
        <v/>
      </c>
      <c r="H555" s="50">
        <f>IF($T555="","",IF($S555="S",IF(INDEX(Firms!$G$5:$G$1004,$T555)="","",INDEX(Firms!$G$5:$G$1004,$T555)),IF(INDEX('AFA Rates'!$F$5:$F$1004,$T555)="","",INDEX('AFA Rates'!$F$5:$F$1004,$T555))))</f>
        <v/>
      </c>
      <c r="I555" s="50">
        <f>IF($T555="","",IF($S555="S",IF(INDEX(Firms!$H$5:$H$1004,$T555)="","",INDEX(Firms!$H$5:$H$1004,$T555)),IF(INDEX('AFA Rates'!$G$5:$G$1004,$T555)="","",INDEX('AFA Rates'!$G$5:$G$1004,$T555))))</f>
        <v/>
      </c>
      <c r="J555" s="50">
        <f>IF($T555="","",IF($S555="S",IF(INDEX(Firms!$I$5:$I$1004,$T555)="","",INDEX(Firms!$I$5:$I$1004,$T555)),IF(INDEX('AFA Rates'!$H$5:$H$1004,$T555)="","",INDEX('AFA Rates'!$H$5:$H$1004,$T555))))</f>
        <v/>
      </c>
      <c r="K555" s="50">
        <f>IF($T555="","",IF($S555="S",IF(INDEX(Firms!$J$5:$J$1004,$T555)="","",INDEX(Firms!$J$5:$J$1004,$T555)),IF(INDEX('AFA Rates'!$I$5:$I$1004,$T555)="","",INDEX('AFA Rates'!$I$5:$I$1004,$T555))))</f>
        <v/>
      </c>
      <c r="L555" s="50">
        <f>IF($T555="","",IF($S555="S",IF(INDEX(Firms!$K$5:$K$1004,$T555)="","",INDEX(Firms!$K$5:$K$1004,$T555)),IF(INDEX('AFA Rates'!$J$5:$J$1004,$T555)="","",INDEX('AFA Rates'!$J$5:$J$1004,$T555))))</f>
        <v/>
      </c>
      <c r="M555" s="50">
        <f>IF($T555="","",IF($S555="S",IF(INDEX(Firms!$L$5:$L$1004,$T555)="","",INDEX(Firms!$L$5:$L$1004,$T555)),IF(INDEX('AFA Rates'!$K$5:$K$1004,$T555)="","",INDEX('AFA Rates'!$K$5:$K$1004,$T555))))</f>
        <v/>
      </c>
      <c r="N555" s="50">
        <f>IF($T555="","",IF($S555="S",IF(INDEX(Firms!$M$5:$M$1004,$T555)="","",INDEX(Firms!$M$5:$M$1004,$T555)),IF(INDEX('AFA Rates'!$L$5:$L$1004,$T555)="","",INDEX('AFA Rates'!$L$5:$L$1004,$T555))))</f>
        <v/>
      </c>
      <c r="O555" s="78">
        <f>IF(OR($T555="",$U555=""),"",IF(INDEX(Firms!$C$5:$C$1004,$U555)="","",INDEX(Firms!$C$5:$C$1004,$U555)))</f>
        <v/>
      </c>
      <c r="P555" s="79">
        <f>IF(OR($T555="",$U555=""),"",IF(INDEX(Firms!$N$5:$N$1004,$U555)="","",INDEX(Firms!$N$5:$N$1004,$U555)))</f>
        <v/>
      </c>
      <c r="Q555" s="78">
        <f>IF($T555="","",IF($S555="S",IF(INDEX(Firms!$T$5:$T$1004,$T555)="","",INDEX(Firms!$T$5:$T$1004,$T555)),IF(INDEX('AFA Rates'!$M$5:$M$1004,$T555)="","",INDEX('AFA Rates'!$M$5:$M$1004,$T555))))</f>
        <v/>
      </c>
      <c r="S555">
        <f>IF(551&lt;=$S$2,"S",IF(551&lt;=$S$2+$T$2,"A",""))</f>
        <v/>
      </c>
      <c r="T555">
        <f>IF(S555="S",MATCH(551,Firms!$W$5:$W$1004,0),IF(S555="A",IFERROR(MATCH(551-$S$2,'AFA Rates'!$R$5:$R$1004,0),""),""))</f>
        <v/>
      </c>
      <c r="U555">
        <f>IF(S555="S",T555,IF(AND(S555="A",T555&lt;&gt;""),IFERROR(MATCH(INDEX('AFA Rates'!$A$5:$A$1004,T555),Firms!$A$5:$A$1004,0),""),""))</f>
        <v/>
      </c>
    </row>
    <row r="556">
      <c r="A556" s="78">
        <f>IF($T556="","",IF($S556="S",IF(INDEX(Firms!$A$5:$A$1004,$T556)="","",INDEX(Firms!$A$5:$A$1004,$T556)),IF(INDEX('AFA Rates'!$A$5:$A$1004,$T556)="","",INDEX('AFA Rates'!$A$5:$A$1004,$T556))))</f>
        <v/>
      </c>
      <c r="B556" s="79">
        <f>IF(OR($T556="",$U556=""),IF($T556="","","Not on Firms tab"),INDEX(Firms!$B$5:$B$1004,$U556)&amp;"")</f>
        <v/>
      </c>
      <c r="C556" s="78">
        <f>IF($T556="","",IF($S556="S","Standard",INDEX('AFA Rates'!$B$5:$B$1004,$T556)&amp;""))</f>
        <v/>
      </c>
      <c r="D556" s="88">
        <f>IF($T556="","",IF($S556="S",IF(INDEX(Firms!$E$5:$E$1004,$T556)="","",INDEX(Firms!$E$5:$E$1004,$T556)),IF(INDEX('AFA Rates'!$C$5:$C$1004,$T556)="","",INDEX('AFA Rates'!$C$5:$C$1004,$T556))))</f>
        <v/>
      </c>
      <c r="E556" s="88">
        <f>IF($T556="","",IF($S556="S",IF(""="","",""),IF(INDEX('AFA Rates'!$D$5:$D$1004,$T556)="","",INDEX('AFA Rates'!$D$5:$D$1004,$T556))))</f>
        <v/>
      </c>
      <c r="F556" s="79">
        <f>IF($T556="","",IF($S556="S",IF(INDEX(Firms!$O$5:$O$1004,$T556)="","",INDEX(Firms!$O$5:$O$1004,$T556)),IF(INDEX('AFA Rates'!$O$5:$O$1004,$T556)="","",INDEX('AFA Rates'!$O$5:$O$1004,$T556))))</f>
        <v/>
      </c>
      <c r="G556" s="50">
        <f>IF($T556="","",IF($S556="S",IF(INDEX(Firms!$F$5:$F$1004,$T556)="","",INDEX(Firms!$F$5:$F$1004,$T556)),IF(INDEX('AFA Rates'!$E$5:$E$1004,$T556)="","",INDEX('AFA Rates'!$E$5:$E$1004,$T556))))</f>
        <v/>
      </c>
      <c r="H556" s="50">
        <f>IF($T556="","",IF($S556="S",IF(INDEX(Firms!$G$5:$G$1004,$T556)="","",INDEX(Firms!$G$5:$G$1004,$T556)),IF(INDEX('AFA Rates'!$F$5:$F$1004,$T556)="","",INDEX('AFA Rates'!$F$5:$F$1004,$T556))))</f>
        <v/>
      </c>
      <c r="I556" s="50">
        <f>IF($T556="","",IF($S556="S",IF(INDEX(Firms!$H$5:$H$1004,$T556)="","",INDEX(Firms!$H$5:$H$1004,$T556)),IF(INDEX('AFA Rates'!$G$5:$G$1004,$T556)="","",INDEX('AFA Rates'!$G$5:$G$1004,$T556))))</f>
        <v/>
      </c>
      <c r="J556" s="50">
        <f>IF($T556="","",IF($S556="S",IF(INDEX(Firms!$I$5:$I$1004,$T556)="","",INDEX(Firms!$I$5:$I$1004,$T556)),IF(INDEX('AFA Rates'!$H$5:$H$1004,$T556)="","",INDEX('AFA Rates'!$H$5:$H$1004,$T556))))</f>
        <v/>
      </c>
      <c r="K556" s="50">
        <f>IF($T556="","",IF($S556="S",IF(INDEX(Firms!$J$5:$J$1004,$T556)="","",INDEX(Firms!$J$5:$J$1004,$T556)),IF(INDEX('AFA Rates'!$I$5:$I$1004,$T556)="","",INDEX('AFA Rates'!$I$5:$I$1004,$T556))))</f>
        <v/>
      </c>
      <c r="L556" s="50">
        <f>IF($T556="","",IF($S556="S",IF(INDEX(Firms!$K$5:$K$1004,$T556)="","",INDEX(Firms!$K$5:$K$1004,$T556)),IF(INDEX('AFA Rates'!$J$5:$J$1004,$T556)="","",INDEX('AFA Rates'!$J$5:$J$1004,$T556))))</f>
        <v/>
      </c>
      <c r="M556" s="50">
        <f>IF($T556="","",IF($S556="S",IF(INDEX(Firms!$L$5:$L$1004,$T556)="","",INDEX(Firms!$L$5:$L$1004,$T556)),IF(INDEX('AFA Rates'!$K$5:$K$1004,$T556)="","",INDEX('AFA Rates'!$K$5:$K$1004,$T556))))</f>
        <v/>
      </c>
      <c r="N556" s="50">
        <f>IF($T556="","",IF($S556="S",IF(INDEX(Firms!$M$5:$M$1004,$T556)="","",INDEX(Firms!$M$5:$M$1004,$T556)),IF(INDEX('AFA Rates'!$L$5:$L$1004,$T556)="","",INDEX('AFA Rates'!$L$5:$L$1004,$T556))))</f>
        <v/>
      </c>
      <c r="O556" s="78">
        <f>IF(OR($T556="",$U556=""),"",IF(INDEX(Firms!$C$5:$C$1004,$U556)="","",INDEX(Firms!$C$5:$C$1004,$U556)))</f>
        <v/>
      </c>
      <c r="P556" s="79">
        <f>IF(OR($T556="",$U556=""),"",IF(INDEX(Firms!$N$5:$N$1004,$U556)="","",INDEX(Firms!$N$5:$N$1004,$U556)))</f>
        <v/>
      </c>
      <c r="Q556" s="78">
        <f>IF($T556="","",IF($S556="S",IF(INDEX(Firms!$T$5:$T$1004,$T556)="","",INDEX(Firms!$T$5:$T$1004,$T556)),IF(INDEX('AFA Rates'!$M$5:$M$1004,$T556)="","",INDEX('AFA Rates'!$M$5:$M$1004,$T556))))</f>
        <v/>
      </c>
      <c r="S556">
        <f>IF(552&lt;=$S$2,"S",IF(552&lt;=$S$2+$T$2,"A",""))</f>
        <v/>
      </c>
      <c r="T556">
        <f>IF(S556="S",MATCH(552,Firms!$W$5:$W$1004,0),IF(S556="A",IFERROR(MATCH(552-$S$2,'AFA Rates'!$R$5:$R$1004,0),""),""))</f>
        <v/>
      </c>
      <c r="U556">
        <f>IF(S556="S",T556,IF(AND(S556="A",T556&lt;&gt;""),IFERROR(MATCH(INDEX('AFA Rates'!$A$5:$A$1004,T556),Firms!$A$5:$A$1004,0),""),""))</f>
        <v/>
      </c>
    </row>
    <row r="557">
      <c r="A557" s="78">
        <f>IF($T557="","",IF($S557="S",IF(INDEX(Firms!$A$5:$A$1004,$T557)="","",INDEX(Firms!$A$5:$A$1004,$T557)),IF(INDEX('AFA Rates'!$A$5:$A$1004,$T557)="","",INDEX('AFA Rates'!$A$5:$A$1004,$T557))))</f>
        <v/>
      </c>
      <c r="B557" s="79">
        <f>IF(OR($T557="",$U557=""),IF($T557="","","Not on Firms tab"),INDEX(Firms!$B$5:$B$1004,$U557)&amp;"")</f>
        <v/>
      </c>
      <c r="C557" s="78">
        <f>IF($T557="","",IF($S557="S","Standard",INDEX('AFA Rates'!$B$5:$B$1004,$T557)&amp;""))</f>
        <v/>
      </c>
      <c r="D557" s="88">
        <f>IF($T557="","",IF($S557="S",IF(INDEX(Firms!$E$5:$E$1004,$T557)="","",INDEX(Firms!$E$5:$E$1004,$T557)),IF(INDEX('AFA Rates'!$C$5:$C$1004,$T557)="","",INDEX('AFA Rates'!$C$5:$C$1004,$T557))))</f>
        <v/>
      </c>
      <c r="E557" s="88">
        <f>IF($T557="","",IF($S557="S",IF(""="","",""),IF(INDEX('AFA Rates'!$D$5:$D$1004,$T557)="","",INDEX('AFA Rates'!$D$5:$D$1004,$T557))))</f>
        <v/>
      </c>
      <c r="F557" s="79">
        <f>IF($T557="","",IF($S557="S",IF(INDEX(Firms!$O$5:$O$1004,$T557)="","",INDEX(Firms!$O$5:$O$1004,$T557)),IF(INDEX('AFA Rates'!$O$5:$O$1004,$T557)="","",INDEX('AFA Rates'!$O$5:$O$1004,$T557))))</f>
        <v/>
      </c>
      <c r="G557" s="50">
        <f>IF($T557="","",IF($S557="S",IF(INDEX(Firms!$F$5:$F$1004,$T557)="","",INDEX(Firms!$F$5:$F$1004,$T557)),IF(INDEX('AFA Rates'!$E$5:$E$1004,$T557)="","",INDEX('AFA Rates'!$E$5:$E$1004,$T557))))</f>
        <v/>
      </c>
      <c r="H557" s="50">
        <f>IF($T557="","",IF($S557="S",IF(INDEX(Firms!$G$5:$G$1004,$T557)="","",INDEX(Firms!$G$5:$G$1004,$T557)),IF(INDEX('AFA Rates'!$F$5:$F$1004,$T557)="","",INDEX('AFA Rates'!$F$5:$F$1004,$T557))))</f>
        <v/>
      </c>
      <c r="I557" s="50">
        <f>IF($T557="","",IF($S557="S",IF(INDEX(Firms!$H$5:$H$1004,$T557)="","",INDEX(Firms!$H$5:$H$1004,$T557)),IF(INDEX('AFA Rates'!$G$5:$G$1004,$T557)="","",INDEX('AFA Rates'!$G$5:$G$1004,$T557))))</f>
        <v/>
      </c>
      <c r="J557" s="50">
        <f>IF($T557="","",IF($S557="S",IF(INDEX(Firms!$I$5:$I$1004,$T557)="","",INDEX(Firms!$I$5:$I$1004,$T557)),IF(INDEX('AFA Rates'!$H$5:$H$1004,$T557)="","",INDEX('AFA Rates'!$H$5:$H$1004,$T557))))</f>
        <v/>
      </c>
      <c r="K557" s="50">
        <f>IF($T557="","",IF($S557="S",IF(INDEX(Firms!$J$5:$J$1004,$T557)="","",INDEX(Firms!$J$5:$J$1004,$T557)),IF(INDEX('AFA Rates'!$I$5:$I$1004,$T557)="","",INDEX('AFA Rates'!$I$5:$I$1004,$T557))))</f>
        <v/>
      </c>
      <c r="L557" s="50">
        <f>IF($T557="","",IF($S557="S",IF(INDEX(Firms!$K$5:$K$1004,$T557)="","",INDEX(Firms!$K$5:$K$1004,$T557)),IF(INDEX('AFA Rates'!$J$5:$J$1004,$T557)="","",INDEX('AFA Rates'!$J$5:$J$1004,$T557))))</f>
        <v/>
      </c>
      <c r="M557" s="50">
        <f>IF($T557="","",IF($S557="S",IF(INDEX(Firms!$L$5:$L$1004,$T557)="","",INDEX(Firms!$L$5:$L$1004,$T557)),IF(INDEX('AFA Rates'!$K$5:$K$1004,$T557)="","",INDEX('AFA Rates'!$K$5:$K$1004,$T557))))</f>
        <v/>
      </c>
      <c r="N557" s="50">
        <f>IF($T557="","",IF($S557="S",IF(INDEX(Firms!$M$5:$M$1004,$T557)="","",INDEX(Firms!$M$5:$M$1004,$T557)),IF(INDEX('AFA Rates'!$L$5:$L$1004,$T557)="","",INDEX('AFA Rates'!$L$5:$L$1004,$T557))))</f>
        <v/>
      </c>
      <c r="O557" s="78">
        <f>IF(OR($T557="",$U557=""),"",IF(INDEX(Firms!$C$5:$C$1004,$U557)="","",INDEX(Firms!$C$5:$C$1004,$U557)))</f>
        <v/>
      </c>
      <c r="P557" s="79">
        <f>IF(OR($T557="",$U557=""),"",IF(INDEX(Firms!$N$5:$N$1004,$U557)="","",INDEX(Firms!$N$5:$N$1004,$U557)))</f>
        <v/>
      </c>
      <c r="Q557" s="78">
        <f>IF($T557="","",IF($S557="S",IF(INDEX(Firms!$T$5:$T$1004,$T557)="","",INDEX(Firms!$T$5:$T$1004,$T557)),IF(INDEX('AFA Rates'!$M$5:$M$1004,$T557)="","",INDEX('AFA Rates'!$M$5:$M$1004,$T557))))</f>
        <v/>
      </c>
      <c r="S557">
        <f>IF(553&lt;=$S$2,"S",IF(553&lt;=$S$2+$T$2,"A",""))</f>
        <v/>
      </c>
      <c r="T557">
        <f>IF(S557="S",MATCH(553,Firms!$W$5:$W$1004,0),IF(S557="A",IFERROR(MATCH(553-$S$2,'AFA Rates'!$R$5:$R$1004,0),""),""))</f>
        <v/>
      </c>
      <c r="U557">
        <f>IF(S557="S",T557,IF(AND(S557="A",T557&lt;&gt;""),IFERROR(MATCH(INDEX('AFA Rates'!$A$5:$A$1004,T557),Firms!$A$5:$A$1004,0),""),""))</f>
        <v/>
      </c>
    </row>
    <row r="558">
      <c r="A558" s="78">
        <f>IF($T558="","",IF($S558="S",IF(INDEX(Firms!$A$5:$A$1004,$T558)="","",INDEX(Firms!$A$5:$A$1004,$T558)),IF(INDEX('AFA Rates'!$A$5:$A$1004,$T558)="","",INDEX('AFA Rates'!$A$5:$A$1004,$T558))))</f>
        <v/>
      </c>
      <c r="B558" s="79">
        <f>IF(OR($T558="",$U558=""),IF($T558="","","Not on Firms tab"),INDEX(Firms!$B$5:$B$1004,$U558)&amp;"")</f>
        <v/>
      </c>
      <c r="C558" s="78">
        <f>IF($T558="","",IF($S558="S","Standard",INDEX('AFA Rates'!$B$5:$B$1004,$T558)&amp;""))</f>
        <v/>
      </c>
      <c r="D558" s="88">
        <f>IF($T558="","",IF($S558="S",IF(INDEX(Firms!$E$5:$E$1004,$T558)="","",INDEX(Firms!$E$5:$E$1004,$T558)),IF(INDEX('AFA Rates'!$C$5:$C$1004,$T558)="","",INDEX('AFA Rates'!$C$5:$C$1004,$T558))))</f>
        <v/>
      </c>
      <c r="E558" s="88">
        <f>IF($T558="","",IF($S558="S",IF(""="","",""),IF(INDEX('AFA Rates'!$D$5:$D$1004,$T558)="","",INDEX('AFA Rates'!$D$5:$D$1004,$T558))))</f>
        <v/>
      </c>
      <c r="F558" s="79">
        <f>IF($T558="","",IF($S558="S",IF(INDEX(Firms!$O$5:$O$1004,$T558)="","",INDEX(Firms!$O$5:$O$1004,$T558)),IF(INDEX('AFA Rates'!$O$5:$O$1004,$T558)="","",INDEX('AFA Rates'!$O$5:$O$1004,$T558))))</f>
        <v/>
      </c>
      <c r="G558" s="50">
        <f>IF($T558="","",IF($S558="S",IF(INDEX(Firms!$F$5:$F$1004,$T558)="","",INDEX(Firms!$F$5:$F$1004,$T558)),IF(INDEX('AFA Rates'!$E$5:$E$1004,$T558)="","",INDEX('AFA Rates'!$E$5:$E$1004,$T558))))</f>
        <v/>
      </c>
      <c r="H558" s="50">
        <f>IF($T558="","",IF($S558="S",IF(INDEX(Firms!$G$5:$G$1004,$T558)="","",INDEX(Firms!$G$5:$G$1004,$T558)),IF(INDEX('AFA Rates'!$F$5:$F$1004,$T558)="","",INDEX('AFA Rates'!$F$5:$F$1004,$T558))))</f>
        <v/>
      </c>
      <c r="I558" s="50">
        <f>IF($T558="","",IF($S558="S",IF(INDEX(Firms!$H$5:$H$1004,$T558)="","",INDEX(Firms!$H$5:$H$1004,$T558)),IF(INDEX('AFA Rates'!$G$5:$G$1004,$T558)="","",INDEX('AFA Rates'!$G$5:$G$1004,$T558))))</f>
        <v/>
      </c>
      <c r="J558" s="50">
        <f>IF($T558="","",IF($S558="S",IF(INDEX(Firms!$I$5:$I$1004,$T558)="","",INDEX(Firms!$I$5:$I$1004,$T558)),IF(INDEX('AFA Rates'!$H$5:$H$1004,$T558)="","",INDEX('AFA Rates'!$H$5:$H$1004,$T558))))</f>
        <v/>
      </c>
      <c r="K558" s="50">
        <f>IF($T558="","",IF($S558="S",IF(INDEX(Firms!$J$5:$J$1004,$T558)="","",INDEX(Firms!$J$5:$J$1004,$T558)),IF(INDEX('AFA Rates'!$I$5:$I$1004,$T558)="","",INDEX('AFA Rates'!$I$5:$I$1004,$T558))))</f>
        <v/>
      </c>
      <c r="L558" s="50">
        <f>IF($T558="","",IF($S558="S",IF(INDEX(Firms!$K$5:$K$1004,$T558)="","",INDEX(Firms!$K$5:$K$1004,$T558)),IF(INDEX('AFA Rates'!$J$5:$J$1004,$T558)="","",INDEX('AFA Rates'!$J$5:$J$1004,$T558))))</f>
        <v/>
      </c>
      <c r="M558" s="50">
        <f>IF($T558="","",IF($S558="S",IF(INDEX(Firms!$L$5:$L$1004,$T558)="","",INDEX(Firms!$L$5:$L$1004,$T558)),IF(INDEX('AFA Rates'!$K$5:$K$1004,$T558)="","",INDEX('AFA Rates'!$K$5:$K$1004,$T558))))</f>
        <v/>
      </c>
      <c r="N558" s="50">
        <f>IF($T558="","",IF($S558="S",IF(INDEX(Firms!$M$5:$M$1004,$T558)="","",INDEX(Firms!$M$5:$M$1004,$T558)),IF(INDEX('AFA Rates'!$L$5:$L$1004,$T558)="","",INDEX('AFA Rates'!$L$5:$L$1004,$T558))))</f>
        <v/>
      </c>
      <c r="O558" s="78">
        <f>IF(OR($T558="",$U558=""),"",IF(INDEX(Firms!$C$5:$C$1004,$U558)="","",INDEX(Firms!$C$5:$C$1004,$U558)))</f>
        <v/>
      </c>
      <c r="P558" s="79">
        <f>IF(OR($T558="",$U558=""),"",IF(INDEX(Firms!$N$5:$N$1004,$U558)="","",INDEX(Firms!$N$5:$N$1004,$U558)))</f>
        <v/>
      </c>
      <c r="Q558" s="78">
        <f>IF($T558="","",IF($S558="S",IF(INDEX(Firms!$T$5:$T$1004,$T558)="","",INDEX(Firms!$T$5:$T$1004,$T558)),IF(INDEX('AFA Rates'!$M$5:$M$1004,$T558)="","",INDEX('AFA Rates'!$M$5:$M$1004,$T558))))</f>
        <v/>
      </c>
      <c r="S558">
        <f>IF(554&lt;=$S$2,"S",IF(554&lt;=$S$2+$T$2,"A",""))</f>
        <v/>
      </c>
      <c r="T558">
        <f>IF(S558="S",MATCH(554,Firms!$W$5:$W$1004,0),IF(S558="A",IFERROR(MATCH(554-$S$2,'AFA Rates'!$R$5:$R$1004,0),""),""))</f>
        <v/>
      </c>
      <c r="U558">
        <f>IF(S558="S",T558,IF(AND(S558="A",T558&lt;&gt;""),IFERROR(MATCH(INDEX('AFA Rates'!$A$5:$A$1004,T558),Firms!$A$5:$A$1004,0),""),""))</f>
        <v/>
      </c>
    </row>
    <row r="559">
      <c r="A559" s="78">
        <f>IF($T559="","",IF($S559="S",IF(INDEX(Firms!$A$5:$A$1004,$T559)="","",INDEX(Firms!$A$5:$A$1004,$T559)),IF(INDEX('AFA Rates'!$A$5:$A$1004,$T559)="","",INDEX('AFA Rates'!$A$5:$A$1004,$T559))))</f>
        <v/>
      </c>
      <c r="B559" s="79">
        <f>IF(OR($T559="",$U559=""),IF($T559="","","Not on Firms tab"),INDEX(Firms!$B$5:$B$1004,$U559)&amp;"")</f>
        <v/>
      </c>
      <c r="C559" s="78">
        <f>IF($T559="","",IF($S559="S","Standard",INDEX('AFA Rates'!$B$5:$B$1004,$T559)&amp;""))</f>
        <v/>
      </c>
      <c r="D559" s="88">
        <f>IF($T559="","",IF($S559="S",IF(INDEX(Firms!$E$5:$E$1004,$T559)="","",INDEX(Firms!$E$5:$E$1004,$T559)),IF(INDEX('AFA Rates'!$C$5:$C$1004,$T559)="","",INDEX('AFA Rates'!$C$5:$C$1004,$T559))))</f>
        <v/>
      </c>
      <c r="E559" s="88">
        <f>IF($T559="","",IF($S559="S",IF(""="","",""),IF(INDEX('AFA Rates'!$D$5:$D$1004,$T559)="","",INDEX('AFA Rates'!$D$5:$D$1004,$T559))))</f>
        <v/>
      </c>
      <c r="F559" s="79">
        <f>IF($T559="","",IF($S559="S",IF(INDEX(Firms!$O$5:$O$1004,$T559)="","",INDEX(Firms!$O$5:$O$1004,$T559)),IF(INDEX('AFA Rates'!$O$5:$O$1004,$T559)="","",INDEX('AFA Rates'!$O$5:$O$1004,$T559))))</f>
        <v/>
      </c>
      <c r="G559" s="50">
        <f>IF($T559="","",IF($S559="S",IF(INDEX(Firms!$F$5:$F$1004,$T559)="","",INDEX(Firms!$F$5:$F$1004,$T559)),IF(INDEX('AFA Rates'!$E$5:$E$1004,$T559)="","",INDEX('AFA Rates'!$E$5:$E$1004,$T559))))</f>
        <v/>
      </c>
      <c r="H559" s="50">
        <f>IF($T559="","",IF($S559="S",IF(INDEX(Firms!$G$5:$G$1004,$T559)="","",INDEX(Firms!$G$5:$G$1004,$T559)),IF(INDEX('AFA Rates'!$F$5:$F$1004,$T559)="","",INDEX('AFA Rates'!$F$5:$F$1004,$T559))))</f>
        <v/>
      </c>
      <c r="I559" s="50">
        <f>IF($T559="","",IF($S559="S",IF(INDEX(Firms!$H$5:$H$1004,$T559)="","",INDEX(Firms!$H$5:$H$1004,$T559)),IF(INDEX('AFA Rates'!$G$5:$G$1004,$T559)="","",INDEX('AFA Rates'!$G$5:$G$1004,$T559))))</f>
        <v/>
      </c>
      <c r="J559" s="50">
        <f>IF($T559="","",IF($S559="S",IF(INDEX(Firms!$I$5:$I$1004,$T559)="","",INDEX(Firms!$I$5:$I$1004,$T559)),IF(INDEX('AFA Rates'!$H$5:$H$1004,$T559)="","",INDEX('AFA Rates'!$H$5:$H$1004,$T559))))</f>
        <v/>
      </c>
      <c r="K559" s="50">
        <f>IF($T559="","",IF($S559="S",IF(INDEX(Firms!$J$5:$J$1004,$T559)="","",INDEX(Firms!$J$5:$J$1004,$T559)),IF(INDEX('AFA Rates'!$I$5:$I$1004,$T559)="","",INDEX('AFA Rates'!$I$5:$I$1004,$T559))))</f>
        <v/>
      </c>
      <c r="L559" s="50">
        <f>IF($T559="","",IF($S559="S",IF(INDEX(Firms!$K$5:$K$1004,$T559)="","",INDEX(Firms!$K$5:$K$1004,$T559)),IF(INDEX('AFA Rates'!$J$5:$J$1004,$T559)="","",INDEX('AFA Rates'!$J$5:$J$1004,$T559))))</f>
        <v/>
      </c>
      <c r="M559" s="50">
        <f>IF($T559="","",IF($S559="S",IF(INDEX(Firms!$L$5:$L$1004,$T559)="","",INDEX(Firms!$L$5:$L$1004,$T559)),IF(INDEX('AFA Rates'!$K$5:$K$1004,$T559)="","",INDEX('AFA Rates'!$K$5:$K$1004,$T559))))</f>
        <v/>
      </c>
      <c r="N559" s="50">
        <f>IF($T559="","",IF($S559="S",IF(INDEX(Firms!$M$5:$M$1004,$T559)="","",INDEX(Firms!$M$5:$M$1004,$T559)),IF(INDEX('AFA Rates'!$L$5:$L$1004,$T559)="","",INDEX('AFA Rates'!$L$5:$L$1004,$T559))))</f>
        <v/>
      </c>
      <c r="O559" s="78">
        <f>IF(OR($T559="",$U559=""),"",IF(INDEX(Firms!$C$5:$C$1004,$U559)="","",INDEX(Firms!$C$5:$C$1004,$U559)))</f>
        <v/>
      </c>
      <c r="P559" s="79">
        <f>IF(OR($T559="",$U559=""),"",IF(INDEX(Firms!$N$5:$N$1004,$U559)="","",INDEX(Firms!$N$5:$N$1004,$U559)))</f>
        <v/>
      </c>
      <c r="Q559" s="78">
        <f>IF($T559="","",IF($S559="S",IF(INDEX(Firms!$T$5:$T$1004,$T559)="","",INDEX(Firms!$T$5:$T$1004,$T559)),IF(INDEX('AFA Rates'!$M$5:$M$1004,$T559)="","",INDEX('AFA Rates'!$M$5:$M$1004,$T559))))</f>
        <v/>
      </c>
      <c r="S559">
        <f>IF(555&lt;=$S$2,"S",IF(555&lt;=$S$2+$T$2,"A",""))</f>
        <v/>
      </c>
      <c r="T559">
        <f>IF(S559="S",MATCH(555,Firms!$W$5:$W$1004,0),IF(S559="A",IFERROR(MATCH(555-$S$2,'AFA Rates'!$R$5:$R$1004,0),""),""))</f>
        <v/>
      </c>
      <c r="U559">
        <f>IF(S559="S",T559,IF(AND(S559="A",T559&lt;&gt;""),IFERROR(MATCH(INDEX('AFA Rates'!$A$5:$A$1004,T559),Firms!$A$5:$A$1004,0),""),""))</f>
        <v/>
      </c>
    </row>
    <row r="560">
      <c r="A560" s="78">
        <f>IF($T560="","",IF($S560="S",IF(INDEX(Firms!$A$5:$A$1004,$T560)="","",INDEX(Firms!$A$5:$A$1004,$T560)),IF(INDEX('AFA Rates'!$A$5:$A$1004,$T560)="","",INDEX('AFA Rates'!$A$5:$A$1004,$T560))))</f>
        <v/>
      </c>
      <c r="B560" s="79">
        <f>IF(OR($T560="",$U560=""),IF($T560="","","Not on Firms tab"),INDEX(Firms!$B$5:$B$1004,$U560)&amp;"")</f>
        <v/>
      </c>
      <c r="C560" s="78">
        <f>IF($T560="","",IF($S560="S","Standard",INDEX('AFA Rates'!$B$5:$B$1004,$T560)&amp;""))</f>
        <v/>
      </c>
      <c r="D560" s="88">
        <f>IF($T560="","",IF($S560="S",IF(INDEX(Firms!$E$5:$E$1004,$T560)="","",INDEX(Firms!$E$5:$E$1004,$T560)),IF(INDEX('AFA Rates'!$C$5:$C$1004,$T560)="","",INDEX('AFA Rates'!$C$5:$C$1004,$T560))))</f>
        <v/>
      </c>
      <c r="E560" s="88">
        <f>IF($T560="","",IF($S560="S",IF(""="","",""),IF(INDEX('AFA Rates'!$D$5:$D$1004,$T560)="","",INDEX('AFA Rates'!$D$5:$D$1004,$T560))))</f>
        <v/>
      </c>
      <c r="F560" s="79">
        <f>IF($T560="","",IF($S560="S",IF(INDEX(Firms!$O$5:$O$1004,$T560)="","",INDEX(Firms!$O$5:$O$1004,$T560)),IF(INDEX('AFA Rates'!$O$5:$O$1004,$T560)="","",INDEX('AFA Rates'!$O$5:$O$1004,$T560))))</f>
        <v/>
      </c>
      <c r="G560" s="50">
        <f>IF($T560="","",IF($S560="S",IF(INDEX(Firms!$F$5:$F$1004,$T560)="","",INDEX(Firms!$F$5:$F$1004,$T560)),IF(INDEX('AFA Rates'!$E$5:$E$1004,$T560)="","",INDEX('AFA Rates'!$E$5:$E$1004,$T560))))</f>
        <v/>
      </c>
      <c r="H560" s="50">
        <f>IF($T560="","",IF($S560="S",IF(INDEX(Firms!$G$5:$G$1004,$T560)="","",INDEX(Firms!$G$5:$G$1004,$T560)),IF(INDEX('AFA Rates'!$F$5:$F$1004,$T560)="","",INDEX('AFA Rates'!$F$5:$F$1004,$T560))))</f>
        <v/>
      </c>
      <c r="I560" s="50">
        <f>IF($T560="","",IF($S560="S",IF(INDEX(Firms!$H$5:$H$1004,$T560)="","",INDEX(Firms!$H$5:$H$1004,$T560)),IF(INDEX('AFA Rates'!$G$5:$G$1004,$T560)="","",INDEX('AFA Rates'!$G$5:$G$1004,$T560))))</f>
        <v/>
      </c>
      <c r="J560" s="50">
        <f>IF($T560="","",IF($S560="S",IF(INDEX(Firms!$I$5:$I$1004,$T560)="","",INDEX(Firms!$I$5:$I$1004,$T560)),IF(INDEX('AFA Rates'!$H$5:$H$1004,$T560)="","",INDEX('AFA Rates'!$H$5:$H$1004,$T560))))</f>
        <v/>
      </c>
      <c r="K560" s="50">
        <f>IF($T560="","",IF($S560="S",IF(INDEX(Firms!$J$5:$J$1004,$T560)="","",INDEX(Firms!$J$5:$J$1004,$T560)),IF(INDEX('AFA Rates'!$I$5:$I$1004,$T560)="","",INDEX('AFA Rates'!$I$5:$I$1004,$T560))))</f>
        <v/>
      </c>
      <c r="L560" s="50">
        <f>IF($T560="","",IF($S560="S",IF(INDEX(Firms!$K$5:$K$1004,$T560)="","",INDEX(Firms!$K$5:$K$1004,$T560)),IF(INDEX('AFA Rates'!$J$5:$J$1004,$T560)="","",INDEX('AFA Rates'!$J$5:$J$1004,$T560))))</f>
        <v/>
      </c>
      <c r="M560" s="50">
        <f>IF($T560="","",IF($S560="S",IF(INDEX(Firms!$L$5:$L$1004,$T560)="","",INDEX(Firms!$L$5:$L$1004,$T560)),IF(INDEX('AFA Rates'!$K$5:$K$1004,$T560)="","",INDEX('AFA Rates'!$K$5:$K$1004,$T560))))</f>
        <v/>
      </c>
      <c r="N560" s="50">
        <f>IF($T560="","",IF($S560="S",IF(INDEX(Firms!$M$5:$M$1004,$T560)="","",INDEX(Firms!$M$5:$M$1004,$T560)),IF(INDEX('AFA Rates'!$L$5:$L$1004,$T560)="","",INDEX('AFA Rates'!$L$5:$L$1004,$T560))))</f>
        <v/>
      </c>
      <c r="O560" s="78">
        <f>IF(OR($T560="",$U560=""),"",IF(INDEX(Firms!$C$5:$C$1004,$U560)="","",INDEX(Firms!$C$5:$C$1004,$U560)))</f>
        <v/>
      </c>
      <c r="P560" s="79">
        <f>IF(OR($T560="",$U560=""),"",IF(INDEX(Firms!$N$5:$N$1004,$U560)="","",INDEX(Firms!$N$5:$N$1004,$U560)))</f>
        <v/>
      </c>
      <c r="Q560" s="78">
        <f>IF($T560="","",IF($S560="S",IF(INDEX(Firms!$T$5:$T$1004,$T560)="","",INDEX(Firms!$T$5:$T$1004,$T560)),IF(INDEX('AFA Rates'!$M$5:$M$1004,$T560)="","",INDEX('AFA Rates'!$M$5:$M$1004,$T560))))</f>
        <v/>
      </c>
      <c r="S560">
        <f>IF(556&lt;=$S$2,"S",IF(556&lt;=$S$2+$T$2,"A",""))</f>
        <v/>
      </c>
      <c r="T560">
        <f>IF(S560="S",MATCH(556,Firms!$W$5:$W$1004,0),IF(S560="A",IFERROR(MATCH(556-$S$2,'AFA Rates'!$R$5:$R$1004,0),""),""))</f>
        <v/>
      </c>
      <c r="U560">
        <f>IF(S560="S",T560,IF(AND(S560="A",T560&lt;&gt;""),IFERROR(MATCH(INDEX('AFA Rates'!$A$5:$A$1004,T560),Firms!$A$5:$A$1004,0),""),""))</f>
        <v/>
      </c>
    </row>
    <row r="561">
      <c r="A561" s="78">
        <f>IF($T561="","",IF($S561="S",IF(INDEX(Firms!$A$5:$A$1004,$T561)="","",INDEX(Firms!$A$5:$A$1004,$T561)),IF(INDEX('AFA Rates'!$A$5:$A$1004,$T561)="","",INDEX('AFA Rates'!$A$5:$A$1004,$T561))))</f>
        <v/>
      </c>
      <c r="B561" s="79">
        <f>IF(OR($T561="",$U561=""),IF($T561="","","Not on Firms tab"),INDEX(Firms!$B$5:$B$1004,$U561)&amp;"")</f>
        <v/>
      </c>
      <c r="C561" s="78">
        <f>IF($T561="","",IF($S561="S","Standard",INDEX('AFA Rates'!$B$5:$B$1004,$T561)&amp;""))</f>
        <v/>
      </c>
      <c r="D561" s="88">
        <f>IF($T561="","",IF($S561="S",IF(INDEX(Firms!$E$5:$E$1004,$T561)="","",INDEX(Firms!$E$5:$E$1004,$T561)),IF(INDEX('AFA Rates'!$C$5:$C$1004,$T561)="","",INDEX('AFA Rates'!$C$5:$C$1004,$T561))))</f>
        <v/>
      </c>
      <c r="E561" s="88">
        <f>IF($T561="","",IF($S561="S",IF(""="","",""),IF(INDEX('AFA Rates'!$D$5:$D$1004,$T561)="","",INDEX('AFA Rates'!$D$5:$D$1004,$T561))))</f>
        <v/>
      </c>
      <c r="F561" s="79">
        <f>IF($T561="","",IF($S561="S",IF(INDEX(Firms!$O$5:$O$1004,$T561)="","",INDEX(Firms!$O$5:$O$1004,$T561)),IF(INDEX('AFA Rates'!$O$5:$O$1004,$T561)="","",INDEX('AFA Rates'!$O$5:$O$1004,$T561))))</f>
        <v/>
      </c>
      <c r="G561" s="50">
        <f>IF($T561="","",IF($S561="S",IF(INDEX(Firms!$F$5:$F$1004,$T561)="","",INDEX(Firms!$F$5:$F$1004,$T561)),IF(INDEX('AFA Rates'!$E$5:$E$1004,$T561)="","",INDEX('AFA Rates'!$E$5:$E$1004,$T561))))</f>
        <v/>
      </c>
      <c r="H561" s="50">
        <f>IF($T561="","",IF($S561="S",IF(INDEX(Firms!$G$5:$G$1004,$T561)="","",INDEX(Firms!$G$5:$G$1004,$T561)),IF(INDEX('AFA Rates'!$F$5:$F$1004,$T561)="","",INDEX('AFA Rates'!$F$5:$F$1004,$T561))))</f>
        <v/>
      </c>
      <c r="I561" s="50">
        <f>IF($T561="","",IF($S561="S",IF(INDEX(Firms!$H$5:$H$1004,$T561)="","",INDEX(Firms!$H$5:$H$1004,$T561)),IF(INDEX('AFA Rates'!$G$5:$G$1004,$T561)="","",INDEX('AFA Rates'!$G$5:$G$1004,$T561))))</f>
        <v/>
      </c>
      <c r="J561" s="50">
        <f>IF($T561="","",IF($S561="S",IF(INDEX(Firms!$I$5:$I$1004,$T561)="","",INDEX(Firms!$I$5:$I$1004,$T561)),IF(INDEX('AFA Rates'!$H$5:$H$1004,$T561)="","",INDEX('AFA Rates'!$H$5:$H$1004,$T561))))</f>
        <v/>
      </c>
      <c r="K561" s="50">
        <f>IF($T561="","",IF($S561="S",IF(INDEX(Firms!$J$5:$J$1004,$T561)="","",INDEX(Firms!$J$5:$J$1004,$T561)),IF(INDEX('AFA Rates'!$I$5:$I$1004,$T561)="","",INDEX('AFA Rates'!$I$5:$I$1004,$T561))))</f>
        <v/>
      </c>
      <c r="L561" s="50">
        <f>IF($T561="","",IF($S561="S",IF(INDEX(Firms!$K$5:$K$1004,$T561)="","",INDEX(Firms!$K$5:$K$1004,$T561)),IF(INDEX('AFA Rates'!$J$5:$J$1004,$T561)="","",INDEX('AFA Rates'!$J$5:$J$1004,$T561))))</f>
        <v/>
      </c>
      <c r="M561" s="50">
        <f>IF($T561="","",IF($S561="S",IF(INDEX(Firms!$L$5:$L$1004,$T561)="","",INDEX(Firms!$L$5:$L$1004,$T561)),IF(INDEX('AFA Rates'!$K$5:$K$1004,$T561)="","",INDEX('AFA Rates'!$K$5:$K$1004,$T561))))</f>
        <v/>
      </c>
      <c r="N561" s="50">
        <f>IF($T561="","",IF($S561="S",IF(INDEX(Firms!$M$5:$M$1004,$T561)="","",INDEX(Firms!$M$5:$M$1004,$T561)),IF(INDEX('AFA Rates'!$L$5:$L$1004,$T561)="","",INDEX('AFA Rates'!$L$5:$L$1004,$T561))))</f>
        <v/>
      </c>
      <c r="O561" s="78">
        <f>IF(OR($T561="",$U561=""),"",IF(INDEX(Firms!$C$5:$C$1004,$U561)="","",INDEX(Firms!$C$5:$C$1004,$U561)))</f>
        <v/>
      </c>
      <c r="P561" s="79">
        <f>IF(OR($T561="",$U561=""),"",IF(INDEX(Firms!$N$5:$N$1004,$U561)="","",INDEX(Firms!$N$5:$N$1004,$U561)))</f>
        <v/>
      </c>
      <c r="Q561" s="78">
        <f>IF($T561="","",IF($S561="S",IF(INDEX(Firms!$T$5:$T$1004,$T561)="","",INDEX(Firms!$T$5:$T$1004,$T561)),IF(INDEX('AFA Rates'!$M$5:$M$1004,$T561)="","",INDEX('AFA Rates'!$M$5:$M$1004,$T561))))</f>
        <v/>
      </c>
      <c r="S561">
        <f>IF(557&lt;=$S$2,"S",IF(557&lt;=$S$2+$T$2,"A",""))</f>
        <v/>
      </c>
      <c r="T561">
        <f>IF(S561="S",MATCH(557,Firms!$W$5:$W$1004,0),IF(S561="A",IFERROR(MATCH(557-$S$2,'AFA Rates'!$R$5:$R$1004,0),""),""))</f>
        <v/>
      </c>
      <c r="U561">
        <f>IF(S561="S",T561,IF(AND(S561="A",T561&lt;&gt;""),IFERROR(MATCH(INDEX('AFA Rates'!$A$5:$A$1004,T561),Firms!$A$5:$A$1004,0),""),""))</f>
        <v/>
      </c>
    </row>
    <row r="562">
      <c r="A562" s="78">
        <f>IF($T562="","",IF($S562="S",IF(INDEX(Firms!$A$5:$A$1004,$T562)="","",INDEX(Firms!$A$5:$A$1004,$T562)),IF(INDEX('AFA Rates'!$A$5:$A$1004,$T562)="","",INDEX('AFA Rates'!$A$5:$A$1004,$T562))))</f>
        <v/>
      </c>
      <c r="B562" s="79">
        <f>IF(OR($T562="",$U562=""),IF($T562="","","Not on Firms tab"),INDEX(Firms!$B$5:$B$1004,$U562)&amp;"")</f>
        <v/>
      </c>
      <c r="C562" s="78">
        <f>IF($T562="","",IF($S562="S","Standard",INDEX('AFA Rates'!$B$5:$B$1004,$T562)&amp;""))</f>
        <v/>
      </c>
      <c r="D562" s="88">
        <f>IF($T562="","",IF($S562="S",IF(INDEX(Firms!$E$5:$E$1004,$T562)="","",INDEX(Firms!$E$5:$E$1004,$T562)),IF(INDEX('AFA Rates'!$C$5:$C$1004,$T562)="","",INDEX('AFA Rates'!$C$5:$C$1004,$T562))))</f>
        <v/>
      </c>
      <c r="E562" s="88">
        <f>IF($T562="","",IF($S562="S",IF(""="","",""),IF(INDEX('AFA Rates'!$D$5:$D$1004,$T562)="","",INDEX('AFA Rates'!$D$5:$D$1004,$T562))))</f>
        <v/>
      </c>
      <c r="F562" s="79">
        <f>IF($T562="","",IF($S562="S",IF(INDEX(Firms!$O$5:$O$1004,$T562)="","",INDEX(Firms!$O$5:$O$1004,$T562)),IF(INDEX('AFA Rates'!$O$5:$O$1004,$T562)="","",INDEX('AFA Rates'!$O$5:$O$1004,$T562))))</f>
        <v/>
      </c>
      <c r="G562" s="50">
        <f>IF($T562="","",IF($S562="S",IF(INDEX(Firms!$F$5:$F$1004,$T562)="","",INDEX(Firms!$F$5:$F$1004,$T562)),IF(INDEX('AFA Rates'!$E$5:$E$1004,$T562)="","",INDEX('AFA Rates'!$E$5:$E$1004,$T562))))</f>
        <v/>
      </c>
      <c r="H562" s="50">
        <f>IF($T562="","",IF($S562="S",IF(INDEX(Firms!$G$5:$G$1004,$T562)="","",INDEX(Firms!$G$5:$G$1004,$T562)),IF(INDEX('AFA Rates'!$F$5:$F$1004,$T562)="","",INDEX('AFA Rates'!$F$5:$F$1004,$T562))))</f>
        <v/>
      </c>
      <c r="I562" s="50">
        <f>IF($T562="","",IF($S562="S",IF(INDEX(Firms!$H$5:$H$1004,$T562)="","",INDEX(Firms!$H$5:$H$1004,$T562)),IF(INDEX('AFA Rates'!$G$5:$G$1004,$T562)="","",INDEX('AFA Rates'!$G$5:$G$1004,$T562))))</f>
        <v/>
      </c>
      <c r="J562" s="50">
        <f>IF($T562="","",IF($S562="S",IF(INDEX(Firms!$I$5:$I$1004,$T562)="","",INDEX(Firms!$I$5:$I$1004,$T562)),IF(INDEX('AFA Rates'!$H$5:$H$1004,$T562)="","",INDEX('AFA Rates'!$H$5:$H$1004,$T562))))</f>
        <v/>
      </c>
      <c r="K562" s="50">
        <f>IF($T562="","",IF($S562="S",IF(INDEX(Firms!$J$5:$J$1004,$T562)="","",INDEX(Firms!$J$5:$J$1004,$T562)),IF(INDEX('AFA Rates'!$I$5:$I$1004,$T562)="","",INDEX('AFA Rates'!$I$5:$I$1004,$T562))))</f>
        <v/>
      </c>
      <c r="L562" s="50">
        <f>IF($T562="","",IF($S562="S",IF(INDEX(Firms!$K$5:$K$1004,$T562)="","",INDEX(Firms!$K$5:$K$1004,$T562)),IF(INDEX('AFA Rates'!$J$5:$J$1004,$T562)="","",INDEX('AFA Rates'!$J$5:$J$1004,$T562))))</f>
        <v/>
      </c>
      <c r="M562" s="50">
        <f>IF($T562="","",IF($S562="S",IF(INDEX(Firms!$L$5:$L$1004,$T562)="","",INDEX(Firms!$L$5:$L$1004,$T562)),IF(INDEX('AFA Rates'!$K$5:$K$1004,$T562)="","",INDEX('AFA Rates'!$K$5:$K$1004,$T562))))</f>
        <v/>
      </c>
      <c r="N562" s="50">
        <f>IF($T562="","",IF($S562="S",IF(INDEX(Firms!$M$5:$M$1004,$T562)="","",INDEX(Firms!$M$5:$M$1004,$T562)),IF(INDEX('AFA Rates'!$L$5:$L$1004,$T562)="","",INDEX('AFA Rates'!$L$5:$L$1004,$T562))))</f>
        <v/>
      </c>
      <c r="O562" s="78">
        <f>IF(OR($T562="",$U562=""),"",IF(INDEX(Firms!$C$5:$C$1004,$U562)="","",INDEX(Firms!$C$5:$C$1004,$U562)))</f>
        <v/>
      </c>
      <c r="P562" s="79">
        <f>IF(OR($T562="",$U562=""),"",IF(INDEX(Firms!$N$5:$N$1004,$U562)="","",INDEX(Firms!$N$5:$N$1004,$U562)))</f>
        <v/>
      </c>
      <c r="Q562" s="78">
        <f>IF($T562="","",IF($S562="S",IF(INDEX(Firms!$T$5:$T$1004,$T562)="","",INDEX(Firms!$T$5:$T$1004,$T562)),IF(INDEX('AFA Rates'!$M$5:$M$1004,$T562)="","",INDEX('AFA Rates'!$M$5:$M$1004,$T562))))</f>
        <v/>
      </c>
      <c r="S562">
        <f>IF(558&lt;=$S$2,"S",IF(558&lt;=$S$2+$T$2,"A",""))</f>
        <v/>
      </c>
      <c r="T562">
        <f>IF(S562="S",MATCH(558,Firms!$W$5:$W$1004,0),IF(S562="A",IFERROR(MATCH(558-$S$2,'AFA Rates'!$R$5:$R$1004,0),""),""))</f>
        <v/>
      </c>
      <c r="U562">
        <f>IF(S562="S",T562,IF(AND(S562="A",T562&lt;&gt;""),IFERROR(MATCH(INDEX('AFA Rates'!$A$5:$A$1004,T562),Firms!$A$5:$A$1004,0),""),""))</f>
        <v/>
      </c>
    </row>
    <row r="563">
      <c r="A563" s="78">
        <f>IF($T563="","",IF($S563="S",IF(INDEX(Firms!$A$5:$A$1004,$T563)="","",INDEX(Firms!$A$5:$A$1004,$T563)),IF(INDEX('AFA Rates'!$A$5:$A$1004,$T563)="","",INDEX('AFA Rates'!$A$5:$A$1004,$T563))))</f>
        <v/>
      </c>
      <c r="B563" s="79">
        <f>IF(OR($T563="",$U563=""),IF($T563="","","Not on Firms tab"),INDEX(Firms!$B$5:$B$1004,$U563)&amp;"")</f>
        <v/>
      </c>
      <c r="C563" s="78">
        <f>IF($T563="","",IF($S563="S","Standard",INDEX('AFA Rates'!$B$5:$B$1004,$T563)&amp;""))</f>
        <v/>
      </c>
      <c r="D563" s="88">
        <f>IF($T563="","",IF($S563="S",IF(INDEX(Firms!$E$5:$E$1004,$T563)="","",INDEX(Firms!$E$5:$E$1004,$T563)),IF(INDEX('AFA Rates'!$C$5:$C$1004,$T563)="","",INDEX('AFA Rates'!$C$5:$C$1004,$T563))))</f>
        <v/>
      </c>
      <c r="E563" s="88">
        <f>IF($T563="","",IF($S563="S",IF(""="","",""),IF(INDEX('AFA Rates'!$D$5:$D$1004,$T563)="","",INDEX('AFA Rates'!$D$5:$D$1004,$T563))))</f>
        <v/>
      </c>
      <c r="F563" s="79">
        <f>IF($T563="","",IF($S563="S",IF(INDEX(Firms!$O$5:$O$1004,$T563)="","",INDEX(Firms!$O$5:$O$1004,$T563)),IF(INDEX('AFA Rates'!$O$5:$O$1004,$T563)="","",INDEX('AFA Rates'!$O$5:$O$1004,$T563))))</f>
        <v/>
      </c>
      <c r="G563" s="50">
        <f>IF($T563="","",IF($S563="S",IF(INDEX(Firms!$F$5:$F$1004,$T563)="","",INDEX(Firms!$F$5:$F$1004,$T563)),IF(INDEX('AFA Rates'!$E$5:$E$1004,$T563)="","",INDEX('AFA Rates'!$E$5:$E$1004,$T563))))</f>
        <v/>
      </c>
      <c r="H563" s="50">
        <f>IF($T563="","",IF($S563="S",IF(INDEX(Firms!$G$5:$G$1004,$T563)="","",INDEX(Firms!$G$5:$G$1004,$T563)),IF(INDEX('AFA Rates'!$F$5:$F$1004,$T563)="","",INDEX('AFA Rates'!$F$5:$F$1004,$T563))))</f>
        <v/>
      </c>
      <c r="I563" s="50">
        <f>IF($T563="","",IF($S563="S",IF(INDEX(Firms!$H$5:$H$1004,$T563)="","",INDEX(Firms!$H$5:$H$1004,$T563)),IF(INDEX('AFA Rates'!$G$5:$G$1004,$T563)="","",INDEX('AFA Rates'!$G$5:$G$1004,$T563))))</f>
        <v/>
      </c>
      <c r="J563" s="50">
        <f>IF($T563="","",IF($S563="S",IF(INDEX(Firms!$I$5:$I$1004,$T563)="","",INDEX(Firms!$I$5:$I$1004,$T563)),IF(INDEX('AFA Rates'!$H$5:$H$1004,$T563)="","",INDEX('AFA Rates'!$H$5:$H$1004,$T563))))</f>
        <v/>
      </c>
      <c r="K563" s="50">
        <f>IF($T563="","",IF($S563="S",IF(INDEX(Firms!$J$5:$J$1004,$T563)="","",INDEX(Firms!$J$5:$J$1004,$T563)),IF(INDEX('AFA Rates'!$I$5:$I$1004,$T563)="","",INDEX('AFA Rates'!$I$5:$I$1004,$T563))))</f>
        <v/>
      </c>
      <c r="L563" s="50">
        <f>IF($T563="","",IF($S563="S",IF(INDEX(Firms!$K$5:$K$1004,$T563)="","",INDEX(Firms!$K$5:$K$1004,$T563)),IF(INDEX('AFA Rates'!$J$5:$J$1004,$T563)="","",INDEX('AFA Rates'!$J$5:$J$1004,$T563))))</f>
        <v/>
      </c>
      <c r="M563" s="50">
        <f>IF($T563="","",IF($S563="S",IF(INDEX(Firms!$L$5:$L$1004,$T563)="","",INDEX(Firms!$L$5:$L$1004,$T563)),IF(INDEX('AFA Rates'!$K$5:$K$1004,$T563)="","",INDEX('AFA Rates'!$K$5:$K$1004,$T563))))</f>
        <v/>
      </c>
      <c r="N563" s="50">
        <f>IF($T563="","",IF($S563="S",IF(INDEX(Firms!$M$5:$M$1004,$T563)="","",INDEX(Firms!$M$5:$M$1004,$T563)),IF(INDEX('AFA Rates'!$L$5:$L$1004,$T563)="","",INDEX('AFA Rates'!$L$5:$L$1004,$T563))))</f>
        <v/>
      </c>
      <c r="O563" s="78">
        <f>IF(OR($T563="",$U563=""),"",IF(INDEX(Firms!$C$5:$C$1004,$U563)="","",INDEX(Firms!$C$5:$C$1004,$U563)))</f>
        <v/>
      </c>
      <c r="P563" s="79">
        <f>IF(OR($T563="",$U563=""),"",IF(INDEX(Firms!$N$5:$N$1004,$U563)="","",INDEX(Firms!$N$5:$N$1004,$U563)))</f>
        <v/>
      </c>
      <c r="Q563" s="78">
        <f>IF($T563="","",IF($S563="S",IF(INDEX(Firms!$T$5:$T$1004,$T563)="","",INDEX(Firms!$T$5:$T$1004,$T563)),IF(INDEX('AFA Rates'!$M$5:$M$1004,$T563)="","",INDEX('AFA Rates'!$M$5:$M$1004,$T563))))</f>
        <v/>
      </c>
      <c r="S563">
        <f>IF(559&lt;=$S$2,"S",IF(559&lt;=$S$2+$T$2,"A",""))</f>
        <v/>
      </c>
      <c r="T563">
        <f>IF(S563="S",MATCH(559,Firms!$W$5:$W$1004,0),IF(S563="A",IFERROR(MATCH(559-$S$2,'AFA Rates'!$R$5:$R$1004,0),""),""))</f>
        <v/>
      </c>
      <c r="U563">
        <f>IF(S563="S",T563,IF(AND(S563="A",T563&lt;&gt;""),IFERROR(MATCH(INDEX('AFA Rates'!$A$5:$A$1004,T563),Firms!$A$5:$A$1004,0),""),""))</f>
        <v/>
      </c>
    </row>
    <row r="564">
      <c r="A564" s="78">
        <f>IF($T564="","",IF($S564="S",IF(INDEX(Firms!$A$5:$A$1004,$T564)="","",INDEX(Firms!$A$5:$A$1004,$T564)),IF(INDEX('AFA Rates'!$A$5:$A$1004,$T564)="","",INDEX('AFA Rates'!$A$5:$A$1004,$T564))))</f>
        <v/>
      </c>
      <c r="B564" s="79">
        <f>IF(OR($T564="",$U564=""),IF($T564="","","Not on Firms tab"),INDEX(Firms!$B$5:$B$1004,$U564)&amp;"")</f>
        <v/>
      </c>
      <c r="C564" s="78">
        <f>IF($T564="","",IF($S564="S","Standard",INDEX('AFA Rates'!$B$5:$B$1004,$T564)&amp;""))</f>
        <v/>
      </c>
      <c r="D564" s="88">
        <f>IF($T564="","",IF($S564="S",IF(INDEX(Firms!$E$5:$E$1004,$T564)="","",INDEX(Firms!$E$5:$E$1004,$T564)),IF(INDEX('AFA Rates'!$C$5:$C$1004,$T564)="","",INDEX('AFA Rates'!$C$5:$C$1004,$T564))))</f>
        <v/>
      </c>
      <c r="E564" s="88">
        <f>IF($T564="","",IF($S564="S",IF(""="","",""),IF(INDEX('AFA Rates'!$D$5:$D$1004,$T564)="","",INDEX('AFA Rates'!$D$5:$D$1004,$T564))))</f>
        <v/>
      </c>
      <c r="F564" s="79">
        <f>IF($T564="","",IF($S564="S",IF(INDEX(Firms!$O$5:$O$1004,$T564)="","",INDEX(Firms!$O$5:$O$1004,$T564)),IF(INDEX('AFA Rates'!$O$5:$O$1004,$T564)="","",INDEX('AFA Rates'!$O$5:$O$1004,$T564))))</f>
        <v/>
      </c>
      <c r="G564" s="50">
        <f>IF($T564="","",IF($S564="S",IF(INDEX(Firms!$F$5:$F$1004,$T564)="","",INDEX(Firms!$F$5:$F$1004,$T564)),IF(INDEX('AFA Rates'!$E$5:$E$1004,$T564)="","",INDEX('AFA Rates'!$E$5:$E$1004,$T564))))</f>
        <v/>
      </c>
      <c r="H564" s="50">
        <f>IF($T564="","",IF($S564="S",IF(INDEX(Firms!$G$5:$G$1004,$T564)="","",INDEX(Firms!$G$5:$G$1004,$T564)),IF(INDEX('AFA Rates'!$F$5:$F$1004,$T564)="","",INDEX('AFA Rates'!$F$5:$F$1004,$T564))))</f>
        <v/>
      </c>
      <c r="I564" s="50">
        <f>IF($T564="","",IF($S564="S",IF(INDEX(Firms!$H$5:$H$1004,$T564)="","",INDEX(Firms!$H$5:$H$1004,$T564)),IF(INDEX('AFA Rates'!$G$5:$G$1004,$T564)="","",INDEX('AFA Rates'!$G$5:$G$1004,$T564))))</f>
        <v/>
      </c>
      <c r="J564" s="50">
        <f>IF($T564="","",IF($S564="S",IF(INDEX(Firms!$I$5:$I$1004,$T564)="","",INDEX(Firms!$I$5:$I$1004,$T564)),IF(INDEX('AFA Rates'!$H$5:$H$1004,$T564)="","",INDEX('AFA Rates'!$H$5:$H$1004,$T564))))</f>
        <v/>
      </c>
      <c r="K564" s="50">
        <f>IF($T564="","",IF($S564="S",IF(INDEX(Firms!$J$5:$J$1004,$T564)="","",INDEX(Firms!$J$5:$J$1004,$T564)),IF(INDEX('AFA Rates'!$I$5:$I$1004,$T564)="","",INDEX('AFA Rates'!$I$5:$I$1004,$T564))))</f>
        <v/>
      </c>
      <c r="L564" s="50">
        <f>IF($T564="","",IF($S564="S",IF(INDEX(Firms!$K$5:$K$1004,$T564)="","",INDEX(Firms!$K$5:$K$1004,$T564)),IF(INDEX('AFA Rates'!$J$5:$J$1004,$T564)="","",INDEX('AFA Rates'!$J$5:$J$1004,$T564))))</f>
        <v/>
      </c>
      <c r="M564" s="50">
        <f>IF($T564="","",IF($S564="S",IF(INDEX(Firms!$L$5:$L$1004,$T564)="","",INDEX(Firms!$L$5:$L$1004,$T564)),IF(INDEX('AFA Rates'!$K$5:$K$1004,$T564)="","",INDEX('AFA Rates'!$K$5:$K$1004,$T564))))</f>
        <v/>
      </c>
      <c r="N564" s="50">
        <f>IF($T564="","",IF($S564="S",IF(INDEX(Firms!$M$5:$M$1004,$T564)="","",INDEX(Firms!$M$5:$M$1004,$T564)),IF(INDEX('AFA Rates'!$L$5:$L$1004,$T564)="","",INDEX('AFA Rates'!$L$5:$L$1004,$T564))))</f>
        <v/>
      </c>
      <c r="O564" s="78">
        <f>IF(OR($T564="",$U564=""),"",IF(INDEX(Firms!$C$5:$C$1004,$U564)="","",INDEX(Firms!$C$5:$C$1004,$U564)))</f>
        <v/>
      </c>
      <c r="P564" s="79">
        <f>IF(OR($T564="",$U564=""),"",IF(INDEX(Firms!$N$5:$N$1004,$U564)="","",INDEX(Firms!$N$5:$N$1004,$U564)))</f>
        <v/>
      </c>
      <c r="Q564" s="78">
        <f>IF($T564="","",IF($S564="S",IF(INDEX(Firms!$T$5:$T$1004,$T564)="","",INDEX(Firms!$T$5:$T$1004,$T564)),IF(INDEX('AFA Rates'!$M$5:$M$1004,$T564)="","",INDEX('AFA Rates'!$M$5:$M$1004,$T564))))</f>
        <v/>
      </c>
      <c r="S564">
        <f>IF(560&lt;=$S$2,"S",IF(560&lt;=$S$2+$T$2,"A",""))</f>
        <v/>
      </c>
      <c r="T564">
        <f>IF(S564="S",MATCH(560,Firms!$W$5:$W$1004,0),IF(S564="A",IFERROR(MATCH(560-$S$2,'AFA Rates'!$R$5:$R$1004,0),""),""))</f>
        <v/>
      </c>
      <c r="U564">
        <f>IF(S564="S",T564,IF(AND(S564="A",T564&lt;&gt;""),IFERROR(MATCH(INDEX('AFA Rates'!$A$5:$A$1004,T564),Firms!$A$5:$A$1004,0),""),""))</f>
        <v/>
      </c>
    </row>
    <row r="565">
      <c r="A565" s="78">
        <f>IF($T565="","",IF($S565="S",IF(INDEX(Firms!$A$5:$A$1004,$T565)="","",INDEX(Firms!$A$5:$A$1004,$T565)),IF(INDEX('AFA Rates'!$A$5:$A$1004,$T565)="","",INDEX('AFA Rates'!$A$5:$A$1004,$T565))))</f>
        <v/>
      </c>
      <c r="B565" s="79">
        <f>IF(OR($T565="",$U565=""),IF($T565="","","Not on Firms tab"),INDEX(Firms!$B$5:$B$1004,$U565)&amp;"")</f>
        <v/>
      </c>
      <c r="C565" s="78">
        <f>IF($T565="","",IF($S565="S","Standard",INDEX('AFA Rates'!$B$5:$B$1004,$T565)&amp;""))</f>
        <v/>
      </c>
      <c r="D565" s="88">
        <f>IF($T565="","",IF($S565="S",IF(INDEX(Firms!$E$5:$E$1004,$T565)="","",INDEX(Firms!$E$5:$E$1004,$T565)),IF(INDEX('AFA Rates'!$C$5:$C$1004,$T565)="","",INDEX('AFA Rates'!$C$5:$C$1004,$T565))))</f>
        <v/>
      </c>
      <c r="E565" s="88">
        <f>IF($T565="","",IF($S565="S",IF(""="","",""),IF(INDEX('AFA Rates'!$D$5:$D$1004,$T565)="","",INDEX('AFA Rates'!$D$5:$D$1004,$T565))))</f>
        <v/>
      </c>
      <c r="F565" s="79">
        <f>IF($T565="","",IF($S565="S",IF(INDEX(Firms!$O$5:$O$1004,$T565)="","",INDEX(Firms!$O$5:$O$1004,$T565)),IF(INDEX('AFA Rates'!$O$5:$O$1004,$T565)="","",INDEX('AFA Rates'!$O$5:$O$1004,$T565))))</f>
        <v/>
      </c>
      <c r="G565" s="50">
        <f>IF($T565="","",IF($S565="S",IF(INDEX(Firms!$F$5:$F$1004,$T565)="","",INDEX(Firms!$F$5:$F$1004,$T565)),IF(INDEX('AFA Rates'!$E$5:$E$1004,$T565)="","",INDEX('AFA Rates'!$E$5:$E$1004,$T565))))</f>
        <v/>
      </c>
      <c r="H565" s="50">
        <f>IF($T565="","",IF($S565="S",IF(INDEX(Firms!$G$5:$G$1004,$T565)="","",INDEX(Firms!$G$5:$G$1004,$T565)),IF(INDEX('AFA Rates'!$F$5:$F$1004,$T565)="","",INDEX('AFA Rates'!$F$5:$F$1004,$T565))))</f>
        <v/>
      </c>
      <c r="I565" s="50">
        <f>IF($T565="","",IF($S565="S",IF(INDEX(Firms!$H$5:$H$1004,$T565)="","",INDEX(Firms!$H$5:$H$1004,$T565)),IF(INDEX('AFA Rates'!$G$5:$G$1004,$T565)="","",INDEX('AFA Rates'!$G$5:$G$1004,$T565))))</f>
        <v/>
      </c>
      <c r="J565" s="50">
        <f>IF($T565="","",IF($S565="S",IF(INDEX(Firms!$I$5:$I$1004,$T565)="","",INDEX(Firms!$I$5:$I$1004,$T565)),IF(INDEX('AFA Rates'!$H$5:$H$1004,$T565)="","",INDEX('AFA Rates'!$H$5:$H$1004,$T565))))</f>
        <v/>
      </c>
      <c r="K565" s="50">
        <f>IF($T565="","",IF($S565="S",IF(INDEX(Firms!$J$5:$J$1004,$T565)="","",INDEX(Firms!$J$5:$J$1004,$T565)),IF(INDEX('AFA Rates'!$I$5:$I$1004,$T565)="","",INDEX('AFA Rates'!$I$5:$I$1004,$T565))))</f>
        <v/>
      </c>
      <c r="L565" s="50">
        <f>IF($T565="","",IF($S565="S",IF(INDEX(Firms!$K$5:$K$1004,$T565)="","",INDEX(Firms!$K$5:$K$1004,$T565)),IF(INDEX('AFA Rates'!$J$5:$J$1004,$T565)="","",INDEX('AFA Rates'!$J$5:$J$1004,$T565))))</f>
        <v/>
      </c>
      <c r="M565" s="50">
        <f>IF($T565="","",IF($S565="S",IF(INDEX(Firms!$L$5:$L$1004,$T565)="","",INDEX(Firms!$L$5:$L$1004,$T565)),IF(INDEX('AFA Rates'!$K$5:$K$1004,$T565)="","",INDEX('AFA Rates'!$K$5:$K$1004,$T565))))</f>
        <v/>
      </c>
      <c r="N565" s="50">
        <f>IF($T565="","",IF($S565="S",IF(INDEX(Firms!$M$5:$M$1004,$T565)="","",INDEX(Firms!$M$5:$M$1004,$T565)),IF(INDEX('AFA Rates'!$L$5:$L$1004,$T565)="","",INDEX('AFA Rates'!$L$5:$L$1004,$T565))))</f>
        <v/>
      </c>
      <c r="O565" s="78">
        <f>IF(OR($T565="",$U565=""),"",IF(INDEX(Firms!$C$5:$C$1004,$U565)="","",INDEX(Firms!$C$5:$C$1004,$U565)))</f>
        <v/>
      </c>
      <c r="P565" s="79">
        <f>IF(OR($T565="",$U565=""),"",IF(INDEX(Firms!$N$5:$N$1004,$U565)="","",INDEX(Firms!$N$5:$N$1004,$U565)))</f>
        <v/>
      </c>
      <c r="Q565" s="78">
        <f>IF($T565="","",IF($S565="S",IF(INDEX(Firms!$T$5:$T$1004,$T565)="","",INDEX(Firms!$T$5:$T$1004,$T565)),IF(INDEX('AFA Rates'!$M$5:$M$1004,$T565)="","",INDEX('AFA Rates'!$M$5:$M$1004,$T565))))</f>
        <v/>
      </c>
      <c r="S565">
        <f>IF(561&lt;=$S$2,"S",IF(561&lt;=$S$2+$T$2,"A",""))</f>
        <v/>
      </c>
      <c r="T565">
        <f>IF(S565="S",MATCH(561,Firms!$W$5:$W$1004,0),IF(S565="A",IFERROR(MATCH(561-$S$2,'AFA Rates'!$R$5:$R$1004,0),""),""))</f>
        <v/>
      </c>
      <c r="U565">
        <f>IF(S565="S",T565,IF(AND(S565="A",T565&lt;&gt;""),IFERROR(MATCH(INDEX('AFA Rates'!$A$5:$A$1004,T565),Firms!$A$5:$A$1004,0),""),""))</f>
        <v/>
      </c>
    </row>
    <row r="566">
      <c r="A566" s="78">
        <f>IF($T566="","",IF($S566="S",IF(INDEX(Firms!$A$5:$A$1004,$T566)="","",INDEX(Firms!$A$5:$A$1004,$T566)),IF(INDEX('AFA Rates'!$A$5:$A$1004,$T566)="","",INDEX('AFA Rates'!$A$5:$A$1004,$T566))))</f>
        <v/>
      </c>
      <c r="B566" s="79">
        <f>IF(OR($T566="",$U566=""),IF($T566="","","Not on Firms tab"),INDEX(Firms!$B$5:$B$1004,$U566)&amp;"")</f>
        <v/>
      </c>
      <c r="C566" s="78">
        <f>IF($T566="","",IF($S566="S","Standard",INDEX('AFA Rates'!$B$5:$B$1004,$T566)&amp;""))</f>
        <v/>
      </c>
      <c r="D566" s="88">
        <f>IF($T566="","",IF($S566="S",IF(INDEX(Firms!$E$5:$E$1004,$T566)="","",INDEX(Firms!$E$5:$E$1004,$T566)),IF(INDEX('AFA Rates'!$C$5:$C$1004,$T566)="","",INDEX('AFA Rates'!$C$5:$C$1004,$T566))))</f>
        <v/>
      </c>
      <c r="E566" s="88">
        <f>IF($T566="","",IF($S566="S",IF(""="","",""),IF(INDEX('AFA Rates'!$D$5:$D$1004,$T566)="","",INDEX('AFA Rates'!$D$5:$D$1004,$T566))))</f>
        <v/>
      </c>
      <c r="F566" s="79">
        <f>IF($T566="","",IF($S566="S",IF(INDEX(Firms!$O$5:$O$1004,$T566)="","",INDEX(Firms!$O$5:$O$1004,$T566)),IF(INDEX('AFA Rates'!$O$5:$O$1004,$T566)="","",INDEX('AFA Rates'!$O$5:$O$1004,$T566))))</f>
        <v/>
      </c>
      <c r="G566" s="50">
        <f>IF($T566="","",IF($S566="S",IF(INDEX(Firms!$F$5:$F$1004,$T566)="","",INDEX(Firms!$F$5:$F$1004,$T566)),IF(INDEX('AFA Rates'!$E$5:$E$1004,$T566)="","",INDEX('AFA Rates'!$E$5:$E$1004,$T566))))</f>
        <v/>
      </c>
      <c r="H566" s="50">
        <f>IF($T566="","",IF($S566="S",IF(INDEX(Firms!$G$5:$G$1004,$T566)="","",INDEX(Firms!$G$5:$G$1004,$T566)),IF(INDEX('AFA Rates'!$F$5:$F$1004,$T566)="","",INDEX('AFA Rates'!$F$5:$F$1004,$T566))))</f>
        <v/>
      </c>
      <c r="I566" s="50">
        <f>IF($T566="","",IF($S566="S",IF(INDEX(Firms!$H$5:$H$1004,$T566)="","",INDEX(Firms!$H$5:$H$1004,$T566)),IF(INDEX('AFA Rates'!$G$5:$G$1004,$T566)="","",INDEX('AFA Rates'!$G$5:$G$1004,$T566))))</f>
        <v/>
      </c>
      <c r="J566" s="50">
        <f>IF($T566="","",IF($S566="S",IF(INDEX(Firms!$I$5:$I$1004,$T566)="","",INDEX(Firms!$I$5:$I$1004,$T566)),IF(INDEX('AFA Rates'!$H$5:$H$1004,$T566)="","",INDEX('AFA Rates'!$H$5:$H$1004,$T566))))</f>
        <v/>
      </c>
      <c r="K566" s="50">
        <f>IF($T566="","",IF($S566="S",IF(INDEX(Firms!$J$5:$J$1004,$T566)="","",INDEX(Firms!$J$5:$J$1004,$T566)),IF(INDEX('AFA Rates'!$I$5:$I$1004,$T566)="","",INDEX('AFA Rates'!$I$5:$I$1004,$T566))))</f>
        <v/>
      </c>
      <c r="L566" s="50">
        <f>IF($T566="","",IF($S566="S",IF(INDEX(Firms!$K$5:$K$1004,$T566)="","",INDEX(Firms!$K$5:$K$1004,$T566)),IF(INDEX('AFA Rates'!$J$5:$J$1004,$T566)="","",INDEX('AFA Rates'!$J$5:$J$1004,$T566))))</f>
        <v/>
      </c>
      <c r="M566" s="50">
        <f>IF($T566="","",IF($S566="S",IF(INDEX(Firms!$L$5:$L$1004,$T566)="","",INDEX(Firms!$L$5:$L$1004,$T566)),IF(INDEX('AFA Rates'!$K$5:$K$1004,$T566)="","",INDEX('AFA Rates'!$K$5:$K$1004,$T566))))</f>
        <v/>
      </c>
      <c r="N566" s="50">
        <f>IF($T566="","",IF($S566="S",IF(INDEX(Firms!$M$5:$M$1004,$T566)="","",INDEX(Firms!$M$5:$M$1004,$T566)),IF(INDEX('AFA Rates'!$L$5:$L$1004,$T566)="","",INDEX('AFA Rates'!$L$5:$L$1004,$T566))))</f>
        <v/>
      </c>
      <c r="O566" s="78">
        <f>IF(OR($T566="",$U566=""),"",IF(INDEX(Firms!$C$5:$C$1004,$U566)="","",INDEX(Firms!$C$5:$C$1004,$U566)))</f>
        <v/>
      </c>
      <c r="P566" s="79">
        <f>IF(OR($T566="",$U566=""),"",IF(INDEX(Firms!$N$5:$N$1004,$U566)="","",INDEX(Firms!$N$5:$N$1004,$U566)))</f>
        <v/>
      </c>
      <c r="Q566" s="78">
        <f>IF($T566="","",IF($S566="S",IF(INDEX(Firms!$T$5:$T$1004,$T566)="","",INDEX(Firms!$T$5:$T$1004,$T566)),IF(INDEX('AFA Rates'!$M$5:$M$1004,$T566)="","",INDEX('AFA Rates'!$M$5:$M$1004,$T566))))</f>
        <v/>
      </c>
      <c r="S566">
        <f>IF(562&lt;=$S$2,"S",IF(562&lt;=$S$2+$T$2,"A",""))</f>
        <v/>
      </c>
      <c r="T566">
        <f>IF(S566="S",MATCH(562,Firms!$W$5:$W$1004,0),IF(S566="A",IFERROR(MATCH(562-$S$2,'AFA Rates'!$R$5:$R$1004,0),""),""))</f>
        <v/>
      </c>
      <c r="U566">
        <f>IF(S566="S",T566,IF(AND(S566="A",T566&lt;&gt;""),IFERROR(MATCH(INDEX('AFA Rates'!$A$5:$A$1004,T566),Firms!$A$5:$A$1004,0),""),""))</f>
        <v/>
      </c>
    </row>
    <row r="567">
      <c r="A567" s="78">
        <f>IF($T567="","",IF($S567="S",IF(INDEX(Firms!$A$5:$A$1004,$T567)="","",INDEX(Firms!$A$5:$A$1004,$T567)),IF(INDEX('AFA Rates'!$A$5:$A$1004,$T567)="","",INDEX('AFA Rates'!$A$5:$A$1004,$T567))))</f>
        <v/>
      </c>
      <c r="B567" s="79">
        <f>IF(OR($T567="",$U567=""),IF($T567="","","Not on Firms tab"),INDEX(Firms!$B$5:$B$1004,$U567)&amp;"")</f>
        <v/>
      </c>
      <c r="C567" s="78">
        <f>IF($T567="","",IF($S567="S","Standard",INDEX('AFA Rates'!$B$5:$B$1004,$T567)&amp;""))</f>
        <v/>
      </c>
      <c r="D567" s="88">
        <f>IF($T567="","",IF($S567="S",IF(INDEX(Firms!$E$5:$E$1004,$T567)="","",INDEX(Firms!$E$5:$E$1004,$T567)),IF(INDEX('AFA Rates'!$C$5:$C$1004,$T567)="","",INDEX('AFA Rates'!$C$5:$C$1004,$T567))))</f>
        <v/>
      </c>
      <c r="E567" s="88">
        <f>IF($T567="","",IF($S567="S",IF(""="","",""),IF(INDEX('AFA Rates'!$D$5:$D$1004,$T567)="","",INDEX('AFA Rates'!$D$5:$D$1004,$T567))))</f>
        <v/>
      </c>
      <c r="F567" s="79">
        <f>IF($T567="","",IF($S567="S",IF(INDEX(Firms!$O$5:$O$1004,$T567)="","",INDEX(Firms!$O$5:$O$1004,$T567)),IF(INDEX('AFA Rates'!$O$5:$O$1004,$T567)="","",INDEX('AFA Rates'!$O$5:$O$1004,$T567))))</f>
        <v/>
      </c>
      <c r="G567" s="50">
        <f>IF($T567="","",IF($S567="S",IF(INDEX(Firms!$F$5:$F$1004,$T567)="","",INDEX(Firms!$F$5:$F$1004,$T567)),IF(INDEX('AFA Rates'!$E$5:$E$1004,$T567)="","",INDEX('AFA Rates'!$E$5:$E$1004,$T567))))</f>
        <v/>
      </c>
      <c r="H567" s="50">
        <f>IF($T567="","",IF($S567="S",IF(INDEX(Firms!$G$5:$G$1004,$T567)="","",INDEX(Firms!$G$5:$G$1004,$T567)),IF(INDEX('AFA Rates'!$F$5:$F$1004,$T567)="","",INDEX('AFA Rates'!$F$5:$F$1004,$T567))))</f>
        <v/>
      </c>
      <c r="I567" s="50">
        <f>IF($T567="","",IF($S567="S",IF(INDEX(Firms!$H$5:$H$1004,$T567)="","",INDEX(Firms!$H$5:$H$1004,$T567)),IF(INDEX('AFA Rates'!$G$5:$G$1004,$T567)="","",INDEX('AFA Rates'!$G$5:$G$1004,$T567))))</f>
        <v/>
      </c>
      <c r="J567" s="50">
        <f>IF($T567="","",IF($S567="S",IF(INDEX(Firms!$I$5:$I$1004,$T567)="","",INDEX(Firms!$I$5:$I$1004,$T567)),IF(INDEX('AFA Rates'!$H$5:$H$1004,$T567)="","",INDEX('AFA Rates'!$H$5:$H$1004,$T567))))</f>
        <v/>
      </c>
      <c r="K567" s="50">
        <f>IF($T567="","",IF($S567="S",IF(INDEX(Firms!$J$5:$J$1004,$T567)="","",INDEX(Firms!$J$5:$J$1004,$T567)),IF(INDEX('AFA Rates'!$I$5:$I$1004,$T567)="","",INDEX('AFA Rates'!$I$5:$I$1004,$T567))))</f>
        <v/>
      </c>
      <c r="L567" s="50">
        <f>IF($T567="","",IF($S567="S",IF(INDEX(Firms!$K$5:$K$1004,$T567)="","",INDEX(Firms!$K$5:$K$1004,$T567)),IF(INDEX('AFA Rates'!$J$5:$J$1004,$T567)="","",INDEX('AFA Rates'!$J$5:$J$1004,$T567))))</f>
        <v/>
      </c>
      <c r="M567" s="50">
        <f>IF($T567="","",IF($S567="S",IF(INDEX(Firms!$L$5:$L$1004,$T567)="","",INDEX(Firms!$L$5:$L$1004,$T567)),IF(INDEX('AFA Rates'!$K$5:$K$1004,$T567)="","",INDEX('AFA Rates'!$K$5:$K$1004,$T567))))</f>
        <v/>
      </c>
      <c r="N567" s="50">
        <f>IF($T567="","",IF($S567="S",IF(INDEX(Firms!$M$5:$M$1004,$T567)="","",INDEX(Firms!$M$5:$M$1004,$T567)),IF(INDEX('AFA Rates'!$L$5:$L$1004,$T567)="","",INDEX('AFA Rates'!$L$5:$L$1004,$T567))))</f>
        <v/>
      </c>
      <c r="O567" s="78">
        <f>IF(OR($T567="",$U567=""),"",IF(INDEX(Firms!$C$5:$C$1004,$U567)="","",INDEX(Firms!$C$5:$C$1004,$U567)))</f>
        <v/>
      </c>
      <c r="P567" s="79">
        <f>IF(OR($T567="",$U567=""),"",IF(INDEX(Firms!$N$5:$N$1004,$U567)="","",INDEX(Firms!$N$5:$N$1004,$U567)))</f>
        <v/>
      </c>
      <c r="Q567" s="78">
        <f>IF($T567="","",IF($S567="S",IF(INDEX(Firms!$T$5:$T$1004,$T567)="","",INDEX(Firms!$T$5:$T$1004,$T567)),IF(INDEX('AFA Rates'!$M$5:$M$1004,$T567)="","",INDEX('AFA Rates'!$M$5:$M$1004,$T567))))</f>
        <v/>
      </c>
      <c r="S567">
        <f>IF(563&lt;=$S$2,"S",IF(563&lt;=$S$2+$T$2,"A",""))</f>
        <v/>
      </c>
      <c r="T567">
        <f>IF(S567="S",MATCH(563,Firms!$W$5:$W$1004,0),IF(S567="A",IFERROR(MATCH(563-$S$2,'AFA Rates'!$R$5:$R$1004,0),""),""))</f>
        <v/>
      </c>
      <c r="U567">
        <f>IF(S567="S",T567,IF(AND(S567="A",T567&lt;&gt;""),IFERROR(MATCH(INDEX('AFA Rates'!$A$5:$A$1004,T567),Firms!$A$5:$A$1004,0),""),""))</f>
        <v/>
      </c>
    </row>
    <row r="568">
      <c r="A568" s="78">
        <f>IF($T568="","",IF($S568="S",IF(INDEX(Firms!$A$5:$A$1004,$T568)="","",INDEX(Firms!$A$5:$A$1004,$T568)),IF(INDEX('AFA Rates'!$A$5:$A$1004,$T568)="","",INDEX('AFA Rates'!$A$5:$A$1004,$T568))))</f>
        <v/>
      </c>
      <c r="B568" s="79">
        <f>IF(OR($T568="",$U568=""),IF($T568="","","Not on Firms tab"),INDEX(Firms!$B$5:$B$1004,$U568)&amp;"")</f>
        <v/>
      </c>
      <c r="C568" s="78">
        <f>IF($T568="","",IF($S568="S","Standard",INDEX('AFA Rates'!$B$5:$B$1004,$T568)&amp;""))</f>
        <v/>
      </c>
      <c r="D568" s="88">
        <f>IF($T568="","",IF($S568="S",IF(INDEX(Firms!$E$5:$E$1004,$T568)="","",INDEX(Firms!$E$5:$E$1004,$T568)),IF(INDEX('AFA Rates'!$C$5:$C$1004,$T568)="","",INDEX('AFA Rates'!$C$5:$C$1004,$T568))))</f>
        <v/>
      </c>
      <c r="E568" s="88">
        <f>IF($T568="","",IF($S568="S",IF(""="","",""),IF(INDEX('AFA Rates'!$D$5:$D$1004,$T568)="","",INDEX('AFA Rates'!$D$5:$D$1004,$T568))))</f>
        <v/>
      </c>
      <c r="F568" s="79">
        <f>IF($T568="","",IF($S568="S",IF(INDEX(Firms!$O$5:$O$1004,$T568)="","",INDEX(Firms!$O$5:$O$1004,$T568)),IF(INDEX('AFA Rates'!$O$5:$O$1004,$T568)="","",INDEX('AFA Rates'!$O$5:$O$1004,$T568))))</f>
        <v/>
      </c>
      <c r="G568" s="50">
        <f>IF($T568="","",IF($S568="S",IF(INDEX(Firms!$F$5:$F$1004,$T568)="","",INDEX(Firms!$F$5:$F$1004,$T568)),IF(INDEX('AFA Rates'!$E$5:$E$1004,$T568)="","",INDEX('AFA Rates'!$E$5:$E$1004,$T568))))</f>
        <v/>
      </c>
      <c r="H568" s="50">
        <f>IF($T568="","",IF($S568="S",IF(INDEX(Firms!$G$5:$G$1004,$T568)="","",INDEX(Firms!$G$5:$G$1004,$T568)),IF(INDEX('AFA Rates'!$F$5:$F$1004,$T568)="","",INDEX('AFA Rates'!$F$5:$F$1004,$T568))))</f>
        <v/>
      </c>
      <c r="I568" s="50">
        <f>IF($T568="","",IF($S568="S",IF(INDEX(Firms!$H$5:$H$1004,$T568)="","",INDEX(Firms!$H$5:$H$1004,$T568)),IF(INDEX('AFA Rates'!$G$5:$G$1004,$T568)="","",INDEX('AFA Rates'!$G$5:$G$1004,$T568))))</f>
        <v/>
      </c>
      <c r="J568" s="50">
        <f>IF($T568="","",IF($S568="S",IF(INDEX(Firms!$I$5:$I$1004,$T568)="","",INDEX(Firms!$I$5:$I$1004,$T568)),IF(INDEX('AFA Rates'!$H$5:$H$1004,$T568)="","",INDEX('AFA Rates'!$H$5:$H$1004,$T568))))</f>
        <v/>
      </c>
      <c r="K568" s="50">
        <f>IF($T568="","",IF($S568="S",IF(INDEX(Firms!$J$5:$J$1004,$T568)="","",INDEX(Firms!$J$5:$J$1004,$T568)),IF(INDEX('AFA Rates'!$I$5:$I$1004,$T568)="","",INDEX('AFA Rates'!$I$5:$I$1004,$T568))))</f>
        <v/>
      </c>
      <c r="L568" s="50">
        <f>IF($T568="","",IF($S568="S",IF(INDEX(Firms!$K$5:$K$1004,$T568)="","",INDEX(Firms!$K$5:$K$1004,$T568)),IF(INDEX('AFA Rates'!$J$5:$J$1004,$T568)="","",INDEX('AFA Rates'!$J$5:$J$1004,$T568))))</f>
        <v/>
      </c>
      <c r="M568" s="50">
        <f>IF($T568="","",IF($S568="S",IF(INDEX(Firms!$L$5:$L$1004,$T568)="","",INDEX(Firms!$L$5:$L$1004,$T568)),IF(INDEX('AFA Rates'!$K$5:$K$1004,$T568)="","",INDEX('AFA Rates'!$K$5:$K$1004,$T568))))</f>
        <v/>
      </c>
      <c r="N568" s="50">
        <f>IF($T568="","",IF($S568="S",IF(INDEX(Firms!$M$5:$M$1004,$T568)="","",INDEX(Firms!$M$5:$M$1004,$T568)),IF(INDEX('AFA Rates'!$L$5:$L$1004,$T568)="","",INDEX('AFA Rates'!$L$5:$L$1004,$T568))))</f>
        <v/>
      </c>
      <c r="O568" s="78">
        <f>IF(OR($T568="",$U568=""),"",IF(INDEX(Firms!$C$5:$C$1004,$U568)="","",INDEX(Firms!$C$5:$C$1004,$U568)))</f>
        <v/>
      </c>
      <c r="P568" s="79">
        <f>IF(OR($T568="",$U568=""),"",IF(INDEX(Firms!$N$5:$N$1004,$U568)="","",INDEX(Firms!$N$5:$N$1004,$U568)))</f>
        <v/>
      </c>
      <c r="Q568" s="78">
        <f>IF($T568="","",IF($S568="S",IF(INDEX(Firms!$T$5:$T$1004,$T568)="","",INDEX(Firms!$T$5:$T$1004,$T568)),IF(INDEX('AFA Rates'!$M$5:$M$1004,$T568)="","",INDEX('AFA Rates'!$M$5:$M$1004,$T568))))</f>
        <v/>
      </c>
      <c r="S568">
        <f>IF(564&lt;=$S$2,"S",IF(564&lt;=$S$2+$T$2,"A",""))</f>
        <v/>
      </c>
      <c r="T568">
        <f>IF(S568="S",MATCH(564,Firms!$W$5:$W$1004,0),IF(S568="A",IFERROR(MATCH(564-$S$2,'AFA Rates'!$R$5:$R$1004,0),""),""))</f>
        <v/>
      </c>
      <c r="U568">
        <f>IF(S568="S",T568,IF(AND(S568="A",T568&lt;&gt;""),IFERROR(MATCH(INDEX('AFA Rates'!$A$5:$A$1004,T568),Firms!$A$5:$A$1004,0),""),""))</f>
        <v/>
      </c>
    </row>
    <row r="569">
      <c r="A569" s="78">
        <f>IF($T569="","",IF($S569="S",IF(INDEX(Firms!$A$5:$A$1004,$T569)="","",INDEX(Firms!$A$5:$A$1004,$T569)),IF(INDEX('AFA Rates'!$A$5:$A$1004,$T569)="","",INDEX('AFA Rates'!$A$5:$A$1004,$T569))))</f>
        <v/>
      </c>
      <c r="B569" s="79">
        <f>IF(OR($T569="",$U569=""),IF($T569="","","Not on Firms tab"),INDEX(Firms!$B$5:$B$1004,$U569)&amp;"")</f>
        <v/>
      </c>
      <c r="C569" s="78">
        <f>IF($T569="","",IF($S569="S","Standard",INDEX('AFA Rates'!$B$5:$B$1004,$T569)&amp;""))</f>
        <v/>
      </c>
      <c r="D569" s="88">
        <f>IF($T569="","",IF($S569="S",IF(INDEX(Firms!$E$5:$E$1004,$T569)="","",INDEX(Firms!$E$5:$E$1004,$T569)),IF(INDEX('AFA Rates'!$C$5:$C$1004,$T569)="","",INDEX('AFA Rates'!$C$5:$C$1004,$T569))))</f>
        <v/>
      </c>
      <c r="E569" s="88">
        <f>IF($T569="","",IF($S569="S",IF(""="","",""),IF(INDEX('AFA Rates'!$D$5:$D$1004,$T569)="","",INDEX('AFA Rates'!$D$5:$D$1004,$T569))))</f>
        <v/>
      </c>
      <c r="F569" s="79">
        <f>IF($T569="","",IF($S569="S",IF(INDEX(Firms!$O$5:$O$1004,$T569)="","",INDEX(Firms!$O$5:$O$1004,$T569)),IF(INDEX('AFA Rates'!$O$5:$O$1004,$T569)="","",INDEX('AFA Rates'!$O$5:$O$1004,$T569))))</f>
        <v/>
      </c>
      <c r="G569" s="50">
        <f>IF($T569="","",IF($S569="S",IF(INDEX(Firms!$F$5:$F$1004,$T569)="","",INDEX(Firms!$F$5:$F$1004,$T569)),IF(INDEX('AFA Rates'!$E$5:$E$1004,$T569)="","",INDEX('AFA Rates'!$E$5:$E$1004,$T569))))</f>
        <v/>
      </c>
      <c r="H569" s="50">
        <f>IF($T569="","",IF($S569="S",IF(INDEX(Firms!$G$5:$G$1004,$T569)="","",INDEX(Firms!$G$5:$G$1004,$T569)),IF(INDEX('AFA Rates'!$F$5:$F$1004,$T569)="","",INDEX('AFA Rates'!$F$5:$F$1004,$T569))))</f>
        <v/>
      </c>
      <c r="I569" s="50">
        <f>IF($T569="","",IF($S569="S",IF(INDEX(Firms!$H$5:$H$1004,$T569)="","",INDEX(Firms!$H$5:$H$1004,$T569)),IF(INDEX('AFA Rates'!$G$5:$G$1004,$T569)="","",INDEX('AFA Rates'!$G$5:$G$1004,$T569))))</f>
        <v/>
      </c>
      <c r="J569" s="50">
        <f>IF($T569="","",IF($S569="S",IF(INDEX(Firms!$I$5:$I$1004,$T569)="","",INDEX(Firms!$I$5:$I$1004,$T569)),IF(INDEX('AFA Rates'!$H$5:$H$1004,$T569)="","",INDEX('AFA Rates'!$H$5:$H$1004,$T569))))</f>
        <v/>
      </c>
      <c r="K569" s="50">
        <f>IF($T569="","",IF($S569="S",IF(INDEX(Firms!$J$5:$J$1004,$T569)="","",INDEX(Firms!$J$5:$J$1004,$T569)),IF(INDEX('AFA Rates'!$I$5:$I$1004,$T569)="","",INDEX('AFA Rates'!$I$5:$I$1004,$T569))))</f>
        <v/>
      </c>
      <c r="L569" s="50">
        <f>IF($T569="","",IF($S569="S",IF(INDEX(Firms!$K$5:$K$1004,$T569)="","",INDEX(Firms!$K$5:$K$1004,$T569)),IF(INDEX('AFA Rates'!$J$5:$J$1004,$T569)="","",INDEX('AFA Rates'!$J$5:$J$1004,$T569))))</f>
        <v/>
      </c>
      <c r="M569" s="50">
        <f>IF($T569="","",IF($S569="S",IF(INDEX(Firms!$L$5:$L$1004,$T569)="","",INDEX(Firms!$L$5:$L$1004,$T569)),IF(INDEX('AFA Rates'!$K$5:$K$1004,$T569)="","",INDEX('AFA Rates'!$K$5:$K$1004,$T569))))</f>
        <v/>
      </c>
      <c r="N569" s="50">
        <f>IF($T569="","",IF($S569="S",IF(INDEX(Firms!$M$5:$M$1004,$T569)="","",INDEX(Firms!$M$5:$M$1004,$T569)),IF(INDEX('AFA Rates'!$L$5:$L$1004,$T569)="","",INDEX('AFA Rates'!$L$5:$L$1004,$T569))))</f>
        <v/>
      </c>
      <c r="O569" s="78">
        <f>IF(OR($T569="",$U569=""),"",IF(INDEX(Firms!$C$5:$C$1004,$U569)="","",INDEX(Firms!$C$5:$C$1004,$U569)))</f>
        <v/>
      </c>
      <c r="P569" s="79">
        <f>IF(OR($T569="",$U569=""),"",IF(INDEX(Firms!$N$5:$N$1004,$U569)="","",INDEX(Firms!$N$5:$N$1004,$U569)))</f>
        <v/>
      </c>
      <c r="Q569" s="78">
        <f>IF($T569="","",IF($S569="S",IF(INDEX(Firms!$T$5:$T$1004,$T569)="","",INDEX(Firms!$T$5:$T$1004,$T569)),IF(INDEX('AFA Rates'!$M$5:$M$1004,$T569)="","",INDEX('AFA Rates'!$M$5:$M$1004,$T569))))</f>
        <v/>
      </c>
      <c r="S569">
        <f>IF(565&lt;=$S$2,"S",IF(565&lt;=$S$2+$T$2,"A",""))</f>
        <v/>
      </c>
      <c r="T569">
        <f>IF(S569="S",MATCH(565,Firms!$W$5:$W$1004,0),IF(S569="A",IFERROR(MATCH(565-$S$2,'AFA Rates'!$R$5:$R$1004,0),""),""))</f>
        <v/>
      </c>
      <c r="U569">
        <f>IF(S569="S",T569,IF(AND(S569="A",T569&lt;&gt;""),IFERROR(MATCH(INDEX('AFA Rates'!$A$5:$A$1004,T569),Firms!$A$5:$A$1004,0),""),""))</f>
        <v/>
      </c>
    </row>
    <row r="570">
      <c r="A570" s="78">
        <f>IF($T570="","",IF($S570="S",IF(INDEX(Firms!$A$5:$A$1004,$T570)="","",INDEX(Firms!$A$5:$A$1004,$T570)),IF(INDEX('AFA Rates'!$A$5:$A$1004,$T570)="","",INDEX('AFA Rates'!$A$5:$A$1004,$T570))))</f>
        <v/>
      </c>
      <c r="B570" s="79">
        <f>IF(OR($T570="",$U570=""),IF($T570="","","Not on Firms tab"),INDEX(Firms!$B$5:$B$1004,$U570)&amp;"")</f>
        <v/>
      </c>
      <c r="C570" s="78">
        <f>IF($T570="","",IF($S570="S","Standard",INDEX('AFA Rates'!$B$5:$B$1004,$T570)&amp;""))</f>
        <v/>
      </c>
      <c r="D570" s="88">
        <f>IF($T570="","",IF($S570="S",IF(INDEX(Firms!$E$5:$E$1004,$T570)="","",INDEX(Firms!$E$5:$E$1004,$T570)),IF(INDEX('AFA Rates'!$C$5:$C$1004,$T570)="","",INDEX('AFA Rates'!$C$5:$C$1004,$T570))))</f>
        <v/>
      </c>
      <c r="E570" s="88">
        <f>IF($T570="","",IF($S570="S",IF(""="","",""),IF(INDEX('AFA Rates'!$D$5:$D$1004,$T570)="","",INDEX('AFA Rates'!$D$5:$D$1004,$T570))))</f>
        <v/>
      </c>
      <c r="F570" s="79">
        <f>IF($T570="","",IF($S570="S",IF(INDEX(Firms!$O$5:$O$1004,$T570)="","",INDEX(Firms!$O$5:$O$1004,$T570)),IF(INDEX('AFA Rates'!$O$5:$O$1004,$T570)="","",INDEX('AFA Rates'!$O$5:$O$1004,$T570))))</f>
        <v/>
      </c>
      <c r="G570" s="50">
        <f>IF($T570="","",IF($S570="S",IF(INDEX(Firms!$F$5:$F$1004,$T570)="","",INDEX(Firms!$F$5:$F$1004,$T570)),IF(INDEX('AFA Rates'!$E$5:$E$1004,$T570)="","",INDEX('AFA Rates'!$E$5:$E$1004,$T570))))</f>
        <v/>
      </c>
      <c r="H570" s="50">
        <f>IF($T570="","",IF($S570="S",IF(INDEX(Firms!$G$5:$G$1004,$T570)="","",INDEX(Firms!$G$5:$G$1004,$T570)),IF(INDEX('AFA Rates'!$F$5:$F$1004,$T570)="","",INDEX('AFA Rates'!$F$5:$F$1004,$T570))))</f>
        <v/>
      </c>
      <c r="I570" s="50">
        <f>IF($T570="","",IF($S570="S",IF(INDEX(Firms!$H$5:$H$1004,$T570)="","",INDEX(Firms!$H$5:$H$1004,$T570)),IF(INDEX('AFA Rates'!$G$5:$G$1004,$T570)="","",INDEX('AFA Rates'!$G$5:$G$1004,$T570))))</f>
        <v/>
      </c>
      <c r="J570" s="50">
        <f>IF($T570="","",IF($S570="S",IF(INDEX(Firms!$I$5:$I$1004,$T570)="","",INDEX(Firms!$I$5:$I$1004,$T570)),IF(INDEX('AFA Rates'!$H$5:$H$1004,$T570)="","",INDEX('AFA Rates'!$H$5:$H$1004,$T570))))</f>
        <v/>
      </c>
      <c r="K570" s="50">
        <f>IF($T570="","",IF($S570="S",IF(INDEX(Firms!$J$5:$J$1004,$T570)="","",INDEX(Firms!$J$5:$J$1004,$T570)),IF(INDEX('AFA Rates'!$I$5:$I$1004,$T570)="","",INDEX('AFA Rates'!$I$5:$I$1004,$T570))))</f>
        <v/>
      </c>
      <c r="L570" s="50">
        <f>IF($T570="","",IF($S570="S",IF(INDEX(Firms!$K$5:$K$1004,$T570)="","",INDEX(Firms!$K$5:$K$1004,$T570)),IF(INDEX('AFA Rates'!$J$5:$J$1004,$T570)="","",INDEX('AFA Rates'!$J$5:$J$1004,$T570))))</f>
        <v/>
      </c>
      <c r="M570" s="50">
        <f>IF($T570="","",IF($S570="S",IF(INDEX(Firms!$L$5:$L$1004,$T570)="","",INDEX(Firms!$L$5:$L$1004,$T570)),IF(INDEX('AFA Rates'!$K$5:$K$1004,$T570)="","",INDEX('AFA Rates'!$K$5:$K$1004,$T570))))</f>
        <v/>
      </c>
      <c r="N570" s="50">
        <f>IF($T570="","",IF($S570="S",IF(INDEX(Firms!$M$5:$M$1004,$T570)="","",INDEX(Firms!$M$5:$M$1004,$T570)),IF(INDEX('AFA Rates'!$L$5:$L$1004,$T570)="","",INDEX('AFA Rates'!$L$5:$L$1004,$T570))))</f>
        <v/>
      </c>
      <c r="O570" s="78">
        <f>IF(OR($T570="",$U570=""),"",IF(INDEX(Firms!$C$5:$C$1004,$U570)="","",INDEX(Firms!$C$5:$C$1004,$U570)))</f>
        <v/>
      </c>
      <c r="P570" s="79">
        <f>IF(OR($T570="",$U570=""),"",IF(INDEX(Firms!$N$5:$N$1004,$U570)="","",INDEX(Firms!$N$5:$N$1004,$U570)))</f>
        <v/>
      </c>
      <c r="Q570" s="78">
        <f>IF($T570="","",IF($S570="S",IF(INDEX(Firms!$T$5:$T$1004,$T570)="","",INDEX(Firms!$T$5:$T$1004,$T570)),IF(INDEX('AFA Rates'!$M$5:$M$1004,$T570)="","",INDEX('AFA Rates'!$M$5:$M$1004,$T570))))</f>
        <v/>
      </c>
      <c r="S570">
        <f>IF(566&lt;=$S$2,"S",IF(566&lt;=$S$2+$T$2,"A",""))</f>
        <v/>
      </c>
      <c r="T570">
        <f>IF(S570="S",MATCH(566,Firms!$W$5:$W$1004,0),IF(S570="A",IFERROR(MATCH(566-$S$2,'AFA Rates'!$R$5:$R$1004,0),""),""))</f>
        <v/>
      </c>
      <c r="U570">
        <f>IF(S570="S",T570,IF(AND(S570="A",T570&lt;&gt;""),IFERROR(MATCH(INDEX('AFA Rates'!$A$5:$A$1004,T570),Firms!$A$5:$A$1004,0),""),""))</f>
        <v/>
      </c>
    </row>
    <row r="571">
      <c r="A571" s="78">
        <f>IF($T571="","",IF($S571="S",IF(INDEX(Firms!$A$5:$A$1004,$T571)="","",INDEX(Firms!$A$5:$A$1004,$T571)),IF(INDEX('AFA Rates'!$A$5:$A$1004,$T571)="","",INDEX('AFA Rates'!$A$5:$A$1004,$T571))))</f>
        <v/>
      </c>
      <c r="B571" s="79">
        <f>IF(OR($T571="",$U571=""),IF($T571="","","Not on Firms tab"),INDEX(Firms!$B$5:$B$1004,$U571)&amp;"")</f>
        <v/>
      </c>
      <c r="C571" s="78">
        <f>IF($T571="","",IF($S571="S","Standard",INDEX('AFA Rates'!$B$5:$B$1004,$T571)&amp;""))</f>
        <v/>
      </c>
      <c r="D571" s="88">
        <f>IF($T571="","",IF($S571="S",IF(INDEX(Firms!$E$5:$E$1004,$T571)="","",INDEX(Firms!$E$5:$E$1004,$T571)),IF(INDEX('AFA Rates'!$C$5:$C$1004,$T571)="","",INDEX('AFA Rates'!$C$5:$C$1004,$T571))))</f>
        <v/>
      </c>
      <c r="E571" s="88">
        <f>IF($T571="","",IF($S571="S",IF(""="","",""),IF(INDEX('AFA Rates'!$D$5:$D$1004,$T571)="","",INDEX('AFA Rates'!$D$5:$D$1004,$T571))))</f>
        <v/>
      </c>
      <c r="F571" s="79">
        <f>IF($T571="","",IF($S571="S",IF(INDEX(Firms!$O$5:$O$1004,$T571)="","",INDEX(Firms!$O$5:$O$1004,$T571)),IF(INDEX('AFA Rates'!$O$5:$O$1004,$T571)="","",INDEX('AFA Rates'!$O$5:$O$1004,$T571))))</f>
        <v/>
      </c>
      <c r="G571" s="50">
        <f>IF($T571="","",IF($S571="S",IF(INDEX(Firms!$F$5:$F$1004,$T571)="","",INDEX(Firms!$F$5:$F$1004,$T571)),IF(INDEX('AFA Rates'!$E$5:$E$1004,$T571)="","",INDEX('AFA Rates'!$E$5:$E$1004,$T571))))</f>
        <v/>
      </c>
      <c r="H571" s="50">
        <f>IF($T571="","",IF($S571="S",IF(INDEX(Firms!$G$5:$G$1004,$T571)="","",INDEX(Firms!$G$5:$G$1004,$T571)),IF(INDEX('AFA Rates'!$F$5:$F$1004,$T571)="","",INDEX('AFA Rates'!$F$5:$F$1004,$T571))))</f>
        <v/>
      </c>
      <c r="I571" s="50">
        <f>IF($T571="","",IF($S571="S",IF(INDEX(Firms!$H$5:$H$1004,$T571)="","",INDEX(Firms!$H$5:$H$1004,$T571)),IF(INDEX('AFA Rates'!$G$5:$G$1004,$T571)="","",INDEX('AFA Rates'!$G$5:$G$1004,$T571))))</f>
        <v/>
      </c>
      <c r="J571" s="50">
        <f>IF($T571="","",IF($S571="S",IF(INDEX(Firms!$I$5:$I$1004,$T571)="","",INDEX(Firms!$I$5:$I$1004,$T571)),IF(INDEX('AFA Rates'!$H$5:$H$1004,$T571)="","",INDEX('AFA Rates'!$H$5:$H$1004,$T571))))</f>
        <v/>
      </c>
      <c r="K571" s="50">
        <f>IF($T571="","",IF($S571="S",IF(INDEX(Firms!$J$5:$J$1004,$T571)="","",INDEX(Firms!$J$5:$J$1004,$T571)),IF(INDEX('AFA Rates'!$I$5:$I$1004,$T571)="","",INDEX('AFA Rates'!$I$5:$I$1004,$T571))))</f>
        <v/>
      </c>
      <c r="L571" s="50">
        <f>IF($T571="","",IF($S571="S",IF(INDEX(Firms!$K$5:$K$1004,$T571)="","",INDEX(Firms!$K$5:$K$1004,$T571)),IF(INDEX('AFA Rates'!$J$5:$J$1004,$T571)="","",INDEX('AFA Rates'!$J$5:$J$1004,$T571))))</f>
        <v/>
      </c>
      <c r="M571" s="50">
        <f>IF($T571="","",IF($S571="S",IF(INDEX(Firms!$L$5:$L$1004,$T571)="","",INDEX(Firms!$L$5:$L$1004,$T571)),IF(INDEX('AFA Rates'!$K$5:$K$1004,$T571)="","",INDEX('AFA Rates'!$K$5:$K$1004,$T571))))</f>
        <v/>
      </c>
      <c r="N571" s="50">
        <f>IF($T571="","",IF($S571="S",IF(INDEX(Firms!$M$5:$M$1004,$T571)="","",INDEX(Firms!$M$5:$M$1004,$T571)),IF(INDEX('AFA Rates'!$L$5:$L$1004,$T571)="","",INDEX('AFA Rates'!$L$5:$L$1004,$T571))))</f>
        <v/>
      </c>
      <c r="O571" s="78">
        <f>IF(OR($T571="",$U571=""),"",IF(INDEX(Firms!$C$5:$C$1004,$U571)="","",INDEX(Firms!$C$5:$C$1004,$U571)))</f>
        <v/>
      </c>
      <c r="P571" s="79">
        <f>IF(OR($T571="",$U571=""),"",IF(INDEX(Firms!$N$5:$N$1004,$U571)="","",INDEX(Firms!$N$5:$N$1004,$U571)))</f>
        <v/>
      </c>
      <c r="Q571" s="78">
        <f>IF($T571="","",IF($S571="S",IF(INDEX(Firms!$T$5:$T$1004,$T571)="","",INDEX(Firms!$T$5:$T$1004,$T571)),IF(INDEX('AFA Rates'!$M$5:$M$1004,$T571)="","",INDEX('AFA Rates'!$M$5:$M$1004,$T571))))</f>
        <v/>
      </c>
      <c r="S571">
        <f>IF(567&lt;=$S$2,"S",IF(567&lt;=$S$2+$T$2,"A",""))</f>
        <v/>
      </c>
      <c r="T571">
        <f>IF(S571="S",MATCH(567,Firms!$W$5:$W$1004,0),IF(S571="A",IFERROR(MATCH(567-$S$2,'AFA Rates'!$R$5:$R$1004,0),""),""))</f>
        <v/>
      </c>
      <c r="U571">
        <f>IF(S571="S",T571,IF(AND(S571="A",T571&lt;&gt;""),IFERROR(MATCH(INDEX('AFA Rates'!$A$5:$A$1004,T571),Firms!$A$5:$A$1004,0),""),""))</f>
        <v/>
      </c>
    </row>
    <row r="572">
      <c r="A572" s="78">
        <f>IF($T572="","",IF($S572="S",IF(INDEX(Firms!$A$5:$A$1004,$T572)="","",INDEX(Firms!$A$5:$A$1004,$T572)),IF(INDEX('AFA Rates'!$A$5:$A$1004,$T572)="","",INDEX('AFA Rates'!$A$5:$A$1004,$T572))))</f>
        <v/>
      </c>
      <c r="B572" s="79">
        <f>IF(OR($T572="",$U572=""),IF($T572="","","Not on Firms tab"),INDEX(Firms!$B$5:$B$1004,$U572)&amp;"")</f>
        <v/>
      </c>
      <c r="C572" s="78">
        <f>IF($T572="","",IF($S572="S","Standard",INDEX('AFA Rates'!$B$5:$B$1004,$T572)&amp;""))</f>
        <v/>
      </c>
      <c r="D572" s="88">
        <f>IF($T572="","",IF($S572="S",IF(INDEX(Firms!$E$5:$E$1004,$T572)="","",INDEX(Firms!$E$5:$E$1004,$T572)),IF(INDEX('AFA Rates'!$C$5:$C$1004,$T572)="","",INDEX('AFA Rates'!$C$5:$C$1004,$T572))))</f>
        <v/>
      </c>
      <c r="E572" s="88">
        <f>IF($T572="","",IF($S572="S",IF(""="","",""),IF(INDEX('AFA Rates'!$D$5:$D$1004,$T572)="","",INDEX('AFA Rates'!$D$5:$D$1004,$T572))))</f>
        <v/>
      </c>
      <c r="F572" s="79">
        <f>IF($T572="","",IF($S572="S",IF(INDEX(Firms!$O$5:$O$1004,$T572)="","",INDEX(Firms!$O$5:$O$1004,$T572)),IF(INDEX('AFA Rates'!$O$5:$O$1004,$T572)="","",INDEX('AFA Rates'!$O$5:$O$1004,$T572))))</f>
        <v/>
      </c>
      <c r="G572" s="50">
        <f>IF($T572="","",IF($S572="S",IF(INDEX(Firms!$F$5:$F$1004,$T572)="","",INDEX(Firms!$F$5:$F$1004,$T572)),IF(INDEX('AFA Rates'!$E$5:$E$1004,$T572)="","",INDEX('AFA Rates'!$E$5:$E$1004,$T572))))</f>
        <v/>
      </c>
      <c r="H572" s="50">
        <f>IF($T572="","",IF($S572="S",IF(INDEX(Firms!$G$5:$G$1004,$T572)="","",INDEX(Firms!$G$5:$G$1004,$T572)),IF(INDEX('AFA Rates'!$F$5:$F$1004,$T572)="","",INDEX('AFA Rates'!$F$5:$F$1004,$T572))))</f>
        <v/>
      </c>
      <c r="I572" s="50">
        <f>IF($T572="","",IF($S572="S",IF(INDEX(Firms!$H$5:$H$1004,$T572)="","",INDEX(Firms!$H$5:$H$1004,$T572)),IF(INDEX('AFA Rates'!$G$5:$G$1004,$T572)="","",INDEX('AFA Rates'!$G$5:$G$1004,$T572))))</f>
        <v/>
      </c>
      <c r="J572" s="50">
        <f>IF($T572="","",IF($S572="S",IF(INDEX(Firms!$I$5:$I$1004,$T572)="","",INDEX(Firms!$I$5:$I$1004,$T572)),IF(INDEX('AFA Rates'!$H$5:$H$1004,$T572)="","",INDEX('AFA Rates'!$H$5:$H$1004,$T572))))</f>
        <v/>
      </c>
      <c r="K572" s="50">
        <f>IF($T572="","",IF($S572="S",IF(INDEX(Firms!$J$5:$J$1004,$T572)="","",INDEX(Firms!$J$5:$J$1004,$T572)),IF(INDEX('AFA Rates'!$I$5:$I$1004,$T572)="","",INDEX('AFA Rates'!$I$5:$I$1004,$T572))))</f>
        <v/>
      </c>
      <c r="L572" s="50">
        <f>IF($T572="","",IF($S572="S",IF(INDEX(Firms!$K$5:$K$1004,$T572)="","",INDEX(Firms!$K$5:$K$1004,$T572)),IF(INDEX('AFA Rates'!$J$5:$J$1004,$T572)="","",INDEX('AFA Rates'!$J$5:$J$1004,$T572))))</f>
        <v/>
      </c>
      <c r="M572" s="50">
        <f>IF($T572="","",IF($S572="S",IF(INDEX(Firms!$L$5:$L$1004,$T572)="","",INDEX(Firms!$L$5:$L$1004,$T572)),IF(INDEX('AFA Rates'!$K$5:$K$1004,$T572)="","",INDEX('AFA Rates'!$K$5:$K$1004,$T572))))</f>
        <v/>
      </c>
      <c r="N572" s="50">
        <f>IF($T572="","",IF($S572="S",IF(INDEX(Firms!$M$5:$M$1004,$T572)="","",INDEX(Firms!$M$5:$M$1004,$T572)),IF(INDEX('AFA Rates'!$L$5:$L$1004,$T572)="","",INDEX('AFA Rates'!$L$5:$L$1004,$T572))))</f>
        <v/>
      </c>
      <c r="O572" s="78">
        <f>IF(OR($T572="",$U572=""),"",IF(INDEX(Firms!$C$5:$C$1004,$U572)="","",INDEX(Firms!$C$5:$C$1004,$U572)))</f>
        <v/>
      </c>
      <c r="P572" s="79">
        <f>IF(OR($T572="",$U572=""),"",IF(INDEX(Firms!$N$5:$N$1004,$U572)="","",INDEX(Firms!$N$5:$N$1004,$U572)))</f>
        <v/>
      </c>
      <c r="Q572" s="78">
        <f>IF($T572="","",IF($S572="S",IF(INDEX(Firms!$T$5:$T$1004,$T572)="","",INDEX(Firms!$T$5:$T$1004,$T572)),IF(INDEX('AFA Rates'!$M$5:$M$1004,$T572)="","",INDEX('AFA Rates'!$M$5:$M$1004,$T572))))</f>
        <v/>
      </c>
      <c r="S572">
        <f>IF(568&lt;=$S$2,"S",IF(568&lt;=$S$2+$T$2,"A",""))</f>
        <v/>
      </c>
      <c r="T572">
        <f>IF(S572="S",MATCH(568,Firms!$W$5:$W$1004,0),IF(S572="A",IFERROR(MATCH(568-$S$2,'AFA Rates'!$R$5:$R$1004,0),""),""))</f>
        <v/>
      </c>
      <c r="U572">
        <f>IF(S572="S",T572,IF(AND(S572="A",T572&lt;&gt;""),IFERROR(MATCH(INDEX('AFA Rates'!$A$5:$A$1004,T572),Firms!$A$5:$A$1004,0),""),""))</f>
        <v/>
      </c>
    </row>
    <row r="573">
      <c r="A573" s="78">
        <f>IF($T573="","",IF($S573="S",IF(INDEX(Firms!$A$5:$A$1004,$T573)="","",INDEX(Firms!$A$5:$A$1004,$T573)),IF(INDEX('AFA Rates'!$A$5:$A$1004,$T573)="","",INDEX('AFA Rates'!$A$5:$A$1004,$T573))))</f>
        <v/>
      </c>
      <c r="B573" s="79">
        <f>IF(OR($T573="",$U573=""),IF($T573="","","Not on Firms tab"),INDEX(Firms!$B$5:$B$1004,$U573)&amp;"")</f>
        <v/>
      </c>
      <c r="C573" s="78">
        <f>IF($T573="","",IF($S573="S","Standard",INDEX('AFA Rates'!$B$5:$B$1004,$T573)&amp;""))</f>
        <v/>
      </c>
      <c r="D573" s="88">
        <f>IF($T573="","",IF($S573="S",IF(INDEX(Firms!$E$5:$E$1004,$T573)="","",INDEX(Firms!$E$5:$E$1004,$T573)),IF(INDEX('AFA Rates'!$C$5:$C$1004,$T573)="","",INDEX('AFA Rates'!$C$5:$C$1004,$T573))))</f>
        <v/>
      </c>
      <c r="E573" s="88">
        <f>IF($T573="","",IF($S573="S",IF(""="","",""),IF(INDEX('AFA Rates'!$D$5:$D$1004,$T573)="","",INDEX('AFA Rates'!$D$5:$D$1004,$T573))))</f>
        <v/>
      </c>
      <c r="F573" s="79">
        <f>IF($T573="","",IF($S573="S",IF(INDEX(Firms!$O$5:$O$1004,$T573)="","",INDEX(Firms!$O$5:$O$1004,$T573)),IF(INDEX('AFA Rates'!$O$5:$O$1004,$T573)="","",INDEX('AFA Rates'!$O$5:$O$1004,$T573))))</f>
        <v/>
      </c>
      <c r="G573" s="50">
        <f>IF($T573="","",IF($S573="S",IF(INDEX(Firms!$F$5:$F$1004,$T573)="","",INDEX(Firms!$F$5:$F$1004,$T573)),IF(INDEX('AFA Rates'!$E$5:$E$1004,$T573)="","",INDEX('AFA Rates'!$E$5:$E$1004,$T573))))</f>
        <v/>
      </c>
      <c r="H573" s="50">
        <f>IF($T573="","",IF($S573="S",IF(INDEX(Firms!$G$5:$G$1004,$T573)="","",INDEX(Firms!$G$5:$G$1004,$T573)),IF(INDEX('AFA Rates'!$F$5:$F$1004,$T573)="","",INDEX('AFA Rates'!$F$5:$F$1004,$T573))))</f>
        <v/>
      </c>
      <c r="I573" s="50">
        <f>IF($T573="","",IF($S573="S",IF(INDEX(Firms!$H$5:$H$1004,$T573)="","",INDEX(Firms!$H$5:$H$1004,$T573)),IF(INDEX('AFA Rates'!$G$5:$G$1004,$T573)="","",INDEX('AFA Rates'!$G$5:$G$1004,$T573))))</f>
        <v/>
      </c>
      <c r="J573" s="50">
        <f>IF($T573="","",IF($S573="S",IF(INDEX(Firms!$I$5:$I$1004,$T573)="","",INDEX(Firms!$I$5:$I$1004,$T573)),IF(INDEX('AFA Rates'!$H$5:$H$1004,$T573)="","",INDEX('AFA Rates'!$H$5:$H$1004,$T573))))</f>
        <v/>
      </c>
      <c r="K573" s="50">
        <f>IF($T573="","",IF($S573="S",IF(INDEX(Firms!$J$5:$J$1004,$T573)="","",INDEX(Firms!$J$5:$J$1004,$T573)),IF(INDEX('AFA Rates'!$I$5:$I$1004,$T573)="","",INDEX('AFA Rates'!$I$5:$I$1004,$T573))))</f>
        <v/>
      </c>
      <c r="L573" s="50">
        <f>IF($T573="","",IF($S573="S",IF(INDEX(Firms!$K$5:$K$1004,$T573)="","",INDEX(Firms!$K$5:$K$1004,$T573)),IF(INDEX('AFA Rates'!$J$5:$J$1004,$T573)="","",INDEX('AFA Rates'!$J$5:$J$1004,$T573))))</f>
        <v/>
      </c>
      <c r="M573" s="50">
        <f>IF($T573="","",IF($S573="S",IF(INDEX(Firms!$L$5:$L$1004,$T573)="","",INDEX(Firms!$L$5:$L$1004,$T573)),IF(INDEX('AFA Rates'!$K$5:$K$1004,$T573)="","",INDEX('AFA Rates'!$K$5:$K$1004,$T573))))</f>
        <v/>
      </c>
      <c r="N573" s="50">
        <f>IF($T573="","",IF($S573="S",IF(INDEX(Firms!$M$5:$M$1004,$T573)="","",INDEX(Firms!$M$5:$M$1004,$T573)),IF(INDEX('AFA Rates'!$L$5:$L$1004,$T573)="","",INDEX('AFA Rates'!$L$5:$L$1004,$T573))))</f>
        <v/>
      </c>
      <c r="O573" s="78">
        <f>IF(OR($T573="",$U573=""),"",IF(INDEX(Firms!$C$5:$C$1004,$U573)="","",INDEX(Firms!$C$5:$C$1004,$U573)))</f>
        <v/>
      </c>
      <c r="P573" s="79">
        <f>IF(OR($T573="",$U573=""),"",IF(INDEX(Firms!$N$5:$N$1004,$U573)="","",INDEX(Firms!$N$5:$N$1004,$U573)))</f>
        <v/>
      </c>
      <c r="Q573" s="78">
        <f>IF($T573="","",IF($S573="S",IF(INDEX(Firms!$T$5:$T$1004,$T573)="","",INDEX(Firms!$T$5:$T$1004,$T573)),IF(INDEX('AFA Rates'!$M$5:$M$1004,$T573)="","",INDEX('AFA Rates'!$M$5:$M$1004,$T573))))</f>
        <v/>
      </c>
      <c r="S573">
        <f>IF(569&lt;=$S$2,"S",IF(569&lt;=$S$2+$T$2,"A",""))</f>
        <v/>
      </c>
      <c r="T573">
        <f>IF(S573="S",MATCH(569,Firms!$W$5:$W$1004,0),IF(S573="A",IFERROR(MATCH(569-$S$2,'AFA Rates'!$R$5:$R$1004,0),""),""))</f>
        <v/>
      </c>
      <c r="U573">
        <f>IF(S573="S",T573,IF(AND(S573="A",T573&lt;&gt;""),IFERROR(MATCH(INDEX('AFA Rates'!$A$5:$A$1004,T573),Firms!$A$5:$A$1004,0),""),""))</f>
        <v/>
      </c>
    </row>
    <row r="574">
      <c r="A574" s="78">
        <f>IF($T574="","",IF($S574="S",IF(INDEX(Firms!$A$5:$A$1004,$T574)="","",INDEX(Firms!$A$5:$A$1004,$T574)),IF(INDEX('AFA Rates'!$A$5:$A$1004,$T574)="","",INDEX('AFA Rates'!$A$5:$A$1004,$T574))))</f>
        <v/>
      </c>
      <c r="B574" s="79">
        <f>IF(OR($T574="",$U574=""),IF($T574="","","Not on Firms tab"),INDEX(Firms!$B$5:$B$1004,$U574)&amp;"")</f>
        <v/>
      </c>
      <c r="C574" s="78">
        <f>IF($T574="","",IF($S574="S","Standard",INDEX('AFA Rates'!$B$5:$B$1004,$T574)&amp;""))</f>
        <v/>
      </c>
      <c r="D574" s="88">
        <f>IF($T574="","",IF($S574="S",IF(INDEX(Firms!$E$5:$E$1004,$T574)="","",INDEX(Firms!$E$5:$E$1004,$T574)),IF(INDEX('AFA Rates'!$C$5:$C$1004,$T574)="","",INDEX('AFA Rates'!$C$5:$C$1004,$T574))))</f>
        <v/>
      </c>
      <c r="E574" s="88">
        <f>IF($T574="","",IF($S574="S",IF(""="","",""),IF(INDEX('AFA Rates'!$D$5:$D$1004,$T574)="","",INDEX('AFA Rates'!$D$5:$D$1004,$T574))))</f>
        <v/>
      </c>
      <c r="F574" s="79">
        <f>IF($T574="","",IF($S574="S",IF(INDEX(Firms!$O$5:$O$1004,$T574)="","",INDEX(Firms!$O$5:$O$1004,$T574)),IF(INDEX('AFA Rates'!$O$5:$O$1004,$T574)="","",INDEX('AFA Rates'!$O$5:$O$1004,$T574))))</f>
        <v/>
      </c>
      <c r="G574" s="50">
        <f>IF($T574="","",IF($S574="S",IF(INDEX(Firms!$F$5:$F$1004,$T574)="","",INDEX(Firms!$F$5:$F$1004,$T574)),IF(INDEX('AFA Rates'!$E$5:$E$1004,$T574)="","",INDEX('AFA Rates'!$E$5:$E$1004,$T574))))</f>
        <v/>
      </c>
      <c r="H574" s="50">
        <f>IF($T574="","",IF($S574="S",IF(INDEX(Firms!$G$5:$G$1004,$T574)="","",INDEX(Firms!$G$5:$G$1004,$T574)),IF(INDEX('AFA Rates'!$F$5:$F$1004,$T574)="","",INDEX('AFA Rates'!$F$5:$F$1004,$T574))))</f>
        <v/>
      </c>
      <c r="I574" s="50">
        <f>IF($T574="","",IF($S574="S",IF(INDEX(Firms!$H$5:$H$1004,$T574)="","",INDEX(Firms!$H$5:$H$1004,$T574)),IF(INDEX('AFA Rates'!$G$5:$G$1004,$T574)="","",INDEX('AFA Rates'!$G$5:$G$1004,$T574))))</f>
        <v/>
      </c>
      <c r="J574" s="50">
        <f>IF($T574="","",IF($S574="S",IF(INDEX(Firms!$I$5:$I$1004,$T574)="","",INDEX(Firms!$I$5:$I$1004,$T574)),IF(INDEX('AFA Rates'!$H$5:$H$1004,$T574)="","",INDEX('AFA Rates'!$H$5:$H$1004,$T574))))</f>
        <v/>
      </c>
      <c r="K574" s="50">
        <f>IF($T574="","",IF($S574="S",IF(INDEX(Firms!$J$5:$J$1004,$T574)="","",INDEX(Firms!$J$5:$J$1004,$T574)),IF(INDEX('AFA Rates'!$I$5:$I$1004,$T574)="","",INDEX('AFA Rates'!$I$5:$I$1004,$T574))))</f>
        <v/>
      </c>
      <c r="L574" s="50">
        <f>IF($T574="","",IF($S574="S",IF(INDEX(Firms!$K$5:$K$1004,$T574)="","",INDEX(Firms!$K$5:$K$1004,$T574)),IF(INDEX('AFA Rates'!$J$5:$J$1004,$T574)="","",INDEX('AFA Rates'!$J$5:$J$1004,$T574))))</f>
        <v/>
      </c>
      <c r="M574" s="50">
        <f>IF($T574="","",IF($S574="S",IF(INDEX(Firms!$L$5:$L$1004,$T574)="","",INDEX(Firms!$L$5:$L$1004,$T574)),IF(INDEX('AFA Rates'!$K$5:$K$1004,$T574)="","",INDEX('AFA Rates'!$K$5:$K$1004,$T574))))</f>
        <v/>
      </c>
      <c r="N574" s="50">
        <f>IF($T574="","",IF($S574="S",IF(INDEX(Firms!$M$5:$M$1004,$T574)="","",INDEX(Firms!$M$5:$M$1004,$T574)),IF(INDEX('AFA Rates'!$L$5:$L$1004,$T574)="","",INDEX('AFA Rates'!$L$5:$L$1004,$T574))))</f>
        <v/>
      </c>
      <c r="O574" s="78">
        <f>IF(OR($T574="",$U574=""),"",IF(INDEX(Firms!$C$5:$C$1004,$U574)="","",INDEX(Firms!$C$5:$C$1004,$U574)))</f>
        <v/>
      </c>
      <c r="P574" s="79">
        <f>IF(OR($T574="",$U574=""),"",IF(INDEX(Firms!$N$5:$N$1004,$U574)="","",INDEX(Firms!$N$5:$N$1004,$U574)))</f>
        <v/>
      </c>
      <c r="Q574" s="78">
        <f>IF($T574="","",IF($S574="S",IF(INDEX(Firms!$T$5:$T$1004,$T574)="","",INDEX(Firms!$T$5:$T$1004,$T574)),IF(INDEX('AFA Rates'!$M$5:$M$1004,$T574)="","",INDEX('AFA Rates'!$M$5:$M$1004,$T574))))</f>
        <v/>
      </c>
      <c r="S574">
        <f>IF(570&lt;=$S$2,"S",IF(570&lt;=$S$2+$T$2,"A",""))</f>
        <v/>
      </c>
      <c r="T574">
        <f>IF(S574="S",MATCH(570,Firms!$W$5:$W$1004,0),IF(S574="A",IFERROR(MATCH(570-$S$2,'AFA Rates'!$R$5:$R$1004,0),""),""))</f>
        <v/>
      </c>
      <c r="U574">
        <f>IF(S574="S",T574,IF(AND(S574="A",T574&lt;&gt;""),IFERROR(MATCH(INDEX('AFA Rates'!$A$5:$A$1004,T574),Firms!$A$5:$A$1004,0),""),""))</f>
        <v/>
      </c>
    </row>
    <row r="575">
      <c r="A575" s="78">
        <f>IF($T575="","",IF($S575="S",IF(INDEX(Firms!$A$5:$A$1004,$T575)="","",INDEX(Firms!$A$5:$A$1004,$T575)),IF(INDEX('AFA Rates'!$A$5:$A$1004,$T575)="","",INDEX('AFA Rates'!$A$5:$A$1004,$T575))))</f>
        <v/>
      </c>
      <c r="B575" s="79">
        <f>IF(OR($T575="",$U575=""),IF($T575="","","Not on Firms tab"),INDEX(Firms!$B$5:$B$1004,$U575)&amp;"")</f>
        <v/>
      </c>
      <c r="C575" s="78">
        <f>IF($T575="","",IF($S575="S","Standard",INDEX('AFA Rates'!$B$5:$B$1004,$T575)&amp;""))</f>
        <v/>
      </c>
      <c r="D575" s="88">
        <f>IF($T575="","",IF($S575="S",IF(INDEX(Firms!$E$5:$E$1004,$T575)="","",INDEX(Firms!$E$5:$E$1004,$T575)),IF(INDEX('AFA Rates'!$C$5:$C$1004,$T575)="","",INDEX('AFA Rates'!$C$5:$C$1004,$T575))))</f>
        <v/>
      </c>
      <c r="E575" s="88">
        <f>IF($T575="","",IF($S575="S",IF(""="","",""),IF(INDEX('AFA Rates'!$D$5:$D$1004,$T575)="","",INDEX('AFA Rates'!$D$5:$D$1004,$T575))))</f>
        <v/>
      </c>
      <c r="F575" s="79">
        <f>IF($T575="","",IF($S575="S",IF(INDEX(Firms!$O$5:$O$1004,$T575)="","",INDEX(Firms!$O$5:$O$1004,$T575)),IF(INDEX('AFA Rates'!$O$5:$O$1004,$T575)="","",INDEX('AFA Rates'!$O$5:$O$1004,$T575))))</f>
        <v/>
      </c>
      <c r="G575" s="50">
        <f>IF($T575="","",IF($S575="S",IF(INDEX(Firms!$F$5:$F$1004,$T575)="","",INDEX(Firms!$F$5:$F$1004,$T575)),IF(INDEX('AFA Rates'!$E$5:$E$1004,$T575)="","",INDEX('AFA Rates'!$E$5:$E$1004,$T575))))</f>
        <v/>
      </c>
      <c r="H575" s="50">
        <f>IF($T575="","",IF($S575="S",IF(INDEX(Firms!$G$5:$G$1004,$T575)="","",INDEX(Firms!$G$5:$G$1004,$T575)),IF(INDEX('AFA Rates'!$F$5:$F$1004,$T575)="","",INDEX('AFA Rates'!$F$5:$F$1004,$T575))))</f>
        <v/>
      </c>
      <c r="I575" s="50">
        <f>IF($T575="","",IF($S575="S",IF(INDEX(Firms!$H$5:$H$1004,$T575)="","",INDEX(Firms!$H$5:$H$1004,$T575)),IF(INDEX('AFA Rates'!$G$5:$G$1004,$T575)="","",INDEX('AFA Rates'!$G$5:$G$1004,$T575))))</f>
        <v/>
      </c>
      <c r="J575" s="50">
        <f>IF($T575="","",IF($S575="S",IF(INDEX(Firms!$I$5:$I$1004,$T575)="","",INDEX(Firms!$I$5:$I$1004,$T575)),IF(INDEX('AFA Rates'!$H$5:$H$1004,$T575)="","",INDEX('AFA Rates'!$H$5:$H$1004,$T575))))</f>
        <v/>
      </c>
      <c r="K575" s="50">
        <f>IF($T575="","",IF($S575="S",IF(INDEX(Firms!$J$5:$J$1004,$T575)="","",INDEX(Firms!$J$5:$J$1004,$T575)),IF(INDEX('AFA Rates'!$I$5:$I$1004,$T575)="","",INDEX('AFA Rates'!$I$5:$I$1004,$T575))))</f>
        <v/>
      </c>
      <c r="L575" s="50">
        <f>IF($T575="","",IF($S575="S",IF(INDEX(Firms!$K$5:$K$1004,$T575)="","",INDEX(Firms!$K$5:$K$1004,$T575)),IF(INDEX('AFA Rates'!$J$5:$J$1004,$T575)="","",INDEX('AFA Rates'!$J$5:$J$1004,$T575))))</f>
        <v/>
      </c>
      <c r="M575" s="50">
        <f>IF($T575="","",IF($S575="S",IF(INDEX(Firms!$L$5:$L$1004,$T575)="","",INDEX(Firms!$L$5:$L$1004,$T575)),IF(INDEX('AFA Rates'!$K$5:$K$1004,$T575)="","",INDEX('AFA Rates'!$K$5:$K$1004,$T575))))</f>
        <v/>
      </c>
      <c r="N575" s="50">
        <f>IF($T575="","",IF($S575="S",IF(INDEX(Firms!$M$5:$M$1004,$T575)="","",INDEX(Firms!$M$5:$M$1004,$T575)),IF(INDEX('AFA Rates'!$L$5:$L$1004,$T575)="","",INDEX('AFA Rates'!$L$5:$L$1004,$T575))))</f>
        <v/>
      </c>
      <c r="O575" s="78">
        <f>IF(OR($T575="",$U575=""),"",IF(INDEX(Firms!$C$5:$C$1004,$U575)="","",INDEX(Firms!$C$5:$C$1004,$U575)))</f>
        <v/>
      </c>
      <c r="P575" s="79">
        <f>IF(OR($T575="",$U575=""),"",IF(INDEX(Firms!$N$5:$N$1004,$U575)="","",INDEX(Firms!$N$5:$N$1004,$U575)))</f>
        <v/>
      </c>
      <c r="Q575" s="78">
        <f>IF($T575="","",IF($S575="S",IF(INDEX(Firms!$T$5:$T$1004,$T575)="","",INDEX(Firms!$T$5:$T$1004,$T575)),IF(INDEX('AFA Rates'!$M$5:$M$1004,$T575)="","",INDEX('AFA Rates'!$M$5:$M$1004,$T575))))</f>
        <v/>
      </c>
      <c r="S575">
        <f>IF(571&lt;=$S$2,"S",IF(571&lt;=$S$2+$T$2,"A",""))</f>
        <v/>
      </c>
      <c r="T575">
        <f>IF(S575="S",MATCH(571,Firms!$W$5:$W$1004,0),IF(S575="A",IFERROR(MATCH(571-$S$2,'AFA Rates'!$R$5:$R$1004,0),""),""))</f>
        <v/>
      </c>
      <c r="U575">
        <f>IF(S575="S",T575,IF(AND(S575="A",T575&lt;&gt;""),IFERROR(MATCH(INDEX('AFA Rates'!$A$5:$A$1004,T575),Firms!$A$5:$A$1004,0),""),""))</f>
        <v/>
      </c>
    </row>
    <row r="576">
      <c r="A576" s="78">
        <f>IF($T576="","",IF($S576="S",IF(INDEX(Firms!$A$5:$A$1004,$T576)="","",INDEX(Firms!$A$5:$A$1004,$T576)),IF(INDEX('AFA Rates'!$A$5:$A$1004,$T576)="","",INDEX('AFA Rates'!$A$5:$A$1004,$T576))))</f>
        <v/>
      </c>
      <c r="B576" s="79">
        <f>IF(OR($T576="",$U576=""),IF($T576="","","Not on Firms tab"),INDEX(Firms!$B$5:$B$1004,$U576)&amp;"")</f>
        <v/>
      </c>
      <c r="C576" s="78">
        <f>IF($T576="","",IF($S576="S","Standard",INDEX('AFA Rates'!$B$5:$B$1004,$T576)&amp;""))</f>
        <v/>
      </c>
      <c r="D576" s="88">
        <f>IF($T576="","",IF($S576="S",IF(INDEX(Firms!$E$5:$E$1004,$T576)="","",INDEX(Firms!$E$5:$E$1004,$T576)),IF(INDEX('AFA Rates'!$C$5:$C$1004,$T576)="","",INDEX('AFA Rates'!$C$5:$C$1004,$T576))))</f>
        <v/>
      </c>
      <c r="E576" s="88">
        <f>IF($T576="","",IF($S576="S",IF(""="","",""),IF(INDEX('AFA Rates'!$D$5:$D$1004,$T576)="","",INDEX('AFA Rates'!$D$5:$D$1004,$T576))))</f>
        <v/>
      </c>
      <c r="F576" s="79">
        <f>IF($T576="","",IF($S576="S",IF(INDEX(Firms!$O$5:$O$1004,$T576)="","",INDEX(Firms!$O$5:$O$1004,$T576)),IF(INDEX('AFA Rates'!$O$5:$O$1004,$T576)="","",INDEX('AFA Rates'!$O$5:$O$1004,$T576))))</f>
        <v/>
      </c>
      <c r="G576" s="50">
        <f>IF($T576="","",IF($S576="S",IF(INDEX(Firms!$F$5:$F$1004,$T576)="","",INDEX(Firms!$F$5:$F$1004,$T576)),IF(INDEX('AFA Rates'!$E$5:$E$1004,$T576)="","",INDEX('AFA Rates'!$E$5:$E$1004,$T576))))</f>
        <v/>
      </c>
      <c r="H576" s="50">
        <f>IF($T576="","",IF($S576="S",IF(INDEX(Firms!$G$5:$G$1004,$T576)="","",INDEX(Firms!$G$5:$G$1004,$T576)),IF(INDEX('AFA Rates'!$F$5:$F$1004,$T576)="","",INDEX('AFA Rates'!$F$5:$F$1004,$T576))))</f>
        <v/>
      </c>
      <c r="I576" s="50">
        <f>IF($T576="","",IF($S576="S",IF(INDEX(Firms!$H$5:$H$1004,$T576)="","",INDEX(Firms!$H$5:$H$1004,$T576)),IF(INDEX('AFA Rates'!$G$5:$G$1004,$T576)="","",INDEX('AFA Rates'!$G$5:$G$1004,$T576))))</f>
        <v/>
      </c>
      <c r="J576" s="50">
        <f>IF($T576="","",IF($S576="S",IF(INDEX(Firms!$I$5:$I$1004,$T576)="","",INDEX(Firms!$I$5:$I$1004,$T576)),IF(INDEX('AFA Rates'!$H$5:$H$1004,$T576)="","",INDEX('AFA Rates'!$H$5:$H$1004,$T576))))</f>
        <v/>
      </c>
      <c r="K576" s="50">
        <f>IF($T576="","",IF($S576="S",IF(INDEX(Firms!$J$5:$J$1004,$T576)="","",INDEX(Firms!$J$5:$J$1004,$T576)),IF(INDEX('AFA Rates'!$I$5:$I$1004,$T576)="","",INDEX('AFA Rates'!$I$5:$I$1004,$T576))))</f>
        <v/>
      </c>
      <c r="L576" s="50">
        <f>IF($T576="","",IF($S576="S",IF(INDEX(Firms!$K$5:$K$1004,$T576)="","",INDEX(Firms!$K$5:$K$1004,$T576)),IF(INDEX('AFA Rates'!$J$5:$J$1004,$T576)="","",INDEX('AFA Rates'!$J$5:$J$1004,$T576))))</f>
        <v/>
      </c>
      <c r="M576" s="50">
        <f>IF($T576="","",IF($S576="S",IF(INDEX(Firms!$L$5:$L$1004,$T576)="","",INDEX(Firms!$L$5:$L$1004,$T576)),IF(INDEX('AFA Rates'!$K$5:$K$1004,$T576)="","",INDEX('AFA Rates'!$K$5:$K$1004,$T576))))</f>
        <v/>
      </c>
      <c r="N576" s="50">
        <f>IF($T576="","",IF($S576="S",IF(INDEX(Firms!$M$5:$M$1004,$T576)="","",INDEX(Firms!$M$5:$M$1004,$T576)),IF(INDEX('AFA Rates'!$L$5:$L$1004,$T576)="","",INDEX('AFA Rates'!$L$5:$L$1004,$T576))))</f>
        <v/>
      </c>
      <c r="O576" s="78">
        <f>IF(OR($T576="",$U576=""),"",IF(INDEX(Firms!$C$5:$C$1004,$U576)="","",INDEX(Firms!$C$5:$C$1004,$U576)))</f>
        <v/>
      </c>
      <c r="P576" s="79">
        <f>IF(OR($T576="",$U576=""),"",IF(INDEX(Firms!$N$5:$N$1004,$U576)="","",INDEX(Firms!$N$5:$N$1004,$U576)))</f>
        <v/>
      </c>
      <c r="Q576" s="78">
        <f>IF($T576="","",IF($S576="S",IF(INDEX(Firms!$T$5:$T$1004,$T576)="","",INDEX(Firms!$T$5:$T$1004,$T576)),IF(INDEX('AFA Rates'!$M$5:$M$1004,$T576)="","",INDEX('AFA Rates'!$M$5:$M$1004,$T576))))</f>
        <v/>
      </c>
      <c r="S576">
        <f>IF(572&lt;=$S$2,"S",IF(572&lt;=$S$2+$T$2,"A",""))</f>
        <v/>
      </c>
      <c r="T576">
        <f>IF(S576="S",MATCH(572,Firms!$W$5:$W$1004,0),IF(S576="A",IFERROR(MATCH(572-$S$2,'AFA Rates'!$R$5:$R$1004,0),""),""))</f>
        <v/>
      </c>
      <c r="U576">
        <f>IF(S576="S",T576,IF(AND(S576="A",T576&lt;&gt;""),IFERROR(MATCH(INDEX('AFA Rates'!$A$5:$A$1004,T576),Firms!$A$5:$A$1004,0),""),""))</f>
        <v/>
      </c>
    </row>
    <row r="577">
      <c r="A577" s="78">
        <f>IF($T577="","",IF($S577="S",IF(INDEX(Firms!$A$5:$A$1004,$T577)="","",INDEX(Firms!$A$5:$A$1004,$T577)),IF(INDEX('AFA Rates'!$A$5:$A$1004,$T577)="","",INDEX('AFA Rates'!$A$5:$A$1004,$T577))))</f>
        <v/>
      </c>
      <c r="B577" s="79">
        <f>IF(OR($T577="",$U577=""),IF($T577="","","Not on Firms tab"),INDEX(Firms!$B$5:$B$1004,$U577)&amp;"")</f>
        <v/>
      </c>
      <c r="C577" s="78">
        <f>IF($T577="","",IF($S577="S","Standard",INDEX('AFA Rates'!$B$5:$B$1004,$T577)&amp;""))</f>
        <v/>
      </c>
      <c r="D577" s="88">
        <f>IF($T577="","",IF($S577="S",IF(INDEX(Firms!$E$5:$E$1004,$T577)="","",INDEX(Firms!$E$5:$E$1004,$T577)),IF(INDEX('AFA Rates'!$C$5:$C$1004,$T577)="","",INDEX('AFA Rates'!$C$5:$C$1004,$T577))))</f>
        <v/>
      </c>
      <c r="E577" s="88">
        <f>IF($T577="","",IF($S577="S",IF(""="","",""),IF(INDEX('AFA Rates'!$D$5:$D$1004,$T577)="","",INDEX('AFA Rates'!$D$5:$D$1004,$T577))))</f>
        <v/>
      </c>
      <c r="F577" s="79">
        <f>IF($T577="","",IF($S577="S",IF(INDEX(Firms!$O$5:$O$1004,$T577)="","",INDEX(Firms!$O$5:$O$1004,$T577)),IF(INDEX('AFA Rates'!$O$5:$O$1004,$T577)="","",INDEX('AFA Rates'!$O$5:$O$1004,$T577))))</f>
        <v/>
      </c>
      <c r="G577" s="50">
        <f>IF($T577="","",IF($S577="S",IF(INDEX(Firms!$F$5:$F$1004,$T577)="","",INDEX(Firms!$F$5:$F$1004,$T577)),IF(INDEX('AFA Rates'!$E$5:$E$1004,$T577)="","",INDEX('AFA Rates'!$E$5:$E$1004,$T577))))</f>
        <v/>
      </c>
      <c r="H577" s="50">
        <f>IF($T577="","",IF($S577="S",IF(INDEX(Firms!$G$5:$G$1004,$T577)="","",INDEX(Firms!$G$5:$G$1004,$T577)),IF(INDEX('AFA Rates'!$F$5:$F$1004,$T577)="","",INDEX('AFA Rates'!$F$5:$F$1004,$T577))))</f>
        <v/>
      </c>
      <c r="I577" s="50">
        <f>IF($T577="","",IF($S577="S",IF(INDEX(Firms!$H$5:$H$1004,$T577)="","",INDEX(Firms!$H$5:$H$1004,$T577)),IF(INDEX('AFA Rates'!$G$5:$G$1004,$T577)="","",INDEX('AFA Rates'!$G$5:$G$1004,$T577))))</f>
        <v/>
      </c>
      <c r="J577" s="50">
        <f>IF($T577="","",IF($S577="S",IF(INDEX(Firms!$I$5:$I$1004,$T577)="","",INDEX(Firms!$I$5:$I$1004,$T577)),IF(INDEX('AFA Rates'!$H$5:$H$1004,$T577)="","",INDEX('AFA Rates'!$H$5:$H$1004,$T577))))</f>
        <v/>
      </c>
      <c r="K577" s="50">
        <f>IF($T577="","",IF($S577="S",IF(INDEX(Firms!$J$5:$J$1004,$T577)="","",INDEX(Firms!$J$5:$J$1004,$T577)),IF(INDEX('AFA Rates'!$I$5:$I$1004,$T577)="","",INDEX('AFA Rates'!$I$5:$I$1004,$T577))))</f>
        <v/>
      </c>
      <c r="L577" s="50">
        <f>IF($T577="","",IF($S577="S",IF(INDEX(Firms!$K$5:$K$1004,$T577)="","",INDEX(Firms!$K$5:$K$1004,$T577)),IF(INDEX('AFA Rates'!$J$5:$J$1004,$T577)="","",INDEX('AFA Rates'!$J$5:$J$1004,$T577))))</f>
        <v/>
      </c>
      <c r="M577" s="50">
        <f>IF($T577="","",IF($S577="S",IF(INDEX(Firms!$L$5:$L$1004,$T577)="","",INDEX(Firms!$L$5:$L$1004,$T577)),IF(INDEX('AFA Rates'!$K$5:$K$1004,$T577)="","",INDEX('AFA Rates'!$K$5:$K$1004,$T577))))</f>
        <v/>
      </c>
      <c r="N577" s="50">
        <f>IF($T577="","",IF($S577="S",IF(INDEX(Firms!$M$5:$M$1004,$T577)="","",INDEX(Firms!$M$5:$M$1004,$T577)),IF(INDEX('AFA Rates'!$L$5:$L$1004,$T577)="","",INDEX('AFA Rates'!$L$5:$L$1004,$T577))))</f>
        <v/>
      </c>
      <c r="O577" s="78">
        <f>IF(OR($T577="",$U577=""),"",IF(INDEX(Firms!$C$5:$C$1004,$U577)="","",INDEX(Firms!$C$5:$C$1004,$U577)))</f>
        <v/>
      </c>
      <c r="P577" s="79">
        <f>IF(OR($T577="",$U577=""),"",IF(INDEX(Firms!$N$5:$N$1004,$U577)="","",INDEX(Firms!$N$5:$N$1004,$U577)))</f>
        <v/>
      </c>
      <c r="Q577" s="78">
        <f>IF($T577="","",IF($S577="S",IF(INDEX(Firms!$T$5:$T$1004,$T577)="","",INDEX(Firms!$T$5:$T$1004,$T577)),IF(INDEX('AFA Rates'!$M$5:$M$1004,$T577)="","",INDEX('AFA Rates'!$M$5:$M$1004,$T577))))</f>
        <v/>
      </c>
      <c r="S577">
        <f>IF(573&lt;=$S$2,"S",IF(573&lt;=$S$2+$T$2,"A",""))</f>
        <v/>
      </c>
      <c r="T577">
        <f>IF(S577="S",MATCH(573,Firms!$W$5:$W$1004,0),IF(S577="A",IFERROR(MATCH(573-$S$2,'AFA Rates'!$R$5:$R$1004,0),""),""))</f>
        <v/>
      </c>
      <c r="U577">
        <f>IF(S577="S",T577,IF(AND(S577="A",T577&lt;&gt;""),IFERROR(MATCH(INDEX('AFA Rates'!$A$5:$A$1004,T577),Firms!$A$5:$A$1004,0),""),""))</f>
        <v/>
      </c>
    </row>
    <row r="578">
      <c r="A578" s="78">
        <f>IF($T578="","",IF($S578="S",IF(INDEX(Firms!$A$5:$A$1004,$T578)="","",INDEX(Firms!$A$5:$A$1004,$T578)),IF(INDEX('AFA Rates'!$A$5:$A$1004,$T578)="","",INDEX('AFA Rates'!$A$5:$A$1004,$T578))))</f>
        <v/>
      </c>
      <c r="B578" s="79">
        <f>IF(OR($T578="",$U578=""),IF($T578="","","Not on Firms tab"),INDEX(Firms!$B$5:$B$1004,$U578)&amp;"")</f>
        <v/>
      </c>
      <c r="C578" s="78">
        <f>IF($T578="","",IF($S578="S","Standard",INDEX('AFA Rates'!$B$5:$B$1004,$T578)&amp;""))</f>
        <v/>
      </c>
      <c r="D578" s="88">
        <f>IF($T578="","",IF($S578="S",IF(INDEX(Firms!$E$5:$E$1004,$T578)="","",INDEX(Firms!$E$5:$E$1004,$T578)),IF(INDEX('AFA Rates'!$C$5:$C$1004,$T578)="","",INDEX('AFA Rates'!$C$5:$C$1004,$T578))))</f>
        <v/>
      </c>
      <c r="E578" s="88">
        <f>IF($T578="","",IF($S578="S",IF(""="","",""),IF(INDEX('AFA Rates'!$D$5:$D$1004,$T578)="","",INDEX('AFA Rates'!$D$5:$D$1004,$T578))))</f>
        <v/>
      </c>
      <c r="F578" s="79">
        <f>IF($T578="","",IF($S578="S",IF(INDEX(Firms!$O$5:$O$1004,$T578)="","",INDEX(Firms!$O$5:$O$1004,$T578)),IF(INDEX('AFA Rates'!$O$5:$O$1004,$T578)="","",INDEX('AFA Rates'!$O$5:$O$1004,$T578))))</f>
        <v/>
      </c>
      <c r="G578" s="50">
        <f>IF($T578="","",IF($S578="S",IF(INDEX(Firms!$F$5:$F$1004,$T578)="","",INDEX(Firms!$F$5:$F$1004,$T578)),IF(INDEX('AFA Rates'!$E$5:$E$1004,$T578)="","",INDEX('AFA Rates'!$E$5:$E$1004,$T578))))</f>
        <v/>
      </c>
      <c r="H578" s="50">
        <f>IF($T578="","",IF($S578="S",IF(INDEX(Firms!$G$5:$G$1004,$T578)="","",INDEX(Firms!$G$5:$G$1004,$T578)),IF(INDEX('AFA Rates'!$F$5:$F$1004,$T578)="","",INDEX('AFA Rates'!$F$5:$F$1004,$T578))))</f>
        <v/>
      </c>
      <c r="I578" s="50">
        <f>IF($T578="","",IF($S578="S",IF(INDEX(Firms!$H$5:$H$1004,$T578)="","",INDEX(Firms!$H$5:$H$1004,$T578)),IF(INDEX('AFA Rates'!$G$5:$G$1004,$T578)="","",INDEX('AFA Rates'!$G$5:$G$1004,$T578))))</f>
        <v/>
      </c>
      <c r="J578" s="50">
        <f>IF($T578="","",IF($S578="S",IF(INDEX(Firms!$I$5:$I$1004,$T578)="","",INDEX(Firms!$I$5:$I$1004,$T578)),IF(INDEX('AFA Rates'!$H$5:$H$1004,$T578)="","",INDEX('AFA Rates'!$H$5:$H$1004,$T578))))</f>
        <v/>
      </c>
      <c r="K578" s="50">
        <f>IF($T578="","",IF($S578="S",IF(INDEX(Firms!$J$5:$J$1004,$T578)="","",INDEX(Firms!$J$5:$J$1004,$T578)),IF(INDEX('AFA Rates'!$I$5:$I$1004,$T578)="","",INDEX('AFA Rates'!$I$5:$I$1004,$T578))))</f>
        <v/>
      </c>
      <c r="L578" s="50">
        <f>IF($T578="","",IF($S578="S",IF(INDEX(Firms!$K$5:$K$1004,$T578)="","",INDEX(Firms!$K$5:$K$1004,$T578)),IF(INDEX('AFA Rates'!$J$5:$J$1004,$T578)="","",INDEX('AFA Rates'!$J$5:$J$1004,$T578))))</f>
        <v/>
      </c>
      <c r="M578" s="50">
        <f>IF($T578="","",IF($S578="S",IF(INDEX(Firms!$L$5:$L$1004,$T578)="","",INDEX(Firms!$L$5:$L$1004,$T578)),IF(INDEX('AFA Rates'!$K$5:$K$1004,$T578)="","",INDEX('AFA Rates'!$K$5:$K$1004,$T578))))</f>
        <v/>
      </c>
      <c r="N578" s="50">
        <f>IF($T578="","",IF($S578="S",IF(INDEX(Firms!$M$5:$M$1004,$T578)="","",INDEX(Firms!$M$5:$M$1004,$T578)),IF(INDEX('AFA Rates'!$L$5:$L$1004,$T578)="","",INDEX('AFA Rates'!$L$5:$L$1004,$T578))))</f>
        <v/>
      </c>
      <c r="O578" s="78">
        <f>IF(OR($T578="",$U578=""),"",IF(INDEX(Firms!$C$5:$C$1004,$U578)="","",INDEX(Firms!$C$5:$C$1004,$U578)))</f>
        <v/>
      </c>
      <c r="P578" s="79">
        <f>IF(OR($T578="",$U578=""),"",IF(INDEX(Firms!$N$5:$N$1004,$U578)="","",INDEX(Firms!$N$5:$N$1004,$U578)))</f>
        <v/>
      </c>
      <c r="Q578" s="78">
        <f>IF($T578="","",IF($S578="S",IF(INDEX(Firms!$T$5:$T$1004,$T578)="","",INDEX(Firms!$T$5:$T$1004,$T578)),IF(INDEX('AFA Rates'!$M$5:$M$1004,$T578)="","",INDEX('AFA Rates'!$M$5:$M$1004,$T578))))</f>
        <v/>
      </c>
      <c r="S578">
        <f>IF(574&lt;=$S$2,"S",IF(574&lt;=$S$2+$T$2,"A",""))</f>
        <v/>
      </c>
      <c r="T578">
        <f>IF(S578="S",MATCH(574,Firms!$W$5:$W$1004,0),IF(S578="A",IFERROR(MATCH(574-$S$2,'AFA Rates'!$R$5:$R$1004,0),""),""))</f>
        <v/>
      </c>
      <c r="U578">
        <f>IF(S578="S",T578,IF(AND(S578="A",T578&lt;&gt;""),IFERROR(MATCH(INDEX('AFA Rates'!$A$5:$A$1004,T578),Firms!$A$5:$A$1004,0),""),""))</f>
        <v/>
      </c>
    </row>
    <row r="579">
      <c r="A579" s="78">
        <f>IF($T579="","",IF($S579="S",IF(INDEX(Firms!$A$5:$A$1004,$T579)="","",INDEX(Firms!$A$5:$A$1004,$T579)),IF(INDEX('AFA Rates'!$A$5:$A$1004,$T579)="","",INDEX('AFA Rates'!$A$5:$A$1004,$T579))))</f>
        <v/>
      </c>
      <c r="B579" s="79">
        <f>IF(OR($T579="",$U579=""),IF($T579="","","Not on Firms tab"),INDEX(Firms!$B$5:$B$1004,$U579)&amp;"")</f>
        <v/>
      </c>
      <c r="C579" s="78">
        <f>IF($T579="","",IF($S579="S","Standard",INDEX('AFA Rates'!$B$5:$B$1004,$T579)&amp;""))</f>
        <v/>
      </c>
      <c r="D579" s="88">
        <f>IF($T579="","",IF($S579="S",IF(INDEX(Firms!$E$5:$E$1004,$T579)="","",INDEX(Firms!$E$5:$E$1004,$T579)),IF(INDEX('AFA Rates'!$C$5:$C$1004,$T579)="","",INDEX('AFA Rates'!$C$5:$C$1004,$T579))))</f>
        <v/>
      </c>
      <c r="E579" s="88">
        <f>IF($T579="","",IF($S579="S",IF(""="","",""),IF(INDEX('AFA Rates'!$D$5:$D$1004,$T579)="","",INDEX('AFA Rates'!$D$5:$D$1004,$T579))))</f>
        <v/>
      </c>
      <c r="F579" s="79">
        <f>IF($T579="","",IF($S579="S",IF(INDEX(Firms!$O$5:$O$1004,$T579)="","",INDEX(Firms!$O$5:$O$1004,$T579)),IF(INDEX('AFA Rates'!$O$5:$O$1004,$T579)="","",INDEX('AFA Rates'!$O$5:$O$1004,$T579))))</f>
        <v/>
      </c>
      <c r="G579" s="50">
        <f>IF($T579="","",IF($S579="S",IF(INDEX(Firms!$F$5:$F$1004,$T579)="","",INDEX(Firms!$F$5:$F$1004,$T579)),IF(INDEX('AFA Rates'!$E$5:$E$1004,$T579)="","",INDEX('AFA Rates'!$E$5:$E$1004,$T579))))</f>
        <v/>
      </c>
      <c r="H579" s="50">
        <f>IF($T579="","",IF($S579="S",IF(INDEX(Firms!$G$5:$G$1004,$T579)="","",INDEX(Firms!$G$5:$G$1004,$T579)),IF(INDEX('AFA Rates'!$F$5:$F$1004,$T579)="","",INDEX('AFA Rates'!$F$5:$F$1004,$T579))))</f>
        <v/>
      </c>
      <c r="I579" s="50">
        <f>IF($T579="","",IF($S579="S",IF(INDEX(Firms!$H$5:$H$1004,$T579)="","",INDEX(Firms!$H$5:$H$1004,$T579)),IF(INDEX('AFA Rates'!$G$5:$G$1004,$T579)="","",INDEX('AFA Rates'!$G$5:$G$1004,$T579))))</f>
        <v/>
      </c>
      <c r="J579" s="50">
        <f>IF($T579="","",IF($S579="S",IF(INDEX(Firms!$I$5:$I$1004,$T579)="","",INDEX(Firms!$I$5:$I$1004,$T579)),IF(INDEX('AFA Rates'!$H$5:$H$1004,$T579)="","",INDEX('AFA Rates'!$H$5:$H$1004,$T579))))</f>
        <v/>
      </c>
      <c r="K579" s="50">
        <f>IF($T579="","",IF($S579="S",IF(INDEX(Firms!$J$5:$J$1004,$T579)="","",INDEX(Firms!$J$5:$J$1004,$T579)),IF(INDEX('AFA Rates'!$I$5:$I$1004,$T579)="","",INDEX('AFA Rates'!$I$5:$I$1004,$T579))))</f>
        <v/>
      </c>
      <c r="L579" s="50">
        <f>IF($T579="","",IF($S579="S",IF(INDEX(Firms!$K$5:$K$1004,$T579)="","",INDEX(Firms!$K$5:$K$1004,$T579)),IF(INDEX('AFA Rates'!$J$5:$J$1004,$T579)="","",INDEX('AFA Rates'!$J$5:$J$1004,$T579))))</f>
        <v/>
      </c>
      <c r="M579" s="50">
        <f>IF($T579="","",IF($S579="S",IF(INDEX(Firms!$L$5:$L$1004,$T579)="","",INDEX(Firms!$L$5:$L$1004,$T579)),IF(INDEX('AFA Rates'!$K$5:$K$1004,$T579)="","",INDEX('AFA Rates'!$K$5:$K$1004,$T579))))</f>
        <v/>
      </c>
      <c r="N579" s="50">
        <f>IF($T579="","",IF($S579="S",IF(INDEX(Firms!$M$5:$M$1004,$T579)="","",INDEX(Firms!$M$5:$M$1004,$T579)),IF(INDEX('AFA Rates'!$L$5:$L$1004,$T579)="","",INDEX('AFA Rates'!$L$5:$L$1004,$T579))))</f>
        <v/>
      </c>
      <c r="O579" s="78">
        <f>IF(OR($T579="",$U579=""),"",IF(INDEX(Firms!$C$5:$C$1004,$U579)="","",INDEX(Firms!$C$5:$C$1004,$U579)))</f>
        <v/>
      </c>
      <c r="P579" s="79">
        <f>IF(OR($T579="",$U579=""),"",IF(INDEX(Firms!$N$5:$N$1004,$U579)="","",INDEX(Firms!$N$5:$N$1004,$U579)))</f>
        <v/>
      </c>
      <c r="Q579" s="78">
        <f>IF($T579="","",IF($S579="S",IF(INDEX(Firms!$T$5:$T$1004,$T579)="","",INDEX(Firms!$T$5:$T$1004,$T579)),IF(INDEX('AFA Rates'!$M$5:$M$1004,$T579)="","",INDEX('AFA Rates'!$M$5:$M$1004,$T579))))</f>
        <v/>
      </c>
      <c r="S579">
        <f>IF(575&lt;=$S$2,"S",IF(575&lt;=$S$2+$T$2,"A",""))</f>
        <v/>
      </c>
      <c r="T579">
        <f>IF(S579="S",MATCH(575,Firms!$W$5:$W$1004,0),IF(S579="A",IFERROR(MATCH(575-$S$2,'AFA Rates'!$R$5:$R$1004,0),""),""))</f>
        <v/>
      </c>
      <c r="U579">
        <f>IF(S579="S",T579,IF(AND(S579="A",T579&lt;&gt;""),IFERROR(MATCH(INDEX('AFA Rates'!$A$5:$A$1004,T579),Firms!$A$5:$A$1004,0),""),""))</f>
        <v/>
      </c>
    </row>
    <row r="580">
      <c r="A580" s="78">
        <f>IF($T580="","",IF($S580="S",IF(INDEX(Firms!$A$5:$A$1004,$T580)="","",INDEX(Firms!$A$5:$A$1004,$T580)),IF(INDEX('AFA Rates'!$A$5:$A$1004,$T580)="","",INDEX('AFA Rates'!$A$5:$A$1004,$T580))))</f>
        <v/>
      </c>
      <c r="B580" s="79">
        <f>IF(OR($T580="",$U580=""),IF($T580="","","Not on Firms tab"),INDEX(Firms!$B$5:$B$1004,$U580)&amp;"")</f>
        <v/>
      </c>
      <c r="C580" s="78">
        <f>IF($T580="","",IF($S580="S","Standard",INDEX('AFA Rates'!$B$5:$B$1004,$T580)&amp;""))</f>
        <v/>
      </c>
      <c r="D580" s="88">
        <f>IF($T580="","",IF($S580="S",IF(INDEX(Firms!$E$5:$E$1004,$T580)="","",INDEX(Firms!$E$5:$E$1004,$T580)),IF(INDEX('AFA Rates'!$C$5:$C$1004,$T580)="","",INDEX('AFA Rates'!$C$5:$C$1004,$T580))))</f>
        <v/>
      </c>
      <c r="E580" s="88">
        <f>IF($T580="","",IF($S580="S",IF(""="","",""),IF(INDEX('AFA Rates'!$D$5:$D$1004,$T580)="","",INDEX('AFA Rates'!$D$5:$D$1004,$T580))))</f>
        <v/>
      </c>
      <c r="F580" s="79">
        <f>IF($T580="","",IF($S580="S",IF(INDEX(Firms!$O$5:$O$1004,$T580)="","",INDEX(Firms!$O$5:$O$1004,$T580)),IF(INDEX('AFA Rates'!$O$5:$O$1004,$T580)="","",INDEX('AFA Rates'!$O$5:$O$1004,$T580))))</f>
        <v/>
      </c>
      <c r="G580" s="50">
        <f>IF($T580="","",IF($S580="S",IF(INDEX(Firms!$F$5:$F$1004,$T580)="","",INDEX(Firms!$F$5:$F$1004,$T580)),IF(INDEX('AFA Rates'!$E$5:$E$1004,$T580)="","",INDEX('AFA Rates'!$E$5:$E$1004,$T580))))</f>
        <v/>
      </c>
      <c r="H580" s="50">
        <f>IF($T580="","",IF($S580="S",IF(INDEX(Firms!$G$5:$G$1004,$T580)="","",INDEX(Firms!$G$5:$G$1004,$T580)),IF(INDEX('AFA Rates'!$F$5:$F$1004,$T580)="","",INDEX('AFA Rates'!$F$5:$F$1004,$T580))))</f>
        <v/>
      </c>
      <c r="I580" s="50">
        <f>IF($T580="","",IF($S580="S",IF(INDEX(Firms!$H$5:$H$1004,$T580)="","",INDEX(Firms!$H$5:$H$1004,$T580)),IF(INDEX('AFA Rates'!$G$5:$G$1004,$T580)="","",INDEX('AFA Rates'!$G$5:$G$1004,$T580))))</f>
        <v/>
      </c>
      <c r="J580" s="50">
        <f>IF($T580="","",IF($S580="S",IF(INDEX(Firms!$I$5:$I$1004,$T580)="","",INDEX(Firms!$I$5:$I$1004,$T580)),IF(INDEX('AFA Rates'!$H$5:$H$1004,$T580)="","",INDEX('AFA Rates'!$H$5:$H$1004,$T580))))</f>
        <v/>
      </c>
      <c r="K580" s="50">
        <f>IF($T580="","",IF($S580="S",IF(INDEX(Firms!$J$5:$J$1004,$T580)="","",INDEX(Firms!$J$5:$J$1004,$T580)),IF(INDEX('AFA Rates'!$I$5:$I$1004,$T580)="","",INDEX('AFA Rates'!$I$5:$I$1004,$T580))))</f>
        <v/>
      </c>
      <c r="L580" s="50">
        <f>IF($T580="","",IF($S580="S",IF(INDEX(Firms!$K$5:$K$1004,$T580)="","",INDEX(Firms!$K$5:$K$1004,$T580)),IF(INDEX('AFA Rates'!$J$5:$J$1004,$T580)="","",INDEX('AFA Rates'!$J$5:$J$1004,$T580))))</f>
        <v/>
      </c>
      <c r="M580" s="50">
        <f>IF($T580="","",IF($S580="S",IF(INDEX(Firms!$L$5:$L$1004,$T580)="","",INDEX(Firms!$L$5:$L$1004,$T580)),IF(INDEX('AFA Rates'!$K$5:$K$1004,$T580)="","",INDEX('AFA Rates'!$K$5:$K$1004,$T580))))</f>
        <v/>
      </c>
      <c r="N580" s="50">
        <f>IF($T580="","",IF($S580="S",IF(INDEX(Firms!$M$5:$M$1004,$T580)="","",INDEX(Firms!$M$5:$M$1004,$T580)),IF(INDEX('AFA Rates'!$L$5:$L$1004,$T580)="","",INDEX('AFA Rates'!$L$5:$L$1004,$T580))))</f>
        <v/>
      </c>
      <c r="O580" s="78">
        <f>IF(OR($T580="",$U580=""),"",IF(INDEX(Firms!$C$5:$C$1004,$U580)="","",INDEX(Firms!$C$5:$C$1004,$U580)))</f>
        <v/>
      </c>
      <c r="P580" s="79">
        <f>IF(OR($T580="",$U580=""),"",IF(INDEX(Firms!$N$5:$N$1004,$U580)="","",INDEX(Firms!$N$5:$N$1004,$U580)))</f>
        <v/>
      </c>
      <c r="Q580" s="78">
        <f>IF($T580="","",IF($S580="S",IF(INDEX(Firms!$T$5:$T$1004,$T580)="","",INDEX(Firms!$T$5:$T$1004,$T580)),IF(INDEX('AFA Rates'!$M$5:$M$1004,$T580)="","",INDEX('AFA Rates'!$M$5:$M$1004,$T580))))</f>
        <v/>
      </c>
      <c r="S580">
        <f>IF(576&lt;=$S$2,"S",IF(576&lt;=$S$2+$T$2,"A",""))</f>
        <v/>
      </c>
      <c r="T580">
        <f>IF(S580="S",MATCH(576,Firms!$W$5:$W$1004,0),IF(S580="A",IFERROR(MATCH(576-$S$2,'AFA Rates'!$R$5:$R$1004,0),""),""))</f>
        <v/>
      </c>
      <c r="U580">
        <f>IF(S580="S",T580,IF(AND(S580="A",T580&lt;&gt;""),IFERROR(MATCH(INDEX('AFA Rates'!$A$5:$A$1004,T580),Firms!$A$5:$A$1004,0),""),""))</f>
        <v/>
      </c>
    </row>
    <row r="581">
      <c r="A581" s="78">
        <f>IF($T581="","",IF($S581="S",IF(INDEX(Firms!$A$5:$A$1004,$T581)="","",INDEX(Firms!$A$5:$A$1004,$T581)),IF(INDEX('AFA Rates'!$A$5:$A$1004,$T581)="","",INDEX('AFA Rates'!$A$5:$A$1004,$T581))))</f>
        <v/>
      </c>
      <c r="B581" s="79">
        <f>IF(OR($T581="",$U581=""),IF($T581="","","Not on Firms tab"),INDEX(Firms!$B$5:$B$1004,$U581)&amp;"")</f>
        <v/>
      </c>
      <c r="C581" s="78">
        <f>IF($T581="","",IF($S581="S","Standard",INDEX('AFA Rates'!$B$5:$B$1004,$T581)&amp;""))</f>
        <v/>
      </c>
      <c r="D581" s="88">
        <f>IF($T581="","",IF($S581="S",IF(INDEX(Firms!$E$5:$E$1004,$T581)="","",INDEX(Firms!$E$5:$E$1004,$T581)),IF(INDEX('AFA Rates'!$C$5:$C$1004,$T581)="","",INDEX('AFA Rates'!$C$5:$C$1004,$T581))))</f>
        <v/>
      </c>
      <c r="E581" s="88">
        <f>IF($T581="","",IF($S581="S",IF(""="","",""),IF(INDEX('AFA Rates'!$D$5:$D$1004,$T581)="","",INDEX('AFA Rates'!$D$5:$D$1004,$T581))))</f>
        <v/>
      </c>
      <c r="F581" s="79">
        <f>IF($T581="","",IF($S581="S",IF(INDEX(Firms!$O$5:$O$1004,$T581)="","",INDEX(Firms!$O$5:$O$1004,$T581)),IF(INDEX('AFA Rates'!$O$5:$O$1004,$T581)="","",INDEX('AFA Rates'!$O$5:$O$1004,$T581))))</f>
        <v/>
      </c>
      <c r="G581" s="50">
        <f>IF($T581="","",IF($S581="S",IF(INDEX(Firms!$F$5:$F$1004,$T581)="","",INDEX(Firms!$F$5:$F$1004,$T581)),IF(INDEX('AFA Rates'!$E$5:$E$1004,$T581)="","",INDEX('AFA Rates'!$E$5:$E$1004,$T581))))</f>
        <v/>
      </c>
      <c r="H581" s="50">
        <f>IF($T581="","",IF($S581="S",IF(INDEX(Firms!$G$5:$G$1004,$T581)="","",INDEX(Firms!$G$5:$G$1004,$T581)),IF(INDEX('AFA Rates'!$F$5:$F$1004,$T581)="","",INDEX('AFA Rates'!$F$5:$F$1004,$T581))))</f>
        <v/>
      </c>
      <c r="I581" s="50">
        <f>IF($T581="","",IF($S581="S",IF(INDEX(Firms!$H$5:$H$1004,$T581)="","",INDEX(Firms!$H$5:$H$1004,$T581)),IF(INDEX('AFA Rates'!$G$5:$G$1004,$T581)="","",INDEX('AFA Rates'!$G$5:$G$1004,$T581))))</f>
        <v/>
      </c>
      <c r="J581" s="50">
        <f>IF($T581="","",IF($S581="S",IF(INDEX(Firms!$I$5:$I$1004,$T581)="","",INDEX(Firms!$I$5:$I$1004,$T581)),IF(INDEX('AFA Rates'!$H$5:$H$1004,$T581)="","",INDEX('AFA Rates'!$H$5:$H$1004,$T581))))</f>
        <v/>
      </c>
      <c r="K581" s="50">
        <f>IF($T581="","",IF($S581="S",IF(INDEX(Firms!$J$5:$J$1004,$T581)="","",INDEX(Firms!$J$5:$J$1004,$T581)),IF(INDEX('AFA Rates'!$I$5:$I$1004,$T581)="","",INDEX('AFA Rates'!$I$5:$I$1004,$T581))))</f>
        <v/>
      </c>
      <c r="L581" s="50">
        <f>IF($T581="","",IF($S581="S",IF(INDEX(Firms!$K$5:$K$1004,$T581)="","",INDEX(Firms!$K$5:$K$1004,$T581)),IF(INDEX('AFA Rates'!$J$5:$J$1004,$T581)="","",INDEX('AFA Rates'!$J$5:$J$1004,$T581))))</f>
        <v/>
      </c>
      <c r="M581" s="50">
        <f>IF($T581="","",IF($S581="S",IF(INDEX(Firms!$L$5:$L$1004,$T581)="","",INDEX(Firms!$L$5:$L$1004,$T581)),IF(INDEX('AFA Rates'!$K$5:$K$1004,$T581)="","",INDEX('AFA Rates'!$K$5:$K$1004,$T581))))</f>
        <v/>
      </c>
      <c r="N581" s="50">
        <f>IF($T581="","",IF($S581="S",IF(INDEX(Firms!$M$5:$M$1004,$T581)="","",INDEX(Firms!$M$5:$M$1004,$T581)),IF(INDEX('AFA Rates'!$L$5:$L$1004,$T581)="","",INDEX('AFA Rates'!$L$5:$L$1004,$T581))))</f>
        <v/>
      </c>
      <c r="O581" s="78">
        <f>IF(OR($T581="",$U581=""),"",IF(INDEX(Firms!$C$5:$C$1004,$U581)="","",INDEX(Firms!$C$5:$C$1004,$U581)))</f>
        <v/>
      </c>
      <c r="P581" s="79">
        <f>IF(OR($T581="",$U581=""),"",IF(INDEX(Firms!$N$5:$N$1004,$U581)="","",INDEX(Firms!$N$5:$N$1004,$U581)))</f>
        <v/>
      </c>
      <c r="Q581" s="78">
        <f>IF($T581="","",IF($S581="S",IF(INDEX(Firms!$T$5:$T$1004,$T581)="","",INDEX(Firms!$T$5:$T$1004,$T581)),IF(INDEX('AFA Rates'!$M$5:$M$1004,$T581)="","",INDEX('AFA Rates'!$M$5:$M$1004,$T581))))</f>
        <v/>
      </c>
      <c r="S581">
        <f>IF(577&lt;=$S$2,"S",IF(577&lt;=$S$2+$T$2,"A",""))</f>
        <v/>
      </c>
      <c r="T581">
        <f>IF(S581="S",MATCH(577,Firms!$W$5:$W$1004,0),IF(S581="A",IFERROR(MATCH(577-$S$2,'AFA Rates'!$R$5:$R$1004,0),""),""))</f>
        <v/>
      </c>
      <c r="U581">
        <f>IF(S581="S",T581,IF(AND(S581="A",T581&lt;&gt;""),IFERROR(MATCH(INDEX('AFA Rates'!$A$5:$A$1004,T581),Firms!$A$5:$A$1004,0),""),""))</f>
        <v/>
      </c>
    </row>
    <row r="582">
      <c r="A582" s="78">
        <f>IF($T582="","",IF($S582="S",IF(INDEX(Firms!$A$5:$A$1004,$T582)="","",INDEX(Firms!$A$5:$A$1004,$T582)),IF(INDEX('AFA Rates'!$A$5:$A$1004,$T582)="","",INDEX('AFA Rates'!$A$5:$A$1004,$T582))))</f>
        <v/>
      </c>
      <c r="B582" s="79">
        <f>IF(OR($T582="",$U582=""),IF($T582="","","Not on Firms tab"),INDEX(Firms!$B$5:$B$1004,$U582)&amp;"")</f>
        <v/>
      </c>
      <c r="C582" s="78">
        <f>IF($T582="","",IF($S582="S","Standard",INDEX('AFA Rates'!$B$5:$B$1004,$T582)&amp;""))</f>
        <v/>
      </c>
      <c r="D582" s="88">
        <f>IF($T582="","",IF($S582="S",IF(INDEX(Firms!$E$5:$E$1004,$T582)="","",INDEX(Firms!$E$5:$E$1004,$T582)),IF(INDEX('AFA Rates'!$C$5:$C$1004,$T582)="","",INDEX('AFA Rates'!$C$5:$C$1004,$T582))))</f>
        <v/>
      </c>
      <c r="E582" s="88">
        <f>IF($T582="","",IF($S582="S",IF(""="","",""),IF(INDEX('AFA Rates'!$D$5:$D$1004,$T582)="","",INDEX('AFA Rates'!$D$5:$D$1004,$T582))))</f>
        <v/>
      </c>
      <c r="F582" s="79">
        <f>IF($T582="","",IF($S582="S",IF(INDEX(Firms!$O$5:$O$1004,$T582)="","",INDEX(Firms!$O$5:$O$1004,$T582)),IF(INDEX('AFA Rates'!$O$5:$O$1004,$T582)="","",INDEX('AFA Rates'!$O$5:$O$1004,$T582))))</f>
        <v/>
      </c>
      <c r="G582" s="50">
        <f>IF($T582="","",IF($S582="S",IF(INDEX(Firms!$F$5:$F$1004,$T582)="","",INDEX(Firms!$F$5:$F$1004,$T582)),IF(INDEX('AFA Rates'!$E$5:$E$1004,$T582)="","",INDEX('AFA Rates'!$E$5:$E$1004,$T582))))</f>
        <v/>
      </c>
      <c r="H582" s="50">
        <f>IF($T582="","",IF($S582="S",IF(INDEX(Firms!$G$5:$G$1004,$T582)="","",INDEX(Firms!$G$5:$G$1004,$T582)),IF(INDEX('AFA Rates'!$F$5:$F$1004,$T582)="","",INDEX('AFA Rates'!$F$5:$F$1004,$T582))))</f>
        <v/>
      </c>
      <c r="I582" s="50">
        <f>IF($T582="","",IF($S582="S",IF(INDEX(Firms!$H$5:$H$1004,$T582)="","",INDEX(Firms!$H$5:$H$1004,$T582)),IF(INDEX('AFA Rates'!$G$5:$G$1004,$T582)="","",INDEX('AFA Rates'!$G$5:$G$1004,$T582))))</f>
        <v/>
      </c>
      <c r="J582" s="50">
        <f>IF($T582="","",IF($S582="S",IF(INDEX(Firms!$I$5:$I$1004,$T582)="","",INDEX(Firms!$I$5:$I$1004,$T582)),IF(INDEX('AFA Rates'!$H$5:$H$1004,$T582)="","",INDEX('AFA Rates'!$H$5:$H$1004,$T582))))</f>
        <v/>
      </c>
      <c r="K582" s="50">
        <f>IF($T582="","",IF($S582="S",IF(INDEX(Firms!$J$5:$J$1004,$T582)="","",INDEX(Firms!$J$5:$J$1004,$T582)),IF(INDEX('AFA Rates'!$I$5:$I$1004,$T582)="","",INDEX('AFA Rates'!$I$5:$I$1004,$T582))))</f>
        <v/>
      </c>
      <c r="L582" s="50">
        <f>IF($T582="","",IF($S582="S",IF(INDEX(Firms!$K$5:$K$1004,$T582)="","",INDEX(Firms!$K$5:$K$1004,$T582)),IF(INDEX('AFA Rates'!$J$5:$J$1004,$T582)="","",INDEX('AFA Rates'!$J$5:$J$1004,$T582))))</f>
        <v/>
      </c>
      <c r="M582" s="50">
        <f>IF($T582="","",IF($S582="S",IF(INDEX(Firms!$L$5:$L$1004,$T582)="","",INDEX(Firms!$L$5:$L$1004,$T582)),IF(INDEX('AFA Rates'!$K$5:$K$1004,$T582)="","",INDEX('AFA Rates'!$K$5:$K$1004,$T582))))</f>
        <v/>
      </c>
      <c r="N582" s="50">
        <f>IF($T582="","",IF($S582="S",IF(INDEX(Firms!$M$5:$M$1004,$T582)="","",INDEX(Firms!$M$5:$M$1004,$T582)),IF(INDEX('AFA Rates'!$L$5:$L$1004,$T582)="","",INDEX('AFA Rates'!$L$5:$L$1004,$T582))))</f>
        <v/>
      </c>
      <c r="O582" s="78">
        <f>IF(OR($T582="",$U582=""),"",IF(INDEX(Firms!$C$5:$C$1004,$U582)="","",INDEX(Firms!$C$5:$C$1004,$U582)))</f>
        <v/>
      </c>
      <c r="P582" s="79">
        <f>IF(OR($T582="",$U582=""),"",IF(INDEX(Firms!$N$5:$N$1004,$U582)="","",INDEX(Firms!$N$5:$N$1004,$U582)))</f>
        <v/>
      </c>
      <c r="Q582" s="78">
        <f>IF($T582="","",IF($S582="S",IF(INDEX(Firms!$T$5:$T$1004,$T582)="","",INDEX(Firms!$T$5:$T$1004,$T582)),IF(INDEX('AFA Rates'!$M$5:$M$1004,$T582)="","",INDEX('AFA Rates'!$M$5:$M$1004,$T582))))</f>
        <v/>
      </c>
      <c r="S582">
        <f>IF(578&lt;=$S$2,"S",IF(578&lt;=$S$2+$T$2,"A",""))</f>
        <v/>
      </c>
      <c r="T582">
        <f>IF(S582="S",MATCH(578,Firms!$W$5:$W$1004,0),IF(S582="A",IFERROR(MATCH(578-$S$2,'AFA Rates'!$R$5:$R$1004,0),""),""))</f>
        <v/>
      </c>
      <c r="U582">
        <f>IF(S582="S",T582,IF(AND(S582="A",T582&lt;&gt;""),IFERROR(MATCH(INDEX('AFA Rates'!$A$5:$A$1004,T582),Firms!$A$5:$A$1004,0),""),""))</f>
        <v/>
      </c>
    </row>
    <row r="583">
      <c r="A583" s="78">
        <f>IF($T583="","",IF($S583="S",IF(INDEX(Firms!$A$5:$A$1004,$T583)="","",INDEX(Firms!$A$5:$A$1004,$T583)),IF(INDEX('AFA Rates'!$A$5:$A$1004,$T583)="","",INDEX('AFA Rates'!$A$5:$A$1004,$T583))))</f>
        <v/>
      </c>
      <c r="B583" s="79">
        <f>IF(OR($T583="",$U583=""),IF($T583="","","Not on Firms tab"),INDEX(Firms!$B$5:$B$1004,$U583)&amp;"")</f>
        <v/>
      </c>
      <c r="C583" s="78">
        <f>IF($T583="","",IF($S583="S","Standard",INDEX('AFA Rates'!$B$5:$B$1004,$T583)&amp;""))</f>
        <v/>
      </c>
      <c r="D583" s="88">
        <f>IF($T583="","",IF($S583="S",IF(INDEX(Firms!$E$5:$E$1004,$T583)="","",INDEX(Firms!$E$5:$E$1004,$T583)),IF(INDEX('AFA Rates'!$C$5:$C$1004,$T583)="","",INDEX('AFA Rates'!$C$5:$C$1004,$T583))))</f>
        <v/>
      </c>
      <c r="E583" s="88">
        <f>IF($T583="","",IF($S583="S",IF(""="","",""),IF(INDEX('AFA Rates'!$D$5:$D$1004,$T583)="","",INDEX('AFA Rates'!$D$5:$D$1004,$T583))))</f>
        <v/>
      </c>
      <c r="F583" s="79">
        <f>IF($T583="","",IF($S583="S",IF(INDEX(Firms!$O$5:$O$1004,$T583)="","",INDEX(Firms!$O$5:$O$1004,$T583)),IF(INDEX('AFA Rates'!$O$5:$O$1004,$T583)="","",INDEX('AFA Rates'!$O$5:$O$1004,$T583))))</f>
        <v/>
      </c>
      <c r="G583" s="50">
        <f>IF($T583="","",IF($S583="S",IF(INDEX(Firms!$F$5:$F$1004,$T583)="","",INDEX(Firms!$F$5:$F$1004,$T583)),IF(INDEX('AFA Rates'!$E$5:$E$1004,$T583)="","",INDEX('AFA Rates'!$E$5:$E$1004,$T583))))</f>
        <v/>
      </c>
      <c r="H583" s="50">
        <f>IF($T583="","",IF($S583="S",IF(INDEX(Firms!$G$5:$G$1004,$T583)="","",INDEX(Firms!$G$5:$G$1004,$T583)),IF(INDEX('AFA Rates'!$F$5:$F$1004,$T583)="","",INDEX('AFA Rates'!$F$5:$F$1004,$T583))))</f>
        <v/>
      </c>
      <c r="I583" s="50">
        <f>IF($T583="","",IF($S583="S",IF(INDEX(Firms!$H$5:$H$1004,$T583)="","",INDEX(Firms!$H$5:$H$1004,$T583)),IF(INDEX('AFA Rates'!$G$5:$G$1004,$T583)="","",INDEX('AFA Rates'!$G$5:$G$1004,$T583))))</f>
        <v/>
      </c>
      <c r="J583" s="50">
        <f>IF($T583="","",IF($S583="S",IF(INDEX(Firms!$I$5:$I$1004,$T583)="","",INDEX(Firms!$I$5:$I$1004,$T583)),IF(INDEX('AFA Rates'!$H$5:$H$1004,$T583)="","",INDEX('AFA Rates'!$H$5:$H$1004,$T583))))</f>
        <v/>
      </c>
      <c r="K583" s="50">
        <f>IF($T583="","",IF($S583="S",IF(INDEX(Firms!$J$5:$J$1004,$T583)="","",INDEX(Firms!$J$5:$J$1004,$T583)),IF(INDEX('AFA Rates'!$I$5:$I$1004,$T583)="","",INDEX('AFA Rates'!$I$5:$I$1004,$T583))))</f>
        <v/>
      </c>
      <c r="L583" s="50">
        <f>IF($T583="","",IF($S583="S",IF(INDEX(Firms!$K$5:$K$1004,$T583)="","",INDEX(Firms!$K$5:$K$1004,$T583)),IF(INDEX('AFA Rates'!$J$5:$J$1004,$T583)="","",INDEX('AFA Rates'!$J$5:$J$1004,$T583))))</f>
        <v/>
      </c>
      <c r="M583" s="50">
        <f>IF($T583="","",IF($S583="S",IF(INDEX(Firms!$L$5:$L$1004,$T583)="","",INDEX(Firms!$L$5:$L$1004,$T583)),IF(INDEX('AFA Rates'!$K$5:$K$1004,$T583)="","",INDEX('AFA Rates'!$K$5:$K$1004,$T583))))</f>
        <v/>
      </c>
      <c r="N583" s="50">
        <f>IF($T583="","",IF($S583="S",IF(INDEX(Firms!$M$5:$M$1004,$T583)="","",INDEX(Firms!$M$5:$M$1004,$T583)),IF(INDEX('AFA Rates'!$L$5:$L$1004,$T583)="","",INDEX('AFA Rates'!$L$5:$L$1004,$T583))))</f>
        <v/>
      </c>
      <c r="O583" s="78">
        <f>IF(OR($T583="",$U583=""),"",IF(INDEX(Firms!$C$5:$C$1004,$U583)="","",INDEX(Firms!$C$5:$C$1004,$U583)))</f>
        <v/>
      </c>
      <c r="P583" s="79">
        <f>IF(OR($T583="",$U583=""),"",IF(INDEX(Firms!$N$5:$N$1004,$U583)="","",INDEX(Firms!$N$5:$N$1004,$U583)))</f>
        <v/>
      </c>
      <c r="Q583" s="78">
        <f>IF($T583="","",IF($S583="S",IF(INDEX(Firms!$T$5:$T$1004,$T583)="","",INDEX(Firms!$T$5:$T$1004,$T583)),IF(INDEX('AFA Rates'!$M$5:$M$1004,$T583)="","",INDEX('AFA Rates'!$M$5:$M$1004,$T583))))</f>
        <v/>
      </c>
      <c r="S583">
        <f>IF(579&lt;=$S$2,"S",IF(579&lt;=$S$2+$T$2,"A",""))</f>
        <v/>
      </c>
      <c r="T583">
        <f>IF(S583="S",MATCH(579,Firms!$W$5:$W$1004,0),IF(S583="A",IFERROR(MATCH(579-$S$2,'AFA Rates'!$R$5:$R$1004,0),""),""))</f>
        <v/>
      </c>
      <c r="U583">
        <f>IF(S583="S",T583,IF(AND(S583="A",T583&lt;&gt;""),IFERROR(MATCH(INDEX('AFA Rates'!$A$5:$A$1004,T583),Firms!$A$5:$A$1004,0),""),""))</f>
        <v/>
      </c>
    </row>
    <row r="584">
      <c r="A584" s="78">
        <f>IF($T584="","",IF($S584="S",IF(INDEX(Firms!$A$5:$A$1004,$T584)="","",INDEX(Firms!$A$5:$A$1004,$T584)),IF(INDEX('AFA Rates'!$A$5:$A$1004,$T584)="","",INDEX('AFA Rates'!$A$5:$A$1004,$T584))))</f>
        <v/>
      </c>
      <c r="B584" s="79">
        <f>IF(OR($T584="",$U584=""),IF($T584="","","Not on Firms tab"),INDEX(Firms!$B$5:$B$1004,$U584)&amp;"")</f>
        <v/>
      </c>
      <c r="C584" s="78">
        <f>IF($T584="","",IF($S584="S","Standard",INDEX('AFA Rates'!$B$5:$B$1004,$T584)&amp;""))</f>
        <v/>
      </c>
      <c r="D584" s="88">
        <f>IF($T584="","",IF($S584="S",IF(INDEX(Firms!$E$5:$E$1004,$T584)="","",INDEX(Firms!$E$5:$E$1004,$T584)),IF(INDEX('AFA Rates'!$C$5:$C$1004,$T584)="","",INDEX('AFA Rates'!$C$5:$C$1004,$T584))))</f>
        <v/>
      </c>
      <c r="E584" s="88">
        <f>IF($T584="","",IF($S584="S",IF(""="","",""),IF(INDEX('AFA Rates'!$D$5:$D$1004,$T584)="","",INDEX('AFA Rates'!$D$5:$D$1004,$T584))))</f>
        <v/>
      </c>
      <c r="F584" s="79">
        <f>IF($T584="","",IF($S584="S",IF(INDEX(Firms!$O$5:$O$1004,$T584)="","",INDEX(Firms!$O$5:$O$1004,$T584)),IF(INDEX('AFA Rates'!$O$5:$O$1004,$T584)="","",INDEX('AFA Rates'!$O$5:$O$1004,$T584))))</f>
        <v/>
      </c>
      <c r="G584" s="50">
        <f>IF($T584="","",IF($S584="S",IF(INDEX(Firms!$F$5:$F$1004,$T584)="","",INDEX(Firms!$F$5:$F$1004,$T584)),IF(INDEX('AFA Rates'!$E$5:$E$1004,$T584)="","",INDEX('AFA Rates'!$E$5:$E$1004,$T584))))</f>
        <v/>
      </c>
      <c r="H584" s="50">
        <f>IF($T584="","",IF($S584="S",IF(INDEX(Firms!$G$5:$G$1004,$T584)="","",INDEX(Firms!$G$5:$G$1004,$T584)),IF(INDEX('AFA Rates'!$F$5:$F$1004,$T584)="","",INDEX('AFA Rates'!$F$5:$F$1004,$T584))))</f>
        <v/>
      </c>
      <c r="I584" s="50">
        <f>IF($T584="","",IF($S584="S",IF(INDEX(Firms!$H$5:$H$1004,$T584)="","",INDEX(Firms!$H$5:$H$1004,$T584)),IF(INDEX('AFA Rates'!$G$5:$G$1004,$T584)="","",INDEX('AFA Rates'!$G$5:$G$1004,$T584))))</f>
        <v/>
      </c>
      <c r="J584" s="50">
        <f>IF($T584="","",IF($S584="S",IF(INDEX(Firms!$I$5:$I$1004,$T584)="","",INDEX(Firms!$I$5:$I$1004,$T584)),IF(INDEX('AFA Rates'!$H$5:$H$1004,$T584)="","",INDEX('AFA Rates'!$H$5:$H$1004,$T584))))</f>
        <v/>
      </c>
      <c r="K584" s="50">
        <f>IF($T584="","",IF($S584="S",IF(INDEX(Firms!$J$5:$J$1004,$T584)="","",INDEX(Firms!$J$5:$J$1004,$T584)),IF(INDEX('AFA Rates'!$I$5:$I$1004,$T584)="","",INDEX('AFA Rates'!$I$5:$I$1004,$T584))))</f>
        <v/>
      </c>
      <c r="L584" s="50">
        <f>IF($T584="","",IF($S584="S",IF(INDEX(Firms!$K$5:$K$1004,$T584)="","",INDEX(Firms!$K$5:$K$1004,$T584)),IF(INDEX('AFA Rates'!$J$5:$J$1004,$T584)="","",INDEX('AFA Rates'!$J$5:$J$1004,$T584))))</f>
        <v/>
      </c>
      <c r="M584" s="50">
        <f>IF($T584="","",IF($S584="S",IF(INDEX(Firms!$L$5:$L$1004,$T584)="","",INDEX(Firms!$L$5:$L$1004,$T584)),IF(INDEX('AFA Rates'!$K$5:$K$1004,$T584)="","",INDEX('AFA Rates'!$K$5:$K$1004,$T584))))</f>
        <v/>
      </c>
      <c r="N584" s="50">
        <f>IF($T584="","",IF($S584="S",IF(INDEX(Firms!$M$5:$M$1004,$T584)="","",INDEX(Firms!$M$5:$M$1004,$T584)),IF(INDEX('AFA Rates'!$L$5:$L$1004,$T584)="","",INDEX('AFA Rates'!$L$5:$L$1004,$T584))))</f>
        <v/>
      </c>
      <c r="O584" s="78">
        <f>IF(OR($T584="",$U584=""),"",IF(INDEX(Firms!$C$5:$C$1004,$U584)="","",INDEX(Firms!$C$5:$C$1004,$U584)))</f>
        <v/>
      </c>
      <c r="P584" s="79">
        <f>IF(OR($T584="",$U584=""),"",IF(INDEX(Firms!$N$5:$N$1004,$U584)="","",INDEX(Firms!$N$5:$N$1004,$U584)))</f>
        <v/>
      </c>
      <c r="Q584" s="78">
        <f>IF($T584="","",IF($S584="S",IF(INDEX(Firms!$T$5:$T$1004,$T584)="","",INDEX(Firms!$T$5:$T$1004,$T584)),IF(INDEX('AFA Rates'!$M$5:$M$1004,$T584)="","",INDEX('AFA Rates'!$M$5:$M$1004,$T584))))</f>
        <v/>
      </c>
      <c r="S584">
        <f>IF(580&lt;=$S$2,"S",IF(580&lt;=$S$2+$T$2,"A",""))</f>
        <v/>
      </c>
      <c r="T584">
        <f>IF(S584="S",MATCH(580,Firms!$W$5:$W$1004,0),IF(S584="A",IFERROR(MATCH(580-$S$2,'AFA Rates'!$R$5:$R$1004,0),""),""))</f>
        <v/>
      </c>
      <c r="U584">
        <f>IF(S584="S",T584,IF(AND(S584="A",T584&lt;&gt;""),IFERROR(MATCH(INDEX('AFA Rates'!$A$5:$A$1004,T584),Firms!$A$5:$A$1004,0),""),""))</f>
        <v/>
      </c>
    </row>
    <row r="585">
      <c r="A585" s="78">
        <f>IF($T585="","",IF($S585="S",IF(INDEX(Firms!$A$5:$A$1004,$T585)="","",INDEX(Firms!$A$5:$A$1004,$T585)),IF(INDEX('AFA Rates'!$A$5:$A$1004,$T585)="","",INDEX('AFA Rates'!$A$5:$A$1004,$T585))))</f>
        <v/>
      </c>
      <c r="B585" s="79">
        <f>IF(OR($T585="",$U585=""),IF($T585="","","Not on Firms tab"),INDEX(Firms!$B$5:$B$1004,$U585)&amp;"")</f>
        <v/>
      </c>
      <c r="C585" s="78">
        <f>IF($T585="","",IF($S585="S","Standard",INDEX('AFA Rates'!$B$5:$B$1004,$T585)&amp;""))</f>
        <v/>
      </c>
      <c r="D585" s="88">
        <f>IF($T585="","",IF($S585="S",IF(INDEX(Firms!$E$5:$E$1004,$T585)="","",INDEX(Firms!$E$5:$E$1004,$T585)),IF(INDEX('AFA Rates'!$C$5:$C$1004,$T585)="","",INDEX('AFA Rates'!$C$5:$C$1004,$T585))))</f>
        <v/>
      </c>
      <c r="E585" s="88">
        <f>IF($T585="","",IF($S585="S",IF(""="","",""),IF(INDEX('AFA Rates'!$D$5:$D$1004,$T585)="","",INDEX('AFA Rates'!$D$5:$D$1004,$T585))))</f>
        <v/>
      </c>
      <c r="F585" s="79">
        <f>IF($T585="","",IF($S585="S",IF(INDEX(Firms!$O$5:$O$1004,$T585)="","",INDEX(Firms!$O$5:$O$1004,$T585)),IF(INDEX('AFA Rates'!$O$5:$O$1004,$T585)="","",INDEX('AFA Rates'!$O$5:$O$1004,$T585))))</f>
        <v/>
      </c>
      <c r="G585" s="50">
        <f>IF($T585="","",IF($S585="S",IF(INDEX(Firms!$F$5:$F$1004,$T585)="","",INDEX(Firms!$F$5:$F$1004,$T585)),IF(INDEX('AFA Rates'!$E$5:$E$1004,$T585)="","",INDEX('AFA Rates'!$E$5:$E$1004,$T585))))</f>
        <v/>
      </c>
      <c r="H585" s="50">
        <f>IF($T585="","",IF($S585="S",IF(INDEX(Firms!$G$5:$G$1004,$T585)="","",INDEX(Firms!$G$5:$G$1004,$T585)),IF(INDEX('AFA Rates'!$F$5:$F$1004,$T585)="","",INDEX('AFA Rates'!$F$5:$F$1004,$T585))))</f>
        <v/>
      </c>
      <c r="I585" s="50">
        <f>IF($T585="","",IF($S585="S",IF(INDEX(Firms!$H$5:$H$1004,$T585)="","",INDEX(Firms!$H$5:$H$1004,$T585)),IF(INDEX('AFA Rates'!$G$5:$G$1004,$T585)="","",INDEX('AFA Rates'!$G$5:$G$1004,$T585))))</f>
        <v/>
      </c>
      <c r="J585" s="50">
        <f>IF($T585="","",IF($S585="S",IF(INDEX(Firms!$I$5:$I$1004,$T585)="","",INDEX(Firms!$I$5:$I$1004,$T585)),IF(INDEX('AFA Rates'!$H$5:$H$1004,$T585)="","",INDEX('AFA Rates'!$H$5:$H$1004,$T585))))</f>
        <v/>
      </c>
      <c r="K585" s="50">
        <f>IF($T585="","",IF($S585="S",IF(INDEX(Firms!$J$5:$J$1004,$T585)="","",INDEX(Firms!$J$5:$J$1004,$T585)),IF(INDEX('AFA Rates'!$I$5:$I$1004,$T585)="","",INDEX('AFA Rates'!$I$5:$I$1004,$T585))))</f>
        <v/>
      </c>
      <c r="L585" s="50">
        <f>IF($T585="","",IF($S585="S",IF(INDEX(Firms!$K$5:$K$1004,$T585)="","",INDEX(Firms!$K$5:$K$1004,$T585)),IF(INDEX('AFA Rates'!$J$5:$J$1004,$T585)="","",INDEX('AFA Rates'!$J$5:$J$1004,$T585))))</f>
        <v/>
      </c>
      <c r="M585" s="50">
        <f>IF($T585="","",IF($S585="S",IF(INDEX(Firms!$L$5:$L$1004,$T585)="","",INDEX(Firms!$L$5:$L$1004,$T585)),IF(INDEX('AFA Rates'!$K$5:$K$1004,$T585)="","",INDEX('AFA Rates'!$K$5:$K$1004,$T585))))</f>
        <v/>
      </c>
      <c r="N585" s="50">
        <f>IF($T585="","",IF($S585="S",IF(INDEX(Firms!$M$5:$M$1004,$T585)="","",INDEX(Firms!$M$5:$M$1004,$T585)),IF(INDEX('AFA Rates'!$L$5:$L$1004,$T585)="","",INDEX('AFA Rates'!$L$5:$L$1004,$T585))))</f>
        <v/>
      </c>
      <c r="O585" s="78">
        <f>IF(OR($T585="",$U585=""),"",IF(INDEX(Firms!$C$5:$C$1004,$U585)="","",INDEX(Firms!$C$5:$C$1004,$U585)))</f>
        <v/>
      </c>
      <c r="P585" s="79">
        <f>IF(OR($T585="",$U585=""),"",IF(INDEX(Firms!$N$5:$N$1004,$U585)="","",INDEX(Firms!$N$5:$N$1004,$U585)))</f>
        <v/>
      </c>
      <c r="Q585" s="78">
        <f>IF($T585="","",IF($S585="S",IF(INDEX(Firms!$T$5:$T$1004,$T585)="","",INDEX(Firms!$T$5:$T$1004,$T585)),IF(INDEX('AFA Rates'!$M$5:$M$1004,$T585)="","",INDEX('AFA Rates'!$M$5:$M$1004,$T585))))</f>
        <v/>
      </c>
      <c r="S585">
        <f>IF(581&lt;=$S$2,"S",IF(581&lt;=$S$2+$T$2,"A",""))</f>
        <v/>
      </c>
      <c r="T585">
        <f>IF(S585="S",MATCH(581,Firms!$W$5:$W$1004,0),IF(S585="A",IFERROR(MATCH(581-$S$2,'AFA Rates'!$R$5:$R$1004,0),""),""))</f>
        <v/>
      </c>
      <c r="U585">
        <f>IF(S585="S",T585,IF(AND(S585="A",T585&lt;&gt;""),IFERROR(MATCH(INDEX('AFA Rates'!$A$5:$A$1004,T585),Firms!$A$5:$A$1004,0),""),""))</f>
        <v/>
      </c>
    </row>
    <row r="586">
      <c r="A586" s="78">
        <f>IF($T586="","",IF($S586="S",IF(INDEX(Firms!$A$5:$A$1004,$T586)="","",INDEX(Firms!$A$5:$A$1004,$T586)),IF(INDEX('AFA Rates'!$A$5:$A$1004,$T586)="","",INDEX('AFA Rates'!$A$5:$A$1004,$T586))))</f>
        <v/>
      </c>
      <c r="B586" s="79">
        <f>IF(OR($T586="",$U586=""),IF($T586="","","Not on Firms tab"),INDEX(Firms!$B$5:$B$1004,$U586)&amp;"")</f>
        <v/>
      </c>
      <c r="C586" s="78">
        <f>IF($T586="","",IF($S586="S","Standard",INDEX('AFA Rates'!$B$5:$B$1004,$T586)&amp;""))</f>
        <v/>
      </c>
      <c r="D586" s="88">
        <f>IF($T586="","",IF($S586="S",IF(INDEX(Firms!$E$5:$E$1004,$T586)="","",INDEX(Firms!$E$5:$E$1004,$T586)),IF(INDEX('AFA Rates'!$C$5:$C$1004,$T586)="","",INDEX('AFA Rates'!$C$5:$C$1004,$T586))))</f>
        <v/>
      </c>
      <c r="E586" s="88">
        <f>IF($T586="","",IF($S586="S",IF(""="","",""),IF(INDEX('AFA Rates'!$D$5:$D$1004,$T586)="","",INDEX('AFA Rates'!$D$5:$D$1004,$T586))))</f>
        <v/>
      </c>
      <c r="F586" s="79">
        <f>IF($T586="","",IF($S586="S",IF(INDEX(Firms!$O$5:$O$1004,$T586)="","",INDEX(Firms!$O$5:$O$1004,$T586)),IF(INDEX('AFA Rates'!$O$5:$O$1004,$T586)="","",INDEX('AFA Rates'!$O$5:$O$1004,$T586))))</f>
        <v/>
      </c>
      <c r="G586" s="50">
        <f>IF($T586="","",IF($S586="S",IF(INDEX(Firms!$F$5:$F$1004,$T586)="","",INDEX(Firms!$F$5:$F$1004,$T586)),IF(INDEX('AFA Rates'!$E$5:$E$1004,$T586)="","",INDEX('AFA Rates'!$E$5:$E$1004,$T586))))</f>
        <v/>
      </c>
      <c r="H586" s="50">
        <f>IF($T586="","",IF($S586="S",IF(INDEX(Firms!$G$5:$G$1004,$T586)="","",INDEX(Firms!$G$5:$G$1004,$T586)),IF(INDEX('AFA Rates'!$F$5:$F$1004,$T586)="","",INDEX('AFA Rates'!$F$5:$F$1004,$T586))))</f>
        <v/>
      </c>
      <c r="I586" s="50">
        <f>IF($T586="","",IF($S586="S",IF(INDEX(Firms!$H$5:$H$1004,$T586)="","",INDEX(Firms!$H$5:$H$1004,$T586)),IF(INDEX('AFA Rates'!$G$5:$G$1004,$T586)="","",INDEX('AFA Rates'!$G$5:$G$1004,$T586))))</f>
        <v/>
      </c>
      <c r="J586" s="50">
        <f>IF($T586="","",IF($S586="S",IF(INDEX(Firms!$I$5:$I$1004,$T586)="","",INDEX(Firms!$I$5:$I$1004,$T586)),IF(INDEX('AFA Rates'!$H$5:$H$1004,$T586)="","",INDEX('AFA Rates'!$H$5:$H$1004,$T586))))</f>
        <v/>
      </c>
      <c r="K586" s="50">
        <f>IF($T586="","",IF($S586="S",IF(INDEX(Firms!$J$5:$J$1004,$T586)="","",INDEX(Firms!$J$5:$J$1004,$T586)),IF(INDEX('AFA Rates'!$I$5:$I$1004,$T586)="","",INDEX('AFA Rates'!$I$5:$I$1004,$T586))))</f>
        <v/>
      </c>
      <c r="L586" s="50">
        <f>IF($T586="","",IF($S586="S",IF(INDEX(Firms!$K$5:$K$1004,$T586)="","",INDEX(Firms!$K$5:$K$1004,$T586)),IF(INDEX('AFA Rates'!$J$5:$J$1004,$T586)="","",INDEX('AFA Rates'!$J$5:$J$1004,$T586))))</f>
        <v/>
      </c>
      <c r="M586" s="50">
        <f>IF($T586="","",IF($S586="S",IF(INDEX(Firms!$L$5:$L$1004,$T586)="","",INDEX(Firms!$L$5:$L$1004,$T586)),IF(INDEX('AFA Rates'!$K$5:$K$1004,$T586)="","",INDEX('AFA Rates'!$K$5:$K$1004,$T586))))</f>
        <v/>
      </c>
      <c r="N586" s="50">
        <f>IF($T586="","",IF($S586="S",IF(INDEX(Firms!$M$5:$M$1004,$T586)="","",INDEX(Firms!$M$5:$M$1004,$T586)),IF(INDEX('AFA Rates'!$L$5:$L$1004,$T586)="","",INDEX('AFA Rates'!$L$5:$L$1004,$T586))))</f>
        <v/>
      </c>
      <c r="O586" s="78">
        <f>IF(OR($T586="",$U586=""),"",IF(INDEX(Firms!$C$5:$C$1004,$U586)="","",INDEX(Firms!$C$5:$C$1004,$U586)))</f>
        <v/>
      </c>
      <c r="P586" s="79">
        <f>IF(OR($T586="",$U586=""),"",IF(INDEX(Firms!$N$5:$N$1004,$U586)="","",INDEX(Firms!$N$5:$N$1004,$U586)))</f>
        <v/>
      </c>
      <c r="Q586" s="78">
        <f>IF($T586="","",IF($S586="S",IF(INDEX(Firms!$T$5:$T$1004,$T586)="","",INDEX(Firms!$T$5:$T$1004,$T586)),IF(INDEX('AFA Rates'!$M$5:$M$1004,$T586)="","",INDEX('AFA Rates'!$M$5:$M$1004,$T586))))</f>
        <v/>
      </c>
      <c r="S586">
        <f>IF(582&lt;=$S$2,"S",IF(582&lt;=$S$2+$T$2,"A",""))</f>
        <v/>
      </c>
      <c r="T586">
        <f>IF(S586="S",MATCH(582,Firms!$W$5:$W$1004,0),IF(S586="A",IFERROR(MATCH(582-$S$2,'AFA Rates'!$R$5:$R$1004,0),""),""))</f>
        <v/>
      </c>
      <c r="U586">
        <f>IF(S586="S",T586,IF(AND(S586="A",T586&lt;&gt;""),IFERROR(MATCH(INDEX('AFA Rates'!$A$5:$A$1004,T586),Firms!$A$5:$A$1004,0),""),""))</f>
        <v/>
      </c>
    </row>
    <row r="587">
      <c r="A587" s="78">
        <f>IF($T587="","",IF($S587="S",IF(INDEX(Firms!$A$5:$A$1004,$T587)="","",INDEX(Firms!$A$5:$A$1004,$T587)),IF(INDEX('AFA Rates'!$A$5:$A$1004,$T587)="","",INDEX('AFA Rates'!$A$5:$A$1004,$T587))))</f>
        <v/>
      </c>
      <c r="B587" s="79">
        <f>IF(OR($T587="",$U587=""),IF($T587="","","Not on Firms tab"),INDEX(Firms!$B$5:$B$1004,$U587)&amp;"")</f>
        <v/>
      </c>
      <c r="C587" s="78">
        <f>IF($T587="","",IF($S587="S","Standard",INDEX('AFA Rates'!$B$5:$B$1004,$T587)&amp;""))</f>
        <v/>
      </c>
      <c r="D587" s="88">
        <f>IF($T587="","",IF($S587="S",IF(INDEX(Firms!$E$5:$E$1004,$T587)="","",INDEX(Firms!$E$5:$E$1004,$T587)),IF(INDEX('AFA Rates'!$C$5:$C$1004,$T587)="","",INDEX('AFA Rates'!$C$5:$C$1004,$T587))))</f>
        <v/>
      </c>
      <c r="E587" s="88">
        <f>IF($T587="","",IF($S587="S",IF(""="","",""),IF(INDEX('AFA Rates'!$D$5:$D$1004,$T587)="","",INDEX('AFA Rates'!$D$5:$D$1004,$T587))))</f>
        <v/>
      </c>
      <c r="F587" s="79">
        <f>IF($T587="","",IF($S587="S",IF(INDEX(Firms!$O$5:$O$1004,$T587)="","",INDEX(Firms!$O$5:$O$1004,$T587)),IF(INDEX('AFA Rates'!$O$5:$O$1004,$T587)="","",INDEX('AFA Rates'!$O$5:$O$1004,$T587))))</f>
        <v/>
      </c>
      <c r="G587" s="50">
        <f>IF($T587="","",IF($S587="S",IF(INDEX(Firms!$F$5:$F$1004,$T587)="","",INDEX(Firms!$F$5:$F$1004,$T587)),IF(INDEX('AFA Rates'!$E$5:$E$1004,$T587)="","",INDEX('AFA Rates'!$E$5:$E$1004,$T587))))</f>
        <v/>
      </c>
      <c r="H587" s="50">
        <f>IF($T587="","",IF($S587="S",IF(INDEX(Firms!$G$5:$G$1004,$T587)="","",INDEX(Firms!$G$5:$G$1004,$T587)),IF(INDEX('AFA Rates'!$F$5:$F$1004,$T587)="","",INDEX('AFA Rates'!$F$5:$F$1004,$T587))))</f>
        <v/>
      </c>
      <c r="I587" s="50">
        <f>IF($T587="","",IF($S587="S",IF(INDEX(Firms!$H$5:$H$1004,$T587)="","",INDEX(Firms!$H$5:$H$1004,$T587)),IF(INDEX('AFA Rates'!$G$5:$G$1004,$T587)="","",INDEX('AFA Rates'!$G$5:$G$1004,$T587))))</f>
        <v/>
      </c>
      <c r="J587" s="50">
        <f>IF($T587="","",IF($S587="S",IF(INDEX(Firms!$I$5:$I$1004,$T587)="","",INDEX(Firms!$I$5:$I$1004,$T587)),IF(INDEX('AFA Rates'!$H$5:$H$1004,$T587)="","",INDEX('AFA Rates'!$H$5:$H$1004,$T587))))</f>
        <v/>
      </c>
      <c r="K587" s="50">
        <f>IF($T587="","",IF($S587="S",IF(INDEX(Firms!$J$5:$J$1004,$T587)="","",INDEX(Firms!$J$5:$J$1004,$T587)),IF(INDEX('AFA Rates'!$I$5:$I$1004,$T587)="","",INDEX('AFA Rates'!$I$5:$I$1004,$T587))))</f>
        <v/>
      </c>
      <c r="L587" s="50">
        <f>IF($T587="","",IF($S587="S",IF(INDEX(Firms!$K$5:$K$1004,$T587)="","",INDEX(Firms!$K$5:$K$1004,$T587)),IF(INDEX('AFA Rates'!$J$5:$J$1004,$T587)="","",INDEX('AFA Rates'!$J$5:$J$1004,$T587))))</f>
        <v/>
      </c>
      <c r="M587" s="50">
        <f>IF($T587="","",IF($S587="S",IF(INDEX(Firms!$L$5:$L$1004,$T587)="","",INDEX(Firms!$L$5:$L$1004,$T587)),IF(INDEX('AFA Rates'!$K$5:$K$1004,$T587)="","",INDEX('AFA Rates'!$K$5:$K$1004,$T587))))</f>
        <v/>
      </c>
      <c r="N587" s="50">
        <f>IF($T587="","",IF($S587="S",IF(INDEX(Firms!$M$5:$M$1004,$T587)="","",INDEX(Firms!$M$5:$M$1004,$T587)),IF(INDEX('AFA Rates'!$L$5:$L$1004,$T587)="","",INDEX('AFA Rates'!$L$5:$L$1004,$T587))))</f>
        <v/>
      </c>
      <c r="O587" s="78">
        <f>IF(OR($T587="",$U587=""),"",IF(INDEX(Firms!$C$5:$C$1004,$U587)="","",INDEX(Firms!$C$5:$C$1004,$U587)))</f>
        <v/>
      </c>
      <c r="P587" s="79">
        <f>IF(OR($T587="",$U587=""),"",IF(INDEX(Firms!$N$5:$N$1004,$U587)="","",INDEX(Firms!$N$5:$N$1004,$U587)))</f>
        <v/>
      </c>
      <c r="Q587" s="78">
        <f>IF($T587="","",IF($S587="S",IF(INDEX(Firms!$T$5:$T$1004,$T587)="","",INDEX(Firms!$T$5:$T$1004,$T587)),IF(INDEX('AFA Rates'!$M$5:$M$1004,$T587)="","",INDEX('AFA Rates'!$M$5:$M$1004,$T587))))</f>
        <v/>
      </c>
      <c r="S587">
        <f>IF(583&lt;=$S$2,"S",IF(583&lt;=$S$2+$T$2,"A",""))</f>
        <v/>
      </c>
      <c r="T587">
        <f>IF(S587="S",MATCH(583,Firms!$W$5:$W$1004,0),IF(S587="A",IFERROR(MATCH(583-$S$2,'AFA Rates'!$R$5:$R$1004,0),""),""))</f>
        <v/>
      </c>
      <c r="U587">
        <f>IF(S587="S",T587,IF(AND(S587="A",T587&lt;&gt;""),IFERROR(MATCH(INDEX('AFA Rates'!$A$5:$A$1004,T587),Firms!$A$5:$A$1004,0),""),""))</f>
        <v/>
      </c>
    </row>
    <row r="588">
      <c r="A588" s="78">
        <f>IF($T588="","",IF($S588="S",IF(INDEX(Firms!$A$5:$A$1004,$T588)="","",INDEX(Firms!$A$5:$A$1004,$T588)),IF(INDEX('AFA Rates'!$A$5:$A$1004,$T588)="","",INDEX('AFA Rates'!$A$5:$A$1004,$T588))))</f>
        <v/>
      </c>
      <c r="B588" s="79">
        <f>IF(OR($T588="",$U588=""),IF($T588="","","Not on Firms tab"),INDEX(Firms!$B$5:$B$1004,$U588)&amp;"")</f>
        <v/>
      </c>
      <c r="C588" s="78">
        <f>IF($T588="","",IF($S588="S","Standard",INDEX('AFA Rates'!$B$5:$B$1004,$T588)&amp;""))</f>
        <v/>
      </c>
      <c r="D588" s="88">
        <f>IF($T588="","",IF($S588="S",IF(INDEX(Firms!$E$5:$E$1004,$T588)="","",INDEX(Firms!$E$5:$E$1004,$T588)),IF(INDEX('AFA Rates'!$C$5:$C$1004,$T588)="","",INDEX('AFA Rates'!$C$5:$C$1004,$T588))))</f>
        <v/>
      </c>
      <c r="E588" s="88">
        <f>IF($T588="","",IF($S588="S",IF(""="","",""),IF(INDEX('AFA Rates'!$D$5:$D$1004,$T588)="","",INDEX('AFA Rates'!$D$5:$D$1004,$T588))))</f>
        <v/>
      </c>
      <c r="F588" s="79">
        <f>IF($T588="","",IF($S588="S",IF(INDEX(Firms!$O$5:$O$1004,$T588)="","",INDEX(Firms!$O$5:$O$1004,$T588)),IF(INDEX('AFA Rates'!$O$5:$O$1004,$T588)="","",INDEX('AFA Rates'!$O$5:$O$1004,$T588))))</f>
        <v/>
      </c>
      <c r="G588" s="50">
        <f>IF($T588="","",IF($S588="S",IF(INDEX(Firms!$F$5:$F$1004,$T588)="","",INDEX(Firms!$F$5:$F$1004,$T588)),IF(INDEX('AFA Rates'!$E$5:$E$1004,$T588)="","",INDEX('AFA Rates'!$E$5:$E$1004,$T588))))</f>
        <v/>
      </c>
      <c r="H588" s="50">
        <f>IF($T588="","",IF($S588="S",IF(INDEX(Firms!$G$5:$G$1004,$T588)="","",INDEX(Firms!$G$5:$G$1004,$T588)),IF(INDEX('AFA Rates'!$F$5:$F$1004,$T588)="","",INDEX('AFA Rates'!$F$5:$F$1004,$T588))))</f>
        <v/>
      </c>
      <c r="I588" s="50">
        <f>IF($T588="","",IF($S588="S",IF(INDEX(Firms!$H$5:$H$1004,$T588)="","",INDEX(Firms!$H$5:$H$1004,$T588)),IF(INDEX('AFA Rates'!$G$5:$G$1004,$T588)="","",INDEX('AFA Rates'!$G$5:$G$1004,$T588))))</f>
        <v/>
      </c>
      <c r="J588" s="50">
        <f>IF($T588="","",IF($S588="S",IF(INDEX(Firms!$I$5:$I$1004,$T588)="","",INDEX(Firms!$I$5:$I$1004,$T588)),IF(INDEX('AFA Rates'!$H$5:$H$1004,$T588)="","",INDEX('AFA Rates'!$H$5:$H$1004,$T588))))</f>
        <v/>
      </c>
      <c r="K588" s="50">
        <f>IF($T588="","",IF($S588="S",IF(INDEX(Firms!$J$5:$J$1004,$T588)="","",INDEX(Firms!$J$5:$J$1004,$T588)),IF(INDEX('AFA Rates'!$I$5:$I$1004,$T588)="","",INDEX('AFA Rates'!$I$5:$I$1004,$T588))))</f>
        <v/>
      </c>
      <c r="L588" s="50">
        <f>IF($T588="","",IF($S588="S",IF(INDEX(Firms!$K$5:$K$1004,$T588)="","",INDEX(Firms!$K$5:$K$1004,$T588)),IF(INDEX('AFA Rates'!$J$5:$J$1004,$T588)="","",INDEX('AFA Rates'!$J$5:$J$1004,$T588))))</f>
        <v/>
      </c>
      <c r="M588" s="50">
        <f>IF($T588="","",IF($S588="S",IF(INDEX(Firms!$L$5:$L$1004,$T588)="","",INDEX(Firms!$L$5:$L$1004,$T588)),IF(INDEX('AFA Rates'!$K$5:$K$1004,$T588)="","",INDEX('AFA Rates'!$K$5:$K$1004,$T588))))</f>
        <v/>
      </c>
      <c r="N588" s="50">
        <f>IF($T588="","",IF($S588="S",IF(INDEX(Firms!$M$5:$M$1004,$T588)="","",INDEX(Firms!$M$5:$M$1004,$T588)),IF(INDEX('AFA Rates'!$L$5:$L$1004,$T588)="","",INDEX('AFA Rates'!$L$5:$L$1004,$T588))))</f>
        <v/>
      </c>
      <c r="O588" s="78">
        <f>IF(OR($T588="",$U588=""),"",IF(INDEX(Firms!$C$5:$C$1004,$U588)="","",INDEX(Firms!$C$5:$C$1004,$U588)))</f>
        <v/>
      </c>
      <c r="P588" s="79">
        <f>IF(OR($T588="",$U588=""),"",IF(INDEX(Firms!$N$5:$N$1004,$U588)="","",INDEX(Firms!$N$5:$N$1004,$U588)))</f>
        <v/>
      </c>
      <c r="Q588" s="78">
        <f>IF($T588="","",IF($S588="S",IF(INDEX(Firms!$T$5:$T$1004,$T588)="","",INDEX(Firms!$T$5:$T$1004,$T588)),IF(INDEX('AFA Rates'!$M$5:$M$1004,$T588)="","",INDEX('AFA Rates'!$M$5:$M$1004,$T588))))</f>
        <v/>
      </c>
      <c r="S588">
        <f>IF(584&lt;=$S$2,"S",IF(584&lt;=$S$2+$T$2,"A",""))</f>
        <v/>
      </c>
      <c r="T588">
        <f>IF(S588="S",MATCH(584,Firms!$W$5:$W$1004,0),IF(S588="A",IFERROR(MATCH(584-$S$2,'AFA Rates'!$R$5:$R$1004,0),""),""))</f>
        <v/>
      </c>
      <c r="U588">
        <f>IF(S588="S",T588,IF(AND(S588="A",T588&lt;&gt;""),IFERROR(MATCH(INDEX('AFA Rates'!$A$5:$A$1004,T588),Firms!$A$5:$A$1004,0),""),""))</f>
        <v/>
      </c>
    </row>
    <row r="589">
      <c r="A589" s="78">
        <f>IF($T589="","",IF($S589="S",IF(INDEX(Firms!$A$5:$A$1004,$T589)="","",INDEX(Firms!$A$5:$A$1004,$T589)),IF(INDEX('AFA Rates'!$A$5:$A$1004,$T589)="","",INDEX('AFA Rates'!$A$5:$A$1004,$T589))))</f>
        <v/>
      </c>
      <c r="B589" s="79">
        <f>IF(OR($T589="",$U589=""),IF($T589="","","Not on Firms tab"),INDEX(Firms!$B$5:$B$1004,$U589)&amp;"")</f>
        <v/>
      </c>
      <c r="C589" s="78">
        <f>IF($T589="","",IF($S589="S","Standard",INDEX('AFA Rates'!$B$5:$B$1004,$T589)&amp;""))</f>
        <v/>
      </c>
      <c r="D589" s="88">
        <f>IF($T589="","",IF($S589="S",IF(INDEX(Firms!$E$5:$E$1004,$T589)="","",INDEX(Firms!$E$5:$E$1004,$T589)),IF(INDEX('AFA Rates'!$C$5:$C$1004,$T589)="","",INDEX('AFA Rates'!$C$5:$C$1004,$T589))))</f>
        <v/>
      </c>
      <c r="E589" s="88">
        <f>IF($T589="","",IF($S589="S",IF(""="","",""),IF(INDEX('AFA Rates'!$D$5:$D$1004,$T589)="","",INDEX('AFA Rates'!$D$5:$D$1004,$T589))))</f>
        <v/>
      </c>
      <c r="F589" s="79">
        <f>IF($T589="","",IF($S589="S",IF(INDEX(Firms!$O$5:$O$1004,$T589)="","",INDEX(Firms!$O$5:$O$1004,$T589)),IF(INDEX('AFA Rates'!$O$5:$O$1004,$T589)="","",INDEX('AFA Rates'!$O$5:$O$1004,$T589))))</f>
        <v/>
      </c>
      <c r="G589" s="50">
        <f>IF($T589="","",IF($S589="S",IF(INDEX(Firms!$F$5:$F$1004,$T589)="","",INDEX(Firms!$F$5:$F$1004,$T589)),IF(INDEX('AFA Rates'!$E$5:$E$1004,$T589)="","",INDEX('AFA Rates'!$E$5:$E$1004,$T589))))</f>
        <v/>
      </c>
      <c r="H589" s="50">
        <f>IF($T589="","",IF($S589="S",IF(INDEX(Firms!$G$5:$G$1004,$T589)="","",INDEX(Firms!$G$5:$G$1004,$T589)),IF(INDEX('AFA Rates'!$F$5:$F$1004,$T589)="","",INDEX('AFA Rates'!$F$5:$F$1004,$T589))))</f>
        <v/>
      </c>
      <c r="I589" s="50">
        <f>IF($T589="","",IF($S589="S",IF(INDEX(Firms!$H$5:$H$1004,$T589)="","",INDEX(Firms!$H$5:$H$1004,$T589)),IF(INDEX('AFA Rates'!$G$5:$G$1004,$T589)="","",INDEX('AFA Rates'!$G$5:$G$1004,$T589))))</f>
        <v/>
      </c>
      <c r="J589" s="50">
        <f>IF($T589="","",IF($S589="S",IF(INDEX(Firms!$I$5:$I$1004,$T589)="","",INDEX(Firms!$I$5:$I$1004,$T589)),IF(INDEX('AFA Rates'!$H$5:$H$1004,$T589)="","",INDEX('AFA Rates'!$H$5:$H$1004,$T589))))</f>
        <v/>
      </c>
      <c r="K589" s="50">
        <f>IF($T589="","",IF($S589="S",IF(INDEX(Firms!$J$5:$J$1004,$T589)="","",INDEX(Firms!$J$5:$J$1004,$T589)),IF(INDEX('AFA Rates'!$I$5:$I$1004,$T589)="","",INDEX('AFA Rates'!$I$5:$I$1004,$T589))))</f>
        <v/>
      </c>
      <c r="L589" s="50">
        <f>IF($T589="","",IF($S589="S",IF(INDEX(Firms!$K$5:$K$1004,$T589)="","",INDEX(Firms!$K$5:$K$1004,$T589)),IF(INDEX('AFA Rates'!$J$5:$J$1004,$T589)="","",INDEX('AFA Rates'!$J$5:$J$1004,$T589))))</f>
        <v/>
      </c>
      <c r="M589" s="50">
        <f>IF($T589="","",IF($S589="S",IF(INDEX(Firms!$L$5:$L$1004,$T589)="","",INDEX(Firms!$L$5:$L$1004,$T589)),IF(INDEX('AFA Rates'!$K$5:$K$1004,$T589)="","",INDEX('AFA Rates'!$K$5:$K$1004,$T589))))</f>
        <v/>
      </c>
      <c r="N589" s="50">
        <f>IF($T589="","",IF($S589="S",IF(INDEX(Firms!$M$5:$M$1004,$T589)="","",INDEX(Firms!$M$5:$M$1004,$T589)),IF(INDEX('AFA Rates'!$L$5:$L$1004,$T589)="","",INDEX('AFA Rates'!$L$5:$L$1004,$T589))))</f>
        <v/>
      </c>
      <c r="O589" s="78">
        <f>IF(OR($T589="",$U589=""),"",IF(INDEX(Firms!$C$5:$C$1004,$U589)="","",INDEX(Firms!$C$5:$C$1004,$U589)))</f>
        <v/>
      </c>
      <c r="P589" s="79">
        <f>IF(OR($T589="",$U589=""),"",IF(INDEX(Firms!$N$5:$N$1004,$U589)="","",INDEX(Firms!$N$5:$N$1004,$U589)))</f>
        <v/>
      </c>
      <c r="Q589" s="78">
        <f>IF($T589="","",IF($S589="S",IF(INDEX(Firms!$T$5:$T$1004,$T589)="","",INDEX(Firms!$T$5:$T$1004,$T589)),IF(INDEX('AFA Rates'!$M$5:$M$1004,$T589)="","",INDEX('AFA Rates'!$M$5:$M$1004,$T589))))</f>
        <v/>
      </c>
      <c r="S589">
        <f>IF(585&lt;=$S$2,"S",IF(585&lt;=$S$2+$T$2,"A",""))</f>
        <v/>
      </c>
      <c r="T589">
        <f>IF(S589="S",MATCH(585,Firms!$W$5:$W$1004,0),IF(S589="A",IFERROR(MATCH(585-$S$2,'AFA Rates'!$R$5:$R$1004,0),""),""))</f>
        <v/>
      </c>
      <c r="U589">
        <f>IF(S589="S",T589,IF(AND(S589="A",T589&lt;&gt;""),IFERROR(MATCH(INDEX('AFA Rates'!$A$5:$A$1004,T589),Firms!$A$5:$A$1004,0),""),""))</f>
        <v/>
      </c>
    </row>
    <row r="590">
      <c r="A590" s="78">
        <f>IF($T590="","",IF($S590="S",IF(INDEX(Firms!$A$5:$A$1004,$T590)="","",INDEX(Firms!$A$5:$A$1004,$T590)),IF(INDEX('AFA Rates'!$A$5:$A$1004,$T590)="","",INDEX('AFA Rates'!$A$5:$A$1004,$T590))))</f>
        <v/>
      </c>
      <c r="B590" s="79">
        <f>IF(OR($T590="",$U590=""),IF($T590="","","Not on Firms tab"),INDEX(Firms!$B$5:$B$1004,$U590)&amp;"")</f>
        <v/>
      </c>
      <c r="C590" s="78">
        <f>IF($T590="","",IF($S590="S","Standard",INDEX('AFA Rates'!$B$5:$B$1004,$T590)&amp;""))</f>
        <v/>
      </c>
      <c r="D590" s="88">
        <f>IF($T590="","",IF($S590="S",IF(INDEX(Firms!$E$5:$E$1004,$T590)="","",INDEX(Firms!$E$5:$E$1004,$T590)),IF(INDEX('AFA Rates'!$C$5:$C$1004,$T590)="","",INDEX('AFA Rates'!$C$5:$C$1004,$T590))))</f>
        <v/>
      </c>
      <c r="E590" s="88">
        <f>IF($T590="","",IF($S590="S",IF(""="","",""),IF(INDEX('AFA Rates'!$D$5:$D$1004,$T590)="","",INDEX('AFA Rates'!$D$5:$D$1004,$T590))))</f>
        <v/>
      </c>
      <c r="F590" s="79">
        <f>IF($T590="","",IF($S590="S",IF(INDEX(Firms!$O$5:$O$1004,$T590)="","",INDEX(Firms!$O$5:$O$1004,$T590)),IF(INDEX('AFA Rates'!$O$5:$O$1004,$T590)="","",INDEX('AFA Rates'!$O$5:$O$1004,$T590))))</f>
        <v/>
      </c>
      <c r="G590" s="50">
        <f>IF($T590="","",IF($S590="S",IF(INDEX(Firms!$F$5:$F$1004,$T590)="","",INDEX(Firms!$F$5:$F$1004,$T590)),IF(INDEX('AFA Rates'!$E$5:$E$1004,$T590)="","",INDEX('AFA Rates'!$E$5:$E$1004,$T590))))</f>
        <v/>
      </c>
      <c r="H590" s="50">
        <f>IF($T590="","",IF($S590="S",IF(INDEX(Firms!$G$5:$G$1004,$T590)="","",INDEX(Firms!$G$5:$G$1004,$T590)),IF(INDEX('AFA Rates'!$F$5:$F$1004,$T590)="","",INDEX('AFA Rates'!$F$5:$F$1004,$T590))))</f>
        <v/>
      </c>
      <c r="I590" s="50">
        <f>IF($T590="","",IF($S590="S",IF(INDEX(Firms!$H$5:$H$1004,$T590)="","",INDEX(Firms!$H$5:$H$1004,$T590)),IF(INDEX('AFA Rates'!$G$5:$G$1004,$T590)="","",INDEX('AFA Rates'!$G$5:$G$1004,$T590))))</f>
        <v/>
      </c>
      <c r="J590" s="50">
        <f>IF($T590="","",IF($S590="S",IF(INDEX(Firms!$I$5:$I$1004,$T590)="","",INDEX(Firms!$I$5:$I$1004,$T590)),IF(INDEX('AFA Rates'!$H$5:$H$1004,$T590)="","",INDEX('AFA Rates'!$H$5:$H$1004,$T590))))</f>
        <v/>
      </c>
      <c r="K590" s="50">
        <f>IF($T590="","",IF($S590="S",IF(INDEX(Firms!$J$5:$J$1004,$T590)="","",INDEX(Firms!$J$5:$J$1004,$T590)),IF(INDEX('AFA Rates'!$I$5:$I$1004,$T590)="","",INDEX('AFA Rates'!$I$5:$I$1004,$T590))))</f>
        <v/>
      </c>
      <c r="L590" s="50">
        <f>IF($T590="","",IF($S590="S",IF(INDEX(Firms!$K$5:$K$1004,$T590)="","",INDEX(Firms!$K$5:$K$1004,$T590)),IF(INDEX('AFA Rates'!$J$5:$J$1004,$T590)="","",INDEX('AFA Rates'!$J$5:$J$1004,$T590))))</f>
        <v/>
      </c>
      <c r="M590" s="50">
        <f>IF($T590="","",IF($S590="S",IF(INDEX(Firms!$L$5:$L$1004,$T590)="","",INDEX(Firms!$L$5:$L$1004,$T590)),IF(INDEX('AFA Rates'!$K$5:$K$1004,$T590)="","",INDEX('AFA Rates'!$K$5:$K$1004,$T590))))</f>
        <v/>
      </c>
      <c r="N590" s="50">
        <f>IF($T590="","",IF($S590="S",IF(INDEX(Firms!$M$5:$M$1004,$T590)="","",INDEX(Firms!$M$5:$M$1004,$T590)),IF(INDEX('AFA Rates'!$L$5:$L$1004,$T590)="","",INDEX('AFA Rates'!$L$5:$L$1004,$T590))))</f>
        <v/>
      </c>
      <c r="O590" s="78">
        <f>IF(OR($T590="",$U590=""),"",IF(INDEX(Firms!$C$5:$C$1004,$U590)="","",INDEX(Firms!$C$5:$C$1004,$U590)))</f>
        <v/>
      </c>
      <c r="P590" s="79">
        <f>IF(OR($T590="",$U590=""),"",IF(INDEX(Firms!$N$5:$N$1004,$U590)="","",INDEX(Firms!$N$5:$N$1004,$U590)))</f>
        <v/>
      </c>
      <c r="Q590" s="78">
        <f>IF($T590="","",IF($S590="S",IF(INDEX(Firms!$T$5:$T$1004,$T590)="","",INDEX(Firms!$T$5:$T$1004,$T590)),IF(INDEX('AFA Rates'!$M$5:$M$1004,$T590)="","",INDEX('AFA Rates'!$M$5:$M$1004,$T590))))</f>
        <v/>
      </c>
      <c r="S590">
        <f>IF(586&lt;=$S$2,"S",IF(586&lt;=$S$2+$T$2,"A",""))</f>
        <v/>
      </c>
      <c r="T590">
        <f>IF(S590="S",MATCH(586,Firms!$W$5:$W$1004,0),IF(S590="A",IFERROR(MATCH(586-$S$2,'AFA Rates'!$R$5:$R$1004,0),""),""))</f>
        <v/>
      </c>
      <c r="U590">
        <f>IF(S590="S",T590,IF(AND(S590="A",T590&lt;&gt;""),IFERROR(MATCH(INDEX('AFA Rates'!$A$5:$A$1004,T590),Firms!$A$5:$A$1004,0),""),""))</f>
        <v/>
      </c>
    </row>
    <row r="591">
      <c r="A591" s="78">
        <f>IF($T591="","",IF($S591="S",IF(INDEX(Firms!$A$5:$A$1004,$T591)="","",INDEX(Firms!$A$5:$A$1004,$T591)),IF(INDEX('AFA Rates'!$A$5:$A$1004,$T591)="","",INDEX('AFA Rates'!$A$5:$A$1004,$T591))))</f>
        <v/>
      </c>
      <c r="B591" s="79">
        <f>IF(OR($T591="",$U591=""),IF($T591="","","Not on Firms tab"),INDEX(Firms!$B$5:$B$1004,$U591)&amp;"")</f>
        <v/>
      </c>
      <c r="C591" s="78">
        <f>IF($T591="","",IF($S591="S","Standard",INDEX('AFA Rates'!$B$5:$B$1004,$T591)&amp;""))</f>
        <v/>
      </c>
      <c r="D591" s="88">
        <f>IF($T591="","",IF($S591="S",IF(INDEX(Firms!$E$5:$E$1004,$T591)="","",INDEX(Firms!$E$5:$E$1004,$T591)),IF(INDEX('AFA Rates'!$C$5:$C$1004,$T591)="","",INDEX('AFA Rates'!$C$5:$C$1004,$T591))))</f>
        <v/>
      </c>
      <c r="E591" s="88">
        <f>IF($T591="","",IF($S591="S",IF(""="","",""),IF(INDEX('AFA Rates'!$D$5:$D$1004,$T591)="","",INDEX('AFA Rates'!$D$5:$D$1004,$T591))))</f>
        <v/>
      </c>
      <c r="F591" s="79">
        <f>IF($T591="","",IF($S591="S",IF(INDEX(Firms!$O$5:$O$1004,$T591)="","",INDEX(Firms!$O$5:$O$1004,$T591)),IF(INDEX('AFA Rates'!$O$5:$O$1004,$T591)="","",INDEX('AFA Rates'!$O$5:$O$1004,$T591))))</f>
        <v/>
      </c>
      <c r="G591" s="50">
        <f>IF($T591="","",IF($S591="S",IF(INDEX(Firms!$F$5:$F$1004,$T591)="","",INDEX(Firms!$F$5:$F$1004,$T591)),IF(INDEX('AFA Rates'!$E$5:$E$1004,$T591)="","",INDEX('AFA Rates'!$E$5:$E$1004,$T591))))</f>
        <v/>
      </c>
      <c r="H591" s="50">
        <f>IF($T591="","",IF($S591="S",IF(INDEX(Firms!$G$5:$G$1004,$T591)="","",INDEX(Firms!$G$5:$G$1004,$T591)),IF(INDEX('AFA Rates'!$F$5:$F$1004,$T591)="","",INDEX('AFA Rates'!$F$5:$F$1004,$T591))))</f>
        <v/>
      </c>
      <c r="I591" s="50">
        <f>IF($T591="","",IF($S591="S",IF(INDEX(Firms!$H$5:$H$1004,$T591)="","",INDEX(Firms!$H$5:$H$1004,$T591)),IF(INDEX('AFA Rates'!$G$5:$G$1004,$T591)="","",INDEX('AFA Rates'!$G$5:$G$1004,$T591))))</f>
        <v/>
      </c>
      <c r="J591" s="50">
        <f>IF($T591="","",IF($S591="S",IF(INDEX(Firms!$I$5:$I$1004,$T591)="","",INDEX(Firms!$I$5:$I$1004,$T591)),IF(INDEX('AFA Rates'!$H$5:$H$1004,$T591)="","",INDEX('AFA Rates'!$H$5:$H$1004,$T591))))</f>
        <v/>
      </c>
      <c r="K591" s="50">
        <f>IF($T591="","",IF($S591="S",IF(INDEX(Firms!$J$5:$J$1004,$T591)="","",INDEX(Firms!$J$5:$J$1004,$T591)),IF(INDEX('AFA Rates'!$I$5:$I$1004,$T591)="","",INDEX('AFA Rates'!$I$5:$I$1004,$T591))))</f>
        <v/>
      </c>
      <c r="L591" s="50">
        <f>IF($T591="","",IF($S591="S",IF(INDEX(Firms!$K$5:$K$1004,$T591)="","",INDEX(Firms!$K$5:$K$1004,$T591)),IF(INDEX('AFA Rates'!$J$5:$J$1004,$T591)="","",INDEX('AFA Rates'!$J$5:$J$1004,$T591))))</f>
        <v/>
      </c>
      <c r="M591" s="50">
        <f>IF($T591="","",IF($S591="S",IF(INDEX(Firms!$L$5:$L$1004,$T591)="","",INDEX(Firms!$L$5:$L$1004,$T591)),IF(INDEX('AFA Rates'!$K$5:$K$1004,$T591)="","",INDEX('AFA Rates'!$K$5:$K$1004,$T591))))</f>
        <v/>
      </c>
      <c r="N591" s="50">
        <f>IF($T591="","",IF($S591="S",IF(INDEX(Firms!$M$5:$M$1004,$T591)="","",INDEX(Firms!$M$5:$M$1004,$T591)),IF(INDEX('AFA Rates'!$L$5:$L$1004,$T591)="","",INDEX('AFA Rates'!$L$5:$L$1004,$T591))))</f>
        <v/>
      </c>
      <c r="O591" s="78">
        <f>IF(OR($T591="",$U591=""),"",IF(INDEX(Firms!$C$5:$C$1004,$U591)="","",INDEX(Firms!$C$5:$C$1004,$U591)))</f>
        <v/>
      </c>
      <c r="P591" s="79">
        <f>IF(OR($T591="",$U591=""),"",IF(INDEX(Firms!$N$5:$N$1004,$U591)="","",INDEX(Firms!$N$5:$N$1004,$U591)))</f>
        <v/>
      </c>
      <c r="Q591" s="78">
        <f>IF($T591="","",IF($S591="S",IF(INDEX(Firms!$T$5:$T$1004,$T591)="","",INDEX(Firms!$T$5:$T$1004,$T591)),IF(INDEX('AFA Rates'!$M$5:$M$1004,$T591)="","",INDEX('AFA Rates'!$M$5:$M$1004,$T591))))</f>
        <v/>
      </c>
      <c r="S591">
        <f>IF(587&lt;=$S$2,"S",IF(587&lt;=$S$2+$T$2,"A",""))</f>
        <v/>
      </c>
      <c r="T591">
        <f>IF(S591="S",MATCH(587,Firms!$W$5:$W$1004,0),IF(S591="A",IFERROR(MATCH(587-$S$2,'AFA Rates'!$R$5:$R$1004,0),""),""))</f>
        <v/>
      </c>
      <c r="U591">
        <f>IF(S591="S",T591,IF(AND(S591="A",T591&lt;&gt;""),IFERROR(MATCH(INDEX('AFA Rates'!$A$5:$A$1004,T591),Firms!$A$5:$A$1004,0),""),""))</f>
        <v/>
      </c>
    </row>
    <row r="592">
      <c r="A592" s="78">
        <f>IF($T592="","",IF($S592="S",IF(INDEX(Firms!$A$5:$A$1004,$T592)="","",INDEX(Firms!$A$5:$A$1004,$T592)),IF(INDEX('AFA Rates'!$A$5:$A$1004,$T592)="","",INDEX('AFA Rates'!$A$5:$A$1004,$T592))))</f>
        <v/>
      </c>
      <c r="B592" s="79">
        <f>IF(OR($T592="",$U592=""),IF($T592="","","Not on Firms tab"),INDEX(Firms!$B$5:$B$1004,$U592)&amp;"")</f>
        <v/>
      </c>
      <c r="C592" s="78">
        <f>IF($T592="","",IF($S592="S","Standard",INDEX('AFA Rates'!$B$5:$B$1004,$T592)&amp;""))</f>
        <v/>
      </c>
      <c r="D592" s="88">
        <f>IF($T592="","",IF($S592="S",IF(INDEX(Firms!$E$5:$E$1004,$T592)="","",INDEX(Firms!$E$5:$E$1004,$T592)),IF(INDEX('AFA Rates'!$C$5:$C$1004,$T592)="","",INDEX('AFA Rates'!$C$5:$C$1004,$T592))))</f>
        <v/>
      </c>
      <c r="E592" s="88">
        <f>IF($T592="","",IF($S592="S",IF(""="","",""),IF(INDEX('AFA Rates'!$D$5:$D$1004,$T592)="","",INDEX('AFA Rates'!$D$5:$D$1004,$T592))))</f>
        <v/>
      </c>
      <c r="F592" s="79">
        <f>IF($T592="","",IF($S592="S",IF(INDEX(Firms!$O$5:$O$1004,$T592)="","",INDEX(Firms!$O$5:$O$1004,$T592)),IF(INDEX('AFA Rates'!$O$5:$O$1004,$T592)="","",INDEX('AFA Rates'!$O$5:$O$1004,$T592))))</f>
        <v/>
      </c>
      <c r="G592" s="50">
        <f>IF($T592="","",IF($S592="S",IF(INDEX(Firms!$F$5:$F$1004,$T592)="","",INDEX(Firms!$F$5:$F$1004,$T592)),IF(INDEX('AFA Rates'!$E$5:$E$1004,$T592)="","",INDEX('AFA Rates'!$E$5:$E$1004,$T592))))</f>
        <v/>
      </c>
      <c r="H592" s="50">
        <f>IF($T592="","",IF($S592="S",IF(INDEX(Firms!$G$5:$G$1004,$T592)="","",INDEX(Firms!$G$5:$G$1004,$T592)),IF(INDEX('AFA Rates'!$F$5:$F$1004,$T592)="","",INDEX('AFA Rates'!$F$5:$F$1004,$T592))))</f>
        <v/>
      </c>
      <c r="I592" s="50">
        <f>IF($T592="","",IF($S592="S",IF(INDEX(Firms!$H$5:$H$1004,$T592)="","",INDEX(Firms!$H$5:$H$1004,$T592)),IF(INDEX('AFA Rates'!$G$5:$G$1004,$T592)="","",INDEX('AFA Rates'!$G$5:$G$1004,$T592))))</f>
        <v/>
      </c>
      <c r="J592" s="50">
        <f>IF($T592="","",IF($S592="S",IF(INDEX(Firms!$I$5:$I$1004,$T592)="","",INDEX(Firms!$I$5:$I$1004,$T592)),IF(INDEX('AFA Rates'!$H$5:$H$1004,$T592)="","",INDEX('AFA Rates'!$H$5:$H$1004,$T592))))</f>
        <v/>
      </c>
      <c r="K592" s="50">
        <f>IF($T592="","",IF($S592="S",IF(INDEX(Firms!$J$5:$J$1004,$T592)="","",INDEX(Firms!$J$5:$J$1004,$T592)),IF(INDEX('AFA Rates'!$I$5:$I$1004,$T592)="","",INDEX('AFA Rates'!$I$5:$I$1004,$T592))))</f>
        <v/>
      </c>
      <c r="L592" s="50">
        <f>IF($T592="","",IF($S592="S",IF(INDEX(Firms!$K$5:$K$1004,$T592)="","",INDEX(Firms!$K$5:$K$1004,$T592)),IF(INDEX('AFA Rates'!$J$5:$J$1004,$T592)="","",INDEX('AFA Rates'!$J$5:$J$1004,$T592))))</f>
        <v/>
      </c>
      <c r="M592" s="50">
        <f>IF($T592="","",IF($S592="S",IF(INDEX(Firms!$L$5:$L$1004,$T592)="","",INDEX(Firms!$L$5:$L$1004,$T592)),IF(INDEX('AFA Rates'!$K$5:$K$1004,$T592)="","",INDEX('AFA Rates'!$K$5:$K$1004,$T592))))</f>
        <v/>
      </c>
      <c r="N592" s="50">
        <f>IF($T592="","",IF($S592="S",IF(INDEX(Firms!$M$5:$M$1004,$T592)="","",INDEX(Firms!$M$5:$M$1004,$T592)),IF(INDEX('AFA Rates'!$L$5:$L$1004,$T592)="","",INDEX('AFA Rates'!$L$5:$L$1004,$T592))))</f>
        <v/>
      </c>
      <c r="O592" s="78">
        <f>IF(OR($T592="",$U592=""),"",IF(INDEX(Firms!$C$5:$C$1004,$U592)="","",INDEX(Firms!$C$5:$C$1004,$U592)))</f>
        <v/>
      </c>
      <c r="P592" s="79">
        <f>IF(OR($T592="",$U592=""),"",IF(INDEX(Firms!$N$5:$N$1004,$U592)="","",INDEX(Firms!$N$5:$N$1004,$U592)))</f>
        <v/>
      </c>
      <c r="Q592" s="78">
        <f>IF($T592="","",IF($S592="S",IF(INDEX(Firms!$T$5:$T$1004,$T592)="","",INDEX(Firms!$T$5:$T$1004,$T592)),IF(INDEX('AFA Rates'!$M$5:$M$1004,$T592)="","",INDEX('AFA Rates'!$M$5:$M$1004,$T592))))</f>
        <v/>
      </c>
      <c r="S592">
        <f>IF(588&lt;=$S$2,"S",IF(588&lt;=$S$2+$T$2,"A",""))</f>
        <v/>
      </c>
      <c r="T592">
        <f>IF(S592="S",MATCH(588,Firms!$W$5:$W$1004,0),IF(S592="A",IFERROR(MATCH(588-$S$2,'AFA Rates'!$R$5:$R$1004,0),""),""))</f>
        <v/>
      </c>
      <c r="U592">
        <f>IF(S592="S",T592,IF(AND(S592="A",T592&lt;&gt;""),IFERROR(MATCH(INDEX('AFA Rates'!$A$5:$A$1004,T592),Firms!$A$5:$A$1004,0),""),""))</f>
        <v/>
      </c>
    </row>
    <row r="593">
      <c r="A593" s="78">
        <f>IF($T593="","",IF($S593="S",IF(INDEX(Firms!$A$5:$A$1004,$T593)="","",INDEX(Firms!$A$5:$A$1004,$T593)),IF(INDEX('AFA Rates'!$A$5:$A$1004,$T593)="","",INDEX('AFA Rates'!$A$5:$A$1004,$T593))))</f>
        <v/>
      </c>
      <c r="B593" s="79">
        <f>IF(OR($T593="",$U593=""),IF($T593="","","Not on Firms tab"),INDEX(Firms!$B$5:$B$1004,$U593)&amp;"")</f>
        <v/>
      </c>
      <c r="C593" s="78">
        <f>IF($T593="","",IF($S593="S","Standard",INDEX('AFA Rates'!$B$5:$B$1004,$T593)&amp;""))</f>
        <v/>
      </c>
      <c r="D593" s="88">
        <f>IF($T593="","",IF($S593="S",IF(INDEX(Firms!$E$5:$E$1004,$T593)="","",INDEX(Firms!$E$5:$E$1004,$T593)),IF(INDEX('AFA Rates'!$C$5:$C$1004,$T593)="","",INDEX('AFA Rates'!$C$5:$C$1004,$T593))))</f>
        <v/>
      </c>
      <c r="E593" s="88">
        <f>IF($T593="","",IF($S593="S",IF(""="","",""),IF(INDEX('AFA Rates'!$D$5:$D$1004,$T593)="","",INDEX('AFA Rates'!$D$5:$D$1004,$T593))))</f>
        <v/>
      </c>
      <c r="F593" s="79">
        <f>IF($T593="","",IF($S593="S",IF(INDEX(Firms!$O$5:$O$1004,$T593)="","",INDEX(Firms!$O$5:$O$1004,$T593)),IF(INDEX('AFA Rates'!$O$5:$O$1004,$T593)="","",INDEX('AFA Rates'!$O$5:$O$1004,$T593))))</f>
        <v/>
      </c>
      <c r="G593" s="50">
        <f>IF($T593="","",IF($S593="S",IF(INDEX(Firms!$F$5:$F$1004,$T593)="","",INDEX(Firms!$F$5:$F$1004,$T593)),IF(INDEX('AFA Rates'!$E$5:$E$1004,$T593)="","",INDEX('AFA Rates'!$E$5:$E$1004,$T593))))</f>
        <v/>
      </c>
      <c r="H593" s="50">
        <f>IF($T593="","",IF($S593="S",IF(INDEX(Firms!$G$5:$G$1004,$T593)="","",INDEX(Firms!$G$5:$G$1004,$T593)),IF(INDEX('AFA Rates'!$F$5:$F$1004,$T593)="","",INDEX('AFA Rates'!$F$5:$F$1004,$T593))))</f>
        <v/>
      </c>
      <c r="I593" s="50">
        <f>IF($T593="","",IF($S593="S",IF(INDEX(Firms!$H$5:$H$1004,$T593)="","",INDEX(Firms!$H$5:$H$1004,$T593)),IF(INDEX('AFA Rates'!$G$5:$G$1004,$T593)="","",INDEX('AFA Rates'!$G$5:$G$1004,$T593))))</f>
        <v/>
      </c>
      <c r="J593" s="50">
        <f>IF($T593="","",IF($S593="S",IF(INDEX(Firms!$I$5:$I$1004,$T593)="","",INDEX(Firms!$I$5:$I$1004,$T593)),IF(INDEX('AFA Rates'!$H$5:$H$1004,$T593)="","",INDEX('AFA Rates'!$H$5:$H$1004,$T593))))</f>
        <v/>
      </c>
      <c r="K593" s="50">
        <f>IF($T593="","",IF($S593="S",IF(INDEX(Firms!$J$5:$J$1004,$T593)="","",INDEX(Firms!$J$5:$J$1004,$T593)),IF(INDEX('AFA Rates'!$I$5:$I$1004,$T593)="","",INDEX('AFA Rates'!$I$5:$I$1004,$T593))))</f>
        <v/>
      </c>
      <c r="L593" s="50">
        <f>IF($T593="","",IF($S593="S",IF(INDEX(Firms!$K$5:$K$1004,$T593)="","",INDEX(Firms!$K$5:$K$1004,$T593)),IF(INDEX('AFA Rates'!$J$5:$J$1004,$T593)="","",INDEX('AFA Rates'!$J$5:$J$1004,$T593))))</f>
        <v/>
      </c>
      <c r="M593" s="50">
        <f>IF($T593="","",IF($S593="S",IF(INDEX(Firms!$L$5:$L$1004,$T593)="","",INDEX(Firms!$L$5:$L$1004,$T593)),IF(INDEX('AFA Rates'!$K$5:$K$1004,$T593)="","",INDEX('AFA Rates'!$K$5:$K$1004,$T593))))</f>
        <v/>
      </c>
      <c r="N593" s="50">
        <f>IF($T593="","",IF($S593="S",IF(INDEX(Firms!$M$5:$M$1004,$T593)="","",INDEX(Firms!$M$5:$M$1004,$T593)),IF(INDEX('AFA Rates'!$L$5:$L$1004,$T593)="","",INDEX('AFA Rates'!$L$5:$L$1004,$T593))))</f>
        <v/>
      </c>
      <c r="O593" s="78">
        <f>IF(OR($T593="",$U593=""),"",IF(INDEX(Firms!$C$5:$C$1004,$U593)="","",INDEX(Firms!$C$5:$C$1004,$U593)))</f>
        <v/>
      </c>
      <c r="P593" s="79">
        <f>IF(OR($T593="",$U593=""),"",IF(INDEX(Firms!$N$5:$N$1004,$U593)="","",INDEX(Firms!$N$5:$N$1004,$U593)))</f>
        <v/>
      </c>
      <c r="Q593" s="78">
        <f>IF($T593="","",IF($S593="S",IF(INDEX(Firms!$T$5:$T$1004,$T593)="","",INDEX(Firms!$T$5:$T$1004,$T593)),IF(INDEX('AFA Rates'!$M$5:$M$1004,$T593)="","",INDEX('AFA Rates'!$M$5:$M$1004,$T593))))</f>
        <v/>
      </c>
      <c r="S593">
        <f>IF(589&lt;=$S$2,"S",IF(589&lt;=$S$2+$T$2,"A",""))</f>
        <v/>
      </c>
      <c r="T593">
        <f>IF(S593="S",MATCH(589,Firms!$W$5:$W$1004,0),IF(S593="A",IFERROR(MATCH(589-$S$2,'AFA Rates'!$R$5:$R$1004,0),""),""))</f>
        <v/>
      </c>
      <c r="U593">
        <f>IF(S593="S",T593,IF(AND(S593="A",T593&lt;&gt;""),IFERROR(MATCH(INDEX('AFA Rates'!$A$5:$A$1004,T593),Firms!$A$5:$A$1004,0),""),""))</f>
        <v/>
      </c>
    </row>
    <row r="594">
      <c r="A594" s="78">
        <f>IF($T594="","",IF($S594="S",IF(INDEX(Firms!$A$5:$A$1004,$T594)="","",INDEX(Firms!$A$5:$A$1004,$T594)),IF(INDEX('AFA Rates'!$A$5:$A$1004,$T594)="","",INDEX('AFA Rates'!$A$5:$A$1004,$T594))))</f>
        <v/>
      </c>
      <c r="B594" s="79">
        <f>IF(OR($T594="",$U594=""),IF($T594="","","Not on Firms tab"),INDEX(Firms!$B$5:$B$1004,$U594)&amp;"")</f>
        <v/>
      </c>
      <c r="C594" s="78">
        <f>IF($T594="","",IF($S594="S","Standard",INDEX('AFA Rates'!$B$5:$B$1004,$T594)&amp;""))</f>
        <v/>
      </c>
      <c r="D594" s="88">
        <f>IF($T594="","",IF($S594="S",IF(INDEX(Firms!$E$5:$E$1004,$T594)="","",INDEX(Firms!$E$5:$E$1004,$T594)),IF(INDEX('AFA Rates'!$C$5:$C$1004,$T594)="","",INDEX('AFA Rates'!$C$5:$C$1004,$T594))))</f>
        <v/>
      </c>
      <c r="E594" s="88">
        <f>IF($T594="","",IF($S594="S",IF(""="","",""),IF(INDEX('AFA Rates'!$D$5:$D$1004,$T594)="","",INDEX('AFA Rates'!$D$5:$D$1004,$T594))))</f>
        <v/>
      </c>
      <c r="F594" s="79">
        <f>IF($T594="","",IF($S594="S",IF(INDEX(Firms!$O$5:$O$1004,$T594)="","",INDEX(Firms!$O$5:$O$1004,$T594)),IF(INDEX('AFA Rates'!$O$5:$O$1004,$T594)="","",INDEX('AFA Rates'!$O$5:$O$1004,$T594))))</f>
        <v/>
      </c>
      <c r="G594" s="50">
        <f>IF($T594="","",IF($S594="S",IF(INDEX(Firms!$F$5:$F$1004,$T594)="","",INDEX(Firms!$F$5:$F$1004,$T594)),IF(INDEX('AFA Rates'!$E$5:$E$1004,$T594)="","",INDEX('AFA Rates'!$E$5:$E$1004,$T594))))</f>
        <v/>
      </c>
      <c r="H594" s="50">
        <f>IF($T594="","",IF($S594="S",IF(INDEX(Firms!$G$5:$G$1004,$T594)="","",INDEX(Firms!$G$5:$G$1004,$T594)),IF(INDEX('AFA Rates'!$F$5:$F$1004,$T594)="","",INDEX('AFA Rates'!$F$5:$F$1004,$T594))))</f>
        <v/>
      </c>
      <c r="I594" s="50">
        <f>IF($T594="","",IF($S594="S",IF(INDEX(Firms!$H$5:$H$1004,$T594)="","",INDEX(Firms!$H$5:$H$1004,$T594)),IF(INDEX('AFA Rates'!$G$5:$G$1004,$T594)="","",INDEX('AFA Rates'!$G$5:$G$1004,$T594))))</f>
        <v/>
      </c>
      <c r="J594" s="50">
        <f>IF($T594="","",IF($S594="S",IF(INDEX(Firms!$I$5:$I$1004,$T594)="","",INDEX(Firms!$I$5:$I$1004,$T594)),IF(INDEX('AFA Rates'!$H$5:$H$1004,$T594)="","",INDEX('AFA Rates'!$H$5:$H$1004,$T594))))</f>
        <v/>
      </c>
      <c r="K594" s="50">
        <f>IF($T594="","",IF($S594="S",IF(INDEX(Firms!$J$5:$J$1004,$T594)="","",INDEX(Firms!$J$5:$J$1004,$T594)),IF(INDEX('AFA Rates'!$I$5:$I$1004,$T594)="","",INDEX('AFA Rates'!$I$5:$I$1004,$T594))))</f>
        <v/>
      </c>
      <c r="L594" s="50">
        <f>IF($T594="","",IF($S594="S",IF(INDEX(Firms!$K$5:$K$1004,$T594)="","",INDEX(Firms!$K$5:$K$1004,$T594)),IF(INDEX('AFA Rates'!$J$5:$J$1004,$T594)="","",INDEX('AFA Rates'!$J$5:$J$1004,$T594))))</f>
        <v/>
      </c>
      <c r="M594" s="50">
        <f>IF($T594="","",IF($S594="S",IF(INDEX(Firms!$L$5:$L$1004,$T594)="","",INDEX(Firms!$L$5:$L$1004,$T594)),IF(INDEX('AFA Rates'!$K$5:$K$1004,$T594)="","",INDEX('AFA Rates'!$K$5:$K$1004,$T594))))</f>
        <v/>
      </c>
      <c r="N594" s="50">
        <f>IF($T594="","",IF($S594="S",IF(INDEX(Firms!$M$5:$M$1004,$T594)="","",INDEX(Firms!$M$5:$M$1004,$T594)),IF(INDEX('AFA Rates'!$L$5:$L$1004,$T594)="","",INDEX('AFA Rates'!$L$5:$L$1004,$T594))))</f>
        <v/>
      </c>
      <c r="O594" s="78">
        <f>IF(OR($T594="",$U594=""),"",IF(INDEX(Firms!$C$5:$C$1004,$U594)="","",INDEX(Firms!$C$5:$C$1004,$U594)))</f>
        <v/>
      </c>
      <c r="P594" s="79">
        <f>IF(OR($T594="",$U594=""),"",IF(INDEX(Firms!$N$5:$N$1004,$U594)="","",INDEX(Firms!$N$5:$N$1004,$U594)))</f>
        <v/>
      </c>
      <c r="Q594" s="78">
        <f>IF($T594="","",IF($S594="S",IF(INDEX(Firms!$T$5:$T$1004,$T594)="","",INDEX(Firms!$T$5:$T$1004,$T594)),IF(INDEX('AFA Rates'!$M$5:$M$1004,$T594)="","",INDEX('AFA Rates'!$M$5:$M$1004,$T594))))</f>
        <v/>
      </c>
      <c r="S594">
        <f>IF(590&lt;=$S$2,"S",IF(590&lt;=$S$2+$T$2,"A",""))</f>
        <v/>
      </c>
      <c r="T594">
        <f>IF(S594="S",MATCH(590,Firms!$W$5:$W$1004,0),IF(S594="A",IFERROR(MATCH(590-$S$2,'AFA Rates'!$R$5:$R$1004,0),""),""))</f>
        <v/>
      </c>
      <c r="U594">
        <f>IF(S594="S",T594,IF(AND(S594="A",T594&lt;&gt;""),IFERROR(MATCH(INDEX('AFA Rates'!$A$5:$A$1004,T594),Firms!$A$5:$A$1004,0),""),""))</f>
        <v/>
      </c>
    </row>
    <row r="595">
      <c r="A595" s="78">
        <f>IF($T595="","",IF($S595="S",IF(INDEX(Firms!$A$5:$A$1004,$T595)="","",INDEX(Firms!$A$5:$A$1004,$T595)),IF(INDEX('AFA Rates'!$A$5:$A$1004,$T595)="","",INDEX('AFA Rates'!$A$5:$A$1004,$T595))))</f>
        <v/>
      </c>
      <c r="B595" s="79">
        <f>IF(OR($T595="",$U595=""),IF($T595="","","Not on Firms tab"),INDEX(Firms!$B$5:$B$1004,$U595)&amp;"")</f>
        <v/>
      </c>
      <c r="C595" s="78">
        <f>IF($T595="","",IF($S595="S","Standard",INDEX('AFA Rates'!$B$5:$B$1004,$T595)&amp;""))</f>
        <v/>
      </c>
      <c r="D595" s="88">
        <f>IF($T595="","",IF($S595="S",IF(INDEX(Firms!$E$5:$E$1004,$T595)="","",INDEX(Firms!$E$5:$E$1004,$T595)),IF(INDEX('AFA Rates'!$C$5:$C$1004,$T595)="","",INDEX('AFA Rates'!$C$5:$C$1004,$T595))))</f>
        <v/>
      </c>
      <c r="E595" s="88">
        <f>IF($T595="","",IF($S595="S",IF(""="","",""),IF(INDEX('AFA Rates'!$D$5:$D$1004,$T595)="","",INDEX('AFA Rates'!$D$5:$D$1004,$T595))))</f>
        <v/>
      </c>
      <c r="F595" s="79">
        <f>IF($T595="","",IF($S595="S",IF(INDEX(Firms!$O$5:$O$1004,$T595)="","",INDEX(Firms!$O$5:$O$1004,$T595)),IF(INDEX('AFA Rates'!$O$5:$O$1004,$T595)="","",INDEX('AFA Rates'!$O$5:$O$1004,$T595))))</f>
        <v/>
      </c>
      <c r="G595" s="50">
        <f>IF($T595="","",IF($S595="S",IF(INDEX(Firms!$F$5:$F$1004,$T595)="","",INDEX(Firms!$F$5:$F$1004,$T595)),IF(INDEX('AFA Rates'!$E$5:$E$1004,$T595)="","",INDEX('AFA Rates'!$E$5:$E$1004,$T595))))</f>
        <v/>
      </c>
      <c r="H595" s="50">
        <f>IF($T595="","",IF($S595="S",IF(INDEX(Firms!$G$5:$G$1004,$T595)="","",INDEX(Firms!$G$5:$G$1004,$T595)),IF(INDEX('AFA Rates'!$F$5:$F$1004,$T595)="","",INDEX('AFA Rates'!$F$5:$F$1004,$T595))))</f>
        <v/>
      </c>
      <c r="I595" s="50">
        <f>IF($T595="","",IF($S595="S",IF(INDEX(Firms!$H$5:$H$1004,$T595)="","",INDEX(Firms!$H$5:$H$1004,$T595)),IF(INDEX('AFA Rates'!$G$5:$G$1004,$T595)="","",INDEX('AFA Rates'!$G$5:$G$1004,$T595))))</f>
        <v/>
      </c>
      <c r="J595" s="50">
        <f>IF($T595="","",IF($S595="S",IF(INDEX(Firms!$I$5:$I$1004,$T595)="","",INDEX(Firms!$I$5:$I$1004,$T595)),IF(INDEX('AFA Rates'!$H$5:$H$1004,$T595)="","",INDEX('AFA Rates'!$H$5:$H$1004,$T595))))</f>
        <v/>
      </c>
      <c r="K595" s="50">
        <f>IF($T595="","",IF($S595="S",IF(INDEX(Firms!$J$5:$J$1004,$T595)="","",INDEX(Firms!$J$5:$J$1004,$T595)),IF(INDEX('AFA Rates'!$I$5:$I$1004,$T595)="","",INDEX('AFA Rates'!$I$5:$I$1004,$T595))))</f>
        <v/>
      </c>
      <c r="L595" s="50">
        <f>IF($T595="","",IF($S595="S",IF(INDEX(Firms!$K$5:$K$1004,$T595)="","",INDEX(Firms!$K$5:$K$1004,$T595)),IF(INDEX('AFA Rates'!$J$5:$J$1004,$T595)="","",INDEX('AFA Rates'!$J$5:$J$1004,$T595))))</f>
        <v/>
      </c>
      <c r="M595" s="50">
        <f>IF($T595="","",IF($S595="S",IF(INDEX(Firms!$L$5:$L$1004,$T595)="","",INDEX(Firms!$L$5:$L$1004,$T595)),IF(INDEX('AFA Rates'!$K$5:$K$1004,$T595)="","",INDEX('AFA Rates'!$K$5:$K$1004,$T595))))</f>
        <v/>
      </c>
      <c r="N595" s="50">
        <f>IF($T595="","",IF($S595="S",IF(INDEX(Firms!$M$5:$M$1004,$T595)="","",INDEX(Firms!$M$5:$M$1004,$T595)),IF(INDEX('AFA Rates'!$L$5:$L$1004,$T595)="","",INDEX('AFA Rates'!$L$5:$L$1004,$T595))))</f>
        <v/>
      </c>
      <c r="O595" s="78">
        <f>IF(OR($T595="",$U595=""),"",IF(INDEX(Firms!$C$5:$C$1004,$U595)="","",INDEX(Firms!$C$5:$C$1004,$U595)))</f>
        <v/>
      </c>
      <c r="P595" s="79">
        <f>IF(OR($T595="",$U595=""),"",IF(INDEX(Firms!$N$5:$N$1004,$U595)="","",INDEX(Firms!$N$5:$N$1004,$U595)))</f>
        <v/>
      </c>
      <c r="Q595" s="78">
        <f>IF($T595="","",IF($S595="S",IF(INDEX(Firms!$T$5:$T$1004,$T595)="","",INDEX(Firms!$T$5:$T$1004,$T595)),IF(INDEX('AFA Rates'!$M$5:$M$1004,$T595)="","",INDEX('AFA Rates'!$M$5:$M$1004,$T595))))</f>
        <v/>
      </c>
      <c r="S595">
        <f>IF(591&lt;=$S$2,"S",IF(591&lt;=$S$2+$T$2,"A",""))</f>
        <v/>
      </c>
      <c r="T595">
        <f>IF(S595="S",MATCH(591,Firms!$W$5:$W$1004,0),IF(S595="A",IFERROR(MATCH(591-$S$2,'AFA Rates'!$R$5:$R$1004,0),""),""))</f>
        <v/>
      </c>
      <c r="U595">
        <f>IF(S595="S",T595,IF(AND(S595="A",T595&lt;&gt;""),IFERROR(MATCH(INDEX('AFA Rates'!$A$5:$A$1004,T595),Firms!$A$5:$A$1004,0),""),""))</f>
        <v/>
      </c>
    </row>
    <row r="596">
      <c r="A596" s="78">
        <f>IF($T596="","",IF($S596="S",IF(INDEX(Firms!$A$5:$A$1004,$T596)="","",INDEX(Firms!$A$5:$A$1004,$T596)),IF(INDEX('AFA Rates'!$A$5:$A$1004,$T596)="","",INDEX('AFA Rates'!$A$5:$A$1004,$T596))))</f>
        <v/>
      </c>
      <c r="B596" s="79">
        <f>IF(OR($T596="",$U596=""),IF($T596="","","Not on Firms tab"),INDEX(Firms!$B$5:$B$1004,$U596)&amp;"")</f>
        <v/>
      </c>
      <c r="C596" s="78">
        <f>IF($T596="","",IF($S596="S","Standard",INDEX('AFA Rates'!$B$5:$B$1004,$T596)&amp;""))</f>
        <v/>
      </c>
      <c r="D596" s="88">
        <f>IF($T596="","",IF($S596="S",IF(INDEX(Firms!$E$5:$E$1004,$T596)="","",INDEX(Firms!$E$5:$E$1004,$T596)),IF(INDEX('AFA Rates'!$C$5:$C$1004,$T596)="","",INDEX('AFA Rates'!$C$5:$C$1004,$T596))))</f>
        <v/>
      </c>
      <c r="E596" s="88">
        <f>IF($T596="","",IF($S596="S",IF(""="","",""),IF(INDEX('AFA Rates'!$D$5:$D$1004,$T596)="","",INDEX('AFA Rates'!$D$5:$D$1004,$T596))))</f>
        <v/>
      </c>
      <c r="F596" s="79">
        <f>IF($T596="","",IF($S596="S",IF(INDEX(Firms!$O$5:$O$1004,$T596)="","",INDEX(Firms!$O$5:$O$1004,$T596)),IF(INDEX('AFA Rates'!$O$5:$O$1004,$T596)="","",INDEX('AFA Rates'!$O$5:$O$1004,$T596))))</f>
        <v/>
      </c>
      <c r="G596" s="50">
        <f>IF($T596="","",IF($S596="S",IF(INDEX(Firms!$F$5:$F$1004,$T596)="","",INDEX(Firms!$F$5:$F$1004,$T596)),IF(INDEX('AFA Rates'!$E$5:$E$1004,$T596)="","",INDEX('AFA Rates'!$E$5:$E$1004,$T596))))</f>
        <v/>
      </c>
      <c r="H596" s="50">
        <f>IF($T596="","",IF($S596="S",IF(INDEX(Firms!$G$5:$G$1004,$T596)="","",INDEX(Firms!$G$5:$G$1004,$T596)),IF(INDEX('AFA Rates'!$F$5:$F$1004,$T596)="","",INDEX('AFA Rates'!$F$5:$F$1004,$T596))))</f>
        <v/>
      </c>
      <c r="I596" s="50">
        <f>IF($T596="","",IF($S596="S",IF(INDEX(Firms!$H$5:$H$1004,$T596)="","",INDEX(Firms!$H$5:$H$1004,$T596)),IF(INDEX('AFA Rates'!$G$5:$G$1004,$T596)="","",INDEX('AFA Rates'!$G$5:$G$1004,$T596))))</f>
        <v/>
      </c>
      <c r="J596" s="50">
        <f>IF($T596="","",IF($S596="S",IF(INDEX(Firms!$I$5:$I$1004,$T596)="","",INDEX(Firms!$I$5:$I$1004,$T596)),IF(INDEX('AFA Rates'!$H$5:$H$1004,$T596)="","",INDEX('AFA Rates'!$H$5:$H$1004,$T596))))</f>
        <v/>
      </c>
      <c r="K596" s="50">
        <f>IF($T596="","",IF($S596="S",IF(INDEX(Firms!$J$5:$J$1004,$T596)="","",INDEX(Firms!$J$5:$J$1004,$T596)),IF(INDEX('AFA Rates'!$I$5:$I$1004,$T596)="","",INDEX('AFA Rates'!$I$5:$I$1004,$T596))))</f>
        <v/>
      </c>
      <c r="L596" s="50">
        <f>IF($T596="","",IF($S596="S",IF(INDEX(Firms!$K$5:$K$1004,$T596)="","",INDEX(Firms!$K$5:$K$1004,$T596)),IF(INDEX('AFA Rates'!$J$5:$J$1004,$T596)="","",INDEX('AFA Rates'!$J$5:$J$1004,$T596))))</f>
        <v/>
      </c>
      <c r="M596" s="50">
        <f>IF($T596="","",IF($S596="S",IF(INDEX(Firms!$L$5:$L$1004,$T596)="","",INDEX(Firms!$L$5:$L$1004,$T596)),IF(INDEX('AFA Rates'!$K$5:$K$1004,$T596)="","",INDEX('AFA Rates'!$K$5:$K$1004,$T596))))</f>
        <v/>
      </c>
      <c r="N596" s="50">
        <f>IF($T596="","",IF($S596="S",IF(INDEX(Firms!$M$5:$M$1004,$T596)="","",INDEX(Firms!$M$5:$M$1004,$T596)),IF(INDEX('AFA Rates'!$L$5:$L$1004,$T596)="","",INDEX('AFA Rates'!$L$5:$L$1004,$T596))))</f>
        <v/>
      </c>
      <c r="O596" s="78">
        <f>IF(OR($T596="",$U596=""),"",IF(INDEX(Firms!$C$5:$C$1004,$U596)="","",INDEX(Firms!$C$5:$C$1004,$U596)))</f>
        <v/>
      </c>
      <c r="P596" s="79">
        <f>IF(OR($T596="",$U596=""),"",IF(INDEX(Firms!$N$5:$N$1004,$U596)="","",INDEX(Firms!$N$5:$N$1004,$U596)))</f>
        <v/>
      </c>
      <c r="Q596" s="78">
        <f>IF($T596="","",IF($S596="S",IF(INDEX(Firms!$T$5:$T$1004,$T596)="","",INDEX(Firms!$T$5:$T$1004,$T596)),IF(INDEX('AFA Rates'!$M$5:$M$1004,$T596)="","",INDEX('AFA Rates'!$M$5:$M$1004,$T596))))</f>
        <v/>
      </c>
      <c r="S596">
        <f>IF(592&lt;=$S$2,"S",IF(592&lt;=$S$2+$T$2,"A",""))</f>
        <v/>
      </c>
      <c r="T596">
        <f>IF(S596="S",MATCH(592,Firms!$W$5:$W$1004,0),IF(S596="A",IFERROR(MATCH(592-$S$2,'AFA Rates'!$R$5:$R$1004,0),""),""))</f>
        <v/>
      </c>
      <c r="U596">
        <f>IF(S596="S",T596,IF(AND(S596="A",T596&lt;&gt;""),IFERROR(MATCH(INDEX('AFA Rates'!$A$5:$A$1004,T596),Firms!$A$5:$A$1004,0),""),""))</f>
        <v/>
      </c>
    </row>
    <row r="597">
      <c r="A597" s="78">
        <f>IF($T597="","",IF($S597="S",IF(INDEX(Firms!$A$5:$A$1004,$T597)="","",INDEX(Firms!$A$5:$A$1004,$T597)),IF(INDEX('AFA Rates'!$A$5:$A$1004,$T597)="","",INDEX('AFA Rates'!$A$5:$A$1004,$T597))))</f>
        <v/>
      </c>
      <c r="B597" s="79">
        <f>IF(OR($T597="",$U597=""),IF($T597="","","Not on Firms tab"),INDEX(Firms!$B$5:$B$1004,$U597)&amp;"")</f>
        <v/>
      </c>
      <c r="C597" s="78">
        <f>IF($T597="","",IF($S597="S","Standard",INDEX('AFA Rates'!$B$5:$B$1004,$T597)&amp;""))</f>
        <v/>
      </c>
      <c r="D597" s="88">
        <f>IF($T597="","",IF($S597="S",IF(INDEX(Firms!$E$5:$E$1004,$T597)="","",INDEX(Firms!$E$5:$E$1004,$T597)),IF(INDEX('AFA Rates'!$C$5:$C$1004,$T597)="","",INDEX('AFA Rates'!$C$5:$C$1004,$T597))))</f>
        <v/>
      </c>
      <c r="E597" s="88">
        <f>IF($T597="","",IF($S597="S",IF(""="","",""),IF(INDEX('AFA Rates'!$D$5:$D$1004,$T597)="","",INDEX('AFA Rates'!$D$5:$D$1004,$T597))))</f>
        <v/>
      </c>
      <c r="F597" s="79">
        <f>IF($T597="","",IF($S597="S",IF(INDEX(Firms!$O$5:$O$1004,$T597)="","",INDEX(Firms!$O$5:$O$1004,$T597)),IF(INDEX('AFA Rates'!$O$5:$O$1004,$T597)="","",INDEX('AFA Rates'!$O$5:$O$1004,$T597))))</f>
        <v/>
      </c>
      <c r="G597" s="50">
        <f>IF($T597="","",IF($S597="S",IF(INDEX(Firms!$F$5:$F$1004,$T597)="","",INDEX(Firms!$F$5:$F$1004,$T597)),IF(INDEX('AFA Rates'!$E$5:$E$1004,$T597)="","",INDEX('AFA Rates'!$E$5:$E$1004,$T597))))</f>
        <v/>
      </c>
      <c r="H597" s="50">
        <f>IF($T597="","",IF($S597="S",IF(INDEX(Firms!$G$5:$G$1004,$T597)="","",INDEX(Firms!$G$5:$G$1004,$T597)),IF(INDEX('AFA Rates'!$F$5:$F$1004,$T597)="","",INDEX('AFA Rates'!$F$5:$F$1004,$T597))))</f>
        <v/>
      </c>
      <c r="I597" s="50">
        <f>IF($T597="","",IF($S597="S",IF(INDEX(Firms!$H$5:$H$1004,$T597)="","",INDEX(Firms!$H$5:$H$1004,$T597)),IF(INDEX('AFA Rates'!$G$5:$G$1004,$T597)="","",INDEX('AFA Rates'!$G$5:$G$1004,$T597))))</f>
        <v/>
      </c>
      <c r="J597" s="50">
        <f>IF($T597="","",IF($S597="S",IF(INDEX(Firms!$I$5:$I$1004,$T597)="","",INDEX(Firms!$I$5:$I$1004,$T597)),IF(INDEX('AFA Rates'!$H$5:$H$1004,$T597)="","",INDEX('AFA Rates'!$H$5:$H$1004,$T597))))</f>
        <v/>
      </c>
      <c r="K597" s="50">
        <f>IF($T597="","",IF($S597="S",IF(INDEX(Firms!$J$5:$J$1004,$T597)="","",INDEX(Firms!$J$5:$J$1004,$T597)),IF(INDEX('AFA Rates'!$I$5:$I$1004,$T597)="","",INDEX('AFA Rates'!$I$5:$I$1004,$T597))))</f>
        <v/>
      </c>
      <c r="L597" s="50">
        <f>IF($T597="","",IF($S597="S",IF(INDEX(Firms!$K$5:$K$1004,$T597)="","",INDEX(Firms!$K$5:$K$1004,$T597)),IF(INDEX('AFA Rates'!$J$5:$J$1004,$T597)="","",INDEX('AFA Rates'!$J$5:$J$1004,$T597))))</f>
        <v/>
      </c>
      <c r="M597" s="50">
        <f>IF($T597="","",IF($S597="S",IF(INDEX(Firms!$L$5:$L$1004,$T597)="","",INDEX(Firms!$L$5:$L$1004,$T597)),IF(INDEX('AFA Rates'!$K$5:$K$1004,$T597)="","",INDEX('AFA Rates'!$K$5:$K$1004,$T597))))</f>
        <v/>
      </c>
      <c r="N597" s="50">
        <f>IF($T597="","",IF($S597="S",IF(INDEX(Firms!$M$5:$M$1004,$T597)="","",INDEX(Firms!$M$5:$M$1004,$T597)),IF(INDEX('AFA Rates'!$L$5:$L$1004,$T597)="","",INDEX('AFA Rates'!$L$5:$L$1004,$T597))))</f>
        <v/>
      </c>
      <c r="O597" s="78">
        <f>IF(OR($T597="",$U597=""),"",IF(INDEX(Firms!$C$5:$C$1004,$U597)="","",INDEX(Firms!$C$5:$C$1004,$U597)))</f>
        <v/>
      </c>
      <c r="P597" s="79">
        <f>IF(OR($T597="",$U597=""),"",IF(INDEX(Firms!$N$5:$N$1004,$U597)="","",INDEX(Firms!$N$5:$N$1004,$U597)))</f>
        <v/>
      </c>
      <c r="Q597" s="78">
        <f>IF($T597="","",IF($S597="S",IF(INDEX(Firms!$T$5:$T$1004,$T597)="","",INDEX(Firms!$T$5:$T$1004,$T597)),IF(INDEX('AFA Rates'!$M$5:$M$1004,$T597)="","",INDEX('AFA Rates'!$M$5:$M$1004,$T597))))</f>
        <v/>
      </c>
      <c r="S597">
        <f>IF(593&lt;=$S$2,"S",IF(593&lt;=$S$2+$T$2,"A",""))</f>
        <v/>
      </c>
      <c r="T597">
        <f>IF(S597="S",MATCH(593,Firms!$W$5:$W$1004,0),IF(S597="A",IFERROR(MATCH(593-$S$2,'AFA Rates'!$R$5:$R$1004,0),""),""))</f>
        <v/>
      </c>
      <c r="U597">
        <f>IF(S597="S",T597,IF(AND(S597="A",T597&lt;&gt;""),IFERROR(MATCH(INDEX('AFA Rates'!$A$5:$A$1004,T597),Firms!$A$5:$A$1004,0),""),""))</f>
        <v/>
      </c>
    </row>
    <row r="598">
      <c r="A598" s="78">
        <f>IF($T598="","",IF($S598="S",IF(INDEX(Firms!$A$5:$A$1004,$T598)="","",INDEX(Firms!$A$5:$A$1004,$T598)),IF(INDEX('AFA Rates'!$A$5:$A$1004,$T598)="","",INDEX('AFA Rates'!$A$5:$A$1004,$T598))))</f>
        <v/>
      </c>
      <c r="B598" s="79">
        <f>IF(OR($T598="",$U598=""),IF($T598="","","Not on Firms tab"),INDEX(Firms!$B$5:$B$1004,$U598)&amp;"")</f>
        <v/>
      </c>
      <c r="C598" s="78">
        <f>IF($T598="","",IF($S598="S","Standard",INDEX('AFA Rates'!$B$5:$B$1004,$T598)&amp;""))</f>
        <v/>
      </c>
      <c r="D598" s="88">
        <f>IF($T598="","",IF($S598="S",IF(INDEX(Firms!$E$5:$E$1004,$T598)="","",INDEX(Firms!$E$5:$E$1004,$T598)),IF(INDEX('AFA Rates'!$C$5:$C$1004,$T598)="","",INDEX('AFA Rates'!$C$5:$C$1004,$T598))))</f>
        <v/>
      </c>
      <c r="E598" s="88">
        <f>IF($T598="","",IF($S598="S",IF(""="","",""),IF(INDEX('AFA Rates'!$D$5:$D$1004,$T598)="","",INDEX('AFA Rates'!$D$5:$D$1004,$T598))))</f>
        <v/>
      </c>
      <c r="F598" s="79">
        <f>IF($T598="","",IF($S598="S",IF(INDEX(Firms!$O$5:$O$1004,$T598)="","",INDEX(Firms!$O$5:$O$1004,$T598)),IF(INDEX('AFA Rates'!$O$5:$O$1004,$T598)="","",INDEX('AFA Rates'!$O$5:$O$1004,$T598))))</f>
        <v/>
      </c>
      <c r="G598" s="50">
        <f>IF($T598="","",IF($S598="S",IF(INDEX(Firms!$F$5:$F$1004,$T598)="","",INDEX(Firms!$F$5:$F$1004,$T598)),IF(INDEX('AFA Rates'!$E$5:$E$1004,$T598)="","",INDEX('AFA Rates'!$E$5:$E$1004,$T598))))</f>
        <v/>
      </c>
      <c r="H598" s="50">
        <f>IF($T598="","",IF($S598="S",IF(INDEX(Firms!$G$5:$G$1004,$T598)="","",INDEX(Firms!$G$5:$G$1004,$T598)),IF(INDEX('AFA Rates'!$F$5:$F$1004,$T598)="","",INDEX('AFA Rates'!$F$5:$F$1004,$T598))))</f>
        <v/>
      </c>
      <c r="I598" s="50">
        <f>IF($T598="","",IF($S598="S",IF(INDEX(Firms!$H$5:$H$1004,$T598)="","",INDEX(Firms!$H$5:$H$1004,$T598)),IF(INDEX('AFA Rates'!$G$5:$G$1004,$T598)="","",INDEX('AFA Rates'!$G$5:$G$1004,$T598))))</f>
        <v/>
      </c>
      <c r="J598" s="50">
        <f>IF($T598="","",IF($S598="S",IF(INDEX(Firms!$I$5:$I$1004,$T598)="","",INDEX(Firms!$I$5:$I$1004,$T598)),IF(INDEX('AFA Rates'!$H$5:$H$1004,$T598)="","",INDEX('AFA Rates'!$H$5:$H$1004,$T598))))</f>
        <v/>
      </c>
      <c r="K598" s="50">
        <f>IF($T598="","",IF($S598="S",IF(INDEX(Firms!$J$5:$J$1004,$T598)="","",INDEX(Firms!$J$5:$J$1004,$T598)),IF(INDEX('AFA Rates'!$I$5:$I$1004,$T598)="","",INDEX('AFA Rates'!$I$5:$I$1004,$T598))))</f>
        <v/>
      </c>
      <c r="L598" s="50">
        <f>IF($T598="","",IF($S598="S",IF(INDEX(Firms!$K$5:$K$1004,$T598)="","",INDEX(Firms!$K$5:$K$1004,$T598)),IF(INDEX('AFA Rates'!$J$5:$J$1004,$T598)="","",INDEX('AFA Rates'!$J$5:$J$1004,$T598))))</f>
        <v/>
      </c>
      <c r="M598" s="50">
        <f>IF($T598="","",IF($S598="S",IF(INDEX(Firms!$L$5:$L$1004,$T598)="","",INDEX(Firms!$L$5:$L$1004,$T598)),IF(INDEX('AFA Rates'!$K$5:$K$1004,$T598)="","",INDEX('AFA Rates'!$K$5:$K$1004,$T598))))</f>
        <v/>
      </c>
      <c r="N598" s="50">
        <f>IF($T598="","",IF($S598="S",IF(INDEX(Firms!$M$5:$M$1004,$T598)="","",INDEX(Firms!$M$5:$M$1004,$T598)),IF(INDEX('AFA Rates'!$L$5:$L$1004,$T598)="","",INDEX('AFA Rates'!$L$5:$L$1004,$T598))))</f>
        <v/>
      </c>
      <c r="O598" s="78">
        <f>IF(OR($T598="",$U598=""),"",IF(INDEX(Firms!$C$5:$C$1004,$U598)="","",INDEX(Firms!$C$5:$C$1004,$U598)))</f>
        <v/>
      </c>
      <c r="P598" s="79">
        <f>IF(OR($T598="",$U598=""),"",IF(INDEX(Firms!$N$5:$N$1004,$U598)="","",INDEX(Firms!$N$5:$N$1004,$U598)))</f>
        <v/>
      </c>
      <c r="Q598" s="78">
        <f>IF($T598="","",IF($S598="S",IF(INDEX(Firms!$T$5:$T$1004,$T598)="","",INDEX(Firms!$T$5:$T$1004,$T598)),IF(INDEX('AFA Rates'!$M$5:$M$1004,$T598)="","",INDEX('AFA Rates'!$M$5:$M$1004,$T598))))</f>
        <v/>
      </c>
      <c r="S598">
        <f>IF(594&lt;=$S$2,"S",IF(594&lt;=$S$2+$T$2,"A",""))</f>
        <v/>
      </c>
      <c r="T598">
        <f>IF(S598="S",MATCH(594,Firms!$W$5:$W$1004,0),IF(S598="A",IFERROR(MATCH(594-$S$2,'AFA Rates'!$R$5:$R$1004,0),""),""))</f>
        <v/>
      </c>
      <c r="U598">
        <f>IF(S598="S",T598,IF(AND(S598="A",T598&lt;&gt;""),IFERROR(MATCH(INDEX('AFA Rates'!$A$5:$A$1004,T598),Firms!$A$5:$A$1004,0),""),""))</f>
        <v/>
      </c>
    </row>
    <row r="599">
      <c r="A599" s="78">
        <f>IF($T599="","",IF($S599="S",IF(INDEX(Firms!$A$5:$A$1004,$T599)="","",INDEX(Firms!$A$5:$A$1004,$T599)),IF(INDEX('AFA Rates'!$A$5:$A$1004,$T599)="","",INDEX('AFA Rates'!$A$5:$A$1004,$T599))))</f>
        <v/>
      </c>
      <c r="B599" s="79">
        <f>IF(OR($T599="",$U599=""),IF($T599="","","Not on Firms tab"),INDEX(Firms!$B$5:$B$1004,$U599)&amp;"")</f>
        <v/>
      </c>
      <c r="C599" s="78">
        <f>IF($T599="","",IF($S599="S","Standard",INDEX('AFA Rates'!$B$5:$B$1004,$T599)&amp;""))</f>
        <v/>
      </c>
      <c r="D599" s="88">
        <f>IF($T599="","",IF($S599="S",IF(INDEX(Firms!$E$5:$E$1004,$T599)="","",INDEX(Firms!$E$5:$E$1004,$T599)),IF(INDEX('AFA Rates'!$C$5:$C$1004,$T599)="","",INDEX('AFA Rates'!$C$5:$C$1004,$T599))))</f>
        <v/>
      </c>
      <c r="E599" s="88">
        <f>IF($T599="","",IF($S599="S",IF(""="","",""),IF(INDEX('AFA Rates'!$D$5:$D$1004,$T599)="","",INDEX('AFA Rates'!$D$5:$D$1004,$T599))))</f>
        <v/>
      </c>
      <c r="F599" s="79">
        <f>IF($T599="","",IF($S599="S",IF(INDEX(Firms!$O$5:$O$1004,$T599)="","",INDEX(Firms!$O$5:$O$1004,$T599)),IF(INDEX('AFA Rates'!$O$5:$O$1004,$T599)="","",INDEX('AFA Rates'!$O$5:$O$1004,$T599))))</f>
        <v/>
      </c>
      <c r="G599" s="50">
        <f>IF($T599="","",IF($S599="S",IF(INDEX(Firms!$F$5:$F$1004,$T599)="","",INDEX(Firms!$F$5:$F$1004,$T599)),IF(INDEX('AFA Rates'!$E$5:$E$1004,$T599)="","",INDEX('AFA Rates'!$E$5:$E$1004,$T599))))</f>
        <v/>
      </c>
      <c r="H599" s="50">
        <f>IF($T599="","",IF($S599="S",IF(INDEX(Firms!$G$5:$G$1004,$T599)="","",INDEX(Firms!$G$5:$G$1004,$T599)),IF(INDEX('AFA Rates'!$F$5:$F$1004,$T599)="","",INDEX('AFA Rates'!$F$5:$F$1004,$T599))))</f>
        <v/>
      </c>
      <c r="I599" s="50">
        <f>IF($T599="","",IF($S599="S",IF(INDEX(Firms!$H$5:$H$1004,$T599)="","",INDEX(Firms!$H$5:$H$1004,$T599)),IF(INDEX('AFA Rates'!$G$5:$G$1004,$T599)="","",INDEX('AFA Rates'!$G$5:$G$1004,$T599))))</f>
        <v/>
      </c>
      <c r="J599" s="50">
        <f>IF($T599="","",IF($S599="S",IF(INDEX(Firms!$I$5:$I$1004,$T599)="","",INDEX(Firms!$I$5:$I$1004,$T599)),IF(INDEX('AFA Rates'!$H$5:$H$1004,$T599)="","",INDEX('AFA Rates'!$H$5:$H$1004,$T599))))</f>
        <v/>
      </c>
      <c r="K599" s="50">
        <f>IF($T599="","",IF($S599="S",IF(INDEX(Firms!$J$5:$J$1004,$T599)="","",INDEX(Firms!$J$5:$J$1004,$T599)),IF(INDEX('AFA Rates'!$I$5:$I$1004,$T599)="","",INDEX('AFA Rates'!$I$5:$I$1004,$T599))))</f>
        <v/>
      </c>
      <c r="L599" s="50">
        <f>IF($T599="","",IF($S599="S",IF(INDEX(Firms!$K$5:$K$1004,$T599)="","",INDEX(Firms!$K$5:$K$1004,$T599)),IF(INDEX('AFA Rates'!$J$5:$J$1004,$T599)="","",INDEX('AFA Rates'!$J$5:$J$1004,$T599))))</f>
        <v/>
      </c>
      <c r="M599" s="50">
        <f>IF($T599="","",IF($S599="S",IF(INDEX(Firms!$L$5:$L$1004,$T599)="","",INDEX(Firms!$L$5:$L$1004,$T599)),IF(INDEX('AFA Rates'!$K$5:$K$1004,$T599)="","",INDEX('AFA Rates'!$K$5:$K$1004,$T599))))</f>
        <v/>
      </c>
      <c r="N599" s="50">
        <f>IF($T599="","",IF($S599="S",IF(INDEX(Firms!$M$5:$M$1004,$T599)="","",INDEX(Firms!$M$5:$M$1004,$T599)),IF(INDEX('AFA Rates'!$L$5:$L$1004,$T599)="","",INDEX('AFA Rates'!$L$5:$L$1004,$T599))))</f>
        <v/>
      </c>
      <c r="O599" s="78">
        <f>IF(OR($T599="",$U599=""),"",IF(INDEX(Firms!$C$5:$C$1004,$U599)="","",INDEX(Firms!$C$5:$C$1004,$U599)))</f>
        <v/>
      </c>
      <c r="P599" s="79">
        <f>IF(OR($T599="",$U599=""),"",IF(INDEX(Firms!$N$5:$N$1004,$U599)="","",INDEX(Firms!$N$5:$N$1004,$U599)))</f>
        <v/>
      </c>
      <c r="Q599" s="78">
        <f>IF($T599="","",IF($S599="S",IF(INDEX(Firms!$T$5:$T$1004,$T599)="","",INDEX(Firms!$T$5:$T$1004,$T599)),IF(INDEX('AFA Rates'!$M$5:$M$1004,$T599)="","",INDEX('AFA Rates'!$M$5:$M$1004,$T599))))</f>
        <v/>
      </c>
      <c r="S599">
        <f>IF(595&lt;=$S$2,"S",IF(595&lt;=$S$2+$T$2,"A",""))</f>
        <v/>
      </c>
      <c r="T599">
        <f>IF(S599="S",MATCH(595,Firms!$W$5:$W$1004,0),IF(S599="A",IFERROR(MATCH(595-$S$2,'AFA Rates'!$R$5:$R$1004,0),""),""))</f>
        <v/>
      </c>
      <c r="U599">
        <f>IF(S599="S",T599,IF(AND(S599="A",T599&lt;&gt;""),IFERROR(MATCH(INDEX('AFA Rates'!$A$5:$A$1004,T599),Firms!$A$5:$A$1004,0),""),""))</f>
        <v/>
      </c>
    </row>
    <row r="600">
      <c r="A600" s="78">
        <f>IF($T600="","",IF($S600="S",IF(INDEX(Firms!$A$5:$A$1004,$T600)="","",INDEX(Firms!$A$5:$A$1004,$T600)),IF(INDEX('AFA Rates'!$A$5:$A$1004,$T600)="","",INDEX('AFA Rates'!$A$5:$A$1004,$T600))))</f>
        <v/>
      </c>
      <c r="B600" s="79">
        <f>IF(OR($T600="",$U600=""),IF($T600="","","Not on Firms tab"),INDEX(Firms!$B$5:$B$1004,$U600)&amp;"")</f>
        <v/>
      </c>
      <c r="C600" s="78">
        <f>IF($T600="","",IF($S600="S","Standard",INDEX('AFA Rates'!$B$5:$B$1004,$T600)&amp;""))</f>
        <v/>
      </c>
      <c r="D600" s="88">
        <f>IF($T600="","",IF($S600="S",IF(INDEX(Firms!$E$5:$E$1004,$T600)="","",INDEX(Firms!$E$5:$E$1004,$T600)),IF(INDEX('AFA Rates'!$C$5:$C$1004,$T600)="","",INDEX('AFA Rates'!$C$5:$C$1004,$T600))))</f>
        <v/>
      </c>
      <c r="E600" s="88">
        <f>IF($T600="","",IF($S600="S",IF(""="","",""),IF(INDEX('AFA Rates'!$D$5:$D$1004,$T600)="","",INDEX('AFA Rates'!$D$5:$D$1004,$T600))))</f>
        <v/>
      </c>
      <c r="F600" s="79">
        <f>IF($T600="","",IF($S600="S",IF(INDEX(Firms!$O$5:$O$1004,$T600)="","",INDEX(Firms!$O$5:$O$1004,$T600)),IF(INDEX('AFA Rates'!$O$5:$O$1004,$T600)="","",INDEX('AFA Rates'!$O$5:$O$1004,$T600))))</f>
        <v/>
      </c>
      <c r="G600" s="50">
        <f>IF($T600="","",IF($S600="S",IF(INDEX(Firms!$F$5:$F$1004,$T600)="","",INDEX(Firms!$F$5:$F$1004,$T600)),IF(INDEX('AFA Rates'!$E$5:$E$1004,$T600)="","",INDEX('AFA Rates'!$E$5:$E$1004,$T600))))</f>
        <v/>
      </c>
      <c r="H600" s="50">
        <f>IF($T600="","",IF($S600="S",IF(INDEX(Firms!$G$5:$G$1004,$T600)="","",INDEX(Firms!$G$5:$G$1004,$T600)),IF(INDEX('AFA Rates'!$F$5:$F$1004,$T600)="","",INDEX('AFA Rates'!$F$5:$F$1004,$T600))))</f>
        <v/>
      </c>
      <c r="I600" s="50">
        <f>IF($T600="","",IF($S600="S",IF(INDEX(Firms!$H$5:$H$1004,$T600)="","",INDEX(Firms!$H$5:$H$1004,$T600)),IF(INDEX('AFA Rates'!$G$5:$G$1004,$T600)="","",INDEX('AFA Rates'!$G$5:$G$1004,$T600))))</f>
        <v/>
      </c>
      <c r="J600" s="50">
        <f>IF($T600="","",IF($S600="S",IF(INDEX(Firms!$I$5:$I$1004,$T600)="","",INDEX(Firms!$I$5:$I$1004,$T600)),IF(INDEX('AFA Rates'!$H$5:$H$1004,$T600)="","",INDEX('AFA Rates'!$H$5:$H$1004,$T600))))</f>
        <v/>
      </c>
      <c r="K600" s="50">
        <f>IF($T600="","",IF($S600="S",IF(INDEX(Firms!$J$5:$J$1004,$T600)="","",INDEX(Firms!$J$5:$J$1004,$T600)),IF(INDEX('AFA Rates'!$I$5:$I$1004,$T600)="","",INDEX('AFA Rates'!$I$5:$I$1004,$T600))))</f>
        <v/>
      </c>
      <c r="L600" s="50">
        <f>IF($T600="","",IF($S600="S",IF(INDEX(Firms!$K$5:$K$1004,$T600)="","",INDEX(Firms!$K$5:$K$1004,$T600)),IF(INDEX('AFA Rates'!$J$5:$J$1004,$T600)="","",INDEX('AFA Rates'!$J$5:$J$1004,$T600))))</f>
        <v/>
      </c>
      <c r="M600" s="50">
        <f>IF($T600="","",IF($S600="S",IF(INDEX(Firms!$L$5:$L$1004,$T600)="","",INDEX(Firms!$L$5:$L$1004,$T600)),IF(INDEX('AFA Rates'!$K$5:$K$1004,$T600)="","",INDEX('AFA Rates'!$K$5:$K$1004,$T600))))</f>
        <v/>
      </c>
      <c r="N600" s="50">
        <f>IF($T600="","",IF($S600="S",IF(INDEX(Firms!$M$5:$M$1004,$T600)="","",INDEX(Firms!$M$5:$M$1004,$T600)),IF(INDEX('AFA Rates'!$L$5:$L$1004,$T600)="","",INDEX('AFA Rates'!$L$5:$L$1004,$T600))))</f>
        <v/>
      </c>
      <c r="O600" s="78">
        <f>IF(OR($T600="",$U600=""),"",IF(INDEX(Firms!$C$5:$C$1004,$U600)="","",INDEX(Firms!$C$5:$C$1004,$U600)))</f>
        <v/>
      </c>
      <c r="P600" s="79">
        <f>IF(OR($T600="",$U600=""),"",IF(INDEX(Firms!$N$5:$N$1004,$U600)="","",INDEX(Firms!$N$5:$N$1004,$U600)))</f>
        <v/>
      </c>
      <c r="Q600" s="78">
        <f>IF($T600="","",IF($S600="S",IF(INDEX(Firms!$T$5:$T$1004,$T600)="","",INDEX(Firms!$T$5:$T$1004,$T600)),IF(INDEX('AFA Rates'!$M$5:$M$1004,$T600)="","",INDEX('AFA Rates'!$M$5:$M$1004,$T600))))</f>
        <v/>
      </c>
      <c r="S600">
        <f>IF(596&lt;=$S$2,"S",IF(596&lt;=$S$2+$T$2,"A",""))</f>
        <v/>
      </c>
      <c r="T600">
        <f>IF(S600="S",MATCH(596,Firms!$W$5:$W$1004,0),IF(S600="A",IFERROR(MATCH(596-$S$2,'AFA Rates'!$R$5:$R$1004,0),""),""))</f>
        <v/>
      </c>
      <c r="U600">
        <f>IF(S600="S",T600,IF(AND(S600="A",T600&lt;&gt;""),IFERROR(MATCH(INDEX('AFA Rates'!$A$5:$A$1004,T600),Firms!$A$5:$A$1004,0),""),""))</f>
        <v/>
      </c>
    </row>
    <row r="601">
      <c r="A601" s="78">
        <f>IF($T601="","",IF($S601="S",IF(INDEX(Firms!$A$5:$A$1004,$T601)="","",INDEX(Firms!$A$5:$A$1004,$T601)),IF(INDEX('AFA Rates'!$A$5:$A$1004,$T601)="","",INDEX('AFA Rates'!$A$5:$A$1004,$T601))))</f>
        <v/>
      </c>
      <c r="B601" s="79">
        <f>IF(OR($T601="",$U601=""),IF($T601="","","Not on Firms tab"),INDEX(Firms!$B$5:$B$1004,$U601)&amp;"")</f>
        <v/>
      </c>
      <c r="C601" s="78">
        <f>IF($T601="","",IF($S601="S","Standard",INDEX('AFA Rates'!$B$5:$B$1004,$T601)&amp;""))</f>
        <v/>
      </c>
      <c r="D601" s="88">
        <f>IF($T601="","",IF($S601="S",IF(INDEX(Firms!$E$5:$E$1004,$T601)="","",INDEX(Firms!$E$5:$E$1004,$T601)),IF(INDEX('AFA Rates'!$C$5:$C$1004,$T601)="","",INDEX('AFA Rates'!$C$5:$C$1004,$T601))))</f>
        <v/>
      </c>
      <c r="E601" s="88">
        <f>IF($T601="","",IF($S601="S",IF(""="","",""),IF(INDEX('AFA Rates'!$D$5:$D$1004,$T601)="","",INDEX('AFA Rates'!$D$5:$D$1004,$T601))))</f>
        <v/>
      </c>
      <c r="F601" s="79">
        <f>IF($T601="","",IF($S601="S",IF(INDEX(Firms!$O$5:$O$1004,$T601)="","",INDEX(Firms!$O$5:$O$1004,$T601)),IF(INDEX('AFA Rates'!$O$5:$O$1004,$T601)="","",INDEX('AFA Rates'!$O$5:$O$1004,$T601))))</f>
        <v/>
      </c>
      <c r="G601" s="50">
        <f>IF($T601="","",IF($S601="S",IF(INDEX(Firms!$F$5:$F$1004,$T601)="","",INDEX(Firms!$F$5:$F$1004,$T601)),IF(INDEX('AFA Rates'!$E$5:$E$1004,$T601)="","",INDEX('AFA Rates'!$E$5:$E$1004,$T601))))</f>
        <v/>
      </c>
      <c r="H601" s="50">
        <f>IF($T601="","",IF($S601="S",IF(INDEX(Firms!$G$5:$G$1004,$T601)="","",INDEX(Firms!$G$5:$G$1004,$T601)),IF(INDEX('AFA Rates'!$F$5:$F$1004,$T601)="","",INDEX('AFA Rates'!$F$5:$F$1004,$T601))))</f>
        <v/>
      </c>
      <c r="I601" s="50">
        <f>IF($T601="","",IF($S601="S",IF(INDEX(Firms!$H$5:$H$1004,$T601)="","",INDEX(Firms!$H$5:$H$1004,$T601)),IF(INDEX('AFA Rates'!$G$5:$G$1004,$T601)="","",INDEX('AFA Rates'!$G$5:$G$1004,$T601))))</f>
        <v/>
      </c>
      <c r="J601" s="50">
        <f>IF($T601="","",IF($S601="S",IF(INDEX(Firms!$I$5:$I$1004,$T601)="","",INDEX(Firms!$I$5:$I$1004,$T601)),IF(INDEX('AFA Rates'!$H$5:$H$1004,$T601)="","",INDEX('AFA Rates'!$H$5:$H$1004,$T601))))</f>
        <v/>
      </c>
      <c r="K601" s="50">
        <f>IF($T601="","",IF($S601="S",IF(INDEX(Firms!$J$5:$J$1004,$T601)="","",INDEX(Firms!$J$5:$J$1004,$T601)),IF(INDEX('AFA Rates'!$I$5:$I$1004,$T601)="","",INDEX('AFA Rates'!$I$5:$I$1004,$T601))))</f>
        <v/>
      </c>
      <c r="L601" s="50">
        <f>IF($T601="","",IF($S601="S",IF(INDEX(Firms!$K$5:$K$1004,$T601)="","",INDEX(Firms!$K$5:$K$1004,$T601)),IF(INDEX('AFA Rates'!$J$5:$J$1004,$T601)="","",INDEX('AFA Rates'!$J$5:$J$1004,$T601))))</f>
        <v/>
      </c>
      <c r="M601" s="50">
        <f>IF($T601="","",IF($S601="S",IF(INDEX(Firms!$L$5:$L$1004,$T601)="","",INDEX(Firms!$L$5:$L$1004,$T601)),IF(INDEX('AFA Rates'!$K$5:$K$1004,$T601)="","",INDEX('AFA Rates'!$K$5:$K$1004,$T601))))</f>
        <v/>
      </c>
      <c r="N601" s="50">
        <f>IF($T601="","",IF($S601="S",IF(INDEX(Firms!$M$5:$M$1004,$T601)="","",INDEX(Firms!$M$5:$M$1004,$T601)),IF(INDEX('AFA Rates'!$L$5:$L$1004,$T601)="","",INDEX('AFA Rates'!$L$5:$L$1004,$T601))))</f>
        <v/>
      </c>
      <c r="O601" s="78">
        <f>IF(OR($T601="",$U601=""),"",IF(INDEX(Firms!$C$5:$C$1004,$U601)="","",INDEX(Firms!$C$5:$C$1004,$U601)))</f>
        <v/>
      </c>
      <c r="P601" s="79">
        <f>IF(OR($T601="",$U601=""),"",IF(INDEX(Firms!$N$5:$N$1004,$U601)="","",INDEX(Firms!$N$5:$N$1004,$U601)))</f>
        <v/>
      </c>
      <c r="Q601" s="78">
        <f>IF($T601="","",IF($S601="S",IF(INDEX(Firms!$T$5:$T$1004,$T601)="","",INDEX(Firms!$T$5:$T$1004,$T601)),IF(INDEX('AFA Rates'!$M$5:$M$1004,$T601)="","",INDEX('AFA Rates'!$M$5:$M$1004,$T601))))</f>
        <v/>
      </c>
      <c r="S601">
        <f>IF(597&lt;=$S$2,"S",IF(597&lt;=$S$2+$T$2,"A",""))</f>
        <v/>
      </c>
      <c r="T601">
        <f>IF(S601="S",MATCH(597,Firms!$W$5:$W$1004,0),IF(S601="A",IFERROR(MATCH(597-$S$2,'AFA Rates'!$R$5:$R$1004,0),""),""))</f>
        <v/>
      </c>
      <c r="U601">
        <f>IF(S601="S",T601,IF(AND(S601="A",T601&lt;&gt;""),IFERROR(MATCH(INDEX('AFA Rates'!$A$5:$A$1004,T601),Firms!$A$5:$A$1004,0),""),""))</f>
        <v/>
      </c>
    </row>
    <row r="602">
      <c r="A602" s="78">
        <f>IF($T602="","",IF($S602="S",IF(INDEX(Firms!$A$5:$A$1004,$T602)="","",INDEX(Firms!$A$5:$A$1004,$T602)),IF(INDEX('AFA Rates'!$A$5:$A$1004,$T602)="","",INDEX('AFA Rates'!$A$5:$A$1004,$T602))))</f>
        <v/>
      </c>
      <c r="B602" s="79">
        <f>IF(OR($T602="",$U602=""),IF($T602="","","Not on Firms tab"),INDEX(Firms!$B$5:$B$1004,$U602)&amp;"")</f>
        <v/>
      </c>
      <c r="C602" s="78">
        <f>IF($T602="","",IF($S602="S","Standard",INDEX('AFA Rates'!$B$5:$B$1004,$T602)&amp;""))</f>
        <v/>
      </c>
      <c r="D602" s="88">
        <f>IF($T602="","",IF($S602="S",IF(INDEX(Firms!$E$5:$E$1004,$T602)="","",INDEX(Firms!$E$5:$E$1004,$T602)),IF(INDEX('AFA Rates'!$C$5:$C$1004,$T602)="","",INDEX('AFA Rates'!$C$5:$C$1004,$T602))))</f>
        <v/>
      </c>
      <c r="E602" s="88">
        <f>IF($T602="","",IF($S602="S",IF(""="","",""),IF(INDEX('AFA Rates'!$D$5:$D$1004,$T602)="","",INDEX('AFA Rates'!$D$5:$D$1004,$T602))))</f>
        <v/>
      </c>
      <c r="F602" s="79">
        <f>IF($T602="","",IF($S602="S",IF(INDEX(Firms!$O$5:$O$1004,$T602)="","",INDEX(Firms!$O$5:$O$1004,$T602)),IF(INDEX('AFA Rates'!$O$5:$O$1004,$T602)="","",INDEX('AFA Rates'!$O$5:$O$1004,$T602))))</f>
        <v/>
      </c>
      <c r="G602" s="50">
        <f>IF($T602="","",IF($S602="S",IF(INDEX(Firms!$F$5:$F$1004,$T602)="","",INDEX(Firms!$F$5:$F$1004,$T602)),IF(INDEX('AFA Rates'!$E$5:$E$1004,$T602)="","",INDEX('AFA Rates'!$E$5:$E$1004,$T602))))</f>
        <v/>
      </c>
      <c r="H602" s="50">
        <f>IF($T602="","",IF($S602="S",IF(INDEX(Firms!$G$5:$G$1004,$T602)="","",INDEX(Firms!$G$5:$G$1004,$T602)),IF(INDEX('AFA Rates'!$F$5:$F$1004,$T602)="","",INDEX('AFA Rates'!$F$5:$F$1004,$T602))))</f>
        <v/>
      </c>
      <c r="I602" s="50">
        <f>IF($T602="","",IF($S602="S",IF(INDEX(Firms!$H$5:$H$1004,$T602)="","",INDEX(Firms!$H$5:$H$1004,$T602)),IF(INDEX('AFA Rates'!$G$5:$G$1004,$T602)="","",INDEX('AFA Rates'!$G$5:$G$1004,$T602))))</f>
        <v/>
      </c>
      <c r="J602" s="50">
        <f>IF($T602="","",IF($S602="S",IF(INDEX(Firms!$I$5:$I$1004,$T602)="","",INDEX(Firms!$I$5:$I$1004,$T602)),IF(INDEX('AFA Rates'!$H$5:$H$1004,$T602)="","",INDEX('AFA Rates'!$H$5:$H$1004,$T602))))</f>
        <v/>
      </c>
      <c r="K602" s="50">
        <f>IF($T602="","",IF($S602="S",IF(INDEX(Firms!$J$5:$J$1004,$T602)="","",INDEX(Firms!$J$5:$J$1004,$T602)),IF(INDEX('AFA Rates'!$I$5:$I$1004,$T602)="","",INDEX('AFA Rates'!$I$5:$I$1004,$T602))))</f>
        <v/>
      </c>
      <c r="L602" s="50">
        <f>IF($T602="","",IF($S602="S",IF(INDEX(Firms!$K$5:$K$1004,$T602)="","",INDEX(Firms!$K$5:$K$1004,$T602)),IF(INDEX('AFA Rates'!$J$5:$J$1004,$T602)="","",INDEX('AFA Rates'!$J$5:$J$1004,$T602))))</f>
        <v/>
      </c>
      <c r="M602" s="50">
        <f>IF($T602="","",IF($S602="S",IF(INDEX(Firms!$L$5:$L$1004,$T602)="","",INDEX(Firms!$L$5:$L$1004,$T602)),IF(INDEX('AFA Rates'!$K$5:$K$1004,$T602)="","",INDEX('AFA Rates'!$K$5:$K$1004,$T602))))</f>
        <v/>
      </c>
      <c r="N602" s="50">
        <f>IF($T602="","",IF($S602="S",IF(INDEX(Firms!$M$5:$M$1004,$T602)="","",INDEX(Firms!$M$5:$M$1004,$T602)),IF(INDEX('AFA Rates'!$L$5:$L$1004,$T602)="","",INDEX('AFA Rates'!$L$5:$L$1004,$T602))))</f>
        <v/>
      </c>
      <c r="O602" s="78">
        <f>IF(OR($T602="",$U602=""),"",IF(INDEX(Firms!$C$5:$C$1004,$U602)="","",INDEX(Firms!$C$5:$C$1004,$U602)))</f>
        <v/>
      </c>
      <c r="P602" s="79">
        <f>IF(OR($T602="",$U602=""),"",IF(INDEX(Firms!$N$5:$N$1004,$U602)="","",INDEX(Firms!$N$5:$N$1004,$U602)))</f>
        <v/>
      </c>
      <c r="Q602" s="78">
        <f>IF($T602="","",IF($S602="S",IF(INDEX(Firms!$T$5:$T$1004,$T602)="","",INDEX(Firms!$T$5:$T$1004,$T602)),IF(INDEX('AFA Rates'!$M$5:$M$1004,$T602)="","",INDEX('AFA Rates'!$M$5:$M$1004,$T602))))</f>
        <v/>
      </c>
      <c r="S602">
        <f>IF(598&lt;=$S$2,"S",IF(598&lt;=$S$2+$T$2,"A",""))</f>
        <v/>
      </c>
      <c r="T602">
        <f>IF(S602="S",MATCH(598,Firms!$W$5:$W$1004,0),IF(S602="A",IFERROR(MATCH(598-$S$2,'AFA Rates'!$R$5:$R$1004,0),""),""))</f>
        <v/>
      </c>
      <c r="U602">
        <f>IF(S602="S",T602,IF(AND(S602="A",T602&lt;&gt;""),IFERROR(MATCH(INDEX('AFA Rates'!$A$5:$A$1004,T602),Firms!$A$5:$A$1004,0),""),""))</f>
        <v/>
      </c>
    </row>
    <row r="603">
      <c r="A603" s="78">
        <f>IF($T603="","",IF($S603="S",IF(INDEX(Firms!$A$5:$A$1004,$T603)="","",INDEX(Firms!$A$5:$A$1004,$T603)),IF(INDEX('AFA Rates'!$A$5:$A$1004,$T603)="","",INDEX('AFA Rates'!$A$5:$A$1004,$T603))))</f>
        <v/>
      </c>
      <c r="B603" s="79">
        <f>IF(OR($T603="",$U603=""),IF($T603="","","Not on Firms tab"),INDEX(Firms!$B$5:$B$1004,$U603)&amp;"")</f>
        <v/>
      </c>
      <c r="C603" s="78">
        <f>IF($T603="","",IF($S603="S","Standard",INDEX('AFA Rates'!$B$5:$B$1004,$T603)&amp;""))</f>
        <v/>
      </c>
      <c r="D603" s="88">
        <f>IF($T603="","",IF($S603="S",IF(INDEX(Firms!$E$5:$E$1004,$T603)="","",INDEX(Firms!$E$5:$E$1004,$T603)),IF(INDEX('AFA Rates'!$C$5:$C$1004,$T603)="","",INDEX('AFA Rates'!$C$5:$C$1004,$T603))))</f>
        <v/>
      </c>
      <c r="E603" s="88">
        <f>IF($T603="","",IF($S603="S",IF(""="","",""),IF(INDEX('AFA Rates'!$D$5:$D$1004,$T603)="","",INDEX('AFA Rates'!$D$5:$D$1004,$T603))))</f>
        <v/>
      </c>
      <c r="F603" s="79">
        <f>IF($T603="","",IF($S603="S",IF(INDEX(Firms!$O$5:$O$1004,$T603)="","",INDEX(Firms!$O$5:$O$1004,$T603)),IF(INDEX('AFA Rates'!$O$5:$O$1004,$T603)="","",INDEX('AFA Rates'!$O$5:$O$1004,$T603))))</f>
        <v/>
      </c>
      <c r="G603" s="50">
        <f>IF($T603="","",IF($S603="S",IF(INDEX(Firms!$F$5:$F$1004,$T603)="","",INDEX(Firms!$F$5:$F$1004,$T603)),IF(INDEX('AFA Rates'!$E$5:$E$1004,$T603)="","",INDEX('AFA Rates'!$E$5:$E$1004,$T603))))</f>
        <v/>
      </c>
      <c r="H603" s="50">
        <f>IF($T603="","",IF($S603="S",IF(INDEX(Firms!$G$5:$G$1004,$T603)="","",INDEX(Firms!$G$5:$G$1004,$T603)),IF(INDEX('AFA Rates'!$F$5:$F$1004,$T603)="","",INDEX('AFA Rates'!$F$5:$F$1004,$T603))))</f>
        <v/>
      </c>
      <c r="I603" s="50">
        <f>IF($T603="","",IF($S603="S",IF(INDEX(Firms!$H$5:$H$1004,$T603)="","",INDEX(Firms!$H$5:$H$1004,$T603)),IF(INDEX('AFA Rates'!$G$5:$G$1004,$T603)="","",INDEX('AFA Rates'!$G$5:$G$1004,$T603))))</f>
        <v/>
      </c>
      <c r="J603" s="50">
        <f>IF($T603="","",IF($S603="S",IF(INDEX(Firms!$I$5:$I$1004,$T603)="","",INDEX(Firms!$I$5:$I$1004,$T603)),IF(INDEX('AFA Rates'!$H$5:$H$1004,$T603)="","",INDEX('AFA Rates'!$H$5:$H$1004,$T603))))</f>
        <v/>
      </c>
      <c r="K603" s="50">
        <f>IF($T603="","",IF($S603="S",IF(INDEX(Firms!$J$5:$J$1004,$T603)="","",INDEX(Firms!$J$5:$J$1004,$T603)),IF(INDEX('AFA Rates'!$I$5:$I$1004,$T603)="","",INDEX('AFA Rates'!$I$5:$I$1004,$T603))))</f>
        <v/>
      </c>
      <c r="L603" s="50">
        <f>IF($T603="","",IF($S603="S",IF(INDEX(Firms!$K$5:$K$1004,$T603)="","",INDEX(Firms!$K$5:$K$1004,$T603)),IF(INDEX('AFA Rates'!$J$5:$J$1004,$T603)="","",INDEX('AFA Rates'!$J$5:$J$1004,$T603))))</f>
        <v/>
      </c>
      <c r="M603" s="50">
        <f>IF($T603="","",IF($S603="S",IF(INDEX(Firms!$L$5:$L$1004,$T603)="","",INDEX(Firms!$L$5:$L$1004,$T603)),IF(INDEX('AFA Rates'!$K$5:$K$1004,$T603)="","",INDEX('AFA Rates'!$K$5:$K$1004,$T603))))</f>
        <v/>
      </c>
      <c r="N603" s="50">
        <f>IF($T603="","",IF($S603="S",IF(INDEX(Firms!$M$5:$M$1004,$T603)="","",INDEX(Firms!$M$5:$M$1004,$T603)),IF(INDEX('AFA Rates'!$L$5:$L$1004,$T603)="","",INDEX('AFA Rates'!$L$5:$L$1004,$T603))))</f>
        <v/>
      </c>
      <c r="O603" s="78">
        <f>IF(OR($T603="",$U603=""),"",IF(INDEX(Firms!$C$5:$C$1004,$U603)="","",INDEX(Firms!$C$5:$C$1004,$U603)))</f>
        <v/>
      </c>
      <c r="P603" s="79">
        <f>IF(OR($T603="",$U603=""),"",IF(INDEX(Firms!$N$5:$N$1004,$U603)="","",INDEX(Firms!$N$5:$N$1004,$U603)))</f>
        <v/>
      </c>
      <c r="Q603" s="78">
        <f>IF($T603="","",IF($S603="S",IF(INDEX(Firms!$T$5:$T$1004,$T603)="","",INDEX(Firms!$T$5:$T$1004,$T603)),IF(INDEX('AFA Rates'!$M$5:$M$1004,$T603)="","",INDEX('AFA Rates'!$M$5:$M$1004,$T603))))</f>
        <v/>
      </c>
      <c r="S603">
        <f>IF(599&lt;=$S$2,"S",IF(599&lt;=$S$2+$T$2,"A",""))</f>
        <v/>
      </c>
      <c r="T603">
        <f>IF(S603="S",MATCH(599,Firms!$W$5:$W$1004,0),IF(S603="A",IFERROR(MATCH(599-$S$2,'AFA Rates'!$R$5:$R$1004,0),""),""))</f>
        <v/>
      </c>
      <c r="U603">
        <f>IF(S603="S",T603,IF(AND(S603="A",T603&lt;&gt;""),IFERROR(MATCH(INDEX('AFA Rates'!$A$5:$A$1004,T603),Firms!$A$5:$A$1004,0),""),""))</f>
        <v/>
      </c>
    </row>
    <row r="604">
      <c r="A604" s="78">
        <f>IF($T604="","",IF($S604="S",IF(INDEX(Firms!$A$5:$A$1004,$T604)="","",INDEX(Firms!$A$5:$A$1004,$T604)),IF(INDEX('AFA Rates'!$A$5:$A$1004,$T604)="","",INDEX('AFA Rates'!$A$5:$A$1004,$T604))))</f>
        <v/>
      </c>
      <c r="B604" s="79">
        <f>IF(OR($T604="",$U604=""),IF($T604="","","Not on Firms tab"),INDEX(Firms!$B$5:$B$1004,$U604)&amp;"")</f>
        <v/>
      </c>
      <c r="C604" s="78">
        <f>IF($T604="","",IF($S604="S","Standard",INDEX('AFA Rates'!$B$5:$B$1004,$T604)&amp;""))</f>
        <v/>
      </c>
      <c r="D604" s="88">
        <f>IF($T604="","",IF($S604="S",IF(INDEX(Firms!$E$5:$E$1004,$T604)="","",INDEX(Firms!$E$5:$E$1004,$T604)),IF(INDEX('AFA Rates'!$C$5:$C$1004,$T604)="","",INDEX('AFA Rates'!$C$5:$C$1004,$T604))))</f>
        <v/>
      </c>
      <c r="E604" s="88">
        <f>IF($T604="","",IF($S604="S",IF(""="","",""),IF(INDEX('AFA Rates'!$D$5:$D$1004,$T604)="","",INDEX('AFA Rates'!$D$5:$D$1004,$T604))))</f>
        <v/>
      </c>
      <c r="F604" s="79">
        <f>IF($T604="","",IF($S604="S",IF(INDEX(Firms!$O$5:$O$1004,$T604)="","",INDEX(Firms!$O$5:$O$1004,$T604)),IF(INDEX('AFA Rates'!$O$5:$O$1004,$T604)="","",INDEX('AFA Rates'!$O$5:$O$1004,$T604))))</f>
        <v/>
      </c>
      <c r="G604" s="50">
        <f>IF($T604="","",IF($S604="S",IF(INDEX(Firms!$F$5:$F$1004,$T604)="","",INDEX(Firms!$F$5:$F$1004,$T604)),IF(INDEX('AFA Rates'!$E$5:$E$1004,$T604)="","",INDEX('AFA Rates'!$E$5:$E$1004,$T604))))</f>
        <v/>
      </c>
      <c r="H604" s="50">
        <f>IF($T604="","",IF($S604="S",IF(INDEX(Firms!$G$5:$G$1004,$T604)="","",INDEX(Firms!$G$5:$G$1004,$T604)),IF(INDEX('AFA Rates'!$F$5:$F$1004,$T604)="","",INDEX('AFA Rates'!$F$5:$F$1004,$T604))))</f>
        <v/>
      </c>
      <c r="I604" s="50">
        <f>IF($T604="","",IF($S604="S",IF(INDEX(Firms!$H$5:$H$1004,$T604)="","",INDEX(Firms!$H$5:$H$1004,$T604)),IF(INDEX('AFA Rates'!$G$5:$G$1004,$T604)="","",INDEX('AFA Rates'!$G$5:$G$1004,$T604))))</f>
        <v/>
      </c>
      <c r="J604" s="50">
        <f>IF($T604="","",IF($S604="S",IF(INDEX(Firms!$I$5:$I$1004,$T604)="","",INDEX(Firms!$I$5:$I$1004,$T604)),IF(INDEX('AFA Rates'!$H$5:$H$1004,$T604)="","",INDEX('AFA Rates'!$H$5:$H$1004,$T604))))</f>
        <v/>
      </c>
      <c r="K604" s="50">
        <f>IF($T604="","",IF($S604="S",IF(INDEX(Firms!$J$5:$J$1004,$T604)="","",INDEX(Firms!$J$5:$J$1004,$T604)),IF(INDEX('AFA Rates'!$I$5:$I$1004,$T604)="","",INDEX('AFA Rates'!$I$5:$I$1004,$T604))))</f>
        <v/>
      </c>
      <c r="L604" s="50">
        <f>IF($T604="","",IF($S604="S",IF(INDEX(Firms!$K$5:$K$1004,$T604)="","",INDEX(Firms!$K$5:$K$1004,$T604)),IF(INDEX('AFA Rates'!$J$5:$J$1004,$T604)="","",INDEX('AFA Rates'!$J$5:$J$1004,$T604))))</f>
        <v/>
      </c>
      <c r="M604" s="50">
        <f>IF($T604="","",IF($S604="S",IF(INDEX(Firms!$L$5:$L$1004,$T604)="","",INDEX(Firms!$L$5:$L$1004,$T604)),IF(INDEX('AFA Rates'!$K$5:$K$1004,$T604)="","",INDEX('AFA Rates'!$K$5:$K$1004,$T604))))</f>
        <v/>
      </c>
      <c r="N604" s="50">
        <f>IF($T604="","",IF($S604="S",IF(INDEX(Firms!$M$5:$M$1004,$T604)="","",INDEX(Firms!$M$5:$M$1004,$T604)),IF(INDEX('AFA Rates'!$L$5:$L$1004,$T604)="","",INDEX('AFA Rates'!$L$5:$L$1004,$T604))))</f>
        <v/>
      </c>
      <c r="O604" s="78">
        <f>IF(OR($T604="",$U604=""),"",IF(INDEX(Firms!$C$5:$C$1004,$U604)="","",INDEX(Firms!$C$5:$C$1004,$U604)))</f>
        <v/>
      </c>
      <c r="P604" s="79">
        <f>IF(OR($T604="",$U604=""),"",IF(INDEX(Firms!$N$5:$N$1004,$U604)="","",INDEX(Firms!$N$5:$N$1004,$U604)))</f>
        <v/>
      </c>
      <c r="Q604" s="78">
        <f>IF($T604="","",IF($S604="S",IF(INDEX(Firms!$T$5:$T$1004,$T604)="","",INDEX(Firms!$T$5:$T$1004,$T604)),IF(INDEX('AFA Rates'!$M$5:$M$1004,$T604)="","",INDEX('AFA Rates'!$M$5:$M$1004,$T604))))</f>
        <v/>
      </c>
      <c r="S604">
        <f>IF(600&lt;=$S$2,"S",IF(600&lt;=$S$2+$T$2,"A",""))</f>
        <v/>
      </c>
      <c r="T604">
        <f>IF(S604="S",MATCH(600,Firms!$W$5:$W$1004,0),IF(S604="A",IFERROR(MATCH(600-$S$2,'AFA Rates'!$R$5:$R$1004,0),""),""))</f>
        <v/>
      </c>
      <c r="U604">
        <f>IF(S604="S",T604,IF(AND(S604="A",T604&lt;&gt;""),IFERROR(MATCH(INDEX('AFA Rates'!$A$5:$A$1004,T604),Firms!$A$5:$A$1004,0),""),""))</f>
        <v/>
      </c>
    </row>
    <row r="605">
      <c r="A605" s="78">
        <f>IF($T605="","",IF($S605="S",IF(INDEX(Firms!$A$5:$A$1004,$T605)="","",INDEX(Firms!$A$5:$A$1004,$T605)),IF(INDEX('AFA Rates'!$A$5:$A$1004,$T605)="","",INDEX('AFA Rates'!$A$5:$A$1004,$T605))))</f>
        <v/>
      </c>
      <c r="B605" s="79">
        <f>IF(OR($T605="",$U605=""),IF($T605="","","Not on Firms tab"),INDEX(Firms!$B$5:$B$1004,$U605)&amp;"")</f>
        <v/>
      </c>
      <c r="C605" s="78">
        <f>IF($T605="","",IF($S605="S","Standard",INDEX('AFA Rates'!$B$5:$B$1004,$T605)&amp;""))</f>
        <v/>
      </c>
      <c r="D605" s="88">
        <f>IF($T605="","",IF($S605="S",IF(INDEX(Firms!$E$5:$E$1004,$T605)="","",INDEX(Firms!$E$5:$E$1004,$T605)),IF(INDEX('AFA Rates'!$C$5:$C$1004,$T605)="","",INDEX('AFA Rates'!$C$5:$C$1004,$T605))))</f>
        <v/>
      </c>
      <c r="E605" s="88">
        <f>IF($T605="","",IF($S605="S",IF(""="","",""),IF(INDEX('AFA Rates'!$D$5:$D$1004,$T605)="","",INDEX('AFA Rates'!$D$5:$D$1004,$T605))))</f>
        <v/>
      </c>
      <c r="F605" s="79">
        <f>IF($T605="","",IF($S605="S",IF(INDEX(Firms!$O$5:$O$1004,$T605)="","",INDEX(Firms!$O$5:$O$1004,$T605)),IF(INDEX('AFA Rates'!$O$5:$O$1004,$T605)="","",INDEX('AFA Rates'!$O$5:$O$1004,$T605))))</f>
        <v/>
      </c>
      <c r="G605" s="50">
        <f>IF($T605="","",IF($S605="S",IF(INDEX(Firms!$F$5:$F$1004,$T605)="","",INDEX(Firms!$F$5:$F$1004,$T605)),IF(INDEX('AFA Rates'!$E$5:$E$1004,$T605)="","",INDEX('AFA Rates'!$E$5:$E$1004,$T605))))</f>
        <v/>
      </c>
      <c r="H605" s="50">
        <f>IF($T605="","",IF($S605="S",IF(INDEX(Firms!$G$5:$G$1004,$T605)="","",INDEX(Firms!$G$5:$G$1004,$T605)),IF(INDEX('AFA Rates'!$F$5:$F$1004,$T605)="","",INDEX('AFA Rates'!$F$5:$F$1004,$T605))))</f>
        <v/>
      </c>
      <c r="I605" s="50">
        <f>IF($T605="","",IF($S605="S",IF(INDEX(Firms!$H$5:$H$1004,$T605)="","",INDEX(Firms!$H$5:$H$1004,$T605)),IF(INDEX('AFA Rates'!$G$5:$G$1004,$T605)="","",INDEX('AFA Rates'!$G$5:$G$1004,$T605))))</f>
        <v/>
      </c>
      <c r="J605" s="50">
        <f>IF($T605="","",IF($S605="S",IF(INDEX(Firms!$I$5:$I$1004,$T605)="","",INDEX(Firms!$I$5:$I$1004,$T605)),IF(INDEX('AFA Rates'!$H$5:$H$1004,$T605)="","",INDEX('AFA Rates'!$H$5:$H$1004,$T605))))</f>
        <v/>
      </c>
      <c r="K605" s="50">
        <f>IF($T605="","",IF($S605="S",IF(INDEX(Firms!$J$5:$J$1004,$T605)="","",INDEX(Firms!$J$5:$J$1004,$T605)),IF(INDEX('AFA Rates'!$I$5:$I$1004,$T605)="","",INDEX('AFA Rates'!$I$5:$I$1004,$T605))))</f>
        <v/>
      </c>
      <c r="L605" s="50">
        <f>IF($T605="","",IF($S605="S",IF(INDEX(Firms!$K$5:$K$1004,$T605)="","",INDEX(Firms!$K$5:$K$1004,$T605)),IF(INDEX('AFA Rates'!$J$5:$J$1004,$T605)="","",INDEX('AFA Rates'!$J$5:$J$1004,$T605))))</f>
        <v/>
      </c>
      <c r="M605" s="50">
        <f>IF($T605="","",IF($S605="S",IF(INDEX(Firms!$L$5:$L$1004,$T605)="","",INDEX(Firms!$L$5:$L$1004,$T605)),IF(INDEX('AFA Rates'!$K$5:$K$1004,$T605)="","",INDEX('AFA Rates'!$K$5:$K$1004,$T605))))</f>
        <v/>
      </c>
      <c r="N605" s="50">
        <f>IF($T605="","",IF($S605="S",IF(INDEX(Firms!$M$5:$M$1004,$T605)="","",INDEX(Firms!$M$5:$M$1004,$T605)),IF(INDEX('AFA Rates'!$L$5:$L$1004,$T605)="","",INDEX('AFA Rates'!$L$5:$L$1004,$T605))))</f>
        <v/>
      </c>
      <c r="O605" s="78">
        <f>IF(OR($T605="",$U605=""),"",IF(INDEX(Firms!$C$5:$C$1004,$U605)="","",INDEX(Firms!$C$5:$C$1004,$U605)))</f>
        <v/>
      </c>
      <c r="P605" s="79">
        <f>IF(OR($T605="",$U605=""),"",IF(INDEX(Firms!$N$5:$N$1004,$U605)="","",INDEX(Firms!$N$5:$N$1004,$U605)))</f>
        <v/>
      </c>
      <c r="Q605" s="78">
        <f>IF($T605="","",IF($S605="S",IF(INDEX(Firms!$T$5:$T$1004,$T605)="","",INDEX(Firms!$T$5:$T$1004,$T605)),IF(INDEX('AFA Rates'!$M$5:$M$1004,$T605)="","",INDEX('AFA Rates'!$M$5:$M$1004,$T605))))</f>
        <v/>
      </c>
      <c r="S605">
        <f>IF(601&lt;=$S$2,"S",IF(601&lt;=$S$2+$T$2,"A",""))</f>
        <v/>
      </c>
      <c r="T605">
        <f>IF(S605="S",MATCH(601,Firms!$W$5:$W$1004,0),IF(S605="A",IFERROR(MATCH(601-$S$2,'AFA Rates'!$R$5:$R$1004,0),""),""))</f>
        <v/>
      </c>
      <c r="U605">
        <f>IF(S605="S",T605,IF(AND(S605="A",T605&lt;&gt;""),IFERROR(MATCH(INDEX('AFA Rates'!$A$5:$A$1004,T605),Firms!$A$5:$A$1004,0),""),""))</f>
        <v/>
      </c>
    </row>
    <row r="606">
      <c r="A606" s="78">
        <f>IF($T606="","",IF($S606="S",IF(INDEX(Firms!$A$5:$A$1004,$T606)="","",INDEX(Firms!$A$5:$A$1004,$T606)),IF(INDEX('AFA Rates'!$A$5:$A$1004,$T606)="","",INDEX('AFA Rates'!$A$5:$A$1004,$T606))))</f>
        <v/>
      </c>
      <c r="B606" s="79">
        <f>IF(OR($T606="",$U606=""),IF($T606="","","Not on Firms tab"),INDEX(Firms!$B$5:$B$1004,$U606)&amp;"")</f>
        <v/>
      </c>
      <c r="C606" s="78">
        <f>IF($T606="","",IF($S606="S","Standard",INDEX('AFA Rates'!$B$5:$B$1004,$T606)&amp;""))</f>
        <v/>
      </c>
      <c r="D606" s="88">
        <f>IF($T606="","",IF($S606="S",IF(INDEX(Firms!$E$5:$E$1004,$T606)="","",INDEX(Firms!$E$5:$E$1004,$T606)),IF(INDEX('AFA Rates'!$C$5:$C$1004,$T606)="","",INDEX('AFA Rates'!$C$5:$C$1004,$T606))))</f>
        <v/>
      </c>
      <c r="E606" s="88">
        <f>IF($T606="","",IF($S606="S",IF(""="","",""),IF(INDEX('AFA Rates'!$D$5:$D$1004,$T606)="","",INDEX('AFA Rates'!$D$5:$D$1004,$T606))))</f>
        <v/>
      </c>
      <c r="F606" s="79">
        <f>IF($T606="","",IF($S606="S",IF(INDEX(Firms!$O$5:$O$1004,$T606)="","",INDEX(Firms!$O$5:$O$1004,$T606)),IF(INDEX('AFA Rates'!$O$5:$O$1004,$T606)="","",INDEX('AFA Rates'!$O$5:$O$1004,$T606))))</f>
        <v/>
      </c>
      <c r="G606" s="50">
        <f>IF($T606="","",IF($S606="S",IF(INDEX(Firms!$F$5:$F$1004,$T606)="","",INDEX(Firms!$F$5:$F$1004,$T606)),IF(INDEX('AFA Rates'!$E$5:$E$1004,$T606)="","",INDEX('AFA Rates'!$E$5:$E$1004,$T606))))</f>
        <v/>
      </c>
      <c r="H606" s="50">
        <f>IF($T606="","",IF($S606="S",IF(INDEX(Firms!$G$5:$G$1004,$T606)="","",INDEX(Firms!$G$5:$G$1004,$T606)),IF(INDEX('AFA Rates'!$F$5:$F$1004,$T606)="","",INDEX('AFA Rates'!$F$5:$F$1004,$T606))))</f>
        <v/>
      </c>
      <c r="I606" s="50">
        <f>IF($T606="","",IF($S606="S",IF(INDEX(Firms!$H$5:$H$1004,$T606)="","",INDEX(Firms!$H$5:$H$1004,$T606)),IF(INDEX('AFA Rates'!$G$5:$G$1004,$T606)="","",INDEX('AFA Rates'!$G$5:$G$1004,$T606))))</f>
        <v/>
      </c>
      <c r="J606" s="50">
        <f>IF($T606="","",IF($S606="S",IF(INDEX(Firms!$I$5:$I$1004,$T606)="","",INDEX(Firms!$I$5:$I$1004,$T606)),IF(INDEX('AFA Rates'!$H$5:$H$1004,$T606)="","",INDEX('AFA Rates'!$H$5:$H$1004,$T606))))</f>
        <v/>
      </c>
      <c r="K606" s="50">
        <f>IF($T606="","",IF($S606="S",IF(INDEX(Firms!$J$5:$J$1004,$T606)="","",INDEX(Firms!$J$5:$J$1004,$T606)),IF(INDEX('AFA Rates'!$I$5:$I$1004,$T606)="","",INDEX('AFA Rates'!$I$5:$I$1004,$T606))))</f>
        <v/>
      </c>
      <c r="L606" s="50">
        <f>IF($T606="","",IF($S606="S",IF(INDEX(Firms!$K$5:$K$1004,$T606)="","",INDEX(Firms!$K$5:$K$1004,$T606)),IF(INDEX('AFA Rates'!$J$5:$J$1004,$T606)="","",INDEX('AFA Rates'!$J$5:$J$1004,$T606))))</f>
        <v/>
      </c>
      <c r="M606" s="50">
        <f>IF($T606="","",IF($S606="S",IF(INDEX(Firms!$L$5:$L$1004,$T606)="","",INDEX(Firms!$L$5:$L$1004,$T606)),IF(INDEX('AFA Rates'!$K$5:$K$1004,$T606)="","",INDEX('AFA Rates'!$K$5:$K$1004,$T606))))</f>
        <v/>
      </c>
      <c r="N606" s="50">
        <f>IF($T606="","",IF($S606="S",IF(INDEX(Firms!$M$5:$M$1004,$T606)="","",INDEX(Firms!$M$5:$M$1004,$T606)),IF(INDEX('AFA Rates'!$L$5:$L$1004,$T606)="","",INDEX('AFA Rates'!$L$5:$L$1004,$T606))))</f>
        <v/>
      </c>
      <c r="O606" s="78">
        <f>IF(OR($T606="",$U606=""),"",IF(INDEX(Firms!$C$5:$C$1004,$U606)="","",INDEX(Firms!$C$5:$C$1004,$U606)))</f>
        <v/>
      </c>
      <c r="P606" s="79">
        <f>IF(OR($T606="",$U606=""),"",IF(INDEX(Firms!$N$5:$N$1004,$U606)="","",INDEX(Firms!$N$5:$N$1004,$U606)))</f>
        <v/>
      </c>
      <c r="Q606" s="78">
        <f>IF($T606="","",IF($S606="S",IF(INDEX(Firms!$T$5:$T$1004,$T606)="","",INDEX(Firms!$T$5:$T$1004,$T606)),IF(INDEX('AFA Rates'!$M$5:$M$1004,$T606)="","",INDEX('AFA Rates'!$M$5:$M$1004,$T606))))</f>
        <v/>
      </c>
      <c r="S606">
        <f>IF(602&lt;=$S$2,"S",IF(602&lt;=$S$2+$T$2,"A",""))</f>
        <v/>
      </c>
      <c r="T606">
        <f>IF(S606="S",MATCH(602,Firms!$W$5:$W$1004,0),IF(S606="A",IFERROR(MATCH(602-$S$2,'AFA Rates'!$R$5:$R$1004,0),""),""))</f>
        <v/>
      </c>
      <c r="U606">
        <f>IF(S606="S",T606,IF(AND(S606="A",T606&lt;&gt;""),IFERROR(MATCH(INDEX('AFA Rates'!$A$5:$A$1004,T606),Firms!$A$5:$A$1004,0),""),""))</f>
        <v/>
      </c>
    </row>
    <row r="607">
      <c r="A607" s="78">
        <f>IF($T607="","",IF($S607="S",IF(INDEX(Firms!$A$5:$A$1004,$T607)="","",INDEX(Firms!$A$5:$A$1004,$T607)),IF(INDEX('AFA Rates'!$A$5:$A$1004,$T607)="","",INDEX('AFA Rates'!$A$5:$A$1004,$T607))))</f>
        <v/>
      </c>
      <c r="B607" s="79">
        <f>IF(OR($T607="",$U607=""),IF($T607="","","Not on Firms tab"),INDEX(Firms!$B$5:$B$1004,$U607)&amp;"")</f>
        <v/>
      </c>
      <c r="C607" s="78">
        <f>IF($T607="","",IF($S607="S","Standard",INDEX('AFA Rates'!$B$5:$B$1004,$T607)&amp;""))</f>
        <v/>
      </c>
      <c r="D607" s="88">
        <f>IF($T607="","",IF($S607="S",IF(INDEX(Firms!$E$5:$E$1004,$T607)="","",INDEX(Firms!$E$5:$E$1004,$T607)),IF(INDEX('AFA Rates'!$C$5:$C$1004,$T607)="","",INDEX('AFA Rates'!$C$5:$C$1004,$T607))))</f>
        <v/>
      </c>
      <c r="E607" s="88">
        <f>IF($T607="","",IF($S607="S",IF(""="","",""),IF(INDEX('AFA Rates'!$D$5:$D$1004,$T607)="","",INDEX('AFA Rates'!$D$5:$D$1004,$T607))))</f>
        <v/>
      </c>
      <c r="F607" s="79">
        <f>IF($T607="","",IF($S607="S",IF(INDEX(Firms!$O$5:$O$1004,$T607)="","",INDEX(Firms!$O$5:$O$1004,$T607)),IF(INDEX('AFA Rates'!$O$5:$O$1004,$T607)="","",INDEX('AFA Rates'!$O$5:$O$1004,$T607))))</f>
        <v/>
      </c>
      <c r="G607" s="50">
        <f>IF($T607="","",IF($S607="S",IF(INDEX(Firms!$F$5:$F$1004,$T607)="","",INDEX(Firms!$F$5:$F$1004,$T607)),IF(INDEX('AFA Rates'!$E$5:$E$1004,$T607)="","",INDEX('AFA Rates'!$E$5:$E$1004,$T607))))</f>
        <v/>
      </c>
      <c r="H607" s="50">
        <f>IF($T607="","",IF($S607="S",IF(INDEX(Firms!$G$5:$G$1004,$T607)="","",INDEX(Firms!$G$5:$G$1004,$T607)),IF(INDEX('AFA Rates'!$F$5:$F$1004,$T607)="","",INDEX('AFA Rates'!$F$5:$F$1004,$T607))))</f>
        <v/>
      </c>
      <c r="I607" s="50">
        <f>IF($T607="","",IF($S607="S",IF(INDEX(Firms!$H$5:$H$1004,$T607)="","",INDEX(Firms!$H$5:$H$1004,$T607)),IF(INDEX('AFA Rates'!$G$5:$G$1004,$T607)="","",INDEX('AFA Rates'!$G$5:$G$1004,$T607))))</f>
        <v/>
      </c>
      <c r="J607" s="50">
        <f>IF($T607="","",IF($S607="S",IF(INDEX(Firms!$I$5:$I$1004,$T607)="","",INDEX(Firms!$I$5:$I$1004,$T607)),IF(INDEX('AFA Rates'!$H$5:$H$1004,$T607)="","",INDEX('AFA Rates'!$H$5:$H$1004,$T607))))</f>
        <v/>
      </c>
      <c r="K607" s="50">
        <f>IF($T607="","",IF($S607="S",IF(INDEX(Firms!$J$5:$J$1004,$T607)="","",INDEX(Firms!$J$5:$J$1004,$T607)),IF(INDEX('AFA Rates'!$I$5:$I$1004,$T607)="","",INDEX('AFA Rates'!$I$5:$I$1004,$T607))))</f>
        <v/>
      </c>
      <c r="L607" s="50">
        <f>IF($T607="","",IF($S607="S",IF(INDEX(Firms!$K$5:$K$1004,$T607)="","",INDEX(Firms!$K$5:$K$1004,$T607)),IF(INDEX('AFA Rates'!$J$5:$J$1004,$T607)="","",INDEX('AFA Rates'!$J$5:$J$1004,$T607))))</f>
        <v/>
      </c>
      <c r="M607" s="50">
        <f>IF($T607="","",IF($S607="S",IF(INDEX(Firms!$L$5:$L$1004,$T607)="","",INDEX(Firms!$L$5:$L$1004,$T607)),IF(INDEX('AFA Rates'!$K$5:$K$1004,$T607)="","",INDEX('AFA Rates'!$K$5:$K$1004,$T607))))</f>
        <v/>
      </c>
      <c r="N607" s="50">
        <f>IF($T607="","",IF($S607="S",IF(INDEX(Firms!$M$5:$M$1004,$T607)="","",INDEX(Firms!$M$5:$M$1004,$T607)),IF(INDEX('AFA Rates'!$L$5:$L$1004,$T607)="","",INDEX('AFA Rates'!$L$5:$L$1004,$T607))))</f>
        <v/>
      </c>
      <c r="O607" s="78">
        <f>IF(OR($T607="",$U607=""),"",IF(INDEX(Firms!$C$5:$C$1004,$U607)="","",INDEX(Firms!$C$5:$C$1004,$U607)))</f>
        <v/>
      </c>
      <c r="P607" s="79">
        <f>IF(OR($T607="",$U607=""),"",IF(INDEX(Firms!$N$5:$N$1004,$U607)="","",INDEX(Firms!$N$5:$N$1004,$U607)))</f>
        <v/>
      </c>
      <c r="Q607" s="78">
        <f>IF($T607="","",IF($S607="S",IF(INDEX(Firms!$T$5:$T$1004,$T607)="","",INDEX(Firms!$T$5:$T$1004,$T607)),IF(INDEX('AFA Rates'!$M$5:$M$1004,$T607)="","",INDEX('AFA Rates'!$M$5:$M$1004,$T607))))</f>
        <v/>
      </c>
      <c r="S607">
        <f>IF(603&lt;=$S$2,"S",IF(603&lt;=$S$2+$T$2,"A",""))</f>
        <v/>
      </c>
      <c r="T607">
        <f>IF(S607="S",MATCH(603,Firms!$W$5:$W$1004,0),IF(S607="A",IFERROR(MATCH(603-$S$2,'AFA Rates'!$R$5:$R$1004,0),""),""))</f>
        <v/>
      </c>
      <c r="U607">
        <f>IF(S607="S",T607,IF(AND(S607="A",T607&lt;&gt;""),IFERROR(MATCH(INDEX('AFA Rates'!$A$5:$A$1004,T607),Firms!$A$5:$A$1004,0),""),""))</f>
        <v/>
      </c>
    </row>
    <row r="608">
      <c r="A608" s="78">
        <f>IF($T608="","",IF($S608="S",IF(INDEX(Firms!$A$5:$A$1004,$T608)="","",INDEX(Firms!$A$5:$A$1004,$T608)),IF(INDEX('AFA Rates'!$A$5:$A$1004,$T608)="","",INDEX('AFA Rates'!$A$5:$A$1004,$T608))))</f>
        <v/>
      </c>
      <c r="B608" s="79">
        <f>IF(OR($T608="",$U608=""),IF($T608="","","Not on Firms tab"),INDEX(Firms!$B$5:$B$1004,$U608)&amp;"")</f>
        <v/>
      </c>
      <c r="C608" s="78">
        <f>IF($T608="","",IF($S608="S","Standard",INDEX('AFA Rates'!$B$5:$B$1004,$T608)&amp;""))</f>
        <v/>
      </c>
      <c r="D608" s="88">
        <f>IF($T608="","",IF($S608="S",IF(INDEX(Firms!$E$5:$E$1004,$T608)="","",INDEX(Firms!$E$5:$E$1004,$T608)),IF(INDEX('AFA Rates'!$C$5:$C$1004,$T608)="","",INDEX('AFA Rates'!$C$5:$C$1004,$T608))))</f>
        <v/>
      </c>
      <c r="E608" s="88">
        <f>IF($T608="","",IF($S608="S",IF(""="","",""),IF(INDEX('AFA Rates'!$D$5:$D$1004,$T608)="","",INDEX('AFA Rates'!$D$5:$D$1004,$T608))))</f>
        <v/>
      </c>
      <c r="F608" s="79">
        <f>IF($T608="","",IF($S608="S",IF(INDEX(Firms!$O$5:$O$1004,$T608)="","",INDEX(Firms!$O$5:$O$1004,$T608)),IF(INDEX('AFA Rates'!$O$5:$O$1004,$T608)="","",INDEX('AFA Rates'!$O$5:$O$1004,$T608))))</f>
        <v/>
      </c>
      <c r="G608" s="50">
        <f>IF($T608="","",IF($S608="S",IF(INDEX(Firms!$F$5:$F$1004,$T608)="","",INDEX(Firms!$F$5:$F$1004,$T608)),IF(INDEX('AFA Rates'!$E$5:$E$1004,$T608)="","",INDEX('AFA Rates'!$E$5:$E$1004,$T608))))</f>
        <v/>
      </c>
      <c r="H608" s="50">
        <f>IF($T608="","",IF($S608="S",IF(INDEX(Firms!$G$5:$G$1004,$T608)="","",INDEX(Firms!$G$5:$G$1004,$T608)),IF(INDEX('AFA Rates'!$F$5:$F$1004,$T608)="","",INDEX('AFA Rates'!$F$5:$F$1004,$T608))))</f>
        <v/>
      </c>
      <c r="I608" s="50">
        <f>IF($T608="","",IF($S608="S",IF(INDEX(Firms!$H$5:$H$1004,$T608)="","",INDEX(Firms!$H$5:$H$1004,$T608)),IF(INDEX('AFA Rates'!$G$5:$G$1004,$T608)="","",INDEX('AFA Rates'!$G$5:$G$1004,$T608))))</f>
        <v/>
      </c>
      <c r="J608" s="50">
        <f>IF($T608="","",IF($S608="S",IF(INDEX(Firms!$I$5:$I$1004,$T608)="","",INDEX(Firms!$I$5:$I$1004,$T608)),IF(INDEX('AFA Rates'!$H$5:$H$1004,$T608)="","",INDEX('AFA Rates'!$H$5:$H$1004,$T608))))</f>
        <v/>
      </c>
      <c r="K608" s="50">
        <f>IF($T608="","",IF($S608="S",IF(INDEX(Firms!$J$5:$J$1004,$T608)="","",INDEX(Firms!$J$5:$J$1004,$T608)),IF(INDEX('AFA Rates'!$I$5:$I$1004,$T608)="","",INDEX('AFA Rates'!$I$5:$I$1004,$T608))))</f>
        <v/>
      </c>
      <c r="L608" s="50">
        <f>IF($T608="","",IF($S608="S",IF(INDEX(Firms!$K$5:$K$1004,$T608)="","",INDEX(Firms!$K$5:$K$1004,$T608)),IF(INDEX('AFA Rates'!$J$5:$J$1004,$T608)="","",INDEX('AFA Rates'!$J$5:$J$1004,$T608))))</f>
        <v/>
      </c>
      <c r="M608" s="50">
        <f>IF($T608="","",IF($S608="S",IF(INDEX(Firms!$L$5:$L$1004,$T608)="","",INDEX(Firms!$L$5:$L$1004,$T608)),IF(INDEX('AFA Rates'!$K$5:$K$1004,$T608)="","",INDEX('AFA Rates'!$K$5:$K$1004,$T608))))</f>
        <v/>
      </c>
      <c r="N608" s="50">
        <f>IF($T608="","",IF($S608="S",IF(INDEX(Firms!$M$5:$M$1004,$T608)="","",INDEX(Firms!$M$5:$M$1004,$T608)),IF(INDEX('AFA Rates'!$L$5:$L$1004,$T608)="","",INDEX('AFA Rates'!$L$5:$L$1004,$T608))))</f>
        <v/>
      </c>
      <c r="O608" s="78">
        <f>IF(OR($T608="",$U608=""),"",IF(INDEX(Firms!$C$5:$C$1004,$U608)="","",INDEX(Firms!$C$5:$C$1004,$U608)))</f>
        <v/>
      </c>
      <c r="P608" s="79">
        <f>IF(OR($T608="",$U608=""),"",IF(INDEX(Firms!$N$5:$N$1004,$U608)="","",INDEX(Firms!$N$5:$N$1004,$U608)))</f>
        <v/>
      </c>
      <c r="Q608" s="78">
        <f>IF($T608="","",IF($S608="S",IF(INDEX(Firms!$T$5:$T$1004,$T608)="","",INDEX(Firms!$T$5:$T$1004,$T608)),IF(INDEX('AFA Rates'!$M$5:$M$1004,$T608)="","",INDEX('AFA Rates'!$M$5:$M$1004,$T608))))</f>
        <v/>
      </c>
      <c r="S608">
        <f>IF(604&lt;=$S$2,"S",IF(604&lt;=$S$2+$T$2,"A",""))</f>
        <v/>
      </c>
      <c r="T608">
        <f>IF(S608="S",MATCH(604,Firms!$W$5:$W$1004,0),IF(S608="A",IFERROR(MATCH(604-$S$2,'AFA Rates'!$R$5:$R$1004,0),""),""))</f>
        <v/>
      </c>
      <c r="U608">
        <f>IF(S608="S",T608,IF(AND(S608="A",T608&lt;&gt;""),IFERROR(MATCH(INDEX('AFA Rates'!$A$5:$A$1004,T608),Firms!$A$5:$A$1004,0),""),""))</f>
        <v/>
      </c>
    </row>
    <row r="609">
      <c r="A609" s="78">
        <f>IF($T609="","",IF($S609="S",IF(INDEX(Firms!$A$5:$A$1004,$T609)="","",INDEX(Firms!$A$5:$A$1004,$T609)),IF(INDEX('AFA Rates'!$A$5:$A$1004,$T609)="","",INDEX('AFA Rates'!$A$5:$A$1004,$T609))))</f>
        <v/>
      </c>
      <c r="B609" s="79">
        <f>IF(OR($T609="",$U609=""),IF($T609="","","Not on Firms tab"),INDEX(Firms!$B$5:$B$1004,$U609)&amp;"")</f>
        <v/>
      </c>
      <c r="C609" s="78">
        <f>IF($T609="","",IF($S609="S","Standard",INDEX('AFA Rates'!$B$5:$B$1004,$T609)&amp;""))</f>
        <v/>
      </c>
      <c r="D609" s="88">
        <f>IF($T609="","",IF($S609="S",IF(INDEX(Firms!$E$5:$E$1004,$T609)="","",INDEX(Firms!$E$5:$E$1004,$T609)),IF(INDEX('AFA Rates'!$C$5:$C$1004,$T609)="","",INDEX('AFA Rates'!$C$5:$C$1004,$T609))))</f>
        <v/>
      </c>
      <c r="E609" s="88">
        <f>IF($T609="","",IF($S609="S",IF(""="","",""),IF(INDEX('AFA Rates'!$D$5:$D$1004,$T609)="","",INDEX('AFA Rates'!$D$5:$D$1004,$T609))))</f>
        <v/>
      </c>
      <c r="F609" s="79">
        <f>IF($T609="","",IF($S609="S",IF(INDEX(Firms!$O$5:$O$1004,$T609)="","",INDEX(Firms!$O$5:$O$1004,$T609)),IF(INDEX('AFA Rates'!$O$5:$O$1004,$T609)="","",INDEX('AFA Rates'!$O$5:$O$1004,$T609))))</f>
        <v/>
      </c>
      <c r="G609" s="50">
        <f>IF($T609="","",IF($S609="S",IF(INDEX(Firms!$F$5:$F$1004,$T609)="","",INDEX(Firms!$F$5:$F$1004,$T609)),IF(INDEX('AFA Rates'!$E$5:$E$1004,$T609)="","",INDEX('AFA Rates'!$E$5:$E$1004,$T609))))</f>
        <v/>
      </c>
      <c r="H609" s="50">
        <f>IF($T609="","",IF($S609="S",IF(INDEX(Firms!$G$5:$G$1004,$T609)="","",INDEX(Firms!$G$5:$G$1004,$T609)),IF(INDEX('AFA Rates'!$F$5:$F$1004,$T609)="","",INDEX('AFA Rates'!$F$5:$F$1004,$T609))))</f>
        <v/>
      </c>
      <c r="I609" s="50">
        <f>IF($T609="","",IF($S609="S",IF(INDEX(Firms!$H$5:$H$1004,$T609)="","",INDEX(Firms!$H$5:$H$1004,$T609)),IF(INDEX('AFA Rates'!$G$5:$G$1004,$T609)="","",INDEX('AFA Rates'!$G$5:$G$1004,$T609))))</f>
        <v/>
      </c>
      <c r="J609" s="50">
        <f>IF($T609="","",IF($S609="S",IF(INDEX(Firms!$I$5:$I$1004,$T609)="","",INDEX(Firms!$I$5:$I$1004,$T609)),IF(INDEX('AFA Rates'!$H$5:$H$1004,$T609)="","",INDEX('AFA Rates'!$H$5:$H$1004,$T609))))</f>
        <v/>
      </c>
      <c r="K609" s="50">
        <f>IF($T609="","",IF($S609="S",IF(INDEX(Firms!$J$5:$J$1004,$T609)="","",INDEX(Firms!$J$5:$J$1004,$T609)),IF(INDEX('AFA Rates'!$I$5:$I$1004,$T609)="","",INDEX('AFA Rates'!$I$5:$I$1004,$T609))))</f>
        <v/>
      </c>
      <c r="L609" s="50">
        <f>IF($T609="","",IF($S609="S",IF(INDEX(Firms!$K$5:$K$1004,$T609)="","",INDEX(Firms!$K$5:$K$1004,$T609)),IF(INDEX('AFA Rates'!$J$5:$J$1004,$T609)="","",INDEX('AFA Rates'!$J$5:$J$1004,$T609))))</f>
        <v/>
      </c>
      <c r="M609" s="50">
        <f>IF($T609="","",IF($S609="S",IF(INDEX(Firms!$L$5:$L$1004,$T609)="","",INDEX(Firms!$L$5:$L$1004,$T609)),IF(INDEX('AFA Rates'!$K$5:$K$1004,$T609)="","",INDEX('AFA Rates'!$K$5:$K$1004,$T609))))</f>
        <v/>
      </c>
      <c r="N609" s="50">
        <f>IF($T609="","",IF($S609="S",IF(INDEX(Firms!$M$5:$M$1004,$T609)="","",INDEX(Firms!$M$5:$M$1004,$T609)),IF(INDEX('AFA Rates'!$L$5:$L$1004,$T609)="","",INDEX('AFA Rates'!$L$5:$L$1004,$T609))))</f>
        <v/>
      </c>
      <c r="O609" s="78">
        <f>IF(OR($T609="",$U609=""),"",IF(INDEX(Firms!$C$5:$C$1004,$U609)="","",INDEX(Firms!$C$5:$C$1004,$U609)))</f>
        <v/>
      </c>
      <c r="P609" s="79">
        <f>IF(OR($T609="",$U609=""),"",IF(INDEX(Firms!$N$5:$N$1004,$U609)="","",INDEX(Firms!$N$5:$N$1004,$U609)))</f>
        <v/>
      </c>
      <c r="Q609" s="78">
        <f>IF($T609="","",IF($S609="S",IF(INDEX(Firms!$T$5:$T$1004,$T609)="","",INDEX(Firms!$T$5:$T$1004,$T609)),IF(INDEX('AFA Rates'!$M$5:$M$1004,$T609)="","",INDEX('AFA Rates'!$M$5:$M$1004,$T609))))</f>
        <v/>
      </c>
      <c r="S609">
        <f>IF(605&lt;=$S$2,"S",IF(605&lt;=$S$2+$T$2,"A",""))</f>
        <v/>
      </c>
      <c r="T609">
        <f>IF(S609="S",MATCH(605,Firms!$W$5:$W$1004,0),IF(S609="A",IFERROR(MATCH(605-$S$2,'AFA Rates'!$R$5:$R$1004,0),""),""))</f>
        <v/>
      </c>
      <c r="U609">
        <f>IF(S609="S",T609,IF(AND(S609="A",T609&lt;&gt;""),IFERROR(MATCH(INDEX('AFA Rates'!$A$5:$A$1004,T609),Firms!$A$5:$A$1004,0),""),""))</f>
        <v/>
      </c>
    </row>
    <row r="610">
      <c r="A610" s="78">
        <f>IF($T610="","",IF($S610="S",IF(INDEX(Firms!$A$5:$A$1004,$T610)="","",INDEX(Firms!$A$5:$A$1004,$T610)),IF(INDEX('AFA Rates'!$A$5:$A$1004,$T610)="","",INDEX('AFA Rates'!$A$5:$A$1004,$T610))))</f>
        <v/>
      </c>
      <c r="B610" s="79">
        <f>IF(OR($T610="",$U610=""),IF($T610="","","Not on Firms tab"),INDEX(Firms!$B$5:$B$1004,$U610)&amp;"")</f>
        <v/>
      </c>
      <c r="C610" s="78">
        <f>IF($T610="","",IF($S610="S","Standard",INDEX('AFA Rates'!$B$5:$B$1004,$T610)&amp;""))</f>
        <v/>
      </c>
      <c r="D610" s="88">
        <f>IF($T610="","",IF($S610="S",IF(INDEX(Firms!$E$5:$E$1004,$T610)="","",INDEX(Firms!$E$5:$E$1004,$T610)),IF(INDEX('AFA Rates'!$C$5:$C$1004,$T610)="","",INDEX('AFA Rates'!$C$5:$C$1004,$T610))))</f>
        <v/>
      </c>
      <c r="E610" s="88">
        <f>IF($T610="","",IF($S610="S",IF(""="","",""),IF(INDEX('AFA Rates'!$D$5:$D$1004,$T610)="","",INDEX('AFA Rates'!$D$5:$D$1004,$T610))))</f>
        <v/>
      </c>
      <c r="F610" s="79">
        <f>IF($T610="","",IF($S610="S",IF(INDEX(Firms!$O$5:$O$1004,$T610)="","",INDEX(Firms!$O$5:$O$1004,$T610)),IF(INDEX('AFA Rates'!$O$5:$O$1004,$T610)="","",INDEX('AFA Rates'!$O$5:$O$1004,$T610))))</f>
        <v/>
      </c>
      <c r="G610" s="50">
        <f>IF($T610="","",IF($S610="S",IF(INDEX(Firms!$F$5:$F$1004,$T610)="","",INDEX(Firms!$F$5:$F$1004,$T610)),IF(INDEX('AFA Rates'!$E$5:$E$1004,$T610)="","",INDEX('AFA Rates'!$E$5:$E$1004,$T610))))</f>
        <v/>
      </c>
      <c r="H610" s="50">
        <f>IF($T610="","",IF($S610="S",IF(INDEX(Firms!$G$5:$G$1004,$T610)="","",INDEX(Firms!$G$5:$G$1004,$T610)),IF(INDEX('AFA Rates'!$F$5:$F$1004,$T610)="","",INDEX('AFA Rates'!$F$5:$F$1004,$T610))))</f>
        <v/>
      </c>
      <c r="I610" s="50">
        <f>IF($T610="","",IF($S610="S",IF(INDEX(Firms!$H$5:$H$1004,$T610)="","",INDEX(Firms!$H$5:$H$1004,$T610)),IF(INDEX('AFA Rates'!$G$5:$G$1004,$T610)="","",INDEX('AFA Rates'!$G$5:$G$1004,$T610))))</f>
        <v/>
      </c>
      <c r="J610" s="50">
        <f>IF($T610="","",IF($S610="S",IF(INDEX(Firms!$I$5:$I$1004,$T610)="","",INDEX(Firms!$I$5:$I$1004,$T610)),IF(INDEX('AFA Rates'!$H$5:$H$1004,$T610)="","",INDEX('AFA Rates'!$H$5:$H$1004,$T610))))</f>
        <v/>
      </c>
      <c r="K610" s="50">
        <f>IF($T610="","",IF($S610="S",IF(INDEX(Firms!$J$5:$J$1004,$T610)="","",INDEX(Firms!$J$5:$J$1004,$T610)),IF(INDEX('AFA Rates'!$I$5:$I$1004,$T610)="","",INDEX('AFA Rates'!$I$5:$I$1004,$T610))))</f>
        <v/>
      </c>
      <c r="L610" s="50">
        <f>IF($T610="","",IF($S610="S",IF(INDEX(Firms!$K$5:$K$1004,$T610)="","",INDEX(Firms!$K$5:$K$1004,$T610)),IF(INDEX('AFA Rates'!$J$5:$J$1004,$T610)="","",INDEX('AFA Rates'!$J$5:$J$1004,$T610))))</f>
        <v/>
      </c>
      <c r="M610" s="50">
        <f>IF($T610="","",IF($S610="S",IF(INDEX(Firms!$L$5:$L$1004,$T610)="","",INDEX(Firms!$L$5:$L$1004,$T610)),IF(INDEX('AFA Rates'!$K$5:$K$1004,$T610)="","",INDEX('AFA Rates'!$K$5:$K$1004,$T610))))</f>
        <v/>
      </c>
      <c r="N610" s="50">
        <f>IF($T610="","",IF($S610="S",IF(INDEX(Firms!$M$5:$M$1004,$T610)="","",INDEX(Firms!$M$5:$M$1004,$T610)),IF(INDEX('AFA Rates'!$L$5:$L$1004,$T610)="","",INDEX('AFA Rates'!$L$5:$L$1004,$T610))))</f>
        <v/>
      </c>
      <c r="O610" s="78">
        <f>IF(OR($T610="",$U610=""),"",IF(INDEX(Firms!$C$5:$C$1004,$U610)="","",INDEX(Firms!$C$5:$C$1004,$U610)))</f>
        <v/>
      </c>
      <c r="P610" s="79">
        <f>IF(OR($T610="",$U610=""),"",IF(INDEX(Firms!$N$5:$N$1004,$U610)="","",INDEX(Firms!$N$5:$N$1004,$U610)))</f>
        <v/>
      </c>
      <c r="Q610" s="78">
        <f>IF($T610="","",IF($S610="S",IF(INDEX(Firms!$T$5:$T$1004,$T610)="","",INDEX(Firms!$T$5:$T$1004,$T610)),IF(INDEX('AFA Rates'!$M$5:$M$1004,$T610)="","",INDEX('AFA Rates'!$M$5:$M$1004,$T610))))</f>
        <v/>
      </c>
      <c r="S610">
        <f>IF(606&lt;=$S$2,"S",IF(606&lt;=$S$2+$T$2,"A",""))</f>
        <v/>
      </c>
      <c r="T610">
        <f>IF(S610="S",MATCH(606,Firms!$W$5:$W$1004,0),IF(S610="A",IFERROR(MATCH(606-$S$2,'AFA Rates'!$R$5:$R$1004,0),""),""))</f>
        <v/>
      </c>
      <c r="U610">
        <f>IF(S610="S",T610,IF(AND(S610="A",T610&lt;&gt;""),IFERROR(MATCH(INDEX('AFA Rates'!$A$5:$A$1004,T610),Firms!$A$5:$A$1004,0),""),""))</f>
        <v/>
      </c>
    </row>
    <row r="611">
      <c r="A611" s="78">
        <f>IF($T611="","",IF($S611="S",IF(INDEX(Firms!$A$5:$A$1004,$T611)="","",INDEX(Firms!$A$5:$A$1004,$T611)),IF(INDEX('AFA Rates'!$A$5:$A$1004,$T611)="","",INDEX('AFA Rates'!$A$5:$A$1004,$T611))))</f>
        <v/>
      </c>
      <c r="B611" s="79">
        <f>IF(OR($T611="",$U611=""),IF($T611="","","Not on Firms tab"),INDEX(Firms!$B$5:$B$1004,$U611)&amp;"")</f>
        <v/>
      </c>
      <c r="C611" s="78">
        <f>IF($T611="","",IF($S611="S","Standard",INDEX('AFA Rates'!$B$5:$B$1004,$T611)&amp;""))</f>
        <v/>
      </c>
      <c r="D611" s="88">
        <f>IF($T611="","",IF($S611="S",IF(INDEX(Firms!$E$5:$E$1004,$T611)="","",INDEX(Firms!$E$5:$E$1004,$T611)),IF(INDEX('AFA Rates'!$C$5:$C$1004,$T611)="","",INDEX('AFA Rates'!$C$5:$C$1004,$T611))))</f>
        <v/>
      </c>
      <c r="E611" s="88">
        <f>IF($T611="","",IF($S611="S",IF(""="","",""),IF(INDEX('AFA Rates'!$D$5:$D$1004,$T611)="","",INDEX('AFA Rates'!$D$5:$D$1004,$T611))))</f>
        <v/>
      </c>
      <c r="F611" s="79">
        <f>IF($T611="","",IF($S611="S",IF(INDEX(Firms!$O$5:$O$1004,$T611)="","",INDEX(Firms!$O$5:$O$1004,$T611)),IF(INDEX('AFA Rates'!$O$5:$O$1004,$T611)="","",INDEX('AFA Rates'!$O$5:$O$1004,$T611))))</f>
        <v/>
      </c>
      <c r="G611" s="50">
        <f>IF($T611="","",IF($S611="S",IF(INDEX(Firms!$F$5:$F$1004,$T611)="","",INDEX(Firms!$F$5:$F$1004,$T611)),IF(INDEX('AFA Rates'!$E$5:$E$1004,$T611)="","",INDEX('AFA Rates'!$E$5:$E$1004,$T611))))</f>
        <v/>
      </c>
      <c r="H611" s="50">
        <f>IF($T611="","",IF($S611="S",IF(INDEX(Firms!$G$5:$G$1004,$T611)="","",INDEX(Firms!$G$5:$G$1004,$T611)),IF(INDEX('AFA Rates'!$F$5:$F$1004,$T611)="","",INDEX('AFA Rates'!$F$5:$F$1004,$T611))))</f>
        <v/>
      </c>
      <c r="I611" s="50">
        <f>IF($T611="","",IF($S611="S",IF(INDEX(Firms!$H$5:$H$1004,$T611)="","",INDEX(Firms!$H$5:$H$1004,$T611)),IF(INDEX('AFA Rates'!$G$5:$G$1004,$T611)="","",INDEX('AFA Rates'!$G$5:$G$1004,$T611))))</f>
        <v/>
      </c>
      <c r="J611" s="50">
        <f>IF($T611="","",IF($S611="S",IF(INDEX(Firms!$I$5:$I$1004,$T611)="","",INDEX(Firms!$I$5:$I$1004,$T611)),IF(INDEX('AFA Rates'!$H$5:$H$1004,$T611)="","",INDEX('AFA Rates'!$H$5:$H$1004,$T611))))</f>
        <v/>
      </c>
      <c r="K611" s="50">
        <f>IF($T611="","",IF($S611="S",IF(INDEX(Firms!$J$5:$J$1004,$T611)="","",INDEX(Firms!$J$5:$J$1004,$T611)),IF(INDEX('AFA Rates'!$I$5:$I$1004,$T611)="","",INDEX('AFA Rates'!$I$5:$I$1004,$T611))))</f>
        <v/>
      </c>
      <c r="L611" s="50">
        <f>IF($T611="","",IF($S611="S",IF(INDEX(Firms!$K$5:$K$1004,$T611)="","",INDEX(Firms!$K$5:$K$1004,$T611)),IF(INDEX('AFA Rates'!$J$5:$J$1004,$T611)="","",INDEX('AFA Rates'!$J$5:$J$1004,$T611))))</f>
        <v/>
      </c>
      <c r="M611" s="50">
        <f>IF($T611="","",IF($S611="S",IF(INDEX(Firms!$L$5:$L$1004,$T611)="","",INDEX(Firms!$L$5:$L$1004,$T611)),IF(INDEX('AFA Rates'!$K$5:$K$1004,$T611)="","",INDEX('AFA Rates'!$K$5:$K$1004,$T611))))</f>
        <v/>
      </c>
      <c r="N611" s="50">
        <f>IF($T611="","",IF($S611="S",IF(INDEX(Firms!$M$5:$M$1004,$T611)="","",INDEX(Firms!$M$5:$M$1004,$T611)),IF(INDEX('AFA Rates'!$L$5:$L$1004,$T611)="","",INDEX('AFA Rates'!$L$5:$L$1004,$T611))))</f>
        <v/>
      </c>
      <c r="O611" s="78">
        <f>IF(OR($T611="",$U611=""),"",IF(INDEX(Firms!$C$5:$C$1004,$U611)="","",INDEX(Firms!$C$5:$C$1004,$U611)))</f>
        <v/>
      </c>
      <c r="P611" s="79">
        <f>IF(OR($T611="",$U611=""),"",IF(INDEX(Firms!$N$5:$N$1004,$U611)="","",INDEX(Firms!$N$5:$N$1004,$U611)))</f>
        <v/>
      </c>
      <c r="Q611" s="78">
        <f>IF($T611="","",IF($S611="S",IF(INDEX(Firms!$T$5:$T$1004,$T611)="","",INDEX(Firms!$T$5:$T$1004,$T611)),IF(INDEX('AFA Rates'!$M$5:$M$1004,$T611)="","",INDEX('AFA Rates'!$M$5:$M$1004,$T611))))</f>
        <v/>
      </c>
      <c r="S611">
        <f>IF(607&lt;=$S$2,"S",IF(607&lt;=$S$2+$T$2,"A",""))</f>
        <v/>
      </c>
      <c r="T611">
        <f>IF(S611="S",MATCH(607,Firms!$W$5:$W$1004,0),IF(S611="A",IFERROR(MATCH(607-$S$2,'AFA Rates'!$R$5:$R$1004,0),""),""))</f>
        <v/>
      </c>
      <c r="U611">
        <f>IF(S611="S",T611,IF(AND(S611="A",T611&lt;&gt;""),IFERROR(MATCH(INDEX('AFA Rates'!$A$5:$A$1004,T611),Firms!$A$5:$A$1004,0),""),""))</f>
        <v/>
      </c>
    </row>
    <row r="612">
      <c r="A612" s="78">
        <f>IF($T612="","",IF($S612="S",IF(INDEX(Firms!$A$5:$A$1004,$T612)="","",INDEX(Firms!$A$5:$A$1004,$T612)),IF(INDEX('AFA Rates'!$A$5:$A$1004,$T612)="","",INDEX('AFA Rates'!$A$5:$A$1004,$T612))))</f>
        <v/>
      </c>
      <c r="B612" s="79">
        <f>IF(OR($T612="",$U612=""),IF($T612="","","Not on Firms tab"),INDEX(Firms!$B$5:$B$1004,$U612)&amp;"")</f>
        <v/>
      </c>
      <c r="C612" s="78">
        <f>IF($T612="","",IF($S612="S","Standard",INDEX('AFA Rates'!$B$5:$B$1004,$T612)&amp;""))</f>
        <v/>
      </c>
      <c r="D612" s="88">
        <f>IF($T612="","",IF($S612="S",IF(INDEX(Firms!$E$5:$E$1004,$T612)="","",INDEX(Firms!$E$5:$E$1004,$T612)),IF(INDEX('AFA Rates'!$C$5:$C$1004,$T612)="","",INDEX('AFA Rates'!$C$5:$C$1004,$T612))))</f>
        <v/>
      </c>
      <c r="E612" s="88">
        <f>IF($T612="","",IF($S612="S",IF(""="","",""),IF(INDEX('AFA Rates'!$D$5:$D$1004,$T612)="","",INDEX('AFA Rates'!$D$5:$D$1004,$T612))))</f>
        <v/>
      </c>
      <c r="F612" s="79">
        <f>IF($T612="","",IF($S612="S",IF(INDEX(Firms!$O$5:$O$1004,$T612)="","",INDEX(Firms!$O$5:$O$1004,$T612)),IF(INDEX('AFA Rates'!$O$5:$O$1004,$T612)="","",INDEX('AFA Rates'!$O$5:$O$1004,$T612))))</f>
        <v/>
      </c>
      <c r="G612" s="50">
        <f>IF($T612="","",IF($S612="S",IF(INDEX(Firms!$F$5:$F$1004,$T612)="","",INDEX(Firms!$F$5:$F$1004,$T612)),IF(INDEX('AFA Rates'!$E$5:$E$1004,$T612)="","",INDEX('AFA Rates'!$E$5:$E$1004,$T612))))</f>
        <v/>
      </c>
      <c r="H612" s="50">
        <f>IF($T612="","",IF($S612="S",IF(INDEX(Firms!$G$5:$G$1004,$T612)="","",INDEX(Firms!$G$5:$G$1004,$T612)),IF(INDEX('AFA Rates'!$F$5:$F$1004,$T612)="","",INDEX('AFA Rates'!$F$5:$F$1004,$T612))))</f>
        <v/>
      </c>
      <c r="I612" s="50">
        <f>IF($T612="","",IF($S612="S",IF(INDEX(Firms!$H$5:$H$1004,$T612)="","",INDEX(Firms!$H$5:$H$1004,$T612)),IF(INDEX('AFA Rates'!$G$5:$G$1004,$T612)="","",INDEX('AFA Rates'!$G$5:$G$1004,$T612))))</f>
        <v/>
      </c>
      <c r="J612" s="50">
        <f>IF($T612="","",IF($S612="S",IF(INDEX(Firms!$I$5:$I$1004,$T612)="","",INDEX(Firms!$I$5:$I$1004,$T612)),IF(INDEX('AFA Rates'!$H$5:$H$1004,$T612)="","",INDEX('AFA Rates'!$H$5:$H$1004,$T612))))</f>
        <v/>
      </c>
      <c r="K612" s="50">
        <f>IF($T612="","",IF($S612="S",IF(INDEX(Firms!$J$5:$J$1004,$T612)="","",INDEX(Firms!$J$5:$J$1004,$T612)),IF(INDEX('AFA Rates'!$I$5:$I$1004,$T612)="","",INDEX('AFA Rates'!$I$5:$I$1004,$T612))))</f>
        <v/>
      </c>
      <c r="L612" s="50">
        <f>IF($T612="","",IF($S612="S",IF(INDEX(Firms!$K$5:$K$1004,$T612)="","",INDEX(Firms!$K$5:$K$1004,$T612)),IF(INDEX('AFA Rates'!$J$5:$J$1004,$T612)="","",INDEX('AFA Rates'!$J$5:$J$1004,$T612))))</f>
        <v/>
      </c>
      <c r="M612" s="50">
        <f>IF($T612="","",IF($S612="S",IF(INDEX(Firms!$L$5:$L$1004,$T612)="","",INDEX(Firms!$L$5:$L$1004,$T612)),IF(INDEX('AFA Rates'!$K$5:$K$1004,$T612)="","",INDEX('AFA Rates'!$K$5:$K$1004,$T612))))</f>
        <v/>
      </c>
      <c r="N612" s="50">
        <f>IF($T612="","",IF($S612="S",IF(INDEX(Firms!$M$5:$M$1004,$T612)="","",INDEX(Firms!$M$5:$M$1004,$T612)),IF(INDEX('AFA Rates'!$L$5:$L$1004,$T612)="","",INDEX('AFA Rates'!$L$5:$L$1004,$T612))))</f>
        <v/>
      </c>
      <c r="O612" s="78">
        <f>IF(OR($T612="",$U612=""),"",IF(INDEX(Firms!$C$5:$C$1004,$U612)="","",INDEX(Firms!$C$5:$C$1004,$U612)))</f>
        <v/>
      </c>
      <c r="P612" s="79">
        <f>IF(OR($T612="",$U612=""),"",IF(INDEX(Firms!$N$5:$N$1004,$U612)="","",INDEX(Firms!$N$5:$N$1004,$U612)))</f>
        <v/>
      </c>
      <c r="Q612" s="78">
        <f>IF($T612="","",IF($S612="S",IF(INDEX(Firms!$T$5:$T$1004,$T612)="","",INDEX(Firms!$T$5:$T$1004,$T612)),IF(INDEX('AFA Rates'!$M$5:$M$1004,$T612)="","",INDEX('AFA Rates'!$M$5:$M$1004,$T612))))</f>
        <v/>
      </c>
      <c r="S612">
        <f>IF(608&lt;=$S$2,"S",IF(608&lt;=$S$2+$T$2,"A",""))</f>
        <v/>
      </c>
      <c r="T612">
        <f>IF(S612="S",MATCH(608,Firms!$W$5:$W$1004,0),IF(S612="A",IFERROR(MATCH(608-$S$2,'AFA Rates'!$R$5:$R$1004,0),""),""))</f>
        <v/>
      </c>
      <c r="U612">
        <f>IF(S612="S",T612,IF(AND(S612="A",T612&lt;&gt;""),IFERROR(MATCH(INDEX('AFA Rates'!$A$5:$A$1004,T612),Firms!$A$5:$A$1004,0),""),""))</f>
        <v/>
      </c>
    </row>
    <row r="613">
      <c r="A613" s="78">
        <f>IF($T613="","",IF($S613="S",IF(INDEX(Firms!$A$5:$A$1004,$T613)="","",INDEX(Firms!$A$5:$A$1004,$T613)),IF(INDEX('AFA Rates'!$A$5:$A$1004,$T613)="","",INDEX('AFA Rates'!$A$5:$A$1004,$T613))))</f>
        <v/>
      </c>
      <c r="B613" s="79">
        <f>IF(OR($T613="",$U613=""),IF($T613="","","Not on Firms tab"),INDEX(Firms!$B$5:$B$1004,$U613)&amp;"")</f>
        <v/>
      </c>
      <c r="C613" s="78">
        <f>IF($T613="","",IF($S613="S","Standard",INDEX('AFA Rates'!$B$5:$B$1004,$T613)&amp;""))</f>
        <v/>
      </c>
      <c r="D613" s="88">
        <f>IF($T613="","",IF($S613="S",IF(INDEX(Firms!$E$5:$E$1004,$T613)="","",INDEX(Firms!$E$5:$E$1004,$T613)),IF(INDEX('AFA Rates'!$C$5:$C$1004,$T613)="","",INDEX('AFA Rates'!$C$5:$C$1004,$T613))))</f>
        <v/>
      </c>
      <c r="E613" s="88">
        <f>IF($T613="","",IF($S613="S",IF(""="","",""),IF(INDEX('AFA Rates'!$D$5:$D$1004,$T613)="","",INDEX('AFA Rates'!$D$5:$D$1004,$T613))))</f>
        <v/>
      </c>
      <c r="F613" s="79">
        <f>IF($T613="","",IF($S613="S",IF(INDEX(Firms!$O$5:$O$1004,$T613)="","",INDEX(Firms!$O$5:$O$1004,$T613)),IF(INDEX('AFA Rates'!$O$5:$O$1004,$T613)="","",INDEX('AFA Rates'!$O$5:$O$1004,$T613))))</f>
        <v/>
      </c>
      <c r="G613" s="50">
        <f>IF($T613="","",IF($S613="S",IF(INDEX(Firms!$F$5:$F$1004,$T613)="","",INDEX(Firms!$F$5:$F$1004,$T613)),IF(INDEX('AFA Rates'!$E$5:$E$1004,$T613)="","",INDEX('AFA Rates'!$E$5:$E$1004,$T613))))</f>
        <v/>
      </c>
      <c r="H613" s="50">
        <f>IF($T613="","",IF($S613="S",IF(INDEX(Firms!$G$5:$G$1004,$T613)="","",INDEX(Firms!$G$5:$G$1004,$T613)),IF(INDEX('AFA Rates'!$F$5:$F$1004,$T613)="","",INDEX('AFA Rates'!$F$5:$F$1004,$T613))))</f>
        <v/>
      </c>
      <c r="I613" s="50">
        <f>IF($T613="","",IF($S613="S",IF(INDEX(Firms!$H$5:$H$1004,$T613)="","",INDEX(Firms!$H$5:$H$1004,$T613)),IF(INDEX('AFA Rates'!$G$5:$G$1004,$T613)="","",INDEX('AFA Rates'!$G$5:$G$1004,$T613))))</f>
        <v/>
      </c>
      <c r="J613" s="50">
        <f>IF($T613="","",IF($S613="S",IF(INDEX(Firms!$I$5:$I$1004,$T613)="","",INDEX(Firms!$I$5:$I$1004,$T613)),IF(INDEX('AFA Rates'!$H$5:$H$1004,$T613)="","",INDEX('AFA Rates'!$H$5:$H$1004,$T613))))</f>
        <v/>
      </c>
      <c r="K613" s="50">
        <f>IF($T613="","",IF($S613="S",IF(INDEX(Firms!$J$5:$J$1004,$T613)="","",INDEX(Firms!$J$5:$J$1004,$T613)),IF(INDEX('AFA Rates'!$I$5:$I$1004,$T613)="","",INDEX('AFA Rates'!$I$5:$I$1004,$T613))))</f>
        <v/>
      </c>
      <c r="L613" s="50">
        <f>IF($T613="","",IF($S613="S",IF(INDEX(Firms!$K$5:$K$1004,$T613)="","",INDEX(Firms!$K$5:$K$1004,$T613)),IF(INDEX('AFA Rates'!$J$5:$J$1004,$T613)="","",INDEX('AFA Rates'!$J$5:$J$1004,$T613))))</f>
        <v/>
      </c>
      <c r="M613" s="50">
        <f>IF($T613="","",IF($S613="S",IF(INDEX(Firms!$L$5:$L$1004,$T613)="","",INDEX(Firms!$L$5:$L$1004,$T613)),IF(INDEX('AFA Rates'!$K$5:$K$1004,$T613)="","",INDEX('AFA Rates'!$K$5:$K$1004,$T613))))</f>
        <v/>
      </c>
      <c r="N613" s="50">
        <f>IF($T613="","",IF($S613="S",IF(INDEX(Firms!$M$5:$M$1004,$T613)="","",INDEX(Firms!$M$5:$M$1004,$T613)),IF(INDEX('AFA Rates'!$L$5:$L$1004,$T613)="","",INDEX('AFA Rates'!$L$5:$L$1004,$T613))))</f>
        <v/>
      </c>
      <c r="O613" s="78">
        <f>IF(OR($T613="",$U613=""),"",IF(INDEX(Firms!$C$5:$C$1004,$U613)="","",INDEX(Firms!$C$5:$C$1004,$U613)))</f>
        <v/>
      </c>
      <c r="P613" s="79">
        <f>IF(OR($T613="",$U613=""),"",IF(INDEX(Firms!$N$5:$N$1004,$U613)="","",INDEX(Firms!$N$5:$N$1004,$U613)))</f>
        <v/>
      </c>
      <c r="Q613" s="78">
        <f>IF($T613="","",IF($S613="S",IF(INDEX(Firms!$T$5:$T$1004,$T613)="","",INDEX(Firms!$T$5:$T$1004,$T613)),IF(INDEX('AFA Rates'!$M$5:$M$1004,$T613)="","",INDEX('AFA Rates'!$M$5:$M$1004,$T613))))</f>
        <v/>
      </c>
      <c r="S613">
        <f>IF(609&lt;=$S$2,"S",IF(609&lt;=$S$2+$T$2,"A",""))</f>
        <v/>
      </c>
      <c r="T613">
        <f>IF(S613="S",MATCH(609,Firms!$W$5:$W$1004,0),IF(S613="A",IFERROR(MATCH(609-$S$2,'AFA Rates'!$R$5:$R$1004,0),""),""))</f>
        <v/>
      </c>
      <c r="U613">
        <f>IF(S613="S",T613,IF(AND(S613="A",T613&lt;&gt;""),IFERROR(MATCH(INDEX('AFA Rates'!$A$5:$A$1004,T613),Firms!$A$5:$A$1004,0),""),""))</f>
        <v/>
      </c>
    </row>
    <row r="614">
      <c r="A614" s="78">
        <f>IF($T614="","",IF($S614="S",IF(INDEX(Firms!$A$5:$A$1004,$T614)="","",INDEX(Firms!$A$5:$A$1004,$T614)),IF(INDEX('AFA Rates'!$A$5:$A$1004,$T614)="","",INDEX('AFA Rates'!$A$5:$A$1004,$T614))))</f>
        <v/>
      </c>
      <c r="B614" s="79">
        <f>IF(OR($T614="",$U614=""),IF($T614="","","Not on Firms tab"),INDEX(Firms!$B$5:$B$1004,$U614)&amp;"")</f>
        <v/>
      </c>
      <c r="C614" s="78">
        <f>IF($T614="","",IF($S614="S","Standard",INDEX('AFA Rates'!$B$5:$B$1004,$T614)&amp;""))</f>
        <v/>
      </c>
      <c r="D614" s="88">
        <f>IF($T614="","",IF($S614="S",IF(INDEX(Firms!$E$5:$E$1004,$T614)="","",INDEX(Firms!$E$5:$E$1004,$T614)),IF(INDEX('AFA Rates'!$C$5:$C$1004,$T614)="","",INDEX('AFA Rates'!$C$5:$C$1004,$T614))))</f>
        <v/>
      </c>
      <c r="E614" s="88">
        <f>IF($T614="","",IF($S614="S",IF(""="","",""),IF(INDEX('AFA Rates'!$D$5:$D$1004,$T614)="","",INDEX('AFA Rates'!$D$5:$D$1004,$T614))))</f>
        <v/>
      </c>
      <c r="F614" s="79">
        <f>IF($T614="","",IF($S614="S",IF(INDEX(Firms!$O$5:$O$1004,$T614)="","",INDEX(Firms!$O$5:$O$1004,$T614)),IF(INDEX('AFA Rates'!$O$5:$O$1004,$T614)="","",INDEX('AFA Rates'!$O$5:$O$1004,$T614))))</f>
        <v/>
      </c>
      <c r="G614" s="50">
        <f>IF($T614="","",IF($S614="S",IF(INDEX(Firms!$F$5:$F$1004,$T614)="","",INDEX(Firms!$F$5:$F$1004,$T614)),IF(INDEX('AFA Rates'!$E$5:$E$1004,$T614)="","",INDEX('AFA Rates'!$E$5:$E$1004,$T614))))</f>
        <v/>
      </c>
      <c r="H614" s="50">
        <f>IF($T614="","",IF($S614="S",IF(INDEX(Firms!$G$5:$G$1004,$T614)="","",INDEX(Firms!$G$5:$G$1004,$T614)),IF(INDEX('AFA Rates'!$F$5:$F$1004,$T614)="","",INDEX('AFA Rates'!$F$5:$F$1004,$T614))))</f>
        <v/>
      </c>
      <c r="I614" s="50">
        <f>IF($T614="","",IF($S614="S",IF(INDEX(Firms!$H$5:$H$1004,$T614)="","",INDEX(Firms!$H$5:$H$1004,$T614)),IF(INDEX('AFA Rates'!$G$5:$G$1004,$T614)="","",INDEX('AFA Rates'!$G$5:$G$1004,$T614))))</f>
        <v/>
      </c>
      <c r="J614" s="50">
        <f>IF($T614="","",IF($S614="S",IF(INDEX(Firms!$I$5:$I$1004,$T614)="","",INDEX(Firms!$I$5:$I$1004,$T614)),IF(INDEX('AFA Rates'!$H$5:$H$1004,$T614)="","",INDEX('AFA Rates'!$H$5:$H$1004,$T614))))</f>
        <v/>
      </c>
      <c r="K614" s="50">
        <f>IF($T614="","",IF($S614="S",IF(INDEX(Firms!$J$5:$J$1004,$T614)="","",INDEX(Firms!$J$5:$J$1004,$T614)),IF(INDEX('AFA Rates'!$I$5:$I$1004,$T614)="","",INDEX('AFA Rates'!$I$5:$I$1004,$T614))))</f>
        <v/>
      </c>
      <c r="L614" s="50">
        <f>IF($T614="","",IF($S614="S",IF(INDEX(Firms!$K$5:$K$1004,$T614)="","",INDEX(Firms!$K$5:$K$1004,$T614)),IF(INDEX('AFA Rates'!$J$5:$J$1004,$T614)="","",INDEX('AFA Rates'!$J$5:$J$1004,$T614))))</f>
        <v/>
      </c>
      <c r="M614" s="50">
        <f>IF($T614="","",IF($S614="S",IF(INDEX(Firms!$L$5:$L$1004,$T614)="","",INDEX(Firms!$L$5:$L$1004,$T614)),IF(INDEX('AFA Rates'!$K$5:$K$1004,$T614)="","",INDEX('AFA Rates'!$K$5:$K$1004,$T614))))</f>
        <v/>
      </c>
      <c r="N614" s="50">
        <f>IF($T614="","",IF($S614="S",IF(INDEX(Firms!$M$5:$M$1004,$T614)="","",INDEX(Firms!$M$5:$M$1004,$T614)),IF(INDEX('AFA Rates'!$L$5:$L$1004,$T614)="","",INDEX('AFA Rates'!$L$5:$L$1004,$T614))))</f>
        <v/>
      </c>
      <c r="O614" s="78">
        <f>IF(OR($T614="",$U614=""),"",IF(INDEX(Firms!$C$5:$C$1004,$U614)="","",INDEX(Firms!$C$5:$C$1004,$U614)))</f>
        <v/>
      </c>
      <c r="P614" s="79">
        <f>IF(OR($T614="",$U614=""),"",IF(INDEX(Firms!$N$5:$N$1004,$U614)="","",INDEX(Firms!$N$5:$N$1004,$U614)))</f>
        <v/>
      </c>
      <c r="Q614" s="78">
        <f>IF($T614="","",IF($S614="S",IF(INDEX(Firms!$T$5:$T$1004,$T614)="","",INDEX(Firms!$T$5:$T$1004,$T614)),IF(INDEX('AFA Rates'!$M$5:$M$1004,$T614)="","",INDEX('AFA Rates'!$M$5:$M$1004,$T614))))</f>
        <v/>
      </c>
      <c r="S614">
        <f>IF(610&lt;=$S$2,"S",IF(610&lt;=$S$2+$T$2,"A",""))</f>
        <v/>
      </c>
      <c r="T614">
        <f>IF(S614="S",MATCH(610,Firms!$W$5:$W$1004,0),IF(S614="A",IFERROR(MATCH(610-$S$2,'AFA Rates'!$R$5:$R$1004,0),""),""))</f>
        <v/>
      </c>
      <c r="U614">
        <f>IF(S614="S",T614,IF(AND(S614="A",T614&lt;&gt;""),IFERROR(MATCH(INDEX('AFA Rates'!$A$5:$A$1004,T614),Firms!$A$5:$A$1004,0),""),""))</f>
        <v/>
      </c>
    </row>
    <row r="615">
      <c r="A615" s="78">
        <f>IF($T615="","",IF($S615="S",IF(INDEX(Firms!$A$5:$A$1004,$T615)="","",INDEX(Firms!$A$5:$A$1004,$T615)),IF(INDEX('AFA Rates'!$A$5:$A$1004,$T615)="","",INDEX('AFA Rates'!$A$5:$A$1004,$T615))))</f>
        <v/>
      </c>
      <c r="B615" s="79">
        <f>IF(OR($T615="",$U615=""),IF($T615="","","Not on Firms tab"),INDEX(Firms!$B$5:$B$1004,$U615)&amp;"")</f>
        <v/>
      </c>
      <c r="C615" s="78">
        <f>IF($T615="","",IF($S615="S","Standard",INDEX('AFA Rates'!$B$5:$B$1004,$T615)&amp;""))</f>
        <v/>
      </c>
      <c r="D615" s="88">
        <f>IF($T615="","",IF($S615="S",IF(INDEX(Firms!$E$5:$E$1004,$T615)="","",INDEX(Firms!$E$5:$E$1004,$T615)),IF(INDEX('AFA Rates'!$C$5:$C$1004,$T615)="","",INDEX('AFA Rates'!$C$5:$C$1004,$T615))))</f>
        <v/>
      </c>
      <c r="E615" s="88">
        <f>IF($T615="","",IF($S615="S",IF(""="","",""),IF(INDEX('AFA Rates'!$D$5:$D$1004,$T615)="","",INDEX('AFA Rates'!$D$5:$D$1004,$T615))))</f>
        <v/>
      </c>
      <c r="F615" s="79">
        <f>IF($T615="","",IF($S615="S",IF(INDEX(Firms!$O$5:$O$1004,$T615)="","",INDEX(Firms!$O$5:$O$1004,$T615)),IF(INDEX('AFA Rates'!$O$5:$O$1004,$T615)="","",INDEX('AFA Rates'!$O$5:$O$1004,$T615))))</f>
        <v/>
      </c>
      <c r="G615" s="50">
        <f>IF($T615="","",IF($S615="S",IF(INDEX(Firms!$F$5:$F$1004,$T615)="","",INDEX(Firms!$F$5:$F$1004,$T615)),IF(INDEX('AFA Rates'!$E$5:$E$1004,$T615)="","",INDEX('AFA Rates'!$E$5:$E$1004,$T615))))</f>
        <v/>
      </c>
      <c r="H615" s="50">
        <f>IF($T615="","",IF($S615="S",IF(INDEX(Firms!$G$5:$G$1004,$T615)="","",INDEX(Firms!$G$5:$G$1004,$T615)),IF(INDEX('AFA Rates'!$F$5:$F$1004,$T615)="","",INDEX('AFA Rates'!$F$5:$F$1004,$T615))))</f>
        <v/>
      </c>
      <c r="I615" s="50">
        <f>IF($T615="","",IF($S615="S",IF(INDEX(Firms!$H$5:$H$1004,$T615)="","",INDEX(Firms!$H$5:$H$1004,$T615)),IF(INDEX('AFA Rates'!$G$5:$G$1004,$T615)="","",INDEX('AFA Rates'!$G$5:$G$1004,$T615))))</f>
        <v/>
      </c>
      <c r="J615" s="50">
        <f>IF($T615="","",IF($S615="S",IF(INDEX(Firms!$I$5:$I$1004,$T615)="","",INDEX(Firms!$I$5:$I$1004,$T615)),IF(INDEX('AFA Rates'!$H$5:$H$1004,$T615)="","",INDEX('AFA Rates'!$H$5:$H$1004,$T615))))</f>
        <v/>
      </c>
      <c r="K615" s="50">
        <f>IF($T615="","",IF($S615="S",IF(INDEX(Firms!$J$5:$J$1004,$T615)="","",INDEX(Firms!$J$5:$J$1004,$T615)),IF(INDEX('AFA Rates'!$I$5:$I$1004,$T615)="","",INDEX('AFA Rates'!$I$5:$I$1004,$T615))))</f>
        <v/>
      </c>
      <c r="L615" s="50">
        <f>IF($T615="","",IF($S615="S",IF(INDEX(Firms!$K$5:$K$1004,$T615)="","",INDEX(Firms!$K$5:$K$1004,$T615)),IF(INDEX('AFA Rates'!$J$5:$J$1004,$T615)="","",INDEX('AFA Rates'!$J$5:$J$1004,$T615))))</f>
        <v/>
      </c>
      <c r="M615" s="50">
        <f>IF($T615="","",IF($S615="S",IF(INDEX(Firms!$L$5:$L$1004,$T615)="","",INDEX(Firms!$L$5:$L$1004,$T615)),IF(INDEX('AFA Rates'!$K$5:$K$1004,$T615)="","",INDEX('AFA Rates'!$K$5:$K$1004,$T615))))</f>
        <v/>
      </c>
      <c r="N615" s="50">
        <f>IF($T615="","",IF($S615="S",IF(INDEX(Firms!$M$5:$M$1004,$T615)="","",INDEX(Firms!$M$5:$M$1004,$T615)),IF(INDEX('AFA Rates'!$L$5:$L$1004,$T615)="","",INDEX('AFA Rates'!$L$5:$L$1004,$T615))))</f>
        <v/>
      </c>
      <c r="O615" s="78">
        <f>IF(OR($T615="",$U615=""),"",IF(INDEX(Firms!$C$5:$C$1004,$U615)="","",INDEX(Firms!$C$5:$C$1004,$U615)))</f>
        <v/>
      </c>
      <c r="P615" s="79">
        <f>IF(OR($T615="",$U615=""),"",IF(INDEX(Firms!$N$5:$N$1004,$U615)="","",INDEX(Firms!$N$5:$N$1004,$U615)))</f>
        <v/>
      </c>
      <c r="Q615" s="78">
        <f>IF($T615="","",IF($S615="S",IF(INDEX(Firms!$T$5:$T$1004,$T615)="","",INDEX(Firms!$T$5:$T$1004,$T615)),IF(INDEX('AFA Rates'!$M$5:$M$1004,$T615)="","",INDEX('AFA Rates'!$M$5:$M$1004,$T615))))</f>
        <v/>
      </c>
      <c r="S615">
        <f>IF(611&lt;=$S$2,"S",IF(611&lt;=$S$2+$T$2,"A",""))</f>
        <v/>
      </c>
      <c r="T615">
        <f>IF(S615="S",MATCH(611,Firms!$W$5:$W$1004,0),IF(S615="A",IFERROR(MATCH(611-$S$2,'AFA Rates'!$R$5:$R$1004,0),""),""))</f>
        <v/>
      </c>
      <c r="U615">
        <f>IF(S615="S",T615,IF(AND(S615="A",T615&lt;&gt;""),IFERROR(MATCH(INDEX('AFA Rates'!$A$5:$A$1004,T615),Firms!$A$5:$A$1004,0),""),""))</f>
        <v/>
      </c>
    </row>
    <row r="616">
      <c r="A616" s="78">
        <f>IF($T616="","",IF($S616="S",IF(INDEX(Firms!$A$5:$A$1004,$T616)="","",INDEX(Firms!$A$5:$A$1004,$T616)),IF(INDEX('AFA Rates'!$A$5:$A$1004,$T616)="","",INDEX('AFA Rates'!$A$5:$A$1004,$T616))))</f>
        <v/>
      </c>
      <c r="B616" s="79">
        <f>IF(OR($T616="",$U616=""),IF($T616="","","Not on Firms tab"),INDEX(Firms!$B$5:$B$1004,$U616)&amp;"")</f>
        <v/>
      </c>
      <c r="C616" s="78">
        <f>IF($T616="","",IF($S616="S","Standard",INDEX('AFA Rates'!$B$5:$B$1004,$T616)&amp;""))</f>
        <v/>
      </c>
      <c r="D616" s="88">
        <f>IF($T616="","",IF($S616="S",IF(INDEX(Firms!$E$5:$E$1004,$T616)="","",INDEX(Firms!$E$5:$E$1004,$T616)),IF(INDEX('AFA Rates'!$C$5:$C$1004,$T616)="","",INDEX('AFA Rates'!$C$5:$C$1004,$T616))))</f>
        <v/>
      </c>
      <c r="E616" s="88">
        <f>IF($T616="","",IF($S616="S",IF(""="","",""),IF(INDEX('AFA Rates'!$D$5:$D$1004,$T616)="","",INDEX('AFA Rates'!$D$5:$D$1004,$T616))))</f>
        <v/>
      </c>
      <c r="F616" s="79">
        <f>IF($T616="","",IF($S616="S",IF(INDEX(Firms!$O$5:$O$1004,$T616)="","",INDEX(Firms!$O$5:$O$1004,$T616)),IF(INDEX('AFA Rates'!$O$5:$O$1004,$T616)="","",INDEX('AFA Rates'!$O$5:$O$1004,$T616))))</f>
        <v/>
      </c>
      <c r="G616" s="50">
        <f>IF($T616="","",IF($S616="S",IF(INDEX(Firms!$F$5:$F$1004,$T616)="","",INDEX(Firms!$F$5:$F$1004,$T616)),IF(INDEX('AFA Rates'!$E$5:$E$1004,$T616)="","",INDEX('AFA Rates'!$E$5:$E$1004,$T616))))</f>
        <v/>
      </c>
      <c r="H616" s="50">
        <f>IF($T616="","",IF($S616="S",IF(INDEX(Firms!$G$5:$G$1004,$T616)="","",INDEX(Firms!$G$5:$G$1004,$T616)),IF(INDEX('AFA Rates'!$F$5:$F$1004,$T616)="","",INDEX('AFA Rates'!$F$5:$F$1004,$T616))))</f>
        <v/>
      </c>
      <c r="I616" s="50">
        <f>IF($T616="","",IF($S616="S",IF(INDEX(Firms!$H$5:$H$1004,$T616)="","",INDEX(Firms!$H$5:$H$1004,$T616)),IF(INDEX('AFA Rates'!$G$5:$G$1004,$T616)="","",INDEX('AFA Rates'!$G$5:$G$1004,$T616))))</f>
        <v/>
      </c>
      <c r="J616" s="50">
        <f>IF($T616="","",IF($S616="S",IF(INDEX(Firms!$I$5:$I$1004,$T616)="","",INDEX(Firms!$I$5:$I$1004,$T616)),IF(INDEX('AFA Rates'!$H$5:$H$1004,$T616)="","",INDEX('AFA Rates'!$H$5:$H$1004,$T616))))</f>
        <v/>
      </c>
      <c r="K616" s="50">
        <f>IF($T616="","",IF($S616="S",IF(INDEX(Firms!$J$5:$J$1004,$T616)="","",INDEX(Firms!$J$5:$J$1004,$T616)),IF(INDEX('AFA Rates'!$I$5:$I$1004,$T616)="","",INDEX('AFA Rates'!$I$5:$I$1004,$T616))))</f>
        <v/>
      </c>
      <c r="L616" s="50">
        <f>IF($T616="","",IF($S616="S",IF(INDEX(Firms!$K$5:$K$1004,$T616)="","",INDEX(Firms!$K$5:$K$1004,$T616)),IF(INDEX('AFA Rates'!$J$5:$J$1004,$T616)="","",INDEX('AFA Rates'!$J$5:$J$1004,$T616))))</f>
        <v/>
      </c>
      <c r="M616" s="50">
        <f>IF($T616="","",IF($S616="S",IF(INDEX(Firms!$L$5:$L$1004,$T616)="","",INDEX(Firms!$L$5:$L$1004,$T616)),IF(INDEX('AFA Rates'!$K$5:$K$1004,$T616)="","",INDEX('AFA Rates'!$K$5:$K$1004,$T616))))</f>
        <v/>
      </c>
      <c r="N616" s="50">
        <f>IF($T616="","",IF($S616="S",IF(INDEX(Firms!$M$5:$M$1004,$T616)="","",INDEX(Firms!$M$5:$M$1004,$T616)),IF(INDEX('AFA Rates'!$L$5:$L$1004,$T616)="","",INDEX('AFA Rates'!$L$5:$L$1004,$T616))))</f>
        <v/>
      </c>
      <c r="O616" s="78">
        <f>IF(OR($T616="",$U616=""),"",IF(INDEX(Firms!$C$5:$C$1004,$U616)="","",INDEX(Firms!$C$5:$C$1004,$U616)))</f>
        <v/>
      </c>
      <c r="P616" s="79">
        <f>IF(OR($T616="",$U616=""),"",IF(INDEX(Firms!$N$5:$N$1004,$U616)="","",INDEX(Firms!$N$5:$N$1004,$U616)))</f>
        <v/>
      </c>
      <c r="Q616" s="78">
        <f>IF($T616="","",IF($S616="S",IF(INDEX(Firms!$T$5:$T$1004,$T616)="","",INDEX(Firms!$T$5:$T$1004,$T616)),IF(INDEX('AFA Rates'!$M$5:$M$1004,$T616)="","",INDEX('AFA Rates'!$M$5:$M$1004,$T616))))</f>
        <v/>
      </c>
      <c r="S616">
        <f>IF(612&lt;=$S$2,"S",IF(612&lt;=$S$2+$T$2,"A",""))</f>
        <v/>
      </c>
      <c r="T616">
        <f>IF(S616="S",MATCH(612,Firms!$W$5:$W$1004,0),IF(S616="A",IFERROR(MATCH(612-$S$2,'AFA Rates'!$R$5:$R$1004,0),""),""))</f>
        <v/>
      </c>
      <c r="U616">
        <f>IF(S616="S",T616,IF(AND(S616="A",T616&lt;&gt;""),IFERROR(MATCH(INDEX('AFA Rates'!$A$5:$A$1004,T616),Firms!$A$5:$A$1004,0),""),""))</f>
        <v/>
      </c>
    </row>
    <row r="617">
      <c r="A617" s="78">
        <f>IF($T617="","",IF($S617="S",IF(INDEX(Firms!$A$5:$A$1004,$T617)="","",INDEX(Firms!$A$5:$A$1004,$T617)),IF(INDEX('AFA Rates'!$A$5:$A$1004,$T617)="","",INDEX('AFA Rates'!$A$5:$A$1004,$T617))))</f>
        <v/>
      </c>
      <c r="B617" s="79">
        <f>IF(OR($T617="",$U617=""),IF($T617="","","Not on Firms tab"),INDEX(Firms!$B$5:$B$1004,$U617)&amp;"")</f>
        <v/>
      </c>
      <c r="C617" s="78">
        <f>IF($T617="","",IF($S617="S","Standard",INDEX('AFA Rates'!$B$5:$B$1004,$T617)&amp;""))</f>
        <v/>
      </c>
      <c r="D617" s="88">
        <f>IF($T617="","",IF($S617="S",IF(INDEX(Firms!$E$5:$E$1004,$T617)="","",INDEX(Firms!$E$5:$E$1004,$T617)),IF(INDEX('AFA Rates'!$C$5:$C$1004,$T617)="","",INDEX('AFA Rates'!$C$5:$C$1004,$T617))))</f>
        <v/>
      </c>
      <c r="E617" s="88">
        <f>IF($T617="","",IF($S617="S",IF(""="","",""),IF(INDEX('AFA Rates'!$D$5:$D$1004,$T617)="","",INDEX('AFA Rates'!$D$5:$D$1004,$T617))))</f>
        <v/>
      </c>
      <c r="F617" s="79">
        <f>IF($T617="","",IF($S617="S",IF(INDEX(Firms!$O$5:$O$1004,$T617)="","",INDEX(Firms!$O$5:$O$1004,$T617)),IF(INDEX('AFA Rates'!$O$5:$O$1004,$T617)="","",INDEX('AFA Rates'!$O$5:$O$1004,$T617))))</f>
        <v/>
      </c>
      <c r="G617" s="50">
        <f>IF($T617="","",IF($S617="S",IF(INDEX(Firms!$F$5:$F$1004,$T617)="","",INDEX(Firms!$F$5:$F$1004,$T617)),IF(INDEX('AFA Rates'!$E$5:$E$1004,$T617)="","",INDEX('AFA Rates'!$E$5:$E$1004,$T617))))</f>
        <v/>
      </c>
      <c r="H617" s="50">
        <f>IF($T617="","",IF($S617="S",IF(INDEX(Firms!$G$5:$G$1004,$T617)="","",INDEX(Firms!$G$5:$G$1004,$T617)),IF(INDEX('AFA Rates'!$F$5:$F$1004,$T617)="","",INDEX('AFA Rates'!$F$5:$F$1004,$T617))))</f>
        <v/>
      </c>
      <c r="I617" s="50">
        <f>IF($T617="","",IF($S617="S",IF(INDEX(Firms!$H$5:$H$1004,$T617)="","",INDEX(Firms!$H$5:$H$1004,$T617)),IF(INDEX('AFA Rates'!$G$5:$G$1004,$T617)="","",INDEX('AFA Rates'!$G$5:$G$1004,$T617))))</f>
        <v/>
      </c>
      <c r="J617" s="50">
        <f>IF($T617="","",IF($S617="S",IF(INDEX(Firms!$I$5:$I$1004,$T617)="","",INDEX(Firms!$I$5:$I$1004,$T617)),IF(INDEX('AFA Rates'!$H$5:$H$1004,$T617)="","",INDEX('AFA Rates'!$H$5:$H$1004,$T617))))</f>
        <v/>
      </c>
      <c r="K617" s="50">
        <f>IF($T617="","",IF($S617="S",IF(INDEX(Firms!$J$5:$J$1004,$T617)="","",INDEX(Firms!$J$5:$J$1004,$T617)),IF(INDEX('AFA Rates'!$I$5:$I$1004,$T617)="","",INDEX('AFA Rates'!$I$5:$I$1004,$T617))))</f>
        <v/>
      </c>
      <c r="L617" s="50">
        <f>IF($T617="","",IF($S617="S",IF(INDEX(Firms!$K$5:$K$1004,$T617)="","",INDEX(Firms!$K$5:$K$1004,$T617)),IF(INDEX('AFA Rates'!$J$5:$J$1004,$T617)="","",INDEX('AFA Rates'!$J$5:$J$1004,$T617))))</f>
        <v/>
      </c>
      <c r="M617" s="50">
        <f>IF($T617="","",IF($S617="S",IF(INDEX(Firms!$L$5:$L$1004,$T617)="","",INDEX(Firms!$L$5:$L$1004,$T617)),IF(INDEX('AFA Rates'!$K$5:$K$1004,$T617)="","",INDEX('AFA Rates'!$K$5:$K$1004,$T617))))</f>
        <v/>
      </c>
      <c r="N617" s="50">
        <f>IF($T617="","",IF($S617="S",IF(INDEX(Firms!$M$5:$M$1004,$T617)="","",INDEX(Firms!$M$5:$M$1004,$T617)),IF(INDEX('AFA Rates'!$L$5:$L$1004,$T617)="","",INDEX('AFA Rates'!$L$5:$L$1004,$T617))))</f>
        <v/>
      </c>
      <c r="O617" s="78">
        <f>IF(OR($T617="",$U617=""),"",IF(INDEX(Firms!$C$5:$C$1004,$U617)="","",INDEX(Firms!$C$5:$C$1004,$U617)))</f>
        <v/>
      </c>
      <c r="P617" s="79">
        <f>IF(OR($T617="",$U617=""),"",IF(INDEX(Firms!$N$5:$N$1004,$U617)="","",INDEX(Firms!$N$5:$N$1004,$U617)))</f>
        <v/>
      </c>
      <c r="Q617" s="78">
        <f>IF($T617="","",IF($S617="S",IF(INDEX(Firms!$T$5:$T$1004,$T617)="","",INDEX(Firms!$T$5:$T$1004,$T617)),IF(INDEX('AFA Rates'!$M$5:$M$1004,$T617)="","",INDEX('AFA Rates'!$M$5:$M$1004,$T617))))</f>
        <v/>
      </c>
      <c r="S617">
        <f>IF(613&lt;=$S$2,"S",IF(613&lt;=$S$2+$T$2,"A",""))</f>
        <v/>
      </c>
      <c r="T617">
        <f>IF(S617="S",MATCH(613,Firms!$W$5:$W$1004,0),IF(S617="A",IFERROR(MATCH(613-$S$2,'AFA Rates'!$R$5:$R$1004,0),""),""))</f>
        <v/>
      </c>
      <c r="U617">
        <f>IF(S617="S",T617,IF(AND(S617="A",T617&lt;&gt;""),IFERROR(MATCH(INDEX('AFA Rates'!$A$5:$A$1004,T617),Firms!$A$5:$A$1004,0),""),""))</f>
        <v/>
      </c>
    </row>
    <row r="618">
      <c r="A618" s="78">
        <f>IF($T618="","",IF($S618="S",IF(INDEX(Firms!$A$5:$A$1004,$T618)="","",INDEX(Firms!$A$5:$A$1004,$T618)),IF(INDEX('AFA Rates'!$A$5:$A$1004,$T618)="","",INDEX('AFA Rates'!$A$5:$A$1004,$T618))))</f>
        <v/>
      </c>
      <c r="B618" s="79">
        <f>IF(OR($T618="",$U618=""),IF($T618="","","Not on Firms tab"),INDEX(Firms!$B$5:$B$1004,$U618)&amp;"")</f>
        <v/>
      </c>
      <c r="C618" s="78">
        <f>IF($T618="","",IF($S618="S","Standard",INDEX('AFA Rates'!$B$5:$B$1004,$T618)&amp;""))</f>
        <v/>
      </c>
      <c r="D618" s="88">
        <f>IF($T618="","",IF($S618="S",IF(INDEX(Firms!$E$5:$E$1004,$T618)="","",INDEX(Firms!$E$5:$E$1004,$T618)),IF(INDEX('AFA Rates'!$C$5:$C$1004,$T618)="","",INDEX('AFA Rates'!$C$5:$C$1004,$T618))))</f>
        <v/>
      </c>
      <c r="E618" s="88">
        <f>IF($T618="","",IF($S618="S",IF(""="","",""),IF(INDEX('AFA Rates'!$D$5:$D$1004,$T618)="","",INDEX('AFA Rates'!$D$5:$D$1004,$T618))))</f>
        <v/>
      </c>
      <c r="F618" s="79">
        <f>IF($T618="","",IF($S618="S",IF(INDEX(Firms!$O$5:$O$1004,$T618)="","",INDEX(Firms!$O$5:$O$1004,$T618)),IF(INDEX('AFA Rates'!$O$5:$O$1004,$T618)="","",INDEX('AFA Rates'!$O$5:$O$1004,$T618))))</f>
        <v/>
      </c>
      <c r="G618" s="50">
        <f>IF($T618="","",IF($S618="S",IF(INDEX(Firms!$F$5:$F$1004,$T618)="","",INDEX(Firms!$F$5:$F$1004,$T618)),IF(INDEX('AFA Rates'!$E$5:$E$1004,$T618)="","",INDEX('AFA Rates'!$E$5:$E$1004,$T618))))</f>
        <v/>
      </c>
      <c r="H618" s="50">
        <f>IF($T618="","",IF($S618="S",IF(INDEX(Firms!$G$5:$G$1004,$T618)="","",INDEX(Firms!$G$5:$G$1004,$T618)),IF(INDEX('AFA Rates'!$F$5:$F$1004,$T618)="","",INDEX('AFA Rates'!$F$5:$F$1004,$T618))))</f>
        <v/>
      </c>
      <c r="I618" s="50">
        <f>IF($T618="","",IF($S618="S",IF(INDEX(Firms!$H$5:$H$1004,$T618)="","",INDEX(Firms!$H$5:$H$1004,$T618)),IF(INDEX('AFA Rates'!$G$5:$G$1004,$T618)="","",INDEX('AFA Rates'!$G$5:$G$1004,$T618))))</f>
        <v/>
      </c>
      <c r="J618" s="50">
        <f>IF($T618="","",IF($S618="S",IF(INDEX(Firms!$I$5:$I$1004,$T618)="","",INDEX(Firms!$I$5:$I$1004,$T618)),IF(INDEX('AFA Rates'!$H$5:$H$1004,$T618)="","",INDEX('AFA Rates'!$H$5:$H$1004,$T618))))</f>
        <v/>
      </c>
      <c r="K618" s="50">
        <f>IF($T618="","",IF($S618="S",IF(INDEX(Firms!$J$5:$J$1004,$T618)="","",INDEX(Firms!$J$5:$J$1004,$T618)),IF(INDEX('AFA Rates'!$I$5:$I$1004,$T618)="","",INDEX('AFA Rates'!$I$5:$I$1004,$T618))))</f>
        <v/>
      </c>
      <c r="L618" s="50">
        <f>IF($T618="","",IF($S618="S",IF(INDEX(Firms!$K$5:$K$1004,$T618)="","",INDEX(Firms!$K$5:$K$1004,$T618)),IF(INDEX('AFA Rates'!$J$5:$J$1004,$T618)="","",INDEX('AFA Rates'!$J$5:$J$1004,$T618))))</f>
        <v/>
      </c>
      <c r="M618" s="50">
        <f>IF($T618="","",IF($S618="S",IF(INDEX(Firms!$L$5:$L$1004,$T618)="","",INDEX(Firms!$L$5:$L$1004,$T618)),IF(INDEX('AFA Rates'!$K$5:$K$1004,$T618)="","",INDEX('AFA Rates'!$K$5:$K$1004,$T618))))</f>
        <v/>
      </c>
      <c r="N618" s="50">
        <f>IF($T618="","",IF($S618="S",IF(INDEX(Firms!$M$5:$M$1004,$T618)="","",INDEX(Firms!$M$5:$M$1004,$T618)),IF(INDEX('AFA Rates'!$L$5:$L$1004,$T618)="","",INDEX('AFA Rates'!$L$5:$L$1004,$T618))))</f>
        <v/>
      </c>
      <c r="O618" s="78">
        <f>IF(OR($T618="",$U618=""),"",IF(INDEX(Firms!$C$5:$C$1004,$U618)="","",INDEX(Firms!$C$5:$C$1004,$U618)))</f>
        <v/>
      </c>
      <c r="P618" s="79">
        <f>IF(OR($T618="",$U618=""),"",IF(INDEX(Firms!$N$5:$N$1004,$U618)="","",INDEX(Firms!$N$5:$N$1004,$U618)))</f>
        <v/>
      </c>
      <c r="Q618" s="78">
        <f>IF($T618="","",IF($S618="S",IF(INDEX(Firms!$T$5:$T$1004,$T618)="","",INDEX(Firms!$T$5:$T$1004,$T618)),IF(INDEX('AFA Rates'!$M$5:$M$1004,$T618)="","",INDEX('AFA Rates'!$M$5:$M$1004,$T618))))</f>
        <v/>
      </c>
      <c r="S618">
        <f>IF(614&lt;=$S$2,"S",IF(614&lt;=$S$2+$T$2,"A",""))</f>
        <v/>
      </c>
      <c r="T618">
        <f>IF(S618="S",MATCH(614,Firms!$W$5:$W$1004,0),IF(S618="A",IFERROR(MATCH(614-$S$2,'AFA Rates'!$R$5:$R$1004,0),""),""))</f>
        <v/>
      </c>
      <c r="U618">
        <f>IF(S618="S",T618,IF(AND(S618="A",T618&lt;&gt;""),IFERROR(MATCH(INDEX('AFA Rates'!$A$5:$A$1004,T618),Firms!$A$5:$A$1004,0),""),""))</f>
        <v/>
      </c>
    </row>
    <row r="619">
      <c r="A619" s="78">
        <f>IF($T619="","",IF($S619="S",IF(INDEX(Firms!$A$5:$A$1004,$T619)="","",INDEX(Firms!$A$5:$A$1004,$T619)),IF(INDEX('AFA Rates'!$A$5:$A$1004,$T619)="","",INDEX('AFA Rates'!$A$5:$A$1004,$T619))))</f>
        <v/>
      </c>
      <c r="B619" s="79">
        <f>IF(OR($T619="",$U619=""),IF($T619="","","Not on Firms tab"),INDEX(Firms!$B$5:$B$1004,$U619)&amp;"")</f>
        <v/>
      </c>
      <c r="C619" s="78">
        <f>IF($T619="","",IF($S619="S","Standard",INDEX('AFA Rates'!$B$5:$B$1004,$T619)&amp;""))</f>
        <v/>
      </c>
      <c r="D619" s="88">
        <f>IF($T619="","",IF($S619="S",IF(INDEX(Firms!$E$5:$E$1004,$T619)="","",INDEX(Firms!$E$5:$E$1004,$T619)),IF(INDEX('AFA Rates'!$C$5:$C$1004,$T619)="","",INDEX('AFA Rates'!$C$5:$C$1004,$T619))))</f>
        <v/>
      </c>
      <c r="E619" s="88">
        <f>IF($T619="","",IF($S619="S",IF(""="","",""),IF(INDEX('AFA Rates'!$D$5:$D$1004,$T619)="","",INDEX('AFA Rates'!$D$5:$D$1004,$T619))))</f>
        <v/>
      </c>
      <c r="F619" s="79">
        <f>IF($T619="","",IF($S619="S",IF(INDEX(Firms!$O$5:$O$1004,$T619)="","",INDEX(Firms!$O$5:$O$1004,$T619)),IF(INDEX('AFA Rates'!$O$5:$O$1004,$T619)="","",INDEX('AFA Rates'!$O$5:$O$1004,$T619))))</f>
        <v/>
      </c>
      <c r="G619" s="50">
        <f>IF($T619="","",IF($S619="S",IF(INDEX(Firms!$F$5:$F$1004,$T619)="","",INDEX(Firms!$F$5:$F$1004,$T619)),IF(INDEX('AFA Rates'!$E$5:$E$1004,$T619)="","",INDEX('AFA Rates'!$E$5:$E$1004,$T619))))</f>
        <v/>
      </c>
      <c r="H619" s="50">
        <f>IF($T619="","",IF($S619="S",IF(INDEX(Firms!$G$5:$G$1004,$T619)="","",INDEX(Firms!$G$5:$G$1004,$T619)),IF(INDEX('AFA Rates'!$F$5:$F$1004,$T619)="","",INDEX('AFA Rates'!$F$5:$F$1004,$T619))))</f>
        <v/>
      </c>
      <c r="I619" s="50">
        <f>IF($T619="","",IF($S619="S",IF(INDEX(Firms!$H$5:$H$1004,$T619)="","",INDEX(Firms!$H$5:$H$1004,$T619)),IF(INDEX('AFA Rates'!$G$5:$G$1004,$T619)="","",INDEX('AFA Rates'!$G$5:$G$1004,$T619))))</f>
        <v/>
      </c>
      <c r="J619" s="50">
        <f>IF($T619="","",IF($S619="S",IF(INDEX(Firms!$I$5:$I$1004,$T619)="","",INDEX(Firms!$I$5:$I$1004,$T619)),IF(INDEX('AFA Rates'!$H$5:$H$1004,$T619)="","",INDEX('AFA Rates'!$H$5:$H$1004,$T619))))</f>
        <v/>
      </c>
      <c r="K619" s="50">
        <f>IF($T619="","",IF($S619="S",IF(INDEX(Firms!$J$5:$J$1004,$T619)="","",INDEX(Firms!$J$5:$J$1004,$T619)),IF(INDEX('AFA Rates'!$I$5:$I$1004,$T619)="","",INDEX('AFA Rates'!$I$5:$I$1004,$T619))))</f>
        <v/>
      </c>
      <c r="L619" s="50">
        <f>IF($T619="","",IF($S619="S",IF(INDEX(Firms!$K$5:$K$1004,$T619)="","",INDEX(Firms!$K$5:$K$1004,$T619)),IF(INDEX('AFA Rates'!$J$5:$J$1004,$T619)="","",INDEX('AFA Rates'!$J$5:$J$1004,$T619))))</f>
        <v/>
      </c>
      <c r="M619" s="50">
        <f>IF($T619="","",IF($S619="S",IF(INDEX(Firms!$L$5:$L$1004,$T619)="","",INDEX(Firms!$L$5:$L$1004,$T619)),IF(INDEX('AFA Rates'!$K$5:$K$1004,$T619)="","",INDEX('AFA Rates'!$K$5:$K$1004,$T619))))</f>
        <v/>
      </c>
      <c r="N619" s="50">
        <f>IF($T619="","",IF($S619="S",IF(INDEX(Firms!$M$5:$M$1004,$T619)="","",INDEX(Firms!$M$5:$M$1004,$T619)),IF(INDEX('AFA Rates'!$L$5:$L$1004,$T619)="","",INDEX('AFA Rates'!$L$5:$L$1004,$T619))))</f>
        <v/>
      </c>
      <c r="O619" s="78">
        <f>IF(OR($T619="",$U619=""),"",IF(INDEX(Firms!$C$5:$C$1004,$U619)="","",INDEX(Firms!$C$5:$C$1004,$U619)))</f>
        <v/>
      </c>
      <c r="P619" s="79">
        <f>IF(OR($T619="",$U619=""),"",IF(INDEX(Firms!$N$5:$N$1004,$U619)="","",INDEX(Firms!$N$5:$N$1004,$U619)))</f>
        <v/>
      </c>
      <c r="Q619" s="78">
        <f>IF($T619="","",IF($S619="S",IF(INDEX(Firms!$T$5:$T$1004,$T619)="","",INDEX(Firms!$T$5:$T$1004,$T619)),IF(INDEX('AFA Rates'!$M$5:$M$1004,$T619)="","",INDEX('AFA Rates'!$M$5:$M$1004,$T619))))</f>
        <v/>
      </c>
      <c r="S619">
        <f>IF(615&lt;=$S$2,"S",IF(615&lt;=$S$2+$T$2,"A",""))</f>
        <v/>
      </c>
      <c r="T619">
        <f>IF(S619="S",MATCH(615,Firms!$W$5:$W$1004,0),IF(S619="A",IFERROR(MATCH(615-$S$2,'AFA Rates'!$R$5:$R$1004,0),""),""))</f>
        <v/>
      </c>
      <c r="U619">
        <f>IF(S619="S",T619,IF(AND(S619="A",T619&lt;&gt;""),IFERROR(MATCH(INDEX('AFA Rates'!$A$5:$A$1004,T619),Firms!$A$5:$A$1004,0),""),""))</f>
        <v/>
      </c>
    </row>
    <row r="620">
      <c r="A620" s="78">
        <f>IF($T620="","",IF($S620="S",IF(INDEX(Firms!$A$5:$A$1004,$T620)="","",INDEX(Firms!$A$5:$A$1004,$T620)),IF(INDEX('AFA Rates'!$A$5:$A$1004,$T620)="","",INDEX('AFA Rates'!$A$5:$A$1004,$T620))))</f>
        <v/>
      </c>
      <c r="B620" s="79">
        <f>IF(OR($T620="",$U620=""),IF($T620="","","Not on Firms tab"),INDEX(Firms!$B$5:$B$1004,$U620)&amp;"")</f>
        <v/>
      </c>
      <c r="C620" s="78">
        <f>IF($T620="","",IF($S620="S","Standard",INDEX('AFA Rates'!$B$5:$B$1004,$T620)&amp;""))</f>
        <v/>
      </c>
      <c r="D620" s="88">
        <f>IF($T620="","",IF($S620="S",IF(INDEX(Firms!$E$5:$E$1004,$T620)="","",INDEX(Firms!$E$5:$E$1004,$T620)),IF(INDEX('AFA Rates'!$C$5:$C$1004,$T620)="","",INDEX('AFA Rates'!$C$5:$C$1004,$T620))))</f>
        <v/>
      </c>
      <c r="E620" s="88">
        <f>IF($T620="","",IF($S620="S",IF(""="","",""),IF(INDEX('AFA Rates'!$D$5:$D$1004,$T620)="","",INDEX('AFA Rates'!$D$5:$D$1004,$T620))))</f>
        <v/>
      </c>
      <c r="F620" s="79">
        <f>IF($T620="","",IF($S620="S",IF(INDEX(Firms!$O$5:$O$1004,$T620)="","",INDEX(Firms!$O$5:$O$1004,$T620)),IF(INDEX('AFA Rates'!$O$5:$O$1004,$T620)="","",INDEX('AFA Rates'!$O$5:$O$1004,$T620))))</f>
        <v/>
      </c>
      <c r="G620" s="50">
        <f>IF($T620="","",IF($S620="S",IF(INDEX(Firms!$F$5:$F$1004,$T620)="","",INDEX(Firms!$F$5:$F$1004,$T620)),IF(INDEX('AFA Rates'!$E$5:$E$1004,$T620)="","",INDEX('AFA Rates'!$E$5:$E$1004,$T620))))</f>
        <v/>
      </c>
      <c r="H620" s="50">
        <f>IF($T620="","",IF($S620="S",IF(INDEX(Firms!$G$5:$G$1004,$T620)="","",INDEX(Firms!$G$5:$G$1004,$T620)),IF(INDEX('AFA Rates'!$F$5:$F$1004,$T620)="","",INDEX('AFA Rates'!$F$5:$F$1004,$T620))))</f>
        <v/>
      </c>
      <c r="I620" s="50">
        <f>IF($T620="","",IF($S620="S",IF(INDEX(Firms!$H$5:$H$1004,$T620)="","",INDEX(Firms!$H$5:$H$1004,$T620)),IF(INDEX('AFA Rates'!$G$5:$G$1004,$T620)="","",INDEX('AFA Rates'!$G$5:$G$1004,$T620))))</f>
        <v/>
      </c>
      <c r="J620" s="50">
        <f>IF($T620="","",IF($S620="S",IF(INDEX(Firms!$I$5:$I$1004,$T620)="","",INDEX(Firms!$I$5:$I$1004,$T620)),IF(INDEX('AFA Rates'!$H$5:$H$1004,$T620)="","",INDEX('AFA Rates'!$H$5:$H$1004,$T620))))</f>
        <v/>
      </c>
      <c r="K620" s="50">
        <f>IF($T620="","",IF($S620="S",IF(INDEX(Firms!$J$5:$J$1004,$T620)="","",INDEX(Firms!$J$5:$J$1004,$T620)),IF(INDEX('AFA Rates'!$I$5:$I$1004,$T620)="","",INDEX('AFA Rates'!$I$5:$I$1004,$T620))))</f>
        <v/>
      </c>
      <c r="L620" s="50">
        <f>IF($T620="","",IF($S620="S",IF(INDEX(Firms!$K$5:$K$1004,$T620)="","",INDEX(Firms!$K$5:$K$1004,$T620)),IF(INDEX('AFA Rates'!$J$5:$J$1004,$T620)="","",INDEX('AFA Rates'!$J$5:$J$1004,$T620))))</f>
        <v/>
      </c>
      <c r="M620" s="50">
        <f>IF($T620="","",IF($S620="S",IF(INDEX(Firms!$L$5:$L$1004,$T620)="","",INDEX(Firms!$L$5:$L$1004,$T620)),IF(INDEX('AFA Rates'!$K$5:$K$1004,$T620)="","",INDEX('AFA Rates'!$K$5:$K$1004,$T620))))</f>
        <v/>
      </c>
      <c r="N620" s="50">
        <f>IF($T620="","",IF($S620="S",IF(INDEX(Firms!$M$5:$M$1004,$T620)="","",INDEX(Firms!$M$5:$M$1004,$T620)),IF(INDEX('AFA Rates'!$L$5:$L$1004,$T620)="","",INDEX('AFA Rates'!$L$5:$L$1004,$T620))))</f>
        <v/>
      </c>
      <c r="O620" s="78">
        <f>IF(OR($T620="",$U620=""),"",IF(INDEX(Firms!$C$5:$C$1004,$U620)="","",INDEX(Firms!$C$5:$C$1004,$U620)))</f>
        <v/>
      </c>
      <c r="P620" s="79">
        <f>IF(OR($T620="",$U620=""),"",IF(INDEX(Firms!$N$5:$N$1004,$U620)="","",INDEX(Firms!$N$5:$N$1004,$U620)))</f>
        <v/>
      </c>
      <c r="Q620" s="78">
        <f>IF($T620="","",IF($S620="S",IF(INDEX(Firms!$T$5:$T$1004,$T620)="","",INDEX(Firms!$T$5:$T$1004,$T620)),IF(INDEX('AFA Rates'!$M$5:$M$1004,$T620)="","",INDEX('AFA Rates'!$M$5:$M$1004,$T620))))</f>
        <v/>
      </c>
      <c r="S620">
        <f>IF(616&lt;=$S$2,"S",IF(616&lt;=$S$2+$T$2,"A",""))</f>
        <v/>
      </c>
      <c r="T620">
        <f>IF(S620="S",MATCH(616,Firms!$W$5:$W$1004,0),IF(S620="A",IFERROR(MATCH(616-$S$2,'AFA Rates'!$R$5:$R$1004,0),""),""))</f>
        <v/>
      </c>
      <c r="U620">
        <f>IF(S620="S",T620,IF(AND(S620="A",T620&lt;&gt;""),IFERROR(MATCH(INDEX('AFA Rates'!$A$5:$A$1004,T620),Firms!$A$5:$A$1004,0),""),""))</f>
        <v/>
      </c>
    </row>
    <row r="621">
      <c r="A621" s="78">
        <f>IF($T621="","",IF($S621="S",IF(INDEX(Firms!$A$5:$A$1004,$T621)="","",INDEX(Firms!$A$5:$A$1004,$T621)),IF(INDEX('AFA Rates'!$A$5:$A$1004,$T621)="","",INDEX('AFA Rates'!$A$5:$A$1004,$T621))))</f>
        <v/>
      </c>
      <c r="B621" s="79">
        <f>IF(OR($T621="",$U621=""),IF($T621="","","Not on Firms tab"),INDEX(Firms!$B$5:$B$1004,$U621)&amp;"")</f>
        <v/>
      </c>
      <c r="C621" s="78">
        <f>IF($T621="","",IF($S621="S","Standard",INDEX('AFA Rates'!$B$5:$B$1004,$T621)&amp;""))</f>
        <v/>
      </c>
      <c r="D621" s="88">
        <f>IF($T621="","",IF($S621="S",IF(INDEX(Firms!$E$5:$E$1004,$T621)="","",INDEX(Firms!$E$5:$E$1004,$T621)),IF(INDEX('AFA Rates'!$C$5:$C$1004,$T621)="","",INDEX('AFA Rates'!$C$5:$C$1004,$T621))))</f>
        <v/>
      </c>
      <c r="E621" s="88">
        <f>IF($T621="","",IF($S621="S",IF(""="","",""),IF(INDEX('AFA Rates'!$D$5:$D$1004,$T621)="","",INDEX('AFA Rates'!$D$5:$D$1004,$T621))))</f>
        <v/>
      </c>
      <c r="F621" s="79">
        <f>IF($T621="","",IF($S621="S",IF(INDEX(Firms!$O$5:$O$1004,$T621)="","",INDEX(Firms!$O$5:$O$1004,$T621)),IF(INDEX('AFA Rates'!$O$5:$O$1004,$T621)="","",INDEX('AFA Rates'!$O$5:$O$1004,$T621))))</f>
        <v/>
      </c>
      <c r="G621" s="50">
        <f>IF($T621="","",IF($S621="S",IF(INDEX(Firms!$F$5:$F$1004,$T621)="","",INDEX(Firms!$F$5:$F$1004,$T621)),IF(INDEX('AFA Rates'!$E$5:$E$1004,$T621)="","",INDEX('AFA Rates'!$E$5:$E$1004,$T621))))</f>
        <v/>
      </c>
      <c r="H621" s="50">
        <f>IF($T621="","",IF($S621="S",IF(INDEX(Firms!$G$5:$G$1004,$T621)="","",INDEX(Firms!$G$5:$G$1004,$T621)),IF(INDEX('AFA Rates'!$F$5:$F$1004,$T621)="","",INDEX('AFA Rates'!$F$5:$F$1004,$T621))))</f>
        <v/>
      </c>
      <c r="I621" s="50">
        <f>IF($T621="","",IF($S621="S",IF(INDEX(Firms!$H$5:$H$1004,$T621)="","",INDEX(Firms!$H$5:$H$1004,$T621)),IF(INDEX('AFA Rates'!$G$5:$G$1004,$T621)="","",INDEX('AFA Rates'!$G$5:$G$1004,$T621))))</f>
        <v/>
      </c>
      <c r="J621" s="50">
        <f>IF($T621="","",IF($S621="S",IF(INDEX(Firms!$I$5:$I$1004,$T621)="","",INDEX(Firms!$I$5:$I$1004,$T621)),IF(INDEX('AFA Rates'!$H$5:$H$1004,$T621)="","",INDEX('AFA Rates'!$H$5:$H$1004,$T621))))</f>
        <v/>
      </c>
      <c r="K621" s="50">
        <f>IF($T621="","",IF($S621="S",IF(INDEX(Firms!$J$5:$J$1004,$T621)="","",INDEX(Firms!$J$5:$J$1004,$T621)),IF(INDEX('AFA Rates'!$I$5:$I$1004,$T621)="","",INDEX('AFA Rates'!$I$5:$I$1004,$T621))))</f>
        <v/>
      </c>
      <c r="L621" s="50">
        <f>IF($T621="","",IF($S621="S",IF(INDEX(Firms!$K$5:$K$1004,$T621)="","",INDEX(Firms!$K$5:$K$1004,$T621)),IF(INDEX('AFA Rates'!$J$5:$J$1004,$T621)="","",INDEX('AFA Rates'!$J$5:$J$1004,$T621))))</f>
        <v/>
      </c>
      <c r="M621" s="50">
        <f>IF($T621="","",IF($S621="S",IF(INDEX(Firms!$L$5:$L$1004,$T621)="","",INDEX(Firms!$L$5:$L$1004,$T621)),IF(INDEX('AFA Rates'!$K$5:$K$1004,$T621)="","",INDEX('AFA Rates'!$K$5:$K$1004,$T621))))</f>
        <v/>
      </c>
      <c r="N621" s="50">
        <f>IF($T621="","",IF($S621="S",IF(INDEX(Firms!$M$5:$M$1004,$T621)="","",INDEX(Firms!$M$5:$M$1004,$T621)),IF(INDEX('AFA Rates'!$L$5:$L$1004,$T621)="","",INDEX('AFA Rates'!$L$5:$L$1004,$T621))))</f>
        <v/>
      </c>
      <c r="O621" s="78">
        <f>IF(OR($T621="",$U621=""),"",IF(INDEX(Firms!$C$5:$C$1004,$U621)="","",INDEX(Firms!$C$5:$C$1004,$U621)))</f>
        <v/>
      </c>
      <c r="P621" s="79">
        <f>IF(OR($T621="",$U621=""),"",IF(INDEX(Firms!$N$5:$N$1004,$U621)="","",INDEX(Firms!$N$5:$N$1004,$U621)))</f>
        <v/>
      </c>
      <c r="Q621" s="78">
        <f>IF($T621="","",IF($S621="S",IF(INDEX(Firms!$T$5:$T$1004,$T621)="","",INDEX(Firms!$T$5:$T$1004,$T621)),IF(INDEX('AFA Rates'!$M$5:$M$1004,$T621)="","",INDEX('AFA Rates'!$M$5:$M$1004,$T621))))</f>
        <v/>
      </c>
      <c r="S621">
        <f>IF(617&lt;=$S$2,"S",IF(617&lt;=$S$2+$T$2,"A",""))</f>
        <v/>
      </c>
      <c r="T621">
        <f>IF(S621="S",MATCH(617,Firms!$W$5:$W$1004,0),IF(S621="A",IFERROR(MATCH(617-$S$2,'AFA Rates'!$R$5:$R$1004,0),""),""))</f>
        <v/>
      </c>
      <c r="U621">
        <f>IF(S621="S",T621,IF(AND(S621="A",T621&lt;&gt;""),IFERROR(MATCH(INDEX('AFA Rates'!$A$5:$A$1004,T621),Firms!$A$5:$A$1004,0),""),""))</f>
        <v/>
      </c>
    </row>
    <row r="622">
      <c r="A622" s="78">
        <f>IF($T622="","",IF($S622="S",IF(INDEX(Firms!$A$5:$A$1004,$T622)="","",INDEX(Firms!$A$5:$A$1004,$T622)),IF(INDEX('AFA Rates'!$A$5:$A$1004,$T622)="","",INDEX('AFA Rates'!$A$5:$A$1004,$T622))))</f>
        <v/>
      </c>
      <c r="B622" s="79">
        <f>IF(OR($T622="",$U622=""),IF($T622="","","Not on Firms tab"),INDEX(Firms!$B$5:$B$1004,$U622)&amp;"")</f>
        <v/>
      </c>
      <c r="C622" s="78">
        <f>IF($T622="","",IF($S622="S","Standard",INDEX('AFA Rates'!$B$5:$B$1004,$T622)&amp;""))</f>
        <v/>
      </c>
      <c r="D622" s="88">
        <f>IF($T622="","",IF($S622="S",IF(INDEX(Firms!$E$5:$E$1004,$T622)="","",INDEX(Firms!$E$5:$E$1004,$T622)),IF(INDEX('AFA Rates'!$C$5:$C$1004,$T622)="","",INDEX('AFA Rates'!$C$5:$C$1004,$T622))))</f>
        <v/>
      </c>
      <c r="E622" s="88">
        <f>IF($T622="","",IF($S622="S",IF(""="","",""),IF(INDEX('AFA Rates'!$D$5:$D$1004,$T622)="","",INDEX('AFA Rates'!$D$5:$D$1004,$T622))))</f>
        <v/>
      </c>
      <c r="F622" s="79">
        <f>IF($T622="","",IF($S622="S",IF(INDEX(Firms!$O$5:$O$1004,$T622)="","",INDEX(Firms!$O$5:$O$1004,$T622)),IF(INDEX('AFA Rates'!$O$5:$O$1004,$T622)="","",INDEX('AFA Rates'!$O$5:$O$1004,$T622))))</f>
        <v/>
      </c>
      <c r="G622" s="50">
        <f>IF($T622="","",IF($S622="S",IF(INDEX(Firms!$F$5:$F$1004,$T622)="","",INDEX(Firms!$F$5:$F$1004,$T622)),IF(INDEX('AFA Rates'!$E$5:$E$1004,$T622)="","",INDEX('AFA Rates'!$E$5:$E$1004,$T622))))</f>
        <v/>
      </c>
      <c r="H622" s="50">
        <f>IF($T622="","",IF($S622="S",IF(INDEX(Firms!$G$5:$G$1004,$T622)="","",INDEX(Firms!$G$5:$G$1004,$T622)),IF(INDEX('AFA Rates'!$F$5:$F$1004,$T622)="","",INDEX('AFA Rates'!$F$5:$F$1004,$T622))))</f>
        <v/>
      </c>
      <c r="I622" s="50">
        <f>IF($T622="","",IF($S622="S",IF(INDEX(Firms!$H$5:$H$1004,$T622)="","",INDEX(Firms!$H$5:$H$1004,$T622)),IF(INDEX('AFA Rates'!$G$5:$G$1004,$T622)="","",INDEX('AFA Rates'!$G$5:$G$1004,$T622))))</f>
        <v/>
      </c>
      <c r="J622" s="50">
        <f>IF($T622="","",IF($S622="S",IF(INDEX(Firms!$I$5:$I$1004,$T622)="","",INDEX(Firms!$I$5:$I$1004,$T622)),IF(INDEX('AFA Rates'!$H$5:$H$1004,$T622)="","",INDEX('AFA Rates'!$H$5:$H$1004,$T622))))</f>
        <v/>
      </c>
      <c r="K622" s="50">
        <f>IF($T622="","",IF($S622="S",IF(INDEX(Firms!$J$5:$J$1004,$T622)="","",INDEX(Firms!$J$5:$J$1004,$T622)),IF(INDEX('AFA Rates'!$I$5:$I$1004,$T622)="","",INDEX('AFA Rates'!$I$5:$I$1004,$T622))))</f>
        <v/>
      </c>
      <c r="L622" s="50">
        <f>IF($T622="","",IF($S622="S",IF(INDEX(Firms!$K$5:$K$1004,$T622)="","",INDEX(Firms!$K$5:$K$1004,$T622)),IF(INDEX('AFA Rates'!$J$5:$J$1004,$T622)="","",INDEX('AFA Rates'!$J$5:$J$1004,$T622))))</f>
        <v/>
      </c>
      <c r="M622" s="50">
        <f>IF($T622="","",IF($S622="S",IF(INDEX(Firms!$L$5:$L$1004,$T622)="","",INDEX(Firms!$L$5:$L$1004,$T622)),IF(INDEX('AFA Rates'!$K$5:$K$1004,$T622)="","",INDEX('AFA Rates'!$K$5:$K$1004,$T622))))</f>
        <v/>
      </c>
      <c r="N622" s="50">
        <f>IF($T622="","",IF($S622="S",IF(INDEX(Firms!$M$5:$M$1004,$T622)="","",INDEX(Firms!$M$5:$M$1004,$T622)),IF(INDEX('AFA Rates'!$L$5:$L$1004,$T622)="","",INDEX('AFA Rates'!$L$5:$L$1004,$T622))))</f>
        <v/>
      </c>
      <c r="O622" s="78">
        <f>IF(OR($T622="",$U622=""),"",IF(INDEX(Firms!$C$5:$C$1004,$U622)="","",INDEX(Firms!$C$5:$C$1004,$U622)))</f>
        <v/>
      </c>
      <c r="P622" s="79">
        <f>IF(OR($T622="",$U622=""),"",IF(INDEX(Firms!$N$5:$N$1004,$U622)="","",INDEX(Firms!$N$5:$N$1004,$U622)))</f>
        <v/>
      </c>
      <c r="Q622" s="78">
        <f>IF($T622="","",IF($S622="S",IF(INDEX(Firms!$T$5:$T$1004,$T622)="","",INDEX(Firms!$T$5:$T$1004,$T622)),IF(INDEX('AFA Rates'!$M$5:$M$1004,$T622)="","",INDEX('AFA Rates'!$M$5:$M$1004,$T622))))</f>
        <v/>
      </c>
      <c r="S622">
        <f>IF(618&lt;=$S$2,"S",IF(618&lt;=$S$2+$T$2,"A",""))</f>
        <v/>
      </c>
      <c r="T622">
        <f>IF(S622="S",MATCH(618,Firms!$W$5:$W$1004,0),IF(S622="A",IFERROR(MATCH(618-$S$2,'AFA Rates'!$R$5:$R$1004,0),""),""))</f>
        <v/>
      </c>
      <c r="U622">
        <f>IF(S622="S",T622,IF(AND(S622="A",T622&lt;&gt;""),IFERROR(MATCH(INDEX('AFA Rates'!$A$5:$A$1004,T622),Firms!$A$5:$A$1004,0),""),""))</f>
        <v/>
      </c>
    </row>
    <row r="623">
      <c r="A623" s="78">
        <f>IF($T623="","",IF($S623="S",IF(INDEX(Firms!$A$5:$A$1004,$T623)="","",INDEX(Firms!$A$5:$A$1004,$T623)),IF(INDEX('AFA Rates'!$A$5:$A$1004,$T623)="","",INDEX('AFA Rates'!$A$5:$A$1004,$T623))))</f>
        <v/>
      </c>
      <c r="B623" s="79">
        <f>IF(OR($T623="",$U623=""),IF($T623="","","Not on Firms tab"),INDEX(Firms!$B$5:$B$1004,$U623)&amp;"")</f>
        <v/>
      </c>
      <c r="C623" s="78">
        <f>IF($T623="","",IF($S623="S","Standard",INDEX('AFA Rates'!$B$5:$B$1004,$T623)&amp;""))</f>
        <v/>
      </c>
      <c r="D623" s="88">
        <f>IF($T623="","",IF($S623="S",IF(INDEX(Firms!$E$5:$E$1004,$T623)="","",INDEX(Firms!$E$5:$E$1004,$T623)),IF(INDEX('AFA Rates'!$C$5:$C$1004,$T623)="","",INDEX('AFA Rates'!$C$5:$C$1004,$T623))))</f>
        <v/>
      </c>
      <c r="E623" s="88">
        <f>IF($T623="","",IF($S623="S",IF(""="","",""),IF(INDEX('AFA Rates'!$D$5:$D$1004,$T623)="","",INDEX('AFA Rates'!$D$5:$D$1004,$T623))))</f>
        <v/>
      </c>
      <c r="F623" s="79">
        <f>IF($T623="","",IF($S623="S",IF(INDEX(Firms!$O$5:$O$1004,$T623)="","",INDEX(Firms!$O$5:$O$1004,$T623)),IF(INDEX('AFA Rates'!$O$5:$O$1004,$T623)="","",INDEX('AFA Rates'!$O$5:$O$1004,$T623))))</f>
        <v/>
      </c>
      <c r="G623" s="50">
        <f>IF($T623="","",IF($S623="S",IF(INDEX(Firms!$F$5:$F$1004,$T623)="","",INDEX(Firms!$F$5:$F$1004,$T623)),IF(INDEX('AFA Rates'!$E$5:$E$1004,$T623)="","",INDEX('AFA Rates'!$E$5:$E$1004,$T623))))</f>
        <v/>
      </c>
      <c r="H623" s="50">
        <f>IF($T623="","",IF($S623="S",IF(INDEX(Firms!$G$5:$G$1004,$T623)="","",INDEX(Firms!$G$5:$G$1004,$T623)),IF(INDEX('AFA Rates'!$F$5:$F$1004,$T623)="","",INDEX('AFA Rates'!$F$5:$F$1004,$T623))))</f>
        <v/>
      </c>
      <c r="I623" s="50">
        <f>IF($T623="","",IF($S623="S",IF(INDEX(Firms!$H$5:$H$1004,$T623)="","",INDEX(Firms!$H$5:$H$1004,$T623)),IF(INDEX('AFA Rates'!$G$5:$G$1004,$T623)="","",INDEX('AFA Rates'!$G$5:$G$1004,$T623))))</f>
        <v/>
      </c>
      <c r="J623" s="50">
        <f>IF($T623="","",IF($S623="S",IF(INDEX(Firms!$I$5:$I$1004,$T623)="","",INDEX(Firms!$I$5:$I$1004,$T623)),IF(INDEX('AFA Rates'!$H$5:$H$1004,$T623)="","",INDEX('AFA Rates'!$H$5:$H$1004,$T623))))</f>
        <v/>
      </c>
      <c r="K623" s="50">
        <f>IF($T623="","",IF($S623="S",IF(INDEX(Firms!$J$5:$J$1004,$T623)="","",INDEX(Firms!$J$5:$J$1004,$T623)),IF(INDEX('AFA Rates'!$I$5:$I$1004,$T623)="","",INDEX('AFA Rates'!$I$5:$I$1004,$T623))))</f>
        <v/>
      </c>
      <c r="L623" s="50">
        <f>IF($T623="","",IF($S623="S",IF(INDEX(Firms!$K$5:$K$1004,$T623)="","",INDEX(Firms!$K$5:$K$1004,$T623)),IF(INDEX('AFA Rates'!$J$5:$J$1004,$T623)="","",INDEX('AFA Rates'!$J$5:$J$1004,$T623))))</f>
        <v/>
      </c>
      <c r="M623" s="50">
        <f>IF($T623="","",IF($S623="S",IF(INDEX(Firms!$L$5:$L$1004,$T623)="","",INDEX(Firms!$L$5:$L$1004,$T623)),IF(INDEX('AFA Rates'!$K$5:$K$1004,$T623)="","",INDEX('AFA Rates'!$K$5:$K$1004,$T623))))</f>
        <v/>
      </c>
      <c r="N623" s="50">
        <f>IF($T623="","",IF($S623="S",IF(INDEX(Firms!$M$5:$M$1004,$T623)="","",INDEX(Firms!$M$5:$M$1004,$T623)),IF(INDEX('AFA Rates'!$L$5:$L$1004,$T623)="","",INDEX('AFA Rates'!$L$5:$L$1004,$T623))))</f>
        <v/>
      </c>
      <c r="O623" s="78">
        <f>IF(OR($T623="",$U623=""),"",IF(INDEX(Firms!$C$5:$C$1004,$U623)="","",INDEX(Firms!$C$5:$C$1004,$U623)))</f>
        <v/>
      </c>
      <c r="P623" s="79">
        <f>IF(OR($T623="",$U623=""),"",IF(INDEX(Firms!$N$5:$N$1004,$U623)="","",INDEX(Firms!$N$5:$N$1004,$U623)))</f>
        <v/>
      </c>
      <c r="Q623" s="78">
        <f>IF($T623="","",IF($S623="S",IF(INDEX(Firms!$T$5:$T$1004,$T623)="","",INDEX(Firms!$T$5:$T$1004,$T623)),IF(INDEX('AFA Rates'!$M$5:$M$1004,$T623)="","",INDEX('AFA Rates'!$M$5:$M$1004,$T623))))</f>
        <v/>
      </c>
      <c r="S623">
        <f>IF(619&lt;=$S$2,"S",IF(619&lt;=$S$2+$T$2,"A",""))</f>
        <v/>
      </c>
      <c r="T623">
        <f>IF(S623="S",MATCH(619,Firms!$W$5:$W$1004,0),IF(S623="A",IFERROR(MATCH(619-$S$2,'AFA Rates'!$R$5:$R$1004,0),""),""))</f>
        <v/>
      </c>
      <c r="U623">
        <f>IF(S623="S",T623,IF(AND(S623="A",T623&lt;&gt;""),IFERROR(MATCH(INDEX('AFA Rates'!$A$5:$A$1004,T623),Firms!$A$5:$A$1004,0),""),""))</f>
        <v/>
      </c>
    </row>
    <row r="624">
      <c r="A624" s="78">
        <f>IF($T624="","",IF($S624="S",IF(INDEX(Firms!$A$5:$A$1004,$T624)="","",INDEX(Firms!$A$5:$A$1004,$T624)),IF(INDEX('AFA Rates'!$A$5:$A$1004,$T624)="","",INDEX('AFA Rates'!$A$5:$A$1004,$T624))))</f>
        <v/>
      </c>
      <c r="B624" s="79">
        <f>IF(OR($T624="",$U624=""),IF($T624="","","Not on Firms tab"),INDEX(Firms!$B$5:$B$1004,$U624)&amp;"")</f>
        <v/>
      </c>
      <c r="C624" s="78">
        <f>IF($T624="","",IF($S624="S","Standard",INDEX('AFA Rates'!$B$5:$B$1004,$T624)&amp;""))</f>
        <v/>
      </c>
      <c r="D624" s="88">
        <f>IF($T624="","",IF($S624="S",IF(INDEX(Firms!$E$5:$E$1004,$T624)="","",INDEX(Firms!$E$5:$E$1004,$T624)),IF(INDEX('AFA Rates'!$C$5:$C$1004,$T624)="","",INDEX('AFA Rates'!$C$5:$C$1004,$T624))))</f>
        <v/>
      </c>
      <c r="E624" s="88">
        <f>IF($T624="","",IF($S624="S",IF(""="","",""),IF(INDEX('AFA Rates'!$D$5:$D$1004,$T624)="","",INDEX('AFA Rates'!$D$5:$D$1004,$T624))))</f>
        <v/>
      </c>
      <c r="F624" s="79">
        <f>IF($T624="","",IF($S624="S",IF(INDEX(Firms!$O$5:$O$1004,$T624)="","",INDEX(Firms!$O$5:$O$1004,$T624)),IF(INDEX('AFA Rates'!$O$5:$O$1004,$T624)="","",INDEX('AFA Rates'!$O$5:$O$1004,$T624))))</f>
        <v/>
      </c>
      <c r="G624" s="50">
        <f>IF($T624="","",IF($S624="S",IF(INDEX(Firms!$F$5:$F$1004,$T624)="","",INDEX(Firms!$F$5:$F$1004,$T624)),IF(INDEX('AFA Rates'!$E$5:$E$1004,$T624)="","",INDEX('AFA Rates'!$E$5:$E$1004,$T624))))</f>
        <v/>
      </c>
      <c r="H624" s="50">
        <f>IF($T624="","",IF($S624="S",IF(INDEX(Firms!$G$5:$G$1004,$T624)="","",INDEX(Firms!$G$5:$G$1004,$T624)),IF(INDEX('AFA Rates'!$F$5:$F$1004,$T624)="","",INDEX('AFA Rates'!$F$5:$F$1004,$T624))))</f>
        <v/>
      </c>
      <c r="I624" s="50">
        <f>IF($T624="","",IF($S624="S",IF(INDEX(Firms!$H$5:$H$1004,$T624)="","",INDEX(Firms!$H$5:$H$1004,$T624)),IF(INDEX('AFA Rates'!$G$5:$G$1004,$T624)="","",INDEX('AFA Rates'!$G$5:$G$1004,$T624))))</f>
        <v/>
      </c>
      <c r="J624" s="50">
        <f>IF($T624="","",IF($S624="S",IF(INDEX(Firms!$I$5:$I$1004,$T624)="","",INDEX(Firms!$I$5:$I$1004,$T624)),IF(INDEX('AFA Rates'!$H$5:$H$1004,$T624)="","",INDEX('AFA Rates'!$H$5:$H$1004,$T624))))</f>
        <v/>
      </c>
      <c r="K624" s="50">
        <f>IF($T624="","",IF($S624="S",IF(INDEX(Firms!$J$5:$J$1004,$T624)="","",INDEX(Firms!$J$5:$J$1004,$T624)),IF(INDEX('AFA Rates'!$I$5:$I$1004,$T624)="","",INDEX('AFA Rates'!$I$5:$I$1004,$T624))))</f>
        <v/>
      </c>
      <c r="L624" s="50">
        <f>IF($T624="","",IF($S624="S",IF(INDEX(Firms!$K$5:$K$1004,$T624)="","",INDEX(Firms!$K$5:$K$1004,$T624)),IF(INDEX('AFA Rates'!$J$5:$J$1004,$T624)="","",INDEX('AFA Rates'!$J$5:$J$1004,$T624))))</f>
        <v/>
      </c>
      <c r="M624" s="50">
        <f>IF($T624="","",IF($S624="S",IF(INDEX(Firms!$L$5:$L$1004,$T624)="","",INDEX(Firms!$L$5:$L$1004,$T624)),IF(INDEX('AFA Rates'!$K$5:$K$1004,$T624)="","",INDEX('AFA Rates'!$K$5:$K$1004,$T624))))</f>
        <v/>
      </c>
      <c r="N624" s="50">
        <f>IF($T624="","",IF($S624="S",IF(INDEX(Firms!$M$5:$M$1004,$T624)="","",INDEX(Firms!$M$5:$M$1004,$T624)),IF(INDEX('AFA Rates'!$L$5:$L$1004,$T624)="","",INDEX('AFA Rates'!$L$5:$L$1004,$T624))))</f>
        <v/>
      </c>
      <c r="O624" s="78">
        <f>IF(OR($T624="",$U624=""),"",IF(INDEX(Firms!$C$5:$C$1004,$U624)="","",INDEX(Firms!$C$5:$C$1004,$U624)))</f>
        <v/>
      </c>
      <c r="P624" s="79">
        <f>IF(OR($T624="",$U624=""),"",IF(INDEX(Firms!$N$5:$N$1004,$U624)="","",INDEX(Firms!$N$5:$N$1004,$U624)))</f>
        <v/>
      </c>
      <c r="Q624" s="78">
        <f>IF($T624="","",IF($S624="S",IF(INDEX(Firms!$T$5:$T$1004,$T624)="","",INDEX(Firms!$T$5:$T$1004,$T624)),IF(INDEX('AFA Rates'!$M$5:$M$1004,$T624)="","",INDEX('AFA Rates'!$M$5:$M$1004,$T624))))</f>
        <v/>
      </c>
      <c r="S624">
        <f>IF(620&lt;=$S$2,"S",IF(620&lt;=$S$2+$T$2,"A",""))</f>
        <v/>
      </c>
      <c r="T624">
        <f>IF(S624="S",MATCH(620,Firms!$W$5:$W$1004,0),IF(S624="A",IFERROR(MATCH(620-$S$2,'AFA Rates'!$R$5:$R$1004,0),""),""))</f>
        <v/>
      </c>
      <c r="U624">
        <f>IF(S624="S",T624,IF(AND(S624="A",T624&lt;&gt;""),IFERROR(MATCH(INDEX('AFA Rates'!$A$5:$A$1004,T624),Firms!$A$5:$A$1004,0),""),""))</f>
        <v/>
      </c>
    </row>
    <row r="625">
      <c r="A625" s="78">
        <f>IF($T625="","",IF($S625="S",IF(INDEX(Firms!$A$5:$A$1004,$T625)="","",INDEX(Firms!$A$5:$A$1004,$T625)),IF(INDEX('AFA Rates'!$A$5:$A$1004,$T625)="","",INDEX('AFA Rates'!$A$5:$A$1004,$T625))))</f>
        <v/>
      </c>
      <c r="B625" s="79">
        <f>IF(OR($T625="",$U625=""),IF($T625="","","Not on Firms tab"),INDEX(Firms!$B$5:$B$1004,$U625)&amp;"")</f>
        <v/>
      </c>
      <c r="C625" s="78">
        <f>IF($T625="","",IF($S625="S","Standard",INDEX('AFA Rates'!$B$5:$B$1004,$T625)&amp;""))</f>
        <v/>
      </c>
      <c r="D625" s="88">
        <f>IF($T625="","",IF($S625="S",IF(INDEX(Firms!$E$5:$E$1004,$T625)="","",INDEX(Firms!$E$5:$E$1004,$T625)),IF(INDEX('AFA Rates'!$C$5:$C$1004,$T625)="","",INDEX('AFA Rates'!$C$5:$C$1004,$T625))))</f>
        <v/>
      </c>
      <c r="E625" s="88">
        <f>IF($T625="","",IF($S625="S",IF(""="","",""),IF(INDEX('AFA Rates'!$D$5:$D$1004,$T625)="","",INDEX('AFA Rates'!$D$5:$D$1004,$T625))))</f>
        <v/>
      </c>
      <c r="F625" s="79">
        <f>IF($T625="","",IF($S625="S",IF(INDEX(Firms!$O$5:$O$1004,$T625)="","",INDEX(Firms!$O$5:$O$1004,$T625)),IF(INDEX('AFA Rates'!$O$5:$O$1004,$T625)="","",INDEX('AFA Rates'!$O$5:$O$1004,$T625))))</f>
        <v/>
      </c>
      <c r="G625" s="50">
        <f>IF($T625="","",IF($S625="S",IF(INDEX(Firms!$F$5:$F$1004,$T625)="","",INDEX(Firms!$F$5:$F$1004,$T625)),IF(INDEX('AFA Rates'!$E$5:$E$1004,$T625)="","",INDEX('AFA Rates'!$E$5:$E$1004,$T625))))</f>
        <v/>
      </c>
      <c r="H625" s="50">
        <f>IF($T625="","",IF($S625="S",IF(INDEX(Firms!$G$5:$G$1004,$T625)="","",INDEX(Firms!$G$5:$G$1004,$T625)),IF(INDEX('AFA Rates'!$F$5:$F$1004,$T625)="","",INDEX('AFA Rates'!$F$5:$F$1004,$T625))))</f>
        <v/>
      </c>
      <c r="I625" s="50">
        <f>IF($T625="","",IF($S625="S",IF(INDEX(Firms!$H$5:$H$1004,$T625)="","",INDEX(Firms!$H$5:$H$1004,$T625)),IF(INDEX('AFA Rates'!$G$5:$G$1004,$T625)="","",INDEX('AFA Rates'!$G$5:$G$1004,$T625))))</f>
        <v/>
      </c>
      <c r="J625" s="50">
        <f>IF($T625="","",IF($S625="S",IF(INDEX(Firms!$I$5:$I$1004,$T625)="","",INDEX(Firms!$I$5:$I$1004,$T625)),IF(INDEX('AFA Rates'!$H$5:$H$1004,$T625)="","",INDEX('AFA Rates'!$H$5:$H$1004,$T625))))</f>
        <v/>
      </c>
      <c r="K625" s="50">
        <f>IF($T625="","",IF($S625="S",IF(INDEX(Firms!$J$5:$J$1004,$T625)="","",INDEX(Firms!$J$5:$J$1004,$T625)),IF(INDEX('AFA Rates'!$I$5:$I$1004,$T625)="","",INDEX('AFA Rates'!$I$5:$I$1004,$T625))))</f>
        <v/>
      </c>
      <c r="L625" s="50">
        <f>IF($T625="","",IF($S625="S",IF(INDEX(Firms!$K$5:$K$1004,$T625)="","",INDEX(Firms!$K$5:$K$1004,$T625)),IF(INDEX('AFA Rates'!$J$5:$J$1004,$T625)="","",INDEX('AFA Rates'!$J$5:$J$1004,$T625))))</f>
        <v/>
      </c>
      <c r="M625" s="50">
        <f>IF($T625="","",IF($S625="S",IF(INDEX(Firms!$L$5:$L$1004,$T625)="","",INDEX(Firms!$L$5:$L$1004,$T625)),IF(INDEX('AFA Rates'!$K$5:$K$1004,$T625)="","",INDEX('AFA Rates'!$K$5:$K$1004,$T625))))</f>
        <v/>
      </c>
      <c r="N625" s="50">
        <f>IF($T625="","",IF($S625="S",IF(INDEX(Firms!$M$5:$M$1004,$T625)="","",INDEX(Firms!$M$5:$M$1004,$T625)),IF(INDEX('AFA Rates'!$L$5:$L$1004,$T625)="","",INDEX('AFA Rates'!$L$5:$L$1004,$T625))))</f>
        <v/>
      </c>
      <c r="O625" s="78">
        <f>IF(OR($T625="",$U625=""),"",IF(INDEX(Firms!$C$5:$C$1004,$U625)="","",INDEX(Firms!$C$5:$C$1004,$U625)))</f>
        <v/>
      </c>
      <c r="P625" s="79">
        <f>IF(OR($T625="",$U625=""),"",IF(INDEX(Firms!$N$5:$N$1004,$U625)="","",INDEX(Firms!$N$5:$N$1004,$U625)))</f>
        <v/>
      </c>
      <c r="Q625" s="78">
        <f>IF($T625="","",IF($S625="S",IF(INDEX(Firms!$T$5:$T$1004,$T625)="","",INDEX(Firms!$T$5:$T$1004,$T625)),IF(INDEX('AFA Rates'!$M$5:$M$1004,$T625)="","",INDEX('AFA Rates'!$M$5:$M$1004,$T625))))</f>
        <v/>
      </c>
      <c r="S625">
        <f>IF(621&lt;=$S$2,"S",IF(621&lt;=$S$2+$T$2,"A",""))</f>
        <v/>
      </c>
      <c r="T625">
        <f>IF(S625="S",MATCH(621,Firms!$W$5:$W$1004,0),IF(S625="A",IFERROR(MATCH(621-$S$2,'AFA Rates'!$R$5:$R$1004,0),""),""))</f>
        <v/>
      </c>
      <c r="U625">
        <f>IF(S625="S",T625,IF(AND(S625="A",T625&lt;&gt;""),IFERROR(MATCH(INDEX('AFA Rates'!$A$5:$A$1004,T625),Firms!$A$5:$A$1004,0),""),""))</f>
        <v/>
      </c>
    </row>
    <row r="626">
      <c r="A626" s="78">
        <f>IF($T626="","",IF($S626="S",IF(INDEX(Firms!$A$5:$A$1004,$T626)="","",INDEX(Firms!$A$5:$A$1004,$T626)),IF(INDEX('AFA Rates'!$A$5:$A$1004,$T626)="","",INDEX('AFA Rates'!$A$5:$A$1004,$T626))))</f>
        <v/>
      </c>
      <c r="B626" s="79">
        <f>IF(OR($T626="",$U626=""),IF($T626="","","Not on Firms tab"),INDEX(Firms!$B$5:$B$1004,$U626)&amp;"")</f>
        <v/>
      </c>
      <c r="C626" s="78">
        <f>IF($T626="","",IF($S626="S","Standard",INDEX('AFA Rates'!$B$5:$B$1004,$T626)&amp;""))</f>
        <v/>
      </c>
      <c r="D626" s="88">
        <f>IF($T626="","",IF($S626="S",IF(INDEX(Firms!$E$5:$E$1004,$T626)="","",INDEX(Firms!$E$5:$E$1004,$T626)),IF(INDEX('AFA Rates'!$C$5:$C$1004,$T626)="","",INDEX('AFA Rates'!$C$5:$C$1004,$T626))))</f>
        <v/>
      </c>
      <c r="E626" s="88">
        <f>IF($T626="","",IF($S626="S",IF(""="","",""),IF(INDEX('AFA Rates'!$D$5:$D$1004,$T626)="","",INDEX('AFA Rates'!$D$5:$D$1004,$T626))))</f>
        <v/>
      </c>
      <c r="F626" s="79">
        <f>IF($T626="","",IF($S626="S",IF(INDEX(Firms!$O$5:$O$1004,$T626)="","",INDEX(Firms!$O$5:$O$1004,$T626)),IF(INDEX('AFA Rates'!$O$5:$O$1004,$T626)="","",INDEX('AFA Rates'!$O$5:$O$1004,$T626))))</f>
        <v/>
      </c>
      <c r="G626" s="50">
        <f>IF($T626="","",IF($S626="S",IF(INDEX(Firms!$F$5:$F$1004,$T626)="","",INDEX(Firms!$F$5:$F$1004,$T626)),IF(INDEX('AFA Rates'!$E$5:$E$1004,$T626)="","",INDEX('AFA Rates'!$E$5:$E$1004,$T626))))</f>
        <v/>
      </c>
      <c r="H626" s="50">
        <f>IF($T626="","",IF($S626="S",IF(INDEX(Firms!$G$5:$G$1004,$T626)="","",INDEX(Firms!$G$5:$G$1004,$T626)),IF(INDEX('AFA Rates'!$F$5:$F$1004,$T626)="","",INDEX('AFA Rates'!$F$5:$F$1004,$T626))))</f>
        <v/>
      </c>
      <c r="I626" s="50">
        <f>IF($T626="","",IF($S626="S",IF(INDEX(Firms!$H$5:$H$1004,$T626)="","",INDEX(Firms!$H$5:$H$1004,$T626)),IF(INDEX('AFA Rates'!$G$5:$G$1004,$T626)="","",INDEX('AFA Rates'!$G$5:$G$1004,$T626))))</f>
        <v/>
      </c>
      <c r="J626" s="50">
        <f>IF($T626="","",IF($S626="S",IF(INDEX(Firms!$I$5:$I$1004,$T626)="","",INDEX(Firms!$I$5:$I$1004,$T626)),IF(INDEX('AFA Rates'!$H$5:$H$1004,$T626)="","",INDEX('AFA Rates'!$H$5:$H$1004,$T626))))</f>
        <v/>
      </c>
      <c r="K626" s="50">
        <f>IF($T626="","",IF($S626="S",IF(INDEX(Firms!$J$5:$J$1004,$T626)="","",INDEX(Firms!$J$5:$J$1004,$T626)),IF(INDEX('AFA Rates'!$I$5:$I$1004,$T626)="","",INDEX('AFA Rates'!$I$5:$I$1004,$T626))))</f>
        <v/>
      </c>
      <c r="L626" s="50">
        <f>IF($T626="","",IF($S626="S",IF(INDEX(Firms!$K$5:$K$1004,$T626)="","",INDEX(Firms!$K$5:$K$1004,$T626)),IF(INDEX('AFA Rates'!$J$5:$J$1004,$T626)="","",INDEX('AFA Rates'!$J$5:$J$1004,$T626))))</f>
        <v/>
      </c>
      <c r="M626" s="50">
        <f>IF($T626="","",IF($S626="S",IF(INDEX(Firms!$L$5:$L$1004,$T626)="","",INDEX(Firms!$L$5:$L$1004,$T626)),IF(INDEX('AFA Rates'!$K$5:$K$1004,$T626)="","",INDEX('AFA Rates'!$K$5:$K$1004,$T626))))</f>
        <v/>
      </c>
      <c r="N626" s="50">
        <f>IF($T626="","",IF($S626="S",IF(INDEX(Firms!$M$5:$M$1004,$T626)="","",INDEX(Firms!$M$5:$M$1004,$T626)),IF(INDEX('AFA Rates'!$L$5:$L$1004,$T626)="","",INDEX('AFA Rates'!$L$5:$L$1004,$T626))))</f>
        <v/>
      </c>
      <c r="O626" s="78">
        <f>IF(OR($T626="",$U626=""),"",IF(INDEX(Firms!$C$5:$C$1004,$U626)="","",INDEX(Firms!$C$5:$C$1004,$U626)))</f>
        <v/>
      </c>
      <c r="P626" s="79">
        <f>IF(OR($T626="",$U626=""),"",IF(INDEX(Firms!$N$5:$N$1004,$U626)="","",INDEX(Firms!$N$5:$N$1004,$U626)))</f>
        <v/>
      </c>
      <c r="Q626" s="78">
        <f>IF($T626="","",IF($S626="S",IF(INDEX(Firms!$T$5:$T$1004,$T626)="","",INDEX(Firms!$T$5:$T$1004,$T626)),IF(INDEX('AFA Rates'!$M$5:$M$1004,$T626)="","",INDEX('AFA Rates'!$M$5:$M$1004,$T626))))</f>
        <v/>
      </c>
      <c r="S626">
        <f>IF(622&lt;=$S$2,"S",IF(622&lt;=$S$2+$T$2,"A",""))</f>
        <v/>
      </c>
      <c r="T626">
        <f>IF(S626="S",MATCH(622,Firms!$W$5:$W$1004,0),IF(S626="A",IFERROR(MATCH(622-$S$2,'AFA Rates'!$R$5:$R$1004,0),""),""))</f>
        <v/>
      </c>
      <c r="U626">
        <f>IF(S626="S",T626,IF(AND(S626="A",T626&lt;&gt;""),IFERROR(MATCH(INDEX('AFA Rates'!$A$5:$A$1004,T626),Firms!$A$5:$A$1004,0),""),""))</f>
        <v/>
      </c>
    </row>
    <row r="627">
      <c r="A627" s="78">
        <f>IF($T627="","",IF($S627="S",IF(INDEX(Firms!$A$5:$A$1004,$T627)="","",INDEX(Firms!$A$5:$A$1004,$T627)),IF(INDEX('AFA Rates'!$A$5:$A$1004,$T627)="","",INDEX('AFA Rates'!$A$5:$A$1004,$T627))))</f>
        <v/>
      </c>
      <c r="B627" s="79">
        <f>IF(OR($T627="",$U627=""),IF($T627="","","Not on Firms tab"),INDEX(Firms!$B$5:$B$1004,$U627)&amp;"")</f>
        <v/>
      </c>
      <c r="C627" s="78">
        <f>IF($T627="","",IF($S627="S","Standard",INDEX('AFA Rates'!$B$5:$B$1004,$T627)&amp;""))</f>
        <v/>
      </c>
      <c r="D627" s="88">
        <f>IF($T627="","",IF($S627="S",IF(INDEX(Firms!$E$5:$E$1004,$T627)="","",INDEX(Firms!$E$5:$E$1004,$T627)),IF(INDEX('AFA Rates'!$C$5:$C$1004,$T627)="","",INDEX('AFA Rates'!$C$5:$C$1004,$T627))))</f>
        <v/>
      </c>
      <c r="E627" s="88">
        <f>IF($T627="","",IF($S627="S",IF(""="","",""),IF(INDEX('AFA Rates'!$D$5:$D$1004,$T627)="","",INDEX('AFA Rates'!$D$5:$D$1004,$T627))))</f>
        <v/>
      </c>
      <c r="F627" s="79">
        <f>IF($T627="","",IF($S627="S",IF(INDEX(Firms!$O$5:$O$1004,$T627)="","",INDEX(Firms!$O$5:$O$1004,$T627)),IF(INDEX('AFA Rates'!$O$5:$O$1004,$T627)="","",INDEX('AFA Rates'!$O$5:$O$1004,$T627))))</f>
        <v/>
      </c>
      <c r="G627" s="50">
        <f>IF($T627="","",IF($S627="S",IF(INDEX(Firms!$F$5:$F$1004,$T627)="","",INDEX(Firms!$F$5:$F$1004,$T627)),IF(INDEX('AFA Rates'!$E$5:$E$1004,$T627)="","",INDEX('AFA Rates'!$E$5:$E$1004,$T627))))</f>
        <v/>
      </c>
      <c r="H627" s="50">
        <f>IF($T627="","",IF($S627="S",IF(INDEX(Firms!$G$5:$G$1004,$T627)="","",INDEX(Firms!$G$5:$G$1004,$T627)),IF(INDEX('AFA Rates'!$F$5:$F$1004,$T627)="","",INDEX('AFA Rates'!$F$5:$F$1004,$T627))))</f>
        <v/>
      </c>
      <c r="I627" s="50">
        <f>IF($T627="","",IF($S627="S",IF(INDEX(Firms!$H$5:$H$1004,$T627)="","",INDEX(Firms!$H$5:$H$1004,$T627)),IF(INDEX('AFA Rates'!$G$5:$G$1004,$T627)="","",INDEX('AFA Rates'!$G$5:$G$1004,$T627))))</f>
        <v/>
      </c>
      <c r="J627" s="50">
        <f>IF($T627="","",IF($S627="S",IF(INDEX(Firms!$I$5:$I$1004,$T627)="","",INDEX(Firms!$I$5:$I$1004,$T627)),IF(INDEX('AFA Rates'!$H$5:$H$1004,$T627)="","",INDEX('AFA Rates'!$H$5:$H$1004,$T627))))</f>
        <v/>
      </c>
      <c r="K627" s="50">
        <f>IF($T627="","",IF($S627="S",IF(INDEX(Firms!$J$5:$J$1004,$T627)="","",INDEX(Firms!$J$5:$J$1004,$T627)),IF(INDEX('AFA Rates'!$I$5:$I$1004,$T627)="","",INDEX('AFA Rates'!$I$5:$I$1004,$T627))))</f>
        <v/>
      </c>
      <c r="L627" s="50">
        <f>IF($T627="","",IF($S627="S",IF(INDEX(Firms!$K$5:$K$1004,$T627)="","",INDEX(Firms!$K$5:$K$1004,$T627)),IF(INDEX('AFA Rates'!$J$5:$J$1004,$T627)="","",INDEX('AFA Rates'!$J$5:$J$1004,$T627))))</f>
        <v/>
      </c>
      <c r="M627" s="50">
        <f>IF($T627="","",IF($S627="S",IF(INDEX(Firms!$L$5:$L$1004,$T627)="","",INDEX(Firms!$L$5:$L$1004,$T627)),IF(INDEX('AFA Rates'!$K$5:$K$1004,$T627)="","",INDEX('AFA Rates'!$K$5:$K$1004,$T627))))</f>
        <v/>
      </c>
      <c r="N627" s="50">
        <f>IF($T627="","",IF($S627="S",IF(INDEX(Firms!$M$5:$M$1004,$T627)="","",INDEX(Firms!$M$5:$M$1004,$T627)),IF(INDEX('AFA Rates'!$L$5:$L$1004,$T627)="","",INDEX('AFA Rates'!$L$5:$L$1004,$T627))))</f>
        <v/>
      </c>
      <c r="O627" s="78">
        <f>IF(OR($T627="",$U627=""),"",IF(INDEX(Firms!$C$5:$C$1004,$U627)="","",INDEX(Firms!$C$5:$C$1004,$U627)))</f>
        <v/>
      </c>
      <c r="P627" s="79">
        <f>IF(OR($T627="",$U627=""),"",IF(INDEX(Firms!$N$5:$N$1004,$U627)="","",INDEX(Firms!$N$5:$N$1004,$U627)))</f>
        <v/>
      </c>
      <c r="Q627" s="78">
        <f>IF($T627="","",IF($S627="S",IF(INDEX(Firms!$T$5:$T$1004,$T627)="","",INDEX(Firms!$T$5:$T$1004,$T627)),IF(INDEX('AFA Rates'!$M$5:$M$1004,$T627)="","",INDEX('AFA Rates'!$M$5:$M$1004,$T627))))</f>
        <v/>
      </c>
      <c r="S627">
        <f>IF(623&lt;=$S$2,"S",IF(623&lt;=$S$2+$T$2,"A",""))</f>
        <v/>
      </c>
      <c r="T627">
        <f>IF(S627="S",MATCH(623,Firms!$W$5:$W$1004,0),IF(S627="A",IFERROR(MATCH(623-$S$2,'AFA Rates'!$R$5:$R$1004,0),""),""))</f>
        <v/>
      </c>
      <c r="U627">
        <f>IF(S627="S",T627,IF(AND(S627="A",T627&lt;&gt;""),IFERROR(MATCH(INDEX('AFA Rates'!$A$5:$A$1004,T627),Firms!$A$5:$A$1004,0),""),""))</f>
        <v/>
      </c>
    </row>
    <row r="628">
      <c r="A628" s="78">
        <f>IF($T628="","",IF($S628="S",IF(INDEX(Firms!$A$5:$A$1004,$T628)="","",INDEX(Firms!$A$5:$A$1004,$T628)),IF(INDEX('AFA Rates'!$A$5:$A$1004,$T628)="","",INDEX('AFA Rates'!$A$5:$A$1004,$T628))))</f>
        <v/>
      </c>
      <c r="B628" s="79">
        <f>IF(OR($T628="",$U628=""),IF($T628="","","Not on Firms tab"),INDEX(Firms!$B$5:$B$1004,$U628)&amp;"")</f>
        <v/>
      </c>
      <c r="C628" s="78">
        <f>IF($T628="","",IF($S628="S","Standard",INDEX('AFA Rates'!$B$5:$B$1004,$T628)&amp;""))</f>
        <v/>
      </c>
      <c r="D628" s="88">
        <f>IF($T628="","",IF($S628="S",IF(INDEX(Firms!$E$5:$E$1004,$T628)="","",INDEX(Firms!$E$5:$E$1004,$T628)),IF(INDEX('AFA Rates'!$C$5:$C$1004,$T628)="","",INDEX('AFA Rates'!$C$5:$C$1004,$T628))))</f>
        <v/>
      </c>
      <c r="E628" s="88">
        <f>IF($T628="","",IF($S628="S",IF(""="","",""),IF(INDEX('AFA Rates'!$D$5:$D$1004,$T628)="","",INDEX('AFA Rates'!$D$5:$D$1004,$T628))))</f>
        <v/>
      </c>
      <c r="F628" s="79">
        <f>IF($T628="","",IF($S628="S",IF(INDEX(Firms!$O$5:$O$1004,$T628)="","",INDEX(Firms!$O$5:$O$1004,$T628)),IF(INDEX('AFA Rates'!$O$5:$O$1004,$T628)="","",INDEX('AFA Rates'!$O$5:$O$1004,$T628))))</f>
        <v/>
      </c>
      <c r="G628" s="50">
        <f>IF($T628="","",IF($S628="S",IF(INDEX(Firms!$F$5:$F$1004,$T628)="","",INDEX(Firms!$F$5:$F$1004,$T628)),IF(INDEX('AFA Rates'!$E$5:$E$1004,$T628)="","",INDEX('AFA Rates'!$E$5:$E$1004,$T628))))</f>
        <v/>
      </c>
      <c r="H628" s="50">
        <f>IF($T628="","",IF($S628="S",IF(INDEX(Firms!$G$5:$G$1004,$T628)="","",INDEX(Firms!$G$5:$G$1004,$T628)),IF(INDEX('AFA Rates'!$F$5:$F$1004,$T628)="","",INDEX('AFA Rates'!$F$5:$F$1004,$T628))))</f>
        <v/>
      </c>
      <c r="I628" s="50">
        <f>IF($T628="","",IF($S628="S",IF(INDEX(Firms!$H$5:$H$1004,$T628)="","",INDEX(Firms!$H$5:$H$1004,$T628)),IF(INDEX('AFA Rates'!$G$5:$G$1004,$T628)="","",INDEX('AFA Rates'!$G$5:$G$1004,$T628))))</f>
        <v/>
      </c>
      <c r="J628" s="50">
        <f>IF($T628="","",IF($S628="S",IF(INDEX(Firms!$I$5:$I$1004,$T628)="","",INDEX(Firms!$I$5:$I$1004,$T628)),IF(INDEX('AFA Rates'!$H$5:$H$1004,$T628)="","",INDEX('AFA Rates'!$H$5:$H$1004,$T628))))</f>
        <v/>
      </c>
      <c r="K628" s="50">
        <f>IF($T628="","",IF($S628="S",IF(INDEX(Firms!$J$5:$J$1004,$T628)="","",INDEX(Firms!$J$5:$J$1004,$T628)),IF(INDEX('AFA Rates'!$I$5:$I$1004,$T628)="","",INDEX('AFA Rates'!$I$5:$I$1004,$T628))))</f>
        <v/>
      </c>
      <c r="L628" s="50">
        <f>IF($T628="","",IF($S628="S",IF(INDEX(Firms!$K$5:$K$1004,$T628)="","",INDEX(Firms!$K$5:$K$1004,$T628)),IF(INDEX('AFA Rates'!$J$5:$J$1004,$T628)="","",INDEX('AFA Rates'!$J$5:$J$1004,$T628))))</f>
        <v/>
      </c>
      <c r="M628" s="50">
        <f>IF($T628="","",IF($S628="S",IF(INDEX(Firms!$L$5:$L$1004,$T628)="","",INDEX(Firms!$L$5:$L$1004,$T628)),IF(INDEX('AFA Rates'!$K$5:$K$1004,$T628)="","",INDEX('AFA Rates'!$K$5:$K$1004,$T628))))</f>
        <v/>
      </c>
      <c r="N628" s="50">
        <f>IF($T628="","",IF($S628="S",IF(INDEX(Firms!$M$5:$M$1004,$T628)="","",INDEX(Firms!$M$5:$M$1004,$T628)),IF(INDEX('AFA Rates'!$L$5:$L$1004,$T628)="","",INDEX('AFA Rates'!$L$5:$L$1004,$T628))))</f>
        <v/>
      </c>
      <c r="O628" s="78">
        <f>IF(OR($T628="",$U628=""),"",IF(INDEX(Firms!$C$5:$C$1004,$U628)="","",INDEX(Firms!$C$5:$C$1004,$U628)))</f>
        <v/>
      </c>
      <c r="P628" s="79">
        <f>IF(OR($T628="",$U628=""),"",IF(INDEX(Firms!$N$5:$N$1004,$U628)="","",INDEX(Firms!$N$5:$N$1004,$U628)))</f>
        <v/>
      </c>
      <c r="Q628" s="78">
        <f>IF($T628="","",IF($S628="S",IF(INDEX(Firms!$T$5:$T$1004,$T628)="","",INDEX(Firms!$T$5:$T$1004,$T628)),IF(INDEX('AFA Rates'!$M$5:$M$1004,$T628)="","",INDEX('AFA Rates'!$M$5:$M$1004,$T628))))</f>
        <v/>
      </c>
      <c r="S628">
        <f>IF(624&lt;=$S$2,"S",IF(624&lt;=$S$2+$T$2,"A",""))</f>
        <v/>
      </c>
      <c r="T628">
        <f>IF(S628="S",MATCH(624,Firms!$W$5:$W$1004,0),IF(S628="A",IFERROR(MATCH(624-$S$2,'AFA Rates'!$R$5:$R$1004,0),""),""))</f>
        <v/>
      </c>
      <c r="U628">
        <f>IF(S628="S",T628,IF(AND(S628="A",T628&lt;&gt;""),IFERROR(MATCH(INDEX('AFA Rates'!$A$5:$A$1004,T628),Firms!$A$5:$A$1004,0),""),""))</f>
        <v/>
      </c>
    </row>
    <row r="629">
      <c r="A629" s="78">
        <f>IF($T629="","",IF($S629="S",IF(INDEX(Firms!$A$5:$A$1004,$T629)="","",INDEX(Firms!$A$5:$A$1004,$T629)),IF(INDEX('AFA Rates'!$A$5:$A$1004,$T629)="","",INDEX('AFA Rates'!$A$5:$A$1004,$T629))))</f>
        <v/>
      </c>
      <c r="B629" s="79">
        <f>IF(OR($T629="",$U629=""),IF($T629="","","Not on Firms tab"),INDEX(Firms!$B$5:$B$1004,$U629)&amp;"")</f>
        <v/>
      </c>
      <c r="C629" s="78">
        <f>IF($T629="","",IF($S629="S","Standard",INDEX('AFA Rates'!$B$5:$B$1004,$T629)&amp;""))</f>
        <v/>
      </c>
      <c r="D629" s="88">
        <f>IF($T629="","",IF($S629="S",IF(INDEX(Firms!$E$5:$E$1004,$T629)="","",INDEX(Firms!$E$5:$E$1004,$T629)),IF(INDEX('AFA Rates'!$C$5:$C$1004,$T629)="","",INDEX('AFA Rates'!$C$5:$C$1004,$T629))))</f>
        <v/>
      </c>
      <c r="E629" s="88">
        <f>IF($T629="","",IF($S629="S",IF(""="","",""),IF(INDEX('AFA Rates'!$D$5:$D$1004,$T629)="","",INDEX('AFA Rates'!$D$5:$D$1004,$T629))))</f>
        <v/>
      </c>
      <c r="F629" s="79">
        <f>IF($T629="","",IF($S629="S",IF(INDEX(Firms!$O$5:$O$1004,$T629)="","",INDEX(Firms!$O$5:$O$1004,$T629)),IF(INDEX('AFA Rates'!$O$5:$O$1004,$T629)="","",INDEX('AFA Rates'!$O$5:$O$1004,$T629))))</f>
        <v/>
      </c>
      <c r="G629" s="50">
        <f>IF($T629="","",IF($S629="S",IF(INDEX(Firms!$F$5:$F$1004,$T629)="","",INDEX(Firms!$F$5:$F$1004,$T629)),IF(INDEX('AFA Rates'!$E$5:$E$1004,$T629)="","",INDEX('AFA Rates'!$E$5:$E$1004,$T629))))</f>
        <v/>
      </c>
      <c r="H629" s="50">
        <f>IF($T629="","",IF($S629="S",IF(INDEX(Firms!$G$5:$G$1004,$T629)="","",INDEX(Firms!$G$5:$G$1004,$T629)),IF(INDEX('AFA Rates'!$F$5:$F$1004,$T629)="","",INDEX('AFA Rates'!$F$5:$F$1004,$T629))))</f>
        <v/>
      </c>
      <c r="I629" s="50">
        <f>IF($T629="","",IF($S629="S",IF(INDEX(Firms!$H$5:$H$1004,$T629)="","",INDEX(Firms!$H$5:$H$1004,$T629)),IF(INDEX('AFA Rates'!$G$5:$G$1004,$T629)="","",INDEX('AFA Rates'!$G$5:$G$1004,$T629))))</f>
        <v/>
      </c>
      <c r="J629" s="50">
        <f>IF($T629="","",IF($S629="S",IF(INDEX(Firms!$I$5:$I$1004,$T629)="","",INDEX(Firms!$I$5:$I$1004,$T629)),IF(INDEX('AFA Rates'!$H$5:$H$1004,$T629)="","",INDEX('AFA Rates'!$H$5:$H$1004,$T629))))</f>
        <v/>
      </c>
      <c r="K629" s="50">
        <f>IF($T629="","",IF($S629="S",IF(INDEX(Firms!$J$5:$J$1004,$T629)="","",INDEX(Firms!$J$5:$J$1004,$T629)),IF(INDEX('AFA Rates'!$I$5:$I$1004,$T629)="","",INDEX('AFA Rates'!$I$5:$I$1004,$T629))))</f>
        <v/>
      </c>
      <c r="L629" s="50">
        <f>IF($T629="","",IF($S629="S",IF(INDEX(Firms!$K$5:$K$1004,$T629)="","",INDEX(Firms!$K$5:$K$1004,$T629)),IF(INDEX('AFA Rates'!$J$5:$J$1004,$T629)="","",INDEX('AFA Rates'!$J$5:$J$1004,$T629))))</f>
        <v/>
      </c>
      <c r="M629" s="50">
        <f>IF($T629="","",IF($S629="S",IF(INDEX(Firms!$L$5:$L$1004,$T629)="","",INDEX(Firms!$L$5:$L$1004,$T629)),IF(INDEX('AFA Rates'!$K$5:$K$1004,$T629)="","",INDEX('AFA Rates'!$K$5:$K$1004,$T629))))</f>
        <v/>
      </c>
      <c r="N629" s="50">
        <f>IF($T629="","",IF($S629="S",IF(INDEX(Firms!$M$5:$M$1004,$T629)="","",INDEX(Firms!$M$5:$M$1004,$T629)),IF(INDEX('AFA Rates'!$L$5:$L$1004,$T629)="","",INDEX('AFA Rates'!$L$5:$L$1004,$T629))))</f>
        <v/>
      </c>
      <c r="O629" s="78">
        <f>IF(OR($T629="",$U629=""),"",IF(INDEX(Firms!$C$5:$C$1004,$U629)="","",INDEX(Firms!$C$5:$C$1004,$U629)))</f>
        <v/>
      </c>
      <c r="P629" s="79">
        <f>IF(OR($T629="",$U629=""),"",IF(INDEX(Firms!$N$5:$N$1004,$U629)="","",INDEX(Firms!$N$5:$N$1004,$U629)))</f>
        <v/>
      </c>
      <c r="Q629" s="78">
        <f>IF($T629="","",IF($S629="S",IF(INDEX(Firms!$T$5:$T$1004,$T629)="","",INDEX(Firms!$T$5:$T$1004,$T629)),IF(INDEX('AFA Rates'!$M$5:$M$1004,$T629)="","",INDEX('AFA Rates'!$M$5:$M$1004,$T629))))</f>
        <v/>
      </c>
      <c r="S629">
        <f>IF(625&lt;=$S$2,"S",IF(625&lt;=$S$2+$T$2,"A",""))</f>
        <v/>
      </c>
      <c r="T629">
        <f>IF(S629="S",MATCH(625,Firms!$W$5:$W$1004,0),IF(S629="A",IFERROR(MATCH(625-$S$2,'AFA Rates'!$R$5:$R$1004,0),""),""))</f>
        <v/>
      </c>
      <c r="U629">
        <f>IF(S629="S",T629,IF(AND(S629="A",T629&lt;&gt;""),IFERROR(MATCH(INDEX('AFA Rates'!$A$5:$A$1004,T629),Firms!$A$5:$A$1004,0),""),""))</f>
        <v/>
      </c>
    </row>
    <row r="630">
      <c r="A630" s="78">
        <f>IF($T630="","",IF($S630="S",IF(INDEX(Firms!$A$5:$A$1004,$T630)="","",INDEX(Firms!$A$5:$A$1004,$T630)),IF(INDEX('AFA Rates'!$A$5:$A$1004,$T630)="","",INDEX('AFA Rates'!$A$5:$A$1004,$T630))))</f>
        <v/>
      </c>
      <c r="B630" s="79">
        <f>IF(OR($T630="",$U630=""),IF($T630="","","Not on Firms tab"),INDEX(Firms!$B$5:$B$1004,$U630)&amp;"")</f>
        <v/>
      </c>
      <c r="C630" s="78">
        <f>IF($T630="","",IF($S630="S","Standard",INDEX('AFA Rates'!$B$5:$B$1004,$T630)&amp;""))</f>
        <v/>
      </c>
      <c r="D630" s="88">
        <f>IF($T630="","",IF($S630="S",IF(INDEX(Firms!$E$5:$E$1004,$T630)="","",INDEX(Firms!$E$5:$E$1004,$T630)),IF(INDEX('AFA Rates'!$C$5:$C$1004,$T630)="","",INDEX('AFA Rates'!$C$5:$C$1004,$T630))))</f>
        <v/>
      </c>
      <c r="E630" s="88">
        <f>IF($T630="","",IF($S630="S",IF(""="","",""),IF(INDEX('AFA Rates'!$D$5:$D$1004,$T630)="","",INDEX('AFA Rates'!$D$5:$D$1004,$T630))))</f>
        <v/>
      </c>
      <c r="F630" s="79">
        <f>IF($T630="","",IF($S630="S",IF(INDEX(Firms!$O$5:$O$1004,$T630)="","",INDEX(Firms!$O$5:$O$1004,$T630)),IF(INDEX('AFA Rates'!$O$5:$O$1004,$T630)="","",INDEX('AFA Rates'!$O$5:$O$1004,$T630))))</f>
        <v/>
      </c>
      <c r="G630" s="50">
        <f>IF($T630="","",IF($S630="S",IF(INDEX(Firms!$F$5:$F$1004,$T630)="","",INDEX(Firms!$F$5:$F$1004,$T630)),IF(INDEX('AFA Rates'!$E$5:$E$1004,$T630)="","",INDEX('AFA Rates'!$E$5:$E$1004,$T630))))</f>
        <v/>
      </c>
      <c r="H630" s="50">
        <f>IF($T630="","",IF($S630="S",IF(INDEX(Firms!$G$5:$G$1004,$T630)="","",INDEX(Firms!$G$5:$G$1004,$T630)),IF(INDEX('AFA Rates'!$F$5:$F$1004,$T630)="","",INDEX('AFA Rates'!$F$5:$F$1004,$T630))))</f>
        <v/>
      </c>
      <c r="I630" s="50">
        <f>IF($T630="","",IF($S630="S",IF(INDEX(Firms!$H$5:$H$1004,$T630)="","",INDEX(Firms!$H$5:$H$1004,$T630)),IF(INDEX('AFA Rates'!$G$5:$G$1004,$T630)="","",INDEX('AFA Rates'!$G$5:$G$1004,$T630))))</f>
        <v/>
      </c>
      <c r="J630" s="50">
        <f>IF($T630="","",IF($S630="S",IF(INDEX(Firms!$I$5:$I$1004,$T630)="","",INDEX(Firms!$I$5:$I$1004,$T630)),IF(INDEX('AFA Rates'!$H$5:$H$1004,$T630)="","",INDEX('AFA Rates'!$H$5:$H$1004,$T630))))</f>
        <v/>
      </c>
      <c r="K630" s="50">
        <f>IF($T630="","",IF($S630="S",IF(INDEX(Firms!$J$5:$J$1004,$T630)="","",INDEX(Firms!$J$5:$J$1004,$T630)),IF(INDEX('AFA Rates'!$I$5:$I$1004,$T630)="","",INDEX('AFA Rates'!$I$5:$I$1004,$T630))))</f>
        <v/>
      </c>
      <c r="L630" s="50">
        <f>IF($T630="","",IF($S630="S",IF(INDEX(Firms!$K$5:$K$1004,$T630)="","",INDEX(Firms!$K$5:$K$1004,$T630)),IF(INDEX('AFA Rates'!$J$5:$J$1004,$T630)="","",INDEX('AFA Rates'!$J$5:$J$1004,$T630))))</f>
        <v/>
      </c>
      <c r="M630" s="50">
        <f>IF($T630="","",IF($S630="S",IF(INDEX(Firms!$L$5:$L$1004,$T630)="","",INDEX(Firms!$L$5:$L$1004,$T630)),IF(INDEX('AFA Rates'!$K$5:$K$1004,$T630)="","",INDEX('AFA Rates'!$K$5:$K$1004,$T630))))</f>
        <v/>
      </c>
      <c r="N630" s="50">
        <f>IF($T630="","",IF($S630="S",IF(INDEX(Firms!$M$5:$M$1004,$T630)="","",INDEX(Firms!$M$5:$M$1004,$T630)),IF(INDEX('AFA Rates'!$L$5:$L$1004,$T630)="","",INDEX('AFA Rates'!$L$5:$L$1004,$T630))))</f>
        <v/>
      </c>
      <c r="O630" s="78">
        <f>IF(OR($T630="",$U630=""),"",IF(INDEX(Firms!$C$5:$C$1004,$U630)="","",INDEX(Firms!$C$5:$C$1004,$U630)))</f>
        <v/>
      </c>
      <c r="P630" s="79">
        <f>IF(OR($T630="",$U630=""),"",IF(INDEX(Firms!$N$5:$N$1004,$U630)="","",INDEX(Firms!$N$5:$N$1004,$U630)))</f>
        <v/>
      </c>
      <c r="Q630" s="78">
        <f>IF($T630="","",IF($S630="S",IF(INDEX(Firms!$T$5:$T$1004,$T630)="","",INDEX(Firms!$T$5:$T$1004,$T630)),IF(INDEX('AFA Rates'!$M$5:$M$1004,$T630)="","",INDEX('AFA Rates'!$M$5:$M$1004,$T630))))</f>
        <v/>
      </c>
      <c r="S630">
        <f>IF(626&lt;=$S$2,"S",IF(626&lt;=$S$2+$T$2,"A",""))</f>
        <v/>
      </c>
      <c r="T630">
        <f>IF(S630="S",MATCH(626,Firms!$W$5:$W$1004,0),IF(S630="A",IFERROR(MATCH(626-$S$2,'AFA Rates'!$R$5:$R$1004,0),""),""))</f>
        <v/>
      </c>
      <c r="U630">
        <f>IF(S630="S",T630,IF(AND(S630="A",T630&lt;&gt;""),IFERROR(MATCH(INDEX('AFA Rates'!$A$5:$A$1004,T630),Firms!$A$5:$A$1004,0),""),""))</f>
        <v/>
      </c>
    </row>
    <row r="631">
      <c r="A631" s="78">
        <f>IF($T631="","",IF($S631="S",IF(INDEX(Firms!$A$5:$A$1004,$T631)="","",INDEX(Firms!$A$5:$A$1004,$T631)),IF(INDEX('AFA Rates'!$A$5:$A$1004,$T631)="","",INDEX('AFA Rates'!$A$5:$A$1004,$T631))))</f>
        <v/>
      </c>
      <c r="B631" s="79">
        <f>IF(OR($T631="",$U631=""),IF($T631="","","Not on Firms tab"),INDEX(Firms!$B$5:$B$1004,$U631)&amp;"")</f>
        <v/>
      </c>
      <c r="C631" s="78">
        <f>IF($T631="","",IF($S631="S","Standard",INDEX('AFA Rates'!$B$5:$B$1004,$T631)&amp;""))</f>
        <v/>
      </c>
      <c r="D631" s="88">
        <f>IF($T631="","",IF($S631="S",IF(INDEX(Firms!$E$5:$E$1004,$T631)="","",INDEX(Firms!$E$5:$E$1004,$T631)),IF(INDEX('AFA Rates'!$C$5:$C$1004,$T631)="","",INDEX('AFA Rates'!$C$5:$C$1004,$T631))))</f>
        <v/>
      </c>
      <c r="E631" s="88">
        <f>IF($T631="","",IF($S631="S",IF(""="","",""),IF(INDEX('AFA Rates'!$D$5:$D$1004,$T631)="","",INDEX('AFA Rates'!$D$5:$D$1004,$T631))))</f>
        <v/>
      </c>
      <c r="F631" s="79">
        <f>IF($T631="","",IF($S631="S",IF(INDEX(Firms!$O$5:$O$1004,$T631)="","",INDEX(Firms!$O$5:$O$1004,$T631)),IF(INDEX('AFA Rates'!$O$5:$O$1004,$T631)="","",INDEX('AFA Rates'!$O$5:$O$1004,$T631))))</f>
        <v/>
      </c>
      <c r="G631" s="50">
        <f>IF($T631="","",IF($S631="S",IF(INDEX(Firms!$F$5:$F$1004,$T631)="","",INDEX(Firms!$F$5:$F$1004,$T631)),IF(INDEX('AFA Rates'!$E$5:$E$1004,$T631)="","",INDEX('AFA Rates'!$E$5:$E$1004,$T631))))</f>
        <v/>
      </c>
      <c r="H631" s="50">
        <f>IF($T631="","",IF($S631="S",IF(INDEX(Firms!$G$5:$G$1004,$T631)="","",INDEX(Firms!$G$5:$G$1004,$T631)),IF(INDEX('AFA Rates'!$F$5:$F$1004,$T631)="","",INDEX('AFA Rates'!$F$5:$F$1004,$T631))))</f>
        <v/>
      </c>
      <c r="I631" s="50">
        <f>IF($T631="","",IF($S631="S",IF(INDEX(Firms!$H$5:$H$1004,$T631)="","",INDEX(Firms!$H$5:$H$1004,$T631)),IF(INDEX('AFA Rates'!$G$5:$G$1004,$T631)="","",INDEX('AFA Rates'!$G$5:$G$1004,$T631))))</f>
        <v/>
      </c>
      <c r="J631" s="50">
        <f>IF($T631="","",IF($S631="S",IF(INDEX(Firms!$I$5:$I$1004,$T631)="","",INDEX(Firms!$I$5:$I$1004,$T631)),IF(INDEX('AFA Rates'!$H$5:$H$1004,$T631)="","",INDEX('AFA Rates'!$H$5:$H$1004,$T631))))</f>
        <v/>
      </c>
      <c r="K631" s="50">
        <f>IF($T631="","",IF($S631="S",IF(INDEX(Firms!$J$5:$J$1004,$T631)="","",INDEX(Firms!$J$5:$J$1004,$T631)),IF(INDEX('AFA Rates'!$I$5:$I$1004,$T631)="","",INDEX('AFA Rates'!$I$5:$I$1004,$T631))))</f>
        <v/>
      </c>
      <c r="L631" s="50">
        <f>IF($T631="","",IF($S631="S",IF(INDEX(Firms!$K$5:$K$1004,$T631)="","",INDEX(Firms!$K$5:$K$1004,$T631)),IF(INDEX('AFA Rates'!$J$5:$J$1004,$T631)="","",INDEX('AFA Rates'!$J$5:$J$1004,$T631))))</f>
        <v/>
      </c>
      <c r="M631" s="50">
        <f>IF($T631="","",IF($S631="S",IF(INDEX(Firms!$L$5:$L$1004,$T631)="","",INDEX(Firms!$L$5:$L$1004,$T631)),IF(INDEX('AFA Rates'!$K$5:$K$1004,$T631)="","",INDEX('AFA Rates'!$K$5:$K$1004,$T631))))</f>
        <v/>
      </c>
      <c r="N631" s="50">
        <f>IF($T631="","",IF($S631="S",IF(INDEX(Firms!$M$5:$M$1004,$T631)="","",INDEX(Firms!$M$5:$M$1004,$T631)),IF(INDEX('AFA Rates'!$L$5:$L$1004,$T631)="","",INDEX('AFA Rates'!$L$5:$L$1004,$T631))))</f>
        <v/>
      </c>
      <c r="O631" s="78">
        <f>IF(OR($T631="",$U631=""),"",IF(INDEX(Firms!$C$5:$C$1004,$U631)="","",INDEX(Firms!$C$5:$C$1004,$U631)))</f>
        <v/>
      </c>
      <c r="P631" s="79">
        <f>IF(OR($T631="",$U631=""),"",IF(INDEX(Firms!$N$5:$N$1004,$U631)="","",INDEX(Firms!$N$5:$N$1004,$U631)))</f>
        <v/>
      </c>
      <c r="Q631" s="78">
        <f>IF($T631="","",IF($S631="S",IF(INDEX(Firms!$T$5:$T$1004,$T631)="","",INDEX(Firms!$T$5:$T$1004,$T631)),IF(INDEX('AFA Rates'!$M$5:$M$1004,$T631)="","",INDEX('AFA Rates'!$M$5:$M$1004,$T631))))</f>
        <v/>
      </c>
      <c r="S631">
        <f>IF(627&lt;=$S$2,"S",IF(627&lt;=$S$2+$T$2,"A",""))</f>
        <v/>
      </c>
      <c r="T631">
        <f>IF(S631="S",MATCH(627,Firms!$W$5:$W$1004,0),IF(S631="A",IFERROR(MATCH(627-$S$2,'AFA Rates'!$R$5:$R$1004,0),""),""))</f>
        <v/>
      </c>
      <c r="U631">
        <f>IF(S631="S",T631,IF(AND(S631="A",T631&lt;&gt;""),IFERROR(MATCH(INDEX('AFA Rates'!$A$5:$A$1004,T631),Firms!$A$5:$A$1004,0),""),""))</f>
        <v/>
      </c>
    </row>
    <row r="632">
      <c r="A632" s="78">
        <f>IF($T632="","",IF($S632="S",IF(INDEX(Firms!$A$5:$A$1004,$T632)="","",INDEX(Firms!$A$5:$A$1004,$T632)),IF(INDEX('AFA Rates'!$A$5:$A$1004,$T632)="","",INDEX('AFA Rates'!$A$5:$A$1004,$T632))))</f>
        <v/>
      </c>
      <c r="B632" s="79">
        <f>IF(OR($T632="",$U632=""),IF($T632="","","Not on Firms tab"),INDEX(Firms!$B$5:$B$1004,$U632)&amp;"")</f>
        <v/>
      </c>
      <c r="C632" s="78">
        <f>IF($T632="","",IF($S632="S","Standard",INDEX('AFA Rates'!$B$5:$B$1004,$T632)&amp;""))</f>
        <v/>
      </c>
      <c r="D632" s="88">
        <f>IF($T632="","",IF($S632="S",IF(INDEX(Firms!$E$5:$E$1004,$T632)="","",INDEX(Firms!$E$5:$E$1004,$T632)),IF(INDEX('AFA Rates'!$C$5:$C$1004,$T632)="","",INDEX('AFA Rates'!$C$5:$C$1004,$T632))))</f>
        <v/>
      </c>
      <c r="E632" s="88">
        <f>IF($T632="","",IF($S632="S",IF(""="","",""),IF(INDEX('AFA Rates'!$D$5:$D$1004,$T632)="","",INDEX('AFA Rates'!$D$5:$D$1004,$T632))))</f>
        <v/>
      </c>
      <c r="F632" s="79">
        <f>IF($T632="","",IF($S632="S",IF(INDEX(Firms!$O$5:$O$1004,$T632)="","",INDEX(Firms!$O$5:$O$1004,$T632)),IF(INDEX('AFA Rates'!$O$5:$O$1004,$T632)="","",INDEX('AFA Rates'!$O$5:$O$1004,$T632))))</f>
        <v/>
      </c>
      <c r="G632" s="50">
        <f>IF($T632="","",IF($S632="S",IF(INDEX(Firms!$F$5:$F$1004,$T632)="","",INDEX(Firms!$F$5:$F$1004,$T632)),IF(INDEX('AFA Rates'!$E$5:$E$1004,$T632)="","",INDEX('AFA Rates'!$E$5:$E$1004,$T632))))</f>
        <v/>
      </c>
      <c r="H632" s="50">
        <f>IF($T632="","",IF($S632="S",IF(INDEX(Firms!$G$5:$G$1004,$T632)="","",INDEX(Firms!$G$5:$G$1004,$T632)),IF(INDEX('AFA Rates'!$F$5:$F$1004,$T632)="","",INDEX('AFA Rates'!$F$5:$F$1004,$T632))))</f>
        <v/>
      </c>
      <c r="I632" s="50">
        <f>IF($T632="","",IF($S632="S",IF(INDEX(Firms!$H$5:$H$1004,$T632)="","",INDEX(Firms!$H$5:$H$1004,$T632)),IF(INDEX('AFA Rates'!$G$5:$G$1004,$T632)="","",INDEX('AFA Rates'!$G$5:$G$1004,$T632))))</f>
        <v/>
      </c>
      <c r="J632" s="50">
        <f>IF($T632="","",IF($S632="S",IF(INDEX(Firms!$I$5:$I$1004,$T632)="","",INDEX(Firms!$I$5:$I$1004,$T632)),IF(INDEX('AFA Rates'!$H$5:$H$1004,$T632)="","",INDEX('AFA Rates'!$H$5:$H$1004,$T632))))</f>
        <v/>
      </c>
      <c r="K632" s="50">
        <f>IF($T632="","",IF($S632="S",IF(INDEX(Firms!$J$5:$J$1004,$T632)="","",INDEX(Firms!$J$5:$J$1004,$T632)),IF(INDEX('AFA Rates'!$I$5:$I$1004,$T632)="","",INDEX('AFA Rates'!$I$5:$I$1004,$T632))))</f>
        <v/>
      </c>
      <c r="L632" s="50">
        <f>IF($T632="","",IF($S632="S",IF(INDEX(Firms!$K$5:$K$1004,$T632)="","",INDEX(Firms!$K$5:$K$1004,$T632)),IF(INDEX('AFA Rates'!$J$5:$J$1004,$T632)="","",INDEX('AFA Rates'!$J$5:$J$1004,$T632))))</f>
        <v/>
      </c>
      <c r="M632" s="50">
        <f>IF($T632="","",IF($S632="S",IF(INDEX(Firms!$L$5:$L$1004,$T632)="","",INDEX(Firms!$L$5:$L$1004,$T632)),IF(INDEX('AFA Rates'!$K$5:$K$1004,$T632)="","",INDEX('AFA Rates'!$K$5:$K$1004,$T632))))</f>
        <v/>
      </c>
      <c r="N632" s="50">
        <f>IF($T632="","",IF($S632="S",IF(INDEX(Firms!$M$5:$M$1004,$T632)="","",INDEX(Firms!$M$5:$M$1004,$T632)),IF(INDEX('AFA Rates'!$L$5:$L$1004,$T632)="","",INDEX('AFA Rates'!$L$5:$L$1004,$T632))))</f>
        <v/>
      </c>
      <c r="O632" s="78">
        <f>IF(OR($T632="",$U632=""),"",IF(INDEX(Firms!$C$5:$C$1004,$U632)="","",INDEX(Firms!$C$5:$C$1004,$U632)))</f>
        <v/>
      </c>
      <c r="P632" s="79">
        <f>IF(OR($T632="",$U632=""),"",IF(INDEX(Firms!$N$5:$N$1004,$U632)="","",INDEX(Firms!$N$5:$N$1004,$U632)))</f>
        <v/>
      </c>
      <c r="Q632" s="78">
        <f>IF($T632="","",IF($S632="S",IF(INDEX(Firms!$T$5:$T$1004,$T632)="","",INDEX(Firms!$T$5:$T$1004,$T632)),IF(INDEX('AFA Rates'!$M$5:$M$1004,$T632)="","",INDEX('AFA Rates'!$M$5:$M$1004,$T632))))</f>
        <v/>
      </c>
      <c r="S632">
        <f>IF(628&lt;=$S$2,"S",IF(628&lt;=$S$2+$T$2,"A",""))</f>
        <v/>
      </c>
      <c r="T632">
        <f>IF(S632="S",MATCH(628,Firms!$W$5:$W$1004,0),IF(S632="A",IFERROR(MATCH(628-$S$2,'AFA Rates'!$R$5:$R$1004,0),""),""))</f>
        <v/>
      </c>
      <c r="U632">
        <f>IF(S632="S",T632,IF(AND(S632="A",T632&lt;&gt;""),IFERROR(MATCH(INDEX('AFA Rates'!$A$5:$A$1004,T632),Firms!$A$5:$A$1004,0),""),""))</f>
        <v/>
      </c>
    </row>
    <row r="633">
      <c r="A633" s="78">
        <f>IF($T633="","",IF($S633="S",IF(INDEX(Firms!$A$5:$A$1004,$T633)="","",INDEX(Firms!$A$5:$A$1004,$T633)),IF(INDEX('AFA Rates'!$A$5:$A$1004,$T633)="","",INDEX('AFA Rates'!$A$5:$A$1004,$T633))))</f>
        <v/>
      </c>
      <c r="B633" s="79">
        <f>IF(OR($T633="",$U633=""),IF($T633="","","Not on Firms tab"),INDEX(Firms!$B$5:$B$1004,$U633)&amp;"")</f>
        <v/>
      </c>
      <c r="C633" s="78">
        <f>IF($T633="","",IF($S633="S","Standard",INDEX('AFA Rates'!$B$5:$B$1004,$T633)&amp;""))</f>
        <v/>
      </c>
      <c r="D633" s="88">
        <f>IF($T633="","",IF($S633="S",IF(INDEX(Firms!$E$5:$E$1004,$T633)="","",INDEX(Firms!$E$5:$E$1004,$T633)),IF(INDEX('AFA Rates'!$C$5:$C$1004,$T633)="","",INDEX('AFA Rates'!$C$5:$C$1004,$T633))))</f>
        <v/>
      </c>
      <c r="E633" s="88">
        <f>IF($T633="","",IF($S633="S",IF(""="","",""),IF(INDEX('AFA Rates'!$D$5:$D$1004,$T633)="","",INDEX('AFA Rates'!$D$5:$D$1004,$T633))))</f>
        <v/>
      </c>
      <c r="F633" s="79">
        <f>IF($T633="","",IF($S633="S",IF(INDEX(Firms!$O$5:$O$1004,$T633)="","",INDEX(Firms!$O$5:$O$1004,$T633)),IF(INDEX('AFA Rates'!$O$5:$O$1004,$T633)="","",INDEX('AFA Rates'!$O$5:$O$1004,$T633))))</f>
        <v/>
      </c>
      <c r="G633" s="50">
        <f>IF($T633="","",IF($S633="S",IF(INDEX(Firms!$F$5:$F$1004,$T633)="","",INDEX(Firms!$F$5:$F$1004,$T633)),IF(INDEX('AFA Rates'!$E$5:$E$1004,$T633)="","",INDEX('AFA Rates'!$E$5:$E$1004,$T633))))</f>
        <v/>
      </c>
      <c r="H633" s="50">
        <f>IF($T633="","",IF($S633="S",IF(INDEX(Firms!$G$5:$G$1004,$T633)="","",INDEX(Firms!$G$5:$G$1004,$T633)),IF(INDEX('AFA Rates'!$F$5:$F$1004,$T633)="","",INDEX('AFA Rates'!$F$5:$F$1004,$T633))))</f>
        <v/>
      </c>
      <c r="I633" s="50">
        <f>IF($T633="","",IF($S633="S",IF(INDEX(Firms!$H$5:$H$1004,$T633)="","",INDEX(Firms!$H$5:$H$1004,$T633)),IF(INDEX('AFA Rates'!$G$5:$G$1004,$T633)="","",INDEX('AFA Rates'!$G$5:$G$1004,$T633))))</f>
        <v/>
      </c>
      <c r="J633" s="50">
        <f>IF($T633="","",IF($S633="S",IF(INDEX(Firms!$I$5:$I$1004,$T633)="","",INDEX(Firms!$I$5:$I$1004,$T633)),IF(INDEX('AFA Rates'!$H$5:$H$1004,$T633)="","",INDEX('AFA Rates'!$H$5:$H$1004,$T633))))</f>
        <v/>
      </c>
      <c r="K633" s="50">
        <f>IF($T633="","",IF($S633="S",IF(INDEX(Firms!$J$5:$J$1004,$T633)="","",INDEX(Firms!$J$5:$J$1004,$T633)),IF(INDEX('AFA Rates'!$I$5:$I$1004,$T633)="","",INDEX('AFA Rates'!$I$5:$I$1004,$T633))))</f>
        <v/>
      </c>
      <c r="L633" s="50">
        <f>IF($T633="","",IF($S633="S",IF(INDEX(Firms!$K$5:$K$1004,$T633)="","",INDEX(Firms!$K$5:$K$1004,$T633)),IF(INDEX('AFA Rates'!$J$5:$J$1004,$T633)="","",INDEX('AFA Rates'!$J$5:$J$1004,$T633))))</f>
        <v/>
      </c>
      <c r="M633" s="50">
        <f>IF($T633="","",IF($S633="S",IF(INDEX(Firms!$L$5:$L$1004,$T633)="","",INDEX(Firms!$L$5:$L$1004,$T633)),IF(INDEX('AFA Rates'!$K$5:$K$1004,$T633)="","",INDEX('AFA Rates'!$K$5:$K$1004,$T633))))</f>
        <v/>
      </c>
      <c r="N633" s="50">
        <f>IF($T633="","",IF($S633="S",IF(INDEX(Firms!$M$5:$M$1004,$T633)="","",INDEX(Firms!$M$5:$M$1004,$T633)),IF(INDEX('AFA Rates'!$L$5:$L$1004,$T633)="","",INDEX('AFA Rates'!$L$5:$L$1004,$T633))))</f>
        <v/>
      </c>
      <c r="O633" s="78">
        <f>IF(OR($T633="",$U633=""),"",IF(INDEX(Firms!$C$5:$C$1004,$U633)="","",INDEX(Firms!$C$5:$C$1004,$U633)))</f>
        <v/>
      </c>
      <c r="P633" s="79">
        <f>IF(OR($T633="",$U633=""),"",IF(INDEX(Firms!$N$5:$N$1004,$U633)="","",INDEX(Firms!$N$5:$N$1004,$U633)))</f>
        <v/>
      </c>
      <c r="Q633" s="78">
        <f>IF($T633="","",IF($S633="S",IF(INDEX(Firms!$T$5:$T$1004,$T633)="","",INDEX(Firms!$T$5:$T$1004,$T633)),IF(INDEX('AFA Rates'!$M$5:$M$1004,$T633)="","",INDEX('AFA Rates'!$M$5:$M$1004,$T633))))</f>
        <v/>
      </c>
      <c r="S633">
        <f>IF(629&lt;=$S$2,"S",IF(629&lt;=$S$2+$T$2,"A",""))</f>
        <v/>
      </c>
      <c r="T633">
        <f>IF(S633="S",MATCH(629,Firms!$W$5:$W$1004,0),IF(S633="A",IFERROR(MATCH(629-$S$2,'AFA Rates'!$R$5:$R$1004,0),""),""))</f>
        <v/>
      </c>
      <c r="U633">
        <f>IF(S633="S",T633,IF(AND(S633="A",T633&lt;&gt;""),IFERROR(MATCH(INDEX('AFA Rates'!$A$5:$A$1004,T633),Firms!$A$5:$A$1004,0),""),""))</f>
        <v/>
      </c>
    </row>
    <row r="634">
      <c r="A634" s="78">
        <f>IF($T634="","",IF($S634="S",IF(INDEX(Firms!$A$5:$A$1004,$T634)="","",INDEX(Firms!$A$5:$A$1004,$T634)),IF(INDEX('AFA Rates'!$A$5:$A$1004,$T634)="","",INDEX('AFA Rates'!$A$5:$A$1004,$T634))))</f>
        <v/>
      </c>
      <c r="B634" s="79">
        <f>IF(OR($T634="",$U634=""),IF($T634="","","Not on Firms tab"),INDEX(Firms!$B$5:$B$1004,$U634)&amp;"")</f>
        <v/>
      </c>
      <c r="C634" s="78">
        <f>IF($T634="","",IF($S634="S","Standard",INDEX('AFA Rates'!$B$5:$B$1004,$T634)&amp;""))</f>
        <v/>
      </c>
      <c r="D634" s="88">
        <f>IF($T634="","",IF($S634="S",IF(INDEX(Firms!$E$5:$E$1004,$T634)="","",INDEX(Firms!$E$5:$E$1004,$T634)),IF(INDEX('AFA Rates'!$C$5:$C$1004,$T634)="","",INDEX('AFA Rates'!$C$5:$C$1004,$T634))))</f>
        <v/>
      </c>
      <c r="E634" s="88">
        <f>IF($T634="","",IF($S634="S",IF(""="","",""),IF(INDEX('AFA Rates'!$D$5:$D$1004,$T634)="","",INDEX('AFA Rates'!$D$5:$D$1004,$T634))))</f>
        <v/>
      </c>
      <c r="F634" s="79">
        <f>IF($T634="","",IF($S634="S",IF(INDEX(Firms!$O$5:$O$1004,$T634)="","",INDEX(Firms!$O$5:$O$1004,$T634)),IF(INDEX('AFA Rates'!$O$5:$O$1004,$T634)="","",INDEX('AFA Rates'!$O$5:$O$1004,$T634))))</f>
        <v/>
      </c>
      <c r="G634" s="50">
        <f>IF($T634="","",IF($S634="S",IF(INDEX(Firms!$F$5:$F$1004,$T634)="","",INDEX(Firms!$F$5:$F$1004,$T634)),IF(INDEX('AFA Rates'!$E$5:$E$1004,$T634)="","",INDEX('AFA Rates'!$E$5:$E$1004,$T634))))</f>
        <v/>
      </c>
      <c r="H634" s="50">
        <f>IF($T634="","",IF($S634="S",IF(INDEX(Firms!$G$5:$G$1004,$T634)="","",INDEX(Firms!$G$5:$G$1004,$T634)),IF(INDEX('AFA Rates'!$F$5:$F$1004,$T634)="","",INDEX('AFA Rates'!$F$5:$F$1004,$T634))))</f>
        <v/>
      </c>
      <c r="I634" s="50">
        <f>IF($T634="","",IF($S634="S",IF(INDEX(Firms!$H$5:$H$1004,$T634)="","",INDEX(Firms!$H$5:$H$1004,$T634)),IF(INDEX('AFA Rates'!$G$5:$G$1004,$T634)="","",INDEX('AFA Rates'!$G$5:$G$1004,$T634))))</f>
        <v/>
      </c>
      <c r="J634" s="50">
        <f>IF($T634="","",IF($S634="S",IF(INDEX(Firms!$I$5:$I$1004,$T634)="","",INDEX(Firms!$I$5:$I$1004,$T634)),IF(INDEX('AFA Rates'!$H$5:$H$1004,$T634)="","",INDEX('AFA Rates'!$H$5:$H$1004,$T634))))</f>
        <v/>
      </c>
      <c r="K634" s="50">
        <f>IF($T634="","",IF($S634="S",IF(INDEX(Firms!$J$5:$J$1004,$T634)="","",INDEX(Firms!$J$5:$J$1004,$T634)),IF(INDEX('AFA Rates'!$I$5:$I$1004,$T634)="","",INDEX('AFA Rates'!$I$5:$I$1004,$T634))))</f>
        <v/>
      </c>
      <c r="L634" s="50">
        <f>IF($T634="","",IF($S634="S",IF(INDEX(Firms!$K$5:$K$1004,$T634)="","",INDEX(Firms!$K$5:$K$1004,$T634)),IF(INDEX('AFA Rates'!$J$5:$J$1004,$T634)="","",INDEX('AFA Rates'!$J$5:$J$1004,$T634))))</f>
        <v/>
      </c>
      <c r="M634" s="50">
        <f>IF($T634="","",IF($S634="S",IF(INDEX(Firms!$L$5:$L$1004,$T634)="","",INDEX(Firms!$L$5:$L$1004,$T634)),IF(INDEX('AFA Rates'!$K$5:$K$1004,$T634)="","",INDEX('AFA Rates'!$K$5:$K$1004,$T634))))</f>
        <v/>
      </c>
      <c r="N634" s="50">
        <f>IF($T634="","",IF($S634="S",IF(INDEX(Firms!$M$5:$M$1004,$T634)="","",INDEX(Firms!$M$5:$M$1004,$T634)),IF(INDEX('AFA Rates'!$L$5:$L$1004,$T634)="","",INDEX('AFA Rates'!$L$5:$L$1004,$T634))))</f>
        <v/>
      </c>
      <c r="O634" s="78">
        <f>IF(OR($T634="",$U634=""),"",IF(INDEX(Firms!$C$5:$C$1004,$U634)="","",INDEX(Firms!$C$5:$C$1004,$U634)))</f>
        <v/>
      </c>
      <c r="P634" s="79">
        <f>IF(OR($T634="",$U634=""),"",IF(INDEX(Firms!$N$5:$N$1004,$U634)="","",INDEX(Firms!$N$5:$N$1004,$U634)))</f>
        <v/>
      </c>
      <c r="Q634" s="78">
        <f>IF($T634="","",IF($S634="S",IF(INDEX(Firms!$T$5:$T$1004,$T634)="","",INDEX(Firms!$T$5:$T$1004,$T634)),IF(INDEX('AFA Rates'!$M$5:$M$1004,$T634)="","",INDEX('AFA Rates'!$M$5:$M$1004,$T634))))</f>
        <v/>
      </c>
      <c r="S634">
        <f>IF(630&lt;=$S$2,"S",IF(630&lt;=$S$2+$T$2,"A",""))</f>
        <v/>
      </c>
      <c r="T634">
        <f>IF(S634="S",MATCH(630,Firms!$W$5:$W$1004,0),IF(S634="A",IFERROR(MATCH(630-$S$2,'AFA Rates'!$R$5:$R$1004,0),""),""))</f>
        <v/>
      </c>
      <c r="U634">
        <f>IF(S634="S",T634,IF(AND(S634="A",T634&lt;&gt;""),IFERROR(MATCH(INDEX('AFA Rates'!$A$5:$A$1004,T634),Firms!$A$5:$A$1004,0),""),""))</f>
        <v/>
      </c>
    </row>
    <row r="635">
      <c r="A635" s="78">
        <f>IF($T635="","",IF($S635="S",IF(INDEX(Firms!$A$5:$A$1004,$T635)="","",INDEX(Firms!$A$5:$A$1004,$T635)),IF(INDEX('AFA Rates'!$A$5:$A$1004,$T635)="","",INDEX('AFA Rates'!$A$5:$A$1004,$T635))))</f>
        <v/>
      </c>
      <c r="B635" s="79">
        <f>IF(OR($T635="",$U635=""),IF($T635="","","Not on Firms tab"),INDEX(Firms!$B$5:$B$1004,$U635)&amp;"")</f>
        <v/>
      </c>
      <c r="C635" s="78">
        <f>IF($T635="","",IF($S635="S","Standard",INDEX('AFA Rates'!$B$5:$B$1004,$T635)&amp;""))</f>
        <v/>
      </c>
      <c r="D635" s="88">
        <f>IF($T635="","",IF($S635="S",IF(INDEX(Firms!$E$5:$E$1004,$T635)="","",INDEX(Firms!$E$5:$E$1004,$T635)),IF(INDEX('AFA Rates'!$C$5:$C$1004,$T635)="","",INDEX('AFA Rates'!$C$5:$C$1004,$T635))))</f>
        <v/>
      </c>
      <c r="E635" s="88">
        <f>IF($T635="","",IF($S635="S",IF(""="","",""),IF(INDEX('AFA Rates'!$D$5:$D$1004,$T635)="","",INDEX('AFA Rates'!$D$5:$D$1004,$T635))))</f>
        <v/>
      </c>
      <c r="F635" s="79">
        <f>IF($T635="","",IF($S635="S",IF(INDEX(Firms!$O$5:$O$1004,$T635)="","",INDEX(Firms!$O$5:$O$1004,$T635)),IF(INDEX('AFA Rates'!$O$5:$O$1004,$T635)="","",INDEX('AFA Rates'!$O$5:$O$1004,$T635))))</f>
        <v/>
      </c>
      <c r="G635" s="50">
        <f>IF($T635="","",IF($S635="S",IF(INDEX(Firms!$F$5:$F$1004,$T635)="","",INDEX(Firms!$F$5:$F$1004,$T635)),IF(INDEX('AFA Rates'!$E$5:$E$1004,$T635)="","",INDEX('AFA Rates'!$E$5:$E$1004,$T635))))</f>
        <v/>
      </c>
      <c r="H635" s="50">
        <f>IF($T635="","",IF($S635="S",IF(INDEX(Firms!$G$5:$G$1004,$T635)="","",INDEX(Firms!$G$5:$G$1004,$T635)),IF(INDEX('AFA Rates'!$F$5:$F$1004,$T635)="","",INDEX('AFA Rates'!$F$5:$F$1004,$T635))))</f>
        <v/>
      </c>
      <c r="I635" s="50">
        <f>IF($T635="","",IF($S635="S",IF(INDEX(Firms!$H$5:$H$1004,$T635)="","",INDEX(Firms!$H$5:$H$1004,$T635)),IF(INDEX('AFA Rates'!$G$5:$G$1004,$T635)="","",INDEX('AFA Rates'!$G$5:$G$1004,$T635))))</f>
        <v/>
      </c>
      <c r="J635" s="50">
        <f>IF($T635="","",IF($S635="S",IF(INDEX(Firms!$I$5:$I$1004,$T635)="","",INDEX(Firms!$I$5:$I$1004,$T635)),IF(INDEX('AFA Rates'!$H$5:$H$1004,$T635)="","",INDEX('AFA Rates'!$H$5:$H$1004,$T635))))</f>
        <v/>
      </c>
      <c r="K635" s="50">
        <f>IF($T635="","",IF($S635="S",IF(INDEX(Firms!$J$5:$J$1004,$T635)="","",INDEX(Firms!$J$5:$J$1004,$T635)),IF(INDEX('AFA Rates'!$I$5:$I$1004,$T635)="","",INDEX('AFA Rates'!$I$5:$I$1004,$T635))))</f>
        <v/>
      </c>
      <c r="L635" s="50">
        <f>IF($T635="","",IF($S635="S",IF(INDEX(Firms!$K$5:$K$1004,$T635)="","",INDEX(Firms!$K$5:$K$1004,$T635)),IF(INDEX('AFA Rates'!$J$5:$J$1004,$T635)="","",INDEX('AFA Rates'!$J$5:$J$1004,$T635))))</f>
        <v/>
      </c>
      <c r="M635" s="50">
        <f>IF($T635="","",IF($S635="S",IF(INDEX(Firms!$L$5:$L$1004,$T635)="","",INDEX(Firms!$L$5:$L$1004,$T635)),IF(INDEX('AFA Rates'!$K$5:$K$1004,$T635)="","",INDEX('AFA Rates'!$K$5:$K$1004,$T635))))</f>
        <v/>
      </c>
      <c r="N635" s="50">
        <f>IF($T635="","",IF($S635="S",IF(INDEX(Firms!$M$5:$M$1004,$T635)="","",INDEX(Firms!$M$5:$M$1004,$T635)),IF(INDEX('AFA Rates'!$L$5:$L$1004,$T635)="","",INDEX('AFA Rates'!$L$5:$L$1004,$T635))))</f>
        <v/>
      </c>
      <c r="O635" s="78">
        <f>IF(OR($T635="",$U635=""),"",IF(INDEX(Firms!$C$5:$C$1004,$U635)="","",INDEX(Firms!$C$5:$C$1004,$U635)))</f>
        <v/>
      </c>
      <c r="P635" s="79">
        <f>IF(OR($T635="",$U635=""),"",IF(INDEX(Firms!$N$5:$N$1004,$U635)="","",INDEX(Firms!$N$5:$N$1004,$U635)))</f>
        <v/>
      </c>
      <c r="Q635" s="78">
        <f>IF($T635="","",IF($S635="S",IF(INDEX(Firms!$T$5:$T$1004,$T635)="","",INDEX(Firms!$T$5:$T$1004,$T635)),IF(INDEX('AFA Rates'!$M$5:$M$1004,$T635)="","",INDEX('AFA Rates'!$M$5:$M$1004,$T635))))</f>
        <v/>
      </c>
      <c r="S635">
        <f>IF(631&lt;=$S$2,"S",IF(631&lt;=$S$2+$T$2,"A",""))</f>
        <v/>
      </c>
      <c r="T635">
        <f>IF(S635="S",MATCH(631,Firms!$W$5:$W$1004,0),IF(S635="A",IFERROR(MATCH(631-$S$2,'AFA Rates'!$R$5:$R$1004,0),""),""))</f>
        <v/>
      </c>
      <c r="U635">
        <f>IF(S635="S",T635,IF(AND(S635="A",T635&lt;&gt;""),IFERROR(MATCH(INDEX('AFA Rates'!$A$5:$A$1004,T635),Firms!$A$5:$A$1004,0),""),""))</f>
        <v/>
      </c>
    </row>
    <row r="636">
      <c r="A636" s="78">
        <f>IF($T636="","",IF($S636="S",IF(INDEX(Firms!$A$5:$A$1004,$T636)="","",INDEX(Firms!$A$5:$A$1004,$T636)),IF(INDEX('AFA Rates'!$A$5:$A$1004,$T636)="","",INDEX('AFA Rates'!$A$5:$A$1004,$T636))))</f>
        <v/>
      </c>
      <c r="B636" s="79">
        <f>IF(OR($T636="",$U636=""),IF($T636="","","Not on Firms tab"),INDEX(Firms!$B$5:$B$1004,$U636)&amp;"")</f>
        <v/>
      </c>
      <c r="C636" s="78">
        <f>IF($T636="","",IF($S636="S","Standard",INDEX('AFA Rates'!$B$5:$B$1004,$T636)&amp;""))</f>
        <v/>
      </c>
      <c r="D636" s="88">
        <f>IF($T636="","",IF($S636="S",IF(INDEX(Firms!$E$5:$E$1004,$T636)="","",INDEX(Firms!$E$5:$E$1004,$T636)),IF(INDEX('AFA Rates'!$C$5:$C$1004,$T636)="","",INDEX('AFA Rates'!$C$5:$C$1004,$T636))))</f>
        <v/>
      </c>
      <c r="E636" s="88">
        <f>IF($T636="","",IF($S636="S",IF(""="","",""),IF(INDEX('AFA Rates'!$D$5:$D$1004,$T636)="","",INDEX('AFA Rates'!$D$5:$D$1004,$T636))))</f>
        <v/>
      </c>
      <c r="F636" s="79">
        <f>IF($T636="","",IF($S636="S",IF(INDEX(Firms!$O$5:$O$1004,$T636)="","",INDEX(Firms!$O$5:$O$1004,$T636)),IF(INDEX('AFA Rates'!$O$5:$O$1004,$T636)="","",INDEX('AFA Rates'!$O$5:$O$1004,$T636))))</f>
        <v/>
      </c>
      <c r="G636" s="50">
        <f>IF($T636="","",IF($S636="S",IF(INDEX(Firms!$F$5:$F$1004,$T636)="","",INDEX(Firms!$F$5:$F$1004,$T636)),IF(INDEX('AFA Rates'!$E$5:$E$1004,$T636)="","",INDEX('AFA Rates'!$E$5:$E$1004,$T636))))</f>
        <v/>
      </c>
      <c r="H636" s="50">
        <f>IF($T636="","",IF($S636="S",IF(INDEX(Firms!$G$5:$G$1004,$T636)="","",INDEX(Firms!$G$5:$G$1004,$T636)),IF(INDEX('AFA Rates'!$F$5:$F$1004,$T636)="","",INDEX('AFA Rates'!$F$5:$F$1004,$T636))))</f>
        <v/>
      </c>
      <c r="I636" s="50">
        <f>IF($T636="","",IF($S636="S",IF(INDEX(Firms!$H$5:$H$1004,$T636)="","",INDEX(Firms!$H$5:$H$1004,$T636)),IF(INDEX('AFA Rates'!$G$5:$G$1004,$T636)="","",INDEX('AFA Rates'!$G$5:$G$1004,$T636))))</f>
        <v/>
      </c>
      <c r="J636" s="50">
        <f>IF($T636="","",IF($S636="S",IF(INDEX(Firms!$I$5:$I$1004,$T636)="","",INDEX(Firms!$I$5:$I$1004,$T636)),IF(INDEX('AFA Rates'!$H$5:$H$1004,$T636)="","",INDEX('AFA Rates'!$H$5:$H$1004,$T636))))</f>
        <v/>
      </c>
      <c r="K636" s="50">
        <f>IF($T636="","",IF($S636="S",IF(INDEX(Firms!$J$5:$J$1004,$T636)="","",INDEX(Firms!$J$5:$J$1004,$T636)),IF(INDEX('AFA Rates'!$I$5:$I$1004,$T636)="","",INDEX('AFA Rates'!$I$5:$I$1004,$T636))))</f>
        <v/>
      </c>
      <c r="L636" s="50">
        <f>IF($T636="","",IF($S636="S",IF(INDEX(Firms!$K$5:$K$1004,$T636)="","",INDEX(Firms!$K$5:$K$1004,$T636)),IF(INDEX('AFA Rates'!$J$5:$J$1004,$T636)="","",INDEX('AFA Rates'!$J$5:$J$1004,$T636))))</f>
        <v/>
      </c>
      <c r="M636" s="50">
        <f>IF($T636="","",IF($S636="S",IF(INDEX(Firms!$L$5:$L$1004,$T636)="","",INDEX(Firms!$L$5:$L$1004,$T636)),IF(INDEX('AFA Rates'!$K$5:$K$1004,$T636)="","",INDEX('AFA Rates'!$K$5:$K$1004,$T636))))</f>
        <v/>
      </c>
      <c r="N636" s="50">
        <f>IF($T636="","",IF($S636="S",IF(INDEX(Firms!$M$5:$M$1004,$T636)="","",INDEX(Firms!$M$5:$M$1004,$T636)),IF(INDEX('AFA Rates'!$L$5:$L$1004,$T636)="","",INDEX('AFA Rates'!$L$5:$L$1004,$T636))))</f>
        <v/>
      </c>
      <c r="O636" s="78">
        <f>IF(OR($T636="",$U636=""),"",IF(INDEX(Firms!$C$5:$C$1004,$U636)="","",INDEX(Firms!$C$5:$C$1004,$U636)))</f>
        <v/>
      </c>
      <c r="P636" s="79">
        <f>IF(OR($T636="",$U636=""),"",IF(INDEX(Firms!$N$5:$N$1004,$U636)="","",INDEX(Firms!$N$5:$N$1004,$U636)))</f>
        <v/>
      </c>
      <c r="Q636" s="78">
        <f>IF($T636="","",IF($S636="S",IF(INDEX(Firms!$T$5:$T$1004,$T636)="","",INDEX(Firms!$T$5:$T$1004,$T636)),IF(INDEX('AFA Rates'!$M$5:$M$1004,$T636)="","",INDEX('AFA Rates'!$M$5:$M$1004,$T636))))</f>
        <v/>
      </c>
      <c r="S636">
        <f>IF(632&lt;=$S$2,"S",IF(632&lt;=$S$2+$T$2,"A",""))</f>
        <v/>
      </c>
      <c r="T636">
        <f>IF(S636="S",MATCH(632,Firms!$W$5:$W$1004,0),IF(S636="A",IFERROR(MATCH(632-$S$2,'AFA Rates'!$R$5:$R$1004,0),""),""))</f>
        <v/>
      </c>
      <c r="U636">
        <f>IF(S636="S",T636,IF(AND(S636="A",T636&lt;&gt;""),IFERROR(MATCH(INDEX('AFA Rates'!$A$5:$A$1004,T636),Firms!$A$5:$A$1004,0),""),""))</f>
        <v/>
      </c>
    </row>
    <row r="637">
      <c r="A637" s="78">
        <f>IF($T637="","",IF($S637="S",IF(INDEX(Firms!$A$5:$A$1004,$T637)="","",INDEX(Firms!$A$5:$A$1004,$T637)),IF(INDEX('AFA Rates'!$A$5:$A$1004,$T637)="","",INDEX('AFA Rates'!$A$5:$A$1004,$T637))))</f>
        <v/>
      </c>
      <c r="B637" s="79">
        <f>IF(OR($T637="",$U637=""),IF($T637="","","Not on Firms tab"),INDEX(Firms!$B$5:$B$1004,$U637)&amp;"")</f>
        <v/>
      </c>
      <c r="C637" s="78">
        <f>IF($T637="","",IF($S637="S","Standard",INDEX('AFA Rates'!$B$5:$B$1004,$T637)&amp;""))</f>
        <v/>
      </c>
      <c r="D637" s="88">
        <f>IF($T637="","",IF($S637="S",IF(INDEX(Firms!$E$5:$E$1004,$T637)="","",INDEX(Firms!$E$5:$E$1004,$T637)),IF(INDEX('AFA Rates'!$C$5:$C$1004,$T637)="","",INDEX('AFA Rates'!$C$5:$C$1004,$T637))))</f>
        <v/>
      </c>
      <c r="E637" s="88">
        <f>IF($T637="","",IF($S637="S",IF(""="","",""),IF(INDEX('AFA Rates'!$D$5:$D$1004,$T637)="","",INDEX('AFA Rates'!$D$5:$D$1004,$T637))))</f>
        <v/>
      </c>
      <c r="F637" s="79">
        <f>IF($T637="","",IF($S637="S",IF(INDEX(Firms!$O$5:$O$1004,$T637)="","",INDEX(Firms!$O$5:$O$1004,$T637)),IF(INDEX('AFA Rates'!$O$5:$O$1004,$T637)="","",INDEX('AFA Rates'!$O$5:$O$1004,$T637))))</f>
        <v/>
      </c>
      <c r="G637" s="50">
        <f>IF($T637="","",IF($S637="S",IF(INDEX(Firms!$F$5:$F$1004,$T637)="","",INDEX(Firms!$F$5:$F$1004,$T637)),IF(INDEX('AFA Rates'!$E$5:$E$1004,$T637)="","",INDEX('AFA Rates'!$E$5:$E$1004,$T637))))</f>
        <v/>
      </c>
      <c r="H637" s="50">
        <f>IF($T637="","",IF($S637="S",IF(INDEX(Firms!$G$5:$G$1004,$T637)="","",INDEX(Firms!$G$5:$G$1004,$T637)),IF(INDEX('AFA Rates'!$F$5:$F$1004,$T637)="","",INDEX('AFA Rates'!$F$5:$F$1004,$T637))))</f>
        <v/>
      </c>
      <c r="I637" s="50">
        <f>IF($T637="","",IF($S637="S",IF(INDEX(Firms!$H$5:$H$1004,$T637)="","",INDEX(Firms!$H$5:$H$1004,$T637)),IF(INDEX('AFA Rates'!$G$5:$G$1004,$T637)="","",INDEX('AFA Rates'!$G$5:$G$1004,$T637))))</f>
        <v/>
      </c>
      <c r="J637" s="50">
        <f>IF($T637="","",IF($S637="S",IF(INDEX(Firms!$I$5:$I$1004,$T637)="","",INDEX(Firms!$I$5:$I$1004,$T637)),IF(INDEX('AFA Rates'!$H$5:$H$1004,$T637)="","",INDEX('AFA Rates'!$H$5:$H$1004,$T637))))</f>
        <v/>
      </c>
      <c r="K637" s="50">
        <f>IF($T637="","",IF($S637="S",IF(INDEX(Firms!$J$5:$J$1004,$T637)="","",INDEX(Firms!$J$5:$J$1004,$T637)),IF(INDEX('AFA Rates'!$I$5:$I$1004,$T637)="","",INDEX('AFA Rates'!$I$5:$I$1004,$T637))))</f>
        <v/>
      </c>
      <c r="L637" s="50">
        <f>IF($T637="","",IF($S637="S",IF(INDEX(Firms!$K$5:$K$1004,$T637)="","",INDEX(Firms!$K$5:$K$1004,$T637)),IF(INDEX('AFA Rates'!$J$5:$J$1004,$T637)="","",INDEX('AFA Rates'!$J$5:$J$1004,$T637))))</f>
        <v/>
      </c>
      <c r="M637" s="50">
        <f>IF($T637="","",IF($S637="S",IF(INDEX(Firms!$L$5:$L$1004,$T637)="","",INDEX(Firms!$L$5:$L$1004,$T637)),IF(INDEX('AFA Rates'!$K$5:$K$1004,$T637)="","",INDEX('AFA Rates'!$K$5:$K$1004,$T637))))</f>
        <v/>
      </c>
      <c r="N637" s="50">
        <f>IF($T637="","",IF($S637="S",IF(INDEX(Firms!$M$5:$M$1004,$T637)="","",INDEX(Firms!$M$5:$M$1004,$T637)),IF(INDEX('AFA Rates'!$L$5:$L$1004,$T637)="","",INDEX('AFA Rates'!$L$5:$L$1004,$T637))))</f>
        <v/>
      </c>
      <c r="O637" s="78">
        <f>IF(OR($T637="",$U637=""),"",IF(INDEX(Firms!$C$5:$C$1004,$U637)="","",INDEX(Firms!$C$5:$C$1004,$U637)))</f>
        <v/>
      </c>
      <c r="P637" s="79">
        <f>IF(OR($T637="",$U637=""),"",IF(INDEX(Firms!$N$5:$N$1004,$U637)="","",INDEX(Firms!$N$5:$N$1004,$U637)))</f>
        <v/>
      </c>
      <c r="Q637" s="78">
        <f>IF($T637="","",IF($S637="S",IF(INDEX(Firms!$T$5:$T$1004,$T637)="","",INDEX(Firms!$T$5:$T$1004,$T637)),IF(INDEX('AFA Rates'!$M$5:$M$1004,$T637)="","",INDEX('AFA Rates'!$M$5:$M$1004,$T637))))</f>
        <v/>
      </c>
      <c r="S637">
        <f>IF(633&lt;=$S$2,"S",IF(633&lt;=$S$2+$T$2,"A",""))</f>
        <v/>
      </c>
      <c r="T637">
        <f>IF(S637="S",MATCH(633,Firms!$W$5:$W$1004,0),IF(S637="A",IFERROR(MATCH(633-$S$2,'AFA Rates'!$R$5:$R$1004,0),""),""))</f>
        <v/>
      </c>
      <c r="U637">
        <f>IF(S637="S",T637,IF(AND(S637="A",T637&lt;&gt;""),IFERROR(MATCH(INDEX('AFA Rates'!$A$5:$A$1004,T637),Firms!$A$5:$A$1004,0),""),""))</f>
        <v/>
      </c>
    </row>
    <row r="638">
      <c r="A638" s="78">
        <f>IF($T638="","",IF($S638="S",IF(INDEX(Firms!$A$5:$A$1004,$T638)="","",INDEX(Firms!$A$5:$A$1004,$T638)),IF(INDEX('AFA Rates'!$A$5:$A$1004,$T638)="","",INDEX('AFA Rates'!$A$5:$A$1004,$T638))))</f>
        <v/>
      </c>
      <c r="B638" s="79">
        <f>IF(OR($T638="",$U638=""),IF($T638="","","Not on Firms tab"),INDEX(Firms!$B$5:$B$1004,$U638)&amp;"")</f>
        <v/>
      </c>
      <c r="C638" s="78">
        <f>IF($T638="","",IF($S638="S","Standard",INDEX('AFA Rates'!$B$5:$B$1004,$T638)&amp;""))</f>
        <v/>
      </c>
      <c r="D638" s="88">
        <f>IF($T638="","",IF($S638="S",IF(INDEX(Firms!$E$5:$E$1004,$T638)="","",INDEX(Firms!$E$5:$E$1004,$T638)),IF(INDEX('AFA Rates'!$C$5:$C$1004,$T638)="","",INDEX('AFA Rates'!$C$5:$C$1004,$T638))))</f>
        <v/>
      </c>
      <c r="E638" s="88">
        <f>IF($T638="","",IF($S638="S",IF(""="","",""),IF(INDEX('AFA Rates'!$D$5:$D$1004,$T638)="","",INDEX('AFA Rates'!$D$5:$D$1004,$T638))))</f>
        <v/>
      </c>
      <c r="F638" s="79">
        <f>IF($T638="","",IF($S638="S",IF(INDEX(Firms!$O$5:$O$1004,$T638)="","",INDEX(Firms!$O$5:$O$1004,$T638)),IF(INDEX('AFA Rates'!$O$5:$O$1004,$T638)="","",INDEX('AFA Rates'!$O$5:$O$1004,$T638))))</f>
        <v/>
      </c>
      <c r="G638" s="50">
        <f>IF($T638="","",IF($S638="S",IF(INDEX(Firms!$F$5:$F$1004,$T638)="","",INDEX(Firms!$F$5:$F$1004,$T638)),IF(INDEX('AFA Rates'!$E$5:$E$1004,$T638)="","",INDEX('AFA Rates'!$E$5:$E$1004,$T638))))</f>
        <v/>
      </c>
      <c r="H638" s="50">
        <f>IF($T638="","",IF($S638="S",IF(INDEX(Firms!$G$5:$G$1004,$T638)="","",INDEX(Firms!$G$5:$G$1004,$T638)),IF(INDEX('AFA Rates'!$F$5:$F$1004,$T638)="","",INDEX('AFA Rates'!$F$5:$F$1004,$T638))))</f>
        <v/>
      </c>
      <c r="I638" s="50">
        <f>IF($T638="","",IF($S638="S",IF(INDEX(Firms!$H$5:$H$1004,$T638)="","",INDEX(Firms!$H$5:$H$1004,$T638)),IF(INDEX('AFA Rates'!$G$5:$G$1004,$T638)="","",INDEX('AFA Rates'!$G$5:$G$1004,$T638))))</f>
        <v/>
      </c>
      <c r="J638" s="50">
        <f>IF($T638="","",IF($S638="S",IF(INDEX(Firms!$I$5:$I$1004,$T638)="","",INDEX(Firms!$I$5:$I$1004,$T638)),IF(INDEX('AFA Rates'!$H$5:$H$1004,$T638)="","",INDEX('AFA Rates'!$H$5:$H$1004,$T638))))</f>
        <v/>
      </c>
      <c r="K638" s="50">
        <f>IF($T638="","",IF($S638="S",IF(INDEX(Firms!$J$5:$J$1004,$T638)="","",INDEX(Firms!$J$5:$J$1004,$T638)),IF(INDEX('AFA Rates'!$I$5:$I$1004,$T638)="","",INDEX('AFA Rates'!$I$5:$I$1004,$T638))))</f>
        <v/>
      </c>
      <c r="L638" s="50">
        <f>IF($T638="","",IF($S638="S",IF(INDEX(Firms!$K$5:$K$1004,$T638)="","",INDEX(Firms!$K$5:$K$1004,$T638)),IF(INDEX('AFA Rates'!$J$5:$J$1004,$T638)="","",INDEX('AFA Rates'!$J$5:$J$1004,$T638))))</f>
        <v/>
      </c>
      <c r="M638" s="50">
        <f>IF($T638="","",IF($S638="S",IF(INDEX(Firms!$L$5:$L$1004,$T638)="","",INDEX(Firms!$L$5:$L$1004,$T638)),IF(INDEX('AFA Rates'!$K$5:$K$1004,$T638)="","",INDEX('AFA Rates'!$K$5:$K$1004,$T638))))</f>
        <v/>
      </c>
      <c r="N638" s="50">
        <f>IF($T638="","",IF($S638="S",IF(INDEX(Firms!$M$5:$M$1004,$T638)="","",INDEX(Firms!$M$5:$M$1004,$T638)),IF(INDEX('AFA Rates'!$L$5:$L$1004,$T638)="","",INDEX('AFA Rates'!$L$5:$L$1004,$T638))))</f>
        <v/>
      </c>
      <c r="O638" s="78">
        <f>IF(OR($T638="",$U638=""),"",IF(INDEX(Firms!$C$5:$C$1004,$U638)="","",INDEX(Firms!$C$5:$C$1004,$U638)))</f>
        <v/>
      </c>
      <c r="P638" s="79">
        <f>IF(OR($T638="",$U638=""),"",IF(INDEX(Firms!$N$5:$N$1004,$U638)="","",INDEX(Firms!$N$5:$N$1004,$U638)))</f>
        <v/>
      </c>
      <c r="Q638" s="78">
        <f>IF($T638="","",IF($S638="S",IF(INDEX(Firms!$T$5:$T$1004,$T638)="","",INDEX(Firms!$T$5:$T$1004,$T638)),IF(INDEX('AFA Rates'!$M$5:$M$1004,$T638)="","",INDEX('AFA Rates'!$M$5:$M$1004,$T638))))</f>
        <v/>
      </c>
      <c r="S638">
        <f>IF(634&lt;=$S$2,"S",IF(634&lt;=$S$2+$T$2,"A",""))</f>
        <v/>
      </c>
      <c r="T638">
        <f>IF(S638="S",MATCH(634,Firms!$W$5:$W$1004,0),IF(S638="A",IFERROR(MATCH(634-$S$2,'AFA Rates'!$R$5:$R$1004,0),""),""))</f>
        <v/>
      </c>
      <c r="U638">
        <f>IF(S638="S",T638,IF(AND(S638="A",T638&lt;&gt;""),IFERROR(MATCH(INDEX('AFA Rates'!$A$5:$A$1004,T638),Firms!$A$5:$A$1004,0),""),""))</f>
        <v/>
      </c>
    </row>
    <row r="639">
      <c r="A639" s="78">
        <f>IF($T639="","",IF($S639="S",IF(INDEX(Firms!$A$5:$A$1004,$T639)="","",INDEX(Firms!$A$5:$A$1004,$T639)),IF(INDEX('AFA Rates'!$A$5:$A$1004,$T639)="","",INDEX('AFA Rates'!$A$5:$A$1004,$T639))))</f>
        <v/>
      </c>
      <c r="B639" s="79">
        <f>IF(OR($T639="",$U639=""),IF($T639="","","Not on Firms tab"),INDEX(Firms!$B$5:$B$1004,$U639)&amp;"")</f>
        <v/>
      </c>
      <c r="C639" s="78">
        <f>IF($T639="","",IF($S639="S","Standard",INDEX('AFA Rates'!$B$5:$B$1004,$T639)&amp;""))</f>
        <v/>
      </c>
      <c r="D639" s="88">
        <f>IF($T639="","",IF($S639="S",IF(INDEX(Firms!$E$5:$E$1004,$T639)="","",INDEX(Firms!$E$5:$E$1004,$T639)),IF(INDEX('AFA Rates'!$C$5:$C$1004,$T639)="","",INDEX('AFA Rates'!$C$5:$C$1004,$T639))))</f>
        <v/>
      </c>
      <c r="E639" s="88">
        <f>IF($T639="","",IF($S639="S",IF(""="","",""),IF(INDEX('AFA Rates'!$D$5:$D$1004,$T639)="","",INDEX('AFA Rates'!$D$5:$D$1004,$T639))))</f>
        <v/>
      </c>
      <c r="F639" s="79">
        <f>IF($T639="","",IF($S639="S",IF(INDEX(Firms!$O$5:$O$1004,$T639)="","",INDEX(Firms!$O$5:$O$1004,$T639)),IF(INDEX('AFA Rates'!$O$5:$O$1004,$T639)="","",INDEX('AFA Rates'!$O$5:$O$1004,$T639))))</f>
        <v/>
      </c>
      <c r="G639" s="50">
        <f>IF($T639="","",IF($S639="S",IF(INDEX(Firms!$F$5:$F$1004,$T639)="","",INDEX(Firms!$F$5:$F$1004,$T639)),IF(INDEX('AFA Rates'!$E$5:$E$1004,$T639)="","",INDEX('AFA Rates'!$E$5:$E$1004,$T639))))</f>
        <v/>
      </c>
      <c r="H639" s="50">
        <f>IF($T639="","",IF($S639="S",IF(INDEX(Firms!$G$5:$G$1004,$T639)="","",INDEX(Firms!$G$5:$G$1004,$T639)),IF(INDEX('AFA Rates'!$F$5:$F$1004,$T639)="","",INDEX('AFA Rates'!$F$5:$F$1004,$T639))))</f>
        <v/>
      </c>
      <c r="I639" s="50">
        <f>IF($T639="","",IF($S639="S",IF(INDEX(Firms!$H$5:$H$1004,$T639)="","",INDEX(Firms!$H$5:$H$1004,$T639)),IF(INDEX('AFA Rates'!$G$5:$G$1004,$T639)="","",INDEX('AFA Rates'!$G$5:$G$1004,$T639))))</f>
        <v/>
      </c>
      <c r="J639" s="50">
        <f>IF($T639="","",IF($S639="S",IF(INDEX(Firms!$I$5:$I$1004,$T639)="","",INDEX(Firms!$I$5:$I$1004,$T639)),IF(INDEX('AFA Rates'!$H$5:$H$1004,$T639)="","",INDEX('AFA Rates'!$H$5:$H$1004,$T639))))</f>
        <v/>
      </c>
      <c r="K639" s="50">
        <f>IF($T639="","",IF($S639="S",IF(INDEX(Firms!$J$5:$J$1004,$T639)="","",INDEX(Firms!$J$5:$J$1004,$T639)),IF(INDEX('AFA Rates'!$I$5:$I$1004,$T639)="","",INDEX('AFA Rates'!$I$5:$I$1004,$T639))))</f>
        <v/>
      </c>
      <c r="L639" s="50">
        <f>IF($T639="","",IF($S639="S",IF(INDEX(Firms!$K$5:$K$1004,$T639)="","",INDEX(Firms!$K$5:$K$1004,$T639)),IF(INDEX('AFA Rates'!$J$5:$J$1004,$T639)="","",INDEX('AFA Rates'!$J$5:$J$1004,$T639))))</f>
        <v/>
      </c>
      <c r="M639" s="50">
        <f>IF($T639="","",IF($S639="S",IF(INDEX(Firms!$L$5:$L$1004,$T639)="","",INDEX(Firms!$L$5:$L$1004,$T639)),IF(INDEX('AFA Rates'!$K$5:$K$1004,$T639)="","",INDEX('AFA Rates'!$K$5:$K$1004,$T639))))</f>
        <v/>
      </c>
      <c r="N639" s="50">
        <f>IF($T639="","",IF($S639="S",IF(INDEX(Firms!$M$5:$M$1004,$T639)="","",INDEX(Firms!$M$5:$M$1004,$T639)),IF(INDEX('AFA Rates'!$L$5:$L$1004,$T639)="","",INDEX('AFA Rates'!$L$5:$L$1004,$T639))))</f>
        <v/>
      </c>
      <c r="O639" s="78">
        <f>IF(OR($T639="",$U639=""),"",IF(INDEX(Firms!$C$5:$C$1004,$U639)="","",INDEX(Firms!$C$5:$C$1004,$U639)))</f>
        <v/>
      </c>
      <c r="P639" s="79">
        <f>IF(OR($T639="",$U639=""),"",IF(INDEX(Firms!$N$5:$N$1004,$U639)="","",INDEX(Firms!$N$5:$N$1004,$U639)))</f>
        <v/>
      </c>
      <c r="Q639" s="78">
        <f>IF($T639="","",IF($S639="S",IF(INDEX(Firms!$T$5:$T$1004,$T639)="","",INDEX(Firms!$T$5:$T$1004,$T639)),IF(INDEX('AFA Rates'!$M$5:$M$1004,$T639)="","",INDEX('AFA Rates'!$M$5:$M$1004,$T639))))</f>
        <v/>
      </c>
      <c r="S639">
        <f>IF(635&lt;=$S$2,"S",IF(635&lt;=$S$2+$T$2,"A",""))</f>
        <v/>
      </c>
      <c r="T639">
        <f>IF(S639="S",MATCH(635,Firms!$W$5:$W$1004,0),IF(S639="A",IFERROR(MATCH(635-$S$2,'AFA Rates'!$R$5:$R$1004,0),""),""))</f>
        <v/>
      </c>
      <c r="U639">
        <f>IF(S639="S",T639,IF(AND(S639="A",T639&lt;&gt;""),IFERROR(MATCH(INDEX('AFA Rates'!$A$5:$A$1004,T639),Firms!$A$5:$A$1004,0),""),""))</f>
        <v/>
      </c>
    </row>
    <row r="640">
      <c r="A640" s="78">
        <f>IF($T640="","",IF($S640="S",IF(INDEX(Firms!$A$5:$A$1004,$T640)="","",INDEX(Firms!$A$5:$A$1004,$T640)),IF(INDEX('AFA Rates'!$A$5:$A$1004,$T640)="","",INDEX('AFA Rates'!$A$5:$A$1004,$T640))))</f>
        <v/>
      </c>
      <c r="B640" s="79">
        <f>IF(OR($T640="",$U640=""),IF($T640="","","Not on Firms tab"),INDEX(Firms!$B$5:$B$1004,$U640)&amp;"")</f>
        <v/>
      </c>
      <c r="C640" s="78">
        <f>IF($T640="","",IF($S640="S","Standard",INDEX('AFA Rates'!$B$5:$B$1004,$T640)&amp;""))</f>
        <v/>
      </c>
      <c r="D640" s="88">
        <f>IF($T640="","",IF($S640="S",IF(INDEX(Firms!$E$5:$E$1004,$T640)="","",INDEX(Firms!$E$5:$E$1004,$T640)),IF(INDEX('AFA Rates'!$C$5:$C$1004,$T640)="","",INDEX('AFA Rates'!$C$5:$C$1004,$T640))))</f>
        <v/>
      </c>
      <c r="E640" s="88">
        <f>IF($T640="","",IF($S640="S",IF(""="","",""),IF(INDEX('AFA Rates'!$D$5:$D$1004,$T640)="","",INDEX('AFA Rates'!$D$5:$D$1004,$T640))))</f>
        <v/>
      </c>
      <c r="F640" s="79">
        <f>IF($T640="","",IF($S640="S",IF(INDEX(Firms!$O$5:$O$1004,$T640)="","",INDEX(Firms!$O$5:$O$1004,$T640)),IF(INDEX('AFA Rates'!$O$5:$O$1004,$T640)="","",INDEX('AFA Rates'!$O$5:$O$1004,$T640))))</f>
        <v/>
      </c>
      <c r="G640" s="50">
        <f>IF($T640="","",IF($S640="S",IF(INDEX(Firms!$F$5:$F$1004,$T640)="","",INDEX(Firms!$F$5:$F$1004,$T640)),IF(INDEX('AFA Rates'!$E$5:$E$1004,$T640)="","",INDEX('AFA Rates'!$E$5:$E$1004,$T640))))</f>
        <v/>
      </c>
      <c r="H640" s="50">
        <f>IF($T640="","",IF($S640="S",IF(INDEX(Firms!$G$5:$G$1004,$T640)="","",INDEX(Firms!$G$5:$G$1004,$T640)),IF(INDEX('AFA Rates'!$F$5:$F$1004,$T640)="","",INDEX('AFA Rates'!$F$5:$F$1004,$T640))))</f>
        <v/>
      </c>
      <c r="I640" s="50">
        <f>IF($T640="","",IF($S640="S",IF(INDEX(Firms!$H$5:$H$1004,$T640)="","",INDEX(Firms!$H$5:$H$1004,$T640)),IF(INDEX('AFA Rates'!$G$5:$G$1004,$T640)="","",INDEX('AFA Rates'!$G$5:$G$1004,$T640))))</f>
        <v/>
      </c>
      <c r="J640" s="50">
        <f>IF($T640="","",IF($S640="S",IF(INDEX(Firms!$I$5:$I$1004,$T640)="","",INDEX(Firms!$I$5:$I$1004,$T640)),IF(INDEX('AFA Rates'!$H$5:$H$1004,$T640)="","",INDEX('AFA Rates'!$H$5:$H$1004,$T640))))</f>
        <v/>
      </c>
      <c r="K640" s="50">
        <f>IF($T640="","",IF($S640="S",IF(INDEX(Firms!$J$5:$J$1004,$T640)="","",INDEX(Firms!$J$5:$J$1004,$T640)),IF(INDEX('AFA Rates'!$I$5:$I$1004,$T640)="","",INDEX('AFA Rates'!$I$5:$I$1004,$T640))))</f>
        <v/>
      </c>
      <c r="L640" s="50">
        <f>IF($T640="","",IF($S640="S",IF(INDEX(Firms!$K$5:$K$1004,$T640)="","",INDEX(Firms!$K$5:$K$1004,$T640)),IF(INDEX('AFA Rates'!$J$5:$J$1004,$T640)="","",INDEX('AFA Rates'!$J$5:$J$1004,$T640))))</f>
        <v/>
      </c>
      <c r="M640" s="50">
        <f>IF($T640="","",IF($S640="S",IF(INDEX(Firms!$L$5:$L$1004,$T640)="","",INDEX(Firms!$L$5:$L$1004,$T640)),IF(INDEX('AFA Rates'!$K$5:$K$1004,$T640)="","",INDEX('AFA Rates'!$K$5:$K$1004,$T640))))</f>
        <v/>
      </c>
      <c r="N640" s="50">
        <f>IF($T640="","",IF($S640="S",IF(INDEX(Firms!$M$5:$M$1004,$T640)="","",INDEX(Firms!$M$5:$M$1004,$T640)),IF(INDEX('AFA Rates'!$L$5:$L$1004,$T640)="","",INDEX('AFA Rates'!$L$5:$L$1004,$T640))))</f>
        <v/>
      </c>
      <c r="O640" s="78">
        <f>IF(OR($T640="",$U640=""),"",IF(INDEX(Firms!$C$5:$C$1004,$U640)="","",INDEX(Firms!$C$5:$C$1004,$U640)))</f>
        <v/>
      </c>
      <c r="P640" s="79">
        <f>IF(OR($T640="",$U640=""),"",IF(INDEX(Firms!$N$5:$N$1004,$U640)="","",INDEX(Firms!$N$5:$N$1004,$U640)))</f>
        <v/>
      </c>
      <c r="Q640" s="78">
        <f>IF($T640="","",IF($S640="S",IF(INDEX(Firms!$T$5:$T$1004,$T640)="","",INDEX(Firms!$T$5:$T$1004,$T640)),IF(INDEX('AFA Rates'!$M$5:$M$1004,$T640)="","",INDEX('AFA Rates'!$M$5:$M$1004,$T640))))</f>
        <v/>
      </c>
      <c r="S640">
        <f>IF(636&lt;=$S$2,"S",IF(636&lt;=$S$2+$T$2,"A",""))</f>
        <v/>
      </c>
      <c r="T640">
        <f>IF(S640="S",MATCH(636,Firms!$W$5:$W$1004,0),IF(S640="A",IFERROR(MATCH(636-$S$2,'AFA Rates'!$R$5:$R$1004,0),""),""))</f>
        <v/>
      </c>
      <c r="U640">
        <f>IF(S640="S",T640,IF(AND(S640="A",T640&lt;&gt;""),IFERROR(MATCH(INDEX('AFA Rates'!$A$5:$A$1004,T640),Firms!$A$5:$A$1004,0),""),""))</f>
        <v/>
      </c>
    </row>
    <row r="641">
      <c r="A641" s="78">
        <f>IF($T641="","",IF($S641="S",IF(INDEX(Firms!$A$5:$A$1004,$T641)="","",INDEX(Firms!$A$5:$A$1004,$T641)),IF(INDEX('AFA Rates'!$A$5:$A$1004,$T641)="","",INDEX('AFA Rates'!$A$5:$A$1004,$T641))))</f>
        <v/>
      </c>
      <c r="B641" s="79">
        <f>IF(OR($T641="",$U641=""),IF($T641="","","Not on Firms tab"),INDEX(Firms!$B$5:$B$1004,$U641)&amp;"")</f>
        <v/>
      </c>
      <c r="C641" s="78">
        <f>IF($T641="","",IF($S641="S","Standard",INDEX('AFA Rates'!$B$5:$B$1004,$T641)&amp;""))</f>
        <v/>
      </c>
      <c r="D641" s="88">
        <f>IF($T641="","",IF($S641="S",IF(INDEX(Firms!$E$5:$E$1004,$T641)="","",INDEX(Firms!$E$5:$E$1004,$T641)),IF(INDEX('AFA Rates'!$C$5:$C$1004,$T641)="","",INDEX('AFA Rates'!$C$5:$C$1004,$T641))))</f>
        <v/>
      </c>
      <c r="E641" s="88">
        <f>IF($T641="","",IF($S641="S",IF(""="","",""),IF(INDEX('AFA Rates'!$D$5:$D$1004,$T641)="","",INDEX('AFA Rates'!$D$5:$D$1004,$T641))))</f>
        <v/>
      </c>
      <c r="F641" s="79">
        <f>IF($T641="","",IF($S641="S",IF(INDEX(Firms!$O$5:$O$1004,$T641)="","",INDEX(Firms!$O$5:$O$1004,$T641)),IF(INDEX('AFA Rates'!$O$5:$O$1004,$T641)="","",INDEX('AFA Rates'!$O$5:$O$1004,$T641))))</f>
        <v/>
      </c>
      <c r="G641" s="50">
        <f>IF($T641="","",IF($S641="S",IF(INDEX(Firms!$F$5:$F$1004,$T641)="","",INDEX(Firms!$F$5:$F$1004,$T641)),IF(INDEX('AFA Rates'!$E$5:$E$1004,$T641)="","",INDEX('AFA Rates'!$E$5:$E$1004,$T641))))</f>
        <v/>
      </c>
      <c r="H641" s="50">
        <f>IF($T641="","",IF($S641="S",IF(INDEX(Firms!$G$5:$G$1004,$T641)="","",INDEX(Firms!$G$5:$G$1004,$T641)),IF(INDEX('AFA Rates'!$F$5:$F$1004,$T641)="","",INDEX('AFA Rates'!$F$5:$F$1004,$T641))))</f>
        <v/>
      </c>
      <c r="I641" s="50">
        <f>IF($T641="","",IF($S641="S",IF(INDEX(Firms!$H$5:$H$1004,$T641)="","",INDEX(Firms!$H$5:$H$1004,$T641)),IF(INDEX('AFA Rates'!$G$5:$G$1004,$T641)="","",INDEX('AFA Rates'!$G$5:$G$1004,$T641))))</f>
        <v/>
      </c>
      <c r="J641" s="50">
        <f>IF($T641="","",IF($S641="S",IF(INDEX(Firms!$I$5:$I$1004,$T641)="","",INDEX(Firms!$I$5:$I$1004,$T641)),IF(INDEX('AFA Rates'!$H$5:$H$1004,$T641)="","",INDEX('AFA Rates'!$H$5:$H$1004,$T641))))</f>
        <v/>
      </c>
      <c r="K641" s="50">
        <f>IF($T641="","",IF($S641="S",IF(INDEX(Firms!$J$5:$J$1004,$T641)="","",INDEX(Firms!$J$5:$J$1004,$T641)),IF(INDEX('AFA Rates'!$I$5:$I$1004,$T641)="","",INDEX('AFA Rates'!$I$5:$I$1004,$T641))))</f>
        <v/>
      </c>
      <c r="L641" s="50">
        <f>IF($T641="","",IF($S641="S",IF(INDEX(Firms!$K$5:$K$1004,$T641)="","",INDEX(Firms!$K$5:$K$1004,$T641)),IF(INDEX('AFA Rates'!$J$5:$J$1004,$T641)="","",INDEX('AFA Rates'!$J$5:$J$1004,$T641))))</f>
        <v/>
      </c>
      <c r="M641" s="50">
        <f>IF($T641="","",IF($S641="S",IF(INDEX(Firms!$L$5:$L$1004,$T641)="","",INDEX(Firms!$L$5:$L$1004,$T641)),IF(INDEX('AFA Rates'!$K$5:$K$1004,$T641)="","",INDEX('AFA Rates'!$K$5:$K$1004,$T641))))</f>
        <v/>
      </c>
      <c r="N641" s="50">
        <f>IF($T641="","",IF($S641="S",IF(INDEX(Firms!$M$5:$M$1004,$T641)="","",INDEX(Firms!$M$5:$M$1004,$T641)),IF(INDEX('AFA Rates'!$L$5:$L$1004,$T641)="","",INDEX('AFA Rates'!$L$5:$L$1004,$T641))))</f>
        <v/>
      </c>
      <c r="O641" s="78">
        <f>IF(OR($T641="",$U641=""),"",IF(INDEX(Firms!$C$5:$C$1004,$U641)="","",INDEX(Firms!$C$5:$C$1004,$U641)))</f>
        <v/>
      </c>
      <c r="P641" s="79">
        <f>IF(OR($T641="",$U641=""),"",IF(INDEX(Firms!$N$5:$N$1004,$U641)="","",INDEX(Firms!$N$5:$N$1004,$U641)))</f>
        <v/>
      </c>
      <c r="Q641" s="78">
        <f>IF($T641="","",IF($S641="S",IF(INDEX(Firms!$T$5:$T$1004,$T641)="","",INDEX(Firms!$T$5:$T$1004,$T641)),IF(INDEX('AFA Rates'!$M$5:$M$1004,$T641)="","",INDEX('AFA Rates'!$M$5:$M$1004,$T641))))</f>
        <v/>
      </c>
      <c r="S641">
        <f>IF(637&lt;=$S$2,"S",IF(637&lt;=$S$2+$T$2,"A",""))</f>
        <v/>
      </c>
      <c r="T641">
        <f>IF(S641="S",MATCH(637,Firms!$W$5:$W$1004,0),IF(S641="A",IFERROR(MATCH(637-$S$2,'AFA Rates'!$R$5:$R$1004,0),""),""))</f>
        <v/>
      </c>
      <c r="U641">
        <f>IF(S641="S",T641,IF(AND(S641="A",T641&lt;&gt;""),IFERROR(MATCH(INDEX('AFA Rates'!$A$5:$A$1004,T641),Firms!$A$5:$A$1004,0),""),""))</f>
        <v/>
      </c>
    </row>
    <row r="642">
      <c r="A642" s="78">
        <f>IF($T642="","",IF($S642="S",IF(INDEX(Firms!$A$5:$A$1004,$T642)="","",INDEX(Firms!$A$5:$A$1004,$T642)),IF(INDEX('AFA Rates'!$A$5:$A$1004,$T642)="","",INDEX('AFA Rates'!$A$5:$A$1004,$T642))))</f>
        <v/>
      </c>
      <c r="B642" s="79">
        <f>IF(OR($T642="",$U642=""),IF($T642="","","Not on Firms tab"),INDEX(Firms!$B$5:$B$1004,$U642)&amp;"")</f>
        <v/>
      </c>
      <c r="C642" s="78">
        <f>IF($T642="","",IF($S642="S","Standard",INDEX('AFA Rates'!$B$5:$B$1004,$T642)&amp;""))</f>
        <v/>
      </c>
      <c r="D642" s="88">
        <f>IF($T642="","",IF($S642="S",IF(INDEX(Firms!$E$5:$E$1004,$T642)="","",INDEX(Firms!$E$5:$E$1004,$T642)),IF(INDEX('AFA Rates'!$C$5:$C$1004,$T642)="","",INDEX('AFA Rates'!$C$5:$C$1004,$T642))))</f>
        <v/>
      </c>
      <c r="E642" s="88">
        <f>IF($T642="","",IF($S642="S",IF(""="","",""),IF(INDEX('AFA Rates'!$D$5:$D$1004,$T642)="","",INDEX('AFA Rates'!$D$5:$D$1004,$T642))))</f>
        <v/>
      </c>
      <c r="F642" s="79">
        <f>IF($T642="","",IF($S642="S",IF(INDEX(Firms!$O$5:$O$1004,$T642)="","",INDEX(Firms!$O$5:$O$1004,$T642)),IF(INDEX('AFA Rates'!$O$5:$O$1004,$T642)="","",INDEX('AFA Rates'!$O$5:$O$1004,$T642))))</f>
        <v/>
      </c>
      <c r="G642" s="50">
        <f>IF($T642="","",IF($S642="S",IF(INDEX(Firms!$F$5:$F$1004,$T642)="","",INDEX(Firms!$F$5:$F$1004,$T642)),IF(INDEX('AFA Rates'!$E$5:$E$1004,$T642)="","",INDEX('AFA Rates'!$E$5:$E$1004,$T642))))</f>
        <v/>
      </c>
      <c r="H642" s="50">
        <f>IF($T642="","",IF($S642="S",IF(INDEX(Firms!$G$5:$G$1004,$T642)="","",INDEX(Firms!$G$5:$G$1004,$T642)),IF(INDEX('AFA Rates'!$F$5:$F$1004,$T642)="","",INDEX('AFA Rates'!$F$5:$F$1004,$T642))))</f>
        <v/>
      </c>
      <c r="I642" s="50">
        <f>IF($T642="","",IF($S642="S",IF(INDEX(Firms!$H$5:$H$1004,$T642)="","",INDEX(Firms!$H$5:$H$1004,$T642)),IF(INDEX('AFA Rates'!$G$5:$G$1004,$T642)="","",INDEX('AFA Rates'!$G$5:$G$1004,$T642))))</f>
        <v/>
      </c>
      <c r="J642" s="50">
        <f>IF($T642="","",IF($S642="S",IF(INDEX(Firms!$I$5:$I$1004,$T642)="","",INDEX(Firms!$I$5:$I$1004,$T642)),IF(INDEX('AFA Rates'!$H$5:$H$1004,$T642)="","",INDEX('AFA Rates'!$H$5:$H$1004,$T642))))</f>
        <v/>
      </c>
      <c r="K642" s="50">
        <f>IF($T642="","",IF($S642="S",IF(INDEX(Firms!$J$5:$J$1004,$T642)="","",INDEX(Firms!$J$5:$J$1004,$T642)),IF(INDEX('AFA Rates'!$I$5:$I$1004,$T642)="","",INDEX('AFA Rates'!$I$5:$I$1004,$T642))))</f>
        <v/>
      </c>
      <c r="L642" s="50">
        <f>IF($T642="","",IF($S642="S",IF(INDEX(Firms!$K$5:$K$1004,$T642)="","",INDEX(Firms!$K$5:$K$1004,$T642)),IF(INDEX('AFA Rates'!$J$5:$J$1004,$T642)="","",INDEX('AFA Rates'!$J$5:$J$1004,$T642))))</f>
        <v/>
      </c>
      <c r="M642" s="50">
        <f>IF($T642="","",IF($S642="S",IF(INDEX(Firms!$L$5:$L$1004,$T642)="","",INDEX(Firms!$L$5:$L$1004,$T642)),IF(INDEX('AFA Rates'!$K$5:$K$1004,$T642)="","",INDEX('AFA Rates'!$K$5:$K$1004,$T642))))</f>
        <v/>
      </c>
      <c r="N642" s="50">
        <f>IF($T642="","",IF($S642="S",IF(INDEX(Firms!$M$5:$M$1004,$T642)="","",INDEX(Firms!$M$5:$M$1004,$T642)),IF(INDEX('AFA Rates'!$L$5:$L$1004,$T642)="","",INDEX('AFA Rates'!$L$5:$L$1004,$T642))))</f>
        <v/>
      </c>
      <c r="O642" s="78">
        <f>IF(OR($T642="",$U642=""),"",IF(INDEX(Firms!$C$5:$C$1004,$U642)="","",INDEX(Firms!$C$5:$C$1004,$U642)))</f>
        <v/>
      </c>
      <c r="P642" s="79">
        <f>IF(OR($T642="",$U642=""),"",IF(INDEX(Firms!$N$5:$N$1004,$U642)="","",INDEX(Firms!$N$5:$N$1004,$U642)))</f>
        <v/>
      </c>
      <c r="Q642" s="78">
        <f>IF($T642="","",IF($S642="S",IF(INDEX(Firms!$T$5:$T$1004,$T642)="","",INDEX(Firms!$T$5:$T$1004,$T642)),IF(INDEX('AFA Rates'!$M$5:$M$1004,$T642)="","",INDEX('AFA Rates'!$M$5:$M$1004,$T642))))</f>
        <v/>
      </c>
      <c r="S642">
        <f>IF(638&lt;=$S$2,"S",IF(638&lt;=$S$2+$T$2,"A",""))</f>
        <v/>
      </c>
      <c r="T642">
        <f>IF(S642="S",MATCH(638,Firms!$W$5:$W$1004,0),IF(S642="A",IFERROR(MATCH(638-$S$2,'AFA Rates'!$R$5:$R$1004,0),""),""))</f>
        <v/>
      </c>
      <c r="U642">
        <f>IF(S642="S",T642,IF(AND(S642="A",T642&lt;&gt;""),IFERROR(MATCH(INDEX('AFA Rates'!$A$5:$A$1004,T642),Firms!$A$5:$A$1004,0),""),""))</f>
        <v/>
      </c>
    </row>
    <row r="643">
      <c r="A643" s="78">
        <f>IF($T643="","",IF($S643="S",IF(INDEX(Firms!$A$5:$A$1004,$T643)="","",INDEX(Firms!$A$5:$A$1004,$T643)),IF(INDEX('AFA Rates'!$A$5:$A$1004,$T643)="","",INDEX('AFA Rates'!$A$5:$A$1004,$T643))))</f>
        <v/>
      </c>
      <c r="B643" s="79">
        <f>IF(OR($T643="",$U643=""),IF($T643="","","Not on Firms tab"),INDEX(Firms!$B$5:$B$1004,$U643)&amp;"")</f>
        <v/>
      </c>
      <c r="C643" s="78">
        <f>IF($T643="","",IF($S643="S","Standard",INDEX('AFA Rates'!$B$5:$B$1004,$T643)&amp;""))</f>
        <v/>
      </c>
      <c r="D643" s="88">
        <f>IF($T643="","",IF($S643="S",IF(INDEX(Firms!$E$5:$E$1004,$T643)="","",INDEX(Firms!$E$5:$E$1004,$T643)),IF(INDEX('AFA Rates'!$C$5:$C$1004,$T643)="","",INDEX('AFA Rates'!$C$5:$C$1004,$T643))))</f>
        <v/>
      </c>
      <c r="E643" s="88">
        <f>IF($T643="","",IF($S643="S",IF(""="","",""),IF(INDEX('AFA Rates'!$D$5:$D$1004,$T643)="","",INDEX('AFA Rates'!$D$5:$D$1004,$T643))))</f>
        <v/>
      </c>
      <c r="F643" s="79">
        <f>IF($T643="","",IF($S643="S",IF(INDEX(Firms!$O$5:$O$1004,$T643)="","",INDEX(Firms!$O$5:$O$1004,$T643)),IF(INDEX('AFA Rates'!$O$5:$O$1004,$T643)="","",INDEX('AFA Rates'!$O$5:$O$1004,$T643))))</f>
        <v/>
      </c>
      <c r="G643" s="50">
        <f>IF($T643="","",IF($S643="S",IF(INDEX(Firms!$F$5:$F$1004,$T643)="","",INDEX(Firms!$F$5:$F$1004,$T643)),IF(INDEX('AFA Rates'!$E$5:$E$1004,$T643)="","",INDEX('AFA Rates'!$E$5:$E$1004,$T643))))</f>
        <v/>
      </c>
      <c r="H643" s="50">
        <f>IF($T643="","",IF($S643="S",IF(INDEX(Firms!$G$5:$G$1004,$T643)="","",INDEX(Firms!$G$5:$G$1004,$T643)),IF(INDEX('AFA Rates'!$F$5:$F$1004,$T643)="","",INDEX('AFA Rates'!$F$5:$F$1004,$T643))))</f>
        <v/>
      </c>
      <c r="I643" s="50">
        <f>IF($T643="","",IF($S643="S",IF(INDEX(Firms!$H$5:$H$1004,$T643)="","",INDEX(Firms!$H$5:$H$1004,$T643)),IF(INDEX('AFA Rates'!$G$5:$G$1004,$T643)="","",INDEX('AFA Rates'!$G$5:$G$1004,$T643))))</f>
        <v/>
      </c>
      <c r="J643" s="50">
        <f>IF($T643="","",IF($S643="S",IF(INDEX(Firms!$I$5:$I$1004,$T643)="","",INDEX(Firms!$I$5:$I$1004,$T643)),IF(INDEX('AFA Rates'!$H$5:$H$1004,$T643)="","",INDEX('AFA Rates'!$H$5:$H$1004,$T643))))</f>
        <v/>
      </c>
      <c r="K643" s="50">
        <f>IF($T643="","",IF($S643="S",IF(INDEX(Firms!$J$5:$J$1004,$T643)="","",INDEX(Firms!$J$5:$J$1004,$T643)),IF(INDEX('AFA Rates'!$I$5:$I$1004,$T643)="","",INDEX('AFA Rates'!$I$5:$I$1004,$T643))))</f>
        <v/>
      </c>
      <c r="L643" s="50">
        <f>IF($T643="","",IF($S643="S",IF(INDEX(Firms!$K$5:$K$1004,$T643)="","",INDEX(Firms!$K$5:$K$1004,$T643)),IF(INDEX('AFA Rates'!$J$5:$J$1004,$T643)="","",INDEX('AFA Rates'!$J$5:$J$1004,$T643))))</f>
        <v/>
      </c>
      <c r="M643" s="50">
        <f>IF($T643="","",IF($S643="S",IF(INDEX(Firms!$L$5:$L$1004,$T643)="","",INDEX(Firms!$L$5:$L$1004,$T643)),IF(INDEX('AFA Rates'!$K$5:$K$1004,$T643)="","",INDEX('AFA Rates'!$K$5:$K$1004,$T643))))</f>
        <v/>
      </c>
      <c r="N643" s="50">
        <f>IF($T643="","",IF($S643="S",IF(INDEX(Firms!$M$5:$M$1004,$T643)="","",INDEX(Firms!$M$5:$M$1004,$T643)),IF(INDEX('AFA Rates'!$L$5:$L$1004,$T643)="","",INDEX('AFA Rates'!$L$5:$L$1004,$T643))))</f>
        <v/>
      </c>
      <c r="O643" s="78">
        <f>IF(OR($T643="",$U643=""),"",IF(INDEX(Firms!$C$5:$C$1004,$U643)="","",INDEX(Firms!$C$5:$C$1004,$U643)))</f>
        <v/>
      </c>
      <c r="P643" s="79">
        <f>IF(OR($T643="",$U643=""),"",IF(INDEX(Firms!$N$5:$N$1004,$U643)="","",INDEX(Firms!$N$5:$N$1004,$U643)))</f>
        <v/>
      </c>
      <c r="Q643" s="78">
        <f>IF($T643="","",IF($S643="S",IF(INDEX(Firms!$T$5:$T$1004,$T643)="","",INDEX(Firms!$T$5:$T$1004,$T643)),IF(INDEX('AFA Rates'!$M$5:$M$1004,$T643)="","",INDEX('AFA Rates'!$M$5:$M$1004,$T643))))</f>
        <v/>
      </c>
      <c r="S643">
        <f>IF(639&lt;=$S$2,"S",IF(639&lt;=$S$2+$T$2,"A",""))</f>
        <v/>
      </c>
      <c r="T643">
        <f>IF(S643="S",MATCH(639,Firms!$W$5:$W$1004,0),IF(S643="A",IFERROR(MATCH(639-$S$2,'AFA Rates'!$R$5:$R$1004,0),""),""))</f>
        <v/>
      </c>
      <c r="U643">
        <f>IF(S643="S",T643,IF(AND(S643="A",T643&lt;&gt;""),IFERROR(MATCH(INDEX('AFA Rates'!$A$5:$A$1004,T643),Firms!$A$5:$A$1004,0),""),""))</f>
        <v/>
      </c>
    </row>
    <row r="644">
      <c r="A644" s="78">
        <f>IF($T644="","",IF($S644="S",IF(INDEX(Firms!$A$5:$A$1004,$T644)="","",INDEX(Firms!$A$5:$A$1004,$T644)),IF(INDEX('AFA Rates'!$A$5:$A$1004,$T644)="","",INDEX('AFA Rates'!$A$5:$A$1004,$T644))))</f>
        <v/>
      </c>
      <c r="B644" s="79">
        <f>IF(OR($T644="",$U644=""),IF($T644="","","Not on Firms tab"),INDEX(Firms!$B$5:$B$1004,$U644)&amp;"")</f>
        <v/>
      </c>
      <c r="C644" s="78">
        <f>IF($T644="","",IF($S644="S","Standard",INDEX('AFA Rates'!$B$5:$B$1004,$T644)&amp;""))</f>
        <v/>
      </c>
      <c r="D644" s="88">
        <f>IF($T644="","",IF($S644="S",IF(INDEX(Firms!$E$5:$E$1004,$T644)="","",INDEX(Firms!$E$5:$E$1004,$T644)),IF(INDEX('AFA Rates'!$C$5:$C$1004,$T644)="","",INDEX('AFA Rates'!$C$5:$C$1004,$T644))))</f>
        <v/>
      </c>
      <c r="E644" s="88">
        <f>IF($T644="","",IF($S644="S",IF(""="","",""),IF(INDEX('AFA Rates'!$D$5:$D$1004,$T644)="","",INDEX('AFA Rates'!$D$5:$D$1004,$T644))))</f>
        <v/>
      </c>
      <c r="F644" s="79">
        <f>IF($T644="","",IF($S644="S",IF(INDEX(Firms!$O$5:$O$1004,$T644)="","",INDEX(Firms!$O$5:$O$1004,$T644)),IF(INDEX('AFA Rates'!$O$5:$O$1004,$T644)="","",INDEX('AFA Rates'!$O$5:$O$1004,$T644))))</f>
        <v/>
      </c>
      <c r="G644" s="50">
        <f>IF($T644="","",IF($S644="S",IF(INDEX(Firms!$F$5:$F$1004,$T644)="","",INDEX(Firms!$F$5:$F$1004,$T644)),IF(INDEX('AFA Rates'!$E$5:$E$1004,$T644)="","",INDEX('AFA Rates'!$E$5:$E$1004,$T644))))</f>
        <v/>
      </c>
      <c r="H644" s="50">
        <f>IF($T644="","",IF($S644="S",IF(INDEX(Firms!$G$5:$G$1004,$T644)="","",INDEX(Firms!$G$5:$G$1004,$T644)),IF(INDEX('AFA Rates'!$F$5:$F$1004,$T644)="","",INDEX('AFA Rates'!$F$5:$F$1004,$T644))))</f>
        <v/>
      </c>
      <c r="I644" s="50">
        <f>IF($T644="","",IF($S644="S",IF(INDEX(Firms!$H$5:$H$1004,$T644)="","",INDEX(Firms!$H$5:$H$1004,$T644)),IF(INDEX('AFA Rates'!$G$5:$G$1004,$T644)="","",INDEX('AFA Rates'!$G$5:$G$1004,$T644))))</f>
        <v/>
      </c>
      <c r="J644" s="50">
        <f>IF($T644="","",IF($S644="S",IF(INDEX(Firms!$I$5:$I$1004,$T644)="","",INDEX(Firms!$I$5:$I$1004,$T644)),IF(INDEX('AFA Rates'!$H$5:$H$1004,$T644)="","",INDEX('AFA Rates'!$H$5:$H$1004,$T644))))</f>
        <v/>
      </c>
      <c r="K644" s="50">
        <f>IF($T644="","",IF($S644="S",IF(INDEX(Firms!$J$5:$J$1004,$T644)="","",INDEX(Firms!$J$5:$J$1004,$T644)),IF(INDEX('AFA Rates'!$I$5:$I$1004,$T644)="","",INDEX('AFA Rates'!$I$5:$I$1004,$T644))))</f>
        <v/>
      </c>
      <c r="L644" s="50">
        <f>IF($T644="","",IF($S644="S",IF(INDEX(Firms!$K$5:$K$1004,$T644)="","",INDEX(Firms!$K$5:$K$1004,$T644)),IF(INDEX('AFA Rates'!$J$5:$J$1004,$T644)="","",INDEX('AFA Rates'!$J$5:$J$1004,$T644))))</f>
        <v/>
      </c>
      <c r="M644" s="50">
        <f>IF($T644="","",IF($S644="S",IF(INDEX(Firms!$L$5:$L$1004,$T644)="","",INDEX(Firms!$L$5:$L$1004,$T644)),IF(INDEX('AFA Rates'!$K$5:$K$1004,$T644)="","",INDEX('AFA Rates'!$K$5:$K$1004,$T644))))</f>
        <v/>
      </c>
      <c r="N644" s="50">
        <f>IF($T644="","",IF($S644="S",IF(INDEX(Firms!$M$5:$M$1004,$T644)="","",INDEX(Firms!$M$5:$M$1004,$T644)),IF(INDEX('AFA Rates'!$L$5:$L$1004,$T644)="","",INDEX('AFA Rates'!$L$5:$L$1004,$T644))))</f>
        <v/>
      </c>
      <c r="O644" s="78">
        <f>IF(OR($T644="",$U644=""),"",IF(INDEX(Firms!$C$5:$C$1004,$U644)="","",INDEX(Firms!$C$5:$C$1004,$U644)))</f>
        <v/>
      </c>
      <c r="P644" s="79">
        <f>IF(OR($T644="",$U644=""),"",IF(INDEX(Firms!$N$5:$N$1004,$U644)="","",INDEX(Firms!$N$5:$N$1004,$U644)))</f>
        <v/>
      </c>
      <c r="Q644" s="78">
        <f>IF($T644="","",IF($S644="S",IF(INDEX(Firms!$T$5:$T$1004,$T644)="","",INDEX(Firms!$T$5:$T$1004,$T644)),IF(INDEX('AFA Rates'!$M$5:$M$1004,$T644)="","",INDEX('AFA Rates'!$M$5:$M$1004,$T644))))</f>
        <v/>
      </c>
      <c r="S644">
        <f>IF(640&lt;=$S$2,"S",IF(640&lt;=$S$2+$T$2,"A",""))</f>
        <v/>
      </c>
      <c r="T644">
        <f>IF(S644="S",MATCH(640,Firms!$W$5:$W$1004,0),IF(S644="A",IFERROR(MATCH(640-$S$2,'AFA Rates'!$R$5:$R$1004,0),""),""))</f>
        <v/>
      </c>
      <c r="U644">
        <f>IF(S644="S",T644,IF(AND(S644="A",T644&lt;&gt;""),IFERROR(MATCH(INDEX('AFA Rates'!$A$5:$A$1004,T644),Firms!$A$5:$A$1004,0),""),""))</f>
        <v/>
      </c>
    </row>
    <row r="645">
      <c r="A645" s="78">
        <f>IF($T645="","",IF($S645="S",IF(INDEX(Firms!$A$5:$A$1004,$T645)="","",INDEX(Firms!$A$5:$A$1004,$T645)),IF(INDEX('AFA Rates'!$A$5:$A$1004,$T645)="","",INDEX('AFA Rates'!$A$5:$A$1004,$T645))))</f>
        <v/>
      </c>
      <c r="B645" s="79">
        <f>IF(OR($T645="",$U645=""),IF($T645="","","Not on Firms tab"),INDEX(Firms!$B$5:$B$1004,$U645)&amp;"")</f>
        <v/>
      </c>
      <c r="C645" s="78">
        <f>IF($T645="","",IF($S645="S","Standard",INDEX('AFA Rates'!$B$5:$B$1004,$T645)&amp;""))</f>
        <v/>
      </c>
      <c r="D645" s="88">
        <f>IF($T645="","",IF($S645="S",IF(INDEX(Firms!$E$5:$E$1004,$T645)="","",INDEX(Firms!$E$5:$E$1004,$T645)),IF(INDEX('AFA Rates'!$C$5:$C$1004,$T645)="","",INDEX('AFA Rates'!$C$5:$C$1004,$T645))))</f>
        <v/>
      </c>
      <c r="E645" s="88">
        <f>IF($T645="","",IF($S645="S",IF(""="","",""),IF(INDEX('AFA Rates'!$D$5:$D$1004,$T645)="","",INDEX('AFA Rates'!$D$5:$D$1004,$T645))))</f>
        <v/>
      </c>
      <c r="F645" s="79">
        <f>IF($T645="","",IF($S645="S",IF(INDEX(Firms!$O$5:$O$1004,$T645)="","",INDEX(Firms!$O$5:$O$1004,$T645)),IF(INDEX('AFA Rates'!$O$5:$O$1004,$T645)="","",INDEX('AFA Rates'!$O$5:$O$1004,$T645))))</f>
        <v/>
      </c>
      <c r="G645" s="50">
        <f>IF($T645="","",IF($S645="S",IF(INDEX(Firms!$F$5:$F$1004,$T645)="","",INDEX(Firms!$F$5:$F$1004,$T645)),IF(INDEX('AFA Rates'!$E$5:$E$1004,$T645)="","",INDEX('AFA Rates'!$E$5:$E$1004,$T645))))</f>
        <v/>
      </c>
      <c r="H645" s="50">
        <f>IF($T645="","",IF($S645="S",IF(INDEX(Firms!$G$5:$G$1004,$T645)="","",INDEX(Firms!$G$5:$G$1004,$T645)),IF(INDEX('AFA Rates'!$F$5:$F$1004,$T645)="","",INDEX('AFA Rates'!$F$5:$F$1004,$T645))))</f>
        <v/>
      </c>
      <c r="I645" s="50">
        <f>IF($T645="","",IF($S645="S",IF(INDEX(Firms!$H$5:$H$1004,$T645)="","",INDEX(Firms!$H$5:$H$1004,$T645)),IF(INDEX('AFA Rates'!$G$5:$G$1004,$T645)="","",INDEX('AFA Rates'!$G$5:$G$1004,$T645))))</f>
        <v/>
      </c>
      <c r="J645" s="50">
        <f>IF($T645="","",IF($S645="S",IF(INDEX(Firms!$I$5:$I$1004,$T645)="","",INDEX(Firms!$I$5:$I$1004,$T645)),IF(INDEX('AFA Rates'!$H$5:$H$1004,$T645)="","",INDEX('AFA Rates'!$H$5:$H$1004,$T645))))</f>
        <v/>
      </c>
      <c r="K645" s="50">
        <f>IF($T645="","",IF($S645="S",IF(INDEX(Firms!$J$5:$J$1004,$T645)="","",INDEX(Firms!$J$5:$J$1004,$T645)),IF(INDEX('AFA Rates'!$I$5:$I$1004,$T645)="","",INDEX('AFA Rates'!$I$5:$I$1004,$T645))))</f>
        <v/>
      </c>
      <c r="L645" s="50">
        <f>IF($T645="","",IF($S645="S",IF(INDEX(Firms!$K$5:$K$1004,$T645)="","",INDEX(Firms!$K$5:$K$1004,$T645)),IF(INDEX('AFA Rates'!$J$5:$J$1004,$T645)="","",INDEX('AFA Rates'!$J$5:$J$1004,$T645))))</f>
        <v/>
      </c>
      <c r="M645" s="50">
        <f>IF($T645="","",IF($S645="S",IF(INDEX(Firms!$L$5:$L$1004,$T645)="","",INDEX(Firms!$L$5:$L$1004,$T645)),IF(INDEX('AFA Rates'!$K$5:$K$1004,$T645)="","",INDEX('AFA Rates'!$K$5:$K$1004,$T645))))</f>
        <v/>
      </c>
      <c r="N645" s="50">
        <f>IF($T645="","",IF($S645="S",IF(INDEX(Firms!$M$5:$M$1004,$T645)="","",INDEX(Firms!$M$5:$M$1004,$T645)),IF(INDEX('AFA Rates'!$L$5:$L$1004,$T645)="","",INDEX('AFA Rates'!$L$5:$L$1004,$T645))))</f>
        <v/>
      </c>
      <c r="O645" s="78">
        <f>IF(OR($T645="",$U645=""),"",IF(INDEX(Firms!$C$5:$C$1004,$U645)="","",INDEX(Firms!$C$5:$C$1004,$U645)))</f>
        <v/>
      </c>
      <c r="P645" s="79">
        <f>IF(OR($T645="",$U645=""),"",IF(INDEX(Firms!$N$5:$N$1004,$U645)="","",INDEX(Firms!$N$5:$N$1004,$U645)))</f>
        <v/>
      </c>
      <c r="Q645" s="78">
        <f>IF($T645="","",IF($S645="S",IF(INDEX(Firms!$T$5:$T$1004,$T645)="","",INDEX(Firms!$T$5:$T$1004,$T645)),IF(INDEX('AFA Rates'!$M$5:$M$1004,$T645)="","",INDEX('AFA Rates'!$M$5:$M$1004,$T645))))</f>
        <v/>
      </c>
      <c r="S645">
        <f>IF(641&lt;=$S$2,"S",IF(641&lt;=$S$2+$T$2,"A",""))</f>
        <v/>
      </c>
      <c r="T645">
        <f>IF(S645="S",MATCH(641,Firms!$W$5:$W$1004,0),IF(S645="A",IFERROR(MATCH(641-$S$2,'AFA Rates'!$R$5:$R$1004,0),""),""))</f>
        <v/>
      </c>
      <c r="U645">
        <f>IF(S645="S",T645,IF(AND(S645="A",T645&lt;&gt;""),IFERROR(MATCH(INDEX('AFA Rates'!$A$5:$A$1004,T645),Firms!$A$5:$A$1004,0),""),""))</f>
        <v/>
      </c>
    </row>
    <row r="646">
      <c r="A646" s="78">
        <f>IF($T646="","",IF($S646="S",IF(INDEX(Firms!$A$5:$A$1004,$T646)="","",INDEX(Firms!$A$5:$A$1004,$T646)),IF(INDEX('AFA Rates'!$A$5:$A$1004,$T646)="","",INDEX('AFA Rates'!$A$5:$A$1004,$T646))))</f>
        <v/>
      </c>
      <c r="B646" s="79">
        <f>IF(OR($T646="",$U646=""),IF($T646="","","Not on Firms tab"),INDEX(Firms!$B$5:$B$1004,$U646)&amp;"")</f>
        <v/>
      </c>
      <c r="C646" s="78">
        <f>IF($T646="","",IF($S646="S","Standard",INDEX('AFA Rates'!$B$5:$B$1004,$T646)&amp;""))</f>
        <v/>
      </c>
      <c r="D646" s="88">
        <f>IF($T646="","",IF($S646="S",IF(INDEX(Firms!$E$5:$E$1004,$T646)="","",INDEX(Firms!$E$5:$E$1004,$T646)),IF(INDEX('AFA Rates'!$C$5:$C$1004,$T646)="","",INDEX('AFA Rates'!$C$5:$C$1004,$T646))))</f>
        <v/>
      </c>
      <c r="E646" s="88">
        <f>IF($T646="","",IF($S646="S",IF(""="","",""),IF(INDEX('AFA Rates'!$D$5:$D$1004,$T646)="","",INDEX('AFA Rates'!$D$5:$D$1004,$T646))))</f>
        <v/>
      </c>
      <c r="F646" s="79">
        <f>IF($T646="","",IF($S646="S",IF(INDEX(Firms!$O$5:$O$1004,$T646)="","",INDEX(Firms!$O$5:$O$1004,$T646)),IF(INDEX('AFA Rates'!$O$5:$O$1004,$T646)="","",INDEX('AFA Rates'!$O$5:$O$1004,$T646))))</f>
        <v/>
      </c>
      <c r="G646" s="50">
        <f>IF($T646="","",IF($S646="S",IF(INDEX(Firms!$F$5:$F$1004,$T646)="","",INDEX(Firms!$F$5:$F$1004,$T646)),IF(INDEX('AFA Rates'!$E$5:$E$1004,$T646)="","",INDEX('AFA Rates'!$E$5:$E$1004,$T646))))</f>
        <v/>
      </c>
      <c r="H646" s="50">
        <f>IF($T646="","",IF($S646="S",IF(INDEX(Firms!$G$5:$G$1004,$T646)="","",INDEX(Firms!$G$5:$G$1004,$T646)),IF(INDEX('AFA Rates'!$F$5:$F$1004,$T646)="","",INDEX('AFA Rates'!$F$5:$F$1004,$T646))))</f>
        <v/>
      </c>
      <c r="I646" s="50">
        <f>IF($T646="","",IF($S646="S",IF(INDEX(Firms!$H$5:$H$1004,$T646)="","",INDEX(Firms!$H$5:$H$1004,$T646)),IF(INDEX('AFA Rates'!$G$5:$G$1004,$T646)="","",INDEX('AFA Rates'!$G$5:$G$1004,$T646))))</f>
        <v/>
      </c>
      <c r="J646" s="50">
        <f>IF($T646="","",IF($S646="S",IF(INDEX(Firms!$I$5:$I$1004,$T646)="","",INDEX(Firms!$I$5:$I$1004,$T646)),IF(INDEX('AFA Rates'!$H$5:$H$1004,$T646)="","",INDEX('AFA Rates'!$H$5:$H$1004,$T646))))</f>
        <v/>
      </c>
      <c r="K646" s="50">
        <f>IF($T646="","",IF($S646="S",IF(INDEX(Firms!$J$5:$J$1004,$T646)="","",INDEX(Firms!$J$5:$J$1004,$T646)),IF(INDEX('AFA Rates'!$I$5:$I$1004,$T646)="","",INDEX('AFA Rates'!$I$5:$I$1004,$T646))))</f>
        <v/>
      </c>
      <c r="L646" s="50">
        <f>IF($T646="","",IF($S646="S",IF(INDEX(Firms!$K$5:$K$1004,$T646)="","",INDEX(Firms!$K$5:$K$1004,$T646)),IF(INDEX('AFA Rates'!$J$5:$J$1004,$T646)="","",INDEX('AFA Rates'!$J$5:$J$1004,$T646))))</f>
        <v/>
      </c>
      <c r="M646" s="50">
        <f>IF($T646="","",IF($S646="S",IF(INDEX(Firms!$L$5:$L$1004,$T646)="","",INDEX(Firms!$L$5:$L$1004,$T646)),IF(INDEX('AFA Rates'!$K$5:$K$1004,$T646)="","",INDEX('AFA Rates'!$K$5:$K$1004,$T646))))</f>
        <v/>
      </c>
      <c r="N646" s="50">
        <f>IF($T646="","",IF($S646="S",IF(INDEX(Firms!$M$5:$M$1004,$T646)="","",INDEX(Firms!$M$5:$M$1004,$T646)),IF(INDEX('AFA Rates'!$L$5:$L$1004,$T646)="","",INDEX('AFA Rates'!$L$5:$L$1004,$T646))))</f>
        <v/>
      </c>
      <c r="O646" s="78">
        <f>IF(OR($T646="",$U646=""),"",IF(INDEX(Firms!$C$5:$C$1004,$U646)="","",INDEX(Firms!$C$5:$C$1004,$U646)))</f>
        <v/>
      </c>
      <c r="P646" s="79">
        <f>IF(OR($T646="",$U646=""),"",IF(INDEX(Firms!$N$5:$N$1004,$U646)="","",INDEX(Firms!$N$5:$N$1004,$U646)))</f>
        <v/>
      </c>
      <c r="Q646" s="78">
        <f>IF($T646="","",IF($S646="S",IF(INDEX(Firms!$T$5:$T$1004,$T646)="","",INDEX(Firms!$T$5:$T$1004,$T646)),IF(INDEX('AFA Rates'!$M$5:$M$1004,$T646)="","",INDEX('AFA Rates'!$M$5:$M$1004,$T646))))</f>
        <v/>
      </c>
      <c r="S646">
        <f>IF(642&lt;=$S$2,"S",IF(642&lt;=$S$2+$T$2,"A",""))</f>
        <v/>
      </c>
      <c r="T646">
        <f>IF(S646="S",MATCH(642,Firms!$W$5:$W$1004,0),IF(S646="A",IFERROR(MATCH(642-$S$2,'AFA Rates'!$R$5:$R$1004,0),""),""))</f>
        <v/>
      </c>
      <c r="U646">
        <f>IF(S646="S",T646,IF(AND(S646="A",T646&lt;&gt;""),IFERROR(MATCH(INDEX('AFA Rates'!$A$5:$A$1004,T646),Firms!$A$5:$A$1004,0),""),""))</f>
        <v/>
      </c>
    </row>
    <row r="647">
      <c r="A647" s="78">
        <f>IF($T647="","",IF($S647="S",IF(INDEX(Firms!$A$5:$A$1004,$T647)="","",INDEX(Firms!$A$5:$A$1004,$T647)),IF(INDEX('AFA Rates'!$A$5:$A$1004,$T647)="","",INDEX('AFA Rates'!$A$5:$A$1004,$T647))))</f>
        <v/>
      </c>
      <c r="B647" s="79">
        <f>IF(OR($T647="",$U647=""),IF($T647="","","Not on Firms tab"),INDEX(Firms!$B$5:$B$1004,$U647)&amp;"")</f>
        <v/>
      </c>
      <c r="C647" s="78">
        <f>IF($T647="","",IF($S647="S","Standard",INDEX('AFA Rates'!$B$5:$B$1004,$T647)&amp;""))</f>
        <v/>
      </c>
      <c r="D647" s="88">
        <f>IF($T647="","",IF($S647="S",IF(INDEX(Firms!$E$5:$E$1004,$T647)="","",INDEX(Firms!$E$5:$E$1004,$T647)),IF(INDEX('AFA Rates'!$C$5:$C$1004,$T647)="","",INDEX('AFA Rates'!$C$5:$C$1004,$T647))))</f>
        <v/>
      </c>
      <c r="E647" s="88">
        <f>IF($T647="","",IF($S647="S",IF(""="","",""),IF(INDEX('AFA Rates'!$D$5:$D$1004,$T647)="","",INDEX('AFA Rates'!$D$5:$D$1004,$T647))))</f>
        <v/>
      </c>
      <c r="F647" s="79">
        <f>IF($T647="","",IF($S647="S",IF(INDEX(Firms!$O$5:$O$1004,$T647)="","",INDEX(Firms!$O$5:$O$1004,$T647)),IF(INDEX('AFA Rates'!$O$5:$O$1004,$T647)="","",INDEX('AFA Rates'!$O$5:$O$1004,$T647))))</f>
        <v/>
      </c>
      <c r="G647" s="50">
        <f>IF($T647="","",IF($S647="S",IF(INDEX(Firms!$F$5:$F$1004,$T647)="","",INDEX(Firms!$F$5:$F$1004,$T647)),IF(INDEX('AFA Rates'!$E$5:$E$1004,$T647)="","",INDEX('AFA Rates'!$E$5:$E$1004,$T647))))</f>
        <v/>
      </c>
      <c r="H647" s="50">
        <f>IF($T647="","",IF($S647="S",IF(INDEX(Firms!$G$5:$G$1004,$T647)="","",INDEX(Firms!$G$5:$G$1004,$T647)),IF(INDEX('AFA Rates'!$F$5:$F$1004,$T647)="","",INDEX('AFA Rates'!$F$5:$F$1004,$T647))))</f>
        <v/>
      </c>
      <c r="I647" s="50">
        <f>IF($T647="","",IF($S647="S",IF(INDEX(Firms!$H$5:$H$1004,$T647)="","",INDEX(Firms!$H$5:$H$1004,$T647)),IF(INDEX('AFA Rates'!$G$5:$G$1004,$T647)="","",INDEX('AFA Rates'!$G$5:$G$1004,$T647))))</f>
        <v/>
      </c>
      <c r="J647" s="50">
        <f>IF($T647="","",IF($S647="S",IF(INDEX(Firms!$I$5:$I$1004,$T647)="","",INDEX(Firms!$I$5:$I$1004,$T647)),IF(INDEX('AFA Rates'!$H$5:$H$1004,$T647)="","",INDEX('AFA Rates'!$H$5:$H$1004,$T647))))</f>
        <v/>
      </c>
      <c r="K647" s="50">
        <f>IF($T647="","",IF($S647="S",IF(INDEX(Firms!$J$5:$J$1004,$T647)="","",INDEX(Firms!$J$5:$J$1004,$T647)),IF(INDEX('AFA Rates'!$I$5:$I$1004,$T647)="","",INDEX('AFA Rates'!$I$5:$I$1004,$T647))))</f>
        <v/>
      </c>
      <c r="L647" s="50">
        <f>IF($T647="","",IF($S647="S",IF(INDEX(Firms!$K$5:$K$1004,$T647)="","",INDEX(Firms!$K$5:$K$1004,$T647)),IF(INDEX('AFA Rates'!$J$5:$J$1004,$T647)="","",INDEX('AFA Rates'!$J$5:$J$1004,$T647))))</f>
        <v/>
      </c>
      <c r="M647" s="50">
        <f>IF($T647="","",IF($S647="S",IF(INDEX(Firms!$L$5:$L$1004,$T647)="","",INDEX(Firms!$L$5:$L$1004,$T647)),IF(INDEX('AFA Rates'!$K$5:$K$1004,$T647)="","",INDEX('AFA Rates'!$K$5:$K$1004,$T647))))</f>
        <v/>
      </c>
      <c r="N647" s="50">
        <f>IF($T647="","",IF($S647="S",IF(INDEX(Firms!$M$5:$M$1004,$T647)="","",INDEX(Firms!$M$5:$M$1004,$T647)),IF(INDEX('AFA Rates'!$L$5:$L$1004,$T647)="","",INDEX('AFA Rates'!$L$5:$L$1004,$T647))))</f>
        <v/>
      </c>
      <c r="O647" s="78">
        <f>IF(OR($T647="",$U647=""),"",IF(INDEX(Firms!$C$5:$C$1004,$U647)="","",INDEX(Firms!$C$5:$C$1004,$U647)))</f>
        <v/>
      </c>
      <c r="P647" s="79">
        <f>IF(OR($T647="",$U647=""),"",IF(INDEX(Firms!$N$5:$N$1004,$U647)="","",INDEX(Firms!$N$5:$N$1004,$U647)))</f>
        <v/>
      </c>
      <c r="Q647" s="78">
        <f>IF($T647="","",IF($S647="S",IF(INDEX(Firms!$T$5:$T$1004,$T647)="","",INDEX(Firms!$T$5:$T$1004,$T647)),IF(INDEX('AFA Rates'!$M$5:$M$1004,$T647)="","",INDEX('AFA Rates'!$M$5:$M$1004,$T647))))</f>
        <v/>
      </c>
      <c r="S647">
        <f>IF(643&lt;=$S$2,"S",IF(643&lt;=$S$2+$T$2,"A",""))</f>
        <v/>
      </c>
      <c r="T647">
        <f>IF(S647="S",MATCH(643,Firms!$W$5:$W$1004,0),IF(S647="A",IFERROR(MATCH(643-$S$2,'AFA Rates'!$R$5:$R$1004,0),""),""))</f>
        <v/>
      </c>
      <c r="U647">
        <f>IF(S647="S",T647,IF(AND(S647="A",T647&lt;&gt;""),IFERROR(MATCH(INDEX('AFA Rates'!$A$5:$A$1004,T647),Firms!$A$5:$A$1004,0),""),""))</f>
        <v/>
      </c>
    </row>
    <row r="648">
      <c r="A648" s="78">
        <f>IF($T648="","",IF($S648="S",IF(INDEX(Firms!$A$5:$A$1004,$T648)="","",INDEX(Firms!$A$5:$A$1004,$T648)),IF(INDEX('AFA Rates'!$A$5:$A$1004,$T648)="","",INDEX('AFA Rates'!$A$5:$A$1004,$T648))))</f>
        <v/>
      </c>
      <c r="B648" s="79">
        <f>IF(OR($T648="",$U648=""),IF($T648="","","Not on Firms tab"),INDEX(Firms!$B$5:$B$1004,$U648)&amp;"")</f>
        <v/>
      </c>
      <c r="C648" s="78">
        <f>IF($T648="","",IF($S648="S","Standard",INDEX('AFA Rates'!$B$5:$B$1004,$T648)&amp;""))</f>
        <v/>
      </c>
      <c r="D648" s="88">
        <f>IF($T648="","",IF($S648="S",IF(INDEX(Firms!$E$5:$E$1004,$T648)="","",INDEX(Firms!$E$5:$E$1004,$T648)),IF(INDEX('AFA Rates'!$C$5:$C$1004,$T648)="","",INDEX('AFA Rates'!$C$5:$C$1004,$T648))))</f>
        <v/>
      </c>
      <c r="E648" s="88">
        <f>IF($T648="","",IF($S648="S",IF(""="","",""),IF(INDEX('AFA Rates'!$D$5:$D$1004,$T648)="","",INDEX('AFA Rates'!$D$5:$D$1004,$T648))))</f>
        <v/>
      </c>
      <c r="F648" s="79">
        <f>IF($T648="","",IF($S648="S",IF(INDEX(Firms!$O$5:$O$1004,$T648)="","",INDEX(Firms!$O$5:$O$1004,$T648)),IF(INDEX('AFA Rates'!$O$5:$O$1004,$T648)="","",INDEX('AFA Rates'!$O$5:$O$1004,$T648))))</f>
        <v/>
      </c>
      <c r="G648" s="50">
        <f>IF($T648="","",IF($S648="S",IF(INDEX(Firms!$F$5:$F$1004,$T648)="","",INDEX(Firms!$F$5:$F$1004,$T648)),IF(INDEX('AFA Rates'!$E$5:$E$1004,$T648)="","",INDEX('AFA Rates'!$E$5:$E$1004,$T648))))</f>
        <v/>
      </c>
      <c r="H648" s="50">
        <f>IF($T648="","",IF($S648="S",IF(INDEX(Firms!$G$5:$G$1004,$T648)="","",INDEX(Firms!$G$5:$G$1004,$T648)),IF(INDEX('AFA Rates'!$F$5:$F$1004,$T648)="","",INDEX('AFA Rates'!$F$5:$F$1004,$T648))))</f>
        <v/>
      </c>
      <c r="I648" s="50">
        <f>IF($T648="","",IF($S648="S",IF(INDEX(Firms!$H$5:$H$1004,$T648)="","",INDEX(Firms!$H$5:$H$1004,$T648)),IF(INDEX('AFA Rates'!$G$5:$G$1004,$T648)="","",INDEX('AFA Rates'!$G$5:$G$1004,$T648))))</f>
        <v/>
      </c>
      <c r="J648" s="50">
        <f>IF($T648="","",IF($S648="S",IF(INDEX(Firms!$I$5:$I$1004,$T648)="","",INDEX(Firms!$I$5:$I$1004,$T648)),IF(INDEX('AFA Rates'!$H$5:$H$1004,$T648)="","",INDEX('AFA Rates'!$H$5:$H$1004,$T648))))</f>
        <v/>
      </c>
      <c r="K648" s="50">
        <f>IF($T648="","",IF($S648="S",IF(INDEX(Firms!$J$5:$J$1004,$T648)="","",INDEX(Firms!$J$5:$J$1004,$T648)),IF(INDEX('AFA Rates'!$I$5:$I$1004,$T648)="","",INDEX('AFA Rates'!$I$5:$I$1004,$T648))))</f>
        <v/>
      </c>
      <c r="L648" s="50">
        <f>IF($T648="","",IF($S648="S",IF(INDEX(Firms!$K$5:$K$1004,$T648)="","",INDEX(Firms!$K$5:$K$1004,$T648)),IF(INDEX('AFA Rates'!$J$5:$J$1004,$T648)="","",INDEX('AFA Rates'!$J$5:$J$1004,$T648))))</f>
        <v/>
      </c>
      <c r="M648" s="50">
        <f>IF($T648="","",IF($S648="S",IF(INDEX(Firms!$L$5:$L$1004,$T648)="","",INDEX(Firms!$L$5:$L$1004,$T648)),IF(INDEX('AFA Rates'!$K$5:$K$1004,$T648)="","",INDEX('AFA Rates'!$K$5:$K$1004,$T648))))</f>
        <v/>
      </c>
      <c r="N648" s="50">
        <f>IF($T648="","",IF($S648="S",IF(INDEX(Firms!$M$5:$M$1004,$T648)="","",INDEX(Firms!$M$5:$M$1004,$T648)),IF(INDEX('AFA Rates'!$L$5:$L$1004,$T648)="","",INDEX('AFA Rates'!$L$5:$L$1004,$T648))))</f>
        <v/>
      </c>
      <c r="O648" s="78">
        <f>IF(OR($T648="",$U648=""),"",IF(INDEX(Firms!$C$5:$C$1004,$U648)="","",INDEX(Firms!$C$5:$C$1004,$U648)))</f>
        <v/>
      </c>
      <c r="P648" s="79">
        <f>IF(OR($T648="",$U648=""),"",IF(INDEX(Firms!$N$5:$N$1004,$U648)="","",INDEX(Firms!$N$5:$N$1004,$U648)))</f>
        <v/>
      </c>
      <c r="Q648" s="78">
        <f>IF($T648="","",IF($S648="S",IF(INDEX(Firms!$T$5:$T$1004,$T648)="","",INDEX(Firms!$T$5:$T$1004,$T648)),IF(INDEX('AFA Rates'!$M$5:$M$1004,$T648)="","",INDEX('AFA Rates'!$M$5:$M$1004,$T648))))</f>
        <v/>
      </c>
      <c r="S648">
        <f>IF(644&lt;=$S$2,"S",IF(644&lt;=$S$2+$T$2,"A",""))</f>
        <v/>
      </c>
      <c r="T648">
        <f>IF(S648="S",MATCH(644,Firms!$W$5:$W$1004,0),IF(S648="A",IFERROR(MATCH(644-$S$2,'AFA Rates'!$R$5:$R$1004,0),""),""))</f>
        <v/>
      </c>
      <c r="U648">
        <f>IF(S648="S",T648,IF(AND(S648="A",T648&lt;&gt;""),IFERROR(MATCH(INDEX('AFA Rates'!$A$5:$A$1004,T648),Firms!$A$5:$A$1004,0),""),""))</f>
        <v/>
      </c>
    </row>
    <row r="649">
      <c r="A649" s="78">
        <f>IF($T649="","",IF($S649="S",IF(INDEX(Firms!$A$5:$A$1004,$T649)="","",INDEX(Firms!$A$5:$A$1004,$T649)),IF(INDEX('AFA Rates'!$A$5:$A$1004,$T649)="","",INDEX('AFA Rates'!$A$5:$A$1004,$T649))))</f>
        <v/>
      </c>
      <c r="B649" s="79">
        <f>IF(OR($T649="",$U649=""),IF($T649="","","Not on Firms tab"),INDEX(Firms!$B$5:$B$1004,$U649)&amp;"")</f>
        <v/>
      </c>
      <c r="C649" s="78">
        <f>IF($T649="","",IF($S649="S","Standard",INDEX('AFA Rates'!$B$5:$B$1004,$T649)&amp;""))</f>
        <v/>
      </c>
      <c r="D649" s="88">
        <f>IF($T649="","",IF($S649="S",IF(INDEX(Firms!$E$5:$E$1004,$T649)="","",INDEX(Firms!$E$5:$E$1004,$T649)),IF(INDEX('AFA Rates'!$C$5:$C$1004,$T649)="","",INDEX('AFA Rates'!$C$5:$C$1004,$T649))))</f>
        <v/>
      </c>
      <c r="E649" s="88">
        <f>IF($T649="","",IF($S649="S",IF(""="","",""),IF(INDEX('AFA Rates'!$D$5:$D$1004,$T649)="","",INDEX('AFA Rates'!$D$5:$D$1004,$T649))))</f>
        <v/>
      </c>
      <c r="F649" s="79">
        <f>IF($T649="","",IF($S649="S",IF(INDEX(Firms!$O$5:$O$1004,$T649)="","",INDEX(Firms!$O$5:$O$1004,$T649)),IF(INDEX('AFA Rates'!$O$5:$O$1004,$T649)="","",INDEX('AFA Rates'!$O$5:$O$1004,$T649))))</f>
        <v/>
      </c>
      <c r="G649" s="50">
        <f>IF($T649="","",IF($S649="S",IF(INDEX(Firms!$F$5:$F$1004,$T649)="","",INDEX(Firms!$F$5:$F$1004,$T649)),IF(INDEX('AFA Rates'!$E$5:$E$1004,$T649)="","",INDEX('AFA Rates'!$E$5:$E$1004,$T649))))</f>
        <v/>
      </c>
      <c r="H649" s="50">
        <f>IF($T649="","",IF($S649="S",IF(INDEX(Firms!$G$5:$G$1004,$T649)="","",INDEX(Firms!$G$5:$G$1004,$T649)),IF(INDEX('AFA Rates'!$F$5:$F$1004,$T649)="","",INDEX('AFA Rates'!$F$5:$F$1004,$T649))))</f>
        <v/>
      </c>
      <c r="I649" s="50">
        <f>IF($T649="","",IF($S649="S",IF(INDEX(Firms!$H$5:$H$1004,$T649)="","",INDEX(Firms!$H$5:$H$1004,$T649)),IF(INDEX('AFA Rates'!$G$5:$G$1004,$T649)="","",INDEX('AFA Rates'!$G$5:$G$1004,$T649))))</f>
        <v/>
      </c>
      <c r="J649" s="50">
        <f>IF($T649="","",IF($S649="S",IF(INDEX(Firms!$I$5:$I$1004,$T649)="","",INDEX(Firms!$I$5:$I$1004,$T649)),IF(INDEX('AFA Rates'!$H$5:$H$1004,$T649)="","",INDEX('AFA Rates'!$H$5:$H$1004,$T649))))</f>
        <v/>
      </c>
      <c r="K649" s="50">
        <f>IF($T649="","",IF($S649="S",IF(INDEX(Firms!$J$5:$J$1004,$T649)="","",INDEX(Firms!$J$5:$J$1004,$T649)),IF(INDEX('AFA Rates'!$I$5:$I$1004,$T649)="","",INDEX('AFA Rates'!$I$5:$I$1004,$T649))))</f>
        <v/>
      </c>
      <c r="L649" s="50">
        <f>IF($T649="","",IF($S649="S",IF(INDEX(Firms!$K$5:$K$1004,$T649)="","",INDEX(Firms!$K$5:$K$1004,$T649)),IF(INDEX('AFA Rates'!$J$5:$J$1004,$T649)="","",INDEX('AFA Rates'!$J$5:$J$1004,$T649))))</f>
        <v/>
      </c>
      <c r="M649" s="50">
        <f>IF($T649="","",IF($S649="S",IF(INDEX(Firms!$L$5:$L$1004,$T649)="","",INDEX(Firms!$L$5:$L$1004,$T649)),IF(INDEX('AFA Rates'!$K$5:$K$1004,$T649)="","",INDEX('AFA Rates'!$K$5:$K$1004,$T649))))</f>
        <v/>
      </c>
      <c r="N649" s="50">
        <f>IF($T649="","",IF($S649="S",IF(INDEX(Firms!$M$5:$M$1004,$T649)="","",INDEX(Firms!$M$5:$M$1004,$T649)),IF(INDEX('AFA Rates'!$L$5:$L$1004,$T649)="","",INDEX('AFA Rates'!$L$5:$L$1004,$T649))))</f>
        <v/>
      </c>
      <c r="O649" s="78">
        <f>IF(OR($T649="",$U649=""),"",IF(INDEX(Firms!$C$5:$C$1004,$U649)="","",INDEX(Firms!$C$5:$C$1004,$U649)))</f>
        <v/>
      </c>
      <c r="P649" s="79">
        <f>IF(OR($T649="",$U649=""),"",IF(INDEX(Firms!$N$5:$N$1004,$U649)="","",INDEX(Firms!$N$5:$N$1004,$U649)))</f>
        <v/>
      </c>
      <c r="Q649" s="78">
        <f>IF($T649="","",IF($S649="S",IF(INDEX(Firms!$T$5:$T$1004,$T649)="","",INDEX(Firms!$T$5:$T$1004,$T649)),IF(INDEX('AFA Rates'!$M$5:$M$1004,$T649)="","",INDEX('AFA Rates'!$M$5:$M$1004,$T649))))</f>
        <v/>
      </c>
      <c r="S649">
        <f>IF(645&lt;=$S$2,"S",IF(645&lt;=$S$2+$T$2,"A",""))</f>
        <v/>
      </c>
      <c r="T649">
        <f>IF(S649="S",MATCH(645,Firms!$W$5:$W$1004,0),IF(S649="A",IFERROR(MATCH(645-$S$2,'AFA Rates'!$R$5:$R$1004,0),""),""))</f>
        <v/>
      </c>
      <c r="U649">
        <f>IF(S649="S",T649,IF(AND(S649="A",T649&lt;&gt;""),IFERROR(MATCH(INDEX('AFA Rates'!$A$5:$A$1004,T649),Firms!$A$5:$A$1004,0),""),""))</f>
        <v/>
      </c>
    </row>
    <row r="650">
      <c r="A650" s="78">
        <f>IF($T650="","",IF($S650="S",IF(INDEX(Firms!$A$5:$A$1004,$T650)="","",INDEX(Firms!$A$5:$A$1004,$T650)),IF(INDEX('AFA Rates'!$A$5:$A$1004,$T650)="","",INDEX('AFA Rates'!$A$5:$A$1004,$T650))))</f>
        <v/>
      </c>
      <c r="B650" s="79">
        <f>IF(OR($T650="",$U650=""),IF($T650="","","Not on Firms tab"),INDEX(Firms!$B$5:$B$1004,$U650)&amp;"")</f>
        <v/>
      </c>
      <c r="C650" s="78">
        <f>IF($T650="","",IF($S650="S","Standard",INDEX('AFA Rates'!$B$5:$B$1004,$T650)&amp;""))</f>
        <v/>
      </c>
      <c r="D650" s="88">
        <f>IF($T650="","",IF($S650="S",IF(INDEX(Firms!$E$5:$E$1004,$T650)="","",INDEX(Firms!$E$5:$E$1004,$T650)),IF(INDEX('AFA Rates'!$C$5:$C$1004,$T650)="","",INDEX('AFA Rates'!$C$5:$C$1004,$T650))))</f>
        <v/>
      </c>
      <c r="E650" s="88">
        <f>IF($T650="","",IF($S650="S",IF(""="","",""),IF(INDEX('AFA Rates'!$D$5:$D$1004,$T650)="","",INDEX('AFA Rates'!$D$5:$D$1004,$T650))))</f>
        <v/>
      </c>
      <c r="F650" s="79">
        <f>IF($T650="","",IF($S650="S",IF(INDEX(Firms!$O$5:$O$1004,$T650)="","",INDEX(Firms!$O$5:$O$1004,$T650)),IF(INDEX('AFA Rates'!$O$5:$O$1004,$T650)="","",INDEX('AFA Rates'!$O$5:$O$1004,$T650))))</f>
        <v/>
      </c>
      <c r="G650" s="50">
        <f>IF($T650="","",IF($S650="S",IF(INDEX(Firms!$F$5:$F$1004,$T650)="","",INDEX(Firms!$F$5:$F$1004,$T650)),IF(INDEX('AFA Rates'!$E$5:$E$1004,$T650)="","",INDEX('AFA Rates'!$E$5:$E$1004,$T650))))</f>
        <v/>
      </c>
      <c r="H650" s="50">
        <f>IF($T650="","",IF($S650="S",IF(INDEX(Firms!$G$5:$G$1004,$T650)="","",INDEX(Firms!$G$5:$G$1004,$T650)),IF(INDEX('AFA Rates'!$F$5:$F$1004,$T650)="","",INDEX('AFA Rates'!$F$5:$F$1004,$T650))))</f>
        <v/>
      </c>
      <c r="I650" s="50">
        <f>IF($T650="","",IF($S650="S",IF(INDEX(Firms!$H$5:$H$1004,$T650)="","",INDEX(Firms!$H$5:$H$1004,$T650)),IF(INDEX('AFA Rates'!$G$5:$G$1004,$T650)="","",INDEX('AFA Rates'!$G$5:$G$1004,$T650))))</f>
        <v/>
      </c>
      <c r="J650" s="50">
        <f>IF($T650="","",IF($S650="S",IF(INDEX(Firms!$I$5:$I$1004,$T650)="","",INDEX(Firms!$I$5:$I$1004,$T650)),IF(INDEX('AFA Rates'!$H$5:$H$1004,$T650)="","",INDEX('AFA Rates'!$H$5:$H$1004,$T650))))</f>
        <v/>
      </c>
      <c r="K650" s="50">
        <f>IF($T650="","",IF($S650="S",IF(INDEX(Firms!$J$5:$J$1004,$T650)="","",INDEX(Firms!$J$5:$J$1004,$T650)),IF(INDEX('AFA Rates'!$I$5:$I$1004,$T650)="","",INDEX('AFA Rates'!$I$5:$I$1004,$T650))))</f>
        <v/>
      </c>
      <c r="L650" s="50">
        <f>IF($T650="","",IF($S650="S",IF(INDEX(Firms!$K$5:$K$1004,$T650)="","",INDEX(Firms!$K$5:$K$1004,$T650)),IF(INDEX('AFA Rates'!$J$5:$J$1004,$T650)="","",INDEX('AFA Rates'!$J$5:$J$1004,$T650))))</f>
        <v/>
      </c>
      <c r="M650" s="50">
        <f>IF($T650="","",IF($S650="S",IF(INDEX(Firms!$L$5:$L$1004,$T650)="","",INDEX(Firms!$L$5:$L$1004,$T650)),IF(INDEX('AFA Rates'!$K$5:$K$1004,$T650)="","",INDEX('AFA Rates'!$K$5:$K$1004,$T650))))</f>
        <v/>
      </c>
      <c r="N650" s="50">
        <f>IF($T650="","",IF($S650="S",IF(INDEX(Firms!$M$5:$M$1004,$T650)="","",INDEX(Firms!$M$5:$M$1004,$T650)),IF(INDEX('AFA Rates'!$L$5:$L$1004,$T650)="","",INDEX('AFA Rates'!$L$5:$L$1004,$T650))))</f>
        <v/>
      </c>
      <c r="O650" s="78">
        <f>IF(OR($T650="",$U650=""),"",IF(INDEX(Firms!$C$5:$C$1004,$U650)="","",INDEX(Firms!$C$5:$C$1004,$U650)))</f>
        <v/>
      </c>
      <c r="P650" s="79">
        <f>IF(OR($T650="",$U650=""),"",IF(INDEX(Firms!$N$5:$N$1004,$U650)="","",INDEX(Firms!$N$5:$N$1004,$U650)))</f>
        <v/>
      </c>
      <c r="Q650" s="78">
        <f>IF($T650="","",IF($S650="S",IF(INDEX(Firms!$T$5:$T$1004,$T650)="","",INDEX(Firms!$T$5:$T$1004,$T650)),IF(INDEX('AFA Rates'!$M$5:$M$1004,$T650)="","",INDEX('AFA Rates'!$M$5:$M$1004,$T650))))</f>
        <v/>
      </c>
      <c r="S650">
        <f>IF(646&lt;=$S$2,"S",IF(646&lt;=$S$2+$T$2,"A",""))</f>
        <v/>
      </c>
      <c r="T650">
        <f>IF(S650="S",MATCH(646,Firms!$W$5:$W$1004,0),IF(S650="A",IFERROR(MATCH(646-$S$2,'AFA Rates'!$R$5:$R$1004,0),""),""))</f>
        <v/>
      </c>
      <c r="U650">
        <f>IF(S650="S",T650,IF(AND(S650="A",T650&lt;&gt;""),IFERROR(MATCH(INDEX('AFA Rates'!$A$5:$A$1004,T650),Firms!$A$5:$A$1004,0),""),""))</f>
        <v/>
      </c>
    </row>
    <row r="651">
      <c r="A651" s="78">
        <f>IF($T651="","",IF($S651="S",IF(INDEX(Firms!$A$5:$A$1004,$T651)="","",INDEX(Firms!$A$5:$A$1004,$T651)),IF(INDEX('AFA Rates'!$A$5:$A$1004,$T651)="","",INDEX('AFA Rates'!$A$5:$A$1004,$T651))))</f>
        <v/>
      </c>
      <c r="B651" s="79">
        <f>IF(OR($T651="",$U651=""),IF($T651="","","Not on Firms tab"),INDEX(Firms!$B$5:$B$1004,$U651)&amp;"")</f>
        <v/>
      </c>
      <c r="C651" s="78">
        <f>IF($T651="","",IF($S651="S","Standard",INDEX('AFA Rates'!$B$5:$B$1004,$T651)&amp;""))</f>
        <v/>
      </c>
      <c r="D651" s="88">
        <f>IF($T651="","",IF($S651="S",IF(INDEX(Firms!$E$5:$E$1004,$T651)="","",INDEX(Firms!$E$5:$E$1004,$T651)),IF(INDEX('AFA Rates'!$C$5:$C$1004,$T651)="","",INDEX('AFA Rates'!$C$5:$C$1004,$T651))))</f>
        <v/>
      </c>
      <c r="E651" s="88">
        <f>IF($T651="","",IF($S651="S",IF(""="","",""),IF(INDEX('AFA Rates'!$D$5:$D$1004,$T651)="","",INDEX('AFA Rates'!$D$5:$D$1004,$T651))))</f>
        <v/>
      </c>
      <c r="F651" s="79">
        <f>IF($T651="","",IF($S651="S",IF(INDEX(Firms!$O$5:$O$1004,$T651)="","",INDEX(Firms!$O$5:$O$1004,$T651)),IF(INDEX('AFA Rates'!$O$5:$O$1004,$T651)="","",INDEX('AFA Rates'!$O$5:$O$1004,$T651))))</f>
        <v/>
      </c>
      <c r="G651" s="50">
        <f>IF($T651="","",IF($S651="S",IF(INDEX(Firms!$F$5:$F$1004,$T651)="","",INDEX(Firms!$F$5:$F$1004,$T651)),IF(INDEX('AFA Rates'!$E$5:$E$1004,$T651)="","",INDEX('AFA Rates'!$E$5:$E$1004,$T651))))</f>
        <v/>
      </c>
      <c r="H651" s="50">
        <f>IF($T651="","",IF($S651="S",IF(INDEX(Firms!$G$5:$G$1004,$T651)="","",INDEX(Firms!$G$5:$G$1004,$T651)),IF(INDEX('AFA Rates'!$F$5:$F$1004,$T651)="","",INDEX('AFA Rates'!$F$5:$F$1004,$T651))))</f>
        <v/>
      </c>
      <c r="I651" s="50">
        <f>IF($T651="","",IF($S651="S",IF(INDEX(Firms!$H$5:$H$1004,$T651)="","",INDEX(Firms!$H$5:$H$1004,$T651)),IF(INDEX('AFA Rates'!$G$5:$G$1004,$T651)="","",INDEX('AFA Rates'!$G$5:$G$1004,$T651))))</f>
        <v/>
      </c>
      <c r="J651" s="50">
        <f>IF($T651="","",IF($S651="S",IF(INDEX(Firms!$I$5:$I$1004,$T651)="","",INDEX(Firms!$I$5:$I$1004,$T651)),IF(INDEX('AFA Rates'!$H$5:$H$1004,$T651)="","",INDEX('AFA Rates'!$H$5:$H$1004,$T651))))</f>
        <v/>
      </c>
      <c r="K651" s="50">
        <f>IF($T651="","",IF($S651="S",IF(INDEX(Firms!$J$5:$J$1004,$T651)="","",INDEX(Firms!$J$5:$J$1004,$T651)),IF(INDEX('AFA Rates'!$I$5:$I$1004,$T651)="","",INDEX('AFA Rates'!$I$5:$I$1004,$T651))))</f>
        <v/>
      </c>
      <c r="L651" s="50">
        <f>IF($T651="","",IF($S651="S",IF(INDEX(Firms!$K$5:$K$1004,$T651)="","",INDEX(Firms!$K$5:$K$1004,$T651)),IF(INDEX('AFA Rates'!$J$5:$J$1004,$T651)="","",INDEX('AFA Rates'!$J$5:$J$1004,$T651))))</f>
        <v/>
      </c>
      <c r="M651" s="50">
        <f>IF($T651="","",IF($S651="S",IF(INDEX(Firms!$L$5:$L$1004,$T651)="","",INDEX(Firms!$L$5:$L$1004,$T651)),IF(INDEX('AFA Rates'!$K$5:$K$1004,$T651)="","",INDEX('AFA Rates'!$K$5:$K$1004,$T651))))</f>
        <v/>
      </c>
      <c r="N651" s="50">
        <f>IF($T651="","",IF($S651="S",IF(INDEX(Firms!$M$5:$M$1004,$T651)="","",INDEX(Firms!$M$5:$M$1004,$T651)),IF(INDEX('AFA Rates'!$L$5:$L$1004,$T651)="","",INDEX('AFA Rates'!$L$5:$L$1004,$T651))))</f>
        <v/>
      </c>
      <c r="O651" s="78">
        <f>IF(OR($T651="",$U651=""),"",IF(INDEX(Firms!$C$5:$C$1004,$U651)="","",INDEX(Firms!$C$5:$C$1004,$U651)))</f>
        <v/>
      </c>
      <c r="P651" s="79">
        <f>IF(OR($T651="",$U651=""),"",IF(INDEX(Firms!$N$5:$N$1004,$U651)="","",INDEX(Firms!$N$5:$N$1004,$U651)))</f>
        <v/>
      </c>
      <c r="Q651" s="78">
        <f>IF($T651="","",IF($S651="S",IF(INDEX(Firms!$T$5:$T$1004,$T651)="","",INDEX(Firms!$T$5:$T$1004,$T651)),IF(INDEX('AFA Rates'!$M$5:$M$1004,$T651)="","",INDEX('AFA Rates'!$M$5:$M$1004,$T651))))</f>
        <v/>
      </c>
      <c r="S651">
        <f>IF(647&lt;=$S$2,"S",IF(647&lt;=$S$2+$T$2,"A",""))</f>
        <v/>
      </c>
      <c r="T651">
        <f>IF(S651="S",MATCH(647,Firms!$W$5:$W$1004,0),IF(S651="A",IFERROR(MATCH(647-$S$2,'AFA Rates'!$R$5:$R$1004,0),""),""))</f>
        <v/>
      </c>
      <c r="U651">
        <f>IF(S651="S",T651,IF(AND(S651="A",T651&lt;&gt;""),IFERROR(MATCH(INDEX('AFA Rates'!$A$5:$A$1004,T651),Firms!$A$5:$A$1004,0),""),""))</f>
        <v/>
      </c>
    </row>
    <row r="652">
      <c r="A652" s="78">
        <f>IF($T652="","",IF($S652="S",IF(INDEX(Firms!$A$5:$A$1004,$T652)="","",INDEX(Firms!$A$5:$A$1004,$T652)),IF(INDEX('AFA Rates'!$A$5:$A$1004,$T652)="","",INDEX('AFA Rates'!$A$5:$A$1004,$T652))))</f>
        <v/>
      </c>
      <c r="B652" s="79">
        <f>IF(OR($T652="",$U652=""),IF($T652="","","Not on Firms tab"),INDEX(Firms!$B$5:$B$1004,$U652)&amp;"")</f>
        <v/>
      </c>
      <c r="C652" s="78">
        <f>IF($T652="","",IF($S652="S","Standard",INDEX('AFA Rates'!$B$5:$B$1004,$T652)&amp;""))</f>
        <v/>
      </c>
      <c r="D652" s="88">
        <f>IF($T652="","",IF($S652="S",IF(INDEX(Firms!$E$5:$E$1004,$T652)="","",INDEX(Firms!$E$5:$E$1004,$T652)),IF(INDEX('AFA Rates'!$C$5:$C$1004,$T652)="","",INDEX('AFA Rates'!$C$5:$C$1004,$T652))))</f>
        <v/>
      </c>
      <c r="E652" s="88">
        <f>IF($T652="","",IF($S652="S",IF(""="","",""),IF(INDEX('AFA Rates'!$D$5:$D$1004,$T652)="","",INDEX('AFA Rates'!$D$5:$D$1004,$T652))))</f>
        <v/>
      </c>
      <c r="F652" s="79">
        <f>IF($T652="","",IF($S652="S",IF(INDEX(Firms!$O$5:$O$1004,$T652)="","",INDEX(Firms!$O$5:$O$1004,$T652)),IF(INDEX('AFA Rates'!$O$5:$O$1004,$T652)="","",INDEX('AFA Rates'!$O$5:$O$1004,$T652))))</f>
        <v/>
      </c>
      <c r="G652" s="50">
        <f>IF($T652="","",IF($S652="S",IF(INDEX(Firms!$F$5:$F$1004,$T652)="","",INDEX(Firms!$F$5:$F$1004,$T652)),IF(INDEX('AFA Rates'!$E$5:$E$1004,$T652)="","",INDEX('AFA Rates'!$E$5:$E$1004,$T652))))</f>
        <v/>
      </c>
      <c r="H652" s="50">
        <f>IF($T652="","",IF($S652="S",IF(INDEX(Firms!$G$5:$G$1004,$T652)="","",INDEX(Firms!$G$5:$G$1004,$T652)),IF(INDEX('AFA Rates'!$F$5:$F$1004,$T652)="","",INDEX('AFA Rates'!$F$5:$F$1004,$T652))))</f>
        <v/>
      </c>
      <c r="I652" s="50">
        <f>IF($T652="","",IF($S652="S",IF(INDEX(Firms!$H$5:$H$1004,$T652)="","",INDEX(Firms!$H$5:$H$1004,$T652)),IF(INDEX('AFA Rates'!$G$5:$G$1004,$T652)="","",INDEX('AFA Rates'!$G$5:$G$1004,$T652))))</f>
        <v/>
      </c>
      <c r="J652" s="50">
        <f>IF($T652="","",IF($S652="S",IF(INDEX(Firms!$I$5:$I$1004,$T652)="","",INDEX(Firms!$I$5:$I$1004,$T652)),IF(INDEX('AFA Rates'!$H$5:$H$1004,$T652)="","",INDEX('AFA Rates'!$H$5:$H$1004,$T652))))</f>
        <v/>
      </c>
      <c r="K652" s="50">
        <f>IF($T652="","",IF($S652="S",IF(INDEX(Firms!$J$5:$J$1004,$T652)="","",INDEX(Firms!$J$5:$J$1004,$T652)),IF(INDEX('AFA Rates'!$I$5:$I$1004,$T652)="","",INDEX('AFA Rates'!$I$5:$I$1004,$T652))))</f>
        <v/>
      </c>
      <c r="L652" s="50">
        <f>IF($T652="","",IF($S652="S",IF(INDEX(Firms!$K$5:$K$1004,$T652)="","",INDEX(Firms!$K$5:$K$1004,$T652)),IF(INDEX('AFA Rates'!$J$5:$J$1004,$T652)="","",INDEX('AFA Rates'!$J$5:$J$1004,$T652))))</f>
        <v/>
      </c>
      <c r="M652" s="50">
        <f>IF($T652="","",IF($S652="S",IF(INDEX(Firms!$L$5:$L$1004,$T652)="","",INDEX(Firms!$L$5:$L$1004,$T652)),IF(INDEX('AFA Rates'!$K$5:$K$1004,$T652)="","",INDEX('AFA Rates'!$K$5:$K$1004,$T652))))</f>
        <v/>
      </c>
      <c r="N652" s="50">
        <f>IF($T652="","",IF($S652="S",IF(INDEX(Firms!$M$5:$M$1004,$T652)="","",INDEX(Firms!$M$5:$M$1004,$T652)),IF(INDEX('AFA Rates'!$L$5:$L$1004,$T652)="","",INDEX('AFA Rates'!$L$5:$L$1004,$T652))))</f>
        <v/>
      </c>
      <c r="O652" s="78">
        <f>IF(OR($T652="",$U652=""),"",IF(INDEX(Firms!$C$5:$C$1004,$U652)="","",INDEX(Firms!$C$5:$C$1004,$U652)))</f>
        <v/>
      </c>
      <c r="P652" s="79">
        <f>IF(OR($T652="",$U652=""),"",IF(INDEX(Firms!$N$5:$N$1004,$U652)="","",INDEX(Firms!$N$5:$N$1004,$U652)))</f>
        <v/>
      </c>
      <c r="Q652" s="78">
        <f>IF($T652="","",IF($S652="S",IF(INDEX(Firms!$T$5:$T$1004,$T652)="","",INDEX(Firms!$T$5:$T$1004,$T652)),IF(INDEX('AFA Rates'!$M$5:$M$1004,$T652)="","",INDEX('AFA Rates'!$M$5:$M$1004,$T652))))</f>
        <v/>
      </c>
      <c r="S652">
        <f>IF(648&lt;=$S$2,"S",IF(648&lt;=$S$2+$T$2,"A",""))</f>
        <v/>
      </c>
      <c r="T652">
        <f>IF(S652="S",MATCH(648,Firms!$W$5:$W$1004,0),IF(S652="A",IFERROR(MATCH(648-$S$2,'AFA Rates'!$R$5:$R$1004,0),""),""))</f>
        <v/>
      </c>
      <c r="U652">
        <f>IF(S652="S",T652,IF(AND(S652="A",T652&lt;&gt;""),IFERROR(MATCH(INDEX('AFA Rates'!$A$5:$A$1004,T652),Firms!$A$5:$A$1004,0),""),""))</f>
        <v/>
      </c>
    </row>
    <row r="653">
      <c r="A653" s="78">
        <f>IF($T653="","",IF($S653="S",IF(INDEX(Firms!$A$5:$A$1004,$T653)="","",INDEX(Firms!$A$5:$A$1004,$T653)),IF(INDEX('AFA Rates'!$A$5:$A$1004,$T653)="","",INDEX('AFA Rates'!$A$5:$A$1004,$T653))))</f>
        <v/>
      </c>
      <c r="B653" s="79">
        <f>IF(OR($T653="",$U653=""),IF($T653="","","Not on Firms tab"),INDEX(Firms!$B$5:$B$1004,$U653)&amp;"")</f>
        <v/>
      </c>
      <c r="C653" s="78">
        <f>IF($T653="","",IF($S653="S","Standard",INDEX('AFA Rates'!$B$5:$B$1004,$T653)&amp;""))</f>
        <v/>
      </c>
      <c r="D653" s="88">
        <f>IF($T653="","",IF($S653="S",IF(INDEX(Firms!$E$5:$E$1004,$T653)="","",INDEX(Firms!$E$5:$E$1004,$T653)),IF(INDEX('AFA Rates'!$C$5:$C$1004,$T653)="","",INDEX('AFA Rates'!$C$5:$C$1004,$T653))))</f>
        <v/>
      </c>
      <c r="E653" s="88">
        <f>IF($T653="","",IF($S653="S",IF(""="","",""),IF(INDEX('AFA Rates'!$D$5:$D$1004,$T653)="","",INDEX('AFA Rates'!$D$5:$D$1004,$T653))))</f>
        <v/>
      </c>
      <c r="F653" s="79">
        <f>IF($T653="","",IF($S653="S",IF(INDEX(Firms!$O$5:$O$1004,$T653)="","",INDEX(Firms!$O$5:$O$1004,$T653)),IF(INDEX('AFA Rates'!$O$5:$O$1004,$T653)="","",INDEX('AFA Rates'!$O$5:$O$1004,$T653))))</f>
        <v/>
      </c>
      <c r="G653" s="50">
        <f>IF($T653="","",IF($S653="S",IF(INDEX(Firms!$F$5:$F$1004,$T653)="","",INDEX(Firms!$F$5:$F$1004,$T653)),IF(INDEX('AFA Rates'!$E$5:$E$1004,$T653)="","",INDEX('AFA Rates'!$E$5:$E$1004,$T653))))</f>
        <v/>
      </c>
      <c r="H653" s="50">
        <f>IF($T653="","",IF($S653="S",IF(INDEX(Firms!$G$5:$G$1004,$T653)="","",INDEX(Firms!$G$5:$G$1004,$T653)),IF(INDEX('AFA Rates'!$F$5:$F$1004,$T653)="","",INDEX('AFA Rates'!$F$5:$F$1004,$T653))))</f>
        <v/>
      </c>
      <c r="I653" s="50">
        <f>IF($T653="","",IF($S653="S",IF(INDEX(Firms!$H$5:$H$1004,$T653)="","",INDEX(Firms!$H$5:$H$1004,$T653)),IF(INDEX('AFA Rates'!$G$5:$G$1004,$T653)="","",INDEX('AFA Rates'!$G$5:$G$1004,$T653))))</f>
        <v/>
      </c>
      <c r="J653" s="50">
        <f>IF($T653="","",IF($S653="S",IF(INDEX(Firms!$I$5:$I$1004,$T653)="","",INDEX(Firms!$I$5:$I$1004,$T653)),IF(INDEX('AFA Rates'!$H$5:$H$1004,$T653)="","",INDEX('AFA Rates'!$H$5:$H$1004,$T653))))</f>
        <v/>
      </c>
      <c r="K653" s="50">
        <f>IF($T653="","",IF($S653="S",IF(INDEX(Firms!$J$5:$J$1004,$T653)="","",INDEX(Firms!$J$5:$J$1004,$T653)),IF(INDEX('AFA Rates'!$I$5:$I$1004,$T653)="","",INDEX('AFA Rates'!$I$5:$I$1004,$T653))))</f>
        <v/>
      </c>
      <c r="L653" s="50">
        <f>IF($T653="","",IF($S653="S",IF(INDEX(Firms!$K$5:$K$1004,$T653)="","",INDEX(Firms!$K$5:$K$1004,$T653)),IF(INDEX('AFA Rates'!$J$5:$J$1004,$T653)="","",INDEX('AFA Rates'!$J$5:$J$1004,$T653))))</f>
        <v/>
      </c>
      <c r="M653" s="50">
        <f>IF($T653="","",IF($S653="S",IF(INDEX(Firms!$L$5:$L$1004,$T653)="","",INDEX(Firms!$L$5:$L$1004,$T653)),IF(INDEX('AFA Rates'!$K$5:$K$1004,$T653)="","",INDEX('AFA Rates'!$K$5:$K$1004,$T653))))</f>
        <v/>
      </c>
      <c r="N653" s="50">
        <f>IF($T653="","",IF($S653="S",IF(INDEX(Firms!$M$5:$M$1004,$T653)="","",INDEX(Firms!$M$5:$M$1004,$T653)),IF(INDEX('AFA Rates'!$L$5:$L$1004,$T653)="","",INDEX('AFA Rates'!$L$5:$L$1004,$T653))))</f>
        <v/>
      </c>
      <c r="O653" s="78">
        <f>IF(OR($T653="",$U653=""),"",IF(INDEX(Firms!$C$5:$C$1004,$U653)="","",INDEX(Firms!$C$5:$C$1004,$U653)))</f>
        <v/>
      </c>
      <c r="P653" s="79">
        <f>IF(OR($T653="",$U653=""),"",IF(INDEX(Firms!$N$5:$N$1004,$U653)="","",INDEX(Firms!$N$5:$N$1004,$U653)))</f>
        <v/>
      </c>
      <c r="Q653" s="78">
        <f>IF($T653="","",IF($S653="S",IF(INDEX(Firms!$T$5:$T$1004,$T653)="","",INDEX(Firms!$T$5:$T$1004,$T653)),IF(INDEX('AFA Rates'!$M$5:$M$1004,$T653)="","",INDEX('AFA Rates'!$M$5:$M$1004,$T653))))</f>
        <v/>
      </c>
      <c r="S653">
        <f>IF(649&lt;=$S$2,"S",IF(649&lt;=$S$2+$T$2,"A",""))</f>
        <v/>
      </c>
      <c r="T653">
        <f>IF(S653="S",MATCH(649,Firms!$W$5:$W$1004,0),IF(S653="A",IFERROR(MATCH(649-$S$2,'AFA Rates'!$R$5:$R$1004,0),""),""))</f>
        <v/>
      </c>
      <c r="U653">
        <f>IF(S653="S",T653,IF(AND(S653="A",T653&lt;&gt;""),IFERROR(MATCH(INDEX('AFA Rates'!$A$5:$A$1004,T653),Firms!$A$5:$A$1004,0),""),""))</f>
        <v/>
      </c>
    </row>
    <row r="654">
      <c r="A654" s="78">
        <f>IF($T654="","",IF($S654="S",IF(INDEX(Firms!$A$5:$A$1004,$T654)="","",INDEX(Firms!$A$5:$A$1004,$T654)),IF(INDEX('AFA Rates'!$A$5:$A$1004,$T654)="","",INDEX('AFA Rates'!$A$5:$A$1004,$T654))))</f>
        <v/>
      </c>
      <c r="B654" s="79">
        <f>IF(OR($T654="",$U654=""),IF($T654="","","Not on Firms tab"),INDEX(Firms!$B$5:$B$1004,$U654)&amp;"")</f>
        <v/>
      </c>
      <c r="C654" s="78">
        <f>IF($T654="","",IF($S654="S","Standard",INDEX('AFA Rates'!$B$5:$B$1004,$T654)&amp;""))</f>
        <v/>
      </c>
      <c r="D654" s="88">
        <f>IF($T654="","",IF($S654="S",IF(INDEX(Firms!$E$5:$E$1004,$T654)="","",INDEX(Firms!$E$5:$E$1004,$T654)),IF(INDEX('AFA Rates'!$C$5:$C$1004,$T654)="","",INDEX('AFA Rates'!$C$5:$C$1004,$T654))))</f>
        <v/>
      </c>
      <c r="E654" s="88">
        <f>IF($T654="","",IF($S654="S",IF(""="","",""),IF(INDEX('AFA Rates'!$D$5:$D$1004,$T654)="","",INDEX('AFA Rates'!$D$5:$D$1004,$T654))))</f>
        <v/>
      </c>
      <c r="F654" s="79">
        <f>IF($T654="","",IF($S654="S",IF(INDEX(Firms!$O$5:$O$1004,$T654)="","",INDEX(Firms!$O$5:$O$1004,$T654)),IF(INDEX('AFA Rates'!$O$5:$O$1004,$T654)="","",INDEX('AFA Rates'!$O$5:$O$1004,$T654))))</f>
        <v/>
      </c>
      <c r="G654" s="50">
        <f>IF($T654="","",IF($S654="S",IF(INDEX(Firms!$F$5:$F$1004,$T654)="","",INDEX(Firms!$F$5:$F$1004,$T654)),IF(INDEX('AFA Rates'!$E$5:$E$1004,$T654)="","",INDEX('AFA Rates'!$E$5:$E$1004,$T654))))</f>
        <v/>
      </c>
      <c r="H654" s="50">
        <f>IF($T654="","",IF($S654="S",IF(INDEX(Firms!$G$5:$G$1004,$T654)="","",INDEX(Firms!$G$5:$G$1004,$T654)),IF(INDEX('AFA Rates'!$F$5:$F$1004,$T654)="","",INDEX('AFA Rates'!$F$5:$F$1004,$T654))))</f>
        <v/>
      </c>
      <c r="I654" s="50">
        <f>IF($T654="","",IF($S654="S",IF(INDEX(Firms!$H$5:$H$1004,$T654)="","",INDEX(Firms!$H$5:$H$1004,$T654)),IF(INDEX('AFA Rates'!$G$5:$G$1004,$T654)="","",INDEX('AFA Rates'!$G$5:$G$1004,$T654))))</f>
        <v/>
      </c>
      <c r="J654" s="50">
        <f>IF($T654="","",IF($S654="S",IF(INDEX(Firms!$I$5:$I$1004,$T654)="","",INDEX(Firms!$I$5:$I$1004,$T654)),IF(INDEX('AFA Rates'!$H$5:$H$1004,$T654)="","",INDEX('AFA Rates'!$H$5:$H$1004,$T654))))</f>
        <v/>
      </c>
      <c r="K654" s="50">
        <f>IF($T654="","",IF($S654="S",IF(INDEX(Firms!$J$5:$J$1004,$T654)="","",INDEX(Firms!$J$5:$J$1004,$T654)),IF(INDEX('AFA Rates'!$I$5:$I$1004,$T654)="","",INDEX('AFA Rates'!$I$5:$I$1004,$T654))))</f>
        <v/>
      </c>
      <c r="L654" s="50">
        <f>IF($T654="","",IF($S654="S",IF(INDEX(Firms!$K$5:$K$1004,$T654)="","",INDEX(Firms!$K$5:$K$1004,$T654)),IF(INDEX('AFA Rates'!$J$5:$J$1004,$T654)="","",INDEX('AFA Rates'!$J$5:$J$1004,$T654))))</f>
        <v/>
      </c>
      <c r="M654" s="50">
        <f>IF($T654="","",IF($S654="S",IF(INDEX(Firms!$L$5:$L$1004,$T654)="","",INDEX(Firms!$L$5:$L$1004,$T654)),IF(INDEX('AFA Rates'!$K$5:$K$1004,$T654)="","",INDEX('AFA Rates'!$K$5:$K$1004,$T654))))</f>
        <v/>
      </c>
      <c r="N654" s="50">
        <f>IF($T654="","",IF($S654="S",IF(INDEX(Firms!$M$5:$M$1004,$T654)="","",INDEX(Firms!$M$5:$M$1004,$T654)),IF(INDEX('AFA Rates'!$L$5:$L$1004,$T654)="","",INDEX('AFA Rates'!$L$5:$L$1004,$T654))))</f>
        <v/>
      </c>
      <c r="O654" s="78">
        <f>IF(OR($T654="",$U654=""),"",IF(INDEX(Firms!$C$5:$C$1004,$U654)="","",INDEX(Firms!$C$5:$C$1004,$U654)))</f>
        <v/>
      </c>
      <c r="P654" s="79">
        <f>IF(OR($T654="",$U654=""),"",IF(INDEX(Firms!$N$5:$N$1004,$U654)="","",INDEX(Firms!$N$5:$N$1004,$U654)))</f>
        <v/>
      </c>
      <c r="Q654" s="78">
        <f>IF($T654="","",IF($S654="S",IF(INDEX(Firms!$T$5:$T$1004,$T654)="","",INDEX(Firms!$T$5:$T$1004,$T654)),IF(INDEX('AFA Rates'!$M$5:$M$1004,$T654)="","",INDEX('AFA Rates'!$M$5:$M$1004,$T654))))</f>
        <v/>
      </c>
      <c r="S654">
        <f>IF(650&lt;=$S$2,"S",IF(650&lt;=$S$2+$T$2,"A",""))</f>
        <v/>
      </c>
      <c r="T654">
        <f>IF(S654="S",MATCH(650,Firms!$W$5:$W$1004,0),IF(S654="A",IFERROR(MATCH(650-$S$2,'AFA Rates'!$R$5:$R$1004,0),""),""))</f>
        <v/>
      </c>
      <c r="U654">
        <f>IF(S654="S",T654,IF(AND(S654="A",T654&lt;&gt;""),IFERROR(MATCH(INDEX('AFA Rates'!$A$5:$A$1004,T654),Firms!$A$5:$A$1004,0),""),""))</f>
        <v/>
      </c>
    </row>
    <row r="655">
      <c r="A655" s="78">
        <f>IF($T655="","",IF($S655="S",IF(INDEX(Firms!$A$5:$A$1004,$T655)="","",INDEX(Firms!$A$5:$A$1004,$T655)),IF(INDEX('AFA Rates'!$A$5:$A$1004,$T655)="","",INDEX('AFA Rates'!$A$5:$A$1004,$T655))))</f>
        <v/>
      </c>
      <c r="B655" s="79">
        <f>IF(OR($T655="",$U655=""),IF($T655="","","Not on Firms tab"),INDEX(Firms!$B$5:$B$1004,$U655)&amp;"")</f>
        <v/>
      </c>
      <c r="C655" s="78">
        <f>IF($T655="","",IF($S655="S","Standard",INDEX('AFA Rates'!$B$5:$B$1004,$T655)&amp;""))</f>
        <v/>
      </c>
      <c r="D655" s="88">
        <f>IF($T655="","",IF($S655="S",IF(INDEX(Firms!$E$5:$E$1004,$T655)="","",INDEX(Firms!$E$5:$E$1004,$T655)),IF(INDEX('AFA Rates'!$C$5:$C$1004,$T655)="","",INDEX('AFA Rates'!$C$5:$C$1004,$T655))))</f>
        <v/>
      </c>
      <c r="E655" s="88">
        <f>IF($T655="","",IF($S655="S",IF(""="","",""),IF(INDEX('AFA Rates'!$D$5:$D$1004,$T655)="","",INDEX('AFA Rates'!$D$5:$D$1004,$T655))))</f>
        <v/>
      </c>
      <c r="F655" s="79">
        <f>IF($T655="","",IF($S655="S",IF(INDEX(Firms!$O$5:$O$1004,$T655)="","",INDEX(Firms!$O$5:$O$1004,$T655)),IF(INDEX('AFA Rates'!$O$5:$O$1004,$T655)="","",INDEX('AFA Rates'!$O$5:$O$1004,$T655))))</f>
        <v/>
      </c>
      <c r="G655" s="50">
        <f>IF($T655="","",IF($S655="S",IF(INDEX(Firms!$F$5:$F$1004,$T655)="","",INDEX(Firms!$F$5:$F$1004,$T655)),IF(INDEX('AFA Rates'!$E$5:$E$1004,$T655)="","",INDEX('AFA Rates'!$E$5:$E$1004,$T655))))</f>
        <v/>
      </c>
      <c r="H655" s="50">
        <f>IF($T655="","",IF($S655="S",IF(INDEX(Firms!$G$5:$G$1004,$T655)="","",INDEX(Firms!$G$5:$G$1004,$T655)),IF(INDEX('AFA Rates'!$F$5:$F$1004,$T655)="","",INDEX('AFA Rates'!$F$5:$F$1004,$T655))))</f>
        <v/>
      </c>
      <c r="I655" s="50">
        <f>IF($T655="","",IF($S655="S",IF(INDEX(Firms!$H$5:$H$1004,$T655)="","",INDEX(Firms!$H$5:$H$1004,$T655)),IF(INDEX('AFA Rates'!$G$5:$G$1004,$T655)="","",INDEX('AFA Rates'!$G$5:$G$1004,$T655))))</f>
        <v/>
      </c>
      <c r="J655" s="50">
        <f>IF($T655="","",IF($S655="S",IF(INDEX(Firms!$I$5:$I$1004,$T655)="","",INDEX(Firms!$I$5:$I$1004,$T655)),IF(INDEX('AFA Rates'!$H$5:$H$1004,$T655)="","",INDEX('AFA Rates'!$H$5:$H$1004,$T655))))</f>
        <v/>
      </c>
      <c r="K655" s="50">
        <f>IF($T655="","",IF($S655="S",IF(INDEX(Firms!$J$5:$J$1004,$T655)="","",INDEX(Firms!$J$5:$J$1004,$T655)),IF(INDEX('AFA Rates'!$I$5:$I$1004,$T655)="","",INDEX('AFA Rates'!$I$5:$I$1004,$T655))))</f>
        <v/>
      </c>
      <c r="L655" s="50">
        <f>IF($T655="","",IF($S655="S",IF(INDEX(Firms!$K$5:$K$1004,$T655)="","",INDEX(Firms!$K$5:$K$1004,$T655)),IF(INDEX('AFA Rates'!$J$5:$J$1004,$T655)="","",INDEX('AFA Rates'!$J$5:$J$1004,$T655))))</f>
        <v/>
      </c>
      <c r="M655" s="50">
        <f>IF($T655="","",IF($S655="S",IF(INDEX(Firms!$L$5:$L$1004,$T655)="","",INDEX(Firms!$L$5:$L$1004,$T655)),IF(INDEX('AFA Rates'!$K$5:$K$1004,$T655)="","",INDEX('AFA Rates'!$K$5:$K$1004,$T655))))</f>
        <v/>
      </c>
      <c r="N655" s="50">
        <f>IF($T655="","",IF($S655="S",IF(INDEX(Firms!$M$5:$M$1004,$T655)="","",INDEX(Firms!$M$5:$M$1004,$T655)),IF(INDEX('AFA Rates'!$L$5:$L$1004,$T655)="","",INDEX('AFA Rates'!$L$5:$L$1004,$T655))))</f>
        <v/>
      </c>
      <c r="O655" s="78">
        <f>IF(OR($T655="",$U655=""),"",IF(INDEX(Firms!$C$5:$C$1004,$U655)="","",INDEX(Firms!$C$5:$C$1004,$U655)))</f>
        <v/>
      </c>
      <c r="P655" s="79">
        <f>IF(OR($T655="",$U655=""),"",IF(INDEX(Firms!$N$5:$N$1004,$U655)="","",INDEX(Firms!$N$5:$N$1004,$U655)))</f>
        <v/>
      </c>
      <c r="Q655" s="78">
        <f>IF($T655="","",IF($S655="S",IF(INDEX(Firms!$T$5:$T$1004,$T655)="","",INDEX(Firms!$T$5:$T$1004,$T655)),IF(INDEX('AFA Rates'!$M$5:$M$1004,$T655)="","",INDEX('AFA Rates'!$M$5:$M$1004,$T655))))</f>
        <v/>
      </c>
      <c r="S655">
        <f>IF(651&lt;=$S$2,"S",IF(651&lt;=$S$2+$T$2,"A",""))</f>
        <v/>
      </c>
      <c r="T655">
        <f>IF(S655="S",MATCH(651,Firms!$W$5:$W$1004,0),IF(S655="A",IFERROR(MATCH(651-$S$2,'AFA Rates'!$R$5:$R$1004,0),""),""))</f>
        <v/>
      </c>
      <c r="U655">
        <f>IF(S655="S",T655,IF(AND(S655="A",T655&lt;&gt;""),IFERROR(MATCH(INDEX('AFA Rates'!$A$5:$A$1004,T655),Firms!$A$5:$A$1004,0),""),""))</f>
        <v/>
      </c>
    </row>
    <row r="656">
      <c r="A656" s="78">
        <f>IF($T656="","",IF($S656="S",IF(INDEX(Firms!$A$5:$A$1004,$T656)="","",INDEX(Firms!$A$5:$A$1004,$T656)),IF(INDEX('AFA Rates'!$A$5:$A$1004,$T656)="","",INDEX('AFA Rates'!$A$5:$A$1004,$T656))))</f>
        <v/>
      </c>
      <c r="B656" s="79">
        <f>IF(OR($T656="",$U656=""),IF($T656="","","Not on Firms tab"),INDEX(Firms!$B$5:$B$1004,$U656)&amp;"")</f>
        <v/>
      </c>
      <c r="C656" s="78">
        <f>IF($T656="","",IF($S656="S","Standard",INDEX('AFA Rates'!$B$5:$B$1004,$T656)&amp;""))</f>
        <v/>
      </c>
      <c r="D656" s="88">
        <f>IF($T656="","",IF($S656="S",IF(INDEX(Firms!$E$5:$E$1004,$T656)="","",INDEX(Firms!$E$5:$E$1004,$T656)),IF(INDEX('AFA Rates'!$C$5:$C$1004,$T656)="","",INDEX('AFA Rates'!$C$5:$C$1004,$T656))))</f>
        <v/>
      </c>
      <c r="E656" s="88">
        <f>IF($T656="","",IF($S656="S",IF(""="","",""),IF(INDEX('AFA Rates'!$D$5:$D$1004,$T656)="","",INDEX('AFA Rates'!$D$5:$D$1004,$T656))))</f>
        <v/>
      </c>
      <c r="F656" s="79">
        <f>IF($T656="","",IF($S656="S",IF(INDEX(Firms!$O$5:$O$1004,$T656)="","",INDEX(Firms!$O$5:$O$1004,$T656)),IF(INDEX('AFA Rates'!$O$5:$O$1004,$T656)="","",INDEX('AFA Rates'!$O$5:$O$1004,$T656))))</f>
        <v/>
      </c>
      <c r="G656" s="50">
        <f>IF($T656="","",IF($S656="S",IF(INDEX(Firms!$F$5:$F$1004,$T656)="","",INDEX(Firms!$F$5:$F$1004,$T656)),IF(INDEX('AFA Rates'!$E$5:$E$1004,$T656)="","",INDEX('AFA Rates'!$E$5:$E$1004,$T656))))</f>
        <v/>
      </c>
      <c r="H656" s="50">
        <f>IF($T656="","",IF($S656="S",IF(INDEX(Firms!$G$5:$G$1004,$T656)="","",INDEX(Firms!$G$5:$G$1004,$T656)),IF(INDEX('AFA Rates'!$F$5:$F$1004,$T656)="","",INDEX('AFA Rates'!$F$5:$F$1004,$T656))))</f>
        <v/>
      </c>
      <c r="I656" s="50">
        <f>IF($T656="","",IF($S656="S",IF(INDEX(Firms!$H$5:$H$1004,$T656)="","",INDEX(Firms!$H$5:$H$1004,$T656)),IF(INDEX('AFA Rates'!$G$5:$G$1004,$T656)="","",INDEX('AFA Rates'!$G$5:$G$1004,$T656))))</f>
        <v/>
      </c>
      <c r="J656" s="50">
        <f>IF($T656="","",IF($S656="S",IF(INDEX(Firms!$I$5:$I$1004,$T656)="","",INDEX(Firms!$I$5:$I$1004,$T656)),IF(INDEX('AFA Rates'!$H$5:$H$1004,$T656)="","",INDEX('AFA Rates'!$H$5:$H$1004,$T656))))</f>
        <v/>
      </c>
      <c r="K656" s="50">
        <f>IF($T656="","",IF($S656="S",IF(INDEX(Firms!$J$5:$J$1004,$T656)="","",INDEX(Firms!$J$5:$J$1004,$T656)),IF(INDEX('AFA Rates'!$I$5:$I$1004,$T656)="","",INDEX('AFA Rates'!$I$5:$I$1004,$T656))))</f>
        <v/>
      </c>
      <c r="L656" s="50">
        <f>IF($T656="","",IF($S656="S",IF(INDEX(Firms!$K$5:$K$1004,$T656)="","",INDEX(Firms!$K$5:$K$1004,$T656)),IF(INDEX('AFA Rates'!$J$5:$J$1004,$T656)="","",INDEX('AFA Rates'!$J$5:$J$1004,$T656))))</f>
        <v/>
      </c>
      <c r="M656" s="50">
        <f>IF($T656="","",IF($S656="S",IF(INDEX(Firms!$L$5:$L$1004,$T656)="","",INDEX(Firms!$L$5:$L$1004,$T656)),IF(INDEX('AFA Rates'!$K$5:$K$1004,$T656)="","",INDEX('AFA Rates'!$K$5:$K$1004,$T656))))</f>
        <v/>
      </c>
      <c r="N656" s="50">
        <f>IF($T656="","",IF($S656="S",IF(INDEX(Firms!$M$5:$M$1004,$T656)="","",INDEX(Firms!$M$5:$M$1004,$T656)),IF(INDEX('AFA Rates'!$L$5:$L$1004,$T656)="","",INDEX('AFA Rates'!$L$5:$L$1004,$T656))))</f>
        <v/>
      </c>
      <c r="O656" s="78">
        <f>IF(OR($T656="",$U656=""),"",IF(INDEX(Firms!$C$5:$C$1004,$U656)="","",INDEX(Firms!$C$5:$C$1004,$U656)))</f>
        <v/>
      </c>
      <c r="P656" s="79">
        <f>IF(OR($T656="",$U656=""),"",IF(INDEX(Firms!$N$5:$N$1004,$U656)="","",INDEX(Firms!$N$5:$N$1004,$U656)))</f>
        <v/>
      </c>
      <c r="Q656" s="78">
        <f>IF($T656="","",IF($S656="S",IF(INDEX(Firms!$T$5:$T$1004,$T656)="","",INDEX(Firms!$T$5:$T$1004,$T656)),IF(INDEX('AFA Rates'!$M$5:$M$1004,$T656)="","",INDEX('AFA Rates'!$M$5:$M$1004,$T656))))</f>
        <v/>
      </c>
      <c r="S656">
        <f>IF(652&lt;=$S$2,"S",IF(652&lt;=$S$2+$T$2,"A",""))</f>
        <v/>
      </c>
      <c r="T656">
        <f>IF(S656="S",MATCH(652,Firms!$W$5:$W$1004,0),IF(S656="A",IFERROR(MATCH(652-$S$2,'AFA Rates'!$R$5:$R$1004,0),""),""))</f>
        <v/>
      </c>
      <c r="U656">
        <f>IF(S656="S",T656,IF(AND(S656="A",T656&lt;&gt;""),IFERROR(MATCH(INDEX('AFA Rates'!$A$5:$A$1004,T656),Firms!$A$5:$A$1004,0),""),""))</f>
        <v/>
      </c>
    </row>
    <row r="657">
      <c r="A657" s="78">
        <f>IF($T657="","",IF($S657="S",IF(INDEX(Firms!$A$5:$A$1004,$T657)="","",INDEX(Firms!$A$5:$A$1004,$T657)),IF(INDEX('AFA Rates'!$A$5:$A$1004,$T657)="","",INDEX('AFA Rates'!$A$5:$A$1004,$T657))))</f>
        <v/>
      </c>
      <c r="B657" s="79">
        <f>IF(OR($T657="",$U657=""),IF($T657="","","Not on Firms tab"),INDEX(Firms!$B$5:$B$1004,$U657)&amp;"")</f>
        <v/>
      </c>
      <c r="C657" s="78">
        <f>IF($T657="","",IF($S657="S","Standard",INDEX('AFA Rates'!$B$5:$B$1004,$T657)&amp;""))</f>
        <v/>
      </c>
      <c r="D657" s="88">
        <f>IF($T657="","",IF($S657="S",IF(INDEX(Firms!$E$5:$E$1004,$T657)="","",INDEX(Firms!$E$5:$E$1004,$T657)),IF(INDEX('AFA Rates'!$C$5:$C$1004,$T657)="","",INDEX('AFA Rates'!$C$5:$C$1004,$T657))))</f>
        <v/>
      </c>
      <c r="E657" s="88">
        <f>IF($T657="","",IF($S657="S",IF(""="","",""),IF(INDEX('AFA Rates'!$D$5:$D$1004,$T657)="","",INDEX('AFA Rates'!$D$5:$D$1004,$T657))))</f>
        <v/>
      </c>
      <c r="F657" s="79">
        <f>IF($T657="","",IF($S657="S",IF(INDEX(Firms!$O$5:$O$1004,$T657)="","",INDEX(Firms!$O$5:$O$1004,$T657)),IF(INDEX('AFA Rates'!$O$5:$O$1004,$T657)="","",INDEX('AFA Rates'!$O$5:$O$1004,$T657))))</f>
        <v/>
      </c>
      <c r="G657" s="50">
        <f>IF($T657="","",IF($S657="S",IF(INDEX(Firms!$F$5:$F$1004,$T657)="","",INDEX(Firms!$F$5:$F$1004,$T657)),IF(INDEX('AFA Rates'!$E$5:$E$1004,$T657)="","",INDEX('AFA Rates'!$E$5:$E$1004,$T657))))</f>
        <v/>
      </c>
      <c r="H657" s="50">
        <f>IF($T657="","",IF($S657="S",IF(INDEX(Firms!$G$5:$G$1004,$T657)="","",INDEX(Firms!$G$5:$G$1004,$T657)),IF(INDEX('AFA Rates'!$F$5:$F$1004,$T657)="","",INDEX('AFA Rates'!$F$5:$F$1004,$T657))))</f>
        <v/>
      </c>
      <c r="I657" s="50">
        <f>IF($T657="","",IF($S657="S",IF(INDEX(Firms!$H$5:$H$1004,$T657)="","",INDEX(Firms!$H$5:$H$1004,$T657)),IF(INDEX('AFA Rates'!$G$5:$G$1004,$T657)="","",INDEX('AFA Rates'!$G$5:$G$1004,$T657))))</f>
        <v/>
      </c>
      <c r="J657" s="50">
        <f>IF($T657="","",IF($S657="S",IF(INDEX(Firms!$I$5:$I$1004,$T657)="","",INDEX(Firms!$I$5:$I$1004,$T657)),IF(INDEX('AFA Rates'!$H$5:$H$1004,$T657)="","",INDEX('AFA Rates'!$H$5:$H$1004,$T657))))</f>
        <v/>
      </c>
      <c r="K657" s="50">
        <f>IF($T657="","",IF($S657="S",IF(INDEX(Firms!$J$5:$J$1004,$T657)="","",INDEX(Firms!$J$5:$J$1004,$T657)),IF(INDEX('AFA Rates'!$I$5:$I$1004,$T657)="","",INDEX('AFA Rates'!$I$5:$I$1004,$T657))))</f>
        <v/>
      </c>
      <c r="L657" s="50">
        <f>IF($T657="","",IF($S657="S",IF(INDEX(Firms!$K$5:$K$1004,$T657)="","",INDEX(Firms!$K$5:$K$1004,$T657)),IF(INDEX('AFA Rates'!$J$5:$J$1004,$T657)="","",INDEX('AFA Rates'!$J$5:$J$1004,$T657))))</f>
        <v/>
      </c>
      <c r="M657" s="50">
        <f>IF($T657="","",IF($S657="S",IF(INDEX(Firms!$L$5:$L$1004,$T657)="","",INDEX(Firms!$L$5:$L$1004,$T657)),IF(INDEX('AFA Rates'!$K$5:$K$1004,$T657)="","",INDEX('AFA Rates'!$K$5:$K$1004,$T657))))</f>
        <v/>
      </c>
      <c r="N657" s="50">
        <f>IF($T657="","",IF($S657="S",IF(INDEX(Firms!$M$5:$M$1004,$T657)="","",INDEX(Firms!$M$5:$M$1004,$T657)),IF(INDEX('AFA Rates'!$L$5:$L$1004,$T657)="","",INDEX('AFA Rates'!$L$5:$L$1004,$T657))))</f>
        <v/>
      </c>
      <c r="O657" s="78">
        <f>IF(OR($T657="",$U657=""),"",IF(INDEX(Firms!$C$5:$C$1004,$U657)="","",INDEX(Firms!$C$5:$C$1004,$U657)))</f>
        <v/>
      </c>
      <c r="P657" s="79">
        <f>IF(OR($T657="",$U657=""),"",IF(INDEX(Firms!$N$5:$N$1004,$U657)="","",INDEX(Firms!$N$5:$N$1004,$U657)))</f>
        <v/>
      </c>
      <c r="Q657" s="78">
        <f>IF($T657="","",IF($S657="S",IF(INDEX(Firms!$T$5:$T$1004,$T657)="","",INDEX(Firms!$T$5:$T$1004,$T657)),IF(INDEX('AFA Rates'!$M$5:$M$1004,$T657)="","",INDEX('AFA Rates'!$M$5:$M$1004,$T657))))</f>
        <v/>
      </c>
      <c r="S657">
        <f>IF(653&lt;=$S$2,"S",IF(653&lt;=$S$2+$T$2,"A",""))</f>
        <v/>
      </c>
      <c r="T657">
        <f>IF(S657="S",MATCH(653,Firms!$W$5:$W$1004,0),IF(S657="A",IFERROR(MATCH(653-$S$2,'AFA Rates'!$R$5:$R$1004,0),""),""))</f>
        <v/>
      </c>
      <c r="U657">
        <f>IF(S657="S",T657,IF(AND(S657="A",T657&lt;&gt;""),IFERROR(MATCH(INDEX('AFA Rates'!$A$5:$A$1004,T657),Firms!$A$5:$A$1004,0),""),""))</f>
        <v/>
      </c>
    </row>
    <row r="658">
      <c r="A658" s="78">
        <f>IF($T658="","",IF($S658="S",IF(INDEX(Firms!$A$5:$A$1004,$T658)="","",INDEX(Firms!$A$5:$A$1004,$T658)),IF(INDEX('AFA Rates'!$A$5:$A$1004,$T658)="","",INDEX('AFA Rates'!$A$5:$A$1004,$T658))))</f>
        <v/>
      </c>
      <c r="B658" s="79">
        <f>IF(OR($T658="",$U658=""),IF($T658="","","Not on Firms tab"),INDEX(Firms!$B$5:$B$1004,$U658)&amp;"")</f>
        <v/>
      </c>
      <c r="C658" s="78">
        <f>IF($T658="","",IF($S658="S","Standard",INDEX('AFA Rates'!$B$5:$B$1004,$T658)&amp;""))</f>
        <v/>
      </c>
      <c r="D658" s="88">
        <f>IF($T658="","",IF($S658="S",IF(INDEX(Firms!$E$5:$E$1004,$T658)="","",INDEX(Firms!$E$5:$E$1004,$T658)),IF(INDEX('AFA Rates'!$C$5:$C$1004,$T658)="","",INDEX('AFA Rates'!$C$5:$C$1004,$T658))))</f>
        <v/>
      </c>
      <c r="E658" s="88">
        <f>IF($T658="","",IF($S658="S",IF(""="","",""),IF(INDEX('AFA Rates'!$D$5:$D$1004,$T658)="","",INDEX('AFA Rates'!$D$5:$D$1004,$T658))))</f>
        <v/>
      </c>
      <c r="F658" s="79">
        <f>IF($T658="","",IF($S658="S",IF(INDEX(Firms!$O$5:$O$1004,$T658)="","",INDEX(Firms!$O$5:$O$1004,$T658)),IF(INDEX('AFA Rates'!$O$5:$O$1004,$T658)="","",INDEX('AFA Rates'!$O$5:$O$1004,$T658))))</f>
        <v/>
      </c>
      <c r="G658" s="50">
        <f>IF($T658="","",IF($S658="S",IF(INDEX(Firms!$F$5:$F$1004,$T658)="","",INDEX(Firms!$F$5:$F$1004,$T658)),IF(INDEX('AFA Rates'!$E$5:$E$1004,$T658)="","",INDEX('AFA Rates'!$E$5:$E$1004,$T658))))</f>
        <v/>
      </c>
      <c r="H658" s="50">
        <f>IF($T658="","",IF($S658="S",IF(INDEX(Firms!$G$5:$G$1004,$T658)="","",INDEX(Firms!$G$5:$G$1004,$T658)),IF(INDEX('AFA Rates'!$F$5:$F$1004,$T658)="","",INDEX('AFA Rates'!$F$5:$F$1004,$T658))))</f>
        <v/>
      </c>
      <c r="I658" s="50">
        <f>IF($T658="","",IF($S658="S",IF(INDEX(Firms!$H$5:$H$1004,$T658)="","",INDEX(Firms!$H$5:$H$1004,$T658)),IF(INDEX('AFA Rates'!$G$5:$G$1004,$T658)="","",INDEX('AFA Rates'!$G$5:$G$1004,$T658))))</f>
        <v/>
      </c>
      <c r="J658" s="50">
        <f>IF($T658="","",IF($S658="S",IF(INDEX(Firms!$I$5:$I$1004,$T658)="","",INDEX(Firms!$I$5:$I$1004,$T658)),IF(INDEX('AFA Rates'!$H$5:$H$1004,$T658)="","",INDEX('AFA Rates'!$H$5:$H$1004,$T658))))</f>
        <v/>
      </c>
      <c r="K658" s="50">
        <f>IF($T658="","",IF($S658="S",IF(INDEX(Firms!$J$5:$J$1004,$T658)="","",INDEX(Firms!$J$5:$J$1004,$T658)),IF(INDEX('AFA Rates'!$I$5:$I$1004,$T658)="","",INDEX('AFA Rates'!$I$5:$I$1004,$T658))))</f>
        <v/>
      </c>
      <c r="L658" s="50">
        <f>IF($T658="","",IF($S658="S",IF(INDEX(Firms!$K$5:$K$1004,$T658)="","",INDEX(Firms!$K$5:$K$1004,$T658)),IF(INDEX('AFA Rates'!$J$5:$J$1004,$T658)="","",INDEX('AFA Rates'!$J$5:$J$1004,$T658))))</f>
        <v/>
      </c>
      <c r="M658" s="50">
        <f>IF($T658="","",IF($S658="S",IF(INDEX(Firms!$L$5:$L$1004,$T658)="","",INDEX(Firms!$L$5:$L$1004,$T658)),IF(INDEX('AFA Rates'!$K$5:$K$1004,$T658)="","",INDEX('AFA Rates'!$K$5:$K$1004,$T658))))</f>
        <v/>
      </c>
      <c r="N658" s="50">
        <f>IF($T658="","",IF($S658="S",IF(INDEX(Firms!$M$5:$M$1004,$T658)="","",INDEX(Firms!$M$5:$M$1004,$T658)),IF(INDEX('AFA Rates'!$L$5:$L$1004,$T658)="","",INDEX('AFA Rates'!$L$5:$L$1004,$T658))))</f>
        <v/>
      </c>
      <c r="O658" s="78">
        <f>IF(OR($T658="",$U658=""),"",IF(INDEX(Firms!$C$5:$C$1004,$U658)="","",INDEX(Firms!$C$5:$C$1004,$U658)))</f>
        <v/>
      </c>
      <c r="P658" s="79">
        <f>IF(OR($T658="",$U658=""),"",IF(INDEX(Firms!$N$5:$N$1004,$U658)="","",INDEX(Firms!$N$5:$N$1004,$U658)))</f>
        <v/>
      </c>
      <c r="Q658" s="78">
        <f>IF($T658="","",IF($S658="S",IF(INDEX(Firms!$T$5:$T$1004,$T658)="","",INDEX(Firms!$T$5:$T$1004,$T658)),IF(INDEX('AFA Rates'!$M$5:$M$1004,$T658)="","",INDEX('AFA Rates'!$M$5:$M$1004,$T658))))</f>
        <v/>
      </c>
      <c r="S658">
        <f>IF(654&lt;=$S$2,"S",IF(654&lt;=$S$2+$T$2,"A",""))</f>
        <v/>
      </c>
      <c r="T658">
        <f>IF(S658="S",MATCH(654,Firms!$W$5:$W$1004,0),IF(S658="A",IFERROR(MATCH(654-$S$2,'AFA Rates'!$R$5:$R$1004,0),""),""))</f>
        <v/>
      </c>
      <c r="U658">
        <f>IF(S658="S",T658,IF(AND(S658="A",T658&lt;&gt;""),IFERROR(MATCH(INDEX('AFA Rates'!$A$5:$A$1004,T658),Firms!$A$5:$A$1004,0),""),""))</f>
        <v/>
      </c>
    </row>
    <row r="659">
      <c r="A659" s="78">
        <f>IF($T659="","",IF($S659="S",IF(INDEX(Firms!$A$5:$A$1004,$T659)="","",INDEX(Firms!$A$5:$A$1004,$T659)),IF(INDEX('AFA Rates'!$A$5:$A$1004,$T659)="","",INDEX('AFA Rates'!$A$5:$A$1004,$T659))))</f>
        <v/>
      </c>
      <c r="B659" s="79">
        <f>IF(OR($T659="",$U659=""),IF($T659="","","Not on Firms tab"),INDEX(Firms!$B$5:$B$1004,$U659)&amp;"")</f>
        <v/>
      </c>
      <c r="C659" s="78">
        <f>IF($T659="","",IF($S659="S","Standard",INDEX('AFA Rates'!$B$5:$B$1004,$T659)&amp;""))</f>
        <v/>
      </c>
      <c r="D659" s="88">
        <f>IF($T659="","",IF($S659="S",IF(INDEX(Firms!$E$5:$E$1004,$T659)="","",INDEX(Firms!$E$5:$E$1004,$T659)),IF(INDEX('AFA Rates'!$C$5:$C$1004,$T659)="","",INDEX('AFA Rates'!$C$5:$C$1004,$T659))))</f>
        <v/>
      </c>
      <c r="E659" s="88">
        <f>IF($T659="","",IF($S659="S",IF(""="","",""),IF(INDEX('AFA Rates'!$D$5:$D$1004,$T659)="","",INDEX('AFA Rates'!$D$5:$D$1004,$T659))))</f>
        <v/>
      </c>
      <c r="F659" s="79">
        <f>IF($T659="","",IF($S659="S",IF(INDEX(Firms!$O$5:$O$1004,$T659)="","",INDEX(Firms!$O$5:$O$1004,$T659)),IF(INDEX('AFA Rates'!$O$5:$O$1004,$T659)="","",INDEX('AFA Rates'!$O$5:$O$1004,$T659))))</f>
        <v/>
      </c>
      <c r="G659" s="50">
        <f>IF($T659="","",IF($S659="S",IF(INDEX(Firms!$F$5:$F$1004,$T659)="","",INDEX(Firms!$F$5:$F$1004,$T659)),IF(INDEX('AFA Rates'!$E$5:$E$1004,$T659)="","",INDEX('AFA Rates'!$E$5:$E$1004,$T659))))</f>
        <v/>
      </c>
      <c r="H659" s="50">
        <f>IF($T659="","",IF($S659="S",IF(INDEX(Firms!$G$5:$G$1004,$T659)="","",INDEX(Firms!$G$5:$G$1004,$T659)),IF(INDEX('AFA Rates'!$F$5:$F$1004,$T659)="","",INDEX('AFA Rates'!$F$5:$F$1004,$T659))))</f>
        <v/>
      </c>
      <c r="I659" s="50">
        <f>IF($T659="","",IF($S659="S",IF(INDEX(Firms!$H$5:$H$1004,$T659)="","",INDEX(Firms!$H$5:$H$1004,$T659)),IF(INDEX('AFA Rates'!$G$5:$G$1004,$T659)="","",INDEX('AFA Rates'!$G$5:$G$1004,$T659))))</f>
        <v/>
      </c>
      <c r="J659" s="50">
        <f>IF($T659="","",IF($S659="S",IF(INDEX(Firms!$I$5:$I$1004,$T659)="","",INDEX(Firms!$I$5:$I$1004,$T659)),IF(INDEX('AFA Rates'!$H$5:$H$1004,$T659)="","",INDEX('AFA Rates'!$H$5:$H$1004,$T659))))</f>
        <v/>
      </c>
      <c r="K659" s="50">
        <f>IF($T659="","",IF($S659="S",IF(INDEX(Firms!$J$5:$J$1004,$T659)="","",INDEX(Firms!$J$5:$J$1004,$T659)),IF(INDEX('AFA Rates'!$I$5:$I$1004,$T659)="","",INDEX('AFA Rates'!$I$5:$I$1004,$T659))))</f>
        <v/>
      </c>
      <c r="L659" s="50">
        <f>IF($T659="","",IF($S659="S",IF(INDEX(Firms!$K$5:$K$1004,$T659)="","",INDEX(Firms!$K$5:$K$1004,$T659)),IF(INDEX('AFA Rates'!$J$5:$J$1004,$T659)="","",INDEX('AFA Rates'!$J$5:$J$1004,$T659))))</f>
        <v/>
      </c>
      <c r="M659" s="50">
        <f>IF($T659="","",IF($S659="S",IF(INDEX(Firms!$L$5:$L$1004,$T659)="","",INDEX(Firms!$L$5:$L$1004,$T659)),IF(INDEX('AFA Rates'!$K$5:$K$1004,$T659)="","",INDEX('AFA Rates'!$K$5:$K$1004,$T659))))</f>
        <v/>
      </c>
      <c r="N659" s="50">
        <f>IF($T659="","",IF($S659="S",IF(INDEX(Firms!$M$5:$M$1004,$T659)="","",INDEX(Firms!$M$5:$M$1004,$T659)),IF(INDEX('AFA Rates'!$L$5:$L$1004,$T659)="","",INDEX('AFA Rates'!$L$5:$L$1004,$T659))))</f>
        <v/>
      </c>
      <c r="O659" s="78">
        <f>IF(OR($T659="",$U659=""),"",IF(INDEX(Firms!$C$5:$C$1004,$U659)="","",INDEX(Firms!$C$5:$C$1004,$U659)))</f>
        <v/>
      </c>
      <c r="P659" s="79">
        <f>IF(OR($T659="",$U659=""),"",IF(INDEX(Firms!$N$5:$N$1004,$U659)="","",INDEX(Firms!$N$5:$N$1004,$U659)))</f>
        <v/>
      </c>
      <c r="Q659" s="78">
        <f>IF($T659="","",IF($S659="S",IF(INDEX(Firms!$T$5:$T$1004,$T659)="","",INDEX(Firms!$T$5:$T$1004,$T659)),IF(INDEX('AFA Rates'!$M$5:$M$1004,$T659)="","",INDEX('AFA Rates'!$M$5:$M$1004,$T659))))</f>
        <v/>
      </c>
      <c r="S659">
        <f>IF(655&lt;=$S$2,"S",IF(655&lt;=$S$2+$T$2,"A",""))</f>
        <v/>
      </c>
      <c r="T659">
        <f>IF(S659="S",MATCH(655,Firms!$W$5:$W$1004,0),IF(S659="A",IFERROR(MATCH(655-$S$2,'AFA Rates'!$R$5:$R$1004,0),""),""))</f>
        <v/>
      </c>
      <c r="U659">
        <f>IF(S659="S",T659,IF(AND(S659="A",T659&lt;&gt;""),IFERROR(MATCH(INDEX('AFA Rates'!$A$5:$A$1004,T659),Firms!$A$5:$A$1004,0),""),""))</f>
        <v/>
      </c>
    </row>
    <row r="660">
      <c r="A660" s="78">
        <f>IF($T660="","",IF($S660="S",IF(INDEX(Firms!$A$5:$A$1004,$T660)="","",INDEX(Firms!$A$5:$A$1004,$T660)),IF(INDEX('AFA Rates'!$A$5:$A$1004,$T660)="","",INDEX('AFA Rates'!$A$5:$A$1004,$T660))))</f>
        <v/>
      </c>
      <c r="B660" s="79">
        <f>IF(OR($T660="",$U660=""),IF($T660="","","Not on Firms tab"),INDEX(Firms!$B$5:$B$1004,$U660)&amp;"")</f>
        <v/>
      </c>
      <c r="C660" s="78">
        <f>IF($T660="","",IF($S660="S","Standard",INDEX('AFA Rates'!$B$5:$B$1004,$T660)&amp;""))</f>
        <v/>
      </c>
      <c r="D660" s="88">
        <f>IF($T660="","",IF($S660="S",IF(INDEX(Firms!$E$5:$E$1004,$T660)="","",INDEX(Firms!$E$5:$E$1004,$T660)),IF(INDEX('AFA Rates'!$C$5:$C$1004,$T660)="","",INDEX('AFA Rates'!$C$5:$C$1004,$T660))))</f>
        <v/>
      </c>
      <c r="E660" s="88">
        <f>IF($T660="","",IF($S660="S",IF(""="","",""),IF(INDEX('AFA Rates'!$D$5:$D$1004,$T660)="","",INDEX('AFA Rates'!$D$5:$D$1004,$T660))))</f>
        <v/>
      </c>
      <c r="F660" s="79">
        <f>IF($T660="","",IF($S660="S",IF(INDEX(Firms!$O$5:$O$1004,$T660)="","",INDEX(Firms!$O$5:$O$1004,$T660)),IF(INDEX('AFA Rates'!$O$5:$O$1004,$T660)="","",INDEX('AFA Rates'!$O$5:$O$1004,$T660))))</f>
        <v/>
      </c>
      <c r="G660" s="50">
        <f>IF($T660="","",IF($S660="S",IF(INDEX(Firms!$F$5:$F$1004,$T660)="","",INDEX(Firms!$F$5:$F$1004,$T660)),IF(INDEX('AFA Rates'!$E$5:$E$1004,$T660)="","",INDEX('AFA Rates'!$E$5:$E$1004,$T660))))</f>
        <v/>
      </c>
      <c r="H660" s="50">
        <f>IF($T660="","",IF($S660="S",IF(INDEX(Firms!$G$5:$G$1004,$T660)="","",INDEX(Firms!$G$5:$G$1004,$T660)),IF(INDEX('AFA Rates'!$F$5:$F$1004,$T660)="","",INDEX('AFA Rates'!$F$5:$F$1004,$T660))))</f>
        <v/>
      </c>
      <c r="I660" s="50">
        <f>IF($T660="","",IF($S660="S",IF(INDEX(Firms!$H$5:$H$1004,$T660)="","",INDEX(Firms!$H$5:$H$1004,$T660)),IF(INDEX('AFA Rates'!$G$5:$G$1004,$T660)="","",INDEX('AFA Rates'!$G$5:$G$1004,$T660))))</f>
        <v/>
      </c>
      <c r="J660" s="50">
        <f>IF($T660="","",IF($S660="S",IF(INDEX(Firms!$I$5:$I$1004,$T660)="","",INDEX(Firms!$I$5:$I$1004,$T660)),IF(INDEX('AFA Rates'!$H$5:$H$1004,$T660)="","",INDEX('AFA Rates'!$H$5:$H$1004,$T660))))</f>
        <v/>
      </c>
      <c r="K660" s="50">
        <f>IF($T660="","",IF($S660="S",IF(INDEX(Firms!$J$5:$J$1004,$T660)="","",INDEX(Firms!$J$5:$J$1004,$T660)),IF(INDEX('AFA Rates'!$I$5:$I$1004,$T660)="","",INDEX('AFA Rates'!$I$5:$I$1004,$T660))))</f>
        <v/>
      </c>
      <c r="L660" s="50">
        <f>IF($T660="","",IF($S660="S",IF(INDEX(Firms!$K$5:$K$1004,$T660)="","",INDEX(Firms!$K$5:$K$1004,$T660)),IF(INDEX('AFA Rates'!$J$5:$J$1004,$T660)="","",INDEX('AFA Rates'!$J$5:$J$1004,$T660))))</f>
        <v/>
      </c>
      <c r="M660" s="50">
        <f>IF($T660="","",IF($S660="S",IF(INDEX(Firms!$L$5:$L$1004,$T660)="","",INDEX(Firms!$L$5:$L$1004,$T660)),IF(INDEX('AFA Rates'!$K$5:$K$1004,$T660)="","",INDEX('AFA Rates'!$K$5:$K$1004,$T660))))</f>
        <v/>
      </c>
      <c r="N660" s="50">
        <f>IF($T660="","",IF($S660="S",IF(INDEX(Firms!$M$5:$M$1004,$T660)="","",INDEX(Firms!$M$5:$M$1004,$T660)),IF(INDEX('AFA Rates'!$L$5:$L$1004,$T660)="","",INDEX('AFA Rates'!$L$5:$L$1004,$T660))))</f>
        <v/>
      </c>
      <c r="O660" s="78">
        <f>IF(OR($T660="",$U660=""),"",IF(INDEX(Firms!$C$5:$C$1004,$U660)="","",INDEX(Firms!$C$5:$C$1004,$U660)))</f>
        <v/>
      </c>
      <c r="P660" s="79">
        <f>IF(OR($T660="",$U660=""),"",IF(INDEX(Firms!$N$5:$N$1004,$U660)="","",INDEX(Firms!$N$5:$N$1004,$U660)))</f>
        <v/>
      </c>
      <c r="Q660" s="78">
        <f>IF($T660="","",IF($S660="S",IF(INDEX(Firms!$T$5:$T$1004,$T660)="","",INDEX(Firms!$T$5:$T$1004,$T660)),IF(INDEX('AFA Rates'!$M$5:$M$1004,$T660)="","",INDEX('AFA Rates'!$M$5:$M$1004,$T660))))</f>
        <v/>
      </c>
      <c r="S660">
        <f>IF(656&lt;=$S$2,"S",IF(656&lt;=$S$2+$T$2,"A",""))</f>
        <v/>
      </c>
      <c r="T660">
        <f>IF(S660="S",MATCH(656,Firms!$W$5:$W$1004,0),IF(S660="A",IFERROR(MATCH(656-$S$2,'AFA Rates'!$R$5:$R$1004,0),""),""))</f>
        <v/>
      </c>
      <c r="U660">
        <f>IF(S660="S",T660,IF(AND(S660="A",T660&lt;&gt;""),IFERROR(MATCH(INDEX('AFA Rates'!$A$5:$A$1004,T660),Firms!$A$5:$A$1004,0),""),""))</f>
        <v/>
      </c>
    </row>
    <row r="661">
      <c r="A661" s="78">
        <f>IF($T661="","",IF($S661="S",IF(INDEX(Firms!$A$5:$A$1004,$T661)="","",INDEX(Firms!$A$5:$A$1004,$T661)),IF(INDEX('AFA Rates'!$A$5:$A$1004,$T661)="","",INDEX('AFA Rates'!$A$5:$A$1004,$T661))))</f>
        <v/>
      </c>
      <c r="B661" s="79">
        <f>IF(OR($T661="",$U661=""),IF($T661="","","Not on Firms tab"),INDEX(Firms!$B$5:$B$1004,$U661)&amp;"")</f>
        <v/>
      </c>
      <c r="C661" s="78">
        <f>IF($T661="","",IF($S661="S","Standard",INDEX('AFA Rates'!$B$5:$B$1004,$T661)&amp;""))</f>
        <v/>
      </c>
      <c r="D661" s="88">
        <f>IF($T661="","",IF($S661="S",IF(INDEX(Firms!$E$5:$E$1004,$T661)="","",INDEX(Firms!$E$5:$E$1004,$T661)),IF(INDEX('AFA Rates'!$C$5:$C$1004,$T661)="","",INDEX('AFA Rates'!$C$5:$C$1004,$T661))))</f>
        <v/>
      </c>
      <c r="E661" s="88">
        <f>IF($T661="","",IF($S661="S",IF(""="","",""),IF(INDEX('AFA Rates'!$D$5:$D$1004,$T661)="","",INDEX('AFA Rates'!$D$5:$D$1004,$T661))))</f>
        <v/>
      </c>
      <c r="F661" s="79">
        <f>IF($T661="","",IF($S661="S",IF(INDEX(Firms!$O$5:$O$1004,$T661)="","",INDEX(Firms!$O$5:$O$1004,$T661)),IF(INDEX('AFA Rates'!$O$5:$O$1004,$T661)="","",INDEX('AFA Rates'!$O$5:$O$1004,$T661))))</f>
        <v/>
      </c>
      <c r="G661" s="50">
        <f>IF($T661="","",IF($S661="S",IF(INDEX(Firms!$F$5:$F$1004,$T661)="","",INDEX(Firms!$F$5:$F$1004,$T661)),IF(INDEX('AFA Rates'!$E$5:$E$1004,$T661)="","",INDEX('AFA Rates'!$E$5:$E$1004,$T661))))</f>
        <v/>
      </c>
      <c r="H661" s="50">
        <f>IF($T661="","",IF($S661="S",IF(INDEX(Firms!$G$5:$G$1004,$T661)="","",INDEX(Firms!$G$5:$G$1004,$T661)),IF(INDEX('AFA Rates'!$F$5:$F$1004,$T661)="","",INDEX('AFA Rates'!$F$5:$F$1004,$T661))))</f>
        <v/>
      </c>
      <c r="I661" s="50">
        <f>IF($T661="","",IF($S661="S",IF(INDEX(Firms!$H$5:$H$1004,$T661)="","",INDEX(Firms!$H$5:$H$1004,$T661)),IF(INDEX('AFA Rates'!$G$5:$G$1004,$T661)="","",INDEX('AFA Rates'!$G$5:$G$1004,$T661))))</f>
        <v/>
      </c>
      <c r="J661" s="50">
        <f>IF($T661="","",IF($S661="S",IF(INDEX(Firms!$I$5:$I$1004,$T661)="","",INDEX(Firms!$I$5:$I$1004,$T661)),IF(INDEX('AFA Rates'!$H$5:$H$1004,$T661)="","",INDEX('AFA Rates'!$H$5:$H$1004,$T661))))</f>
        <v/>
      </c>
      <c r="K661" s="50">
        <f>IF($T661="","",IF($S661="S",IF(INDEX(Firms!$J$5:$J$1004,$T661)="","",INDEX(Firms!$J$5:$J$1004,$T661)),IF(INDEX('AFA Rates'!$I$5:$I$1004,$T661)="","",INDEX('AFA Rates'!$I$5:$I$1004,$T661))))</f>
        <v/>
      </c>
      <c r="L661" s="50">
        <f>IF($T661="","",IF($S661="S",IF(INDEX(Firms!$K$5:$K$1004,$T661)="","",INDEX(Firms!$K$5:$K$1004,$T661)),IF(INDEX('AFA Rates'!$J$5:$J$1004,$T661)="","",INDEX('AFA Rates'!$J$5:$J$1004,$T661))))</f>
        <v/>
      </c>
      <c r="M661" s="50">
        <f>IF($T661="","",IF($S661="S",IF(INDEX(Firms!$L$5:$L$1004,$T661)="","",INDEX(Firms!$L$5:$L$1004,$T661)),IF(INDEX('AFA Rates'!$K$5:$K$1004,$T661)="","",INDEX('AFA Rates'!$K$5:$K$1004,$T661))))</f>
        <v/>
      </c>
      <c r="N661" s="50">
        <f>IF($T661="","",IF($S661="S",IF(INDEX(Firms!$M$5:$M$1004,$T661)="","",INDEX(Firms!$M$5:$M$1004,$T661)),IF(INDEX('AFA Rates'!$L$5:$L$1004,$T661)="","",INDEX('AFA Rates'!$L$5:$L$1004,$T661))))</f>
        <v/>
      </c>
      <c r="O661" s="78">
        <f>IF(OR($T661="",$U661=""),"",IF(INDEX(Firms!$C$5:$C$1004,$U661)="","",INDEX(Firms!$C$5:$C$1004,$U661)))</f>
        <v/>
      </c>
      <c r="P661" s="79">
        <f>IF(OR($T661="",$U661=""),"",IF(INDEX(Firms!$N$5:$N$1004,$U661)="","",INDEX(Firms!$N$5:$N$1004,$U661)))</f>
        <v/>
      </c>
      <c r="Q661" s="78">
        <f>IF($T661="","",IF($S661="S",IF(INDEX(Firms!$T$5:$T$1004,$T661)="","",INDEX(Firms!$T$5:$T$1004,$T661)),IF(INDEX('AFA Rates'!$M$5:$M$1004,$T661)="","",INDEX('AFA Rates'!$M$5:$M$1004,$T661))))</f>
        <v/>
      </c>
      <c r="S661">
        <f>IF(657&lt;=$S$2,"S",IF(657&lt;=$S$2+$T$2,"A",""))</f>
        <v/>
      </c>
      <c r="T661">
        <f>IF(S661="S",MATCH(657,Firms!$W$5:$W$1004,0),IF(S661="A",IFERROR(MATCH(657-$S$2,'AFA Rates'!$R$5:$R$1004,0),""),""))</f>
        <v/>
      </c>
      <c r="U661">
        <f>IF(S661="S",T661,IF(AND(S661="A",T661&lt;&gt;""),IFERROR(MATCH(INDEX('AFA Rates'!$A$5:$A$1004,T661),Firms!$A$5:$A$1004,0),""),""))</f>
        <v/>
      </c>
    </row>
    <row r="662">
      <c r="A662" s="78">
        <f>IF($T662="","",IF($S662="S",IF(INDEX(Firms!$A$5:$A$1004,$T662)="","",INDEX(Firms!$A$5:$A$1004,$T662)),IF(INDEX('AFA Rates'!$A$5:$A$1004,$T662)="","",INDEX('AFA Rates'!$A$5:$A$1004,$T662))))</f>
        <v/>
      </c>
      <c r="B662" s="79">
        <f>IF(OR($T662="",$U662=""),IF($T662="","","Not on Firms tab"),INDEX(Firms!$B$5:$B$1004,$U662)&amp;"")</f>
        <v/>
      </c>
      <c r="C662" s="78">
        <f>IF($T662="","",IF($S662="S","Standard",INDEX('AFA Rates'!$B$5:$B$1004,$T662)&amp;""))</f>
        <v/>
      </c>
      <c r="D662" s="88">
        <f>IF($T662="","",IF($S662="S",IF(INDEX(Firms!$E$5:$E$1004,$T662)="","",INDEX(Firms!$E$5:$E$1004,$T662)),IF(INDEX('AFA Rates'!$C$5:$C$1004,$T662)="","",INDEX('AFA Rates'!$C$5:$C$1004,$T662))))</f>
        <v/>
      </c>
      <c r="E662" s="88">
        <f>IF($T662="","",IF($S662="S",IF(""="","",""),IF(INDEX('AFA Rates'!$D$5:$D$1004,$T662)="","",INDEX('AFA Rates'!$D$5:$D$1004,$T662))))</f>
        <v/>
      </c>
      <c r="F662" s="79">
        <f>IF($T662="","",IF($S662="S",IF(INDEX(Firms!$O$5:$O$1004,$T662)="","",INDEX(Firms!$O$5:$O$1004,$T662)),IF(INDEX('AFA Rates'!$O$5:$O$1004,$T662)="","",INDEX('AFA Rates'!$O$5:$O$1004,$T662))))</f>
        <v/>
      </c>
      <c r="G662" s="50">
        <f>IF($T662="","",IF($S662="S",IF(INDEX(Firms!$F$5:$F$1004,$T662)="","",INDEX(Firms!$F$5:$F$1004,$T662)),IF(INDEX('AFA Rates'!$E$5:$E$1004,$T662)="","",INDEX('AFA Rates'!$E$5:$E$1004,$T662))))</f>
        <v/>
      </c>
      <c r="H662" s="50">
        <f>IF($T662="","",IF($S662="S",IF(INDEX(Firms!$G$5:$G$1004,$T662)="","",INDEX(Firms!$G$5:$G$1004,$T662)),IF(INDEX('AFA Rates'!$F$5:$F$1004,$T662)="","",INDEX('AFA Rates'!$F$5:$F$1004,$T662))))</f>
        <v/>
      </c>
      <c r="I662" s="50">
        <f>IF($T662="","",IF($S662="S",IF(INDEX(Firms!$H$5:$H$1004,$T662)="","",INDEX(Firms!$H$5:$H$1004,$T662)),IF(INDEX('AFA Rates'!$G$5:$G$1004,$T662)="","",INDEX('AFA Rates'!$G$5:$G$1004,$T662))))</f>
        <v/>
      </c>
      <c r="J662" s="50">
        <f>IF($T662="","",IF($S662="S",IF(INDEX(Firms!$I$5:$I$1004,$T662)="","",INDEX(Firms!$I$5:$I$1004,$T662)),IF(INDEX('AFA Rates'!$H$5:$H$1004,$T662)="","",INDEX('AFA Rates'!$H$5:$H$1004,$T662))))</f>
        <v/>
      </c>
      <c r="K662" s="50">
        <f>IF($T662="","",IF($S662="S",IF(INDEX(Firms!$J$5:$J$1004,$T662)="","",INDEX(Firms!$J$5:$J$1004,$T662)),IF(INDEX('AFA Rates'!$I$5:$I$1004,$T662)="","",INDEX('AFA Rates'!$I$5:$I$1004,$T662))))</f>
        <v/>
      </c>
      <c r="L662" s="50">
        <f>IF($T662="","",IF($S662="S",IF(INDEX(Firms!$K$5:$K$1004,$T662)="","",INDEX(Firms!$K$5:$K$1004,$T662)),IF(INDEX('AFA Rates'!$J$5:$J$1004,$T662)="","",INDEX('AFA Rates'!$J$5:$J$1004,$T662))))</f>
        <v/>
      </c>
      <c r="M662" s="50">
        <f>IF($T662="","",IF($S662="S",IF(INDEX(Firms!$L$5:$L$1004,$T662)="","",INDEX(Firms!$L$5:$L$1004,$T662)),IF(INDEX('AFA Rates'!$K$5:$K$1004,$T662)="","",INDEX('AFA Rates'!$K$5:$K$1004,$T662))))</f>
        <v/>
      </c>
      <c r="N662" s="50">
        <f>IF($T662="","",IF($S662="S",IF(INDEX(Firms!$M$5:$M$1004,$T662)="","",INDEX(Firms!$M$5:$M$1004,$T662)),IF(INDEX('AFA Rates'!$L$5:$L$1004,$T662)="","",INDEX('AFA Rates'!$L$5:$L$1004,$T662))))</f>
        <v/>
      </c>
      <c r="O662" s="78">
        <f>IF(OR($T662="",$U662=""),"",IF(INDEX(Firms!$C$5:$C$1004,$U662)="","",INDEX(Firms!$C$5:$C$1004,$U662)))</f>
        <v/>
      </c>
      <c r="P662" s="79">
        <f>IF(OR($T662="",$U662=""),"",IF(INDEX(Firms!$N$5:$N$1004,$U662)="","",INDEX(Firms!$N$5:$N$1004,$U662)))</f>
        <v/>
      </c>
      <c r="Q662" s="78">
        <f>IF($T662="","",IF($S662="S",IF(INDEX(Firms!$T$5:$T$1004,$T662)="","",INDEX(Firms!$T$5:$T$1004,$T662)),IF(INDEX('AFA Rates'!$M$5:$M$1004,$T662)="","",INDEX('AFA Rates'!$M$5:$M$1004,$T662))))</f>
        <v/>
      </c>
      <c r="S662">
        <f>IF(658&lt;=$S$2,"S",IF(658&lt;=$S$2+$T$2,"A",""))</f>
        <v/>
      </c>
      <c r="T662">
        <f>IF(S662="S",MATCH(658,Firms!$W$5:$W$1004,0),IF(S662="A",IFERROR(MATCH(658-$S$2,'AFA Rates'!$R$5:$R$1004,0),""),""))</f>
        <v/>
      </c>
      <c r="U662">
        <f>IF(S662="S",T662,IF(AND(S662="A",T662&lt;&gt;""),IFERROR(MATCH(INDEX('AFA Rates'!$A$5:$A$1004,T662),Firms!$A$5:$A$1004,0),""),""))</f>
        <v/>
      </c>
    </row>
    <row r="663">
      <c r="A663" s="78">
        <f>IF($T663="","",IF($S663="S",IF(INDEX(Firms!$A$5:$A$1004,$T663)="","",INDEX(Firms!$A$5:$A$1004,$T663)),IF(INDEX('AFA Rates'!$A$5:$A$1004,$T663)="","",INDEX('AFA Rates'!$A$5:$A$1004,$T663))))</f>
        <v/>
      </c>
      <c r="B663" s="79">
        <f>IF(OR($T663="",$U663=""),IF($T663="","","Not on Firms tab"),INDEX(Firms!$B$5:$B$1004,$U663)&amp;"")</f>
        <v/>
      </c>
      <c r="C663" s="78">
        <f>IF($T663="","",IF($S663="S","Standard",INDEX('AFA Rates'!$B$5:$B$1004,$T663)&amp;""))</f>
        <v/>
      </c>
      <c r="D663" s="88">
        <f>IF($T663="","",IF($S663="S",IF(INDEX(Firms!$E$5:$E$1004,$T663)="","",INDEX(Firms!$E$5:$E$1004,$T663)),IF(INDEX('AFA Rates'!$C$5:$C$1004,$T663)="","",INDEX('AFA Rates'!$C$5:$C$1004,$T663))))</f>
        <v/>
      </c>
      <c r="E663" s="88">
        <f>IF($T663="","",IF($S663="S",IF(""="","",""),IF(INDEX('AFA Rates'!$D$5:$D$1004,$T663)="","",INDEX('AFA Rates'!$D$5:$D$1004,$T663))))</f>
        <v/>
      </c>
      <c r="F663" s="79">
        <f>IF($T663="","",IF($S663="S",IF(INDEX(Firms!$O$5:$O$1004,$T663)="","",INDEX(Firms!$O$5:$O$1004,$T663)),IF(INDEX('AFA Rates'!$O$5:$O$1004,$T663)="","",INDEX('AFA Rates'!$O$5:$O$1004,$T663))))</f>
        <v/>
      </c>
      <c r="G663" s="50">
        <f>IF($T663="","",IF($S663="S",IF(INDEX(Firms!$F$5:$F$1004,$T663)="","",INDEX(Firms!$F$5:$F$1004,$T663)),IF(INDEX('AFA Rates'!$E$5:$E$1004,$T663)="","",INDEX('AFA Rates'!$E$5:$E$1004,$T663))))</f>
        <v/>
      </c>
      <c r="H663" s="50">
        <f>IF($T663="","",IF($S663="S",IF(INDEX(Firms!$G$5:$G$1004,$T663)="","",INDEX(Firms!$G$5:$G$1004,$T663)),IF(INDEX('AFA Rates'!$F$5:$F$1004,$T663)="","",INDEX('AFA Rates'!$F$5:$F$1004,$T663))))</f>
        <v/>
      </c>
      <c r="I663" s="50">
        <f>IF($T663="","",IF($S663="S",IF(INDEX(Firms!$H$5:$H$1004,$T663)="","",INDEX(Firms!$H$5:$H$1004,$T663)),IF(INDEX('AFA Rates'!$G$5:$G$1004,$T663)="","",INDEX('AFA Rates'!$G$5:$G$1004,$T663))))</f>
        <v/>
      </c>
      <c r="J663" s="50">
        <f>IF($T663="","",IF($S663="S",IF(INDEX(Firms!$I$5:$I$1004,$T663)="","",INDEX(Firms!$I$5:$I$1004,$T663)),IF(INDEX('AFA Rates'!$H$5:$H$1004,$T663)="","",INDEX('AFA Rates'!$H$5:$H$1004,$T663))))</f>
        <v/>
      </c>
      <c r="K663" s="50">
        <f>IF($T663="","",IF($S663="S",IF(INDEX(Firms!$J$5:$J$1004,$T663)="","",INDEX(Firms!$J$5:$J$1004,$T663)),IF(INDEX('AFA Rates'!$I$5:$I$1004,$T663)="","",INDEX('AFA Rates'!$I$5:$I$1004,$T663))))</f>
        <v/>
      </c>
      <c r="L663" s="50">
        <f>IF($T663="","",IF($S663="S",IF(INDEX(Firms!$K$5:$K$1004,$T663)="","",INDEX(Firms!$K$5:$K$1004,$T663)),IF(INDEX('AFA Rates'!$J$5:$J$1004,$T663)="","",INDEX('AFA Rates'!$J$5:$J$1004,$T663))))</f>
        <v/>
      </c>
      <c r="M663" s="50">
        <f>IF($T663="","",IF($S663="S",IF(INDEX(Firms!$L$5:$L$1004,$T663)="","",INDEX(Firms!$L$5:$L$1004,$T663)),IF(INDEX('AFA Rates'!$K$5:$K$1004,$T663)="","",INDEX('AFA Rates'!$K$5:$K$1004,$T663))))</f>
        <v/>
      </c>
      <c r="N663" s="50">
        <f>IF($T663="","",IF($S663="S",IF(INDEX(Firms!$M$5:$M$1004,$T663)="","",INDEX(Firms!$M$5:$M$1004,$T663)),IF(INDEX('AFA Rates'!$L$5:$L$1004,$T663)="","",INDEX('AFA Rates'!$L$5:$L$1004,$T663))))</f>
        <v/>
      </c>
      <c r="O663" s="78">
        <f>IF(OR($T663="",$U663=""),"",IF(INDEX(Firms!$C$5:$C$1004,$U663)="","",INDEX(Firms!$C$5:$C$1004,$U663)))</f>
        <v/>
      </c>
      <c r="P663" s="79">
        <f>IF(OR($T663="",$U663=""),"",IF(INDEX(Firms!$N$5:$N$1004,$U663)="","",INDEX(Firms!$N$5:$N$1004,$U663)))</f>
        <v/>
      </c>
      <c r="Q663" s="78">
        <f>IF($T663="","",IF($S663="S",IF(INDEX(Firms!$T$5:$T$1004,$T663)="","",INDEX(Firms!$T$5:$T$1004,$T663)),IF(INDEX('AFA Rates'!$M$5:$M$1004,$T663)="","",INDEX('AFA Rates'!$M$5:$M$1004,$T663))))</f>
        <v/>
      </c>
      <c r="S663">
        <f>IF(659&lt;=$S$2,"S",IF(659&lt;=$S$2+$T$2,"A",""))</f>
        <v/>
      </c>
      <c r="T663">
        <f>IF(S663="S",MATCH(659,Firms!$W$5:$W$1004,0),IF(S663="A",IFERROR(MATCH(659-$S$2,'AFA Rates'!$R$5:$R$1004,0),""),""))</f>
        <v/>
      </c>
      <c r="U663">
        <f>IF(S663="S",T663,IF(AND(S663="A",T663&lt;&gt;""),IFERROR(MATCH(INDEX('AFA Rates'!$A$5:$A$1004,T663),Firms!$A$5:$A$1004,0),""),""))</f>
        <v/>
      </c>
    </row>
    <row r="664">
      <c r="A664" s="78">
        <f>IF($T664="","",IF($S664="S",IF(INDEX(Firms!$A$5:$A$1004,$T664)="","",INDEX(Firms!$A$5:$A$1004,$T664)),IF(INDEX('AFA Rates'!$A$5:$A$1004,$T664)="","",INDEX('AFA Rates'!$A$5:$A$1004,$T664))))</f>
        <v/>
      </c>
      <c r="B664" s="79">
        <f>IF(OR($T664="",$U664=""),IF($T664="","","Not on Firms tab"),INDEX(Firms!$B$5:$B$1004,$U664)&amp;"")</f>
        <v/>
      </c>
      <c r="C664" s="78">
        <f>IF($T664="","",IF($S664="S","Standard",INDEX('AFA Rates'!$B$5:$B$1004,$T664)&amp;""))</f>
        <v/>
      </c>
      <c r="D664" s="88">
        <f>IF($T664="","",IF($S664="S",IF(INDEX(Firms!$E$5:$E$1004,$T664)="","",INDEX(Firms!$E$5:$E$1004,$T664)),IF(INDEX('AFA Rates'!$C$5:$C$1004,$T664)="","",INDEX('AFA Rates'!$C$5:$C$1004,$T664))))</f>
        <v/>
      </c>
      <c r="E664" s="88">
        <f>IF($T664="","",IF($S664="S",IF(""="","",""),IF(INDEX('AFA Rates'!$D$5:$D$1004,$T664)="","",INDEX('AFA Rates'!$D$5:$D$1004,$T664))))</f>
        <v/>
      </c>
      <c r="F664" s="79">
        <f>IF($T664="","",IF($S664="S",IF(INDEX(Firms!$O$5:$O$1004,$T664)="","",INDEX(Firms!$O$5:$O$1004,$T664)),IF(INDEX('AFA Rates'!$O$5:$O$1004,$T664)="","",INDEX('AFA Rates'!$O$5:$O$1004,$T664))))</f>
        <v/>
      </c>
      <c r="G664" s="50">
        <f>IF($T664="","",IF($S664="S",IF(INDEX(Firms!$F$5:$F$1004,$T664)="","",INDEX(Firms!$F$5:$F$1004,$T664)),IF(INDEX('AFA Rates'!$E$5:$E$1004,$T664)="","",INDEX('AFA Rates'!$E$5:$E$1004,$T664))))</f>
        <v/>
      </c>
      <c r="H664" s="50">
        <f>IF($T664="","",IF($S664="S",IF(INDEX(Firms!$G$5:$G$1004,$T664)="","",INDEX(Firms!$G$5:$G$1004,$T664)),IF(INDEX('AFA Rates'!$F$5:$F$1004,$T664)="","",INDEX('AFA Rates'!$F$5:$F$1004,$T664))))</f>
        <v/>
      </c>
      <c r="I664" s="50">
        <f>IF($T664="","",IF($S664="S",IF(INDEX(Firms!$H$5:$H$1004,$T664)="","",INDEX(Firms!$H$5:$H$1004,$T664)),IF(INDEX('AFA Rates'!$G$5:$G$1004,$T664)="","",INDEX('AFA Rates'!$G$5:$G$1004,$T664))))</f>
        <v/>
      </c>
      <c r="J664" s="50">
        <f>IF($T664="","",IF($S664="S",IF(INDEX(Firms!$I$5:$I$1004,$T664)="","",INDEX(Firms!$I$5:$I$1004,$T664)),IF(INDEX('AFA Rates'!$H$5:$H$1004,$T664)="","",INDEX('AFA Rates'!$H$5:$H$1004,$T664))))</f>
        <v/>
      </c>
      <c r="K664" s="50">
        <f>IF($T664="","",IF($S664="S",IF(INDEX(Firms!$J$5:$J$1004,$T664)="","",INDEX(Firms!$J$5:$J$1004,$T664)),IF(INDEX('AFA Rates'!$I$5:$I$1004,$T664)="","",INDEX('AFA Rates'!$I$5:$I$1004,$T664))))</f>
        <v/>
      </c>
      <c r="L664" s="50">
        <f>IF($T664="","",IF($S664="S",IF(INDEX(Firms!$K$5:$K$1004,$T664)="","",INDEX(Firms!$K$5:$K$1004,$T664)),IF(INDEX('AFA Rates'!$J$5:$J$1004,$T664)="","",INDEX('AFA Rates'!$J$5:$J$1004,$T664))))</f>
        <v/>
      </c>
      <c r="M664" s="50">
        <f>IF($T664="","",IF($S664="S",IF(INDEX(Firms!$L$5:$L$1004,$T664)="","",INDEX(Firms!$L$5:$L$1004,$T664)),IF(INDEX('AFA Rates'!$K$5:$K$1004,$T664)="","",INDEX('AFA Rates'!$K$5:$K$1004,$T664))))</f>
        <v/>
      </c>
      <c r="N664" s="50">
        <f>IF($T664="","",IF($S664="S",IF(INDEX(Firms!$M$5:$M$1004,$T664)="","",INDEX(Firms!$M$5:$M$1004,$T664)),IF(INDEX('AFA Rates'!$L$5:$L$1004,$T664)="","",INDEX('AFA Rates'!$L$5:$L$1004,$T664))))</f>
        <v/>
      </c>
      <c r="O664" s="78">
        <f>IF(OR($T664="",$U664=""),"",IF(INDEX(Firms!$C$5:$C$1004,$U664)="","",INDEX(Firms!$C$5:$C$1004,$U664)))</f>
        <v/>
      </c>
      <c r="P664" s="79">
        <f>IF(OR($T664="",$U664=""),"",IF(INDEX(Firms!$N$5:$N$1004,$U664)="","",INDEX(Firms!$N$5:$N$1004,$U664)))</f>
        <v/>
      </c>
      <c r="Q664" s="78">
        <f>IF($T664="","",IF($S664="S",IF(INDEX(Firms!$T$5:$T$1004,$T664)="","",INDEX(Firms!$T$5:$T$1004,$T664)),IF(INDEX('AFA Rates'!$M$5:$M$1004,$T664)="","",INDEX('AFA Rates'!$M$5:$M$1004,$T664))))</f>
        <v/>
      </c>
      <c r="S664">
        <f>IF(660&lt;=$S$2,"S",IF(660&lt;=$S$2+$T$2,"A",""))</f>
        <v/>
      </c>
      <c r="T664">
        <f>IF(S664="S",MATCH(660,Firms!$W$5:$W$1004,0),IF(S664="A",IFERROR(MATCH(660-$S$2,'AFA Rates'!$R$5:$R$1004,0),""),""))</f>
        <v/>
      </c>
      <c r="U664">
        <f>IF(S664="S",T664,IF(AND(S664="A",T664&lt;&gt;""),IFERROR(MATCH(INDEX('AFA Rates'!$A$5:$A$1004,T664),Firms!$A$5:$A$1004,0),""),""))</f>
        <v/>
      </c>
    </row>
    <row r="665">
      <c r="A665" s="78">
        <f>IF($T665="","",IF($S665="S",IF(INDEX(Firms!$A$5:$A$1004,$T665)="","",INDEX(Firms!$A$5:$A$1004,$T665)),IF(INDEX('AFA Rates'!$A$5:$A$1004,$T665)="","",INDEX('AFA Rates'!$A$5:$A$1004,$T665))))</f>
        <v/>
      </c>
      <c r="B665" s="79">
        <f>IF(OR($T665="",$U665=""),IF($T665="","","Not on Firms tab"),INDEX(Firms!$B$5:$B$1004,$U665)&amp;"")</f>
        <v/>
      </c>
      <c r="C665" s="78">
        <f>IF($T665="","",IF($S665="S","Standard",INDEX('AFA Rates'!$B$5:$B$1004,$T665)&amp;""))</f>
        <v/>
      </c>
      <c r="D665" s="88">
        <f>IF($T665="","",IF($S665="S",IF(INDEX(Firms!$E$5:$E$1004,$T665)="","",INDEX(Firms!$E$5:$E$1004,$T665)),IF(INDEX('AFA Rates'!$C$5:$C$1004,$T665)="","",INDEX('AFA Rates'!$C$5:$C$1004,$T665))))</f>
        <v/>
      </c>
      <c r="E665" s="88">
        <f>IF($T665="","",IF($S665="S",IF(""="","",""),IF(INDEX('AFA Rates'!$D$5:$D$1004,$T665)="","",INDEX('AFA Rates'!$D$5:$D$1004,$T665))))</f>
        <v/>
      </c>
      <c r="F665" s="79">
        <f>IF($T665="","",IF($S665="S",IF(INDEX(Firms!$O$5:$O$1004,$T665)="","",INDEX(Firms!$O$5:$O$1004,$T665)),IF(INDEX('AFA Rates'!$O$5:$O$1004,$T665)="","",INDEX('AFA Rates'!$O$5:$O$1004,$T665))))</f>
        <v/>
      </c>
      <c r="G665" s="50">
        <f>IF($T665="","",IF($S665="S",IF(INDEX(Firms!$F$5:$F$1004,$T665)="","",INDEX(Firms!$F$5:$F$1004,$T665)),IF(INDEX('AFA Rates'!$E$5:$E$1004,$T665)="","",INDEX('AFA Rates'!$E$5:$E$1004,$T665))))</f>
        <v/>
      </c>
      <c r="H665" s="50">
        <f>IF($T665="","",IF($S665="S",IF(INDEX(Firms!$G$5:$G$1004,$T665)="","",INDEX(Firms!$G$5:$G$1004,$T665)),IF(INDEX('AFA Rates'!$F$5:$F$1004,$T665)="","",INDEX('AFA Rates'!$F$5:$F$1004,$T665))))</f>
        <v/>
      </c>
      <c r="I665" s="50">
        <f>IF($T665="","",IF($S665="S",IF(INDEX(Firms!$H$5:$H$1004,$T665)="","",INDEX(Firms!$H$5:$H$1004,$T665)),IF(INDEX('AFA Rates'!$G$5:$G$1004,$T665)="","",INDEX('AFA Rates'!$G$5:$G$1004,$T665))))</f>
        <v/>
      </c>
      <c r="J665" s="50">
        <f>IF($T665="","",IF($S665="S",IF(INDEX(Firms!$I$5:$I$1004,$T665)="","",INDEX(Firms!$I$5:$I$1004,$T665)),IF(INDEX('AFA Rates'!$H$5:$H$1004,$T665)="","",INDEX('AFA Rates'!$H$5:$H$1004,$T665))))</f>
        <v/>
      </c>
      <c r="K665" s="50">
        <f>IF($T665="","",IF($S665="S",IF(INDEX(Firms!$J$5:$J$1004,$T665)="","",INDEX(Firms!$J$5:$J$1004,$T665)),IF(INDEX('AFA Rates'!$I$5:$I$1004,$T665)="","",INDEX('AFA Rates'!$I$5:$I$1004,$T665))))</f>
        <v/>
      </c>
      <c r="L665" s="50">
        <f>IF($T665="","",IF($S665="S",IF(INDEX(Firms!$K$5:$K$1004,$T665)="","",INDEX(Firms!$K$5:$K$1004,$T665)),IF(INDEX('AFA Rates'!$J$5:$J$1004,$T665)="","",INDEX('AFA Rates'!$J$5:$J$1004,$T665))))</f>
        <v/>
      </c>
      <c r="M665" s="50">
        <f>IF($T665="","",IF($S665="S",IF(INDEX(Firms!$L$5:$L$1004,$T665)="","",INDEX(Firms!$L$5:$L$1004,$T665)),IF(INDEX('AFA Rates'!$K$5:$K$1004,$T665)="","",INDEX('AFA Rates'!$K$5:$K$1004,$T665))))</f>
        <v/>
      </c>
      <c r="N665" s="50">
        <f>IF($T665="","",IF($S665="S",IF(INDEX(Firms!$M$5:$M$1004,$T665)="","",INDEX(Firms!$M$5:$M$1004,$T665)),IF(INDEX('AFA Rates'!$L$5:$L$1004,$T665)="","",INDEX('AFA Rates'!$L$5:$L$1004,$T665))))</f>
        <v/>
      </c>
      <c r="O665" s="78">
        <f>IF(OR($T665="",$U665=""),"",IF(INDEX(Firms!$C$5:$C$1004,$U665)="","",INDEX(Firms!$C$5:$C$1004,$U665)))</f>
        <v/>
      </c>
      <c r="P665" s="79">
        <f>IF(OR($T665="",$U665=""),"",IF(INDEX(Firms!$N$5:$N$1004,$U665)="","",INDEX(Firms!$N$5:$N$1004,$U665)))</f>
        <v/>
      </c>
      <c r="Q665" s="78">
        <f>IF($T665="","",IF($S665="S",IF(INDEX(Firms!$T$5:$T$1004,$T665)="","",INDEX(Firms!$T$5:$T$1004,$T665)),IF(INDEX('AFA Rates'!$M$5:$M$1004,$T665)="","",INDEX('AFA Rates'!$M$5:$M$1004,$T665))))</f>
        <v/>
      </c>
      <c r="S665">
        <f>IF(661&lt;=$S$2,"S",IF(661&lt;=$S$2+$T$2,"A",""))</f>
        <v/>
      </c>
      <c r="T665">
        <f>IF(S665="S",MATCH(661,Firms!$W$5:$W$1004,0),IF(S665="A",IFERROR(MATCH(661-$S$2,'AFA Rates'!$R$5:$R$1004,0),""),""))</f>
        <v/>
      </c>
      <c r="U665">
        <f>IF(S665="S",T665,IF(AND(S665="A",T665&lt;&gt;""),IFERROR(MATCH(INDEX('AFA Rates'!$A$5:$A$1004,T665),Firms!$A$5:$A$1004,0),""),""))</f>
        <v/>
      </c>
    </row>
    <row r="666">
      <c r="A666" s="78">
        <f>IF($T666="","",IF($S666="S",IF(INDEX(Firms!$A$5:$A$1004,$T666)="","",INDEX(Firms!$A$5:$A$1004,$T666)),IF(INDEX('AFA Rates'!$A$5:$A$1004,$T666)="","",INDEX('AFA Rates'!$A$5:$A$1004,$T666))))</f>
        <v/>
      </c>
      <c r="B666" s="79">
        <f>IF(OR($T666="",$U666=""),IF($T666="","","Not on Firms tab"),INDEX(Firms!$B$5:$B$1004,$U666)&amp;"")</f>
        <v/>
      </c>
      <c r="C666" s="78">
        <f>IF($T666="","",IF($S666="S","Standard",INDEX('AFA Rates'!$B$5:$B$1004,$T666)&amp;""))</f>
        <v/>
      </c>
      <c r="D666" s="88">
        <f>IF($T666="","",IF($S666="S",IF(INDEX(Firms!$E$5:$E$1004,$T666)="","",INDEX(Firms!$E$5:$E$1004,$T666)),IF(INDEX('AFA Rates'!$C$5:$C$1004,$T666)="","",INDEX('AFA Rates'!$C$5:$C$1004,$T666))))</f>
        <v/>
      </c>
      <c r="E666" s="88">
        <f>IF($T666="","",IF($S666="S",IF(""="","",""),IF(INDEX('AFA Rates'!$D$5:$D$1004,$T666)="","",INDEX('AFA Rates'!$D$5:$D$1004,$T666))))</f>
        <v/>
      </c>
      <c r="F666" s="79">
        <f>IF($T666="","",IF($S666="S",IF(INDEX(Firms!$O$5:$O$1004,$T666)="","",INDEX(Firms!$O$5:$O$1004,$T666)),IF(INDEX('AFA Rates'!$O$5:$O$1004,$T666)="","",INDEX('AFA Rates'!$O$5:$O$1004,$T666))))</f>
        <v/>
      </c>
      <c r="G666" s="50">
        <f>IF($T666="","",IF($S666="S",IF(INDEX(Firms!$F$5:$F$1004,$T666)="","",INDEX(Firms!$F$5:$F$1004,$T666)),IF(INDEX('AFA Rates'!$E$5:$E$1004,$T666)="","",INDEX('AFA Rates'!$E$5:$E$1004,$T666))))</f>
        <v/>
      </c>
      <c r="H666" s="50">
        <f>IF($T666="","",IF($S666="S",IF(INDEX(Firms!$G$5:$G$1004,$T666)="","",INDEX(Firms!$G$5:$G$1004,$T666)),IF(INDEX('AFA Rates'!$F$5:$F$1004,$T666)="","",INDEX('AFA Rates'!$F$5:$F$1004,$T666))))</f>
        <v/>
      </c>
      <c r="I666" s="50">
        <f>IF($T666="","",IF($S666="S",IF(INDEX(Firms!$H$5:$H$1004,$T666)="","",INDEX(Firms!$H$5:$H$1004,$T666)),IF(INDEX('AFA Rates'!$G$5:$G$1004,$T666)="","",INDEX('AFA Rates'!$G$5:$G$1004,$T666))))</f>
        <v/>
      </c>
      <c r="J666" s="50">
        <f>IF($T666="","",IF($S666="S",IF(INDEX(Firms!$I$5:$I$1004,$T666)="","",INDEX(Firms!$I$5:$I$1004,$T666)),IF(INDEX('AFA Rates'!$H$5:$H$1004,$T666)="","",INDEX('AFA Rates'!$H$5:$H$1004,$T666))))</f>
        <v/>
      </c>
      <c r="K666" s="50">
        <f>IF($T666="","",IF($S666="S",IF(INDEX(Firms!$J$5:$J$1004,$T666)="","",INDEX(Firms!$J$5:$J$1004,$T666)),IF(INDEX('AFA Rates'!$I$5:$I$1004,$T666)="","",INDEX('AFA Rates'!$I$5:$I$1004,$T666))))</f>
        <v/>
      </c>
      <c r="L666" s="50">
        <f>IF($T666="","",IF($S666="S",IF(INDEX(Firms!$K$5:$K$1004,$T666)="","",INDEX(Firms!$K$5:$K$1004,$T666)),IF(INDEX('AFA Rates'!$J$5:$J$1004,$T666)="","",INDEX('AFA Rates'!$J$5:$J$1004,$T666))))</f>
        <v/>
      </c>
      <c r="M666" s="50">
        <f>IF($T666="","",IF($S666="S",IF(INDEX(Firms!$L$5:$L$1004,$T666)="","",INDEX(Firms!$L$5:$L$1004,$T666)),IF(INDEX('AFA Rates'!$K$5:$K$1004,$T666)="","",INDEX('AFA Rates'!$K$5:$K$1004,$T666))))</f>
        <v/>
      </c>
      <c r="N666" s="50">
        <f>IF($T666="","",IF($S666="S",IF(INDEX(Firms!$M$5:$M$1004,$T666)="","",INDEX(Firms!$M$5:$M$1004,$T666)),IF(INDEX('AFA Rates'!$L$5:$L$1004,$T666)="","",INDEX('AFA Rates'!$L$5:$L$1004,$T666))))</f>
        <v/>
      </c>
      <c r="O666" s="78">
        <f>IF(OR($T666="",$U666=""),"",IF(INDEX(Firms!$C$5:$C$1004,$U666)="","",INDEX(Firms!$C$5:$C$1004,$U666)))</f>
        <v/>
      </c>
      <c r="P666" s="79">
        <f>IF(OR($T666="",$U666=""),"",IF(INDEX(Firms!$N$5:$N$1004,$U666)="","",INDEX(Firms!$N$5:$N$1004,$U666)))</f>
        <v/>
      </c>
      <c r="Q666" s="78">
        <f>IF($T666="","",IF($S666="S",IF(INDEX(Firms!$T$5:$T$1004,$T666)="","",INDEX(Firms!$T$5:$T$1004,$T666)),IF(INDEX('AFA Rates'!$M$5:$M$1004,$T666)="","",INDEX('AFA Rates'!$M$5:$M$1004,$T666))))</f>
        <v/>
      </c>
      <c r="S666">
        <f>IF(662&lt;=$S$2,"S",IF(662&lt;=$S$2+$T$2,"A",""))</f>
        <v/>
      </c>
      <c r="T666">
        <f>IF(S666="S",MATCH(662,Firms!$W$5:$W$1004,0),IF(S666="A",IFERROR(MATCH(662-$S$2,'AFA Rates'!$R$5:$R$1004,0),""),""))</f>
        <v/>
      </c>
      <c r="U666">
        <f>IF(S666="S",T666,IF(AND(S666="A",T666&lt;&gt;""),IFERROR(MATCH(INDEX('AFA Rates'!$A$5:$A$1004,T666),Firms!$A$5:$A$1004,0),""),""))</f>
        <v/>
      </c>
    </row>
    <row r="667">
      <c r="A667" s="78">
        <f>IF($T667="","",IF($S667="S",IF(INDEX(Firms!$A$5:$A$1004,$T667)="","",INDEX(Firms!$A$5:$A$1004,$T667)),IF(INDEX('AFA Rates'!$A$5:$A$1004,$T667)="","",INDEX('AFA Rates'!$A$5:$A$1004,$T667))))</f>
        <v/>
      </c>
      <c r="B667" s="79">
        <f>IF(OR($T667="",$U667=""),IF($T667="","","Not on Firms tab"),INDEX(Firms!$B$5:$B$1004,$U667)&amp;"")</f>
        <v/>
      </c>
      <c r="C667" s="78">
        <f>IF($T667="","",IF($S667="S","Standard",INDEX('AFA Rates'!$B$5:$B$1004,$T667)&amp;""))</f>
        <v/>
      </c>
      <c r="D667" s="88">
        <f>IF($T667="","",IF($S667="S",IF(INDEX(Firms!$E$5:$E$1004,$T667)="","",INDEX(Firms!$E$5:$E$1004,$T667)),IF(INDEX('AFA Rates'!$C$5:$C$1004,$T667)="","",INDEX('AFA Rates'!$C$5:$C$1004,$T667))))</f>
        <v/>
      </c>
      <c r="E667" s="88">
        <f>IF($T667="","",IF($S667="S",IF(""="","",""),IF(INDEX('AFA Rates'!$D$5:$D$1004,$T667)="","",INDEX('AFA Rates'!$D$5:$D$1004,$T667))))</f>
        <v/>
      </c>
      <c r="F667" s="79">
        <f>IF($T667="","",IF($S667="S",IF(INDEX(Firms!$O$5:$O$1004,$T667)="","",INDEX(Firms!$O$5:$O$1004,$T667)),IF(INDEX('AFA Rates'!$O$5:$O$1004,$T667)="","",INDEX('AFA Rates'!$O$5:$O$1004,$T667))))</f>
        <v/>
      </c>
      <c r="G667" s="50">
        <f>IF($T667="","",IF($S667="S",IF(INDEX(Firms!$F$5:$F$1004,$T667)="","",INDEX(Firms!$F$5:$F$1004,$T667)),IF(INDEX('AFA Rates'!$E$5:$E$1004,$T667)="","",INDEX('AFA Rates'!$E$5:$E$1004,$T667))))</f>
        <v/>
      </c>
      <c r="H667" s="50">
        <f>IF($T667="","",IF($S667="S",IF(INDEX(Firms!$G$5:$G$1004,$T667)="","",INDEX(Firms!$G$5:$G$1004,$T667)),IF(INDEX('AFA Rates'!$F$5:$F$1004,$T667)="","",INDEX('AFA Rates'!$F$5:$F$1004,$T667))))</f>
        <v/>
      </c>
      <c r="I667" s="50">
        <f>IF($T667="","",IF($S667="S",IF(INDEX(Firms!$H$5:$H$1004,$T667)="","",INDEX(Firms!$H$5:$H$1004,$T667)),IF(INDEX('AFA Rates'!$G$5:$G$1004,$T667)="","",INDEX('AFA Rates'!$G$5:$G$1004,$T667))))</f>
        <v/>
      </c>
      <c r="J667" s="50">
        <f>IF($T667="","",IF($S667="S",IF(INDEX(Firms!$I$5:$I$1004,$T667)="","",INDEX(Firms!$I$5:$I$1004,$T667)),IF(INDEX('AFA Rates'!$H$5:$H$1004,$T667)="","",INDEX('AFA Rates'!$H$5:$H$1004,$T667))))</f>
        <v/>
      </c>
      <c r="K667" s="50">
        <f>IF($T667="","",IF($S667="S",IF(INDEX(Firms!$J$5:$J$1004,$T667)="","",INDEX(Firms!$J$5:$J$1004,$T667)),IF(INDEX('AFA Rates'!$I$5:$I$1004,$T667)="","",INDEX('AFA Rates'!$I$5:$I$1004,$T667))))</f>
        <v/>
      </c>
      <c r="L667" s="50">
        <f>IF($T667="","",IF($S667="S",IF(INDEX(Firms!$K$5:$K$1004,$T667)="","",INDEX(Firms!$K$5:$K$1004,$T667)),IF(INDEX('AFA Rates'!$J$5:$J$1004,$T667)="","",INDEX('AFA Rates'!$J$5:$J$1004,$T667))))</f>
        <v/>
      </c>
      <c r="M667" s="50">
        <f>IF($T667="","",IF($S667="S",IF(INDEX(Firms!$L$5:$L$1004,$T667)="","",INDEX(Firms!$L$5:$L$1004,$T667)),IF(INDEX('AFA Rates'!$K$5:$K$1004,$T667)="","",INDEX('AFA Rates'!$K$5:$K$1004,$T667))))</f>
        <v/>
      </c>
      <c r="N667" s="50">
        <f>IF($T667="","",IF($S667="S",IF(INDEX(Firms!$M$5:$M$1004,$T667)="","",INDEX(Firms!$M$5:$M$1004,$T667)),IF(INDEX('AFA Rates'!$L$5:$L$1004,$T667)="","",INDEX('AFA Rates'!$L$5:$L$1004,$T667))))</f>
        <v/>
      </c>
      <c r="O667" s="78">
        <f>IF(OR($T667="",$U667=""),"",IF(INDEX(Firms!$C$5:$C$1004,$U667)="","",INDEX(Firms!$C$5:$C$1004,$U667)))</f>
        <v/>
      </c>
      <c r="P667" s="79">
        <f>IF(OR($T667="",$U667=""),"",IF(INDEX(Firms!$N$5:$N$1004,$U667)="","",INDEX(Firms!$N$5:$N$1004,$U667)))</f>
        <v/>
      </c>
      <c r="Q667" s="78">
        <f>IF($T667="","",IF($S667="S",IF(INDEX(Firms!$T$5:$T$1004,$T667)="","",INDEX(Firms!$T$5:$T$1004,$T667)),IF(INDEX('AFA Rates'!$M$5:$M$1004,$T667)="","",INDEX('AFA Rates'!$M$5:$M$1004,$T667))))</f>
        <v/>
      </c>
      <c r="S667">
        <f>IF(663&lt;=$S$2,"S",IF(663&lt;=$S$2+$T$2,"A",""))</f>
        <v/>
      </c>
      <c r="T667">
        <f>IF(S667="S",MATCH(663,Firms!$W$5:$W$1004,0),IF(S667="A",IFERROR(MATCH(663-$S$2,'AFA Rates'!$R$5:$R$1004,0),""),""))</f>
        <v/>
      </c>
      <c r="U667">
        <f>IF(S667="S",T667,IF(AND(S667="A",T667&lt;&gt;""),IFERROR(MATCH(INDEX('AFA Rates'!$A$5:$A$1004,T667),Firms!$A$5:$A$1004,0),""),""))</f>
        <v/>
      </c>
    </row>
    <row r="668">
      <c r="A668" s="78">
        <f>IF($T668="","",IF($S668="S",IF(INDEX(Firms!$A$5:$A$1004,$T668)="","",INDEX(Firms!$A$5:$A$1004,$T668)),IF(INDEX('AFA Rates'!$A$5:$A$1004,$T668)="","",INDEX('AFA Rates'!$A$5:$A$1004,$T668))))</f>
        <v/>
      </c>
      <c r="B668" s="79">
        <f>IF(OR($T668="",$U668=""),IF($T668="","","Not on Firms tab"),INDEX(Firms!$B$5:$B$1004,$U668)&amp;"")</f>
        <v/>
      </c>
      <c r="C668" s="78">
        <f>IF($T668="","",IF($S668="S","Standard",INDEX('AFA Rates'!$B$5:$B$1004,$T668)&amp;""))</f>
        <v/>
      </c>
      <c r="D668" s="88">
        <f>IF($T668="","",IF($S668="S",IF(INDEX(Firms!$E$5:$E$1004,$T668)="","",INDEX(Firms!$E$5:$E$1004,$T668)),IF(INDEX('AFA Rates'!$C$5:$C$1004,$T668)="","",INDEX('AFA Rates'!$C$5:$C$1004,$T668))))</f>
        <v/>
      </c>
      <c r="E668" s="88">
        <f>IF($T668="","",IF($S668="S",IF(""="","",""),IF(INDEX('AFA Rates'!$D$5:$D$1004,$T668)="","",INDEX('AFA Rates'!$D$5:$D$1004,$T668))))</f>
        <v/>
      </c>
      <c r="F668" s="79">
        <f>IF($T668="","",IF($S668="S",IF(INDEX(Firms!$O$5:$O$1004,$T668)="","",INDEX(Firms!$O$5:$O$1004,$T668)),IF(INDEX('AFA Rates'!$O$5:$O$1004,$T668)="","",INDEX('AFA Rates'!$O$5:$O$1004,$T668))))</f>
        <v/>
      </c>
      <c r="G668" s="50">
        <f>IF($T668="","",IF($S668="S",IF(INDEX(Firms!$F$5:$F$1004,$T668)="","",INDEX(Firms!$F$5:$F$1004,$T668)),IF(INDEX('AFA Rates'!$E$5:$E$1004,$T668)="","",INDEX('AFA Rates'!$E$5:$E$1004,$T668))))</f>
        <v/>
      </c>
      <c r="H668" s="50">
        <f>IF($T668="","",IF($S668="S",IF(INDEX(Firms!$G$5:$G$1004,$T668)="","",INDEX(Firms!$G$5:$G$1004,$T668)),IF(INDEX('AFA Rates'!$F$5:$F$1004,$T668)="","",INDEX('AFA Rates'!$F$5:$F$1004,$T668))))</f>
        <v/>
      </c>
      <c r="I668" s="50">
        <f>IF($T668="","",IF($S668="S",IF(INDEX(Firms!$H$5:$H$1004,$T668)="","",INDEX(Firms!$H$5:$H$1004,$T668)),IF(INDEX('AFA Rates'!$G$5:$G$1004,$T668)="","",INDEX('AFA Rates'!$G$5:$G$1004,$T668))))</f>
        <v/>
      </c>
      <c r="J668" s="50">
        <f>IF($T668="","",IF($S668="S",IF(INDEX(Firms!$I$5:$I$1004,$T668)="","",INDEX(Firms!$I$5:$I$1004,$T668)),IF(INDEX('AFA Rates'!$H$5:$H$1004,$T668)="","",INDEX('AFA Rates'!$H$5:$H$1004,$T668))))</f>
        <v/>
      </c>
      <c r="K668" s="50">
        <f>IF($T668="","",IF($S668="S",IF(INDEX(Firms!$J$5:$J$1004,$T668)="","",INDEX(Firms!$J$5:$J$1004,$T668)),IF(INDEX('AFA Rates'!$I$5:$I$1004,$T668)="","",INDEX('AFA Rates'!$I$5:$I$1004,$T668))))</f>
        <v/>
      </c>
      <c r="L668" s="50">
        <f>IF($T668="","",IF($S668="S",IF(INDEX(Firms!$K$5:$K$1004,$T668)="","",INDEX(Firms!$K$5:$K$1004,$T668)),IF(INDEX('AFA Rates'!$J$5:$J$1004,$T668)="","",INDEX('AFA Rates'!$J$5:$J$1004,$T668))))</f>
        <v/>
      </c>
      <c r="M668" s="50">
        <f>IF($T668="","",IF($S668="S",IF(INDEX(Firms!$L$5:$L$1004,$T668)="","",INDEX(Firms!$L$5:$L$1004,$T668)),IF(INDEX('AFA Rates'!$K$5:$K$1004,$T668)="","",INDEX('AFA Rates'!$K$5:$K$1004,$T668))))</f>
        <v/>
      </c>
      <c r="N668" s="50">
        <f>IF($T668="","",IF($S668="S",IF(INDEX(Firms!$M$5:$M$1004,$T668)="","",INDEX(Firms!$M$5:$M$1004,$T668)),IF(INDEX('AFA Rates'!$L$5:$L$1004,$T668)="","",INDEX('AFA Rates'!$L$5:$L$1004,$T668))))</f>
        <v/>
      </c>
      <c r="O668" s="78">
        <f>IF(OR($T668="",$U668=""),"",IF(INDEX(Firms!$C$5:$C$1004,$U668)="","",INDEX(Firms!$C$5:$C$1004,$U668)))</f>
        <v/>
      </c>
      <c r="P668" s="79">
        <f>IF(OR($T668="",$U668=""),"",IF(INDEX(Firms!$N$5:$N$1004,$U668)="","",INDEX(Firms!$N$5:$N$1004,$U668)))</f>
        <v/>
      </c>
      <c r="Q668" s="78">
        <f>IF($T668="","",IF($S668="S",IF(INDEX(Firms!$T$5:$T$1004,$T668)="","",INDEX(Firms!$T$5:$T$1004,$T668)),IF(INDEX('AFA Rates'!$M$5:$M$1004,$T668)="","",INDEX('AFA Rates'!$M$5:$M$1004,$T668))))</f>
        <v/>
      </c>
      <c r="S668">
        <f>IF(664&lt;=$S$2,"S",IF(664&lt;=$S$2+$T$2,"A",""))</f>
        <v/>
      </c>
      <c r="T668">
        <f>IF(S668="S",MATCH(664,Firms!$W$5:$W$1004,0),IF(S668="A",IFERROR(MATCH(664-$S$2,'AFA Rates'!$R$5:$R$1004,0),""),""))</f>
        <v/>
      </c>
      <c r="U668">
        <f>IF(S668="S",T668,IF(AND(S668="A",T668&lt;&gt;""),IFERROR(MATCH(INDEX('AFA Rates'!$A$5:$A$1004,T668),Firms!$A$5:$A$1004,0),""),""))</f>
        <v/>
      </c>
    </row>
    <row r="669">
      <c r="A669" s="78">
        <f>IF($T669="","",IF($S669="S",IF(INDEX(Firms!$A$5:$A$1004,$T669)="","",INDEX(Firms!$A$5:$A$1004,$T669)),IF(INDEX('AFA Rates'!$A$5:$A$1004,$T669)="","",INDEX('AFA Rates'!$A$5:$A$1004,$T669))))</f>
        <v/>
      </c>
      <c r="B669" s="79">
        <f>IF(OR($T669="",$U669=""),IF($T669="","","Not on Firms tab"),INDEX(Firms!$B$5:$B$1004,$U669)&amp;"")</f>
        <v/>
      </c>
      <c r="C669" s="78">
        <f>IF($T669="","",IF($S669="S","Standard",INDEX('AFA Rates'!$B$5:$B$1004,$T669)&amp;""))</f>
        <v/>
      </c>
      <c r="D669" s="88">
        <f>IF($T669="","",IF($S669="S",IF(INDEX(Firms!$E$5:$E$1004,$T669)="","",INDEX(Firms!$E$5:$E$1004,$T669)),IF(INDEX('AFA Rates'!$C$5:$C$1004,$T669)="","",INDEX('AFA Rates'!$C$5:$C$1004,$T669))))</f>
        <v/>
      </c>
      <c r="E669" s="88">
        <f>IF($T669="","",IF($S669="S",IF(""="","",""),IF(INDEX('AFA Rates'!$D$5:$D$1004,$T669)="","",INDEX('AFA Rates'!$D$5:$D$1004,$T669))))</f>
        <v/>
      </c>
      <c r="F669" s="79">
        <f>IF($T669="","",IF($S669="S",IF(INDEX(Firms!$O$5:$O$1004,$T669)="","",INDEX(Firms!$O$5:$O$1004,$T669)),IF(INDEX('AFA Rates'!$O$5:$O$1004,$T669)="","",INDEX('AFA Rates'!$O$5:$O$1004,$T669))))</f>
        <v/>
      </c>
      <c r="G669" s="50">
        <f>IF($T669="","",IF($S669="S",IF(INDEX(Firms!$F$5:$F$1004,$T669)="","",INDEX(Firms!$F$5:$F$1004,$T669)),IF(INDEX('AFA Rates'!$E$5:$E$1004,$T669)="","",INDEX('AFA Rates'!$E$5:$E$1004,$T669))))</f>
        <v/>
      </c>
      <c r="H669" s="50">
        <f>IF($T669="","",IF($S669="S",IF(INDEX(Firms!$G$5:$G$1004,$T669)="","",INDEX(Firms!$G$5:$G$1004,$T669)),IF(INDEX('AFA Rates'!$F$5:$F$1004,$T669)="","",INDEX('AFA Rates'!$F$5:$F$1004,$T669))))</f>
        <v/>
      </c>
      <c r="I669" s="50">
        <f>IF($T669="","",IF($S669="S",IF(INDEX(Firms!$H$5:$H$1004,$T669)="","",INDEX(Firms!$H$5:$H$1004,$T669)),IF(INDEX('AFA Rates'!$G$5:$G$1004,$T669)="","",INDEX('AFA Rates'!$G$5:$G$1004,$T669))))</f>
        <v/>
      </c>
      <c r="J669" s="50">
        <f>IF($T669="","",IF($S669="S",IF(INDEX(Firms!$I$5:$I$1004,$T669)="","",INDEX(Firms!$I$5:$I$1004,$T669)),IF(INDEX('AFA Rates'!$H$5:$H$1004,$T669)="","",INDEX('AFA Rates'!$H$5:$H$1004,$T669))))</f>
        <v/>
      </c>
      <c r="K669" s="50">
        <f>IF($T669="","",IF($S669="S",IF(INDEX(Firms!$J$5:$J$1004,$T669)="","",INDEX(Firms!$J$5:$J$1004,$T669)),IF(INDEX('AFA Rates'!$I$5:$I$1004,$T669)="","",INDEX('AFA Rates'!$I$5:$I$1004,$T669))))</f>
        <v/>
      </c>
      <c r="L669" s="50">
        <f>IF($T669="","",IF($S669="S",IF(INDEX(Firms!$K$5:$K$1004,$T669)="","",INDEX(Firms!$K$5:$K$1004,$T669)),IF(INDEX('AFA Rates'!$J$5:$J$1004,$T669)="","",INDEX('AFA Rates'!$J$5:$J$1004,$T669))))</f>
        <v/>
      </c>
      <c r="M669" s="50">
        <f>IF($T669="","",IF($S669="S",IF(INDEX(Firms!$L$5:$L$1004,$T669)="","",INDEX(Firms!$L$5:$L$1004,$T669)),IF(INDEX('AFA Rates'!$K$5:$K$1004,$T669)="","",INDEX('AFA Rates'!$K$5:$K$1004,$T669))))</f>
        <v/>
      </c>
      <c r="N669" s="50">
        <f>IF($T669="","",IF($S669="S",IF(INDEX(Firms!$M$5:$M$1004,$T669)="","",INDEX(Firms!$M$5:$M$1004,$T669)),IF(INDEX('AFA Rates'!$L$5:$L$1004,$T669)="","",INDEX('AFA Rates'!$L$5:$L$1004,$T669))))</f>
        <v/>
      </c>
      <c r="O669" s="78">
        <f>IF(OR($T669="",$U669=""),"",IF(INDEX(Firms!$C$5:$C$1004,$U669)="","",INDEX(Firms!$C$5:$C$1004,$U669)))</f>
        <v/>
      </c>
      <c r="P669" s="79">
        <f>IF(OR($T669="",$U669=""),"",IF(INDEX(Firms!$N$5:$N$1004,$U669)="","",INDEX(Firms!$N$5:$N$1004,$U669)))</f>
        <v/>
      </c>
      <c r="Q669" s="78">
        <f>IF($T669="","",IF($S669="S",IF(INDEX(Firms!$T$5:$T$1004,$T669)="","",INDEX(Firms!$T$5:$T$1004,$T669)),IF(INDEX('AFA Rates'!$M$5:$M$1004,$T669)="","",INDEX('AFA Rates'!$M$5:$M$1004,$T669))))</f>
        <v/>
      </c>
      <c r="S669">
        <f>IF(665&lt;=$S$2,"S",IF(665&lt;=$S$2+$T$2,"A",""))</f>
        <v/>
      </c>
      <c r="T669">
        <f>IF(S669="S",MATCH(665,Firms!$W$5:$W$1004,0),IF(S669="A",IFERROR(MATCH(665-$S$2,'AFA Rates'!$R$5:$R$1004,0),""),""))</f>
        <v/>
      </c>
      <c r="U669">
        <f>IF(S669="S",T669,IF(AND(S669="A",T669&lt;&gt;""),IFERROR(MATCH(INDEX('AFA Rates'!$A$5:$A$1004,T669),Firms!$A$5:$A$1004,0),""),""))</f>
        <v/>
      </c>
    </row>
    <row r="670">
      <c r="A670" s="78">
        <f>IF($T670="","",IF($S670="S",IF(INDEX(Firms!$A$5:$A$1004,$T670)="","",INDEX(Firms!$A$5:$A$1004,$T670)),IF(INDEX('AFA Rates'!$A$5:$A$1004,$T670)="","",INDEX('AFA Rates'!$A$5:$A$1004,$T670))))</f>
        <v/>
      </c>
      <c r="B670" s="79">
        <f>IF(OR($T670="",$U670=""),IF($T670="","","Not on Firms tab"),INDEX(Firms!$B$5:$B$1004,$U670)&amp;"")</f>
        <v/>
      </c>
      <c r="C670" s="78">
        <f>IF($T670="","",IF($S670="S","Standard",INDEX('AFA Rates'!$B$5:$B$1004,$T670)&amp;""))</f>
        <v/>
      </c>
      <c r="D670" s="88">
        <f>IF($T670="","",IF($S670="S",IF(INDEX(Firms!$E$5:$E$1004,$T670)="","",INDEX(Firms!$E$5:$E$1004,$T670)),IF(INDEX('AFA Rates'!$C$5:$C$1004,$T670)="","",INDEX('AFA Rates'!$C$5:$C$1004,$T670))))</f>
        <v/>
      </c>
      <c r="E670" s="88">
        <f>IF($T670="","",IF($S670="S",IF(""="","",""),IF(INDEX('AFA Rates'!$D$5:$D$1004,$T670)="","",INDEX('AFA Rates'!$D$5:$D$1004,$T670))))</f>
        <v/>
      </c>
      <c r="F670" s="79">
        <f>IF($T670="","",IF($S670="S",IF(INDEX(Firms!$O$5:$O$1004,$T670)="","",INDEX(Firms!$O$5:$O$1004,$T670)),IF(INDEX('AFA Rates'!$O$5:$O$1004,$T670)="","",INDEX('AFA Rates'!$O$5:$O$1004,$T670))))</f>
        <v/>
      </c>
      <c r="G670" s="50">
        <f>IF($T670="","",IF($S670="S",IF(INDEX(Firms!$F$5:$F$1004,$T670)="","",INDEX(Firms!$F$5:$F$1004,$T670)),IF(INDEX('AFA Rates'!$E$5:$E$1004,$T670)="","",INDEX('AFA Rates'!$E$5:$E$1004,$T670))))</f>
        <v/>
      </c>
      <c r="H670" s="50">
        <f>IF($T670="","",IF($S670="S",IF(INDEX(Firms!$G$5:$G$1004,$T670)="","",INDEX(Firms!$G$5:$G$1004,$T670)),IF(INDEX('AFA Rates'!$F$5:$F$1004,$T670)="","",INDEX('AFA Rates'!$F$5:$F$1004,$T670))))</f>
        <v/>
      </c>
      <c r="I670" s="50">
        <f>IF($T670="","",IF($S670="S",IF(INDEX(Firms!$H$5:$H$1004,$T670)="","",INDEX(Firms!$H$5:$H$1004,$T670)),IF(INDEX('AFA Rates'!$G$5:$G$1004,$T670)="","",INDEX('AFA Rates'!$G$5:$G$1004,$T670))))</f>
        <v/>
      </c>
      <c r="J670" s="50">
        <f>IF($T670="","",IF($S670="S",IF(INDEX(Firms!$I$5:$I$1004,$T670)="","",INDEX(Firms!$I$5:$I$1004,$T670)),IF(INDEX('AFA Rates'!$H$5:$H$1004,$T670)="","",INDEX('AFA Rates'!$H$5:$H$1004,$T670))))</f>
        <v/>
      </c>
      <c r="K670" s="50">
        <f>IF($T670="","",IF($S670="S",IF(INDEX(Firms!$J$5:$J$1004,$T670)="","",INDEX(Firms!$J$5:$J$1004,$T670)),IF(INDEX('AFA Rates'!$I$5:$I$1004,$T670)="","",INDEX('AFA Rates'!$I$5:$I$1004,$T670))))</f>
        <v/>
      </c>
      <c r="L670" s="50">
        <f>IF($T670="","",IF($S670="S",IF(INDEX(Firms!$K$5:$K$1004,$T670)="","",INDEX(Firms!$K$5:$K$1004,$T670)),IF(INDEX('AFA Rates'!$J$5:$J$1004,$T670)="","",INDEX('AFA Rates'!$J$5:$J$1004,$T670))))</f>
        <v/>
      </c>
      <c r="M670" s="50">
        <f>IF($T670="","",IF($S670="S",IF(INDEX(Firms!$L$5:$L$1004,$T670)="","",INDEX(Firms!$L$5:$L$1004,$T670)),IF(INDEX('AFA Rates'!$K$5:$K$1004,$T670)="","",INDEX('AFA Rates'!$K$5:$K$1004,$T670))))</f>
        <v/>
      </c>
      <c r="N670" s="50">
        <f>IF($T670="","",IF($S670="S",IF(INDEX(Firms!$M$5:$M$1004,$T670)="","",INDEX(Firms!$M$5:$M$1004,$T670)),IF(INDEX('AFA Rates'!$L$5:$L$1004,$T670)="","",INDEX('AFA Rates'!$L$5:$L$1004,$T670))))</f>
        <v/>
      </c>
      <c r="O670" s="78">
        <f>IF(OR($T670="",$U670=""),"",IF(INDEX(Firms!$C$5:$C$1004,$U670)="","",INDEX(Firms!$C$5:$C$1004,$U670)))</f>
        <v/>
      </c>
      <c r="P670" s="79">
        <f>IF(OR($T670="",$U670=""),"",IF(INDEX(Firms!$N$5:$N$1004,$U670)="","",INDEX(Firms!$N$5:$N$1004,$U670)))</f>
        <v/>
      </c>
      <c r="Q670" s="78">
        <f>IF($T670="","",IF($S670="S",IF(INDEX(Firms!$T$5:$T$1004,$T670)="","",INDEX(Firms!$T$5:$T$1004,$T670)),IF(INDEX('AFA Rates'!$M$5:$M$1004,$T670)="","",INDEX('AFA Rates'!$M$5:$M$1004,$T670))))</f>
        <v/>
      </c>
      <c r="S670">
        <f>IF(666&lt;=$S$2,"S",IF(666&lt;=$S$2+$T$2,"A",""))</f>
        <v/>
      </c>
      <c r="T670">
        <f>IF(S670="S",MATCH(666,Firms!$W$5:$W$1004,0),IF(S670="A",IFERROR(MATCH(666-$S$2,'AFA Rates'!$R$5:$R$1004,0),""),""))</f>
        <v/>
      </c>
      <c r="U670">
        <f>IF(S670="S",T670,IF(AND(S670="A",T670&lt;&gt;""),IFERROR(MATCH(INDEX('AFA Rates'!$A$5:$A$1004,T670),Firms!$A$5:$A$1004,0),""),""))</f>
        <v/>
      </c>
    </row>
    <row r="671">
      <c r="A671" s="78">
        <f>IF($T671="","",IF($S671="S",IF(INDEX(Firms!$A$5:$A$1004,$T671)="","",INDEX(Firms!$A$5:$A$1004,$T671)),IF(INDEX('AFA Rates'!$A$5:$A$1004,$T671)="","",INDEX('AFA Rates'!$A$5:$A$1004,$T671))))</f>
        <v/>
      </c>
      <c r="B671" s="79">
        <f>IF(OR($T671="",$U671=""),IF($T671="","","Not on Firms tab"),INDEX(Firms!$B$5:$B$1004,$U671)&amp;"")</f>
        <v/>
      </c>
      <c r="C671" s="78">
        <f>IF($T671="","",IF($S671="S","Standard",INDEX('AFA Rates'!$B$5:$B$1004,$T671)&amp;""))</f>
        <v/>
      </c>
      <c r="D671" s="88">
        <f>IF($T671="","",IF($S671="S",IF(INDEX(Firms!$E$5:$E$1004,$T671)="","",INDEX(Firms!$E$5:$E$1004,$T671)),IF(INDEX('AFA Rates'!$C$5:$C$1004,$T671)="","",INDEX('AFA Rates'!$C$5:$C$1004,$T671))))</f>
        <v/>
      </c>
      <c r="E671" s="88">
        <f>IF($T671="","",IF($S671="S",IF(""="","",""),IF(INDEX('AFA Rates'!$D$5:$D$1004,$T671)="","",INDEX('AFA Rates'!$D$5:$D$1004,$T671))))</f>
        <v/>
      </c>
      <c r="F671" s="79">
        <f>IF($T671="","",IF($S671="S",IF(INDEX(Firms!$O$5:$O$1004,$T671)="","",INDEX(Firms!$O$5:$O$1004,$T671)),IF(INDEX('AFA Rates'!$O$5:$O$1004,$T671)="","",INDEX('AFA Rates'!$O$5:$O$1004,$T671))))</f>
        <v/>
      </c>
      <c r="G671" s="50">
        <f>IF($T671="","",IF($S671="S",IF(INDEX(Firms!$F$5:$F$1004,$T671)="","",INDEX(Firms!$F$5:$F$1004,$T671)),IF(INDEX('AFA Rates'!$E$5:$E$1004,$T671)="","",INDEX('AFA Rates'!$E$5:$E$1004,$T671))))</f>
        <v/>
      </c>
      <c r="H671" s="50">
        <f>IF($T671="","",IF($S671="S",IF(INDEX(Firms!$G$5:$G$1004,$T671)="","",INDEX(Firms!$G$5:$G$1004,$T671)),IF(INDEX('AFA Rates'!$F$5:$F$1004,$T671)="","",INDEX('AFA Rates'!$F$5:$F$1004,$T671))))</f>
        <v/>
      </c>
      <c r="I671" s="50">
        <f>IF($T671="","",IF($S671="S",IF(INDEX(Firms!$H$5:$H$1004,$T671)="","",INDEX(Firms!$H$5:$H$1004,$T671)),IF(INDEX('AFA Rates'!$G$5:$G$1004,$T671)="","",INDEX('AFA Rates'!$G$5:$G$1004,$T671))))</f>
        <v/>
      </c>
      <c r="J671" s="50">
        <f>IF($T671="","",IF($S671="S",IF(INDEX(Firms!$I$5:$I$1004,$T671)="","",INDEX(Firms!$I$5:$I$1004,$T671)),IF(INDEX('AFA Rates'!$H$5:$H$1004,$T671)="","",INDEX('AFA Rates'!$H$5:$H$1004,$T671))))</f>
        <v/>
      </c>
      <c r="K671" s="50">
        <f>IF($T671="","",IF($S671="S",IF(INDEX(Firms!$J$5:$J$1004,$T671)="","",INDEX(Firms!$J$5:$J$1004,$T671)),IF(INDEX('AFA Rates'!$I$5:$I$1004,$T671)="","",INDEX('AFA Rates'!$I$5:$I$1004,$T671))))</f>
        <v/>
      </c>
      <c r="L671" s="50">
        <f>IF($T671="","",IF($S671="S",IF(INDEX(Firms!$K$5:$K$1004,$T671)="","",INDEX(Firms!$K$5:$K$1004,$T671)),IF(INDEX('AFA Rates'!$J$5:$J$1004,$T671)="","",INDEX('AFA Rates'!$J$5:$J$1004,$T671))))</f>
        <v/>
      </c>
      <c r="M671" s="50">
        <f>IF($T671="","",IF($S671="S",IF(INDEX(Firms!$L$5:$L$1004,$T671)="","",INDEX(Firms!$L$5:$L$1004,$T671)),IF(INDEX('AFA Rates'!$K$5:$K$1004,$T671)="","",INDEX('AFA Rates'!$K$5:$K$1004,$T671))))</f>
        <v/>
      </c>
      <c r="N671" s="50">
        <f>IF($T671="","",IF($S671="S",IF(INDEX(Firms!$M$5:$M$1004,$T671)="","",INDEX(Firms!$M$5:$M$1004,$T671)),IF(INDEX('AFA Rates'!$L$5:$L$1004,$T671)="","",INDEX('AFA Rates'!$L$5:$L$1004,$T671))))</f>
        <v/>
      </c>
      <c r="O671" s="78">
        <f>IF(OR($T671="",$U671=""),"",IF(INDEX(Firms!$C$5:$C$1004,$U671)="","",INDEX(Firms!$C$5:$C$1004,$U671)))</f>
        <v/>
      </c>
      <c r="P671" s="79">
        <f>IF(OR($T671="",$U671=""),"",IF(INDEX(Firms!$N$5:$N$1004,$U671)="","",INDEX(Firms!$N$5:$N$1004,$U671)))</f>
        <v/>
      </c>
      <c r="Q671" s="78">
        <f>IF($T671="","",IF($S671="S",IF(INDEX(Firms!$T$5:$T$1004,$T671)="","",INDEX(Firms!$T$5:$T$1004,$T671)),IF(INDEX('AFA Rates'!$M$5:$M$1004,$T671)="","",INDEX('AFA Rates'!$M$5:$M$1004,$T671))))</f>
        <v/>
      </c>
      <c r="S671">
        <f>IF(667&lt;=$S$2,"S",IF(667&lt;=$S$2+$T$2,"A",""))</f>
        <v/>
      </c>
      <c r="T671">
        <f>IF(S671="S",MATCH(667,Firms!$W$5:$W$1004,0),IF(S671="A",IFERROR(MATCH(667-$S$2,'AFA Rates'!$R$5:$R$1004,0),""),""))</f>
        <v/>
      </c>
      <c r="U671">
        <f>IF(S671="S",T671,IF(AND(S671="A",T671&lt;&gt;""),IFERROR(MATCH(INDEX('AFA Rates'!$A$5:$A$1004,T671),Firms!$A$5:$A$1004,0),""),""))</f>
        <v/>
      </c>
    </row>
    <row r="672">
      <c r="A672" s="78">
        <f>IF($T672="","",IF($S672="S",IF(INDEX(Firms!$A$5:$A$1004,$T672)="","",INDEX(Firms!$A$5:$A$1004,$T672)),IF(INDEX('AFA Rates'!$A$5:$A$1004,$T672)="","",INDEX('AFA Rates'!$A$5:$A$1004,$T672))))</f>
        <v/>
      </c>
      <c r="B672" s="79">
        <f>IF(OR($T672="",$U672=""),IF($T672="","","Not on Firms tab"),INDEX(Firms!$B$5:$B$1004,$U672)&amp;"")</f>
        <v/>
      </c>
      <c r="C672" s="78">
        <f>IF($T672="","",IF($S672="S","Standard",INDEX('AFA Rates'!$B$5:$B$1004,$T672)&amp;""))</f>
        <v/>
      </c>
      <c r="D672" s="88">
        <f>IF($T672="","",IF($S672="S",IF(INDEX(Firms!$E$5:$E$1004,$T672)="","",INDEX(Firms!$E$5:$E$1004,$T672)),IF(INDEX('AFA Rates'!$C$5:$C$1004,$T672)="","",INDEX('AFA Rates'!$C$5:$C$1004,$T672))))</f>
        <v/>
      </c>
      <c r="E672" s="88">
        <f>IF($T672="","",IF($S672="S",IF(""="","",""),IF(INDEX('AFA Rates'!$D$5:$D$1004,$T672)="","",INDEX('AFA Rates'!$D$5:$D$1004,$T672))))</f>
        <v/>
      </c>
      <c r="F672" s="79">
        <f>IF($T672="","",IF($S672="S",IF(INDEX(Firms!$O$5:$O$1004,$T672)="","",INDEX(Firms!$O$5:$O$1004,$T672)),IF(INDEX('AFA Rates'!$O$5:$O$1004,$T672)="","",INDEX('AFA Rates'!$O$5:$O$1004,$T672))))</f>
        <v/>
      </c>
      <c r="G672" s="50">
        <f>IF($T672="","",IF($S672="S",IF(INDEX(Firms!$F$5:$F$1004,$T672)="","",INDEX(Firms!$F$5:$F$1004,$T672)),IF(INDEX('AFA Rates'!$E$5:$E$1004,$T672)="","",INDEX('AFA Rates'!$E$5:$E$1004,$T672))))</f>
        <v/>
      </c>
      <c r="H672" s="50">
        <f>IF($T672="","",IF($S672="S",IF(INDEX(Firms!$G$5:$G$1004,$T672)="","",INDEX(Firms!$G$5:$G$1004,$T672)),IF(INDEX('AFA Rates'!$F$5:$F$1004,$T672)="","",INDEX('AFA Rates'!$F$5:$F$1004,$T672))))</f>
        <v/>
      </c>
      <c r="I672" s="50">
        <f>IF($T672="","",IF($S672="S",IF(INDEX(Firms!$H$5:$H$1004,$T672)="","",INDEX(Firms!$H$5:$H$1004,$T672)),IF(INDEX('AFA Rates'!$G$5:$G$1004,$T672)="","",INDEX('AFA Rates'!$G$5:$G$1004,$T672))))</f>
        <v/>
      </c>
      <c r="J672" s="50">
        <f>IF($T672="","",IF($S672="S",IF(INDEX(Firms!$I$5:$I$1004,$T672)="","",INDEX(Firms!$I$5:$I$1004,$T672)),IF(INDEX('AFA Rates'!$H$5:$H$1004,$T672)="","",INDEX('AFA Rates'!$H$5:$H$1004,$T672))))</f>
        <v/>
      </c>
      <c r="K672" s="50">
        <f>IF($T672="","",IF($S672="S",IF(INDEX(Firms!$J$5:$J$1004,$T672)="","",INDEX(Firms!$J$5:$J$1004,$T672)),IF(INDEX('AFA Rates'!$I$5:$I$1004,$T672)="","",INDEX('AFA Rates'!$I$5:$I$1004,$T672))))</f>
        <v/>
      </c>
      <c r="L672" s="50">
        <f>IF($T672="","",IF($S672="S",IF(INDEX(Firms!$K$5:$K$1004,$T672)="","",INDEX(Firms!$K$5:$K$1004,$T672)),IF(INDEX('AFA Rates'!$J$5:$J$1004,$T672)="","",INDEX('AFA Rates'!$J$5:$J$1004,$T672))))</f>
        <v/>
      </c>
      <c r="M672" s="50">
        <f>IF($T672="","",IF($S672="S",IF(INDEX(Firms!$L$5:$L$1004,$T672)="","",INDEX(Firms!$L$5:$L$1004,$T672)),IF(INDEX('AFA Rates'!$K$5:$K$1004,$T672)="","",INDEX('AFA Rates'!$K$5:$K$1004,$T672))))</f>
        <v/>
      </c>
      <c r="N672" s="50">
        <f>IF($T672="","",IF($S672="S",IF(INDEX(Firms!$M$5:$M$1004,$T672)="","",INDEX(Firms!$M$5:$M$1004,$T672)),IF(INDEX('AFA Rates'!$L$5:$L$1004,$T672)="","",INDEX('AFA Rates'!$L$5:$L$1004,$T672))))</f>
        <v/>
      </c>
      <c r="O672" s="78">
        <f>IF(OR($T672="",$U672=""),"",IF(INDEX(Firms!$C$5:$C$1004,$U672)="","",INDEX(Firms!$C$5:$C$1004,$U672)))</f>
        <v/>
      </c>
      <c r="P672" s="79">
        <f>IF(OR($T672="",$U672=""),"",IF(INDEX(Firms!$N$5:$N$1004,$U672)="","",INDEX(Firms!$N$5:$N$1004,$U672)))</f>
        <v/>
      </c>
      <c r="Q672" s="78">
        <f>IF($T672="","",IF($S672="S",IF(INDEX(Firms!$T$5:$T$1004,$T672)="","",INDEX(Firms!$T$5:$T$1004,$T672)),IF(INDEX('AFA Rates'!$M$5:$M$1004,$T672)="","",INDEX('AFA Rates'!$M$5:$M$1004,$T672))))</f>
        <v/>
      </c>
      <c r="S672">
        <f>IF(668&lt;=$S$2,"S",IF(668&lt;=$S$2+$T$2,"A",""))</f>
        <v/>
      </c>
      <c r="T672">
        <f>IF(S672="S",MATCH(668,Firms!$W$5:$W$1004,0),IF(S672="A",IFERROR(MATCH(668-$S$2,'AFA Rates'!$R$5:$R$1004,0),""),""))</f>
        <v/>
      </c>
      <c r="U672">
        <f>IF(S672="S",T672,IF(AND(S672="A",T672&lt;&gt;""),IFERROR(MATCH(INDEX('AFA Rates'!$A$5:$A$1004,T672),Firms!$A$5:$A$1004,0),""),""))</f>
        <v/>
      </c>
    </row>
    <row r="673">
      <c r="A673" s="78">
        <f>IF($T673="","",IF($S673="S",IF(INDEX(Firms!$A$5:$A$1004,$T673)="","",INDEX(Firms!$A$5:$A$1004,$T673)),IF(INDEX('AFA Rates'!$A$5:$A$1004,$T673)="","",INDEX('AFA Rates'!$A$5:$A$1004,$T673))))</f>
        <v/>
      </c>
      <c r="B673" s="79">
        <f>IF(OR($T673="",$U673=""),IF($T673="","","Not on Firms tab"),INDEX(Firms!$B$5:$B$1004,$U673)&amp;"")</f>
        <v/>
      </c>
      <c r="C673" s="78">
        <f>IF($T673="","",IF($S673="S","Standard",INDEX('AFA Rates'!$B$5:$B$1004,$T673)&amp;""))</f>
        <v/>
      </c>
      <c r="D673" s="88">
        <f>IF($T673="","",IF($S673="S",IF(INDEX(Firms!$E$5:$E$1004,$T673)="","",INDEX(Firms!$E$5:$E$1004,$T673)),IF(INDEX('AFA Rates'!$C$5:$C$1004,$T673)="","",INDEX('AFA Rates'!$C$5:$C$1004,$T673))))</f>
        <v/>
      </c>
      <c r="E673" s="88">
        <f>IF($T673="","",IF($S673="S",IF(""="","",""),IF(INDEX('AFA Rates'!$D$5:$D$1004,$T673)="","",INDEX('AFA Rates'!$D$5:$D$1004,$T673))))</f>
        <v/>
      </c>
      <c r="F673" s="79">
        <f>IF($T673="","",IF($S673="S",IF(INDEX(Firms!$O$5:$O$1004,$T673)="","",INDEX(Firms!$O$5:$O$1004,$T673)),IF(INDEX('AFA Rates'!$O$5:$O$1004,$T673)="","",INDEX('AFA Rates'!$O$5:$O$1004,$T673))))</f>
        <v/>
      </c>
      <c r="G673" s="50">
        <f>IF($T673="","",IF($S673="S",IF(INDEX(Firms!$F$5:$F$1004,$T673)="","",INDEX(Firms!$F$5:$F$1004,$T673)),IF(INDEX('AFA Rates'!$E$5:$E$1004,$T673)="","",INDEX('AFA Rates'!$E$5:$E$1004,$T673))))</f>
        <v/>
      </c>
      <c r="H673" s="50">
        <f>IF($T673="","",IF($S673="S",IF(INDEX(Firms!$G$5:$G$1004,$T673)="","",INDEX(Firms!$G$5:$G$1004,$T673)),IF(INDEX('AFA Rates'!$F$5:$F$1004,$T673)="","",INDEX('AFA Rates'!$F$5:$F$1004,$T673))))</f>
        <v/>
      </c>
      <c r="I673" s="50">
        <f>IF($T673="","",IF($S673="S",IF(INDEX(Firms!$H$5:$H$1004,$T673)="","",INDEX(Firms!$H$5:$H$1004,$T673)),IF(INDEX('AFA Rates'!$G$5:$G$1004,$T673)="","",INDEX('AFA Rates'!$G$5:$G$1004,$T673))))</f>
        <v/>
      </c>
      <c r="J673" s="50">
        <f>IF($T673="","",IF($S673="S",IF(INDEX(Firms!$I$5:$I$1004,$T673)="","",INDEX(Firms!$I$5:$I$1004,$T673)),IF(INDEX('AFA Rates'!$H$5:$H$1004,$T673)="","",INDEX('AFA Rates'!$H$5:$H$1004,$T673))))</f>
        <v/>
      </c>
      <c r="K673" s="50">
        <f>IF($T673="","",IF($S673="S",IF(INDEX(Firms!$J$5:$J$1004,$T673)="","",INDEX(Firms!$J$5:$J$1004,$T673)),IF(INDEX('AFA Rates'!$I$5:$I$1004,$T673)="","",INDEX('AFA Rates'!$I$5:$I$1004,$T673))))</f>
        <v/>
      </c>
      <c r="L673" s="50">
        <f>IF($T673="","",IF($S673="S",IF(INDEX(Firms!$K$5:$K$1004,$T673)="","",INDEX(Firms!$K$5:$K$1004,$T673)),IF(INDEX('AFA Rates'!$J$5:$J$1004,$T673)="","",INDEX('AFA Rates'!$J$5:$J$1004,$T673))))</f>
        <v/>
      </c>
      <c r="M673" s="50">
        <f>IF($T673="","",IF($S673="S",IF(INDEX(Firms!$L$5:$L$1004,$T673)="","",INDEX(Firms!$L$5:$L$1004,$T673)),IF(INDEX('AFA Rates'!$K$5:$K$1004,$T673)="","",INDEX('AFA Rates'!$K$5:$K$1004,$T673))))</f>
        <v/>
      </c>
      <c r="N673" s="50">
        <f>IF($T673="","",IF($S673="S",IF(INDEX(Firms!$M$5:$M$1004,$T673)="","",INDEX(Firms!$M$5:$M$1004,$T673)),IF(INDEX('AFA Rates'!$L$5:$L$1004,$T673)="","",INDEX('AFA Rates'!$L$5:$L$1004,$T673))))</f>
        <v/>
      </c>
      <c r="O673" s="78">
        <f>IF(OR($T673="",$U673=""),"",IF(INDEX(Firms!$C$5:$C$1004,$U673)="","",INDEX(Firms!$C$5:$C$1004,$U673)))</f>
        <v/>
      </c>
      <c r="P673" s="79">
        <f>IF(OR($T673="",$U673=""),"",IF(INDEX(Firms!$N$5:$N$1004,$U673)="","",INDEX(Firms!$N$5:$N$1004,$U673)))</f>
        <v/>
      </c>
      <c r="Q673" s="78">
        <f>IF($T673="","",IF($S673="S",IF(INDEX(Firms!$T$5:$T$1004,$T673)="","",INDEX(Firms!$T$5:$T$1004,$T673)),IF(INDEX('AFA Rates'!$M$5:$M$1004,$T673)="","",INDEX('AFA Rates'!$M$5:$M$1004,$T673))))</f>
        <v/>
      </c>
      <c r="S673">
        <f>IF(669&lt;=$S$2,"S",IF(669&lt;=$S$2+$T$2,"A",""))</f>
        <v/>
      </c>
      <c r="T673">
        <f>IF(S673="S",MATCH(669,Firms!$W$5:$W$1004,0),IF(S673="A",IFERROR(MATCH(669-$S$2,'AFA Rates'!$R$5:$R$1004,0),""),""))</f>
        <v/>
      </c>
      <c r="U673">
        <f>IF(S673="S",T673,IF(AND(S673="A",T673&lt;&gt;""),IFERROR(MATCH(INDEX('AFA Rates'!$A$5:$A$1004,T673),Firms!$A$5:$A$1004,0),""),""))</f>
        <v/>
      </c>
    </row>
    <row r="674">
      <c r="A674" s="78">
        <f>IF($T674="","",IF($S674="S",IF(INDEX(Firms!$A$5:$A$1004,$T674)="","",INDEX(Firms!$A$5:$A$1004,$T674)),IF(INDEX('AFA Rates'!$A$5:$A$1004,$T674)="","",INDEX('AFA Rates'!$A$5:$A$1004,$T674))))</f>
        <v/>
      </c>
      <c r="B674" s="79">
        <f>IF(OR($T674="",$U674=""),IF($T674="","","Not on Firms tab"),INDEX(Firms!$B$5:$B$1004,$U674)&amp;"")</f>
        <v/>
      </c>
      <c r="C674" s="78">
        <f>IF($T674="","",IF($S674="S","Standard",INDEX('AFA Rates'!$B$5:$B$1004,$T674)&amp;""))</f>
        <v/>
      </c>
      <c r="D674" s="88">
        <f>IF($T674="","",IF($S674="S",IF(INDEX(Firms!$E$5:$E$1004,$T674)="","",INDEX(Firms!$E$5:$E$1004,$T674)),IF(INDEX('AFA Rates'!$C$5:$C$1004,$T674)="","",INDEX('AFA Rates'!$C$5:$C$1004,$T674))))</f>
        <v/>
      </c>
      <c r="E674" s="88">
        <f>IF($T674="","",IF($S674="S",IF(""="","",""),IF(INDEX('AFA Rates'!$D$5:$D$1004,$T674)="","",INDEX('AFA Rates'!$D$5:$D$1004,$T674))))</f>
        <v/>
      </c>
      <c r="F674" s="79">
        <f>IF($T674="","",IF($S674="S",IF(INDEX(Firms!$O$5:$O$1004,$T674)="","",INDEX(Firms!$O$5:$O$1004,$T674)),IF(INDEX('AFA Rates'!$O$5:$O$1004,$T674)="","",INDEX('AFA Rates'!$O$5:$O$1004,$T674))))</f>
        <v/>
      </c>
      <c r="G674" s="50">
        <f>IF($T674="","",IF($S674="S",IF(INDEX(Firms!$F$5:$F$1004,$T674)="","",INDEX(Firms!$F$5:$F$1004,$T674)),IF(INDEX('AFA Rates'!$E$5:$E$1004,$T674)="","",INDEX('AFA Rates'!$E$5:$E$1004,$T674))))</f>
        <v/>
      </c>
      <c r="H674" s="50">
        <f>IF($T674="","",IF($S674="S",IF(INDEX(Firms!$G$5:$G$1004,$T674)="","",INDEX(Firms!$G$5:$G$1004,$T674)),IF(INDEX('AFA Rates'!$F$5:$F$1004,$T674)="","",INDEX('AFA Rates'!$F$5:$F$1004,$T674))))</f>
        <v/>
      </c>
      <c r="I674" s="50">
        <f>IF($T674="","",IF($S674="S",IF(INDEX(Firms!$H$5:$H$1004,$T674)="","",INDEX(Firms!$H$5:$H$1004,$T674)),IF(INDEX('AFA Rates'!$G$5:$G$1004,$T674)="","",INDEX('AFA Rates'!$G$5:$G$1004,$T674))))</f>
        <v/>
      </c>
      <c r="J674" s="50">
        <f>IF($T674="","",IF($S674="S",IF(INDEX(Firms!$I$5:$I$1004,$T674)="","",INDEX(Firms!$I$5:$I$1004,$T674)),IF(INDEX('AFA Rates'!$H$5:$H$1004,$T674)="","",INDEX('AFA Rates'!$H$5:$H$1004,$T674))))</f>
        <v/>
      </c>
      <c r="K674" s="50">
        <f>IF($T674="","",IF($S674="S",IF(INDEX(Firms!$J$5:$J$1004,$T674)="","",INDEX(Firms!$J$5:$J$1004,$T674)),IF(INDEX('AFA Rates'!$I$5:$I$1004,$T674)="","",INDEX('AFA Rates'!$I$5:$I$1004,$T674))))</f>
        <v/>
      </c>
      <c r="L674" s="50">
        <f>IF($T674="","",IF($S674="S",IF(INDEX(Firms!$K$5:$K$1004,$T674)="","",INDEX(Firms!$K$5:$K$1004,$T674)),IF(INDEX('AFA Rates'!$J$5:$J$1004,$T674)="","",INDEX('AFA Rates'!$J$5:$J$1004,$T674))))</f>
        <v/>
      </c>
      <c r="M674" s="50">
        <f>IF($T674="","",IF($S674="S",IF(INDEX(Firms!$L$5:$L$1004,$T674)="","",INDEX(Firms!$L$5:$L$1004,$T674)),IF(INDEX('AFA Rates'!$K$5:$K$1004,$T674)="","",INDEX('AFA Rates'!$K$5:$K$1004,$T674))))</f>
        <v/>
      </c>
      <c r="N674" s="50">
        <f>IF($T674="","",IF($S674="S",IF(INDEX(Firms!$M$5:$M$1004,$T674)="","",INDEX(Firms!$M$5:$M$1004,$T674)),IF(INDEX('AFA Rates'!$L$5:$L$1004,$T674)="","",INDEX('AFA Rates'!$L$5:$L$1004,$T674))))</f>
        <v/>
      </c>
      <c r="O674" s="78">
        <f>IF(OR($T674="",$U674=""),"",IF(INDEX(Firms!$C$5:$C$1004,$U674)="","",INDEX(Firms!$C$5:$C$1004,$U674)))</f>
        <v/>
      </c>
      <c r="P674" s="79">
        <f>IF(OR($T674="",$U674=""),"",IF(INDEX(Firms!$N$5:$N$1004,$U674)="","",INDEX(Firms!$N$5:$N$1004,$U674)))</f>
        <v/>
      </c>
      <c r="Q674" s="78">
        <f>IF($T674="","",IF($S674="S",IF(INDEX(Firms!$T$5:$T$1004,$T674)="","",INDEX(Firms!$T$5:$T$1004,$T674)),IF(INDEX('AFA Rates'!$M$5:$M$1004,$T674)="","",INDEX('AFA Rates'!$M$5:$M$1004,$T674))))</f>
        <v/>
      </c>
      <c r="S674">
        <f>IF(670&lt;=$S$2,"S",IF(670&lt;=$S$2+$T$2,"A",""))</f>
        <v/>
      </c>
      <c r="T674">
        <f>IF(S674="S",MATCH(670,Firms!$W$5:$W$1004,0),IF(S674="A",IFERROR(MATCH(670-$S$2,'AFA Rates'!$R$5:$R$1004,0),""),""))</f>
        <v/>
      </c>
      <c r="U674">
        <f>IF(S674="S",T674,IF(AND(S674="A",T674&lt;&gt;""),IFERROR(MATCH(INDEX('AFA Rates'!$A$5:$A$1004,T674),Firms!$A$5:$A$1004,0),""),""))</f>
        <v/>
      </c>
    </row>
    <row r="675">
      <c r="A675" s="78">
        <f>IF($T675="","",IF($S675="S",IF(INDEX(Firms!$A$5:$A$1004,$T675)="","",INDEX(Firms!$A$5:$A$1004,$T675)),IF(INDEX('AFA Rates'!$A$5:$A$1004,$T675)="","",INDEX('AFA Rates'!$A$5:$A$1004,$T675))))</f>
        <v/>
      </c>
      <c r="B675" s="79">
        <f>IF(OR($T675="",$U675=""),IF($T675="","","Not on Firms tab"),INDEX(Firms!$B$5:$B$1004,$U675)&amp;"")</f>
        <v/>
      </c>
      <c r="C675" s="78">
        <f>IF($T675="","",IF($S675="S","Standard",INDEX('AFA Rates'!$B$5:$B$1004,$T675)&amp;""))</f>
        <v/>
      </c>
      <c r="D675" s="88">
        <f>IF($T675="","",IF($S675="S",IF(INDEX(Firms!$E$5:$E$1004,$T675)="","",INDEX(Firms!$E$5:$E$1004,$T675)),IF(INDEX('AFA Rates'!$C$5:$C$1004,$T675)="","",INDEX('AFA Rates'!$C$5:$C$1004,$T675))))</f>
        <v/>
      </c>
      <c r="E675" s="88">
        <f>IF($T675="","",IF($S675="S",IF(""="","",""),IF(INDEX('AFA Rates'!$D$5:$D$1004,$T675)="","",INDEX('AFA Rates'!$D$5:$D$1004,$T675))))</f>
        <v/>
      </c>
      <c r="F675" s="79">
        <f>IF($T675="","",IF($S675="S",IF(INDEX(Firms!$O$5:$O$1004,$T675)="","",INDEX(Firms!$O$5:$O$1004,$T675)),IF(INDEX('AFA Rates'!$O$5:$O$1004,$T675)="","",INDEX('AFA Rates'!$O$5:$O$1004,$T675))))</f>
        <v/>
      </c>
      <c r="G675" s="50">
        <f>IF($T675="","",IF($S675="S",IF(INDEX(Firms!$F$5:$F$1004,$T675)="","",INDEX(Firms!$F$5:$F$1004,$T675)),IF(INDEX('AFA Rates'!$E$5:$E$1004,$T675)="","",INDEX('AFA Rates'!$E$5:$E$1004,$T675))))</f>
        <v/>
      </c>
      <c r="H675" s="50">
        <f>IF($T675="","",IF($S675="S",IF(INDEX(Firms!$G$5:$G$1004,$T675)="","",INDEX(Firms!$G$5:$G$1004,$T675)),IF(INDEX('AFA Rates'!$F$5:$F$1004,$T675)="","",INDEX('AFA Rates'!$F$5:$F$1004,$T675))))</f>
        <v/>
      </c>
      <c r="I675" s="50">
        <f>IF($T675="","",IF($S675="S",IF(INDEX(Firms!$H$5:$H$1004,$T675)="","",INDEX(Firms!$H$5:$H$1004,$T675)),IF(INDEX('AFA Rates'!$G$5:$G$1004,$T675)="","",INDEX('AFA Rates'!$G$5:$G$1004,$T675))))</f>
        <v/>
      </c>
      <c r="J675" s="50">
        <f>IF($T675="","",IF($S675="S",IF(INDEX(Firms!$I$5:$I$1004,$T675)="","",INDEX(Firms!$I$5:$I$1004,$T675)),IF(INDEX('AFA Rates'!$H$5:$H$1004,$T675)="","",INDEX('AFA Rates'!$H$5:$H$1004,$T675))))</f>
        <v/>
      </c>
      <c r="K675" s="50">
        <f>IF($T675="","",IF($S675="S",IF(INDEX(Firms!$J$5:$J$1004,$T675)="","",INDEX(Firms!$J$5:$J$1004,$T675)),IF(INDEX('AFA Rates'!$I$5:$I$1004,$T675)="","",INDEX('AFA Rates'!$I$5:$I$1004,$T675))))</f>
        <v/>
      </c>
      <c r="L675" s="50">
        <f>IF($T675="","",IF($S675="S",IF(INDEX(Firms!$K$5:$K$1004,$T675)="","",INDEX(Firms!$K$5:$K$1004,$T675)),IF(INDEX('AFA Rates'!$J$5:$J$1004,$T675)="","",INDEX('AFA Rates'!$J$5:$J$1004,$T675))))</f>
        <v/>
      </c>
      <c r="M675" s="50">
        <f>IF($T675="","",IF($S675="S",IF(INDEX(Firms!$L$5:$L$1004,$T675)="","",INDEX(Firms!$L$5:$L$1004,$T675)),IF(INDEX('AFA Rates'!$K$5:$K$1004,$T675)="","",INDEX('AFA Rates'!$K$5:$K$1004,$T675))))</f>
        <v/>
      </c>
      <c r="N675" s="50">
        <f>IF($T675="","",IF($S675="S",IF(INDEX(Firms!$M$5:$M$1004,$T675)="","",INDEX(Firms!$M$5:$M$1004,$T675)),IF(INDEX('AFA Rates'!$L$5:$L$1004,$T675)="","",INDEX('AFA Rates'!$L$5:$L$1004,$T675))))</f>
        <v/>
      </c>
      <c r="O675" s="78">
        <f>IF(OR($T675="",$U675=""),"",IF(INDEX(Firms!$C$5:$C$1004,$U675)="","",INDEX(Firms!$C$5:$C$1004,$U675)))</f>
        <v/>
      </c>
      <c r="P675" s="79">
        <f>IF(OR($T675="",$U675=""),"",IF(INDEX(Firms!$N$5:$N$1004,$U675)="","",INDEX(Firms!$N$5:$N$1004,$U675)))</f>
        <v/>
      </c>
      <c r="Q675" s="78">
        <f>IF($T675="","",IF($S675="S",IF(INDEX(Firms!$T$5:$T$1004,$T675)="","",INDEX(Firms!$T$5:$T$1004,$T675)),IF(INDEX('AFA Rates'!$M$5:$M$1004,$T675)="","",INDEX('AFA Rates'!$M$5:$M$1004,$T675))))</f>
        <v/>
      </c>
      <c r="S675">
        <f>IF(671&lt;=$S$2,"S",IF(671&lt;=$S$2+$T$2,"A",""))</f>
        <v/>
      </c>
      <c r="T675">
        <f>IF(S675="S",MATCH(671,Firms!$W$5:$W$1004,0),IF(S675="A",IFERROR(MATCH(671-$S$2,'AFA Rates'!$R$5:$R$1004,0),""),""))</f>
        <v/>
      </c>
      <c r="U675">
        <f>IF(S675="S",T675,IF(AND(S675="A",T675&lt;&gt;""),IFERROR(MATCH(INDEX('AFA Rates'!$A$5:$A$1004,T675),Firms!$A$5:$A$1004,0),""),""))</f>
        <v/>
      </c>
    </row>
    <row r="676">
      <c r="A676" s="78">
        <f>IF($T676="","",IF($S676="S",IF(INDEX(Firms!$A$5:$A$1004,$T676)="","",INDEX(Firms!$A$5:$A$1004,$T676)),IF(INDEX('AFA Rates'!$A$5:$A$1004,$T676)="","",INDEX('AFA Rates'!$A$5:$A$1004,$T676))))</f>
        <v/>
      </c>
      <c r="B676" s="79">
        <f>IF(OR($T676="",$U676=""),IF($T676="","","Not on Firms tab"),INDEX(Firms!$B$5:$B$1004,$U676)&amp;"")</f>
        <v/>
      </c>
      <c r="C676" s="78">
        <f>IF($T676="","",IF($S676="S","Standard",INDEX('AFA Rates'!$B$5:$B$1004,$T676)&amp;""))</f>
        <v/>
      </c>
      <c r="D676" s="88">
        <f>IF($T676="","",IF($S676="S",IF(INDEX(Firms!$E$5:$E$1004,$T676)="","",INDEX(Firms!$E$5:$E$1004,$T676)),IF(INDEX('AFA Rates'!$C$5:$C$1004,$T676)="","",INDEX('AFA Rates'!$C$5:$C$1004,$T676))))</f>
        <v/>
      </c>
      <c r="E676" s="88">
        <f>IF($T676="","",IF($S676="S",IF(""="","",""),IF(INDEX('AFA Rates'!$D$5:$D$1004,$T676)="","",INDEX('AFA Rates'!$D$5:$D$1004,$T676))))</f>
        <v/>
      </c>
      <c r="F676" s="79">
        <f>IF($T676="","",IF($S676="S",IF(INDEX(Firms!$O$5:$O$1004,$T676)="","",INDEX(Firms!$O$5:$O$1004,$T676)),IF(INDEX('AFA Rates'!$O$5:$O$1004,$T676)="","",INDEX('AFA Rates'!$O$5:$O$1004,$T676))))</f>
        <v/>
      </c>
      <c r="G676" s="50">
        <f>IF($T676="","",IF($S676="S",IF(INDEX(Firms!$F$5:$F$1004,$T676)="","",INDEX(Firms!$F$5:$F$1004,$T676)),IF(INDEX('AFA Rates'!$E$5:$E$1004,$T676)="","",INDEX('AFA Rates'!$E$5:$E$1004,$T676))))</f>
        <v/>
      </c>
      <c r="H676" s="50">
        <f>IF($T676="","",IF($S676="S",IF(INDEX(Firms!$G$5:$G$1004,$T676)="","",INDEX(Firms!$G$5:$G$1004,$T676)),IF(INDEX('AFA Rates'!$F$5:$F$1004,$T676)="","",INDEX('AFA Rates'!$F$5:$F$1004,$T676))))</f>
        <v/>
      </c>
      <c r="I676" s="50">
        <f>IF($T676="","",IF($S676="S",IF(INDEX(Firms!$H$5:$H$1004,$T676)="","",INDEX(Firms!$H$5:$H$1004,$T676)),IF(INDEX('AFA Rates'!$G$5:$G$1004,$T676)="","",INDEX('AFA Rates'!$G$5:$G$1004,$T676))))</f>
        <v/>
      </c>
      <c r="J676" s="50">
        <f>IF($T676="","",IF($S676="S",IF(INDEX(Firms!$I$5:$I$1004,$T676)="","",INDEX(Firms!$I$5:$I$1004,$T676)),IF(INDEX('AFA Rates'!$H$5:$H$1004,$T676)="","",INDEX('AFA Rates'!$H$5:$H$1004,$T676))))</f>
        <v/>
      </c>
      <c r="K676" s="50">
        <f>IF($T676="","",IF($S676="S",IF(INDEX(Firms!$J$5:$J$1004,$T676)="","",INDEX(Firms!$J$5:$J$1004,$T676)),IF(INDEX('AFA Rates'!$I$5:$I$1004,$T676)="","",INDEX('AFA Rates'!$I$5:$I$1004,$T676))))</f>
        <v/>
      </c>
      <c r="L676" s="50">
        <f>IF($T676="","",IF($S676="S",IF(INDEX(Firms!$K$5:$K$1004,$T676)="","",INDEX(Firms!$K$5:$K$1004,$T676)),IF(INDEX('AFA Rates'!$J$5:$J$1004,$T676)="","",INDEX('AFA Rates'!$J$5:$J$1004,$T676))))</f>
        <v/>
      </c>
      <c r="M676" s="50">
        <f>IF($T676="","",IF($S676="S",IF(INDEX(Firms!$L$5:$L$1004,$T676)="","",INDEX(Firms!$L$5:$L$1004,$T676)),IF(INDEX('AFA Rates'!$K$5:$K$1004,$T676)="","",INDEX('AFA Rates'!$K$5:$K$1004,$T676))))</f>
        <v/>
      </c>
      <c r="N676" s="50">
        <f>IF($T676="","",IF($S676="S",IF(INDEX(Firms!$M$5:$M$1004,$T676)="","",INDEX(Firms!$M$5:$M$1004,$T676)),IF(INDEX('AFA Rates'!$L$5:$L$1004,$T676)="","",INDEX('AFA Rates'!$L$5:$L$1004,$T676))))</f>
        <v/>
      </c>
      <c r="O676" s="78">
        <f>IF(OR($T676="",$U676=""),"",IF(INDEX(Firms!$C$5:$C$1004,$U676)="","",INDEX(Firms!$C$5:$C$1004,$U676)))</f>
        <v/>
      </c>
      <c r="P676" s="79">
        <f>IF(OR($T676="",$U676=""),"",IF(INDEX(Firms!$N$5:$N$1004,$U676)="","",INDEX(Firms!$N$5:$N$1004,$U676)))</f>
        <v/>
      </c>
      <c r="Q676" s="78">
        <f>IF($T676="","",IF($S676="S",IF(INDEX(Firms!$T$5:$T$1004,$T676)="","",INDEX(Firms!$T$5:$T$1004,$T676)),IF(INDEX('AFA Rates'!$M$5:$M$1004,$T676)="","",INDEX('AFA Rates'!$M$5:$M$1004,$T676))))</f>
        <v/>
      </c>
      <c r="S676">
        <f>IF(672&lt;=$S$2,"S",IF(672&lt;=$S$2+$T$2,"A",""))</f>
        <v/>
      </c>
      <c r="T676">
        <f>IF(S676="S",MATCH(672,Firms!$W$5:$W$1004,0),IF(S676="A",IFERROR(MATCH(672-$S$2,'AFA Rates'!$R$5:$R$1004,0),""),""))</f>
        <v/>
      </c>
      <c r="U676">
        <f>IF(S676="S",T676,IF(AND(S676="A",T676&lt;&gt;""),IFERROR(MATCH(INDEX('AFA Rates'!$A$5:$A$1004,T676),Firms!$A$5:$A$1004,0),""),""))</f>
        <v/>
      </c>
    </row>
    <row r="677">
      <c r="A677" s="78">
        <f>IF($T677="","",IF($S677="S",IF(INDEX(Firms!$A$5:$A$1004,$T677)="","",INDEX(Firms!$A$5:$A$1004,$T677)),IF(INDEX('AFA Rates'!$A$5:$A$1004,$T677)="","",INDEX('AFA Rates'!$A$5:$A$1004,$T677))))</f>
        <v/>
      </c>
      <c r="B677" s="79">
        <f>IF(OR($T677="",$U677=""),IF($T677="","","Not on Firms tab"),INDEX(Firms!$B$5:$B$1004,$U677)&amp;"")</f>
        <v/>
      </c>
      <c r="C677" s="78">
        <f>IF($T677="","",IF($S677="S","Standard",INDEX('AFA Rates'!$B$5:$B$1004,$T677)&amp;""))</f>
        <v/>
      </c>
      <c r="D677" s="88">
        <f>IF($T677="","",IF($S677="S",IF(INDEX(Firms!$E$5:$E$1004,$T677)="","",INDEX(Firms!$E$5:$E$1004,$T677)),IF(INDEX('AFA Rates'!$C$5:$C$1004,$T677)="","",INDEX('AFA Rates'!$C$5:$C$1004,$T677))))</f>
        <v/>
      </c>
      <c r="E677" s="88">
        <f>IF($T677="","",IF($S677="S",IF(""="","",""),IF(INDEX('AFA Rates'!$D$5:$D$1004,$T677)="","",INDEX('AFA Rates'!$D$5:$D$1004,$T677))))</f>
        <v/>
      </c>
      <c r="F677" s="79">
        <f>IF($T677="","",IF($S677="S",IF(INDEX(Firms!$O$5:$O$1004,$T677)="","",INDEX(Firms!$O$5:$O$1004,$T677)),IF(INDEX('AFA Rates'!$O$5:$O$1004,$T677)="","",INDEX('AFA Rates'!$O$5:$O$1004,$T677))))</f>
        <v/>
      </c>
      <c r="G677" s="50">
        <f>IF($T677="","",IF($S677="S",IF(INDEX(Firms!$F$5:$F$1004,$T677)="","",INDEX(Firms!$F$5:$F$1004,$T677)),IF(INDEX('AFA Rates'!$E$5:$E$1004,$T677)="","",INDEX('AFA Rates'!$E$5:$E$1004,$T677))))</f>
        <v/>
      </c>
      <c r="H677" s="50">
        <f>IF($T677="","",IF($S677="S",IF(INDEX(Firms!$G$5:$G$1004,$T677)="","",INDEX(Firms!$G$5:$G$1004,$T677)),IF(INDEX('AFA Rates'!$F$5:$F$1004,$T677)="","",INDEX('AFA Rates'!$F$5:$F$1004,$T677))))</f>
        <v/>
      </c>
      <c r="I677" s="50">
        <f>IF($T677="","",IF($S677="S",IF(INDEX(Firms!$H$5:$H$1004,$T677)="","",INDEX(Firms!$H$5:$H$1004,$T677)),IF(INDEX('AFA Rates'!$G$5:$G$1004,$T677)="","",INDEX('AFA Rates'!$G$5:$G$1004,$T677))))</f>
        <v/>
      </c>
      <c r="J677" s="50">
        <f>IF($T677="","",IF($S677="S",IF(INDEX(Firms!$I$5:$I$1004,$T677)="","",INDEX(Firms!$I$5:$I$1004,$T677)),IF(INDEX('AFA Rates'!$H$5:$H$1004,$T677)="","",INDEX('AFA Rates'!$H$5:$H$1004,$T677))))</f>
        <v/>
      </c>
      <c r="K677" s="50">
        <f>IF($T677="","",IF($S677="S",IF(INDEX(Firms!$J$5:$J$1004,$T677)="","",INDEX(Firms!$J$5:$J$1004,$T677)),IF(INDEX('AFA Rates'!$I$5:$I$1004,$T677)="","",INDEX('AFA Rates'!$I$5:$I$1004,$T677))))</f>
        <v/>
      </c>
      <c r="L677" s="50">
        <f>IF($T677="","",IF($S677="S",IF(INDEX(Firms!$K$5:$K$1004,$T677)="","",INDEX(Firms!$K$5:$K$1004,$T677)),IF(INDEX('AFA Rates'!$J$5:$J$1004,$T677)="","",INDEX('AFA Rates'!$J$5:$J$1004,$T677))))</f>
        <v/>
      </c>
      <c r="M677" s="50">
        <f>IF($T677="","",IF($S677="S",IF(INDEX(Firms!$L$5:$L$1004,$T677)="","",INDEX(Firms!$L$5:$L$1004,$T677)),IF(INDEX('AFA Rates'!$K$5:$K$1004,$T677)="","",INDEX('AFA Rates'!$K$5:$K$1004,$T677))))</f>
        <v/>
      </c>
      <c r="N677" s="50">
        <f>IF($T677="","",IF($S677="S",IF(INDEX(Firms!$M$5:$M$1004,$T677)="","",INDEX(Firms!$M$5:$M$1004,$T677)),IF(INDEX('AFA Rates'!$L$5:$L$1004,$T677)="","",INDEX('AFA Rates'!$L$5:$L$1004,$T677))))</f>
        <v/>
      </c>
      <c r="O677" s="78">
        <f>IF(OR($T677="",$U677=""),"",IF(INDEX(Firms!$C$5:$C$1004,$U677)="","",INDEX(Firms!$C$5:$C$1004,$U677)))</f>
        <v/>
      </c>
      <c r="P677" s="79">
        <f>IF(OR($T677="",$U677=""),"",IF(INDEX(Firms!$N$5:$N$1004,$U677)="","",INDEX(Firms!$N$5:$N$1004,$U677)))</f>
        <v/>
      </c>
      <c r="Q677" s="78">
        <f>IF($T677="","",IF($S677="S",IF(INDEX(Firms!$T$5:$T$1004,$T677)="","",INDEX(Firms!$T$5:$T$1004,$T677)),IF(INDEX('AFA Rates'!$M$5:$M$1004,$T677)="","",INDEX('AFA Rates'!$M$5:$M$1004,$T677))))</f>
        <v/>
      </c>
      <c r="S677">
        <f>IF(673&lt;=$S$2,"S",IF(673&lt;=$S$2+$T$2,"A",""))</f>
        <v/>
      </c>
      <c r="T677">
        <f>IF(S677="S",MATCH(673,Firms!$W$5:$W$1004,0),IF(S677="A",IFERROR(MATCH(673-$S$2,'AFA Rates'!$R$5:$R$1004,0),""),""))</f>
        <v/>
      </c>
      <c r="U677">
        <f>IF(S677="S",T677,IF(AND(S677="A",T677&lt;&gt;""),IFERROR(MATCH(INDEX('AFA Rates'!$A$5:$A$1004,T677),Firms!$A$5:$A$1004,0),""),""))</f>
        <v/>
      </c>
    </row>
    <row r="678">
      <c r="A678" s="78">
        <f>IF($T678="","",IF($S678="S",IF(INDEX(Firms!$A$5:$A$1004,$T678)="","",INDEX(Firms!$A$5:$A$1004,$T678)),IF(INDEX('AFA Rates'!$A$5:$A$1004,$T678)="","",INDEX('AFA Rates'!$A$5:$A$1004,$T678))))</f>
        <v/>
      </c>
      <c r="B678" s="79">
        <f>IF(OR($T678="",$U678=""),IF($T678="","","Not on Firms tab"),INDEX(Firms!$B$5:$B$1004,$U678)&amp;"")</f>
        <v/>
      </c>
      <c r="C678" s="78">
        <f>IF($T678="","",IF($S678="S","Standard",INDEX('AFA Rates'!$B$5:$B$1004,$T678)&amp;""))</f>
        <v/>
      </c>
      <c r="D678" s="88">
        <f>IF($T678="","",IF($S678="S",IF(INDEX(Firms!$E$5:$E$1004,$T678)="","",INDEX(Firms!$E$5:$E$1004,$T678)),IF(INDEX('AFA Rates'!$C$5:$C$1004,$T678)="","",INDEX('AFA Rates'!$C$5:$C$1004,$T678))))</f>
        <v/>
      </c>
      <c r="E678" s="88">
        <f>IF($T678="","",IF($S678="S",IF(""="","",""),IF(INDEX('AFA Rates'!$D$5:$D$1004,$T678)="","",INDEX('AFA Rates'!$D$5:$D$1004,$T678))))</f>
        <v/>
      </c>
      <c r="F678" s="79">
        <f>IF($T678="","",IF($S678="S",IF(INDEX(Firms!$O$5:$O$1004,$T678)="","",INDEX(Firms!$O$5:$O$1004,$T678)),IF(INDEX('AFA Rates'!$O$5:$O$1004,$T678)="","",INDEX('AFA Rates'!$O$5:$O$1004,$T678))))</f>
        <v/>
      </c>
      <c r="G678" s="50">
        <f>IF($T678="","",IF($S678="S",IF(INDEX(Firms!$F$5:$F$1004,$T678)="","",INDEX(Firms!$F$5:$F$1004,$T678)),IF(INDEX('AFA Rates'!$E$5:$E$1004,$T678)="","",INDEX('AFA Rates'!$E$5:$E$1004,$T678))))</f>
        <v/>
      </c>
      <c r="H678" s="50">
        <f>IF($T678="","",IF($S678="S",IF(INDEX(Firms!$G$5:$G$1004,$T678)="","",INDEX(Firms!$G$5:$G$1004,$T678)),IF(INDEX('AFA Rates'!$F$5:$F$1004,$T678)="","",INDEX('AFA Rates'!$F$5:$F$1004,$T678))))</f>
        <v/>
      </c>
      <c r="I678" s="50">
        <f>IF($T678="","",IF($S678="S",IF(INDEX(Firms!$H$5:$H$1004,$T678)="","",INDEX(Firms!$H$5:$H$1004,$T678)),IF(INDEX('AFA Rates'!$G$5:$G$1004,$T678)="","",INDEX('AFA Rates'!$G$5:$G$1004,$T678))))</f>
        <v/>
      </c>
      <c r="J678" s="50">
        <f>IF($T678="","",IF($S678="S",IF(INDEX(Firms!$I$5:$I$1004,$T678)="","",INDEX(Firms!$I$5:$I$1004,$T678)),IF(INDEX('AFA Rates'!$H$5:$H$1004,$T678)="","",INDEX('AFA Rates'!$H$5:$H$1004,$T678))))</f>
        <v/>
      </c>
      <c r="K678" s="50">
        <f>IF($T678="","",IF($S678="S",IF(INDEX(Firms!$J$5:$J$1004,$T678)="","",INDEX(Firms!$J$5:$J$1004,$T678)),IF(INDEX('AFA Rates'!$I$5:$I$1004,$T678)="","",INDEX('AFA Rates'!$I$5:$I$1004,$T678))))</f>
        <v/>
      </c>
      <c r="L678" s="50">
        <f>IF($T678="","",IF($S678="S",IF(INDEX(Firms!$K$5:$K$1004,$T678)="","",INDEX(Firms!$K$5:$K$1004,$T678)),IF(INDEX('AFA Rates'!$J$5:$J$1004,$T678)="","",INDEX('AFA Rates'!$J$5:$J$1004,$T678))))</f>
        <v/>
      </c>
      <c r="M678" s="50">
        <f>IF($T678="","",IF($S678="S",IF(INDEX(Firms!$L$5:$L$1004,$T678)="","",INDEX(Firms!$L$5:$L$1004,$T678)),IF(INDEX('AFA Rates'!$K$5:$K$1004,$T678)="","",INDEX('AFA Rates'!$K$5:$K$1004,$T678))))</f>
        <v/>
      </c>
      <c r="N678" s="50">
        <f>IF($T678="","",IF($S678="S",IF(INDEX(Firms!$M$5:$M$1004,$T678)="","",INDEX(Firms!$M$5:$M$1004,$T678)),IF(INDEX('AFA Rates'!$L$5:$L$1004,$T678)="","",INDEX('AFA Rates'!$L$5:$L$1004,$T678))))</f>
        <v/>
      </c>
      <c r="O678" s="78">
        <f>IF(OR($T678="",$U678=""),"",IF(INDEX(Firms!$C$5:$C$1004,$U678)="","",INDEX(Firms!$C$5:$C$1004,$U678)))</f>
        <v/>
      </c>
      <c r="P678" s="79">
        <f>IF(OR($T678="",$U678=""),"",IF(INDEX(Firms!$N$5:$N$1004,$U678)="","",INDEX(Firms!$N$5:$N$1004,$U678)))</f>
        <v/>
      </c>
      <c r="Q678" s="78">
        <f>IF($T678="","",IF($S678="S",IF(INDEX(Firms!$T$5:$T$1004,$T678)="","",INDEX(Firms!$T$5:$T$1004,$T678)),IF(INDEX('AFA Rates'!$M$5:$M$1004,$T678)="","",INDEX('AFA Rates'!$M$5:$M$1004,$T678))))</f>
        <v/>
      </c>
      <c r="S678">
        <f>IF(674&lt;=$S$2,"S",IF(674&lt;=$S$2+$T$2,"A",""))</f>
        <v/>
      </c>
      <c r="T678">
        <f>IF(S678="S",MATCH(674,Firms!$W$5:$W$1004,0),IF(S678="A",IFERROR(MATCH(674-$S$2,'AFA Rates'!$R$5:$R$1004,0),""),""))</f>
        <v/>
      </c>
      <c r="U678">
        <f>IF(S678="S",T678,IF(AND(S678="A",T678&lt;&gt;""),IFERROR(MATCH(INDEX('AFA Rates'!$A$5:$A$1004,T678),Firms!$A$5:$A$1004,0),""),""))</f>
        <v/>
      </c>
    </row>
    <row r="679">
      <c r="A679" s="78">
        <f>IF($T679="","",IF($S679="S",IF(INDEX(Firms!$A$5:$A$1004,$T679)="","",INDEX(Firms!$A$5:$A$1004,$T679)),IF(INDEX('AFA Rates'!$A$5:$A$1004,$T679)="","",INDEX('AFA Rates'!$A$5:$A$1004,$T679))))</f>
        <v/>
      </c>
      <c r="B679" s="79">
        <f>IF(OR($T679="",$U679=""),IF($T679="","","Not on Firms tab"),INDEX(Firms!$B$5:$B$1004,$U679)&amp;"")</f>
        <v/>
      </c>
      <c r="C679" s="78">
        <f>IF($T679="","",IF($S679="S","Standard",INDEX('AFA Rates'!$B$5:$B$1004,$T679)&amp;""))</f>
        <v/>
      </c>
      <c r="D679" s="88">
        <f>IF($T679="","",IF($S679="S",IF(INDEX(Firms!$E$5:$E$1004,$T679)="","",INDEX(Firms!$E$5:$E$1004,$T679)),IF(INDEX('AFA Rates'!$C$5:$C$1004,$T679)="","",INDEX('AFA Rates'!$C$5:$C$1004,$T679))))</f>
        <v/>
      </c>
      <c r="E679" s="88">
        <f>IF($T679="","",IF($S679="S",IF(""="","",""),IF(INDEX('AFA Rates'!$D$5:$D$1004,$T679)="","",INDEX('AFA Rates'!$D$5:$D$1004,$T679))))</f>
        <v/>
      </c>
      <c r="F679" s="79">
        <f>IF($T679="","",IF($S679="S",IF(INDEX(Firms!$O$5:$O$1004,$T679)="","",INDEX(Firms!$O$5:$O$1004,$T679)),IF(INDEX('AFA Rates'!$O$5:$O$1004,$T679)="","",INDEX('AFA Rates'!$O$5:$O$1004,$T679))))</f>
        <v/>
      </c>
      <c r="G679" s="50">
        <f>IF($T679="","",IF($S679="S",IF(INDEX(Firms!$F$5:$F$1004,$T679)="","",INDEX(Firms!$F$5:$F$1004,$T679)),IF(INDEX('AFA Rates'!$E$5:$E$1004,$T679)="","",INDEX('AFA Rates'!$E$5:$E$1004,$T679))))</f>
        <v/>
      </c>
      <c r="H679" s="50">
        <f>IF($T679="","",IF($S679="S",IF(INDEX(Firms!$G$5:$G$1004,$T679)="","",INDEX(Firms!$G$5:$G$1004,$T679)),IF(INDEX('AFA Rates'!$F$5:$F$1004,$T679)="","",INDEX('AFA Rates'!$F$5:$F$1004,$T679))))</f>
        <v/>
      </c>
      <c r="I679" s="50">
        <f>IF($T679="","",IF($S679="S",IF(INDEX(Firms!$H$5:$H$1004,$T679)="","",INDEX(Firms!$H$5:$H$1004,$T679)),IF(INDEX('AFA Rates'!$G$5:$G$1004,$T679)="","",INDEX('AFA Rates'!$G$5:$G$1004,$T679))))</f>
        <v/>
      </c>
      <c r="J679" s="50">
        <f>IF($T679="","",IF($S679="S",IF(INDEX(Firms!$I$5:$I$1004,$T679)="","",INDEX(Firms!$I$5:$I$1004,$T679)),IF(INDEX('AFA Rates'!$H$5:$H$1004,$T679)="","",INDEX('AFA Rates'!$H$5:$H$1004,$T679))))</f>
        <v/>
      </c>
      <c r="K679" s="50">
        <f>IF($T679="","",IF($S679="S",IF(INDEX(Firms!$J$5:$J$1004,$T679)="","",INDEX(Firms!$J$5:$J$1004,$T679)),IF(INDEX('AFA Rates'!$I$5:$I$1004,$T679)="","",INDEX('AFA Rates'!$I$5:$I$1004,$T679))))</f>
        <v/>
      </c>
      <c r="L679" s="50">
        <f>IF($T679="","",IF($S679="S",IF(INDEX(Firms!$K$5:$K$1004,$T679)="","",INDEX(Firms!$K$5:$K$1004,$T679)),IF(INDEX('AFA Rates'!$J$5:$J$1004,$T679)="","",INDEX('AFA Rates'!$J$5:$J$1004,$T679))))</f>
        <v/>
      </c>
      <c r="M679" s="50">
        <f>IF($T679="","",IF($S679="S",IF(INDEX(Firms!$L$5:$L$1004,$T679)="","",INDEX(Firms!$L$5:$L$1004,$T679)),IF(INDEX('AFA Rates'!$K$5:$K$1004,$T679)="","",INDEX('AFA Rates'!$K$5:$K$1004,$T679))))</f>
        <v/>
      </c>
      <c r="N679" s="50">
        <f>IF($T679="","",IF($S679="S",IF(INDEX(Firms!$M$5:$M$1004,$T679)="","",INDEX(Firms!$M$5:$M$1004,$T679)),IF(INDEX('AFA Rates'!$L$5:$L$1004,$T679)="","",INDEX('AFA Rates'!$L$5:$L$1004,$T679))))</f>
        <v/>
      </c>
      <c r="O679" s="78">
        <f>IF(OR($T679="",$U679=""),"",IF(INDEX(Firms!$C$5:$C$1004,$U679)="","",INDEX(Firms!$C$5:$C$1004,$U679)))</f>
        <v/>
      </c>
      <c r="P679" s="79">
        <f>IF(OR($T679="",$U679=""),"",IF(INDEX(Firms!$N$5:$N$1004,$U679)="","",INDEX(Firms!$N$5:$N$1004,$U679)))</f>
        <v/>
      </c>
      <c r="Q679" s="78">
        <f>IF($T679="","",IF($S679="S",IF(INDEX(Firms!$T$5:$T$1004,$T679)="","",INDEX(Firms!$T$5:$T$1004,$T679)),IF(INDEX('AFA Rates'!$M$5:$M$1004,$T679)="","",INDEX('AFA Rates'!$M$5:$M$1004,$T679))))</f>
        <v/>
      </c>
      <c r="S679">
        <f>IF(675&lt;=$S$2,"S",IF(675&lt;=$S$2+$T$2,"A",""))</f>
        <v/>
      </c>
      <c r="T679">
        <f>IF(S679="S",MATCH(675,Firms!$W$5:$W$1004,0),IF(S679="A",IFERROR(MATCH(675-$S$2,'AFA Rates'!$R$5:$R$1004,0),""),""))</f>
        <v/>
      </c>
      <c r="U679">
        <f>IF(S679="S",T679,IF(AND(S679="A",T679&lt;&gt;""),IFERROR(MATCH(INDEX('AFA Rates'!$A$5:$A$1004,T679),Firms!$A$5:$A$1004,0),""),""))</f>
        <v/>
      </c>
    </row>
    <row r="680">
      <c r="A680" s="78">
        <f>IF($T680="","",IF($S680="S",IF(INDEX(Firms!$A$5:$A$1004,$T680)="","",INDEX(Firms!$A$5:$A$1004,$T680)),IF(INDEX('AFA Rates'!$A$5:$A$1004,$T680)="","",INDEX('AFA Rates'!$A$5:$A$1004,$T680))))</f>
        <v/>
      </c>
      <c r="B680" s="79">
        <f>IF(OR($T680="",$U680=""),IF($T680="","","Not on Firms tab"),INDEX(Firms!$B$5:$B$1004,$U680)&amp;"")</f>
        <v/>
      </c>
      <c r="C680" s="78">
        <f>IF($T680="","",IF($S680="S","Standard",INDEX('AFA Rates'!$B$5:$B$1004,$T680)&amp;""))</f>
        <v/>
      </c>
      <c r="D680" s="88">
        <f>IF($T680="","",IF($S680="S",IF(INDEX(Firms!$E$5:$E$1004,$T680)="","",INDEX(Firms!$E$5:$E$1004,$T680)),IF(INDEX('AFA Rates'!$C$5:$C$1004,$T680)="","",INDEX('AFA Rates'!$C$5:$C$1004,$T680))))</f>
        <v/>
      </c>
      <c r="E680" s="88">
        <f>IF($T680="","",IF($S680="S",IF(""="","",""),IF(INDEX('AFA Rates'!$D$5:$D$1004,$T680)="","",INDEX('AFA Rates'!$D$5:$D$1004,$T680))))</f>
        <v/>
      </c>
      <c r="F680" s="79">
        <f>IF($T680="","",IF($S680="S",IF(INDEX(Firms!$O$5:$O$1004,$T680)="","",INDEX(Firms!$O$5:$O$1004,$T680)),IF(INDEX('AFA Rates'!$O$5:$O$1004,$T680)="","",INDEX('AFA Rates'!$O$5:$O$1004,$T680))))</f>
        <v/>
      </c>
      <c r="G680" s="50">
        <f>IF($T680="","",IF($S680="S",IF(INDEX(Firms!$F$5:$F$1004,$T680)="","",INDEX(Firms!$F$5:$F$1004,$T680)),IF(INDEX('AFA Rates'!$E$5:$E$1004,$T680)="","",INDEX('AFA Rates'!$E$5:$E$1004,$T680))))</f>
        <v/>
      </c>
      <c r="H680" s="50">
        <f>IF($T680="","",IF($S680="S",IF(INDEX(Firms!$G$5:$G$1004,$T680)="","",INDEX(Firms!$G$5:$G$1004,$T680)),IF(INDEX('AFA Rates'!$F$5:$F$1004,$T680)="","",INDEX('AFA Rates'!$F$5:$F$1004,$T680))))</f>
        <v/>
      </c>
      <c r="I680" s="50">
        <f>IF($T680="","",IF($S680="S",IF(INDEX(Firms!$H$5:$H$1004,$T680)="","",INDEX(Firms!$H$5:$H$1004,$T680)),IF(INDEX('AFA Rates'!$G$5:$G$1004,$T680)="","",INDEX('AFA Rates'!$G$5:$G$1004,$T680))))</f>
        <v/>
      </c>
      <c r="J680" s="50">
        <f>IF($T680="","",IF($S680="S",IF(INDEX(Firms!$I$5:$I$1004,$T680)="","",INDEX(Firms!$I$5:$I$1004,$T680)),IF(INDEX('AFA Rates'!$H$5:$H$1004,$T680)="","",INDEX('AFA Rates'!$H$5:$H$1004,$T680))))</f>
        <v/>
      </c>
      <c r="K680" s="50">
        <f>IF($T680="","",IF($S680="S",IF(INDEX(Firms!$J$5:$J$1004,$T680)="","",INDEX(Firms!$J$5:$J$1004,$T680)),IF(INDEX('AFA Rates'!$I$5:$I$1004,$T680)="","",INDEX('AFA Rates'!$I$5:$I$1004,$T680))))</f>
        <v/>
      </c>
      <c r="L680" s="50">
        <f>IF($T680="","",IF($S680="S",IF(INDEX(Firms!$K$5:$K$1004,$T680)="","",INDEX(Firms!$K$5:$K$1004,$T680)),IF(INDEX('AFA Rates'!$J$5:$J$1004,$T680)="","",INDEX('AFA Rates'!$J$5:$J$1004,$T680))))</f>
        <v/>
      </c>
      <c r="M680" s="50">
        <f>IF($T680="","",IF($S680="S",IF(INDEX(Firms!$L$5:$L$1004,$T680)="","",INDEX(Firms!$L$5:$L$1004,$T680)),IF(INDEX('AFA Rates'!$K$5:$K$1004,$T680)="","",INDEX('AFA Rates'!$K$5:$K$1004,$T680))))</f>
        <v/>
      </c>
      <c r="N680" s="50">
        <f>IF($T680="","",IF($S680="S",IF(INDEX(Firms!$M$5:$M$1004,$T680)="","",INDEX(Firms!$M$5:$M$1004,$T680)),IF(INDEX('AFA Rates'!$L$5:$L$1004,$T680)="","",INDEX('AFA Rates'!$L$5:$L$1004,$T680))))</f>
        <v/>
      </c>
      <c r="O680" s="78">
        <f>IF(OR($T680="",$U680=""),"",IF(INDEX(Firms!$C$5:$C$1004,$U680)="","",INDEX(Firms!$C$5:$C$1004,$U680)))</f>
        <v/>
      </c>
      <c r="P680" s="79">
        <f>IF(OR($T680="",$U680=""),"",IF(INDEX(Firms!$N$5:$N$1004,$U680)="","",INDEX(Firms!$N$5:$N$1004,$U680)))</f>
        <v/>
      </c>
      <c r="Q680" s="78">
        <f>IF($T680="","",IF($S680="S",IF(INDEX(Firms!$T$5:$T$1004,$T680)="","",INDEX(Firms!$T$5:$T$1004,$T680)),IF(INDEX('AFA Rates'!$M$5:$M$1004,$T680)="","",INDEX('AFA Rates'!$M$5:$M$1004,$T680))))</f>
        <v/>
      </c>
      <c r="S680">
        <f>IF(676&lt;=$S$2,"S",IF(676&lt;=$S$2+$T$2,"A",""))</f>
        <v/>
      </c>
      <c r="T680">
        <f>IF(S680="S",MATCH(676,Firms!$W$5:$W$1004,0),IF(S680="A",IFERROR(MATCH(676-$S$2,'AFA Rates'!$R$5:$R$1004,0),""),""))</f>
        <v/>
      </c>
      <c r="U680">
        <f>IF(S680="S",T680,IF(AND(S680="A",T680&lt;&gt;""),IFERROR(MATCH(INDEX('AFA Rates'!$A$5:$A$1004,T680),Firms!$A$5:$A$1004,0),""),""))</f>
        <v/>
      </c>
    </row>
    <row r="681">
      <c r="A681" s="78">
        <f>IF($T681="","",IF($S681="S",IF(INDEX(Firms!$A$5:$A$1004,$T681)="","",INDEX(Firms!$A$5:$A$1004,$T681)),IF(INDEX('AFA Rates'!$A$5:$A$1004,$T681)="","",INDEX('AFA Rates'!$A$5:$A$1004,$T681))))</f>
        <v/>
      </c>
      <c r="B681" s="79">
        <f>IF(OR($T681="",$U681=""),IF($T681="","","Not on Firms tab"),INDEX(Firms!$B$5:$B$1004,$U681)&amp;"")</f>
        <v/>
      </c>
      <c r="C681" s="78">
        <f>IF($T681="","",IF($S681="S","Standard",INDEX('AFA Rates'!$B$5:$B$1004,$T681)&amp;""))</f>
        <v/>
      </c>
      <c r="D681" s="88">
        <f>IF($T681="","",IF($S681="S",IF(INDEX(Firms!$E$5:$E$1004,$T681)="","",INDEX(Firms!$E$5:$E$1004,$T681)),IF(INDEX('AFA Rates'!$C$5:$C$1004,$T681)="","",INDEX('AFA Rates'!$C$5:$C$1004,$T681))))</f>
        <v/>
      </c>
      <c r="E681" s="88">
        <f>IF($T681="","",IF($S681="S",IF(""="","",""),IF(INDEX('AFA Rates'!$D$5:$D$1004,$T681)="","",INDEX('AFA Rates'!$D$5:$D$1004,$T681))))</f>
        <v/>
      </c>
      <c r="F681" s="79">
        <f>IF($T681="","",IF($S681="S",IF(INDEX(Firms!$O$5:$O$1004,$T681)="","",INDEX(Firms!$O$5:$O$1004,$T681)),IF(INDEX('AFA Rates'!$O$5:$O$1004,$T681)="","",INDEX('AFA Rates'!$O$5:$O$1004,$T681))))</f>
        <v/>
      </c>
      <c r="G681" s="50">
        <f>IF($T681="","",IF($S681="S",IF(INDEX(Firms!$F$5:$F$1004,$T681)="","",INDEX(Firms!$F$5:$F$1004,$T681)),IF(INDEX('AFA Rates'!$E$5:$E$1004,$T681)="","",INDEX('AFA Rates'!$E$5:$E$1004,$T681))))</f>
        <v/>
      </c>
      <c r="H681" s="50">
        <f>IF($T681="","",IF($S681="S",IF(INDEX(Firms!$G$5:$G$1004,$T681)="","",INDEX(Firms!$G$5:$G$1004,$T681)),IF(INDEX('AFA Rates'!$F$5:$F$1004,$T681)="","",INDEX('AFA Rates'!$F$5:$F$1004,$T681))))</f>
        <v/>
      </c>
      <c r="I681" s="50">
        <f>IF($T681="","",IF($S681="S",IF(INDEX(Firms!$H$5:$H$1004,$T681)="","",INDEX(Firms!$H$5:$H$1004,$T681)),IF(INDEX('AFA Rates'!$G$5:$G$1004,$T681)="","",INDEX('AFA Rates'!$G$5:$G$1004,$T681))))</f>
        <v/>
      </c>
      <c r="J681" s="50">
        <f>IF($T681="","",IF($S681="S",IF(INDEX(Firms!$I$5:$I$1004,$T681)="","",INDEX(Firms!$I$5:$I$1004,$T681)),IF(INDEX('AFA Rates'!$H$5:$H$1004,$T681)="","",INDEX('AFA Rates'!$H$5:$H$1004,$T681))))</f>
        <v/>
      </c>
      <c r="K681" s="50">
        <f>IF($T681="","",IF($S681="S",IF(INDEX(Firms!$J$5:$J$1004,$T681)="","",INDEX(Firms!$J$5:$J$1004,$T681)),IF(INDEX('AFA Rates'!$I$5:$I$1004,$T681)="","",INDEX('AFA Rates'!$I$5:$I$1004,$T681))))</f>
        <v/>
      </c>
      <c r="L681" s="50">
        <f>IF($T681="","",IF($S681="S",IF(INDEX(Firms!$K$5:$K$1004,$T681)="","",INDEX(Firms!$K$5:$K$1004,$T681)),IF(INDEX('AFA Rates'!$J$5:$J$1004,$T681)="","",INDEX('AFA Rates'!$J$5:$J$1004,$T681))))</f>
        <v/>
      </c>
      <c r="M681" s="50">
        <f>IF($T681="","",IF($S681="S",IF(INDEX(Firms!$L$5:$L$1004,$T681)="","",INDEX(Firms!$L$5:$L$1004,$T681)),IF(INDEX('AFA Rates'!$K$5:$K$1004,$T681)="","",INDEX('AFA Rates'!$K$5:$K$1004,$T681))))</f>
        <v/>
      </c>
      <c r="N681" s="50">
        <f>IF($T681="","",IF($S681="S",IF(INDEX(Firms!$M$5:$M$1004,$T681)="","",INDEX(Firms!$M$5:$M$1004,$T681)),IF(INDEX('AFA Rates'!$L$5:$L$1004,$T681)="","",INDEX('AFA Rates'!$L$5:$L$1004,$T681))))</f>
        <v/>
      </c>
      <c r="O681" s="78">
        <f>IF(OR($T681="",$U681=""),"",IF(INDEX(Firms!$C$5:$C$1004,$U681)="","",INDEX(Firms!$C$5:$C$1004,$U681)))</f>
        <v/>
      </c>
      <c r="P681" s="79">
        <f>IF(OR($T681="",$U681=""),"",IF(INDEX(Firms!$N$5:$N$1004,$U681)="","",INDEX(Firms!$N$5:$N$1004,$U681)))</f>
        <v/>
      </c>
      <c r="Q681" s="78">
        <f>IF($T681="","",IF($S681="S",IF(INDEX(Firms!$T$5:$T$1004,$T681)="","",INDEX(Firms!$T$5:$T$1004,$T681)),IF(INDEX('AFA Rates'!$M$5:$M$1004,$T681)="","",INDEX('AFA Rates'!$M$5:$M$1004,$T681))))</f>
        <v/>
      </c>
      <c r="S681">
        <f>IF(677&lt;=$S$2,"S",IF(677&lt;=$S$2+$T$2,"A",""))</f>
        <v/>
      </c>
      <c r="T681">
        <f>IF(S681="S",MATCH(677,Firms!$W$5:$W$1004,0),IF(S681="A",IFERROR(MATCH(677-$S$2,'AFA Rates'!$R$5:$R$1004,0),""),""))</f>
        <v/>
      </c>
      <c r="U681">
        <f>IF(S681="S",T681,IF(AND(S681="A",T681&lt;&gt;""),IFERROR(MATCH(INDEX('AFA Rates'!$A$5:$A$1004,T681),Firms!$A$5:$A$1004,0),""),""))</f>
        <v/>
      </c>
    </row>
    <row r="682">
      <c r="A682" s="78">
        <f>IF($T682="","",IF($S682="S",IF(INDEX(Firms!$A$5:$A$1004,$T682)="","",INDEX(Firms!$A$5:$A$1004,$T682)),IF(INDEX('AFA Rates'!$A$5:$A$1004,$T682)="","",INDEX('AFA Rates'!$A$5:$A$1004,$T682))))</f>
        <v/>
      </c>
      <c r="B682" s="79">
        <f>IF(OR($T682="",$U682=""),IF($T682="","","Not on Firms tab"),INDEX(Firms!$B$5:$B$1004,$U682)&amp;"")</f>
        <v/>
      </c>
      <c r="C682" s="78">
        <f>IF($T682="","",IF($S682="S","Standard",INDEX('AFA Rates'!$B$5:$B$1004,$T682)&amp;""))</f>
        <v/>
      </c>
      <c r="D682" s="88">
        <f>IF($T682="","",IF($S682="S",IF(INDEX(Firms!$E$5:$E$1004,$T682)="","",INDEX(Firms!$E$5:$E$1004,$T682)),IF(INDEX('AFA Rates'!$C$5:$C$1004,$T682)="","",INDEX('AFA Rates'!$C$5:$C$1004,$T682))))</f>
        <v/>
      </c>
      <c r="E682" s="88">
        <f>IF($T682="","",IF($S682="S",IF(""="","",""),IF(INDEX('AFA Rates'!$D$5:$D$1004,$T682)="","",INDEX('AFA Rates'!$D$5:$D$1004,$T682))))</f>
        <v/>
      </c>
      <c r="F682" s="79">
        <f>IF($T682="","",IF($S682="S",IF(INDEX(Firms!$O$5:$O$1004,$T682)="","",INDEX(Firms!$O$5:$O$1004,$T682)),IF(INDEX('AFA Rates'!$O$5:$O$1004,$T682)="","",INDEX('AFA Rates'!$O$5:$O$1004,$T682))))</f>
        <v/>
      </c>
      <c r="G682" s="50">
        <f>IF($T682="","",IF($S682="S",IF(INDEX(Firms!$F$5:$F$1004,$T682)="","",INDEX(Firms!$F$5:$F$1004,$T682)),IF(INDEX('AFA Rates'!$E$5:$E$1004,$T682)="","",INDEX('AFA Rates'!$E$5:$E$1004,$T682))))</f>
        <v/>
      </c>
      <c r="H682" s="50">
        <f>IF($T682="","",IF($S682="S",IF(INDEX(Firms!$G$5:$G$1004,$T682)="","",INDEX(Firms!$G$5:$G$1004,$T682)),IF(INDEX('AFA Rates'!$F$5:$F$1004,$T682)="","",INDEX('AFA Rates'!$F$5:$F$1004,$T682))))</f>
        <v/>
      </c>
      <c r="I682" s="50">
        <f>IF($T682="","",IF($S682="S",IF(INDEX(Firms!$H$5:$H$1004,$T682)="","",INDEX(Firms!$H$5:$H$1004,$T682)),IF(INDEX('AFA Rates'!$G$5:$G$1004,$T682)="","",INDEX('AFA Rates'!$G$5:$G$1004,$T682))))</f>
        <v/>
      </c>
      <c r="J682" s="50">
        <f>IF($T682="","",IF($S682="S",IF(INDEX(Firms!$I$5:$I$1004,$T682)="","",INDEX(Firms!$I$5:$I$1004,$T682)),IF(INDEX('AFA Rates'!$H$5:$H$1004,$T682)="","",INDEX('AFA Rates'!$H$5:$H$1004,$T682))))</f>
        <v/>
      </c>
      <c r="K682" s="50">
        <f>IF($T682="","",IF($S682="S",IF(INDEX(Firms!$J$5:$J$1004,$T682)="","",INDEX(Firms!$J$5:$J$1004,$T682)),IF(INDEX('AFA Rates'!$I$5:$I$1004,$T682)="","",INDEX('AFA Rates'!$I$5:$I$1004,$T682))))</f>
        <v/>
      </c>
      <c r="L682" s="50">
        <f>IF($T682="","",IF($S682="S",IF(INDEX(Firms!$K$5:$K$1004,$T682)="","",INDEX(Firms!$K$5:$K$1004,$T682)),IF(INDEX('AFA Rates'!$J$5:$J$1004,$T682)="","",INDEX('AFA Rates'!$J$5:$J$1004,$T682))))</f>
        <v/>
      </c>
      <c r="M682" s="50">
        <f>IF($T682="","",IF($S682="S",IF(INDEX(Firms!$L$5:$L$1004,$T682)="","",INDEX(Firms!$L$5:$L$1004,$T682)),IF(INDEX('AFA Rates'!$K$5:$K$1004,$T682)="","",INDEX('AFA Rates'!$K$5:$K$1004,$T682))))</f>
        <v/>
      </c>
      <c r="N682" s="50">
        <f>IF($T682="","",IF($S682="S",IF(INDEX(Firms!$M$5:$M$1004,$T682)="","",INDEX(Firms!$M$5:$M$1004,$T682)),IF(INDEX('AFA Rates'!$L$5:$L$1004,$T682)="","",INDEX('AFA Rates'!$L$5:$L$1004,$T682))))</f>
        <v/>
      </c>
      <c r="O682" s="78">
        <f>IF(OR($T682="",$U682=""),"",IF(INDEX(Firms!$C$5:$C$1004,$U682)="","",INDEX(Firms!$C$5:$C$1004,$U682)))</f>
        <v/>
      </c>
      <c r="P682" s="79">
        <f>IF(OR($T682="",$U682=""),"",IF(INDEX(Firms!$N$5:$N$1004,$U682)="","",INDEX(Firms!$N$5:$N$1004,$U682)))</f>
        <v/>
      </c>
      <c r="Q682" s="78">
        <f>IF($T682="","",IF($S682="S",IF(INDEX(Firms!$T$5:$T$1004,$T682)="","",INDEX(Firms!$T$5:$T$1004,$T682)),IF(INDEX('AFA Rates'!$M$5:$M$1004,$T682)="","",INDEX('AFA Rates'!$M$5:$M$1004,$T682))))</f>
        <v/>
      </c>
      <c r="S682">
        <f>IF(678&lt;=$S$2,"S",IF(678&lt;=$S$2+$T$2,"A",""))</f>
        <v/>
      </c>
      <c r="T682">
        <f>IF(S682="S",MATCH(678,Firms!$W$5:$W$1004,0),IF(S682="A",IFERROR(MATCH(678-$S$2,'AFA Rates'!$R$5:$R$1004,0),""),""))</f>
        <v/>
      </c>
      <c r="U682">
        <f>IF(S682="S",T682,IF(AND(S682="A",T682&lt;&gt;""),IFERROR(MATCH(INDEX('AFA Rates'!$A$5:$A$1004,T682),Firms!$A$5:$A$1004,0),""),""))</f>
        <v/>
      </c>
    </row>
    <row r="683">
      <c r="A683" s="78">
        <f>IF($T683="","",IF($S683="S",IF(INDEX(Firms!$A$5:$A$1004,$T683)="","",INDEX(Firms!$A$5:$A$1004,$T683)),IF(INDEX('AFA Rates'!$A$5:$A$1004,$T683)="","",INDEX('AFA Rates'!$A$5:$A$1004,$T683))))</f>
        <v/>
      </c>
      <c r="B683" s="79">
        <f>IF(OR($T683="",$U683=""),IF($T683="","","Not on Firms tab"),INDEX(Firms!$B$5:$B$1004,$U683)&amp;"")</f>
        <v/>
      </c>
      <c r="C683" s="78">
        <f>IF($T683="","",IF($S683="S","Standard",INDEX('AFA Rates'!$B$5:$B$1004,$T683)&amp;""))</f>
        <v/>
      </c>
      <c r="D683" s="88">
        <f>IF($T683="","",IF($S683="S",IF(INDEX(Firms!$E$5:$E$1004,$T683)="","",INDEX(Firms!$E$5:$E$1004,$T683)),IF(INDEX('AFA Rates'!$C$5:$C$1004,$T683)="","",INDEX('AFA Rates'!$C$5:$C$1004,$T683))))</f>
        <v/>
      </c>
      <c r="E683" s="88">
        <f>IF($T683="","",IF($S683="S",IF(""="","",""),IF(INDEX('AFA Rates'!$D$5:$D$1004,$T683)="","",INDEX('AFA Rates'!$D$5:$D$1004,$T683))))</f>
        <v/>
      </c>
      <c r="F683" s="79">
        <f>IF($T683="","",IF($S683="S",IF(INDEX(Firms!$O$5:$O$1004,$T683)="","",INDEX(Firms!$O$5:$O$1004,$T683)),IF(INDEX('AFA Rates'!$O$5:$O$1004,$T683)="","",INDEX('AFA Rates'!$O$5:$O$1004,$T683))))</f>
        <v/>
      </c>
      <c r="G683" s="50">
        <f>IF($T683="","",IF($S683="S",IF(INDEX(Firms!$F$5:$F$1004,$T683)="","",INDEX(Firms!$F$5:$F$1004,$T683)),IF(INDEX('AFA Rates'!$E$5:$E$1004,$T683)="","",INDEX('AFA Rates'!$E$5:$E$1004,$T683))))</f>
        <v/>
      </c>
      <c r="H683" s="50">
        <f>IF($T683="","",IF($S683="S",IF(INDEX(Firms!$G$5:$G$1004,$T683)="","",INDEX(Firms!$G$5:$G$1004,$T683)),IF(INDEX('AFA Rates'!$F$5:$F$1004,$T683)="","",INDEX('AFA Rates'!$F$5:$F$1004,$T683))))</f>
        <v/>
      </c>
      <c r="I683" s="50">
        <f>IF($T683="","",IF($S683="S",IF(INDEX(Firms!$H$5:$H$1004,$T683)="","",INDEX(Firms!$H$5:$H$1004,$T683)),IF(INDEX('AFA Rates'!$G$5:$G$1004,$T683)="","",INDEX('AFA Rates'!$G$5:$G$1004,$T683))))</f>
        <v/>
      </c>
      <c r="J683" s="50">
        <f>IF($T683="","",IF($S683="S",IF(INDEX(Firms!$I$5:$I$1004,$T683)="","",INDEX(Firms!$I$5:$I$1004,$T683)),IF(INDEX('AFA Rates'!$H$5:$H$1004,$T683)="","",INDEX('AFA Rates'!$H$5:$H$1004,$T683))))</f>
        <v/>
      </c>
      <c r="K683" s="50">
        <f>IF($T683="","",IF($S683="S",IF(INDEX(Firms!$J$5:$J$1004,$T683)="","",INDEX(Firms!$J$5:$J$1004,$T683)),IF(INDEX('AFA Rates'!$I$5:$I$1004,$T683)="","",INDEX('AFA Rates'!$I$5:$I$1004,$T683))))</f>
        <v/>
      </c>
      <c r="L683" s="50">
        <f>IF($T683="","",IF($S683="S",IF(INDEX(Firms!$K$5:$K$1004,$T683)="","",INDEX(Firms!$K$5:$K$1004,$T683)),IF(INDEX('AFA Rates'!$J$5:$J$1004,$T683)="","",INDEX('AFA Rates'!$J$5:$J$1004,$T683))))</f>
        <v/>
      </c>
      <c r="M683" s="50">
        <f>IF($T683="","",IF($S683="S",IF(INDEX(Firms!$L$5:$L$1004,$T683)="","",INDEX(Firms!$L$5:$L$1004,$T683)),IF(INDEX('AFA Rates'!$K$5:$K$1004,$T683)="","",INDEX('AFA Rates'!$K$5:$K$1004,$T683))))</f>
        <v/>
      </c>
      <c r="N683" s="50">
        <f>IF($T683="","",IF($S683="S",IF(INDEX(Firms!$M$5:$M$1004,$T683)="","",INDEX(Firms!$M$5:$M$1004,$T683)),IF(INDEX('AFA Rates'!$L$5:$L$1004,$T683)="","",INDEX('AFA Rates'!$L$5:$L$1004,$T683))))</f>
        <v/>
      </c>
      <c r="O683" s="78">
        <f>IF(OR($T683="",$U683=""),"",IF(INDEX(Firms!$C$5:$C$1004,$U683)="","",INDEX(Firms!$C$5:$C$1004,$U683)))</f>
        <v/>
      </c>
      <c r="P683" s="79">
        <f>IF(OR($T683="",$U683=""),"",IF(INDEX(Firms!$N$5:$N$1004,$U683)="","",INDEX(Firms!$N$5:$N$1004,$U683)))</f>
        <v/>
      </c>
      <c r="Q683" s="78">
        <f>IF($T683="","",IF($S683="S",IF(INDEX(Firms!$T$5:$T$1004,$T683)="","",INDEX(Firms!$T$5:$T$1004,$T683)),IF(INDEX('AFA Rates'!$M$5:$M$1004,$T683)="","",INDEX('AFA Rates'!$M$5:$M$1004,$T683))))</f>
        <v/>
      </c>
      <c r="S683">
        <f>IF(679&lt;=$S$2,"S",IF(679&lt;=$S$2+$T$2,"A",""))</f>
        <v/>
      </c>
      <c r="T683">
        <f>IF(S683="S",MATCH(679,Firms!$W$5:$W$1004,0),IF(S683="A",IFERROR(MATCH(679-$S$2,'AFA Rates'!$R$5:$R$1004,0),""),""))</f>
        <v/>
      </c>
      <c r="U683">
        <f>IF(S683="S",T683,IF(AND(S683="A",T683&lt;&gt;""),IFERROR(MATCH(INDEX('AFA Rates'!$A$5:$A$1004,T683),Firms!$A$5:$A$1004,0),""),""))</f>
        <v/>
      </c>
    </row>
    <row r="684">
      <c r="A684" s="78">
        <f>IF($T684="","",IF($S684="S",IF(INDEX(Firms!$A$5:$A$1004,$T684)="","",INDEX(Firms!$A$5:$A$1004,$T684)),IF(INDEX('AFA Rates'!$A$5:$A$1004,$T684)="","",INDEX('AFA Rates'!$A$5:$A$1004,$T684))))</f>
        <v/>
      </c>
      <c r="B684" s="79">
        <f>IF(OR($T684="",$U684=""),IF($T684="","","Not on Firms tab"),INDEX(Firms!$B$5:$B$1004,$U684)&amp;"")</f>
        <v/>
      </c>
      <c r="C684" s="78">
        <f>IF($T684="","",IF($S684="S","Standard",INDEX('AFA Rates'!$B$5:$B$1004,$T684)&amp;""))</f>
        <v/>
      </c>
      <c r="D684" s="88">
        <f>IF($T684="","",IF($S684="S",IF(INDEX(Firms!$E$5:$E$1004,$T684)="","",INDEX(Firms!$E$5:$E$1004,$T684)),IF(INDEX('AFA Rates'!$C$5:$C$1004,$T684)="","",INDEX('AFA Rates'!$C$5:$C$1004,$T684))))</f>
        <v/>
      </c>
      <c r="E684" s="88">
        <f>IF($T684="","",IF($S684="S",IF(""="","",""),IF(INDEX('AFA Rates'!$D$5:$D$1004,$T684)="","",INDEX('AFA Rates'!$D$5:$D$1004,$T684))))</f>
        <v/>
      </c>
      <c r="F684" s="79">
        <f>IF($T684="","",IF($S684="S",IF(INDEX(Firms!$O$5:$O$1004,$T684)="","",INDEX(Firms!$O$5:$O$1004,$T684)),IF(INDEX('AFA Rates'!$O$5:$O$1004,$T684)="","",INDEX('AFA Rates'!$O$5:$O$1004,$T684))))</f>
        <v/>
      </c>
      <c r="G684" s="50">
        <f>IF($T684="","",IF($S684="S",IF(INDEX(Firms!$F$5:$F$1004,$T684)="","",INDEX(Firms!$F$5:$F$1004,$T684)),IF(INDEX('AFA Rates'!$E$5:$E$1004,$T684)="","",INDEX('AFA Rates'!$E$5:$E$1004,$T684))))</f>
        <v/>
      </c>
      <c r="H684" s="50">
        <f>IF($T684="","",IF($S684="S",IF(INDEX(Firms!$G$5:$G$1004,$T684)="","",INDEX(Firms!$G$5:$G$1004,$T684)),IF(INDEX('AFA Rates'!$F$5:$F$1004,$T684)="","",INDEX('AFA Rates'!$F$5:$F$1004,$T684))))</f>
        <v/>
      </c>
      <c r="I684" s="50">
        <f>IF($T684="","",IF($S684="S",IF(INDEX(Firms!$H$5:$H$1004,$T684)="","",INDEX(Firms!$H$5:$H$1004,$T684)),IF(INDEX('AFA Rates'!$G$5:$G$1004,$T684)="","",INDEX('AFA Rates'!$G$5:$G$1004,$T684))))</f>
        <v/>
      </c>
      <c r="J684" s="50">
        <f>IF($T684="","",IF($S684="S",IF(INDEX(Firms!$I$5:$I$1004,$T684)="","",INDEX(Firms!$I$5:$I$1004,$T684)),IF(INDEX('AFA Rates'!$H$5:$H$1004,$T684)="","",INDEX('AFA Rates'!$H$5:$H$1004,$T684))))</f>
        <v/>
      </c>
      <c r="K684" s="50">
        <f>IF($T684="","",IF($S684="S",IF(INDEX(Firms!$J$5:$J$1004,$T684)="","",INDEX(Firms!$J$5:$J$1004,$T684)),IF(INDEX('AFA Rates'!$I$5:$I$1004,$T684)="","",INDEX('AFA Rates'!$I$5:$I$1004,$T684))))</f>
        <v/>
      </c>
      <c r="L684" s="50">
        <f>IF($T684="","",IF($S684="S",IF(INDEX(Firms!$K$5:$K$1004,$T684)="","",INDEX(Firms!$K$5:$K$1004,$T684)),IF(INDEX('AFA Rates'!$J$5:$J$1004,$T684)="","",INDEX('AFA Rates'!$J$5:$J$1004,$T684))))</f>
        <v/>
      </c>
      <c r="M684" s="50">
        <f>IF($T684="","",IF($S684="S",IF(INDEX(Firms!$L$5:$L$1004,$T684)="","",INDEX(Firms!$L$5:$L$1004,$T684)),IF(INDEX('AFA Rates'!$K$5:$K$1004,$T684)="","",INDEX('AFA Rates'!$K$5:$K$1004,$T684))))</f>
        <v/>
      </c>
      <c r="N684" s="50">
        <f>IF($T684="","",IF($S684="S",IF(INDEX(Firms!$M$5:$M$1004,$T684)="","",INDEX(Firms!$M$5:$M$1004,$T684)),IF(INDEX('AFA Rates'!$L$5:$L$1004,$T684)="","",INDEX('AFA Rates'!$L$5:$L$1004,$T684))))</f>
        <v/>
      </c>
      <c r="O684" s="78">
        <f>IF(OR($T684="",$U684=""),"",IF(INDEX(Firms!$C$5:$C$1004,$U684)="","",INDEX(Firms!$C$5:$C$1004,$U684)))</f>
        <v/>
      </c>
      <c r="P684" s="79">
        <f>IF(OR($T684="",$U684=""),"",IF(INDEX(Firms!$N$5:$N$1004,$U684)="","",INDEX(Firms!$N$5:$N$1004,$U684)))</f>
        <v/>
      </c>
      <c r="Q684" s="78">
        <f>IF($T684="","",IF($S684="S",IF(INDEX(Firms!$T$5:$T$1004,$T684)="","",INDEX(Firms!$T$5:$T$1004,$T684)),IF(INDEX('AFA Rates'!$M$5:$M$1004,$T684)="","",INDEX('AFA Rates'!$M$5:$M$1004,$T684))))</f>
        <v/>
      </c>
      <c r="S684">
        <f>IF(680&lt;=$S$2,"S",IF(680&lt;=$S$2+$T$2,"A",""))</f>
        <v/>
      </c>
      <c r="T684">
        <f>IF(S684="S",MATCH(680,Firms!$W$5:$W$1004,0),IF(S684="A",IFERROR(MATCH(680-$S$2,'AFA Rates'!$R$5:$R$1004,0),""),""))</f>
        <v/>
      </c>
      <c r="U684">
        <f>IF(S684="S",T684,IF(AND(S684="A",T684&lt;&gt;""),IFERROR(MATCH(INDEX('AFA Rates'!$A$5:$A$1004,T684),Firms!$A$5:$A$1004,0),""),""))</f>
        <v/>
      </c>
    </row>
    <row r="685">
      <c r="A685" s="78">
        <f>IF($T685="","",IF($S685="S",IF(INDEX(Firms!$A$5:$A$1004,$T685)="","",INDEX(Firms!$A$5:$A$1004,$T685)),IF(INDEX('AFA Rates'!$A$5:$A$1004,$T685)="","",INDEX('AFA Rates'!$A$5:$A$1004,$T685))))</f>
        <v/>
      </c>
      <c r="B685" s="79">
        <f>IF(OR($T685="",$U685=""),IF($T685="","","Not on Firms tab"),INDEX(Firms!$B$5:$B$1004,$U685)&amp;"")</f>
        <v/>
      </c>
      <c r="C685" s="78">
        <f>IF($T685="","",IF($S685="S","Standard",INDEX('AFA Rates'!$B$5:$B$1004,$T685)&amp;""))</f>
        <v/>
      </c>
      <c r="D685" s="88">
        <f>IF($T685="","",IF($S685="S",IF(INDEX(Firms!$E$5:$E$1004,$T685)="","",INDEX(Firms!$E$5:$E$1004,$T685)),IF(INDEX('AFA Rates'!$C$5:$C$1004,$T685)="","",INDEX('AFA Rates'!$C$5:$C$1004,$T685))))</f>
        <v/>
      </c>
      <c r="E685" s="88">
        <f>IF($T685="","",IF($S685="S",IF(""="","",""),IF(INDEX('AFA Rates'!$D$5:$D$1004,$T685)="","",INDEX('AFA Rates'!$D$5:$D$1004,$T685))))</f>
        <v/>
      </c>
      <c r="F685" s="79">
        <f>IF($T685="","",IF($S685="S",IF(INDEX(Firms!$O$5:$O$1004,$T685)="","",INDEX(Firms!$O$5:$O$1004,$T685)),IF(INDEX('AFA Rates'!$O$5:$O$1004,$T685)="","",INDEX('AFA Rates'!$O$5:$O$1004,$T685))))</f>
        <v/>
      </c>
      <c r="G685" s="50">
        <f>IF($T685="","",IF($S685="S",IF(INDEX(Firms!$F$5:$F$1004,$T685)="","",INDEX(Firms!$F$5:$F$1004,$T685)),IF(INDEX('AFA Rates'!$E$5:$E$1004,$T685)="","",INDEX('AFA Rates'!$E$5:$E$1004,$T685))))</f>
        <v/>
      </c>
      <c r="H685" s="50">
        <f>IF($T685="","",IF($S685="S",IF(INDEX(Firms!$G$5:$G$1004,$T685)="","",INDEX(Firms!$G$5:$G$1004,$T685)),IF(INDEX('AFA Rates'!$F$5:$F$1004,$T685)="","",INDEX('AFA Rates'!$F$5:$F$1004,$T685))))</f>
        <v/>
      </c>
      <c r="I685" s="50">
        <f>IF($T685="","",IF($S685="S",IF(INDEX(Firms!$H$5:$H$1004,$T685)="","",INDEX(Firms!$H$5:$H$1004,$T685)),IF(INDEX('AFA Rates'!$G$5:$G$1004,$T685)="","",INDEX('AFA Rates'!$G$5:$G$1004,$T685))))</f>
        <v/>
      </c>
      <c r="J685" s="50">
        <f>IF($T685="","",IF($S685="S",IF(INDEX(Firms!$I$5:$I$1004,$T685)="","",INDEX(Firms!$I$5:$I$1004,$T685)),IF(INDEX('AFA Rates'!$H$5:$H$1004,$T685)="","",INDEX('AFA Rates'!$H$5:$H$1004,$T685))))</f>
        <v/>
      </c>
      <c r="K685" s="50">
        <f>IF($T685="","",IF($S685="S",IF(INDEX(Firms!$J$5:$J$1004,$T685)="","",INDEX(Firms!$J$5:$J$1004,$T685)),IF(INDEX('AFA Rates'!$I$5:$I$1004,$T685)="","",INDEX('AFA Rates'!$I$5:$I$1004,$T685))))</f>
        <v/>
      </c>
      <c r="L685" s="50">
        <f>IF($T685="","",IF($S685="S",IF(INDEX(Firms!$K$5:$K$1004,$T685)="","",INDEX(Firms!$K$5:$K$1004,$T685)),IF(INDEX('AFA Rates'!$J$5:$J$1004,$T685)="","",INDEX('AFA Rates'!$J$5:$J$1004,$T685))))</f>
        <v/>
      </c>
      <c r="M685" s="50">
        <f>IF($T685="","",IF($S685="S",IF(INDEX(Firms!$L$5:$L$1004,$T685)="","",INDEX(Firms!$L$5:$L$1004,$T685)),IF(INDEX('AFA Rates'!$K$5:$K$1004,$T685)="","",INDEX('AFA Rates'!$K$5:$K$1004,$T685))))</f>
        <v/>
      </c>
      <c r="N685" s="50">
        <f>IF($T685="","",IF($S685="S",IF(INDEX(Firms!$M$5:$M$1004,$T685)="","",INDEX(Firms!$M$5:$M$1004,$T685)),IF(INDEX('AFA Rates'!$L$5:$L$1004,$T685)="","",INDEX('AFA Rates'!$L$5:$L$1004,$T685))))</f>
        <v/>
      </c>
      <c r="O685" s="78">
        <f>IF(OR($T685="",$U685=""),"",IF(INDEX(Firms!$C$5:$C$1004,$U685)="","",INDEX(Firms!$C$5:$C$1004,$U685)))</f>
        <v/>
      </c>
      <c r="P685" s="79">
        <f>IF(OR($T685="",$U685=""),"",IF(INDEX(Firms!$N$5:$N$1004,$U685)="","",INDEX(Firms!$N$5:$N$1004,$U685)))</f>
        <v/>
      </c>
      <c r="Q685" s="78">
        <f>IF($T685="","",IF($S685="S",IF(INDEX(Firms!$T$5:$T$1004,$T685)="","",INDEX(Firms!$T$5:$T$1004,$T685)),IF(INDEX('AFA Rates'!$M$5:$M$1004,$T685)="","",INDEX('AFA Rates'!$M$5:$M$1004,$T685))))</f>
        <v/>
      </c>
      <c r="S685">
        <f>IF(681&lt;=$S$2,"S",IF(681&lt;=$S$2+$T$2,"A",""))</f>
        <v/>
      </c>
      <c r="T685">
        <f>IF(S685="S",MATCH(681,Firms!$W$5:$W$1004,0),IF(S685="A",IFERROR(MATCH(681-$S$2,'AFA Rates'!$R$5:$R$1004,0),""),""))</f>
        <v/>
      </c>
      <c r="U685">
        <f>IF(S685="S",T685,IF(AND(S685="A",T685&lt;&gt;""),IFERROR(MATCH(INDEX('AFA Rates'!$A$5:$A$1004,T685),Firms!$A$5:$A$1004,0),""),""))</f>
        <v/>
      </c>
    </row>
    <row r="686">
      <c r="A686" s="78">
        <f>IF($T686="","",IF($S686="S",IF(INDEX(Firms!$A$5:$A$1004,$T686)="","",INDEX(Firms!$A$5:$A$1004,$T686)),IF(INDEX('AFA Rates'!$A$5:$A$1004,$T686)="","",INDEX('AFA Rates'!$A$5:$A$1004,$T686))))</f>
        <v/>
      </c>
      <c r="B686" s="79">
        <f>IF(OR($T686="",$U686=""),IF($T686="","","Not on Firms tab"),INDEX(Firms!$B$5:$B$1004,$U686)&amp;"")</f>
        <v/>
      </c>
      <c r="C686" s="78">
        <f>IF($T686="","",IF($S686="S","Standard",INDEX('AFA Rates'!$B$5:$B$1004,$T686)&amp;""))</f>
        <v/>
      </c>
      <c r="D686" s="88">
        <f>IF($T686="","",IF($S686="S",IF(INDEX(Firms!$E$5:$E$1004,$T686)="","",INDEX(Firms!$E$5:$E$1004,$T686)),IF(INDEX('AFA Rates'!$C$5:$C$1004,$T686)="","",INDEX('AFA Rates'!$C$5:$C$1004,$T686))))</f>
        <v/>
      </c>
      <c r="E686" s="88">
        <f>IF($T686="","",IF($S686="S",IF(""="","",""),IF(INDEX('AFA Rates'!$D$5:$D$1004,$T686)="","",INDEX('AFA Rates'!$D$5:$D$1004,$T686))))</f>
        <v/>
      </c>
      <c r="F686" s="79">
        <f>IF($T686="","",IF($S686="S",IF(INDEX(Firms!$O$5:$O$1004,$T686)="","",INDEX(Firms!$O$5:$O$1004,$T686)),IF(INDEX('AFA Rates'!$O$5:$O$1004,$T686)="","",INDEX('AFA Rates'!$O$5:$O$1004,$T686))))</f>
        <v/>
      </c>
      <c r="G686" s="50">
        <f>IF($T686="","",IF($S686="S",IF(INDEX(Firms!$F$5:$F$1004,$T686)="","",INDEX(Firms!$F$5:$F$1004,$T686)),IF(INDEX('AFA Rates'!$E$5:$E$1004,$T686)="","",INDEX('AFA Rates'!$E$5:$E$1004,$T686))))</f>
        <v/>
      </c>
      <c r="H686" s="50">
        <f>IF($T686="","",IF($S686="S",IF(INDEX(Firms!$G$5:$G$1004,$T686)="","",INDEX(Firms!$G$5:$G$1004,$T686)),IF(INDEX('AFA Rates'!$F$5:$F$1004,$T686)="","",INDEX('AFA Rates'!$F$5:$F$1004,$T686))))</f>
        <v/>
      </c>
      <c r="I686" s="50">
        <f>IF($T686="","",IF($S686="S",IF(INDEX(Firms!$H$5:$H$1004,$T686)="","",INDEX(Firms!$H$5:$H$1004,$T686)),IF(INDEX('AFA Rates'!$G$5:$G$1004,$T686)="","",INDEX('AFA Rates'!$G$5:$G$1004,$T686))))</f>
        <v/>
      </c>
      <c r="J686" s="50">
        <f>IF($T686="","",IF($S686="S",IF(INDEX(Firms!$I$5:$I$1004,$T686)="","",INDEX(Firms!$I$5:$I$1004,$T686)),IF(INDEX('AFA Rates'!$H$5:$H$1004,$T686)="","",INDEX('AFA Rates'!$H$5:$H$1004,$T686))))</f>
        <v/>
      </c>
      <c r="K686" s="50">
        <f>IF($T686="","",IF($S686="S",IF(INDEX(Firms!$J$5:$J$1004,$T686)="","",INDEX(Firms!$J$5:$J$1004,$T686)),IF(INDEX('AFA Rates'!$I$5:$I$1004,$T686)="","",INDEX('AFA Rates'!$I$5:$I$1004,$T686))))</f>
        <v/>
      </c>
      <c r="L686" s="50">
        <f>IF($T686="","",IF($S686="S",IF(INDEX(Firms!$K$5:$K$1004,$T686)="","",INDEX(Firms!$K$5:$K$1004,$T686)),IF(INDEX('AFA Rates'!$J$5:$J$1004,$T686)="","",INDEX('AFA Rates'!$J$5:$J$1004,$T686))))</f>
        <v/>
      </c>
      <c r="M686" s="50">
        <f>IF($T686="","",IF($S686="S",IF(INDEX(Firms!$L$5:$L$1004,$T686)="","",INDEX(Firms!$L$5:$L$1004,$T686)),IF(INDEX('AFA Rates'!$K$5:$K$1004,$T686)="","",INDEX('AFA Rates'!$K$5:$K$1004,$T686))))</f>
        <v/>
      </c>
      <c r="N686" s="50">
        <f>IF($T686="","",IF($S686="S",IF(INDEX(Firms!$M$5:$M$1004,$T686)="","",INDEX(Firms!$M$5:$M$1004,$T686)),IF(INDEX('AFA Rates'!$L$5:$L$1004,$T686)="","",INDEX('AFA Rates'!$L$5:$L$1004,$T686))))</f>
        <v/>
      </c>
      <c r="O686" s="78">
        <f>IF(OR($T686="",$U686=""),"",IF(INDEX(Firms!$C$5:$C$1004,$U686)="","",INDEX(Firms!$C$5:$C$1004,$U686)))</f>
        <v/>
      </c>
      <c r="P686" s="79">
        <f>IF(OR($T686="",$U686=""),"",IF(INDEX(Firms!$N$5:$N$1004,$U686)="","",INDEX(Firms!$N$5:$N$1004,$U686)))</f>
        <v/>
      </c>
      <c r="Q686" s="78">
        <f>IF($T686="","",IF($S686="S",IF(INDEX(Firms!$T$5:$T$1004,$T686)="","",INDEX(Firms!$T$5:$T$1004,$T686)),IF(INDEX('AFA Rates'!$M$5:$M$1004,$T686)="","",INDEX('AFA Rates'!$M$5:$M$1004,$T686))))</f>
        <v/>
      </c>
      <c r="S686">
        <f>IF(682&lt;=$S$2,"S",IF(682&lt;=$S$2+$T$2,"A",""))</f>
        <v/>
      </c>
      <c r="T686">
        <f>IF(S686="S",MATCH(682,Firms!$W$5:$W$1004,0),IF(S686="A",IFERROR(MATCH(682-$S$2,'AFA Rates'!$R$5:$R$1004,0),""),""))</f>
        <v/>
      </c>
      <c r="U686">
        <f>IF(S686="S",T686,IF(AND(S686="A",T686&lt;&gt;""),IFERROR(MATCH(INDEX('AFA Rates'!$A$5:$A$1004,T686),Firms!$A$5:$A$1004,0),""),""))</f>
        <v/>
      </c>
    </row>
    <row r="687">
      <c r="A687" s="78">
        <f>IF($T687="","",IF($S687="S",IF(INDEX(Firms!$A$5:$A$1004,$T687)="","",INDEX(Firms!$A$5:$A$1004,$T687)),IF(INDEX('AFA Rates'!$A$5:$A$1004,$T687)="","",INDEX('AFA Rates'!$A$5:$A$1004,$T687))))</f>
        <v/>
      </c>
      <c r="B687" s="79">
        <f>IF(OR($T687="",$U687=""),IF($T687="","","Not on Firms tab"),INDEX(Firms!$B$5:$B$1004,$U687)&amp;"")</f>
        <v/>
      </c>
      <c r="C687" s="78">
        <f>IF($T687="","",IF($S687="S","Standard",INDEX('AFA Rates'!$B$5:$B$1004,$T687)&amp;""))</f>
        <v/>
      </c>
      <c r="D687" s="88">
        <f>IF($T687="","",IF($S687="S",IF(INDEX(Firms!$E$5:$E$1004,$T687)="","",INDEX(Firms!$E$5:$E$1004,$T687)),IF(INDEX('AFA Rates'!$C$5:$C$1004,$T687)="","",INDEX('AFA Rates'!$C$5:$C$1004,$T687))))</f>
        <v/>
      </c>
      <c r="E687" s="88">
        <f>IF($T687="","",IF($S687="S",IF(""="","",""),IF(INDEX('AFA Rates'!$D$5:$D$1004,$T687)="","",INDEX('AFA Rates'!$D$5:$D$1004,$T687))))</f>
        <v/>
      </c>
      <c r="F687" s="79">
        <f>IF($T687="","",IF($S687="S",IF(INDEX(Firms!$O$5:$O$1004,$T687)="","",INDEX(Firms!$O$5:$O$1004,$T687)),IF(INDEX('AFA Rates'!$O$5:$O$1004,$T687)="","",INDEX('AFA Rates'!$O$5:$O$1004,$T687))))</f>
        <v/>
      </c>
      <c r="G687" s="50">
        <f>IF($T687="","",IF($S687="S",IF(INDEX(Firms!$F$5:$F$1004,$T687)="","",INDEX(Firms!$F$5:$F$1004,$T687)),IF(INDEX('AFA Rates'!$E$5:$E$1004,$T687)="","",INDEX('AFA Rates'!$E$5:$E$1004,$T687))))</f>
        <v/>
      </c>
      <c r="H687" s="50">
        <f>IF($T687="","",IF($S687="S",IF(INDEX(Firms!$G$5:$G$1004,$T687)="","",INDEX(Firms!$G$5:$G$1004,$T687)),IF(INDEX('AFA Rates'!$F$5:$F$1004,$T687)="","",INDEX('AFA Rates'!$F$5:$F$1004,$T687))))</f>
        <v/>
      </c>
      <c r="I687" s="50">
        <f>IF($T687="","",IF($S687="S",IF(INDEX(Firms!$H$5:$H$1004,$T687)="","",INDEX(Firms!$H$5:$H$1004,$T687)),IF(INDEX('AFA Rates'!$G$5:$G$1004,$T687)="","",INDEX('AFA Rates'!$G$5:$G$1004,$T687))))</f>
        <v/>
      </c>
      <c r="J687" s="50">
        <f>IF($T687="","",IF($S687="S",IF(INDEX(Firms!$I$5:$I$1004,$T687)="","",INDEX(Firms!$I$5:$I$1004,$T687)),IF(INDEX('AFA Rates'!$H$5:$H$1004,$T687)="","",INDEX('AFA Rates'!$H$5:$H$1004,$T687))))</f>
        <v/>
      </c>
      <c r="K687" s="50">
        <f>IF($T687="","",IF($S687="S",IF(INDEX(Firms!$J$5:$J$1004,$T687)="","",INDEX(Firms!$J$5:$J$1004,$T687)),IF(INDEX('AFA Rates'!$I$5:$I$1004,$T687)="","",INDEX('AFA Rates'!$I$5:$I$1004,$T687))))</f>
        <v/>
      </c>
      <c r="L687" s="50">
        <f>IF($T687="","",IF($S687="S",IF(INDEX(Firms!$K$5:$K$1004,$T687)="","",INDEX(Firms!$K$5:$K$1004,$T687)),IF(INDEX('AFA Rates'!$J$5:$J$1004,$T687)="","",INDEX('AFA Rates'!$J$5:$J$1004,$T687))))</f>
        <v/>
      </c>
      <c r="M687" s="50">
        <f>IF($T687="","",IF($S687="S",IF(INDEX(Firms!$L$5:$L$1004,$T687)="","",INDEX(Firms!$L$5:$L$1004,$T687)),IF(INDEX('AFA Rates'!$K$5:$K$1004,$T687)="","",INDEX('AFA Rates'!$K$5:$K$1004,$T687))))</f>
        <v/>
      </c>
      <c r="N687" s="50">
        <f>IF($T687="","",IF($S687="S",IF(INDEX(Firms!$M$5:$M$1004,$T687)="","",INDEX(Firms!$M$5:$M$1004,$T687)),IF(INDEX('AFA Rates'!$L$5:$L$1004,$T687)="","",INDEX('AFA Rates'!$L$5:$L$1004,$T687))))</f>
        <v/>
      </c>
      <c r="O687" s="78">
        <f>IF(OR($T687="",$U687=""),"",IF(INDEX(Firms!$C$5:$C$1004,$U687)="","",INDEX(Firms!$C$5:$C$1004,$U687)))</f>
        <v/>
      </c>
      <c r="P687" s="79">
        <f>IF(OR($T687="",$U687=""),"",IF(INDEX(Firms!$N$5:$N$1004,$U687)="","",INDEX(Firms!$N$5:$N$1004,$U687)))</f>
        <v/>
      </c>
      <c r="Q687" s="78">
        <f>IF($T687="","",IF($S687="S",IF(INDEX(Firms!$T$5:$T$1004,$T687)="","",INDEX(Firms!$T$5:$T$1004,$T687)),IF(INDEX('AFA Rates'!$M$5:$M$1004,$T687)="","",INDEX('AFA Rates'!$M$5:$M$1004,$T687))))</f>
        <v/>
      </c>
      <c r="S687">
        <f>IF(683&lt;=$S$2,"S",IF(683&lt;=$S$2+$T$2,"A",""))</f>
        <v/>
      </c>
      <c r="T687">
        <f>IF(S687="S",MATCH(683,Firms!$W$5:$W$1004,0),IF(S687="A",IFERROR(MATCH(683-$S$2,'AFA Rates'!$R$5:$R$1004,0),""),""))</f>
        <v/>
      </c>
      <c r="U687">
        <f>IF(S687="S",T687,IF(AND(S687="A",T687&lt;&gt;""),IFERROR(MATCH(INDEX('AFA Rates'!$A$5:$A$1004,T687),Firms!$A$5:$A$1004,0),""),""))</f>
        <v/>
      </c>
    </row>
    <row r="688">
      <c r="A688" s="78">
        <f>IF($T688="","",IF($S688="S",IF(INDEX(Firms!$A$5:$A$1004,$T688)="","",INDEX(Firms!$A$5:$A$1004,$T688)),IF(INDEX('AFA Rates'!$A$5:$A$1004,$T688)="","",INDEX('AFA Rates'!$A$5:$A$1004,$T688))))</f>
        <v/>
      </c>
      <c r="B688" s="79">
        <f>IF(OR($T688="",$U688=""),IF($T688="","","Not on Firms tab"),INDEX(Firms!$B$5:$B$1004,$U688)&amp;"")</f>
        <v/>
      </c>
      <c r="C688" s="78">
        <f>IF($T688="","",IF($S688="S","Standard",INDEX('AFA Rates'!$B$5:$B$1004,$T688)&amp;""))</f>
        <v/>
      </c>
      <c r="D688" s="88">
        <f>IF($T688="","",IF($S688="S",IF(INDEX(Firms!$E$5:$E$1004,$T688)="","",INDEX(Firms!$E$5:$E$1004,$T688)),IF(INDEX('AFA Rates'!$C$5:$C$1004,$T688)="","",INDEX('AFA Rates'!$C$5:$C$1004,$T688))))</f>
        <v/>
      </c>
      <c r="E688" s="88">
        <f>IF($T688="","",IF($S688="S",IF(""="","",""),IF(INDEX('AFA Rates'!$D$5:$D$1004,$T688)="","",INDEX('AFA Rates'!$D$5:$D$1004,$T688))))</f>
        <v/>
      </c>
      <c r="F688" s="79">
        <f>IF($T688="","",IF($S688="S",IF(INDEX(Firms!$O$5:$O$1004,$T688)="","",INDEX(Firms!$O$5:$O$1004,$T688)),IF(INDEX('AFA Rates'!$O$5:$O$1004,$T688)="","",INDEX('AFA Rates'!$O$5:$O$1004,$T688))))</f>
        <v/>
      </c>
      <c r="G688" s="50">
        <f>IF($T688="","",IF($S688="S",IF(INDEX(Firms!$F$5:$F$1004,$T688)="","",INDEX(Firms!$F$5:$F$1004,$T688)),IF(INDEX('AFA Rates'!$E$5:$E$1004,$T688)="","",INDEX('AFA Rates'!$E$5:$E$1004,$T688))))</f>
        <v/>
      </c>
      <c r="H688" s="50">
        <f>IF($T688="","",IF($S688="S",IF(INDEX(Firms!$G$5:$G$1004,$T688)="","",INDEX(Firms!$G$5:$G$1004,$T688)),IF(INDEX('AFA Rates'!$F$5:$F$1004,$T688)="","",INDEX('AFA Rates'!$F$5:$F$1004,$T688))))</f>
        <v/>
      </c>
      <c r="I688" s="50">
        <f>IF($T688="","",IF($S688="S",IF(INDEX(Firms!$H$5:$H$1004,$T688)="","",INDEX(Firms!$H$5:$H$1004,$T688)),IF(INDEX('AFA Rates'!$G$5:$G$1004,$T688)="","",INDEX('AFA Rates'!$G$5:$G$1004,$T688))))</f>
        <v/>
      </c>
      <c r="J688" s="50">
        <f>IF($T688="","",IF($S688="S",IF(INDEX(Firms!$I$5:$I$1004,$T688)="","",INDEX(Firms!$I$5:$I$1004,$T688)),IF(INDEX('AFA Rates'!$H$5:$H$1004,$T688)="","",INDEX('AFA Rates'!$H$5:$H$1004,$T688))))</f>
        <v/>
      </c>
      <c r="K688" s="50">
        <f>IF($T688="","",IF($S688="S",IF(INDEX(Firms!$J$5:$J$1004,$T688)="","",INDEX(Firms!$J$5:$J$1004,$T688)),IF(INDEX('AFA Rates'!$I$5:$I$1004,$T688)="","",INDEX('AFA Rates'!$I$5:$I$1004,$T688))))</f>
        <v/>
      </c>
      <c r="L688" s="50">
        <f>IF($T688="","",IF($S688="S",IF(INDEX(Firms!$K$5:$K$1004,$T688)="","",INDEX(Firms!$K$5:$K$1004,$T688)),IF(INDEX('AFA Rates'!$J$5:$J$1004,$T688)="","",INDEX('AFA Rates'!$J$5:$J$1004,$T688))))</f>
        <v/>
      </c>
      <c r="M688" s="50">
        <f>IF($T688="","",IF($S688="S",IF(INDEX(Firms!$L$5:$L$1004,$T688)="","",INDEX(Firms!$L$5:$L$1004,$T688)),IF(INDEX('AFA Rates'!$K$5:$K$1004,$T688)="","",INDEX('AFA Rates'!$K$5:$K$1004,$T688))))</f>
        <v/>
      </c>
      <c r="N688" s="50">
        <f>IF($T688="","",IF($S688="S",IF(INDEX(Firms!$M$5:$M$1004,$T688)="","",INDEX(Firms!$M$5:$M$1004,$T688)),IF(INDEX('AFA Rates'!$L$5:$L$1004,$T688)="","",INDEX('AFA Rates'!$L$5:$L$1004,$T688))))</f>
        <v/>
      </c>
      <c r="O688" s="78">
        <f>IF(OR($T688="",$U688=""),"",IF(INDEX(Firms!$C$5:$C$1004,$U688)="","",INDEX(Firms!$C$5:$C$1004,$U688)))</f>
        <v/>
      </c>
      <c r="P688" s="79">
        <f>IF(OR($T688="",$U688=""),"",IF(INDEX(Firms!$N$5:$N$1004,$U688)="","",INDEX(Firms!$N$5:$N$1004,$U688)))</f>
        <v/>
      </c>
      <c r="Q688" s="78">
        <f>IF($T688="","",IF($S688="S",IF(INDEX(Firms!$T$5:$T$1004,$T688)="","",INDEX(Firms!$T$5:$T$1004,$T688)),IF(INDEX('AFA Rates'!$M$5:$M$1004,$T688)="","",INDEX('AFA Rates'!$M$5:$M$1004,$T688))))</f>
        <v/>
      </c>
      <c r="S688">
        <f>IF(684&lt;=$S$2,"S",IF(684&lt;=$S$2+$T$2,"A",""))</f>
        <v/>
      </c>
      <c r="T688">
        <f>IF(S688="S",MATCH(684,Firms!$W$5:$W$1004,0),IF(S688="A",IFERROR(MATCH(684-$S$2,'AFA Rates'!$R$5:$R$1004,0),""),""))</f>
        <v/>
      </c>
      <c r="U688">
        <f>IF(S688="S",T688,IF(AND(S688="A",T688&lt;&gt;""),IFERROR(MATCH(INDEX('AFA Rates'!$A$5:$A$1004,T688),Firms!$A$5:$A$1004,0),""),""))</f>
        <v/>
      </c>
    </row>
    <row r="689">
      <c r="A689" s="78">
        <f>IF($T689="","",IF($S689="S",IF(INDEX(Firms!$A$5:$A$1004,$T689)="","",INDEX(Firms!$A$5:$A$1004,$T689)),IF(INDEX('AFA Rates'!$A$5:$A$1004,$T689)="","",INDEX('AFA Rates'!$A$5:$A$1004,$T689))))</f>
        <v/>
      </c>
      <c r="B689" s="79">
        <f>IF(OR($T689="",$U689=""),IF($T689="","","Not on Firms tab"),INDEX(Firms!$B$5:$B$1004,$U689)&amp;"")</f>
        <v/>
      </c>
      <c r="C689" s="78">
        <f>IF($T689="","",IF($S689="S","Standard",INDEX('AFA Rates'!$B$5:$B$1004,$T689)&amp;""))</f>
        <v/>
      </c>
      <c r="D689" s="88">
        <f>IF($T689="","",IF($S689="S",IF(INDEX(Firms!$E$5:$E$1004,$T689)="","",INDEX(Firms!$E$5:$E$1004,$T689)),IF(INDEX('AFA Rates'!$C$5:$C$1004,$T689)="","",INDEX('AFA Rates'!$C$5:$C$1004,$T689))))</f>
        <v/>
      </c>
      <c r="E689" s="88">
        <f>IF($T689="","",IF($S689="S",IF(""="","",""),IF(INDEX('AFA Rates'!$D$5:$D$1004,$T689)="","",INDEX('AFA Rates'!$D$5:$D$1004,$T689))))</f>
        <v/>
      </c>
      <c r="F689" s="79">
        <f>IF($T689="","",IF($S689="S",IF(INDEX(Firms!$O$5:$O$1004,$T689)="","",INDEX(Firms!$O$5:$O$1004,$T689)),IF(INDEX('AFA Rates'!$O$5:$O$1004,$T689)="","",INDEX('AFA Rates'!$O$5:$O$1004,$T689))))</f>
        <v/>
      </c>
      <c r="G689" s="50">
        <f>IF($T689="","",IF($S689="S",IF(INDEX(Firms!$F$5:$F$1004,$T689)="","",INDEX(Firms!$F$5:$F$1004,$T689)),IF(INDEX('AFA Rates'!$E$5:$E$1004,$T689)="","",INDEX('AFA Rates'!$E$5:$E$1004,$T689))))</f>
        <v/>
      </c>
      <c r="H689" s="50">
        <f>IF($T689="","",IF($S689="S",IF(INDEX(Firms!$G$5:$G$1004,$T689)="","",INDEX(Firms!$G$5:$G$1004,$T689)),IF(INDEX('AFA Rates'!$F$5:$F$1004,$T689)="","",INDEX('AFA Rates'!$F$5:$F$1004,$T689))))</f>
        <v/>
      </c>
      <c r="I689" s="50">
        <f>IF($T689="","",IF($S689="S",IF(INDEX(Firms!$H$5:$H$1004,$T689)="","",INDEX(Firms!$H$5:$H$1004,$T689)),IF(INDEX('AFA Rates'!$G$5:$G$1004,$T689)="","",INDEX('AFA Rates'!$G$5:$G$1004,$T689))))</f>
        <v/>
      </c>
      <c r="J689" s="50">
        <f>IF($T689="","",IF($S689="S",IF(INDEX(Firms!$I$5:$I$1004,$T689)="","",INDEX(Firms!$I$5:$I$1004,$T689)),IF(INDEX('AFA Rates'!$H$5:$H$1004,$T689)="","",INDEX('AFA Rates'!$H$5:$H$1004,$T689))))</f>
        <v/>
      </c>
      <c r="K689" s="50">
        <f>IF($T689="","",IF($S689="S",IF(INDEX(Firms!$J$5:$J$1004,$T689)="","",INDEX(Firms!$J$5:$J$1004,$T689)),IF(INDEX('AFA Rates'!$I$5:$I$1004,$T689)="","",INDEX('AFA Rates'!$I$5:$I$1004,$T689))))</f>
        <v/>
      </c>
      <c r="L689" s="50">
        <f>IF($T689="","",IF($S689="S",IF(INDEX(Firms!$K$5:$K$1004,$T689)="","",INDEX(Firms!$K$5:$K$1004,$T689)),IF(INDEX('AFA Rates'!$J$5:$J$1004,$T689)="","",INDEX('AFA Rates'!$J$5:$J$1004,$T689))))</f>
        <v/>
      </c>
      <c r="M689" s="50">
        <f>IF($T689="","",IF($S689="S",IF(INDEX(Firms!$L$5:$L$1004,$T689)="","",INDEX(Firms!$L$5:$L$1004,$T689)),IF(INDEX('AFA Rates'!$K$5:$K$1004,$T689)="","",INDEX('AFA Rates'!$K$5:$K$1004,$T689))))</f>
        <v/>
      </c>
      <c r="N689" s="50">
        <f>IF($T689="","",IF($S689="S",IF(INDEX(Firms!$M$5:$M$1004,$T689)="","",INDEX(Firms!$M$5:$M$1004,$T689)),IF(INDEX('AFA Rates'!$L$5:$L$1004,$T689)="","",INDEX('AFA Rates'!$L$5:$L$1004,$T689))))</f>
        <v/>
      </c>
      <c r="O689" s="78">
        <f>IF(OR($T689="",$U689=""),"",IF(INDEX(Firms!$C$5:$C$1004,$U689)="","",INDEX(Firms!$C$5:$C$1004,$U689)))</f>
        <v/>
      </c>
      <c r="P689" s="79">
        <f>IF(OR($T689="",$U689=""),"",IF(INDEX(Firms!$N$5:$N$1004,$U689)="","",INDEX(Firms!$N$5:$N$1004,$U689)))</f>
        <v/>
      </c>
      <c r="Q689" s="78">
        <f>IF($T689="","",IF($S689="S",IF(INDEX(Firms!$T$5:$T$1004,$T689)="","",INDEX(Firms!$T$5:$T$1004,$T689)),IF(INDEX('AFA Rates'!$M$5:$M$1004,$T689)="","",INDEX('AFA Rates'!$M$5:$M$1004,$T689))))</f>
        <v/>
      </c>
      <c r="S689">
        <f>IF(685&lt;=$S$2,"S",IF(685&lt;=$S$2+$T$2,"A",""))</f>
        <v/>
      </c>
      <c r="T689">
        <f>IF(S689="S",MATCH(685,Firms!$W$5:$W$1004,0),IF(S689="A",IFERROR(MATCH(685-$S$2,'AFA Rates'!$R$5:$R$1004,0),""),""))</f>
        <v/>
      </c>
      <c r="U689">
        <f>IF(S689="S",T689,IF(AND(S689="A",T689&lt;&gt;""),IFERROR(MATCH(INDEX('AFA Rates'!$A$5:$A$1004,T689),Firms!$A$5:$A$1004,0),""),""))</f>
        <v/>
      </c>
    </row>
    <row r="690">
      <c r="A690" s="78">
        <f>IF($T690="","",IF($S690="S",IF(INDEX(Firms!$A$5:$A$1004,$T690)="","",INDEX(Firms!$A$5:$A$1004,$T690)),IF(INDEX('AFA Rates'!$A$5:$A$1004,$T690)="","",INDEX('AFA Rates'!$A$5:$A$1004,$T690))))</f>
        <v/>
      </c>
      <c r="B690" s="79">
        <f>IF(OR($T690="",$U690=""),IF($T690="","","Not on Firms tab"),INDEX(Firms!$B$5:$B$1004,$U690)&amp;"")</f>
        <v/>
      </c>
      <c r="C690" s="78">
        <f>IF($T690="","",IF($S690="S","Standard",INDEX('AFA Rates'!$B$5:$B$1004,$T690)&amp;""))</f>
        <v/>
      </c>
      <c r="D690" s="88">
        <f>IF($T690="","",IF($S690="S",IF(INDEX(Firms!$E$5:$E$1004,$T690)="","",INDEX(Firms!$E$5:$E$1004,$T690)),IF(INDEX('AFA Rates'!$C$5:$C$1004,$T690)="","",INDEX('AFA Rates'!$C$5:$C$1004,$T690))))</f>
        <v/>
      </c>
      <c r="E690" s="88">
        <f>IF($T690="","",IF($S690="S",IF(""="","",""),IF(INDEX('AFA Rates'!$D$5:$D$1004,$T690)="","",INDEX('AFA Rates'!$D$5:$D$1004,$T690))))</f>
        <v/>
      </c>
      <c r="F690" s="79">
        <f>IF($T690="","",IF($S690="S",IF(INDEX(Firms!$O$5:$O$1004,$T690)="","",INDEX(Firms!$O$5:$O$1004,$T690)),IF(INDEX('AFA Rates'!$O$5:$O$1004,$T690)="","",INDEX('AFA Rates'!$O$5:$O$1004,$T690))))</f>
        <v/>
      </c>
      <c r="G690" s="50">
        <f>IF($T690="","",IF($S690="S",IF(INDEX(Firms!$F$5:$F$1004,$T690)="","",INDEX(Firms!$F$5:$F$1004,$T690)),IF(INDEX('AFA Rates'!$E$5:$E$1004,$T690)="","",INDEX('AFA Rates'!$E$5:$E$1004,$T690))))</f>
        <v/>
      </c>
      <c r="H690" s="50">
        <f>IF($T690="","",IF($S690="S",IF(INDEX(Firms!$G$5:$G$1004,$T690)="","",INDEX(Firms!$G$5:$G$1004,$T690)),IF(INDEX('AFA Rates'!$F$5:$F$1004,$T690)="","",INDEX('AFA Rates'!$F$5:$F$1004,$T690))))</f>
        <v/>
      </c>
      <c r="I690" s="50">
        <f>IF($T690="","",IF($S690="S",IF(INDEX(Firms!$H$5:$H$1004,$T690)="","",INDEX(Firms!$H$5:$H$1004,$T690)),IF(INDEX('AFA Rates'!$G$5:$G$1004,$T690)="","",INDEX('AFA Rates'!$G$5:$G$1004,$T690))))</f>
        <v/>
      </c>
      <c r="J690" s="50">
        <f>IF($T690="","",IF($S690="S",IF(INDEX(Firms!$I$5:$I$1004,$T690)="","",INDEX(Firms!$I$5:$I$1004,$T690)),IF(INDEX('AFA Rates'!$H$5:$H$1004,$T690)="","",INDEX('AFA Rates'!$H$5:$H$1004,$T690))))</f>
        <v/>
      </c>
      <c r="K690" s="50">
        <f>IF($T690="","",IF($S690="S",IF(INDEX(Firms!$J$5:$J$1004,$T690)="","",INDEX(Firms!$J$5:$J$1004,$T690)),IF(INDEX('AFA Rates'!$I$5:$I$1004,$T690)="","",INDEX('AFA Rates'!$I$5:$I$1004,$T690))))</f>
        <v/>
      </c>
      <c r="L690" s="50">
        <f>IF($T690="","",IF($S690="S",IF(INDEX(Firms!$K$5:$K$1004,$T690)="","",INDEX(Firms!$K$5:$K$1004,$T690)),IF(INDEX('AFA Rates'!$J$5:$J$1004,$T690)="","",INDEX('AFA Rates'!$J$5:$J$1004,$T690))))</f>
        <v/>
      </c>
      <c r="M690" s="50">
        <f>IF($T690="","",IF($S690="S",IF(INDEX(Firms!$L$5:$L$1004,$T690)="","",INDEX(Firms!$L$5:$L$1004,$T690)),IF(INDEX('AFA Rates'!$K$5:$K$1004,$T690)="","",INDEX('AFA Rates'!$K$5:$K$1004,$T690))))</f>
        <v/>
      </c>
      <c r="N690" s="50">
        <f>IF($T690="","",IF($S690="S",IF(INDEX(Firms!$M$5:$M$1004,$T690)="","",INDEX(Firms!$M$5:$M$1004,$T690)),IF(INDEX('AFA Rates'!$L$5:$L$1004,$T690)="","",INDEX('AFA Rates'!$L$5:$L$1004,$T690))))</f>
        <v/>
      </c>
      <c r="O690" s="78">
        <f>IF(OR($T690="",$U690=""),"",IF(INDEX(Firms!$C$5:$C$1004,$U690)="","",INDEX(Firms!$C$5:$C$1004,$U690)))</f>
        <v/>
      </c>
      <c r="P690" s="79">
        <f>IF(OR($T690="",$U690=""),"",IF(INDEX(Firms!$N$5:$N$1004,$U690)="","",INDEX(Firms!$N$5:$N$1004,$U690)))</f>
        <v/>
      </c>
      <c r="Q690" s="78">
        <f>IF($T690="","",IF($S690="S",IF(INDEX(Firms!$T$5:$T$1004,$T690)="","",INDEX(Firms!$T$5:$T$1004,$T690)),IF(INDEX('AFA Rates'!$M$5:$M$1004,$T690)="","",INDEX('AFA Rates'!$M$5:$M$1004,$T690))))</f>
        <v/>
      </c>
      <c r="S690">
        <f>IF(686&lt;=$S$2,"S",IF(686&lt;=$S$2+$T$2,"A",""))</f>
        <v/>
      </c>
      <c r="T690">
        <f>IF(S690="S",MATCH(686,Firms!$W$5:$W$1004,0),IF(S690="A",IFERROR(MATCH(686-$S$2,'AFA Rates'!$R$5:$R$1004,0),""),""))</f>
        <v/>
      </c>
      <c r="U690">
        <f>IF(S690="S",T690,IF(AND(S690="A",T690&lt;&gt;""),IFERROR(MATCH(INDEX('AFA Rates'!$A$5:$A$1004,T690),Firms!$A$5:$A$1004,0),""),""))</f>
        <v/>
      </c>
    </row>
    <row r="691">
      <c r="A691" s="78">
        <f>IF($T691="","",IF($S691="S",IF(INDEX(Firms!$A$5:$A$1004,$T691)="","",INDEX(Firms!$A$5:$A$1004,$T691)),IF(INDEX('AFA Rates'!$A$5:$A$1004,$T691)="","",INDEX('AFA Rates'!$A$5:$A$1004,$T691))))</f>
        <v/>
      </c>
      <c r="B691" s="79">
        <f>IF(OR($T691="",$U691=""),IF($T691="","","Not on Firms tab"),INDEX(Firms!$B$5:$B$1004,$U691)&amp;"")</f>
        <v/>
      </c>
      <c r="C691" s="78">
        <f>IF($T691="","",IF($S691="S","Standard",INDEX('AFA Rates'!$B$5:$B$1004,$T691)&amp;""))</f>
        <v/>
      </c>
      <c r="D691" s="88">
        <f>IF($T691="","",IF($S691="S",IF(INDEX(Firms!$E$5:$E$1004,$T691)="","",INDEX(Firms!$E$5:$E$1004,$T691)),IF(INDEX('AFA Rates'!$C$5:$C$1004,$T691)="","",INDEX('AFA Rates'!$C$5:$C$1004,$T691))))</f>
        <v/>
      </c>
      <c r="E691" s="88">
        <f>IF($T691="","",IF($S691="S",IF(""="","",""),IF(INDEX('AFA Rates'!$D$5:$D$1004,$T691)="","",INDEX('AFA Rates'!$D$5:$D$1004,$T691))))</f>
        <v/>
      </c>
      <c r="F691" s="79">
        <f>IF($T691="","",IF($S691="S",IF(INDEX(Firms!$O$5:$O$1004,$T691)="","",INDEX(Firms!$O$5:$O$1004,$T691)),IF(INDEX('AFA Rates'!$O$5:$O$1004,$T691)="","",INDEX('AFA Rates'!$O$5:$O$1004,$T691))))</f>
        <v/>
      </c>
      <c r="G691" s="50">
        <f>IF($T691="","",IF($S691="S",IF(INDEX(Firms!$F$5:$F$1004,$T691)="","",INDEX(Firms!$F$5:$F$1004,$T691)),IF(INDEX('AFA Rates'!$E$5:$E$1004,$T691)="","",INDEX('AFA Rates'!$E$5:$E$1004,$T691))))</f>
        <v/>
      </c>
      <c r="H691" s="50">
        <f>IF($T691="","",IF($S691="S",IF(INDEX(Firms!$G$5:$G$1004,$T691)="","",INDEX(Firms!$G$5:$G$1004,$T691)),IF(INDEX('AFA Rates'!$F$5:$F$1004,$T691)="","",INDEX('AFA Rates'!$F$5:$F$1004,$T691))))</f>
        <v/>
      </c>
      <c r="I691" s="50">
        <f>IF($T691="","",IF($S691="S",IF(INDEX(Firms!$H$5:$H$1004,$T691)="","",INDEX(Firms!$H$5:$H$1004,$T691)),IF(INDEX('AFA Rates'!$G$5:$G$1004,$T691)="","",INDEX('AFA Rates'!$G$5:$G$1004,$T691))))</f>
        <v/>
      </c>
      <c r="J691" s="50">
        <f>IF($T691="","",IF($S691="S",IF(INDEX(Firms!$I$5:$I$1004,$T691)="","",INDEX(Firms!$I$5:$I$1004,$T691)),IF(INDEX('AFA Rates'!$H$5:$H$1004,$T691)="","",INDEX('AFA Rates'!$H$5:$H$1004,$T691))))</f>
        <v/>
      </c>
      <c r="K691" s="50">
        <f>IF($T691="","",IF($S691="S",IF(INDEX(Firms!$J$5:$J$1004,$T691)="","",INDEX(Firms!$J$5:$J$1004,$T691)),IF(INDEX('AFA Rates'!$I$5:$I$1004,$T691)="","",INDEX('AFA Rates'!$I$5:$I$1004,$T691))))</f>
        <v/>
      </c>
      <c r="L691" s="50">
        <f>IF($T691="","",IF($S691="S",IF(INDEX(Firms!$K$5:$K$1004,$T691)="","",INDEX(Firms!$K$5:$K$1004,$T691)),IF(INDEX('AFA Rates'!$J$5:$J$1004,$T691)="","",INDEX('AFA Rates'!$J$5:$J$1004,$T691))))</f>
        <v/>
      </c>
      <c r="M691" s="50">
        <f>IF($T691="","",IF($S691="S",IF(INDEX(Firms!$L$5:$L$1004,$T691)="","",INDEX(Firms!$L$5:$L$1004,$T691)),IF(INDEX('AFA Rates'!$K$5:$K$1004,$T691)="","",INDEX('AFA Rates'!$K$5:$K$1004,$T691))))</f>
        <v/>
      </c>
      <c r="N691" s="50">
        <f>IF($T691="","",IF($S691="S",IF(INDEX(Firms!$M$5:$M$1004,$T691)="","",INDEX(Firms!$M$5:$M$1004,$T691)),IF(INDEX('AFA Rates'!$L$5:$L$1004,$T691)="","",INDEX('AFA Rates'!$L$5:$L$1004,$T691))))</f>
        <v/>
      </c>
      <c r="O691" s="78">
        <f>IF(OR($T691="",$U691=""),"",IF(INDEX(Firms!$C$5:$C$1004,$U691)="","",INDEX(Firms!$C$5:$C$1004,$U691)))</f>
        <v/>
      </c>
      <c r="P691" s="79">
        <f>IF(OR($T691="",$U691=""),"",IF(INDEX(Firms!$N$5:$N$1004,$U691)="","",INDEX(Firms!$N$5:$N$1004,$U691)))</f>
        <v/>
      </c>
      <c r="Q691" s="78">
        <f>IF($T691="","",IF($S691="S",IF(INDEX(Firms!$T$5:$T$1004,$T691)="","",INDEX(Firms!$T$5:$T$1004,$T691)),IF(INDEX('AFA Rates'!$M$5:$M$1004,$T691)="","",INDEX('AFA Rates'!$M$5:$M$1004,$T691))))</f>
        <v/>
      </c>
      <c r="S691">
        <f>IF(687&lt;=$S$2,"S",IF(687&lt;=$S$2+$T$2,"A",""))</f>
        <v/>
      </c>
      <c r="T691">
        <f>IF(S691="S",MATCH(687,Firms!$W$5:$W$1004,0),IF(S691="A",IFERROR(MATCH(687-$S$2,'AFA Rates'!$R$5:$R$1004,0),""),""))</f>
        <v/>
      </c>
      <c r="U691">
        <f>IF(S691="S",T691,IF(AND(S691="A",T691&lt;&gt;""),IFERROR(MATCH(INDEX('AFA Rates'!$A$5:$A$1004,T691),Firms!$A$5:$A$1004,0),""),""))</f>
        <v/>
      </c>
    </row>
    <row r="692">
      <c r="A692" s="78">
        <f>IF($T692="","",IF($S692="S",IF(INDEX(Firms!$A$5:$A$1004,$T692)="","",INDEX(Firms!$A$5:$A$1004,$T692)),IF(INDEX('AFA Rates'!$A$5:$A$1004,$T692)="","",INDEX('AFA Rates'!$A$5:$A$1004,$T692))))</f>
        <v/>
      </c>
      <c r="B692" s="79">
        <f>IF(OR($T692="",$U692=""),IF($T692="","","Not on Firms tab"),INDEX(Firms!$B$5:$B$1004,$U692)&amp;"")</f>
        <v/>
      </c>
      <c r="C692" s="78">
        <f>IF($T692="","",IF($S692="S","Standard",INDEX('AFA Rates'!$B$5:$B$1004,$T692)&amp;""))</f>
        <v/>
      </c>
      <c r="D692" s="88">
        <f>IF($T692="","",IF($S692="S",IF(INDEX(Firms!$E$5:$E$1004,$T692)="","",INDEX(Firms!$E$5:$E$1004,$T692)),IF(INDEX('AFA Rates'!$C$5:$C$1004,$T692)="","",INDEX('AFA Rates'!$C$5:$C$1004,$T692))))</f>
        <v/>
      </c>
      <c r="E692" s="88">
        <f>IF($T692="","",IF($S692="S",IF(""="","",""),IF(INDEX('AFA Rates'!$D$5:$D$1004,$T692)="","",INDEX('AFA Rates'!$D$5:$D$1004,$T692))))</f>
        <v/>
      </c>
      <c r="F692" s="79">
        <f>IF($T692="","",IF($S692="S",IF(INDEX(Firms!$O$5:$O$1004,$T692)="","",INDEX(Firms!$O$5:$O$1004,$T692)),IF(INDEX('AFA Rates'!$O$5:$O$1004,$T692)="","",INDEX('AFA Rates'!$O$5:$O$1004,$T692))))</f>
        <v/>
      </c>
      <c r="G692" s="50">
        <f>IF($T692="","",IF($S692="S",IF(INDEX(Firms!$F$5:$F$1004,$T692)="","",INDEX(Firms!$F$5:$F$1004,$T692)),IF(INDEX('AFA Rates'!$E$5:$E$1004,$T692)="","",INDEX('AFA Rates'!$E$5:$E$1004,$T692))))</f>
        <v/>
      </c>
      <c r="H692" s="50">
        <f>IF($T692="","",IF($S692="S",IF(INDEX(Firms!$G$5:$G$1004,$T692)="","",INDEX(Firms!$G$5:$G$1004,$T692)),IF(INDEX('AFA Rates'!$F$5:$F$1004,$T692)="","",INDEX('AFA Rates'!$F$5:$F$1004,$T692))))</f>
        <v/>
      </c>
      <c r="I692" s="50">
        <f>IF($T692="","",IF($S692="S",IF(INDEX(Firms!$H$5:$H$1004,$T692)="","",INDEX(Firms!$H$5:$H$1004,$T692)),IF(INDEX('AFA Rates'!$G$5:$G$1004,$T692)="","",INDEX('AFA Rates'!$G$5:$G$1004,$T692))))</f>
        <v/>
      </c>
      <c r="J692" s="50">
        <f>IF($T692="","",IF($S692="S",IF(INDEX(Firms!$I$5:$I$1004,$T692)="","",INDEX(Firms!$I$5:$I$1004,$T692)),IF(INDEX('AFA Rates'!$H$5:$H$1004,$T692)="","",INDEX('AFA Rates'!$H$5:$H$1004,$T692))))</f>
        <v/>
      </c>
      <c r="K692" s="50">
        <f>IF($T692="","",IF($S692="S",IF(INDEX(Firms!$J$5:$J$1004,$T692)="","",INDEX(Firms!$J$5:$J$1004,$T692)),IF(INDEX('AFA Rates'!$I$5:$I$1004,$T692)="","",INDEX('AFA Rates'!$I$5:$I$1004,$T692))))</f>
        <v/>
      </c>
      <c r="L692" s="50">
        <f>IF($T692="","",IF($S692="S",IF(INDEX(Firms!$K$5:$K$1004,$T692)="","",INDEX(Firms!$K$5:$K$1004,$T692)),IF(INDEX('AFA Rates'!$J$5:$J$1004,$T692)="","",INDEX('AFA Rates'!$J$5:$J$1004,$T692))))</f>
        <v/>
      </c>
      <c r="M692" s="50">
        <f>IF($T692="","",IF($S692="S",IF(INDEX(Firms!$L$5:$L$1004,$T692)="","",INDEX(Firms!$L$5:$L$1004,$T692)),IF(INDEX('AFA Rates'!$K$5:$K$1004,$T692)="","",INDEX('AFA Rates'!$K$5:$K$1004,$T692))))</f>
        <v/>
      </c>
      <c r="N692" s="50">
        <f>IF($T692="","",IF($S692="S",IF(INDEX(Firms!$M$5:$M$1004,$T692)="","",INDEX(Firms!$M$5:$M$1004,$T692)),IF(INDEX('AFA Rates'!$L$5:$L$1004,$T692)="","",INDEX('AFA Rates'!$L$5:$L$1004,$T692))))</f>
        <v/>
      </c>
      <c r="O692" s="78">
        <f>IF(OR($T692="",$U692=""),"",IF(INDEX(Firms!$C$5:$C$1004,$U692)="","",INDEX(Firms!$C$5:$C$1004,$U692)))</f>
        <v/>
      </c>
      <c r="P692" s="79">
        <f>IF(OR($T692="",$U692=""),"",IF(INDEX(Firms!$N$5:$N$1004,$U692)="","",INDEX(Firms!$N$5:$N$1004,$U692)))</f>
        <v/>
      </c>
      <c r="Q692" s="78">
        <f>IF($T692="","",IF($S692="S",IF(INDEX(Firms!$T$5:$T$1004,$T692)="","",INDEX(Firms!$T$5:$T$1004,$T692)),IF(INDEX('AFA Rates'!$M$5:$M$1004,$T692)="","",INDEX('AFA Rates'!$M$5:$M$1004,$T692))))</f>
        <v/>
      </c>
      <c r="S692">
        <f>IF(688&lt;=$S$2,"S",IF(688&lt;=$S$2+$T$2,"A",""))</f>
        <v/>
      </c>
      <c r="T692">
        <f>IF(S692="S",MATCH(688,Firms!$W$5:$W$1004,0),IF(S692="A",IFERROR(MATCH(688-$S$2,'AFA Rates'!$R$5:$R$1004,0),""),""))</f>
        <v/>
      </c>
      <c r="U692">
        <f>IF(S692="S",T692,IF(AND(S692="A",T692&lt;&gt;""),IFERROR(MATCH(INDEX('AFA Rates'!$A$5:$A$1004,T692),Firms!$A$5:$A$1004,0),""),""))</f>
        <v/>
      </c>
    </row>
    <row r="693">
      <c r="A693" s="78">
        <f>IF($T693="","",IF($S693="S",IF(INDEX(Firms!$A$5:$A$1004,$T693)="","",INDEX(Firms!$A$5:$A$1004,$T693)),IF(INDEX('AFA Rates'!$A$5:$A$1004,$T693)="","",INDEX('AFA Rates'!$A$5:$A$1004,$T693))))</f>
        <v/>
      </c>
      <c r="B693" s="79">
        <f>IF(OR($T693="",$U693=""),IF($T693="","","Not on Firms tab"),INDEX(Firms!$B$5:$B$1004,$U693)&amp;"")</f>
        <v/>
      </c>
      <c r="C693" s="78">
        <f>IF($T693="","",IF($S693="S","Standard",INDEX('AFA Rates'!$B$5:$B$1004,$T693)&amp;""))</f>
        <v/>
      </c>
      <c r="D693" s="88">
        <f>IF($T693="","",IF($S693="S",IF(INDEX(Firms!$E$5:$E$1004,$T693)="","",INDEX(Firms!$E$5:$E$1004,$T693)),IF(INDEX('AFA Rates'!$C$5:$C$1004,$T693)="","",INDEX('AFA Rates'!$C$5:$C$1004,$T693))))</f>
        <v/>
      </c>
      <c r="E693" s="88">
        <f>IF($T693="","",IF($S693="S",IF(""="","",""),IF(INDEX('AFA Rates'!$D$5:$D$1004,$T693)="","",INDEX('AFA Rates'!$D$5:$D$1004,$T693))))</f>
        <v/>
      </c>
      <c r="F693" s="79">
        <f>IF($T693="","",IF($S693="S",IF(INDEX(Firms!$O$5:$O$1004,$T693)="","",INDEX(Firms!$O$5:$O$1004,$T693)),IF(INDEX('AFA Rates'!$O$5:$O$1004,$T693)="","",INDEX('AFA Rates'!$O$5:$O$1004,$T693))))</f>
        <v/>
      </c>
      <c r="G693" s="50">
        <f>IF($T693="","",IF($S693="S",IF(INDEX(Firms!$F$5:$F$1004,$T693)="","",INDEX(Firms!$F$5:$F$1004,$T693)),IF(INDEX('AFA Rates'!$E$5:$E$1004,$T693)="","",INDEX('AFA Rates'!$E$5:$E$1004,$T693))))</f>
        <v/>
      </c>
      <c r="H693" s="50">
        <f>IF($T693="","",IF($S693="S",IF(INDEX(Firms!$G$5:$G$1004,$T693)="","",INDEX(Firms!$G$5:$G$1004,$T693)),IF(INDEX('AFA Rates'!$F$5:$F$1004,$T693)="","",INDEX('AFA Rates'!$F$5:$F$1004,$T693))))</f>
        <v/>
      </c>
      <c r="I693" s="50">
        <f>IF($T693="","",IF($S693="S",IF(INDEX(Firms!$H$5:$H$1004,$T693)="","",INDEX(Firms!$H$5:$H$1004,$T693)),IF(INDEX('AFA Rates'!$G$5:$G$1004,$T693)="","",INDEX('AFA Rates'!$G$5:$G$1004,$T693))))</f>
        <v/>
      </c>
      <c r="J693" s="50">
        <f>IF($T693="","",IF($S693="S",IF(INDEX(Firms!$I$5:$I$1004,$T693)="","",INDEX(Firms!$I$5:$I$1004,$T693)),IF(INDEX('AFA Rates'!$H$5:$H$1004,$T693)="","",INDEX('AFA Rates'!$H$5:$H$1004,$T693))))</f>
        <v/>
      </c>
      <c r="K693" s="50">
        <f>IF($T693="","",IF($S693="S",IF(INDEX(Firms!$J$5:$J$1004,$T693)="","",INDEX(Firms!$J$5:$J$1004,$T693)),IF(INDEX('AFA Rates'!$I$5:$I$1004,$T693)="","",INDEX('AFA Rates'!$I$5:$I$1004,$T693))))</f>
        <v/>
      </c>
      <c r="L693" s="50">
        <f>IF($T693="","",IF($S693="S",IF(INDEX(Firms!$K$5:$K$1004,$T693)="","",INDEX(Firms!$K$5:$K$1004,$T693)),IF(INDEX('AFA Rates'!$J$5:$J$1004,$T693)="","",INDEX('AFA Rates'!$J$5:$J$1004,$T693))))</f>
        <v/>
      </c>
      <c r="M693" s="50">
        <f>IF($T693="","",IF($S693="S",IF(INDEX(Firms!$L$5:$L$1004,$T693)="","",INDEX(Firms!$L$5:$L$1004,$T693)),IF(INDEX('AFA Rates'!$K$5:$K$1004,$T693)="","",INDEX('AFA Rates'!$K$5:$K$1004,$T693))))</f>
        <v/>
      </c>
      <c r="N693" s="50">
        <f>IF($T693="","",IF($S693="S",IF(INDEX(Firms!$M$5:$M$1004,$T693)="","",INDEX(Firms!$M$5:$M$1004,$T693)),IF(INDEX('AFA Rates'!$L$5:$L$1004,$T693)="","",INDEX('AFA Rates'!$L$5:$L$1004,$T693))))</f>
        <v/>
      </c>
      <c r="O693" s="78">
        <f>IF(OR($T693="",$U693=""),"",IF(INDEX(Firms!$C$5:$C$1004,$U693)="","",INDEX(Firms!$C$5:$C$1004,$U693)))</f>
        <v/>
      </c>
      <c r="P693" s="79">
        <f>IF(OR($T693="",$U693=""),"",IF(INDEX(Firms!$N$5:$N$1004,$U693)="","",INDEX(Firms!$N$5:$N$1004,$U693)))</f>
        <v/>
      </c>
      <c r="Q693" s="78">
        <f>IF($T693="","",IF($S693="S",IF(INDEX(Firms!$T$5:$T$1004,$T693)="","",INDEX(Firms!$T$5:$T$1004,$T693)),IF(INDEX('AFA Rates'!$M$5:$M$1004,$T693)="","",INDEX('AFA Rates'!$M$5:$M$1004,$T693))))</f>
        <v/>
      </c>
      <c r="S693">
        <f>IF(689&lt;=$S$2,"S",IF(689&lt;=$S$2+$T$2,"A",""))</f>
        <v/>
      </c>
      <c r="T693">
        <f>IF(S693="S",MATCH(689,Firms!$W$5:$W$1004,0),IF(S693="A",IFERROR(MATCH(689-$S$2,'AFA Rates'!$R$5:$R$1004,0),""),""))</f>
        <v/>
      </c>
      <c r="U693">
        <f>IF(S693="S",T693,IF(AND(S693="A",T693&lt;&gt;""),IFERROR(MATCH(INDEX('AFA Rates'!$A$5:$A$1004,T693),Firms!$A$5:$A$1004,0),""),""))</f>
        <v/>
      </c>
    </row>
    <row r="694">
      <c r="A694" s="78">
        <f>IF($T694="","",IF($S694="S",IF(INDEX(Firms!$A$5:$A$1004,$T694)="","",INDEX(Firms!$A$5:$A$1004,$T694)),IF(INDEX('AFA Rates'!$A$5:$A$1004,$T694)="","",INDEX('AFA Rates'!$A$5:$A$1004,$T694))))</f>
        <v/>
      </c>
      <c r="B694" s="79">
        <f>IF(OR($T694="",$U694=""),IF($T694="","","Not on Firms tab"),INDEX(Firms!$B$5:$B$1004,$U694)&amp;"")</f>
        <v/>
      </c>
      <c r="C694" s="78">
        <f>IF($T694="","",IF($S694="S","Standard",INDEX('AFA Rates'!$B$5:$B$1004,$T694)&amp;""))</f>
        <v/>
      </c>
      <c r="D694" s="88">
        <f>IF($T694="","",IF($S694="S",IF(INDEX(Firms!$E$5:$E$1004,$T694)="","",INDEX(Firms!$E$5:$E$1004,$T694)),IF(INDEX('AFA Rates'!$C$5:$C$1004,$T694)="","",INDEX('AFA Rates'!$C$5:$C$1004,$T694))))</f>
        <v/>
      </c>
      <c r="E694" s="88">
        <f>IF($T694="","",IF($S694="S",IF(""="","",""),IF(INDEX('AFA Rates'!$D$5:$D$1004,$T694)="","",INDEX('AFA Rates'!$D$5:$D$1004,$T694))))</f>
        <v/>
      </c>
      <c r="F694" s="79">
        <f>IF($T694="","",IF($S694="S",IF(INDEX(Firms!$O$5:$O$1004,$T694)="","",INDEX(Firms!$O$5:$O$1004,$T694)),IF(INDEX('AFA Rates'!$O$5:$O$1004,$T694)="","",INDEX('AFA Rates'!$O$5:$O$1004,$T694))))</f>
        <v/>
      </c>
      <c r="G694" s="50">
        <f>IF($T694="","",IF($S694="S",IF(INDEX(Firms!$F$5:$F$1004,$T694)="","",INDEX(Firms!$F$5:$F$1004,$T694)),IF(INDEX('AFA Rates'!$E$5:$E$1004,$T694)="","",INDEX('AFA Rates'!$E$5:$E$1004,$T694))))</f>
        <v/>
      </c>
      <c r="H694" s="50">
        <f>IF($T694="","",IF($S694="S",IF(INDEX(Firms!$G$5:$G$1004,$T694)="","",INDEX(Firms!$G$5:$G$1004,$T694)),IF(INDEX('AFA Rates'!$F$5:$F$1004,$T694)="","",INDEX('AFA Rates'!$F$5:$F$1004,$T694))))</f>
        <v/>
      </c>
      <c r="I694" s="50">
        <f>IF($T694="","",IF($S694="S",IF(INDEX(Firms!$H$5:$H$1004,$T694)="","",INDEX(Firms!$H$5:$H$1004,$T694)),IF(INDEX('AFA Rates'!$G$5:$G$1004,$T694)="","",INDEX('AFA Rates'!$G$5:$G$1004,$T694))))</f>
        <v/>
      </c>
      <c r="J694" s="50">
        <f>IF($T694="","",IF($S694="S",IF(INDEX(Firms!$I$5:$I$1004,$T694)="","",INDEX(Firms!$I$5:$I$1004,$T694)),IF(INDEX('AFA Rates'!$H$5:$H$1004,$T694)="","",INDEX('AFA Rates'!$H$5:$H$1004,$T694))))</f>
        <v/>
      </c>
      <c r="K694" s="50">
        <f>IF($T694="","",IF($S694="S",IF(INDEX(Firms!$J$5:$J$1004,$T694)="","",INDEX(Firms!$J$5:$J$1004,$T694)),IF(INDEX('AFA Rates'!$I$5:$I$1004,$T694)="","",INDEX('AFA Rates'!$I$5:$I$1004,$T694))))</f>
        <v/>
      </c>
      <c r="L694" s="50">
        <f>IF($T694="","",IF($S694="S",IF(INDEX(Firms!$K$5:$K$1004,$T694)="","",INDEX(Firms!$K$5:$K$1004,$T694)),IF(INDEX('AFA Rates'!$J$5:$J$1004,$T694)="","",INDEX('AFA Rates'!$J$5:$J$1004,$T694))))</f>
        <v/>
      </c>
      <c r="M694" s="50">
        <f>IF($T694="","",IF($S694="S",IF(INDEX(Firms!$L$5:$L$1004,$T694)="","",INDEX(Firms!$L$5:$L$1004,$T694)),IF(INDEX('AFA Rates'!$K$5:$K$1004,$T694)="","",INDEX('AFA Rates'!$K$5:$K$1004,$T694))))</f>
        <v/>
      </c>
      <c r="N694" s="50">
        <f>IF($T694="","",IF($S694="S",IF(INDEX(Firms!$M$5:$M$1004,$T694)="","",INDEX(Firms!$M$5:$M$1004,$T694)),IF(INDEX('AFA Rates'!$L$5:$L$1004,$T694)="","",INDEX('AFA Rates'!$L$5:$L$1004,$T694))))</f>
        <v/>
      </c>
      <c r="O694" s="78">
        <f>IF(OR($T694="",$U694=""),"",IF(INDEX(Firms!$C$5:$C$1004,$U694)="","",INDEX(Firms!$C$5:$C$1004,$U694)))</f>
        <v/>
      </c>
      <c r="P694" s="79">
        <f>IF(OR($T694="",$U694=""),"",IF(INDEX(Firms!$N$5:$N$1004,$U694)="","",INDEX(Firms!$N$5:$N$1004,$U694)))</f>
        <v/>
      </c>
      <c r="Q694" s="78">
        <f>IF($T694="","",IF($S694="S",IF(INDEX(Firms!$T$5:$T$1004,$T694)="","",INDEX(Firms!$T$5:$T$1004,$T694)),IF(INDEX('AFA Rates'!$M$5:$M$1004,$T694)="","",INDEX('AFA Rates'!$M$5:$M$1004,$T694))))</f>
        <v/>
      </c>
      <c r="S694">
        <f>IF(690&lt;=$S$2,"S",IF(690&lt;=$S$2+$T$2,"A",""))</f>
        <v/>
      </c>
      <c r="T694">
        <f>IF(S694="S",MATCH(690,Firms!$W$5:$W$1004,0),IF(S694="A",IFERROR(MATCH(690-$S$2,'AFA Rates'!$R$5:$R$1004,0),""),""))</f>
        <v/>
      </c>
      <c r="U694">
        <f>IF(S694="S",T694,IF(AND(S694="A",T694&lt;&gt;""),IFERROR(MATCH(INDEX('AFA Rates'!$A$5:$A$1004,T694),Firms!$A$5:$A$1004,0),""),""))</f>
        <v/>
      </c>
    </row>
    <row r="695">
      <c r="A695" s="78">
        <f>IF($T695="","",IF($S695="S",IF(INDEX(Firms!$A$5:$A$1004,$T695)="","",INDEX(Firms!$A$5:$A$1004,$T695)),IF(INDEX('AFA Rates'!$A$5:$A$1004,$T695)="","",INDEX('AFA Rates'!$A$5:$A$1004,$T695))))</f>
        <v/>
      </c>
      <c r="B695" s="79">
        <f>IF(OR($T695="",$U695=""),IF($T695="","","Not on Firms tab"),INDEX(Firms!$B$5:$B$1004,$U695)&amp;"")</f>
        <v/>
      </c>
      <c r="C695" s="78">
        <f>IF($T695="","",IF($S695="S","Standard",INDEX('AFA Rates'!$B$5:$B$1004,$T695)&amp;""))</f>
        <v/>
      </c>
      <c r="D695" s="88">
        <f>IF($T695="","",IF($S695="S",IF(INDEX(Firms!$E$5:$E$1004,$T695)="","",INDEX(Firms!$E$5:$E$1004,$T695)),IF(INDEX('AFA Rates'!$C$5:$C$1004,$T695)="","",INDEX('AFA Rates'!$C$5:$C$1004,$T695))))</f>
        <v/>
      </c>
      <c r="E695" s="88">
        <f>IF($T695="","",IF($S695="S",IF(""="","",""),IF(INDEX('AFA Rates'!$D$5:$D$1004,$T695)="","",INDEX('AFA Rates'!$D$5:$D$1004,$T695))))</f>
        <v/>
      </c>
      <c r="F695" s="79">
        <f>IF($T695="","",IF($S695="S",IF(INDEX(Firms!$O$5:$O$1004,$T695)="","",INDEX(Firms!$O$5:$O$1004,$T695)),IF(INDEX('AFA Rates'!$O$5:$O$1004,$T695)="","",INDEX('AFA Rates'!$O$5:$O$1004,$T695))))</f>
        <v/>
      </c>
      <c r="G695" s="50">
        <f>IF($T695="","",IF($S695="S",IF(INDEX(Firms!$F$5:$F$1004,$T695)="","",INDEX(Firms!$F$5:$F$1004,$T695)),IF(INDEX('AFA Rates'!$E$5:$E$1004,$T695)="","",INDEX('AFA Rates'!$E$5:$E$1004,$T695))))</f>
        <v/>
      </c>
      <c r="H695" s="50">
        <f>IF($T695="","",IF($S695="S",IF(INDEX(Firms!$G$5:$G$1004,$T695)="","",INDEX(Firms!$G$5:$G$1004,$T695)),IF(INDEX('AFA Rates'!$F$5:$F$1004,$T695)="","",INDEX('AFA Rates'!$F$5:$F$1004,$T695))))</f>
        <v/>
      </c>
      <c r="I695" s="50">
        <f>IF($T695="","",IF($S695="S",IF(INDEX(Firms!$H$5:$H$1004,$T695)="","",INDEX(Firms!$H$5:$H$1004,$T695)),IF(INDEX('AFA Rates'!$G$5:$G$1004,$T695)="","",INDEX('AFA Rates'!$G$5:$G$1004,$T695))))</f>
        <v/>
      </c>
      <c r="J695" s="50">
        <f>IF($T695="","",IF($S695="S",IF(INDEX(Firms!$I$5:$I$1004,$T695)="","",INDEX(Firms!$I$5:$I$1004,$T695)),IF(INDEX('AFA Rates'!$H$5:$H$1004,$T695)="","",INDEX('AFA Rates'!$H$5:$H$1004,$T695))))</f>
        <v/>
      </c>
      <c r="K695" s="50">
        <f>IF($T695="","",IF($S695="S",IF(INDEX(Firms!$J$5:$J$1004,$T695)="","",INDEX(Firms!$J$5:$J$1004,$T695)),IF(INDEX('AFA Rates'!$I$5:$I$1004,$T695)="","",INDEX('AFA Rates'!$I$5:$I$1004,$T695))))</f>
        <v/>
      </c>
      <c r="L695" s="50">
        <f>IF($T695="","",IF($S695="S",IF(INDEX(Firms!$K$5:$K$1004,$T695)="","",INDEX(Firms!$K$5:$K$1004,$T695)),IF(INDEX('AFA Rates'!$J$5:$J$1004,$T695)="","",INDEX('AFA Rates'!$J$5:$J$1004,$T695))))</f>
        <v/>
      </c>
      <c r="M695" s="50">
        <f>IF($T695="","",IF($S695="S",IF(INDEX(Firms!$L$5:$L$1004,$T695)="","",INDEX(Firms!$L$5:$L$1004,$T695)),IF(INDEX('AFA Rates'!$K$5:$K$1004,$T695)="","",INDEX('AFA Rates'!$K$5:$K$1004,$T695))))</f>
        <v/>
      </c>
      <c r="N695" s="50">
        <f>IF($T695="","",IF($S695="S",IF(INDEX(Firms!$M$5:$M$1004,$T695)="","",INDEX(Firms!$M$5:$M$1004,$T695)),IF(INDEX('AFA Rates'!$L$5:$L$1004,$T695)="","",INDEX('AFA Rates'!$L$5:$L$1004,$T695))))</f>
        <v/>
      </c>
      <c r="O695" s="78">
        <f>IF(OR($T695="",$U695=""),"",IF(INDEX(Firms!$C$5:$C$1004,$U695)="","",INDEX(Firms!$C$5:$C$1004,$U695)))</f>
        <v/>
      </c>
      <c r="P695" s="79">
        <f>IF(OR($T695="",$U695=""),"",IF(INDEX(Firms!$N$5:$N$1004,$U695)="","",INDEX(Firms!$N$5:$N$1004,$U695)))</f>
        <v/>
      </c>
      <c r="Q695" s="78">
        <f>IF($T695="","",IF($S695="S",IF(INDEX(Firms!$T$5:$T$1004,$T695)="","",INDEX(Firms!$T$5:$T$1004,$T695)),IF(INDEX('AFA Rates'!$M$5:$M$1004,$T695)="","",INDEX('AFA Rates'!$M$5:$M$1004,$T695))))</f>
        <v/>
      </c>
      <c r="S695">
        <f>IF(691&lt;=$S$2,"S",IF(691&lt;=$S$2+$T$2,"A",""))</f>
        <v/>
      </c>
      <c r="T695">
        <f>IF(S695="S",MATCH(691,Firms!$W$5:$W$1004,0),IF(S695="A",IFERROR(MATCH(691-$S$2,'AFA Rates'!$R$5:$R$1004,0),""),""))</f>
        <v/>
      </c>
      <c r="U695">
        <f>IF(S695="S",T695,IF(AND(S695="A",T695&lt;&gt;""),IFERROR(MATCH(INDEX('AFA Rates'!$A$5:$A$1004,T695),Firms!$A$5:$A$1004,0),""),""))</f>
        <v/>
      </c>
    </row>
    <row r="696">
      <c r="A696" s="78">
        <f>IF($T696="","",IF($S696="S",IF(INDEX(Firms!$A$5:$A$1004,$T696)="","",INDEX(Firms!$A$5:$A$1004,$T696)),IF(INDEX('AFA Rates'!$A$5:$A$1004,$T696)="","",INDEX('AFA Rates'!$A$5:$A$1004,$T696))))</f>
        <v/>
      </c>
      <c r="B696" s="79">
        <f>IF(OR($T696="",$U696=""),IF($T696="","","Not on Firms tab"),INDEX(Firms!$B$5:$B$1004,$U696)&amp;"")</f>
        <v/>
      </c>
      <c r="C696" s="78">
        <f>IF($T696="","",IF($S696="S","Standard",INDEX('AFA Rates'!$B$5:$B$1004,$T696)&amp;""))</f>
        <v/>
      </c>
      <c r="D696" s="88">
        <f>IF($T696="","",IF($S696="S",IF(INDEX(Firms!$E$5:$E$1004,$T696)="","",INDEX(Firms!$E$5:$E$1004,$T696)),IF(INDEX('AFA Rates'!$C$5:$C$1004,$T696)="","",INDEX('AFA Rates'!$C$5:$C$1004,$T696))))</f>
        <v/>
      </c>
      <c r="E696" s="88">
        <f>IF($T696="","",IF($S696="S",IF(""="","",""),IF(INDEX('AFA Rates'!$D$5:$D$1004,$T696)="","",INDEX('AFA Rates'!$D$5:$D$1004,$T696))))</f>
        <v/>
      </c>
      <c r="F696" s="79">
        <f>IF($T696="","",IF($S696="S",IF(INDEX(Firms!$O$5:$O$1004,$T696)="","",INDEX(Firms!$O$5:$O$1004,$T696)),IF(INDEX('AFA Rates'!$O$5:$O$1004,$T696)="","",INDEX('AFA Rates'!$O$5:$O$1004,$T696))))</f>
        <v/>
      </c>
      <c r="G696" s="50">
        <f>IF($T696="","",IF($S696="S",IF(INDEX(Firms!$F$5:$F$1004,$T696)="","",INDEX(Firms!$F$5:$F$1004,$T696)),IF(INDEX('AFA Rates'!$E$5:$E$1004,$T696)="","",INDEX('AFA Rates'!$E$5:$E$1004,$T696))))</f>
        <v/>
      </c>
      <c r="H696" s="50">
        <f>IF($T696="","",IF($S696="S",IF(INDEX(Firms!$G$5:$G$1004,$T696)="","",INDEX(Firms!$G$5:$G$1004,$T696)),IF(INDEX('AFA Rates'!$F$5:$F$1004,$T696)="","",INDEX('AFA Rates'!$F$5:$F$1004,$T696))))</f>
        <v/>
      </c>
      <c r="I696" s="50">
        <f>IF($T696="","",IF($S696="S",IF(INDEX(Firms!$H$5:$H$1004,$T696)="","",INDEX(Firms!$H$5:$H$1004,$T696)),IF(INDEX('AFA Rates'!$G$5:$G$1004,$T696)="","",INDEX('AFA Rates'!$G$5:$G$1004,$T696))))</f>
        <v/>
      </c>
      <c r="J696" s="50">
        <f>IF($T696="","",IF($S696="S",IF(INDEX(Firms!$I$5:$I$1004,$T696)="","",INDEX(Firms!$I$5:$I$1004,$T696)),IF(INDEX('AFA Rates'!$H$5:$H$1004,$T696)="","",INDEX('AFA Rates'!$H$5:$H$1004,$T696))))</f>
        <v/>
      </c>
      <c r="K696" s="50">
        <f>IF($T696="","",IF($S696="S",IF(INDEX(Firms!$J$5:$J$1004,$T696)="","",INDEX(Firms!$J$5:$J$1004,$T696)),IF(INDEX('AFA Rates'!$I$5:$I$1004,$T696)="","",INDEX('AFA Rates'!$I$5:$I$1004,$T696))))</f>
        <v/>
      </c>
      <c r="L696" s="50">
        <f>IF($T696="","",IF($S696="S",IF(INDEX(Firms!$K$5:$K$1004,$T696)="","",INDEX(Firms!$K$5:$K$1004,$T696)),IF(INDEX('AFA Rates'!$J$5:$J$1004,$T696)="","",INDEX('AFA Rates'!$J$5:$J$1004,$T696))))</f>
        <v/>
      </c>
      <c r="M696" s="50">
        <f>IF($T696="","",IF($S696="S",IF(INDEX(Firms!$L$5:$L$1004,$T696)="","",INDEX(Firms!$L$5:$L$1004,$T696)),IF(INDEX('AFA Rates'!$K$5:$K$1004,$T696)="","",INDEX('AFA Rates'!$K$5:$K$1004,$T696))))</f>
        <v/>
      </c>
      <c r="N696" s="50">
        <f>IF($T696="","",IF($S696="S",IF(INDEX(Firms!$M$5:$M$1004,$T696)="","",INDEX(Firms!$M$5:$M$1004,$T696)),IF(INDEX('AFA Rates'!$L$5:$L$1004,$T696)="","",INDEX('AFA Rates'!$L$5:$L$1004,$T696))))</f>
        <v/>
      </c>
      <c r="O696" s="78">
        <f>IF(OR($T696="",$U696=""),"",IF(INDEX(Firms!$C$5:$C$1004,$U696)="","",INDEX(Firms!$C$5:$C$1004,$U696)))</f>
        <v/>
      </c>
      <c r="P696" s="79">
        <f>IF(OR($T696="",$U696=""),"",IF(INDEX(Firms!$N$5:$N$1004,$U696)="","",INDEX(Firms!$N$5:$N$1004,$U696)))</f>
        <v/>
      </c>
      <c r="Q696" s="78">
        <f>IF($T696="","",IF($S696="S",IF(INDEX(Firms!$T$5:$T$1004,$T696)="","",INDEX(Firms!$T$5:$T$1004,$T696)),IF(INDEX('AFA Rates'!$M$5:$M$1004,$T696)="","",INDEX('AFA Rates'!$M$5:$M$1004,$T696))))</f>
        <v/>
      </c>
      <c r="S696">
        <f>IF(692&lt;=$S$2,"S",IF(692&lt;=$S$2+$T$2,"A",""))</f>
        <v/>
      </c>
      <c r="T696">
        <f>IF(S696="S",MATCH(692,Firms!$W$5:$W$1004,0),IF(S696="A",IFERROR(MATCH(692-$S$2,'AFA Rates'!$R$5:$R$1004,0),""),""))</f>
        <v/>
      </c>
      <c r="U696">
        <f>IF(S696="S",T696,IF(AND(S696="A",T696&lt;&gt;""),IFERROR(MATCH(INDEX('AFA Rates'!$A$5:$A$1004,T696),Firms!$A$5:$A$1004,0),""),""))</f>
        <v/>
      </c>
    </row>
    <row r="697">
      <c r="A697" s="78">
        <f>IF($T697="","",IF($S697="S",IF(INDEX(Firms!$A$5:$A$1004,$T697)="","",INDEX(Firms!$A$5:$A$1004,$T697)),IF(INDEX('AFA Rates'!$A$5:$A$1004,$T697)="","",INDEX('AFA Rates'!$A$5:$A$1004,$T697))))</f>
        <v/>
      </c>
      <c r="B697" s="79">
        <f>IF(OR($T697="",$U697=""),IF($T697="","","Not on Firms tab"),INDEX(Firms!$B$5:$B$1004,$U697)&amp;"")</f>
        <v/>
      </c>
      <c r="C697" s="78">
        <f>IF($T697="","",IF($S697="S","Standard",INDEX('AFA Rates'!$B$5:$B$1004,$T697)&amp;""))</f>
        <v/>
      </c>
      <c r="D697" s="88">
        <f>IF($T697="","",IF($S697="S",IF(INDEX(Firms!$E$5:$E$1004,$T697)="","",INDEX(Firms!$E$5:$E$1004,$T697)),IF(INDEX('AFA Rates'!$C$5:$C$1004,$T697)="","",INDEX('AFA Rates'!$C$5:$C$1004,$T697))))</f>
        <v/>
      </c>
      <c r="E697" s="88">
        <f>IF($T697="","",IF($S697="S",IF(""="","",""),IF(INDEX('AFA Rates'!$D$5:$D$1004,$T697)="","",INDEX('AFA Rates'!$D$5:$D$1004,$T697))))</f>
        <v/>
      </c>
      <c r="F697" s="79">
        <f>IF($T697="","",IF($S697="S",IF(INDEX(Firms!$O$5:$O$1004,$T697)="","",INDEX(Firms!$O$5:$O$1004,$T697)),IF(INDEX('AFA Rates'!$O$5:$O$1004,$T697)="","",INDEX('AFA Rates'!$O$5:$O$1004,$T697))))</f>
        <v/>
      </c>
      <c r="G697" s="50">
        <f>IF($T697="","",IF($S697="S",IF(INDEX(Firms!$F$5:$F$1004,$T697)="","",INDEX(Firms!$F$5:$F$1004,$T697)),IF(INDEX('AFA Rates'!$E$5:$E$1004,$T697)="","",INDEX('AFA Rates'!$E$5:$E$1004,$T697))))</f>
        <v/>
      </c>
      <c r="H697" s="50">
        <f>IF($T697="","",IF($S697="S",IF(INDEX(Firms!$G$5:$G$1004,$T697)="","",INDEX(Firms!$G$5:$G$1004,$T697)),IF(INDEX('AFA Rates'!$F$5:$F$1004,$T697)="","",INDEX('AFA Rates'!$F$5:$F$1004,$T697))))</f>
        <v/>
      </c>
      <c r="I697" s="50">
        <f>IF($T697="","",IF($S697="S",IF(INDEX(Firms!$H$5:$H$1004,$T697)="","",INDEX(Firms!$H$5:$H$1004,$T697)),IF(INDEX('AFA Rates'!$G$5:$G$1004,$T697)="","",INDEX('AFA Rates'!$G$5:$G$1004,$T697))))</f>
        <v/>
      </c>
      <c r="J697" s="50">
        <f>IF($T697="","",IF($S697="S",IF(INDEX(Firms!$I$5:$I$1004,$T697)="","",INDEX(Firms!$I$5:$I$1004,$T697)),IF(INDEX('AFA Rates'!$H$5:$H$1004,$T697)="","",INDEX('AFA Rates'!$H$5:$H$1004,$T697))))</f>
        <v/>
      </c>
      <c r="K697" s="50">
        <f>IF($T697="","",IF($S697="S",IF(INDEX(Firms!$J$5:$J$1004,$T697)="","",INDEX(Firms!$J$5:$J$1004,$T697)),IF(INDEX('AFA Rates'!$I$5:$I$1004,$T697)="","",INDEX('AFA Rates'!$I$5:$I$1004,$T697))))</f>
        <v/>
      </c>
      <c r="L697" s="50">
        <f>IF($T697="","",IF($S697="S",IF(INDEX(Firms!$K$5:$K$1004,$T697)="","",INDEX(Firms!$K$5:$K$1004,$T697)),IF(INDEX('AFA Rates'!$J$5:$J$1004,$T697)="","",INDEX('AFA Rates'!$J$5:$J$1004,$T697))))</f>
        <v/>
      </c>
      <c r="M697" s="50">
        <f>IF($T697="","",IF($S697="S",IF(INDEX(Firms!$L$5:$L$1004,$T697)="","",INDEX(Firms!$L$5:$L$1004,$T697)),IF(INDEX('AFA Rates'!$K$5:$K$1004,$T697)="","",INDEX('AFA Rates'!$K$5:$K$1004,$T697))))</f>
        <v/>
      </c>
      <c r="N697" s="50">
        <f>IF($T697="","",IF($S697="S",IF(INDEX(Firms!$M$5:$M$1004,$T697)="","",INDEX(Firms!$M$5:$M$1004,$T697)),IF(INDEX('AFA Rates'!$L$5:$L$1004,$T697)="","",INDEX('AFA Rates'!$L$5:$L$1004,$T697))))</f>
        <v/>
      </c>
      <c r="O697" s="78">
        <f>IF(OR($T697="",$U697=""),"",IF(INDEX(Firms!$C$5:$C$1004,$U697)="","",INDEX(Firms!$C$5:$C$1004,$U697)))</f>
        <v/>
      </c>
      <c r="P697" s="79">
        <f>IF(OR($T697="",$U697=""),"",IF(INDEX(Firms!$N$5:$N$1004,$U697)="","",INDEX(Firms!$N$5:$N$1004,$U697)))</f>
        <v/>
      </c>
      <c r="Q697" s="78">
        <f>IF($T697="","",IF($S697="S",IF(INDEX(Firms!$T$5:$T$1004,$T697)="","",INDEX(Firms!$T$5:$T$1004,$T697)),IF(INDEX('AFA Rates'!$M$5:$M$1004,$T697)="","",INDEX('AFA Rates'!$M$5:$M$1004,$T697))))</f>
        <v/>
      </c>
      <c r="S697">
        <f>IF(693&lt;=$S$2,"S",IF(693&lt;=$S$2+$T$2,"A",""))</f>
        <v/>
      </c>
      <c r="T697">
        <f>IF(S697="S",MATCH(693,Firms!$W$5:$W$1004,0),IF(S697="A",IFERROR(MATCH(693-$S$2,'AFA Rates'!$R$5:$R$1004,0),""),""))</f>
        <v/>
      </c>
      <c r="U697">
        <f>IF(S697="S",T697,IF(AND(S697="A",T697&lt;&gt;""),IFERROR(MATCH(INDEX('AFA Rates'!$A$5:$A$1004,T697),Firms!$A$5:$A$1004,0),""),""))</f>
        <v/>
      </c>
    </row>
    <row r="698">
      <c r="A698" s="78">
        <f>IF($T698="","",IF($S698="S",IF(INDEX(Firms!$A$5:$A$1004,$T698)="","",INDEX(Firms!$A$5:$A$1004,$T698)),IF(INDEX('AFA Rates'!$A$5:$A$1004,$T698)="","",INDEX('AFA Rates'!$A$5:$A$1004,$T698))))</f>
        <v/>
      </c>
      <c r="B698" s="79">
        <f>IF(OR($T698="",$U698=""),IF($T698="","","Not on Firms tab"),INDEX(Firms!$B$5:$B$1004,$U698)&amp;"")</f>
        <v/>
      </c>
      <c r="C698" s="78">
        <f>IF($T698="","",IF($S698="S","Standard",INDEX('AFA Rates'!$B$5:$B$1004,$T698)&amp;""))</f>
        <v/>
      </c>
      <c r="D698" s="88">
        <f>IF($T698="","",IF($S698="S",IF(INDEX(Firms!$E$5:$E$1004,$T698)="","",INDEX(Firms!$E$5:$E$1004,$T698)),IF(INDEX('AFA Rates'!$C$5:$C$1004,$T698)="","",INDEX('AFA Rates'!$C$5:$C$1004,$T698))))</f>
        <v/>
      </c>
      <c r="E698" s="88">
        <f>IF($T698="","",IF($S698="S",IF(""="","",""),IF(INDEX('AFA Rates'!$D$5:$D$1004,$T698)="","",INDEX('AFA Rates'!$D$5:$D$1004,$T698))))</f>
        <v/>
      </c>
      <c r="F698" s="79">
        <f>IF($T698="","",IF($S698="S",IF(INDEX(Firms!$O$5:$O$1004,$T698)="","",INDEX(Firms!$O$5:$O$1004,$T698)),IF(INDEX('AFA Rates'!$O$5:$O$1004,$T698)="","",INDEX('AFA Rates'!$O$5:$O$1004,$T698))))</f>
        <v/>
      </c>
      <c r="G698" s="50">
        <f>IF($T698="","",IF($S698="S",IF(INDEX(Firms!$F$5:$F$1004,$T698)="","",INDEX(Firms!$F$5:$F$1004,$T698)),IF(INDEX('AFA Rates'!$E$5:$E$1004,$T698)="","",INDEX('AFA Rates'!$E$5:$E$1004,$T698))))</f>
        <v/>
      </c>
      <c r="H698" s="50">
        <f>IF($T698="","",IF($S698="S",IF(INDEX(Firms!$G$5:$G$1004,$T698)="","",INDEX(Firms!$G$5:$G$1004,$T698)),IF(INDEX('AFA Rates'!$F$5:$F$1004,$T698)="","",INDEX('AFA Rates'!$F$5:$F$1004,$T698))))</f>
        <v/>
      </c>
      <c r="I698" s="50">
        <f>IF($T698="","",IF($S698="S",IF(INDEX(Firms!$H$5:$H$1004,$T698)="","",INDEX(Firms!$H$5:$H$1004,$T698)),IF(INDEX('AFA Rates'!$G$5:$G$1004,$T698)="","",INDEX('AFA Rates'!$G$5:$G$1004,$T698))))</f>
        <v/>
      </c>
      <c r="J698" s="50">
        <f>IF($T698="","",IF($S698="S",IF(INDEX(Firms!$I$5:$I$1004,$T698)="","",INDEX(Firms!$I$5:$I$1004,$T698)),IF(INDEX('AFA Rates'!$H$5:$H$1004,$T698)="","",INDEX('AFA Rates'!$H$5:$H$1004,$T698))))</f>
        <v/>
      </c>
      <c r="K698" s="50">
        <f>IF($T698="","",IF($S698="S",IF(INDEX(Firms!$J$5:$J$1004,$T698)="","",INDEX(Firms!$J$5:$J$1004,$T698)),IF(INDEX('AFA Rates'!$I$5:$I$1004,$T698)="","",INDEX('AFA Rates'!$I$5:$I$1004,$T698))))</f>
        <v/>
      </c>
      <c r="L698" s="50">
        <f>IF($T698="","",IF($S698="S",IF(INDEX(Firms!$K$5:$K$1004,$T698)="","",INDEX(Firms!$K$5:$K$1004,$T698)),IF(INDEX('AFA Rates'!$J$5:$J$1004,$T698)="","",INDEX('AFA Rates'!$J$5:$J$1004,$T698))))</f>
        <v/>
      </c>
      <c r="M698" s="50">
        <f>IF($T698="","",IF($S698="S",IF(INDEX(Firms!$L$5:$L$1004,$T698)="","",INDEX(Firms!$L$5:$L$1004,$T698)),IF(INDEX('AFA Rates'!$K$5:$K$1004,$T698)="","",INDEX('AFA Rates'!$K$5:$K$1004,$T698))))</f>
        <v/>
      </c>
      <c r="N698" s="50">
        <f>IF($T698="","",IF($S698="S",IF(INDEX(Firms!$M$5:$M$1004,$T698)="","",INDEX(Firms!$M$5:$M$1004,$T698)),IF(INDEX('AFA Rates'!$L$5:$L$1004,$T698)="","",INDEX('AFA Rates'!$L$5:$L$1004,$T698))))</f>
        <v/>
      </c>
      <c r="O698" s="78">
        <f>IF(OR($T698="",$U698=""),"",IF(INDEX(Firms!$C$5:$C$1004,$U698)="","",INDEX(Firms!$C$5:$C$1004,$U698)))</f>
        <v/>
      </c>
      <c r="P698" s="79">
        <f>IF(OR($T698="",$U698=""),"",IF(INDEX(Firms!$N$5:$N$1004,$U698)="","",INDEX(Firms!$N$5:$N$1004,$U698)))</f>
        <v/>
      </c>
      <c r="Q698" s="78">
        <f>IF($T698="","",IF($S698="S",IF(INDEX(Firms!$T$5:$T$1004,$T698)="","",INDEX(Firms!$T$5:$T$1004,$T698)),IF(INDEX('AFA Rates'!$M$5:$M$1004,$T698)="","",INDEX('AFA Rates'!$M$5:$M$1004,$T698))))</f>
        <v/>
      </c>
      <c r="S698">
        <f>IF(694&lt;=$S$2,"S",IF(694&lt;=$S$2+$T$2,"A",""))</f>
        <v/>
      </c>
      <c r="T698">
        <f>IF(S698="S",MATCH(694,Firms!$W$5:$W$1004,0),IF(S698="A",IFERROR(MATCH(694-$S$2,'AFA Rates'!$R$5:$R$1004,0),""),""))</f>
        <v/>
      </c>
      <c r="U698">
        <f>IF(S698="S",T698,IF(AND(S698="A",T698&lt;&gt;""),IFERROR(MATCH(INDEX('AFA Rates'!$A$5:$A$1004,T698),Firms!$A$5:$A$1004,0),""),""))</f>
        <v/>
      </c>
    </row>
    <row r="699">
      <c r="A699" s="78">
        <f>IF($T699="","",IF($S699="S",IF(INDEX(Firms!$A$5:$A$1004,$T699)="","",INDEX(Firms!$A$5:$A$1004,$T699)),IF(INDEX('AFA Rates'!$A$5:$A$1004,$T699)="","",INDEX('AFA Rates'!$A$5:$A$1004,$T699))))</f>
        <v/>
      </c>
      <c r="B699" s="79">
        <f>IF(OR($T699="",$U699=""),IF($T699="","","Not on Firms tab"),INDEX(Firms!$B$5:$B$1004,$U699)&amp;"")</f>
        <v/>
      </c>
      <c r="C699" s="78">
        <f>IF($T699="","",IF($S699="S","Standard",INDEX('AFA Rates'!$B$5:$B$1004,$T699)&amp;""))</f>
        <v/>
      </c>
      <c r="D699" s="88">
        <f>IF($T699="","",IF($S699="S",IF(INDEX(Firms!$E$5:$E$1004,$T699)="","",INDEX(Firms!$E$5:$E$1004,$T699)),IF(INDEX('AFA Rates'!$C$5:$C$1004,$T699)="","",INDEX('AFA Rates'!$C$5:$C$1004,$T699))))</f>
        <v/>
      </c>
      <c r="E699" s="88">
        <f>IF($T699="","",IF($S699="S",IF(""="","",""),IF(INDEX('AFA Rates'!$D$5:$D$1004,$T699)="","",INDEX('AFA Rates'!$D$5:$D$1004,$T699))))</f>
        <v/>
      </c>
      <c r="F699" s="79">
        <f>IF($T699="","",IF($S699="S",IF(INDEX(Firms!$O$5:$O$1004,$T699)="","",INDEX(Firms!$O$5:$O$1004,$T699)),IF(INDEX('AFA Rates'!$O$5:$O$1004,$T699)="","",INDEX('AFA Rates'!$O$5:$O$1004,$T699))))</f>
        <v/>
      </c>
      <c r="G699" s="50">
        <f>IF($T699="","",IF($S699="S",IF(INDEX(Firms!$F$5:$F$1004,$T699)="","",INDEX(Firms!$F$5:$F$1004,$T699)),IF(INDEX('AFA Rates'!$E$5:$E$1004,$T699)="","",INDEX('AFA Rates'!$E$5:$E$1004,$T699))))</f>
        <v/>
      </c>
      <c r="H699" s="50">
        <f>IF($T699="","",IF($S699="S",IF(INDEX(Firms!$G$5:$G$1004,$T699)="","",INDEX(Firms!$G$5:$G$1004,$T699)),IF(INDEX('AFA Rates'!$F$5:$F$1004,$T699)="","",INDEX('AFA Rates'!$F$5:$F$1004,$T699))))</f>
        <v/>
      </c>
      <c r="I699" s="50">
        <f>IF($T699="","",IF($S699="S",IF(INDEX(Firms!$H$5:$H$1004,$T699)="","",INDEX(Firms!$H$5:$H$1004,$T699)),IF(INDEX('AFA Rates'!$G$5:$G$1004,$T699)="","",INDEX('AFA Rates'!$G$5:$G$1004,$T699))))</f>
        <v/>
      </c>
      <c r="J699" s="50">
        <f>IF($T699="","",IF($S699="S",IF(INDEX(Firms!$I$5:$I$1004,$T699)="","",INDEX(Firms!$I$5:$I$1004,$T699)),IF(INDEX('AFA Rates'!$H$5:$H$1004,$T699)="","",INDEX('AFA Rates'!$H$5:$H$1004,$T699))))</f>
        <v/>
      </c>
      <c r="K699" s="50">
        <f>IF($T699="","",IF($S699="S",IF(INDEX(Firms!$J$5:$J$1004,$T699)="","",INDEX(Firms!$J$5:$J$1004,$T699)),IF(INDEX('AFA Rates'!$I$5:$I$1004,$T699)="","",INDEX('AFA Rates'!$I$5:$I$1004,$T699))))</f>
        <v/>
      </c>
      <c r="L699" s="50">
        <f>IF($T699="","",IF($S699="S",IF(INDEX(Firms!$K$5:$K$1004,$T699)="","",INDEX(Firms!$K$5:$K$1004,$T699)),IF(INDEX('AFA Rates'!$J$5:$J$1004,$T699)="","",INDEX('AFA Rates'!$J$5:$J$1004,$T699))))</f>
        <v/>
      </c>
      <c r="M699" s="50">
        <f>IF($T699="","",IF($S699="S",IF(INDEX(Firms!$L$5:$L$1004,$T699)="","",INDEX(Firms!$L$5:$L$1004,$T699)),IF(INDEX('AFA Rates'!$K$5:$K$1004,$T699)="","",INDEX('AFA Rates'!$K$5:$K$1004,$T699))))</f>
        <v/>
      </c>
      <c r="N699" s="50">
        <f>IF($T699="","",IF($S699="S",IF(INDEX(Firms!$M$5:$M$1004,$T699)="","",INDEX(Firms!$M$5:$M$1004,$T699)),IF(INDEX('AFA Rates'!$L$5:$L$1004,$T699)="","",INDEX('AFA Rates'!$L$5:$L$1004,$T699))))</f>
        <v/>
      </c>
      <c r="O699" s="78">
        <f>IF(OR($T699="",$U699=""),"",IF(INDEX(Firms!$C$5:$C$1004,$U699)="","",INDEX(Firms!$C$5:$C$1004,$U699)))</f>
        <v/>
      </c>
      <c r="P699" s="79">
        <f>IF(OR($T699="",$U699=""),"",IF(INDEX(Firms!$N$5:$N$1004,$U699)="","",INDEX(Firms!$N$5:$N$1004,$U699)))</f>
        <v/>
      </c>
      <c r="Q699" s="78">
        <f>IF($T699="","",IF($S699="S",IF(INDEX(Firms!$T$5:$T$1004,$T699)="","",INDEX(Firms!$T$5:$T$1004,$T699)),IF(INDEX('AFA Rates'!$M$5:$M$1004,$T699)="","",INDEX('AFA Rates'!$M$5:$M$1004,$T699))))</f>
        <v/>
      </c>
      <c r="S699">
        <f>IF(695&lt;=$S$2,"S",IF(695&lt;=$S$2+$T$2,"A",""))</f>
        <v/>
      </c>
      <c r="T699">
        <f>IF(S699="S",MATCH(695,Firms!$W$5:$W$1004,0),IF(S699="A",IFERROR(MATCH(695-$S$2,'AFA Rates'!$R$5:$R$1004,0),""),""))</f>
        <v/>
      </c>
      <c r="U699">
        <f>IF(S699="S",T699,IF(AND(S699="A",T699&lt;&gt;""),IFERROR(MATCH(INDEX('AFA Rates'!$A$5:$A$1004,T699),Firms!$A$5:$A$1004,0),""),""))</f>
        <v/>
      </c>
    </row>
    <row r="700">
      <c r="A700" s="78">
        <f>IF($T700="","",IF($S700="S",IF(INDEX(Firms!$A$5:$A$1004,$T700)="","",INDEX(Firms!$A$5:$A$1004,$T700)),IF(INDEX('AFA Rates'!$A$5:$A$1004,$T700)="","",INDEX('AFA Rates'!$A$5:$A$1004,$T700))))</f>
        <v/>
      </c>
      <c r="B700" s="79">
        <f>IF(OR($T700="",$U700=""),IF($T700="","","Not on Firms tab"),INDEX(Firms!$B$5:$B$1004,$U700)&amp;"")</f>
        <v/>
      </c>
      <c r="C700" s="78">
        <f>IF($T700="","",IF($S700="S","Standard",INDEX('AFA Rates'!$B$5:$B$1004,$T700)&amp;""))</f>
        <v/>
      </c>
      <c r="D700" s="88">
        <f>IF($T700="","",IF($S700="S",IF(INDEX(Firms!$E$5:$E$1004,$T700)="","",INDEX(Firms!$E$5:$E$1004,$T700)),IF(INDEX('AFA Rates'!$C$5:$C$1004,$T700)="","",INDEX('AFA Rates'!$C$5:$C$1004,$T700))))</f>
        <v/>
      </c>
      <c r="E700" s="88">
        <f>IF($T700="","",IF($S700="S",IF(""="","",""),IF(INDEX('AFA Rates'!$D$5:$D$1004,$T700)="","",INDEX('AFA Rates'!$D$5:$D$1004,$T700))))</f>
        <v/>
      </c>
      <c r="F700" s="79">
        <f>IF($T700="","",IF($S700="S",IF(INDEX(Firms!$O$5:$O$1004,$T700)="","",INDEX(Firms!$O$5:$O$1004,$T700)),IF(INDEX('AFA Rates'!$O$5:$O$1004,$T700)="","",INDEX('AFA Rates'!$O$5:$O$1004,$T700))))</f>
        <v/>
      </c>
      <c r="G700" s="50">
        <f>IF($T700="","",IF($S700="S",IF(INDEX(Firms!$F$5:$F$1004,$T700)="","",INDEX(Firms!$F$5:$F$1004,$T700)),IF(INDEX('AFA Rates'!$E$5:$E$1004,$T700)="","",INDEX('AFA Rates'!$E$5:$E$1004,$T700))))</f>
        <v/>
      </c>
      <c r="H700" s="50">
        <f>IF($T700="","",IF($S700="S",IF(INDEX(Firms!$G$5:$G$1004,$T700)="","",INDEX(Firms!$G$5:$G$1004,$T700)),IF(INDEX('AFA Rates'!$F$5:$F$1004,$T700)="","",INDEX('AFA Rates'!$F$5:$F$1004,$T700))))</f>
        <v/>
      </c>
      <c r="I700" s="50">
        <f>IF($T700="","",IF($S700="S",IF(INDEX(Firms!$H$5:$H$1004,$T700)="","",INDEX(Firms!$H$5:$H$1004,$T700)),IF(INDEX('AFA Rates'!$G$5:$G$1004,$T700)="","",INDEX('AFA Rates'!$G$5:$G$1004,$T700))))</f>
        <v/>
      </c>
      <c r="J700" s="50">
        <f>IF($T700="","",IF($S700="S",IF(INDEX(Firms!$I$5:$I$1004,$T700)="","",INDEX(Firms!$I$5:$I$1004,$T700)),IF(INDEX('AFA Rates'!$H$5:$H$1004,$T700)="","",INDEX('AFA Rates'!$H$5:$H$1004,$T700))))</f>
        <v/>
      </c>
      <c r="K700" s="50">
        <f>IF($T700="","",IF($S700="S",IF(INDEX(Firms!$J$5:$J$1004,$T700)="","",INDEX(Firms!$J$5:$J$1004,$T700)),IF(INDEX('AFA Rates'!$I$5:$I$1004,$T700)="","",INDEX('AFA Rates'!$I$5:$I$1004,$T700))))</f>
        <v/>
      </c>
      <c r="L700" s="50">
        <f>IF($T700="","",IF($S700="S",IF(INDEX(Firms!$K$5:$K$1004,$T700)="","",INDEX(Firms!$K$5:$K$1004,$T700)),IF(INDEX('AFA Rates'!$J$5:$J$1004,$T700)="","",INDEX('AFA Rates'!$J$5:$J$1004,$T700))))</f>
        <v/>
      </c>
      <c r="M700" s="50">
        <f>IF($T700="","",IF($S700="S",IF(INDEX(Firms!$L$5:$L$1004,$T700)="","",INDEX(Firms!$L$5:$L$1004,$T700)),IF(INDEX('AFA Rates'!$K$5:$K$1004,$T700)="","",INDEX('AFA Rates'!$K$5:$K$1004,$T700))))</f>
        <v/>
      </c>
      <c r="N700" s="50">
        <f>IF($T700="","",IF($S700="S",IF(INDEX(Firms!$M$5:$M$1004,$T700)="","",INDEX(Firms!$M$5:$M$1004,$T700)),IF(INDEX('AFA Rates'!$L$5:$L$1004,$T700)="","",INDEX('AFA Rates'!$L$5:$L$1004,$T700))))</f>
        <v/>
      </c>
      <c r="O700" s="78">
        <f>IF(OR($T700="",$U700=""),"",IF(INDEX(Firms!$C$5:$C$1004,$U700)="","",INDEX(Firms!$C$5:$C$1004,$U700)))</f>
        <v/>
      </c>
      <c r="P700" s="79">
        <f>IF(OR($T700="",$U700=""),"",IF(INDEX(Firms!$N$5:$N$1004,$U700)="","",INDEX(Firms!$N$5:$N$1004,$U700)))</f>
        <v/>
      </c>
      <c r="Q700" s="78">
        <f>IF($T700="","",IF($S700="S",IF(INDEX(Firms!$T$5:$T$1004,$T700)="","",INDEX(Firms!$T$5:$T$1004,$T700)),IF(INDEX('AFA Rates'!$M$5:$M$1004,$T700)="","",INDEX('AFA Rates'!$M$5:$M$1004,$T700))))</f>
        <v/>
      </c>
      <c r="S700">
        <f>IF(696&lt;=$S$2,"S",IF(696&lt;=$S$2+$T$2,"A",""))</f>
        <v/>
      </c>
      <c r="T700">
        <f>IF(S700="S",MATCH(696,Firms!$W$5:$W$1004,0),IF(S700="A",IFERROR(MATCH(696-$S$2,'AFA Rates'!$R$5:$R$1004,0),""),""))</f>
        <v/>
      </c>
      <c r="U700">
        <f>IF(S700="S",T700,IF(AND(S700="A",T700&lt;&gt;""),IFERROR(MATCH(INDEX('AFA Rates'!$A$5:$A$1004,T700),Firms!$A$5:$A$1004,0),""),""))</f>
        <v/>
      </c>
    </row>
    <row r="701">
      <c r="A701" s="78">
        <f>IF($T701="","",IF($S701="S",IF(INDEX(Firms!$A$5:$A$1004,$T701)="","",INDEX(Firms!$A$5:$A$1004,$T701)),IF(INDEX('AFA Rates'!$A$5:$A$1004,$T701)="","",INDEX('AFA Rates'!$A$5:$A$1004,$T701))))</f>
        <v/>
      </c>
      <c r="B701" s="79">
        <f>IF(OR($T701="",$U701=""),IF($T701="","","Not on Firms tab"),INDEX(Firms!$B$5:$B$1004,$U701)&amp;"")</f>
        <v/>
      </c>
      <c r="C701" s="78">
        <f>IF($T701="","",IF($S701="S","Standard",INDEX('AFA Rates'!$B$5:$B$1004,$T701)&amp;""))</f>
        <v/>
      </c>
      <c r="D701" s="88">
        <f>IF($T701="","",IF($S701="S",IF(INDEX(Firms!$E$5:$E$1004,$T701)="","",INDEX(Firms!$E$5:$E$1004,$T701)),IF(INDEX('AFA Rates'!$C$5:$C$1004,$T701)="","",INDEX('AFA Rates'!$C$5:$C$1004,$T701))))</f>
        <v/>
      </c>
      <c r="E701" s="88">
        <f>IF($T701="","",IF($S701="S",IF(""="","",""),IF(INDEX('AFA Rates'!$D$5:$D$1004,$T701)="","",INDEX('AFA Rates'!$D$5:$D$1004,$T701))))</f>
        <v/>
      </c>
      <c r="F701" s="79">
        <f>IF($T701="","",IF($S701="S",IF(INDEX(Firms!$O$5:$O$1004,$T701)="","",INDEX(Firms!$O$5:$O$1004,$T701)),IF(INDEX('AFA Rates'!$O$5:$O$1004,$T701)="","",INDEX('AFA Rates'!$O$5:$O$1004,$T701))))</f>
        <v/>
      </c>
      <c r="G701" s="50">
        <f>IF($T701="","",IF($S701="S",IF(INDEX(Firms!$F$5:$F$1004,$T701)="","",INDEX(Firms!$F$5:$F$1004,$T701)),IF(INDEX('AFA Rates'!$E$5:$E$1004,$T701)="","",INDEX('AFA Rates'!$E$5:$E$1004,$T701))))</f>
        <v/>
      </c>
      <c r="H701" s="50">
        <f>IF($T701="","",IF($S701="S",IF(INDEX(Firms!$G$5:$G$1004,$T701)="","",INDEX(Firms!$G$5:$G$1004,$T701)),IF(INDEX('AFA Rates'!$F$5:$F$1004,$T701)="","",INDEX('AFA Rates'!$F$5:$F$1004,$T701))))</f>
        <v/>
      </c>
      <c r="I701" s="50">
        <f>IF($T701="","",IF($S701="S",IF(INDEX(Firms!$H$5:$H$1004,$T701)="","",INDEX(Firms!$H$5:$H$1004,$T701)),IF(INDEX('AFA Rates'!$G$5:$G$1004,$T701)="","",INDEX('AFA Rates'!$G$5:$G$1004,$T701))))</f>
        <v/>
      </c>
      <c r="J701" s="50">
        <f>IF($T701="","",IF($S701="S",IF(INDEX(Firms!$I$5:$I$1004,$T701)="","",INDEX(Firms!$I$5:$I$1004,$T701)),IF(INDEX('AFA Rates'!$H$5:$H$1004,$T701)="","",INDEX('AFA Rates'!$H$5:$H$1004,$T701))))</f>
        <v/>
      </c>
      <c r="K701" s="50">
        <f>IF($T701="","",IF($S701="S",IF(INDEX(Firms!$J$5:$J$1004,$T701)="","",INDEX(Firms!$J$5:$J$1004,$T701)),IF(INDEX('AFA Rates'!$I$5:$I$1004,$T701)="","",INDEX('AFA Rates'!$I$5:$I$1004,$T701))))</f>
        <v/>
      </c>
      <c r="L701" s="50">
        <f>IF($T701="","",IF($S701="S",IF(INDEX(Firms!$K$5:$K$1004,$T701)="","",INDEX(Firms!$K$5:$K$1004,$T701)),IF(INDEX('AFA Rates'!$J$5:$J$1004,$T701)="","",INDEX('AFA Rates'!$J$5:$J$1004,$T701))))</f>
        <v/>
      </c>
      <c r="M701" s="50">
        <f>IF($T701="","",IF($S701="S",IF(INDEX(Firms!$L$5:$L$1004,$T701)="","",INDEX(Firms!$L$5:$L$1004,$T701)),IF(INDEX('AFA Rates'!$K$5:$K$1004,$T701)="","",INDEX('AFA Rates'!$K$5:$K$1004,$T701))))</f>
        <v/>
      </c>
      <c r="N701" s="50">
        <f>IF($T701="","",IF($S701="S",IF(INDEX(Firms!$M$5:$M$1004,$T701)="","",INDEX(Firms!$M$5:$M$1004,$T701)),IF(INDEX('AFA Rates'!$L$5:$L$1004,$T701)="","",INDEX('AFA Rates'!$L$5:$L$1004,$T701))))</f>
        <v/>
      </c>
      <c r="O701" s="78">
        <f>IF(OR($T701="",$U701=""),"",IF(INDEX(Firms!$C$5:$C$1004,$U701)="","",INDEX(Firms!$C$5:$C$1004,$U701)))</f>
        <v/>
      </c>
      <c r="P701" s="79">
        <f>IF(OR($T701="",$U701=""),"",IF(INDEX(Firms!$N$5:$N$1004,$U701)="","",INDEX(Firms!$N$5:$N$1004,$U701)))</f>
        <v/>
      </c>
      <c r="Q701" s="78">
        <f>IF($T701="","",IF($S701="S",IF(INDEX(Firms!$T$5:$T$1004,$T701)="","",INDEX(Firms!$T$5:$T$1004,$T701)),IF(INDEX('AFA Rates'!$M$5:$M$1004,$T701)="","",INDEX('AFA Rates'!$M$5:$M$1004,$T701))))</f>
        <v/>
      </c>
      <c r="S701">
        <f>IF(697&lt;=$S$2,"S",IF(697&lt;=$S$2+$T$2,"A",""))</f>
        <v/>
      </c>
      <c r="T701">
        <f>IF(S701="S",MATCH(697,Firms!$W$5:$W$1004,0),IF(S701="A",IFERROR(MATCH(697-$S$2,'AFA Rates'!$R$5:$R$1004,0),""),""))</f>
        <v/>
      </c>
      <c r="U701">
        <f>IF(S701="S",T701,IF(AND(S701="A",T701&lt;&gt;""),IFERROR(MATCH(INDEX('AFA Rates'!$A$5:$A$1004,T701),Firms!$A$5:$A$1004,0),""),""))</f>
        <v/>
      </c>
    </row>
    <row r="702">
      <c r="A702" s="78">
        <f>IF($T702="","",IF($S702="S",IF(INDEX(Firms!$A$5:$A$1004,$T702)="","",INDEX(Firms!$A$5:$A$1004,$T702)),IF(INDEX('AFA Rates'!$A$5:$A$1004,$T702)="","",INDEX('AFA Rates'!$A$5:$A$1004,$T702))))</f>
        <v/>
      </c>
      <c r="B702" s="79">
        <f>IF(OR($T702="",$U702=""),IF($T702="","","Not on Firms tab"),INDEX(Firms!$B$5:$B$1004,$U702)&amp;"")</f>
        <v/>
      </c>
      <c r="C702" s="78">
        <f>IF($T702="","",IF($S702="S","Standard",INDEX('AFA Rates'!$B$5:$B$1004,$T702)&amp;""))</f>
        <v/>
      </c>
      <c r="D702" s="88">
        <f>IF($T702="","",IF($S702="S",IF(INDEX(Firms!$E$5:$E$1004,$T702)="","",INDEX(Firms!$E$5:$E$1004,$T702)),IF(INDEX('AFA Rates'!$C$5:$C$1004,$T702)="","",INDEX('AFA Rates'!$C$5:$C$1004,$T702))))</f>
        <v/>
      </c>
      <c r="E702" s="88">
        <f>IF($T702="","",IF($S702="S",IF(""="","",""),IF(INDEX('AFA Rates'!$D$5:$D$1004,$T702)="","",INDEX('AFA Rates'!$D$5:$D$1004,$T702))))</f>
        <v/>
      </c>
      <c r="F702" s="79">
        <f>IF($T702="","",IF($S702="S",IF(INDEX(Firms!$O$5:$O$1004,$T702)="","",INDEX(Firms!$O$5:$O$1004,$T702)),IF(INDEX('AFA Rates'!$O$5:$O$1004,$T702)="","",INDEX('AFA Rates'!$O$5:$O$1004,$T702))))</f>
        <v/>
      </c>
      <c r="G702" s="50">
        <f>IF($T702="","",IF($S702="S",IF(INDEX(Firms!$F$5:$F$1004,$T702)="","",INDEX(Firms!$F$5:$F$1004,$T702)),IF(INDEX('AFA Rates'!$E$5:$E$1004,$T702)="","",INDEX('AFA Rates'!$E$5:$E$1004,$T702))))</f>
        <v/>
      </c>
      <c r="H702" s="50">
        <f>IF($T702="","",IF($S702="S",IF(INDEX(Firms!$G$5:$G$1004,$T702)="","",INDEX(Firms!$G$5:$G$1004,$T702)),IF(INDEX('AFA Rates'!$F$5:$F$1004,$T702)="","",INDEX('AFA Rates'!$F$5:$F$1004,$T702))))</f>
        <v/>
      </c>
      <c r="I702" s="50">
        <f>IF($T702="","",IF($S702="S",IF(INDEX(Firms!$H$5:$H$1004,$T702)="","",INDEX(Firms!$H$5:$H$1004,$T702)),IF(INDEX('AFA Rates'!$G$5:$G$1004,$T702)="","",INDEX('AFA Rates'!$G$5:$G$1004,$T702))))</f>
        <v/>
      </c>
      <c r="J702" s="50">
        <f>IF($T702="","",IF($S702="S",IF(INDEX(Firms!$I$5:$I$1004,$T702)="","",INDEX(Firms!$I$5:$I$1004,$T702)),IF(INDEX('AFA Rates'!$H$5:$H$1004,$T702)="","",INDEX('AFA Rates'!$H$5:$H$1004,$T702))))</f>
        <v/>
      </c>
      <c r="K702" s="50">
        <f>IF($T702="","",IF($S702="S",IF(INDEX(Firms!$J$5:$J$1004,$T702)="","",INDEX(Firms!$J$5:$J$1004,$T702)),IF(INDEX('AFA Rates'!$I$5:$I$1004,$T702)="","",INDEX('AFA Rates'!$I$5:$I$1004,$T702))))</f>
        <v/>
      </c>
      <c r="L702" s="50">
        <f>IF($T702="","",IF($S702="S",IF(INDEX(Firms!$K$5:$K$1004,$T702)="","",INDEX(Firms!$K$5:$K$1004,$T702)),IF(INDEX('AFA Rates'!$J$5:$J$1004,$T702)="","",INDEX('AFA Rates'!$J$5:$J$1004,$T702))))</f>
        <v/>
      </c>
      <c r="M702" s="50">
        <f>IF($T702="","",IF($S702="S",IF(INDEX(Firms!$L$5:$L$1004,$T702)="","",INDEX(Firms!$L$5:$L$1004,$T702)),IF(INDEX('AFA Rates'!$K$5:$K$1004,$T702)="","",INDEX('AFA Rates'!$K$5:$K$1004,$T702))))</f>
        <v/>
      </c>
      <c r="N702" s="50">
        <f>IF($T702="","",IF($S702="S",IF(INDEX(Firms!$M$5:$M$1004,$T702)="","",INDEX(Firms!$M$5:$M$1004,$T702)),IF(INDEX('AFA Rates'!$L$5:$L$1004,$T702)="","",INDEX('AFA Rates'!$L$5:$L$1004,$T702))))</f>
        <v/>
      </c>
      <c r="O702" s="78">
        <f>IF(OR($T702="",$U702=""),"",IF(INDEX(Firms!$C$5:$C$1004,$U702)="","",INDEX(Firms!$C$5:$C$1004,$U702)))</f>
        <v/>
      </c>
      <c r="P702" s="79">
        <f>IF(OR($T702="",$U702=""),"",IF(INDEX(Firms!$N$5:$N$1004,$U702)="","",INDEX(Firms!$N$5:$N$1004,$U702)))</f>
        <v/>
      </c>
      <c r="Q702" s="78">
        <f>IF($T702="","",IF($S702="S",IF(INDEX(Firms!$T$5:$T$1004,$T702)="","",INDEX(Firms!$T$5:$T$1004,$T702)),IF(INDEX('AFA Rates'!$M$5:$M$1004,$T702)="","",INDEX('AFA Rates'!$M$5:$M$1004,$T702))))</f>
        <v/>
      </c>
      <c r="S702">
        <f>IF(698&lt;=$S$2,"S",IF(698&lt;=$S$2+$T$2,"A",""))</f>
        <v/>
      </c>
      <c r="T702">
        <f>IF(S702="S",MATCH(698,Firms!$W$5:$W$1004,0),IF(S702="A",IFERROR(MATCH(698-$S$2,'AFA Rates'!$R$5:$R$1004,0),""),""))</f>
        <v/>
      </c>
      <c r="U702">
        <f>IF(S702="S",T702,IF(AND(S702="A",T702&lt;&gt;""),IFERROR(MATCH(INDEX('AFA Rates'!$A$5:$A$1004,T702),Firms!$A$5:$A$1004,0),""),""))</f>
        <v/>
      </c>
    </row>
    <row r="703">
      <c r="A703" s="78">
        <f>IF($T703="","",IF($S703="S",IF(INDEX(Firms!$A$5:$A$1004,$T703)="","",INDEX(Firms!$A$5:$A$1004,$T703)),IF(INDEX('AFA Rates'!$A$5:$A$1004,$T703)="","",INDEX('AFA Rates'!$A$5:$A$1004,$T703))))</f>
        <v/>
      </c>
      <c r="B703" s="79">
        <f>IF(OR($T703="",$U703=""),IF($T703="","","Not on Firms tab"),INDEX(Firms!$B$5:$B$1004,$U703)&amp;"")</f>
        <v/>
      </c>
      <c r="C703" s="78">
        <f>IF($T703="","",IF($S703="S","Standard",INDEX('AFA Rates'!$B$5:$B$1004,$T703)&amp;""))</f>
        <v/>
      </c>
      <c r="D703" s="88">
        <f>IF($T703="","",IF($S703="S",IF(INDEX(Firms!$E$5:$E$1004,$T703)="","",INDEX(Firms!$E$5:$E$1004,$T703)),IF(INDEX('AFA Rates'!$C$5:$C$1004,$T703)="","",INDEX('AFA Rates'!$C$5:$C$1004,$T703))))</f>
        <v/>
      </c>
      <c r="E703" s="88">
        <f>IF($T703="","",IF($S703="S",IF(""="","",""),IF(INDEX('AFA Rates'!$D$5:$D$1004,$T703)="","",INDEX('AFA Rates'!$D$5:$D$1004,$T703))))</f>
        <v/>
      </c>
      <c r="F703" s="79">
        <f>IF($T703="","",IF($S703="S",IF(INDEX(Firms!$O$5:$O$1004,$T703)="","",INDEX(Firms!$O$5:$O$1004,$T703)),IF(INDEX('AFA Rates'!$O$5:$O$1004,$T703)="","",INDEX('AFA Rates'!$O$5:$O$1004,$T703))))</f>
        <v/>
      </c>
      <c r="G703" s="50">
        <f>IF($T703="","",IF($S703="S",IF(INDEX(Firms!$F$5:$F$1004,$T703)="","",INDEX(Firms!$F$5:$F$1004,$T703)),IF(INDEX('AFA Rates'!$E$5:$E$1004,$T703)="","",INDEX('AFA Rates'!$E$5:$E$1004,$T703))))</f>
        <v/>
      </c>
      <c r="H703" s="50">
        <f>IF($T703="","",IF($S703="S",IF(INDEX(Firms!$G$5:$G$1004,$T703)="","",INDEX(Firms!$G$5:$G$1004,$T703)),IF(INDEX('AFA Rates'!$F$5:$F$1004,$T703)="","",INDEX('AFA Rates'!$F$5:$F$1004,$T703))))</f>
        <v/>
      </c>
      <c r="I703" s="50">
        <f>IF($T703="","",IF($S703="S",IF(INDEX(Firms!$H$5:$H$1004,$T703)="","",INDEX(Firms!$H$5:$H$1004,$T703)),IF(INDEX('AFA Rates'!$G$5:$G$1004,$T703)="","",INDEX('AFA Rates'!$G$5:$G$1004,$T703))))</f>
        <v/>
      </c>
      <c r="J703" s="50">
        <f>IF($T703="","",IF($S703="S",IF(INDEX(Firms!$I$5:$I$1004,$T703)="","",INDEX(Firms!$I$5:$I$1004,$T703)),IF(INDEX('AFA Rates'!$H$5:$H$1004,$T703)="","",INDEX('AFA Rates'!$H$5:$H$1004,$T703))))</f>
        <v/>
      </c>
      <c r="K703" s="50">
        <f>IF($T703="","",IF($S703="S",IF(INDEX(Firms!$J$5:$J$1004,$T703)="","",INDEX(Firms!$J$5:$J$1004,$T703)),IF(INDEX('AFA Rates'!$I$5:$I$1004,$T703)="","",INDEX('AFA Rates'!$I$5:$I$1004,$T703))))</f>
        <v/>
      </c>
      <c r="L703" s="50">
        <f>IF($T703="","",IF($S703="S",IF(INDEX(Firms!$K$5:$K$1004,$T703)="","",INDEX(Firms!$K$5:$K$1004,$T703)),IF(INDEX('AFA Rates'!$J$5:$J$1004,$T703)="","",INDEX('AFA Rates'!$J$5:$J$1004,$T703))))</f>
        <v/>
      </c>
      <c r="M703" s="50">
        <f>IF($T703="","",IF($S703="S",IF(INDEX(Firms!$L$5:$L$1004,$T703)="","",INDEX(Firms!$L$5:$L$1004,$T703)),IF(INDEX('AFA Rates'!$K$5:$K$1004,$T703)="","",INDEX('AFA Rates'!$K$5:$K$1004,$T703))))</f>
        <v/>
      </c>
      <c r="N703" s="50">
        <f>IF($T703="","",IF($S703="S",IF(INDEX(Firms!$M$5:$M$1004,$T703)="","",INDEX(Firms!$M$5:$M$1004,$T703)),IF(INDEX('AFA Rates'!$L$5:$L$1004,$T703)="","",INDEX('AFA Rates'!$L$5:$L$1004,$T703))))</f>
        <v/>
      </c>
      <c r="O703" s="78">
        <f>IF(OR($T703="",$U703=""),"",IF(INDEX(Firms!$C$5:$C$1004,$U703)="","",INDEX(Firms!$C$5:$C$1004,$U703)))</f>
        <v/>
      </c>
      <c r="P703" s="79">
        <f>IF(OR($T703="",$U703=""),"",IF(INDEX(Firms!$N$5:$N$1004,$U703)="","",INDEX(Firms!$N$5:$N$1004,$U703)))</f>
        <v/>
      </c>
      <c r="Q703" s="78">
        <f>IF($T703="","",IF($S703="S",IF(INDEX(Firms!$T$5:$T$1004,$T703)="","",INDEX(Firms!$T$5:$T$1004,$T703)),IF(INDEX('AFA Rates'!$M$5:$M$1004,$T703)="","",INDEX('AFA Rates'!$M$5:$M$1004,$T703))))</f>
        <v/>
      </c>
      <c r="S703">
        <f>IF(699&lt;=$S$2,"S",IF(699&lt;=$S$2+$T$2,"A",""))</f>
        <v/>
      </c>
      <c r="T703">
        <f>IF(S703="S",MATCH(699,Firms!$W$5:$W$1004,0),IF(S703="A",IFERROR(MATCH(699-$S$2,'AFA Rates'!$R$5:$R$1004,0),""),""))</f>
        <v/>
      </c>
      <c r="U703">
        <f>IF(S703="S",T703,IF(AND(S703="A",T703&lt;&gt;""),IFERROR(MATCH(INDEX('AFA Rates'!$A$5:$A$1004,T703),Firms!$A$5:$A$1004,0),""),""))</f>
        <v/>
      </c>
    </row>
    <row r="704">
      <c r="A704" s="78">
        <f>IF($T704="","",IF($S704="S",IF(INDEX(Firms!$A$5:$A$1004,$T704)="","",INDEX(Firms!$A$5:$A$1004,$T704)),IF(INDEX('AFA Rates'!$A$5:$A$1004,$T704)="","",INDEX('AFA Rates'!$A$5:$A$1004,$T704))))</f>
        <v/>
      </c>
      <c r="B704" s="79">
        <f>IF(OR($T704="",$U704=""),IF($T704="","","Not on Firms tab"),INDEX(Firms!$B$5:$B$1004,$U704)&amp;"")</f>
        <v/>
      </c>
      <c r="C704" s="78">
        <f>IF($T704="","",IF($S704="S","Standard",INDEX('AFA Rates'!$B$5:$B$1004,$T704)&amp;""))</f>
        <v/>
      </c>
      <c r="D704" s="88">
        <f>IF($T704="","",IF($S704="S",IF(INDEX(Firms!$E$5:$E$1004,$T704)="","",INDEX(Firms!$E$5:$E$1004,$T704)),IF(INDEX('AFA Rates'!$C$5:$C$1004,$T704)="","",INDEX('AFA Rates'!$C$5:$C$1004,$T704))))</f>
        <v/>
      </c>
      <c r="E704" s="88">
        <f>IF($T704="","",IF($S704="S",IF(""="","",""),IF(INDEX('AFA Rates'!$D$5:$D$1004,$T704)="","",INDEX('AFA Rates'!$D$5:$D$1004,$T704))))</f>
        <v/>
      </c>
      <c r="F704" s="79">
        <f>IF($T704="","",IF($S704="S",IF(INDEX(Firms!$O$5:$O$1004,$T704)="","",INDEX(Firms!$O$5:$O$1004,$T704)),IF(INDEX('AFA Rates'!$O$5:$O$1004,$T704)="","",INDEX('AFA Rates'!$O$5:$O$1004,$T704))))</f>
        <v/>
      </c>
      <c r="G704" s="50">
        <f>IF($T704="","",IF($S704="S",IF(INDEX(Firms!$F$5:$F$1004,$T704)="","",INDEX(Firms!$F$5:$F$1004,$T704)),IF(INDEX('AFA Rates'!$E$5:$E$1004,$T704)="","",INDEX('AFA Rates'!$E$5:$E$1004,$T704))))</f>
        <v/>
      </c>
      <c r="H704" s="50">
        <f>IF($T704="","",IF($S704="S",IF(INDEX(Firms!$G$5:$G$1004,$T704)="","",INDEX(Firms!$G$5:$G$1004,$T704)),IF(INDEX('AFA Rates'!$F$5:$F$1004,$T704)="","",INDEX('AFA Rates'!$F$5:$F$1004,$T704))))</f>
        <v/>
      </c>
      <c r="I704" s="50">
        <f>IF($T704="","",IF($S704="S",IF(INDEX(Firms!$H$5:$H$1004,$T704)="","",INDEX(Firms!$H$5:$H$1004,$T704)),IF(INDEX('AFA Rates'!$G$5:$G$1004,$T704)="","",INDEX('AFA Rates'!$G$5:$G$1004,$T704))))</f>
        <v/>
      </c>
      <c r="J704" s="50">
        <f>IF($T704="","",IF($S704="S",IF(INDEX(Firms!$I$5:$I$1004,$T704)="","",INDEX(Firms!$I$5:$I$1004,$T704)),IF(INDEX('AFA Rates'!$H$5:$H$1004,$T704)="","",INDEX('AFA Rates'!$H$5:$H$1004,$T704))))</f>
        <v/>
      </c>
      <c r="K704" s="50">
        <f>IF($T704="","",IF($S704="S",IF(INDEX(Firms!$J$5:$J$1004,$T704)="","",INDEX(Firms!$J$5:$J$1004,$T704)),IF(INDEX('AFA Rates'!$I$5:$I$1004,$T704)="","",INDEX('AFA Rates'!$I$5:$I$1004,$T704))))</f>
        <v/>
      </c>
      <c r="L704" s="50">
        <f>IF($T704="","",IF($S704="S",IF(INDEX(Firms!$K$5:$K$1004,$T704)="","",INDEX(Firms!$K$5:$K$1004,$T704)),IF(INDEX('AFA Rates'!$J$5:$J$1004,$T704)="","",INDEX('AFA Rates'!$J$5:$J$1004,$T704))))</f>
        <v/>
      </c>
      <c r="M704" s="50">
        <f>IF($T704="","",IF($S704="S",IF(INDEX(Firms!$L$5:$L$1004,$T704)="","",INDEX(Firms!$L$5:$L$1004,$T704)),IF(INDEX('AFA Rates'!$K$5:$K$1004,$T704)="","",INDEX('AFA Rates'!$K$5:$K$1004,$T704))))</f>
        <v/>
      </c>
      <c r="N704" s="50">
        <f>IF($T704="","",IF($S704="S",IF(INDEX(Firms!$M$5:$M$1004,$T704)="","",INDEX(Firms!$M$5:$M$1004,$T704)),IF(INDEX('AFA Rates'!$L$5:$L$1004,$T704)="","",INDEX('AFA Rates'!$L$5:$L$1004,$T704))))</f>
        <v/>
      </c>
      <c r="O704" s="78">
        <f>IF(OR($T704="",$U704=""),"",IF(INDEX(Firms!$C$5:$C$1004,$U704)="","",INDEX(Firms!$C$5:$C$1004,$U704)))</f>
        <v/>
      </c>
      <c r="P704" s="79">
        <f>IF(OR($T704="",$U704=""),"",IF(INDEX(Firms!$N$5:$N$1004,$U704)="","",INDEX(Firms!$N$5:$N$1004,$U704)))</f>
        <v/>
      </c>
      <c r="Q704" s="78">
        <f>IF($T704="","",IF($S704="S",IF(INDEX(Firms!$T$5:$T$1004,$T704)="","",INDEX(Firms!$T$5:$T$1004,$T704)),IF(INDEX('AFA Rates'!$M$5:$M$1004,$T704)="","",INDEX('AFA Rates'!$M$5:$M$1004,$T704))))</f>
        <v/>
      </c>
      <c r="S704">
        <f>IF(700&lt;=$S$2,"S",IF(700&lt;=$S$2+$T$2,"A",""))</f>
        <v/>
      </c>
      <c r="T704">
        <f>IF(S704="S",MATCH(700,Firms!$W$5:$W$1004,0),IF(S704="A",IFERROR(MATCH(700-$S$2,'AFA Rates'!$R$5:$R$1004,0),""),""))</f>
        <v/>
      </c>
      <c r="U704">
        <f>IF(S704="S",T704,IF(AND(S704="A",T704&lt;&gt;""),IFERROR(MATCH(INDEX('AFA Rates'!$A$5:$A$1004,T704),Firms!$A$5:$A$1004,0),""),""))</f>
        <v/>
      </c>
    </row>
    <row r="705">
      <c r="A705" s="78">
        <f>IF($T705="","",IF($S705="S",IF(INDEX(Firms!$A$5:$A$1004,$T705)="","",INDEX(Firms!$A$5:$A$1004,$T705)),IF(INDEX('AFA Rates'!$A$5:$A$1004,$T705)="","",INDEX('AFA Rates'!$A$5:$A$1004,$T705))))</f>
        <v/>
      </c>
      <c r="B705" s="79">
        <f>IF(OR($T705="",$U705=""),IF($T705="","","Not on Firms tab"),INDEX(Firms!$B$5:$B$1004,$U705)&amp;"")</f>
        <v/>
      </c>
      <c r="C705" s="78">
        <f>IF($T705="","",IF($S705="S","Standard",INDEX('AFA Rates'!$B$5:$B$1004,$T705)&amp;""))</f>
        <v/>
      </c>
      <c r="D705" s="88">
        <f>IF($T705="","",IF($S705="S",IF(INDEX(Firms!$E$5:$E$1004,$T705)="","",INDEX(Firms!$E$5:$E$1004,$T705)),IF(INDEX('AFA Rates'!$C$5:$C$1004,$T705)="","",INDEX('AFA Rates'!$C$5:$C$1004,$T705))))</f>
        <v/>
      </c>
      <c r="E705" s="88">
        <f>IF($T705="","",IF($S705="S",IF(""="","",""),IF(INDEX('AFA Rates'!$D$5:$D$1004,$T705)="","",INDEX('AFA Rates'!$D$5:$D$1004,$T705))))</f>
        <v/>
      </c>
      <c r="F705" s="79">
        <f>IF($T705="","",IF($S705="S",IF(INDEX(Firms!$O$5:$O$1004,$T705)="","",INDEX(Firms!$O$5:$O$1004,$T705)),IF(INDEX('AFA Rates'!$O$5:$O$1004,$T705)="","",INDEX('AFA Rates'!$O$5:$O$1004,$T705))))</f>
        <v/>
      </c>
      <c r="G705" s="50">
        <f>IF($T705="","",IF($S705="S",IF(INDEX(Firms!$F$5:$F$1004,$T705)="","",INDEX(Firms!$F$5:$F$1004,$T705)),IF(INDEX('AFA Rates'!$E$5:$E$1004,$T705)="","",INDEX('AFA Rates'!$E$5:$E$1004,$T705))))</f>
        <v/>
      </c>
      <c r="H705" s="50">
        <f>IF($T705="","",IF($S705="S",IF(INDEX(Firms!$G$5:$G$1004,$T705)="","",INDEX(Firms!$G$5:$G$1004,$T705)),IF(INDEX('AFA Rates'!$F$5:$F$1004,$T705)="","",INDEX('AFA Rates'!$F$5:$F$1004,$T705))))</f>
        <v/>
      </c>
      <c r="I705" s="50">
        <f>IF($T705="","",IF($S705="S",IF(INDEX(Firms!$H$5:$H$1004,$T705)="","",INDEX(Firms!$H$5:$H$1004,$T705)),IF(INDEX('AFA Rates'!$G$5:$G$1004,$T705)="","",INDEX('AFA Rates'!$G$5:$G$1004,$T705))))</f>
        <v/>
      </c>
      <c r="J705" s="50">
        <f>IF($T705="","",IF($S705="S",IF(INDEX(Firms!$I$5:$I$1004,$T705)="","",INDEX(Firms!$I$5:$I$1004,$T705)),IF(INDEX('AFA Rates'!$H$5:$H$1004,$T705)="","",INDEX('AFA Rates'!$H$5:$H$1004,$T705))))</f>
        <v/>
      </c>
      <c r="K705" s="50">
        <f>IF($T705="","",IF($S705="S",IF(INDEX(Firms!$J$5:$J$1004,$T705)="","",INDEX(Firms!$J$5:$J$1004,$T705)),IF(INDEX('AFA Rates'!$I$5:$I$1004,$T705)="","",INDEX('AFA Rates'!$I$5:$I$1004,$T705))))</f>
        <v/>
      </c>
      <c r="L705" s="50">
        <f>IF($T705="","",IF($S705="S",IF(INDEX(Firms!$K$5:$K$1004,$T705)="","",INDEX(Firms!$K$5:$K$1004,$T705)),IF(INDEX('AFA Rates'!$J$5:$J$1004,$T705)="","",INDEX('AFA Rates'!$J$5:$J$1004,$T705))))</f>
        <v/>
      </c>
      <c r="M705" s="50">
        <f>IF($T705="","",IF($S705="S",IF(INDEX(Firms!$L$5:$L$1004,$T705)="","",INDEX(Firms!$L$5:$L$1004,$T705)),IF(INDEX('AFA Rates'!$K$5:$K$1004,$T705)="","",INDEX('AFA Rates'!$K$5:$K$1004,$T705))))</f>
        <v/>
      </c>
      <c r="N705" s="50">
        <f>IF($T705="","",IF($S705="S",IF(INDEX(Firms!$M$5:$M$1004,$T705)="","",INDEX(Firms!$M$5:$M$1004,$T705)),IF(INDEX('AFA Rates'!$L$5:$L$1004,$T705)="","",INDEX('AFA Rates'!$L$5:$L$1004,$T705))))</f>
        <v/>
      </c>
      <c r="O705" s="78">
        <f>IF(OR($T705="",$U705=""),"",IF(INDEX(Firms!$C$5:$C$1004,$U705)="","",INDEX(Firms!$C$5:$C$1004,$U705)))</f>
        <v/>
      </c>
      <c r="P705" s="79">
        <f>IF(OR($T705="",$U705=""),"",IF(INDEX(Firms!$N$5:$N$1004,$U705)="","",INDEX(Firms!$N$5:$N$1004,$U705)))</f>
        <v/>
      </c>
      <c r="Q705" s="78">
        <f>IF($T705="","",IF($S705="S",IF(INDEX(Firms!$T$5:$T$1004,$T705)="","",INDEX(Firms!$T$5:$T$1004,$T705)),IF(INDEX('AFA Rates'!$M$5:$M$1004,$T705)="","",INDEX('AFA Rates'!$M$5:$M$1004,$T705))))</f>
        <v/>
      </c>
      <c r="S705">
        <f>IF(701&lt;=$S$2,"S",IF(701&lt;=$S$2+$T$2,"A",""))</f>
        <v/>
      </c>
      <c r="T705">
        <f>IF(S705="S",MATCH(701,Firms!$W$5:$W$1004,0),IF(S705="A",IFERROR(MATCH(701-$S$2,'AFA Rates'!$R$5:$R$1004,0),""),""))</f>
        <v/>
      </c>
      <c r="U705">
        <f>IF(S705="S",T705,IF(AND(S705="A",T705&lt;&gt;""),IFERROR(MATCH(INDEX('AFA Rates'!$A$5:$A$1004,T705),Firms!$A$5:$A$1004,0),""),""))</f>
        <v/>
      </c>
    </row>
    <row r="706">
      <c r="A706" s="78">
        <f>IF($T706="","",IF($S706="S",IF(INDEX(Firms!$A$5:$A$1004,$T706)="","",INDEX(Firms!$A$5:$A$1004,$T706)),IF(INDEX('AFA Rates'!$A$5:$A$1004,$T706)="","",INDEX('AFA Rates'!$A$5:$A$1004,$T706))))</f>
        <v/>
      </c>
      <c r="B706" s="79">
        <f>IF(OR($T706="",$U706=""),IF($T706="","","Not on Firms tab"),INDEX(Firms!$B$5:$B$1004,$U706)&amp;"")</f>
        <v/>
      </c>
      <c r="C706" s="78">
        <f>IF($T706="","",IF($S706="S","Standard",INDEX('AFA Rates'!$B$5:$B$1004,$T706)&amp;""))</f>
        <v/>
      </c>
      <c r="D706" s="88">
        <f>IF($T706="","",IF($S706="S",IF(INDEX(Firms!$E$5:$E$1004,$T706)="","",INDEX(Firms!$E$5:$E$1004,$T706)),IF(INDEX('AFA Rates'!$C$5:$C$1004,$T706)="","",INDEX('AFA Rates'!$C$5:$C$1004,$T706))))</f>
        <v/>
      </c>
      <c r="E706" s="88">
        <f>IF($T706="","",IF($S706="S",IF(""="","",""),IF(INDEX('AFA Rates'!$D$5:$D$1004,$T706)="","",INDEX('AFA Rates'!$D$5:$D$1004,$T706))))</f>
        <v/>
      </c>
      <c r="F706" s="79">
        <f>IF($T706="","",IF($S706="S",IF(INDEX(Firms!$O$5:$O$1004,$T706)="","",INDEX(Firms!$O$5:$O$1004,$T706)),IF(INDEX('AFA Rates'!$O$5:$O$1004,$T706)="","",INDEX('AFA Rates'!$O$5:$O$1004,$T706))))</f>
        <v/>
      </c>
      <c r="G706" s="50">
        <f>IF($T706="","",IF($S706="S",IF(INDEX(Firms!$F$5:$F$1004,$T706)="","",INDEX(Firms!$F$5:$F$1004,$T706)),IF(INDEX('AFA Rates'!$E$5:$E$1004,$T706)="","",INDEX('AFA Rates'!$E$5:$E$1004,$T706))))</f>
        <v/>
      </c>
      <c r="H706" s="50">
        <f>IF($T706="","",IF($S706="S",IF(INDEX(Firms!$G$5:$G$1004,$T706)="","",INDEX(Firms!$G$5:$G$1004,$T706)),IF(INDEX('AFA Rates'!$F$5:$F$1004,$T706)="","",INDEX('AFA Rates'!$F$5:$F$1004,$T706))))</f>
        <v/>
      </c>
      <c r="I706" s="50">
        <f>IF($T706="","",IF($S706="S",IF(INDEX(Firms!$H$5:$H$1004,$T706)="","",INDEX(Firms!$H$5:$H$1004,$T706)),IF(INDEX('AFA Rates'!$G$5:$G$1004,$T706)="","",INDEX('AFA Rates'!$G$5:$G$1004,$T706))))</f>
        <v/>
      </c>
      <c r="J706" s="50">
        <f>IF($T706="","",IF($S706="S",IF(INDEX(Firms!$I$5:$I$1004,$T706)="","",INDEX(Firms!$I$5:$I$1004,$T706)),IF(INDEX('AFA Rates'!$H$5:$H$1004,$T706)="","",INDEX('AFA Rates'!$H$5:$H$1004,$T706))))</f>
        <v/>
      </c>
      <c r="K706" s="50">
        <f>IF($T706="","",IF($S706="S",IF(INDEX(Firms!$J$5:$J$1004,$T706)="","",INDEX(Firms!$J$5:$J$1004,$T706)),IF(INDEX('AFA Rates'!$I$5:$I$1004,$T706)="","",INDEX('AFA Rates'!$I$5:$I$1004,$T706))))</f>
        <v/>
      </c>
      <c r="L706" s="50">
        <f>IF($T706="","",IF($S706="S",IF(INDEX(Firms!$K$5:$K$1004,$T706)="","",INDEX(Firms!$K$5:$K$1004,$T706)),IF(INDEX('AFA Rates'!$J$5:$J$1004,$T706)="","",INDEX('AFA Rates'!$J$5:$J$1004,$T706))))</f>
        <v/>
      </c>
      <c r="M706" s="50">
        <f>IF($T706="","",IF($S706="S",IF(INDEX(Firms!$L$5:$L$1004,$T706)="","",INDEX(Firms!$L$5:$L$1004,$T706)),IF(INDEX('AFA Rates'!$K$5:$K$1004,$T706)="","",INDEX('AFA Rates'!$K$5:$K$1004,$T706))))</f>
        <v/>
      </c>
      <c r="N706" s="50">
        <f>IF($T706="","",IF($S706="S",IF(INDEX(Firms!$M$5:$M$1004,$T706)="","",INDEX(Firms!$M$5:$M$1004,$T706)),IF(INDEX('AFA Rates'!$L$5:$L$1004,$T706)="","",INDEX('AFA Rates'!$L$5:$L$1004,$T706))))</f>
        <v/>
      </c>
      <c r="O706" s="78">
        <f>IF(OR($T706="",$U706=""),"",IF(INDEX(Firms!$C$5:$C$1004,$U706)="","",INDEX(Firms!$C$5:$C$1004,$U706)))</f>
        <v/>
      </c>
      <c r="P706" s="79">
        <f>IF(OR($T706="",$U706=""),"",IF(INDEX(Firms!$N$5:$N$1004,$U706)="","",INDEX(Firms!$N$5:$N$1004,$U706)))</f>
        <v/>
      </c>
      <c r="Q706" s="78">
        <f>IF($T706="","",IF($S706="S",IF(INDEX(Firms!$T$5:$T$1004,$T706)="","",INDEX(Firms!$T$5:$T$1004,$T706)),IF(INDEX('AFA Rates'!$M$5:$M$1004,$T706)="","",INDEX('AFA Rates'!$M$5:$M$1004,$T706))))</f>
        <v/>
      </c>
      <c r="S706">
        <f>IF(702&lt;=$S$2,"S",IF(702&lt;=$S$2+$T$2,"A",""))</f>
        <v/>
      </c>
      <c r="T706">
        <f>IF(S706="S",MATCH(702,Firms!$W$5:$W$1004,0),IF(S706="A",IFERROR(MATCH(702-$S$2,'AFA Rates'!$R$5:$R$1004,0),""),""))</f>
        <v/>
      </c>
      <c r="U706">
        <f>IF(S706="S",T706,IF(AND(S706="A",T706&lt;&gt;""),IFERROR(MATCH(INDEX('AFA Rates'!$A$5:$A$1004,T706),Firms!$A$5:$A$1004,0),""),""))</f>
        <v/>
      </c>
    </row>
    <row r="707">
      <c r="A707" s="78">
        <f>IF($T707="","",IF($S707="S",IF(INDEX(Firms!$A$5:$A$1004,$T707)="","",INDEX(Firms!$A$5:$A$1004,$T707)),IF(INDEX('AFA Rates'!$A$5:$A$1004,$T707)="","",INDEX('AFA Rates'!$A$5:$A$1004,$T707))))</f>
        <v/>
      </c>
      <c r="B707" s="79">
        <f>IF(OR($T707="",$U707=""),IF($T707="","","Not on Firms tab"),INDEX(Firms!$B$5:$B$1004,$U707)&amp;"")</f>
        <v/>
      </c>
      <c r="C707" s="78">
        <f>IF($T707="","",IF($S707="S","Standard",INDEX('AFA Rates'!$B$5:$B$1004,$T707)&amp;""))</f>
        <v/>
      </c>
      <c r="D707" s="88">
        <f>IF($T707="","",IF($S707="S",IF(INDEX(Firms!$E$5:$E$1004,$T707)="","",INDEX(Firms!$E$5:$E$1004,$T707)),IF(INDEX('AFA Rates'!$C$5:$C$1004,$T707)="","",INDEX('AFA Rates'!$C$5:$C$1004,$T707))))</f>
        <v/>
      </c>
      <c r="E707" s="88">
        <f>IF($T707="","",IF($S707="S",IF(""="","",""),IF(INDEX('AFA Rates'!$D$5:$D$1004,$T707)="","",INDEX('AFA Rates'!$D$5:$D$1004,$T707))))</f>
        <v/>
      </c>
      <c r="F707" s="79">
        <f>IF($T707="","",IF($S707="S",IF(INDEX(Firms!$O$5:$O$1004,$T707)="","",INDEX(Firms!$O$5:$O$1004,$T707)),IF(INDEX('AFA Rates'!$O$5:$O$1004,$T707)="","",INDEX('AFA Rates'!$O$5:$O$1004,$T707))))</f>
        <v/>
      </c>
      <c r="G707" s="50">
        <f>IF($T707="","",IF($S707="S",IF(INDEX(Firms!$F$5:$F$1004,$T707)="","",INDEX(Firms!$F$5:$F$1004,$T707)),IF(INDEX('AFA Rates'!$E$5:$E$1004,$T707)="","",INDEX('AFA Rates'!$E$5:$E$1004,$T707))))</f>
        <v/>
      </c>
      <c r="H707" s="50">
        <f>IF($T707="","",IF($S707="S",IF(INDEX(Firms!$G$5:$G$1004,$T707)="","",INDEX(Firms!$G$5:$G$1004,$T707)),IF(INDEX('AFA Rates'!$F$5:$F$1004,$T707)="","",INDEX('AFA Rates'!$F$5:$F$1004,$T707))))</f>
        <v/>
      </c>
      <c r="I707" s="50">
        <f>IF($T707="","",IF($S707="S",IF(INDEX(Firms!$H$5:$H$1004,$T707)="","",INDEX(Firms!$H$5:$H$1004,$T707)),IF(INDEX('AFA Rates'!$G$5:$G$1004,$T707)="","",INDEX('AFA Rates'!$G$5:$G$1004,$T707))))</f>
        <v/>
      </c>
      <c r="J707" s="50">
        <f>IF($T707="","",IF($S707="S",IF(INDEX(Firms!$I$5:$I$1004,$T707)="","",INDEX(Firms!$I$5:$I$1004,$T707)),IF(INDEX('AFA Rates'!$H$5:$H$1004,$T707)="","",INDEX('AFA Rates'!$H$5:$H$1004,$T707))))</f>
        <v/>
      </c>
      <c r="K707" s="50">
        <f>IF($T707="","",IF($S707="S",IF(INDEX(Firms!$J$5:$J$1004,$T707)="","",INDEX(Firms!$J$5:$J$1004,$T707)),IF(INDEX('AFA Rates'!$I$5:$I$1004,$T707)="","",INDEX('AFA Rates'!$I$5:$I$1004,$T707))))</f>
        <v/>
      </c>
      <c r="L707" s="50">
        <f>IF($T707="","",IF($S707="S",IF(INDEX(Firms!$K$5:$K$1004,$T707)="","",INDEX(Firms!$K$5:$K$1004,$T707)),IF(INDEX('AFA Rates'!$J$5:$J$1004,$T707)="","",INDEX('AFA Rates'!$J$5:$J$1004,$T707))))</f>
        <v/>
      </c>
      <c r="M707" s="50">
        <f>IF($T707="","",IF($S707="S",IF(INDEX(Firms!$L$5:$L$1004,$T707)="","",INDEX(Firms!$L$5:$L$1004,$T707)),IF(INDEX('AFA Rates'!$K$5:$K$1004,$T707)="","",INDEX('AFA Rates'!$K$5:$K$1004,$T707))))</f>
        <v/>
      </c>
      <c r="N707" s="50">
        <f>IF($T707="","",IF($S707="S",IF(INDEX(Firms!$M$5:$M$1004,$T707)="","",INDEX(Firms!$M$5:$M$1004,$T707)),IF(INDEX('AFA Rates'!$L$5:$L$1004,$T707)="","",INDEX('AFA Rates'!$L$5:$L$1004,$T707))))</f>
        <v/>
      </c>
      <c r="O707" s="78">
        <f>IF(OR($T707="",$U707=""),"",IF(INDEX(Firms!$C$5:$C$1004,$U707)="","",INDEX(Firms!$C$5:$C$1004,$U707)))</f>
        <v/>
      </c>
      <c r="P707" s="79">
        <f>IF(OR($T707="",$U707=""),"",IF(INDEX(Firms!$N$5:$N$1004,$U707)="","",INDEX(Firms!$N$5:$N$1004,$U707)))</f>
        <v/>
      </c>
      <c r="Q707" s="78">
        <f>IF($T707="","",IF($S707="S",IF(INDEX(Firms!$T$5:$T$1004,$T707)="","",INDEX(Firms!$T$5:$T$1004,$T707)),IF(INDEX('AFA Rates'!$M$5:$M$1004,$T707)="","",INDEX('AFA Rates'!$M$5:$M$1004,$T707))))</f>
        <v/>
      </c>
      <c r="S707">
        <f>IF(703&lt;=$S$2,"S",IF(703&lt;=$S$2+$T$2,"A",""))</f>
        <v/>
      </c>
      <c r="T707">
        <f>IF(S707="S",MATCH(703,Firms!$W$5:$W$1004,0),IF(S707="A",IFERROR(MATCH(703-$S$2,'AFA Rates'!$R$5:$R$1004,0),""),""))</f>
        <v/>
      </c>
      <c r="U707">
        <f>IF(S707="S",T707,IF(AND(S707="A",T707&lt;&gt;""),IFERROR(MATCH(INDEX('AFA Rates'!$A$5:$A$1004,T707),Firms!$A$5:$A$1004,0),""),""))</f>
        <v/>
      </c>
    </row>
    <row r="708">
      <c r="A708" s="78">
        <f>IF($T708="","",IF($S708="S",IF(INDEX(Firms!$A$5:$A$1004,$T708)="","",INDEX(Firms!$A$5:$A$1004,$T708)),IF(INDEX('AFA Rates'!$A$5:$A$1004,$T708)="","",INDEX('AFA Rates'!$A$5:$A$1004,$T708))))</f>
        <v/>
      </c>
      <c r="B708" s="79">
        <f>IF(OR($T708="",$U708=""),IF($T708="","","Not on Firms tab"),INDEX(Firms!$B$5:$B$1004,$U708)&amp;"")</f>
        <v/>
      </c>
      <c r="C708" s="78">
        <f>IF($T708="","",IF($S708="S","Standard",INDEX('AFA Rates'!$B$5:$B$1004,$T708)&amp;""))</f>
        <v/>
      </c>
      <c r="D708" s="88">
        <f>IF($T708="","",IF($S708="S",IF(INDEX(Firms!$E$5:$E$1004,$T708)="","",INDEX(Firms!$E$5:$E$1004,$T708)),IF(INDEX('AFA Rates'!$C$5:$C$1004,$T708)="","",INDEX('AFA Rates'!$C$5:$C$1004,$T708))))</f>
        <v/>
      </c>
      <c r="E708" s="88">
        <f>IF($T708="","",IF($S708="S",IF(""="","",""),IF(INDEX('AFA Rates'!$D$5:$D$1004,$T708)="","",INDEX('AFA Rates'!$D$5:$D$1004,$T708))))</f>
        <v/>
      </c>
      <c r="F708" s="79">
        <f>IF($T708="","",IF($S708="S",IF(INDEX(Firms!$O$5:$O$1004,$T708)="","",INDEX(Firms!$O$5:$O$1004,$T708)),IF(INDEX('AFA Rates'!$O$5:$O$1004,$T708)="","",INDEX('AFA Rates'!$O$5:$O$1004,$T708))))</f>
        <v/>
      </c>
      <c r="G708" s="50">
        <f>IF($T708="","",IF($S708="S",IF(INDEX(Firms!$F$5:$F$1004,$T708)="","",INDEX(Firms!$F$5:$F$1004,$T708)),IF(INDEX('AFA Rates'!$E$5:$E$1004,$T708)="","",INDEX('AFA Rates'!$E$5:$E$1004,$T708))))</f>
        <v/>
      </c>
      <c r="H708" s="50">
        <f>IF($T708="","",IF($S708="S",IF(INDEX(Firms!$G$5:$G$1004,$T708)="","",INDEX(Firms!$G$5:$G$1004,$T708)),IF(INDEX('AFA Rates'!$F$5:$F$1004,$T708)="","",INDEX('AFA Rates'!$F$5:$F$1004,$T708))))</f>
        <v/>
      </c>
      <c r="I708" s="50">
        <f>IF($T708="","",IF($S708="S",IF(INDEX(Firms!$H$5:$H$1004,$T708)="","",INDEX(Firms!$H$5:$H$1004,$T708)),IF(INDEX('AFA Rates'!$G$5:$G$1004,$T708)="","",INDEX('AFA Rates'!$G$5:$G$1004,$T708))))</f>
        <v/>
      </c>
      <c r="J708" s="50">
        <f>IF($T708="","",IF($S708="S",IF(INDEX(Firms!$I$5:$I$1004,$T708)="","",INDEX(Firms!$I$5:$I$1004,$T708)),IF(INDEX('AFA Rates'!$H$5:$H$1004,$T708)="","",INDEX('AFA Rates'!$H$5:$H$1004,$T708))))</f>
        <v/>
      </c>
      <c r="K708" s="50">
        <f>IF($T708="","",IF($S708="S",IF(INDEX(Firms!$J$5:$J$1004,$T708)="","",INDEX(Firms!$J$5:$J$1004,$T708)),IF(INDEX('AFA Rates'!$I$5:$I$1004,$T708)="","",INDEX('AFA Rates'!$I$5:$I$1004,$T708))))</f>
        <v/>
      </c>
      <c r="L708" s="50">
        <f>IF($T708="","",IF($S708="S",IF(INDEX(Firms!$K$5:$K$1004,$T708)="","",INDEX(Firms!$K$5:$K$1004,$T708)),IF(INDEX('AFA Rates'!$J$5:$J$1004,$T708)="","",INDEX('AFA Rates'!$J$5:$J$1004,$T708))))</f>
        <v/>
      </c>
      <c r="M708" s="50">
        <f>IF($T708="","",IF($S708="S",IF(INDEX(Firms!$L$5:$L$1004,$T708)="","",INDEX(Firms!$L$5:$L$1004,$T708)),IF(INDEX('AFA Rates'!$K$5:$K$1004,$T708)="","",INDEX('AFA Rates'!$K$5:$K$1004,$T708))))</f>
        <v/>
      </c>
      <c r="N708" s="50">
        <f>IF($T708="","",IF($S708="S",IF(INDEX(Firms!$M$5:$M$1004,$T708)="","",INDEX(Firms!$M$5:$M$1004,$T708)),IF(INDEX('AFA Rates'!$L$5:$L$1004,$T708)="","",INDEX('AFA Rates'!$L$5:$L$1004,$T708))))</f>
        <v/>
      </c>
      <c r="O708" s="78">
        <f>IF(OR($T708="",$U708=""),"",IF(INDEX(Firms!$C$5:$C$1004,$U708)="","",INDEX(Firms!$C$5:$C$1004,$U708)))</f>
        <v/>
      </c>
      <c r="P708" s="79">
        <f>IF(OR($T708="",$U708=""),"",IF(INDEX(Firms!$N$5:$N$1004,$U708)="","",INDEX(Firms!$N$5:$N$1004,$U708)))</f>
        <v/>
      </c>
      <c r="Q708" s="78">
        <f>IF($T708="","",IF($S708="S",IF(INDEX(Firms!$T$5:$T$1004,$T708)="","",INDEX(Firms!$T$5:$T$1004,$T708)),IF(INDEX('AFA Rates'!$M$5:$M$1004,$T708)="","",INDEX('AFA Rates'!$M$5:$M$1004,$T708))))</f>
        <v/>
      </c>
      <c r="S708">
        <f>IF(704&lt;=$S$2,"S",IF(704&lt;=$S$2+$T$2,"A",""))</f>
        <v/>
      </c>
      <c r="T708">
        <f>IF(S708="S",MATCH(704,Firms!$W$5:$W$1004,0),IF(S708="A",IFERROR(MATCH(704-$S$2,'AFA Rates'!$R$5:$R$1004,0),""),""))</f>
        <v/>
      </c>
      <c r="U708">
        <f>IF(S708="S",T708,IF(AND(S708="A",T708&lt;&gt;""),IFERROR(MATCH(INDEX('AFA Rates'!$A$5:$A$1004,T708),Firms!$A$5:$A$1004,0),""),""))</f>
        <v/>
      </c>
    </row>
    <row r="709">
      <c r="A709" s="78">
        <f>IF($T709="","",IF($S709="S",IF(INDEX(Firms!$A$5:$A$1004,$T709)="","",INDEX(Firms!$A$5:$A$1004,$T709)),IF(INDEX('AFA Rates'!$A$5:$A$1004,$T709)="","",INDEX('AFA Rates'!$A$5:$A$1004,$T709))))</f>
        <v/>
      </c>
      <c r="B709" s="79">
        <f>IF(OR($T709="",$U709=""),IF($T709="","","Not on Firms tab"),INDEX(Firms!$B$5:$B$1004,$U709)&amp;"")</f>
        <v/>
      </c>
      <c r="C709" s="78">
        <f>IF($T709="","",IF($S709="S","Standard",INDEX('AFA Rates'!$B$5:$B$1004,$T709)&amp;""))</f>
        <v/>
      </c>
      <c r="D709" s="88">
        <f>IF($T709="","",IF($S709="S",IF(INDEX(Firms!$E$5:$E$1004,$T709)="","",INDEX(Firms!$E$5:$E$1004,$T709)),IF(INDEX('AFA Rates'!$C$5:$C$1004,$T709)="","",INDEX('AFA Rates'!$C$5:$C$1004,$T709))))</f>
        <v/>
      </c>
      <c r="E709" s="88">
        <f>IF($T709="","",IF($S709="S",IF(""="","",""),IF(INDEX('AFA Rates'!$D$5:$D$1004,$T709)="","",INDEX('AFA Rates'!$D$5:$D$1004,$T709))))</f>
        <v/>
      </c>
      <c r="F709" s="79">
        <f>IF($T709="","",IF($S709="S",IF(INDEX(Firms!$O$5:$O$1004,$T709)="","",INDEX(Firms!$O$5:$O$1004,$T709)),IF(INDEX('AFA Rates'!$O$5:$O$1004,$T709)="","",INDEX('AFA Rates'!$O$5:$O$1004,$T709))))</f>
        <v/>
      </c>
      <c r="G709" s="50">
        <f>IF($T709="","",IF($S709="S",IF(INDEX(Firms!$F$5:$F$1004,$T709)="","",INDEX(Firms!$F$5:$F$1004,$T709)),IF(INDEX('AFA Rates'!$E$5:$E$1004,$T709)="","",INDEX('AFA Rates'!$E$5:$E$1004,$T709))))</f>
        <v/>
      </c>
      <c r="H709" s="50">
        <f>IF($T709="","",IF($S709="S",IF(INDEX(Firms!$G$5:$G$1004,$T709)="","",INDEX(Firms!$G$5:$G$1004,$T709)),IF(INDEX('AFA Rates'!$F$5:$F$1004,$T709)="","",INDEX('AFA Rates'!$F$5:$F$1004,$T709))))</f>
        <v/>
      </c>
      <c r="I709" s="50">
        <f>IF($T709="","",IF($S709="S",IF(INDEX(Firms!$H$5:$H$1004,$T709)="","",INDEX(Firms!$H$5:$H$1004,$T709)),IF(INDEX('AFA Rates'!$G$5:$G$1004,$T709)="","",INDEX('AFA Rates'!$G$5:$G$1004,$T709))))</f>
        <v/>
      </c>
      <c r="J709" s="50">
        <f>IF($T709="","",IF($S709="S",IF(INDEX(Firms!$I$5:$I$1004,$T709)="","",INDEX(Firms!$I$5:$I$1004,$T709)),IF(INDEX('AFA Rates'!$H$5:$H$1004,$T709)="","",INDEX('AFA Rates'!$H$5:$H$1004,$T709))))</f>
        <v/>
      </c>
      <c r="K709" s="50">
        <f>IF($T709="","",IF($S709="S",IF(INDEX(Firms!$J$5:$J$1004,$T709)="","",INDEX(Firms!$J$5:$J$1004,$T709)),IF(INDEX('AFA Rates'!$I$5:$I$1004,$T709)="","",INDEX('AFA Rates'!$I$5:$I$1004,$T709))))</f>
        <v/>
      </c>
      <c r="L709" s="50">
        <f>IF($T709="","",IF($S709="S",IF(INDEX(Firms!$K$5:$K$1004,$T709)="","",INDEX(Firms!$K$5:$K$1004,$T709)),IF(INDEX('AFA Rates'!$J$5:$J$1004,$T709)="","",INDEX('AFA Rates'!$J$5:$J$1004,$T709))))</f>
        <v/>
      </c>
      <c r="M709" s="50">
        <f>IF($T709="","",IF($S709="S",IF(INDEX(Firms!$L$5:$L$1004,$T709)="","",INDEX(Firms!$L$5:$L$1004,$T709)),IF(INDEX('AFA Rates'!$K$5:$K$1004,$T709)="","",INDEX('AFA Rates'!$K$5:$K$1004,$T709))))</f>
        <v/>
      </c>
      <c r="N709" s="50">
        <f>IF($T709="","",IF($S709="S",IF(INDEX(Firms!$M$5:$M$1004,$T709)="","",INDEX(Firms!$M$5:$M$1004,$T709)),IF(INDEX('AFA Rates'!$L$5:$L$1004,$T709)="","",INDEX('AFA Rates'!$L$5:$L$1004,$T709))))</f>
        <v/>
      </c>
      <c r="O709" s="78">
        <f>IF(OR($T709="",$U709=""),"",IF(INDEX(Firms!$C$5:$C$1004,$U709)="","",INDEX(Firms!$C$5:$C$1004,$U709)))</f>
        <v/>
      </c>
      <c r="P709" s="79">
        <f>IF(OR($T709="",$U709=""),"",IF(INDEX(Firms!$N$5:$N$1004,$U709)="","",INDEX(Firms!$N$5:$N$1004,$U709)))</f>
        <v/>
      </c>
      <c r="Q709" s="78">
        <f>IF($T709="","",IF($S709="S",IF(INDEX(Firms!$T$5:$T$1004,$T709)="","",INDEX(Firms!$T$5:$T$1004,$T709)),IF(INDEX('AFA Rates'!$M$5:$M$1004,$T709)="","",INDEX('AFA Rates'!$M$5:$M$1004,$T709))))</f>
        <v/>
      </c>
      <c r="S709">
        <f>IF(705&lt;=$S$2,"S",IF(705&lt;=$S$2+$T$2,"A",""))</f>
        <v/>
      </c>
      <c r="T709">
        <f>IF(S709="S",MATCH(705,Firms!$W$5:$W$1004,0),IF(S709="A",IFERROR(MATCH(705-$S$2,'AFA Rates'!$R$5:$R$1004,0),""),""))</f>
        <v/>
      </c>
      <c r="U709">
        <f>IF(S709="S",T709,IF(AND(S709="A",T709&lt;&gt;""),IFERROR(MATCH(INDEX('AFA Rates'!$A$5:$A$1004,T709),Firms!$A$5:$A$1004,0),""),""))</f>
        <v/>
      </c>
    </row>
    <row r="710">
      <c r="A710" s="78">
        <f>IF($T710="","",IF($S710="S",IF(INDEX(Firms!$A$5:$A$1004,$T710)="","",INDEX(Firms!$A$5:$A$1004,$T710)),IF(INDEX('AFA Rates'!$A$5:$A$1004,$T710)="","",INDEX('AFA Rates'!$A$5:$A$1004,$T710))))</f>
        <v/>
      </c>
      <c r="B710" s="79">
        <f>IF(OR($T710="",$U710=""),IF($T710="","","Not on Firms tab"),INDEX(Firms!$B$5:$B$1004,$U710)&amp;"")</f>
        <v/>
      </c>
      <c r="C710" s="78">
        <f>IF($T710="","",IF($S710="S","Standard",INDEX('AFA Rates'!$B$5:$B$1004,$T710)&amp;""))</f>
        <v/>
      </c>
      <c r="D710" s="88">
        <f>IF($T710="","",IF($S710="S",IF(INDEX(Firms!$E$5:$E$1004,$T710)="","",INDEX(Firms!$E$5:$E$1004,$T710)),IF(INDEX('AFA Rates'!$C$5:$C$1004,$T710)="","",INDEX('AFA Rates'!$C$5:$C$1004,$T710))))</f>
        <v/>
      </c>
      <c r="E710" s="88">
        <f>IF($T710="","",IF($S710="S",IF(""="","",""),IF(INDEX('AFA Rates'!$D$5:$D$1004,$T710)="","",INDEX('AFA Rates'!$D$5:$D$1004,$T710))))</f>
        <v/>
      </c>
      <c r="F710" s="79">
        <f>IF($T710="","",IF($S710="S",IF(INDEX(Firms!$O$5:$O$1004,$T710)="","",INDEX(Firms!$O$5:$O$1004,$T710)),IF(INDEX('AFA Rates'!$O$5:$O$1004,$T710)="","",INDEX('AFA Rates'!$O$5:$O$1004,$T710))))</f>
        <v/>
      </c>
      <c r="G710" s="50">
        <f>IF($T710="","",IF($S710="S",IF(INDEX(Firms!$F$5:$F$1004,$T710)="","",INDEX(Firms!$F$5:$F$1004,$T710)),IF(INDEX('AFA Rates'!$E$5:$E$1004,$T710)="","",INDEX('AFA Rates'!$E$5:$E$1004,$T710))))</f>
        <v/>
      </c>
      <c r="H710" s="50">
        <f>IF($T710="","",IF($S710="S",IF(INDEX(Firms!$G$5:$G$1004,$T710)="","",INDEX(Firms!$G$5:$G$1004,$T710)),IF(INDEX('AFA Rates'!$F$5:$F$1004,$T710)="","",INDEX('AFA Rates'!$F$5:$F$1004,$T710))))</f>
        <v/>
      </c>
      <c r="I710" s="50">
        <f>IF($T710="","",IF($S710="S",IF(INDEX(Firms!$H$5:$H$1004,$T710)="","",INDEX(Firms!$H$5:$H$1004,$T710)),IF(INDEX('AFA Rates'!$G$5:$G$1004,$T710)="","",INDEX('AFA Rates'!$G$5:$G$1004,$T710))))</f>
        <v/>
      </c>
      <c r="J710" s="50">
        <f>IF($T710="","",IF($S710="S",IF(INDEX(Firms!$I$5:$I$1004,$T710)="","",INDEX(Firms!$I$5:$I$1004,$T710)),IF(INDEX('AFA Rates'!$H$5:$H$1004,$T710)="","",INDEX('AFA Rates'!$H$5:$H$1004,$T710))))</f>
        <v/>
      </c>
      <c r="K710" s="50">
        <f>IF($T710="","",IF($S710="S",IF(INDEX(Firms!$J$5:$J$1004,$T710)="","",INDEX(Firms!$J$5:$J$1004,$T710)),IF(INDEX('AFA Rates'!$I$5:$I$1004,$T710)="","",INDEX('AFA Rates'!$I$5:$I$1004,$T710))))</f>
        <v/>
      </c>
      <c r="L710" s="50">
        <f>IF($T710="","",IF($S710="S",IF(INDEX(Firms!$K$5:$K$1004,$T710)="","",INDEX(Firms!$K$5:$K$1004,$T710)),IF(INDEX('AFA Rates'!$J$5:$J$1004,$T710)="","",INDEX('AFA Rates'!$J$5:$J$1004,$T710))))</f>
        <v/>
      </c>
      <c r="M710" s="50">
        <f>IF($T710="","",IF($S710="S",IF(INDEX(Firms!$L$5:$L$1004,$T710)="","",INDEX(Firms!$L$5:$L$1004,$T710)),IF(INDEX('AFA Rates'!$K$5:$K$1004,$T710)="","",INDEX('AFA Rates'!$K$5:$K$1004,$T710))))</f>
        <v/>
      </c>
      <c r="N710" s="50">
        <f>IF($T710="","",IF($S710="S",IF(INDEX(Firms!$M$5:$M$1004,$T710)="","",INDEX(Firms!$M$5:$M$1004,$T710)),IF(INDEX('AFA Rates'!$L$5:$L$1004,$T710)="","",INDEX('AFA Rates'!$L$5:$L$1004,$T710))))</f>
        <v/>
      </c>
      <c r="O710" s="78">
        <f>IF(OR($T710="",$U710=""),"",IF(INDEX(Firms!$C$5:$C$1004,$U710)="","",INDEX(Firms!$C$5:$C$1004,$U710)))</f>
        <v/>
      </c>
      <c r="P710" s="79">
        <f>IF(OR($T710="",$U710=""),"",IF(INDEX(Firms!$N$5:$N$1004,$U710)="","",INDEX(Firms!$N$5:$N$1004,$U710)))</f>
        <v/>
      </c>
      <c r="Q710" s="78">
        <f>IF($T710="","",IF($S710="S",IF(INDEX(Firms!$T$5:$T$1004,$T710)="","",INDEX(Firms!$T$5:$T$1004,$T710)),IF(INDEX('AFA Rates'!$M$5:$M$1004,$T710)="","",INDEX('AFA Rates'!$M$5:$M$1004,$T710))))</f>
        <v/>
      </c>
      <c r="S710">
        <f>IF(706&lt;=$S$2,"S",IF(706&lt;=$S$2+$T$2,"A",""))</f>
        <v/>
      </c>
      <c r="T710">
        <f>IF(S710="S",MATCH(706,Firms!$W$5:$W$1004,0),IF(S710="A",IFERROR(MATCH(706-$S$2,'AFA Rates'!$R$5:$R$1004,0),""),""))</f>
        <v/>
      </c>
      <c r="U710">
        <f>IF(S710="S",T710,IF(AND(S710="A",T710&lt;&gt;""),IFERROR(MATCH(INDEX('AFA Rates'!$A$5:$A$1004,T710),Firms!$A$5:$A$1004,0),""),""))</f>
        <v/>
      </c>
    </row>
    <row r="711">
      <c r="A711" s="78">
        <f>IF($T711="","",IF($S711="S",IF(INDEX(Firms!$A$5:$A$1004,$T711)="","",INDEX(Firms!$A$5:$A$1004,$T711)),IF(INDEX('AFA Rates'!$A$5:$A$1004,$T711)="","",INDEX('AFA Rates'!$A$5:$A$1004,$T711))))</f>
        <v/>
      </c>
      <c r="B711" s="79">
        <f>IF(OR($T711="",$U711=""),IF($T711="","","Not on Firms tab"),INDEX(Firms!$B$5:$B$1004,$U711)&amp;"")</f>
        <v/>
      </c>
      <c r="C711" s="78">
        <f>IF($T711="","",IF($S711="S","Standard",INDEX('AFA Rates'!$B$5:$B$1004,$T711)&amp;""))</f>
        <v/>
      </c>
      <c r="D711" s="88">
        <f>IF($T711="","",IF($S711="S",IF(INDEX(Firms!$E$5:$E$1004,$T711)="","",INDEX(Firms!$E$5:$E$1004,$T711)),IF(INDEX('AFA Rates'!$C$5:$C$1004,$T711)="","",INDEX('AFA Rates'!$C$5:$C$1004,$T711))))</f>
        <v/>
      </c>
      <c r="E711" s="88">
        <f>IF($T711="","",IF($S711="S",IF(""="","",""),IF(INDEX('AFA Rates'!$D$5:$D$1004,$T711)="","",INDEX('AFA Rates'!$D$5:$D$1004,$T711))))</f>
        <v/>
      </c>
      <c r="F711" s="79">
        <f>IF($T711="","",IF($S711="S",IF(INDEX(Firms!$O$5:$O$1004,$T711)="","",INDEX(Firms!$O$5:$O$1004,$T711)),IF(INDEX('AFA Rates'!$O$5:$O$1004,$T711)="","",INDEX('AFA Rates'!$O$5:$O$1004,$T711))))</f>
        <v/>
      </c>
      <c r="G711" s="50">
        <f>IF($T711="","",IF($S711="S",IF(INDEX(Firms!$F$5:$F$1004,$T711)="","",INDEX(Firms!$F$5:$F$1004,$T711)),IF(INDEX('AFA Rates'!$E$5:$E$1004,$T711)="","",INDEX('AFA Rates'!$E$5:$E$1004,$T711))))</f>
        <v/>
      </c>
      <c r="H711" s="50">
        <f>IF($T711="","",IF($S711="S",IF(INDEX(Firms!$G$5:$G$1004,$T711)="","",INDEX(Firms!$G$5:$G$1004,$T711)),IF(INDEX('AFA Rates'!$F$5:$F$1004,$T711)="","",INDEX('AFA Rates'!$F$5:$F$1004,$T711))))</f>
        <v/>
      </c>
      <c r="I711" s="50">
        <f>IF($T711="","",IF($S711="S",IF(INDEX(Firms!$H$5:$H$1004,$T711)="","",INDEX(Firms!$H$5:$H$1004,$T711)),IF(INDEX('AFA Rates'!$G$5:$G$1004,$T711)="","",INDEX('AFA Rates'!$G$5:$G$1004,$T711))))</f>
        <v/>
      </c>
      <c r="J711" s="50">
        <f>IF($T711="","",IF($S711="S",IF(INDEX(Firms!$I$5:$I$1004,$T711)="","",INDEX(Firms!$I$5:$I$1004,$T711)),IF(INDEX('AFA Rates'!$H$5:$H$1004,$T711)="","",INDEX('AFA Rates'!$H$5:$H$1004,$T711))))</f>
        <v/>
      </c>
      <c r="K711" s="50">
        <f>IF($T711="","",IF($S711="S",IF(INDEX(Firms!$J$5:$J$1004,$T711)="","",INDEX(Firms!$J$5:$J$1004,$T711)),IF(INDEX('AFA Rates'!$I$5:$I$1004,$T711)="","",INDEX('AFA Rates'!$I$5:$I$1004,$T711))))</f>
        <v/>
      </c>
      <c r="L711" s="50">
        <f>IF($T711="","",IF($S711="S",IF(INDEX(Firms!$K$5:$K$1004,$T711)="","",INDEX(Firms!$K$5:$K$1004,$T711)),IF(INDEX('AFA Rates'!$J$5:$J$1004,$T711)="","",INDEX('AFA Rates'!$J$5:$J$1004,$T711))))</f>
        <v/>
      </c>
      <c r="M711" s="50">
        <f>IF($T711="","",IF($S711="S",IF(INDEX(Firms!$L$5:$L$1004,$T711)="","",INDEX(Firms!$L$5:$L$1004,$T711)),IF(INDEX('AFA Rates'!$K$5:$K$1004,$T711)="","",INDEX('AFA Rates'!$K$5:$K$1004,$T711))))</f>
        <v/>
      </c>
      <c r="N711" s="50">
        <f>IF($T711="","",IF($S711="S",IF(INDEX(Firms!$M$5:$M$1004,$T711)="","",INDEX(Firms!$M$5:$M$1004,$T711)),IF(INDEX('AFA Rates'!$L$5:$L$1004,$T711)="","",INDEX('AFA Rates'!$L$5:$L$1004,$T711))))</f>
        <v/>
      </c>
      <c r="O711" s="78">
        <f>IF(OR($T711="",$U711=""),"",IF(INDEX(Firms!$C$5:$C$1004,$U711)="","",INDEX(Firms!$C$5:$C$1004,$U711)))</f>
        <v/>
      </c>
      <c r="P711" s="79">
        <f>IF(OR($T711="",$U711=""),"",IF(INDEX(Firms!$N$5:$N$1004,$U711)="","",INDEX(Firms!$N$5:$N$1004,$U711)))</f>
        <v/>
      </c>
      <c r="Q711" s="78">
        <f>IF($T711="","",IF($S711="S",IF(INDEX(Firms!$T$5:$T$1004,$T711)="","",INDEX(Firms!$T$5:$T$1004,$T711)),IF(INDEX('AFA Rates'!$M$5:$M$1004,$T711)="","",INDEX('AFA Rates'!$M$5:$M$1004,$T711))))</f>
        <v/>
      </c>
      <c r="S711">
        <f>IF(707&lt;=$S$2,"S",IF(707&lt;=$S$2+$T$2,"A",""))</f>
        <v/>
      </c>
      <c r="T711">
        <f>IF(S711="S",MATCH(707,Firms!$W$5:$W$1004,0),IF(S711="A",IFERROR(MATCH(707-$S$2,'AFA Rates'!$R$5:$R$1004,0),""),""))</f>
        <v/>
      </c>
      <c r="U711">
        <f>IF(S711="S",T711,IF(AND(S711="A",T711&lt;&gt;""),IFERROR(MATCH(INDEX('AFA Rates'!$A$5:$A$1004,T711),Firms!$A$5:$A$1004,0),""),""))</f>
        <v/>
      </c>
    </row>
    <row r="712">
      <c r="A712" s="78">
        <f>IF($T712="","",IF($S712="S",IF(INDEX(Firms!$A$5:$A$1004,$T712)="","",INDEX(Firms!$A$5:$A$1004,$T712)),IF(INDEX('AFA Rates'!$A$5:$A$1004,$T712)="","",INDEX('AFA Rates'!$A$5:$A$1004,$T712))))</f>
        <v/>
      </c>
      <c r="B712" s="79">
        <f>IF(OR($T712="",$U712=""),IF($T712="","","Not on Firms tab"),INDEX(Firms!$B$5:$B$1004,$U712)&amp;"")</f>
        <v/>
      </c>
      <c r="C712" s="78">
        <f>IF($T712="","",IF($S712="S","Standard",INDEX('AFA Rates'!$B$5:$B$1004,$T712)&amp;""))</f>
        <v/>
      </c>
      <c r="D712" s="88">
        <f>IF($T712="","",IF($S712="S",IF(INDEX(Firms!$E$5:$E$1004,$T712)="","",INDEX(Firms!$E$5:$E$1004,$T712)),IF(INDEX('AFA Rates'!$C$5:$C$1004,$T712)="","",INDEX('AFA Rates'!$C$5:$C$1004,$T712))))</f>
        <v/>
      </c>
      <c r="E712" s="88">
        <f>IF($T712="","",IF($S712="S",IF(""="","",""),IF(INDEX('AFA Rates'!$D$5:$D$1004,$T712)="","",INDEX('AFA Rates'!$D$5:$D$1004,$T712))))</f>
        <v/>
      </c>
      <c r="F712" s="79">
        <f>IF($T712="","",IF($S712="S",IF(INDEX(Firms!$O$5:$O$1004,$T712)="","",INDEX(Firms!$O$5:$O$1004,$T712)),IF(INDEX('AFA Rates'!$O$5:$O$1004,$T712)="","",INDEX('AFA Rates'!$O$5:$O$1004,$T712))))</f>
        <v/>
      </c>
      <c r="G712" s="50">
        <f>IF($T712="","",IF($S712="S",IF(INDEX(Firms!$F$5:$F$1004,$T712)="","",INDEX(Firms!$F$5:$F$1004,$T712)),IF(INDEX('AFA Rates'!$E$5:$E$1004,$T712)="","",INDEX('AFA Rates'!$E$5:$E$1004,$T712))))</f>
        <v/>
      </c>
      <c r="H712" s="50">
        <f>IF($T712="","",IF($S712="S",IF(INDEX(Firms!$G$5:$G$1004,$T712)="","",INDEX(Firms!$G$5:$G$1004,$T712)),IF(INDEX('AFA Rates'!$F$5:$F$1004,$T712)="","",INDEX('AFA Rates'!$F$5:$F$1004,$T712))))</f>
        <v/>
      </c>
      <c r="I712" s="50">
        <f>IF($T712="","",IF($S712="S",IF(INDEX(Firms!$H$5:$H$1004,$T712)="","",INDEX(Firms!$H$5:$H$1004,$T712)),IF(INDEX('AFA Rates'!$G$5:$G$1004,$T712)="","",INDEX('AFA Rates'!$G$5:$G$1004,$T712))))</f>
        <v/>
      </c>
      <c r="J712" s="50">
        <f>IF($T712="","",IF($S712="S",IF(INDEX(Firms!$I$5:$I$1004,$T712)="","",INDEX(Firms!$I$5:$I$1004,$T712)),IF(INDEX('AFA Rates'!$H$5:$H$1004,$T712)="","",INDEX('AFA Rates'!$H$5:$H$1004,$T712))))</f>
        <v/>
      </c>
      <c r="K712" s="50">
        <f>IF($T712="","",IF($S712="S",IF(INDEX(Firms!$J$5:$J$1004,$T712)="","",INDEX(Firms!$J$5:$J$1004,$T712)),IF(INDEX('AFA Rates'!$I$5:$I$1004,$T712)="","",INDEX('AFA Rates'!$I$5:$I$1004,$T712))))</f>
        <v/>
      </c>
      <c r="L712" s="50">
        <f>IF($T712="","",IF($S712="S",IF(INDEX(Firms!$K$5:$K$1004,$T712)="","",INDEX(Firms!$K$5:$K$1004,$T712)),IF(INDEX('AFA Rates'!$J$5:$J$1004,$T712)="","",INDEX('AFA Rates'!$J$5:$J$1004,$T712))))</f>
        <v/>
      </c>
      <c r="M712" s="50">
        <f>IF($T712="","",IF($S712="S",IF(INDEX(Firms!$L$5:$L$1004,$T712)="","",INDEX(Firms!$L$5:$L$1004,$T712)),IF(INDEX('AFA Rates'!$K$5:$K$1004,$T712)="","",INDEX('AFA Rates'!$K$5:$K$1004,$T712))))</f>
        <v/>
      </c>
      <c r="N712" s="50">
        <f>IF($T712="","",IF($S712="S",IF(INDEX(Firms!$M$5:$M$1004,$T712)="","",INDEX(Firms!$M$5:$M$1004,$T712)),IF(INDEX('AFA Rates'!$L$5:$L$1004,$T712)="","",INDEX('AFA Rates'!$L$5:$L$1004,$T712))))</f>
        <v/>
      </c>
      <c r="O712" s="78">
        <f>IF(OR($T712="",$U712=""),"",IF(INDEX(Firms!$C$5:$C$1004,$U712)="","",INDEX(Firms!$C$5:$C$1004,$U712)))</f>
        <v/>
      </c>
      <c r="P712" s="79">
        <f>IF(OR($T712="",$U712=""),"",IF(INDEX(Firms!$N$5:$N$1004,$U712)="","",INDEX(Firms!$N$5:$N$1004,$U712)))</f>
        <v/>
      </c>
      <c r="Q712" s="78">
        <f>IF($T712="","",IF($S712="S",IF(INDEX(Firms!$T$5:$T$1004,$T712)="","",INDEX(Firms!$T$5:$T$1004,$T712)),IF(INDEX('AFA Rates'!$M$5:$M$1004,$T712)="","",INDEX('AFA Rates'!$M$5:$M$1004,$T712))))</f>
        <v/>
      </c>
      <c r="S712">
        <f>IF(708&lt;=$S$2,"S",IF(708&lt;=$S$2+$T$2,"A",""))</f>
        <v/>
      </c>
      <c r="T712">
        <f>IF(S712="S",MATCH(708,Firms!$W$5:$W$1004,0),IF(S712="A",IFERROR(MATCH(708-$S$2,'AFA Rates'!$R$5:$R$1004,0),""),""))</f>
        <v/>
      </c>
      <c r="U712">
        <f>IF(S712="S",T712,IF(AND(S712="A",T712&lt;&gt;""),IFERROR(MATCH(INDEX('AFA Rates'!$A$5:$A$1004,T712),Firms!$A$5:$A$1004,0),""),""))</f>
        <v/>
      </c>
    </row>
    <row r="713">
      <c r="A713" s="78">
        <f>IF($T713="","",IF($S713="S",IF(INDEX(Firms!$A$5:$A$1004,$T713)="","",INDEX(Firms!$A$5:$A$1004,$T713)),IF(INDEX('AFA Rates'!$A$5:$A$1004,$T713)="","",INDEX('AFA Rates'!$A$5:$A$1004,$T713))))</f>
        <v/>
      </c>
      <c r="B713" s="79">
        <f>IF(OR($T713="",$U713=""),IF($T713="","","Not on Firms tab"),INDEX(Firms!$B$5:$B$1004,$U713)&amp;"")</f>
        <v/>
      </c>
      <c r="C713" s="78">
        <f>IF($T713="","",IF($S713="S","Standard",INDEX('AFA Rates'!$B$5:$B$1004,$T713)&amp;""))</f>
        <v/>
      </c>
      <c r="D713" s="88">
        <f>IF($T713="","",IF($S713="S",IF(INDEX(Firms!$E$5:$E$1004,$T713)="","",INDEX(Firms!$E$5:$E$1004,$T713)),IF(INDEX('AFA Rates'!$C$5:$C$1004,$T713)="","",INDEX('AFA Rates'!$C$5:$C$1004,$T713))))</f>
        <v/>
      </c>
      <c r="E713" s="88">
        <f>IF($T713="","",IF($S713="S",IF(""="","",""),IF(INDEX('AFA Rates'!$D$5:$D$1004,$T713)="","",INDEX('AFA Rates'!$D$5:$D$1004,$T713))))</f>
        <v/>
      </c>
      <c r="F713" s="79">
        <f>IF($T713="","",IF($S713="S",IF(INDEX(Firms!$O$5:$O$1004,$T713)="","",INDEX(Firms!$O$5:$O$1004,$T713)),IF(INDEX('AFA Rates'!$O$5:$O$1004,$T713)="","",INDEX('AFA Rates'!$O$5:$O$1004,$T713))))</f>
        <v/>
      </c>
      <c r="G713" s="50">
        <f>IF($T713="","",IF($S713="S",IF(INDEX(Firms!$F$5:$F$1004,$T713)="","",INDEX(Firms!$F$5:$F$1004,$T713)),IF(INDEX('AFA Rates'!$E$5:$E$1004,$T713)="","",INDEX('AFA Rates'!$E$5:$E$1004,$T713))))</f>
        <v/>
      </c>
      <c r="H713" s="50">
        <f>IF($T713="","",IF($S713="S",IF(INDEX(Firms!$G$5:$G$1004,$T713)="","",INDEX(Firms!$G$5:$G$1004,$T713)),IF(INDEX('AFA Rates'!$F$5:$F$1004,$T713)="","",INDEX('AFA Rates'!$F$5:$F$1004,$T713))))</f>
        <v/>
      </c>
      <c r="I713" s="50">
        <f>IF($T713="","",IF($S713="S",IF(INDEX(Firms!$H$5:$H$1004,$T713)="","",INDEX(Firms!$H$5:$H$1004,$T713)),IF(INDEX('AFA Rates'!$G$5:$G$1004,$T713)="","",INDEX('AFA Rates'!$G$5:$G$1004,$T713))))</f>
        <v/>
      </c>
      <c r="J713" s="50">
        <f>IF($T713="","",IF($S713="S",IF(INDEX(Firms!$I$5:$I$1004,$T713)="","",INDEX(Firms!$I$5:$I$1004,$T713)),IF(INDEX('AFA Rates'!$H$5:$H$1004,$T713)="","",INDEX('AFA Rates'!$H$5:$H$1004,$T713))))</f>
        <v/>
      </c>
      <c r="K713" s="50">
        <f>IF($T713="","",IF($S713="S",IF(INDEX(Firms!$J$5:$J$1004,$T713)="","",INDEX(Firms!$J$5:$J$1004,$T713)),IF(INDEX('AFA Rates'!$I$5:$I$1004,$T713)="","",INDEX('AFA Rates'!$I$5:$I$1004,$T713))))</f>
        <v/>
      </c>
      <c r="L713" s="50">
        <f>IF($T713="","",IF($S713="S",IF(INDEX(Firms!$K$5:$K$1004,$T713)="","",INDEX(Firms!$K$5:$K$1004,$T713)),IF(INDEX('AFA Rates'!$J$5:$J$1004,$T713)="","",INDEX('AFA Rates'!$J$5:$J$1004,$T713))))</f>
        <v/>
      </c>
      <c r="M713" s="50">
        <f>IF($T713="","",IF($S713="S",IF(INDEX(Firms!$L$5:$L$1004,$T713)="","",INDEX(Firms!$L$5:$L$1004,$T713)),IF(INDEX('AFA Rates'!$K$5:$K$1004,$T713)="","",INDEX('AFA Rates'!$K$5:$K$1004,$T713))))</f>
        <v/>
      </c>
      <c r="N713" s="50">
        <f>IF($T713="","",IF($S713="S",IF(INDEX(Firms!$M$5:$M$1004,$T713)="","",INDEX(Firms!$M$5:$M$1004,$T713)),IF(INDEX('AFA Rates'!$L$5:$L$1004,$T713)="","",INDEX('AFA Rates'!$L$5:$L$1004,$T713))))</f>
        <v/>
      </c>
      <c r="O713" s="78">
        <f>IF(OR($T713="",$U713=""),"",IF(INDEX(Firms!$C$5:$C$1004,$U713)="","",INDEX(Firms!$C$5:$C$1004,$U713)))</f>
        <v/>
      </c>
      <c r="P713" s="79">
        <f>IF(OR($T713="",$U713=""),"",IF(INDEX(Firms!$N$5:$N$1004,$U713)="","",INDEX(Firms!$N$5:$N$1004,$U713)))</f>
        <v/>
      </c>
      <c r="Q713" s="78">
        <f>IF($T713="","",IF($S713="S",IF(INDEX(Firms!$T$5:$T$1004,$T713)="","",INDEX(Firms!$T$5:$T$1004,$T713)),IF(INDEX('AFA Rates'!$M$5:$M$1004,$T713)="","",INDEX('AFA Rates'!$M$5:$M$1004,$T713))))</f>
        <v/>
      </c>
      <c r="S713">
        <f>IF(709&lt;=$S$2,"S",IF(709&lt;=$S$2+$T$2,"A",""))</f>
        <v/>
      </c>
      <c r="T713">
        <f>IF(S713="S",MATCH(709,Firms!$W$5:$W$1004,0),IF(S713="A",IFERROR(MATCH(709-$S$2,'AFA Rates'!$R$5:$R$1004,0),""),""))</f>
        <v/>
      </c>
      <c r="U713">
        <f>IF(S713="S",T713,IF(AND(S713="A",T713&lt;&gt;""),IFERROR(MATCH(INDEX('AFA Rates'!$A$5:$A$1004,T713),Firms!$A$5:$A$1004,0),""),""))</f>
        <v/>
      </c>
    </row>
    <row r="714">
      <c r="A714" s="78">
        <f>IF($T714="","",IF($S714="S",IF(INDEX(Firms!$A$5:$A$1004,$T714)="","",INDEX(Firms!$A$5:$A$1004,$T714)),IF(INDEX('AFA Rates'!$A$5:$A$1004,$T714)="","",INDEX('AFA Rates'!$A$5:$A$1004,$T714))))</f>
        <v/>
      </c>
      <c r="B714" s="79">
        <f>IF(OR($T714="",$U714=""),IF($T714="","","Not on Firms tab"),INDEX(Firms!$B$5:$B$1004,$U714)&amp;"")</f>
        <v/>
      </c>
      <c r="C714" s="78">
        <f>IF($T714="","",IF($S714="S","Standard",INDEX('AFA Rates'!$B$5:$B$1004,$T714)&amp;""))</f>
        <v/>
      </c>
      <c r="D714" s="88">
        <f>IF($T714="","",IF($S714="S",IF(INDEX(Firms!$E$5:$E$1004,$T714)="","",INDEX(Firms!$E$5:$E$1004,$T714)),IF(INDEX('AFA Rates'!$C$5:$C$1004,$T714)="","",INDEX('AFA Rates'!$C$5:$C$1004,$T714))))</f>
        <v/>
      </c>
      <c r="E714" s="88">
        <f>IF($T714="","",IF($S714="S",IF(""="","",""),IF(INDEX('AFA Rates'!$D$5:$D$1004,$T714)="","",INDEX('AFA Rates'!$D$5:$D$1004,$T714))))</f>
        <v/>
      </c>
      <c r="F714" s="79">
        <f>IF($T714="","",IF($S714="S",IF(INDEX(Firms!$O$5:$O$1004,$T714)="","",INDEX(Firms!$O$5:$O$1004,$T714)),IF(INDEX('AFA Rates'!$O$5:$O$1004,$T714)="","",INDEX('AFA Rates'!$O$5:$O$1004,$T714))))</f>
        <v/>
      </c>
      <c r="G714" s="50">
        <f>IF($T714="","",IF($S714="S",IF(INDEX(Firms!$F$5:$F$1004,$T714)="","",INDEX(Firms!$F$5:$F$1004,$T714)),IF(INDEX('AFA Rates'!$E$5:$E$1004,$T714)="","",INDEX('AFA Rates'!$E$5:$E$1004,$T714))))</f>
        <v/>
      </c>
      <c r="H714" s="50">
        <f>IF($T714="","",IF($S714="S",IF(INDEX(Firms!$G$5:$G$1004,$T714)="","",INDEX(Firms!$G$5:$G$1004,$T714)),IF(INDEX('AFA Rates'!$F$5:$F$1004,$T714)="","",INDEX('AFA Rates'!$F$5:$F$1004,$T714))))</f>
        <v/>
      </c>
      <c r="I714" s="50">
        <f>IF($T714="","",IF($S714="S",IF(INDEX(Firms!$H$5:$H$1004,$T714)="","",INDEX(Firms!$H$5:$H$1004,$T714)),IF(INDEX('AFA Rates'!$G$5:$G$1004,$T714)="","",INDEX('AFA Rates'!$G$5:$G$1004,$T714))))</f>
        <v/>
      </c>
      <c r="J714" s="50">
        <f>IF($T714="","",IF($S714="S",IF(INDEX(Firms!$I$5:$I$1004,$T714)="","",INDEX(Firms!$I$5:$I$1004,$T714)),IF(INDEX('AFA Rates'!$H$5:$H$1004,$T714)="","",INDEX('AFA Rates'!$H$5:$H$1004,$T714))))</f>
        <v/>
      </c>
      <c r="K714" s="50">
        <f>IF($T714="","",IF($S714="S",IF(INDEX(Firms!$J$5:$J$1004,$T714)="","",INDEX(Firms!$J$5:$J$1004,$T714)),IF(INDEX('AFA Rates'!$I$5:$I$1004,$T714)="","",INDEX('AFA Rates'!$I$5:$I$1004,$T714))))</f>
        <v/>
      </c>
      <c r="L714" s="50">
        <f>IF($T714="","",IF($S714="S",IF(INDEX(Firms!$K$5:$K$1004,$T714)="","",INDEX(Firms!$K$5:$K$1004,$T714)),IF(INDEX('AFA Rates'!$J$5:$J$1004,$T714)="","",INDEX('AFA Rates'!$J$5:$J$1004,$T714))))</f>
        <v/>
      </c>
      <c r="M714" s="50">
        <f>IF($T714="","",IF($S714="S",IF(INDEX(Firms!$L$5:$L$1004,$T714)="","",INDEX(Firms!$L$5:$L$1004,$T714)),IF(INDEX('AFA Rates'!$K$5:$K$1004,$T714)="","",INDEX('AFA Rates'!$K$5:$K$1004,$T714))))</f>
        <v/>
      </c>
      <c r="N714" s="50">
        <f>IF($T714="","",IF($S714="S",IF(INDEX(Firms!$M$5:$M$1004,$T714)="","",INDEX(Firms!$M$5:$M$1004,$T714)),IF(INDEX('AFA Rates'!$L$5:$L$1004,$T714)="","",INDEX('AFA Rates'!$L$5:$L$1004,$T714))))</f>
        <v/>
      </c>
      <c r="O714" s="78">
        <f>IF(OR($T714="",$U714=""),"",IF(INDEX(Firms!$C$5:$C$1004,$U714)="","",INDEX(Firms!$C$5:$C$1004,$U714)))</f>
        <v/>
      </c>
      <c r="P714" s="79">
        <f>IF(OR($T714="",$U714=""),"",IF(INDEX(Firms!$N$5:$N$1004,$U714)="","",INDEX(Firms!$N$5:$N$1004,$U714)))</f>
        <v/>
      </c>
      <c r="Q714" s="78">
        <f>IF($T714="","",IF($S714="S",IF(INDEX(Firms!$T$5:$T$1004,$T714)="","",INDEX(Firms!$T$5:$T$1004,$T714)),IF(INDEX('AFA Rates'!$M$5:$M$1004,$T714)="","",INDEX('AFA Rates'!$M$5:$M$1004,$T714))))</f>
        <v/>
      </c>
      <c r="S714">
        <f>IF(710&lt;=$S$2,"S",IF(710&lt;=$S$2+$T$2,"A",""))</f>
        <v/>
      </c>
      <c r="T714">
        <f>IF(S714="S",MATCH(710,Firms!$W$5:$W$1004,0),IF(S714="A",IFERROR(MATCH(710-$S$2,'AFA Rates'!$R$5:$R$1004,0),""),""))</f>
        <v/>
      </c>
      <c r="U714">
        <f>IF(S714="S",T714,IF(AND(S714="A",T714&lt;&gt;""),IFERROR(MATCH(INDEX('AFA Rates'!$A$5:$A$1004,T714),Firms!$A$5:$A$1004,0),""),""))</f>
        <v/>
      </c>
    </row>
    <row r="715">
      <c r="A715" s="78">
        <f>IF($T715="","",IF($S715="S",IF(INDEX(Firms!$A$5:$A$1004,$T715)="","",INDEX(Firms!$A$5:$A$1004,$T715)),IF(INDEX('AFA Rates'!$A$5:$A$1004,$T715)="","",INDEX('AFA Rates'!$A$5:$A$1004,$T715))))</f>
        <v/>
      </c>
      <c r="B715" s="79">
        <f>IF(OR($T715="",$U715=""),IF($T715="","","Not on Firms tab"),INDEX(Firms!$B$5:$B$1004,$U715)&amp;"")</f>
        <v/>
      </c>
      <c r="C715" s="78">
        <f>IF($T715="","",IF($S715="S","Standard",INDEX('AFA Rates'!$B$5:$B$1004,$T715)&amp;""))</f>
        <v/>
      </c>
      <c r="D715" s="88">
        <f>IF($T715="","",IF($S715="S",IF(INDEX(Firms!$E$5:$E$1004,$T715)="","",INDEX(Firms!$E$5:$E$1004,$T715)),IF(INDEX('AFA Rates'!$C$5:$C$1004,$T715)="","",INDEX('AFA Rates'!$C$5:$C$1004,$T715))))</f>
        <v/>
      </c>
      <c r="E715" s="88">
        <f>IF($T715="","",IF($S715="S",IF(""="","",""),IF(INDEX('AFA Rates'!$D$5:$D$1004,$T715)="","",INDEX('AFA Rates'!$D$5:$D$1004,$T715))))</f>
        <v/>
      </c>
      <c r="F715" s="79">
        <f>IF($T715="","",IF($S715="S",IF(INDEX(Firms!$O$5:$O$1004,$T715)="","",INDEX(Firms!$O$5:$O$1004,$T715)),IF(INDEX('AFA Rates'!$O$5:$O$1004,$T715)="","",INDEX('AFA Rates'!$O$5:$O$1004,$T715))))</f>
        <v/>
      </c>
      <c r="G715" s="50">
        <f>IF($T715="","",IF($S715="S",IF(INDEX(Firms!$F$5:$F$1004,$T715)="","",INDEX(Firms!$F$5:$F$1004,$T715)),IF(INDEX('AFA Rates'!$E$5:$E$1004,$T715)="","",INDEX('AFA Rates'!$E$5:$E$1004,$T715))))</f>
        <v/>
      </c>
      <c r="H715" s="50">
        <f>IF($T715="","",IF($S715="S",IF(INDEX(Firms!$G$5:$G$1004,$T715)="","",INDEX(Firms!$G$5:$G$1004,$T715)),IF(INDEX('AFA Rates'!$F$5:$F$1004,$T715)="","",INDEX('AFA Rates'!$F$5:$F$1004,$T715))))</f>
        <v/>
      </c>
      <c r="I715" s="50">
        <f>IF($T715="","",IF($S715="S",IF(INDEX(Firms!$H$5:$H$1004,$T715)="","",INDEX(Firms!$H$5:$H$1004,$T715)),IF(INDEX('AFA Rates'!$G$5:$G$1004,$T715)="","",INDEX('AFA Rates'!$G$5:$G$1004,$T715))))</f>
        <v/>
      </c>
      <c r="J715" s="50">
        <f>IF($T715="","",IF($S715="S",IF(INDEX(Firms!$I$5:$I$1004,$T715)="","",INDEX(Firms!$I$5:$I$1004,$T715)),IF(INDEX('AFA Rates'!$H$5:$H$1004,$T715)="","",INDEX('AFA Rates'!$H$5:$H$1004,$T715))))</f>
        <v/>
      </c>
      <c r="K715" s="50">
        <f>IF($T715="","",IF($S715="S",IF(INDEX(Firms!$J$5:$J$1004,$T715)="","",INDEX(Firms!$J$5:$J$1004,$T715)),IF(INDEX('AFA Rates'!$I$5:$I$1004,$T715)="","",INDEX('AFA Rates'!$I$5:$I$1004,$T715))))</f>
        <v/>
      </c>
      <c r="L715" s="50">
        <f>IF($T715="","",IF($S715="S",IF(INDEX(Firms!$K$5:$K$1004,$T715)="","",INDEX(Firms!$K$5:$K$1004,$T715)),IF(INDEX('AFA Rates'!$J$5:$J$1004,$T715)="","",INDEX('AFA Rates'!$J$5:$J$1004,$T715))))</f>
        <v/>
      </c>
      <c r="M715" s="50">
        <f>IF($T715="","",IF($S715="S",IF(INDEX(Firms!$L$5:$L$1004,$T715)="","",INDEX(Firms!$L$5:$L$1004,$T715)),IF(INDEX('AFA Rates'!$K$5:$K$1004,$T715)="","",INDEX('AFA Rates'!$K$5:$K$1004,$T715))))</f>
        <v/>
      </c>
      <c r="N715" s="50">
        <f>IF($T715="","",IF($S715="S",IF(INDEX(Firms!$M$5:$M$1004,$T715)="","",INDEX(Firms!$M$5:$M$1004,$T715)),IF(INDEX('AFA Rates'!$L$5:$L$1004,$T715)="","",INDEX('AFA Rates'!$L$5:$L$1004,$T715))))</f>
        <v/>
      </c>
      <c r="O715" s="78">
        <f>IF(OR($T715="",$U715=""),"",IF(INDEX(Firms!$C$5:$C$1004,$U715)="","",INDEX(Firms!$C$5:$C$1004,$U715)))</f>
        <v/>
      </c>
      <c r="P715" s="79">
        <f>IF(OR($T715="",$U715=""),"",IF(INDEX(Firms!$N$5:$N$1004,$U715)="","",INDEX(Firms!$N$5:$N$1004,$U715)))</f>
        <v/>
      </c>
      <c r="Q715" s="78">
        <f>IF($T715="","",IF($S715="S",IF(INDEX(Firms!$T$5:$T$1004,$T715)="","",INDEX(Firms!$T$5:$T$1004,$T715)),IF(INDEX('AFA Rates'!$M$5:$M$1004,$T715)="","",INDEX('AFA Rates'!$M$5:$M$1004,$T715))))</f>
        <v/>
      </c>
      <c r="S715">
        <f>IF(711&lt;=$S$2,"S",IF(711&lt;=$S$2+$T$2,"A",""))</f>
        <v/>
      </c>
      <c r="T715">
        <f>IF(S715="S",MATCH(711,Firms!$W$5:$W$1004,0),IF(S715="A",IFERROR(MATCH(711-$S$2,'AFA Rates'!$R$5:$R$1004,0),""),""))</f>
        <v/>
      </c>
      <c r="U715">
        <f>IF(S715="S",T715,IF(AND(S715="A",T715&lt;&gt;""),IFERROR(MATCH(INDEX('AFA Rates'!$A$5:$A$1004,T715),Firms!$A$5:$A$1004,0),""),""))</f>
        <v/>
      </c>
    </row>
    <row r="716">
      <c r="A716" s="78">
        <f>IF($T716="","",IF($S716="S",IF(INDEX(Firms!$A$5:$A$1004,$T716)="","",INDEX(Firms!$A$5:$A$1004,$T716)),IF(INDEX('AFA Rates'!$A$5:$A$1004,$T716)="","",INDEX('AFA Rates'!$A$5:$A$1004,$T716))))</f>
        <v/>
      </c>
      <c r="B716" s="79">
        <f>IF(OR($T716="",$U716=""),IF($T716="","","Not on Firms tab"),INDEX(Firms!$B$5:$B$1004,$U716)&amp;"")</f>
        <v/>
      </c>
      <c r="C716" s="78">
        <f>IF($T716="","",IF($S716="S","Standard",INDEX('AFA Rates'!$B$5:$B$1004,$T716)&amp;""))</f>
        <v/>
      </c>
      <c r="D716" s="88">
        <f>IF($T716="","",IF($S716="S",IF(INDEX(Firms!$E$5:$E$1004,$T716)="","",INDEX(Firms!$E$5:$E$1004,$T716)),IF(INDEX('AFA Rates'!$C$5:$C$1004,$T716)="","",INDEX('AFA Rates'!$C$5:$C$1004,$T716))))</f>
        <v/>
      </c>
      <c r="E716" s="88">
        <f>IF($T716="","",IF($S716="S",IF(""="","",""),IF(INDEX('AFA Rates'!$D$5:$D$1004,$T716)="","",INDEX('AFA Rates'!$D$5:$D$1004,$T716))))</f>
        <v/>
      </c>
      <c r="F716" s="79">
        <f>IF($T716="","",IF($S716="S",IF(INDEX(Firms!$O$5:$O$1004,$T716)="","",INDEX(Firms!$O$5:$O$1004,$T716)),IF(INDEX('AFA Rates'!$O$5:$O$1004,$T716)="","",INDEX('AFA Rates'!$O$5:$O$1004,$T716))))</f>
        <v/>
      </c>
      <c r="G716" s="50">
        <f>IF($T716="","",IF($S716="S",IF(INDEX(Firms!$F$5:$F$1004,$T716)="","",INDEX(Firms!$F$5:$F$1004,$T716)),IF(INDEX('AFA Rates'!$E$5:$E$1004,$T716)="","",INDEX('AFA Rates'!$E$5:$E$1004,$T716))))</f>
        <v/>
      </c>
      <c r="H716" s="50">
        <f>IF($T716="","",IF($S716="S",IF(INDEX(Firms!$G$5:$G$1004,$T716)="","",INDEX(Firms!$G$5:$G$1004,$T716)),IF(INDEX('AFA Rates'!$F$5:$F$1004,$T716)="","",INDEX('AFA Rates'!$F$5:$F$1004,$T716))))</f>
        <v/>
      </c>
      <c r="I716" s="50">
        <f>IF($T716="","",IF($S716="S",IF(INDEX(Firms!$H$5:$H$1004,$T716)="","",INDEX(Firms!$H$5:$H$1004,$T716)),IF(INDEX('AFA Rates'!$G$5:$G$1004,$T716)="","",INDEX('AFA Rates'!$G$5:$G$1004,$T716))))</f>
        <v/>
      </c>
      <c r="J716" s="50">
        <f>IF($T716="","",IF($S716="S",IF(INDEX(Firms!$I$5:$I$1004,$T716)="","",INDEX(Firms!$I$5:$I$1004,$T716)),IF(INDEX('AFA Rates'!$H$5:$H$1004,$T716)="","",INDEX('AFA Rates'!$H$5:$H$1004,$T716))))</f>
        <v/>
      </c>
      <c r="K716" s="50">
        <f>IF($T716="","",IF($S716="S",IF(INDEX(Firms!$J$5:$J$1004,$T716)="","",INDEX(Firms!$J$5:$J$1004,$T716)),IF(INDEX('AFA Rates'!$I$5:$I$1004,$T716)="","",INDEX('AFA Rates'!$I$5:$I$1004,$T716))))</f>
        <v/>
      </c>
      <c r="L716" s="50">
        <f>IF($T716="","",IF($S716="S",IF(INDEX(Firms!$K$5:$K$1004,$T716)="","",INDEX(Firms!$K$5:$K$1004,$T716)),IF(INDEX('AFA Rates'!$J$5:$J$1004,$T716)="","",INDEX('AFA Rates'!$J$5:$J$1004,$T716))))</f>
        <v/>
      </c>
      <c r="M716" s="50">
        <f>IF($T716="","",IF($S716="S",IF(INDEX(Firms!$L$5:$L$1004,$T716)="","",INDEX(Firms!$L$5:$L$1004,$T716)),IF(INDEX('AFA Rates'!$K$5:$K$1004,$T716)="","",INDEX('AFA Rates'!$K$5:$K$1004,$T716))))</f>
        <v/>
      </c>
      <c r="N716" s="50">
        <f>IF($T716="","",IF($S716="S",IF(INDEX(Firms!$M$5:$M$1004,$T716)="","",INDEX(Firms!$M$5:$M$1004,$T716)),IF(INDEX('AFA Rates'!$L$5:$L$1004,$T716)="","",INDEX('AFA Rates'!$L$5:$L$1004,$T716))))</f>
        <v/>
      </c>
      <c r="O716" s="78">
        <f>IF(OR($T716="",$U716=""),"",IF(INDEX(Firms!$C$5:$C$1004,$U716)="","",INDEX(Firms!$C$5:$C$1004,$U716)))</f>
        <v/>
      </c>
      <c r="P716" s="79">
        <f>IF(OR($T716="",$U716=""),"",IF(INDEX(Firms!$N$5:$N$1004,$U716)="","",INDEX(Firms!$N$5:$N$1004,$U716)))</f>
        <v/>
      </c>
      <c r="Q716" s="78">
        <f>IF($T716="","",IF($S716="S",IF(INDEX(Firms!$T$5:$T$1004,$T716)="","",INDEX(Firms!$T$5:$T$1004,$T716)),IF(INDEX('AFA Rates'!$M$5:$M$1004,$T716)="","",INDEX('AFA Rates'!$M$5:$M$1004,$T716))))</f>
        <v/>
      </c>
      <c r="S716">
        <f>IF(712&lt;=$S$2,"S",IF(712&lt;=$S$2+$T$2,"A",""))</f>
        <v/>
      </c>
      <c r="T716">
        <f>IF(S716="S",MATCH(712,Firms!$W$5:$W$1004,0),IF(S716="A",IFERROR(MATCH(712-$S$2,'AFA Rates'!$R$5:$R$1004,0),""),""))</f>
        <v/>
      </c>
      <c r="U716">
        <f>IF(S716="S",T716,IF(AND(S716="A",T716&lt;&gt;""),IFERROR(MATCH(INDEX('AFA Rates'!$A$5:$A$1004,T716),Firms!$A$5:$A$1004,0),""),""))</f>
        <v/>
      </c>
    </row>
    <row r="717">
      <c r="A717" s="78">
        <f>IF($T717="","",IF($S717="S",IF(INDEX(Firms!$A$5:$A$1004,$T717)="","",INDEX(Firms!$A$5:$A$1004,$T717)),IF(INDEX('AFA Rates'!$A$5:$A$1004,$T717)="","",INDEX('AFA Rates'!$A$5:$A$1004,$T717))))</f>
        <v/>
      </c>
      <c r="B717" s="79">
        <f>IF(OR($T717="",$U717=""),IF($T717="","","Not on Firms tab"),INDEX(Firms!$B$5:$B$1004,$U717)&amp;"")</f>
        <v/>
      </c>
      <c r="C717" s="78">
        <f>IF($T717="","",IF($S717="S","Standard",INDEX('AFA Rates'!$B$5:$B$1004,$T717)&amp;""))</f>
        <v/>
      </c>
      <c r="D717" s="88">
        <f>IF($T717="","",IF($S717="S",IF(INDEX(Firms!$E$5:$E$1004,$T717)="","",INDEX(Firms!$E$5:$E$1004,$T717)),IF(INDEX('AFA Rates'!$C$5:$C$1004,$T717)="","",INDEX('AFA Rates'!$C$5:$C$1004,$T717))))</f>
        <v/>
      </c>
      <c r="E717" s="88">
        <f>IF($T717="","",IF($S717="S",IF(""="","",""),IF(INDEX('AFA Rates'!$D$5:$D$1004,$T717)="","",INDEX('AFA Rates'!$D$5:$D$1004,$T717))))</f>
        <v/>
      </c>
      <c r="F717" s="79">
        <f>IF($T717="","",IF($S717="S",IF(INDEX(Firms!$O$5:$O$1004,$T717)="","",INDEX(Firms!$O$5:$O$1004,$T717)),IF(INDEX('AFA Rates'!$O$5:$O$1004,$T717)="","",INDEX('AFA Rates'!$O$5:$O$1004,$T717))))</f>
        <v/>
      </c>
      <c r="G717" s="50">
        <f>IF($T717="","",IF($S717="S",IF(INDEX(Firms!$F$5:$F$1004,$T717)="","",INDEX(Firms!$F$5:$F$1004,$T717)),IF(INDEX('AFA Rates'!$E$5:$E$1004,$T717)="","",INDEX('AFA Rates'!$E$5:$E$1004,$T717))))</f>
        <v/>
      </c>
      <c r="H717" s="50">
        <f>IF($T717="","",IF($S717="S",IF(INDEX(Firms!$G$5:$G$1004,$T717)="","",INDEX(Firms!$G$5:$G$1004,$T717)),IF(INDEX('AFA Rates'!$F$5:$F$1004,$T717)="","",INDEX('AFA Rates'!$F$5:$F$1004,$T717))))</f>
        <v/>
      </c>
      <c r="I717" s="50">
        <f>IF($T717="","",IF($S717="S",IF(INDEX(Firms!$H$5:$H$1004,$T717)="","",INDEX(Firms!$H$5:$H$1004,$T717)),IF(INDEX('AFA Rates'!$G$5:$G$1004,$T717)="","",INDEX('AFA Rates'!$G$5:$G$1004,$T717))))</f>
        <v/>
      </c>
      <c r="J717" s="50">
        <f>IF($T717="","",IF($S717="S",IF(INDEX(Firms!$I$5:$I$1004,$T717)="","",INDEX(Firms!$I$5:$I$1004,$T717)),IF(INDEX('AFA Rates'!$H$5:$H$1004,$T717)="","",INDEX('AFA Rates'!$H$5:$H$1004,$T717))))</f>
        <v/>
      </c>
      <c r="K717" s="50">
        <f>IF($T717="","",IF($S717="S",IF(INDEX(Firms!$J$5:$J$1004,$T717)="","",INDEX(Firms!$J$5:$J$1004,$T717)),IF(INDEX('AFA Rates'!$I$5:$I$1004,$T717)="","",INDEX('AFA Rates'!$I$5:$I$1004,$T717))))</f>
        <v/>
      </c>
      <c r="L717" s="50">
        <f>IF($T717="","",IF($S717="S",IF(INDEX(Firms!$K$5:$K$1004,$T717)="","",INDEX(Firms!$K$5:$K$1004,$T717)),IF(INDEX('AFA Rates'!$J$5:$J$1004,$T717)="","",INDEX('AFA Rates'!$J$5:$J$1004,$T717))))</f>
        <v/>
      </c>
      <c r="M717" s="50">
        <f>IF($T717="","",IF($S717="S",IF(INDEX(Firms!$L$5:$L$1004,$T717)="","",INDEX(Firms!$L$5:$L$1004,$T717)),IF(INDEX('AFA Rates'!$K$5:$K$1004,$T717)="","",INDEX('AFA Rates'!$K$5:$K$1004,$T717))))</f>
        <v/>
      </c>
      <c r="N717" s="50">
        <f>IF($T717="","",IF($S717="S",IF(INDEX(Firms!$M$5:$M$1004,$T717)="","",INDEX(Firms!$M$5:$M$1004,$T717)),IF(INDEX('AFA Rates'!$L$5:$L$1004,$T717)="","",INDEX('AFA Rates'!$L$5:$L$1004,$T717))))</f>
        <v/>
      </c>
      <c r="O717" s="78">
        <f>IF(OR($T717="",$U717=""),"",IF(INDEX(Firms!$C$5:$C$1004,$U717)="","",INDEX(Firms!$C$5:$C$1004,$U717)))</f>
        <v/>
      </c>
      <c r="P717" s="79">
        <f>IF(OR($T717="",$U717=""),"",IF(INDEX(Firms!$N$5:$N$1004,$U717)="","",INDEX(Firms!$N$5:$N$1004,$U717)))</f>
        <v/>
      </c>
      <c r="Q717" s="78">
        <f>IF($T717="","",IF($S717="S",IF(INDEX(Firms!$T$5:$T$1004,$T717)="","",INDEX(Firms!$T$5:$T$1004,$T717)),IF(INDEX('AFA Rates'!$M$5:$M$1004,$T717)="","",INDEX('AFA Rates'!$M$5:$M$1004,$T717))))</f>
        <v/>
      </c>
      <c r="S717">
        <f>IF(713&lt;=$S$2,"S",IF(713&lt;=$S$2+$T$2,"A",""))</f>
        <v/>
      </c>
      <c r="T717">
        <f>IF(S717="S",MATCH(713,Firms!$W$5:$W$1004,0),IF(S717="A",IFERROR(MATCH(713-$S$2,'AFA Rates'!$R$5:$R$1004,0),""),""))</f>
        <v/>
      </c>
      <c r="U717">
        <f>IF(S717="S",T717,IF(AND(S717="A",T717&lt;&gt;""),IFERROR(MATCH(INDEX('AFA Rates'!$A$5:$A$1004,T717),Firms!$A$5:$A$1004,0),""),""))</f>
        <v/>
      </c>
    </row>
    <row r="718">
      <c r="A718" s="78">
        <f>IF($T718="","",IF($S718="S",IF(INDEX(Firms!$A$5:$A$1004,$T718)="","",INDEX(Firms!$A$5:$A$1004,$T718)),IF(INDEX('AFA Rates'!$A$5:$A$1004,$T718)="","",INDEX('AFA Rates'!$A$5:$A$1004,$T718))))</f>
        <v/>
      </c>
      <c r="B718" s="79">
        <f>IF(OR($T718="",$U718=""),IF($T718="","","Not on Firms tab"),INDEX(Firms!$B$5:$B$1004,$U718)&amp;"")</f>
        <v/>
      </c>
      <c r="C718" s="78">
        <f>IF($T718="","",IF($S718="S","Standard",INDEX('AFA Rates'!$B$5:$B$1004,$T718)&amp;""))</f>
        <v/>
      </c>
      <c r="D718" s="88">
        <f>IF($T718="","",IF($S718="S",IF(INDEX(Firms!$E$5:$E$1004,$T718)="","",INDEX(Firms!$E$5:$E$1004,$T718)),IF(INDEX('AFA Rates'!$C$5:$C$1004,$T718)="","",INDEX('AFA Rates'!$C$5:$C$1004,$T718))))</f>
        <v/>
      </c>
      <c r="E718" s="88">
        <f>IF($T718="","",IF($S718="S",IF(""="","",""),IF(INDEX('AFA Rates'!$D$5:$D$1004,$T718)="","",INDEX('AFA Rates'!$D$5:$D$1004,$T718))))</f>
        <v/>
      </c>
      <c r="F718" s="79">
        <f>IF($T718="","",IF($S718="S",IF(INDEX(Firms!$O$5:$O$1004,$T718)="","",INDEX(Firms!$O$5:$O$1004,$T718)),IF(INDEX('AFA Rates'!$O$5:$O$1004,$T718)="","",INDEX('AFA Rates'!$O$5:$O$1004,$T718))))</f>
        <v/>
      </c>
      <c r="G718" s="50">
        <f>IF($T718="","",IF($S718="S",IF(INDEX(Firms!$F$5:$F$1004,$T718)="","",INDEX(Firms!$F$5:$F$1004,$T718)),IF(INDEX('AFA Rates'!$E$5:$E$1004,$T718)="","",INDEX('AFA Rates'!$E$5:$E$1004,$T718))))</f>
        <v/>
      </c>
      <c r="H718" s="50">
        <f>IF($T718="","",IF($S718="S",IF(INDEX(Firms!$G$5:$G$1004,$T718)="","",INDEX(Firms!$G$5:$G$1004,$T718)),IF(INDEX('AFA Rates'!$F$5:$F$1004,$T718)="","",INDEX('AFA Rates'!$F$5:$F$1004,$T718))))</f>
        <v/>
      </c>
      <c r="I718" s="50">
        <f>IF($T718="","",IF($S718="S",IF(INDEX(Firms!$H$5:$H$1004,$T718)="","",INDEX(Firms!$H$5:$H$1004,$T718)),IF(INDEX('AFA Rates'!$G$5:$G$1004,$T718)="","",INDEX('AFA Rates'!$G$5:$G$1004,$T718))))</f>
        <v/>
      </c>
      <c r="J718" s="50">
        <f>IF($T718="","",IF($S718="S",IF(INDEX(Firms!$I$5:$I$1004,$T718)="","",INDEX(Firms!$I$5:$I$1004,$T718)),IF(INDEX('AFA Rates'!$H$5:$H$1004,$T718)="","",INDEX('AFA Rates'!$H$5:$H$1004,$T718))))</f>
        <v/>
      </c>
      <c r="K718" s="50">
        <f>IF($T718="","",IF($S718="S",IF(INDEX(Firms!$J$5:$J$1004,$T718)="","",INDEX(Firms!$J$5:$J$1004,$T718)),IF(INDEX('AFA Rates'!$I$5:$I$1004,$T718)="","",INDEX('AFA Rates'!$I$5:$I$1004,$T718))))</f>
        <v/>
      </c>
      <c r="L718" s="50">
        <f>IF($T718="","",IF($S718="S",IF(INDEX(Firms!$K$5:$K$1004,$T718)="","",INDEX(Firms!$K$5:$K$1004,$T718)),IF(INDEX('AFA Rates'!$J$5:$J$1004,$T718)="","",INDEX('AFA Rates'!$J$5:$J$1004,$T718))))</f>
        <v/>
      </c>
      <c r="M718" s="50">
        <f>IF($T718="","",IF($S718="S",IF(INDEX(Firms!$L$5:$L$1004,$T718)="","",INDEX(Firms!$L$5:$L$1004,$T718)),IF(INDEX('AFA Rates'!$K$5:$K$1004,$T718)="","",INDEX('AFA Rates'!$K$5:$K$1004,$T718))))</f>
        <v/>
      </c>
      <c r="N718" s="50">
        <f>IF($T718="","",IF($S718="S",IF(INDEX(Firms!$M$5:$M$1004,$T718)="","",INDEX(Firms!$M$5:$M$1004,$T718)),IF(INDEX('AFA Rates'!$L$5:$L$1004,$T718)="","",INDEX('AFA Rates'!$L$5:$L$1004,$T718))))</f>
        <v/>
      </c>
      <c r="O718" s="78">
        <f>IF(OR($T718="",$U718=""),"",IF(INDEX(Firms!$C$5:$C$1004,$U718)="","",INDEX(Firms!$C$5:$C$1004,$U718)))</f>
        <v/>
      </c>
      <c r="P718" s="79">
        <f>IF(OR($T718="",$U718=""),"",IF(INDEX(Firms!$N$5:$N$1004,$U718)="","",INDEX(Firms!$N$5:$N$1004,$U718)))</f>
        <v/>
      </c>
      <c r="Q718" s="78">
        <f>IF($T718="","",IF($S718="S",IF(INDEX(Firms!$T$5:$T$1004,$T718)="","",INDEX(Firms!$T$5:$T$1004,$T718)),IF(INDEX('AFA Rates'!$M$5:$M$1004,$T718)="","",INDEX('AFA Rates'!$M$5:$M$1004,$T718))))</f>
        <v/>
      </c>
      <c r="S718">
        <f>IF(714&lt;=$S$2,"S",IF(714&lt;=$S$2+$T$2,"A",""))</f>
        <v/>
      </c>
      <c r="T718">
        <f>IF(S718="S",MATCH(714,Firms!$W$5:$W$1004,0),IF(S718="A",IFERROR(MATCH(714-$S$2,'AFA Rates'!$R$5:$R$1004,0),""),""))</f>
        <v/>
      </c>
      <c r="U718">
        <f>IF(S718="S",T718,IF(AND(S718="A",T718&lt;&gt;""),IFERROR(MATCH(INDEX('AFA Rates'!$A$5:$A$1004,T718),Firms!$A$5:$A$1004,0),""),""))</f>
        <v/>
      </c>
    </row>
    <row r="719">
      <c r="A719" s="78">
        <f>IF($T719="","",IF($S719="S",IF(INDEX(Firms!$A$5:$A$1004,$T719)="","",INDEX(Firms!$A$5:$A$1004,$T719)),IF(INDEX('AFA Rates'!$A$5:$A$1004,$T719)="","",INDEX('AFA Rates'!$A$5:$A$1004,$T719))))</f>
        <v/>
      </c>
      <c r="B719" s="79">
        <f>IF(OR($T719="",$U719=""),IF($T719="","","Not on Firms tab"),INDEX(Firms!$B$5:$B$1004,$U719)&amp;"")</f>
        <v/>
      </c>
      <c r="C719" s="78">
        <f>IF($T719="","",IF($S719="S","Standard",INDEX('AFA Rates'!$B$5:$B$1004,$T719)&amp;""))</f>
        <v/>
      </c>
      <c r="D719" s="88">
        <f>IF($T719="","",IF($S719="S",IF(INDEX(Firms!$E$5:$E$1004,$T719)="","",INDEX(Firms!$E$5:$E$1004,$T719)),IF(INDEX('AFA Rates'!$C$5:$C$1004,$T719)="","",INDEX('AFA Rates'!$C$5:$C$1004,$T719))))</f>
        <v/>
      </c>
      <c r="E719" s="88">
        <f>IF($T719="","",IF($S719="S",IF(""="","",""),IF(INDEX('AFA Rates'!$D$5:$D$1004,$T719)="","",INDEX('AFA Rates'!$D$5:$D$1004,$T719))))</f>
        <v/>
      </c>
      <c r="F719" s="79">
        <f>IF($T719="","",IF($S719="S",IF(INDEX(Firms!$O$5:$O$1004,$T719)="","",INDEX(Firms!$O$5:$O$1004,$T719)),IF(INDEX('AFA Rates'!$O$5:$O$1004,$T719)="","",INDEX('AFA Rates'!$O$5:$O$1004,$T719))))</f>
        <v/>
      </c>
      <c r="G719" s="50">
        <f>IF($T719="","",IF($S719="S",IF(INDEX(Firms!$F$5:$F$1004,$T719)="","",INDEX(Firms!$F$5:$F$1004,$T719)),IF(INDEX('AFA Rates'!$E$5:$E$1004,$T719)="","",INDEX('AFA Rates'!$E$5:$E$1004,$T719))))</f>
        <v/>
      </c>
      <c r="H719" s="50">
        <f>IF($T719="","",IF($S719="S",IF(INDEX(Firms!$G$5:$G$1004,$T719)="","",INDEX(Firms!$G$5:$G$1004,$T719)),IF(INDEX('AFA Rates'!$F$5:$F$1004,$T719)="","",INDEX('AFA Rates'!$F$5:$F$1004,$T719))))</f>
        <v/>
      </c>
      <c r="I719" s="50">
        <f>IF($T719="","",IF($S719="S",IF(INDEX(Firms!$H$5:$H$1004,$T719)="","",INDEX(Firms!$H$5:$H$1004,$T719)),IF(INDEX('AFA Rates'!$G$5:$G$1004,$T719)="","",INDEX('AFA Rates'!$G$5:$G$1004,$T719))))</f>
        <v/>
      </c>
      <c r="J719" s="50">
        <f>IF($T719="","",IF($S719="S",IF(INDEX(Firms!$I$5:$I$1004,$T719)="","",INDEX(Firms!$I$5:$I$1004,$T719)),IF(INDEX('AFA Rates'!$H$5:$H$1004,$T719)="","",INDEX('AFA Rates'!$H$5:$H$1004,$T719))))</f>
        <v/>
      </c>
      <c r="K719" s="50">
        <f>IF($T719="","",IF($S719="S",IF(INDEX(Firms!$J$5:$J$1004,$T719)="","",INDEX(Firms!$J$5:$J$1004,$T719)),IF(INDEX('AFA Rates'!$I$5:$I$1004,$T719)="","",INDEX('AFA Rates'!$I$5:$I$1004,$T719))))</f>
        <v/>
      </c>
      <c r="L719" s="50">
        <f>IF($T719="","",IF($S719="S",IF(INDEX(Firms!$K$5:$K$1004,$T719)="","",INDEX(Firms!$K$5:$K$1004,$T719)),IF(INDEX('AFA Rates'!$J$5:$J$1004,$T719)="","",INDEX('AFA Rates'!$J$5:$J$1004,$T719))))</f>
        <v/>
      </c>
      <c r="M719" s="50">
        <f>IF($T719="","",IF($S719="S",IF(INDEX(Firms!$L$5:$L$1004,$T719)="","",INDEX(Firms!$L$5:$L$1004,$T719)),IF(INDEX('AFA Rates'!$K$5:$K$1004,$T719)="","",INDEX('AFA Rates'!$K$5:$K$1004,$T719))))</f>
        <v/>
      </c>
      <c r="N719" s="50">
        <f>IF($T719="","",IF($S719="S",IF(INDEX(Firms!$M$5:$M$1004,$T719)="","",INDEX(Firms!$M$5:$M$1004,$T719)),IF(INDEX('AFA Rates'!$L$5:$L$1004,$T719)="","",INDEX('AFA Rates'!$L$5:$L$1004,$T719))))</f>
        <v/>
      </c>
      <c r="O719" s="78">
        <f>IF(OR($T719="",$U719=""),"",IF(INDEX(Firms!$C$5:$C$1004,$U719)="","",INDEX(Firms!$C$5:$C$1004,$U719)))</f>
        <v/>
      </c>
      <c r="P719" s="79">
        <f>IF(OR($T719="",$U719=""),"",IF(INDEX(Firms!$N$5:$N$1004,$U719)="","",INDEX(Firms!$N$5:$N$1004,$U719)))</f>
        <v/>
      </c>
      <c r="Q719" s="78">
        <f>IF($T719="","",IF($S719="S",IF(INDEX(Firms!$T$5:$T$1004,$T719)="","",INDEX(Firms!$T$5:$T$1004,$T719)),IF(INDEX('AFA Rates'!$M$5:$M$1004,$T719)="","",INDEX('AFA Rates'!$M$5:$M$1004,$T719))))</f>
        <v/>
      </c>
      <c r="S719">
        <f>IF(715&lt;=$S$2,"S",IF(715&lt;=$S$2+$T$2,"A",""))</f>
        <v/>
      </c>
      <c r="T719">
        <f>IF(S719="S",MATCH(715,Firms!$W$5:$W$1004,0),IF(S719="A",IFERROR(MATCH(715-$S$2,'AFA Rates'!$R$5:$R$1004,0),""),""))</f>
        <v/>
      </c>
      <c r="U719">
        <f>IF(S719="S",T719,IF(AND(S719="A",T719&lt;&gt;""),IFERROR(MATCH(INDEX('AFA Rates'!$A$5:$A$1004,T719),Firms!$A$5:$A$1004,0),""),""))</f>
        <v/>
      </c>
    </row>
    <row r="720">
      <c r="A720" s="78">
        <f>IF($T720="","",IF($S720="S",IF(INDEX(Firms!$A$5:$A$1004,$T720)="","",INDEX(Firms!$A$5:$A$1004,$T720)),IF(INDEX('AFA Rates'!$A$5:$A$1004,$T720)="","",INDEX('AFA Rates'!$A$5:$A$1004,$T720))))</f>
        <v/>
      </c>
      <c r="B720" s="79">
        <f>IF(OR($T720="",$U720=""),IF($T720="","","Not on Firms tab"),INDEX(Firms!$B$5:$B$1004,$U720)&amp;"")</f>
        <v/>
      </c>
      <c r="C720" s="78">
        <f>IF($T720="","",IF($S720="S","Standard",INDEX('AFA Rates'!$B$5:$B$1004,$T720)&amp;""))</f>
        <v/>
      </c>
      <c r="D720" s="88">
        <f>IF($T720="","",IF($S720="S",IF(INDEX(Firms!$E$5:$E$1004,$T720)="","",INDEX(Firms!$E$5:$E$1004,$T720)),IF(INDEX('AFA Rates'!$C$5:$C$1004,$T720)="","",INDEX('AFA Rates'!$C$5:$C$1004,$T720))))</f>
        <v/>
      </c>
      <c r="E720" s="88">
        <f>IF($T720="","",IF($S720="S",IF(""="","",""),IF(INDEX('AFA Rates'!$D$5:$D$1004,$T720)="","",INDEX('AFA Rates'!$D$5:$D$1004,$T720))))</f>
        <v/>
      </c>
      <c r="F720" s="79">
        <f>IF($T720="","",IF($S720="S",IF(INDEX(Firms!$O$5:$O$1004,$T720)="","",INDEX(Firms!$O$5:$O$1004,$T720)),IF(INDEX('AFA Rates'!$O$5:$O$1004,$T720)="","",INDEX('AFA Rates'!$O$5:$O$1004,$T720))))</f>
        <v/>
      </c>
      <c r="G720" s="50">
        <f>IF($T720="","",IF($S720="S",IF(INDEX(Firms!$F$5:$F$1004,$T720)="","",INDEX(Firms!$F$5:$F$1004,$T720)),IF(INDEX('AFA Rates'!$E$5:$E$1004,$T720)="","",INDEX('AFA Rates'!$E$5:$E$1004,$T720))))</f>
        <v/>
      </c>
      <c r="H720" s="50">
        <f>IF($T720="","",IF($S720="S",IF(INDEX(Firms!$G$5:$G$1004,$T720)="","",INDEX(Firms!$G$5:$G$1004,$T720)),IF(INDEX('AFA Rates'!$F$5:$F$1004,$T720)="","",INDEX('AFA Rates'!$F$5:$F$1004,$T720))))</f>
        <v/>
      </c>
      <c r="I720" s="50">
        <f>IF($T720="","",IF($S720="S",IF(INDEX(Firms!$H$5:$H$1004,$T720)="","",INDEX(Firms!$H$5:$H$1004,$T720)),IF(INDEX('AFA Rates'!$G$5:$G$1004,$T720)="","",INDEX('AFA Rates'!$G$5:$G$1004,$T720))))</f>
        <v/>
      </c>
      <c r="J720" s="50">
        <f>IF($T720="","",IF($S720="S",IF(INDEX(Firms!$I$5:$I$1004,$T720)="","",INDEX(Firms!$I$5:$I$1004,$T720)),IF(INDEX('AFA Rates'!$H$5:$H$1004,$T720)="","",INDEX('AFA Rates'!$H$5:$H$1004,$T720))))</f>
        <v/>
      </c>
      <c r="K720" s="50">
        <f>IF($T720="","",IF($S720="S",IF(INDEX(Firms!$J$5:$J$1004,$T720)="","",INDEX(Firms!$J$5:$J$1004,$T720)),IF(INDEX('AFA Rates'!$I$5:$I$1004,$T720)="","",INDEX('AFA Rates'!$I$5:$I$1004,$T720))))</f>
        <v/>
      </c>
      <c r="L720" s="50">
        <f>IF($T720="","",IF($S720="S",IF(INDEX(Firms!$K$5:$K$1004,$T720)="","",INDEX(Firms!$K$5:$K$1004,$T720)),IF(INDEX('AFA Rates'!$J$5:$J$1004,$T720)="","",INDEX('AFA Rates'!$J$5:$J$1004,$T720))))</f>
        <v/>
      </c>
      <c r="M720" s="50">
        <f>IF($T720="","",IF($S720="S",IF(INDEX(Firms!$L$5:$L$1004,$T720)="","",INDEX(Firms!$L$5:$L$1004,$T720)),IF(INDEX('AFA Rates'!$K$5:$K$1004,$T720)="","",INDEX('AFA Rates'!$K$5:$K$1004,$T720))))</f>
        <v/>
      </c>
      <c r="N720" s="50">
        <f>IF($T720="","",IF($S720="S",IF(INDEX(Firms!$M$5:$M$1004,$T720)="","",INDEX(Firms!$M$5:$M$1004,$T720)),IF(INDEX('AFA Rates'!$L$5:$L$1004,$T720)="","",INDEX('AFA Rates'!$L$5:$L$1004,$T720))))</f>
        <v/>
      </c>
      <c r="O720" s="78">
        <f>IF(OR($T720="",$U720=""),"",IF(INDEX(Firms!$C$5:$C$1004,$U720)="","",INDEX(Firms!$C$5:$C$1004,$U720)))</f>
        <v/>
      </c>
      <c r="P720" s="79">
        <f>IF(OR($T720="",$U720=""),"",IF(INDEX(Firms!$N$5:$N$1004,$U720)="","",INDEX(Firms!$N$5:$N$1004,$U720)))</f>
        <v/>
      </c>
      <c r="Q720" s="78">
        <f>IF($T720="","",IF($S720="S",IF(INDEX(Firms!$T$5:$T$1004,$T720)="","",INDEX(Firms!$T$5:$T$1004,$T720)),IF(INDEX('AFA Rates'!$M$5:$M$1004,$T720)="","",INDEX('AFA Rates'!$M$5:$M$1004,$T720))))</f>
        <v/>
      </c>
      <c r="S720">
        <f>IF(716&lt;=$S$2,"S",IF(716&lt;=$S$2+$T$2,"A",""))</f>
        <v/>
      </c>
      <c r="T720">
        <f>IF(S720="S",MATCH(716,Firms!$W$5:$W$1004,0),IF(S720="A",IFERROR(MATCH(716-$S$2,'AFA Rates'!$R$5:$R$1004,0),""),""))</f>
        <v/>
      </c>
      <c r="U720">
        <f>IF(S720="S",T720,IF(AND(S720="A",T720&lt;&gt;""),IFERROR(MATCH(INDEX('AFA Rates'!$A$5:$A$1004,T720),Firms!$A$5:$A$1004,0),""),""))</f>
        <v/>
      </c>
    </row>
    <row r="721">
      <c r="A721" s="78">
        <f>IF($T721="","",IF($S721="S",IF(INDEX(Firms!$A$5:$A$1004,$T721)="","",INDEX(Firms!$A$5:$A$1004,$T721)),IF(INDEX('AFA Rates'!$A$5:$A$1004,$T721)="","",INDEX('AFA Rates'!$A$5:$A$1004,$T721))))</f>
        <v/>
      </c>
      <c r="B721" s="79">
        <f>IF(OR($T721="",$U721=""),IF($T721="","","Not on Firms tab"),INDEX(Firms!$B$5:$B$1004,$U721)&amp;"")</f>
        <v/>
      </c>
      <c r="C721" s="78">
        <f>IF($T721="","",IF($S721="S","Standard",INDEX('AFA Rates'!$B$5:$B$1004,$T721)&amp;""))</f>
        <v/>
      </c>
      <c r="D721" s="88">
        <f>IF($T721="","",IF($S721="S",IF(INDEX(Firms!$E$5:$E$1004,$T721)="","",INDEX(Firms!$E$5:$E$1004,$T721)),IF(INDEX('AFA Rates'!$C$5:$C$1004,$T721)="","",INDEX('AFA Rates'!$C$5:$C$1004,$T721))))</f>
        <v/>
      </c>
      <c r="E721" s="88">
        <f>IF($T721="","",IF($S721="S",IF(""="","",""),IF(INDEX('AFA Rates'!$D$5:$D$1004,$T721)="","",INDEX('AFA Rates'!$D$5:$D$1004,$T721))))</f>
        <v/>
      </c>
      <c r="F721" s="79">
        <f>IF($T721="","",IF($S721="S",IF(INDEX(Firms!$O$5:$O$1004,$T721)="","",INDEX(Firms!$O$5:$O$1004,$T721)),IF(INDEX('AFA Rates'!$O$5:$O$1004,$T721)="","",INDEX('AFA Rates'!$O$5:$O$1004,$T721))))</f>
        <v/>
      </c>
      <c r="G721" s="50">
        <f>IF($T721="","",IF($S721="S",IF(INDEX(Firms!$F$5:$F$1004,$T721)="","",INDEX(Firms!$F$5:$F$1004,$T721)),IF(INDEX('AFA Rates'!$E$5:$E$1004,$T721)="","",INDEX('AFA Rates'!$E$5:$E$1004,$T721))))</f>
        <v/>
      </c>
      <c r="H721" s="50">
        <f>IF($T721="","",IF($S721="S",IF(INDEX(Firms!$G$5:$G$1004,$T721)="","",INDEX(Firms!$G$5:$G$1004,$T721)),IF(INDEX('AFA Rates'!$F$5:$F$1004,$T721)="","",INDEX('AFA Rates'!$F$5:$F$1004,$T721))))</f>
        <v/>
      </c>
      <c r="I721" s="50">
        <f>IF($T721="","",IF($S721="S",IF(INDEX(Firms!$H$5:$H$1004,$T721)="","",INDEX(Firms!$H$5:$H$1004,$T721)),IF(INDEX('AFA Rates'!$G$5:$G$1004,$T721)="","",INDEX('AFA Rates'!$G$5:$G$1004,$T721))))</f>
        <v/>
      </c>
      <c r="J721" s="50">
        <f>IF($T721="","",IF($S721="S",IF(INDEX(Firms!$I$5:$I$1004,$T721)="","",INDEX(Firms!$I$5:$I$1004,$T721)),IF(INDEX('AFA Rates'!$H$5:$H$1004,$T721)="","",INDEX('AFA Rates'!$H$5:$H$1004,$T721))))</f>
        <v/>
      </c>
      <c r="K721" s="50">
        <f>IF($T721="","",IF($S721="S",IF(INDEX(Firms!$J$5:$J$1004,$T721)="","",INDEX(Firms!$J$5:$J$1004,$T721)),IF(INDEX('AFA Rates'!$I$5:$I$1004,$T721)="","",INDEX('AFA Rates'!$I$5:$I$1004,$T721))))</f>
        <v/>
      </c>
      <c r="L721" s="50">
        <f>IF($T721="","",IF($S721="S",IF(INDEX(Firms!$K$5:$K$1004,$T721)="","",INDEX(Firms!$K$5:$K$1004,$T721)),IF(INDEX('AFA Rates'!$J$5:$J$1004,$T721)="","",INDEX('AFA Rates'!$J$5:$J$1004,$T721))))</f>
        <v/>
      </c>
      <c r="M721" s="50">
        <f>IF($T721="","",IF($S721="S",IF(INDEX(Firms!$L$5:$L$1004,$T721)="","",INDEX(Firms!$L$5:$L$1004,$T721)),IF(INDEX('AFA Rates'!$K$5:$K$1004,$T721)="","",INDEX('AFA Rates'!$K$5:$K$1004,$T721))))</f>
        <v/>
      </c>
      <c r="N721" s="50">
        <f>IF($T721="","",IF($S721="S",IF(INDEX(Firms!$M$5:$M$1004,$T721)="","",INDEX(Firms!$M$5:$M$1004,$T721)),IF(INDEX('AFA Rates'!$L$5:$L$1004,$T721)="","",INDEX('AFA Rates'!$L$5:$L$1004,$T721))))</f>
        <v/>
      </c>
      <c r="O721" s="78">
        <f>IF(OR($T721="",$U721=""),"",IF(INDEX(Firms!$C$5:$C$1004,$U721)="","",INDEX(Firms!$C$5:$C$1004,$U721)))</f>
        <v/>
      </c>
      <c r="P721" s="79">
        <f>IF(OR($T721="",$U721=""),"",IF(INDEX(Firms!$N$5:$N$1004,$U721)="","",INDEX(Firms!$N$5:$N$1004,$U721)))</f>
        <v/>
      </c>
      <c r="Q721" s="78">
        <f>IF($T721="","",IF($S721="S",IF(INDEX(Firms!$T$5:$T$1004,$T721)="","",INDEX(Firms!$T$5:$T$1004,$T721)),IF(INDEX('AFA Rates'!$M$5:$M$1004,$T721)="","",INDEX('AFA Rates'!$M$5:$M$1004,$T721))))</f>
        <v/>
      </c>
      <c r="S721">
        <f>IF(717&lt;=$S$2,"S",IF(717&lt;=$S$2+$T$2,"A",""))</f>
        <v/>
      </c>
      <c r="T721">
        <f>IF(S721="S",MATCH(717,Firms!$W$5:$W$1004,0),IF(S721="A",IFERROR(MATCH(717-$S$2,'AFA Rates'!$R$5:$R$1004,0),""),""))</f>
        <v/>
      </c>
      <c r="U721">
        <f>IF(S721="S",T721,IF(AND(S721="A",T721&lt;&gt;""),IFERROR(MATCH(INDEX('AFA Rates'!$A$5:$A$1004,T721),Firms!$A$5:$A$1004,0),""),""))</f>
        <v/>
      </c>
    </row>
    <row r="722">
      <c r="A722" s="78">
        <f>IF($T722="","",IF($S722="S",IF(INDEX(Firms!$A$5:$A$1004,$T722)="","",INDEX(Firms!$A$5:$A$1004,$T722)),IF(INDEX('AFA Rates'!$A$5:$A$1004,$T722)="","",INDEX('AFA Rates'!$A$5:$A$1004,$T722))))</f>
        <v/>
      </c>
      <c r="B722" s="79">
        <f>IF(OR($T722="",$U722=""),IF($T722="","","Not on Firms tab"),INDEX(Firms!$B$5:$B$1004,$U722)&amp;"")</f>
        <v/>
      </c>
      <c r="C722" s="78">
        <f>IF($T722="","",IF($S722="S","Standard",INDEX('AFA Rates'!$B$5:$B$1004,$T722)&amp;""))</f>
        <v/>
      </c>
      <c r="D722" s="88">
        <f>IF($T722="","",IF($S722="S",IF(INDEX(Firms!$E$5:$E$1004,$T722)="","",INDEX(Firms!$E$5:$E$1004,$T722)),IF(INDEX('AFA Rates'!$C$5:$C$1004,$T722)="","",INDEX('AFA Rates'!$C$5:$C$1004,$T722))))</f>
        <v/>
      </c>
      <c r="E722" s="88">
        <f>IF($T722="","",IF($S722="S",IF(""="","",""),IF(INDEX('AFA Rates'!$D$5:$D$1004,$T722)="","",INDEX('AFA Rates'!$D$5:$D$1004,$T722))))</f>
        <v/>
      </c>
      <c r="F722" s="79">
        <f>IF($T722="","",IF($S722="S",IF(INDEX(Firms!$O$5:$O$1004,$T722)="","",INDEX(Firms!$O$5:$O$1004,$T722)),IF(INDEX('AFA Rates'!$O$5:$O$1004,$T722)="","",INDEX('AFA Rates'!$O$5:$O$1004,$T722))))</f>
        <v/>
      </c>
      <c r="G722" s="50">
        <f>IF($T722="","",IF($S722="S",IF(INDEX(Firms!$F$5:$F$1004,$T722)="","",INDEX(Firms!$F$5:$F$1004,$T722)),IF(INDEX('AFA Rates'!$E$5:$E$1004,$T722)="","",INDEX('AFA Rates'!$E$5:$E$1004,$T722))))</f>
        <v/>
      </c>
      <c r="H722" s="50">
        <f>IF($T722="","",IF($S722="S",IF(INDEX(Firms!$G$5:$G$1004,$T722)="","",INDEX(Firms!$G$5:$G$1004,$T722)),IF(INDEX('AFA Rates'!$F$5:$F$1004,$T722)="","",INDEX('AFA Rates'!$F$5:$F$1004,$T722))))</f>
        <v/>
      </c>
      <c r="I722" s="50">
        <f>IF($T722="","",IF($S722="S",IF(INDEX(Firms!$H$5:$H$1004,$T722)="","",INDEX(Firms!$H$5:$H$1004,$T722)),IF(INDEX('AFA Rates'!$G$5:$G$1004,$T722)="","",INDEX('AFA Rates'!$G$5:$G$1004,$T722))))</f>
        <v/>
      </c>
      <c r="J722" s="50">
        <f>IF($T722="","",IF($S722="S",IF(INDEX(Firms!$I$5:$I$1004,$T722)="","",INDEX(Firms!$I$5:$I$1004,$T722)),IF(INDEX('AFA Rates'!$H$5:$H$1004,$T722)="","",INDEX('AFA Rates'!$H$5:$H$1004,$T722))))</f>
        <v/>
      </c>
      <c r="K722" s="50">
        <f>IF($T722="","",IF($S722="S",IF(INDEX(Firms!$J$5:$J$1004,$T722)="","",INDEX(Firms!$J$5:$J$1004,$T722)),IF(INDEX('AFA Rates'!$I$5:$I$1004,$T722)="","",INDEX('AFA Rates'!$I$5:$I$1004,$T722))))</f>
        <v/>
      </c>
      <c r="L722" s="50">
        <f>IF($T722="","",IF($S722="S",IF(INDEX(Firms!$K$5:$K$1004,$T722)="","",INDEX(Firms!$K$5:$K$1004,$T722)),IF(INDEX('AFA Rates'!$J$5:$J$1004,$T722)="","",INDEX('AFA Rates'!$J$5:$J$1004,$T722))))</f>
        <v/>
      </c>
      <c r="M722" s="50">
        <f>IF($T722="","",IF($S722="S",IF(INDEX(Firms!$L$5:$L$1004,$T722)="","",INDEX(Firms!$L$5:$L$1004,$T722)),IF(INDEX('AFA Rates'!$K$5:$K$1004,$T722)="","",INDEX('AFA Rates'!$K$5:$K$1004,$T722))))</f>
        <v/>
      </c>
      <c r="N722" s="50">
        <f>IF($T722="","",IF($S722="S",IF(INDEX(Firms!$M$5:$M$1004,$T722)="","",INDEX(Firms!$M$5:$M$1004,$T722)),IF(INDEX('AFA Rates'!$L$5:$L$1004,$T722)="","",INDEX('AFA Rates'!$L$5:$L$1004,$T722))))</f>
        <v/>
      </c>
      <c r="O722" s="78">
        <f>IF(OR($T722="",$U722=""),"",IF(INDEX(Firms!$C$5:$C$1004,$U722)="","",INDEX(Firms!$C$5:$C$1004,$U722)))</f>
        <v/>
      </c>
      <c r="P722" s="79">
        <f>IF(OR($T722="",$U722=""),"",IF(INDEX(Firms!$N$5:$N$1004,$U722)="","",INDEX(Firms!$N$5:$N$1004,$U722)))</f>
        <v/>
      </c>
      <c r="Q722" s="78">
        <f>IF($T722="","",IF($S722="S",IF(INDEX(Firms!$T$5:$T$1004,$T722)="","",INDEX(Firms!$T$5:$T$1004,$T722)),IF(INDEX('AFA Rates'!$M$5:$M$1004,$T722)="","",INDEX('AFA Rates'!$M$5:$M$1004,$T722))))</f>
        <v/>
      </c>
      <c r="S722">
        <f>IF(718&lt;=$S$2,"S",IF(718&lt;=$S$2+$T$2,"A",""))</f>
        <v/>
      </c>
      <c r="T722">
        <f>IF(S722="S",MATCH(718,Firms!$W$5:$W$1004,0),IF(S722="A",IFERROR(MATCH(718-$S$2,'AFA Rates'!$R$5:$R$1004,0),""),""))</f>
        <v/>
      </c>
      <c r="U722">
        <f>IF(S722="S",T722,IF(AND(S722="A",T722&lt;&gt;""),IFERROR(MATCH(INDEX('AFA Rates'!$A$5:$A$1004,T722),Firms!$A$5:$A$1004,0),""),""))</f>
        <v/>
      </c>
    </row>
    <row r="723">
      <c r="A723" s="78">
        <f>IF($T723="","",IF($S723="S",IF(INDEX(Firms!$A$5:$A$1004,$T723)="","",INDEX(Firms!$A$5:$A$1004,$T723)),IF(INDEX('AFA Rates'!$A$5:$A$1004,$T723)="","",INDEX('AFA Rates'!$A$5:$A$1004,$T723))))</f>
        <v/>
      </c>
      <c r="B723" s="79">
        <f>IF(OR($T723="",$U723=""),IF($T723="","","Not on Firms tab"),INDEX(Firms!$B$5:$B$1004,$U723)&amp;"")</f>
        <v/>
      </c>
      <c r="C723" s="78">
        <f>IF($T723="","",IF($S723="S","Standard",INDEX('AFA Rates'!$B$5:$B$1004,$T723)&amp;""))</f>
        <v/>
      </c>
      <c r="D723" s="88">
        <f>IF($T723="","",IF($S723="S",IF(INDEX(Firms!$E$5:$E$1004,$T723)="","",INDEX(Firms!$E$5:$E$1004,$T723)),IF(INDEX('AFA Rates'!$C$5:$C$1004,$T723)="","",INDEX('AFA Rates'!$C$5:$C$1004,$T723))))</f>
        <v/>
      </c>
      <c r="E723" s="88">
        <f>IF($T723="","",IF($S723="S",IF(""="","",""),IF(INDEX('AFA Rates'!$D$5:$D$1004,$T723)="","",INDEX('AFA Rates'!$D$5:$D$1004,$T723))))</f>
        <v/>
      </c>
      <c r="F723" s="79">
        <f>IF($T723="","",IF($S723="S",IF(INDEX(Firms!$O$5:$O$1004,$T723)="","",INDEX(Firms!$O$5:$O$1004,$T723)),IF(INDEX('AFA Rates'!$O$5:$O$1004,$T723)="","",INDEX('AFA Rates'!$O$5:$O$1004,$T723))))</f>
        <v/>
      </c>
      <c r="G723" s="50">
        <f>IF($T723="","",IF($S723="S",IF(INDEX(Firms!$F$5:$F$1004,$T723)="","",INDEX(Firms!$F$5:$F$1004,$T723)),IF(INDEX('AFA Rates'!$E$5:$E$1004,$T723)="","",INDEX('AFA Rates'!$E$5:$E$1004,$T723))))</f>
        <v/>
      </c>
      <c r="H723" s="50">
        <f>IF($T723="","",IF($S723="S",IF(INDEX(Firms!$G$5:$G$1004,$T723)="","",INDEX(Firms!$G$5:$G$1004,$T723)),IF(INDEX('AFA Rates'!$F$5:$F$1004,$T723)="","",INDEX('AFA Rates'!$F$5:$F$1004,$T723))))</f>
        <v/>
      </c>
      <c r="I723" s="50">
        <f>IF($T723="","",IF($S723="S",IF(INDEX(Firms!$H$5:$H$1004,$T723)="","",INDEX(Firms!$H$5:$H$1004,$T723)),IF(INDEX('AFA Rates'!$G$5:$G$1004,$T723)="","",INDEX('AFA Rates'!$G$5:$G$1004,$T723))))</f>
        <v/>
      </c>
      <c r="J723" s="50">
        <f>IF($T723="","",IF($S723="S",IF(INDEX(Firms!$I$5:$I$1004,$T723)="","",INDEX(Firms!$I$5:$I$1004,$T723)),IF(INDEX('AFA Rates'!$H$5:$H$1004,$T723)="","",INDEX('AFA Rates'!$H$5:$H$1004,$T723))))</f>
        <v/>
      </c>
      <c r="K723" s="50">
        <f>IF($T723="","",IF($S723="S",IF(INDEX(Firms!$J$5:$J$1004,$T723)="","",INDEX(Firms!$J$5:$J$1004,$T723)),IF(INDEX('AFA Rates'!$I$5:$I$1004,$T723)="","",INDEX('AFA Rates'!$I$5:$I$1004,$T723))))</f>
        <v/>
      </c>
      <c r="L723" s="50">
        <f>IF($T723="","",IF($S723="S",IF(INDEX(Firms!$K$5:$K$1004,$T723)="","",INDEX(Firms!$K$5:$K$1004,$T723)),IF(INDEX('AFA Rates'!$J$5:$J$1004,$T723)="","",INDEX('AFA Rates'!$J$5:$J$1004,$T723))))</f>
        <v/>
      </c>
      <c r="M723" s="50">
        <f>IF($T723="","",IF($S723="S",IF(INDEX(Firms!$L$5:$L$1004,$T723)="","",INDEX(Firms!$L$5:$L$1004,$T723)),IF(INDEX('AFA Rates'!$K$5:$K$1004,$T723)="","",INDEX('AFA Rates'!$K$5:$K$1004,$T723))))</f>
        <v/>
      </c>
      <c r="N723" s="50">
        <f>IF($T723="","",IF($S723="S",IF(INDEX(Firms!$M$5:$M$1004,$T723)="","",INDEX(Firms!$M$5:$M$1004,$T723)),IF(INDEX('AFA Rates'!$L$5:$L$1004,$T723)="","",INDEX('AFA Rates'!$L$5:$L$1004,$T723))))</f>
        <v/>
      </c>
      <c r="O723" s="78">
        <f>IF(OR($T723="",$U723=""),"",IF(INDEX(Firms!$C$5:$C$1004,$U723)="","",INDEX(Firms!$C$5:$C$1004,$U723)))</f>
        <v/>
      </c>
      <c r="P723" s="79">
        <f>IF(OR($T723="",$U723=""),"",IF(INDEX(Firms!$N$5:$N$1004,$U723)="","",INDEX(Firms!$N$5:$N$1004,$U723)))</f>
        <v/>
      </c>
      <c r="Q723" s="78">
        <f>IF($T723="","",IF($S723="S",IF(INDEX(Firms!$T$5:$T$1004,$T723)="","",INDEX(Firms!$T$5:$T$1004,$T723)),IF(INDEX('AFA Rates'!$M$5:$M$1004,$T723)="","",INDEX('AFA Rates'!$M$5:$M$1004,$T723))))</f>
        <v/>
      </c>
      <c r="S723">
        <f>IF(719&lt;=$S$2,"S",IF(719&lt;=$S$2+$T$2,"A",""))</f>
        <v/>
      </c>
      <c r="T723">
        <f>IF(S723="S",MATCH(719,Firms!$W$5:$W$1004,0),IF(S723="A",IFERROR(MATCH(719-$S$2,'AFA Rates'!$R$5:$R$1004,0),""),""))</f>
        <v/>
      </c>
      <c r="U723">
        <f>IF(S723="S",T723,IF(AND(S723="A",T723&lt;&gt;""),IFERROR(MATCH(INDEX('AFA Rates'!$A$5:$A$1004,T723),Firms!$A$5:$A$1004,0),""),""))</f>
        <v/>
      </c>
    </row>
    <row r="724">
      <c r="A724" s="78">
        <f>IF($T724="","",IF($S724="S",IF(INDEX(Firms!$A$5:$A$1004,$T724)="","",INDEX(Firms!$A$5:$A$1004,$T724)),IF(INDEX('AFA Rates'!$A$5:$A$1004,$T724)="","",INDEX('AFA Rates'!$A$5:$A$1004,$T724))))</f>
        <v/>
      </c>
      <c r="B724" s="79">
        <f>IF(OR($T724="",$U724=""),IF($T724="","","Not on Firms tab"),INDEX(Firms!$B$5:$B$1004,$U724)&amp;"")</f>
        <v/>
      </c>
      <c r="C724" s="78">
        <f>IF($T724="","",IF($S724="S","Standard",INDEX('AFA Rates'!$B$5:$B$1004,$T724)&amp;""))</f>
        <v/>
      </c>
      <c r="D724" s="88">
        <f>IF($T724="","",IF($S724="S",IF(INDEX(Firms!$E$5:$E$1004,$T724)="","",INDEX(Firms!$E$5:$E$1004,$T724)),IF(INDEX('AFA Rates'!$C$5:$C$1004,$T724)="","",INDEX('AFA Rates'!$C$5:$C$1004,$T724))))</f>
        <v/>
      </c>
      <c r="E724" s="88">
        <f>IF($T724="","",IF($S724="S",IF(""="","",""),IF(INDEX('AFA Rates'!$D$5:$D$1004,$T724)="","",INDEX('AFA Rates'!$D$5:$D$1004,$T724))))</f>
        <v/>
      </c>
      <c r="F724" s="79">
        <f>IF($T724="","",IF($S724="S",IF(INDEX(Firms!$O$5:$O$1004,$T724)="","",INDEX(Firms!$O$5:$O$1004,$T724)),IF(INDEX('AFA Rates'!$O$5:$O$1004,$T724)="","",INDEX('AFA Rates'!$O$5:$O$1004,$T724))))</f>
        <v/>
      </c>
      <c r="G724" s="50">
        <f>IF($T724="","",IF($S724="S",IF(INDEX(Firms!$F$5:$F$1004,$T724)="","",INDEX(Firms!$F$5:$F$1004,$T724)),IF(INDEX('AFA Rates'!$E$5:$E$1004,$T724)="","",INDEX('AFA Rates'!$E$5:$E$1004,$T724))))</f>
        <v/>
      </c>
      <c r="H724" s="50">
        <f>IF($T724="","",IF($S724="S",IF(INDEX(Firms!$G$5:$G$1004,$T724)="","",INDEX(Firms!$G$5:$G$1004,$T724)),IF(INDEX('AFA Rates'!$F$5:$F$1004,$T724)="","",INDEX('AFA Rates'!$F$5:$F$1004,$T724))))</f>
        <v/>
      </c>
      <c r="I724" s="50">
        <f>IF($T724="","",IF($S724="S",IF(INDEX(Firms!$H$5:$H$1004,$T724)="","",INDEX(Firms!$H$5:$H$1004,$T724)),IF(INDEX('AFA Rates'!$G$5:$G$1004,$T724)="","",INDEX('AFA Rates'!$G$5:$G$1004,$T724))))</f>
        <v/>
      </c>
      <c r="J724" s="50">
        <f>IF($T724="","",IF($S724="S",IF(INDEX(Firms!$I$5:$I$1004,$T724)="","",INDEX(Firms!$I$5:$I$1004,$T724)),IF(INDEX('AFA Rates'!$H$5:$H$1004,$T724)="","",INDEX('AFA Rates'!$H$5:$H$1004,$T724))))</f>
        <v/>
      </c>
      <c r="K724" s="50">
        <f>IF($T724="","",IF($S724="S",IF(INDEX(Firms!$J$5:$J$1004,$T724)="","",INDEX(Firms!$J$5:$J$1004,$T724)),IF(INDEX('AFA Rates'!$I$5:$I$1004,$T724)="","",INDEX('AFA Rates'!$I$5:$I$1004,$T724))))</f>
        <v/>
      </c>
      <c r="L724" s="50">
        <f>IF($T724="","",IF($S724="S",IF(INDEX(Firms!$K$5:$K$1004,$T724)="","",INDEX(Firms!$K$5:$K$1004,$T724)),IF(INDEX('AFA Rates'!$J$5:$J$1004,$T724)="","",INDEX('AFA Rates'!$J$5:$J$1004,$T724))))</f>
        <v/>
      </c>
      <c r="M724" s="50">
        <f>IF($T724="","",IF($S724="S",IF(INDEX(Firms!$L$5:$L$1004,$T724)="","",INDEX(Firms!$L$5:$L$1004,$T724)),IF(INDEX('AFA Rates'!$K$5:$K$1004,$T724)="","",INDEX('AFA Rates'!$K$5:$K$1004,$T724))))</f>
        <v/>
      </c>
      <c r="N724" s="50">
        <f>IF($T724="","",IF($S724="S",IF(INDEX(Firms!$M$5:$M$1004,$T724)="","",INDEX(Firms!$M$5:$M$1004,$T724)),IF(INDEX('AFA Rates'!$L$5:$L$1004,$T724)="","",INDEX('AFA Rates'!$L$5:$L$1004,$T724))))</f>
        <v/>
      </c>
      <c r="O724" s="78">
        <f>IF(OR($T724="",$U724=""),"",IF(INDEX(Firms!$C$5:$C$1004,$U724)="","",INDEX(Firms!$C$5:$C$1004,$U724)))</f>
        <v/>
      </c>
      <c r="P724" s="79">
        <f>IF(OR($T724="",$U724=""),"",IF(INDEX(Firms!$N$5:$N$1004,$U724)="","",INDEX(Firms!$N$5:$N$1004,$U724)))</f>
        <v/>
      </c>
      <c r="Q724" s="78">
        <f>IF($T724="","",IF($S724="S",IF(INDEX(Firms!$T$5:$T$1004,$T724)="","",INDEX(Firms!$T$5:$T$1004,$T724)),IF(INDEX('AFA Rates'!$M$5:$M$1004,$T724)="","",INDEX('AFA Rates'!$M$5:$M$1004,$T724))))</f>
        <v/>
      </c>
      <c r="S724">
        <f>IF(720&lt;=$S$2,"S",IF(720&lt;=$S$2+$T$2,"A",""))</f>
        <v/>
      </c>
      <c r="T724">
        <f>IF(S724="S",MATCH(720,Firms!$W$5:$W$1004,0),IF(S724="A",IFERROR(MATCH(720-$S$2,'AFA Rates'!$R$5:$R$1004,0),""),""))</f>
        <v/>
      </c>
      <c r="U724">
        <f>IF(S724="S",T724,IF(AND(S724="A",T724&lt;&gt;""),IFERROR(MATCH(INDEX('AFA Rates'!$A$5:$A$1004,T724),Firms!$A$5:$A$1004,0),""),""))</f>
        <v/>
      </c>
    </row>
    <row r="725">
      <c r="A725" s="78">
        <f>IF($T725="","",IF($S725="S",IF(INDEX(Firms!$A$5:$A$1004,$T725)="","",INDEX(Firms!$A$5:$A$1004,$T725)),IF(INDEX('AFA Rates'!$A$5:$A$1004,$T725)="","",INDEX('AFA Rates'!$A$5:$A$1004,$T725))))</f>
        <v/>
      </c>
      <c r="B725" s="79">
        <f>IF(OR($T725="",$U725=""),IF($T725="","","Not on Firms tab"),INDEX(Firms!$B$5:$B$1004,$U725)&amp;"")</f>
        <v/>
      </c>
      <c r="C725" s="78">
        <f>IF($T725="","",IF($S725="S","Standard",INDEX('AFA Rates'!$B$5:$B$1004,$T725)&amp;""))</f>
        <v/>
      </c>
      <c r="D725" s="88">
        <f>IF($T725="","",IF($S725="S",IF(INDEX(Firms!$E$5:$E$1004,$T725)="","",INDEX(Firms!$E$5:$E$1004,$T725)),IF(INDEX('AFA Rates'!$C$5:$C$1004,$T725)="","",INDEX('AFA Rates'!$C$5:$C$1004,$T725))))</f>
        <v/>
      </c>
      <c r="E725" s="88">
        <f>IF($T725="","",IF($S725="S",IF(""="","",""),IF(INDEX('AFA Rates'!$D$5:$D$1004,$T725)="","",INDEX('AFA Rates'!$D$5:$D$1004,$T725))))</f>
        <v/>
      </c>
      <c r="F725" s="79">
        <f>IF($T725="","",IF($S725="S",IF(INDEX(Firms!$O$5:$O$1004,$T725)="","",INDEX(Firms!$O$5:$O$1004,$T725)),IF(INDEX('AFA Rates'!$O$5:$O$1004,$T725)="","",INDEX('AFA Rates'!$O$5:$O$1004,$T725))))</f>
        <v/>
      </c>
      <c r="G725" s="50">
        <f>IF($T725="","",IF($S725="S",IF(INDEX(Firms!$F$5:$F$1004,$T725)="","",INDEX(Firms!$F$5:$F$1004,$T725)),IF(INDEX('AFA Rates'!$E$5:$E$1004,$T725)="","",INDEX('AFA Rates'!$E$5:$E$1004,$T725))))</f>
        <v/>
      </c>
      <c r="H725" s="50">
        <f>IF($T725="","",IF($S725="S",IF(INDEX(Firms!$G$5:$G$1004,$T725)="","",INDEX(Firms!$G$5:$G$1004,$T725)),IF(INDEX('AFA Rates'!$F$5:$F$1004,$T725)="","",INDEX('AFA Rates'!$F$5:$F$1004,$T725))))</f>
        <v/>
      </c>
      <c r="I725" s="50">
        <f>IF($T725="","",IF($S725="S",IF(INDEX(Firms!$H$5:$H$1004,$T725)="","",INDEX(Firms!$H$5:$H$1004,$T725)),IF(INDEX('AFA Rates'!$G$5:$G$1004,$T725)="","",INDEX('AFA Rates'!$G$5:$G$1004,$T725))))</f>
        <v/>
      </c>
      <c r="J725" s="50">
        <f>IF($T725="","",IF($S725="S",IF(INDEX(Firms!$I$5:$I$1004,$T725)="","",INDEX(Firms!$I$5:$I$1004,$T725)),IF(INDEX('AFA Rates'!$H$5:$H$1004,$T725)="","",INDEX('AFA Rates'!$H$5:$H$1004,$T725))))</f>
        <v/>
      </c>
      <c r="K725" s="50">
        <f>IF($T725="","",IF($S725="S",IF(INDEX(Firms!$J$5:$J$1004,$T725)="","",INDEX(Firms!$J$5:$J$1004,$T725)),IF(INDEX('AFA Rates'!$I$5:$I$1004,$T725)="","",INDEX('AFA Rates'!$I$5:$I$1004,$T725))))</f>
        <v/>
      </c>
      <c r="L725" s="50">
        <f>IF($T725="","",IF($S725="S",IF(INDEX(Firms!$K$5:$K$1004,$T725)="","",INDEX(Firms!$K$5:$K$1004,$T725)),IF(INDEX('AFA Rates'!$J$5:$J$1004,$T725)="","",INDEX('AFA Rates'!$J$5:$J$1004,$T725))))</f>
        <v/>
      </c>
      <c r="M725" s="50">
        <f>IF($T725="","",IF($S725="S",IF(INDEX(Firms!$L$5:$L$1004,$T725)="","",INDEX(Firms!$L$5:$L$1004,$T725)),IF(INDEX('AFA Rates'!$K$5:$K$1004,$T725)="","",INDEX('AFA Rates'!$K$5:$K$1004,$T725))))</f>
        <v/>
      </c>
      <c r="N725" s="50">
        <f>IF($T725="","",IF($S725="S",IF(INDEX(Firms!$M$5:$M$1004,$T725)="","",INDEX(Firms!$M$5:$M$1004,$T725)),IF(INDEX('AFA Rates'!$L$5:$L$1004,$T725)="","",INDEX('AFA Rates'!$L$5:$L$1004,$T725))))</f>
        <v/>
      </c>
      <c r="O725" s="78">
        <f>IF(OR($T725="",$U725=""),"",IF(INDEX(Firms!$C$5:$C$1004,$U725)="","",INDEX(Firms!$C$5:$C$1004,$U725)))</f>
        <v/>
      </c>
      <c r="P725" s="79">
        <f>IF(OR($T725="",$U725=""),"",IF(INDEX(Firms!$N$5:$N$1004,$U725)="","",INDEX(Firms!$N$5:$N$1004,$U725)))</f>
        <v/>
      </c>
      <c r="Q725" s="78">
        <f>IF($T725="","",IF($S725="S",IF(INDEX(Firms!$T$5:$T$1004,$T725)="","",INDEX(Firms!$T$5:$T$1004,$T725)),IF(INDEX('AFA Rates'!$M$5:$M$1004,$T725)="","",INDEX('AFA Rates'!$M$5:$M$1004,$T725))))</f>
        <v/>
      </c>
      <c r="S725">
        <f>IF(721&lt;=$S$2,"S",IF(721&lt;=$S$2+$T$2,"A",""))</f>
        <v/>
      </c>
      <c r="T725">
        <f>IF(S725="S",MATCH(721,Firms!$W$5:$W$1004,0),IF(S725="A",IFERROR(MATCH(721-$S$2,'AFA Rates'!$R$5:$R$1004,0),""),""))</f>
        <v/>
      </c>
      <c r="U725">
        <f>IF(S725="S",T725,IF(AND(S725="A",T725&lt;&gt;""),IFERROR(MATCH(INDEX('AFA Rates'!$A$5:$A$1004,T725),Firms!$A$5:$A$1004,0),""),""))</f>
        <v/>
      </c>
    </row>
    <row r="726">
      <c r="A726" s="78">
        <f>IF($T726="","",IF($S726="S",IF(INDEX(Firms!$A$5:$A$1004,$T726)="","",INDEX(Firms!$A$5:$A$1004,$T726)),IF(INDEX('AFA Rates'!$A$5:$A$1004,$T726)="","",INDEX('AFA Rates'!$A$5:$A$1004,$T726))))</f>
        <v/>
      </c>
      <c r="B726" s="79">
        <f>IF(OR($T726="",$U726=""),IF($T726="","","Not on Firms tab"),INDEX(Firms!$B$5:$B$1004,$U726)&amp;"")</f>
        <v/>
      </c>
      <c r="C726" s="78">
        <f>IF($T726="","",IF($S726="S","Standard",INDEX('AFA Rates'!$B$5:$B$1004,$T726)&amp;""))</f>
        <v/>
      </c>
      <c r="D726" s="88">
        <f>IF($T726="","",IF($S726="S",IF(INDEX(Firms!$E$5:$E$1004,$T726)="","",INDEX(Firms!$E$5:$E$1004,$T726)),IF(INDEX('AFA Rates'!$C$5:$C$1004,$T726)="","",INDEX('AFA Rates'!$C$5:$C$1004,$T726))))</f>
        <v/>
      </c>
      <c r="E726" s="88">
        <f>IF($T726="","",IF($S726="S",IF(""="","",""),IF(INDEX('AFA Rates'!$D$5:$D$1004,$T726)="","",INDEX('AFA Rates'!$D$5:$D$1004,$T726))))</f>
        <v/>
      </c>
      <c r="F726" s="79">
        <f>IF($T726="","",IF($S726="S",IF(INDEX(Firms!$O$5:$O$1004,$T726)="","",INDEX(Firms!$O$5:$O$1004,$T726)),IF(INDEX('AFA Rates'!$O$5:$O$1004,$T726)="","",INDEX('AFA Rates'!$O$5:$O$1004,$T726))))</f>
        <v/>
      </c>
      <c r="G726" s="50">
        <f>IF($T726="","",IF($S726="S",IF(INDEX(Firms!$F$5:$F$1004,$T726)="","",INDEX(Firms!$F$5:$F$1004,$T726)),IF(INDEX('AFA Rates'!$E$5:$E$1004,$T726)="","",INDEX('AFA Rates'!$E$5:$E$1004,$T726))))</f>
        <v/>
      </c>
      <c r="H726" s="50">
        <f>IF($T726="","",IF($S726="S",IF(INDEX(Firms!$G$5:$G$1004,$T726)="","",INDEX(Firms!$G$5:$G$1004,$T726)),IF(INDEX('AFA Rates'!$F$5:$F$1004,$T726)="","",INDEX('AFA Rates'!$F$5:$F$1004,$T726))))</f>
        <v/>
      </c>
      <c r="I726" s="50">
        <f>IF($T726="","",IF($S726="S",IF(INDEX(Firms!$H$5:$H$1004,$T726)="","",INDEX(Firms!$H$5:$H$1004,$T726)),IF(INDEX('AFA Rates'!$G$5:$G$1004,$T726)="","",INDEX('AFA Rates'!$G$5:$G$1004,$T726))))</f>
        <v/>
      </c>
      <c r="J726" s="50">
        <f>IF($T726="","",IF($S726="S",IF(INDEX(Firms!$I$5:$I$1004,$T726)="","",INDEX(Firms!$I$5:$I$1004,$T726)),IF(INDEX('AFA Rates'!$H$5:$H$1004,$T726)="","",INDEX('AFA Rates'!$H$5:$H$1004,$T726))))</f>
        <v/>
      </c>
      <c r="K726" s="50">
        <f>IF($T726="","",IF($S726="S",IF(INDEX(Firms!$J$5:$J$1004,$T726)="","",INDEX(Firms!$J$5:$J$1004,$T726)),IF(INDEX('AFA Rates'!$I$5:$I$1004,$T726)="","",INDEX('AFA Rates'!$I$5:$I$1004,$T726))))</f>
        <v/>
      </c>
      <c r="L726" s="50">
        <f>IF($T726="","",IF($S726="S",IF(INDEX(Firms!$K$5:$K$1004,$T726)="","",INDEX(Firms!$K$5:$K$1004,$T726)),IF(INDEX('AFA Rates'!$J$5:$J$1004,$T726)="","",INDEX('AFA Rates'!$J$5:$J$1004,$T726))))</f>
        <v/>
      </c>
      <c r="M726" s="50">
        <f>IF($T726="","",IF($S726="S",IF(INDEX(Firms!$L$5:$L$1004,$T726)="","",INDEX(Firms!$L$5:$L$1004,$T726)),IF(INDEX('AFA Rates'!$K$5:$K$1004,$T726)="","",INDEX('AFA Rates'!$K$5:$K$1004,$T726))))</f>
        <v/>
      </c>
      <c r="N726" s="50">
        <f>IF($T726="","",IF($S726="S",IF(INDEX(Firms!$M$5:$M$1004,$T726)="","",INDEX(Firms!$M$5:$M$1004,$T726)),IF(INDEX('AFA Rates'!$L$5:$L$1004,$T726)="","",INDEX('AFA Rates'!$L$5:$L$1004,$T726))))</f>
        <v/>
      </c>
      <c r="O726" s="78">
        <f>IF(OR($T726="",$U726=""),"",IF(INDEX(Firms!$C$5:$C$1004,$U726)="","",INDEX(Firms!$C$5:$C$1004,$U726)))</f>
        <v/>
      </c>
      <c r="P726" s="79">
        <f>IF(OR($T726="",$U726=""),"",IF(INDEX(Firms!$N$5:$N$1004,$U726)="","",INDEX(Firms!$N$5:$N$1004,$U726)))</f>
        <v/>
      </c>
      <c r="Q726" s="78">
        <f>IF($T726="","",IF($S726="S",IF(INDEX(Firms!$T$5:$T$1004,$T726)="","",INDEX(Firms!$T$5:$T$1004,$T726)),IF(INDEX('AFA Rates'!$M$5:$M$1004,$T726)="","",INDEX('AFA Rates'!$M$5:$M$1004,$T726))))</f>
        <v/>
      </c>
      <c r="S726">
        <f>IF(722&lt;=$S$2,"S",IF(722&lt;=$S$2+$T$2,"A",""))</f>
        <v/>
      </c>
      <c r="T726">
        <f>IF(S726="S",MATCH(722,Firms!$W$5:$W$1004,0),IF(S726="A",IFERROR(MATCH(722-$S$2,'AFA Rates'!$R$5:$R$1004,0),""),""))</f>
        <v/>
      </c>
      <c r="U726">
        <f>IF(S726="S",T726,IF(AND(S726="A",T726&lt;&gt;""),IFERROR(MATCH(INDEX('AFA Rates'!$A$5:$A$1004,T726),Firms!$A$5:$A$1004,0),""),""))</f>
        <v/>
      </c>
    </row>
    <row r="727">
      <c r="A727" s="78">
        <f>IF($T727="","",IF($S727="S",IF(INDEX(Firms!$A$5:$A$1004,$T727)="","",INDEX(Firms!$A$5:$A$1004,$T727)),IF(INDEX('AFA Rates'!$A$5:$A$1004,$T727)="","",INDEX('AFA Rates'!$A$5:$A$1004,$T727))))</f>
        <v/>
      </c>
      <c r="B727" s="79">
        <f>IF(OR($T727="",$U727=""),IF($T727="","","Not on Firms tab"),INDEX(Firms!$B$5:$B$1004,$U727)&amp;"")</f>
        <v/>
      </c>
      <c r="C727" s="78">
        <f>IF($T727="","",IF($S727="S","Standard",INDEX('AFA Rates'!$B$5:$B$1004,$T727)&amp;""))</f>
        <v/>
      </c>
      <c r="D727" s="88">
        <f>IF($T727="","",IF($S727="S",IF(INDEX(Firms!$E$5:$E$1004,$T727)="","",INDEX(Firms!$E$5:$E$1004,$T727)),IF(INDEX('AFA Rates'!$C$5:$C$1004,$T727)="","",INDEX('AFA Rates'!$C$5:$C$1004,$T727))))</f>
        <v/>
      </c>
      <c r="E727" s="88">
        <f>IF($T727="","",IF($S727="S",IF(""="","",""),IF(INDEX('AFA Rates'!$D$5:$D$1004,$T727)="","",INDEX('AFA Rates'!$D$5:$D$1004,$T727))))</f>
        <v/>
      </c>
      <c r="F727" s="79">
        <f>IF($T727="","",IF($S727="S",IF(INDEX(Firms!$O$5:$O$1004,$T727)="","",INDEX(Firms!$O$5:$O$1004,$T727)),IF(INDEX('AFA Rates'!$O$5:$O$1004,$T727)="","",INDEX('AFA Rates'!$O$5:$O$1004,$T727))))</f>
        <v/>
      </c>
      <c r="G727" s="50">
        <f>IF($T727="","",IF($S727="S",IF(INDEX(Firms!$F$5:$F$1004,$T727)="","",INDEX(Firms!$F$5:$F$1004,$T727)),IF(INDEX('AFA Rates'!$E$5:$E$1004,$T727)="","",INDEX('AFA Rates'!$E$5:$E$1004,$T727))))</f>
        <v/>
      </c>
      <c r="H727" s="50">
        <f>IF($T727="","",IF($S727="S",IF(INDEX(Firms!$G$5:$G$1004,$T727)="","",INDEX(Firms!$G$5:$G$1004,$T727)),IF(INDEX('AFA Rates'!$F$5:$F$1004,$T727)="","",INDEX('AFA Rates'!$F$5:$F$1004,$T727))))</f>
        <v/>
      </c>
      <c r="I727" s="50">
        <f>IF($T727="","",IF($S727="S",IF(INDEX(Firms!$H$5:$H$1004,$T727)="","",INDEX(Firms!$H$5:$H$1004,$T727)),IF(INDEX('AFA Rates'!$G$5:$G$1004,$T727)="","",INDEX('AFA Rates'!$G$5:$G$1004,$T727))))</f>
        <v/>
      </c>
      <c r="J727" s="50">
        <f>IF($T727="","",IF($S727="S",IF(INDEX(Firms!$I$5:$I$1004,$T727)="","",INDEX(Firms!$I$5:$I$1004,$T727)),IF(INDEX('AFA Rates'!$H$5:$H$1004,$T727)="","",INDEX('AFA Rates'!$H$5:$H$1004,$T727))))</f>
        <v/>
      </c>
      <c r="K727" s="50">
        <f>IF($T727="","",IF($S727="S",IF(INDEX(Firms!$J$5:$J$1004,$T727)="","",INDEX(Firms!$J$5:$J$1004,$T727)),IF(INDEX('AFA Rates'!$I$5:$I$1004,$T727)="","",INDEX('AFA Rates'!$I$5:$I$1004,$T727))))</f>
        <v/>
      </c>
      <c r="L727" s="50">
        <f>IF($T727="","",IF($S727="S",IF(INDEX(Firms!$K$5:$K$1004,$T727)="","",INDEX(Firms!$K$5:$K$1004,$T727)),IF(INDEX('AFA Rates'!$J$5:$J$1004,$T727)="","",INDEX('AFA Rates'!$J$5:$J$1004,$T727))))</f>
        <v/>
      </c>
      <c r="M727" s="50">
        <f>IF($T727="","",IF($S727="S",IF(INDEX(Firms!$L$5:$L$1004,$T727)="","",INDEX(Firms!$L$5:$L$1004,$T727)),IF(INDEX('AFA Rates'!$K$5:$K$1004,$T727)="","",INDEX('AFA Rates'!$K$5:$K$1004,$T727))))</f>
        <v/>
      </c>
      <c r="N727" s="50">
        <f>IF($T727="","",IF($S727="S",IF(INDEX(Firms!$M$5:$M$1004,$T727)="","",INDEX(Firms!$M$5:$M$1004,$T727)),IF(INDEX('AFA Rates'!$L$5:$L$1004,$T727)="","",INDEX('AFA Rates'!$L$5:$L$1004,$T727))))</f>
        <v/>
      </c>
      <c r="O727" s="78">
        <f>IF(OR($T727="",$U727=""),"",IF(INDEX(Firms!$C$5:$C$1004,$U727)="","",INDEX(Firms!$C$5:$C$1004,$U727)))</f>
        <v/>
      </c>
      <c r="P727" s="79">
        <f>IF(OR($T727="",$U727=""),"",IF(INDEX(Firms!$N$5:$N$1004,$U727)="","",INDEX(Firms!$N$5:$N$1004,$U727)))</f>
        <v/>
      </c>
      <c r="Q727" s="78">
        <f>IF($T727="","",IF($S727="S",IF(INDEX(Firms!$T$5:$T$1004,$T727)="","",INDEX(Firms!$T$5:$T$1004,$T727)),IF(INDEX('AFA Rates'!$M$5:$M$1004,$T727)="","",INDEX('AFA Rates'!$M$5:$M$1004,$T727))))</f>
        <v/>
      </c>
      <c r="S727">
        <f>IF(723&lt;=$S$2,"S",IF(723&lt;=$S$2+$T$2,"A",""))</f>
        <v/>
      </c>
      <c r="T727">
        <f>IF(S727="S",MATCH(723,Firms!$W$5:$W$1004,0),IF(S727="A",IFERROR(MATCH(723-$S$2,'AFA Rates'!$R$5:$R$1004,0),""),""))</f>
        <v/>
      </c>
      <c r="U727">
        <f>IF(S727="S",T727,IF(AND(S727="A",T727&lt;&gt;""),IFERROR(MATCH(INDEX('AFA Rates'!$A$5:$A$1004,T727),Firms!$A$5:$A$1004,0),""),""))</f>
        <v/>
      </c>
    </row>
    <row r="728">
      <c r="A728" s="78">
        <f>IF($T728="","",IF($S728="S",IF(INDEX(Firms!$A$5:$A$1004,$T728)="","",INDEX(Firms!$A$5:$A$1004,$T728)),IF(INDEX('AFA Rates'!$A$5:$A$1004,$T728)="","",INDEX('AFA Rates'!$A$5:$A$1004,$T728))))</f>
        <v/>
      </c>
      <c r="B728" s="79">
        <f>IF(OR($T728="",$U728=""),IF($T728="","","Not on Firms tab"),INDEX(Firms!$B$5:$B$1004,$U728)&amp;"")</f>
        <v/>
      </c>
      <c r="C728" s="78">
        <f>IF($T728="","",IF($S728="S","Standard",INDEX('AFA Rates'!$B$5:$B$1004,$T728)&amp;""))</f>
        <v/>
      </c>
      <c r="D728" s="88">
        <f>IF($T728="","",IF($S728="S",IF(INDEX(Firms!$E$5:$E$1004,$T728)="","",INDEX(Firms!$E$5:$E$1004,$T728)),IF(INDEX('AFA Rates'!$C$5:$C$1004,$T728)="","",INDEX('AFA Rates'!$C$5:$C$1004,$T728))))</f>
        <v/>
      </c>
      <c r="E728" s="88">
        <f>IF($T728="","",IF($S728="S",IF(""="","",""),IF(INDEX('AFA Rates'!$D$5:$D$1004,$T728)="","",INDEX('AFA Rates'!$D$5:$D$1004,$T728))))</f>
        <v/>
      </c>
      <c r="F728" s="79">
        <f>IF($T728="","",IF($S728="S",IF(INDEX(Firms!$O$5:$O$1004,$T728)="","",INDEX(Firms!$O$5:$O$1004,$T728)),IF(INDEX('AFA Rates'!$O$5:$O$1004,$T728)="","",INDEX('AFA Rates'!$O$5:$O$1004,$T728))))</f>
        <v/>
      </c>
      <c r="G728" s="50">
        <f>IF($T728="","",IF($S728="S",IF(INDEX(Firms!$F$5:$F$1004,$T728)="","",INDEX(Firms!$F$5:$F$1004,$T728)),IF(INDEX('AFA Rates'!$E$5:$E$1004,$T728)="","",INDEX('AFA Rates'!$E$5:$E$1004,$T728))))</f>
        <v/>
      </c>
      <c r="H728" s="50">
        <f>IF($T728="","",IF($S728="S",IF(INDEX(Firms!$G$5:$G$1004,$T728)="","",INDEX(Firms!$G$5:$G$1004,$T728)),IF(INDEX('AFA Rates'!$F$5:$F$1004,$T728)="","",INDEX('AFA Rates'!$F$5:$F$1004,$T728))))</f>
        <v/>
      </c>
      <c r="I728" s="50">
        <f>IF($T728="","",IF($S728="S",IF(INDEX(Firms!$H$5:$H$1004,$T728)="","",INDEX(Firms!$H$5:$H$1004,$T728)),IF(INDEX('AFA Rates'!$G$5:$G$1004,$T728)="","",INDEX('AFA Rates'!$G$5:$G$1004,$T728))))</f>
        <v/>
      </c>
      <c r="J728" s="50">
        <f>IF($T728="","",IF($S728="S",IF(INDEX(Firms!$I$5:$I$1004,$T728)="","",INDEX(Firms!$I$5:$I$1004,$T728)),IF(INDEX('AFA Rates'!$H$5:$H$1004,$T728)="","",INDEX('AFA Rates'!$H$5:$H$1004,$T728))))</f>
        <v/>
      </c>
      <c r="K728" s="50">
        <f>IF($T728="","",IF($S728="S",IF(INDEX(Firms!$J$5:$J$1004,$T728)="","",INDEX(Firms!$J$5:$J$1004,$T728)),IF(INDEX('AFA Rates'!$I$5:$I$1004,$T728)="","",INDEX('AFA Rates'!$I$5:$I$1004,$T728))))</f>
        <v/>
      </c>
      <c r="L728" s="50">
        <f>IF($T728="","",IF($S728="S",IF(INDEX(Firms!$K$5:$K$1004,$T728)="","",INDEX(Firms!$K$5:$K$1004,$T728)),IF(INDEX('AFA Rates'!$J$5:$J$1004,$T728)="","",INDEX('AFA Rates'!$J$5:$J$1004,$T728))))</f>
        <v/>
      </c>
      <c r="M728" s="50">
        <f>IF($T728="","",IF($S728="S",IF(INDEX(Firms!$L$5:$L$1004,$T728)="","",INDEX(Firms!$L$5:$L$1004,$T728)),IF(INDEX('AFA Rates'!$K$5:$K$1004,$T728)="","",INDEX('AFA Rates'!$K$5:$K$1004,$T728))))</f>
        <v/>
      </c>
      <c r="N728" s="50">
        <f>IF($T728="","",IF($S728="S",IF(INDEX(Firms!$M$5:$M$1004,$T728)="","",INDEX(Firms!$M$5:$M$1004,$T728)),IF(INDEX('AFA Rates'!$L$5:$L$1004,$T728)="","",INDEX('AFA Rates'!$L$5:$L$1004,$T728))))</f>
        <v/>
      </c>
      <c r="O728" s="78">
        <f>IF(OR($T728="",$U728=""),"",IF(INDEX(Firms!$C$5:$C$1004,$U728)="","",INDEX(Firms!$C$5:$C$1004,$U728)))</f>
        <v/>
      </c>
      <c r="P728" s="79">
        <f>IF(OR($T728="",$U728=""),"",IF(INDEX(Firms!$N$5:$N$1004,$U728)="","",INDEX(Firms!$N$5:$N$1004,$U728)))</f>
        <v/>
      </c>
      <c r="Q728" s="78">
        <f>IF($T728="","",IF($S728="S",IF(INDEX(Firms!$T$5:$T$1004,$T728)="","",INDEX(Firms!$T$5:$T$1004,$T728)),IF(INDEX('AFA Rates'!$M$5:$M$1004,$T728)="","",INDEX('AFA Rates'!$M$5:$M$1004,$T728))))</f>
        <v/>
      </c>
      <c r="S728">
        <f>IF(724&lt;=$S$2,"S",IF(724&lt;=$S$2+$T$2,"A",""))</f>
        <v/>
      </c>
      <c r="T728">
        <f>IF(S728="S",MATCH(724,Firms!$W$5:$W$1004,0),IF(S728="A",IFERROR(MATCH(724-$S$2,'AFA Rates'!$R$5:$R$1004,0),""),""))</f>
        <v/>
      </c>
      <c r="U728">
        <f>IF(S728="S",T728,IF(AND(S728="A",T728&lt;&gt;""),IFERROR(MATCH(INDEX('AFA Rates'!$A$5:$A$1004,T728),Firms!$A$5:$A$1004,0),""),""))</f>
        <v/>
      </c>
    </row>
    <row r="729">
      <c r="A729" s="78">
        <f>IF($T729="","",IF($S729="S",IF(INDEX(Firms!$A$5:$A$1004,$T729)="","",INDEX(Firms!$A$5:$A$1004,$T729)),IF(INDEX('AFA Rates'!$A$5:$A$1004,$T729)="","",INDEX('AFA Rates'!$A$5:$A$1004,$T729))))</f>
        <v/>
      </c>
      <c r="B729" s="79">
        <f>IF(OR($T729="",$U729=""),IF($T729="","","Not on Firms tab"),INDEX(Firms!$B$5:$B$1004,$U729)&amp;"")</f>
        <v/>
      </c>
      <c r="C729" s="78">
        <f>IF($T729="","",IF($S729="S","Standard",INDEX('AFA Rates'!$B$5:$B$1004,$T729)&amp;""))</f>
        <v/>
      </c>
      <c r="D729" s="88">
        <f>IF($T729="","",IF($S729="S",IF(INDEX(Firms!$E$5:$E$1004,$T729)="","",INDEX(Firms!$E$5:$E$1004,$T729)),IF(INDEX('AFA Rates'!$C$5:$C$1004,$T729)="","",INDEX('AFA Rates'!$C$5:$C$1004,$T729))))</f>
        <v/>
      </c>
      <c r="E729" s="88">
        <f>IF($T729="","",IF($S729="S",IF(""="","",""),IF(INDEX('AFA Rates'!$D$5:$D$1004,$T729)="","",INDEX('AFA Rates'!$D$5:$D$1004,$T729))))</f>
        <v/>
      </c>
      <c r="F729" s="79">
        <f>IF($T729="","",IF($S729="S",IF(INDEX(Firms!$O$5:$O$1004,$T729)="","",INDEX(Firms!$O$5:$O$1004,$T729)),IF(INDEX('AFA Rates'!$O$5:$O$1004,$T729)="","",INDEX('AFA Rates'!$O$5:$O$1004,$T729))))</f>
        <v/>
      </c>
      <c r="G729" s="50">
        <f>IF($T729="","",IF($S729="S",IF(INDEX(Firms!$F$5:$F$1004,$T729)="","",INDEX(Firms!$F$5:$F$1004,$T729)),IF(INDEX('AFA Rates'!$E$5:$E$1004,$T729)="","",INDEX('AFA Rates'!$E$5:$E$1004,$T729))))</f>
        <v/>
      </c>
      <c r="H729" s="50">
        <f>IF($T729="","",IF($S729="S",IF(INDEX(Firms!$G$5:$G$1004,$T729)="","",INDEX(Firms!$G$5:$G$1004,$T729)),IF(INDEX('AFA Rates'!$F$5:$F$1004,$T729)="","",INDEX('AFA Rates'!$F$5:$F$1004,$T729))))</f>
        <v/>
      </c>
      <c r="I729" s="50">
        <f>IF($T729="","",IF($S729="S",IF(INDEX(Firms!$H$5:$H$1004,$T729)="","",INDEX(Firms!$H$5:$H$1004,$T729)),IF(INDEX('AFA Rates'!$G$5:$G$1004,$T729)="","",INDEX('AFA Rates'!$G$5:$G$1004,$T729))))</f>
        <v/>
      </c>
      <c r="J729" s="50">
        <f>IF($T729="","",IF($S729="S",IF(INDEX(Firms!$I$5:$I$1004,$T729)="","",INDEX(Firms!$I$5:$I$1004,$T729)),IF(INDEX('AFA Rates'!$H$5:$H$1004,$T729)="","",INDEX('AFA Rates'!$H$5:$H$1004,$T729))))</f>
        <v/>
      </c>
      <c r="K729" s="50">
        <f>IF($T729="","",IF($S729="S",IF(INDEX(Firms!$J$5:$J$1004,$T729)="","",INDEX(Firms!$J$5:$J$1004,$T729)),IF(INDEX('AFA Rates'!$I$5:$I$1004,$T729)="","",INDEX('AFA Rates'!$I$5:$I$1004,$T729))))</f>
        <v/>
      </c>
      <c r="L729" s="50">
        <f>IF($T729="","",IF($S729="S",IF(INDEX(Firms!$K$5:$K$1004,$T729)="","",INDEX(Firms!$K$5:$K$1004,$T729)),IF(INDEX('AFA Rates'!$J$5:$J$1004,$T729)="","",INDEX('AFA Rates'!$J$5:$J$1004,$T729))))</f>
        <v/>
      </c>
      <c r="M729" s="50">
        <f>IF($T729="","",IF($S729="S",IF(INDEX(Firms!$L$5:$L$1004,$T729)="","",INDEX(Firms!$L$5:$L$1004,$T729)),IF(INDEX('AFA Rates'!$K$5:$K$1004,$T729)="","",INDEX('AFA Rates'!$K$5:$K$1004,$T729))))</f>
        <v/>
      </c>
      <c r="N729" s="50">
        <f>IF($T729="","",IF($S729="S",IF(INDEX(Firms!$M$5:$M$1004,$T729)="","",INDEX(Firms!$M$5:$M$1004,$T729)),IF(INDEX('AFA Rates'!$L$5:$L$1004,$T729)="","",INDEX('AFA Rates'!$L$5:$L$1004,$T729))))</f>
        <v/>
      </c>
      <c r="O729" s="78">
        <f>IF(OR($T729="",$U729=""),"",IF(INDEX(Firms!$C$5:$C$1004,$U729)="","",INDEX(Firms!$C$5:$C$1004,$U729)))</f>
        <v/>
      </c>
      <c r="P729" s="79">
        <f>IF(OR($T729="",$U729=""),"",IF(INDEX(Firms!$N$5:$N$1004,$U729)="","",INDEX(Firms!$N$5:$N$1004,$U729)))</f>
        <v/>
      </c>
      <c r="Q729" s="78">
        <f>IF($T729="","",IF($S729="S",IF(INDEX(Firms!$T$5:$T$1004,$T729)="","",INDEX(Firms!$T$5:$T$1004,$T729)),IF(INDEX('AFA Rates'!$M$5:$M$1004,$T729)="","",INDEX('AFA Rates'!$M$5:$M$1004,$T729))))</f>
        <v/>
      </c>
      <c r="S729">
        <f>IF(725&lt;=$S$2,"S",IF(725&lt;=$S$2+$T$2,"A",""))</f>
        <v/>
      </c>
      <c r="T729">
        <f>IF(S729="S",MATCH(725,Firms!$W$5:$W$1004,0),IF(S729="A",IFERROR(MATCH(725-$S$2,'AFA Rates'!$R$5:$R$1004,0),""),""))</f>
        <v/>
      </c>
      <c r="U729">
        <f>IF(S729="S",T729,IF(AND(S729="A",T729&lt;&gt;""),IFERROR(MATCH(INDEX('AFA Rates'!$A$5:$A$1004,T729),Firms!$A$5:$A$1004,0),""),""))</f>
        <v/>
      </c>
    </row>
    <row r="730">
      <c r="A730" s="78">
        <f>IF($T730="","",IF($S730="S",IF(INDEX(Firms!$A$5:$A$1004,$T730)="","",INDEX(Firms!$A$5:$A$1004,$T730)),IF(INDEX('AFA Rates'!$A$5:$A$1004,$T730)="","",INDEX('AFA Rates'!$A$5:$A$1004,$T730))))</f>
        <v/>
      </c>
      <c r="B730" s="79">
        <f>IF(OR($T730="",$U730=""),IF($T730="","","Not on Firms tab"),INDEX(Firms!$B$5:$B$1004,$U730)&amp;"")</f>
        <v/>
      </c>
      <c r="C730" s="78">
        <f>IF($T730="","",IF($S730="S","Standard",INDEX('AFA Rates'!$B$5:$B$1004,$T730)&amp;""))</f>
        <v/>
      </c>
      <c r="D730" s="88">
        <f>IF($T730="","",IF($S730="S",IF(INDEX(Firms!$E$5:$E$1004,$T730)="","",INDEX(Firms!$E$5:$E$1004,$T730)),IF(INDEX('AFA Rates'!$C$5:$C$1004,$T730)="","",INDEX('AFA Rates'!$C$5:$C$1004,$T730))))</f>
        <v/>
      </c>
      <c r="E730" s="88">
        <f>IF($T730="","",IF($S730="S",IF(""="","",""),IF(INDEX('AFA Rates'!$D$5:$D$1004,$T730)="","",INDEX('AFA Rates'!$D$5:$D$1004,$T730))))</f>
        <v/>
      </c>
      <c r="F730" s="79">
        <f>IF($T730="","",IF($S730="S",IF(INDEX(Firms!$O$5:$O$1004,$T730)="","",INDEX(Firms!$O$5:$O$1004,$T730)),IF(INDEX('AFA Rates'!$O$5:$O$1004,$T730)="","",INDEX('AFA Rates'!$O$5:$O$1004,$T730))))</f>
        <v/>
      </c>
      <c r="G730" s="50">
        <f>IF($T730="","",IF($S730="S",IF(INDEX(Firms!$F$5:$F$1004,$T730)="","",INDEX(Firms!$F$5:$F$1004,$T730)),IF(INDEX('AFA Rates'!$E$5:$E$1004,$T730)="","",INDEX('AFA Rates'!$E$5:$E$1004,$T730))))</f>
        <v/>
      </c>
      <c r="H730" s="50">
        <f>IF($T730="","",IF($S730="S",IF(INDEX(Firms!$G$5:$G$1004,$T730)="","",INDEX(Firms!$G$5:$G$1004,$T730)),IF(INDEX('AFA Rates'!$F$5:$F$1004,$T730)="","",INDEX('AFA Rates'!$F$5:$F$1004,$T730))))</f>
        <v/>
      </c>
      <c r="I730" s="50">
        <f>IF($T730="","",IF($S730="S",IF(INDEX(Firms!$H$5:$H$1004,$T730)="","",INDEX(Firms!$H$5:$H$1004,$T730)),IF(INDEX('AFA Rates'!$G$5:$G$1004,$T730)="","",INDEX('AFA Rates'!$G$5:$G$1004,$T730))))</f>
        <v/>
      </c>
      <c r="J730" s="50">
        <f>IF($T730="","",IF($S730="S",IF(INDEX(Firms!$I$5:$I$1004,$T730)="","",INDEX(Firms!$I$5:$I$1004,$T730)),IF(INDEX('AFA Rates'!$H$5:$H$1004,$T730)="","",INDEX('AFA Rates'!$H$5:$H$1004,$T730))))</f>
        <v/>
      </c>
      <c r="K730" s="50">
        <f>IF($T730="","",IF($S730="S",IF(INDEX(Firms!$J$5:$J$1004,$T730)="","",INDEX(Firms!$J$5:$J$1004,$T730)),IF(INDEX('AFA Rates'!$I$5:$I$1004,$T730)="","",INDEX('AFA Rates'!$I$5:$I$1004,$T730))))</f>
        <v/>
      </c>
      <c r="L730" s="50">
        <f>IF($T730="","",IF($S730="S",IF(INDEX(Firms!$K$5:$K$1004,$T730)="","",INDEX(Firms!$K$5:$K$1004,$T730)),IF(INDEX('AFA Rates'!$J$5:$J$1004,$T730)="","",INDEX('AFA Rates'!$J$5:$J$1004,$T730))))</f>
        <v/>
      </c>
      <c r="M730" s="50">
        <f>IF($T730="","",IF($S730="S",IF(INDEX(Firms!$L$5:$L$1004,$T730)="","",INDEX(Firms!$L$5:$L$1004,$T730)),IF(INDEX('AFA Rates'!$K$5:$K$1004,$T730)="","",INDEX('AFA Rates'!$K$5:$K$1004,$T730))))</f>
        <v/>
      </c>
      <c r="N730" s="50">
        <f>IF($T730="","",IF($S730="S",IF(INDEX(Firms!$M$5:$M$1004,$T730)="","",INDEX(Firms!$M$5:$M$1004,$T730)),IF(INDEX('AFA Rates'!$L$5:$L$1004,$T730)="","",INDEX('AFA Rates'!$L$5:$L$1004,$T730))))</f>
        <v/>
      </c>
      <c r="O730" s="78">
        <f>IF(OR($T730="",$U730=""),"",IF(INDEX(Firms!$C$5:$C$1004,$U730)="","",INDEX(Firms!$C$5:$C$1004,$U730)))</f>
        <v/>
      </c>
      <c r="P730" s="79">
        <f>IF(OR($T730="",$U730=""),"",IF(INDEX(Firms!$N$5:$N$1004,$U730)="","",INDEX(Firms!$N$5:$N$1004,$U730)))</f>
        <v/>
      </c>
      <c r="Q730" s="78">
        <f>IF($T730="","",IF($S730="S",IF(INDEX(Firms!$T$5:$T$1004,$T730)="","",INDEX(Firms!$T$5:$T$1004,$T730)),IF(INDEX('AFA Rates'!$M$5:$M$1004,$T730)="","",INDEX('AFA Rates'!$M$5:$M$1004,$T730))))</f>
        <v/>
      </c>
      <c r="S730">
        <f>IF(726&lt;=$S$2,"S",IF(726&lt;=$S$2+$T$2,"A",""))</f>
        <v/>
      </c>
      <c r="T730">
        <f>IF(S730="S",MATCH(726,Firms!$W$5:$W$1004,0),IF(S730="A",IFERROR(MATCH(726-$S$2,'AFA Rates'!$R$5:$R$1004,0),""),""))</f>
        <v/>
      </c>
      <c r="U730">
        <f>IF(S730="S",T730,IF(AND(S730="A",T730&lt;&gt;""),IFERROR(MATCH(INDEX('AFA Rates'!$A$5:$A$1004,T730),Firms!$A$5:$A$1004,0),""),""))</f>
        <v/>
      </c>
    </row>
    <row r="731">
      <c r="A731" s="78">
        <f>IF($T731="","",IF($S731="S",IF(INDEX(Firms!$A$5:$A$1004,$T731)="","",INDEX(Firms!$A$5:$A$1004,$T731)),IF(INDEX('AFA Rates'!$A$5:$A$1004,$T731)="","",INDEX('AFA Rates'!$A$5:$A$1004,$T731))))</f>
        <v/>
      </c>
      <c r="B731" s="79">
        <f>IF(OR($T731="",$U731=""),IF($T731="","","Not on Firms tab"),INDEX(Firms!$B$5:$B$1004,$U731)&amp;"")</f>
        <v/>
      </c>
      <c r="C731" s="78">
        <f>IF($T731="","",IF($S731="S","Standard",INDEX('AFA Rates'!$B$5:$B$1004,$T731)&amp;""))</f>
        <v/>
      </c>
      <c r="D731" s="88">
        <f>IF($T731="","",IF($S731="S",IF(INDEX(Firms!$E$5:$E$1004,$T731)="","",INDEX(Firms!$E$5:$E$1004,$T731)),IF(INDEX('AFA Rates'!$C$5:$C$1004,$T731)="","",INDEX('AFA Rates'!$C$5:$C$1004,$T731))))</f>
        <v/>
      </c>
      <c r="E731" s="88">
        <f>IF($T731="","",IF($S731="S",IF(""="","",""),IF(INDEX('AFA Rates'!$D$5:$D$1004,$T731)="","",INDEX('AFA Rates'!$D$5:$D$1004,$T731))))</f>
        <v/>
      </c>
      <c r="F731" s="79">
        <f>IF($T731="","",IF($S731="S",IF(INDEX(Firms!$O$5:$O$1004,$T731)="","",INDEX(Firms!$O$5:$O$1004,$T731)),IF(INDEX('AFA Rates'!$O$5:$O$1004,$T731)="","",INDEX('AFA Rates'!$O$5:$O$1004,$T731))))</f>
        <v/>
      </c>
      <c r="G731" s="50">
        <f>IF($T731="","",IF($S731="S",IF(INDEX(Firms!$F$5:$F$1004,$T731)="","",INDEX(Firms!$F$5:$F$1004,$T731)),IF(INDEX('AFA Rates'!$E$5:$E$1004,$T731)="","",INDEX('AFA Rates'!$E$5:$E$1004,$T731))))</f>
        <v/>
      </c>
      <c r="H731" s="50">
        <f>IF($T731="","",IF($S731="S",IF(INDEX(Firms!$G$5:$G$1004,$T731)="","",INDEX(Firms!$G$5:$G$1004,$T731)),IF(INDEX('AFA Rates'!$F$5:$F$1004,$T731)="","",INDEX('AFA Rates'!$F$5:$F$1004,$T731))))</f>
        <v/>
      </c>
      <c r="I731" s="50">
        <f>IF($T731="","",IF($S731="S",IF(INDEX(Firms!$H$5:$H$1004,$T731)="","",INDEX(Firms!$H$5:$H$1004,$T731)),IF(INDEX('AFA Rates'!$G$5:$G$1004,$T731)="","",INDEX('AFA Rates'!$G$5:$G$1004,$T731))))</f>
        <v/>
      </c>
      <c r="J731" s="50">
        <f>IF($T731="","",IF($S731="S",IF(INDEX(Firms!$I$5:$I$1004,$T731)="","",INDEX(Firms!$I$5:$I$1004,$T731)),IF(INDEX('AFA Rates'!$H$5:$H$1004,$T731)="","",INDEX('AFA Rates'!$H$5:$H$1004,$T731))))</f>
        <v/>
      </c>
      <c r="K731" s="50">
        <f>IF($T731="","",IF($S731="S",IF(INDEX(Firms!$J$5:$J$1004,$T731)="","",INDEX(Firms!$J$5:$J$1004,$T731)),IF(INDEX('AFA Rates'!$I$5:$I$1004,$T731)="","",INDEX('AFA Rates'!$I$5:$I$1004,$T731))))</f>
        <v/>
      </c>
      <c r="L731" s="50">
        <f>IF($T731="","",IF($S731="S",IF(INDEX(Firms!$K$5:$K$1004,$T731)="","",INDEX(Firms!$K$5:$K$1004,$T731)),IF(INDEX('AFA Rates'!$J$5:$J$1004,$T731)="","",INDEX('AFA Rates'!$J$5:$J$1004,$T731))))</f>
        <v/>
      </c>
      <c r="M731" s="50">
        <f>IF($T731="","",IF($S731="S",IF(INDEX(Firms!$L$5:$L$1004,$T731)="","",INDEX(Firms!$L$5:$L$1004,$T731)),IF(INDEX('AFA Rates'!$K$5:$K$1004,$T731)="","",INDEX('AFA Rates'!$K$5:$K$1004,$T731))))</f>
        <v/>
      </c>
      <c r="N731" s="50">
        <f>IF($T731="","",IF($S731="S",IF(INDEX(Firms!$M$5:$M$1004,$T731)="","",INDEX(Firms!$M$5:$M$1004,$T731)),IF(INDEX('AFA Rates'!$L$5:$L$1004,$T731)="","",INDEX('AFA Rates'!$L$5:$L$1004,$T731))))</f>
        <v/>
      </c>
      <c r="O731" s="78">
        <f>IF(OR($T731="",$U731=""),"",IF(INDEX(Firms!$C$5:$C$1004,$U731)="","",INDEX(Firms!$C$5:$C$1004,$U731)))</f>
        <v/>
      </c>
      <c r="P731" s="79">
        <f>IF(OR($T731="",$U731=""),"",IF(INDEX(Firms!$N$5:$N$1004,$U731)="","",INDEX(Firms!$N$5:$N$1004,$U731)))</f>
        <v/>
      </c>
      <c r="Q731" s="78">
        <f>IF($T731="","",IF($S731="S",IF(INDEX(Firms!$T$5:$T$1004,$T731)="","",INDEX(Firms!$T$5:$T$1004,$T731)),IF(INDEX('AFA Rates'!$M$5:$M$1004,$T731)="","",INDEX('AFA Rates'!$M$5:$M$1004,$T731))))</f>
        <v/>
      </c>
      <c r="S731">
        <f>IF(727&lt;=$S$2,"S",IF(727&lt;=$S$2+$T$2,"A",""))</f>
        <v/>
      </c>
      <c r="T731">
        <f>IF(S731="S",MATCH(727,Firms!$W$5:$W$1004,0),IF(S731="A",IFERROR(MATCH(727-$S$2,'AFA Rates'!$R$5:$R$1004,0),""),""))</f>
        <v/>
      </c>
      <c r="U731">
        <f>IF(S731="S",T731,IF(AND(S731="A",T731&lt;&gt;""),IFERROR(MATCH(INDEX('AFA Rates'!$A$5:$A$1004,T731),Firms!$A$5:$A$1004,0),""),""))</f>
        <v/>
      </c>
    </row>
    <row r="732">
      <c r="A732" s="78">
        <f>IF($T732="","",IF($S732="S",IF(INDEX(Firms!$A$5:$A$1004,$T732)="","",INDEX(Firms!$A$5:$A$1004,$T732)),IF(INDEX('AFA Rates'!$A$5:$A$1004,$T732)="","",INDEX('AFA Rates'!$A$5:$A$1004,$T732))))</f>
        <v/>
      </c>
      <c r="B732" s="79">
        <f>IF(OR($T732="",$U732=""),IF($T732="","","Not on Firms tab"),INDEX(Firms!$B$5:$B$1004,$U732)&amp;"")</f>
        <v/>
      </c>
      <c r="C732" s="78">
        <f>IF($T732="","",IF($S732="S","Standard",INDEX('AFA Rates'!$B$5:$B$1004,$T732)&amp;""))</f>
        <v/>
      </c>
      <c r="D732" s="88">
        <f>IF($T732="","",IF($S732="S",IF(INDEX(Firms!$E$5:$E$1004,$T732)="","",INDEX(Firms!$E$5:$E$1004,$T732)),IF(INDEX('AFA Rates'!$C$5:$C$1004,$T732)="","",INDEX('AFA Rates'!$C$5:$C$1004,$T732))))</f>
        <v/>
      </c>
      <c r="E732" s="88">
        <f>IF($T732="","",IF($S732="S",IF(""="","",""),IF(INDEX('AFA Rates'!$D$5:$D$1004,$T732)="","",INDEX('AFA Rates'!$D$5:$D$1004,$T732))))</f>
        <v/>
      </c>
      <c r="F732" s="79">
        <f>IF($T732="","",IF($S732="S",IF(INDEX(Firms!$O$5:$O$1004,$T732)="","",INDEX(Firms!$O$5:$O$1004,$T732)),IF(INDEX('AFA Rates'!$O$5:$O$1004,$T732)="","",INDEX('AFA Rates'!$O$5:$O$1004,$T732))))</f>
        <v/>
      </c>
      <c r="G732" s="50">
        <f>IF($T732="","",IF($S732="S",IF(INDEX(Firms!$F$5:$F$1004,$T732)="","",INDEX(Firms!$F$5:$F$1004,$T732)),IF(INDEX('AFA Rates'!$E$5:$E$1004,$T732)="","",INDEX('AFA Rates'!$E$5:$E$1004,$T732))))</f>
        <v/>
      </c>
      <c r="H732" s="50">
        <f>IF($T732="","",IF($S732="S",IF(INDEX(Firms!$G$5:$G$1004,$T732)="","",INDEX(Firms!$G$5:$G$1004,$T732)),IF(INDEX('AFA Rates'!$F$5:$F$1004,$T732)="","",INDEX('AFA Rates'!$F$5:$F$1004,$T732))))</f>
        <v/>
      </c>
      <c r="I732" s="50">
        <f>IF($T732="","",IF($S732="S",IF(INDEX(Firms!$H$5:$H$1004,$T732)="","",INDEX(Firms!$H$5:$H$1004,$T732)),IF(INDEX('AFA Rates'!$G$5:$G$1004,$T732)="","",INDEX('AFA Rates'!$G$5:$G$1004,$T732))))</f>
        <v/>
      </c>
      <c r="J732" s="50">
        <f>IF($T732="","",IF($S732="S",IF(INDEX(Firms!$I$5:$I$1004,$T732)="","",INDEX(Firms!$I$5:$I$1004,$T732)),IF(INDEX('AFA Rates'!$H$5:$H$1004,$T732)="","",INDEX('AFA Rates'!$H$5:$H$1004,$T732))))</f>
        <v/>
      </c>
      <c r="K732" s="50">
        <f>IF($T732="","",IF($S732="S",IF(INDEX(Firms!$J$5:$J$1004,$T732)="","",INDEX(Firms!$J$5:$J$1004,$T732)),IF(INDEX('AFA Rates'!$I$5:$I$1004,$T732)="","",INDEX('AFA Rates'!$I$5:$I$1004,$T732))))</f>
        <v/>
      </c>
      <c r="L732" s="50">
        <f>IF($T732="","",IF($S732="S",IF(INDEX(Firms!$K$5:$K$1004,$T732)="","",INDEX(Firms!$K$5:$K$1004,$T732)),IF(INDEX('AFA Rates'!$J$5:$J$1004,$T732)="","",INDEX('AFA Rates'!$J$5:$J$1004,$T732))))</f>
        <v/>
      </c>
      <c r="M732" s="50">
        <f>IF($T732="","",IF($S732="S",IF(INDEX(Firms!$L$5:$L$1004,$T732)="","",INDEX(Firms!$L$5:$L$1004,$T732)),IF(INDEX('AFA Rates'!$K$5:$K$1004,$T732)="","",INDEX('AFA Rates'!$K$5:$K$1004,$T732))))</f>
        <v/>
      </c>
      <c r="N732" s="50">
        <f>IF($T732="","",IF($S732="S",IF(INDEX(Firms!$M$5:$M$1004,$T732)="","",INDEX(Firms!$M$5:$M$1004,$T732)),IF(INDEX('AFA Rates'!$L$5:$L$1004,$T732)="","",INDEX('AFA Rates'!$L$5:$L$1004,$T732))))</f>
        <v/>
      </c>
      <c r="O732" s="78">
        <f>IF(OR($T732="",$U732=""),"",IF(INDEX(Firms!$C$5:$C$1004,$U732)="","",INDEX(Firms!$C$5:$C$1004,$U732)))</f>
        <v/>
      </c>
      <c r="P732" s="79">
        <f>IF(OR($T732="",$U732=""),"",IF(INDEX(Firms!$N$5:$N$1004,$U732)="","",INDEX(Firms!$N$5:$N$1004,$U732)))</f>
        <v/>
      </c>
      <c r="Q732" s="78">
        <f>IF($T732="","",IF($S732="S",IF(INDEX(Firms!$T$5:$T$1004,$T732)="","",INDEX(Firms!$T$5:$T$1004,$T732)),IF(INDEX('AFA Rates'!$M$5:$M$1004,$T732)="","",INDEX('AFA Rates'!$M$5:$M$1004,$T732))))</f>
        <v/>
      </c>
      <c r="S732">
        <f>IF(728&lt;=$S$2,"S",IF(728&lt;=$S$2+$T$2,"A",""))</f>
        <v/>
      </c>
      <c r="T732">
        <f>IF(S732="S",MATCH(728,Firms!$W$5:$W$1004,0),IF(S732="A",IFERROR(MATCH(728-$S$2,'AFA Rates'!$R$5:$R$1004,0),""),""))</f>
        <v/>
      </c>
      <c r="U732">
        <f>IF(S732="S",T732,IF(AND(S732="A",T732&lt;&gt;""),IFERROR(MATCH(INDEX('AFA Rates'!$A$5:$A$1004,T732),Firms!$A$5:$A$1004,0),""),""))</f>
        <v/>
      </c>
    </row>
    <row r="733">
      <c r="A733" s="78">
        <f>IF($T733="","",IF($S733="S",IF(INDEX(Firms!$A$5:$A$1004,$T733)="","",INDEX(Firms!$A$5:$A$1004,$T733)),IF(INDEX('AFA Rates'!$A$5:$A$1004,$T733)="","",INDEX('AFA Rates'!$A$5:$A$1004,$T733))))</f>
        <v/>
      </c>
      <c r="B733" s="79">
        <f>IF(OR($T733="",$U733=""),IF($T733="","","Not on Firms tab"),INDEX(Firms!$B$5:$B$1004,$U733)&amp;"")</f>
        <v/>
      </c>
      <c r="C733" s="78">
        <f>IF($T733="","",IF($S733="S","Standard",INDEX('AFA Rates'!$B$5:$B$1004,$T733)&amp;""))</f>
        <v/>
      </c>
      <c r="D733" s="88">
        <f>IF($T733="","",IF($S733="S",IF(INDEX(Firms!$E$5:$E$1004,$T733)="","",INDEX(Firms!$E$5:$E$1004,$T733)),IF(INDEX('AFA Rates'!$C$5:$C$1004,$T733)="","",INDEX('AFA Rates'!$C$5:$C$1004,$T733))))</f>
        <v/>
      </c>
      <c r="E733" s="88">
        <f>IF($T733="","",IF($S733="S",IF(""="","",""),IF(INDEX('AFA Rates'!$D$5:$D$1004,$T733)="","",INDEX('AFA Rates'!$D$5:$D$1004,$T733))))</f>
        <v/>
      </c>
      <c r="F733" s="79">
        <f>IF($T733="","",IF($S733="S",IF(INDEX(Firms!$O$5:$O$1004,$T733)="","",INDEX(Firms!$O$5:$O$1004,$T733)),IF(INDEX('AFA Rates'!$O$5:$O$1004,$T733)="","",INDEX('AFA Rates'!$O$5:$O$1004,$T733))))</f>
        <v/>
      </c>
      <c r="G733" s="50">
        <f>IF($T733="","",IF($S733="S",IF(INDEX(Firms!$F$5:$F$1004,$T733)="","",INDEX(Firms!$F$5:$F$1004,$T733)),IF(INDEX('AFA Rates'!$E$5:$E$1004,$T733)="","",INDEX('AFA Rates'!$E$5:$E$1004,$T733))))</f>
        <v/>
      </c>
      <c r="H733" s="50">
        <f>IF($T733="","",IF($S733="S",IF(INDEX(Firms!$G$5:$G$1004,$T733)="","",INDEX(Firms!$G$5:$G$1004,$T733)),IF(INDEX('AFA Rates'!$F$5:$F$1004,$T733)="","",INDEX('AFA Rates'!$F$5:$F$1004,$T733))))</f>
        <v/>
      </c>
      <c r="I733" s="50">
        <f>IF($T733="","",IF($S733="S",IF(INDEX(Firms!$H$5:$H$1004,$T733)="","",INDEX(Firms!$H$5:$H$1004,$T733)),IF(INDEX('AFA Rates'!$G$5:$G$1004,$T733)="","",INDEX('AFA Rates'!$G$5:$G$1004,$T733))))</f>
        <v/>
      </c>
      <c r="J733" s="50">
        <f>IF($T733="","",IF($S733="S",IF(INDEX(Firms!$I$5:$I$1004,$T733)="","",INDEX(Firms!$I$5:$I$1004,$T733)),IF(INDEX('AFA Rates'!$H$5:$H$1004,$T733)="","",INDEX('AFA Rates'!$H$5:$H$1004,$T733))))</f>
        <v/>
      </c>
      <c r="K733" s="50">
        <f>IF($T733="","",IF($S733="S",IF(INDEX(Firms!$J$5:$J$1004,$T733)="","",INDEX(Firms!$J$5:$J$1004,$T733)),IF(INDEX('AFA Rates'!$I$5:$I$1004,$T733)="","",INDEX('AFA Rates'!$I$5:$I$1004,$T733))))</f>
        <v/>
      </c>
      <c r="L733" s="50">
        <f>IF($T733="","",IF($S733="S",IF(INDEX(Firms!$K$5:$K$1004,$T733)="","",INDEX(Firms!$K$5:$K$1004,$T733)),IF(INDEX('AFA Rates'!$J$5:$J$1004,$T733)="","",INDEX('AFA Rates'!$J$5:$J$1004,$T733))))</f>
        <v/>
      </c>
      <c r="M733" s="50">
        <f>IF($T733="","",IF($S733="S",IF(INDEX(Firms!$L$5:$L$1004,$T733)="","",INDEX(Firms!$L$5:$L$1004,$T733)),IF(INDEX('AFA Rates'!$K$5:$K$1004,$T733)="","",INDEX('AFA Rates'!$K$5:$K$1004,$T733))))</f>
        <v/>
      </c>
      <c r="N733" s="50">
        <f>IF($T733="","",IF($S733="S",IF(INDEX(Firms!$M$5:$M$1004,$T733)="","",INDEX(Firms!$M$5:$M$1004,$T733)),IF(INDEX('AFA Rates'!$L$5:$L$1004,$T733)="","",INDEX('AFA Rates'!$L$5:$L$1004,$T733))))</f>
        <v/>
      </c>
      <c r="O733" s="78">
        <f>IF(OR($T733="",$U733=""),"",IF(INDEX(Firms!$C$5:$C$1004,$U733)="","",INDEX(Firms!$C$5:$C$1004,$U733)))</f>
        <v/>
      </c>
      <c r="P733" s="79">
        <f>IF(OR($T733="",$U733=""),"",IF(INDEX(Firms!$N$5:$N$1004,$U733)="","",INDEX(Firms!$N$5:$N$1004,$U733)))</f>
        <v/>
      </c>
      <c r="Q733" s="78">
        <f>IF($T733="","",IF($S733="S",IF(INDEX(Firms!$T$5:$T$1004,$T733)="","",INDEX(Firms!$T$5:$T$1004,$T733)),IF(INDEX('AFA Rates'!$M$5:$M$1004,$T733)="","",INDEX('AFA Rates'!$M$5:$M$1004,$T733))))</f>
        <v/>
      </c>
      <c r="S733">
        <f>IF(729&lt;=$S$2,"S",IF(729&lt;=$S$2+$T$2,"A",""))</f>
        <v/>
      </c>
      <c r="T733">
        <f>IF(S733="S",MATCH(729,Firms!$W$5:$W$1004,0),IF(S733="A",IFERROR(MATCH(729-$S$2,'AFA Rates'!$R$5:$R$1004,0),""),""))</f>
        <v/>
      </c>
      <c r="U733">
        <f>IF(S733="S",T733,IF(AND(S733="A",T733&lt;&gt;""),IFERROR(MATCH(INDEX('AFA Rates'!$A$5:$A$1004,T733),Firms!$A$5:$A$1004,0),""),""))</f>
        <v/>
      </c>
    </row>
    <row r="734">
      <c r="A734" s="78">
        <f>IF($T734="","",IF($S734="S",IF(INDEX(Firms!$A$5:$A$1004,$T734)="","",INDEX(Firms!$A$5:$A$1004,$T734)),IF(INDEX('AFA Rates'!$A$5:$A$1004,$T734)="","",INDEX('AFA Rates'!$A$5:$A$1004,$T734))))</f>
        <v/>
      </c>
      <c r="B734" s="79">
        <f>IF(OR($T734="",$U734=""),IF($T734="","","Not on Firms tab"),INDEX(Firms!$B$5:$B$1004,$U734)&amp;"")</f>
        <v/>
      </c>
      <c r="C734" s="78">
        <f>IF($T734="","",IF($S734="S","Standard",INDEX('AFA Rates'!$B$5:$B$1004,$T734)&amp;""))</f>
        <v/>
      </c>
      <c r="D734" s="88">
        <f>IF($T734="","",IF($S734="S",IF(INDEX(Firms!$E$5:$E$1004,$T734)="","",INDEX(Firms!$E$5:$E$1004,$T734)),IF(INDEX('AFA Rates'!$C$5:$C$1004,$T734)="","",INDEX('AFA Rates'!$C$5:$C$1004,$T734))))</f>
        <v/>
      </c>
      <c r="E734" s="88">
        <f>IF($T734="","",IF($S734="S",IF(""="","",""),IF(INDEX('AFA Rates'!$D$5:$D$1004,$T734)="","",INDEX('AFA Rates'!$D$5:$D$1004,$T734))))</f>
        <v/>
      </c>
      <c r="F734" s="79">
        <f>IF($T734="","",IF($S734="S",IF(INDEX(Firms!$O$5:$O$1004,$T734)="","",INDEX(Firms!$O$5:$O$1004,$T734)),IF(INDEX('AFA Rates'!$O$5:$O$1004,$T734)="","",INDEX('AFA Rates'!$O$5:$O$1004,$T734))))</f>
        <v/>
      </c>
      <c r="G734" s="50">
        <f>IF($T734="","",IF($S734="S",IF(INDEX(Firms!$F$5:$F$1004,$T734)="","",INDEX(Firms!$F$5:$F$1004,$T734)),IF(INDEX('AFA Rates'!$E$5:$E$1004,$T734)="","",INDEX('AFA Rates'!$E$5:$E$1004,$T734))))</f>
        <v/>
      </c>
      <c r="H734" s="50">
        <f>IF($T734="","",IF($S734="S",IF(INDEX(Firms!$G$5:$G$1004,$T734)="","",INDEX(Firms!$G$5:$G$1004,$T734)),IF(INDEX('AFA Rates'!$F$5:$F$1004,$T734)="","",INDEX('AFA Rates'!$F$5:$F$1004,$T734))))</f>
        <v/>
      </c>
      <c r="I734" s="50">
        <f>IF($T734="","",IF($S734="S",IF(INDEX(Firms!$H$5:$H$1004,$T734)="","",INDEX(Firms!$H$5:$H$1004,$T734)),IF(INDEX('AFA Rates'!$G$5:$G$1004,$T734)="","",INDEX('AFA Rates'!$G$5:$G$1004,$T734))))</f>
        <v/>
      </c>
      <c r="J734" s="50">
        <f>IF($T734="","",IF($S734="S",IF(INDEX(Firms!$I$5:$I$1004,$T734)="","",INDEX(Firms!$I$5:$I$1004,$T734)),IF(INDEX('AFA Rates'!$H$5:$H$1004,$T734)="","",INDEX('AFA Rates'!$H$5:$H$1004,$T734))))</f>
        <v/>
      </c>
      <c r="K734" s="50">
        <f>IF($T734="","",IF($S734="S",IF(INDEX(Firms!$J$5:$J$1004,$T734)="","",INDEX(Firms!$J$5:$J$1004,$T734)),IF(INDEX('AFA Rates'!$I$5:$I$1004,$T734)="","",INDEX('AFA Rates'!$I$5:$I$1004,$T734))))</f>
        <v/>
      </c>
      <c r="L734" s="50">
        <f>IF($T734="","",IF($S734="S",IF(INDEX(Firms!$K$5:$K$1004,$T734)="","",INDEX(Firms!$K$5:$K$1004,$T734)),IF(INDEX('AFA Rates'!$J$5:$J$1004,$T734)="","",INDEX('AFA Rates'!$J$5:$J$1004,$T734))))</f>
        <v/>
      </c>
      <c r="M734" s="50">
        <f>IF($T734="","",IF($S734="S",IF(INDEX(Firms!$L$5:$L$1004,$T734)="","",INDEX(Firms!$L$5:$L$1004,$T734)),IF(INDEX('AFA Rates'!$K$5:$K$1004,$T734)="","",INDEX('AFA Rates'!$K$5:$K$1004,$T734))))</f>
        <v/>
      </c>
      <c r="N734" s="50">
        <f>IF($T734="","",IF($S734="S",IF(INDEX(Firms!$M$5:$M$1004,$T734)="","",INDEX(Firms!$M$5:$M$1004,$T734)),IF(INDEX('AFA Rates'!$L$5:$L$1004,$T734)="","",INDEX('AFA Rates'!$L$5:$L$1004,$T734))))</f>
        <v/>
      </c>
      <c r="O734" s="78">
        <f>IF(OR($T734="",$U734=""),"",IF(INDEX(Firms!$C$5:$C$1004,$U734)="","",INDEX(Firms!$C$5:$C$1004,$U734)))</f>
        <v/>
      </c>
      <c r="P734" s="79">
        <f>IF(OR($T734="",$U734=""),"",IF(INDEX(Firms!$N$5:$N$1004,$U734)="","",INDEX(Firms!$N$5:$N$1004,$U734)))</f>
        <v/>
      </c>
      <c r="Q734" s="78">
        <f>IF($T734="","",IF($S734="S",IF(INDEX(Firms!$T$5:$T$1004,$T734)="","",INDEX(Firms!$T$5:$T$1004,$T734)),IF(INDEX('AFA Rates'!$M$5:$M$1004,$T734)="","",INDEX('AFA Rates'!$M$5:$M$1004,$T734))))</f>
        <v/>
      </c>
      <c r="S734">
        <f>IF(730&lt;=$S$2,"S",IF(730&lt;=$S$2+$T$2,"A",""))</f>
        <v/>
      </c>
      <c r="T734">
        <f>IF(S734="S",MATCH(730,Firms!$W$5:$W$1004,0),IF(S734="A",IFERROR(MATCH(730-$S$2,'AFA Rates'!$R$5:$R$1004,0),""),""))</f>
        <v/>
      </c>
      <c r="U734">
        <f>IF(S734="S",T734,IF(AND(S734="A",T734&lt;&gt;""),IFERROR(MATCH(INDEX('AFA Rates'!$A$5:$A$1004,T734),Firms!$A$5:$A$1004,0),""),""))</f>
        <v/>
      </c>
    </row>
    <row r="735">
      <c r="A735" s="78">
        <f>IF($T735="","",IF($S735="S",IF(INDEX(Firms!$A$5:$A$1004,$T735)="","",INDEX(Firms!$A$5:$A$1004,$T735)),IF(INDEX('AFA Rates'!$A$5:$A$1004,$T735)="","",INDEX('AFA Rates'!$A$5:$A$1004,$T735))))</f>
        <v/>
      </c>
      <c r="B735" s="79">
        <f>IF(OR($T735="",$U735=""),IF($T735="","","Not on Firms tab"),INDEX(Firms!$B$5:$B$1004,$U735)&amp;"")</f>
        <v/>
      </c>
      <c r="C735" s="78">
        <f>IF($T735="","",IF($S735="S","Standard",INDEX('AFA Rates'!$B$5:$B$1004,$T735)&amp;""))</f>
        <v/>
      </c>
      <c r="D735" s="88">
        <f>IF($T735="","",IF($S735="S",IF(INDEX(Firms!$E$5:$E$1004,$T735)="","",INDEX(Firms!$E$5:$E$1004,$T735)),IF(INDEX('AFA Rates'!$C$5:$C$1004,$T735)="","",INDEX('AFA Rates'!$C$5:$C$1004,$T735))))</f>
        <v/>
      </c>
      <c r="E735" s="88">
        <f>IF($T735="","",IF($S735="S",IF(""="","",""),IF(INDEX('AFA Rates'!$D$5:$D$1004,$T735)="","",INDEX('AFA Rates'!$D$5:$D$1004,$T735))))</f>
        <v/>
      </c>
      <c r="F735" s="79">
        <f>IF($T735="","",IF($S735="S",IF(INDEX(Firms!$O$5:$O$1004,$T735)="","",INDEX(Firms!$O$5:$O$1004,$T735)),IF(INDEX('AFA Rates'!$O$5:$O$1004,$T735)="","",INDEX('AFA Rates'!$O$5:$O$1004,$T735))))</f>
        <v/>
      </c>
      <c r="G735" s="50">
        <f>IF($T735="","",IF($S735="S",IF(INDEX(Firms!$F$5:$F$1004,$T735)="","",INDEX(Firms!$F$5:$F$1004,$T735)),IF(INDEX('AFA Rates'!$E$5:$E$1004,$T735)="","",INDEX('AFA Rates'!$E$5:$E$1004,$T735))))</f>
        <v/>
      </c>
      <c r="H735" s="50">
        <f>IF($T735="","",IF($S735="S",IF(INDEX(Firms!$G$5:$G$1004,$T735)="","",INDEX(Firms!$G$5:$G$1004,$T735)),IF(INDEX('AFA Rates'!$F$5:$F$1004,$T735)="","",INDEX('AFA Rates'!$F$5:$F$1004,$T735))))</f>
        <v/>
      </c>
      <c r="I735" s="50">
        <f>IF($T735="","",IF($S735="S",IF(INDEX(Firms!$H$5:$H$1004,$T735)="","",INDEX(Firms!$H$5:$H$1004,$T735)),IF(INDEX('AFA Rates'!$G$5:$G$1004,$T735)="","",INDEX('AFA Rates'!$G$5:$G$1004,$T735))))</f>
        <v/>
      </c>
      <c r="J735" s="50">
        <f>IF($T735="","",IF($S735="S",IF(INDEX(Firms!$I$5:$I$1004,$T735)="","",INDEX(Firms!$I$5:$I$1004,$T735)),IF(INDEX('AFA Rates'!$H$5:$H$1004,$T735)="","",INDEX('AFA Rates'!$H$5:$H$1004,$T735))))</f>
        <v/>
      </c>
      <c r="K735" s="50">
        <f>IF($T735="","",IF($S735="S",IF(INDEX(Firms!$J$5:$J$1004,$T735)="","",INDEX(Firms!$J$5:$J$1004,$T735)),IF(INDEX('AFA Rates'!$I$5:$I$1004,$T735)="","",INDEX('AFA Rates'!$I$5:$I$1004,$T735))))</f>
        <v/>
      </c>
      <c r="L735" s="50">
        <f>IF($T735="","",IF($S735="S",IF(INDEX(Firms!$K$5:$K$1004,$T735)="","",INDEX(Firms!$K$5:$K$1004,$T735)),IF(INDEX('AFA Rates'!$J$5:$J$1004,$T735)="","",INDEX('AFA Rates'!$J$5:$J$1004,$T735))))</f>
        <v/>
      </c>
      <c r="M735" s="50">
        <f>IF($T735="","",IF($S735="S",IF(INDEX(Firms!$L$5:$L$1004,$T735)="","",INDEX(Firms!$L$5:$L$1004,$T735)),IF(INDEX('AFA Rates'!$K$5:$K$1004,$T735)="","",INDEX('AFA Rates'!$K$5:$K$1004,$T735))))</f>
        <v/>
      </c>
      <c r="N735" s="50">
        <f>IF($T735="","",IF($S735="S",IF(INDEX(Firms!$M$5:$M$1004,$T735)="","",INDEX(Firms!$M$5:$M$1004,$T735)),IF(INDEX('AFA Rates'!$L$5:$L$1004,$T735)="","",INDEX('AFA Rates'!$L$5:$L$1004,$T735))))</f>
        <v/>
      </c>
      <c r="O735" s="78">
        <f>IF(OR($T735="",$U735=""),"",IF(INDEX(Firms!$C$5:$C$1004,$U735)="","",INDEX(Firms!$C$5:$C$1004,$U735)))</f>
        <v/>
      </c>
      <c r="P735" s="79">
        <f>IF(OR($T735="",$U735=""),"",IF(INDEX(Firms!$N$5:$N$1004,$U735)="","",INDEX(Firms!$N$5:$N$1004,$U735)))</f>
        <v/>
      </c>
      <c r="Q735" s="78">
        <f>IF($T735="","",IF($S735="S",IF(INDEX(Firms!$T$5:$T$1004,$T735)="","",INDEX(Firms!$T$5:$T$1004,$T735)),IF(INDEX('AFA Rates'!$M$5:$M$1004,$T735)="","",INDEX('AFA Rates'!$M$5:$M$1004,$T735))))</f>
        <v/>
      </c>
      <c r="S735">
        <f>IF(731&lt;=$S$2,"S",IF(731&lt;=$S$2+$T$2,"A",""))</f>
        <v/>
      </c>
      <c r="T735">
        <f>IF(S735="S",MATCH(731,Firms!$W$5:$W$1004,0),IF(S735="A",IFERROR(MATCH(731-$S$2,'AFA Rates'!$R$5:$R$1004,0),""),""))</f>
        <v/>
      </c>
      <c r="U735">
        <f>IF(S735="S",T735,IF(AND(S735="A",T735&lt;&gt;""),IFERROR(MATCH(INDEX('AFA Rates'!$A$5:$A$1004,T735),Firms!$A$5:$A$1004,0),""),""))</f>
        <v/>
      </c>
    </row>
    <row r="736">
      <c r="A736" s="78">
        <f>IF($T736="","",IF($S736="S",IF(INDEX(Firms!$A$5:$A$1004,$T736)="","",INDEX(Firms!$A$5:$A$1004,$T736)),IF(INDEX('AFA Rates'!$A$5:$A$1004,$T736)="","",INDEX('AFA Rates'!$A$5:$A$1004,$T736))))</f>
        <v/>
      </c>
      <c r="B736" s="79">
        <f>IF(OR($T736="",$U736=""),IF($T736="","","Not on Firms tab"),INDEX(Firms!$B$5:$B$1004,$U736)&amp;"")</f>
        <v/>
      </c>
      <c r="C736" s="78">
        <f>IF($T736="","",IF($S736="S","Standard",INDEX('AFA Rates'!$B$5:$B$1004,$T736)&amp;""))</f>
        <v/>
      </c>
      <c r="D736" s="88">
        <f>IF($T736="","",IF($S736="S",IF(INDEX(Firms!$E$5:$E$1004,$T736)="","",INDEX(Firms!$E$5:$E$1004,$T736)),IF(INDEX('AFA Rates'!$C$5:$C$1004,$T736)="","",INDEX('AFA Rates'!$C$5:$C$1004,$T736))))</f>
        <v/>
      </c>
      <c r="E736" s="88">
        <f>IF($T736="","",IF($S736="S",IF(""="","",""),IF(INDEX('AFA Rates'!$D$5:$D$1004,$T736)="","",INDEX('AFA Rates'!$D$5:$D$1004,$T736))))</f>
        <v/>
      </c>
      <c r="F736" s="79">
        <f>IF($T736="","",IF($S736="S",IF(INDEX(Firms!$O$5:$O$1004,$T736)="","",INDEX(Firms!$O$5:$O$1004,$T736)),IF(INDEX('AFA Rates'!$O$5:$O$1004,$T736)="","",INDEX('AFA Rates'!$O$5:$O$1004,$T736))))</f>
        <v/>
      </c>
      <c r="G736" s="50">
        <f>IF($T736="","",IF($S736="S",IF(INDEX(Firms!$F$5:$F$1004,$T736)="","",INDEX(Firms!$F$5:$F$1004,$T736)),IF(INDEX('AFA Rates'!$E$5:$E$1004,$T736)="","",INDEX('AFA Rates'!$E$5:$E$1004,$T736))))</f>
        <v/>
      </c>
      <c r="H736" s="50">
        <f>IF($T736="","",IF($S736="S",IF(INDEX(Firms!$G$5:$G$1004,$T736)="","",INDEX(Firms!$G$5:$G$1004,$T736)),IF(INDEX('AFA Rates'!$F$5:$F$1004,$T736)="","",INDEX('AFA Rates'!$F$5:$F$1004,$T736))))</f>
        <v/>
      </c>
      <c r="I736" s="50">
        <f>IF($T736="","",IF($S736="S",IF(INDEX(Firms!$H$5:$H$1004,$T736)="","",INDEX(Firms!$H$5:$H$1004,$T736)),IF(INDEX('AFA Rates'!$G$5:$G$1004,$T736)="","",INDEX('AFA Rates'!$G$5:$G$1004,$T736))))</f>
        <v/>
      </c>
      <c r="J736" s="50">
        <f>IF($T736="","",IF($S736="S",IF(INDEX(Firms!$I$5:$I$1004,$T736)="","",INDEX(Firms!$I$5:$I$1004,$T736)),IF(INDEX('AFA Rates'!$H$5:$H$1004,$T736)="","",INDEX('AFA Rates'!$H$5:$H$1004,$T736))))</f>
        <v/>
      </c>
      <c r="K736" s="50">
        <f>IF($T736="","",IF($S736="S",IF(INDEX(Firms!$J$5:$J$1004,$T736)="","",INDEX(Firms!$J$5:$J$1004,$T736)),IF(INDEX('AFA Rates'!$I$5:$I$1004,$T736)="","",INDEX('AFA Rates'!$I$5:$I$1004,$T736))))</f>
        <v/>
      </c>
      <c r="L736" s="50">
        <f>IF($T736="","",IF($S736="S",IF(INDEX(Firms!$K$5:$K$1004,$T736)="","",INDEX(Firms!$K$5:$K$1004,$T736)),IF(INDEX('AFA Rates'!$J$5:$J$1004,$T736)="","",INDEX('AFA Rates'!$J$5:$J$1004,$T736))))</f>
        <v/>
      </c>
      <c r="M736" s="50">
        <f>IF($T736="","",IF($S736="S",IF(INDEX(Firms!$L$5:$L$1004,$T736)="","",INDEX(Firms!$L$5:$L$1004,$T736)),IF(INDEX('AFA Rates'!$K$5:$K$1004,$T736)="","",INDEX('AFA Rates'!$K$5:$K$1004,$T736))))</f>
        <v/>
      </c>
      <c r="N736" s="50">
        <f>IF($T736="","",IF($S736="S",IF(INDEX(Firms!$M$5:$M$1004,$T736)="","",INDEX(Firms!$M$5:$M$1004,$T736)),IF(INDEX('AFA Rates'!$L$5:$L$1004,$T736)="","",INDEX('AFA Rates'!$L$5:$L$1004,$T736))))</f>
        <v/>
      </c>
      <c r="O736" s="78">
        <f>IF(OR($T736="",$U736=""),"",IF(INDEX(Firms!$C$5:$C$1004,$U736)="","",INDEX(Firms!$C$5:$C$1004,$U736)))</f>
        <v/>
      </c>
      <c r="P736" s="79">
        <f>IF(OR($T736="",$U736=""),"",IF(INDEX(Firms!$N$5:$N$1004,$U736)="","",INDEX(Firms!$N$5:$N$1004,$U736)))</f>
        <v/>
      </c>
      <c r="Q736" s="78">
        <f>IF($T736="","",IF($S736="S",IF(INDEX(Firms!$T$5:$T$1004,$T736)="","",INDEX(Firms!$T$5:$T$1004,$T736)),IF(INDEX('AFA Rates'!$M$5:$M$1004,$T736)="","",INDEX('AFA Rates'!$M$5:$M$1004,$T736))))</f>
        <v/>
      </c>
      <c r="S736">
        <f>IF(732&lt;=$S$2,"S",IF(732&lt;=$S$2+$T$2,"A",""))</f>
        <v/>
      </c>
      <c r="T736">
        <f>IF(S736="S",MATCH(732,Firms!$W$5:$W$1004,0),IF(S736="A",IFERROR(MATCH(732-$S$2,'AFA Rates'!$R$5:$R$1004,0),""),""))</f>
        <v/>
      </c>
      <c r="U736">
        <f>IF(S736="S",T736,IF(AND(S736="A",T736&lt;&gt;""),IFERROR(MATCH(INDEX('AFA Rates'!$A$5:$A$1004,T736),Firms!$A$5:$A$1004,0),""),""))</f>
        <v/>
      </c>
    </row>
    <row r="737">
      <c r="A737" s="78">
        <f>IF($T737="","",IF($S737="S",IF(INDEX(Firms!$A$5:$A$1004,$T737)="","",INDEX(Firms!$A$5:$A$1004,$T737)),IF(INDEX('AFA Rates'!$A$5:$A$1004,$T737)="","",INDEX('AFA Rates'!$A$5:$A$1004,$T737))))</f>
        <v/>
      </c>
      <c r="B737" s="79">
        <f>IF(OR($T737="",$U737=""),IF($T737="","","Not on Firms tab"),INDEX(Firms!$B$5:$B$1004,$U737)&amp;"")</f>
        <v/>
      </c>
      <c r="C737" s="78">
        <f>IF($T737="","",IF($S737="S","Standard",INDEX('AFA Rates'!$B$5:$B$1004,$T737)&amp;""))</f>
        <v/>
      </c>
      <c r="D737" s="88">
        <f>IF($T737="","",IF($S737="S",IF(INDEX(Firms!$E$5:$E$1004,$T737)="","",INDEX(Firms!$E$5:$E$1004,$T737)),IF(INDEX('AFA Rates'!$C$5:$C$1004,$T737)="","",INDEX('AFA Rates'!$C$5:$C$1004,$T737))))</f>
        <v/>
      </c>
      <c r="E737" s="88">
        <f>IF($T737="","",IF($S737="S",IF(""="","",""),IF(INDEX('AFA Rates'!$D$5:$D$1004,$T737)="","",INDEX('AFA Rates'!$D$5:$D$1004,$T737))))</f>
        <v/>
      </c>
      <c r="F737" s="79">
        <f>IF($T737="","",IF($S737="S",IF(INDEX(Firms!$O$5:$O$1004,$T737)="","",INDEX(Firms!$O$5:$O$1004,$T737)),IF(INDEX('AFA Rates'!$O$5:$O$1004,$T737)="","",INDEX('AFA Rates'!$O$5:$O$1004,$T737))))</f>
        <v/>
      </c>
      <c r="G737" s="50">
        <f>IF($T737="","",IF($S737="S",IF(INDEX(Firms!$F$5:$F$1004,$T737)="","",INDEX(Firms!$F$5:$F$1004,$T737)),IF(INDEX('AFA Rates'!$E$5:$E$1004,$T737)="","",INDEX('AFA Rates'!$E$5:$E$1004,$T737))))</f>
        <v/>
      </c>
      <c r="H737" s="50">
        <f>IF($T737="","",IF($S737="S",IF(INDEX(Firms!$G$5:$G$1004,$T737)="","",INDEX(Firms!$G$5:$G$1004,$T737)),IF(INDEX('AFA Rates'!$F$5:$F$1004,$T737)="","",INDEX('AFA Rates'!$F$5:$F$1004,$T737))))</f>
        <v/>
      </c>
      <c r="I737" s="50">
        <f>IF($T737="","",IF($S737="S",IF(INDEX(Firms!$H$5:$H$1004,$T737)="","",INDEX(Firms!$H$5:$H$1004,$T737)),IF(INDEX('AFA Rates'!$G$5:$G$1004,$T737)="","",INDEX('AFA Rates'!$G$5:$G$1004,$T737))))</f>
        <v/>
      </c>
      <c r="J737" s="50">
        <f>IF($T737="","",IF($S737="S",IF(INDEX(Firms!$I$5:$I$1004,$T737)="","",INDEX(Firms!$I$5:$I$1004,$T737)),IF(INDEX('AFA Rates'!$H$5:$H$1004,$T737)="","",INDEX('AFA Rates'!$H$5:$H$1004,$T737))))</f>
        <v/>
      </c>
      <c r="K737" s="50">
        <f>IF($T737="","",IF($S737="S",IF(INDEX(Firms!$J$5:$J$1004,$T737)="","",INDEX(Firms!$J$5:$J$1004,$T737)),IF(INDEX('AFA Rates'!$I$5:$I$1004,$T737)="","",INDEX('AFA Rates'!$I$5:$I$1004,$T737))))</f>
        <v/>
      </c>
      <c r="L737" s="50">
        <f>IF($T737="","",IF($S737="S",IF(INDEX(Firms!$K$5:$K$1004,$T737)="","",INDEX(Firms!$K$5:$K$1004,$T737)),IF(INDEX('AFA Rates'!$J$5:$J$1004,$T737)="","",INDEX('AFA Rates'!$J$5:$J$1004,$T737))))</f>
        <v/>
      </c>
      <c r="M737" s="50">
        <f>IF($T737="","",IF($S737="S",IF(INDEX(Firms!$L$5:$L$1004,$T737)="","",INDEX(Firms!$L$5:$L$1004,$T737)),IF(INDEX('AFA Rates'!$K$5:$K$1004,$T737)="","",INDEX('AFA Rates'!$K$5:$K$1004,$T737))))</f>
        <v/>
      </c>
      <c r="N737" s="50">
        <f>IF($T737="","",IF($S737="S",IF(INDEX(Firms!$M$5:$M$1004,$T737)="","",INDEX(Firms!$M$5:$M$1004,$T737)),IF(INDEX('AFA Rates'!$L$5:$L$1004,$T737)="","",INDEX('AFA Rates'!$L$5:$L$1004,$T737))))</f>
        <v/>
      </c>
      <c r="O737" s="78">
        <f>IF(OR($T737="",$U737=""),"",IF(INDEX(Firms!$C$5:$C$1004,$U737)="","",INDEX(Firms!$C$5:$C$1004,$U737)))</f>
        <v/>
      </c>
      <c r="P737" s="79">
        <f>IF(OR($T737="",$U737=""),"",IF(INDEX(Firms!$N$5:$N$1004,$U737)="","",INDEX(Firms!$N$5:$N$1004,$U737)))</f>
        <v/>
      </c>
      <c r="Q737" s="78">
        <f>IF($T737="","",IF($S737="S",IF(INDEX(Firms!$T$5:$T$1004,$T737)="","",INDEX(Firms!$T$5:$T$1004,$T737)),IF(INDEX('AFA Rates'!$M$5:$M$1004,$T737)="","",INDEX('AFA Rates'!$M$5:$M$1004,$T737))))</f>
        <v/>
      </c>
      <c r="S737">
        <f>IF(733&lt;=$S$2,"S",IF(733&lt;=$S$2+$T$2,"A",""))</f>
        <v/>
      </c>
      <c r="T737">
        <f>IF(S737="S",MATCH(733,Firms!$W$5:$W$1004,0),IF(S737="A",IFERROR(MATCH(733-$S$2,'AFA Rates'!$R$5:$R$1004,0),""),""))</f>
        <v/>
      </c>
      <c r="U737">
        <f>IF(S737="S",T737,IF(AND(S737="A",T737&lt;&gt;""),IFERROR(MATCH(INDEX('AFA Rates'!$A$5:$A$1004,T737),Firms!$A$5:$A$1004,0),""),""))</f>
        <v/>
      </c>
    </row>
    <row r="738">
      <c r="A738" s="78">
        <f>IF($T738="","",IF($S738="S",IF(INDEX(Firms!$A$5:$A$1004,$T738)="","",INDEX(Firms!$A$5:$A$1004,$T738)),IF(INDEX('AFA Rates'!$A$5:$A$1004,$T738)="","",INDEX('AFA Rates'!$A$5:$A$1004,$T738))))</f>
        <v/>
      </c>
      <c r="B738" s="79">
        <f>IF(OR($T738="",$U738=""),IF($T738="","","Not on Firms tab"),INDEX(Firms!$B$5:$B$1004,$U738)&amp;"")</f>
        <v/>
      </c>
      <c r="C738" s="78">
        <f>IF($T738="","",IF($S738="S","Standard",INDEX('AFA Rates'!$B$5:$B$1004,$T738)&amp;""))</f>
        <v/>
      </c>
      <c r="D738" s="88">
        <f>IF($T738="","",IF($S738="S",IF(INDEX(Firms!$E$5:$E$1004,$T738)="","",INDEX(Firms!$E$5:$E$1004,$T738)),IF(INDEX('AFA Rates'!$C$5:$C$1004,$T738)="","",INDEX('AFA Rates'!$C$5:$C$1004,$T738))))</f>
        <v/>
      </c>
      <c r="E738" s="88">
        <f>IF($T738="","",IF($S738="S",IF(""="","",""),IF(INDEX('AFA Rates'!$D$5:$D$1004,$T738)="","",INDEX('AFA Rates'!$D$5:$D$1004,$T738))))</f>
        <v/>
      </c>
      <c r="F738" s="79">
        <f>IF($T738="","",IF($S738="S",IF(INDEX(Firms!$O$5:$O$1004,$T738)="","",INDEX(Firms!$O$5:$O$1004,$T738)),IF(INDEX('AFA Rates'!$O$5:$O$1004,$T738)="","",INDEX('AFA Rates'!$O$5:$O$1004,$T738))))</f>
        <v/>
      </c>
      <c r="G738" s="50">
        <f>IF($T738="","",IF($S738="S",IF(INDEX(Firms!$F$5:$F$1004,$T738)="","",INDEX(Firms!$F$5:$F$1004,$T738)),IF(INDEX('AFA Rates'!$E$5:$E$1004,$T738)="","",INDEX('AFA Rates'!$E$5:$E$1004,$T738))))</f>
        <v/>
      </c>
      <c r="H738" s="50">
        <f>IF($T738="","",IF($S738="S",IF(INDEX(Firms!$G$5:$G$1004,$T738)="","",INDEX(Firms!$G$5:$G$1004,$T738)),IF(INDEX('AFA Rates'!$F$5:$F$1004,$T738)="","",INDEX('AFA Rates'!$F$5:$F$1004,$T738))))</f>
        <v/>
      </c>
      <c r="I738" s="50">
        <f>IF($T738="","",IF($S738="S",IF(INDEX(Firms!$H$5:$H$1004,$T738)="","",INDEX(Firms!$H$5:$H$1004,$T738)),IF(INDEX('AFA Rates'!$G$5:$G$1004,$T738)="","",INDEX('AFA Rates'!$G$5:$G$1004,$T738))))</f>
        <v/>
      </c>
      <c r="J738" s="50">
        <f>IF($T738="","",IF($S738="S",IF(INDEX(Firms!$I$5:$I$1004,$T738)="","",INDEX(Firms!$I$5:$I$1004,$T738)),IF(INDEX('AFA Rates'!$H$5:$H$1004,$T738)="","",INDEX('AFA Rates'!$H$5:$H$1004,$T738))))</f>
        <v/>
      </c>
      <c r="K738" s="50">
        <f>IF($T738="","",IF($S738="S",IF(INDEX(Firms!$J$5:$J$1004,$T738)="","",INDEX(Firms!$J$5:$J$1004,$T738)),IF(INDEX('AFA Rates'!$I$5:$I$1004,$T738)="","",INDEX('AFA Rates'!$I$5:$I$1004,$T738))))</f>
        <v/>
      </c>
      <c r="L738" s="50">
        <f>IF($T738="","",IF($S738="S",IF(INDEX(Firms!$K$5:$K$1004,$T738)="","",INDEX(Firms!$K$5:$K$1004,$T738)),IF(INDEX('AFA Rates'!$J$5:$J$1004,$T738)="","",INDEX('AFA Rates'!$J$5:$J$1004,$T738))))</f>
        <v/>
      </c>
      <c r="M738" s="50">
        <f>IF($T738="","",IF($S738="S",IF(INDEX(Firms!$L$5:$L$1004,$T738)="","",INDEX(Firms!$L$5:$L$1004,$T738)),IF(INDEX('AFA Rates'!$K$5:$K$1004,$T738)="","",INDEX('AFA Rates'!$K$5:$K$1004,$T738))))</f>
        <v/>
      </c>
      <c r="N738" s="50">
        <f>IF($T738="","",IF($S738="S",IF(INDEX(Firms!$M$5:$M$1004,$T738)="","",INDEX(Firms!$M$5:$M$1004,$T738)),IF(INDEX('AFA Rates'!$L$5:$L$1004,$T738)="","",INDEX('AFA Rates'!$L$5:$L$1004,$T738))))</f>
        <v/>
      </c>
      <c r="O738" s="78">
        <f>IF(OR($T738="",$U738=""),"",IF(INDEX(Firms!$C$5:$C$1004,$U738)="","",INDEX(Firms!$C$5:$C$1004,$U738)))</f>
        <v/>
      </c>
      <c r="P738" s="79">
        <f>IF(OR($T738="",$U738=""),"",IF(INDEX(Firms!$N$5:$N$1004,$U738)="","",INDEX(Firms!$N$5:$N$1004,$U738)))</f>
        <v/>
      </c>
      <c r="Q738" s="78">
        <f>IF($T738="","",IF($S738="S",IF(INDEX(Firms!$T$5:$T$1004,$T738)="","",INDEX(Firms!$T$5:$T$1004,$T738)),IF(INDEX('AFA Rates'!$M$5:$M$1004,$T738)="","",INDEX('AFA Rates'!$M$5:$M$1004,$T738))))</f>
        <v/>
      </c>
      <c r="S738">
        <f>IF(734&lt;=$S$2,"S",IF(734&lt;=$S$2+$T$2,"A",""))</f>
        <v/>
      </c>
      <c r="T738">
        <f>IF(S738="S",MATCH(734,Firms!$W$5:$W$1004,0),IF(S738="A",IFERROR(MATCH(734-$S$2,'AFA Rates'!$R$5:$R$1004,0),""),""))</f>
        <v/>
      </c>
      <c r="U738">
        <f>IF(S738="S",T738,IF(AND(S738="A",T738&lt;&gt;""),IFERROR(MATCH(INDEX('AFA Rates'!$A$5:$A$1004,T738),Firms!$A$5:$A$1004,0),""),""))</f>
        <v/>
      </c>
    </row>
    <row r="739">
      <c r="A739" s="78">
        <f>IF($T739="","",IF($S739="S",IF(INDEX(Firms!$A$5:$A$1004,$T739)="","",INDEX(Firms!$A$5:$A$1004,$T739)),IF(INDEX('AFA Rates'!$A$5:$A$1004,$T739)="","",INDEX('AFA Rates'!$A$5:$A$1004,$T739))))</f>
        <v/>
      </c>
      <c r="B739" s="79">
        <f>IF(OR($T739="",$U739=""),IF($T739="","","Not on Firms tab"),INDEX(Firms!$B$5:$B$1004,$U739)&amp;"")</f>
        <v/>
      </c>
      <c r="C739" s="78">
        <f>IF($T739="","",IF($S739="S","Standard",INDEX('AFA Rates'!$B$5:$B$1004,$T739)&amp;""))</f>
        <v/>
      </c>
      <c r="D739" s="88">
        <f>IF($T739="","",IF($S739="S",IF(INDEX(Firms!$E$5:$E$1004,$T739)="","",INDEX(Firms!$E$5:$E$1004,$T739)),IF(INDEX('AFA Rates'!$C$5:$C$1004,$T739)="","",INDEX('AFA Rates'!$C$5:$C$1004,$T739))))</f>
        <v/>
      </c>
      <c r="E739" s="88">
        <f>IF($T739="","",IF($S739="S",IF(""="","",""),IF(INDEX('AFA Rates'!$D$5:$D$1004,$T739)="","",INDEX('AFA Rates'!$D$5:$D$1004,$T739))))</f>
        <v/>
      </c>
      <c r="F739" s="79">
        <f>IF($T739="","",IF($S739="S",IF(INDEX(Firms!$O$5:$O$1004,$T739)="","",INDEX(Firms!$O$5:$O$1004,$T739)),IF(INDEX('AFA Rates'!$O$5:$O$1004,$T739)="","",INDEX('AFA Rates'!$O$5:$O$1004,$T739))))</f>
        <v/>
      </c>
      <c r="G739" s="50">
        <f>IF($T739="","",IF($S739="S",IF(INDEX(Firms!$F$5:$F$1004,$T739)="","",INDEX(Firms!$F$5:$F$1004,$T739)),IF(INDEX('AFA Rates'!$E$5:$E$1004,$T739)="","",INDEX('AFA Rates'!$E$5:$E$1004,$T739))))</f>
        <v/>
      </c>
      <c r="H739" s="50">
        <f>IF($T739="","",IF($S739="S",IF(INDEX(Firms!$G$5:$G$1004,$T739)="","",INDEX(Firms!$G$5:$G$1004,$T739)),IF(INDEX('AFA Rates'!$F$5:$F$1004,$T739)="","",INDEX('AFA Rates'!$F$5:$F$1004,$T739))))</f>
        <v/>
      </c>
      <c r="I739" s="50">
        <f>IF($T739="","",IF($S739="S",IF(INDEX(Firms!$H$5:$H$1004,$T739)="","",INDEX(Firms!$H$5:$H$1004,$T739)),IF(INDEX('AFA Rates'!$G$5:$G$1004,$T739)="","",INDEX('AFA Rates'!$G$5:$G$1004,$T739))))</f>
        <v/>
      </c>
      <c r="J739" s="50">
        <f>IF($T739="","",IF($S739="S",IF(INDEX(Firms!$I$5:$I$1004,$T739)="","",INDEX(Firms!$I$5:$I$1004,$T739)),IF(INDEX('AFA Rates'!$H$5:$H$1004,$T739)="","",INDEX('AFA Rates'!$H$5:$H$1004,$T739))))</f>
        <v/>
      </c>
      <c r="K739" s="50">
        <f>IF($T739="","",IF($S739="S",IF(INDEX(Firms!$J$5:$J$1004,$T739)="","",INDEX(Firms!$J$5:$J$1004,$T739)),IF(INDEX('AFA Rates'!$I$5:$I$1004,$T739)="","",INDEX('AFA Rates'!$I$5:$I$1004,$T739))))</f>
        <v/>
      </c>
      <c r="L739" s="50">
        <f>IF($T739="","",IF($S739="S",IF(INDEX(Firms!$K$5:$K$1004,$T739)="","",INDEX(Firms!$K$5:$K$1004,$T739)),IF(INDEX('AFA Rates'!$J$5:$J$1004,$T739)="","",INDEX('AFA Rates'!$J$5:$J$1004,$T739))))</f>
        <v/>
      </c>
      <c r="M739" s="50">
        <f>IF($T739="","",IF($S739="S",IF(INDEX(Firms!$L$5:$L$1004,$T739)="","",INDEX(Firms!$L$5:$L$1004,$T739)),IF(INDEX('AFA Rates'!$K$5:$K$1004,$T739)="","",INDEX('AFA Rates'!$K$5:$K$1004,$T739))))</f>
        <v/>
      </c>
      <c r="N739" s="50">
        <f>IF($T739="","",IF($S739="S",IF(INDEX(Firms!$M$5:$M$1004,$T739)="","",INDEX(Firms!$M$5:$M$1004,$T739)),IF(INDEX('AFA Rates'!$L$5:$L$1004,$T739)="","",INDEX('AFA Rates'!$L$5:$L$1004,$T739))))</f>
        <v/>
      </c>
      <c r="O739" s="78">
        <f>IF(OR($T739="",$U739=""),"",IF(INDEX(Firms!$C$5:$C$1004,$U739)="","",INDEX(Firms!$C$5:$C$1004,$U739)))</f>
        <v/>
      </c>
      <c r="P739" s="79">
        <f>IF(OR($T739="",$U739=""),"",IF(INDEX(Firms!$N$5:$N$1004,$U739)="","",INDEX(Firms!$N$5:$N$1004,$U739)))</f>
        <v/>
      </c>
      <c r="Q739" s="78">
        <f>IF($T739="","",IF($S739="S",IF(INDEX(Firms!$T$5:$T$1004,$T739)="","",INDEX(Firms!$T$5:$T$1004,$T739)),IF(INDEX('AFA Rates'!$M$5:$M$1004,$T739)="","",INDEX('AFA Rates'!$M$5:$M$1004,$T739))))</f>
        <v/>
      </c>
      <c r="S739">
        <f>IF(735&lt;=$S$2,"S",IF(735&lt;=$S$2+$T$2,"A",""))</f>
        <v/>
      </c>
      <c r="T739">
        <f>IF(S739="S",MATCH(735,Firms!$W$5:$W$1004,0),IF(S739="A",IFERROR(MATCH(735-$S$2,'AFA Rates'!$R$5:$R$1004,0),""),""))</f>
        <v/>
      </c>
      <c r="U739">
        <f>IF(S739="S",T739,IF(AND(S739="A",T739&lt;&gt;""),IFERROR(MATCH(INDEX('AFA Rates'!$A$5:$A$1004,T739),Firms!$A$5:$A$1004,0),""),""))</f>
        <v/>
      </c>
    </row>
    <row r="740">
      <c r="A740" s="78">
        <f>IF($T740="","",IF($S740="S",IF(INDEX(Firms!$A$5:$A$1004,$T740)="","",INDEX(Firms!$A$5:$A$1004,$T740)),IF(INDEX('AFA Rates'!$A$5:$A$1004,$T740)="","",INDEX('AFA Rates'!$A$5:$A$1004,$T740))))</f>
        <v/>
      </c>
      <c r="B740" s="79">
        <f>IF(OR($T740="",$U740=""),IF($T740="","","Not on Firms tab"),INDEX(Firms!$B$5:$B$1004,$U740)&amp;"")</f>
        <v/>
      </c>
      <c r="C740" s="78">
        <f>IF($T740="","",IF($S740="S","Standard",INDEX('AFA Rates'!$B$5:$B$1004,$T740)&amp;""))</f>
        <v/>
      </c>
      <c r="D740" s="88">
        <f>IF($T740="","",IF($S740="S",IF(INDEX(Firms!$E$5:$E$1004,$T740)="","",INDEX(Firms!$E$5:$E$1004,$T740)),IF(INDEX('AFA Rates'!$C$5:$C$1004,$T740)="","",INDEX('AFA Rates'!$C$5:$C$1004,$T740))))</f>
        <v/>
      </c>
      <c r="E740" s="88">
        <f>IF($T740="","",IF($S740="S",IF(""="","",""),IF(INDEX('AFA Rates'!$D$5:$D$1004,$T740)="","",INDEX('AFA Rates'!$D$5:$D$1004,$T740))))</f>
        <v/>
      </c>
      <c r="F740" s="79">
        <f>IF($T740="","",IF($S740="S",IF(INDEX(Firms!$O$5:$O$1004,$T740)="","",INDEX(Firms!$O$5:$O$1004,$T740)),IF(INDEX('AFA Rates'!$O$5:$O$1004,$T740)="","",INDEX('AFA Rates'!$O$5:$O$1004,$T740))))</f>
        <v/>
      </c>
      <c r="G740" s="50">
        <f>IF($T740="","",IF($S740="S",IF(INDEX(Firms!$F$5:$F$1004,$T740)="","",INDEX(Firms!$F$5:$F$1004,$T740)),IF(INDEX('AFA Rates'!$E$5:$E$1004,$T740)="","",INDEX('AFA Rates'!$E$5:$E$1004,$T740))))</f>
        <v/>
      </c>
      <c r="H740" s="50">
        <f>IF($T740="","",IF($S740="S",IF(INDEX(Firms!$G$5:$G$1004,$T740)="","",INDEX(Firms!$G$5:$G$1004,$T740)),IF(INDEX('AFA Rates'!$F$5:$F$1004,$T740)="","",INDEX('AFA Rates'!$F$5:$F$1004,$T740))))</f>
        <v/>
      </c>
      <c r="I740" s="50">
        <f>IF($T740="","",IF($S740="S",IF(INDEX(Firms!$H$5:$H$1004,$T740)="","",INDEX(Firms!$H$5:$H$1004,$T740)),IF(INDEX('AFA Rates'!$G$5:$G$1004,$T740)="","",INDEX('AFA Rates'!$G$5:$G$1004,$T740))))</f>
        <v/>
      </c>
      <c r="J740" s="50">
        <f>IF($T740="","",IF($S740="S",IF(INDEX(Firms!$I$5:$I$1004,$T740)="","",INDEX(Firms!$I$5:$I$1004,$T740)),IF(INDEX('AFA Rates'!$H$5:$H$1004,$T740)="","",INDEX('AFA Rates'!$H$5:$H$1004,$T740))))</f>
        <v/>
      </c>
      <c r="K740" s="50">
        <f>IF($T740="","",IF($S740="S",IF(INDEX(Firms!$J$5:$J$1004,$T740)="","",INDEX(Firms!$J$5:$J$1004,$T740)),IF(INDEX('AFA Rates'!$I$5:$I$1004,$T740)="","",INDEX('AFA Rates'!$I$5:$I$1004,$T740))))</f>
        <v/>
      </c>
      <c r="L740" s="50">
        <f>IF($T740="","",IF($S740="S",IF(INDEX(Firms!$K$5:$K$1004,$T740)="","",INDEX(Firms!$K$5:$K$1004,$T740)),IF(INDEX('AFA Rates'!$J$5:$J$1004,$T740)="","",INDEX('AFA Rates'!$J$5:$J$1004,$T740))))</f>
        <v/>
      </c>
      <c r="M740" s="50">
        <f>IF($T740="","",IF($S740="S",IF(INDEX(Firms!$L$5:$L$1004,$T740)="","",INDEX(Firms!$L$5:$L$1004,$T740)),IF(INDEX('AFA Rates'!$K$5:$K$1004,$T740)="","",INDEX('AFA Rates'!$K$5:$K$1004,$T740))))</f>
        <v/>
      </c>
      <c r="N740" s="50">
        <f>IF($T740="","",IF($S740="S",IF(INDEX(Firms!$M$5:$M$1004,$T740)="","",INDEX(Firms!$M$5:$M$1004,$T740)),IF(INDEX('AFA Rates'!$L$5:$L$1004,$T740)="","",INDEX('AFA Rates'!$L$5:$L$1004,$T740))))</f>
        <v/>
      </c>
      <c r="O740" s="78">
        <f>IF(OR($T740="",$U740=""),"",IF(INDEX(Firms!$C$5:$C$1004,$U740)="","",INDEX(Firms!$C$5:$C$1004,$U740)))</f>
        <v/>
      </c>
      <c r="P740" s="79">
        <f>IF(OR($T740="",$U740=""),"",IF(INDEX(Firms!$N$5:$N$1004,$U740)="","",INDEX(Firms!$N$5:$N$1004,$U740)))</f>
        <v/>
      </c>
      <c r="Q740" s="78">
        <f>IF($T740="","",IF($S740="S",IF(INDEX(Firms!$T$5:$T$1004,$T740)="","",INDEX(Firms!$T$5:$T$1004,$T740)),IF(INDEX('AFA Rates'!$M$5:$M$1004,$T740)="","",INDEX('AFA Rates'!$M$5:$M$1004,$T740))))</f>
        <v/>
      </c>
      <c r="S740">
        <f>IF(736&lt;=$S$2,"S",IF(736&lt;=$S$2+$T$2,"A",""))</f>
        <v/>
      </c>
      <c r="T740">
        <f>IF(S740="S",MATCH(736,Firms!$W$5:$W$1004,0),IF(S740="A",IFERROR(MATCH(736-$S$2,'AFA Rates'!$R$5:$R$1004,0),""),""))</f>
        <v/>
      </c>
      <c r="U740">
        <f>IF(S740="S",T740,IF(AND(S740="A",T740&lt;&gt;""),IFERROR(MATCH(INDEX('AFA Rates'!$A$5:$A$1004,T740),Firms!$A$5:$A$1004,0),""),""))</f>
        <v/>
      </c>
    </row>
    <row r="741">
      <c r="A741" s="78">
        <f>IF($T741="","",IF($S741="S",IF(INDEX(Firms!$A$5:$A$1004,$T741)="","",INDEX(Firms!$A$5:$A$1004,$T741)),IF(INDEX('AFA Rates'!$A$5:$A$1004,$T741)="","",INDEX('AFA Rates'!$A$5:$A$1004,$T741))))</f>
        <v/>
      </c>
      <c r="B741" s="79">
        <f>IF(OR($T741="",$U741=""),IF($T741="","","Not on Firms tab"),INDEX(Firms!$B$5:$B$1004,$U741)&amp;"")</f>
        <v/>
      </c>
      <c r="C741" s="78">
        <f>IF($T741="","",IF($S741="S","Standard",INDEX('AFA Rates'!$B$5:$B$1004,$T741)&amp;""))</f>
        <v/>
      </c>
      <c r="D741" s="88">
        <f>IF($T741="","",IF($S741="S",IF(INDEX(Firms!$E$5:$E$1004,$T741)="","",INDEX(Firms!$E$5:$E$1004,$T741)),IF(INDEX('AFA Rates'!$C$5:$C$1004,$T741)="","",INDEX('AFA Rates'!$C$5:$C$1004,$T741))))</f>
        <v/>
      </c>
      <c r="E741" s="88">
        <f>IF($T741="","",IF($S741="S",IF(""="","",""),IF(INDEX('AFA Rates'!$D$5:$D$1004,$T741)="","",INDEX('AFA Rates'!$D$5:$D$1004,$T741))))</f>
        <v/>
      </c>
      <c r="F741" s="79">
        <f>IF($T741="","",IF($S741="S",IF(INDEX(Firms!$O$5:$O$1004,$T741)="","",INDEX(Firms!$O$5:$O$1004,$T741)),IF(INDEX('AFA Rates'!$O$5:$O$1004,$T741)="","",INDEX('AFA Rates'!$O$5:$O$1004,$T741))))</f>
        <v/>
      </c>
      <c r="G741" s="50">
        <f>IF($T741="","",IF($S741="S",IF(INDEX(Firms!$F$5:$F$1004,$T741)="","",INDEX(Firms!$F$5:$F$1004,$T741)),IF(INDEX('AFA Rates'!$E$5:$E$1004,$T741)="","",INDEX('AFA Rates'!$E$5:$E$1004,$T741))))</f>
        <v/>
      </c>
      <c r="H741" s="50">
        <f>IF($T741="","",IF($S741="S",IF(INDEX(Firms!$G$5:$G$1004,$T741)="","",INDEX(Firms!$G$5:$G$1004,$T741)),IF(INDEX('AFA Rates'!$F$5:$F$1004,$T741)="","",INDEX('AFA Rates'!$F$5:$F$1004,$T741))))</f>
        <v/>
      </c>
      <c r="I741" s="50">
        <f>IF($T741="","",IF($S741="S",IF(INDEX(Firms!$H$5:$H$1004,$T741)="","",INDEX(Firms!$H$5:$H$1004,$T741)),IF(INDEX('AFA Rates'!$G$5:$G$1004,$T741)="","",INDEX('AFA Rates'!$G$5:$G$1004,$T741))))</f>
        <v/>
      </c>
      <c r="J741" s="50">
        <f>IF($T741="","",IF($S741="S",IF(INDEX(Firms!$I$5:$I$1004,$T741)="","",INDEX(Firms!$I$5:$I$1004,$T741)),IF(INDEX('AFA Rates'!$H$5:$H$1004,$T741)="","",INDEX('AFA Rates'!$H$5:$H$1004,$T741))))</f>
        <v/>
      </c>
      <c r="K741" s="50">
        <f>IF($T741="","",IF($S741="S",IF(INDEX(Firms!$J$5:$J$1004,$T741)="","",INDEX(Firms!$J$5:$J$1004,$T741)),IF(INDEX('AFA Rates'!$I$5:$I$1004,$T741)="","",INDEX('AFA Rates'!$I$5:$I$1004,$T741))))</f>
        <v/>
      </c>
      <c r="L741" s="50">
        <f>IF($T741="","",IF($S741="S",IF(INDEX(Firms!$K$5:$K$1004,$T741)="","",INDEX(Firms!$K$5:$K$1004,$T741)),IF(INDEX('AFA Rates'!$J$5:$J$1004,$T741)="","",INDEX('AFA Rates'!$J$5:$J$1004,$T741))))</f>
        <v/>
      </c>
      <c r="M741" s="50">
        <f>IF($T741="","",IF($S741="S",IF(INDEX(Firms!$L$5:$L$1004,$T741)="","",INDEX(Firms!$L$5:$L$1004,$T741)),IF(INDEX('AFA Rates'!$K$5:$K$1004,$T741)="","",INDEX('AFA Rates'!$K$5:$K$1004,$T741))))</f>
        <v/>
      </c>
      <c r="N741" s="50">
        <f>IF($T741="","",IF($S741="S",IF(INDEX(Firms!$M$5:$M$1004,$T741)="","",INDEX(Firms!$M$5:$M$1004,$T741)),IF(INDEX('AFA Rates'!$L$5:$L$1004,$T741)="","",INDEX('AFA Rates'!$L$5:$L$1004,$T741))))</f>
        <v/>
      </c>
      <c r="O741" s="78">
        <f>IF(OR($T741="",$U741=""),"",IF(INDEX(Firms!$C$5:$C$1004,$U741)="","",INDEX(Firms!$C$5:$C$1004,$U741)))</f>
        <v/>
      </c>
      <c r="P741" s="79">
        <f>IF(OR($T741="",$U741=""),"",IF(INDEX(Firms!$N$5:$N$1004,$U741)="","",INDEX(Firms!$N$5:$N$1004,$U741)))</f>
        <v/>
      </c>
      <c r="Q741" s="78">
        <f>IF($T741="","",IF($S741="S",IF(INDEX(Firms!$T$5:$T$1004,$T741)="","",INDEX(Firms!$T$5:$T$1004,$T741)),IF(INDEX('AFA Rates'!$M$5:$M$1004,$T741)="","",INDEX('AFA Rates'!$M$5:$M$1004,$T741))))</f>
        <v/>
      </c>
      <c r="S741">
        <f>IF(737&lt;=$S$2,"S",IF(737&lt;=$S$2+$T$2,"A",""))</f>
        <v/>
      </c>
      <c r="T741">
        <f>IF(S741="S",MATCH(737,Firms!$W$5:$W$1004,0),IF(S741="A",IFERROR(MATCH(737-$S$2,'AFA Rates'!$R$5:$R$1004,0),""),""))</f>
        <v/>
      </c>
      <c r="U741">
        <f>IF(S741="S",T741,IF(AND(S741="A",T741&lt;&gt;""),IFERROR(MATCH(INDEX('AFA Rates'!$A$5:$A$1004,T741),Firms!$A$5:$A$1004,0),""),""))</f>
        <v/>
      </c>
    </row>
    <row r="742">
      <c r="A742" s="78">
        <f>IF($T742="","",IF($S742="S",IF(INDEX(Firms!$A$5:$A$1004,$T742)="","",INDEX(Firms!$A$5:$A$1004,$T742)),IF(INDEX('AFA Rates'!$A$5:$A$1004,$T742)="","",INDEX('AFA Rates'!$A$5:$A$1004,$T742))))</f>
        <v/>
      </c>
      <c r="B742" s="79">
        <f>IF(OR($T742="",$U742=""),IF($T742="","","Not on Firms tab"),INDEX(Firms!$B$5:$B$1004,$U742)&amp;"")</f>
        <v/>
      </c>
      <c r="C742" s="78">
        <f>IF($T742="","",IF($S742="S","Standard",INDEX('AFA Rates'!$B$5:$B$1004,$T742)&amp;""))</f>
        <v/>
      </c>
      <c r="D742" s="88">
        <f>IF($T742="","",IF($S742="S",IF(INDEX(Firms!$E$5:$E$1004,$T742)="","",INDEX(Firms!$E$5:$E$1004,$T742)),IF(INDEX('AFA Rates'!$C$5:$C$1004,$T742)="","",INDEX('AFA Rates'!$C$5:$C$1004,$T742))))</f>
        <v/>
      </c>
      <c r="E742" s="88">
        <f>IF($T742="","",IF($S742="S",IF(""="","",""),IF(INDEX('AFA Rates'!$D$5:$D$1004,$T742)="","",INDEX('AFA Rates'!$D$5:$D$1004,$T742))))</f>
        <v/>
      </c>
      <c r="F742" s="79">
        <f>IF($T742="","",IF($S742="S",IF(INDEX(Firms!$O$5:$O$1004,$T742)="","",INDEX(Firms!$O$5:$O$1004,$T742)),IF(INDEX('AFA Rates'!$O$5:$O$1004,$T742)="","",INDEX('AFA Rates'!$O$5:$O$1004,$T742))))</f>
        <v/>
      </c>
      <c r="G742" s="50">
        <f>IF($T742="","",IF($S742="S",IF(INDEX(Firms!$F$5:$F$1004,$T742)="","",INDEX(Firms!$F$5:$F$1004,$T742)),IF(INDEX('AFA Rates'!$E$5:$E$1004,$T742)="","",INDEX('AFA Rates'!$E$5:$E$1004,$T742))))</f>
        <v/>
      </c>
      <c r="H742" s="50">
        <f>IF($T742="","",IF($S742="S",IF(INDEX(Firms!$G$5:$G$1004,$T742)="","",INDEX(Firms!$G$5:$G$1004,$T742)),IF(INDEX('AFA Rates'!$F$5:$F$1004,$T742)="","",INDEX('AFA Rates'!$F$5:$F$1004,$T742))))</f>
        <v/>
      </c>
      <c r="I742" s="50">
        <f>IF($T742="","",IF($S742="S",IF(INDEX(Firms!$H$5:$H$1004,$T742)="","",INDEX(Firms!$H$5:$H$1004,$T742)),IF(INDEX('AFA Rates'!$G$5:$G$1004,$T742)="","",INDEX('AFA Rates'!$G$5:$G$1004,$T742))))</f>
        <v/>
      </c>
      <c r="J742" s="50">
        <f>IF($T742="","",IF($S742="S",IF(INDEX(Firms!$I$5:$I$1004,$T742)="","",INDEX(Firms!$I$5:$I$1004,$T742)),IF(INDEX('AFA Rates'!$H$5:$H$1004,$T742)="","",INDEX('AFA Rates'!$H$5:$H$1004,$T742))))</f>
        <v/>
      </c>
      <c r="K742" s="50">
        <f>IF($T742="","",IF($S742="S",IF(INDEX(Firms!$J$5:$J$1004,$T742)="","",INDEX(Firms!$J$5:$J$1004,$T742)),IF(INDEX('AFA Rates'!$I$5:$I$1004,$T742)="","",INDEX('AFA Rates'!$I$5:$I$1004,$T742))))</f>
        <v/>
      </c>
      <c r="L742" s="50">
        <f>IF($T742="","",IF($S742="S",IF(INDEX(Firms!$K$5:$K$1004,$T742)="","",INDEX(Firms!$K$5:$K$1004,$T742)),IF(INDEX('AFA Rates'!$J$5:$J$1004,$T742)="","",INDEX('AFA Rates'!$J$5:$J$1004,$T742))))</f>
        <v/>
      </c>
      <c r="M742" s="50">
        <f>IF($T742="","",IF($S742="S",IF(INDEX(Firms!$L$5:$L$1004,$T742)="","",INDEX(Firms!$L$5:$L$1004,$T742)),IF(INDEX('AFA Rates'!$K$5:$K$1004,$T742)="","",INDEX('AFA Rates'!$K$5:$K$1004,$T742))))</f>
        <v/>
      </c>
      <c r="N742" s="50">
        <f>IF($T742="","",IF($S742="S",IF(INDEX(Firms!$M$5:$M$1004,$T742)="","",INDEX(Firms!$M$5:$M$1004,$T742)),IF(INDEX('AFA Rates'!$L$5:$L$1004,$T742)="","",INDEX('AFA Rates'!$L$5:$L$1004,$T742))))</f>
        <v/>
      </c>
      <c r="O742" s="78">
        <f>IF(OR($T742="",$U742=""),"",IF(INDEX(Firms!$C$5:$C$1004,$U742)="","",INDEX(Firms!$C$5:$C$1004,$U742)))</f>
        <v/>
      </c>
      <c r="P742" s="79">
        <f>IF(OR($T742="",$U742=""),"",IF(INDEX(Firms!$N$5:$N$1004,$U742)="","",INDEX(Firms!$N$5:$N$1004,$U742)))</f>
        <v/>
      </c>
      <c r="Q742" s="78">
        <f>IF($T742="","",IF($S742="S",IF(INDEX(Firms!$T$5:$T$1004,$T742)="","",INDEX(Firms!$T$5:$T$1004,$T742)),IF(INDEX('AFA Rates'!$M$5:$M$1004,$T742)="","",INDEX('AFA Rates'!$M$5:$M$1004,$T742))))</f>
        <v/>
      </c>
      <c r="S742">
        <f>IF(738&lt;=$S$2,"S",IF(738&lt;=$S$2+$T$2,"A",""))</f>
        <v/>
      </c>
      <c r="T742">
        <f>IF(S742="S",MATCH(738,Firms!$W$5:$W$1004,0),IF(S742="A",IFERROR(MATCH(738-$S$2,'AFA Rates'!$R$5:$R$1004,0),""),""))</f>
        <v/>
      </c>
      <c r="U742">
        <f>IF(S742="S",T742,IF(AND(S742="A",T742&lt;&gt;""),IFERROR(MATCH(INDEX('AFA Rates'!$A$5:$A$1004,T742),Firms!$A$5:$A$1004,0),""),""))</f>
        <v/>
      </c>
    </row>
    <row r="743">
      <c r="A743" s="78">
        <f>IF($T743="","",IF($S743="S",IF(INDEX(Firms!$A$5:$A$1004,$T743)="","",INDEX(Firms!$A$5:$A$1004,$T743)),IF(INDEX('AFA Rates'!$A$5:$A$1004,$T743)="","",INDEX('AFA Rates'!$A$5:$A$1004,$T743))))</f>
        <v/>
      </c>
      <c r="B743" s="79">
        <f>IF(OR($T743="",$U743=""),IF($T743="","","Not on Firms tab"),INDEX(Firms!$B$5:$B$1004,$U743)&amp;"")</f>
        <v/>
      </c>
      <c r="C743" s="78">
        <f>IF($T743="","",IF($S743="S","Standard",INDEX('AFA Rates'!$B$5:$B$1004,$T743)&amp;""))</f>
        <v/>
      </c>
      <c r="D743" s="88">
        <f>IF($T743="","",IF($S743="S",IF(INDEX(Firms!$E$5:$E$1004,$T743)="","",INDEX(Firms!$E$5:$E$1004,$T743)),IF(INDEX('AFA Rates'!$C$5:$C$1004,$T743)="","",INDEX('AFA Rates'!$C$5:$C$1004,$T743))))</f>
        <v/>
      </c>
      <c r="E743" s="88">
        <f>IF($T743="","",IF($S743="S",IF(""="","",""),IF(INDEX('AFA Rates'!$D$5:$D$1004,$T743)="","",INDEX('AFA Rates'!$D$5:$D$1004,$T743))))</f>
        <v/>
      </c>
      <c r="F743" s="79">
        <f>IF($T743="","",IF($S743="S",IF(INDEX(Firms!$O$5:$O$1004,$T743)="","",INDEX(Firms!$O$5:$O$1004,$T743)),IF(INDEX('AFA Rates'!$O$5:$O$1004,$T743)="","",INDEX('AFA Rates'!$O$5:$O$1004,$T743))))</f>
        <v/>
      </c>
      <c r="G743" s="50">
        <f>IF($T743="","",IF($S743="S",IF(INDEX(Firms!$F$5:$F$1004,$T743)="","",INDEX(Firms!$F$5:$F$1004,$T743)),IF(INDEX('AFA Rates'!$E$5:$E$1004,$T743)="","",INDEX('AFA Rates'!$E$5:$E$1004,$T743))))</f>
        <v/>
      </c>
      <c r="H743" s="50">
        <f>IF($T743="","",IF($S743="S",IF(INDEX(Firms!$G$5:$G$1004,$T743)="","",INDEX(Firms!$G$5:$G$1004,$T743)),IF(INDEX('AFA Rates'!$F$5:$F$1004,$T743)="","",INDEX('AFA Rates'!$F$5:$F$1004,$T743))))</f>
        <v/>
      </c>
      <c r="I743" s="50">
        <f>IF($T743="","",IF($S743="S",IF(INDEX(Firms!$H$5:$H$1004,$T743)="","",INDEX(Firms!$H$5:$H$1004,$T743)),IF(INDEX('AFA Rates'!$G$5:$G$1004,$T743)="","",INDEX('AFA Rates'!$G$5:$G$1004,$T743))))</f>
        <v/>
      </c>
      <c r="J743" s="50">
        <f>IF($T743="","",IF($S743="S",IF(INDEX(Firms!$I$5:$I$1004,$T743)="","",INDEX(Firms!$I$5:$I$1004,$T743)),IF(INDEX('AFA Rates'!$H$5:$H$1004,$T743)="","",INDEX('AFA Rates'!$H$5:$H$1004,$T743))))</f>
        <v/>
      </c>
      <c r="K743" s="50">
        <f>IF($T743="","",IF($S743="S",IF(INDEX(Firms!$J$5:$J$1004,$T743)="","",INDEX(Firms!$J$5:$J$1004,$T743)),IF(INDEX('AFA Rates'!$I$5:$I$1004,$T743)="","",INDEX('AFA Rates'!$I$5:$I$1004,$T743))))</f>
        <v/>
      </c>
      <c r="L743" s="50">
        <f>IF($T743="","",IF($S743="S",IF(INDEX(Firms!$K$5:$K$1004,$T743)="","",INDEX(Firms!$K$5:$K$1004,$T743)),IF(INDEX('AFA Rates'!$J$5:$J$1004,$T743)="","",INDEX('AFA Rates'!$J$5:$J$1004,$T743))))</f>
        <v/>
      </c>
      <c r="M743" s="50">
        <f>IF($T743="","",IF($S743="S",IF(INDEX(Firms!$L$5:$L$1004,$T743)="","",INDEX(Firms!$L$5:$L$1004,$T743)),IF(INDEX('AFA Rates'!$K$5:$K$1004,$T743)="","",INDEX('AFA Rates'!$K$5:$K$1004,$T743))))</f>
        <v/>
      </c>
      <c r="N743" s="50">
        <f>IF($T743="","",IF($S743="S",IF(INDEX(Firms!$M$5:$M$1004,$T743)="","",INDEX(Firms!$M$5:$M$1004,$T743)),IF(INDEX('AFA Rates'!$L$5:$L$1004,$T743)="","",INDEX('AFA Rates'!$L$5:$L$1004,$T743))))</f>
        <v/>
      </c>
      <c r="O743" s="78">
        <f>IF(OR($T743="",$U743=""),"",IF(INDEX(Firms!$C$5:$C$1004,$U743)="","",INDEX(Firms!$C$5:$C$1004,$U743)))</f>
        <v/>
      </c>
      <c r="P743" s="79">
        <f>IF(OR($T743="",$U743=""),"",IF(INDEX(Firms!$N$5:$N$1004,$U743)="","",INDEX(Firms!$N$5:$N$1004,$U743)))</f>
        <v/>
      </c>
      <c r="Q743" s="78">
        <f>IF($T743="","",IF($S743="S",IF(INDEX(Firms!$T$5:$T$1004,$T743)="","",INDEX(Firms!$T$5:$T$1004,$T743)),IF(INDEX('AFA Rates'!$M$5:$M$1004,$T743)="","",INDEX('AFA Rates'!$M$5:$M$1004,$T743))))</f>
        <v/>
      </c>
      <c r="S743">
        <f>IF(739&lt;=$S$2,"S",IF(739&lt;=$S$2+$T$2,"A",""))</f>
        <v/>
      </c>
      <c r="T743">
        <f>IF(S743="S",MATCH(739,Firms!$W$5:$W$1004,0),IF(S743="A",IFERROR(MATCH(739-$S$2,'AFA Rates'!$R$5:$R$1004,0),""),""))</f>
        <v/>
      </c>
      <c r="U743">
        <f>IF(S743="S",T743,IF(AND(S743="A",T743&lt;&gt;""),IFERROR(MATCH(INDEX('AFA Rates'!$A$5:$A$1004,T743),Firms!$A$5:$A$1004,0),""),""))</f>
        <v/>
      </c>
    </row>
    <row r="744">
      <c r="A744" s="78">
        <f>IF($T744="","",IF($S744="S",IF(INDEX(Firms!$A$5:$A$1004,$T744)="","",INDEX(Firms!$A$5:$A$1004,$T744)),IF(INDEX('AFA Rates'!$A$5:$A$1004,$T744)="","",INDEX('AFA Rates'!$A$5:$A$1004,$T744))))</f>
        <v/>
      </c>
      <c r="B744" s="79">
        <f>IF(OR($T744="",$U744=""),IF($T744="","","Not on Firms tab"),INDEX(Firms!$B$5:$B$1004,$U744)&amp;"")</f>
        <v/>
      </c>
      <c r="C744" s="78">
        <f>IF($T744="","",IF($S744="S","Standard",INDEX('AFA Rates'!$B$5:$B$1004,$T744)&amp;""))</f>
        <v/>
      </c>
      <c r="D744" s="88">
        <f>IF($T744="","",IF($S744="S",IF(INDEX(Firms!$E$5:$E$1004,$T744)="","",INDEX(Firms!$E$5:$E$1004,$T744)),IF(INDEX('AFA Rates'!$C$5:$C$1004,$T744)="","",INDEX('AFA Rates'!$C$5:$C$1004,$T744))))</f>
        <v/>
      </c>
      <c r="E744" s="88">
        <f>IF($T744="","",IF($S744="S",IF(""="","",""),IF(INDEX('AFA Rates'!$D$5:$D$1004,$T744)="","",INDEX('AFA Rates'!$D$5:$D$1004,$T744))))</f>
        <v/>
      </c>
      <c r="F744" s="79">
        <f>IF($T744="","",IF($S744="S",IF(INDEX(Firms!$O$5:$O$1004,$T744)="","",INDEX(Firms!$O$5:$O$1004,$T744)),IF(INDEX('AFA Rates'!$O$5:$O$1004,$T744)="","",INDEX('AFA Rates'!$O$5:$O$1004,$T744))))</f>
        <v/>
      </c>
      <c r="G744" s="50">
        <f>IF($T744="","",IF($S744="S",IF(INDEX(Firms!$F$5:$F$1004,$T744)="","",INDEX(Firms!$F$5:$F$1004,$T744)),IF(INDEX('AFA Rates'!$E$5:$E$1004,$T744)="","",INDEX('AFA Rates'!$E$5:$E$1004,$T744))))</f>
        <v/>
      </c>
      <c r="H744" s="50">
        <f>IF($T744="","",IF($S744="S",IF(INDEX(Firms!$G$5:$G$1004,$T744)="","",INDEX(Firms!$G$5:$G$1004,$T744)),IF(INDEX('AFA Rates'!$F$5:$F$1004,$T744)="","",INDEX('AFA Rates'!$F$5:$F$1004,$T744))))</f>
        <v/>
      </c>
      <c r="I744" s="50">
        <f>IF($T744="","",IF($S744="S",IF(INDEX(Firms!$H$5:$H$1004,$T744)="","",INDEX(Firms!$H$5:$H$1004,$T744)),IF(INDEX('AFA Rates'!$G$5:$G$1004,$T744)="","",INDEX('AFA Rates'!$G$5:$G$1004,$T744))))</f>
        <v/>
      </c>
      <c r="J744" s="50">
        <f>IF($T744="","",IF($S744="S",IF(INDEX(Firms!$I$5:$I$1004,$T744)="","",INDEX(Firms!$I$5:$I$1004,$T744)),IF(INDEX('AFA Rates'!$H$5:$H$1004,$T744)="","",INDEX('AFA Rates'!$H$5:$H$1004,$T744))))</f>
        <v/>
      </c>
      <c r="K744" s="50">
        <f>IF($T744="","",IF($S744="S",IF(INDEX(Firms!$J$5:$J$1004,$T744)="","",INDEX(Firms!$J$5:$J$1004,$T744)),IF(INDEX('AFA Rates'!$I$5:$I$1004,$T744)="","",INDEX('AFA Rates'!$I$5:$I$1004,$T744))))</f>
        <v/>
      </c>
      <c r="L744" s="50">
        <f>IF($T744="","",IF($S744="S",IF(INDEX(Firms!$K$5:$K$1004,$T744)="","",INDEX(Firms!$K$5:$K$1004,$T744)),IF(INDEX('AFA Rates'!$J$5:$J$1004,$T744)="","",INDEX('AFA Rates'!$J$5:$J$1004,$T744))))</f>
        <v/>
      </c>
      <c r="M744" s="50">
        <f>IF($T744="","",IF($S744="S",IF(INDEX(Firms!$L$5:$L$1004,$T744)="","",INDEX(Firms!$L$5:$L$1004,$T744)),IF(INDEX('AFA Rates'!$K$5:$K$1004,$T744)="","",INDEX('AFA Rates'!$K$5:$K$1004,$T744))))</f>
        <v/>
      </c>
      <c r="N744" s="50">
        <f>IF($T744="","",IF($S744="S",IF(INDEX(Firms!$M$5:$M$1004,$T744)="","",INDEX(Firms!$M$5:$M$1004,$T744)),IF(INDEX('AFA Rates'!$L$5:$L$1004,$T744)="","",INDEX('AFA Rates'!$L$5:$L$1004,$T744))))</f>
        <v/>
      </c>
      <c r="O744" s="78">
        <f>IF(OR($T744="",$U744=""),"",IF(INDEX(Firms!$C$5:$C$1004,$U744)="","",INDEX(Firms!$C$5:$C$1004,$U744)))</f>
        <v/>
      </c>
      <c r="P744" s="79">
        <f>IF(OR($T744="",$U744=""),"",IF(INDEX(Firms!$N$5:$N$1004,$U744)="","",INDEX(Firms!$N$5:$N$1004,$U744)))</f>
        <v/>
      </c>
      <c r="Q744" s="78">
        <f>IF($T744="","",IF($S744="S",IF(INDEX(Firms!$T$5:$T$1004,$T744)="","",INDEX(Firms!$T$5:$T$1004,$T744)),IF(INDEX('AFA Rates'!$M$5:$M$1004,$T744)="","",INDEX('AFA Rates'!$M$5:$M$1004,$T744))))</f>
        <v/>
      </c>
      <c r="S744">
        <f>IF(740&lt;=$S$2,"S",IF(740&lt;=$S$2+$T$2,"A",""))</f>
        <v/>
      </c>
      <c r="T744">
        <f>IF(S744="S",MATCH(740,Firms!$W$5:$W$1004,0),IF(S744="A",IFERROR(MATCH(740-$S$2,'AFA Rates'!$R$5:$R$1004,0),""),""))</f>
        <v/>
      </c>
      <c r="U744">
        <f>IF(S744="S",T744,IF(AND(S744="A",T744&lt;&gt;""),IFERROR(MATCH(INDEX('AFA Rates'!$A$5:$A$1004,T744),Firms!$A$5:$A$1004,0),""),""))</f>
        <v/>
      </c>
    </row>
    <row r="745">
      <c r="A745" s="78">
        <f>IF($T745="","",IF($S745="S",IF(INDEX(Firms!$A$5:$A$1004,$T745)="","",INDEX(Firms!$A$5:$A$1004,$T745)),IF(INDEX('AFA Rates'!$A$5:$A$1004,$T745)="","",INDEX('AFA Rates'!$A$5:$A$1004,$T745))))</f>
        <v/>
      </c>
      <c r="B745" s="79">
        <f>IF(OR($T745="",$U745=""),IF($T745="","","Not on Firms tab"),INDEX(Firms!$B$5:$B$1004,$U745)&amp;"")</f>
        <v/>
      </c>
      <c r="C745" s="78">
        <f>IF($T745="","",IF($S745="S","Standard",INDEX('AFA Rates'!$B$5:$B$1004,$T745)&amp;""))</f>
        <v/>
      </c>
      <c r="D745" s="88">
        <f>IF($T745="","",IF($S745="S",IF(INDEX(Firms!$E$5:$E$1004,$T745)="","",INDEX(Firms!$E$5:$E$1004,$T745)),IF(INDEX('AFA Rates'!$C$5:$C$1004,$T745)="","",INDEX('AFA Rates'!$C$5:$C$1004,$T745))))</f>
        <v/>
      </c>
      <c r="E745" s="88">
        <f>IF($T745="","",IF($S745="S",IF(""="","",""),IF(INDEX('AFA Rates'!$D$5:$D$1004,$T745)="","",INDEX('AFA Rates'!$D$5:$D$1004,$T745))))</f>
        <v/>
      </c>
      <c r="F745" s="79">
        <f>IF($T745="","",IF($S745="S",IF(INDEX(Firms!$O$5:$O$1004,$T745)="","",INDEX(Firms!$O$5:$O$1004,$T745)),IF(INDEX('AFA Rates'!$O$5:$O$1004,$T745)="","",INDEX('AFA Rates'!$O$5:$O$1004,$T745))))</f>
        <v/>
      </c>
      <c r="G745" s="50">
        <f>IF($T745="","",IF($S745="S",IF(INDEX(Firms!$F$5:$F$1004,$T745)="","",INDEX(Firms!$F$5:$F$1004,$T745)),IF(INDEX('AFA Rates'!$E$5:$E$1004,$T745)="","",INDEX('AFA Rates'!$E$5:$E$1004,$T745))))</f>
        <v/>
      </c>
      <c r="H745" s="50">
        <f>IF($T745="","",IF($S745="S",IF(INDEX(Firms!$G$5:$G$1004,$T745)="","",INDEX(Firms!$G$5:$G$1004,$T745)),IF(INDEX('AFA Rates'!$F$5:$F$1004,$T745)="","",INDEX('AFA Rates'!$F$5:$F$1004,$T745))))</f>
        <v/>
      </c>
      <c r="I745" s="50">
        <f>IF($T745="","",IF($S745="S",IF(INDEX(Firms!$H$5:$H$1004,$T745)="","",INDEX(Firms!$H$5:$H$1004,$T745)),IF(INDEX('AFA Rates'!$G$5:$G$1004,$T745)="","",INDEX('AFA Rates'!$G$5:$G$1004,$T745))))</f>
        <v/>
      </c>
      <c r="J745" s="50">
        <f>IF($T745="","",IF($S745="S",IF(INDEX(Firms!$I$5:$I$1004,$T745)="","",INDEX(Firms!$I$5:$I$1004,$T745)),IF(INDEX('AFA Rates'!$H$5:$H$1004,$T745)="","",INDEX('AFA Rates'!$H$5:$H$1004,$T745))))</f>
        <v/>
      </c>
      <c r="K745" s="50">
        <f>IF($T745="","",IF($S745="S",IF(INDEX(Firms!$J$5:$J$1004,$T745)="","",INDEX(Firms!$J$5:$J$1004,$T745)),IF(INDEX('AFA Rates'!$I$5:$I$1004,$T745)="","",INDEX('AFA Rates'!$I$5:$I$1004,$T745))))</f>
        <v/>
      </c>
      <c r="L745" s="50">
        <f>IF($T745="","",IF($S745="S",IF(INDEX(Firms!$K$5:$K$1004,$T745)="","",INDEX(Firms!$K$5:$K$1004,$T745)),IF(INDEX('AFA Rates'!$J$5:$J$1004,$T745)="","",INDEX('AFA Rates'!$J$5:$J$1004,$T745))))</f>
        <v/>
      </c>
      <c r="M745" s="50">
        <f>IF($T745="","",IF($S745="S",IF(INDEX(Firms!$L$5:$L$1004,$T745)="","",INDEX(Firms!$L$5:$L$1004,$T745)),IF(INDEX('AFA Rates'!$K$5:$K$1004,$T745)="","",INDEX('AFA Rates'!$K$5:$K$1004,$T745))))</f>
        <v/>
      </c>
      <c r="N745" s="50">
        <f>IF($T745="","",IF($S745="S",IF(INDEX(Firms!$M$5:$M$1004,$T745)="","",INDEX(Firms!$M$5:$M$1004,$T745)),IF(INDEX('AFA Rates'!$L$5:$L$1004,$T745)="","",INDEX('AFA Rates'!$L$5:$L$1004,$T745))))</f>
        <v/>
      </c>
      <c r="O745" s="78">
        <f>IF(OR($T745="",$U745=""),"",IF(INDEX(Firms!$C$5:$C$1004,$U745)="","",INDEX(Firms!$C$5:$C$1004,$U745)))</f>
        <v/>
      </c>
      <c r="P745" s="79">
        <f>IF(OR($T745="",$U745=""),"",IF(INDEX(Firms!$N$5:$N$1004,$U745)="","",INDEX(Firms!$N$5:$N$1004,$U745)))</f>
        <v/>
      </c>
      <c r="Q745" s="78">
        <f>IF($T745="","",IF($S745="S",IF(INDEX(Firms!$T$5:$T$1004,$T745)="","",INDEX(Firms!$T$5:$T$1004,$T745)),IF(INDEX('AFA Rates'!$M$5:$M$1004,$T745)="","",INDEX('AFA Rates'!$M$5:$M$1004,$T745))))</f>
        <v/>
      </c>
      <c r="S745">
        <f>IF(741&lt;=$S$2,"S",IF(741&lt;=$S$2+$T$2,"A",""))</f>
        <v/>
      </c>
      <c r="T745">
        <f>IF(S745="S",MATCH(741,Firms!$W$5:$W$1004,0),IF(S745="A",IFERROR(MATCH(741-$S$2,'AFA Rates'!$R$5:$R$1004,0),""),""))</f>
        <v/>
      </c>
      <c r="U745">
        <f>IF(S745="S",T745,IF(AND(S745="A",T745&lt;&gt;""),IFERROR(MATCH(INDEX('AFA Rates'!$A$5:$A$1004,T745),Firms!$A$5:$A$1004,0),""),""))</f>
        <v/>
      </c>
    </row>
    <row r="746">
      <c r="A746" s="78">
        <f>IF($T746="","",IF($S746="S",IF(INDEX(Firms!$A$5:$A$1004,$T746)="","",INDEX(Firms!$A$5:$A$1004,$T746)),IF(INDEX('AFA Rates'!$A$5:$A$1004,$T746)="","",INDEX('AFA Rates'!$A$5:$A$1004,$T746))))</f>
        <v/>
      </c>
      <c r="B746" s="79">
        <f>IF(OR($T746="",$U746=""),IF($T746="","","Not on Firms tab"),INDEX(Firms!$B$5:$B$1004,$U746)&amp;"")</f>
        <v/>
      </c>
      <c r="C746" s="78">
        <f>IF($T746="","",IF($S746="S","Standard",INDEX('AFA Rates'!$B$5:$B$1004,$T746)&amp;""))</f>
        <v/>
      </c>
      <c r="D746" s="88">
        <f>IF($T746="","",IF($S746="S",IF(INDEX(Firms!$E$5:$E$1004,$T746)="","",INDEX(Firms!$E$5:$E$1004,$T746)),IF(INDEX('AFA Rates'!$C$5:$C$1004,$T746)="","",INDEX('AFA Rates'!$C$5:$C$1004,$T746))))</f>
        <v/>
      </c>
      <c r="E746" s="88">
        <f>IF($T746="","",IF($S746="S",IF(""="","",""),IF(INDEX('AFA Rates'!$D$5:$D$1004,$T746)="","",INDEX('AFA Rates'!$D$5:$D$1004,$T746))))</f>
        <v/>
      </c>
      <c r="F746" s="79">
        <f>IF($T746="","",IF($S746="S",IF(INDEX(Firms!$O$5:$O$1004,$T746)="","",INDEX(Firms!$O$5:$O$1004,$T746)),IF(INDEX('AFA Rates'!$O$5:$O$1004,$T746)="","",INDEX('AFA Rates'!$O$5:$O$1004,$T746))))</f>
        <v/>
      </c>
      <c r="G746" s="50">
        <f>IF($T746="","",IF($S746="S",IF(INDEX(Firms!$F$5:$F$1004,$T746)="","",INDEX(Firms!$F$5:$F$1004,$T746)),IF(INDEX('AFA Rates'!$E$5:$E$1004,$T746)="","",INDEX('AFA Rates'!$E$5:$E$1004,$T746))))</f>
        <v/>
      </c>
      <c r="H746" s="50">
        <f>IF($T746="","",IF($S746="S",IF(INDEX(Firms!$G$5:$G$1004,$T746)="","",INDEX(Firms!$G$5:$G$1004,$T746)),IF(INDEX('AFA Rates'!$F$5:$F$1004,$T746)="","",INDEX('AFA Rates'!$F$5:$F$1004,$T746))))</f>
        <v/>
      </c>
      <c r="I746" s="50">
        <f>IF($T746="","",IF($S746="S",IF(INDEX(Firms!$H$5:$H$1004,$T746)="","",INDEX(Firms!$H$5:$H$1004,$T746)),IF(INDEX('AFA Rates'!$G$5:$G$1004,$T746)="","",INDEX('AFA Rates'!$G$5:$G$1004,$T746))))</f>
        <v/>
      </c>
      <c r="J746" s="50">
        <f>IF($T746="","",IF($S746="S",IF(INDEX(Firms!$I$5:$I$1004,$T746)="","",INDEX(Firms!$I$5:$I$1004,$T746)),IF(INDEX('AFA Rates'!$H$5:$H$1004,$T746)="","",INDEX('AFA Rates'!$H$5:$H$1004,$T746))))</f>
        <v/>
      </c>
      <c r="K746" s="50">
        <f>IF($T746="","",IF($S746="S",IF(INDEX(Firms!$J$5:$J$1004,$T746)="","",INDEX(Firms!$J$5:$J$1004,$T746)),IF(INDEX('AFA Rates'!$I$5:$I$1004,$T746)="","",INDEX('AFA Rates'!$I$5:$I$1004,$T746))))</f>
        <v/>
      </c>
      <c r="L746" s="50">
        <f>IF($T746="","",IF($S746="S",IF(INDEX(Firms!$K$5:$K$1004,$T746)="","",INDEX(Firms!$K$5:$K$1004,$T746)),IF(INDEX('AFA Rates'!$J$5:$J$1004,$T746)="","",INDEX('AFA Rates'!$J$5:$J$1004,$T746))))</f>
        <v/>
      </c>
      <c r="M746" s="50">
        <f>IF($T746="","",IF($S746="S",IF(INDEX(Firms!$L$5:$L$1004,$T746)="","",INDEX(Firms!$L$5:$L$1004,$T746)),IF(INDEX('AFA Rates'!$K$5:$K$1004,$T746)="","",INDEX('AFA Rates'!$K$5:$K$1004,$T746))))</f>
        <v/>
      </c>
      <c r="N746" s="50">
        <f>IF($T746="","",IF($S746="S",IF(INDEX(Firms!$M$5:$M$1004,$T746)="","",INDEX(Firms!$M$5:$M$1004,$T746)),IF(INDEX('AFA Rates'!$L$5:$L$1004,$T746)="","",INDEX('AFA Rates'!$L$5:$L$1004,$T746))))</f>
        <v/>
      </c>
      <c r="O746" s="78">
        <f>IF(OR($T746="",$U746=""),"",IF(INDEX(Firms!$C$5:$C$1004,$U746)="","",INDEX(Firms!$C$5:$C$1004,$U746)))</f>
        <v/>
      </c>
      <c r="P746" s="79">
        <f>IF(OR($T746="",$U746=""),"",IF(INDEX(Firms!$N$5:$N$1004,$U746)="","",INDEX(Firms!$N$5:$N$1004,$U746)))</f>
        <v/>
      </c>
      <c r="Q746" s="78">
        <f>IF($T746="","",IF($S746="S",IF(INDEX(Firms!$T$5:$T$1004,$T746)="","",INDEX(Firms!$T$5:$T$1004,$T746)),IF(INDEX('AFA Rates'!$M$5:$M$1004,$T746)="","",INDEX('AFA Rates'!$M$5:$M$1004,$T746))))</f>
        <v/>
      </c>
      <c r="S746">
        <f>IF(742&lt;=$S$2,"S",IF(742&lt;=$S$2+$T$2,"A",""))</f>
        <v/>
      </c>
      <c r="T746">
        <f>IF(S746="S",MATCH(742,Firms!$W$5:$W$1004,0),IF(S746="A",IFERROR(MATCH(742-$S$2,'AFA Rates'!$R$5:$R$1004,0),""),""))</f>
        <v/>
      </c>
      <c r="U746">
        <f>IF(S746="S",T746,IF(AND(S746="A",T746&lt;&gt;""),IFERROR(MATCH(INDEX('AFA Rates'!$A$5:$A$1004,T746),Firms!$A$5:$A$1004,0),""),""))</f>
        <v/>
      </c>
    </row>
    <row r="747">
      <c r="A747" s="78">
        <f>IF($T747="","",IF($S747="S",IF(INDEX(Firms!$A$5:$A$1004,$T747)="","",INDEX(Firms!$A$5:$A$1004,$T747)),IF(INDEX('AFA Rates'!$A$5:$A$1004,$T747)="","",INDEX('AFA Rates'!$A$5:$A$1004,$T747))))</f>
        <v/>
      </c>
      <c r="B747" s="79">
        <f>IF(OR($T747="",$U747=""),IF($T747="","","Not on Firms tab"),INDEX(Firms!$B$5:$B$1004,$U747)&amp;"")</f>
        <v/>
      </c>
      <c r="C747" s="78">
        <f>IF($T747="","",IF($S747="S","Standard",INDEX('AFA Rates'!$B$5:$B$1004,$T747)&amp;""))</f>
        <v/>
      </c>
      <c r="D747" s="88">
        <f>IF($T747="","",IF($S747="S",IF(INDEX(Firms!$E$5:$E$1004,$T747)="","",INDEX(Firms!$E$5:$E$1004,$T747)),IF(INDEX('AFA Rates'!$C$5:$C$1004,$T747)="","",INDEX('AFA Rates'!$C$5:$C$1004,$T747))))</f>
        <v/>
      </c>
      <c r="E747" s="88">
        <f>IF($T747="","",IF($S747="S",IF(""="","",""),IF(INDEX('AFA Rates'!$D$5:$D$1004,$T747)="","",INDEX('AFA Rates'!$D$5:$D$1004,$T747))))</f>
        <v/>
      </c>
      <c r="F747" s="79">
        <f>IF($T747="","",IF($S747="S",IF(INDEX(Firms!$O$5:$O$1004,$T747)="","",INDEX(Firms!$O$5:$O$1004,$T747)),IF(INDEX('AFA Rates'!$O$5:$O$1004,$T747)="","",INDEX('AFA Rates'!$O$5:$O$1004,$T747))))</f>
        <v/>
      </c>
      <c r="G747" s="50">
        <f>IF($T747="","",IF($S747="S",IF(INDEX(Firms!$F$5:$F$1004,$T747)="","",INDEX(Firms!$F$5:$F$1004,$T747)),IF(INDEX('AFA Rates'!$E$5:$E$1004,$T747)="","",INDEX('AFA Rates'!$E$5:$E$1004,$T747))))</f>
        <v/>
      </c>
      <c r="H747" s="50">
        <f>IF($T747="","",IF($S747="S",IF(INDEX(Firms!$G$5:$G$1004,$T747)="","",INDEX(Firms!$G$5:$G$1004,$T747)),IF(INDEX('AFA Rates'!$F$5:$F$1004,$T747)="","",INDEX('AFA Rates'!$F$5:$F$1004,$T747))))</f>
        <v/>
      </c>
      <c r="I747" s="50">
        <f>IF($T747="","",IF($S747="S",IF(INDEX(Firms!$H$5:$H$1004,$T747)="","",INDEX(Firms!$H$5:$H$1004,$T747)),IF(INDEX('AFA Rates'!$G$5:$G$1004,$T747)="","",INDEX('AFA Rates'!$G$5:$G$1004,$T747))))</f>
        <v/>
      </c>
      <c r="J747" s="50">
        <f>IF($T747="","",IF($S747="S",IF(INDEX(Firms!$I$5:$I$1004,$T747)="","",INDEX(Firms!$I$5:$I$1004,$T747)),IF(INDEX('AFA Rates'!$H$5:$H$1004,$T747)="","",INDEX('AFA Rates'!$H$5:$H$1004,$T747))))</f>
        <v/>
      </c>
      <c r="K747" s="50">
        <f>IF($T747="","",IF($S747="S",IF(INDEX(Firms!$J$5:$J$1004,$T747)="","",INDEX(Firms!$J$5:$J$1004,$T747)),IF(INDEX('AFA Rates'!$I$5:$I$1004,$T747)="","",INDEX('AFA Rates'!$I$5:$I$1004,$T747))))</f>
        <v/>
      </c>
      <c r="L747" s="50">
        <f>IF($T747="","",IF($S747="S",IF(INDEX(Firms!$K$5:$K$1004,$T747)="","",INDEX(Firms!$K$5:$K$1004,$T747)),IF(INDEX('AFA Rates'!$J$5:$J$1004,$T747)="","",INDEX('AFA Rates'!$J$5:$J$1004,$T747))))</f>
        <v/>
      </c>
      <c r="M747" s="50">
        <f>IF($T747="","",IF($S747="S",IF(INDEX(Firms!$L$5:$L$1004,$T747)="","",INDEX(Firms!$L$5:$L$1004,$T747)),IF(INDEX('AFA Rates'!$K$5:$K$1004,$T747)="","",INDEX('AFA Rates'!$K$5:$K$1004,$T747))))</f>
        <v/>
      </c>
      <c r="N747" s="50">
        <f>IF($T747="","",IF($S747="S",IF(INDEX(Firms!$M$5:$M$1004,$T747)="","",INDEX(Firms!$M$5:$M$1004,$T747)),IF(INDEX('AFA Rates'!$L$5:$L$1004,$T747)="","",INDEX('AFA Rates'!$L$5:$L$1004,$T747))))</f>
        <v/>
      </c>
      <c r="O747" s="78">
        <f>IF(OR($T747="",$U747=""),"",IF(INDEX(Firms!$C$5:$C$1004,$U747)="","",INDEX(Firms!$C$5:$C$1004,$U747)))</f>
        <v/>
      </c>
      <c r="P747" s="79">
        <f>IF(OR($T747="",$U747=""),"",IF(INDEX(Firms!$N$5:$N$1004,$U747)="","",INDEX(Firms!$N$5:$N$1004,$U747)))</f>
        <v/>
      </c>
      <c r="Q747" s="78">
        <f>IF($T747="","",IF($S747="S",IF(INDEX(Firms!$T$5:$T$1004,$T747)="","",INDEX(Firms!$T$5:$T$1004,$T747)),IF(INDEX('AFA Rates'!$M$5:$M$1004,$T747)="","",INDEX('AFA Rates'!$M$5:$M$1004,$T747))))</f>
        <v/>
      </c>
      <c r="S747">
        <f>IF(743&lt;=$S$2,"S",IF(743&lt;=$S$2+$T$2,"A",""))</f>
        <v/>
      </c>
      <c r="T747">
        <f>IF(S747="S",MATCH(743,Firms!$W$5:$W$1004,0),IF(S747="A",IFERROR(MATCH(743-$S$2,'AFA Rates'!$R$5:$R$1004,0),""),""))</f>
        <v/>
      </c>
      <c r="U747">
        <f>IF(S747="S",T747,IF(AND(S747="A",T747&lt;&gt;""),IFERROR(MATCH(INDEX('AFA Rates'!$A$5:$A$1004,T747),Firms!$A$5:$A$1004,0),""),""))</f>
        <v/>
      </c>
    </row>
    <row r="748">
      <c r="A748" s="78">
        <f>IF($T748="","",IF($S748="S",IF(INDEX(Firms!$A$5:$A$1004,$T748)="","",INDEX(Firms!$A$5:$A$1004,$T748)),IF(INDEX('AFA Rates'!$A$5:$A$1004,$T748)="","",INDEX('AFA Rates'!$A$5:$A$1004,$T748))))</f>
        <v/>
      </c>
      <c r="B748" s="79">
        <f>IF(OR($T748="",$U748=""),IF($T748="","","Not on Firms tab"),INDEX(Firms!$B$5:$B$1004,$U748)&amp;"")</f>
        <v/>
      </c>
      <c r="C748" s="78">
        <f>IF($T748="","",IF($S748="S","Standard",INDEX('AFA Rates'!$B$5:$B$1004,$T748)&amp;""))</f>
        <v/>
      </c>
      <c r="D748" s="88">
        <f>IF($T748="","",IF($S748="S",IF(INDEX(Firms!$E$5:$E$1004,$T748)="","",INDEX(Firms!$E$5:$E$1004,$T748)),IF(INDEX('AFA Rates'!$C$5:$C$1004,$T748)="","",INDEX('AFA Rates'!$C$5:$C$1004,$T748))))</f>
        <v/>
      </c>
      <c r="E748" s="88">
        <f>IF($T748="","",IF($S748="S",IF(""="","",""),IF(INDEX('AFA Rates'!$D$5:$D$1004,$T748)="","",INDEX('AFA Rates'!$D$5:$D$1004,$T748))))</f>
        <v/>
      </c>
      <c r="F748" s="79">
        <f>IF($T748="","",IF($S748="S",IF(INDEX(Firms!$O$5:$O$1004,$T748)="","",INDEX(Firms!$O$5:$O$1004,$T748)),IF(INDEX('AFA Rates'!$O$5:$O$1004,$T748)="","",INDEX('AFA Rates'!$O$5:$O$1004,$T748))))</f>
        <v/>
      </c>
      <c r="G748" s="50">
        <f>IF($T748="","",IF($S748="S",IF(INDEX(Firms!$F$5:$F$1004,$T748)="","",INDEX(Firms!$F$5:$F$1004,$T748)),IF(INDEX('AFA Rates'!$E$5:$E$1004,$T748)="","",INDEX('AFA Rates'!$E$5:$E$1004,$T748))))</f>
        <v/>
      </c>
      <c r="H748" s="50">
        <f>IF($T748="","",IF($S748="S",IF(INDEX(Firms!$G$5:$G$1004,$T748)="","",INDEX(Firms!$G$5:$G$1004,$T748)),IF(INDEX('AFA Rates'!$F$5:$F$1004,$T748)="","",INDEX('AFA Rates'!$F$5:$F$1004,$T748))))</f>
        <v/>
      </c>
      <c r="I748" s="50">
        <f>IF($T748="","",IF($S748="S",IF(INDEX(Firms!$H$5:$H$1004,$T748)="","",INDEX(Firms!$H$5:$H$1004,$T748)),IF(INDEX('AFA Rates'!$G$5:$G$1004,$T748)="","",INDEX('AFA Rates'!$G$5:$G$1004,$T748))))</f>
        <v/>
      </c>
      <c r="J748" s="50">
        <f>IF($T748="","",IF($S748="S",IF(INDEX(Firms!$I$5:$I$1004,$T748)="","",INDEX(Firms!$I$5:$I$1004,$T748)),IF(INDEX('AFA Rates'!$H$5:$H$1004,$T748)="","",INDEX('AFA Rates'!$H$5:$H$1004,$T748))))</f>
        <v/>
      </c>
      <c r="K748" s="50">
        <f>IF($T748="","",IF($S748="S",IF(INDEX(Firms!$J$5:$J$1004,$T748)="","",INDEX(Firms!$J$5:$J$1004,$T748)),IF(INDEX('AFA Rates'!$I$5:$I$1004,$T748)="","",INDEX('AFA Rates'!$I$5:$I$1004,$T748))))</f>
        <v/>
      </c>
      <c r="L748" s="50">
        <f>IF($T748="","",IF($S748="S",IF(INDEX(Firms!$K$5:$K$1004,$T748)="","",INDEX(Firms!$K$5:$K$1004,$T748)),IF(INDEX('AFA Rates'!$J$5:$J$1004,$T748)="","",INDEX('AFA Rates'!$J$5:$J$1004,$T748))))</f>
        <v/>
      </c>
      <c r="M748" s="50">
        <f>IF($T748="","",IF($S748="S",IF(INDEX(Firms!$L$5:$L$1004,$T748)="","",INDEX(Firms!$L$5:$L$1004,$T748)),IF(INDEX('AFA Rates'!$K$5:$K$1004,$T748)="","",INDEX('AFA Rates'!$K$5:$K$1004,$T748))))</f>
        <v/>
      </c>
      <c r="N748" s="50">
        <f>IF($T748="","",IF($S748="S",IF(INDEX(Firms!$M$5:$M$1004,$T748)="","",INDEX(Firms!$M$5:$M$1004,$T748)),IF(INDEX('AFA Rates'!$L$5:$L$1004,$T748)="","",INDEX('AFA Rates'!$L$5:$L$1004,$T748))))</f>
        <v/>
      </c>
      <c r="O748" s="78">
        <f>IF(OR($T748="",$U748=""),"",IF(INDEX(Firms!$C$5:$C$1004,$U748)="","",INDEX(Firms!$C$5:$C$1004,$U748)))</f>
        <v/>
      </c>
      <c r="P748" s="79">
        <f>IF(OR($T748="",$U748=""),"",IF(INDEX(Firms!$N$5:$N$1004,$U748)="","",INDEX(Firms!$N$5:$N$1004,$U748)))</f>
        <v/>
      </c>
      <c r="Q748" s="78">
        <f>IF($T748="","",IF($S748="S",IF(INDEX(Firms!$T$5:$T$1004,$T748)="","",INDEX(Firms!$T$5:$T$1004,$T748)),IF(INDEX('AFA Rates'!$M$5:$M$1004,$T748)="","",INDEX('AFA Rates'!$M$5:$M$1004,$T748))))</f>
        <v/>
      </c>
      <c r="S748">
        <f>IF(744&lt;=$S$2,"S",IF(744&lt;=$S$2+$T$2,"A",""))</f>
        <v/>
      </c>
      <c r="T748">
        <f>IF(S748="S",MATCH(744,Firms!$W$5:$W$1004,0),IF(S748="A",IFERROR(MATCH(744-$S$2,'AFA Rates'!$R$5:$R$1004,0),""),""))</f>
        <v/>
      </c>
      <c r="U748">
        <f>IF(S748="S",T748,IF(AND(S748="A",T748&lt;&gt;""),IFERROR(MATCH(INDEX('AFA Rates'!$A$5:$A$1004,T748),Firms!$A$5:$A$1004,0),""),""))</f>
        <v/>
      </c>
    </row>
    <row r="749">
      <c r="A749" s="78">
        <f>IF($T749="","",IF($S749="S",IF(INDEX(Firms!$A$5:$A$1004,$T749)="","",INDEX(Firms!$A$5:$A$1004,$T749)),IF(INDEX('AFA Rates'!$A$5:$A$1004,$T749)="","",INDEX('AFA Rates'!$A$5:$A$1004,$T749))))</f>
        <v/>
      </c>
      <c r="B749" s="79">
        <f>IF(OR($T749="",$U749=""),IF($T749="","","Not on Firms tab"),INDEX(Firms!$B$5:$B$1004,$U749)&amp;"")</f>
        <v/>
      </c>
      <c r="C749" s="78">
        <f>IF($T749="","",IF($S749="S","Standard",INDEX('AFA Rates'!$B$5:$B$1004,$T749)&amp;""))</f>
        <v/>
      </c>
      <c r="D749" s="88">
        <f>IF($T749="","",IF($S749="S",IF(INDEX(Firms!$E$5:$E$1004,$T749)="","",INDEX(Firms!$E$5:$E$1004,$T749)),IF(INDEX('AFA Rates'!$C$5:$C$1004,$T749)="","",INDEX('AFA Rates'!$C$5:$C$1004,$T749))))</f>
        <v/>
      </c>
      <c r="E749" s="88">
        <f>IF($T749="","",IF($S749="S",IF(""="","",""),IF(INDEX('AFA Rates'!$D$5:$D$1004,$T749)="","",INDEX('AFA Rates'!$D$5:$D$1004,$T749))))</f>
        <v/>
      </c>
      <c r="F749" s="79">
        <f>IF($T749="","",IF($S749="S",IF(INDEX(Firms!$O$5:$O$1004,$T749)="","",INDEX(Firms!$O$5:$O$1004,$T749)),IF(INDEX('AFA Rates'!$O$5:$O$1004,$T749)="","",INDEX('AFA Rates'!$O$5:$O$1004,$T749))))</f>
        <v/>
      </c>
      <c r="G749" s="50">
        <f>IF($T749="","",IF($S749="S",IF(INDEX(Firms!$F$5:$F$1004,$T749)="","",INDEX(Firms!$F$5:$F$1004,$T749)),IF(INDEX('AFA Rates'!$E$5:$E$1004,$T749)="","",INDEX('AFA Rates'!$E$5:$E$1004,$T749))))</f>
        <v/>
      </c>
      <c r="H749" s="50">
        <f>IF($T749="","",IF($S749="S",IF(INDEX(Firms!$G$5:$G$1004,$T749)="","",INDEX(Firms!$G$5:$G$1004,$T749)),IF(INDEX('AFA Rates'!$F$5:$F$1004,$T749)="","",INDEX('AFA Rates'!$F$5:$F$1004,$T749))))</f>
        <v/>
      </c>
      <c r="I749" s="50">
        <f>IF($T749="","",IF($S749="S",IF(INDEX(Firms!$H$5:$H$1004,$T749)="","",INDEX(Firms!$H$5:$H$1004,$T749)),IF(INDEX('AFA Rates'!$G$5:$G$1004,$T749)="","",INDEX('AFA Rates'!$G$5:$G$1004,$T749))))</f>
        <v/>
      </c>
      <c r="J749" s="50">
        <f>IF($T749="","",IF($S749="S",IF(INDEX(Firms!$I$5:$I$1004,$T749)="","",INDEX(Firms!$I$5:$I$1004,$T749)),IF(INDEX('AFA Rates'!$H$5:$H$1004,$T749)="","",INDEX('AFA Rates'!$H$5:$H$1004,$T749))))</f>
        <v/>
      </c>
      <c r="K749" s="50">
        <f>IF($T749="","",IF($S749="S",IF(INDEX(Firms!$J$5:$J$1004,$T749)="","",INDEX(Firms!$J$5:$J$1004,$T749)),IF(INDEX('AFA Rates'!$I$5:$I$1004,$T749)="","",INDEX('AFA Rates'!$I$5:$I$1004,$T749))))</f>
        <v/>
      </c>
      <c r="L749" s="50">
        <f>IF($T749="","",IF($S749="S",IF(INDEX(Firms!$K$5:$K$1004,$T749)="","",INDEX(Firms!$K$5:$K$1004,$T749)),IF(INDEX('AFA Rates'!$J$5:$J$1004,$T749)="","",INDEX('AFA Rates'!$J$5:$J$1004,$T749))))</f>
        <v/>
      </c>
      <c r="M749" s="50">
        <f>IF($T749="","",IF($S749="S",IF(INDEX(Firms!$L$5:$L$1004,$T749)="","",INDEX(Firms!$L$5:$L$1004,$T749)),IF(INDEX('AFA Rates'!$K$5:$K$1004,$T749)="","",INDEX('AFA Rates'!$K$5:$K$1004,$T749))))</f>
        <v/>
      </c>
      <c r="N749" s="50">
        <f>IF($T749="","",IF($S749="S",IF(INDEX(Firms!$M$5:$M$1004,$T749)="","",INDEX(Firms!$M$5:$M$1004,$T749)),IF(INDEX('AFA Rates'!$L$5:$L$1004,$T749)="","",INDEX('AFA Rates'!$L$5:$L$1004,$T749))))</f>
        <v/>
      </c>
      <c r="O749" s="78">
        <f>IF(OR($T749="",$U749=""),"",IF(INDEX(Firms!$C$5:$C$1004,$U749)="","",INDEX(Firms!$C$5:$C$1004,$U749)))</f>
        <v/>
      </c>
      <c r="P749" s="79">
        <f>IF(OR($T749="",$U749=""),"",IF(INDEX(Firms!$N$5:$N$1004,$U749)="","",INDEX(Firms!$N$5:$N$1004,$U749)))</f>
        <v/>
      </c>
      <c r="Q749" s="78">
        <f>IF($T749="","",IF($S749="S",IF(INDEX(Firms!$T$5:$T$1004,$T749)="","",INDEX(Firms!$T$5:$T$1004,$T749)),IF(INDEX('AFA Rates'!$M$5:$M$1004,$T749)="","",INDEX('AFA Rates'!$M$5:$M$1004,$T749))))</f>
        <v/>
      </c>
      <c r="S749">
        <f>IF(745&lt;=$S$2,"S",IF(745&lt;=$S$2+$T$2,"A",""))</f>
        <v/>
      </c>
      <c r="T749">
        <f>IF(S749="S",MATCH(745,Firms!$W$5:$W$1004,0),IF(S749="A",IFERROR(MATCH(745-$S$2,'AFA Rates'!$R$5:$R$1004,0),""),""))</f>
        <v/>
      </c>
      <c r="U749">
        <f>IF(S749="S",T749,IF(AND(S749="A",T749&lt;&gt;""),IFERROR(MATCH(INDEX('AFA Rates'!$A$5:$A$1004,T749),Firms!$A$5:$A$1004,0),""),""))</f>
        <v/>
      </c>
    </row>
    <row r="750">
      <c r="A750" s="78">
        <f>IF($T750="","",IF($S750="S",IF(INDEX(Firms!$A$5:$A$1004,$T750)="","",INDEX(Firms!$A$5:$A$1004,$T750)),IF(INDEX('AFA Rates'!$A$5:$A$1004,$T750)="","",INDEX('AFA Rates'!$A$5:$A$1004,$T750))))</f>
        <v/>
      </c>
      <c r="B750" s="79">
        <f>IF(OR($T750="",$U750=""),IF($T750="","","Not on Firms tab"),INDEX(Firms!$B$5:$B$1004,$U750)&amp;"")</f>
        <v/>
      </c>
      <c r="C750" s="78">
        <f>IF($T750="","",IF($S750="S","Standard",INDEX('AFA Rates'!$B$5:$B$1004,$T750)&amp;""))</f>
        <v/>
      </c>
      <c r="D750" s="88">
        <f>IF($T750="","",IF($S750="S",IF(INDEX(Firms!$E$5:$E$1004,$T750)="","",INDEX(Firms!$E$5:$E$1004,$T750)),IF(INDEX('AFA Rates'!$C$5:$C$1004,$T750)="","",INDEX('AFA Rates'!$C$5:$C$1004,$T750))))</f>
        <v/>
      </c>
      <c r="E750" s="88">
        <f>IF($T750="","",IF($S750="S",IF(""="","",""),IF(INDEX('AFA Rates'!$D$5:$D$1004,$T750)="","",INDEX('AFA Rates'!$D$5:$D$1004,$T750))))</f>
        <v/>
      </c>
      <c r="F750" s="79">
        <f>IF($T750="","",IF($S750="S",IF(INDEX(Firms!$O$5:$O$1004,$T750)="","",INDEX(Firms!$O$5:$O$1004,$T750)),IF(INDEX('AFA Rates'!$O$5:$O$1004,$T750)="","",INDEX('AFA Rates'!$O$5:$O$1004,$T750))))</f>
        <v/>
      </c>
      <c r="G750" s="50">
        <f>IF($T750="","",IF($S750="S",IF(INDEX(Firms!$F$5:$F$1004,$T750)="","",INDEX(Firms!$F$5:$F$1004,$T750)),IF(INDEX('AFA Rates'!$E$5:$E$1004,$T750)="","",INDEX('AFA Rates'!$E$5:$E$1004,$T750))))</f>
        <v/>
      </c>
      <c r="H750" s="50">
        <f>IF($T750="","",IF($S750="S",IF(INDEX(Firms!$G$5:$G$1004,$T750)="","",INDEX(Firms!$G$5:$G$1004,$T750)),IF(INDEX('AFA Rates'!$F$5:$F$1004,$T750)="","",INDEX('AFA Rates'!$F$5:$F$1004,$T750))))</f>
        <v/>
      </c>
      <c r="I750" s="50">
        <f>IF($T750="","",IF($S750="S",IF(INDEX(Firms!$H$5:$H$1004,$T750)="","",INDEX(Firms!$H$5:$H$1004,$T750)),IF(INDEX('AFA Rates'!$G$5:$G$1004,$T750)="","",INDEX('AFA Rates'!$G$5:$G$1004,$T750))))</f>
        <v/>
      </c>
      <c r="J750" s="50">
        <f>IF($T750="","",IF($S750="S",IF(INDEX(Firms!$I$5:$I$1004,$T750)="","",INDEX(Firms!$I$5:$I$1004,$T750)),IF(INDEX('AFA Rates'!$H$5:$H$1004,$T750)="","",INDEX('AFA Rates'!$H$5:$H$1004,$T750))))</f>
        <v/>
      </c>
      <c r="K750" s="50">
        <f>IF($T750="","",IF($S750="S",IF(INDEX(Firms!$J$5:$J$1004,$T750)="","",INDEX(Firms!$J$5:$J$1004,$T750)),IF(INDEX('AFA Rates'!$I$5:$I$1004,$T750)="","",INDEX('AFA Rates'!$I$5:$I$1004,$T750))))</f>
        <v/>
      </c>
      <c r="L750" s="50">
        <f>IF($T750="","",IF($S750="S",IF(INDEX(Firms!$K$5:$K$1004,$T750)="","",INDEX(Firms!$K$5:$K$1004,$T750)),IF(INDEX('AFA Rates'!$J$5:$J$1004,$T750)="","",INDEX('AFA Rates'!$J$5:$J$1004,$T750))))</f>
        <v/>
      </c>
      <c r="M750" s="50">
        <f>IF($T750="","",IF($S750="S",IF(INDEX(Firms!$L$5:$L$1004,$T750)="","",INDEX(Firms!$L$5:$L$1004,$T750)),IF(INDEX('AFA Rates'!$K$5:$K$1004,$T750)="","",INDEX('AFA Rates'!$K$5:$K$1004,$T750))))</f>
        <v/>
      </c>
      <c r="N750" s="50">
        <f>IF($T750="","",IF($S750="S",IF(INDEX(Firms!$M$5:$M$1004,$T750)="","",INDEX(Firms!$M$5:$M$1004,$T750)),IF(INDEX('AFA Rates'!$L$5:$L$1004,$T750)="","",INDEX('AFA Rates'!$L$5:$L$1004,$T750))))</f>
        <v/>
      </c>
      <c r="O750" s="78">
        <f>IF(OR($T750="",$U750=""),"",IF(INDEX(Firms!$C$5:$C$1004,$U750)="","",INDEX(Firms!$C$5:$C$1004,$U750)))</f>
        <v/>
      </c>
      <c r="P750" s="79">
        <f>IF(OR($T750="",$U750=""),"",IF(INDEX(Firms!$N$5:$N$1004,$U750)="","",INDEX(Firms!$N$5:$N$1004,$U750)))</f>
        <v/>
      </c>
      <c r="Q750" s="78">
        <f>IF($T750="","",IF($S750="S",IF(INDEX(Firms!$T$5:$T$1004,$T750)="","",INDEX(Firms!$T$5:$T$1004,$T750)),IF(INDEX('AFA Rates'!$M$5:$M$1004,$T750)="","",INDEX('AFA Rates'!$M$5:$M$1004,$T750))))</f>
        <v/>
      </c>
      <c r="S750">
        <f>IF(746&lt;=$S$2,"S",IF(746&lt;=$S$2+$T$2,"A",""))</f>
        <v/>
      </c>
      <c r="T750">
        <f>IF(S750="S",MATCH(746,Firms!$W$5:$W$1004,0),IF(S750="A",IFERROR(MATCH(746-$S$2,'AFA Rates'!$R$5:$R$1004,0),""),""))</f>
        <v/>
      </c>
      <c r="U750">
        <f>IF(S750="S",T750,IF(AND(S750="A",T750&lt;&gt;""),IFERROR(MATCH(INDEX('AFA Rates'!$A$5:$A$1004,T750),Firms!$A$5:$A$1004,0),""),""))</f>
        <v/>
      </c>
    </row>
    <row r="751">
      <c r="A751" s="78">
        <f>IF($T751="","",IF($S751="S",IF(INDEX(Firms!$A$5:$A$1004,$T751)="","",INDEX(Firms!$A$5:$A$1004,$T751)),IF(INDEX('AFA Rates'!$A$5:$A$1004,$T751)="","",INDEX('AFA Rates'!$A$5:$A$1004,$T751))))</f>
        <v/>
      </c>
      <c r="B751" s="79">
        <f>IF(OR($T751="",$U751=""),IF($T751="","","Not on Firms tab"),INDEX(Firms!$B$5:$B$1004,$U751)&amp;"")</f>
        <v/>
      </c>
      <c r="C751" s="78">
        <f>IF($T751="","",IF($S751="S","Standard",INDEX('AFA Rates'!$B$5:$B$1004,$T751)&amp;""))</f>
        <v/>
      </c>
      <c r="D751" s="88">
        <f>IF($T751="","",IF($S751="S",IF(INDEX(Firms!$E$5:$E$1004,$T751)="","",INDEX(Firms!$E$5:$E$1004,$T751)),IF(INDEX('AFA Rates'!$C$5:$C$1004,$T751)="","",INDEX('AFA Rates'!$C$5:$C$1004,$T751))))</f>
        <v/>
      </c>
      <c r="E751" s="88">
        <f>IF($T751="","",IF($S751="S",IF(""="","",""),IF(INDEX('AFA Rates'!$D$5:$D$1004,$T751)="","",INDEX('AFA Rates'!$D$5:$D$1004,$T751))))</f>
        <v/>
      </c>
      <c r="F751" s="79">
        <f>IF($T751="","",IF($S751="S",IF(INDEX(Firms!$O$5:$O$1004,$T751)="","",INDEX(Firms!$O$5:$O$1004,$T751)),IF(INDEX('AFA Rates'!$O$5:$O$1004,$T751)="","",INDEX('AFA Rates'!$O$5:$O$1004,$T751))))</f>
        <v/>
      </c>
      <c r="G751" s="50">
        <f>IF($T751="","",IF($S751="S",IF(INDEX(Firms!$F$5:$F$1004,$T751)="","",INDEX(Firms!$F$5:$F$1004,$T751)),IF(INDEX('AFA Rates'!$E$5:$E$1004,$T751)="","",INDEX('AFA Rates'!$E$5:$E$1004,$T751))))</f>
        <v/>
      </c>
      <c r="H751" s="50">
        <f>IF($T751="","",IF($S751="S",IF(INDEX(Firms!$G$5:$G$1004,$T751)="","",INDEX(Firms!$G$5:$G$1004,$T751)),IF(INDEX('AFA Rates'!$F$5:$F$1004,$T751)="","",INDEX('AFA Rates'!$F$5:$F$1004,$T751))))</f>
        <v/>
      </c>
      <c r="I751" s="50">
        <f>IF($T751="","",IF($S751="S",IF(INDEX(Firms!$H$5:$H$1004,$T751)="","",INDEX(Firms!$H$5:$H$1004,$T751)),IF(INDEX('AFA Rates'!$G$5:$G$1004,$T751)="","",INDEX('AFA Rates'!$G$5:$G$1004,$T751))))</f>
        <v/>
      </c>
      <c r="J751" s="50">
        <f>IF($T751="","",IF($S751="S",IF(INDEX(Firms!$I$5:$I$1004,$T751)="","",INDEX(Firms!$I$5:$I$1004,$T751)),IF(INDEX('AFA Rates'!$H$5:$H$1004,$T751)="","",INDEX('AFA Rates'!$H$5:$H$1004,$T751))))</f>
        <v/>
      </c>
      <c r="K751" s="50">
        <f>IF($T751="","",IF($S751="S",IF(INDEX(Firms!$J$5:$J$1004,$T751)="","",INDEX(Firms!$J$5:$J$1004,$T751)),IF(INDEX('AFA Rates'!$I$5:$I$1004,$T751)="","",INDEX('AFA Rates'!$I$5:$I$1004,$T751))))</f>
        <v/>
      </c>
      <c r="L751" s="50">
        <f>IF($T751="","",IF($S751="S",IF(INDEX(Firms!$K$5:$K$1004,$T751)="","",INDEX(Firms!$K$5:$K$1004,$T751)),IF(INDEX('AFA Rates'!$J$5:$J$1004,$T751)="","",INDEX('AFA Rates'!$J$5:$J$1004,$T751))))</f>
        <v/>
      </c>
      <c r="M751" s="50">
        <f>IF($T751="","",IF($S751="S",IF(INDEX(Firms!$L$5:$L$1004,$T751)="","",INDEX(Firms!$L$5:$L$1004,$T751)),IF(INDEX('AFA Rates'!$K$5:$K$1004,$T751)="","",INDEX('AFA Rates'!$K$5:$K$1004,$T751))))</f>
        <v/>
      </c>
      <c r="N751" s="50">
        <f>IF($T751="","",IF($S751="S",IF(INDEX(Firms!$M$5:$M$1004,$T751)="","",INDEX(Firms!$M$5:$M$1004,$T751)),IF(INDEX('AFA Rates'!$L$5:$L$1004,$T751)="","",INDEX('AFA Rates'!$L$5:$L$1004,$T751))))</f>
        <v/>
      </c>
      <c r="O751" s="78">
        <f>IF(OR($T751="",$U751=""),"",IF(INDEX(Firms!$C$5:$C$1004,$U751)="","",INDEX(Firms!$C$5:$C$1004,$U751)))</f>
        <v/>
      </c>
      <c r="P751" s="79">
        <f>IF(OR($T751="",$U751=""),"",IF(INDEX(Firms!$N$5:$N$1004,$U751)="","",INDEX(Firms!$N$5:$N$1004,$U751)))</f>
        <v/>
      </c>
      <c r="Q751" s="78">
        <f>IF($T751="","",IF($S751="S",IF(INDEX(Firms!$T$5:$T$1004,$T751)="","",INDEX(Firms!$T$5:$T$1004,$T751)),IF(INDEX('AFA Rates'!$M$5:$M$1004,$T751)="","",INDEX('AFA Rates'!$M$5:$M$1004,$T751))))</f>
        <v/>
      </c>
      <c r="S751">
        <f>IF(747&lt;=$S$2,"S",IF(747&lt;=$S$2+$T$2,"A",""))</f>
        <v/>
      </c>
      <c r="T751">
        <f>IF(S751="S",MATCH(747,Firms!$W$5:$W$1004,0),IF(S751="A",IFERROR(MATCH(747-$S$2,'AFA Rates'!$R$5:$R$1004,0),""),""))</f>
        <v/>
      </c>
      <c r="U751">
        <f>IF(S751="S",T751,IF(AND(S751="A",T751&lt;&gt;""),IFERROR(MATCH(INDEX('AFA Rates'!$A$5:$A$1004,T751),Firms!$A$5:$A$1004,0),""),""))</f>
        <v/>
      </c>
    </row>
    <row r="752">
      <c r="A752" s="78">
        <f>IF($T752="","",IF($S752="S",IF(INDEX(Firms!$A$5:$A$1004,$T752)="","",INDEX(Firms!$A$5:$A$1004,$T752)),IF(INDEX('AFA Rates'!$A$5:$A$1004,$T752)="","",INDEX('AFA Rates'!$A$5:$A$1004,$T752))))</f>
        <v/>
      </c>
      <c r="B752" s="79">
        <f>IF(OR($T752="",$U752=""),IF($T752="","","Not on Firms tab"),INDEX(Firms!$B$5:$B$1004,$U752)&amp;"")</f>
        <v/>
      </c>
      <c r="C752" s="78">
        <f>IF($T752="","",IF($S752="S","Standard",INDEX('AFA Rates'!$B$5:$B$1004,$T752)&amp;""))</f>
        <v/>
      </c>
      <c r="D752" s="88">
        <f>IF($T752="","",IF($S752="S",IF(INDEX(Firms!$E$5:$E$1004,$T752)="","",INDEX(Firms!$E$5:$E$1004,$T752)),IF(INDEX('AFA Rates'!$C$5:$C$1004,$T752)="","",INDEX('AFA Rates'!$C$5:$C$1004,$T752))))</f>
        <v/>
      </c>
      <c r="E752" s="88">
        <f>IF($T752="","",IF($S752="S",IF(""="","",""),IF(INDEX('AFA Rates'!$D$5:$D$1004,$T752)="","",INDEX('AFA Rates'!$D$5:$D$1004,$T752))))</f>
        <v/>
      </c>
      <c r="F752" s="79">
        <f>IF($T752="","",IF($S752="S",IF(INDEX(Firms!$O$5:$O$1004,$T752)="","",INDEX(Firms!$O$5:$O$1004,$T752)),IF(INDEX('AFA Rates'!$O$5:$O$1004,$T752)="","",INDEX('AFA Rates'!$O$5:$O$1004,$T752))))</f>
        <v/>
      </c>
      <c r="G752" s="50">
        <f>IF($T752="","",IF($S752="S",IF(INDEX(Firms!$F$5:$F$1004,$T752)="","",INDEX(Firms!$F$5:$F$1004,$T752)),IF(INDEX('AFA Rates'!$E$5:$E$1004,$T752)="","",INDEX('AFA Rates'!$E$5:$E$1004,$T752))))</f>
        <v/>
      </c>
      <c r="H752" s="50">
        <f>IF($T752="","",IF($S752="S",IF(INDEX(Firms!$G$5:$G$1004,$T752)="","",INDEX(Firms!$G$5:$G$1004,$T752)),IF(INDEX('AFA Rates'!$F$5:$F$1004,$T752)="","",INDEX('AFA Rates'!$F$5:$F$1004,$T752))))</f>
        <v/>
      </c>
      <c r="I752" s="50">
        <f>IF($T752="","",IF($S752="S",IF(INDEX(Firms!$H$5:$H$1004,$T752)="","",INDEX(Firms!$H$5:$H$1004,$T752)),IF(INDEX('AFA Rates'!$G$5:$G$1004,$T752)="","",INDEX('AFA Rates'!$G$5:$G$1004,$T752))))</f>
        <v/>
      </c>
      <c r="J752" s="50">
        <f>IF($T752="","",IF($S752="S",IF(INDEX(Firms!$I$5:$I$1004,$T752)="","",INDEX(Firms!$I$5:$I$1004,$T752)),IF(INDEX('AFA Rates'!$H$5:$H$1004,$T752)="","",INDEX('AFA Rates'!$H$5:$H$1004,$T752))))</f>
        <v/>
      </c>
      <c r="K752" s="50">
        <f>IF($T752="","",IF($S752="S",IF(INDEX(Firms!$J$5:$J$1004,$T752)="","",INDEX(Firms!$J$5:$J$1004,$T752)),IF(INDEX('AFA Rates'!$I$5:$I$1004,$T752)="","",INDEX('AFA Rates'!$I$5:$I$1004,$T752))))</f>
        <v/>
      </c>
      <c r="L752" s="50">
        <f>IF($T752="","",IF($S752="S",IF(INDEX(Firms!$K$5:$K$1004,$T752)="","",INDEX(Firms!$K$5:$K$1004,$T752)),IF(INDEX('AFA Rates'!$J$5:$J$1004,$T752)="","",INDEX('AFA Rates'!$J$5:$J$1004,$T752))))</f>
        <v/>
      </c>
      <c r="M752" s="50">
        <f>IF($T752="","",IF($S752="S",IF(INDEX(Firms!$L$5:$L$1004,$T752)="","",INDEX(Firms!$L$5:$L$1004,$T752)),IF(INDEX('AFA Rates'!$K$5:$K$1004,$T752)="","",INDEX('AFA Rates'!$K$5:$K$1004,$T752))))</f>
        <v/>
      </c>
      <c r="N752" s="50">
        <f>IF($T752="","",IF($S752="S",IF(INDEX(Firms!$M$5:$M$1004,$T752)="","",INDEX(Firms!$M$5:$M$1004,$T752)),IF(INDEX('AFA Rates'!$L$5:$L$1004,$T752)="","",INDEX('AFA Rates'!$L$5:$L$1004,$T752))))</f>
        <v/>
      </c>
      <c r="O752" s="78">
        <f>IF(OR($T752="",$U752=""),"",IF(INDEX(Firms!$C$5:$C$1004,$U752)="","",INDEX(Firms!$C$5:$C$1004,$U752)))</f>
        <v/>
      </c>
      <c r="P752" s="79">
        <f>IF(OR($T752="",$U752=""),"",IF(INDEX(Firms!$N$5:$N$1004,$U752)="","",INDEX(Firms!$N$5:$N$1004,$U752)))</f>
        <v/>
      </c>
      <c r="Q752" s="78">
        <f>IF($T752="","",IF($S752="S",IF(INDEX(Firms!$T$5:$T$1004,$T752)="","",INDEX(Firms!$T$5:$T$1004,$T752)),IF(INDEX('AFA Rates'!$M$5:$M$1004,$T752)="","",INDEX('AFA Rates'!$M$5:$M$1004,$T752))))</f>
        <v/>
      </c>
      <c r="S752">
        <f>IF(748&lt;=$S$2,"S",IF(748&lt;=$S$2+$T$2,"A",""))</f>
        <v/>
      </c>
      <c r="T752">
        <f>IF(S752="S",MATCH(748,Firms!$W$5:$W$1004,0),IF(S752="A",IFERROR(MATCH(748-$S$2,'AFA Rates'!$R$5:$R$1004,0),""),""))</f>
        <v/>
      </c>
      <c r="U752">
        <f>IF(S752="S",T752,IF(AND(S752="A",T752&lt;&gt;""),IFERROR(MATCH(INDEX('AFA Rates'!$A$5:$A$1004,T752),Firms!$A$5:$A$1004,0),""),""))</f>
        <v/>
      </c>
    </row>
    <row r="753">
      <c r="A753" s="78">
        <f>IF($T753="","",IF($S753="S",IF(INDEX(Firms!$A$5:$A$1004,$T753)="","",INDEX(Firms!$A$5:$A$1004,$T753)),IF(INDEX('AFA Rates'!$A$5:$A$1004,$T753)="","",INDEX('AFA Rates'!$A$5:$A$1004,$T753))))</f>
        <v/>
      </c>
      <c r="B753" s="79">
        <f>IF(OR($T753="",$U753=""),IF($T753="","","Not on Firms tab"),INDEX(Firms!$B$5:$B$1004,$U753)&amp;"")</f>
        <v/>
      </c>
      <c r="C753" s="78">
        <f>IF($T753="","",IF($S753="S","Standard",INDEX('AFA Rates'!$B$5:$B$1004,$T753)&amp;""))</f>
        <v/>
      </c>
      <c r="D753" s="88">
        <f>IF($T753="","",IF($S753="S",IF(INDEX(Firms!$E$5:$E$1004,$T753)="","",INDEX(Firms!$E$5:$E$1004,$T753)),IF(INDEX('AFA Rates'!$C$5:$C$1004,$T753)="","",INDEX('AFA Rates'!$C$5:$C$1004,$T753))))</f>
        <v/>
      </c>
      <c r="E753" s="88">
        <f>IF($T753="","",IF($S753="S",IF(""="","",""),IF(INDEX('AFA Rates'!$D$5:$D$1004,$T753)="","",INDEX('AFA Rates'!$D$5:$D$1004,$T753))))</f>
        <v/>
      </c>
      <c r="F753" s="79">
        <f>IF($T753="","",IF($S753="S",IF(INDEX(Firms!$O$5:$O$1004,$T753)="","",INDEX(Firms!$O$5:$O$1004,$T753)),IF(INDEX('AFA Rates'!$O$5:$O$1004,$T753)="","",INDEX('AFA Rates'!$O$5:$O$1004,$T753))))</f>
        <v/>
      </c>
      <c r="G753" s="50">
        <f>IF($T753="","",IF($S753="S",IF(INDEX(Firms!$F$5:$F$1004,$T753)="","",INDEX(Firms!$F$5:$F$1004,$T753)),IF(INDEX('AFA Rates'!$E$5:$E$1004,$T753)="","",INDEX('AFA Rates'!$E$5:$E$1004,$T753))))</f>
        <v/>
      </c>
      <c r="H753" s="50">
        <f>IF($T753="","",IF($S753="S",IF(INDEX(Firms!$G$5:$G$1004,$T753)="","",INDEX(Firms!$G$5:$G$1004,$T753)),IF(INDEX('AFA Rates'!$F$5:$F$1004,$T753)="","",INDEX('AFA Rates'!$F$5:$F$1004,$T753))))</f>
        <v/>
      </c>
      <c r="I753" s="50">
        <f>IF($T753="","",IF($S753="S",IF(INDEX(Firms!$H$5:$H$1004,$T753)="","",INDEX(Firms!$H$5:$H$1004,$T753)),IF(INDEX('AFA Rates'!$G$5:$G$1004,$T753)="","",INDEX('AFA Rates'!$G$5:$G$1004,$T753))))</f>
        <v/>
      </c>
      <c r="J753" s="50">
        <f>IF($T753="","",IF($S753="S",IF(INDEX(Firms!$I$5:$I$1004,$T753)="","",INDEX(Firms!$I$5:$I$1004,$T753)),IF(INDEX('AFA Rates'!$H$5:$H$1004,$T753)="","",INDEX('AFA Rates'!$H$5:$H$1004,$T753))))</f>
        <v/>
      </c>
      <c r="K753" s="50">
        <f>IF($T753="","",IF($S753="S",IF(INDEX(Firms!$J$5:$J$1004,$T753)="","",INDEX(Firms!$J$5:$J$1004,$T753)),IF(INDEX('AFA Rates'!$I$5:$I$1004,$T753)="","",INDEX('AFA Rates'!$I$5:$I$1004,$T753))))</f>
        <v/>
      </c>
      <c r="L753" s="50">
        <f>IF($T753="","",IF($S753="S",IF(INDEX(Firms!$K$5:$K$1004,$T753)="","",INDEX(Firms!$K$5:$K$1004,$T753)),IF(INDEX('AFA Rates'!$J$5:$J$1004,$T753)="","",INDEX('AFA Rates'!$J$5:$J$1004,$T753))))</f>
        <v/>
      </c>
      <c r="M753" s="50">
        <f>IF($T753="","",IF($S753="S",IF(INDEX(Firms!$L$5:$L$1004,$T753)="","",INDEX(Firms!$L$5:$L$1004,$T753)),IF(INDEX('AFA Rates'!$K$5:$K$1004,$T753)="","",INDEX('AFA Rates'!$K$5:$K$1004,$T753))))</f>
        <v/>
      </c>
      <c r="N753" s="50">
        <f>IF($T753="","",IF($S753="S",IF(INDEX(Firms!$M$5:$M$1004,$T753)="","",INDEX(Firms!$M$5:$M$1004,$T753)),IF(INDEX('AFA Rates'!$L$5:$L$1004,$T753)="","",INDEX('AFA Rates'!$L$5:$L$1004,$T753))))</f>
        <v/>
      </c>
      <c r="O753" s="78">
        <f>IF(OR($T753="",$U753=""),"",IF(INDEX(Firms!$C$5:$C$1004,$U753)="","",INDEX(Firms!$C$5:$C$1004,$U753)))</f>
        <v/>
      </c>
      <c r="P753" s="79">
        <f>IF(OR($T753="",$U753=""),"",IF(INDEX(Firms!$N$5:$N$1004,$U753)="","",INDEX(Firms!$N$5:$N$1004,$U753)))</f>
        <v/>
      </c>
      <c r="Q753" s="78">
        <f>IF($T753="","",IF($S753="S",IF(INDEX(Firms!$T$5:$T$1004,$T753)="","",INDEX(Firms!$T$5:$T$1004,$T753)),IF(INDEX('AFA Rates'!$M$5:$M$1004,$T753)="","",INDEX('AFA Rates'!$M$5:$M$1004,$T753))))</f>
        <v/>
      </c>
      <c r="S753">
        <f>IF(749&lt;=$S$2,"S",IF(749&lt;=$S$2+$T$2,"A",""))</f>
        <v/>
      </c>
      <c r="T753">
        <f>IF(S753="S",MATCH(749,Firms!$W$5:$W$1004,0),IF(S753="A",IFERROR(MATCH(749-$S$2,'AFA Rates'!$R$5:$R$1004,0),""),""))</f>
        <v/>
      </c>
      <c r="U753">
        <f>IF(S753="S",T753,IF(AND(S753="A",T753&lt;&gt;""),IFERROR(MATCH(INDEX('AFA Rates'!$A$5:$A$1004,T753),Firms!$A$5:$A$1004,0),""),""))</f>
        <v/>
      </c>
    </row>
    <row r="754">
      <c r="A754" s="78">
        <f>IF($T754="","",IF($S754="S",IF(INDEX(Firms!$A$5:$A$1004,$T754)="","",INDEX(Firms!$A$5:$A$1004,$T754)),IF(INDEX('AFA Rates'!$A$5:$A$1004,$T754)="","",INDEX('AFA Rates'!$A$5:$A$1004,$T754))))</f>
        <v/>
      </c>
      <c r="B754" s="79">
        <f>IF(OR($T754="",$U754=""),IF($T754="","","Not on Firms tab"),INDEX(Firms!$B$5:$B$1004,$U754)&amp;"")</f>
        <v/>
      </c>
      <c r="C754" s="78">
        <f>IF($T754="","",IF($S754="S","Standard",INDEX('AFA Rates'!$B$5:$B$1004,$T754)&amp;""))</f>
        <v/>
      </c>
      <c r="D754" s="88">
        <f>IF($T754="","",IF($S754="S",IF(INDEX(Firms!$E$5:$E$1004,$T754)="","",INDEX(Firms!$E$5:$E$1004,$T754)),IF(INDEX('AFA Rates'!$C$5:$C$1004,$T754)="","",INDEX('AFA Rates'!$C$5:$C$1004,$T754))))</f>
        <v/>
      </c>
      <c r="E754" s="88">
        <f>IF($T754="","",IF($S754="S",IF(""="","",""),IF(INDEX('AFA Rates'!$D$5:$D$1004,$T754)="","",INDEX('AFA Rates'!$D$5:$D$1004,$T754))))</f>
        <v/>
      </c>
      <c r="F754" s="79">
        <f>IF($T754="","",IF($S754="S",IF(INDEX(Firms!$O$5:$O$1004,$T754)="","",INDEX(Firms!$O$5:$O$1004,$T754)),IF(INDEX('AFA Rates'!$O$5:$O$1004,$T754)="","",INDEX('AFA Rates'!$O$5:$O$1004,$T754))))</f>
        <v/>
      </c>
      <c r="G754" s="50">
        <f>IF($T754="","",IF($S754="S",IF(INDEX(Firms!$F$5:$F$1004,$T754)="","",INDEX(Firms!$F$5:$F$1004,$T754)),IF(INDEX('AFA Rates'!$E$5:$E$1004,$T754)="","",INDEX('AFA Rates'!$E$5:$E$1004,$T754))))</f>
        <v/>
      </c>
      <c r="H754" s="50">
        <f>IF($T754="","",IF($S754="S",IF(INDEX(Firms!$G$5:$G$1004,$T754)="","",INDEX(Firms!$G$5:$G$1004,$T754)),IF(INDEX('AFA Rates'!$F$5:$F$1004,$T754)="","",INDEX('AFA Rates'!$F$5:$F$1004,$T754))))</f>
        <v/>
      </c>
      <c r="I754" s="50">
        <f>IF($T754="","",IF($S754="S",IF(INDEX(Firms!$H$5:$H$1004,$T754)="","",INDEX(Firms!$H$5:$H$1004,$T754)),IF(INDEX('AFA Rates'!$G$5:$G$1004,$T754)="","",INDEX('AFA Rates'!$G$5:$G$1004,$T754))))</f>
        <v/>
      </c>
      <c r="J754" s="50">
        <f>IF($T754="","",IF($S754="S",IF(INDEX(Firms!$I$5:$I$1004,$T754)="","",INDEX(Firms!$I$5:$I$1004,$T754)),IF(INDEX('AFA Rates'!$H$5:$H$1004,$T754)="","",INDEX('AFA Rates'!$H$5:$H$1004,$T754))))</f>
        <v/>
      </c>
      <c r="K754" s="50">
        <f>IF($T754="","",IF($S754="S",IF(INDEX(Firms!$J$5:$J$1004,$T754)="","",INDEX(Firms!$J$5:$J$1004,$T754)),IF(INDEX('AFA Rates'!$I$5:$I$1004,$T754)="","",INDEX('AFA Rates'!$I$5:$I$1004,$T754))))</f>
        <v/>
      </c>
      <c r="L754" s="50">
        <f>IF($T754="","",IF($S754="S",IF(INDEX(Firms!$K$5:$K$1004,$T754)="","",INDEX(Firms!$K$5:$K$1004,$T754)),IF(INDEX('AFA Rates'!$J$5:$J$1004,$T754)="","",INDEX('AFA Rates'!$J$5:$J$1004,$T754))))</f>
        <v/>
      </c>
      <c r="M754" s="50">
        <f>IF($T754="","",IF($S754="S",IF(INDEX(Firms!$L$5:$L$1004,$T754)="","",INDEX(Firms!$L$5:$L$1004,$T754)),IF(INDEX('AFA Rates'!$K$5:$K$1004,$T754)="","",INDEX('AFA Rates'!$K$5:$K$1004,$T754))))</f>
        <v/>
      </c>
      <c r="N754" s="50">
        <f>IF($T754="","",IF($S754="S",IF(INDEX(Firms!$M$5:$M$1004,$T754)="","",INDEX(Firms!$M$5:$M$1004,$T754)),IF(INDEX('AFA Rates'!$L$5:$L$1004,$T754)="","",INDEX('AFA Rates'!$L$5:$L$1004,$T754))))</f>
        <v/>
      </c>
      <c r="O754" s="78">
        <f>IF(OR($T754="",$U754=""),"",IF(INDEX(Firms!$C$5:$C$1004,$U754)="","",INDEX(Firms!$C$5:$C$1004,$U754)))</f>
        <v/>
      </c>
      <c r="P754" s="79">
        <f>IF(OR($T754="",$U754=""),"",IF(INDEX(Firms!$N$5:$N$1004,$U754)="","",INDEX(Firms!$N$5:$N$1004,$U754)))</f>
        <v/>
      </c>
      <c r="Q754" s="78">
        <f>IF($T754="","",IF($S754="S",IF(INDEX(Firms!$T$5:$T$1004,$T754)="","",INDEX(Firms!$T$5:$T$1004,$T754)),IF(INDEX('AFA Rates'!$M$5:$M$1004,$T754)="","",INDEX('AFA Rates'!$M$5:$M$1004,$T754))))</f>
        <v/>
      </c>
      <c r="S754">
        <f>IF(750&lt;=$S$2,"S",IF(750&lt;=$S$2+$T$2,"A",""))</f>
        <v/>
      </c>
      <c r="T754">
        <f>IF(S754="S",MATCH(750,Firms!$W$5:$W$1004,0),IF(S754="A",IFERROR(MATCH(750-$S$2,'AFA Rates'!$R$5:$R$1004,0),""),""))</f>
        <v/>
      </c>
      <c r="U754">
        <f>IF(S754="S",T754,IF(AND(S754="A",T754&lt;&gt;""),IFERROR(MATCH(INDEX('AFA Rates'!$A$5:$A$1004,T754),Firms!$A$5:$A$1004,0),""),""))</f>
        <v/>
      </c>
    </row>
    <row r="755">
      <c r="A755" s="78">
        <f>IF($T755="","",IF($S755="S",IF(INDEX(Firms!$A$5:$A$1004,$T755)="","",INDEX(Firms!$A$5:$A$1004,$T755)),IF(INDEX('AFA Rates'!$A$5:$A$1004,$T755)="","",INDEX('AFA Rates'!$A$5:$A$1004,$T755))))</f>
        <v/>
      </c>
      <c r="B755" s="79">
        <f>IF(OR($T755="",$U755=""),IF($T755="","","Not on Firms tab"),INDEX(Firms!$B$5:$B$1004,$U755)&amp;"")</f>
        <v/>
      </c>
      <c r="C755" s="78">
        <f>IF($T755="","",IF($S755="S","Standard",INDEX('AFA Rates'!$B$5:$B$1004,$T755)&amp;""))</f>
        <v/>
      </c>
      <c r="D755" s="88">
        <f>IF($T755="","",IF($S755="S",IF(INDEX(Firms!$E$5:$E$1004,$T755)="","",INDEX(Firms!$E$5:$E$1004,$T755)),IF(INDEX('AFA Rates'!$C$5:$C$1004,$T755)="","",INDEX('AFA Rates'!$C$5:$C$1004,$T755))))</f>
        <v/>
      </c>
      <c r="E755" s="88">
        <f>IF($T755="","",IF($S755="S",IF(""="","",""),IF(INDEX('AFA Rates'!$D$5:$D$1004,$T755)="","",INDEX('AFA Rates'!$D$5:$D$1004,$T755))))</f>
        <v/>
      </c>
      <c r="F755" s="79">
        <f>IF($T755="","",IF($S755="S",IF(INDEX(Firms!$O$5:$O$1004,$T755)="","",INDEX(Firms!$O$5:$O$1004,$T755)),IF(INDEX('AFA Rates'!$O$5:$O$1004,$T755)="","",INDEX('AFA Rates'!$O$5:$O$1004,$T755))))</f>
        <v/>
      </c>
      <c r="G755" s="50">
        <f>IF($T755="","",IF($S755="S",IF(INDEX(Firms!$F$5:$F$1004,$T755)="","",INDEX(Firms!$F$5:$F$1004,$T755)),IF(INDEX('AFA Rates'!$E$5:$E$1004,$T755)="","",INDEX('AFA Rates'!$E$5:$E$1004,$T755))))</f>
        <v/>
      </c>
      <c r="H755" s="50">
        <f>IF($T755="","",IF($S755="S",IF(INDEX(Firms!$G$5:$G$1004,$T755)="","",INDEX(Firms!$G$5:$G$1004,$T755)),IF(INDEX('AFA Rates'!$F$5:$F$1004,$T755)="","",INDEX('AFA Rates'!$F$5:$F$1004,$T755))))</f>
        <v/>
      </c>
      <c r="I755" s="50">
        <f>IF($T755="","",IF($S755="S",IF(INDEX(Firms!$H$5:$H$1004,$T755)="","",INDEX(Firms!$H$5:$H$1004,$T755)),IF(INDEX('AFA Rates'!$G$5:$G$1004,$T755)="","",INDEX('AFA Rates'!$G$5:$G$1004,$T755))))</f>
        <v/>
      </c>
      <c r="J755" s="50">
        <f>IF($T755="","",IF($S755="S",IF(INDEX(Firms!$I$5:$I$1004,$T755)="","",INDEX(Firms!$I$5:$I$1004,$T755)),IF(INDEX('AFA Rates'!$H$5:$H$1004,$T755)="","",INDEX('AFA Rates'!$H$5:$H$1004,$T755))))</f>
        <v/>
      </c>
      <c r="K755" s="50">
        <f>IF($T755="","",IF($S755="S",IF(INDEX(Firms!$J$5:$J$1004,$T755)="","",INDEX(Firms!$J$5:$J$1004,$T755)),IF(INDEX('AFA Rates'!$I$5:$I$1004,$T755)="","",INDEX('AFA Rates'!$I$5:$I$1004,$T755))))</f>
        <v/>
      </c>
      <c r="L755" s="50">
        <f>IF($T755="","",IF($S755="S",IF(INDEX(Firms!$K$5:$K$1004,$T755)="","",INDEX(Firms!$K$5:$K$1004,$T755)),IF(INDEX('AFA Rates'!$J$5:$J$1004,$T755)="","",INDEX('AFA Rates'!$J$5:$J$1004,$T755))))</f>
        <v/>
      </c>
      <c r="M755" s="50">
        <f>IF($T755="","",IF($S755="S",IF(INDEX(Firms!$L$5:$L$1004,$T755)="","",INDEX(Firms!$L$5:$L$1004,$T755)),IF(INDEX('AFA Rates'!$K$5:$K$1004,$T755)="","",INDEX('AFA Rates'!$K$5:$K$1004,$T755))))</f>
        <v/>
      </c>
      <c r="N755" s="50">
        <f>IF($T755="","",IF($S755="S",IF(INDEX(Firms!$M$5:$M$1004,$T755)="","",INDEX(Firms!$M$5:$M$1004,$T755)),IF(INDEX('AFA Rates'!$L$5:$L$1004,$T755)="","",INDEX('AFA Rates'!$L$5:$L$1004,$T755))))</f>
        <v/>
      </c>
      <c r="O755" s="78">
        <f>IF(OR($T755="",$U755=""),"",IF(INDEX(Firms!$C$5:$C$1004,$U755)="","",INDEX(Firms!$C$5:$C$1004,$U755)))</f>
        <v/>
      </c>
      <c r="P755" s="79">
        <f>IF(OR($T755="",$U755=""),"",IF(INDEX(Firms!$N$5:$N$1004,$U755)="","",INDEX(Firms!$N$5:$N$1004,$U755)))</f>
        <v/>
      </c>
      <c r="Q755" s="78">
        <f>IF($T755="","",IF($S755="S",IF(INDEX(Firms!$T$5:$T$1004,$T755)="","",INDEX(Firms!$T$5:$T$1004,$T755)),IF(INDEX('AFA Rates'!$M$5:$M$1004,$T755)="","",INDEX('AFA Rates'!$M$5:$M$1004,$T755))))</f>
        <v/>
      </c>
      <c r="S755">
        <f>IF(751&lt;=$S$2,"S",IF(751&lt;=$S$2+$T$2,"A",""))</f>
        <v/>
      </c>
      <c r="T755">
        <f>IF(S755="S",MATCH(751,Firms!$W$5:$W$1004,0),IF(S755="A",IFERROR(MATCH(751-$S$2,'AFA Rates'!$R$5:$R$1004,0),""),""))</f>
        <v/>
      </c>
      <c r="U755">
        <f>IF(S755="S",T755,IF(AND(S755="A",T755&lt;&gt;""),IFERROR(MATCH(INDEX('AFA Rates'!$A$5:$A$1004,T755),Firms!$A$5:$A$1004,0),""),""))</f>
        <v/>
      </c>
    </row>
    <row r="756">
      <c r="A756" s="78">
        <f>IF($T756="","",IF($S756="S",IF(INDEX(Firms!$A$5:$A$1004,$T756)="","",INDEX(Firms!$A$5:$A$1004,$T756)),IF(INDEX('AFA Rates'!$A$5:$A$1004,$T756)="","",INDEX('AFA Rates'!$A$5:$A$1004,$T756))))</f>
        <v/>
      </c>
      <c r="B756" s="79">
        <f>IF(OR($T756="",$U756=""),IF($T756="","","Not on Firms tab"),INDEX(Firms!$B$5:$B$1004,$U756)&amp;"")</f>
        <v/>
      </c>
      <c r="C756" s="78">
        <f>IF($T756="","",IF($S756="S","Standard",INDEX('AFA Rates'!$B$5:$B$1004,$T756)&amp;""))</f>
        <v/>
      </c>
      <c r="D756" s="88">
        <f>IF($T756="","",IF($S756="S",IF(INDEX(Firms!$E$5:$E$1004,$T756)="","",INDEX(Firms!$E$5:$E$1004,$T756)),IF(INDEX('AFA Rates'!$C$5:$C$1004,$T756)="","",INDEX('AFA Rates'!$C$5:$C$1004,$T756))))</f>
        <v/>
      </c>
      <c r="E756" s="88">
        <f>IF($T756="","",IF($S756="S",IF(""="","",""),IF(INDEX('AFA Rates'!$D$5:$D$1004,$T756)="","",INDEX('AFA Rates'!$D$5:$D$1004,$T756))))</f>
        <v/>
      </c>
      <c r="F756" s="79">
        <f>IF($T756="","",IF($S756="S",IF(INDEX(Firms!$O$5:$O$1004,$T756)="","",INDEX(Firms!$O$5:$O$1004,$T756)),IF(INDEX('AFA Rates'!$O$5:$O$1004,$T756)="","",INDEX('AFA Rates'!$O$5:$O$1004,$T756))))</f>
        <v/>
      </c>
      <c r="G756" s="50">
        <f>IF($T756="","",IF($S756="S",IF(INDEX(Firms!$F$5:$F$1004,$T756)="","",INDEX(Firms!$F$5:$F$1004,$T756)),IF(INDEX('AFA Rates'!$E$5:$E$1004,$T756)="","",INDEX('AFA Rates'!$E$5:$E$1004,$T756))))</f>
        <v/>
      </c>
      <c r="H756" s="50">
        <f>IF($T756="","",IF($S756="S",IF(INDEX(Firms!$G$5:$G$1004,$T756)="","",INDEX(Firms!$G$5:$G$1004,$T756)),IF(INDEX('AFA Rates'!$F$5:$F$1004,$T756)="","",INDEX('AFA Rates'!$F$5:$F$1004,$T756))))</f>
        <v/>
      </c>
      <c r="I756" s="50">
        <f>IF($T756="","",IF($S756="S",IF(INDEX(Firms!$H$5:$H$1004,$T756)="","",INDEX(Firms!$H$5:$H$1004,$T756)),IF(INDEX('AFA Rates'!$G$5:$G$1004,$T756)="","",INDEX('AFA Rates'!$G$5:$G$1004,$T756))))</f>
        <v/>
      </c>
      <c r="J756" s="50">
        <f>IF($T756="","",IF($S756="S",IF(INDEX(Firms!$I$5:$I$1004,$T756)="","",INDEX(Firms!$I$5:$I$1004,$T756)),IF(INDEX('AFA Rates'!$H$5:$H$1004,$T756)="","",INDEX('AFA Rates'!$H$5:$H$1004,$T756))))</f>
        <v/>
      </c>
      <c r="K756" s="50">
        <f>IF($T756="","",IF($S756="S",IF(INDEX(Firms!$J$5:$J$1004,$T756)="","",INDEX(Firms!$J$5:$J$1004,$T756)),IF(INDEX('AFA Rates'!$I$5:$I$1004,$T756)="","",INDEX('AFA Rates'!$I$5:$I$1004,$T756))))</f>
        <v/>
      </c>
      <c r="L756" s="50">
        <f>IF($T756="","",IF($S756="S",IF(INDEX(Firms!$K$5:$K$1004,$T756)="","",INDEX(Firms!$K$5:$K$1004,$T756)),IF(INDEX('AFA Rates'!$J$5:$J$1004,$T756)="","",INDEX('AFA Rates'!$J$5:$J$1004,$T756))))</f>
        <v/>
      </c>
      <c r="M756" s="50">
        <f>IF($T756="","",IF($S756="S",IF(INDEX(Firms!$L$5:$L$1004,$T756)="","",INDEX(Firms!$L$5:$L$1004,$T756)),IF(INDEX('AFA Rates'!$K$5:$K$1004,$T756)="","",INDEX('AFA Rates'!$K$5:$K$1004,$T756))))</f>
        <v/>
      </c>
      <c r="N756" s="50">
        <f>IF($T756="","",IF($S756="S",IF(INDEX(Firms!$M$5:$M$1004,$T756)="","",INDEX(Firms!$M$5:$M$1004,$T756)),IF(INDEX('AFA Rates'!$L$5:$L$1004,$T756)="","",INDEX('AFA Rates'!$L$5:$L$1004,$T756))))</f>
        <v/>
      </c>
      <c r="O756" s="78">
        <f>IF(OR($T756="",$U756=""),"",IF(INDEX(Firms!$C$5:$C$1004,$U756)="","",INDEX(Firms!$C$5:$C$1004,$U756)))</f>
        <v/>
      </c>
      <c r="P756" s="79">
        <f>IF(OR($T756="",$U756=""),"",IF(INDEX(Firms!$N$5:$N$1004,$U756)="","",INDEX(Firms!$N$5:$N$1004,$U756)))</f>
        <v/>
      </c>
      <c r="Q756" s="78">
        <f>IF($T756="","",IF($S756="S",IF(INDEX(Firms!$T$5:$T$1004,$T756)="","",INDEX(Firms!$T$5:$T$1004,$T756)),IF(INDEX('AFA Rates'!$M$5:$M$1004,$T756)="","",INDEX('AFA Rates'!$M$5:$M$1004,$T756))))</f>
        <v/>
      </c>
      <c r="S756">
        <f>IF(752&lt;=$S$2,"S",IF(752&lt;=$S$2+$T$2,"A",""))</f>
        <v/>
      </c>
      <c r="T756">
        <f>IF(S756="S",MATCH(752,Firms!$W$5:$W$1004,0),IF(S756="A",IFERROR(MATCH(752-$S$2,'AFA Rates'!$R$5:$R$1004,0),""),""))</f>
        <v/>
      </c>
      <c r="U756">
        <f>IF(S756="S",T756,IF(AND(S756="A",T756&lt;&gt;""),IFERROR(MATCH(INDEX('AFA Rates'!$A$5:$A$1004,T756),Firms!$A$5:$A$1004,0),""),""))</f>
        <v/>
      </c>
    </row>
    <row r="757">
      <c r="A757" s="78">
        <f>IF($T757="","",IF($S757="S",IF(INDEX(Firms!$A$5:$A$1004,$T757)="","",INDEX(Firms!$A$5:$A$1004,$T757)),IF(INDEX('AFA Rates'!$A$5:$A$1004,$T757)="","",INDEX('AFA Rates'!$A$5:$A$1004,$T757))))</f>
        <v/>
      </c>
      <c r="B757" s="79">
        <f>IF(OR($T757="",$U757=""),IF($T757="","","Not on Firms tab"),INDEX(Firms!$B$5:$B$1004,$U757)&amp;"")</f>
        <v/>
      </c>
      <c r="C757" s="78">
        <f>IF($T757="","",IF($S757="S","Standard",INDEX('AFA Rates'!$B$5:$B$1004,$T757)&amp;""))</f>
        <v/>
      </c>
      <c r="D757" s="88">
        <f>IF($T757="","",IF($S757="S",IF(INDEX(Firms!$E$5:$E$1004,$T757)="","",INDEX(Firms!$E$5:$E$1004,$T757)),IF(INDEX('AFA Rates'!$C$5:$C$1004,$T757)="","",INDEX('AFA Rates'!$C$5:$C$1004,$T757))))</f>
        <v/>
      </c>
      <c r="E757" s="88">
        <f>IF($T757="","",IF($S757="S",IF(""="","",""),IF(INDEX('AFA Rates'!$D$5:$D$1004,$T757)="","",INDEX('AFA Rates'!$D$5:$D$1004,$T757))))</f>
        <v/>
      </c>
      <c r="F757" s="79">
        <f>IF($T757="","",IF($S757="S",IF(INDEX(Firms!$O$5:$O$1004,$T757)="","",INDEX(Firms!$O$5:$O$1004,$T757)),IF(INDEX('AFA Rates'!$O$5:$O$1004,$T757)="","",INDEX('AFA Rates'!$O$5:$O$1004,$T757))))</f>
        <v/>
      </c>
      <c r="G757" s="50">
        <f>IF($T757="","",IF($S757="S",IF(INDEX(Firms!$F$5:$F$1004,$T757)="","",INDEX(Firms!$F$5:$F$1004,$T757)),IF(INDEX('AFA Rates'!$E$5:$E$1004,$T757)="","",INDEX('AFA Rates'!$E$5:$E$1004,$T757))))</f>
        <v/>
      </c>
      <c r="H757" s="50">
        <f>IF($T757="","",IF($S757="S",IF(INDEX(Firms!$G$5:$G$1004,$T757)="","",INDEX(Firms!$G$5:$G$1004,$T757)),IF(INDEX('AFA Rates'!$F$5:$F$1004,$T757)="","",INDEX('AFA Rates'!$F$5:$F$1004,$T757))))</f>
        <v/>
      </c>
      <c r="I757" s="50">
        <f>IF($T757="","",IF($S757="S",IF(INDEX(Firms!$H$5:$H$1004,$T757)="","",INDEX(Firms!$H$5:$H$1004,$T757)),IF(INDEX('AFA Rates'!$G$5:$G$1004,$T757)="","",INDEX('AFA Rates'!$G$5:$G$1004,$T757))))</f>
        <v/>
      </c>
      <c r="J757" s="50">
        <f>IF($T757="","",IF($S757="S",IF(INDEX(Firms!$I$5:$I$1004,$T757)="","",INDEX(Firms!$I$5:$I$1004,$T757)),IF(INDEX('AFA Rates'!$H$5:$H$1004,$T757)="","",INDEX('AFA Rates'!$H$5:$H$1004,$T757))))</f>
        <v/>
      </c>
      <c r="K757" s="50">
        <f>IF($T757="","",IF($S757="S",IF(INDEX(Firms!$J$5:$J$1004,$T757)="","",INDEX(Firms!$J$5:$J$1004,$T757)),IF(INDEX('AFA Rates'!$I$5:$I$1004,$T757)="","",INDEX('AFA Rates'!$I$5:$I$1004,$T757))))</f>
        <v/>
      </c>
      <c r="L757" s="50">
        <f>IF($T757="","",IF($S757="S",IF(INDEX(Firms!$K$5:$K$1004,$T757)="","",INDEX(Firms!$K$5:$K$1004,$T757)),IF(INDEX('AFA Rates'!$J$5:$J$1004,$T757)="","",INDEX('AFA Rates'!$J$5:$J$1004,$T757))))</f>
        <v/>
      </c>
      <c r="M757" s="50">
        <f>IF($T757="","",IF($S757="S",IF(INDEX(Firms!$L$5:$L$1004,$T757)="","",INDEX(Firms!$L$5:$L$1004,$T757)),IF(INDEX('AFA Rates'!$K$5:$K$1004,$T757)="","",INDEX('AFA Rates'!$K$5:$K$1004,$T757))))</f>
        <v/>
      </c>
      <c r="N757" s="50">
        <f>IF($T757="","",IF($S757="S",IF(INDEX(Firms!$M$5:$M$1004,$T757)="","",INDEX(Firms!$M$5:$M$1004,$T757)),IF(INDEX('AFA Rates'!$L$5:$L$1004,$T757)="","",INDEX('AFA Rates'!$L$5:$L$1004,$T757))))</f>
        <v/>
      </c>
      <c r="O757" s="78">
        <f>IF(OR($T757="",$U757=""),"",IF(INDEX(Firms!$C$5:$C$1004,$U757)="","",INDEX(Firms!$C$5:$C$1004,$U757)))</f>
        <v/>
      </c>
      <c r="P757" s="79">
        <f>IF(OR($T757="",$U757=""),"",IF(INDEX(Firms!$N$5:$N$1004,$U757)="","",INDEX(Firms!$N$5:$N$1004,$U757)))</f>
        <v/>
      </c>
      <c r="Q757" s="78">
        <f>IF($T757="","",IF($S757="S",IF(INDEX(Firms!$T$5:$T$1004,$T757)="","",INDEX(Firms!$T$5:$T$1004,$T757)),IF(INDEX('AFA Rates'!$M$5:$M$1004,$T757)="","",INDEX('AFA Rates'!$M$5:$M$1004,$T757))))</f>
        <v/>
      </c>
      <c r="S757">
        <f>IF(753&lt;=$S$2,"S",IF(753&lt;=$S$2+$T$2,"A",""))</f>
        <v/>
      </c>
      <c r="T757">
        <f>IF(S757="S",MATCH(753,Firms!$W$5:$W$1004,0),IF(S757="A",IFERROR(MATCH(753-$S$2,'AFA Rates'!$R$5:$R$1004,0),""),""))</f>
        <v/>
      </c>
      <c r="U757">
        <f>IF(S757="S",T757,IF(AND(S757="A",T757&lt;&gt;""),IFERROR(MATCH(INDEX('AFA Rates'!$A$5:$A$1004,T757),Firms!$A$5:$A$1004,0),""),""))</f>
        <v/>
      </c>
    </row>
    <row r="758">
      <c r="A758" s="78">
        <f>IF($T758="","",IF($S758="S",IF(INDEX(Firms!$A$5:$A$1004,$T758)="","",INDEX(Firms!$A$5:$A$1004,$T758)),IF(INDEX('AFA Rates'!$A$5:$A$1004,$T758)="","",INDEX('AFA Rates'!$A$5:$A$1004,$T758))))</f>
        <v/>
      </c>
      <c r="B758" s="79">
        <f>IF(OR($T758="",$U758=""),IF($T758="","","Not on Firms tab"),INDEX(Firms!$B$5:$B$1004,$U758)&amp;"")</f>
        <v/>
      </c>
      <c r="C758" s="78">
        <f>IF($T758="","",IF($S758="S","Standard",INDEX('AFA Rates'!$B$5:$B$1004,$T758)&amp;""))</f>
        <v/>
      </c>
      <c r="D758" s="88">
        <f>IF($T758="","",IF($S758="S",IF(INDEX(Firms!$E$5:$E$1004,$T758)="","",INDEX(Firms!$E$5:$E$1004,$T758)),IF(INDEX('AFA Rates'!$C$5:$C$1004,$T758)="","",INDEX('AFA Rates'!$C$5:$C$1004,$T758))))</f>
        <v/>
      </c>
      <c r="E758" s="88">
        <f>IF($T758="","",IF($S758="S",IF(""="","",""),IF(INDEX('AFA Rates'!$D$5:$D$1004,$T758)="","",INDEX('AFA Rates'!$D$5:$D$1004,$T758))))</f>
        <v/>
      </c>
      <c r="F758" s="79">
        <f>IF($T758="","",IF($S758="S",IF(INDEX(Firms!$O$5:$O$1004,$T758)="","",INDEX(Firms!$O$5:$O$1004,$T758)),IF(INDEX('AFA Rates'!$O$5:$O$1004,$T758)="","",INDEX('AFA Rates'!$O$5:$O$1004,$T758))))</f>
        <v/>
      </c>
      <c r="G758" s="50">
        <f>IF($T758="","",IF($S758="S",IF(INDEX(Firms!$F$5:$F$1004,$T758)="","",INDEX(Firms!$F$5:$F$1004,$T758)),IF(INDEX('AFA Rates'!$E$5:$E$1004,$T758)="","",INDEX('AFA Rates'!$E$5:$E$1004,$T758))))</f>
        <v/>
      </c>
      <c r="H758" s="50">
        <f>IF($T758="","",IF($S758="S",IF(INDEX(Firms!$G$5:$G$1004,$T758)="","",INDEX(Firms!$G$5:$G$1004,$T758)),IF(INDEX('AFA Rates'!$F$5:$F$1004,$T758)="","",INDEX('AFA Rates'!$F$5:$F$1004,$T758))))</f>
        <v/>
      </c>
      <c r="I758" s="50">
        <f>IF($T758="","",IF($S758="S",IF(INDEX(Firms!$H$5:$H$1004,$T758)="","",INDEX(Firms!$H$5:$H$1004,$T758)),IF(INDEX('AFA Rates'!$G$5:$G$1004,$T758)="","",INDEX('AFA Rates'!$G$5:$G$1004,$T758))))</f>
        <v/>
      </c>
      <c r="J758" s="50">
        <f>IF($T758="","",IF($S758="S",IF(INDEX(Firms!$I$5:$I$1004,$T758)="","",INDEX(Firms!$I$5:$I$1004,$T758)),IF(INDEX('AFA Rates'!$H$5:$H$1004,$T758)="","",INDEX('AFA Rates'!$H$5:$H$1004,$T758))))</f>
        <v/>
      </c>
      <c r="K758" s="50">
        <f>IF($T758="","",IF($S758="S",IF(INDEX(Firms!$J$5:$J$1004,$T758)="","",INDEX(Firms!$J$5:$J$1004,$T758)),IF(INDEX('AFA Rates'!$I$5:$I$1004,$T758)="","",INDEX('AFA Rates'!$I$5:$I$1004,$T758))))</f>
        <v/>
      </c>
      <c r="L758" s="50">
        <f>IF($T758="","",IF($S758="S",IF(INDEX(Firms!$K$5:$K$1004,$T758)="","",INDEX(Firms!$K$5:$K$1004,$T758)),IF(INDEX('AFA Rates'!$J$5:$J$1004,$T758)="","",INDEX('AFA Rates'!$J$5:$J$1004,$T758))))</f>
        <v/>
      </c>
      <c r="M758" s="50">
        <f>IF($T758="","",IF($S758="S",IF(INDEX(Firms!$L$5:$L$1004,$T758)="","",INDEX(Firms!$L$5:$L$1004,$T758)),IF(INDEX('AFA Rates'!$K$5:$K$1004,$T758)="","",INDEX('AFA Rates'!$K$5:$K$1004,$T758))))</f>
        <v/>
      </c>
      <c r="N758" s="50">
        <f>IF($T758="","",IF($S758="S",IF(INDEX(Firms!$M$5:$M$1004,$T758)="","",INDEX(Firms!$M$5:$M$1004,$T758)),IF(INDEX('AFA Rates'!$L$5:$L$1004,$T758)="","",INDEX('AFA Rates'!$L$5:$L$1004,$T758))))</f>
        <v/>
      </c>
      <c r="O758" s="78">
        <f>IF(OR($T758="",$U758=""),"",IF(INDEX(Firms!$C$5:$C$1004,$U758)="","",INDEX(Firms!$C$5:$C$1004,$U758)))</f>
        <v/>
      </c>
      <c r="P758" s="79">
        <f>IF(OR($T758="",$U758=""),"",IF(INDEX(Firms!$N$5:$N$1004,$U758)="","",INDEX(Firms!$N$5:$N$1004,$U758)))</f>
        <v/>
      </c>
      <c r="Q758" s="78">
        <f>IF($T758="","",IF($S758="S",IF(INDEX(Firms!$T$5:$T$1004,$T758)="","",INDEX(Firms!$T$5:$T$1004,$T758)),IF(INDEX('AFA Rates'!$M$5:$M$1004,$T758)="","",INDEX('AFA Rates'!$M$5:$M$1004,$T758))))</f>
        <v/>
      </c>
      <c r="S758">
        <f>IF(754&lt;=$S$2,"S",IF(754&lt;=$S$2+$T$2,"A",""))</f>
        <v/>
      </c>
      <c r="T758">
        <f>IF(S758="S",MATCH(754,Firms!$W$5:$W$1004,0),IF(S758="A",IFERROR(MATCH(754-$S$2,'AFA Rates'!$R$5:$R$1004,0),""),""))</f>
        <v/>
      </c>
      <c r="U758">
        <f>IF(S758="S",T758,IF(AND(S758="A",T758&lt;&gt;""),IFERROR(MATCH(INDEX('AFA Rates'!$A$5:$A$1004,T758),Firms!$A$5:$A$1004,0),""),""))</f>
        <v/>
      </c>
    </row>
    <row r="759">
      <c r="A759" s="78">
        <f>IF($T759="","",IF($S759="S",IF(INDEX(Firms!$A$5:$A$1004,$T759)="","",INDEX(Firms!$A$5:$A$1004,$T759)),IF(INDEX('AFA Rates'!$A$5:$A$1004,$T759)="","",INDEX('AFA Rates'!$A$5:$A$1004,$T759))))</f>
        <v/>
      </c>
      <c r="B759" s="79">
        <f>IF(OR($T759="",$U759=""),IF($T759="","","Not on Firms tab"),INDEX(Firms!$B$5:$B$1004,$U759)&amp;"")</f>
        <v/>
      </c>
      <c r="C759" s="78">
        <f>IF($T759="","",IF($S759="S","Standard",INDEX('AFA Rates'!$B$5:$B$1004,$T759)&amp;""))</f>
        <v/>
      </c>
      <c r="D759" s="88">
        <f>IF($T759="","",IF($S759="S",IF(INDEX(Firms!$E$5:$E$1004,$T759)="","",INDEX(Firms!$E$5:$E$1004,$T759)),IF(INDEX('AFA Rates'!$C$5:$C$1004,$T759)="","",INDEX('AFA Rates'!$C$5:$C$1004,$T759))))</f>
        <v/>
      </c>
      <c r="E759" s="88">
        <f>IF($T759="","",IF($S759="S",IF(""="","",""),IF(INDEX('AFA Rates'!$D$5:$D$1004,$T759)="","",INDEX('AFA Rates'!$D$5:$D$1004,$T759))))</f>
        <v/>
      </c>
      <c r="F759" s="79">
        <f>IF($T759="","",IF($S759="S",IF(INDEX(Firms!$O$5:$O$1004,$T759)="","",INDEX(Firms!$O$5:$O$1004,$T759)),IF(INDEX('AFA Rates'!$O$5:$O$1004,$T759)="","",INDEX('AFA Rates'!$O$5:$O$1004,$T759))))</f>
        <v/>
      </c>
      <c r="G759" s="50">
        <f>IF($T759="","",IF($S759="S",IF(INDEX(Firms!$F$5:$F$1004,$T759)="","",INDEX(Firms!$F$5:$F$1004,$T759)),IF(INDEX('AFA Rates'!$E$5:$E$1004,$T759)="","",INDEX('AFA Rates'!$E$5:$E$1004,$T759))))</f>
        <v/>
      </c>
      <c r="H759" s="50">
        <f>IF($T759="","",IF($S759="S",IF(INDEX(Firms!$G$5:$G$1004,$T759)="","",INDEX(Firms!$G$5:$G$1004,$T759)),IF(INDEX('AFA Rates'!$F$5:$F$1004,$T759)="","",INDEX('AFA Rates'!$F$5:$F$1004,$T759))))</f>
        <v/>
      </c>
      <c r="I759" s="50">
        <f>IF($T759="","",IF($S759="S",IF(INDEX(Firms!$H$5:$H$1004,$T759)="","",INDEX(Firms!$H$5:$H$1004,$T759)),IF(INDEX('AFA Rates'!$G$5:$G$1004,$T759)="","",INDEX('AFA Rates'!$G$5:$G$1004,$T759))))</f>
        <v/>
      </c>
      <c r="J759" s="50">
        <f>IF($T759="","",IF($S759="S",IF(INDEX(Firms!$I$5:$I$1004,$T759)="","",INDEX(Firms!$I$5:$I$1004,$T759)),IF(INDEX('AFA Rates'!$H$5:$H$1004,$T759)="","",INDEX('AFA Rates'!$H$5:$H$1004,$T759))))</f>
        <v/>
      </c>
      <c r="K759" s="50">
        <f>IF($T759="","",IF($S759="S",IF(INDEX(Firms!$J$5:$J$1004,$T759)="","",INDEX(Firms!$J$5:$J$1004,$T759)),IF(INDEX('AFA Rates'!$I$5:$I$1004,$T759)="","",INDEX('AFA Rates'!$I$5:$I$1004,$T759))))</f>
        <v/>
      </c>
      <c r="L759" s="50">
        <f>IF($T759="","",IF($S759="S",IF(INDEX(Firms!$K$5:$K$1004,$T759)="","",INDEX(Firms!$K$5:$K$1004,$T759)),IF(INDEX('AFA Rates'!$J$5:$J$1004,$T759)="","",INDEX('AFA Rates'!$J$5:$J$1004,$T759))))</f>
        <v/>
      </c>
      <c r="M759" s="50">
        <f>IF($T759="","",IF($S759="S",IF(INDEX(Firms!$L$5:$L$1004,$T759)="","",INDEX(Firms!$L$5:$L$1004,$T759)),IF(INDEX('AFA Rates'!$K$5:$K$1004,$T759)="","",INDEX('AFA Rates'!$K$5:$K$1004,$T759))))</f>
        <v/>
      </c>
      <c r="N759" s="50">
        <f>IF($T759="","",IF($S759="S",IF(INDEX(Firms!$M$5:$M$1004,$T759)="","",INDEX(Firms!$M$5:$M$1004,$T759)),IF(INDEX('AFA Rates'!$L$5:$L$1004,$T759)="","",INDEX('AFA Rates'!$L$5:$L$1004,$T759))))</f>
        <v/>
      </c>
      <c r="O759" s="78">
        <f>IF(OR($T759="",$U759=""),"",IF(INDEX(Firms!$C$5:$C$1004,$U759)="","",INDEX(Firms!$C$5:$C$1004,$U759)))</f>
        <v/>
      </c>
      <c r="P759" s="79">
        <f>IF(OR($T759="",$U759=""),"",IF(INDEX(Firms!$N$5:$N$1004,$U759)="","",INDEX(Firms!$N$5:$N$1004,$U759)))</f>
        <v/>
      </c>
      <c r="Q759" s="78">
        <f>IF($T759="","",IF($S759="S",IF(INDEX(Firms!$T$5:$T$1004,$T759)="","",INDEX(Firms!$T$5:$T$1004,$T759)),IF(INDEX('AFA Rates'!$M$5:$M$1004,$T759)="","",INDEX('AFA Rates'!$M$5:$M$1004,$T759))))</f>
        <v/>
      </c>
      <c r="S759">
        <f>IF(755&lt;=$S$2,"S",IF(755&lt;=$S$2+$T$2,"A",""))</f>
        <v/>
      </c>
      <c r="T759">
        <f>IF(S759="S",MATCH(755,Firms!$W$5:$W$1004,0),IF(S759="A",IFERROR(MATCH(755-$S$2,'AFA Rates'!$R$5:$R$1004,0),""),""))</f>
        <v/>
      </c>
      <c r="U759">
        <f>IF(S759="S",T759,IF(AND(S759="A",T759&lt;&gt;""),IFERROR(MATCH(INDEX('AFA Rates'!$A$5:$A$1004,T759),Firms!$A$5:$A$1004,0),""),""))</f>
        <v/>
      </c>
    </row>
    <row r="760">
      <c r="A760" s="78">
        <f>IF($T760="","",IF($S760="S",IF(INDEX(Firms!$A$5:$A$1004,$T760)="","",INDEX(Firms!$A$5:$A$1004,$T760)),IF(INDEX('AFA Rates'!$A$5:$A$1004,$T760)="","",INDEX('AFA Rates'!$A$5:$A$1004,$T760))))</f>
        <v/>
      </c>
      <c r="B760" s="79">
        <f>IF(OR($T760="",$U760=""),IF($T760="","","Not on Firms tab"),INDEX(Firms!$B$5:$B$1004,$U760)&amp;"")</f>
        <v/>
      </c>
      <c r="C760" s="78">
        <f>IF($T760="","",IF($S760="S","Standard",INDEX('AFA Rates'!$B$5:$B$1004,$T760)&amp;""))</f>
        <v/>
      </c>
      <c r="D760" s="88">
        <f>IF($T760="","",IF($S760="S",IF(INDEX(Firms!$E$5:$E$1004,$T760)="","",INDEX(Firms!$E$5:$E$1004,$T760)),IF(INDEX('AFA Rates'!$C$5:$C$1004,$T760)="","",INDEX('AFA Rates'!$C$5:$C$1004,$T760))))</f>
        <v/>
      </c>
      <c r="E760" s="88">
        <f>IF($T760="","",IF($S760="S",IF(""="","",""),IF(INDEX('AFA Rates'!$D$5:$D$1004,$T760)="","",INDEX('AFA Rates'!$D$5:$D$1004,$T760))))</f>
        <v/>
      </c>
      <c r="F760" s="79">
        <f>IF($T760="","",IF($S760="S",IF(INDEX(Firms!$O$5:$O$1004,$T760)="","",INDEX(Firms!$O$5:$O$1004,$T760)),IF(INDEX('AFA Rates'!$O$5:$O$1004,$T760)="","",INDEX('AFA Rates'!$O$5:$O$1004,$T760))))</f>
        <v/>
      </c>
      <c r="G760" s="50">
        <f>IF($T760="","",IF($S760="S",IF(INDEX(Firms!$F$5:$F$1004,$T760)="","",INDEX(Firms!$F$5:$F$1004,$T760)),IF(INDEX('AFA Rates'!$E$5:$E$1004,$T760)="","",INDEX('AFA Rates'!$E$5:$E$1004,$T760))))</f>
        <v/>
      </c>
      <c r="H760" s="50">
        <f>IF($T760="","",IF($S760="S",IF(INDEX(Firms!$G$5:$G$1004,$T760)="","",INDEX(Firms!$G$5:$G$1004,$T760)),IF(INDEX('AFA Rates'!$F$5:$F$1004,$T760)="","",INDEX('AFA Rates'!$F$5:$F$1004,$T760))))</f>
        <v/>
      </c>
      <c r="I760" s="50">
        <f>IF($T760="","",IF($S760="S",IF(INDEX(Firms!$H$5:$H$1004,$T760)="","",INDEX(Firms!$H$5:$H$1004,$T760)),IF(INDEX('AFA Rates'!$G$5:$G$1004,$T760)="","",INDEX('AFA Rates'!$G$5:$G$1004,$T760))))</f>
        <v/>
      </c>
      <c r="J760" s="50">
        <f>IF($T760="","",IF($S760="S",IF(INDEX(Firms!$I$5:$I$1004,$T760)="","",INDEX(Firms!$I$5:$I$1004,$T760)),IF(INDEX('AFA Rates'!$H$5:$H$1004,$T760)="","",INDEX('AFA Rates'!$H$5:$H$1004,$T760))))</f>
        <v/>
      </c>
      <c r="K760" s="50">
        <f>IF($T760="","",IF($S760="S",IF(INDEX(Firms!$J$5:$J$1004,$T760)="","",INDEX(Firms!$J$5:$J$1004,$T760)),IF(INDEX('AFA Rates'!$I$5:$I$1004,$T760)="","",INDEX('AFA Rates'!$I$5:$I$1004,$T760))))</f>
        <v/>
      </c>
      <c r="L760" s="50">
        <f>IF($T760="","",IF($S760="S",IF(INDEX(Firms!$K$5:$K$1004,$T760)="","",INDEX(Firms!$K$5:$K$1004,$T760)),IF(INDEX('AFA Rates'!$J$5:$J$1004,$T760)="","",INDEX('AFA Rates'!$J$5:$J$1004,$T760))))</f>
        <v/>
      </c>
      <c r="M760" s="50">
        <f>IF($T760="","",IF($S760="S",IF(INDEX(Firms!$L$5:$L$1004,$T760)="","",INDEX(Firms!$L$5:$L$1004,$T760)),IF(INDEX('AFA Rates'!$K$5:$K$1004,$T760)="","",INDEX('AFA Rates'!$K$5:$K$1004,$T760))))</f>
        <v/>
      </c>
      <c r="N760" s="50">
        <f>IF($T760="","",IF($S760="S",IF(INDEX(Firms!$M$5:$M$1004,$T760)="","",INDEX(Firms!$M$5:$M$1004,$T760)),IF(INDEX('AFA Rates'!$L$5:$L$1004,$T760)="","",INDEX('AFA Rates'!$L$5:$L$1004,$T760))))</f>
        <v/>
      </c>
      <c r="O760" s="78">
        <f>IF(OR($T760="",$U760=""),"",IF(INDEX(Firms!$C$5:$C$1004,$U760)="","",INDEX(Firms!$C$5:$C$1004,$U760)))</f>
        <v/>
      </c>
      <c r="P760" s="79">
        <f>IF(OR($T760="",$U760=""),"",IF(INDEX(Firms!$N$5:$N$1004,$U760)="","",INDEX(Firms!$N$5:$N$1004,$U760)))</f>
        <v/>
      </c>
      <c r="Q760" s="78">
        <f>IF($T760="","",IF($S760="S",IF(INDEX(Firms!$T$5:$T$1004,$T760)="","",INDEX(Firms!$T$5:$T$1004,$T760)),IF(INDEX('AFA Rates'!$M$5:$M$1004,$T760)="","",INDEX('AFA Rates'!$M$5:$M$1004,$T760))))</f>
        <v/>
      </c>
      <c r="S760">
        <f>IF(756&lt;=$S$2,"S",IF(756&lt;=$S$2+$T$2,"A",""))</f>
        <v/>
      </c>
      <c r="T760">
        <f>IF(S760="S",MATCH(756,Firms!$W$5:$W$1004,0),IF(S760="A",IFERROR(MATCH(756-$S$2,'AFA Rates'!$R$5:$R$1004,0),""),""))</f>
        <v/>
      </c>
      <c r="U760">
        <f>IF(S760="S",T760,IF(AND(S760="A",T760&lt;&gt;""),IFERROR(MATCH(INDEX('AFA Rates'!$A$5:$A$1004,T760),Firms!$A$5:$A$1004,0),""),""))</f>
        <v/>
      </c>
    </row>
    <row r="761">
      <c r="A761" s="78">
        <f>IF($T761="","",IF($S761="S",IF(INDEX(Firms!$A$5:$A$1004,$T761)="","",INDEX(Firms!$A$5:$A$1004,$T761)),IF(INDEX('AFA Rates'!$A$5:$A$1004,$T761)="","",INDEX('AFA Rates'!$A$5:$A$1004,$T761))))</f>
        <v/>
      </c>
      <c r="B761" s="79">
        <f>IF(OR($T761="",$U761=""),IF($T761="","","Not on Firms tab"),INDEX(Firms!$B$5:$B$1004,$U761)&amp;"")</f>
        <v/>
      </c>
      <c r="C761" s="78">
        <f>IF($T761="","",IF($S761="S","Standard",INDEX('AFA Rates'!$B$5:$B$1004,$T761)&amp;""))</f>
        <v/>
      </c>
      <c r="D761" s="88">
        <f>IF($T761="","",IF($S761="S",IF(INDEX(Firms!$E$5:$E$1004,$T761)="","",INDEX(Firms!$E$5:$E$1004,$T761)),IF(INDEX('AFA Rates'!$C$5:$C$1004,$T761)="","",INDEX('AFA Rates'!$C$5:$C$1004,$T761))))</f>
        <v/>
      </c>
      <c r="E761" s="88">
        <f>IF($T761="","",IF($S761="S",IF(""="","",""),IF(INDEX('AFA Rates'!$D$5:$D$1004,$T761)="","",INDEX('AFA Rates'!$D$5:$D$1004,$T761))))</f>
        <v/>
      </c>
      <c r="F761" s="79">
        <f>IF($T761="","",IF($S761="S",IF(INDEX(Firms!$O$5:$O$1004,$T761)="","",INDEX(Firms!$O$5:$O$1004,$T761)),IF(INDEX('AFA Rates'!$O$5:$O$1004,$T761)="","",INDEX('AFA Rates'!$O$5:$O$1004,$T761))))</f>
        <v/>
      </c>
      <c r="G761" s="50">
        <f>IF($T761="","",IF($S761="S",IF(INDEX(Firms!$F$5:$F$1004,$T761)="","",INDEX(Firms!$F$5:$F$1004,$T761)),IF(INDEX('AFA Rates'!$E$5:$E$1004,$T761)="","",INDEX('AFA Rates'!$E$5:$E$1004,$T761))))</f>
        <v/>
      </c>
      <c r="H761" s="50">
        <f>IF($T761="","",IF($S761="S",IF(INDEX(Firms!$G$5:$G$1004,$T761)="","",INDEX(Firms!$G$5:$G$1004,$T761)),IF(INDEX('AFA Rates'!$F$5:$F$1004,$T761)="","",INDEX('AFA Rates'!$F$5:$F$1004,$T761))))</f>
        <v/>
      </c>
      <c r="I761" s="50">
        <f>IF($T761="","",IF($S761="S",IF(INDEX(Firms!$H$5:$H$1004,$T761)="","",INDEX(Firms!$H$5:$H$1004,$T761)),IF(INDEX('AFA Rates'!$G$5:$G$1004,$T761)="","",INDEX('AFA Rates'!$G$5:$G$1004,$T761))))</f>
        <v/>
      </c>
      <c r="J761" s="50">
        <f>IF($T761="","",IF($S761="S",IF(INDEX(Firms!$I$5:$I$1004,$T761)="","",INDEX(Firms!$I$5:$I$1004,$T761)),IF(INDEX('AFA Rates'!$H$5:$H$1004,$T761)="","",INDEX('AFA Rates'!$H$5:$H$1004,$T761))))</f>
        <v/>
      </c>
      <c r="K761" s="50">
        <f>IF($T761="","",IF($S761="S",IF(INDEX(Firms!$J$5:$J$1004,$T761)="","",INDEX(Firms!$J$5:$J$1004,$T761)),IF(INDEX('AFA Rates'!$I$5:$I$1004,$T761)="","",INDEX('AFA Rates'!$I$5:$I$1004,$T761))))</f>
        <v/>
      </c>
      <c r="L761" s="50">
        <f>IF($T761="","",IF($S761="S",IF(INDEX(Firms!$K$5:$K$1004,$T761)="","",INDEX(Firms!$K$5:$K$1004,$T761)),IF(INDEX('AFA Rates'!$J$5:$J$1004,$T761)="","",INDEX('AFA Rates'!$J$5:$J$1004,$T761))))</f>
        <v/>
      </c>
      <c r="M761" s="50">
        <f>IF($T761="","",IF($S761="S",IF(INDEX(Firms!$L$5:$L$1004,$T761)="","",INDEX(Firms!$L$5:$L$1004,$T761)),IF(INDEX('AFA Rates'!$K$5:$K$1004,$T761)="","",INDEX('AFA Rates'!$K$5:$K$1004,$T761))))</f>
        <v/>
      </c>
      <c r="N761" s="50">
        <f>IF($T761="","",IF($S761="S",IF(INDEX(Firms!$M$5:$M$1004,$T761)="","",INDEX(Firms!$M$5:$M$1004,$T761)),IF(INDEX('AFA Rates'!$L$5:$L$1004,$T761)="","",INDEX('AFA Rates'!$L$5:$L$1004,$T761))))</f>
        <v/>
      </c>
      <c r="O761" s="78">
        <f>IF(OR($T761="",$U761=""),"",IF(INDEX(Firms!$C$5:$C$1004,$U761)="","",INDEX(Firms!$C$5:$C$1004,$U761)))</f>
        <v/>
      </c>
      <c r="P761" s="79">
        <f>IF(OR($T761="",$U761=""),"",IF(INDEX(Firms!$N$5:$N$1004,$U761)="","",INDEX(Firms!$N$5:$N$1004,$U761)))</f>
        <v/>
      </c>
      <c r="Q761" s="78">
        <f>IF($T761="","",IF($S761="S",IF(INDEX(Firms!$T$5:$T$1004,$T761)="","",INDEX(Firms!$T$5:$T$1004,$T761)),IF(INDEX('AFA Rates'!$M$5:$M$1004,$T761)="","",INDEX('AFA Rates'!$M$5:$M$1004,$T761))))</f>
        <v/>
      </c>
      <c r="S761">
        <f>IF(757&lt;=$S$2,"S",IF(757&lt;=$S$2+$T$2,"A",""))</f>
        <v/>
      </c>
      <c r="T761">
        <f>IF(S761="S",MATCH(757,Firms!$W$5:$W$1004,0),IF(S761="A",IFERROR(MATCH(757-$S$2,'AFA Rates'!$R$5:$R$1004,0),""),""))</f>
        <v/>
      </c>
      <c r="U761">
        <f>IF(S761="S",T761,IF(AND(S761="A",T761&lt;&gt;""),IFERROR(MATCH(INDEX('AFA Rates'!$A$5:$A$1004,T761),Firms!$A$5:$A$1004,0),""),""))</f>
        <v/>
      </c>
    </row>
    <row r="762">
      <c r="A762" s="78">
        <f>IF($T762="","",IF($S762="S",IF(INDEX(Firms!$A$5:$A$1004,$T762)="","",INDEX(Firms!$A$5:$A$1004,$T762)),IF(INDEX('AFA Rates'!$A$5:$A$1004,$T762)="","",INDEX('AFA Rates'!$A$5:$A$1004,$T762))))</f>
        <v/>
      </c>
      <c r="B762" s="79">
        <f>IF(OR($T762="",$U762=""),IF($T762="","","Not on Firms tab"),INDEX(Firms!$B$5:$B$1004,$U762)&amp;"")</f>
        <v/>
      </c>
      <c r="C762" s="78">
        <f>IF($T762="","",IF($S762="S","Standard",INDEX('AFA Rates'!$B$5:$B$1004,$T762)&amp;""))</f>
        <v/>
      </c>
      <c r="D762" s="88">
        <f>IF($T762="","",IF($S762="S",IF(INDEX(Firms!$E$5:$E$1004,$T762)="","",INDEX(Firms!$E$5:$E$1004,$T762)),IF(INDEX('AFA Rates'!$C$5:$C$1004,$T762)="","",INDEX('AFA Rates'!$C$5:$C$1004,$T762))))</f>
        <v/>
      </c>
      <c r="E762" s="88">
        <f>IF($T762="","",IF($S762="S",IF(""="","",""),IF(INDEX('AFA Rates'!$D$5:$D$1004,$T762)="","",INDEX('AFA Rates'!$D$5:$D$1004,$T762))))</f>
        <v/>
      </c>
      <c r="F762" s="79">
        <f>IF($T762="","",IF($S762="S",IF(INDEX(Firms!$O$5:$O$1004,$T762)="","",INDEX(Firms!$O$5:$O$1004,$T762)),IF(INDEX('AFA Rates'!$O$5:$O$1004,$T762)="","",INDEX('AFA Rates'!$O$5:$O$1004,$T762))))</f>
        <v/>
      </c>
      <c r="G762" s="50">
        <f>IF($T762="","",IF($S762="S",IF(INDEX(Firms!$F$5:$F$1004,$T762)="","",INDEX(Firms!$F$5:$F$1004,$T762)),IF(INDEX('AFA Rates'!$E$5:$E$1004,$T762)="","",INDEX('AFA Rates'!$E$5:$E$1004,$T762))))</f>
        <v/>
      </c>
      <c r="H762" s="50">
        <f>IF($T762="","",IF($S762="S",IF(INDEX(Firms!$G$5:$G$1004,$T762)="","",INDEX(Firms!$G$5:$G$1004,$T762)),IF(INDEX('AFA Rates'!$F$5:$F$1004,$T762)="","",INDEX('AFA Rates'!$F$5:$F$1004,$T762))))</f>
        <v/>
      </c>
      <c r="I762" s="50">
        <f>IF($T762="","",IF($S762="S",IF(INDEX(Firms!$H$5:$H$1004,$T762)="","",INDEX(Firms!$H$5:$H$1004,$T762)),IF(INDEX('AFA Rates'!$G$5:$G$1004,$T762)="","",INDEX('AFA Rates'!$G$5:$G$1004,$T762))))</f>
        <v/>
      </c>
      <c r="J762" s="50">
        <f>IF($T762="","",IF($S762="S",IF(INDEX(Firms!$I$5:$I$1004,$T762)="","",INDEX(Firms!$I$5:$I$1004,$T762)),IF(INDEX('AFA Rates'!$H$5:$H$1004,$T762)="","",INDEX('AFA Rates'!$H$5:$H$1004,$T762))))</f>
        <v/>
      </c>
      <c r="K762" s="50">
        <f>IF($T762="","",IF($S762="S",IF(INDEX(Firms!$J$5:$J$1004,$T762)="","",INDEX(Firms!$J$5:$J$1004,$T762)),IF(INDEX('AFA Rates'!$I$5:$I$1004,$T762)="","",INDEX('AFA Rates'!$I$5:$I$1004,$T762))))</f>
        <v/>
      </c>
      <c r="L762" s="50">
        <f>IF($T762="","",IF($S762="S",IF(INDEX(Firms!$K$5:$K$1004,$T762)="","",INDEX(Firms!$K$5:$K$1004,$T762)),IF(INDEX('AFA Rates'!$J$5:$J$1004,$T762)="","",INDEX('AFA Rates'!$J$5:$J$1004,$T762))))</f>
        <v/>
      </c>
      <c r="M762" s="50">
        <f>IF($T762="","",IF($S762="S",IF(INDEX(Firms!$L$5:$L$1004,$T762)="","",INDEX(Firms!$L$5:$L$1004,$T762)),IF(INDEX('AFA Rates'!$K$5:$K$1004,$T762)="","",INDEX('AFA Rates'!$K$5:$K$1004,$T762))))</f>
        <v/>
      </c>
      <c r="N762" s="50">
        <f>IF($T762="","",IF($S762="S",IF(INDEX(Firms!$M$5:$M$1004,$T762)="","",INDEX(Firms!$M$5:$M$1004,$T762)),IF(INDEX('AFA Rates'!$L$5:$L$1004,$T762)="","",INDEX('AFA Rates'!$L$5:$L$1004,$T762))))</f>
        <v/>
      </c>
      <c r="O762" s="78">
        <f>IF(OR($T762="",$U762=""),"",IF(INDEX(Firms!$C$5:$C$1004,$U762)="","",INDEX(Firms!$C$5:$C$1004,$U762)))</f>
        <v/>
      </c>
      <c r="P762" s="79">
        <f>IF(OR($T762="",$U762=""),"",IF(INDEX(Firms!$N$5:$N$1004,$U762)="","",INDEX(Firms!$N$5:$N$1004,$U762)))</f>
        <v/>
      </c>
      <c r="Q762" s="78">
        <f>IF($T762="","",IF($S762="S",IF(INDEX(Firms!$T$5:$T$1004,$T762)="","",INDEX(Firms!$T$5:$T$1004,$T762)),IF(INDEX('AFA Rates'!$M$5:$M$1004,$T762)="","",INDEX('AFA Rates'!$M$5:$M$1004,$T762))))</f>
        <v/>
      </c>
      <c r="S762">
        <f>IF(758&lt;=$S$2,"S",IF(758&lt;=$S$2+$T$2,"A",""))</f>
        <v/>
      </c>
      <c r="T762">
        <f>IF(S762="S",MATCH(758,Firms!$W$5:$W$1004,0),IF(S762="A",IFERROR(MATCH(758-$S$2,'AFA Rates'!$R$5:$R$1004,0),""),""))</f>
        <v/>
      </c>
      <c r="U762">
        <f>IF(S762="S",T762,IF(AND(S762="A",T762&lt;&gt;""),IFERROR(MATCH(INDEX('AFA Rates'!$A$5:$A$1004,T762),Firms!$A$5:$A$1004,0),""),""))</f>
        <v/>
      </c>
    </row>
    <row r="763">
      <c r="A763" s="78">
        <f>IF($T763="","",IF($S763="S",IF(INDEX(Firms!$A$5:$A$1004,$T763)="","",INDEX(Firms!$A$5:$A$1004,$T763)),IF(INDEX('AFA Rates'!$A$5:$A$1004,$T763)="","",INDEX('AFA Rates'!$A$5:$A$1004,$T763))))</f>
        <v/>
      </c>
      <c r="B763" s="79">
        <f>IF(OR($T763="",$U763=""),IF($T763="","","Not on Firms tab"),INDEX(Firms!$B$5:$B$1004,$U763)&amp;"")</f>
        <v/>
      </c>
      <c r="C763" s="78">
        <f>IF($T763="","",IF($S763="S","Standard",INDEX('AFA Rates'!$B$5:$B$1004,$T763)&amp;""))</f>
        <v/>
      </c>
      <c r="D763" s="88">
        <f>IF($T763="","",IF($S763="S",IF(INDEX(Firms!$E$5:$E$1004,$T763)="","",INDEX(Firms!$E$5:$E$1004,$T763)),IF(INDEX('AFA Rates'!$C$5:$C$1004,$T763)="","",INDEX('AFA Rates'!$C$5:$C$1004,$T763))))</f>
        <v/>
      </c>
      <c r="E763" s="88">
        <f>IF($T763="","",IF($S763="S",IF(""="","",""),IF(INDEX('AFA Rates'!$D$5:$D$1004,$T763)="","",INDEX('AFA Rates'!$D$5:$D$1004,$T763))))</f>
        <v/>
      </c>
      <c r="F763" s="79">
        <f>IF($T763="","",IF($S763="S",IF(INDEX(Firms!$O$5:$O$1004,$T763)="","",INDEX(Firms!$O$5:$O$1004,$T763)),IF(INDEX('AFA Rates'!$O$5:$O$1004,$T763)="","",INDEX('AFA Rates'!$O$5:$O$1004,$T763))))</f>
        <v/>
      </c>
      <c r="G763" s="50">
        <f>IF($T763="","",IF($S763="S",IF(INDEX(Firms!$F$5:$F$1004,$T763)="","",INDEX(Firms!$F$5:$F$1004,$T763)),IF(INDEX('AFA Rates'!$E$5:$E$1004,$T763)="","",INDEX('AFA Rates'!$E$5:$E$1004,$T763))))</f>
        <v/>
      </c>
      <c r="H763" s="50">
        <f>IF($T763="","",IF($S763="S",IF(INDEX(Firms!$G$5:$G$1004,$T763)="","",INDEX(Firms!$G$5:$G$1004,$T763)),IF(INDEX('AFA Rates'!$F$5:$F$1004,$T763)="","",INDEX('AFA Rates'!$F$5:$F$1004,$T763))))</f>
        <v/>
      </c>
      <c r="I763" s="50">
        <f>IF($T763="","",IF($S763="S",IF(INDEX(Firms!$H$5:$H$1004,$T763)="","",INDEX(Firms!$H$5:$H$1004,$T763)),IF(INDEX('AFA Rates'!$G$5:$G$1004,$T763)="","",INDEX('AFA Rates'!$G$5:$G$1004,$T763))))</f>
        <v/>
      </c>
      <c r="J763" s="50">
        <f>IF($T763="","",IF($S763="S",IF(INDEX(Firms!$I$5:$I$1004,$T763)="","",INDEX(Firms!$I$5:$I$1004,$T763)),IF(INDEX('AFA Rates'!$H$5:$H$1004,$T763)="","",INDEX('AFA Rates'!$H$5:$H$1004,$T763))))</f>
        <v/>
      </c>
      <c r="K763" s="50">
        <f>IF($T763="","",IF($S763="S",IF(INDEX(Firms!$J$5:$J$1004,$T763)="","",INDEX(Firms!$J$5:$J$1004,$T763)),IF(INDEX('AFA Rates'!$I$5:$I$1004,$T763)="","",INDEX('AFA Rates'!$I$5:$I$1004,$T763))))</f>
        <v/>
      </c>
      <c r="L763" s="50">
        <f>IF($T763="","",IF($S763="S",IF(INDEX(Firms!$K$5:$K$1004,$T763)="","",INDEX(Firms!$K$5:$K$1004,$T763)),IF(INDEX('AFA Rates'!$J$5:$J$1004,$T763)="","",INDEX('AFA Rates'!$J$5:$J$1004,$T763))))</f>
        <v/>
      </c>
      <c r="M763" s="50">
        <f>IF($T763="","",IF($S763="S",IF(INDEX(Firms!$L$5:$L$1004,$T763)="","",INDEX(Firms!$L$5:$L$1004,$T763)),IF(INDEX('AFA Rates'!$K$5:$K$1004,$T763)="","",INDEX('AFA Rates'!$K$5:$K$1004,$T763))))</f>
        <v/>
      </c>
      <c r="N763" s="50">
        <f>IF($T763="","",IF($S763="S",IF(INDEX(Firms!$M$5:$M$1004,$T763)="","",INDEX(Firms!$M$5:$M$1004,$T763)),IF(INDEX('AFA Rates'!$L$5:$L$1004,$T763)="","",INDEX('AFA Rates'!$L$5:$L$1004,$T763))))</f>
        <v/>
      </c>
      <c r="O763" s="78">
        <f>IF(OR($T763="",$U763=""),"",IF(INDEX(Firms!$C$5:$C$1004,$U763)="","",INDEX(Firms!$C$5:$C$1004,$U763)))</f>
        <v/>
      </c>
      <c r="P763" s="79">
        <f>IF(OR($T763="",$U763=""),"",IF(INDEX(Firms!$N$5:$N$1004,$U763)="","",INDEX(Firms!$N$5:$N$1004,$U763)))</f>
        <v/>
      </c>
      <c r="Q763" s="78">
        <f>IF($T763="","",IF($S763="S",IF(INDEX(Firms!$T$5:$T$1004,$T763)="","",INDEX(Firms!$T$5:$T$1004,$T763)),IF(INDEX('AFA Rates'!$M$5:$M$1004,$T763)="","",INDEX('AFA Rates'!$M$5:$M$1004,$T763))))</f>
        <v/>
      </c>
      <c r="S763">
        <f>IF(759&lt;=$S$2,"S",IF(759&lt;=$S$2+$T$2,"A",""))</f>
        <v/>
      </c>
      <c r="T763">
        <f>IF(S763="S",MATCH(759,Firms!$W$5:$W$1004,0),IF(S763="A",IFERROR(MATCH(759-$S$2,'AFA Rates'!$R$5:$R$1004,0),""),""))</f>
        <v/>
      </c>
      <c r="U763">
        <f>IF(S763="S",T763,IF(AND(S763="A",T763&lt;&gt;""),IFERROR(MATCH(INDEX('AFA Rates'!$A$5:$A$1004,T763),Firms!$A$5:$A$1004,0),""),""))</f>
        <v/>
      </c>
    </row>
    <row r="764">
      <c r="A764" s="78">
        <f>IF($T764="","",IF($S764="S",IF(INDEX(Firms!$A$5:$A$1004,$T764)="","",INDEX(Firms!$A$5:$A$1004,$T764)),IF(INDEX('AFA Rates'!$A$5:$A$1004,$T764)="","",INDEX('AFA Rates'!$A$5:$A$1004,$T764))))</f>
        <v/>
      </c>
      <c r="B764" s="79">
        <f>IF(OR($T764="",$U764=""),IF($T764="","","Not on Firms tab"),INDEX(Firms!$B$5:$B$1004,$U764)&amp;"")</f>
        <v/>
      </c>
      <c r="C764" s="78">
        <f>IF($T764="","",IF($S764="S","Standard",INDEX('AFA Rates'!$B$5:$B$1004,$T764)&amp;""))</f>
        <v/>
      </c>
      <c r="D764" s="88">
        <f>IF($T764="","",IF($S764="S",IF(INDEX(Firms!$E$5:$E$1004,$T764)="","",INDEX(Firms!$E$5:$E$1004,$T764)),IF(INDEX('AFA Rates'!$C$5:$C$1004,$T764)="","",INDEX('AFA Rates'!$C$5:$C$1004,$T764))))</f>
        <v/>
      </c>
      <c r="E764" s="88">
        <f>IF($T764="","",IF($S764="S",IF(""="","",""),IF(INDEX('AFA Rates'!$D$5:$D$1004,$T764)="","",INDEX('AFA Rates'!$D$5:$D$1004,$T764))))</f>
        <v/>
      </c>
      <c r="F764" s="79">
        <f>IF($T764="","",IF($S764="S",IF(INDEX(Firms!$O$5:$O$1004,$T764)="","",INDEX(Firms!$O$5:$O$1004,$T764)),IF(INDEX('AFA Rates'!$O$5:$O$1004,$T764)="","",INDEX('AFA Rates'!$O$5:$O$1004,$T764))))</f>
        <v/>
      </c>
      <c r="G764" s="50">
        <f>IF($T764="","",IF($S764="S",IF(INDEX(Firms!$F$5:$F$1004,$T764)="","",INDEX(Firms!$F$5:$F$1004,$T764)),IF(INDEX('AFA Rates'!$E$5:$E$1004,$T764)="","",INDEX('AFA Rates'!$E$5:$E$1004,$T764))))</f>
        <v/>
      </c>
      <c r="H764" s="50">
        <f>IF($T764="","",IF($S764="S",IF(INDEX(Firms!$G$5:$G$1004,$T764)="","",INDEX(Firms!$G$5:$G$1004,$T764)),IF(INDEX('AFA Rates'!$F$5:$F$1004,$T764)="","",INDEX('AFA Rates'!$F$5:$F$1004,$T764))))</f>
        <v/>
      </c>
      <c r="I764" s="50">
        <f>IF($T764="","",IF($S764="S",IF(INDEX(Firms!$H$5:$H$1004,$T764)="","",INDEX(Firms!$H$5:$H$1004,$T764)),IF(INDEX('AFA Rates'!$G$5:$G$1004,$T764)="","",INDEX('AFA Rates'!$G$5:$G$1004,$T764))))</f>
        <v/>
      </c>
      <c r="J764" s="50">
        <f>IF($T764="","",IF($S764="S",IF(INDEX(Firms!$I$5:$I$1004,$T764)="","",INDEX(Firms!$I$5:$I$1004,$T764)),IF(INDEX('AFA Rates'!$H$5:$H$1004,$T764)="","",INDEX('AFA Rates'!$H$5:$H$1004,$T764))))</f>
        <v/>
      </c>
      <c r="K764" s="50">
        <f>IF($T764="","",IF($S764="S",IF(INDEX(Firms!$J$5:$J$1004,$T764)="","",INDEX(Firms!$J$5:$J$1004,$T764)),IF(INDEX('AFA Rates'!$I$5:$I$1004,$T764)="","",INDEX('AFA Rates'!$I$5:$I$1004,$T764))))</f>
        <v/>
      </c>
      <c r="L764" s="50">
        <f>IF($T764="","",IF($S764="S",IF(INDEX(Firms!$K$5:$K$1004,$T764)="","",INDEX(Firms!$K$5:$K$1004,$T764)),IF(INDEX('AFA Rates'!$J$5:$J$1004,$T764)="","",INDEX('AFA Rates'!$J$5:$J$1004,$T764))))</f>
        <v/>
      </c>
      <c r="M764" s="50">
        <f>IF($T764="","",IF($S764="S",IF(INDEX(Firms!$L$5:$L$1004,$T764)="","",INDEX(Firms!$L$5:$L$1004,$T764)),IF(INDEX('AFA Rates'!$K$5:$K$1004,$T764)="","",INDEX('AFA Rates'!$K$5:$K$1004,$T764))))</f>
        <v/>
      </c>
      <c r="N764" s="50">
        <f>IF($T764="","",IF($S764="S",IF(INDEX(Firms!$M$5:$M$1004,$T764)="","",INDEX(Firms!$M$5:$M$1004,$T764)),IF(INDEX('AFA Rates'!$L$5:$L$1004,$T764)="","",INDEX('AFA Rates'!$L$5:$L$1004,$T764))))</f>
        <v/>
      </c>
      <c r="O764" s="78">
        <f>IF(OR($T764="",$U764=""),"",IF(INDEX(Firms!$C$5:$C$1004,$U764)="","",INDEX(Firms!$C$5:$C$1004,$U764)))</f>
        <v/>
      </c>
      <c r="P764" s="79">
        <f>IF(OR($T764="",$U764=""),"",IF(INDEX(Firms!$N$5:$N$1004,$U764)="","",INDEX(Firms!$N$5:$N$1004,$U764)))</f>
        <v/>
      </c>
      <c r="Q764" s="78">
        <f>IF($T764="","",IF($S764="S",IF(INDEX(Firms!$T$5:$T$1004,$T764)="","",INDEX(Firms!$T$5:$T$1004,$T764)),IF(INDEX('AFA Rates'!$M$5:$M$1004,$T764)="","",INDEX('AFA Rates'!$M$5:$M$1004,$T764))))</f>
        <v/>
      </c>
      <c r="S764">
        <f>IF(760&lt;=$S$2,"S",IF(760&lt;=$S$2+$T$2,"A",""))</f>
        <v/>
      </c>
      <c r="T764">
        <f>IF(S764="S",MATCH(760,Firms!$W$5:$W$1004,0),IF(S764="A",IFERROR(MATCH(760-$S$2,'AFA Rates'!$R$5:$R$1004,0),""),""))</f>
        <v/>
      </c>
      <c r="U764">
        <f>IF(S764="S",T764,IF(AND(S764="A",T764&lt;&gt;""),IFERROR(MATCH(INDEX('AFA Rates'!$A$5:$A$1004,T764),Firms!$A$5:$A$1004,0),""),""))</f>
        <v/>
      </c>
    </row>
    <row r="765">
      <c r="A765" s="78">
        <f>IF($T765="","",IF($S765="S",IF(INDEX(Firms!$A$5:$A$1004,$T765)="","",INDEX(Firms!$A$5:$A$1004,$T765)),IF(INDEX('AFA Rates'!$A$5:$A$1004,$T765)="","",INDEX('AFA Rates'!$A$5:$A$1004,$T765))))</f>
        <v/>
      </c>
      <c r="B765" s="79">
        <f>IF(OR($T765="",$U765=""),IF($T765="","","Not on Firms tab"),INDEX(Firms!$B$5:$B$1004,$U765)&amp;"")</f>
        <v/>
      </c>
      <c r="C765" s="78">
        <f>IF($T765="","",IF($S765="S","Standard",INDEX('AFA Rates'!$B$5:$B$1004,$T765)&amp;""))</f>
        <v/>
      </c>
      <c r="D765" s="88">
        <f>IF($T765="","",IF($S765="S",IF(INDEX(Firms!$E$5:$E$1004,$T765)="","",INDEX(Firms!$E$5:$E$1004,$T765)),IF(INDEX('AFA Rates'!$C$5:$C$1004,$T765)="","",INDEX('AFA Rates'!$C$5:$C$1004,$T765))))</f>
        <v/>
      </c>
      <c r="E765" s="88">
        <f>IF($T765="","",IF($S765="S",IF(""="","",""),IF(INDEX('AFA Rates'!$D$5:$D$1004,$T765)="","",INDEX('AFA Rates'!$D$5:$D$1004,$T765))))</f>
        <v/>
      </c>
      <c r="F765" s="79">
        <f>IF($T765="","",IF($S765="S",IF(INDEX(Firms!$O$5:$O$1004,$T765)="","",INDEX(Firms!$O$5:$O$1004,$T765)),IF(INDEX('AFA Rates'!$O$5:$O$1004,$T765)="","",INDEX('AFA Rates'!$O$5:$O$1004,$T765))))</f>
        <v/>
      </c>
      <c r="G765" s="50">
        <f>IF($T765="","",IF($S765="S",IF(INDEX(Firms!$F$5:$F$1004,$T765)="","",INDEX(Firms!$F$5:$F$1004,$T765)),IF(INDEX('AFA Rates'!$E$5:$E$1004,$T765)="","",INDEX('AFA Rates'!$E$5:$E$1004,$T765))))</f>
        <v/>
      </c>
      <c r="H765" s="50">
        <f>IF($T765="","",IF($S765="S",IF(INDEX(Firms!$G$5:$G$1004,$T765)="","",INDEX(Firms!$G$5:$G$1004,$T765)),IF(INDEX('AFA Rates'!$F$5:$F$1004,$T765)="","",INDEX('AFA Rates'!$F$5:$F$1004,$T765))))</f>
        <v/>
      </c>
      <c r="I765" s="50">
        <f>IF($T765="","",IF($S765="S",IF(INDEX(Firms!$H$5:$H$1004,$T765)="","",INDEX(Firms!$H$5:$H$1004,$T765)),IF(INDEX('AFA Rates'!$G$5:$G$1004,$T765)="","",INDEX('AFA Rates'!$G$5:$G$1004,$T765))))</f>
        <v/>
      </c>
      <c r="J765" s="50">
        <f>IF($T765="","",IF($S765="S",IF(INDEX(Firms!$I$5:$I$1004,$T765)="","",INDEX(Firms!$I$5:$I$1004,$T765)),IF(INDEX('AFA Rates'!$H$5:$H$1004,$T765)="","",INDEX('AFA Rates'!$H$5:$H$1004,$T765))))</f>
        <v/>
      </c>
      <c r="K765" s="50">
        <f>IF($T765="","",IF($S765="S",IF(INDEX(Firms!$J$5:$J$1004,$T765)="","",INDEX(Firms!$J$5:$J$1004,$T765)),IF(INDEX('AFA Rates'!$I$5:$I$1004,$T765)="","",INDEX('AFA Rates'!$I$5:$I$1004,$T765))))</f>
        <v/>
      </c>
      <c r="L765" s="50">
        <f>IF($T765="","",IF($S765="S",IF(INDEX(Firms!$K$5:$K$1004,$T765)="","",INDEX(Firms!$K$5:$K$1004,$T765)),IF(INDEX('AFA Rates'!$J$5:$J$1004,$T765)="","",INDEX('AFA Rates'!$J$5:$J$1004,$T765))))</f>
        <v/>
      </c>
      <c r="M765" s="50">
        <f>IF($T765="","",IF($S765="S",IF(INDEX(Firms!$L$5:$L$1004,$T765)="","",INDEX(Firms!$L$5:$L$1004,$T765)),IF(INDEX('AFA Rates'!$K$5:$K$1004,$T765)="","",INDEX('AFA Rates'!$K$5:$K$1004,$T765))))</f>
        <v/>
      </c>
      <c r="N765" s="50">
        <f>IF($T765="","",IF($S765="S",IF(INDEX(Firms!$M$5:$M$1004,$T765)="","",INDEX(Firms!$M$5:$M$1004,$T765)),IF(INDEX('AFA Rates'!$L$5:$L$1004,$T765)="","",INDEX('AFA Rates'!$L$5:$L$1004,$T765))))</f>
        <v/>
      </c>
      <c r="O765" s="78">
        <f>IF(OR($T765="",$U765=""),"",IF(INDEX(Firms!$C$5:$C$1004,$U765)="","",INDEX(Firms!$C$5:$C$1004,$U765)))</f>
        <v/>
      </c>
      <c r="P765" s="79">
        <f>IF(OR($T765="",$U765=""),"",IF(INDEX(Firms!$N$5:$N$1004,$U765)="","",INDEX(Firms!$N$5:$N$1004,$U765)))</f>
        <v/>
      </c>
      <c r="Q765" s="78">
        <f>IF($T765="","",IF($S765="S",IF(INDEX(Firms!$T$5:$T$1004,$T765)="","",INDEX(Firms!$T$5:$T$1004,$T765)),IF(INDEX('AFA Rates'!$M$5:$M$1004,$T765)="","",INDEX('AFA Rates'!$M$5:$M$1004,$T765))))</f>
        <v/>
      </c>
      <c r="S765">
        <f>IF(761&lt;=$S$2,"S",IF(761&lt;=$S$2+$T$2,"A",""))</f>
        <v/>
      </c>
      <c r="T765">
        <f>IF(S765="S",MATCH(761,Firms!$W$5:$W$1004,0),IF(S765="A",IFERROR(MATCH(761-$S$2,'AFA Rates'!$R$5:$R$1004,0),""),""))</f>
        <v/>
      </c>
      <c r="U765">
        <f>IF(S765="S",T765,IF(AND(S765="A",T765&lt;&gt;""),IFERROR(MATCH(INDEX('AFA Rates'!$A$5:$A$1004,T765),Firms!$A$5:$A$1004,0),""),""))</f>
        <v/>
      </c>
    </row>
    <row r="766">
      <c r="A766" s="78">
        <f>IF($T766="","",IF($S766="S",IF(INDEX(Firms!$A$5:$A$1004,$T766)="","",INDEX(Firms!$A$5:$A$1004,$T766)),IF(INDEX('AFA Rates'!$A$5:$A$1004,$T766)="","",INDEX('AFA Rates'!$A$5:$A$1004,$T766))))</f>
        <v/>
      </c>
      <c r="B766" s="79">
        <f>IF(OR($T766="",$U766=""),IF($T766="","","Not on Firms tab"),INDEX(Firms!$B$5:$B$1004,$U766)&amp;"")</f>
        <v/>
      </c>
      <c r="C766" s="78">
        <f>IF($T766="","",IF($S766="S","Standard",INDEX('AFA Rates'!$B$5:$B$1004,$T766)&amp;""))</f>
        <v/>
      </c>
      <c r="D766" s="88">
        <f>IF($T766="","",IF($S766="S",IF(INDEX(Firms!$E$5:$E$1004,$T766)="","",INDEX(Firms!$E$5:$E$1004,$T766)),IF(INDEX('AFA Rates'!$C$5:$C$1004,$T766)="","",INDEX('AFA Rates'!$C$5:$C$1004,$T766))))</f>
        <v/>
      </c>
      <c r="E766" s="88">
        <f>IF($T766="","",IF($S766="S",IF(""="","",""),IF(INDEX('AFA Rates'!$D$5:$D$1004,$T766)="","",INDEX('AFA Rates'!$D$5:$D$1004,$T766))))</f>
        <v/>
      </c>
      <c r="F766" s="79">
        <f>IF($T766="","",IF($S766="S",IF(INDEX(Firms!$O$5:$O$1004,$T766)="","",INDEX(Firms!$O$5:$O$1004,$T766)),IF(INDEX('AFA Rates'!$O$5:$O$1004,$T766)="","",INDEX('AFA Rates'!$O$5:$O$1004,$T766))))</f>
        <v/>
      </c>
      <c r="G766" s="50">
        <f>IF($T766="","",IF($S766="S",IF(INDEX(Firms!$F$5:$F$1004,$T766)="","",INDEX(Firms!$F$5:$F$1004,$T766)),IF(INDEX('AFA Rates'!$E$5:$E$1004,$T766)="","",INDEX('AFA Rates'!$E$5:$E$1004,$T766))))</f>
        <v/>
      </c>
      <c r="H766" s="50">
        <f>IF($T766="","",IF($S766="S",IF(INDEX(Firms!$G$5:$G$1004,$T766)="","",INDEX(Firms!$G$5:$G$1004,$T766)),IF(INDEX('AFA Rates'!$F$5:$F$1004,$T766)="","",INDEX('AFA Rates'!$F$5:$F$1004,$T766))))</f>
        <v/>
      </c>
      <c r="I766" s="50">
        <f>IF($T766="","",IF($S766="S",IF(INDEX(Firms!$H$5:$H$1004,$T766)="","",INDEX(Firms!$H$5:$H$1004,$T766)),IF(INDEX('AFA Rates'!$G$5:$G$1004,$T766)="","",INDEX('AFA Rates'!$G$5:$G$1004,$T766))))</f>
        <v/>
      </c>
      <c r="J766" s="50">
        <f>IF($T766="","",IF($S766="S",IF(INDEX(Firms!$I$5:$I$1004,$T766)="","",INDEX(Firms!$I$5:$I$1004,$T766)),IF(INDEX('AFA Rates'!$H$5:$H$1004,$T766)="","",INDEX('AFA Rates'!$H$5:$H$1004,$T766))))</f>
        <v/>
      </c>
      <c r="K766" s="50">
        <f>IF($T766="","",IF($S766="S",IF(INDEX(Firms!$J$5:$J$1004,$T766)="","",INDEX(Firms!$J$5:$J$1004,$T766)),IF(INDEX('AFA Rates'!$I$5:$I$1004,$T766)="","",INDEX('AFA Rates'!$I$5:$I$1004,$T766))))</f>
        <v/>
      </c>
      <c r="L766" s="50">
        <f>IF($T766="","",IF($S766="S",IF(INDEX(Firms!$K$5:$K$1004,$T766)="","",INDEX(Firms!$K$5:$K$1004,$T766)),IF(INDEX('AFA Rates'!$J$5:$J$1004,$T766)="","",INDEX('AFA Rates'!$J$5:$J$1004,$T766))))</f>
        <v/>
      </c>
      <c r="M766" s="50">
        <f>IF($T766="","",IF($S766="S",IF(INDEX(Firms!$L$5:$L$1004,$T766)="","",INDEX(Firms!$L$5:$L$1004,$T766)),IF(INDEX('AFA Rates'!$K$5:$K$1004,$T766)="","",INDEX('AFA Rates'!$K$5:$K$1004,$T766))))</f>
        <v/>
      </c>
      <c r="N766" s="50">
        <f>IF($T766="","",IF($S766="S",IF(INDEX(Firms!$M$5:$M$1004,$T766)="","",INDEX(Firms!$M$5:$M$1004,$T766)),IF(INDEX('AFA Rates'!$L$5:$L$1004,$T766)="","",INDEX('AFA Rates'!$L$5:$L$1004,$T766))))</f>
        <v/>
      </c>
      <c r="O766" s="78">
        <f>IF(OR($T766="",$U766=""),"",IF(INDEX(Firms!$C$5:$C$1004,$U766)="","",INDEX(Firms!$C$5:$C$1004,$U766)))</f>
        <v/>
      </c>
      <c r="P766" s="79">
        <f>IF(OR($T766="",$U766=""),"",IF(INDEX(Firms!$N$5:$N$1004,$U766)="","",INDEX(Firms!$N$5:$N$1004,$U766)))</f>
        <v/>
      </c>
      <c r="Q766" s="78">
        <f>IF($T766="","",IF($S766="S",IF(INDEX(Firms!$T$5:$T$1004,$T766)="","",INDEX(Firms!$T$5:$T$1004,$T766)),IF(INDEX('AFA Rates'!$M$5:$M$1004,$T766)="","",INDEX('AFA Rates'!$M$5:$M$1004,$T766))))</f>
        <v/>
      </c>
      <c r="S766">
        <f>IF(762&lt;=$S$2,"S",IF(762&lt;=$S$2+$T$2,"A",""))</f>
        <v/>
      </c>
      <c r="T766">
        <f>IF(S766="S",MATCH(762,Firms!$W$5:$W$1004,0),IF(S766="A",IFERROR(MATCH(762-$S$2,'AFA Rates'!$R$5:$R$1004,0),""),""))</f>
        <v/>
      </c>
      <c r="U766">
        <f>IF(S766="S",T766,IF(AND(S766="A",T766&lt;&gt;""),IFERROR(MATCH(INDEX('AFA Rates'!$A$5:$A$1004,T766),Firms!$A$5:$A$1004,0),""),""))</f>
        <v/>
      </c>
    </row>
    <row r="767">
      <c r="A767" s="78">
        <f>IF($T767="","",IF($S767="S",IF(INDEX(Firms!$A$5:$A$1004,$T767)="","",INDEX(Firms!$A$5:$A$1004,$T767)),IF(INDEX('AFA Rates'!$A$5:$A$1004,$T767)="","",INDEX('AFA Rates'!$A$5:$A$1004,$T767))))</f>
        <v/>
      </c>
      <c r="B767" s="79">
        <f>IF(OR($T767="",$U767=""),IF($T767="","","Not on Firms tab"),INDEX(Firms!$B$5:$B$1004,$U767)&amp;"")</f>
        <v/>
      </c>
      <c r="C767" s="78">
        <f>IF($T767="","",IF($S767="S","Standard",INDEX('AFA Rates'!$B$5:$B$1004,$T767)&amp;""))</f>
        <v/>
      </c>
      <c r="D767" s="88">
        <f>IF($T767="","",IF($S767="S",IF(INDEX(Firms!$E$5:$E$1004,$T767)="","",INDEX(Firms!$E$5:$E$1004,$T767)),IF(INDEX('AFA Rates'!$C$5:$C$1004,$T767)="","",INDEX('AFA Rates'!$C$5:$C$1004,$T767))))</f>
        <v/>
      </c>
      <c r="E767" s="88">
        <f>IF($T767="","",IF($S767="S",IF(""="","",""),IF(INDEX('AFA Rates'!$D$5:$D$1004,$T767)="","",INDEX('AFA Rates'!$D$5:$D$1004,$T767))))</f>
        <v/>
      </c>
      <c r="F767" s="79">
        <f>IF($T767="","",IF($S767="S",IF(INDEX(Firms!$O$5:$O$1004,$T767)="","",INDEX(Firms!$O$5:$O$1004,$T767)),IF(INDEX('AFA Rates'!$O$5:$O$1004,$T767)="","",INDEX('AFA Rates'!$O$5:$O$1004,$T767))))</f>
        <v/>
      </c>
      <c r="G767" s="50">
        <f>IF($T767="","",IF($S767="S",IF(INDEX(Firms!$F$5:$F$1004,$T767)="","",INDEX(Firms!$F$5:$F$1004,$T767)),IF(INDEX('AFA Rates'!$E$5:$E$1004,$T767)="","",INDEX('AFA Rates'!$E$5:$E$1004,$T767))))</f>
        <v/>
      </c>
      <c r="H767" s="50">
        <f>IF($T767="","",IF($S767="S",IF(INDEX(Firms!$G$5:$G$1004,$T767)="","",INDEX(Firms!$G$5:$G$1004,$T767)),IF(INDEX('AFA Rates'!$F$5:$F$1004,$T767)="","",INDEX('AFA Rates'!$F$5:$F$1004,$T767))))</f>
        <v/>
      </c>
      <c r="I767" s="50">
        <f>IF($T767="","",IF($S767="S",IF(INDEX(Firms!$H$5:$H$1004,$T767)="","",INDEX(Firms!$H$5:$H$1004,$T767)),IF(INDEX('AFA Rates'!$G$5:$G$1004,$T767)="","",INDEX('AFA Rates'!$G$5:$G$1004,$T767))))</f>
        <v/>
      </c>
      <c r="J767" s="50">
        <f>IF($T767="","",IF($S767="S",IF(INDEX(Firms!$I$5:$I$1004,$T767)="","",INDEX(Firms!$I$5:$I$1004,$T767)),IF(INDEX('AFA Rates'!$H$5:$H$1004,$T767)="","",INDEX('AFA Rates'!$H$5:$H$1004,$T767))))</f>
        <v/>
      </c>
      <c r="K767" s="50">
        <f>IF($T767="","",IF($S767="S",IF(INDEX(Firms!$J$5:$J$1004,$T767)="","",INDEX(Firms!$J$5:$J$1004,$T767)),IF(INDEX('AFA Rates'!$I$5:$I$1004,$T767)="","",INDEX('AFA Rates'!$I$5:$I$1004,$T767))))</f>
        <v/>
      </c>
      <c r="L767" s="50">
        <f>IF($T767="","",IF($S767="S",IF(INDEX(Firms!$K$5:$K$1004,$T767)="","",INDEX(Firms!$K$5:$K$1004,$T767)),IF(INDEX('AFA Rates'!$J$5:$J$1004,$T767)="","",INDEX('AFA Rates'!$J$5:$J$1004,$T767))))</f>
        <v/>
      </c>
      <c r="M767" s="50">
        <f>IF($T767="","",IF($S767="S",IF(INDEX(Firms!$L$5:$L$1004,$T767)="","",INDEX(Firms!$L$5:$L$1004,$T767)),IF(INDEX('AFA Rates'!$K$5:$K$1004,$T767)="","",INDEX('AFA Rates'!$K$5:$K$1004,$T767))))</f>
        <v/>
      </c>
      <c r="N767" s="50">
        <f>IF($T767="","",IF($S767="S",IF(INDEX(Firms!$M$5:$M$1004,$T767)="","",INDEX(Firms!$M$5:$M$1004,$T767)),IF(INDEX('AFA Rates'!$L$5:$L$1004,$T767)="","",INDEX('AFA Rates'!$L$5:$L$1004,$T767))))</f>
        <v/>
      </c>
      <c r="O767" s="78">
        <f>IF(OR($T767="",$U767=""),"",IF(INDEX(Firms!$C$5:$C$1004,$U767)="","",INDEX(Firms!$C$5:$C$1004,$U767)))</f>
        <v/>
      </c>
      <c r="P767" s="79">
        <f>IF(OR($T767="",$U767=""),"",IF(INDEX(Firms!$N$5:$N$1004,$U767)="","",INDEX(Firms!$N$5:$N$1004,$U767)))</f>
        <v/>
      </c>
      <c r="Q767" s="78">
        <f>IF($T767="","",IF($S767="S",IF(INDEX(Firms!$T$5:$T$1004,$T767)="","",INDEX(Firms!$T$5:$T$1004,$T767)),IF(INDEX('AFA Rates'!$M$5:$M$1004,$T767)="","",INDEX('AFA Rates'!$M$5:$M$1004,$T767))))</f>
        <v/>
      </c>
      <c r="S767">
        <f>IF(763&lt;=$S$2,"S",IF(763&lt;=$S$2+$T$2,"A",""))</f>
        <v/>
      </c>
      <c r="T767">
        <f>IF(S767="S",MATCH(763,Firms!$W$5:$W$1004,0),IF(S767="A",IFERROR(MATCH(763-$S$2,'AFA Rates'!$R$5:$R$1004,0),""),""))</f>
        <v/>
      </c>
      <c r="U767">
        <f>IF(S767="S",T767,IF(AND(S767="A",T767&lt;&gt;""),IFERROR(MATCH(INDEX('AFA Rates'!$A$5:$A$1004,T767),Firms!$A$5:$A$1004,0),""),""))</f>
        <v/>
      </c>
    </row>
    <row r="768">
      <c r="A768" s="78">
        <f>IF($T768="","",IF($S768="S",IF(INDEX(Firms!$A$5:$A$1004,$T768)="","",INDEX(Firms!$A$5:$A$1004,$T768)),IF(INDEX('AFA Rates'!$A$5:$A$1004,$T768)="","",INDEX('AFA Rates'!$A$5:$A$1004,$T768))))</f>
        <v/>
      </c>
      <c r="B768" s="79">
        <f>IF(OR($T768="",$U768=""),IF($T768="","","Not on Firms tab"),INDEX(Firms!$B$5:$B$1004,$U768)&amp;"")</f>
        <v/>
      </c>
      <c r="C768" s="78">
        <f>IF($T768="","",IF($S768="S","Standard",INDEX('AFA Rates'!$B$5:$B$1004,$T768)&amp;""))</f>
        <v/>
      </c>
      <c r="D768" s="88">
        <f>IF($T768="","",IF($S768="S",IF(INDEX(Firms!$E$5:$E$1004,$T768)="","",INDEX(Firms!$E$5:$E$1004,$T768)),IF(INDEX('AFA Rates'!$C$5:$C$1004,$T768)="","",INDEX('AFA Rates'!$C$5:$C$1004,$T768))))</f>
        <v/>
      </c>
      <c r="E768" s="88">
        <f>IF($T768="","",IF($S768="S",IF(""="","",""),IF(INDEX('AFA Rates'!$D$5:$D$1004,$T768)="","",INDEX('AFA Rates'!$D$5:$D$1004,$T768))))</f>
        <v/>
      </c>
      <c r="F768" s="79">
        <f>IF($T768="","",IF($S768="S",IF(INDEX(Firms!$O$5:$O$1004,$T768)="","",INDEX(Firms!$O$5:$O$1004,$T768)),IF(INDEX('AFA Rates'!$O$5:$O$1004,$T768)="","",INDEX('AFA Rates'!$O$5:$O$1004,$T768))))</f>
        <v/>
      </c>
      <c r="G768" s="50">
        <f>IF($T768="","",IF($S768="S",IF(INDEX(Firms!$F$5:$F$1004,$T768)="","",INDEX(Firms!$F$5:$F$1004,$T768)),IF(INDEX('AFA Rates'!$E$5:$E$1004,$T768)="","",INDEX('AFA Rates'!$E$5:$E$1004,$T768))))</f>
        <v/>
      </c>
      <c r="H768" s="50">
        <f>IF($T768="","",IF($S768="S",IF(INDEX(Firms!$G$5:$G$1004,$T768)="","",INDEX(Firms!$G$5:$G$1004,$T768)),IF(INDEX('AFA Rates'!$F$5:$F$1004,$T768)="","",INDEX('AFA Rates'!$F$5:$F$1004,$T768))))</f>
        <v/>
      </c>
      <c r="I768" s="50">
        <f>IF($T768="","",IF($S768="S",IF(INDEX(Firms!$H$5:$H$1004,$T768)="","",INDEX(Firms!$H$5:$H$1004,$T768)),IF(INDEX('AFA Rates'!$G$5:$G$1004,$T768)="","",INDEX('AFA Rates'!$G$5:$G$1004,$T768))))</f>
        <v/>
      </c>
      <c r="J768" s="50">
        <f>IF($T768="","",IF($S768="S",IF(INDEX(Firms!$I$5:$I$1004,$T768)="","",INDEX(Firms!$I$5:$I$1004,$T768)),IF(INDEX('AFA Rates'!$H$5:$H$1004,$T768)="","",INDEX('AFA Rates'!$H$5:$H$1004,$T768))))</f>
        <v/>
      </c>
      <c r="K768" s="50">
        <f>IF($T768="","",IF($S768="S",IF(INDEX(Firms!$J$5:$J$1004,$T768)="","",INDEX(Firms!$J$5:$J$1004,$T768)),IF(INDEX('AFA Rates'!$I$5:$I$1004,$T768)="","",INDEX('AFA Rates'!$I$5:$I$1004,$T768))))</f>
        <v/>
      </c>
      <c r="L768" s="50">
        <f>IF($T768="","",IF($S768="S",IF(INDEX(Firms!$K$5:$K$1004,$T768)="","",INDEX(Firms!$K$5:$K$1004,$T768)),IF(INDEX('AFA Rates'!$J$5:$J$1004,$T768)="","",INDEX('AFA Rates'!$J$5:$J$1004,$T768))))</f>
        <v/>
      </c>
      <c r="M768" s="50">
        <f>IF($T768="","",IF($S768="S",IF(INDEX(Firms!$L$5:$L$1004,$T768)="","",INDEX(Firms!$L$5:$L$1004,$T768)),IF(INDEX('AFA Rates'!$K$5:$K$1004,$T768)="","",INDEX('AFA Rates'!$K$5:$K$1004,$T768))))</f>
        <v/>
      </c>
      <c r="N768" s="50">
        <f>IF($T768="","",IF($S768="S",IF(INDEX(Firms!$M$5:$M$1004,$T768)="","",INDEX(Firms!$M$5:$M$1004,$T768)),IF(INDEX('AFA Rates'!$L$5:$L$1004,$T768)="","",INDEX('AFA Rates'!$L$5:$L$1004,$T768))))</f>
        <v/>
      </c>
      <c r="O768" s="78">
        <f>IF(OR($T768="",$U768=""),"",IF(INDEX(Firms!$C$5:$C$1004,$U768)="","",INDEX(Firms!$C$5:$C$1004,$U768)))</f>
        <v/>
      </c>
      <c r="P768" s="79">
        <f>IF(OR($T768="",$U768=""),"",IF(INDEX(Firms!$N$5:$N$1004,$U768)="","",INDEX(Firms!$N$5:$N$1004,$U768)))</f>
        <v/>
      </c>
      <c r="Q768" s="78">
        <f>IF($T768="","",IF($S768="S",IF(INDEX(Firms!$T$5:$T$1004,$T768)="","",INDEX(Firms!$T$5:$T$1004,$T768)),IF(INDEX('AFA Rates'!$M$5:$M$1004,$T768)="","",INDEX('AFA Rates'!$M$5:$M$1004,$T768))))</f>
        <v/>
      </c>
      <c r="S768">
        <f>IF(764&lt;=$S$2,"S",IF(764&lt;=$S$2+$T$2,"A",""))</f>
        <v/>
      </c>
      <c r="T768">
        <f>IF(S768="S",MATCH(764,Firms!$W$5:$W$1004,0),IF(S768="A",IFERROR(MATCH(764-$S$2,'AFA Rates'!$R$5:$R$1004,0),""),""))</f>
        <v/>
      </c>
      <c r="U768">
        <f>IF(S768="S",T768,IF(AND(S768="A",T768&lt;&gt;""),IFERROR(MATCH(INDEX('AFA Rates'!$A$5:$A$1004,T768),Firms!$A$5:$A$1004,0),""),""))</f>
        <v/>
      </c>
    </row>
    <row r="769">
      <c r="A769" s="78">
        <f>IF($T769="","",IF($S769="S",IF(INDEX(Firms!$A$5:$A$1004,$T769)="","",INDEX(Firms!$A$5:$A$1004,$T769)),IF(INDEX('AFA Rates'!$A$5:$A$1004,$T769)="","",INDEX('AFA Rates'!$A$5:$A$1004,$T769))))</f>
        <v/>
      </c>
      <c r="B769" s="79">
        <f>IF(OR($T769="",$U769=""),IF($T769="","","Not on Firms tab"),INDEX(Firms!$B$5:$B$1004,$U769)&amp;"")</f>
        <v/>
      </c>
      <c r="C769" s="78">
        <f>IF($T769="","",IF($S769="S","Standard",INDEX('AFA Rates'!$B$5:$B$1004,$T769)&amp;""))</f>
        <v/>
      </c>
      <c r="D769" s="88">
        <f>IF($T769="","",IF($S769="S",IF(INDEX(Firms!$E$5:$E$1004,$T769)="","",INDEX(Firms!$E$5:$E$1004,$T769)),IF(INDEX('AFA Rates'!$C$5:$C$1004,$T769)="","",INDEX('AFA Rates'!$C$5:$C$1004,$T769))))</f>
        <v/>
      </c>
      <c r="E769" s="88">
        <f>IF($T769="","",IF($S769="S",IF(""="","",""),IF(INDEX('AFA Rates'!$D$5:$D$1004,$T769)="","",INDEX('AFA Rates'!$D$5:$D$1004,$T769))))</f>
        <v/>
      </c>
      <c r="F769" s="79">
        <f>IF($T769="","",IF($S769="S",IF(INDEX(Firms!$O$5:$O$1004,$T769)="","",INDEX(Firms!$O$5:$O$1004,$T769)),IF(INDEX('AFA Rates'!$O$5:$O$1004,$T769)="","",INDEX('AFA Rates'!$O$5:$O$1004,$T769))))</f>
        <v/>
      </c>
      <c r="G769" s="50">
        <f>IF($T769="","",IF($S769="S",IF(INDEX(Firms!$F$5:$F$1004,$T769)="","",INDEX(Firms!$F$5:$F$1004,$T769)),IF(INDEX('AFA Rates'!$E$5:$E$1004,$T769)="","",INDEX('AFA Rates'!$E$5:$E$1004,$T769))))</f>
        <v/>
      </c>
      <c r="H769" s="50">
        <f>IF($T769="","",IF($S769="S",IF(INDEX(Firms!$G$5:$G$1004,$T769)="","",INDEX(Firms!$G$5:$G$1004,$T769)),IF(INDEX('AFA Rates'!$F$5:$F$1004,$T769)="","",INDEX('AFA Rates'!$F$5:$F$1004,$T769))))</f>
        <v/>
      </c>
      <c r="I769" s="50">
        <f>IF($T769="","",IF($S769="S",IF(INDEX(Firms!$H$5:$H$1004,$T769)="","",INDEX(Firms!$H$5:$H$1004,$T769)),IF(INDEX('AFA Rates'!$G$5:$G$1004,$T769)="","",INDEX('AFA Rates'!$G$5:$G$1004,$T769))))</f>
        <v/>
      </c>
      <c r="J769" s="50">
        <f>IF($T769="","",IF($S769="S",IF(INDEX(Firms!$I$5:$I$1004,$T769)="","",INDEX(Firms!$I$5:$I$1004,$T769)),IF(INDEX('AFA Rates'!$H$5:$H$1004,$T769)="","",INDEX('AFA Rates'!$H$5:$H$1004,$T769))))</f>
        <v/>
      </c>
      <c r="K769" s="50">
        <f>IF($T769="","",IF($S769="S",IF(INDEX(Firms!$J$5:$J$1004,$T769)="","",INDEX(Firms!$J$5:$J$1004,$T769)),IF(INDEX('AFA Rates'!$I$5:$I$1004,$T769)="","",INDEX('AFA Rates'!$I$5:$I$1004,$T769))))</f>
        <v/>
      </c>
      <c r="L769" s="50">
        <f>IF($T769="","",IF($S769="S",IF(INDEX(Firms!$K$5:$K$1004,$T769)="","",INDEX(Firms!$K$5:$K$1004,$T769)),IF(INDEX('AFA Rates'!$J$5:$J$1004,$T769)="","",INDEX('AFA Rates'!$J$5:$J$1004,$T769))))</f>
        <v/>
      </c>
      <c r="M769" s="50">
        <f>IF($T769="","",IF($S769="S",IF(INDEX(Firms!$L$5:$L$1004,$T769)="","",INDEX(Firms!$L$5:$L$1004,$T769)),IF(INDEX('AFA Rates'!$K$5:$K$1004,$T769)="","",INDEX('AFA Rates'!$K$5:$K$1004,$T769))))</f>
        <v/>
      </c>
      <c r="N769" s="50">
        <f>IF($T769="","",IF($S769="S",IF(INDEX(Firms!$M$5:$M$1004,$T769)="","",INDEX(Firms!$M$5:$M$1004,$T769)),IF(INDEX('AFA Rates'!$L$5:$L$1004,$T769)="","",INDEX('AFA Rates'!$L$5:$L$1004,$T769))))</f>
        <v/>
      </c>
      <c r="O769" s="78">
        <f>IF(OR($T769="",$U769=""),"",IF(INDEX(Firms!$C$5:$C$1004,$U769)="","",INDEX(Firms!$C$5:$C$1004,$U769)))</f>
        <v/>
      </c>
      <c r="P769" s="79">
        <f>IF(OR($T769="",$U769=""),"",IF(INDEX(Firms!$N$5:$N$1004,$U769)="","",INDEX(Firms!$N$5:$N$1004,$U769)))</f>
        <v/>
      </c>
      <c r="Q769" s="78">
        <f>IF($T769="","",IF($S769="S",IF(INDEX(Firms!$T$5:$T$1004,$T769)="","",INDEX(Firms!$T$5:$T$1004,$T769)),IF(INDEX('AFA Rates'!$M$5:$M$1004,$T769)="","",INDEX('AFA Rates'!$M$5:$M$1004,$T769))))</f>
        <v/>
      </c>
      <c r="S769">
        <f>IF(765&lt;=$S$2,"S",IF(765&lt;=$S$2+$T$2,"A",""))</f>
        <v/>
      </c>
      <c r="T769">
        <f>IF(S769="S",MATCH(765,Firms!$W$5:$W$1004,0),IF(S769="A",IFERROR(MATCH(765-$S$2,'AFA Rates'!$R$5:$R$1004,0),""),""))</f>
        <v/>
      </c>
      <c r="U769">
        <f>IF(S769="S",T769,IF(AND(S769="A",T769&lt;&gt;""),IFERROR(MATCH(INDEX('AFA Rates'!$A$5:$A$1004,T769),Firms!$A$5:$A$1004,0),""),""))</f>
        <v/>
      </c>
    </row>
    <row r="770">
      <c r="A770" s="78">
        <f>IF($T770="","",IF($S770="S",IF(INDEX(Firms!$A$5:$A$1004,$T770)="","",INDEX(Firms!$A$5:$A$1004,$T770)),IF(INDEX('AFA Rates'!$A$5:$A$1004,$T770)="","",INDEX('AFA Rates'!$A$5:$A$1004,$T770))))</f>
        <v/>
      </c>
      <c r="B770" s="79">
        <f>IF(OR($T770="",$U770=""),IF($T770="","","Not on Firms tab"),INDEX(Firms!$B$5:$B$1004,$U770)&amp;"")</f>
        <v/>
      </c>
      <c r="C770" s="78">
        <f>IF($T770="","",IF($S770="S","Standard",INDEX('AFA Rates'!$B$5:$B$1004,$T770)&amp;""))</f>
        <v/>
      </c>
      <c r="D770" s="88">
        <f>IF($T770="","",IF($S770="S",IF(INDEX(Firms!$E$5:$E$1004,$T770)="","",INDEX(Firms!$E$5:$E$1004,$T770)),IF(INDEX('AFA Rates'!$C$5:$C$1004,$T770)="","",INDEX('AFA Rates'!$C$5:$C$1004,$T770))))</f>
        <v/>
      </c>
      <c r="E770" s="88">
        <f>IF($T770="","",IF($S770="S",IF(""="","",""),IF(INDEX('AFA Rates'!$D$5:$D$1004,$T770)="","",INDEX('AFA Rates'!$D$5:$D$1004,$T770))))</f>
        <v/>
      </c>
      <c r="F770" s="79">
        <f>IF($T770="","",IF($S770="S",IF(INDEX(Firms!$O$5:$O$1004,$T770)="","",INDEX(Firms!$O$5:$O$1004,$T770)),IF(INDEX('AFA Rates'!$O$5:$O$1004,$T770)="","",INDEX('AFA Rates'!$O$5:$O$1004,$T770))))</f>
        <v/>
      </c>
      <c r="G770" s="50">
        <f>IF($T770="","",IF($S770="S",IF(INDEX(Firms!$F$5:$F$1004,$T770)="","",INDEX(Firms!$F$5:$F$1004,$T770)),IF(INDEX('AFA Rates'!$E$5:$E$1004,$T770)="","",INDEX('AFA Rates'!$E$5:$E$1004,$T770))))</f>
        <v/>
      </c>
      <c r="H770" s="50">
        <f>IF($T770="","",IF($S770="S",IF(INDEX(Firms!$G$5:$G$1004,$T770)="","",INDEX(Firms!$G$5:$G$1004,$T770)),IF(INDEX('AFA Rates'!$F$5:$F$1004,$T770)="","",INDEX('AFA Rates'!$F$5:$F$1004,$T770))))</f>
        <v/>
      </c>
      <c r="I770" s="50">
        <f>IF($T770="","",IF($S770="S",IF(INDEX(Firms!$H$5:$H$1004,$T770)="","",INDEX(Firms!$H$5:$H$1004,$T770)),IF(INDEX('AFA Rates'!$G$5:$G$1004,$T770)="","",INDEX('AFA Rates'!$G$5:$G$1004,$T770))))</f>
        <v/>
      </c>
      <c r="J770" s="50">
        <f>IF($T770="","",IF($S770="S",IF(INDEX(Firms!$I$5:$I$1004,$T770)="","",INDEX(Firms!$I$5:$I$1004,$T770)),IF(INDEX('AFA Rates'!$H$5:$H$1004,$T770)="","",INDEX('AFA Rates'!$H$5:$H$1004,$T770))))</f>
        <v/>
      </c>
      <c r="K770" s="50">
        <f>IF($T770="","",IF($S770="S",IF(INDEX(Firms!$J$5:$J$1004,$T770)="","",INDEX(Firms!$J$5:$J$1004,$T770)),IF(INDEX('AFA Rates'!$I$5:$I$1004,$T770)="","",INDEX('AFA Rates'!$I$5:$I$1004,$T770))))</f>
        <v/>
      </c>
      <c r="L770" s="50">
        <f>IF($T770="","",IF($S770="S",IF(INDEX(Firms!$K$5:$K$1004,$T770)="","",INDEX(Firms!$K$5:$K$1004,$T770)),IF(INDEX('AFA Rates'!$J$5:$J$1004,$T770)="","",INDEX('AFA Rates'!$J$5:$J$1004,$T770))))</f>
        <v/>
      </c>
      <c r="M770" s="50">
        <f>IF($T770="","",IF($S770="S",IF(INDEX(Firms!$L$5:$L$1004,$T770)="","",INDEX(Firms!$L$5:$L$1004,$T770)),IF(INDEX('AFA Rates'!$K$5:$K$1004,$T770)="","",INDEX('AFA Rates'!$K$5:$K$1004,$T770))))</f>
        <v/>
      </c>
      <c r="N770" s="50">
        <f>IF($T770="","",IF($S770="S",IF(INDEX(Firms!$M$5:$M$1004,$T770)="","",INDEX(Firms!$M$5:$M$1004,$T770)),IF(INDEX('AFA Rates'!$L$5:$L$1004,$T770)="","",INDEX('AFA Rates'!$L$5:$L$1004,$T770))))</f>
        <v/>
      </c>
      <c r="O770" s="78">
        <f>IF(OR($T770="",$U770=""),"",IF(INDEX(Firms!$C$5:$C$1004,$U770)="","",INDEX(Firms!$C$5:$C$1004,$U770)))</f>
        <v/>
      </c>
      <c r="P770" s="79">
        <f>IF(OR($T770="",$U770=""),"",IF(INDEX(Firms!$N$5:$N$1004,$U770)="","",INDEX(Firms!$N$5:$N$1004,$U770)))</f>
        <v/>
      </c>
      <c r="Q770" s="78">
        <f>IF($T770="","",IF($S770="S",IF(INDEX(Firms!$T$5:$T$1004,$T770)="","",INDEX(Firms!$T$5:$T$1004,$T770)),IF(INDEX('AFA Rates'!$M$5:$M$1004,$T770)="","",INDEX('AFA Rates'!$M$5:$M$1004,$T770))))</f>
        <v/>
      </c>
      <c r="S770">
        <f>IF(766&lt;=$S$2,"S",IF(766&lt;=$S$2+$T$2,"A",""))</f>
        <v/>
      </c>
      <c r="T770">
        <f>IF(S770="S",MATCH(766,Firms!$W$5:$W$1004,0),IF(S770="A",IFERROR(MATCH(766-$S$2,'AFA Rates'!$R$5:$R$1004,0),""),""))</f>
        <v/>
      </c>
      <c r="U770">
        <f>IF(S770="S",T770,IF(AND(S770="A",T770&lt;&gt;""),IFERROR(MATCH(INDEX('AFA Rates'!$A$5:$A$1004,T770),Firms!$A$5:$A$1004,0),""),""))</f>
        <v/>
      </c>
    </row>
    <row r="771">
      <c r="A771" s="78">
        <f>IF($T771="","",IF($S771="S",IF(INDEX(Firms!$A$5:$A$1004,$T771)="","",INDEX(Firms!$A$5:$A$1004,$T771)),IF(INDEX('AFA Rates'!$A$5:$A$1004,$T771)="","",INDEX('AFA Rates'!$A$5:$A$1004,$T771))))</f>
        <v/>
      </c>
      <c r="B771" s="79">
        <f>IF(OR($T771="",$U771=""),IF($T771="","","Not on Firms tab"),INDEX(Firms!$B$5:$B$1004,$U771)&amp;"")</f>
        <v/>
      </c>
      <c r="C771" s="78">
        <f>IF($T771="","",IF($S771="S","Standard",INDEX('AFA Rates'!$B$5:$B$1004,$T771)&amp;""))</f>
        <v/>
      </c>
      <c r="D771" s="88">
        <f>IF($T771="","",IF($S771="S",IF(INDEX(Firms!$E$5:$E$1004,$T771)="","",INDEX(Firms!$E$5:$E$1004,$T771)),IF(INDEX('AFA Rates'!$C$5:$C$1004,$T771)="","",INDEX('AFA Rates'!$C$5:$C$1004,$T771))))</f>
        <v/>
      </c>
      <c r="E771" s="88">
        <f>IF($T771="","",IF($S771="S",IF(""="","",""),IF(INDEX('AFA Rates'!$D$5:$D$1004,$T771)="","",INDEX('AFA Rates'!$D$5:$D$1004,$T771))))</f>
        <v/>
      </c>
      <c r="F771" s="79">
        <f>IF($T771="","",IF($S771="S",IF(INDEX(Firms!$O$5:$O$1004,$T771)="","",INDEX(Firms!$O$5:$O$1004,$T771)),IF(INDEX('AFA Rates'!$O$5:$O$1004,$T771)="","",INDEX('AFA Rates'!$O$5:$O$1004,$T771))))</f>
        <v/>
      </c>
      <c r="G771" s="50">
        <f>IF($T771="","",IF($S771="S",IF(INDEX(Firms!$F$5:$F$1004,$T771)="","",INDEX(Firms!$F$5:$F$1004,$T771)),IF(INDEX('AFA Rates'!$E$5:$E$1004,$T771)="","",INDEX('AFA Rates'!$E$5:$E$1004,$T771))))</f>
        <v/>
      </c>
      <c r="H771" s="50">
        <f>IF($T771="","",IF($S771="S",IF(INDEX(Firms!$G$5:$G$1004,$T771)="","",INDEX(Firms!$G$5:$G$1004,$T771)),IF(INDEX('AFA Rates'!$F$5:$F$1004,$T771)="","",INDEX('AFA Rates'!$F$5:$F$1004,$T771))))</f>
        <v/>
      </c>
      <c r="I771" s="50">
        <f>IF($T771="","",IF($S771="S",IF(INDEX(Firms!$H$5:$H$1004,$T771)="","",INDEX(Firms!$H$5:$H$1004,$T771)),IF(INDEX('AFA Rates'!$G$5:$G$1004,$T771)="","",INDEX('AFA Rates'!$G$5:$G$1004,$T771))))</f>
        <v/>
      </c>
      <c r="J771" s="50">
        <f>IF($T771="","",IF($S771="S",IF(INDEX(Firms!$I$5:$I$1004,$T771)="","",INDEX(Firms!$I$5:$I$1004,$T771)),IF(INDEX('AFA Rates'!$H$5:$H$1004,$T771)="","",INDEX('AFA Rates'!$H$5:$H$1004,$T771))))</f>
        <v/>
      </c>
      <c r="K771" s="50">
        <f>IF($T771="","",IF($S771="S",IF(INDEX(Firms!$J$5:$J$1004,$T771)="","",INDEX(Firms!$J$5:$J$1004,$T771)),IF(INDEX('AFA Rates'!$I$5:$I$1004,$T771)="","",INDEX('AFA Rates'!$I$5:$I$1004,$T771))))</f>
        <v/>
      </c>
      <c r="L771" s="50">
        <f>IF($T771="","",IF($S771="S",IF(INDEX(Firms!$K$5:$K$1004,$T771)="","",INDEX(Firms!$K$5:$K$1004,$T771)),IF(INDEX('AFA Rates'!$J$5:$J$1004,$T771)="","",INDEX('AFA Rates'!$J$5:$J$1004,$T771))))</f>
        <v/>
      </c>
      <c r="M771" s="50">
        <f>IF($T771="","",IF($S771="S",IF(INDEX(Firms!$L$5:$L$1004,$T771)="","",INDEX(Firms!$L$5:$L$1004,$T771)),IF(INDEX('AFA Rates'!$K$5:$K$1004,$T771)="","",INDEX('AFA Rates'!$K$5:$K$1004,$T771))))</f>
        <v/>
      </c>
      <c r="N771" s="50">
        <f>IF($T771="","",IF($S771="S",IF(INDEX(Firms!$M$5:$M$1004,$T771)="","",INDEX(Firms!$M$5:$M$1004,$T771)),IF(INDEX('AFA Rates'!$L$5:$L$1004,$T771)="","",INDEX('AFA Rates'!$L$5:$L$1004,$T771))))</f>
        <v/>
      </c>
      <c r="O771" s="78">
        <f>IF(OR($T771="",$U771=""),"",IF(INDEX(Firms!$C$5:$C$1004,$U771)="","",INDEX(Firms!$C$5:$C$1004,$U771)))</f>
        <v/>
      </c>
      <c r="P771" s="79">
        <f>IF(OR($T771="",$U771=""),"",IF(INDEX(Firms!$N$5:$N$1004,$U771)="","",INDEX(Firms!$N$5:$N$1004,$U771)))</f>
        <v/>
      </c>
      <c r="Q771" s="78">
        <f>IF($T771="","",IF($S771="S",IF(INDEX(Firms!$T$5:$T$1004,$T771)="","",INDEX(Firms!$T$5:$T$1004,$T771)),IF(INDEX('AFA Rates'!$M$5:$M$1004,$T771)="","",INDEX('AFA Rates'!$M$5:$M$1004,$T771))))</f>
        <v/>
      </c>
      <c r="S771">
        <f>IF(767&lt;=$S$2,"S",IF(767&lt;=$S$2+$T$2,"A",""))</f>
        <v/>
      </c>
      <c r="T771">
        <f>IF(S771="S",MATCH(767,Firms!$W$5:$W$1004,0),IF(S771="A",IFERROR(MATCH(767-$S$2,'AFA Rates'!$R$5:$R$1004,0),""),""))</f>
        <v/>
      </c>
      <c r="U771">
        <f>IF(S771="S",T771,IF(AND(S771="A",T771&lt;&gt;""),IFERROR(MATCH(INDEX('AFA Rates'!$A$5:$A$1004,T771),Firms!$A$5:$A$1004,0),""),""))</f>
        <v/>
      </c>
    </row>
    <row r="772">
      <c r="A772" s="78">
        <f>IF($T772="","",IF($S772="S",IF(INDEX(Firms!$A$5:$A$1004,$T772)="","",INDEX(Firms!$A$5:$A$1004,$T772)),IF(INDEX('AFA Rates'!$A$5:$A$1004,$T772)="","",INDEX('AFA Rates'!$A$5:$A$1004,$T772))))</f>
        <v/>
      </c>
      <c r="B772" s="79">
        <f>IF(OR($T772="",$U772=""),IF($T772="","","Not on Firms tab"),INDEX(Firms!$B$5:$B$1004,$U772)&amp;"")</f>
        <v/>
      </c>
      <c r="C772" s="78">
        <f>IF($T772="","",IF($S772="S","Standard",INDEX('AFA Rates'!$B$5:$B$1004,$T772)&amp;""))</f>
        <v/>
      </c>
      <c r="D772" s="88">
        <f>IF($T772="","",IF($S772="S",IF(INDEX(Firms!$E$5:$E$1004,$T772)="","",INDEX(Firms!$E$5:$E$1004,$T772)),IF(INDEX('AFA Rates'!$C$5:$C$1004,$T772)="","",INDEX('AFA Rates'!$C$5:$C$1004,$T772))))</f>
        <v/>
      </c>
      <c r="E772" s="88">
        <f>IF($T772="","",IF($S772="S",IF(""="","",""),IF(INDEX('AFA Rates'!$D$5:$D$1004,$T772)="","",INDEX('AFA Rates'!$D$5:$D$1004,$T772))))</f>
        <v/>
      </c>
      <c r="F772" s="79">
        <f>IF($T772="","",IF($S772="S",IF(INDEX(Firms!$O$5:$O$1004,$T772)="","",INDEX(Firms!$O$5:$O$1004,$T772)),IF(INDEX('AFA Rates'!$O$5:$O$1004,$T772)="","",INDEX('AFA Rates'!$O$5:$O$1004,$T772))))</f>
        <v/>
      </c>
      <c r="G772" s="50">
        <f>IF($T772="","",IF($S772="S",IF(INDEX(Firms!$F$5:$F$1004,$T772)="","",INDEX(Firms!$F$5:$F$1004,$T772)),IF(INDEX('AFA Rates'!$E$5:$E$1004,$T772)="","",INDEX('AFA Rates'!$E$5:$E$1004,$T772))))</f>
        <v/>
      </c>
      <c r="H772" s="50">
        <f>IF($T772="","",IF($S772="S",IF(INDEX(Firms!$G$5:$G$1004,$T772)="","",INDEX(Firms!$G$5:$G$1004,$T772)),IF(INDEX('AFA Rates'!$F$5:$F$1004,$T772)="","",INDEX('AFA Rates'!$F$5:$F$1004,$T772))))</f>
        <v/>
      </c>
      <c r="I772" s="50">
        <f>IF($T772="","",IF($S772="S",IF(INDEX(Firms!$H$5:$H$1004,$T772)="","",INDEX(Firms!$H$5:$H$1004,$T772)),IF(INDEX('AFA Rates'!$G$5:$G$1004,$T772)="","",INDEX('AFA Rates'!$G$5:$G$1004,$T772))))</f>
        <v/>
      </c>
      <c r="J772" s="50">
        <f>IF($T772="","",IF($S772="S",IF(INDEX(Firms!$I$5:$I$1004,$T772)="","",INDEX(Firms!$I$5:$I$1004,$T772)),IF(INDEX('AFA Rates'!$H$5:$H$1004,$T772)="","",INDEX('AFA Rates'!$H$5:$H$1004,$T772))))</f>
        <v/>
      </c>
      <c r="K772" s="50">
        <f>IF($T772="","",IF($S772="S",IF(INDEX(Firms!$J$5:$J$1004,$T772)="","",INDEX(Firms!$J$5:$J$1004,$T772)),IF(INDEX('AFA Rates'!$I$5:$I$1004,$T772)="","",INDEX('AFA Rates'!$I$5:$I$1004,$T772))))</f>
        <v/>
      </c>
      <c r="L772" s="50">
        <f>IF($T772="","",IF($S772="S",IF(INDEX(Firms!$K$5:$K$1004,$T772)="","",INDEX(Firms!$K$5:$K$1004,$T772)),IF(INDEX('AFA Rates'!$J$5:$J$1004,$T772)="","",INDEX('AFA Rates'!$J$5:$J$1004,$T772))))</f>
        <v/>
      </c>
      <c r="M772" s="50">
        <f>IF($T772="","",IF($S772="S",IF(INDEX(Firms!$L$5:$L$1004,$T772)="","",INDEX(Firms!$L$5:$L$1004,$T772)),IF(INDEX('AFA Rates'!$K$5:$K$1004,$T772)="","",INDEX('AFA Rates'!$K$5:$K$1004,$T772))))</f>
        <v/>
      </c>
      <c r="N772" s="50">
        <f>IF($T772="","",IF($S772="S",IF(INDEX(Firms!$M$5:$M$1004,$T772)="","",INDEX(Firms!$M$5:$M$1004,$T772)),IF(INDEX('AFA Rates'!$L$5:$L$1004,$T772)="","",INDEX('AFA Rates'!$L$5:$L$1004,$T772))))</f>
        <v/>
      </c>
      <c r="O772" s="78">
        <f>IF(OR($T772="",$U772=""),"",IF(INDEX(Firms!$C$5:$C$1004,$U772)="","",INDEX(Firms!$C$5:$C$1004,$U772)))</f>
        <v/>
      </c>
      <c r="P772" s="79">
        <f>IF(OR($T772="",$U772=""),"",IF(INDEX(Firms!$N$5:$N$1004,$U772)="","",INDEX(Firms!$N$5:$N$1004,$U772)))</f>
        <v/>
      </c>
      <c r="Q772" s="78">
        <f>IF($T772="","",IF($S772="S",IF(INDEX(Firms!$T$5:$T$1004,$T772)="","",INDEX(Firms!$T$5:$T$1004,$T772)),IF(INDEX('AFA Rates'!$M$5:$M$1004,$T772)="","",INDEX('AFA Rates'!$M$5:$M$1004,$T772))))</f>
        <v/>
      </c>
      <c r="S772">
        <f>IF(768&lt;=$S$2,"S",IF(768&lt;=$S$2+$T$2,"A",""))</f>
        <v/>
      </c>
      <c r="T772">
        <f>IF(S772="S",MATCH(768,Firms!$W$5:$W$1004,0),IF(S772="A",IFERROR(MATCH(768-$S$2,'AFA Rates'!$R$5:$R$1004,0),""),""))</f>
        <v/>
      </c>
      <c r="U772">
        <f>IF(S772="S",T772,IF(AND(S772="A",T772&lt;&gt;""),IFERROR(MATCH(INDEX('AFA Rates'!$A$5:$A$1004,T772),Firms!$A$5:$A$1004,0),""),""))</f>
        <v/>
      </c>
    </row>
    <row r="773">
      <c r="A773" s="78">
        <f>IF($T773="","",IF($S773="S",IF(INDEX(Firms!$A$5:$A$1004,$T773)="","",INDEX(Firms!$A$5:$A$1004,$T773)),IF(INDEX('AFA Rates'!$A$5:$A$1004,$T773)="","",INDEX('AFA Rates'!$A$5:$A$1004,$T773))))</f>
        <v/>
      </c>
      <c r="B773" s="79">
        <f>IF(OR($T773="",$U773=""),IF($T773="","","Not on Firms tab"),INDEX(Firms!$B$5:$B$1004,$U773)&amp;"")</f>
        <v/>
      </c>
      <c r="C773" s="78">
        <f>IF($T773="","",IF($S773="S","Standard",INDEX('AFA Rates'!$B$5:$B$1004,$T773)&amp;""))</f>
        <v/>
      </c>
      <c r="D773" s="88">
        <f>IF($T773="","",IF($S773="S",IF(INDEX(Firms!$E$5:$E$1004,$T773)="","",INDEX(Firms!$E$5:$E$1004,$T773)),IF(INDEX('AFA Rates'!$C$5:$C$1004,$T773)="","",INDEX('AFA Rates'!$C$5:$C$1004,$T773))))</f>
        <v/>
      </c>
      <c r="E773" s="88">
        <f>IF($T773="","",IF($S773="S",IF(""="","",""),IF(INDEX('AFA Rates'!$D$5:$D$1004,$T773)="","",INDEX('AFA Rates'!$D$5:$D$1004,$T773))))</f>
        <v/>
      </c>
      <c r="F773" s="79">
        <f>IF($T773="","",IF($S773="S",IF(INDEX(Firms!$O$5:$O$1004,$T773)="","",INDEX(Firms!$O$5:$O$1004,$T773)),IF(INDEX('AFA Rates'!$O$5:$O$1004,$T773)="","",INDEX('AFA Rates'!$O$5:$O$1004,$T773))))</f>
        <v/>
      </c>
      <c r="G773" s="50">
        <f>IF($T773="","",IF($S773="S",IF(INDEX(Firms!$F$5:$F$1004,$T773)="","",INDEX(Firms!$F$5:$F$1004,$T773)),IF(INDEX('AFA Rates'!$E$5:$E$1004,$T773)="","",INDEX('AFA Rates'!$E$5:$E$1004,$T773))))</f>
        <v/>
      </c>
      <c r="H773" s="50">
        <f>IF($T773="","",IF($S773="S",IF(INDEX(Firms!$G$5:$G$1004,$T773)="","",INDEX(Firms!$G$5:$G$1004,$T773)),IF(INDEX('AFA Rates'!$F$5:$F$1004,$T773)="","",INDEX('AFA Rates'!$F$5:$F$1004,$T773))))</f>
        <v/>
      </c>
      <c r="I773" s="50">
        <f>IF($T773="","",IF($S773="S",IF(INDEX(Firms!$H$5:$H$1004,$T773)="","",INDEX(Firms!$H$5:$H$1004,$T773)),IF(INDEX('AFA Rates'!$G$5:$G$1004,$T773)="","",INDEX('AFA Rates'!$G$5:$G$1004,$T773))))</f>
        <v/>
      </c>
      <c r="J773" s="50">
        <f>IF($T773="","",IF($S773="S",IF(INDEX(Firms!$I$5:$I$1004,$T773)="","",INDEX(Firms!$I$5:$I$1004,$T773)),IF(INDEX('AFA Rates'!$H$5:$H$1004,$T773)="","",INDEX('AFA Rates'!$H$5:$H$1004,$T773))))</f>
        <v/>
      </c>
      <c r="K773" s="50">
        <f>IF($T773="","",IF($S773="S",IF(INDEX(Firms!$J$5:$J$1004,$T773)="","",INDEX(Firms!$J$5:$J$1004,$T773)),IF(INDEX('AFA Rates'!$I$5:$I$1004,$T773)="","",INDEX('AFA Rates'!$I$5:$I$1004,$T773))))</f>
        <v/>
      </c>
      <c r="L773" s="50">
        <f>IF($T773="","",IF($S773="S",IF(INDEX(Firms!$K$5:$K$1004,$T773)="","",INDEX(Firms!$K$5:$K$1004,$T773)),IF(INDEX('AFA Rates'!$J$5:$J$1004,$T773)="","",INDEX('AFA Rates'!$J$5:$J$1004,$T773))))</f>
        <v/>
      </c>
      <c r="M773" s="50">
        <f>IF($T773="","",IF($S773="S",IF(INDEX(Firms!$L$5:$L$1004,$T773)="","",INDEX(Firms!$L$5:$L$1004,$T773)),IF(INDEX('AFA Rates'!$K$5:$K$1004,$T773)="","",INDEX('AFA Rates'!$K$5:$K$1004,$T773))))</f>
        <v/>
      </c>
      <c r="N773" s="50">
        <f>IF($T773="","",IF($S773="S",IF(INDEX(Firms!$M$5:$M$1004,$T773)="","",INDEX(Firms!$M$5:$M$1004,$T773)),IF(INDEX('AFA Rates'!$L$5:$L$1004,$T773)="","",INDEX('AFA Rates'!$L$5:$L$1004,$T773))))</f>
        <v/>
      </c>
      <c r="O773" s="78">
        <f>IF(OR($T773="",$U773=""),"",IF(INDEX(Firms!$C$5:$C$1004,$U773)="","",INDEX(Firms!$C$5:$C$1004,$U773)))</f>
        <v/>
      </c>
      <c r="P773" s="79">
        <f>IF(OR($T773="",$U773=""),"",IF(INDEX(Firms!$N$5:$N$1004,$U773)="","",INDEX(Firms!$N$5:$N$1004,$U773)))</f>
        <v/>
      </c>
      <c r="Q773" s="78">
        <f>IF($T773="","",IF($S773="S",IF(INDEX(Firms!$T$5:$T$1004,$T773)="","",INDEX(Firms!$T$5:$T$1004,$T773)),IF(INDEX('AFA Rates'!$M$5:$M$1004,$T773)="","",INDEX('AFA Rates'!$M$5:$M$1004,$T773))))</f>
        <v/>
      </c>
      <c r="S773">
        <f>IF(769&lt;=$S$2,"S",IF(769&lt;=$S$2+$T$2,"A",""))</f>
        <v/>
      </c>
      <c r="T773">
        <f>IF(S773="S",MATCH(769,Firms!$W$5:$W$1004,0),IF(S773="A",IFERROR(MATCH(769-$S$2,'AFA Rates'!$R$5:$R$1004,0),""),""))</f>
        <v/>
      </c>
      <c r="U773">
        <f>IF(S773="S",T773,IF(AND(S773="A",T773&lt;&gt;""),IFERROR(MATCH(INDEX('AFA Rates'!$A$5:$A$1004,T773),Firms!$A$5:$A$1004,0),""),""))</f>
        <v/>
      </c>
    </row>
    <row r="774">
      <c r="A774" s="78">
        <f>IF($T774="","",IF($S774="S",IF(INDEX(Firms!$A$5:$A$1004,$T774)="","",INDEX(Firms!$A$5:$A$1004,$T774)),IF(INDEX('AFA Rates'!$A$5:$A$1004,$T774)="","",INDEX('AFA Rates'!$A$5:$A$1004,$T774))))</f>
        <v/>
      </c>
      <c r="B774" s="79">
        <f>IF(OR($T774="",$U774=""),IF($T774="","","Not on Firms tab"),INDEX(Firms!$B$5:$B$1004,$U774)&amp;"")</f>
        <v/>
      </c>
      <c r="C774" s="78">
        <f>IF($T774="","",IF($S774="S","Standard",INDEX('AFA Rates'!$B$5:$B$1004,$T774)&amp;""))</f>
        <v/>
      </c>
      <c r="D774" s="88">
        <f>IF($T774="","",IF($S774="S",IF(INDEX(Firms!$E$5:$E$1004,$T774)="","",INDEX(Firms!$E$5:$E$1004,$T774)),IF(INDEX('AFA Rates'!$C$5:$C$1004,$T774)="","",INDEX('AFA Rates'!$C$5:$C$1004,$T774))))</f>
        <v/>
      </c>
      <c r="E774" s="88">
        <f>IF($T774="","",IF($S774="S",IF(""="","",""),IF(INDEX('AFA Rates'!$D$5:$D$1004,$T774)="","",INDEX('AFA Rates'!$D$5:$D$1004,$T774))))</f>
        <v/>
      </c>
      <c r="F774" s="79">
        <f>IF($T774="","",IF($S774="S",IF(INDEX(Firms!$O$5:$O$1004,$T774)="","",INDEX(Firms!$O$5:$O$1004,$T774)),IF(INDEX('AFA Rates'!$O$5:$O$1004,$T774)="","",INDEX('AFA Rates'!$O$5:$O$1004,$T774))))</f>
        <v/>
      </c>
      <c r="G774" s="50">
        <f>IF($T774="","",IF($S774="S",IF(INDEX(Firms!$F$5:$F$1004,$T774)="","",INDEX(Firms!$F$5:$F$1004,$T774)),IF(INDEX('AFA Rates'!$E$5:$E$1004,$T774)="","",INDEX('AFA Rates'!$E$5:$E$1004,$T774))))</f>
        <v/>
      </c>
      <c r="H774" s="50">
        <f>IF($T774="","",IF($S774="S",IF(INDEX(Firms!$G$5:$G$1004,$T774)="","",INDEX(Firms!$G$5:$G$1004,$T774)),IF(INDEX('AFA Rates'!$F$5:$F$1004,$T774)="","",INDEX('AFA Rates'!$F$5:$F$1004,$T774))))</f>
        <v/>
      </c>
      <c r="I774" s="50">
        <f>IF($T774="","",IF($S774="S",IF(INDEX(Firms!$H$5:$H$1004,$T774)="","",INDEX(Firms!$H$5:$H$1004,$T774)),IF(INDEX('AFA Rates'!$G$5:$G$1004,$T774)="","",INDEX('AFA Rates'!$G$5:$G$1004,$T774))))</f>
        <v/>
      </c>
      <c r="J774" s="50">
        <f>IF($T774="","",IF($S774="S",IF(INDEX(Firms!$I$5:$I$1004,$T774)="","",INDEX(Firms!$I$5:$I$1004,$T774)),IF(INDEX('AFA Rates'!$H$5:$H$1004,$T774)="","",INDEX('AFA Rates'!$H$5:$H$1004,$T774))))</f>
        <v/>
      </c>
      <c r="K774" s="50">
        <f>IF($T774="","",IF($S774="S",IF(INDEX(Firms!$J$5:$J$1004,$T774)="","",INDEX(Firms!$J$5:$J$1004,$T774)),IF(INDEX('AFA Rates'!$I$5:$I$1004,$T774)="","",INDEX('AFA Rates'!$I$5:$I$1004,$T774))))</f>
        <v/>
      </c>
      <c r="L774" s="50">
        <f>IF($T774="","",IF($S774="S",IF(INDEX(Firms!$K$5:$K$1004,$T774)="","",INDEX(Firms!$K$5:$K$1004,$T774)),IF(INDEX('AFA Rates'!$J$5:$J$1004,$T774)="","",INDEX('AFA Rates'!$J$5:$J$1004,$T774))))</f>
        <v/>
      </c>
      <c r="M774" s="50">
        <f>IF($T774="","",IF($S774="S",IF(INDEX(Firms!$L$5:$L$1004,$T774)="","",INDEX(Firms!$L$5:$L$1004,$T774)),IF(INDEX('AFA Rates'!$K$5:$K$1004,$T774)="","",INDEX('AFA Rates'!$K$5:$K$1004,$T774))))</f>
        <v/>
      </c>
      <c r="N774" s="50">
        <f>IF($T774="","",IF($S774="S",IF(INDEX(Firms!$M$5:$M$1004,$T774)="","",INDEX(Firms!$M$5:$M$1004,$T774)),IF(INDEX('AFA Rates'!$L$5:$L$1004,$T774)="","",INDEX('AFA Rates'!$L$5:$L$1004,$T774))))</f>
        <v/>
      </c>
      <c r="O774" s="78">
        <f>IF(OR($T774="",$U774=""),"",IF(INDEX(Firms!$C$5:$C$1004,$U774)="","",INDEX(Firms!$C$5:$C$1004,$U774)))</f>
        <v/>
      </c>
      <c r="P774" s="79">
        <f>IF(OR($T774="",$U774=""),"",IF(INDEX(Firms!$N$5:$N$1004,$U774)="","",INDEX(Firms!$N$5:$N$1004,$U774)))</f>
        <v/>
      </c>
      <c r="Q774" s="78">
        <f>IF($T774="","",IF($S774="S",IF(INDEX(Firms!$T$5:$T$1004,$T774)="","",INDEX(Firms!$T$5:$T$1004,$T774)),IF(INDEX('AFA Rates'!$M$5:$M$1004,$T774)="","",INDEX('AFA Rates'!$M$5:$M$1004,$T774))))</f>
        <v/>
      </c>
      <c r="S774">
        <f>IF(770&lt;=$S$2,"S",IF(770&lt;=$S$2+$T$2,"A",""))</f>
        <v/>
      </c>
      <c r="T774">
        <f>IF(S774="S",MATCH(770,Firms!$W$5:$W$1004,0),IF(S774="A",IFERROR(MATCH(770-$S$2,'AFA Rates'!$R$5:$R$1004,0),""),""))</f>
        <v/>
      </c>
      <c r="U774">
        <f>IF(S774="S",T774,IF(AND(S774="A",T774&lt;&gt;""),IFERROR(MATCH(INDEX('AFA Rates'!$A$5:$A$1004,T774),Firms!$A$5:$A$1004,0),""),""))</f>
        <v/>
      </c>
    </row>
    <row r="775">
      <c r="A775" s="78">
        <f>IF($T775="","",IF($S775="S",IF(INDEX(Firms!$A$5:$A$1004,$T775)="","",INDEX(Firms!$A$5:$A$1004,$T775)),IF(INDEX('AFA Rates'!$A$5:$A$1004,$T775)="","",INDEX('AFA Rates'!$A$5:$A$1004,$T775))))</f>
        <v/>
      </c>
      <c r="B775" s="79">
        <f>IF(OR($T775="",$U775=""),IF($T775="","","Not on Firms tab"),INDEX(Firms!$B$5:$B$1004,$U775)&amp;"")</f>
        <v/>
      </c>
      <c r="C775" s="78">
        <f>IF($T775="","",IF($S775="S","Standard",INDEX('AFA Rates'!$B$5:$B$1004,$T775)&amp;""))</f>
        <v/>
      </c>
      <c r="D775" s="88">
        <f>IF($T775="","",IF($S775="S",IF(INDEX(Firms!$E$5:$E$1004,$T775)="","",INDEX(Firms!$E$5:$E$1004,$T775)),IF(INDEX('AFA Rates'!$C$5:$C$1004,$T775)="","",INDEX('AFA Rates'!$C$5:$C$1004,$T775))))</f>
        <v/>
      </c>
      <c r="E775" s="88">
        <f>IF($T775="","",IF($S775="S",IF(""="","",""),IF(INDEX('AFA Rates'!$D$5:$D$1004,$T775)="","",INDEX('AFA Rates'!$D$5:$D$1004,$T775))))</f>
        <v/>
      </c>
      <c r="F775" s="79">
        <f>IF($T775="","",IF($S775="S",IF(INDEX(Firms!$O$5:$O$1004,$T775)="","",INDEX(Firms!$O$5:$O$1004,$T775)),IF(INDEX('AFA Rates'!$O$5:$O$1004,$T775)="","",INDEX('AFA Rates'!$O$5:$O$1004,$T775))))</f>
        <v/>
      </c>
      <c r="G775" s="50">
        <f>IF($T775="","",IF($S775="S",IF(INDEX(Firms!$F$5:$F$1004,$T775)="","",INDEX(Firms!$F$5:$F$1004,$T775)),IF(INDEX('AFA Rates'!$E$5:$E$1004,$T775)="","",INDEX('AFA Rates'!$E$5:$E$1004,$T775))))</f>
        <v/>
      </c>
      <c r="H775" s="50">
        <f>IF($T775="","",IF($S775="S",IF(INDEX(Firms!$G$5:$G$1004,$T775)="","",INDEX(Firms!$G$5:$G$1004,$T775)),IF(INDEX('AFA Rates'!$F$5:$F$1004,$T775)="","",INDEX('AFA Rates'!$F$5:$F$1004,$T775))))</f>
        <v/>
      </c>
      <c r="I775" s="50">
        <f>IF($T775="","",IF($S775="S",IF(INDEX(Firms!$H$5:$H$1004,$T775)="","",INDEX(Firms!$H$5:$H$1004,$T775)),IF(INDEX('AFA Rates'!$G$5:$G$1004,$T775)="","",INDEX('AFA Rates'!$G$5:$G$1004,$T775))))</f>
        <v/>
      </c>
      <c r="J775" s="50">
        <f>IF($T775="","",IF($S775="S",IF(INDEX(Firms!$I$5:$I$1004,$T775)="","",INDEX(Firms!$I$5:$I$1004,$T775)),IF(INDEX('AFA Rates'!$H$5:$H$1004,$T775)="","",INDEX('AFA Rates'!$H$5:$H$1004,$T775))))</f>
        <v/>
      </c>
      <c r="K775" s="50">
        <f>IF($T775="","",IF($S775="S",IF(INDEX(Firms!$J$5:$J$1004,$T775)="","",INDEX(Firms!$J$5:$J$1004,$T775)),IF(INDEX('AFA Rates'!$I$5:$I$1004,$T775)="","",INDEX('AFA Rates'!$I$5:$I$1004,$T775))))</f>
        <v/>
      </c>
      <c r="L775" s="50">
        <f>IF($T775="","",IF($S775="S",IF(INDEX(Firms!$K$5:$K$1004,$T775)="","",INDEX(Firms!$K$5:$K$1004,$T775)),IF(INDEX('AFA Rates'!$J$5:$J$1004,$T775)="","",INDEX('AFA Rates'!$J$5:$J$1004,$T775))))</f>
        <v/>
      </c>
      <c r="M775" s="50">
        <f>IF($T775="","",IF($S775="S",IF(INDEX(Firms!$L$5:$L$1004,$T775)="","",INDEX(Firms!$L$5:$L$1004,$T775)),IF(INDEX('AFA Rates'!$K$5:$K$1004,$T775)="","",INDEX('AFA Rates'!$K$5:$K$1004,$T775))))</f>
        <v/>
      </c>
      <c r="N775" s="50">
        <f>IF($T775="","",IF($S775="S",IF(INDEX(Firms!$M$5:$M$1004,$T775)="","",INDEX(Firms!$M$5:$M$1004,$T775)),IF(INDEX('AFA Rates'!$L$5:$L$1004,$T775)="","",INDEX('AFA Rates'!$L$5:$L$1004,$T775))))</f>
        <v/>
      </c>
      <c r="O775" s="78">
        <f>IF(OR($T775="",$U775=""),"",IF(INDEX(Firms!$C$5:$C$1004,$U775)="","",INDEX(Firms!$C$5:$C$1004,$U775)))</f>
        <v/>
      </c>
      <c r="P775" s="79">
        <f>IF(OR($T775="",$U775=""),"",IF(INDEX(Firms!$N$5:$N$1004,$U775)="","",INDEX(Firms!$N$5:$N$1004,$U775)))</f>
        <v/>
      </c>
      <c r="Q775" s="78">
        <f>IF($T775="","",IF($S775="S",IF(INDEX(Firms!$T$5:$T$1004,$T775)="","",INDEX(Firms!$T$5:$T$1004,$T775)),IF(INDEX('AFA Rates'!$M$5:$M$1004,$T775)="","",INDEX('AFA Rates'!$M$5:$M$1004,$T775))))</f>
        <v/>
      </c>
      <c r="S775">
        <f>IF(771&lt;=$S$2,"S",IF(771&lt;=$S$2+$T$2,"A",""))</f>
        <v/>
      </c>
      <c r="T775">
        <f>IF(S775="S",MATCH(771,Firms!$W$5:$W$1004,0),IF(S775="A",IFERROR(MATCH(771-$S$2,'AFA Rates'!$R$5:$R$1004,0),""),""))</f>
        <v/>
      </c>
      <c r="U775">
        <f>IF(S775="S",T775,IF(AND(S775="A",T775&lt;&gt;""),IFERROR(MATCH(INDEX('AFA Rates'!$A$5:$A$1004,T775),Firms!$A$5:$A$1004,0),""),""))</f>
        <v/>
      </c>
    </row>
    <row r="776">
      <c r="A776" s="78">
        <f>IF($T776="","",IF($S776="S",IF(INDEX(Firms!$A$5:$A$1004,$T776)="","",INDEX(Firms!$A$5:$A$1004,$T776)),IF(INDEX('AFA Rates'!$A$5:$A$1004,$T776)="","",INDEX('AFA Rates'!$A$5:$A$1004,$T776))))</f>
        <v/>
      </c>
      <c r="B776" s="79">
        <f>IF(OR($T776="",$U776=""),IF($T776="","","Not on Firms tab"),INDEX(Firms!$B$5:$B$1004,$U776)&amp;"")</f>
        <v/>
      </c>
      <c r="C776" s="78">
        <f>IF($T776="","",IF($S776="S","Standard",INDEX('AFA Rates'!$B$5:$B$1004,$T776)&amp;""))</f>
        <v/>
      </c>
      <c r="D776" s="88">
        <f>IF($T776="","",IF($S776="S",IF(INDEX(Firms!$E$5:$E$1004,$T776)="","",INDEX(Firms!$E$5:$E$1004,$T776)),IF(INDEX('AFA Rates'!$C$5:$C$1004,$T776)="","",INDEX('AFA Rates'!$C$5:$C$1004,$T776))))</f>
        <v/>
      </c>
      <c r="E776" s="88">
        <f>IF($T776="","",IF($S776="S",IF(""="","",""),IF(INDEX('AFA Rates'!$D$5:$D$1004,$T776)="","",INDEX('AFA Rates'!$D$5:$D$1004,$T776))))</f>
        <v/>
      </c>
      <c r="F776" s="79">
        <f>IF($T776="","",IF($S776="S",IF(INDEX(Firms!$O$5:$O$1004,$T776)="","",INDEX(Firms!$O$5:$O$1004,$T776)),IF(INDEX('AFA Rates'!$O$5:$O$1004,$T776)="","",INDEX('AFA Rates'!$O$5:$O$1004,$T776))))</f>
        <v/>
      </c>
      <c r="G776" s="50">
        <f>IF($T776="","",IF($S776="S",IF(INDEX(Firms!$F$5:$F$1004,$T776)="","",INDEX(Firms!$F$5:$F$1004,$T776)),IF(INDEX('AFA Rates'!$E$5:$E$1004,$T776)="","",INDEX('AFA Rates'!$E$5:$E$1004,$T776))))</f>
        <v/>
      </c>
      <c r="H776" s="50">
        <f>IF($T776="","",IF($S776="S",IF(INDEX(Firms!$G$5:$G$1004,$T776)="","",INDEX(Firms!$G$5:$G$1004,$T776)),IF(INDEX('AFA Rates'!$F$5:$F$1004,$T776)="","",INDEX('AFA Rates'!$F$5:$F$1004,$T776))))</f>
        <v/>
      </c>
      <c r="I776" s="50">
        <f>IF($T776="","",IF($S776="S",IF(INDEX(Firms!$H$5:$H$1004,$T776)="","",INDEX(Firms!$H$5:$H$1004,$T776)),IF(INDEX('AFA Rates'!$G$5:$G$1004,$T776)="","",INDEX('AFA Rates'!$G$5:$G$1004,$T776))))</f>
        <v/>
      </c>
      <c r="J776" s="50">
        <f>IF($T776="","",IF($S776="S",IF(INDEX(Firms!$I$5:$I$1004,$T776)="","",INDEX(Firms!$I$5:$I$1004,$T776)),IF(INDEX('AFA Rates'!$H$5:$H$1004,$T776)="","",INDEX('AFA Rates'!$H$5:$H$1004,$T776))))</f>
        <v/>
      </c>
      <c r="K776" s="50">
        <f>IF($T776="","",IF($S776="S",IF(INDEX(Firms!$J$5:$J$1004,$T776)="","",INDEX(Firms!$J$5:$J$1004,$T776)),IF(INDEX('AFA Rates'!$I$5:$I$1004,$T776)="","",INDEX('AFA Rates'!$I$5:$I$1004,$T776))))</f>
        <v/>
      </c>
      <c r="L776" s="50">
        <f>IF($T776="","",IF($S776="S",IF(INDEX(Firms!$K$5:$K$1004,$T776)="","",INDEX(Firms!$K$5:$K$1004,$T776)),IF(INDEX('AFA Rates'!$J$5:$J$1004,$T776)="","",INDEX('AFA Rates'!$J$5:$J$1004,$T776))))</f>
        <v/>
      </c>
      <c r="M776" s="50">
        <f>IF($T776="","",IF($S776="S",IF(INDEX(Firms!$L$5:$L$1004,$T776)="","",INDEX(Firms!$L$5:$L$1004,$T776)),IF(INDEX('AFA Rates'!$K$5:$K$1004,$T776)="","",INDEX('AFA Rates'!$K$5:$K$1004,$T776))))</f>
        <v/>
      </c>
      <c r="N776" s="50">
        <f>IF($T776="","",IF($S776="S",IF(INDEX(Firms!$M$5:$M$1004,$T776)="","",INDEX(Firms!$M$5:$M$1004,$T776)),IF(INDEX('AFA Rates'!$L$5:$L$1004,$T776)="","",INDEX('AFA Rates'!$L$5:$L$1004,$T776))))</f>
        <v/>
      </c>
      <c r="O776" s="78">
        <f>IF(OR($T776="",$U776=""),"",IF(INDEX(Firms!$C$5:$C$1004,$U776)="","",INDEX(Firms!$C$5:$C$1004,$U776)))</f>
        <v/>
      </c>
      <c r="P776" s="79">
        <f>IF(OR($T776="",$U776=""),"",IF(INDEX(Firms!$N$5:$N$1004,$U776)="","",INDEX(Firms!$N$5:$N$1004,$U776)))</f>
        <v/>
      </c>
      <c r="Q776" s="78">
        <f>IF($T776="","",IF($S776="S",IF(INDEX(Firms!$T$5:$T$1004,$T776)="","",INDEX(Firms!$T$5:$T$1004,$T776)),IF(INDEX('AFA Rates'!$M$5:$M$1004,$T776)="","",INDEX('AFA Rates'!$M$5:$M$1004,$T776))))</f>
        <v/>
      </c>
      <c r="S776">
        <f>IF(772&lt;=$S$2,"S",IF(772&lt;=$S$2+$T$2,"A",""))</f>
        <v/>
      </c>
      <c r="T776">
        <f>IF(S776="S",MATCH(772,Firms!$W$5:$W$1004,0),IF(S776="A",IFERROR(MATCH(772-$S$2,'AFA Rates'!$R$5:$R$1004,0),""),""))</f>
        <v/>
      </c>
      <c r="U776">
        <f>IF(S776="S",T776,IF(AND(S776="A",T776&lt;&gt;""),IFERROR(MATCH(INDEX('AFA Rates'!$A$5:$A$1004,T776),Firms!$A$5:$A$1004,0),""),""))</f>
        <v/>
      </c>
    </row>
    <row r="777">
      <c r="A777" s="78">
        <f>IF($T777="","",IF($S777="S",IF(INDEX(Firms!$A$5:$A$1004,$T777)="","",INDEX(Firms!$A$5:$A$1004,$T777)),IF(INDEX('AFA Rates'!$A$5:$A$1004,$T777)="","",INDEX('AFA Rates'!$A$5:$A$1004,$T777))))</f>
        <v/>
      </c>
      <c r="B777" s="79">
        <f>IF(OR($T777="",$U777=""),IF($T777="","","Not on Firms tab"),INDEX(Firms!$B$5:$B$1004,$U777)&amp;"")</f>
        <v/>
      </c>
      <c r="C777" s="78">
        <f>IF($T777="","",IF($S777="S","Standard",INDEX('AFA Rates'!$B$5:$B$1004,$T777)&amp;""))</f>
        <v/>
      </c>
      <c r="D777" s="88">
        <f>IF($T777="","",IF($S777="S",IF(INDEX(Firms!$E$5:$E$1004,$T777)="","",INDEX(Firms!$E$5:$E$1004,$T777)),IF(INDEX('AFA Rates'!$C$5:$C$1004,$T777)="","",INDEX('AFA Rates'!$C$5:$C$1004,$T777))))</f>
        <v/>
      </c>
      <c r="E777" s="88">
        <f>IF($T777="","",IF($S777="S",IF(""="","",""),IF(INDEX('AFA Rates'!$D$5:$D$1004,$T777)="","",INDEX('AFA Rates'!$D$5:$D$1004,$T777))))</f>
        <v/>
      </c>
      <c r="F777" s="79">
        <f>IF($T777="","",IF($S777="S",IF(INDEX(Firms!$O$5:$O$1004,$T777)="","",INDEX(Firms!$O$5:$O$1004,$T777)),IF(INDEX('AFA Rates'!$O$5:$O$1004,$T777)="","",INDEX('AFA Rates'!$O$5:$O$1004,$T777))))</f>
        <v/>
      </c>
      <c r="G777" s="50">
        <f>IF($T777="","",IF($S777="S",IF(INDEX(Firms!$F$5:$F$1004,$T777)="","",INDEX(Firms!$F$5:$F$1004,$T777)),IF(INDEX('AFA Rates'!$E$5:$E$1004,$T777)="","",INDEX('AFA Rates'!$E$5:$E$1004,$T777))))</f>
        <v/>
      </c>
      <c r="H777" s="50">
        <f>IF($T777="","",IF($S777="S",IF(INDEX(Firms!$G$5:$G$1004,$T777)="","",INDEX(Firms!$G$5:$G$1004,$T777)),IF(INDEX('AFA Rates'!$F$5:$F$1004,$T777)="","",INDEX('AFA Rates'!$F$5:$F$1004,$T777))))</f>
        <v/>
      </c>
      <c r="I777" s="50">
        <f>IF($T777="","",IF($S777="S",IF(INDEX(Firms!$H$5:$H$1004,$T777)="","",INDEX(Firms!$H$5:$H$1004,$T777)),IF(INDEX('AFA Rates'!$G$5:$G$1004,$T777)="","",INDEX('AFA Rates'!$G$5:$G$1004,$T777))))</f>
        <v/>
      </c>
      <c r="J777" s="50">
        <f>IF($T777="","",IF($S777="S",IF(INDEX(Firms!$I$5:$I$1004,$T777)="","",INDEX(Firms!$I$5:$I$1004,$T777)),IF(INDEX('AFA Rates'!$H$5:$H$1004,$T777)="","",INDEX('AFA Rates'!$H$5:$H$1004,$T777))))</f>
        <v/>
      </c>
      <c r="K777" s="50">
        <f>IF($T777="","",IF($S777="S",IF(INDEX(Firms!$J$5:$J$1004,$T777)="","",INDEX(Firms!$J$5:$J$1004,$T777)),IF(INDEX('AFA Rates'!$I$5:$I$1004,$T777)="","",INDEX('AFA Rates'!$I$5:$I$1004,$T777))))</f>
        <v/>
      </c>
      <c r="L777" s="50">
        <f>IF($T777="","",IF($S777="S",IF(INDEX(Firms!$K$5:$K$1004,$T777)="","",INDEX(Firms!$K$5:$K$1004,$T777)),IF(INDEX('AFA Rates'!$J$5:$J$1004,$T777)="","",INDEX('AFA Rates'!$J$5:$J$1004,$T777))))</f>
        <v/>
      </c>
      <c r="M777" s="50">
        <f>IF($T777="","",IF($S777="S",IF(INDEX(Firms!$L$5:$L$1004,$T777)="","",INDEX(Firms!$L$5:$L$1004,$T777)),IF(INDEX('AFA Rates'!$K$5:$K$1004,$T777)="","",INDEX('AFA Rates'!$K$5:$K$1004,$T777))))</f>
        <v/>
      </c>
      <c r="N777" s="50">
        <f>IF($T777="","",IF($S777="S",IF(INDEX(Firms!$M$5:$M$1004,$T777)="","",INDEX(Firms!$M$5:$M$1004,$T777)),IF(INDEX('AFA Rates'!$L$5:$L$1004,$T777)="","",INDEX('AFA Rates'!$L$5:$L$1004,$T777))))</f>
        <v/>
      </c>
      <c r="O777" s="78">
        <f>IF(OR($T777="",$U777=""),"",IF(INDEX(Firms!$C$5:$C$1004,$U777)="","",INDEX(Firms!$C$5:$C$1004,$U777)))</f>
        <v/>
      </c>
      <c r="P777" s="79">
        <f>IF(OR($T777="",$U777=""),"",IF(INDEX(Firms!$N$5:$N$1004,$U777)="","",INDEX(Firms!$N$5:$N$1004,$U777)))</f>
        <v/>
      </c>
      <c r="Q777" s="78">
        <f>IF($T777="","",IF($S777="S",IF(INDEX(Firms!$T$5:$T$1004,$T777)="","",INDEX(Firms!$T$5:$T$1004,$T777)),IF(INDEX('AFA Rates'!$M$5:$M$1004,$T777)="","",INDEX('AFA Rates'!$M$5:$M$1004,$T777))))</f>
        <v/>
      </c>
      <c r="S777">
        <f>IF(773&lt;=$S$2,"S",IF(773&lt;=$S$2+$T$2,"A",""))</f>
        <v/>
      </c>
      <c r="T777">
        <f>IF(S777="S",MATCH(773,Firms!$W$5:$W$1004,0),IF(S777="A",IFERROR(MATCH(773-$S$2,'AFA Rates'!$R$5:$R$1004,0),""),""))</f>
        <v/>
      </c>
      <c r="U777">
        <f>IF(S777="S",T777,IF(AND(S777="A",T777&lt;&gt;""),IFERROR(MATCH(INDEX('AFA Rates'!$A$5:$A$1004,T777),Firms!$A$5:$A$1004,0),""),""))</f>
        <v/>
      </c>
    </row>
    <row r="778">
      <c r="A778" s="78">
        <f>IF($T778="","",IF($S778="S",IF(INDEX(Firms!$A$5:$A$1004,$T778)="","",INDEX(Firms!$A$5:$A$1004,$T778)),IF(INDEX('AFA Rates'!$A$5:$A$1004,$T778)="","",INDEX('AFA Rates'!$A$5:$A$1004,$T778))))</f>
        <v/>
      </c>
      <c r="B778" s="79">
        <f>IF(OR($T778="",$U778=""),IF($T778="","","Not on Firms tab"),INDEX(Firms!$B$5:$B$1004,$U778)&amp;"")</f>
        <v/>
      </c>
      <c r="C778" s="78">
        <f>IF($T778="","",IF($S778="S","Standard",INDEX('AFA Rates'!$B$5:$B$1004,$T778)&amp;""))</f>
        <v/>
      </c>
      <c r="D778" s="88">
        <f>IF($T778="","",IF($S778="S",IF(INDEX(Firms!$E$5:$E$1004,$T778)="","",INDEX(Firms!$E$5:$E$1004,$T778)),IF(INDEX('AFA Rates'!$C$5:$C$1004,$T778)="","",INDEX('AFA Rates'!$C$5:$C$1004,$T778))))</f>
        <v/>
      </c>
      <c r="E778" s="88">
        <f>IF($T778="","",IF($S778="S",IF(""="","",""),IF(INDEX('AFA Rates'!$D$5:$D$1004,$T778)="","",INDEX('AFA Rates'!$D$5:$D$1004,$T778))))</f>
        <v/>
      </c>
      <c r="F778" s="79">
        <f>IF($T778="","",IF($S778="S",IF(INDEX(Firms!$O$5:$O$1004,$T778)="","",INDEX(Firms!$O$5:$O$1004,$T778)),IF(INDEX('AFA Rates'!$O$5:$O$1004,$T778)="","",INDEX('AFA Rates'!$O$5:$O$1004,$T778))))</f>
        <v/>
      </c>
      <c r="G778" s="50">
        <f>IF($T778="","",IF($S778="S",IF(INDEX(Firms!$F$5:$F$1004,$T778)="","",INDEX(Firms!$F$5:$F$1004,$T778)),IF(INDEX('AFA Rates'!$E$5:$E$1004,$T778)="","",INDEX('AFA Rates'!$E$5:$E$1004,$T778))))</f>
        <v/>
      </c>
      <c r="H778" s="50">
        <f>IF($T778="","",IF($S778="S",IF(INDEX(Firms!$G$5:$G$1004,$T778)="","",INDEX(Firms!$G$5:$G$1004,$T778)),IF(INDEX('AFA Rates'!$F$5:$F$1004,$T778)="","",INDEX('AFA Rates'!$F$5:$F$1004,$T778))))</f>
        <v/>
      </c>
      <c r="I778" s="50">
        <f>IF($T778="","",IF($S778="S",IF(INDEX(Firms!$H$5:$H$1004,$T778)="","",INDEX(Firms!$H$5:$H$1004,$T778)),IF(INDEX('AFA Rates'!$G$5:$G$1004,$T778)="","",INDEX('AFA Rates'!$G$5:$G$1004,$T778))))</f>
        <v/>
      </c>
      <c r="J778" s="50">
        <f>IF($T778="","",IF($S778="S",IF(INDEX(Firms!$I$5:$I$1004,$T778)="","",INDEX(Firms!$I$5:$I$1004,$T778)),IF(INDEX('AFA Rates'!$H$5:$H$1004,$T778)="","",INDEX('AFA Rates'!$H$5:$H$1004,$T778))))</f>
        <v/>
      </c>
      <c r="K778" s="50">
        <f>IF($T778="","",IF($S778="S",IF(INDEX(Firms!$J$5:$J$1004,$T778)="","",INDEX(Firms!$J$5:$J$1004,$T778)),IF(INDEX('AFA Rates'!$I$5:$I$1004,$T778)="","",INDEX('AFA Rates'!$I$5:$I$1004,$T778))))</f>
        <v/>
      </c>
      <c r="L778" s="50">
        <f>IF($T778="","",IF($S778="S",IF(INDEX(Firms!$K$5:$K$1004,$T778)="","",INDEX(Firms!$K$5:$K$1004,$T778)),IF(INDEX('AFA Rates'!$J$5:$J$1004,$T778)="","",INDEX('AFA Rates'!$J$5:$J$1004,$T778))))</f>
        <v/>
      </c>
      <c r="M778" s="50">
        <f>IF($T778="","",IF($S778="S",IF(INDEX(Firms!$L$5:$L$1004,$T778)="","",INDEX(Firms!$L$5:$L$1004,$T778)),IF(INDEX('AFA Rates'!$K$5:$K$1004,$T778)="","",INDEX('AFA Rates'!$K$5:$K$1004,$T778))))</f>
        <v/>
      </c>
      <c r="N778" s="50">
        <f>IF($T778="","",IF($S778="S",IF(INDEX(Firms!$M$5:$M$1004,$T778)="","",INDEX(Firms!$M$5:$M$1004,$T778)),IF(INDEX('AFA Rates'!$L$5:$L$1004,$T778)="","",INDEX('AFA Rates'!$L$5:$L$1004,$T778))))</f>
        <v/>
      </c>
      <c r="O778" s="78">
        <f>IF(OR($T778="",$U778=""),"",IF(INDEX(Firms!$C$5:$C$1004,$U778)="","",INDEX(Firms!$C$5:$C$1004,$U778)))</f>
        <v/>
      </c>
      <c r="P778" s="79">
        <f>IF(OR($T778="",$U778=""),"",IF(INDEX(Firms!$N$5:$N$1004,$U778)="","",INDEX(Firms!$N$5:$N$1004,$U778)))</f>
        <v/>
      </c>
      <c r="Q778" s="78">
        <f>IF($T778="","",IF($S778="S",IF(INDEX(Firms!$T$5:$T$1004,$T778)="","",INDEX(Firms!$T$5:$T$1004,$T778)),IF(INDEX('AFA Rates'!$M$5:$M$1004,$T778)="","",INDEX('AFA Rates'!$M$5:$M$1004,$T778))))</f>
        <v/>
      </c>
      <c r="S778">
        <f>IF(774&lt;=$S$2,"S",IF(774&lt;=$S$2+$T$2,"A",""))</f>
        <v/>
      </c>
      <c r="T778">
        <f>IF(S778="S",MATCH(774,Firms!$W$5:$W$1004,0),IF(S778="A",IFERROR(MATCH(774-$S$2,'AFA Rates'!$R$5:$R$1004,0),""),""))</f>
        <v/>
      </c>
      <c r="U778">
        <f>IF(S778="S",T778,IF(AND(S778="A",T778&lt;&gt;""),IFERROR(MATCH(INDEX('AFA Rates'!$A$5:$A$1004,T778),Firms!$A$5:$A$1004,0),""),""))</f>
        <v/>
      </c>
    </row>
    <row r="779">
      <c r="A779" s="78">
        <f>IF($T779="","",IF($S779="S",IF(INDEX(Firms!$A$5:$A$1004,$T779)="","",INDEX(Firms!$A$5:$A$1004,$T779)),IF(INDEX('AFA Rates'!$A$5:$A$1004,$T779)="","",INDEX('AFA Rates'!$A$5:$A$1004,$T779))))</f>
        <v/>
      </c>
      <c r="B779" s="79">
        <f>IF(OR($T779="",$U779=""),IF($T779="","","Not on Firms tab"),INDEX(Firms!$B$5:$B$1004,$U779)&amp;"")</f>
        <v/>
      </c>
      <c r="C779" s="78">
        <f>IF($T779="","",IF($S779="S","Standard",INDEX('AFA Rates'!$B$5:$B$1004,$T779)&amp;""))</f>
        <v/>
      </c>
      <c r="D779" s="88">
        <f>IF($T779="","",IF($S779="S",IF(INDEX(Firms!$E$5:$E$1004,$T779)="","",INDEX(Firms!$E$5:$E$1004,$T779)),IF(INDEX('AFA Rates'!$C$5:$C$1004,$T779)="","",INDEX('AFA Rates'!$C$5:$C$1004,$T779))))</f>
        <v/>
      </c>
      <c r="E779" s="88">
        <f>IF($T779="","",IF($S779="S",IF(""="","",""),IF(INDEX('AFA Rates'!$D$5:$D$1004,$T779)="","",INDEX('AFA Rates'!$D$5:$D$1004,$T779))))</f>
        <v/>
      </c>
      <c r="F779" s="79">
        <f>IF($T779="","",IF($S779="S",IF(INDEX(Firms!$O$5:$O$1004,$T779)="","",INDEX(Firms!$O$5:$O$1004,$T779)),IF(INDEX('AFA Rates'!$O$5:$O$1004,$T779)="","",INDEX('AFA Rates'!$O$5:$O$1004,$T779))))</f>
        <v/>
      </c>
      <c r="G779" s="50">
        <f>IF($T779="","",IF($S779="S",IF(INDEX(Firms!$F$5:$F$1004,$T779)="","",INDEX(Firms!$F$5:$F$1004,$T779)),IF(INDEX('AFA Rates'!$E$5:$E$1004,$T779)="","",INDEX('AFA Rates'!$E$5:$E$1004,$T779))))</f>
        <v/>
      </c>
      <c r="H779" s="50">
        <f>IF($T779="","",IF($S779="S",IF(INDEX(Firms!$G$5:$G$1004,$T779)="","",INDEX(Firms!$G$5:$G$1004,$T779)),IF(INDEX('AFA Rates'!$F$5:$F$1004,$T779)="","",INDEX('AFA Rates'!$F$5:$F$1004,$T779))))</f>
        <v/>
      </c>
      <c r="I779" s="50">
        <f>IF($T779="","",IF($S779="S",IF(INDEX(Firms!$H$5:$H$1004,$T779)="","",INDEX(Firms!$H$5:$H$1004,$T779)),IF(INDEX('AFA Rates'!$G$5:$G$1004,$T779)="","",INDEX('AFA Rates'!$G$5:$G$1004,$T779))))</f>
        <v/>
      </c>
      <c r="J779" s="50">
        <f>IF($T779="","",IF($S779="S",IF(INDEX(Firms!$I$5:$I$1004,$T779)="","",INDEX(Firms!$I$5:$I$1004,$T779)),IF(INDEX('AFA Rates'!$H$5:$H$1004,$T779)="","",INDEX('AFA Rates'!$H$5:$H$1004,$T779))))</f>
        <v/>
      </c>
      <c r="K779" s="50">
        <f>IF($T779="","",IF($S779="S",IF(INDEX(Firms!$J$5:$J$1004,$T779)="","",INDEX(Firms!$J$5:$J$1004,$T779)),IF(INDEX('AFA Rates'!$I$5:$I$1004,$T779)="","",INDEX('AFA Rates'!$I$5:$I$1004,$T779))))</f>
        <v/>
      </c>
      <c r="L779" s="50">
        <f>IF($T779="","",IF($S779="S",IF(INDEX(Firms!$K$5:$K$1004,$T779)="","",INDEX(Firms!$K$5:$K$1004,$T779)),IF(INDEX('AFA Rates'!$J$5:$J$1004,$T779)="","",INDEX('AFA Rates'!$J$5:$J$1004,$T779))))</f>
        <v/>
      </c>
      <c r="M779" s="50">
        <f>IF($T779="","",IF($S779="S",IF(INDEX(Firms!$L$5:$L$1004,$T779)="","",INDEX(Firms!$L$5:$L$1004,$T779)),IF(INDEX('AFA Rates'!$K$5:$K$1004,$T779)="","",INDEX('AFA Rates'!$K$5:$K$1004,$T779))))</f>
        <v/>
      </c>
      <c r="N779" s="50">
        <f>IF($T779="","",IF($S779="S",IF(INDEX(Firms!$M$5:$M$1004,$T779)="","",INDEX(Firms!$M$5:$M$1004,$T779)),IF(INDEX('AFA Rates'!$L$5:$L$1004,$T779)="","",INDEX('AFA Rates'!$L$5:$L$1004,$T779))))</f>
        <v/>
      </c>
      <c r="O779" s="78">
        <f>IF(OR($T779="",$U779=""),"",IF(INDEX(Firms!$C$5:$C$1004,$U779)="","",INDEX(Firms!$C$5:$C$1004,$U779)))</f>
        <v/>
      </c>
      <c r="P779" s="79">
        <f>IF(OR($T779="",$U779=""),"",IF(INDEX(Firms!$N$5:$N$1004,$U779)="","",INDEX(Firms!$N$5:$N$1004,$U779)))</f>
        <v/>
      </c>
      <c r="Q779" s="78">
        <f>IF($T779="","",IF($S779="S",IF(INDEX(Firms!$T$5:$T$1004,$T779)="","",INDEX(Firms!$T$5:$T$1004,$T779)),IF(INDEX('AFA Rates'!$M$5:$M$1004,$T779)="","",INDEX('AFA Rates'!$M$5:$M$1004,$T779))))</f>
        <v/>
      </c>
      <c r="S779">
        <f>IF(775&lt;=$S$2,"S",IF(775&lt;=$S$2+$T$2,"A",""))</f>
        <v/>
      </c>
      <c r="T779">
        <f>IF(S779="S",MATCH(775,Firms!$W$5:$W$1004,0),IF(S779="A",IFERROR(MATCH(775-$S$2,'AFA Rates'!$R$5:$R$1004,0),""),""))</f>
        <v/>
      </c>
      <c r="U779">
        <f>IF(S779="S",T779,IF(AND(S779="A",T779&lt;&gt;""),IFERROR(MATCH(INDEX('AFA Rates'!$A$5:$A$1004,T779),Firms!$A$5:$A$1004,0),""),""))</f>
        <v/>
      </c>
    </row>
    <row r="780">
      <c r="A780" s="78">
        <f>IF($T780="","",IF($S780="S",IF(INDEX(Firms!$A$5:$A$1004,$T780)="","",INDEX(Firms!$A$5:$A$1004,$T780)),IF(INDEX('AFA Rates'!$A$5:$A$1004,$T780)="","",INDEX('AFA Rates'!$A$5:$A$1004,$T780))))</f>
        <v/>
      </c>
      <c r="B780" s="79">
        <f>IF(OR($T780="",$U780=""),IF($T780="","","Not on Firms tab"),INDEX(Firms!$B$5:$B$1004,$U780)&amp;"")</f>
        <v/>
      </c>
      <c r="C780" s="78">
        <f>IF($T780="","",IF($S780="S","Standard",INDEX('AFA Rates'!$B$5:$B$1004,$T780)&amp;""))</f>
        <v/>
      </c>
      <c r="D780" s="88">
        <f>IF($T780="","",IF($S780="S",IF(INDEX(Firms!$E$5:$E$1004,$T780)="","",INDEX(Firms!$E$5:$E$1004,$T780)),IF(INDEX('AFA Rates'!$C$5:$C$1004,$T780)="","",INDEX('AFA Rates'!$C$5:$C$1004,$T780))))</f>
        <v/>
      </c>
      <c r="E780" s="88">
        <f>IF($T780="","",IF($S780="S",IF(""="","",""),IF(INDEX('AFA Rates'!$D$5:$D$1004,$T780)="","",INDEX('AFA Rates'!$D$5:$D$1004,$T780))))</f>
        <v/>
      </c>
      <c r="F780" s="79">
        <f>IF($T780="","",IF($S780="S",IF(INDEX(Firms!$O$5:$O$1004,$T780)="","",INDEX(Firms!$O$5:$O$1004,$T780)),IF(INDEX('AFA Rates'!$O$5:$O$1004,$T780)="","",INDEX('AFA Rates'!$O$5:$O$1004,$T780))))</f>
        <v/>
      </c>
      <c r="G780" s="50">
        <f>IF($T780="","",IF($S780="S",IF(INDEX(Firms!$F$5:$F$1004,$T780)="","",INDEX(Firms!$F$5:$F$1004,$T780)),IF(INDEX('AFA Rates'!$E$5:$E$1004,$T780)="","",INDEX('AFA Rates'!$E$5:$E$1004,$T780))))</f>
        <v/>
      </c>
      <c r="H780" s="50">
        <f>IF($T780="","",IF($S780="S",IF(INDEX(Firms!$G$5:$G$1004,$T780)="","",INDEX(Firms!$G$5:$G$1004,$T780)),IF(INDEX('AFA Rates'!$F$5:$F$1004,$T780)="","",INDEX('AFA Rates'!$F$5:$F$1004,$T780))))</f>
        <v/>
      </c>
      <c r="I780" s="50">
        <f>IF($T780="","",IF($S780="S",IF(INDEX(Firms!$H$5:$H$1004,$T780)="","",INDEX(Firms!$H$5:$H$1004,$T780)),IF(INDEX('AFA Rates'!$G$5:$G$1004,$T780)="","",INDEX('AFA Rates'!$G$5:$G$1004,$T780))))</f>
        <v/>
      </c>
      <c r="J780" s="50">
        <f>IF($T780="","",IF($S780="S",IF(INDEX(Firms!$I$5:$I$1004,$T780)="","",INDEX(Firms!$I$5:$I$1004,$T780)),IF(INDEX('AFA Rates'!$H$5:$H$1004,$T780)="","",INDEX('AFA Rates'!$H$5:$H$1004,$T780))))</f>
        <v/>
      </c>
      <c r="K780" s="50">
        <f>IF($T780="","",IF($S780="S",IF(INDEX(Firms!$J$5:$J$1004,$T780)="","",INDEX(Firms!$J$5:$J$1004,$T780)),IF(INDEX('AFA Rates'!$I$5:$I$1004,$T780)="","",INDEX('AFA Rates'!$I$5:$I$1004,$T780))))</f>
        <v/>
      </c>
      <c r="L780" s="50">
        <f>IF($T780="","",IF($S780="S",IF(INDEX(Firms!$K$5:$K$1004,$T780)="","",INDEX(Firms!$K$5:$K$1004,$T780)),IF(INDEX('AFA Rates'!$J$5:$J$1004,$T780)="","",INDEX('AFA Rates'!$J$5:$J$1004,$T780))))</f>
        <v/>
      </c>
      <c r="M780" s="50">
        <f>IF($T780="","",IF($S780="S",IF(INDEX(Firms!$L$5:$L$1004,$T780)="","",INDEX(Firms!$L$5:$L$1004,$T780)),IF(INDEX('AFA Rates'!$K$5:$K$1004,$T780)="","",INDEX('AFA Rates'!$K$5:$K$1004,$T780))))</f>
        <v/>
      </c>
      <c r="N780" s="50">
        <f>IF($T780="","",IF($S780="S",IF(INDEX(Firms!$M$5:$M$1004,$T780)="","",INDEX(Firms!$M$5:$M$1004,$T780)),IF(INDEX('AFA Rates'!$L$5:$L$1004,$T780)="","",INDEX('AFA Rates'!$L$5:$L$1004,$T780))))</f>
        <v/>
      </c>
      <c r="O780" s="78">
        <f>IF(OR($T780="",$U780=""),"",IF(INDEX(Firms!$C$5:$C$1004,$U780)="","",INDEX(Firms!$C$5:$C$1004,$U780)))</f>
        <v/>
      </c>
      <c r="P780" s="79">
        <f>IF(OR($T780="",$U780=""),"",IF(INDEX(Firms!$N$5:$N$1004,$U780)="","",INDEX(Firms!$N$5:$N$1004,$U780)))</f>
        <v/>
      </c>
      <c r="Q780" s="78">
        <f>IF($T780="","",IF($S780="S",IF(INDEX(Firms!$T$5:$T$1004,$T780)="","",INDEX(Firms!$T$5:$T$1004,$T780)),IF(INDEX('AFA Rates'!$M$5:$M$1004,$T780)="","",INDEX('AFA Rates'!$M$5:$M$1004,$T780))))</f>
        <v/>
      </c>
      <c r="S780">
        <f>IF(776&lt;=$S$2,"S",IF(776&lt;=$S$2+$T$2,"A",""))</f>
        <v/>
      </c>
      <c r="T780">
        <f>IF(S780="S",MATCH(776,Firms!$W$5:$W$1004,0),IF(S780="A",IFERROR(MATCH(776-$S$2,'AFA Rates'!$R$5:$R$1004,0),""),""))</f>
        <v/>
      </c>
      <c r="U780">
        <f>IF(S780="S",T780,IF(AND(S780="A",T780&lt;&gt;""),IFERROR(MATCH(INDEX('AFA Rates'!$A$5:$A$1004,T780),Firms!$A$5:$A$1004,0),""),""))</f>
        <v/>
      </c>
    </row>
    <row r="781">
      <c r="A781" s="78">
        <f>IF($T781="","",IF($S781="S",IF(INDEX(Firms!$A$5:$A$1004,$T781)="","",INDEX(Firms!$A$5:$A$1004,$T781)),IF(INDEX('AFA Rates'!$A$5:$A$1004,$T781)="","",INDEX('AFA Rates'!$A$5:$A$1004,$T781))))</f>
        <v/>
      </c>
      <c r="B781" s="79">
        <f>IF(OR($T781="",$U781=""),IF($T781="","","Not on Firms tab"),INDEX(Firms!$B$5:$B$1004,$U781)&amp;"")</f>
        <v/>
      </c>
      <c r="C781" s="78">
        <f>IF($T781="","",IF($S781="S","Standard",INDEX('AFA Rates'!$B$5:$B$1004,$T781)&amp;""))</f>
        <v/>
      </c>
      <c r="D781" s="88">
        <f>IF($T781="","",IF($S781="S",IF(INDEX(Firms!$E$5:$E$1004,$T781)="","",INDEX(Firms!$E$5:$E$1004,$T781)),IF(INDEX('AFA Rates'!$C$5:$C$1004,$T781)="","",INDEX('AFA Rates'!$C$5:$C$1004,$T781))))</f>
        <v/>
      </c>
      <c r="E781" s="88">
        <f>IF($T781="","",IF($S781="S",IF(""="","",""),IF(INDEX('AFA Rates'!$D$5:$D$1004,$T781)="","",INDEX('AFA Rates'!$D$5:$D$1004,$T781))))</f>
        <v/>
      </c>
      <c r="F781" s="79">
        <f>IF($T781="","",IF($S781="S",IF(INDEX(Firms!$O$5:$O$1004,$T781)="","",INDEX(Firms!$O$5:$O$1004,$T781)),IF(INDEX('AFA Rates'!$O$5:$O$1004,$T781)="","",INDEX('AFA Rates'!$O$5:$O$1004,$T781))))</f>
        <v/>
      </c>
      <c r="G781" s="50">
        <f>IF($T781="","",IF($S781="S",IF(INDEX(Firms!$F$5:$F$1004,$T781)="","",INDEX(Firms!$F$5:$F$1004,$T781)),IF(INDEX('AFA Rates'!$E$5:$E$1004,$T781)="","",INDEX('AFA Rates'!$E$5:$E$1004,$T781))))</f>
        <v/>
      </c>
      <c r="H781" s="50">
        <f>IF($T781="","",IF($S781="S",IF(INDEX(Firms!$G$5:$G$1004,$T781)="","",INDEX(Firms!$G$5:$G$1004,$T781)),IF(INDEX('AFA Rates'!$F$5:$F$1004,$T781)="","",INDEX('AFA Rates'!$F$5:$F$1004,$T781))))</f>
        <v/>
      </c>
      <c r="I781" s="50">
        <f>IF($T781="","",IF($S781="S",IF(INDEX(Firms!$H$5:$H$1004,$T781)="","",INDEX(Firms!$H$5:$H$1004,$T781)),IF(INDEX('AFA Rates'!$G$5:$G$1004,$T781)="","",INDEX('AFA Rates'!$G$5:$G$1004,$T781))))</f>
        <v/>
      </c>
      <c r="J781" s="50">
        <f>IF($T781="","",IF($S781="S",IF(INDEX(Firms!$I$5:$I$1004,$T781)="","",INDEX(Firms!$I$5:$I$1004,$T781)),IF(INDEX('AFA Rates'!$H$5:$H$1004,$T781)="","",INDEX('AFA Rates'!$H$5:$H$1004,$T781))))</f>
        <v/>
      </c>
      <c r="K781" s="50">
        <f>IF($T781="","",IF($S781="S",IF(INDEX(Firms!$J$5:$J$1004,$T781)="","",INDEX(Firms!$J$5:$J$1004,$T781)),IF(INDEX('AFA Rates'!$I$5:$I$1004,$T781)="","",INDEX('AFA Rates'!$I$5:$I$1004,$T781))))</f>
        <v/>
      </c>
      <c r="L781" s="50">
        <f>IF($T781="","",IF($S781="S",IF(INDEX(Firms!$K$5:$K$1004,$T781)="","",INDEX(Firms!$K$5:$K$1004,$T781)),IF(INDEX('AFA Rates'!$J$5:$J$1004,$T781)="","",INDEX('AFA Rates'!$J$5:$J$1004,$T781))))</f>
        <v/>
      </c>
      <c r="M781" s="50">
        <f>IF($T781="","",IF($S781="S",IF(INDEX(Firms!$L$5:$L$1004,$T781)="","",INDEX(Firms!$L$5:$L$1004,$T781)),IF(INDEX('AFA Rates'!$K$5:$K$1004,$T781)="","",INDEX('AFA Rates'!$K$5:$K$1004,$T781))))</f>
        <v/>
      </c>
      <c r="N781" s="50">
        <f>IF($T781="","",IF($S781="S",IF(INDEX(Firms!$M$5:$M$1004,$T781)="","",INDEX(Firms!$M$5:$M$1004,$T781)),IF(INDEX('AFA Rates'!$L$5:$L$1004,$T781)="","",INDEX('AFA Rates'!$L$5:$L$1004,$T781))))</f>
        <v/>
      </c>
      <c r="O781" s="78">
        <f>IF(OR($T781="",$U781=""),"",IF(INDEX(Firms!$C$5:$C$1004,$U781)="","",INDEX(Firms!$C$5:$C$1004,$U781)))</f>
        <v/>
      </c>
      <c r="P781" s="79">
        <f>IF(OR($T781="",$U781=""),"",IF(INDEX(Firms!$N$5:$N$1004,$U781)="","",INDEX(Firms!$N$5:$N$1004,$U781)))</f>
        <v/>
      </c>
      <c r="Q781" s="78">
        <f>IF($T781="","",IF($S781="S",IF(INDEX(Firms!$T$5:$T$1004,$T781)="","",INDEX(Firms!$T$5:$T$1004,$T781)),IF(INDEX('AFA Rates'!$M$5:$M$1004,$T781)="","",INDEX('AFA Rates'!$M$5:$M$1004,$T781))))</f>
        <v/>
      </c>
      <c r="S781">
        <f>IF(777&lt;=$S$2,"S",IF(777&lt;=$S$2+$T$2,"A",""))</f>
        <v/>
      </c>
      <c r="T781">
        <f>IF(S781="S",MATCH(777,Firms!$W$5:$W$1004,0),IF(S781="A",IFERROR(MATCH(777-$S$2,'AFA Rates'!$R$5:$R$1004,0),""),""))</f>
        <v/>
      </c>
      <c r="U781">
        <f>IF(S781="S",T781,IF(AND(S781="A",T781&lt;&gt;""),IFERROR(MATCH(INDEX('AFA Rates'!$A$5:$A$1004,T781),Firms!$A$5:$A$1004,0),""),""))</f>
        <v/>
      </c>
    </row>
    <row r="782">
      <c r="A782" s="78">
        <f>IF($T782="","",IF($S782="S",IF(INDEX(Firms!$A$5:$A$1004,$T782)="","",INDEX(Firms!$A$5:$A$1004,$T782)),IF(INDEX('AFA Rates'!$A$5:$A$1004,$T782)="","",INDEX('AFA Rates'!$A$5:$A$1004,$T782))))</f>
        <v/>
      </c>
      <c r="B782" s="79">
        <f>IF(OR($T782="",$U782=""),IF($T782="","","Not on Firms tab"),INDEX(Firms!$B$5:$B$1004,$U782)&amp;"")</f>
        <v/>
      </c>
      <c r="C782" s="78">
        <f>IF($T782="","",IF($S782="S","Standard",INDEX('AFA Rates'!$B$5:$B$1004,$T782)&amp;""))</f>
        <v/>
      </c>
      <c r="D782" s="88">
        <f>IF($T782="","",IF($S782="S",IF(INDEX(Firms!$E$5:$E$1004,$T782)="","",INDEX(Firms!$E$5:$E$1004,$T782)),IF(INDEX('AFA Rates'!$C$5:$C$1004,$T782)="","",INDEX('AFA Rates'!$C$5:$C$1004,$T782))))</f>
        <v/>
      </c>
      <c r="E782" s="88">
        <f>IF($T782="","",IF($S782="S",IF(""="","",""),IF(INDEX('AFA Rates'!$D$5:$D$1004,$T782)="","",INDEX('AFA Rates'!$D$5:$D$1004,$T782))))</f>
        <v/>
      </c>
      <c r="F782" s="79">
        <f>IF($T782="","",IF($S782="S",IF(INDEX(Firms!$O$5:$O$1004,$T782)="","",INDEX(Firms!$O$5:$O$1004,$T782)),IF(INDEX('AFA Rates'!$O$5:$O$1004,$T782)="","",INDEX('AFA Rates'!$O$5:$O$1004,$T782))))</f>
        <v/>
      </c>
      <c r="G782" s="50">
        <f>IF($T782="","",IF($S782="S",IF(INDEX(Firms!$F$5:$F$1004,$T782)="","",INDEX(Firms!$F$5:$F$1004,$T782)),IF(INDEX('AFA Rates'!$E$5:$E$1004,$T782)="","",INDEX('AFA Rates'!$E$5:$E$1004,$T782))))</f>
        <v/>
      </c>
      <c r="H782" s="50">
        <f>IF($T782="","",IF($S782="S",IF(INDEX(Firms!$G$5:$G$1004,$T782)="","",INDEX(Firms!$G$5:$G$1004,$T782)),IF(INDEX('AFA Rates'!$F$5:$F$1004,$T782)="","",INDEX('AFA Rates'!$F$5:$F$1004,$T782))))</f>
        <v/>
      </c>
      <c r="I782" s="50">
        <f>IF($T782="","",IF($S782="S",IF(INDEX(Firms!$H$5:$H$1004,$T782)="","",INDEX(Firms!$H$5:$H$1004,$T782)),IF(INDEX('AFA Rates'!$G$5:$G$1004,$T782)="","",INDEX('AFA Rates'!$G$5:$G$1004,$T782))))</f>
        <v/>
      </c>
      <c r="J782" s="50">
        <f>IF($T782="","",IF($S782="S",IF(INDEX(Firms!$I$5:$I$1004,$T782)="","",INDEX(Firms!$I$5:$I$1004,$T782)),IF(INDEX('AFA Rates'!$H$5:$H$1004,$T782)="","",INDEX('AFA Rates'!$H$5:$H$1004,$T782))))</f>
        <v/>
      </c>
      <c r="K782" s="50">
        <f>IF($T782="","",IF($S782="S",IF(INDEX(Firms!$J$5:$J$1004,$T782)="","",INDEX(Firms!$J$5:$J$1004,$T782)),IF(INDEX('AFA Rates'!$I$5:$I$1004,$T782)="","",INDEX('AFA Rates'!$I$5:$I$1004,$T782))))</f>
        <v/>
      </c>
      <c r="L782" s="50">
        <f>IF($T782="","",IF($S782="S",IF(INDEX(Firms!$K$5:$K$1004,$T782)="","",INDEX(Firms!$K$5:$K$1004,$T782)),IF(INDEX('AFA Rates'!$J$5:$J$1004,$T782)="","",INDEX('AFA Rates'!$J$5:$J$1004,$T782))))</f>
        <v/>
      </c>
      <c r="M782" s="50">
        <f>IF($T782="","",IF($S782="S",IF(INDEX(Firms!$L$5:$L$1004,$T782)="","",INDEX(Firms!$L$5:$L$1004,$T782)),IF(INDEX('AFA Rates'!$K$5:$K$1004,$T782)="","",INDEX('AFA Rates'!$K$5:$K$1004,$T782))))</f>
        <v/>
      </c>
      <c r="N782" s="50">
        <f>IF($T782="","",IF($S782="S",IF(INDEX(Firms!$M$5:$M$1004,$T782)="","",INDEX(Firms!$M$5:$M$1004,$T782)),IF(INDEX('AFA Rates'!$L$5:$L$1004,$T782)="","",INDEX('AFA Rates'!$L$5:$L$1004,$T782))))</f>
        <v/>
      </c>
      <c r="O782" s="78">
        <f>IF(OR($T782="",$U782=""),"",IF(INDEX(Firms!$C$5:$C$1004,$U782)="","",INDEX(Firms!$C$5:$C$1004,$U782)))</f>
        <v/>
      </c>
      <c r="P782" s="79">
        <f>IF(OR($T782="",$U782=""),"",IF(INDEX(Firms!$N$5:$N$1004,$U782)="","",INDEX(Firms!$N$5:$N$1004,$U782)))</f>
        <v/>
      </c>
      <c r="Q782" s="78">
        <f>IF($T782="","",IF($S782="S",IF(INDEX(Firms!$T$5:$T$1004,$T782)="","",INDEX(Firms!$T$5:$T$1004,$T782)),IF(INDEX('AFA Rates'!$M$5:$M$1004,$T782)="","",INDEX('AFA Rates'!$M$5:$M$1004,$T782))))</f>
        <v/>
      </c>
      <c r="S782">
        <f>IF(778&lt;=$S$2,"S",IF(778&lt;=$S$2+$T$2,"A",""))</f>
        <v/>
      </c>
      <c r="T782">
        <f>IF(S782="S",MATCH(778,Firms!$W$5:$W$1004,0),IF(S782="A",IFERROR(MATCH(778-$S$2,'AFA Rates'!$R$5:$R$1004,0),""),""))</f>
        <v/>
      </c>
      <c r="U782">
        <f>IF(S782="S",T782,IF(AND(S782="A",T782&lt;&gt;""),IFERROR(MATCH(INDEX('AFA Rates'!$A$5:$A$1004,T782),Firms!$A$5:$A$1004,0),""),""))</f>
        <v/>
      </c>
    </row>
    <row r="783">
      <c r="A783" s="78">
        <f>IF($T783="","",IF($S783="S",IF(INDEX(Firms!$A$5:$A$1004,$T783)="","",INDEX(Firms!$A$5:$A$1004,$T783)),IF(INDEX('AFA Rates'!$A$5:$A$1004,$T783)="","",INDEX('AFA Rates'!$A$5:$A$1004,$T783))))</f>
        <v/>
      </c>
      <c r="B783" s="79">
        <f>IF(OR($T783="",$U783=""),IF($T783="","","Not on Firms tab"),INDEX(Firms!$B$5:$B$1004,$U783)&amp;"")</f>
        <v/>
      </c>
      <c r="C783" s="78">
        <f>IF($T783="","",IF($S783="S","Standard",INDEX('AFA Rates'!$B$5:$B$1004,$T783)&amp;""))</f>
        <v/>
      </c>
      <c r="D783" s="88">
        <f>IF($T783="","",IF($S783="S",IF(INDEX(Firms!$E$5:$E$1004,$T783)="","",INDEX(Firms!$E$5:$E$1004,$T783)),IF(INDEX('AFA Rates'!$C$5:$C$1004,$T783)="","",INDEX('AFA Rates'!$C$5:$C$1004,$T783))))</f>
        <v/>
      </c>
      <c r="E783" s="88">
        <f>IF($T783="","",IF($S783="S",IF(""="","",""),IF(INDEX('AFA Rates'!$D$5:$D$1004,$T783)="","",INDEX('AFA Rates'!$D$5:$D$1004,$T783))))</f>
        <v/>
      </c>
      <c r="F783" s="79">
        <f>IF($T783="","",IF($S783="S",IF(INDEX(Firms!$O$5:$O$1004,$T783)="","",INDEX(Firms!$O$5:$O$1004,$T783)),IF(INDEX('AFA Rates'!$O$5:$O$1004,$T783)="","",INDEX('AFA Rates'!$O$5:$O$1004,$T783))))</f>
        <v/>
      </c>
      <c r="G783" s="50">
        <f>IF($T783="","",IF($S783="S",IF(INDEX(Firms!$F$5:$F$1004,$T783)="","",INDEX(Firms!$F$5:$F$1004,$T783)),IF(INDEX('AFA Rates'!$E$5:$E$1004,$T783)="","",INDEX('AFA Rates'!$E$5:$E$1004,$T783))))</f>
        <v/>
      </c>
      <c r="H783" s="50">
        <f>IF($T783="","",IF($S783="S",IF(INDEX(Firms!$G$5:$G$1004,$T783)="","",INDEX(Firms!$G$5:$G$1004,$T783)),IF(INDEX('AFA Rates'!$F$5:$F$1004,$T783)="","",INDEX('AFA Rates'!$F$5:$F$1004,$T783))))</f>
        <v/>
      </c>
      <c r="I783" s="50">
        <f>IF($T783="","",IF($S783="S",IF(INDEX(Firms!$H$5:$H$1004,$T783)="","",INDEX(Firms!$H$5:$H$1004,$T783)),IF(INDEX('AFA Rates'!$G$5:$G$1004,$T783)="","",INDEX('AFA Rates'!$G$5:$G$1004,$T783))))</f>
        <v/>
      </c>
      <c r="J783" s="50">
        <f>IF($T783="","",IF($S783="S",IF(INDEX(Firms!$I$5:$I$1004,$T783)="","",INDEX(Firms!$I$5:$I$1004,$T783)),IF(INDEX('AFA Rates'!$H$5:$H$1004,$T783)="","",INDEX('AFA Rates'!$H$5:$H$1004,$T783))))</f>
        <v/>
      </c>
      <c r="K783" s="50">
        <f>IF($T783="","",IF($S783="S",IF(INDEX(Firms!$J$5:$J$1004,$T783)="","",INDEX(Firms!$J$5:$J$1004,$T783)),IF(INDEX('AFA Rates'!$I$5:$I$1004,$T783)="","",INDEX('AFA Rates'!$I$5:$I$1004,$T783))))</f>
        <v/>
      </c>
      <c r="L783" s="50">
        <f>IF($T783="","",IF($S783="S",IF(INDEX(Firms!$K$5:$K$1004,$T783)="","",INDEX(Firms!$K$5:$K$1004,$T783)),IF(INDEX('AFA Rates'!$J$5:$J$1004,$T783)="","",INDEX('AFA Rates'!$J$5:$J$1004,$T783))))</f>
        <v/>
      </c>
      <c r="M783" s="50">
        <f>IF($T783="","",IF($S783="S",IF(INDEX(Firms!$L$5:$L$1004,$T783)="","",INDEX(Firms!$L$5:$L$1004,$T783)),IF(INDEX('AFA Rates'!$K$5:$K$1004,$T783)="","",INDEX('AFA Rates'!$K$5:$K$1004,$T783))))</f>
        <v/>
      </c>
      <c r="N783" s="50">
        <f>IF($T783="","",IF($S783="S",IF(INDEX(Firms!$M$5:$M$1004,$T783)="","",INDEX(Firms!$M$5:$M$1004,$T783)),IF(INDEX('AFA Rates'!$L$5:$L$1004,$T783)="","",INDEX('AFA Rates'!$L$5:$L$1004,$T783))))</f>
        <v/>
      </c>
      <c r="O783" s="78">
        <f>IF(OR($T783="",$U783=""),"",IF(INDEX(Firms!$C$5:$C$1004,$U783)="","",INDEX(Firms!$C$5:$C$1004,$U783)))</f>
        <v/>
      </c>
      <c r="P783" s="79">
        <f>IF(OR($T783="",$U783=""),"",IF(INDEX(Firms!$N$5:$N$1004,$U783)="","",INDEX(Firms!$N$5:$N$1004,$U783)))</f>
        <v/>
      </c>
      <c r="Q783" s="78">
        <f>IF($T783="","",IF($S783="S",IF(INDEX(Firms!$T$5:$T$1004,$T783)="","",INDEX(Firms!$T$5:$T$1004,$T783)),IF(INDEX('AFA Rates'!$M$5:$M$1004,$T783)="","",INDEX('AFA Rates'!$M$5:$M$1004,$T783))))</f>
        <v/>
      </c>
      <c r="S783">
        <f>IF(779&lt;=$S$2,"S",IF(779&lt;=$S$2+$T$2,"A",""))</f>
        <v/>
      </c>
      <c r="T783">
        <f>IF(S783="S",MATCH(779,Firms!$W$5:$W$1004,0),IF(S783="A",IFERROR(MATCH(779-$S$2,'AFA Rates'!$R$5:$R$1004,0),""),""))</f>
        <v/>
      </c>
      <c r="U783">
        <f>IF(S783="S",T783,IF(AND(S783="A",T783&lt;&gt;""),IFERROR(MATCH(INDEX('AFA Rates'!$A$5:$A$1004,T783),Firms!$A$5:$A$1004,0),""),""))</f>
        <v/>
      </c>
    </row>
    <row r="784">
      <c r="A784" s="78">
        <f>IF($T784="","",IF($S784="S",IF(INDEX(Firms!$A$5:$A$1004,$T784)="","",INDEX(Firms!$A$5:$A$1004,$T784)),IF(INDEX('AFA Rates'!$A$5:$A$1004,$T784)="","",INDEX('AFA Rates'!$A$5:$A$1004,$T784))))</f>
        <v/>
      </c>
      <c r="B784" s="79">
        <f>IF(OR($T784="",$U784=""),IF($T784="","","Not on Firms tab"),INDEX(Firms!$B$5:$B$1004,$U784)&amp;"")</f>
        <v/>
      </c>
      <c r="C784" s="78">
        <f>IF($T784="","",IF($S784="S","Standard",INDEX('AFA Rates'!$B$5:$B$1004,$T784)&amp;""))</f>
        <v/>
      </c>
      <c r="D784" s="88">
        <f>IF($T784="","",IF($S784="S",IF(INDEX(Firms!$E$5:$E$1004,$T784)="","",INDEX(Firms!$E$5:$E$1004,$T784)),IF(INDEX('AFA Rates'!$C$5:$C$1004,$T784)="","",INDEX('AFA Rates'!$C$5:$C$1004,$T784))))</f>
        <v/>
      </c>
      <c r="E784" s="88">
        <f>IF($T784="","",IF($S784="S",IF(""="","",""),IF(INDEX('AFA Rates'!$D$5:$D$1004,$T784)="","",INDEX('AFA Rates'!$D$5:$D$1004,$T784))))</f>
        <v/>
      </c>
      <c r="F784" s="79">
        <f>IF($T784="","",IF($S784="S",IF(INDEX(Firms!$O$5:$O$1004,$T784)="","",INDEX(Firms!$O$5:$O$1004,$T784)),IF(INDEX('AFA Rates'!$O$5:$O$1004,$T784)="","",INDEX('AFA Rates'!$O$5:$O$1004,$T784))))</f>
        <v/>
      </c>
      <c r="G784" s="50">
        <f>IF($T784="","",IF($S784="S",IF(INDEX(Firms!$F$5:$F$1004,$T784)="","",INDEX(Firms!$F$5:$F$1004,$T784)),IF(INDEX('AFA Rates'!$E$5:$E$1004,$T784)="","",INDEX('AFA Rates'!$E$5:$E$1004,$T784))))</f>
        <v/>
      </c>
      <c r="H784" s="50">
        <f>IF($T784="","",IF($S784="S",IF(INDEX(Firms!$G$5:$G$1004,$T784)="","",INDEX(Firms!$G$5:$G$1004,$T784)),IF(INDEX('AFA Rates'!$F$5:$F$1004,$T784)="","",INDEX('AFA Rates'!$F$5:$F$1004,$T784))))</f>
        <v/>
      </c>
      <c r="I784" s="50">
        <f>IF($T784="","",IF($S784="S",IF(INDEX(Firms!$H$5:$H$1004,$T784)="","",INDEX(Firms!$H$5:$H$1004,$T784)),IF(INDEX('AFA Rates'!$G$5:$G$1004,$T784)="","",INDEX('AFA Rates'!$G$5:$G$1004,$T784))))</f>
        <v/>
      </c>
      <c r="J784" s="50">
        <f>IF($T784="","",IF($S784="S",IF(INDEX(Firms!$I$5:$I$1004,$T784)="","",INDEX(Firms!$I$5:$I$1004,$T784)),IF(INDEX('AFA Rates'!$H$5:$H$1004,$T784)="","",INDEX('AFA Rates'!$H$5:$H$1004,$T784))))</f>
        <v/>
      </c>
      <c r="K784" s="50">
        <f>IF($T784="","",IF($S784="S",IF(INDEX(Firms!$J$5:$J$1004,$T784)="","",INDEX(Firms!$J$5:$J$1004,$T784)),IF(INDEX('AFA Rates'!$I$5:$I$1004,$T784)="","",INDEX('AFA Rates'!$I$5:$I$1004,$T784))))</f>
        <v/>
      </c>
      <c r="L784" s="50">
        <f>IF($T784="","",IF($S784="S",IF(INDEX(Firms!$K$5:$K$1004,$T784)="","",INDEX(Firms!$K$5:$K$1004,$T784)),IF(INDEX('AFA Rates'!$J$5:$J$1004,$T784)="","",INDEX('AFA Rates'!$J$5:$J$1004,$T784))))</f>
        <v/>
      </c>
      <c r="M784" s="50">
        <f>IF($T784="","",IF($S784="S",IF(INDEX(Firms!$L$5:$L$1004,$T784)="","",INDEX(Firms!$L$5:$L$1004,$T784)),IF(INDEX('AFA Rates'!$K$5:$K$1004,$T784)="","",INDEX('AFA Rates'!$K$5:$K$1004,$T784))))</f>
        <v/>
      </c>
      <c r="N784" s="50">
        <f>IF($T784="","",IF($S784="S",IF(INDEX(Firms!$M$5:$M$1004,$T784)="","",INDEX(Firms!$M$5:$M$1004,$T784)),IF(INDEX('AFA Rates'!$L$5:$L$1004,$T784)="","",INDEX('AFA Rates'!$L$5:$L$1004,$T784))))</f>
        <v/>
      </c>
      <c r="O784" s="78">
        <f>IF(OR($T784="",$U784=""),"",IF(INDEX(Firms!$C$5:$C$1004,$U784)="","",INDEX(Firms!$C$5:$C$1004,$U784)))</f>
        <v/>
      </c>
      <c r="P784" s="79">
        <f>IF(OR($T784="",$U784=""),"",IF(INDEX(Firms!$N$5:$N$1004,$U784)="","",INDEX(Firms!$N$5:$N$1004,$U784)))</f>
        <v/>
      </c>
      <c r="Q784" s="78">
        <f>IF($T784="","",IF($S784="S",IF(INDEX(Firms!$T$5:$T$1004,$T784)="","",INDEX(Firms!$T$5:$T$1004,$T784)),IF(INDEX('AFA Rates'!$M$5:$M$1004,$T784)="","",INDEX('AFA Rates'!$M$5:$M$1004,$T784))))</f>
        <v/>
      </c>
      <c r="S784">
        <f>IF(780&lt;=$S$2,"S",IF(780&lt;=$S$2+$T$2,"A",""))</f>
        <v/>
      </c>
      <c r="T784">
        <f>IF(S784="S",MATCH(780,Firms!$W$5:$W$1004,0),IF(S784="A",IFERROR(MATCH(780-$S$2,'AFA Rates'!$R$5:$R$1004,0),""),""))</f>
        <v/>
      </c>
      <c r="U784">
        <f>IF(S784="S",T784,IF(AND(S784="A",T784&lt;&gt;""),IFERROR(MATCH(INDEX('AFA Rates'!$A$5:$A$1004,T784),Firms!$A$5:$A$1004,0),""),""))</f>
        <v/>
      </c>
    </row>
    <row r="785">
      <c r="A785" s="78">
        <f>IF($T785="","",IF($S785="S",IF(INDEX(Firms!$A$5:$A$1004,$T785)="","",INDEX(Firms!$A$5:$A$1004,$T785)),IF(INDEX('AFA Rates'!$A$5:$A$1004,$T785)="","",INDEX('AFA Rates'!$A$5:$A$1004,$T785))))</f>
        <v/>
      </c>
      <c r="B785" s="79">
        <f>IF(OR($T785="",$U785=""),IF($T785="","","Not on Firms tab"),INDEX(Firms!$B$5:$B$1004,$U785)&amp;"")</f>
        <v/>
      </c>
      <c r="C785" s="78">
        <f>IF($T785="","",IF($S785="S","Standard",INDEX('AFA Rates'!$B$5:$B$1004,$T785)&amp;""))</f>
        <v/>
      </c>
      <c r="D785" s="88">
        <f>IF($T785="","",IF($S785="S",IF(INDEX(Firms!$E$5:$E$1004,$T785)="","",INDEX(Firms!$E$5:$E$1004,$T785)),IF(INDEX('AFA Rates'!$C$5:$C$1004,$T785)="","",INDEX('AFA Rates'!$C$5:$C$1004,$T785))))</f>
        <v/>
      </c>
      <c r="E785" s="88">
        <f>IF($T785="","",IF($S785="S",IF(""="","",""),IF(INDEX('AFA Rates'!$D$5:$D$1004,$T785)="","",INDEX('AFA Rates'!$D$5:$D$1004,$T785))))</f>
        <v/>
      </c>
      <c r="F785" s="79">
        <f>IF($T785="","",IF($S785="S",IF(INDEX(Firms!$O$5:$O$1004,$T785)="","",INDEX(Firms!$O$5:$O$1004,$T785)),IF(INDEX('AFA Rates'!$O$5:$O$1004,$T785)="","",INDEX('AFA Rates'!$O$5:$O$1004,$T785))))</f>
        <v/>
      </c>
      <c r="G785" s="50">
        <f>IF($T785="","",IF($S785="S",IF(INDEX(Firms!$F$5:$F$1004,$T785)="","",INDEX(Firms!$F$5:$F$1004,$T785)),IF(INDEX('AFA Rates'!$E$5:$E$1004,$T785)="","",INDEX('AFA Rates'!$E$5:$E$1004,$T785))))</f>
        <v/>
      </c>
      <c r="H785" s="50">
        <f>IF($T785="","",IF($S785="S",IF(INDEX(Firms!$G$5:$G$1004,$T785)="","",INDEX(Firms!$G$5:$G$1004,$T785)),IF(INDEX('AFA Rates'!$F$5:$F$1004,$T785)="","",INDEX('AFA Rates'!$F$5:$F$1004,$T785))))</f>
        <v/>
      </c>
      <c r="I785" s="50">
        <f>IF($T785="","",IF($S785="S",IF(INDEX(Firms!$H$5:$H$1004,$T785)="","",INDEX(Firms!$H$5:$H$1004,$T785)),IF(INDEX('AFA Rates'!$G$5:$G$1004,$T785)="","",INDEX('AFA Rates'!$G$5:$G$1004,$T785))))</f>
        <v/>
      </c>
      <c r="J785" s="50">
        <f>IF($T785="","",IF($S785="S",IF(INDEX(Firms!$I$5:$I$1004,$T785)="","",INDEX(Firms!$I$5:$I$1004,$T785)),IF(INDEX('AFA Rates'!$H$5:$H$1004,$T785)="","",INDEX('AFA Rates'!$H$5:$H$1004,$T785))))</f>
        <v/>
      </c>
      <c r="K785" s="50">
        <f>IF($T785="","",IF($S785="S",IF(INDEX(Firms!$J$5:$J$1004,$T785)="","",INDEX(Firms!$J$5:$J$1004,$T785)),IF(INDEX('AFA Rates'!$I$5:$I$1004,$T785)="","",INDEX('AFA Rates'!$I$5:$I$1004,$T785))))</f>
        <v/>
      </c>
      <c r="L785" s="50">
        <f>IF($T785="","",IF($S785="S",IF(INDEX(Firms!$K$5:$K$1004,$T785)="","",INDEX(Firms!$K$5:$K$1004,$T785)),IF(INDEX('AFA Rates'!$J$5:$J$1004,$T785)="","",INDEX('AFA Rates'!$J$5:$J$1004,$T785))))</f>
        <v/>
      </c>
      <c r="M785" s="50">
        <f>IF($T785="","",IF($S785="S",IF(INDEX(Firms!$L$5:$L$1004,$T785)="","",INDEX(Firms!$L$5:$L$1004,$T785)),IF(INDEX('AFA Rates'!$K$5:$K$1004,$T785)="","",INDEX('AFA Rates'!$K$5:$K$1004,$T785))))</f>
        <v/>
      </c>
      <c r="N785" s="50">
        <f>IF($T785="","",IF($S785="S",IF(INDEX(Firms!$M$5:$M$1004,$T785)="","",INDEX(Firms!$M$5:$M$1004,$T785)),IF(INDEX('AFA Rates'!$L$5:$L$1004,$T785)="","",INDEX('AFA Rates'!$L$5:$L$1004,$T785))))</f>
        <v/>
      </c>
      <c r="O785" s="78">
        <f>IF(OR($T785="",$U785=""),"",IF(INDEX(Firms!$C$5:$C$1004,$U785)="","",INDEX(Firms!$C$5:$C$1004,$U785)))</f>
        <v/>
      </c>
      <c r="P785" s="79">
        <f>IF(OR($T785="",$U785=""),"",IF(INDEX(Firms!$N$5:$N$1004,$U785)="","",INDEX(Firms!$N$5:$N$1004,$U785)))</f>
        <v/>
      </c>
      <c r="Q785" s="78">
        <f>IF($T785="","",IF($S785="S",IF(INDEX(Firms!$T$5:$T$1004,$T785)="","",INDEX(Firms!$T$5:$T$1004,$T785)),IF(INDEX('AFA Rates'!$M$5:$M$1004,$T785)="","",INDEX('AFA Rates'!$M$5:$M$1004,$T785))))</f>
        <v/>
      </c>
      <c r="S785">
        <f>IF(781&lt;=$S$2,"S",IF(781&lt;=$S$2+$T$2,"A",""))</f>
        <v/>
      </c>
      <c r="T785">
        <f>IF(S785="S",MATCH(781,Firms!$W$5:$W$1004,0),IF(S785="A",IFERROR(MATCH(781-$S$2,'AFA Rates'!$R$5:$R$1004,0),""),""))</f>
        <v/>
      </c>
      <c r="U785">
        <f>IF(S785="S",T785,IF(AND(S785="A",T785&lt;&gt;""),IFERROR(MATCH(INDEX('AFA Rates'!$A$5:$A$1004,T785),Firms!$A$5:$A$1004,0),""),""))</f>
        <v/>
      </c>
    </row>
    <row r="786">
      <c r="A786" s="78">
        <f>IF($T786="","",IF($S786="S",IF(INDEX(Firms!$A$5:$A$1004,$T786)="","",INDEX(Firms!$A$5:$A$1004,$T786)),IF(INDEX('AFA Rates'!$A$5:$A$1004,$T786)="","",INDEX('AFA Rates'!$A$5:$A$1004,$T786))))</f>
        <v/>
      </c>
      <c r="B786" s="79">
        <f>IF(OR($T786="",$U786=""),IF($T786="","","Not on Firms tab"),INDEX(Firms!$B$5:$B$1004,$U786)&amp;"")</f>
        <v/>
      </c>
      <c r="C786" s="78">
        <f>IF($T786="","",IF($S786="S","Standard",INDEX('AFA Rates'!$B$5:$B$1004,$T786)&amp;""))</f>
        <v/>
      </c>
      <c r="D786" s="88">
        <f>IF($T786="","",IF($S786="S",IF(INDEX(Firms!$E$5:$E$1004,$T786)="","",INDEX(Firms!$E$5:$E$1004,$T786)),IF(INDEX('AFA Rates'!$C$5:$C$1004,$T786)="","",INDEX('AFA Rates'!$C$5:$C$1004,$T786))))</f>
        <v/>
      </c>
      <c r="E786" s="88">
        <f>IF($T786="","",IF($S786="S",IF(""="","",""),IF(INDEX('AFA Rates'!$D$5:$D$1004,$T786)="","",INDEX('AFA Rates'!$D$5:$D$1004,$T786))))</f>
        <v/>
      </c>
      <c r="F786" s="79">
        <f>IF($T786="","",IF($S786="S",IF(INDEX(Firms!$O$5:$O$1004,$T786)="","",INDEX(Firms!$O$5:$O$1004,$T786)),IF(INDEX('AFA Rates'!$O$5:$O$1004,$T786)="","",INDEX('AFA Rates'!$O$5:$O$1004,$T786))))</f>
        <v/>
      </c>
      <c r="G786" s="50">
        <f>IF($T786="","",IF($S786="S",IF(INDEX(Firms!$F$5:$F$1004,$T786)="","",INDEX(Firms!$F$5:$F$1004,$T786)),IF(INDEX('AFA Rates'!$E$5:$E$1004,$T786)="","",INDEX('AFA Rates'!$E$5:$E$1004,$T786))))</f>
        <v/>
      </c>
      <c r="H786" s="50">
        <f>IF($T786="","",IF($S786="S",IF(INDEX(Firms!$G$5:$G$1004,$T786)="","",INDEX(Firms!$G$5:$G$1004,$T786)),IF(INDEX('AFA Rates'!$F$5:$F$1004,$T786)="","",INDEX('AFA Rates'!$F$5:$F$1004,$T786))))</f>
        <v/>
      </c>
      <c r="I786" s="50">
        <f>IF($T786="","",IF($S786="S",IF(INDEX(Firms!$H$5:$H$1004,$T786)="","",INDEX(Firms!$H$5:$H$1004,$T786)),IF(INDEX('AFA Rates'!$G$5:$G$1004,$T786)="","",INDEX('AFA Rates'!$G$5:$G$1004,$T786))))</f>
        <v/>
      </c>
      <c r="J786" s="50">
        <f>IF($T786="","",IF($S786="S",IF(INDEX(Firms!$I$5:$I$1004,$T786)="","",INDEX(Firms!$I$5:$I$1004,$T786)),IF(INDEX('AFA Rates'!$H$5:$H$1004,$T786)="","",INDEX('AFA Rates'!$H$5:$H$1004,$T786))))</f>
        <v/>
      </c>
      <c r="K786" s="50">
        <f>IF($T786="","",IF($S786="S",IF(INDEX(Firms!$J$5:$J$1004,$T786)="","",INDEX(Firms!$J$5:$J$1004,$T786)),IF(INDEX('AFA Rates'!$I$5:$I$1004,$T786)="","",INDEX('AFA Rates'!$I$5:$I$1004,$T786))))</f>
        <v/>
      </c>
      <c r="L786" s="50">
        <f>IF($T786="","",IF($S786="S",IF(INDEX(Firms!$K$5:$K$1004,$T786)="","",INDEX(Firms!$K$5:$K$1004,$T786)),IF(INDEX('AFA Rates'!$J$5:$J$1004,$T786)="","",INDEX('AFA Rates'!$J$5:$J$1004,$T786))))</f>
        <v/>
      </c>
      <c r="M786" s="50">
        <f>IF($T786="","",IF($S786="S",IF(INDEX(Firms!$L$5:$L$1004,$T786)="","",INDEX(Firms!$L$5:$L$1004,$T786)),IF(INDEX('AFA Rates'!$K$5:$K$1004,$T786)="","",INDEX('AFA Rates'!$K$5:$K$1004,$T786))))</f>
        <v/>
      </c>
      <c r="N786" s="50">
        <f>IF($T786="","",IF($S786="S",IF(INDEX(Firms!$M$5:$M$1004,$T786)="","",INDEX(Firms!$M$5:$M$1004,$T786)),IF(INDEX('AFA Rates'!$L$5:$L$1004,$T786)="","",INDEX('AFA Rates'!$L$5:$L$1004,$T786))))</f>
        <v/>
      </c>
      <c r="O786" s="78">
        <f>IF(OR($T786="",$U786=""),"",IF(INDEX(Firms!$C$5:$C$1004,$U786)="","",INDEX(Firms!$C$5:$C$1004,$U786)))</f>
        <v/>
      </c>
      <c r="P786" s="79">
        <f>IF(OR($T786="",$U786=""),"",IF(INDEX(Firms!$N$5:$N$1004,$U786)="","",INDEX(Firms!$N$5:$N$1004,$U786)))</f>
        <v/>
      </c>
      <c r="Q786" s="78">
        <f>IF($T786="","",IF($S786="S",IF(INDEX(Firms!$T$5:$T$1004,$T786)="","",INDEX(Firms!$T$5:$T$1004,$T786)),IF(INDEX('AFA Rates'!$M$5:$M$1004,$T786)="","",INDEX('AFA Rates'!$M$5:$M$1004,$T786))))</f>
        <v/>
      </c>
      <c r="S786">
        <f>IF(782&lt;=$S$2,"S",IF(782&lt;=$S$2+$T$2,"A",""))</f>
        <v/>
      </c>
      <c r="T786">
        <f>IF(S786="S",MATCH(782,Firms!$W$5:$W$1004,0),IF(S786="A",IFERROR(MATCH(782-$S$2,'AFA Rates'!$R$5:$R$1004,0),""),""))</f>
        <v/>
      </c>
      <c r="U786">
        <f>IF(S786="S",T786,IF(AND(S786="A",T786&lt;&gt;""),IFERROR(MATCH(INDEX('AFA Rates'!$A$5:$A$1004,T786),Firms!$A$5:$A$1004,0),""),""))</f>
        <v/>
      </c>
    </row>
    <row r="787">
      <c r="A787" s="78">
        <f>IF($T787="","",IF($S787="S",IF(INDEX(Firms!$A$5:$A$1004,$T787)="","",INDEX(Firms!$A$5:$A$1004,$T787)),IF(INDEX('AFA Rates'!$A$5:$A$1004,$T787)="","",INDEX('AFA Rates'!$A$5:$A$1004,$T787))))</f>
        <v/>
      </c>
      <c r="B787" s="79">
        <f>IF(OR($T787="",$U787=""),IF($T787="","","Not on Firms tab"),INDEX(Firms!$B$5:$B$1004,$U787)&amp;"")</f>
        <v/>
      </c>
      <c r="C787" s="78">
        <f>IF($T787="","",IF($S787="S","Standard",INDEX('AFA Rates'!$B$5:$B$1004,$T787)&amp;""))</f>
        <v/>
      </c>
      <c r="D787" s="88">
        <f>IF($T787="","",IF($S787="S",IF(INDEX(Firms!$E$5:$E$1004,$T787)="","",INDEX(Firms!$E$5:$E$1004,$T787)),IF(INDEX('AFA Rates'!$C$5:$C$1004,$T787)="","",INDEX('AFA Rates'!$C$5:$C$1004,$T787))))</f>
        <v/>
      </c>
      <c r="E787" s="88">
        <f>IF($T787="","",IF($S787="S",IF(""="","",""),IF(INDEX('AFA Rates'!$D$5:$D$1004,$T787)="","",INDEX('AFA Rates'!$D$5:$D$1004,$T787))))</f>
        <v/>
      </c>
      <c r="F787" s="79">
        <f>IF($T787="","",IF($S787="S",IF(INDEX(Firms!$O$5:$O$1004,$T787)="","",INDEX(Firms!$O$5:$O$1004,$T787)),IF(INDEX('AFA Rates'!$O$5:$O$1004,$T787)="","",INDEX('AFA Rates'!$O$5:$O$1004,$T787))))</f>
        <v/>
      </c>
      <c r="G787" s="50">
        <f>IF($T787="","",IF($S787="S",IF(INDEX(Firms!$F$5:$F$1004,$T787)="","",INDEX(Firms!$F$5:$F$1004,$T787)),IF(INDEX('AFA Rates'!$E$5:$E$1004,$T787)="","",INDEX('AFA Rates'!$E$5:$E$1004,$T787))))</f>
        <v/>
      </c>
      <c r="H787" s="50">
        <f>IF($T787="","",IF($S787="S",IF(INDEX(Firms!$G$5:$G$1004,$T787)="","",INDEX(Firms!$G$5:$G$1004,$T787)),IF(INDEX('AFA Rates'!$F$5:$F$1004,$T787)="","",INDEX('AFA Rates'!$F$5:$F$1004,$T787))))</f>
        <v/>
      </c>
      <c r="I787" s="50">
        <f>IF($T787="","",IF($S787="S",IF(INDEX(Firms!$H$5:$H$1004,$T787)="","",INDEX(Firms!$H$5:$H$1004,$T787)),IF(INDEX('AFA Rates'!$G$5:$G$1004,$T787)="","",INDEX('AFA Rates'!$G$5:$G$1004,$T787))))</f>
        <v/>
      </c>
      <c r="J787" s="50">
        <f>IF($T787="","",IF($S787="S",IF(INDEX(Firms!$I$5:$I$1004,$T787)="","",INDEX(Firms!$I$5:$I$1004,$T787)),IF(INDEX('AFA Rates'!$H$5:$H$1004,$T787)="","",INDEX('AFA Rates'!$H$5:$H$1004,$T787))))</f>
        <v/>
      </c>
      <c r="K787" s="50">
        <f>IF($T787="","",IF($S787="S",IF(INDEX(Firms!$J$5:$J$1004,$T787)="","",INDEX(Firms!$J$5:$J$1004,$T787)),IF(INDEX('AFA Rates'!$I$5:$I$1004,$T787)="","",INDEX('AFA Rates'!$I$5:$I$1004,$T787))))</f>
        <v/>
      </c>
      <c r="L787" s="50">
        <f>IF($T787="","",IF($S787="S",IF(INDEX(Firms!$K$5:$K$1004,$T787)="","",INDEX(Firms!$K$5:$K$1004,$T787)),IF(INDEX('AFA Rates'!$J$5:$J$1004,$T787)="","",INDEX('AFA Rates'!$J$5:$J$1004,$T787))))</f>
        <v/>
      </c>
      <c r="M787" s="50">
        <f>IF($T787="","",IF($S787="S",IF(INDEX(Firms!$L$5:$L$1004,$T787)="","",INDEX(Firms!$L$5:$L$1004,$T787)),IF(INDEX('AFA Rates'!$K$5:$K$1004,$T787)="","",INDEX('AFA Rates'!$K$5:$K$1004,$T787))))</f>
        <v/>
      </c>
      <c r="N787" s="50">
        <f>IF($T787="","",IF($S787="S",IF(INDEX(Firms!$M$5:$M$1004,$T787)="","",INDEX(Firms!$M$5:$M$1004,$T787)),IF(INDEX('AFA Rates'!$L$5:$L$1004,$T787)="","",INDEX('AFA Rates'!$L$5:$L$1004,$T787))))</f>
        <v/>
      </c>
      <c r="O787" s="78">
        <f>IF(OR($T787="",$U787=""),"",IF(INDEX(Firms!$C$5:$C$1004,$U787)="","",INDEX(Firms!$C$5:$C$1004,$U787)))</f>
        <v/>
      </c>
      <c r="P787" s="79">
        <f>IF(OR($T787="",$U787=""),"",IF(INDEX(Firms!$N$5:$N$1004,$U787)="","",INDEX(Firms!$N$5:$N$1004,$U787)))</f>
        <v/>
      </c>
      <c r="Q787" s="78">
        <f>IF($T787="","",IF($S787="S",IF(INDEX(Firms!$T$5:$T$1004,$T787)="","",INDEX(Firms!$T$5:$T$1004,$T787)),IF(INDEX('AFA Rates'!$M$5:$M$1004,$T787)="","",INDEX('AFA Rates'!$M$5:$M$1004,$T787))))</f>
        <v/>
      </c>
      <c r="S787">
        <f>IF(783&lt;=$S$2,"S",IF(783&lt;=$S$2+$T$2,"A",""))</f>
        <v/>
      </c>
      <c r="T787">
        <f>IF(S787="S",MATCH(783,Firms!$W$5:$W$1004,0),IF(S787="A",IFERROR(MATCH(783-$S$2,'AFA Rates'!$R$5:$R$1004,0),""),""))</f>
        <v/>
      </c>
      <c r="U787">
        <f>IF(S787="S",T787,IF(AND(S787="A",T787&lt;&gt;""),IFERROR(MATCH(INDEX('AFA Rates'!$A$5:$A$1004,T787),Firms!$A$5:$A$1004,0),""),""))</f>
        <v/>
      </c>
    </row>
    <row r="788">
      <c r="A788" s="78">
        <f>IF($T788="","",IF($S788="S",IF(INDEX(Firms!$A$5:$A$1004,$T788)="","",INDEX(Firms!$A$5:$A$1004,$T788)),IF(INDEX('AFA Rates'!$A$5:$A$1004,$T788)="","",INDEX('AFA Rates'!$A$5:$A$1004,$T788))))</f>
        <v/>
      </c>
      <c r="B788" s="79">
        <f>IF(OR($T788="",$U788=""),IF($T788="","","Not on Firms tab"),INDEX(Firms!$B$5:$B$1004,$U788)&amp;"")</f>
        <v/>
      </c>
      <c r="C788" s="78">
        <f>IF($T788="","",IF($S788="S","Standard",INDEX('AFA Rates'!$B$5:$B$1004,$T788)&amp;""))</f>
        <v/>
      </c>
      <c r="D788" s="88">
        <f>IF($T788="","",IF($S788="S",IF(INDEX(Firms!$E$5:$E$1004,$T788)="","",INDEX(Firms!$E$5:$E$1004,$T788)),IF(INDEX('AFA Rates'!$C$5:$C$1004,$T788)="","",INDEX('AFA Rates'!$C$5:$C$1004,$T788))))</f>
        <v/>
      </c>
      <c r="E788" s="88">
        <f>IF($T788="","",IF($S788="S",IF(""="","",""),IF(INDEX('AFA Rates'!$D$5:$D$1004,$T788)="","",INDEX('AFA Rates'!$D$5:$D$1004,$T788))))</f>
        <v/>
      </c>
      <c r="F788" s="79">
        <f>IF($T788="","",IF($S788="S",IF(INDEX(Firms!$O$5:$O$1004,$T788)="","",INDEX(Firms!$O$5:$O$1004,$T788)),IF(INDEX('AFA Rates'!$O$5:$O$1004,$T788)="","",INDEX('AFA Rates'!$O$5:$O$1004,$T788))))</f>
        <v/>
      </c>
      <c r="G788" s="50">
        <f>IF($T788="","",IF($S788="S",IF(INDEX(Firms!$F$5:$F$1004,$T788)="","",INDEX(Firms!$F$5:$F$1004,$T788)),IF(INDEX('AFA Rates'!$E$5:$E$1004,$T788)="","",INDEX('AFA Rates'!$E$5:$E$1004,$T788))))</f>
        <v/>
      </c>
      <c r="H788" s="50">
        <f>IF($T788="","",IF($S788="S",IF(INDEX(Firms!$G$5:$G$1004,$T788)="","",INDEX(Firms!$G$5:$G$1004,$T788)),IF(INDEX('AFA Rates'!$F$5:$F$1004,$T788)="","",INDEX('AFA Rates'!$F$5:$F$1004,$T788))))</f>
        <v/>
      </c>
      <c r="I788" s="50">
        <f>IF($T788="","",IF($S788="S",IF(INDEX(Firms!$H$5:$H$1004,$T788)="","",INDEX(Firms!$H$5:$H$1004,$T788)),IF(INDEX('AFA Rates'!$G$5:$G$1004,$T788)="","",INDEX('AFA Rates'!$G$5:$G$1004,$T788))))</f>
        <v/>
      </c>
      <c r="J788" s="50">
        <f>IF($T788="","",IF($S788="S",IF(INDEX(Firms!$I$5:$I$1004,$T788)="","",INDEX(Firms!$I$5:$I$1004,$T788)),IF(INDEX('AFA Rates'!$H$5:$H$1004,$T788)="","",INDEX('AFA Rates'!$H$5:$H$1004,$T788))))</f>
        <v/>
      </c>
      <c r="K788" s="50">
        <f>IF($T788="","",IF($S788="S",IF(INDEX(Firms!$J$5:$J$1004,$T788)="","",INDEX(Firms!$J$5:$J$1004,$T788)),IF(INDEX('AFA Rates'!$I$5:$I$1004,$T788)="","",INDEX('AFA Rates'!$I$5:$I$1004,$T788))))</f>
        <v/>
      </c>
      <c r="L788" s="50">
        <f>IF($T788="","",IF($S788="S",IF(INDEX(Firms!$K$5:$K$1004,$T788)="","",INDEX(Firms!$K$5:$K$1004,$T788)),IF(INDEX('AFA Rates'!$J$5:$J$1004,$T788)="","",INDEX('AFA Rates'!$J$5:$J$1004,$T788))))</f>
        <v/>
      </c>
      <c r="M788" s="50">
        <f>IF($T788="","",IF($S788="S",IF(INDEX(Firms!$L$5:$L$1004,$T788)="","",INDEX(Firms!$L$5:$L$1004,$T788)),IF(INDEX('AFA Rates'!$K$5:$K$1004,$T788)="","",INDEX('AFA Rates'!$K$5:$K$1004,$T788))))</f>
        <v/>
      </c>
      <c r="N788" s="50">
        <f>IF($T788="","",IF($S788="S",IF(INDEX(Firms!$M$5:$M$1004,$T788)="","",INDEX(Firms!$M$5:$M$1004,$T788)),IF(INDEX('AFA Rates'!$L$5:$L$1004,$T788)="","",INDEX('AFA Rates'!$L$5:$L$1004,$T788))))</f>
        <v/>
      </c>
      <c r="O788" s="78">
        <f>IF(OR($T788="",$U788=""),"",IF(INDEX(Firms!$C$5:$C$1004,$U788)="","",INDEX(Firms!$C$5:$C$1004,$U788)))</f>
        <v/>
      </c>
      <c r="P788" s="79">
        <f>IF(OR($T788="",$U788=""),"",IF(INDEX(Firms!$N$5:$N$1004,$U788)="","",INDEX(Firms!$N$5:$N$1004,$U788)))</f>
        <v/>
      </c>
      <c r="Q788" s="78">
        <f>IF($T788="","",IF($S788="S",IF(INDEX(Firms!$T$5:$T$1004,$T788)="","",INDEX(Firms!$T$5:$T$1004,$T788)),IF(INDEX('AFA Rates'!$M$5:$M$1004,$T788)="","",INDEX('AFA Rates'!$M$5:$M$1004,$T788))))</f>
        <v/>
      </c>
      <c r="S788">
        <f>IF(784&lt;=$S$2,"S",IF(784&lt;=$S$2+$T$2,"A",""))</f>
        <v/>
      </c>
      <c r="T788">
        <f>IF(S788="S",MATCH(784,Firms!$W$5:$W$1004,0),IF(S788="A",IFERROR(MATCH(784-$S$2,'AFA Rates'!$R$5:$R$1004,0),""),""))</f>
        <v/>
      </c>
      <c r="U788">
        <f>IF(S788="S",T788,IF(AND(S788="A",T788&lt;&gt;""),IFERROR(MATCH(INDEX('AFA Rates'!$A$5:$A$1004,T788),Firms!$A$5:$A$1004,0),""),""))</f>
        <v/>
      </c>
    </row>
    <row r="789">
      <c r="A789" s="78">
        <f>IF($T789="","",IF($S789="S",IF(INDEX(Firms!$A$5:$A$1004,$T789)="","",INDEX(Firms!$A$5:$A$1004,$T789)),IF(INDEX('AFA Rates'!$A$5:$A$1004,$T789)="","",INDEX('AFA Rates'!$A$5:$A$1004,$T789))))</f>
        <v/>
      </c>
      <c r="B789" s="79">
        <f>IF(OR($T789="",$U789=""),IF($T789="","","Not on Firms tab"),INDEX(Firms!$B$5:$B$1004,$U789)&amp;"")</f>
        <v/>
      </c>
      <c r="C789" s="78">
        <f>IF($T789="","",IF($S789="S","Standard",INDEX('AFA Rates'!$B$5:$B$1004,$T789)&amp;""))</f>
        <v/>
      </c>
      <c r="D789" s="88">
        <f>IF($T789="","",IF($S789="S",IF(INDEX(Firms!$E$5:$E$1004,$T789)="","",INDEX(Firms!$E$5:$E$1004,$T789)),IF(INDEX('AFA Rates'!$C$5:$C$1004,$T789)="","",INDEX('AFA Rates'!$C$5:$C$1004,$T789))))</f>
        <v/>
      </c>
      <c r="E789" s="88">
        <f>IF($T789="","",IF($S789="S",IF(""="","",""),IF(INDEX('AFA Rates'!$D$5:$D$1004,$T789)="","",INDEX('AFA Rates'!$D$5:$D$1004,$T789))))</f>
        <v/>
      </c>
      <c r="F789" s="79">
        <f>IF($T789="","",IF($S789="S",IF(INDEX(Firms!$O$5:$O$1004,$T789)="","",INDEX(Firms!$O$5:$O$1004,$T789)),IF(INDEX('AFA Rates'!$O$5:$O$1004,$T789)="","",INDEX('AFA Rates'!$O$5:$O$1004,$T789))))</f>
        <v/>
      </c>
      <c r="G789" s="50">
        <f>IF($T789="","",IF($S789="S",IF(INDEX(Firms!$F$5:$F$1004,$T789)="","",INDEX(Firms!$F$5:$F$1004,$T789)),IF(INDEX('AFA Rates'!$E$5:$E$1004,$T789)="","",INDEX('AFA Rates'!$E$5:$E$1004,$T789))))</f>
        <v/>
      </c>
      <c r="H789" s="50">
        <f>IF($T789="","",IF($S789="S",IF(INDEX(Firms!$G$5:$G$1004,$T789)="","",INDEX(Firms!$G$5:$G$1004,$T789)),IF(INDEX('AFA Rates'!$F$5:$F$1004,$T789)="","",INDEX('AFA Rates'!$F$5:$F$1004,$T789))))</f>
        <v/>
      </c>
      <c r="I789" s="50">
        <f>IF($T789="","",IF($S789="S",IF(INDEX(Firms!$H$5:$H$1004,$T789)="","",INDEX(Firms!$H$5:$H$1004,$T789)),IF(INDEX('AFA Rates'!$G$5:$G$1004,$T789)="","",INDEX('AFA Rates'!$G$5:$G$1004,$T789))))</f>
        <v/>
      </c>
      <c r="J789" s="50">
        <f>IF($T789="","",IF($S789="S",IF(INDEX(Firms!$I$5:$I$1004,$T789)="","",INDEX(Firms!$I$5:$I$1004,$T789)),IF(INDEX('AFA Rates'!$H$5:$H$1004,$T789)="","",INDEX('AFA Rates'!$H$5:$H$1004,$T789))))</f>
        <v/>
      </c>
      <c r="K789" s="50">
        <f>IF($T789="","",IF($S789="S",IF(INDEX(Firms!$J$5:$J$1004,$T789)="","",INDEX(Firms!$J$5:$J$1004,$T789)),IF(INDEX('AFA Rates'!$I$5:$I$1004,$T789)="","",INDEX('AFA Rates'!$I$5:$I$1004,$T789))))</f>
        <v/>
      </c>
      <c r="L789" s="50">
        <f>IF($T789="","",IF($S789="S",IF(INDEX(Firms!$K$5:$K$1004,$T789)="","",INDEX(Firms!$K$5:$K$1004,$T789)),IF(INDEX('AFA Rates'!$J$5:$J$1004,$T789)="","",INDEX('AFA Rates'!$J$5:$J$1004,$T789))))</f>
        <v/>
      </c>
      <c r="M789" s="50">
        <f>IF($T789="","",IF($S789="S",IF(INDEX(Firms!$L$5:$L$1004,$T789)="","",INDEX(Firms!$L$5:$L$1004,$T789)),IF(INDEX('AFA Rates'!$K$5:$K$1004,$T789)="","",INDEX('AFA Rates'!$K$5:$K$1004,$T789))))</f>
        <v/>
      </c>
      <c r="N789" s="50">
        <f>IF($T789="","",IF($S789="S",IF(INDEX(Firms!$M$5:$M$1004,$T789)="","",INDEX(Firms!$M$5:$M$1004,$T789)),IF(INDEX('AFA Rates'!$L$5:$L$1004,$T789)="","",INDEX('AFA Rates'!$L$5:$L$1004,$T789))))</f>
        <v/>
      </c>
      <c r="O789" s="78">
        <f>IF(OR($T789="",$U789=""),"",IF(INDEX(Firms!$C$5:$C$1004,$U789)="","",INDEX(Firms!$C$5:$C$1004,$U789)))</f>
        <v/>
      </c>
      <c r="P789" s="79">
        <f>IF(OR($T789="",$U789=""),"",IF(INDEX(Firms!$N$5:$N$1004,$U789)="","",INDEX(Firms!$N$5:$N$1004,$U789)))</f>
        <v/>
      </c>
      <c r="Q789" s="78">
        <f>IF($T789="","",IF($S789="S",IF(INDEX(Firms!$T$5:$T$1004,$T789)="","",INDEX(Firms!$T$5:$T$1004,$T789)),IF(INDEX('AFA Rates'!$M$5:$M$1004,$T789)="","",INDEX('AFA Rates'!$M$5:$M$1004,$T789))))</f>
        <v/>
      </c>
      <c r="S789">
        <f>IF(785&lt;=$S$2,"S",IF(785&lt;=$S$2+$T$2,"A",""))</f>
        <v/>
      </c>
      <c r="T789">
        <f>IF(S789="S",MATCH(785,Firms!$W$5:$W$1004,0),IF(S789="A",IFERROR(MATCH(785-$S$2,'AFA Rates'!$R$5:$R$1004,0),""),""))</f>
        <v/>
      </c>
      <c r="U789">
        <f>IF(S789="S",T789,IF(AND(S789="A",T789&lt;&gt;""),IFERROR(MATCH(INDEX('AFA Rates'!$A$5:$A$1004,T789),Firms!$A$5:$A$1004,0),""),""))</f>
        <v/>
      </c>
    </row>
    <row r="790">
      <c r="A790" s="78">
        <f>IF($T790="","",IF($S790="S",IF(INDEX(Firms!$A$5:$A$1004,$T790)="","",INDEX(Firms!$A$5:$A$1004,$T790)),IF(INDEX('AFA Rates'!$A$5:$A$1004,$T790)="","",INDEX('AFA Rates'!$A$5:$A$1004,$T790))))</f>
        <v/>
      </c>
      <c r="B790" s="79">
        <f>IF(OR($T790="",$U790=""),IF($T790="","","Not on Firms tab"),INDEX(Firms!$B$5:$B$1004,$U790)&amp;"")</f>
        <v/>
      </c>
      <c r="C790" s="78">
        <f>IF($T790="","",IF($S790="S","Standard",INDEX('AFA Rates'!$B$5:$B$1004,$T790)&amp;""))</f>
        <v/>
      </c>
      <c r="D790" s="88">
        <f>IF($T790="","",IF($S790="S",IF(INDEX(Firms!$E$5:$E$1004,$T790)="","",INDEX(Firms!$E$5:$E$1004,$T790)),IF(INDEX('AFA Rates'!$C$5:$C$1004,$T790)="","",INDEX('AFA Rates'!$C$5:$C$1004,$T790))))</f>
        <v/>
      </c>
      <c r="E790" s="88">
        <f>IF($T790="","",IF($S790="S",IF(""="","",""),IF(INDEX('AFA Rates'!$D$5:$D$1004,$T790)="","",INDEX('AFA Rates'!$D$5:$D$1004,$T790))))</f>
        <v/>
      </c>
      <c r="F790" s="79">
        <f>IF($T790="","",IF($S790="S",IF(INDEX(Firms!$O$5:$O$1004,$T790)="","",INDEX(Firms!$O$5:$O$1004,$T790)),IF(INDEX('AFA Rates'!$O$5:$O$1004,$T790)="","",INDEX('AFA Rates'!$O$5:$O$1004,$T790))))</f>
        <v/>
      </c>
      <c r="G790" s="50">
        <f>IF($T790="","",IF($S790="S",IF(INDEX(Firms!$F$5:$F$1004,$T790)="","",INDEX(Firms!$F$5:$F$1004,$T790)),IF(INDEX('AFA Rates'!$E$5:$E$1004,$T790)="","",INDEX('AFA Rates'!$E$5:$E$1004,$T790))))</f>
        <v/>
      </c>
      <c r="H790" s="50">
        <f>IF($T790="","",IF($S790="S",IF(INDEX(Firms!$G$5:$G$1004,$T790)="","",INDEX(Firms!$G$5:$G$1004,$T790)),IF(INDEX('AFA Rates'!$F$5:$F$1004,$T790)="","",INDEX('AFA Rates'!$F$5:$F$1004,$T790))))</f>
        <v/>
      </c>
      <c r="I790" s="50">
        <f>IF($T790="","",IF($S790="S",IF(INDEX(Firms!$H$5:$H$1004,$T790)="","",INDEX(Firms!$H$5:$H$1004,$T790)),IF(INDEX('AFA Rates'!$G$5:$G$1004,$T790)="","",INDEX('AFA Rates'!$G$5:$G$1004,$T790))))</f>
        <v/>
      </c>
      <c r="J790" s="50">
        <f>IF($T790="","",IF($S790="S",IF(INDEX(Firms!$I$5:$I$1004,$T790)="","",INDEX(Firms!$I$5:$I$1004,$T790)),IF(INDEX('AFA Rates'!$H$5:$H$1004,$T790)="","",INDEX('AFA Rates'!$H$5:$H$1004,$T790))))</f>
        <v/>
      </c>
      <c r="K790" s="50">
        <f>IF($T790="","",IF($S790="S",IF(INDEX(Firms!$J$5:$J$1004,$T790)="","",INDEX(Firms!$J$5:$J$1004,$T790)),IF(INDEX('AFA Rates'!$I$5:$I$1004,$T790)="","",INDEX('AFA Rates'!$I$5:$I$1004,$T790))))</f>
        <v/>
      </c>
      <c r="L790" s="50">
        <f>IF($T790="","",IF($S790="S",IF(INDEX(Firms!$K$5:$K$1004,$T790)="","",INDEX(Firms!$K$5:$K$1004,$T790)),IF(INDEX('AFA Rates'!$J$5:$J$1004,$T790)="","",INDEX('AFA Rates'!$J$5:$J$1004,$T790))))</f>
        <v/>
      </c>
      <c r="M790" s="50">
        <f>IF($T790="","",IF($S790="S",IF(INDEX(Firms!$L$5:$L$1004,$T790)="","",INDEX(Firms!$L$5:$L$1004,$T790)),IF(INDEX('AFA Rates'!$K$5:$K$1004,$T790)="","",INDEX('AFA Rates'!$K$5:$K$1004,$T790))))</f>
        <v/>
      </c>
      <c r="N790" s="50">
        <f>IF($T790="","",IF($S790="S",IF(INDEX(Firms!$M$5:$M$1004,$T790)="","",INDEX(Firms!$M$5:$M$1004,$T790)),IF(INDEX('AFA Rates'!$L$5:$L$1004,$T790)="","",INDEX('AFA Rates'!$L$5:$L$1004,$T790))))</f>
        <v/>
      </c>
      <c r="O790" s="78">
        <f>IF(OR($T790="",$U790=""),"",IF(INDEX(Firms!$C$5:$C$1004,$U790)="","",INDEX(Firms!$C$5:$C$1004,$U790)))</f>
        <v/>
      </c>
      <c r="P790" s="79">
        <f>IF(OR($T790="",$U790=""),"",IF(INDEX(Firms!$N$5:$N$1004,$U790)="","",INDEX(Firms!$N$5:$N$1004,$U790)))</f>
        <v/>
      </c>
      <c r="Q790" s="78">
        <f>IF($T790="","",IF($S790="S",IF(INDEX(Firms!$T$5:$T$1004,$T790)="","",INDEX(Firms!$T$5:$T$1004,$T790)),IF(INDEX('AFA Rates'!$M$5:$M$1004,$T790)="","",INDEX('AFA Rates'!$M$5:$M$1004,$T790))))</f>
        <v/>
      </c>
      <c r="S790">
        <f>IF(786&lt;=$S$2,"S",IF(786&lt;=$S$2+$T$2,"A",""))</f>
        <v/>
      </c>
      <c r="T790">
        <f>IF(S790="S",MATCH(786,Firms!$W$5:$W$1004,0),IF(S790="A",IFERROR(MATCH(786-$S$2,'AFA Rates'!$R$5:$R$1004,0),""),""))</f>
        <v/>
      </c>
      <c r="U790">
        <f>IF(S790="S",T790,IF(AND(S790="A",T790&lt;&gt;""),IFERROR(MATCH(INDEX('AFA Rates'!$A$5:$A$1004,T790),Firms!$A$5:$A$1004,0),""),""))</f>
        <v/>
      </c>
    </row>
    <row r="791">
      <c r="A791" s="78">
        <f>IF($T791="","",IF($S791="S",IF(INDEX(Firms!$A$5:$A$1004,$T791)="","",INDEX(Firms!$A$5:$A$1004,$T791)),IF(INDEX('AFA Rates'!$A$5:$A$1004,$T791)="","",INDEX('AFA Rates'!$A$5:$A$1004,$T791))))</f>
        <v/>
      </c>
      <c r="B791" s="79">
        <f>IF(OR($T791="",$U791=""),IF($T791="","","Not on Firms tab"),INDEX(Firms!$B$5:$B$1004,$U791)&amp;"")</f>
        <v/>
      </c>
      <c r="C791" s="78">
        <f>IF($T791="","",IF($S791="S","Standard",INDEX('AFA Rates'!$B$5:$B$1004,$T791)&amp;""))</f>
        <v/>
      </c>
      <c r="D791" s="88">
        <f>IF($T791="","",IF($S791="S",IF(INDEX(Firms!$E$5:$E$1004,$T791)="","",INDEX(Firms!$E$5:$E$1004,$T791)),IF(INDEX('AFA Rates'!$C$5:$C$1004,$T791)="","",INDEX('AFA Rates'!$C$5:$C$1004,$T791))))</f>
        <v/>
      </c>
      <c r="E791" s="88">
        <f>IF($T791="","",IF($S791="S",IF(""="","",""),IF(INDEX('AFA Rates'!$D$5:$D$1004,$T791)="","",INDEX('AFA Rates'!$D$5:$D$1004,$T791))))</f>
        <v/>
      </c>
      <c r="F791" s="79">
        <f>IF($T791="","",IF($S791="S",IF(INDEX(Firms!$O$5:$O$1004,$T791)="","",INDEX(Firms!$O$5:$O$1004,$T791)),IF(INDEX('AFA Rates'!$O$5:$O$1004,$T791)="","",INDEX('AFA Rates'!$O$5:$O$1004,$T791))))</f>
        <v/>
      </c>
      <c r="G791" s="50">
        <f>IF($T791="","",IF($S791="S",IF(INDEX(Firms!$F$5:$F$1004,$T791)="","",INDEX(Firms!$F$5:$F$1004,$T791)),IF(INDEX('AFA Rates'!$E$5:$E$1004,$T791)="","",INDEX('AFA Rates'!$E$5:$E$1004,$T791))))</f>
        <v/>
      </c>
      <c r="H791" s="50">
        <f>IF($T791="","",IF($S791="S",IF(INDEX(Firms!$G$5:$G$1004,$T791)="","",INDEX(Firms!$G$5:$G$1004,$T791)),IF(INDEX('AFA Rates'!$F$5:$F$1004,$T791)="","",INDEX('AFA Rates'!$F$5:$F$1004,$T791))))</f>
        <v/>
      </c>
      <c r="I791" s="50">
        <f>IF($T791="","",IF($S791="S",IF(INDEX(Firms!$H$5:$H$1004,$T791)="","",INDEX(Firms!$H$5:$H$1004,$T791)),IF(INDEX('AFA Rates'!$G$5:$G$1004,$T791)="","",INDEX('AFA Rates'!$G$5:$G$1004,$T791))))</f>
        <v/>
      </c>
      <c r="J791" s="50">
        <f>IF($T791="","",IF($S791="S",IF(INDEX(Firms!$I$5:$I$1004,$T791)="","",INDEX(Firms!$I$5:$I$1004,$T791)),IF(INDEX('AFA Rates'!$H$5:$H$1004,$T791)="","",INDEX('AFA Rates'!$H$5:$H$1004,$T791))))</f>
        <v/>
      </c>
      <c r="K791" s="50">
        <f>IF($T791="","",IF($S791="S",IF(INDEX(Firms!$J$5:$J$1004,$T791)="","",INDEX(Firms!$J$5:$J$1004,$T791)),IF(INDEX('AFA Rates'!$I$5:$I$1004,$T791)="","",INDEX('AFA Rates'!$I$5:$I$1004,$T791))))</f>
        <v/>
      </c>
      <c r="L791" s="50">
        <f>IF($T791="","",IF($S791="S",IF(INDEX(Firms!$K$5:$K$1004,$T791)="","",INDEX(Firms!$K$5:$K$1004,$T791)),IF(INDEX('AFA Rates'!$J$5:$J$1004,$T791)="","",INDEX('AFA Rates'!$J$5:$J$1004,$T791))))</f>
        <v/>
      </c>
      <c r="M791" s="50">
        <f>IF($T791="","",IF($S791="S",IF(INDEX(Firms!$L$5:$L$1004,$T791)="","",INDEX(Firms!$L$5:$L$1004,$T791)),IF(INDEX('AFA Rates'!$K$5:$K$1004,$T791)="","",INDEX('AFA Rates'!$K$5:$K$1004,$T791))))</f>
        <v/>
      </c>
      <c r="N791" s="50">
        <f>IF($T791="","",IF($S791="S",IF(INDEX(Firms!$M$5:$M$1004,$T791)="","",INDEX(Firms!$M$5:$M$1004,$T791)),IF(INDEX('AFA Rates'!$L$5:$L$1004,$T791)="","",INDEX('AFA Rates'!$L$5:$L$1004,$T791))))</f>
        <v/>
      </c>
      <c r="O791" s="78">
        <f>IF(OR($T791="",$U791=""),"",IF(INDEX(Firms!$C$5:$C$1004,$U791)="","",INDEX(Firms!$C$5:$C$1004,$U791)))</f>
        <v/>
      </c>
      <c r="P791" s="79">
        <f>IF(OR($T791="",$U791=""),"",IF(INDEX(Firms!$N$5:$N$1004,$U791)="","",INDEX(Firms!$N$5:$N$1004,$U791)))</f>
        <v/>
      </c>
      <c r="Q791" s="78">
        <f>IF($T791="","",IF($S791="S",IF(INDEX(Firms!$T$5:$T$1004,$T791)="","",INDEX(Firms!$T$5:$T$1004,$T791)),IF(INDEX('AFA Rates'!$M$5:$M$1004,$T791)="","",INDEX('AFA Rates'!$M$5:$M$1004,$T791))))</f>
        <v/>
      </c>
      <c r="S791">
        <f>IF(787&lt;=$S$2,"S",IF(787&lt;=$S$2+$T$2,"A",""))</f>
        <v/>
      </c>
      <c r="T791">
        <f>IF(S791="S",MATCH(787,Firms!$W$5:$W$1004,0),IF(S791="A",IFERROR(MATCH(787-$S$2,'AFA Rates'!$R$5:$R$1004,0),""),""))</f>
        <v/>
      </c>
      <c r="U791">
        <f>IF(S791="S",T791,IF(AND(S791="A",T791&lt;&gt;""),IFERROR(MATCH(INDEX('AFA Rates'!$A$5:$A$1004,T791),Firms!$A$5:$A$1004,0),""),""))</f>
        <v/>
      </c>
    </row>
    <row r="792">
      <c r="A792" s="78">
        <f>IF($T792="","",IF($S792="S",IF(INDEX(Firms!$A$5:$A$1004,$T792)="","",INDEX(Firms!$A$5:$A$1004,$T792)),IF(INDEX('AFA Rates'!$A$5:$A$1004,$T792)="","",INDEX('AFA Rates'!$A$5:$A$1004,$T792))))</f>
        <v/>
      </c>
      <c r="B792" s="79">
        <f>IF(OR($T792="",$U792=""),IF($T792="","","Not on Firms tab"),INDEX(Firms!$B$5:$B$1004,$U792)&amp;"")</f>
        <v/>
      </c>
      <c r="C792" s="78">
        <f>IF($T792="","",IF($S792="S","Standard",INDEX('AFA Rates'!$B$5:$B$1004,$T792)&amp;""))</f>
        <v/>
      </c>
      <c r="D792" s="88">
        <f>IF($T792="","",IF($S792="S",IF(INDEX(Firms!$E$5:$E$1004,$T792)="","",INDEX(Firms!$E$5:$E$1004,$T792)),IF(INDEX('AFA Rates'!$C$5:$C$1004,$T792)="","",INDEX('AFA Rates'!$C$5:$C$1004,$T792))))</f>
        <v/>
      </c>
      <c r="E792" s="88">
        <f>IF($T792="","",IF($S792="S",IF(""="","",""),IF(INDEX('AFA Rates'!$D$5:$D$1004,$T792)="","",INDEX('AFA Rates'!$D$5:$D$1004,$T792))))</f>
        <v/>
      </c>
      <c r="F792" s="79">
        <f>IF($T792="","",IF($S792="S",IF(INDEX(Firms!$O$5:$O$1004,$T792)="","",INDEX(Firms!$O$5:$O$1004,$T792)),IF(INDEX('AFA Rates'!$O$5:$O$1004,$T792)="","",INDEX('AFA Rates'!$O$5:$O$1004,$T792))))</f>
        <v/>
      </c>
      <c r="G792" s="50">
        <f>IF($T792="","",IF($S792="S",IF(INDEX(Firms!$F$5:$F$1004,$T792)="","",INDEX(Firms!$F$5:$F$1004,$T792)),IF(INDEX('AFA Rates'!$E$5:$E$1004,$T792)="","",INDEX('AFA Rates'!$E$5:$E$1004,$T792))))</f>
        <v/>
      </c>
      <c r="H792" s="50">
        <f>IF($T792="","",IF($S792="S",IF(INDEX(Firms!$G$5:$G$1004,$T792)="","",INDEX(Firms!$G$5:$G$1004,$T792)),IF(INDEX('AFA Rates'!$F$5:$F$1004,$T792)="","",INDEX('AFA Rates'!$F$5:$F$1004,$T792))))</f>
        <v/>
      </c>
      <c r="I792" s="50">
        <f>IF($T792="","",IF($S792="S",IF(INDEX(Firms!$H$5:$H$1004,$T792)="","",INDEX(Firms!$H$5:$H$1004,$T792)),IF(INDEX('AFA Rates'!$G$5:$G$1004,$T792)="","",INDEX('AFA Rates'!$G$5:$G$1004,$T792))))</f>
        <v/>
      </c>
      <c r="J792" s="50">
        <f>IF($T792="","",IF($S792="S",IF(INDEX(Firms!$I$5:$I$1004,$T792)="","",INDEX(Firms!$I$5:$I$1004,$T792)),IF(INDEX('AFA Rates'!$H$5:$H$1004,$T792)="","",INDEX('AFA Rates'!$H$5:$H$1004,$T792))))</f>
        <v/>
      </c>
      <c r="K792" s="50">
        <f>IF($T792="","",IF($S792="S",IF(INDEX(Firms!$J$5:$J$1004,$T792)="","",INDEX(Firms!$J$5:$J$1004,$T792)),IF(INDEX('AFA Rates'!$I$5:$I$1004,$T792)="","",INDEX('AFA Rates'!$I$5:$I$1004,$T792))))</f>
        <v/>
      </c>
      <c r="L792" s="50">
        <f>IF($T792="","",IF($S792="S",IF(INDEX(Firms!$K$5:$K$1004,$T792)="","",INDEX(Firms!$K$5:$K$1004,$T792)),IF(INDEX('AFA Rates'!$J$5:$J$1004,$T792)="","",INDEX('AFA Rates'!$J$5:$J$1004,$T792))))</f>
        <v/>
      </c>
      <c r="M792" s="50">
        <f>IF($T792="","",IF($S792="S",IF(INDEX(Firms!$L$5:$L$1004,$T792)="","",INDEX(Firms!$L$5:$L$1004,$T792)),IF(INDEX('AFA Rates'!$K$5:$K$1004,$T792)="","",INDEX('AFA Rates'!$K$5:$K$1004,$T792))))</f>
        <v/>
      </c>
      <c r="N792" s="50">
        <f>IF($T792="","",IF($S792="S",IF(INDEX(Firms!$M$5:$M$1004,$T792)="","",INDEX(Firms!$M$5:$M$1004,$T792)),IF(INDEX('AFA Rates'!$L$5:$L$1004,$T792)="","",INDEX('AFA Rates'!$L$5:$L$1004,$T792))))</f>
        <v/>
      </c>
      <c r="O792" s="78">
        <f>IF(OR($T792="",$U792=""),"",IF(INDEX(Firms!$C$5:$C$1004,$U792)="","",INDEX(Firms!$C$5:$C$1004,$U792)))</f>
        <v/>
      </c>
      <c r="P792" s="79">
        <f>IF(OR($T792="",$U792=""),"",IF(INDEX(Firms!$N$5:$N$1004,$U792)="","",INDEX(Firms!$N$5:$N$1004,$U792)))</f>
        <v/>
      </c>
      <c r="Q792" s="78">
        <f>IF($T792="","",IF($S792="S",IF(INDEX(Firms!$T$5:$T$1004,$T792)="","",INDEX(Firms!$T$5:$T$1004,$T792)),IF(INDEX('AFA Rates'!$M$5:$M$1004,$T792)="","",INDEX('AFA Rates'!$M$5:$M$1004,$T792))))</f>
        <v/>
      </c>
      <c r="S792">
        <f>IF(788&lt;=$S$2,"S",IF(788&lt;=$S$2+$T$2,"A",""))</f>
        <v/>
      </c>
      <c r="T792">
        <f>IF(S792="S",MATCH(788,Firms!$W$5:$W$1004,0),IF(S792="A",IFERROR(MATCH(788-$S$2,'AFA Rates'!$R$5:$R$1004,0),""),""))</f>
        <v/>
      </c>
      <c r="U792">
        <f>IF(S792="S",T792,IF(AND(S792="A",T792&lt;&gt;""),IFERROR(MATCH(INDEX('AFA Rates'!$A$5:$A$1004,T792),Firms!$A$5:$A$1004,0),""),""))</f>
        <v/>
      </c>
    </row>
    <row r="793">
      <c r="A793" s="78">
        <f>IF($T793="","",IF($S793="S",IF(INDEX(Firms!$A$5:$A$1004,$T793)="","",INDEX(Firms!$A$5:$A$1004,$T793)),IF(INDEX('AFA Rates'!$A$5:$A$1004,$T793)="","",INDEX('AFA Rates'!$A$5:$A$1004,$T793))))</f>
        <v/>
      </c>
      <c r="B793" s="79">
        <f>IF(OR($T793="",$U793=""),IF($T793="","","Not on Firms tab"),INDEX(Firms!$B$5:$B$1004,$U793)&amp;"")</f>
        <v/>
      </c>
      <c r="C793" s="78">
        <f>IF($T793="","",IF($S793="S","Standard",INDEX('AFA Rates'!$B$5:$B$1004,$T793)&amp;""))</f>
        <v/>
      </c>
      <c r="D793" s="88">
        <f>IF($T793="","",IF($S793="S",IF(INDEX(Firms!$E$5:$E$1004,$T793)="","",INDEX(Firms!$E$5:$E$1004,$T793)),IF(INDEX('AFA Rates'!$C$5:$C$1004,$T793)="","",INDEX('AFA Rates'!$C$5:$C$1004,$T793))))</f>
        <v/>
      </c>
      <c r="E793" s="88">
        <f>IF($T793="","",IF($S793="S",IF(""="","",""),IF(INDEX('AFA Rates'!$D$5:$D$1004,$T793)="","",INDEX('AFA Rates'!$D$5:$D$1004,$T793))))</f>
        <v/>
      </c>
      <c r="F793" s="79">
        <f>IF($T793="","",IF($S793="S",IF(INDEX(Firms!$O$5:$O$1004,$T793)="","",INDEX(Firms!$O$5:$O$1004,$T793)),IF(INDEX('AFA Rates'!$O$5:$O$1004,$T793)="","",INDEX('AFA Rates'!$O$5:$O$1004,$T793))))</f>
        <v/>
      </c>
      <c r="G793" s="50">
        <f>IF($T793="","",IF($S793="S",IF(INDEX(Firms!$F$5:$F$1004,$T793)="","",INDEX(Firms!$F$5:$F$1004,$T793)),IF(INDEX('AFA Rates'!$E$5:$E$1004,$T793)="","",INDEX('AFA Rates'!$E$5:$E$1004,$T793))))</f>
        <v/>
      </c>
      <c r="H793" s="50">
        <f>IF($T793="","",IF($S793="S",IF(INDEX(Firms!$G$5:$G$1004,$T793)="","",INDEX(Firms!$G$5:$G$1004,$T793)),IF(INDEX('AFA Rates'!$F$5:$F$1004,$T793)="","",INDEX('AFA Rates'!$F$5:$F$1004,$T793))))</f>
        <v/>
      </c>
      <c r="I793" s="50">
        <f>IF($T793="","",IF($S793="S",IF(INDEX(Firms!$H$5:$H$1004,$T793)="","",INDEX(Firms!$H$5:$H$1004,$T793)),IF(INDEX('AFA Rates'!$G$5:$G$1004,$T793)="","",INDEX('AFA Rates'!$G$5:$G$1004,$T793))))</f>
        <v/>
      </c>
      <c r="J793" s="50">
        <f>IF($T793="","",IF($S793="S",IF(INDEX(Firms!$I$5:$I$1004,$T793)="","",INDEX(Firms!$I$5:$I$1004,$T793)),IF(INDEX('AFA Rates'!$H$5:$H$1004,$T793)="","",INDEX('AFA Rates'!$H$5:$H$1004,$T793))))</f>
        <v/>
      </c>
      <c r="K793" s="50">
        <f>IF($T793="","",IF($S793="S",IF(INDEX(Firms!$J$5:$J$1004,$T793)="","",INDEX(Firms!$J$5:$J$1004,$T793)),IF(INDEX('AFA Rates'!$I$5:$I$1004,$T793)="","",INDEX('AFA Rates'!$I$5:$I$1004,$T793))))</f>
        <v/>
      </c>
      <c r="L793" s="50">
        <f>IF($T793="","",IF($S793="S",IF(INDEX(Firms!$K$5:$K$1004,$T793)="","",INDEX(Firms!$K$5:$K$1004,$T793)),IF(INDEX('AFA Rates'!$J$5:$J$1004,$T793)="","",INDEX('AFA Rates'!$J$5:$J$1004,$T793))))</f>
        <v/>
      </c>
      <c r="M793" s="50">
        <f>IF($T793="","",IF($S793="S",IF(INDEX(Firms!$L$5:$L$1004,$T793)="","",INDEX(Firms!$L$5:$L$1004,$T793)),IF(INDEX('AFA Rates'!$K$5:$K$1004,$T793)="","",INDEX('AFA Rates'!$K$5:$K$1004,$T793))))</f>
        <v/>
      </c>
      <c r="N793" s="50">
        <f>IF($T793="","",IF($S793="S",IF(INDEX(Firms!$M$5:$M$1004,$T793)="","",INDEX(Firms!$M$5:$M$1004,$T793)),IF(INDEX('AFA Rates'!$L$5:$L$1004,$T793)="","",INDEX('AFA Rates'!$L$5:$L$1004,$T793))))</f>
        <v/>
      </c>
      <c r="O793" s="78">
        <f>IF(OR($T793="",$U793=""),"",IF(INDEX(Firms!$C$5:$C$1004,$U793)="","",INDEX(Firms!$C$5:$C$1004,$U793)))</f>
        <v/>
      </c>
      <c r="P793" s="79">
        <f>IF(OR($T793="",$U793=""),"",IF(INDEX(Firms!$N$5:$N$1004,$U793)="","",INDEX(Firms!$N$5:$N$1004,$U793)))</f>
        <v/>
      </c>
      <c r="Q793" s="78">
        <f>IF($T793="","",IF($S793="S",IF(INDEX(Firms!$T$5:$T$1004,$T793)="","",INDEX(Firms!$T$5:$T$1004,$T793)),IF(INDEX('AFA Rates'!$M$5:$M$1004,$T793)="","",INDEX('AFA Rates'!$M$5:$M$1004,$T793))))</f>
        <v/>
      </c>
      <c r="S793">
        <f>IF(789&lt;=$S$2,"S",IF(789&lt;=$S$2+$T$2,"A",""))</f>
        <v/>
      </c>
      <c r="T793">
        <f>IF(S793="S",MATCH(789,Firms!$W$5:$W$1004,0),IF(S793="A",IFERROR(MATCH(789-$S$2,'AFA Rates'!$R$5:$R$1004,0),""),""))</f>
        <v/>
      </c>
      <c r="U793">
        <f>IF(S793="S",T793,IF(AND(S793="A",T793&lt;&gt;""),IFERROR(MATCH(INDEX('AFA Rates'!$A$5:$A$1004,T793),Firms!$A$5:$A$1004,0),""),""))</f>
        <v/>
      </c>
    </row>
    <row r="794">
      <c r="A794" s="78">
        <f>IF($T794="","",IF($S794="S",IF(INDEX(Firms!$A$5:$A$1004,$T794)="","",INDEX(Firms!$A$5:$A$1004,$T794)),IF(INDEX('AFA Rates'!$A$5:$A$1004,$T794)="","",INDEX('AFA Rates'!$A$5:$A$1004,$T794))))</f>
        <v/>
      </c>
      <c r="B794" s="79">
        <f>IF(OR($T794="",$U794=""),IF($T794="","","Not on Firms tab"),INDEX(Firms!$B$5:$B$1004,$U794)&amp;"")</f>
        <v/>
      </c>
      <c r="C794" s="78">
        <f>IF($T794="","",IF($S794="S","Standard",INDEX('AFA Rates'!$B$5:$B$1004,$T794)&amp;""))</f>
        <v/>
      </c>
      <c r="D794" s="88">
        <f>IF($T794="","",IF($S794="S",IF(INDEX(Firms!$E$5:$E$1004,$T794)="","",INDEX(Firms!$E$5:$E$1004,$T794)),IF(INDEX('AFA Rates'!$C$5:$C$1004,$T794)="","",INDEX('AFA Rates'!$C$5:$C$1004,$T794))))</f>
        <v/>
      </c>
      <c r="E794" s="88">
        <f>IF($T794="","",IF($S794="S",IF(""="","",""),IF(INDEX('AFA Rates'!$D$5:$D$1004,$T794)="","",INDEX('AFA Rates'!$D$5:$D$1004,$T794))))</f>
        <v/>
      </c>
      <c r="F794" s="79">
        <f>IF($T794="","",IF($S794="S",IF(INDEX(Firms!$O$5:$O$1004,$T794)="","",INDEX(Firms!$O$5:$O$1004,$T794)),IF(INDEX('AFA Rates'!$O$5:$O$1004,$T794)="","",INDEX('AFA Rates'!$O$5:$O$1004,$T794))))</f>
        <v/>
      </c>
      <c r="G794" s="50">
        <f>IF($T794="","",IF($S794="S",IF(INDEX(Firms!$F$5:$F$1004,$T794)="","",INDEX(Firms!$F$5:$F$1004,$T794)),IF(INDEX('AFA Rates'!$E$5:$E$1004,$T794)="","",INDEX('AFA Rates'!$E$5:$E$1004,$T794))))</f>
        <v/>
      </c>
      <c r="H794" s="50">
        <f>IF($T794="","",IF($S794="S",IF(INDEX(Firms!$G$5:$G$1004,$T794)="","",INDEX(Firms!$G$5:$G$1004,$T794)),IF(INDEX('AFA Rates'!$F$5:$F$1004,$T794)="","",INDEX('AFA Rates'!$F$5:$F$1004,$T794))))</f>
        <v/>
      </c>
      <c r="I794" s="50">
        <f>IF($T794="","",IF($S794="S",IF(INDEX(Firms!$H$5:$H$1004,$T794)="","",INDEX(Firms!$H$5:$H$1004,$T794)),IF(INDEX('AFA Rates'!$G$5:$G$1004,$T794)="","",INDEX('AFA Rates'!$G$5:$G$1004,$T794))))</f>
        <v/>
      </c>
      <c r="J794" s="50">
        <f>IF($T794="","",IF($S794="S",IF(INDEX(Firms!$I$5:$I$1004,$T794)="","",INDEX(Firms!$I$5:$I$1004,$T794)),IF(INDEX('AFA Rates'!$H$5:$H$1004,$T794)="","",INDEX('AFA Rates'!$H$5:$H$1004,$T794))))</f>
        <v/>
      </c>
      <c r="K794" s="50">
        <f>IF($T794="","",IF($S794="S",IF(INDEX(Firms!$J$5:$J$1004,$T794)="","",INDEX(Firms!$J$5:$J$1004,$T794)),IF(INDEX('AFA Rates'!$I$5:$I$1004,$T794)="","",INDEX('AFA Rates'!$I$5:$I$1004,$T794))))</f>
        <v/>
      </c>
      <c r="L794" s="50">
        <f>IF($T794="","",IF($S794="S",IF(INDEX(Firms!$K$5:$K$1004,$T794)="","",INDEX(Firms!$K$5:$K$1004,$T794)),IF(INDEX('AFA Rates'!$J$5:$J$1004,$T794)="","",INDEX('AFA Rates'!$J$5:$J$1004,$T794))))</f>
        <v/>
      </c>
      <c r="M794" s="50">
        <f>IF($T794="","",IF($S794="S",IF(INDEX(Firms!$L$5:$L$1004,$T794)="","",INDEX(Firms!$L$5:$L$1004,$T794)),IF(INDEX('AFA Rates'!$K$5:$K$1004,$T794)="","",INDEX('AFA Rates'!$K$5:$K$1004,$T794))))</f>
        <v/>
      </c>
      <c r="N794" s="50">
        <f>IF($T794="","",IF($S794="S",IF(INDEX(Firms!$M$5:$M$1004,$T794)="","",INDEX(Firms!$M$5:$M$1004,$T794)),IF(INDEX('AFA Rates'!$L$5:$L$1004,$T794)="","",INDEX('AFA Rates'!$L$5:$L$1004,$T794))))</f>
        <v/>
      </c>
      <c r="O794" s="78">
        <f>IF(OR($T794="",$U794=""),"",IF(INDEX(Firms!$C$5:$C$1004,$U794)="","",INDEX(Firms!$C$5:$C$1004,$U794)))</f>
        <v/>
      </c>
      <c r="P794" s="79">
        <f>IF(OR($T794="",$U794=""),"",IF(INDEX(Firms!$N$5:$N$1004,$U794)="","",INDEX(Firms!$N$5:$N$1004,$U794)))</f>
        <v/>
      </c>
      <c r="Q794" s="78">
        <f>IF($T794="","",IF($S794="S",IF(INDEX(Firms!$T$5:$T$1004,$T794)="","",INDEX(Firms!$T$5:$T$1004,$T794)),IF(INDEX('AFA Rates'!$M$5:$M$1004,$T794)="","",INDEX('AFA Rates'!$M$5:$M$1004,$T794))))</f>
        <v/>
      </c>
      <c r="S794">
        <f>IF(790&lt;=$S$2,"S",IF(790&lt;=$S$2+$T$2,"A",""))</f>
        <v/>
      </c>
      <c r="T794">
        <f>IF(S794="S",MATCH(790,Firms!$W$5:$W$1004,0),IF(S794="A",IFERROR(MATCH(790-$S$2,'AFA Rates'!$R$5:$R$1004,0),""),""))</f>
        <v/>
      </c>
      <c r="U794">
        <f>IF(S794="S",T794,IF(AND(S794="A",T794&lt;&gt;""),IFERROR(MATCH(INDEX('AFA Rates'!$A$5:$A$1004,T794),Firms!$A$5:$A$1004,0),""),""))</f>
        <v/>
      </c>
    </row>
    <row r="795">
      <c r="A795" s="78">
        <f>IF($T795="","",IF($S795="S",IF(INDEX(Firms!$A$5:$A$1004,$T795)="","",INDEX(Firms!$A$5:$A$1004,$T795)),IF(INDEX('AFA Rates'!$A$5:$A$1004,$T795)="","",INDEX('AFA Rates'!$A$5:$A$1004,$T795))))</f>
        <v/>
      </c>
      <c r="B795" s="79">
        <f>IF(OR($T795="",$U795=""),IF($T795="","","Not on Firms tab"),INDEX(Firms!$B$5:$B$1004,$U795)&amp;"")</f>
        <v/>
      </c>
      <c r="C795" s="78">
        <f>IF($T795="","",IF($S795="S","Standard",INDEX('AFA Rates'!$B$5:$B$1004,$T795)&amp;""))</f>
        <v/>
      </c>
      <c r="D795" s="88">
        <f>IF($T795="","",IF($S795="S",IF(INDEX(Firms!$E$5:$E$1004,$T795)="","",INDEX(Firms!$E$5:$E$1004,$T795)),IF(INDEX('AFA Rates'!$C$5:$C$1004,$T795)="","",INDEX('AFA Rates'!$C$5:$C$1004,$T795))))</f>
        <v/>
      </c>
      <c r="E795" s="88">
        <f>IF($T795="","",IF($S795="S",IF(""="","",""),IF(INDEX('AFA Rates'!$D$5:$D$1004,$T795)="","",INDEX('AFA Rates'!$D$5:$D$1004,$T795))))</f>
        <v/>
      </c>
      <c r="F795" s="79">
        <f>IF($T795="","",IF($S795="S",IF(INDEX(Firms!$O$5:$O$1004,$T795)="","",INDEX(Firms!$O$5:$O$1004,$T795)),IF(INDEX('AFA Rates'!$O$5:$O$1004,$T795)="","",INDEX('AFA Rates'!$O$5:$O$1004,$T795))))</f>
        <v/>
      </c>
      <c r="G795" s="50">
        <f>IF($T795="","",IF($S795="S",IF(INDEX(Firms!$F$5:$F$1004,$T795)="","",INDEX(Firms!$F$5:$F$1004,$T795)),IF(INDEX('AFA Rates'!$E$5:$E$1004,$T795)="","",INDEX('AFA Rates'!$E$5:$E$1004,$T795))))</f>
        <v/>
      </c>
      <c r="H795" s="50">
        <f>IF($T795="","",IF($S795="S",IF(INDEX(Firms!$G$5:$G$1004,$T795)="","",INDEX(Firms!$G$5:$G$1004,$T795)),IF(INDEX('AFA Rates'!$F$5:$F$1004,$T795)="","",INDEX('AFA Rates'!$F$5:$F$1004,$T795))))</f>
        <v/>
      </c>
      <c r="I795" s="50">
        <f>IF($T795="","",IF($S795="S",IF(INDEX(Firms!$H$5:$H$1004,$T795)="","",INDEX(Firms!$H$5:$H$1004,$T795)),IF(INDEX('AFA Rates'!$G$5:$G$1004,$T795)="","",INDEX('AFA Rates'!$G$5:$G$1004,$T795))))</f>
        <v/>
      </c>
      <c r="J795" s="50">
        <f>IF($T795="","",IF($S795="S",IF(INDEX(Firms!$I$5:$I$1004,$T795)="","",INDEX(Firms!$I$5:$I$1004,$T795)),IF(INDEX('AFA Rates'!$H$5:$H$1004,$T795)="","",INDEX('AFA Rates'!$H$5:$H$1004,$T795))))</f>
        <v/>
      </c>
      <c r="K795" s="50">
        <f>IF($T795="","",IF($S795="S",IF(INDEX(Firms!$J$5:$J$1004,$T795)="","",INDEX(Firms!$J$5:$J$1004,$T795)),IF(INDEX('AFA Rates'!$I$5:$I$1004,$T795)="","",INDEX('AFA Rates'!$I$5:$I$1004,$T795))))</f>
        <v/>
      </c>
      <c r="L795" s="50">
        <f>IF($T795="","",IF($S795="S",IF(INDEX(Firms!$K$5:$K$1004,$T795)="","",INDEX(Firms!$K$5:$K$1004,$T795)),IF(INDEX('AFA Rates'!$J$5:$J$1004,$T795)="","",INDEX('AFA Rates'!$J$5:$J$1004,$T795))))</f>
        <v/>
      </c>
      <c r="M795" s="50">
        <f>IF($T795="","",IF($S795="S",IF(INDEX(Firms!$L$5:$L$1004,$T795)="","",INDEX(Firms!$L$5:$L$1004,$T795)),IF(INDEX('AFA Rates'!$K$5:$K$1004,$T795)="","",INDEX('AFA Rates'!$K$5:$K$1004,$T795))))</f>
        <v/>
      </c>
      <c r="N795" s="50">
        <f>IF($T795="","",IF($S795="S",IF(INDEX(Firms!$M$5:$M$1004,$T795)="","",INDEX(Firms!$M$5:$M$1004,$T795)),IF(INDEX('AFA Rates'!$L$5:$L$1004,$T795)="","",INDEX('AFA Rates'!$L$5:$L$1004,$T795))))</f>
        <v/>
      </c>
      <c r="O795" s="78">
        <f>IF(OR($T795="",$U795=""),"",IF(INDEX(Firms!$C$5:$C$1004,$U795)="","",INDEX(Firms!$C$5:$C$1004,$U795)))</f>
        <v/>
      </c>
      <c r="P795" s="79">
        <f>IF(OR($T795="",$U795=""),"",IF(INDEX(Firms!$N$5:$N$1004,$U795)="","",INDEX(Firms!$N$5:$N$1004,$U795)))</f>
        <v/>
      </c>
      <c r="Q795" s="78">
        <f>IF($T795="","",IF($S795="S",IF(INDEX(Firms!$T$5:$T$1004,$T795)="","",INDEX(Firms!$T$5:$T$1004,$T795)),IF(INDEX('AFA Rates'!$M$5:$M$1004,$T795)="","",INDEX('AFA Rates'!$M$5:$M$1004,$T795))))</f>
        <v/>
      </c>
      <c r="S795">
        <f>IF(791&lt;=$S$2,"S",IF(791&lt;=$S$2+$T$2,"A",""))</f>
        <v/>
      </c>
      <c r="T795">
        <f>IF(S795="S",MATCH(791,Firms!$W$5:$W$1004,0),IF(S795="A",IFERROR(MATCH(791-$S$2,'AFA Rates'!$R$5:$R$1004,0),""),""))</f>
        <v/>
      </c>
      <c r="U795">
        <f>IF(S795="S",T795,IF(AND(S795="A",T795&lt;&gt;""),IFERROR(MATCH(INDEX('AFA Rates'!$A$5:$A$1004,T795),Firms!$A$5:$A$1004,0),""),""))</f>
        <v/>
      </c>
    </row>
    <row r="796">
      <c r="A796" s="78">
        <f>IF($T796="","",IF($S796="S",IF(INDEX(Firms!$A$5:$A$1004,$T796)="","",INDEX(Firms!$A$5:$A$1004,$T796)),IF(INDEX('AFA Rates'!$A$5:$A$1004,$T796)="","",INDEX('AFA Rates'!$A$5:$A$1004,$T796))))</f>
        <v/>
      </c>
      <c r="B796" s="79">
        <f>IF(OR($T796="",$U796=""),IF($T796="","","Not on Firms tab"),INDEX(Firms!$B$5:$B$1004,$U796)&amp;"")</f>
        <v/>
      </c>
      <c r="C796" s="78">
        <f>IF($T796="","",IF($S796="S","Standard",INDEX('AFA Rates'!$B$5:$B$1004,$T796)&amp;""))</f>
        <v/>
      </c>
      <c r="D796" s="88">
        <f>IF($T796="","",IF($S796="S",IF(INDEX(Firms!$E$5:$E$1004,$T796)="","",INDEX(Firms!$E$5:$E$1004,$T796)),IF(INDEX('AFA Rates'!$C$5:$C$1004,$T796)="","",INDEX('AFA Rates'!$C$5:$C$1004,$T796))))</f>
        <v/>
      </c>
      <c r="E796" s="88">
        <f>IF($T796="","",IF($S796="S",IF(""="","",""),IF(INDEX('AFA Rates'!$D$5:$D$1004,$T796)="","",INDEX('AFA Rates'!$D$5:$D$1004,$T796))))</f>
        <v/>
      </c>
      <c r="F796" s="79">
        <f>IF($T796="","",IF($S796="S",IF(INDEX(Firms!$O$5:$O$1004,$T796)="","",INDEX(Firms!$O$5:$O$1004,$T796)),IF(INDEX('AFA Rates'!$O$5:$O$1004,$T796)="","",INDEX('AFA Rates'!$O$5:$O$1004,$T796))))</f>
        <v/>
      </c>
      <c r="G796" s="50">
        <f>IF($T796="","",IF($S796="S",IF(INDEX(Firms!$F$5:$F$1004,$T796)="","",INDEX(Firms!$F$5:$F$1004,$T796)),IF(INDEX('AFA Rates'!$E$5:$E$1004,$T796)="","",INDEX('AFA Rates'!$E$5:$E$1004,$T796))))</f>
        <v/>
      </c>
      <c r="H796" s="50">
        <f>IF($T796="","",IF($S796="S",IF(INDEX(Firms!$G$5:$G$1004,$T796)="","",INDEX(Firms!$G$5:$G$1004,$T796)),IF(INDEX('AFA Rates'!$F$5:$F$1004,$T796)="","",INDEX('AFA Rates'!$F$5:$F$1004,$T796))))</f>
        <v/>
      </c>
      <c r="I796" s="50">
        <f>IF($T796="","",IF($S796="S",IF(INDEX(Firms!$H$5:$H$1004,$T796)="","",INDEX(Firms!$H$5:$H$1004,$T796)),IF(INDEX('AFA Rates'!$G$5:$G$1004,$T796)="","",INDEX('AFA Rates'!$G$5:$G$1004,$T796))))</f>
        <v/>
      </c>
      <c r="J796" s="50">
        <f>IF($T796="","",IF($S796="S",IF(INDEX(Firms!$I$5:$I$1004,$T796)="","",INDEX(Firms!$I$5:$I$1004,$T796)),IF(INDEX('AFA Rates'!$H$5:$H$1004,$T796)="","",INDEX('AFA Rates'!$H$5:$H$1004,$T796))))</f>
        <v/>
      </c>
      <c r="K796" s="50">
        <f>IF($T796="","",IF($S796="S",IF(INDEX(Firms!$J$5:$J$1004,$T796)="","",INDEX(Firms!$J$5:$J$1004,$T796)),IF(INDEX('AFA Rates'!$I$5:$I$1004,$T796)="","",INDEX('AFA Rates'!$I$5:$I$1004,$T796))))</f>
        <v/>
      </c>
      <c r="L796" s="50">
        <f>IF($T796="","",IF($S796="S",IF(INDEX(Firms!$K$5:$K$1004,$T796)="","",INDEX(Firms!$K$5:$K$1004,$T796)),IF(INDEX('AFA Rates'!$J$5:$J$1004,$T796)="","",INDEX('AFA Rates'!$J$5:$J$1004,$T796))))</f>
        <v/>
      </c>
      <c r="M796" s="50">
        <f>IF($T796="","",IF($S796="S",IF(INDEX(Firms!$L$5:$L$1004,$T796)="","",INDEX(Firms!$L$5:$L$1004,$T796)),IF(INDEX('AFA Rates'!$K$5:$K$1004,$T796)="","",INDEX('AFA Rates'!$K$5:$K$1004,$T796))))</f>
        <v/>
      </c>
      <c r="N796" s="50">
        <f>IF($T796="","",IF($S796="S",IF(INDEX(Firms!$M$5:$M$1004,$T796)="","",INDEX(Firms!$M$5:$M$1004,$T796)),IF(INDEX('AFA Rates'!$L$5:$L$1004,$T796)="","",INDEX('AFA Rates'!$L$5:$L$1004,$T796))))</f>
        <v/>
      </c>
      <c r="O796" s="78">
        <f>IF(OR($T796="",$U796=""),"",IF(INDEX(Firms!$C$5:$C$1004,$U796)="","",INDEX(Firms!$C$5:$C$1004,$U796)))</f>
        <v/>
      </c>
      <c r="P796" s="79">
        <f>IF(OR($T796="",$U796=""),"",IF(INDEX(Firms!$N$5:$N$1004,$U796)="","",INDEX(Firms!$N$5:$N$1004,$U796)))</f>
        <v/>
      </c>
      <c r="Q796" s="78">
        <f>IF($T796="","",IF($S796="S",IF(INDEX(Firms!$T$5:$T$1004,$T796)="","",INDEX(Firms!$T$5:$T$1004,$T796)),IF(INDEX('AFA Rates'!$M$5:$M$1004,$T796)="","",INDEX('AFA Rates'!$M$5:$M$1004,$T796))))</f>
        <v/>
      </c>
      <c r="S796">
        <f>IF(792&lt;=$S$2,"S",IF(792&lt;=$S$2+$T$2,"A",""))</f>
        <v/>
      </c>
      <c r="T796">
        <f>IF(S796="S",MATCH(792,Firms!$W$5:$W$1004,0),IF(S796="A",IFERROR(MATCH(792-$S$2,'AFA Rates'!$R$5:$R$1004,0),""),""))</f>
        <v/>
      </c>
      <c r="U796">
        <f>IF(S796="S",T796,IF(AND(S796="A",T796&lt;&gt;""),IFERROR(MATCH(INDEX('AFA Rates'!$A$5:$A$1004,T796),Firms!$A$5:$A$1004,0),""),""))</f>
        <v/>
      </c>
    </row>
    <row r="797">
      <c r="A797" s="78">
        <f>IF($T797="","",IF($S797="S",IF(INDEX(Firms!$A$5:$A$1004,$T797)="","",INDEX(Firms!$A$5:$A$1004,$T797)),IF(INDEX('AFA Rates'!$A$5:$A$1004,$T797)="","",INDEX('AFA Rates'!$A$5:$A$1004,$T797))))</f>
        <v/>
      </c>
      <c r="B797" s="79">
        <f>IF(OR($T797="",$U797=""),IF($T797="","","Not on Firms tab"),INDEX(Firms!$B$5:$B$1004,$U797)&amp;"")</f>
        <v/>
      </c>
      <c r="C797" s="78">
        <f>IF($T797="","",IF($S797="S","Standard",INDEX('AFA Rates'!$B$5:$B$1004,$T797)&amp;""))</f>
        <v/>
      </c>
      <c r="D797" s="88">
        <f>IF($T797="","",IF($S797="S",IF(INDEX(Firms!$E$5:$E$1004,$T797)="","",INDEX(Firms!$E$5:$E$1004,$T797)),IF(INDEX('AFA Rates'!$C$5:$C$1004,$T797)="","",INDEX('AFA Rates'!$C$5:$C$1004,$T797))))</f>
        <v/>
      </c>
      <c r="E797" s="88">
        <f>IF($T797="","",IF($S797="S",IF(""="","",""),IF(INDEX('AFA Rates'!$D$5:$D$1004,$T797)="","",INDEX('AFA Rates'!$D$5:$D$1004,$T797))))</f>
        <v/>
      </c>
      <c r="F797" s="79">
        <f>IF($T797="","",IF($S797="S",IF(INDEX(Firms!$O$5:$O$1004,$T797)="","",INDEX(Firms!$O$5:$O$1004,$T797)),IF(INDEX('AFA Rates'!$O$5:$O$1004,$T797)="","",INDEX('AFA Rates'!$O$5:$O$1004,$T797))))</f>
        <v/>
      </c>
      <c r="G797" s="50">
        <f>IF($T797="","",IF($S797="S",IF(INDEX(Firms!$F$5:$F$1004,$T797)="","",INDEX(Firms!$F$5:$F$1004,$T797)),IF(INDEX('AFA Rates'!$E$5:$E$1004,$T797)="","",INDEX('AFA Rates'!$E$5:$E$1004,$T797))))</f>
        <v/>
      </c>
      <c r="H797" s="50">
        <f>IF($T797="","",IF($S797="S",IF(INDEX(Firms!$G$5:$G$1004,$T797)="","",INDEX(Firms!$G$5:$G$1004,$T797)),IF(INDEX('AFA Rates'!$F$5:$F$1004,$T797)="","",INDEX('AFA Rates'!$F$5:$F$1004,$T797))))</f>
        <v/>
      </c>
      <c r="I797" s="50">
        <f>IF($T797="","",IF($S797="S",IF(INDEX(Firms!$H$5:$H$1004,$T797)="","",INDEX(Firms!$H$5:$H$1004,$T797)),IF(INDEX('AFA Rates'!$G$5:$G$1004,$T797)="","",INDEX('AFA Rates'!$G$5:$G$1004,$T797))))</f>
        <v/>
      </c>
      <c r="J797" s="50">
        <f>IF($T797="","",IF($S797="S",IF(INDEX(Firms!$I$5:$I$1004,$T797)="","",INDEX(Firms!$I$5:$I$1004,$T797)),IF(INDEX('AFA Rates'!$H$5:$H$1004,$T797)="","",INDEX('AFA Rates'!$H$5:$H$1004,$T797))))</f>
        <v/>
      </c>
      <c r="K797" s="50">
        <f>IF($T797="","",IF($S797="S",IF(INDEX(Firms!$J$5:$J$1004,$T797)="","",INDEX(Firms!$J$5:$J$1004,$T797)),IF(INDEX('AFA Rates'!$I$5:$I$1004,$T797)="","",INDEX('AFA Rates'!$I$5:$I$1004,$T797))))</f>
        <v/>
      </c>
      <c r="L797" s="50">
        <f>IF($T797="","",IF($S797="S",IF(INDEX(Firms!$K$5:$K$1004,$T797)="","",INDEX(Firms!$K$5:$K$1004,$T797)),IF(INDEX('AFA Rates'!$J$5:$J$1004,$T797)="","",INDEX('AFA Rates'!$J$5:$J$1004,$T797))))</f>
        <v/>
      </c>
      <c r="M797" s="50">
        <f>IF($T797="","",IF($S797="S",IF(INDEX(Firms!$L$5:$L$1004,$T797)="","",INDEX(Firms!$L$5:$L$1004,$T797)),IF(INDEX('AFA Rates'!$K$5:$K$1004,$T797)="","",INDEX('AFA Rates'!$K$5:$K$1004,$T797))))</f>
        <v/>
      </c>
      <c r="N797" s="50">
        <f>IF($T797="","",IF($S797="S",IF(INDEX(Firms!$M$5:$M$1004,$T797)="","",INDEX(Firms!$M$5:$M$1004,$T797)),IF(INDEX('AFA Rates'!$L$5:$L$1004,$T797)="","",INDEX('AFA Rates'!$L$5:$L$1004,$T797))))</f>
        <v/>
      </c>
      <c r="O797" s="78">
        <f>IF(OR($T797="",$U797=""),"",IF(INDEX(Firms!$C$5:$C$1004,$U797)="","",INDEX(Firms!$C$5:$C$1004,$U797)))</f>
        <v/>
      </c>
      <c r="P797" s="79">
        <f>IF(OR($T797="",$U797=""),"",IF(INDEX(Firms!$N$5:$N$1004,$U797)="","",INDEX(Firms!$N$5:$N$1004,$U797)))</f>
        <v/>
      </c>
      <c r="Q797" s="78">
        <f>IF($T797="","",IF($S797="S",IF(INDEX(Firms!$T$5:$T$1004,$T797)="","",INDEX(Firms!$T$5:$T$1004,$T797)),IF(INDEX('AFA Rates'!$M$5:$M$1004,$T797)="","",INDEX('AFA Rates'!$M$5:$M$1004,$T797))))</f>
        <v/>
      </c>
      <c r="S797">
        <f>IF(793&lt;=$S$2,"S",IF(793&lt;=$S$2+$T$2,"A",""))</f>
        <v/>
      </c>
      <c r="T797">
        <f>IF(S797="S",MATCH(793,Firms!$W$5:$W$1004,0),IF(S797="A",IFERROR(MATCH(793-$S$2,'AFA Rates'!$R$5:$R$1004,0),""),""))</f>
        <v/>
      </c>
      <c r="U797">
        <f>IF(S797="S",T797,IF(AND(S797="A",T797&lt;&gt;""),IFERROR(MATCH(INDEX('AFA Rates'!$A$5:$A$1004,T797),Firms!$A$5:$A$1004,0),""),""))</f>
        <v/>
      </c>
    </row>
    <row r="798">
      <c r="A798" s="78">
        <f>IF($T798="","",IF($S798="S",IF(INDEX(Firms!$A$5:$A$1004,$T798)="","",INDEX(Firms!$A$5:$A$1004,$T798)),IF(INDEX('AFA Rates'!$A$5:$A$1004,$T798)="","",INDEX('AFA Rates'!$A$5:$A$1004,$T798))))</f>
        <v/>
      </c>
      <c r="B798" s="79">
        <f>IF(OR($T798="",$U798=""),IF($T798="","","Not on Firms tab"),INDEX(Firms!$B$5:$B$1004,$U798)&amp;"")</f>
        <v/>
      </c>
      <c r="C798" s="78">
        <f>IF($T798="","",IF($S798="S","Standard",INDEX('AFA Rates'!$B$5:$B$1004,$T798)&amp;""))</f>
        <v/>
      </c>
      <c r="D798" s="88">
        <f>IF($T798="","",IF($S798="S",IF(INDEX(Firms!$E$5:$E$1004,$T798)="","",INDEX(Firms!$E$5:$E$1004,$T798)),IF(INDEX('AFA Rates'!$C$5:$C$1004,$T798)="","",INDEX('AFA Rates'!$C$5:$C$1004,$T798))))</f>
        <v/>
      </c>
      <c r="E798" s="88">
        <f>IF($T798="","",IF($S798="S",IF(""="","",""),IF(INDEX('AFA Rates'!$D$5:$D$1004,$T798)="","",INDEX('AFA Rates'!$D$5:$D$1004,$T798))))</f>
        <v/>
      </c>
      <c r="F798" s="79">
        <f>IF($T798="","",IF($S798="S",IF(INDEX(Firms!$O$5:$O$1004,$T798)="","",INDEX(Firms!$O$5:$O$1004,$T798)),IF(INDEX('AFA Rates'!$O$5:$O$1004,$T798)="","",INDEX('AFA Rates'!$O$5:$O$1004,$T798))))</f>
        <v/>
      </c>
      <c r="G798" s="50">
        <f>IF($T798="","",IF($S798="S",IF(INDEX(Firms!$F$5:$F$1004,$T798)="","",INDEX(Firms!$F$5:$F$1004,$T798)),IF(INDEX('AFA Rates'!$E$5:$E$1004,$T798)="","",INDEX('AFA Rates'!$E$5:$E$1004,$T798))))</f>
        <v/>
      </c>
      <c r="H798" s="50">
        <f>IF($T798="","",IF($S798="S",IF(INDEX(Firms!$G$5:$G$1004,$T798)="","",INDEX(Firms!$G$5:$G$1004,$T798)),IF(INDEX('AFA Rates'!$F$5:$F$1004,$T798)="","",INDEX('AFA Rates'!$F$5:$F$1004,$T798))))</f>
        <v/>
      </c>
      <c r="I798" s="50">
        <f>IF($T798="","",IF($S798="S",IF(INDEX(Firms!$H$5:$H$1004,$T798)="","",INDEX(Firms!$H$5:$H$1004,$T798)),IF(INDEX('AFA Rates'!$G$5:$G$1004,$T798)="","",INDEX('AFA Rates'!$G$5:$G$1004,$T798))))</f>
        <v/>
      </c>
      <c r="J798" s="50">
        <f>IF($T798="","",IF($S798="S",IF(INDEX(Firms!$I$5:$I$1004,$T798)="","",INDEX(Firms!$I$5:$I$1004,$T798)),IF(INDEX('AFA Rates'!$H$5:$H$1004,$T798)="","",INDEX('AFA Rates'!$H$5:$H$1004,$T798))))</f>
        <v/>
      </c>
      <c r="K798" s="50">
        <f>IF($T798="","",IF($S798="S",IF(INDEX(Firms!$J$5:$J$1004,$T798)="","",INDEX(Firms!$J$5:$J$1004,$T798)),IF(INDEX('AFA Rates'!$I$5:$I$1004,$T798)="","",INDEX('AFA Rates'!$I$5:$I$1004,$T798))))</f>
        <v/>
      </c>
      <c r="L798" s="50">
        <f>IF($T798="","",IF($S798="S",IF(INDEX(Firms!$K$5:$K$1004,$T798)="","",INDEX(Firms!$K$5:$K$1004,$T798)),IF(INDEX('AFA Rates'!$J$5:$J$1004,$T798)="","",INDEX('AFA Rates'!$J$5:$J$1004,$T798))))</f>
        <v/>
      </c>
      <c r="M798" s="50">
        <f>IF($T798="","",IF($S798="S",IF(INDEX(Firms!$L$5:$L$1004,$T798)="","",INDEX(Firms!$L$5:$L$1004,$T798)),IF(INDEX('AFA Rates'!$K$5:$K$1004,$T798)="","",INDEX('AFA Rates'!$K$5:$K$1004,$T798))))</f>
        <v/>
      </c>
      <c r="N798" s="50">
        <f>IF($T798="","",IF($S798="S",IF(INDEX(Firms!$M$5:$M$1004,$T798)="","",INDEX(Firms!$M$5:$M$1004,$T798)),IF(INDEX('AFA Rates'!$L$5:$L$1004,$T798)="","",INDEX('AFA Rates'!$L$5:$L$1004,$T798))))</f>
        <v/>
      </c>
      <c r="O798" s="78">
        <f>IF(OR($T798="",$U798=""),"",IF(INDEX(Firms!$C$5:$C$1004,$U798)="","",INDEX(Firms!$C$5:$C$1004,$U798)))</f>
        <v/>
      </c>
      <c r="P798" s="79">
        <f>IF(OR($T798="",$U798=""),"",IF(INDEX(Firms!$N$5:$N$1004,$U798)="","",INDEX(Firms!$N$5:$N$1004,$U798)))</f>
        <v/>
      </c>
      <c r="Q798" s="78">
        <f>IF($T798="","",IF($S798="S",IF(INDEX(Firms!$T$5:$T$1004,$T798)="","",INDEX(Firms!$T$5:$T$1004,$T798)),IF(INDEX('AFA Rates'!$M$5:$M$1004,$T798)="","",INDEX('AFA Rates'!$M$5:$M$1004,$T798))))</f>
        <v/>
      </c>
      <c r="S798">
        <f>IF(794&lt;=$S$2,"S",IF(794&lt;=$S$2+$T$2,"A",""))</f>
        <v/>
      </c>
      <c r="T798">
        <f>IF(S798="S",MATCH(794,Firms!$W$5:$W$1004,0),IF(S798="A",IFERROR(MATCH(794-$S$2,'AFA Rates'!$R$5:$R$1004,0),""),""))</f>
        <v/>
      </c>
      <c r="U798">
        <f>IF(S798="S",T798,IF(AND(S798="A",T798&lt;&gt;""),IFERROR(MATCH(INDEX('AFA Rates'!$A$5:$A$1004,T798),Firms!$A$5:$A$1004,0),""),""))</f>
        <v/>
      </c>
    </row>
    <row r="799">
      <c r="A799" s="78">
        <f>IF($T799="","",IF($S799="S",IF(INDEX(Firms!$A$5:$A$1004,$T799)="","",INDEX(Firms!$A$5:$A$1004,$T799)),IF(INDEX('AFA Rates'!$A$5:$A$1004,$T799)="","",INDEX('AFA Rates'!$A$5:$A$1004,$T799))))</f>
        <v/>
      </c>
      <c r="B799" s="79">
        <f>IF(OR($T799="",$U799=""),IF($T799="","","Not on Firms tab"),INDEX(Firms!$B$5:$B$1004,$U799)&amp;"")</f>
        <v/>
      </c>
      <c r="C799" s="78">
        <f>IF($T799="","",IF($S799="S","Standard",INDEX('AFA Rates'!$B$5:$B$1004,$T799)&amp;""))</f>
        <v/>
      </c>
      <c r="D799" s="88">
        <f>IF($T799="","",IF($S799="S",IF(INDEX(Firms!$E$5:$E$1004,$T799)="","",INDEX(Firms!$E$5:$E$1004,$T799)),IF(INDEX('AFA Rates'!$C$5:$C$1004,$T799)="","",INDEX('AFA Rates'!$C$5:$C$1004,$T799))))</f>
        <v/>
      </c>
      <c r="E799" s="88">
        <f>IF($T799="","",IF($S799="S",IF(""="","",""),IF(INDEX('AFA Rates'!$D$5:$D$1004,$T799)="","",INDEX('AFA Rates'!$D$5:$D$1004,$T799))))</f>
        <v/>
      </c>
      <c r="F799" s="79">
        <f>IF($T799="","",IF($S799="S",IF(INDEX(Firms!$O$5:$O$1004,$T799)="","",INDEX(Firms!$O$5:$O$1004,$T799)),IF(INDEX('AFA Rates'!$O$5:$O$1004,$T799)="","",INDEX('AFA Rates'!$O$5:$O$1004,$T799))))</f>
        <v/>
      </c>
      <c r="G799" s="50">
        <f>IF($T799="","",IF($S799="S",IF(INDEX(Firms!$F$5:$F$1004,$T799)="","",INDEX(Firms!$F$5:$F$1004,$T799)),IF(INDEX('AFA Rates'!$E$5:$E$1004,$T799)="","",INDEX('AFA Rates'!$E$5:$E$1004,$T799))))</f>
        <v/>
      </c>
      <c r="H799" s="50">
        <f>IF($T799="","",IF($S799="S",IF(INDEX(Firms!$G$5:$G$1004,$T799)="","",INDEX(Firms!$G$5:$G$1004,$T799)),IF(INDEX('AFA Rates'!$F$5:$F$1004,$T799)="","",INDEX('AFA Rates'!$F$5:$F$1004,$T799))))</f>
        <v/>
      </c>
      <c r="I799" s="50">
        <f>IF($T799="","",IF($S799="S",IF(INDEX(Firms!$H$5:$H$1004,$T799)="","",INDEX(Firms!$H$5:$H$1004,$T799)),IF(INDEX('AFA Rates'!$G$5:$G$1004,$T799)="","",INDEX('AFA Rates'!$G$5:$G$1004,$T799))))</f>
        <v/>
      </c>
      <c r="J799" s="50">
        <f>IF($T799="","",IF($S799="S",IF(INDEX(Firms!$I$5:$I$1004,$T799)="","",INDEX(Firms!$I$5:$I$1004,$T799)),IF(INDEX('AFA Rates'!$H$5:$H$1004,$T799)="","",INDEX('AFA Rates'!$H$5:$H$1004,$T799))))</f>
        <v/>
      </c>
      <c r="K799" s="50">
        <f>IF($T799="","",IF($S799="S",IF(INDEX(Firms!$J$5:$J$1004,$T799)="","",INDEX(Firms!$J$5:$J$1004,$T799)),IF(INDEX('AFA Rates'!$I$5:$I$1004,$T799)="","",INDEX('AFA Rates'!$I$5:$I$1004,$T799))))</f>
        <v/>
      </c>
      <c r="L799" s="50">
        <f>IF($T799="","",IF($S799="S",IF(INDEX(Firms!$K$5:$K$1004,$T799)="","",INDEX(Firms!$K$5:$K$1004,$T799)),IF(INDEX('AFA Rates'!$J$5:$J$1004,$T799)="","",INDEX('AFA Rates'!$J$5:$J$1004,$T799))))</f>
        <v/>
      </c>
      <c r="M799" s="50">
        <f>IF($T799="","",IF($S799="S",IF(INDEX(Firms!$L$5:$L$1004,$T799)="","",INDEX(Firms!$L$5:$L$1004,$T799)),IF(INDEX('AFA Rates'!$K$5:$K$1004,$T799)="","",INDEX('AFA Rates'!$K$5:$K$1004,$T799))))</f>
        <v/>
      </c>
      <c r="N799" s="50">
        <f>IF($T799="","",IF($S799="S",IF(INDEX(Firms!$M$5:$M$1004,$T799)="","",INDEX(Firms!$M$5:$M$1004,$T799)),IF(INDEX('AFA Rates'!$L$5:$L$1004,$T799)="","",INDEX('AFA Rates'!$L$5:$L$1004,$T799))))</f>
        <v/>
      </c>
      <c r="O799" s="78">
        <f>IF(OR($T799="",$U799=""),"",IF(INDEX(Firms!$C$5:$C$1004,$U799)="","",INDEX(Firms!$C$5:$C$1004,$U799)))</f>
        <v/>
      </c>
      <c r="P799" s="79">
        <f>IF(OR($T799="",$U799=""),"",IF(INDEX(Firms!$N$5:$N$1004,$U799)="","",INDEX(Firms!$N$5:$N$1004,$U799)))</f>
        <v/>
      </c>
      <c r="Q799" s="78">
        <f>IF($T799="","",IF($S799="S",IF(INDEX(Firms!$T$5:$T$1004,$T799)="","",INDEX(Firms!$T$5:$T$1004,$T799)),IF(INDEX('AFA Rates'!$M$5:$M$1004,$T799)="","",INDEX('AFA Rates'!$M$5:$M$1004,$T799))))</f>
        <v/>
      </c>
      <c r="S799">
        <f>IF(795&lt;=$S$2,"S",IF(795&lt;=$S$2+$T$2,"A",""))</f>
        <v/>
      </c>
      <c r="T799">
        <f>IF(S799="S",MATCH(795,Firms!$W$5:$W$1004,0),IF(S799="A",IFERROR(MATCH(795-$S$2,'AFA Rates'!$R$5:$R$1004,0),""),""))</f>
        <v/>
      </c>
      <c r="U799">
        <f>IF(S799="S",T799,IF(AND(S799="A",T799&lt;&gt;""),IFERROR(MATCH(INDEX('AFA Rates'!$A$5:$A$1004,T799),Firms!$A$5:$A$1004,0),""),""))</f>
        <v/>
      </c>
    </row>
    <row r="800">
      <c r="A800" s="78">
        <f>IF($T800="","",IF($S800="S",IF(INDEX(Firms!$A$5:$A$1004,$T800)="","",INDEX(Firms!$A$5:$A$1004,$T800)),IF(INDEX('AFA Rates'!$A$5:$A$1004,$T800)="","",INDEX('AFA Rates'!$A$5:$A$1004,$T800))))</f>
        <v/>
      </c>
      <c r="B800" s="79">
        <f>IF(OR($T800="",$U800=""),IF($T800="","","Not on Firms tab"),INDEX(Firms!$B$5:$B$1004,$U800)&amp;"")</f>
        <v/>
      </c>
      <c r="C800" s="78">
        <f>IF($T800="","",IF($S800="S","Standard",INDEX('AFA Rates'!$B$5:$B$1004,$T800)&amp;""))</f>
        <v/>
      </c>
      <c r="D800" s="88">
        <f>IF($T800="","",IF($S800="S",IF(INDEX(Firms!$E$5:$E$1004,$T800)="","",INDEX(Firms!$E$5:$E$1004,$T800)),IF(INDEX('AFA Rates'!$C$5:$C$1004,$T800)="","",INDEX('AFA Rates'!$C$5:$C$1004,$T800))))</f>
        <v/>
      </c>
      <c r="E800" s="88">
        <f>IF($T800="","",IF($S800="S",IF(""="","",""),IF(INDEX('AFA Rates'!$D$5:$D$1004,$T800)="","",INDEX('AFA Rates'!$D$5:$D$1004,$T800))))</f>
        <v/>
      </c>
      <c r="F800" s="79">
        <f>IF($T800="","",IF($S800="S",IF(INDEX(Firms!$O$5:$O$1004,$T800)="","",INDEX(Firms!$O$5:$O$1004,$T800)),IF(INDEX('AFA Rates'!$O$5:$O$1004,$T800)="","",INDEX('AFA Rates'!$O$5:$O$1004,$T800))))</f>
        <v/>
      </c>
      <c r="G800" s="50">
        <f>IF($T800="","",IF($S800="S",IF(INDEX(Firms!$F$5:$F$1004,$T800)="","",INDEX(Firms!$F$5:$F$1004,$T800)),IF(INDEX('AFA Rates'!$E$5:$E$1004,$T800)="","",INDEX('AFA Rates'!$E$5:$E$1004,$T800))))</f>
        <v/>
      </c>
      <c r="H800" s="50">
        <f>IF($T800="","",IF($S800="S",IF(INDEX(Firms!$G$5:$G$1004,$T800)="","",INDEX(Firms!$G$5:$G$1004,$T800)),IF(INDEX('AFA Rates'!$F$5:$F$1004,$T800)="","",INDEX('AFA Rates'!$F$5:$F$1004,$T800))))</f>
        <v/>
      </c>
      <c r="I800" s="50">
        <f>IF($T800="","",IF($S800="S",IF(INDEX(Firms!$H$5:$H$1004,$T800)="","",INDEX(Firms!$H$5:$H$1004,$T800)),IF(INDEX('AFA Rates'!$G$5:$G$1004,$T800)="","",INDEX('AFA Rates'!$G$5:$G$1004,$T800))))</f>
        <v/>
      </c>
      <c r="J800" s="50">
        <f>IF($T800="","",IF($S800="S",IF(INDEX(Firms!$I$5:$I$1004,$T800)="","",INDEX(Firms!$I$5:$I$1004,$T800)),IF(INDEX('AFA Rates'!$H$5:$H$1004,$T800)="","",INDEX('AFA Rates'!$H$5:$H$1004,$T800))))</f>
        <v/>
      </c>
      <c r="K800" s="50">
        <f>IF($T800="","",IF($S800="S",IF(INDEX(Firms!$J$5:$J$1004,$T800)="","",INDEX(Firms!$J$5:$J$1004,$T800)),IF(INDEX('AFA Rates'!$I$5:$I$1004,$T800)="","",INDEX('AFA Rates'!$I$5:$I$1004,$T800))))</f>
        <v/>
      </c>
      <c r="L800" s="50">
        <f>IF($T800="","",IF($S800="S",IF(INDEX(Firms!$K$5:$K$1004,$T800)="","",INDEX(Firms!$K$5:$K$1004,$T800)),IF(INDEX('AFA Rates'!$J$5:$J$1004,$T800)="","",INDEX('AFA Rates'!$J$5:$J$1004,$T800))))</f>
        <v/>
      </c>
      <c r="M800" s="50">
        <f>IF($T800="","",IF($S800="S",IF(INDEX(Firms!$L$5:$L$1004,$T800)="","",INDEX(Firms!$L$5:$L$1004,$T800)),IF(INDEX('AFA Rates'!$K$5:$K$1004,$T800)="","",INDEX('AFA Rates'!$K$5:$K$1004,$T800))))</f>
        <v/>
      </c>
      <c r="N800" s="50">
        <f>IF($T800="","",IF($S800="S",IF(INDEX(Firms!$M$5:$M$1004,$T800)="","",INDEX(Firms!$M$5:$M$1004,$T800)),IF(INDEX('AFA Rates'!$L$5:$L$1004,$T800)="","",INDEX('AFA Rates'!$L$5:$L$1004,$T800))))</f>
        <v/>
      </c>
      <c r="O800" s="78">
        <f>IF(OR($T800="",$U800=""),"",IF(INDEX(Firms!$C$5:$C$1004,$U800)="","",INDEX(Firms!$C$5:$C$1004,$U800)))</f>
        <v/>
      </c>
      <c r="P800" s="79">
        <f>IF(OR($T800="",$U800=""),"",IF(INDEX(Firms!$N$5:$N$1004,$U800)="","",INDEX(Firms!$N$5:$N$1004,$U800)))</f>
        <v/>
      </c>
      <c r="Q800" s="78">
        <f>IF($T800="","",IF($S800="S",IF(INDEX(Firms!$T$5:$T$1004,$T800)="","",INDEX(Firms!$T$5:$T$1004,$T800)),IF(INDEX('AFA Rates'!$M$5:$M$1004,$T800)="","",INDEX('AFA Rates'!$M$5:$M$1004,$T800))))</f>
        <v/>
      </c>
      <c r="S800">
        <f>IF(796&lt;=$S$2,"S",IF(796&lt;=$S$2+$T$2,"A",""))</f>
        <v/>
      </c>
      <c r="T800">
        <f>IF(S800="S",MATCH(796,Firms!$W$5:$W$1004,0),IF(S800="A",IFERROR(MATCH(796-$S$2,'AFA Rates'!$R$5:$R$1004,0),""),""))</f>
        <v/>
      </c>
      <c r="U800">
        <f>IF(S800="S",T800,IF(AND(S800="A",T800&lt;&gt;""),IFERROR(MATCH(INDEX('AFA Rates'!$A$5:$A$1004,T800),Firms!$A$5:$A$1004,0),""),""))</f>
        <v/>
      </c>
    </row>
    <row r="801">
      <c r="A801" s="78">
        <f>IF($T801="","",IF($S801="S",IF(INDEX(Firms!$A$5:$A$1004,$T801)="","",INDEX(Firms!$A$5:$A$1004,$T801)),IF(INDEX('AFA Rates'!$A$5:$A$1004,$T801)="","",INDEX('AFA Rates'!$A$5:$A$1004,$T801))))</f>
        <v/>
      </c>
      <c r="B801" s="79">
        <f>IF(OR($T801="",$U801=""),IF($T801="","","Not on Firms tab"),INDEX(Firms!$B$5:$B$1004,$U801)&amp;"")</f>
        <v/>
      </c>
      <c r="C801" s="78">
        <f>IF($T801="","",IF($S801="S","Standard",INDEX('AFA Rates'!$B$5:$B$1004,$T801)&amp;""))</f>
        <v/>
      </c>
      <c r="D801" s="88">
        <f>IF($T801="","",IF($S801="S",IF(INDEX(Firms!$E$5:$E$1004,$T801)="","",INDEX(Firms!$E$5:$E$1004,$T801)),IF(INDEX('AFA Rates'!$C$5:$C$1004,$T801)="","",INDEX('AFA Rates'!$C$5:$C$1004,$T801))))</f>
        <v/>
      </c>
      <c r="E801" s="88">
        <f>IF($T801="","",IF($S801="S",IF(""="","",""),IF(INDEX('AFA Rates'!$D$5:$D$1004,$T801)="","",INDEX('AFA Rates'!$D$5:$D$1004,$T801))))</f>
        <v/>
      </c>
      <c r="F801" s="79">
        <f>IF($T801="","",IF($S801="S",IF(INDEX(Firms!$O$5:$O$1004,$T801)="","",INDEX(Firms!$O$5:$O$1004,$T801)),IF(INDEX('AFA Rates'!$O$5:$O$1004,$T801)="","",INDEX('AFA Rates'!$O$5:$O$1004,$T801))))</f>
        <v/>
      </c>
      <c r="G801" s="50">
        <f>IF($T801="","",IF($S801="S",IF(INDEX(Firms!$F$5:$F$1004,$T801)="","",INDEX(Firms!$F$5:$F$1004,$T801)),IF(INDEX('AFA Rates'!$E$5:$E$1004,$T801)="","",INDEX('AFA Rates'!$E$5:$E$1004,$T801))))</f>
        <v/>
      </c>
      <c r="H801" s="50">
        <f>IF($T801="","",IF($S801="S",IF(INDEX(Firms!$G$5:$G$1004,$T801)="","",INDEX(Firms!$G$5:$G$1004,$T801)),IF(INDEX('AFA Rates'!$F$5:$F$1004,$T801)="","",INDEX('AFA Rates'!$F$5:$F$1004,$T801))))</f>
        <v/>
      </c>
      <c r="I801" s="50">
        <f>IF($T801="","",IF($S801="S",IF(INDEX(Firms!$H$5:$H$1004,$T801)="","",INDEX(Firms!$H$5:$H$1004,$T801)),IF(INDEX('AFA Rates'!$G$5:$G$1004,$T801)="","",INDEX('AFA Rates'!$G$5:$G$1004,$T801))))</f>
        <v/>
      </c>
      <c r="J801" s="50">
        <f>IF($T801="","",IF($S801="S",IF(INDEX(Firms!$I$5:$I$1004,$T801)="","",INDEX(Firms!$I$5:$I$1004,$T801)),IF(INDEX('AFA Rates'!$H$5:$H$1004,$T801)="","",INDEX('AFA Rates'!$H$5:$H$1004,$T801))))</f>
        <v/>
      </c>
      <c r="K801" s="50">
        <f>IF($T801="","",IF($S801="S",IF(INDEX(Firms!$J$5:$J$1004,$T801)="","",INDEX(Firms!$J$5:$J$1004,$T801)),IF(INDEX('AFA Rates'!$I$5:$I$1004,$T801)="","",INDEX('AFA Rates'!$I$5:$I$1004,$T801))))</f>
        <v/>
      </c>
      <c r="L801" s="50">
        <f>IF($T801="","",IF($S801="S",IF(INDEX(Firms!$K$5:$K$1004,$T801)="","",INDEX(Firms!$K$5:$K$1004,$T801)),IF(INDEX('AFA Rates'!$J$5:$J$1004,$T801)="","",INDEX('AFA Rates'!$J$5:$J$1004,$T801))))</f>
        <v/>
      </c>
      <c r="M801" s="50">
        <f>IF($T801="","",IF($S801="S",IF(INDEX(Firms!$L$5:$L$1004,$T801)="","",INDEX(Firms!$L$5:$L$1004,$T801)),IF(INDEX('AFA Rates'!$K$5:$K$1004,$T801)="","",INDEX('AFA Rates'!$K$5:$K$1004,$T801))))</f>
        <v/>
      </c>
      <c r="N801" s="50">
        <f>IF($T801="","",IF($S801="S",IF(INDEX(Firms!$M$5:$M$1004,$T801)="","",INDEX(Firms!$M$5:$M$1004,$T801)),IF(INDEX('AFA Rates'!$L$5:$L$1004,$T801)="","",INDEX('AFA Rates'!$L$5:$L$1004,$T801))))</f>
        <v/>
      </c>
      <c r="O801" s="78">
        <f>IF(OR($T801="",$U801=""),"",IF(INDEX(Firms!$C$5:$C$1004,$U801)="","",INDEX(Firms!$C$5:$C$1004,$U801)))</f>
        <v/>
      </c>
      <c r="P801" s="79">
        <f>IF(OR($T801="",$U801=""),"",IF(INDEX(Firms!$N$5:$N$1004,$U801)="","",INDEX(Firms!$N$5:$N$1004,$U801)))</f>
        <v/>
      </c>
      <c r="Q801" s="78">
        <f>IF($T801="","",IF($S801="S",IF(INDEX(Firms!$T$5:$T$1004,$T801)="","",INDEX(Firms!$T$5:$T$1004,$T801)),IF(INDEX('AFA Rates'!$M$5:$M$1004,$T801)="","",INDEX('AFA Rates'!$M$5:$M$1004,$T801))))</f>
        <v/>
      </c>
      <c r="S801">
        <f>IF(797&lt;=$S$2,"S",IF(797&lt;=$S$2+$T$2,"A",""))</f>
        <v/>
      </c>
      <c r="T801">
        <f>IF(S801="S",MATCH(797,Firms!$W$5:$W$1004,0),IF(S801="A",IFERROR(MATCH(797-$S$2,'AFA Rates'!$R$5:$R$1004,0),""),""))</f>
        <v/>
      </c>
      <c r="U801">
        <f>IF(S801="S",T801,IF(AND(S801="A",T801&lt;&gt;""),IFERROR(MATCH(INDEX('AFA Rates'!$A$5:$A$1004,T801),Firms!$A$5:$A$1004,0),""),""))</f>
        <v/>
      </c>
    </row>
    <row r="802">
      <c r="A802" s="78">
        <f>IF($T802="","",IF($S802="S",IF(INDEX(Firms!$A$5:$A$1004,$T802)="","",INDEX(Firms!$A$5:$A$1004,$T802)),IF(INDEX('AFA Rates'!$A$5:$A$1004,$T802)="","",INDEX('AFA Rates'!$A$5:$A$1004,$T802))))</f>
        <v/>
      </c>
      <c r="B802" s="79">
        <f>IF(OR($T802="",$U802=""),IF($T802="","","Not on Firms tab"),INDEX(Firms!$B$5:$B$1004,$U802)&amp;"")</f>
        <v/>
      </c>
      <c r="C802" s="78">
        <f>IF($T802="","",IF($S802="S","Standard",INDEX('AFA Rates'!$B$5:$B$1004,$T802)&amp;""))</f>
        <v/>
      </c>
      <c r="D802" s="88">
        <f>IF($T802="","",IF($S802="S",IF(INDEX(Firms!$E$5:$E$1004,$T802)="","",INDEX(Firms!$E$5:$E$1004,$T802)),IF(INDEX('AFA Rates'!$C$5:$C$1004,$T802)="","",INDEX('AFA Rates'!$C$5:$C$1004,$T802))))</f>
        <v/>
      </c>
      <c r="E802" s="88">
        <f>IF($T802="","",IF($S802="S",IF(""="","",""),IF(INDEX('AFA Rates'!$D$5:$D$1004,$T802)="","",INDEX('AFA Rates'!$D$5:$D$1004,$T802))))</f>
        <v/>
      </c>
      <c r="F802" s="79">
        <f>IF($T802="","",IF($S802="S",IF(INDEX(Firms!$O$5:$O$1004,$T802)="","",INDEX(Firms!$O$5:$O$1004,$T802)),IF(INDEX('AFA Rates'!$O$5:$O$1004,$T802)="","",INDEX('AFA Rates'!$O$5:$O$1004,$T802))))</f>
        <v/>
      </c>
      <c r="G802" s="50">
        <f>IF($T802="","",IF($S802="S",IF(INDEX(Firms!$F$5:$F$1004,$T802)="","",INDEX(Firms!$F$5:$F$1004,$T802)),IF(INDEX('AFA Rates'!$E$5:$E$1004,$T802)="","",INDEX('AFA Rates'!$E$5:$E$1004,$T802))))</f>
        <v/>
      </c>
      <c r="H802" s="50">
        <f>IF($T802="","",IF($S802="S",IF(INDEX(Firms!$G$5:$G$1004,$T802)="","",INDEX(Firms!$G$5:$G$1004,$T802)),IF(INDEX('AFA Rates'!$F$5:$F$1004,$T802)="","",INDEX('AFA Rates'!$F$5:$F$1004,$T802))))</f>
        <v/>
      </c>
      <c r="I802" s="50">
        <f>IF($T802="","",IF($S802="S",IF(INDEX(Firms!$H$5:$H$1004,$T802)="","",INDEX(Firms!$H$5:$H$1004,$T802)),IF(INDEX('AFA Rates'!$G$5:$G$1004,$T802)="","",INDEX('AFA Rates'!$G$5:$G$1004,$T802))))</f>
        <v/>
      </c>
      <c r="J802" s="50">
        <f>IF($T802="","",IF($S802="S",IF(INDEX(Firms!$I$5:$I$1004,$T802)="","",INDEX(Firms!$I$5:$I$1004,$T802)),IF(INDEX('AFA Rates'!$H$5:$H$1004,$T802)="","",INDEX('AFA Rates'!$H$5:$H$1004,$T802))))</f>
        <v/>
      </c>
      <c r="K802" s="50">
        <f>IF($T802="","",IF($S802="S",IF(INDEX(Firms!$J$5:$J$1004,$T802)="","",INDEX(Firms!$J$5:$J$1004,$T802)),IF(INDEX('AFA Rates'!$I$5:$I$1004,$T802)="","",INDEX('AFA Rates'!$I$5:$I$1004,$T802))))</f>
        <v/>
      </c>
      <c r="L802" s="50">
        <f>IF($T802="","",IF($S802="S",IF(INDEX(Firms!$K$5:$K$1004,$T802)="","",INDEX(Firms!$K$5:$K$1004,$T802)),IF(INDEX('AFA Rates'!$J$5:$J$1004,$T802)="","",INDEX('AFA Rates'!$J$5:$J$1004,$T802))))</f>
        <v/>
      </c>
      <c r="M802" s="50">
        <f>IF($T802="","",IF($S802="S",IF(INDEX(Firms!$L$5:$L$1004,$T802)="","",INDEX(Firms!$L$5:$L$1004,$T802)),IF(INDEX('AFA Rates'!$K$5:$K$1004,$T802)="","",INDEX('AFA Rates'!$K$5:$K$1004,$T802))))</f>
        <v/>
      </c>
      <c r="N802" s="50">
        <f>IF($T802="","",IF($S802="S",IF(INDEX(Firms!$M$5:$M$1004,$T802)="","",INDEX(Firms!$M$5:$M$1004,$T802)),IF(INDEX('AFA Rates'!$L$5:$L$1004,$T802)="","",INDEX('AFA Rates'!$L$5:$L$1004,$T802))))</f>
        <v/>
      </c>
      <c r="O802" s="78">
        <f>IF(OR($T802="",$U802=""),"",IF(INDEX(Firms!$C$5:$C$1004,$U802)="","",INDEX(Firms!$C$5:$C$1004,$U802)))</f>
        <v/>
      </c>
      <c r="P802" s="79">
        <f>IF(OR($T802="",$U802=""),"",IF(INDEX(Firms!$N$5:$N$1004,$U802)="","",INDEX(Firms!$N$5:$N$1004,$U802)))</f>
        <v/>
      </c>
      <c r="Q802" s="78">
        <f>IF($T802="","",IF($S802="S",IF(INDEX(Firms!$T$5:$T$1004,$T802)="","",INDEX(Firms!$T$5:$T$1004,$T802)),IF(INDEX('AFA Rates'!$M$5:$M$1004,$T802)="","",INDEX('AFA Rates'!$M$5:$M$1004,$T802))))</f>
        <v/>
      </c>
      <c r="S802">
        <f>IF(798&lt;=$S$2,"S",IF(798&lt;=$S$2+$T$2,"A",""))</f>
        <v/>
      </c>
      <c r="T802">
        <f>IF(S802="S",MATCH(798,Firms!$W$5:$W$1004,0),IF(S802="A",IFERROR(MATCH(798-$S$2,'AFA Rates'!$R$5:$R$1004,0),""),""))</f>
        <v/>
      </c>
      <c r="U802">
        <f>IF(S802="S",T802,IF(AND(S802="A",T802&lt;&gt;""),IFERROR(MATCH(INDEX('AFA Rates'!$A$5:$A$1004,T802),Firms!$A$5:$A$1004,0),""),""))</f>
        <v/>
      </c>
    </row>
    <row r="803">
      <c r="A803" s="78">
        <f>IF($T803="","",IF($S803="S",IF(INDEX(Firms!$A$5:$A$1004,$T803)="","",INDEX(Firms!$A$5:$A$1004,$T803)),IF(INDEX('AFA Rates'!$A$5:$A$1004,$T803)="","",INDEX('AFA Rates'!$A$5:$A$1004,$T803))))</f>
        <v/>
      </c>
      <c r="B803" s="79">
        <f>IF(OR($T803="",$U803=""),IF($T803="","","Not on Firms tab"),INDEX(Firms!$B$5:$B$1004,$U803)&amp;"")</f>
        <v/>
      </c>
      <c r="C803" s="78">
        <f>IF($T803="","",IF($S803="S","Standard",INDEX('AFA Rates'!$B$5:$B$1004,$T803)&amp;""))</f>
        <v/>
      </c>
      <c r="D803" s="88">
        <f>IF($T803="","",IF($S803="S",IF(INDEX(Firms!$E$5:$E$1004,$T803)="","",INDEX(Firms!$E$5:$E$1004,$T803)),IF(INDEX('AFA Rates'!$C$5:$C$1004,$T803)="","",INDEX('AFA Rates'!$C$5:$C$1004,$T803))))</f>
        <v/>
      </c>
      <c r="E803" s="88">
        <f>IF($T803="","",IF($S803="S",IF(""="","",""),IF(INDEX('AFA Rates'!$D$5:$D$1004,$T803)="","",INDEX('AFA Rates'!$D$5:$D$1004,$T803))))</f>
        <v/>
      </c>
      <c r="F803" s="79">
        <f>IF($T803="","",IF($S803="S",IF(INDEX(Firms!$O$5:$O$1004,$T803)="","",INDEX(Firms!$O$5:$O$1004,$T803)),IF(INDEX('AFA Rates'!$O$5:$O$1004,$T803)="","",INDEX('AFA Rates'!$O$5:$O$1004,$T803))))</f>
        <v/>
      </c>
      <c r="G803" s="50">
        <f>IF($T803="","",IF($S803="S",IF(INDEX(Firms!$F$5:$F$1004,$T803)="","",INDEX(Firms!$F$5:$F$1004,$T803)),IF(INDEX('AFA Rates'!$E$5:$E$1004,$T803)="","",INDEX('AFA Rates'!$E$5:$E$1004,$T803))))</f>
        <v/>
      </c>
      <c r="H803" s="50">
        <f>IF($T803="","",IF($S803="S",IF(INDEX(Firms!$G$5:$G$1004,$T803)="","",INDEX(Firms!$G$5:$G$1004,$T803)),IF(INDEX('AFA Rates'!$F$5:$F$1004,$T803)="","",INDEX('AFA Rates'!$F$5:$F$1004,$T803))))</f>
        <v/>
      </c>
      <c r="I803" s="50">
        <f>IF($T803="","",IF($S803="S",IF(INDEX(Firms!$H$5:$H$1004,$T803)="","",INDEX(Firms!$H$5:$H$1004,$T803)),IF(INDEX('AFA Rates'!$G$5:$G$1004,$T803)="","",INDEX('AFA Rates'!$G$5:$G$1004,$T803))))</f>
        <v/>
      </c>
      <c r="J803" s="50">
        <f>IF($T803="","",IF($S803="S",IF(INDEX(Firms!$I$5:$I$1004,$T803)="","",INDEX(Firms!$I$5:$I$1004,$T803)),IF(INDEX('AFA Rates'!$H$5:$H$1004,$T803)="","",INDEX('AFA Rates'!$H$5:$H$1004,$T803))))</f>
        <v/>
      </c>
      <c r="K803" s="50">
        <f>IF($T803="","",IF($S803="S",IF(INDEX(Firms!$J$5:$J$1004,$T803)="","",INDEX(Firms!$J$5:$J$1004,$T803)),IF(INDEX('AFA Rates'!$I$5:$I$1004,$T803)="","",INDEX('AFA Rates'!$I$5:$I$1004,$T803))))</f>
        <v/>
      </c>
      <c r="L803" s="50">
        <f>IF($T803="","",IF($S803="S",IF(INDEX(Firms!$K$5:$K$1004,$T803)="","",INDEX(Firms!$K$5:$K$1004,$T803)),IF(INDEX('AFA Rates'!$J$5:$J$1004,$T803)="","",INDEX('AFA Rates'!$J$5:$J$1004,$T803))))</f>
        <v/>
      </c>
      <c r="M803" s="50">
        <f>IF($T803="","",IF($S803="S",IF(INDEX(Firms!$L$5:$L$1004,$T803)="","",INDEX(Firms!$L$5:$L$1004,$T803)),IF(INDEX('AFA Rates'!$K$5:$K$1004,$T803)="","",INDEX('AFA Rates'!$K$5:$K$1004,$T803))))</f>
        <v/>
      </c>
      <c r="N803" s="50">
        <f>IF($T803="","",IF($S803="S",IF(INDEX(Firms!$M$5:$M$1004,$T803)="","",INDEX(Firms!$M$5:$M$1004,$T803)),IF(INDEX('AFA Rates'!$L$5:$L$1004,$T803)="","",INDEX('AFA Rates'!$L$5:$L$1004,$T803))))</f>
        <v/>
      </c>
      <c r="O803" s="78">
        <f>IF(OR($T803="",$U803=""),"",IF(INDEX(Firms!$C$5:$C$1004,$U803)="","",INDEX(Firms!$C$5:$C$1004,$U803)))</f>
        <v/>
      </c>
      <c r="P803" s="79">
        <f>IF(OR($T803="",$U803=""),"",IF(INDEX(Firms!$N$5:$N$1004,$U803)="","",INDEX(Firms!$N$5:$N$1004,$U803)))</f>
        <v/>
      </c>
      <c r="Q803" s="78">
        <f>IF($T803="","",IF($S803="S",IF(INDEX(Firms!$T$5:$T$1004,$T803)="","",INDEX(Firms!$T$5:$T$1004,$T803)),IF(INDEX('AFA Rates'!$M$5:$M$1004,$T803)="","",INDEX('AFA Rates'!$M$5:$M$1004,$T803))))</f>
        <v/>
      </c>
      <c r="S803">
        <f>IF(799&lt;=$S$2,"S",IF(799&lt;=$S$2+$T$2,"A",""))</f>
        <v/>
      </c>
      <c r="T803">
        <f>IF(S803="S",MATCH(799,Firms!$W$5:$W$1004,0),IF(S803="A",IFERROR(MATCH(799-$S$2,'AFA Rates'!$R$5:$R$1004,0),""),""))</f>
        <v/>
      </c>
      <c r="U803">
        <f>IF(S803="S",T803,IF(AND(S803="A",T803&lt;&gt;""),IFERROR(MATCH(INDEX('AFA Rates'!$A$5:$A$1004,T803),Firms!$A$5:$A$1004,0),""),""))</f>
        <v/>
      </c>
    </row>
    <row r="804">
      <c r="A804" s="78">
        <f>IF($T804="","",IF($S804="S",IF(INDEX(Firms!$A$5:$A$1004,$T804)="","",INDEX(Firms!$A$5:$A$1004,$T804)),IF(INDEX('AFA Rates'!$A$5:$A$1004,$T804)="","",INDEX('AFA Rates'!$A$5:$A$1004,$T804))))</f>
        <v/>
      </c>
      <c r="B804" s="79">
        <f>IF(OR($T804="",$U804=""),IF($T804="","","Not on Firms tab"),INDEX(Firms!$B$5:$B$1004,$U804)&amp;"")</f>
        <v/>
      </c>
      <c r="C804" s="78">
        <f>IF($T804="","",IF($S804="S","Standard",INDEX('AFA Rates'!$B$5:$B$1004,$T804)&amp;""))</f>
        <v/>
      </c>
      <c r="D804" s="88">
        <f>IF($T804="","",IF($S804="S",IF(INDEX(Firms!$E$5:$E$1004,$T804)="","",INDEX(Firms!$E$5:$E$1004,$T804)),IF(INDEX('AFA Rates'!$C$5:$C$1004,$T804)="","",INDEX('AFA Rates'!$C$5:$C$1004,$T804))))</f>
        <v/>
      </c>
      <c r="E804" s="88">
        <f>IF($T804="","",IF($S804="S",IF(""="","",""),IF(INDEX('AFA Rates'!$D$5:$D$1004,$T804)="","",INDEX('AFA Rates'!$D$5:$D$1004,$T804))))</f>
        <v/>
      </c>
      <c r="F804" s="79">
        <f>IF($T804="","",IF($S804="S",IF(INDEX(Firms!$O$5:$O$1004,$T804)="","",INDEX(Firms!$O$5:$O$1004,$T804)),IF(INDEX('AFA Rates'!$O$5:$O$1004,$T804)="","",INDEX('AFA Rates'!$O$5:$O$1004,$T804))))</f>
        <v/>
      </c>
      <c r="G804" s="50">
        <f>IF($T804="","",IF($S804="S",IF(INDEX(Firms!$F$5:$F$1004,$T804)="","",INDEX(Firms!$F$5:$F$1004,$T804)),IF(INDEX('AFA Rates'!$E$5:$E$1004,$T804)="","",INDEX('AFA Rates'!$E$5:$E$1004,$T804))))</f>
        <v/>
      </c>
      <c r="H804" s="50">
        <f>IF($T804="","",IF($S804="S",IF(INDEX(Firms!$G$5:$G$1004,$T804)="","",INDEX(Firms!$G$5:$G$1004,$T804)),IF(INDEX('AFA Rates'!$F$5:$F$1004,$T804)="","",INDEX('AFA Rates'!$F$5:$F$1004,$T804))))</f>
        <v/>
      </c>
      <c r="I804" s="50">
        <f>IF($T804="","",IF($S804="S",IF(INDEX(Firms!$H$5:$H$1004,$T804)="","",INDEX(Firms!$H$5:$H$1004,$T804)),IF(INDEX('AFA Rates'!$G$5:$G$1004,$T804)="","",INDEX('AFA Rates'!$G$5:$G$1004,$T804))))</f>
        <v/>
      </c>
      <c r="J804" s="50">
        <f>IF($T804="","",IF($S804="S",IF(INDEX(Firms!$I$5:$I$1004,$T804)="","",INDEX(Firms!$I$5:$I$1004,$T804)),IF(INDEX('AFA Rates'!$H$5:$H$1004,$T804)="","",INDEX('AFA Rates'!$H$5:$H$1004,$T804))))</f>
        <v/>
      </c>
      <c r="K804" s="50">
        <f>IF($T804="","",IF($S804="S",IF(INDEX(Firms!$J$5:$J$1004,$T804)="","",INDEX(Firms!$J$5:$J$1004,$T804)),IF(INDEX('AFA Rates'!$I$5:$I$1004,$T804)="","",INDEX('AFA Rates'!$I$5:$I$1004,$T804))))</f>
        <v/>
      </c>
      <c r="L804" s="50">
        <f>IF($T804="","",IF($S804="S",IF(INDEX(Firms!$K$5:$K$1004,$T804)="","",INDEX(Firms!$K$5:$K$1004,$T804)),IF(INDEX('AFA Rates'!$J$5:$J$1004,$T804)="","",INDEX('AFA Rates'!$J$5:$J$1004,$T804))))</f>
        <v/>
      </c>
      <c r="M804" s="50">
        <f>IF($T804="","",IF($S804="S",IF(INDEX(Firms!$L$5:$L$1004,$T804)="","",INDEX(Firms!$L$5:$L$1004,$T804)),IF(INDEX('AFA Rates'!$K$5:$K$1004,$T804)="","",INDEX('AFA Rates'!$K$5:$K$1004,$T804))))</f>
        <v/>
      </c>
      <c r="N804" s="50">
        <f>IF($T804="","",IF($S804="S",IF(INDEX(Firms!$M$5:$M$1004,$T804)="","",INDEX(Firms!$M$5:$M$1004,$T804)),IF(INDEX('AFA Rates'!$L$5:$L$1004,$T804)="","",INDEX('AFA Rates'!$L$5:$L$1004,$T804))))</f>
        <v/>
      </c>
      <c r="O804" s="78">
        <f>IF(OR($T804="",$U804=""),"",IF(INDEX(Firms!$C$5:$C$1004,$U804)="","",INDEX(Firms!$C$5:$C$1004,$U804)))</f>
        <v/>
      </c>
      <c r="P804" s="79">
        <f>IF(OR($T804="",$U804=""),"",IF(INDEX(Firms!$N$5:$N$1004,$U804)="","",INDEX(Firms!$N$5:$N$1004,$U804)))</f>
        <v/>
      </c>
      <c r="Q804" s="78">
        <f>IF($T804="","",IF($S804="S",IF(INDEX(Firms!$T$5:$T$1004,$T804)="","",INDEX(Firms!$T$5:$T$1004,$T804)),IF(INDEX('AFA Rates'!$M$5:$M$1004,$T804)="","",INDEX('AFA Rates'!$M$5:$M$1004,$T804))))</f>
        <v/>
      </c>
      <c r="S804">
        <f>IF(800&lt;=$S$2,"S",IF(800&lt;=$S$2+$T$2,"A",""))</f>
        <v/>
      </c>
      <c r="T804">
        <f>IF(S804="S",MATCH(800,Firms!$W$5:$W$1004,0),IF(S804="A",IFERROR(MATCH(800-$S$2,'AFA Rates'!$R$5:$R$1004,0),""),""))</f>
        <v/>
      </c>
      <c r="U804">
        <f>IF(S804="S",T804,IF(AND(S804="A",T804&lt;&gt;""),IFERROR(MATCH(INDEX('AFA Rates'!$A$5:$A$1004,T804),Firms!$A$5:$A$1004,0),""),""))</f>
        <v/>
      </c>
    </row>
    <row r="805">
      <c r="A805" s="78">
        <f>IF($T805="","",IF($S805="S",IF(INDEX(Firms!$A$5:$A$1004,$T805)="","",INDEX(Firms!$A$5:$A$1004,$T805)),IF(INDEX('AFA Rates'!$A$5:$A$1004,$T805)="","",INDEX('AFA Rates'!$A$5:$A$1004,$T805))))</f>
        <v/>
      </c>
      <c r="B805" s="79">
        <f>IF(OR($T805="",$U805=""),IF($T805="","","Not on Firms tab"),INDEX(Firms!$B$5:$B$1004,$U805)&amp;"")</f>
        <v/>
      </c>
      <c r="C805" s="78">
        <f>IF($T805="","",IF($S805="S","Standard",INDEX('AFA Rates'!$B$5:$B$1004,$T805)&amp;""))</f>
        <v/>
      </c>
      <c r="D805" s="88">
        <f>IF($T805="","",IF($S805="S",IF(INDEX(Firms!$E$5:$E$1004,$T805)="","",INDEX(Firms!$E$5:$E$1004,$T805)),IF(INDEX('AFA Rates'!$C$5:$C$1004,$T805)="","",INDEX('AFA Rates'!$C$5:$C$1004,$T805))))</f>
        <v/>
      </c>
      <c r="E805" s="88">
        <f>IF($T805="","",IF($S805="S",IF(""="","",""),IF(INDEX('AFA Rates'!$D$5:$D$1004,$T805)="","",INDEX('AFA Rates'!$D$5:$D$1004,$T805))))</f>
        <v/>
      </c>
      <c r="F805" s="79">
        <f>IF($T805="","",IF($S805="S",IF(INDEX(Firms!$O$5:$O$1004,$T805)="","",INDEX(Firms!$O$5:$O$1004,$T805)),IF(INDEX('AFA Rates'!$O$5:$O$1004,$T805)="","",INDEX('AFA Rates'!$O$5:$O$1004,$T805))))</f>
        <v/>
      </c>
      <c r="G805" s="50">
        <f>IF($T805="","",IF($S805="S",IF(INDEX(Firms!$F$5:$F$1004,$T805)="","",INDEX(Firms!$F$5:$F$1004,$T805)),IF(INDEX('AFA Rates'!$E$5:$E$1004,$T805)="","",INDEX('AFA Rates'!$E$5:$E$1004,$T805))))</f>
        <v/>
      </c>
      <c r="H805" s="50">
        <f>IF($T805="","",IF($S805="S",IF(INDEX(Firms!$G$5:$G$1004,$T805)="","",INDEX(Firms!$G$5:$G$1004,$T805)),IF(INDEX('AFA Rates'!$F$5:$F$1004,$T805)="","",INDEX('AFA Rates'!$F$5:$F$1004,$T805))))</f>
        <v/>
      </c>
      <c r="I805" s="50">
        <f>IF($T805="","",IF($S805="S",IF(INDEX(Firms!$H$5:$H$1004,$T805)="","",INDEX(Firms!$H$5:$H$1004,$T805)),IF(INDEX('AFA Rates'!$G$5:$G$1004,$T805)="","",INDEX('AFA Rates'!$G$5:$G$1004,$T805))))</f>
        <v/>
      </c>
      <c r="J805" s="50">
        <f>IF($T805="","",IF($S805="S",IF(INDEX(Firms!$I$5:$I$1004,$T805)="","",INDEX(Firms!$I$5:$I$1004,$T805)),IF(INDEX('AFA Rates'!$H$5:$H$1004,$T805)="","",INDEX('AFA Rates'!$H$5:$H$1004,$T805))))</f>
        <v/>
      </c>
      <c r="K805" s="50">
        <f>IF($T805="","",IF($S805="S",IF(INDEX(Firms!$J$5:$J$1004,$T805)="","",INDEX(Firms!$J$5:$J$1004,$T805)),IF(INDEX('AFA Rates'!$I$5:$I$1004,$T805)="","",INDEX('AFA Rates'!$I$5:$I$1004,$T805))))</f>
        <v/>
      </c>
      <c r="L805" s="50">
        <f>IF($T805="","",IF($S805="S",IF(INDEX(Firms!$K$5:$K$1004,$T805)="","",INDEX(Firms!$K$5:$K$1004,$T805)),IF(INDEX('AFA Rates'!$J$5:$J$1004,$T805)="","",INDEX('AFA Rates'!$J$5:$J$1004,$T805))))</f>
        <v/>
      </c>
      <c r="M805" s="50">
        <f>IF($T805="","",IF($S805="S",IF(INDEX(Firms!$L$5:$L$1004,$T805)="","",INDEX(Firms!$L$5:$L$1004,$T805)),IF(INDEX('AFA Rates'!$K$5:$K$1004,$T805)="","",INDEX('AFA Rates'!$K$5:$K$1004,$T805))))</f>
        <v/>
      </c>
      <c r="N805" s="50">
        <f>IF($T805="","",IF($S805="S",IF(INDEX(Firms!$M$5:$M$1004,$T805)="","",INDEX(Firms!$M$5:$M$1004,$T805)),IF(INDEX('AFA Rates'!$L$5:$L$1004,$T805)="","",INDEX('AFA Rates'!$L$5:$L$1004,$T805))))</f>
        <v/>
      </c>
      <c r="O805" s="78">
        <f>IF(OR($T805="",$U805=""),"",IF(INDEX(Firms!$C$5:$C$1004,$U805)="","",INDEX(Firms!$C$5:$C$1004,$U805)))</f>
        <v/>
      </c>
      <c r="P805" s="79">
        <f>IF(OR($T805="",$U805=""),"",IF(INDEX(Firms!$N$5:$N$1004,$U805)="","",INDEX(Firms!$N$5:$N$1004,$U805)))</f>
        <v/>
      </c>
      <c r="Q805" s="78">
        <f>IF($T805="","",IF($S805="S",IF(INDEX(Firms!$T$5:$T$1004,$T805)="","",INDEX(Firms!$T$5:$T$1004,$T805)),IF(INDEX('AFA Rates'!$M$5:$M$1004,$T805)="","",INDEX('AFA Rates'!$M$5:$M$1004,$T805))))</f>
        <v/>
      </c>
      <c r="S805">
        <f>IF(801&lt;=$S$2,"S",IF(801&lt;=$S$2+$T$2,"A",""))</f>
        <v/>
      </c>
      <c r="T805">
        <f>IF(S805="S",MATCH(801,Firms!$W$5:$W$1004,0),IF(S805="A",IFERROR(MATCH(801-$S$2,'AFA Rates'!$R$5:$R$1004,0),""),""))</f>
        <v/>
      </c>
      <c r="U805">
        <f>IF(S805="S",T805,IF(AND(S805="A",T805&lt;&gt;""),IFERROR(MATCH(INDEX('AFA Rates'!$A$5:$A$1004,T805),Firms!$A$5:$A$1004,0),""),""))</f>
        <v/>
      </c>
    </row>
    <row r="806">
      <c r="A806" s="78">
        <f>IF($T806="","",IF($S806="S",IF(INDEX(Firms!$A$5:$A$1004,$T806)="","",INDEX(Firms!$A$5:$A$1004,$T806)),IF(INDEX('AFA Rates'!$A$5:$A$1004,$T806)="","",INDEX('AFA Rates'!$A$5:$A$1004,$T806))))</f>
        <v/>
      </c>
      <c r="B806" s="79">
        <f>IF(OR($T806="",$U806=""),IF($T806="","","Not on Firms tab"),INDEX(Firms!$B$5:$B$1004,$U806)&amp;"")</f>
        <v/>
      </c>
      <c r="C806" s="78">
        <f>IF($T806="","",IF($S806="S","Standard",INDEX('AFA Rates'!$B$5:$B$1004,$T806)&amp;""))</f>
        <v/>
      </c>
      <c r="D806" s="88">
        <f>IF($T806="","",IF($S806="S",IF(INDEX(Firms!$E$5:$E$1004,$T806)="","",INDEX(Firms!$E$5:$E$1004,$T806)),IF(INDEX('AFA Rates'!$C$5:$C$1004,$T806)="","",INDEX('AFA Rates'!$C$5:$C$1004,$T806))))</f>
        <v/>
      </c>
      <c r="E806" s="88">
        <f>IF($T806="","",IF($S806="S",IF(""="","",""),IF(INDEX('AFA Rates'!$D$5:$D$1004,$T806)="","",INDEX('AFA Rates'!$D$5:$D$1004,$T806))))</f>
        <v/>
      </c>
      <c r="F806" s="79">
        <f>IF($T806="","",IF($S806="S",IF(INDEX(Firms!$O$5:$O$1004,$T806)="","",INDEX(Firms!$O$5:$O$1004,$T806)),IF(INDEX('AFA Rates'!$O$5:$O$1004,$T806)="","",INDEX('AFA Rates'!$O$5:$O$1004,$T806))))</f>
        <v/>
      </c>
      <c r="G806" s="50">
        <f>IF($T806="","",IF($S806="S",IF(INDEX(Firms!$F$5:$F$1004,$T806)="","",INDEX(Firms!$F$5:$F$1004,$T806)),IF(INDEX('AFA Rates'!$E$5:$E$1004,$T806)="","",INDEX('AFA Rates'!$E$5:$E$1004,$T806))))</f>
        <v/>
      </c>
      <c r="H806" s="50">
        <f>IF($T806="","",IF($S806="S",IF(INDEX(Firms!$G$5:$G$1004,$T806)="","",INDEX(Firms!$G$5:$G$1004,$T806)),IF(INDEX('AFA Rates'!$F$5:$F$1004,$T806)="","",INDEX('AFA Rates'!$F$5:$F$1004,$T806))))</f>
        <v/>
      </c>
      <c r="I806" s="50">
        <f>IF($T806="","",IF($S806="S",IF(INDEX(Firms!$H$5:$H$1004,$T806)="","",INDEX(Firms!$H$5:$H$1004,$T806)),IF(INDEX('AFA Rates'!$G$5:$G$1004,$T806)="","",INDEX('AFA Rates'!$G$5:$G$1004,$T806))))</f>
        <v/>
      </c>
      <c r="J806" s="50">
        <f>IF($T806="","",IF($S806="S",IF(INDEX(Firms!$I$5:$I$1004,$T806)="","",INDEX(Firms!$I$5:$I$1004,$T806)),IF(INDEX('AFA Rates'!$H$5:$H$1004,$T806)="","",INDEX('AFA Rates'!$H$5:$H$1004,$T806))))</f>
        <v/>
      </c>
      <c r="K806" s="50">
        <f>IF($T806="","",IF($S806="S",IF(INDEX(Firms!$J$5:$J$1004,$T806)="","",INDEX(Firms!$J$5:$J$1004,$T806)),IF(INDEX('AFA Rates'!$I$5:$I$1004,$T806)="","",INDEX('AFA Rates'!$I$5:$I$1004,$T806))))</f>
        <v/>
      </c>
      <c r="L806" s="50">
        <f>IF($T806="","",IF($S806="S",IF(INDEX(Firms!$K$5:$K$1004,$T806)="","",INDEX(Firms!$K$5:$K$1004,$T806)),IF(INDEX('AFA Rates'!$J$5:$J$1004,$T806)="","",INDEX('AFA Rates'!$J$5:$J$1004,$T806))))</f>
        <v/>
      </c>
      <c r="M806" s="50">
        <f>IF($T806="","",IF($S806="S",IF(INDEX(Firms!$L$5:$L$1004,$T806)="","",INDEX(Firms!$L$5:$L$1004,$T806)),IF(INDEX('AFA Rates'!$K$5:$K$1004,$T806)="","",INDEX('AFA Rates'!$K$5:$K$1004,$T806))))</f>
        <v/>
      </c>
      <c r="N806" s="50">
        <f>IF($T806="","",IF($S806="S",IF(INDEX(Firms!$M$5:$M$1004,$T806)="","",INDEX(Firms!$M$5:$M$1004,$T806)),IF(INDEX('AFA Rates'!$L$5:$L$1004,$T806)="","",INDEX('AFA Rates'!$L$5:$L$1004,$T806))))</f>
        <v/>
      </c>
      <c r="O806" s="78">
        <f>IF(OR($T806="",$U806=""),"",IF(INDEX(Firms!$C$5:$C$1004,$U806)="","",INDEX(Firms!$C$5:$C$1004,$U806)))</f>
        <v/>
      </c>
      <c r="P806" s="79">
        <f>IF(OR($T806="",$U806=""),"",IF(INDEX(Firms!$N$5:$N$1004,$U806)="","",INDEX(Firms!$N$5:$N$1004,$U806)))</f>
        <v/>
      </c>
      <c r="Q806" s="78">
        <f>IF($T806="","",IF($S806="S",IF(INDEX(Firms!$T$5:$T$1004,$T806)="","",INDEX(Firms!$T$5:$T$1004,$T806)),IF(INDEX('AFA Rates'!$M$5:$M$1004,$T806)="","",INDEX('AFA Rates'!$M$5:$M$1004,$T806))))</f>
        <v/>
      </c>
      <c r="S806">
        <f>IF(802&lt;=$S$2,"S",IF(802&lt;=$S$2+$T$2,"A",""))</f>
        <v/>
      </c>
      <c r="T806">
        <f>IF(S806="S",MATCH(802,Firms!$W$5:$W$1004,0),IF(S806="A",IFERROR(MATCH(802-$S$2,'AFA Rates'!$R$5:$R$1004,0),""),""))</f>
        <v/>
      </c>
      <c r="U806">
        <f>IF(S806="S",T806,IF(AND(S806="A",T806&lt;&gt;""),IFERROR(MATCH(INDEX('AFA Rates'!$A$5:$A$1004,T806),Firms!$A$5:$A$1004,0),""),""))</f>
        <v/>
      </c>
    </row>
    <row r="807">
      <c r="A807" s="78">
        <f>IF($T807="","",IF($S807="S",IF(INDEX(Firms!$A$5:$A$1004,$T807)="","",INDEX(Firms!$A$5:$A$1004,$T807)),IF(INDEX('AFA Rates'!$A$5:$A$1004,$T807)="","",INDEX('AFA Rates'!$A$5:$A$1004,$T807))))</f>
        <v/>
      </c>
      <c r="B807" s="79">
        <f>IF(OR($T807="",$U807=""),IF($T807="","","Not on Firms tab"),INDEX(Firms!$B$5:$B$1004,$U807)&amp;"")</f>
        <v/>
      </c>
      <c r="C807" s="78">
        <f>IF($T807="","",IF($S807="S","Standard",INDEX('AFA Rates'!$B$5:$B$1004,$T807)&amp;""))</f>
        <v/>
      </c>
      <c r="D807" s="88">
        <f>IF($T807="","",IF($S807="S",IF(INDEX(Firms!$E$5:$E$1004,$T807)="","",INDEX(Firms!$E$5:$E$1004,$T807)),IF(INDEX('AFA Rates'!$C$5:$C$1004,$T807)="","",INDEX('AFA Rates'!$C$5:$C$1004,$T807))))</f>
        <v/>
      </c>
      <c r="E807" s="88">
        <f>IF($T807="","",IF($S807="S",IF(""="","",""),IF(INDEX('AFA Rates'!$D$5:$D$1004,$T807)="","",INDEX('AFA Rates'!$D$5:$D$1004,$T807))))</f>
        <v/>
      </c>
      <c r="F807" s="79">
        <f>IF($T807="","",IF($S807="S",IF(INDEX(Firms!$O$5:$O$1004,$T807)="","",INDEX(Firms!$O$5:$O$1004,$T807)),IF(INDEX('AFA Rates'!$O$5:$O$1004,$T807)="","",INDEX('AFA Rates'!$O$5:$O$1004,$T807))))</f>
        <v/>
      </c>
      <c r="G807" s="50">
        <f>IF($T807="","",IF($S807="S",IF(INDEX(Firms!$F$5:$F$1004,$T807)="","",INDEX(Firms!$F$5:$F$1004,$T807)),IF(INDEX('AFA Rates'!$E$5:$E$1004,$T807)="","",INDEX('AFA Rates'!$E$5:$E$1004,$T807))))</f>
        <v/>
      </c>
      <c r="H807" s="50">
        <f>IF($T807="","",IF($S807="S",IF(INDEX(Firms!$G$5:$G$1004,$T807)="","",INDEX(Firms!$G$5:$G$1004,$T807)),IF(INDEX('AFA Rates'!$F$5:$F$1004,$T807)="","",INDEX('AFA Rates'!$F$5:$F$1004,$T807))))</f>
        <v/>
      </c>
      <c r="I807" s="50">
        <f>IF($T807="","",IF($S807="S",IF(INDEX(Firms!$H$5:$H$1004,$T807)="","",INDEX(Firms!$H$5:$H$1004,$T807)),IF(INDEX('AFA Rates'!$G$5:$G$1004,$T807)="","",INDEX('AFA Rates'!$G$5:$G$1004,$T807))))</f>
        <v/>
      </c>
      <c r="J807" s="50">
        <f>IF($T807="","",IF($S807="S",IF(INDEX(Firms!$I$5:$I$1004,$T807)="","",INDEX(Firms!$I$5:$I$1004,$T807)),IF(INDEX('AFA Rates'!$H$5:$H$1004,$T807)="","",INDEX('AFA Rates'!$H$5:$H$1004,$T807))))</f>
        <v/>
      </c>
      <c r="K807" s="50">
        <f>IF($T807="","",IF($S807="S",IF(INDEX(Firms!$J$5:$J$1004,$T807)="","",INDEX(Firms!$J$5:$J$1004,$T807)),IF(INDEX('AFA Rates'!$I$5:$I$1004,$T807)="","",INDEX('AFA Rates'!$I$5:$I$1004,$T807))))</f>
        <v/>
      </c>
      <c r="L807" s="50">
        <f>IF($T807="","",IF($S807="S",IF(INDEX(Firms!$K$5:$K$1004,$T807)="","",INDEX(Firms!$K$5:$K$1004,$T807)),IF(INDEX('AFA Rates'!$J$5:$J$1004,$T807)="","",INDEX('AFA Rates'!$J$5:$J$1004,$T807))))</f>
        <v/>
      </c>
      <c r="M807" s="50">
        <f>IF($T807="","",IF($S807="S",IF(INDEX(Firms!$L$5:$L$1004,$T807)="","",INDEX(Firms!$L$5:$L$1004,$T807)),IF(INDEX('AFA Rates'!$K$5:$K$1004,$T807)="","",INDEX('AFA Rates'!$K$5:$K$1004,$T807))))</f>
        <v/>
      </c>
      <c r="N807" s="50">
        <f>IF($T807="","",IF($S807="S",IF(INDEX(Firms!$M$5:$M$1004,$T807)="","",INDEX(Firms!$M$5:$M$1004,$T807)),IF(INDEX('AFA Rates'!$L$5:$L$1004,$T807)="","",INDEX('AFA Rates'!$L$5:$L$1004,$T807))))</f>
        <v/>
      </c>
      <c r="O807" s="78">
        <f>IF(OR($T807="",$U807=""),"",IF(INDEX(Firms!$C$5:$C$1004,$U807)="","",INDEX(Firms!$C$5:$C$1004,$U807)))</f>
        <v/>
      </c>
      <c r="P807" s="79">
        <f>IF(OR($T807="",$U807=""),"",IF(INDEX(Firms!$N$5:$N$1004,$U807)="","",INDEX(Firms!$N$5:$N$1004,$U807)))</f>
        <v/>
      </c>
      <c r="Q807" s="78">
        <f>IF($T807="","",IF($S807="S",IF(INDEX(Firms!$T$5:$T$1004,$T807)="","",INDEX(Firms!$T$5:$T$1004,$T807)),IF(INDEX('AFA Rates'!$M$5:$M$1004,$T807)="","",INDEX('AFA Rates'!$M$5:$M$1004,$T807))))</f>
        <v/>
      </c>
      <c r="S807">
        <f>IF(803&lt;=$S$2,"S",IF(803&lt;=$S$2+$T$2,"A",""))</f>
        <v/>
      </c>
      <c r="T807">
        <f>IF(S807="S",MATCH(803,Firms!$W$5:$W$1004,0),IF(S807="A",IFERROR(MATCH(803-$S$2,'AFA Rates'!$R$5:$R$1004,0),""),""))</f>
        <v/>
      </c>
      <c r="U807">
        <f>IF(S807="S",T807,IF(AND(S807="A",T807&lt;&gt;""),IFERROR(MATCH(INDEX('AFA Rates'!$A$5:$A$1004,T807),Firms!$A$5:$A$1004,0),""),""))</f>
        <v/>
      </c>
    </row>
    <row r="808">
      <c r="A808" s="78">
        <f>IF($T808="","",IF($S808="S",IF(INDEX(Firms!$A$5:$A$1004,$T808)="","",INDEX(Firms!$A$5:$A$1004,$T808)),IF(INDEX('AFA Rates'!$A$5:$A$1004,$T808)="","",INDEX('AFA Rates'!$A$5:$A$1004,$T808))))</f>
        <v/>
      </c>
      <c r="B808" s="79">
        <f>IF(OR($T808="",$U808=""),IF($T808="","","Not on Firms tab"),INDEX(Firms!$B$5:$B$1004,$U808)&amp;"")</f>
        <v/>
      </c>
      <c r="C808" s="78">
        <f>IF($T808="","",IF($S808="S","Standard",INDEX('AFA Rates'!$B$5:$B$1004,$T808)&amp;""))</f>
        <v/>
      </c>
      <c r="D808" s="88">
        <f>IF($T808="","",IF($S808="S",IF(INDEX(Firms!$E$5:$E$1004,$T808)="","",INDEX(Firms!$E$5:$E$1004,$T808)),IF(INDEX('AFA Rates'!$C$5:$C$1004,$T808)="","",INDEX('AFA Rates'!$C$5:$C$1004,$T808))))</f>
        <v/>
      </c>
      <c r="E808" s="88">
        <f>IF($T808="","",IF($S808="S",IF(""="","",""),IF(INDEX('AFA Rates'!$D$5:$D$1004,$T808)="","",INDEX('AFA Rates'!$D$5:$D$1004,$T808))))</f>
        <v/>
      </c>
      <c r="F808" s="79">
        <f>IF($T808="","",IF($S808="S",IF(INDEX(Firms!$O$5:$O$1004,$T808)="","",INDEX(Firms!$O$5:$O$1004,$T808)),IF(INDEX('AFA Rates'!$O$5:$O$1004,$T808)="","",INDEX('AFA Rates'!$O$5:$O$1004,$T808))))</f>
        <v/>
      </c>
      <c r="G808" s="50">
        <f>IF($T808="","",IF($S808="S",IF(INDEX(Firms!$F$5:$F$1004,$T808)="","",INDEX(Firms!$F$5:$F$1004,$T808)),IF(INDEX('AFA Rates'!$E$5:$E$1004,$T808)="","",INDEX('AFA Rates'!$E$5:$E$1004,$T808))))</f>
        <v/>
      </c>
      <c r="H808" s="50">
        <f>IF($T808="","",IF($S808="S",IF(INDEX(Firms!$G$5:$G$1004,$T808)="","",INDEX(Firms!$G$5:$G$1004,$T808)),IF(INDEX('AFA Rates'!$F$5:$F$1004,$T808)="","",INDEX('AFA Rates'!$F$5:$F$1004,$T808))))</f>
        <v/>
      </c>
      <c r="I808" s="50">
        <f>IF($T808="","",IF($S808="S",IF(INDEX(Firms!$H$5:$H$1004,$T808)="","",INDEX(Firms!$H$5:$H$1004,$T808)),IF(INDEX('AFA Rates'!$G$5:$G$1004,$T808)="","",INDEX('AFA Rates'!$G$5:$G$1004,$T808))))</f>
        <v/>
      </c>
      <c r="J808" s="50">
        <f>IF($T808="","",IF($S808="S",IF(INDEX(Firms!$I$5:$I$1004,$T808)="","",INDEX(Firms!$I$5:$I$1004,$T808)),IF(INDEX('AFA Rates'!$H$5:$H$1004,$T808)="","",INDEX('AFA Rates'!$H$5:$H$1004,$T808))))</f>
        <v/>
      </c>
      <c r="K808" s="50">
        <f>IF($T808="","",IF($S808="S",IF(INDEX(Firms!$J$5:$J$1004,$T808)="","",INDEX(Firms!$J$5:$J$1004,$T808)),IF(INDEX('AFA Rates'!$I$5:$I$1004,$T808)="","",INDEX('AFA Rates'!$I$5:$I$1004,$T808))))</f>
        <v/>
      </c>
      <c r="L808" s="50">
        <f>IF($T808="","",IF($S808="S",IF(INDEX(Firms!$K$5:$K$1004,$T808)="","",INDEX(Firms!$K$5:$K$1004,$T808)),IF(INDEX('AFA Rates'!$J$5:$J$1004,$T808)="","",INDEX('AFA Rates'!$J$5:$J$1004,$T808))))</f>
        <v/>
      </c>
      <c r="M808" s="50">
        <f>IF($T808="","",IF($S808="S",IF(INDEX(Firms!$L$5:$L$1004,$T808)="","",INDEX(Firms!$L$5:$L$1004,$T808)),IF(INDEX('AFA Rates'!$K$5:$K$1004,$T808)="","",INDEX('AFA Rates'!$K$5:$K$1004,$T808))))</f>
        <v/>
      </c>
      <c r="N808" s="50">
        <f>IF($T808="","",IF($S808="S",IF(INDEX(Firms!$M$5:$M$1004,$T808)="","",INDEX(Firms!$M$5:$M$1004,$T808)),IF(INDEX('AFA Rates'!$L$5:$L$1004,$T808)="","",INDEX('AFA Rates'!$L$5:$L$1004,$T808))))</f>
        <v/>
      </c>
      <c r="O808" s="78">
        <f>IF(OR($T808="",$U808=""),"",IF(INDEX(Firms!$C$5:$C$1004,$U808)="","",INDEX(Firms!$C$5:$C$1004,$U808)))</f>
        <v/>
      </c>
      <c r="P808" s="79">
        <f>IF(OR($T808="",$U808=""),"",IF(INDEX(Firms!$N$5:$N$1004,$U808)="","",INDEX(Firms!$N$5:$N$1004,$U808)))</f>
        <v/>
      </c>
      <c r="Q808" s="78">
        <f>IF($T808="","",IF($S808="S",IF(INDEX(Firms!$T$5:$T$1004,$T808)="","",INDEX(Firms!$T$5:$T$1004,$T808)),IF(INDEX('AFA Rates'!$M$5:$M$1004,$T808)="","",INDEX('AFA Rates'!$M$5:$M$1004,$T808))))</f>
        <v/>
      </c>
      <c r="S808">
        <f>IF(804&lt;=$S$2,"S",IF(804&lt;=$S$2+$T$2,"A",""))</f>
        <v/>
      </c>
      <c r="T808">
        <f>IF(S808="S",MATCH(804,Firms!$W$5:$W$1004,0),IF(S808="A",IFERROR(MATCH(804-$S$2,'AFA Rates'!$R$5:$R$1004,0),""),""))</f>
        <v/>
      </c>
      <c r="U808">
        <f>IF(S808="S",T808,IF(AND(S808="A",T808&lt;&gt;""),IFERROR(MATCH(INDEX('AFA Rates'!$A$5:$A$1004,T808),Firms!$A$5:$A$1004,0),""),""))</f>
        <v/>
      </c>
    </row>
    <row r="809">
      <c r="A809" s="78">
        <f>IF($T809="","",IF($S809="S",IF(INDEX(Firms!$A$5:$A$1004,$T809)="","",INDEX(Firms!$A$5:$A$1004,$T809)),IF(INDEX('AFA Rates'!$A$5:$A$1004,$T809)="","",INDEX('AFA Rates'!$A$5:$A$1004,$T809))))</f>
        <v/>
      </c>
      <c r="B809" s="79">
        <f>IF(OR($T809="",$U809=""),IF($T809="","","Not on Firms tab"),INDEX(Firms!$B$5:$B$1004,$U809)&amp;"")</f>
        <v/>
      </c>
      <c r="C809" s="78">
        <f>IF($T809="","",IF($S809="S","Standard",INDEX('AFA Rates'!$B$5:$B$1004,$T809)&amp;""))</f>
        <v/>
      </c>
      <c r="D809" s="88">
        <f>IF($T809="","",IF($S809="S",IF(INDEX(Firms!$E$5:$E$1004,$T809)="","",INDEX(Firms!$E$5:$E$1004,$T809)),IF(INDEX('AFA Rates'!$C$5:$C$1004,$T809)="","",INDEX('AFA Rates'!$C$5:$C$1004,$T809))))</f>
        <v/>
      </c>
      <c r="E809" s="88">
        <f>IF($T809="","",IF($S809="S",IF(""="","",""),IF(INDEX('AFA Rates'!$D$5:$D$1004,$T809)="","",INDEX('AFA Rates'!$D$5:$D$1004,$T809))))</f>
        <v/>
      </c>
      <c r="F809" s="79">
        <f>IF($T809="","",IF($S809="S",IF(INDEX(Firms!$O$5:$O$1004,$T809)="","",INDEX(Firms!$O$5:$O$1004,$T809)),IF(INDEX('AFA Rates'!$O$5:$O$1004,$T809)="","",INDEX('AFA Rates'!$O$5:$O$1004,$T809))))</f>
        <v/>
      </c>
      <c r="G809" s="50">
        <f>IF($T809="","",IF($S809="S",IF(INDEX(Firms!$F$5:$F$1004,$T809)="","",INDEX(Firms!$F$5:$F$1004,$T809)),IF(INDEX('AFA Rates'!$E$5:$E$1004,$T809)="","",INDEX('AFA Rates'!$E$5:$E$1004,$T809))))</f>
        <v/>
      </c>
      <c r="H809" s="50">
        <f>IF($T809="","",IF($S809="S",IF(INDEX(Firms!$G$5:$G$1004,$T809)="","",INDEX(Firms!$G$5:$G$1004,$T809)),IF(INDEX('AFA Rates'!$F$5:$F$1004,$T809)="","",INDEX('AFA Rates'!$F$5:$F$1004,$T809))))</f>
        <v/>
      </c>
      <c r="I809" s="50">
        <f>IF($T809="","",IF($S809="S",IF(INDEX(Firms!$H$5:$H$1004,$T809)="","",INDEX(Firms!$H$5:$H$1004,$T809)),IF(INDEX('AFA Rates'!$G$5:$G$1004,$T809)="","",INDEX('AFA Rates'!$G$5:$G$1004,$T809))))</f>
        <v/>
      </c>
      <c r="J809" s="50">
        <f>IF($T809="","",IF($S809="S",IF(INDEX(Firms!$I$5:$I$1004,$T809)="","",INDEX(Firms!$I$5:$I$1004,$T809)),IF(INDEX('AFA Rates'!$H$5:$H$1004,$T809)="","",INDEX('AFA Rates'!$H$5:$H$1004,$T809))))</f>
        <v/>
      </c>
      <c r="K809" s="50">
        <f>IF($T809="","",IF($S809="S",IF(INDEX(Firms!$J$5:$J$1004,$T809)="","",INDEX(Firms!$J$5:$J$1004,$T809)),IF(INDEX('AFA Rates'!$I$5:$I$1004,$T809)="","",INDEX('AFA Rates'!$I$5:$I$1004,$T809))))</f>
        <v/>
      </c>
      <c r="L809" s="50">
        <f>IF($T809="","",IF($S809="S",IF(INDEX(Firms!$K$5:$K$1004,$T809)="","",INDEX(Firms!$K$5:$K$1004,$T809)),IF(INDEX('AFA Rates'!$J$5:$J$1004,$T809)="","",INDEX('AFA Rates'!$J$5:$J$1004,$T809))))</f>
        <v/>
      </c>
      <c r="M809" s="50">
        <f>IF($T809="","",IF($S809="S",IF(INDEX(Firms!$L$5:$L$1004,$T809)="","",INDEX(Firms!$L$5:$L$1004,$T809)),IF(INDEX('AFA Rates'!$K$5:$K$1004,$T809)="","",INDEX('AFA Rates'!$K$5:$K$1004,$T809))))</f>
        <v/>
      </c>
      <c r="N809" s="50">
        <f>IF($T809="","",IF($S809="S",IF(INDEX(Firms!$M$5:$M$1004,$T809)="","",INDEX(Firms!$M$5:$M$1004,$T809)),IF(INDEX('AFA Rates'!$L$5:$L$1004,$T809)="","",INDEX('AFA Rates'!$L$5:$L$1004,$T809))))</f>
        <v/>
      </c>
      <c r="O809" s="78">
        <f>IF(OR($T809="",$U809=""),"",IF(INDEX(Firms!$C$5:$C$1004,$U809)="","",INDEX(Firms!$C$5:$C$1004,$U809)))</f>
        <v/>
      </c>
      <c r="P809" s="79">
        <f>IF(OR($T809="",$U809=""),"",IF(INDEX(Firms!$N$5:$N$1004,$U809)="","",INDEX(Firms!$N$5:$N$1004,$U809)))</f>
        <v/>
      </c>
      <c r="Q809" s="78">
        <f>IF($T809="","",IF($S809="S",IF(INDEX(Firms!$T$5:$T$1004,$T809)="","",INDEX(Firms!$T$5:$T$1004,$T809)),IF(INDEX('AFA Rates'!$M$5:$M$1004,$T809)="","",INDEX('AFA Rates'!$M$5:$M$1004,$T809))))</f>
        <v/>
      </c>
      <c r="S809">
        <f>IF(805&lt;=$S$2,"S",IF(805&lt;=$S$2+$T$2,"A",""))</f>
        <v/>
      </c>
      <c r="T809">
        <f>IF(S809="S",MATCH(805,Firms!$W$5:$W$1004,0),IF(S809="A",IFERROR(MATCH(805-$S$2,'AFA Rates'!$R$5:$R$1004,0),""),""))</f>
        <v/>
      </c>
      <c r="U809">
        <f>IF(S809="S",T809,IF(AND(S809="A",T809&lt;&gt;""),IFERROR(MATCH(INDEX('AFA Rates'!$A$5:$A$1004,T809),Firms!$A$5:$A$1004,0),""),""))</f>
        <v/>
      </c>
    </row>
    <row r="810">
      <c r="A810" s="78">
        <f>IF($T810="","",IF($S810="S",IF(INDEX(Firms!$A$5:$A$1004,$T810)="","",INDEX(Firms!$A$5:$A$1004,$T810)),IF(INDEX('AFA Rates'!$A$5:$A$1004,$T810)="","",INDEX('AFA Rates'!$A$5:$A$1004,$T810))))</f>
        <v/>
      </c>
      <c r="B810" s="79">
        <f>IF(OR($T810="",$U810=""),IF($T810="","","Not on Firms tab"),INDEX(Firms!$B$5:$B$1004,$U810)&amp;"")</f>
        <v/>
      </c>
      <c r="C810" s="78">
        <f>IF($T810="","",IF($S810="S","Standard",INDEX('AFA Rates'!$B$5:$B$1004,$T810)&amp;""))</f>
        <v/>
      </c>
      <c r="D810" s="88">
        <f>IF($T810="","",IF($S810="S",IF(INDEX(Firms!$E$5:$E$1004,$T810)="","",INDEX(Firms!$E$5:$E$1004,$T810)),IF(INDEX('AFA Rates'!$C$5:$C$1004,$T810)="","",INDEX('AFA Rates'!$C$5:$C$1004,$T810))))</f>
        <v/>
      </c>
      <c r="E810" s="88">
        <f>IF($T810="","",IF($S810="S",IF(""="","",""),IF(INDEX('AFA Rates'!$D$5:$D$1004,$T810)="","",INDEX('AFA Rates'!$D$5:$D$1004,$T810))))</f>
        <v/>
      </c>
      <c r="F810" s="79">
        <f>IF($T810="","",IF($S810="S",IF(INDEX(Firms!$O$5:$O$1004,$T810)="","",INDEX(Firms!$O$5:$O$1004,$T810)),IF(INDEX('AFA Rates'!$O$5:$O$1004,$T810)="","",INDEX('AFA Rates'!$O$5:$O$1004,$T810))))</f>
        <v/>
      </c>
      <c r="G810" s="50">
        <f>IF($T810="","",IF($S810="S",IF(INDEX(Firms!$F$5:$F$1004,$T810)="","",INDEX(Firms!$F$5:$F$1004,$T810)),IF(INDEX('AFA Rates'!$E$5:$E$1004,$T810)="","",INDEX('AFA Rates'!$E$5:$E$1004,$T810))))</f>
        <v/>
      </c>
      <c r="H810" s="50">
        <f>IF($T810="","",IF($S810="S",IF(INDEX(Firms!$G$5:$G$1004,$T810)="","",INDEX(Firms!$G$5:$G$1004,$T810)),IF(INDEX('AFA Rates'!$F$5:$F$1004,$T810)="","",INDEX('AFA Rates'!$F$5:$F$1004,$T810))))</f>
        <v/>
      </c>
      <c r="I810" s="50">
        <f>IF($T810="","",IF($S810="S",IF(INDEX(Firms!$H$5:$H$1004,$T810)="","",INDEX(Firms!$H$5:$H$1004,$T810)),IF(INDEX('AFA Rates'!$G$5:$G$1004,$T810)="","",INDEX('AFA Rates'!$G$5:$G$1004,$T810))))</f>
        <v/>
      </c>
      <c r="J810" s="50">
        <f>IF($T810="","",IF($S810="S",IF(INDEX(Firms!$I$5:$I$1004,$T810)="","",INDEX(Firms!$I$5:$I$1004,$T810)),IF(INDEX('AFA Rates'!$H$5:$H$1004,$T810)="","",INDEX('AFA Rates'!$H$5:$H$1004,$T810))))</f>
        <v/>
      </c>
      <c r="K810" s="50">
        <f>IF($T810="","",IF($S810="S",IF(INDEX(Firms!$J$5:$J$1004,$T810)="","",INDEX(Firms!$J$5:$J$1004,$T810)),IF(INDEX('AFA Rates'!$I$5:$I$1004,$T810)="","",INDEX('AFA Rates'!$I$5:$I$1004,$T810))))</f>
        <v/>
      </c>
      <c r="L810" s="50">
        <f>IF($T810="","",IF($S810="S",IF(INDEX(Firms!$K$5:$K$1004,$T810)="","",INDEX(Firms!$K$5:$K$1004,$T810)),IF(INDEX('AFA Rates'!$J$5:$J$1004,$T810)="","",INDEX('AFA Rates'!$J$5:$J$1004,$T810))))</f>
        <v/>
      </c>
      <c r="M810" s="50">
        <f>IF($T810="","",IF($S810="S",IF(INDEX(Firms!$L$5:$L$1004,$T810)="","",INDEX(Firms!$L$5:$L$1004,$T810)),IF(INDEX('AFA Rates'!$K$5:$K$1004,$T810)="","",INDEX('AFA Rates'!$K$5:$K$1004,$T810))))</f>
        <v/>
      </c>
      <c r="N810" s="50">
        <f>IF($T810="","",IF($S810="S",IF(INDEX(Firms!$M$5:$M$1004,$T810)="","",INDEX(Firms!$M$5:$M$1004,$T810)),IF(INDEX('AFA Rates'!$L$5:$L$1004,$T810)="","",INDEX('AFA Rates'!$L$5:$L$1004,$T810))))</f>
        <v/>
      </c>
      <c r="O810" s="78">
        <f>IF(OR($T810="",$U810=""),"",IF(INDEX(Firms!$C$5:$C$1004,$U810)="","",INDEX(Firms!$C$5:$C$1004,$U810)))</f>
        <v/>
      </c>
      <c r="P810" s="79">
        <f>IF(OR($T810="",$U810=""),"",IF(INDEX(Firms!$N$5:$N$1004,$U810)="","",INDEX(Firms!$N$5:$N$1004,$U810)))</f>
        <v/>
      </c>
      <c r="Q810" s="78">
        <f>IF($T810="","",IF($S810="S",IF(INDEX(Firms!$T$5:$T$1004,$T810)="","",INDEX(Firms!$T$5:$T$1004,$T810)),IF(INDEX('AFA Rates'!$M$5:$M$1004,$T810)="","",INDEX('AFA Rates'!$M$5:$M$1004,$T810))))</f>
        <v/>
      </c>
      <c r="S810">
        <f>IF(806&lt;=$S$2,"S",IF(806&lt;=$S$2+$T$2,"A",""))</f>
        <v/>
      </c>
      <c r="T810">
        <f>IF(S810="S",MATCH(806,Firms!$W$5:$W$1004,0),IF(S810="A",IFERROR(MATCH(806-$S$2,'AFA Rates'!$R$5:$R$1004,0),""),""))</f>
        <v/>
      </c>
      <c r="U810">
        <f>IF(S810="S",T810,IF(AND(S810="A",T810&lt;&gt;""),IFERROR(MATCH(INDEX('AFA Rates'!$A$5:$A$1004,T810),Firms!$A$5:$A$1004,0),""),""))</f>
        <v/>
      </c>
    </row>
    <row r="811">
      <c r="A811" s="78">
        <f>IF($T811="","",IF($S811="S",IF(INDEX(Firms!$A$5:$A$1004,$T811)="","",INDEX(Firms!$A$5:$A$1004,$T811)),IF(INDEX('AFA Rates'!$A$5:$A$1004,$T811)="","",INDEX('AFA Rates'!$A$5:$A$1004,$T811))))</f>
        <v/>
      </c>
      <c r="B811" s="79">
        <f>IF(OR($T811="",$U811=""),IF($T811="","","Not on Firms tab"),INDEX(Firms!$B$5:$B$1004,$U811)&amp;"")</f>
        <v/>
      </c>
      <c r="C811" s="78">
        <f>IF($T811="","",IF($S811="S","Standard",INDEX('AFA Rates'!$B$5:$B$1004,$T811)&amp;""))</f>
        <v/>
      </c>
      <c r="D811" s="88">
        <f>IF($T811="","",IF($S811="S",IF(INDEX(Firms!$E$5:$E$1004,$T811)="","",INDEX(Firms!$E$5:$E$1004,$T811)),IF(INDEX('AFA Rates'!$C$5:$C$1004,$T811)="","",INDEX('AFA Rates'!$C$5:$C$1004,$T811))))</f>
        <v/>
      </c>
      <c r="E811" s="88">
        <f>IF($T811="","",IF($S811="S",IF(""="","",""),IF(INDEX('AFA Rates'!$D$5:$D$1004,$T811)="","",INDEX('AFA Rates'!$D$5:$D$1004,$T811))))</f>
        <v/>
      </c>
      <c r="F811" s="79">
        <f>IF($T811="","",IF($S811="S",IF(INDEX(Firms!$O$5:$O$1004,$T811)="","",INDEX(Firms!$O$5:$O$1004,$T811)),IF(INDEX('AFA Rates'!$O$5:$O$1004,$T811)="","",INDEX('AFA Rates'!$O$5:$O$1004,$T811))))</f>
        <v/>
      </c>
      <c r="G811" s="50">
        <f>IF($T811="","",IF($S811="S",IF(INDEX(Firms!$F$5:$F$1004,$T811)="","",INDEX(Firms!$F$5:$F$1004,$T811)),IF(INDEX('AFA Rates'!$E$5:$E$1004,$T811)="","",INDEX('AFA Rates'!$E$5:$E$1004,$T811))))</f>
        <v/>
      </c>
      <c r="H811" s="50">
        <f>IF($T811="","",IF($S811="S",IF(INDEX(Firms!$G$5:$G$1004,$T811)="","",INDEX(Firms!$G$5:$G$1004,$T811)),IF(INDEX('AFA Rates'!$F$5:$F$1004,$T811)="","",INDEX('AFA Rates'!$F$5:$F$1004,$T811))))</f>
        <v/>
      </c>
      <c r="I811" s="50">
        <f>IF($T811="","",IF($S811="S",IF(INDEX(Firms!$H$5:$H$1004,$T811)="","",INDEX(Firms!$H$5:$H$1004,$T811)),IF(INDEX('AFA Rates'!$G$5:$G$1004,$T811)="","",INDEX('AFA Rates'!$G$5:$G$1004,$T811))))</f>
        <v/>
      </c>
      <c r="J811" s="50">
        <f>IF($T811="","",IF($S811="S",IF(INDEX(Firms!$I$5:$I$1004,$T811)="","",INDEX(Firms!$I$5:$I$1004,$T811)),IF(INDEX('AFA Rates'!$H$5:$H$1004,$T811)="","",INDEX('AFA Rates'!$H$5:$H$1004,$T811))))</f>
        <v/>
      </c>
      <c r="K811" s="50">
        <f>IF($T811="","",IF($S811="S",IF(INDEX(Firms!$J$5:$J$1004,$T811)="","",INDEX(Firms!$J$5:$J$1004,$T811)),IF(INDEX('AFA Rates'!$I$5:$I$1004,$T811)="","",INDEX('AFA Rates'!$I$5:$I$1004,$T811))))</f>
        <v/>
      </c>
      <c r="L811" s="50">
        <f>IF($T811="","",IF($S811="S",IF(INDEX(Firms!$K$5:$K$1004,$T811)="","",INDEX(Firms!$K$5:$K$1004,$T811)),IF(INDEX('AFA Rates'!$J$5:$J$1004,$T811)="","",INDEX('AFA Rates'!$J$5:$J$1004,$T811))))</f>
        <v/>
      </c>
      <c r="M811" s="50">
        <f>IF($T811="","",IF($S811="S",IF(INDEX(Firms!$L$5:$L$1004,$T811)="","",INDEX(Firms!$L$5:$L$1004,$T811)),IF(INDEX('AFA Rates'!$K$5:$K$1004,$T811)="","",INDEX('AFA Rates'!$K$5:$K$1004,$T811))))</f>
        <v/>
      </c>
      <c r="N811" s="50">
        <f>IF($T811="","",IF($S811="S",IF(INDEX(Firms!$M$5:$M$1004,$T811)="","",INDEX(Firms!$M$5:$M$1004,$T811)),IF(INDEX('AFA Rates'!$L$5:$L$1004,$T811)="","",INDEX('AFA Rates'!$L$5:$L$1004,$T811))))</f>
        <v/>
      </c>
      <c r="O811" s="78">
        <f>IF(OR($T811="",$U811=""),"",IF(INDEX(Firms!$C$5:$C$1004,$U811)="","",INDEX(Firms!$C$5:$C$1004,$U811)))</f>
        <v/>
      </c>
      <c r="P811" s="79">
        <f>IF(OR($T811="",$U811=""),"",IF(INDEX(Firms!$N$5:$N$1004,$U811)="","",INDEX(Firms!$N$5:$N$1004,$U811)))</f>
        <v/>
      </c>
      <c r="Q811" s="78">
        <f>IF($T811="","",IF($S811="S",IF(INDEX(Firms!$T$5:$T$1004,$T811)="","",INDEX(Firms!$T$5:$T$1004,$T811)),IF(INDEX('AFA Rates'!$M$5:$M$1004,$T811)="","",INDEX('AFA Rates'!$M$5:$M$1004,$T811))))</f>
        <v/>
      </c>
      <c r="S811">
        <f>IF(807&lt;=$S$2,"S",IF(807&lt;=$S$2+$T$2,"A",""))</f>
        <v/>
      </c>
      <c r="T811">
        <f>IF(S811="S",MATCH(807,Firms!$W$5:$W$1004,0),IF(S811="A",IFERROR(MATCH(807-$S$2,'AFA Rates'!$R$5:$R$1004,0),""),""))</f>
        <v/>
      </c>
      <c r="U811">
        <f>IF(S811="S",T811,IF(AND(S811="A",T811&lt;&gt;""),IFERROR(MATCH(INDEX('AFA Rates'!$A$5:$A$1004,T811),Firms!$A$5:$A$1004,0),""),""))</f>
        <v/>
      </c>
    </row>
    <row r="812">
      <c r="A812" s="78">
        <f>IF($T812="","",IF($S812="S",IF(INDEX(Firms!$A$5:$A$1004,$T812)="","",INDEX(Firms!$A$5:$A$1004,$T812)),IF(INDEX('AFA Rates'!$A$5:$A$1004,$T812)="","",INDEX('AFA Rates'!$A$5:$A$1004,$T812))))</f>
        <v/>
      </c>
      <c r="B812" s="79">
        <f>IF(OR($T812="",$U812=""),IF($T812="","","Not on Firms tab"),INDEX(Firms!$B$5:$B$1004,$U812)&amp;"")</f>
        <v/>
      </c>
      <c r="C812" s="78">
        <f>IF($T812="","",IF($S812="S","Standard",INDEX('AFA Rates'!$B$5:$B$1004,$T812)&amp;""))</f>
        <v/>
      </c>
      <c r="D812" s="88">
        <f>IF($T812="","",IF($S812="S",IF(INDEX(Firms!$E$5:$E$1004,$T812)="","",INDEX(Firms!$E$5:$E$1004,$T812)),IF(INDEX('AFA Rates'!$C$5:$C$1004,$T812)="","",INDEX('AFA Rates'!$C$5:$C$1004,$T812))))</f>
        <v/>
      </c>
      <c r="E812" s="88">
        <f>IF($T812="","",IF($S812="S",IF(""="","",""),IF(INDEX('AFA Rates'!$D$5:$D$1004,$T812)="","",INDEX('AFA Rates'!$D$5:$D$1004,$T812))))</f>
        <v/>
      </c>
      <c r="F812" s="79">
        <f>IF($T812="","",IF($S812="S",IF(INDEX(Firms!$O$5:$O$1004,$T812)="","",INDEX(Firms!$O$5:$O$1004,$T812)),IF(INDEX('AFA Rates'!$O$5:$O$1004,$T812)="","",INDEX('AFA Rates'!$O$5:$O$1004,$T812))))</f>
        <v/>
      </c>
      <c r="G812" s="50">
        <f>IF($T812="","",IF($S812="S",IF(INDEX(Firms!$F$5:$F$1004,$T812)="","",INDEX(Firms!$F$5:$F$1004,$T812)),IF(INDEX('AFA Rates'!$E$5:$E$1004,$T812)="","",INDEX('AFA Rates'!$E$5:$E$1004,$T812))))</f>
        <v/>
      </c>
      <c r="H812" s="50">
        <f>IF($T812="","",IF($S812="S",IF(INDEX(Firms!$G$5:$G$1004,$T812)="","",INDEX(Firms!$G$5:$G$1004,$T812)),IF(INDEX('AFA Rates'!$F$5:$F$1004,$T812)="","",INDEX('AFA Rates'!$F$5:$F$1004,$T812))))</f>
        <v/>
      </c>
      <c r="I812" s="50">
        <f>IF($T812="","",IF($S812="S",IF(INDEX(Firms!$H$5:$H$1004,$T812)="","",INDEX(Firms!$H$5:$H$1004,$T812)),IF(INDEX('AFA Rates'!$G$5:$G$1004,$T812)="","",INDEX('AFA Rates'!$G$5:$G$1004,$T812))))</f>
        <v/>
      </c>
      <c r="J812" s="50">
        <f>IF($T812="","",IF($S812="S",IF(INDEX(Firms!$I$5:$I$1004,$T812)="","",INDEX(Firms!$I$5:$I$1004,$T812)),IF(INDEX('AFA Rates'!$H$5:$H$1004,$T812)="","",INDEX('AFA Rates'!$H$5:$H$1004,$T812))))</f>
        <v/>
      </c>
      <c r="K812" s="50">
        <f>IF($T812="","",IF($S812="S",IF(INDEX(Firms!$J$5:$J$1004,$T812)="","",INDEX(Firms!$J$5:$J$1004,$T812)),IF(INDEX('AFA Rates'!$I$5:$I$1004,$T812)="","",INDEX('AFA Rates'!$I$5:$I$1004,$T812))))</f>
        <v/>
      </c>
      <c r="L812" s="50">
        <f>IF($T812="","",IF($S812="S",IF(INDEX(Firms!$K$5:$K$1004,$T812)="","",INDEX(Firms!$K$5:$K$1004,$T812)),IF(INDEX('AFA Rates'!$J$5:$J$1004,$T812)="","",INDEX('AFA Rates'!$J$5:$J$1004,$T812))))</f>
        <v/>
      </c>
      <c r="M812" s="50">
        <f>IF($T812="","",IF($S812="S",IF(INDEX(Firms!$L$5:$L$1004,$T812)="","",INDEX(Firms!$L$5:$L$1004,$T812)),IF(INDEX('AFA Rates'!$K$5:$K$1004,$T812)="","",INDEX('AFA Rates'!$K$5:$K$1004,$T812))))</f>
        <v/>
      </c>
      <c r="N812" s="50">
        <f>IF($T812="","",IF($S812="S",IF(INDEX(Firms!$M$5:$M$1004,$T812)="","",INDEX(Firms!$M$5:$M$1004,$T812)),IF(INDEX('AFA Rates'!$L$5:$L$1004,$T812)="","",INDEX('AFA Rates'!$L$5:$L$1004,$T812))))</f>
        <v/>
      </c>
      <c r="O812" s="78">
        <f>IF(OR($T812="",$U812=""),"",IF(INDEX(Firms!$C$5:$C$1004,$U812)="","",INDEX(Firms!$C$5:$C$1004,$U812)))</f>
        <v/>
      </c>
      <c r="P812" s="79">
        <f>IF(OR($T812="",$U812=""),"",IF(INDEX(Firms!$N$5:$N$1004,$U812)="","",INDEX(Firms!$N$5:$N$1004,$U812)))</f>
        <v/>
      </c>
      <c r="Q812" s="78">
        <f>IF($T812="","",IF($S812="S",IF(INDEX(Firms!$T$5:$T$1004,$T812)="","",INDEX(Firms!$T$5:$T$1004,$T812)),IF(INDEX('AFA Rates'!$M$5:$M$1004,$T812)="","",INDEX('AFA Rates'!$M$5:$M$1004,$T812))))</f>
        <v/>
      </c>
      <c r="S812">
        <f>IF(808&lt;=$S$2,"S",IF(808&lt;=$S$2+$T$2,"A",""))</f>
        <v/>
      </c>
      <c r="T812">
        <f>IF(S812="S",MATCH(808,Firms!$W$5:$W$1004,0),IF(S812="A",IFERROR(MATCH(808-$S$2,'AFA Rates'!$R$5:$R$1004,0),""),""))</f>
        <v/>
      </c>
      <c r="U812">
        <f>IF(S812="S",T812,IF(AND(S812="A",T812&lt;&gt;""),IFERROR(MATCH(INDEX('AFA Rates'!$A$5:$A$1004,T812),Firms!$A$5:$A$1004,0),""),""))</f>
        <v/>
      </c>
    </row>
    <row r="813">
      <c r="A813" s="78">
        <f>IF($T813="","",IF($S813="S",IF(INDEX(Firms!$A$5:$A$1004,$T813)="","",INDEX(Firms!$A$5:$A$1004,$T813)),IF(INDEX('AFA Rates'!$A$5:$A$1004,$T813)="","",INDEX('AFA Rates'!$A$5:$A$1004,$T813))))</f>
        <v/>
      </c>
      <c r="B813" s="79">
        <f>IF(OR($T813="",$U813=""),IF($T813="","","Not on Firms tab"),INDEX(Firms!$B$5:$B$1004,$U813)&amp;"")</f>
        <v/>
      </c>
      <c r="C813" s="78">
        <f>IF($T813="","",IF($S813="S","Standard",INDEX('AFA Rates'!$B$5:$B$1004,$T813)&amp;""))</f>
        <v/>
      </c>
      <c r="D813" s="88">
        <f>IF($T813="","",IF($S813="S",IF(INDEX(Firms!$E$5:$E$1004,$T813)="","",INDEX(Firms!$E$5:$E$1004,$T813)),IF(INDEX('AFA Rates'!$C$5:$C$1004,$T813)="","",INDEX('AFA Rates'!$C$5:$C$1004,$T813))))</f>
        <v/>
      </c>
      <c r="E813" s="88">
        <f>IF($T813="","",IF($S813="S",IF(""="","",""),IF(INDEX('AFA Rates'!$D$5:$D$1004,$T813)="","",INDEX('AFA Rates'!$D$5:$D$1004,$T813))))</f>
        <v/>
      </c>
      <c r="F813" s="79">
        <f>IF($T813="","",IF($S813="S",IF(INDEX(Firms!$O$5:$O$1004,$T813)="","",INDEX(Firms!$O$5:$O$1004,$T813)),IF(INDEX('AFA Rates'!$O$5:$O$1004,$T813)="","",INDEX('AFA Rates'!$O$5:$O$1004,$T813))))</f>
        <v/>
      </c>
      <c r="G813" s="50">
        <f>IF($T813="","",IF($S813="S",IF(INDEX(Firms!$F$5:$F$1004,$T813)="","",INDEX(Firms!$F$5:$F$1004,$T813)),IF(INDEX('AFA Rates'!$E$5:$E$1004,$T813)="","",INDEX('AFA Rates'!$E$5:$E$1004,$T813))))</f>
        <v/>
      </c>
      <c r="H813" s="50">
        <f>IF($T813="","",IF($S813="S",IF(INDEX(Firms!$G$5:$G$1004,$T813)="","",INDEX(Firms!$G$5:$G$1004,$T813)),IF(INDEX('AFA Rates'!$F$5:$F$1004,$T813)="","",INDEX('AFA Rates'!$F$5:$F$1004,$T813))))</f>
        <v/>
      </c>
      <c r="I813" s="50">
        <f>IF($T813="","",IF($S813="S",IF(INDEX(Firms!$H$5:$H$1004,$T813)="","",INDEX(Firms!$H$5:$H$1004,$T813)),IF(INDEX('AFA Rates'!$G$5:$G$1004,$T813)="","",INDEX('AFA Rates'!$G$5:$G$1004,$T813))))</f>
        <v/>
      </c>
      <c r="J813" s="50">
        <f>IF($T813="","",IF($S813="S",IF(INDEX(Firms!$I$5:$I$1004,$T813)="","",INDEX(Firms!$I$5:$I$1004,$T813)),IF(INDEX('AFA Rates'!$H$5:$H$1004,$T813)="","",INDEX('AFA Rates'!$H$5:$H$1004,$T813))))</f>
        <v/>
      </c>
      <c r="K813" s="50">
        <f>IF($T813="","",IF($S813="S",IF(INDEX(Firms!$J$5:$J$1004,$T813)="","",INDEX(Firms!$J$5:$J$1004,$T813)),IF(INDEX('AFA Rates'!$I$5:$I$1004,$T813)="","",INDEX('AFA Rates'!$I$5:$I$1004,$T813))))</f>
        <v/>
      </c>
      <c r="L813" s="50">
        <f>IF($T813="","",IF($S813="S",IF(INDEX(Firms!$K$5:$K$1004,$T813)="","",INDEX(Firms!$K$5:$K$1004,$T813)),IF(INDEX('AFA Rates'!$J$5:$J$1004,$T813)="","",INDEX('AFA Rates'!$J$5:$J$1004,$T813))))</f>
        <v/>
      </c>
      <c r="M813" s="50">
        <f>IF($T813="","",IF($S813="S",IF(INDEX(Firms!$L$5:$L$1004,$T813)="","",INDEX(Firms!$L$5:$L$1004,$T813)),IF(INDEX('AFA Rates'!$K$5:$K$1004,$T813)="","",INDEX('AFA Rates'!$K$5:$K$1004,$T813))))</f>
        <v/>
      </c>
      <c r="N813" s="50">
        <f>IF($T813="","",IF($S813="S",IF(INDEX(Firms!$M$5:$M$1004,$T813)="","",INDEX(Firms!$M$5:$M$1004,$T813)),IF(INDEX('AFA Rates'!$L$5:$L$1004,$T813)="","",INDEX('AFA Rates'!$L$5:$L$1004,$T813))))</f>
        <v/>
      </c>
      <c r="O813" s="78">
        <f>IF(OR($T813="",$U813=""),"",IF(INDEX(Firms!$C$5:$C$1004,$U813)="","",INDEX(Firms!$C$5:$C$1004,$U813)))</f>
        <v/>
      </c>
      <c r="P813" s="79">
        <f>IF(OR($T813="",$U813=""),"",IF(INDEX(Firms!$N$5:$N$1004,$U813)="","",INDEX(Firms!$N$5:$N$1004,$U813)))</f>
        <v/>
      </c>
      <c r="Q813" s="78">
        <f>IF($T813="","",IF($S813="S",IF(INDEX(Firms!$T$5:$T$1004,$T813)="","",INDEX(Firms!$T$5:$T$1004,$T813)),IF(INDEX('AFA Rates'!$M$5:$M$1004,$T813)="","",INDEX('AFA Rates'!$M$5:$M$1004,$T813))))</f>
        <v/>
      </c>
      <c r="S813">
        <f>IF(809&lt;=$S$2,"S",IF(809&lt;=$S$2+$T$2,"A",""))</f>
        <v/>
      </c>
      <c r="T813">
        <f>IF(S813="S",MATCH(809,Firms!$W$5:$W$1004,0),IF(S813="A",IFERROR(MATCH(809-$S$2,'AFA Rates'!$R$5:$R$1004,0),""),""))</f>
        <v/>
      </c>
      <c r="U813">
        <f>IF(S813="S",T813,IF(AND(S813="A",T813&lt;&gt;""),IFERROR(MATCH(INDEX('AFA Rates'!$A$5:$A$1004,T813),Firms!$A$5:$A$1004,0),""),""))</f>
        <v/>
      </c>
    </row>
    <row r="814">
      <c r="A814" s="78">
        <f>IF($T814="","",IF($S814="S",IF(INDEX(Firms!$A$5:$A$1004,$T814)="","",INDEX(Firms!$A$5:$A$1004,$T814)),IF(INDEX('AFA Rates'!$A$5:$A$1004,$T814)="","",INDEX('AFA Rates'!$A$5:$A$1004,$T814))))</f>
        <v/>
      </c>
      <c r="B814" s="79">
        <f>IF(OR($T814="",$U814=""),IF($T814="","","Not on Firms tab"),INDEX(Firms!$B$5:$B$1004,$U814)&amp;"")</f>
        <v/>
      </c>
      <c r="C814" s="78">
        <f>IF($T814="","",IF($S814="S","Standard",INDEX('AFA Rates'!$B$5:$B$1004,$T814)&amp;""))</f>
        <v/>
      </c>
      <c r="D814" s="88">
        <f>IF($T814="","",IF($S814="S",IF(INDEX(Firms!$E$5:$E$1004,$T814)="","",INDEX(Firms!$E$5:$E$1004,$T814)),IF(INDEX('AFA Rates'!$C$5:$C$1004,$T814)="","",INDEX('AFA Rates'!$C$5:$C$1004,$T814))))</f>
        <v/>
      </c>
      <c r="E814" s="88">
        <f>IF($T814="","",IF($S814="S",IF(""="","",""),IF(INDEX('AFA Rates'!$D$5:$D$1004,$T814)="","",INDEX('AFA Rates'!$D$5:$D$1004,$T814))))</f>
        <v/>
      </c>
      <c r="F814" s="79">
        <f>IF($T814="","",IF($S814="S",IF(INDEX(Firms!$O$5:$O$1004,$T814)="","",INDEX(Firms!$O$5:$O$1004,$T814)),IF(INDEX('AFA Rates'!$O$5:$O$1004,$T814)="","",INDEX('AFA Rates'!$O$5:$O$1004,$T814))))</f>
        <v/>
      </c>
      <c r="G814" s="50">
        <f>IF($T814="","",IF($S814="S",IF(INDEX(Firms!$F$5:$F$1004,$T814)="","",INDEX(Firms!$F$5:$F$1004,$T814)),IF(INDEX('AFA Rates'!$E$5:$E$1004,$T814)="","",INDEX('AFA Rates'!$E$5:$E$1004,$T814))))</f>
        <v/>
      </c>
      <c r="H814" s="50">
        <f>IF($T814="","",IF($S814="S",IF(INDEX(Firms!$G$5:$G$1004,$T814)="","",INDEX(Firms!$G$5:$G$1004,$T814)),IF(INDEX('AFA Rates'!$F$5:$F$1004,$T814)="","",INDEX('AFA Rates'!$F$5:$F$1004,$T814))))</f>
        <v/>
      </c>
      <c r="I814" s="50">
        <f>IF($T814="","",IF($S814="S",IF(INDEX(Firms!$H$5:$H$1004,$T814)="","",INDEX(Firms!$H$5:$H$1004,$T814)),IF(INDEX('AFA Rates'!$G$5:$G$1004,$T814)="","",INDEX('AFA Rates'!$G$5:$G$1004,$T814))))</f>
        <v/>
      </c>
      <c r="J814" s="50">
        <f>IF($T814="","",IF($S814="S",IF(INDEX(Firms!$I$5:$I$1004,$T814)="","",INDEX(Firms!$I$5:$I$1004,$T814)),IF(INDEX('AFA Rates'!$H$5:$H$1004,$T814)="","",INDEX('AFA Rates'!$H$5:$H$1004,$T814))))</f>
        <v/>
      </c>
      <c r="K814" s="50">
        <f>IF($T814="","",IF($S814="S",IF(INDEX(Firms!$J$5:$J$1004,$T814)="","",INDEX(Firms!$J$5:$J$1004,$T814)),IF(INDEX('AFA Rates'!$I$5:$I$1004,$T814)="","",INDEX('AFA Rates'!$I$5:$I$1004,$T814))))</f>
        <v/>
      </c>
      <c r="L814" s="50">
        <f>IF($T814="","",IF($S814="S",IF(INDEX(Firms!$K$5:$K$1004,$T814)="","",INDEX(Firms!$K$5:$K$1004,$T814)),IF(INDEX('AFA Rates'!$J$5:$J$1004,$T814)="","",INDEX('AFA Rates'!$J$5:$J$1004,$T814))))</f>
        <v/>
      </c>
      <c r="M814" s="50">
        <f>IF($T814="","",IF($S814="S",IF(INDEX(Firms!$L$5:$L$1004,$T814)="","",INDEX(Firms!$L$5:$L$1004,$T814)),IF(INDEX('AFA Rates'!$K$5:$K$1004,$T814)="","",INDEX('AFA Rates'!$K$5:$K$1004,$T814))))</f>
        <v/>
      </c>
      <c r="N814" s="50">
        <f>IF($T814="","",IF($S814="S",IF(INDEX(Firms!$M$5:$M$1004,$T814)="","",INDEX(Firms!$M$5:$M$1004,$T814)),IF(INDEX('AFA Rates'!$L$5:$L$1004,$T814)="","",INDEX('AFA Rates'!$L$5:$L$1004,$T814))))</f>
        <v/>
      </c>
      <c r="O814" s="78">
        <f>IF(OR($T814="",$U814=""),"",IF(INDEX(Firms!$C$5:$C$1004,$U814)="","",INDEX(Firms!$C$5:$C$1004,$U814)))</f>
        <v/>
      </c>
      <c r="P814" s="79">
        <f>IF(OR($T814="",$U814=""),"",IF(INDEX(Firms!$N$5:$N$1004,$U814)="","",INDEX(Firms!$N$5:$N$1004,$U814)))</f>
        <v/>
      </c>
      <c r="Q814" s="78">
        <f>IF($T814="","",IF($S814="S",IF(INDEX(Firms!$T$5:$T$1004,$T814)="","",INDEX(Firms!$T$5:$T$1004,$T814)),IF(INDEX('AFA Rates'!$M$5:$M$1004,$T814)="","",INDEX('AFA Rates'!$M$5:$M$1004,$T814))))</f>
        <v/>
      </c>
      <c r="S814">
        <f>IF(810&lt;=$S$2,"S",IF(810&lt;=$S$2+$T$2,"A",""))</f>
        <v/>
      </c>
      <c r="T814">
        <f>IF(S814="S",MATCH(810,Firms!$W$5:$W$1004,0),IF(S814="A",IFERROR(MATCH(810-$S$2,'AFA Rates'!$R$5:$R$1004,0),""),""))</f>
        <v/>
      </c>
      <c r="U814">
        <f>IF(S814="S",T814,IF(AND(S814="A",T814&lt;&gt;""),IFERROR(MATCH(INDEX('AFA Rates'!$A$5:$A$1004,T814),Firms!$A$5:$A$1004,0),""),""))</f>
        <v/>
      </c>
    </row>
    <row r="815">
      <c r="A815" s="78">
        <f>IF($T815="","",IF($S815="S",IF(INDEX(Firms!$A$5:$A$1004,$T815)="","",INDEX(Firms!$A$5:$A$1004,$T815)),IF(INDEX('AFA Rates'!$A$5:$A$1004,$T815)="","",INDEX('AFA Rates'!$A$5:$A$1004,$T815))))</f>
        <v/>
      </c>
      <c r="B815" s="79">
        <f>IF(OR($T815="",$U815=""),IF($T815="","","Not on Firms tab"),INDEX(Firms!$B$5:$B$1004,$U815)&amp;"")</f>
        <v/>
      </c>
      <c r="C815" s="78">
        <f>IF($T815="","",IF($S815="S","Standard",INDEX('AFA Rates'!$B$5:$B$1004,$T815)&amp;""))</f>
        <v/>
      </c>
      <c r="D815" s="88">
        <f>IF($T815="","",IF($S815="S",IF(INDEX(Firms!$E$5:$E$1004,$T815)="","",INDEX(Firms!$E$5:$E$1004,$T815)),IF(INDEX('AFA Rates'!$C$5:$C$1004,$T815)="","",INDEX('AFA Rates'!$C$5:$C$1004,$T815))))</f>
        <v/>
      </c>
      <c r="E815" s="88">
        <f>IF($T815="","",IF($S815="S",IF(""="","",""),IF(INDEX('AFA Rates'!$D$5:$D$1004,$T815)="","",INDEX('AFA Rates'!$D$5:$D$1004,$T815))))</f>
        <v/>
      </c>
      <c r="F815" s="79">
        <f>IF($T815="","",IF($S815="S",IF(INDEX(Firms!$O$5:$O$1004,$T815)="","",INDEX(Firms!$O$5:$O$1004,$T815)),IF(INDEX('AFA Rates'!$O$5:$O$1004,$T815)="","",INDEX('AFA Rates'!$O$5:$O$1004,$T815))))</f>
        <v/>
      </c>
      <c r="G815" s="50">
        <f>IF($T815="","",IF($S815="S",IF(INDEX(Firms!$F$5:$F$1004,$T815)="","",INDEX(Firms!$F$5:$F$1004,$T815)),IF(INDEX('AFA Rates'!$E$5:$E$1004,$T815)="","",INDEX('AFA Rates'!$E$5:$E$1004,$T815))))</f>
        <v/>
      </c>
      <c r="H815" s="50">
        <f>IF($T815="","",IF($S815="S",IF(INDEX(Firms!$G$5:$G$1004,$T815)="","",INDEX(Firms!$G$5:$G$1004,$T815)),IF(INDEX('AFA Rates'!$F$5:$F$1004,$T815)="","",INDEX('AFA Rates'!$F$5:$F$1004,$T815))))</f>
        <v/>
      </c>
      <c r="I815" s="50">
        <f>IF($T815="","",IF($S815="S",IF(INDEX(Firms!$H$5:$H$1004,$T815)="","",INDEX(Firms!$H$5:$H$1004,$T815)),IF(INDEX('AFA Rates'!$G$5:$G$1004,$T815)="","",INDEX('AFA Rates'!$G$5:$G$1004,$T815))))</f>
        <v/>
      </c>
      <c r="J815" s="50">
        <f>IF($T815="","",IF($S815="S",IF(INDEX(Firms!$I$5:$I$1004,$T815)="","",INDEX(Firms!$I$5:$I$1004,$T815)),IF(INDEX('AFA Rates'!$H$5:$H$1004,$T815)="","",INDEX('AFA Rates'!$H$5:$H$1004,$T815))))</f>
        <v/>
      </c>
      <c r="K815" s="50">
        <f>IF($T815="","",IF($S815="S",IF(INDEX(Firms!$J$5:$J$1004,$T815)="","",INDEX(Firms!$J$5:$J$1004,$T815)),IF(INDEX('AFA Rates'!$I$5:$I$1004,$T815)="","",INDEX('AFA Rates'!$I$5:$I$1004,$T815))))</f>
        <v/>
      </c>
      <c r="L815" s="50">
        <f>IF($T815="","",IF($S815="S",IF(INDEX(Firms!$K$5:$K$1004,$T815)="","",INDEX(Firms!$K$5:$K$1004,$T815)),IF(INDEX('AFA Rates'!$J$5:$J$1004,$T815)="","",INDEX('AFA Rates'!$J$5:$J$1004,$T815))))</f>
        <v/>
      </c>
      <c r="M815" s="50">
        <f>IF($T815="","",IF($S815="S",IF(INDEX(Firms!$L$5:$L$1004,$T815)="","",INDEX(Firms!$L$5:$L$1004,$T815)),IF(INDEX('AFA Rates'!$K$5:$K$1004,$T815)="","",INDEX('AFA Rates'!$K$5:$K$1004,$T815))))</f>
        <v/>
      </c>
      <c r="N815" s="50">
        <f>IF($T815="","",IF($S815="S",IF(INDEX(Firms!$M$5:$M$1004,$T815)="","",INDEX(Firms!$M$5:$M$1004,$T815)),IF(INDEX('AFA Rates'!$L$5:$L$1004,$T815)="","",INDEX('AFA Rates'!$L$5:$L$1004,$T815))))</f>
        <v/>
      </c>
      <c r="O815" s="78">
        <f>IF(OR($T815="",$U815=""),"",IF(INDEX(Firms!$C$5:$C$1004,$U815)="","",INDEX(Firms!$C$5:$C$1004,$U815)))</f>
        <v/>
      </c>
      <c r="P815" s="79">
        <f>IF(OR($T815="",$U815=""),"",IF(INDEX(Firms!$N$5:$N$1004,$U815)="","",INDEX(Firms!$N$5:$N$1004,$U815)))</f>
        <v/>
      </c>
      <c r="Q815" s="78">
        <f>IF($T815="","",IF($S815="S",IF(INDEX(Firms!$T$5:$T$1004,$T815)="","",INDEX(Firms!$T$5:$T$1004,$T815)),IF(INDEX('AFA Rates'!$M$5:$M$1004,$T815)="","",INDEX('AFA Rates'!$M$5:$M$1004,$T815))))</f>
        <v/>
      </c>
      <c r="S815">
        <f>IF(811&lt;=$S$2,"S",IF(811&lt;=$S$2+$T$2,"A",""))</f>
        <v/>
      </c>
      <c r="T815">
        <f>IF(S815="S",MATCH(811,Firms!$W$5:$W$1004,0),IF(S815="A",IFERROR(MATCH(811-$S$2,'AFA Rates'!$R$5:$R$1004,0),""),""))</f>
        <v/>
      </c>
      <c r="U815">
        <f>IF(S815="S",T815,IF(AND(S815="A",T815&lt;&gt;""),IFERROR(MATCH(INDEX('AFA Rates'!$A$5:$A$1004,T815),Firms!$A$5:$A$1004,0),""),""))</f>
        <v/>
      </c>
    </row>
    <row r="816">
      <c r="A816" s="78">
        <f>IF($T816="","",IF($S816="S",IF(INDEX(Firms!$A$5:$A$1004,$T816)="","",INDEX(Firms!$A$5:$A$1004,$T816)),IF(INDEX('AFA Rates'!$A$5:$A$1004,$T816)="","",INDEX('AFA Rates'!$A$5:$A$1004,$T816))))</f>
        <v/>
      </c>
      <c r="B816" s="79">
        <f>IF(OR($T816="",$U816=""),IF($T816="","","Not on Firms tab"),INDEX(Firms!$B$5:$B$1004,$U816)&amp;"")</f>
        <v/>
      </c>
      <c r="C816" s="78">
        <f>IF($T816="","",IF($S816="S","Standard",INDEX('AFA Rates'!$B$5:$B$1004,$T816)&amp;""))</f>
        <v/>
      </c>
      <c r="D816" s="88">
        <f>IF($T816="","",IF($S816="S",IF(INDEX(Firms!$E$5:$E$1004,$T816)="","",INDEX(Firms!$E$5:$E$1004,$T816)),IF(INDEX('AFA Rates'!$C$5:$C$1004,$T816)="","",INDEX('AFA Rates'!$C$5:$C$1004,$T816))))</f>
        <v/>
      </c>
      <c r="E816" s="88">
        <f>IF($T816="","",IF($S816="S",IF(""="","",""),IF(INDEX('AFA Rates'!$D$5:$D$1004,$T816)="","",INDEX('AFA Rates'!$D$5:$D$1004,$T816))))</f>
        <v/>
      </c>
      <c r="F816" s="79">
        <f>IF($T816="","",IF($S816="S",IF(INDEX(Firms!$O$5:$O$1004,$T816)="","",INDEX(Firms!$O$5:$O$1004,$T816)),IF(INDEX('AFA Rates'!$O$5:$O$1004,$T816)="","",INDEX('AFA Rates'!$O$5:$O$1004,$T816))))</f>
        <v/>
      </c>
      <c r="G816" s="50">
        <f>IF($T816="","",IF($S816="S",IF(INDEX(Firms!$F$5:$F$1004,$T816)="","",INDEX(Firms!$F$5:$F$1004,$T816)),IF(INDEX('AFA Rates'!$E$5:$E$1004,$T816)="","",INDEX('AFA Rates'!$E$5:$E$1004,$T816))))</f>
        <v/>
      </c>
      <c r="H816" s="50">
        <f>IF($T816="","",IF($S816="S",IF(INDEX(Firms!$G$5:$G$1004,$T816)="","",INDEX(Firms!$G$5:$G$1004,$T816)),IF(INDEX('AFA Rates'!$F$5:$F$1004,$T816)="","",INDEX('AFA Rates'!$F$5:$F$1004,$T816))))</f>
        <v/>
      </c>
      <c r="I816" s="50">
        <f>IF($T816="","",IF($S816="S",IF(INDEX(Firms!$H$5:$H$1004,$T816)="","",INDEX(Firms!$H$5:$H$1004,$T816)),IF(INDEX('AFA Rates'!$G$5:$G$1004,$T816)="","",INDEX('AFA Rates'!$G$5:$G$1004,$T816))))</f>
        <v/>
      </c>
      <c r="J816" s="50">
        <f>IF($T816="","",IF($S816="S",IF(INDEX(Firms!$I$5:$I$1004,$T816)="","",INDEX(Firms!$I$5:$I$1004,$T816)),IF(INDEX('AFA Rates'!$H$5:$H$1004,$T816)="","",INDEX('AFA Rates'!$H$5:$H$1004,$T816))))</f>
        <v/>
      </c>
      <c r="K816" s="50">
        <f>IF($T816="","",IF($S816="S",IF(INDEX(Firms!$J$5:$J$1004,$T816)="","",INDEX(Firms!$J$5:$J$1004,$T816)),IF(INDEX('AFA Rates'!$I$5:$I$1004,$T816)="","",INDEX('AFA Rates'!$I$5:$I$1004,$T816))))</f>
        <v/>
      </c>
      <c r="L816" s="50">
        <f>IF($T816="","",IF($S816="S",IF(INDEX(Firms!$K$5:$K$1004,$T816)="","",INDEX(Firms!$K$5:$K$1004,$T816)),IF(INDEX('AFA Rates'!$J$5:$J$1004,$T816)="","",INDEX('AFA Rates'!$J$5:$J$1004,$T816))))</f>
        <v/>
      </c>
      <c r="M816" s="50">
        <f>IF($T816="","",IF($S816="S",IF(INDEX(Firms!$L$5:$L$1004,$T816)="","",INDEX(Firms!$L$5:$L$1004,$T816)),IF(INDEX('AFA Rates'!$K$5:$K$1004,$T816)="","",INDEX('AFA Rates'!$K$5:$K$1004,$T816))))</f>
        <v/>
      </c>
      <c r="N816" s="50">
        <f>IF($T816="","",IF($S816="S",IF(INDEX(Firms!$M$5:$M$1004,$T816)="","",INDEX(Firms!$M$5:$M$1004,$T816)),IF(INDEX('AFA Rates'!$L$5:$L$1004,$T816)="","",INDEX('AFA Rates'!$L$5:$L$1004,$T816))))</f>
        <v/>
      </c>
      <c r="O816" s="78">
        <f>IF(OR($T816="",$U816=""),"",IF(INDEX(Firms!$C$5:$C$1004,$U816)="","",INDEX(Firms!$C$5:$C$1004,$U816)))</f>
        <v/>
      </c>
      <c r="P816" s="79">
        <f>IF(OR($T816="",$U816=""),"",IF(INDEX(Firms!$N$5:$N$1004,$U816)="","",INDEX(Firms!$N$5:$N$1004,$U816)))</f>
        <v/>
      </c>
      <c r="Q816" s="78">
        <f>IF($T816="","",IF($S816="S",IF(INDEX(Firms!$T$5:$T$1004,$T816)="","",INDEX(Firms!$T$5:$T$1004,$T816)),IF(INDEX('AFA Rates'!$M$5:$M$1004,$T816)="","",INDEX('AFA Rates'!$M$5:$M$1004,$T816))))</f>
        <v/>
      </c>
      <c r="S816">
        <f>IF(812&lt;=$S$2,"S",IF(812&lt;=$S$2+$T$2,"A",""))</f>
        <v/>
      </c>
      <c r="T816">
        <f>IF(S816="S",MATCH(812,Firms!$W$5:$W$1004,0),IF(S816="A",IFERROR(MATCH(812-$S$2,'AFA Rates'!$R$5:$R$1004,0),""),""))</f>
        <v/>
      </c>
      <c r="U816">
        <f>IF(S816="S",T816,IF(AND(S816="A",T816&lt;&gt;""),IFERROR(MATCH(INDEX('AFA Rates'!$A$5:$A$1004,T816),Firms!$A$5:$A$1004,0),""),""))</f>
        <v/>
      </c>
    </row>
    <row r="817">
      <c r="A817" s="78">
        <f>IF($T817="","",IF($S817="S",IF(INDEX(Firms!$A$5:$A$1004,$T817)="","",INDEX(Firms!$A$5:$A$1004,$T817)),IF(INDEX('AFA Rates'!$A$5:$A$1004,$T817)="","",INDEX('AFA Rates'!$A$5:$A$1004,$T817))))</f>
        <v/>
      </c>
      <c r="B817" s="79">
        <f>IF(OR($T817="",$U817=""),IF($T817="","","Not on Firms tab"),INDEX(Firms!$B$5:$B$1004,$U817)&amp;"")</f>
        <v/>
      </c>
      <c r="C817" s="78">
        <f>IF($T817="","",IF($S817="S","Standard",INDEX('AFA Rates'!$B$5:$B$1004,$T817)&amp;""))</f>
        <v/>
      </c>
      <c r="D817" s="88">
        <f>IF($T817="","",IF($S817="S",IF(INDEX(Firms!$E$5:$E$1004,$T817)="","",INDEX(Firms!$E$5:$E$1004,$T817)),IF(INDEX('AFA Rates'!$C$5:$C$1004,$T817)="","",INDEX('AFA Rates'!$C$5:$C$1004,$T817))))</f>
        <v/>
      </c>
      <c r="E817" s="88">
        <f>IF($T817="","",IF($S817="S",IF(""="","",""),IF(INDEX('AFA Rates'!$D$5:$D$1004,$T817)="","",INDEX('AFA Rates'!$D$5:$D$1004,$T817))))</f>
        <v/>
      </c>
      <c r="F817" s="79">
        <f>IF($T817="","",IF($S817="S",IF(INDEX(Firms!$O$5:$O$1004,$T817)="","",INDEX(Firms!$O$5:$O$1004,$T817)),IF(INDEX('AFA Rates'!$O$5:$O$1004,$T817)="","",INDEX('AFA Rates'!$O$5:$O$1004,$T817))))</f>
        <v/>
      </c>
      <c r="G817" s="50">
        <f>IF($T817="","",IF($S817="S",IF(INDEX(Firms!$F$5:$F$1004,$T817)="","",INDEX(Firms!$F$5:$F$1004,$T817)),IF(INDEX('AFA Rates'!$E$5:$E$1004,$T817)="","",INDEX('AFA Rates'!$E$5:$E$1004,$T817))))</f>
        <v/>
      </c>
      <c r="H817" s="50">
        <f>IF($T817="","",IF($S817="S",IF(INDEX(Firms!$G$5:$G$1004,$T817)="","",INDEX(Firms!$G$5:$G$1004,$T817)),IF(INDEX('AFA Rates'!$F$5:$F$1004,$T817)="","",INDEX('AFA Rates'!$F$5:$F$1004,$T817))))</f>
        <v/>
      </c>
      <c r="I817" s="50">
        <f>IF($T817="","",IF($S817="S",IF(INDEX(Firms!$H$5:$H$1004,$T817)="","",INDEX(Firms!$H$5:$H$1004,$T817)),IF(INDEX('AFA Rates'!$G$5:$G$1004,$T817)="","",INDEX('AFA Rates'!$G$5:$G$1004,$T817))))</f>
        <v/>
      </c>
      <c r="J817" s="50">
        <f>IF($T817="","",IF($S817="S",IF(INDEX(Firms!$I$5:$I$1004,$T817)="","",INDEX(Firms!$I$5:$I$1004,$T817)),IF(INDEX('AFA Rates'!$H$5:$H$1004,$T817)="","",INDEX('AFA Rates'!$H$5:$H$1004,$T817))))</f>
        <v/>
      </c>
      <c r="K817" s="50">
        <f>IF($T817="","",IF($S817="S",IF(INDEX(Firms!$J$5:$J$1004,$T817)="","",INDEX(Firms!$J$5:$J$1004,$T817)),IF(INDEX('AFA Rates'!$I$5:$I$1004,$T817)="","",INDEX('AFA Rates'!$I$5:$I$1004,$T817))))</f>
        <v/>
      </c>
      <c r="L817" s="50">
        <f>IF($T817="","",IF($S817="S",IF(INDEX(Firms!$K$5:$K$1004,$T817)="","",INDEX(Firms!$K$5:$K$1004,$T817)),IF(INDEX('AFA Rates'!$J$5:$J$1004,$T817)="","",INDEX('AFA Rates'!$J$5:$J$1004,$T817))))</f>
        <v/>
      </c>
      <c r="M817" s="50">
        <f>IF($T817="","",IF($S817="S",IF(INDEX(Firms!$L$5:$L$1004,$T817)="","",INDEX(Firms!$L$5:$L$1004,$T817)),IF(INDEX('AFA Rates'!$K$5:$K$1004,$T817)="","",INDEX('AFA Rates'!$K$5:$K$1004,$T817))))</f>
        <v/>
      </c>
      <c r="N817" s="50">
        <f>IF($T817="","",IF($S817="S",IF(INDEX(Firms!$M$5:$M$1004,$T817)="","",INDEX(Firms!$M$5:$M$1004,$T817)),IF(INDEX('AFA Rates'!$L$5:$L$1004,$T817)="","",INDEX('AFA Rates'!$L$5:$L$1004,$T817))))</f>
        <v/>
      </c>
      <c r="O817" s="78">
        <f>IF(OR($T817="",$U817=""),"",IF(INDEX(Firms!$C$5:$C$1004,$U817)="","",INDEX(Firms!$C$5:$C$1004,$U817)))</f>
        <v/>
      </c>
      <c r="P817" s="79">
        <f>IF(OR($T817="",$U817=""),"",IF(INDEX(Firms!$N$5:$N$1004,$U817)="","",INDEX(Firms!$N$5:$N$1004,$U817)))</f>
        <v/>
      </c>
      <c r="Q817" s="78">
        <f>IF($T817="","",IF($S817="S",IF(INDEX(Firms!$T$5:$T$1004,$T817)="","",INDEX(Firms!$T$5:$T$1004,$T817)),IF(INDEX('AFA Rates'!$M$5:$M$1004,$T817)="","",INDEX('AFA Rates'!$M$5:$M$1004,$T817))))</f>
        <v/>
      </c>
      <c r="S817">
        <f>IF(813&lt;=$S$2,"S",IF(813&lt;=$S$2+$T$2,"A",""))</f>
        <v/>
      </c>
      <c r="T817">
        <f>IF(S817="S",MATCH(813,Firms!$W$5:$W$1004,0),IF(S817="A",IFERROR(MATCH(813-$S$2,'AFA Rates'!$R$5:$R$1004,0),""),""))</f>
        <v/>
      </c>
      <c r="U817">
        <f>IF(S817="S",T817,IF(AND(S817="A",T817&lt;&gt;""),IFERROR(MATCH(INDEX('AFA Rates'!$A$5:$A$1004,T817),Firms!$A$5:$A$1004,0),""),""))</f>
        <v/>
      </c>
    </row>
    <row r="818">
      <c r="A818" s="78">
        <f>IF($T818="","",IF($S818="S",IF(INDEX(Firms!$A$5:$A$1004,$T818)="","",INDEX(Firms!$A$5:$A$1004,$T818)),IF(INDEX('AFA Rates'!$A$5:$A$1004,$T818)="","",INDEX('AFA Rates'!$A$5:$A$1004,$T818))))</f>
        <v/>
      </c>
      <c r="B818" s="79">
        <f>IF(OR($T818="",$U818=""),IF($T818="","","Not on Firms tab"),INDEX(Firms!$B$5:$B$1004,$U818)&amp;"")</f>
        <v/>
      </c>
      <c r="C818" s="78">
        <f>IF($T818="","",IF($S818="S","Standard",INDEX('AFA Rates'!$B$5:$B$1004,$T818)&amp;""))</f>
        <v/>
      </c>
      <c r="D818" s="88">
        <f>IF($T818="","",IF($S818="S",IF(INDEX(Firms!$E$5:$E$1004,$T818)="","",INDEX(Firms!$E$5:$E$1004,$T818)),IF(INDEX('AFA Rates'!$C$5:$C$1004,$T818)="","",INDEX('AFA Rates'!$C$5:$C$1004,$T818))))</f>
        <v/>
      </c>
      <c r="E818" s="88">
        <f>IF($T818="","",IF($S818="S",IF(""="","",""),IF(INDEX('AFA Rates'!$D$5:$D$1004,$T818)="","",INDEX('AFA Rates'!$D$5:$D$1004,$T818))))</f>
        <v/>
      </c>
      <c r="F818" s="79">
        <f>IF($T818="","",IF($S818="S",IF(INDEX(Firms!$O$5:$O$1004,$T818)="","",INDEX(Firms!$O$5:$O$1004,$T818)),IF(INDEX('AFA Rates'!$O$5:$O$1004,$T818)="","",INDEX('AFA Rates'!$O$5:$O$1004,$T818))))</f>
        <v/>
      </c>
      <c r="G818" s="50">
        <f>IF($T818="","",IF($S818="S",IF(INDEX(Firms!$F$5:$F$1004,$T818)="","",INDEX(Firms!$F$5:$F$1004,$T818)),IF(INDEX('AFA Rates'!$E$5:$E$1004,$T818)="","",INDEX('AFA Rates'!$E$5:$E$1004,$T818))))</f>
        <v/>
      </c>
      <c r="H818" s="50">
        <f>IF($T818="","",IF($S818="S",IF(INDEX(Firms!$G$5:$G$1004,$T818)="","",INDEX(Firms!$G$5:$G$1004,$T818)),IF(INDEX('AFA Rates'!$F$5:$F$1004,$T818)="","",INDEX('AFA Rates'!$F$5:$F$1004,$T818))))</f>
        <v/>
      </c>
      <c r="I818" s="50">
        <f>IF($T818="","",IF($S818="S",IF(INDEX(Firms!$H$5:$H$1004,$T818)="","",INDEX(Firms!$H$5:$H$1004,$T818)),IF(INDEX('AFA Rates'!$G$5:$G$1004,$T818)="","",INDEX('AFA Rates'!$G$5:$G$1004,$T818))))</f>
        <v/>
      </c>
      <c r="J818" s="50">
        <f>IF($T818="","",IF($S818="S",IF(INDEX(Firms!$I$5:$I$1004,$T818)="","",INDEX(Firms!$I$5:$I$1004,$T818)),IF(INDEX('AFA Rates'!$H$5:$H$1004,$T818)="","",INDEX('AFA Rates'!$H$5:$H$1004,$T818))))</f>
        <v/>
      </c>
      <c r="K818" s="50">
        <f>IF($T818="","",IF($S818="S",IF(INDEX(Firms!$J$5:$J$1004,$T818)="","",INDEX(Firms!$J$5:$J$1004,$T818)),IF(INDEX('AFA Rates'!$I$5:$I$1004,$T818)="","",INDEX('AFA Rates'!$I$5:$I$1004,$T818))))</f>
        <v/>
      </c>
      <c r="L818" s="50">
        <f>IF($T818="","",IF($S818="S",IF(INDEX(Firms!$K$5:$K$1004,$T818)="","",INDEX(Firms!$K$5:$K$1004,$T818)),IF(INDEX('AFA Rates'!$J$5:$J$1004,$T818)="","",INDEX('AFA Rates'!$J$5:$J$1004,$T818))))</f>
        <v/>
      </c>
      <c r="M818" s="50">
        <f>IF($T818="","",IF($S818="S",IF(INDEX(Firms!$L$5:$L$1004,$T818)="","",INDEX(Firms!$L$5:$L$1004,$T818)),IF(INDEX('AFA Rates'!$K$5:$K$1004,$T818)="","",INDEX('AFA Rates'!$K$5:$K$1004,$T818))))</f>
        <v/>
      </c>
      <c r="N818" s="50">
        <f>IF($T818="","",IF($S818="S",IF(INDEX(Firms!$M$5:$M$1004,$T818)="","",INDEX(Firms!$M$5:$M$1004,$T818)),IF(INDEX('AFA Rates'!$L$5:$L$1004,$T818)="","",INDEX('AFA Rates'!$L$5:$L$1004,$T818))))</f>
        <v/>
      </c>
      <c r="O818" s="78">
        <f>IF(OR($T818="",$U818=""),"",IF(INDEX(Firms!$C$5:$C$1004,$U818)="","",INDEX(Firms!$C$5:$C$1004,$U818)))</f>
        <v/>
      </c>
      <c r="P818" s="79">
        <f>IF(OR($T818="",$U818=""),"",IF(INDEX(Firms!$N$5:$N$1004,$U818)="","",INDEX(Firms!$N$5:$N$1004,$U818)))</f>
        <v/>
      </c>
      <c r="Q818" s="78">
        <f>IF($T818="","",IF($S818="S",IF(INDEX(Firms!$T$5:$T$1004,$T818)="","",INDEX(Firms!$T$5:$T$1004,$T818)),IF(INDEX('AFA Rates'!$M$5:$M$1004,$T818)="","",INDEX('AFA Rates'!$M$5:$M$1004,$T818))))</f>
        <v/>
      </c>
      <c r="S818">
        <f>IF(814&lt;=$S$2,"S",IF(814&lt;=$S$2+$T$2,"A",""))</f>
        <v/>
      </c>
      <c r="T818">
        <f>IF(S818="S",MATCH(814,Firms!$W$5:$W$1004,0),IF(S818="A",IFERROR(MATCH(814-$S$2,'AFA Rates'!$R$5:$R$1004,0),""),""))</f>
        <v/>
      </c>
      <c r="U818">
        <f>IF(S818="S",T818,IF(AND(S818="A",T818&lt;&gt;""),IFERROR(MATCH(INDEX('AFA Rates'!$A$5:$A$1004,T818),Firms!$A$5:$A$1004,0),""),""))</f>
        <v/>
      </c>
    </row>
    <row r="819">
      <c r="A819" s="78">
        <f>IF($T819="","",IF($S819="S",IF(INDEX(Firms!$A$5:$A$1004,$T819)="","",INDEX(Firms!$A$5:$A$1004,$T819)),IF(INDEX('AFA Rates'!$A$5:$A$1004,$T819)="","",INDEX('AFA Rates'!$A$5:$A$1004,$T819))))</f>
        <v/>
      </c>
      <c r="B819" s="79">
        <f>IF(OR($T819="",$U819=""),IF($T819="","","Not on Firms tab"),INDEX(Firms!$B$5:$B$1004,$U819)&amp;"")</f>
        <v/>
      </c>
      <c r="C819" s="78">
        <f>IF($T819="","",IF($S819="S","Standard",INDEX('AFA Rates'!$B$5:$B$1004,$T819)&amp;""))</f>
        <v/>
      </c>
      <c r="D819" s="88">
        <f>IF($T819="","",IF($S819="S",IF(INDEX(Firms!$E$5:$E$1004,$T819)="","",INDEX(Firms!$E$5:$E$1004,$T819)),IF(INDEX('AFA Rates'!$C$5:$C$1004,$T819)="","",INDEX('AFA Rates'!$C$5:$C$1004,$T819))))</f>
        <v/>
      </c>
      <c r="E819" s="88">
        <f>IF($T819="","",IF($S819="S",IF(""="","",""),IF(INDEX('AFA Rates'!$D$5:$D$1004,$T819)="","",INDEX('AFA Rates'!$D$5:$D$1004,$T819))))</f>
        <v/>
      </c>
      <c r="F819" s="79">
        <f>IF($T819="","",IF($S819="S",IF(INDEX(Firms!$O$5:$O$1004,$T819)="","",INDEX(Firms!$O$5:$O$1004,$T819)),IF(INDEX('AFA Rates'!$O$5:$O$1004,$T819)="","",INDEX('AFA Rates'!$O$5:$O$1004,$T819))))</f>
        <v/>
      </c>
      <c r="G819" s="50">
        <f>IF($T819="","",IF($S819="S",IF(INDEX(Firms!$F$5:$F$1004,$T819)="","",INDEX(Firms!$F$5:$F$1004,$T819)),IF(INDEX('AFA Rates'!$E$5:$E$1004,$T819)="","",INDEX('AFA Rates'!$E$5:$E$1004,$T819))))</f>
        <v/>
      </c>
      <c r="H819" s="50">
        <f>IF($T819="","",IF($S819="S",IF(INDEX(Firms!$G$5:$G$1004,$T819)="","",INDEX(Firms!$G$5:$G$1004,$T819)),IF(INDEX('AFA Rates'!$F$5:$F$1004,$T819)="","",INDEX('AFA Rates'!$F$5:$F$1004,$T819))))</f>
        <v/>
      </c>
      <c r="I819" s="50">
        <f>IF($T819="","",IF($S819="S",IF(INDEX(Firms!$H$5:$H$1004,$T819)="","",INDEX(Firms!$H$5:$H$1004,$T819)),IF(INDEX('AFA Rates'!$G$5:$G$1004,$T819)="","",INDEX('AFA Rates'!$G$5:$G$1004,$T819))))</f>
        <v/>
      </c>
      <c r="J819" s="50">
        <f>IF($T819="","",IF($S819="S",IF(INDEX(Firms!$I$5:$I$1004,$T819)="","",INDEX(Firms!$I$5:$I$1004,$T819)),IF(INDEX('AFA Rates'!$H$5:$H$1004,$T819)="","",INDEX('AFA Rates'!$H$5:$H$1004,$T819))))</f>
        <v/>
      </c>
      <c r="K819" s="50">
        <f>IF($T819="","",IF($S819="S",IF(INDEX(Firms!$J$5:$J$1004,$T819)="","",INDEX(Firms!$J$5:$J$1004,$T819)),IF(INDEX('AFA Rates'!$I$5:$I$1004,$T819)="","",INDEX('AFA Rates'!$I$5:$I$1004,$T819))))</f>
        <v/>
      </c>
      <c r="L819" s="50">
        <f>IF($T819="","",IF($S819="S",IF(INDEX(Firms!$K$5:$K$1004,$T819)="","",INDEX(Firms!$K$5:$K$1004,$T819)),IF(INDEX('AFA Rates'!$J$5:$J$1004,$T819)="","",INDEX('AFA Rates'!$J$5:$J$1004,$T819))))</f>
        <v/>
      </c>
      <c r="M819" s="50">
        <f>IF($T819="","",IF($S819="S",IF(INDEX(Firms!$L$5:$L$1004,$T819)="","",INDEX(Firms!$L$5:$L$1004,$T819)),IF(INDEX('AFA Rates'!$K$5:$K$1004,$T819)="","",INDEX('AFA Rates'!$K$5:$K$1004,$T819))))</f>
        <v/>
      </c>
      <c r="N819" s="50">
        <f>IF($T819="","",IF($S819="S",IF(INDEX(Firms!$M$5:$M$1004,$T819)="","",INDEX(Firms!$M$5:$M$1004,$T819)),IF(INDEX('AFA Rates'!$L$5:$L$1004,$T819)="","",INDEX('AFA Rates'!$L$5:$L$1004,$T819))))</f>
        <v/>
      </c>
      <c r="O819" s="78">
        <f>IF(OR($T819="",$U819=""),"",IF(INDEX(Firms!$C$5:$C$1004,$U819)="","",INDEX(Firms!$C$5:$C$1004,$U819)))</f>
        <v/>
      </c>
      <c r="P819" s="79">
        <f>IF(OR($T819="",$U819=""),"",IF(INDEX(Firms!$N$5:$N$1004,$U819)="","",INDEX(Firms!$N$5:$N$1004,$U819)))</f>
        <v/>
      </c>
      <c r="Q819" s="78">
        <f>IF($T819="","",IF($S819="S",IF(INDEX(Firms!$T$5:$T$1004,$T819)="","",INDEX(Firms!$T$5:$T$1004,$T819)),IF(INDEX('AFA Rates'!$M$5:$M$1004,$T819)="","",INDEX('AFA Rates'!$M$5:$M$1004,$T819))))</f>
        <v/>
      </c>
      <c r="S819">
        <f>IF(815&lt;=$S$2,"S",IF(815&lt;=$S$2+$T$2,"A",""))</f>
        <v/>
      </c>
      <c r="T819">
        <f>IF(S819="S",MATCH(815,Firms!$W$5:$W$1004,0),IF(S819="A",IFERROR(MATCH(815-$S$2,'AFA Rates'!$R$5:$R$1004,0),""),""))</f>
        <v/>
      </c>
      <c r="U819">
        <f>IF(S819="S",T819,IF(AND(S819="A",T819&lt;&gt;""),IFERROR(MATCH(INDEX('AFA Rates'!$A$5:$A$1004,T819),Firms!$A$5:$A$1004,0),""),""))</f>
        <v/>
      </c>
    </row>
    <row r="820">
      <c r="A820" s="78">
        <f>IF($T820="","",IF($S820="S",IF(INDEX(Firms!$A$5:$A$1004,$T820)="","",INDEX(Firms!$A$5:$A$1004,$T820)),IF(INDEX('AFA Rates'!$A$5:$A$1004,$T820)="","",INDEX('AFA Rates'!$A$5:$A$1004,$T820))))</f>
        <v/>
      </c>
      <c r="B820" s="79">
        <f>IF(OR($T820="",$U820=""),IF($T820="","","Not on Firms tab"),INDEX(Firms!$B$5:$B$1004,$U820)&amp;"")</f>
        <v/>
      </c>
      <c r="C820" s="78">
        <f>IF($T820="","",IF($S820="S","Standard",INDEX('AFA Rates'!$B$5:$B$1004,$T820)&amp;""))</f>
        <v/>
      </c>
      <c r="D820" s="88">
        <f>IF($T820="","",IF($S820="S",IF(INDEX(Firms!$E$5:$E$1004,$T820)="","",INDEX(Firms!$E$5:$E$1004,$T820)),IF(INDEX('AFA Rates'!$C$5:$C$1004,$T820)="","",INDEX('AFA Rates'!$C$5:$C$1004,$T820))))</f>
        <v/>
      </c>
      <c r="E820" s="88">
        <f>IF($T820="","",IF($S820="S",IF(""="","",""),IF(INDEX('AFA Rates'!$D$5:$D$1004,$T820)="","",INDEX('AFA Rates'!$D$5:$D$1004,$T820))))</f>
        <v/>
      </c>
      <c r="F820" s="79">
        <f>IF($T820="","",IF($S820="S",IF(INDEX(Firms!$O$5:$O$1004,$T820)="","",INDEX(Firms!$O$5:$O$1004,$T820)),IF(INDEX('AFA Rates'!$O$5:$O$1004,$T820)="","",INDEX('AFA Rates'!$O$5:$O$1004,$T820))))</f>
        <v/>
      </c>
      <c r="G820" s="50">
        <f>IF($T820="","",IF($S820="S",IF(INDEX(Firms!$F$5:$F$1004,$T820)="","",INDEX(Firms!$F$5:$F$1004,$T820)),IF(INDEX('AFA Rates'!$E$5:$E$1004,$T820)="","",INDEX('AFA Rates'!$E$5:$E$1004,$T820))))</f>
        <v/>
      </c>
      <c r="H820" s="50">
        <f>IF($T820="","",IF($S820="S",IF(INDEX(Firms!$G$5:$G$1004,$T820)="","",INDEX(Firms!$G$5:$G$1004,$T820)),IF(INDEX('AFA Rates'!$F$5:$F$1004,$T820)="","",INDEX('AFA Rates'!$F$5:$F$1004,$T820))))</f>
        <v/>
      </c>
      <c r="I820" s="50">
        <f>IF($T820="","",IF($S820="S",IF(INDEX(Firms!$H$5:$H$1004,$T820)="","",INDEX(Firms!$H$5:$H$1004,$T820)),IF(INDEX('AFA Rates'!$G$5:$G$1004,$T820)="","",INDEX('AFA Rates'!$G$5:$G$1004,$T820))))</f>
        <v/>
      </c>
      <c r="J820" s="50">
        <f>IF($T820="","",IF($S820="S",IF(INDEX(Firms!$I$5:$I$1004,$T820)="","",INDEX(Firms!$I$5:$I$1004,$T820)),IF(INDEX('AFA Rates'!$H$5:$H$1004,$T820)="","",INDEX('AFA Rates'!$H$5:$H$1004,$T820))))</f>
        <v/>
      </c>
      <c r="K820" s="50">
        <f>IF($T820="","",IF($S820="S",IF(INDEX(Firms!$J$5:$J$1004,$T820)="","",INDEX(Firms!$J$5:$J$1004,$T820)),IF(INDEX('AFA Rates'!$I$5:$I$1004,$T820)="","",INDEX('AFA Rates'!$I$5:$I$1004,$T820))))</f>
        <v/>
      </c>
      <c r="L820" s="50">
        <f>IF($T820="","",IF($S820="S",IF(INDEX(Firms!$K$5:$K$1004,$T820)="","",INDEX(Firms!$K$5:$K$1004,$T820)),IF(INDEX('AFA Rates'!$J$5:$J$1004,$T820)="","",INDEX('AFA Rates'!$J$5:$J$1004,$T820))))</f>
        <v/>
      </c>
      <c r="M820" s="50">
        <f>IF($T820="","",IF($S820="S",IF(INDEX(Firms!$L$5:$L$1004,$T820)="","",INDEX(Firms!$L$5:$L$1004,$T820)),IF(INDEX('AFA Rates'!$K$5:$K$1004,$T820)="","",INDEX('AFA Rates'!$K$5:$K$1004,$T820))))</f>
        <v/>
      </c>
      <c r="N820" s="50">
        <f>IF($T820="","",IF($S820="S",IF(INDEX(Firms!$M$5:$M$1004,$T820)="","",INDEX(Firms!$M$5:$M$1004,$T820)),IF(INDEX('AFA Rates'!$L$5:$L$1004,$T820)="","",INDEX('AFA Rates'!$L$5:$L$1004,$T820))))</f>
        <v/>
      </c>
      <c r="O820" s="78">
        <f>IF(OR($T820="",$U820=""),"",IF(INDEX(Firms!$C$5:$C$1004,$U820)="","",INDEX(Firms!$C$5:$C$1004,$U820)))</f>
        <v/>
      </c>
      <c r="P820" s="79">
        <f>IF(OR($T820="",$U820=""),"",IF(INDEX(Firms!$N$5:$N$1004,$U820)="","",INDEX(Firms!$N$5:$N$1004,$U820)))</f>
        <v/>
      </c>
      <c r="Q820" s="78">
        <f>IF($T820="","",IF($S820="S",IF(INDEX(Firms!$T$5:$T$1004,$T820)="","",INDEX(Firms!$T$5:$T$1004,$T820)),IF(INDEX('AFA Rates'!$M$5:$M$1004,$T820)="","",INDEX('AFA Rates'!$M$5:$M$1004,$T820))))</f>
        <v/>
      </c>
      <c r="S820">
        <f>IF(816&lt;=$S$2,"S",IF(816&lt;=$S$2+$T$2,"A",""))</f>
        <v/>
      </c>
      <c r="T820">
        <f>IF(S820="S",MATCH(816,Firms!$W$5:$W$1004,0),IF(S820="A",IFERROR(MATCH(816-$S$2,'AFA Rates'!$R$5:$R$1004,0),""),""))</f>
        <v/>
      </c>
      <c r="U820">
        <f>IF(S820="S",T820,IF(AND(S820="A",T820&lt;&gt;""),IFERROR(MATCH(INDEX('AFA Rates'!$A$5:$A$1004,T820),Firms!$A$5:$A$1004,0),""),""))</f>
        <v/>
      </c>
    </row>
    <row r="821">
      <c r="A821" s="78">
        <f>IF($T821="","",IF($S821="S",IF(INDEX(Firms!$A$5:$A$1004,$T821)="","",INDEX(Firms!$A$5:$A$1004,$T821)),IF(INDEX('AFA Rates'!$A$5:$A$1004,$T821)="","",INDEX('AFA Rates'!$A$5:$A$1004,$T821))))</f>
        <v/>
      </c>
      <c r="B821" s="79">
        <f>IF(OR($T821="",$U821=""),IF($T821="","","Not on Firms tab"),INDEX(Firms!$B$5:$B$1004,$U821)&amp;"")</f>
        <v/>
      </c>
      <c r="C821" s="78">
        <f>IF($T821="","",IF($S821="S","Standard",INDEX('AFA Rates'!$B$5:$B$1004,$T821)&amp;""))</f>
        <v/>
      </c>
      <c r="D821" s="88">
        <f>IF($T821="","",IF($S821="S",IF(INDEX(Firms!$E$5:$E$1004,$T821)="","",INDEX(Firms!$E$5:$E$1004,$T821)),IF(INDEX('AFA Rates'!$C$5:$C$1004,$T821)="","",INDEX('AFA Rates'!$C$5:$C$1004,$T821))))</f>
        <v/>
      </c>
      <c r="E821" s="88">
        <f>IF($T821="","",IF($S821="S",IF(""="","",""),IF(INDEX('AFA Rates'!$D$5:$D$1004,$T821)="","",INDEX('AFA Rates'!$D$5:$D$1004,$T821))))</f>
        <v/>
      </c>
      <c r="F821" s="79">
        <f>IF($T821="","",IF($S821="S",IF(INDEX(Firms!$O$5:$O$1004,$T821)="","",INDEX(Firms!$O$5:$O$1004,$T821)),IF(INDEX('AFA Rates'!$O$5:$O$1004,$T821)="","",INDEX('AFA Rates'!$O$5:$O$1004,$T821))))</f>
        <v/>
      </c>
      <c r="G821" s="50">
        <f>IF($T821="","",IF($S821="S",IF(INDEX(Firms!$F$5:$F$1004,$T821)="","",INDEX(Firms!$F$5:$F$1004,$T821)),IF(INDEX('AFA Rates'!$E$5:$E$1004,$T821)="","",INDEX('AFA Rates'!$E$5:$E$1004,$T821))))</f>
        <v/>
      </c>
      <c r="H821" s="50">
        <f>IF($T821="","",IF($S821="S",IF(INDEX(Firms!$G$5:$G$1004,$T821)="","",INDEX(Firms!$G$5:$G$1004,$T821)),IF(INDEX('AFA Rates'!$F$5:$F$1004,$T821)="","",INDEX('AFA Rates'!$F$5:$F$1004,$T821))))</f>
        <v/>
      </c>
      <c r="I821" s="50">
        <f>IF($T821="","",IF($S821="S",IF(INDEX(Firms!$H$5:$H$1004,$T821)="","",INDEX(Firms!$H$5:$H$1004,$T821)),IF(INDEX('AFA Rates'!$G$5:$G$1004,$T821)="","",INDEX('AFA Rates'!$G$5:$G$1004,$T821))))</f>
        <v/>
      </c>
      <c r="J821" s="50">
        <f>IF($T821="","",IF($S821="S",IF(INDEX(Firms!$I$5:$I$1004,$T821)="","",INDEX(Firms!$I$5:$I$1004,$T821)),IF(INDEX('AFA Rates'!$H$5:$H$1004,$T821)="","",INDEX('AFA Rates'!$H$5:$H$1004,$T821))))</f>
        <v/>
      </c>
      <c r="K821" s="50">
        <f>IF($T821="","",IF($S821="S",IF(INDEX(Firms!$J$5:$J$1004,$T821)="","",INDEX(Firms!$J$5:$J$1004,$T821)),IF(INDEX('AFA Rates'!$I$5:$I$1004,$T821)="","",INDEX('AFA Rates'!$I$5:$I$1004,$T821))))</f>
        <v/>
      </c>
      <c r="L821" s="50">
        <f>IF($T821="","",IF($S821="S",IF(INDEX(Firms!$K$5:$K$1004,$T821)="","",INDEX(Firms!$K$5:$K$1004,$T821)),IF(INDEX('AFA Rates'!$J$5:$J$1004,$T821)="","",INDEX('AFA Rates'!$J$5:$J$1004,$T821))))</f>
        <v/>
      </c>
      <c r="M821" s="50">
        <f>IF($T821="","",IF($S821="S",IF(INDEX(Firms!$L$5:$L$1004,$T821)="","",INDEX(Firms!$L$5:$L$1004,$T821)),IF(INDEX('AFA Rates'!$K$5:$K$1004,$T821)="","",INDEX('AFA Rates'!$K$5:$K$1004,$T821))))</f>
        <v/>
      </c>
      <c r="N821" s="50">
        <f>IF($T821="","",IF($S821="S",IF(INDEX(Firms!$M$5:$M$1004,$T821)="","",INDEX(Firms!$M$5:$M$1004,$T821)),IF(INDEX('AFA Rates'!$L$5:$L$1004,$T821)="","",INDEX('AFA Rates'!$L$5:$L$1004,$T821))))</f>
        <v/>
      </c>
      <c r="O821" s="78">
        <f>IF(OR($T821="",$U821=""),"",IF(INDEX(Firms!$C$5:$C$1004,$U821)="","",INDEX(Firms!$C$5:$C$1004,$U821)))</f>
        <v/>
      </c>
      <c r="P821" s="79">
        <f>IF(OR($T821="",$U821=""),"",IF(INDEX(Firms!$N$5:$N$1004,$U821)="","",INDEX(Firms!$N$5:$N$1004,$U821)))</f>
        <v/>
      </c>
      <c r="Q821" s="78">
        <f>IF($T821="","",IF($S821="S",IF(INDEX(Firms!$T$5:$T$1004,$T821)="","",INDEX(Firms!$T$5:$T$1004,$T821)),IF(INDEX('AFA Rates'!$M$5:$M$1004,$T821)="","",INDEX('AFA Rates'!$M$5:$M$1004,$T821))))</f>
        <v/>
      </c>
      <c r="S821">
        <f>IF(817&lt;=$S$2,"S",IF(817&lt;=$S$2+$T$2,"A",""))</f>
        <v/>
      </c>
      <c r="T821">
        <f>IF(S821="S",MATCH(817,Firms!$W$5:$W$1004,0),IF(S821="A",IFERROR(MATCH(817-$S$2,'AFA Rates'!$R$5:$R$1004,0),""),""))</f>
        <v/>
      </c>
      <c r="U821">
        <f>IF(S821="S",T821,IF(AND(S821="A",T821&lt;&gt;""),IFERROR(MATCH(INDEX('AFA Rates'!$A$5:$A$1004,T821),Firms!$A$5:$A$1004,0),""),""))</f>
        <v/>
      </c>
    </row>
    <row r="822">
      <c r="A822" s="78">
        <f>IF($T822="","",IF($S822="S",IF(INDEX(Firms!$A$5:$A$1004,$T822)="","",INDEX(Firms!$A$5:$A$1004,$T822)),IF(INDEX('AFA Rates'!$A$5:$A$1004,$T822)="","",INDEX('AFA Rates'!$A$5:$A$1004,$T822))))</f>
        <v/>
      </c>
      <c r="B822" s="79">
        <f>IF(OR($T822="",$U822=""),IF($T822="","","Not on Firms tab"),INDEX(Firms!$B$5:$B$1004,$U822)&amp;"")</f>
        <v/>
      </c>
      <c r="C822" s="78">
        <f>IF($T822="","",IF($S822="S","Standard",INDEX('AFA Rates'!$B$5:$B$1004,$T822)&amp;""))</f>
        <v/>
      </c>
      <c r="D822" s="88">
        <f>IF($T822="","",IF($S822="S",IF(INDEX(Firms!$E$5:$E$1004,$T822)="","",INDEX(Firms!$E$5:$E$1004,$T822)),IF(INDEX('AFA Rates'!$C$5:$C$1004,$T822)="","",INDEX('AFA Rates'!$C$5:$C$1004,$T822))))</f>
        <v/>
      </c>
      <c r="E822" s="88">
        <f>IF($T822="","",IF($S822="S",IF(""="","",""),IF(INDEX('AFA Rates'!$D$5:$D$1004,$T822)="","",INDEX('AFA Rates'!$D$5:$D$1004,$T822))))</f>
        <v/>
      </c>
      <c r="F822" s="79">
        <f>IF($T822="","",IF($S822="S",IF(INDEX(Firms!$O$5:$O$1004,$T822)="","",INDEX(Firms!$O$5:$O$1004,$T822)),IF(INDEX('AFA Rates'!$O$5:$O$1004,$T822)="","",INDEX('AFA Rates'!$O$5:$O$1004,$T822))))</f>
        <v/>
      </c>
      <c r="G822" s="50">
        <f>IF($T822="","",IF($S822="S",IF(INDEX(Firms!$F$5:$F$1004,$T822)="","",INDEX(Firms!$F$5:$F$1004,$T822)),IF(INDEX('AFA Rates'!$E$5:$E$1004,$T822)="","",INDEX('AFA Rates'!$E$5:$E$1004,$T822))))</f>
        <v/>
      </c>
      <c r="H822" s="50">
        <f>IF($T822="","",IF($S822="S",IF(INDEX(Firms!$G$5:$G$1004,$T822)="","",INDEX(Firms!$G$5:$G$1004,$T822)),IF(INDEX('AFA Rates'!$F$5:$F$1004,$T822)="","",INDEX('AFA Rates'!$F$5:$F$1004,$T822))))</f>
        <v/>
      </c>
      <c r="I822" s="50">
        <f>IF($T822="","",IF($S822="S",IF(INDEX(Firms!$H$5:$H$1004,$T822)="","",INDEX(Firms!$H$5:$H$1004,$T822)),IF(INDEX('AFA Rates'!$G$5:$G$1004,$T822)="","",INDEX('AFA Rates'!$G$5:$G$1004,$T822))))</f>
        <v/>
      </c>
      <c r="J822" s="50">
        <f>IF($T822="","",IF($S822="S",IF(INDEX(Firms!$I$5:$I$1004,$T822)="","",INDEX(Firms!$I$5:$I$1004,$T822)),IF(INDEX('AFA Rates'!$H$5:$H$1004,$T822)="","",INDEX('AFA Rates'!$H$5:$H$1004,$T822))))</f>
        <v/>
      </c>
      <c r="K822" s="50">
        <f>IF($T822="","",IF($S822="S",IF(INDEX(Firms!$J$5:$J$1004,$T822)="","",INDEX(Firms!$J$5:$J$1004,$T822)),IF(INDEX('AFA Rates'!$I$5:$I$1004,$T822)="","",INDEX('AFA Rates'!$I$5:$I$1004,$T822))))</f>
        <v/>
      </c>
      <c r="L822" s="50">
        <f>IF($T822="","",IF($S822="S",IF(INDEX(Firms!$K$5:$K$1004,$T822)="","",INDEX(Firms!$K$5:$K$1004,$T822)),IF(INDEX('AFA Rates'!$J$5:$J$1004,$T822)="","",INDEX('AFA Rates'!$J$5:$J$1004,$T822))))</f>
        <v/>
      </c>
      <c r="M822" s="50">
        <f>IF($T822="","",IF($S822="S",IF(INDEX(Firms!$L$5:$L$1004,$T822)="","",INDEX(Firms!$L$5:$L$1004,$T822)),IF(INDEX('AFA Rates'!$K$5:$K$1004,$T822)="","",INDEX('AFA Rates'!$K$5:$K$1004,$T822))))</f>
        <v/>
      </c>
      <c r="N822" s="50">
        <f>IF($T822="","",IF($S822="S",IF(INDEX(Firms!$M$5:$M$1004,$T822)="","",INDEX(Firms!$M$5:$M$1004,$T822)),IF(INDEX('AFA Rates'!$L$5:$L$1004,$T822)="","",INDEX('AFA Rates'!$L$5:$L$1004,$T822))))</f>
        <v/>
      </c>
      <c r="O822" s="78">
        <f>IF(OR($T822="",$U822=""),"",IF(INDEX(Firms!$C$5:$C$1004,$U822)="","",INDEX(Firms!$C$5:$C$1004,$U822)))</f>
        <v/>
      </c>
      <c r="P822" s="79">
        <f>IF(OR($T822="",$U822=""),"",IF(INDEX(Firms!$N$5:$N$1004,$U822)="","",INDEX(Firms!$N$5:$N$1004,$U822)))</f>
        <v/>
      </c>
      <c r="Q822" s="78">
        <f>IF($T822="","",IF($S822="S",IF(INDEX(Firms!$T$5:$T$1004,$T822)="","",INDEX(Firms!$T$5:$T$1004,$T822)),IF(INDEX('AFA Rates'!$M$5:$M$1004,$T822)="","",INDEX('AFA Rates'!$M$5:$M$1004,$T822))))</f>
        <v/>
      </c>
      <c r="S822">
        <f>IF(818&lt;=$S$2,"S",IF(818&lt;=$S$2+$T$2,"A",""))</f>
        <v/>
      </c>
      <c r="T822">
        <f>IF(S822="S",MATCH(818,Firms!$W$5:$W$1004,0),IF(S822="A",IFERROR(MATCH(818-$S$2,'AFA Rates'!$R$5:$R$1004,0),""),""))</f>
        <v/>
      </c>
      <c r="U822">
        <f>IF(S822="S",T822,IF(AND(S822="A",T822&lt;&gt;""),IFERROR(MATCH(INDEX('AFA Rates'!$A$5:$A$1004,T822),Firms!$A$5:$A$1004,0),""),""))</f>
        <v/>
      </c>
    </row>
    <row r="823">
      <c r="A823" s="78">
        <f>IF($T823="","",IF($S823="S",IF(INDEX(Firms!$A$5:$A$1004,$T823)="","",INDEX(Firms!$A$5:$A$1004,$T823)),IF(INDEX('AFA Rates'!$A$5:$A$1004,$T823)="","",INDEX('AFA Rates'!$A$5:$A$1004,$T823))))</f>
        <v/>
      </c>
      <c r="B823" s="79">
        <f>IF(OR($T823="",$U823=""),IF($T823="","","Not on Firms tab"),INDEX(Firms!$B$5:$B$1004,$U823)&amp;"")</f>
        <v/>
      </c>
      <c r="C823" s="78">
        <f>IF($T823="","",IF($S823="S","Standard",INDEX('AFA Rates'!$B$5:$B$1004,$T823)&amp;""))</f>
        <v/>
      </c>
      <c r="D823" s="88">
        <f>IF($T823="","",IF($S823="S",IF(INDEX(Firms!$E$5:$E$1004,$T823)="","",INDEX(Firms!$E$5:$E$1004,$T823)),IF(INDEX('AFA Rates'!$C$5:$C$1004,$T823)="","",INDEX('AFA Rates'!$C$5:$C$1004,$T823))))</f>
        <v/>
      </c>
      <c r="E823" s="88">
        <f>IF($T823="","",IF($S823="S",IF(""="","",""),IF(INDEX('AFA Rates'!$D$5:$D$1004,$T823)="","",INDEX('AFA Rates'!$D$5:$D$1004,$T823))))</f>
        <v/>
      </c>
      <c r="F823" s="79">
        <f>IF($T823="","",IF($S823="S",IF(INDEX(Firms!$O$5:$O$1004,$T823)="","",INDEX(Firms!$O$5:$O$1004,$T823)),IF(INDEX('AFA Rates'!$O$5:$O$1004,$T823)="","",INDEX('AFA Rates'!$O$5:$O$1004,$T823))))</f>
        <v/>
      </c>
      <c r="G823" s="50">
        <f>IF($T823="","",IF($S823="S",IF(INDEX(Firms!$F$5:$F$1004,$T823)="","",INDEX(Firms!$F$5:$F$1004,$T823)),IF(INDEX('AFA Rates'!$E$5:$E$1004,$T823)="","",INDEX('AFA Rates'!$E$5:$E$1004,$T823))))</f>
        <v/>
      </c>
      <c r="H823" s="50">
        <f>IF($T823="","",IF($S823="S",IF(INDEX(Firms!$G$5:$G$1004,$T823)="","",INDEX(Firms!$G$5:$G$1004,$T823)),IF(INDEX('AFA Rates'!$F$5:$F$1004,$T823)="","",INDEX('AFA Rates'!$F$5:$F$1004,$T823))))</f>
        <v/>
      </c>
      <c r="I823" s="50">
        <f>IF($T823="","",IF($S823="S",IF(INDEX(Firms!$H$5:$H$1004,$T823)="","",INDEX(Firms!$H$5:$H$1004,$T823)),IF(INDEX('AFA Rates'!$G$5:$G$1004,$T823)="","",INDEX('AFA Rates'!$G$5:$G$1004,$T823))))</f>
        <v/>
      </c>
      <c r="J823" s="50">
        <f>IF($T823="","",IF($S823="S",IF(INDEX(Firms!$I$5:$I$1004,$T823)="","",INDEX(Firms!$I$5:$I$1004,$T823)),IF(INDEX('AFA Rates'!$H$5:$H$1004,$T823)="","",INDEX('AFA Rates'!$H$5:$H$1004,$T823))))</f>
        <v/>
      </c>
      <c r="K823" s="50">
        <f>IF($T823="","",IF($S823="S",IF(INDEX(Firms!$J$5:$J$1004,$T823)="","",INDEX(Firms!$J$5:$J$1004,$T823)),IF(INDEX('AFA Rates'!$I$5:$I$1004,$T823)="","",INDEX('AFA Rates'!$I$5:$I$1004,$T823))))</f>
        <v/>
      </c>
      <c r="L823" s="50">
        <f>IF($T823="","",IF($S823="S",IF(INDEX(Firms!$K$5:$K$1004,$T823)="","",INDEX(Firms!$K$5:$K$1004,$T823)),IF(INDEX('AFA Rates'!$J$5:$J$1004,$T823)="","",INDEX('AFA Rates'!$J$5:$J$1004,$T823))))</f>
        <v/>
      </c>
      <c r="M823" s="50">
        <f>IF($T823="","",IF($S823="S",IF(INDEX(Firms!$L$5:$L$1004,$T823)="","",INDEX(Firms!$L$5:$L$1004,$T823)),IF(INDEX('AFA Rates'!$K$5:$K$1004,$T823)="","",INDEX('AFA Rates'!$K$5:$K$1004,$T823))))</f>
        <v/>
      </c>
      <c r="N823" s="50">
        <f>IF($T823="","",IF($S823="S",IF(INDEX(Firms!$M$5:$M$1004,$T823)="","",INDEX(Firms!$M$5:$M$1004,$T823)),IF(INDEX('AFA Rates'!$L$5:$L$1004,$T823)="","",INDEX('AFA Rates'!$L$5:$L$1004,$T823))))</f>
        <v/>
      </c>
      <c r="O823" s="78">
        <f>IF(OR($T823="",$U823=""),"",IF(INDEX(Firms!$C$5:$C$1004,$U823)="","",INDEX(Firms!$C$5:$C$1004,$U823)))</f>
        <v/>
      </c>
      <c r="P823" s="79">
        <f>IF(OR($T823="",$U823=""),"",IF(INDEX(Firms!$N$5:$N$1004,$U823)="","",INDEX(Firms!$N$5:$N$1004,$U823)))</f>
        <v/>
      </c>
      <c r="Q823" s="78">
        <f>IF($T823="","",IF($S823="S",IF(INDEX(Firms!$T$5:$T$1004,$T823)="","",INDEX(Firms!$T$5:$T$1004,$T823)),IF(INDEX('AFA Rates'!$M$5:$M$1004,$T823)="","",INDEX('AFA Rates'!$M$5:$M$1004,$T823))))</f>
        <v/>
      </c>
      <c r="S823">
        <f>IF(819&lt;=$S$2,"S",IF(819&lt;=$S$2+$T$2,"A",""))</f>
        <v/>
      </c>
      <c r="T823">
        <f>IF(S823="S",MATCH(819,Firms!$W$5:$W$1004,0),IF(S823="A",IFERROR(MATCH(819-$S$2,'AFA Rates'!$R$5:$R$1004,0),""),""))</f>
        <v/>
      </c>
      <c r="U823">
        <f>IF(S823="S",T823,IF(AND(S823="A",T823&lt;&gt;""),IFERROR(MATCH(INDEX('AFA Rates'!$A$5:$A$1004,T823),Firms!$A$5:$A$1004,0),""),""))</f>
        <v/>
      </c>
    </row>
    <row r="824">
      <c r="A824" s="78">
        <f>IF($T824="","",IF($S824="S",IF(INDEX(Firms!$A$5:$A$1004,$T824)="","",INDEX(Firms!$A$5:$A$1004,$T824)),IF(INDEX('AFA Rates'!$A$5:$A$1004,$T824)="","",INDEX('AFA Rates'!$A$5:$A$1004,$T824))))</f>
        <v/>
      </c>
      <c r="B824" s="79">
        <f>IF(OR($T824="",$U824=""),IF($T824="","","Not on Firms tab"),INDEX(Firms!$B$5:$B$1004,$U824)&amp;"")</f>
        <v/>
      </c>
      <c r="C824" s="78">
        <f>IF($T824="","",IF($S824="S","Standard",INDEX('AFA Rates'!$B$5:$B$1004,$T824)&amp;""))</f>
        <v/>
      </c>
      <c r="D824" s="88">
        <f>IF($T824="","",IF($S824="S",IF(INDEX(Firms!$E$5:$E$1004,$T824)="","",INDEX(Firms!$E$5:$E$1004,$T824)),IF(INDEX('AFA Rates'!$C$5:$C$1004,$T824)="","",INDEX('AFA Rates'!$C$5:$C$1004,$T824))))</f>
        <v/>
      </c>
      <c r="E824" s="88">
        <f>IF($T824="","",IF($S824="S",IF(""="","",""),IF(INDEX('AFA Rates'!$D$5:$D$1004,$T824)="","",INDEX('AFA Rates'!$D$5:$D$1004,$T824))))</f>
        <v/>
      </c>
      <c r="F824" s="79">
        <f>IF($T824="","",IF($S824="S",IF(INDEX(Firms!$O$5:$O$1004,$T824)="","",INDEX(Firms!$O$5:$O$1004,$T824)),IF(INDEX('AFA Rates'!$O$5:$O$1004,$T824)="","",INDEX('AFA Rates'!$O$5:$O$1004,$T824))))</f>
        <v/>
      </c>
      <c r="G824" s="50">
        <f>IF($T824="","",IF($S824="S",IF(INDEX(Firms!$F$5:$F$1004,$T824)="","",INDEX(Firms!$F$5:$F$1004,$T824)),IF(INDEX('AFA Rates'!$E$5:$E$1004,$T824)="","",INDEX('AFA Rates'!$E$5:$E$1004,$T824))))</f>
        <v/>
      </c>
      <c r="H824" s="50">
        <f>IF($T824="","",IF($S824="S",IF(INDEX(Firms!$G$5:$G$1004,$T824)="","",INDEX(Firms!$G$5:$G$1004,$T824)),IF(INDEX('AFA Rates'!$F$5:$F$1004,$T824)="","",INDEX('AFA Rates'!$F$5:$F$1004,$T824))))</f>
        <v/>
      </c>
      <c r="I824" s="50">
        <f>IF($T824="","",IF($S824="S",IF(INDEX(Firms!$H$5:$H$1004,$T824)="","",INDEX(Firms!$H$5:$H$1004,$T824)),IF(INDEX('AFA Rates'!$G$5:$G$1004,$T824)="","",INDEX('AFA Rates'!$G$5:$G$1004,$T824))))</f>
        <v/>
      </c>
      <c r="J824" s="50">
        <f>IF($T824="","",IF($S824="S",IF(INDEX(Firms!$I$5:$I$1004,$T824)="","",INDEX(Firms!$I$5:$I$1004,$T824)),IF(INDEX('AFA Rates'!$H$5:$H$1004,$T824)="","",INDEX('AFA Rates'!$H$5:$H$1004,$T824))))</f>
        <v/>
      </c>
      <c r="K824" s="50">
        <f>IF($T824="","",IF($S824="S",IF(INDEX(Firms!$J$5:$J$1004,$T824)="","",INDEX(Firms!$J$5:$J$1004,$T824)),IF(INDEX('AFA Rates'!$I$5:$I$1004,$T824)="","",INDEX('AFA Rates'!$I$5:$I$1004,$T824))))</f>
        <v/>
      </c>
      <c r="L824" s="50">
        <f>IF($T824="","",IF($S824="S",IF(INDEX(Firms!$K$5:$K$1004,$T824)="","",INDEX(Firms!$K$5:$K$1004,$T824)),IF(INDEX('AFA Rates'!$J$5:$J$1004,$T824)="","",INDEX('AFA Rates'!$J$5:$J$1004,$T824))))</f>
        <v/>
      </c>
      <c r="M824" s="50">
        <f>IF($T824="","",IF($S824="S",IF(INDEX(Firms!$L$5:$L$1004,$T824)="","",INDEX(Firms!$L$5:$L$1004,$T824)),IF(INDEX('AFA Rates'!$K$5:$K$1004,$T824)="","",INDEX('AFA Rates'!$K$5:$K$1004,$T824))))</f>
        <v/>
      </c>
      <c r="N824" s="50">
        <f>IF($T824="","",IF($S824="S",IF(INDEX(Firms!$M$5:$M$1004,$T824)="","",INDEX(Firms!$M$5:$M$1004,$T824)),IF(INDEX('AFA Rates'!$L$5:$L$1004,$T824)="","",INDEX('AFA Rates'!$L$5:$L$1004,$T824))))</f>
        <v/>
      </c>
      <c r="O824" s="78">
        <f>IF(OR($T824="",$U824=""),"",IF(INDEX(Firms!$C$5:$C$1004,$U824)="","",INDEX(Firms!$C$5:$C$1004,$U824)))</f>
        <v/>
      </c>
      <c r="P824" s="79">
        <f>IF(OR($T824="",$U824=""),"",IF(INDEX(Firms!$N$5:$N$1004,$U824)="","",INDEX(Firms!$N$5:$N$1004,$U824)))</f>
        <v/>
      </c>
      <c r="Q824" s="78">
        <f>IF($T824="","",IF($S824="S",IF(INDEX(Firms!$T$5:$T$1004,$T824)="","",INDEX(Firms!$T$5:$T$1004,$T824)),IF(INDEX('AFA Rates'!$M$5:$M$1004,$T824)="","",INDEX('AFA Rates'!$M$5:$M$1004,$T824))))</f>
        <v/>
      </c>
      <c r="S824">
        <f>IF(820&lt;=$S$2,"S",IF(820&lt;=$S$2+$T$2,"A",""))</f>
        <v/>
      </c>
      <c r="T824">
        <f>IF(S824="S",MATCH(820,Firms!$W$5:$W$1004,0),IF(S824="A",IFERROR(MATCH(820-$S$2,'AFA Rates'!$R$5:$R$1004,0),""),""))</f>
        <v/>
      </c>
      <c r="U824">
        <f>IF(S824="S",T824,IF(AND(S824="A",T824&lt;&gt;""),IFERROR(MATCH(INDEX('AFA Rates'!$A$5:$A$1004,T824),Firms!$A$5:$A$1004,0),""),""))</f>
        <v/>
      </c>
    </row>
    <row r="825">
      <c r="A825" s="78">
        <f>IF($T825="","",IF($S825="S",IF(INDEX(Firms!$A$5:$A$1004,$T825)="","",INDEX(Firms!$A$5:$A$1004,$T825)),IF(INDEX('AFA Rates'!$A$5:$A$1004,$T825)="","",INDEX('AFA Rates'!$A$5:$A$1004,$T825))))</f>
        <v/>
      </c>
      <c r="B825" s="79">
        <f>IF(OR($T825="",$U825=""),IF($T825="","","Not on Firms tab"),INDEX(Firms!$B$5:$B$1004,$U825)&amp;"")</f>
        <v/>
      </c>
      <c r="C825" s="78">
        <f>IF($T825="","",IF($S825="S","Standard",INDEX('AFA Rates'!$B$5:$B$1004,$T825)&amp;""))</f>
        <v/>
      </c>
      <c r="D825" s="88">
        <f>IF($T825="","",IF($S825="S",IF(INDEX(Firms!$E$5:$E$1004,$T825)="","",INDEX(Firms!$E$5:$E$1004,$T825)),IF(INDEX('AFA Rates'!$C$5:$C$1004,$T825)="","",INDEX('AFA Rates'!$C$5:$C$1004,$T825))))</f>
        <v/>
      </c>
      <c r="E825" s="88">
        <f>IF($T825="","",IF($S825="S",IF(""="","",""),IF(INDEX('AFA Rates'!$D$5:$D$1004,$T825)="","",INDEX('AFA Rates'!$D$5:$D$1004,$T825))))</f>
        <v/>
      </c>
      <c r="F825" s="79">
        <f>IF($T825="","",IF($S825="S",IF(INDEX(Firms!$O$5:$O$1004,$T825)="","",INDEX(Firms!$O$5:$O$1004,$T825)),IF(INDEX('AFA Rates'!$O$5:$O$1004,$T825)="","",INDEX('AFA Rates'!$O$5:$O$1004,$T825))))</f>
        <v/>
      </c>
      <c r="G825" s="50">
        <f>IF($T825="","",IF($S825="S",IF(INDEX(Firms!$F$5:$F$1004,$T825)="","",INDEX(Firms!$F$5:$F$1004,$T825)),IF(INDEX('AFA Rates'!$E$5:$E$1004,$T825)="","",INDEX('AFA Rates'!$E$5:$E$1004,$T825))))</f>
        <v/>
      </c>
      <c r="H825" s="50">
        <f>IF($T825="","",IF($S825="S",IF(INDEX(Firms!$G$5:$G$1004,$T825)="","",INDEX(Firms!$G$5:$G$1004,$T825)),IF(INDEX('AFA Rates'!$F$5:$F$1004,$T825)="","",INDEX('AFA Rates'!$F$5:$F$1004,$T825))))</f>
        <v/>
      </c>
      <c r="I825" s="50">
        <f>IF($T825="","",IF($S825="S",IF(INDEX(Firms!$H$5:$H$1004,$T825)="","",INDEX(Firms!$H$5:$H$1004,$T825)),IF(INDEX('AFA Rates'!$G$5:$G$1004,$T825)="","",INDEX('AFA Rates'!$G$5:$G$1004,$T825))))</f>
        <v/>
      </c>
      <c r="J825" s="50">
        <f>IF($T825="","",IF($S825="S",IF(INDEX(Firms!$I$5:$I$1004,$T825)="","",INDEX(Firms!$I$5:$I$1004,$T825)),IF(INDEX('AFA Rates'!$H$5:$H$1004,$T825)="","",INDEX('AFA Rates'!$H$5:$H$1004,$T825))))</f>
        <v/>
      </c>
      <c r="K825" s="50">
        <f>IF($T825="","",IF($S825="S",IF(INDEX(Firms!$J$5:$J$1004,$T825)="","",INDEX(Firms!$J$5:$J$1004,$T825)),IF(INDEX('AFA Rates'!$I$5:$I$1004,$T825)="","",INDEX('AFA Rates'!$I$5:$I$1004,$T825))))</f>
        <v/>
      </c>
      <c r="L825" s="50">
        <f>IF($T825="","",IF($S825="S",IF(INDEX(Firms!$K$5:$K$1004,$T825)="","",INDEX(Firms!$K$5:$K$1004,$T825)),IF(INDEX('AFA Rates'!$J$5:$J$1004,$T825)="","",INDEX('AFA Rates'!$J$5:$J$1004,$T825))))</f>
        <v/>
      </c>
      <c r="M825" s="50">
        <f>IF($T825="","",IF($S825="S",IF(INDEX(Firms!$L$5:$L$1004,$T825)="","",INDEX(Firms!$L$5:$L$1004,$T825)),IF(INDEX('AFA Rates'!$K$5:$K$1004,$T825)="","",INDEX('AFA Rates'!$K$5:$K$1004,$T825))))</f>
        <v/>
      </c>
      <c r="N825" s="50">
        <f>IF($T825="","",IF($S825="S",IF(INDEX(Firms!$M$5:$M$1004,$T825)="","",INDEX(Firms!$M$5:$M$1004,$T825)),IF(INDEX('AFA Rates'!$L$5:$L$1004,$T825)="","",INDEX('AFA Rates'!$L$5:$L$1004,$T825))))</f>
        <v/>
      </c>
      <c r="O825" s="78">
        <f>IF(OR($T825="",$U825=""),"",IF(INDEX(Firms!$C$5:$C$1004,$U825)="","",INDEX(Firms!$C$5:$C$1004,$U825)))</f>
        <v/>
      </c>
      <c r="P825" s="79">
        <f>IF(OR($T825="",$U825=""),"",IF(INDEX(Firms!$N$5:$N$1004,$U825)="","",INDEX(Firms!$N$5:$N$1004,$U825)))</f>
        <v/>
      </c>
      <c r="Q825" s="78">
        <f>IF($T825="","",IF($S825="S",IF(INDEX(Firms!$T$5:$T$1004,$T825)="","",INDEX(Firms!$T$5:$T$1004,$T825)),IF(INDEX('AFA Rates'!$M$5:$M$1004,$T825)="","",INDEX('AFA Rates'!$M$5:$M$1004,$T825))))</f>
        <v/>
      </c>
      <c r="S825">
        <f>IF(821&lt;=$S$2,"S",IF(821&lt;=$S$2+$T$2,"A",""))</f>
        <v/>
      </c>
      <c r="T825">
        <f>IF(S825="S",MATCH(821,Firms!$W$5:$W$1004,0),IF(S825="A",IFERROR(MATCH(821-$S$2,'AFA Rates'!$R$5:$R$1004,0),""),""))</f>
        <v/>
      </c>
      <c r="U825">
        <f>IF(S825="S",T825,IF(AND(S825="A",T825&lt;&gt;""),IFERROR(MATCH(INDEX('AFA Rates'!$A$5:$A$1004,T825),Firms!$A$5:$A$1004,0),""),""))</f>
        <v/>
      </c>
    </row>
    <row r="826">
      <c r="A826" s="78">
        <f>IF($T826="","",IF($S826="S",IF(INDEX(Firms!$A$5:$A$1004,$T826)="","",INDEX(Firms!$A$5:$A$1004,$T826)),IF(INDEX('AFA Rates'!$A$5:$A$1004,$T826)="","",INDEX('AFA Rates'!$A$5:$A$1004,$T826))))</f>
        <v/>
      </c>
      <c r="B826" s="79">
        <f>IF(OR($T826="",$U826=""),IF($T826="","","Not on Firms tab"),INDEX(Firms!$B$5:$B$1004,$U826)&amp;"")</f>
        <v/>
      </c>
      <c r="C826" s="78">
        <f>IF($T826="","",IF($S826="S","Standard",INDEX('AFA Rates'!$B$5:$B$1004,$T826)&amp;""))</f>
        <v/>
      </c>
      <c r="D826" s="88">
        <f>IF($T826="","",IF($S826="S",IF(INDEX(Firms!$E$5:$E$1004,$T826)="","",INDEX(Firms!$E$5:$E$1004,$T826)),IF(INDEX('AFA Rates'!$C$5:$C$1004,$T826)="","",INDEX('AFA Rates'!$C$5:$C$1004,$T826))))</f>
        <v/>
      </c>
      <c r="E826" s="88">
        <f>IF($T826="","",IF($S826="S",IF(""="","",""),IF(INDEX('AFA Rates'!$D$5:$D$1004,$T826)="","",INDEX('AFA Rates'!$D$5:$D$1004,$T826))))</f>
        <v/>
      </c>
      <c r="F826" s="79">
        <f>IF($T826="","",IF($S826="S",IF(INDEX(Firms!$O$5:$O$1004,$T826)="","",INDEX(Firms!$O$5:$O$1004,$T826)),IF(INDEX('AFA Rates'!$O$5:$O$1004,$T826)="","",INDEX('AFA Rates'!$O$5:$O$1004,$T826))))</f>
        <v/>
      </c>
      <c r="G826" s="50">
        <f>IF($T826="","",IF($S826="S",IF(INDEX(Firms!$F$5:$F$1004,$T826)="","",INDEX(Firms!$F$5:$F$1004,$T826)),IF(INDEX('AFA Rates'!$E$5:$E$1004,$T826)="","",INDEX('AFA Rates'!$E$5:$E$1004,$T826))))</f>
        <v/>
      </c>
      <c r="H826" s="50">
        <f>IF($T826="","",IF($S826="S",IF(INDEX(Firms!$G$5:$G$1004,$T826)="","",INDEX(Firms!$G$5:$G$1004,$T826)),IF(INDEX('AFA Rates'!$F$5:$F$1004,$T826)="","",INDEX('AFA Rates'!$F$5:$F$1004,$T826))))</f>
        <v/>
      </c>
      <c r="I826" s="50">
        <f>IF($T826="","",IF($S826="S",IF(INDEX(Firms!$H$5:$H$1004,$T826)="","",INDEX(Firms!$H$5:$H$1004,$T826)),IF(INDEX('AFA Rates'!$G$5:$G$1004,$T826)="","",INDEX('AFA Rates'!$G$5:$G$1004,$T826))))</f>
        <v/>
      </c>
      <c r="J826" s="50">
        <f>IF($T826="","",IF($S826="S",IF(INDEX(Firms!$I$5:$I$1004,$T826)="","",INDEX(Firms!$I$5:$I$1004,$T826)),IF(INDEX('AFA Rates'!$H$5:$H$1004,$T826)="","",INDEX('AFA Rates'!$H$5:$H$1004,$T826))))</f>
        <v/>
      </c>
      <c r="K826" s="50">
        <f>IF($T826="","",IF($S826="S",IF(INDEX(Firms!$J$5:$J$1004,$T826)="","",INDEX(Firms!$J$5:$J$1004,$T826)),IF(INDEX('AFA Rates'!$I$5:$I$1004,$T826)="","",INDEX('AFA Rates'!$I$5:$I$1004,$T826))))</f>
        <v/>
      </c>
      <c r="L826" s="50">
        <f>IF($T826="","",IF($S826="S",IF(INDEX(Firms!$K$5:$K$1004,$T826)="","",INDEX(Firms!$K$5:$K$1004,$T826)),IF(INDEX('AFA Rates'!$J$5:$J$1004,$T826)="","",INDEX('AFA Rates'!$J$5:$J$1004,$T826))))</f>
        <v/>
      </c>
      <c r="M826" s="50">
        <f>IF($T826="","",IF($S826="S",IF(INDEX(Firms!$L$5:$L$1004,$T826)="","",INDEX(Firms!$L$5:$L$1004,$T826)),IF(INDEX('AFA Rates'!$K$5:$K$1004,$T826)="","",INDEX('AFA Rates'!$K$5:$K$1004,$T826))))</f>
        <v/>
      </c>
      <c r="N826" s="50">
        <f>IF($T826="","",IF($S826="S",IF(INDEX(Firms!$M$5:$M$1004,$T826)="","",INDEX(Firms!$M$5:$M$1004,$T826)),IF(INDEX('AFA Rates'!$L$5:$L$1004,$T826)="","",INDEX('AFA Rates'!$L$5:$L$1004,$T826))))</f>
        <v/>
      </c>
      <c r="O826" s="78">
        <f>IF(OR($T826="",$U826=""),"",IF(INDEX(Firms!$C$5:$C$1004,$U826)="","",INDEX(Firms!$C$5:$C$1004,$U826)))</f>
        <v/>
      </c>
      <c r="P826" s="79">
        <f>IF(OR($T826="",$U826=""),"",IF(INDEX(Firms!$N$5:$N$1004,$U826)="","",INDEX(Firms!$N$5:$N$1004,$U826)))</f>
        <v/>
      </c>
      <c r="Q826" s="78">
        <f>IF($T826="","",IF($S826="S",IF(INDEX(Firms!$T$5:$T$1004,$T826)="","",INDEX(Firms!$T$5:$T$1004,$T826)),IF(INDEX('AFA Rates'!$M$5:$M$1004,$T826)="","",INDEX('AFA Rates'!$M$5:$M$1004,$T826))))</f>
        <v/>
      </c>
      <c r="S826">
        <f>IF(822&lt;=$S$2,"S",IF(822&lt;=$S$2+$T$2,"A",""))</f>
        <v/>
      </c>
      <c r="T826">
        <f>IF(S826="S",MATCH(822,Firms!$W$5:$W$1004,0),IF(S826="A",IFERROR(MATCH(822-$S$2,'AFA Rates'!$R$5:$R$1004,0),""),""))</f>
        <v/>
      </c>
      <c r="U826">
        <f>IF(S826="S",T826,IF(AND(S826="A",T826&lt;&gt;""),IFERROR(MATCH(INDEX('AFA Rates'!$A$5:$A$1004,T826),Firms!$A$5:$A$1004,0),""),""))</f>
        <v/>
      </c>
    </row>
    <row r="827">
      <c r="A827" s="78">
        <f>IF($T827="","",IF($S827="S",IF(INDEX(Firms!$A$5:$A$1004,$T827)="","",INDEX(Firms!$A$5:$A$1004,$T827)),IF(INDEX('AFA Rates'!$A$5:$A$1004,$T827)="","",INDEX('AFA Rates'!$A$5:$A$1004,$T827))))</f>
        <v/>
      </c>
      <c r="B827" s="79">
        <f>IF(OR($T827="",$U827=""),IF($T827="","","Not on Firms tab"),INDEX(Firms!$B$5:$B$1004,$U827)&amp;"")</f>
        <v/>
      </c>
      <c r="C827" s="78">
        <f>IF($T827="","",IF($S827="S","Standard",INDEX('AFA Rates'!$B$5:$B$1004,$T827)&amp;""))</f>
        <v/>
      </c>
      <c r="D827" s="88">
        <f>IF($T827="","",IF($S827="S",IF(INDEX(Firms!$E$5:$E$1004,$T827)="","",INDEX(Firms!$E$5:$E$1004,$T827)),IF(INDEX('AFA Rates'!$C$5:$C$1004,$T827)="","",INDEX('AFA Rates'!$C$5:$C$1004,$T827))))</f>
        <v/>
      </c>
      <c r="E827" s="88">
        <f>IF($T827="","",IF($S827="S",IF(""="","",""),IF(INDEX('AFA Rates'!$D$5:$D$1004,$T827)="","",INDEX('AFA Rates'!$D$5:$D$1004,$T827))))</f>
        <v/>
      </c>
      <c r="F827" s="79">
        <f>IF($T827="","",IF($S827="S",IF(INDEX(Firms!$O$5:$O$1004,$T827)="","",INDEX(Firms!$O$5:$O$1004,$T827)),IF(INDEX('AFA Rates'!$O$5:$O$1004,$T827)="","",INDEX('AFA Rates'!$O$5:$O$1004,$T827))))</f>
        <v/>
      </c>
      <c r="G827" s="50">
        <f>IF($T827="","",IF($S827="S",IF(INDEX(Firms!$F$5:$F$1004,$T827)="","",INDEX(Firms!$F$5:$F$1004,$T827)),IF(INDEX('AFA Rates'!$E$5:$E$1004,$T827)="","",INDEX('AFA Rates'!$E$5:$E$1004,$T827))))</f>
        <v/>
      </c>
      <c r="H827" s="50">
        <f>IF($T827="","",IF($S827="S",IF(INDEX(Firms!$G$5:$G$1004,$T827)="","",INDEX(Firms!$G$5:$G$1004,$T827)),IF(INDEX('AFA Rates'!$F$5:$F$1004,$T827)="","",INDEX('AFA Rates'!$F$5:$F$1004,$T827))))</f>
        <v/>
      </c>
      <c r="I827" s="50">
        <f>IF($T827="","",IF($S827="S",IF(INDEX(Firms!$H$5:$H$1004,$T827)="","",INDEX(Firms!$H$5:$H$1004,$T827)),IF(INDEX('AFA Rates'!$G$5:$G$1004,$T827)="","",INDEX('AFA Rates'!$G$5:$G$1004,$T827))))</f>
        <v/>
      </c>
      <c r="J827" s="50">
        <f>IF($T827="","",IF($S827="S",IF(INDEX(Firms!$I$5:$I$1004,$T827)="","",INDEX(Firms!$I$5:$I$1004,$T827)),IF(INDEX('AFA Rates'!$H$5:$H$1004,$T827)="","",INDEX('AFA Rates'!$H$5:$H$1004,$T827))))</f>
        <v/>
      </c>
      <c r="K827" s="50">
        <f>IF($T827="","",IF($S827="S",IF(INDEX(Firms!$J$5:$J$1004,$T827)="","",INDEX(Firms!$J$5:$J$1004,$T827)),IF(INDEX('AFA Rates'!$I$5:$I$1004,$T827)="","",INDEX('AFA Rates'!$I$5:$I$1004,$T827))))</f>
        <v/>
      </c>
      <c r="L827" s="50">
        <f>IF($T827="","",IF($S827="S",IF(INDEX(Firms!$K$5:$K$1004,$T827)="","",INDEX(Firms!$K$5:$K$1004,$T827)),IF(INDEX('AFA Rates'!$J$5:$J$1004,$T827)="","",INDEX('AFA Rates'!$J$5:$J$1004,$T827))))</f>
        <v/>
      </c>
      <c r="M827" s="50">
        <f>IF($T827="","",IF($S827="S",IF(INDEX(Firms!$L$5:$L$1004,$T827)="","",INDEX(Firms!$L$5:$L$1004,$T827)),IF(INDEX('AFA Rates'!$K$5:$K$1004,$T827)="","",INDEX('AFA Rates'!$K$5:$K$1004,$T827))))</f>
        <v/>
      </c>
      <c r="N827" s="50">
        <f>IF($T827="","",IF($S827="S",IF(INDEX(Firms!$M$5:$M$1004,$T827)="","",INDEX(Firms!$M$5:$M$1004,$T827)),IF(INDEX('AFA Rates'!$L$5:$L$1004,$T827)="","",INDEX('AFA Rates'!$L$5:$L$1004,$T827))))</f>
        <v/>
      </c>
      <c r="O827" s="78">
        <f>IF(OR($T827="",$U827=""),"",IF(INDEX(Firms!$C$5:$C$1004,$U827)="","",INDEX(Firms!$C$5:$C$1004,$U827)))</f>
        <v/>
      </c>
      <c r="P827" s="79">
        <f>IF(OR($T827="",$U827=""),"",IF(INDEX(Firms!$N$5:$N$1004,$U827)="","",INDEX(Firms!$N$5:$N$1004,$U827)))</f>
        <v/>
      </c>
      <c r="Q827" s="78">
        <f>IF($T827="","",IF($S827="S",IF(INDEX(Firms!$T$5:$T$1004,$T827)="","",INDEX(Firms!$T$5:$T$1004,$T827)),IF(INDEX('AFA Rates'!$M$5:$M$1004,$T827)="","",INDEX('AFA Rates'!$M$5:$M$1004,$T827))))</f>
        <v/>
      </c>
      <c r="S827">
        <f>IF(823&lt;=$S$2,"S",IF(823&lt;=$S$2+$T$2,"A",""))</f>
        <v/>
      </c>
      <c r="T827">
        <f>IF(S827="S",MATCH(823,Firms!$W$5:$W$1004,0),IF(S827="A",IFERROR(MATCH(823-$S$2,'AFA Rates'!$R$5:$R$1004,0),""),""))</f>
        <v/>
      </c>
      <c r="U827">
        <f>IF(S827="S",T827,IF(AND(S827="A",T827&lt;&gt;""),IFERROR(MATCH(INDEX('AFA Rates'!$A$5:$A$1004,T827),Firms!$A$5:$A$1004,0),""),""))</f>
        <v/>
      </c>
    </row>
    <row r="828">
      <c r="A828" s="78">
        <f>IF($T828="","",IF($S828="S",IF(INDEX(Firms!$A$5:$A$1004,$T828)="","",INDEX(Firms!$A$5:$A$1004,$T828)),IF(INDEX('AFA Rates'!$A$5:$A$1004,$T828)="","",INDEX('AFA Rates'!$A$5:$A$1004,$T828))))</f>
        <v/>
      </c>
      <c r="B828" s="79">
        <f>IF(OR($T828="",$U828=""),IF($T828="","","Not on Firms tab"),INDEX(Firms!$B$5:$B$1004,$U828)&amp;"")</f>
        <v/>
      </c>
      <c r="C828" s="78">
        <f>IF($T828="","",IF($S828="S","Standard",INDEX('AFA Rates'!$B$5:$B$1004,$T828)&amp;""))</f>
        <v/>
      </c>
      <c r="D828" s="88">
        <f>IF($T828="","",IF($S828="S",IF(INDEX(Firms!$E$5:$E$1004,$T828)="","",INDEX(Firms!$E$5:$E$1004,$T828)),IF(INDEX('AFA Rates'!$C$5:$C$1004,$T828)="","",INDEX('AFA Rates'!$C$5:$C$1004,$T828))))</f>
        <v/>
      </c>
      <c r="E828" s="88">
        <f>IF($T828="","",IF($S828="S",IF(""="","",""),IF(INDEX('AFA Rates'!$D$5:$D$1004,$T828)="","",INDEX('AFA Rates'!$D$5:$D$1004,$T828))))</f>
        <v/>
      </c>
      <c r="F828" s="79">
        <f>IF($T828="","",IF($S828="S",IF(INDEX(Firms!$O$5:$O$1004,$T828)="","",INDEX(Firms!$O$5:$O$1004,$T828)),IF(INDEX('AFA Rates'!$O$5:$O$1004,$T828)="","",INDEX('AFA Rates'!$O$5:$O$1004,$T828))))</f>
        <v/>
      </c>
      <c r="G828" s="50">
        <f>IF($T828="","",IF($S828="S",IF(INDEX(Firms!$F$5:$F$1004,$T828)="","",INDEX(Firms!$F$5:$F$1004,$T828)),IF(INDEX('AFA Rates'!$E$5:$E$1004,$T828)="","",INDEX('AFA Rates'!$E$5:$E$1004,$T828))))</f>
        <v/>
      </c>
      <c r="H828" s="50">
        <f>IF($T828="","",IF($S828="S",IF(INDEX(Firms!$G$5:$G$1004,$T828)="","",INDEX(Firms!$G$5:$G$1004,$T828)),IF(INDEX('AFA Rates'!$F$5:$F$1004,$T828)="","",INDEX('AFA Rates'!$F$5:$F$1004,$T828))))</f>
        <v/>
      </c>
      <c r="I828" s="50">
        <f>IF($T828="","",IF($S828="S",IF(INDEX(Firms!$H$5:$H$1004,$T828)="","",INDEX(Firms!$H$5:$H$1004,$T828)),IF(INDEX('AFA Rates'!$G$5:$G$1004,$T828)="","",INDEX('AFA Rates'!$G$5:$G$1004,$T828))))</f>
        <v/>
      </c>
      <c r="J828" s="50">
        <f>IF($T828="","",IF($S828="S",IF(INDEX(Firms!$I$5:$I$1004,$T828)="","",INDEX(Firms!$I$5:$I$1004,$T828)),IF(INDEX('AFA Rates'!$H$5:$H$1004,$T828)="","",INDEX('AFA Rates'!$H$5:$H$1004,$T828))))</f>
        <v/>
      </c>
      <c r="K828" s="50">
        <f>IF($T828="","",IF($S828="S",IF(INDEX(Firms!$J$5:$J$1004,$T828)="","",INDEX(Firms!$J$5:$J$1004,$T828)),IF(INDEX('AFA Rates'!$I$5:$I$1004,$T828)="","",INDEX('AFA Rates'!$I$5:$I$1004,$T828))))</f>
        <v/>
      </c>
      <c r="L828" s="50">
        <f>IF($T828="","",IF($S828="S",IF(INDEX(Firms!$K$5:$K$1004,$T828)="","",INDEX(Firms!$K$5:$K$1004,$T828)),IF(INDEX('AFA Rates'!$J$5:$J$1004,$T828)="","",INDEX('AFA Rates'!$J$5:$J$1004,$T828))))</f>
        <v/>
      </c>
      <c r="M828" s="50">
        <f>IF($T828="","",IF($S828="S",IF(INDEX(Firms!$L$5:$L$1004,$T828)="","",INDEX(Firms!$L$5:$L$1004,$T828)),IF(INDEX('AFA Rates'!$K$5:$K$1004,$T828)="","",INDEX('AFA Rates'!$K$5:$K$1004,$T828))))</f>
        <v/>
      </c>
      <c r="N828" s="50">
        <f>IF($T828="","",IF($S828="S",IF(INDEX(Firms!$M$5:$M$1004,$T828)="","",INDEX(Firms!$M$5:$M$1004,$T828)),IF(INDEX('AFA Rates'!$L$5:$L$1004,$T828)="","",INDEX('AFA Rates'!$L$5:$L$1004,$T828))))</f>
        <v/>
      </c>
      <c r="O828" s="78">
        <f>IF(OR($T828="",$U828=""),"",IF(INDEX(Firms!$C$5:$C$1004,$U828)="","",INDEX(Firms!$C$5:$C$1004,$U828)))</f>
        <v/>
      </c>
      <c r="P828" s="79">
        <f>IF(OR($T828="",$U828=""),"",IF(INDEX(Firms!$N$5:$N$1004,$U828)="","",INDEX(Firms!$N$5:$N$1004,$U828)))</f>
        <v/>
      </c>
      <c r="Q828" s="78">
        <f>IF($T828="","",IF($S828="S",IF(INDEX(Firms!$T$5:$T$1004,$T828)="","",INDEX(Firms!$T$5:$T$1004,$T828)),IF(INDEX('AFA Rates'!$M$5:$M$1004,$T828)="","",INDEX('AFA Rates'!$M$5:$M$1004,$T828))))</f>
        <v/>
      </c>
      <c r="S828">
        <f>IF(824&lt;=$S$2,"S",IF(824&lt;=$S$2+$T$2,"A",""))</f>
        <v/>
      </c>
      <c r="T828">
        <f>IF(S828="S",MATCH(824,Firms!$W$5:$W$1004,0),IF(S828="A",IFERROR(MATCH(824-$S$2,'AFA Rates'!$R$5:$R$1004,0),""),""))</f>
        <v/>
      </c>
      <c r="U828">
        <f>IF(S828="S",T828,IF(AND(S828="A",T828&lt;&gt;""),IFERROR(MATCH(INDEX('AFA Rates'!$A$5:$A$1004,T828),Firms!$A$5:$A$1004,0),""),""))</f>
        <v/>
      </c>
    </row>
    <row r="829">
      <c r="A829" s="78">
        <f>IF($T829="","",IF($S829="S",IF(INDEX(Firms!$A$5:$A$1004,$T829)="","",INDEX(Firms!$A$5:$A$1004,$T829)),IF(INDEX('AFA Rates'!$A$5:$A$1004,$T829)="","",INDEX('AFA Rates'!$A$5:$A$1004,$T829))))</f>
        <v/>
      </c>
      <c r="B829" s="79">
        <f>IF(OR($T829="",$U829=""),IF($T829="","","Not on Firms tab"),INDEX(Firms!$B$5:$B$1004,$U829)&amp;"")</f>
        <v/>
      </c>
      <c r="C829" s="78">
        <f>IF($T829="","",IF($S829="S","Standard",INDEX('AFA Rates'!$B$5:$B$1004,$T829)&amp;""))</f>
        <v/>
      </c>
      <c r="D829" s="88">
        <f>IF($T829="","",IF($S829="S",IF(INDEX(Firms!$E$5:$E$1004,$T829)="","",INDEX(Firms!$E$5:$E$1004,$T829)),IF(INDEX('AFA Rates'!$C$5:$C$1004,$T829)="","",INDEX('AFA Rates'!$C$5:$C$1004,$T829))))</f>
        <v/>
      </c>
      <c r="E829" s="88">
        <f>IF($T829="","",IF($S829="S",IF(""="","",""),IF(INDEX('AFA Rates'!$D$5:$D$1004,$T829)="","",INDEX('AFA Rates'!$D$5:$D$1004,$T829))))</f>
        <v/>
      </c>
      <c r="F829" s="79">
        <f>IF($T829="","",IF($S829="S",IF(INDEX(Firms!$O$5:$O$1004,$T829)="","",INDEX(Firms!$O$5:$O$1004,$T829)),IF(INDEX('AFA Rates'!$O$5:$O$1004,$T829)="","",INDEX('AFA Rates'!$O$5:$O$1004,$T829))))</f>
        <v/>
      </c>
      <c r="G829" s="50">
        <f>IF($T829="","",IF($S829="S",IF(INDEX(Firms!$F$5:$F$1004,$T829)="","",INDEX(Firms!$F$5:$F$1004,$T829)),IF(INDEX('AFA Rates'!$E$5:$E$1004,$T829)="","",INDEX('AFA Rates'!$E$5:$E$1004,$T829))))</f>
        <v/>
      </c>
      <c r="H829" s="50">
        <f>IF($T829="","",IF($S829="S",IF(INDEX(Firms!$G$5:$G$1004,$T829)="","",INDEX(Firms!$G$5:$G$1004,$T829)),IF(INDEX('AFA Rates'!$F$5:$F$1004,$T829)="","",INDEX('AFA Rates'!$F$5:$F$1004,$T829))))</f>
        <v/>
      </c>
      <c r="I829" s="50">
        <f>IF($T829="","",IF($S829="S",IF(INDEX(Firms!$H$5:$H$1004,$T829)="","",INDEX(Firms!$H$5:$H$1004,$T829)),IF(INDEX('AFA Rates'!$G$5:$G$1004,$T829)="","",INDEX('AFA Rates'!$G$5:$G$1004,$T829))))</f>
        <v/>
      </c>
      <c r="J829" s="50">
        <f>IF($T829="","",IF($S829="S",IF(INDEX(Firms!$I$5:$I$1004,$T829)="","",INDEX(Firms!$I$5:$I$1004,$T829)),IF(INDEX('AFA Rates'!$H$5:$H$1004,$T829)="","",INDEX('AFA Rates'!$H$5:$H$1004,$T829))))</f>
        <v/>
      </c>
      <c r="K829" s="50">
        <f>IF($T829="","",IF($S829="S",IF(INDEX(Firms!$J$5:$J$1004,$T829)="","",INDEX(Firms!$J$5:$J$1004,$T829)),IF(INDEX('AFA Rates'!$I$5:$I$1004,$T829)="","",INDEX('AFA Rates'!$I$5:$I$1004,$T829))))</f>
        <v/>
      </c>
      <c r="L829" s="50">
        <f>IF($T829="","",IF($S829="S",IF(INDEX(Firms!$K$5:$K$1004,$T829)="","",INDEX(Firms!$K$5:$K$1004,$T829)),IF(INDEX('AFA Rates'!$J$5:$J$1004,$T829)="","",INDEX('AFA Rates'!$J$5:$J$1004,$T829))))</f>
        <v/>
      </c>
      <c r="M829" s="50">
        <f>IF($T829="","",IF($S829="S",IF(INDEX(Firms!$L$5:$L$1004,$T829)="","",INDEX(Firms!$L$5:$L$1004,$T829)),IF(INDEX('AFA Rates'!$K$5:$K$1004,$T829)="","",INDEX('AFA Rates'!$K$5:$K$1004,$T829))))</f>
        <v/>
      </c>
      <c r="N829" s="50">
        <f>IF($T829="","",IF($S829="S",IF(INDEX(Firms!$M$5:$M$1004,$T829)="","",INDEX(Firms!$M$5:$M$1004,$T829)),IF(INDEX('AFA Rates'!$L$5:$L$1004,$T829)="","",INDEX('AFA Rates'!$L$5:$L$1004,$T829))))</f>
        <v/>
      </c>
      <c r="O829" s="78">
        <f>IF(OR($T829="",$U829=""),"",IF(INDEX(Firms!$C$5:$C$1004,$U829)="","",INDEX(Firms!$C$5:$C$1004,$U829)))</f>
        <v/>
      </c>
      <c r="P829" s="79">
        <f>IF(OR($T829="",$U829=""),"",IF(INDEX(Firms!$N$5:$N$1004,$U829)="","",INDEX(Firms!$N$5:$N$1004,$U829)))</f>
        <v/>
      </c>
      <c r="Q829" s="78">
        <f>IF($T829="","",IF($S829="S",IF(INDEX(Firms!$T$5:$T$1004,$T829)="","",INDEX(Firms!$T$5:$T$1004,$T829)),IF(INDEX('AFA Rates'!$M$5:$M$1004,$T829)="","",INDEX('AFA Rates'!$M$5:$M$1004,$T829))))</f>
        <v/>
      </c>
      <c r="S829">
        <f>IF(825&lt;=$S$2,"S",IF(825&lt;=$S$2+$T$2,"A",""))</f>
        <v/>
      </c>
      <c r="T829">
        <f>IF(S829="S",MATCH(825,Firms!$W$5:$W$1004,0),IF(S829="A",IFERROR(MATCH(825-$S$2,'AFA Rates'!$R$5:$R$1004,0),""),""))</f>
        <v/>
      </c>
      <c r="U829">
        <f>IF(S829="S",T829,IF(AND(S829="A",T829&lt;&gt;""),IFERROR(MATCH(INDEX('AFA Rates'!$A$5:$A$1004,T829),Firms!$A$5:$A$1004,0),""),""))</f>
        <v/>
      </c>
    </row>
    <row r="830">
      <c r="A830" s="78">
        <f>IF($T830="","",IF($S830="S",IF(INDEX(Firms!$A$5:$A$1004,$T830)="","",INDEX(Firms!$A$5:$A$1004,$T830)),IF(INDEX('AFA Rates'!$A$5:$A$1004,$T830)="","",INDEX('AFA Rates'!$A$5:$A$1004,$T830))))</f>
        <v/>
      </c>
      <c r="B830" s="79">
        <f>IF(OR($T830="",$U830=""),IF($T830="","","Not on Firms tab"),INDEX(Firms!$B$5:$B$1004,$U830)&amp;"")</f>
        <v/>
      </c>
      <c r="C830" s="78">
        <f>IF($T830="","",IF($S830="S","Standard",INDEX('AFA Rates'!$B$5:$B$1004,$T830)&amp;""))</f>
        <v/>
      </c>
      <c r="D830" s="88">
        <f>IF($T830="","",IF($S830="S",IF(INDEX(Firms!$E$5:$E$1004,$T830)="","",INDEX(Firms!$E$5:$E$1004,$T830)),IF(INDEX('AFA Rates'!$C$5:$C$1004,$T830)="","",INDEX('AFA Rates'!$C$5:$C$1004,$T830))))</f>
        <v/>
      </c>
      <c r="E830" s="88">
        <f>IF($T830="","",IF($S830="S",IF(""="","",""),IF(INDEX('AFA Rates'!$D$5:$D$1004,$T830)="","",INDEX('AFA Rates'!$D$5:$D$1004,$T830))))</f>
        <v/>
      </c>
      <c r="F830" s="79">
        <f>IF($T830="","",IF($S830="S",IF(INDEX(Firms!$O$5:$O$1004,$T830)="","",INDEX(Firms!$O$5:$O$1004,$T830)),IF(INDEX('AFA Rates'!$O$5:$O$1004,$T830)="","",INDEX('AFA Rates'!$O$5:$O$1004,$T830))))</f>
        <v/>
      </c>
      <c r="G830" s="50">
        <f>IF($T830="","",IF($S830="S",IF(INDEX(Firms!$F$5:$F$1004,$T830)="","",INDEX(Firms!$F$5:$F$1004,$T830)),IF(INDEX('AFA Rates'!$E$5:$E$1004,$T830)="","",INDEX('AFA Rates'!$E$5:$E$1004,$T830))))</f>
        <v/>
      </c>
      <c r="H830" s="50">
        <f>IF($T830="","",IF($S830="S",IF(INDEX(Firms!$G$5:$G$1004,$T830)="","",INDEX(Firms!$G$5:$G$1004,$T830)),IF(INDEX('AFA Rates'!$F$5:$F$1004,$T830)="","",INDEX('AFA Rates'!$F$5:$F$1004,$T830))))</f>
        <v/>
      </c>
      <c r="I830" s="50">
        <f>IF($T830="","",IF($S830="S",IF(INDEX(Firms!$H$5:$H$1004,$T830)="","",INDEX(Firms!$H$5:$H$1004,$T830)),IF(INDEX('AFA Rates'!$G$5:$G$1004,$T830)="","",INDEX('AFA Rates'!$G$5:$G$1004,$T830))))</f>
        <v/>
      </c>
      <c r="J830" s="50">
        <f>IF($T830="","",IF($S830="S",IF(INDEX(Firms!$I$5:$I$1004,$T830)="","",INDEX(Firms!$I$5:$I$1004,$T830)),IF(INDEX('AFA Rates'!$H$5:$H$1004,$T830)="","",INDEX('AFA Rates'!$H$5:$H$1004,$T830))))</f>
        <v/>
      </c>
      <c r="K830" s="50">
        <f>IF($T830="","",IF($S830="S",IF(INDEX(Firms!$J$5:$J$1004,$T830)="","",INDEX(Firms!$J$5:$J$1004,$T830)),IF(INDEX('AFA Rates'!$I$5:$I$1004,$T830)="","",INDEX('AFA Rates'!$I$5:$I$1004,$T830))))</f>
        <v/>
      </c>
      <c r="L830" s="50">
        <f>IF($T830="","",IF($S830="S",IF(INDEX(Firms!$K$5:$K$1004,$T830)="","",INDEX(Firms!$K$5:$K$1004,$T830)),IF(INDEX('AFA Rates'!$J$5:$J$1004,$T830)="","",INDEX('AFA Rates'!$J$5:$J$1004,$T830))))</f>
        <v/>
      </c>
      <c r="M830" s="50">
        <f>IF($T830="","",IF($S830="S",IF(INDEX(Firms!$L$5:$L$1004,$T830)="","",INDEX(Firms!$L$5:$L$1004,$T830)),IF(INDEX('AFA Rates'!$K$5:$K$1004,$T830)="","",INDEX('AFA Rates'!$K$5:$K$1004,$T830))))</f>
        <v/>
      </c>
      <c r="N830" s="50">
        <f>IF($T830="","",IF($S830="S",IF(INDEX(Firms!$M$5:$M$1004,$T830)="","",INDEX(Firms!$M$5:$M$1004,$T830)),IF(INDEX('AFA Rates'!$L$5:$L$1004,$T830)="","",INDEX('AFA Rates'!$L$5:$L$1004,$T830))))</f>
        <v/>
      </c>
      <c r="O830" s="78">
        <f>IF(OR($T830="",$U830=""),"",IF(INDEX(Firms!$C$5:$C$1004,$U830)="","",INDEX(Firms!$C$5:$C$1004,$U830)))</f>
        <v/>
      </c>
      <c r="P830" s="79">
        <f>IF(OR($T830="",$U830=""),"",IF(INDEX(Firms!$N$5:$N$1004,$U830)="","",INDEX(Firms!$N$5:$N$1004,$U830)))</f>
        <v/>
      </c>
      <c r="Q830" s="78">
        <f>IF($T830="","",IF($S830="S",IF(INDEX(Firms!$T$5:$T$1004,$T830)="","",INDEX(Firms!$T$5:$T$1004,$T830)),IF(INDEX('AFA Rates'!$M$5:$M$1004,$T830)="","",INDEX('AFA Rates'!$M$5:$M$1004,$T830))))</f>
        <v/>
      </c>
      <c r="S830">
        <f>IF(826&lt;=$S$2,"S",IF(826&lt;=$S$2+$T$2,"A",""))</f>
        <v/>
      </c>
      <c r="T830">
        <f>IF(S830="S",MATCH(826,Firms!$W$5:$W$1004,0),IF(S830="A",IFERROR(MATCH(826-$S$2,'AFA Rates'!$R$5:$R$1004,0),""),""))</f>
        <v/>
      </c>
      <c r="U830">
        <f>IF(S830="S",T830,IF(AND(S830="A",T830&lt;&gt;""),IFERROR(MATCH(INDEX('AFA Rates'!$A$5:$A$1004,T830),Firms!$A$5:$A$1004,0),""),""))</f>
        <v/>
      </c>
    </row>
    <row r="831">
      <c r="A831" s="78">
        <f>IF($T831="","",IF($S831="S",IF(INDEX(Firms!$A$5:$A$1004,$T831)="","",INDEX(Firms!$A$5:$A$1004,$T831)),IF(INDEX('AFA Rates'!$A$5:$A$1004,$T831)="","",INDEX('AFA Rates'!$A$5:$A$1004,$T831))))</f>
        <v/>
      </c>
      <c r="B831" s="79">
        <f>IF(OR($T831="",$U831=""),IF($T831="","","Not on Firms tab"),INDEX(Firms!$B$5:$B$1004,$U831)&amp;"")</f>
        <v/>
      </c>
      <c r="C831" s="78">
        <f>IF($T831="","",IF($S831="S","Standard",INDEX('AFA Rates'!$B$5:$B$1004,$T831)&amp;""))</f>
        <v/>
      </c>
      <c r="D831" s="88">
        <f>IF($T831="","",IF($S831="S",IF(INDEX(Firms!$E$5:$E$1004,$T831)="","",INDEX(Firms!$E$5:$E$1004,$T831)),IF(INDEX('AFA Rates'!$C$5:$C$1004,$T831)="","",INDEX('AFA Rates'!$C$5:$C$1004,$T831))))</f>
        <v/>
      </c>
      <c r="E831" s="88">
        <f>IF($T831="","",IF($S831="S",IF(""="","",""),IF(INDEX('AFA Rates'!$D$5:$D$1004,$T831)="","",INDEX('AFA Rates'!$D$5:$D$1004,$T831))))</f>
        <v/>
      </c>
      <c r="F831" s="79">
        <f>IF($T831="","",IF($S831="S",IF(INDEX(Firms!$O$5:$O$1004,$T831)="","",INDEX(Firms!$O$5:$O$1004,$T831)),IF(INDEX('AFA Rates'!$O$5:$O$1004,$T831)="","",INDEX('AFA Rates'!$O$5:$O$1004,$T831))))</f>
        <v/>
      </c>
      <c r="G831" s="50">
        <f>IF($T831="","",IF($S831="S",IF(INDEX(Firms!$F$5:$F$1004,$T831)="","",INDEX(Firms!$F$5:$F$1004,$T831)),IF(INDEX('AFA Rates'!$E$5:$E$1004,$T831)="","",INDEX('AFA Rates'!$E$5:$E$1004,$T831))))</f>
        <v/>
      </c>
      <c r="H831" s="50">
        <f>IF($T831="","",IF($S831="S",IF(INDEX(Firms!$G$5:$G$1004,$T831)="","",INDEX(Firms!$G$5:$G$1004,$T831)),IF(INDEX('AFA Rates'!$F$5:$F$1004,$T831)="","",INDEX('AFA Rates'!$F$5:$F$1004,$T831))))</f>
        <v/>
      </c>
      <c r="I831" s="50">
        <f>IF($T831="","",IF($S831="S",IF(INDEX(Firms!$H$5:$H$1004,$T831)="","",INDEX(Firms!$H$5:$H$1004,$T831)),IF(INDEX('AFA Rates'!$G$5:$G$1004,$T831)="","",INDEX('AFA Rates'!$G$5:$G$1004,$T831))))</f>
        <v/>
      </c>
      <c r="J831" s="50">
        <f>IF($T831="","",IF($S831="S",IF(INDEX(Firms!$I$5:$I$1004,$T831)="","",INDEX(Firms!$I$5:$I$1004,$T831)),IF(INDEX('AFA Rates'!$H$5:$H$1004,$T831)="","",INDEX('AFA Rates'!$H$5:$H$1004,$T831))))</f>
        <v/>
      </c>
      <c r="K831" s="50">
        <f>IF($T831="","",IF($S831="S",IF(INDEX(Firms!$J$5:$J$1004,$T831)="","",INDEX(Firms!$J$5:$J$1004,$T831)),IF(INDEX('AFA Rates'!$I$5:$I$1004,$T831)="","",INDEX('AFA Rates'!$I$5:$I$1004,$T831))))</f>
        <v/>
      </c>
      <c r="L831" s="50">
        <f>IF($T831="","",IF($S831="S",IF(INDEX(Firms!$K$5:$K$1004,$T831)="","",INDEX(Firms!$K$5:$K$1004,$T831)),IF(INDEX('AFA Rates'!$J$5:$J$1004,$T831)="","",INDEX('AFA Rates'!$J$5:$J$1004,$T831))))</f>
        <v/>
      </c>
      <c r="M831" s="50">
        <f>IF($T831="","",IF($S831="S",IF(INDEX(Firms!$L$5:$L$1004,$T831)="","",INDEX(Firms!$L$5:$L$1004,$T831)),IF(INDEX('AFA Rates'!$K$5:$K$1004,$T831)="","",INDEX('AFA Rates'!$K$5:$K$1004,$T831))))</f>
        <v/>
      </c>
      <c r="N831" s="50">
        <f>IF($T831="","",IF($S831="S",IF(INDEX(Firms!$M$5:$M$1004,$T831)="","",INDEX(Firms!$M$5:$M$1004,$T831)),IF(INDEX('AFA Rates'!$L$5:$L$1004,$T831)="","",INDEX('AFA Rates'!$L$5:$L$1004,$T831))))</f>
        <v/>
      </c>
      <c r="O831" s="78">
        <f>IF(OR($T831="",$U831=""),"",IF(INDEX(Firms!$C$5:$C$1004,$U831)="","",INDEX(Firms!$C$5:$C$1004,$U831)))</f>
        <v/>
      </c>
      <c r="P831" s="79">
        <f>IF(OR($T831="",$U831=""),"",IF(INDEX(Firms!$N$5:$N$1004,$U831)="","",INDEX(Firms!$N$5:$N$1004,$U831)))</f>
        <v/>
      </c>
      <c r="Q831" s="78">
        <f>IF($T831="","",IF($S831="S",IF(INDEX(Firms!$T$5:$T$1004,$T831)="","",INDEX(Firms!$T$5:$T$1004,$T831)),IF(INDEX('AFA Rates'!$M$5:$M$1004,$T831)="","",INDEX('AFA Rates'!$M$5:$M$1004,$T831))))</f>
        <v/>
      </c>
      <c r="S831">
        <f>IF(827&lt;=$S$2,"S",IF(827&lt;=$S$2+$T$2,"A",""))</f>
        <v/>
      </c>
      <c r="T831">
        <f>IF(S831="S",MATCH(827,Firms!$W$5:$W$1004,0),IF(S831="A",IFERROR(MATCH(827-$S$2,'AFA Rates'!$R$5:$R$1004,0),""),""))</f>
        <v/>
      </c>
      <c r="U831">
        <f>IF(S831="S",T831,IF(AND(S831="A",T831&lt;&gt;""),IFERROR(MATCH(INDEX('AFA Rates'!$A$5:$A$1004,T831),Firms!$A$5:$A$1004,0),""),""))</f>
        <v/>
      </c>
    </row>
    <row r="832">
      <c r="A832" s="78">
        <f>IF($T832="","",IF($S832="S",IF(INDEX(Firms!$A$5:$A$1004,$T832)="","",INDEX(Firms!$A$5:$A$1004,$T832)),IF(INDEX('AFA Rates'!$A$5:$A$1004,$T832)="","",INDEX('AFA Rates'!$A$5:$A$1004,$T832))))</f>
        <v/>
      </c>
      <c r="B832" s="79">
        <f>IF(OR($T832="",$U832=""),IF($T832="","","Not on Firms tab"),INDEX(Firms!$B$5:$B$1004,$U832)&amp;"")</f>
        <v/>
      </c>
      <c r="C832" s="78">
        <f>IF($T832="","",IF($S832="S","Standard",INDEX('AFA Rates'!$B$5:$B$1004,$T832)&amp;""))</f>
        <v/>
      </c>
      <c r="D832" s="88">
        <f>IF($T832="","",IF($S832="S",IF(INDEX(Firms!$E$5:$E$1004,$T832)="","",INDEX(Firms!$E$5:$E$1004,$T832)),IF(INDEX('AFA Rates'!$C$5:$C$1004,$T832)="","",INDEX('AFA Rates'!$C$5:$C$1004,$T832))))</f>
        <v/>
      </c>
      <c r="E832" s="88">
        <f>IF($T832="","",IF($S832="S",IF(""="","",""),IF(INDEX('AFA Rates'!$D$5:$D$1004,$T832)="","",INDEX('AFA Rates'!$D$5:$D$1004,$T832))))</f>
        <v/>
      </c>
      <c r="F832" s="79">
        <f>IF($T832="","",IF($S832="S",IF(INDEX(Firms!$O$5:$O$1004,$T832)="","",INDEX(Firms!$O$5:$O$1004,$T832)),IF(INDEX('AFA Rates'!$O$5:$O$1004,$T832)="","",INDEX('AFA Rates'!$O$5:$O$1004,$T832))))</f>
        <v/>
      </c>
      <c r="G832" s="50">
        <f>IF($T832="","",IF($S832="S",IF(INDEX(Firms!$F$5:$F$1004,$T832)="","",INDEX(Firms!$F$5:$F$1004,$T832)),IF(INDEX('AFA Rates'!$E$5:$E$1004,$T832)="","",INDEX('AFA Rates'!$E$5:$E$1004,$T832))))</f>
        <v/>
      </c>
      <c r="H832" s="50">
        <f>IF($T832="","",IF($S832="S",IF(INDEX(Firms!$G$5:$G$1004,$T832)="","",INDEX(Firms!$G$5:$G$1004,$T832)),IF(INDEX('AFA Rates'!$F$5:$F$1004,$T832)="","",INDEX('AFA Rates'!$F$5:$F$1004,$T832))))</f>
        <v/>
      </c>
      <c r="I832" s="50">
        <f>IF($T832="","",IF($S832="S",IF(INDEX(Firms!$H$5:$H$1004,$T832)="","",INDEX(Firms!$H$5:$H$1004,$T832)),IF(INDEX('AFA Rates'!$G$5:$G$1004,$T832)="","",INDEX('AFA Rates'!$G$5:$G$1004,$T832))))</f>
        <v/>
      </c>
      <c r="J832" s="50">
        <f>IF($T832="","",IF($S832="S",IF(INDEX(Firms!$I$5:$I$1004,$T832)="","",INDEX(Firms!$I$5:$I$1004,$T832)),IF(INDEX('AFA Rates'!$H$5:$H$1004,$T832)="","",INDEX('AFA Rates'!$H$5:$H$1004,$T832))))</f>
        <v/>
      </c>
      <c r="K832" s="50">
        <f>IF($T832="","",IF($S832="S",IF(INDEX(Firms!$J$5:$J$1004,$T832)="","",INDEX(Firms!$J$5:$J$1004,$T832)),IF(INDEX('AFA Rates'!$I$5:$I$1004,$T832)="","",INDEX('AFA Rates'!$I$5:$I$1004,$T832))))</f>
        <v/>
      </c>
      <c r="L832" s="50">
        <f>IF($T832="","",IF($S832="S",IF(INDEX(Firms!$K$5:$K$1004,$T832)="","",INDEX(Firms!$K$5:$K$1004,$T832)),IF(INDEX('AFA Rates'!$J$5:$J$1004,$T832)="","",INDEX('AFA Rates'!$J$5:$J$1004,$T832))))</f>
        <v/>
      </c>
      <c r="M832" s="50">
        <f>IF($T832="","",IF($S832="S",IF(INDEX(Firms!$L$5:$L$1004,$T832)="","",INDEX(Firms!$L$5:$L$1004,$T832)),IF(INDEX('AFA Rates'!$K$5:$K$1004,$T832)="","",INDEX('AFA Rates'!$K$5:$K$1004,$T832))))</f>
        <v/>
      </c>
      <c r="N832" s="50">
        <f>IF($T832="","",IF($S832="S",IF(INDEX(Firms!$M$5:$M$1004,$T832)="","",INDEX(Firms!$M$5:$M$1004,$T832)),IF(INDEX('AFA Rates'!$L$5:$L$1004,$T832)="","",INDEX('AFA Rates'!$L$5:$L$1004,$T832))))</f>
        <v/>
      </c>
      <c r="O832" s="78">
        <f>IF(OR($T832="",$U832=""),"",IF(INDEX(Firms!$C$5:$C$1004,$U832)="","",INDEX(Firms!$C$5:$C$1004,$U832)))</f>
        <v/>
      </c>
      <c r="P832" s="79">
        <f>IF(OR($T832="",$U832=""),"",IF(INDEX(Firms!$N$5:$N$1004,$U832)="","",INDEX(Firms!$N$5:$N$1004,$U832)))</f>
        <v/>
      </c>
      <c r="Q832" s="78">
        <f>IF($T832="","",IF($S832="S",IF(INDEX(Firms!$T$5:$T$1004,$T832)="","",INDEX(Firms!$T$5:$T$1004,$T832)),IF(INDEX('AFA Rates'!$M$5:$M$1004,$T832)="","",INDEX('AFA Rates'!$M$5:$M$1004,$T832))))</f>
        <v/>
      </c>
      <c r="S832">
        <f>IF(828&lt;=$S$2,"S",IF(828&lt;=$S$2+$T$2,"A",""))</f>
        <v/>
      </c>
      <c r="T832">
        <f>IF(S832="S",MATCH(828,Firms!$W$5:$W$1004,0),IF(S832="A",IFERROR(MATCH(828-$S$2,'AFA Rates'!$R$5:$R$1004,0),""),""))</f>
        <v/>
      </c>
      <c r="U832">
        <f>IF(S832="S",T832,IF(AND(S832="A",T832&lt;&gt;""),IFERROR(MATCH(INDEX('AFA Rates'!$A$5:$A$1004,T832),Firms!$A$5:$A$1004,0),""),""))</f>
        <v/>
      </c>
    </row>
    <row r="833">
      <c r="A833" s="78">
        <f>IF($T833="","",IF($S833="S",IF(INDEX(Firms!$A$5:$A$1004,$T833)="","",INDEX(Firms!$A$5:$A$1004,$T833)),IF(INDEX('AFA Rates'!$A$5:$A$1004,$T833)="","",INDEX('AFA Rates'!$A$5:$A$1004,$T833))))</f>
        <v/>
      </c>
      <c r="B833" s="79">
        <f>IF(OR($T833="",$U833=""),IF($T833="","","Not on Firms tab"),INDEX(Firms!$B$5:$B$1004,$U833)&amp;"")</f>
        <v/>
      </c>
      <c r="C833" s="78">
        <f>IF($T833="","",IF($S833="S","Standard",INDEX('AFA Rates'!$B$5:$B$1004,$T833)&amp;""))</f>
        <v/>
      </c>
      <c r="D833" s="88">
        <f>IF($T833="","",IF($S833="S",IF(INDEX(Firms!$E$5:$E$1004,$T833)="","",INDEX(Firms!$E$5:$E$1004,$T833)),IF(INDEX('AFA Rates'!$C$5:$C$1004,$T833)="","",INDEX('AFA Rates'!$C$5:$C$1004,$T833))))</f>
        <v/>
      </c>
      <c r="E833" s="88">
        <f>IF($T833="","",IF($S833="S",IF(""="","",""),IF(INDEX('AFA Rates'!$D$5:$D$1004,$T833)="","",INDEX('AFA Rates'!$D$5:$D$1004,$T833))))</f>
        <v/>
      </c>
      <c r="F833" s="79">
        <f>IF($T833="","",IF($S833="S",IF(INDEX(Firms!$O$5:$O$1004,$T833)="","",INDEX(Firms!$O$5:$O$1004,$T833)),IF(INDEX('AFA Rates'!$O$5:$O$1004,$T833)="","",INDEX('AFA Rates'!$O$5:$O$1004,$T833))))</f>
        <v/>
      </c>
      <c r="G833" s="50">
        <f>IF($T833="","",IF($S833="S",IF(INDEX(Firms!$F$5:$F$1004,$T833)="","",INDEX(Firms!$F$5:$F$1004,$T833)),IF(INDEX('AFA Rates'!$E$5:$E$1004,$T833)="","",INDEX('AFA Rates'!$E$5:$E$1004,$T833))))</f>
        <v/>
      </c>
      <c r="H833" s="50">
        <f>IF($T833="","",IF($S833="S",IF(INDEX(Firms!$G$5:$G$1004,$T833)="","",INDEX(Firms!$G$5:$G$1004,$T833)),IF(INDEX('AFA Rates'!$F$5:$F$1004,$T833)="","",INDEX('AFA Rates'!$F$5:$F$1004,$T833))))</f>
        <v/>
      </c>
      <c r="I833" s="50">
        <f>IF($T833="","",IF($S833="S",IF(INDEX(Firms!$H$5:$H$1004,$T833)="","",INDEX(Firms!$H$5:$H$1004,$T833)),IF(INDEX('AFA Rates'!$G$5:$G$1004,$T833)="","",INDEX('AFA Rates'!$G$5:$G$1004,$T833))))</f>
        <v/>
      </c>
      <c r="J833" s="50">
        <f>IF($T833="","",IF($S833="S",IF(INDEX(Firms!$I$5:$I$1004,$T833)="","",INDEX(Firms!$I$5:$I$1004,$T833)),IF(INDEX('AFA Rates'!$H$5:$H$1004,$T833)="","",INDEX('AFA Rates'!$H$5:$H$1004,$T833))))</f>
        <v/>
      </c>
      <c r="K833" s="50">
        <f>IF($T833="","",IF($S833="S",IF(INDEX(Firms!$J$5:$J$1004,$T833)="","",INDEX(Firms!$J$5:$J$1004,$T833)),IF(INDEX('AFA Rates'!$I$5:$I$1004,$T833)="","",INDEX('AFA Rates'!$I$5:$I$1004,$T833))))</f>
        <v/>
      </c>
      <c r="L833" s="50">
        <f>IF($T833="","",IF($S833="S",IF(INDEX(Firms!$K$5:$K$1004,$T833)="","",INDEX(Firms!$K$5:$K$1004,$T833)),IF(INDEX('AFA Rates'!$J$5:$J$1004,$T833)="","",INDEX('AFA Rates'!$J$5:$J$1004,$T833))))</f>
        <v/>
      </c>
      <c r="M833" s="50">
        <f>IF($T833="","",IF($S833="S",IF(INDEX(Firms!$L$5:$L$1004,$T833)="","",INDEX(Firms!$L$5:$L$1004,$T833)),IF(INDEX('AFA Rates'!$K$5:$K$1004,$T833)="","",INDEX('AFA Rates'!$K$5:$K$1004,$T833))))</f>
        <v/>
      </c>
      <c r="N833" s="50">
        <f>IF($T833="","",IF($S833="S",IF(INDEX(Firms!$M$5:$M$1004,$T833)="","",INDEX(Firms!$M$5:$M$1004,$T833)),IF(INDEX('AFA Rates'!$L$5:$L$1004,$T833)="","",INDEX('AFA Rates'!$L$5:$L$1004,$T833))))</f>
        <v/>
      </c>
      <c r="O833" s="78">
        <f>IF(OR($T833="",$U833=""),"",IF(INDEX(Firms!$C$5:$C$1004,$U833)="","",INDEX(Firms!$C$5:$C$1004,$U833)))</f>
        <v/>
      </c>
      <c r="P833" s="79">
        <f>IF(OR($T833="",$U833=""),"",IF(INDEX(Firms!$N$5:$N$1004,$U833)="","",INDEX(Firms!$N$5:$N$1004,$U833)))</f>
        <v/>
      </c>
      <c r="Q833" s="78">
        <f>IF($T833="","",IF($S833="S",IF(INDEX(Firms!$T$5:$T$1004,$T833)="","",INDEX(Firms!$T$5:$T$1004,$T833)),IF(INDEX('AFA Rates'!$M$5:$M$1004,$T833)="","",INDEX('AFA Rates'!$M$5:$M$1004,$T833))))</f>
        <v/>
      </c>
      <c r="S833">
        <f>IF(829&lt;=$S$2,"S",IF(829&lt;=$S$2+$T$2,"A",""))</f>
        <v/>
      </c>
      <c r="T833">
        <f>IF(S833="S",MATCH(829,Firms!$W$5:$W$1004,0),IF(S833="A",IFERROR(MATCH(829-$S$2,'AFA Rates'!$R$5:$R$1004,0),""),""))</f>
        <v/>
      </c>
      <c r="U833">
        <f>IF(S833="S",T833,IF(AND(S833="A",T833&lt;&gt;""),IFERROR(MATCH(INDEX('AFA Rates'!$A$5:$A$1004,T833),Firms!$A$5:$A$1004,0),""),""))</f>
        <v/>
      </c>
    </row>
    <row r="834">
      <c r="A834" s="78">
        <f>IF($T834="","",IF($S834="S",IF(INDEX(Firms!$A$5:$A$1004,$T834)="","",INDEX(Firms!$A$5:$A$1004,$T834)),IF(INDEX('AFA Rates'!$A$5:$A$1004,$T834)="","",INDEX('AFA Rates'!$A$5:$A$1004,$T834))))</f>
        <v/>
      </c>
      <c r="B834" s="79">
        <f>IF(OR($T834="",$U834=""),IF($T834="","","Not on Firms tab"),INDEX(Firms!$B$5:$B$1004,$U834)&amp;"")</f>
        <v/>
      </c>
      <c r="C834" s="78">
        <f>IF($T834="","",IF($S834="S","Standard",INDEX('AFA Rates'!$B$5:$B$1004,$T834)&amp;""))</f>
        <v/>
      </c>
      <c r="D834" s="88">
        <f>IF($T834="","",IF($S834="S",IF(INDEX(Firms!$E$5:$E$1004,$T834)="","",INDEX(Firms!$E$5:$E$1004,$T834)),IF(INDEX('AFA Rates'!$C$5:$C$1004,$T834)="","",INDEX('AFA Rates'!$C$5:$C$1004,$T834))))</f>
        <v/>
      </c>
      <c r="E834" s="88">
        <f>IF($T834="","",IF($S834="S",IF(""="","",""),IF(INDEX('AFA Rates'!$D$5:$D$1004,$T834)="","",INDEX('AFA Rates'!$D$5:$D$1004,$T834))))</f>
        <v/>
      </c>
      <c r="F834" s="79">
        <f>IF($T834="","",IF($S834="S",IF(INDEX(Firms!$O$5:$O$1004,$T834)="","",INDEX(Firms!$O$5:$O$1004,$T834)),IF(INDEX('AFA Rates'!$O$5:$O$1004,$T834)="","",INDEX('AFA Rates'!$O$5:$O$1004,$T834))))</f>
        <v/>
      </c>
      <c r="G834" s="50">
        <f>IF($T834="","",IF($S834="S",IF(INDEX(Firms!$F$5:$F$1004,$T834)="","",INDEX(Firms!$F$5:$F$1004,$T834)),IF(INDEX('AFA Rates'!$E$5:$E$1004,$T834)="","",INDEX('AFA Rates'!$E$5:$E$1004,$T834))))</f>
        <v/>
      </c>
      <c r="H834" s="50">
        <f>IF($T834="","",IF($S834="S",IF(INDEX(Firms!$G$5:$G$1004,$T834)="","",INDEX(Firms!$G$5:$G$1004,$T834)),IF(INDEX('AFA Rates'!$F$5:$F$1004,$T834)="","",INDEX('AFA Rates'!$F$5:$F$1004,$T834))))</f>
        <v/>
      </c>
      <c r="I834" s="50">
        <f>IF($T834="","",IF($S834="S",IF(INDEX(Firms!$H$5:$H$1004,$T834)="","",INDEX(Firms!$H$5:$H$1004,$T834)),IF(INDEX('AFA Rates'!$G$5:$G$1004,$T834)="","",INDEX('AFA Rates'!$G$5:$G$1004,$T834))))</f>
        <v/>
      </c>
      <c r="J834" s="50">
        <f>IF($T834="","",IF($S834="S",IF(INDEX(Firms!$I$5:$I$1004,$T834)="","",INDEX(Firms!$I$5:$I$1004,$T834)),IF(INDEX('AFA Rates'!$H$5:$H$1004,$T834)="","",INDEX('AFA Rates'!$H$5:$H$1004,$T834))))</f>
        <v/>
      </c>
      <c r="K834" s="50">
        <f>IF($T834="","",IF($S834="S",IF(INDEX(Firms!$J$5:$J$1004,$T834)="","",INDEX(Firms!$J$5:$J$1004,$T834)),IF(INDEX('AFA Rates'!$I$5:$I$1004,$T834)="","",INDEX('AFA Rates'!$I$5:$I$1004,$T834))))</f>
        <v/>
      </c>
      <c r="L834" s="50">
        <f>IF($T834="","",IF($S834="S",IF(INDEX(Firms!$K$5:$K$1004,$T834)="","",INDEX(Firms!$K$5:$K$1004,$T834)),IF(INDEX('AFA Rates'!$J$5:$J$1004,$T834)="","",INDEX('AFA Rates'!$J$5:$J$1004,$T834))))</f>
        <v/>
      </c>
      <c r="M834" s="50">
        <f>IF($T834="","",IF($S834="S",IF(INDEX(Firms!$L$5:$L$1004,$T834)="","",INDEX(Firms!$L$5:$L$1004,$T834)),IF(INDEX('AFA Rates'!$K$5:$K$1004,$T834)="","",INDEX('AFA Rates'!$K$5:$K$1004,$T834))))</f>
        <v/>
      </c>
      <c r="N834" s="50">
        <f>IF($T834="","",IF($S834="S",IF(INDEX(Firms!$M$5:$M$1004,$T834)="","",INDEX(Firms!$M$5:$M$1004,$T834)),IF(INDEX('AFA Rates'!$L$5:$L$1004,$T834)="","",INDEX('AFA Rates'!$L$5:$L$1004,$T834))))</f>
        <v/>
      </c>
      <c r="O834" s="78">
        <f>IF(OR($T834="",$U834=""),"",IF(INDEX(Firms!$C$5:$C$1004,$U834)="","",INDEX(Firms!$C$5:$C$1004,$U834)))</f>
        <v/>
      </c>
      <c r="P834" s="79">
        <f>IF(OR($T834="",$U834=""),"",IF(INDEX(Firms!$N$5:$N$1004,$U834)="","",INDEX(Firms!$N$5:$N$1004,$U834)))</f>
        <v/>
      </c>
      <c r="Q834" s="78">
        <f>IF($T834="","",IF($S834="S",IF(INDEX(Firms!$T$5:$T$1004,$T834)="","",INDEX(Firms!$T$5:$T$1004,$T834)),IF(INDEX('AFA Rates'!$M$5:$M$1004,$T834)="","",INDEX('AFA Rates'!$M$5:$M$1004,$T834))))</f>
        <v/>
      </c>
      <c r="S834">
        <f>IF(830&lt;=$S$2,"S",IF(830&lt;=$S$2+$T$2,"A",""))</f>
        <v/>
      </c>
      <c r="T834">
        <f>IF(S834="S",MATCH(830,Firms!$W$5:$W$1004,0),IF(S834="A",IFERROR(MATCH(830-$S$2,'AFA Rates'!$R$5:$R$1004,0),""),""))</f>
        <v/>
      </c>
      <c r="U834">
        <f>IF(S834="S",T834,IF(AND(S834="A",T834&lt;&gt;""),IFERROR(MATCH(INDEX('AFA Rates'!$A$5:$A$1004,T834),Firms!$A$5:$A$1004,0),""),""))</f>
        <v/>
      </c>
    </row>
    <row r="835">
      <c r="A835" s="78">
        <f>IF($T835="","",IF($S835="S",IF(INDEX(Firms!$A$5:$A$1004,$T835)="","",INDEX(Firms!$A$5:$A$1004,$T835)),IF(INDEX('AFA Rates'!$A$5:$A$1004,$T835)="","",INDEX('AFA Rates'!$A$5:$A$1004,$T835))))</f>
        <v/>
      </c>
      <c r="B835" s="79">
        <f>IF(OR($T835="",$U835=""),IF($T835="","","Not on Firms tab"),INDEX(Firms!$B$5:$B$1004,$U835)&amp;"")</f>
        <v/>
      </c>
      <c r="C835" s="78">
        <f>IF($T835="","",IF($S835="S","Standard",INDEX('AFA Rates'!$B$5:$B$1004,$T835)&amp;""))</f>
        <v/>
      </c>
      <c r="D835" s="88">
        <f>IF($T835="","",IF($S835="S",IF(INDEX(Firms!$E$5:$E$1004,$T835)="","",INDEX(Firms!$E$5:$E$1004,$T835)),IF(INDEX('AFA Rates'!$C$5:$C$1004,$T835)="","",INDEX('AFA Rates'!$C$5:$C$1004,$T835))))</f>
        <v/>
      </c>
      <c r="E835" s="88">
        <f>IF($T835="","",IF($S835="S",IF(""="","",""),IF(INDEX('AFA Rates'!$D$5:$D$1004,$T835)="","",INDEX('AFA Rates'!$D$5:$D$1004,$T835))))</f>
        <v/>
      </c>
      <c r="F835" s="79">
        <f>IF($T835="","",IF($S835="S",IF(INDEX(Firms!$O$5:$O$1004,$T835)="","",INDEX(Firms!$O$5:$O$1004,$T835)),IF(INDEX('AFA Rates'!$O$5:$O$1004,$T835)="","",INDEX('AFA Rates'!$O$5:$O$1004,$T835))))</f>
        <v/>
      </c>
      <c r="G835" s="50">
        <f>IF($T835="","",IF($S835="S",IF(INDEX(Firms!$F$5:$F$1004,$T835)="","",INDEX(Firms!$F$5:$F$1004,$T835)),IF(INDEX('AFA Rates'!$E$5:$E$1004,$T835)="","",INDEX('AFA Rates'!$E$5:$E$1004,$T835))))</f>
        <v/>
      </c>
      <c r="H835" s="50">
        <f>IF($T835="","",IF($S835="S",IF(INDEX(Firms!$G$5:$G$1004,$T835)="","",INDEX(Firms!$G$5:$G$1004,$T835)),IF(INDEX('AFA Rates'!$F$5:$F$1004,$T835)="","",INDEX('AFA Rates'!$F$5:$F$1004,$T835))))</f>
        <v/>
      </c>
      <c r="I835" s="50">
        <f>IF($T835="","",IF($S835="S",IF(INDEX(Firms!$H$5:$H$1004,$T835)="","",INDEX(Firms!$H$5:$H$1004,$T835)),IF(INDEX('AFA Rates'!$G$5:$G$1004,$T835)="","",INDEX('AFA Rates'!$G$5:$G$1004,$T835))))</f>
        <v/>
      </c>
      <c r="J835" s="50">
        <f>IF($T835="","",IF($S835="S",IF(INDEX(Firms!$I$5:$I$1004,$T835)="","",INDEX(Firms!$I$5:$I$1004,$T835)),IF(INDEX('AFA Rates'!$H$5:$H$1004,$T835)="","",INDEX('AFA Rates'!$H$5:$H$1004,$T835))))</f>
        <v/>
      </c>
      <c r="K835" s="50">
        <f>IF($T835="","",IF($S835="S",IF(INDEX(Firms!$J$5:$J$1004,$T835)="","",INDEX(Firms!$J$5:$J$1004,$T835)),IF(INDEX('AFA Rates'!$I$5:$I$1004,$T835)="","",INDEX('AFA Rates'!$I$5:$I$1004,$T835))))</f>
        <v/>
      </c>
      <c r="L835" s="50">
        <f>IF($T835="","",IF($S835="S",IF(INDEX(Firms!$K$5:$K$1004,$T835)="","",INDEX(Firms!$K$5:$K$1004,$T835)),IF(INDEX('AFA Rates'!$J$5:$J$1004,$T835)="","",INDEX('AFA Rates'!$J$5:$J$1004,$T835))))</f>
        <v/>
      </c>
      <c r="M835" s="50">
        <f>IF($T835="","",IF($S835="S",IF(INDEX(Firms!$L$5:$L$1004,$T835)="","",INDEX(Firms!$L$5:$L$1004,$T835)),IF(INDEX('AFA Rates'!$K$5:$K$1004,$T835)="","",INDEX('AFA Rates'!$K$5:$K$1004,$T835))))</f>
        <v/>
      </c>
      <c r="N835" s="50">
        <f>IF($T835="","",IF($S835="S",IF(INDEX(Firms!$M$5:$M$1004,$T835)="","",INDEX(Firms!$M$5:$M$1004,$T835)),IF(INDEX('AFA Rates'!$L$5:$L$1004,$T835)="","",INDEX('AFA Rates'!$L$5:$L$1004,$T835))))</f>
        <v/>
      </c>
      <c r="O835" s="78">
        <f>IF(OR($T835="",$U835=""),"",IF(INDEX(Firms!$C$5:$C$1004,$U835)="","",INDEX(Firms!$C$5:$C$1004,$U835)))</f>
        <v/>
      </c>
      <c r="P835" s="79">
        <f>IF(OR($T835="",$U835=""),"",IF(INDEX(Firms!$N$5:$N$1004,$U835)="","",INDEX(Firms!$N$5:$N$1004,$U835)))</f>
        <v/>
      </c>
      <c r="Q835" s="78">
        <f>IF($T835="","",IF($S835="S",IF(INDEX(Firms!$T$5:$T$1004,$T835)="","",INDEX(Firms!$T$5:$T$1004,$T835)),IF(INDEX('AFA Rates'!$M$5:$M$1004,$T835)="","",INDEX('AFA Rates'!$M$5:$M$1004,$T835))))</f>
        <v/>
      </c>
      <c r="S835">
        <f>IF(831&lt;=$S$2,"S",IF(831&lt;=$S$2+$T$2,"A",""))</f>
        <v/>
      </c>
      <c r="T835">
        <f>IF(S835="S",MATCH(831,Firms!$W$5:$W$1004,0),IF(S835="A",IFERROR(MATCH(831-$S$2,'AFA Rates'!$R$5:$R$1004,0),""),""))</f>
        <v/>
      </c>
      <c r="U835">
        <f>IF(S835="S",T835,IF(AND(S835="A",T835&lt;&gt;""),IFERROR(MATCH(INDEX('AFA Rates'!$A$5:$A$1004,T835),Firms!$A$5:$A$1004,0),""),""))</f>
        <v/>
      </c>
    </row>
    <row r="836">
      <c r="A836" s="78">
        <f>IF($T836="","",IF($S836="S",IF(INDEX(Firms!$A$5:$A$1004,$T836)="","",INDEX(Firms!$A$5:$A$1004,$T836)),IF(INDEX('AFA Rates'!$A$5:$A$1004,$T836)="","",INDEX('AFA Rates'!$A$5:$A$1004,$T836))))</f>
        <v/>
      </c>
      <c r="B836" s="79">
        <f>IF(OR($T836="",$U836=""),IF($T836="","","Not on Firms tab"),INDEX(Firms!$B$5:$B$1004,$U836)&amp;"")</f>
        <v/>
      </c>
      <c r="C836" s="78">
        <f>IF($T836="","",IF($S836="S","Standard",INDEX('AFA Rates'!$B$5:$B$1004,$T836)&amp;""))</f>
        <v/>
      </c>
      <c r="D836" s="88">
        <f>IF($T836="","",IF($S836="S",IF(INDEX(Firms!$E$5:$E$1004,$T836)="","",INDEX(Firms!$E$5:$E$1004,$T836)),IF(INDEX('AFA Rates'!$C$5:$C$1004,$T836)="","",INDEX('AFA Rates'!$C$5:$C$1004,$T836))))</f>
        <v/>
      </c>
      <c r="E836" s="88">
        <f>IF($T836="","",IF($S836="S",IF(""="","",""),IF(INDEX('AFA Rates'!$D$5:$D$1004,$T836)="","",INDEX('AFA Rates'!$D$5:$D$1004,$T836))))</f>
        <v/>
      </c>
      <c r="F836" s="79">
        <f>IF($T836="","",IF($S836="S",IF(INDEX(Firms!$O$5:$O$1004,$T836)="","",INDEX(Firms!$O$5:$O$1004,$T836)),IF(INDEX('AFA Rates'!$O$5:$O$1004,$T836)="","",INDEX('AFA Rates'!$O$5:$O$1004,$T836))))</f>
        <v/>
      </c>
      <c r="G836" s="50">
        <f>IF($T836="","",IF($S836="S",IF(INDEX(Firms!$F$5:$F$1004,$T836)="","",INDEX(Firms!$F$5:$F$1004,$T836)),IF(INDEX('AFA Rates'!$E$5:$E$1004,$T836)="","",INDEX('AFA Rates'!$E$5:$E$1004,$T836))))</f>
        <v/>
      </c>
      <c r="H836" s="50">
        <f>IF($T836="","",IF($S836="S",IF(INDEX(Firms!$G$5:$G$1004,$T836)="","",INDEX(Firms!$G$5:$G$1004,$T836)),IF(INDEX('AFA Rates'!$F$5:$F$1004,$T836)="","",INDEX('AFA Rates'!$F$5:$F$1004,$T836))))</f>
        <v/>
      </c>
      <c r="I836" s="50">
        <f>IF($T836="","",IF($S836="S",IF(INDEX(Firms!$H$5:$H$1004,$T836)="","",INDEX(Firms!$H$5:$H$1004,$T836)),IF(INDEX('AFA Rates'!$G$5:$G$1004,$T836)="","",INDEX('AFA Rates'!$G$5:$G$1004,$T836))))</f>
        <v/>
      </c>
      <c r="J836" s="50">
        <f>IF($T836="","",IF($S836="S",IF(INDEX(Firms!$I$5:$I$1004,$T836)="","",INDEX(Firms!$I$5:$I$1004,$T836)),IF(INDEX('AFA Rates'!$H$5:$H$1004,$T836)="","",INDEX('AFA Rates'!$H$5:$H$1004,$T836))))</f>
        <v/>
      </c>
      <c r="K836" s="50">
        <f>IF($T836="","",IF($S836="S",IF(INDEX(Firms!$J$5:$J$1004,$T836)="","",INDEX(Firms!$J$5:$J$1004,$T836)),IF(INDEX('AFA Rates'!$I$5:$I$1004,$T836)="","",INDEX('AFA Rates'!$I$5:$I$1004,$T836))))</f>
        <v/>
      </c>
      <c r="L836" s="50">
        <f>IF($T836="","",IF($S836="S",IF(INDEX(Firms!$K$5:$K$1004,$T836)="","",INDEX(Firms!$K$5:$K$1004,$T836)),IF(INDEX('AFA Rates'!$J$5:$J$1004,$T836)="","",INDEX('AFA Rates'!$J$5:$J$1004,$T836))))</f>
        <v/>
      </c>
      <c r="M836" s="50">
        <f>IF($T836="","",IF($S836="S",IF(INDEX(Firms!$L$5:$L$1004,$T836)="","",INDEX(Firms!$L$5:$L$1004,$T836)),IF(INDEX('AFA Rates'!$K$5:$K$1004,$T836)="","",INDEX('AFA Rates'!$K$5:$K$1004,$T836))))</f>
        <v/>
      </c>
      <c r="N836" s="50">
        <f>IF($T836="","",IF($S836="S",IF(INDEX(Firms!$M$5:$M$1004,$T836)="","",INDEX(Firms!$M$5:$M$1004,$T836)),IF(INDEX('AFA Rates'!$L$5:$L$1004,$T836)="","",INDEX('AFA Rates'!$L$5:$L$1004,$T836))))</f>
        <v/>
      </c>
      <c r="O836" s="78">
        <f>IF(OR($T836="",$U836=""),"",IF(INDEX(Firms!$C$5:$C$1004,$U836)="","",INDEX(Firms!$C$5:$C$1004,$U836)))</f>
        <v/>
      </c>
      <c r="P836" s="79">
        <f>IF(OR($T836="",$U836=""),"",IF(INDEX(Firms!$N$5:$N$1004,$U836)="","",INDEX(Firms!$N$5:$N$1004,$U836)))</f>
        <v/>
      </c>
      <c r="Q836" s="78">
        <f>IF($T836="","",IF($S836="S",IF(INDEX(Firms!$T$5:$T$1004,$T836)="","",INDEX(Firms!$T$5:$T$1004,$T836)),IF(INDEX('AFA Rates'!$M$5:$M$1004,$T836)="","",INDEX('AFA Rates'!$M$5:$M$1004,$T836))))</f>
        <v/>
      </c>
      <c r="S836">
        <f>IF(832&lt;=$S$2,"S",IF(832&lt;=$S$2+$T$2,"A",""))</f>
        <v/>
      </c>
      <c r="T836">
        <f>IF(S836="S",MATCH(832,Firms!$W$5:$W$1004,0),IF(S836="A",IFERROR(MATCH(832-$S$2,'AFA Rates'!$R$5:$R$1004,0),""),""))</f>
        <v/>
      </c>
      <c r="U836">
        <f>IF(S836="S",T836,IF(AND(S836="A",T836&lt;&gt;""),IFERROR(MATCH(INDEX('AFA Rates'!$A$5:$A$1004,T836),Firms!$A$5:$A$1004,0),""),""))</f>
        <v/>
      </c>
    </row>
    <row r="837">
      <c r="A837" s="78">
        <f>IF($T837="","",IF($S837="S",IF(INDEX(Firms!$A$5:$A$1004,$T837)="","",INDEX(Firms!$A$5:$A$1004,$T837)),IF(INDEX('AFA Rates'!$A$5:$A$1004,$T837)="","",INDEX('AFA Rates'!$A$5:$A$1004,$T837))))</f>
        <v/>
      </c>
      <c r="B837" s="79">
        <f>IF(OR($T837="",$U837=""),IF($T837="","","Not on Firms tab"),INDEX(Firms!$B$5:$B$1004,$U837)&amp;"")</f>
        <v/>
      </c>
      <c r="C837" s="78">
        <f>IF($T837="","",IF($S837="S","Standard",INDEX('AFA Rates'!$B$5:$B$1004,$T837)&amp;""))</f>
        <v/>
      </c>
      <c r="D837" s="88">
        <f>IF($T837="","",IF($S837="S",IF(INDEX(Firms!$E$5:$E$1004,$T837)="","",INDEX(Firms!$E$5:$E$1004,$T837)),IF(INDEX('AFA Rates'!$C$5:$C$1004,$T837)="","",INDEX('AFA Rates'!$C$5:$C$1004,$T837))))</f>
        <v/>
      </c>
      <c r="E837" s="88">
        <f>IF($T837="","",IF($S837="S",IF(""="","",""),IF(INDEX('AFA Rates'!$D$5:$D$1004,$T837)="","",INDEX('AFA Rates'!$D$5:$D$1004,$T837))))</f>
        <v/>
      </c>
      <c r="F837" s="79">
        <f>IF($T837="","",IF($S837="S",IF(INDEX(Firms!$O$5:$O$1004,$T837)="","",INDEX(Firms!$O$5:$O$1004,$T837)),IF(INDEX('AFA Rates'!$O$5:$O$1004,$T837)="","",INDEX('AFA Rates'!$O$5:$O$1004,$T837))))</f>
        <v/>
      </c>
      <c r="G837" s="50">
        <f>IF($T837="","",IF($S837="S",IF(INDEX(Firms!$F$5:$F$1004,$T837)="","",INDEX(Firms!$F$5:$F$1004,$T837)),IF(INDEX('AFA Rates'!$E$5:$E$1004,$T837)="","",INDEX('AFA Rates'!$E$5:$E$1004,$T837))))</f>
        <v/>
      </c>
      <c r="H837" s="50">
        <f>IF($T837="","",IF($S837="S",IF(INDEX(Firms!$G$5:$G$1004,$T837)="","",INDEX(Firms!$G$5:$G$1004,$T837)),IF(INDEX('AFA Rates'!$F$5:$F$1004,$T837)="","",INDEX('AFA Rates'!$F$5:$F$1004,$T837))))</f>
        <v/>
      </c>
      <c r="I837" s="50">
        <f>IF($T837="","",IF($S837="S",IF(INDEX(Firms!$H$5:$H$1004,$T837)="","",INDEX(Firms!$H$5:$H$1004,$T837)),IF(INDEX('AFA Rates'!$G$5:$G$1004,$T837)="","",INDEX('AFA Rates'!$G$5:$G$1004,$T837))))</f>
        <v/>
      </c>
      <c r="J837" s="50">
        <f>IF($T837="","",IF($S837="S",IF(INDEX(Firms!$I$5:$I$1004,$T837)="","",INDEX(Firms!$I$5:$I$1004,$T837)),IF(INDEX('AFA Rates'!$H$5:$H$1004,$T837)="","",INDEX('AFA Rates'!$H$5:$H$1004,$T837))))</f>
        <v/>
      </c>
      <c r="K837" s="50">
        <f>IF($T837="","",IF($S837="S",IF(INDEX(Firms!$J$5:$J$1004,$T837)="","",INDEX(Firms!$J$5:$J$1004,$T837)),IF(INDEX('AFA Rates'!$I$5:$I$1004,$T837)="","",INDEX('AFA Rates'!$I$5:$I$1004,$T837))))</f>
        <v/>
      </c>
      <c r="L837" s="50">
        <f>IF($T837="","",IF($S837="S",IF(INDEX(Firms!$K$5:$K$1004,$T837)="","",INDEX(Firms!$K$5:$K$1004,$T837)),IF(INDEX('AFA Rates'!$J$5:$J$1004,$T837)="","",INDEX('AFA Rates'!$J$5:$J$1004,$T837))))</f>
        <v/>
      </c>
      <c r="M837" s="50">
        <f>IF($T837="","",IF($S837="S",IF(INDEX(Firms!$L$5:$L$1004,$T837)="","",INDEX(Firms!$L$5:$L$1004,$T837)),IF(INDEX('AFA Rates'!$K$5:$K$1004,$T837)="","",INDEX('AFA Rates'!$K$5:$K$1004,$T837))))</f>
        <v/>
      </c>
      <c r="N837" s="50">
        <f>IF($T837="","",IF($S837="S",IF(INDEX(Firms!$M$5:$M$1004,$T837)="","",INDEX(Firms!$M$5:$M$1004,$T837)),IF(INDEX('AFA Rates'!$L$5:$L$1004,$T837)="","",INDEX('AFA Rates'!$L$5:$L$1004,$T837))))</f>
        <v/>
      </c>
      <c r="O837" s="78">
        <f>IF(OR($T837="",$U837=""),"",IF(INDEX(Firms!$C$5:$C$1004,$U837)="","",INDEX(Firms!$C$5:$C$1004,$U837)))</f>
        <v/>
      </c>
      <c r="P837" s="79">
        <f>IF(OR($T837="",$U837=""),"",IF(INDEX(Firms!$N$5:$N$1004,$U837)="","",INDEX(Firms!$N$5:$N$1004,$U837)))</f>
        <v/>
      </c>
      <c r="Q837" s="78">
        <f>IF($T837="","",IF($S837="S",IF(INDEX(Firms!$T$5:$T$1004,$T837)="","",INDEX(Firms!$T$5:$T$1004,$T837)),IF(INDEX('AFA Rates'!$M$5:$M$1004,$T837)="","",INDEX('AFA Rates'!$M$5:$M$1004,$T837))))</f>
        <v/>
      </c>
      <c r="S837">
        <f>IF(833&lt;=$S$2,"S",IF(833&lt;=$S$2+$T$2,"A",""))</f>
        <v/>
      </c>
      <c r="T837">
        <f>IF(S837="S",MATCH(833,Firms!$W$5:$W$1004,0),IF(S837="A",IFERROR(MATCH(833-$S$2,'AFA Rates'!$R$5:$R$1004,0),""),""))</f>
        <v/>
      </c>
      <c r="U837">
        <f>IF(S837="S",T837,IF(AND(S837="A",T837&lt;&gt;""),IFERROR(MATCH(INDEX('AFA Rates'!$A$5:$A$1004,T837),Firms!$A$5:$A$1004,0),""),""))</f>
        <v/>
      </c>
    </row>
    <row r="838">
      <c r="A838" s="78">
        <f>IF($T838="","",IF($S838="S",IF(INDEX(Firms!$A$5:$A$1004,$T838)="","",INDEX(Firms!$A$5:$A$1004,$T838)),IF(INDEX('AFA Rates'!$A$5:$A$1004,$T838)="","",INDEX('AFA Rates'!$A$5:$A$1004,$T838))))</f>
        <v/>
      </c>
      <c r="B838" s="79">
        <f>IF(OR($T838="",$U838=""),IF($T838="","","Not on Firms tab"),INDEX(Firms!$B$5:$B$1004,$U838)&amp;"")</f>
        <v/>
      </c>
      <c r="C838" s="78">
        <f>IF($T838="","",IF($S838="S","Standard",INDEX('AFA Rates'!$B$5:$B$1004,$T838)&amp;""))</f>
        <v/>
      </c>
      <c r="D838" s="88">
        <f>IF($T838="","",IF($S838="S",IF(INDEX(Firms!$E$5:$E$1004,$T838)="","",INDEX(Firms!$E$5:$E$1004,$T838)),IF(INDEX('AFA Rates'!$C$5:$C$1004,$T838)="","",INDEX('AFA Rates'!$C$5:$C$1004,$T838))))</f>
        <v/>
      </c>
      <c r="E838" s="88">
        <f>IF($T838="","",IF($S838="S",IF(""="","",""),IF(INDEX('AFA Rates'!$D$5:$D$1004,$T838)="","",INDEX('AFA Rates'!$D$5:$D$1004,$T838))))</f>
        <v/>
      </c>
      <c r="F838" s="79">
        <f>IF($T838="","",IF($S838="S",IF(INDEX(Firms!$O$5:$O$1004,$T838)="","",INDEX(Firms!$O$5:$O$1004,$T838)),IF(INDEX('AFA Rates'!$O$5:$O$1004,$T838)="","",INDEX('AFA Rates'!$O$5:$O$1004,$T838))))</f>
        <v/>
      </c>
      <c r="G838" s="50">
        <f>IF($T838="","",IF($S838="S",IF(INDEX(Firms!$F$5:$F$1004,$T838)="","",INDEX(Firms!$F$5:$F$1004,$T838)),IF(INDEX('AFA Rates'!$E$5:$E$1004,$T838)="","",INDEX('AFA Rates'!$E$5:$E$1004,$T838))))</f>
        <v/>
      </c>
      <c r="H838" s="50">
        <f>IF($T838="","",IF($S838="S",IF(INDEX(Firms!$G$5:$G$1004,$T838)="","",INDEX(Firms!$G$5:$G$1004,$T838)),IF(INDEX('AFA Rates'!$F$5:$F$1004,$T838)="","",INDEX('AFA Rates'!$F$5:$F$1004,$T838))))</f>
        <v/>
      </c>
      <c r="I838" s="50">
        <f>IF($T838="","",IF($S838="S",IF(INDEX(Firms!$H$5:$H$1004,$T838)="","",INDEX(Firms!$H$5:$H$1004,$T838)),IF(INDEX('AFA Rates'!$G$5:$G$1004,$T838)="","",INDEX('AFA Rates'!$G$5:$G$1004,$T838))))</f>
        <v/>
      </c>
      <c r="J838" s="50">
        <f>IF($T838="","",IF($S838="S",IF(INDEX(Firms!$I$5:$I$1004,$T838)="","",INDEX(Firms!$I$5:$I$1004,$T838)),IF(INDEX('AFA Rates'!$H$5:$H$1004,$T838)="","",INDEX('AFA Rates'!$H$5:$H$1004,$T838))))</f>
        <v/>
      </c>
      <c r="K838" s="50">
        <f>IF($T838="","",IF($S838="S",IF(INDEX(Firms!$J$5:$J$1004,$T838)="","",INDEX(Firms!$J$5:$J$1004,$T838)),IF(INDEX('AFA Rates'!$I$5:$I$1004,$T838)="","",INDEX('AFA Rates'!$I$5:$I$1004,$T838))))</f>
        <v/>
      </c>
      <c r="L838" s="50">
        <f>IF($T838="","",IF($S838="S",IF(INDEX(Firms!$K$5:$K$1004,$T838)="","",INDEX(Firms!$K$5:$K$1004,$T838)),IF(INDEX('AFA Rates'!$J$5:$J$1004,$T838)="","",INDEX('AFA Rates'!$J$5:$J$1004,$T838))))</f>
        <v/>
      </c>
      <c r="M838" s="50">
        <f>IF($T838="","",IF($S838="S",IF(INDEX(Firms!$L$5:$L$1004,$T838)="","",INDEX(Firms!$L$5:$L$1004,$T838)),IF(INDEX('AFA Rates'!$K$5:$K$1004,$T838)="","",INDEX('AFA Rates'!$K$5:$K$1004,$T838))))</f>
        <v/>
      </c>
      <c r="N838" s="50">
        <f>IF($T838="","",IF($S838="S",IF(INDEX(Firms!$M$5:$M$1004,$T838)="","",INDEX(Firms!$M$5:$M$1004,$T838)),IF(INDEX('AFA Rates'!$L$5:$L$1004,$T838)="","",INDEX('AFA Rates'!$L$5:$L$1004,$T838))))</f>
        <v/>
      </c>
      <c r="O838" s="78">
        <f>IF(OR($T838="",$U838=""),"",IF(INDEX(Firms!$C$5:$C$1004,$U838)="","",INDEX(Firms!$C$5:$C$1004,$U838)))</f>
        <v/>
      </c>
      <c r="P838" s="79">
        <f>IF(OR($T838="",$U838=""),"",IF(INDEX(Firms!$N$5:$N$1004,$U838)="","",INDEX(Firms!$N$5:$N$1004,$U838)))</f>
        <v/>
      </c>
      <c r="Q838" s="78">
        <f>IF($T838="","",IF($S838="S",IF(INDEX(Firms!$T$5:$T$1004,$T838)="","",INDEX(Firms!$T$5:$T$1004,$T838)),IF(INDEX('AFA Rates'!$M$5:$M$1004,$T838)="","",INDEX('AFA Rates'!$M$5:$M$1004,$T838))))</f>
        <v/>
      </c>
      <c r="S838">
        <f>IF(834&lt;=$S$2,"S",IF(834&lt;=$S$2+$T$2,"A",""))</f>
        <v/>
      </c>
      <c r="T838">
        <f>IF(S838="S",MATCH(834,Firms!$W$5:$W$1004,0),IF(S838="A",IFERROR(MATCH(834-$S$2,'AFA Rates'!$R$5:$R$1004,0),""),""))</f>
        <v/>
      </c>
      <c r="U838">
        <f>IF(S838="S",T838,IF(AND(S838="A",T838&lt;&gt;""),IFERROR(MATCH(INDEX('AFA Rates'!$A$5:$A$1004,T838),Firms!$A$5:$A$1004,0),""),""))</f>
        <v/>
      </c>
    </row>
    <row r="839">
      <c r="A839" s="78">
        <f>IF($T839="","",IF($S839="S",IF(INDEX(Firms!$A$5:$A$1004,$T839)="","",INDEX(Firms!$A$5:$A$1004,$T839)),IF(INDEX('AFA Rates'!$A$5:$A$1004,$T839)="","",INDEX('AFA Rates'!$A$5:$A$1004,$T839))))</f>
        <v/>
      </c>
      <c r="B839" s="79">
        <f>IF(OR($T839="",$U839=""),IF($T839="","","Not on Firms tab"),INDEX(Firms!$B$5:$B$1004,$U839)&amp;"")</f>
        <v/>
      </c>
      <c r="C839" s="78">
        <f>IF($T839="","",IF($S839="S","Standard",INDEX('AFA Rates'!$B$5:$B$1004,$T839)&amp;""))</f>
        <v/>
      </c>
      <c r="D839" s="88">
        <f>IF($T839="","",IF($S839="S",IF(INDEX(Firms!$E$5:$E$1004,$T839)="","",INDEX(Firms!$E$5:$E$1004,$T839)),IF(INDEX('AFA Rates'!$C$5:$C$1004,$T839)="","",INDEX('AFA Rates'!$C$5:$C$1004,$T839))))</f>
        <v/>
      </c>
      <c r="E839" s="88">
        <f>IF($T839="","",IF($S839="S",IF(""="","",""),IF(INDEX('AFA Rates'!$D$5:$D$1004,$T839)="","",INDEX('AFA Rates'!$D$5:$D$1004,$T839))))</f>
        <v/>
      </c>
      <c r="F839" s="79">
        <f>IF($T839="","",IF($S839="S",IF(INDEX(Firms!$O$5:$O$1004,$T839)="","",INDEX(Firms!$O$5:$O$1004,$T839)),IF(INDEX('AFA Rates'!$O$5:$O$1004,$T839)="","",INDEX('AFA Rates'!$O$5:$O$1004,$T839))))</f>
        <v/>
      </c>
      <c r="G839" s="50">
        <f>IF($T839="","",IF($S839="S",IF(INDEX(Firms!$F$5:$F$1004,$T839)="","",INDEX(Firms!$F$5:$F$1004,$T839)),IF(INDEX('AFA Rates'!$E$5:$E$1004,$T839)="","",INDEX('AFA Rates'!$E$5:$E$1004,$T839))))</f>
        <v/>
      </c>
      <c r="H839" s="50">
        <f>IF($T839="","",IF($S839="S",IF(INDEX(Firms!$G$5:$G$1004,$T839)="","",INDEX(Firms!$G$5:$G$1004,$T839)),IF(INDEX('AFA Rates'!$F$5:$F$1004,$T839)="","",INDEX('AFA Rates'!$F$5:$F$1004,$T839))))</f>
        <v/>
      </c>
      <c r="I839" s="50">
        <f>IF($T839="","",IF($S839="S",IF(INDEX(Firms!$H$5:$H$1004,$T839)="","",INDEX(Firms!$H$5:$H$1004,$T839)),IF(INDEX('AFA Rates'!$G$5:$G$1004,$T839)="","",INDEX('AFA Rates'!$G$5:$G$1004,$T839))))</f>
        <v/>
      </c>
      <c r="J839" s="50">
        <f>IF($T839="","",IF($S839="S",IF(INDEX(Firms!$I$5:$I$1004,$T839)="","",INDEX(Firms!$I$5:$I$1004,$T839)),IF(INDEX('AFA Rates'!$H$5:$H$1004,$T839)="","",INDEX('AFA Rates'!$H$5:$H$1004,$T839))))</f>
        <v/>
      </c>
      <c r="K839" s="50">
        <f>IF($T839="","",IF($S839="S",IF(INDEX(Firms!$J$5:$J$1004,$T839)="","",INDEX(Firms!$J$5:$J$1004,$T839)),IF(INDEX('AFA Rates'!$I$5:$I$1004,$T839)="","",INDEX('AFA Rates'!$I$5:$I$1004,$T839))))</f>
        <v/>
      </c>
      <c r="L839" s="50">
        <f>IF($T839="","",IF($S839="S",IF(INDEX(Firms!$K$5:$K$1004,$T839)="","",INDEX(Firms!$K$5:$K$1004,$T839)),IF(INDEX('AFA Rates'!$J$5:$J$1004,$T839)="","",INDEX('AFA Rates'!$J$5:$J$1004,$T839))))</f>
        <v/>
      </c>
      <c r="M839" s="50">
        <f>IF($T839="","",IF($S839="S",IF(INDEX(Firms!$L$5:$L$1004,$T839)="","",INDEX(Firms!$L$5:$L$1004,$T839)),IF(INDEX('AFA Rates'!$K$5:$K$1004,$T839)="","",INDEX('AFA Rates'!$K$5:$K$1004,$T839))))</f>
        <v/>
      </c>
      <c r="N839" s="50">
        <f>IF($T839="","",IF($S839="S",IF(INDEX(Firms!$M$5:$M$1004,$T839)="","",INDEX(Firms!$M$5:$M$1004,$T839)),IF(INDEX('AFA Rates'!$L$5:$L$1004,$T839)="","",INDEX('AFA Rates'!$L$5:$L$1004,$T839))))</f>
        <v/>
      </c>
      <c r="O839" s="78">
        <f>IF(OR($T839="",$U839=""),"",IF(INDEX(Firms!$C$5:$C$1004,$U839)="","",INDEX(Firms!$C$5:$C$1004,$U839)))</f>
        <v/>
      </c>
      <c r="P839" s="79">
        <f>IF(OR($T839="",$U839=""),"",IF(INDEX(Firms!$N$5:$N$1004,$U839)="","",INDEX(Firms!$N$5:$N$1004,$U839)))</f>
        <v/>
      </c>
      <c r="Q839" s="78">
        <f>IF($T839="","",IF($S839="S",IF(INDEX(Firms!$T$5:$T$1004,$T839)="","",INDEX(Firms!$T$5:$T$1004,$T839)),IF(INDEX('AFA Rates'!$M$5:$M$1004,$T839)="","",INDEX('AFA Rates'!$M$5:$M$1004,$T839))))</f>
        <v/>
      </c>
      <c r="S839">
        <f>IF(835&lt;=$S$2,"S",IF(835&lt;=$S$2+$T$2,"A",""))</f>
        <v/>
      </c>
      <c r="T839">
        <f>IF(S839="S",MATCH(835,Firms!$W$5:$W$1004,0),IF(S839="A",IFERROR(MATCH(835-$S$2,'AFA Rates'!$R$5:$R$1004,0),""),""))</f>
        <v/>
      </c>
      <c r="U839">
        <f>IF(S839="S",T839,IF(AND(S839="A",T839&lt;&gt;""),IFERROR(MATCH(INDEX('AFA Rates'!$A$5:$A$1004,T839),Firms!$A$5:$A$1004,0),""),""))</f>
        <v/>
      </c>
    </row>
    <row r="840">
      <c r="A840" s="78">
        <f>IF($T840="","",IF($S840="S",IF(INDEX(Firms!$A$5:$A$1004,$T840)="","",INDEX(Firms!$A$5:$A$1004,$T840)),IF(INDEX('AFA Rates'!$A$5:$A$1004,$T840)="","",INDEX('AFA Rates'!$A$5:$A$1004,$T840))))</f>
        <v/>
      </c>
      <c r="B840" s="79">
        <f>IF(OR($T840="",$U840=""),IF($T840="","","Not on Firms tab"),INDEX(Firms!$B$5:$B$1004,$U840)&amp;"")</f>
        <v/>
      </c>
      <c r="C840" s="78">
        <f>IF($T840="","",IF($S840="S","Standard",INDEX('AFA Rates'!$B$5:$B$1004,$T840)&amp;""))</f>
        <v/>
      </c>
      <c r="D840" s="88">
        <f>IF($T840="","",IF($S840="S",IF(INDEX(Firms!$E$5:$E$1004,$T840)="","",INDEX(Firms!$E$5:$E$1004,$T840)),IF(INDEX('AFA Rates'!$C$5:$C$1004,$T840)="","",INDEX('AFA Rates'!$C$5:$C$1004,$T840))))</f>
        <v/>
      </c>
      <c r="E840" s="88">
        <f>IF($T840="","",IF($S840="S",IF(""="","",""),IF(INDEX('AFA Rates'!$D$5:$D$1004,$T840)="","",INDEX('AFA Rates'!$D$5:$D$1004,$T840))))</f>
        <v/>
      </c>
      <c r="F840" s="79">
        <f>IF($T840="","",IF($S840="S",IF(INDEX(Firms!$O$5:$O$1004,$T840)="","",INDEX(Firms!$O$5:$O$1004,$T840)),IF(INDEX('AFA Rates'!$O$5:$O$1004,$T840)="","",INDEX('AFA Rates'!$O$5:$O$1004,$T840))))</f>
        <v/>
      </c>
      <c r="G840" s="50">
        <f>IF($T840="","",IF($S840="S",IF(INDEX(Firms!$F$5:$F$1004,$T840)="","",INDEX(Firms!$F$5:$F$1004,$T840)),IF(INDEX('AFA Rates'!$E$5:$E$1004,$T840)="","",INDEX('AFA Rates'!$E$5:$E$1004,$T840))))</f>
        <v/>
      </c>
      <c r="H840" s="50">
        <f>IF($T840="","",IF($S840="S",IF(INDEX(Firms!$G$5:$G$1004,$T840)="","",INDEX(Firms!$G$5:$G$1004,$T840)),IF(INDEX('AFA Rates'!$F$5:$F$1004,$T840)="","",INDEX('AFA Rates'!$F$5:$F$1004,$T840))))</f>
        <v/>
      </c>
      <c r="I840" s="50">
        <f>IF($T840="","",IF($S840="S",IF(INDEX(Firms!$H$5:$H$1004,$T840)="","",INDEX(Firms!$H$5:$H$1004,$T840)),IF(INDEX('AFA Rates'!$G$5:$G$1004,$T840)="","",INDEX('AFA Rates'!$G$5:$G$1004,$T840))))</f>
        <v/>
      </c>
      <c r="J840" s="50">
        <f>IF($T840="","",IF($S840="S",IF(INDEX(Firms!$I$5:$I$1004,$T840)="","",INDEX(Firms!$I$5:$I$1004,$T840)),IF(INDEX('AFA Rates'!$H$5:$H$1004,$T840)="","",INDEX('AFA Rates'!$H$5:$H$1004,$T840))))</f>
        <v/>
      </c>
      <c r="K840" s="50">
        <f>IF($T840="","",IF($S840="S",IF(INDEX(Firms!$J$5:$J$1004,$T840)="","",INDEX(Firms!$J$5:$J$1004,$T840)),IF(INDEX('AFA Rates'!$I$5:$I$1004,$T840)="","",INDEX('AFA Rates'!$I$5:$I$1004,$T840))))</f>
        <v/>
      </c>
      <c r="L840" s="50">
        <f>IF($T840="","",IF($S840="S",IF(INDEX(Firms!$K$5:$K$1004,$T840)="","",INDEX(Firms!$K$5:$K$1004,$T840)),IF(INDEX('AFA Rates'!$J$5:$J$1004,$T840)="","",INDEX('AFA Rates'!$J$5:$J$1004,$T840))))</f>
        <v/>
      </c>
      <c r="M840" s="50">
        <f>IF($T840="","",IF($S840="S",IF(INDEX(Firms!$L$5:$L$1004,$T840)="","",INDEX(Firms!$L$5:$L$1004,$T840)),IF(INDEX('AFA Rates'!$K$5:$K$1004,$T840)="","",INDEX('AFA Rates'!$K$5:$K$1004,$T840))))</f>
        <v/>
      </c>
      <c r="N840" s="50">
        <f>IF($T840="","",IF($S840="S",IF(INDEX(Firms!$M$5:$M$1004,$T840)="","",INDEX(Firms!$M$5:$M$1004,$T840)),IF(INDEX('AFA Rates'!$L$5:$L$1004,$T840)="","",INDEX('AFA Rates'!$L$5:$L$1004,$T840))))</f>
        <v/>
      </c>
      <c r="O840" s="78">
        <f>IF(OR($T840="",$U840=""),"",IF(INDEX(Firms!$C$5:$C$1004,$U840)="","",INDEX(Firms!$C$5:$C$1004,$U840)))</f>
        <v/>
      </c>
      <c r="P840" s="79">
        <f>IF(OR($T840="",$U840=""),"",IF(INDEX(Firms!$N$5:$N$1004,$U840)="","",INDEX(Firms!$N$5:$N$1004,$U840)))</f>
        <v/>
      </c>
      <c r="Q840" s="78">
        <f>IF($T840="","",IF($S840="S",IF(INDEX(Firms!$T$5:$T$1004,$T840)="","",INDEX(Firms!$T$5:$T$1004,$T840)),IF(INDEX('AFA Rates'!$M$5:$M$1004,$T840)="","",INDEX('AFA Rates'!$M$5:$M$1004,$T840))))</f>
        <v/>
      </c>
      <c r="S840">
        <f>IF(836&lt;=$S$2,"S",IF(836&lt;=$S$2+$T$2,"A",""))</f>
        <v/>
      </c>
      <c r="T840">
        <f>IF(S840="S",MATCH(836,Firms!$W$5:$W$1004,0),IF(S840="A",IFERROR(MATCH(836-$S$2,'AFA Rates'!$R$5:$R$1004,0),""),""))</f>
        <v/>
      </c>
      <c r="U840">
        <f>IF(S840="S",T840,IF(AND(S840="A",T840&lt;&gt;""),IFERROR(MATCH(INDEX('AFA Rates'!$A$5:$A$1004,T840),Firms!$A$5:$A$1004,0),""),""))</f>
        <v/>
      </c>
    </row>
    <row r="841">
      <c r="A841" s="78">
        <f>IF($T841="","",IF($S841="S",IF(INDEX(Firms!$A$5:$A$1004,$T841)="","",INDEX(Firms!$A$5:$A$1004,$T841)),IF(INDEX('AFA Rates'!$A$5:$A$1004,$T841)="","",INDEX('AFA Rates'!$A$5:$A$1004,$T841))))</f>
        <v/>
      </c>
      <c r="B841" s="79">
        <f>IF(OR($T841="",$U841=""),IF($T841="","","Not on Firms tab"),INDEX(Firms!$B$5:$B$1004,$U841)&amp;"")</f>
        <v/>
      </c>
      <c r="C841" s="78">
        <f>IF($T841="","",IF($S841="S","Standard",INDEX('AFA Rates'!$B$5:$B$1004,$T841)&amp;""))</f>
        <v/>
      </c>
      <c r="D841" s="88">
        <f>IF($T841="","",IF($S841="S",IF(INDEX(Firms!$E$5:$E$1004,$T841)="","",INDEX(Firms!$E$5:$E$1004,$T841)),IF(INDEX('AFA Rates'!$C$5:$C$1004,$T841)="","",INDEX('AFA Rates'!$C$5:$C$1004,$T841))))</f>
        <v/>
      </c>
      <c r="E841" s="88">
        <f>IF($T841="","",IF($S841="S",IF(""="","",""),IF(INDEX('AFA Rates'!$D$5:$D$1004,$T841)="","",INDEX('AFA Rates'!$D$5:$D$1004,$T841))))</f>
        <v/>
      </c>
      <c r="F841" s="79">
        <f>IF($T841="","",IF($S841="S",IF(INDEX(Firms!$O$5:$O$1004,$T841)="","",INDEX(Firms!$O$5:$O$1004,$T841)),IF(INDEX('AFA Rates'!$O$5:$O$1004,$T841)="","",INDEX('AFA Rates'!$O$5:$O$1004,$T841))))</f>
        <v/>
      </c>
      <c r="G841" s="50">
        <f>IF($T841="","",IF($S841="S",IF(INDEX(Firms!$F$5:$F$1004,$T841)="","",INDEX(Firms!$F$5:$F$1004,$T841)),IF(INDEX('AFA Rates'!$E$5:$E$1004,$T841)="","",INDEX('AFA Rates'!$E$5:$E$1004,$T841))))</f>
        <v/>
      </c>
      <c r="H841" s="50">
        <f>IF($T841="","",IF($S841="S",IF(INDEX(Firms!$G$5:$G$1004,$T841)="","",INDEX(Firms!$G$5:$G$1004,$T841)),IF(INDEX('AFA Rates'!$F$5:$F$1004,$T841)="","",INDEX('AFA Rates'!$F$5:$F$1004,$T841))))</f>
        <v/>
      </c>
      <c r="I841" s="50">
        <f>IF($T841="","",IF($S841="S",IF(INDEX(Firms!$H$5:$H$1004,$T841)="","",INDEX(Firms!$H$5:$H$1004,$T841)),IF(INDEX('AFA Rates'!$G$5:$G$1004,$T841)="","",INDEX('AFA Rates'!$G$5:$G$1004,$T841))))</f>
        <v/>
      </c>
      <c r="J841" s="50">
        <f>IF($T841="","",IF($S841="S",IF(INDEX(Firms!$I$5:$I$1004,$T841)="","",INDEX(Firms!$I$5:$I$1004,$T841)),IF(INDEX('AFA Rates'!$H$5:$H$1004,$T841)="","",INDEX('AFA Rates'!$H$5:$H$1004,$T841))))</f>
        <v/>
      </c>
      <c r="K841" s="50">
        <f>IF($T841="","",IF($S841="S",IF(INDEX(Firms!$J$5:$J$1004,$T841)="","",INDEX(Firms!$J$5:$J$1004,$T841)),IF(INDEX('AFA Rates'!$I$5:$I$1004,$T841)="","",INDEX('AFA Rates'!$I$5:$I$1004,$T841))))</f>
        <v/>
      </c>
      <c r="L841" s="50">
        <f>IF($T841="","",IF($S841="S",IF(INDEX(Firms!$K$5:$K$1004,$T841)="","",INDEX(Firms!$K$5:$K$1004,$T841)),IF(INDEX('AFA Rates'!$J$5:$J$1004,$T841)="","",INDEX('AFA Rates'!$J$5:$J$1004,$T841))))</f>
        <v/>
      </c>
      <c r="M841" s="50">
        <f>IF($T841="","",IF($S841="S",IF(INDEX(Firms!$L$5:$L$1004,$T841)="","",INDEX(Firms!$L$5:$L$1004,$T841)),IF(INDEX('AFA Rates'!$K$5:$K$1004,$T841)="","",INDEX('AFA Rates'!$K$5:$K$1004,$T841))))</f>
        <v/>
      </c>
      <c r="N841" s="50">
        <f>IF($T841="","",IF($S841="S",IF(INDEX(Firms!$M$5:$M$1004,$T841)="","",INDEX(Firms!$M$5:$M$1004,$T841)),IF(INDEX('AFA Rates'!$L$5:$L$1004,$T841)="","",INDEX('AFA Rates'!$L$5:$L$1004,$T841))))</f>
        <v/>
      </c>
      <c r="O841" s="78">
        <f>IF(OR($T841="",$U841=""),"",IF(INDEX(Firms!$C$5:$C$1004,$U841)="","",INDEX(Firms!$C$5:$C$1004,$U841)))</f>
        <v/>
      </c>
      <c r="P841" s="79">
        <f>IF(OR($T841="",$U841=""),"",IF(INDEX(Firms!$N$5:$N$1004,$U841)="","",INDEX(Firms!$N$5:$N$1004,$U841)))</f>
        <v/>
      </c>
      <c r="Q841" s="78">
        <f>IF($T841="","",IF($S841="S",IF(INDEX(Firms!$T$5:$T$1004,$T841)="","",INDEX(Firms!$T$5:$T$1004,$T841)),IF(INDEX('AFA Rates'!$M$5:$M$1004,$T841)="","",INDEX('AFA Rates'!$M$5:$M$1004,$T841))))</f>
        <v/>
      </c>
      <c r="S841">
        <f>IF(837&lt;=$S$2,"S",IF(837&lt;=$S$2+$T$2,"A",""))</f>
        <v/>
      </c>
      <c r="T841">
        <f>IF(S841="S",MATCH(837,Firms!$W$5:$W$1004,0),IF(S841="A",IFERROR(MATCH(837-$S$2,'AFA Rates'!$R$5:$R$1004,0),""),""))</f>
        <v/>
      </c>
      <c r="U841">
        <f>IF(S841="S",T841,IF(AND(S841="A",T841&lt;&gt;""),IFERROR(MATCH(INDEX('AFA Rates'!$A$5:$A$1004,T841),Firms!$A$5:$A$1004,0),""),""))</f>
        <v/>
      </c>
    </row>
    <row r="842">
      <c r="A842" s="78">
        <f>IF($T842="","",IF($S842="S",IF(INDEX(Firms!$A$5:$A$1004,$T842)="","",INDEX(Firms!$A$5:$A$1004,$T842)),IF(INDEX('AFA Rates'!$A$5:$A$1004,$T842)="","",INDEX('AFA Rates'!$A$5:$A$1004,$T842))))</f>
        <v/>
      </c>
      <c r="B842" s="79">
        <f>IF(OR($T842="",$U842=""),IF($T842="","","Not on Firms tab"),INDEX(Firms!$B$5:$B$1004,$U842)&amp;"")</f>
        <v/>
      </c>
      <c r="C842" s="78">
        <f>IF($T842="","",IF($S842="S","Standard",INDEX('AFA Rates'!$B$5:$B$1004,$T842)&amp;""))</f>
        <v/>
      </c>
      <c r="D842" s="88">
        <f>IF($T842="","",IF($S842="S",IF(INDEX(Firms!$E$5:$E$1004,$T842)="","",INDEX(Firms!$E$5:$E$1004,$T842)),IF(INDEX('AFA Rates'!$C$5:$C$1004,$T842)="","",INDEX('AFA Rates'!$C$5:$C$1004,$T842))))</f>
        <v/>
      </c>
      <c r="E842" s="88">
        <f>IF($T842="","",IF($S842="S",IF(""="","",""),IF(INDEX('AFA Rates'!$D$5:$D$1004,$T842)="","",INDEX('AFA Rates'!$D$5:$D$1004,$T842))))</f>
        <v/>
      </c>
      <c r="F842" s="79">
        <f>IF($T842="","",IF($S842="S",IF(INDEX(Firms!$O$5:$O$1004,$T842)="","",INDEX(Firms!$O$5:$O$1004,$T842)),IF(INDEX('AFA Rates'!$O$5:$O$1004,$T842)="","",INDEX('AFA Rates'!$O$5:$O$1004,$T842))))</f>
        <v/>
      </c>
      <c r="G842" s="50">
        <f>IF($T842="","",IF($S842="S",IF(INDEX(Firms!$F$5:$F$1004,$T842)="","",INDEX(Firms!$F$5:$F$1004,$T842)),IF(INDEX('AFA Rates'!$E$5:$E$1004,$T842)="","",INDEX('AFA Rates'!$E$5:$E$1004,$T842))))</f>
        <v/>
      </c>
      <c r="H842" s="50">
        <f>IF($T842="","",IF($S842="S",IF(INDEX(Firms!$G$5:$G$1004,$T842)="","",INDEX(Firms!$G$5:$G$1004,$T842)),IF(INDEX('AFA Rates'!$F$5:$F$1004,$T842)="","",INDEX('AFA Rates'!$F$5:$F$1004,$T842))))</f>
        <v/>
      </c>
      <c r="I842" s="50">
        <f>IF($T842="","",IF($S842="S",IF(INDEX(Firms!$H$5:$H$1004,$T842)="","",INDEX(Firms!$H$5:$H$1004,$T842)),IF(INDEX('AFA Rates'!$G$5:$G$1004,$T842)="","",INDEX('AFA Rates'!$G$5:$G$1004,$T842))))</f>
        <v/>
      </c>
      <c r="J842" s="50">
        <f>IF($T842="","",IF($S842="S",IF(INDEX(Firms!$I$5:$I$1004,$T842)="","",INDEX(Firms!$I$5:$I$1004,$T842)),IF(INDEX('AFA Rates'!$H$5:$H$1004,$T842)="","",INDEX('AFA Rates'!$H$5:$H$1004,$T842))))</f>
        <v/>
      </c>
      <c r="K842" s="50">
        <f>IF($T842="","",IF($S842="S",IF(INDEX(Firms!$J$5:$J$1004,$T842)="","",INDEX(Firms!$J$5:$J$1004,$T842)),IF(INDEX('AFA Rates'!$I$5:$I$1004,$T842)="","",INDEX('AFA Rates'!$I$5:$I$1004,$T842))))</f>
        <v/>
      </c>
      <c r="L842" s="50">
        <f>IF($T842="","",IF($S842="S",IF(INDEX(Firms!$K$5:$K$1004,$T842)="","",INDEX(Firms!$K$5:$K$1004,$T842)),IF(INDEX('AFA Rates'!$J$5:$J$1004,$T842)="","",INDEX('AFA Rates'!$J$5:$J$1004,$T842))))</f>
        <v/>
      </c>
      <c r="M842" s="50">
        <f>IF($T842="","",IF($S842="S",IF(INDEX(Firms!$L$5:$L$1004,$T842)="","",INDEX(Firms!$L$5:$L$1004,$T842)),IF(INDEX('AFA Rates'!$K$5:$K$1004,$T842)="","",INDEX('AFA Rates'!$K$5:$K$1004,$T842))))</f>
        <v/>
      </c>
      <c r="N842" s="50">
        <f>IF($T842="","",IF($S842="S",IF(INDEX(Firms!$M$5:$M$1004,$T842)="","",INDEX(Firms!$M$5:$M$1004,$T842)),IF(INDEX('AFA Rates'!$L$5:$L$1004,$T842)="","",INDEX('AFA Rates'!$L$5:$L$1004,$T842))))</f>
        <v/>
      </c>
      <c r="O842" s="78">
        <f>IF(OR($T842="",$U842=""),"",IF(INDEX(Firms!$C$5:$C$1004,$U842)="","",INDEX(Firms!$C$5:$C$1004,$U842)))</f>
        <v/>
      </c>
      <c r="P842" s="79">
        <f>IF(OR($T842="",$U842=""),"",IF(INDEX(Firms!$N$5:$N$1004,$U842)="","",INDEX(Firms!$N$5:$N$1004,$U842)))</f>
        <v/>
      </c>
      <c r="Q842" s="78">
        <f>IF($T842="","",IF($S842="S",IF(INDEX(Firms!$T$5:$T$1004,$T842)="","",INDEX(Firms!$T$5:$T$1004,$T842)),IF(INDEX('AFA Rates'!$M$5:$M$1004,$T842)="","",INDEX('AFA Rates'!$M$5:$M$1004,$T842))))</f>
        <v/>
      </c>
      <c r="S842">
        <f>IF(838&lt;=$S$2,"S",IF(838&lt;=$S$2+$T$2,"A",""))</f>
        <v/>
      </c>
      <c r="T842">
        <f>IF(S842="S",MATCH(838,Firms!$W$5:$W$1004,0),IF(S842="A",IFERROR(MATCH(838-$S$2,'AFA Rates'!$R$5:$R$1004,0),""),""))</f>
        <v/>
      </c>
      <c r="U842">
        <f>IF(S842="S",T842,IF(AND(S842="A",T842&lt;&gt;""),IFERROR(MATCH(INDEX('AFA Rates'!$A$5:$A$1004,T842),Firms!$A$5:$A$1004,0),""),""))</f>
        <v/>
      </c>
    </row>
    <row r="843">
      <c r="A843" s="78">
        <f>IF($T843="","",IF($S843="S",IF(INDEX(Firms!$A$5:$A$1004,$T843)="","",INDEX(Firms!$A$5:$A$1004,$T843)),IF(INDEX('AFA Rates'!$A$5:$A$1004,$T843)="","",INDEX('AFA Rates'!$A$5:$A$1004,$T843))))</f>
        <v/>
      </c>
      <c r="B843" s="79">
        <f>IF(OR($T843="",$U843=""),IF($T843="","","Not on Firms tab"),INDEX(Firms!$B$5:$B$1004,$U843)&amp;"")</f>
        <v/>
      </c>
      <c r="C843" s="78">
        <f>IF($T843="","",IF($S843="S","Standard",INDEX('AFA Rates'!$B$5:$B$1004,$T843)&amp;""))</f>
        <v/>
      </c>
      <c r="D843" s="88">
        <f>IF($T843="","",IF($S843="S",IF(INDEX(Firms!$E$5:$E$1004,$T843)="","",INDEX(Firms!$E$5:$E$1004,$T843)),IF(INDEX('AFA Rates'!$C$5:$C$1004,$T843)="","",INDEX('AFA Rates'!$C$5:$C$1004,$T843))))</f>
        <v/>
      </c>
      <c r="E843" s="88">
        <f>IF($T843="","",IF($S843="S",IF(""="","",""),IF(INDEX('AFA Rates'!$D$5:$D$1004,$T843)="","",INDEX('AFA Rates'!$D$5:$D$1004,$T843))))</f>
        <v/>
      </c>
      <c r="F843" s="79">
        <f>IF($T843="","",IF($S843="S",IF(INDEX(Firms!$O$5:$O$1004,$T843)="","",INDEX(Firms!$O$5:$O$1004,$T843)),IF(INDEX('AFA Rates'!$O$5:$O$1004,$T843)="","",INDEX('AFA Rates'!$O$5:$O$1004,$T843))))</f>
        <v/>
      </c>
      <c r="G843" s="50">
        <f>IF($T843="","",IF($S843="S",IF(INDEX(Firms!$F$5:$F$1004,$T843)="","",INDEX(Firms!$F$5:$F$1004,$T843)),IF(INDEX('AFA Rates'!$E$5:$E$1004,$T843)="","",INDEX('AFA Rates'!$E$5:$E$1004,$T843))))</f>
        <v/>
      </c>
      <c r="H843" s="50">
        <f>IF($T843="","",IF($S843="S",IF(INDEX(Firms!$G$5:$G$1004,$T843)="","",INDEX(Firms!$G$5:$G$1004,$T843)),IF(INDEX('AFA Rates'!$F$5:$F$1004,$T843)="","",INDEX('AFA Rates'!$F$5:$F$1004,$T843))))</f>
        <v/>
      </c>
      <c r="I843" s="50">
        <f>IF($T843="","",IF($S843="S",IF(INDEX(Firms!$H$5:$H$1004,$T843)="","",INDEX(Firms!$H$5:$H$1004,$T843)),IF(INDEX('AFA Rates'!$G$5:$G$1004,$T843)="","",INDEX('AFA Rates'!$G$5:$G$1004,$T843))))</f>
        <v/>
      </c>
      <c r="J843" s="50">
        <f>IF($T843="","",IF($S843="S",IF(INDEX(Firms!$I$5:$I$1004,$T843)="","",INDEX(Firms!$I$5:$I$1004,$T843)),IF(INDEX('AFA Rates'!$H$5:$H$1004,$T843)="","",INDEX('AFA Rates'!$H$5:$H$1004,$T843))))</f>
        <v/>
      </c>
      <c r="K843" s="50">
        <f>IF($T843="","",IF($S843="S",IF(INDEX(Firms!$J$5:$J$1004,$T843)="","",INDEX(Firms!$J$5:$J$1004,$T843)),IF(INDEX('AFA Rates'!$I$5:$I$1004,$T843)="","",INDEX('AFA Rates'!$I$5:$I$1004,$T843))))</f>
        <v/>
      </c>
      <c r="L843" s="50">
        <f>IF($T843="","",IF($S843="S",IF(INDEX(Firms!$K$5:$K$1004,$T843)="","",INDEX(Firms!$K$5:$K$1004,$T843)),IF(INDEX('AFA Rates'!$J$5:$J$1004,$T843)="","",INDEX('AFA Rates'!$J$5:$J$1004,$T843))))</f>
        <v/>
      </c>
      <c r="M843" s="50">
        <f>IF($T843="","",IF($S843="S",IF(INDEX(Firms!$L$5:$L$1004,$T843)="","",INDEX(Firms!$L$5:$L$1004,$T843)),IF(INDEX('AFA Rates'!$K$5:$K$1004,$T843)="","",INDEX('AFA Rates'!$K$5:$K$1004,$T843))))</f>
        <v/>
      </c>
      <c r="N843" s="50">
        <f>IF($T843="","",IF($S843="S",IF(INDEX(Firms!$M$5:$M$1004,$T843)="","",INDEX(Firms!$M$5:$M$1004,$T843)),IF(INDEX('AFA Rates'!$L$5:$L$1004,$T843)="","",INDEX('AFA Rates'!$L$5:$L$1004,$T843))))</f>
        <v/>
      </c>
      <c r="O843" s="78">
        <f>IF(OR($T843="",$U843=""),"",IF(INDEX(Firms!$C$5:$C$1004,$U843)="","",INDEX(Firms!$C$5:$C$1004,$U843)))</f>
        <v/>
      </c>
      <c r="P843" s="79">
        <f>IF(OR($T843="",$U843=""),"",IF(INDEX(Firms!$N$5:$N$1004,$U843)="","",INDEX(Firms!$N$5:$N$1004,$U843)))</f>
        <v/>
      </c>
      <c r="Q843" s="78">
        <f>IF($T843="","",IF($S843="S",IF(INDEX(Firms!$T$5:$T$1004,$T843)="","",INDEX(Firms!$T$5:$T$1004,$T843)),IF(INDEX('AFA Rates'!$M$5:$M$1004,$T843)="","",INDEX('AFA Rates'!$M$5:$M$1004,$T843))))</f>
        <v/>
      </c>
      <c r="S843">
        <f>IF(839&lt;=$S$2,"S",IF(839&lt;=$S$2+$T$2,"A",""))</f>
        <v/>
      </c>
      <c r="T843">
        <f>IF(S843="S",MATCH(839,Firms!$W$5:$W$1004,0),IF(S843="A",IFERROR(MATCH(839-$S$2,'AFA Rates'!$R$5:$R$1004,0),""),""))</f>
        <v/>
      </c>
      <c r="U843">
        <f>IF(S843="S",T843,IF(AND(S843="A",T843&lt;&gt;""),IFERROR(MATCH(INDEX('AFA Rates'!$A$5:$A$1004,T843),Firms!$A$5:$A$1004,0),""),""))</f>
        <v/>
      </c>
    </row>
    <row r="844">
      <c r="A844" s="78">
        <f>IF($T844="","",IF($S844="S",IF(INDEX(Firms!$A$5:$A$1004,$T844)="","",INDEX(Firms!$A$5:$A$1004,$T844)),IF(INDEX('AFA Rates'!$A$5:$A$1004,$T844)="","",INDEX('AFA Rates'!$A$5:$A$1004,$T844))))</f>
        <v/>
      </c>
      <c r="B844" s="79">
        <f>IF(OR($T844="",$U844=""),IF($T844="","","Not on Firms tab"),INDEX(Firms!$B$5:$B$1004,$U844)&amp;"")</f>
        <v/>
      </c>
      <c r="C844" s="78">
        <f>IF($T844="","",IF($S844="S","Standard",INDEX('AFA Rates'!$B$5:$B$1004,$T844)&amp;""))</f>
        <v/>
      </c>
      <c r="D844" s="88">
        <f>IF($T844="","",IF($S844="S",IF(INDEX(Firms!$E$5:$E$1004,$T844)="","",INDEX(Firms!$E$5:$E$1004,$T844)),IF(INDEX('AFA Rates'!$C$5:$C$1004,$T844)="","",INDEX('AFA Rates'!$C$5:$C$1004,$T844))))</f>
        <v/>
      </c>
      <c r="E844" s="88">
        <f>IF($T844="","",IF($S844="S",IF(""="","",""),IF(INDEX('AFA Rates'!$D$5:$D$1004,$T844)="","",INDEX('AFA Rates'!$D$5:$D$1004,$T844))))</f>
        <v/>
      </c>
      <c r="F844" s="79">
        <f>IF($T844="","",IF($S844="S",IF(INDEX(Firms!$O$5:$O$1004,$T844)="","",INDEX(Firms!$O$5:$O$1004,$T844)),IF(INDEX('AFA Rates'!$O$5:$O$1004,$T844)="","",INDEX('AFA Rates'!$O$5:$O$1004,$T844))))</f>
        <v/>
      </c>
      <c r="G844" s="50">
        <f>IF($T844="","",IF($S844="S",IF(INDEX(Firms!$F$5:$F$1004,$T844)="","",INDEX(Firms!$F$5:$F$1004,$T844)),IF(INDEX('AFA Rates'!$E$5:$E$1004,$T844)="","",INDEX('AFA Rates'!$E$5:$E$1004,$T844))))</f>
        <v/>
      </c>
      <c r="H844" s="50">
        <f>IF($T844="","",IF($S844="S",IF(INDEX(Firms!$G$5:$G$1004,$T844)="","",INDEX(Firms!$G$5:$G$1004,$T844)),IF(INDEX('AFA Rates'!$F$5:$F$1004,$T844)="","",INDEX('AFA Rates'!$F$5:$F$1004,$T844))))</f>
        <v/>
      </c>
      <c r="I844" s="50">
        <f>IF($T844="","",IF($S844="S",IF(INDEX(Firms!$H$5:$H$1004,$T844)="","",INDEX(Firms!$H$5:$H$1004,$T844)),IF(INDEX('AFA Rates'!$G$5:$G$1004,$T844)="","",INDEX('AFA Rates'!$G$5:$G$1004,$T844))))</f>
        <v/>
      </c>
      <c r="J844" s="50">
        <f>IF($T844="","",IF($S844="S",IF(INDEX(Firms!$I$5:$I$1004,$T844)="","",INDEX(Firms!$I$5:$I$1004,$T844)),IF(INDEX('AFA Rates'!$H$5:$H$1004,$T844)="","",INDEX('AFA Rates'!$H$5:$H$1004,$T844))))</f>
        <v/>
      </c>
      <c r="K844" s="50">
        <f>IF($T844="","",IF($S844="S",IF(INDEX(Firms!$J$5:$J$1004,$T844)="","",INDEX(Firms!$J$5:$J$1004,$T844)),IF(INDEX('AFA Rates'!$I$5:$I$1004,$T844)="","",INDEX('AFA Rates'!$I$5:$I$1004,$T844))))</f>
        <v/>
      </c>
      <c r="L844" s="50">
        <f>IF($T844="","",IF($S844="S",IF(INDEX(Firms!$K$5:$K$1004,$T844)="","",INDEX(Firms!$K$5:$K$1004,$T844)),IF(INDEX('AFA Rates'!$J$5:$J$1004,$T844)="","",INDEX('AFA Rates'!$J$5:$J$1004,$T844))))</f>
        <v/>
      </c>
      <c r="M844" s="50">
        <f>IF($T844="","",IF($S844="S",IF(INDEX(Firms!$L$5:$L$1004,$T844)="","",INDEX(Firms!$L$5:$L$1004,$T844)),IF(INDEX('AFA Rates'!$K$5:$K$1004,$T844)="","",INDEX('AFA Rates'!$K$5:$K$1004,$T844))))</f>
        <v/>
      </c>
      <c r="N844" s="50">
        <f>IF($T844="","",IF($S844="S",IF(INDEX(Firms!$M$5:$M$1004,$T844)="","",INDEX(Firms!$M$5:$M$1004,$T844)),IF(INDEX('AFA Rates'!$L$5:$L$1004,$T844)="","",INDEX('AFA Rates'!$L$5:$L$1004,$T844))))</f>
        <v/>
      </c>
      <c r="O844" s="78">
        <f>IF(OR($T844="",$U844=""),"",IF(INDEX(Firms!$C$5:$C$1004,$U844)="","",INDEX(Firms!$C$5:$C$1004,$U844)))</f>
        <v/>
      </c>
      <c r="P844" s="79">
        <f>IF(OR($T844="",$U844=""),"",IF(INDEX(Firms!$N$5:$N$1004,$U844)="","",INDEX(Firms!$N$5:$N$1004,$U844)))</f>
        <v/>
      </c>
      <c r="Q844" s="78">
        <f>IF($T844="","",IF($S844="S",IF(INDEX(Firms!$T$5:$T$1004,$T844)="","",INDEX(Firms!$T$5:$T$1004,$T844)),IF(INDEX('AFA Rates'!$M$5:$M$1004,$T844)="","",INDEX('AFA Rates'!$M$5:$M$1004,$T844))))</f>
        <v/>
      </c>
      <c r="S844">
        <f>IF(840&lt;=$S$2,"S",IF(840&lt;=$S$2+$T$2,"A",""))</f>
        <v/>
      </c>
      <c r="T844">
        <f>IF(S844="S",MATCH(840,Firms!$W$5:$W$1004,0),IF(S844="A",IFERROR(MATCH(840-$S$2,'AFA Rates'!$R$5:$R$1004,0),""),""))</f>
        <v/>
      </c>
      <c r="U844">
        <f>IF(S844="S",T844,IF(AND(S844="A",T844&lt;&gt;""),IFERROR(MATCH(INDEX('AFA Rates'!$A$5:$A$1004,T844),Firms!$A$5:$A$1004,0),""),""))</f>
        <v/>
      </c>
    </row>
    <row r="845">
      <c r="A845" s="78">
        <f>IF($T845="","",IF($S845="S",IF(INDEX(Firms!$A$5:$A$1004,$T845)="","",INDEX(Firms!$A$5:$A$1004,$T845)),IF(INDEX('AFA Rates'!$A$5:$A$1004,$T845)="","",INDEX('AFA Rates'!$A$5:$A$1004,$T845))))</f>
        <v/>
      </c>
      <c r="B845" s="79">
        <f>IF(OR($T845="",$U845=""),IF($T845="","","Not on Firms tab"),INDEX(Firms!$B$5:$B$1004,$U845)&amp;"")</f>
        <v/>
      </c>
      <c r="C845" s="78">
        <f>IF($T845="","",IF($S845="S","Standard",INDEX('AFA Rates'!$B$5:$B$1004,$T845)&amp;""))</f>
        <v/>
      </c>
      <c r="D845" s="88">
        <f>IF($T845="","",IF($S845="S",IF(INDEX(Firms!$E$5:$E$1004,$T845)="","",INDEX(Firms!$E$5:$E$1004,$T845)),IF(INDEX('AFA Rates'!$C$5:$C$1004,$T845)="","",INDEX('AFA Rates'!$C$5:$C$1004,$T845))))</f>
        <v/>
      </c>
      <c r="E845" s="88">
        <f>IF($T845="","",IF($S845="S",IF(""="","",""),IF(INDEX('AFA Rates'!$D$5:$D$1004,$T845)="","",INDEX('AFA Rates'!$D$5:$D$1004,$T845))))</f>
        <v/>
      </c>
      <c r="F845" s="79">
        <f>IF($T845="","",IF($S845="S",IF(INDEX(Firms!$O$5:$O$1004,$T845)="","",INDEX(Firms!$O$5:$O$1004,$T845)),IF(INDEX('AFA Rates'!$O$5:$O$1004,$T845)="","",INDEX('AFA Rates'!$O$5:$O$1004,$T845))))</f>
        <v/>
      </c>
      <c r="G845" s="50">
        <f>IF($T845="","",IF($S845="S",IF(INDEX(Firms!$F$5:$F$1004,$T845)="","",INDEX(Firms!$F$5:$F$1004,$T845)),IF(INDEX('AFA Rates'!$E$5:$E$1004,$T845)="","",INDEX('AFA Rates'!$E$5:$E$1004,$T845))))</f>
        <v/>
      </c>
      <c r="H845" s="50">
        <f>IF($T845="","",IF($S845="S",IF(INDEX(Firms!$G$5:$G$1004,$T845)="","",INDEX(Firms!$G$5:$G$1004,$T845)),IF(INDEX('AFA Rates'!$F$5:$F$1004,$T845)="","",INDEX('AFA Rates'!$F$5:$F$1004,$T845))))</f>
        <v/>
      </c>
      <c r="I845" s="50">
        <f>IF($T845="","",IF($S845="S",IF(INDEX(Firms!$H$5:$H$1004,$T845)="","",INDEX(Firms!$H$5:$H$1004,$T845)),IF(INDEX('AFA Rates'!$G$5:$G$1004,$T845)="","",INDEX('AFA Rates'!$G$5:$G$1004,$T845))))</f>
        <v/>
      </c>
      <c r="J845" s="50">
        <f>IF($T845="","",IF($S845="S",IF(INDEX(Firms!$I$5:$I$1004,$T845)="","",INDEX(Firms!$I$5:$I$1004,$T845)),IF(INDEX('AFA Rates'!$H$5:$H$1004,$T845)="","",INDEX('AFA Rates'!$H$5:$H$1004,$T845))))</f>
        <v/>
      </c>
      <c r="K845" s="50">
        <f>IF($T845="","",IF($S845="S",IF(INDEX(Firms!$J$5:$J$1004,$T845)="","",INDEX(Firms!$J$5:$J$1004,$T845)),IF(INDEX('AFA Rates'!$I$5:$I$1004,$T845)="","",INDEX('AFA Rates'!$I$5:$I$1004,$T845))))</f>
        <v/>
      </c>
      <c r="L845" s="50">
        <f>IF($T845="","",IF($S845="S",IF(INDEX(Firms!$K$5:$K$1004,$T845)="","",INDEX(Firms!$K$5:$K$1004,$T845)),IF(INDEX('AFA Rates'!$J$5:$J$1004,$T845)="","",INDEX('AFA Rates'!$J$5:$J$1004,$T845))))</f>
        <v/>
      </c>
      <c r="M845" s="50">
        <f>IF($T845="","",IF($S845="S",IF(INDEX(Firms!$L$5:$L$1004,$T845)="","",INDEX(Firms!$L$5:$L$1004,$T845)),IF(INDEX('AFA Rates'!$K$5:$K$1004,$T845)="","",INDEX('AFA Rates'!$K$5:$K$1004,$T845))))</f>
        <v/>
      </c>
      <c r="N845" s="50">
        <f>IF($T845="","",IF($S845="S",IF(INDEX(Firms!$M$5:$M$1004,$T845)="","",INDEX(Firms!$M$5:$M$1004,$T845)),IF(INDEX('AFA Rates'!$L$5:$L$1004,$T845)="","",INDEX('AFA Rates'!$L$5:$L$1004,$T845))))</f>
        <v/>
      </c>
      <c r="O845" s="78">
        <f>IF(OR($T845="",$U845=""),"",IF(INDEX(Firms!$C$5:$C$1004,$U845)="","",INDEX(Firms!$C$5:$C$1004,$U845)))</f>
        <v/>
      </c>
      <c r="P845" s="79">
        <f>IF(OR($T845="",$U845=""),"",IF(INDEX(Firms!$N$5:$N$1004,$U845)="","",INDEX(Firms!$N$5:$N$1004,$U845)))</f>
        <v/>
      </c>
      <c r="Q845" s="78">
        <f>IF($T845="","",IF($S845="S",IF(INDEX(Firms!$T$5:$T$1004,$T845)="","",INDEX(Firms!$T$5:$T$1004,$T845)),IF(INDEX('AFA Rates'!$M$5:$M$1004,$T845)="","",INDEX('AFA Rates'!$M$5:$M$1004,$T845))))</f>
        <v/>
      </c>
      <c r="S845">
        <f>IF(841&lt;=$S$2,"S",IF(841&lt;=$S$2+$T$2,"A",""))</f>
        <v/>
      </c>
      <c r="T845">
        <f>IF(S845="S",MATCH(841,Firms!$W$5:$W$1004,0),IF(S845="A",IFERROR(MATCH(841-$S$2,'AFA Rates'!$R$5:$R$1004,0),""),""))</f>
        <v/>
      </c>
      <c r="U845">
        <f>IF(S845="S",T845,IF(AND(S845="A",T845&lt;&gt;""),IFERROR(MATCH(INDEX('AFA Rates'!$A$5:$A$1004,T845),Firms!$A$5:$A$1004,0),""),""))</f>
        <v/>
      </c>
    </row>
    <row r="846">
      <c r="A846" s="78">
        <f>IF($T846="","",IF($S846="S",IF(INDEX(Firms!$A$5:$A$1004,$T846)="","",INDEX(Firms!$A$5:$A$1004,$T846)),IF(INDEX('AFA Rates'!$A$5:$A$1004,$T846)="","",INDEX('AFA Rates'!$A$5:$A$1004,$T846))))</f>
        <v/>
      </c>
      <c r="B846" s="79">
        <f>IF(OR($T846="",$U846=""),IF($T846="","","Not on Firms tab"),INDEX(Firms!$B$5:$B$1004,$U846)&amp;"")</f>
        <v/>
      </c>
      <c r="C846" s="78">
        <f>IF($T846="","",IF($S846="S","Standard",INDEX('AFA Rates'!$B$5:$B$1004,$T846)&amp;""))</f>
        <v/>
      </c>
      <c r="D846" s="88">
        <f>IF($T846="","",IF($S846="S",IF(INDEX(Firms!$E$5:$E$1004,$T846)="","",INDEX(Firms!$E$5:$E$1004,$T846)),IF(INDEX('AFA Rates'!$C$5:$C$1004,$T846)="","",INDEX('AFA Rates'!$C$5:$C$1004,$T846))))</f>
        <v/>
      </c>
      <c r="E846" s="88">
        <f>IF($T846="","",IF($S846="S",IF(""="","",""),IF(INDEX('AFA Rates'!$D$5:$D$1004,$T846)="","",INDEX('AFA Rates'!$D$5:$D$1004,$T846))))</f>
        <v/>
      </c>
      <c r="F846" s="79">
        <f>IF($T846="","",IF($S846="S",IF(INDEX(Firms!$O$5:$O$1004,$T846)="","",INDEX(Firms!$O$5:$O$1004,$T846)),IF(INDEX('AFA Rates'!$O$5:$O$1004,$T846)="","",INDEX('AFA Rates'!$O$5:$O$1004,$T846))))</f>
        <v/>
      </c>
      <c r="G846" s="50">
        <f>IF($T846="","",IF($S846="S",IF(INDEX(Firms!$F$5:$F$1004,$T846)="","",INDEX(Firms!$F$5:$F$1004,$T846)),IF(INDEX('AFA Rates'!$E$5:$E$1004,$T846)="","",INDEX('AFA Rates'!$E$5:$E$1004,$T846))))</f>
        <v/>
      </c>
      <c r="H846" s="50">
        <f>IF($T846="","",IF($S846="S",IF(INDEX(Firms!$G$5:$G$1004,$T846)="","",INDEX(Firms!$G$5:$G$1004,$T846)),IF(INDEX('AFA Rates'!$F$5:$F$1004,$T846)="","",INDEX('AFA Rates'!$F$5:$F$1004,$T846))))</f>
        <v/>
      </c>
      <c r="I846" s="50">
        <f>IF($T846="","",IF($S846="S",IF(INDEX(Firms!$H$5:$H$1004,$T846)="","",INDEX(Firms!$H$5:$H$1004,$T846)),IF(INDEX('AFA Rates'!$G$5:$G$1004,$T846)="","",INDEX('AFA Rates'!$G$5:$G$1004,$T846))))</f>
        <v/>
      </c>
      <c r="J846" s="50">
        <f>IF($T846="","",IF($S846="S",IF(INDEX(Firms!$I$5:$I$1004,$T846)="","",INDEX(Firms!$I$5:$I$1004,$T846)),IF(INDEX('AFA Rates'!$H$5:$H$1004,$T846)="","",INDEX('AFA Rates'!$H$5:$H$1004,$T846))))</f>
        <v/>
      </c>
      <c r="K846" s="50">
        <f>IF($T846="","",IF($S846="S",IF(INDEX(Firms!$J$5:$J$1004,$T846)="","",INDEX(Firms!$J$5:$J$1004,$T846)),IF(INDEX('AFA Rates'!$I$5:$I$1004,$T846)="","",INDEX('AFA Rates'!$I$5:$I$1004,$T846))))</f>
        <v/>
      </c>
      <c r="L846" s="50">
        <f>IF($T846="","",IF($S846="S",IF(INDEX(Firms!$K$5:$K$1004,$T846)="","",INDEX(Firms!$K$5:$K$1004,$T846)),IF(INDEX('AFA Rates'!$J$5:$J$1004,$T846)="","",INDEX('AFA Rates'!$J$5:$J$1004,$T846))))</f>
        <v/>
      </c>
      <c r="M846" s="50">
        <f>IF($T846="","",IF($S846="S",IF(INDEX(Firms!$L$5:$L$1004,$T846)="","",INDEX(Firms!$L$5:$L$1004,$T846)),IF(INDEX('AFA Rates'!$K$5:$K$1004,$T846)="","",INDEX('AFA Rates'!$K$5:$K$1004,$T846))))</f>
        <v/>
      </c>
      <c r="N846" s="50">
        <f>IF($T846="","",IF($S846="S",IF(INDEX(Firms!$M$5:$M$1004,$T846)="","",INDEX(Firms!$M$5:$M$1004,$T846)),IF(INDEX('AFA Rates'!$L$5:$L$1004,$T846)="","",INDEX('AFA Rates'!$L$5:$L$1004,$T846))))</f>
        <v/>
      </c>
      <c r="O846" s="78">
        <f>IF(OR($T846="",$U846=""),"",IF(INDEX(Firms!$C$5:$C$1004,$U846)="","",INDEX(Firms!$C$5:$C$1004,$U846)))</f>
        <v/>
      </c>
      <c r="P846" s="79">
        <f>IF(OR($T846="",$U846=""),"",IF(INDEX(Firms!$N$5:$N$1004,$U846)="","",INDEX(Firms!$N$5:$N$1004,$U846)))</f>
        <v/>
      </c>
      <c r="Q846" s="78">
        <f>IF($T846="","",IF($S846="S",IF(INDEX(Firms!$T$5:$T$1004,$T846)="","",INDEX(Firms!$T$5:$T$1004,$T846)),IF(INDEX('AFA Rates'!$M$5:$M$1004,$T846)="","",INDEX('AFA Rates'!$M$5:$M$1004,$T846))))</f>
        <v/>
      </c>
      <c r="S846">
        <f>IF(842&lt;=$S$2,"S",IF(842&lt;=$S$2+$T$2,"A",""))</f>
        <v/>
      </c>
      <c r="T846">
        <f>IF(S846="S",MATCH(842,Firms!$W$5:$W$1004,0),IF(S846="A",IFERROR(MATCH(842-$S$2,'AFA Rates'!$R$5:$R$1004,0),""),""))</f>
        <v/>
      </c>
      <c r="U846">
        <f>IF(S846="S",T846,IF(AND(S846="A",T846&lt;&gt;""),IFERROR(MATCH(INDEX('AFA Rates'!$A$5:$A$1004,T846),Firms!$A$5:$A$1004,0),""),""))</f>
        <v/>
      </c>
    </row>
    <row r="847">
      <c r="A847" s="78">
        <f>IF($T847="","",IF($S847="S",IF(INDEX(Firms!$A$5:$A$1004,$T847)="","",INDEX(Firms!$A$5:$A$1004,$T847)),IF(INDEX('AFA Rates'!$A$5:$A$1004,$T847)="","",INDEX('AFA Rates'!$A$5:$A$1004,$T847))))</f>
        <v/>
      </c>
      <c r="B847" s="79">
        <f>IF(OR($T847="",$U847=""),IF($T847="","","Not on Firms tab"),INDEX(Firms!$B$5:$B$1004,$U847)&amp;"")</f>
        <v/>
      </c>
      <c r="C847" s="78">
        <f>IF($T847="","",IF($S847="S","Standard",INDEX('AFA Rates'!$B$5:$B$1004,$T847)&amp;""))</f>
        <v/>
      </c>
      <c r="D847" s="88">
        <f>IF($T847="","",IF($S847="S",IF(INDEX(Firms!$E$5:$E$1004,$T847)="","",INDEX(Firms!$E$5:$E$1004,$T847)),IF(INDEX('AFA Rates'!$C$5:$C$1004,$T847)="","",INDEX('AFA Rates'!$C$5:$C$1004,$T847))))</f>
        <v/>
      </c>
      <c r="E847" s="88">
        <f>IF($T847="","",IF($S847="S",IF(""="","",""),IF(INDEX('AFA Rates'!$D$5:$D$1004,$T847)="","",INDEX('AFA Rates'!$D$5:$D$1004,$T847))))</f>
        <v/>
      </c>
      <c r="F847" s="79">
        <f>IF($T847="","",IF($S847="S",IF(INDEX(Firms!$O$5:$O$1004,$T847)="","",INDEX(Firms!$O$5:$O$1004,$T847)),IF(INDEX('AFA Rates'!$O$5:$O$1004,$T847)="","",INDEX('AFA Rates'!$O$5:$O$1004,$T847))))</f>
        <v/>
      </c>
      <c r="G847" s="50">
        <f>IF($T847="","",IF($S847="S",IF(INDEX(Firms!$F$5:$F$1004,$T847)="","",INDEX(Firms!$F$5:$F$1004,$T847)),IF(INDEX('AFA Rates'!$E$5:$E$1004,$T847)="","",INDEX('AFA Rates'!$E$5:$E$1004,$T847))))</f>
        <v/>
      </c>
      <c r="H847" s="50">
        <f>IF($T847="","",IF($S847="S",IF(INDEX(Firms!$G$5:$G$1004,$T847)="","",INDEX(Firms!$G$5:$G$1004,$T847)),IF(INDEX('AFA Rates'!$F$5:$F$1004,$T847)="","",INDEX('AFA Rates'!$F$5:$F$1004,$T847))))</f>
        <v/>
      </c>
      <c r="I847" s="50">
        <f>IF($T847="","",IF($S847="S",IF(INDEX(Firms!$H$5:$H$1004,$T847)="","",INDEX(Firms!$H$5:$H$1004,$T847)),IF(INDEX('AFA Rates'!$G$5:$G$1004,$T847)="","",INDEX('AFA Rates'!$G$5:$G$1004,$T847))))</f>
        <v/>
      </c>
      <c r="J847" s="50">
        <f>IF($T847="","",IF($S847="S",IF(INDEX(Firms!$I$5:$I$1004,$T847)="","",INDEX(Firms!$I$5:$I$1004,$T847)),IF(INDEX('AFA Rates'!$H$5:$H$1004,$T847)="","",INDEX('AFA Rates'!$H$5:$H$1004,$T847))))</f>
        <v/>
      </c>
      <c r="K847" s="50">
        <f>IF($T847="","",IF($S847="S",IF(INDEX(Firms!$J$5:$J$1004,$T847)="","",INDEX(Firms!$J$5:$J$1004,$T847)),IF(INDEX('AFA Rates'!$I$5:$I$1004,$T847)="","",INDEX('AFA Rates'!$I$5:$I$1004,$T847))))</f>
        <v/>
      </c>
      <c r="L847" s="50">
        <f>IF($T847="","",IF($S847="S",IF(INDEX(Firms!$K$5:$K$1004,$T847)="","",INDEX(Firms!$K$5:$K$1004,$T847)),IF(INDEX('AFA Rates'!$J$5:$J$1004,$T847)="","",INDEX('AFA Rates'!$J$5:$J$1004,$T847))))</f>
        <v/>
      </c>
      <c r="M847" s="50">
        <f>IF($T847="","",IF($S847="S",IF(INDEX(Firms!$L$5:$L$1004,$T847)="","",INDEX(Firms!$L$5:$L$1004,$T847)),IF(INDEX('AFA Rates'!$K$5:$K$1004,$T847)="","",INDEX('AFA Rates'!$K$5:$K$1004,$T847))))</f>
        <v/>
      </c>
      <c r="N847" s="50">
        <f>IF($T847="","",IF($S847="S",IF(INDEX(Firms!$M$5:$M$1004,$T847)="","",INDEX(Firms!$M$5:$M$1004,$T847)),IF(INDEX('AFA Rates'!$L$5:$L$1004,$T847)="","",INDEX('AFA Rates'!$L$5:$L$1004,$T847))))</f>
        <v/>
      </c>
      <c r="O847" s="78">
        <f>IF(OR($T847="",$U847=""),"",IF(INDEX(Firms!$C$5:$C$1004,$U847)="","",INDEX(Firms!$C$5:$C$1004,$U847)))</f>
        <v/>
      </c>
      <c r="P847" s="79">
        <f>IF(OR($T847="",$U847=""),"",IF(INDEX(Firms!$N$5:$N$1004,$U847)="","",INDEX(Firms!$N$5:$N$1004,$U847)))</f>
        <v/>
      </c>
      <c r="Q847" s="78">
        <f>IF($T847="","",IF($S847="S",IF(INDEX(Firms!$T$5:$T$1004,$T847)="","",INDEX(Firms!$T$5:$T$1004,$T847)),IF(INDEX('AFA Rates'!$M$5:$M$1004,$T847)="","",INDEX('AFA Rates'!$M$5:$M$1004,$T847))))</f>
        <v/>
      </c>
      <c r="S847">
        <f>IF(843&lt;=$S$2,"S",IF(843&lt;=$S$2+$T$2,"A",""))</f>
        <v/>
      </c>
      <c r="T847">
        <f>IF(S847="S",MATCH(843,Firms!$W$5:$W$1004,0),IF(S847="A",IFERROR(MATCH(843-$S$2,'AFA Rates'!$R$5:$R$1004,0),""),""))</f>
        <v/>
      </c>
      <c r="U847">
        <f>IF(S847="S",T847,IF(AND(S847="A",T847&lt;&gt;""),IFERROR(MATCH(INDEX('AFA Rates'!$A$5:$A$1004,T847),Firms!$A$5:$A$1004,0),""),""))</f>
        <v/>
      </c>
    </row>
    <row r="848">
      <c r="A848" s="78">
        <f>IF($T848="","",IF($S848="S",IF(INDEX(Firms!$A$5:$A$1004,$T848)="","",INDEX(Firms!$A$5:$A$1004,$T848)),IF(INDEX('AFA Rates'!$A$5:$A$1004,$T848)="","",INDEX('AFA Rates'!$A$5:$A$1004,$T848))))</f>
        <v/>
      </c>
      <c r="B848" s="79">
        <f>IF(OR($T848="",$U848=""),IF($T848="","","Not on Firms tab"),INDEX(Firms!$B$5:$B$1004,$U848)&amp;"")</f>
        <v/>
      </c>
      <c r="C848" s="78">
        <f>IF($T848="","",IF($S848="S","Standard",INDEX('AFA Rates'!$B$5:$B$1004,$T848)&amp;""))</f>
        <v/>
      </c>
      <c r="D848" s="88">
        <f>IF($T848="","",IF($S848="S",IF(INDEX(Firms!$E$5:$E$1004,$T848)="","",INDEX(Firms!$E$5:$E$1004,$T848)),IF(INDEX('AFA Rates'!$C$5:$C$1004,$T848)="","",INDEX('AFA Rates'!$C$5:$C$1004,$T848))))</f>
        <v/>
      </c>
      <c r="E848" s="88">
        <f>IF($T848="","",IF($S848="S",IF(""="","",""),IF(INDEX('AFA Rates'!$D$5:$D$1004,$T848)="","",INDEX('AFA Rates'!$D$5:$D$1004,$T848))))</f>
        <v/>
      </c>
      <c r="F848" s="79">
        <f>IF($T848="","",IF($S848="S",IF(INDEX(Firms!$O$5:$O$1004,$T848)="","",INDEX(Firms!$O$5:$O$1004,$T848)),IF(INDEX('AFA Rates'!$O$5:$O$1004,$T848)="","",INDEX('AFA Rates'!$O$5:$O$1004,$T848))))</f>
        <v/>
      </c>
      <c r="G848" s="50">
        <f>IF($T848="","",IF($S848="S",IF(INDEX(Firms!$F$5:$F$1004,$T848)="","",INDEX(Firms!$F$5:$F$1004,$T848)),IF(INDEX('AFA Rates'!$E$5:$E$1004,$T848)="","",INDEX('AFA Rates'!$E$5:$E$1004,$T848))))</f>
        <v/>
      </c>
      <c r="H848" s="50">
        <f>IF($T848="","",IF($S848="S",IF(INDEX(Firms!$G$5:$G$1004,$T848)="","",INDEX(Firms!$G$5:$G$1004,$T848)),IF(INDEX('AFA Rates'!$F$5:$F$1004,$T848)="","",INDEX('AFA Rates'!$F$5:$F$1004,$T848))))</f>
        <v/>
      </c>
      <c r="I848" s="50">
        <f>IF($T848="","",IF($S848="S",IF(INDEX(Firms!$H$5:$H$1004,$T848)="","",INDEX(Firms!$H$5:$H$1004,$T848)),IF(INDEX('AFA Rates'!$G$5:$G$1004,$T848)="","",INDEX('AFA Rates'!$G$5:$G$1004,$T848))))</f>
        <v/>
      </c>
      <c r="J848" s="50">
        <f>IF($T848="","",IF($S848="S",IF(INDEX(Firms!$I$5:$I$1004,$T848)="","",INDEX(Firms!$I$5:$I$1004,$T848)),IF(INDEX('AFA Rates'!$H$5:$H$1004,$T848)="","",INDEX('AFA Rates'!$H$5:$H$1004,$T848))))</f>
        <v/>
      </c>
      <c r="K848" s="50">
        <f>IF($T848="","",IF($S848="S",IF(INDEX(Firms!$J$5:$J$1004,$T848)="","",INDEX(Firms!$J$5:$J$1004,$T848)),IF(INDEX('AFA Rates'!$I$5:$I$1004,$T848)="","",INDEX('AFA Rates'!$I$5:$I$1004,$T848))))</f>
        <v/>
      </c>
      <c r="L848" s="50">
        <f>IF($T848="","",IF($S848="S",IF(INDEX(Firms!$K$5:$K$1004,$T848)="","",INDEX(Firms!$K$5:$K$1004,$T848)),IF(INDEX('AFA Rates'!$J$5:$J$1004,$T848)="","",INDEX('AFA Rates'!$J$5:$J$1004,$T848))))</f>
        <v/>
      </c>
      <c r="M848" s="50">
        <f>IF($T848="","",IF($S848="S",IF(INDEX(Firms!$L$5:$L$1004,$T848)="","",INDEX(Firms!$L$5:$L$1004,$T848)),IF(INDEX('AFA Rates'!$K$5:$K$1004,$T848)="","",INDEX('AFA Rates'!$K$5:$K$1004,$T848))))</f>
        <v/>
      </c>
      <c r="N848" s="50">
        <f>IF($T848="","",IF($S848="S",IF(INDEX(Firms!$M$5:$M$1004,$T848)="","",INDEX(Firms!$M$5:$M$1004,$T848)),IF(INDEX('AFA Rates'!$L$5:$L$1004,$T848)="","",INDEX('AFA Rates'!$L$5:$L$1004,$T848))))</f>
        <v/>
      </c>
      <c r="O848" s="78">
        <f>IF(OR($T848="",$U848=""),"",IF(INDEX(Firms!$C$5:$C$1004,$U848)="","",INDEX(Firms!$C$5:$C$1004,$U848)))</f>
        <v/>
      </c>
      <c r="P848" s="79">
        <f>IF(OR($T848="",$U848=""),"",IF(INDEX(Firms!$N$5:$N$1004,$U848)="","",INDEX(Firms!$N$5:$N$1004,$U848)))</f>
        <v/>
      </c>
      <c r="Q848" s="78">
        <f>IF($T848="","",IF($S848="S",IF(INDEX(Firms!$T$5:$T$1004,$T848)="","",INDEX(Firms!$T$5:$T$1004,$T848)),IF(INDEX('AFA Rates'!$M$5:$M$1004,$T848)="","",INDEX('AFA Rates'!$M$5:$M$1004,$T848))))</f>
        <v/>
      </c>
      <c r="S848">
        <f>IF(844&lt;=$S$2,"S",IF(844&lt;=$S$2+$T$2,"A",""))</f>
        <v/>
      </c>
      <c r="T848">
        <f>IF(S848="S",MATCH(844,Firms!$W$5:$W$1004,0),IF(S848="A",IFERROR(MATCH(844-$S$2,'AFA Rates'!$R$5:$R$1004,0),""),""))</f>
        <v/>
      </c>
      <c r="U848">
        <f>IF(S848="S",T848,IF(AND(S848="A",T848&lt;&gt;""),IFERROR(MATCH(INDEX('AFA Rates'!$A$5:$A$1004,T848),Firms!$A$5:$A$1004,0),""),""))</f>
        <v/>
      </c>
    </row>
    <row r="849">
      <c r="A849" s="78">
        <f>IF($T849="","",IF($S849="S",IF(INDEX(Firms!$A$5:$A$1004,$T849)="","",INDEX(Firms!$A$5:$A$1004,$T849)),IF(INDEX('AFA Rates'!$A$5:$A$1004,$T849)="","",INDEX('AFA Rates'!$A$5:$A$1004,$T849))))</f>
        <v/>
      </c>
      <c r="B849" s="79">
        <f>IF(OR($T849="",$U849=""),IF($T849="","","Not on Firms tab"),INDEX(Firms!$B$5:$B$1004,$U849)&amp;"")</f>
        <v/>
      </c>
      <c r="C849" s="78">
        <f>IF($T849="","",IF($S849="S","Standard",INDEX('AFA Rates'!$B$5:$B$1004,$T849)&amp;""))</f>
        <v/>
      </c>
      <c r="D849" s="88">
        <f>IF($T849="","",IF($S849="S",IF(INDEX(Firms!$E$5:$E$1004,$T849)="","",INDEX(Firms!$E$5:$E$1004,$T849)),IF(INDEX('AFA Rates'!$C$5:$C$1004,$T849)="","",INDEX('AFA Rates'!$C$5:$C$1004,$T849))))</f>
        <v/>
      </c>
      <c r="E849" s="88">
        <f>IF($T849="","",IF($S849="S",IF(""="","",""),IF(INDEX('AFA Rates'!$D$5:$D$1004,$T849)="","",INDEX('AFA Rates'!$D$5:$D$1004,$T849))))</f>
        <v/>
      </c>
      <c r="F849" s="79">
        <f>IF($T849="","",IF($S849="S",IF(INDEX(Firms!$O$5:$O$1004,$T849)="","",INDEX(Firms!$O$5:$O$1004,$T849)),IF(INDEX('AFA Rates'!$O$5:$O$1004,$T849)="","",INDEX('AFA Rates'!$O$5:$O$1004,$T849))))</f>
        <v/>
      </c>
      <c r="G849" s="50">
        <f>IF($T849="","",IF($S849="S",IF(INDEX(Firms!$F$5:$F$1004,$T849)="","",INDEX(Firms!$F$5:$F$1004,$T849)),IF(INDEX('AFA Rates'!$E$5:$E$1004,$T849)="","",INDEX('AFA Rates'!$E$5:$E$1004,$T849))))</f>
        <v/>
      </c>
      <c r="H849" s="50">
        <f>IF($T849="","",IF($S849="S",IF(INDEX(Firms!$G$5:$G$1004,$T849)="","",INDEX(Firms!$G$5:$G$1004,$T849)),IF(INDEX('AFA Rates'!$F$5:$F$1004,$T849)="","",INDEX('AFA Rates'!$F$5:$F$1004,$T849))))</f>
        <v/>
      </c>
      <c r="I849" s="50">
        <f>IF($T849="","",IF($S849="S",IF(INDEX(Firms!$H$5:$H$1004,$T849)="","",INDEX(Firms!$H$5:$H$1004,$T849)),IF(INDEX('AFA Rates'!$G$5:$G$1004,$T849)="","",INDEX('AFA Rates'!$G$5:$G$1004,$T849))))</f>
        <v/>
      </c>
      <c r="J849" s="50">
        <f>IF($T849="","",IF($S849="S",IF(INDEX(Firms!$I$5:$I$1004,$T849)="","",INDEX(Firms!$I$5:$I$1004,$T849)),IF(INDEX('AFA Rates'!$H$5:$H$1004,$T849)="","",INDEX('AFA Rates'!$H$5:$H$1004,$T849))))</f>
        <v/>
      </c>
      <c r="K849" s="50">
        <f>IF($T849="","",IF($S849="S",IF(INDEX(Firms!$J$5:$J$1004,$T849)="","",INDEX(Firms!$J$5:$J$1004,$T849)),IF(INDEX('AFA Rates'!$I$5:$I$1004,$T849)="","",INDEX('AFA Rates'!$I$5:$I$1004,$T849))))</f>
        <v/>
      </c>
      <c r="L849" s="50">
        <f>IF($T849="","",IF($S849="S",IF(INDEX(Firms!$K$5:$K$1004,$T849)="","",INDEX(Firms!$K$5:$K$1004,$T849)),IF(INDEX('AFA Rates'!$J$5:$J$1004,$T849)="","",INDEX('AFA Rates'!$J$5:$J$1004,$T849))))</f>
        <v/>
      </c>
      <c r="M849" s="50">
        <f>IF($T849="","",IF($S849="S",IF(INDEX(Firms!$L$5:$L$1004,$T849)="","",INDEX(Firms!$L$5:$L$1004,$T849)),IF(INDEX('AFA Rates'!$K$5:$K$1004,$T849)="","",INDEX('AFA Rates'!$K$5:$K$1004,$T849))))</f>
        <v/>
      </c>
      <c r="N849" s="50">
        <f>IF($T849="","",IF($S849="S",IF(INDEX(Firms!$M$5:$M$1004,$T849)="","",INDEX(Firms!$M$5:$M$1004,$T849)),IF(INDEX('AFA Rates'!$L$5:$L$1004,$T849)="","",INDEX('AFA Rates'!$L$5:$L$1004,$T849))))</f>
        <v/>
      </c>
      <c r="O849" s="78">
        <f>IF(OR($T849="",$U849=""),"",IF(INDEX(Firms!$C$5:$C$1004,$U849)="","",INDEX(Firms!$C$5:$C$1004,$U849)))</f>
        <v/>
      </c>
      <c r="P849" s="79">
        <f>IF(OR($T849="",$U849=""),"",IF(INDEX(Firms!$N$5:$N$1004,$U849)="","",INDEX(Firms!$N$5:$N$1004,$U849)))</f>
        <v/>
      </c>
      <c r="Q849" s="78">
        <f>IF($T849="","",IF($S849="S",IF(INDEX(Firms!$T$5:$T$1004,$T849)="","",INDEX(Firms!$T$5:$T$1004,$T849)),IF(INDEX('AFA Rates'!$M$5:$M$1004,$T849)="","",INDEX('AFA Rates'!$M$5:$M$1004,$T849))))</f>
        <v/>
      </c>
      <c r="S849">
        <f>IF(845&lt;=$S$2,"S",IF(845&lt;=$S$2+$T$2,"A",""))</f>
        <v/>
      </c>
      <c r="T849">
        <f>IF(S849="S",MATCH(845,Firms!$W$5:$W$1004,0),IF(S849="A",IFERROR(MATCH(845-$S$2,'AFA Rates'!$R$5:$R$1004,0),""),""))</f>
        <v/>
      </c>
      <c r="U849">
        <f>IF(S849="S",T849,IF(AND(S849="A",T849&lt;&gt;""),IFERROR(MATCH(INDEX('AFA Rates'!$A$5:$A$1004,T849),Firms!$A$5:$A$1004,0),""),""))</f>
        <v/>
      </c>
    </row>
    <row r="850">
      <c r="A850" s="78">
        <f>IF($T850="","",IF($S850="S",IF(INDEX(Firms!$A$5:$A$1004,$T850)="","",INDEX(Firms!$A$5:$A$1004,$T850)),IF(INDEX('AFA Rates'!$A$5:$A$1004,$T850)="","",INDEX('AFA Rates'!$A$5:$A$1004,$T850))))</f>
        <v/>
      </c>
      <c r="B850" s="79">
        <f>IF(OR($T850="",$U850=""),IF($T850="","","Not on Firms tab"),INDEX(Firms!$B$5:$B$1004,$U850)&amp;"")</f>
        <v/>
      </c>
      <c r="C850" s="78">
        <f>IF($T850="","",IF($S850="S","Standard",INDEX('AFA Rates'!$B$5:$B$1004,$T850)&amp;""))</f>
        <v/>
      </c>
      <c r="D850" s="88">
        <f>IF($T850="","",IF($S850="S",IF(INDEX(Firms!$E$5:$E$1004,$T850)="","",INDEX(Firms!$E$5:$E$1004,$T850)),IF(INDEX('AFA Rates'!$C$5:$C$1004,$T850)="","",INDEX('AFA Rates'!$C$5:$C$1004,$T850))))</f>
        <v/>
      </c>
      <c r="E850" s="88">
        <f>IF($T850="","",IF($S850="S",IF(""="","",""),IF(INDEX('AFA Rates'!$D$5:$D$1004,$T850)="","",INDEX('AFA Rates'!$D$5:$D$1004,$T850))))</f>
        <v/>
      </c>
      <c r="F850" s="79">
        <f>IF($T850="","",IF($S850="S",IF(INDEX(Firms!$O$5:$O$1004,$T850)="","",INDEX(Firms!$O$5:$O$1004,$T850)),IF(INDEX('AFA Rates'!$O$5:$O$1004,$T850)="","",INDEX('AFA Rates'!$O$5:$O$1004,$T850))))</f>
        <v/>
      </c>
      <c r="G850" s="50">
        <f>IF($T850="","",IF($S850="S",IF(INDEX(Firms!$F$5:$F$1004,$T850)="","",INDEX(Firms!$F$5:$F$1004,$T850)),IF(INDEX('AFA Rates'!$E$5:$E$1004,$T850)="","",INDEX('AFA Rates'!$E$5:$E$1004,$T850))))</f>
        <v/>
      </c>
      <c r="H850" s="50">
        <f>IF($T850="","",IF($S850="S",IF(INDEX(Firms!$G$5:$G$1004,$T850)="","",INDEX(Firms!$G$5:$G$1004,$T850)),IF(INDEX('AFA Rates'!$F$5:$F$1004,$T850)="","",INDEX('AFA Rates'!$F$5:$F$1004,$T850))))</f>
        <v/>
      </c>
      <c r="I850" s="50">
        <f>IF($T850="","",IF($S850="S",IF(INDEX(Firms!$H$5:$H$1004,$T850)="","",INDEX(Firms!$H$5:$H$1004,$T850)),IF(INDEX('AFA Rates'!$G$5:$G$1004,$T850)="","",INDEX('AFA Rates'!$G$5:$G$1004,$T850))))</f>
        <v/>
      </c>
      <c r="J850" s="50">
        <f>IF($T850="","",IF($S850="S",IF(INDEX(Firms!$I$5:$I$1004,$T850)="","",INDEX(Firms!$I$5:$I$1004,$T850)),IF(INDEX('AFA Rates'!$H$5:$H$1004,$T850)="","",INDEX('AFA Rates'!$H$5:$H$1004,$T850))))</f>
        <v/>
      </c>
      <c r="K850" s="50">
        <f>IF($T850="","",IF($S850="S",IF(INDEX(Firms!$J$5:$J$1004,$T850)="","",INDEX(Firms!$J$5:$J$1004,$T850)),IF(INDEX('AFA Rates'!$I$5:$I$1004,$T850)="","",INDEX('AFA Rates'!$I$5:$I$1004,$T850))))</f>
        <v/>
      </c>
      <c r="L850" s="50">
        <f>IF($T850="","",IF($S850="S",IF(INDEX(Firms!$K$5:$K$1004,$T850)="","",INDEX(Firms!$K$5:$K$1004,$T850)),IF(INDEX('AFA Rates'!$J$5:$J$1004,$T850)="","",INDEX('AFA Rates'!$J$5:$J$1004,$T850))))</f>
        <v/>
      </c>
      <c r="M850" s="50">
        <f>IF($T850="","",IF($S850="S",IF(INDEX(Firms!$L$5:$L$1004,$T850)="","",INDEX(Firms!$L$5:$L$1004,$T850)),IF(INDEX('AFA Rates'!$K$5:$K$1004,$T850)="","",INDEX('AFA Rates'!$K$5:$K$1004,$T850))))</f>
        <v/>
      </c>
      <c r="N850" s="50">
        <f>IF($T850="","",IF($S850="S",IF(INDEX(Firms!$M$5:$M$1004,$T850)="","",INDEX(Firms!$M$5:$M$1004,$T850)),IF(INDEX('AFA Rates'!$L$5:$L$1004,$T850)="","",INDEX('AFA Rates'!$L$5:$L$1004,$T850))))</f>
        <v/>
      </c>
      <c r="O850" s="78">
        <f>IF(OR($T850="",$U850=""),"",IF(INDEX(Firms!$C$5:$C$1004,$U850)="","",INDEX(Firms!$C$5:$C$1004,$U850)))</f>
        <v/>
      </c>
      <c r="P850" s="79">
        <f>IF(OR($T850="",$U850=""),"",IF(INDEX(Firms!$N$5:$N$1004,$U850)="","",INDEX(Firms!$N$5:$N$1004,$U850)))</f>
        <v/>
      </c>
      <c r="Q850" s="78">
        <f>IF($T850="","",IF($S850="S",IF(INDEX(Firms!$T$5:$T$1004,$T850)="","",INDEX(Firms!$T$5:$T$1004,$T850)),IF(INDEX('AFA Rates'!$M$5:$M$1004,$T850)="","",INDEX('AFA Rates'!$M$5:$M$1004,$T850))))</f>
        <v/>
      </c>
      <c r="S850">
        <f>IF(846&lt;=$S$2,"S",IF(846&lt;=$S$2+$T$2,"A",""))</f>
        <v/>
      </c>
      <c r="T850">
        <f>IF(S850="S",MATCH(846,Firms!$W$5:$W$1004,0),IF(S850="A",IFERROR(MATCH(846-$S$2,'AFA Rates'!$R$5:$R$1004,0),""),""))</f>
        <v/>
      </c>
      <c r="U850">
        <f>IF(S850="S",T850,IF(AND(S850="A",T850&lt;&gt;""),IFERROR(MATCH(INDEX('AFA Rates'!$A$5:$A$1004,T850),Firms!$A$5:$A$1004,0),""),""))</f>
        <v/>
      </c>
    </row>
    <row r="851">
      <c r="A851" s="78">
        <f>IF($T851="","",IF($S851="S",IF(INDEX(Firms!$A$5:$A$1004,$T851)="","",INDEX(Firms!$A$5:$A$1004,$T851)),IF(INDEX('AFA Rates'!$A$5:$A$1004,$T851)="","",INDEX('AFA Rates'!$A$5:$A$1004,$T851))))</f>
        <v/>
      </c>
      <c r="B851" s="79">
        <f>IF(OR($T851="",$U851=""),IF($T851="","","Not on Firms tab"),INDEX(Firms!$B$5:$B$1004,$U851)&amp;"")</f>
        <v/>
      </c>
      <c r="C851" s="78">
        <f>IF($T851="","",IF($S851="S","Standard",INDEX('AFA Rates'!$B$5:$B$1004,$T851)&amp;""))</f>
        <v/>
      </c>
      <c r="D851" s="88">
        <f>IF($T851="","",IF($S851="S",IF(INDEX(Firms!$E$5:$E$1004,$T851)="","",INDEX(Firms!$E$5:$E$1004,$T851)),IF(INDEX('AFA Rates'!$C$5:$C$1004,$T851)="","",INDEX('AFA Rates'!$C$5:$C$1004,$T851))))</f>
        <v/>
      </c>
      <c r="E851" s="88">
        <f>IF($T851="","",IF($S851="S",IF(""="","",""),IF(INDEX('AFA Rates'!$D$5:$D$1004,$T851)="","",INDEX('AFA Rates'!$D$5:$D$1004,$T851))))</f>
        <v/>
      </c>
      <c r="F851" s="79">
        <f>IF($T851="","",IF($S851="S",IF(INDEX(Firms!$O$5:$O$1004,$T851)="","",INDEX(Firms!$O$5:$O$1004,$T851)),IF(INDEX('AFA Rates'!$O$5:$O$1004,$T851)="","",INDEX('AFA Rates'!$O$5:$O$1004,$T851))))</f>
        <v/>
      </c>
      <c r="G851" s="50">
        <f>IF($T851="","",IF($S851="S",IF(INDEX(Firms!$F$5:$F$1004,$T851)="","",INDEX(Firms!$F$5:$F$1004,$T851)),IF(INDEX('AFA Rates'!$E$5:$E$1004,$T851)="","",INDEX('AFA Rates'!$E$5:$E$1004,$T851))))</f>
        <v/>
      </c>
      <c r="H851" s="50">
        <f>IF($T851="","",IF($S851="S",IF(INDEX(Firms!$G$5:$G$1004,$T851)="","",INDEX(Firms!$G$5:$G$1004,$T851)),IF(INDEX('AFA Rates'!$F$5:$F$1004,$T851)="","",INDEX('AFA Rates'!$F$5:$F$1004,$T851))))</f>
        <v/>
      </c>
      <c r="I851" s="50">
        <f>IF($T851="","",IF($S851="S",IF(INDEX(Firms!$H$5:$H$1004,$T851)="","",INDEX(Firms!$H$5:$H$1004,$T851)),IF(INDEX('AFA Rates'!$G$5:$G$1004,$T851)="","",INDEX('AFA Rates'!$G$5:$G$1004,$T851))))</f>
        <v/>
      </c>
      <c r="J851" s="50">
        <f>IF($T851="","",IF($S851="S",IF(INDEX(Firms!$I$5:$I$1004,$T851)="","",INDEX(Firms!$I$5:$I$1004,$T851)),IF(INDEX('AFA Rates'!$H$5:$H$1004,$T851)="","",INDEX('AFA Rates'!$H$5:$H$1004,$T851))))</f>
        <v/>
      </c>
      <c r="K851" s="50">
        <f>IF($T851="","",IF($S851="S",IF(INDEX(Firms!$J$5:$J$1004,$T851)="","",INDEX(Firms!$J$5:$J$1004,$T851)),IF(INDEX('AFA Rates'!$I$5:$I$1004,$T851)="","",INDEX('AFA Rates'!$I$5:$I$1004,$T851))))</f>
        <v/>
      </c>
      <c r="L851" s="50">
        <f>IF($T851="","",IF($S851="S",IF(INDEX(Firms!$K$5:$K$1004,$T851)="","",INDEX(Firms!$K$5:$K$1004,$T851)),IF(INDEX('AFA Rates'!$J$5:$J$1004,$T851)="","",INDEX('AFA Rates'!$J$5:$J$1004,$T851))))</f>
        <v/>
      </c>
      <c r="M851" s="50">
        <f>IF($T851="","",IF($S851="S",IF(INDEX(Firms!$L$5:$L$1004,$T851)="","",INDEX(Firms!$L$5:$L$1004,$T851)),IF(INDEX('AFA Rates'!$K$5:$K$1004,$T851)="","",INDEX('AFA Rates'!$K$5:$K$1004,$T851))))</f>
        <v/>
      </c>
      <c r="N851" s="50">
        <f>IF($T851="","",IF($S851="S",IF(INDEX(Firms!$M$5:$M$1004,$T851)="","",INDEX(Firms!$M$5:$M$1004,$T851)),IF(INDEX('AFA Rates'!$L$5:$L$1004,$T851)="","",INDEX('AFA Rates'!$L$5:$L$1004,$T851))))</f>
        <v/>
      </c>
      <c r="O851" s="78">
        <f>IF(OR($T851="",$U851=""),"",IF(INDEX(Firms!$C$5:$C$1004,$U851)="","",INDEX(Firms!$C$5:$C$1004,$U851)))</f>
        <v/>
      </c>
      <c r="P851" s="79">
        <f>IF(OR($T851="",$U851=""),"",IF(INDEX(Firms!$N$5:$N$1004,$U851)="","",INDEX(Firms!$N$5:$N$1004,$U851)))</f>
        <v/>
      </c>
      <c r="Q851" s="78">
        <f>IF($T851="","",IF($S851="S",IF(INDEX(Firms!$T$5:$T$1004,$T851)="","",INDEX(Firms!$T$5:$T$1004,$T851)),IF(INDEX('AFA Rates'!$M$5:$M$1004,$T851)="","",INDEX('AFA Rates'!$M$5:$M$1004,$T851))))</f>
        <v/>
      </c>
      <c r="S851">
        <f>IF(847&lt;=$S$2,"S",IF(847&lt;=$S$2+$T$2,"A",""))</f>
        <v/>
      </c>
      <c r="T851">
        <f>IF(S851="S",MATCH(847,Firms!$W$5:$W$1004,0),IF(S851="A",IFERROR(MATCH(847-$S$2,'AFA Rates'!$R$5:$R$1004,0),""),""))</f>
        <v/>
      </c>
      <c r="U851">
        <f>IF(S851="S",T851,IF(AND(S851="A",T851&lt;&gt;""),IFERROR(MATCH(INDEX('AFA Rates'!$A$5:$A$1004,T851),Firms!$A$5:$A$1004,0),""),""))</f>
        <v/>
      </c>
    </row>
    <row r="852">
      <c r="A852" s="78">
        <f>IF($T852="","",IF($S852="S",IF(INDEX(Firms!$A$5:$A$1004,$T852)="","",INDEX(Firms!$A$5:$A$1004,$T852)),IF(INDEX('AFA Rates'!$A$5:$A$1004,$T852)="","",INDEX('AFA Rates'!$A$5:$A$1004,$T852))))</f>
        <v/>
      </c>
      <c r="B852" s="79">
        <f>IF(OR($T852="",$U852=""),IF($T852="","","Not on Firms tab"),INDEX(Firms!$B$5:$B$1004,$U852)&amp;"")</f>
        <v/>
      </c>
      <c r="C852" s="78">
        <f>IF($T852="","",IF($S852="S","Standard",INDEX('AFA Rates'!$B$5:$B$1004,$T852)&amp;""))</f>
        <v/>
      </c>
      <c r="D852" s="88">
        <f>IF($T852="","",IF($S852="S",IF(INDEX(Firms!$E$5:$E$1004,$T852)="","",INDEX(Firms!$E$5:$E$1004,$T852)),IF(INDEX('AFA Rates'!$C$5:$C$1004,$T852)="","",INDEX('AFA Rates'!$C$5:$C$1004,$T852))))</f>
        <v/>
      </c>
      <c r="E852" s="88">
        <f>IF($T852="","",IF($S852="S",IF(""="","",""),IF(INDEX('AFA Rates'!$D$5:$D$1004,$T852)="","",INDEX('AFA Rates'!$D$5:$D$1004,$T852))))</f>
        <v/>
      </c>
      <c r="F852" s="79">
        <f>IF($T852="","",IF($S852="S",IF(INDEX(Firms!$O$5:$O$1004,$T852)="","",INDEX(Firms!$O$5:$O$1004,$T852)),IF(INDEX('AFA Rates'!$O$5:$O$1004,$T852)="","",INDEX('AFA Rates'!$O$5:$O$1004,$T852))))</f>
        <v/>
      </c>
      <c r="G852" s="50">
        <f>IF($T852="","",IF($S852="S",IF(INDEX(Firms!$F$5:$F$1004,$T852)="","",INDEX(Firms!$F$5:$F$1004,$T852)),IF(INDEX('AFA Rates'!$E$5:$E$1004,$T852)="","",INDEX('AFA Rates'!$E$5:$E$1004,$T852))))</f>
        <v/>
      </c>
      <c r="H852" s="50">
        <f>IF($T852="","",IF($S852="S",IF(INDEX(Firms!$G$5:$G$1004,$T852)="","",INDEX(Firms!$G$5:$G$1004,$T852)),IF(INDEX('AFA Rates'!$F$5:$F$1004,$T852)="","",INDEX('AFA Rates'!$F$5:$F$1004,$T852))))</f>
        <v/>
      </c>
      <c r="I852" s="50">
        <f>IF($T852="","",IF($S852="S",IF(INDEX(Firms!$H$5:$H$1004,$T852)="","",INDEX(Firms!$H$5:$H$1004,$T852)),IF(INDEX('AFA Rates'!$G$5:$G$1004,$T852)="","",INDEX('AFA Rates'!$G$5:$G$1004,$T852))))</f>
        <v/>
      </c>
      <c r="J852" s="50">
        <f>IF($T852="","",IF($S852="S",IF(INDEX(Firms!$I$5:$I$1004,$T852)="","",INDEX(Firms!$I$5:$I$1004,$T852)),IF(INDEX('AFA Rates'!$H$5:$H$1004,$T852)="","",INDEX('AFA Rates'!$H$5:$H$1004,$T852))))</f>
        <v/>
      </c>
      <c r="K852" s="50">
        <f>IF($T852="","",IF($S852="S",IF(INDEX(Firms!$J$5:$J$1004,$T852)="","",INDEX(Firms!$J$5:$J$1004,$T852)),IF(INDEX('AFA Rates'!$I$5:$I$1004,$T852)="","",INDEX('AFA Rates'!$I$5:$I$1004,$T852))))</f>
        <v/>
      </c>
      <c r="L852" s="50">
        <f>IF($T852="","",IF($S852="S",IF(INDEX(Firms!$K$5:$K$1004,$T852)="","",INDEX(Firms!$K$5:$K$1004,$T852)),IF(INDEX('AFA Rates'!$J$5:$J$1004,$T852)="","",INDEX('AFA Rates'!$J$5:$J$1004,$T852))))</f>
        <v/>
      </c>
      <c r="M852" s="50">
        <f>IF($T852="","",IF($S852="S",IF(INDEX(Firms!$L$5:$L$1004,$T852)="","",INDEX(Firms!$L$5:$L$1004,$T852)),IF(INDEX('AFA Rates'!$K$5:$K$1004,$T852)="","",INDEX('AFA Rates'!$K$5:$K$1004,$T852))))</f>
        <v/>
      </c>
      <c r="N852" s="50">
        <f>IF($T852="","",IF($S852="S",IF(INDEX(Firms!$M$5:$M$1004,$T852)="","",INDEX(Firms!$M$5:$M$1004,$T852)),IF(INDEX('AFA Rates'!$L$5:$L$1004,$T852)="","",INDEX('AFA Rates'!$L$5:$L$1004,$T852))))</f>
        <v/>
      </c>
      <c r="O852" s="78">
        <f>IF(OR($T852="",$U852=""),"",IF(INDEX(Firms!$C$5:$C$1004,$U852)="","",INDEX(Firms!$C$5:$C$1004,$U852)))</f>
        <v/>
      </c>
      <c r="P852" s="79">
        <f>IF(OR($T852="",$U852=""),"",IF(INDEX(Firms!$N$5:$N$1004,$U852)="","",INDEX(Firms!$N$5:$N$1004,$U852)))</f>
        <v/>
      </c>
      <c r="Q852" s="78">
        <f>IF($T852="","",IF($S852="S",IF(INDEX(Firms!$T$5:$T$1004,$T852)="","",INDEX(Firms!$T$5:$T$1004,$T852)),IF(INDEX('AFA Rates'!$M$5:$M$1004,$T852)="","",INDEX('AFA Rates'!$M$5:$M$1004,$T852))))</f>
        <v/>
      </c>
      <c r="S852">
        <f>IF(848&lt;=$S$2,"S",IF(848&lt;=$S$2+$T$2,"A",""))</f>
        <v/>
      </c>
      <c r="T852">
        <f>IF(S852="S",MATCH(848,Firms!$W$5:$W$1004,0),IF(S852="A",IFERROR(MATCH(848-$S$2,'AFA Rates'!$R$5:$R$1004,0),""),""))</f>
        <v/>
      </c>
      <c r="U852">
        <f>IF(S852="S",T852,IF(AND(S852="A",T852&lt;&gt;""),IFERROR(MATCH(INDEX('AFA Rates'!$A$5:$A$1004,T852),Firms!$A$5:$A$1004,0),""),""))</f>
        <v/>
      </c>
    </row>
    <row r="853">
      <c r="A853" s="78">
        <f>IF($T853="","",IF($S853="S",IF(INDEX(Firms!$A$5:$A$1004,$T853)="","",INDEX(Firms!$A$5:$A$1004,$T853)),IF(INDEX('AFA Rates'!$A$5:$A$1004,$T853)="","",INDEX('AFA Rates'!$A$5:$A$1004,$T853))))</f>
        <v/>
      </c>
      <c r="B853" s="79">
        <f>IF(OR($T853="",$U853=""),IF($T853="","","Not on Firms tab"),INDEX(Firms!$B$5:$B$1004,$U853)&amp;"")</f>
        <v/>
      </c>
      <c r="C853" s="78">
        <f>IF($T853="","",IF($S853="S","Standard",INDEX('AFA Rates'!$B$5:$B$1004,$T853)&amp;""))</f>
        <v/>
      </c>
      <c r="D853" s="88">
        <f>IF($T853="","",IF($S853="S",IF(INDEX(Firms!$E$5:$E$1004,$T853)="","",INDEX(Firms!$E$5:$E$1004,$T853)),IF(INDEX('AFA Rates'!$C$5:$C$1004,$T853)="","",INDEX('AFA Rates'!$C$5:$C$1004,$T853))))</f>
        <v/>
      </c>
      <c r="E853" s="88">
        <f>IF($T853="","",IF($S853="S",IF(""="","",""),IF(INDEX('AFA Rates'!$D$5:$D$1004,$T853)="","",INDEX('AFA Rates'!$D$5:$D$1004,$T853))))</f>
        <v/>
      </c>
      <c r="F853" s="79">
        <f>IF($T853="","",IF($S853="S",IF(INDEX(Firms!$O$5:$O$1004,$T853)="","",INDEX(Firms!$O$5:$O$1004,$T853)),IF(INDEX('AFA Rates'!$O$5:$O$1004,$T853)="","",INDEX('AFA Rates'!$O$5:$O$1004,$T853))))</f>
        <v/>
      </c>
      <c r="G853" s="50">
        <f>IF($T853="","",IF($S853="S",IF(INDEX(Firms!$F$5:$F$1004,$T853)="","",INDEX(Firms!$F$5:$F$1004,$T853)),IF(INDEX('AFA Rates'!$E$5:$E$1004,$T853)="","",INDEX('AFA Rates'!$E$5:$E$1004,$T853))))</f>
        <v/>
      </c>
      <c r="H853" s="50">
        <f>IF($T853="","",IF($S853="S",IF(INDEX(Firms!$G$5:$G$1004,$T853)="","",INDEX(Firms!$G$5:$G$1004,$T853)),IF(INDEX('AFA Rates'!$F$5:$F$1004,$T853)="","",INDEX('AFA Rates'!$F$5:$F$1004,$T853))))</f>
        <v/>
      </c>
      <c r="I853" s="50">
        <f>IF($T853="","",IF($S853="S",IF(INDEX(Firms!$H$5:$H$1004,$T853)="","",INDEX(Firms!$H$5:$H$1004,$T853)),IF(INDEX('AFA Rates'!$G$5:$G$1004,$T853)="","",INDEX('AFA Rates'!$G$5:$G$1004,$T853))))</f>
        <v/>
      </c>
      <c r="J853" s="50">
        <f>IF($T853="","",IF($S853="S",IF(INDEX(Firms!$I$5:$I$1004,$T853)="","",INDEX(Firms!$I$5:$I$1004,$T853)),IF(INDEX('AFA Rates'!$H$5:$H$1004,$T853)="","",INDEX('AFA Rates'!$H$5:$H$1004,$T853))))</f>
        <v/>
      </c>
      <c r="K853" s="50">
        <f>IF($T853="","",IF($S853="S",IF(INDEX(Firms!$J$5:$J$1004,$T853)="","",INDEX(Firms!$J$5:$J$1004,$T853)),IF(INDEX('AFA Rates'!$I$5:$I$1004,$T853)="","",INDEX('AFA Rates'!$I$5:$I$1004,$T853))))</f>
        <v/>
      </c>
      <c r="L853" s="50">
        <f>IF($T853="","",IF($S853="S",IF(INDEX(Firms!$K$5:$K$1004,$T853)="","",INDEX(Firms!$K$5:$K$1004,$T853)),IF(INDEX('AFA Rates'!$J$5:$J$1004,$T853)="","",INDEX('AFA Rates'!$J$5:$J$1004,$T853))))</f>
        <v/>
      </c>
      <c r="M853" s="50">
        <f>IF($T853="","",IF($S853="S",IF(INDEX(Firms!$L$5:$L$1004,$T853)="","",INDEX(Firms!$L$5:$L$1004,$T853)),IF(INDEX('AFA Rates'!$K$5:$K$1004,$T853)="","",INDEX('AFA Rates'!$K$5:$K$1004,$T853))))</f>
        <v/>
      </c>
      <c r="N853" s="50">
        <f>IF($T853="","",IF($S853="S",IF(INDEX(Firms!$M$5:$M$1004,$T853)="","",INDEX(Firms!$M$5:$M$1004,$T853)),IF(INDEX('AFA Rates'!$L$5:$L$1004,$T853)="","",INDEX('AFA Rates'!$L$5:$L$1004,$T853))))</f>
        <v/>
      </c>
      <c r="O853" s="78">
        <f>IF(OR($T853="",$U853=""),"",IF(INDEX(Firms!$C$5:$C$1004,$U853)="","",INDEX(Firms!$C$5:$C$1004,$U853)))</f>
        <v/>
      </c>
      <c r="P853" s="79">
        <f>IF(OR($T853="",$U853=""),"",IF(INDEX(Firms!$N$5:$N$1004,$U853)="","",INDEX(Firms!$N$5:$N$1004,$U853)))</f>
        <v/>
      </c>
      <c r="Q853" s="78">
        <f>IF($T853="","",IF($S853="S",IF(INDEX(Firms!$T$5:$T$1004,$T853)="","",INDEX(Firms!$T$5:$T$1004,$T853)),IF(INDEX('AFA Rates'!$M$5:$M$1004,$T853)="","",INDEX('AFA Rates'!$M$5:$M$1004,$T853))))</f>
        <v/>
      </c>
      <c r="S853">
        <f>IF(849&lt;=$S$2,"S",IF(849&lt;=$S$2+$T$2,"A",""))</f>
        <v/>
      </c>
      <c r="T853">
        <f>IF(S853="S",MATCH(849,Firms!$W$5:$W$1004,0),IF(S853="A",IFERROR(MATCH(849-$S$2,'AFA Rates'!$R$5:$R$1004,0),""),""))</f>
        <v/>
      </c>
      <c r="U853">
        <f>IF(S853="S",T853,IF(AND(S853="A",T853&lt;&gt;""),IFERROR(MATCH(INDEX('AFA Rates'!$A$5:$A$1004,T853),Firms!$A$5:$A$1004,0),""),""))</f>
        <v/>
      </c>
    </row>
    <row r="854">
      <c r="A854" s="78">
        <f>IF($T854="","",IF($S854="S",IF(INDEX(Firms!$A$5:$A$1004,$T854)="","",INDEX(Firms!$A$5:$A$1004,$T854)),IF(INDEX('AFA Rates'!$A$5:$A$1004,$T854)="","",INDEX('AFA Rates'!$A$5:$A$1004,$T854))))</f>
        <v/>
      </c>
      <c r="B854" s="79">
        <f>IF(OR($T854="",$U854=""),IF($T854="","","Not on Firms tab"),INDEX(Firms!$B$5:$B$1004,$U854)&amp;"")</f>
        <v/>
      </c>
      <c r="C854" s="78">
        <f>IF($T854="","",IF($S854="S","Standard",INDEX('AFA Rates'!$B$5:$B$1004,$T854)&amp;""))</f>
        <v/>
      </c>
      <c r="D854" s="88">
        <f>IF($T854="","",IF($S854="S",IF(INDEX(Firms!$E$5:$E$1004,$T854)="","",INDEX(Firms!$E$5:$E$1004,$T854)),IF(INDEX('AFA Rates'!$C$5:$C$1004,$T854)="","",INDEX('AFA Rates'!$C$5:$C$1004,$T854))))</f>
        <v/>
      </c>
      <c r="E854" s="88">
        <f>IF($T854="","",IF($S854="S",IF(""="","",""),IF(INDEX('AFA Rates'!$D$5:$D$1004,$T854)="","",INDEX('AFA Rates'!$D$5:$D$1004,$T854))))</f>
        <v/>
      </c>
      <c r="F854" s="79">
        <f>IF($T854="","",IF($S854="S",IF(INDEX(Firms!$O$5:$O$1004,$T854)="","",INDEX(Firms!$O$5:$O$1004,$T854)),IF(INDEX('AFA Rates'!$O$5:$O$1004,$T854)="","",INDEX('AFA Rates'!$O$5:$O$1004,$T854))))</f>
        <v/>
      </c>
      <c r="G854" s="50">
        <f>IF($T854="","",IF($S854="S",IF(INDEX(Firms!$F$5:$F$1004,$T854)="","",INDEX(Firms!$F$5:$F$1004,$T854)),IF(INDEX('AFA Rates'!$E$5:$E$1004,$T854)="","",INDEX('AFA Rates'!$E$5:$E$1004,$T854))))</f>
        <v/>
      </c>
      <c r="H854" s="50">
        <f>IF($T854="","",IF($S854="S",IF(INDEX(Firms!$G$5:$G$1004,$T854)="","",INDEX(Firms!$G$5:$G$1004,$T854)),IF(INDEX('AFA Rates'!$F$5:$F$1004,$T854)="","",INDEX('AFA Rates'!$F$5:$F$1004,$T854))))</f>
        <v/>
      </c>
      <c r="I854" s="50">
        <f>IF($T854="","",IF($S854="S",IF(INDEX(Firms!$H$5:$H$1004,$T854)="","",INDEX(Firms!$H$5:$H$1004,$T854)),IF(INDEX('AFA Rates'!$G$5:$G$1004,$T854)="","",INDEX('AFA Rates'!$G$5:$G$1004,$T854))))</f>
        <v/>
      </c>
      <c r="J854" s="50">
        <f>IF($T854="","",IF($S854="S",IF(INDEX(Firms!$I$5:$I$1004,$T854)="","",INDEX(Firms!$I$5:$I$1004,$T854)),IF(INDEX('AFA Rates'!$H$5:$H$1004,$T854)="","",INDEX('AFA Rates'!$H$5:$H$1004,$T854))))</f>
        <v/>
      </c>
      <c r="K854" s="50">
        <f>IF($T854="","",IF($S854="S",IF(INDEX(Firms!$J$5:$J$1004,$T854)="","",INDEX(Firms!$J$5:$J$1004,$T854)),IF(INDEX('AFA Rates'!$I$5:$I$1004,$T854)="","",INDEX('AFA Rates'!$I$5:$I$1004,$T854))))</f>
        <v/>
      </c>
      <c r="L854" s="50">
        <f>IF($T854="","",IF($S854="S",IF(INDEX(Firms!$K$5:$K$1004,$T854)="","",INDEX(Firms!$K$5:$K$1004,$T854)),IF(INDEX('AFA Rates'!$J$5:$J$1004,$T854)="","",INDEX('AFA Rates'!$J$5:$J$1004,$T854))))</f>
        <v/>
      </c>
      <c r="M854" s="50">
        <f>IF($T854="","",IF($S854="S",IF(INDEX(Firms!$L$5:$L$1004,$T854)="","",INDEX(Firms!$L$5:$L$1004,$T854)),IF(INDEX('AFA Rates'!$K$5:$K$1004,$T854)="","",INDEX('AFA Rates'!$K$5:$K$1004,$T854))))</f>
        <v/>
      </c>
      <c r="N854" s="50">
        <f>IF($T854="","",IF($S854="S",IF(INDEX(Firms!$M$5:$M$1004,$T854)="","",INDEX(Firms!$M$5:$M$1004,$T854)),IF(INDEX('AFA Rates'!$L$5:$L$1004,$T854)="","",INDEX('AFA Rates'!$L$5:$L$1004,$T854))))</f>
        <v/>
      </c>
      <c r="O854" s="78">
        <f>IF(OR($T854="",$U854=""),"",IF(INDEX(Firms!$C$5:$C$1004,$U854)="","",INDEX(Firms!$C$5:$C$1004,$U854)))</f>
        <v/>
      </c>
      <c r="P854" s="79">
        <f>IF(OR($T854="",$U854=""),"",IF(INDEX(Firms!$N$5:$N$1004,$U854)="","",INDEX(Firms!$N$5:$N$1004,$U854)))</f>
        <v/>
      </c>
      <c r="Q854" s="78">
        <f>IF($T854="","",IF($S854="S",IF(INDEX(Firms!$T$5:$T$1004,$T854)="","",INDEX(Firms!$T$5:$T$1004,$T854)),IF(INDEX('AFA Rates'!$M$5:$M$1004,$T854)="","",INDEX('AFA Rates'!$M$5:$M$1004,$T854))))</f>
        <v/>
      </c>
      <c r="S854">
        <f>IF(850&lt;=$S$2,"S",IF(850&lt;=$S$2+$T$2,"A",""))</f>
        <v/>
      </c>
      <c r="T854">
        <f>IF(S854="S",MATCH(850,Firms!$W$5:$W$1004,0),IF(S854="A",IFERROR(MATCH(850-$S$2,'AFA Rates'!$R$5:$R$1004,0),""),""))</f>
        <v/>
      </c>
      <c r="U854">
        <f>IF(S854="S",T854,IF(AND(S854="A",T854&lt;&gt;""),IFERROR(MATCH(INDEX('AFA Rates'!$A$5:$A$1004,T854),Firms!$A$5:$A$1004,0),""),""))</f>
        <v/>
      </c>
    </row>
    <row r="855">
      <c r="A855" s="78">
        <f>IF($T855="","",IF($S855="S",IF(INDEX(Firms!$A$5:$A$1004,$T855)="","",INDEX(Firms!$A$5:$A$1004,$T855)),IF(INDEX('AFA Rates'!$A$5:$A$1004,$T855)="","",INDEX('AFA Rates'!$A$5:$A$1004,$T855))))</f>
        <v/>
      </c>
      <c r="B855" s="79">
        <f>IF(OR($T855="",$U855=""),IF($T855="","","Not on Firms tab"),INDEX(Firms!$B$5:$B$1004,$U855)&amp;"")</f>
        <v/>
      </c>
      <c r="C855" s="78">
        <f>IF($T855="","",IF($S855="S","Standard",INDEX('AFA Rates'!$B$5:$B$1004,$T855)&amp;""))</f>
        <v/>
      </c>
      <c r="D855" s="88">
        <f>IF($T855="","",IF($S855="S",IF(INDEX(Firms!$E$5:$E$1004,$T855)="","",INDEX(Firms!$E$5:$E$1004,$T855)),IF(INDEX('AFA Rates'!$C$5:$C$1004,$T855)="","",INDEX('AFA Rates'!$C$5:$C$1004,$T855))))</f>
        <v/>
      </c>
      <c r="E855" s="88">
        <f>IF($T855="","",IF($S855="S",IF(""="","",""),IF(INDEX('AFA Rates'!$D$5:$D$1004,$T855)="","",INDEX('AFA Rates'!$D$5:$D$1004,$T855))))</f>
        <v/>
      </c>
      <c r="F855" s="79">
        <f>IF($T855="","",IF($S855="S",IF(INDEX(Firms!$O$5:$O$1004,$T855)="","",INDEX(Firms!$O$5:$O$1004,$T855)),IF(INDEX('AFA Rates'!$O$5:$O$1004,$T855)="","",INDEX('AFA Rates'!$O$5:$O$1004,$T855))))</f>
        <v/>
      </c>
      <c r="G855" s="50">
        <f>IF($T855="","",IF($S855="S",IF(INDEX(Firms!$F$5:$F$1004,$T855)="","",INDEX(Firms!$F$5:$F$1004,$T855)),IF(INDEX('AFA Rates'!$E$5:$E$1004,$T855)="","",INDEX('AFA Rates'!$E$5:$E$1004,$T855))))</f>
        <v/>
      </c>
      <c r="H855" s="50">
        <f>IF($T855="","",IF($S855="S",IF(INDEX(Firms!$G$5:$G$1004,$T855)="","",INDEX(Firms!$G$5:$G$1004,$T855)),IF(INDEX('AFA Rates'!$F$5:$F$1004,$T855)="","",INDEX('AFA Rates'!$F$5:$F$1004,$T855))))</f>
        <v/>
      </c>
      <c r="I855" s="50">
        <f>IF($T855="","",IF($S855="S",IF(INDEX(Firms!$H$5:$H$1004,$T855)="","",INDEX(Firms!$H$5:$H$1004,$T855)),IF(INDEX('AFA Rates'!$G$5:$G$1004,$T855)="","",INDEX('AFA Rates'!$G$5:$G$1004,$T855))))</f>
        <v/>
      </c>
      <c r="J855" s="50">
        <f>IF($T855="","",IF($S855="S",IF(INDEX(Firms!$I$5:$I$1004,$T855)="","",INDEX(Firms!$I$5:$I$1004,$T855)),IF(INDEX('AFA Rates'!$H$5:$H$1004,$T855)="","",INDEX('AFA Rates'!$H$5:$H$1004,$T855))))</f>
        <v/>
      </c>
      <c r="K855" s="50">
        <f>IF($T855="","",IF($S855="S",IF(INDEX(Firms!$J$5:$J$1004,$T855)="","",INDEX(Firms!$J$5:$J$1004,$T855)),IF(INDEX('AFA Rates'!$I$5:$I$1004,$T855)="","",INDEX('AFA Rates'!$I$5:$I$1004,$T855))))</f>
        <v/>
      </c>
      <c r="L855" s="50">
        <f>IF($T855="","",IF($S855="S",IF(INDEX(Firms!$K$5:$K$1004,$T855)="","",INDEX(Firms!$K$5:$K$1004,$T855)),IF(INDEX('AFA Rates'!$J$5:$J$1004,$T855)="","",INDEX('AFA Rates'!$J$5:$J$1004,$T855))))</f>
        <v/>
      </c>
      <c r="M855" s="50">
        <f>IF($T855="","",IF($S855="S",IF(INDEX(Firms!$L$5:$L$1004,$T855)="","",INDEX(Firms!$L$5:$L$1004,$T855)),IF(INDEX('AFA Rates'!$K$5:$K$1004,$T855)="","",INDEX('AFA Rates'!$K$5:$K$1004,$T855))))</f>
        <v/>
      </c>
      <c r="N855" s="50">
        <f>IF($T855="","",IF($S855="S",IF(INDEX(Firms!$M$5:$M$1004,$T855)="","",INDEX(Firms!$M$5:$M$1004,$T855)),IF(INDEX('AFA Rates'!$L$5:$L$1004,$T855)="","",INDEX('AFA Rates'!$L$5:$L$1004,$T855))))</f>
        <v/>
      </c>
      <c r="O855" s="78">
        <f>IF(OR($T855="",$U855=""),"",IF(INDEX(Firms!$C$5:$C$1004,$U855)="","",INDEX(Firms!$C$5:$C$1004,$U855)))</f>
        <v/>
      </c>
      <c r="P855" s="79">
        <f>IF(OR($T855="",$U855=""),"",IF(INDEX(Firms!$N$5:$N$1004,$U855)="","",INDEX(Firms!$N$5:$N$1004,$U855)))</f>
        <v/>
      </c>
      <c r="Q855" s="78">
        <f>IF($T855="","",IF($S855="S",IF(INDEX(Firms!$T$5:$T$1004,$T855)="","",INDEX(Firms!$T$5:$T$1004,$T855)),IF(INDEX('AFA Rates'!$M$5:$M$1004,$T855)="","",INDEX('AFA Rates'!$M$5:$M$1004,$T855))))</f>
        <v/>
      </c>
      <c r="S855">
        <f>IF(851&lt;=$S$2,"S",IF(851&lt;=$S$2+$T$2,"A",""))</f>
        <v/>
      </c>
      <c r="T855">
        <f>IF(S855="S",MATCH(851,Firms!$W$5:$W$1004,0),IF(S855="A",IFERROR(MATCH(851-$S$2,'AFA Rates'!$R$5:$R$1004,0),""),""))</f>
        <v/>
      </c>
      <c r="U855">
        <f>IF(S855="S",T855,IF(AND(S855="A",T855&lt;&gt;""),IFERROR(MATCH(INDEX('AFA Rates'!$A$5:$A$1004,T855),Firms!$A$5:$A$1004,0),""),""))</f>
        <v/>
      </c>
    </row>
    <row r="856">
      <c r="A856" s="78">
        <f>IF($T856="","",IF($S856="S",IF(INDEX(Firms!$A$5:$A$1004,$T856)="","",INDEX(Firms!$A$5:$A$1004,$T856)),IF(INDEX('AFA Rates'!$A$5:$A$1004,$T856)="","",INDEX('AFA Rates'!$A$5:$A$1004,$T856))))</f>
        <v/>
      </c>
      <c r="B856" s="79">
        <f>IF(OR($T856="",$U856=""),IF($T856="","","Not on Firms tab"),INDEX(Firms!$B$5:$B$1004,$U856)&amp;"")</f>
        <v/>
      </c>
      <c r="C856" s="78">
        <f>IF($T856="","",IF($S856="S","Standard",INDEX('AFA Rates'!$B$5:$B$1004,$T856)&amp;""))</f>
        <v/>
      </c>
      <c r="D856" s="88">
        <f>IF($T856="","",IF($S856="S",IF(INDEX(Firms!$E$5:$E$1004,$T856)="","",INDEX(Firms!$E$5:$E$1004,$T856)),IF(INDEX('AFA Rates'!$C$5:$C$1004,$T856)="","",INDEX('AFA Rates'!$C$5:$C$1004,$T856))))</f>
        <v/>
      </c>
      <c r="E856" s="88">
        <f>IF($T856="","",IF($S856="S",IF(""="","",""),IF(INDEX('AFA Rates'!$D$5:$D$1004,$T856)="","",INDEX('AFA Rates'!$D$5:$D$1004,$T856))))</f>
        <v/>
      </c>
      <c r="F856" s="79">
        <f>IF($T856="","",IF($S856="S",IF(INDEX(Firms!$O$5:$O$1004,$T856)="","",INDEX(Firms!$O$5:$O$1004,$T856)),IF(INDEX('AFA Rates'!$O$5:$O$1004,$T856)="","",INDEX('AFA Rates'!$O$5:$O$1004,$T856))))</f>
        <v/>
      </c>
      <c r="G856" s="50">
        <f>IF($T856="","",IF($S856="S",IF(INDEX(Firms!$F$5:$F$1004,$T856)="","",INDEX(Firms!$F$5:$F$1004,$T856)),IF(INDEX('AFA Rates'!$E$5:$E$1004,$T856)="","",INDEX('AFA Rates'!$E$5:$E$1004,$T856))))</f>
        <v/>
      </c>
      <c r="H856" s="50">
        <f>IF($T856="","",IF($S856="S",IF(INDEX(Firms!$G$5:$G$1004,$T856)="","",INDEX(Firms!$G$5:$G$1004,$T856)),IF(INDEX('AFA Rates'!$F$5:$F$1004,$T856)="","",INDEX('AFA Rates'!$F$5:$F$1004,$T856))))</f>
        <v/>
      </c>
      <c r="I856" s="50">
        <f>IF($T856="","",IF($S856="S",IF(INDEX(Firms!$H$5:$H$1004,$T856)="","",INDEX(Firms!$H$5:$H$1004,$T856)),IF(INDEX('AFA Rates'!$G$5:$G$1004,$T856)="","",INDEX('AFA Rates'!$G$5:$G$1004,$T856))))</f>
        <v/>
      </c>
      <c r="J856" s="50">
        <f>IF($T856="","",IF($S856="S",IF(INDEX(Firms!$I$5:$I$1004,$T856)="","",INDEX(Firms!$I$5:$I$1004,$T856)),IF(INDEX('AFA Rates'!$H$5:$H$1004,$T856)="","",INDEX('AFA Rates'!$H$5:$H$1004,$T856))))</f>
        <v/>
      </c>
      <c r="K856" s="50">
        <f>IF($T856="","",IF($S856="S",IF(INDEX(Firms!$J$5:$J$1004,$T856)="","",INDEX(Firms!$J$5:$J$1004,$T856)),IF(INDEX('AFA Rates'!$I$5:$I$1004,$T856)="","",INDEX('AFA Rates'!$I$5:$I$1004,$T856))))</f>
        <v/>
      </c>
      <c r="L856" s="50">
        <f>IF($T856="","",IF($S856="S",IF(INDEX(Firms!$K$5:$K$1004,$T856)="","",INDEX(Firms!$K$5:$K$1004,$T856)),IF(INDEX('AFA Rates'!$J$5:$J$1004,$T856)="","",INDEX('AFA Rates'!$J$5:$J$1004,$T856))))</f>
        <v/>
      </c>
      <c r="M856" s="50">
        <f>IF($T856="","",IF($S856="S",IF(INDEX(Firms!$L$5:$L$1004,$T856)="","",INDEX(Firms!$L$5:$L$1004,$T856)),IF(INDEX('AFA Rates'!$K$5:$K$1004,$T856)="","",INDEX('AFA Rates'!$K$5:$K$1004,$T856))))</f>
        <v/>
      </c>
      <c r="N856" s="50">
        <f>IF($T856="","",IF($S856="S",IF(INDEX(Firms!$M$5:$M$1004,$T856)="","",INDEX(Firms!$M$5:$M$1004,$T856)),IF(INDEX('AFA Rates'!$L$5:$L$1004,$T856)="","",INDEX('AFA Rates'!$L$5:$L$1004,$T856))))</f>
        <v/>
      </c>
      <c r="O856" s="78">
        <f>IF(OR($T856="",$U856=""),"",IF(INDEX(Firms!$C$5:$C$1004,$U856)="","",INDEX(Firms!$C$5:$C$1004,$U856)))</f>
        <v/>
      </c>
      <c r="P856" s="79">
        <f>IF(OR($T856="",$U856=""),"",IF(INDEX(Firms!$N$5:$N$1004,$U856)="","",INDEX(Firms!$N$5:$N$1004,$U856)))</f>
        <v/>
      </c>
      <c r="Q856" s="78">
        <f>IF($T856="","",IF($S856="S",IF(INDEX(Firms!$T$5:$T$1004,$T856)="","",INDEX(Firms!$T$5:$T$1004,$T856)),IF(INDEX('AFA Rates'!$M$5:$M$1004,$T856)="","",INDEX('AFA Rates'!$M$5:$M$1004,$T856))))</f>
        <v/>
      </c>
      <c r="S856">
        <f>IF(852&lt;=$S$2,"S",IF(852&lt;=$S$2+$T$2,"A",""))</f>
        <v/>
      </c>
      <c r="T856">
        <f>IF(S856="S",MATCH(852,Firms!$W$5:$W$1004,0),IF(S856="A",IFERROR(MATCH(852-$S$2,'AFA Rates'!$R$5:$R$1004,0),""),""))</f>
        <v/>
      </c>
      <c r="U856">
        <f>IF(S856="S",T856,IF(AND(S856="A",T856&lt;&gt;""),IFERROR(MATCH(INDEX('AFA Rates'!$A$5:$A$1004,T856),Firms!$A$5:$A$1004,0),""),""))</f>
        <v/>
      </c>
    </row>
    <row r="857">
      <c r="A857" s="78">
        <f>IF($T857="","",IF($S857="S",IF(INDEX(Firms!$A$5:$A$1004,$T857)="","",INDEX(Firms!$A$5:$A$1004,$T857)),IF(INDEX('AFA Rates'!$A$5:$A$1004,$T857)="","",INDEX('AFA Rates'!$A$5:$A$1004,$T857))))</f>
        <v/>
      </c>
      <c r="B857" s="79">
        <f>IF(OR($T857="",$U857=""),IF($T857="","","Not on Firms tab"),INDEX(Firms!$B$5:$B$1004,$U857)&amp;"")</f>
        <v/>
      </c>
      <c r="C857" s="78">
        <f>IF($T857="","",IF($S857="S","Standard",INDEX('AFA Rates'!$B$5:$B$1004,$T857)&amp;""))</f>
        <v/>
      </c>
      <c r="D857" s="88">
        <f>IF($T857="","",IF($S857="S",IF(INDEX(Firms!$E$5:$E$1004,$T857)="","",INDEX(Firms!$E$5:$E$1004,$T857)),IF(INDEX('AFA Rates'!$C$5:$C$1004,$T857)="","",INDEX('AFA Rates'!$C$5:$C$1004,$T857))))</f>
        <v/>
      </c>
      <c r="E857" s="88">
        <f>IF($T857="","",IF($S857="S",IF(""="","",""),IF(INDEX('AFA Rates'!$D$5:$D$1004,$T857)="","",INDEX('AFA Rates'!$D$5:$D$1004,$T857))))</f>
        <v/>
      </c>
      <c r="F857" s="79">
        <f>IF($T857="","",IF($S857="S",IF(INDEX(Firms!$O$5:$O$1004,$T857)="","",INDEX(Firms!$O$5:$O$1004,$T857)),IF(INDEX('AFA Rates'!$O$5:$O$1004,$T857)="","",INDEX('AFA Rates'!$O$5:$O$1004,$T857))))</f>
        <v/>
      </c>
      <c r="G857" s="50">
        <f>IF($T857="","",IF($S857="S",IF(INDEX(Firms!$F$5:$F$1004,$T857)="","",INDEX(Firms!$F$5:$F$1004,$T857)),IF(INDEX('AFA Rates'!$E$5:$E$1004,$T857)="","",INDEX('AFA Rates'!$E$5:$E$1004,$T857))))</f>
        <v/>
      </c>
      <c r="H857" s="50">
        <f>IF($T857="","",IF($S857="S",IF(INDEX(Firms!$G$5:$G$1004,$T857)="","",INDEX(Firms!$G$5:$G$1004,$T857)),IF(INDEX('AFA Rates'!$F$5:$F$1004,$T857)="","",INDEX('AFA Rates'!$F$5:$F$1004,$T857))))</f>
        <v/>
      </c>
      <c r="I857" s="50">
        <f>IF($T857="","",IF($S857="S",IF(INDEX(Firms!$H$5:$H$1004,$T857)="","",INDEX(Firms!$H$5:$H$1004,$T857)),IF(INDEX('AFA Rates'!$G$5:$G$1004,$T857)="","",INDEX('AFA Rates'!$G$5:$G$1004,$T857))))</f>
        <v/>
      </c>
      <c r="J857" s="50">
        <f>IF($T857="","",IF($S857="S",IF(INDEX(Firms!$I$5:$I$1004,$T857)="","",INDEX(Firms!$I$5:$I$1004,$T857)),IF(INDEX('AFA Rates'!$H$5:$H$1004,$T857)="","",INDEX('AFA Rates'!$H$5:$H$1004,$T857))))</f>
        <v/>
      </c>
      <c r="K857" s="50">
        <f>IF($T857="","",IF($S857="S",IF(INDEX(Firms!$J$5:$J$1004,$T857)="","",INDEX(Firms!$J$5:$J$1004,$T857)),IF(INDEX('AFA Rates'!$I$5:$I$1004,$T857)="","",INDEX('AFA Rates'!$I$5:$I$1004,$T857))))</f>
        <v/>
      </c>
      <c r="L857" s="50">
        <f>IF($T857="","",IF($S857="S",IF(INDEX(Firms!$K$5:$K$1004,$T857)="","",INDEX(Firms!$K$5:$K$1004,$T857)),IF(INDEX('AFA Rates'!$J$5:$J$1004,$T857)="","",INDEX('AFA Rates'!$J$5:$J$1004,$T857))))</f>
        <v/>
      </c>
      <c r="M857" s="50">
        <f>IF($T857="","",IF($S857="S",IF(INDEX(Firms!$L$5:$L$1004,$T857)="","",INDEX(Firms!$L$5:$L$1004,$T857)),IF(INDEX('AFA Rates'!$K$5:$K$1004,$T857)="","",INDEX('AFA Rates'!$K$5:$K$1004,$T857))))</f>
        <v/>
      </c>
      <c r="N857" s="50">
        <f>IF($T857="","",IF($S857="S",IF(INDEX(Firms!$M$5:$M$1004,$T857)="","",INDEX(Firms!$M$5:$M$1004,$T857)),IF(INDEX('AFA Rates'!$L$5:$L$1004,$T857)="","",INDEX('AFA Rates'!$L$5:$L$1004,$T857))))</f>
        <v/>
      </c>
      <c r="O857" s="78">
        <f>IF(OR($T857="",$U857=""),"",IF(INDEX(Firms!$C$5:$C$1004,$U857)="","",INDEX(Firms!$C$5:$C$1004,$U857)))</f>
        <v/>
      </c>
      <c r="P857" s="79">
        <f>IF(OR($T857="",$U857=""),"",IF(INDEX(Firms!$N$5:$N$1004,$U857)="","",INDEX(Firms!$N$5:$N$1004,$U857)))</f>
        <v/>
      </c>
      <c r="Q857" s="78">
        <f>IF($T857="","",IF($S857="S",IF(INDEX(Firms!$T$5:$T$1004,$T857)="","",INDEX(Firms!$T$5:$T$1004,$T857)),IF(INDEX('AFA Rates'!$M$5:$M$1004,$T857)="","",INDEX('AFA Rates'!$M$5:$M$1004,$T857))))</f>
        <v/>
      </c>
      <c r="S857">
        <f>IF(853&lt;=$S$2,"S",IF(853&lt;=$S$2+$T$2,"A",""))</f>
        <v/>
      </c>
      <c r="T857">
        <f>IF(S857="S",MATCH(853,Firms!$W$5:$W$1004,0),IF(S857="A",IFERROR(MATCH(853-$S$2,'AFA Rates'!$R$5:$R$1004,0),""),""))</f>
        <v/>
      </c>
      <c r="U857">
        <f>IF(S857="S",T857,IF(AND(S857="A",T857&lt;&gt;""),IFERROR(MATCH(INDEX('AFA Rates'!$A$5:$A$1004,T857),Firms!$A$5:$A$1004,0),""),""))</f>
        <v/>
      </c>
    </row>
    <row r="858">
      <c r="A858" s="78">
        <f>IF($T858="","",IF($S858="S",IF(INDEX(Firms!$A$5:$A$1004,$T858)="","",INDEX(Firms!$A$5:$A$1004,$T858)),IF(INDEX('AFA Rates'!$A$5:$A$1004,$T858)="","",INDEX('AFA Rates'!$A$5:$A$1004,$T858))))</f>
        <v/>
      </c>
      <c r="B858" s="79">
        <f>IF(OR($T858="",$U858=""),IF($T858="","","Not on Firms tab"),INDEX(Firms!$B$5:$B$1004,$U858)&amp;"")</f>
        <v/>
      </c>
      <c r="C858" s="78">
        <f>IF($T858="","",IF($S858="S","Standard",INDEX('AFA Rates'!$B$5:$B$1004,$T858)&amp;""))</f>
        <v/>
      </c>
      <c r="D858" s="88">
        <f>IF($T858="","",IF($S858="S",IF(INDEX(Firms!$E$5:$E$1004,$T858)="","",INDEX(Firms!$E$5:$E$1004,$T858)),IF(INDEX('AFA Rates'!$C$5:$C$1004,$T858)="","",INDEX('AFA Rates'!$C$5:$C$1004,$T858))))</f>
        <v/>
      </c>
      <c r="E858" s="88">
        <f>IF($T858="","",IF($S858="S",IF(""="","",""),IF(INDEX('AFA Rates'!$D$5:$D$1004,$T858)="","",INDEX('AFA Rates'!$D$5:$D$1004,$T858))))</f>
        <v/>
      </c>
      <c r="F858" s="79">
        <f>IF($T858="","",IF($S858="S",IF(INDEX(Firms!$O$5:$O$1004,$T858)="","",INDEX(Firms!$O$5:$O$1004,$T858)),IF(INDEX('AFA Rates'!$O$5:$O$1004,$T858)="","",INDEX('AFA Rates'!$O$5:$O$1004,$T858))))</f>
        <v/>
      </c>
      <c r="G858" s="50">
        <f>IF($T858="","",IF($S858="S",IF(INDEX(Firms!$F$5:$F$1004,$T858)="","",INDEX(Firms!$F$5:$F$1004,$T858)),IF(INDEX('AFA Rates'!$E$5:$E$1004,$T858)="","",INDEX('AFA Rates'!$E$5:$E$1004,$T858))))</f>
        <v/>
      </c>
      <c r="H858" s="50">
        <f>IF($T858="","",IF($S858="S",IF(INDEX(Firms!$G$5:$G$1004,$T858)="","",INDEX(Firms!$G$5:$G$1004,$T858)),IF(INDEX('AFA Rates'!$F$5:$F$1004,$T858)="","",INDEX('AFA Rates'!$F$5:$F$1004,$T858))))</f>
        <v/>
      </c>
      <c r="I858" s="50">
        <f>IF($T858="","",IF($S858="S",IF(INDEX(Firms!$H$5:$H$1004,$T858)="","",INDEX(Firms!$H$5:$H$1004,$T858)),IF(INDEX('AFA Rates'!$G$5:$G$1004,$T858)="","",INDEX('AFA Rates'!$G$5:$G$1004,$T858))))</f>
        <v/>
      </c>
      <c r="J858" s="50">
        <f>IF($T858="","",IF($S858="S",IF(INDEX(Firms!$I$5:$I$1004,$T858)="","",INDEX(Firms!$I$5:$I$1004,$T858)),IF(INDEX('AFA Rates'!$H$5:$H$1004,$T858)="","",INDEX('AFA Rates'!$H$5:$H$1004,$T858))))</f>
        <v/>
      </c>
      <c r="K858" s="50">
        <f>IF($T858="","",IF($S858="S",IF(INDEX(Firms!$J$5:$J$1004,$T858)="","",INDEX(Firms!$J$5:$J$1004,$T858)),IF(INDEX('AFA Rates'!$I$5:$I$1004,$T858)="","",INDEX('AFA Rates'!$I$5:$I$1004,$T858))))</f>
        <v/>
      </c>
      <c r="L858" s="50">
        <f>IF($T858="","",IF($S858="S",IF(INDEX(Firms!$K$5:$K$1004,$T858)="","",INDEX(Firms!$K$5:$K$1004,$T858)),IF(INDEX('AFA Rates'!$J$5:$J$1004,$T858)="","",INDEX('AFA Rates'!$J$5:$J$1004,$T858))))</f>
        <v/>
      </c>
      <c r="M858" s="50">
        <f>IF($T858="","",IF($S858="S",IF(INDEX(Firms!$L$5:$L$1004,$T858)="","",INDEX(Firms!$L$5:$L$1004,$T858)),IF(INDEX('AFA Rates'!$K$5:$K$1004,$T858)="","",INDEX('AFA Rates'!$K$5:$K$1004,$T858))))</f>
        <v/>
      </c>
      <c r="N858" s="50">
        <f>IF($T858="","",IF($S858="S",IF(INDEX(Firms!$M$5:$M$1004,$T858)="","",INDEX(Firms!$M$5:$M$1004,$T858)),IF(INDEX('AFA Rates'!$L$5:$L$1004,$T858)="","",INDEX('AFA Rates'!$L$5:$L$1004,$T858))))</f>
        <v/>
      </c>
      <c r="O858" s="78">
        <f>IF(OR($T858="",$U858=""),"",IF(INDEX(Firms!$C$5:$C$1004,$U858)="","",INDEX(Firms!$C$5:$C$1004,$U858)))</f>
        <v/>
      </c>
      <c r="P858" s="79">
        <f>IF(OR($T858="",$U858=""),"",IF(INDEX(Firms!$N$5:$N$1004,$U858)="","",INDEX(Firms!$N$5:$N$1004,$U858)))</f>
        <v/>
      </c>
      <c r="Q858" s="78">
        <f>IF($T858="","",IF($S858="S",IF(INDEX(Firms!$T$5:$T$1004,$T858)="","",INDEX(Firms!$T$5:$T$1004,$T858)),IF(INDEX('AFA Rates'!$M$5:$M$1004,$T858)="","",INDEX('AFA Rates'!$M$5:$M$1004,$T858))))</f>
        <v/>
      </c>
      <c r="S858">
        <f>IF(854&lt;=$S$2,"S",IF(854&lt;=$S$2+$T$2,"A",""))</f>
        <v/>
      </c>
      <c r="T858">
        <f>IF(S858="S",MATCH(854,Firms!$W$5:$W$1004,0),IF(S858="A",IFERROR(MATCH(854-$S$2,'AFA Rates'!$R$5:$R$1004,0),""),""))</f>
        <v/>
      </c>
      <c r="U858">
        <f>IF(S858="S",T858,IF(AND(S858="A",T858&lt;&gt;""),IFERROR(MATCH(INDEX('AFA Rates'!$A$5:$A$1004,T858),Firms!$A$5:$A$1004,0),""),""))</f>
        <v/>
      </c>
    </row>
    <row r="859">
      <c r="A859" s="78">
        <f>IF($T859="","",IF($S859="S",IF(INDEX(Firms!$A$5:$A$1004,$T859)="","",INDEX(Firms!$A$5:$A$1004,$T859)),IF(INDEX('AFA Rates'!$A$5:$A$1004,$T859)="","",INDEX('AFA Rates'!$A$5:$A$1004,$T859))))</f>
        <v/>
      </c>
      <c r="B859" s="79">
        <f>IF(OR($T859="",$U859=""),IF($T859="","","Not on Firms tab"),INDEX(Firms!$B$5:$B$1004,$U859)&amp;"")</f>
        <v/>
      </c>
      <c r="C859" s="78">
        <f>IF($T859="","",IF($S859="S","Standard",INDEX('AFA Rates'!$B$5:$B$1004,$T859)&amp;""))</f>
        <v/>
      </c>
      <c r="D859" s="88">
        <f>IF($T859="","",IF($S859="S",IF(INDEX(Firms!$E$5:$E$1004,$T859)="","",INDEX(Firms!$E$5:$E$1004,$T859)),IF(INDEX('AFA Rates'!$C$5:$C$1004,$T859)="","",INDEX('AFA Rates'!$C$5:$C$1004,$T859))))</f>
        <v/>
      </c>
      <c r="E859" s="88">
        <f>IF($T859="","",IF($S859="S",IF(""="","",""),IF(INDEX('AFA Rates'!$D$5:$D$1004,$T859)="","",INDEX('AFA Rates'!$D$5:$D$1004,$T859))))</f>
        <v/>
      </c>
      <c r="F859" s="79">
        <f>IF($T859="","",IF($S859="S",IF(INDEX(Firms!$O$5:$O$1004,$T859)="","",INDEX(Firms!$O$5:$O$1004,$T859)),IF(INDEX('AFA Rates'!$O$5:$O$1004,$T859)="","",INDEX('AFA Rates'!$O$5:$O$1004,$T859))))</f>
        <v/>
      </c>
      <c r="G859" s="50">
        <f>IF($T859="","",IF($S859="S",IF(INDEX(Firms!$F$5:$F$1004,$T859)="","",INDEX(Firms!$F$5:$F$1004,$T859)),IF(INDEX('AFA Rates'!$E$5:$E$1004,$T859)="","",INDEX('AFA Rates'!$E$5:$E$1004,$T859))))</f>
        <v/>
      </c>
      <c r="H859" s="50">
        <f>IF($T859="","",IF($S859="S",IF(INDEX(Firms!$G$5:$G$1004,$T859)="","",INDEX(Firms!$G$5:$G$1004,$T859)),IF(INDEX('AFA Rates'!$F$5:$F$1004,$T859)="","",INDEX('AFA Rates'!$F$5:$F$1004,$T859))))</f>
        <v/>
      </c>
      <c r="I859" s="50">
        <f>IF($T859="","",IF($S859="S",IF(INDEX(Firms!$H$5:$H$1004,$T859)="","",INDEX(Firms!$H$5:$H$1004,$T859)),IF(INDEX('AFA Rates'!$G$5:$G$1004,$T859)="","",INDEX('AFA Rates'!$G$5:$G$1004,$T859))))</f>
        <v/>
      </c>
      <c r="J859" s="50">
        <f>IF($T859="","",IF($S859="S",IF(INDEX(Firms!$I$5:$I$1004,$T859)="","",INDEX(Firms!$I$5:$I$1004,$T859)),IF(INDEX('AFA Rates'!$H$5:$H$1004,$T859)="","",INDEX('AFA Rates'!$H$5:$H$1004,$T859))))</f>
        <v/>
      </c>
      <c r="K859" s="50">
        <f>IF($T859="","",IF($S859="S",IF(INDEX(Firms!$J$5:$J$1004,$T859)="","",INDEX(Firms!$J$5:$J$1004,$T859)),IF(INDEX('AFA Rates'!$I$5:$I$1004,$T859)="","",INDEX('AFA Rates'!$I$5:$I$1004,$T859))))</f>
        <v/>
      </c>
      <c r="L859" s="50">
        <f>IF($T859="","",IF($S859="S",IF(INDEX(Firms!$K$5:$K$1004,$T859)="","",INDEX(Firms!$K$5:$K$1004,$T859)),IF(INDEX('AFA Rates'!$J$5:$J$1004,$T859)="","",INDEX('AFA Rates'!$J$5:$J$1004,$T859))))</f>
        <v/>
      </c>
      <c r="M859" s="50">
        <f>IF($T859="","",IF($S859="S",IF(INDEX(Firms!$L$5:$L$1004,$T859)="","",INDEX(Firms!$L$5:$L$1004,$T859)),IF(INDEX('AFA Rates'!$K$5:$K$1004,$T859)="","",INDEX('AFA Rates'!$K$5:$K$1004,$T859))))</f>
        <v/>
      </c>
      <c r="N859" s="50">
        <f>IF($T859="","",IF($S859="S",IF(INDEX(Firms!$M$5:$M$1004,$T859)="","",INDEX(Firms!$M$5:$M$1004,$T859)),IF(INDEX('AFA Rates'!$L$5:$L$1004,$T859)="","",INDEX('AFA Rates'!$L$5:$L$1004,$T859))))</f>
        <v/>
      </c>
      <c r="O859" s="78">
        <f>IF(OR($T859="",$U859=""),"",IF(INDEX(Firms!$C$5:$C$1004,$U859)="","",INDEX(Firms!$C$5:$C$1004,$U859)))</f>
        <v/>
      </c>
      <c r="P859" s="79">
        <f>IF(OR($T859="",$U859=""),"",IF(INDEX(Firms!$N$5:$N$1004,$U859)="","",INDEX(Firms!$N$5:$N$1004,$U859)))</f>
        <v/>
      </c>
      <c r="Q859" s="78">
        <f>IF($T859="","",IF($S859="S",IF(INDEX(Firms!$T$5:$T$1004,$T859)="","",INDEX(Firms!$T$5:$T$1004,$T859)),IF(INDEX('AFA Rates'!$M$5:$M$1004,$T859)="","",INDEX('AFA Rates'!$M$5:$M$1004,$T859))))</f>
        <v/>
      </c>
      <c r="S859">
        <f>IF(855&lt;=$S$2,"S",IF(855&lt;=$S$2+$T$2,"A",""))</f>
        <v/>
      </c>
      <c r="T859">
        <f>IF(S859="S",MATCH(855,Firms!$W$5:$W$1004,0),IF(S859="A",IFERROR(MATCH(855-$S$2,'AFA Rates'!$R$5:$R$1004,0),""),""))</f>
        <v/>
      </c>
      <c r="U859">
        <f>IF(S859="S",T859,IF(AND(S859="A",T859&lt;&gt;""),IFERROR(MATCH(INDEX('AFA Rates'!$A$5:$A$1004,T859),Firms!$A$5:$A$1004,0),""),""))</f>
        <v/>
      </c>
    </row>
    <row r="860">
      <c r="A860" s="78">
        <f>IF($T860="","",IF($S860="S",IF(INDEX(Firms!$A$5:$A$1004,$T860)="","",INDEX(Firms!$A$5:$A$1004,$T860)),IF(INDEX('AFA Rates'!$A$5:$A$1004,$T860)="","",INDEX('AFA Rates'!$A$5:$A$1004,$T860))))</f>
        <v/>
      </c>
      <c r="B860" s="79">
        <f>IF(OR($T860="",$U860=""),IF($T860="","","Not on Firms tab"),INDEX(Firms!$B$5:$B$1004,$U860)&amp;"")</f>
        <v/>
      </c>
      <c r="C860" s="78">
        <f>IF($T860="","",IF($S860="S","Standard",INDEX('AFA Rates'!$B$5:$B$1004,$T860)&amp;""))</f>
        <v/>
      </c>
      <c r="D860" s="88">
        <f>IF($T860="","",IF($S860="S",IF(INDEX(Firms!$E$5:$E$1004,$T860)="","",INDEX(Firms!$E$5:$E$1004,$T860)),IF(INDEX('AFA Rates'!$C$5:$C$1004,$T860)="","",INDEX('AFA Rates'!$C$5:$C$1004,$T860))))</f>
        <v/>
      </c>
      <c r="E860" s="88">
        <f>IF($T860="","",IF($S860="S",IF(""="","",""),IF(INDEX('AFA Rates'!$D$5:$D$1004,$T860)="","",INDEX('AFA Rates'!$D$5:$D$1004,$T860))))</f>
        <v/>
      </c>
      <c r="F860" s="79">
        <f>IF($T860="","",IF($S860="S",IF(INDEX(Firms!$O$5:$O$1004,$T860)="","",INDEX(Firms!$O$5:$O$1004,$T860)),IF(INDEX('AFA Rates'!$O$5:$O$1004,$T860)="","",INDEX('AFA Rates'!$O$5:$O$1004,$T860))))</f>
        <v/>
      </c>
      <c r="G860" s="50">
        <f>IF($T860="","",IF($S860="S",IF(INDEX(Firms!$F$5:$F$1004,$T860)="","",INDEX(Firms!$F$5:$F$1004,$T860)),IF(INDEX('AFA Rates'!$E$5:$E$1004,$T860)="","",INDEX('AFA Rates'!$E$5:$E$1004,$T860))))</f>
        <v/>
      </c>
      <c r="H860" s="50">
        <f>IF($T860="","",IF($S860="S",IF(INDEX(Firms!$G$5:$G$1004,$T860)="","",INDEX(Firms!$G$5:$G$1004,$T860)),IF(INDEX('AFA Rates'!$F$5:$F$1004,$T860)="","",INDEX('AFA Rates'!$F$5:$F$1004,$T860))))</f>
        <v/>
      </c>
      <c r="I860" s="50">
        <f>IF($T860="","",IF($S860="S",IF(INDEX(Firms!$H$5:$H$1004,$T860)="","",INDEX(Firms!$H$5:$H$1004,$T860)),IF(INDEX('AFA Rates'!$G$5:$G$1004,$T860)="","",INDEX('AFA Rates'!$G$5:$G$1004,$T860))))</f>
        <v/>
      </c>
      <c r="J860" s="50">
        <f>IF($T860="","",IF($S860="S",IF(INDEX(Firms!$I$5:$I$1004,$T860)="","",INDEX(Firms!$I$5:$I$1004,$T860)),IF(INDEX('AFA Rates'!$H$5:$H$1004,$T860)="","",INDEX('AFA Rates'!$H$5:$H$1004,$T860))))</f>
        <v/>
      </c>
      <c r="K860" s="50">
        <f>IF($T860="","",IF($S860="S",IF(INDEX(Firms!$J$5:$J$1004,$T860)="","",INDEX(Firms!$J$5:$J$1004,$T860)),IF(INDEX('AFA Rates'!$I$5:$I$1004,$T860)="","",INDEX('AFA Rates'!$I$5:$I$1004,$T860))))</f>
        <v/>
      </c>
      <c r="L860" s="50">
        <f>IF($T860="","",IF($S860="S",IF(INDEX(Firms!$K$5:$K$1004,$T860)="","",INDEX(Firms!$K$5:$K$1004,$T860)),IF(INDEX('AFA Rates'!$J$5:$J$1004,$T860)="","",INDEX('AFA Rates'!$J$5:$J$1004,$T860))))</f>
        <v/>
      </c>
      <c r="M860" s="50">
        <f>IF($T860="","",IF($S860="S",IF(INDEX(Firms!$L$5:$L$1004,$T860)="","",INDEX(Firms!$L$5:$L$1004,$T860)),IF(INDEX('AFA Rates'!$K$5:$K$1004,$T860)="","",INDEX('AFA Rates'!$K$5:$K$1004,$T860))))</f>
        <v/>
      </c>
      <c r="N860" s="50">
        <f>IF($T860="","",IF($S860="S",IF(INDEX(Firms!$M$5:$M$1004,$T860)="","",INDEX(Firms!$M$5:$M$1004,$T860)),IF(INDEX('AFA Rates'!$L$5:$L$1004,$T860)="","",INDEX('AFA Rates'!$L$5:$L$1004,$T860))))</f>
        <v/>
      </c>
      <c r="O860" s="78">
        <f>IF(OR($T860="",$U860=""),"",IF(INDEX(Firms!$C$5:$C$1004,$U860)="","",INDEX(Firms!$C$5:$C$1004,$U860)))</f>
        <v/>
      </c>
      <c r="P860" s="79">
        <f>IF(OR($T860="",$U860=""),"",IF(INDEX(Firms!$N$5:$N$1004,$U860)="","",INDEX(Firms!$N$5:$N$1004,$U860)))</f>
        <v/>
      </c>
      <c r="Q860" s="78">
        <f>IF($T860="","",IF($S860="S",IF(INDEX(Firms!$T$5:$T$1004,$T860)="","",INDEX(Firms!$T$5:$T$1004,$T860)),IF(INDEX('AFA Rates'!$M$5:$M$1004,$T860)="","",INDEX('AFA Rates'!$M$5:$M$1004,$T860))))</f>
        <v/>
      </c>
      <c r="S860">
        <f>IF(856&lt;=$S$2,"S",IF(856&lt;=$S$2+$T$2,"A",""))</f>
        <v/>
      </c>
      <c r="T860">
        <f>IF(S860="S",MATCH(856,Firms!$W$5:$W$1004,0),IF(S860="A",IFERROR(MATCH(856-$S$2,'AFA Rates'!$R$5:$R$1004,0),""),""))</f>
        <v/>
      </c>
      <c r="U860">
        <f>IF(S860="S",T860,IF(AND(S860="A",T860&lt;&gt;""),IFERROR(MATCH(INDEX('AFA Rates'!$A$5:$A$1004,T860),Firms!$A$5:$A$1004,0),""),""))</f>
        <v/>
      </c>
    </row>
    <row r="861">
      <c r="A861" s="78">
        <f>IF($T861="","",IF($S861="S",IF(INDEX(Firms!$A$5:$A$1004,$T861)="","",INDEX(Firms!$A$5:$A$1004,$T861)),IF(INDEX('AFA Rates'!$A$5:$A$1004,$T861)="","",INDEX('AFA Rates'!$A$5:$A$1004,$T861))))</f>
        <v/>
      </c>
      <c r="B861" s="79">
        <f>IF(OR($T861="",$U861=""),IF($T861="","","Not on Firms tab"),INDEX(Firms!$B$5:$B$1004,$U861)&amp;"")</f>
        <v/>
      </c>
      <c r="C861" s="78">
        <f>IF($T861="","",IF($S861="S","Standard",INDEX('AFA Rates'!$B$5:$B$1004,$T861)&amp;""))</f>
        <v/>
      </c>
      <c r="D861" s="88">
        <f>IF($T861="","",IF($S861="S",IF(INDEX(Firms!$E$5:$E$1004,$T861)="","",INDEX(Firms!$E$5:$E$1004,$T861)),IF(INDEX('AFA Rates'!$C$5:$C$1004,$T861)="","",INDEX('AFA Rates'!$C$5:$C$1004,$T861))))</f>
        <v/>
      </c>
      <c r="E861" s="88">
        <f>IF($T861="","",IF($S861="S",IF(""="","",""),IF(INDEX('AFA Rates'!$D$5:$D$1004,$T861)="","",INDEX('AFA Rates'!$D$5:$D$1004,$T861))))</f>
        <v/>
      </c>
      <c r="F861" s="79">
        <f>IF($T861="","",IF($S861="S",IF(INDEX(Firms!$O$5:$O$1004,$T861)="","",INDEX(Firms!$O$5:$O$1004,$T861)),IF(INDEX('AFA Rates'!$O$5:$O$1004,$T861)="","",INDEX('AFA Rates'!$O$5:$O$1004,$T861))))</f>
        <v/>
      </c>
      <c r="G861" s="50">
        <f>IF($T861="","",IF($S861="S",IF(INDEX(Firms!$F$5:$F$1004,$T861)="","",INDEX(Firms!$F$5:$F$1004,$T861)),IF(INDEX('AFA Rates'!$E$5:$E$1004,$T861)="","",INDEX('AFA Rates'!$E$5:$E$1004,$T861))))</f>
        <v/>
      </c>
      <c r="H861" s="50">
        <f>IF($T861="","",IF($S861="S",IF(INDEX(Firms!$G$5:$G$1004,$T861)="","",INDEX(Firms!$G$5:$G$1004,$T861)),IF(INDEX('AFA Rates'!$F$5:$F$1004,$T861)="","",INDEX('AFA Rates'!$F$5:$F$1004,$T861))))</f>
        <v/>
      </c>
      <c r="I861" s="50">
        <f>IF($T861="","",IF($S861="S",IF(INDEX(Firms!$H$5:$H$1004,$T861)="","",INDEX(Firms!$H$5:$H$1004,$T861)),IF(INDEX('AFA Rates'!$G$5:$G$1004,$T861)="","",INDEX('AFA Rates'!$G$5:$G$1004,$T861))))</f>
        <v/>
      </c>
      <c r="J861" s="50">
        <f>IF($T861="","",IF($S861="S",IF(INDEX(Firms!$I$5:$I$1004,$T861)="","",INDEX(Firms!$I$5:$I$1004,$T861)),IF(INDEX('AFA Rates'!$H$5:$H$1004,$T861)="","",INDEX('AFA Rates'!$H$5:$H$1004,$T861))))</f>
        <v/>
      </c>
      <c r="K861" s="50">
        <f>IF($T861="","",IF($S861="S",IF(INDEX(Firms!$J$5:$J$1004,$T861)="","",INDEX(Firms!$J$5:$J$1004,$T861)),IF(INDEX('AFA Rates'!$I$5:$I$1004,$T861)="","",INDEX('AFA Rates'!$I$5:$I$1004,$T861))))</f>
        <v/>
      </c>
      <c r="L861" s="50">
        <f>IF($T861="","",IF($S861="S",IF(INDEX(Firms!$K$5:$K$1004,$T861)="","",INDEX(Firms!$K$5:$K$1004,$T861)),IF(INDEX('AFA Rates'!$J$5:$J$1004,$T861)="","",INDEX('AFA Rates'!$J$5:$J$1004,$T861))))</f>
        <v/>
      </c>
      <c r="M861" s="50">
        <f>IF($T861="","",IF($S861="S",IF(INDEX(Firms!$L$5:$L$1004,$T861)="","",INDEX(Firms!$L$5:$L$1004,$T861)),IF(INDEX('AFA Rates'!$K$5:$K$1004,$T861)="","",INDEX('AFA Rates'!$K$5:$K$1004,$T861))))</f>
        <v/>
      </c>
      <c r="N861" s="50">
        <f>IF($T861="","",IF($S861="S",IF(INDEX(Firms!$M$5:$M$1004,$T861)="","",INDEX(Firms!$M$5:$M$1004,$T861)),IF(INDEX('AFA Rates'!$L$5:$L$1004,$T861)="","",INDEX('AFA Rates'!$L$5:$L$1004,$T861))))</f>
        <v/>
      </c>
      <c r="O861" s="78">
        <f>IF(OR($T861="",$U861=""),"",IF(INDEX(Firms!$C$5:$C$1004,$U861)="","",INDEX(Firms!$C$5:$C$1004,$U861)))</f>
        <v/>
      </c>
      <c r="P861" s="79">
        <f>IF(OR($T861="",$U861=""),"",IF(INDEX(Firms!$N$5:$N$1004,$U861)="","",INDEX(Firms!$N$5:$N$1004,$U861)))</f>
        <v/>
      </c>
      <c r="Q861" s="78">
        <f>IF($T861="","",IF($S861="S",IF(INDEX(Firms!$T$5:$T$1004,$T861)="","",INDEX(Firms!$T$5:$T$1004,$T861)),IF(INDEX('AFA Rates'!$M$5:$M$1004,$T861)="","",INDEX('AFA Rates'!$M$5:$M$1004,$T861))))</f>
        <v/>
      </c>
      <c r="S861">
        <f>IF(857&lt;=$S$2,"S",IF(857&lt;=$S$2+$T$2,"A",""))</f>
        <v/>
      </c>
      <c r="T861">
        <f>IF(S861="S",MATCH(857,Firms!$W$5:$W$1004,0),IF(S861="A",IFERROR(MATCH(857-$S$2,'AFA Rates'!$R$5:$R$1004,0),""),""))</f>
        <v/>
      </c>
      <c r="U861">
        <f>IF(S861="S",T861,IF(AND(S861="A",T861&lt;&gt;""),IFERROR(MATCH(INDEX('AFA Rates'!$A$5:$A$1004,T861),Firms!$A$5:$A$1004,0),""),""))</f>
        <v/>
      </c>
    </row>
    <row r="862">
      <c r="A862" s="78">
        <f>IF($T862="","",IF($S862="S",IF(INDEX(Firms!$A$5:$A$1004,$T862)="","",INDEX(Firms!$A$5:$A$1004,$T862)),IF(INDEX('AFA Rates'!$A$5:$A$1004,$T862)="","",INDEX('AFA Rates'!$A$5:$A$1004,$T862))))</f>
        <v/>
      </c>
      <c r="B862" s="79">
        <f>IF(OR($T862="",$U862=""),IF($T862="","","Not on Firms tab"),INDEX(Firms!$B$5:$B$1004,$U862)&amp;"")</f>
        <v/>
      </c>
      <c r="C862" s="78">
        <f>IF($T862="","",IF($S862="S","Standard",INDEX('AFA Rates'!$B$5:$B$1004,$T862)&amp;""))</f>
        <v/>
      </c>
      <c r="D862" s="88">
        <f>IF($T862="","",IF($S862="S",IF(INDEX(Firms!$E$5:$E$1004,$T862)="","",INDEX(Firms!$E$5:$E$1004,$T862)),IF(INDEX('AFA Rates'!$C$5:$C$1004,$T862)="","",INDEX('AFA Rates'!$C$5:$C$1004,$T862))))</f>
        <v/>
      </c>
      <c r="E862" s="88">
        <f>IF($T862="","",IF($S862="S",IF(""="","",""),IF(INDEX('AFA Rates'!$D$5:$D$1004,$T862)="","",INDEX('AFA Rates'!$D$5:$D$1004,$T862))))</f>
        <v/>
      </c>
      <c r="F862" s="79">
        <f>IF($T862="","",IF($S862="S",IF(INDEX(Firms!$O$5:$O$1004,$T862)="","",INDEX(Firms!$O$5:$O$1004,$T862)),IF(INDEX('AFA Rates'!$O$5:$O$1004,$T862)="","",INDEX('AFA Rates'!$O$5:$O$1004,$T862))))</f>
        <v/>
      </c>
      <c r="G862" s="50">
        <f>IF($T862="","",IF($S862="S",IF(INDEX(Firms!$F$5:$F$1004,$T862)="","",INDEX(Firms!$F$5:$F$1004,$T862)),IF(INDEX('AFA Rates'!$E$5:$E$1004,$T862)="","",INDEX('AFA Rates'!$E$5:$E$1004,$T862))))</f>
        <v/>
      </c>
      <c r="H862" s="50">
        <f>IF($T862="","",IF($S862="S",IF(INDEX(Firms!$G$5:$G$1004,$T862)="","",INDEX(Firms!$G$5:$G$1004,$T862)),IF(INDEX('AFA Rates'!$F$5:$F$1004,$T862)="","",INDEX('AFA Rates'!$F$5:$F$1004,$T862))))</f>
        <v/>
      </c>
      <c r="I862" s="50">
        <f>IF($T862="","",IF($S862="S",IF(INDEX(Firms!$H$5:$H$1004,$T862)="","",INDEX(Firms!$H$5:$H$1004,$T862)),IF(INDEX('AFA Rates'!$G$5:$G$1004,$T862)="","",INDEX('AFA Rates'!$G$5:$G$1004,$T862))))</f>
        <v/>
      </c>
      <c r="J862" s="50">
        <f>IF($T862="","",IF($S862="S",IF(INDEX(Firms!$I$5:$I$1004,$T862)="","",INDEX(Firms!$I$5:$I$1004,$T862)),IF(INDEX('AFA Rates'!$H$5:$H$1004,$T862)="","",INDEX('AFA Rates'!$H$5:$H$1004,$T862))))</f>
        <v/>
      </c>
      <c r="K862" s="50">
        <f>IF($T862="","",IF($S862="S",IF(INDEX(Firms!$J$5:$J$1004,$T862)="","",INDEX(Firms!$J$5:$J$1004,$T862)),IF(INDEX('AFA Rates'!$I$5:$I$1004,$T862)="","",INDEX('AFA Rates'!$I$5:$I$1004,$T862))))</f>
        <v/>
      </c>
      <c r="L862" s="50">
        <f>IF($T862="","",IF($S862="S",IF(INDEX(Firms!$K$5:$K$1004,$T862)="","",INDEX(Firms!$K$5:$K$1004,$T862)),IF(INDEX('AFA Rates'!$J$5:$J$1004,$T862)="","",INDEX('AFA Rates'!$J$5:$J$1004,$T862))))</f>
        <v/>
      </c>
      <c r="M862" s="50">
        <f>IF($T862="","",IF($S862="S",IF(INDEX(Firms!$L$5:$L$1004,$T862)="","",INDEX(Firms!$L$5:$L$1004,$T862)),IF(INDEX('AFA Rates'!$K$5:$K$1004,$T862)="","",INDEX('AFA Rates'!$K$5:$K$1004,$T862))))</f>
        <v/>
      </c>
      <c r="N862" s="50">
        <f>IF($T862="","",IF($S862="S",IF(INDEX(Firms!$M$5:$M$1004,$T862)="","",INDEX(Firms!$M$5:$M$1004,$T862)),IF(INDEX('AFA Rates'!$L$5:$L$1004,$T862)="","",INDEX('AFA Rates'!$L$5:$L$1004,$T862))))</f>
        <v/>
      </c>
      <c r="O862" s="78">
        <f>IF(OR($T862="",$U862=""),"",IF(INDEX(Firms!$C$5:$C$1004,$U862)="","",INDEX(Firms!$C$5:$C$1004,$U862)))</f>
        <v/>
      </c>
      <c r="P862" s="79">
        <f>IF(OR($T862="",$U862=""),"",IF(INDEX(Firms!$N$5:$N$1004,$U862)="","",INDEX(Firms!$N$5:$N$1004,$U862)))</f>
        <v/>
      </c>
      <c r="Q862" s="78">
        <f>IF($T862="","",IF($S862="S",IF(INDEX(Firms!$T$5:$T$1004,$T862)="","",INDEX(Firms!$T$5:$T$1004,$T862)),IF(INDEX('AFA Rates'!$M$5:$M$1004,$T862)="","",INDEX('AFA Rates'!$M$5:$M$1004,$T862))))</f>
        <v/>
      </c>
      <c r="S862">
        <f>IF(858&lt;=$S$2,"S",IF(858&lt;=$S$2+$T$2,"A",""))</f>
        <v/>
      </c>
      <c r="T862">
        <f>IF(S862="S",MATCH(858,Firms!$W$5:$W$1004,0),IF(S862="A",IFERROR(MATCH(858-$S$2,'AFA Rates'!$R$5:$R$1004,0),""),""))</f>
        <v/>
      </c>
      <c r="U862">
        <f>IF(S862="S",T862,IF(AND(S862="A",T862&lt;&gt;""),IFERROR(MATCH(INDEX('AFA Rates'!$A$5:$A$1004,T862),Firms!$A$5:$A$1004,0),""),""))</f>
        <v/>
      </c>
    </row>
    <row r="863">
      <c r="A863" s="78">
        <f>IF($T863="","",IF($S863="S",IF(INDEX(Firms!$A$5:$A$1004,$T863)="","",INDEX(Firms!$A$5:$A$1004,$T863)),IF(INDEX('AFA Rates'!$A$5:$A$1004,$T863)="","",INDEX('AFA Rates'!$A$5:$A$1004,$T863))))</f>
        <v/>
      </c>
      <c r="B863" s="79">
        <f>IF(OR($T863="",$U863=""),IF($T863="","","Not on Firms tab"),INDEX(Firms!$B$5:$B$1004,$U863)&amp;"")</f>
        <v/>
      </c>
      <c r="C863" s="78">
        <f>IF($T863="","",IF($S863="S","Standard",INDEX('AFA Rates'!$B$5:$B$1004,$T863)&amp;""))</f>
        <v/>
      </c>
      <c r="D863" s="88">
        <f>IF($T863="","",IF($S863="S",IF(INDEX(Firms!$E$5:$E$1004,$T863)="","",INDEX(Firms!$E$5:$E$1004,$T863)),IF(INDEX('AFA Rates'!$C$5:$C$1004,$T863)="","",INDEX('AFA Rates'!$C$5:$C$1004,$T863))))</f>
        <v/>
      </c>
      <c r="E863" s="88">
        <f>IF($T863="","",IF($S863="S",IF(""="","",""),IF(INDEX('AFA Rates'!$D$5:$D$1004,$T863)="","",INDEX('AFA Rates'!$D$5:$D$1004,$T863))))</f>
        <v/>
      </c>
      <c r="F863" s="79">
        <f>IF($T863="","",IF($S863="S",IF(INDEX(Firms!$O$5:$O$1004,$T863)="","",INDEX(Firms!$O$5:$O$1004,$T863)),IF(INDEX('AFA Rates'!$O$5:$O$1004,$T863)="","",INDEX('AFA Rates'!$O$5:$O$1004,$T863))))</f>
        <v/>
      </c>
      <c r="G863" s="50">
        <f>IF($T863="","",IF($S863="S",IF(INDEX(Firms!$F$5:$F$1004,$T863)="","",INDEX(Firms!$F$5:$F$1004,$T863)),IF(INDEX('AFA Rates'!$E$5:$E$1004,$T863)="","",INDEX('AFA Rates'!$E$5:$E$1004,$T863))))</f>
        <v/>
      </c>
      <c r="H863" s="50">
        <f>IF($T863="","",IF($S863="S",IF(INDEX(Firms!$G$5:$G$1004,$T863)="","",INDEX(Firms!$G$5:$G$1004,$T863)),IF(INDEX('AFA Rates'!$F$5:$F$1004,$T863)="","",INDEX('AFA Rates'!$F$5:$F$1004,$T863))))</f>
        <v/>
      </c>
      <c r="I863" s="50">
        <f>IF($T863="","",IF($S863="S",IF(INDEX(Firms!$H$5:$H$1004,$T863)="","",INDEX(Firms!$H$5:$H$1004,$T863)),IF(INDEX('AFA Rates'!$G$5:$G$1004,$T863)="","",INDEX('AFA Rates'!$G$5:$G$1004,$T863))))</f>
        <v/>
      </c>
      <c r="J863" s="50">
        <f>IF($T863="","",IF($S863="S",IF(INDEX(Firms!$I$5:$I$1004,$T863)="","",INDEX(Firms!$I$5:$I$1004,$T863)),IF(INDEX('AFA Rates'!$H$5:$H$1004,$T863)="","",INDEX('AFA Rates'!$H$5:$H$1004,$T863))))</f>
        <v/>
      </c>
      <c r="K863" s="50">
        <f>IF($T863="","",IF($S863="S",IF(INDEX(Firms!$J$5:$J$1004,$T863)="","",INDEX(Firms!$J$5:$J$1004,$T863)),IF(INDEX('AFA Rates'!$I$5:$I$1004,$T863)="","",INDEX('AFA Rates'!$I$5:$I$1004,$T863))))</f>
        <v/>
      </c>
      <c r="L863" s="50">
        <f>IF($T863="","",IF($S863="S",IF(INDEX(Firms!$K$5:$K$1004,$T863)="","",INDEX(Firms!$K$5:$K$1004,$T863)),IF(INDEX('AFA Rates'!$J$5:$J$1004,$T863)="","",INDEX('AFA Rates'!$J$5:$J$1004,$T863))))</f>
        <v/>
      </c>
      <c r="M863" s="50">
        <f>IF($T863="","",IF($S863="S",IF(INDEX(Firms!$L$5:$L$1004,$T863)="","",INDEX(Firms!$L$5:$L$1004,$T863)),IF(INDEX('AFA Rates'!$K$5:$K$1004,$T863)="","",INDEX('AFA Rates'!$K$5:$K$1004,$T863))))</f>
        <v/>
      </c>
      <c r="N863" s="50">
        <f>IF($T863="","",IF($S863="S",IF(INDEX(Firms!$M$5:$M$1004,$T863)="","",INDEX(Firms!$M$5:$M$1004,$T863)),IF(INDEX('AFA Rates'!$L$5:$L$1004,$T863)="","",INDEX('AFA Rates'!$L$5:$L$1004,$T863))))</f>
        <v/>
      </c>
      <c r="O863" s="78">
        <f>IF(OR($T863="",$U863=""),"",IF(INDEX(Firms!$C$5:$C$1004,$U863)="","",INDEX(Firms!$C$5:$C$1004,$U863)))</f>
        <v/>
      </c>
      <c r="P863" s="79">
        <f>IF(OR($T863="",$U863=""),"",IF(INDEX(Firms!$N$5:$N$1004,$U863)="","",INDEX(Firms!$N$5:$N$1004,$U863)))</f>
        <v/>
      </c>
      <c r="Q863" s="78">
        <f>IF($T863="","",IF($S863="S",IF(INDEX(Firms!$T$5:$T$1004,$T863)="","",INDEX(Firms!$T$5:$T$1004,$T863)),IF(INDEX('AFA Rates'!$M$5:$M$1004,$T863)="","",INDEX('AFA Rates'!$M$5:$M$1004,$T863))))</f>
        <v/>
      </c>
      <c r="S863">
        <f>IF(859&lt;=$S$2,"S",IF(859&lt;=$S$2+$T$2,"A",""))</f>
        <v/>
      </c>
      <c r="T863">
        <f>IF(S863="S",MATCH(859,Firms!$W$5:$W$1004,0),IF(S863="A",IFERROR(MATCH(859-$S$2,'AFA Rates'!$R$5:$R$1004,0),""),""))</f>
        <v/>
      </c>
      <c r="U863">
        <f>IF(S863="S",T863,IF(AND(S863="A",T863&lt;&gt;""),IFERROR(MATCH(INDEX('AFA Rates'!$A$5:$A$1004,T863),Firms!$A$5:$A$1004,0),""),""))</f>
        <v/>
      </c>
    </row>
    <row r="864">
      <c r="A864" s="78">
        <f>IF($T864="","",IF($S864="S",IF(INDEX(Firms!$A$5:$A$1004,$T864)="","",INDEX(Firms!$A$5:$A$1004,$T864)),IF(INDEX('AFA Rates'!$A$5:$A$1004,$T864)="","",INDEX('AFA Rates'!$A$5:$A$1004,$T864))))</f>
        <v/>
      </c>
      <c r="B864" s="79">
        <f>IF(OR($T864="",$U864=""),IF($T864="","","Not on Firms tab"),INDEX(Firms!$B$5:$B$1004,$U864)&amp;"")</f>
        <v/>
      </c>
      <c r="C864" s="78">
        <f>IF($T864="","",IF($S864="S","Standard",INDEX('AFA Rates'!$B$5:$B$1004,$T864)&amp;""))</f>
        <v/>
      </c>
      <c r="D864" s="88">
        <f>IF($T864="","",IF($S864="S",IF(INDEX(Firms!$E$5:$E$1004,$T864)="","",INDEX(Firms!$E$5:$E$1004,$T864)),IF(INDEX('AFA Rates'!$C$5:$C$1004,$T864)="","",INDEX('AFA Rates'!$C$5:$C$1004,$T864))))</f>
        <v/>
      </c>
      <c r="E864" s="88">
        <f>IF($T864="","",IF($S864="S",IF(""="","",""),IF(INDEX('AFA Rates'!$D$5:$D$1004,$T864)="","",INDEX('AFA Rates'!$D$5:$D$1004,$T864))))</f>
        <v/>
      </c>
      <c r="F864" s="79">
        <f>IF($T864="","",IF($S864="S",IF(INDEX(Firms!$O$5:$O$1004,$T864)="","",INDEX(Firms!$O$5:$O$1004,$T864)),IF(INDEX('AFA Rates'!$O$5:$O$1004,$T864)="","",INDEX('AFA Rates'!$O$5:$O$1004,$T864))))</f>
        <v/>
      </c>
      <c r="G864" s="50">
        <f>IF($T864="","",IF($S864="S",IF(INDEX(Firms!$F$5:$F$1004,$T864)="","",INDEX(Firms!$F$5:$F$1004,$T864)),IF(INDEX('AFA Rates'!$E$5:$E$1004,$T864)="","",INDEX('AFA Rates'!$E$5:$E$1004,$T864))))</f>
        <v/>
      </c>
      <c r="H864" s="50">
        <f>IF($T864="","",IF($S864="S",IF(INDEX(Firms!$G$5:$G$1004,$T864)="","",INDEX(Firms!$G$5:$G$1004,$T864)),IF(INDEX('AFA Rates'!$F$5:$F$1004,$T864)="","",INDEX('AFA Rates'!$F$5:$F$1004,$T864))))</f>
        <v/>
      </c>
      <c r="I864" s="50">
        <f>IF($T864="","",IF($S864="S",IF(INDEX(Firms!$H$5:$H$1004,$T864)="","",INDEX(Firms!$H$5:$H$1004,$T864)),IF(INDEX('AFA Rates'!$G$5:$G$1004,$T864)="","",INDEX('AFA Rates'!$G$5:$G$1004,$T864))))</f>
        <v/>
      </c>
      <c r="J864" s="50">
        <f>IF($T864="","",IF($S864="S",IF(INDEX(Firms!$I$5:$I$1004,$T864)="","",INDEX(Firms!$I$5:$I$1004,$T864)),IF(INDEX('AFA Rates'!$H$5:$H$1004,$T864)="","",INDEX('AFA Rates'!$H$5:$H$1004,$T864))))</f>
        <v/>
      </c>
      <c r="K864" s="50">
        <f>IF($T864="","",IF($S864="S",IF(INDEX(Firms!$J$5:$J$1004,$T864)="","",INDEX(Firms!$J$5:$J$1004,$T864)),IF(INDEX('AFA Rates'!$I$5:$I$1004,$T864)="","",INDEX('AFA Rates'!$I$5:$I$1004,$T864))))</f>
        <v/>
      </c>
      <c r="L864" s="50">
        <f>IF($T864="","",IF($S864="S",IF(INDEX(Firms!$K$5:$K$1004,$T864)="","",INDEX(Firms!$K$5:$K$1004,$T864)),IF(INDEX('AFA Rates'!$J$5:$J$1004,$T864)="","",INDEX('AFA Rates'!$J$5:$J$1004,$T864))))</f>
        <v/>
      </c>
      <c r="M864" s="50">
        <f>IF($T864="","",IF($S864="S",IF(INDEX(Firms!$L$5:$L$1004,$T864)="","",INDEX(Firms!$L$5:$L$1004,$T864)),IF(INDEX('AFA Rates'!$K$5:$K$1004,$T864)="","",INDEX('AFA Rates'!$K$5:$K$1004,$T864))))</f>
        <v/>
      </c>
      <c r="N864" s="50">
        <f>IF($T864="","",IF($S864="S",IF(INDEX(Firms!$M$5:$M$1004,$T864)="","",INDEX(Firms!$M$5:$M$1004,$T864)),IF(INDEX('AFA Rates'!$L$5:$L$1004,$T864)="","",INDEX('AFA Rates'!$L$5:$L$1004,$T864))))</f>
        <v/>
      </c>
      <c r="O864" s="78">
        <f>IF(OR($T864="",$U864=""),"",IF(INDEX(Firms!$C$5:$C$1004,$U864)="","",INDEX(Firms!$C$5:$C$1004,$U864)))</f>
        <v/>
      </c>
      <c r="P864" s="79">
        <f>IF(OR($T864="",$U864=""),"",IF(INDEX(Firms!$N$5:$N$1004,$U864)="","",INDEX(Firms!$N$5:$N$1004,$U864)))</f>
        <v/>
      </c>
      <c r="Q864" s="78">
        <f>IF($T864="","",IF($S864="S",IF(INDEX(Firms!$T$5:$T$1004,$T864)="","",INDEX(Firms!$T$5:$T$1004,$T864)),IF(INDEX('AFA Rates'!$M$5:$M$1004,$T864)="","",INDEX('AFA Rates'!$M$5:$M$1004,$T864))))</f>
        <v/>
      </c>
      <c r="S864">
        <f>IF(860&lt;=$S$2,"S",IF(860&lt;=$S$2+$T$2,"A",""))</f>
        <v/>
      </c>
      <c r="T864">
        <f>IF(S864="S",MATCH(860,Firms!$W$5:$W$1004,0),IF(S864="A",IFERROR(MATCH(860-$S$2,'AFA Rates'!$R$5:$R$1004,0),""),""))</f>
        <v/>
      </c>
      <c r="U864">
        <f>IF(S864="S",T864,IF(AND(S864="A",T864&lt;&gt;""),IFERROR(MATCH(INDEX('AFA Rates'!$A$5:$A$1004,T864),Firms!$A$5:$A$1004,0),""),""))</f>
        <v/>
      </c>
    </row>
    <row r="865">
      <c r="A865" s="78">
        <f>IF($T865="","",IF($S865="S",IF(INDEX(Firms!$A$5:$A$1004,$T865)="","",INDEX(Firms!$A$5:$A$1004,$T865)),IF(INDEX('AFA Rates'!$A$5:$A$1004,$T865)="","",INDEX('AFA Rates'!$A$5:$A$1004,$T865))))</f>
        <v/>
      </c>
      <c r="B865" s="79">
        <f>IF(OR($T865="",$U865=""),IF($T865="","","Not on Firms tab"),INDEX(Firms!$B$5:$B$1004,$U865)&amp;"")</f>
        <v/>
      </c>
      <c r="C865" s="78">
        <f>IF($T865="","",IF($S865="S","Standard",INDEX('AFA Rates'!$B$5:$B$1004,$T865)&amp;""))</f>
        <v/>
      </c>
      <c r="D865" s="88">
        <f>IF($T865="","",IF($S865="S",IF(INDEX(Firms!$E$5:$E$1004,$T865)="","",INDEX(Firms!$E$5:$E$1004,$T865)),IF(INDEX('AFA Rates'!$C$5:$C$1004,$T865)="","",INDEX('AFA Rates'!$C$5:$C$1004,$T865))))</f>
        <v/>
      </c>
      <c r="E865" s="88">
        <f>IF($T865="","",IF($S865="S",IF(""="","",""),IF(INDEX('AFA Rates'!$D$5:$D$1004,$T865)="","",INDEX('AFA Rates'!$D$5:$D$1004,$T865))))</f>
        <v/>
      </c>
      <c r="F865" s="79">
        <f>IF($T865="","",IF($S865="S",IF(INDEX(Firms!$O$5:$O$1004,$T865)="","",INDEX(Firms!$O$5:$O$1004,$T865)),IF(INDEX('AFA Rates'!$O$5:$O$1004,$T865)="","",INDEX('AFA Rates'!$O$5:$O$1004,$T865))))</f>
        <v/>
      </c>
      <c r="G865" s="50">
        <f>IF($T865="","",IF($S865="S",IF(INDEX(Firms!$F$5:$F$1004,$T865)="","",INDEX(Firms!$F$5:$F$1004,$T865)),IF(INDEX('AFA Rates'!$E$5:$E$1004,$T865)="","",INDEX('AFA Rates'!$E$5:$E$1004,$T865))))</f>
        <v/>
      </c>
      <c r="H865" s="50">
        <f>IF($T865="","",IF($S865="S",IF(INDEX(Firms!$G$5:$G$1004,$T865)="","",INDEX(Firms!$G$5:$G$1004,$T865)),IF(INDEX('AFA Rates'!$F$5:$F$1004,$T865)="","",INDEX('AFA Rates'!$F$5:$F$1004,$T865))))</f>
        <v/>
      </c>
      <c r="I865" s="50">
        <f>IF($T865="","",IF($S865="S",IF(INDEX(Firms!$H$5:$H$1004,$T865)="","",INDEX(Firms!$H$5:$H$1004,$T865)),IF(INDEX('AFA Rates'!$G$5:$G$1004,$T865)="","",INDEX('AFA Rates'!$G$5:$G$1004,$T865))))</f>
        <v/>
      </c>
      <c r="J865" s="50">
        <f>IF($T865="","",IF($S865="S",IF(INDEX(Firms!$I$5:$I$1004,$T865)="","",INDEX(Firms!$I$5:$I$1004,$T865)),IF(INDEX('AFA Rates'!$H$5:$H$1004,$T865)="","",INDEX('AFA Rates'!$H$5:$H$1004,$T865))))</f>
        <v/>
      </c>
      <c r="K865" s="50">
        <f>IF($T865="","",IF($S865="S",IF(INDEX(Firms!$J$5:$J$1004,$T865)="","",INDEX(Firms!$J$5:$J$1004,$T865)),IF(INDEX('AFA Rates'!$I$5:$I$1004,$T865)="","",INDEX('AFA Rates'!$I$5:$I$1004,$T865))))</f>
        <v/>
      </c>
      <c r="L865" s="50">
        <f>IF($T865="","",IF($S865="S",IF(INDEX(Firms!$K$5:$K$1004,$T865)="","",INDEX(Firms!$K$5:$K$1004,$T865)),IF(INDEX('AFA Rates'!$J$5:$J$1004,$T865)="","",INDEX('AFA Rates'!$J$5:$J$1004,$T865))))</f>
        <v/>
      </c>
      <c r="M865" s="50">
        <f>IF($T865="","",IF($S865="S",IF(INDEX(Firms!$L$5:$L$1004,$T865)="","",INDEX(Firms!$L$5:$L$1004,$T865)),IF(INDEX('AFA Rates'!$K$5:$K$1004,$T865)="","",INDEX('AFA Rates'!$K$5:$K$1004,$T865))))</f>
        <v/>
      </c>
      <c r="N865" s="50">
        <f>IF($T865="","",IF($S865="S",IF(INDEX(Firms!$M$5:$M$1004,$T865)="","",INDEX(Firms!$M$5:$M$1004,$T865)),IF(INDEX('AFA Rates'!$L$5:$L$1004,$T865)="","",INDEX('AFA Rates'!$L$5:$L$1004,$T865))))</f>
        <v/>
      </c>
      <c r="O865" s="78">
        <f>IF(OR($T865="",$U865=""),"",IF(INDEX(Firms!$C$5:$C$1004,$U865)="","",INDEX(Firms!$C$5:$C$1004,$U865)))</f>
        <v/>
      </c>
      <c r="P865" s="79">
        <f>IF(OR($T865="",$U865=""),"",IF(INDEX(Firms!$N$5:$N$1004,$U865)="","",INDEX(Firms!$N$5:$N$1004,$U865)))</f>
        <v/>
      </c>
      <c r="Q865" s="78">
        <f>IF($T865="","",IF($S865="S",IF(INDEX(Firms!$T$5:$T$1004,$T865)="","",INDEX(Firms!$T$5:$T$1004,$T865)),IF(INDEX('AFA Rates'!$M$5:$M$1004,$T865)="","",INDEX('AFA Rates'!$M$5:$M$1004,$T865))))</f>
        <v/>
      </c>
      <c r="S865">
        <f>IF(861&lt;=$S$2,"S",IF(861&lt;=$S$2+$T$2,"A",""))</f>
        <v/>
      </c>
      <c r="T865">
        <f>IF(S865="S",MATCH(861,Firms!$W$5:$W$1004,0),IF(S865="A",IFERROR(MATCH(861-$S$2,'AFA Rates'!$R$5:$R$1004,0),""),""))</f>
        <v/>
      </c>
      <c r="U865">
        <f>IF(S865="S",T865,IF(AND(S865="A",T865&lt;&gt;""),IFERROR(MATCH(INDEX('AFA Rates'!$A$5:$A$1004,T865),Firms!$A$5:$A$1004,0),""),""))</f>
        <v/>
      </c>
    </row>
    <row r="866">
      <c r="A866" s="78">
        <f>IF($T866="","",IF($S866="S",IF(INDEX(Firms!$A$5:$A$1004,$T866)="","",INDEX(Firms!$A$5:$A$1004,$T866)),IF(INDEX('AFA Rates'!$A$5:$A$1004,$T866)="","",INDEX('AFA Rates'!$A$5:$A$1004,$T866))))</f>
        <v/>
      </c>
      <c r="B866" s="79">
        <f>IF(OR($T866="",$U866=""),IF($T866="","","Not on Firms tab"),INDEX(Firms!$B$5:$B$1004,$U866)&amp;"")</f>
        <v/>
      </c>
      <c r="C866" s="78">
        <f>IF($T866="","",IF($S866="S","Standard",INDEX('AFA Rates'!$B$5:$B$1004,$T866)&amp;""))</f>
        <v/>
      </c>
      <c r="D866" s="88">
        <f>IF($T866="","",IF($S866="S",IF(INDEX(Firms!$E$5:$E$1004,$T866)="","",INDEX(Firms!$E$5:$E$1004,$T866)),IF(INDEX('AFA Rates'!$C$5:$C$1004,$T866)="","",INDEX('AFA Rates'!$C$5:$C$1004,$T866))))</f>
        <v/>
      </c>
      <c r="E866" s="88">
        <f>IF($T866="","",IF($S866="S",IF(""="","",""),IF(INDEX('AFA Rates'!$D$5:$D$1004,$T866)="","",INDEX('AFA Rates'!$D$5:$D$1004,$T866))))</f>
        <v/>
      </c>
      <c r="F866" s="79">
        <f>IF($T866="","",IF($S866="S",IF(INDEX(Firms!$O$5:$O$1004,$T866)="","",INDEX(Firms!$O$5:$O$1004,$T866)),IF(INDEX('AFA Rates'!$O$5:$O$1004,$T866)="","",INDEX('AFA Rates'!$O$5:$O$1004,$T866))))</f>
        <v/>
      </c>
      <c r="G866" s="50">
        <f>IF($T866="","",IF($S866="S",IF(INDEX(Firms!$F$5:$F$1004,$T866)="","",INDEX(Firms!$F$5:$F$1004,$T866)),IF(INDEX('AFA Rates'!$E$5:$E$1004,$T866)="","",INDEX('AFA Rates'!$E$5:$E$1004,$T866))))</f>
        <v/>
      </c>
      <c r="H866" s="50">
        <f>IF($T866="","",IF($S866="S",IF(INDEX(Firms!$G$5:$G$1004,$T866)="","",INDEX(Firms!$G$5:$G$1004,$T866)),IF(INDEX('AFA Rates'!$F$5:$F$1004,$T866)="","",INDEX('AFA Rates'!$F$5:$F$1004,$T866))))</f>
        <v/>
      </c>
      <c r="I866" s="50">
        <f>IF($T866="","",IF($S866="S",IF(INDEX(Firms!$H$5:$H$1004,$T866)="","",INDEX(Firms!$H$5:$H$1004,$T866)),IF(INDEX('AFA Rates'!$G$5:$G$1004,$T866)="","",INDEX('AFA Rates'!$G$5:$G$1004,$T866))))</f>
        <v/>
      </c>
      <c r="J866" s="50">
        <f>IF($T866="","",IF($S866="S",IF(INDEX(Firms!$I$5:$I$1004,$T866)="","",INDEX(Firms!$I$5:$I$1004,$T866)),IF(INDEX('AFA Rates'!$H$5:$H$1004,$T866)="","",INDEX('AFA Rates'!$H$5:$H$1004,$T866))))</f>
        <v/>
      </c>
      <c r="K866" s="50">
        <f>IF($T866="","",IF($S866="S",IF(INDEX(Firms!$J$5:$J$1004,$T866)="","",INDEX(Firms!$J$5:$J$1004,$T866)),IF(INDEX('AFA Rates'!$I$5:$I$1004,$T866)="","",INDEX('AFA Rates'!$I$5:$I$1004,$T866))))</f>
        <v/>
      </c>
      <c r="L866" s="50">
        <f>IF($T866="","",IF($S866="S",IF(INDEX(Firms!$K$5:$K$1004,$T866)="","",INDEX(Firms!$K$5:$K$1004,$T866)),IF(INDEX('AFA Rates'!$J$5:$J$1004,$T866)="","",INDEX('AFA Rates'!$J$5:$J$1004,$T866))))</f>
        <v/>
      </c>
      <c r="M866" s="50">
        <f>IF($T866="","",IF($S866="S",IF(INDEX(Firms!$L$5:$L$1004,$T866)="","",INDEX(Firms!$L$5:$L$1004,$T866)),IF(INDEX('AFA Rates'!$K$5:$K$1004,$T866)="","",INDEX('AFA Rates'!$K$5:$K$1004,$T866))))</f>
        <v/>
      </c>
      <c r="N866" s="50">
        <f>IF($T866="","",IF($S866="S",IF(INDEX(Firms!$M$5:$M$1004,$T866)="","",INDEX(Firms!$M$5:$M$1004,$T866)),IF(INDEX('AFA Rates'!$L$5:$L$1004,$T866)="","",INDEX('AFA Rates'!$L$5:$L$1004,$T866))))</f>
        <v/>
      </c>
      <c r="O866" s="78">
        <f>IF(OR($T866="",$U866=""),"",IF(INDEX(Firms!$C$5:$C$1004,$U866)="","",INDEX(Firms!$C$5:$C$1004,$U866)))</f>
        <v/>
      </c>
      <c r="P866" s="79">
        <f>IF(OR($T866="",$U866=""),"",IF(INDEX(Firms!$N$5:$N$1004,$U866)="","",INDEX(Firms!$N$5:$N$1004,$U866)))</f>
        <v/>
      </c>
      <c r="Q866" s="78">
        <f>IF($T866="","",IF($S866="S",IF(INDEX(Firms!$T$5:$T$1004,$T866)="","",INDEX(Firms!$T$5:$T$1004,$T866)),IF(INDEX('AFA Rates'!$M$5:$M$1004,$T866)="","",INDEX('AFA Rates'!$M$5:$M$1004,$T866))))</f>
        <v/>
      </c>
      <c r="S866">
        <f>IF(862&lt;=$S$2,"S",IF(862&lt;=$S$2+$T$2,"A",""))</f>
        <v/>
      </c>
      <c r="T866">
        <f>IF(S866="S",MATCH(862,Firms!$W$5:$W$1004,0),IF(S866="A",IFERROR(MATCH(862-$S$2,'AFA Rates'!$R$5:$R$1004,0),""),""))</f>
        <v/>
      </c>
      <c r="U866">
        <f>IF(S866="S",T866,IF(AND(S866="A",T866&lt;&gt;""),IFERROR(MATCH(INDEX('AFA Rates'!$A$5:$A$1004,T866),Firms!$A$5:$A$1004,0),""),""))</f>
        <v/>
      </c>
    </row>
    <row r="867">
      <c r="A867" s="78">
        <f>IF($T867="","",IF($S867="S",IF(INDEX(Firms!$A$5:$A$1004,$T867)="","",INDEX(Firms!$A$5:$A$1004,$T867)),IF(INDEX('AFA Rates'!$A$5:$A$1004,$T867)="","",INDEX('AFA Rates'!$A$5:$A$1004,$T867))))</f>
        <v/>
      </c>
      <c r="B867" s="79">
        <f>IF(OR($T867="",$U867=""),IF($T867="","","Not on Firms tab"),INDEX(Firms!$B$5:$B$1004,$U867)&amp;"")</f>
        <v/>
      </c>
      <c r="C867" s="78">
        <f>IF($T867="","",IF($S867="S","Standard",INDEX('AFA Rates'!$B$5:$B$1004,$T867)&amp;""))</f>
        <v/>
      </c>
      <c r="D867" s="88">
        <f>IF($T867="","",IF($S867="S",IF(INDEX(Firms!$E$5:$E$1004,$T867)="","",INDEX(Firms!$E$5:$E$1004,$T867)),IF(INDEX('AFA Rates'!$C$5:$C$1004,$T867)="","",INDEX('AFA Rates'!$C$5:$C$1004,$T867))))</f>
        <v/>
      </c>
      <c r="E867" s="88">
        <f>IF($T867="","",IF($S867="S",IF(""="","",""),IF(INDEX('AFA Rates'!$D$5:$D$1004,$T867)="","",INDEX('AFA Rates'!$D$5:$D$1004,$T867))))</f>
        <v/>
      </c>
      <c r="F867" s="79">
        <f>IF($T867="","",IF($S867="S",IF(INDEX(Firms!$O$5:$O$1004,$T867)="","",INDEX(Firms!$O$5:$O$1004,$T867)),IF(INDEX('AFA Rates'!$O$5:$O$1004,$T867)="","",INDEX('AFA Rates'!$O$5:$O$1004,$T867))))</f>
        <v/>
      </c>
      <c r="G867" s="50">
        <f>IF($T867="","",IF($S867="S",IF(INDEX(Firms!$F$5:$F$1004,$T867)="","",INDEX(Firms!$F$5:$F$1004,$T867)),IF(INDEX('AFA Rates'!$E$5:$E$1004,$T867)="","",INDEX('AFA Rates'!$E$5:$E$1004,$T867))))</f>
        <v/>
      </c>
      <c r="H867" s="50">
        <f>IF($T867="","",IF($S867="S",IF(INDEX(Firms!$G$5:$G$1004,$T867)="","",INDEX(Firms!$G$5:$G$1004,$T867)),IF(INDEX('AFA Rates'!$F$5:$F$1004,$T867)="","",INDEX('AFA Rates'!$F$5:$F$1004,$T867))))</f>
        <v/>
      </c>
      <c r="I867" s="50">
        <f>IF($T867="","",IF($S867="S",IF(INDEX(Firms!$H$5:$H$1004,$T867)="","",INDEX(Firms!$H$5:$H$1004,$T867)),IF(INDEX('AFA Rates'!$G$5:$G$1004,$T867)="","",INDEX('AFA Rates'!$G$5:$G$1004,$T867))))</f>
        <v/>
      </c>
      <c r="J867" s="50">
        <f>IF($T867="","",IF($S867="S",IF(INDEX(Firms!$I$5:$I$1004,$T867)="","",INDEX(Firms!$I$5:$I$1004,$T867)),IF(INDEX('AFA Rates'!$H$5:$H$1004,$T867)="","",INDEX('AFA Rates'!$H$5:$H$1004,$T867))))</f>
        <v/>
      </c>
      <c r="K867" s="50">
        <f>IF($T867="","",IF($S867="S",IF(INDEX(Firms!$J$5:$J$1004,$T867)="","",INDEX(Firms!$J$5:$J$1004,$T867)),IF(INDEX('AFA Rates'!$I$5:$I$1004,$T867)="","",INDEX('AFA Rates'!$I$5:$I$1004,$T867))))</f>
        <v/>
      </c>
      <c r="L867" s="50">
        <f>IF($T867="","",IF($S867="S",IF(INDEX(Firms!$K$5:$K$1004,$T867)="","",INDEX(Firms!$K$5:$K$1004,$T867)),IF(INDEX('AFA Rates'!$J$5:$J$1004,$T867)="","",INDEX('AFA Rates'!$J$5:$J$1004,$T867))))</f>
        <v/>
      </c>
      <c r="M867" s="50">
        <f>IF($T867="","",IF($S867="S",IF(INDEX(Firms!$L$5:$L$1004,$T867)="","",INDEX(Firms!$L$5:$L$1004,$T867)),IF(INDEX('AFA Rates'!$K$5:$K$1004,$T867)="","",INDEX('AFA Rates'!$K$5:$K$1004,$T867))))</f>
        <v/>
      </c>
      <c r="N867" s="50">
        <f>IF($T867="","",IF($S867="S",IF(INDEX(Firms!$M$5:$M$1004,$T867)="","",INDEX(Firms!$M$5:$M$1004,$T867)),IF(INDEX('AFA Rates'!$L$5:$L$1004,$T867)="","",INDEX('AFA Rates'!$L$5:$L$1004,$T867))))</f>
        <v/>
      </c>
      <c r="O867" s="78">
        <f>IF(OR($T867="",$U867=""),"",IF(INDEX(Firms!$C$5:$C$1004,$U867)="","",INDEX(Firms!$C$5:$C$1004,$U867)))</f>
        <v/>
      </c>
      <c r="P867" s="79">
        <f>IF(OR($T867="",$U867=""),"",IF(INDEX(Firms!$N$5:$N$1004,$U867)="","",INDEX(Firms!$N$5:$N$1004,$U867)))</f>
        <v/>
      </c>
      <c r="Q867" s="78">
        <f>IF($T867="","",IF($S867="S",IF(INDEX(Firms!$T$5:$T$1004,$T867)="","",INDEX(Firms!$T$5:$T$1004,$T867)),IF(INDEX('AFA Rates'!$M$5:$M$1004,$T867)="","",INDEX('AFA Rates'!$M$5:$M$1004,$T867))))</f>
        <v/>
      </c>
      <c r="S867">
        <f>IF(863&lt;=$S$2,"S",IF(863&lt;=$S$2+$T$2,"A",""))</f>
        <v/>
      </c>
      <c r="T867">
        <f>IF(S867="S",MATCH(863,Firms!$W$5:$W$1004,0),IF(S867="A",IFERROR(MATCH(863-$S$2,'AFA Rates'!$R$5:$R$1004,0),""),""))</f>
        <v/>
      </c>
      <c r="U867">
        <f>IF(S867="S",T867,IF(AND(S867="A",T867&lt;&gt;""),IFERROR(MATCH(INDEX('AFA Rates'!$A$5:$A$1004,T867),Firms!$A$5:$A$1004,0),""),""))</f>
        <v/>
      </c>
    </row>
    <row r="868">
      <c r="A868" s="78">
        <f>IF($T868="","",IF($S868="S",IF(INDEX(Firms!$A$5:$A$1004,$T868)="","",INDEX(Firms!$A$5:$A$1004,$T868)),IF(INDEX('AFA Rates'!$A$5:$A$1004,$T868)="","",INDEX('AFA Rates'!$A$5:$A$1004,$T868))))</f>
        <v/>
      </c>
      <c r="B868" s="79">
        <f>IF(OR($T868="",$U868=""),IF($T868="","","Not on Firms tab"),INDEX(Firms!$B$5:$B$1004,$U868)&amp;"")</f>
        <v/>
      </c>
      <c r="C868" s="78">
        <f>IF($T868="","",IF($S868="S","Standard",INDEX('AFA Rates'!$B$5:$B$1004,$T868)&amp;""))</f>
        <v/>
      </c>
      <c r="D868" s="88">
        <f>IF($T868="","",IF($S868="S",IF(INDEX(Firms!$E$5:$E$1004,$T868)="","",INDEX(Firms!$E$5:$E$1004,$T868)),IF(INDEX('AFA Rates'!$C$5:$C$1004,$T868)="","",INDEX('AFA Rates'!$C$5:$C$1004,$T868))))</f>
        <v/>
      </c>
      <c r="E868" s="88">
        <f>IF($T868="","",IF($S868="S",IF(""="","",""),IF(INDEX('AFA Rates'!$D$5:$D$1004,$T868)="","",INDEX('AFA Rates'!$D$5:$D$1004,$T868))))</f>
        <v/>
      </c>
      <c r="F868" s="79">
        <f>IF($T868="","",IF($S868="S",IF(INDEX(Firms!$O$5:$O$1004,$T868)="","",INDEX(Firms!$O$5:$O$1004,$T868)),IF(INDEX('AFA Rates'!$O$5:$O$1004,$T868)="","",INDEX('AFA Rates'!$O$5:$O$1004,$T868))))</f>
        <v/>
      </c>
      <c r="G868" s="50">
        <f>IF($T868="","",IF($S868="S",IF(INDEX(Firms!$F$5:$F$1004,$T868)="","",INDEX(Firms!$F$5:$F$1004,$T868)),IF(INDEX('AFA Rates'!$E$5:$E$1004,$T868)="","",INDEX('AFA Rates'!$E$5:$E$1004,$T868))))</f>
        <v/>
      </c>
      <c r="H868" s="50">
        <f>IF($T868="","",IF($S868="S",IF(INDEX(Firms!$G$5:$G$1004,$T868)="","",INDEX(Firms!$G$5:$G$1004,$T868)),IF(INDEX('AFA Rates'!$F$5:$F$1004,$T868)="","",INDEX('AFA Rates'!$F$5:$F$1004,$T868))))</f>
        <v/>
      </c>
      <c r="I868" s="50">
        <f>IF($T868="","",IF($S868="S",IF(INDEX(Firms!$H$5:$H$1004,$T868)="","",INDEX(Firms!$H$5:$H$1004,$T868)),IF(INDEX('AFA Rates'!$G$5:$G$1004,$T868)="","",INDEX('AFA Rates'!$G$5:$G$1004,$T868))))</f>
        <v/>
      </c>
      <c r="J868" s="50">
        <f>IF($T868="","",IF($S868="S",IF(INDEX(Firms!$I$5:$I$1004,$T868)="","",INDEX(Firms!$I$5:$I$1004,$T868)),IF(INDEX('AFA Rates'!$H$5:$H$1004,$T868)="","",INDEX('AFA Rates'!$H$5:$H$1004,$T868))))</f>
        <v/>
      </c>
      <c r="K868" s="50">
        <f>IF($T868="","",IF($S868="S",IF(INDEX(Firms!$J$5:$J$1004,$T868)="","",INDEX(Firms!$J$5:$J$1004,$T868)),IF(INDEX('AFA Rates'!$I$5:$I$1004,$T868)="","",INDEX('AFA Rates'!$I$5:$I$1004,$T868))))</f>
        <v/>
      </c>
      <c r="L868" s="50">
        <f>IF($T868="","",IF($S868="S",IF(INDEX(Firms!$K$5:$K$1004,$T868)="","",INDEX(Firms!$K$5:$K$1004,$T868)),IF(INDEX('AFA Rates'!$J$5:$J$1004,$T868)="","",INDEX('AFA Rates'!$J$5:$J$1004,$T868))))</f>
        <v/>
      </c>
      <c r="M868" s="50">
        <f>IF($T868="","",IF($S868="S",IF(INDEX(Firms!$L$5:$L$1004,$T868)="","",INDEX(Firms!$L$5:$L$1004,$T868)),IF(INDEX('AFA Rates'!$K$5:$K$1004,$T868)="","",INDEX('AFA Rates'!$K$5:$K$1004,$T868))))</f>
        <v/>
      </c>
      <c r="N868" s="50">
        <f>IF($T868="","",IF($S868="S",IF(INDEX(Firms!$M$5:$M$1004,$T868)="","",INDEX(Firms!$M$5:$M$1004,$T868)),IF(INDEX('AFA Rates'!$L$5:$L$1004,$T868)="","",INDEX('AFA Rates'!$L$5:$L$1004,$T868))))</f>
        <v/>
      </c>
      <c r="O868" s="78">
        <f>IF(OR($T868="",$U868=""),"",IF(INDEX(Firms!$C$5:$C$1004,$U868)="","",INDEX(Firms!$C$5:$C$1004,$U868)))</f>
        <v/>
      </c>
      <c r="P868" s="79">
        <f>IF(OR($T868="",$U868=""),"",IF(INDEX(Firms!$N$5:$N$1004,$U868)="","",INDEX(Firms!$N$5:$N$1004,$U868)))</f>
        <v/>
      </c>
      <c r="Q868" s="78">
        <f>IF($T868="","",IF($S868="S",IF(INDEX(Firms!$T$5:$T$1004,$T868)="","",INDEX(Firms!$T$5:$T$1004,$T868)),IF(INDEX('AFA Rates'!$M$5:$M$1004,$T868)="","",INDEX('AFA Rates'!$M$5:$M$1004,$T868))))</f>
        <v/>
      </c>
      <c r="S868">
        <f>IF(864&lt;=$S$2,"S",IF(864&lt;=$S$2+$T$2,"A",""))</f>
        <v/>
      </c>
      <c r="T868">
        <f>IF(S868="S",MATCH(864,Firms!$W$5:$W$1004,0),IF(S868="A",IFERROR(MATCH(864-$S$2,'AFA Rates'!$R$5:$R$1004,0),""),""))</f>
        <v/>
      </c>
      <c r="U868">
        <f>IF(S868="S",T868,IF(AND(S868="A",T868&lt;&gt;""),IFERROR(MATCH(INDEX('AFA Rates'!$A$5:$A$1004,T868),Firms!$A$5:$A$1004,0),""),""))</f>
        <v/>
      </c>
    </row>
    <row r="869">
      <c r="A869" s="78">
        <f>IF($T869="","",IF($S869="S",IF(INDEX(Firms!$A$5:$A$1004,$T869)="","",INDEX(Firms!$A$5:$A$1004,$T869)),IF(INDEX('AFA Rates'!$A$5:$A$1004,$T869)="","",INDEX('AFA Rates'!$A$5:$A$1004,$T869))))</f>
        <v/>
      </c>
      <c r="B869" s="79">
        <f>IF(OR($T869="",$U869=""),IF($T869="","","Not on Firms tab"),INDEX(Firms!$B$5:$B$1004,$U869)&amp;"")</f>
        <v/>
      </c>
      <c r="C869" s="78">
        <f>IF($T869="","",IF($S869="S","Standard",INDEX('AFA Rates'!$B$5:$B$1004,$T869)&amp;""))</f>
        <v/>
      </c>
      <c r="D869" s="88">
        <f>IF($T869="","",IF($S869="S",IF(INDEX(Firms!$E$5:$E$1004,$T869)="","",INDEX(Firms!$E$5:$E$1004,$T869)),IF(INDEX('AFA Rates'!$C$5:$C$1004,$T869)="","",INDEX('AFA Rates'!$C$5:$C$1004,$T869))))</f>
        <v/>
      </c>
      <c r="E869" s="88">
        <f>IF($T869="","",IF($S869="S",IF(""="","",""),IF(INDEX('AFA Rates'!$D$5:$D$1004,$T869)="","",INDEX('AFA Rates'!$D$5:$D$1004,$T869))))</f>
        <v/>
      </c>
      <c r="F869" s="79">
        <f>IF($T869="","",IF($S869="S",IF(INDEX(Firms!$O$5:$O$1004,$T869)="","",INDEX(Firms!$O$5:$O$1004,$T869)),IF(INDEX('AFA Rates'!$O$5:$O$1004,$T869)="","",INDEX('AFA Rates'!$O$5:$O$1004,$T869))))</f>
        <v/>
      </c>
      <c r="G869" s="50">
        <f>IF($T869="","",IF($S869="S",IF(INDEX(Firms!$F$5:$F$1004,$T869)="","",INDEX(Firms!$F$5:$F$1004,$T869)),IF(INDEX('AFA Rates'!$E$5:$E$1004,$T869)="","",INDEX('AFA Rates'!$E$5:$E$1004,$T869))))</f>
        <v/>
      </c>
      <c r="H869" s="50">
        <f>IF($T869="","",IF($S869="S",IF(INDEX(Firms!$G$5:$G$1004,$T869)="","",INDEX(Firms!$G$5:$G$1004,$T869)),IF(INDEX('AFA Rates'!$F$5:$F$1004,$T869)="","",INDEX('AFA Rates'!$F$5:$F$1004,$T869))))</f>
        <v/>
      </c>
      <c r="I869" s="50">
        <f>IF($T869="","",IF($S869="S",IF(INDEX(Firms!$H$5:$H$1004,$T869)="","",INDEX(Firms!$H$5:$H$1004,$T869)),IF(INDEX('AFA Rates'!$G$5:$G$1004,$T869)="","",INDEX('AFA Rates'!$G$5:$G$1004,$T869))))</f>
        <v/>
      </c>
      <c r="J869" s="50">
        <f>IF($T869="","",IF($S869="S",IF(INDEX(Firms!$I$5:$I$1004,$T869)="","",INDEX(Firms!$I$5:$I$1004,$T869)),IF(INDEX('AFA Rates'!$H$5:$H$1004,$T869)="","",INDEX('AFA Rates'!$H$5:$H$1004,$T869))))</f>
        <v/>
      </c>
      <c r="K869" s="50">
        <f>IF($T869="","",IF($S869="S",IF(INDEX(Firms!$J$5:$J$1004,$T869)="","",INDEX(Firms!$J$5:$J$1004,$T869)),IF(INDEX('AFA Rates'!$I$5:$I$1004,$T869)="","",INDEX('AFA Rates'!$I$5:$I$1004,$T869))))</f>
        <v/>
      </c>
      <c r="L869" s="50">
        <f>IF($T869="","",IF($S869="S",IF(INDEX(Firms!$K$5:$K$1004,$T869)="","",INDEX(Firms!$K$5:$K$1004,$T869)),IF(INDEX('AFA Rates'!$J$5:$J$1004,$T869)="","",INDEX('AFA Rates'!$J$5:$J$1004,$T869))))</f>
        <v/>
      </c>
      <c r="M869" s="50">
        <f>IF($T869="","",IF($S869="S",IF(INDEX(Firms!$L$5:$L$1004,$T869)="","",INDEX(Firms!$L$5:$L$1004,$T869)),IF(INDEX('AFA Rates'!$K$5:$K$1004,$T869)="","",INDEX('AFA Rates'!$K$5:$K$1004,$T869))))</f>
        <v/>
      </c>
      <c r="N869" s="50">
        <f>IF($T869="","",IF($S869="S",IF(INDEX(Firms!$M$5:$M$1004,$T869)="","",INDEX(Firms!$M$5:$M$1004,$T869)),IF(INDEX('AFA Rates'!$L$5:$L$1004,$T869)="","",INDEX('AFA Rates'!$L$5:$L$1004,$T869))))</f>
        <v/>
      </c>
      <c r="O869" s="78">
        <f>IF(OR($T869="",$U869=""),"",IF(INDEX(Firms!$C$5:$C$1004,$U869)="","",INDEX(Firms!$C$5:$C$1004,$U869)))</f>
        <v/>
      </c>
      <c r="P869" s="79">
        <f>IF(OR($T869="",$U869=""),"",IF(INDEX(Firms!$N$5:$N$1004,$U869)="","",INDEX(Firms!$N$5:$N$1004,$U869)))</f>
        <v/>
      </c>
      <c r="Q869" s="78">
        <f>IF($T869="","",IF($S869="S",IF(INDEX(Firms!$T$5:$T$1004,$T869)="","",INDEX(Firms!$T$5:$T$1004,$T869)),IF(INDEX('AFA Rates'!$M$5:$M$1004,$T869)="","",INDEX('AFA Rates'!$M$5:$M$1004,$T869))))</f>
        <v/>
      </c>
      <c r="S869">
        <f>IF(865&lt;=$S$2,"S",IF(865&lt;=$S$2+$T$2,"A",""))</f>
        <v/>
      </c>
      <c r="T869">
        <f>IF(S869="S",MATCH(865,Firms!$W$5:$W$1004,0),IF(S869="A",IFERROR(MATCH(865-$S$2,'AFA Rates'!$R$5:$R$1004,0),""),""))</f>
        <v/>
      </c>
      <c r="U869">
        <f>IF(S869="S",T869,IF(AND(S869="A",T869&lt;&gt;""),IFERROR(MATCH(INDEX('AFA Rates'!$A$5:$A$1004,T869),Firms!$A$5:$A$1004,0),""),""))</f>
        <v/>
      </c>
    </row>
    <row r="870">
      <c r="A870" s="78">
        <f>IF($T870="","",IF($S870="S",IF(INDEX(Firms!$A$5:$A$1004,$T870)="","",INDEX(Firms!$A$5:$A$1004,$T870)),IF(INDEX('AFA Rates'!$A$5:$A$1004,$T870)="","",INDEX('AFA Rates'!$A$5:$A$1004,$T870))))</f>
        <v/>
      </c>
      <c r="B870" s="79">
        <f>IF(OR($T870="",$U870=""),IF($T870="","","Not on Firms tab"),INDEX(Firms!$B$5:$B$1004,$U870)&amp;"")</f>
        <v/>
      </c>
      <c r="C870" s="78">
        <f>IF($T870="","",IF($S870="S","Standard",INDEX('AFA Rates'!$B$5:$B$1004,$T870)&amp;""))</f>
        <v/>
      </c>
      <c r="D870" s="88">
        <f>IF($T870="","",IF($S870="S",IF(INDEX(Firms!$E$5:$E$1004,$T870)="","",INDEX(Firms!$E$5:$E$1004,$T870)),IF(INDEX('AFA Rates'!$C$5:$C$1004,$T870)="","",INDEX('AFA Rates'!$C$5:$C$1004,$T870))))</f>
        <v/>
      </c>
      <c r="E870" s="88">
        <f>IF($T870="","",IF($S870="S",IF(""="","",""),IF(INDEX('AFA Rates'!$D$5:$D$1004,$T870)="","",INDEX('AFA Rates'!$D$5:$D$1004,$T870))))</f>
        <v/>
      </c>
      <c r="F870" s="79">
        <f>IF($T870="","",IF($S870="S",IF(INDEX(Firms!$O$5:$O$1004,$T870)="","",INDEX(Firms!$O$5:$O$1004,$T870)),IF(INDEX('AFA Rates'!$O$5:$O$1004,$T870)="","",INDEX('AFA Rates'!$O$5:$O$1004,$T870))))</f>
        <v/>
      </c>
      <c r="G870" s="50">
        <f>IF($T870="","",IF($S870="S",IF(INDEX(Firms!$F$5:$F$1004,$T870)="","",INDEX(Firms!$F$5:$F$1004,$T870)),IF(INDEX('AFA Rates'!$E$5:$E$1004,$T870)="","",INDEX('AFA Rates'!$E$5:$E$1004,$T870))))</f>
        <v/>
      </c>
      <c r="H870" s="50">
        <f>IF($T870="","",IF($S870="S",IF(INDEX(Firms!$G$5:$G$1004,$T870)="","",INDEX(Firms!$G$5:$G$1004,$T870)),IF(INDEX('AFA Rates'!$F$5:$F$1004,$T870)="","",INDEX('AFA Rates'!$F$5:$F$1004,$T870))))</f>
        <v/>
      </c>
      <c r="I870" s="50">
        <f>IF($T870="","",IF($S870="S",IF(INDEX(Firms!$H$5:$H$1004,$T870)="","",INDEX(Firms!$H$5:$H$1004,$T870)),IF(INDEX('AFA Rates'!$G$5:$G$1004,$T870)="","",INDEX('AFA Rates'!$G$5:$G$1004,$T870))))</f>
        <v/>
      </c>
      <c r="J870" s="50">
        <f>IF($T870="","",IF($S870="S",IF(INDEX(Firms!$I$5:$I$1004,$T870)="","",INDEX(Firms!$I$5:$I$1004,$T870)),IF(INDEX('AFA Rates'!$H$5:$H$1004,$T870)="","",INDEX('AFA Rates'!$H$5:$H$1004,$T870))))</f>
        <v/>
      </c>
      <c r="K870" s="50">
        <f>IF($T870="","",IF($S870="S",IF(INDEX(Firms!$J$5:$J$1004,$T870)="","",INDEX(Firms!$J$5:$J$1004,$T870)),IF(INDEX('AFA Rates'!$I$5:$I$1004,$T870)="","",INDEX('AFA Rates'!$I$5:$I$1004,$T870))))</f>
        <v/>
      </c>
      <c r="L870" s="50">
        <f>IF($T870="","",IF($S870="S",IF(INDEX(Firms!$K$5:$K$1004,$T870)="","",INDEX(Firms!$K$5:$K$1004,$T870)),IF(INDEX('AFA Rates'!$J$5:$J$1004,$T870)="","",INDEX('AFA Rates'!$J$5:$J$1004,$T870))))</f>
        <v/>
      </c>
      <c r="M870" s="50">
        <f>IF($T870="","",IF($S870="S",IF(INDEX(Firms!$L$5:$L$1004,$T870)="","",INDEX(Firms!$L$5:$L$1004,$T870)),IF(INDEX('AFA Rates'!$K$5:$K$1004,$T870)="","",INDEX('AFA Rates'!$K$5:$K$1004,$T870))))</f>
        <v/>
      </c>
      <c r="N870" s="50">
        <f>IF($T870="","",IF($S870="S",IF(INDEX(Firms!$M$5:$M$1004,$T870)="","",INDEX(Firms!$M$5:$M$1004,$T870)),IF(INDEX('AFA Rates'!$L$5:$L$1004,$T870)="","",INDEX('AFA Rates'!$L$5:$L$1004,$T870))))</f>
        <v/>
      </c>
      <c r="O870" s="78">
        <f>IF(OR($T870="",$U870=""),"",IF(INDEX(Firms!$C$5:$C$1004,$U870)="","",INDEX(Firms!$C$5:$C$1004,$U870)))</f>
        <v/>
      </c>
      <c r="P870" s="79">
        <f>IF(OR($T870="",$U870=""),"",IF(INDEX(Firms!$N$5:$N$1004,$U870)="","",INDEX(Firms!$N$5:$N$1004,$U870)))</f>
        <v/>
      </c>
      <c r="Q870" s="78">
        <f>IF($T870="","",IF($S870="S",IF(INDEX(Firms!$T$5:$T$1004,$T870)="","",INDEX(Firms!$T$5:$T$1004,$T870)),IF(INDEX('AFA Rates'!$M$5:$M$1004,$T870)="","",INDEX('AFA Rates'!$M$5:$M$1004,$T870))))</f>
        <v/>
      </c>
      <c r="S870">
        <f>IF(866&lt;=$S$2,"S",IF(866&lt;=$S$2+$T$2,"A",""))</f>
        <v/>
      </c>
      <c r="T870">
        <f>IF(S870="S",MATCH(866,Firms!$W$5:$W$1004,0),IF(S870="A",IFERROR(MATCH(866-$S$2,'AFA Rates'!$R$5:$R$1004,0),""),""))</f>
        <v/>
      </c>
      <c r="U870">
        <f>IF(S870="S",T870,IF(AND(S870="A",T870&lt;&gt;""),IFERROR(MATCH(INDEX('AFA Rates'!$A$5:$A$1004,T870),Firms!$A$5:$A$1004,0),""),""))</f>
        <v/>
      </c>
    </row>
    <row r="871">
      <c r="A871" s="78">
        <f>IF($T871="","",IF($S871="S",IF(INDEX(Firms!$A$5:$A$1004,$T871)="","",INDEX(Firms!$A$5:$A$1004,$T871)),IF(INDEX('AFA Rates'!$A$5:$A$1004,$T871)="","",INDEX('AFA Rates'!$A$5:$A$1004,$T871))))</f>
        <v/>
      </c>
      <c r="B871" s="79">
        <f>IF(OR($T871="",$U871=""),IF($T871="","","Not on Firms tab"),INDEX(Firms!$B$5:$B$1004,$U871)&amp;"")</f>
        <v/>
      </c>
      <c r="C871" s="78">
        <f>IF($T871="","",IF($S871="S","Standard",INDEX('AFA Rates'!$B$5:$B$1004,$T871)&amp;""))</f>
        <v/>
      </c>
      <c r="D871" s="88">
        <f>IF($T871="","",IF($S871="S",IF(INDEX(Firms!$E$5:$E$1004,$T871)="","",INDEX(Firms!$E$5:$E$1004,$T871)),IF(INDEX('AFA Rates'!$C$5:$C$1004,$T871)="","",INDEX('AFA Rates'!$C$5:$C$1004,$T871))))</f>
        <v/>
      </c>
      <c r="E871" s="88">
        <f>IF($T871="","",IF($S871="S",IF(""="","",""),IF(INDEX('AFA Rates'!$D$5:$D$1004,$T871)="","",INDEX('AFA Rates'!$D$5:$D$1004,$T871))))</f>
        <v/>
      </c>
      <c r="F871" s="79">
        <f>IF($T871="","",IF($S871="S",IF(INDEX(Firms!$O$5:$O$1004,$T871)="","",INDEX(Firms!$O$5:$O$1004,$T871)),IF(INDEX('AFA Rates'!$O$5:$O$1004,$T871)="","",INDEX('AFA Rates'!$O$5:$O$1004,$T871))))</f>
        <v/>
      </c>
      <c r="G871" s="50">
        <f>IF($T871="","",IF($S871="S",IF(INDEX(Firms!$F$5:$F$1004,$T871)="","",INDEX(Firms!$F$5:$F$1004,$T871)),IF(INDEX('AFA Rates'!$E$5:$E$1004,$T871)="","",INDEX('AFA Rates'!$E$5:$E$1004,$T871))))</f>
        <v/>
      </c>
      <c r="H871" s="50">
        <f>IF($T871="","",IF($S871="S",IF(INDEX(Firms!$G$5:$G$1004,$T871)="","",INDEX(Firms!$G$5:$G$1004,$T871)),IF(INDEX('AFA Rates'!$F$5:$F$1004,$T871)="","",INDEX('AFA Rates'!$F$5:$F$1004,$T871))))</f>
        <v/>
      </c>
      <c r="I871" s="50">
        <f>IF($T871="","",IF($S871="S",IF(INDEX(Firms!$H$5:$H$1004,$T871)="","",INDEX(Firms!$H$5:$H$1004,$T871)),IF(INDEX('AFA Rates'!$G$5:$G$1004,$T871)="","",INDEX('AFA Rates'!$G$5:$G$1004,$T871))))</f>
        <v/>
      </c>
      <c r="J871" s="50">
        <f>IF($T871="","",IF($S871="S",IF(INDEX(Firms!$I$5:$I$1004,$T871)="","",INDEX(Firms!$I$5:$I$1004,$T871)),IF(INDEX('AFA Rates'!$H$5:$H$1004,$T871)="","",INDEX('AFA Rates'!$H$5:$H$1004,$T871))))</f>
        <v/>
      </c>
      <c r="K871" s="50">
        <f>IF($T871="","",IF($S871="S",IF(INDEX(Firms!$J$5:$J$1004,$T871)="","",INDEX(Firms!$J$5:$J$1004,$T871)),IF(INDEX('AFA Rates'!$I$5:$I$1004,$T871)="","",INDEX('AFA Rates'!$I$5:$I$1004,$T871))))</f>
        <v/>
      </c>
      <c r="L871" s="50">
        <f>IF($T871="","",IF($S871="S",IF(INDEX(Firms!$K$5:$K$1004,$T871)="","",INDEX(Firms!$K$5:$K$1004,$T871)),IF(INDEX('AFA Rates'!$J$5:$J$1004,$T871)="","",INDEX('AFA Rates'!$J$5:$J$1004,$T871))))</f>
        <v/>
      </c>
      <c r="M871" s="50">
        <f>IF($T871="","",IF($S871="S",IF(INDEX(Firms!$L$5:$L$1004,$T871)="","",INDEX(Firms!$L$5:$L$1004,$T871)),IF(INDEX('AFA Rates'!$K$5:$K$1004,$T871)="","",INDEX('AFA Rates'!$K$5:$K$1004,$T871))))</f>
        <v/>
      </c>
      <c r="N871" s="50">
        <f>IF($T871="","",IF($S871="S",IF(INDEX(Firms!$M$5:$M$1004,$T871)="","",INDEX(Firms!$M$5:$M$1004,$T871)),IF(INDEX('AFA Rates'!$L$5:$L$1004,$T871)="","",INDEX('AFA Rates'!$L$5:$L$1004,$T871))))</f>
        <v/>
      </c>
      <c r="O871" s="78">
        <f>IF(OR($T871="",$U871=""),"",IF(INDEX(Firms!$C$5:$C$1004,$U871)="","",INDEX(Firms!$C$5:$C$1004,$U871)))</f>
        <v/>
      </c>
      <c r="P871" s="79">
        <f>IF(OR($T871="",$U871=""),"",IF(INDEX(Firms!$N$5:$N$1004,$U871)="","",INDEX(Firms!$N$5:$N$1004,$U871)))</f>
        <v/>
      </c>
      <c r="Q871" s="78">
        <f>IF($T871="","",IF($S871="S",IF(INDEX(Firms!$T$5:$T$1004,$T871)="","",INDEX(Firms!$T$5:$T$1004,$T871)),IF(INDEX('AFA Rates'!$M$5:$M$1004,$T871)="","",INDEX('AFA Rates'!$M$5:$M$1004,$T871))))</f>
        <v/>
      </c>
      <c r="S871">
        <f>IF(867&lt;=$S$2,"S",IF(867&lt;=$S$2+$T$2,"A",""))</f>
        <v/>
      </c>
      <c r="T871">
        <f>IF(S871="S",MATCH(867,Firms!$W$5:$W$1004,0),IF(S871="A",IFERROR(MATCH(867-$S$2,'AFA Rates'!$R$5:$R$1004,0),""),""))</f>
        <v/>
      </c>
      <c r="U871">
        <f>IF(S871="S",T871,IF(AND(S871="A",T871&lt;&gt;""),IFERROR(MATCH(INDEX('AFA Rates'!$A$5:$A$1004,T871),Firms!$A$5:$A$1004,0),""),""))</f>
        <v/>
      </c>
    </row>
    <row r="872">
      <c r="A872" s="78">
        <f>IF($T872="","",IF($S872="S",IF(INDEX(Firms!$A$5:$A$1004,$T872)="","",INDEX(Firms!$A$5:$A$1004,$T872)),IF(INDEX('AFA Rates'!$A$5:$A$1004,$T872)="","",INDEX('AFA Rates'!$A$5:$A$1004,$T872))))</f>
        <v/>
      </c>
      <c r="B872" s="79">
        <f>IF(OR($T872="",$U872=""),IF($T872="","","Not on Firms tab"),INDEX(Firms!$B$5:$B$1004,$U872)&amp;"")</f>
        <v/>
      </c>
      <c r="C872" s="78">
        <f>IF($T872="","",IF($S872="S","Standard",INDEX('AFA Rates'!$B$5:$B$1004,$T872)&amp;""))</f>
        <v/>
      </c>
      <c r="D872" s="88">
        <f>IF($T872="","",IF($S872="S",IF(INDEX(Firms!$E$5:$E$1004,$T872)="","",INDEX(Firms!$E$5:$E$1004,$T872)),IF(INDEX('AFA Rates'!$C$5:$C$1004,$T872)="","",INDEX('AFA Rates'!$C$5:$C$1004,$T872))))</f>
        <v/>
      </c>
      <c r="E872" s="88">
        <f>IF($T872="","",IF($S872="S",IF(""="","",""),IF(INDEX('AFA Rates'!$D$5:$D$1004,$T872)="","",INDEX('AFA Rates'!$D$5:$D$1004,$T872))))</f>
        <v/>
      </c>
      <c r="F872" s="79">
        <f>IF($T872="","",IF($S872="S",IF(INDEX(Firms!$O$5:$O$1004,$T872)="","",INDEX(Firms!$O$5:$O$1004,$T872)),IF(INDEX('AFA Rates'!$O$5:$O$1004,$T872)="","",INDEX('AFA Rates'!$O$5:$O$1004,$T872))))</f>
        <v/>
      </c>
      <c r="G872" s="50">
        <f>IF($T872="","",IF($S872="S",IF(INDEX(Firms!$F$5:$F$1004,$T872)="","",INDEX(Firms!$F$5:$F$1004,$T872)),IF(INDEX('AFA Rates'!$E$5:$E$1004,$T872)="","",INDEX('AFA Rates'!$E$5:$E$1004,$T872))))</f>
        <v/>
      </c>
      <c r="H872" s="50">
        <f>IF($T872="","",IF($S872="S",IF(INDEX(Firms!$G$5:$G$1004,$T872)="","",INDEX(Firms!$G$5:$G$1004,$T872)),IF(INDEX('AFA Rates'!$F$5:$F$1004,$T872)="","",INDEX('AFA Rates'!$F$5:$F$1004,$T872))))</f>
        <v/>
      </c>
      <c r="I872" s="50">
        <f>IF($T872="","",IF($S872="S",IF(INDEX(Firms!$H$5:$H$1004,$T872)="","",INDEX(Firms!$H$5:$H$1004,$T872)),IF(INDEX('AFA Rates'!$G$5:$G$1004,$T872)="","",INDEX('AFA Rates'!$G$5:$G$1004,$T872))))</f>
        <v/>
      </c>
      <c r="J872" s="50">
        <f>IF($T872="","",IF($S872="S",IF(INDEX(Firms!$I$5:$I$1004,$T872)="","",INDEX(Firms!$I$5:$I$1004,$T872)),IF(INDEX('AFA Rates'!$H$5:$H$1004,$T872)="","",INDEX('AFA Rates'!$H$5:$H$1004,$T872))))</f>
        <v/>
      </c>
      <c r="K872" s="50">
        <f>IF($T872="","",IF($S872="S",IF(INDEX(Firms!$J$5:$J$1004,$T872)="","",INDEX(Firms!$J$5:$J$1004,$T872)),IF(INDEX('AFA Rates'!$I$5:$I$1004,$T872)="","",INDEX('AFA Rates'!$I$5:$I$1004,$T872))))</f>
        <v/>
      </c>
      <c r="L872" s="50">
        <f>IF($T872="","",IF($S872="S",IF(INDEX(Firms!$K$5:$K$1004,$T872)="","",INDEX(Firms!$K$5:$K$1004,$T872)),IF(INDEX('AFA Rates'!$J$5:$J$1004,$T872)="","",INDEX('AFA Rates'!$J$5:$J$1004,$T872))))</f>
        <v/>
      </c>
      <c r="M872" s="50">
        <f>IF($T872="","",IF($S872="S",IF(INDEX(Firms!$L$5:$L$1004,$T872)="","",INDEX(Firms!$L$5:$L$1004,$T872)),IF(INDEX('AFA Rates'!$K$5:$K$1004,$T872)="","",INDEX('AFA Rates'!$K$5:$K$1004,$T872))))</f>
        <v/>
      </c>
      <c r="N872" s="50">
        <f>IF($T872="","",IF($S872="S",IF(INDEX(Firms!$M$5:$M$1004,$T872)="","",INDEX(Firms!$M$5:$M$1004,$T872)),IF(INDEX('AFA Rates'!$L$5:$L$1004,$T872)="","",INDEX('AFA Rates'!$L$5:$L$1004,$T872))))</f>
        <v/>
      </c>
      <c r="O872" s="78">
        <f>IF(OR($T872="",$U872=""),"",IF(INDEX(Firms!$C$5:$C$1004,$U872)="","",INDEX(Firms!$C$5:$C$1004,$U872)))</f>
        <v/>
      </c>
      <c r="P872" s="79">
        <f>IF(OR($T872="",$U872=""),"",IF(INDEX(Firms!$N$5:$N$1004,$U872)="","",INDEX(Firms!$N$5:$N$1004,$U872)))</f>
        <v/>
      </c>
      <c r="Q872" s="78">
        <f>IF($T872="","",IF($S872="S",IF(INDEX(Firms!$T$5:$T$1004,$T872)="","",INDEX(Firms!$T$5:$T$1004,$T872)),IF(INDEX('AFA Rates'!$M$5:$M$1004,$T872)="","",INDEX('AFA Rates'!$M$5:$M$1004,$T872))))</f>
        <v/>
      </c>
      <c r="S872">
        <f>IF(868&lt;=$S$2,"S",IF(868&lt;=$S$2+$T$2,"A",""))</f>
        <v/>
      </c>
      <c r="T872">
        <f>IF(S872="S",MATCH(868,Firms!$W$5:$W$1004,0),IF(S872="A",IFERROR(MATCH(868-$S$2,'AFA Rates'!$R$5:$R$1004,0),""),""))</f>
        <v/>
      </c>
      <c r="U872">
        <f>IF(S872="S",T872,IF(AND(S872="A",T872&lt;&gt;""),IFERROR(MATCH(INDEX('AFA Rates'!$A$5:$A$1004,T872),Firms!$A$5:$A$1004,0),""),""))</f>
        <v/>
      </c>
    </row>
    <row r="873">
      <c r="A873" s="78">
        <f>IF($T873="","",IF($S873="S",IF(INDEX(Firms!$A$5:$A$1004,$T873)="","",INDEX(Firms!$A$5:$A$1004,$T873)),IF(INDEX('AFA Rates'!$A$5:$A$1004,$T873)="","",INDEX('AFA Rates'!$A$5:$A$1004,$T873))))</f>
        <v/>
      </c>
      <c r="B873" s="79">
        <f>IF(OR($T873="",$U873=""),IF($T873="","","Not on Firms tab"),INDEX(Firms!$B$5:$B$1004,$U873)&amp;"")</f>
        <v/>
      </c>
      <c r="C873" s="78">
        <f>IF($T873="","",IF($S873="S","Standard",INDEX('AFA Rates'!$B$5:$B$1004,$T873)&amp;""))</f>
        <v/>
      </c>
      <c r="D873" s="88">
        <f>IF($T873="","",IF($S873="S",IF(INDEX(Firms!$E$5:$E$1004,$T873)="","",INDEX(Firms!$E$5:$E$1004,$T873)),IF(INDEX('AFA Rates'!$C$5:$C$1004,$T873)="","",INDEX('AFA Rates'!$C$5:$C$1004,$T873))))</f>
        <v/>
      </c>
      <c r="E873" s="88">
        <f>IF($T873="","",IF($S873="S",IF(""="","",""),IF(INDEX('AFA Rates'!$D$5:$D$1004,$T873)="","",INDEX('AFA Rates'!$D$5:$D$1004,$T873))))</f>
        <v/>
      </c>
      <c r="F873" s="79">
        <f>IF($T873="","",IF($S873="S",IF(INDEX(Firms!$O$5:$O$1004,$T873)="","",INDEX(Firms!$O$5:$O$1004,$T873)),IF(INDEX('AFA Rates'!$O$5:$O$1004,$T873)="","",INDEX('AFA Rates'!$O$5:$O$1004,$T873))))</f>
        <v/>
      </c>
      <c r="G873" s="50">
        <f>IF($T873="","",IF($S873="S",IF(INDEX(Firms!$F$5:$F$1004,$T873)="","",INDEX(Firms!$F$5:$F$1004,$T873)),IF(INDEX('AFA Rates'!$E$5:$E$1004,$T873)="","",INDEX('AFA Rates'!$E$5:$E$1004,$T873))))</f>
        <v/>
      </c>
      <c r="H873" s="50">
        <f>IF($T873="","",IF($S873="S",IF(INDEX(Firms!$G$5:$G$1004,$T873)="","",INDEX(Firms!$G$5:$G$1004,$T873)),IF(INDEX('AFA Rates'!$F$5:$F$1004,$T873)="","",INDEX('AFA Rates'!$F$5:$F$1004,$T873))))</f>
        <v/>
      </c>
      <c r="I873" s="50">
        <f>IF($T873="","",IF($S873="S",IF(INDEX(Firms!$H$5:$H$1004,$T873)="","",INDEX(Firms!$H$5:$H$1004,$T873)),IF(INDEX('AFA Rates'!$G$5:$G$1004,$T873)="","",INDEX('AFA Rates'!$G$5:$G$1004,$T873))))</f>
        <v/>
      </c>
      <c r="J873" s="50">
        <f>IF($T873="","",IF($S873="S",IF(INDEX(Firms!$I$5:$I$1004,$T873)="","",INDEX(Firms!$I$5:$I$1004,$T873)),IF(INDEX('AFA Rates'!$H$5:$H$1004,$T873)="","",INDEX('AFA Rates'!$H$5:$H$1004,$T873))))</f>
        <v/>
      </c>
      <c r="K873" s="50">
        <f>IF($T873="","",IF($S873="S",IF(INDEX(Firms!$J$5:$J$1004,$T873)="","",INDEX(Firms!$J$5:$J$1004,$T873)),IF(INDEX('AFA Rates'!$I$5:$I$1004,$T873)="","",INDEX('AFA Rates'!$I$5:$I$1004,$T873))))</f>
        <v/>
      </c>
      <c r="L873" s="50">
        <f>IF($T873="","",IF($S873="S",IF(INDEX(Firms!$K$5:$K$1004,$T873)="","",INDEX(Firms!$K$5:$K$1004,$T873)),IF(INDEX('AFA Rates'!$J$5:$J$1004,$T873)="","",INDEX('AFA Rates'!$J$5:$J$1004,$T873))))</f>
        <v/>
      </c>
      <c r="M873" s="50">
        <f>IF($T873="","",IF($S873="S",IF(INDEX(Firms!$L$5:$L$1004,$T873)="","",INDEX(Firms!$L$5:$L$1004,$T873)),IF(INDEX('AFA Rates'!$K$5:$K$1004,$T873)="","",INDEX('AFA Rates'!$K$5:$K$1004,$T873))))</f>
        <v/>
      </c>
      <c r="N873" s="50">
        <f>IF($T873="","",IF($S873="S",IF(INDEX(Firms!$M$5:$M$1004,$T873)="","",INDEX(Firms!$M$5:$M$1004,$T873)),IF(INDEX('AFA Rates'!$L$5:$L$1004,$T873)="","",INDEX('AFA Rates'!$L$5:$L$1004,$T873))))</f>
        <v/>
      </c>
      <c r="O873" s="78">
        <f>IF(OR($T873="",$U873=""),"",IF(INDEX(Firms!$C$5:$C$1004,$U873)="","",INDEX(Firms!$C$5:$C$1004,$U873)))</f>
        <v/>
      </c>
      <c r="P873" s="79">
        <f>IF(OR($T873="",$U873=""),"",IF(INDEX(Firms!$N$5:$N$1004,$U873)="","",INDEX(Firms!$N$5:$N$1004,$U873)))</f>
        <v/>
      </c>
      <c r="Q873" s="78">
        <f>IF($T873="","",IF($S873="S",IF(INDEX(Firms!$T$5:$T$1004,$T873)="","",INDEX(Firms!$T$5:$T$1004,$T873)),IF(INDEX('AFA Rates'!$M$5:$M$1004,$T873)="","",INDEX('AFA Rates'!$M$5:$M$1004,$T873))))</f>
        <v/>
      </c>
      <c r="S873">
        <f>IF(869&lt;=$S$2,"S",IF(869&lt;=$S$2+$T$2,"A",""))</f>
        <v/>
      </c>
      <c r="T873">
        <f>IF(S873="S",MATCH(869,Firms!$W$5:$W$1004,0),IF(S873="A",IFERROR(MATCH(869-$S$2,'AFA Rates'!$R$5:$R$1004,0),""),""))</f>
        <v/>
      </c>
      <c r="U873">
        <f>IF(S873="S",T873,IF(AND(S873="A",T873&lt;&gt;""),IFERROR(MATCH(INDEX('AFA Rates'!$A$5:$A$1004,T873),Firms!$A$5:$A$1004,0),""),""))</f>
        <v/>
      </c>
    </row>
    <row r="874">
      <c r="A874" s="78">
        <f>IF($T874="","",IF($S874="S",IF(INDEX(Firms!$A$5:$A$1004,$T874)="","",INDEX(Firms!$A$5:$A$1004,$T874)),IF(INDEX('AFA Rates'!$A$5:$A$1004,$T874)="","",INDEX('AFA Rates'!$A$5:$A$1004,$T874))))</f>
        <v/>
      </c>
      <c r="B874" s="79">
        <f>IF(OR($T874="",$U874=""),IF($T874="","","Not on Firms tab"),INDEX(Firms!$B$5:$B$1004,$U874)&amp;"")</f>
        <v/>
      </c>
      <c r="C874" s="78">
        <f>IF($T874="","",IF($S874="S","Standard",INDEX('AFA Rates'!$B$5:$B$1004,$T874)&amp;""))</f>
        <v/>
      </c>
      <c r="D874" s="88">
        <f>IF($T874="","",IF($S874="S",IF(INDEX(Firms!$E$5:$E$1004,$T874)="","",INDEX(Firms!$E$5:$E$1004,$T874)),IF(INDEX('AFA Rates'!$C$5:$C$1004,$T874)="","",INDEX('AFA Rates'!$C$5:$C$1004,$T874))))</f>
        <v/>
      </c>
      <c r="E874" s="88">
        <f>IF($T874="","",IF($S874="S",IF(""="","",""),IF(INDEX('AFA Rates'!$D$5:$D$1004,$T874)="","",INDEX('AFA Rates'!$D$5:$D$1004,$T874))))</f>
        <v/>
      </c>
      <c r="F874" s="79">
        <f>IF($T874="","",IF($S874="S",IF(INDEX(Firms!$O$5:$O$1004,$T874)="","",INDEX(Firms!$O$5:$O$1004,$T874)),IF(INDEX('AFA Rates'!$O$5:$O$1004,$T874)="","",INDEX('AFA Rates'!$O$5:$O$1004,$T874))))</f>
        <v/>
      </c>
      <c r="G874" s="50">
        <f>IF($T874="","",IF($S874="S",IF(INDEX(Firms!$F$5:$F$1004,$T874)="","",INDEX(Firms!$F$5:$F$1004,$T874)),IF(INDEX('AFA Rates'!$E$5:$E$1004,$T874)="","",INDEX('AFA Rates'!$E$5:$E$1004,$T874))))</f>
        <v/>
      </c>
      <c r="H874" s="50">
        <f>IF($T874="","",IF($S874="S",IF(INDEX(Firms!$G$5:$G$1004,$T874)="","",INDEX(Firms!$G$5:$G$1004,$T874)),IF(INDEX('AFA Rates'!$F$5:$F$1004,$T874)="","",INDEX('AFA Rates'!$F$5:$F$1004,$T874))))</f>
        <v/>
      </c>
      <c r="I874" s="50">
        <f>IF($T874="","",IF($S874="S",IF(INDEX(Firms!$H$5:$H$1004,$T874)="","",INDEX(Firms!$H$5:$H$1004,$T874)),IF(INDEX('AFA Rates'!$G$5:$G$1004,$T874)="","",INDEX('AFA Rates'!$G$5:$G$1004,$T874))))</f>
        <v/>
      </c>
      <c r="J874" s="50">
        <f>IF($T874="","",IF($S874="S",IF(INDEX(Firms!$I$5:$I$1004,$T874)="","",INDEX(Firms!$I$5:$I$1004,$T874)),IF(INDEX('AFA Rates'!$H$5:$H$1004,$T874)="","",INDEX('AFA Rates'!$H$5:$H$1004,$T874))))</f>
        <v/>
      </c>
      <c r="K874" s="50">
        <f>IF($T874="","",IF($S874="S",IF(INDEX(Firms!$J$5:$J$1004,$T874)="","",INDEX(Firms!$J$5:$J$1004,$T874)),IF(INDEX('AFA Rates'!$I$5:$I$1004,$T874)="","",INDEX('AFA Rates'!$I$5:$I$1004,$T874))))</f>
        <v/>
      </c>
      <c r="L874" s="50">
        <f>IF($T874="","",IF($S874="S",IF(INDEX(Firms!$K$5:$K$1004,$T874)="","",INDEX(Firms!$K$5:$K$1004,$T874)),IF(INDEX('AFA Rates'!$J$5:$J$1004,$T874)="","",INDEX('AFA Rates'!$J$5:$J$1004,$T874))))</f>
        <v/>
      </c>
      <c r="M874" s="50">
        <f>IF($T874="","",IF($S874="S",IF(INDEX(Firms!$L$5:$L$1004,$T874)="","",INDEX(Firms!$L$5:$L$1004,$T874)),IF(INDEX('AFA Rates'!$K$5:$K$1004,$T874)="","",INDEX('AFA Rates'!$K$5:$K$1004,$T874))))</f>
        <v/>
      </c>
      <c r="N874" s="50">
        <f>IF($T874="","",IF($S874="S",IF(INDEX(Firms!$M$5:$M$1004,$T874)="","",INDEX(Firms!$M$5:$M$1004,$T874)),IF(INDEX('AFA Rates'!$L$5:$L$1004,$T874)="","",INDEX('AFA Rates'!$L$5:$L$1004,$T874))))</f>
        <v/>
      </c>
      <c r="O874" s="78">
        <f>IF(OR($T874="",$U874=""),"",IF(INDEX(Firms!$C$5:$C$1004,$U874)="","",INDEX(Firms!$C$5:$C$1004,$U874)))</f>
        <v/>
      </c>
      <c r="P874" s="79">
        <f>IF(OR($T874="",$U874=""),"",IF(INDEX(Firms!$N$5:$N$1004,$U874)="","",INDEX(Firms!$N$5:$N$1004,$U874)))</f>
        <v/>
      </c>
      <c r="Q874" s="78">
        <f>IF($T874="","",IF($S874="S",IF(INDEX(Firms!$T$5:$T$1004,$T874)="","",INDEX(Firms!$T$5:$T$1004,$T874)),IF(INDEX('AFA Rates'!$M$5:$M$1004,$T874)="","",INDEX('AFA Rates'!$M$5:$M$1004,$T874))))</f>
        <v/>
      </c>
      <c r="S874">
        <f>IF(870&lt;=$S$2,"S",IF(870&lt;=$S$2+$T$2,"A",""))</f>
        <v/>
      </c>
      <c r="T874">
        <f>IF(S874="S",MATCH(870,Firms!$W$5:$W$1004,0),IF(S874="A",IFERROR(MATCH(870-$S$2,'AFA Rates'!$R$5:$R$1004,0),""),""))</f>
        <v/>
      </c>
      <c r="U874">
        <f>IF(S874="S",T874,IF(AND(S874="A",T874&lt;&gt;""),IFERROR(MATCH(INDEX('AFA Rates'!$A$5:$A$1004,T874),Firms!$A$5:$A$1004,0),""),""))</f>
        <v/>
      </c>
    </row>
    <row r="875">
      <c r="A875" s="78">
        <f>IF($T875="","",IF($S875="S",IF(INDEX(Firms!$A$5:$A$1004,$T875)="","",INDEX(Firms!$A$5:$A$1004,$T875)),IF(INDEX('AFA Rates'!$A$5:$A$1004,$T875)="","",INDEX('AFA Rates'!$A$5:$A$1004,$T875))))</f>
        <v/>
      </c>
      <c r="B875" s="79">
        <f>IF(OR($T875="",$U875=""),IF($T875="","","Not on Firms tab"),INDEX(Firms!$B$5:$B$1004,$U875)&amp;"")</f>
        <v/>
      </c>
      <c r="C875" s="78">
        <f>IF($T875="","",IF($S875="S","Standard",INDEX('AFA Rates'!$B$5:$B$1004,$T875)&amp;""))</f>
        <v/>
      </c>
      <c r="D875" s="88">
        <f>IF($T875="","",IF($S875="S",IF(INDEX(Firms!$E$5:$E$1004,$T875)="","",INDEX(Firms!$E$5:$E$1004,$T875)),IF(INDEX('AFA Rates'!$C$5:$C$1004,$T875)="","",INDEX('AFA Rates'!$C$5:$C$1004,$T875))))</f>
        <v/>
      </c>
      <c r="E875" s="88">
        <f>IF($T875="","",IF($S875="S",IF(""="","",""),IF(INDEX('AFA Rates'!$D$5:$D$1004,$T875)="","",INDEX('AFA Rates'!$D$5:$D$1004,$T875))))</f>
        <v/>
      </c>
      <c r="F875" s="79">
        <f>IF($T875="","",IF($S875="S",IF(INDEX(Firms!$O$5:$O$1004,$T875)="","",INDEX(Firms!$O$5:$O$1004,$T875)),IF(INDEX('AFA Rates'!$O$5:$O$1004,$T875)="","",INDEX('AFA Rates'!$O$5:$O$1004,$T875))))</f>
        <v/>
      </c>
      <c r="G875" s="50">
        <f>IF($T875="","",IF($S875="S",IF(INDEX(Firms!$F$5:$F$1004,$T875)="","",INDEX(Firms!$F$5:$F$1004,$T875)),IF(INDEX('AFA Rates'!$E$5:$E$1004,$T875)="","",INDEX('AFA Rates'!$E$5:$E$1004,$T875))))</f>
        <v/>
      </c>
      <c r="H875" s="50">
        <f>IF($T875="","",IF($S875="S",IF(INDEX(Firms!$G$5:$G$1004,$T875)="","",INDEX(Firms!$G$5:$G$1004,$T875)),IF(INDEX('AFA Rates'!$F$5:$F$1004,$T875)="","",INDEX('AFA Rates'!$F$5:$F$1004,$T875))))</f>
        <v/>
      </c>
      <c r="I875" s="50">
        <f>IF($T875="","",IF($S875="S",IF(INDEX(Firms!$H$5:$H$1004,$T875)="","",INDEX(Firms!$H$5:$H$1004,$T875)),IF(INDEX('AFA Rates'!$G$5:$G$1004,$T875)="","",INDEX('AFA Rates'!$G$5:$G$1004,$T875))))</f>
        <v/>
      </c>
      <c r="J875" s="50">
        <f>IF($T875="","",IF($S875="S",IF(INDEX(Firms!$I$5:$I$1004,$T875)="","",INDEX(Firms!$I$5:$I$1004,$T875)),IF(INDEX('AFA Rates'!$H$5:$H$1004,$T875)="","",INDEX('AFA Rates'!$H$5:$H$1004,$T875))))</f>
        <v/>
      </c>
      <c r="K875" s="50">
        <f>IF($T875="","",IF($S875="S",IF(INDEX(Firms!$J$5:$J$1004,$T875)="","",INDEX(Firms!$J$5:$J$1004,$T875)),IF(INDEX('AFA Rates'!$I$5:$I$1004,$T875)="","",INDEX('AFA Rates'!$I$5:$I$1004,$T875))))</f>
        <v/>
      </c>
      <c r="L875" s="50">
        <f>IF($T875="","",IF($S875="S",IF(INDEX(Firms!$K$5:$K$1004,$T875)="","",INDEX(Firms!$K$5:$K$1004,$T875)),IF(INDEX('AFA Rates'!$J$5:$J$1004,$T875)="","",INDEX('AFA Rates'!$J$5:$J$1004,$T875))))</f>
        <v/>
      </c>
      <c r="M875" s="50">
        <f>IF($T875="","",IF($S875="S",IF(INDEX(Firms!$L$5:$L$1004,$T875)="","",INDEX(Firms!$L$5:$L$1004,$T875)),IF(INDEX('AFA Rates'!$K$5:$K$1004,$T875)="","",INDEX('AFA Rates'!$K$5:$K$1004,$T875))))</f>
        <v/>
      </c>
      <c r="N875" s="50">
        <f>IF($T875="","",IF($S875="S",IF(INDEX(Firms!$M$5:$M$1004,$T875)="","",INDEX(Firms!$M$5:$M$1004,$T875)),IF(INDEX('AFA Rates'!$L$5:$L$1004,$T875)="","",INDEX('AFA Rates'!$L$5:$L$1004,$T875))))</f>
        <v/>
      </c>
      <c r="O875" s="78">
        <f>IF(OR($T875="",$U875=""),"",IF(INDEX(Firms!$C$5:$C$1004,$U875)="","",INDEX(Firms!$C$5:$C$1004,$U875)))</f>
        <v/>
      </c>
      <c r="P875" s="79">
        <f>IF(OR($T875="",$U875=""),"",IF(INDEX(Firms!$N$5:$N$1004,$U875)="","",INDEX(Firms!$N$5:$N$1004,$U875)))</f>
        <v/>
      </c>
      <c r="Q875" s="78">
        <f>IF($T875="","",IF($S875="S",IF(INDEX(Firms!$T$5:$T$1004,$T875)="","",INDEX(Firms!$T$5:$T$1004,$T875)),IF(INDEX('AFA Rates'!$M$5:$M$1004,$T875)="","",INDEX('AFA Rates'!$M$5:$M$1004,$T875))))</f>
        <v/>
      </c>
      <c r="S875">
        <f>IF(871&lt;=$S$2,"S",IF(871&lt;=$S$2+$T$2,"A",""))</f>
        <v/>
      </c>
      <c r="T875">
        <f>IF(S875="S",MATCH(871,Firms!$W$5:$W$1004,0),IF(S875="A",IFERROR(MATCH(871-$S$2,'AFA Rates'!$R$5:$R$1004,0),""),""))</f>
        <v/>
      </c>
      <c r="U875">
        <f>IF(S875="S",T875,IF(AND(S875="A",T875&lt;&gt;""),IFERROR(MATCH(INDEX('AFA Rates'!$A$5:$A$1004,T875),Firms!$A$5:$A$1004,0),""),""))</f>
        <v/>
      </c>
    </row>
    <row r="876">
      <c r="A876" s="78">
        <f>IF($T876="","",IF($S876="S",IF(INDEX(Firms!$A$5:$A$1004,$T876)="","",INDEX(Firms!$A$5:$A$1004,$T876)),IF(INDEX('AFA Rates'!$A$5:$A$1004,$T876)="","",INDEX('AFA Rates'!$A$5:$A$1004,$T876))))</f>
        <v/>
      </c>
      <c r="B876" s="79">
        <f>IF(OR($T876="",$U876=""),IF($T876="","","Not on Firms tab"),INDEX(Firms!$B$5:$B$1004,$U876)&amp;"")</f>
        <v/>
      </c>
      <c r="C876" s="78">
        <f>IF($T876="","",IF($S876="S","Standard",INDEX('AFA Rates'!$B$5:$B$1004,$T876)&amp;""))</f>
        <v/>
      </c>
      <c r="D876" s="88">
        <f>IF($T876="","",IF($S876="S",IF(INDEX(Firms!$E$5:$E$1004,$T876)="","",INDEX(Firms!$E$5:$E$1004,$T876)),IF(INDEX('AFA Rates'!$C$5:$C$1004,$T876)="","",INDEX('AFA Rates'!$C$5:$C$1004,$T876))))</f>
        <v/>
      </c>
      <c r="E876" s="88">
        <f>IF($T876="","",IF($S876="S",IF(""="","",""),IF(INDEX('AFA Rates'!$D$5:$D$1004,$T876)="","",INDEX('AFA Rates'!$D$5:$D$1004,$T876))))</f>
        <v/>
      </c>
      <c r="F876" s="79">
        <f>IF($T876="","",IF($S876="S",IF(INDEX(Firms!$O$5:$O$1004,$T876)="","",INDEX(Firms!$O$5:$O$1004,$T876)),IF(INDEX('AFA Rates'!$O$5:$O$1004,$T876)="","",INDEX('AFA Rates'!$O$5:$O$1004,$T876))))</f>
        <v/>
      </c>
      <c r="G876" s="50">
        <f>IF($T876="","",IF($S876="S",IF(INDEX(Firms!$F$5:$F$1004,$T876)="","",INDEX(Firms!$F$5:$F$1004,$T876)),IF(INDEX('AFA Rates'!$E$5:$E$1004,$T876)="","",INDEX('AFA Rates'!$E$5:$E$1004,$T876))))</f>
        <v/>
      </c>
      <c r="H876" s="50">
        <f>IF($T876="","",IF($S876="S",IF(INDEX(Firms!$G$5:$G$1004,$T876)="","",INDEX(Firms!$G$5:$G$1004,$T876)),IF(INDEX('AFA Rates'!$F$5:$F$1004,$T876)="","",INDEX('AFA Rates'!$F$5:$F$1004,$T876))))</f>
        <v/>
      </c>
      <c r="I876" s="50">
        <f>IF($T876="","",IF($S876="S",IF(INDEX(Firms!$H$5:$H$1004,$T876)="","",INDEX(Firms!$H$5:$H$1004,$T876)),IF(INDEX('AFA Rates'!$G$5:$G$1004,$T876)="","",INDEX('AFA Rates'!$G$5:$G$1004,$T876))))</f>
        <v/>
      </c>
      <c r="J876" s="50">
        <f>IF($T876="","",IF($S876="S",IF(INDEX(Firms!$I$5:$I$1004,$T876)="","",INDEX(Firms!$I$5:$I$1004,$T876)),IF(INDEX('AFA Rates'!$H$5:$H$1004,$T876)="","",INDEX('AFA Rates'!$H$5:$H$1004,$T876))))</f>
        <v/>
      </c>
      <c r="K876" s="50">
        <f>IF($T876="","",IF($S876="S",IF(INDEX(Firms!$J$5:$J$1004,$T876)="","",INDEX(Firms!$J$5:$J$1004,$T876)),IF(INDEX('AFA Rates'!$I$5:$I$1004,$T876)="","",INDEX('AFA Rates'!$I$5:$I$1004,$T876))))</f>
        <v/>
      </c>
      <c r="L876" s="50">
        <f>IF($T876="","",IF($S876="S",IF(INDEX(Firms!$K$5:$K$1004,$T876)="","",INDEX(Firms!$K$5:$K$1004,$T876)),IF(INDEX('AFA Rates'!$J$5:$J$1004,$T876)="","",INDEX('AFA Rates'!$J$5:$J$1004,$T876))))</f>
        <v/>
      </c>
      <c r="M876" s="50">
        <f>IF($T876="","",IF($S876="S",IF(INDEX(Firms!$L$5:$L$1004,$T876)="","",INDEX(Firms!$L$5:$L$1004,$T876)),IF(INDEX('AFA Rates'!$K$5:$K$1004,$T876)="","",INDEX('AFA Rates'!$K$5:$K$1004,$T876))))</f>
        <v/>
      </c>
      <c r="N876" s="50">
        <f>IF($T876="","",IF($S876="S",IF(INDEX(Firms!$M$5:$M$1004,$T876)="","",INDEX(Firms!$M$5:$M$1004,$T876)),IF(INDEX('AFA Rates'!$L$5:$L$1004,$T876)="","",INDEX('AFA Rates'!$L$5:$L$1004,$T876))))</f>
        <v/>
      </c>
      <c r="O876" s="78">
        <f>IF(OR($T876="",$U876=""),"",IF(INDEX(Firms!$C$5:$C$1004,$U876)="","",INDEX(Firms!$C$5:$C$1004,$U876)))</f>
        <v/>
      </c>
      <c r="P876" s="79">
        <f>IF(OR($T876="",$U876=""),"",IF(INDEX(Firms!$N$5:$N$1004,$U876)="","",INDEX(Firms!$N$5:$N$1004,$U876)))</f>
        <v/>
      </c>
      <c r="Q876" s="78">
        <f>IF($T876="","",IF($S876="S",IF(INDEX(Firms!$T$5:$T$1004,$T876)="","",INDEX(Firms!$T$5:$T$1004,$T876)),IF(INDEX('AFA Rates'!$M$5:$M$1004,$T876)="","",INDEX('AFA Rates'!$M$5:$M$1004,$T876))))</f>
        <v/>
      </c>
      <c r="S876">
        <f>IF(872&lt;=$S$2,"S",IF(872&lt;=$S$2+$T$2,"A",""))</f>
        <v/>
      </c>
      <c r="T876">
        <f>IF(S876="S",MATCH(872,Firms!$W$5:$W$1004,0),IF(S876="A",IFERROR(MATCH(872-$S$2,'AFA Rates'!$R$5:$R$1004,0),""),""))</f>
        <v/>
      </c>
      <c r="U876">
        <f>IF(S876="S",T876,IF(AND(S876="A",T876&lt;&gt;""),IFERROR(MATCH(INDEX('AFA Rates'!$A$5:$A$1004,T876),Firms!$A$5:$A$1004,0),""),""))</f>
        <v/>
      </c>
    </row>
    <row r="877">
      <c r="A877" s="78">
        <f>IF($T877="","",IF($S877="S",IF(INDEX(Firms!$A$5:$A$1004,$T877)="","",INDEX(Firms!$A$5:$A$1004,$T877)),IF(INDEX('AFA Rates'!$A$5:$A$1004,$T877)="","",INDEX('AFA Rates'!$A$5:$A$1004,$T877))))</f>
        <v/>
      </c>
      <c r="B877" s="79">
        <f>IF(OR($T877="",$U877=""),IF($T877="","","Not on Firms tab"),INDEX(Firms!$B$5:$B$1004,$U877)&amp;"")</f>
        <v/>
      </c>
      <c r="C877" s="78">
        <f>IF($T877="","",IF($S877="S","Standard",INDEX('AFA Rates'!$B$5:$B$1004,$T877)&amp;""))</f>
        <v/>
      </c>
      <c r="D877" s="88">
        <f>IF($T877="","",IF($S877="S",IF(INDEX(Firms!$E$5:$E$1004,$T877)="","",INDEX(Firms!$E$5:$E$1004,$T877)),IF(INDEX('AFA Rates'!$C$5:$C$1004,$T877)="","",INDEX('AFA Rates'!$C$5:$C$1004,$T877))))</f>
        <v/>
      </c>
      <c r="E877" s="88">
        <f>IF($T877="","",IF($S877="S",IF(""="","",""),IF(INDEX('AFA Rates'!$D$5:$D$1004,$T877)="","",INDEX('AFA Rates'!$D$5:$D$1004,$T877))))</f>
        <v/>
      </c>
      <c r="F877" s="79">
        <f>IF($T877="","",IF($S877="S",IF(INDEX(Firms!$O$5:$O$1004,$T877)="","",INDEX(Firms!$O$5:$O$1004,$T877)),IF(INDEX('AFA Rates'!$O$5:$O$1004,$T877)="","",INDEX('AFA Rates'!$O$5:$O$1004,$T877))))</f>
        <v/>
      </c>
      <c r="G877" s="50">
        <f>IF($T877="","",IF($S877="S",IF(INDEX(Firms!$F$5:$F$1004,$T877)="","",INDEX(Firms!$F$5:$F$1004,$T877)),IF(INDEX('AFA Rates'!$E$5:$E$1004,$T877)="","",INDEX('AFA Rates'!$E$5:$E$1004,$T877))))</f>
        <v/>
      </c>
      <c r="H877" s="50">
        <f>IF($T877="","",IF($S877="S",IF(INDEX(Firms!$G$5:$G$1004,$T877)="","",INDEX(Firms!$G$5:$G$1004,$T877)),IF(INDEX('AFA Rates'!$F$5:$F$1004,$T877)="","",INDEX('AFA Rates'!$F$5:$F$1004,$T877))))</f>
        <v/>
      </c>
      <c r="I877" s="50">
        <f>IF($T877="","",IF($S877="S",IF(INDEX(Firms!$H$5:$H$1004,$T877)="","",INDEX(Firms!$H$5:$H$1004,$T877)),IF(INDEX('AFA Rates'!$G$5:$G$1004,$T877)="","",INDEX('AFA Rates'!$G$5:$G$1004,$T877))))</f>
        <v/>
      </c>
      <c r="J877" s="50">
        <f>IF($T877="","",IF($S877="S",IF(INDEX(Firms!$I$5:$I$1004,$T877)="","",INDEX(Firms!$I$5:$I$1004,$T877)),IF(INDEX('AFA Rates'!$H$5:$H$1004,$T877)="","",INDEX('AFA Rates'!$H$5:$H$1004,$T877))))</f>
        <v/>
      </c>
      <c r="K877" s="50">
        <f>IF($T877="","",IF($S877="S",IF(INDEX(Firms!$J$5:$J$1004,$T877)="","",INDEX(Firms!$J$5:$J$1004,$T877)),IF(INDEX('AFA Rates'!$I$5:$I$1004,$T877)="","",INDEX('AFA Rates'!$I$5:$I$1004,$T877))))</f>
        <v/>
      </c>
      <c r="L877" s="50">
        <f>IF($T877="","",IF($S877="S",IF(INDEX(Firms!$K$5:$K$1004,$T877)="","",INDEX(Firms!$K$5:$K$1004,$T877)),IF(INDEX('AFA Rates'!$J$5:$J$1004,$T877)="","",INDEX('AFA Rates'!$J$5:$J$1004,$T877))))</f>
        <v/>
      </c>
      <c r="M877" s="50">
        <f>IF($T877="","",IF($S877="S",IF(INDEX(Firms!$L$5:$L$1004,$T877)="","",INDEX(Firms!$L$5:$L$1004,$T877)),IF(INDEX('AFA Rates'!$K$5:$K$1004,$T877)="","",INDEX('AFA Rates'!$K$5:$K$1004,$T877))))</f>
        <v/>
      </c>
      <c r="N877" s="50">
        <f>IF($T877="","",IF($S877="S",IF(INDEX(Firms!$M$5:$M$1004,$T877)="","",INDEX(Firms!$M$5:$M$1004,$T877)),IF(INDEX('AFA Rates'!$L$5:$L$1004,$T877)="","",INDEX('AFA Rates'!$L$5:$L$1004,$T877))))</f>
        <v/>
      </c>
      <c r="O877" s="78">
        <f>IF(OR($T877="",$U877=""),"",IF(INDEX(Firms!$C$5:$C$1004,$U877)="","",INDEX(Firms!$C$5:$C$1004,$U877)))</f>
        <v/>
      </c>
      <c r="P877" s="79">
        <f>IF(OR($T877="",$U877=""),"",IF(INDEX(Firms!$N$5:$N$1004,$U877)="","",INDEX(Firms!$N$5:$N$1004,$U877)))</f>
        <v/>
      </c>
      <c r="Q877" s="78">
        <f>IF($T877="","",IF($S877="S",IF(INDEX(Firms!$T$5:$T$1004,$T877)="","",INDEX(Firms!$T$5:$T$1004,$T877)),IF(INDEX('AFA Rates'!$M$5:$M$1004,$T877)="","",INDEX('AFA Rates'!$M$5:$M$1004,$T877))))</f>
        <v/>
      </c>
      <c r="S877">
        <f>IF(873&lt;=$S$2,"S",IF(873&lt;=$S$2+$T$2,"A",""))</f>
        <v/>
      </c>
      <c r="T877">
        <f>IF(S877="S",MATCH(873,Firms!$W$5:$W$1004,0),IF(S877="A",IFERROR(MATCH(873-$S$2,'AFA Rates'!$R$5:$R$1004,0),""),""))</f>
        <v/>
      </c>
      <c r="U877">
        <f>IF(S877="S",T877,IF(AND(S877="A",T877&lt;&gt;""),IFERROR(MATCH(INDEX('AFA Rates'!$A$5:$A$1004,T877),Firms!$A$5:$A$1004,0),""),""))</f>
        <v/>
      </c>
    </row>
    <row r="878">
      <c r="A878" s="78">
        <f>IF($T878="","",IF($S878="S",IF(INDEX(Firms!$A$5:$A$1004,$T878)="","",INDEX(Firms!$A$5:$A$1004,$T878)),IF(INDEX('AFA Rates'!$A$5:$A$1004,$T878)="","",INDEX('AFA Rates'!$A$5:$A$1004,$T878))))</f>
        <v/>
      </c>
      <c r="B878" s="79">
        <f>IF(OR($T878="",$U878=""),IF($T878="","","Not on Firms tab"),INDEX(Firms!$B$5:$B$1004,$U878)&amp;"")</f>
        <v/>
      </c>
      <c r="C878" s="78">
        <f>IF($T878="","",IF($S878="S","Standard",INDEX('AFA Rates'!$B$5:$B$1004,$T878)&amp;""))</f>
        <v/>
      </c>
      <c r="D878" s="88">
        <f>IF($T878="","",IF($S878="S",IF(INDEX(Firms!$E$5:$E$1004,$T878)="","",INDEX(Firms!$E$5:$E$1004,$T878)),IF(INDEX('AFA Rates'!$C$5:$C$1004,$T878)="","",INDEX('AFA Rates'!$C$5:$C$1004,$T878))))</f>
        <v/>
      </c>
      <c r="E878" s="88">
        <f>IF($T878="","",IF($S878="S",IF(""="","",""),IF(INDEX('AFA Rates'!$D$5:$D$1004,$T878)="","",INDEX('AFA Rates'!$D$5:$D$1004,$T878))))</f>
        <v/>
      </c>
      <c r="F878" s="79">
        <f>IF($T878="","",IF($S878="S",IF(INDEX(Firms!$O$5:$O$1004,$T878)="","",INDEX(Firms!$O$5:$O$1004,$T878)),IF(INDEX('AFA Rates'!$O$5:$O$1004,$T878)="","",INDEX('AFA Rates'!$O$5:$O$1004,$T878))))</f>
        <v/>
      </c>
      <c r="G878" s="50">
        <f>IF($T878="","",IF($S878="S",IF(INDEX(Firms!$F$5:$F$1004,$T878)="","",INDEX(Firms!$F$5:$F$1004,$T878)),IF(INDEX('AFA Rates'!$E$5:$E$1004,$T878)="","",INDEX('AFA Rates'!$E$5:$E$1004,$T878))))</f>
        <v/>
      </c>
      <c r="H878" s="50">
        <f>IF($T878="","",IF($S878="S",IF(INDEX(Firms!$G$5:$G$1004,$T878)="","",INDEX(Firms!$G$5:$G$1004,$T878)),IF(INDEX('AFA Rates'!$F$5:$F$1004,$T878)="","",INDEX('AFA Rates'!$F$5:$F$1004,$T878))))</f>
        <v/>
      </c>
      <c r="I878" s="50">
        <f>IF($T878="","",IF($S878="S",IF(INDEX(Firms!$H$5:$H$1004,$T878)="","",INDEX(Firms!$H$5:$H$1004,$T878)),IF(INDEX('AFA Rates'!$G$5:$G$1004,$T878)="","",INDEX('AFA Rates'!$G$5:$G$1004,$T878))))</f>
        <v/>
      </c>
      <c r="J878" s="50">
        <f>IF($T878="","",IF($S878="S",IF(INDEX(Firms!$I$5:$I$1004,$T878)="","",INDEX(Firms!$I$5:$I$1004,$T878)),IF(INDEX('AFA Rates'!$H$5:$H$1004,$T878)="","",INDEX('AFA Rates'!$H$5:$H$1004,$T878))))</f>
        <v/>
      </c>
      <c r="K878" s="50">
        <f>IF($T878="","",IF($S878="S",IF(INDEX(Firms!$J$5:$J$1004,$T878)="","",INDEX(Firms!$J$5:$J$1004,$T878)),IF(INDEX('AFA Rates'!$I$5:$I$1004,$T878)="","",INDEX('AFA Rates'!$I$5:$I$1004,$T878))))</f>
        <v/>
      </c>
      <c r="L878" s="50">
        <f>IF($T878="","",IF($S878="S",IF(INDEX(Firms!$K$5:$K$1004,$T878)="","",INDEX(Firms!$K$5:$K$1004,$T878)),IF(INDEX('AFA Rates'!$J$5:$J$1004,$T878)="","",INDEX('AFA Rates'!$J$5:$J$1004,$T878))))</f>
        <v/>
      </c>
      <c r="M878" s="50">
        <f>IF($T878="","",IF($S878="S",IF(INDEX(Firms!$L$5:$L$1004,$T878)="","",INDEX(Firms!$L$5:$L$1004,$T878)),IF(INDEX('AFA Rates'!$K$5:$K$1004,$T878)="","",INDEX('AFA Rates'!$K$5:$K$1004,$T878))))</f>
        <v/>
      </c>
      <c r="N878" s="50">
        <f>IF($T878="","",IF($S878="S",IF(INDEX(Firms!$M$5:$M$1004,$T878)="","",INDEX(Firms!$M$5:$M$1004,$T878)),IF(INDEX('AFA Rates'!$L$5:$L$1004,$T878)="","",INDEX('AFA Rates'!$L$5:$L$1004,$T878))))</f>
        <v/>
      </c>
      <c r="O878" s="78">
        <f>IF(OR($T878="",$U878=""),"",IF(INDEX(Firms!$C$5:$C$1004,$U878)="","",INDEX(Firms!$C$5:$C$1004,$U878)))</f>
        <v/>
      </c>
      <c r="P878" s="79">
        <f>IF(OR($T878="",$U878=""),"",IF(INDEX(Firms!$N$5:$N$1004,$U878)="","",INDEX(Firms!$N$5:$N$1004,$U878)))</f>
        <v/>
      </c>
      <c r="Q878" s="78">
        <f>IF($T878="","",IF($S878="S",IF(INDEX(Firms!$T$5:$T$1004,$T878)="","",INDEX(Firms!$T$5:$T$1004,$T878)),IF(INDEX('AFA Rates'!$M$5:$M$1004,$T878)="","",INDEX('AFA Rates'!$M$5:$M$1004,$T878))))</f>
        <v/>
      </c>
      <c r="S878">
        <f>IF(874&lt;=$S$2,"S",IF(874&lt;=$S$2+$T$2,"A",""))</f>
        <v/>
      </c>
      <c r="T878">
        <f>IF(S878="S",MATCH(874,Firms!$W$5:$W$1004,0),IF(S878="A",IFERROR(MATCH(874-$S$2,'AFA Rates'!$R$5:$R$1004,0),""),""))</f>
        <v/>
      </c>
      <c r="U878">
        <f>IF(S878="S",T878,IF(AND(S878="A",T878&lt;&gt;""),IFERROR(MATCH(INDEX('AFA Rates'!$A$5:$A$1004,T878),Firms!$A$5:$A$1004,0),""),""))</f>
        <v/>
      </c>
    </row>
    <row r="879">
      <c r="A879" s="78">
        <f>IF($T879="","",IF($S879="S",IF(INDEX(Firms!$A$5:$A$1004,$T879)="","",INDEX(Firms!$A$5:$A$1004,$T879)),IF(INDEX('AFA Rates'!$A$5:$A$1004,$T879)="","",INDEX('AFA Rates'!$A$5:$A$1004,$T879))))</f>
        <v/>
      </c>
      <c r="B879" s="79">
        <f>IF(OR($T879="",$U879=""),IF($T879="","","Not on Firms tab"),INDEX(Firms!$B$5:$B$1004,$U879)&amp;"")</f>
        <v/>
      </c>
      <c r="C879" s="78">
        <f>IF($T879="","",IF($S879="S","Standard",INDEX('AFA Rates'!$B$5:$B$1004,$T879)&amp;""))</f>
        <v/>
      </c>
      <c r="D879" s="88">
        <f>IF($T879="","",IF($S879="S",IF(INDEX(Firms!$E$5:$E$1004,$T879)="","",INDEX(Firms!$E$5:$E$1004,$T879)),IF(INDEX('AFA Rates'!$C$5:$C$1004,$T879)="","",INDEX('AFA Rates'!$C$5:$C$1004,$T879))))</f>
        <v/>
      </c>
      <c r="E879" s="88">
        <f>IF($T879="","",IF($S879="S",IF(""="","",""),IF(INDEX('AFA Rates'!$D$5:$D$1004,$T879)="","",INDEX('AFA Rates'!$D$5:$D$1004,$T879))))</f>
        <v/>
      </c>
      <c r="F879" s="79">
        <f>IF($T879="","",IF($S879="S",IF(INDEX(Firms!$O$5:$O$1004,$T879)="","",INDEX(Firms!$O$5:$O$1004,$T879)),IF(INDEX('AFA Rates'!$O$5:$O$1004,$T879)="","",INDEX('AFA Rates'!$O$5:$O$1004,$T879))))</f>
        <v/>
      </c>
      <c r="G879" s="50">
        <f>IF($T879="","",IF($S879="S",IF(INDEX(Firms!$F$5:$F$1004,$T879)="","",INDEX(Firms!$F$5:$F$1004,$T879)),IF(INDEX('AFA Rates'!$E$5:$E$1004,$T879)="","",INDEX('AFA Rates'!$E$5:$E$1004,$T879))))</f>
        <v/>
      </c>
      <c r="H879" s="50">
        <f>IF($T879="","",IF($S879="S",IF(INDEX(Firms!$G$5:$G$1004,$T879)="","",INDEX(Firms!$G$5:$G$1004,$T879)),IF(INDEX('AFA Rates'!$F$5:$F$1004,$T879)="","",INDEX('AFA Rates'!$F$5:$F$1004,$T879))))</f>
        <v/>
      </c>
      <c r="I879" s="50">
        <f>IF($T879="","",IF($S879="S",IF(INDEX(Firms!$H$5:$H$1004,$T879)="","",INDEX(Firms!$H$5:$H$1004,$T879)),IF(INDEX('AFA Rates'!$G$5:$G$1004,$T879)="","",INDEX('AFA Rates'!$G$5:$G$1004,$T879))))</f>
        <v/>
      </c>
      <c r="J879" s="50">
        <f>IF($T879="","",IF($S879="S",IF(INDEX(Firms!$I$5:$I$1004,$T879)="","",INDEX(Firms!$I$5:$I$1004,$T879)),IF(INDEX('AFA Rates'!$H$5:$H$1004,$T879)="","",INDEX('AFA Rates'!$H$5:$H$1004,$T879))))</f>
        <v/>
      </c>
      <c r="K879" s="50">
        <f>IF($T879="","",IF($S879="S",IF(INDEX(Firms!$J$5:$J$1004,$T879)="","",INDEX(Firms!$J$5:$J$1004,$T879)),IF(INDEX('AFA Rates'!$I$5:$I$1004,$T879)="","",INDEX('AFA Rates'!$I$5:$I$1004,$T879))))</f>
        <v/>
      </c>
      <c r="L879" s="50">
        <f>IF($T879="","",IF($S879="S",IF(INDEX(Firms!$K$5:$K$1004,$T879)="","",INDEX(Firms!$K$5:$K$1004,$T879)),IF(INDEX('AFA Rates'!$J$5:$J$1004,$T879)="","",INDEX('AFA Rates'!$J$5:$J$1004,$T879))))</f>
        <v/>
      </c>
      <c r="M879" s="50">
        <f>IF($T879="","",IF($S879="S",IF(INDEX(Firms!$L$5:$L$1004,$T879)="","",INDEX(Firms!$L$5:$L$1004,$T879)),IF(INDEX('AFA Rates'!$K$5:$K$1004,$T879)="","",INDEX('AFA Rates'!$K$5:$K$1004,$T879))))</f>
        <v/>
      </c>
      <c r="N879" s="50">
        <f>IF($T879="","",IF($S879="S",IF(INDEX(Firms!$M$5:$M$1004,$T879)="","",INDEX(Firms!$M$5:$M$1004,$T879)),IF(INDEX('AFA Rates'!$L$5:$L$1004,$T879)="","",INDEX('AFA Rates'!$L$5:$L$1004,$T879))))</f>
        <v/>
      </c>
      <c r="O879" s="78">
        <f>IF(OR($T879="",$U879=""),"",IF(INDEX(Firms!$C$5:$C$1004,$U879)="","",INDEX(Firms!$C$5:$C$1004,$U879)))</f>
        <v/>
      </c>
      <c r="P879" s="79">
        <f>IF(OR($T879="",$U879=""),"",IF(INDEX(Firms!$N$5:$N$1004,$U879)="","",INDEX(Firms!$N$5:$N$1004,$U879)))</f>
        <v/>
      </c>
      <c r="Q879" s="78">
        <f>IF($T879="","",IF($S879="S",IF(INDEX(Firms!$T$5:$T$1004,$T879)="","",INDEX(Firms!$T$5:$T$1004,$T879)),IF(INDEX('AFA Rates'!$M$5:$M$1004,$T879)="","",INDEX('AFA Rates'!$M$5:$M$1004,$T879))))</f>
        <v/>
      </c>
      <c r="S879">
        <f>IF(875&lt;=$S$2,"S",IF(875&lt;=$S$2+$T$2,"A",""))</f>
        <v/>
      </c>
      <c r="T879">
        <f>IF(S879="S",MATCH(875,Firms!$W$5:$W$1004,0),IF(S879="A",IFERROR(MATCH(875-$S$2,'AFA Rates'!$R$5:$R$1004,0),""),""))</f>
        <v/>
      </c>
      <c r="U879">
        <f>IF(S879="S",T879,IF(AND(S879="A",T879&lt;&gt;""),IFERROR(MATCH(INDEX('AFA Rates'!$A$5:$A$1004,T879),Firms!$A$5:$A$1004,0),""),""))</f>
        <v/>
      </c>
    </row>
    <row r="880">
      <c r="A880" s="78">
        <f>IF($T880="","",IF($S880="S",IF(INDEX(Firms!$A$5:$A$1004,$T880)="","",INDEX(Firms!$A$5:$A$1004,$T880)),IF(INDEX('AFA Rates'!$A$5:$A$1004,$T880)="","",INDEX('AFA Rates'!$A$5:$A$1004,$T880))))</f>
        <v/>
      </c>
      <c r="B880" s="79">
        <f>IF(OR($T880="",$U880=""),IF($T880="","","Not on Firms tab"),INDEX(Firms!$B$5:$B$1004,$U880)&amp;"")</f>
        <v/>
      </c>
      <c r="C880" s="78">
        <f>IF($T880="","",IF($S880="S","Standard",INDEX('AFA Rates'!$B$5:$B$1004,$T880)&amp;""))</f>
        <v/>
      </c>
      <c r="D880" s="88">
        <f>IF($T880="","",IF($S880="S",IF(INDEX(Firms!$E$5:$E$1004,$T880)="","",INDEX(Firms!$E$5:$E$1004,$T880)),IF(INDEX('AFA Rates'!$C$5:$C$1004,$T880)="","",INDEX('AFA Rates'!$C$5:$C$1004,$T880))))</f>
        <v/>
      </c>
      <c r="E880" s="88">
        <f>IF($T880="","",IF($S880="S",IF(""="","",""),IF(INDEX('AFA Rates'!$D$5:$D$1004,$T880)="","",INDEX('AFA Rates'!$D$5:$D$1004,$T880))))</f>
        <v/>
      </c>
      <c r="F880" s="79">
        <f>IF($T880="","",IF($S880="S",IF(INDEX(Firms!$O$5:$O$1004,$T880)="","",INDEX(Firms!$O$5:$O$1004,$T880)),IF(INDEX('AFA Rates'!$O$5:$O$1004,$T880)="","",INDEX('AFA Rates'!$O$5:$O$1004,$T880))))</f>
        <v/>
      </c>
      <c r="G880" s="50">
        <f>IF($T880="","",IF($S880="S",IF(INDEX(Firms!$F$5:$F$1004,$T880)="","",INDEX(Firms!$F$5:$F$1004,$T880)),IF(INDEX('AFA Rates'!$E$5:$E$1004,$T880)="","",INDEX('AFA Rates'!$E$5:$E$1004,$T880))))</f>
        <v/>
      </c>
      <c r="H880" s="50">
        <f>IF($T880="","",IF($S880="S",IF(INDEX(Firms!$G$5:$G$1004,$T880)="","",INDEX(Firms!$G$5:$G$1004,$T880)),IF(INDEX('AFA Rates'!$F$5:$F$1004,$T880)="","",INDEX('AFA Rates'!$F$5:$F$1004,$T880))))</f>
        <v/>
      </c>
      <c r="I880" s="50">
        <f>IF($T880="","",IF($S880="S",IF(INDEX(Firms!$H$5:$H$1004,$T880)="","",INDEX(Firms!$H$5:$H$1004,$T880)),IF(INDEX('AFA Rates'!$G$5:$G$1004,$T880)="","",INDEX('AFA Rates'!$G$5:$G$1004,$T880))))</f>
        <v/>
      </c>
      <c r="J880" s="50">
        <f>IF($T880="","",IF($S880="S",IF(INDEX(Firms!$I$5:$I$1004,$T880)="","",INDEX(Firms!$I$5:$I$1004,$T880)),IF(INDEX('AFA Rates'!$H$5:$H$1004,$T880)="","",INDEX('AFA Rates'!$H$5:$H$1004,$T880))))</f>
        <v/>
      </c>
      <c r="K880" s="50">
        <f>IF($T880="","",IF($S880="S",IF(INDEX(Firms!$J$5:$J$1004,$T880)="","",INDEX(Firms!$J$5:$J$1004,$T880)),IF(INDEX('AFA Rates'!$I$5:$I$1004,$T880)="","",INDEX('AFA Rates'!$I$5:$I$1004,$T880))))</f>
        <v/>
      </c>
      <c r="L880" s="50">
        <f>IF($T880="","",IF($S880="S",IF(INDEX(Firms!$K$5:$K$1004,$T880)="","",INDEX(Firms!$K$5:$K$1004,$T880)),IF(INDEX('AFA Rates'!$J$5:$J$1004,$T880)="","",INDEX('AFA Rates'!$J$5:$J$1004,$T880))))</f>
        <v/>
      </c>
      <c r="M880" s="50">
        <f>IF($T880="","",IF($S880="S",IF(INDEX(Firms!$L$5:$L$1004,$T880)="","",INDEX(Firms!$L$5:$L$1004,$T880)),IF(INDEX('AFA Rates'!$K$5:$K$1004,$T880)="","",INDEX('AFA Rates'!$K$5:$K$1004,$T880))))</f>
        <v/>
      </c>
      <c r="N880" s="50">
        <f>IF($T880="","",IF($S880="S",IF(INDEX(Firms!$M$5:$M$1004,$T880)="","",INDEX(Firms!$M$5:$M$1004,$T880)),IF(INDEX('AFA Rates'!$L$5:$L$1004,$T880)="","",INDEX('AFA Rates'!$L$5:$L$1004,$T880))))</f>
        <v/>
      </c>
      <c r="O880" s="78">
        <f>IF(OR($T880="",$U880=""),"",IF(INDEX(Firms!$C$5:$C$1004,$U880)="","",INDEX(Firms!$C$5:$C$1004,$U880)))</f>
        <v/>
      </c>
      <c r="P880" s="79">
        <f>IF(OR($T880="",$U880=""),"",IF(INDEX(Firms!$N$5:$N$1004,$U880)="","",INDEX(Firms!$N$5:$N$1004,$U880)))</f>
        <v/>
      </c>
      <c r="Q880" s="78">
        <f>IF($T880="","",IF($S880="S",IF(INDEX(Firms!$T$5:$T$1004,$T880)="","",INDEX(Firms!$T$5:$T$1004,$T880)),IF(INDEX('AFA Rates'!$M$5:$M$1004,$T880)="","",INDEX('AFA Rates'!$M$5:$M$1004,$T880))))</f>
        <v/>
      </c>
      <c r="S880">
        <f>IF(876&lt;=$S$2,"S",IF(876&lt;=$S$2+$T$2,"A",""))</f>
        <v/>
      </c>
      <c r="T880">
        <f>IF(S880="S",MATCH(876,Firms!$W$5:$W$1004,0),IF(S880="A",IFERROR(MATCH(876-$S$2,'AFA Rates'!$R$5:$R$1004,0),""),""))</f>
        <v/>
      </c>
      <c r="U880">
        <f>IF(S880="S",T880,IF(AND(S880="A",T880&lt;&gt;""),IFERROR(MATCH(INDEX('AFA Rates'!$A$5:$A$1004,T880),Firms!$A$5:$A$1004,0),""),""))</f>
        <v/>
      </c>
    </row>
    <row r="881">
      <c r="A881" s="78">
        <f>IF($T881="","",IF($S881="S",IF(INDEX(Firms!$A$5:$A$1004,$T881)="","",INDEX(Firms!$A$5:$A$1004,$T881)),IF(INDEX('AFA Rates'!$A$5:$A$1004,$T881)="","",INDEX('AFA Rates'!$A$5:$A$1004,$T881))))</f>
        <v/>
      </c>
      <c r="B881" s="79">
        <f>IF(OR($T881="",$U881=""),IF($T881="","","Not on Firms tab"),INDEX(Firms!$B$5:$B$1004,$U881)&amp;"")</f>
        <v/>
      </c>
      <c r="C881" s="78">
        <f>IF($T881="","",IF($S881="S","Standard",INDEX('AFA Rates'!$B$5:$B$1004,$T881)&amp;""))</f>
        <v/>
      </c>
      <c r="D881" s="88">
        <f>IF($T881="","",IF($S881="S",IF(INDEX(Firms!$E$5:$E$1004,$T881)="","",INDEX(Firms!$E$5:$E$1004,$T881)),IF(INDEX('AFA Rates'!$C$5:$C$1004,$T881)="","",INDEX('AFA Rates'!$C$5:$C$1004,$T881))))</f>
        <v/>
      </c>
      <c r="E881" s="88">
        <f>IF($T881="","",IF($S881="S",IF(""="","",""),IF(INDEX('AFA Rates'!$D$5:$D$1004,$T881)="","",INDEX('AFA Rates'!$D$5:$D$1004,$T881))))</f>
        <v/>
      </c>
      <c r="F881" s="79">
        <f>IF($T881="","",IF($S881="S",IF(INDEX(Firms!$O$5:$O$1004,$T881)="","",INDEX(Firms!$O$5:$O$1004,$T881)),IF(INDEX('AFA Rates'!$O$5:$O$1004,$T881)="","",INDEX('AFA Rates'!$O$5:$O$1004,$T881))))</f>
        <v/>
      </c>
      <c r="G881" s="50">
        <f>IF($T881="","",IF($S881="S",IF(INDEX(Firms!$F$5:$F$1004,$T881)="","",INDEX(Firms!$F$5:$F$1004,$T881)),IF(INDEX('AFA Rates'!$E$5:$E$1004,$T881)="","",INDEX('AFA Rates'!$E$5:$E$1004,$T881))))</f>
        <v/>
      </c>
      <c r="H881" s="50">
        <f>IF($T881="","",IF($S881="S",IF(INDEX(Firms!$G$5:$G$1004,$T881)="","",INDEX(Firms!$G$5:$G$1004,$T881)),IF(INDEX('AFA Rates'!$F$5:$F$1004,$T881)="","",INDEX('AFA Rates'!$F$5:$F$1004,$T881))))</f>
        <v/>
      </c>
      <c r="I881" s="50">
        <f>IF($T881="","",IF($S881="S",IF(INDEX(Firms!$H$5:$H$1004,$T881)="","",INDEX(Firms!$H$5:$H$1004,$T881)),IF(INDEX('AFA Rates'!$G$5:$G$1004,$T881)="","",INDEX('AFA Rates'!$G$5:$G$1004,$T881))))</f>
        <v/>
      </c>
      <c r="J881" s="50">
        <f>IF($T881="","",IF($S881="S",IF(INDEX(Firms!$I$5:$I$1004,$T881)="","",INDEX(Firms!$I$5:$I$1004,$T881)),IF(INDEX('AFA Rates'!$H$5:$H$1004,$T881)="","",INDEX('AFA Rates'!$H$5:$H$1004,$T881))))</f>
        <v/>
      </c>
      <c r="K881" s="50">
        <f>IF($T881="","",IF($S881="S",IF(INDEX(Firms!$J$5:$J$1004,$T881)="","",INDEX(Firms!$J$5:$J$1004,$T881)),IF(INDEX('AFA Rates'!$I$5:$I$1004,$T881)="","",INDEX('AFA Rates'!$I$5:$I$1004,$T881))))</f>
        <v/>
      </c>
      <c r="L881" s="50">
        <f>IF($T881="","",IF($S881="S",IF(INDEX(Firms!$K$5:$K$1004,$T881)="","",INDEX(Firms!$K$5:$K$1004,$T881)),IF(INDEX('AFA Rates'!$J$5:$J$1004,$T881)="","",INDEX('AFA Rates'!$J$5:$J$1004,$T881))))</f>
        <v/>
      </c>
      <c r="M881" s="50">
        <f>IF($T881="","",IF($S881="S",IF(INDEX(Firms!$L$5:$L$1004,$T881)="","",INDEX(Firms!$L$5:$L$1004,$T881)),IF(INDEX('AFA Rates'!$K$5:$K$1004,$T881)="","",INDEX('AFA Rates'!$K$5:$K$1004,$T881))))</f>
        <v/>
      </c>
      <c r="N881" s="50">
        <f>IF($T881="","",IF($S881="S",IF(INDEX(Firms!$M$5:$M$1004,$T881)="","",INDEX(Firms!$M$5:$M$1004,$T881)),IF(INDEX('AFA Rates'!$L$5:$L$1004,$T881)="","",INDEX('AFA Rates'!$L$5:$L$1004,$T881))))</f>
        <v/>
      </c>
      <c r="O881" s="78">
        <f>IF(OR($T881="",$U881=""),"",IF(INDEX(Firms!$C$5:$C$1004,$U881)="","",INDEX(Firms!$C$5:$C$1004,$U881)))</f>
        <v/>
      </c>
      <c r="P881" s="79">
        <f>IF(OR($T881="",$U881=""),"",IF(INDEX(Firms!$N$5:$N$1004,$U881)="","",INDEX(Firms!$N$5:$N$1004,$U881)))</f>
        <v/>
      </c>
      <c r="Q881" s="78">
        <f>IF($T881="","",IF($S881="S",IF(INDEX(Firms!$T$5:$T$1004,$T881)="","",INDEX(Firms!$T$5:$T$1004,$T881)),IF(INDEX('AFA Rates'!$M$5:$M$1004,$T881)="","",INDEX('AFA Rates'!$M$5:$M$1004,$T881))))</f>
        <v/>
      </c>
      <c r="S881">
        <f>IF(877&lt;=$S$2,"S",IF(877&lt;=$S$2+$T$2,"A",""))</f>
        <v/>
      </c>
      <c r="T881">
        <f>IF(S881="S",MATCH(877,Firms!$W$5:$W$1004,0),IF(S881="A",IFERROR(MATCH(877-$S$2,'AFA Rates'!$R$5:$R$1004,0),""),""))</f>
        <v/>
      </c>
      <c r="U881">
        <f>IF(S881="S",T881,IF(AND(S881="A",T881&lt;&gt;""),IFERROR(MATCH(INDEX('AFA Rates'!$A$5:$A$1004,T881),Firms!$A$5:$A$1004,0),""),""))</f>
        <v/>
      </c>
    </row>
    <row r="882">
      <c r="A882" s="78">
        <f>IF($T882="","",IF($S882="S",IF(INDEX(Firms!$A$5:$A$1004,$T882)="","",INDEX(Firms!$A$5:$A$1004,$T882)),IF(INDEX('AFA Rates'!$A$5:$A$1004,$T882)="","",INDEX('AFA Rates'!$A$5:$A$1004,$T882))))</f>
        <v/>
      </c>
      <c r="B882" s="79">
        <f>IF(OR($T882="",$U882=""),IF($T882="","","Not on Firms tab"),INDEX(Firms!$B$5:$B$1004,$U882)&amp;"")</f>
        <v/>
      </c>
      <c r="C882" s="78">
        <f>IF($T882="","",IF($S882="S","Standard",INDEX('AFA Rates'!$B$5:$B$1004,$T882)&amp;""))</f>
        <v/>
      </c>
      <c r="D882" s="88">
        <f>IF($T882="","",IF($S882="S",IF(INDEX(Firms!$E$5:$E$1004,$T882)="","",INDEX(Firms!$E$5:$E$1004,$T882)),IF(INDEX('AFA Rates'!$C$5:$C$1004,$T882)="","",INDEX('AFA Rates'!$C$5:$C$1004,$T882))))</f>
        <v/>
      </c>
      <c r="E882" s="88">
        <f>IF($T882="","",IF($S882="S",IF(""="","",""),IF(INDEX('AFA Rates'!$D$5:$D$1004,$T882)="","",INDEX('AFA Rates'!$D$5:$D$1004,$T882))))</f>
        <v/>
      </c>
      <c r="F882" s="79">
        <f>IF($T882="","",IF($S882="S",IF(INDEX(Firms!$O$5:$O$1004,$T882)="","",INDEX(Firms!$O$5:$O$1004,$T882)),IF(INDEX('AFA Rates'!$O$5:$O$1004,$T882)="","",INDEX('AFA Rates'!$O$5:$O$1004,$T882))))</f>
        <v/>
      </c>
      <c r="G882" s="50">
        <f>IF($T882="","",IF($S882="S",IF(INDEX(Firms!$F$5:$F$1004,$T882)="","",INDEX(Firms!$F$5:$F$1004,$T882)),IF(INDEX('AFA Rates'!$E$5:$E$1004,$T882)="","",INDEX('AFA Rates'!$E$5:$E$1004,$T882))))</f>
        <v/>
      </c>
      <c r="H882" s="50">
        <f>IF($T882="","",IF($S882="S",IF(INDEX(Firms!$G$5:$G$1004,$T882)="","",INDEX(Firms!$G$5:$G$1004,$T882)),IF(INDEX('AFA Rates'!$F$5:$F$1004,$T882)="","",INDEX('AFA Rates'!$F$5:$F$1004,$T882))))</f>
        <v/>
      </c>
      <c r="I882" s="50">
        <f>IF($T882="","",IF($S882="S",IF(INDEX(Firms!$H$5:$H$1004,$T882)="","",INDEX(Firms!$H$5:$H$1004,$T882)),IF(INDEX('AFA Rates'!$G$5:$G$1004,$T882)="","",INDEX('AFA Rates'!$G$5:$G$1004,$T882))))</f>
        <v/>
      </c>
      <c r="J882" s="50">
        <f>IF($T882="","",IF($S882="S",IF(INDEX(Firms!$I$5:$I$1004,$T882)="","",INDEX(Firms!$I$5:$I$1004,$T882)),IF(INDEX('AFA Rates'!$H$5:$H$1004,$T882)="","",INDEX('AFA Rates'!$H$5:$H$1004,$T882))))</f>
        <v/>
      </c>
      <c r="K882" s="50">
        <f>IF($T882="","",IF($S882="S",IF(INDEX(Firms!$J$5:$J$1004,$T882)="","",INDEX(Firms!$J$5:$J$1004,$T882)),IF(INDEX('AFA Rates'!$I$5:$I$1004,$T882)="","",INDEX('AFA Rates'!$I$5:$I$1004,$T882))))</f>
        <v/>
      </c>
      <c r="L882" s="50">
        <f>IF($T882="","",IF($S882="S",IF(INDEX(Firms!$K$5:$K$1004,$T882)="","",INDEX(Firms!$K$5:$K$1004,$T882)),IF(INDEX('AFA Rates'!$J$5:$J$1004,$T882)="","",INDEX('AFA Rates'!$J$5:$J$1004,$T882))))</f>
        <v/>
      </c>
      <c r="M882" s="50">
        <f>IF($T882="","",IF($S882="S",IF(INDEX(Firms!$L$5:$L$1004,$T882)="","",INDEX(Firms!$L$5:$L$1004,$T882)),IF(INDEX('AFA Rates'!$K$5:$K$1004,$T882)="","",INDEX('AFA Rates'!$K$5:$K$1004,$T882))))</f>
        <v/>
      </c>
      <c r="N882" s="50">
        <f>IF($T882="","",IF($S882="S",IF(INDEX(Firms!$M$5:$M$1004,$T882)="","",INDEX(Firms!$M$5:$M$1004,$T882)),IF(INDEX('AFA Rates'!$L$5:$L$1004,$T882)="","",INDEX('AFA Rates'!$L$5:$L$1004,$T882))))</f>
        <v/>
      </c>
      <c r="O882" s="78">
        <f>IF(OR($T882="",$U882=""),"",IF(INDEX(Firms!$C$5:$C$1004,$U882)="","",INDEX(Firms!$C$5:$C$1004,$U882)))</f>
        <v/>
      </c>
      <c r="P882" s="79">
        <f>IF(OR($T882="",$U882=""),"",IF(INDEX(Firms!$N$5:$N$1004,$U882)="","",INDEX(Firms!$N$5:$N$1004,$U882)))</f>
        <v/>
      </c>
      <c r="Q882" s="78">
        <f>IF($T882="","",IF($S882="S",IF(INDEX(Firms!$T$5:$T$1004,$T882)="","",INDEX(Firms!$T$5:$T$1004,$T882)),IF(INDEX('AFA Rates'!$M$5:$M$1004,$T882)="","",INDEX('AFA Rates'!$M$5:$M$1004,$T882))))</f>
        <v/>
      </c>
      <c r="S882">
        <f>IF(878&lt;=$S$2,"S",IF(878&lt;=$S$2+$T$2,"A",""))</f>
        <v/>
      </c>
      <c r="T882">
        <f>IF(S882="S",MATCH(878,Firms!$W$5:$W$1004,0),IF(S882="A",IFERROR(MATCH(878-$S$2,'AFA Rates'!$R$5:$R$1004,0),""),""))</f>
        <v/>
      </c>
      <c r="U882">
        <f>IF(S882="S",T882,IF(AND(S882="A",T882&lt;&gt;""),IFERROR(MATCH(INDEX('AFA Rates'!$A$5:$A$1004,T882),Firms!$A$5:$A$1004,0),""),""))</f>
        <v/>
      </c>
    </row>
    <row r="883">
      <c r="A883" s="78">
        <f>IF($T883="","",IF($S883="S",IF(INDEX(Firms!$A$5:$A$1004,$T883)="","",INDEX(Firms!$A$5:$A$1004,$T883)),IF(INDEX('AFA Rates'!$A$5:$A$1004,$T883)="","",INDEX('AFA Rates'!$A$5:$A$1004,$T883))))</f>
        <v/>
      </c>
      <c r="B883" s="79">
        <f>IF(OR($T883="",$U883=""),IF($T883="","","Not on Firms tab"),INDEX(Firms!$B$5:$B$1004,$U883)&amp;"")</f>
        <v/>
      </c>
      <c r="C883" s="78">
        <f>IF($T883="","",IF($S883="S","Standard",INDEX('AFA Rates'!$B$5:$B$1004,$T883)&amp;""))</f>
        <v/>
      </c>
      <c r="D883" s="88">
        <f>IF($T883="","",IF($S883="S",IF(INDEX(Firms!$E$5:$E$1004,$T883)="","",INDEX(Firms!$E$5:$E$1004,$T883)),IF(INDEX('AFA Rates'!$C$5:$C$1004,$T883)="","",INDEX('AFA Rates'!$C$5:$C$1004,$T883))))</f>
        <v/>
      </c>
      <c r="E883" s="88">
        <f>IF($T883="","",IF($S883="S",IF(""="","",""),IF(INDEX('AFA Rates'!$D$5:$D$1004,$T883)="","",INDEX('AFA Rates'!$D$5:$D$1004,$T883))))</f>
        <v/>
      </c>
      <c r="F883" s="79">
        <f>IF($T883="","",IF($S883="S",IF(INDEX(Firms!$O$5:$O$1004,$T883)="","",INDEX(Firms!$O$5:$O$1004,$T883)),IF(INDEX('AFA Rates'!$O$5:$O$1004,$T883)="","",INDEX('AFA Rates'!$O$5:$O$1004,$T883))))</f>
        <v/>
      </c>
      <c r="G883" s="50">
        <f>IF($T883="","",IF($S883="S",IF(INDEX(Firms!$F$5:$F$1004,$T883)="","",INDEX(Firms!$F$5:$F$1004,$T883)),IF(INDEX('AFA Rates'!$E$5:$E$1004,$T883)="","",INDEX('AFA Rates'!$E$5:$E$1004,$T883))))</f>
        <v/>
      </c>
      <c r="H883" s="50">
        <f>IF($T883="","",IF($S883="S",IF(INDEX(Firms!$G$5:$G$1004,$T883)="","",INDEX(Firms!$G$5:$G$1004,$T883)),IF(INDEX('AFA Rates'!$F$5:$F$1004,$T883)="","",INDEX('AFA Rates'!$F$5:$F$1004,$T883))))</f>
        <v/>
      </c>
      <c r="I883" s="50">
        <f>IF($T883="","",IF($S883="S",IF(INDEX(Firms!$H$5:$H$1004,$T883)="","",INDEX(Firms!$H$5:$H$1004,$T883)),IF(INDEX('AFA Rates'!$G$5:$G$1004,$T883)="","",INDEX('AFA Rates'!$G$5:$G$1004,$T883))))</f>
        <v/>
      </c>
      <c r="J883" s="50">
        <f>IF($T883="","",IF($S883="S",IF(INDEX(Firms!$I$5:$I$1004,$T883)="","",INDEX(Firms!$I$5:$I$1004,$T883)),IF(INDEX('AFA Rates'!$H$5:$H$1004,$T883)="","",INDEX('AFA Rates'!$H$5:$H$1004,$T883))))</f>
        <v/>
      </c>
      <c r="K883" s="50">
        <f>IF($T883="","",IF($S883="S",IF(INDEX(Firms!$J$5:$J$1004,$T883)="","",INDEX(Firms!$J$5:$J$1004,$T883)),IF(INDEX('AFA Rates'!$I$5:$I$1004,$T883)="","",INDEX('AFA Rates'!$I$5:$I$1004,$T883))))</f>
        <v/>
      </c>
      <c r="L883" s="50">
        <f>IF($T883="","",IF($S883="S",IF(INDEX(Firms!$K$5:$K$1004,$T883)="","",INDEX(Firms!$K$5:$K$1004,$T883)),IF(INDEX('AFA Rates'!$J$5:$J$1004,$T883)="","",INDEX('AFA Rates'!$J$5:$J$1004,$T883))))</f>
        <v/>
      </c>
      <c r="M883" s="50">
        <f>IF($T883="","",IF($S883="S",IF(INDEX(Firms!$L$5:$L$1004,$T883)="","",INDEX(Firms!$L$5:$L$1004,$T883)),IF(INDEX('AFA Rates'!$K$5:$K$1004,$T883)="","",INDEX('AFA Rates'!$K$5:$K$1004,$T883))))</f>
        <v/>
      </c>
      <c r="N883" s="50">
        <f>IF($T883="","",IF($S883="S",IF(INDEX(Firms!$M$5:$M$1004,$T883)="","",INDEX(Firms!$M$5:$M$1004,$T883)),IF(INDEX('AFA Rates'!$L$5:$L$1004,$T883)="","",INDEX('AFA Rates'!$L$5:$L$1004,$T883))))</f>
        <v/>
      </c>
      <c r="O883" s="78">
        <f>IF(OR($T883="",$U883=""),"",IF(INDEX(Firms!$C$5:$C$1004,$U883)="","",INDEX(Firms!$C$5:$C$1004,$U883)))</f>
        <v/>
      </c>
      <c r="P883" s="79">
        <f>IF(OR($T883="",$U883=""),"",IF(INDEX(Firms!$N$5:$N$1004,$U883)="","",INDEX(Firms!$N$5:$N$1004,$U883)))</f>
        <v/>
      </c>
      <c r="Q883" s="78">
        <f>IF($T883="","",IF($S883="S",IF(INDEX(Firms!$T$5:$T$1004,$T883)="","",INDEX(Firms!$T$5:$T$1004,$T883)),IF(INDEX('AFA Rates'!$M$5:$M$1004,$T883)="","",INDEX('AFA Rates'!$M$5:$M$1004,$T883))))</f>
        <v/>
      </c>
      <c r="S883">
        <f>IF(879&lt;=$S$2,"S",IF(879&lt;=$S$2+$T$2,"A",""))</f>
        <v/>
      </c>
      <c r="T883">
        <f>IF(S883="S",MATCH(879,Firms!$W$5:$W$1004,0),IF(S883="A",IFERROR(MATCH(879-$S$2,'AFA Rates'!$R$5:$R$1004,0),""),""))</f>
        <v/>
      </c>
      <c r="U883">
        <f>IF(S883="S",T883,IF(AND(S883="A",T883&lt;&gt;""),IFERROR(MATCH(INDEX('AFA Rates'!$A$5:$A$1004,T883),Firms!$A$5:$A$1004,0),""),""))</f>
        <v/>
      </c>
    </row>
    <row r="884">
      <c r="A884" s="78">
        <f>IF($T884="","",IF($S884="S",IF(INDEX(Firms!$A$5:$A$1004,$T884)="","",INDEX(Firms!$A$5:$A$1004,$T884)),IF(INDEX('AFA Rates'!$A$5:$A$1004,$T884)="","",INDEX('AFA Rates'!$A$5:$A$1004,$T884))))</f>
        <v/>
      </c>
      <c r="B884" s="79">
        <f>IF(OR($T884="",$U884=""),IF($T884="","","Not on Firms tab"),INDEX(Firms!$B$5:$B$1004,$U884)&amp;"")</f>
        <v/>
      </c>
      <c r="C884" s="78">
        <f>IF($T884="","",IF($S884="S","Standard",INDEX('AFA Rates'!$B$5:$B$1004,$T884)&amp;""))</f>
        <v/>
      </c>
      <c r="D884" s="88">
        <f>IF($T884="","",IF($S884="S",IF(INDEX(Firms!$E$5:$E$1004,$T884)="","",INDEX(Firms!$E$5:$E$1004,$T884)),IF(INDEX('AFA Rates'!$C$5:$C$1004,$T884)="","",INDEX('AFA Rates'!$C$5:$C$1004,$T884))))</f>
        <v/>
      </c>
      <c r="E884" s="88">
        <f>IF($T884="","",IF($S884="S",IF(""="","",""),IF(INDEX('AFA Rates'!$D$5:$D$1004,$T884)="","",INDEX('AFA Rates'!$D$5:$D$1004,$T884))))</f>
        <v/>
      </c>
      <c r="F884" s="79">
        <f>IF($T884="","",IF($S884="S",IF(INDEX(Firms!$O$5:$O$1004,$T884)="","",INDEX(Firms!$O$5:$O$1004,$T884)),IF(INDEX('AFA Rates'!$O$5:$O$1004,$T884)="","",INDEX('AFA Rates'!$O$5:$O$1004,$T884))))</f>
        <v/>
      </c>
      <c r="G884" s="50">
        <f>IF($T884="","",IF($S884="S",IF(INDEX(Firms!$F$5:$F$1004,$T884)="","",INDEX(Firms!$F$5:$F$1004,$T884)),IF(INDEX('AFA Rates'!$E$5:$E$1004,$T884)="","",INDEX('AFA Rates'!$E$5:$E$1004,$T884))))</f>
        <v/>
      </c>
      <c r="H884" s="50">
        <f>IF($T884="","",IF($S884="S",IF(INDEX(Firms!$G$5:$G$1004,$T884)="","",INDEX(Firms!$G$5:$G$1004,$T884)),IF(INDEX('AFA Rates'!$F$5:$F$1004,$T884)="","",INDEX('AFA Rates'!$F$5:$F$1004,$T884))))</f>
        <v/>
      </c>
      <c r="I884" s="50">
        <f>IF($T884="","",IF($S884="S",IF(INDEX(Firms!$H$5:$H$1004,$T884)="","",INDEX(Firms!$H$5:$H$1004,$T884)),IF(INDEX('AFA Rates'!$G$5:$G$1004,$T884)="","",INDEX('AFA Rates'!$G$5:$G$1004,$T884))))</f>
        <v/>
      </c>
      <c r="J884" s="50">
        <f>IF($T884="","",IF($S884="S",IF(INDEX(Firms!$I$5:$I$1004,$T884)="","",INDEX(Firms!$I$5:$I$1004,$T884)),IF(INDEX('AFA Rates'!$H$5:$H$1004,$T884)="","",INDEX('AFA Rates'!$H$5:$H$1004,$T884))))</f>
        <v/>
      </c>
      <c r="K884" s="50">
        <f>IF($T884="","",IF($S884="S",IF(INDEX(Firms!$J$5:$J$1004,$T884)="","",INDEX(Firms!$J$5:$J$1004,$T884)),IF(INDEX('AFA Rates'!$I$5:$I$1004,$T884)="","",INDEX('AFA Rates'!$I$5:$I$1004,$T884))))</f>
        <v/>
      </c>
      <c r="L884" s="50">
        <f>IF($T884="","",IF($S884="S",IF(INDEX(Firms!$K$5:$K$1004,$T884)="","",INDEX(Firms!$K$5:$K$1004,$T884)),IF(INDEX('AFA Rates'!$J$5:$J$1004,$T884)="","",INDEX('AFA Rates'!$J$5:$J$1004,$T884))))</f>
        <v/>
      </c>
      <c r="M884" s="50">
        <f>IF($T884="","",IF($S884="S",IF(INDEX(Firms!$L$5:$L$1004,$T884)="","",INDEX(Firms!$L$5:$L$1004,$T884)),IF(INDEX('AFA Rates'!$K$5:$K$1004,$T884)="","",INDEX('AFA Rates'!$K$5:$K$1004,$T884))))</f>
        <v/>
      </c>
      <c r="N884" s="50">
        <f>IF($T884="","",IF($S884="S",IF(INDEX(Firms!$M$5:$M$1004,$T884)="","",INDEX(Firms!$M$5:$M$1004,$T884)),IF(INDEX('AFA Rates'!$L$5:$L$1004,$T884)="","",INDEX('AFA Rates'!$L$5:$L$1004,$T884))))</f>
        <v/>
      </c>
      <c r="O884" s="78">
        <f>IF(OR($T884="",$U884=""),"",IF(INDEX(Firms!$C$5:$C$1004,$U884)="","",INDEX(Firms!$C$5:$C$1004,$U884)))</f>
        <v/>
      </c>
      <c r="P884" s="79">
        <f>IF(OR($T884="",$U884=""),"",IF(INDEX(Firms!$N$5:$N$1004,$U884)="","",INDEX(Firms!$N$5:$N$1004,$U884)))</f>
        <v/>
      </c>
      <c r="Q884" s="78">
        <f>IF($T884="","",IF($S884="S",IF(INDEX(Firms!$T$5:$T$1004,$T884)="","",INDEX(Firms!$T$5:$T$1004,$T884)),IF(INDEX('AFA Rates'!$M$5:$M$1004,$T884)="","",INDEX('AFA Rates'!$M$5:$M$1004,$T884))))</f>
        <v/>
      </c>
      <c r="S884">
        <f>IF(880&lt;=$S$2,"S",IF(880&lt;=$S$2+$T$2,"A",""))</f>
        <v/>
      </c>
      <c r="T884">
        <f>IF(S884="S",MATCH(880,Firms!$W$5:$W$1004,0),IF(S884="A",IFERROR(MATCH(880-$S$2,'AFA Rates'!$R$5:$R$1004,0),""),""))</f>
        <v/>
      </c>
      <c r="U884">
        <f>IF(S884="S",T884,IF(AND(S884="A",T884&lt;&gt;""),IFERROR(MATCH(INDEX('AFA Rates'!$A$5:$A$1004,T884),Firms!$A$5:$A$1004,0),""),""))</f>
        <v/>
      </c>
    </row>
    <row r="885">
      <c r="A885" s="78">
        <f>IF($T885="","",IF($S885="S",IF(INDEX(Firms!$A$5:$A$1004,$T885)="","",INDEX(Firms!$A$5:$A$1004,$T885)),IF(INDEX('AFA Rates'!$A$5:$A$1004,$T885)="","",INDEX('AFA Rates'!$A$5:$A$1004,$T885))))</f>
        <v/>
      </c>
      <c r="B885" s="79">
        <f>IF(OR($T885="",$U885=""),IF($T885="","","Not on Firms tab"),INDEX(Firms!$B$5:$B$1004,$U885)&amp;"")</f>
        <v/>
      </c>
      <c r="C885" s="78">
        <f>IF($T885="","",IF($S885="S","Standard",INDEX('AFA Rates'!$B$5:$B$1004,$T885)&amp;""))</f>
        <v/>
      </c>
      <c r="D885" s="88">
        <f>IF($T885="","",IF($S885="S",IF(INDEX(Firms!$E$5:$E$1004,$T885)="","",INDEX(Firms!$E$5:$E$1004,$T885)),IF(INDEX('AFA Rates'!$C$5:$C$1004,$T885)="","",INDEX('AFA Rates'!$C$5:$C$1004,$T885))))</f>
        <v/>
      </c>
      <c r="E885" s="88">
        <f>IF($T885="","",IF($S885="S",IF(""="","",""),IF(INDEX('AFA Rates'!$D$5:$D$1004,$T885)="","",INDEX('AFA Rates'!$D$5:$D$1004,$T885))))</f>
        <v/>
      </c>
      <c r="F885" s="79">
        <f>IF($T885="","",IF($S885="S",IF(INDEX(Firms!$O$5:$O$1004,$T885)="","",INDEX(Firms!$O$5:$O$1004,$T885)),IF(INDEX('AFA Rates'!$O$5:$O$1004,$T885)="","",INDEX('AFA Rates'!$O$5:$O$1004,$T885))))</f>
        <v/>
      </c>
      <c r="G885" s="50">
        <f>IF($T885="","",IF($S885="S",IF(INDEX(Firms!$F$5:$F$1004,$T885)="","",INDEX(Firms!$F$5:$F$1004,$T885)),IF(INDEX('AFA Rates'!$E$5:$E$1004,$T885)="","",INDEX('AFA Rates'!$E$5:$E$1004,$T885))))</f>
        <v/>
      </c>
      <c r="H885" s="50">
        <f>IF($T885="","",IF($S885="S",IF(INDEX(Firms!$G$5:$G$1004,$T885)="","",INDEX(Firms!$G$5:$G$1004,$T885)),IF(INDEX('AFA Rates'!$F$5:$F$1004,$T885)="","",INDEX('AFA Rates'!$F$5:$F$1004,$T885))))</f>
        <v/>
      </c>
      <c r="I885" s="50">
        <f>IF($T885="","",IF($S885="S",IF(INDEX(Firms!$H$5:$H$1004,$T885)="","",INDEX(Firms!$H$5:$H$1004,$T885)),IF(INDEX('AFA Rates'!$G$5:$G$1004,$T885)="","",INDEX('AFA Rates'!$G$5:$G$1004,$T885))))</f>
        <v/>
      </c>
      <c r="J885" s="50">
        <f>IF($T885="","",IF($S885="S",IF(INDEX(Firms!$I$5:$I$1004,$T885)="","",INDEX(Firms!$I$5:$I$1004,$T885)),IF(INDEX('AFA Rates'!$H$5:$H$1004,$T885)="","",INDEX('AFA Rates'!$H$5:$H$1004,$T885))))</f>
        <v/>
      </c>
      <c r="K885" s="50">
        <f>IF($T885="","",IF($S885="S",IF(INDEX(Firms!$J$5:$J$1004,$T885)="","",INDEX(Firms!$J$5:$J$1004,$T885)),IF(INDEX('AFA Rates'!$I$5:$I$1004,$T885)="","",INDEX('AFA Rates'!$I$5:$I$1004,$T885))))</f>
        <v/>
      </c>
      <c r="L885" s="50">
        <f>IF($T885="","",IF($S885="S",IF(INDEX(Firms!$K$5:$K$1004,$T885)="","",INDEX(Firms!$K$5:$K$1004,$T885)),IF(INDEX('AFA Rates'!$J$5:$J$1004,$T885)="","",INDEX('AFA Rates'!$J$5:$J$1004,$T885))))</f>
        <v/>
      </c>
      <c r="M885" s="50">
        <f>IF($T885="","",IF($S885="S",IF(INDEX(Firms!$L$5:$L$1004,$T885)="","",INDEX(Firms!$L$5:$L$1004,$T885)),IF(INDEX('AFA Rates'!$K$5:$K$1004,$T885)="","",INDEX('AFA Rates'!$K$5:$K$1004,$T885))))</f>
        <v/>
      </c>
      <c r="N885" s="50">
        <f>IF($T885="","",IF($S885="S",IF(INDEX(Firms!$M$5:$M$1004,$T885)="","",INDEX(Firms!$M$5:$M$1004,$T885)),IF(INDEX('AFA Rates'!$L$5:$L$1004,$T885)="","",INDEX('AFA Rates'!$L$5:$L$1004,$T885))))</f>
        <v/>
      </c>
      <c r="O885" s="78">
        <f>IF(OR($T885="",$U885=""),"",IF(INDEX(Firms!$C$5:$C$1004,$U885)="","",INDEX(Firms!$C$5:$C$1004,$U885)))</f>
        <v/>
      </c>
      <c r="P885" s="79">
        <f>IF(OR($T885="",$U885=""),"",IF(INDEX(Firms!$N$5:$N$1004,$U885)="","",INDEX(Firms!$N$5:$N$1004,$U885)))</f>
        <v/>
      </c>
      <c r="Q885" s="78">
        <f>IF($T885="","",IF($S885="S",IF(INDEX(Firms!$T$5:$T$1004,$T885)="","",INDEX(Firms!$T$5:$T$1004,$T885)),IF(INDEX('AFA Rates'!$M$5:$M$1004,$T885)="","",INDEX('AFA Rates'!$M$5:$M$1004,$T885))))</f>
        <v/>
      </c>
      <c r="S885">
        <f>IF(881&lt;=$S$2,"S",IF(881&lt;=$S$2+$T$2,"A",""))</f>
        <v/>
      </c>
      <c r="T885">
        <f>IF(S885="S",MATCH(881,Firms!$W$5:$W$1004,0),IF(S885="A",IFERROR(MATCH(881-$S$2,'AFA Rates'!$R$5:$R$1004,0),""),""))</f>
        <v/>
      </c>
      <c r="U885">
        <f>IF(S885="S",T885,IF(AND(S885="A",T885&lt;&gt;""),IFERROR(MATCH(INDEX('AFA Rates'!$A$5:$A$1004,T885),Firms!$A$5:$A$1004,0),""),""))</f>
        <v/>
      </c>
    </row>
    <row r="886">
      <c r="A886" s="78">
        <f>IF($T886="","",IF($S886="S",IF(INDEX(Firms!$A$5:$A$1004,$T886)="","",INDEX(Firms!$A$5:$A$1004,$T886)),IF(INDEX('AFA Rates'!$A$5:$A$1004,$T886)="","",INDEX('AFA Rates'!$A$5:$A$1004,$T886))))</f>
        <v/>
      </c>
      <c r="B886" s="79">
        <f>IF(OR($T886="",$U886=""),IF($T886="","","Not on Firms tab"),INDEX(Firms!$B$5:$B$1004,$U886)&amp;"")</f>
        <v/>
      </c>
      <c r="C886" s="78">
        <f>IF($T886="","",IF($S886="S","Standard",INDEX('AFA Rates'!$B$5:$B$1004,$T886)&amp;""))</f>
        <v/>
      </c>
      <c r="D886" s="88">
        <f>IF($T886="","",IF($S886="S",IF(INDEX(Firms!$E$5:$E$1004,$T886)="","",INDEX(Firms!$E$5:$E$1004,$T886)),IF(INDEX('AFA Rates'!$C$5:$C$1004,$T886)="","",INDEX('AFA Rates'!$C$5:$C$1004,$T886))))</f>
        <v/>
      </c>
      <c r="E886" s="88">
        <f>IF($T886="","",IF($S886="S",IF(""="","",""),IF(INDEX('AFA Rates'!$D$5:$D$1004,$T886)="","",INDEX('AFA Rates'!$D$5:$D$1004,$T886))))</f>
        <v/>
      </c>
      <c r="F886" s="79">
        <f>IF($T886="","",IF($S886="S",IF(INDEX(Firms!$O$5:$O$1004,$T886)="","",INDEX(Firms!$O$5:$O$1004,$T886)),IF(INDEX('AFA Rates'!$O$5:$O$1004,$T886)="","",INDEX('AFA Rates'!$O$5:$O$1004,$T886))))</f>
        <v/>
      </c>
      <c r="G886" s="50">
        <f>IF($T886="","",IF($S886="S",IF(INDEX(Firms!$F$5:$F$1004,$T886)="","",INDEX(Firms!$F$5:$F$1004,$T886)),IF(INDEX('AFA Rates'!$E$5:$E$1004,$T886)="","",INDEX('AFA Rates'!$E$5:$E$1004,$T886))))</f>
        <v/>
      </c>
      <c r="H886" s="50">
        <f>IF($T886="","",IF($S886="S",IF(INDEX(Firms!$G$5:$G$1004,$T886)="","",INDEX(Firms!$G$5:$G$1004,$T886)),IF(INDEX('AFA Rates'!$F$5:$F$1004,$T886)="","",INDEX('AFA Rates'!$F$5:$F$1004,$T886))))</f>
        <v/>
      </c>
      <c r="I886" s="50">
        <f>IF($T886="","",IF($S886="S",IF(INDEX(Firms!$H$5:$H$1004,$T886)="","",INDEX(Firms!$H$5:$H$1004,$T886)),IF(INDEX('AFA Rates'!$G$5:$G$1004,$T886)="","",INDEX('AFA Rates'!$G$5:$G$1004,$T886))))</f>
        <v/>
      </c>
      <c r="J886" s="50">
        <f>IF($T886="","",IF($S886="S",IF(INDEX(Firms!$I$5:$I$1004,$T886)="","",INDEX(Firms!$I$5:$I$1004,$T886)),IF(INDEX('AFA Rates'!$H$5:$H$1004,$T886)="","",INDEX('AFA Rates'!$H$5:$H$1004,$T886))))</f>
        <v/>
      </c>
      <c r="K886" s="50">
        <f>IF($T886="","",IF($S886="S",IF(INDEX(Firms!$J$5:$J$1004,$T886)="","",INDEX(Firms!$J$5:$J$1004,$T886)),IF(INDEX('AFA Rates'!$I$5:$I$1004,$T886)="","",INDEX('AFA Rates'!$I$5:$I$1004,$T886))))</f>
        <v/>
      </c>
      <c r="L886" s="50">
        <f>IF($T886="","",IF($S886="S",IF(INDEX(Firms!$K$5:$K$1004,$T886)="","",INDEX(Firms!$K$5:$K$1004,$T886)),IF(INDEX('AFA Rates'!$J$5:$J$1004,$T886)="","",INDEX('AFA Rates'!$J$5:$J$1004,$T886))))</f>
        <v/>
      </c>
      <c r="M886" s="50">
        <f>IF($T886="","",IF($S886="S",IF(INDEX(Firms!$L$5:$L$1004,$T886)="","",INDEX(Firms!$L$5:$L$1004,$T886)),IF(INDEX('AFA Rates'!$K$5:$K$1004,$T886)="","",INDEX('AFA Rates'!$K$5:$K$1004,$T886))))</f>
        <v/>
      </c>
      <c r="N886" s="50">
        <f>IF($T886="","",IF($S886="S",IF(INDEX(Firms!$M$5:$M$1004,$T886)="","",INDEX(Firms!$M$5:$M$1004,$T886)),IF(INDEX('AFA Rates'!$L$5:$L$1004,$T886)="","",INDEX('AFA Rates'!$L$5:$L$1004,$T886))))</f>
        <v/>
      </c>
      <c r="O886" s="78">
        <f>IF(OR($T886="",$U886=""),"",IF(INDEX(Firms!$C$5:$C$1004,$U886)="","",INDEX(Firms!$C$5:$C$1004,$U886)))</f>
        <v/>
      </c>
      <c r="P886" s="79">
        <f>IF(OR($T886="",$U886=""),"",IF(INDEX(Firms!$N$5:$N$1004,$U886)="","",INDEX(Firms!$N$5:$N$1004,$U886)))</f>
        <v/>
      </c>
      <c r="Q886" s="78">
        <f>IF($T886="","",IF($S886="S",IF(INDEX(Firms!$T$5:$T$1004,$T886)="","",INDEX(Firms!$T$5:$T$1004,$T886)),IF(INDEX('AFA Rates'!$M$5:$M$1004,$T886)="","",INDEX('AFA Rates'!$M$5:$M$1004,$T886))))</f>
        <v/>
      </c>
      <c r="S886">
        <f>IF(882&lt;=$S$2,"S",IF(882&lt;=$S$2+$T$2,"A",""))</f>
        <v/>
      </c>
      <c r="T886">
        <f>IF(S886="S",MATCH(882,Firms!$W$5:$W$1004,0),IF(S886="A",IFERROR(MATCH(882-$S$2,'AFA Rates'!$R$5:$R$1004,0),""),""))</f>
        <v/>
      </c>
      <c r="U886">
        <f>IF(S886="S",T886,IF(AND(S886="A",T886&lt;&gt;""),IFERROR(MATCH(INDEX('AFA Rates'!$A$5:$A$1004,T886),Firms!$A$5:$A$1004,0),""),""))</f>
        <v/>
      </c>
    </row>
    <row r="887">
      <c r="A887" s="78">
        <f>IF($T887="","",IF($S887="S",IF(INDEX(Firms!$A$5:$A$1004,$T887)="","",INDEX(Firms!$A$5:$A$1004,$T887)),IF(INDEX('AFA Rates'!$A$5:$A$1004,$T887)="","",INDEX('AFA Rates'!$A$5:$A$1004,$T887))))</f>
        <v/>
      </c>
      <c r="B887" s="79">
        <f>IF(OR($T887="",$U887=""),IF($T887="","","Not on Firms tab"),INDEX(Firms!$B$5:$B$1004,$U887)&amp;"")</f>
        <v/>
      </c>
      <c r="C887" s="78">
        <f>IF($T887="","",IF($S887="S","Standard",INDEX('AFA Rates'!$B$5:$B$1004,$T887)&amp;""))</f>
        <v/>
      </c>
      <c r="D887" s="88">
        <f>IF($T887="","",IF($S887="S",IF(INDEX(Firms!$E$5:$E$1004,$T887)="","",INDEX(Firms!$E$5:$E$1004,$T887)),IF(INDEX('AFA Rates'!$C$5:$C$1004,$T887)="","",INDEX('AFA Rates'!$C$5:$C$1004,$T887))))</f>
        <v/>
      </c>
      <c r="E887" s="88">
        <f>IF($T887="","",IF($S887="S",IF(""="","",""),IF(INDEX('AFA Rates'!$D$5:$D$1004,$T887)="","",INDEX('AFA Rates'!$D$5:$D$1004,$T887))))</f>
        <v/>
      </c>
      <c r="F887" s="79">
        <f>IF($T887="","",IF($S887="S",IF(INDEX(Firms!$O$5:$O$1004,$T887)="","",INDEX(Firms!$O$5:$O$1004,$T887)),IF(INDEX('AFA Rates'!$O$5:$O$1004,$T887)="","",INDEX('AFA Rates'!$O$5:$O$1004,$T887))))</f>
        <v/>
      </c>
      <c r="G887" s="50">
        <f>IF($T887="","",IF($S887="S",IF(INDEX(Firms!$F$5:$F$1004,$T887)="","",INDEX(Firms!$F$5:$F$1004,$T887)),IF(INDEX('AFA Rates'!$E$5:$E$1004,$T887)="","",INDEX('AFA Rates'!$E$5:$E$1004,$T887))))</f>
        <v/>
      </c>
      <c r="H887" s="50">
        <f>IF($T887="","",IF($S887="S",IF(INDEX(Firms!$G$5:$G$1004,$T887)="","",INDEX(Firms!$G$5:$G$1004,$T887)),IF(INDEX('AFA Rates'!$F$5:$F$1004,$T887)="","",INDEX('AFA Rates'!$F$5:$F$1004,$T887))))</f>
        <v/>
      </c>
      <c r="I887" s="50">
        <f>IF($T887="","",IF($S887="S",IF(INDEX(Firms!$H$5:$H$1004,$T887)="","",INDEX(Firms!$H$5:$H$1004,$T887)),IF(INDEX('AFA Rates'!$G$5:$G$1004,$T887)="","",INDEX('AFA Rates'!$G$5:$G$1004,$T887))))</f>
        <v/>
      </c>
      <c r="J887" s="50">
        <f>IF($T887="","",IF($S887="S",IF(INDEX(Firms!$I$5:$I$1004,$T887)="","",INDEX(Firms!$I$5:$I$1004,$T887)),IF(INDEX('AFA Rates'!$H$5:$H$1004,$T887)="","",INDEX('AFA Rates'!$H$5:$H$1004,$T887))))</f>
        <v/>
      </c>
      <c r="K887" s="50">
        <f>IF($T887="","",IF($S887="S",IF(INDEX(Firms!$J$5:$J$1004,$T887)="","",INDEX(Firms!$J$5:$J$1004,$T887)),IF(INDEX('AFA Rates'!$I$5:$I$1004,$T887)="","",INDEX('AFA Rates'!$I$5:$I$1004,$T887))))</f>
        <v/>
      </c>
      <c r="L887" s="50">
        <f>IF($T887="","",IF($S887="S",IF(INDEX(Firms!$K$5:$K$1004,$T887)="","",INDEX(Firms!$K$5:$K$1004,$T887)),IF(INDEX('AFA Rates'!$J$5:$J$1004,$T887)="","",INDEX('AFA Rates'!$J$5:$J$1004,$T887))))</f>
        <v/>
      </c>
      <c r="M887" s="50">
        <f>IF($T887="","",IF($S887="S",IF(INDEX(Firms!$L$5:$L$1004,$T887)="","",INDEX(Firms!$L$5:$L$1004,$T887)),IF(INDEX('AFA Rates'!$K$5:$K$1004,$T887)="","",INDEX('AFA Rates'!$K$5:$K$1004,$T887))))</f>
        <v/>
      </c>
      <c r="N887" s="50">
        <f>IF($T887="","",IF($S887="S",IF(INDEX(Firms!$M$5:$M$1004,$T887)="","",INDEX(Firms!$M$5:$M$1004,$T887)),IF(INDEX('AFA Rates'!$L$5:$L$1004,$T887)="","",INDEX('AFA Rates'!$L$5:$L$1004,$T887))))</f>
        <v/>
      </c>
      <c r="O887" s="78">
        <f>IF(OR($T887="",$U887=""),"",IF(INDEX(Firms!$C$5:$C$1004,$U887)="","",INDEX(Firms!$C$5:$C$1004,$U887)))</f>
        <v/>
      </c>
      <c r="P887" s="79">
        <f>IF(OR($T887="",$U887=""),"",IF(INDEX(Firms!$N$5:$N$1004,$U887)="","",INDEX(Firms!$N$5:$N$1004,$U887)))</f>
        <v/>
      </c>
      <c r="Q887" s="78">
        <f>IF($T887="","",IF($S887="S",IF(INDEX(Firms!$T$5:$T$1004,$T887)="","",INDEX(Firms!$T$5:$T$1004,$T887)),IF(INDEX('AFA Rates'!$M$5:$M$1004,$T887)="","",INDEX('AFA Rates'!$M$5:$M$1004,$T887))))</f>
        <v/>
      </c>
      <c r="S887">
        <f>IF(883&lt;=$S$2,"S",IF(883&lt;=$S$2+$T$2,"A",""))</f>
        <v/>
      </c>
      <c r="T887">
        <f>IF(S887="S",MATCH(883,Firms!$W$5:$W$1004,0),IF(S887="A",IFERROR(MATCH(883-$S$2,'AFA Rates'!$R$5:$R$1004,0),""),""))</f>
        <v/>
      </c>
      <c r="U887">
        <f>IF(S887="S",T887,IF(AND(S887="A",T887&lt;&gt;""),IFERROR(MATCH(INDEX('AFA Rates'!$A$5:$A$1004,T887),Firms!$A$5:$A$1004,0),""),""))</f>
        <v/>
      </c>
    </row>
    <row r="888">
      <c r="A888" s="78">
        <f>IF($T888="","",IF($S888="S",IF(INDEX(Firms!$A$5:$A$1004,$T888)="","",INDEX(Firms!$A$5:$A$1004,$T888)),IF(INDEX('AFA Rates'!$A$5:$A$1004,$T888)="","",INDEX('AFA Rates'!$A$5:$A$1004,$T888))))</f>
        <v/>
      </c>
      <c r="B888" s="79">
        <f>IF(OR($T888="",$U888=""),IF($T888="","","Not on Firms tab"),INDEX(Firms!$B$5:$B$1004,$U888)&amp;"")</f>
        <v/>
      </c>
      <c r="C888" s="78">
        <f>IF($T888="","",IF($S888="S","Standard",INDEX('AFA Rates'!$B$5:$B$1004,$T888)&amp;""))</f>
        <v/>
      </c>
      <c r="D888" s="88">
        <f>IF($T888="","",IF($S888="S",IF(INDEX(Firms!$E$5:$E$1004,$T888)="","",INDEX(Firms!$E$5:$E$1004,$T888)),IF(INDEX('AFA Rates'!$C$5:$C$1004,$T888)="","",INDEX('AFA Rates'!$C$5:$C$1004,$T888))))</f>
        <v/>
      </c>
      <c r="E888" s="88">
        <f>IF($T888="","",IF($S888="S",IF(""="","",""),IF(INDEX('AFA Rates'!$D$5:$D$1004,$T888)="","",INDEX('AFA Rates'!$D$5:$D$1004,$T888))))</f>
        <v/>
      </c>
      <c r="F888" s="79">
        <f>IF($T888="","",IF($S888="S",IF(INDEX(Firms!$O$5:$O$1004,$T888)="","",INDEX(Firms!$O$5:$O$1004,$T888)),IF(INDEX('AFA Rates'!$O$5:$O$1004,$T888)="","",INDEX('AFA Rates'!$O$5:$O$1004,$T888))))</f>
        <v/>
      </c>
      <c r="G888" s="50">
        <f>IF($T888="","",IF($S888="S",IF(INDEX(Firms!$F$5:$F$1004,$T888)="","",INDEX(Firms!$F$5:$F$1004,$T888)),IF(INDEX('AFA Rates'!$E$5:$E$1004,$T888)="","",INDEX('AFA Rates'!$E$5:$E$1004,$T888))))</f>
        <v/>
      </c>
      <c r="H888" s="50">
        <f>IF($T888="","",IF($S888="S",IF(INDEX(Firms!$G$5:$G$1004,$T888)="","",INDEX(Firms!$G$5:$G$1004,$T888)),IF(INDEX('AFA Rates'!$F$5:$F$1004,$T888)="","",INDEX('AFA Rates'!$F$5:$F$1004,$T888))))</f>
        <v/>
      </c>
      <c r="I888" s="50">
        <f>IF($T888="","",IF($S888="S",IF(INDEX(Firms!$H$5:$H$1004,$T888)="","",INDEX(Firms!$H$5:$H$1004,$T888)),IF(INDEX('AFA Rates'!$G$5:$G$1004,$T888)="","",INDEX('AFA Rates'!$G$5:$G$1004,$T888))))</f>
        <v/>
      </c>
      <c r="J888" s="50">
        <f>IF($T888="","",IF($S888="S",IF(INDEX(Firms!$I$5:$I$1004,$T888)="","",INDEX(Firms!$I$5:$I$1004,$T888)),IF(INDEX('AFA Rates'!$H$5:$H$1004,$T888)="","",INDEX('AFA Rates'!$H$5:$H$1004,$T888))))</f>
        <v/>
      </c>
      <c r="K888" s="50">
        <f>IF($T888="","",IF($S888="S",IF(INDEX(Firms!$J$5:$J$1004,$T888)="","",INDEX(Firms!$J$5:$J$1004,$T888)),IF(INDEX('AFA Rates'!$I$5:$I$1004,$T888)="","",INDEX('AFA Rates'!$I$5:$I$1004,$T888))))</f>
        <v/>
      </c>
      <c r="L888" s="50">
        <f>IF($T888="","",IF($S888="S",IF(INDEX(Firms!$K$5:$K$1004,$T888)="","",INDEX(Firms!$K$5:$K$1004,$T888)),IF(INDEX('AFA Rates'!$J$5:$J$1004,$T888)="","",INDEX('AFA Rates'!$J$5:$J$1004,$T888))))</f>
        <v/>
      </c>
      <c r="M888" s="50">
        <f>IF($T888="","",IF($S888="S",IF(INDEX(Firms!$L$5:$L$1004,$T888)="","",INDEX(Firms!$L$5:$L$1004,$T888)),IF(INDEX('AFA Rates'!$K$5:$K$1004,$T888)="","",INDEX('AFA Rates'!$K$5:$K$1004,$T888))))</f>
        <v/>
      </c>
      <c r="N888" s="50">
        <f>IF($T888="","",IF($S888="S",IF(INDEX(Firms!$M$5:$M$1004,$T888)="","",INDEX(Firms!$M$5:$M$1004,$T888)),IF(INDEX('AFA Rates'!$L$5:$L$1004,$T888)="","",INDEX('AFA Rates'!$L$5:$L$1004,$T888))))</f>
        <v/>
      </c>
      <c r="O888" s="78">
        <f>IF(OR($T888="",$U888=""),"",IF(INDEX(Firms!$C$5:$C$1004,$U888)="","",INDEX(Firms!$C$5:$C$1004,$U888)))</f>
        <v/>
      </c>
      <c r="P888" s="79">
        <f>IF(OR($T888="",$U888=""),"",IF(INDEX(Firms!$N$5:$N$1004,$U888)="","",INDEX(Firms!$N$5:$N$1004,$U888)))</f>
        <v/>
      </c>
      <c r="Q888" s="78">
        <f>IF($T888="","",IF($S888="S",IF(INDEX(Firms!$T$5:$T$1004,$T888)="","",INDEX(Firms!$T$5:$T$1004,$T888)),IF(INDEX('AFA Rates'!$M$5:$M$1004,$T888)="","",INDEX('AFA Rates'!$M$5:$M$1004,$T888))))</f>
        <v/>
      </c>
      <c r="S888">
        <f>IF(884&lt;=$S$2,"S",IF(884&lt;=$S$2+$T$2,"A",""))</f>
        <v/>
      </c>
      <c r="T888">
        <f>IF(S888="S",MATCH(884,Firms!$W$5:$W$1004,0),IF(S888="A",IFERROR(MATCH(884-$S$2,'AFA Rates'!$R$5:$R$1004,0),""),""))</f>
        <v/>
      </c>
      <c r="U888">
        <f>IF(S888="S",T888,IF(AND(S888="A",T888&lt;&gt;""),IFERROR(MATCH(INDEX('AFA Rates'!$A$5:$A$1004,T888),Firms!$A$5:$A$1004,0),""),""))</f>
        <v/>
      </c>
    </row>
    <row r="889">
      <c r="A889" s="78">
        <f>IF($T889="","",IF($S889="S",IF(INDEX(Firms!$A$5:$A$1004,$T889)="","",INDEX(Firms!$A$5:$A$1004,$T889)),IF(INDEX('AFA Rates'!$A$5:$A$1004,$T889)="","",INDEX('AFA Rates'!$A$5:$A$1004,$T889))))</f>
        <v/>
      </c>
      <c r="B889" s="79">
        <f>IF(OR($T889="",$U889=""),IF($T889="","","Not on Firms tab"),INDEX(Firms!$B$5:$B$1004,$U889)&amp;"")</f>
        <v/>
      </c>
      <c r="C889" s="78">
        <f>IF($T889="","",IF($S889="S","Standard",INDEX('AFA Rates'!$B$5:$B$1004,$T889)&amp;""))</f>
        <v/>
      </c>
      <c r="D889" s="88">
        <f>IF($T889="","",IF($S889="S",IF(INDEX(Firms!$E$5:$E$1004,$T889)="","",INDEX(Firms!$E$5:$E$1004,$T889)),IF(INDEX('AFA Rates'!$C$5:$C$1004,$T889)="","",INDEX('AFA Rates'!$C$5:$C$1004,$T889))))</f>
        <v/>
      </c>
      <c r="E889" s="88">
        <f>IF($T889="","",IF($S889="S",IF(""="","",""),IF(INDEX('AFA Rates'!$D$5:$D$1004,$T889)="","",INDEX('AFA Rates'!$D$5:$D$1004,$T889))))</f>
        <v/>
      </c>
      <c r="F889" s="79">
        <f>IF($T889="","",IF($S889="S",IF(INDEX(Firms!$O$5:$O$1004,$T889)="","",INDEX(Firms!$O$5:$O$1004,$T889)),IF(INDEX('AFA Rates'!$O$5:$O$1004,$T889)="","",INDEX('AFA Rates'!$O$5:$O$1004,$T889))))</f>
        <v/>
      </c>
      <c r="G889" s="50">
        <f>IF($T889="","",IF($S889="S",IF(INDEX(Firms!$F$5:$F$1004,$T889)="","",INDEX(Firms!$F$5:$F$1004,$T889)),IF(INDEX('AFA Rates'!$E$5:$E$1004,$T889)="","",INDEX('AFA Rates'!$E$5:$E$1004,$T889))))</f>
        <v/>
      </c>
      <c r="H889" s="50">
        <f>IF($T889="","",IF($S889="S",IF(INDEX(Firms!$G$5:$G$1004,$T889)="","",INDEX(Firms!$G$5:$G$1004,$T889)),IF(INDEX('AFA Rates'!$F$5:$F$1004,$T889)="","",INDEX('AFA Rates'!$F$5:$F$1004,$T889))))</f>
        <v/>
      </c>
      <c r="I889" s="50">
        <f>IF($T889="","",IF($S889="S",IF(INDEX(Firms!$H$5:$H$1004,$T889)="","",INDEX(Firms!$H$5:$H$1004,$T889)),IF(INDEX('AFA Rates'!$G$5:$G$1004,$T889)="","",INDEX('AFA Rates'!$G$5:$G$1004,$T889))))</f>
        <v/>
      </c>
      <c r="J889" s="50">
        <f>IF($T889="","",IF($S889="S",IF(INDEX(Firms!$I$5:$I$1004,$T889)="","",INDEX(Firms!$I$5:$I$1004,$T889)),IF(INDEX('AFA Rates'!$H$5:$H$1004,$T889)="","",INDEX('AFA Rates'!$H$5:$H$1004,$T889))))</f>
        <v/>
      </c>
      <c r="K889" s="50">
        <f>IF($T889="","",IF($S889="S",IF(INDEX(Firms!$J$5:$J$1004,$T889)="","",INDEX(Firms!$J$5:$J$1004,$T889)),IF(INDEX('AFA Rates'!$I$5:$I$1004,$T889)="","",INDEX('AFA Rates'!$I$5:$I$1004,$T889))))</f>
        <v/>
      </c>
      <c r="L889" s="50">
        <f>IF($T889="","",IF($S889="S",IF(INDEX(Firms!$K$5:$K$1004,$T889)="","",INDEX(Firms!$K$5:$K$1004,$T889)),IF(INDEX('AFA Rates'!$J$5:$J$1004,$T889)="","",INDEX('AFA Rates'!$J$5:$J$1004,$T889))))</f>
        <v/>
      </c>
      <c r="M889" s="50">
        <f>IF($T889="","",IF($S889="S",IF(INDEX(Firms!$L$5:$L$1004,$T889)="","",INDEX(Firms!$L$5:$L$1004,$T889)),IF(INDEX('AFA Rates'!$K$5:$K$1004,$T889)="","",INDEX('AFA Rates'!$K$5:$K$1004,$T889))))</f>
        <v/>
      </c>
      <c r="N889" s="50">
        <f>IF($T889="","",IF($S889="S",IF(INDEX(Firms!$M$5:$M$1004,$T889)="","",INDEX(Firms!$M$5:$M$1004,$T889)),IF(INDEX('AFA Rates'!$L$5:$L$1004,$T889)="","",INDEX('AFA Rates'!$L$5:$L$1004,$T889))))</f>
        <v/>
      </c>
      <c r="O889" s="78">
        <f>IF(OR($T889="",$U889=""),"",IF(INDEX(Firms!$C$5:$C$1004,$U889)="","",INDEX(Firms!$C$5:$C$1004,$U889)))</f>
        <v/>
      </c>
      <c r="P889" s="79">
        <f>IF(OR($T889="",$U889=""),"",IF(INDEX(Firms!$N$5:$N$1004,$U889)="","",INDEX(Firms!$N$5:$N$1004,$U889)))</f>
        <v/>
      </c>
      <c r="Q889" s="78">
        <f>IF($T889="","",IF($S889="S",IF(INDEX(Firms!$T$5:$T$1004,$T889)="","",INDEX(Firms!$T$5:$T$1004,$T889)),IF(INDEX('AFA Rates'!$M$5:$M$1004,$T889)="","",INDEX('AFA Rates'!$M$5:$M$1004,$T889))))</f>
        <v/>
      </c>
      <c r="S889">
        <f>IF(885&lt;=$S$2,"S",IF(885&lt;=$S$2+$T$2,"A",""))</f>
        <v/>
      </c>
      <c r="T889">
        <f>IF(S889="S",MATCH(885,Firms!$W$5:$W$1004,0),IF(S889="A",IFERROR(MATCH(885-$S$2,'AFA Rates'!$R$5:$R$1004,0),""),""))</f>
        <v/>
      </c>
      <c r="U889">
        <f>IF(S889="S",T889,IF(AND(S889="A",T889&lt;&gt;""),IFERROR(MATCH(INDEX('AFA Rates'!$A$5:$A$1004,T889),Firms!$A$5:$A$1004,0),""),""))</f>
        <v/>
      </c>
    </row>
    <row r="890">
      <c r="A890" s="78">
        <f>IF($T890="","",IF($S890="S",IF(INDEX(Firms!$A$5:$A$1004,$T890)="","",INDEX(Firms!$A$5:$A$1004,$T890)),IF(INDEX('AFA Rates'!$A$5:$A$1004,$T890)="","",INDEX('AFA Rates'!$A$5:$A$1004,$T890))))</f>
        <v/>
      </c>
      <c r="B890" s="79">
        <f>IF(OR($T890="",$U890=""),IF($T890="","","Not on Firms tab"),INDEX(Firms!$B$5:$B$1004,$U890)&amp;"")</f>
        <v/>
      </c>
      <c r="C890" s="78">
        <f>IF($T890="","",IF($S890="S","Standard",INDEX('AFA Rates'!$B$5:$B$1004,$T890)&amp;""))</f>
        <v/>
      </c>
      <c r="D890" s="88">
        <f>IF($T890="","",IF($S890="S",IF(INDEX(Firms!$E$5:$E$1004,$T890)="","",INDEX(Firms!$E$5:$E$1004,$T890)),IF(INDEX('AFA Rates'!$C$5:$C$1004,$T890)="","",INDEX('AFA Rates'!$C$5:$C$1004,$T890))))</f>
        <v/>
      </c>
      <c r="E890" s="88">
        <f>IF($T890="","",IF($S890="S",IF(""="","",""),IF(INDEX('AFA Rates'!$D$5:$D$1004,$T890)="","",INDEX('AFA Rates'!$D$5:$D$1004,$T890))))</f>
        <v/>
      </c>
      <c r="F890" s="79">
        <f>IF($T890="","",IF($S890="S",IF(INDEX(Firms!$O$5:$O$1004,$T890)="","",INDEX(Firms!$O$5:$O$1004,$T890)),IF(INDEX('AFA Rates'!$O$5:$O$1004,$T890)="","",INDEX('AFA Rates'!$O$5:$O$1004,$T890))))</f>
        <v/>
      </c>
      <c r="G890" s="50">
        <f>IF($T890="","",IF($S890="S",IF(INDEX(Firms!$F$5:$F$1004,$T890)="","",INDEX(Firms!$F$5:$F$1004,$T890)),IF(INDEX('AFA Rates'!$E$5:$E$1004,$T890)="","",INDEX('AFA Rates'!$E$5:$E$1004,$T890))))</f>
        <v/>
      </c>
      <c r="H890" s="50">
        <f>IF($T890="","",IF($S890="S",IF(INDEX(Firms!$G$5:$G$1004,$T890)="","",INDEX(Firms!$G$5:$G$1004,$T890)),IF(INDEX('AFA Rates'!$F$5:$F$1004,$T890)="","",INDEX('AFA Rates'!$F$5:$F$1004,$T890))))</f>
        <v/>
      </c>
      <c r="I890" s="50">
        <f>IF($T890="","",IF($S890="S",IF(INDEX(Firms!$H$5:$H$1004,$T890)="","",INDEX(Firms!$H$5:$H$1004,$T890)),IF(INDEX('AFA Rates'!$G$5:$G$1004,$T890)="","",INDEX('AFA Rates'!$G$5:$G$1004,$T890))))</f>
        <v/>
      </c>
      <c r="J890" s="50">
        <f>IF($T890="","",IF($S890="S",IF(INDEX(Firms!$I$5:$I$1004,$T890)="","",INDEX(Firms!$I$5:$I$1004,$T890)),IF(INDEX('AFA Rates'!$H$5:$H$1004,$T890)="","",INDEX('AFA Rates'!$H$5:$H$1004,$T890))))</f>
        <v/>
      </c>
      <c r="K890" s="50">
        <f>IF($T890="","",IF($S890="S",IF(INDEX(Firms!$J$5:$J$1004,$T890)="","",INDEX(Firms!$J$5:$J$1004,$T890)),IF(INDEX('AFA Rates'!$I$5:$I$1004,$T890)="","",INDEX('AFA Rates'!$I$5:$I$1004,$T890))))</f>
        <v/>
      </c>
      <c r="L890" s="50">
        <f>IF($T890="","",IF($S890="S",IF(INDEX(Firms!$K$5:$K$1004,$T890)="","",INDEX(Firms!$K$5:$K$1004,$T890)),IF(INDEX('AFA Rates'!$J$5:$J$1004,$T890)="","",INDEX('AFA Rates'!$J$5:$J$1004,$T890))))</f>
        <v/>
      </c>
      <c r="M890" s="50">
        <f>IF($T890="","",IF($S890="S",IF(INDEX(Firms!$L$5:$L$1004,$T890)="","",INDEX(Firms!$L$5:$L$1004,$T890)),IF(INDEX('AFA Rates'!$K$5:$K$1004,$T890)="","",INDEX('AFA Rates'!$K$5:$K$1004,$T890))))</f>
        <v/>
      </c>
      <c r="N890" s="50">
        <f>IF($T890="","",IF($S890="S",IF(INDEX(Firms!$M$5:$M$1004,$T890)="","",INDEX(Firms!$M$5:$M$1004,$T890)),IF(INDEX('AFA Rates'!$L$5:$L$1004,$T890)="","",INDEX('AFA Rates'!$L$5:$L$1004,$T890))))</f>
        <v/>
      </c>
      <c r="O890" s="78">
        <f>IF(OR($T890="",$U890=""),"",IF(INDEX(Firms!$C$5:$C$1004,$U890)="","",INDEX(Firms!$C$5:$C$1004,$U890)))</f>
        <v/>
      </c>
      <c r="P890" s="79">
        <f>IF(OR($T890="",$U890=""),"",IF(INDEX(Firms!$N$5:$N$1004,$U890)="","",INDEX(Firms!$N$5:$N$1004,$U890)))</f>
        <v/>
      </c>
      <c r="Q890" s="78">
        <f>IF($T890="","",IF($S890="S",IF(INDEX(Firms!$T$5:$T$1004,$T890)="","",INDEX(Firms!$T$5:$T$1004,$T890)),IF(INDEX('AFA Rates'!$M$5:$M$1004,$T890)="","",INDEX('AFA Rates'!$M$5:$M$1004,$T890))))</f>
        <v/>
      </c>
      <c r="S890">
        <f>IF(886&lt;=$S$2,"S",IF(886&lt;=$S$2+$T$2,"A",""))</f>
        <v/>
      </c>
      <c r="T890">
        <f>IF(S890="S",MATCH(886,Firms!$W$5:$W$1004,0),IF(S890="A",IFERROR(MATCH(886-$S$2,'AFA Rates'!$R$5:$R$1004,0),""),""))</f>
        <v/>
      </c>
      <c r="U890">
        <f>IF(S890="S",T890,IF(AND(S890="A",T890&lt;&gt;""),IFERROR(MATCH(INDEX('AFA Rates'!$A$5:$A$1004,T890),Firms!$A$5:$A$1004,0),""),""))</f>
        <v/>
      </c>
    </row>
    <row r="891">
      <c r="A891" s="78">
        <f>IF($T891="","",IF($S891="S",IF(INDEX(Firms!$A$5:$A$1004,$T891)="","",INDEX(Firms!$A$5:$A$1004,$T891)),IF(INDEX('AFA Rates'!$A$5:$A$1004,$T891)="","",INDEX('AFA Rates'!$A$5:$A$1004,$T891))))</f>
        <v/>
      </c>
      <c r="B891" s="79">
        <f>IF(OR($T891="",$U891=""),IF($T891="","","Not on Firms tab"),INDEX(Firms!$B$5:$B$1004,$U891)&amp;"")</f>
        <v/>
      </c>
      <c r="C891" s="78">
        <f>IF($T891="","",IF($S891="S","Standard",INDEX('AFA Rates'!$B$5:$B$1004,$T891)&amp;""))</f>
        <v/>
      </c>
      <c r="D891" s="88">
        <f>IF($T891="","",IF($S891="S",IF(INDEX(Firms!$E$5:$E$1004,$T891)="","",INDEX(Firms!$E$5:$E$1004,$T891)),IF(INDEX('AFA Rates'!$C$5:$C$1004,$T891)="","",INDEX('AFA Rates'!$C$5:$C$1004,$T891))))</f>
        <v/>
      </c>
      <c r="E891" s="88">
        <f>IF($T891="","",IF($S891="S",IF(""="","",""),IF(INDEX('AFA Rates'!$D$5:$D$1004,$T891)="","",INDEX('AFA Rates'!$D$5:$D$1004,$T891))))</f>
        <v/>
      </c>
      <c r="F891" s="79">
        <f>IF($T891="","",IF($S891="S",IF(INDEX(Firms!$O$5:$O$1004,$T891)="","",INDEX(Firms!$O$5:$O$1004,$T891)),IF(INDEX('AFA Rates'!$O$5:$O$1004,$T891)="","",INDEX('AFA Rates'!$O$5:$O$1004,$T891))))</f>
        <v/>
      </c>
      <c r="G891" s="50">
        <f>IF($T891="","",IF($S891="S",IF(INDEX(Firms!$F$5:$F$1004,$T891)="","",INDEX(Firms!$F$5:$F$1004,$T891)),IF(INDEX('AFA Rates'!$E$5:$E$1004,$T891)="","",INDEX('AFA Rates'!$E$5:$E$1004,$T891))))</f>
        <v/>
      </c>
      <c r="H891" s="50">
        <f>IF($T891="","",IF($S891="S",IF(INDEX(Firms!$G$5:$G$1004,$T891)="","",INDEX(Firms!$G$5:$G$1004,$T891)),IF(INDEX('AFA Rates'!$F$5:$F$1004,$T891)="","",INDEX('AFA Rates'!$F$5:$F$1004,$T891))))</f>
        <v/>
      </c>
      <c r="I891" s="50">
        <f>IF($T891="","",IF($S891="S",IF(INDEX(Firms!$H$5:$H$1004,$T891)="","",INDEX(Firms!$H$5:$H$1004,$T891)),IF(INDEX('AFA Rates'!$G$5:$G$1004,$T891)="","",INDEX('AFA Rates'!$G$5:$G$1004,$T891))))</f>
        <v/>
      </c>
      <c r="J891" s="50">
        <f>IF($T891="","",IF($S891="S",IF(INDEX(Firms!$I$5:$I$1004,$T891)="","",INDEX(Firms!$I$5:$I$1004,$T891)),IF(INDEX('AFA Rates'!$H$5:$H$1004,$T891)="","",INDEX('AFA Rates'!$H$5:$H$1004,$T891))))</f>
        <v/>
      </c>
      <c r="K891" s="50">
        <f>IF($T891="","",IF($S891="S",IF(INDEX(Firms!$J$5:$J$1004,$T891)="","",INDEX(Firms!$J$5:$J$1004,$T891)),IF(INDEX('AFA Rates'!$I$5:$I$1004,$T891)="","",INDEX('AFA Rates'!$I$5:$I$1004,$T891))))</f>
        <v/>
      </c>
      <c r="L891" s="50">
        <f>IF($T891="","",IF($S891="S",IF(INDEX(Firms!$K$5:$K$1004,$T891)="","",INDEX(Firms!$K$5:$K$1004,$T891)),IF(INDEX('AFA Rates'!$J$5:$J$1004,$T891)="","",INDEX('AFA Rates'!$J$5:$J$1004,$T891))))</f>
        <v/>
      </c>
      <c r="M891" s="50">
        <f>IF($T891="","",IF($S891="S",IF(INDEX(Firms!$L$5:$L$1004,$T891)="","",INDEX(Firms!$L$5:$L$1004,$T891)),IF(INDEX('AFA Rates'!$K$5:$K$1004,$T891)="","",INDEX('AFA Rates'!$K$5:$K$1004,$T891))))</f>
        <v/>
      </c>
      <c r="N891" s="50">
        <f>IF($T891="","",IF($S891="S",IF(INDEX(Firms!$M$5:$M$1004,$T891)="","",INDEX(Firms!$M$5:$M$1004,$T891)),IF(INDEX('AFA Rates'!$L$5:$L$1004,$T891)="","",INDEX('AFA Rates'!$L$5:$L$1004,$T891))))</f>
        <v/>
      </c>
      <c r="O891" s="78">
        <f>IF(OR($T891="",$U891=""),"",IF(INDEX(Firms!$C$5:$C$1004,$U891)="","",INDEX(Firms!$C$5:$C$1004,$U891)))</f>
        <v/>
      </c>
      <c r="P891" s="79">
        <f>IF(OR($T891="",$U891=""),"",IF(INDEX(Firms!$N$5:$N$1004,$U891)="","",INDEX(Firms!$N$5:$N$1004,$U891)))</f>
        <v/>
      </c>
      <c r="Q891" s="78">
        <f>IF($T891="","",IF($S891="S",IF(INDEX(Firms!$T$5:$T$1004,$T891)="","",INDEX(Firms!$T$5:$T$1004,$T891)),IF(INDEX('AFA Rates'!$M$5:$M$1004,$T891)="","",INDEX('AFA Rates'!$M$5:$M$1004,$T891))))</f>
        <v/>
      </c>
      <c r="S891">
        <f>IF(887&lt;=$S$2,"S",IF(887&lt;=$S$2+$T$2,"A",""))</f>
        <v/>
      </c>
      <c r="T891">
        <f>IF(S891="S",MATCH(887,Firms!$W$5:$W$1004,0),IF(S891="A",IFERROR(MATCH(887-$S$2,'AFA Rates'!$R$5:$R$1004,0),""),""))</f>
        <v/>
      </c>
      <c r="U891">
        <f>IF(S891="S",T891,IF(AND(S891="A",T891&lt;&gt;""),IFERROR(MATCH(INDEX('AFA Rates'!$A$5:$A$1004,T891),Firms!$A$5:$A$1004,0),""),""))</f>
        <v/>
      </c>
    </row>
    <row r="892">
      <c r="A892" s="78">
        <f>IF($T892="","",IF($S892="S",IF(INDEX(Firms!$A$5:$A$1004,$T892)="","",INDEX(Firms!$A$5:$A$1004,$T892)),IF(INDEX('AFA Rates'!$A$5:$A$1004,$T892)="","",INDEX('AFA Rates'!$A$5:$A$1004,$T892))))</f>
        <v/>
      </c>
      <c r="B892" s="79">
        <f>IF(OR($T892="",$U892=""),IF($T892="","","Not on Firms tab"),INDEX(Firms!$B$5:$B$1004,$U892)&amp;"")</f>
        <v/>
      </c>
      <c r="C892" s="78">
        <f>IF($T892="","",IF($S892="S","Standard",INDEX('AFA Rates'!$B$5:$B$1004,$T892)&amp;""))</f>
        <v/>
      </c>
      <c r="D892" s="88">
        <f>IF($T892="","",IF($S892="S",IF(INDEX(Firms!$E$5:$E$1004,$T892)="","",INDEX(Firms!$E$5:$E$1004,$T892)),IF(INDEX('AFA Rates'!$C$5:$C$1004,$T892)="","",INDEX('AFA Rates'!$C$5:$C$1004,$T892))))</f>
        <v/>
      </c>
      <c r="E892" s="88">
        <f>IF($T892="","",IF($S892="S",IF(""="","",""),IF(INDEX('AFA Rates'!$D$5:$D$1004,$T892)="","",INDEX('AFA Rates'!$D$5:$D$1004,$T892))))</f>
        <v/>
      </c>
      <c r="F892" s="79">
        <f>IF($T892="","",IF($S892="S",IF(INDEX(Firms!$O$5:$O$1004,$T892)="","",INDEX(Firms!$O$5:$O$1004,$T892)),IF(INDEX('AFA Rates'!$O$5:$O$1004,$T892)="","",INDEX('AFA Rates'!$O$5:$O$1004,$T892))))</f>
        <v/>
      </c>
      <c r="G892" s="50">
        <f>IF($T892="","",IF($S892="S",IF(INDEX(Firms!$F$5:$F$1004,$T892)="","",INDEX(Firms!$F$5:$F$1004,$T892)),IF(INDEX('AFA Rates'!$E$5:$E$1004,$T892)="","",INDEX('AFA Rates'!$E$5:$E$1004,$T892))))</f>
        <v/>
      </c>
      <c r="H892" s="50">
        <f>IF($T892="","",IF($S892="S",IF(INDEX(Firms!$G$5:$G$1004,$T892)="","",INDEX(Firms!$G$5:$G$1004,$T892)),IF(INDEX('AFA Rates'!$F$5:$F$1004,$T892)="","",INDEX('AFA Rates'!$F$5:$F$1004,$T892))))</f>
        <v/>
      </c>
      <c r="I892" s="50">
        <f>IF($T892="","",IF($S892="S",IF(INDEX(Firms!$H$5:$H$1004,$T892)="","",INDEX(Firms!$H$5:$H$1004,$T892)),IF(INDEX('AFA Rates'!$G$5:$G$1004,$T892)="","",INDEX('AFA Rates'!$G$5:$G$1004,$T892))))</f>
        <v/>
      </c>
      <c r="J892" s="50">
        <f>IF($T892="","",IF($S892="S",IF(INDEX(Firms!$I$5:$I$1004,$T892)="","",INDEX(Firms!$I$5:$I$1004,$T892)),IF(INDEX('AFA Rates'!$H$5:$H$1004,$T892)="","",INDEX('AFA Rates'!$H$5:$H$1004,$T892))))</f>
        <v/>
      </c>
      <c r="K892" s="50">
        <f>IF($T892="","",IF($S892="S",IF(INDEX(Firms!$J$5:$J$1004,$T892)="","",INDEX(Firms!$J$5:$J$1004,$T892)),IF(INDEX('AFA Rates'!$I$5:$I$1004,$T892)="","",INDEX('AFA Rates'!$I$5:$I$1004,$T892))))</f>
        <v/>
      </c>
      <c r="L892" s="50">
        <f>IF($T892="","",IF($S892="S",IF(INDEX(Firms!$K$5:$K$1004,$T892)="","",INDEX(Firms!$K$5:$K$1004,$T892)),IF(INDEX('AFA Rates'!$J$5:$J$1004,$T892)="","",INDEX('AFA Rates'!$J$5:$J$1004,$T892))))</f>
        <v/>
      </c>
      <c r="M892" s="50">
        <f>IF($T892="","",IF($S892="S",IF(INDEX(Firms!$L$5:$L$1004,$T892)="","",INDEX(Firms!$L$5:$L$1004,$T892)),IF(INDEX('AFA Rates'!$K$5:$K$1004,$T892)="","",INDEX('AFA Rates'!$K$5:$K$1004,$T892))))</f>
        <v/>
      </c>
      <c r="N892" s="50">
        <f>IF($T892="","",IF($S892="S",IF(INDEX(Firms!$M$5:$M$1004,$T892)="","",INDEX(Firms!$M$5:$M$1004,$T892)),IF(INDEX('AFA Rates'!$L$5:$L$1004,$T892)="","",INDEX('AFA Rates'!$L$5:$L$1004,$T892))))</f>
        <v/>
      </c>
      <c r="O892" s="78">
        <f>IF(OR($T892="",$U892=""),"",IF(INDEX(Firms!$C$5:$C$1004,$U892)="","",INDEX(Firms!$C$5:$C$1004,$U892)))</f>
        <v/>
      </c>
      <c r="P892" s="79">
        <f>IF(OR($T892="",$U892=""),"",IF(INDEX(Firms!$N$5:$N$1004,$U892)="","",INDEX(Firms!$N$5:$N$1004,$U892)))</f>
        <v/>
      </c>
      <c r="Q892" s="78">
        <f>IF($T892="","",IF($S892="S",IF(INDEX(Firms!$T$5:$T$1004,$T892)="","",INDEX(Firms!$T$5:$T$1004,$T892)),IF(INDEX('AFA Rates'!$M$5:$M$1004,$T892)="","",INDEX('AFA Rates'!$M$5:$M$1004,$T892))))</f>
        <v/>
      </c>
      <c r="S892">
        <f>IF(888&lt;=$S$2,"S",IF(888&lt;=$S$2+$T$2,"A",""))</f>
        <v/>
      </c>
      <c r="T892">
        <f>IF(S892="S",MATCH(888,Firms!$W$5:$W$1004,0),IF(S892="A",IFERROR(MATCH(888-$S$2,'AFA Rates'!$R$5:$R$1004,0),""),""))</f>
        <v/>
      </c>
      <c r="U892">
        <f>IF(S892="S",T892,IF(AND(S892="A",T892&lt;&gt;""),IFERROR(MATCH(INDEX('AFA Rates'!$A$5:$A$1004,T892),Firms!$A$5:$A$1004,0),""),""))</f>
        <v/>
      </c>
    </row>
    <row r="893">
      <c r="A893" s="78">
        <f>IF($T893="","",IF($S893="S",IF(INDEX(Firms!$A$5:$A$1004,$T893)="","",INDEX(Firms!$A$5:$A$1004,$T893)),IF(INDEX('AFA Rates'!$A$5:$A$1004,$T893)="","",INDEX('AFA Rates'!$A$5:$A$1004,$T893))))</f>
        <v/>
      </c>
      <c r="B893" s="79">
        <f>IF(OR($T893="",$U893=""),IF($T893="","","Not on Firms tab"),INDEX(Firms!$B$5:$B$1004,$U893)&amp;"")</f>
        <v/>
      </c>
      <c r="C893" s="78">
        <f>IF($T893="","",IF($S893="S","Standard",INDEX('AFA Rates'!$B$5:$B$1004,$T893)&amp;""))</f>
        <v/>
      </c>
      <c r="D893" s="88">
        <f>IF($T893="","",IF($S893="S",IF(INDEX(Firms!$E$5:$E$1004,$T893)="","",INDEX(Firms!$E$5:$E$1004,$T893)),IF(INDEX('AFA Rates'!$C$5:$C$1004,$T893)="","",INDEX('AFA Rates'!$C$5:$C$1004,$T893))))</f>
        <v/>
      </c>
      <c r="E893" s="88">
        <f>IF($T893="","",IF($S893="S",IF(""="","",""),IF(INDEX('AFA Rates'!$D$5:$D$1004,$T893)="","",INDEX('AFA Rates'!$D$5:$D$1004,$T893))))</f>
        <v/>
      </c>
      <c r="F893" s="79">
        <f>IF($T893="","",IF($S893="S",IF(INDEX(Firms!$O$5:$O$1004,$T893)="","",INDEX(Firms!$O$5:$O$1004,$T893)),IF(INDEX('AFA Rates'!$O$5:$O$1004,$T893)="","",INDEX('AFA Rates'!$O$5:$O$1004,$T893))))</f>
        <v/>
      </c>
      <c r="G893" s="50">
        <f>IF($T893="","",IF($S893="S",IF(INDEX(Firms!$F$5:$F$1004,$T893)="","",INDEX(Firms!$F$5:$F$1004,$T893)),IF(INDEX('AFA Rates'!$E$5:$E$1004,$T893)="","",INDEX('AFA Rates'!$E$5:$E$1004,$T893))))</f>
        <v/>
      </c>
      <c r="H893" s="50">
        <f>IF($T893="","",IF($S893="S",IF(INDEX(Firms!$G$5:$G$1004,$T893)="","",INDEX(Firms!$G$5:$G$1004,$T893)),IF(INDEX('AFA Rates'!$F$5:$F$1004,$T893)="","",INDEX('AFA Rates'!$F$5:$F$1004,$T893))))</f>
        <v/>
      </c>
      <c r="I893" s="50">
        <f>IF($T893="","",IF($S893="S",IF(INDEX(Firms!$H$5:$H$1004,$T893)="","",INDEX(Firms!$H$5:$H$1004,$T893)),IF(INDEX('AFA Rates'!$G$5:$G$1004,$T893)="","",INDEX('AFA Rates'!$G$5:$G$1004,$T893))))</f>
        <v/>
      </c>
      <c r="J893" s="50">
        <f>IF($T893="","",IF($S893="S",IF(INDEX(Firms!$I$5:$I$1004,$T893)="","",INDEX(Firms!$I$5:$I$1004,$T893)),IF(INDEX('AFA Rates'!$H$5:$H$1004,$T893)="","",INDEX('AFA Rates'!$H$5:$H$1004,$T893))))</f>
        <v/>
      </c>
      <c r="K893" s="50">
        <f>IF($T893="","",IF($S893="S",IF(INDEX(Firms!$J$5:$J$1004,$T893)="","",INDEX(Firms!$J$5:$J$1004,$T893)),IF(INDEX('AFA Rates'!$I$5:$I$1004,$T893)="","",INDEX('AFA Rates'!$I$5:$I$1004,$T893))))</f>
        <v/>
      </c>
      <c r="L893" s="50">
        <f>IF($T893="","",IF($S893="S",IF(INDEX(Firms!$K$5:$K$1004,$T893)="","",INDEX(Firms!$K$5:$K$1004,$T893)),IF(INDEX('AFA Rates'!$J$5:$J$1004,$T893)="","",INDEX('AFA Rates'!$J$5:$J$1004,$T893))))</f>
        <v/>
      </c>
      <c r="M893" s="50">
        <f>IF($T893="","",IF($S893="S",IF(INDEX(Firms!$L$5:$L$1004,$T893)="","",INDEX(Firms!$L$5:$L$1004,$T893)),IF(INDEX('AFA Rates'!$K$5:$K$1004,$T893)="","",INDEX('AFA Rates'!$K$5:$K$1004,$T893))))</f>
        <v/>
      </c>
      <c r="N893" s="50">
        <f>IF($T893="","",IF($S893="S",IF(INDEX(Firms!$M$5:$M$1004,$T893)="","",INDEX(Firms!$M$5:$M$1004,$T893)),IF(INDEX('AFA Rates'!$L$5:$L$1004,$T893)="","",INDEX('AFA Rates'!$L$5:$L$1004,$T893))))</f>
        <v/>
      </c>
      <c r="O893" s="78">
        <f>IF(OR($T893="",$U893=""),"",IF(INDEX(Firms!$C$5:$C$1004,$U893)="","",INDEX(Firms!$C$5:$C$1004,$U893)))</f>
        <v/>
      </c>
      <c r="P893" s="79">
        <f>IF(OR($T893="",$U893=""),"",IF(INDEX(Firms!$N$5:$N$1004,$U893)="","",INDEX(Firms!$N$5:$N$1004,$U893)))</f>
        <v/>
      </c>
      <c r="Q893" s="78">
        <f>IF($T893="","",IF($S893="S",IF(INDEX(Firms!$T$5:$T$1004,$T893)="","",INDEX(Firms!$T$5:$T$1004,$T893)),IF(INDEX('AFA Rates'!$M$5:$M$1004,$T893)="","",INDEX('AFA Rates'!$M$5:$M$1004,$T893))))</f>
        <v/>
      </c>
      <c r="S893">
        <f>IF(889&lt;=$S$2,"S",IF(889&lt;=$S$2+$T$2,"A",""))</f>
        <v/>
      </c>
      <c r="T893">
        <f>IF(S893="S",MATCH(889,Firms!$W$5:$W$1004,0),IF(S893="A",IFERROR(MATCH(889-$S$2,'AFA Rates'!$R$5:$R$1004,0),""),""))</f>
        <v/>
      </c>
      <c r="U893">
        <f>IF(S893="S",T893,IF(AND(S893="A",T893&lt;&gt;""),IFERROR(MATCH(INDEX('AFA Rates'!$A$5:$A$1004,T893),Firms!$A$5:$A$1004,0),""),""))</f>
        <v/>
      </c>
    </row>
    <row r="894">
      <c r="A894" s="78">
        <f>IF($T894="","",IF($S894="S",IF(INDEX(Firms!$A$5:$A$1004,$T894)="","",INDEX(Firms!$A$5:$A$1004,$T894)),IF(INDEX('AFA Rates'!$A$5:$A$1004,$T894)="","",INDEX('AFA Rates'!$A$5:$A$1004,$T894))))</f>
        <v/>
      </c>
      <c r="B894" s="79">
        <f>IF(OR($T894="",$U894=""),IF($T894="","","Not on Firms tab"),INDEX(Firms!$B$5:$B$1004,$U894)&amp;"")</f>
        <v/>
      </c>
      <c r="C894" s="78">
        <f>IF($T894="","",IF($S894="S","Standard",INDEX('AFA Rates'!$B$5:$B$1004,$T894)&amp;""))</f>
        <v/>
      </c>
      <c r="D894" s="88">
        <f>IF($T894="","",IF($S894="S",IF(INDEX(Firms!$E$5:$E$1004,$T894)="","",INDEX(Firms!$E$5:$E$1004,$T894)),IF(INDEX('AFA Rates'!$C$5:$C$1004,$T894)="","",INDEX('AFA Rates'!$C$5:$C$1004,$T894))))</f>
        <v/>
      </c>
      <c r="E894" s="88">
        <f>IF($T894="","",IF($S894="S",IF(""="","",""),IF(INDEX('AFA Rates'!$D$5:$D$1004,$T894)="","",INDEX('AFA Rates'!$D$5:$D$1004,$T894))))</f>
        <v/>
      </c>
      <c r="F894" s="79">
        <f>IF($T894="","",IF($S894="S",IF(INDEX(Firms!$O$5:$O$1004,$T894)="","",INDEX(Firms!$O$5:$O$1004,$T894)),IF(INDEX('AFA Rates'!$O$5:$O$1004,$T894)="","",INDEX('AFA Rates'!$O$5:$O$1004,$T894))))</f>
        <v/>
      </c>
      <c r="G894" s="50">
        <f>IF($T894="","",IF($S894="S",IF(INDEX(Firms!$F$5:$F$1004,$T894)="","",INDEX(Firms!$F$5:$F$1004,$T894)),IF(INDEX('AFA Rates'!$E$5:$E$1004,$T894)="","",INDEX('AFA Rates'!$E$5:$E$1004,$T894))))</f>
        <v/>
      </c>
      <c r="H894" s="50">
        <f>IF($T894="","",IF($S894="S",IF(INDEX(Firms!$G$5:$G$1004,$T894)="","",INDEX(Firms!$G$5:$G$1004,$T894)),IF(INDEX('AFA Rates'!$F$5:$F$1004,$T894)="","",INDEX('AFA Rates'!$F$5:$F$1004,$T894))))</f>
        <v/>
      </c>
      <c r="I894" s="50">
        <f>IF($T894="","",IF($S894="S",IF(INDEX(Firms!$H$5:$H$1004,$T894)="","",INDEX(Firms!$H$5:$H$1004,$T894)),IF(INDEX('AFA Rates'!$G$5:$G$1004,$T894)="","",INDEX('AFA Rates'!$G$5:$G$1004,$T894))))</f>
        <v/>
      </c>
      <c r="J894" s="50">
        <f>IF($T894="","",IF($S894="S",IF(INDEX(Firms!$I$5:$I$1004,$T894)="","",INDEX(Firms!$I$5:$I$1004,$T894)),IF(INDEX('AFA Rates'!$H$5:$H$1004,$T894)="","",INDEX('AFA Rates'!$H$5:$H$1004,$T894))))</f>
        <v/>
      </c>
      <c r="K894" s="50">
        <f>IF($T894="","",IF($S894="S",IF(INDEX(Firms!$J$5:$J$1004,$T894)="","",INDEX(Firms!$J$5:$J$1004,$T894)),IF(INDEX('AFA Rates'!$I$5:$I$1004,$T894)="","",INDEX('AFA Rates'!$I$5:$I$1004,$T894))))</f>
        <v/>
      </c>
      <c r="L894" s="50">
        <f>IF($T894="","",IF($S894="S",IF(INDEX(Firms!$K$5:$K$1004,$T894)="","",INDEX(Firms!$K$5:$K$1004,$T894)),IF(INDEX('AFA Rates'!$J$5:$J$1004,$T894)="","",INDEX('AFA Rates'!$J$5:$J$1004,$T894))))</f>
        <v/>
      </c>
      <c r="M894" s="50">
        <f>IF($T894="","",IF($S894="S",IF(INDEX(Firms!$L$5:$L$1004,$T894)="","",INDEX(Firms!$L$5:$L$1004,$T894)),IF(INDEX('AFA Rates'!$K$5:$K$1004,$T894)="","",INDEX('AFA Rates'!$K$5:$K$1004,$T894))))</f>
        <v/>
      </c>
      <c r="N894" s="50">
        <f>IF($T894="","",IF($S894="S",IF(INDEX(Firms!$M$5:$M$1004,$T894)="","",INDEX(Firms!$M$5:$M$1004,$T894)),IF(INDEX('AFA Rates'!$L$5:$L$1004,$T894)="","",INDEX('AFA Rates'!$L$5:$L$1004,$T894))))</f>
        <v/>
      </c>
      <c r="O894" s="78">
        <f>IF(OR($T894="",$U894=""),"",IF(INDEX(Firms!$C$5:$C$1004,$U894)="","",INDEX(Firms!$C$5:$C$1004,$U894)))</f>
        <v/>
      </c>
      <c r="P894" s="79">
        <f>IF(OR($T894="",$U894=""),"",IF(INDEX(Firms!$N$5:$N$1004,$U894)="","",INDEX(Firms!$N$5:$N$1004,$U894)))</f>
        <v/>
      </c>
      <c r="Q894" s="78">
        <f>IF($T894="","",IF($S894="S",IF(INDEX(Firms!$T$5:$T$1004,$T894)="","",INDEX(Firms!$T$5:$T$1004,$T894)),IF(INDEX('AFA Rates'!$M$5:$M$1004,$T894)="","",INDEX('AFA Rates'!$M$5:$M$1004,$T894))))</f>
        <v/>
      </c>
      <c r="S894">
        <f>IF(890&lt;=$S$2,"S",IF(890&lt;=$S$2+$T$2,"A",""))</f>
        <v/>
      </c>
      <c r="T894">
        <f>IF(S894="S",MATCH(890,Firms!$W$5:$W$1004,0),IF(S894="A",IFERROR(MATCH(890-$S$2,'AFA Rates'!$R$5:$R$1004,0),""),""))</f>
        <v/>
      </c>
      <c r="U894">
        <f>IF(S894="S",T894,IF(AND(S894="A",T894&lt;&gt;""),IFERROR(MATCH(INDEX('AFA Rates'!$A$5:$A$1004,T894),Firms!$A$5:$A$1004,0),""),""))</f>
        <v/>
      </c>
    </row>
    <row r="895">
      <c r="A895" s="78">
        <f>IF($T895="","",IF($S895="S",IF(INDEX(Firms!$A$5:$A$1004,$T895)="","",INDEX(Firms!$A$5:$A$1004,$T895)),IF(INDEX('AFA Rates'!$A$5:$A$1004,$T895)="","",INDEX('AFA Rates'!$A$5:$A$1004,$T895))))</f>
        <v/>
      </c>
      <c r="B895" s="79">
        <f>IF(OR($T895="",$U895=""),IF($T895="","","Not on Firms tab"),INDEX(Firms!$B$5:$B$1004,$U895)&amp;"")</f>
        <v/>
      </c>
      <c r="C895" s="78">
        <f>IF($T895="","",IF($S895="S","Standard",INDEX('AFA Rates'!$B$5:$B$1004,$T895)&amp;""))</f>
        <v/>
      </c>
      <c r="D895" s="88">
        <f>IF($T895="","",IF($S895="S",IF(INDEX(Firms!$E$5:$E$1004,$T895)="","",INDEX(Firms!$E$5:$E$1004,$T895)),IF(INDEX('AFA Rates'!$C$5:$C$1004,$T895)="","",INDEX('AFA Rates'!$C$5:$C$1004,$T895))))</f>
        <v/>
      </c>
      <c r="E895" s="88">
        <f>IF($T895="","",IF($S895="S",IF(""="","",""),IF(INDEX('AFA Rates'!$D$5:$D$1004,$T895)="","",INDEX('AFA Rates'!$D$5:$D$1004,$T895))))</f>
        <v/>
      </c>
      <c r="F895" s="79">
        <f>IF($T895="","",IF($S895="S",IF(INDEX(Firms!$O$5:$O$1004,$T895)="","",INDEX(Firms!$O$5:$O$1004,$T895)),IF(INDEX('AFA Rates'!$O$5:$O$1004,$T895)="","",INDEX('AFA Rates'!$O$5:$O$1004,$T895))))</f>
        <v/>
      </c>
      <c r="G895" s="50">
        <f>IF($T895="","",IF($S895="S",IF(INDEX(Firms!$F$5:$F$1004,$T895)="","",INDEX(Firms!$F$5:$F$1004,$T895)),IF(INDEX('AFA Rates'!$E$5:$E$1004,$T895)="","",INDEX('AFA Rates'!$E$5:$E$1004,$T895))))</f>
        <v/>
      </c>
      <c r="H895" s="50">
        <f>IF($T895="","",IF($S895="S",IF(INDEX(Firms!$G$5:$G$1004,$T895)="","",INDEX(Firms!$G$5:$G$1004,$T895)),IF(INDEX('AFA Rates'!$F$5:$F$1004,$T895)="","",INDEX('AFA Rates'!$F$5:$F$1004,$T895))))</f>
        <v/>
      </c>
      <c r="I895" s="50">
        <f>IF($T895="","",IF($S895="S",IF(INDEX(Firms!$H$5:$H$1004,$T895)="","",INDEX(Firms!$H$5:$H$1004,$T895)),IF(INDEX('AFA Rates'!$G$5:$G$1004,$T895)="","",INDEX('AFA Rates'!$G$5:$G$1004,$T895))))</f>
        <v/>
      </c>
      <c r="J895" s="50">
        <f>IF($T895="","",IF($S895="S",IF(INDEX(Firms!$I$5:$I$1004,$T895)="","",INDEX(Firms!$I$5:$I$1004,$T895)),IF(INDEX('AFA Rates'!$H$5:$H$1004,$T895)="","",INDEX('AFA Rates'!$H$5:$H$1004,$T895))))</f>
        <v/>
      </c>
      <c r="K895" s="50">
        <f>IF($T895="","",IF($S895="S",IF(INDEX(Firms!$J$5:$J$1004,$T895)="","",INDEX(Firms!$J$5:$J$1004,$T895)),IF(INDEX('AFA Rates'!$I$5:$I$1004,$T895)="","",INDEX('AFA Rates'!$I$5:$I$1004,$T895))))</f>
        <v/>
      </c>
      <c r="L895" s="50">
        <f>IF($T895="","",IF($S895="S",IF(INDEX(Firms!$K$5:$K$1004,$T895)="","",INDEX(Firms!$K$5:$K$1004,$T895)),IF(INDEX('AFA Rates'!$J$5:$J$1004,$T895)="","",INDEX('AFA Rates'!$J$5:$J$1004,$T895))))</f>
        <v/>
      </c>
      <c r="M895" s="50">
        <f>IF($T895="","",IF($S895="S",IF(INDEX(Firms!$L$5:$L$1004,$T895)="","",INDEX(Firms!$L$5:$L$1004,$T895)),IF(INDEX('AFA Rates'!$K$5:$K$1004,$T895)="","",INDEX('AFA Rates'!$K$5:$K$1004,$T895))))</f>
        <v/>
      </c>
      <c r="N895" s="50">
        <f>IF($T895="","",IF($S895="S",IF(INDEX(Firms!$M$5:$M$1004,$T895)="","",INDEX(Firms!$M$5:$M$1004,$T895)),IF(INDEX('AFA Rates'!$L$5:$L$1004,$T895)="","",INDEX('AFA Rates'!$L$5:$L$1004,$T895))))</f>
        <v/>
      </c>
      <c r="O895" s="78">
        <f>IF(OR($T895="",$U895=""),"",IF(INDEX(Firms!$C$5:$C$1004,$U895)="","",INDEX(Firms!$C$5:$C$1004,$U895)))</f>
        <v/>
      </c>
      <c r="P895" s="79">
        <f>IF(OR($T895="",$U895=""),"",IF(INDEX(Firms!$N$5:$N$1004,$U895)="","",INDEX(Firms!$N$5:$N$1004,$U895)))</f>
        <v/>
      </c>
      <c r="Q895" s="78">
        <f>IF($T895="","",IF($S895="S",IF(INDEX(Firms!$T$5:$T$1004,$T895)="","",INDEX(Firms!$T$5:$T$1004,$T895)),IF(INDEX('AFA Rates'!$M$5:$M$1004,$T895)="","",INDEX('AFA Rates'!$M$5:$M$1004,$T895))))</f>
        <v/>
      </c>
      <c r="S895">
        <f>IF(891&lt;=$S$2,"S",IF(891&lt;=$S$2+$T$2,"A",""))</f>
        <v/>
      </c>
      <c r="T895">
        <f>IF(S895="S",MATCH(891,Firms!$W$5:$W$1004,0),IF(S895="A",IFERROR(MATCH(891-$S$2,'AFA Rates'!$R$5:$R$1004,0),""),""))</f>
        <v/>
      </c>
      <c r="U895">
        <f>IF(S895="S",T895,IF(AND(S895="A",T895&lt;&gt;""),IFERROR(MATCH(INDEX('AFA Rates'!$A$5:$A$1004,T895),Firms!$A$5:$A$1004,0),""),""))</f>
        <v/>
      </c>
    </row>
    <row r="896">
      <c r="A896" s="78">
        <f>IF($T896="","",IF($S896="S",IF(INDEX(Firms!$A$5:$A$1004,$T896)="","",INDEX(Firms!$A$5:$A$1004,$T896)),IF(INDEX('AFA Rates'!$A$5:$A$1004,$T896)="","",INDEX('AFA Rates'!$A$5:$A$1004,$T896))))</f>
        <v/>
      </c>
      <c r="B896" s="79">
        <f>IF(OR($T896="",$U896=""),IF($T896="","","Not on Firms tab"),INDEX(Firms!$B$5:$B$1004,$U896)&amp;"")</f>
        <v/>
      </c>
      <c r="C896" s="78">
        <f>IF($T896="","",IF($S896="S","Standard",INDEX('AFA Rates'!$B$5:$B$1004,$T896)&amp;""))</f>
        <v/>
      </c>
      <c r="D896" s="88">
        <f>IF($T896="","",IF($S896="S",IF(INDEX(Firms!$E$5:$E$1004,$T896)="","",INDEX(Firms!$E$5:$E$1004,$T896)),IF(INDEX('AFA Rates'!$C$5:$C$1004,$T896)="","",INDEX('AFA Rates'!$C$5:$C$1004,$T896))))</f>
        <v/>
      </c>
      <c r="E896" s="88">
        <f>IF($T896="","",IF($S896="S",IF(""="","",""),IF(INDEX('AFA Rates'!$D$5:$D$1004,$T896)="","",INDEX('AFA Rates'!$D$5:$D$1004,$T896))))</f>
        <v/>
      </c>
      <c r="F896" s="79">
        <f>IF($T896="","",IF($S896="S",IF(INDEX(Firms!$O$5:$O$1004,$T896)="","",INDEX(Firms!$O$5:$O$1004,$T896)),IF(INDEX('AFA Rates'!$O$5:$O$1004,$T896)="","",INDEX('AFA Rates'!$O$5:$O$1004,$T896))))</f>
        <v/>
      </c>
      <c r="G896" s="50">
        <f>IF($T896="","",IF($S896="S",IF(INDEX(Firms!$F$5:$F$1004,$T896)="","",INDEX(Firms!$F$5:$F$1004,$T896)),IF(INDEX('AFA Rates'!$E$5:$E$1004,$T896)="","",INDEX('AFA Rates'!$E$5:$E$1004,$T896))))</f>
        <v/>
      </c>
      <c r="H896" s="50">
        <f>IF($T896="","",IF($S896="S",IF(INDEX(Firms!$G$5:$G$1004,$T896)="","",INDEX(Firms!$G$5:$G$1004,$T896)),IF(INDEX('AFA Rates'!$F$5:$F$1004,$T896)="","",INDEX('AFA Rates'!$F$5:$F$1004,$T896))))</f>
        <v/>
      </c>
      <c r="I896" s="50">
        <f>IF($T896="","",IF($S896="S",IF(INDEX(Firms!$H$5:$H$1004,$T896)="","",INDEX(Firms!$H$5:$H$1004,$T896)),IF(INDEX('AFA Rates'!$G$5:$G$1004,$T896)="","",INDEX('AFA Rates'!$G$5:$G$1004,$T896))))</f>
        <v/>
      </c>
      <c r="J896" s="50">
        <f>IF($T896="","",IF($S896="S",IF(INDEX(Firms!$I$5:$I$1004,$T896)="","",INDEX(Firms!$I$5:$I$1004,$T896)),IF(INDEX('AFA Rates'!$H$5:$H$1004,$T896)="","",INDEX('AFA Rates'!$H$5:$H$1004,$T896))))</f>
        <v/>
      </c>
      <c r="K896" s="50">
        <f>IF($T896="","",IF($S896="S",IF(INDEX(Firms!$J$5:$J$1004,$T896)="","",INDEX(Firms!$J$5:$J$1004,$T896)),IF(INDEX('AFA Rates'!$I$5:$I$1004,$T896)="","",INDEX('AFA Rates'!$I$5:$I$1004,$T896))))</f>
        <v/>
      </c>
      <c r="L896" s="50">
        <f>IF($T896="","",IF($S896="S",IF(INDEX(Firms!$K$5:$K$1004,$T896)="","",INDEX(Firms!$K$5:$K$1004,$T896)),IF(INDEX('AFA Rates'!$J$5:$J$1004,$T896)="","",INDEX('AFA Rates'!$J$5:$J$1004,$T896))))</f>
        <v/>
      </c>
      <c r="M896" s="50">
        <f>IF($T896="","",IF($S896="S",IF(INDEX(Firms!$L$5:$L$1004,$T896)="","",INDEX(Firms!$L$5:$L$1004,$T896)),IF(INDEX('AFA Rates'!$K$5:$K$1004,$T896)="","",INDEX('AFA Rates'!$K$5:$K$1004,$T896))))</f>
        <v/>
      </c>
      <c r="N896" s="50">
        <f>IF($T896="","",IF($S896="S",IF(INDEX(Firms!$M$5:$M$1004,$T896)="","",INDEX(Firms!$M$5:$M$1004,$T896)),IF(INDEX('AFA Rates'!$L$5:$L$1004,$T896)="","",INDEX('AFA Rates'!$L$5:$L$1004,$T896))))</f>
        <v/>
      </c>
      <c r="O896" s="78">
        <f>IF(OR($T896="",$U896=""),"",IF(INDEX(Firms!$C$5:$C$1004,$U896)="","",INDEX(Firms!$C$5:$C$1004,$U896)))</f>
        <v/>
      </c>
      <c r="P896" s="79">
        <f>IF(OR($T896="",$U896=""),"",IF(INDEX(Firms!$N$5:$N$1004,$U896)="","",INDEX(Firms!$N$5:$N$1004,$U896)))</f>
        <v/>
      </c>
      <c r="Q896" s="78">
        <f>IF($T896="","",IF($S896="S",IF(INDEX(Firms!$T$5:$T$1004,$T896)="","",INDEX(Firms!$T$5:$T$1004,$T896)),IF(INDEX('AFA Rates'!$M$5:$M$1004,$T896)="","",INDEX('AFA Rates'!$M$5:$M$1004,$T896))))</f>
        <v/>
      </c>
      <c r="S896">
        <f>IF(892&lt;=$S$2,"S",IF(892&lt;=$S$2+$T$2,"A",""))</f>
        <v/>
      </c>
      <c r="T896">
        <f>IF(S896="S",MATCH(892,Firms!$W$5:$W$1004,0),IF(S896="A",IFERROR(MATCH(892-$S$2,'AFA Rates'!$R$5:$R$1004,0),""),""))</f>
        <v/>
      </c>
      <c r="U896">
        <f>IF(S896="S",T896,IF(AND(S896="A",T896&lt;&gt;""),IFERROR(MATCH(INDEX('AFA Rates'!$A$5:$A$1004,T896),Firms!$A$5:$A$1004,0),""),""))</f>
        <v/>
      </c>
    </row>
    <row r="897">
      <c r="A897" s="78">
        <f>IF($T897="","",IF($S897="S",IF(INDEX(Firms!$A$5:$A$1004,$T897)="","",INDEX(Firms!$A$5:$A$1004,$T897)),IF(INDEX('AFA Rates'!$A$5:$A$1004,$T897)="","",INDEX('AFA Rates'!$A$5:$A$1004,$T897))))</f>
        <v/>
      </c>
      <c r="B897" s="79">
        <f>IF(OR($T897="",$U897=""),IF($T897="","","Not on Firms tab"),INDEX(Firms!$B$5:$B$1004,$U897)&amp;"")</f>
        <v/>
      </c>
      <c r="C897" s="78">
        <f>IF($T897="","",IF($S897="S","Standard",INDEX('AFA Rates'!$B$5:$B$1004,$T897)&amp;""))</f>
        <v/>
      </c>
      <c r="D897" s="88">
        <f>IF($T897="","",IF($S897="S",IF(INDEX(Firms!$E$5:$E$1004,$T897)="","",INDEX(Firms!$E$5:$E$1004,$T897)),IF(INDEX('AFA Rates'!$C$5:$C$1004,$T897)="","",INDEX('AFA Rates'!$C$5:$C$1004,$T897))))</f>
        <v/>
      </c>
      <c r="E897" s="88">
        <f>IF($T897="","",IF($S897="S",IF(""="","",""),IF(INDEX('AFA Rates'!$D$5:$D$1004,$T897)="","",INDEX('AFA Rates'!$D$5:$D$1004,$T897))))</f>
        <v/>
      </c>
      <c r="F897" s="79">
        <f>IF($T897="","",IF($S897="S",IF(INDEX(Firms!$O$5:$O$1004,$T897)="","",INDEX(Firms!$O$5:$O$1004,$T897)),IF(INDEX('AFA Rates'!$O$5:$O$1004,$T897)="","",INDEX('AFA Rates'!$O$5:$O$1004,$T897))))</f>
        <v/>
      </c>
      <c r="G897" s="50">
        <f>IF($T897="","",IF($S897="S",IF(INDEX(Firms!$F$5:$F$1004,$T897)="","",INDEX(Firms!$F$5:$F$1004,$T897)),IF(INDEX('AFA Rates'!$E$5:$E$1004,$T897)="","",INDEX('AFA Rates'!$E$5:$E$1004,$T897))))</f>
        <v/>
      </c>
      <c r="H897" s="50">
        <f>IF($T897="","",IF($S897="S",IF(INDEX(Firms!$G$5:$G$1004,$T897)="","",INDEX(Firms!$G$5:$G$1004,$T897)),IF(INDEX('AFA Rates'!$F$5:$F$1004,$T897)="","",INDEX('AFA Rates'!$F$5:$F$1004,$T897))))</f>
        <v/>
      </c>
      <c r="I897" s="50">
        <f>IF($T897="","",IF($S897="S",IF(INDEX(Firms!$H$5:$H$1004,$T897)="","",INDEX(Firms!$H$5:$H$1004,$T897)),IF(INDEX('AFA Rates'!$G$5:$G$1004,$T897)="","",INDEX('AFA Rates'!$G$5:$G$1004,$T897))))</f>
        <v/>
      </c>
      <c r="J897" s="50">
        <f>IF($T897="","",IF($S897="S",IF(INDEX(Firms!$I$5:$I$1004,$T897)="","",INDEX(Firms!$I$5:$I$1004,$T897)),IF(INDEX('AFA Rates'!$H$5:$H$1004,$T897)="","",INDEX('AFA Rates'!$H$5:$H$1004,$T897))))</f>
        <v/>
      </c>
      <c r="K897" s="50">
        <f>IF($T897="","",IF($S897="S",IF(INDEX(Firms!$J$5:$J$1004,$T897)="","",INDEX(Firms!$J$5:$J$1004,$T897)),IF(INDEX('AFA Rates'!$I$5:$I$1004,$T897)="","",INDEX('AFA Rates'!$I$5:$I$1004,$T897))))</f>
        <v/>
      </c>
      <c r="L897" s="50">
        <f>IF($T897="","",IF($S897="S",IF(INDEX(Firms!$K$5:$K$1004,$T897)="","",INDEX(Firms!$K$5:$K$1004,$T897)),IF(INDEX('AFA Rates'!$J$5:$J$1004,$T897)="","",INDEX('AFA Rates'!$J$5:$J$1004,$T897))))</f>
        <v/>
      </c>
      <c r="M897" s="50">
        <f>IF($T897="","",IF($S897="S",IF(INDEX(Firms!$L$5:$L$1004,$T897)="","",INDEX(Firms!$L$5:$L$1004,$T897)),IF(INDEX('AFA Rates'!$K$5:$K$1004,$T897)="","",INDEX('AFA Rates'!$K$5:$K$1004,$T897))))</f>
        <v/>
      </c>
      <c r="N897" s="50">
        <f>IF($T897="","",IF($S897="S",IF(INDEX(Firms!$M$5:$M$1004,$T897)="","",INDEX(Firms!$M$5:$M$1004,$T897)),IF(INDEX('AFA Rates'!$L$5:$L$1004,$T897)="","",INDEX('AFA Rates'!$L$5:$L$1004,$T897))))</f>
        <v/>
      </c>
      <c r="O897" s="78">
        <f>IF(OR($T897="",$U897=""),"",IF(INDEX(Firms!$C$5:$C$1004,$U897)="","",INDEX(Firms!$C$5:$C$1004,$U897)))</f>
        <v/>
      </c>
      <c r="P897" s="79">
        <f>IF(OR($T897="",$U897=""),"",IF(INDEX(Firms!$N$5:$N$1004,$U897)="","",INDEX(Firms!$N$5:$N$1004,$U897)))</f>
        <v/>
      </c>
      <c r="Q897" s="78">
        <f>IF($T897="","",IF($S897="S",IF(INDEX(Firms!$T$5:$T$1004,$T897)="","",INDEX(Firms!$T$5:$T$1004,$T897)),IF(INDEX('AFA Rates'!$M$5:$M$1004,$T897)="","",INDEX('AFA Rates'!$M$5:$M$1004,$T897))))</f>
        <v/>
      </c>
      <c r="S897">
        <f>IF(893&lt;=$S$2,"S",IF(893&lt;=$S$2+$T$2,"A",""))</f>
        <v/>
      </c>
      <c r="T897">
        <f>IF(S897="S",MATCH(893,Firms!$W$5:$W$1004,0),IF(S897="A",IFERROR(MATCH(893-$S$2,'AFA Rates'!$R$5:$R$1004,0),""),""))</f>
        <v/>
      </c>
      <c r="U897">
        <f>IF(S897="S",T897,IF(AND(S897="A",T897&lt;&gt;""),IFERROR(MATCH(INDEX('AFA Rates'!$A$5:$A$1004,T897),Firms!$A$5:$A$1004,0),""),""))</f>
        <v/>
      </c>
    </row>
    <row r="898">
      <c r="A898" s="78">
        <f>IF($T898="","",IF($S898="S",IF(INDEX(Firms!$A$5:$A$1004,$T898)="","",INDEX(Firms!$A$5:$A$1004,$T898)),IF(INDEX('AFA Rates'!$A$5:$A$1004,$T898)="","",INDEX('AFA Rates'!$A$5:$A$1004,$T898))))</f>
        <v/>
      </c>
      <c r="B898" s="79">
        <f>IF(OR($T898="",$U898=""),IF($T898="","","Not on Firms tab"),INDEX(Firms!$B$5:$B$1004,$U898)&amp;"")</f>
        <v/>
      </c>
      <c r="C898" s="78">
        <f>IF($T898="","",IF($S898="S","Standard",INDEX('AFA Rates'!$B$5:$B$1004,$T898)&amp;""))</f>
        <v/>
      </c>
      <c r="D898" s="88">
        <f>IF($T898="","",IF($S898="S",IF(INDEX(Firms!$E$5:$E$1004,$T898)="","",INDEX(Firms!$E$5:$E$1004,$T898)),IF(INDEX('AFA Rates'!$C$5:$C$1004,$T898)="","",INDEX('AFA Rates'!$C$5:$C$1004,$T898))))</f>
        <v/>
      </c>
      <c r="E898" s="88">
        <f>IF($T898="","",IF($S898="S",IF(""="","",""),IF(INDEX('AFA Rates'!$D$5:$D$1004,$T898)="","",INDEX('AFA Rates'!$D$5:$D$1004,$T898))))</f>
        <v/>
      </c>
      <c r="F898" s="79">
        <f>IF($T898="","",IF($S898="S",IF(INDEX(Firms!$O$5:$O$1004,$T898)="","",INDEX(Firms!$O$5:$O$1004,$T898)),IF(INDEX('AFA Rates'!$O$5:$O$1004,$T898)="","",INDEX('AFA Rates'!$O$5:$O$1004,$T898))))</f>
        <v/>
      </c>
      <c r="G898" s="50">
        <f>IF($T898="","",IF($S898="S",IF(INDEX(Firms!$F$5:$F$1004,$T898)="","",INDEX(Firms!$F$5:$F$1004,$T898)),IF(INDEX('AFA Rates'!$E$5:$E$1004,$T898)="","",INDEX('AFA Rates'!$E$5:$E$1004,$T898))))</f>
        <v/>
      </c>
      <c r="H898" s="50">
        <f>IF($T898="","",IF($S898="S",IF(INDEX(Firms!$G$5:$G$1004,$T898)="","",INDEX(Firms!$G$5:$G$1004,$T898)),IF(INDEX('AFA Rates'!$F$5:$F$1004,$T898)="","",INDEX('AFA Rates'!$F$5:$F$1004,$T898))))</f>
        <v/>
      </c>
      <c r="I898" s="50">
        <f>IF($T898="","",IF($S898="S",IF(INDEX(Firms!$H$5:$H$1004,$T898)="","",INDEX(Firms!$H$5:$H$1004,$T898)),IF(INDEX('AFA Rates'!$G$5:$G$1004,$T898)="","",INDEX('AFA Rates'!$G$5:$G$1004,$T898))))</f>
        <v/>
      </c>
      <c r="J898" s="50">
        <f>IF($T898="","",IF($S898="S",IF(INDEX(Firms!$I$5:$I$1004,$T898)="","",INDEX(Firms!$I$5:$I$1004,$T898)),IF(INDEX('AFA Rates'!$H$5:$H$1004,$T898)="","",INDEX('AFA Rates'!$H$5:$H$1004,$T898))))</f>
        <v/>
      </c>
      <c r="K898" s="50">
        <f>IF($T898="","",IF($S898="S",IF(INDEX(Firms!$J$5:$J$1004,$T898)="","",INDEX(Firms!$J$5:$J$1004,$T898)),IF(INDEX('AFA Rates'!$I$5:$I$1004,$T898)="","",INDEX('AFA Rates'!$I$5:$I$1004,$T898))))</f>
        <v/>
      </c>
      <c r="L898" s="50">
        <f>IF($T898="","",IF($S898="S",IF(INDEX(Firms!$K$5:$K$1004,$T898)="","",INDEX(Firms!$K$5:$K$1004,$T898)),IF(INDEX('AFA Rates'!$J$5:$J$1004,$T898)="","",INDEX('AFA Rates'!$J$5:$J$1004,$T898))))</f>
        <v/>
      </c>
      <c r="M898" s="50">
        <f>IF($T898="","",IF($S898="S",IF(INDEX(Firms!$L$5:$L$1004,$T898)="","",INDEX(Firms!$L$5:$L$1004,$T898)),IF(INDEX('AFA Rates'!$K$5:$K$1004,$T898)="","",INDEX('AFA Rates'!$K$5:$K$1004,$T898))))</f>
        <v/>
      </c>
      <c r="N898" s="50">
        <f>IF($T898="","",IF($S898="S",IF(INDEX(Firms!$M$5:$M$1004,$T898)="","",INDEX(Firms!$M$5:$M$1004,$T898)),IF(INDEX('AFA Rates'!$L$5:$L$1004,$T898)="","",INDEX('AFA Rates'!$L$5:$L$1004,$T898))))</f>
        <v/>
      </c>
      <c r="O898" s="78">
        <f>IF(OR($T898="",$U898=""),"",IF(INDEX(Firms!$C$5:$C$1004,$U898)="","",INDEX(Firms!$C$5:$C$1004,$U898)))</f>
        <v/>
      </c>
      <c r="P898" s="79">
        <f>IF(OR($T898="",$U898=""),"",IF(INDEX(Firms!$N$5:$N$1004,$U898)="","",INDEX(Firms!$N$5:$N$1004,$U898)))</f>
        <v/>
      </c>
      <c r="Q898" s="78">
        <f>IF($T898="","",IF($S898="S",IF(INDEX(Firms!$T$5:$T$1004,$T898)="","",INDEX(Firms!$T$5:$T$1004,$T898)),IF(INDEX('AFA Rates'!$M$5:$M$1004,$T898)="","",INDEX('AFA Rates'!$M$5:$M$1004,$T898))))</f>
        <v/>
      </c>
      <c r="S898">
        <f>IF(894&lt;=$S$2,"S",IF(894&lt;=$S$2+$T$2,"A",""))</f>
        <v/>
      </c>
      <c r="T898">
        <f>IF(S898="S",MATCH(894,Firms!$W$5:$W$1004,0),IF(S898="A",IFERROR(MATCH(894-$S$2,'AFA Rates'!$R$5:$R$1004,0),""),""))</f>
        <v/>
      </c>
      <c r="U898">
        <f>IF(S898="S",T898,IF(AND(S898="A",T898&lt;&gt;""),IFERROR(MATCH(INDEX('AFA Rates'!$A$5:$A$1004,T898),Firms!$A$5:$A$1004,0),""),""))</f>
        <v/>
      </c>
    </row>
    <row r="899">
      <c r="A899" s="78">
        <f>IF($T899="","",IF($S899="S",IF(INDEX(Firms!$A$5:$A$1004,$T899)="","",INDEX(Firms!$A$5:$A$1004,$T899)),IF(INDEX('AFA Rates'!$A$5:$A$1004,$T899)="","",INDEX('AFA Rates'!$A$5:$A$1004,$T899))))</f>
        <v/>
      </c>
      <c r="B899" s="79">
        <f>IF(OR($T899="",$U899=""),IF($T899="","","Not on Firms tab"),INDEX(Firms!$B$5:$B$1004,$U899)&amp;"")</f>
        <v/>
      </c>
      <c r="C899" s="78">
        <f>IF($T899="","",IF($S899="S","Standard",INDEX('AFA Rates'!$B$5:$B$1004,$T899)&amp;""))</f>
        <v/>
      </c>
      <c r="D899" s="88">
        <f>IF($T899="","",IF($S899="S",IF(INDEX(Firms!$E$5:$E$1004,$T899)="","",INDEX(Firms!$E$5:$E$1004,$T899)),IF(INDEX('AFA Rates'!$C$5:$C$1004,$T899)="","",INDEX('AFA Rates'!$C$5:$C$1004,$T899))))</f>
        <v/>
      </c>
      <c r="E899" s="88">
        <f>IF($T899="","",IF($S899="S",IF(""="","",""),IF(INDEX('AFA Rates'!$D$5:$D$1004,$T899)="","",INDEX('AFA Rates'!$D$5:$D$1004,$T899))))</f>
        <v/>
      </c>
      <c r="F899" s="79">
        <f>IF($T899="","",IF($S899="S",IF(INDEX(Firms!$O$5:$O$1004,$T899)="","",INDEX(Firms!$O$5:$O$1004,$T899)),IF(INDEX('AFA Rates'!$O$5:$O$1004,$T899)="","",INDEX('AFA Rates'!$O$5:$O$1004,$T899))))</f>
        <v/>
      </c>
      <c r="G899" s="50">
        <f>IF($T899="","",IF($S899="S",IF(INDEX(Firms!$F$5:$F$1004,$T899)="","",INDEX(Firms!$F$5:$F$1004,$T899)),IF(INDEX('AFA Rates'!$E$5:$E$1004,$T899)="","",INDEX('AFA Rates'!$E$5:$E$1004,$T899))))</f>
        <v/>
      </c>
      <c r="H899" s="50">
        <f>IF($T899="","",IF($S899="S",IF(INDEX(Firms!$G$5:$G$1004,$T899)="","",INDEX(Firms!$G$5:$G$1004,$T899)),IF(INDEX('AFA Rates'!$F$5:$F$1004,$T899)="","",INDEX('AFA Rates'!$F$5:$F$1004,$T899))))</f>
        <v/>
      </c>
      <c r="I899" s="50">
        <f>IF($T899="","",IF($S899="S",IF(INDEX(Firms!$H$5:$H$1004,$T899)="","",INDEX(Firms!$H$5:$H$1004,$T899)),IF(INDEX('AFA Rates'!$G$5:$G$1004,$T899)="","",INDEX('AFA Rates'!$G$5:$G$1004,$T899))))</f>
        <v/>
      </c>
      <c r="J899" s="50">
        <f>IF($T899="","",IF($S899="S",IF(INDEX(Firms!$I$5:$I$1004,$T899)="","",INDEX(Firms!$I$5:$I$1004,$T899)),IF(INDEX('AFA Rates'!$H$5:$H$1004,$T899)="","",INDEX('AFA Rates'!$H$5:$H$1004,$T899))))</f>
        <v/>
      </c>
      <c r="K899" s="50">
        <f>IF($T899="","",IF($S899="S",IF(INDEX(Firms!$J$5:$J$1004,$T899)="","",INDEX(Firms!$J$5:$J$1004,$T899)),IF(INDEX('AFA Rates'!$I$5:$I$1004,$T899)="","",INDEX('AFA Rates'!$I$5:$I$1004,$T899))))</f>
        <v/>
      </c>
      <c r="L899" s="50">
        <f>IF($T899="","",IF($S899="S",IF(INDEX(Firms!$K$5:$K$1004,$T899)="","",INDEX(Firms!$K$5:$K$1004,$T899)),IF(INDEX('AFA Rates'!$J$5:$J$1004,$T899)="","",INDEX('AFA Rates'!$J$5:$J$1004,$T899))))</f>
        <v/>
      </c>
      <c r="M899" s="50">
        <f>IF($T899="","",IF($S899="S",IF(INDEX(Firms!$L$5:$L$1004,$T899)="","",INDEX(Firms!$L$5:$L$1004,$T899)),IF(INDEX('AFA Rates'!$K$5:$K$1004,$T899)="","",INDEX('AFA Rates'!$K$5:$K$1004,$T899))))</f>
        <v/>
      </c>
      <c r="N899" s="50">
        <f>IF($T899="","",IF($S899="S",IF(INDEX(Firms!$M$5:$M$1004,$T899)="","",INDEX(Firms!$M$5:$M$1004,$T899)),IF(INDEX('AFA Rates'!$L$5:$L$1004,$T899)="","",INDEX('AFA Rates'!$L$5:$L$1004,$T899))))</f>
        <v/>
      </c>
      <c r="O899" s="78">
        <f>IF(OR($T899="",$U899=""),"",IF(INDEX(Firms!$C$5:$C$1004,$U899)="","",INDEX(Firms!$C$5:$C$1004,$U899)))</f>
        <v/>
      </c>
      <c r="P899" s="79">
        <f>IF(OR($T899="",$U899=""),"",IF(INDEX(Firms!$N$5:$N$1004,$U899)="","",INDEX(Firms!$N$5:$N$1004,$U899)))</f>
        <v/>
      </c>
      <c r="Q899" s="78">
        <f>IF($T899="","",IF($S899="S",IF(INDEX(Firms!$T$5:$T$1004,$T899)="","",INDEX(Firms!$T$5:$T$1004,$T899)),IF(INDEX('AFA Rates'!$M$5:$M$1004,$T899)="","",INDEX('AFA Rates'!$M$5:$M$1004,$T899))))</f>
        <v/>
      </c>
      <c r="S899">
        <f>IF(895&lt;=$S$2,"S",IF(895&lt;=$S$2+$T$2,"A",""))</f>
        <v/>
      </c>
      <c r="T899">
        <f>IF(S899="S",MATCH(895,Firms!$W$5:$W$1004,0),IF(S899="A",IFERROR(MATCH(895-$S$2,'AFA Rates'!$R$5:$R$1004,0),""),""))</f>
        <v/>
      </c>
      <c r="U899">
        <f>IF(S899="S",T899,IF(AND(S899="A",T899&lt;&gt;""),IFERROR(MATCH(INDEX('AFA Rates'!$A$5:$A$1004,T899),Firms!$A$5:$A$1004,0),""),""))</f>
        <v/>
      </c>
    </row>
    <row r="900">
      <c r="A900" s="78">
        <f>IF($T900="","",IF($S900="S",IF(INDEX(Firms!$A$5:$A$1004,$T900)="","",INDEX(Firms!$A$5:$A$1004,$T900)),IF(INDEX('AFA Rates'!$A$5:$A$1004,$T900)="","",INDEX('AFA Rates'!$A$5:$A$1004,$T900))))</f>
        <v/>
      </c>
      <c r="B900" s="79">
        <f>IF(OR($T900="",$U900=""),IF($T900="","","Not on Firms tab"),INDEX(Firms!$B$5:$B$1004,$U900)&amp;"")</f>
        <v/>
      </c>
      <c r="C900" s="78">
        <f>IF($T900="","",IF($S900="S","Standard",INDEX('AFA Rates'!$B$5:$B$1004,$T900)&amp;""))</f>
        <v/>
      </c>
      <c r="D900" s="88">
        <f>IF($T900="","",IF($S900="S",IF(INDEX(Firms!$E$5:$E$1004,$T900)="","",INDEX(Firms!$E$5:$E$1004,$T900)),IF(INDEX('AFA Rates'!$C$5:$C$1004,$T900)="","",INDEX('AFA Rates'!$C$5:$C$1004,$T900))))</f>
        <v/>
      </c>
      <c r="E900" s="88">
        <f>IF($T900="","",IF($S900="S",IF(""="","",""),IF(INDEX('AFA Rates'!$D$5:$D$1004,$T900)="","",INDEX('AFA Rates'!$D$5:$D$1004,$T900))))</f>
        <v/>
      </c>
      <c r="F900" s="79">
        <f>IF($T900="","",IF($S900="S",IF(INDEX(Firms!$O$5:$O$1004,$T900)="","",INDEX(Firms!$O$5:$O$1004,$T900)),IF(INDEX('AFA Rates'!$O$5:$O$1004,$T900)="","",INDEX('AFA Rates'!$O$5:$O$1004,$T900))))</f>
        <v/>
      </c>
      <c r="G900" s="50">
        <f>IF($T900="","",IF($S900="S",IF(INDEX(Firms!$F$5:$F$1004,$T900)="","",INDEX(Firms!$F$5:$F$1004,$T900)),IF(INDEX('AFA Rates'!$E$5:$E$1004,$T900)="","",INDEX('AFA Rates'!$E$5:$E$1004,$T900))))</f>
        <v/>
      </c>
      <c r="H900" s="50">
        <f>IF($T900="","",IF($S900="S",IF(INDEX(Firms!$G$5:$G$1004,$T900)="","",INDEX(Firms!$G$5:$G$1004,$T900)),IF(INDEX('AFA Rates'!$F$5:$F$1004,$T900)="","",INDEX('AFA Rates'!$F$5:$F$1004,$T900))))</f>
        <v/>
      </c>
      <c r="I900" s="50">
        <f>IF($T900="","",IF($S900="S",IF(INDEX(Firms!$H$5:$H$1004,$T900)="","",INDEX(Firms!$H$5:$H$1004,$T900)),IF(INDEX('AFA Rates'!$G$5:$G$1004,$T900)="","",INDEX('AFA Rates'!$G$5:$G$1004,$T900))))</f>
        <v/>
      </c>
      <c r="J900" s="50">
        <f>IF($T900="","",IF($S900="S",IF(INDEX(Firms!$I$5:$I$1004,$T900)="","",INDEX(Firms!$I$5:$I$1004,$T900)),IF(INDEX('AFA Rates'!$H$5:$H$1004,$T900)="","",INDEX('AFA Rates'!$H$5:$H$1004,$T900))))</f>
        <v/>
      </c>
      <c r="K900" s="50">
        <f>IF($T900="","",IF($S900="S",IF(INDEX(Firms!$J$5:$J$1004,$T900)="","",INDEX(Firms!$J$5:$J$1004,$T900)),IF(INDEX('AFA Rates'!$I$5:$I$1004,$T900)="","",INDEX('AFA Rates'!$I$5:$I$1004,$T900))))</f>
        <v/>
      </c>
      <c r="L900" s="50">
        <f>IF($T900="","",IF($S900="S",IF(INDEX(Firms!$K$5:$K$1004,$T900)="","",INDEX(Firms!$K$5:$K$1004,$T900)),IF(INDEX('AFA Rates'!$J$5:$J$1004,$T900)="","",INDEX('AFA Rates'!$J$5:$J$1004,$T900))))</f>
        <v/>
      </c>
      <c r="M900" s="50">
        <f>IF($T900="","",IF($S900="S",IF(INDEX(Firms!$L$5:$L$1004,$T900)="","",INDEX(Firms!$L$5:$L$1004,$T900)),IF(INDEX('AFA Rates'!$K$5:$K$1004,$T900)="","",INDEX('AFA Rates'!$K$5:$K$1004,$T900))))</f>
        <v/>
      </c>
      <c r="N900" s="50">
        <f>IF($T900="","",IF($S900="S",IF(INDEX(Firms!$M$5:$M$1004,$T900)="","",INDEX(Firms!$M$5:$M$1004,$T900)),IF(INDEX('AFA Rates'!$L$5:$L$1004,$T900)="","",INDEX('AFA Rates'!$L$5:$L$1004,$T900))))</f>
        <v/>
      </c>
      <c r="O900" s="78">
        <f>IF(OR($T900="",$U900=""),"",IF(INDEX(Firms!$C$5:$C$1004,$U900)="","",INDEX(Firms!$C$5:$C$1004,$U900)))</f>
        <v/>
      </c>
      <c r="P900" s="79">
        <f>IF(OR($T900="",$U900=""),"",IF(INDEX(Firms!$N$5:$N$1004,$U900)="","",INDEX(Firms!$N$5:$N$1004,$U900)))</f>
        <v/>
      </c>
      <c r="Q900" s="78">
        <f>IF($T900="","",IF($S900="S",IF(INDEX(Firms!$T$5:$T$1004,$T900)="","",INDEX(Firms!$T$5:$T$1004,$T900)),IF(INDEX('AFA Rates'!$M$5:$M$1004,$T900)="","",INDEX('AFA Rates'!$M$5:$M$1004,$T900))))</f>
        <v/>
      </c>
      <c r="S900">
        <f>IF(896&lt;=$S$2,"S",IF(896&lt;=$S$2+$T$2,"A",""))</f>
        <v/>
      </c>
      <c r="T900">
        <f>IF(S900="S",MATCH(896,Firms!$W$5:$W$1004,0),IF(S900="A",IFERROR(MATCH(896-$S$2,'AFA Rates'!$R$5:$R$1004,0),""),""))</f>
        <v/>
      </c>
      <c r="U900">
        <f>IF(S900="S",T900,IF(AND(S900="A",T900&lt;&gt;""),IFERROR(MATCH(INDEX('AFA Rates'!$A$5:$A$1004,T900),Firms!$A$5:$A$1004,0),""),""))</f>
        <v/>
      </c>
    </row>
    <row r="901">
      <c r="A901" s="78">
        <f>IF($T901="","",IF($S901="S",IF(INDEX(Firms!$A$5:$A$1004,$T901)="","",INDEX(Firms!$A$5:$A$1004,$T901)),IF(INDEX('AFA Rates'!$A$5:$A$1004,$T901)="","",INDEX('AFA Rates'!$A$5:$A$1004,$T901))))</f>
        <v/>
      </c>
      <c r="B901" s="79">
        <f>IF(OR($T901="",$U901=""),IF($T901="","","Not on Firms tab"),INDEX(Firms!$B$5:$B$1004,$U901)&amp;"")</f>
        <v/>
      </c>
      <c r="C901" s="78">
        <f>IF($T901="","",IF($S901="S","Standard",INDEX('AFA Rates'!$B$5:$B$1004,$T901)&amp;""))</f>
        <v/>
      </c>
      <c r="D901" s="88">
        <f>IF($T901="","",IF($S901="S",IF(INDEX(Firms!$E$5:$E$1004,$T901)="","",INDEX(Firms!$E$5:$E$1004,$T901)),IF(INDEX('AFA Rates'!$C$5:$C$1004,$T901)="","",INDEX('AFA Rates'!$C$5:$C$1004,$T901))))</f>
        <v/>
      </c>
      <c r="E901" s="88">
        <f>IF($T901="","",IF($S901="S",IF(""="","",""),IF(INDEX('AFA Rates'!$D$5:$D$1004,$T901)="","",INDEX('AFA Rates'!$D$5:$D$1004,$T901))))</f>
        <v/>
      </c>
      <c r="F901" s="79">
        <f>IF($T901="","",IF($S901="S",IF(INDEX(Firms!$O$5:$O$1004,$T901)="","",INDEX(Firms!$O$5:$O$1004,$T901)),IF(INDEX('AFA Rates'!$O$5:$O$1004,$T901)="","",INDEX('AFA Rates'!$O$5:$O$1004,$T901))))</f>
        <v/>
      </c>
      <c r="G901" s="50">
        <f>IF($T901="","",IF($S901="S",IF(INDEX(Firms!$F$5:$F$1004,$T901)="","",INDEX(Firms!$F$5:$F$1004,$T901)),IF(INDEX('AFA Rates'!$E$5:$E$1004,$T901)="","",INDEX('AFA Rates'!$E$5:$E$1004,$T901))))</f>
        <v/>
      </c>
      <c r="H901" s="50">
        <f>IF($T901="","",IF($S901="S",IF(INDEX(Firms!$G$5:$G$1004,$T901)="","",INDEX(Firms!$G$5:$G$1004,$T901)),IF(INDEX('AFA Rates'!$F$5:$F$1004,$T901)="","",INDEX('AFA Rates'!$F$5:$F$1004,$T901))))</f>
        <v/>
      </c>
      <c r="I901" s="50">
        <f>IF($T901="","",IF($S901="S",IF(INDEX(Firms!$H$5:$H$1004,$T901)="","",INDEX(Firms!$H$5:$H$1004,$T901)),IF(INDEX('AFA Rates'!$G$5:$G$1004,$T901)="","",INDEX('AFA Rates'!$G$5:$G$1004,$T901))))</f>
        <v/>
      </c>
      <c r="J901" s="50">
        <f>IF($T901="","",IF($S901="S",IF(INDEX(Firms!$I$5:$I$1004,$T901)="","",INDEX(Firms!$I$5:$I$1004,$T901)),IF(INDEX('AFA Rates'!$H$5:$H$1004,$T901)="","",INDEX('AFA Rates'!$H$5:$H$1004,$T901))))</f>
        <v/>
      </c>
      <c r="K901" s="50">
        <f>IF($T901="","",IF($S901="S",IF(INDEX(Firms!$J$5:$J$1004,$T901)="","",INDEX(Firms!$J$5:$J$1004,$T901)),IF(INDEX('AFA Rates'!$I$5:$I$1004,$T901)="","",INDEX('AFA Rates'!$I$5:$I$1004,$T901))))</f>
        <v/>
      </c>
      <c r="L901" s="50">
        <f>IF($T901="","",IF($S901="S",IF(INDEX(Firms!$K$5:$K$1004,$T901)="","",INDEX(Firms!$K$5:$K$1004,$T901)),IF(INDEX('AFA Rates'!$J$5:$J$1004,$T901)="","",INDEX('AFA Rates'!$J$5:$J$1004,$T901))))</f>
        <v/>
      </c>
      <c r="M901" s="50">
        <f>IF($T901="","",IF($S901="S",IF(INDEX(Firms!$L$5:$L$1004,$T901)="","",INDEX(Firms!$L$5:$L$1004,$T901)),IF(INDEX('AFA Rates'!$K$5:$K$1004,$T901)="","",INDEX('AFA Rates'!$K$5:$K$1004,$T901))))</f>
        <v/>
      </c>
      <c r="N901" s="50">
        <f>IF($T901="","",IF($S901="S",IF(INDEX(Firms!$M$5:$M$1004,$T901)="","",INDEX(Firms!$M$5:$M$1004,$T901)),IF(INDEX('AFA Rates'!$L$5:$L$1004,$T901)="","",INDEX('AFA Rates'!$L$5:$L$1004,$T901))))</f>
        <v/>
      </c>
      <c r="O901" s="78">
        <f>IF(OR($T901="",$U901=""),"",IF(INDEX(Firms!$C$5:$C$1004,$U901)="","",INDEX(Firms!$C$5:$C$1004,$U901)))</f>
        <v/>
      </c>
      <c r="P901" s="79">
        <f>IF(OR($T901="",$U901=""),"",IF(INDEX(Firms!$N$5:$N$1004,$U901)="","",INDEX(Firms!$N$5:$N$1004,$U901)))</f>
        <v/>
      </c>
      <c r="Q901" s="78">
        <f>IF($T901="","",IF($S901="S",IF(INDEX(Firms!$T$5:$T$1004,$T901)="","",INDEX(Firms!$T$5:$T$1004,$T901)),IF(INDEX('AFA Rates'!$M$5:$M$1004,$T901)="","",INDEX('AFA Rates'!$M$5:$M$1004,$T901))))</f>
        <v/>
      </c>
      <c r="S901">
        <f>IF(897&lt;=$S$2,"S",IF(897&lt;=$S$2+$T$2,"A",""))</f>
        <v/>
      </c>
      <c r="T901">
        <f>IF(S901="S",MATCH(897,Firms!$W$5:$W$1004,0),IF(S901="A",IFERROR(MATCH(897-$S$2,'AFA Rates'!$R$5:$R$1004,0),""),""))</f>
        <v/>
      </c>
      <c r="U901">
        <f>IF(S901="S",T901,IF(AND(S901="A",T901&lt;&gt;""),IFERROR(MATCH(INDEX('AFA Rates'!$A$5:$A$1004,T901),Firms!$A$5:$A$1004,0),""),""))</f>
        <v/>
      </c>
    </row>
    <row r="902">
      <c r="A902" s="78">
        <f>IF($T902="","",IF($S902="S",IF(INDEX(Firms!$A$5:$A$1004,$T902)="","",INDEX(Firms!$A$5:$A$1004,$T902)),IF(INDEX('AFA Rates'!$A$5:$A$1004,$T902)="","",INDEX('AFA Rates'!$A$5:$A$1004,$T902))))</f>
        <v/>
      </c>
      <c r="B902" s="79">
        <f>IF(OR($T902="",$U902=""),IF($T902="","","Not on Firms tab"),INDEX(Firms!$B$5:$B$1004,$U902)&amp;"")</f>
        <v/>
      </c>
      <c r="C902" s="78">
        <f>IF($T902="","",IF($S902="S","Standard",INDEX('AFA Rates'!$B$5:$B$1004,$T902)&amp;""))</f>
        <v/>
      </c>
      <c r="D902" s="88">
        <f>IF($T902="","",IF($S902="S",IF(INDEX(Firms!$E$5:$E$1004,$T902)="","",INDEX(Firms!$E$5:$E$1004,$T902)),IF(INDEX('AFA Rates'!$C$5:$C$1004,$T902)="","",INDEX('AFA Rates'!$C$5:$C$1004,$T902))))</f>
        <v/>
      </c>
      <c r="E902" s="88">
        <f>IF($T902="","",IF($S902="S",IF(""="","",""),IF(INDEX('AFA Rates'!$D$5:$D$1004,$T902)="","",INDEX('AFA Rates'!$D$5:$D$1004,$T902))))</f>
        <v/>
      </c>
      <c r="F902" s="79">
        <f>IF($T902="","",IF($S902="S",IF(INDEX(Firms!$O$5:$O$1004,$T902)="","",INDEX(Firms!$O$5:$O$1004,$T902)),IF(INDEX('AFA Rates'!$O$5:$O$1004,$T902)="","",INDEX('AFA Rates'!$O$5:$O$1004,$T902))))</f>
        <v/>
      </c>
      <c r="G902" s="50">
        <f>IF($T902="","",IF($S902="S",IF(INDEX(Firms!$F$5:$F$1004,$T902)="","",INDEX(Firms!$F$5:$F$1004,$T902)),IF(INDEX('AFA Rates'!$E$5:$E$1004,$T902)="","",INDEX('AFA Rates'!$E$5:$E$1004,$T902))))</f>
        <v/>
      </c>
      <c r="H902" s="50">
        <f>IF($T902="","",IF($S902="S",IF(INDEX(Firms!$G$5:$G$1004,$T902)="","",INDEX(Firms!$G$5:$G$1004,$T902)),IF(INDEX('AFA Rates'!$F$5:$F$1004,$T902)="","",INDEX('AFA Rates'!$F$5:$F$1004,$T902))))</f>
        <v/>
      </c>
      <c r="I902" s="50">
        <f>IF($T902="","",IF($S902="S",IF(INDEX(Firms!$H$5:$H$1004,$T902)="","",INDEX(Firms!$H$5:$H$1004,$T902)),IF(INDEX('AFA Rates'!$G$5:$G$1004,$T902)="","",INDEX('AFA Rates'!$G$5:$G$1004,$T902))))</f>
        <v/>
      </c>
      <c r="J902" s="50">
        <f>IF($T902="","",IF($S902="S",IF(INDEX(Firms!$I$5:$I$1004,$T902)="","",INDEX(Firms!$I$5:$I$1004,$T902)),IF(INDEX('AFA Rates'!$H$5:$H$1004,$T902)="","",INDEX('AFA Rates'!$H$5:$H$1004,$T902))))</f>
        <v/>
      </c>
      <c r="K902" s="50">
        <f>IF($T902="","",IF($S902="S",IF(INDEX(Firms!$J$5:$J$1004,$T902)="","",INDEX(Firms!$J$5:$J$1004,$T902)),IF(INDEX('AFA Rates'!$I$5:$I$1004,$T902)="","",INDEX('AFA Rates'!$I$5:$I$1004,$T902))))</f>
        <v/>
      </c>
      <c r="L902" s="50">
        <f>IF($T902="","",IF($S902="S",IF(INDEX(Firms!$K$5:$K$1004,$T902)="","",INDEX(Firms!$K$5:$K$1004,$T902)),IF(INDEX('AFA Rates'!$J$5:$J$1004,$T902)="","",INDEX('AFA Rates'!$J$5:$J$1004,$T902))))</f>
        <v/>
      </c>
      <c r="M902" s="50">
        <f>IF($T902="","",IF($S902="S",IF(INDEX(Firms!$L$5:$L$1004,$T902)="","",INDEX(Firms!$L$5:$L$1004,$T902)),IF(INDEX('AFA Rates'!$K$5:$K$1004,$T902)="","",INDEX('AFA Rates'!$K$5:$K$1004,$T902))))</f>
        <v/>
      </c>
      <c r="N902" s="50">
        <f>IF($T902="","",IF($S902="S",IF(INDEX(Firms!$M$5:$M$1004,$T902)="","",INDEX(Firms!$M$5:$M$1004,$T902)),IF(INDEX('AFA Rates'!$L$5:$L$1004,$T902)="","",INDEX('AFA Rates'!$L$5:$L$1004,$T902))))</f>
        <v/>
      </c>
      <c r="O902" s="78">
        <f>IF(OR($T902="",$U902=""),"",IF(INDEX(Firms!$C$5:$C$1004,$U902)="","",INDEX(Firms!$C$5:$C$1004,$U902)))</f>
        <v/>
      </c>
      <c r="P902" s="79">
        <f>IF(OR($T902="",$U902=""),"",IF(INDEX(Firms!$N$5:$N$1004,$U902)="","",INDEX(Firms!$N$5:$N$1004,$U902)))</f>
        <v/>
      </c>
      <c r="Q902" s="78">
        <f>IF($T902="","",IF($S902="S",IF(INDEX(Firms!$T$5:$T$1004,$T902)="","",INDEX(Firms!$T$5:$T$1004,$T902)),IF(INDEX('AFA Rates'!$M$5:$M$1004,$T902)="","",INDEX('AFA Rates'!$M$5:$M$1004,$T902))))</f>
        <v/>
      </c>
      <c r="S902">
        <f>IF(898&lt;=$S$2,"S",IF(898&lt;=$S$2+$T$2,"A",""))</f>
        <v/>
      </c>
      <c r="T902">
        <f>IF(S902="S",MATCH(898,Firms!$W$5:$W$1004,0),IF(S902="A",IFERROR(MATCH(898-$S$2,'AFA Rates'!$R$5:$R$1004,0),""),""))</f>
        <v/>
      </c>
      <c r="U902">
        <f>IF(S902="S",T902,IF(AND(S902="A",T902&lt;&gt;""),IFERROR(MATCH(INDEX('AFA Rates'!$A$5:$A$1004,T902),Firms!$A$5:$A$1004,0),""),""))</f>
        <v/>
      </c>
    </row>
    <row r="903">
      <c r="A903" s="78">
        <f>IF($T903="","",IF($S903="S",IF(INDEX(Firms!$A$5:$A$1004,$T903)="","",INDEX(Firms!$A$5:$A$1004,$T903)),IF(INDEX('AFA Rates'!$A$5:$A$1004,$T903)="","",INDEX('AFA Rates'!$A$5:$A$1004,$T903))))</f>
        <v/>
      </c>
      <c r="B903" s="79">
        <f>IF(OR($T903="",$U903=""),IF($T903="","","Not on Firms tab"),INDEX(Firms!$B$5:$B$1004,$U903)&amp;"")</f>
        <v/>
      </c>
      <c r="C903" s="78">
        <f>IF($T903="","",IF($S903="S","Standard",INDEX('AFA Rates'!$B$5:$B$1004,$T903)&amp;""))</f>
        <v/>
      </c>
      <c r="D903" s="88">
        <f>IF($T903="","",IF($S903="S",IF(INDEX(Firms!$E$5:$E$1004,$T903)="","",INDEX(Firms!$E$5:$E$1004,$T903)),IF(INDEX('AFA Rates'!$C$5:$C$1004,$T903)="","",INDEX('AFA Rates'!$C$5:$C$1004,$T903))))</f>
        <v/>
      </c>
      <c r="E903" s="88">
        <f>IF($T903="","",IF($S903="S",IF(""="","",""),IF(INDEX('AFA Rates'!$D$5:$D$1004,$T903)="","",INDEX('AFA Rates'!$D$5:$D$1004,$T903))))</f>
        <v/>
      </c>
      <c r="F903" s="79">
        <f>IF($T903="","",IF($S903="S",IF(INDEX(Firms!$O$5:$O$1004,$T903)="","",INDEX(Firms!$O$5:$O$1004,$T903)),IF(INDEX('AFA Rates'!$O$5:$O$1004,$T903)="","",INDEX('AFA Rates'!$O$5:$O$1004,$T903))))</f>
        <v/>
      </c>
      <c r="G903" s="50">
        <f>IF($T903="","",IF($S903="S",IF(INDEX(Firms!$F$5:$F$1004,$T903)="","",INDEX(Firms!$F$5:$F$1004,$T903)),IF(INDEX('AFA Rates'!$E$5:$E$1004,$T903)="","",INDEX('AFA Rates'!$E$5:$E$1004,$T903))))</f>
        <v/>
      </c>
      <c r="H903" s="50">
        <f>IF($T903="","",IF($S903="S",IF(INDEX(Firms!$G$5:$G$1004,$T903)="","",INDEX(Firms!$G$5:$G$1004,$T903)),IF(INDEX('AFA Rates'!$F$5:$F$1004,$T903)="","",INDEX('AFA Rates'!$F$5:$F$1004,$T903))))</f>
        <v/>
      </c>
      <c r="I903" s="50">
        <f>IF($T903="","",IF($S903="S",IF(INDEX(Firms!$H$5:$H$1004,$T903)="","",INDEX(Firms!$H$5:$H$1004,$T903)),IF(INDEX('AFA Rates'!$G$5:$G$1004,$T903)="","",INDEX('AFA Rates'!$G$5:$G$1004,$T903))))</f>
        <v/>
      </c>
      <c r="J903" s="50">
        <f>IF($T903="","",IF($S903="S",IF(INDEX(Firms!$I$5:$I$1004,$T903)="","",INDEX(Firms!$I$5:$I$1004,$T903)),IF(INDEX('AFA Rates'!$H$5:$H$1004,$T903)="","",INDEX('AFA Rates'!$H$5:$H$1004,$T903))))</f>
        <v/>
      </c>
      <c r="K903" s="50">
        <f>IF($T903="","",IF($S903="S",IF(INDEX(Firms!$J$5:$J$1004,$T903)="","",INDEX(Firms!$J$5:$J$1004,$T903)),IF(INDEX('AFA Rates'!$I$5:$I$1004,$T903)="","",INDEX('AFA Rates'!$I$5:$I$1004,$T903))))</f>
        <v/>
      </c>
      <c r="L903" s="50">
        <f>IF($T903="","",IF($S903="S",IF(INDEX(Firms!$K$5:$K$1004,$T903)="","",INDEX(Firms!$K$5:$K$1004,$T903)),IF(INDEX('AFA Rates'!$J$5:$J$1004,$T903)="","",INDEX('AFA Rates'!$J$5:$J$1004,$T903))))</f>
        <v/>
      </c>
      <c r="M903" s="50">
        <f>IF($T903="","",IF($S903="S",IF(INDEX(Firms!$L$5:$L$1004,$T903)="","",INDEX(Firms!$L$5:$L$1004,$T903)),IF(INDEX('AFA Rates'!$K$5:$K$1004,$T903)="","",INDEX('AFA Rates'!$K$5:$K$1004,$T903))))</f>
        <v/>
      </c>
      <c r="N903" s="50">
        <f>IF($T903="","",IF($S903="S",IF(INDEX(Firms!$M$5:$M$1004,$T903)="","",INDEX(Firms!$M$5:$M$1004,$T903)),IF(INDEX('AFA Rates'!$L$5:$L$1004,$T903)="","",INDEX('AFA Rates'!$L$5:$L$1004,$T903))))</f>
        <v/>
      </c>
      <c r="O903" s="78">
        <f>IF(OR($T903="",$U903=""),"",IF(INDEX(Firms!$C$5:$C$1004,$U903)="","",INDEX(Firms!$C$5:$C$1004,$U903)))</f>
        <v/>
      </c>
      <c r="P903" s="79">
        <f>IF(OR($T903="",$U903=""),"",IF(INDEX(Firms!$N$5:$N$1004,$U903)="","",INDEX(Firms!$N$5:$N$1004,$U903)))</f>
        <v/>
      </c>
      <c r="Q903" s="78">
        <f>IF($T903="","",IF($S903="S",IF(INDEX(Firms!$T$5:$T$1004,$T903)="","",INDEX(Firms!$T$5:$T$1004,$T903)),IF(INDEX('AFA Rates'!$M$5:$M$1004,$T903)="","",INDEX('AFA Rates'!$M$5:$M$1004,$T903))))</f>
        <v/>
      </c>
      <c r="S903">
        <f>IF(899&lt;=$S$2,"S",IF(899&lt;=$S$2+$T$2,"A",""))</f>
        <v/>
      </c>
      <c r="T903">
        <f>IF(S903="S",MATCH(899,Firms!$W$5:$W$1004,0),IF(S903="A",IFERROR(MATCH(899-$S$2,'AFA Rates'!$R$5:$R$1004,0),""),""))</f>
        <v/>
      </c>
      <c r="U903">
        <f>IF(S903="S",T903,IF(AND(S903="A",T903&lt;&gt;""),IFERROR(MATCH(INDEX('AFA Rates'!$A$5:$A$1004,T903),Firms!$A$5:$A$1004,0),""),""))</f>
        <v/>
      </c>
    </row>
    <row r="904">
      <c r="A904" s="78">
        <f>IF($T904="","",IF($S904="S",IF(INDEX(Firms!$A$5:$A$1004,$T904)="","",INDEX(Firms!$A$5:$A$1004,$T904)),IF(INDEX('AFA Rates'!$A$5:$A$1004,$T904)="","",INDEX('AFA Rates'!$A$5:$A$1004,$T904))))</f>
        <v/>
      </c>
      <c r="B904" s="79">
        <f>IF(OR($T904="",$U904=""),IF($T904="","","Not on Firms tab"),INDEX(Firms!$B$5:$B$1004,$U904)&amp;"")</f>
        <v/>
      </c>
      <c r="C904" s="78">
        <f>IF($T904="","",IF($S904="S","Standard",INDEX('AFA Rates'!$B$5:$B$1004,$T904)&amp;""))</f>
        <v/>
      </c>
      <c r="D904" s="88">
        <f>IF($T904="","",IF($S904="S",IF(INDEX(Firms!$E$5:$E$1004,$T904)="","",INDEX(Firms!$E$5:$E$1004,$T904)),IF(INDEX('AFA Rates'!$C$5:$C$1004,$T904)="","",INDEX('AFA Rates'!$C$5:$C$1004,$T904))))</f>
        <v/>
      </c>
      <c r="E904" s="88">
        <f>IF($T904="","",IF($S904="S",IF(""="","",""),IF(INDEX('AFA Rates'!$D$5:$D$1004,$T904)="","",INDEX('AFA Rates'!$D$5:$D$1004,$T904))))</f>
        <v/>
      </c>
      <c r="F904" s="79">
        <f>IF($T904="","",IF($S904="S",IF(INDEX(Firms!$O$5:$O$1004,$T904)="","",INDEX(Firms!$O$5:$O$1004,$T904)),IF(INDEX('AFA Rates'!$O$5:$O$1004,$T904)="","",INDEX('AFA Rates'!$O$5:$O$1004,$T904))))</f>
        <v/>
      </c>
      <c r="G904" s="50">
        <f>IF($T904="","",IF($S904="S",IF(INDEX(Firms!$F$5:$F$1004,$T904)="","",INDEX(Firms!$F$5:$F$1004,$T904)),IF(INDEX('AFA Rates'!$E$5:$E$1004,$T904)="","",INDEX('AFA Rates'!$E$5:$E$1004,$T904))))</f>
        <v/>
      </c>
      <c r="H904" s="50">
        <f>IF($T904="","",IF($S904="S",IF(INDEX(Firms!$G$5:$G$1004,$T904)="","",INDEX(Firms!$G$5:$G$1004,$T904)),IF(INDEX('AFA Rates'!$F$5:$F$1004,$T904)="","",INDEX('AFA Rates'!$F$5:$F$1004,$T904))))</f>
        <v/>
      </c>
      <c r="I904" s="50">
        <f>IF($T904="","",IF($S904="S",IF(INDEX(Firms!$H$5:$H$1004,$T904)="","",INDEX(Firms!$H$5:$H$1004,$T904)),IF(INDEX('AFA Rates'!$G$5:$G$1004,$T904)="","",INDEX('AFA Rates'!$G$5:$G$1004,$T904))))</f>
        <v/>
      </c>
      <c r="J904" s="50">
        <f>IF($T904="","",IF($S904="S",IF(INDEX(Firms!$I$5:$I$1004,$T904)="","",INDEX(Firms!$I$5:$I$1004,$T904)),IF(INDEX('AFA Rates'!$H$5:$H$1004,$T904)="","",INDEX('AFA Rates'!$H$5:$H$1004,$T904))))</f>
        <v/>
      </c>
      <c r="K904" s="50">
        <f>IF($T904="","",IF($S904="S",IF(INDEX(Firms!$J$5:$J$1004,$T904)="","",INDEX(Firms!$J$5:$J$1004,$T904)),IF(INDEX('AFA Rates'!$I$5:$I$1004,$T904)="","",INDEX('AFA Rates'!$I$5:$I$1004,$T904))))</f>
        <v/>
      </c>
      <c r="L904" s="50">
        <f>IF($T904="","",IF($S904="S",IF(INDEX(Firms!$K$5:$K$1004,$T904)="","",INDEX(Firms!$K$5:$K$1004,$T904)),IF(INDEX('AFA Rates'!$J$5:$J$1004,$T904)="","",INDEX('AFA Rates'!$J$5:$J$1004,$T904))))</f>
        <v/>
      </c>
      <c r="M904" s="50">
        <f>IF($T904="","",IF($S904="S",IF(INDEX(Firms!$L$5:$L$1004,$T904)="","",INDEX(Firms!$L$5:$L$1004,$T904)),IF(INDEX('AFA Rates'!$K$5:$K$1004,$T904)="","",INDEX('AFA Rates'!$K$5:$K$1004,$T904))))</f>
        <v/>
      </c>
      <c r="N904" s="50">
        <f>IF($T904="","",IF($S904="S",IF(INDEX(Firms!$M$5:$M$1004,$T904)="","",INDEX(Firms!$M$5:$M$1004,$T904)),IF(INDEX('AFA Rates'!$L$5:$L$1004,$T904)="","",INDEX('AFA Rates'!$L$5:$L$1004,$T904))))</f>
        <v/>
      </c>
      <c r="O904" s="78">
        <f>IF(OR($T904="",$U904=""),"",IF(INDEX(Firms!$C$5:$C$1004,$U904)="","",INDEX(Firms!$C$5:$C$1004,$U904)))</f>
        <v/>
      </c>
      <c r="P904" s="79">
        <f>IF(OR($T904="",$U904=""),"",IF(INDEX(Firms!$N$5:$N$1004,$U904)="","",INDEX(Firms!$N$5:$N$1004,$U904)))</f>
        <v/>
      </c>
      <c r="Q904" s="78">
        <f>IF($T904="","",IF($S904="S",IF(INDEX(Firms!$T$5:$T$1004,$T904)="","",INDEX(Firms!$T$5:$T$1004,$T904)),IF(INDEX('AFA Rates'!$M$5:$M$1004,$T904)="","",INDEX('AFA Rates'!$M$5:$M$1004,$T904))))</f>
        <v/>
      </c>
      <c r="S904">
        <f>IF(900&lt;=$S$2,"S",IF(900&lt;=$S$2+$T$2,"A",""))</f>
        <v/>
      </c>
      <c r="T904">
        <f>IF(S904="S",MATCH(900,Firms!$W$5:$W$1004,0),IF(S904="A",IFERROR(MATCH(900-$S$2,'AFA Rates'!$R$5:$R$1004,0),""),""))</f>
        <v/>
      </c>
      <c r="U904">
        <f>IF(S904="S",T904,IF(AND(S904="A",T904&lt;&gt;""),IFERROR(MATCH(INDEX('AFA Rates'!$A$5:$A$1004,T904),Firms!$A$5:$A$1004,0),""),""))</f>
        <v/>
      </c>
    </row>
    <row r="905">
      <c r="A905" s="78">
        <f>IF($T905="","",IF($S905="S",IF(INDEX(Firms!$A$5:$A$1004,$T905)="","",INDEX(Firms!$A$5:$A$1004,$T905)),IF(INDEX('AFA Rates'!$A$5:$A$1004,$T905)="","",INDEX('AFA Rates'!$A$5:$A$1004,$T905))))</f>
        <v/>
      </c>
      <c r="B905" s="79">
        <f>IF(OR($T905="",$U905=""),IF($T905="","","Not on Firms tab"),INDEX(Firms!$B$5:$B$1004,$U905)&amp;"")</f>
        <v/>
      </c>
      <c r="C905" s="78">
        <f>IF($T905="","",IF($S905="S","Standard",INDEX('AFA Rates'!$B$5:$B$1004,$T905)&amp;""))</f>
        <v/>
      </c>
      <c r="D905" s="88">
        <f>IF($T905="","",IF($S905="S",IF(INDEX(Firms!$E$5:$E$1004,$T905)="","",INDEX(Firms!$E$5:$E$1004,$T905)),IF(INDEX('AFA Rates'!$C$5:$C$1004,$T905)="","",INDEX('AFA Rates'!$C$5:$C$1004,$T905))))</f>
        <v/>
      </c>
      <c r="E905" s="88">
        <f>IF($T905="","",IF($S905="S",IF(""="","",""),IF(INDEX('AFA Rates'!$D$5:$D$1004,$T905)="","",INDEX('AFA Rates'!$D$5:$D$1004,$T905))))</f>
        <v/>
      </c>
      <c r="F905" s="79">
        <f>IF($T905="","",IF($S905="S",IF(INDEX(Firms!$O$5:$O$1004,$T905)="","",INDEX(Firms!$O$5:$O$1004,$T905)),IF(INDEX('AFA Rates'!$O$5:$O$1004,$T905)="","",INDEX('AFA Rates'!$O$5:$O$1004,$T905))))</f>
        <v/>
      </c>
      <c r="G905" s="50">
        <f>IF($T905="","",IF($S905="S",IF(INDEX(Firms!$F$5:$F$1004,$T905)="","",INDEX(Firms!$F$5:$F$1004,$T905)),IF(INDEX('AFA Rates'!$E$5:$E$1004,$T905)="","",INDEX('AFA Rates'!$E$5:$E$1004,$T905))))</f>
        <v/>
      </c>
      <c r="H905" s="50">
        <f>IF($T905="","",IF($S905="S",IF(INDEX(Firms!$G$5:$G$1004,$T905)="","",INDEX(Firms!$G$5:$G$1004,$T905)),IF(INDEX('AFA Rates'!$F$5:$F$1004,$T905)="","",INDEX('AFA Rates'!$F$5:$F$1004,$T905))))</f>
        <v/>
      </c>
      <c r="I905" s="50">
        <f>IF($T905="","",IF($S905="S",IF(INDEX(Firms!$H$5:$H$1004,$T905)="","",INDEX(Firms!$H$5:$H$1004,$T905)),IF(INDEX('AFA Rates'!$G$5:$G$1004,$T905)="","",INDEX('AFA Rates'!$G$5:$G$1004,$T905))))</f>
        <v/>
      </c>
      <c r="J905" s="50">
        <f>IF($T905="","",IF($S905="S",IF(INDEX(Firms!$I$5:$I$1004,$T905)="","",INDEX(Firms!$I$5:$I$1004,$T905)),IF(INDEX('AFA Rates'!$H$5:$H$1004,$T905)="","",INDEX('AFA Rates'!$H$5:$H$1004,$T905))))</f>
        <v/>
      </c>
      <c r="K905" s="50">
        <f>IF($T905="","",IF($S905="S",IF(INDEX(Firms!$J$5:$J$1004,$T905)="","",INDEX(Firms!$J$5:$J$1004,$T905)),IF(INDEX('AFA Rates'!$I$5:$I$1004,$T905)="","",INDEX('AFA Rates'!$I$5:$I$1004,$T905))))</f>
        <v/>
      </c>
      <c r="L905" s="50">
        <f>IF($T905="","",IF($S905="S",IF(INDEX(Firms!$K$5:$K$1004,$T905)="","",INDEX(Firms!$K$5:$K$1004,$T905)),IF(INDEX('AFA Rates'!$J$5:$J$1004,$T905)="","",INDEX('AFA Rates'!$J$5:$J$1004,$T905))))</f>
        <v/>
      </c>
      <c r="M905" s="50">
        <f>IF($T905="","",IF($S905="S",IF(INDEX(Firms!$L$5:$L$1004,$T905)="","",INDEX(Firms!$L$5:$L$1004,$T905)),IF(INDEX('AFA Rates'!$K$5:$K$1004,$T905)="","",INDEX('AFA Rates'!$K$5:$K$1004,$T905))))</f>
        <v/>
      </c>
      <c r="N905" s="50">
        <f>IF($T905="","",IF($S905="S",IF(INDEX(Firms!$M$5:$M$1004,$T905)="","",INDEX(Firms!$M$5:$M$1004,$T905)),IF(INDEX('AFA Rates'!$L$5:$L$1004,$T905)="","",INDEX('AFA Rates'!$L$5:$L$1004,$T905))))</f>
        <v/>
      </c>
      <c r="O905" s="78">
        <f>IF(OR($T905="",$U905=""),"",IF(INDEX(Firms!$C$5:$C$1004,$U905)="","",INDEX(Firms!$C$5:$C$1004,$U905)))</f>
        <v/>
      </c>
      <c r="P905" s="79">
        <f>IF(OR($T905="",$U905=""),"",IF(INDEX(Firms!$N$5:$N$1004,$U905)="","",INDEX(Firms!$N$5:$N$1004,$U905)))</f>
        <v/>
      </c>
      <c r="Q905" s="78">
        <f>IF($T905="","",IF($S905="S",IF(INDEX(Firms!$T$5:$T$1004,$T905)="","",INDEX(Firms!$T$5:$T$1004,$T905)),IF(INDEX('AFA Rates'!$M$5:$M$1004,$T905)="","",INDEX('AFA Rates'!$M$5:$M$1004,$T905))))</f>
        <v/>
      </c>
      <c r="S905">
        <f>IF(901&lt;=$S$2,"S",IF(901&lt;=$S$2+$T$2,"A",""))</f>
        <v/>
      </c>
      <c r="T905">
        <f>IF(S905="S",MATCH(901,Firms!$W$5:$W$1004,0),IF(S905="A",IFERROR(MATCH(901-$S$2,'AFA Rates'!$R$5:$R$1004,0),""),""))</f>
        <v/>
      </c>
      <c r="U905">
        <f>IF(S905="S",T905,IF(AND(S905="A",T905&lt;&gt;""),IFERROR(MATCH(INDEX('AFA Rates'!$A$5:$A$1004,T905),Firms!$A$5:$A$1004,0),""),""))</f>
        <v/>
      </c>
    </row>
    <row r="906">
      <c r="A906" s="78">
        <f>IF($T906="","",IF($S906="S",IF(INDEX(Firms!$A$5:$A$1004,$T906)="","",INDEX(Firms!$A$5:$A$1004,$T906)),IF(INDEX('AFA Rates'!$A$5:$A$1004,$T906)="","",INDEX('AFA Rates'!$A$5:$A$1004,$T906))))</f>
        <v/>
      </c>
      <c r="B906" s="79">
        <f>IF(OR($T906="",$U906=""),IF($T906="","","Not on Firms tab"),INDEX(Firms!$B$5:$B$1004,$U906)&amp;"")</f>
        <v/>
      </c>
      <c r="C906" s="78">
        <f>IF($T906="","",IF($S906="S","Standard",INDEX('AFA Rates'!$B$5:$B$1004,$T906)&amp;""))</f>
        <v/>
      </c>
      <c r="D906" s="88">
        <f>IF($T906="","",IF($S906="S",IF(INDEX(Firms!$E$5:$E$1004,$T906)="","",INDEX(Firms!$E$5:$E$1004,$T906)),IF(INDEX('AFA Rates'!$C$5:$C$1004,$T906)="","",INDEX('AFA Rates'!$C$5:$C$1004,$T906))))</f>
        <v/>
      </c>
      <c r="E906" s="88">
        <f>IF($T906="","",IF($S906="S",IF(""="","",""),IF(INDEX('AFA Rates'!$D$5:$D$1004,$T906)="","",INDEX('AFA Rates'!$D$5:$D$1004,$T906))))</f>
        <v/>
      </c>
      <c r="F906" s="79">
        <f>IF($T906="","",IF($S906="S",IF(INDEX(Firms!$O$5:$O$1004,$T906)="","",INDEX(Firms!$O$5:$O$1004,$T906)),IF(INDEX('AFA Rates'!$O$5:$O$1004,$T906)="","",INDEX('AFA Rates'!$O$5:$O$1004,$T906))))</f>
        <v/>
      </c>
      <c r="G906" s="50">
        <f>IF($T906="","",IF($S906="S",IF(INDEX(Firms!$F$5:$F$1004,$T906)="","",INDEX(Firms!$F$5:$F$1004,$T906)),IF(INDEX('AFA Rates'!$E$5:$E$1004,$T906)="","",INDEX('AFA Rates'!$E$5:$E$1004,$T906))))</f>
        <v/>
      </c>
      <c r="H906" s="50">
        <f>IF($T906="","",IF($S906="S",IF(INDEX(Firms!$G$5:$G$1004,$T906)="","",INDEX(Firms!$G$5:$G$1004,$T906)),IF(INDEX('AFA Rates'!$F$5:$F$1004,$T906)="","",INDEX('AFA Rates'!$F$5:$F$1004,$T906))))</f>
        <v/>
      </c>
      <c r="I906" s="50">
        <f>IF($T906="","",IF($S906="S",IF(INDEX(Firms!$H$5:$H$1004,$T906)="","",INDEX(Firms!$H$5:$H$1004,$T906)),IF(INDEX('AFA Rates'!$G$5:$G$1004,$T906)="","",INDEX('AFA Rates'!$G$5:$G$1004,$T906))))</f>
        <v/>
      </c>
      <c r="J906" s="50">
        <f>IF($T906="","",IF($S906="S",IF(INDEX(Firms!$I$5:$I$1004,$T906)="","",INDEX(Firms!$I$5:$I$1004,$T906)),IF(INDEX('AFA Rates'!$H$5:$H$1004,$T906)="","",INDEX('AFA Rates'!$H$5:$H$1004,$T906))))</f>
        <v/>
      </c>
      <c r="K906" s="50">
        <f>IF($T906="","",IF($S906="S",IF(INDEX(Firms!$J$5:$J$1004,$T906)="","",INDEX(Firms!$J$5:$J$1004,$T906)),IF(INDEX('AFA Rates'!$I$5:$I$1004,$T906)="","",INDEX('AFA Rates'!$I$5:$I$1004,$T906))))</f>
        <v/>
      </c>
      <c r="L906" s="50">
        <f>IF($T906="","",IF($S906="S",IF(INDEX(Firms!$K$5:$K$1004,$T906)="","",INDEX(Firms!$K$5:$K$1004,$T906)),IF(INDEX('AFA Rates'!$J$5:$J$1004,$T906)="","",INDEX('AFA Rates'!$J$5:$J$1004,$T906))))</f>
        <v/>
      </c>
      <c r="M906" s="50">
        <f>IF($T906="","",IF($S906="S",IF(INDEX(Firms!$L$5:$L$1004,$T906)="","",INDEX(Firms!$L$5:$L$1004,$T906)),IF(INDEX('AFA Rates'!$K$5:$K$1004,$T906)="","",INDEX('AFA Rates'!$K$5:$K$1004,$T906))))</f>
        <v/>
      </c>
      <c r="N906" s="50">
        <f>IF($T906="","",IF($S906="S",IF(INDEX(Firms!$M$5:$M$1004,$T906)="","",INDEX(Firms!$M$5:$M$1004,$T906)),IF(INDEX('AFA Rates'!$L$5:$L$1004,$T906)="","",INDEX('AFA Rates'!$L$5:$L$1004,$T906))))</f>
        <v/>
      </c>
      <c r="O906" s="78">
        <f>IF(OR($T906="",$U906=""),"",IF(INDEX(Firms!$C$5:$C$1004,$U906)="","",INDEX(Firms!$C$5:$C$1004,$U906)))</f>
        <v/>
      </c>
      <c r="P906" s="79">
        <f>IF(OR($T906="",$U906=""),"",IF(INDEX(Firms!$N$5:$N$1004,$U906)="","",INDEX(Firms!$N$5:$N$1004,$U906)))</f>
        <v/>
      </c>
      <c r="Q906" s="78">
        <f>IF($T906="","",IF($S906="S",IF(INDEX(Firms!$T$5:$T$1004,$T906)="","",INDEX(Firms!$T$5:$T$1004,$T906)),IF(INDEX('AFA Rates'!$M$5:$M$1004,$T906)="","",INDEX('AFA Rates'!$M$5:$M$1004,$T906))))</f>
        <v/>
      </c>
      <c r="S906">
        <f>IF(902&lt;=$S$2,"S",IF(902&lt;=$S$2+$T$2,"A",""))</f>
        <v/>
      </c>
      <c r="T906">
        <f>IF(S906="S",MATCH(902,Firms!$W$5:$W$1004,0),IF(S906="A",IFERROR(MATCH(902-$S$2,'AFA Rates'!$R$5:$R$1004,0),""),""))</f>
        <v/>
      </c>
      <c r="U906">
        <f>IF(S906="S",T906,IF(AND(S906="A",T906&lt;&gt;""),IFERROR(MATCH(INDEX('AFA Rates'!$A$5:$A$1004,T906),Firms!$A$5:$A$1004,0),""),""))</f>
        <v/>
      </c>
    </row>
    <row r="907">
      <c r="A907" s="78">
        <f>IF($T907="","",IF($S907="S",IF(INDEX(Firms!$A$5:$A$1004,$T907)="","",INDEX(Firms!$A$5:$A$1004,$T907)),IF(INDEX('AFA Rates'!$A$5:$A$1004,$T907)="","",INDEX('AFA Rates'!$A$5:$A$1004,$T907))))</f>
        <v/>
      </c>
      <c r="B907" s="79">
        <f>IF(OR($T907="",$U907=""),IF($T907="","","Not on Firms tab"),INDEX(Firms!$B$5:$B$1004,$U907)&amp;"")</f>
        <v/>
      </c>
      <c r="C907" s="78">
        <f>IF($T907="","",IF($S907="S","Standard",INDEX('AFA Rates'!$B$5:$B$1004,$T907)&amp;""))</f>
        <v/>
      </c>
      <c r="D907" s="88">
        <f>IF($T907="","",IF($S907="S",IF(INDEX(Firms!$E$5:$E$1004,$T907)="","",INDEX(Firms!$E$5:$E$1004,$T907)),IF(INDEX('AFA Rates'!$C$5:$C$1004,$T907)="","",INDEX('AFA Rates'!$C$5:$C$1004,$T907))))</f>
        <v/>
      </c>
      <c r="E907" s="88">
        <f>IF($T907="","",IF($S907="S",IF(""="","",""),IF(INDEX('AFA Rates'!$D$5:$D$1004,$T907)="","",INDEX('AFA Rates'!$D$5:$D$1004,$T907))))</f>
        <v/>
      </c>
      <c r="F907" s="79">
        <f>IF($T907="","",IF($S907="S",IF(INDEX(Firms!$O$5:$O$1004,$T907)="","",INDEX(Firms!$O$5:$O$1004,$T907)),IF(INDEX('AFA Rates'!$O$5:$O$1004,$T907)="","",INDEX('AFA Rates'!$O$5:$O$1004,$T907))))</f>
        <v/>
      </c>
      <c r="G907" s="50">
        <f>IF($T907="","",IF($S907="S",IF(INDEX(Firms!$F$5:$F$1004,$T907)="","",INDEX(Firms!$F$5:$F$1004,$T907)),IF(INDEX('AFA Rates'!$E$5:$E$1004,$T907)="","",INDEX('AFA Rates'!$E$5:$E$1004,$T907))))</f>
        <v/>
      </c>
      <c r="H907" s="50">
        <f>IF($T907="","",IF($S907="S",IF(INDEX(Firms!$G$5:$G$1004,$T907)="","",INDEX(Firms!$G$5:$G$1004,$T907)),IF(INDEX('AFA Rates'!$F$5:$F$1004,$T907)="","",INDEX('AFA Rates'!$F$5:$F$1004,$T907))))</f>
        <v/>
      </c>
      <c r="I907" s="50">
        <f>IF($T907="","",IF($S907="S",IF(INDEX(Firms!$H$5:$H$1004,$T907)="","",INDEX(Firms!$H$5:$H$1004,$T907)),IF(INDEX('AFA Rates'!$G$5:$G$1004,$T907)="","",INDEX('AFA Rates'!$G$5:$G$1004,$T907))))</f>
        <v/>
      </c>
      <c r="J907" s="50">
        <f>IF($T907="","",IF($S907="S",IF(INDEX(Firms!$I$5:$I$1004,$T907)="","",INDEX(Firms!$I$5:$I$1004,$T907)),IF(INDEX('AFA Rates'!$H$5:$H$1004,$T907)="","",INDEX('AFA Rates'!$H$5:$H$1004,$T907))))</f>
        <v/>
      </c>
      <c r="K907" s="50">
        <f>IF($T907="","",IF($S907="S",IF(INDEX(Firms!$J$5:$J$1004,$T907)="","",INDEX(Firms!$J$5:$J$1004,$T907)),IF(INDEX('AFA Rates'!$I$5:$I$1004,$T907)="","",INDEX('AFA Rates'!$I$5:$I$1004,$T907))))</f>
        <v/>
      </c>
      <c r="L907" s="50">
        <f>IF($T907="","",IF($S907="S",IF(INDEX(Firms!$K$5:$K$1004,$T907)="","",INDEX(Firms!$K$5:$K$1004,$T907)),IF(INDEX('AFA Rates'!$J$5:$J$1004,$T907)="","",INDEX('AFA Rates'!$J$5:$J$1004,$T907))))</f>
        <v/>
      </c>
      <c r="M907" s="50">
        <f>IF($T907="","",IF($S907="S",IF(INDEX(Firms!$L$5:$L$1004,$T907)="","",INDEX(Firms!$L$5:$L$1004,$T907)),IF(INDEX('AFA Rates'!$K$5:$K$1004,$T907)="","",INDEX('AFA Rates'!$K$5:$K$1004,$T907))))</f>
        <v/>
      </c>
      <c r="N907" s="50">
        <f>IF($T907="","",IF($S907="S",IF(INDEX(Firms!$M$5:$M$1004,$T907)="","",INDEX(Firms!$M$5:$M$1004,$T907)),IF(INDEX('AFA Rates'!$L$5:$L$1004,$T907)="","",INDEX('AFA Rates'!$L$5:$L$1004,$T907))))</f>
        <v/>
      </c>
      <c r="O907" s="78">
        <f>IF(OR($T907="",$U907=""),"",IF(INDEX(Firms!$C$5:$C$1004,$U907)="","",INDEX(Firms!$C$5:$C$1004,$U907)))</f>
        <v/>
      </c>
      <c r="P907" s="79">
        <f>IF(OR($T907="",$U907=""),"",IF(INDEX(Firms!$N$5:$N$1004,$U907)="","",INDEX(Firms!$N$5:$N$1004,$U907)))</f>
        <v/>
      </c>
      <c r="Q907" s="78">
        <f>IF($T907="","",IF($S907="S",IF(INDEX(Firms!$T$5:$T$1004,$T907)="","",INDEX(Firms!$T$5:$T$1004,$T907)),IF(INDEX('AFA Rates'!$M$5:$M$1004,$T907)="","",INDEX('AFA Rates'!$M$5:$M$1004,$T907))))</f>
        <v/>
      </c>
      <c r="S907">
        <f>IF(903&lt;=$S$2,"S",IF(903&lt;=$S$2+$T$2,"A",""))</f>
        <v/>
      </c>
      <c r="T907">
        <f>IF(S907="S",MATCH(903,Firms!$W$5:$W$1004,0),IF(S907="A",IFERROR(MATCH(903-$S$2,'AFA Rates'!$R$5:$R$1004,0),""),""))</f>
        <v/>
      </c>
      <c r="U907">
        <f>IF(S907="S",T907,IF(AND(S907="A",T907&lt;&gt;""),IFERROR(MATCH(INDEX('AFA Rates'!$A$5:$A$1004,T907),Firms!$A$5:$A$1004,0),""),""))</f>
        <v/>
      </c>
    </row>
    <row r="908">
      <c r="A908" s="78">
        <f>IF($T908="","",IF($S908="S",IF(INDEX(Firms!$A$5:$A$1004,$T908)="","",INDEX(Firms!$A$5:$A$1004,$T908)),IF(INDEX('AFA Rates'!$A$5:$A$1004,$T908)="","",INDEX('AFA Rates'!$A$5:$A$1004,$T908))))</f>
        <v/>
      </c>
      <c r="B908" s="79">
        <f>IF(OR($T908="",$U908=""),IF($T908="","","Not on Firms tab"),INDEX(Firms!$B$5:$B$1004,$U908)&amp;"")</f>
        <v/>
      </c>
      <c r="C908" s="78">
        <f>IF($T908="","",IF($S908="S","Standard",INDEX('AFA Rates'!$B$5:$B$1004,$T908)&amp;""))</f>
        <v/>
      </c>
      <c r="D908" s="88">
        <f>IF($T908="","",IF($S908="S",IF(INDEX(Firms!$E$5:$E$1004,$T908)="","",INDEX(Firms!$E$5:$E$1004,$T908)),IF(INDEX('AFA Rates'!$C$5:$C$1004,$T908)="","",INDEX('AFA Rates'!$C$5:$C$1004,$T908))))</f>
        <v/>
      </c>
      <c r="E908" s="88">
        <f>IF($T908="","",IF($S908="S",IF(""="","",""),IF(INDEX('AFA Rates'!$D$5:$D$1004,$T908)="","",INDEX('AFA Rates'!$D$5:$D$1004,$T908))))</f>
        <v/>
      </c>
      <c r="F908" s="79">
        <f>IF($T908="","",IF($S908="S",IF(INDEX(Firms!$O$5:$O$1004,$T908)="","",INDEX(Firms!$O$5:$O$1004,$T908)),IF(INDEX('AFA Rates'!$O$5:$O$1004,$T908)="","",INDEX('AFA Rates'!$O$5:$O$1004,$T908))))</f>
        <v/>
      </c>
      <c r="G908" s="50">
        <f>IF($T908="","",IF($S908="S",IF(INDEX(Firms!$F$5:$F$1004,$T908)="","",INDEX(Firms!$F$5:$F$1004,$T908)),IF(INDEX('AFA Rates'!$E$5:$E$1004,$T908)="","",INDEX('AFA Rates'!$E$5:$E$1004,$T908))))</f>
        <v/>
      </c>
      <c r="H908" s="50">
        <f>IF($T908="","",IF($S908="S",IF(INDEX(Firms!$G$5:$G$1004,$T908)="","",INDEX(Firms!$G$5:$G$1004,$T908)),IF(INDEX('AFA Rates'!$F$5:$F$1004,$T908)="","",INDEX('AFA Rates'!$F$5:$F$1004,$T908))))</f>
        <v/>
      </c>
      <c r="I908" s="50">
        <f>IF($T908="","",IF($S908="S",IF(INDEX(Firms!$H$5:$H$1004,$T908)="","",INDEX(Firms!$H$5:$H$1004,$T908)),IF(INDEX('AFA Rates'!$G$5:$G$1004,$T908)="","",INDEX('AFA Rates'!$G$5:$G$1004,$T908))))</f>
        <v/>
      </c>
      <c r="J908" s="50">
        <f>IF($T908="","",IF($S908="S",IF(INDEX(Firms!$I$5:$I$1004,$T908)="","",INDEX(Firms!$I$5:$I$1004,$T908)),IF(INDEX('AFA Rates'!$H$5:$H$1004,$T908)="","",INDEX('AFA Rates'!$H$5:$H$1004,$T908))))</f>
        <v/>
      </c>
      <c r="K908" s="50">
        <f>IF($T908="","",IF($S908="S",IF(INDEX(Firms!$J$5:$J$1004,$T908)="","",INDEX(Firms!$J$5:$J$1004,$T908)),IF(INDEX('AFA Rates'!$I$5:$I$1004,$T908)="","",INDEX('AFA Rates'!$I$5:$I$1004,$T908))))</f>
        <v/>
      </c>
      <c r="L908" s="50">
        <f>IF($T908="","",IF($S908="S",IF(INDEX(Firms!$K$5:$K$1004,$T908)="","",INDEX(Firms!$K$5:$K$1004,$T908)),IF(INDEX('AFA Rates'!$J$5:$J$1004,$T908)="","",INDEX('AFA Rates'!$J$5:$J$1004,$T908))))</f>
        <v/>
      </c>
      <c r="M908" s="50">
        <f>IF($T908="","",IF($S908="S",IF(INDEX(Firms!$L$5:$L$1004,$T908)="","",INDEX(Firms!$L$5:$L$1004,$T908)),IF(INDEX('AFA Rates'!$K$5:$K$1004,$T908)="","",INDEX('AFA Rates'!$K$5:$K$1004,$T908))))</f>
        <v/>
      </c>
      <c r="N908" s="50">
        <f>IF($T908="","",IF($S908="S",IF(INDEX(Firms!$M$5:$M$1004,$T908)="","",INDEX(Firms!$M$5:$M$1004,$T908)),IF(INDEX('AFA Rates'!$L$5:$L$1004,$T908)="","",INDEX('AFA Rates'!$L$5:$L$1004,$T908))))</f>
        <v/>
      </c>
      <c r="O908" s="78">
        <f>IF(OR($T908="",$U908=""),"",IF(INDEX(Firms!$C$5:$C$1004,$U908)="","",INDEX(Firms!$C$5:$C$1004,$U908)))</f>
        <v/>
      </c>
      <c r="P908" s="79">
        <f>IF(OR($T908="",$U908=""),"",IF(INDEX(Firms!$N$5:$N$1004,$U908)="","",INDEX(Firms!$N$5:$N$1004,$U908)))</f>
        <v/>
      </c>
      <c r="Q908" s="78">
        <f>IF($T908="","",IF($S908="S",IF(INDEX(Firms!$T$5:$T$1004,$T908)="","",INDEX(Firms!$T$5:$T$1004,$T908)),IF(INDEX('AFA Rates'!$M$5:$M$1004,$T908)="","",INDEX('AFA Rates'!$M$5:$M$1004,$T908))))</f>
        <v/>
      </c>
      <c r="S908">
        <f>IF(904&lt;=$S$2,"S",IF(904&lt;=$S$2+$T$2,"A",""))</f>
        <v/>
      </c>
      <c r="T908">
        <f>IF(S908="S",MATCH(904,Firms!$W$5:$W$1004,0),IF(S908="A",IFERROR(MATCH(904-$S$2,'AFA Rates'!$R$5:$R$1004,0),""),""))</f>
        <v/>
      </c>
      <c r="U908">
        <f>IF(S908="S",T908,IF(AND(S908="A",T908&lt;&gt;""),IFERROR(MATCH(INDEX('AFA Rates'!$A$5:$A$1004,T908),Firms!$A$5:$A$1004,0),""),""))</f>
        <v/>
      </c>
    </row>
    <row r="909">
      <c r="A909" s="78">
        <f>IF($T909="","",IF($S909="S",IF(INDEX(Firms!$A$5:$A$1004,$T909)="","",INDEX(Firms!$A$5:$A$1004,$T909)),IF(INDEX('AFA Rates'!$A$5:$A$1004,$T909)="","",INDEX('AFA Rates'!$A$5:$A$1004,$T909))))</f>
        <v/>
      </c>
      <c r="B909" s="79">
        <f>IF(OR($T909="",$U909=""),IF($T909="","","Not on Firms tab"),INDEX(Firms!$B$5:$B$1004,$U909)&amp;"")</f>
        <v/>
      </c>
      <c r="C909" s="78">
        <f>IF($T909="","",IF($S909="S","Standard",INDEX('AFA Rates'!$B$5:$B$1004,$T909)&amp;""))</f>
        <v/>
      </c>
      <c r="D909" s="88">
        <f>IF($T909="","",IF($S909="S",IF(INDEX(Firms!$E$5:$E$1004,$T909)="","",INDEX(Firms!$E$5:$E$1004,$T909)),IF(INDEX('AFA Rates'!$C$5:$C$1004,$T909)="","",INDEX('AFA Rates'!$C$5:$C$1004,$T909))))</f>
        <v/>
      </c>
      <c r="E909" s="88">
        <f>IF($T909="","",IF($S909="S",IF(""="","",""),IF(INDEX('AFA Rates'!$D$5:$D$1004,$T909)="","",INDEX('AFA Rates'!$D$5:$D$1004,$T909))))</f>
        <v/>
      </c>
      <c r="F909" s="79">
        <f>IF($T909="","",IF($S909="S",IF(INDEX(Firms!$O$5:$O$1004,$T909)="","",INDEX(Firms!$O$5:$O$1004,$T909)),IF(INDEX('AFA Rates'!$O$5:$O$1004,$T909)="","",INDEX('AFA Rates'!$O$5:$O$1004,$T909))))</f>
        <v/>
      </c>
      <c r="G909" s="50">
        <f>IF($T909="","",IF($S909="S",IF(INDEX(Firms!$F$5:$F$1004,$T909)="","",INDEX(Firms!$F$5:$F$1004,$T909)),IF(INDEX('AFA Rates'!$E$5:$E$1004,$T909)="","",INDEX('AFA Rates'!$E$5:$E$1004,$T909))))</f>
        <v/>
      </c>
      <c r="H909" s="50">
        <f>IF($T909="","",IF($S909="S",IF(INDEX(Firms!$G$5:$G$1004,$T909)="","",INDEX(Firms!$G$5:$G$1004,$T909)),IF(INDEX('AFA Rates'!$F$5:$F$1004,$T909)="","",INDEX('AFA Rates'!$F$5:$F$1004,$T909))))</f>
        <v/>
      </c>
      <c r="I909" s="50">
        <f>IF($T909="","",IF($S909="S",IF(INDEX(Firms!$H$5:$H$1004,$T909)="","",INDEX(Firms!$H$5:$H$1004,$T909)),IF(INDEX('AFA Rates'!$G$5:$G$1004,$T909)="","",INDEX('AFA Rates'!$G$5:$G$1004,$T909))))</f>
        <v/>
      </c>
      <c r="J909" s="50">
        <f>IF($T909="","",IF($S909="S",IF(INDEX(Firms!$I$5:$I$1004,$T909)="","",INDEX(Firms!$I$5:$I$1004,$T909)),IF(INDEX('AFA Rates'!$H$5:$H$1004,$T909)="","",INDEX('AFA Rates'!$H$5:$H$1004,$T909))))</f>
        <v/>
      </c>
      <c r="K909" s="50">
        <f>IF($T909="","",IF($S909="S",IF(INDEX(Firms!$J$5:$J$1004,$T909)="","",INDEX(Firms!$J$5:$J$1004,$T909)),IF(INDEX('AFA Rates'!$I$5:$I$1004,$T909)="","",INDEX('AFA Rates'!$I$5:$I$1004,$T909))))</f>
        <v/>
      </c>
      <c r="L909" s="50">
        <f>IF($T909="","",IF($S909="S",IF(INDEX(Firms!$K$5:$K$1004,$T909)="","",INDEX(Firms!$K$5:$K$1004,$T909)),IF(INDEX('AFA Rates'!$J$5:$J$1004,$T909)="","",INDEX('AFA Rates'!$J$5:$J$1004,$T909))))</f>
        <v/>
      </c>
      <c r="M909" s="50">
        <f>IF($T909="","",IF($S909="S",IF(INDEX(Firms!$L$5:$L$1004,$T909)="","",INDEX(Firms!$L$5:$L$1004,$T909)),IF(INDEX('AFA Rates'!$K$5:$K$1004,$T909)="","",INDEX('AFA Rates'!$K$5:$K$1004,$T909))))</f>
        <v/>
      </c>
      <c r="N909" s="50">
        <f>IF($T909="","",IF($S909="S",IF(INDEX(Firms!$M$5:$M$1004,$T909)="","",INDEX(Firms!$M$5:$M$1004,$T909)),IF(INDEX('AFA Rates'!$L$5:$L$1004,$T909)="","",INDEX('AFA Rates'!$L$5:$L$1004,$T909))))</f>
        <v/>
      </c>
      <c r="O909" s="78">
        <f>IF(OR($T909="",$U909=""),"",IF(INDEX(Firms!$C$5:$C$1004,$U909)="","",INDEX(Firms!$C$5:$C$1004,$U909)))</f>
        <v/>
      </c>
      <c r="P909" s="79">
        <f>IF(OR($T909="",$U909=""),"",IF(INDEX(Firms!$N$5:$N$1004,$U909)="","",INDEX(Firms!$N$5:$N$1004,$U909)))</f>
        <v/>
      </c>
      <c r="Q909" s="78">
        <f>IF($T909="","",IF($S909="S",IF(INDEX(Firms!$T$5:$T$1004,$T909)="","",INDEX(Firms!$T$5:$T$1004,$T909)),IF(INDEX('AFA Rates'!$M$5:$M$1004,$T909)="","",INDEX('AFA Rates'!$M$5:$M$1004,$T909))))</f>
        <v/>
      </c>
      <c r="S909">
        <f>IF(905&lt;=$S$2,"S",IF(905&lt;=$S$2+$T$2,"A",""))</f>
        <v/>
      </c>
      <c r="T909">
        <f>IF(S909="S",MATCH(905,Firms!$W$5:$W$1004,0),IF(S909="A",IFERROR(MATCH(905-$S$2,'AFA Rates'!$R$5:$R$1004,0),""),""))</f>
        <v/>
      </c>
      <c r="U909">
        <f>IF(S909="S",T909,IF(AND(S909="A",T909&lt;&gt;""),IFERROR(MATCH(INDEX('AFA Rates'!$A$5:$A$1004,T909),Firms!$A$5:$A$1004,0),""),""))</f>
        <v/>
      </c>
    </row>
    <row r="910">
      <c r="A910" s="78">
        <f>IF($T910="","",IF($S910="S",IF(INDEX(Firms!$A$5:$A$1004,$T910)="","",INDEX(Firms!$A$5:$A$1004,$T910)),IF(INDEX('AFA Rates'!$A$5:$A$1004,$T910)="","",INDEX('AFA Rates'!$A$5:$A$1004,$T910))))</f>
        <v/>
      </c>
      <c r="B910" s="79">
        <f>IF(OR($T910="",$U910=""),IF($T910="","","Not on Firms tab"),INDEX(Firms!$B$5:$B$1004,$U910)&amp;"")</f>
        <v/>
      </c>
      <c r="C910" s="78">
        <f>IF($T910="","",IF($S910="S","Standard",INDEX('AFA Rates'!$B$5:$B$1004,$T910)&amp;""))</f>
        <v/>
      </c>
      <c r="D910" s="88">
        <f>IF($T910="","",IF($S910="S",IF(INDEX(Firms!$E$5:$E$1004,$T910)="","",INDEX(Firms!$E$5:$E$1004,$T910)),IF(INDEX('AFA Rates'!$C$5:$C$1004,$T910)="","",INDEX('AFA Rates'!$C$5:$C$1004,$T910))))</f>
        <v/>
      </c>
      <c r="E910" s="88">
        <f>IF($T910="","",IF($S910="S",IF(""="","",""),IF(INDEX('AFA Rates'!$D$5:$D$1004,$T910)="","",INDEX('AFA Rates'!$D$5:$D$1004,$T910))))</f>
        <v/>
      </c>
      <c r="F910" s="79">
        <f>IF($T910="","",IF($S910="S",IF(INDEX(Firms!$O$5:$O$1004,$T910)="","",INDEX(Firms!$O$5:$O$1004,$T910)),IF(INDEX('AFA Rates'!$O$5:$O$1004,$T910)="","",INDEX('AFA Rates'!$O$5:$O$1004,$T910))))</f>
        <v/>
      </c>
      <c r="G910" s="50">
        <f>IF($T910="","",IF($S910="S",IF(INDEX(Firms!$F$5:$F$1004,$T910)="","",INDEX(Firms!$F$5:$F$1004,$T910)),IF(INDEX('AFA Rates'!$E$5:$E$1004,$T910)="","",INDEX('AFA Rates'!$E$5:$E$1004,$T910))))</f>
        <v/>
      </c>
      <c r="H910" s="50">
        <f>IF($T910="","",IF($S910="S",IF(INDEX(Firms!$G$5:$G$1004,$T910)="","",INDEX(Firms!$G$5:$G$1004,$T910)),IF(INDEX('AFA Rates'!$F$5:$F$1004,$T910)="","",INDEX('AFA Rates'!$F$5:$F$1004,$T910))))</f>
        <v/>
      </c>
      <c r="I910" s="50">
        <f>IF($T910="","",IF($S910="S",IF(INDEX(Firms!$H$5:$H$1004,$T910)="","",INDEX(Firms!$H$5:$H$1004,$T910)),IF(INDEX('AFA Rates'!$G$5:$G$1004,$T910)="","",INDEX('AFA Rates'!$G$5:$G$1004,$T910))))</f>
        <v/>
      </c>
      <c r="J910" s="50">
        <f>IF($T910="","",IF($S910="S",IF(INDEX(Firms!$I$5:$I$1004,$T910)="","",INDEX(Firms!$I$5:$I$1004,$T910)),IF(INDEX('AFA Rates'!$H$5:$H$1004,$T910)="","",INDEX('AFA Rates'!$H$5:$H$1004,$T910))))</f>
        <v/>
      </c>
      <c r="K910" s="50">
        <f>IF($T910="","",IF($S910="S",IF(INDEX(Firms!$J$5:$J$1004,$T910)="","",INDEX(Firms!$J$5:$J$1004,$T910)),IF(INDEX('AFA Rates'!$I$5:$I$1004,$T910)="","",INDEX('AFA Rates'!$I$5:$I$1004,$T910))))</f>
        <v/>
      </c>
      <c r="L910" s="50">
        <f>IF($T910="","",IF($S910="S",IF(INDEX(Firms!$K$5:$K$1004,$T910)="","",INDEX(Firms!$K$5:$K$1004,$T910)),IF(INDEX('AFA Rates'!$J$5:$J$1004,$T910)="","",INDEX('AFA Rates'!$J$5:$J$1004,$T910))))</f>
        <v/>
      </c>
      <c r="M910" s="50">
        <f>IF($T910="","",IF($S910="S",IF(INDEX(Firms!$L$5:$L$1004,$T910)="","",INDEX(Firms!$L$5:$L$1004,$T910)),IF(INDEX('AFA Rates'!$K$5:$K$1004,$T910)="","",INDEX('AFA Rates'!$K$5:$K$1004,$T910))))</f>
        <v/>
      </c>
      <c r="N910" s="50">
        <f>IF($T910="","",IF($S910="S",IF(INDEX(Firms!$M$5:$M$1004,$T910)="","",INDEX(Firms!$M$5:$M$1004,$T910)),IF(INDEX('AFA Rates'!$L$5:$L$1004,$T910)="","",INDEX('AFA Rates'!$L$5:$L$1004,$T910))))</f>
        <v/>
      </c>
      <c r="O910" s="78">
        <f>IF(OR($T910="",$U910=""),"",IF(INDEX(Firms!$C$5:$C$1004,$U910)="","",INDEX(Firms!$C$5:$C$1004,$U910)))</f>
        <v/>
      </c>
      <c r="P910" s="79">
        <f>IF(OR($T910="",$U910=""),"",IF(INDEX(Firms!$N$5:$N$1004,$U910)="","",INDEX(Firms!$N$5:$N$1004,$U910)))</f>
        <v/>
      </c>
      <c r="Q910" s="78">
        <f>IF($T910="","",IF($S910="S",IF(INDEX(Firms!$T$5:$T$1004,$T910)="","",INDEX(Firms!$T$5:$T$1004,$T910)),IF(INDEX('AFA Rates'!$M$5:$M$1004,$T910)="","",INDEX('AFA Rates'!$M$5:$M$1004,$T910))))</f>
        <v/>
      </c>
      <c r="S910">
        <f>IF(906&lt;=$S$2,"S",IF(906&lt;=$S$2+$T$2,"A",""))</f>
        <v/>
      </c>
      <c r="T910">
        <f>IF(S910="S",MATCH(906,Firms!$W$5:$W$1004,0),IF(S910="A",IFERROR(MATCH(906-$S$2,'AFA Rates'!$R$5:$R$1004,0),""),""))</f>
        <v/>
      </c>
      <c r="U910">
        <f>IF(S910="S",T910,IF(AND(S910="A",T910&lt;&gt;""),IFERROR(MATCH(INDEX('AFA Rates'!$A$5:$A$1004,T910),Firms!$A$5:$A$1004,0),""),""))</f>
        <v/>
      </c>
    </row>
    <row r="911">
      <c r="A911" s="78">
        <f>IF($T911="","",IF($S911="S",IF(INDEX(Firms!$A$5:$A$1004,$T911)="","",INDEX(Firms!$A$5:$A$1004,$T911)),IF(INDEX('AFA Rates'!$A$5:$A$1004,$T911)="","",INDEX('AFA Rates'!$A$5:$A$1004,$T911))))</f>
        <v/>
      </c>
      <c r="B911" s="79">
        <f>IF(OR($T911="",$U911=""),IF($T911="","","Not on Firms tab"),INDEX(Firms!$B$5:$B$1004,$U911)&amp;"")</f>
        <v/>
      </c>
      <c r="C911" s="78">
        <f>IF($T911="","",IF($S911="S","Standard",INDEX('AFA Rates'!$B$5:$B$1004,$T911)&amp;""))</f>
        <v/>
      </c>
      <c r="D911" s="88">
        <f>IF($T911="","",IF($S911="S",IF(INDEX(Firms!$E$5:$E$1004,$T911)="","",INDEX(Firms!$E$5:$E$1004,$T911)),IF(INDEX('AFA Rates'!$C$5:$C$1004,$T911)="","",INDEX('AFA Rates'!$C$5:$C$1004,$T911))))</f>
        <v/>
      </c>
      <c r="E911" s="88">
        <f>IF($T911="","",IF($S911="S",IF(""="","",""),IF(INDEX('AFA Rates'!$D$5:$D$1004,$T911)="","",INDEX('AFA Rates'!$D$5:$D$1004,$T911))))</f>
        <v/>
      </c>
      <c r="F911" s="79">
        <f>IF($T911="","",IF($S911="S",IF(INDEX(Firms!$O$5:$O$1004,$T911)="","",INDEX(Firms!$O$5:$O$1004,$T911)),IF(INDEX('AFA Rates'!$O$5:$O$1004,$T911)="","",INDEX('AFA Rates'!$O$5:$O$1004,$T911))))</f>
        <v/>
      </c>
      <c r="G911" s="50">
        <f>IF($T911="","",IF($S911="S",IF(INDEX(Firms!$F$5:$F$1004,$T911)="","",INDEX(Firms!$F$5:$F$1004,$T911)),IF(INDEX('AFA Rates'!$E$5:$E$1004,$T911)="","",INDEX('AFA Rates'!$E$5:$E$1004,$T911))))</f>
        <v/>
      </c>
      <c r="H911" s="50">
        <f>IF($T911="","",IF($S911="S",IF(INDEX(Firms!$G$5:$G$1004,$T911)="","",INDEX(Firms!$G$5:$G$1004,$T911)),IF(INDEX('AFA Rates'!$F$5:$F$1004,$T911)="","",INDEX('AFA Rates'!$F$5:$F$1004,$T911))))</f>
        <v/>
      </c>
      <c r="I911" s="50">
        <f>IF($T911="","",IF($S911="S",IF(INDEX(Firms!$H$5:$H$1004,$T911)="","",INDEX(Firms!$H$5:$H$1004,$T911)),IF(INDEX('AFA Rates'!$G$5:$G$1004,$T911)="","",INDEX('AFA Rates'!$G$5:$G$1004,$T911))))</f>
        <v/>
      </c>
      <c r="J911" s="50">
        <f>IF($T911="","",IF($S911="S",IF(INDEX(Firms!$I$5:$I$1004,$T911)="","",INDEX(Firms!$I$5:$I$1004,$T911)),IF(INDEX('AFA Rates'!$H$5:$H$1004,$T911)="","",INDEX('AFA Rates'!$H$5:$H$1004,$T911))))</f>
        <v/>
      </c>
      <c r="K911" s="50">
        <f>IF($T911="","",IF($S911="S",IF(INDEX(Firms!$J$5:$J$1004,$T911)="","",INDEX(Firms!$J$5:$J$1004,$T911)),IF(INDEX('AFA Rates'!$I$5:$I$1004,$T911)="","",INDEX('AFA Rates'!$I$5:$I$1004,$T911))))</f>
        <v/>
      </c>
      <c r="L911" s="50">
        <f>IF($T911="","",IF($S911="S",IF(INDEX(Firms!$K$5:$K$1004,$T911)="","",INDEX(Firms!$K$5:$K$1004,$T911)),IF(INDEX('AFA Rates'!$J$5:$J$1004,$T911)="","",INDEX('AFA Rates'!$J$5:$J$1004,$T911))))</f>
        <v/>
      </c>
      <c r="M911" s="50">
        <f>IF($T911="","",IF($S911="S",IF(INDEX(Firms!$L$5:$L$1004,$T911)="","",INDEX(Firms!$L$5:$L$1004,$T911)),IF(INDEX('AFA Rates'!$K$5:$K$1004,$T911)="","",INDEX('AFA Rates'!$K$5:$K$1004,$T911))))</f>
        <v/>
      </c>
      <c r="N911" s="50">
        <f>IF($T911="","",IF($S911="S",IF(INDEX(Firms!$M$5:$M$1004,$T911)="","",INDEX(Firms!$M$5:$M$1004,$T911)),IF(INDEX('AFA Rates'!$L$5:$L$1004,$T911)="","",INDEX('AFA Rates'!$L$5:$L$1004,$T911))))</f>
        <v/>
      </c>
      <c r="O911" s="78">
        <f>IF(OR($T911="",$U911=""),"",IF(INDEX(Firms!$C$5:$C$1004,$U911)="","",INDEX(Firms!$C$5:$C$1004,$U911)))</f>
        <v/>
      </c>
      <c r="P911" s="79">
        <f>IF(OR($T911="",$U911=""),"",IF(INDEX(Firms!$N$5:$N$1004,$U911)="","",INDEX(Firms!$N$5:$N$1004,$U911)))</f>
        <v/>
      </c>
      <c r="Q911" s="78">
        <f>IF($T911="","",IF($S911="S",IF(INDEX(Firms!$T$5:$T$1004,$T911)="","",INDEX(Firms!$T$5:$T$1004,$T911)),IF(INDEX('AFA Rates'!$M$5:$M$1004,$T911)="","",INDEX('AFA Rates'!$M$5:$M$1004,$T911))))</f>
        <v/>
      </c>
      <c r="S911">
        <f>IF(907&lt;=$S$2,"S",IF(907&lt;=$S$2+$T$2,"A",""))</f>
        <v/>
      </c>
      <c r="T911">
        <f>IF(S911="S",MATCH(907,Firms!$W$5:$W$1004,0),IF(S911="A",IFERROR(MATCH(907-$S$2,'AFA Rates'!$R$5:$R$1004,0),""),""))</f>
        <v/>
      </c>
      <c r="U911">
        <f>IF(S911="S",T911,IF(AND(S911="A",T911&lt;&gt;""),IFERROR(MATCH(INDEX('AFA Rates'!$A$5:$A$1004,T911),Firms!$A$5:$A$1004,0),""),""))</f>
        <v/>
      </c>
    </row>
    <row r="912">
      <c r="A912" s="78">
        <f>IF($T912="","",IF($S912="S",IF(INDEX(Firms!$A$5:$A$1004,$T912)="","",INDEX(Firms!$A$5:$A$1004,$T912)),IF(INDEX('AFA Rates'!$A$5:$A$1004,$T912)="","",INDEX('AFA Rates'!$A$5:$A$1004,$T912))))</f>
        <v/>
      </c>
      <c r="B912" s="79">
        <f>IF(OR($T912="",$U912=""),IF($T912="","","Not on Firms tab"),INDEX(Firms!$B$5:$B$1004,$U912)&amp;"")</f>
        <v/>
      </c>
      <c r="C912" s="78">
        <f>IF($T912="","",IF($S912="S","Standard",INDEX('AFA Rates'!$B$5:$B$1004,$T912)&amp;""))</f>
        <v/>
      </c>
      <c r="D912" s="88">
        <f>IF($T912="","",IF($S912="S",IF(INDEX(Firms!$E$5:$E$1004,$T912)="","",INDEX(Firms!$E$5:$E$1004,$T912)),IF(INDEX('AFA Rates'!$C$5:$C$1004,$T912)="","",INDEX('AFA Rates'!$C$5:$C$1004,$T912))))</f>
        <v/>
      </c>
      <c r="E912" s="88">
        <f>IF($T912="","",IF($S912="S",IF(""="","",""),IF(INDEX('AFA Rates'!$D$5:$D$1004,$T912)="","",INDEX('AFA Rates'!$D$5:$D$1004,$T912))))</f>
        <v/>
      </c>
      <c r="F912" s="79">
        <f>IF($T912="","",IF($S912="S",IF(INDEX(Firms!$O$5:$O$1004,$T912)="","",INDEX(Firms!$O$5:$O$1004,$T912)),IF(INDEX('AFA Rates'!$O$5:$O$1004,$T912)="","",INDEX('AFA Rates'!$O$5:$O$1004,$T912))))</f>
        <v/>
      </c>
      <c r="G912" s="50">
        <f>IF($T912="","",IF($S912="S",IF(INDEX(Firms!$F$5:$F$1004,$T912)="","",INDEX(Firms!$F$5:$F$1004,$T912)),IF(INDEX('AFA Rates'!$E$5:$E$1004,$T912)="","",INDEX('AFA Rates'!$E$5:$E$1004,$T912))))</f>
        <v/>
      </c>
      <c r="H912" s="50">
        <f>IF($T912="","",IF($S912="S",IF(INDEX(Firms!$G$5:$G$1004,$T912)="","",INDEX(Firms!$G$5:$G$1004,$T912)),IF(INDEX('AFA Rates'!$F$5:$F$1004,$T912)="","",INDEX('AFA Rates'!$F$5:$F$1004,$T912))))</f>
        <v/>
      </c>
      <c r="I912" s="50">
        <f>IF($T912="","",IF($S912="S",IF(INDEX(Firms!$H$5:$H$1004,$T912)="","",INDEX(Firms!$H$5:$H$1004,$T912)),IF(INDEX('AFA Rates'!$G$5:$G$1004,$T912)="","",INDEX('AFA Rates'!$G$5:$G$1004,$T912))))</f>
        <v/>
      </c>
      <c r="J912" s="50">
        <f>IF($T912="","",IF($S912="S",IF(INDEX(Firms!$I$5:$I$1004,$T912)="","",INDEX(Firms!$I$5:$I$1004,$T912)),IF(INDEX('AFA Rates'!$H$5:$H$1004,$T912)="","",INDEX('AFA Rates'!$H$5:$H$1004,$T912))))</f>
        <v/>
      </c>
      <c r="K912" s="50">
        <f>IF($T912="","",IF($S912="S",IF(INDEX(Firms!$J$5:$J$1004,$T912)="","",INDEX(Firms!$J$5:$J$1004,$T912)),IF(INDEX('AFA Rates'!$I$5:$I$1004,$T912)="","",INDEX('AFA Rates'!$I$5:$I$1004,$T912))))</f>
        <v/>
      </c>
      <c r="L912" s="50">
        <f>IF($T912="","",IF($S912="S",IF(INDEX(Firms!$K$5:$K$1004,$T912)="","",INDEX(Firms!$K$5:$K$1004,$T912)),IF(INDEX('AFA Rates'!$J$5:$J$1004,$T912)="","",INDEX('AFA Rates'!$J$5:$J$1004,$T912))))</f>
        <v/>
      </c>
      <c r="M912" s="50">
        <f>IF($T912="","",IF($S912="S",IF(INDEX(Firms!$L$5:$L$1004,$T912)="","",INDEX(Firms!$L$5:$L$1004,$T912)),IF(INDEX('AFA Rates'!$K$5:$K$1004,$T912)="","",INDEX('AFA Rates'!$K$5:$K$1004,$T912))))</f>
        <v/>
      </c>
      <c r="N912" s="50">
        <f>IF($T912="","",IF($S912="S",IF(INDEX(Firms!$M$5:$M$1004,$T912)="","",INDEX(Firms!$M$5:$M$1004,$T912)),IF(INDEX('AFA Rates'!$L$5:$L$1004,$T912)="","",INDEX('AFA Rates'!$L$5:$L$1004,$T912))))</f>
        <v/>
      </c>
      <c r="O912" s="78">
        <f>IF(OR($T912="",$U912=""),"",IF(INDEX(Firms!$C$5:$C$1004,$U912)="","",INDEX(Firms!$C$5:$C$1004,$U912)))</f>
        <v/>
      </c>
      <c r="P912" s="79">
        <f>IF(OR($T912="",$U912=""),"",IF(INDEX(Firms!$N$5:$N$1004,$U912)="","",INDEX(Firms!$N$5:$N$1004,$U912)))</f>
        <v/>
      </c>
      <c r="Q912" s="78">
        <f>IF($T912="","",IF($S912="S",IF(INDEX(Firms!$T$5:$T$1004,$T912)="","",INDEX(Firms!$T$5:$T$1004,$T912)),IF(INDEX('AFA Rates'!$M$5:$M$1004,$T912)="","",INDEX('AFA Rates'!$M$5:$M$1004,$T912))))</f>
        <v/>
      </c>
      <c r="S912">
        <f>IF(908&lt;=$S$2,"S",IF(908&lt;=$S$2+$T$2,"A",""))</f>
        <v/>
      </c>
      <c r="T912">
        <f>IF(S912="S",MATCH(908,Firms!$W$5:$W$1004,0),IF(S912="A",IFERROR(MATCH(908-$S$2,'AFA Rates'!$R$5:$R$1004,0),""),""))</f>
        <v/>
      </c>
      <c r="U912">
        <f>IF(S912="S",T912,IF(AND(S912="A",T912&lt;&gt;""),IFERROR(MATCH(INDEX('AFA Rates'!$A$5:$A$1004,T912),Firms!$A$5:$A$1004,0),""),""))</f>
        <v/>
      </c>
    </row>
    <row r="913">
      <c r="A913" s="78">
        <f>IF($T913="","",IF($S913="S",IF(INDEX(Firms!$A$5:$A$1004,$T913)="","",INDEX(Firms!$A$5:$A$1004,$T913)),IF(INDEX('AFA Rates'!$A$5:$A$1004,$T913)="","",INDEX('AFA Rates'!$A$5:$A$1004,$T913))))</f>
        <v/>
      </c>
      <c r="B913" s="79">
        <f>IF(OR($T913="",$U913=""),IF($T913="","","Not on Firms tab"),INDEX(Firms!$B$5:$B$1004,$U913)&amp;"")</f>
        <v/>
      </c>
      <c r="C913" s="78">
        <f>IF($T913="","",IF($S913="S","Standard",INDEX('AFA Rates'!$B$5:$B$1004,$T913)&amp;""))</f>
        <v/>
      </c>
      <c r="D913" s="88">
        <f>IF($T913="","",IF($S913="S",IF(INDEX(Firms!$E$5:$E$1004,$T913)="","",INDEX(Firms!$E$5:$E$1004,$T913)),IF(INDEX('AFA Rates'!$C$5:$C$1004,$T913)="","",INDEX('AFA Rates'!$C$5:$C$1004,$T913))))</f>
        <v/>
      </c>
      <c r="E913" s="88">
        <f>IF($T913="","",IF($S913="S",IF(""="","",""),IF(INDEX('AFA Rates'!$D$5:$D$1004,$T913)="","",INDEX('AFA Rates'!$D$5:$D$1004,$T913))))</f>
        <v/>
      </c>
      <c r="F913" s="79">
        <f>IF($T913="","",IF($S913="S",IF(INDEX(Firms!$O$5:$O$1004,$T913)="","",INDEX(Firms!$O$5:$O$1004,$T913)),IF(INDEX('AFA Rates'!$O$5:$O$1004,$T913)="","",INDEX('AFA Rates'!$O$5:$O$1004,$T913))))</f>
        <v/>
      </c>
      <c r="G913" s="50">
        <f>IF($T913="","",IF($S913="S",IF(INDEX(Firms!$F$5:$F$1004,$T913)="","",INDEX(Firms!$F$5:$F$1004,$T913)),IF(INDEX('AFA Rates'!$E$5:$E$1004,$T913)="","",INDEX('AFA Rates'!$E$5:$E$1004,$T913))))</f>
        <v/>
      </c>
      <c r="H913" s="50">
        <f>IF($T913="","",IF($S913="S",IF(INDEX(Firms!$G$5:$G$1004,$T913)="","",INDEX(Firms!$G$5:$G$1004,$T913)),IF(INDEX('AFA Rates'!$F$5:$F$1004,$T913)="","",INDEX('AFA Rates'!$F$5:$F$1004,$T913))))</f>
        <v/>
      </c>
      <c r="I913" s="50">
        <f>IF($T913="","",IF($S913="S",IF(INDEX(Firms!$H$5:$H$1004,$T913)="","",INDEX(Firms!$H$5:$H$1004,$T913)),IF(INDEX('AFA Rates'!$G$5:$G$1004,$T913)="","",INDEX('AFA Rates'!$G$5:$G$1004,$T913))))</f>
        <v/>
      </c>
      <c r="J913" s="50">
        <f>IF($T913="","",IF($S913="S",IF(INDEX(Firms!$I$5:$I$1004,$T913)="","",INDEX(Firms!$I$5:$I$1004,$T913)),IF(INDEX('AFA Rates'!$H$5:$H$1004,$T913)="","",INDEX('AFA Rates'!$H$5:$H$1004,$T913))))</f>
        <v/>
      </c>
      <c r="K913" s="50">
        <f>IF($T913="","",IF($S913="S",IF(INDEX(Firms!$J$5:$J$1004,$T913)="","",INDEX(Firms!$J$5:$J$1004,$T913)),IF(INDEX('AFA Rates'!$I$5:$I$1004,$T913)="","",INDEX('AFA Rates'!$I$5:$I$1004,$T913))))</f>
        <v/>
      </c>
      <c r="L913" s="50">
        <f>IF($T913="","",IF($S913="S",IF(INDEX(Firms!$K$5:$K$1004,$T913)="","",INDEX(Firms!$K$5:$K$1004,$T913)),IF(INDEX('AFA Rates'!$J$5:$J$1004,$T913)="","",INDEX('AFA Rates'!$J$5:$J$1004,$T913))))</f>
        <v/>
      </c>
      <c r="M913" s="50">
        <f>IF($T913="","",IF($S913="S",IF(INDEX(Firms!$L$5:$L$1004,$T913)="","",INDEX(Firms!$L$5:$L$1004,$T913)),IF(INDEX('AFA Rates'!$K$5:$K$1004,$T913)="","",INDEX('AFA Rates'!$K$5:$K$1004,$T913))))</f>
        <v/>
      </c>
      <c r="N913" s="50">
        <f>IF($T913="","",IF($S913="S",IF(INDEX(Firms!$M$5:$M$1004,$T913)="","",INDEX(Firms!$M$5:$M$1004,$T913)),IF(INDEX('AFA Rates'!$L$5:$L$1004,$T913)="","",INDEX('AFA Rates'!$L$5:$L$1004,$T913))))</f>
        <v/>
      </c>
      <c r="O913" s="78">
        <f>IF(OR($T913="",$U913=""),"",IF(INDEX(Firms!$C$5:$C$1004,$U913)="","",INDEX(Firms!$C$5:$C$1004,$U913)))</f>
        <v/>
      </c>
      <c r="P913" s="79">
        <f>IF(OR($T913="",$U913=""),"",IF(INDEX(Firms!$N$5:$N$1004,$U913)="","",INDEX(Firms!$N$5:$N$1004,$U913)))</f>
        <v/>
      </c>
      <c r="Q913" s="78">
        <f>IF($T913="","",IF($S913="S",IF(INDEX(Firms!$T$5:$T$1004,$T913)="","",INDEX(Firms!$T$5:$T$1004,$T913)),IF(INDEX('AFA Rates'!$M$5:$M$1004,$T913)="","",INDEX('AFA Rates'!$M$5:$M$1004,$T913))))</f>
        <v/>
      </c>
      <c r="S913">
        <f>IF(909&lt;=$S$2,"S",IF(909&lt;=$S$2+$T$2,"A",""))</f>
        <v/>
      </c>
      <c r="T913">
        <f>IF(S913="S",MATCH(909,Firms!$W$5:$W$1004,0),IF(S913="A",IFERROR(MATCH(909-$S$2,'AFA Rates'!$R$5:$R$1004,0),""),""))</f>
        <v/>
      </c>
      <c r="U913">
        <f>IF(S913="S",T913,IF(AND(S913="A",T913&lt;&gt;""),IFERROR(MATCH(INDEX('AFA Rates'!$A$5:$A$1004,T913),Firms!$A$5:$A$1004,0),""),""))</f>
        <v/>
      </c>
    </row>
    <row r="914">
      <c r="A914" s="78">
        <f>IF($T914="","",IF($S914="S",IF(INDEX(Firms!$A$5:$A$1004,$T914)="","",INDEX(Firms!$A$5:$A$1004,$T914)),IF(INDEX('AFA Rates'!$A$5:$A$1004,$T914)="","",INDEX('AFA Rates'!$A$5:$A$1004,$T914))))</f>
        <v/>
      </c>
      <c r="B914" s="79">
        <f>IF(OR($T914="",$U914=""),IF($T914="","","Not on Firms tab"),INDEX(Firms!$B$5:$B$1004,$U914)&amp;"")</f>
        <v/>
      </c>
      <c r="C914" s="78">
        <f>IF($T914="","",IF($S914="S","Standard",INDEX('AFA Rates'!$B$5:$B$1004,$T914)&amp;""))</f>
        <v/>
      </c>
      <c r="D914" s="88">
        <f>IF($T914="","",IF($S914="S",IF(INDEX(Firms!$E$5:$E$1004,$T914)="","",INDEX(Firms!$E$5:$E$1004,$T914)),IF(INDEX('AFA Rates'!$C$5:$C$1004,$T914)="","",INDEX('AFA Rates'!$C$5:$C$1004,$T914))))</f>
        <v/>
      </c>
      <c r="E914" s="88">
        <f>IF($T914="","",IF($S914="S",IF(""="","",""),IF(INDEX('AFA Rates'!$D$5:$D$1004,$T914)="","",INDEX('AFA Rates'!$D$5:$D$1004,$T914))))</f>
        <v/>
      </c>
      <c r="F914" s="79">
        <f>IF($T914="","",IF($S914="S",IF(INDEX(Firms!$O$5:$O$1004,$T914)="","",INDEX(Firms!$O$5:$O$1004,$T914)),IF(INDEX('AFA Rates'!$O$5:$O$1004,$T914)="","",INDEX('AFA Rates'!$O$5:$O$1004,$T914))))</f>
        <v/>
      </c>
      <c r="G914" s="50">
        <f>IF($T914="","",IF($S914="S",IF(INDEX(Firms!$F$5:$F$1004,$T914)="","",INDEX(Firms!$F$5:$F$1004,$T914)),IF(INDEX('AFA Rates'!$E$5:$E$1004,$T914)="","",INDEX('AFA Rates'!$E$5:$E$1004,$T914))))</f>
        <v/>
      </c>
      <c r="H914" s="50">
        <f>IF($T914="","",IF($S914="S",IF(INDEX(Firms!$G$5:$G$1004,$T914)="","",INDEX(Firms!$G$5:$G$1004,$T914)),IF(INDEX('AFA Rates'!$F$5:$F$1004,$T914)="","",INDEX('AFA Rates'!$F$5:$F$1004,$T914))))</f>
        <v/>
      </c>
      <c r="I914" s="50">
        <f>IF($T914="","",IF($S914="S",IF(INDEX(Firms!$H$5:$H$1004,$T914)="","",INDEX(Firms!$H$5:$H$1004,$T914)),IF(INDEX('AFA Rates'!$G$5:$G$1004,$T914)="","",INDEX('AFA Rates'!$G$5:$G$1004,$T914))))</f>
        <v/>
      </c>
      <c r="J914" s="50">
        <f>IF($T914="","",IF($S914="S",IF(INDEX(Firms!$I$5:$I$1004,$T914)="","",INDEX(Firms!$I$5:$I$1004,$T914)),IF(INDEX('AFA Rates'!$H$5:$H$1004,$T914)="","",INDEX('AFA Rates'!$H$5:$H$1004,$T914))))</f>
        <v/>
      </c>
      <c r="K914" s="50">
        <f>IF($T914="","",IF($S914="S",IF(INDEX(Firms!$J$5:$J$1004,$T914)="","",INDEX(Firms!$J$5:$J$1004,$T914)),IF(INDEX('AFA Rates'!$I$5:$I$1004,$T914)="","",INDEX('AFA Rates'!$I$5:$I$1004,$T914))))</f>
        <v/>
      </c>
      <c r="L914" s="50">
        <f>IF($T914="","",IF($S914="S",IF(INDEX(Firms!$K$5:$K$1004,$T914)="","",INDEX(Firms!$K$5:$K$1004,$T914)),IF(INDEX('AFA Rates'!$J$5:$J$1004,$T914)="","",INDEX('AFA Rates'!$J$5:$J$1004,$T914))))</f>
        <v/>
      </c>
      <c r="M914" s="50">
        <f>IF($T914="","",IF($S914="S",IF(INDEX(Firms!$L$5:$L$1004,$T914)="","",INDEX(Firms!$L$5:$L$1004,$T914)),IF(INDEX('AFA Rates'!$K$5:$K$1004,$T914)="","",INDEX('AFA Rates'!$K$5:$K$1004,$T914))))</f>
        <v/>
      </c>
      <c r="N914" s="50">
        <f>IF($T914="","",IF($S914="S",IF(INDEX(Firms!$M$5:$M$1004,$T914)="","",INDEX(Firms!$M$5:$M$1004,$T914)),IF(INDEX('AFA Rates'!$L$5:$L$1004,$T914)="","",INDEX('AFA Rates'!$L$5:$L$1004,$T914))))</f>
        <v/>
      </c>
      <c r="O914" s="78">
        <f>IF(OR($T914="",$U914=""),"",IF(INDEX(Firms!$C$5:$C$1004,$U914)="","",INDEX(Firms!$C$5:$C$1004,$U914)))</f>
        <v/>
      </c>
      <c r="P914" s="79">
        <f>IF(OR($T914="",$U914=""),"",IF(INDEX(Firms!$N$5:$N$1004,$U914)="","",INDEX(Firms!$N$5:$N$1004,$U914)))</f>
        <v/>
      </c>
      <c r="Q914" s="78">
        <f>IF($T914="","",IF($S914="S",IF(INDEX(Firms!$T$5:$T$1004,$T914)="","",INDEX(Firms!$T$5:$T$1004,$T914)),IF(INDEX('AFA Rates'!$M$5:$M$1004,$T914)="","",INDEX('AFA Rates'!$M$5:$M$1004,$T914))))</f>
        <v/>
      </c>
      <c r="S914">
        <f>IF(910&lt;=$S$2,"S",IF(910&lt;=$S$2+$T$2,"A",""))</f>
        <v/>
      </c>
      <c r="T914">
        <f>IF(S914="S",MATCH(910,Firms!$W$5:$W$1004,0),IF(S914="A",IFERROR(MATCH(910-$S$2,'AFA Rates'!$R$5:$R$1004,0),""),""))</f>
        <v/>
      </c>
      <c r="U914">
        <f>IF(S914="S",T914,IF(AND(S914="A",T914&lt;&gt;""),IFERROR(MATCH(INDEX('AFA Rates'!$A$5:$A$1004,T914),Firms!$A$5:$A$1004,0),""),""))</f>
        <v/>
      </c>
    </row>
    <row r="915">
      <c r="A915" s="78">
        <f>IF($T915="","",IF($S915="S",IF(INDEX(Firms!$A$5:$A$1004,$T915)="","",INDEX(Firms!$A$5:$A$1004,$T915)),IF(INDEX('AFA Rates'!$A$5:$A$1004,$T915)="","",INDEX('AFA Rates'!$A$5:$A$1004,$T915))))</f>
        <v/>
      </c>
      <c r="B915" s="79">
        <f>IF(OR($T915="",$U915=""),IF($T915="","","Not on Firms tab"),INDEX(Firms!$B$5:$B$1004,$U915)&amp;"")</f>
        <v/>
      </c>
      <c r="C915" s="78">
        <f>IF($T915="","",IF($S915="S","Standard",INDEX('AFA Rates'!$B$5:$B$1004,$T915)&amp;""))</f>
        <v/>
      </c>
      <c r="D915" s="88">
        <f>IF($T915="","",IF($S915="S",IF(INDEX(Firms!$E$5:$E$1004,$T915)="","",INDEX(Firms!$E$5:$E$1004,$T915)),IF(INDEX('AFA Rates'!$C$5:$C$1004,$T915)="","",INDEX('AFA Rates'!$C$5:$C$1004,$T915))))</f>
        <v/>
      </c>
      <c r="E915" s="88">
        <f>IF($T915="","",IF($S915="S",IF(""="","",""),IF(INDEX('AFA Rates'!$D$5:$D$1004,$T915)="","",INDEX('AFA Rates'!$D$5:$D$1004,$T915))))</f>
        <v/>
      </c>
      <c r="F915" s="79">
        <f>IF($T915="","",IF($S915="S",IF(INDEX(Firms!$O$5:$O$1004,$T915)="","",INDEX(Firms!$O$5:$O$1004,$T915)),IF(INDEX('AFA Rates'!$O$5:$O$1004,$T915)="","",INDEX('AFA Rates'!$O$5:$O$1004,$T915))))</f>
        <v/>
      </c>
      <c r="G915" s="50">
        <f>IF($T915="","",IF($S915="S",IF(INDEX(Firms!$F$5:$F$1004,$T915)="","",INDEX(Firms!$F$5:$F$1004,$T915)),IF(INDEX('AFA Rates'!$E$5:$E$1004,$T915)="","",INDEX('AFA Rates'!$E$5:$E$1004,$T915))))</f>
        <v/>
      </c>
      <c r="H915" s="50">
        <f>IF($T915="","",IF($S915="S",IF(INDEX(Firms!$G$5:$G$1004,$T915)="","",INDEX(Firms!$G$5:$G$1004,$T915)),IF(INDEX('AFA Rates'!$F$5:$F$1004,$T915)="","",INDEX('AFA Rates'!$F$5:$F$1004,$T915))))</f>
        <v/>
      </c>
      <c r="I915" s="50">
        <f>IF($T915="","",IF($S915="S",IF(INDEX(Firms!$H$5:$H$1004,$T915)="","",INDEX(Firms!$H$5:$H$1004,$T915)),IF(INDEX('AFA Rates'!$G$5:$G$1004,$T915)="","",INDEX('AFA Rates'!$G$5:$G$1004,$T915))))</f>
        <v/>
      </c>
      <c r="J915" s="50">
        <f>IF($T915="","",IF($S915="S",IF(INDEX(Firms!$I$5:$I$1004,$T915)="","",INDEX(Firms!$I$5:$I$1004,$T915)),IF(INDEX('AFA Rates'!$H$5:$H$1004,$T915)="","",INDEX('AFA Rates'!$H$5:$H$1004,$T915))))</f>
        <v/>
      </c>
      <c r="K915" s="50">
        <f>IF($T915="","",IF($S915="S",IF(INDEX(Firms!$J$5:$J$1004,$T915)="","",INDEX(Firms!$J$5:$J$1004,$T915)),IF(INDEX('AFA Rates'!$I$5:$I$1004,$T915)="","",INDEX('AFA Rates'!$I$5:$I$1004,$T915))))</f>
        <v/>
      </c>
      <c r="L915" s="50">
        <f>IF($T915="","",IF($S915="S",IF(INDEX(Firms!$K$5:$K$1004,$T915)="","",INDEX(Firms!$K$5:$K$1004,$T915)),IF(INDEX('AFA Rates'!$J$5:$J$1004,$T915)="","",INDEX('AFA Rates'!$J$5:$J$1004,$T915))))</f>
        <v/>
      </c>
      <c r="M915" s="50">
        <f>IF($T915="","",IF($S915="S",IF(INDEX(Firms!$L$5:$L$1004,$T915)="","",INDEX(Firms!$L$5:$L$1004,$T915)),IF(INDEX('AFA Rates'!$K$5:$K$1004,$T915)="","",INDEX('AFA Rates'!$K$5:$K$1004,$T915))))</f>
        <v/>
      </c>
      <c r="N915" s="50">
        <f>IF($T915="","",IF($S915="S",IF(INDEX(Firms!$M$5:$M$1004,$T915)="","",INDEX(Firms!$M$5:$M$1004,$T915)),IF(INDEX('AFA Rates'!$L$5:$L$1004,$T915)="","",INDEX('AFA Rates'!$L$5:$L$1004,$T915))))</f>
        <v/>
      </c>
      <c r="O915" s="78">
        <f>IF(OR($T915="",$U915=""),"",IF(INDEX(Firms!$C$5:$C$1004,$U915)="","",INDEX(Firms!$C$5:$C$1004,$U915)))</f>
        <v/>
      </c>
      <c r="P915" s="79">
        <f>IF(OR($T915="",$U915=""),"",IF(INDEX(Firms!$N$5:$N$1004,$U915)="","",INDEX(Firms!$N$5:$N$1004,$U915)))</f>
        <v/>
      </c>
      <c r="Q915" s="78">
        <f>IF($T915="","",IF($S915="S",IF(INDEX(Firms!$T$5:$T$1004,$T915)="","",INDEX(Firms!$T$5:$T$1004,$T915)),IF(INDEX('AFA Rates'!$M$5:$M$1004,$T915)="","",INDEX('AFA Rates'!$M$5:$M$1004,$T915))))</f>
        <v/>
      </c>
      <c r="S915">
        <f>IF(911&lt;=$S$2,"S",IF(911&lt;=$S$2+$T$2,"A",""))</f>
        <v/>
      </c>
      <c r="T915">
        <f>IF(S915="S",MATCH(911,Firms!$W$5:$W$1004,0),IF(S915="A",IFERROR(MATCH(911-$S$2,'AFA Rates'!$R$5:$R$1004,0),""),""))</f>
        <v/>
      </c>
      <c r="U915">
        <f>IF(S915="S",T915,IF(AND(S915="A",T915&lt;&gt;""),IFERROR(MATCH(INDEX('AFA Rates'!$A$5:$A$1004,T915),Firms!$A$5:$A$1004,0),""),""))</f>
        <v/>
      </c>
    </row>
    <row r="916">
      <c r="A916" s="78">
        <f>IF($T916="","",IF($S916="S",IF(INDEX(Firms!$A$5:$A$1004,$T916)="","",INDEX(Firms!$A$5:$A$1004,$T916)),IF(INDEX('AFA Rates'!$A$5:$A$1004,$T916)="","",INDEX('AFA Rates'!$A$5:$A$1004,$T916))))</f>
        <v/>
      </c>
      <c r="B916" s="79">
        <f>IF(OR($T916="",$U916=""),IF($T916="","","Not on Firms tab"),INDEX(Firms!$B$5:$B$1004,$U916)&amp;"")</f>
        <v/>
      </c>
      <c r="C916" s="78">
        <f>IF($T916="","",IF($S916="S","Standard",INDEX('AFA Rates'!$B$5:$B$1004,$T916)&amp;""))</f>
        <v/>
      </c>
      <c r="D916" s="88">
        <f>IF($T916="","",IF($S916="S",IF(INDEX(Firms!$E$5:$E$1004,$T916)="","",INDEX(Firms!$E$5:$E$1004,$T916)),IF(INDEX('AFA Rates'!$C$5:$C$1004,$T916)="","",INDEX('AFA Rates'!$C$5:$C$1004,$T916))))</f>
        <v/>
      </c>
      <c r="E916" s="88">
        <f>IF($T916="","",IF($S916="S",IF(""="","",""),IF(INDEX('AFA Rates'!$D$5:$D$1004,$T916)="","",INDEX('AFA Rates'!$D$5:$D$1004,$T916))))</f>
        <v/>
      </c>
      <c r="F916" s="79">
        <f>IF($T916="","",IF($S916="S",IF(INDEX(Firms!$O$5:$O$1004,$T916)="","",INDEX(Firms!$O$5:$O$1004,$T916)),IF(INDEX('AFA Rates'!$O$5:$O$1004,$T916)="","",INDEX('AFA Rates'!$O$5:$O$1004,$T916))))</f>
        <v/>
      </c>
      <c r="G916" s="50">
        <f>IF($T916="","",IF($S916="S",IF(INDEX(Firms!$F$5:$F$1004,$T916)="","",INDEX(Firms!$F$5:$F$1004,$T916)),IF(INDEX('AFA Rates'!$E$5:$E$1004,$T916)="","",INDEX('AFA Rates'!$E$5:$E$1004,$T916))))</f>
        <v/>
      </c>
      <c r="H916" s="50">
        <f>IF($T916="","",IF($S916="S",IF(INDEX(Firms!$G$5:$G$1004,$T916)="","",INDEX(Firms!$G$5:$G$1004,$T916)),IF(INDEX('AFA Rates'!$F$5:$F$1004,$T916)="","",INDEX('AFA Rates'!$F$5:$F$1004,$T916))))</f>
        <v/>
      </c>
      <c r="I916" s="50">
        <f>IF($T916="","",IF($S916="S",IF(INDEX(Firms!$H$5:$H$1004,$T916)="","",INDEX(Firms!$H$5:$H$1004,$T916)),IF(INDEX('AFA Rates'!$G$5:$G$1004,$T916)="","",INDEX('AFA Rates'!$G$5:$G$1004,$T916))))</f>
        <v/>
      </c>
      <c r="J916" s="50">
        <f>IF($T916="","",IF($S916="S",IF(INDEX(Firms!$I$5:$I$1004,$T916)="","",INDEX(Firms!$I$5:$I$1004,$T916)),IF(INDEX('AFA Rates'!$H$5:$H$1004,$T916)="","",INDEX('AFA Rates'!$H$5:$H$1004,$T916))))</f>
        <v/>
      </c>
      <c r="K916" s="50">
        <f>IF($T916="","",IF($S916="S",IF(INDEX(Firms!$J$5:$J$1004,$T916)="","",INDEX(Firms!$J$5:$J$1004,$T916)),IF(INDEX('AFA Rates'!$I$5:$I$1004,$T916)="","",INDEX('AFA Rates'!$I$5:$I$1004,$T916))))</f>
        <v/>
      </c>
      <c r="L916" s="50">
        <f>IF($T916="","",IF($S916="S",IF(INDEX(Firms!$K$5:$K$1004,$T916)="","",INDEX(Firms!$K$5:$K$1004,$T916)),IF(INDEX('AFA Rates'!$J$5:$J$1004,$T916)="","",INDEX('AFA Rates'!$J$5:$J$1004,$T916))))</f>
        <v/>
      </c>
      <c r="M916" s="50">
        <f>IF($T916="","",IF($S916="S",IF(INDEX(Firms!$L$5:$L$1004,$T916)="","",INDEX(Firms!$L$5:$L$1004,$T916)),IF(INDEX('AFA Rates'!$K$5:$K$1004,$T916)="","",INDEX('AFA Rates'!$K$5:$K$1004,$T916))))</f>
        <v/>
      </c>
      <c r="N916" s="50">
        <f>IF($T916="","",IF($S916="S",IF(INDEX(Firms!$M$5:$M$1004,$T916)="","",INDEX(Firms!$M$5:$M$1004,$T916)),IF(INDEX('AFA Rates'!$L$5:$L$1004,$T916)="","",INDEX('AFA Rates'!$L$5:$L$1004,$T916))))</f>
        <v/>
      </c>
      <c r="O916" s="78">
        <f>IF(OR($T916="",$U916=""),"",IF(INDEX(Firms!$C$5:$C$1004,$U916)="","",INDEX(Firms!$C$5:$C$1004,$U916)))</f>
        <v/>
      </c>
      <c r="P916" s="79">
        <f>IF(OR($T916="",$U916=""),"",IF(INDEX(Firms!$N$5:$N$1004,$U916)="","",INDEX(Firms!$N$5:$N$1004,$U916)))</f>
        <v/>
      </c>
      <c r="Q916" s="78">
        <f>IF($T916="","",IF($S916="S",IF(INDEX(Firms!$T$5:$T$1004,$T916)="","",INDEX(Firms!$T$5:$T$1004,$T916)),IF(INDEX('AFA Rates'!$M$5:$M$1004,$T916)="","",INDEX('AFA Rates'!$M$5:$M$1004,$T916))))</f>
        <v/>
      </c>
      <c r="S916">
        <f>IF(912&lt;=$S$2,"S",IF(912&lt;=$S$2+$T$2,"A",""))</f>
        <v/>
      </c>
      <c r="T916">
        <f>IF(S916="S",MATCH(912,Firms!$W$5:$W$1004,0),IF(S916="A",IFERROR(MATCH(912-$S$2,'AFA Rates'!$R$5:$R$1004,0),""),""))</f>
        <v/>
      </c>
      <c r="U916">
        <f>IF(S916="S",T916,IF(AND(S916="A",T916&lt;&gt;""),IFERROR(MATCH(INDEX('AFA Rates'!$A$5:$A$1004,T916),Firms!$A$5:$A$1004,0),""),""))</f>
        <v/>
      </c>
    </row>
    <row r="917">
      <c r="A917" s="78">
        <f>IF($T917="","",IF($S917="S",IF(INDEX(Firms!$A$5:$A$1004,$T917)="","",INDEX(Firms!$A$5:$A$1004,$T917)),IF(INDEX('AFA Rates'!$A$5:$A$1004,$T917)="","",INDEX('AFA Rates'!$A$5:$A$1004,$T917))))</f>
        <v/>
      </c>
      <c r="B917" s="79">
        <f>IF(OR($T917="",$U917=""),IF($T917="","","Not on Firms tab"),INDEX(Firms!$B$5:$B$1004,$U917)&amp;"")</f>
        <v/>
      </c>
      <c r="C917" s="78">
        <f>IF($T917="","",IF($S917="S","Standard",INDEX('AFA Rates'!$B$5:$B$1004,$T917)&amp;""))</f>
        <v/>
      </c>
      <c r="D917" s="88">
        <f>IF($T917="","",IF($S917="S",IF(INDEX(Firms!$E$5:$E$1004,$T917)="","",INDEX(Firms!$E$5:$E$1004,$T917)),IF(INDEX('AFA Rates'!$C$5:$C$1004,$T917)="","",INDEX('AFA Rates'!$C$5:$C$1004,$T917))))</f>
        <v/>
      </c>
      <c r="E917" s="88">
        <f>IF($T917="","",IF($S917="S",IF(""="","",""),IF(INDEX('AFA Rates'!$D$5:$D$1004,$T917)="","",INDEX('AFA Rates'!$D$5:$D$1004,$T917))))</f>
        <v/>
      </c>
      <c r="F917" s="79">
        <f>IF($T917="","",IF($S917="S",IF(INDEX(Firms!$O$5:$O$1004,$T917)="","",INDEX(Firms!$O$5:$O$1004,$T917)),IF(INDEX('AFA Rates'!$O$5:$O$1004,$T917)="","",INDEX('AFA Rates'!$O$5:$O$1004,$T917))))</f>
        <v/>
      </c>
      <c r="G917" s="50">
        <f>IF($T917="","",IF($S917="S",IF(INDEX(Firms!$F$5:$F$1004,$T917)="","",INDEX(Firms!$F$5:$F$1004,$T917)),IF(INDEX('AFA Rates'!$E$5:$E$1004,$T917)="","",INDEX('AFA Rates'!$E$5:$E$1004,$T917))))</f>
        <v/>
      </c>
      <c r="H917" s="50">
        <f>IF($T917="","",IF($S917="S",IF(INDEX(Firms!$G$5:$G$1004,$T917)="","",INDEX(Firms!$G$5:$G$1004,$T917)),IF(INDEX('AFA Rates'!$F$5:$F$1004,$T917)="","",INDEX('AFA Rates'!$F$5:$F$1004,$T917))))</f>
        <v/>
      </c>
      <c r="I917" s="50">
        <f>IF($T917="","",IF($S917="S",IF(INDEX(Firms!$H$5:$H$1004,$T917)="","",INDEX(Firms!$H$5:$H$1004,$T917)),IF(INDEX('AFA Rates'!$G$5:$G$1004,$T917)="","",INDEX('AFA Rates'!$G$5:$G$1004,$T917))))</f>
        <v/>
      </c>
      <c r="J917" s="50">
        <f>IF($T917="","",IF($S917="S",IF(INDEX(Firms!$I$5:$I$1004,$T917)="","",INDEX(Firms!$I$5:$I$1004,$T917)),IF(INDEX('AFA Rates'!$H$5:$H$1004,$T917)="","",INDEX('AFA Rates'!$H$5:$H$1004,$T917))))</f>
        <v/>
      </c>
      <c r="K917" s="50">
        <f>IF($T917="","",IF($S917="S",IF(INDEX(Firms!$J$5:$J$1004,$T917)="","",INDEX(Firms!$J$5:$J$1004,$T917)),IF(INDEX('AFA Rates'!$I$5:$I$1004,$T917)="","",INDEX('AFA Rates'!$I$5:$I$1004,$T917))))</f>
        <v/>
      </c>
      <c r="L917" s="50">
        <f>IF($T917="","",IF($S917="S",IF(INDEX(Firms!$K$5:$K$1004,$T917)="","",INDEX(Firms!$K$5:$K$1004,$T917)),IF(INDEX('AFA Rates'!$J$5:$J$1004,$T917)="","",INDEX('AFA Rates'!$J$5:$J$1004,$T917))))</f>
        <v/>
      </c>
      <c r="M917" s="50">
        <f>IF($T917="","",IF($S917="S",IF(INDEX(Firms!$L$5:$L$1004,$T917)="","",INDEX(Firms!$L$5:$L$1004,$T917)),IF(INDEX('AFA Rates'!$K$5:$K$1004,$T917)="","",INDEX('AFA Rates'!$K$5:$K$1004,$T917))))</f>
        <v/>
      </c>
      <c r="N917" s="50">
        <f>IF($T917="","",IF($S917="S",IF(INDEX(Firms!$M$5:$M$1004,$T917)="","",INDEX(Firms!$M$5:$M$1004,$T917)),IF(INDEX('AFA Rates'!$L$5:$L$1004,$T917)="","",INDEX('AFA Rates'!$L$5:$L$1004,$T917))))</f>
        <v/>
      </c>
      <c r="O917" s="78">
        <f>IF(OR($T917="",$U917=""),"",IF(INDEX(Firms!$C$5:$C$1004,$U917)="","",INDEX(Firms!$C$5:$C$1004,$U917)))</f>
        <v/>
      </c>
      <c r="P917" s="79">
        <f>IF(OR($T917="",$U917=""),"",IF(INDEX(Firms!$N$5:$N$1004,$U917)="","",INDEX(Firms!$N$5:$N$1004,$U917)))</f>
        <v/>
      </c>
      <c r="Q917" s="78">
        <f>IF($T917="","",IF($S917="S",IF(INDEX(Firms!$T$5:$T$1004,$T917)="","",INDEX(Firms!$T$5:$T$1004,$T917)),IF(INDEX('AFA Rates'!$M$5:$M$1004,$T917)="","",INDEX('AFA Rates'!$M$5:$M$1004,$T917))))</f>
        <v/>
      </c>
      <c r="S917">
        <f>IF(913&lt;=$S$2,"S",IF(913&lt;=$S$2+$T$2,"A",""))</f>
        <v/>
      </c>
      <c r="T917">
        <f>IF(S917="S",MATCH(913,Firms!$W$5:$W$1004,0),IF(S917="A",IFERROR(MATCH(913-$S$2,'AFA Rates'!$R$5:$R$1004,0),""),""))</f>
        <v/>
      </c>
      <c r="U917">
        <f>IF(S917="S",T917,IF(AND(S917="A",T917&lt;&gt;""),IFERROR(MATCH(INDEX('AFA Rates'!$A$5:$A$1004,T917),Firms!$A$5:$A$1004,0),""),""))</f>
        <v/>
      </c>
    </row>
    <row r="918">
      <c r="A918" s="78">
        <f>IF($T918="","",IF($S918="S",IF(INDEX(Firms!$A$5:$A$1004,$T918)="","",INDEX(Firms!$A$5:$A$1004,$T918)),IF(INDEX('AFA Rates'!$A$5:$A$1004,$T918)="","",INDEX('AFA Rates'!$A$5:$A$1004,$T918))))</f>
        <v/>
      </c>
      <c r="B918" s="79">
        <f>IF(OR($T918="",$U918=""),IF($T918="","","Not on Firms tab"),INDEX(Firms!$B$5:$B$1004,$U918)&amp;"")</f>
        <v/>
      </c>
      <c r="C918" s="78">
        <f>IF($T918="","",IF($S918="S","Standard",INDEX('AFA Rates'!$B$5:$B$1004,$T918)&amp;""))</f>
        <v/>
      </c>
      <c r="D918" s="88">
        <f>IF($T918="","",IF($S918="S",IF(INDEX(Firms!$E$5:$E$1004,$T918)="","",INDEX(Firms!$E$5:$E$1004,$T918)),IF(INDEX('AFA Rates'!$C$5:$C$1004,$T918)="","",INDEX('AFA Rates'!$C$5:$C$1004,$T918))))</f>
        <v/>
      </c>
      <c r="E918" s="88">
        <f>IF($T918="","",IF($S918="S",IF(""="","",""),IF(INDEX('AFA Rates'!$D$5:$D$1004,$T918)="","",INDEX('AFA Rates'!$D$5:$D$1004,$T918))))</f>
        <v/>
      </c>
      <c r="F918" s="79">
        <f>IF($T918="","",IF($S918="S",IF(INDEX(Firms!$O$5:$O$1004,$T918)="","",INDEX(Firms!$O$5:$O$1004,$T918)),IF(INDEX('AFA Rates'!$O$5:$O$1004,$T918)="","",INDEX('AFA Rates'!$O$5:$O$1004,$T918))))</f>
        <v/>
      </c>
      <c r="G918" s="50">
        <f>IF($T918="","",IF($S918="S",IF(INDEX(Firms!$F$5:$F$1004,$T918)="","",INDEX(Firms!$F$5:$F$1004,$T918)),IF(INDEX('AFA Rates'!$E$5:$E$1004,$T918)="","",INDEX('AFA Rates'!$E$5:$E$1004,$T918))))</f>
        <v/>
      </c>
      <c r="H918" s="50">
        <f>IF($T918="","",IF($S918="S",IF(INDEX(Firms!$G$5:$G$1004,$T918)="","",INDEX(Firms!$G$5:$G$1004,$T918)),IF(INDEX('AFA Rates'!$F$5:$F$1004,$T918)="","",INDEX('AFA Rates'!$F$5:$F$1004,$T918))))</f>
        <v/>
      </c>
      <c r="I918" s="50">
        <f>IF($T918="","",IF($S918="S",IF(INDEX(Firms!$H$5:$H$1004,$T918)="","",INDEX(Firms!$H$5:$H$1004,$T918)),IF(INDEX('AFA Rates'!$G$5:$G$1004,$T918)="","",INDEX('AFA Rates'!$G$5:$G$1004,$T918))))</f>
        <v/>
      </c>
      <c r="J918" s="50">
        <f>IF($T918="","",IF($S918="S",IF(INDEX(Firms!$I$5:$I$1004,$T918)="","",INDEX(Firms!$I$5:$I$1004,$T918)),IF(INDEX('AFA Rates'!$H$5:$H$1004,$T918)="","",INDEX('AFA Rates'!$H$5:$H$1004,$T918))))</f>
        <v/>
      </c>
      <c r="K918" s="50">
        <f>IF($T918="","",IF($S918="S",IF(INDEX(Firms!$J$5:$J$1004,$T918)="","",INDEX(Firms!$J$5:$J$1004,$T918)),IF(INDEX('AFA Rates'!$I$5:$I$1004,$T918)="","",INDEX('AFA Rates'!$I$5:$I$1004,$T918))))</f>
        <v/>
      </c>
      <c r="L918" s="50">
        <f>IF($T918="","",IF($S918="S",IF(INDEX(Firms!$K$5:$K$1004,$T918)="","",INDEX(Firms!$K$5:$K$1004,$T918)),IF(INDEX('AFA Rates'!$J$5:$J$1004,$T918)="","",INDEX('AFA Rates'!$J$5:$J$1004,$T918))))</f>
        <v/>
      </c>
      <c r="M918" s="50">
        <f>IF($T918="","",IF($S918="S",IF(INDEX(Firms!$L$5:$L$1004,$T918)="","",INDEX(Firms!$L$5:$L$1004,$T918)),IF(INDEX('AFA Rates'!$K$5:$K$1004,$T918)="","",INDEX('AFA Rates'!$K$5:$K$1004,$T918))))</f>
        <v/>
      </c>
      <c r="N918" s="50">
        <f>IF($T918="","",IF($S918="S",IF(INDEX(Firms!$M$5:$M$1004,$T918)="","",INDEX(Firms!$M$5:$M$1004,$T918)),IF(INDEX('AFA Rates'!$L$5:$L$1004,$T918)="","",INDEX('AFA Rates'!$L$5:$L$1004,$T918))))</f>
        <v/>
      </c>
      <c r="O918" s="78">
        <f>IF(OR($T918="",$U918=""),"",IF(INDEX(Firms!$C$5:$C$1004,$U918)="","",INDEX(Firms!$C$5:$C$1004,$U918)))</f>
        <v/>
      </c>
      <c r="P918" s="79">
        <f>IF(OR($T918="",$U918=""),"",IF(INDEX(Firms!$N$5:$N$1004,$U918)="","",INDEX(Firms!$N$5:$N$1004,$U918)))</f>
        <v/>
      </c>
      <c r="Q918" s="78">
        <f>IF($T918="","",IF($S918="S",IF(INDEX(Firms!$T$5:$T$1004,$T918)="","",INDEX(Firms!$T$5:$T$1004,$T918)),IF(INDEX('AFA Rates'!$M$5:$M$1004,$T918)="","",INDEX('AFA Rates'!$M$5:$M$1004,$T918))))</f>
        <v/>
      </c>
      <c r="S918">
        <f>IF(914&lt;=$S$2,"S",IF(914&lt;=$S$2+$T$2,"A",""))</f>
        <v/>
      </c>
      <c r="T918">
        <f>IF(S918="S",MATCH(914,Firms!$W$5:$W$1004,0),IF(S918="A",IFERROR(MATCH(914-$S$2,'AFA Rates'!$R$5:$R$1004,0),""),""))</f>
        <v/>
      </c>
      <c r="U918">
        <f>IF(S918="S",T918,IF(AND(S918="A",T918&lt;&gt;""),IFERROR(MATCH(INDEX('AFA Rates'!$A$5:$A$1004,T918),Firms!$A$5:$A$1004,0),""),""))</f>
        <v/>
      </c>
    </row>
    <row r="919">
      <c r="A919" s="78">
        <f>IF($T919="","",IF($S919="S",IF(INDEX(Firms!$A$5:$A$1004,$T919)="","",INDEX(Firms!$A$5:$A$1004,$T919)),IF(INDEX('AFA Rates'!$A$5:$A$1004,$T919)="","",INDEX('AFA Rates'!$A$5:$A$1004,$T919))))</f>
        <v/>
      </c>
      <c r="B919" s="79">
        <f>IF(OR($T919="",$U919=""),IF($T919="","","Not on Firms tab"),INDEX(Firms!$B$5:$B$1004,$U919)&amp;"")</f>
        <v/>
      </c>
      <c r="C919" s="78">
        <f>IF($T919="","",IF($S919="S","Standard",INDEX('AFA Rates'!$B$5:$B$1004,$T919)&amp;""))</f>
        <v/>
      </c>
      <c r="D919" s="88">
        <f>IF($T919="","",IF($S919="S",IF(INDEX(Firms!$E$5:$E$1004,$T919)="","",INDEX(Firms!$E$5:$E$1004,$T919)),IF(INDEX('AFA Rates'!$C$5:$C$1004,$T919)="","",INDEX('AFA Rates'!$C$5:$C$1004,$T919))))</f>
        <v/>
      </c>
      <c r="E919" s="88">
        <f>IF($T919="","",IF($S919="S",IF(""="","",""),IF(INDEX('AFA Rates'!$D$5:$D$1004,$T919)="","",INDEX('AFA Rates'!$D$5:$D$1004,$T919))))</f>
        <v/>
      </c>
      <c r="F919" s="79">
        <f>IF($T919="","",IF($S919="S",IF(INDEX(Firms!$O$5:$O$1004,$T919)="","",INDEX(Firms!$O$5:$O$1004,$T919)),IF(INDEX('AFA Rates'!$O$5:$O$1004,$T919)="","",INDEX('AFA Rates'!$O$5:$O$1004,$T919))))</f>
        <v/>
      </c>
      <c r="G919" s="50">
        <f>IF($T919="","",IF($S919="S",IF(INDEX(Firms!$F$5:$F$1004,$T919)="","",INDEX(Firms!$F$5:$F$1004,$T919)),IF(INDEX('AFA Rates'!$E$5:$E$1004,$T919)="","",INDEX('AFA Rates'!$E$5:$E$1004,$T919))))</f>
        <v/>
      </c>
      <c r="H919" s="50">
        <f>IF($T919="","",IF($S919="S",IF(INDEX(Firms!$G$5:$G$1004,$T919)="","",INDEX(Firms!$G$5:$G$1004,$T919)),IF(INDEX('AFA Rates'!$F$5:$F$1004,$T919)="","",INDEX('AFA Rates'!$F$5:$F$1004,$T919))))</f>
        <v/>
      </c>
      <c r="I919" s="50">
        <f>IF($T919="","",IF($S919="S",IF(INDEX(Firms!$H$5:$H$1004,$T919)="","",INDEX(Firms!$H$5:$H$1004,$T919)),IF(INDEX('AFA Rates'!$G$5:$G$1004,$T919)="","",INDEX('AFA Rates'!$G$5:$G$1004,$T919))))</f>
        <v/>
      </c>
      <c r="J919" s="50">
        <f>IF($T919="","",IF($S919="S",IF(INDEX(Firms!$I$5:$I$1004,$T919)="","",INDEX(Firms!$I$5:$I$1004,$T919)),IF(INDEX('AFA Rates'!$H$5:$H$1004,$T919)="","",INDEX('AFA Rates'!$H$5:$H$1004,$T919))))</f>
        <v/>
      </c>
      <c r="K919" s="50">
        <f>IF($T919="","",IF($S919="S",IF(INDEX(Firms!$J$5:$J$1004,$T919)="","",INDEX(Firms!$J$5:$J$1004,$T919)),IF(INDEX('AFA Rates'!$I$5:$I$1004,$T919)="","",INDEX('AFA Rates'!$I$5:$I$1004,$T919))))</f>
        <v/>
      </c>
      <c r="L919" s="50">
        <f>IF($T919="","",IF($S919="S",IF(INDEX(Firms!$K$5:$K$1004,$T919)="","",INDEX(Firms!$K$5:$K$1004,$T919)),IF(INDEX('AFA Rates'!$J$5:$J$1004,$T919)="","",INDEX('AFA Rates'!$J$5:$J$1004,$T919))))</f>
        <v/>
      </c>
      <c r="M919" s="50">
        <f>IF($T919="","",IF($S919="S",IF(INDEX(Firms!$L$5:$L$1004,$T919)="","",INDEX(Firms!$L$5:$L$1004,$T919)),IF(INDEX('AFA Rates'!$K$5:$K$1004,$T919)="","",INDEX('AFA Rates'!$K$5:$K$1004,$T919))))</f>
        <v/>
      </c>
      <c r="N919" s="50">
        <f>IF($T919="","",IF($S919="S",IF(INDEX(Firms!$M$5:$M$1004,$T919)="","",INDEX(Firms!$M$5:$M$1004,$T919)),IF(INDEX('AFA Rates'!$L$5:$L$1004,$T919)="","",INDEX('AFA Rates'!$L$5:$L$1004,$T919))))</f>
        <v/>
      </c>
      <c r="O919" s="78">
        <f>IF(OR($T919="",$U919=""),"",IF(INDEX(Firms!$C$5:$C$1004,$U919)="","",INDEX(Firms!$C$5:$C$1004,$U919)))</f>
        <v/>
      </c>
      <c r="P919" s="79">
        <f>IF(OR($T919="",$U919=""),"",IF(INDEX(Firms!$N$5:$N$1004,$U919)="","",INDEX(Firms!$N$5:$N$1004,$U919)))</f>
        <v/>
      </c>
      <c r="Q919" s="78">
        <f>IF($T919="","",IF($S919="S",IF(INDEX(Firms!$T$5:$T$1004,$T919)="","",INDEX(Firms!$T$5:$T$1004,$T919)),IF(INDEX('AFA Rates'!$M$5:$M$1004,$T919)="","",INDEX('AFA Rates'!$M$5:$M$1004,$T919))))</f>
        <v/>
      </c>
      <c r="S919">
        <f>IF(915&lt;=$S$2,"S",IF(915&lt;=$S$2+$T$2,"A",""))</f>
        <v/>
      </c>
      <c r="T919">
        <f>IF(S919="S",MATCH(915,Firms!$W$5:$W$1004,0),IF(S919="A",IFERROR(MATCH(915-$S$2,'AFA Rates'!$R$5:$R$1004,0),""),""))</f>
        <v/>
      </c>
      <c r="U919">
        <f>IF(S919="S",T919,IF(AND(S919="A",T919&lt;&gt;""),IFERROR(MATCH(INDEX('AFA Rates'!$A$5:$A$1004,T919),Firms!$A$5:$A$1004,0),""),""))</f>
        <v/>
      </c>
    </row>
    <row r="920">
      <c r="A920" s="78">
        <f>IF($T920="","",IF($S920="S",IF(INDEX(Firms!$A$5:$A$1004,$T920)="","",INDEX(Firms!$A$5:$A$1004,$T920)),IF(INDEX('AFA Rates'!$A$5:$A$1004,$T920)="","",INDEX('AFA Rates'!$A$5:$A$1004,$T920))))</f>
        <v/>
      </c>
      <c r="B920" s="79">
        <f>IF(OR($T920="",$U920=""),IF($T920="","","Not on Firms tab"),INDEX(Firms!$B$5:$B$1004,$U920)&amp;"")</f>
        <v/>
      </c>
      <c r="C920" s="78">
        <f>IF($T920="","",IF($S920="S","Standard",INDEX('AFA Rates'!$B$5:$B$1004,$T920)&amp;""))</f>
        <v/>
      </c>
      <c r="D920" s="88">
        <f>IF($T920="","",IF($S920="S",IF(INDEX(Firms!$E$5:$E$1004,$T920)="","",INDEX(Firms!$E$5:$E$1004,$T920)),IF(INDEX('AFA Rates'!$C$5:$C$1004,$T920)="","",INDEX('AFA Rates'!$C$5:$C$1004,$T920))))</f>
        <v/>
      </c>
      <c r="E920" s="88">
        <f>IF($T920="","",IF($S920="S",IF(""="","",""),IF(INDEX('AFA Rates'!$D$5:$D$1004,$T920)="","",INDEX('AFA Rates'!$D$5:$D$1004,$T920))))</f>
        <v/>
      </c>
      <c r="F920" s="79">
        <f>IF($T920="","",IF($S920="S",IF(INDEX(Firms!$O$5:$O$1004,$T920)="","",INDEX(Firms!$O$5:$O$1004,$T920)),IF(INDEX('AFA Rates'!$O$5:$O$1004,$T920)="","",INDEX('AFA Rates'!$O$5:$O$1004,$T920))))</f>
        <v/>
      </c>
      <c r="G920" s="50">
        <f>IF($T920="","",IF($S920="S",IF(INDEX(Firms!$F$5:$F$1004,$T920)="","",INDEX(Firms!$F$5:$F$1004,$T920)),IF(INDEX('AFA Rates'!$E$5:$E$1004,$T920)="","",INDEX('AFA Rates'!$E$5:$E$1004,$T920))))</f>
        <v/>
      </c>
      <c r="H920" s="50">
        <f>IF($T920="","",IF($S920="S",IF(INDEX(Firms!$G$5:$G$1004,$T920)="","",INDEX(Firms!$G$5:$G$1004,$T920)),IF(INDEX('AFA Rates'!$F$5:$F$1004,$T920)="","",INDEX('AFA Rates'!$F$5:$F$1004,$T920))))</f>
        <v/>
      </c>
      <c r="I920" s="50">
        <f>IF($T920="","",IF($S920="S",IF(INDEX(Firms!$H$5:$H$1004,$T920)="","",INDEX(Firms!$H$5:$H$1004,$T920)),IF(INDEX('AFA Rates'!$G$5:$G$1004,$T920)="","",INDEX('AFA Rates'!$G$5:$G$1004,$T920))))</f>
        <v/>
      </c>
      <c r="J920" s="50">
        <f>IF($T920="","",IF($S920="S",IF(INDEX(Firms!$I$5:$I$1004,$T920)="","",INDEX(Firms!$I$5:$I$1004,$T920)),IF(INDEX('AFA Rates'!$H$5:$H$1004,$T920)="","",INDEX('AFA Rates'!$H$5:$H$1004,$T920))))</f>
        <v/>
      </c>
      <c r="K920" s="50">
        <f>IF($T920="","",IF($S920="S",IF(INDEX(Firms!$J$5:$J$1004,$T920)="","",INDEX(Firms!$J$5:$J$1004,$T920)),IF(INDEX('AFA Rates'!$I$5:$I$1004,$T920)="","",INDEX('AFA Rates'!$I$5:$I$1004,$T920))))</f>
        <v/>
      </c>
      <c r="L920" s="50">
        <f>IF($T920="","",IF($S920="S",IF(INDEX(Firms!$K$5:$K$1004,$T920)="","",INDEX(Firms!$K$5:$K$1004,$T920)),IF(INDEX('AFA Rates'!$J$5:$J$1004,$T920)="","",INDEX('AFA Rates'!$J$5:$J$1004,$T920))))</f>
        <v/>
      </c>
      <c r="M920" s="50">
        <f>IF($T920="","",IF($S920="S",IF(INDEX(Firms!$L$5:$L$1004,$T920)="","",INDEX(Firms!$L$5:$L$1004,$T920)),IF(INDEX('AFA Rates'!$K$5:$K$1004,$T920)="","",INDEX('AFA Rates'!$K$5:$K$1004,$T920))))</f>
        <v/>
      </c>
      <c r="N920" s="50">
        <f>IF($T920="","",IF($S920="S",IF(INDEX(Firms!$M$5:$M$1004,$T920)="","",INDEX(Firms!$M$5:$M$1004,$T920)),IF(INDEX('AFA Rates'!$L$5:$L$1004,$T920)="","",INDEX('AFA Rates'!$L$5:$L$1004,$T920))))</f>
        <v/>
      </c>
      <c r="O920" s="78">
        <f>IF(OR($T920="",$U920=""),"",IF(INDEX(Firms!$C$5:$C$1004,$U920)="","",INDEX(Firms!$C$5:$C$1004,$U920)))</f>
        <v/>
      </c>
      <c r="P920" s="79">
        <f>IF(OR($T920="",$U920=""),"",IF(INDEX(Firms!$N$5:$N$1004,$U920)="","",INDEX(Firms!$N$5:$N$1004,$U920)))</f>
        <v/>
      </c>
      <c r="Q920" s="78">
        <f>IF($T920="","",IF($S920="S",IF(INDEX(Firms!$T$5:$T$1004,$T920)="","",INDEX(Firms!$T$5:$T$1004,$T920)),IF(INDEX('AFA Rates'!$M$5:$M$1004,$T920)="","",INDEX('AFA Rates'!$M$5:$M$1004,$T920))))</f>
        <v/>
      </c>
      <c r="S920">
        <f>IF(916&lt;=$S$2,"S",IF(916&lt;=$S$2+$T$2,"A",""))</f>
        <v/>
      </c>
      <c r="T920">
        <f>IF(S920="S",MATCH(916,Firms!$W$5:$W$1004,0),IF(S920="A",IFERROR(MATCH(916-$S$2,'AFA Rates'!$R$5:$R$1004,0),""),""))</f>
        <v/>
      </c>
      <c r="U920">
        <f>IF(S920="S",T920,IF(AND(S920="A",T920&lt;&gt;""),IFERROR(MATCH(INDEX('AFA Rates'!$A$5:$A$1004,T920),Firms!$A$5:$A$1004,0),""),""))</f>
        <v/>
      </c>
    </row>
    <row r="921">
      <c r="A921" s="78">
        <f>IF($T921="","",IF($S921="S",IF(INDEX(Firms!$A$5:$A$1004,$T921)="","",INDEX(Firms!$A$5:$A$1004,$T921)),IF(INDEX('AFA Rates'!$A$5:$A$1004,$T921)="","",INDEX('AFA Rates'!$A$5:$A$1004,$T921))))</f>
        <v/>
      </c>
      <c r="B921" s="79">
        <f>IF(OR($T921="",$U921=""),IF($T921="","","Not on Firms tab"),INDEX(Firms!$B$5:$B$1004,$U921)&amp;"")</f>
        <v/>
      </c>
      <c r="C921" s="78">
        <f>IF($T921="","",IF($S921="S","Standard",INDEX('AFA Rates'!$B$5:$B$1004,$T921)&amp;""))</f>
        <v/>
      </c>
      <c r="D921" s="88">
        <f>IF($T921="","",IF($S921="S",IF(INDEX(Firms!$E$5:$E$1004,$T921)="","",INDEX(Firms!$E$5:$E$1004,$T921)),IF(INDEX('AFA Rates'!$C$5:$C$1004,$T921)="","",INDEX('AFA Rates'!$C$5:$C$1004,$T921))))</f>
        <v/>
      </c>
      <c r="E921" s="88">
        <f>IF($T921="","",IF($S921="S",IF(""="","",""),IF(INDEX('AFA Rates'!$D$5:$D$1004,$T921)="","",INDEX('AFA Rates'!$D$5:$D$1004,$T921))))</f>
        <v/>
      </c>
      <c r="F921" s="79">
        <f>IF($T921="","",IF($S921="S",IF(INDEX(Firms!$O$5:$O$1004,$T921)="","",INDEX(Firms!$O$5:$O$1004,$T921)),IF(INDEX('AFA Rates'!$O$5:$O$1004,$T921)="","",INDEX('AFA Rates'!$O$5:$O$1004,$T921))))</f>
        <v/>
      </c>
      <c r="G921" s="50">
        <f>IF($T921="","",IF($S921="S",IF(INDEX(Firms!$F$5:$F$1004,$T921)="","",INDEX(Firms!$F$5:$F$1004,$T921)),IF(INDEX('AFA Rates'!$E$5:$E$1004,$T921)="","",INDEX('AFA Rates'!$E$5:$E$1004,$T921))))</f>
        <v/>
      </c>
      <c r="H921" s="50">
        <f>IF($T921="","",IF($S921="S",IF(INDEX(Firms!$G$5:$G$1004,$T921)="","",INDEX(Firms!$G$5:$G$1004,$T921)),IF(INDEX('AFA Rates'!$F$5:$F$1004,$T921)="","",INDEX('AFA Rates'!$F$5:$F$1004,$T921))))</f>
        <v/>
      </c>
      <c r="I921" s="50">
        <f>IF($T921="","",IF($S921="S",IF(INDEX(Firms!$H$5:$H$1004,$T921)="","",INDEX(Firms!$H$5:$H$1004,$T921)),IF(INDEX('AFA Rates'!$G$5:$G$1004,$T921)="","",INDEX('AFA Rates'!$G$5:$G$1004,$T921))))</f>
        <v/>
      </c>
      <c r="J921" s="50">
        <f>IF($T921="","",IF($S921="S",IF(INDEX(Firms!$I$5:$I$1004,$T921)="","",INDEX(Firms!$I$5:$I$1004,$T921)),IF(INDEX('AFA Rates'!$H$5:$H$1004,$T921)="","",INDEX('AFA Rates'!$H$5:$H$1004,$T921))))</f>
        <v/>
      </c>
      <c r="K921" s="50">
        <f>IF($T921="","",IF($S921="S",IF(INDEX(Firms!$J$5:$J$1004,$T921)="","",INDEX(Firms!$J$5:$J$1004,$T921)),IF(INDEX('AFA Rates'!$I$5:$I$1004,$T921)="","",INDEX('AFA Rates'!$I$5:$I$1004,$T921))))</f>
        <v/>
      </c>
      <c r="L921" s="50">
        <f>IF($T921="","",IF($S921="S",IF(INDEX(Firms!$K$5:$K$1004,$T921)="","",INDEX(Firms!$K$5:$K$1004,$T921)),IF(INDEX('AFA Rates'!$J$5:$J$1004,$T921)="","",INDEX('AFA Rates'!$J$5:$J$1004,$T921))))</f>
        <v/>
      </c>
      <c r="M921" s="50">
        <f>IF($T921="","",IF($S921="S",IF(INDEX(Firms!$L$5:$L$1004,$T921)="","",INDEX(Firms!$L$5:$L$1004,$T921)),IF(INDEX('AFA Rates'!$K$5:$K$1004,$T921)="","",INDEX('AFA Rates'!$K$5:$K$1004,$T921))))</f>
        <v/>
      </c>
      <c r="N921" s="50">
        <f>IF($T921="","",IF($S921="S",IF(INDEX(Firms!$M$5:$M$1004,$T921)="","",INDEX(Firms!$M$5:$M$1004,$T921)),IF(INDEX('AFA Rates'!$L$5:$L$1004,$T921)="","",INDEX('AFA Rates'!$L$5:$L$1004,$T921))))</f>
        <v/>
      </c>
      <c r="O921" s="78">
        <f>IF(OR($T921="",$U921=""),"",IF(INDEX(Firms!$C$5:$C$1004,$U921)="","",INDEX(Firms!$C$5:$C$1004,$U921)))</f>
        <v/>
      </c>
      <c r="P921" s="79">
        <f>IF(OR($T921="",$U921=""),"",IF(INDEX(Firms!$N$5:$N$1004,$U921)="","",INDEX(Firms!$N$5:$N$1004,$U921)))</f>
        <v/>
      </c>
      <c r="Q921" s="78">
        <f>IF($T921="","",IF($S921="S",IF(INDEX(Firms!$T$5:$T$1004,$T921)="","",INDEX(Firms!$T$5:$T$1004,$T921)),IF(INDEX('AFA Rates'!$M$5:$M$1004,$T921)="","",INDEX('AFA Rates'!$M$5:$M$1004,$T921))))</f>
        <v/>
      </c>
      <c r="S921">
        <f>IF(917&lt;=$S$2,"S",IF(917&lt;=$S$2+$T$2,"A",""))</f>
        <v/>
      </c>
      <c r="T921">
        <f>IF(S921="S",MATCH(917,Firms!$W$5:$W$1004,0),IF(S921="A",IFERROR(MATCH(917-$S$2,'AFA Rates'!$R$5:$R$1004,0),""),""))</f>
        <v/>
      </c>
      <c r="U921">
        <f>IF(S921="S",T921,IF(AND(S921="A",T921&lt;&gt;""),IFERROR(MATCH(INDEX('AFA Rates'!$A$5:$A$1004,T921),Firms!$A$5:$A$1004,0),""),""))</f>
        <v/>
      </c>
    </row>
    <row r="922">
      <c r="A922" s="78">
        <f>IF($T922="","",IF($S922="S",IF(INDEX(Firms!$A$5:$A$1004,$T922)="","",INDEX(Firms!$A$5:$A$1004,$T922)),IF(INDEX('AFA Rates'!$A$5:$A$1004,$T922)="","",INDEX('AFA Rates'!$A$5:$A$1004,$T922))))</f>
        <v/>
      </c>
      <c r="B922" s="79">
        <f>IF(OR($T922="",$U922=""),IF($T922="","","Not on Firms tab"),INDEX(Firms!$B$5:$B$1004,$U922)&amp;"")</f>
        <v/>
      </c>
      <c r="C922" s="78">
        <f>IF($T922="","",IF($S922="S","Standard",INDEX('AFA Rates'!$B$5:$B$1004,$T922)&amp;""))</f>
        <v/>
      </c>
      <c r="D922" s="88">
        <f>IF($T922="","",IF($S922="S",IF(INDEX(Firms!$E$5:$E$1004,$T922)="","",INDEX(Firms!$E$5:$E$1004,$T922)),IF(INDEX('AFA Rates'!$C$5:$C$1004,$T922)="","",INDEX('AFA Rates'!$C$5:$C$1004,$T922))))</f>
        <v/>
      </c>
      <c r="E922" s="88">
        <f>IF($T922="","",IF($S922="S",IF(""="","",""),IF(INDEX('AFA Rates'!$D$5:$D$1004,$T922)="","",INDEX('AFA Rates'!$D$5:$D$1004,$T922))))</f>
        <v/>
      </c>
      <c r="F922" s="79">
        <f>IF($T922="","",IF($S922="S",IF(INDEX(Firms!$O$5:$O$1004,$T922)="","",INDEX(Firms!$O$5:$O$1004,$T922)),IF(INDEX('AFA Rates'!$O$5:$O$1004,$T922)="","",INDEX('AFA Rates'!$O$5:$O$1004,$T922))))</f>
        <v/>
      </c>
      <c r="G922" s="50">
        <f>IF($T922="","",IF($S922="S",IF(INDEX(Firms!$F$5:$F$1004,$T922)="","",INDEX(Firms!$F$5:$F$1004,$T922)),IF(INDEX('AFA Rates'!$E$5:$E$1004,$T922)="","",INDEX('AFA Rates'!$E$5:$E$1004,$T922))))</f>
        <v/>
      </c>
      <c r="H922" s="50">
        <f>IF($T922="","",IF($S922="S",IF(INDEX(Firms!$G$5:$G$1004,$T922)="","",INDEX(Firms!$G$5:$G$1004,$T922)),IF(INDEX('AFA Rates'!$F$5:$F$1004,$T922)="","",INDEX('AFA Rates'!$F$5:$F$1004,$T922))))</f>
        <v/>
      </c>
      <c r="I922" s="50">
        <f>IF($T922="","",IF($S922="S",IF(INDEX(Firms!$H$5:$H$1004,$T922)="","",INDEX(Firms!$H$5:$H$1004,$T922)),IF(INDEX('AFA Rates'!$G$5:$G$1004,$T922)="","",INDEX('AFA Rates'!$G$5:$G$1004,$T922))))</f>
        <v/>
      </c>
      <c r="J922" s="50">
        <f>IF($T922="","",IF($S922="S",IF(INDEX(Firms!$I$5:$I$1004,$T922)="","",INDEX(Firms!$I$5:$I$1004,$T922)),IF(INDEX('AFA Rates'!$H$5:$H$1004,$T922)="","",INDEX('AFA Rates'!$H$5:$H$1004,$T922))))</f>
        <v/>
      </c>
      <c r="K922" s="50">
        <f>IF($T922="","",IF($S922="S",IF(INDEX(Firms!$J$5:$J$1004,$T922)="","",INDEX(Firms!$J$5:$J$1004,$T922)),IF(INDEX('AFA Rates'!$I$5:$I$1004,$T922)="","",INDEX('AFA Rates'!$I$5:$I$1004,$T922))))</f>
        <v/>
      </c>
      <c r="L922" s="50">
        <f>IF($T922="","",IF($S922="S",IF(INDEX(Firms!$K$5:$K$1004,$T922)="","",INDEX(Firms!$K$5:$K$1004,$T922)),IF(INDEX('AFA Rates'!$J$5:$J$1004,$T922)="","",INDEX('AFA Rates'!$J$5:$J$1004,$T922))))</f>
        <v/>
      </c>
      <c r="M922" s="50">
        <f>IF($T922="","",IF($S922="S",IF(INDEX(Firms!$L$5:$L$1004,$T922)="","",INDEX(Firms!$L$5:$L$1004,$T922)),IF(INDEX('AFA Rates'!$K$5:$K$1004,$T922)="","",INDEX('AFA Rates'!$K$5:$K$1004,$T922))))</f>
        <v/>
      </c>
      <c r="N922" s="50">
        <f>IF($T922="","",IF($S922="S",IF(INDEX(Firms!$M$5:$M$1004,$T922)="","",INDEX(Firms!$M$5:$M$1004,$T922)),IF(INDEX('AFA Rates'!$L$5:$L$1004,$T922)="","",INDEX('AFA Rates'!$L$5:$L$1004,$T922))))</f>
        <v/>
      </c>
      <c r="O922" s="78">
        <f>IF(OR($T922="",$U922=""),"",IF(INDEX(Firms!$C$5:$C$1004,$U922)="","",INDEX(Firms!$C$5:$C$1004,$U922)))</f>
        <v/>
      </c>
      <c r="P922" s="79">
        <f>IF(OR($T922="",$U922=""),"",IF(INDEX(Firms!$N$5:$N$1004,$U922)="","",INDEX(Firms!$N$5:$N$1004,$U922)))</f>
        <v/>
      </c>
      <c r="Q922" s="78">
        <f>IF($T922="","",IF($S922="S",IF(INDEX(Firms!$T$5:$T$1004,$T922)="","",INDEX(Firms!$T$5:$T$1004,$T922)),IF(INDEX('AFA Rates'!$M$5:$M$1004,$T922)="","",INDEX('AFA Rates'!$M$5:$M$1004,$T922))))</f>
        <v/>
      </c>
      <c r="S922">
        <f>IF(918&lt;=$S$2,"S",IF(918&lt;=$S$2+$T$2,"A",""))</f>
        <v/>
      </c>
      <c r="T922">
        <f>IF(S922="S",MATCH(918,Firms!$W$5:$W$1004,0),IF(S922="A",IFERROR(MATCH(918-$S$2,'AFA Rates'!$R$5:$R$1004,0),""),""))</f>
        <v/>
      </c>
      <c r="U922">
        <f>IF(S922="S",T922,IF(AND(S922="A",T922&lt;&gt;""),IFERROR(MATCH(INDEX('AFA Rates'!$A$5:$A$1004,T922),Firms!$A$5:$A$1004,0),""),""))</f>
        <v/>
      </c>
    </row>
    <row r="923">
      <c r="A923" s="78">
        <f>IF($T923="","",IF($S923="S",IF(INDEX(Firms!$A$5:$A$1004,$T923)="","",INDEX(Firms!$A$5:$A$1004,$T923)),IF(INDEX('AFA Rates'!$A$5:$A$1004,$T923)="","",INDEX('AFA Rates'!$A$5:$A$1004,$T923))))</f>
        <v/>
      </c>
      <c r="B923" s="79">
        <f>IF(OR($T923="",$U923=""),IF($T923="","","Not on Firms tab"),INDEX(Firms!$B$5:$B$1004,$U923)&amp;"")</f>
        <v/>
      </c>
      <c r="C923" s="78">
        <f>IF($T923="","",IF($S923="S","Standard",INDEX('AFA Rates'!$B$5:$B$1004,$T923)&amp;""))</f>
        <v/>
      </c>
      <c r="D923" s="88">
        <f>IF($T923="","",IF($S923="S",IF(INDEX(Firms!$E$5:$E$1004,$T923)="","",INDEX(Firms!$E$5:$E$1004,$T923)),IF(INDEX('AFA Rates'!$C$5:$C$1004,$T923)="","",INDEX('AFA Rates'!$C$5:$C$1004,$T923))))</f>
        <v/>
      </c>
      <c r="E923" s="88">
        <f>IF($T923="","",IF($S923="S",IF(""="","",""),IF(INDEX('AFA Rates'!$D$5:$D$1004,$T923)="","",INDEX('AFA Rates'!$D$5:$D$1004,$T923))))</f>
        <v/>
      </c>
      <c r="F923" s="79">
        <f>IF($T923="","",IF($S923="S",IF(INDEX(Firms!$O$5:$O$1004,$T923)="","",INDEX(Firms!$O$5:$O$1004,$T923)),IF(INDEX('AFA Rates'!$O$5:$O$1004,$T923)="","",INDEX('AFA Rates'!$O$5:$O$1004,$T923))))</f>
        <v/>
      </c>
      <c r="G923" s="50">
        <f>IF($T923="","",IF($S923="S",IF(INDEX(Firms!$F$5:$F$1004,$T923)="","",INDEX(Firms!$F$5:$F$1004,$T923)),IF(INDEX('AFA Rates'!$E$5:$E$1004,$T923)="","",INDEX('AFA Rates'!$E$5:$E$1004,$T923))))</f>
        <v/>
      </c>
      <c r="H923" s="50">
        <f>IF($T923="","",IF($S923="S",IF(INDEX(Firms!$G$5:$G$1004,$T923)="","",INDEX(Firms!$G$5:$G$1004,$T923)),IF(INDEX('AFA Rates'!$F$5:$F$1004,$T923)="","",INDEX('AFA Rates'!$F$5:$F$1004,$T923))))</f>
        <v/>
      </c>
      <c r="I923" s="50">
        <f>IF($T923="","",IF($S923="S",IF(INDEX(Firms!$H$5:$H$1004,$T923)="","",INDEX(Firms!$H$5:$H$1004,$T923)),IF(INDEX('AFA Rates'!$G$5:$G$1004,$T923)="","",INDEX('AFA Rates'!$G$5:$G$1004,$T923))))</f>
        <v/>
      </c>
      <c r="J923" s="50">
        <f>IF($T923="","",IF($S923="S",IF(INDEX(Firms!$I$5:$I$1004,$T923)="","",INDEX(Firms!$I$5:$I$1004,$T923)),IF(INDEX('AFA Rates'!$H$5:$H$1004,$T923)="","",INDEX('AFA Rates'!$H$5:$H$1004,$T923))))</f>
        <v/>
      </c>
      <c r="K923" s="50">
        <f>IF($T923="","",IF($S923="S",IF(INDEX(Firms!$J$5:$J$1004,$T923)="","",INDEX(Firms!$J$5:$J$1004,$T923)),IF(INDEX('AFA Rates'!$I$5:$I$1004,$T923)="","",INDEX('AFA Rates'!$I$5:$I$1004,$T923))))</f>
        <v/>
      </c>
      <c r="L923" s="50">
        <f>IF($T923="","",IF($S923="S",IF(INDEX(Firms!$K$5:$K$1004,$T923)="","",INDEX(Firms!$K$5:$K$1004,$T923)),IF(INDEX('AFA Rates'!$J$5:$J$1004,$T923)="","",INDEX('AFA Rates'!$J$5:$J$1004,$T923))))</f>
        <v/>
      </c>
      <c r="M923" s="50">
        <f>IF($T923="","",IF($S923="S",IF(INDEX(Firms!$L$5:$L$1004,$T923)="","",INDEX(Firms!$L$5:$L$1004,$T923)),IF(INDEX('AFA Rates'!$K$5:$K$1004,$T923)="","",INDEX('AFA Rates'!$K$5:$K$1004,$T923))))</f>
        <v/>
      </c>
      <c r="N923" s="50">
        <f>IF($T923="","",IF($S923="S",IF(INDEX(Firms!$M$5:$M$1004,$T923)="","",INDEX(Firms!$M$5:$M$1004,$T923)),IF(INDEX('AFA Rates'!$L$5:$L$1004,$T923)="","",INDEX('AFA Rates'!$L$5:$L$1004,$T923))))</f>
        <v/>
      </c>
      <c r="O923" s="78">
        <f>IF(OR($T923="",$U923=""),"",IF(INDEX(Firms!$C$5:$C$1004,$U923)="","",INDEX(Firms!$C$5:$C$1004,$U923)))</f>
        <v/>
      </c>
      <c r="P923" s="79">
        <f>IF(OR($T923="",$U923=""),"",IF(INDEX(Firms!$N$5:$N$1004,$U923)="","",INDEX(Firms!$N$5:$N$1004,$U923)))</f>
        <v/>
      </c>
      <c r="Q923" s="78">
        <f>IF($T923="","",IF($S923="S",IF(INDEX(Firms!$T$5:$T$1004,$T923)="","",INDEX(Firms!$T$5:$T$1004,$T923)),IF(INDEX('AFA Rates'!$M$5:$M$1004,$T923)="","",INDEX('AFA Rates'!$M$5:$M$1004,$T923))))</f>
        <v/>
      </c>
      <c r="S923">
        <f>IF(919&lt;=$S$2,"S",IF(919&lt;=$S$2+$T$2,"A",""))</f>
        <v/>
      </c>
      <c r="T923">
        <f>IF(S923="S",MATCH(919,Firms!$W$5:$W$1004,0),IF(S923="A",IFERROR(MATCH(919-$S$2,'AFA Rates'!$R$5:$R$1004,0),""),""))</f>
        <v/>
      </c>
      <c r="U923">
        <f>IF(S923="S",T923,IF(AND(S923="A",T923&lt;&gt;""),IFERROR(MATCH(INDEX('AFA Rates'!$A$5:$A$1004,T923),Firms!$A$5:$A$1004,0),""),""))</f>
        <v/>
      </c>
    </row>
    <row r="924">
      <c r="A924" s="78">
        <f>IF($T924="","",IF($S924="S",IF(INDEX(Firms!$A$5:$A$1004,$T924)="","",INDEX(Firms!$A$5:$A$1004,$T924)),IF(INDEX('AFA Rates'!$A$5:$A$1004,$T924)="","",INDEX('AFA Rates'!$A$5:$A$1004,$T924))))</f>
        <v/>
      </c>
      <c r="B924" s="79">
        <f>IF(OR($T924="",$U924=""),IF($T924="","","Not on Firms tab"),INDEX(Firms!$B$5:$B$1004,$U924)&amp;"")</f>
        <v/>
      </c>
      <c r="C924" s="78">
        <f>IF($T924="","",IF($S924="S","Standard",INDEX('AFA Rates'!$B$5:$B$1004,$T924)&amp;""))</f>
        <v/>
      </c>
      <c r="D924" s="88">
        <f>IF($T924="","",IF($S924="S",IF(INDEX(Firms!$E$5:$E$1004,$T924)="","",INDEX(Firms!$E$5:$E$1004,$T924)),IF(INDEX('AFA Rates'!$C$5:$C$1004,$T924)="","",INDEX('AFA Rates'!$C$5:$C$1004,$T924))))</f>
        <v/>
      </c>
      <c r="E924" s="88">
        <f>IF($T924="","",IF($S924="S",IF(""="","",""),IF(INDEX('AFA Rates'!$D$5:$D$1004,$T924)="","",INDEX('AFA Rates'!$D$5:$D$1004,$T924))))</f>
        <v/>
      </c>
      <c r="F924" s="79">
        <f>IF($T924="","",IF($S924="S",IF(INDEX(Firms!$O$5:$O$1004,$T924)="","",INDEX(Firms!$O$5:$O$1004,$T924)),IF(INDEX('AFA Rates'!$O$5:$O$1004,$T924)="","",INDEX('AFA Rates'!$O$5:$O$1004,$T924))))</f>
        <v/>
      </c>
      <c r="G924" s="50">
        <f>IF($T924="","",IF($S924="S",IF(INDEX(Firms!$F$5:$F$1004,$T924)="","",INDEX(Firms!$F$5:$F$1004,$T924)),IF(INDEX('AFA Rates'!$E$5:$E$1004,$T924)="","",INDEX('AFA Rates'!$E$5:$E$1004,$T924))))</f>
        <v/>
      </c>
      <c r="H924" s="50">
        <f>IF($T924="","",IF($S924="S",IF(INDEX(Firms!$G$5:$G$1004,$T924)="","",INDEX(Firms!$G$5:$G$1004,$T924)),IF(INDEX('AFA Rates'!$F$5:$F$1004,$T924)="","",INDEX('AFA Rates'!$F$5:$F$1004,$T924))))</f>
        <v/>
      </c>
      <c r="I924" s="50">
        <f>IF($T924="","",IF($S924="S",IF(INDEX(Firms!$H$5:$H$1004,$T924)="","",INDEX(Firms!$H$5:$H$1004,$T924)),IF(INDEX('AFA Rates'!$G$5:$G$1004,$T924)="","",INDEX('AFA Rates'!$G$5:$G$1004,$T924))))</f>
        <v/>
      </c>
      <c r="J924" s="50">
        <f>IF($T924="","",IF($S924="S",IF(INDEX(Firms!$I$5:$I$1004,$T924)="","",INDEX(Firms!$I$5:$I$1004,$T924)),IF(INDEX('AFA Rates'!$H$5:$H$1004,$T924)="","",INDEX('AFA Rates'!$H$5:$H$1004,$T924))))</f>
        <v/>
      </c>
      <c r="K924" s="50">
        <f>IF($T924="","",IF($S924="S",IF(INDEX(Firms!$J$5:$J$1004,$T924)="","",INDEX(Firms!$J$5:$J$1004,$T924)),IF(INDEX('AFA Rates'!$I$5:$I$1004,$T924)="","",INDEX('AFA Rates'!$I$5:$I$1004,$T924))))</f>
        <v/>
      </c>
      <c r="L924" s="50">
        <f>IF($T924="","",IF($S924="S",IF(INDEX(Firms!$K$5:$K$1004,$T924)="","",INDEX(Firms!$K$5:$K$1004,$T924)),IF(INDEX('AFA Rates'!$J$5:$J$1004,$T924)="","",INDEX('AFA Rates'!$J$5:$J$1004,$T924))))</f>
        <v/>
      </c>
      <c r="M924" s="50">
        <f>IF($T924="","",IF($S924="S",IF(INDEX(Firms!$L$5:$L$1004,$T924)="","",INDEX(Firms!$L$5:$L$1004,$T924)),IF(INDEX('AFA Rates'!$K$5:$K$1004,$T924)="","",INDEX('AFA Rates'!$K$5:$K$1004,$T924))))</f>
        <v/>
      </c>
      <c r="N924" s="50">
        <f>IF($T924="","",IF($S924="S",IF(INDEX(Firms!$M$5:$M$1004,$T924)="","",INDEX(Firms!$M$5:$M$1004,$T924)),IF(INDEX('AFA Rates'!$L$5:$L$1004,$T924)="","",INDEX('AFA Rates'!$L$5:$L$1004,$T924))))</f>
        <v/>
      </c>
      <c r="O924" s="78">
        <f>IF(OR($T924="",$U924=""),"",IF(INDEX(Firms!$C$5:$C$1004,$U924)="","",INDEX(Firms!$C$5:$C$1004,$U924)))</f>
        <v/>
      </c>
      <c r="P924" s="79">
        <f>IF(OR($T924="",$U924=""),"",IF(INDEX(Firms!$N$5:$N$1004,$U924)="","",INDEX(Firms!$N$5:$N$1004,$U924)))</f>
        <v/>
      </c>
      <c r="Q924" s="78">
        <f>IF($T924="","",IF($S924="S",IF(INDEX(Firms!$T$5:$T$1004,$T924)="","",INDEX(Firms!$T$5:$T$1004,$T924)),IF(INDEX('AFA Rates'!$M$5:$M$1004,$T924)="","",INDEX('AFA Rates'!$M$5:$M$1004,$T924))))</f>
        <v/>
      </c>
      <c r="S924">
        <f>IF(920&lt;=$S$2,"S",IF(920&lt;=$S$2+$T$2,"A",""))</f>
        <v/>
      </c>
      <c r="T924">
        <f>IF(S924="S",MATCH(920,Firms!$W$5:$W$1004,0),IF(S924="A",IFERROR(MATCH(920-$S$2,'AFA Rates'!$R$5:$R$1004,0),""),""))</f>
        <v/>
      </c>
      <c r="U924">
        <f>IF(S924="S",T924,IF(AND(S924="A",T924&lt;&gt;""),IFERROR(MATCH(INDEX('AFA Rates'!$A$5:$A$1004,T924),Firms!$A$5:$A$1004,0),""),""))</f>
        <v/>
      </c>
    </row>
    <row r="925">
      <c r="A925" s="78">
        <f>IF($T925="","",IF($S925="S",IF(INDEX(Firms!$A$5:$A$1004,$T925)="","",INDEX(Firms!$A$5:$A$1004,$T925)),IF(INDEX('AFA Rates'!$A$5:$A$1004,$T925)="","",INDEX('AFA Rates'!$A$5:$A$1004,$T925))))</f>
        <v/>
      </c>
      <c r="B925" s="79">
        <f>IF(OR($T925="",$U925=""),IF($T925="","","Not on Firms tab"),INDEX(Firms!$B$5:$B$1004,$U925)&amp;"")</f>
        <v/>
      </c>
      <c r="C925" s="78">
        <f>IF($T925="","",IF($S925="S","Standard",INDEX('AFA Rates'!$B$5:$B$1004,$T925)&amp;""))</f>
        <v/>
      </c>
      <c r="D925" s="88">
        <f>IF($T925="","",IF($S925="S",IF(INDEX(Firms!$E$5:$E$1004,$T925)="","",INDEX(Firms!$E$5:$E$1004,$T925)),IF(INDEX('AFA Rates'!$C$5:$C$1004,$T925)="","",INDEX('AFA Rates'!$C$5:$C$1004,$T925))))</f>
        <v/>
      </c>
      <c r="E925" s="88">
        <f>IF($T925="","",IF($S925="S",IF(""="","",""),IF(INDEX('AFA Rates'!$D$5:$D$1004,$T925)="","",INDEX('AFA Rates'!$D$5:$D$1004,$T925))))</f>
        <v/>
      </c>
      <c r="F925" s="79">
        <f>IF($T925="","",IF($S925="S",IF(INDEX(Firms!$O$5:$O$1004,$T925)="","",INDEX(Firms!$O$5:$O$1004,$T925)),IF(INDEX('AFA Rates'!$O$5:$O$1004,$T925)="","",INDEX('AFA Rates'!$O$5:$O$1004,$T925))))</f>
        <v/>
      </c>
      <c r="G925" s="50">
        <f>IF($T925="","",IF($S925="S",IF(INDEX(Firms!$F$5:$F$1004,$T925)="","",INDEX(Firms!$F$5:$F$1004,$T925)),IF(INDEX('AFA Rates'!$E$5:$E$1004,$T925)="","",INDEX('AFA Rates'!$E$5:$E$1004,$T925))))</f>
        <v/>
      </c>
      <c r="H925" s="50">
        <f>IF($T925="","",IF($S925="S",IF(INDEX(Firms!$G$5:$G$1004,$T925)="","",INDEX(Firms!$G$5:$G$1004,$T925)),IF(INDEX('AFA Rates'!$F$5:$F$1004,$T925)="","",INDEX('AFA Rates'!$F$5:$F$1004,$T925))))</f>
        <v/>
      </c>
      <c r="I925" s="50">
        <f>IF($T925="","",IF($S925="S",IF(INDEX(Firms!$H$5:$H$1004,$T925)="","",INDEX(Firms!$H$5:$H$1004,$T925)),IF(INDEX('AFA Rates'!$G$5:$G$1004,$T925)="","",INDEX('AFA Rates'!$G$5:$G$1004,$T925))))</f>
        <v/>
      </c>
      <c r="J925" s="50">
        <f>IF($T925="","",IF($S925="S",IF(INDEX(Firms!$I$5:$I$1004,$T925)="","",INDEX(Firms!$I$5:$I$1004,$T925)),IF(INDEX('AFA Rates'!$H$5:$H$1004,$T925)="","",INDEX('AFA Rates'!$H$5:$H$1004,$T925))))</f>
        <v/>
      </c>
      <c r="K925" s="50">
        <f>IF($T925="","",IF($S925="S",IF(INDEX(Firms!$J$5:$J$1004,$T925)="","",INDEX(Firms!$J$5:$J$1004,$T925)),IF(INDEX('AFA Rates'!$I$5:$I$1004,$T925)="","",INDEX('AFA Rates'!$I$5:$I$1004,$T925))))</f>
        <v/>
      </c>
      <c r="L925" s="50">
        <f>IF($T925="","",IF($S925="S",IF(INDEX(Firms!$K$5:$K$1004,$T925)="","",INDEX(Firms!$K$5:$K$1004,$T925)),IF(INDEX('AFA Rates'!$J$5:$J$1004,$T925)="","",INDEX('AFA Rates'!$J$5:$J$1004,$T925))))</f>
        <v/>
      </c>
      <c r="M925" s="50">
        <f>IF($T925="","",IF($S925="S",IF(INDEX(Firms!$L$5:$L$1004,$T925)="","",INDEX(Firms!$L$5:$L$1004,$T925)),IF(INDEX('AFA Rates'!$K$5:$K$1004,$T925)="","",INDEX('AFA Rates'!$K$5:$K$1004,$T925))))</f>
        <v/>
      </c>
      <c r="N925" s="50">
        <f>IF($T925="","",IF($S925="S",IF(INDEX(Firms!$M$5:$M$1004,$T925)="","",INDEX(Firms!$M$5:$M$1004,$T925)),IF(INDEX('AFA Rates'!$L$5:$L$1004,$T925)="","",INDEX('AFA Rates'!$L$5:$L$1004,$T925))))</f>
        <v/>
      </c>
      <c r="O925" s="78">
        <f>IF(OR($T925="",$U925=""),"",IF(INDEX(Firms!$C$5:$C$1004,$U925)="","",INDEX(Firms!$C$5:$C$1004,$U925)))</f>
        <v/>
      </c>
      <c r="P925" s="79">
        <f>IF(OR($T925="",$U925=""),"",IF(INDEX(Firms!$N$5:$N$1004,$U925)="","",INDEX(Firms!$N$5:$N$1004,$U925)))</f>
        <v/>
      </c>
      <c r="Q925" s="78">
        <f>IF($T925="","",IF($S925="S",IF(INDEX(Firms!$T$5:$T$1004,$T925)="","",INDEX(Firms!$T$5:$T$1004,$T925)),IF(INDEX('AFA Rates'!$M$5:$M$1004,$T925)="","",INDEX('AFA Rates'!$M$5:$M$1004,$T925))))</f>
        <v/>
      </c>
      <c r="S925">
        <f>IF(921&lt;=$S$2,"S",IF(921&lt;=$S$2+$T$2,"A",""))</f>
        <v/>
      </c>
      <c r="T925">
        <f>IF(S925="S",MATCH(921,Firms!$W$5:$W$1004,0),IF(S925="A",IFERROR(MATCH(921-$S$2,'AFA Rates'!$R$5:$R$1004,0),""),""))</f>
        <v/>
      </c>
      <c r="U925">
        <f>IF(S925="S",T925,IF(AND(S925="A",T925&lt;&gt;""),IFERROR(MATCH(INDEX('AFA Rates'!$A$5:$A$1004,T925),Firms!$A$5:$A$1004,0),""),""))</f>
        <v/>
      </c>
    </row>
    <row r="926">
      <c r="A926" s="78">
        <f>IF($T926="","",IF($S926="S",IF(INDEX(Firms!$A$5:$A$1004,$T926)="","",INDEX(Firms!$A$5:$A$1004,$T926)),IF(INDEX('AFA Rates'!$A$5:$A$1004,$T926)="","",INDEX('AFA Rates'!$A$5:$A$1004,$T926))))</f>
        <v/>
      </c>
      <c r="B926" s="79">
        <f>IF(OR($T926="",$U926=""),IF($T926="","","Not on Firms tab"),INDEX(Firms!$B$5:$B$1004,$U926)&amp;"")</f>
        <v/>
      </c>
      <c r="C926" s="78">
        <f>IF($T926="","",IF($S926="S","Standard",INDEX('AFA Rates'!$B$5:$B$1004,$T926)&amp;""))</f>
        <v/>
      </c>
      <c r="D926" s="88">
        <f>IF($T926="","",IF($S926="S",IF(INDEX(Firms!$E$5:$E$1004,$T926)="","",INDEX(Firms!$E$5:$E$1004,$T926)),IF(INDEX('AFA Rates'!$C$5:$C$1004,$T926)="","",INDEX('AFA Rates'!$C$5:$C$1004,$T926))))</f>
        <v/>
      </c>
      <c r="E926" s="88">
        <f>IF($T926="","",IF($S926="S",IF(""="","",""),IF(INDEX('AFA Rates'!$D$5:$D$1004,$T926)="","",INDEX('AFA Rates'!$D$5:$D$1004,$T926))))</f>
        <v/>
      </c>
      <c r="F926" s="79">
        <f>IF($T926="","",IF($S926="S",IF(INDEX(Firms!$O$5:$O$1004,$T926)="","",INDEX(Firms!$O$5:$O$1004,$T926)),IF(INDEX('AFA Rates'!$O$5:$O$1004,$T926)="","",INDEX('AFA Rates'!$O$5:$O$1004,$T926))))</f>
        <v/>
      </c>
      <c r="G926" s="50">
        <f>IF($T926="","",IF($S926="S",IF(INDEX(Firms!$F$5:$F$1004,$T926)="","",INDEX(Firms!$F$5:$F$1004,$T926)),IF(INDEX('AFA Rates'!$E$5:$E$1004,$T926)="","",INDEX('AFA Rates'!$E$5:$E$1004,$T926))))</f>
        <v/>
      </c>
      <c r="H926" s="50">
        <f>IF($T926="","",IF($S926="S",IF(INDEX(Firms!$G$5:$G$1004,$T926)="","",INDEX(Firms!$G$5:$G$1004,$T926)),IF(INDEX('AFA Rates'!$F$5:$F$1004,$T926)="","",INDEX('AFA Rates'!$F$5:$F$1004,$T926))))</f>
        <v/>
      </c>
      <c r="I926" s="50">
        <f>IF($T926="","",IF($S926="S",IF(INDEX(Firms!$H$5:$H$1004,$T926)="","",INDEX(Firms!$H$5:$H$1004,$T926)),IF(INDEX('AFA Rates'!$G$5:$G$1004,$T926)="","",INDEX('AFA Rates'!$G$5:$G$1004,$T926))))</f>
        <v/>
      </c>
      <c r="J926" s="50">
        <f>IF($T926="","",IF($S926="S",IF(INDEX(Firms!$I$5:$I$1004,$T926)="","",INDEX(Firms!$I$5:$I$1004,$T926)),IF(INDEX('AFA Rates'!$H$5:$H$1004,$T926)="","",INDEX('AFA Rates'!$H$5:$H$1004,$T926))))</f>
        <v/>
      </c>
      <c r="K926" s="50">
        <f>IF($T926="","",IF($S926="S",IF(INDEX(Firms!$J$5:$J$1004,$T926)="","",INDEX(Firms!$J$5:$J$1004,$T926)),IF(INDEX('AFA Rates'!$I$5:$I$1004,$T926)="","",INDEX('AFA Rates'!$I$5:$I$1004,$T926))))</f>
        <v/>
      </c>
      <c r="L926" s="50">
        <f>IF($T926="","",IF($S926="S",IF(INDEX(Firms!$K$5:$K$1004,$T926)="","",INDEX(Firms!$K$5:$K$1004,$T926)),IF(INDEX('AFA Rates'!$J$5:$J$1004,$T926)="","",INDEX('AFA Rates'!$J$5:$J$1004,$T926))))</f>
        <v/>
      </c>
      <c r="M926" s="50">
        <f>IF($T926="","",IF($S926="S",IF(INDEX(Firms!$L$5:$L$1004,$T926)="","",INDEX(Firms!$L$5:$L$1004,$T926)),IF(INDEX('AFA Rates'!$K$5:$K$1004,$T926)="","",INDEX('AFA Rates'!$K$5:$K$1004,$T926))))</f>
        <v/>
      </c>
      <c r="N926" s="50">
        <f>IF($T926="","",IF($S926="S",IF(INDEX(Firms!$M$5:$M$1004,$T926)="","",INDEX(Firms!$M$5:$M$1004,$T926)),IF(INDEX('AFA Rates'!$L$5:$L$1004,$T926)="","",INDEX('AFA Rates'!$L$5:$L$1004,$T926))))</f>
        <v/>
      </c>
      <c r="O926" s="78">
        <f>IF(OR($T926="",$U926=""),"",IF(INDEX(Firms!$C$5:$C$1004,$U926)="","",INDEX(Firms!$C$5:$C$1004,$U926)))</f>
        <v/>
      </c>
      <c r="P926" s="79">
        <f>IF(OR($T926="",$U926=""),"",IF(INDEX(Firms!$N$5:$N$1004,$U926)="","",INDEX(Firms!$N$5:$N$1004,$U926)))</f>
        <v/>
      </c>
      <c r="Q926" s="78">
        <f>IF($T926="","",IF($S926="S",IF(INDEX(Firms!$T$5:$T$1004,$T926)="","",INDEX(Firms!$T$5:$T$1004,$T926)),IF(INDEX('AFA Rates'!$M$5:$M$1004,$T926)="","",INDEX('AFA Rates'!$M$5:$M$1004,$T926))))</f>
        <v/>
      </c>
      <c r="S926">
        <f>IF(922&lt;=$S$2,"S",IF(922&lt;=$S$2+$T$2,"A",""))</f>
        <v/>
      </c>
      <c r="T926">
        <f>IF(S926="S",MATCH(922,Firms!$W$5:$W$1004,0),IF(S926="A",IFERROR(MATCH(922-$S$2,'AFA Rates'!$R$5:$R$1004,0),""),""))</f>
        <v/>
      </c>
      <c r="U926">
        <f>IF(S926="S",T926,IF(AND(S926="A",T926&lt;&gt;""),IFERROR(MATCH(INDEX('AFA Rates'!$A$5:$A$1004,T926),Firms!$A$5:$A$1004,0),""),""))</f>
        <v/>
      </c>
    </row>
    <row r="927">
      <c r="A927" s="78">
        <f>IF($T927="","",IF($S927="S",IF(INDEX(Firms!$A$5:$A$1004,$T927)="","",INDEX(Firms!$A$5:$A$1004,$T927)),IF(INDEX('AFA Rates'!$A$5:$A$1004,$T927)="","",INDEX('AFA Rates'!$A$5:$A$1004,$T927))))</f>
        <v/>
      </c>
      <c r="B927" s="79">
        <f>IF(OR($T927="",$U927=""),IF($T927="","","Not on Firms tab"),INDEX(Firms!$B$5:$B$1004,$U927)&amp;"")</f>
        <v/>
      </c>
      <c r="C927" s="78">
        <f>IF($T927="","",IF($S927="S","Standard",INDEX('AFA Rates'!$B$5:$B$1004,$T927)&amp;""))</f>
        <v/>
      </c>
      <c r="D927" s="88">
        <f>IF($T927="","",IF($S927="S",IF(INDEX(Firms!$E$5:$E$1004,$T927)="","",INDEX(Firms!$E$5:$E$1004,$T927)),IF(INDEX('AFA Rates'!$C$5:$C$1004,$T927)="","",INDEX('AFA Rates'!$C$5:$C$1004,$T927))))</f>
        <v/>
      </c>
      <c r="E927" s="88">
        <f>IF($T927="","",IF($S927="S",IF(""="","",""),IF(INDEX('AFA Rates'!$D$5:$D$1004,$T927)="","",INDEX('AFA Rates'!$D$5:$D$1004,$T927))))</f>
        <v/>
      </c>
      <c r="F927" s="79">
        <f>IF($T927="","",IF($S927="S",IF(INDEX(Firms!$O$5:$O$1004,$T927)="","",INDEX(Firms!$O$5:$O$1004,$T927)),IF(INDEX('AFA Rates'!$O$5:$O$1004,$T927)="","",INDEX('AFA Rates'!$O$5:$O$1004,$T927))))</f>
        <v/>
      </c>
      <c r="G927" s="50">
        <f>IF($T927="","",IF($S927="S",IF(INDEX(Firms!$F$5:$F$1004,$T927)="","",INDEX(Firms!$F$5:$F$1004,$T927)),IF(INDEX('AFA Rates'!$E$5:$E$1004,$T927)="","",INDEX('AFA Rates'!$E$5:$E$1004,$T927))))</f>
        <v/>
      </c>
      <c r="H927" s="50">
        <f>IF($T927="","",IF($S927="S",IF(INDEX(Firms!$G$5:$G$1004,$T927)="","",INDEX(Firms!$G$5:$G$1004,$T927)),IF(INDEX('AFA Rates'!$F$5:$F$1004,$T927)="","",INDEX('AFA Rates'!$F$5:$F$1004,$T927))))</f>
        <v/>
      </c>
      <c r="I927" s="50">
        <f>IF($T927="","",IF($S927="S",IF(INDEX(Firms!$H$5:$H$1004,$T927)="","",INDEX(Firms!$H$5:$H$1004,$T927)),IF(INDEX('AFA Rates'!$G$5:$G$1004,$T927)="","",INDEX('AFA Rates'!$G$5:$G$1004,$T927))))</f>
        <v/>
      </c>
      <c r="J927" s="50">
        <f>IF($T927="","",IF($S927="S",IF(INDEX(Firms!$I$5:$I$1004,$T927)="","",INDEX(Firms!$I$5:$I$1004,$T927)),IF(INDEX('AFA Rates'!$H$5:$H$1004,$T927)="","",INDEX('AFA Rates'!$H$5:$H$1004,$T927))))</f>
        <v/>
      </c>
      <c r="K927" s="50">
        <f>IF($T927="","",IF($S927="S",IF(INDEX(Firms!$J$5:$J$1004,$T927)="","",INDEX(Firms!$J$5:$J$1004,$T927)),IF(INDEX('AFA Rates'!$I$5:$I$1004,$T927)="","",INDEX('AFA Rates'!$I$5:$I$1004,$T927))))</f>
        <v/>
      </c>
      <c r="L927" s="50">
        <f>IF($T927="","",IF($S927="S",IF(INDEX(Firms!$K$5:$K$1004,$T927)="","",INDEX(Firms!$K$5:$K$1004,$T927)),IF(INDEX('AFA Rates'!$J$5:$J$1004,$T927)="","",INDEX('AFA Rates'!$J$5:$J$1004,$T927))))</f>
        <v/>
      </c>
      <c r="M927" s="50">
        <f>IF($T927="","",IF($S927="S",IF(INDEX(Firms!$L$5:$L$1004,$T927)="","",INDEX(Firms!$L$5:$L$1004,$T927)),IF(INDEX('AFA Rates'!$K$5:$K$1004,$T927)="","",INDEX('AFA Rates'!$K$5:$K$1004,$T927))))</f>
        <v/>
      </c>
      <c r="N927" s="50">
        <f>IF($T927="","",IF($S927="S",IF(INDEX(Firms!$M$5:$M$1004,$T927)="","",INDEX(Firms!$M$5:$M$1004,$T927)),IF(INDEX('AFA Rates'!$L$5:$L$1004,$T927)="","",INDEX('AFA Rates'!$L$5:$L$1004,$T927))))</f>
        <v/>
      </c>
      <c r="O927" s="78">
        <f>IF(OR($T927="",$U927=""),"",IF(INDEX(Firms!$C$5:$C$1004,$U927)="","",INDEX(Firms!$C$5:$C$1004,$U927)))</f>
        <v/>
      </c>
      <c r="P927" s="79">
        <f>IF(OR($T927="",$U927=""),"",IF(INDEX(Firms!$N$5:$N$1004,$U927)="","",INDEX(Firms!$N$5:$N$1004,$U927)))</f>
        <v/>
      </c>
      <c r="Q927" s="78">
        <f>IF($T927="","",IF($S927="S",IF(INDEX(Firms!$T$5:$T$1004,$T927)="","",INDEX(Firms!$T$5:$T$1004,$T927)),IF(INDEX('AFA Rates'!$M$5:$M$1004,$T927)="","",INDEX('AFA Rates'!$M$5:$M$1004,$T927))))</f>
        <v/>
      </c>
      <c r="S927">
        <f>IF(923&lt;=$S$2,"S",IF(923&lt;=$S$2+$T$2,"A",""))</f>
        <v/>
      </c>
      <c r="T927">
        <f>IF(S927="S",MATCH(923,Firms!$W$5:$W$1004,0),IF(S927="A",IFERROR(MATCH(923-$S$2,'AFA Rates'!$R$5:$R$1004,0),""),""))</f>
        <v/>
      </c>
      <c r="U927">
        <f>IF(S927="S",T927,IF(AND(S927="A",T927&lt;&gt;""),IFERROR(MATCH(INDEX('AFA Rates'!$A$5:$A$1004,T927),Firms!$A$5:$A$1004,0),""),""))</f>
        <v/>
      </c>
    </row>
    <row r="928">
      <c r="A928" s="78">
        <f>IF($T928="","",IF($S928="S",IF(INDEX(Firms!$A$5:$A$1004,$T928)="","",INDEX(Firms!$A$5:$A$1004,$T928)),IF(INDEX('AFA Rates'!$A$5:$A$1004,$T928)="","",INDEX('AFA Rates'!$A$5:$A$1004,$T928))))</f>
        <v/>
      </c>
      <c r="B928" s="79">
        <f>IF(OR($T928="",$U928=""),IF($T928="","","Not on Firms tab"),INDEX(Firms!$B$5:$B$1004,$U928)&amp;"")</f>
        <v/>
      </c>
      <c r="C928" s="78">
        <f>IF($T928="","",IF($S928="S","Standard",INDEX('AFA Rates'!$B$5:$B$1004,$T928)&amp;""))</f>
        <v/>
      </c>
      <c r="D928" s="88">
        <f>IF($T928="","",IF($S928="S",IF(INDEX(Firms!$E$5:$E$1004,$T928)="","",INDEX(Firms!$E$5:$E$1004,$T928)),IF(INDEX('AFA Rates'!$C$5:$C$1004,$T928)="","",INDEX('AFA Rates'!$C$5:$C$1004,$T928))))</f>
        <v/>
      </c>
      <c r="E928" s="88">
        <f>IF($T928="","",IF($S928="S",IF(""="","",""),IF(INDEX('AFA Rates'!$D$5:$D$1004,$T928)="","",INDEX('AFA Rates'!$D$5:$D$1004,$T928))))</f>
        <v/>
      </c>
      <c r="F928" s="79">
        <f>IF($T928="","",IF($S928="S",IF(INDEX(Firms!$O$5:$O$1004,$T928)="","",INDEX(Firms!$O$5:$O$1004,$T928)),IF(INDEX('AFA Rates'!$O$5:$O$1004,$T928)="","",INDEX('AFA Rates'!$O$5:$O$1004,$T928))))</f>
        <v/>
      </c>
      <c r="G928" s="50">
        <f>IF($T928="","",IF($S928="S",IF(INDEX(Firms!$F$5:$F$1004,$T928)="","",INDEX(Firms!$F$5:$F$1004,$T928)),IF(INDEX('AFA Rates'!$E$5:$E$1004,$T928)="","",INDEX('AFA Rates'!$E$5:$E$1004,$T928))))</f>
        <v/>
      </c>
      <c r="H928" s="50">
        <f>IF($T928="","",IF($S928="S",IF(INDEX(Firms!$G$5:$G$1004,$T928)="","",INDEX(Firms!$G$5:$G$1004,$T928)),IF(INDEX('AFA Rates'!$F$5:$F$1004,$T928)="","",INDEX('AFA Rates'!$F$5:$F$1004,$T928))))</f>
        <v/>
      </c>
      <c r="I928" s="50">
        <f>IF($T928="","",IF($S928="S",IF(INDEX(Firms!$H$5:$H$1004,$T928)="","",INDEX(Firms!$H$5:$H$1004,$T928)),IF(INDEX('AFA Rates'!$G$5:$G$1004,$T928)="","",INDEX('AFA Rates'!$G$5:$G$1004,$T928))))</f>
        <v/>
      </c>
      <c r="J928" s="50">
        <f>IF($T928="","",IF($S928="S",IF(INDEX(Firms!$I$5:$I$1004,$T928)="","",INDEX(Firms!$I$5:$I$1004,$T928)),IF(INDEX('AFA Rates'!$H$5:$H$1004,$T928)="","",INDEX('AFA Rates'!$H$5:$H$1004,$T928))))</f>
        <v/>
      </c>
      <c r="K928" s="50">
        <f>IF($T928="","",IF($S928="S",IF(INDEX(Firms!$J$5:$J$1004,$T928)="","",INDEX(Firms!$J$5:$J$1004,$T928)),IF(INDEX('AFA Rates'!$I$5:$I$1004,$T928)="","",INDEX('AFA Rates'!$I$5:$I$1004,$T928))))</f>
        <v/>
      </c>
      <c r="L928" s="50">
        <f>IF($T928="","",IF($S928="S",IF(INDEX(Firms!$K$5:$K$1004,$T928)="","",INDEX(Firms!$K$5:$K$1004,$T928)),IF(INDEX('AFA Rates'!$J$5:$J$1004,$T928)="","",INDEX('AFA Rates'!$J$5:$J$1004,$T928))))</f>
        <v/>
      </c>
      <c r="M928" s="50">
        <f>IF($T928="","",IF($S928="S",IF(INDEX(Firms!$L$5:$L$1004,$T928)="","",INDEX(Firms!$L$5:$L$1004,$T928)),IF(INDEX('AFA Rates'!$K$5:$K$1004,$T928)="","",INDEX('AFA Rates'!$K$5:$K$1004,$T928))))</f>
        <v/>
      </c>
      <c r="N928" s="50">
        <f>IF($T928="","",IF($S928="S",IF(INDEX(Firms!$M$5:$M$1004,$T928)="","",INDEX(Firms!$M$5:$M$1004,$T928)),IF(INDEX('AFA Rates'!$L$5:$L$1004,$T928)="","",INDEX('AFA Rates'!$L$5:$L$1004,$T928))))</f>
        <v/>
      </c>
      <c r="O928" s="78">
        <f>IF(OR($T928="",$U928=""),"",IF(INDEX(Firms!$C$5:$C$1004,$U928)="","",INDEX(Firms!$C$5:$C$1004,$U928)))</f>
        <v/>
      </c>
      <c r="P928" s="79">
        <f>IF(OR($T928="",$U928=""),"",IF(INDEX(Firms!$N$5:$N$1004,$U928)="","",INDEX(Firms!$N$5:$N$1004,$U928)))</f>
        <v/>
      </c>
      <c r="Q928" s="78">
        <f>IF($T928="","",IF($S928="S",IF(INDEX(Firms!$T$5:$T$1004,$T928)="","",INDEX(Firms!$T$5:$T$1004,$T928)),IF(INDEX('AFA Rates'!$M$5:$M$1004,$T928)="","",INDEX('AFA Rates'!$M$5:$M$1004,$T928))))</f>
        <v/>
      </c>
      <c r="S928">
        <f>IF(924&lt;=$S$2,"S",IF(924&lt;=$S$2+$T$2,"A",""))</f>
        <v/>
      </c>
      <c r="T928">
        <f>IF(S928="S",MATCH(924,Firms!$W$5:$W$1004,0),IF(S928="A",IFERROR(MATCH(924-$S$2,'AFA Rates'!$R$5:$R$1004,0),""),""))</f>
        <v/>
      </c>
      <c r="U928">
        <f>IF(S928="S",T928,IF(AND(S928="A",T928&lt;&gt;""),IFERROR(MATCH(INDEX('AFA Rates'!$A$5:$A$1004,T928),Firms!$A$5:$A$1004,0),""),""))</f>
        <v/>
      </c>
    </row>
    <row r="929">
      <c r="A929" s="78">
        <f>IF($T929="","",IF($S929="S",IF(INDEX(Firms!$A$5:$A$1004,$T929)="","",INDEX(Firms!$A$5:$A$1004,$T929)),IF(INDEX('AFA Rates'!$A$5:$A$1004,$T929)="","",INDEX('AFA Rates'!$A$5:$A$1004,$T929))))</f>
        <v/>
      </c>
      <c r="B929" s="79">
        <f>IF(OR($T929="",$U929=""),IF($T929="","","Not on Firms tab"),INDEX(Firms!$B$5:$B$1004,$U929)&amp;"")</f>
        <v/>
      </c>
      <c r="C929" s="78">
        <f>IF($T929="","",IF($S929="S","Standard",INDEX('AFA Rates'!$B$5:$B$1004,$T929)&amp;""))</f>
        <v/>
      </c>
      <c r="D929" s="88">
        <f>IF($T929="","",IF($S929="S",IF(INDEX(Firms!$E$5:$E$1004,$T929)="","",INDEX(Firms!$E$5:$E$1004,$T929)),IF(INDEX('AFA Rates'!$C$5:$C$1004,$T929)="","",INDEX('AFA Rates'!$C$5:$C$1004,$T929))))</f>
        <v/>
      </c>
      <c r="E929" s="88">
        <f>IF($T929="","",IF($S929="S",IF(""="","",""),IF(INDEX('AFA Rates'!$D$5:$D$1004,$T929)="","",INDEX('AFA Rates'!$D$5:$D$1004,$T929))))</f>
        <v/>
      </c>
      <c r="F929" s="79">
        <f>IF($T929="","",IF($S929="S",IF(INDEX(Firms!$O$5:$O$1004,$T929)="","",INDEX(Firms!$O$5:$O$1004,$T929)),IF(INDEX('AFA Rates'!$O$5:$O$1004,$T929)="","",INDEX('AFA Rates'!$O$5:$O$1004,$T929))))</f>
        <v/>
      </c>
      <c r="G929" s="50">
        <f>IF($T929="","",IF($S929="S",IF(INDEX(Firms!$F$5:$F$1004,$T929)="","",INDEX(Firms!$F$5:$F$1004,$T929)),IF(INDEX('AFA Rates'!$E$5:$E$1004,$T929)="","",INDEX('AFA Rates'!$E$5:$E$1004,$T929))))</f>
        <v/>
      </c>
      <c r="H929" s="50">
        <f>IF($T929="","",IF($S929="S",IF(INDEX(Firms!$G$5:$G$1004,$T929)="","",INDEX(Firms!$G$5:$G$1004,$T929)),IF(INDEX('AFA Rates'!$F$5:$F$1004,$T929)="","",INDEX('AFA Rates'!$F$5:$F$1004,$T929))))</f>
        <v/>
      </c>
      <c r="I929" s="50">
        <f>IF($T929="","",IF($S929="S",IF(INDEX(Firms!$H$5:$H$1004,$T929)="","",INDEX(Firms!$H$5:$H$1004,$T929)),IF(INDEX('AFA Rates'!$G$5:$G$1004,$T929)="","",INDEX('AFA Rates'!$G$5:$G$1004,$T929))))</f>
        <v/>
      </c>
      <c r="J929" s="50">
        <f>IF($T929="","",IF($S929="S",IF(INDEX(Firms!$I$5:$I$1004,$T929)="","",INDEX(Firms!$I$5:$I$1004,$T929)),IF(INDEX('AFA Rates'!$H$5:$H$1004,$T929)="","",INDEX('AFA Rates'!$H$5:$H$1004,$T929))))</f>
        <v/>
      </c>
      <c r="K929" s="50">
        <f>IF($T929="","",IF($S929="S",IF(INDEX(Firms!$J$5:$J$1004,$T929)="","",INDEX(Firms!$J$5:$J$1004,$T929)),IF(INDEX('AFA Rates'!$I$5:$I$1004,$T929)="","",INDEX('AFA Rates'!$I$5:$I$1004,$T929))))</f>
        <v/>
      </c>
      <c r="L929" s="50">
        <f>IF($T929="","",IF($S929="S",IF(INDEX(Firms!$K$5:$K$1004,$T929)="","",INDEX(Firms!$K$5:$K$1004,$T929)),IF(INDEX('AFA Rates'!$J$5:$J$1004,$T929)="","",INDEX('AFA Rates'!$J$5:$J$1004,$T929))))</f>
        <v/>
      </c>
      <c r="M929" s="50">
        <f>IF($T929="","",IF($S929="S",IF(INDEX(Firms!$L$5:$L$1004,$T929)="","",INDEX(Firms!$L$5:$L$1004,$T929)),IF(INDEX('AFA Rates'!$K$5:$K$1004,$T929)="","",INDEX('AFA Rates'!$K$5:$K$1004,$T929))))</f>
        <v/>
      </c>
      <c r="N929" s="50">
        <f>IF($T929="","",IF($S929="S",IF(INDEX(Firms!$M$5:$M$1004,$T929)="","",INDEX(Firms!$M$5:$M$1004,$T929)),IF(INDEX('AFA Rates'!$L$5:$L$1004,$T929)="","",INDEX('AFA Rates'!$L$5:$L$1004,$T929))))</f>
        <v/>
      </c>
      <c r="O929" s="78">
        <f>IF(OR($T929="",$U929=""),"",IF(INDEX(Firms!$C$5:$C$1004,$U929)="","",INDEX(Firms!$C$5:$C$1004,$U929)))</f>
        <v/>
      </c>
      <c r="P929" s="79">
        <f>IF(OR($T929="",$U929=""),"",IF(INDEX(Firms!$N$5:$N$1004,$U929)="","",INDEX(Firms!$N$5:$N$1004,$U929)))</f>
        <v/>
      </c>
      <c r="Q929" s="78">
        <f>IF($T929="","",IF($S929="S",IF(INDEX(Firms!$T$5:$T$1004,$T929)="","",INDEX(Firms!$T$5:$T$1004,$T929)),IF(INDEX('AFA Rates'!$M$5:$M$1004,$T929)="","",INDEX('AFA Rates'!$M$5:$M$1004,$T929))))</f>
        <v/>
      </c>
      <c r="S929">
        <f>IF(925&lt;=$S$2,"S",IF(925&lt;=$S$2+$T$2,"A",""))</f>
        <v/>
      </c>
      <c r="T929">
        <f>IF(S929="S",MATCH(925,Firms!$W$5:$W$1004,0),IF(S929="A",IFERROR(MATCH(925-$S$2,'AFA Rates'!$R$5:$R$1004,0),""),""))</f>
        <v/>
      </c>
      <c r="U929">
        <f>IF(S929="S",T929,IF(AND(S929="A",T929&lt;&gt;""),IFERROR(MATCH(INDEX('AFA Rates'!$A$5:$A$1004,T929),Firms!$A$5:$A$1004,0),""),""))</f>
        <v/>
      </c>
    </row>
    <row r="930">
      <c r="A930" s="78">
        <f>IF($T930="","",IF($S930="S",IF(INDEX(Firms!$A$5:$A$1004,$T930)="","",INDEX(Firms!$A$5:$A$1004,$T930)),IF(INDEX('AFA Rates'!$A$5:$A$1004,$T930)="","",INDEX('AFA Rates'!$A$5:$A$1004,$T930))))</f>
        <v/>
      </c>
      <c r="B930" s="79">
        <f>IF(OR($T930="",$U930=""),IF($T930="","","Not on Firms tab"),INDEX(Firms!$B$5:$B$1004,$U930)&amp;"")</f>
        <v/>
      </c>
      <c r="C930" s="78">
        <f>IF($T930="","",IF($S930="S","Standard",INDEX('AFA Rates'!$B$5:$B$1004,$T930)&amp;""))</f>
        <v/>
      </c>
      <c r="D930" s="88">
        <f>IF($T930="","",IF($S930="S",IF(INDEX(Firms!$E$5:$E$1004,$T930)="","",INDEX(Firms!$E$5:$E$1004,$T930)),IF(INDEX('AFA Rates'!$C$5:$C$1004,$T930)="","",INDEX('AFA Rates'!$C$5:$C$1004,$T930))))</f>
        <v/>
      </c>
      <c r="E930" s="88">
        <f>IF($T930="","",IF($S930="S",IF(""="","",""),IF(INDEX('AFA Rates'!$D$5:$D$1004,$T930)="","",INDEX('AFA Rates'!$D$5:$D$1004,$T930))))</f>
        <v/>
      </c>
      <c r="F930" s="79">
        <f>IF($T930="","",IF($S930="S",IF(INDEX(Firms!$O$5:$O$1004,$T930)="","",INDEX(Firms!$O$5:$O$1004,$T930)),IF(INDEX('AFA Rates'!$O$5:$O$1004,$T930)="","",INDEX('AFA Rates'!$O$5:$O$1004,$T930))))</f>
        <v/>
      </c>
      <c r="G930" s="50">
        <f>IF($T930="","",IF($S930="S",IF(INDEX(Firms!$F$5:$F$1004,$T930)="","",INDEX(Firms!$F$5:$F$1004,$T930)),IF(INDEX('AFA Rates'!$E$5:$E$1004,$T930)="","",INDEX('AFA Rates'!$E$5:$E$1004,$T930))))</f>
        <v/>
      </c>
      <c r="H930" s="50">
        <f>IF($T930="","",IF($S930="S",IF(INDEX(Firms!$G$5:$G$1004,$T930)="","",INDEX(Firms!$G$5:$G$1004,$T930)),IF(INDEX('AFA Rates'!$F$5:$F$1004,$T930)="","",INDEX('AFA Rates'!$F$5:$F$1004,$T930))))</f>
        <v/>
      </c>
      <c r="I930" s="50">
        <f>IF($T930="","",IF($S930="S",IF(INDEX(Firms!$H$5:$H$1004,$T930)="","",INDEX(Firms!$H$5:$H$1004,$T930)),IF(INDEX('AFA Rates'!$G$5:$G$1004,$T930)="","",INDEX('AFA Rates'!$G$5:$G$1004,$T930))))</f>
        <v/>
      </c>
      <c r="J930" s="50">
        <f>IF($T930="","",IF($S930="S",IF(INDEX(Firms!$I$5:$I$1004,$T930)="","",INDEX(Firms!$I$5:$I$1004,$T930)),IF(INDEX('AFA Rates'!$H$5:$H$1004,$T930)="","",INDEX('AFA Rates'!$H$5:$H$1004,$T930))))</f>
        <v/>
      </c>
      <c r="K930" s="50">
        <f>IF($T930="","",IF($S930="S",IF(INDEX(Firms!$J$5:$J$1004,$T930)="","",INDEX(Firms!$J$5:$J$1004,$T930)),IF(INDEX('AFA Rates'!$I$5:$I$1004,$T930)="","",INDEX('AFA Rates'!$I$5:$I$1004,$T930))))</f>
        <v/>
      </c>
      <c r="L930" s="50">
        <f>IF($T930="","",IF($S930="S",IF(INDEX(Firms!$K$5:$K$1004,$T930)="","",INDEX(Firms!$K$5:$K$1004,$T930)),IF(INDEX('AFA Rates'!$J$5:$J$1004,$T930)="","",INDEX('AFA Rates'!$J$5:$J$1004,$T930))))</f>
        <v/>
      </c>
      <c r="M930" s="50">
        <f>IF($T930="","",IF($S930="S",IF(INDEX(Firms!$L$5:$L$1004,$T930)="","",INDEX(Firms!$L$5:$L$1004,$T930)),IF(INDEX('AFA Rates'!$K$5:$K$1004,$T930)="","",INDEX('AFA Rates'!$K$5:$K$1004,$T930))))</f>
        <v/>
      </c>
      <c r="N930" s="50">
        <f>IF($T930="","",IF($S930="S",IF(INDEX(Firms!$M$5:$M$1004,$T930)="","",INDEX(Firms!$M$5:$M$1004,$T930)),IF(INDEX('AFA Rates'!$L$5:$L$1004,$T930)="","",INDEX('AFA Rates'!$L$5:$L$1004,$T930))))</f>
        <v/>
      </c>
      <c r="O930" s="78">
        <f>IF(OR($T930="",$U930=""),"",IF(INDEX(Firms!$C$5:$C$1004,$U930)="","",INDEX(Firms!$C$5:$C$1004,$U930)))</f>
        <v/>
      </c>
      <c r="P930" s="79">
        <f>IF(OR($T930="",$U930=""),"",IF(INDEX(Firms!$N$5:$N$1004,$U930)="","",INDEX(Firms!$N$5:$N$1004,$U930)))</f>
        <v/>
      </c>
      <c r="Q930" s="78">
        <f>IF($T930="","",IF($S930="S",IF(INDEX(Firms!$T$5:$T$1004,$T930)="","",INDEX(Firms!$T$5:$T$1004,$T930)),IF(INDEX('AFA Rates'!$M$5:$M$1004,$T930)="","",INDEX('AFA Rates'!$M$5:$M$1004,$T930))))</f>
        <v/>
      </c>
      <c r="S930">
        <f>IF(926&lt;=$S$2,"S",IF(926&lt;=$S$2+$T$2,"A",""))</f>
        <v/>
      </c>
      <c r="T930">
        <f>IF(S930="S",MATCH(926,Firms!$W$5:$W$1004,0),IF(S930="A",IFERROR(MATCH(926-$S$2,'AFA Rates'!$R$5:$R$1004,0),""),""))</f>
        <v/>
      </c>
      <c r="U930">
        <f>IF(S930="S",T930,IF(AND(S930="A",T930&lt;&gt;""),IFERROR(MATCH(INDEX('AFA Rates'!$A$5:$A$1004,T930),Firms!$A$5:$A$1004,0),""),""))</f>
        <v/>
      </c>
    </row>
    <row r="931">
      <c r="A931" s="78">
        <f>IF($T931="","",IF($S931="S",IF(INDEX(Firms!$A$5:$A$1004,$T931)="","",INDEX(Firms!$A$5:$A$1004,$T931)),IF(INDEX('AFA Rates'!$A$5:$A$1004,$T931)="","",INDEX('AFA Rates'!$A$5:$A$1004,$T931))))</f>
        <v/>
      </c>
      <c r="B931" s="79">
        <f>IF(OR($T931="",$U931=""),IF($T931="","","Not on Firms tab"),INDEX(Firms!$B$5:$B$1004,$U931)&amp;"")</f>
        <v/>
      </c>
      <c r="C931" s="78">
        <f>IF($T931="","",IF($S931="S","Standard",INDEX('AFA Rates'!$B$5:$B$1004,$T931)&amp;""))</f>
        <v/>
      </c>
      <c r="D931" s="88">
        <f>IF($T931="","",IF($S931="S",IF(INDEX(Firms!$E$5:$E$1004,$T931)="","",INDEX(Firms!$E$5:$E$1004,$T931)),IF(INDEX('AFA Rates'!$C$5:$C$1004,$T931)="","",INDEX('AFA Rates'!$C$5:$C$1004,$T931))))</f>
        <v/>
      </c>
      <c r="E931" s="88">
        <f>IF($T931="","",IF($S931="S",IF(""="","",""),IF(INDEX('AFA Rates'!$D$5:$D$1004,$T931)="","",INDEX('AFA Rates'!$D$5:$D$1004,$T931))))</f>
        <v/>
      </c>
      <c r="F931" s="79">
        <f>IF($T931="","",IF($S931="S",IF(INDEX(Firms!$O$5:$O$1004,$T931)="","",INDEX(Firms!$O$5:$O$1004,$T931)),IF(INDEX('AFA Rates'!$O$5:$O$1004,$T931)="","",INDEX('AFA Rates'!$O$5:$O$1004,$T931))))</f>
        <v/>
      </c>
      <c r="G931" s="50">
        <f>IF($T931="","",IF($S931="S",IF(INDEX(Firms!$F$5:$F$1004,$T931)="","",INDEX(Firms!$F$5:$F$1004,$T931)),IF(INDEX('AFA Rates'!$E$5:$E$1004,$T931)="","",INDEX('AFA Rates'!$E$5:$E$1004,$T931))))</f>
        <v/>
      </c>
      <c r="H931" s="50">
        <f>IF($T931="","",IF($S931="S",IF(INDEX(Firms!$G$5:$G$1004,$T931)="","",INDEX(Firms!$G$5:$G$1004,$T931)),IF(INDEX('AFA Rates'!$F$5:$F$1004,$T931)="","",INDEX('AFA Rates'!$F$5:$F$1004,$T931))))</f>
        <v/>
      </c>
      <c r="I931" s="50">
        <f>IF($T931="","",IF($S931="S",IF(INDEX(Firms!$H$5:$H$1004,$T931)="","",INDEX(Firms!$H$5:$H$1004,$T931)),IF(INDEX('AFA Rates'!$G$5:$G$1004,$T931)="","",INDEX('AFA Rates'!$G$5:$G$1004,$T931))))</f>
        <v/>
      </c>
      <c r="J931" s="50">
        <f>IF($T931="","",IF($S931="S",IF(INDEX(Firms!$I$5:$I$1004,$T931)="","",INDEX(Firms!$I$5:$I$1004,$T931)),IF(INDEX('AFA Rates'!$H$5:$H$1004,$T931)="","",INDEX('AFA Rates'!$H$5:$H$1004,$T931))))</f>
        <v/>
      </c>
      <c r="K931" s="50">
        <f>IF($T931="","",IF($S931="S",IF(INDEX(Firms!$J$5:$J$1004,$T931)="","",INDEX(Firms!$J$5:$J$1004,$T931)),IF(INDEX('AFA Rates'!$I$5:$I$1004,$T931)="","",INDEX('AFA Rates'!$I$5:$I$1004,$T931))))</f>
        <v/>
      </c>
      <c r="L931" s="50">
        <f>IF($T931="","",IF($S931="S",IF(INDEX(Firms!$K$5:$K$1004,$T931)="","",INDEX(Firms!$K$5:$K$1004,$T931)),IF(INDEX('AFA Rates'!$J$5:$J$1004,$T931)="","",INDEX('AFA Rates'!$J$5:$J$1004,$T931))))</f>
        <v/>
      </c>
      <c r="M931" s="50">
        <f>IF($T931="","",IF($S931="S",IF(INDEX(Firms!$L$5:$L$1004,$T931)="","",INDEX(Firms!$L$5:$L$1004,$T931)),IF(INDEX('AFA Rates'!$K$5:$K$1004,$T931)="","",INDEX('AFA Rates'!$K$5:$K$1004,$T931))))</f>
        <v/>
      </c>
      <c r="N931" s="50">
        <f>IF($T931="","",IF($S931="S",IF(INDEX(Firms!$M$5:$M$1004,$T931)="","",INDEX(Firms!$M$5:$M$1004,$T931)),IF(INDEX('AFA Rates'!$L$5:$L$1004,$T931)="","",INDEX('AFA Rates'!$L$5:$L$1004,$T931))))</f>
        <v/>
      </c>
      <c r="O931" s="78">
        <f>IF(OR($T931="",$U931=""),"",IF(INDEX(Firms!$C$5:$C$1004,$U931)="","",INDEX(Firms!$C$5:$C$1004,$U931)))</f>
        <v/>
      </c>
      <c r="P931" s="79">
        <f>IF(OR($T931="",$U931=""),"",IF(INDEX(Firms!$N$5:$N$1004,$U931)="","",INDEX(Firms!$N$5:$N$1004,$U931)))</f>
        <v/>
      </c>
      <c r="Q931" s="78">
        <f>IF($T931="","",IF($S931="S",IF(INDEX(Firms!$T$5:$T$1004,$T931)="","",INDEX(Firms!$T$5:$T$1004,$T931)),IF(INDEX('AFA Rates'!$M$5:$M$1004,$T931)="","",INDEX('AFA Rates'!$M$5:$M$1004,$T931))))</f>
        <v/>
      </c>
      <c r="S931">
        <f>IF(927&lt;=$S$2,"S",IF(927&lt;=$S$2+$T$2,"A",""))</f>
        <v/>
      </c>
      <c r="T931">
        <f>IF(S931="S",MATCH(927,Firms!$W$5:$W$1004,0),IF(S931="A",IFERROR(MATCH(927-$S$2,'AFA Rates'!$R$5:$R$1004,0),""),""))</f>
        <v/>
      </c>
      <c r="U931">
        <f>IF(S931="S",T931,IF(AND(S931="A",T931&lt;&gt;""),IFERROR(MATCH(INDEX('AFA Rates'!$A$5:$A$1004,T931),Firms!$A$5:$A$1004,0),""),""))</f>
        <v/>
      </c>
    </row>
    <row r="932">
      <c r="A932" s="78">
        <f>IF($T932="","",IF($S932="S",IF(INDEX(Firms!$A$5:$A$1004,$T932)="","",INDEX(Firms!$A$5:$A$1004,$T932)),IF(INDEX('AFA Rates'!$A$5:$A$1004,$T932)="","",INDEX('AFA Rates'!$A$5:$A$1004,$T932))))</f>
        <v/>
      </c>
      <c r="B932" s="79">
        <f>IF(OR($T932="",$U932=""),IF($T932="","","Not on Firms tab"),INDEX(Firms!$B$5:$B$1004,$U932)&amp;"")</f>
        <v/>
      </c>
      <c r="C932" s="78">
        <f>IF($T932="","",IF($S932="S","Standard",INDEX('AFA Rates'!$B$5:$B$1004,$T932)&amp;""))</f>
        <v/>
      </c>
      <c r="D932" s="88">
        <f>IF($T932="","",IF($S932="S",IF(INDEX(Firms!$E$5:$E$1004,$T932)="","",INDEX(Firms!$E$5:$E$1004,$T932)),IF(INDEX('AFA Rates'!$C$5:$C$1004,$T932)="","",INDEX('AFA Rates'!$C$5:$C$1004,$T932))))</f>
        <v/>
      </c>
      <c r="E932" s="88">
        <f>IF($T932="","",IF($S932="S",IF(""="","",""),IF(INDEX('AFA Rates'!$D$5:$D$1004,$T932)="","",INDEX('AFA Rates'!$D$5:$D$1004,$T932))))</f>
        <v/>
      </c>
      <c r="F932" s="79">
        <f>IF($T932="","",IF($S932="S",IF(INDEX(Firms!$O$5:$O$1004,$T932)="","",INDEX(Firms!$O$5:$O$1004,$T932)),IF(INDEX('AFA Rates'!$O$5:$O$1004,$T932)="","",INDEX('AFA Rates'!$O$5:$O$1004,$T932))))</f>
        <v/>
      </c>
      <c r="G932" s="50">
        <f>IF($T932="","",IF($S932="S",IF(INDEX(Firms!$F$5:$F$1004,$T932)="","",INDEX(Firms!$F$5:$F$1004,$T932)),IF(INDEX('AFA Rates'!$E$5:$E$1004,$T932)="","",INDEX('AFA Rates'!$E$5:$E$1004,$T932))))</f>
        <v/>
      </c>
      <c r="H932" s="50">
        <f>IF($T932="","",IF($S932="S",IF(INDEX(Firms!$G$5:$G$1004,$T932)="","",INDEX(Firms!$G$5:$G$1004,$T932)),IF(INDEX('AFA Rates'!$F$5:$F$1004,$T932)="","",INDEX('AFA Rates'!$F$5:$F$1004,$T932))))</f>
        <v/>
      </c>
      <c r="I932" s="50">
        <f>IF($T932="","",IF($S932="S",IF(INDEX(Firms!$H$5:$H$1004,$T932)="","",INDEX(Firms!$H$5:$H$1004,$T932)),IF(INDEX('AFA Rates'!$G$5:$G$1004,$T932)="","",INDEX('AFA Rates'!$G$5:$G$1004,$T932))))</f>
        <v/>
      </c>
      <c r="J932" s="50">
        <f>IF($T932="","",IF($S932="S",IF(INDEX(Firms!$I$5:$I$1004,$T932)="","",INDEX(Firms!$I$5:$I$1004,$T932)),IF(INDEX('AFA Rates'!$H$5:$H$1004,$T932)="","",INDEX('AFA Rates'!$H$5:$H$1004,$T932))))</f>
        <v/>
      </c>
      <c r="K932" s="50">
        <f>IF($T932="","",IF($S932="S",IF(INDEX(Firms!$J$5:$J$1004,$T932)="","",INDEX(Firms!$J$5:$J$1004,$T932)),IF(INDEX('AFA Rates'!$I$5:$I$1004,$T932)="","",INDEX('AFA Rates'!$I$5:$I$1004,$T932))))</f>
        <v/>
      </c>
      <c r="L932" s="50">
        <f>IF($T932="","",IF($S932="S",IF(INDEX(Firms!$K$5:$K$1004,$T932)="","",INDEX(Firms!$K$5:$K$1004,$T932)),IF(INDEX('AFA Rates'!$J$5:$J$1004,$T932)="","",INDEX('AFA Rates'!$J$5:$J$1004,$T932))))</f>
        <v/>
      </c>
      <c r="M932" s="50">
        <f>IF($T932="","",IF($S932="S",IF(INDEX(Firms!$L$5:$L$1004,$T932)="","",INDEX(Firms!$L$5:$L$1004,$T932)),IF(INDEX('AFA Rates'!$K$5:$K$1004,$T932)="","",INDEX('AFA Rates'!$K$5:$K$1004,$T932))))</f>
        <v/>
      </c>
      <c r="N932" s="50">
        <f>IF($T932="","",IF($S932="S",IF(INDEX(Firms!$M$5:$M$1004,$T932)="","",INDEX(Firms!$M$5:$M$1004,$T932)),IF(INDEX('AFA Rates'!$L$5:$L$1004,$T932)="","",INDEX('AFA Rates'!$L$5:$L$1004,$T932))))</f>
        <v/>
      </c>
      <c r="O932" s="78">
        <f>IF(OR($T932="",$U932=""),"",IF(INDEX(Firms!$C$5:$C$1004,$U932)="","",INDEX(Firms!$C$5:$C$1004,$U932)))</f>
        <v/>
      </c>
      <c r="P932" s="79">
        <f>IF(OR($T932="",$U932=""),"",IF(INDEX(Firms!$N$5:$N$1004,$U932)="","",INDEX(Firms!$N$5:$N$1004,$U932)))</f>
        <v/>
      </c>
      <c r="Q932" s="78">
        <f>IF($T932="","",IF($S932="S",IF(INDEX(Firms!$T$5:$T$1004,$T932)="","",INDEX(Firms!$T$5:$T$1004,$T932)),IF(INDEX('AFA Rates'!$M$5:$M$1004,$T932)="","",INDEX('AFA Rates'!$M$5:$M$1004,$T932))))</f>
        <v/>
      </c>
      <c r="S932">
        <f>IF(928&lt;=$S$2,"S",IF(928&lt;=$S$2+$T$2,"A",""))</f>
        <v/>
      </c>
      <c r="T932">
        <f>IF(S932="S",MATCH(928,Firms!$W$5:$W$1004,0),IF(S932="A",IFERROR(MATCH(928-$S$2,'AFA Rates'!$R$5:$R$1004,0),""),""))</f>
        <v/>
      </c>
      <c r="U932">
        <f>IF(S932="S",T932,IF(AND(S932="A",T932&lt;&gt;""),IFERROR(MATCH(INDEX('AFA Rates'!$A$5:$A$1004,T932),Firms!$A$5:$A$1004,0),""),""))</f>
        <v/>
      </c>
    </row>
    <row r="933">
      <c r="A933" s="78">
        <f>IF($T933="","",IF($S933="S",IF(INDEX(Firms!$A$5:$A$1004,$T933)="","",INDEX(Firms!$A$5:$A$1004,$T933)),IF(INDEX('AFA Rates'!$A$5:$A$1004,$T933)="","",INDEX('AFA Rates'!$A$5:$A$1004,$T933))))</f>
        <v/>
      </c>
      <c r="B933" s="79">
        <f>IF(OR($T933="",$U933=""),IF($T933="","","Not on Firms tab"),INDEX(Firms!$B$5:$B$1004,$U933)&amp;"")</f>
        <v/>
      </c>
      <c r="C933" s="78">
        <f>IF($T933="","",IF($S933="S","Standard",INDEX('AFA Rates'!$B$5:$B$1004,$T933)&amp;""))</f>
        <v/>
      </c>
      <c r="D933" s="88">
        <f>IF($T933="","",IF($S933="S",IF(INDEX(Firms!$E$5:$E$1004,$T933)="","",INDEX(Firms!$E$5:$E$1004,$T933)),IF(INDEX('AFA Rates'!$C$5:$C$1004,$T933)="","",INDEX('AFA Rates'!$C$5:$C$1004,$T933))))</f>
        <v/>
      </c>
      <c r="E933" s="88">
        <f>IF($T933="","",IF($S933="S",IF(""="","",""),IF(INDEX('AFA Rates'!$D$5:$D$1004,$T933)="","",INDEX('AFA Rates'!$D$5:$D$1004,$T933))))</f>
        <v/>
      </c>
      <c r="F933" s="79">
        <f>IF($T933="","",IF($S933="S",IF(INDEX(Firms!$O$5:$O$1004,$T933)="","",INDEX(Firms!$O$5:$O$1004,$T933)),IF(INDEX('AFA Rates'!$O$5:$O$1004,$T933)="","",INDEX('AFA Rates'!$O$5:$O$1004,$T933))))</f>
        <v/>
      </c>
      <c r="G933" s="50">
        <f>IF($T933="","",IF($S933="S",IF(INDEX(Firms!$F$5:$F$1004,$T933)="","",INDEX(Firms!$F$5:$F$1004,$T933)),IF(INDEX('AFA Rates'!$E$5:$E$1004,$T933)="","",INDEX('AFA Rates'!$E$5:$E$1004,$T933))))</f>
        <v/>
      </c>
      <c r="H933" s="50">
        <f>IF($T933="","",IF($S933="S",IF(INDEX(Firms!$G$5:$G$1004,$T933)="","",INDEX(Firms!$G$5:$G$1004,$T933)),IF(INDEX('AFA Rates'!$F$5:$F$1004,$T933)="","",INDEX('AFA Rates'!$F$5:$F$1004,$T933))))</f>
        <v/>
      </c>
      <c r="I933" s="50">
        <f>IF($T933="","",IF($S933="S",IF(INDEX(Firms!$H$5:$H$1004,$T933)="","",INDEX(Firms!$H$5:$H$1004,$T933)),IF(INDEX('AFA Rates'!$G$5:$G$1004,$T933)="","",INDEX('AFA Rates'!$G$5:$G$1004,$T933))))</f>
        <v/>
      </c>
      <c r="J933" s="50">
        <f>IF($T933="","",IF($S933="S",IF(INDEX(Firms!$I$5:$I$1004,$T933)="","",INDEX(Firms!$I$5:$I$1004,$T933)),IF(INDEX('AFA Rates'!$H$5:$H$1004,$T933)="","",INDEX('AFA Rates'!$H$5:$H$1004,$T933))))</f>
        <v/>
      </c>
      <c r="K933" s="50">
        <f>IF($T933="","",IF($S933="S",IF(INDEX(Firms!$J$5:$J$1004,$T933)="","",INDEX(Firms!$J$5:$J$1004,$T933)),IF(INDEX('AFA Rates'!$I$5:$I$1004,$T933)="","",INDEX('AFA Rates'!$I$5:$I$1004,$T933))))</f>
        <v/>
      </c>
      <c r="L933" s="50">
        <f>IF($T933="","",IF($S933="S",IF(INDEX(Firms!$K$5:$K$1004,$T933)="","",INDEX(Firms!$K$5:$K$1004,$T933)),IF(INDEX('AFA Rates'!$J$5:$J$1004,$T933)="","",INDEX('AFA Rates'!$J$5:$J$1004,$T933))))</f>
        <v/>
      </c>
      <c r="M933" s="50">
        <f>IF($T933="","",IF($S933="S",IF(INDEX(Firms!$L$5:$L$1004,$T933)="","",INDEX(Firms!$L$5:$L$1004,$T933)),IF(INDEX('AFA Rates'!$K$5:$K$1004,$T933)="","",INDEX('AFA Rates'!$K$5:$K$1004,$T933))))</f>
        <v/>
      </c>
      <c r="N933" s="50">
        <f>IF($T933="","",IF($S933="S",IF(INDEX(Firms!$M$5:$M$1004,$T933)="","",INDEX(Firms!$M$5:$M$1004,$T933)),IF(INDEX('AFA Rates'!$L$5:$L$1004,$T933)="","",INDEX('AFA Rates'!$L$5:$L$1004,$T933))))</f>
        <v/>
      </c>
      <c r="O933" s="78">
        <f>IF(OR($T933="",$U933=""),"",IF(INDEX(Firms!$C$5:$C$1004,$U933)="","",INDEX(Firms!$C$5:$C$1004,$U933)))</f>
        <v/>
      </c>
      <c r="P933" s="79">
        <f>IF(OR($T933="",$U933=""),"",IF(INDEX(Firms!$N$5:$N$1004,$U933)="","",INDEX(Firms!$N$5:$N$1004,$U933)))</f>
        <v/>
      </c>
      <c r="Q933" s="78">
        <f>IF($T933="","",IF($S933="S",IF(INDEX(Firms!$T$5:$T$1004,$T933)="","",INDEX(Firms!$T$5:$T$1004,$T933)),IF(INDEX('AFA Rates'!$M$5:$M$1004,$T933)="","",INDEX('AFA Rates'!$M$5:$M$1004,$T933))))</f>
        <v/>
      </c>
      <c r="S933">
        <f>IF(929&lt;=$S$2,"S",IF(929&lt;=$S$2+$T$2,"A",""))</f>
        <v/>
      </c>
      <c r="T933">
        <f>IF(S933="S",MATCH(929,Firms!$W$5:$W$1004,0),IF(S933="A",IFERROR(MATCH(929-$S$2,'AFA Rates'!$R$5:$R$1004,0),""),""))</f>
        <v/>
      </c>
      <c r="U933">
        <f>IF(S933="S",T933,IF(AND(S933="A",T933&lt;&gt;""),IFERROR(MATCH(INDEX('AFA Rates'!$A$5:$A$1004,T933),Firms!$A$5:$A$1004,0),""),""))</f>
        <v/>
      </c>
    </row>
    <row r="934">
      <c r="A934" s="78">
        <f>IF($T934="","",IF($S934="S",IF(INDEX(Firms!$A$5:$A$1004,$T934)="","",INDEX(Firms!$A$5:$A$1004,$T934)),IF(INDEX('AFA Rates'!$A$5:$A$1004,$T934)="","",INDEX('AFA Rates'!$A$5:$A$1004,$T934))))</f>
        <v/>
      </c>
      <c r="B934" s="79">
        <f>IF(OR($T934="",$U934=""),IF($T934="","","Not on Firms tab"),INDEX(Firms!$B$5:$B$1004,$U934)&amp;"")</f>
        <v/>
      </c>
      <c r="C934" s="78">
        <f>IF($T934="","",IF($S934="S","Standard",INDEX('AFA Rates'!$B$5:$B$1004,$T934)&amp;""))</f>
        <v/>
      </c>
      <c r="D934" s="88">
        <f>IF($T934="","",IF($S934="S",IF(INDEX(Firms!$E$5:$E$1004,$T934)="","",INDEX(Firms!$E$5:$E$1004,$T934)),IF(INDEX('AFA Rates'!$C$5:$C$1004,$T934)="","",INDEX('AFA Rates'!$C$5:$C$1004,$T934))))</f>
        <v/>
      </c>
      <c r="E934" s="88">
        <f>IF($T934="","",IF($S934="S",IF(""="","",""),IF(INDEX('AFA Rates'!$D$5:$D$1004,$T934)="","",INDEX('AFA Rates'!$D$5:$D$1004,$T934))))</f>
        <v/>
      </c>
      <c r="F934" s="79">
        <f>IF($T934="","",IF($S934="S",IF(INDEX(Firms!$O$5:$O$1004,$T934)="","",INDEX(Firms!$O$5:$O$1004,$T934)),IF(INDEX('AFA Rates'!$O$5:$O$1004,$T934)="","",INDEX('AFA Rates'!$O$5:$O$1004,$T934))))</f>
        <v/>
      </c>
      <c r="G934" s="50">
        <f>IF($T934="","",IF($S934="S",IF(INDEX(Firms!$F$5:$F$1004,$T934)="","",INDEX(Firms!$F$5:$F$1004,$T934)),IF(INDEX('AFA Rates'!$E$5:$E$1004,$T934)="","",INDEX('AFA Rates'!$E$5:$E$1004,$T934))))</f>
        <v/>
      </c>
      <c r="H934" s="50">
        <f>IF($T934="","",IF($S934="S",IF(INDEX(Firms!$G$5:$G$1004,$T934)="","",INDEX(Firms!$G$5:$G$1004,$T934)),IF(INDEX('AFA Rates'!$F$5:$F$1004,$T934)="","",INDEX('AFA Rates'!$F$5:$F$1004,$T934))))</f>
        <v/>
      </c>
      <c r="I934" s="50">
        <f>IF($T934="","",IF($S934="S",IF(INDEX(Firms!$H$5:$H$1004,$T934)="","",INDEX(Firms!$H$5:$H$1004,$T934)),IF(INDEX('AFA Rates'!$G$5:$G$1004,$T934)="","",INDEX('AFA Rates'!$G$5:$G$1004,$T934))))</f>
        <v/>
      </c>
      <c r="J934" s="50">
        <f>IF($T934="","",IF($S934="S",IF(INDEX(Firms!$I$5:$I$1004,$T934)="","",INDEX(Firms!$I$5:$I$1004,$T934)),IF(INDEX('AFA Rates'!$H$5:$H$1004,$T934)="","",INDEX('AFA Rates'!$H$5:$H$1004,$T934))))</f>
        <v/>
      </c>
      <c r="K934" s="50">
        <f>IF($T934="","",IF($S934="S",IF(INDEX(Firms!$J$5:$J$1004,$T934)="","",INDEX(Firms!$J$5:$J$1004,$T934)),IF(INDEX('AFA Rates'!$I$5:$I$1004,$T934)="","",INDEX('AFA Rates'!$I$5:$I$1004,$T934))))</f>
        <v/>
      </c>
      <c r="L934" s="50">
        <f>IF($T934="","",IF($S934="S",IF(INDEX(Firms!$K$5:$K$1004,$T934)="","",INDEX(Firms!$K$5:$K$1004,$T934)),IF(INDEX('AFA Rates'!$J$5:$J$1004,$T934)="","",INDEX('AFA Rates'!$J$5:$J$1004,$T934))))</f>
        <v/>
      </c>
      <c r="M934" s="50">
        <f>IF($T934="","",IF($S934="S",IF(INDEX(Firms!$L$5:$L$1004,$T934)="","",INDEX(Firms!$L$5:$L$1004,$T934)),IF(INDEX('AFA Rates'!$K$5:$K$1004,$T934)="","",INDEX('AFA Rates'!$K$5:$K$1004,$T934))))</f>
        <v/>
      </c>
      <c r="N934" s="50">
        <f>IF($T934="","",IF($S934="S",IF(INDEX(Firms!$M$5:$M$1004,$T934)="","",INDEX(Firms!$M$5:$M$1004,$T934)),IF(INDEX('AFA Rates'!$L$5:$L$1004,$T934)="","",INDEX('AFA Rates'!$L$5:$L$1004,$T934))))</f>
        <v/>
      </c>
      <c r="O934" s="78">
        <f>IF(OR($T934="",$U934=""),"",IF(INDEX(Firms!$C$5:$C$1004,$U934)="","",INDEX(Firms!$C$5:$C$1004,$U934)))</f>
        <v/>
      </c>
      <c r="P934" s="79">
        <f>IF(OR($T934="",$U934=""),"",IF(INDEX(Firms!$N$5:$N$1004,$U934)="","",INDEX(Firms!$N$5:$N$1004,$U934)))</f>
        <v/>
      </c>
      <c r="Q934" s="78">
        <f>IF($T934="","",IF($S934="S",IF(INDEX(Firms!$T$5:$T$1004,$T934)="","",INDEX(Firms!$T$5:$T$1004,$T934)),IF(INDEX('AFA Rates'!$M$5:$M$1004,$T934)="","",INDEX('AFA Rates'!$M$5:$M$1004,$T934))))</f>
        <v/>
      </c>
      <c r="S934">
        <f>IF(930&lt;=$S$2,"S",IF(930&lt;=$S$2+$T$2,"A",""))</f>
        <v/>
      </c>
      <c r="T934">
        <f>IF(S934="S",MATCH(930,Firms!$W$5:$W$1004,0),IF(S934="A",IFERROR(MATCH(930-$S$2,'AFA Rates'!$R$5:$R$1004,0),""),""))</f>
        <v/>
      </c>
      <c r="U934">
        <f>IF(S934="S",T934,IF(AND(S934="A",T934&lt;&gt;""),IFERROR(MATCH(INDEX('AFA Rates'!$A$5:$A$1004,T934),Firms!$A$5:$A$1004,0),""),""))</f>
        <v/>
      </c>
    </row>
    <row r="935">
      <c r="A935" s="78">
        <f>IF($T935="","",IF($S935="S",IF(INDEX(Firms!$A$5:$A$1004,$T935)="","",INDEX(Firms!$A$5:$A$1004,$T935)),IF(INDEX('AFA Rates'!$A$5:$A$1004,$T935)="","",INDEX('AFA Rates'!$A$5:$A$1004,$T935))))</f>
        <v/>
      </c>
      <c r="B935" s="79">
        <f>IF(OR($T935="",$U935=""),IF($T935="","","Not on Firms tab"),INDEX(Firms!$B$5:$B$1004,$U935)&amp;"")</f>
        <v/>
      </c>
      <c r="C935" s="78">
        <f>IF($T935="","",IF($S935="S","Standard",INDEX('AFA Rates'!$B$5:$B$1004,$T935)&amp;""))</f>
        <v/>
      </c>
      <c r="D935" s="88">
        <f>IF($T935="","",IF($S935="S",IF(INDEX(Firms!$E$5:$E$1004,$T935)="","",INDEX(Firms!$E$5:$E$1004,$T935)),IF(INDEX('AFA Rates'!$C$5:$C$1004,$T935)="","",INDEX('AFA Rates'!$C$5:$C$1004,$T935))))</f>
        <v/>
      </c>
      <c r="E935" s="88">
        <f>IF($T935="","",IF($S935="S",IF(""="","",""),IF(INDEX('AFA Rates'!$D$5:$D$1004,$T935)="","",INDEX('AFA Rates'!$D$5:$D$1004,$T935))))</f>
        <v/>
      </c>
      <c r="F935" s="79">
        <f>IF($T935="","",IF($S935="S",IF(INDEX(Firms!$O$5:$O$1004,$T935)="","",INDEX(Firms!$O$5:$O$1004,$T935)),IF(INDEX('AFA Rates'!$O$5:$O$1004,$T935)="","",INDEX('AFA Rates'!$O$5:$O$1004,$T935))))</f>
        <v/>
      </c>
      <c r="G935" s="50">
        <f>IF($T935="","",IF($S935="S",IF(INDEX(Firms!$F$5:$F$1004,$T935)="","",INDEX(Firms!$F$5:$F$1004,$T935)),IF(INDEX('AFA Rates'!$E$5:$E$1004,$T935)="","",INDEX('AFA Rates'!$E$5:$E$1004,$T935))))</f>
        <v/>
      </c>
      <c r="H935" s="50">
        <f>IF($T935="","",IF($S935="S",IF(INDEX(Firms!$G$5:$G$1004,$T935)="","",INDEX(Firms!$G$5:$G$1004,$T935)),IF(INDEX('AFA Rates'!$F$5:$F$1004,$T935)="","",INDEX('AFA Rates'!$F$5:$F$1004,$T935))))</f>
        <v/>
      </c>
      <c r="I935" s="50">
        <f>IF($T935="","",IF($S935="S",IF(INDEX(Firms!$H$5:$H$1004,$T935)="","",INDEX(Firms!$H$5:$H$1004,$T935)),IF(INDEX('AFA Rates'!$G$5:$G$1004,$T935)="","",INDEX('AFA Rates'!$G$5:$G$1004,$T935))))</f>
        <v/>
      </c>
      <c r="J935" s="50">
        <f>IF($T935="","",IF($S935="S",IF(INDEX(Firms!$I$5:$I$1004,$T935)="","",INDEX(Firms!$I$5:$I$1004,$T935)),IF(INDEX('AFA Rates'!$H$5:$H$1004,$T935)="","",INDEX('AFA Rates'!$H$5:$H$1004,$T935))))</f>
        <v/>
      </c>
      <c r="K935" s="50">
        <f>IF($T935="","",IF($S935="S",IF(INDEX(Firms!$J$5:$J$1004,$T935)="","",INDEX(Firms!$J$5:$J$1004,$T935)),IF(INDEX('AFA Rates'!$I$5:$I$1004,$T935)="","",INDEX('AFA Rates'!$I$5:$I$1004,$T935))))</f>
        <v/>
      </c>
      <c r="L935" s="50">
        <f>IF($T935="","",IF($S935="S",IF(INDEX(Firms!$K$5:$K$1004,$T935)="","",INDEX(Firms!$K$5:$K$1004,$T935)),IF(INDEX('AFA Rates'!$J$5:$J$1004,$T935)="","",INDEX('AFA Rates'!$J$5:$J$1004,$T935))))</f>
        <v/>
      </c>
      <c r="M935" s="50">
        <f>IF($T935="","",IF($S935="S",IF(INDEX(Firms!$L$5:$L$1004,$T935)="","",INDEX(Firms!$L$5:$L$1004,$T935)),IF(INDEX('AFA Rates'!$K$5:$K$1004,$T935)="","",INDEX('AFA Rates'!$K$5:$K$1004,$T935))))</f>
        <v/>
      </c>
      <c r="N935" s="50">
        <f>IF($T935="","",IF($S935="S",IF(INDEX(Firms!$M$5:$M$1004,$T935)="","",INDEX(Firms!$M$5:$M$1004,$T935)),IF(INDEX('AFA Rates'!$L$5:$L$1004,$T935)="","",INDEX('AFA Rates'!$L$5:$L$1004,$T935))))</f>
        <v/>
      </c>
      <c r="O935" s="78">
        <f>IF(OR($T935="",$U935=""),"",IF(INDEX(Firms!$C$5:$C$1004,$U935)="","",INDEX(Firms!$C$5:$C$1004,$U935)))</f>
        <v/>
      </c>
      <c r="P935" s="79">
        <f>IF(OR($T935="",$U935=""),"",IF(INDEX(Firms!$N$5:$N$1004,$U935)="","",INDEX(Firms!$N$5:$N$1004,$U935)))</f>
        <v/>
      </c>
      <c r="Q935" s="78">
        <f>IF($T935="","",IF($S935="S",IF(INDEX(Firms!$T$5:$T$1004,$T935)="","",INDEX(Firms!$T$5:$T$1004,$T935)),IF(INDEX('AFA Rates'!$M$5:$M$1004,$T935)="","",INDEX('AFA Rates'!$M$5:$M$1004,$T935))))</f>
        <v/>
      </c>
      <c r="S935">
        <f>IF(931&lt;=$S$2,"S",IF(931&lt;=$S$2+$T$2,"A",""))</f>
        <v/>
      </c>
      <c r="T935">
        <f>IF(S935="S",MATCH(931,Firms!$W$5:$W$1004,0),IF(S935="A",IFERROR(MATCH(931-$S$2,'AFA Rates'!$R$5:$R$1004,0),""),""))</f>
        <v/>
      </c>
      <c r="U935">
        <f>IF(S935="S",T935,IF(AND(S935="A",T935&lt;&gt;""),IFERROR(MATCH(INDEX('AFA Rates'!$A$5:$A$1004,T935),Firms!$A$5:$A$1004,0),""),""))</f>
        <v/>
      </c>
    </row>
    <row r="936">
      <c r="A936" s="78">
        <f>IF($T936="","",IF($S936="S",IF(INDEX(Firms!$A$5:$A$1004,$T936)="","",INDEX(Firms!$A$5:$A$1004,$T936)),IF(INDEX('AFA Rates'!$A$5:$A$1004,$T936)="","",INDEX('AFA Rates'!$A$5:$A$1004,$T936))))</f>
        <v/>
      </c>
      <c r="B936" s="79">
        <f>IF(OR($T936="",$U936=""),IF($T936="","","Not on Firms tab"),INDEX(Firms!$B$5:$B$1004,$U936)&amp;"")</f>
        <v/>
      </c>
      <c r="C936" s="78">
        <f>IF($T936="","",IF($S936="S","Standard",INDEX('AFA Rates'!$B$5:$B$1004,$T936)&amp;""))</f>
        <v/>
      </c>
      <c r="D936" s="88">
        <f>IF($T936="","",IF($S936="S",IF(INDEX(Firms!$E$5:$E$1004,$T936)="","",INDEX(Firms!$E$5:$E$1004,$T936)),IF(INDEX('AFA Rates'!$C$5:$C$1004,$T936)="","",INDEX('AFA Rates'!$C$5:$C$1004,$T936))))</f>
        <v/>
      </c>
      <c r="E936" s="88">
        <f>IF($T936="","",IF($S936="S",IF(""="","",""),IF(INDEX('AFA Rates'!$D$5:$D$1004,$T936)="","",INDEX('AFA Rates'!$D$5:$D$1004,$T936))))</f>
        <v/>
      </c>
      <c r="F936" s="79">
        <f>IF($T936="","",IF($S936="S",IF(INDEX(Firms!$O$5:$O$1004,$T936)="","",INDEX(Firms!$O$5:$O$1004,$T936)),IF(INDEX('AFA Rates'!$O$5:$O$1004,$T936)="","",INDEX('AFA Rates'!$O$5:$O$1004,$T936))))</f>
        <v/>
      </c>
      <c r="G936" s="50">
        <f>IF($T936="","",IF($S936="S",IF(INDEX(Firms!$F$5:$F$1004,$T936)="","",INDEX(Firms!$F$5:$F$1004,$T936)),IF(INDEX('AFA Rates'!$E$5:$E$1004,$T936)="","",INDEX('AFA Rates'!$E$5:$E$1004,$T936))))</f>
        <v/>
      </c>
      <c r="H936" s="50">
        <f>IF($T936="","",IF($S936="S",IF(INDEX(Firms!$G$5:$G$1004,$T936)="","",INDEX(Firms!$G$5:$G$1004,$T936)),IF(INDEX('AFA Rates'!$F$5:$F$1004,$T936)="","",INDEX('AFA Rates'!$F$5:$F$1004,$T936))))</f>
        <v/>
      </c>
      <c r="I936" s="50">
        <f>IF($T936="","",IF($S936="S",IF(INDEX(Firms!$H$5:$H$1004,$T936)="","",INDEX(Firms!$H$5:$H$1004,$T936)),IF(INDEX('AFA Rates'!$G$5:$G$1004,$T936)="","",INDEX('AFA Rates'!$G$5:$G$1004,$T936))))</f>
        <v/>
      </c>
      <c r="J936" s="50">
        <f>IF($T936="","",IF($S936="S",IF(INDEX(Firms!$I$5:$I$1004,$T936)="","",INDEX(Firms!$I$5:$I$1004,$T936)),IF(INDEX('AFA Rates'!$H$5:$H$1004,$T936)="","",INDEX('AFA Rates'!$H$5:$H$1004,$T936))))</f>
        <v/>
      </c>
      <c r="K936" s="50">
        <f>IF($T936="","",IF($S936="S",IF(INDEX(Firms!$J$5:$J$1004,$T936)="","",INDEX(Firms!$J$5:$J$1004,$T936)),IF(INDEX('AFA Rates'!$I$5:$I$1004,$T936)="","",INDEX('AFA Rates'!$I$5:$I$1004,$T936))))</f>
        <v/>
      </c>
      <c r="L936" s="50">
        <f>IF($T936="","",IF($S936="S",IF(INDEX(Firms!$K$5:$K$1004,$T936)="","",INDEX(Firms!$K$5:$K$1004,$T936)),IF(INDEX('AFA Rates'!$J$5:$J$1004,$T936)="","",INDEX('AFA Rates'!$J$5:$J$1004,$T936))))</f>
        <v/>
      </c>
      <c r="M936" s="50">
        <f>IF($T936="","",IF($S936="S",IF(INDEX(Firms!$L$5:$L$1004,$T936)="","",INDEX(Firms!$L$5:$L$1004,$T936)),IF(INDEX('AFA Rates'!$K$5:$K$1004,$T936)="","",INDEX('AFA Rates'!$K$5:$K$1004,$T936))))</f>
        <v/>
      </c>
      <c r="N936" s="50">
        <f>IF($T936="","",IF($S936="S",IF(INDEX(Firms!$M$5:$M$1004,$T936)="","",INDEX(Firms!$M$5:$M$1004,$T936)),IF(INDEX('AFA Rates'!$L$5:$L$1004,$T936)="","",INDEX('AFA Rates'!$L$5:$L$1004,$T936))))</f>
        <v/>
      </c>
      <c r="O936" s="78">
        <f>IF(OR($T936="",$U936=""),"",IF(INDEX(Firms!$C$5:$C$1004,$U936)="","",INDEX(Firms!$C$5:$C$1004,$U936)))</f>
        <v/>
      </c>
      <c r="P936" s="79">
        <f>IF(OR($T936="",$U936=""),"",IF(INDEX(Firms!$N$5:$N$1004,$U936)="","",INDEX(Firms!$N$5:$N$1004,$U936)))</f>
        <v/>
      </c>
      <c r="Q936" s="78">
        <f>IF($T936="","",IF($S936="S",IF(INDEX(Firms!$T$5:$T$1004,$T936)="","",INDEX(Firms!$T$5:$T$1004,$T936)),IF(INDEX('AFA Rates'!$M$5:$M$1004,$T936)="","",INDEX('AFA Rates'!$M$5:$M$1004,$T936))))</f>
        <v/>
      </c>
      <c r="S936">
        <f>IF(932&lt;=$S$2,"S",IF(932&lt;=$S$2+$T$2,"A",""))</f>
        <v/>
      </c>
      <c r="T936">
        <f>IF(S936="S",MATCH(932,Firms!$W$5:$W$1004,0),IF(S936="A",IFERROR(MATCH(932-$S$2,'AFA Rates'!$R$5:$R$1004,0),""),""))</f>
        <v/>
      </c>
      <c r="U936">
        <f>IF(S936="S",T936,IF(AND(S936="A",T936&lt;&gt;""),IFERROR(MATCH(INDEX('AFA Rates'!$A$5:$A$1004,T936),Firms!$A$5:$A$1004,0),""),""))</f>
        <v/>
      </c>
    </row>
    <row r="937">
      <c r="A937" s="78">
        <f>IF($T937="","",IF($S937="S",IF(INDEX(Firms!$A$5:$A$1004,$T937)="","",INDEX(Firms!$A$5:$A$1004,$T937)),IF(INDEX('AFA Rates'!$A$5:$A$1004,$T937)="","",INDEX('AFA Rates'!$A$5:$A$1004,$T937))))</f>
        <v/>
      </c>
      <c r="B937" s="79">
        <f>IF(OR($T937="",$U937=""),IF($T937="","","Not on Firms tab"),INDEX(Firms!$B$5:$B$1004,$U937)&amp;"")</f>
        <v/>
      </c>
      <c r="C937" s="78">
        <f>IF($T937="","",IF($S937="S","Standard",INDEX('AFA Rates'!$B$5:$B$1004,$T937)&amp;""))</f>
        <v/>
      </c>
      <c r="D937" s="88">
        <f>IF($T937="","",IF($S937="S",IF(INDEX(Firms!$E$5:$E$1004,$T937)="","",INDEX(Firms!$E$5:$E$1004,$T937)),IF(INDEX('AFA Rates'!$C$5:$C$1004,$T937)="","",INDEX('AFA Rates'!$C$5:$C$1004,$T937))))</f>
        <v/>
      </c>
      <c r="E937" s="88">
        <f>IF($T937="","",IF($S937="S",IF(""="","",""),IF(INDEX('AFA Rates'!$D$5:$D$1004,$T937)="","",INDEX('AFA Rates'!$D$5:$D$1004,$T937))))</f>
        <v/>
      </c>
      <c r="F937" s="79">
        <f>IF($T937="","",IF($S937="S",IF(INDEX(Firms!$O$5:$O$1004,$T937)="","",INDEX(Firms!$O$5:$O$1004,$T937)),IF(INDEX('AFA Rates'!$O$5:$O$1004,$T937)="","",INDEX('AFA Rates'!$O$5:$O$1004,$T937))))</f>
        <v/>
      </c>
      <c r="G937" s="50">
        <f>IF($T937="","",IF($S937="S",IF(INDEX(Firms!$F$5:$F$1004,$T937)="","",INDEX(Firms!$F$5:$F$1004,$T937)),IF(INDEX('AFA Rates'!$E$5:$E$1004,$T937)="","",INDEX('AFA Rates'!$E$5:$E$1004,$T937))))</f>
        <v/>
      </c>
      <c r="H937" s="50">
        <f>IF($T937="","",IF($S937="S",IF(INDEX(Firms!$G$5:$G$1004,$T937)="","",INDEX(Firms!$G$5:$G$1004,$T937)),IF(INDEX('AFA Rates'!$F$5:$F$1004,$T937)="","",INDEX('AFA Rates'!$F$5:$F$1004,$T937))))</f>
        <v/>
      </c>
      <c r="I937" s="50">
        <f>IF($T937="","",IF($S937="S",IF(INDEX(Firms!$H$5:$H$1004,$T937)="","",INDEX(Firms!$H$5:$H$1004,$T937)),IF(INDEX('AFA Rates'!$G$5:$G$1004,$T937)="","",INDEX('AFA Rates'!$G$5:$G$1004,$T937))))</f>
        <v/>
      </c>
      <c r="J937" s="50">
        <f>IF($T937="","",IF($S937="S",IF(INDEX(Firms!$I$5:$I$1004,$T937)="","",INDEX(Firms!$I$5:$I$1004,$T937)),IF(INDEX('AFA Rates'!$H$5:$H$1004,$T937)="","",INDEX('AFA Rates'!$H$5:$H$1004,$T937))))</f>
        <v/>
      </c>
      <c r="K937" s="50">
        <f>IF($T937="","",IF($S937="S",IF(INDEX(Firms!$J$5:$J$1004,$T937)="","",INDEX(Firms!$J$5:$J$1004,$T937)),IF(INDEX('AFA Rates'!$I$5:$I$1004,$T937)="","",INDEX('AFA Rates'!$I$5:$I$1004,$T937))))</f>
        <v/>
      </c>
      <c r="L937" s="50">
        <f>IF($T937="","",IF($S937="S",IF(INDEX(Firms!$K$5:$K$1004,$T937)="","",INDEX(Firms!$K$5:$K$1004,$T937)),IF(INDEX('AFA Rates'!$J$5:$J$1004,$T937)="","",INDEX('AFA Rates'!$J$5:$J$1004,$T937))))</f>
        <v/>
      </c>
      <c r="M937" s="50">
        <f>IF($T937="","",IF($S937="S",IF(INDEX(Firms!$L$5:$L$1004,$T937)="","",INDEX(Firms!$L$5:$L$1004,$T937)),IF(INDEX('AFA Rates'!$K$5:$K$1004,$T937)="","",INDEX('AFA Rates'!$K$5:$K$1004,$T937))))</f>
        <v/>
      </c>
      <c r="N937" s="50">
        <f>IF($T937="","",IF($S937="S",IF(INDEX(Firms!$M$5:$M$1004,$T937)="","",INDEX(Firms!$M$5:$M$1004,$T937)),IF(INDEX('AFA Rates'!$L$5:$L$1004,$T937)="","",INDEX('AFA Rates'!$L$5:$L$1004,$T937))))</f>
        <v/>
      </c>
      <c r="O937" s="78">
        <f>IF(OR($T937="",$U937=""),"",IF(INDEX(Firms!$C$5:$C$1004,$U937)="","",INDEX(Firms!$C$5:$C$1004,$U937)))</f>
        <v/>
      </c>
      <c r="P937" s="79">
        <f>IF(OR($T937="",$U937=""),"",IF(INDEX(Firms!$N$5:$N$1004,$U937)="","",INDEX(Firms!$N$5:$N$1004,$U937)))</f>
        <v/>
      </c>
      <c r="Q937" s="78">
        <f>IF($T937="","",IF($S937="S",IF(INDEX(Firms!$T$5:$T$1004,$T937)="","",INDEX(Firms!$T$5:$T$1004,$T937)),IF(INDEX('AFA Rates'!$M$5:$M$1004,$T937)="","",INDEX('AFA Rates'!$M$5:$M$1004,$T937))))</f>
        <v/>
      </c>
      <c r="S937">
        <f>IF(933&lt;=$S$2,"S",IF(933&lt;=$S$2+$T$2,"A",""))</f>
        <v/>
      </c>
      <c r="T937">
        <f>IF(S937="S",MATCH(933,Firms!$W$5:$W$1004,0),IF(S937="A",IFERROR(MATCH(933-$S$2,'AFA Rates'!$R$5:$R$1004,0),""),""))</f>
        <v/>
      </c>
      <c r="U937">
        <f>IF(S937="S",T937,IF(AND(S937="A",T937&lt;&gt;""),IFERROR(MATCH(INDEX('AFA Rates'!$A$5:$A$1004,T937),Firms!$A$5:$A$1004,0),""),""))</f>
        <v/>
      </c>
    </row>
    <row r="938">
      <c r="A938" s="78">
        <f>IF($T938="","",IF($S938="S",IF(INDEX(Firms!$A$5:$A$1004,$T938)="","",INDEX(Firms!$A$5:$A$1004,$T938)),IF(INDEX('AFA Rates'!$A$5:$A$1004,$T938)="","",INDEX('AFA Rates'!$A$5:$A$1004,$T938))))</f>
        <v/>
      </c>
      <c r="B938" s="79">
        <f>IF(OR($T938="",$U938=""),IF($T938="","","Not on Firms tab"),INDEX(Firms!$B$5:$B$1004,$U938)&amp;"")</f>
        <v/>
      </c>
      <c r="C938" s="78">
        <f>IF($T938="","",IF($S938="S","Standard",INDEX('AFA Rates'!$B$5:$B$1004,$T938)&amp;""))</f>
        <v/>
      </c>
      <c r="D938" s="88">
        <f>IF($T938="","",IF($S938="S",IF(INDEX(Firms!$E$5:$E$1004,$T938)="","",INDEX(Firms!$E$5:$E$1004,$T938)),IF(INDEX('AFA Rates'!$C$5:$C$1004,$T938)="","",INDEX('AFA Rates'!$C$5:$C$1004,$T938))))</f>
        <v/>
      </c>
      <c r="E938" s="88">
        <f>IF($T938="","",IF($S938="S",IF(""="","",""),IF(INDEX('AFA Rates'!$D$5:$D$1004,$T938)="","",INDEX('AFA Rates'!$D$5:$D$1004,$T938))))</f>
        <v/>
      </c>
      <c r="F938" s="79">
        <f>IF($T938="","",IF($S938="S",IF(INDEX(Firms!$O$5:$O$1004,$T938)="","",INDEX(Firms!$O$5:$O$1004,$T938)),IF(INDEX('AFA Rates'!$O$5:$O$1004,$T938)="","",INDEX('AFA Rates'!$O$5:$O$1004,$T938))))</f>
        <v/>
      </c>
      <c r="G938" s="50">
        <f>IF($T938="","",IF($S938="S",IF(INDEX(Firms!$F$5:$F$1004,$T938)="","",INDEX(Firms!$F$5:$F$1004,$T938)),IF(INDEX('AFA Rates'!$E$5:$E$1004,$T938)="","",INDEX('AFA Rates'!$E$5:$E$1004,$T938))))</f>
        <v/>
      </c>
      <c r="H938" s="50">
        <f>IF($T938="","",IF($S938="S",IF(INDEX(Firms!$G$5:$G$1004,$T938)="","",INDEX(Firms!$G$5:$G$1004,$T938)),IF(INDEX('AFA Rates'!$F$5:$F$1004,$T938)="","",INDEX('AFA Rates'!$F$5:$F$1004,$T938))))</f>
        <v/>
      </c>
      <c r="I938" s="50">
        <f>IF($T938="","",IF($S938="S",IF(INDEX(Firms!$H$5:$H$1004,$T938)="","",INDEX(Firms!$H$5:$H$1004,$T938)),IF(INDEX('AFA Rates'!$G$5:$G$1004,$T938)="","",INDEX('AFA Rates'!$G$5:$G$1004,$T938))))</f>
        <v/>
      </c>
      <c r="J938" s="50">
        <f>IF($T938="","",IF($S938="S",IF(INDEX(Firms!$I$5:$I$1004,$T938)="","",INDEX(Firms!$I$5:$I$1004,$T938)),IF(INDEX('AFA Rates'!$H$5:$H$1004,$T938)="","",INDEX('AFA Rates'!$H$5:$H$1004,$T938))))</f>
        <v/>
      </c>
      <c r="K938" s="50">
        <f>IF($T938="","",IF($S938="S",IF(INDEX(Firms!$J$5:$J$1004,$T938)="","",INDEX(Firms!$J$5:$J$1004,$T938)),IF(INDEX('AFA Rates'!$I$5:$I$1004,$T938)="","",INDEX('AFA Rates'!$I$5:$I$1004,$T938))))</f>
        <v/>
      </c>
      <c r="L938" s="50">
        <f>IF($T938="","",IF($S938="S",IF(INDEX(Firms!$K$5:$K$1004,$T938)="","",INDEX(Firms!$K$5:$K$1004,$T938)),IF(INDEX('AFA Rates'!$J$5:$J$1004,$T938)="","",INDEX('AFA Rates'!$J$5:$J$1004,$T938))))</f>
        <v/>
      </c>
      <c r="M938" s="50">
        <f>IF($T938="","",IF($S938="S",IF(INDEX(Firms!$L$5:$L$1004,$T938)="","",INDEX(Firms!$L$5:$L$1004,$T938)),IF(INDEX('AFA Rates'!$K$5:$K$1004,$T938)="","",INDEX('AFA Rates'!$K$5:$K$1004,$T938))))</f>
        <v/>
      </c>
      <c r="N938" s="50">
        <f>IF($T938="","",IF($S938="S",IF(INDEX(Firms!$M$5:$M$1004,$T938)="","",INDEX(Firms!$M$5:$M$1004,$T938)),IF(INDEX('AFA Rates'!$L$5:$L$1004,$T938)="","",INDEX('AFA Rates'!$L$5:$L$1004,$T938))))</f>
        <v/>
      </c>
      <c r="O938" s="78">
        <f>IF(OR($T938="",$U938=""),"",IF(INDEX(Firms!$C$5:$C$1004,$U938)="","",INDEX(Firms!$C$5:$C$1004,$U938)))</f>
        <v/>
      </c>
      <c r="P938" s="79">
        <f>IF(OR($T938="",$U938=""),"",IF(INDEX(Firms!$N$5:$N$1004,$U938)="","",INDEX(Firms!$N$5:$N$1004,$U938)))</f>
        <v/>
      </c>
      <c r="Q938" s="78">
        <f>IF($T938="","",IF($S938="S",IF(INDEX(Firms!$T$5:$T$1004,$T938)="","",INDEX(Firms!$T$5:$T$1004,$T938)),IF(INDEX('AFA Rates'!$M$5:$M$1004,$T938)="","",INDEX('AFA Rates'!$M$5:$M$1004,$T938))))</f>
        <v/>
      </c>
      <c r="S938">
        <f>IF(934&lt;=$S$2,"S",IF(934&lt;=$S$2+$T$2,"A",""))</f>
        <v/>
      </c>
      <c r="T938">
        <f>IF(S938="S",MATCH(934,Firms!$W$5:$W$1004,0),IF(S938="A",IFERROR(MATCH(934-$S$2,'AFA Rates'!$R$5:$R$1004,0),""),""))</f>
        <v/>
      </c>
      <c r="U938">
        <f>IF(S938="S",T938,IF(AND(S938="A",T938&lt;&gt;""),IFERROR(MATCH(INDEX('AFA Rates'!$A$5:$A$1004,T938),Firms!$A$5:$A$1004,0),""),""))</f>
        <v/>
      </c>
    </row>
    <row r="939">
      <c r="A939" s="78">
        <f>IF($T939="","",IF($S939="S",IF(INDEX(Firms!$A$5:$A$1004,$T939)="","",INDEX(Firms!$A$5:$A$1004,$T939)),IF(INDEX('AFA Rates'!$A$5:$A$1004,$T939)="","",INDEX('AFA Rates'!$A$5:$A$1004,$T939))))</f>
        <v/>
      </c>
      <c r="B939" s="79">
        <f>IF(OR($T939="",$U939=""),IF($T939="","","Not on Firms tab"),INDEX(Firms!$B$5:$B$1004,$U939)&amp;"")</f>
        <v/>
      </c>
      <c r="C939" s="78">
        <f>IF($T939="","",IF($S939="S","Standard",INDEX('AFA Rates'!$B$5:$B$1004,$T939)&amp;""))</f>
        <v/>
      </c>
      <c r="D939" s="88">
        <f>IF($T939="","",IF($S939="S",IF(INDEX(Firms!$E$5:$E$1004,$T939)="","",INDEX(Firms!$E$5:$E$1004,$T939)),IF(INDEX('AFA Rates'!$C$5:$C$1004,$T939)="","",INDEX('AFA Rates'!$C$5:$C$1004,$T939))))</f>
        <v/>
      </c>
      <c r="E939" s="88">
        <f>IF($T939="","",IF($S939="S",IF(""="","",""),IF(INDEX('AFA Rates'!$D$5:$D$1004,$T939)="","",INDEX('AFA Rates'!$D$5:$D$1004,$T939))))</f>
        <v/>
      </c>
      <c r="F939" s="79">
        <f>IF($T939="","",IF($S939="S",IF(INDEX(Firms!$O$5:$O$1004,$T939)="","",INDEX(Firms!$O$5:$O$1004,$T939)),IF(INDEX('AFA Rates'!$O$5:$O$1004,$T939)="","",INDEX('AFA Rates'!$O$5:$O$1004,$T939))))</f>
        <v/>
      </c>
      <c r="G939" s="50">
        <f>IF($T939="","",IF($S939="S",IF(INDEX(Firms!$F$5:$F$1004,$T939)="","",INDEX(Firms!$F$5:$F$1004,$T939)),IF(INDEX('AFA Rates'!$E$5:$E$1004,$T939)="","",INDEX('AFA Rates'!$E$5:$E$1004,$T939))))</f>
        <v/>
      </c>
      <c r="H939" s="50">
        <f>IF($T939="","",IF($S939="S",IF(INDEX(Firms!$G$5:$G$1004,$T939)="","",INDEX(Firms!$G$5:$G$1004,$T939)),IF(INDEX('AFA Rates'!$F$5:$F$1004,$T939)="","",INDEX('AFA Rates'!$F$5:$F$1004,$T939))))</f>
        <v/>
      </c>
      <c r="I939" s="50">
        <f>IF($T939="","",IF($S939="S",IF(INDEX(Firms!$H$5:$H$1004,$T939)="","",INDEX(Firms!$H$5:$H$1004,$T939)),IF(INDEX('AFA Rates'!$G$5:$G$1004,$T939)="","",INDEX('AFA Rates'!$G$5:$G$1004,$T939))))</f>
        <v/>
      </c>
      <c r="J939" s="50">
        <f>IF($T939="","",IF($S939="S",IF(INDEX(Firms!$I$5:$I$1004,$T939)="","",INDEX(Firms!$I$5:$I$1004,$T939)),IF(INDEX('AFA Rates'!$H$5:$H$1004,$T939)="","",INDEX('AFA Rates'!$H$5:$H$1004,$T939))))</f>
        <v/>
      </c>
      <c r="K939" s="50">
        <f>IF($T939="","",IF($S939="S",IF(INDEX(Firms!$J$5:$J$1004,$T939)="","",INDEX(Firms!$J$5:$J$1004,$T939)),IF(INDEX('AFA Rates'!$I$5:$I$1004,$T939)="","",INDEX('AFA Rates'!$I$5:$I$1004,$T939))))</f>
        <v/>
      </c>
      <c r="L939" s="50">
        <f>IF($T939="","",IF($S939="S",IF(INDEX(Firms!$K$5:$K$1004,$T939)="","",INDEX(Firms!$K$5:$K$1004,$T939)),IF(INDEX('AFA Rates'!$J$5:$J$1004,$T939)="","",INDEX('AFA Rates'!$J$5:$J$1004,$T939))))</f>
        <v/>
      </c>
      <c r="M939" s="50">
        <f>IF($T939="","",IF($S939="S",IF(INDEX(Firms!$L$5:$L$1004,$T939)="","",INDEX(Firms!$L$5:$L$1004,$T939)),IF(INDEX('AFA Rates'!$K$5:$K$1004,$T939)="","",INDEX('AFA Rates'!$K$5:$K$1004,$T939))))</f>
        <v/>
      </c>
      <c r="N939" s="50">
        <f>IF($T939="","",IF($S939="S",IF(INDEX(Firms!$M$5:$M$1004,$T939)="","",INDEX(Firms!$M$5:$M$1004,$T939)),IF(INDEX('AFA Rates'!$L$5:$L$1004,$T939)="","",INDEX('AFA Rates'!$L$5:$L$1004,$T939))))</f>
        <v/>
      </c>
      <c r="O939" s="78">
        <f>IF(OR($T939="",$U939=""),"",IF(INDEX(Firms!$C$5:$C$1004,$U939)="","",INDEX(Firms!$C$5:$C$1004,$U939)))</f>
        <v/>
      </c>
      <c r="P939" s="79">
        <f>IF(OR($T939="",$U939=""),"",IF(INDEX(Firms!$N$5:$N$1004,$U939)="","",INDEX(Firms!$N$5:$N$1004,$U939)))</f>
        <v/>
      </c>
      <c r="Q939" s="78">
        <f>IF($T939="","",IF($S939="S",IF(INDEX(Firms!$T$5:$T$1004,$T939)="","",INDEX(Firms!$T$5:$T$1004,$T939)),IF(INDEX('AFA Rates'!$M$5:$M$1004,$T939)="","",INDEX('AFA Rates'!$M$5:$M$1004,$T939))))</f>
        <v/>
      </c>
      <c r="S939">
        <f>IF(935&lt;=$S$2,"S",IF(935&lt;=$S$2+$T$2,"A",""))</f>
        <v/>
      </c>
      <c r="T939">
        <f>IF(S939="S",MATCH(935,Firms!$W$5:$W$1004,0),IF(S939="A",IFERROR(MATCH(935-$S$2,'AFA Rates'!$R$5:$R$1004,0),""),""))</f>
        <v/>
      </c>
      <c r="U939">
        <f>IF(S939="S",T939,IF(AND(S939="A",T939&lt;&gt;""),IFERROR(MATCH(INDEX('AFA Rates'!$A$5:$A$1004,T939),Firms!$A$5:$A$1004,0),""),""))</f>
        <v/>
      </c>
    </row>
    <row r="940">
      <c r="A940" s="78">
        <f>IF($T940="","",IF($S940="S",IF(INDEX(Firms!$A$5:$A$1004,$T940)="","",INDEX(Firms!$A$5:$A$1004,$T940)),IF(INDEX('AFA Rates'!$A$5:$A$1004,$T940)="","",INDEX('AFA Rates'!$A$5:$A$1004,$T940))))</f>
        <v/>
      </c>
      <c r="B940" s="79">
        <f>IF(OR($T940="",$U940=""),IF($T940="","","Not on Firms tab"),INDEX(Firms!$B$5:$B$1004,$U940)&amp;"")</f>
        <v/>
      </c>
      <c r="C940" s="78">
        <f>IF($T940="","",IF($S940="S","Standard",INDEX('AFA Rates'!$B$5:$B$1004,$T940)&amp;""))</f>
        <v/>
      </c>
      <c r="D940" s="88">
        <f>IF($T940="","",IF($S940="S",IF(INDEX(Firms!$E$5:$E$1004,$T940)="","",INDEX(Firms!$E$5:$E$1004,$T940)),IF(INDEX('AFA Rates'!$C$5:$C$1004,$T940)="","",INDEX('AFA Rates'!$C$5:$C$1004,$T940))))</f>
        <v/>
      </c>
      <c r="E940" s="88">
        <f>IF($T940="","",IF($S940="S",IF(""="","",""),IF(INDEX('AFA Rates'!$D$5:$D$1004,$T940)="","",INDEX('AFA Rates'!$D$5:$D$1004,$T940))))</f>
        <v/>
      </c>
      <c r="F940" s="79">
        <f>IF($T940="","",IF($S940="S",IF(INDEX(Firms!$O$5:$O$1004,$T940)="","",INDEX(Firms!$O$5:$O$1004,$T940)),IF(INDEX('AFA Rates'!$O$5:$O$1004,$T940)="","",INDEX('AFA Rates'!$O$5:$O$1004,$T940))))</f>
        <v/>
      </c>
      <c r="G940" s="50">
        <f>IF($T940="","",IF($S940="S",IF(INDEX(Firms!$F$5:$F$1004,$T940)="","",INDEX(Firms!$F$5:$F$1004,$T940)),IF(INDEX('AFA Rates'!$E$5:$E$1004,$T940)="","",INDEX('AFA Rates'!$E$5:$E$1004,$T940))))</f>
        <v/>
      </c>
      <c r="H940" s="50">
        <f>IF($T940="","",IF($S940="S",IF(INDEX(Firms!$G$5:$G$1004,$T940)="","",INDEX(Firms!$G$5:$G$1004,$T940)),IF(INDEX('AFA Rates'!$F$5:$F$1004,$T940)="","",INDEX('AFA Rates'!$F$5:$F$1004,$T940))))</f>
        <v/>
      </c>
      <c r="I940" s="50">
        <f>IF($T940="","",IF($S940="S",IF(INDEX(Firms!$H$5:$H$1004,$T940)="","",INDEX(Firms!$H$5:$H$1004,$T940)),IF(INDEX('AFA Rates'!$G$5:$G$1004,$T940)="","",INDEX('AFA Rates'!$G$5:$G$1004,$T940))))</f>
        <v/>
      </c>
      <c r="J940" s="50">
        <f>IF($T940="","",IF($S940="S",IF(INDEX(Firms!$I$5:$I$1004,$T940)="","",INDEX(Firms!$I$5:$I$1004,$T940)),IF(INDEX('AFA Rates'!$H$5:$H$1004,$T940)="","",INDEX('AFA Rates'!$H$5:$H$1004,$T940))))</f>
        <v/>
      </c>
      <c r="K940" s="50">
        <f>IF($T940="","",IF($S940="S",IF(INDEX(Firms!$J$5:$J$1004,$T940)="","",INDEX(Firms!$J$5:$J$1004,$T940)),IF(INDEX('AFA Rates'!$I$5:$I$1004,$T940)="","",INDEX('AFA Rates'!$I$5:$I$1004,$T940))))</f>
        <v/>
      </c>
      <c r="L940" s="50">
        <f>IF($T940="","",IF($S940="S",IF(INDEX(Firms!$K$5:$K$1004,$T940)="","",INDEX(Firms!$K$5:$K$1004,$T940)),IF(INDEX('AFA Rates'!$J$5:$J$1004,$T940)="","",INDEX('AFA Rates'!$J$5:$J$1004,$T940))))</f>
        <v/>
      </c>
      <c r="M940" s="50">
        <f>IF($T940="","",IF($S940="S",IF(INDEX(Firms!$L$5:$L$1004,$T940)="","",INDEX(Firms!$L$5:$L$1004,$T940)),IF(INDEX('AFA Rates'!$K$5:$K$1004,$T940)="","",INDEX('AFA Rates'!$K$5:$K$1004,$T940))))</f>
        <v/>
      </c>
      <c r="N940" s="50">
        <f>IF($T940="","",IF($S940="S",IF(INDEX(Firms!$M$5:$M$1004,$T940)="","",INDEX(Firms!$M$5:$M$1004,$T940)),IF(INDEX('AFA Rates'!$L$5:$L$1004,$T940)="","",INDEX('AFA Rates'!$L$5:$L$1004,$T940))))</f>
        <v/>
      </c>
      <c r="O940" s="78">
        <f>IF(OR($T940="",$U940=""),"",IF(INDEX(Firms!$C$5:$C$1004,$U940)="","",INDEX(Firms!$C$5:$C$1004,$U940)))</f>
        <v/>
      </c>
      <c r="P940" s="79">
        <f>IF(OR($T940="",$U940=""),"",IF(INDEX(Firms!$N$5:$N$1004,$U940)="","",INDEX(Firms!$N$5:$N$1004,$U940)))</f>
        <v/>
      </c>
      <c r="Q940" s="78">
        <f>IF($T940="","",IF($S940="S",IF(INDEX(Firms!$T$5:$T$1004,$T940)="","",INDEX(Firms!$T$5:$T$1004,$T940)),IF(INDEX('AFA Rates'!$M$5:$M$1004,$T940)="","",INDEX('AFA Rates'!$M$5:$M$1004,$T940))))</f>
        <v/>
      </c>
      <c r="S940">
        <f>IF(936&lt;=$S$2,"S",IF(936&lt;=$S$2+$T$2,"A",""))</f>
        <v/>
      </c>
      <c r="T940">
        <f>IF(S940="S",MATCH(936,Firms!$W$5:$W$1004,0),IF(S940="A",IFERROR(MATCH(936-$S$2,'AFA Rates'!$R$5:$R$1004,0),""),""))</f>
        <v/>
      </c>
      <c r="U940">
        <f>IF(S940="S",T940,IF(AND(S940="A",T940&lt;&gt;""),IFERROR(MATCH(INDEX('AFA Rates'!$A$5:$A$1004,T940),Firms!$A$5:$A$1004,0),""),""))</f>
        <v/>
      </c>
    </row>
    <row r="941">
      <c r="A941" s="78">
        <f>IF($T941="","",IF($S941="S",IF(INDEX(Firms!$A$5:$A$1004,$T941)="","",INDEX(Firms!$A$5:$A$1004,$T941)),IF(INDEX('AFA Rates'!$A$5:$A$1004,$T941)="","",INDEX('AFA Rates'!$A$5:$A$1004,$T941))))</f>
        <v/>
      </c>
      <c r="B941" s="79">
        <f>IF(OR($T941="",$U941=""),IF($T941="","","Not on Firms tab"),INDEX(Firms!$B$5:$B$1004,$U941)&amp;"")</f>
        <v/>
      </c>
      <c r="C941" s="78">
        <f>IF($T941="","",IF($S941="S","Standard",INDEX('AFA Rates'!$B$5:$B$1004,$T941)&amp;""))</f>
        <v/>
      </c>
      <c r="D941" s="88">
        <f>IF($T941="","",IF($S941="S",IF(INDEX(Firms!$E$5:$E$1004,$T941)="","",INDEX(Firms!$E$5:$E$1004,$T941)),IF(INDEX('AFA Rates'!$C$5:$C$1004,$T941)="","",INDEX('AFA Rates'!$C$5:$C$1004,$T941))))</f>
        <v/>
      </c>
      <c r="E941" s="88">
        <f>IF($T941="","",IF($S941="S",IF(""="","",""),IF(INDEX('AFA Rates'!$D$5:$D$1004,$T941)="","",INDEX('AFA Rates'!$D$5:$D$1004,$T941))))</f>
        <v/>
      </c>
      <c r="F941" s="79">
        <f>IF($T941="","",IF($S941="S",IF(INDEX(Firms!$O$5:$O$1004,$T941)="","",INDEX(Firms!$O$5:$O$1004,$T941)),IF(INDEX('AFA Rates'!$O$5:$O$1004,$T941)="","",INDEX('AFA Rates'!$O$5:$O$1004,$T941))))</f>
        <v/>
      </c>
      <c r="G941" s="50">
        <f>IF($T941="","",IF($S941="S",IF(INDEX(Firms!$F$5:$F$1004,$T941)="","",INDEX(Firms!$F$5:$F$1004,$T941)),IF(INDEX('AFA Rates'!$E$5:$E$1004,$T941)="","",INDEX('AFA Rates'!$E$5:$E$1004,$T941))))</f>
        <v/>
      </c>
      <c r="H941" s="50">
        <f>IF($T941="","",IF($S941="S",IF(INDEX(Firms!$G$5:$G$1004,$T941)="","",INDEX(Firms!$G$5:$G$1004,$T941)),IF(INDEX('AFA Rates'!$F$5:$F$1004,$T941)="","",INDEX('AFA Rates'!$F$5:$F$1004,$T941))))</f>
        <v/>
      </c>
      <c r="I941" s="50">
        <f>IF($T941="","",IF($S941="S",IF(INDEX(Firms!$H$5:$H$1004,$T941)="","",INDEX(Firms!$H$5:$H$1004,$T941)),IF(INDEX('AFA Rates'!$G$5:$G$1004,$T941)="","",INDEX('AFA Rates'!$G$5:$G$1004,$T941))))</f>
        <v/>
      </c>
      <c r="J941" s="50">
        <f>IF($T941="","",IF($S941="S",IF(INDEX(Firms!$I$5:$I$1004,$T941)="","",INDEX(Firms!$I$5:$I$1004,$T941)),IF(INDEX('AFA Rates'!$H$5:$H$1004,$T941)="","",INDEX('AFA Rates'!$H$5:$H$1004,$T941))))</f>
        <v/>
      </c>
      <c r="K941" s="50">
        <f>IF($T941="","",IF($S941="S",IF(INDEX(Firms!$J$5:$J$1004,$T941)="","",INDEX(Firms!$J$5:$J$1004,$T941)),IF(INDEX('AFA Rates'!$I$5:$I$1004,$T941)="","",INDEX('AFA Rates'!$I$5:$I$1004,$T941))))</f>
        <v/>
      </c>
      <c r="L941" s="50">
        <f>IF($T941="","",IF($S941="S",IF(INDEX(Firms!$K$5:$K$1004,$T941)="","",INDEX(Firms!$K$5:$K$1004,$T941)),IF(INDEX('AFA Rates'!$J$5:$J$1004,$T941)="","",INDEX('AFA Rates'!$J$5:$J$1004,$T941))))</f>
        <v/>
      </c>
      <c r="M941" s="50">
        <f>IF($T941="","",IF($S941="S",IF(INDEX(Firms!$L$5:$L$1004,$T941)="","",INDEX(Firms!$L$5:$L$1004,$T941)),IF(INDEX('AFA Rates'!$K$5:$K$1004,$T941)="","",INDEX('AFA Rates'!$K$5:$K$1004,$T941))))</f>
        <v/>
      </c>
      <c r="N941" s="50">
        <f>IF($T941="","",IF($S941="S",IF(INDEX(Firms!$M$5:$M$1004,$T941)="","",INDEX(Firms!$M$5:$M$1004,$T941)),IF(INDEX('AFA Rates'!$L$5:$L$1004,$T941)="","",INDEX('AFA Rates'!$L$5:$L$1004,$T941))))</f>
        <v/>
      </c>
      <c r="O941" s="78">
        <f>IF(OR($T941="",$U941=""),"",IF(INDEX(Firms!$C$5:$C$1004,$U941)="","",INDEX(Firms!$C$5:$C$1004,$U941)))</f>
        <v/>
      </c>
      <c r="P941" s="79">
        <f>IF(OR($T941="",$U941=""),"",IF(INDEX(Firms!$N$5:$N$1004,$U941)="","",INDEX(Firms!$N$5:$N$1004,$U941)))</f>
        <v/>
      </c>
      <c r="Q941" s="78">
        <f>IF($T941="","",IF($S941="S",IF(INDEX(Firms!$T$5:$T$1004,$T941)="","",INDEX(Firms!$T$5:$T$1004,$T941)),IF(INDEX('AFA Rates'!$M$5:$M$1004,$T941)="","",INDEX('AFA Rates'!$M$5:$M$1004,$T941))))</f>
        <v/>
      </c>
      <c r="S941">
        <f>IF(937&lt;=$S$2,"S",IF(937&lt;=$S$2+$T$2,"A",""))</f>
        <v/>
      </c>
      <c r="T941">
        <f>IF(S941="S",MATCH(937,Firms!$W$5:$W$1004,0),IF(S941="A",IFERROR(MATCH(937-$S$2,'AFA Rates'!$R$5:$R$1004,0),""),""))</f>
        <v/>
      </c>
      <c r="U941">
        <f>IF(S941="S",T941,IF(AND(S941="A",T941&lt;&gt;""),IFERROR(MATCH(INDEX('AFA Rates'!$A$5:$A$1004,T941),Firms!$A$5:$A$1004,0),""),""))</f>
        <v/>
      </c>
    </row>
    <row r="942">
      <c r="A942" s="78">
        <f>IF($T942="","",IF($S942="S",IF(INDEX(Firms!$A$5:$A$1004,$T942)="","",INDEX(Firms!$A$5:$A$1004,$T942)),IF(INDEX('AFA Rates'!$A$5:$A$1004,$T942)="","",INDEX('AFA Rates'!$A$5:$A$1004,$T942))))</f>
        <v/>
      </c>
      <c r="B942" s="79">
        <f>IF(OR($T942="",$U942=""),IF($T942="","","Not on Firms tab"),INDEX(Firms!$B$5:$B$1004,$U942)&amp;"")</f>
        <v/>
      </c>
      <c r="C942" s="78">
        <f>IF($T942="","",IF($S942="S","Standard",INDEX('AFA Rates'!$B$5:$B$1004,$T942)&amp;""))</f>
        <v/>
      </c>
      <c r="D942" s="88">
        <f>IF($T942="","",IF($S942="S",IF(INDEX(Firms!$E$5:$E$1004,$T942)="","",INDEX(Firms!$E$5:$E$1004,$T942)),IF(INDEX('AFA Rates'!$C$5:$C$1004,$T942)="","",INDEX('AFA Rates'!$C$5:$C$1004,$T942))))</f>
        <v/>
      </c>
      <c r="E942" s="88">
        <f>IF($T942="","",IF($S942="S",IF(""="","",""),IF(INDEX('AFA Rates'!$D$5:$D$1004,$T942)="","",INDEX('AFA Rates'!$D$5:$D$1004,$T942))))</f>
        <v/>
      </c>
      <c r="F942" s="79">
        <f>IF($T942="","",IF($S942="S",IF(INDEX(Firms!$O$5:$O$1004,$T942)="","",INDEX(Firms!$O$5:$O$1004,$T942)),IF(INDEX('AFA Rates'!$O$5:$O$1004,$T942)="","",INDEX('AFA Rates'!$O$5:$O$1004,$T942))))</f>
        <v/>
      </c>
      <c r="G942" s="50">
        <f>IF($T942="","",IF($S942="S",IF(INDEX(Firms!$F$5:$F$1004,$T942)="","",INDEX(Firms!$F$5:$F$1004,$T942)),IF(INDEX('AFA Rates'!$E$5:$E$1004,$T942)="","",INDEX('AFA Rates'!$E$5:$E$1004,$T942))))</f>
        <v/>
      </c>
      <c r="H942" s="50">
        <f>IF($T942="","",IF($S942="S",IF(INDEX(Firms!$G$5:$G$1004,$T942)="","",INDEX(Firms!$G$5:$G$1004,$T942)),IF(INDEX('AFA Rates'!$F$5:$F$1004,$T942)="","",INDEX('AFA Rates'!$F$5:$F$1004,$T942))))</f>
        <v/>
      </c>
      <c r="I942" s="50">
        <f>IF($T942="","",IF($S942="S",IF(INDEX(Firms!$H$5:$H$1004,$T942)="","",INDEX(Firms!$H$5:$H$1004,$T942)),IF(INDEX('AFA Rates'!$G$5:$G$1004,$T942)="","",INDEX('AFA Rates'!$G$5:$G$1004,$T942))))</f>
        <v/>
      </c>
      <c r="J942" s="50">
        <f>IF($T942="","",IF($S942="S",IF(INDEX(Firms!$I$5:$I$1004,$T942)="","",INDEX(Firms!$I$5:$I$1004,$T942)),IF(INDEX('AFA Rates'!$H$5:$H$1004,$T942)="","",INDEX('AFA Rates'!$H$5:$H$1004,$T942))))</f>
        <v/>
      </c>
      <c r="K942" s="50">
        <f>IF($T942="","",IF($S942="S",IF(INDEX(Firms!$J$5:$J$1004,$T942)="","",INDEX(Firms!$J$5:$J$1004,$T942)),IF(INDEX('AFA Rates'!$I$5:$I$1004,$T942)="","",INDEX('AFA Rates'!$I$5:$I$1004,$T942))))</f>
        <v/>
      </c>
      <c r="L942" s="50">
        <f>IF($T942="","",IF($S942="S",IF(INDEX(Firms!$K$5:$K$1004,$T942)="","",INDEX(Firms!$K$5:$K$1004,$T942)),IF(INDEX('AFA Rates'!$J$5:$J$1004,$T942)="","",INDEX('AFA Rates'!$J$5:$J$1004,$T942))))</f>
        <v/>
      </c>
      <c r="M942" s="50">
        <f>IF($T942="","",IF($S942="S",IF(INDEX(Firms!$L$5:$L$1004,$T942)="","",INDEX(Firms!$L$5:$L$1004,$T942)),IF(INDEX('AFA Rates'!$K$5:$K$1004,$T942)="","",INDEX('AFA Rates'!$K$5:$K$1004,$T942))))</f>
        <v/>
      </c>
      <c r="N942" s="50">
        <f>IF($T942="","",IF($S942="S",IF(INDEX(Firms!$M$5:$M$1004,$T942)="","",INDEX(Firms!$M$5:$M$1004,$T942)),IF(INDEX('AFA Rates'!$L$5:$L$1004,$T942)="","",INDEX('AFA Rates'!$L$5:$L$1004,$T942))))</f>
        <v/>
      </c>
      <c r="O942" s="78">
        <f>IF(OR($T942="",$U942=""),"",IF(INDEX(Firms!$C$5:$C$1004,$U942)="","",INDEX(Firms!$C$5:$C$1004,$U942)))</f>
        <v/>
      </c>
      <c r="P942" s="79">
        <f>IF(OR($T942="",$U942=""),"",IF(INDEX(Firms!$N$5:$N$1004,$U942)="","",INDEX(Firms!$N$5:$N$1004,$U942)))</f>
        <v/>
      </c>
      <c r="Q942" s="78">
        <f>IF($T942="","",IF($S942="S",IF(INDEX(Firms!$T$5:$T$1004,$T942)="","",INDEX(Firms!$T$5:$T$1004,$T942)),IF(INDEX('AFA Rates'!$M$5:$M$1004,$T942)="","",INDEX('AFA Rates'!$M$5:$M$1004,$T942))))</f>
        <v/>
      </c>
      <c r="S942">
        <f>IF(938&lt;=$S$2,"S",IF(938&lt;=$S$2+$T$2,"A",""))</f>
        <v/>
      </c>
      <c r="T942">
        <f>IF(S942="S",MATCH(938,Firms!$W$5:$W$1004,0),IF(S942="A",IFERROR(MATCH(938-$S$2,'AFA Rates'!$R$5:$R$1004,0),""),""))</f>
        <v/>
      </c>
      <c r="U942">
        <f>IF(S942="S",T942,IF(AND(S942="A",T942&lt;&gt;""),IFERROR(MATCH(INDEX('AFA Rates'!$A$5:$A$1004,T942),Firms!$A$5:$A$1004,0),""),""))</f>
        <v/>
      </c>
    </row>
    <row r="943">
      <c r="A943" s="78">
        <f>IF($T943="","",IF($S943="S",IF(INDEX(Firms!$A$5:$A$1004,$T943)="","",INDEX(Firms!$A$5:$A$1004,$T943)),IF(INDEX('AFA Rates'!$A$5:$A$1004,$T943)="","",INDEX('AFA Rates'!$A$5:$A$1004,$T943))))</f>
        <v/>
      </c>
      <c r="B943" s="79">
        <f>IF(OR($T943="",$U943=""),IF($T943="","","Not on Firms tab"),INDEX(Firms!$B$5:$B$1004,$U943)&amp;"")</f>
        <v/>
      </c>
      <c r="C943" s="78">
        <f>IF($T943="","",IF($S943="S","Standard",INDEX('AFA Rates'!$B$5:$B$1004,$T943)&amp;""))</f>
        <v/>
      </c>
      <c r="D943" s="88">
        <f>IF($T943="","",IF($S943="S",IF(INDEX(Firms!$E$5:$E$1004,$T943)="","",INDEX(Firms!$E$5:$E$1004,$T943)),IF(INDEX('AFA Rates'!$C$5:$C$1004,$T943)="","",INDEX('AFA Rates'!$C$5:$C$1004,$T943))))</f>
        <v/>
      </c>
      <c r="E943" s="88">
        <f>IF($T943="","",IF($S943="S",IF(""="","",""),IF(INDEX('AFA Rates'!$D$5:$D$1004,$T943)="","",INDEX('AFA Rates'!$D$5:$D$1004,$T943))))</f>
        <v/>
      </c>
      <c r="F943" s="79">
        <f>IF($T943="","",IF($S943="S",IF(INDEX(Firms!$O$5:$O$1004,$T943)="","",INDEX(Firms!$O$5:$O$1004,$T943)),IF(INDEX('AFA Rates'!$O$5:$O$1004,$T943)="","",INDEX('AFA Rates'!$O$5:$O$1004,$T943))))</f>
        <v/>
      </c>
      <c r="G943" s="50">
        <f>IF($T943="","",IF($S943="S",IF(INDEX(Firms!$F$5:$F$1004,$T943)="","",INDEX(Firms!$F$5:$F$1004,$T943)),IF(INDEX('AFA Rates'!$E$5:$E$1004,$T943)="","",INDEX('AFA Rates'!$E$5:$E$1004,$T943))))</f>
        <v/>
      </c>
      <c r="H943" s="50">
        <f>IF($T943="","",IF($S943="S",IF(INDEX(Firms!$G$5:$G$1004,$T943)="","",INDEX(Firms!$G$5:$G$1004,$T943)),IF(INDEX('AFA Rates'!$F$5:$F$1004,$T943)="","",INDEX('AFA Rates'!$F$5:$F$1004,$T943))))</f>
        <v/>
      </c>
      <c r="I943" s="50">
        <f>IF($T943="","",IF($S943="S",IF(INDEX(Firms!$H$5:$H$1004,$T943)="","",INDEX(Firms!$H$5:$H$1004,$T943)),IF(INDEX('AFA Rates'!$G$5:$G$1004,$T943)="","",INDEX('AFA Rates'!$G$5:$G$1004,$T943))))</f>
        <v/>
      </c>
      <c r="J943" s="50">
        <f>IF($T943="","",IF($S943="S",IF(INDEX(Firms!$I$5:$I$1004,$T943)="","",INDEX(Firms!$I$5:$I$1004,$T943)),IF(INDEX('AFA Rates'!$H$5:$H$1004,$T943)="","",INDEX('AFA Rates'!$H$5:$H$1004,$T943))))</f>
        <v/>
      </c>
      <c r="K943" s="50">
        <f>IF($T943="","",IF($S943="S",IF(INDEX(Firms!$J$5:$J$1004,$T943)="","",INDEX(Firms!$J$5:$J$1004,$T943)),IF(INDEX('AFA Rates'!$I$5:$I$1004,$T943)="","",INDEX('AFA Rates'!$I$5:$I$1004,$T943))))</f>
        <v/>
      </c>
      <c r="L943" s="50">
        <f>IF($T943="","",IF($S943="S",IF(INDEX(Firms!$K$5:$K$1004,$T943)="","",INDEX(Firms!$K$5:$K$1004,$T943)),IF(INDEX('AFA Rates'!$J$5:$J$1004,$T943)="","",INDEX('AFA Rates'!$J$5:$J$1004,$T943))))</f>
        <v/>
      </c>
      <c r="M943" s="50">
        <f>IF($T943="","",IF($S943="S",IF(INDEX(Firms!$L$5:$L$1004,$T943)="","",INDEX(Firms!$L$5:$L$1004,$T943)),IF(INDEX('AFA Rates'!$K$5:$K$1004,$T943)="","",INDEX('AFA Rates'!$K$5:$K$1004,$T943))))</f>
        <v/>
      </c>
      <c r="N943" s="50">
        <f>IF($T943="","",IF($S943="S",IF(INDEX(Firms!$M$5:$M$1004,$T943)="","",INDEX(Firms!$M$5:$M$1004,$T943)),IF(INDEX('AFA Rates'!$L$5:$L$1004,$T943)="","",INDEX('AFA Rates'!$L$5:$L$1004,$T943))))</f>
        <v/>
      </c>
      <c r="O943" s="78">
        <f>IF(OR($T943="",$U943=""),"",IF(INDEX(Firms!$C$5:$C$1004,$U943)="","",INDEX(Firms!$C$5:$C$1004,$U943)))</f>
        <v/>
      </c>
      <c r="P943" s="79">
        <f>IF(OR($T943="",$U943=""),"",IF(INDEX(Firms!$N$5:$N$1004,$U943)="","",INDEX(Firms!$N$5:$N$1004,$U943)))</f>
        <v/>
      </c>
      <c r="Q943" s="78">
        <f>IF($T943="","",IF($S943="S",IF(INDEX(Firms!$T$5:$T$1004,$T943)="","",INDEX(Firms!$T$5:$T$1004,$T943)),IF(INDEX('AFA Rates'!$M$5:$M$1004,$T943)="","",INDEX('AFA Rates'!$M$5:$M$1004,$T943))))</f>
        <v/>
      </c>
      <c r="S943">
        <f>IF(939&lt;=$S$2,"S",IF(939&lt;=$S$2+$T$2,"A",""))</f>
        <v/>
      </c>
      <c r="T943">
        <f>IF(S943="S",MATCH(939,Firms!$W$5:$W$1004,0),IF(S943="A",IFERROR(MATCH(939-$S$2,'AFA Rates'!$R$5:$R$1004,0),""),""))</f>
        <v/>
      </c>
      <c r="U943">
        <f>IF(S943="S",T943,IF(AND(S943="A",T943&lt;&gt;""),IFERROR(MATCH(INDEX('AFA Rates'!$A$5:$A$1004,T943),Firms!$A$5:$A$1004,0),""),""))</f>
        <v/>
      </c>
    </row>
    <row r="944">
      <c r="A944" s="78">
        <f>IF($T944="","",IF($S944="S",IF(INDEX(Firms!$A$5:$A$1004,$T944)="","",INDEX(Firms!$A$5:$A$1004,$T944)),IF(INDEX('AFA Rates'!$A$5:$A$1004,$T944)="","",INDEX('AFA Rates'!$A$5:$A$1004,$T944))))</f>
        <v/>
      </c>
      <c r="B944" s="79">
        <f>IF(OR($T944="",$U944=""),IF($T944="","","Not on Firms tab"),INDEX(Firms!$B$5:$B$1004,$U944)&amp;"")</f>
        <v/>
      </c>
      <c r="C944" s="78">
        <f>IF($T944="","",IF($S944="S","Standard",INDEX('AFA Rates'!$B$5:$B$1004,$T944)&amp;""))</f>
        <v/>
      </c>
      <c r="D944" s="88">
        <f>IF($T944="","",IF($S944="S",IF(INDEX(Firms!$E$5:$E$1004,$T944)="","",INDEX(Firms!$E$5:$E$1004,$T944)),IF(INDEX('AFA Rates'!$C$5:$C$1004,$T944)="","",INDEX('AFA Rates'!$C$5:$C$1004,$T944))))</f>
        <v/>
      </c>
      <c r="E944" s="88">
        <f>IF($T944="","",IF($S944="S",IF(""="","",""),IF(INDEX('AFA Rates'!$D$5:$D$1004,$T944)="","",INDEX('AFA Rates'!$D$5:$D$1004,$T944))))</f>
        <v/>
      </c>
      <c r="F944" s="79">
        <f>IF($T944="","",IF($S944="S",IF(INDEX(Firms!$O$5:$O$1004,$T944)="","",INDEX(Firms!$O$5:$O$1004,$T944)),IF(INDEX('AFA Rates'!$O$5:$O$1004,$T944)="","",INDEX('AFA Rates'!$O$5:$O$1004,$T944))))</f>
        <v/>
      </c>
      <c r="G944" s="50">
        <f>IF($T944="","",IF($S944="S",IF(INDEX(Firms!$F$5:$F$1004,$T944)="","",INDEX(Firms!$F$5:$F$1004,$T944)),IF(INDEX('AFA Rates'!$E$5:$E$1004,$T944)="","",INDEX('AFA Rates'!$E$5:$E$1004,$T944))))</f>
        <v/>
      </c>
      <c r="H944" s="50">
        <f>IF($T944="","",IF($S944="S",IF(INDEX(Firms!$G$5:$G$1004,$T944)="","",INDEX(Firms!$G$5:$G$1004,$T944)),IF(INDEX('AFA Rates'!$F$5:$F$1004,$T944)="","",INDEX('AFA Rates'!$F$5:$F$1004,$T944))))</f>
        <v/>
      </c>
      <c r="I944" s="50">
        <f>IF($T944="","",IF($S944="S",IF(INDEX(Firms!$H$5:$H$1004,$T944)="","",INDEX(Firms!$H$5:$H$1004,$T944)),IF(INDEX('AFA Rates'!$G$5:$G$1004,$T944)="","",INDEX('AFA Rates'!$G$5:$G$1004,$T944))))</f>
        <v/>
      </c>
      <c r="J944" s="50">
        <f>IF($T944="","",IF($S944="S",IF(INDEX(Firms!$I$5:$I$1004,$T944)="","",INDEX(Firms!$I$5:$I$1004,$T944)),IF(INDEX('AFA Rates'!$H$5:$H$1004,$T944)="","",INDEX('AFA Rates'!$H$5:$H$1004,$T944))))</f>
        <v/>
      </c>
      <c r="K944" s="50">
        <f>IF($T944="","",IF($S944="S",IF(INDEX(Firms!$J$5:$J$1004,$T944)="","",INDEX(Firms!$J$5:$J$1004,$T944)),IF(INDEX('AFA Rates'!$I$5:$I$1004,$T944)="","",INDEX('AFA Rates'!$I$5:$I$1004,$T944))))</f>
        <v/>
      </c>
      <c r="L944" s="50">
        <f>IF($T944="","",IF($S944="S",IF(INDEX(Firms!$K$5:$K$1004,$T944)="","",INDEX(Firms!$K$5:$K$1004,$T944)),IF(INDEX('AFA Rates'!$J$5:$J$1004,$T944)="","",INDEX('AFA Rates'!$J$5:$J$1004,$T944))))</f>
        <v/>
      </c>
      <c r="M944" s="50">
        <f>IF($T944="","",IF($S944="S",IF(INDEX(Firms!$L$5:$L$1004,$T944)="","",INDEX(Firms!$L$5:$L$1004,$T944)),IF(INDEX('AFA Rates'!$K$5:$K$1004,$T944)="","",INDEX('AFA Rates'!$K$5:$K$1004,$T944))))</f>
        <v/>
      </c>
      <c r="N944" s="50">
        <f>IF($T944="","",IF($S944="S",IF(INDEX(Firms!$M$5:$M$1004,$T944)="","",INDEX(Firms!$M$5:$M$1004,$T944)),IF(INDEX('AFA Rates'!$L$5:$L$1004,$T944)="","",INDEX('AFA Rates'!$L$5:$L$1004,$T944))))</f>
        <v/>
      </c>
      <c r="O944" s="78">
        <f>IF(OR($T944="",$U944=""),"",IF(INDEX(Firms!$C$5:$C$1004,$U944)="","",INDEX(Firms!$C$5:$C$1004,$U944)))</f>
        <v/>
      </c>
      <c r="P944" s="79">
        <f>IF(OR($T944="",$U944=""),"",IF(INDEX(Firms!$N$5:$N$1004,$U944)="","",INDEX(Firms!$N$5:$N$1004,$U944)))</f>
        <v/>
      </c>
      <c r="Q944" s="78">
        <f>IF($T944="","",IF($S944="S",IF(INDEX(Firms!$T$5:$T$1004,$T944)="","",INDEX(Firms!$T$5:$T$1004,$T944)),IF(INDEX('AFA Rates'!$M$5:$M$1004,$T944)="","",INDEX('AFA Rates'!$M$5:$M$1004,$T944))))</f>
        <v/>
      </c>
      <c r="S944">
        <f>IF(940&lt;=$S$2,"S",IF(940&lt;=$S$2+$T$2,"A",""))</f>
        <v/>
      </c>
      <c r="T944">
        <f>IF(S944="S",MATCH(940,Firms!$W$5:$W$1004,0),IF(S944="A",IFERROR(MATCH(940-$S$2,'AFA Rates'!$R$5:$R$1004,0),""),""))</f>
        <v/>
      </c>
      <c r="U944">
        <f>IF(S944="S",T944,IF(AND(S944="A",T944&lt;&gt;""),IFERROR(MATCH(INDEX('AFA Rates'!$A$5:$A$1004,T944),Firms!$A$5:$A$1004,0),""),""))</f>
        <v/>
      </c>
    </row>
    <row r="945">
      <c r="A945" s="78">
        <f>IF($T945="","",IF($S945="S",IF(INDEX(Firms!$A$5:$A$1004,$T945)="","",INDEX(Firms!$A$5:$A$1004,$T945)),IF(INDEX('AFA Rates'!$A$5:$A$1004,$T945)="","",INDEX('AFA Rates'!$A$5:$A$1004,$T945))))</f>
        <v/>
      </c>
      <c r="B945" s="79">
        <f>IF(OR($T945="",$U945=""),IF($T945="","","Not on Firms tab"),INDEX(Firms!$B$5:$B$1004,$U945)&amp;"")</f>
        <v/>
      </c>
      <c r="C945" s="78">
        <f>IF($T945="","",IF($S945="S","Standard",INDEX('AFA Rates'!$B$5:$B$1004,$T945)&amp;""))</f>
        <v/>
      </c>
      <c r="D945" s="88">
        <f>IF($T945="","",IF($S945="S",IF(INDEX(Firms!$E$5:$E$1004,$T945)="","",INDEX(Firms!$E$5:$E$1004,$T945)),IF(INDEX('AFA Rates'!$C$5:$C$1004,$T945)="","",INDEX('AFA Rates'!$C$5:$C$1004,$T945))))</f>
        <v/>
      </c>
      <c r="E945" s="88">
        <f>IF($T945="","",IF($S945="S",IF(""="","",""),IF(INDEX('AFA Rates'!$D$5:$D$1004,$T945)="","",INDEX('AFA Rates'!$D$5:$D$1004,$T945))))</f>
        <v/>
      </c>
      <c r="F945" s="79">
        <f>IF($T945="","",IF($S945="S",IF(INDEX(Firms!$O$5:$O$1004,$T945)="","",INDEX(Firms!$O$5:$O$1004,$T945)),IF(INDEX('AFA Rates'!$O$5:$O$1004,$T945)="","",INDEX('AFA Rates'!$O$5:$O$1004,$T945))))</f>
        <v/>
      </c>
      <c r="G945" s="50">
        <f>IF($T945="","",IF($S945="S",IF(INDEX(Firms!$F$5:$F$1004,$T945)="","",INDEX(Firms!$F$5:$F$1004,$T945)),IF(INDEX('AFA Rates'!$E$5:$E$1004,$T945)="","",INDEX('AFA Rates'!$E$5:$E$1004,$T945))))</f>
        <v/>
      </c>
      <c r="H945" s="50">
        <f>IF($T945="","",IF($S945="S",IF(INDEX(Firms!$G$5:$G$1004,$T945)="","",INDEX(Firms!$G$5:$G$1004,$T945)),IF(INDEX('AFA Rates'!$F$5:$F$1004,$T945)="","",INDEX('AFA Rates'!$F$5:$F$1004,$T945))))</f>
        <v/>
      </c>
      <c r="I945" s="50">
        <f>IF($T945="","",IF($S945="S",IF(INDEX(Firms!$H$5:$H$1004,$T945)="","",INDEX(Firms!$H$5:$H$1004,$T945)),IF(INDEX('AFA Rates'!$G$5:$G$1004,$T945)="","",INDEX('AFA Rates'!$G$5:$G$1004,$T945))))</f>
        <v/>
      </c>
      <c r="J945" s="50">
        <f>IF($T945="","",IF($S945="S",IF(INDEX(Firms!$I$5:$I$1004,$T945)="","",INDEX(Firms!$I$5:$I$1004,$T945)),IF(INDEX('AFA Rates'!$H$5:$H$1004,$T945)="","",INDEX('AFA Rates'!$H$5:$H$1004,$T945))))</f>
        <v/>
      </c>
      <c r="K945" s="50">
        <f>IF($T945="","",IF($S945="S",IF(INDEX(Firms!$J$5:$J$1004,$T945)="","",INDEX(Firms!$J$5:$J$1004,$T945)),IF(INDEX('AFA Rates'!$I$5:$I$1004,$T945)="","",INDEX('AFA Rates'!$I$5:$I$1004,$T945))))</f>
        <v/>
      </c>
      <c r="L945" s="50">
        <f>IF($T945="","",IF($S945="S",IF(INDEX(Firms!$K$5:$K$1004,$T945)="","",INDEX(Firms!$K$5:$K$1004,$T945)),IF(INDEX('AFA Rates'!$J$5:$J$1004,$T945)="","",INDEX('AFA Rates'!$J$5:$J$1004,$T945))))</f>
        <v/>
      </c>
      <c r="M945" s="50">
        <f>IF($T945="","",IF($S945="S",IF(INDEX(Firms!$L$5:$L$1004,$T945)="","",INDEX(Firms!$L$5:$L$1004,$T945)),IF(INDEX('AFA Rates'!$K$5:$K$1004,$T945)="","",INDEX('AFA Rates'!$K$5:$K$1004,$T945))))</f>
        <v/>
      </c>
      <c r="N945" s="50">
        <f>IF($T945="","",IF($S945="S",IF(INDEX(Firms!$M$5:$M$1004,$T945)="","",INDEX(Firms!$M$5:$M$1004,$T945)),IF(INDEX('AFA Rates'!$L$5:$L$1004,$T945)="","",INDEX('AFA Rates'!$L$5:$L$1004,$T945))))</f>
        <v/>
      </c>
      <c r="O945" s="78">
        <f>IF(OR($T945="",$U945=""),"",IF(INDEX(Firms!$C$5:$C$1004,$U945)="","",INDEX(Firms!$C$5:$C$1004,$U945)))</f>
        <v/>
      </c>
      <c r="P945" s="79">
        <f>IF(OR($T945="",$U945=""),"",IF(INDEX(Firms!$N$5:$N$1004,$U945)="","",INDEX(Firms!$N$5:$N$1004,$U945)))</f>
        <v/>
      </c>
      <c r="Q945" s="78">
        <f>IF($T945="","",IF($S945="S",IF(INDEX(Firms!$T$5:$T$1004,$T945)="","",INDEX(Firms!$T$5:$T$1004,$T945)),IF(INDEX('AFA Rates'!$M$5:$M$1004,$T945)="","",INDEX('AFA Rates'!$M$5:$M$1004,$T945))))</f>
        <v/>
      </c>
      <c r="S945">
        <f>IF(941&lt;=$S$2,"S",IF(941&lt;=$S$2+$T$2,"A",""))</f>
        <v/>
      </c>
      <c r="T945">
        <f>IF(S945="S",MATCH(941,Firms!$W$5:$W$1004,0),IF(S945="A",IFERROR(MATCH(941-$S$2,'AFA Rates'!$R$5:$R$1004,0),""),""))</f>
        <v/>
      </c>
      <c r="U945">
        <f>IF(S945="S",T945,IF(AND(S945="A",T945&lt;&gt;""),IFERROR(MATCH(INDEX('AFA Rates'!$A$5:$A$1004,T945),Firms!$A$5:$A$1004,0),""),""))</f>
        <v/>
      </c>
    </row>
    <row r="946">
      <c r="A946" s="78">
        <f>IF($T946="","",IF($S946="S",IF(INDEX(Firms!$A$5:$A$1004,$T946)="","",INDEX(Firms!$A$5:$A$1004,$T946)),IF(INDEX('AFA Rates'!$A$5:$A$1004,$T946)="","",INDEX('AFA Rates'!$A$5:$A$1004,$T946))))</f>
        <v/>
      </c>
      <c r="B946" s="79">
        <f>IF(OR($T946="",$U946=""),IF($T946="","","Not on Firms tab"),INDEX(Firms!$B$5:$B$1004,$U946)&amp;"")</f>
        <v/>
      </c>
      <c r="C946" s="78">
        <f>IF($T946="","",IF($S946="S","Standard",INDEX('AFA Rates'!$B$5:$B$1004,$T946)&amp;""))</f>
        <v/>
      </c>
      <c r="D946" s="88">
        <f>IF($T946="","",IF($S946="S",IF(INDEX(Firms!$E$5:$E$1004,$T946)="","",INDEX(Firms!$E$5:$E$1004,$T946)),IF(INDEX('AFA Rates'!$C$5:$C$1004,$T946)="","",INDEX('AFA Rates'!$C$5:$C$1004,$T946))))</f>
        <v/>
      </c>
      <c r="E946" s="88">
        <f>IF($T946="","",IF($S946="S",IF(""="","",""),IF(INDEX('AFA Rates'!$D$5:$D$1004,$T946)="","",INDEX('AFA Rates'!$D$5:$D$1004,$T946))))</f>
        <v/>
      </c>
      <c r="F946" s="79">
        <f>IF($T946="","",IF($S946="S",IF(INDEX(Firms!$O$5:$O$1004,$T946)="","",INDEX(Firms!$O$5:$O$1004,$T946)),IF(INDEX('AFA Rates'!$O$5:$O$1004,$T946)="","",INDEX('AFA Rates'!$O$5:$O$1004,$T946))))</f>
        <v/>
      </c>
      <c r="G946" s="50">
        <f>IF($T946="","",IF($S946="S",IF(INDEX(Firms!$F$5:$F$1004,$T946)="","",INDEX(Firms!$F$5:$F$1004,$T946)),IF(INDEX('AFA Rates'!$E$5:$E$1004,$T946)="","",INDEX('AFA Rates'!$E$5:$E$1004,$T946))))</f>
        <v/>
      </c>
      <c r="H946" s="50">
        <f>IF($T946="","",IF($S946="S",IF(INDEX(Firms!$G$5:$G$1004,$T946)="","",INDEX(Firms!$G$5:$G$1004,$T946)),IF(INDEX('AFA Rates'!$F$5:$F$1004,$T946)="","",INDEX('AFA Rates'!$F$5:$F$1004,$T946))))</f>
        <v/>
      </c>
      <c r="I946" s="50">
        <f>IF($T946="","",IF($S946="S",IF(INDEX(Firms!$H$5:$H$1004,$T946)="","",INDEX(Firms!$H$5:$H$1004,$T946)),IF(INDEX('AFA Rates'!$G$5:$G$1004,$T946)="","",INDEX('AFA Rates'!$G$5:$G$1004,$T946))))</f>
        <v/>
      </c>
      <c r="J946" s="50">
        <f>IF($T946="","",IF($S946="S",IF(INDEX(Firms!$I$5:$I$1004,$T946)="","",INDEX(Firms!$I$5:$I$1004,$T946)),IF(INDEX('AFA Rates'!$H$5:$H$1004,$T946)="","",INDEX('AFA Rates'!$H$5:$H$1004,$T946))))</f>
        <v/>
      </c>
      <c r="K946" s="50">
        <f>IF($T946="","",IF($S946="S",IF(INDEX(Firms!$J$5:$J$1004,$T946)="","",INDEX(Firms!$J$5:$J$1004,$T946)),IF(INDEX('AFA Rates'!$I$5:$I$1004,$T946)="","",INDEX('AFA Rates'!$I$5:$I$1004,$T946))))</f>
        <v/>
      </c>
      <c r="L946" s="50">
        <f>IF($T946="","",IF($S946="S",IF(INDEX(Firms!$K$5:$K$1004,$T946)="","",INDEX(Firms!$K$5:$K$1004,$T946)),IF(INDEX('AFA Rates'!$J$5:$J$1004,$T946)="","",INDEX('AFA Rates'!$J$5:$J$1004,$T946))))</f>
        <v/>
      </c>
      <c r="M946" s="50">
        <f>IF($T946="","",IF($S946="S",IF(INDEX(Firms!$L$5:$L$1004,$T946)="","",INDEX(Firms!$L$5:$L$1004,$T946)),IF(INDEX('AFA Rates'!$K$5:$K$1004,$T946)="","",INDEX('AFA Rates'!$K$5:$K$1004,$T946))))</f>
        <v/>
      </c>
      <c r="N946" s="50">
        <f>IF($T946="","",IF($S946="S",IF(INDEX(Firms!$M$5:$M$1004,$T946)="","",INDEX(Firms!$M$5:$M$1004,$T946)),IF(INDEX('AFA Rates'!$L$5:$L$1004,$T946)="","",INDEX('AFA Rates'!$L$5:$L$1004,$T946))))</f>
        <v/>
      </c>
      <c r="O946" s="78">
        <f>IF(OR($T946="",$U946=""),"",IF(INDEX(Firms!$C$5:$C$1004,$U946)="","",INDEX(Firms!$C$5:$C$1004,$U946)))</f>
        <v/>
      </c>
      <c r="P946" s="79">
        <f>IF(OR($T946="",$U946=""),"",IF(INDEX(Firms!$N$5:$N$1004,$U946)="","",INDEX(Firms!$N$5:$N$1004,$U946)))</f>
        <v/>
      </c>
      <c r="Q946" s="78">
        <f>IF($T946="","",IF($S946="S",IF(INDEX(Firms!$T$5:$T$1004,$T946)="","",INDEX(Firms!$T$5:$T$1004,$T946)),IF(INDEX('AFA Rates'!$M$5:$M$1004,$T946)="","",INDEX('AFA Rates'!$M$5:$M$1004,$T946))))</f>
        <v/>
      </c>
      <c r="S946">
        <f>IF(942&lt;=$S$2,"S",IF(942&lt;=$S$2+$T$2,"A",""))</f>
        <v/>
      </c>
      <c r="T946">
        <f>IF(S946="S",MATCH(942,Firms!$W$5:$W$1004,0),IF(S946="A",IFERROR(MATCH(942-$S$2,'AFA Rates'!$R$5:$R$1004,0),""),""))</f>
        <v/>
      </c>
      <c r="U946">
        <f>IF(S946="S",T946,IF(AND(S946="A",T946&lt;&gt;""),IFERROR(MATCH(INDEX('AFA Rates'!$A$5:$A$1004,T946),Firms!$A$5:$A$1004,0),""),""))</f>
        <v/>
      </c>
    </row>
    <row r="947">
      <c r="A947" s="78">
        <f>IF($T947="","",IF($S947="S",IF(INDEX(Firms!$A$5:$A$1004,$T947)="","",INDEX(Firms!$A$5:$A$1004,$T947)),IF(INDEX('AFA Rates'!$A$5:$A$1004,$T947)="","",INDEX('AFA Rates'!$A$5:$A$1004,$T947))))</f>
        <v/>
      </c>
      <c r="B947" s="79">
        <f>IF(OR($T947="",$U947=""),IF($T947="","","Not on Firms tab"),INDEX(Firms!$B$5:$B$1004,$U947)&amp;"")</f>
        <v/>
      </c>
      <c r="C947" s="78">
        <f>IF($T947="","",IF($S947="S","Standard",INDEX('AFA Rates'!$B$5:$B$1004,$T947)&amp;""))</f>
        <v/>
      </c>
      <c r="D947" s="88">
        <f>IF($T947="","",IF($S947="S",IF(INDEX(Firms!$E$5:$E$1004,$T947)="","",INDEX(Firms!$E$5:$E$1004,$T947)),IF(INDEX('AFA Rates'!$C$5:$C$1004,$T947)="","",INDEX('AFA Rates'!$C$5:$C$1004,$T947))))</f>
        <v/>
      </c>
      <c r="E947" s="88">
        <f>IF($T947="","",IF($S947="S",IF(""="","",""),IF(INDEX('AFA Rates'!$D$5:$D$1004,$T947)="","",INDEX('AFA Rates'!$D$5:$D$1004,$T947))))</f>
        <v/>
      </c>
      <c r="F947" s="79">
        <f>IF($T947="","",IF($S947="S",IF(INDEX(Firms!$O$5:$O$1004,$T947)="","",INDEX(Firms!$O$5:$O$1004,$T947)),IF(INDEX('AFA Rates'!$O$5:$O$1004,$T947)="","",INDEX('AFA Rates'!$O$5:$O$1004,$T947))))</f>
        <v/>
      </c>
      <c r="G947" s="50">
        <f>IF($T947="","",IF($S947="S",IF(INDEX(Firms!$F$5:$F$1004,$T947)="","",INDEX(Firms!$F$5:$F$1004,$T947)),IF(INDEX('AFA Rates'!$E$5:$E$1004,$T947)="","",INDEX('AFA Rates'!$E$5:$E$1004,$T947))))</f>
        <v/>
      </c>
      <c r="H947" s="50">
        <f>IF($T947="","",IF($S947="S",IF(INDEX(Firms!$G$5:$G$1004,$T947)="","",INDEX(Firms!$G$5:$G$1004,$T947)),IF(INDEX('AFA Rates'!$F$5:$F$1004,$T947)="","",INDEX('AFA Rates'!$F$5:$F$1004,$T947))))</f>
        <v/>
      </c>
      <c r="I947" s="50">
        <f>IF($T947="","",IF($S947="S",IF(INDEX(Firms!$H$5:$H$1004,$T947)="","",INDEX(Firms!$H$5:$H$1004,$T947)),IF(INDEX('AFA Rates'!$G$5:$G$1004,$T947)="","",INDEX('AFA Rates'!$G$5:$G$1004,$T947))))</f>
        <v/>
      </c>
      <c r="J947" s="50">
        <f>IF($T947="","",IF($S947="S",IF(INDEX(Firms!$I$5:$I$1004,$T947)="","",INDEX(Firms!$I$5:$I$1004,$T947)),IF(INDEX('AFA Rates'!$H$5:$H$1004,$T947)="","",INDEX('AFA Rates'!$H$5:$H$1004,$T947))))</f>
        <v/>
      </c>
      <c r="K947" s="50">
        <f>IF($T947="","",IF($S947="S",IF(INDEX(Firms!$J$5:$J$1004,$T947)="","",INDEX(Firms!$J$5:$J$1004,$T947)),IF(INDEX('AFA Rates'!$I$5:$I$1004,$T947)="","",INDEX('AFA Rates'!$I$5:$I$1004,$T947))))</f>
        <v/>
      </c>
      <c r="L947" s="50">
        <f>IF($T947="","",IF($S947="S",IF(INDEX(Firms!$K$5:$K$1004,$T947)="","",INDEX(Firms!$K$5:$K$1004,$T947)),IF(INDEX('AFA Rates'!$J$5:$J$1004,$T947)="","",INDEX('AFA Rates'!$J$5:$J$1004,$T947))))</f>
        <v/>
      </c>
      <c r="M947" s="50">
        <f>IF($T947="","",IF($S947="S",IF(INDEX(Firms!$L$5:$L$1004,$T947)="","",INDEX(Firms!$L$5:$L$1004,$T947)),IF(INDEX('AFA Rates'!$K$5:$K$1004,$T947)="","",INDEX('AFA Rates'!$K$5:$K$1004,$T947))))</f>
        <v/>
      </c>
      <c r="N947" s="50">
        <f>IF($T947="","",IF($S947="S",IF(INDEX(Firms!$M$5:$M$1004,$T947)="","",INDEX(Firms!$M$5:$M$1004,$T947)),IF(INDEX('AFA Rates'!$L$5:$L$1004,$T947)="","",INDEX('AFA Rates'!$L$5:$L$1004,$T947))))</f>
        <v/>
      </c>
      <c r="O947" s="78">
        <f>IF(OR($T947="",$U947=""),"",IF(INDEX(Firms!$C$5:$C$1004,$U947)="","",INDEX(Firms!$C$5:$C$1004,$U947)))</f>
        <v/>
      </c>
      <c r="P947" s="79">
        <f>IF(OR($T947="",$U947=""),"",IF(INDEX(Firms!$N$5:$N$1004,$U947)="","",INDEX(Firms!$N$5:$N$1004,$U947)))</f>
        <v/>
      </c>
      <c r="Q947" s="78">
        <f>IF($T947="","",IF($S947="S",IF(INDEX(Firms!$T$5:$T$1004,$T947)="","",INDEX(Firms!$T$5:$T$1004,$T947)),IF(INDEX('AFA Rates'!$M$5:$M$1004,$T947)="","",INDEX('AFA Rates'!$M$5:$M$1004,$T947))))</f>
        <v/>
      </c>
      <c r="S947">
        <f>IF(943&lt;=$S$2,"S",IF(943&lt;=$S$2+$T$2,"A",""))</f>
        <v/>
      </c>
      <c r="T947">
        <f>IF(S947="S",MATCH(943,Firms!$W$5:$W$1004,0),IF(S947="A",IFERROR(MATCH(943-$S$2,'AFA Rates'!$R$5:$R$1004,0),""),""))</f>
        <v/>
      </c>
      <c r="U947">
        <f>IF(S947="S",T947,IF(AND(S947="A",T947&lt;&gt;""),IFERROR(MATCH(INDEX('AFA Rates'!$A$5:$A$1004,T947),Firms!$A$5:$A$1004,0),""),""))</f>
        <v/>
      </c>
    </row>
    <row r="948">
      <c r="A948" s="78">
        <f>IF($T948="","",IF($S948="S",IF(INDEX(Firms!$A$5:$A$1004,$T948)="","",INDEX(Firms!$A$5:$A$1004,$T948)),IF(INDEX('AFA Rates'!$A$5:$A$1004,$T948)="","",INDEX('AFA Rates'!$A$5:$A$1004,$T948))))</f>
        <v/>
      </c>
      <c r="B948" s="79">
        <f>IF(OR($T948="",$U948=""),IF($T948="","","Not on Firms tab"),INDEX(Firms!$B$5:$B$1004,$U948)&amp;"")</f>
        <v/>
      </c>
      <c r="C948" s="78">
        <f>IF($T948="","",IF($S948="S","Standard",INDEX('AFA Rates'!$B$5:$B$1004,$T948)&amp;""))</f>
        <v/>
      </c>
      <c r="D948" s="88">
        <f>IF($T948="","",IF($S948="S",IF(INDEX(Firms!$E$5:$E$1004,$T948)="","",INDEX(Firms!$E$5:$E$1004,$T948)),IF(INDEX('AFA Rates'!$C$5:$C$1004,$T948)="","",INDEX('AFA Rates'!$C$5:$C$1004,$T948))))</f>
        <v/>
      </c>
      <c r="E948" s="88">
        <f>IF($T948="","",IF($S948="S",IF(""="","",""),IF(INDEX('AFA Rates'!$D$5:$D$1004,$T948)="","",INDEX('AFA Rates'!$D$5:$D$1004,$T948))))</f>
        <v/>
      </c>
      <c r="F948" s="79">
        <f>IF($T948="","",IF($S948="S",IF(INDEX(Firms!$O$5:$O$1004,$T948)="","",INDEX(Firms!$O$5:$O$1004,$T948)),IF(INDEX('AFA Rates'!$O$5:$O$1004,$T948)="","",INDEX('AFA Rates'!$O$5:$O$1004,$T948))))</f>
        <v/>
      </c>
      <c r="G948" s="50">
        <f>IF($T948="","",IF($S948="S",IF(INDEX(Firms!$F$5:$F$1004,$T948)="","",INDEX(Firms!$F$5:$F$1004,$T948)),IF(INDEX('AFA Rates'!$E$5:$E$1004,$T948)="","",INDEX('AFA Rates'!$E$5:$E$1004,$T948))))</f>
        <v/>
      </c>
      <c r="H948" s="50">
        <f>IF($T948="","",IF($S948="S",IF(INDEX(Firms!$G$5:$G$1004,$T948)="","",INDEX(Firms!$G$5:$G$1004,$T948)),IF(INDEX('AFA Rates'!$F$5:$F$1004,$T948)="","",INDEX('AFA Rates'!$F$5:$F$1004,$T948))))</f>
        <v/>
      </c>
      <c r="I948" s="50">
        <f>IF($T948="","",IF($S948="S",IF(INDEX(Firms!$H$5:$H$1004,$T948)="","",INDEX(Firms!$H$5:$H$1004,$T948)),IF(INDEX('AFA Rates'!$G$5:$G$1004,$T948)="","",INDEX('AFA Rates'!$G$5:$G$1004,$T948))))</f>
        <v/>
      </c>
      <c r="J948" s="50">
        <f>IF($T948="","",IF($S948="S",IF(INDEX(Firms!$I$5:$I$1004,$T948)="","",INDEX(Firms!$I$5:$I$1004,$T948)),IF(INDEX('AFA Rates'!$H$5:$H$1004,$T948)="","",INDEX('AFA Rates'!$H$5:$H$1004,$T948))))</f>
        <v/>
      </c>
      <c r="K948" s="50">
        <f>IF($T948="","",IF($S948="S",IF(INDEX(Firms!$J$5:$J$1004,$T948)="","",INDEX(Firms!$J$5:$J$1004,$T948)),IF(INDEX('AFA Rates'!$I$5:$I$1004,$T948)="","",INDEX('AFA Rates'!$I$5:$I$1004,$T948))))</f>
        <v/>
      </c>
      <c r="L948" s="50">
        <f>IF($T948="","",IF($S948="S",IF(INDEX(Firms!$K$5:$K$1004,$T948)="","",INDEX(Firms!$K$5:$K$1004,$T948)),IF(INDEX('AFA Rates'!$J$5:$J$1004,$T948)="","",INDEX('AFA Rates'!$J$5:$J$1004,$T948))))</f>
        <v/>
      </c>
      <c r="M948" s="50">
        <f>IF($T948="","",IF($S948="S",IF(INDEX(Firms!$L$5:$L$1004,$T948)="","",INDEX(Firms!$L$5:$L$1004,$T948)),IF(INDEX('AFA Rates'!$K$5:$K$1004,$T948)="","",INDEX('AFA Rates'!$K$5:$K$1004,$T948))))</f>
        <v/>
      </c>
      <c r="N948" s="50">
        <f>IF($T948="","",IF($S948="S",IF(INDEX(Firms!$M$5:$M$1004,$T948)="","",INDEX(Firms!$M$5:$M$1004,$T948)),IF(INDEX('AFA Rates'!$L$5:$L$1004,$T948)="","",INDEX('AFA Rates'!$L$5:$L$1004,$T948))))</f>
        <v/>
      </c>
      <c r="O948" s="78">
        <f>IF(OR($T948="",$U948=""),"",IF(INDEX(Firms!$C$5:$C$1004,$U948)="","",INDEX(Firms!$C$5:$C$1004,$U948)))</f>
        <v/>
      </c>
      <c r="P948" s="79">
        <f>IF(OR($T948="",$U948=""),"",IF(INDEX(Firms!$N$5:$N$1004,$U948)="","",INDEX(Firms!$N$5:$N$1004,$U948)))</f>
        <v/>
      </c>
      <c r="Q948" s="78">
        <f>IF($T948="","",IF($S948="S",IF(INDEX(Firms!$T$5:$T$1004,$T948)="","",INDEX(Firms!$T$5:$T$1004,$T948)),IF(INDEX('AFA Rates'!$M$5:$M$1004,$T948)="","",INDEX('AFA Rates'!$M$5:$M$1004,$T948))))</f>
        <v/>
      </c>
      <c r="S948">
        <f>IF(944&lt;=$S$2,"S",IF(944&lt;=$S$2+$T$2,"A",""))</f>
        <v/>
      </c>
      <c r="T948">
        <f>IF(S948="S",MATCH(944,Firms!$W$5:$W$1004,0),IF(S948="A",IFERROR(MATCH(944-$S$2,'AFA Rates'!$R$5:$R$1004,0),""),""))</f>
        <v/>
      </c>
      <c r="U948">
        <f>IF(S948="S",T948,IF(AND(S948="A",T948&lt;&gt;""),IFERROR(MATCH(INDEX('AFA Rates'!$A$5:$A$1004,T948),Firms!$A$5:$A$1004,0),""),""))</f>
        <v/>
      </c>
    </row>
    <row r="949">
      <c r="A949" s="78">
        <f>IF($T949="","",IF($S949="S",IF(INDEX(Firms!$A$5:$A$1004,$T949)="","",INDEX(Firms!$A$5:$A$1004,$T949)),IF(INDEX('AFA Rates'!$A$5:$A$1004,$T949)="","",INDEX('AFA Rates'!$A$5:$A$1004,$T949))))</f>
        <v/>
      </c>
      <c r="B949" s="79">
        <f>IF(OR($T949="",$U949=""),IF($T949="","","Not on Firms tab"),INDEX(Firms!$B$5:$B$1004,$U949)&amp;"")</f>
        <v/>
      </c>
      <c r="C949" s="78">
        <f>IF($T949="","",IF($S949="S","Standard",INDEX('AFA Rates'!$B$5:$B$1004,$T949)&amp;""))</f>
        <v/>
      </c>
      <c r="D949" s="88">
        <f>IF($T949="","",IF($S949="S",IF(INDEX(Firms!$E$5:$E$1004,$T949)="","",INDEX(Firms!$E$5:$E$1004,$T949)),IF(INDEX('AFA Rates'!$C$5:$C$1004,$T949)="","",INDEX('AFA Rates'!$C$5:$C$1004,$T949))))</f>
        <v/>
      </c>
      <c r="E949" s="88">
        <f>IF($T949="","",IF($S949="S",IF(""="","",""),IF(INDEX('AFA Rates'!$D$5:$D$1004,$T949)="","",INDEX('AFA Rates'!$D$5:$D$1004,$T949))))</f>
        <v/>
      </c>
      <c r="F949" s="79">
        <f>IF($T949="","",IF($S949="S",IF(INDEX(Firms!$O$5:$O$1004,$T949)="","",INDEX(Firms!$O$5:$O$1004,$T949)),IF(INDEX('AFA Rates'!$O$5:$O$1004,$T949)="","",INDEX('AFA Rates'!$O$5:$O$1004,$T949))))</f>
        <v/>
      </c>
      <c r="G949" s="50">
        <f>IF($T949="","",IF($S949="S",IF(INDEX(Firms!$F$5:$F$1004,$T949)="","",INDEX(Firms!$F$5:$F$1004,$T949)),IF(INDEX('AFA Rates'!$E$5:$E$1004,$T949)="","",INDEX('AFA Rates'!$E$5:$E$1004,$T949))))</f>
        <v/>
      </c>
      <c r="H949" s="50">
        <f>IF($T949="","",IF($S949="S",IF(INDEX(Firms!$G$5:$G$1004,$T949)="","",INDEX(Firms!$G$5:$G$1004,$T949)),IF(INDEX('AFA Rates'!$F$5:$F$1004,$T949)="","",INDEX('AFA Rates'!$F$5:$F$1004,$T949))))</f>
        <v/>
      </c>
      <c r="I949" s="50">
        <f>IF($T949="","",IF($S949="S",IF(INDEX(Firms!$H$5:$H$1004,$T949)="","",INDEX(Firms!$H$5:$H$1004,$T949)),IF(INDEX('AFA Rates'!$G$5:$G$1004,$T949)="","",INDEX('AFA Rates'!$G$5:$G$1004,$T949))))</f>
        <v/>
      </c>
      <c r="J949" s="50">
        <f>IF($T949="","",IF($S949="S",IF(INDEX(Firms!$I$5:$I$1004,$T949)="","",INDEX(Firms!$I$5:$I$1004,$T949)),IF(INDEX('AFA Rates'!$H$5:$H$1004,$T949)="","",INDEX('AFA Rates'!$H$5:$H$1004,$T949))))</f>
        <v/>
      </c>
      <c r="K949" s="50">
        <f>IF($T949="","",IF($S949="S",IF(INDEX(Firms!$J$5:$J$1004,$T949)="","",INDEX(Firms!$J$5:$J$1004,$T949)),IF(INDEX('AFA Rates'!$I$5:$I$1004,$T949)="","",INDEX('AFA Rates'!$I$5:$I$1004,$T949))))</f>
        <v/>
      </c>
      <c r="L949" s="50">
        <f>IF($T949="","",IF($S949="S",IF(INDEX(Firms!$K$5:$K$1004,$T949)="","",INDEX(Firms!$K$5:$K$1004,$T949)),IF(INDEX('AFA Rates'!$J$5:$J$1004,$T949)="","",INDEX('AFA Rates'!$J$5:$J$1004,$T949))))</f>
        <v/>
      </c>
      <c r="M949" s="50">
        <f>IF($T949="","",IF($S949="S",IF(INDEX(Firms!$L$5:$L$1004,$T949)="","",INDEX(Firms!$L$5:$L$1004,$T949)),IF(INDEX('AFA Rates'!$K$5:$K$1004,$T949)="","",INDEX('AFA Rates'!$K$5:$K$1004,$T949))))</f>
        <v/>
      </c>
      <c r="N949" s="50">
        <f>IF($T949="","",IF($S949="S",IF(INDEX(Firms!$M$5:$M$1004,$T949)="","",INDEX(Firms!$M$5:$M$1004,$T949)),IF(INDEX('AFA Rates'!$L$5:$L$1004,$T949)="","",INDEX('AFA Rates'!$L$5:$L$1004,$T949))))</f>
        <v/>
      </c>
      <c r="O949" s="78">
        <f>IF(OR($T949="",$U949=""),"",IF(INDEX(Firms!$C$5:$C$1004,$U949)="","",INDEX(Firms!$C$5:$C$1004,$U949)))</f>
        <v/>
      </c>
      <c r="P949" s="79">
        <f>IF(OR($T949="",$U949=""),"",IF(INDEX(Firms!$N$5:$N$1004,$U949)="","",INDEX(Firms!$N$5:$N$1004,$U949)))</f>
        <v/>
      </c>
      <c r="Q949" s="78">
        <f>IF($T949="","",IF($S949="S",IF(INDEX(Firms!$T$5:$T$1004,$T949)="","",INDEX(Firms!$T$5:$T$1004,$T949)),IF(INDEX('AFA Rates'!$M$5:$M$1004,$T949)="","",INDEX('AFA Rates'!$M$5:$M$1004,$T949))))</f>
        <v/>
      </c>
      <c r="S949">
        <f>IF(945&lt;=$S$2,"S",IF(945&lt;=$S$2+$T$2,"A",""))</f>
        <v/>
      </c>
      <c r="T949">
        <f>IF(S949="S",MATCH(945,Firms!$W$5:$W$1004,0),IF(S949="A",IFERROR(MATCH(945-$S$2,'AFA Rates'!$R$5:$R$1004,0),""),""))</f>
        <v/>
      </c>
      <c r="U949">
        <f>IF(S949="S",T949,IF(AND(S949="A",T949&lt;&gt;""),IFERROR(MATCH(INDEX('AFA Rates'!$A$5:$A$1004,T949),Firms!$A$5:$A$1004,0),""),""))</f>
        <v/>
      </c>
    </row>
    <row r="950">
      <c r="A950" s="78">
        <f>IF($T950="","",IF($S950="S",IF(INDEX(Firms!$A$5:$A$1004,$T950)="","",INDEX(Firms!$A$5:$A$1004,$T950)),IF(INDEX('AFA Rates'!$A$5:$A$1004,$T950)="","",INDEX('AFA Rates'!$A$5:$A$1004,$T950))))</f>
        <v/>
      </c>
      <c r="B950" s="79">
        <f>IF(OR($T950="",$U950=""),IF($T950="","","Not on Firms tab"),INDEX(Firms!$B$5:$B$1004,$U950)&amp;"")</f>
        <v/>
      </c>
      <c r="C950" s="78">
        <f>IF($T950="","",IF($S950="S","Standard",INDEX('AFA Rates'!$B$5:$B$1004,$T950)&amp;""))</f>
        <v/>
      </c>
      <c r="D950" s="88">
        <f>IF($T950="","",IF($S950="S",IF(INDEX(Firms!$E$5:$E$1004,$T950)="","",INDEX(Firms!$E$5:$E$1004,$T950)),IF(INDEX('AFA Rates'!$C$5:$C$1004,$T950)="","",INDEX('AFA Rates'!$C$5:$C$1004,$T950))))</f>
        <v/>
      </c>
      <c r="E950" s="88">
        <f>IF($T950="","",IF($S950="S",IF(""="","",""),IF(INDEX('AFA Rates'!$D$5:$D$1004,$T950)="","",INDEX('AFA Rates'!$D$5:$D$1004,$T950))))</f>
        <v/>
      </c>
      <c r="F950" s="79">
        <f>IF($T950="","",IF($S950="S",IF(INDEX(Firms!$O$5:$O$1004,$T950)="","",INDEX(Firms!$O$5:$O$1004,$T950)),IF(INDEX('AFA Rates'!$O$5:$O$1004,$T950)="","",INDEX('AFA Rates'!$O$5:$O$1004,$T950))))</f>
        <v/>
      </c>
      <c r="G950" s="50">
        <f>IF($T950="","",IF($S950="S",IF(INDEX(Firms!$F$5:$F$1004,$T950)="","",INDEX(Firms!$F$5:$F$1004,$T950)),IF(INDEX('AFA Rates'!$E$5:$E$1004,$T950)="","",INDEX('AFA Rates'!$E$5:$E$1004,$T950))))</f>
        <v/>
      </c>
      <c r="H950" s="50">
        <f>IF($T950="","",IF($S950="S",IF(INDEX(Firms!$G$5:$G$1004,$T950)="","",INDEX(Firms!$G$5:$G$1004,$T950)),IF(INDEX('AFA Rates'!$F$5:$F$1004,$T950)="","",INDEX('AFA Rates'!$F$5:$F$1004,$T950))))</f>
        <v/>
      </c>
      <c r="I950" s="50">
        <f>IF($T950="","",IF($S950="S",IF(INDEX(Firms!$H$5:$H$1004,$T950)="","",INDEX(Firms!$H$5:$H$1004,$T950)),IF(INDEX('AFA Rates'!$G$5:$G$1004,$T950)="","",INDEX('AFA Rates'!$G$5:$G$1004,$T950))))</f>
        <v/>
      </c>
      <c r="J950" s="50">
        <f>IF($T950="","",IF($S950="S",IF(INDEX(Firms!$I$5:$I$1004,$T950)="","",INDEX(Firms!$I$5:$I$1004,$T950)),IF(INDEX('AFA Rates'!$H$5:$H$1004,$T950)="","",INDEX('AFA Rates'!$H$5:$H$1004,$T950))))</f>
        <v/>
      </c>
      <c r="K950" s="50">
        <f>IF($T950="","",IF($S950="S",IF(INDEX(Firms!$J$5:$J$1004,$T950)="","",INDEX(Firms!$J$5:$J$1004,$T950)),IF(INDEX('AFA Rates'!$I$5:$I$1004,$T950)="","",INDEX('AFA Rates'!$I$5:$I$1004,$T950))))</f>
        <v/>
      </c>
      <c r="L950" s="50">
        <f>IF($T950="","",IF($S950="S",IF(INDEX(Firms!$K$5:$K$1004,$T950)="","",INDEX(Firms!$K$5:$K$1004,$T950)),IF(INDEX('AFA Rates'!$J$5:$J$1004,$T950)="","",INDEX('AFA Rates'!$J$5:$J$1004,$T950))))</f>
        <v/>
      </c>
      <c r="M950" s="50">
        <f>IF($T950="","",IF($S950="S",IF(INDEX(Firms!$L$5:$L$1004,$T950)="","",INDEX(Firms!$L$5:$L$1004,$T950)),IF(INDEX('AFA Rates'!$K$5:$K$1004,$T950)="","",INDEX('AFA Rates'!$K$5:$K$1004,$T950))))</f>
        <v/>
      </c>
      <c r="N950" s="50">
        <f>IF($T950="","",IF($S950="S",IF(INDEX(Firms!$M$5:$M$1004,$T950)="","",INDEX(Firms!$M$5:$M$1004,$T950)),IF(INDEX('AFA Rates'!$L$5:$L$1004,$T950)="","",INDEX('AFA Rates'!$L$5:$L$1004,$T950))))</f>
        <v/>
      </c>
      <c r="O950" s="78">
        <f>IF(OR($T950="",$U950=""),"",IF(INDEX(Firms!$C$5:$C$1004,$U950)="","",INDEX(Firms!$C$5:$C$1004,$U950)))</f>
        <v/>
      </c>
      <c r="P950" s="79">
        <f>IF(OR($T950="",$U950=""),"",IF(INDEX(Firms!$N$5:$N$1004,$U950)="","",INDEX(Firms!$N$5:$N$1004,$U950)))</f>
        <v/>
      </c>
      <c r="Q950" s="78">
        <f>IF($T950="","",IF($S950="S",IF(INDEX(Firms!$T$5:$T$1004,$T950)="","",INDEX(Firms!$T$5:$T$1004,$T950)),IF(INDEX('AFA Rates'!$M$5:$M$1004,$T950)="","",INDEX('AFA Rates'!$M$5:$M$1004,$T950))))</f>
        <v/>
      </c>
      <c r="S950">
        <f>IF(946&lt;=$S$2,"S",IF(946&lt;=$S$2+$T$2,"A",""))</f>
        <v/>
      </c>
      <c r="T950">
        <f>IF(S950="S",MATCH(946,Firms!$W$5:$W$1004,0),IF(S950="A",IFERROR(MATCH(946-$S$2,'AFA Rates'!$R$5:$R$1004,0),""),""))</f>
        <v/>
      </c>
      <c r="U950">
        <f>IF(S950="S",T950,IF(AND(S950="A",T950&lt;&gt;""),IFERROR(MATCH(INDEX('AFA Rates'!$A$5:$A$1004,T950),Firms!$A$5:$A$1004,0),""),""))</f>
        <v/>
      </c>
    </row>
    <row r="951">
      <c r="A951" s="78">
        <f>IF($T951="","",IF($S951="S",IF(INDEX(Firms!$A$5:$A$1004,$T951)="","",INDEX(Firms!$A$5:$A$1004,$T951)),IF(INDEX('AFA Rates'!$A$5:$A$1004,$T951)="","",INDEX('AFA Rates'!$A$5:$A$1004,$T951))))</f>
        <v/>
      </c>
      <c r="B951" s="79">
        <f>IF(OR($T951="",$U951=""),IF($T951="","","Not on Firms tab"),INDEX(Firms!$B$5:$B$1004,$U951)&amp;"")</f>
        <v/>
      </c>
      <c r="C951" s="78">
        <f>IF($T951="","",IF($S951="S","Standard",INDEX('AFA Rates'!$B$5:$B$1004,$T951)&amp;""))</f>
        <v/>
      </c>
      <c r="D951" s="88">
        <f>IF($T951="","",IF($S951="S",IF(INDEX(Firms!$E$5:$E$1004,$T951)="","",INDEX(Firms!$E$5:$E$1004,$T951)),IF(INDEX('AFA Rates'!$C$5:$C$1004,$T951)="","",INDEX('AFA Rates'!$C$5:$C$1004,$T951))))</f>
        <v/>
      </c>
      <c r="E951" s="88">
        <f>IF($T951="","",IF($S951="S",IF(""="","",""),IF(INDEX('AFA Rates'!$D$5:$D$1004,$T951)="","",INDEX('AFA Rates'!$D$5:$D$1004,$T951))))</f>
        <v/>
      </c>
      <c r="F951" s="79">
        <f>IF($T951="","",IF($S951="S",IF(INDEX(Firms!$O$5:$O$1004,$T951)="","",INDEX(Firms!$O$5:$O$1004,$T951)),IF(INDEX('AFA Rates'!$O$5:$O$1004,$T951)="","",INDEX('AFA Rates'!$O$5:$O$1004,$T951))))</f>
        <v/>
      </c>
      <c r="G951" s="50">
        <f>IF($T951="","",IF($S951="S",IF(INDEX(Firms!$F$5:$F$1004,$T951)="","",INDEX(Firms!$F$5:$F$1004,$T951)),IF(INDEX('AFA Rates'!$E$5:$E$1004,$T951)="","",INDEX('AFA Rates'!$E$5:$E$1004,$T951))))</f>
        <v/>
      </c>
      <c r="H951" s="50">
        <f>IF($T951="","",IF($S951="S",IF(INDEX(Firms!$G$5:$G$1004,$T951)="","",INDEX(Firms!$G$5:$G$1004,$T951)),IF(INDEX('AFA Rates'!$F$5:$F$1004,$T951)="","",INDEX('AFA Rates'!$F$5:$F$1004,$T951))))</f>
        <v/>
      </c>
      <c r="I951" s="50">
        <f>IF($T951="","",IF($S951="S",IF(INDEX(Firms!$H$5:$H$1004,$T951)="","",INDEX(Firms!$H$5:$H$1004,$T951)),IF(INDEX('AFA Rates'!$G$5:$G$1004,$T951)="","",INDEX('AFA Rates'!$G$5:$G$1004,$T951))))</f>
        <v/>
      </c>
      <c r="J951" s="50">
        <f>IF($T951="","",IF($S951="S",IF(INDEX(Firms!$I$5:$I$1004,$T951)="","",INDEX(Firms!$I$5:$I$1004,$T951)),IF(INDEX('AFA Rates'!$H$5:$H$1004,$T951)="","",INDEX('AFA Rates'!$H$5:$H$1004,$T951))))</f>
        <v/>
      </c>
      <c r="K951" s="50">
        <f>IF($T951="","",IF($S951="S",IF(INDEX(Firms!$J$5:$J$1004,$T951)="","",INDEX(Firms!$J$5:$J$1004,$T951)),IF(INDEX('AFA Rates'!$I$5:$I$1004,$T951)="","",INDEX('AFA Rates'!$I$5:$I$1004,$T951))))</f>
        <v/>
      </c>
      <c r="L951" s="50">
        <f>IF($T951="","",IF($S951="S",IF(INDEX(Firms!$K$5:$K$1004,$T951)="","",INDEX(Firms!$K$5:$K$1004,$T951)),IF(INDEX('AFA Rates'!$J$5:$J$1004,$T951)="","",INDEX('AFA Rates'!$J$5:$J$1004,$T951))))</f>
        <v/>
      </c>
      <c r="M951" s="50">
        <f>IF($T951="","",IF($S951="S",IF(INDEX(Firms!$L$5:$L$1004,$T951)="","",INDEX(Firms!$L$5:$L$1004,$T951)),IF(INDEX('AFA Rates'!$K$5:$K$1004,$T951)="","",INDEX('AFA Rates'!$K$5:$K$1004,$T951))))</f>
        <v/>
      </c>
      <c r="N951" s="50">
        <f>IF($T951="","",IF($S951="S",IF(INDEX(Firms!$M$5:$M$1004,$T951)="","",INDEX(Firms!$M$5:$M$1004,$T951)),IF(INDEX('AFA Rates'!$L$5:$L$1004,$T951)="","",INDEX('AFA Rates'!$L$5:$L$1004,$T951))))</f>
        <v/>
      </c>
      <c r="O951" s="78">
        <f>IF(OR($T951="",$U951=""),"",IF(INDEX(Firms!$C$5:$C$1004,$U951)="","",INDEX(Firms!$C$5:$C$1004,$U951)))</f>
        <v/>
      </c>
      <c r="P951" s="79">
        <f>IF(OR($T951="",$U951=""),"",IF(INDEX(Firms!$N$5:$N$1004,$U951)="","",INDEX(Firms!$N$5:$N$1004,$U951)))</f>
        <v/>
      </c>
      <c r="Q951" s="78">
        <f>IF($T951="","",IF($S951="S",IF(INDEX(Firms!$T$5:$T$1004,$T951)="","",INDEX(Firms!$T$5:$T$1004,$T951)),IF(INDEX('AFA Rates'!$M$5:$M$1004,$T951)="","",INDEX('AFA Rates'!$M$5:$M$1004,$T951))))</f>
        <v/>
      </c>
      <c r="S951">
        <f>IF(947&lt;=$S$2,"S",IF(947&lt;=$S$2+$T$2,"A",""))</f>
        <v/>
      </c>
      <c r="T951">
        <f>IF(S951="S",MATCH(947,Firms!$W$5:$W$1004,0),IF(S951="A",IFERROR(MATCH(947-$S$2,'AFA Rates'!$R$5:$R$1004,0),""),""))</f>
        <v/>
      </c>
      <c r="U951">
        <f>IF(S951="S",T951,IF(AND(S951="A",T951&lt;&gt;""),IFERROR(MATCH(INDEX('AFA Rates'!$A$5:$A$1004,T951),Firms!$A$5:$A$1004,0),""),""))</f>
        <v/>
      </c>
    </row>
    <row r="952">
      <c r="A952" s="78">
        <f>IF($T952="","",IF($S952="S",IF(INDEX(Firms!$A$5:$A$1004,$T952)="","",INDEX(Firms!$A$5:$A$1004,$T952)),IF(INDEX('AFA Rates'!$A$5:$A$1004,$T952)="","",INDEX('AFA Rates'!$A$5:$A$1004,$T952))))</f>
        <v/>
      </c>
      <c r="B952" s="79">
        <f>IF(OR($T952="",$U952=""),IF($T952="","","Not on Firms tab"),INDEX(Firms!$B$5:$B$1004,$U952)&amp;"")</f>
        <v/>
      </c>
      <c r="C952" s="78">
        <f>IF($T952="","",IF($S952="S","Standard",INDEX('AFA Rates'!$B$5:$B$1004,$T952)&amp;""))</f>
        <v/>
      </c>
      <c r="D952" s="88">
        <f>IF($T952="","",IF($S952="S",IF(INDEX(Firms!$E$5:$E$1004,$T952)="","",INDEX(Firms!$E$5:$E$1004,$T952)),IF(INDEX('AFA Rates'!$C$5:$C$1004,$T952)="","",INDEX('AFA Rates'!$C$5:$C$1004,$T952))))</f>
        <v/>
      </c>
      <c r="E952" s="88">
        <f>IF($T952="","",IF($S952="S",IF(""="","",""),IF(INDEX('AFA Rates'!$D$5:$D$1004,$T952)="","",INDEX('AFA Rates'!$D$5:$D$1004,$T952))))</f>
        <v/>
      </c>
      <c r="F952" s="79">
        <f>IF($T952="","",IF($S952="S",IF(INDEX(Firms!$O$5:$O$1004,$T952)="","",INDEX(Firms!$O$5:$O$1004,$T952)),IF(INDEX('AFA Rates'!$O$5:$O$1004,$T952)="","",INDEX('AFA Rates'!$O$5:$O$1004,$T952))))</f>
        <v/>
      </c>
      <c r="G952" s="50">
        <f>IF($T952="","",IF($S952="S",IF(INDEX(Firms!$F$5:$F$1004,$T952)="","",INDEX(Firms!$F$5:$F$1004,$T952)),IF(INDEX('AFA Rates'!$E$5:$E$1004,$T952)="","",INDEX('AFA Rates'!$E$5:$E$1004,$T952))))</f>
        <v/>
      </c>
      <c r="H952" s="50">
        <f>IF($T952="","",IF($S952="S",IF(INDEX(Firms!$G$5:$G$1004,$T952)="","",INDEX(Firms!$G$5:$G$1004,$T952)),IF(INDEX('AFA Rates'!$F$5:$F$1004,$T952)="","",INDEX('AFA Rates'!$F$5:$F$1004,$T952))))</f>
        <v/>
      </c>
      <c r="I952" s="50">
        <f>IF($T952="","",IF($S952="S",IF(INDEX(Firms!$H$5:$H$1004,$T952)="","",INDEX(Firms!$H$5:$H$1004,$T952)),IF(INDEX('AFA Rates'!$G$5:$G$1004,$T952)="","",INDEX('AFA Rates'!$G$5:$G$1004,$T952))))</f>
        <v/>
      </c>
      <c r="J952" s="50">
        <f>IF($T952="","",IF($S952="S",IF(INDEX(Firms!$I$5:$I$1004,$T952)="","",INDEX(Firms!$I$5:$I$1004,$T952)),IF(INDEX('AFA Rates'!$H$5:$H$1004,$T952)="","",INDEX('AFA Rates'!$H$5:$H$1004,$T952))))</f>
        <v/>
      </c>
      <c r="K952" s="50">
        <f>IF($T952="","",IF($S952="S",IF(INDEX(Firms!$J$5:$J$1004,$T952)="","",INDEX(Firms!$J$5:$J$1004,$T952)),IF(INDEX('AFA Rates'!$I$5:$I$1004,$T952)="","",INDEX('AFA Rates'!$I$5:$I$1004,$T952))))</f>
        <v/>
      </c>
      <c r="L952" s="50">
        <f>IF($T952="","",IF($S952="S",IF(INDEX(Firms!$K$5:$K$1004,$T952)="","",INDEX(Firms!$K$5:$K$1004,$T952)),IF(INDEX('AFA Rates'!$J$5:$J$1004,$T952)="","",INDEX('AFA Rates'!$J$5:$J$1004,$T952))))</f>
        <v/>
      </c>
      <c r="M952" s="50">
        <f>IF($T952="","",IF($S952="S",IF(INDEX(Firms!$L$5:$L$1004,$T952)="","",INDEX(Firms!$L$5:$L$1004,$T952)),IF(INDEX('AFA Rates'!$K$5:$K$1004,$T952)="","",INDEX('AFA Rates'!$K$5:$K$1004,$T952))))</f>
        <v/>
      </c>
      <c r="N952" s="50">
        <f>IF($T952="","",IF($S952="S",IF(INDEX(Firms!$M$5:$M$1004,$T952)="","",INDEX(Firms!$M$5:$M$1004,$T952)),IF(INDEX('AFA Rates'!$L$5:$L$1004,$T952)="","",INDEX('AFA Rates'!$L$5:$L$1004,$T952))))</f>
        <v/>
      </c>
      <c r="O952" s="78">
        <f>IF(OR($T952="",$U952=""),"",IF(INDEX(Firms!$C$5:$C$1004,$U952)="","",INDEX(Firms!$C$5:$C$1004,$U952)))</f>
        <v/>
      </c>
      <c r="P952" s="79">
        <f>IF(OR($T952="",$U952=""),"",IF(INDEX(Firms!$N$5:$N$1004,$U952)="","",INDEX(Firms!$N$5:$N$1004,$U952)))</f>
        <v/>
      </c>
      <c r="Q952" s="78">
        <f>IF($T952="","",IF($S952="S",IF(INDEX(Firms!$T$5:$T$1004,$T952)="","",INDEX(Firms!$T$5:$T$1004,$T952)),IF(INDEX('AFA Rates'!$M$5:$M$1004,$T952)="","",INDEX('AFA Rates'!$M$5:$M$1004,$T952))))</f>
        <v/>
      </c>
      <c r="S952">
        <f>IF(948&lt;=$S$2,"S",IF(948&lt;=$S$2+$T$2,"A",""))</f>
        <v/>
      </c>
      <c r="T952">
        <f>IF(S952="S",MATCH(948,Firms!$W$5:$W$1004,0),IF(S952="A",IFERROR(MATCH(948-$S$2,'AFA Rates'!$R$5:$R$1004,0),""),""))</f>
        <v/>
      </c>
      <c r="U952">
        <f>IF(S952="S",T952,IF(AND(S952="A",T952&lt;&gt;""),IFERROR(MATCH(INDEX('AFA Rates'!$A$5:$A$1004,T952),Firms!$A$5:$A$1004,0),""),""))</f>
        <v/>
      </c>
    </row>
    <row r="953">
      <c r="A953" s="78">
        <f>IF($T953="","",IF($S953="S",IF(INDEX(Firms!$A$5:$A$1004,$T953)="","",INDEX(Firms!$A$5:$A$1004,$T953)),IF(INDEX('AFA Rates'!$A$5:$A$1004,$T953)="","",INDEX('AFA Rates'!$A$5:$A$1004,$T953))))</f>
        <v/>
      </c>
      <c r="B953" s="79">
        <f>IF(OR($T953="",$U953=""),IF($T953="","","Not on Firms tab"),INDEX(Firms!$B$5:$B$1004,$U953)&amp;"")</f>
        <v/>
      </c>
      <c r="C953" s="78">
        <f>IF($T953="","",IF($S953="S","Standard",INDEX('AFA Rates'!$B$5:$B$1004,$T953)&amp;""))</f>
        <v/>
      </c>
      <c r="D953" s="88">
        <f>IF($T953="","",IF($S953="S",IF(INDEX(Firms!$E$5:$E$1004,$T953)="","",INDEX(Firms!$E$5:$E$1004,$T953)),IF(INDEX('AFA Rates'!$C$5:$C$1004,$T953)="","",INDEX('AFA Rates'!$C$5:$C$1004,$T953))))</f>
        <v/>
      </c>
      <c r="E953" s="88">
        <f>IF($T953="","",IF($S953="S",IF(""="","",""),IF(INDEX('AFA Rates'!$D$5:$D$1004,$T953)="","",INDEX('AFA Rates'!$D$5:$D$1004,$T953))))</f>
        <v/>
      </c>
      <c r="F953" s="79">
        <f>IF($T953="","",IF($S953="S",IF(INDEX(Firms!$O$5:$O$1004,$T953)="","",INDEX(Firms!$O$5:$O$1004,$T953)),IF(INDEX('AFA Rates'!$O$5:$O$1004,$T953)="","",INDEX('AFA Rates'!$O$5:$O$1004,$T953))))</f>
        <v/>
      </c>
      <c r="G953" s="50">
        <f>IF($T953="","",IF($S953="S",IF(INDEX(Firms!$F$5:$F$1004,$T953)="","",INDEX(Firms!$F$5:$F$1004,$T953)),IF(INDEX('AFA Rates'!$E$5:$E$1004,$T953)="","",INDEX('AFA Rates'!$E$5:$E$1004,$T953))))</f>
        <v/>
      </c>
      <c r="H953" s="50">
        <f>IF($T953="","",IF($S953="S",IF(INDEX(Firms!$G$5:$G$1004,$T953)="","",INDEX(Firms!$G$5:$G$1004,$T953)),IF(INDEX('AFA Rates'!$F$5:$F$1004,$T953)="","",INDEX('AFA Rates'!$F$5:$F$1004,$T953))))</f>
        <v/>
      </c>
      <c r="I953" s="50">
        <f>IF($T953="","",IF($S953="S",IF(INDEX(Firms!$H$5:$H$1004,$T953)="","",INDEX(Firms!$H$5:$H$1004,$T953)),IF(INDEX('AFA Rates'!$G$5:$G$1004,$T953)="","",INDEX('AFA Rates'!$G$5:$G$1004,$T953))))</f>
        <v/>
      </c>
      <c r="J953" s="50">
        <f>IF($T953="","",IF($S953="S",IF(INDEX(Firms!$I$5:$I$1004,$T953)="","",INDEX(Firms!$I$5:$I$1004,$T953)),IF(INDEX('AFA Rates'!$H$5:$H$1004,$T953)="","",INDEX('AFA Rates'!$H$5:$H$1004,$T953))))</f>
        <v/>
      </c>
      <c r="K953" s="50">
        <f>IF($T953="","",IF($S953="S",IF(INDEX(Firms!$J$5:$J$1004,$T953)="","",INDEX(Firms!$J$5:$J$1004,$T953)),IF(INDEX('AFA Rates'!$I$5:$I$1004,$T953)="","",INDEX('AFA Rates'!$I$5:$I$1004,$T953))))</f>
        <v/>
      </c>
      <c r="L953" s="50">
        <f>IF($T953="","",IF($S953="S",IF(INDEX(Firms!$K$5:$K$1004,$T953)="","",INDEX(Firms!$K$5:$K$1004,$T953)),IF(INDEX('AFA Rates'!$J$5:$J$1004,$T953)="","",INDEX('AFA Rates'!$J$5:$J$1004,$T953))))</f>
        <v/>
      </c>
      <c r="M953" s="50">
        <f>IF($T953="","",IF($S953="S",IF(INDEX(Firms!$L$5:$L$1004,$T953)="","",INDEX(Firms!$L$5:$L$1004,$T953)),IF(INDEX('AFA Rates'!$K$5:$K$1004,$T953)="","",INDEX('AFA Rates'!$K$5:$K$1004,$T953))))</f>
        <v/>
      </c>
      <c r="N953" s="50">
        <f>IF($T953="","",IF($S953="S",IF(INDEX(Firms!$M$5:$M$1004,$T953)="","",INDEX(Firms!$M$5:$M$1004,$T953)),IF(INDEX('AFA Rates'!$L$5:$L$1004,$T953)="","",INDEX('AFA Rates'!$L$5:$L$1004,$T953))))</f>
        <v/>
      </c>
      <c r="O953" s="78">
        <f>IF(OR($T953="",$U953=""),"",IF(INDEX(Firms!$C$5:$C$1004,$U953)="","",INDEX(Firms!$C$5:$C$1004,$U953)))</f>
        <v/>
      </c>
      <c r="P953" s="79">
        <f>IF(OR($T953="",$U953=""),"",IF(INDEX(Firms!$N$5:$N$1004,$U953)="","",INDEX(Firms!$N$5:$N$1004,$U953)))</f>
        <v/>
      </c>
      <c r="Q953" s="78">
        <f>IF($T953="","",IF($S953="S",IF(INDEX(Firms!$T$5:$T$1004,$T953)="","",INDEX(Firms!$T$5:$T$1004,$T953)),IF(INDEX('AFA Rates'!$M$5:$M$1004,$T953)="","",INDEX('AFA Rates'!$M$5:$M$1004,$T953))))</f>
        <v/>
      </c>
      <c r="S953">
        <f>IF(949&lt;=$S$2,"S",IF(949&lt;=$S$2+$T$2,"A",""))</f>
        <v/>
      </c>
      <c r="T953">
        <f>IF(S953="S",MATCH(949,Firms!$W$5:$W$1004,0),IF(S953="A",IFERROR(MATCH(949-$S$2,'AFA Rates'!$R$5:$R$1004,0),""),""))</f>
        <v/>
      </c>
      <c r="U953">
        <f>IF(S953="S",T953,IF(AND(S953="A",T953&lt;&gt;""),IFERROR(MATCH(INDEX('AFA Rates'!$A$5:$A$1004,T953),Firms!$A$5:$A$1004,0),""),""))</f>
        <v/>
      </c>
    </row>
    <row r="954">
      <c r="A954" s="78">
        <f>IF($T954="","",IF($S954="S",IF(INDEX(Firms!$A$5:$A$1004,$T954)="","",INDEX(Firms!$A$5:$A$1004,$T954)),IF(INDEX('AFA Rates'!$A$5:$A$1004,$T954)="","",INDEX('AFA Rates'!$A$5:$A$1004,$T954))))</f>
        <v/>
      </c>
      <c r="B954" s="79">
        <f>IF(OR($T954="",$U954=""),IF($T954="","","Not on Firms tab"),INDEX(Firms!$B$5:$B$1004,$U954)&amp;"")</f>
        <v/>
      </c>
      <c r="C954" s="78">
        <f>IF($T954="","",IF($S954="S","Standard",INDEX('AFA Rates'!$B$5:$B$1004,$T954)&amp;""))</f>
        <v/>
      </c>
      <c r="D954" s="88">
        <f>IF($T954="","",IF($S954="S",IF(INDEX(Firms!$E$5:$E$1004,$T954)="","",INDEX(Firms!$E$5:$E$1004,$T954)),IF(INDEX('AFA Rates'!$C$5:$C$1004,$T954)="","",INDEX('AFA Rates'!$C$5:$C$1004,$T954))))</f>
        <v/>
      </c>
      <c r="E954" s="88">
        <f>IF($T954="","",IF($S954="S",IF(""="","",""),IF(INDEX('AFA Rates'!$D$5:$D$1004,$T954)="","",INDEX('AFA Rates'!$D$5:$D$1004,$T954))))</f>
        <v/>
      </c>
      <c r="F954" s="79">
        <f>IF($T954="","",IF($S954="S",IF(INDEX(Firms!$O$5:$O$1004,$T954)="","",INDEX(Firms!$O$5:$O$1004,$T954)),IF(INDEX('AFA Rates'!$O$5:$O$1004,$T954)="","",INDEX('AFA Rates'!$O$5:$O$1004,$T954))))</f>
        <v/>
      </c>
      <c r="G954" s="50">
        <f>IF($T954="","",IF($S954="S",IF(INDEX(Firms!$F$5:$F$1004,$T954)="","",INDEX(Firms!$F$5:$F$1004,$T954)),IF(INDEX('AFA Rates'!$E$5:$E$1004,$T954)="","",INDEX('AFA Rates'!$E$5:$E$1004,$T954))))</f>
        <v/>
      </c>
      <c r="H954" s="50">
        <f>IF($T954="","",IF($S954="S",IF(INDEX(Firms!$G$5:$G$1004,$T954)="","",INDEX(Firms!$G$5:$G$1004,$T954)),IF(INDEX('AFA Rates'!$F$5:$F$1004,$T954)="","",INDEX('AFA Rates'!$F$5:$F$1004,$T954))))</f>
        <v/>
      </c>
      <c r="I954" s="50">
        <f>IF($T954="","",IF($S954="S",IF(INDEX(Firms!$H$5:$H$1004,$T954)="","",INDEX(Firms!$H$5:$H$1004,$T954)),IF(INDEX('AFA Rates'!$G$5:$G$1004,$T954)="","",INDEX('AFA Rates'!$G$5:$G$1004,$T954))))</f>
        <v/>
      </c>
      <c r="J954" s="50">
        <f>IF($T954="","",IF($S954="S",IF(INDEX(Firms!$I$5:$I$1004,$T954)="","",INDEX(Firms!$I$5:$I$1004,$T954)),IF(INDEX('AFA Rates'!$H$5:$H$1004,$T954)="","",INDEX('AFA Rates'!$H$5:$H$1004,$T954))))</f>
        <v/>
      </c>
      <c r="K954" s="50">
        <f>IF($T954="","",IF($S954="S",IF(INDEX(Firms!$J$5:$J$1004,$T954)="","",INDEX(Firms!$J$5:$J$1004,$T954)),IF(INDEX('AFA Rates'!$I$5:$I$1004,$T954)="","",INDEX('AFA Rates'!$I$5:$I$1004,$T954))))</f>
        <v/>
      </c>
      <c r="L954" s="50">
        <f>IF($T954="","",IF($S954="S",IF(INDEX(Firms!$K$5:$K$1004,$T954)="","",INDEX(Firms!$K$5:$K$1004,$T954)),IF(INDEX('AFA Rates'!$J$5:$J$1004,$T954)="","",INDEX('AFA Rates'!$J$5:$J$1004,$T954))))</f>
        <v/>
      </c>
      <c r="M954" s="50">
        <f>IF($T954="","",IF($S954="S",IF(INDEX(Firms!$L$5:$L$1004,$T954)="","",INDEX(Firms!$L$5:$L$1004,$T954)),IF(INDEX('AFA Rates'!$K$5:$K$1004,$T954)="","",INDEX('AFA Rates'!$K$5:$K$1004,$T954))))</f>
        <v/>
      </c>
      <c r="N954" s="50">
        <f>IF($T954="","",IF($S954="S",IF(INDEX(Firms!$M$5:$M$1004,$T954)="","",INDEX(Firms!$M$5:$M$1004,$T954)),IF(INDEX('AFA Rates'!$L$5:$L$1004,$T954)="","",INDEX('AFA Rates'!$L$5:$L$1004,$T954))))</f>
        <v/>
      </c>
      <c r="O954" s="78">
        <f>IF(OR($T954="",$U954=""),"",IF(INDEX(Firms!$C$5:$C$1004,$U954)="","",INDEX(Firms!$C$5:$C$1004,$U954)))</f>
        <v/>
      </c>
      <c r="P954" s="79">
        <f>IF(OR($T954="",$U954=""),"",IF(INDEX(Firms!$N$5:$N$1004,$U954)="","",INDEX(Firms!$N$5:$N$1004,$U954)))</f>
        <v/>
      </c>
      <c r="Q954" s="78">
        <f>IF($T954="","",IF($S954="S",IF(INDEX(Firms!$T$5:$T$1004,$T954)="","",INDEX(Firms!$T$5:$T$1004,$T954)),IF(INDEX('AFA Rates'!$M$5:$M$1004,$T954)="","",INDEX('AFA Rates'!$M$5:$M$1004,$T954))))</f>
        <v/>
      </c>
      <c r="S954">
        <f>IF(950&lt;=$S$2,"S",IF(950&lt;=$S$2+$T$2,"A",""))</f>
        <v/>
      </c>
      <c r="T954">
        <f>IF(S954="S",MATCH(950,Firms!$W$5:$W$1004,0),IF(S954="A",IFERROR(MATCH(950-$S$2,'AFA Rates'!$R$5:$R$1004,0),""),""))</f>
        <v/>
      </c>
      <c r="U954">
        <f>IF(S954="S",T954,IF(AND(S954="A",T954&lt;&gt;""),IFERROR(MATCH(INDEX('AFA Rates'!$A$5:$A$1004,T954),Firms!$A$5:$A$1004,0),""),""))</f>
        <v/>
      </c>
    </row>
    <row r="955">
      <c r="A955" s="78">
        <f>IF($T955="","",IF($S955="S",IF(INDEX(Firms!$A$5:$A$1004,$T955)="","",INDEX(Firms!$A$5:$A$1004,$T955)),IF(INDEX('AFA Rates'!$A$5:$A$1004,$T955)="","",INDEX('AFA Rates'!$A$5:$A$1004,$T955))))</f>
        <v/>
      </c>
      <c r="B955" s="79">
        <f>IF(OR($T955="",$U955=""),IF($T955="","","Not on Firms tab"),INDEX(Firms!$B$5:$B$1004,$U955)&amp;"")</f>
        <v/>
      </c>
      <c r="C955" s="78">
        <f>IF($T955="","",IF($S955="S","Standard",INDEX('AFA Rates'!$B$5:$B$1004,$T955)&amp;""))</f>
        <v/>
      </c>
      <c r="D955" s="88">
        <f>IF($T955="","",IF($S955="S",IF(INDEX(Firms!$E$5:$E$1004,$T955)="","",INDEX(Firms!$E$5:$E$1004,$T955)),IF(INDEX('AFA Rates'!$C$5:$C$1004,$T955)="","",INDEX('AFA Rates'!$C$5:$C$1004,$T955))))</f>
        <v/>
      </c>
      <c r="E955" s="88">
        <f>IF($T955="","",IF($S955="S",IF(""="","",""),IF(INDEX('AFA Rates'!$D$5:$D$1004,$T955)="","",INDEX('AFA Rates'!$D$5:$D$1004,$T955))))</f>
        <v/>
      </c>
      <c r="F955" s="79">
        <f>IF($T955="","",IF($S955="S",IF(INDEX(Firms!$O$5:$O$1004,$T955)="","",INDEX(Firms!$O$5:$O$1004,$T955)),IF(INDEX('AFA Rates'!$O$5:$O$1004,$T955)="","",INDEX('AFA Rates'!$O$5:$O$1004,$T955))))</f>
        <v/>
      </c>
      <c r="G955" s="50">
        <f>IF($T955="","",IF($S955="S",IF(INDEX(Firms!$F$5:$F$1004,$T955)="","",INDEX(Firms!$F$5:$F$1004,$T955)),IF(INDEX('AFA Rates'!$E$5:$E$1004,$T955)="","",INDEX('AFA Rates'!$E$5:$E$1004,$T955))))</f>
        <v/>
      </c>
      <c r="H955" s="50">
        <f>IF($T955="","",IF($S955="S",IF(INDEX(Firms!$G$5:$G$1004,$T955)="","",INDEX(Firms!$G$5:$G$1004,$T955)),IF(INDEX('AFA Rates'!$F$5:$F$1004,$T955)="","",INDEX('AFA Rates'!$F$5:$F$1004,$T955))))</f>
        <v/>
      </c>
      <c r="I955" s="50">
        <f>IF($T955="","",IF($S955="S",IF(INDEX(Firms!$H$5:$H$1004,$T955)="","",INDEX(Firms!$H$5:$H$1004,$T955)),IF(INDEX('AFA Rates'!$G$5:$G$1004,$T955)="","",INDEX('AFA Rates'!$G$5:$G$1004,$T955))))</f>
        <v/>
      </c>
      <c r="J955" s="50">
        <f>IF($T955="","",IF($S955="S",IF(INDEX(Firms!$I$5:$I$1004,$T955)="","",INDEX(Firms!$I$5:$I$1004,$T955)),IF(INDEX('AFA Rates'!$H$5:$H$1004,$T955)="","",INDEX('AFA Rates'!$H$5:$H$1004,$T955))))</f>
        <v/>
      </c>
      <c r="K955" s="50">
        <f>IF($T955="","",IF($S955="S",IF(INDEX(Firms!$J$5:$J$1004,$T955)="","",INDEX(Firms!$J$5:$J$1004,$T955)),IF(INDEX('AFA Rates'!$I$5:$I$1004,$T955)="","",INDEX('AFA Rates'!$I$5:$I$1004,$T955))))</f>
        <v/>
      </c>
      <c r="L955" s="50">
        <f>IF($T955="","",IF($S955="S",IF(INDEX(Firms!$K$5:$K$1004,$T955)="","",INDEX(Firms!$K$5:$K$1004,$T955)),IF(INDEX('AFA Rates'!$J$5:$J$1004,$T955)="","",INDEX('AFA Rates'!$J$5:$J$1004,$T955))))</f>
        <v/>
      </c>
      <c r="M955" s="50">
        <f>IF($T955="","",IF($S955="S",IF(INDEX(Firms!$L$5:$L$1004,$T955)="","",INDEX(Firms!$L$5:$L$1004,$T955)),IF(INDEX('AFA Rates'!$K$5:$K$1004,$T955)="","",INDEX('AFA Rates'!$K$5:$K$1004,$T955))))</f>
        <v/>
      </c>
      <c r="N955" s="50">
        <f>IF($T955="","",IF($S955="S",IF(INDEX(Firms!$M$5:$M$1004,$T955)="","",INDEX(Firms!$M$5:$M$1004,$T955)),IF(INDEX('AFA Rates'!$L$5:$L$1004,$T955)="","",INDEX('AFA Rates'!$L$5:$L$1004,$T955))))</f>
        <v/>
      </c>
      <c r="O955" s="78">
        <f>IF(OR($T955="",$U955=""),"",IF(INDEX(Firms!$C$5:$C$1004,$U955)="","",INDEX(Firms!$C$5:$C$1004,$U955)))</f>
        <v/>
      </c>
      <c r="P955" s="79">
        <f>IF(OR($T955="",$U955=""),"",IF(INDEX(Firms!$N$5:$N$1004,$U955)="","",INDEX(Firms!$N$5:$N$1004,$U955)))</f>
        <v/>
      </c>
      <c r="Q955" s="78">
        <f>IF($T955="","",IF($S955="S",IF(INDEX(Firms!$T$5:$T$1004,$T955)="","",INDEX(Firms!$T$5:$T$1004,$T955)),IF(INDEX('AFA Rates'!$M$5:$M$1004,$T955)="","",INDEX('AFA Rates'!$M$5:$M$1004,$T955))))</f>
        <v/>
      </c>
      <c r="S955">
        <f>IF(951&lt;=$S$2,"S",IF(951&lt;=$S$2+$T$2,"A",""))</f>
        <v/>
      </c>
      <c r="T955">
        <f>IF(S955="S",MATCH(951,Firms!$W$5:$W$1004,0),IF(S955="A",IFERROR(MATCH(951-$S$2,'AFA Rates'!$R$5:$R$1004,0),""),""))</f>
        <v/>
      </c>
      <c r="U955">
        <f>IF(S955="S",T955,IF(AND(S955="A",T955&lt;&gt;""),IFERROR(MATCH(INDEX('AFA Rates'!$A$5:$A$1004,T955),Firms!$A$5:$A$1004,0),""),""))</f>
        <v/>
      </c>
    </row>
    <row r="956">
      <c r="A956" s="78">
        <f>IF($T956="","",IF($S956="S",IF(INDEX(Firms!$A$5:$A$1004,$T956)="","",INDEX(Firms!$A$5:$A$1004,$T956)),IF(INDEX('AFA Rates'!$A$5:$A$1004,$T956)="","",INDEX('AFA Rates'!$A$5:$A$1004,$T956))))</f>
        <v/>
      </c>
      <c r="B956" s="79">
        <f>IF(OR($T956="",$U956=""),IF($T956="","","Not on Firms tab"),INDEX(Firms!$B$5:$B$1004,$U956)&amp;"")</f>
        <v/>
      </c>
      <c r="C956" s="78">
        <f>IF($T956="","",IF($S956="S","Standard",INDEX('AFA Rates'!$B$5:$B$1004,$T956)&amp;""))</f>
        <v/>
      </c>
      <c r="D956" s="88">
        <f>IF($T956="","",IF($S956="S",IF(INDEX(Firms!$E$5:$E$1004,$T956)="","",INDEX(Firms!$E$5:$E$1004,$T956)),IF(INDEX('AFA Rates'!$C$5:$C$1004,$T956)="","",INDEX('AFA Rates'!$C$5:$C$1004,$T956))))</f>
        <v/>
      </c>
      <c r="E956" s="88">
        <f>IF($T956="","",IF($S956="S",IF(""="","",""),IF(INDEX('AFA Rates'!$D$5:$D$1004,$T956)="","",INDEX('AFA Rates'!$D$5:$D$1004,$T956))))</f>
        <v/>
      </c>
      <c r="F956" s="79">
        <f>IF($T956="","",IF($S956="S",IF(INDEX(Firms!$O$5:$O$1004,$T956)="","",INDEX(Firms!$O$5:$O$1004,$T956)),IF(INDEX('AFA Rates'!$O$5:$O$1004,$T956)="","",INDEX('AFA Rates'!$O$5:$O$1004,$T956))))</f>
        <v/>
      </c>
      <c r="G956" s="50">
        <f>IF($T956="","",IF($S956="S",IF(INDEX(Firms!$F$5:$F$1004,$T956)="","",INDEX(Firms!$F$5:$F$1004,$T956)),IF(INDEX('AFA Rates'!$E$5:$E$1004,$T956)="","",INDEX('AFA Rates'!$E$5:$E$1004,$T956))))</f>
        <v/>
      </c>
      <c r="H956" s="50">
        <f>IF($T956="","",IF($S956="S",IF(INDEX(Firms!$G$5:$G$1004,$T956)="","",INDEX(Firms!$G$5:$G$1004,$T956)),IF(INDEX('AFA Rates'!$F$5:$F$1004,$T956)="","",INDEX('AFA Rates'!$F$5:$F$1004,$T956))))</f>
        <v/>
      </c>
      <c r="I956" s="50">
        <f>IF($T956="","",IF($S956="S",IF(INDEX(Firms!$H$5:$H$1004,$T956)="","",INDEX(Firms!$H$5:$H$1004,$T956)),IF(INDEX('AFA Rates'!$G$5:$G$1004,$T956)="","",INDEX('AFA Rates'!$G$5:$G$1004,$T956))))</f>
        <v/>
      </c>
      <c r="J956" s="50">
        <f>IF($T956="","",IF($S956="S",IF(INDEX(Firms!$I$5:$I$1004,$T956)="","",INDEX(Firms!$I$5:$I$1004,$T956)),IF(INDEX('AFA Rates'!$H$5:$H$1004,$T956)="","",INDEX('AFA Rates'!$H$5:$H$1004,$T956))))</f>
        <v/>
      </c>
      <c r="K956" s="50">
        <f>IF($T956="","",IF($S956="S",IF(INDEX(Firms!$J$5:$J$1004,$T956)="","",INDEX(Firms!$J$5:$J$1004,$T956)),IF(INDEX('AFA Rates'!$I$5:$I$1004,$T956)="","",INDEX('AFA Rates'!$I$5:$I$1004,$T956))))</f>
        <v/>
      </c>
      <c r="L956" s="50">
        <f>IF($T956="","",IF($S956="S",IF(INDEX(Firms!$K$5:$K$1004,$T956)="","",INDEX(Firms!$K$5:$K$1004,$T956)),IF(INDEX('AFA Rates'!$J$5:$J$1004,$T956)="","",INDEX('AFA Rates'!$J$5:$J$1004,$T956))))</f>
        <v/>
      </c>
      <c r="M956" s="50">
        <f>IF($T956="","",IF($S956="S",IF(INDEX(Firms!$L$5:$L$1004,$T956)="","",INDEX(Firms!$L$5:$L$1004,$T956)),IF(INDEX('AFA Rates'!$K$5:$K$1004,$T956)="","",INDEX('AFA Rates'!$K$5:$K$1004,$T956))))</f>
        <v/>
      </c>
      <c r="N956" s="50">
        <f>IF($T956="","",IF($S956="S",IF(INDEX(Firms!$M$5:$M$1004,$T956)="","",INDEX(Firms!$M$5:$M$1004,$T956)),IF(INDEX('AFA Rates'!$L$5:$L$1004,$T956)="","",INDEX('AFA Rates'!$L$5:$L$1004,$T956))))</f>
        <v/>
      </c>
      <c r="O956" s="78">
        <f>IF(OR($T956="",$U956=""),"",IF(INDEX(Firms!$C$5:$C$1004,$U956)="","",INDEX(Firms!$C$5:$C$1004,$U956)))</f>
        <v/>
      </c>
      <c r="P956" s="79">
        <f>IF(OR($T956="",$U956=""),"",IF(INDEX(Firms!$N$5:$N$1004,$U956)="","",INDEX(Firms!$N$5:$N$1004,$U956)))</f>
        <v/>
      </c>
      <c r="Q956" s="78">
        <f>IF($T956="","",IF($S956="S",IF(INDEX(Firms!$T$5:$T$1004,$T956)="","",INDEX(Firms!$T$5:$T$1004,$T956)),IF(INDEX('AFA Rates'!$M$5:$M$1004,$T956)="","",INDEX('AFA Rates'!$M$5:$M$1004,$T956))))</f>
        <v/>
      </c>
      <c r="S956">
        <f>IF(952&lt;=$S$2,"S",IF(952&lt;=$S$2+$T$2,"A",""))</f>
        <v/>
      </c>
      <c r="T956">
        <f>IF(S956="S",MATCH(952,Firms!$W$5:$W$1004,0),IF(S956="A",IFERROR(MATCH(952-$S$2,'AFA Rates'!$R$5:$R$1004,0),""),""))</f>
        <v/>
      </c>
      <c r="U956">
        <f>IF(S956="S",T956,IF(AND(S956="A",T956&lt;&gt;""),IFERROR(MATCH(INDEX('AFA Rates'!$A$5:$A$1004,T956),Firms!$A$5:$A$1004,0),""),""))</f>
        <v/>
      </c>
    </row>
    <row r="957">
      <c r="A957" s="78">
        <f>IF($T957="","",IF($S957="S",IF(INDEX(Firms!$A$5:$A$1004,$T957)="","",INDEX(Firms!$A$5:$A$1004,$T957)),IF(INDEX('AFA Rates'!$A$5:$A$1004,$T957)="","",INDEX('AFA Rates'!$A$5:$A$1004,$T957))))</f>
        <v/>
      </c>
      <c r="B957" s="79">
        <f>IF(OR($T957="",$U957=""),IF($T957="","","Not on Firms tab"),INDEX(Firms!$B$5:$B$1004,$U957)&amp;"")</f>
        <v/>
      </c>
      <c r="C957" s="78">
        <f>IF($T957="","",IF($S957="S","Standard",INDEX('AFA Rates'!$B$5:$B$1004,$T957)&amp;""))</f>
        <v/>
      </c>
      <c r="D957" s="88">
        <f>IF($T957="","",IF($S957="S",IF(INDEX(Firms!$E$5:$E$1004,$T957)="","",INDEX(Firms!$E$5:$E$1004,$T957)),IF(INDEX('AFA Rates'!$C$5:$C$1004,$T957)="","",INDEX('AFA Rates'!$C$5:$C$1004,$T957))))</f>
        <v/>
      </c>
      <c r="E957" s="88">
        <f>IF($T957="","",IF($S957="S",IF(""="","",""),IF(INDEX('AFA Rates'!$D$5:$D$1004,$T957)="","",INDEX('AFA Rates'!$D$5:$D$1004,$T957))))</f>
        <v/>
      </c>
      <c r="F957" s="79">
        <f>IF($T957="","",IF($S957="S",IF(INDEX(Firms!$O$5:$O$1004,$T957)="","",INDEX(Firms!$O$5:$O$1004,$T957)),IF(INDEX('AFA Rates'!$O$5:$O$1004,$T957)="","",INDEX('AFA Rates'!$O$5:$O$1004,$T957))))</f>
        <v/>
      </c>
      <c r="G957" s="50">
        <f>IF($T957="","",IF($S957="S",IF(INDEX(Firms!$F$5:$F$1004,$T957)="","",INDEX(Firms!$F$5:$F$1004,$T957)),IF(INDEX('AFA Rates'!$E$5:$E$1004,$T957)="","",INDEX('AFA Rates'!$E$5:$E$1004,$T957))))</f>
        <v/>
      </c>
      <c r="H957" s="50">
        <f>IF($T957="","",IF($S957="S",IF(INDEX(Firms!$G$5:$G$1004,$T957)="","",INDEX(Firms!$G$5:$G$1004,$T957)),IF(INDEX('AFA Rates'!$F$5:$F$1004,$T957)="","",INDEX('AFA Rates'!$F$5:$F$1004,$T957))))</f>
        <v/>
      </c>
      <c r="I957" s="50">
        <f>IF($T957="","",IF($S957="S",IF(INDEX(Firms!$H$5:$H$1004,$T957)="","",INDEX(Firms!$H$5:$H$1004,$T957)),IF(INDEX('AFA Rates'!$G$5:$G$1004,$T957)="","",INDEX('AFA Rates'!$G$5:$G$1004,$T957))))</f>
        <v/>
      </c>
      <c r="J957" s="50">
        <f>IF($T957="","",IF($S957="S",IF(INDEX(Firms!$I$5:$I$1004,$T957)="","",INDEX(Firms!$I$5:$I$1004,$T957)),IF(INDEX('AFA Rates'!$H$5:$H$1004,$T957)="","",INDEX('AFA Rates'!$H$5:$H$1004,$T957))))</f>
        <v/>
      </c>
      <c r="K957" s="50">
        <f>IF($T957="","",IF($S957="S",IF(INDEX(Firms!$J$5:$J$1004,$T957)="","",INDEX(Firms!$J$5:$J$1004,$T957)),IF(INDEX('AFA Rates'!$I$5:$I$1004,$T957)="","",INDEX('AFA Rates'!$I$5:$I$1004,$T957))))</f>
        <v/>
      </c>
      <c r="L957" s="50">
        <f>IF($T957="","",IF($S957="S",IF(INDEX(Firms!$K$5:$K$1004,$T957)="","",INDEX(Firms!$K$5:$K$1004,$T957)),IF(INDEX('AFA Rates'!$J$5:$J$1004,$T957)="","",INDEX('AFA Rates'!$J$5:$J$1004,$T957))))</f>
        <v/>
      </c>
      <c r="M957" s="50">
        <f>IF($T957="","",IF($S957="S",IF(INDEX(Firms!$L$5:$L$1004,$T957)="","",INDEX(Firms!$L$5:$L$1004,$T957)),IF(INDEX('AFA Rates'!$K$5:$K$1004,$T957)="","",INDEX('AFA Rates'!$K$5:$K$1004,$T957))))</f>
        <v/>
      </c>
      <c r="N957" s="50">
        <f>IF($T957="","",IF($S957="S",IF(INDEX(Firms!$M$5:$M$1004,$T957)="","",INDEX(Firms!$M$5:$M$1004,$T957)),IF(INDEX('AFA Rates'!$L$5:$L$1004,$T957)="","",INDEX('AFA Rates'!$L$5:$L$1004,$T957))))</f>
        <v/>
      </c>
      <c r="O957" s="78">
        <f>IF(OR($T957="",$U957=""),"",IF(INDEX(Firms!$C$5:$C$1004,$U957)="","",INDEX(Firms!$C$5:$C$1004,$U957)))</f>
        <v/>
      </c>
      <c r="P957" s="79">
        <f>IF(OR($T957="",$U957=""),"",IF(INDEX(Firms!$N$5:$N$1004,$U957)="","",INDEX(Firms!$N$5:$N$1004,$U957)))</f>
        <v/>
      </c>
      <c r="Q957" s="78">
        <f>IF($T957="","",IF($S957="S",IF(INDEX(Firms!$T$5:$T$1004,$T957)="","",INDEX(Firms!$T$5:$T$1004,$T957)),IF(INDEX('AFA Rates'!$M$5:$M$1004,$T957)="","",INDEX('AFA Rates'!$M$5:$M$1004,$T957))))</f>
        <v/>
      </c>
      <c r="S957">
        <f>IF(953&lt;=$S$2,"S",IF(953&lt;=$S$2+$T$2,"A",""))</f>
        <v/>
      </c>
      <c r="T957">
        <f>IF(S957="S",MATCH(953,Firms!$W$5:$W$1004,0),IF(S957="A",IFERROR(MATCH(953-$S$2,'AFA Rates'!$R$5:$R$1004,0),""),""))</f>
        <v/>
      </c>
      <c r="U957">
        <f>IF(S957="S",T957,IF(AND(S957="A",T957&lt;&gt;""),IFERROR(MATCH(INDEX('AFA Rates'!$A$5:$A$1004,T957),Firms!$A$5:$A$1004,0),""),""))</f>
        <v/>
      </c>
    </row>
    <row r="958">
      <c r="A958" s="78">
        <f>IF($T958="","",IF($S958="S",IF(INDEX(Firms!$A$5:$A$1004,$T958)="","",INDEX(Firms!$A$5:$A$1004,$T958)),IF(INDEX('AFA Rates'!$A$5:$A$1004,$T958)="","",INDEX('AFA Rates'!$A$5:$A$1004,$T958))))</f>
        <v/>
      </c>
      <c r="B958" s="79">
        <f>IF(OR($T958="",$U958=""),IF($T958="","","Not on Firms tab"),INDEX(Firms!$B$5:$B$1004,$U958)&amp;"")</f>
        <v/>
      </c>
      <c r="C958" s="78">
        <f>IF($T958="","",IF($S958="S","Standard",INDEX('AFA Rates'!$B$5:$B$1004,$T958)&amp;""))</f>
        <v/>
      </c>
      <c r="D958" s="88">
        <f>IF($T958="","",IF($S958="S",IF(INDEX(Firms!$E$5:$E$1004,$T958)="","",INDEX(Firms!$E$5:$E$1004,$T958)),IF(INDEX('AFA Rates'!$C$5:$C$1004,$T958)="","",INDEX('AFA Rates'!$C$5:$C$1004,$T958))))</f>
        <v/>
      </c>
      <c r="E958" s="88">
        <f>IF($T958="","",IF($S958="S",IF(""="","",""),IF(INDEX('AFA Rates'!$D$5:$D$1004,$T958)="","",INDEX('AFA Rates'!$D$5:$D$1004,$T958))))</f>
        <v/>
      </c>
      <c r="F958" s="79">
        <f>IF($T958="","",IF($S958="S",IF(INDEX(Firms!$O$5:$O$1004,$T958)="","",INDEX(Firms!$O$5:$O$1004,$T958)),IF(INDEX('AFA Rates'!$O$5:$O$1004,$T958)="","",INDEX('AFA Rates'!$O$5:$O$1004,$T958))))</f>
        <v/>
      </c>
      <c r="G958" s="50">
        <f>IF($T958="","",IF($S958="S",IF(INDEX(Firms!$F$5:$F$1004,$T958)="","",INDEX(Firms!$F$5:$F$1004,$T958)),IF(INDEX('AFA Rates'!$E$5:$E$1004,$T958)="","",INDEX('AFA Rates'!$E$5:$E$1004,$T958))))</f>
        <v/>
      </c>
      <c r="H958" s="50">
        <f>IF($T958="","",IF($S958="S",IF(INDEX(Firms!$G$5:$G$1004,$T958)="","",INDEX(Firms!$G$5:$G$1004,$T958)),IF(INDEX('AFA Rates'!$F$5:$F$1004,$T958)="","",INDEX('AFA Rates'!$F$5:$F$1004,$T958))))</f>
        <v/>
      </c>
      <c r="I958" s="50">
        <f>IF($T958="","",IF($S958="S",IF(INDEX(Firms!$H$5:$H$1004,$T958)="","",INDEX(Firms!$H$5:$H$1004,$T958)),IF(INDEX('AFA Rates'!$G$5:$G$1004,$T958)="","",INDEX('AFA Rates'!$G$5:$G$1004,$T958))))</f>
        <v/>
      </c>
      <c r="J958" s="50">
        <f>IF($T958="","",IF($S958="S",IF(INDEX(Firms!$I$5:$I$1004,$T958)="","",INDEX(Firms!$I$5:$I$1004,$T958)),IF(INDEX('AFA Rates'!$H$5:$H$1004,$T958)="","",INDEX('AFA Rates'!$H$5:$H$1004,$T958))))</f>
        <v/>
      </c>
      <c r="K958" s="50">
        <f>IF($T958="","",IF($S958="S",IF(INDEX(Firms!$J$5:$J$1004,$T958)="","",INDEX(Firms!$J$5:$J$1004,$T958)),IF(INDEX('AFA Rates'!$I$5:$I$1004,$T958)="","",INDEX('AFA Rates'!$I$5:$I$1004,$T958))))</f>
        <v/>
      </c>
      <c r="L958" s="50">
        <f>IF($T958="","",IF($S958="S",IF(INDEX(Firms!$K$5:$K$1004,$T958)="","",INDEX(Firms!$K$5:$K$1004,$T958)),IF(INDEX('AFA Rates'!$J$5:$J$1004,$T958)="","",INDEX('AFA Rates'!$J$5:$J$1004,$T958))))</f>
        <v/>
      </c>
      <c r="M958" s="50">
        <f>IF($T958="","",IF($S958="S",IF(INDEX(Firms!$L$5:$L$1004,$T958)="","",INDEX(Firms!$L$5:$L$1004,$T958)),IF(INDEX('AFA Rates'!$K$5:$K$1004,$T958)="","",INDEX('AFA Rates'!$K$5:$K$1004,$T958))))</f>
        <v/>
      </c>
      <c r="N958" s="50">
        <f>IF($T958="","",IF($S958="S",IF(INDEX(Firms!$M$5:$M$1004,$T958)="","",INDEX(Firms!$M$5:$M$1004,$T958)),IF(INDEX('AFA Rates'!$L$5:$L$1004,$T958)="","",INDEX('AFA Rates'!$L$5:$L$1004,$T958))))</f>
        <v/>
      </c>
      <c r="O958" s="78">
        <f>IF(OR($T958="",$U958=""),"",IF(INDEX(Firms!$C$5:$C$1004,$U958)="","",INDEX(Firms!$C$5:$C$1004,$U958)))</f>
        <v/>
      </c>
      <c r="P958" s="79">
        <f>IF(OR($T958="",$U958=""),"",IF(INDEX(Firms!$N$5:$N$1004,$U958)="","",INDEX(Firms!$N$5:$N$1004,$U958)))</f>
        <v/>
      </c>
      <c r="Q958" s="78">
        <f>IF($T958="","",IF($S958="S",IF(INDEX(Firms!$T$5:$T$1004,$T958)="","",INDEX(Firms!$T$5:$T$1004,$T958)),IF(INDEX('AFA Rates'!$M$5:$M$1004,$T958)="","",INDEX('AFA Rates'!$M$5:$M$1004,$T958))))</f>
        <v/>
      </c>
      <c r="S958">
        <f>IF(954&lt;=$S$2,"S",IF(954&lt;=$S$2+$T$2,"A",""))</f>
        <v/>
      </c>
      <c r="T958">
        <f>IF(S958="S",MATCH(954,Firms!$W$5:$W$1004,0),IF(S958="A",IFERROR(MATCH(954-$S$2,'AFA Rates'!$R$5:$R$1004,0),""),""))</f>
        <v/>
      </c>
      <c r="U958">
        <f>IF(S958="S",T958,IF(AND(S958="A",T958&lt;&gt;""),IFERROR(MATCH(INDEX('AFA Rates'!$A$5:$A$1004,T958),Firms!$A$5:$A$1004,0),""),""))</f>
        <v/>
      </c>
    </row>
    <row r="959">
      <c r="A959" s="78">
        <f>IF($T959="","",IF($S959="S",IF(INDEX(Firms!$A$5:$A$1004,$T959)="","",INDEX(Firms!$A$5:$A$1004,$T959)),IF(INDEX('AFA Rates'!$A$5:$A$1004,$T959)="","",INDEX('AFA Rates'!$A$5:$A$1004,$T959))))</f>
        <v/>
      </c>
      <c r="B959" s="79">
        <f>IF(OR($T959="",$U959=""),IF($T959="","","Not on Firms tab"),INDEX(Firms!$B$5:$B$1004,$U959)&amp;"")</f>
        <v/>
      </c>
      <c r="C959" s="78">
        <f>IF($T959="","",IF($S959="S","Standard",INDEX('AFA Rates'!$B$5:$B$1004,$T959)&amp;""))</f>
        <v/>
      </c>
      <c r="D959" s="88">
        <f>IF($T959="","",IF($S959="S",IF(INDEX(Firms!$E$5:$E$1004,$T959)="","",INDEX(Firms!$E$5:$E$1004,$T959)),IF(INDEX('AFA Rates'!$C$5:$C$1004,$T959)="","",INDEX('AFA Rates'!$C$5:$C$1004,$T959))))</f>
        <v/>
      </c>
      <c r="E959" s="88">
        <f>IF($T959="","",IF($S959="S",IF(""="","",""),IF(INDEX('AFA Rates'!$D$5:$D$1004,$T959)="","",INDEX('AFA Rates'!$D$5:$D$1004,$T959))))</f>
        <v/>
      </c>
      <c r="F959" s="79">
        <f>IF($T959="","",IF($S959="S",IF(INDEX(Firms!$O$5:$O$1004,$T959)="","",INDEX(Firms!$O$5:$O$1004,$T959)),IF(INDEX('AFA Rates'!$O$5:$O$1004,$T959)="","",INDEX('AFA Rates'!$O$5:$O$1004,$T959))))</f>
        <v/>
      </c>
      <c r="G959" s="50">
        <f>IF($T959="","",IF($S959="S",IF(INDEX(Firms!$F$5:$F$1004,$T959)="","",INDEX(Firms!$F$5:$F$1004,$T959)),IF(INDEX('AFA Rates'!$E$5:$E$1004,$T959)="","",INDEX('AFA Rates'!$E$5:$E$1004,$T959))))</f>
        <v/>
      </c>
      <c r="H959" s="50">
        <f>IF($T959="","",IF($S959="S",IF(INDEX(Firms!$G$5:$G$1004,$T959)="","",INDEX(Firms!$G$5:$G$1004,$T959)),IF(INDEX('AFA Rates'!$F$5:$F$1004,$T959)="","",INDEX('AFA Rates'!$F$5:$F$1004,$T959))))</f>
        <v/>
      </c>
      <c r="I959" s="50">
        <f>IF($T959="","",IF($S959="S",IF(INDEX(Firms!$H$5:$H$1004,$T959)="","",INDEX(Firms!$H$5:$H$1004,$T959)),IF(INDEX('AFA Rates'!$G$5:$G$1004,$T959)="","",INDEX('AFA Rates'!$G$5:$G$1004,$T959))))</f>
        <v/>
      </c>
      <c r="J959" s="50">
        <f>IF($T959="","",IF($S959="S",IF(INDEX(Firms!$I$5:$I$1004,$T959)="","",INDEX(Firms!$I$5:$I$1004,$T959)),IF(INDEX('AFA Rates'!$H$5:$H$1004,$T959)="","",INDEX('AFA Rates'!$H$5:$H$1004,$T959))))</f>
        <v/>
      </c>
      <c r="K959" s="50">
        <f>IF($T959="","",IF($S959="S",IF(INDEX(Firms!$J$5:$J$1004,$T959)="","",INDEX(Firms!$J$5:$J$1004,$T959)),IF(INDEX('AFA Rates'!$I$5:$I$1004,$T959)="","",INDEX('AFA Rates'!$I$5:$I$1004,$T959))))</f>
        <v/>
      </c>
      <c r="L959" s="50">
        <f>IF($T959="","",IF($S959="S",IF(INDEX(Firms!$K$5:$K$1004,$T959)="","",INDEX(Firms!$K$5:$K$1004,$T959)),IF(INDEX('AFA Rates'!$J$5:$J$1004,$T959)="","",INDEX('AFA Rates'!$J$5:$J$1004,$T959))))</f>
        <v/>
      </c>
      <c r="M959" s="50">
        <f>IF($T959="","",IF($S959="S",IF(INDEX(Firms!$L$5:$L$1004,$T959)="","",INDEX(Firms!$L$5:$L$1004,$T959)),IF(INDEX('AFA Rates'!$K$5:$K$1004,$T959)="","",INDEX('AFA Rates'!$K$5:$K$1004,$T959))))</f>
        <v/>
      </c>
      <c r="N959" s="50">
        <f>IF($T959="","",IF($S959="S",IF(INDEX(Firms!$M$5:$M$1004,$T959)="","",INDEX(Firms!$M$5:$M$1004,$T959)),IF(INDEX('AFA Rates'!$L$5:$L$1004,$T959)="","",INDEX('AFA Rates'!$L$5:$L$1004,$T959))))</f>
        <v/>
      </c>
      <c r="O959" s="78">
        <f>IF(OR($T959="",$U959=""),"",IF(INDEX(Firms!$C$5:$C$1004,$U959)="","",INDEX(Firms!$C$5:$C$1004,$U959)))</f>
        <v/>
      </c>
      <c r="P959" s="79">
        <f>IF(OR($T959="",$U959=""),"",IF(INDEX(Firms!$N$5:$N$1004,$U959)="","",INDEX(Firms!$N$5:$N$1004,$U959)))</f>
        <v/>
      </c>
      <c r="Q959" s="78">
        <f>IF($T959="","",IF($S959="S",IF(INDEX(Firms!$T$5:$T$1004,$T959)="","",INDEX(Firms!$T$5:$T$1004,$T959)),IF(INDEX('AFA Rates'!$M$5:$M$1004,$T959)="","",INDEX('AFA Rates'!$M$5:$M$1004,$T959))))</f>
        <v/>
      </c>
      <c r="S959">
        <f>IF(955&lt;=$S$2,"S",IF(955&lt;=$S$2+$T$2,"A",""))</f>
        <v/>
      </c>
      <c r="T959">
        <f>IF(S959="S",MATCH(955,Firms!$W$5:$W$1004,0),IF(S959="A",IFERROR(MATCH(955-$S$2,'AFA Rates'!$R$5:$R$1004,0),""),""))</f>
        <v/>
      </c>
      <c r="U959">
        <f>IF(S959="S",T959,IF(AND(S959="A",T959&lt;&gt;""),IFERROR(MATCH(INDEX('AFA Rates'!$A$5:$A$1004,T959),Firms!$A$5:$A$1004,0),""),""))</f>
        <v/>
      </c>
    </row>
    <row r="960">
      <c r="A960" s="78">
        <f>IF($T960="","",IF($S960="S",IF(INDEX(Firms!$A$5:$A$1004,$T960)="","",INDEX(Firms!$A$5:$A$1004,$T960)),IF(INDEX('AFA Rates'!$A$5:$A$1004,$T960)="","",INDEX('AFA Rates'!$A$5:$A$1004,$T960))))</f>
        <v/>
      </c>
      <c r="B960" s="79">
        <f>IF(OR($T960="",$U960=""),IF($T960="","","Not on Firms tab"),INDEX(Firms!$B$5:$B$1004,$U960)&amp;"")</f>
        <v/>
      </c>
      <c r="C960" s="78">
        <f>IF($T960="","",IF($S960="S","Standard",INDEX('AFA Rates'!$B$5:$B$1004,$T960)&amp;""))</f>
        <v/>
      </c>
      <c r="D960" s="88">
        <f>IF($T960="","",IF($S960="S",IF(INDEX(Firms!$E$5:$E$1004,$T960)="","",INDEX(Firms!$E$5:$E$1004,$T960)),IF(INDEX('AFA Rates'!$C$5:$C$1004,$T960)="","",INDEX('AFA Rates'!$C$5:$C$1004,$T960))))</f>
        <v/>
      </c>
      <c r="E960" s="88">
        <f>IF($T960="","",IF($S960="S",IF(""="","",""),IF(INDEX('AFA Rates'!$D$5:$D$1004,$T960)="","",INDEX('AFA Rates'!$D$5:$D$1004,$T960))))</f>
        <v/>
      </c>
      <c r="F960" s="79">
        <f>IF($T960="","",IF($S960="S",IF(INDEX(Firms!$O$5:$O$1004,$T960)="","",INDEX(Firms!$O$5:$O$1004,$T960)),IF(INDEX('AFA Rates'!$O$5:$O$1004,$T960)="","",INDEX('AFA Rates'!$O$5:$O$1004,$T960))))</f>
        <v/>
      </c>
      <c r="G960" s="50">
        <f>IF($T960="","",IF($S960="S",IF(INDEX(Firms!$F$5:$F$1004,$T960)="","",INDEX(Firms!$F$5:$F$1004,$T960)),IF(INDEX('AFA Rates'!$E$5:$E$1004,$T960)="","",INDEX('AFA Rates'!$E$5:$E$1004,$T960))))</f>
        <v/>
      </c>
      <c r="H960" s="50">
        <f>IF($T960="","",IF($S960="S",IF(INDEX(Firms!$G$5:$G$1004,$T960)="","",INDEX(Firms!$G$5:$G$1004,$T960)),IF(INDEX('AFA Rates'!$F$5:$F$1004,$T960)="","",INDEX('AFA Rates'!$F$5:$F$1004,$T960))))</f>
        <v/>
      </c>
      <c r="I960" s="50">
        <f>IF($T960="","",IF($S960="S",IF(INDEX(Firms!$H$5:$H$1004,$T960)="","",INDEX(Firms!$H$5:$H$1004,$T960)),IF(INDEX('AFA Rates'!$G$5:$G$1004,$T960)="","",INDEX('AFA Rates'!$G$5:$G$1004,$T960))))</f>
        <v/>
      </c>
      <c r="J960" s="50">
        <f>IF($T960="","",IF($S960="S",IF(INDEX(Firms!$I$5:$I$1004,$T960)="","",INDEX(Firms!$I$5:$I$1004,$T960)),IF(INDEX('AFA Rates'!$H$5:$H$1004,$T960)="","",INDEX('AFA Rates'!$H$5:$H$1004,$T960))))</f>
        <v/>
      </c>
      <c r="K960" s="50">
        <f>IF($T960="","",IF($S960="S",IF(INDEX(Firms!$J$5:$J$1004,$T960)="","",INDEX(Firms!$J$5:$J$1004,$T960)),IF(INDEX('AFA Rates'!$I$5:$I$1004,$T960)="","",INDEX('AFA Rates'!$I$5:$I$1004,$T960))))</f>
        <v/>
      </c>
      <c r="L960" s="50">
        <f>IF($T960="","",IF($S960="S",IF(INDEX(Firms!$K$5:$K$1004,$T960)="","",INDEX(Firms!$K$5:$K$1004,$T960)),IF(INDEX('AFA Rates'!$J$5:$J$1004,$T960)="","",INDEX('AFA Rates'!$J$5:$J$1004,$T960))))</f>
        <v/>
      </c>
      <c r="M960" s="50">
        <f>IF($T960="","",IF($S960="S",IF(INDEX(Firms!$L$5:$L$1004,$T960)="","",INDEX(Firms!$L$5:$L$1004,$T960)),IF(INDEX('AFA Rates'!$K$5:$K$1004,$T960)="","",INDEX('AFA Rates'!$K$5:$K$1004,$T960))))</f>
        <v/>
      </c>
      <c r="N960" s="50">
        <f>IF($T960="","",IF($S960="S",IF(INDEX(Firms!$M$5:$M$1004,$T960)="","",INDEX(Firms!$M$5:$M$1004,$T960)),IF(INDEX('AFA Rates'!$L$5:$L$1004,$T960)="","",INDEX('AFA Rates'!$L$5:$L$1004,$T960))))</f>
        <v/>
      </c>
      <c r="O960" s="78">
        <f>IF(OR($T960="",$U960=""),"",IF(INDEX(Firms!$C$5:$C$1004,$U960)="","",INDEX(Firms!$C$5:$C$1004,$U960)))</f>
        <v/>
      </c>
      <c r="P960" s="79">
        <f>IF(OR($T960="",$U960=""),"",IF(INDEX(Firms!$N$5:$N$1004,$U960)="","",INDEX(Firms!$N$5:$N$1004,$U960)))</f>
        <v/>
      </c>
      <c r="Q960" s="78">
        <f>IF($T960="","",IF($S960="S",IF(INDEX(Firms!$T$5:$T$1004,$T960)="","",INDEX(Firms!$T$5:$T$1004,$T960)),IF(INDEX('AFA Rates'!$M$5:$M$1004,$T960)="","",INDEX('AFA Rates'!$M$5:$M$1004,$T960))))</f>
        <v/>
      </c>
      <c r="S960">
        <f>IF(956&lt;=$S$2,"S",IF(956&lt;=$S$2+$T$2,"A",""))</f>
        <v/>
      </c>
      <c r="T960">
        <f>IF(S960="S",MATCH(956,Firms!$W$5:$W$1004,0),IF(S960="A",IFERROR(MATCH(956-$S$2,'AFA Rates'!$R$5:$R$1004,0),""),""))</f>
        <v/>
      </c>
      <c r="U960">
        <f>IF(S960="S",T960,IF(AND(S960="A",T960&lt;&gt;""),IFERROR(MATCH(INDEX('AFA Rates'!$A$5:$A$1004,T960),Firms!$A$5:$A$1004,0),""),""))</f>
        <v/>
      </c>
    </row>
    <row r="961">
      <c r="A961" s="78">
        <f>IF($T961="","",IF($S961="S",IF(INDEX(Firms!$A$5:$A$1004,$T961)="","",INDEX(Firms!$A$5:$A$1004,$T961)),IF(INDEX('AFA Rates'!$A$5:$A$1004,$T961)="","",INDEX('AFA Rates'!$A$5:$A$1004,$T961))))</f>
        <v/>
      </c>
      <c r="B961" s="79">
        <f>IF(OR($T961="",$U961=""),IF($T961="","","Not on Firms tab"),INDEX(Firms!$B$5:$B$1004,$U961)&amp;"")</f>
        <v/>
      </c>
      <c r="C961" s="78">
        <f>IF($T961="","",IF($S961="S","Standard",INDEX('AFA Rates'!$B$5:$B$1004,$T961)&amp;""))</f>
        <v/>
      </c>
      <c r="D961" s="88">
        <f>IF($T961="","",IF($S961="S",IF(INDEX(Firms!$E$5:$E$1004,$T961)="","",INDEX(Firms!$E$5:$E$1004,$T961)),IF(INDEX('AFA Rates'!$C$5:$C$1004,$T961)="","",INDEX('AFA Rates'!$C$5:$C$1004,$T961))))</f>
        <v/>
      </c>
      <c r="E961" s="88">
        <f>IF($T961="","",IF($S961="S",IF(""="","",""),IF(INDEX('AFA Rates'!$D$5:$D$1004,$T961)="","",INDEX('AFA Rates'!$D$5:$D$1004,$T961))))</f>
        <v/>
      </c>
      <c r="F961" s="79">
        <f>IF($T961="","",IF($S961="S",IF(INDEX(Firms!$O$5:$O$1004,$T961)="","",INDEX(Firms!$O$5:$O$1004,$T961)),IF(INDEX('AFA Rates'!$O$5:$O$1004,$T961)="","",INDEX('AFA Rates'!$O$5:$O$1004,$T961))))</f>
        <v/>
      </c>
      <c r="G961" s="50">
        <f>IF($T961="","",IF($S961="S",IF(INDEX(Firms!$F$5:$F$1004,$T961)="","",INDEX(Firms!$F$5:$F$1004,$T961)),IF(INDEX('AFA Rates'!$E$5:$E$1004,$T961)="","",INDEX('AFA Rates'!$E$5:$E$1004,$T961))))</f>
        <v/>
      </c>
      <c r="H961" s="50">
        <f>IF($T961="","",IF($S961="S",IF(INDEX(Firms!$G$5:$G$1004,$T961)="","",INDEX(Firms!$G$5:$G$1004,$T961)),IF(INDEX('AFA Rates'!$F$5:$F$1004,$T961)="","",INDEX('AFA Rates'!$F$5:$F$1004,$T961))))</f>
        <v/>
      </c>
      <c r="I961" s="50">
        <f>IF($T961="","",IF($S961="S",IF(INDEX(Firms!$H$5:$H$1004,$T961)="","",INDEX(Firms!$H$5:$H$1004,$T961)),IF(INDEX('AFA Rates'!$G$5:$G$1004,$T961)="","",INDEX('AFA Rates'!$G$5:$G$1004,$T961))))</f>
        <v/>
      </c>
      <c r="J961" s="50">
        <f>IF($T961="","",IF($S961="S",IF(INDEX(Firms!$I$5:$I$1004,$T961)="","",INDEX(Firms!$I$5:$I$1004,$T961)),IF(INDEX('AFA Rates'!$H$5:$H$1004,$T961)="","",INDEX('AFA Rates'!$H$5:$H$1004,$T961))))</f>
        <v/>
      </c>
      <c r="K961" s="50">
        <f>IF($T961="","",IF($S961="S",IF(INDEX(Firms!$J$5:$J$1004,$T961)="","",INDEX(Firms!$J$5:$J$1004,$T961)),IF(INDEX('AFA Rates'!$I$5:$I$1004,$T961)="","",INDEX('AFA Rates'!$I$5:$I$1004,$T961))))</f>
        <v/>
      </c>
      <c r="L961" s="50">
        <f>IF($T961="","",IF($S961="S",IF(INDEX(Firms!$K$5:$K$1004,$T961)="","",INDEX(Firms!$K$5:$K$1004,$T961)),IF(INDEX('AFA Rates'!$J$5:$J$1004,$T961)="","",INDEX('AFA Rates'!$J$5:$J$1004,$T961))))</f>
        <v/>
      </c>
      <c r="M961" s="50">
        <f>IF($T961="","",IF($S961="S",IF(INDEX(Firms!$L$5:$L$1004,$T961)="","",INDEX(Firms!$L$5:$L$1004,$T961)),IF(INDEX('AFA Rates'!$K$5:$K$1004,$T961)="","",INDEX('AFA Rates'!$K$5:$K$1004,$T961))))</f>
        <v/>
      </c>
      <c r="N961" s="50">
        <f>IF($T961="","",IF($S961="S",IF(INDEX(Firms!$M$5:$M$1004,$T961)="","",INDEX(Firms!$M$5:$M$1004,$T961)),IF(INDEX('AFA Rates'!$L$5:$L$1004,$T961)="","",INDEX('AFA Rates'!$L$5:$L$1004,$T961))))</f>
        <v/>
      </c>
      <c r="O961" s="78">
        <f>IF(OR($T961="",$U961=""),"",IF(INDEX(Firms!$C$5:$C$1004,$U961)="","",INDEX(Firms!$C$5:$C$1004,$U961)))</f>
        <v/>
      </c>
      <c r="P961" s="79">
        <f>IF(OR($T961="",$U961=""),"",IF(INDEX(Firms!$N$5:$N$1004,$U961)="","",INDEX(Firms!$N$5:$N$1004,$U961)))</f>
        <v/>
      </c>
      <c r="Q961" s="78">
        <f>IF($T961="","",IF($S961="S",IF(INDEX(Firms!$T$5:$T$1004,$T961)="","",INDEX(Firms!$T$5:$T$1004,$T961)),IF(INDEX('AFA Rates'!$M$5:$M$1004,$T961)="","",INDEX('AFA Rates'!$M$5:$M$1004,$T961))))</f>
        <v/>
      </c>
      <c r="S961">
        <f>IF(957&lt;=$S$2,"S",IF(957&lt;=$S$2+$T$2,"A",""))</f>
        <v/>
      </c>
      <c r="T961">
        <f>IF(S961="S",MATCH(957,Firms!$W$5:$W$1004,0),IF(S961="A",IFERROR(MATCH(957-$S$2,'AFA Rates'!$R$5:$R$1004,0),""),""))</f>
        <v/>
      </c>
      <c r="U961">
        <f>IF(S961="S",T961,IF(AND(S961="A",T961&lt;&gt;""),IFERROR(MATCH(INDEX('AFA Rates'!$A$5:$A$1004,T961),Firms!$A$5:$A$1004,0),""),""))</f>
        <v/>
      </c>
    </row>
    <row r="962">
      <c r="A962" s="78">
        <f>IF($T962="","",IF($S962="S",IF(INDEX(Firms!$A$5:$A$1004,$T962)="","",INDEX(Firms!$A$5:$A$1004,$T962)),IF(INDEX('AFA Rates'!$A$5:$A$1004,$T962)="","",INDEX('AFA Rates'!$A$5:$A$1004,$T962))))</f>
        <v/>
      </c>
      <c r="B962" s="79">
        <f>IF(OR($T962="",$U962=""),IF($T962="","","Not on Firms tab"),INDEX(Firms!$B$5:$B$1004,$U962)&amp;"")</f>
        <v/>
      </c>
      <c r="C962" s="78">
        <f>IF($T962="","",IF($S962="S","Standard",INDEX('AFA Rates'!$B$5:$B$1004,$T962)&amp;""))</f>
        <v/>
      </c>
      <c r="D962" s="88">
        <f>IF($T962="","",IF($S962="S",IF(INDEX(Firms!$E$5:$E$1004,$T962)="","",INDEX(Firms!$E$5:$E$1004,$T962)),IF(INDEX('AFA Rates'!$C$5:$C$1004,$T962)="","",INDEX('AFA Rates'!$C$5:$C$1004,$T962))))</f>
        <v/>
      </c>
      <c r="E962" s="88">
        <f>IF($T962="","",IF($S962="S",IF(""="","",""),IF(INDEX('AFA Rates'!$D$5:$D$1004,$T962)="","",INDEX('AFA Rates'!$D$5:$D$1004,$T962))))</f>
        <v/>
      </c>
      <c r="F962" s="79">
        <f>IF($T962="","",IF($S962="S",IF(INDEX(Firms!$O$5:$O$1004,$T962)="","",INDEX(Firms!$O$5:$O$1004,$T962)),IF(INDEX('AFA Rates'!$O$5:$O$1004,$T962)="","",INDEX('AFA Rates'!$O$5:$O$1004,$T962))))</f>
        <v/>
      </c>
      <c r="G962" s="50">
        <f>IF($T962="","",IF($S962="S",IF(INDEX(Firms!$F$5:$F$1004,$T962)="","",INDEX(Firms!$F$5:$F$1004,$T962)),IF(INDEX('AFA Rates'!$E$5:$E$1004,$T962)="","",INDEX('AFA Rates'!$E$5:$E$1004,$T962))))</f>
        <v/>
      </c>
      <c r="H962" s="50">
        <f>IF($T962="","",IF($S962="S",IF(INDEX(Firms!$G$5:$G$1004,$T962)="","",INDEX(Firms!$G$5:$G$1004,$T962)),IF(INDEX('AFA Rates'!$F$5:$F$1004,$T962)="","",INDEX('AFA Rates'!$F$5:$F$1004,$T962))))</f>
        <v/>
      </c>
      <c r="I962" s="50">
        <f>IF($T962="","",IF($S962="S",IF(INDEX(Firms!$H$5:$H$1004,$T962)="","",INDEX(Firms!$H$5:$H$1004,$T962)),IF(INDEX('AFA Rates'!$G$5:$G$1004,$T962)="","",INDEX('AFA Rates'!$G$5:$G$1004,$T962))))</f>
        <v/>
      </c>
      <c r="J962" s="50">
        <f>IF($T962="","",IF($S962="S",IF(INDEX(Firms!$I$5:$I$1004,$T962)="","",INDEX(Firms!$I$5:$I$1004,$T962)),IF(INDEX('AFA Rates'!$H$5:$H$1004,$T962)="","",INDEX('AFA Rates'!$H$5:$H$1004,$T962))))</f>
        <v/>
      </c>
      <c r="K962" s="50">
        <f>IF($T962="","",IF($S962="S",IF(INDEX(Firms!$J$5:$J$1004,$T962)="","",INDEX(Firms!$J$5:$J$1004,$T962)),IF(INDEX('AFA Rates'!$I$5:$I$1004,$T962)="","",INDEX('AFA Rates'!$I$5:$I$1004,$T962))))</f>
        <v/>
      </c>
      <c r="L962" s="50">
        <f>IF($T962="","",IF($S962="S",IF(INDEX(Firms!$K$5:$K$1004,$T962)="","",INDEX(Firms!$K$5:$K$1004,$T962)),IF(INDEX('AFA Rates'!$J$5:$J$1004,$T962)="","",INDEX('AFA Rates'!$J$5:$J$1004,$T962))))</f>
        <v/>
      </c>
      <c r="M962" s="50">
        <f>IF($T962="","",IF($S962="S",IF(INDEX(Firms!$L$5:$L$1004,$T962)="","",INDEX(Firms!$L$5:$L$1004,$T962)),IF(INDEX('AFA Rates'!$K$5:$K$1004,$T962)="","",INDEX('AFA Rates'!$K$5:$K$1004,$T962))))</f>
        <v/>
      </c>
      <c r="N962" s="50">
        <f>IF($T962="","",IF($S962="S",IF(INDEX(Firms!$M$5:$M$1004,$T962)="","",INDEX(Firms!$M$5:$M$1004,$T962)),IF(INDEX('AFA Rates'!$L$5:$L$1004,$T962)="","",INDEX('AFA Rates'!$L$5:$L$1004,$T962))))</f>
        <v/>
      </c>
      <c r="O962" s="78">
        <f>IF(OR($T962="",$U962=""),"",IF(INDEX(Firms!$C$5:$C$1004,$U962)="","",INDEX(Firms!$C$5:$C$1004,$U962)))</f>
        <v/>
      </c>
      <c r="P962" s="79">
        <f>IF(OR($T962="",$U962=""),"",IF(INDEX(Firms!$N$5:$N$1004,$U962)="","",INDEX(Firms!$N$5:$N$1004,$U962)))</f>
        <v/>
      </c>
      <c r="Q962" s="78">
        <f>IF($T962="","",IF($S962="S",IF(INDEX(Firms!$T$5:$T$1004,$T962)="","",INDEX(Firms!$T$5:$T$1004,$T962)),IF(INDEX('AFA Rates'!$M$5:$M$1004,$T962)="","",INDEX('AFA Rates'!$M$5:$M$1004,$T962))))</f>
        <v/>
      </c>
      <c r="S962">
        <f>IF(958&lt;=$S$2,"S",IF(958&lt;=$S$2+$T$2,"A",""))</f>
        <v/>
      </c>
      <c r="T962">
        <f>IF(S962="S",MATCH(958,Firms!$W$5:$W$1004,0),IF(S962="A",IFERROR(MATCH(958-$S$2,'AFA Rates'!$R$5:$R$1004,0),""),""))</f>
        <v/>
      </c>
      <c r="U962">
        <f>IF(S962="S",T962,IF(AND(S962="A",T962&lt;&gt;""),IFERROR(MATCH(INDEX('AFA Rates'!$A$5:$A$1004,T962),Firms!$A$5:$A$1004,0),""),""))</f>
        <v/>
      </c>
    </row>
    <row r="963">
      <c r="A963" s="78">
        <f>IF($T963="","",IF($S963="S",IF(INDEX(Firms!$A$5:$A$1004,$T963)="","",INDEX(Firms!$A$5:$A$1004,$T963)),IF(INDEX('AFA Rates'!$A$5:$A$1004,$T963)="","",INDEX('AFA Rates'!$A$5:$A$1004,$T963))))</f>
        <v/>
      </c>
      <c r="B963" s="79">
        <f>IF(OR($T963="",$U963=""),IF($T963="","","Not on Firms tab"),INDEX(Firms!$B$5:$B$1004,$U963)&amp;"")</f>
        <v/>
      </c>
      <c r="C963" s="78">
        <f>IF($T963="","",IF($S963="S","Standard",INDEX('AFA Rates'!$B$5:$B$1004,$T963)&amp;""))</f>
        <v/>
      </c>
      <c r="D963" s="88">
        <f>IF($T963="","",IF($S963="S",IF(INDEX(Firms!$E$5:$E$1004,$T963)="","",INDEX(Firms!$E$5:$E$1004,$T963)),IF(INDEX('AFA Rates'!$C$5:$C$1004,$T963)="","",INDEX('AFA Rates'!$C$5:$C$1004,$T963))))</f>
        <v/>
      </c>
      <c r="E963" s="88">
        <f>IF($T963="","",IF($S963="S",IF(""="","",""),IF(INDEX('AFA Rates'!$D$5:$D$1004,$T963)="","",INDEX('AFA Rates'!$D$5:$D$1004,$T963))))</f>
        <v/>
      </c>
      <c r="F963" s="79">
        <f>IF($T963="","",IF($S963="S",IF(INDEX(Firms!$O$5:$O$1004,$T963)="","",INDEX(Firms!$O$5:$O$1004,$T963)),IF(INDEX('AFA Rates'!$O$5:$O$1004,$T963)="","",INDEX('AFA Rates'!$O$5:$O$1004,$T963))))</f>
        <v/>
      </c>
      <c r="G963" s="50">
        <f>IF($T963="","",IF($S963="S",IF(INDEX(Firms!$F$5:$F$1004,$T963)="","",INDEX(Firms!$F$5:$F$1004,$T963)),IF(INDEX('AFA Rates'!$E$5:$E$1004,$T963)="","",INDEX('AFA Rates'!$E$5:$E$1004,$T963))))</f>
        <v/>
      </c>
      <c r="H963" s="50">
        <f>IF($T963="","",IF($S963="S",IF(INDEX(Firms!$G$5:$G$1004,$T963)="","",INDEX(Firms!$G$5:$G$1004,$T963)),IF(INDEX('AFA Rates'!$F$5:$F$1004,$T963)="","",INDEX('AFA Rates'!$F$5:$F$1004,$T963))))</f>
        <v/>
      </c>
      <c r="I963" s="50">
        <f>IF($T963="","",IF($S963="S",IF(INDEX(Firms!$H$5:$H$1004,$T963)="","",INDEX(Firms!$H$5:$H$1004,$T963)),IF(INDEX('AFA Rates'!$G$5:$G$1004,$T963)="","",INDEX('AFA Rates'!$G$5:$G$1004,$T963))))</f>
        <v/>
      </c>
      <c r="J963" s="50">
        <f>IF($T963="","",IF($S963="S",IF(INDEX(Firms!$I$5:$I$1004,$T963)="","",INDEX(Firms!$I$5:$I$1004,$T963)),IF(INDEX('AFA Rates'!$H$5:$H$1004,$T963)="","",INDEX('AFA Rates'!$H$5:$H$1004,$T963))))</f>
        <v/>
      </c>
      <c r="K963" s="50">
        <f>IF($T963="","",IF($S963="S",IF(INDEX(Firms!$J$5:$J$1004,$T963)="","",INDEX(Firms!$J$5:$J$1004,$T963)),IF(INDEX('AFA Rates'!$I$5:$I$1004,$T963)="","",INDEX('AFA Rates'!$I$5:$I$1004,$T963))))</f>
        <v/>
      </c>
      <c r="L963" s="50">
        <f>IF($T963="","",IF($S963="S",IF(INDEX(Firms!$K$5:$K$1004,$T963)="","",INDEX(Firms!$K$5:$K$1004,$T963)),IF(INDEX('AFA Rates'!$J$5:$J$1004,$T963)="","",INDEX('AFA Rates'!$J$5:$J$1004,$T963))))</f>
        <v/>
      </c>
      <c r="M963" s="50">
        <f>IF($T963="","",IF($S963="S",IF(INDEX(Firms!$L$5:$L$1004,$T963)="","",INDEX(Firms!$L$5:$L$1004,$T963)),IF(INDEX('AFA Rates'!$K$5:$K$1004,$T963)="","",INDEX('AFA Rates'!$K$5:$K$1004,$T963))))</f>
        <v/>
      </c>
      <c r="N963" s="50">
        <f>IF($T963="","",IF($S963="S",IF(INDEX(Firms!$M$5:$M$1004,$T963)="","",INDEX(Firms!$M$5:$M$1004,$T963)),IF(INDEX('AFA Rates'!$L$5:$L$1004,$T963)="","",INDEX('AFA Rates'!$L$5:$L$1004,$T963))))</f>
        <v/>
      </c>
      <c r="O963" s="78">
        <f>IF(OR($T963="",$U963=""),"",IF(INDEX(Firms!$C$5:$C$1004,$U963)="","",INDEX(Firms!$C$5:$C$1004,$U963)))</f>
        <v/>
      </c>
      <c r="P963" s="79">
        <f>IF(OR($T963="",$U963=""),"",IF(INDEX(Firms!$N$5:$N$1004,$U963)="","",INDEX(Firms!$N$5:$N$1004,$U963)))</f>
        <v/>
      </c>
      <c r="Q963" s="78">
        <f>IF($T963="","",IF($S963="S",IF(INDEX(Firms!$T$5:$T$1004,$T963)="","",INDEX(Firms!$T$5:$T$1004,$T963)),IF(INDEX('AFA Rates'!$M$5:$M$1004,$T963)="","",INDEX('AFA Rates'!$M$5:$M$1004,$T963))))</f>
        <v/>
      </c>
      <c r="S963">
        <f>IF(959&lt;=$S$2,"S",IF(959&lt;=$S$2+$T$2,"A",""))</f>
        <v/>
      </c>
      <c r="T963">
        <f>IF(S963="S",MATCH(959,Firms!$W$5:$W$1004,0),IF(S963="A",IFERROR(MATCH(959-$S$2,'AFA Rates'!$R$5:$R$1004,0),""),""))</f>
        <v/>
      </c>
      <c r="U963">
        <f>IF(S963="S",T963,IF(AND(S963="A",T963&lt;&gt;""),IFERROR(MATCH(INDEX('AFA Rates'!$A$5:$A$1004,T963),Firms!$A$5:$A$1004,0),""),""))</f>
        <v/>
      </c>
    </row>
    <row r="964">
      <c r="A964" s="78">
        <f>IF($T964="","",IF($S964="S",IF(INDEX(Firms!$A$5:$A$1004,$T964)="","",INDEX(Firms!$A$5:$A$1004,$T964)),IF(INDEX('AFA Rates'!$A$5:$A$1004,$T964)="","",INDEX('AFA Rates'!$A$5:$A$1004,$T964))))</f>
        <v/>
      </c>
      <c r="B964" s="79">
        <f>IF(OR($T964="",$U964=""),IF($T964="","","Not on Firms tab"),INDEX(Firms!$B$5:$B$1004,$U964)&amp;"")</f>
        <v/>
      </c>
      <c r="C964" s="78">
        <f>IF($T964="","",IF($S964="S","Standard",INDEX('AFA Rates'!$B$5:$B$1004,$T964)&amp;""))</f>
        <v/>
      </c>
      <c r="D964" s="88">
        <f>IF($T964="","",IF($S964="S",IF(INDEX(Firms!$E$5:$E$1004,$T964)="","",INDEX(Firms!$E$5:$E$1004,$T964)),IF(INDEX('AFA Rates'!$C$5:$C$1004,$T964)="","",INDEX('AFA Rates'!$C$5:$C$1004,$T964))))</f>
        <v/>
      </c>
      <c r="E964" s="88">
        <f>IF($T964="","",IF($S964="S",IF(""="","",""),IF(INDEX('AFA Rates'!$D$5:$D$1004,$T964)="","",INDEX('AFA Rates'!$D$5:$D$1004,$T964))))</f>
        <v/>
      </c>
      <c r="F964" s="79">
        <f>IF($T964="","",IF($S964="S",IF(INDEX(Firms!$O$5:$O$1004,$T964)="","",INDEX(Firms!$O$5:$O$1004,$T964)),IF(INDEX('AFA Rates'!$O$5:$O$1004,$T964)="","",INDEX('AFA Rates'!$O$5:$O$1004,$T964))))</f>
        <v/>
      </c>
      <c r="G964" s="50">
        <f>IF($T964="","",IF($S964="S",IF(INDEX(Firms!$F$5:$F$1004,$T964)="","",INDEX(Firms!$F$5:$F$1004,$T964)),IF(INDEX('AFA Rates'!$E$5:$E$1004,$T964)="","",INDEX('AFA Rates'!$E$5:$E$1004,$T964))))</f>
        <v/>
      </c>
      <c r="H964" s="50">
        <f>IF($T964="","",IF($S964="S",IF(INDEX(Firms!$G$5:$G$1004,$T964)="","",INDEX(Firms!$G$5:$G$1004,$T964)),IF(INDEX('AFA Rates'!$F$5:$F$1004,$T964)="","",INDEX('AFA Rates'!$F$5:$F$1004,$T964))))</f>
        <v/>
      </c>
      <c r="I964" s="50">
        <f>IF($T964="","",IF($S964="S",IF(INDEX(Firms!$H$5:$H$1004,$T964)="","",INDEX(Firms!$H$5:$H$1004,$T964)),IF(INDEX('AFA Rates'!$G$5:$G$1004,$T964)="","",INDEX('AFA Rates'!$G$5:$G$1004,$T964))))</f>
        <v/>
      </c>
      <c r="J964" s="50">
        <f>IF($T964="","",IF($S964="S",IF(INDEX(Firms!$I$5:$I$1004,$T964)="","",INDEX(Firms!$I$5:$I$1004,$T964)),IF(INDEX('AFA Rates'!$H$5:$H$1004,$T964)="","",INDEX('AFA Rates'!$H$5:$H$1004,$T964))))</f>
        <v/>
      </c>
      <c r="K964" s="50">
        <f>IF($T964="","",IF($S964="S",IF(INDEX(Firms!$J$5:$J$1004,$T964)="","",INDEX(Firms!$J$5:$J$1004,$T964)),IF(INDEX('AFA Rates'!$I$5:$I$1004,$T964)="","",INDEX('AFA Rates'!$I$5:$I$1004,$T964))))</f>
        <v/>
      </c>
      <c r="L964" s="50">
        <f>IF($T964="","",IF($S964="S",IF(INDEX(Firms!$K$5:$K$1004,$T964)="","",INDEX(Firms!$K$5:$K$1004,$T964)),IF(INDEX('AFA Rates'!$J$5:$J$1004,$T964)="","",INDEX('AFA Rates'!$J$5:$J$1004,$T964))))</f>
        <v/>
      </c>
      <c r="M964" s="50">
        <f>IF($T964="","",IF($S964="S",IF(INDEX(Firms!$L$5:$L$1004,$T964)="","",INDEX(Firms!$L$5:$L$1004,$T964)),IF(INDEX('AFA Rates'!$K$5:$K$1004,$T964)="","",INDEX('AFA Rates'!$K$5:$K$1004,$T964))))</f>
        <v/>
      </c>
      <c r="N964" s="50">
        <f>IF($T964="","",IF($S964="S",IF(INDEX(Firms!$M$5:$M$1004,$T964)="","",INDEX(Firms!$M$5:$M$1004,$T964)),IF(INDEX('AFA Rates'!$L$5:$L$1004,$T964)="","",INDEX('AFA Rates'!$L$5:$L$1004,$T964))))</f>
        <v/>
      </c>
      <c r="O964" s="78">
        <f>IF(OR($T964="",$U964=""),"",IF(INDEX(Firms!$C$5:$C$1004,$U964)="","",INDEX(Firms!$C$5:$C$1004,$U964)))</f>
        <v/>
      </c>
      <c r="P964" s="79">
        <f>IF(OR($T964="",$U964=""),"",IF(INDEX(Firms!$N$5:$N$1004,$U964)="","",INDEX(Firms!$N$5:$N$1004,$U964)))</f>
        <v/>
      </c>
      <c r="Q964" s="78">
        <f>IF($T964="","",IF($S964="S",IF(INDEX(Firms!$T$5:$T$1004,$T964)="","",INDEX(Firms!$T$5:$T$1004,$T964)),IF(INDEX('AFA Rates'!$M$5:$M$1004,$T964)="","",INDEX('AFA Rates'!$M$5:$M$1004,$T964))))</f>
        <v/>
      </c>
      <c r="S964">
        <f>IF(960&lt;=$S$2,"S",IF(960&lt;=$S$2+$T$2,"A",""))</f>
        <v/>
      </c>
      <c r="T964">
        <f>IF(S964="S",MATCH(960,Firms!$W$5:$W$1004,0),IF(S964="A",IFERROR(MATCH(960-$S$2,'AFA Rates'!$R$5:$R$1004,0),""),""))</f>
        <v/>
      </c>
      <c r="U964">
        <f>IF(S964="S",T964,IF(AND(S964="A",T964&lt;&gt;""),IFERROR(MATCH(INDEX('AFA Rates'!$A$5:$A$1004,T964),Firms!$A$5:$A$1004,0),""),""))</f>
        <v/>
      </c>
    </row>
    <row r="965">
      <c r="A965" s="78">
        <f>IF($T965="","",IF($S965="S",IF(INDEX(Firms!$A$5:$A$1004,$T965)="","",INDEX(Firms!$A$5:$A$1004,$T965)),IF(INDEX('AFA Rates'!$A$5:$A$1004,$T965)="","",INDEX('AFA Rates'!$A$5:$A$1004,$T965))))</f>
        <v/>
      </c>
      <c r="B965" s="79">
        <f>IF(OR($T965="",$U965=""),IF($T965="","","Not on Firms tab"),INDEX(Firms!$B$5:$B$1004,$U965)&amp;"")</f>
        <v/>
      </c>
      <c r="C965" s="78">
        <f>IF($T965="","",IF($S965="S","Standard",INDEX('AFA Rates'!$B$5:$B$1004,$T965)&amp;""))</f>
        <v/>
      </c>
      <c r="D965" s="88">
        <f>IF($T965="","",IF($S965="S",IF(INDEX(Firms!$E$5:$E$1004,$T965)="","",INDEX(Firms!$E$5:$E$1004,$T965)),IF(INDEX('AFA Rates'!$C$5:$C$1004,$T965)="","",INDEX('AFA Rates'!$C$5:$C$1004,$T965))))</f>
        <v/>
      </c>
      <c r="E965" s="88">
        <f>IF($T965="","",IF($S965="S",IF(""="","",""),IF(INDEX('AFA Rates'!$D$5:$D$1004,$T965)="","",INDEX('AFA Rates'!$D$5:$D$1004,$T965))))</f>
        <v/>
      </c>
      <c r="F965" s="79">
        <f>IF($T965="","",IF($S965="S",IF(INDEX(Firms!$O$5:$O$1004,$T965)="","",INDEX(Firms!$O$5:$O$1004,$T965)),IF(INDEX('AFA Rates'!$O$5:$O$1004,$T965)="","",INDEX('AFA Rates'!$O$5:$O$1004,$T965))))</f>
        <v/>
      </c>
      <c r="G965" s="50">
        <f>IF($T965="","",IF($S965="S",IF(INDEX(Firms!$F$5:$F$1004,$T965)="","",INDEX(Firms!$F$5:$F$1004,$T965)),IF(INDEX('AFA Rates'!$E$5:$E$1004,$T965)="","",INDEX('AFA Rates'!$E$5:$E$1004,$T965))))</f>
        <v/>
      </c>
      <c r="H965" s="50">
        <f>IF($T965="","",IF($S965="S",IF(INDEX(Firms!$G$5:$G$1004,$T965)="","",INDEX(Firms!$G$5:$G$1004,$T965)),IF(INDEX('AFA Rates'!$F$5:$F$1004,$T965)="","",INDEX('AFA Rates'!$F$5:$F$1004,$T965))))</f>
        <v/>
      </c>
      <c r="I965" s="50">
        <f>IF($T965="","",IF($S965="S",IF(INDEX(Firms!$H$5:$H$1004,$T965)="","",INDEX(Firms!$H$5:$H$1004,$T965)),IF(INDEX('AFA Rates'!$G$5:$G$1004,$T965)="","",INDEX('AFA Rates'!$G$5:$G$1004,$T965))))</f>
        <v/>
      </c>
      <c r="J965" s="50">
        <f>IF($T965="","",IF($S965="S",IF(INDEX(Firms!$I$5:$I$1004,$T965)="","",INDEX(Firms!$I$5:$I$1004,$T965)),IF(INDEX('AFA Rates'!$H$5:$H$1004,$T965)="","",INDEX('AFA Rates'!$H$5:$H$1004,$T965))))</f>
        <v/>
      </c>
      <c r="K965" s="50">
        <f>IF($T965="","",IF($S965="S",IF(INDEX(Firms!$J$5:$J$1004,$T965)="","",INDEX(Firms!$J$5:$J$1004,$T965)),IF(INDEX('AFA Rates'!$I$5:$I$1004,$T965)="","",INDEX('AFA Rates'!$I$5:$I$1004,$T965))))</f>
        <v/>
      </c>
      <c r="L965" s="50">
        <f>IF($T965="","",IF($S965="S",IF(INDEX(Firms!$K$5:$K$1004,$T965)="","",INDEX(Firms!$K$5:$K$1004,$T965)),IF(INDEX('AFA Rates'!$J$5:$J$1004,$T965)="","",INDEX('AFA Rates'!$J$5:$J$1004,$T965))))</f>
        <v/>
      </c>
      <c r="M965" s="50">
        <f>IF($T965="","",IF($S965="S",IF(INDEX(Firms!$L$5:$L$1004,$T965)="","",INDEX(Firms!$L$5:$L$1004,$T965)),IF(INDEX('AFA Rates'!$K$5:$K$1004,$T965)="","",INDEX('AFA Rates'!$K$5:$K$1004,$T965))))</f>
        <v/>
      </c>
      <c r="N965" s="50">
        <f>IF($T965="","",IF($S965="S",IF(INDEX(Firms!$M$5:$M$1004,$T965)="","",INDEX(Firms!$M$5:$M$1004,$T965)),IF(INDEX('AFA Rates'!$L$5:$L$1004,$T965)="","",INDEX('AFA Rates'!$L$5:$L$1004,$T965))))</f>
        <v/>
      </c>
      <c r="O965" s="78">
        <f>IF(OR($T965="",$U965=""),"",IF(INDEX(Firms!$C$5:$C$1004,$U965)="","",INDEX(Firms!$C$5:$C$1004,$U965)))</f>
        <v/>
      </c>
      <c r="P965" s="79">
        <f>IF(OR($T965="",$U965=""),"",IF(INDEX(Firms!$N$5:$N$1004,$U965)="","",INDEX(Firms!$N$5:$N$1004,$U965)))</f>
        <v/>
      </c>
      <c r="Q965" s="78">
        <f>IF($T965="","",IF($S965="S",IF(INDEX(Firms!$T$5:$T$1004,$T965)="","",INDEX(Firms!$T$5:$T$1004,$T965)),IF(INDEX('AFA Rates'!$M$5:$M$1004,$T965)="","",INDEX('AFA Rates'!$M$5:$M$1004,$T965))))</f>
        <v/>
      </c>
      <c r="S965">
        <f>IF(961&lt;=$S$2,"S",IF(961&lt;=$S$2+$T$2,"A",""))</f>
        <v/>
      </c>
      <c r="T965">
        <f>IF(S965="S",MATCH(961,Firms!$W$5:$W$1004,0),IF(S965="A",IFERROR(MATCH(961-$S$2,'AFA Rates'!$R$5:$R$1004,0),""),""))</f>
        <v/>
      </c>
      <c r="U965">
        <f>IF(S965="S",T965,IF(AND(S965="A",T965&lt;&gt;""),IFERROR(MATCH(INDEX('AFA Rates'!$A$5:$A$1004,T965),Firms!$A$5:$A$1004,0),""),""))</f>
        <v/>
      </c>
    </row>
    <row r="966">
      <c r="A966" s="78">
        <f>IF($T966="","",IF($S966="S",IF(INDEX(Firms!$A$5:$A$1004,$T966)="","",INDEX(Firms!$A$5:$A$1004,$T966)),IF(INDEX('AFA Rates'!$A$5:$A$1004,$T966)="","",INDEX('AFA Rates'!$A$5:$A$1004,$T966))))</f>
        <v/>
      </c>
      <c r="B966" s="79">
        <f>IF(OR($T966="",$U966=""),IF($T966="","","Not on Firms tab"),INDEX(Firms!$B$5:$B$1004,$U966)&amp;"")</f>
        <v/>
      </c>
      <c r="C966" s="78">
        <f>IF($T966="","",IF($S966="S","Standard",INDEX('AFA Rates'!$B$5:$B$1004,$T966)&amp;""))</f>
        <v/>
      </c>
      <c r="D966" s="88">
        <f>IF($T966="","",IF($S966="S",IF(INDEX(Firms!$E$5:$E$1004,$T966)="","",INDEX(Firms!$E$5:$E$1004,$T966)),IF(INDEX('AFA Rates'!$C$5:$C$1004,$T966)="","",INDEX('AFA Rates'!$C$5:$C$1004,$T966))))</f>
        <v/>
      </c>
      <c r="E966" s="88">
        <f>IF($T966="","",IF($S966="S",IF(""="","",""),IF(INDEX('AFA Rates'!$D$5:$D$1004,$T966)="","",INDEX('AFA Rates'!$D$5:$D$1004,$T966))))</f>
        <v/>
      </c>
      <c r="F966" s="79">
        <f>IF($T966="","",IF($S966="S",IF(INDEX(Firms!$O$5:$O$1004,$T966)="","",INDEX(Firms!$O$5:$O$1004,$T966)),IF(INDEX('AFA Rates'!$O$5:$O$1004,$T966)="","",INDEX('AFA Rates'!$O$5:$O$1004,$T966))))</f>
        <v/>
      </c>
      <c r="G966" s="50">
        <f>IF($T966="","",IF($S966="S",IF(INDEX(Firms!$F$5:$F$1004,$T966)="","",INDEX(Firms!$F$5:$F$1004,$T966)),IF(INDEX('AFA Rates'!$E$5:$E$1004,$T966)="","",INDEX('AFA Rates'!$E$5:$E$1004,$T966))))</f>
        <v/>
      </c>
      <c r="H966" s="50">
        <f>IF($T966="","",IF($S966="S",IF(INDEX(Firms!$G$5:$G$1004,$T966)="","",INDEX(Firms!$G$5:$G$1004,$T966)),IF(INDEX('AFA Rates'!$F$5:$F$1004,$T966)="","",INDEX('AFA Rates'!$F$5:$F$1004,$T966))))</f>
        <v/>
      </c>
      <c r="I966" s="50">
        <f>IF($T966="","",IF($S966="S",IF(INDEX(Firms!$H$5:$H$1004,$T966)="","",INDEX(Firms!$H$5:$H$1004,$T966)),IF(INDEX('AFA Rates'!$G$5:$G$1004,$T966)="","",INDEX('AFA Rates'!$G$5:$G$1004,$T966))))</f>
        <v/>
      </c>
      <c r="J966" s="50">
        <f>IF($T966="","",IF($S966="S",IF(INDEX(Firms!$I$5:$I$1004,$T966)="","",INDEX(Firms!$I$5:$I$1004,$T966)),IF(INDEX('AFA Rates'!$H$5:$H$1004,$T966)="","",INDEX('AFA Rates'!$H$5:$H$1004,$T966))))</f>
        <v/>
      </c>
      <c r="K966" s="50">
        <f>IF($T966="","",IF($S966="S",IF(INDEX(Firms!$J$5:$J$1004,$T966)="","",INDEX(Firms!$J$5:$J$1004,$T966)),IF(INDEX('AFA Rates'!$I$5:$I$1004,$T966)="","",INDEX('AFA Rates'!$I$5:$I$1004,$T966))))</f>
        <v/>
      </c>
      <c r="L966" s="50">
        <f>IF($T966="","",IF($S966="S",IF(INDEX(Firms!$K$5:$K$1004,$T966)="","",INDEX(Firms!$K$5:$K$1004,$T966)),IF(INDEX('AFA Rates'!$J$5:$J$1004,$T966)="","",INDEX('AFA Rates'!$J$5:$J$1004,$T966))))</f>
        <v/>
      </c>
      <c r="M966" s="50">
        <f>IF($T966="","",IF($S966="S",IF(INDEX(Firms!$L$5:$L$1004,$T966)="","",INDEX(Firms!$L$5:$L$1004,$T966)),IF(INDEX('AFA Rates'!$K$5:$K$1004,$T966)="","",INDEX('AFA Rates'!$K$5:$K$1004,$T966))))</f>
        <v/>
      </c>
      <c r="N966" s="50">
        <f>IF($T966="","",IF($S966="S",IF(INDEX(Firms!$M$5:$M$1004,$T966)="","",INDEX(Firms!$M$5:$M$1004,$T966)),IF(INDEX('AFA Rates'!$L$5:$L$1004,$T966)="","",INDEX('AFA Rates'!$L$5:$L$1004,$T966))))</f>
        <v/>
      </c>
      <c r="O966" s="78">
        <f>IF(OR($T966="",$U966=""),"",IF(INDEX(Firms!$C$5:$C$1004,$U966)="","",INDEX(Firms!$C$5:$C$1004,$U966)))</f>
        <v/>
      </c>
      <c r="P966" s="79">
        <f>IF(OR($T966="",$U966=""),"",IF(INDEX(Firms!$N$5:$N$1004,$U966)="","",INDEX(Firms!$N$5:$N$1004,$U966)))</f>
        <v/>
      </c>
      <c r="Q966" s="78">
        <f>IF($T966="","",IF($S966="S",IF(INDEX(Firms!$T$5:$T$1004,$T966)="","",INDEX(Firms!$T$5:$T$1004,$T966)),IF(INDEX('AFA Rates'!$M$5:$M$1004,$T966)="","",INDEX('AFA Rates'!$M$5:$M$1004,$T966))))</f>
        <v/>
      </c>
      <c r="S966">
        <f>IF(962&lt;=$S$2,"S",IF(962&lt;=$S$2+$T$2,"A",""))</f>
        <v/>
      </c>
      <c r="T966">
        <f>IF(S966="S",MATCH(962,Firms!$W$5:$W$1004,0),IF(S966="A",IFERROR(MATCH(962-$S$2,'AFA Rates'!$R$5:$R$1004,0),""),""))</f>
        <v/>
      </c>
      <c r="U966">
        <f>IF(S966="S",T966,IF(AND(S966="A",T966&lt;&gt;""),IFERROR(MATCH(INDEX('AFA Rates'!$A$5:$A$1004,T966),Firms!$A$5:$A$1004,0),""),""))</f>
        <v/>
      </c>
    </row>
    <row r="967">
      <c r="A967" s="78">
        <f>IF($T967="","",IF($S967="S",IF(INDEX(Firms!$A$5:$A$1004,$T967)="","",INDEX(Firms!$A$5:$A$1004,$T967)),IF(INDEX('AFA Rates'!$A$5:$A$1004,$T967)="","",INDEX('AFA Rates'!$A$5:$A$1004,$T967))))</f>
        <v/>
      </c>
      <c r="B967" s="79">
        <f>IF(OR($T967="",$U967=""),IF($T967="","","Not on Firms tab"),INDEX(Firms!$B$5:$B$1004,$U967)&amp;"")</f>
        <v/>
      </c>
      <c r="C967" s="78">
        <f>IF($T967="","",IF($S967="S","Standard",INDEX('AFA Rates'!$B$5:$B$1004,$T967)&amp;""))</f>
        <v/>
      </c>
      <c r="D967" s="88">
        <f>IF($T967="","",IF($S967="S",IF(INDEX(Firms!$E$5:$E$1004,$T967)="","",INDEX(Firms!$E$5:$E$1004,$T967)),IF(INDEX('AFA Rates'!$C$5:$C$1004,$T967)="","",INDEX('AFA Rates'!$C$5:$C$1004,$T967))))</f>
        <v/>
      </c>
      <c r="E967" s="88">
        <f>IF($T967="","",IF($S967="S",IF(""="","",""),IF(INDEX('AFA Rates'!$D$5:$D$1004,$T967)="","",INDEX('AFA Rates'!$D$5:$D$1004,$T967))))</f>
        <v/>
      </c>
      <c r="F967" s="79">
        <f>IF($T967="","",IF($S967="S",IF(INDEX(Firms!$O$5:$O$1004,$T967)="","",INDEX(Firms!$O$5:$O$1004,$T967)),IF(INDEX('AFA Rates'!$O$5:$O$1004,$T967)="","",INDEX('AFA Rates'!$O$5:$O$1004,$T967))))</f>
        <v/>
      </c>
      <c r="G967" s="50">
        <f>IF($T967="","",IF($S967="S",IF(INDEX(Firms!$F$5:$F$1004,$T967)="","",INDEX(Firms!$F$5:$F$1004,$T967)),IF(INDEX('AFA Rates'!$E$5:$E$1004,$T967)="","",INDEX('AFA Rates'!$E$5:$E$1004,$T967))))</f>
        <v/>
      </c>
      <c r="H967" s="50">
        <f>IF($T967="","",IF($S967="S",IF(INDEX(Firms!$G$5:$G$1004,$T967)="","",INDEX(Firms!$G$5:$G$1004,$T967)),IF(INDEX('AFA Rates'!$F$5:$F$1004,$T967)="","",INDEX('AFA Rates'!$F$5:$F$1004,$T967))))</f>
        <v/>
      </c>
      <c r="I967" s="50">
        <f>IF($T967="","",IF($S967="S",IF(INDEX(Firms!$H$5:$H$1004,$T967)="","",INDEX(Firms!$H$5:$H$1004,$T967)),IF(INDEX('AFA Rates'!$G$5:$G$1004,$T967)="","",INDEX('AFA Rates'!$G$5:$G$1004,$T967))))</f>
        <v/>
      </c>
      <c r="J967" s="50">
        <f>IF($T967="","",IF($S967="S",IF(INDEX(Firms!$I$5:$I$1004,$T967)="","",INDEX(Firms!$I$5:$I$1004,$T967)),IF(INDEX('AFA Rates'!$H$5:$H$1004,$T967)="","",INDEX('AFA Rates'!$H$5:$H$1004,$T967))))</f>
        <v/>
      </c>
      <c r="K967" s="50">
        <f>IF($T967="","",IF($S967="S",IF(INDEX(Firms!$J$5:$J$1004,$T967)="","",INDEX(Firms!$J$5:$J$1004,$T967)),IF(INDEX('AFA Rates'!$I$5:$I$1004,$T967)="","",INDEX('AFA Rates'!$I$5:$I$1004,$T967))))</f>
        <v/>
      </c>
      <c r="L967" s="50">
        <f>IF($T967="","",IF($S967="S",IF(INDEX(Firms!$K$5:$K$1004,$T967)="","",INDEX(Firms!$K$5:$K$1004,$T967)),IF(INDEX('AFA Rates'!$J$5:$J$1004,$T967)="","",INDEX('AFA Rates'!$J$5:$J$1004,$T967))))</f>
        <v/>
      </c>
      <c r="M967" s="50">
        <f>IF($T967="","",IF($S967="S",IF(INDEX(Firms!$L$5:$L$1004,$T967)="","",INDEX(Firms!$L$5:$L$1004,$T967)),IF(INDEX('AFA Rates'!$K$5:$K$1004,$T967)="","",INDEX('AFA Rates'!$K$5:$K$1004,$T967))))</f>
        <v/>
      </c>
      <c r="N967" s="50">
        <f>IF($T967="","",IF($S967="S",IF(INDEX(Firms!$M$5:$M$1004,$T967)="","",INDEX(Firms!$M$5:$M$1004,$T967)),IF(INDEX('AFA Rates'!$L$5:$L$1004,$T967)="","",INDEX('AFA Rates'!$L$5:$L$1004,$T967))))</f>
        <v/>
      </c>
      <c r="O967" s="78">
        <f>IF(OR($T967="",$U967=""),"",IF(INDEX(Firms!$C$5:$C$1004,$U967)="","",INDEX(Firms!$C$5:$C$1004,$U967)))</f>
        <v/>
      </c>
      <c r="P967" s="79">
        <f>IF(OR($T967="",$U967=""),"",IF(INDEX(Firms!$N$5:$N$1004,$U967)="","",INDEX(Firms!$N$5:$N$1004,$U967)))</f>
        <v/>
      </c>
      <c r="Q967" s="78">
        <f>IF($T967="","",IF($S967="S",IF(INDEX(Firms!$T$5:$T$1004,$T967)="","",INDEX(Firms!$T$5:$T$1004,$T967)),IF(INDEX('AFA Rates'!$M$5:$M$1004,$T967)="","",INDEX('AFA Rates'!$M$5:$M$1004,$T967))))</f>
        <v/>
      </c>
      <c r="S967">
        <f>IF(963&lt;=$S$2,"S",IF(963&lt;=$S$2+$T$2,"A",""))</f>
        <v/>
      </c>
      <c r="T967">
        <f>IF(S967="S",MATCH(963,Firms!$W$5:$W$1004,0),IF(S967="A",IFERROR(MATCH(963-$S$2,'AFA Rates'!$R$5:$R$1004,0),""),""))</f>
        <v/>
      </c>
      <c r="U967">
        <f>IF(S967="S",T967,IF(AND(S967="A",T967&lt;&gt;""),IFERROR(MATCH(INDEX('AFA Rates'!$A$5:$A$1004,T967),Firms!$A$5:$A$1004,0),""),""))</f>
        <v/>
      </c>
    </row>
    <row r="968">
      <c r="A968" s="78">
        <f>IF($T968="","",IF($S968="S",IF(INDEX(Firms!$A$5:$A$1004,$T968)="","",INDEX(Firms!$A$5:$A$1004,$T968)),IF(INDEX('AFA Rates'!$A$5:$A$1004,$T968)="","",INDEX('AFA Rates'!$A$5:$A$1004,$T968))))</f>
        <v/>
      </c>
      <c r="B968" s="79">
        <f>IF(OR($T968="",$U968=""),IF($T968="","","Not on Firms tab"),INDEX(Firms!$B$5:$B$1004,$U968)&amp;"")</f>
        <v/>
      </c>
      <c r="C968" s="78">
        <f>IF($T968="","",IF($S968="S","Standard",INDEX('AFA Rates'!$B$5:$B$1004,$T968)&amp;""))</f>
        <v/>
      </c>
      <c r="D968" s="88">
        <f>IF($T968="","",IF($S968="S",IF(INDEX(Firms!$E$5:$E$1004,$T968)="","",INDEX(Firms!$E$5:$E$1004,$T968)),IF(INDEX('AFA Rates'!$C$5:$C$1004,$T968)="","",INDEX('AFA Rates'!$C$5:$C$1004,$T968))))</f>
        <v/>
      </c>
      <c r="E968" s="88">
        <f>IF($T968="","",IF($S968="S",IF(""="","",""),IF(INDEX('AFA Rates'!$D$5:$D$1004,$T968)="","",INDEX('AFA Rates'!$D$5:$D$1004,$T968))))</f>
        <v/>
      </c>
      <c r="F968" s="79">
        <f>IF($T968="","",IF($S968="S",IF(INDEX(Firms!$O$5:$O$1004,$T968)="","",INDEX(Firms!$O$5:$O$1004,$T968)),IF(INDEX('AFA Rates'!$O$5:$O$1004,$T968)="","",INDEX('AFA Rates'!$O$5:$O$1004,$T968))))</f>
        <v/>
      </c>
      <c r="G968" s="50">
        <f>IF($T968="","",IF($S968="S",IF(INDEX(Firms!$F$5:$F$1004,$T968)="","",INDEX(Firms!$F$5:$F$1004,$T968)),IF(INDEX('AFA Rates'!$E$5:$E$1004,$T968)="","",INDEX('AFA Rates'!$E$5:$E$1004,$T968))))</f>
        <v/>
      </c>
      <c r="H968" s="50">
        <f>IF($T968="","",IF($S968="S",IF(INDEX(Firms!$G$5:$G$1004,$T968)="","",INDEX(Firms!$G$5:$G$1004,$T968)),IF(INDEX('AFA Rates'!$F$5:$F$1004,$T968)="","",INDEX('AFA Rates'!$F$5:$F$1004,$T968))))</f>
        <v/>
      </c>
      <c r="I968" s="50">
        <f>IF($T968="","",IF($S968="S",IF(INDEX(Firms!$H$5:$H$1004,$T968)="","",INDEX(Firms!$H$5:$H$1004,$T968)),IF(INDEX('AFA Rates'!$G$5:$G$1004,$T968)="","",INDEX('AFA Rates'!$G$5:$G$1004,$T968))))</f>
        <v/>
      </c>
      <c r="J968" s="50">
        <f>IF($T968="","",IF($S968="S",IF(INDEX(Firms!$I$5:$I$1004,$T968)="","",INDEX(Firms!$I$5:$I$1004,$T968)),IF(INDEX('AFA Rates'!$H$5:$H$1004,$T968)="","",INDEX('AFA Rates'!$H$5:$H$1004,$T968))))</f>
        <v/>
      </c>
      <c r="K968" s="50">
        <f>IF($T968="","",IF($S968="S",IF(INDEX(Firms!$J$5:$J$1004,$T968)="","",INDEX(Firms!$J$5:$J$1004,$T968)),IF(INDEX('AFA Rates'!$I$5:$I$1004,$T968)="","",INDEX('AFA Rates'!$I$5:$I$1004,$T968))))</f>
        <v/>
      </c>
      <c r="L968" s="50">
        <f>IF($T968="","",IF($S968="S",IF(INDEX(Firms!$K$5:$K$1004,$T968)="","",INDEX(Firms!$K$5:$K$1004,$T968)),IF(INDEX('AFA Rates'!$J$5:$J$1004,$T968)="","",INDEX('AFA Rates'!$J$5:$J$1004,$T968))))</f>
        <v/>
      </c>
      <c r="M968" s="50">
        <f>IF($T968="","",IF($S968="S",IF(INDEX(Firms!$L$5:$L$1004,$T968)="","",INDEX(Firms!$L$5:$L$1004,$T968)),IF(INDEX('AFA Rates'!$K$5:$K$1004,$T968)="","",INDEX('AFA Rates'!$K$5:$K$1004,$T968))))</f>
        <v/>
      </c>
      <c r="N968" s="50">
        <f>IF($T968="","",IF($S968="S",IF(INDEX(Firms!$M$5:$M$1004,$T968)="","",INDEX(Firms!$M$5:$M$1004,$T968)),IF(INDEX('AFA Rates'!$L$5:$L$1004,$T968)="","",INDEX('AFA Rates'!$L$5:$L$1004,$T968))))</f>
        <v/>
      </c>
      <c r="O968" s="78">
        <f>IF(OR($T968="",$U968=""),"",IF(INDEX(Firms!$C$5:$C$1004,$U968)="","",INDEX(Firms!$C$5:$C$1004,$U968)))</f>
        <v/>
      </c>
      <c r="P968" s="79">
        <f>IF(OR($T968="",$U968=""),"",IF(INDEX(Firms!$N$5:$N$1004,$U968)="","",INDEX(Firms!$N$5:$N$1004,$U968)))</f>
        <v/>
      </c>
      <c r="Q968" s="78">
        <f>IF($T968="","",IF($S968="S",IF(INDEX(Firms!$T$5:$T$1004,$T968)="","",INDEX(Firms!$T$5:$T$1004,$T968)),IF(INDEX('AFA Rates'!$M$5:$M$1004,$T968)="","",INDEX('AFA Rates'!$M$5:$M$1004,$T968))))</f>
        <v/>
      </c>
      <c r="S968">
        <f>IF(964&lt;=$S$2,"S",IF(964&lt;=$S$2+$T$2,"A",""))</f>
        <v/>
      </c>
      <c r="T968">
        <f>IF(S968="S",MATCH(964,Firms!$W$5:$W$1004,0),IF(S968="A",IFERROR(MATCH(964-$S$2,'AFA Rates'!$R$5:$R$1004,0),""),""))</f>
        <v/>
      </c>
      <c r="U968">
        <f>IF(S968="S",T968,IF(AND(S968="A",T968&lt;&gt;""),IFERROR(MATCH(INDEX('AFA Rates'!$A$5:$A$1004,T968),Firms!$A$5:$A$1004,0),""),""))</f>
        <v/>
      </c>
    </row>
    <row r="969">
      <c r="A969" s="78">
        <f>IF($T969="","",IF($S969="S",IF(INDEX(Firms!$A$5:$A$1004,$T969)="","",INDEX(Firms!$A$5:$A$1004,$T969)),IF(INDEX('AFA Rates'!$A$5:$A$1004,$T969)="","",INDEX('AFA Rates'!$A$5:$A$1004,$T969))))</f>
        <v/>
      </c>
      <c r="B969" s="79">
        <f>IF(OR($T969="",$U969=""),IF($T969="","","Not on Firms tab"),INDEX(Firms!$B$5:$B$1004,$U969)&amp;"")</f>
        <v/>
      </c>
      <c r="C969" s="78">
        <f>IF($T969="","",IF($S969="S","Standard",INDEX('AFA Rates'!$B$5:$B$1004,$T969)&amp;""))</f>
        <v/>
      </c>
      <c r="D969" s="88">
        <f>IF($T969="","",IF($S969="S",IF(INDEX(Firms!$E$5:$E$1004,$T969)="","",INDEX(Firms!$E$5:$E$1004,$T969)),IF(INDEX('AFA Rates'!$C$5:$C$1004,$T969)="","",INDEX('AFA Rates'!$C$5:$C$1004,$T969))))</f>
        <v/>
      </c>
      <c r="E969" s="88">
        <f>IF($T969="","",IF($S969="S",IF(""="","",""),IF(INDEX('AFA Rates'!$D$5:$D$1004,$T969)="","",INDEX('AFA Rates'!$D$5:$D$1004,$T969))))</f>
        <v/>
      </c>
      <c r="F969" s="79">
        <f>IF($T969="","",IF($S969="S",IF(INDEX(Firms!$O$5:$O$1004,$T969)="","",INDEX(Firms!$O$5:$O$1004,$T969)),IF(INDEX('AFA Rates'!$O$5:$O$1004,$T969)="","",INDEX('AFA Rates'!$O$5:$O$1004,$T969))))</f>
        <v/>
      </c>
      <c r="G969" s="50">
        <f>IF($T969="","",IF($S969="S",IF(INDEX(Firms!$F$5:$F$1004,$T969)="","",INDEX(Firms!$F$5:$F$1004,$T969)),IF(INDEX('AFA Rates'!$E$5:$E$1004,$T969)="","",INDEX('AFA Rates'!$E$5:$E$1004,$T969))))</f>
        <v/>
      </c>
      <c r="H969" s="50">
        <f>IF($T969="","",IF($S969="S",IF(INDEX(Firms!$G$5:$G$1004,$T969)="","",INDEX(Firms!$G$5:$G$1004,$T969)),IF(INDEX('AFA Rates'!$F$5:$F$1004,$T969)="","",INDEX('AFA Rates'!$F$5:$F$1004,$T969))))</f>
        <v/>
      </c>
      <c r="I969" s="50">
        <f>IF($T969="","",IF($S969="S",IF(INDEX(Firms!$H$5:$H$1004,$T969)="","",INDEX(Firms!$H$5:$H$1004,$T969)),IF(INDEX('AFA Rates'!$G$5:$G$1004,$T969)="","",INDEX('AFA Rates'!$G$5:$G$1004,$T969))))</f>
        <v/>
      </c>
      <c r="J969" s="50">
        <f>IF($T969="","",IF($S969="S",IF(INDEX(Firms!$I$5:$I$1004,$T969)="","",INDEX(Firms!$I$5:$I$1004,$T969)),IF(INDEX('AFA Rates'!$H$5:$H$1004,$T969)="","",INDEX('AFA Rates'!$H$5:$H$1004,$T969))))</f>
        <v/>
      </c>
      <c r="K969" s="50">
        <f>IF($T969="","",IF($S969="S",IF(INDEX(Firms!$J$5:$J$1004,$T969)="","",INDEX(Firms!$J$5:$J$1004,$T969)),IF(INDEX('AFA Rates'!$I$5:$I$1004,$T969)="","",INDEX('AFA Rates'!$I$5:$I$1004,$T969))))</f>
        <v/>
      </c>
      <c r="L969" s="50">
        <f>IF($T969="","",IF($S969="S",IF(INDEX(Firms!$K$5:$K$1004,$T969)="","",INDEX(Firms!$K$5:$K$1004,$T969)),IF(INDEX('AFA Rates'!$J$5:$J$1004,$T969)="","",INDEX('AFA Rates'!$J$5:$J$1004,$T969))))</f>
        <v/>
      </c>
      <c r="M969" s="50">
        <f>IF($T969="","",IF($S969="S",IF(INDEX(Firms!$L$5:$L$1004,$T969)="","",INDEX(Firms!$L$5:$L$1004,$T969)),IF(INDEX('AFA Rates'!$K$5:$K$1004,$T969)="","",INDEX('AFA Rates'!$K$5:$K$1004,$T969))))</f>
        <v/>
      </c>
      <c r="N969" s="50">
        <f>IF($T969="","",IF($S969="S",IF(INDEX(Firms!$M$5:$M$1004,$T969)="","",INDEX(Firms!$M$5:$M$1004,$T969)),IF(INDEX('AFA Rates'!$L$5:$L$1004,$T969)="","",INDEX('AFA Rates'!$L$5:$L$1004,$T969))))</f>
        <v/>
      </c>
      <c r="O969" s="78">
        <f>IF(OR($T969="",$U969=""),"",IF(INDEX(Firms!$C$5:$C$1004,$U969)="","",INDEX(Firms!$C$5:$C$1004,$U969)))</f>
        <v/>
      </c>
      <c r="P969" s="79">
        <f>IF(OR($T969="",$U969=""),"",IF(INDEX(Firms!$N$5:$N$1004,$U969)="","",INDEX(Firms!$N$5:$N$1004,$U969)))</f>
        <v/>
      </c>
      <c r="Q969" s="78">
        <f>IF($T969="","",IF($S969="S",IF(INDEX(Firms!$T$5:$T$1004,$T969)="","",INDEX(Firms!$T$5:$T$1004,$T969)),IF(INDEX('AFA Rates'!$M$5:$M$1004,$T969)="","",INDEX('AFA Rates'!$M$5:$M$1004,$T969))))</f>
        <v/>
      </c>
      <c r="S969">
        <f>IF(965&lt;=$S$2,"S",IF(965&lt;=$S$2+$T$2,"A",""))</f>
        <v/>
      </c>
      <c r="T969">
        <f>IF(S969="S",MATCH(965,Firms!$W$5:$W$1004,0),IF(S969="A",IFERROR(MATCH(965-$S$2,'AFA Rates'!$R$5:$R$1004,0),""),""))</f>
        <v/>
      </c>
      <c r="U969">
        <f>IF(S969="S",T969,IF(AND(S969="A",T969&lt;&gt;""),IFERROR(MATCH(INDEX('AFA Rates'!$A$5:$A$1004,T969),Firms!$A$5:$A$1004,0),""),""))</f>
        <v/>
      </c>
    </row>
    <row r="970">
      <c r="A970" s="78">
        <f>IF($T970="","",IF($S970="S",IF(INDEX(Firms!$A$5:$A$1004,$T970)="","",INDEX(Firms!$A$5:$A$1004,$T970)),IF(INDEX('AFA Rates'!$A$5:$A$1004,$T970)="","",INDEX('AFA Rates'!$A$5:$A$1004,$T970))))</f>
        <v/>
      </c>
      <c r="B970" s="79">
        <f>IF(OR($T970="",$U970=""),IF($T970="","","Not on Firms tab"),INDEX(Firms!$B$5:$B$1004,$U970)&amp;"")</f>
        <v/>
      </c>
      <c r="C970" s="78">
        <f>IF($T970="","",IF($S970="S","Standard",INDEX('AFA Rates'!$B$5:$B$1004,$T970)&amp;""))</f>
        <v/>
      </c>
      <c r="D970" s="88">
        <f>IF($T970="","",IF($S970="S",IF(INDEX(Firms!$E$5:$E$1004,$T970)="","",INDEX(Firms!$E$5:$E$1004,$T970)),IF(INDEX('AFA Rates'!$C$5:$C$1004,$T970)="","",INDEX('AFA Rates'!$C$5:$C$1004,$T970))))</f>
        <v/>
      </c>
      <c r="E970" s="88">
        <f>IF($T970="","",IF($S970="S",IF(""="","",""),IF(INDEX('AFA Rates'!$D$5:$D$1004,$T970)="","",INDEX('AFA Rates'!$D$5:$D$1004,$T970))))</f>
        <v/>
      </c>
      <c r="F970" s="79">
        <f>IF($T970="","",IF($S970="S",IF(INDEX(Firms!$O$5:$O$1004,$T970)="","",INDEX(Firms!$O$5:$O$1004,$T970)),IF(INDEX('AFA Rates'!$O$5:$O$1004,$T970)="","",INDEX('AFA Rates'!$O$5:$O$1004,$T970))))</f>
        <v/>
      </c>
      <c r="G970" s="50">
        <f>IF($T970="","",IF($S970="S",IF(INDEX(Firms!$F$5:$F$1004,$T970)="","",INDEX(Firms!$F$5:$F$1004,$T970)),IF(INDEX('AFA Rates'!$E$5:$E$1004,$T970)="","",INDEX('AFA Rates'!$E$5:$E$1004,$T970))))</f>
        <v/>
      </c>
      <c r="H970" s="50">
        <f>IF($T970="","",IF($S970="S",IF(INDEX(Firms!$G$5:$G$1004,$T970)="","",INDEX(Firms!$G$5:$G$1004,$T970)),IF(INDEX('AFA Rates'!$F$5:$F$1004,$T970)="","",INDEX('AFA Rates'!$F$5:$F$1004,$T970))))</f>
        <v/>
      </c>
      <c r="I970" s="50">
        <f>IF($T970="","",IF($S970="S",IF(INDEX(Firms!$H$5:$H$1004,$T970)="","",INDEX(Firms!$H$5:$H$1004,$T970)),IF(INDEX('AFA Rates'!$G$5:$G$1004,$T970)="","",INDEX('AFA Rates'!$G$5:$G$1004,$T970))))</f>
        <v/>
      </c>
      <c r="J970" s="50">
        <f>IF($T970="","",IF($S970="S",IF(INDEX(Firms!$I$5:$I$1004,$T970)="","",INDEX(Firms!$I$5:$I$1004,$T970)),IF(INDEX('AFA Rates'!$H$5:$H$1004,$T970)="","",INDEX('AFA Rates'!$H$5:$H$1004,$T970))))</f>
        <v/>
      </c>
      <c r="K970" s="50">
        <f>IF($T970="","",IF($S970="S",IF(INDEX(Firms!$J$5:$J$1004,$T970)="","",INDEX(Firms!$J$5:$J$1004,$T970)),IF(INDEX('AFA Rates'!$I$5:$I$1004,$T970)="","",INDEX('AFA Rates'!$I$5:$I$1004,$T970))))</f>
        <v/>
      </c>
      <c r="L970" s="50">
        <f>IF($T970="","",IF($S970="S",IF(INDEX(Firms!$K$5:$K$1004,$T970)="","",INDEX(Firms!$K$5:$K$1004,$T970)),IF(INDEX('AFA Rates'!$J$5:$J$1004,$T970)="","",INDEX('AFA Rates'!$J$5:$J$1004,$T970))))</f>
        <v/>
      </c>
      <c r="M970" s="50">
        <f>IF($T970="","",IF($S970="S",IF(INDEX(Firms!$L$5:$L$1004,$T970)="","",INDEX(Firms!$L$5:$L$1004,$T970)),IF(INDEX('AFA Rates'!$K$5:$K$1004,$T970)="","",INDEX('AFA Rates'!$K$5:$K$1004,$T970))))</f>
        <v/>
      </c>
      <c r="N970" s="50">
        <f>IF($T970="","",IF($S970="S",IF(INDEX(Firms!$M$5:$M$1004,$T970)="","",INDEX(Firms!$M$5:$M$1004,$T970)),IF(INDEX('AFA Rates'!$L$5:$L$1004,$T970)="","",INDEX('AFA Rates'!$L$5:$L$1004,$T970))))</f>
        <v/>
      </c>
      <c r="O970" s="78">
        <f>IF(OR($T970="",$U970=""),"",IF(INDEX(Firms!$C$5:$C$1004,$U970)="","",INDEX(Firms!$C$5:$C$1004,$U970)))</f>
        <v/>
      </c>
      <c r="P970" s="79">
        <f>IF(OR($T970="",$U970=""),"",IF(INDEX(Firms!$N$5:$N$1004,$U970)="","",INDEX(Firms!$N$5:$N$1004,$U970)))</f>
        <v/>
      </c>
      <c r="Q970" s="78">
        <f>IF($T970="","",IF($S970="S",IF(INDEX(Firms!$T$5:$T$1004,$T970)="","",INDEX(Firms!$T$5:$T$1004,$T970)),IF(INDEX('AFA Rates'!$M$5:$M$1004,$T970)="","",INDEX('AFA Rates'!$M$5:$M$1004,$T970))))</f>
        <v/>
      </c>
      <c r="S970">
        <f>IF(966&lt;=$S$2,"S",IF(966&lt;=$S$2+$T$2,"A",""))</f>
        <v/>
      </c>
      <c r="T970">
        <f>IF(S970="S",MATCH(966,Firms!$W$5:$W$1004,0),IF(S970="A",IFERROR(MATCH(966-$S$2,'AFA Rates'!$R$5:$R$1004,0),""),""))</f>
        <v/>
      </c>
      <c r="U970">
        <f>IF(S970="S",T970,IF(AND(S970="A",T970&lt;&gt;""),IFERROR(MATCH(INDEX('AFA Rates'!$A$5:$A$1004,T970),Firms!$A$5:$A$1004,0),""),""))</f>
        <v/>
      </c>
    </row>
    <row r="971">
      <c r="A971" s="78">
        <f>IF($T971="","",IF($S971="S",IF(INDEX(Firms!$A$5:$A$1004,$T971)="","",INDEX(Firms!$A$5:$A$1004,$T971)),IF(INDEX('AFA Rates'!$A$5:$A$1004,$T971)="","",INDEX('AFA Rates'!$A$5:$A$1004,$T971))))</f>
        <v/>
      </c>
      <c r="B971" s="79">
        <f>IF(OR($T971="",$U971=""),IF($T971="","","Not on Firms tab"),INDEX(Firms!$B$5:$B$1004,$U971)&amp;"")</f>
        <v/>
      </c>
      <c r="C971" s="78">
        <f>IF($T971="","",IF($S971="S","Standard",INDEX('AFA Rates'!$B$5:$B$1004,$T971)&amp;""))</f>
        <v/>
      </c>
      <c r="D971" s="88">
        <f>IF($T971="","",IF($S971="S",IF(INDEX(Firms!$E$5:$E$1004,$T971)="","",INDEX(Firms!$E$5:$E$1004,$T971)),IF(INDEX('AFA Rates'!$C$5:$C$1004,$T971)="","",INDEX('AFA Rates'!$C$5:$C$1004,$T971))))</f>
        <v/>
      </c>
      <c r="E971" s="88">
        <f>IF($T971="","",IF($S971="S",IF(""="","",""),IF(INDEX('AFA Rates'!$D$5:$D$1004,$T971)="","",INDEX('AFA Rates'!$D$5:$D$1004,$T971))))</f>
        <v/>
      </c>
      <c r="F971" s="79">
        <f>IF($T971="","",IF($S971="S",IF(INDEX(Firms!$O$5:$O$1004,$T971)="","",INDEX(Firms!$O$5:$O$1004,$T971)),IF(INDEX('AFA Rates'!$O$5:$O$1004,$T971)="","",INDEX('AFA Rates'!$O$5:$O$1004,$T971))))</f>
        <v/>
      </c>
      <c r="G971" s="50">
        <f>IF($T971="","",IF($S971="S",IF(INDEX(Firms!$F$5:$F$1004,$T971)="","",INDEX(Firms!$F$5:$F$1004,$T971)),IF(INDEX('AFA Rates'!$E$5:$E$1004,$T971)="","",INDEX('AFA Rates'!$E$5:$E$1004,$T971))))</f>
        <v/>
      </c>
      <c r="H971" s="50">
        <f>IF($T971="","",IF($S971="S",IF(INDEX(Firms!$G$5:$G$1004,$T971)="","",INDEX(Firms!$G$5:$G$1004,$T971)),IF(INDEX('AFA Rates'!$F$5:$F$1004,$T971)="","",INDEX('AFA Rates'!$F$5:$F$1004,$T971))))</f>
        <v/>
      </c>
      <c r="I971" s="50">
        <f>IF($T971="","",IF($S971="S",IF(INDEX(Firms!$H$5:$H$1004,$T971)="","",INDEX(Firms!$H$5:$H$1004,$T971)),IF(INDEX('AFA Rates'!$G$5:$G$1004,$T971)="","",INDEX('AFA Rates'!$G$5:$G$1004,$T971))))</f>
        <v/>
      </c>
      <c r="J971" s="50">
        <f>IF($T971="","",IF($S971="S",IF(INDEX(Firms!$I$5:$I$1004,$T971)="","",INDEX(Firms!$I$5:$I$1004,$T971)),IF(INDEX('AFA Rates'!$H$5:$H$1004,$T971)="","",INDEX('AFA Rates'!$H$5:$H$1004,$T971))))</f>
        <v/>
      </c>
      <c r="K971" s="50">
        <f>IF($T971="","",IF($S971="S",IF(INDEX(Firms!$J$5:$J$1004,$T971)="","",INDEX(Firms!$J$5:$J$1004,$T971)),IF(INDEX('AFA Rates'!$I$5:$I$1004,$T971)="","",INDEX('AFA Rates'!$I$5:$I$1004,$T971))))</f>
        <v/>
      </c>
      <c r="L971" s="50">
        <f>IF($T971="","",IF($S971="S",IF(INDEX(Firms!$K$5:$K$1004,$T971)="","",INDEX(Firms!$K$5:$K$1004,$T971)),IF(INDEX('AFA Rates'!$J$5:$J$1004,$T971)="","",INDEX('AFA Rates'!$J$5:$J$1004,$T971))))</f>
        <v/>
      </c>
      <c r="M971" s="50">
        <f>IF($T971="","",IF($S971="S",IF(INDEX(Firms!$L$5:$L$1004,$T971)="","",INDEX(Firms!$L$5:$L$1004,$T971)),IF(INDEX('AFA Rates'!$K$5:$K$1004,$T971)="","",INDEX('AFA Rates'!$K$5:$K$1004,$T971))))</f>
        <v/>
      </c>
      <c r="N971" s="50">
        <f>IF($T971="","",IF($S971="S",IF(INDEX(Firms!$M$5:$M$1004,$T971)="","",INDEX(Firms!$M$5:$M$1004,$T971)),IF(INDEX('AFA Rates'!$L$5:$L$1004,$T971)="","",INDEX('AFA Rates'!$L$5:$L$1004,$T971))))</f>
        <v/>
      </c>
      <c r="O971" s="78">
        <f>IF(OR($T971="",$U971=""),"",IF(INDEX(Firms!$C$5:$C$1004,$U971)="","",INDEX(Firms!$C$5:$C$1004,$U971)))</f>
        <v/>
      </c>
      <c r="P971" s="79">
        <f>IF(OR($T971="",$U971=""),"",IF(INDEX(Firms!$N$5:$N$1004,$U971)="","",INDEX(Firms!$N$5:$N$1004,$U971)))</f>
        <v/>
      </c>
      <c r="Q971" s="78">
        <f>IF($T971="","",IF($S971="S",IF(INDEX(Firms!$T$5:$T$1004,$T971)="","",INDEX(Firms!$T$5:$T$1004,$T971)),IF(INDEX('AFA Rates'!$M$5:$M$1004,$T971)="","",INDEX('AFA Rates'!$M$5:$M$1004,$T971))))</f>
        <v/>
      </c>
      <c r="S971">
        <f>IF(967&lt;=$S$2,"S",IF(967&lt;=$S$2+$T$2,"A",""))</f>
        <v/>
      </c>
      <c r="T971">
        <f>IF(S971="S",MATCH(967,Firms!$W$5:$W$1004,0),IF(S971="A",IFERROR(MATCH(967-$S$2,'AFA Rates'!$R$5:$R$1004,0),""),""))</f>
        <v/>
      </c>
      <c r="U971">
        <f>IF(S971="S",T971,IF(AND(S971="A",T971&lt;&gt;""),IFERROR(MATCH(INDEX('AFA Rates'!$A$5:$A$1004,T971),Firms!$A$5:$A$1004,0),""),""))</f>
        <v/>
      </c>
    </row>
    <row r="972">
      <c r="A972" s="78">
        <f>IF($T972="","",IF($S972="S",IF(INDEX(Firms!$A$5:$A$1004,$T972)="","",INDEX(Firms!$A$5:$A$1004,$T972)),IF(INDEX('AFA Rates'!$A$5:$A$1004,$T972)="","",INDEX('AFA Rates'!$A$5:$A$1004,$T972))))</f>
        <v/>
      </c>
      <c r="B972" s="79">
        <f>IF(OR($T972="",$U972=""),IF($T972="","","Not on Firms tab"),INDEX(Firms!$B$5:$B$1004,$U972)&amp;"")</f>
        <v/>
      </c>
      <c r="C972" s="78">
        <f>IF($T972="","",IF($S972="S","Standard",INDEX('AFA Rates'!$B$5:$B$1004,$T972)&amp;""))</f>
        <v/>
      </c>
      <c r="D972" s="88">
        <f>IF($T972="","",IF($S972="S",IF(INDEX(Firms!$E$5:$E$1004,$T972)="","",INDEX(Firms!$E$5:$E$1004,$T972)),IF(INDEX('AFA Rates'!$C$5:$C$1004,$T972)="","",INDEX('AFA Rates'!$C$5:$C$1004,$T972))))</f>
        <v/>
      </c>
      <c r="E972" s="88">
        <f>IF($T972="","",IF($S972="S",IF(""="","",""),IF(INDEX('AFA Rates'!$D$5:$D$1004,$T972)="","",INDEX('AFA Rates'!$D$5:$D$1004,$T972))))</f>
        <v/>
      </c>
      <c r="F972" s="79">
        <f>IF($T972="","",IF($S972="S",IF(INDEX(Firms!$O$5:$O$1004,$T972)="","",INDEX(Firms!$O$5:$O$1004,$T972)),IF(INDEX('AFA Rates'!$O$5:$O$1004,$T972)="","",INDEX('AFA Rates'!$O$5:$O$1004,$T972))))</f>
        <v/>
      </c>
      <c r="G972" s="50">
        <f>IF($T972="","",IF($S972="S",IF(INDEX(Firms!$F$5:$F$1004,$T972)="","",INDEX(Firms!$F$5:$F$1004,$T972)),IF(INDEX('AFA Rates'!$E$5:$E$1004,$T972)="","",INDEX('AFA Rates'!$E$5:$E$1004,$T972))))</f>
        <v/>
      </c>
      <c r="H972" s="50">
        <f>IF($T972="","",IF($S972="S",IF(INDEX(Firms!$G$5:$G$1004,$T972)="","",INDEX(Firms!$G$5:$G$1004,$T972)),IF(INDEX('AFA Rates'!$F$5:$F$1004,$T972)="","",INDEX('AFA Rates'!$F$5:$F$1004,$T972))))</f>
        <v/>
      </c>
      <c r="I972" s="50">
        <f>IF($T972="","",IF($S972="S",IF(INDEX(Firms!$H$5:$H$1004,$T972)="","",INDEX(Firms!$H$5:$H$1004,$T972)),IF(INDEX('AFA Rates'!$G$5:$G$1004,$T972)="","",INDEX('AFA Rates'!$G$5:$G$1004,$T972))))</f>
        <v/>
      </c>
      <c r="J972" s="50">
        <f>IF($T972="","",IF($S972="S",IF(INDEX(Firms!$I$5:$I$1004,$T972)="","",INDEX(Firms!$I$5:$I$1004,$T972)),IF(INDEX('AFA Rates'!$H$5:$H$1004,$T972)="","",INDEX('AFA Rates'!$H$5:$H$1004,$T972))))</f>
        <v/>
      </c>
      <c r="K972" s="50">
        <f>IF($T972="","",IF($S972="S",IF(INDEX(Firms!$J$5:$J$1004,$T972)="","",INDEX(Firms!$J$5:$J$1004,$T972)),IF(INDEX('AFA Rates'!$I$5:$I$1004,$T972)="","",INDEX('AFA Rates'!$I$5:$I$1004,$T972))))</f>
        <v/>
      </c>
      <c r="L972" s="50">
        <f>IF($T972="","",IF($S972="S",IF(INDEX(Firms!$K$5:$K$1004,$T972)="","",INDEX(Firms!$K$5:$K$1004,$T972)),IF(INDEX('AFA Rates'!$J$5:$J$1004,$T972)="","",INDEX('AFA Rates'!$J$5:$J$1004,$T972))))</f>
        <v/>
      </c>
      <c r="M972" s="50">
        <f>IF($T972="","",IF($S972="S",IF(INDEX(Firms!$L$5:$L$1004,$T972)="","",INDEX(Firms!$L$5:$L$1004,$T972)),IF(INDEX('AFA Rates'!$K$5:$K$1004,$T972)="","",INDEX('AFA Rates'!$K$5:$K$1004,$T972))))</f>
        <v/>
      </c>
      <c r="N972" s="50">
        <f>IF($T972="","",IF($S972="S",IF(INDEX(Firms!$M$5:$M$1004,$T972)="","",INDEX(Firms!$M$5:$M$1004,$T972)),IF(INDEX('AFA Rates'!$L$5:$L$1004,$T972)="","",INDEX('AFA Rates'!$L$5:$L$1004,$T972))))</f>
        <v/>
      </c>
      <c r="O972" s="78">
        <f>IF(OR($T972="",$U972=""),"",IF(INDEX(Firms!$C$5:$C$1004,$U972)="","",INDEX(Firms!$C$5:$C$1004,$U972)))</f>
        <v/>
      </c>
      <c r="P972" s="79">
        <f>IF(OR($T972="",$U972=""),"",IF(INDEX(Firms!$N$5:$N$1004,$U972)="","",INDEX(Firms!$N$5:$N$1004,$U972)))</f>
        <v/>
      </c>
      <c r="Q972" s="78">
        <f>IF($T972="","",IF($S972="S",IF(INDEX(Firms!$T$5:$T$1004,$T972)="","",INDEX(Firms!$T$5:$T$1004,$T972)),IF(INDEX('AFA Rates'!$M$5:$M$1004,$T972)="","",INDEX('AFA Rates'!$M$5:$M$1004,$T972))))</f>
        <v/>
      </c>
      <c r="S972">
        <f>IF(968&lt;=$S$2,"S",IF(968&lt;=$S$2+$T$2,"A",""))</f>
        <v/>
      </c>
      <c r="T972">
        <f>IF(S972="S",MATCH(968,Firms!$W$5:$W$1004,0),IF(S972="A",IFERROR(MATCH(968-$S$2,'AFA Rates'!$R$5:$R$1004,0),""),""))</f>
        <v/>
      </c>
      <c r="U972">
        <f>IF(S972="S",T972,IF(AND(S972="A",T972&lt;&gt;""),IFERROR(MATCH(INDEX('AFA Rates'!$A$5:$A$1004,T972),Firms!$A$5:$A$1004,0),""),""))</f>
        <v/>
      </c>
    </row>
    <row r="973">
      <c r="A973" s="78">
        <f>IF($T973="","",IF($S973="S",IF(INDEX(Firms!$A$5:$A$1004,$T973)="","",INDEX(Firms!$A$5:$A$1004,$T973)),IF(INDEX('AFA Rates'!$A$5:$A$1004,$T973)="","",INDEX('AFA Rates'!$A$5:$A$1004,$T973))))</f>
        <v/>
      </c>
      <c r="B973" s="79">
        <f>IF(OR($T973="",$U973=""),IF($T973="","","Not on Firms tab"),INDEX(Firms!$B$5:$B$1004,$U973)&amp;"")</f>
        <v/>
      </c>
      <c r="C973" s="78">
        <f>IF($T973="","",IF($S973="S","Standard",INDEX('AFA Rates'!$B$5:$B$1004,$T973)&amp;""))</f>
        <v/>
      </c>
      <c r="D973" s="88">
        <f>IF($T973="","",IF($S973="S",IF(INDEX(Firms!$E$5:$E$1004,$T973)="","",INDEX(Firms!$E$5:$E$1004,$T973)),IF(INDEX('AFA Rates'!$C$5:$C$1004,$T973)="","",INDEX('AFA Rates'!$C$5:$C$1004,$T973))))</f>
        <v/>
      </c>
      <c r="E973" s="88">
        <f>IF($T973="","",IF($S973="S",IF(""="","",""),IF(INDEX('AFA Rates'!$D$5:$D$1004,$T973)="","",INDEX('AFA Rates'!$D$5:$D$1004,$T973))))</f>
        <v/>
      </c>
      <c r="F973" s="79">
        <f>IF($T973="","",IF($S973="S",IF(INDEX(Firms!$O$5:$O$1004,$T973)="","",INDEX(Firms!$O$5:$O$1004,$T973)),IF(INDEX('AFA Rates'!$O$5:$O$1004,$T973)="","",INDEX('AFA Rates'!$O$5:$O$1004,$T973))))</f>
        <v/>
      </c>
      <c r="G973" s="50">
        <f>IF($T973="","",IF($S973="S",IF(INDEX(Firms!$F$5:$F$1004,$T973)="","",INDEX(Firms!$F$5:$F$1004,$T973)),IF(INDEX('AFA Rates'!$E$5:$E$1004,$T973)="","",INDEX('AFA Rates'!$E$5:$E$1004,$T973))))</f>
        <v/>
      </c>
      <c r="H973" s="50">
        <f>IF($T973="","",IF($S973="S",IF(INDEX(Firms!$G$5:$G$1004,$T973)="","",INDEX(Firms!$G$5:$G$1004,$T973)),IF(INDEX('AFA Rates'!$F$5:$F$1004,$T973)="","",INDEX('AFA Rates'!$F$5:$F$1004,$T973))))</f>
        <v/>
      </c>
      <c r="I973" s="50">
        <f>IF($T973="","",IF($S973="S",IF(INDEX(Firms!$H$5:$H$1004,$T973)="","",INDEX(Firms!$H$5:$H$1004,$T973)),IF(INDEX('AFA Rates'!$G$5:$G$1004,$T973)="","",INDEX('AFA Rates'!$G$5:$G$1004,$T973))))</f>
        <v/>
      </c>
      <c r="J973" s="50">
        <f>IF($T973="","",IF($S973="S",IF(INDEX(Firms!$I$5:$I$1004,$T973)="","",INDEX(Firms!$I$5:$I$1004,$T973)),IF(INDEX('AFA Rates'!$H$5:$H$1004,$T973)="","",INDEX('AFA Rates'!$H$5:$H$1004,$T973))))</f>
        <v/>
      </c>
      <c r="K973" s="50">
        <f>IF($T973="","",IF($S973="S",IF(INDEX(Firms!$J$5:$J$1004,$T973)="","",INDEX(Firms!$J$5:$J$1004,$T973)),IF(INDEX('AFA Rates'!$I$5:$I$1004,$T973)="","",INDEX('AFA Rates'!$I$5:$I$1004,$T973))))</f>
        <v/>
      </c>
      <c r="L973" s="50">
        <f>IF($T973="","",IF($S973="S",IF(INDEX(Firms!$K$5:$K$1004,$T973)="","",INDEX(Firms!$K$5:$K$1004,$T973)),IF(INDEX('AFA Rates'!$J$5:$J$1004,$T973)="","",INDEX('AFA Rates'!$J$5:$J$1004,$T973))))</f>
        <v/>
      </c>
      <c r="M973" s="50">
        <f>IF($T973="","",IF($S973="S",IF(INDEX(Firms!$L$5:$L$1004,$T973)="","",INDEX(Firms!$L$5:$L$1004,$T973)),IF(INDEX('AFA Rates'!$K$5:$K$1004,$T973)="","",INDEX('AFA Rates'!$K$5:$K$1004,$T973))))</f>
        <v/>
      </c>
      <c r="N973" s="50">
        <f>IF($T973="","",IF($S973="S",IF(INDEX(Firms!$M$5:$M$1004,$T973)="","",INDEX(Firms!$M$5:$M$1004,$T973)),IF(INDEX('AFA Rates'!$L$5:$L$1004,$T973)="","",INDEX('AFA Rates'!$L$5:$L$1004,$T973))))</f>
        <v/>
      </c>
      <c r="O973" s="78">
        <f>IF(OR($T973="",$U973=""),"",IF(INDEX(Firms!$C$5:$C$1004,$U973)="","",INDEX(Firms!$C$5:$C$1004,$U973)))</f>
        <v/>
      </c>
      <c r="P973" s="79">
        <f>IF(OR($T973="",$U973=""),"",IF(INDEX(Firms!$N$5:$N$1004,$U973)="","",INDEX(Firms!$N$5:$N$1004,$U973)))</f>
        <v/>
      </c>
      <c r="Q973" s="78">
        <f>IF($T973="","",IF($S973="S",IF(INDEX(Firms!$T$5:$T$1004,$T973)="","",INDEX(Firms!$T$5:$T$1004,$T973)),IF(INDEX('AFA Rates'!$M$5:$M$1004,$T973)="","",INDEX('AFA Rates'!$M$5:$M$1004,$T973))))</f>
        <v/>
      </c>
      <c r="S973">
        <f>IF(969&lt;=$S$2,"S",IF(969&lt;=$S$2+$T$2,"A",""))</f>
        <v/>
      </c>
      <c r="T973">
        <f>IF(S973="S",MATCH(969,Firms!$W$5:$W$1004,0),IF(S973="A",IFERROR(MATCH(969-$S$2,'AFA Rates'!$R$5:$R$1004,0),""),""))</f>
        <v/>
      </c>
      <c r="U973">
        <f>IF(S973="S",T973,IF(AND(S973="A",T973&lt;&gt;""),IFERROR(MATCH(INDEX('AFA Rates'!$A$5:$A$1004,T973),Firms!$A$5:$A$1004,0),""),""))</f>
        <v/>
      </c>
    </row>
    <row r="974">
      <c r="A974" s="78">
        <f>IF($T974="","",IF($S974="S",IF(INDEX(Firms!$A$5:$A$1004,$T974)="","",INDEX(Firms!$A$5:$A$1004,$T974)),IF(INDEX('AFA Rates'!$A$5:$A$1004,$T974)="","",INDEX('AFA Rates'!$A$5:$A$1004,$T974))))</f>
        <v/>
      </c>
      <c r="B974" s="79">
        <f>IF(OR($T974="",$U974=""),IF($T974="","","Not on Firms tab"),INDEX(Firms!$B$5:$B$1004,$U974)&amp;"")</f>
        <v/>
      </c>
      <c r="C974" s="78">
        <f>IF($T974="","",IF($S974="S","Standard",INDEX('AFA Rates'!$B$5:$B$1004,$T974)&amp;""))</f>
        <v/>
      </c>
      <c r="D974" s="88">
        <f>IF($T974="","",IF($S974="S",IF(INDEX(Firms!$E$5:$E$1004,$T974)="","",INDEX(Firms!$E$5:$E$1004,$T974)),IF(INDEX('AFA Rates'!$C$5:$C$1004,$T974)="","",INDEX('AFA Rates'!$C$5:$C$1004,$T974))))</f>
        <v/>
      </c>
      <c r="E974" s="88">
        <f>IF($T974="","",IF($S974="S",IF(""="","",""),IF(INDEX('AFA Rates'!$D$5:$D$1004,$T974)="","",INDEX('AFA Rates'!$D$5:$D$1004,$T974))))</f>
        <v/>
      </c>
      <c r="F974" s="79">
        <f>IF($T974="","",IF($S974="S",IF(INDEX(Firms!$O$5:$O$1004,$T974)="","",INDEX(Firms!$O$5:$O$1004,$T974)),IF(INDEX('AFA Rates'!$O$5:$O$1004,$T974)="","",INDEX('AFA Rates'!$O$5:$O$1004,$T974))))</f>
        <v/>
      </c>
      <c r="G974" s="50">
        <f>IF($T974="","",IF($S974="S",IF(INDEX(Firms!$F$5:$F$1004,$T974)="","",INDEX(Firms!$F$5:$F$1004,$T974)),IF(INDEX('AFA Rates'!$E$5:$E$1004,$T974)="","",INDEX('AFA Rates'!$E$5:$E$1004,$T974))))</f>
        <v/>
      </c>
      <c r="H974" s="50">
        <f>IF($T974="","",IF($S974="S",IF(INDEX(Firms!$G$5:$G$1004,$T974)="","",INDEX(Firms!$G$5:$G$1004,$T974)),IF(INDEX('AFA Rates'!$F$5:$F$1004,$T974)="","",INDEX('AFA Rates'!$F$5:$F$1004,$T974))))</f>
        <v/>
      </c>
      <c r="I974" s="50">
        <f>IF($T974="","",IF($S974="S",IF(INDEX(Firms!$H$5:$H$1004,$T974)="","",INDEX(Firms!$H$5:$H$1004,$T974)),IF(INDEX('AFA Rates'!$G$5:$G$1004,$T974)="","",INDEX('AFA Rates'!$G$5:$G$1004,$T974))))</f>
        <v/>
      </c>
      <c r="J974" s="50">
        <f>IF($T974="","",IF($S974="S",IF(INDEX(Firms!$I$5:$I$1004,$T974)="","",INDEX(Firms!$I$5:$I$1004,$T974)),IF(INDEX('AFA Rates'!$H$5:$H$1004,$T974)="","",INDEX('AFA Rates'!$H$5:$H$1004,$T974))))</f>
        <v/>
      </c>
      <c r="K974" s="50">
        <f>IF($T974="","",IF($S974="S",IF(INDEX(Firms!$J$5:$J$1004,$T974)="","",INDEX(Firms!$J$5:$J$1004,$T974)),IF(INDEX('AFA Rates'!$I$5:$I$1004,$T974)="","",INDEX('AFA Rates'!$I$5:$I$1004,$T974))))</f>
        <v/>
      </c>
      <c r="L974" s="50">
        <f>IF($T974="","",IF($S974="S",IF(INDEX(Firms!$K$5:$K$1004,$T974)="","",INDEX(Firms!$K$5:$K$1004,$T974)),IF(INDEX('AFA Rates'!$J$5:$J$1004,$T974)="","",INDEX('AFA Rates'!$J$5:$J$1004,$T974))))</f>
        <v/>
      </c>
      <c r="M974" s="50">
        <f>IF($T974="","",IF($S974="S",IF(INDEX(Firms!$L$5:$L$1004,$T974)="","",INDEX(Firms!$L$5:$L$1004,$T974)),IF(INDEX('AFA Rates'!$K$5:$K$1004,$T974)="","",INDEX('AFA Rates'!$K$5:$K$1004,$T974))))</f>
        <v/>
      </c>
      <c r="N974" s="50">
        <f>IF($T974="","",IF($S974="S",IF(INDEX(Firms!$M$5:$M$1004,$T974)="","",INDEX(Firms!$M$5:$M$1004,$T974)),IF(INDEX('AFA Rates'!$L$5:$L$1004,$T974)="","",INDEX('AFA Rates'!$L$5:$L$1004,$T974))))</f>
        <v/>
      </c>
      <c r="O974" s="78">
        <f>IF(OR($T974="",$U974=""),"",IF(INDEX(Firms!$C$5:$C$1004,$U974)="","",INDEX(Firms!$C$5:$C$1004,$U974)))</f>
        <v/>
      </c>
      <c r="P974" s="79">
        <f>IF(OR($T974="",$U974=""),"",IF(INDEX(Firms!$N$5:$N$1004,$U974)="","",INDEX(Firms!$N$5:$N$1004,$U974)))</f>
        <v/>
      </c>
      <c r="Q974" s="78">
        <f>IF($T974="","",IF($S974="S",IF(INDEX(Firms!$T$5:$T$1004,$T974)="","",INDEX(Firms!$T$5:$T$1004,$T974)),IF(INDEX('AFA Rates'!$M$5:$M$1004,$T974)="","",INDEX('AFA Rates'!$M$5:$M$1004,$T974))))</f>
        <v/>
      </c>
      <c r="S974">
        <f>IF(970&lt;=$S$2,"S",IF(970&lt;=$S$2+$T$2,"A",""))</f>
        <v/>
      </c>
      <c r="T974">
        <f>IF(S974="S",MATCH(970,Firms!$W$5:$W$1004,0),IF(S974="A",IFERROR(MATCH(970-$S$2,'AFA Rates'!$R$5:$R$1004,0),""),""))</f>
        <v/>
      </c>
      <c r="U974">
        <f>IF(S974="S",T974,IF(AND(S974="A",T974&lt;&gt;""),IFERROR(MATCH(INDEX('AFA Rates'!$A$5:$A$1004,T974),Firms!$A$5:$A$1004,0),""),""))</f>
        <v/>
      </c>
    </row>
    <row r="975">
      <c r="A975" s="78">
        <f>IF($T975="","",IF($S975="S",IF(INDEX(Firms!$A$5:$A$1004,$T975)="","",INDEX(Firms!$A$5:$A$1004,$T975)),IF(INDEX('AFA Rates'!$A$5:$A$1004,$T975)="","",INDEX('AFA Rates'!$A$5:$A$1004,$T975))))</f>
        <v/>
      </c>
      <c r="B975" s="79">
        <f>IF(OR($T975="",$U975=""),IF($T975="","","Not on Firms tab"),INDEX(Firms!$B$5:$B$1004,$U975)&amp;"")</f>
        <v/>
      </c>
      <c r="C975" s="78">
        <f>IF($T975="","",IF($S975="S","Standard",INDEX('AFA Rates'!$B$5:$B$1004,$T975)&amp;""))</f>
        <v/>
      </c>
      <c r="D975" s="88">
        <f>IF($T975="","",IF($S975="S",IF(INDEX(Firms!$E$5:$E$1004,$T975)="","",INDEX(Firms!$E$5:$E$1004,$T975)),IF(INDEX('AFA Rates'!$C$5:$C$1004,$T975)="","",INDEX('AFA Rates'!$C$5:$C$1004,$T975))))</f>
        <v/>
      </c>
      <c r="E975" s="88">
        <f>IF($T975="","",IF($S975="S",IF(""="","",""),IF(INDEX('AFA Rates'!$D$5:$D$1004,$T975)="","",INDEX('AFA Rates'!$D$5:$D$1004,$T975))))</f>
        <v/>
      </c>
      <c r="F975" s="79">
        <f>IF($T975="","",IF($S975="S",IF(INDEX(Firms!$O$5:$O$1004,$T975)="","",INDEX(Firms!$O$5:$O$1004,$T975)),IF(INDEX('AFA Rates'!$O$5:$O$1004,$T975)="","",INDEX('AFA Rates'!$O$5:$O$1004,$T975))))</f>
        <v/>
      </c>
      <c r="G975" s="50">
        <f>IF($T975="","",IF($S975="S",IF(INDEX(Firms!$F$5:$F$1004,$T975)="","",INDEX(Firms!$F$5:$F$1004,$T975)),IF(INDEX('AFA Rates'!$E$5:$E$1004,$T975)="","",INDEX('AFA Rates'!$E$5:$E$1004,$T975))))</f>
        <v/>
      </c>
      <c r="H975" s="50">
        <f>IF($T975="","",IF($S975="S",IF(INDEX(Firms!$G$5:$G$1004,$T975)="","",INDEX(Firms!$G$5:$G$1004,$T975)),IF(INDEX('AFA Rates'!$F$5:$F$1004,$T975)="","",INDEX('AFA Rates'!$F$5:$F$1004,$T975))))</f>
        <v/>
      </c>
      <c r="I975" s="50">
        <f>IF($T975="","",IF($S975="S",IF(INDEX(Firms!$H$5:$H$1004,$T975)="","",INDEX(Firms!$H$5:$H$1004,$T975)),IF(INDEX('AFA Rates'!$G$5:$G$1004,$T975)="","",INDEX('AFA Rates'!$G$5:$G$1004,$T975))))</f>
        <v/>
      </c>
      <c r="J975" s="50">
        <f>IF($T975="","",IF($S975="S",IF(INDEX(Firms!$I$5:$I$1004,$T975)="","",INDEX(Firms!$I$5:$I$1004,$T975)),IF(INDEX('AFA Rates'!$H$5:$H$1004,$T975)="","",INDEX('AFA Rates'!$H$5:$H$1004,$T975))))</f>
        <v/>
      </c>
      <c r="K975" s="50">
        <f>IF($T975="","",IF($S975="S",IF(INDEX(Firms!$J$5:$J$1004,$T975)="","",INDEX(Firms!$J$5:$J$1004,$T975)),IF(INDEX('AFA Rates'!$I$5:$I$1004,$T975)="","",INDEX('AFA Rates'!$I$5:$I$1004,$T975))))</f>
        <v/>
      </c>
      <c r="L975" s="50">
        <f>IF($T975="","",IF($S975="S",IF(INDEX(Firms!$K$5:$K$1004,$T975)="","",INDEX(Firms!$K$5:$K$1004,$T975)),IF(INDEX('AFA Rates'!$J$5:$J$1004,$T975)="","",INDEX('AFA Rates'!$J$5:$J$1004,$T975))))</f>
        <v/>
      </c>
      <c r="M975" s="50">
        <f>IF($T975="","",IF($S975="S",IF(INDEX(Firms!$L$5:$L$1004,$T975)="","",INDEX(Firms!$L$5:$L$1004,$T975)),IF(INDEX('AFA Rates'!$K$5:$K$1004,$T975)="","",INDEX('AFA Rates'!$K$5:$K$1004,$T975))))</f>
        <v/>
      </c>
      <c r="N975" s="50">
        <f>IF($T975="","",IF($S975="S",IF(INDEX(Firms!$M$5:$M$1004,$T975)="","",INDEX(Firms!$M$5:$M$1004,$T975)),IF(INDEX('AFA Rates'!$L$5:$L$1004,$T975)="","",INDEX('AFA Rates'!$L$5:$L$1004,$T975))))</f>
        <v/>
      </c>
      <c r="O975" s="78">
        <f>IF(OR($T975="",$U975=""),"",IF(INDEX(Firms!$C$5:$C$1004,$U975)="","",INDEX(Firms!$C$5:$C$1004,$U975)))</f>
        <v/>
      </c>
      <c r="P975" s="79">
        <f>IF(OR($T975="",$U975=""),"",IF(INDEX(Firms!$N$5:$N$1004,$U975)="","",INDEX(Firms!$N$5:$N$1004,$U975)))</f>
        <v/>
      </c>
      <c r="Q975" s="78">
        <f>IF($T975="","",IF($S975="S",IF(INDEX(Firms!$T$5:$T$1004,$T975)="","",INDEX(Firms!$T$5:$T$1004,$T975)),IF(INDEX('AFA Rates'!$M$5:$M$1004,$T975)="","",INDEX('AFA Rates'!$M$5:$M$1004,$T975))))</f>
        <v/>
      </c>
      <c r="S975">
        <f>IF(971&lt;=$S$2,"S",IF(971&lt;=$S$2+$T$2,"A",""))</f>
        <v/>
      </c>
      <c r="T975">
        <f>IF(S975="S",MATCH(971,Firms!$W$5:$W$1004,0),IF(S975="A",IFERROR(MATCH(971-$S$2,'AFA Rates'!$R$5:$R$1004,0),""),""))</f>
        <v/>
      </c>
      <c r="U975">
        <f>IF(S975="S",T975,IF(AND(S975="A",T975&lt;&gt;""),IFERROR(MATCH(INDEX('AFA Rates'!$A$5:$A$1004,T975),Firms!$A$5:$A$1004,0),""),""))</f>
        <v/>
      </c>
    </row>
    <row r="976">
      <c r="A976" s="78">
        <f>IF($T976="","",IF($S976="S",IF(INDEX(Firms!$A$5:$A$1004,$T976)="","",INDEX(Firms!$A$5:$A$1004,$T976)),IF(INDEX('AFA Rates'!$A$5:$A$1004,$T976)="","",INDEX('AFA Rates'!$A$5:$A$1004,$T976))))</f>
        <v/>
      </c>
      <c r="B976" s="79">
        <f>IF(OR($T976="",$U976=""),IF($T976="","","Not on Firms tab"),INDEX(Firms!$B$5:$B$1004,$U976)&amp;"")</f>
        <v/>
      </c>
      <c r="C976" s="78">
        <f>IF($T976="","",IF($S976="S","Standard",INDEX('AFA Rates'!$B$5:$B$1004,$T976)&amp;""))</f>
        <v/>
      </c>
      <c r="D976" s="88">
        <f>IF($T976="","",IF($S976="S",IF(INDEX(Firms!$E$5:$E$1004,$T976)="","",INDEX(Firms!$E$5:$E$1004,$T976)),IF(INDEX('AFA Rates'!$C$5:$C$1004,$T976)="","",INDEX('AFA Rates'!$C$5:$C$1004,$T976))))</f>
        <v/>
      </c>
      <c r="E976" s="88">
        <f>IF($T976="","",IF($S976="S",IF(""="","",""),IF(INDEX('AFA Rates'!$D$5:$D$1004,$T976)="","",INDEX('AFA Rates'!$D$5:$D$1004,$T976))))</f>
        <v/>
      </c>
      <c r="F976" s="79">
        <f>IF($T976="","",IF($S976="S",IF(INDEX(Firms!$O$5:$O$1004,$T976)="","",INDEX(Firms!$O$5:$O$1004,$T976)),IF(INDEX('AFA Rates'!$O$5:$O$1004,$T976)="","",INDEX('AFA Rates'!$O$5:$O$1004,$T976))))</f>
        <v/>
      </c>
      <c r="G976" s="50">
        <f>IF($T976="","",IF($S976="S",IF(INDEX(Firms!$F$5:$F$1004,$T976)="","",INDEX(Firms!$F$5:$F$1004,$T976)),IF(INDEX('AFA Rates'!$E$5:$E$1004,$T976)="","",INDEX('AFA Rates'!$E$5:$E$1004,$T976))))</f>
        <v/>
      </c>
      <c r="H976" s="50">
        <f>IF($T976="","",IF($S976="S",IF(INDEX(Firms!$G$5:$G$1004,$T976)="","",INDEX(Firms!$G$5:$G$1004,$T976)),IF(INDEX('AFA Rates'!$F$5:$F$1004,$T976)="","",INDEX('AFA Rates'!$F$5:$F$1004,$T976))))</f>
        <v/>
      </c>
      <c r="I976" s="50">
        <f>IF($T976="","",IF($S976="S",IF(INDEX(Firms!$H$5:$H$1004,$T976)="","",INDEX(Firms!$H$5:$H$1004,$T976)),IF(INDEX('AFA Rates'!$G$5:$G$1004,$T976)="","",INDEX('AFA Rates'!$G$5:$G$1004,$T976))))</f>
        <v/>
      </c>
      <c r="J976" s="50">
        <f>IF($T976="","",IF($S976="S",IF(INDEX(Firms!$I$5:$I$1004,$T976)="","",INDEX(Firms!$I$5:$I$1004,$T976)),IF(INDEX('AFA Rates'!$H$5:$H$1004,$T976)="","",INDEX('AFA Rates'!$H$5:$H$1004,$T976))))</f>
        <v/>
      </c>
      <c r="K976" s="50">
        <f>IF($T976="","",IF($S976="S",IF(INDEX(Firms!$J$5:$J$1004,$T976)="","",INDEX(Firms!$J$5:$J$1004,$T976)),IF(INDEX('AFA Rates'!$I$5:$I$1004,$T976)="","",INDEX('AFA Rates'!$I$5:$I$1004,$T976))))</f>
        <v/>
      </c>
      <c r="L976" s="50">
        <f>IF($T976="","",IF($S976="S",IF(INDEX(Firms!$K$5:$K$1004,$T976)="","",INDEX(Firms!$K$5:$K$1004,$T976)),IF(INDEX('AFA Rates'!$J$5:$J$1004,$T976)="","",INDEX('AFA Rates'!$J$5:$J$1004,$T976))))</f>
        <v/>
      </c>
      <c r="M976" s="50">
        <f>IF($T976="","",IF($S976="S",IF(INDEX(Firms!$L$5:$L$1004,$T976)="","",INDEX(Firms!$L$5:$L$1004,$T976)),IF(INDEX('AFA Rates'!$K$5:$K$1004,$T976)="","",INDEX('AFA Rates'!$K$5:$K$1004,$T976))))</f>
        <v/>
      </c>
      <c r="N976" s="50">
        <f>IF($T976="","",IF($S976="S",IF(INDEX(Firms!$M$5:$M$1004,$T976)="","",INDEX(Firms!$M$5:$M$1004,$T976)),IF(INDEX('AFA Rates'!$L$5:$L$1004,$T976)="","",INDEX('AFA Rates'!$L$5:$L$1004,$T976))))</f>
        <v/>
      </c>
      <c r="O976" s="78">
        <f>IF(OR($T976="",$U976=""),"",IF(INDEX(Firms!$C$5:$C$1004,$U976)="","",INDEX(Firms!$C$5:$C$1004,$U976)))</f>
        <v/>
      </c>
      <c r="P976" s="79">
        <f>IF(OR($T976="",$U976=""),"",IF(INDEX(Firms!$N$5:$N$1004,$U976)="","",INDEX(Firms!$N$5:$N$1004,$U976)))</f>
        <v/>
      </c>
      <c r="Q976" s="78">
        <f>IF($T976="","",IF($S976="S",IF(INDEX(Firms!$T$5:$T$1004,$T976)="","",INDEX(Firms!$T$5:$T$1004,$T976)),IF(INDEX('AFA Rates'!$M$5:$M$1004,$T976)="","",INDEX('AFA Rates'!$M$5:$M$1004,$T976))))</f>
        <v/>
      </c>
      <c r="S976">
        <f>IF(972&lt;=$S$2,"S",IF(972&lt;=$S$2+$T$2,"A",""))</f>
        <v/>
      </c>
      <c r="T976">
        <f>IF(S976="S",MATCH(972,Firms!$W$5:$W$1004,0),IF(S976="A",IFERROR(MATCH(972-$S$2,'AFA Rates'!$R$5:$R$1004,0),""),""))</f>
        <v/>
      </c>
      <c r="U976">
        <f>IF(S976="S",T976,IF(AND(S976="A",T976&lt;&gt;""),IFERROR(MATCH(INDEX('AFA Rates'!$A$5:$A$1004,T976),Firms!$A$5:$A$1004,0),""),""))</f>
        <v/>
      </c>
    </row>
    <row r="977">
      <c r="A977" s="78">
        <f>IF($T977="","",IF($S977="S",IF(INDEX(Firms!$A$5:$A$1004,$T977)="","",INDEX(Firms!$A$5:$A$1004,$T977)),IF(INDEX('AFA Rates'!$A$5:$A$1004,$T977)="","",INDEX('AFA Rates'!$A$5:$A$1004,$T977))))</f>
        <v/>
      </c>
      <c r="B977" s="79">
        <f>IF(OR($T977="",$U977=""),IF($T977="","","Not on Firms tab"),INDEX(Firms!$B$5:$B$1004,$U977)&amp;"")</f>
        <v/>
      </c>
      <c r="C977" s="78">
        <f>IF($T977="","",IF($S977="S","Standard",INDEX('AFA Rates'!$B$5:$B$1004,$T977)&amp;""))</f>
        <v/>
      </c>
      <c r="D977" s="88">
        <f>IF($T977="","",IF($S977="S",IF(INDEX(Firms!$E$5:$E$1004,$T977)="","",INDEX(Firms!$E$5:$E$1004,$T977)),IF(INDEX('AFA Rates'!$C$5:$C$1004,$T977)="","",INDEX('AFA Rates'!$C$5:$C$1004,$T977))))</f>
        <v/>
      </c>
      <c r="E977" s="88">
        <f>IF($T977="","",IF($S977="S",IF(""="","",""),IF(INDEX('AFA Rates'!$D$5:$D$1004,$T977)="","",INDEX('AFA Rates'!$D$5:$D$1004,$T977))))</f>
        <v/>
      </c>
      <c r="F977" s="79">
        <f>IF($T977="","",IF($S977="S",IF(INDEX(Firms!$O$5:$O$1004,$T977)="","",INDEX(Firms!$O$5:$O$1004,$T977)),IF(INDEX('AFA Rates'!$O$5:$O$1004,$T977)="","",INDEX('AFA Rates'!$O$5:$O$1004,$T977))))</f>
        <v/>
      </c>
      <c r="G977" s="50">
        <f>IF($T977="","",IF($S977="S",IF(INDEX(Firms!$F$5:$F$1004,$T977)="","",INDEX(Firms!$F$5:$F$1004,$T977)),IF(INDEX('AFA Rates'!$E$5:$E$1004,$T977)="","",INDEX('AFA Rates'!$E$5:$E$1004,$T977))))</f>
        <v/>
      </c>
      <c r="H977" s="50">
        <f>IF($T977="","",IF($S977="S",IF(INDEX(Firms!$G$5:$G$1004,$T977)="","",INDEX(Firms!$G$5:$G$1004,$T977)),IF(INDEX('AFA Rates'!$F$5:$F$1004,$T977)="","",INDEX('AFA Rates'!$F$5:$F$1004,$T977))))</f>
        <v/>
      </c>
      <c r="I977" s="50">
        <f>IF($T977="","",IF($S977="S",IF(INDEX(Firms!$H$5:$H$1004,$T977)="","",INDEX(Firms!$H$5:$H$1004,$T977)),IF(INDEX('AFA Rates'!$G$5:$G$1004,$T977)="","",INDEX('AFA Rates'!$G$5:$G$1004,$T977))))</f>
        <v/>
      </c>
      <c r="J977" s="50">
        <f>IF($T977="","",IF($S977="S",IF(INDEX(Firms!$I$5:$I$1004,$T977)="","",INDEX(Firms!$I$5:$I$1004,$T977)),IF(INDEX('AFA Rates'!$H$5:$H$1004,$T977)="","",INDEX('AFA Rates'!$H$5:$H$1004,$T977))))</f>
        <v/>
      </c>
      <c r="K977" s="50">
        <f>IF($T977="","",IF($S977="S",IF(INDEX(Firms!$J$5:$J$1004,$T977)="","",INDEX(Firms!$J$5:$J$1004,$T977)),IF(INDEX('AFA Rates'!$I$5:$I$1004,$T977)="","",INDEX('AFA Rates'!$I$5:$I$1004,$T977))))</f>
        <v/>
      </c>
      <c r="L977" s="50">
        <f>IF($T977="","",IF($S977="S",IF(INDEX(Firms!$K$5:$K$1004,$T977)="","",INDEX(Firms!$K$5:$K$1004,$T977)),IF(INDEX('AFA Rates'!$J$5:$J$1004,$T977)="","",INDEX('AFA Rates'!$J$5:$J$1004,$T977))))</f>
        <v/>
      </c>
      <c r="M977" s="50">
        <f>IF($T977="","",IF($S977="S",IF(INDEX(Firms!$L$5:$L$1004,$T977)="","",INDEX(Firms!$L$5:$L$1004,$T977)),IF(INDEX('AFA Rates'!$K$5:$K$1004,$T977)="","",INDEX('AFA Rates'!$K$5:$K$1004,$T977))))</f>
        <v/>
      </c>
      <c r="N977" s="50">
        <f>IF($T977="","",IF($S977="S",IF(INDEX(Firms!$M$5:$M$1004,$T977)="","",INDEX(Firms!$M$5:$M$1004,$T977)),IF(INDEX('AFA Rates'!$L$5:$L$1004,$T977)="","",INDEX('AFA Rates'!$L$5:$L$1004,$T977))))</f>
        <v/>
      </c>
      <c r="O977" s="78">
        <f>IF(OR($T977="",$U977=""),"",IF(INDEX(Firms!$C$5:$C$1004,$U977)="","",INDEX(Firms!$C$5:$C$1004,$U977)))</f>
        <v/>
      </c>
      <c r="P977" s="79">
        <f>IF(OR($T977="",$U977=""),"",IF(INDEX(Firms!$N$5:$N$1004,$U977)="","",INDEX(Firms!$N$5:$N$1004,$U977)))</f>
        <v/>
      </c>
      <c r="Q977" s="78">
        <f>IF($T977="","",IF($S977="S",IF(INDEX(Firms!$T$5:$T$1004,$T977)="","",INDEX(Firms!$T$5:$T$1004,$T977)),IF(INDEX('AFA Rates'!$M$5:$M$1004,$T977)="","",INDEX('AFA Rates'!$M$5:$M$1004,$T977))))</f>
        <v/>
      </c>
      <c r="S977">
        <f>IF(973&lt;=$S$2,"S",IF(973&lt;=$S$2+$T$2,"A",""))</f>
        <v/>
      </c>
      <c r="T977">
        <f>IF(S977="S",MATCH(973,Firms!$W$5:$W$1004,0),IF(S977="A",IFERROR(MATCH(973-$S$2,'AFA Rates'!$R$5:$R$1004,0),""),""))</f>
        <v/>
      </c>
      <c r="U977">
        <f>IF(S977="S",T977,IF(AND(S977="A",T977&lt;&gt;""),IFERROR(MATCH(INDEX('AFA Rates'!$A$5:$A$1004,T977),Firms!$A$5:$A$1004,0),""),""))</f>
        <v/>
      </c>
    </row>
    <row r="978">
      <c r="A978" s="78">
        <f>IF($T978="","",IF($S978="S",IF(INDEX(Firms!$A$5:$A$1004,$T978)="","",INDEX(Firms!$A$5:$A$1004,$T978)),IF(INDEX('AFA Rates'!$A$5:$A$1004,$T978)="","",INDEX('AFA Rates'!$A$5:$A$1004,$T978))))</f>
        <v/>
      </c>
      <c r="B978" s="79">
        <f>IF(OR($T978="",$U978=""),IF($T978="","","Not on Firms tab"),INDEX(Firms!$B$5:$B$1004,$U978)&amp;"")</f>
        <v/>
      </c>
      <c r="C978" s="78">
        <f>IF($T978="","",IF($S978="S","Standard",INDEX('AFA Rates'!$B$5:$B$1004,$T978)&amp;""))</f>
        <v/>
      </c>
      <c r="D978" s="88">
        <f>IF($T978="","",IF($S978="S",IF(INDEX(Firms!$E$5:$E$1004,$T978)="","",INDEX(Firms!$E$5:$E$1004,$T978)),IF(INDEX('AFA Rates'!$C$5:$C$1004,$T978)="","",INDEX('AFA Rates'!$C$5:$C$1004,$T978))))</f>
        <v/>
      </c>
      <c r="E978" s="88">
        <f>IF($T978="","",IF($S978="S",IF(""="","",""),IF(INDEX('AFA Rates'!$D$5:$D$1004,$T978)="","",INDEX('AFA Rates'!$D$5:$D$1004,$T978))))</f>
        <v/>
      </c>
      <c r="F978" s="79">
        <f>IF($T978="","",IF($S978="S",IF(INDEX(Firms!$O$5:$O$1004,$T978)="","",INDEX(Firms!$O$5:$O$1004,$T978)),IF(INDEX('AFA Rates'!$O$5:$O$1004,$T978)="","",INDEX('AFA Rates'!$O$5:$O$1004,$T978))))</f>
        <v/>
      </c>
      <c r="G978" s="50">
        <f>IF($T978="","",IF($S978="S",IF(INDEX(Firms!$F$5:$F$1004,$T978)="","",INDEX(Firms!$F$5:$F$1004,$T978)),IF(INDEX('AFA Rates'!$E$5:$E$1004,$T978)="","",INDEX('AFA Rates'!$E$5:$E$1004,$T978))))</f>
        <v/>
      </c>
      <c r="H978" s="50">
        <f>IF($T978="","",IF($S978="S",IF(INDEX(Firms!$G$5:$G$1004,$T978)="","",INDEX(Firms!$G$5:$G$1004,$T978)),IF(INDEX('AFA Rates'!$F$5:$F$1004,$T978)="","",INDEX('AFA Rates'!$F$5:$F$1004,$T978))))</f>
        <v/>
      </c>
      <c r="I978" s="50">
        <f>IF($T978="","",IF($S978="S",IF(INDEX(Firms!$H$5:$H$1004,$T978)="","",INDEX(Firms!$H$5:$H$1004,$T978)),IF(INDEX('AFA Rates'!$G$5:$G$1004,$T978)="","",INDEX('AFA Rates'!$G$5:$G$1004,$T978))))</f>
        <v/>
      </c>
      <c r="J978" s="50">
        <f>IF($T978="","",IF($S978="S",IF(INDEX(Firms!$I$5:$I$1004,$T978)="","",INDEX(Firms!$I$5:$I$1004,$T978)),IF(INDEX('AFA Rates'!$H$5:$H$1004,$T978)="","",INDEX('AFA Rates'!$H$5:$H$1004,$T978))))</f>
        <v/>
      </c>
      <c r="K978" s="50">
        <f>IF($T978="","",IF($S978="S",IF(INDEX(Firms!$J$5:$J$1004,$T978)="","",INDEX(Firms!$J$5:$J$1004,$T978)),IF(INDEX('AFA Rates'!$I$5:$I$1004,$T978)="","",INDEX('AFA Rates'!$I$5:$I$1004,$T978))))</f>
        <v/>
      </c>
      <c r="L978" s="50">
        <f>IF($T978="","",IF($S978="S",IF(INDEX(Firms!$K$5:$K$1004,$T978)="","",INDEX(Firms!$K$5:$K$1004,$T978)),IF(INDEX('AFA Rates'!$J$5:$J$1004,$T978)="","",INDEX('AFA Rates'!$J$5:$J$1004,$T978))))</f>
        <v/>
      </c>
      <c r="M978" s="50">
        <f>IF($T978="","",IF($S978="S",IF(INDEX(Firms!$L$5:$L$1004,$T978)="","",INDEX(Firms!$L$5:$L$1004,$T978)),IF(INDEX('AFA Rates'!$K$5:$K$1004,$T978)="","",INDEX('AFA Rates'!$K$5:$K$1004,$T978))))</f>
        <v/>
      </c>
      <c r="N978" s="50">
        <f>IF($T978="","",IF($S978="S",IF(INDEX(Firms!$M$5:$M$1004,$T978)="","",INDEX(Firms!$M$5:$M$1004,$T978)),IF(INDEX('AFA Rates'!$L$5:$L$1004,$T978)="","",INDEX('AFA Rates'!$L$5:$L$1004,$T978))))</f>
        <v/>
      </c>
      <c r="O978" s="78">
        <f>IF(OR($T978="",$U978=""),"",IF(INDEX(Firms!$C$5:$C$1004,$U978)="","",INDEX(Firms!$C$5:$C$1004,$U978)))</f>
        <v/>
      </c>
      <c r="P978" s="79">
        <f>IF(OR($T978="",$U978=""),"",IF(INDEX(Firms!$N$5:$N$1004,$U978)="","",INDEX(Firms!$N$5:$N$1004,$U978)))</f>
        <v/>
      </c>
      <c r="Q978" s="78">
        <f>IF($T978="","",IF($S978="S",IF(INDEX(Firms!$T$5:$T$1004,$T978)="","",INDEX(Firms!$T$5:$T$1004,$T978)),IF(INDEX('AFA Rates'!$M$5:$M$1004,$T978)="","",INDEX('AFA Rates'!$M$5:$M$1004,$T978))))</f>
        <v/>
      </c>
      <c r="S978">
        <f>IF(974&lt;=$S$2,"S",IF(974&lt;=$S$2+$T$2,"A",""))</f>
        <v/>
      </c>
      <c r="T978">
        <f>IF(S978="S",MATCH(974,Firms!$W$5:$W$1004,0),IF(S978="A",IFERROR(MATCH(974-$S$2,'AFA Rates'!$R$5:$R$1004,0),""),""))</f>
        <v/>
      </c>
      <c r="U978">
        <f>IF(S978="S",T978,IF(AND(S978="A",T978&lt;&gt;""),IFERROR(MATCH(INDEX('AFA Rates'!$A$5:$A$1004,T978),Firms!$A$5:$A$1004,0),""),""))</f>
        <v/>
      </c>
    </row>
    <row r="979">
      <c r="A979" s="78">
        <f>IF($T979="","",IF($S979="S",IF(INDEX(Firms!$A$5:$A$1004,$T979)="","",INDEX(Firms!$A$5:$A$1004,$T979)),IF(INDEX('AFA Rates'!$A$5:$A$1004,$T979)="","",INDEX('AFA Rates'!$A$5:$A$1004,$T979))))</f>
        <v/>
      </c>
      <c r="B979" s="79">
        <f>IF(OR($T979="",$U979=""),IF($T979="","","Not on Firms tab"),INDEX(Firms!$B$5:$B$1004,$U979)&amp;"")</f>
        <v/>
      </c>
      <c r="C979" s="78">
        <f>IF($T979="","",IF($S979="S","Standard",INDEX('AFA Rates'!$B$5:$B$1004,$T979)&amp;""))</f>
        <v/>
      </c>
      <c r="D979" s="88">
        <f>IF($T979="","",IF($S979="S",IF(INDEX(Firms!$E$5:$E$1004,$T979)="","",INDEX(Firms!$E$5:$E$1004,$T979)),IF(INDEX('AFA Rates'!$C$5:$C$1004,$T979)="","",INDEX('AFA Rates'!$C$5:$C$1004,$T979))))</f>
        <v/>
      </c>
      <c r="E979" s="88">
        <f>IF($T979="","",IF($S979="S",IF(""="","",""),IF(INDEX('AFA Rates'!$D$5:$D$1004,$T979)="","",INDEX('AFA Rates'!$D$5:$D$1004,$T979))))</f>
        <v/>
      </c>
      <c r="F979" s="79">
        <f>IF($T979="","",IF($S979="S",IF(INDEX(Firms!$O$5:$O$1004,$T979)="","",INDEX(Firms!$O$5:$O$1004,$T979)),IF(INDEX('AFA Rates'!$O$5:$O$1004,$T979)="","",INDEX('AFA Rates'!$O$5:$O$1004,$T979))))</f>
        <v/>
      </c>
      <c r="G979" s="50">
        <f>IF($T979="","",IF($S979="S",IF(INDEX(Firms!$F$5:$F$1004,$T979)="","",INDEX(Firms!$F$5:$F$1004,$T979)),IF(INDEX('AFA Rates'!$E$5:$E$1004,$T979)="","",INDEX('AFA Rates'!$E$5:$E$1004,$T979))))</f>
        <v/>
      </c>
      <c r="H979" s="50">
        <f>IF($T979="","",IF($S979="S",IF(INDEX(Firms!$G$5:$G$1004,$T979)="","",INDEX(Firms!$G$5:$G$1004,$T979)),IF(INDEX('AFA Rates'!$F$5:$F$1004,$T979)="","",INDEX('AFA Rates'!$F$5:$F$1004,$T979))))</f>
        <v/>
      </c>
      <c r="I979" s="50">
        <f>IF($T979="","",IF($S979="S",IF(INDEX(Firms!$H$5:$H$1004,$T979)="","",INDEX(Firms!$H$5:$H$1004,$T979)),IF(INDEX('AFA Rates'!$G$5:$G$1004,$T979)="","",INDEX('AFA Rates'!$G$5:$G$1004,$T979))))</f>
        <v/>
      </c>
      <c r="J979" s="50">
        <f>IF($T979="","",IF($S979="S",IF(INDEX(Firms!$I$5:$I$1004,$T979)="","",INDEX(Firms!$I$5:$I$1004,$T979)),IF(INDEX('AFA Rates'!$H$5:$H$1004,$T979)="","",INDEX('AFA Rates'!$H$5:$H$1004,$T979))))</f>
        <v/>
      </c>
      <c r="K979" s="50">
        <f>IF($T979="","",IF($S979="S",IF(INDEX(Firms!$J$5:$J$1004,$T979)="","",INDEX(Firms!$J$5:$J$1004,$T979)),IF(INDEX('AFA Rates'!$I$5:$I$1004,$T979)="","",INDEX('AFA Rates'!$I$5:$I$1004,$T979))))</f>
        <v/>
      </c>
      <c r="L979" s="50">
        <f>IF($T979="","",IF($S979="S",IF(INDEX(Firms!$K$5:$K$1004,$T979)="","",INDEX(Firms!$K$5:$K$1004,$T979)),IF(INDEX('AFA Rates'!$J$5:$J$1004,$T979)="","",INDEX('AFA Rates'!$J$5:$J$1004,$T979))))</f>
        <v/>
      </c>
      <c r="M979" s="50">
        <f>IF($T979="","",IF($S979="S",IF(INDEX(Firms!$L$5:$L$1004,$T979)="","",INDEX(Firms!$L$5:$L$1004,$T979)),IF(INDEX('AFA Rates'!$K$5:$K$1004,$T979)="","",INDEX('AFA Rates'!$K$5:$K$1004,$T979))))</f>
        <v/>
      </c>
      <c r="N979" s="50">
        <f>IF($T979="","",IF($S979="S",IF(INDEX(Firms!$M$5:$M$1004,$T979)="","",INDEX(Firms!$M$5:$M$1004,$T979)),IF(INDEX('AFA Rates'!$L$5:$L$1004,$T979)="","",INDEX('AFA Rates'!$L$5:$L$1004,$T979))))</f>
        <v/>
      </c>
      <c r="O979" s="78">
        <f>IF(OR($T979="",$U979=""),"",IF(INDEX(Firms!$C$5:$C$1004,$U979)="","",INDEX(Firms!$C$5:$C$1004,$U979)))</f>
        <v/>
      </c>
      <c r="P979" s="79">
        <f>IF(OR($T979="",$U979=""),"",IF(INDEX(Firms!$N$5:$N$1004,$U979)="","",INDEX(Firms!$N$5:$N$1004,$U979)))</f>
        <v/>
      </c>
      <c r="Q979" s="78">
        <f>IF($T979="","",IF($S979="S",IF(INDEX(Firms!$T$5:$T$1004,$T979)="","",INDEX(Firms!$T$5:$T$1004,$T979)),IF(INDEX('AFA Rates'!$M$5:$M$1004,$T979)="","",INDEX('AFA Rates'!$M$5:$M$1004,$T979))))</f>
        <v/>
      </c>
      <c r="S979">
        <f>IF(975&lt;=$S$2,"S",IF(975&lt;=$S$2+$T$2,"A",""))</f>
        <v/>
      </c>
      <c r="T979">
        <f>IF(S979="S",MATCH(975,Firms!$W$5:$W$1004,0),IF(S979="A",IFERROR(MATCH(975-$S$2,'AFA Rates'!$R$5:$R$1004,0),""),""))</f>
        <v/>
      </c>
      <c r="U979">
        <f>IF(S979="S",T979,IF(AND(S979="A",T979&lt;&gt;""),IFERROR(MATCH(INDEX('AFA Rates'!$A$5:$A$1004,T979),Firms!$A$5:$A$1004,0),""),""))</f>
        <v/>
      </c>
    </row>
    <row r="980">
      <c r="A980" s="78">
        <f>IF($T980="","",IF($S980="S",IF(INDEX(Firms!$A$5:$A$1004,$T980)="","",INDEX(Firms!$A$5:$A$1004,$T980)),IF(INDEX('AFA Rates'!$A$5:$A$1004,$T980)="","",INDEX('AFA Rates'!$A$5:$A$1004,$T980))))</f>
        <v/>
      </c>
      <c r="B980" s="79">
        <f>IF(OR($T980="",$U980=""),IF($T980="","","Not on Firms tab"),INDEX(Firms!$B$5:$B$1004,$U980)&amp;"")</f>
        <v/>
      </c>
      <c r="C980" s="78">
        <f>IF($T980="","",IF($S980="S","Standard",INDEX('AFA Rates'!$B$5:$B$1004,$T980)&amp;""))</f>
        <v/>
      </c>
      <c r="D980" s="88">
        <f>IF($T980="","",IF($S980="S",IF(INDEX(Firms!$E$5:$E$1004,$T980)="","",INDEX(Firms!$E$5:$E$1004,$T980)),IF(INDEX('AFA Rates'!$C$5:$C$1004,$T980)="","",INDEX('AFA Rates'!$C$5:$C$1004,$T980))))</f>
        <v/>
      </c>
      <c r="E980" s="88">
        <f>IF($T980="","",IF($S980="S",IF(""="","",""),IF(INDEX('AFA Rates'!$D$5:$D$1004,$T980)="","",INDEX('AFA Rates'!$D$5:$D$1004,$T980))))</f>
        <v/>
      </c>
      <c r="F980" s="79">
        <f>IF($T980="","",IF($S980="S",IF(INDEX(Firms!$O$5:$O$1004,$T980)="","",INDEX(Firms!$O$5:$O$1004,$T980)),IF(INDEX('AFA Rates'!$O$5:$O$1004,$T980)="","",INDEX('AFA Rates'!$O$5:$O$1004,$T980))))</f>
        <v/>
      </c>
      <c r="G980" s="50">
        <f>IF($T980="","",IF($S980="S",IF(INDEX(Firms!$F$5:$F$1004,$T980)="","",INDEX(Firms!$F$5:$F$1004,$T980)),IF(INDEX('AFA Rates'!$E$5:$E$1004,$T980)="","",INDEX('AFA Rates'!$E$5:$E$1004,$T980))))</f>
        <v/>
      </c>
      <c r="H980" s="50">
        <f>IF($T980="","",IF($S980="S",IF(INDEX(Firms!$G$5:$G$1004,$T980)="","",INDEX(Firms!$G$5:$G$1004,$T980)),IF(INDEX('AFA Rates'!$F$5:$F$1004,$T980)="","",INDEX('AFA Rates'!$F$5:$F$1004,$T980))))</f>
        <v/>
      </c>
      <c r="I980" s="50">
        <f>IF($T980="","",IF($S980="S",IF(INDEX(Firms!$H$5:$H$1004,$T980)="","",INDEX(Firms!$H$5:$H$1004,$T980)),IF(INDEX('AFA Rates'!$G$5:$G$1004,$T980)="","",INDEX('AFA Rates'!$G$5:$G$1004,$T980))))</f>
        <v/>
      </c>
      <c r="J980" s="50">
        <f>IF($T980="","",IF($S980="S",IF(INDEX(Firms!$I$5:$I$1004,$T980)="","",INDEX(Firms!$I$5:$I$1004,$T980)),IF(INDEX('AFA Rates'!$H$5:$H$1004,$T980)="","",INDEX('AFA Rates'!$H$5:$H$1004,$T980))))</f>
        <v/>
      </c>
      <c r="K980" s="50">
        <f>IF($T980="","",IF($S980="S",IF(INDEX(Firms!$J$5:$J$1004,$T980)="","",INDEX(Firms!$J$5:$J$1004,$T980)),IF(INDEX('AFA Rates'!$I$5:$I$1004,$T980)="","",INDEX('AFA Rates'!$I$5:$I$1004,$T980))))</f>
        <v/>
      </c>
      <c r="L980" s="50">
        <f>IF($T980="","",IF($S980="S",IF(INDEX(Firms!$K$5:$K$1004,$T980)="","",INDEX(Firms!$K$5:$K$1004,$T980)),IF(INDEX('AFA Rates'!$J$5:$J$1004,$T980)="","",INDEX('AFA Rates'!$J$5:$J$1004,$T980))))</f>
        <v/>
      </c>
      <c r="M980" s="50">
        <f>IF($T980="","",IF($S980="S",IF(INDEX(Firms!$L$5:$L$1004,$T980)="","",INDEX(Firms!$L$5:$L$1004,$T980)),IF(INDEX('AFA Rates'!$K$5:$K$1004,$T980)="","",INDEX('AFA Rates'!$K$5:$K$1004,$T980))))</f>
        <v/>
      </c>
      <c r="N980" s="50">
        <f>IF($T980="","",IF($S980="S",IF(INDEX(Firms!$M$5:$M$1004,$T980)="","",INDEX(Firms!$M$5:$M$1004,$T980)),IF(INDEX('AFA Rates'!$L$5:$L$1004,$T980)="","",INDEX('AFA Rates'!$L$5:$L$1004,$T980))))</f>
        <v/>
      </c>
      <c r="O980" s="78">
        <f>IF(OR($T980="",$U980=""),"",IF(INDEX(Firms!$C$5:$C$1004,$U980)="","",INDEX(Firms!$C$5:$C$1004,$U980)))</f>
        <v/>
      </c>
      <c r="P980" s="79">
        <f>IF(OR($T980="",$U980=""),"",IF(INDEX(Firms!$N$5:$N$1004,$U980)="","",INDEX(Firms!$N$5:$N$1004,$U980)))</f>
        <v/>
      </c>
      <c r="Q980" s="78">
        <f>IF($T980="","",IF($S980="S",IF(INDEX(Firms!$T$5:$T$1004,$T980)="","",INDEX(Firms!$T$5:$T$1004,$T980)),IF(INDEX('AFA Rates'!$M$5:$M$1004,$T980)="","",INDEX('AFA Rates'!$M$5:$M$1004,$T980))))</f>
        <v/>
      </c>
      <c r="S980">
        <f>IF(976&lt;=$S$2,"S",IF(976&lt;=$S$2+$T$2,"A",""))</f>
        <v/>
      </c>
      <c r="T980">
        <f>IF(S980="S",MATCH(976,Firms!$W$5:$W$1004,0),IF(S980="A",IFERROR(MATCH(976-$S$2,'AFA Rates'!$R$5:$R$1004,0),""),""))</f>
        <v/>
      </c>
      <c r="U980">
        <f>IF(S980="S",T980,IF(AND(S980="A",T980&lt;&gt;""),IFERROR(MATCH(INDEX('AFA Rates'!$A$5:$A$1004,T980),Firms!$A$5:$A$1004,0),""),""))</f>
        <v/>
      </c>
    </row>
    <row r="981">
      <c r="A981" s="78">
        <f>IF($T981="","",IF($S981="S",IF(INDEX(Firms!$A$5:$A$1004,$T981)="","",INDEX(Firms!$A$5:$A$1004,$T981)),IF(INDEX('AFA Rates'!$A$5:$A$1004,$T981)="","",INDEX('AFA Rates'!$A$5:$A$1004,$T981))))</f>
        <v/>
      </c>
      <c r="B981" s="79">
        <f>IF(OR($T981="",$U981=""),IF($T981="","","Not on Firms tab"),INDEX(Firms!$B$5:$B$1004,$U981)&amp;"")</f>
        <v/>
      </c>
      <c r="C981" s="78">
        <f>IF($T981="","",IF($S981="S","Standard",INDEX('AFA Rates'!$B$5:$B$1004,$T981)&amp;""))</f>
        <v/>
      </c>
      <c r="D981" s="88">
        <f>IF($T981="","",IF($S981="S",IF(INDEX(Firms!$E$5:$E$1004,$T981)="","",INDEX(Firms!$E$5:$E$1004,$T981)),IF(INDEX('AFA Rates'!$C$5:$C$1004,$T981)="","",INDEX('AFA Rates'!$C$5:$C$1004,$T981))))</f>
        <v/>
      </c>
      <c r="E981" s="88">
        <f>IF($T981="","",IF($S981="S",IF(""="","",""),IF(INDEX('AFA Rates'!$D$5:$D$1004,$T981)="","",INDEX('AFA Rates'!$D$5:$D$1004,$T981))))</f>
        <v/>
      </c>
      <c r="F981" s="79">
        <f>IF($T981="","",IF($S981="S",IF(INDEX(Firms!$O$5:$O$1004,$T981)="","",INDEX(Firms!$O$5:$O$1004,$T981)),IF(INDEX('AFA Rates'!$O$5:$O$1004,$T981)="","",INDEX('AFA Rates'!$O$5:$O$1004,$T981))))</f>
        <v/>
      </c>
      <c r="G981" s="50">
        <f>IF($T981="","",IF($S981="S",IF(INDEX(Firms!$F$5:$F$1004,$T981)="","",INDEX(Firms!$F$5:$F$1004,$T981)),IF(INDEX('AFA Rates'!$E$5:$E$1004,$T981)="","",INDEX('AFA Rates'!$E$5:$E$1004,$T981))))</f>
        <v/>
      </c>
      <c r="H981" s="50">
        <f>IF($T981="","",IF($S981="S",IF(INDEX(Firms!$G$5:$G$1004,$T981)="","",INDEX(Firms!$G$5:$G$1004,$T981)),IF(INDEX('AFA Rates'!$F$5:$F$1004,$T981)="","",INDEX('AFA Rates'!$F$5:$F$1004,$T981))))</f>
        <v/>
      </c>
      <c r="I981" s="50">
        <f>IF($T981="","",IF($S981="S",IF(INDEX(Firms!$H$5:$H$1004,$T981)="","",INDEX(Firms!$H$5:$H$1004,$T981)),IF(INDEX('AFA Rates'!$G$5:$G$1004,$T981)="","",INDEX('AFA Rates'!$G$5:$G$1004,$T981))))</f>
        <v/>
      </c>
      <c r="J981" s="50">
        <f>IF($T981="","",IF($S981="S",IF(INDEX(Firms!$I$5:$I$1004,$T981)="","",INDEX(Firms!$I$5:$I$1004,$T981)),IF(INDEX('AFA Rates'!$H$5:$H$1004,$T981)="","",INDEX('AFA Rates'!$H$5:$H$1004,$T981))))</f>
        <v/>
      </c>
      <c r="K981" s="50">
        <f>IF($T981="","",IF($S981="S",IF(INDEX(Firms!$J$5:$J$1004,$T981)="","",INDEX(Firms!$J$5:$J$1004,$T981)),IF(INDEX('AFA Rates'!$I$5:$I$1004,$T981)="","",INDEX('AFA Rates'!$I$5:$I$1004,$T981))))</f>
        <v/>
      </c>
      <c r="L981" s="50">
        <f>IF($T981="","",IF($S981="S",IF(INDEX(Firms!$K$5:$K$1004,$T981)="","",INDEX(Firms!$K$5:$K$1004,$T981)),IF(INDEX('AFA Rates'!$J$5:$J$1004,$T981)="","",INDEX('AFA Rates'!$J$5:$J$1004,$T981))))</f>
        <v/>
      </c>
      <c r="M981" s="50">
        <f>IF($T981="","",IF($S981="S",IF(INDEX(Firms!$L$5:$L$1004,$T981)="","",INDEX(Firms!$L$5:$L$1004,$T981)),IF(INDEX('AFA Rates'!$K$5:$K$1004,$T981)="","",INDEX('AFA Rates'!$K$5:$K$1004,$T981))))</f>
        <v/>
      </c>
      <c r="N981" s="50">
        <f>IF($T981="","",IF($S981="S",IF(INDEX(Firms!$M$5:$M$1004,$T981)="","",INDEX(Firms!$M$5:$M$1004,$T981)),IF(INDEX('AFA Rates'!$L$5:$L$1004,$T981)="","",INDEX('AFA Rates'!$L$5:$L$1004,$T981))))</f>
        <v/>
      </c>
      <c r="O981" s="78">
        <f>IF(OR($T981="",$U981=""),"",IF(INDEX(Firms!$C$5:$C$1004,$U981)="","",INDEX(Firms!$C$5:$C$1004,$U981)))</f>
        <v/>
      </c>
      <c r="P981" s="79">
        <f>IF(OR($T981="",$U981=""),"",IF(INDEX(Firms!$N$5:$N$1004,$U981)="","",INDEX(Firms!$N$5:$N$1004,$U981)))</f>
        <v/>
      </c>
      <c r="Q981" s="78">
        <f>IF($T981="","",IF($S981="S",IF(INDEX(Firms!$T$5:$T$1004,$T981)="","",INDEX(Firms!$T$5:$T$1004,$T981)),IF(INDEX('AFA Rates'!$M$5:$M$1004,$T981)="","",INDEX('AFA Rates'!$M$5:$M$1004,$T981))))</f>
        <v/>
      </c>
      <c r="S981">
        <f>IF(977&lt;=$S$2,"S",IF(977&lt;=$S$2+$T$2,"A",""))</f>
        <v/>
      </c>
      <c r="T981">
        <f>IF(S981="S",MATCH(977,Firms!$W$5:$W$1004,0),IF(S981="A",IFERROR(MATCH(977-$S$2,'AFA Rates'!$R$5:$R$1004,0),""),""))</f>
        <v/>
      </c>
      <c r="U981">
        <f>IF(S981="S",T981,IF(AND(S981="A",T981&lt;&gt;""),IFERROR(MATCH(INDEX('AFA Rates'!$A$5:$A$1004,T981),Firms!$A$5:$A$1004,0),""),""))</f>
        <v/>
      </c>
    </row>
    <row r="982">
      <c r="A982" s="78">
        <f>IF($T982="","",IF($S982="S",IF(INDEX(Firms!$A$5:$A$1004,$T982)="","",INDEX(Firms!$A$5:$A$1004,$T982)),IF(INDEX('AFA Rates'!$A$5:$A$1004,$T982)="","",INDEX('AFA Rates'!$A$5:$A$1004,$T982))))</f>
        <v/>
      </c>
      <c r="B982" s="79">
        <f>IF(OR($T982="",$U982=""),IF($T982="","","Not on Firms tab"),INDEX(Firms!$B$5:$B$1004,$U982)&amp;"")</f>
        <v/>
      </c>
      <c r="C982" s="78">
        <f>IF($T982="","",IF($S982="S","Standard",INDEX('AFA Rates'!$B$5:$B$1004,$T982)&amp;""))</f>
        <v/>
      </c>
      <c r="D982" s="88">
        <f>IF($T982="","",IF($S982="S",IF(INDEX(Firms!$E$5:$E$1004,$T982)="","",INDEX(Firms!$E$5:$E$1004,$T982)),IF(INDEX('AFA Rates'!$C$5:$C$1004,$T982)="","",INDEX('AFA Rates'!$C$5:$C$1004,$T982))))</f>
        <v/>
      </c>
      <c r="E982" s="88">
        <f>IF($T982="","",IF($S982="S",IF(""="","",""),IF(INDEX('AFA Rates'!$D$5:$D$1004,$T982)="","",INDEX('AFA Rates'!$D$5:$D$1004,$T982))))</f>
        <v/>
      </c>
      <c r="F982" s="79">
        <f>IF($T982="","",IF($S982="S",IF(INDEX(Firms!$O$5:$O$1004,$T982)="","",INDEX(Firms!$O$5:$O$1004,$T982)),IF(INDEX('AFA Rates'!$O$5:$O$1004,$T982)="","",INDEX('AFA Rates'!$O$5:$O$1004,$T982))))</f>
        <v/>
      </c>
      <c r="G982" s="50">
        <f>IF($T982="","",IF($S982="S",IF(INDEX(Firms!$F$5:$F$1004,$T982)="","",INDEX(Firms!$F$5:$F$1004,$T982)),IF(INDEX('AFA Rates'!$E$5:$E$1004,$T982)="","",INDEX('AFA Rates'!$E$5:$E$1004,$T982))))</f>
        <v/>
      </c>
      <c r="H982" s="50">
        <f>IF($T982="","",IF($S982="S",IF(INDEX(Firms!$G$5:$G$1004,$T982)="","",INDEX(Firms!$G$5:$G$1004,$T982)),IF(INDEX('AFA Rates'!$F$5:$F$1004,$T982)="","",INDEX('AFA Rates'!$F$5:$F$1004,$T982))))</f>
        <v/>
      </c>
      <c r="I982" s="50">
        <f>IF($T982="","",IF($S982="S",IF(INDEX(Firms!$H$5:$H$1004,$T982)="","",INDEX(Firms!$H$5:$H$1004,$T982)),IF(INDEX('AFA Rates'!$G$5:$G$1004,$T982)="","",INDEX('AFA Rates'!$G$5:$G$1004,$T982))))</f>
        <v/>
      </c>
      <c r="J982" s="50">
        <f>IF($T982="","",IF($S982="S",IF(INDEX(Firms!$I$5:$I$1004,$T982)="","",INDEX(Firms!$I$5:$I$1004,$T982)),IF(INDEX('AFA Rates'!$H$5:$H$1004,$T982)="","",INDEX('AFA Rates'!$H$5:$H$1004,$T982))))</f>
        <v/>
      </c>
      <c r="K982" s="50">
        <f>IF($T982="","",IF($S982="S",IF(INDEX(Firms!$J$5:$J$1004,$T982)="","",INDEX(Firms!$J$5:$J$1004,$T982)),IF(INDEX('AFA Rates'!$I$5:$I$1004,$T982)="","",INDEX('AFA Rates'!$I$5:$I$1004,$T982))))</f>
        <v/>
      </c>
      <c r="L982" s="50">
        <f>IF($T982="","",IF($S982="S",IF(INDEX(Firms!$K$5:$K$1004,$T982)="","",INDEX(Firms!$K$5:$K$1004,$T982)),IF(INDEX('AFA Rates'!$J$5:$J$1004,$T982)="","",INDEX('AFA Rates'!$J$5:$J$1004,$T982))))</f>
        <v/>
      </c>
      <c r="M982" s="50">
        <f>IF($T982="","",IF($S982="S",IF(INDEX(Firms!$L$5:$L$1004,$T982)="","",INDEX(Firms!$L$5:$L$1004,$T982)),IF(INDEX('AFA Rates'!$K$5:$K$1004,$T982)="","",INDEX('AFA Rates'!$K$5:$K$1004,$T982))))</f>
        <v/>
      </c>
      <c r="N982" s="50">
        <f>IF($T982="","",IF($S982="S",IF(INDEX(Firms!$M$5:$M$1004,$T982)="","",INDEX(Firms!$M$5:$M$1004,$T982)),IF(INDEX('AFA Rates'!$L$5:$L$1004,$T982)="","",INDEX('AFA Rates'!$L$5:$L$1004,$T982))))</f>
        <v/>
      </c>
      <c r="O982" s="78">
        <f>IF(OR($T982="",$U982=""),"",IF(INDEX(Firms!$C$5:$C$1004,$U982)="","",INDEX(Firms!$C$5:$C$1004,$U982)))</f>
        <v/>
      </c>
      <c r="P982" s="79">
        <f>IF(OR($T982="",$U982=""),"",IF(INDEX(Firms!$N$5:$N$1004,$U982)="","",INDEX(Firms!$N$5:$N$1004,$U982)))</f>
        <v/>
      </c>
      <c r="Q982" s="78">
        <f>IF($T982="","",IF($S982="S",IF(INDEX(Firms!$T$5:$T$1004,$T982)="","",INDEX(Firms!$T$5:$T$1004,$T982)),IF(INDEX('AFA Rates'!$M$5:$M$1004,$T982)="","",INDEX('AFA Rates'!$M$5:$M$1004,$T982))))</f>
        <v/>
      </c>
      <c r="S982">
        <f>IF(978&lt;=$S$2,"S",IF(978&lt;=$S$2+$T$2,"A",""))</f>
        <v/>
      </c>
      <c r="T982">
        <f>IF(S982="S",MATCH(978,Firms!$W$5:$W$1004,0),IF(S982="A",IFERROR(MATCH(978-$S$2,'AFA Rates'!$R$5:$R$1004,0),""),""))</f>
        <v/>
      </c>
      <c r="U982">
        <f>IF(S982="S",T982,IF(AND(S982="A",T982&lt;&gt;""),IFERROR(MATCH(INDEX('AFA Rates'!$A$5:$A$1004,T982),Firms!$A$5:$A$1004,0),""),""))</f>
        <v/>
      </c>
    </row>
    <row r="983">
      <c r="A983" s="78">
        <f>IF($T983="","",IF($S983="S",IF(INDEX(Firms!$A$5:$A$1004,$T983)="","",INDEX(Firms!$A$5:$A$1004,$T983)),IF(INDEX('AFA Rates'!$A$5:$A$1004,$T983)="","",INDEX('AFA Rates'!$A$5:$A$1004,$T983))))</f>
        <v/>
      </c>
      <c r="B983" s="79">
        <f>IF(OR($T983="",$U983=""),IF($T983="","","Not on Firms tab"),INDEX(Firms!$B$5:$B$1004,$U983)&amp;"")</f>
        <v/>
      </c>
      <c r="C983" s="78">
        <f>IF($T983="","",IF($S983="S","Standard",INDEX('AFA Rates'!$B$5:$B$1004,$T983)&amp;""))</f>
        <v/>
      </c>
      <c r="D983" s="88">
        <f>IF($T983="","",IF($S983="S",IF(INDEX(Firms!$E$5:$E$1004,$T983)="","",INDEX(Firms!$E$5:$E$1004,$T983)),IF(INDEX('AFA Rates'!$C$5:$C$1004,$T983)="","",INDEX('AFA Rates'!$C$5:$C$1004,$T983))))</f>
        <v/>
      </c>
      <c r="E983" s="88">
        <f>IF($T983="","",IF($S983="S",IF(""="","",""),IF(INDEX('AFA Rates'!$D$5:$D$1004,$T983)="","",INDEX('AFA Rates'!$D$5:$D$1004,$T983))))</f>
        <v/>
      </c>
      <c r="F983" s="79">
        <f>IF($T983="","",IF($S983="S",IF(INDEX(Firms!$O$5:$O$1004,$T983)="","",INDEX(Firms!$O$5:$O$1004,$T983)),IF(INDEX('AFA Rates'!$O$5:$O$1004,$T983)="","",INDEX('AFA Rates'!$O$5:$O$1004,$T983))))</f>
        <v/>
      </c>
      <c r="G983" s="50">
        <f>IF($T983="","",IF($S983="S",IF(INDEX(Firms!$F$5:$F$1004,$T983)="","",INDEX(Firms!$F$5:$F$1004,$T983)),IF(INDEX('AFA Rates'!$E$5:$E$1004,$T983)="","",INDEX('AFA Rates'!$E$5:$E$1004,$T983))))</f>
        <v/>
      </c>
      <c r="H983" s="50">
        <f>IF($T983="","",IF($S983="S",IF(INDEX(Firms!$G$5:$G$1004,$T983)="","",INDEX(Firms!$G$5:$G$1004,$T983)),IF(INDEX('AFA Rates'!$F$5:$F$1004,$T983)="","",INDEX('AFA Rates'!$F$5:$F$1004,$T983))))</f>
        <v/>
      </c>
      <c r="I983" s="50">
        <f>IF($T983="","",IF($S983="S",IF(INDEX(Firms!$H$5:$H$1004,$T983)="","",INDEX(Firms!$H$5:$H$1004,$T983)),IF(INDEX('AFA Rates'!$G$5:$G$1004,$T983)="","",INDEX('AFA Rates'!$G$5:$G$1004,$T983))))</f>
        <v/>
      </c>
      <c r="J983" s="50">
        <f>IF($T983="","",IF($S983="S",IF(INDEX(Firms!$I$5:$I$1004,$T983)="","",INDEX(Firms!$I$5:$I$1004,$T983)),IF(INDEX('AFA Rates'!$H$5:$H$1004,$T983)="","",INDEX('AFA Rates'!$H$5:$H$1004,$T983))))</f>
        <v/>
      </c>
      <c r="K983" s="50">
        <f>IF($T983="","",IF($S983="S",IF(INDEX(Firms!$J$5:$J$1004,$T983)="","",INDEX(Firms!$J$5:$J$1004,$T983)),IF(INDEX('AFA Rates'!$I$5:$I$1004,$T983)="","",INDEX('AFA Rates'!$I$5:$I$1004,$T983))))</f>
        <v/>
      </c>
      <c r="L983" s="50">
        <f>IF($T983="","",IF($S983="S",IF(INDEX(Firms!$K$5:$K$1004,$T983)="","",INDEX(Firms!$K$5:$K$1004,$T983)),IF(INDEX('AFA Rates'!$J$5:$J$1004,$T983)="","",INDEX('AFA Rates'!$J$5:$J$1004,$T983))))</f>
        <v/>
      </c>
      <c r="M983" s="50">
        <f>IF($T983="","",IF($S983="S",IF(INDEX(Firms!$L$5:$L$1004,$T983)="","",INDEX(Firms!$L$5:$L$1004,$T983)),IF(INDEX('AFA Rates'!$K$5:$K$1004,$T983)="","",INDEX('AFA Rates'!$K$5:$K$1004,$T983))))</f>
        <v/>
      </c>
      <c r="N983" s="50">
        <f>IF($T983="","",IF($S983="S",IF(INDEX(Firms!$M$5:$M$1004,$T983)="","",INDEX(Firms!$M$5:$M$1004,$T983)),IF(INDEX('AFA Rates'!$L$5:$L$1004,$T983)="","",INDEX('AFA Rates'!$L$5:$L$1004,$T983))))</f>
        <v/>
      </c>
      <c r="O983" s="78">
        <f>IF(OR($T983="",$U983=""),"",IF(INDEX(Firms!$C$5:$C$1004,$U983)="","",INDEX(Firms!$C$5:$C$1004,$U983)))</f>
        <v/>
      </c>
      <c r="P983" s="79">
        <f>IF(OR($T983="",$U983=""),"",IF(INDEX(Firms!$N$5:$N$1004,$U983)="","",INDEX(Firms!$N$5:$N$1004,$U983)))</f>
        <v/>
      </c>
      <c r="Q983" s="78">
        <f>IF($T983="","",IF($S983="S",IF(INDEX(Firms!$T$5:$T$1004,$T983)="","",INDEX(Firms!$T$5:$T$1004,$T983)),IF(INDEX('AFA Rates'!$M$5:$M$1004,$T983)="","",INDEX('AFA Rates'!$M$5:$M$1004,$T983))))</f>
        <v/>
      </c>
      <c r="S983">
        <f>IF(979&lt;=$S$2,"S",IF(979&lt;=$S$2+$T$2,"A",""))</f>
        <v/>
      </c>
      <c r="T983">
        <f>IF(S983="S",MATCH(979,Firms!$W$5:$W$1004,0),IF(S983="A",IFERROR(MATCH(979-$S$2,'AFA Rates'!$R$5:$R$1004,0),""),""))</f>
        <v/>
      </c>
      <c r="U983">
        <f>IF(S983="S",T983,IF(AND(S983="A",T983&lt;&gt;""),IFERROR(MATCH(INDEX('AFA Rates'!$A$5:$A$1004,T983),Firms!$A$5:$A$1004,0),""),""))</f>
        <v/>
      </c>
    </row>
    <row r="984">
      <c r="A984" s="78">
        <f>IF($T984="","",IF($S984="S",IF(INDEX(Firms!$A$5:$A$1004,$T984)="","",INDEX(Firms!$A$5:$A$1004,$T984)),IF(INDEX('AFA Rates'!$A$5:$A$1004,$T984)="","",INDEX('AFA Rates'!$A$5:$A$1004,$T984))))</f>
        <v/>
      </c>
      <c r="B984" s="79">
        <f>IF(OR($T984="",$U984=""),IF($T984="","","Not on Firms tab"),INDEX(Firms!$B$5:$B$1004,$U984)&amp;"")</f>
        <v/>
      </c>
      <c r="C984" s="78">
        <f>IF($T984="","",IF($S984="S","Standard",INDEX('AFA Rates'!$B$5:$B$1004,$T984)&amp;""))</f>
        <v/>
      </c>
      <c r="D984" s="88">
        <f>IF($T984="","",IF($S984="S",IF(INDEX(Firms!$E$5:$E$1004,$T984)="","",INDEX(Firms!$E$5:$E$1004,$T984)),IF(INDEX('AFA Rates'!$C$5:$C$1004,$T984)="","",INDEX('AFA Rates'!$C$5:$C$1004,$T984))))</f>
        <v/>
      </c>
      <c r="E984" s="88">
        <f>IF($T984="","",IF($S984="S",IF(""="","",""),IF(INDEX('AFA Rates'!$D$5:$D$1004,$T984)="","",INDEX('AFA Rates'!$D$5:$D$1004,$T984))))</f>
        <v/>
      </c>
      <c r="F984" s="79">
        <f>IF($T984="","",IF($S984="S",IF(INDEX(Firms!$O$5:$O$1004,$T984)="","",INDEX(Firms!$O$5:$O$1004,$T984)),IF(INDEX('AFA Rates'!$O$5:$O$1004,$T984)="","",INDEX('AFA Rates'!$O$5:$O$1004,$T984))))</f>
        <v/>
      </c>
      <c r="G984" s="50">
        <f>IF($T984="","",IF($S984="S",IF(INDEX(Firms!$F$5:$F$1004,$T984)="","",INDEX(Firms!$F$5:$F$1004,$T984)),IF(INDEX('AFA Rates'!$E$5:$E$1004,$T984)="","",INDEX('AFA Rates'!$E$5:$E$1004,$T984))))</f>
        <v/>
      </c>
      <c r="H984" s="50">
        <f>IF($T984="","",IF($S984="S",IF(INDEX(Firms!$G$5:$G$1004,$T984)="","",INDEX(Firms!$G$5:$G$1004,$T984)),IF(INDEX('AFA Rates'!$F$5:$F$1004,$T984)="","",INDEX('AFA Rates'!$F$5:$F$1004,$T984))))</f>
        <v/>
      </c>
      <c r="I984" s="50">
        <f>IF($T984="","",IF($S984="S",IF(INDEX(Firms!$H$5:$H$1004,$T984)="","",INDEX(Firms!$H$5:$H$1004,$T984)),IF(INDEX('AFA Rates'!$G$5:$G$1004,$T984)="","",INDEX('AFA Rates'!$G$5:$G$1004,$T984))))</f>
        <v/>
      </c>
      <c r="J984" s="50">
        <f>IF($T984="","",IF($S984="S",IF(INDEX(Firms!$I$5:$I$1004,$T984)="","",INDEX(Firms!$I$5:$I$1004,$T984)),IF(INDEX('AFA Rates'!$H$5:$H$1004,$T984)="","",INDEX('AFA Rates'!$H$5:$H$1004,$T984))))</f>
        <v/>
      </c>
      <c r="K984" s="50">
        <f>IF($T984="","",IF($S984="S",IF(INDEX(Firms!$J$5:$J$1004,$T984)="","",INDEX(Firms!$J$5:$J$1004,$T984)),IF(INDEX('AFA Rates'!$I$5:$I$1004,$T984)="","",INDEX('AFA Rates'!$I$5:$I$1004,$T984))))</f>
        <v/>
      </c>
      <c r="L984" s="50">
        <f>IF($T984="","",IF($S984="S",IF(INDEX(Firms!$K$5:$K$1004,$T984)="","",INDEX(Firms!$K$5:$K$1004,$T984)),IF(INDEX('AFA Rates'!$J$5:$J$1004,$T984)="","",INDEX('AFA Rates'!$J$5:$J$1004,$T984))))</f>
        <v/>
      </c>
      <c r="M984" s="50">
        <f>IF($T984="","",IF($S984="S",IF(INDEX(Firms!$L$5:$L$1004,$T984)="","",INDEX(Firms!$L$5:$L$1004,$T984)),IF(INDEX('AFA Rates'!$K$5:$K$1004,$T984)="","",INDEX('AFA Rates'!$K$5:$K$1004,$T984))))</f>
        <v/>
      </c>
      <c r="N984" s="50">
        <f>IF($T984="","",IF($S984="S",IF(INDEX(Firms!$M$5:$M$1004,$T984)="","",INDEX(Firms!$M$5:$M$1004,$T984)),IF(INDEX('AFA Rates'!$L$5:$L$1004,$T984)="","",INDEX('AFA Rates'!$L$5:$L$1004,$T984))))</f>
        <v/>
      </c>
      <c r="O984" s="78">
        <f>IF(OR($T984="",$U984=""),"",IF(INDEX(Firms!$C$5:$C$1004,$U984)="","",INDEX(Firms!$C$5:$C$1004,$U984)))</f>
        <v/>
      </c>
      <c r="P984" s="79">
        <f>IF(OR($T984="",$U984=""),"",IF(INDEX(Firms!$N$5:$N$1004,$U984)="","",INDEX(Firms!$N$5:$N$1004,$U984)))</f>
        <v/>
      </c>
      <c r="Q984" s="78">
        <f>IF($T984="","",IF($S984="S",IF(INDEX(Firms!$T$5:$T$1004,$T984)="","",INDEX(Firms!$T$5:$T$1004,$T984)),IF(INDEX('AFA Rates'!$M$5:$M$1004,$T984)="","",INDEX('AFA Rates'!$M$5:$M$1004,$T984))))</f>
        <v/>
      </c>
      <c r="S984">
        <f>IF(980&lt;=$S$2,"S",IF(980&lt;=$S$2+$T$2,"A",""))</f>
        <v/>
      </c>
      <c r="T984">
        <f>IF(S984="S",MATCH(980,Firms!$W$5:$W$1004,0),IF(S984="A",IFERROR(MATCH(980-$S$2,'AFA Rates'!$R$5:$R$1004,0),""),""))</f>
        <v/>
      </c>
      <c r="U984">
        <f>IF(S984="S",T984,IF(AND(S984="A",T984&lt;&gt;""),IFERROR(MATCH(INDEX('AFA Rates'!$A$5:$A$1004,T984),Firms!$A$5:$A$1004,0),""),""))</f>
        <v/>
      </c>
    </row>
    <row r="985">
      <c r="A985" s="78">
        <f>IF($T985="","",IF($S985="S",IF(INDEX(Firms!$A$5:$A$1004,$T985)="","",INDEX(Firms!$A$5:$A$1004,$T985)),IF(INDEX('AFA Rates'!$A$5:$A$1004,$T985)="","",INDEX('AFA Rates'!$A$5:$A$1004,$T985))))</f>
        <v/>
      </c>
      <c r="B985" s="79">
        <f>IF(OR($T985="",$U985=""),IF($T985="","","Not on Firms tab"),INDEX(Firms!$B$5:$B$1004,$U985)&amp;"")</f>
        <v/>
      </c>
      <c r="C985" s="78">
        <f>IF($T985="","",IF($S985="S","Standard",INDEX('AFA Rates'!$B$5:$B$1004,$T985)&amp;""))</f>
        <v/>
      </c>
      <c r="D985" s="88">
        <f>IF($T985="","",IF($S985="S",IF(INDEX(Firms!$E$5:$E$1004,$T985)="","",INDEX(Firms!$E$5:$E$1004,$T985)),IF(INDEX('AFA Rates'!$C$5:$C$1004,$T985)="","",INDEX('AFA Rates'!$C$5:$C$1004,$T985))))</f>
        <v/>
      </c>
      <c r="E985" s="88">
        <f>IF($T985="","",IF($S985="S",IF(""="","",""),IF(INDEX('AFA Rates'!$D$5:$D$1004,$T985)="","",INDEX('AFA Rates'!$D$5:$D$1004,$T985))))</f>
        <v/>
      </c>
      <c r="F985" s="79">
        <f>IF($T985="","",IF($S985="S",IF(INDEX(Firms!$O$5:$O$1004,$T985)="","",INDEX(Firms!$O$5:$O$1004,$T985)),IF(INDEX('AFA Rates'!$O$5:$O$1004,$T985)="","",INDEX('AFA Rates'!$O$5:$O$1004,$T985))))</f>
        <v/>
      </c>
      <c r="G985" s="50">
        <f>IF($T985="","",IF($S985="S",IF(INDEX(Firms!$F$5:$F$1004,$T985)="","",INDEX(Firms!$F$5:$F$1004,$T985)),IF(INDEX('AFA Rates'!$E$5:$E$1004,$T985)="","",INDEX('AFA Rates'!$E$5:$E$1004,$T985))))</f>
        <v/>
      </c>
      <c r="H985" s="50">
        <f>IF($T985="","",IF($S985="S",IF(INDEX(Firms!$G$5:$G$1004,$T985)="","",INDEX(Firms!$G$5:$G$1004,$T985)),IF(INDEX('AFA Rates'!$F$5:$F$1004,$T985)="","",INDEX('AFA Rates'!$F$5:$F$1004,$T985))))</f>
        <v/>
      </c>
      <c r="I985" s="50">
        <f>IF($T985="","",IF($S985="S",IF(INDEX(Firms!$H$5:$H$1004,$T985)="","",INDEX(Firms!$H$5:$H$1004,$T985)),IF(INDEX('AFA Rates'!$G$5:$G$1004,$T985)="","",INDEX('AFA Rates'!$G$5:$G$1004,$T985))))</f>
        <v/>
      </c>
      <c r="J985" s="50">
        <f>IF($T985="","",IF($S985="S",IF(INDEX(Firms!$I$5:$I$1004,$T985)="","",INDEX(Firms!$I$5:$I$1004,$T985)),IF(INDEX('AFA Rates'!$H$5:$H$1004,$T985)="","",INDEX('AFA Rates'!$H$5:$H$1004,$T985))))</f>
        <v/>
      </c>
      <c r="K985" s="50">
        <f>IF($T985="","",IF($S985="S",IF(INDEX(Firms!$J$5:$J$1004,$T985)="","",INDEX(Firms!$J$5:$J$1004,$T985)),IF(INDEX('AFA Rates'!$I$5:$I$1004,$T985)="","",INDEX('AFA Rates'!$I$5:$I$1004,$T985))))</f>
        <v/>
      </c>
      <c r="L985" s="50">
        <f>IF($T985="","",IF($S985="S",IF(INDEX(Firms!$K$5:$K$1004,$T985)="","",INDEX(Firms!$K$5:$K$1004,$T985)),IF(INDEX('AFA Rates'!$J$5:$J$1004,$T985)="","",INDEX('AFA Rates'!$J$5:$J$1004,$T985))))</f>
        <v/>
      </c>
      <c r="M985" s="50">
        <f>IF($T985="","",IF($S985="S",IF(INDEX(Firms!$L$5:$L$1004,$T985)="","",INDEX(Firms!$L$5:$L$1004,$T985)),IF(INDEX('AFA Rates'!$K$5:$K$1004,$T985)="","",INDEX('AFA Rates'!$K$5:$K$1004,$T985))))</f>
        <v/>
      </c>
      <c r="N985" s="50">
        <f>IF($T985="","",IF($S985="S",IF(INDEX(Firms!$M$5:$M$1004,$T985)="","",INDEX(Firms!$M$5:$M$1004,$T985)),IF(INDEX('AFA Rates'!$L$5:$L$1004,$T985)="","",INDEX('AFA Rates'!$L$5:$L$1004,$T985))))</f>
        <v/>
      </c>
      <c r="O985" s="78">
        <f>IF(OR($T985="",$U985=""),"",IF(INDEX(Firms!$C$5:$C$1004,$U985)="","",INDEX(Firms!$C$5:$C$1004,$U985)))</f>
        <v/>
      </c>
      <c r="P985" s="79">
        <f>IF(OR($T985="",$U985=""),"",IF(INDEX(Firms!$N$5:$N$1004,$U985)="","",INDEX(Firms!$N$5:$N$1004,$U985)))</f>
        <v/>
      </c>
      <c r="Q985" s="78">
        <f>IF($T985="","",IF($S985="S",IF(INDEX(Firms!$T$5:$T$1004,$T985)="","",INDEX(Firms!$T$5:$T$1004,$T985)),IF(INDEX('AFA Rates'!$M$5:$M$1004,$T985)="","",INDEX('AFA Rates'!$M$5:$M$1004,$T985))))</f>
        <v/>
      </c>
      <c r="S985">
        <f>IF(981&lt;=$S$2,"S",IF(981&lt;=$S$2+$T$2,"A",""))</f>
        <v/>
      </c>
      <c r="T985">
        <f>IF(S985="S",MATCH(981,Firms!$W$5:$W$1004,0),IF(S985="A",IFERROR(MATCH(981-$S$2,'AFA Rates'!$R$5:$R$1004,0),""),""))</f>
        <v/>
      </c>
      <c r="U985">
        <f>IF(S985="S",T985,IF(AND(S985="A",T985&lt;&gt;""),IFERROR(MATCH(INDEX('AFA Rates'!$A$5:$A$1004,T985),Firms!$A$5:$A$1004,0),""),""))</f>
        <v/>
      </c>
    </row>
    <row r="986">
      <c r="A986" s="78">
        <f>IF($T986="","",IF($S986="S",IF(INDEX(Firms!$A$5:$A$1004,$T986)="","",INDEX(Firms!$A$5:$A$1004,$T986)),IF(INDEX('AFA Rates'!$A$5:$A$1004,$T986)="","",INDEX('AFA Rates'!$A$5:$A$1004,$T986))))</f>
        <v/>
      </c>
      <c r="B986" s="79">
        <f>IF(OR($T986="",$U986=""),IF($T986="","","Not on Firms tab"),INDEX(Firms!$B$5:$B$1004,$U986)&amp;"")</f>
        <v/>
      </c>
      <c r="C986" s="78">
        <f>IF($T986="","",IF($S986="S","Standard",INDEX('AFA Rates'!$B$5:$B$1004,$T986)&amp;""))</f>
        <v/>
      </c>
      <c r="D986" s="88">
        <f>IF($T986="","",IF($S986="S",IF(INDEX(Firms!$E$5:$E$1004,$T986)="","",INDEX(Firms!$E$5:$E$1004,$T986)),IF(INDEX('AFA Rates'!$C$5:$C$1004,$T986)="","",INDEX('AFA Rates'!$C$5:$C$1004,$T986))))</f>
        <v/>
      </c>
      <c r="E986" s="88">
        <f>IF($T986="","",IF($S986="S",IF(""="","",""),IF(INDEX('AFA Rates'!$D$5:$D$1004,$T986)="","",INDEX('AFA Rates'!$D$5:$D$1004,$T986))))</f>
        <v/>
      </c>
      <c r="F986" s="79">
        <f>IF($T986="","",IF($S986="S",IF(INDEX(Firms!$O$5:$O$1004,$T986)="","",INDEX(Firms!$O$5:$O$1004,$T986)),IF(INDEX('AFA Rates'!$O$5:$O$1004,$T986)="","",INDEX('AFA Rates'!$O$5:$O$1004,$T986))))</f>
        <v/>
      </c>
      <c r="G986" s="50">
        <f>IF($T986="","",IF($S986="S",IF(INDEX(Firms!$F$5:$F$1004,$T986)="","",INDEX(Firms!$F$5:$F$1004,$T986)),IF(INDEX('AFA Rates'!$E$5:$E$1004,$T986)="","",INDEX('AFA Rates'!$E$5:$E$1004,$T986))))</f>
        <v/>
      </c>
      <c r="H986" s="50">
        <f>IF($T986="","",IF($S986="S",IF(INDEX(Firms!$G$5:$G$1004,$T986)="","",INDEX(Firms!$G$5:$G$1004,$T986)),IF(INDEX('AFA Rates'!$F$5:$F$1004,$T986)="","",INDEX('AFA Rates'!$F$5:$F$1004,$T986))))</f>
        <v/>
      </c>
      <c r="I986" s="50">
        <f>IF($T986="","",IF($S986="S",IF(INDEX(Firms!$H$5:$H$1004,$T986)="","",INDEX(Firms!$H$5:$H$1004,$T986)),IF(INDEX('AFA Rates'!$G$5:$G$1004,$T986)="","",INDEX('AFA Rates'!$G$5:$G$1004,$T986))))</f>
        <v/>
      </c>
      <c r="J986" s="50">
        <f>IF($T986="","",IF($S986="S",IF(INDEX(Firms!$I$5:$I$1004,$T986)="","",INDEX(Firms!$I$5:$I$1004,$T986)),IF(INDEX('AFA Rates'!$H$5:$H$1004,$T986)="","",INDEX('AFA Rates'!$H$5:$H$1004,$T986))))</f>
        <v/>
      </c>
      <c r="K986" s="50">
        <f>IF($T986="","",IF($S986="S",IF(INDEX(Firms!$J$5:$J$1004,$T986)="","",INDEX(Firms!$J$5:$J$1004,$T986)),IF(INDEX('AFA Rates'!$I$5:$I$1004,$T986)="","",INDEX('AFA Rates'!$I$5:$I$1004,$T986))))</f>
        <v/>
      </c>
      <c r="L986" s="50">
        <f>IF($T986="","",IF($S986="S",IF(INDEX(Firms!$K$5:$K$1004,$T986)="","",INDEX(Firms!$K$5:$K$1004,$T986)),IF(INDEX('AFA Rates'!$J$5:$J$1004,$T986)="","",INDEX('AFA Rates'!$J$5:$J$1004,$T986))))</f>
        <v/>
      </c>
      <c r="M986" s="50">
        <f>IF($T986="","",IF($S986="S",IF(INDEX(Firms!$L$5:$L$1004,$T986)="","",INDEX(Firms!$L$5:$L$1004,$T986)),IF(INDEX('AFA Rates'!$K$5:$K$1004,$T986)="","",INDEX('AFA Rates'!$K$5:$K$1004,$T986))))</f>
        <v/>
      </c>
      <c r="N986" s="50">
        <f>IF($T986="","",IF($S986="S",IF(INDEX(Firms!$M$5:$M$1004,$T986)="","",INDEX(Firms!$M$5:$M$1004,$T986)),IF(INDEX('AFA Rates'!$L$5:$L$1004,$T986)="","",INDEX('AFA Rates'!$L$5:$L$1004,$T986))))</f>
        <v/>
      </c>
      <c r="O986" s="78">
        <f>IF(OR($T986="",$U986=""),"",IF(INDEX(Firms!$C$5:$C$1004,$U986)="","",INDEX(Firms!$C$5:$C$1004,$U986)))</f>
        <v/>
      </c>
      <c r="P986" s="79">
        <f>IF(OR($T986="",$U986=""),"",IF(INDEX(Firms!$N$5:$N$1004,$U986)="","",INDEX(Firms!$N$5:$N$1004,$U986)))</f>
        <v/>
      </c>
      <c r="Q986" s="78">
        <f>IF($T986="","",IF($S986="S",IF(INDEX(Firms!$T$5:$T$1004,$T986)="","",INDEX(Firms!$T$5:$T$1004,$T986)),IF(INDEX('AFA Rates'!$M$5:$M$1004,$T986)="","",INDEX('AFA Rates'!$M$5:$M$1004,$T986))))</f>
        <v/>
      </c>
      <c r="S986">
        <f>IF(982&lt;=$S$2,"S",IF(982&lt;=$S$2+$T$2,"A",""))</f>
        <v/>
      </c>
      <c r="T986">
        <f>IF(S986="S",MATCH(982,Firms!$W$5:$W$1004,0),IF(S986="A",IFERROR(MATCH(982-$S$2,'AFA Rates'!$R$5:$R$1004,0),""),""))</f>
        <v/>
      </c>
      <c r="U986">
        <f>IF(S986="S",T986,IF(AND(S986="A",T986&lt;&gt;""),IFERROR(MATCH(INDEX('AFA Rates'!$A$5:$A$1004,T986),Firms!$A$5:$A$1004,0),""),""))</f>
        <v/>
      </c>
    </row>
    <row r="987">
      <c r="A987" s="78">
        <f>IF($T987="","",IF($S987="S",IF(INDEX(Firms!$A$5:$A$1004,$T987)="","",INDEX(Firms!$A$5:$A$1004,$T987)),IF(INDEX('AFA Rates'!$A$5:$A$1004,$T987)="","",INDEX('AFA Rates'!$A$5:$A$1004,$T987))))</f>
        <v/>
      </c>
      <c r="B987" s="79">
        <f>IF(OR($T987="",$U987=""),IF($T987="","","Not on Firms tab"),INDEX(Firms!$B$5:$B$1004,$U987)&amp;"")</f>
        <v/>
      </c>
      <c r="C987" s="78">
        <f>IF($T987="","",IF($S987="S","Standard",INDEX('AFA Rates'!$B$5:$B$1004,$T987)&amp;""))</f>
        <v/>
      </c>
      <c r="D987" s="88">
        <f>IF($T987="","",IF($S987="S",IF(INDEX(Firms!$E$5:$E$1004,$T987)="","",INDEX(Firms!$E$5:$E$1004,$T987)),IF(INDEX('AFA Rates'!$C$5:$C$1004,$T987)="","",INDEX('AFA Rates'!$C$5:$C$1004,$T987))))</f>
        <v/>
      </c>
      <c r="E987" s="88">
        <f>IF($T987="","",IF($S987="S",IF(""="","",""),IF(INDEX('AFA Rates'!$D$5:$D$1004,$T987)="","",INDEX('AFA Rates'!$D$5:$D$1004,$T987))))</f>
        <v/>
      </c>
      <c r="F987" s="79">
        <f>IF($T987="","",IF($S987="S",IF(INDEX(Firms!$O$5:$O$1004,$T987)="","",INDEX(Firms!$O$5:$O$1004,$T987)),IF(INDEX('AFA Rates'!$O$5:$O$1004,$T987)="","",INDEX('AFA Rates'!$O$5:$O$1004,$T987))))</f>
        <v/>
      </c>
      <c r="G987" s="50">
        <f>IF($T987="","",IF($S987="S",IF(INDEX(Firms!$F$5:$F$1004,$T987)="","",INDEX(Firms!$F$5:$F$1004,$T987)),IF(INDEX('AFA Rates'!$E$5:$E$1004,$T987)="","",INDEX('AFA Rates'!$E$5:$E$1004,$T987))))</f>
        <v/>
      </c>
      <c r="H987" s="50">
        <f>IF($T987="","",IF($S987="S",IF(INDEX(Firms!$G$5:$G$1004,$T987)="","",INDEX(Firms!$G$5:$G$1004,$T987)),IF(INDEX('AFA Rates'!$F$5:$F$1004,$T987)="","",INDEX('AFA Rates'!$F$5:$F$1004,$T987))))</f>
        <v/>
      </c>
      <c r="I987" s="50">
        <f>IF($T987="","",IF($S987="S",IF(INDEX(Firms!$H$5:$H$1004,$T987)="","",INDEX(Firms!$H$5:$H$1004,$T987)),IF(INDEX('AFA Rates'!$G$5:$G$1004,$T987)="","",INDEX('AFA Rates'!$G$5:$G$1004,$T987))))</f>
        <v/>
      </c>
      <c r="J987" s="50">
        <f>IF($T987="","",IF($S987="S",IF(INDEX(Firms!$I$5:$I$1004,$T987)="","",INDEX(Firms!$I$5:$I$1004,$T987)),IF(INDEX('AFA Rates'!$H$5:$H$1004,$T987)="","",INDEX('AFA Rates'!$H$5:$H$1004,$T987))))</f>
        <v/>
      </c>
      <c r="K987" s="50">
        <f>IF($T987="","",IF($S987="S",IF(INDEX(Firms!$J$5:$J$1004,$T987)="","",INDEX(Firms!$J$5:$J$1004,$T987)),IF(INDEX('AFA Rates'!$I$5:$I$1004,$T987)="","",INDEX('AFA Rates'!$I$5:$I$1004,$T987))))</f>
        <v/>
      </c>
      <c r="L987" s="50">
        <f>IF($T987="","",IF($S987="S",IF(INDEX(Firms!$K$5:$K$1004,$T987)="","",INDEX(Firms!$K$5:$K$1004,$T987)),IF(INDEX('AFA Rates'!$J$5:$J$1004,$T987)="","",INDEX('AFA Rates'!$J$5:$J$1004,$T987))))</f>
        <v/>
      </c>
      <c r="M987" s="50">
        <f>IF($T987="","",IF($S987="S",IF(INDEX(Firms!$L$5:$L$1004,$T987)="","",INDEX(Firms!$L$5:$L$1004,$T987)),IF(INDEX('AFA Rates'!$K$5:$K$1004,$T987)="","",INDEX('AFA Rates'!$K$5:$K$1004,$T987))))</f>
        <v/>
      </c>
      <c r="N987" s="50">
        <f>IF($T987="","",IF($S987="S",IF(INDEX(Firms!$M$5:$M$1004,$T987)="","",INDEX(Firms!$M$5:$M$1004,$T987)),IF(INDEX('AFA Rates'!$L$5:$L$1004,$T987)="","",INDEX('AFA Rates'!$L$5:$L$1004,$T987))))</f>
        <v/>
      </c>
      <c r="O987" s="78">
        <f>IF(OR($T987="",$U987=""),"",IF(INDEX(Firms!$C$5:$C$1004,$U987)="","",INDEX(Firms!$C$5:$C$1004,$U987)))</f>
        <v/>
      </c>
      <c r="P987" s="79">
        <f>IF(OR($T987="",$U987=""),"",IF(INDEX(Firms!$N$5:$N$1004,$U987)="","",INDEX(Firms!$N$5:$N$1004,$U987)))</f>
        <v/>
      </c>
      <c r="Q987" s="78">
        <f>IF($T987="","",IF($S987="S",IF(INDEX(Firms!$T$5:$T$1004,$T987)="","",INDEX(Firms!$T$5:$T$1004,$T987)),IF(INDEX('AFA Rates'!$M$5:$M$1004,$T987)="","",INDEX('AFA Rates'!$M$5:$M$1004,$T987))))</f>
        <v/>
      </c>
      <c r="S987">
        <f>IF(983&lt;=$S$2,"S",IF(983&lt;=$S$2+$T$2,"A",""))</f>
        <v/>
      </c>
      <c r="T987">
        <f>IF(S987="S",MATCH(983,Firms!$W$5:$W$1004,0),IF(S987="A",IFERROR(MATCH(983-$S$2,'AFA Rates'!$R$5:$R$1004,0),""),""))</f>
        <v/>
      </c>
      <c r="U987">
        <f>IF(S987="S",T987,IF(AND(S987="A",T987&lt;&gt;""),IFERROR(MATCH(INDEX('AFA Rates'!$A$5:$A$1004,T987),Firms!$A$5:$A$1004,0),""),""))</f>
        <v/>
      </c>
    </row>
    <row r="988">
      <c r="A988" s="78">
        <f>IF($T988="","",IF($S988="S",IF(INDEX(Firms!$A$5:$A$1004,$T988)="","",INDEX(Firms!$A$5:$A$1004,$T988)),IF(INDEX('AFA Rates'!$A$5:$A$1004,$T988)="","",INDEX('AFA Rates'!$A$5:$A$1004,$T988))))</f>
        <v/>
      </c>
      <c r="B988" s="79">
        <f>IF(OR($T988="",$U988=""),IF($T988="","","Not on Firms tab"),INDEX(Firms!$B$5:$B$1004,$U988)&amp;"")</f>
        <v/>
      </c>
      <c r="C988" s="78">
        <f>IF($T988="","",IF($S988="S","Standard",INDEX('AFA Rates'!$B$5:$B$1004,$T988)&amp;""))</f>
        <v/>
      </c>
      <c r="D988" s="88">
        <f>IF($T988="","",IF($S988="S",IF(INDEX(Firms!$E$5:$E$1004,$T988)="","",INDEX(Firms!$E$5:$E$1004,$T988)),IF(INDEX('AFA Rates'!$C$5:$C$1004,$T988)="","",INDEX('AFA Rates'!$C$5:$C$1004,$T988))))</f>
        <v/>
      </c>
      <c r="E988" s="88">
        <f>IF($T988="","",IF($S988="S",IF(""="","",""),IF(INDEX('AFA Rates'!$D$5:$D$1004,$T988)="","",INDEX('AFA Rates'!$D$5:$D$1004,$T988))))</f>
        <v/>
      </c>
      <c r="F988" s="79">
        <f>IF($T988="","",IF($S988="S",IF(INDEX(Firms!$O$5:$O$1004,$T988)="","",INDEX(Firms!$O$5:$O$1004,$T988)),IF(INDEX('AFA Rates'!$O$5:$O$1004,$T988)="","",INDEX('AFA Rates'!$O$5:$O$1004,$T988))))</f>
        <v/>
      </c>
      <c r="G988" s="50">
        <f>IF($T988="","",IF($S988="S",IF(INDEX(Firms!$F$5:$F$1004,$T988)="","",INDEX(Firms!$F$5:$F$1004,$T988)),IF(INDEX('AFA Rates'!$E$5:$E$1004,$T988)="","",INDEX('AFA Rates'!$E$5:$E$1004,$T988))))</f>
        <v/>
      </c>
      <c r="H988" s="50">
        <f>IF($T988="","",IF($S988="S",IF(INDEX(Firms!$G$5:$G$1004,$T988)="","",INDEX(Firms!$G$5:$G$1004,$T988)),IF(INDEX('AFA Rates'!$F$5:$F$1004,$T988)="","",INDEX('AFA Rates'!$F$5:$F$1004,$T988))))</f>
        <v/>
      </c>
      <c r="I988" s="50">
        <f>IF($T988="","",IF($S988="S",IF(INDEX(Firms!$H$5:$H$1004,$T988)="","",INDEX(Firms!$H$5:$H$1004,$T988)),IF(INDEX('AFA Rates'!$G$5:$G$1004,$T988)="","",INDEX('AFA Rates'!$G$5:$G$1004,$T988))))</f>
        <v/>
      </c>
      <c r="J988" s="50">
        <f>IF($T988="","",IF($S988="S",IF(INDEX(Firms!$I$5:$I$1004,$T988)="","",INDEX(Firms!$I$5:$I$1004,$T988)),IF(INDEX('AFA Rates'!$H$5:$H$1004,$T988)="","",INDEX('AFA Rates'!$H$5:$H$1004,$T988))))</f>
        <v/>
      </c>
      <c r="K988" s="50">
        <f>IF($T988="","",IF($S988="S",IF(INDEX(Firms!$J$5:$J$1004,$T988)="","",INDEX(Firms!$J$5:$J$1004,$T988)),IF(INDEX('AFA Rates'!$I$5:$I$1004,$T988)="","",INDEX('AFA Rates'!$I$5:$I$1004,$T988))))</f>
        <v/>
      </c>
      <c r="L988" s="50">
        <f>IF($T988="","",IF($S988="S",IF(INDEX(Firms!$K$5:$K$1004,$T988)="","",INDEX(Firms!$K$5:$K$1004,$T988)),IF(INDEX('AFA Rates'!$J$5:$J$1004,$T988)="","",INDEX('AFA Rates'!$J$5:$J$1004,$T988))))</f>
        <v/>
      </c>
      <c r="M988" s="50">
        <f>IF($T988="","",IF($S988="S",IF(INDEX(Firms!$L$5:$L$1004,$T988)="","",INDEX(Firms!$L$5:$L$1004,$T988)),IF(INDEX('AFA Rates'!$K$5:$K$1004,$T988)="","",INDEX('AFA Rates'!$K$5:$K$1004,$T988))))</f>
        <v/>
      </c>
      <c r="N988" s="50">
        <f>IF($T988="","",IF($S988="S",IF(INDEX(Firms!$M$5:$M$1004,$T988)="","",INDEX(Firms!$M$5:$M$1004,$T988)),IF(INDEX('AFA Rates'!$L$5:$L$1004,$T988)="","",INDEX('AFA Rates'!$L$5:$L$1004,$T988))))</f>
        <v/>
      </c>
      <c r="O988" s="78">
        <f>IF(OR($T988="",$U988=""),"",IF(INDEX(Firms!$C$5:$C$1004,$U988)="","",INDEX(Firms!$C$5:$C$1004,$U988)))</f>
        <v/>
      </c>
      <c r="P988" s="79">
        <f>IF(OR($T988="",$U988=""),"",IF(INDEX(Firms!$N$5:$N$1004,$U988)="","",INDEX(Firms!$N$5:$N$1004,$U988)))</f>
        <v/>
      </c>
      <c r="Q988" s="78">
        <f>IF($T988="","",IF($S988="S",IF(INDEX(Firms!$T$5:$T$1004,$T988)="","",INDEX(Firms!$T$5:$T$1004,$T988)),IF(INDEX('AFA Rates'!$M$5:$M$1004,$T988)="","",INDEX('AFA Rates'!$M$5:$M$1004,$T988))))</f>
        <v/>
      </c>
      <c r="S988">
        <f>IF(984&lt;=$S$2,"S",IF(984&lt;=$S$2+$T$2,"A",""))</f>
        <v/>
      </c>
      <c r="T988">
        <f>IF(S988="S",MATCH(984,Firms!$W$5:$W$1004,0),IF(S988="A",IFERROR(MATCH(984-$S$2,'AFA Rates'!$R$5:$R$1004,0),""),""))</f>
        <v/>
      </c>
      <c r="U988">
        <f>IF(S988="S",T988,IF(AND(S988="A",T988&lt;&gt;""),IFERROR(MATCH(INDEX('AFA Rates'!$A$5:$A$1004,T988),Firms!$A$5:$A$1004,0),""),""))</f>
        <v/>
      </c>
    </row>
    <row r="989">
      <c r="A989" s="78">
        <f>IF($T989="","",IF($S989="S",IF(INDEX(Firms!$A$5:$A$1004,$T989)="","",INDEX(Firms!$A$5:$A$1004,$T989)),IF(INDEX('AFA Rates'!$A$5:$A$1004,$T989)="","",INDEX('AFA Rates'!$A$5:$A$1004,$T989))))</f>
        <v/>
      </c>
      <c r="B989" s="79">
        <f>IF(OR($T989="",$U989=""),IF($T989="","","Not on Firms tab"),INDEX(Firms!$B$5:$B$1004,$U989)&amp;"")</f>
        <v/>
      </c>
      <c r="C989" s="78">
        <f>IF($T989="","",IF($S989="S","Standard",INDEX('AFA Rates'!$B$5:$B$1004,$T989)&amp;""))</f>
        <v/>
      </c>
      <c r="D989" s="88">
        <f>IF($T989="","",IF($S989="S",IF(INDEX(Firms!$E$5:$E$1004,$T989)="","",INDEX(Firms!$E$5:$E$1004,$T989)),IF(INDEX('AFA Rates'!$C$5:$C$1004,$T989)="","",INDEX('AFA Rates'!$C$5:$C$1004,$T989))))</f>
        <v/>
      </c>
      <c r="E989" s="88">
        <f>IF($T989="","",IF($S989="S",IF(""="","",""),IF(INDEX('AFA Rates'!$D$5:$D$1004,$T989)="","",INDEX('AFA Rates'!$D$5:$D$1004,$T989))))</f>
        <v/>
      </c>
      <c r="F989" s="79">
        <f>IF($T989="","",IF($S989="S",IF(INDEX(Firms!$O$5:$O$1004,$T989)="","",INDEX(Firms!$O$5:$O$1004,$T989)),IF(INDEX('AFA Rates'!$O$5:$O$1004,$T989)="","",INDEX('AFA Rates'!$O$5:$O$1004,$T989))))</f>
        <v/>
      </c>
      <c r="G989" s="50">
        <f>IF($T989="","",IF($S989="S",IF(INDEX(Firms!$F$5:$F$1004,$T989)="","",INDEX(Firms!$F$5:$F$1004,$T989)),IF(INDEX('AFA Rates'!$E$5:$E$1004,$T989)="","",INDEX('AFA Rates'!$E$5:$E$1004,$T989))))</f>
        <v/>
      </c>
      <c r="H989" s="50">
        <f>IF($T989="","",IF($S989="S",IF(INDEX(Firms!$G$5:$G$1004,$T989)="","",INDEX(Firms!$G$5:$G$1004,$T989)),IF(INDEX('AFA Rates'!$F$5:$F$1004,$T989)="","",INDEX('AFA Rates'!$F$5:$F$1004,$T989))))</f>
        <v/>
      </c>
      <c r="I989" s="50">
        <f>IF($T989="","",IF($S989="S",IF(INDEX(Firms!$H$5:$H$1004,$T989)="","",INDEX(Firms!$H$5:$H$1004,$T989)),IF(INDEX('AFA Rates'!$G$5:$G$1004,$T989)="","",INDEX('AFA Rates'!$G$5:$G$1004,$T989))))</f>
        <v/>
      </c>
      <c r="J989" s="50">
        <f>IF($T989="","",IF($S989="S",IF(INDEX(Firms!$I$5:$I$1004,$T989)="","",INDEX(Firms!$I$5:$I$1004,$T989)),IF(INDEX('AFA Rates'!$H$5:$H$1004,$T989)="","",INDEX('AFA Rates'!$H$5:$H$1004,$T989))))</f>
        <v/>
      </c>
      <c r="K989" s="50">
        <f>IF($T989="","",IF($S989="S",IF(INDEX(Firms!$J$5:$J$1004,$T989)="","",INDEX(Firms!$J$5:$J$1004,$T989)),IF(INDEX('AFA Rates'!$I$5:$I$1004,$T989)="","",INDEX('AFA Rates'!$I$5:$I$1004,$T989))))</f>
        <v/>
      </c>
      <c r="L989" s="50">
        <f>IF($T989="","",IF($S989="S",IF(INDEX(Firms!$K$5:$K$1004,$T989)="","",INDEX(Firms!$K$5:$K$1004,$T989)),IF(INDEX('AFA Rates'!$J$5:$J$1004,$T989)="","",INDEX('AFA Rates'!$J$5:$J$1004,$T989))))</f>
        <v/>
      </c>
      <c r="M989" s="50">
        <f>IF($T989="","",IF($S989="S",IF(INDEX(Firms!$L$5:$L$1004,$T989)="","",INDEX(Firms!$L$5:$L$1004,$T989)),IF(INDEX('AFA Rates'!$K$5:$K$1004,$T989)="","",INDEX('AFA Rates'!$K$5:$K$1004,$T989))))</f>
        <v/>
      </c>
      <c r="N989" s="50">
        <f>IF($T989="","",IF($S989="S",IF(INDEX(Firms!$M$5:$M$1004,$T989)="","",INDEX(Firms!$M$5:$M$1004,$T989)),IF(INDEX('AFA Rates'!$L$5:$L$1004,$T989)="","",INDEX('AFA Rates'!$L$5:$L$1004,$T989))))</f>
        <v/>
      </c>
      <c r="O989" s="78">
        <f>IF(OR($T989="",$U989=""),"",IF(INDEX(Firms!$C$5:$C$1004,$U989)="","",INDEX(Firms!$C$5:$C$1004,$U989)))</f>
        <v/>
      </c>
      <c r="P989" s="79">
        <f>IF(OR($T989="",$U989=""),"",IF(INDEX(Firms!$N$5:$N$1004,$U989)="","",INDEX(Firms!$N$5:$N$1004,$U989)))</f>
        <v/>
      </c>
      <c r="Q989" s="78">
        <f>IF($T989="","",IF($S989="S",IF(INDEX(Firms!$T$5:$T$1004,$T989)="","",INDEX(Firms!$T$5:$T$1004,$T989)),IF(INDEX('AFA Rates'!$M$5:$M$1004,$T989)="","",INDEX('AFA Rates'!$M$5:$M$1004,$T989))))</f>
        <v/>
      </c>
      <c r="S989">
        <f>IF(985&lt;=$S$2,"S",IF(985&lt;=$S$2+$T$2,"A",""))</f>
        <v/>
      </c>
      <c r="T989">
        <f>IF(S989="S",MATCH(985,Firms!$W$5:$W$1004,0),IF(S989="A",IFERROR(MATCH(985-$S$2,'AFA Rates'!$R$5:$R$1004,0),""),""))</f>
        <v/>
      </c>
      <c r="U989">
        <f>IF(S989="S",T989,IF(AND(S989="A",T989&lt;&gt;""),IFERROR(MATCH(INDEX('AFA Rates'!$A$5:$A$1004,T989),Firms!$A$5:$A$1004,0),""),""))</f>
        <v/>
      </c>
    </row>
    <row r="990">
      <c r="A990" s="78">
        <f>IF($T990="","",IF($S990="S",IF(INDEX(Firms!$A$5:$A$1004,$T990)="","",INDEX(Firms!$A$5:$A$1004,$T990)),IF(INDEX('AFA Rates'!$A$5:$A$1004,$T990)="","",INDEX('AFA Rates'!$A$5:$A$1004,$T990))))</f>
        <v/>
      </c>
      <c r="B990" s="79">
        <f>IF(OR($T990="",$U990=""),IF($T990="","","Not on Firms tab"),INDEX(Firms!$B$5:$B$1004,$U990)&amp;"")</f>
        <v/>
      </c>
      <c r="C990" s="78">
        <f>IF($T990="","",IF($S990="S","Standard",INDEX('AFA Rates'!$B$5:$B$1004,$T990)&amp;""))</f>
        <v/>
      </c>
      <c r="D990" s="88">
        <f>IF($T990="","",IF($S990="S",IF(INDEX(Firms!$E$5:$E$1004,$T990)="","",INDEX(Firms!$E$5:$E$1004,$T990)),IF(INDEX('AFA Rates'!$C$5:$C$1004,$T990)="","",INDEX('AFA Rates'!$C$5:$C$1004,$T990))))</f>
        <v/>
      </c>
      <c r="E990" s="88">
        <f>IF($T990="","",IF($S990="S",IF(""="","",""),IF(INDEX('AFA Rates'!$D$5:$D$1004,$T990)="","",INDEX('AFA Rates'!$D$5:$D$1004,$T990))))</f>
        <v/>
      </c>
      <c r="F990" s="79">
        <f>IF($T990="","",IF($S990="S",IF(INDEX(Firms!$O$5:$O$1004,$T990)="","",INDEX(Firms!$O$5:$O$1004,$T990)),IF(INDEX('AFA Rates'!$O$5:$O$1004,$T990)="","",INDEX('AFA Rates'!$O$5:$O$1004,$T990))))</f>
        <v/>
      </c>
      <c r="G990" s="50">
        <f>IF($T990="","",IF($S990="S",IF(INDEX(Firms!$F$5:$F$1004,$T990)="","",INDEX(Firms!$F$5:$F$1004,$T990)),IF(INDEX('AFA Rates'!$E$5:$E$1004,$T990)="","",INDEX('AFA Rates'!$E$5:$E$1004,$T990))))</f>
        <v/>
      </c>
      <c r="H990" s="50">
        <f>IF($T990="","",IF($S990="S",IF(INDEX(Firms!$G$5:$G$1004,$T990)="","",INDEX(Firms!$G$5:$G$1004,$T990)),IF(INDEX('AFA Rates'!$F$5:$F$1004,$T990)="","",INDEX('AFA Rates'!$F$5:$F$1004,$T990))))</f>
        <v/>
      </c>
      <c r="I990" s="50">
        <f>IF($T990="","",IF($S990="S",IF(INDEX(Firms!$H$5:$H$1004,$T990)="","",INDEX(Firms!$H$5:$H$1004,$T990)),IF(INDEX('AFA Rates'!$G$5:$G$1004,$T990)="","",INDEX('AFA Rates'!$G$5:$G$1004,$T990))))</f>
        <v/>
      </c>
      <c r="J990" s="50">
        <f>IF($T990="","",IF($S990="S",IF(INDEX(Firms!$I$5:$I$1004,$T990)="","",INDEX(Firms!$I$5:$I$1004,$T990)),IF(INDEX('AFA Rates'!$H$5:$H$1004,$T990)="","",INDEX('AFA Rates'!$H$5:$H$1004,$T990))))</f>
        <v/>
      </c>
      <c r="K990" s="50">
        <f>IF($T990="","",IF($S990="S",IF(INDEX(Firms!$J$5:$J$1004,$T990)="","",INDEX(Firms!$J$5:$J$1004,$T990)),IF(INDEX('AFA Rates'!$I$5:$I$1004,$T990)="","",INDEX('AFA Rates'!$I$5:$I$1004,$T990))))</f>
        <v/>
      </c>
      <c r="L990" s="50">
        <f>IF($T990="","",IF($S990="S",IF(INDEX(Firms!$K$5:$K$1004,$T990)="","",INDEX(Firms!$K$5:$K$1004,$T990)),IF(INDEX('AFA Rates'!$J$5:$J$1004,$T990)="","",INDEX('AFA Rates'!$J$5:$J$1004,$T990))))</f>
        <v/>
      </c>
      <c r="M990" s="50">
        <f>IF($T990="","",IF($S990="S",IF(INDEX(Firms!$L$5:$L$1004,$T990)="","",INDEX(Firms!$L$5:$L$1004,$T990)),IF(INDEX('AFA Rates'!$K$5:$K$1004,$T990)="","",INDEX('AFA Rates'!$K$5:$K$1004,$T990))))</f>
        <v/>
      </c>
      <c r="N990" s="50">
        <f>IF($T990="","",IF($S990="S",IF(INDEX(Firms!$M$5:$M$1004,$T990)="","",INDEX(Firms!$M$5:$M$1004,$T990)),IF(INDEX('AFA Rates'!$L$5:$L$1004,$T990)="","",INDEX('AFA Rates'!$L$5:$L$1004,$T990))))</f>
        <v/>
      </c>
      <c r="O990" s="78">
        <f>IF(OR($T990="",$U990=""),"",IF(INDEX(Firms!$C$5:$C$1004,$U990)="","",INDEX(Firms!$C$5:$C$1004,$U990)))</f>
        <v/>
      </c>
      <c r="P990" s="79">
        <f>IF(OR($T990="",$U990=""),"",IF(INDEX(Firms!$N$5:$N$1004,$U990)="","",INDEX(Firms!$N$5:$N$1004,$U990)))</f>
        <v/>
      </c>
      <c r="Q990" s="78">
        <f>IF($T990="","",IF($S990="S",IF(INDEX(Firms!$T$5:$T$1004,$T990)="","",INDEX(Firms!$T$5:$T$1004,$T990)),IF(INDEX('AFA Rates'!$M$5:$M$1004,$T990)="","",INDEX('AFA Rates'!$M$5:$M$1004,$T990))))</f>
        <v/>
      </c>
      <c r="S990">
        <f>IF(986&lt;=$S$2,"S",IF(986&lt;=$S$2+$T$2,"A",""))</f>
        <v/>
      </c>
      <c r="T990">
        <f>IF(S990="S",MATCH(986,Firms!$W$5:$W$1004,0),IF(S990="A",IFERROR(MATCH(986-$S$2,'AFA Rates'!$R$5:$R$1004,0),""),""))</f>
        <v/>
      </c>
      <c r="U990">
        <f>IF(S990="S",T990,IF(AND(S990="A",T990&lt;&gt;""),IFERROR(MATCH(INDEX('AFA Rates'!$A$5:$A$1004,T990),Firms!$A$5:$A$1004,0),""),""))</f>
        <v/>
      </c>
    </row>
    <row r="991">
      <c r="A991" s="78">
        <f>IF($T991="","",IF($S991="S",IF(INDEX(Firms!$A$5:$A$1004,$T991)="","",INDEX(Firms!$A$5:$A$1004,$T991)),IF(INDEX('AFA Rates'!$A$5:$A$1004,$T991)="","",INDEX('AFA Rates'!$A$5:$A$1004,$T991))))</f>
        <v/>
      </c>
      <c r="B991" s="79">
        <f>IF(OR($T991="",$U991=""),IF($T991="","","Not on Firms tab"),INDEX(Firms!$B$5:$B$1004,$U991)&amp;"")</f>
        <v/>
      </c>
      <c r="C991" s="78">
        <f>IF($T991="","",IF($S991="S","Standard",INDEX('AFA Rates'!$B$5:$B$1004,$T991)&amp;""))</f>
        <v/>
      </c>
      <c r="D991" s="88">
        <f>IF($T991="","",IF($S991="S",IF(INDEX(Firms!$E$5:$E$1004,$T991)="","",INDEX(Firms!$E$5:$E$1004,$T991)),IF(INDEX('AFA Rates'!$C$5:$C$1004,$T991)="","",INDEX('AFA Rates'!$C$5:$C$1004,$T991))))</f>
        <v/>
      </c>
      <c r="E991" s="88">
        <f>IF($T991="","",IF($S991="S",IF(""="","",""),IF(INDEX('AFA Rates'!$D$5:$D$1004,$T991)="","",INDEX('AFA Rates'!$D$5:$D$1004,$T991))))</f>
        <v/>
      </c>
      <c r="F991" s="79">
        <f>IF($T991="","",IF($S991="S",IF(INDEX(Firms!$O$5:$O$1004,$T991)="","",INDEX(Firms!$O$5:$O$1004,$T991)),IF(INDEX('AFA Rates'!$O$5:$O$1004,$T991)="","",INDEX('AFA Rates'!$O$5:$O$1004,$T991))))</f>
        <v/>
      </c>
      <c r="G991" s="50">
        <f>IF($T991="","",IF($S991="S",IF(INDEX(Firms!$F$5:$F$1004,$T991)="","",INDEX(Firms!$F$5:$F$1004,$T991)),IF(INDEX('AFA Rates'!$E$5:$E$1004,$T991)="","",INDEX('AFA Rates'!$E$5:$E$1004,$T991))))</f>
        <v/>
      </c>
      <c r="H991" s="50">
        <f>IF($T991="","",IF($S991="S",IF(INDEX(Firms!$G$5:$G$1004,$T991)="","",INDEX(Firms!$G$5:$G$1004,$T991)),IF(INDEX('AFA Rates'!$F$5:$F$1004,$T991)="","",INDEX('AFA Rates'!$F$5:$F$1004,$T991))))</f>
        <v/>
      </c>
      <c r="I991" s="50">
        <f>IF($T991="","",IF($S991="S",IF(INDEX(Firms!$H$5:$H$1004,$T991)="","",INDEX(Firms!$H$5:$H$1004,$T991)),IF(INDEX('AFA Rates'!$G$5:$G$1004,$T991)="","",INDEX('AFA Rates'!$G$5:$G$1004,$T991))))</f>
        <v/>
      </c>
      <c r="J991" s="50">
        <f>IF($T991="","",IF($S991="S",IF(INDEX(Firms!$I$5:$I$1004,$T991)="","",INDEX(Firms!$I$5:$I$1004,$T991)),IF(INDEX('AFA Rates'!$H$5:$H$1004,$T991)="","",INDEX('AFA Rates'!$H$5:$H$1004,$T991))))</f>
        <v/>
      </c>
      <c r="K991" s="50">
        <f>IF($T991="","",IF($S991="S",IF(INDEX(Firms!$J$5:$J$1004,$T991)="","",INDEX(Firms!$J$5:$J$1004,$T991)),IF(INDEX('AFA Rates'!$I$5:$I$1004,$T991)="","",INDEX('AFA Rates'!$I$5:$I$1004,$T991))))</f>
        <v/>
      </c>
      <c r="L991" s="50">
        <f>IF($T991="","",IF($S991="S",IF(INDEX(Firms!$K$5:$K$1004,$T991)="","",INDEX(Firms!$K$5:$K$1004,$T991)),IF(INDEX('AFA Rates'!$J$5:$J$1004,$T991)="","",INDEX('AFA Rates'!$J$5:$J$1004,$T991))))</f>
        <v/>
      </c>
      <c r="M991" s="50">
        <f>IF($T991="","",IF($S991="S",IF(INDEX(Firms!$L$5:$L$1004,$T991)="","",INDEX(Firms!$L$5:$L$1004,$T991)),IF(INDEX('AFA Rates'!$K$5:$K$1004,$T991)="","",INDEX('AFA Rates'!$K$5:$K$1004,$T991))))</f>
        <v/>
      </c>
      <c r="N991" s="50">
        <f>IF($T991="","",IF($S991="S",IF(INDEX(Firms!$M$5:$M$1004,$T991)="","",INDEX(Firms!$M$5:$M$1004,$T991)),IF(INDEX('AFA Rates'!$L$5:$L$1004,$T991)="","",INDEX('AFA Rates'!$L$5:$L$1004,$T991))))</f>
        <v/>
      </c>
      <c r="O991" s="78">
        <f>IF(OR($T991="",$U991=""),"",IF(INDEX(Firms!$C$5:$C$1004,$U991)="","",INDEX(Firms!$C$5:$C$1004,$U991)))</f>
        <v/>
      </c>
      <c r="P991" s="79">
        <f>IF(OR($T991="",$U991=""),"",IF(INDEX(Firms!$N$5:$N$1004,$U991)="","",INDEX(Firms!$N$5:$N$1004,$U991)))</f>
        <v/>
      </c>
      <c r="Q991" s="78">
        <f>IF($T991="","",IF($S991="S",IF(INDEX(Firms!$T$5:$T$1004,$T991)="","",INDEX(Firms!$T$5:$T$1004,$T991)),IF(INDEX('AFA Rates'!$M$5:$M$1004,$T991)="","",INDEX('AFA Rates'!$M$5:$M$1004,$T991))))</f>
        <v/>
      </c>
      <c r="S991">
        <f>IF(987&lt;=$S$2,"S",IF(987&lt;=$S$2+$T$2,"A",""))</f>
        <v/>
      </c>
      <c r="T991">
        <f>IF(S991="S",MATCH(987,Firms!$W$5:$W$1004,0),IF(S991="A",IFERROR(MATCH(987-$S$2,'AFA Rates'!$R$5:$R$1004,0),""),""))</f>
        <v/>
      </c>
      <c r="U991">
        <f>IF(S991="S",T991,IF(AND(S991="A",T991&lt;&gt;""),IFERROR(MATCH(INDEX('AFA Rates'!$A$5:$A$1004,T991),Firms!$A$5:$A$1004,0),""),""))</f>
        <v/>
      </c>
    </row>
    <row r="992">
      <c r="A992" s="78">
        <f>IF($T992="","",IF($S992="S",IF(INDEX(Firms!$A$5:$A$1004,$T992)="","",INDEX(Firms!$A$5:$A$1004,$T992)),IF(INDEX('AFA Rates'!$A$5:$A$1004,$T992)="","",INDEX('AFA Rates'!$A$5:$A$1004,$T992))))</f>
        <v/>
      </c>
      <c r="B992" s="79">
        <f>IF(OR($T992="",$U992=""),IF($T992="","","Not on Firms tab"),INDEX(Firms!$B$5:$B$1004,$U992)&amp;"")</f>
        <v/>
      </c>
      <c r="C992" s="78">
        <f>IF($T992="","",IF($S992="S","Standard",INDEX('AFA Rates'!$B$5:$B$1004,$T992)&amp;""))</f>
        <v/>
      </c>
      <c r="D992" s="88">
        <f>IF($T992="","",IF($S992="S",IF(INDEX(Firms!$E$5:$E$1004,$T992)="","",INDEX(Firms!$E$5:$E$1004,$T992)),IF(INDEX('AFA Rates'!$C$5:$C$1004,$T992)="","",INDEX('AFA Rates'!$C$5:$C$1004,$T992))))</f>
        <v/>
      </c>
      <c r="E992" s="88">
        <f>IF($T992="","",IF($S992="S",IF(""="","",""),IF(INDEX('AFA Rates'!$D$5:$D$1004,$T992)="","",INDEX('AFA Rates'!$D$5:$D$1004,$T992))))</f>
        <v/>
      </c>
      <c r="F992" s="79">
        <f>IF($T992="","",IF($S992="S",IF(INDEX(Firms!$O$5:$O$1004,$T992)="","",INDEX(Firms!$O$5:$O$1004,$T992)),IF(INDEX('AFA Rates'!$O$5:$O$1004,$T992)="","",INDEX('AFA Rates'!$O$5:$O$1004,$T992))))</f>
        <v/>
      </c>
      <c r="G992" s="50">
        <f>IF($T992="","",IF($S992="S",IF(INDEX(Firms!$F$5:$F$1004,$T992)="","",INDEX(Firms!$F$5:$F$1004,$T992)),IF(INDEX('AFA Rates'!$E$5:$E$1004,$T992)="","",INDEX('AFA Rates'!$E$5:$E$1004,$T992))))</f>
        <v/>
      </c>
      <c r="H992" s="50">
        <f>IF($T992="","",IF($S992="S",IF(INDEX(Firms!$G$5:$G$1004,$T992)="","",INDEX(Firms!$G$5:$G$1004,$T992)),IF(INDEX('AFA Rates'!$F$5:$F$1004,$T992)="","",INDEX('AFA Rates'!$F$5:$F$1004,$T992))))</f>
        <v/>
      </c>
      <c r="I992" s="50">
        <f>IF($T992="","",IF($S992="S",IF(INDEX(Firms!$H$5:$H$1004,$T992)="","",INDEX(Firms!$H$5:$H$1004,$T992)),IF(INDEX('AFA Rates'!$G$5:$G$1004,$T992)="","",INDEX('AFA Rates'!$G$5:$G$1004,$T992))))</f>
        <v/>
      </c>
      <c r="J992" s="50">
        <f>IF($T992="","",IF($S992="S",IF(INDEX(Firms!$I$5:$I$1004,$T992)="","",INDEX(Firms!$I$5:$I$1004,$T992)),IF(INDEX('AFA Rates'!$H$5:$H$1004,$T992)="","",INDEX('AFA Rates'!$H$5:$H$1004,$T992))))</f>
        <v/>
      </c>
      <c r="K992" s="50">
        <f>IF($T992="","",IF($S992="S",IF(INDEX(Firms!$J$5:$J$1004,$T992)="","",INDEX(Firms!$J$5:$J$1004,$T992)),IF(INDEX('AFA Rates'!$I$5:$I$1004,$T992)="","",INDEX('AFA Rates'!$I$5:$I$1004,$T992))))</f>
        <v/>
      </c>
      <c r="L992" s="50">
        <f>IF($T992="","",IF($S992="S",IF(INDEX(Firms!$K$5:$K$1004,$T992)="","",INDEX(Firms!$K$5:$K$1004,$T992)),IF(INDEX('AFA Rates'!$J$5:$J$1004,$T992)="","",INDEX('AFA Rates'!$J$5:$J$1004,$T992))))</f>
        <v/>
      </c>
      <c r="M992" s="50">
        <f>IF($T992="","",IF($S992="S",IF(INDEX(Firms!$L$5:$L$1004,$T992)="","",INDEX(Firms!$L$5:$L$1004,$T992)),IF(INDEX('AFA Rates'!$K$5:$K$1004,$T992)="","",INDEX('AFA Rates'!$K$5:$K$1004,$T992))))</f>
        <v/>
      </c>
      <c r="N992" s="50">
        <f>IF($T992="","",IF($S992="S",IF(INDEX(Firms!$M$5:$M$1004,$T992)="","",INDEX(Firms!$M$5:$M$1004,$T992)),IF(INDEX('AFA Rates'!$L$5:$L$1004,$T992)="","",INDEX('AFA Rates'!$L$5:$L$1004,$T992))))</f>
        <v/>
      </c>
      <c r="O992" s="78">
        <f>IF(OR($T992="",$U992=""),"",IF(INDEX(Firms!$C$5:$C$1004,$U992)="","",INDEX(Firms!$C$5:$C$1004,$U992)))</f>
        <v/>
      </c>
      <c r="P992" s="79">
        <f>IF(OR($T992="",$U992=""),"",IF(INDEX(Firms!$N$5:$N$1004,$U992)="","",INDEX(Firms!$N$5:$N$1004,$U992)))</f>
        <v/>
      </c>
      <c r="Q992" s="78">
        <f>IF($T992="","",IF($S992="S",IF(INDEX(Firms!$T$5:$T$1004,$T992)="","",INDEX(Firms!$T$5:$T$1004,$T992)),IF(INDEX('AFA Rates'!$M$5:$M$1004,$T992)="","",INDEX('AFA Rates'!$M$5:$M$1004,$T992))))</f>
        <v/>
      </c>
      <c r="S992">
        <f>IF(988&lt;=$S$2,"S",IF(988&lt;=$S$2+$T$2,"A",""))</f>
        <v/>
      </c>
      <c r="T992">
        <f>IF(S992="S",MATCH(988,Firms!$W$5:$W$1004,0),IF(S992="A",IFERROR(MATCH(988-$S$2,'AFA Rates'!$R$5:$R$1004,0),""),""))</f>
        <v/>
      </c>
      <c r="U992">
        <f>IF(S992="S",T992,IF(AND(S992="A",T992&lt;&gt;""),IFERROR(MATCH(INDEX('AFA Rates'!$A$5:$A$1004,T992),Firms!$A$5:$A$1004,0),""),""))</f>
        <v/>
      </c>
    </row>
    <row r="993">
      <c r="A993" s="78">
        <f>IF($T993="","",IF($S993="S",IF(INDEX(Firms!$A$5:$A$1004,$T993)="","",INDEX(Firms!$A$5:$A$1004,$T993)),IF(INDEX('AFA Rates'!$A$5:$A$1004,$T993)="","",INDEX('AFA Rates'!$A$5:$A$1004,$T993))))</f>
        <v/>
      </c>
      <c r="B993" s="79">
        <f>IF(OR($T993="",$U993=""),IF($T993="","","Not on Firms tab"),INDEX(Firms!$B$5:$B$1004,$U993)&amp;"")</f>
        <v/>
      </c>
      <c r="C993" s="78">
        <f>IF($T993="","",IF($S993="S","Standard",INDEX('AFA Rates'!$B$5:$B$1004,$T993)&amp;""))</f>
        <v/>
      </c>
      <c r="D993" s="88">
        <f>IF($T993="","",IF($S993="S",IF(INDEX(Firms!$E$5:$E$1004,$T993)="","",INDEX(Firms!$E$5:$E$1004,$T993)),IF(INDEX('AFA Rates'!$C$5:$C$1004,$T993)="","",INDEX('AFA Rates'!$C$5:$C$1004,$T993))))</f>
        <v/>
      </c>
      <c r="E993" s="88">
        <f>IF($T993="","",IF($S993="S",IF(""="","",""),IF(INDEX('AFA Rates'!$D$5:$D$1004,$T993)="","",INDEX('AFA Rates'!$D$5:$D$1004,$T993))))</f>
        <v/>
      </c>
      <c r="F993" s="79">
        <f>IF($T993="","",IF($S993="S",IF(INDEX(Firms!$O$5:$O$1004,$T993)="","",INDEX(Firms!$O$5:$O$1004,$T993)),IF(INDEX('AFA Rates'!$O$5:$O$1004,$T993)="","",INDEX('AFA Rates'!$O$5:$O$1004,$T993))))</f>
        <v/>
      </c>
      <c r="G993" s="50">
        <f>IF($T993="","",IF($S993="S",IF(INDEX(Firms!$F$5:$F$1004,$T993)="","",INDEX(Firms!$F$5:$F$1004,$T993)),IF(INDEX('AFA Rates'!$E$5:$E$1004,$T993)="","",INDEX('AFA Rates'!$E$5:$E$1004,$T993))))</f>
        <v/>
      </c>
      <c r="H993" s="50">
        <f>IF($T993="","",IF($S993="S",IF(INDEX(Firms!$G$5:$G$1004,$T993)="","",INDEX(Firms!$G$5:$G$1004,$T993)),IF(INDEX('AFA Rates'!$F$5:$F$1004,$T993)="","",INDEX('AFA Rates'!$F$5:$F$1004,$T993))))</f>
        <v/>
      </c>
      <c r="I993" s="50">
        <f>IF($T993="","",IF($S993="S",IF(INDEX(Firms!$H$5:$H$1004,$T993)="","",INDEX(Firms!$H$5:$H$1004,$T993)),IF(INDEX('AFA Rates'!$G$5:$G$1004,$T993)="","",INDEX('AFA Rates'!$G$5:$G$1004,$T993))))</f>
        <v/>
      </c>
      <c r="J993" s="50">
        <f>IF($T993="","",IF($S993="S",IF(INDEX(Firms!$I$5:$I$1004,$T993)="","",INDEX(Firms!$I$5:$I$1004,$T993)),IF(INDEX('AFA Rates'!$H$5:$H$1004,$T993)="","",INDEX('AFA Rates'!$H$5:$H$1004,$T993))))</f>
        <v/>
      </c>
      <c r="K993" s="50">
        <f>IF($T993="","",IF($S993="S",IF(INDEX(Firms!$J$5:$J$1004,$T993)="","",INDEX(Firms!$J$5:$J$1004,$T993)),IF(INDEX('AFA Rates'!$I$5:$I$1004,$T993)="","",INDEX('AFA Rates'!$I$5:$I$1004,$T993))))</f>
        <v/>
      </c>
      <c r="L993" s="50">
        <f>IF($T993="","",IF($S993="S",IF(INDEX(Firms!$K$5:$K$1004,$T993)="","",INDEX(Firms!$K$5:$K$1004,$T993)),IF(INDEX('AFA Rates'!$J$5:$J$1004,$T993)="","",INDEX('AFA Rates'!$J$5:$J$1004,$T993))))</f>
        <v/>
      </c>
      <c r="M993" s="50">
        <f>IF($T993="","",IF($S993="S",IF(INDEX(Firms!$L$5:$L$1004,$T993)="","",INDEX(Firms!$L$5:$L$1004,$T993)),IF(INDEX('AFA Rates'!$K$5:$K$1004,$T993)="","",INDEX('AFA Rates'!$K$5:$K$1004,$T993))))</f>
        <v/>
      </c>
      <c r="N993" s="50">
        <f>IF($T993="","",IF($S993="S",IF(INDEX(Firms!$M$5:$M$1004,$T993)="","",INDEX(Firms!$M$5:$M$1004,$T993)),IF(INDEX('AFA Rates'!$L$5:$L$1004,$T993)="","",INDEX('AFA Rates'!$L$5:$L$1004,$T993))))</f>
        <v/>
      </c>
      <c r="O993" s="78">
        <f>IF(OR($T993="",$U993=""),"",IF(INDEX(Firms!$C$5:$C$1004,$U993)="","",INDEX(Firms!$C$5:$C$1004,$U993)))</f>
        <v/>
      </c>
      <c r="P993" s="79">
        <f>IF(OR($T993="",$U993=""),"",IF(INDEX(Firms!$N$5:$N$1004,$U993)="","",INDEX(Firms!$N$5:$N$1004,$U993)))</f>
        <v/>
      </c>
      <c r="Q993" s="78">
        <f>IF($T993="","",IF($S993="S",IF(INDEX(Firms!$T$5:$T$1004,$T993)="","",INDEX(Firms!$T$5:$T$1004,$T993)),IF(INDEX('AFA Rates'!$M$5:$M$1004,$T993)="","",INDEX('AFA Rates'!$M$5:$M$1004,$T993))))</f>
        <v/>
      </c>
      <c r="S993">
        <f>IF(989&lt;=$S$2,"S",IF(989&lt;=$S$2+$T$2,"A",""))</f>
        <v/>
      </c>
      <c r="T993">
        <f>IF(S993="S",MATCH(989,Firms!$W$5:$W$1004,0),IF(S993="A",IFERROR(MATCH(989-$S$2,'AFA Rates'!$R$5:$R$1004,0),""),""))</f>
        <v/>
      </c>
      <c r="U993">
        <f>IF(S993="S",T993,IF(AND(S993="A",T993&lt;&gt;""),IFERROR(MATCH(INDEX('AFA Rates'!$A$5:$A$1004,T993),Firms!$A$5:$A$1004,0),""),""))</f>
        <v/>
      </c>
    </row>
    <row r="994">
      <c r="A994" s="78">
        <f>IF($T994="","",IF($S994="S",IF(INDEX(Firms!$A$5:$A$1004,$T994)="","",INDEX(Firms!$A$5:$A$1004,$T994)),IF(INDEX('AFA Rates'!$A$5:$A$1004,$T994)="","",INDEX('AFA Rates'!$A$5:$A$1004,$T994))))</f>
        <v/>
      </c>
      <c r="B994" s="79">
        <f>IF(OR($T994="",$U994=""),IF($T994="","","Not on Firms tab"),INDEX(Firms!$B$5:$B$1004,$U994)&amp;"")</f>
        <v/>
      </c>
      <c r="C994" s="78">
        <f>IF($T994="","",IF($S994="S","Standard",INDEX('AFA Rates'!$B$5:$B$1004,$T994)&amp;""))</f>
        <v/>
      </c>
      <c r="D994" s="88">
        <f>IF($T994="","",IF($S994="S",IF(INDEX(Firms!$E$5:$E$1004,$T994)="","",INDEX(Firms!$E$5:$E$1004,$T994)),IF(INDEX('AFA Rates'!$C$5:$C$1004,$T994)="","",INDEX('AFA Rates'!$C$5:$C$1004,$T994))))</f>
        <v/>
      </c>
      <c r="E994" s="88">
        <f>IF($T994="","",IF($S994="S",IF(""="","",""),IF(INDEX('AFA Rates'!$D$5:$D$1004,$T994)="","",INDEX('AFA Rates'!$D$5:$D$1004,$T994))))</f>
        <v/>
      </c>
      <c r="F994" s="79">
        <f>IF($T994="","",IF($S994="S",IF(INDEX(Firms!$O$5:$O$1004,$T994)="","",INDEX(Firms!$O$5:$O$1004,$T994)),IF(INDEX('AFA Rates'!$O$5:$O$1004,$T994)="","",INDEX('AFA Rates'!$O$5:$O$1004,$T994))))</f>
        <v/>
      </c>
      <c r="G994" s="50">
        <f>IF($T994="","",IF($S994="S",IF(INDEX(Firms!$F$5:$F$1004,$T994)="","",INDEX(Firms!$F$5:$F$1004,$T994)),IF(INDEX('AFA Rates'!$E$5:$E$1004,$T994)="","",INDEX('AFA Rates'!$E$5:$E$1004,$T994))))</f>
        <v/>
      </c>
      <c r="H994" s="50">
        <f>IF($T994="","",IF($S994="S",IF(INDEX(Firms!$G$5:$G$1004,$T994)="","",INDEX(Firms!$G$5:$G$1004,$T994)),IF(INDEX('AFA Rates'!$F$5:$F$1004,$T994)="","",INDEX('AFA Rates'!$F$5:$F$1004,$T994))))</f>
        <v/>
      </c>
      <c r="I994" s="50">
        <f>IF($T994="","",IF($S994="S",IF(INDEX(Firms!$H$5:$H$1004,$T994)="","",INDEX(Firms!$H$5:$H$1004,$T994)),IF(INDEX('AFA Rates'!$G$5:$G$1004,$T994)="","",INDEX('AFA Rates'!$G$5:$G$1004,$T994))))</f>
        <v/>
      </c>
      <c r="J994" s="50">
        <f>IF($T994="","",IF($S994="S",IF(INDEX(Firms!$I$5:$I$1004,$T994)="","",INDEX(Firms!$I$5:$I$1004,$T994)),IF(INDEX('AFA Rates'!$H$5:$H$1004,$T994)="","",INDEX('AFA Rates'!$H$5:$H$1004,$T994))))</f>
        <v/>
      </c>
      <c r="K994" s="50">
        <f>IF($T994="","",IF($S994="S",IF(INDEX(Firms!$J$5:$J$1004,$T994)="","",INDEX(Firms!$J$5:$J$1004,$T994)),IF(INDEX('AFA Rates'!$I$5:$I$1004,$T994)="","",INDEX('AFA Rates'!$I$5:$I$1004,$T994))))</f>
        <v/>
      </c>
      <c r="L994" s="50">
        <f>IF($T994="","",IF($S994="S",IF(INDEX(Firms!$K$5:$K$1004,$T994)="","",INDEX(Firms!$K$5:$K$1004,$T994)),IF(INDEX('AFA Rates'!$J$5:$J$1004,$T994)="","",INDEX('AFA Rates'!$J$5:$J$1004,$T994))))</f>
        <v/>
      </c>
      <c r="M994" s="50">
        <f>IF($T994="","",IF($S994="S",IF(INDEX(Firms!$L$5:$L$1004,$T994)="","",INDEX(Firms!$L$5:$L$1004,$T994)),IF(INDEX('AFA Rates'!$K$5:$K$1004,$T994)="","",INDEX('AFA Rates'!$K$5:$K$1004,$T994))))</f>
        <v/>
      </c>
      <c r="N994" s="50">
        <f>IF($T994="","",IF($S994="S",IF(INDEX(Firms!$M$5:$M$1004,$T994)="","",INDEX(Firms!$M$5:$M$1004,$T994)),IF(INDEX('AFA Rates'!$L$5:$L$1004,$T994)="","",INDEX('AFA Rates'!$L$5:$L$1004,$T994))))</f>
        <v/>
      </c>
      <c r="O994" s="78">
        <f>IF(OR($T994="",$U994=""),"",IF(INDEX(Firms!$C$5:$C$1004,$U994)="","",INDEX(Firms!$C$5:$C$1004,$U994)))</f>
        <v/>
      </c>
      <c r="P994" s="79">
        <f>IF(OR($T994="",$U994=""),"",IF(INDEX(Firms!$N$5:$N$1004,$U994)="","",INDEX(Firms!$N$5:$N$1004,$U994)))</f>
        <v/>
      </c>
      <c r="Q994" s="78">
        <f>IF($T994="","",IF($S994="S",IF(INDEX(Firms!$T$5:$T$1004,$T994)="","",INDEX(Firms!$T$5:$T$1004,$T994)),IF(INDEX('AFA Rates'!$M$5:$M$1004,$T994)="","",INDEX('AFA Rates'!$M$5:$M$1004,$T994))))</f>
        <v/>
      </c>
      <c r="S994">
        <f>IF(990&lt;=$S$2,"S",IF(990&lt;=$S$2+$T$2,"A",""))</f>
        <v/>
      </c>
      <c r="T994">
        <f>IF(S994="S",MATCH(990,Firms!$W$5:$W$1004,0),IF(S994="A",IFERROR(MATCH(990-$S$2,'AFA Rates'!$R$5:$R$1004,0),""),""))</f>
        <v/>
      </c>
      <c r="U994">
        <f>IF(S994="S",T994,IF(AND(S994="A",T994&lt;&gt;""),IFERROR(MATCH(INDEX('AFA Rates'!$A$5:$A$1004,T994),Firms!$A$5:$A$1004,0),""),""))</f>
        <v/>
      </c>
    </row>
    <row r="995">
      <c r="A995" s="78">
        <f>IF($T995="","",IF($S995="S",IF(INDEX(Firms!$A$5:$A$1004,$T995)="","",INDEX(Firms!$A$5:$A$1004,$T995)),IF(INDEX('AFA Rates'!$A$5:$A$1004,$T995)="","",INDEX('AFA Rates'!$A$5:$A$1004,$T995))))</f>
        <v/>
      </c>
      <c r="B995" s="79">
        <f>IF(OR($T995="",$U995=""),IF($T995="","","Not on Firms tab"),INDEX(Firms!$B$5:$B$1004,$U995)&amp;"")</f>
        <v/>
      </c>
      <c r="C995" s="78">
        <f>IF($T995="","",IF($S995="S","Standard",INDEX('AFA Rates'!$B$5:$B$1004,$T995)&amp;""))</f>
        <v/>
      </c>
      <c r="D995" s="88">
        <f>IF($T995="","",IF($S995="S",IF(INDEX(Firms!$E$5:$E$1004,$T995)="","",INDEX(Firms!$E$5:$E$1004,$T995)),IF(INDEX('AFA Rates'!$C$5:$C$1004,$T995)="","",INDEX('AFA Rates'!$C$5:$C$1004,$T995))))</f>
        <v/>
      </c>
      <c r="E995" s="88">
        <f>IF($T995="","",IF($S995="S",IF(""="","",""),IF(INDEX('AFA Rates'!$D$5:$D$1004,$T995)="","",INDEX('AFA Rates'!$D$5:$D$1004,$T995))))</f>
        <v/>
      </c>
      <c r="F995" s="79">
        <f>IF($T995="","",IF($S995="S",IF(INDEX(Firms!$O$5:$O$1004,$T995)="","",INDEX(Firms!$O$5:$O$1004,$T995)),IF(INDEX('AFA Rates'!$O$5:$O$1004,$T995)="","",INDEX('AFA Rates'!$O$5:$O$1004,$T995))))</f>
        <v/>
      </c>
      <c r="G995" s="50">
        <f>IF($T995="","",IF($S995="S",IF(INDEX(Firms!$F$5:$F$1004,$T995)="","",INDEX(Firms!$F$5:$F$1004,$T995)),IF(INDEX('AFA Rates'!$E$5:$E$1004,$T995)="","",INDEX('AFA Rates'!$E$5:$E$1004,$T995))))</f>
        <v/>
      </c>
      <c r="H995" s="50">
        <f>IF($T995="","",IF($S995="S",IF(INDEX(Firms!$G$5:$G$1004,$T995)="","",INDEX(Firms!$G$5:$G$1004,$T995)),IF(INDEX('AFA Rates'!$F$5:$F$1004,$T995)="","",INDEX('AFA Rates'!$F$5:$F$1004,$T995))))</f>
        <v/>
      </c>
      <c r="I995" s="50">
        <f>IF($T995="","",IF($S995="S",IF(INDEX(Firms!$H$5:$H$1004,$T995)="","",INDEX(Firms!$H$5:$H$1004,$T995)),IF(INDEX('AFA Rates'!$G$5:$G$1004,$T995)="","",INDEX('AFA Rates'!$G$5:$G$1004,$T995))))</f>
        <v/>
      </c>
      <c r="J995" s="50">
        <f>IF($T995="","",IF($S995="S",IF(INDEX(Firms!$I$5:$I$1004,$T995)="","",INDEX(Firms!$I$5:$I$1004,$T995)),IF(INDEX('AFA Rates'!$H$5:$H$1004,$T995)="","",INDEX('AFA Rates'!$H$5:$H$1004,$T995))))</f>
        <v/>
      </c>
      <c r="K995" s="50">
        <f>IF($T995="","",IF($S995="S",IF(INDEX(Firms!$J$5:$J$1004,$T995)="","",INDEX(Firms!$J$5:$J$1004,$T995)),IF(INDEX('AFA Rates'!$I$5:$I$1004,$T995)="","",INDEX('AFA Rates'!$I$5:$I$1004,$T995))))</f>
        <v/>
      </c>
      <c r="L995" s="50">
        <f>IF($T995="","",IF($S995="S",IF(INDEX(Firms!$K$5:$K$1004,$T995)="","",INDEX(Firms!$K$5:$K$1004,$T995)),IF(INDEX('AFA Rates'!$J$5:$J$1004,$T995)="","",INDEX('AFA Rates'!$J$5:$J$1004,$T995))))</f>
        <v/>
      </c>
      <c r="M995" s="50">
        <f>IF($T995="","",IF($S995="S",IF(INDEX(Firms!$L$5:$L$1004,$T995)="","",INDEX(Firms!$L$5:$L$1004,$T995)),IF(INDEX('AFA Rates'!$K$5:$K$1004,$T995)="","",INDEX('AFA Rates'!$K$5:$K$1004,$T995))))</f>
        <v/>
      </c>
      <c r="N995" s="50">
        <f>IF($T995="","",IF($S995="S",IF(INDEX(Firms!$M$5:$M$1004,$T995)="","",INDEX(Firms!$M$5:$M$1004,$T995)),IF(INDEX('AFA Rates'!$L$5:$L$1004,$T995)="","",INDEX('AFA Rates'!$L$5:$L$1004,$T995))))</f>
        <v/>
      </c>
      <c r="O995" s="78">
        <f>IF(OR($T995="",$U995=""),"",IF(INDEX(Firms!$C$5:$C$1004,$U995)="","",INDEX(Firms!$C$5:$C$1004,$U995)))</f>
        <v/>
      </c>
      <c r="P995" s="79">
        <f>IF(OR($T995="",$U995=""),"",IF(INDEX(Firms!$N$5:$N$1004,$U995)="","",INDEX(Firms!$N$5:$N$1004,$U995)))</f>
        <v/>
      </c>
      <c r="Q995" s="78">
        <f>IF($T995="","",IF($S995="S",IF(INDEX(Firms!$T$5:$T$1004,$T995)="","",INDEX(Firms!$T$5:$T$1004,$T995)),IF(INDEX('AFA Rates'!$M$5:$M$1004,$T995)="","",INDEX('AFA Rates'!$M$5:$M$1004,$T995))))</f>
        <v/>
      </c>
      <c r="S995">
        <f>IF(991&lt;=$S$2,"S",IF(991&lt;=$S$2+$T$2,"A",""))</f>
        <v/>
      </c>
      <c r="T995">
        <f>IF(S995="S",MATCH(991,Firms!$W$5:$W$1004,0),IF(S995="A",IFERROR(MATCH(991-$S$2,'AFA Rates'!$R$5:$R$1004,0),""),""))</f>
        <v/>
      </c>
      <c r="U995">
        <f>IF(S995="S",T995,IF(AND(S995="A",T995&lt;&gt;""),IFERROR(MATCH(INDEX('AFA Rates'!$A$5:$A$1004,T995),Firms!$A$5:$A$1004,0),""),""))</f>
        <v/>
      </c>
    </row>
    <row r="996">
      <c r="A996" s="78">
        <f>IF($T996="","",IF($S996="S",IF(INDEX(Firms!$A$5:$A$1004,$T996)="","",INDEX(Firms!$A$5:$A$1004,$T996)),IF(INDEX('AFA Rates'!$A$5:$A$1004,$T996)="","",INDEX('AFA Rates'!$A$5:$A$1004,$T996))))</f>
        <v/>
      </c>
      <c r="B996" s="79">
        <f>IF(OR($T996="",$U996=""),IF($T996="","","Not on Firms tab"),INDEX(Firms!$B$5:$B$1004,$U996)&amp;"")</f>
        <v/>
      </c>
      <c r="C996" s="78">
        <f>IF($T996="","",IF($S996="S","Standard",INDEX('AFA Rates'!$B$5:$B$1004,$T996)&amp;""))</f>
        <v/>
      </c>
      <c r="D996" s="88">
        <f>IF($T996="","",IF($S996="S",IF(INDEX(Firms!$E$5:$E$1004,$T996)="","",INDEX(Firms!$E$5:$E$1004,$T996)),IF(INDEX('AFA Rates'!$C$5:$C$1004,$T996)="","",INDEX('AFA Rates'!$C$5:$C$1004,$T996))))</f>
        <v/>
      </c>
      <c r="E996" s="88">
        <f>IF($T996="","",IF($S996="S",IF(""="","",""),IF(INDEX('AFA Rates'!$D$5:$D$1004,$T996)="","",INDEX('AFA Rates'!$D$5:$D$1004,$T996))))</f>
        <v/>
      </c>
      <c r="F996" s="79">
        <f>IF($T996="","",IF($S996="S",IF(INDEX(Firms!$O$5:$O$1004,$T996)="","",INDEX(Firms!$O$5:$O$1004,$T996)),IF(INDEX('AFA Rates'!$O$5:$O$1004,$T996)="","",INDEX('AFA Rates'!$O$5:$O$1004,$T996))))</f>
        <v/>
      </c>
      <c r="G996" s="50">
        <f>IF($T996="","",IF($S996="S",IF(INDEX(Firms!$F$5:$F$1004,$T996)="","",INDEX(Firms!$F$5:$F$1004,$T996)),IF(INDEX('AFA Rates'!$E$5:$E$1004,$T996)="","",INDEX('AFA Rates'!$E$5:$E$1004,$T996))))</f>
        <v/>
      </c>
      <c r="H996" s="50">
        <f>IF($T996="","",IF($S996="S",IF(INDEX(Firms!$G$5:$G$1004,$T996)="","",INDEX(Firms!$G$5:$G$1004,$T996)),IF(INDEX('AFA Rates'!$F$5:$F$1004,$T996)="","",INDEX('AFA Rates'!$F$5:$F$1004,$T996))))</f>
        <v/>
      </c>
      <c r="I996" s="50">
        <f>IF($T996="","",IF($S996="S",IF(INDEX(Firms!$H$5:$H$1004,$T996)="","",INDEX(Firms!$H$5:$H$1004,$T996)),IF(INDEX('AFA Rates'!$G$5:$G$1004,$T996)="","",INDEX('AFA Rates'!$G$5:$G$1004,$T996))))</f>
        <v/>
      </c>
      <c r="J996" s="50">
        <f>IF($T996="","",IF($S996="S",IF(INDEX(Firms!$I$5:$I$1004,$T996)="","",INDEX(Firms!$I$5:$I$1004,$T996)),IF(INDEX('AFA Rates'!$H$5:$H$1004,$T996)="","",INDEX('AFA Rates'!$H$5:$H$1004,$T996))))</f>
        <v/>
      </c>
      <c r="K996" s="50">
        <f>IF($T996="","",IF($S996="S",IF(INDEX(Firms!$J$5:$J$1004,$T996)="","",INDEX(Firms!$J$5:$J$1004,$T996)),IF(INDEX('AFA Rates'!$I$5:$I$1004,$T996)="","",INDEX('AFA Rates'!$I$5:$I$1004,$T996))))</f>
        <v/>
      </c>
      <c r="L996" s="50">
        <f>IF($T996="","",IF($S996="S",IF(INDEX(Firms!$K$5:$K$1004,$T996)="","",INDEX(Firms!$K$5:$K$1004,$T996)),IF(INDEX('AFA Rates'!$J$5:$J$1004,$T996)="","",INDEX('AFA Rates'!$J$5:$J$1004,$T996))))</f>
        <v/>
      </c>
      <c r="M996" s="50">
        <f>IF($T996="","",IF($S996="S",IF(INDEX(Firms!$L$5:$L$1004,$T996)="","",INDEX(Firms!$L$5:$L$1004,$T996)),IF(INDEX('AFA Rates'!$K$5:$K$1004,$T996)="","",INDEX('AFA Rates'!$K$5:$K$1004,$T996))))</f>
        <v/>
      </c>
      <c r="N996" s="50">
        <f>IF($T996="","",IF($S996="S",IF(INDEX(Firms!$M$5:$M$1004,$T996)="","",INDEX(Firms!$M$5:$M$1004,$T996)),IF(INDEX('AFA Rates'!$L$5:$L$1004,$T996)="","",INDEX('AFA Rates'!$L$5:$L$1004,$T996))))</f>
        <v/>
      </c>
      <c r="O996" s="78">
        <f>IF(OR($T996="",$U996=""),"",IF(INDEX(Firms!$C$5:$C$1004,$U996)="","",INDEX(Firms!$C$5:$C$1004,$U996)))</f>
        <v/>
      </c>
      <c r="P996" s="79">
        <f>IF(OR($T996="",$U996=""),"",IF(INDEX(Firms!$N$5:$N$1004,$U996)="","",INDEX(Firms!$N$5:$N$1004,$U996)))</f>
        <v/>
      </c>
      <c r="Q996" s="78">
        <f>IF($T996="","",IF($S996="S",IF(INDEX(Firms!$T$5:$T$1004,$T996)="","",INDEX(Firms!$T$5:$T$1004,$T996)),IF(INDEX('AFA Rates'!$M$5:$M$1004,$T996)="","",INDEX('AFA Rates'!$M$5:$M$1004,$T996))))</f>
        <v/>
      </c>
      <c r="S996">
        <f>IF(992&lt;=$S$2,"S",IF(992&lt;=$S$2+$T$2,"A",""))</f>
        <v/>
      </c>
      <c r="T996">
        <f>IF(S996="S",MATCH(992,Firms!$W$5:$W$1004,0),IF(S996="A",IFERROR(MATCH(992-$S$2,'AFA Rates'!$R$5:$R$1004,0),""),""))</f>
        <v/>
      </c>
      <c r="U996">
        <f>IF(S996="S",T996,IF(AND(S996="A",T996&lt;&gt;""),IFERROR(MATCH(INDEX('AFA Rates'!$A$5:$A$1004,T996),Firms!$A$5:$A$1004,0),""),""))</f>
        <v/>
      </c>
    </row>
    <row r="997">
      <c r="A997" s="78">
        <f>IF($T997="","",IF($S997="S",IF(INDEX(Firms!$A$5:$A$1004,$T997)="","",INDEX(Firms!$A$5:$A$1004,$T997)),IF(INDEX('AFA Rates'!$A$5:$A$1004,$T997)="","",INDEX('AFA Rates'!$A$5:$A$1004,$T997))))</f>
        <v/>
      </c>
      <c r="B997" s="79">
        <f>IF(OR($T997="",$U997=""),IF($T997="","","Not on Firms tab"),INDEX(Firms!$B$5:$B$1004,$U997)&amp;"")</f>
        <v/>
      </c>
      <c r="C997" s="78">
        <f>IF($T997="","",IF($S997="S","Standard",INDEX('AFA Rates'!$B$5:$B$1004,$T997)&amp;""))</f>
        <v/>
      </c>
      <c r="D997" s="88">
        <f>IF($T997="","",IF($S997="S",IF(INDEX(Firms!$E$5:$E$1004,$T997)="","",INDEX(Firms!$E$5:$E$1004,$T997)),IF(INDEX('AFA Rates'!$C$5:$C$1004,$T997)="","",INDEX('AFA Rates'!$C$5:$C$1004,$T997))))</f>
        <v/>
      </c>
      <c r="E997" s="88">
        <f>IF($T997="","",IF($S997="S",IF(""="","",""),IF(INDEX('AFA Rates'!$D$5:$D$1004,$T997)="","",INDEX('AFA Rates'!$D$5:$D$1004,$T997))))</f>
        <v/>
      </c>
      <c r="F997" s="79">
        <f>IF($T997="","",IF($S997="S",IF(INDEX(Firms!$O$5:$O$1004,$T997)="","",INDEX(Firms!$O$5:$O$1004,$T997)),IF(INDEX('AFA Rates'!$O$5:$O$1004,$T997)="","",INDEX('AFA Rates'!$O$5:$O$1004,$T997))))</f>
        <v/>
      </c>
      <c r="G997" s="50">
        <f>IF($T997="","",IF($S997="S",IF(INDEX(Firms!$F$5:$F$1004,$T997)="","",INDEX(Firms!$F$5:$F$1004,$T997)),IF(INDEX('AFA Rates'!$E$5:$E$1004,$T997)="","",INDEX('AFA Rates'!$E$5:$E$1004,$T997))))</f>
        <v/>
      </c>
      <c r="H997" s="50">
        <f>IF($T997="","",IF($S997="S",IF(INDEX(Firms!$G$5:$G$1004,$T997)="","",INDEX(Firms!$G$5:$G$1004,$T997)),IF(INDEX('AFA Rates'!$F$5:$F$1004,$T997)="","",INDEX('AFA Rates'!$F$5:$F$1004,$T997))))</f>
        <v/>
      </c>
      <c r="I997" s="50">
        <f>IF($T997="","",IF($S997="S",IF(INDEX(Firms!$H$5:$H$1004,$T997)="","",INDEX(Firms!$H$5:$H$1004,$T997)),IF(INDEX('AFA Rates'!$G$5:$G$1004,$T997)="","",INDEX('AFA Rates'!$G$5:$G$1004,$T997))))</f>
        <v/>
      </c>
      <c r="J997" s="50">
        <f>IF($T997="","",IF($S997="S",IF(INDEX(Firms!$I$5:$I$1004,$T997)="","",INDEX(Firms!$I$5:$I$1004,$T997)),IF(INDEX('AFA Rates'!$H$5:$H$1004,$T997)="","",INDEX('AFA Rates'!$H$5:$H$1004,$T997))))</f>
        <v/>
      </c>
      <c r="K997" s="50">
        <f>IF($T997="","",IF($S997="S",IF(INDEX(Firms!$J$5:$J$1004,$T997)="","",INDEX(Firms!$J$5:$J$1004,$T997)),IF(INDEX('AFA Rates'!$I$5:$I$1004,$T997)="","",INDEX('AFA Rates'!$I$5:$I$1004,$T997))))</f>
        <v/>
      </c>
      <c r="L997" s="50">
        <f>IF($T997="","",IF($S997="S",IF(INDEX(Firms!$K$5:$K$1004,$T997)="","",INDEX(Firms!$K$5:$K$1004,$T997)),IF(INDEX('AFA Rates'!$J$5:$J$1004,$T997)="","",INDEX('AFA Rates'!$J$5:$J$1004,$T997))))</f>
        <v/>
      </c>
      <c r="M997" s="50">
        <f>IF($T997="","",IF($S997="S",IF(INDEX(Firms!$L$5:$L$1004,$T997)="","",INDEX(Firms!$L$5:$L$1004,$T997)),IF(INDEX('AFA Rates'!$K$5:$K$1004,$T997)="","",INDEX('AFA Rates'!$K$5:$K$1004,$T997))))</f>
        <v/>
      </c>
      <c r="N997" s="50">
        <f>IF($T997="","",IF($S997="S",IF(INDEX(Firms!$M$5:$M$1004,$T997)="","",INDEX(Firms!$M$5:$M$1004,$T997)),IF(INDEX('AFA Rates'!$L$5:$L$1004,$T997)="","",INDEX('AFA Rates'!$L$5:$L$1004,$T997))))</f>
        <v/>
      </c>
      <c r="O997" s="78">
        <f>IF(OR($T997="",$U997=""),"",IF(INDEX(Firms!$C$5:$C$1004,$U997)="","",INDEX(Firms!$C$5:$C$1004,$U997)))</f>
        <v/>
      </c>
      <c r="P997" s="79">
        <f>IF(OR($T997="",$U997=""),"",IF(INDEX(Firms!$N$5:$N$1004,$U997)="","",INDEX(Firms!$N$5:$N$1004,$U997)))</f>
        <v/>
      </c>
      <c r="Q997" s="78">
        <f>IF($T997="","",IF($S997="S",IF(INDEX(Firms!$T$5:$T$1004,$T997)="","",INDEX(Firms!$T$5:$T$1004,$T997)),IF(INDEX('AFA Rates'!$M$5:$M$1004,$T997)="","",INDEX('AFA Rates'!$M$5:$M$1004,$T997))))</f>
        <v/>
      </c>
      <c r="S997">
        <f>IF(993&lt;=$S$2,"S",IF(993&lt;=$S$2+$T$2,"A",""))</f>
        <v/>
      </c>
      <c r="T997">
        <f>IF(S997="S",MATCH(993,Firms!$W$5:$W$1004,0),IF(S997="A",IFERROR(MATCH(993-$S$2,'AFA Rates'!$R$5:$R$1004,0),""),""))</f>
        <v/>
      </c>
      <c r="U997">
        <f>IF(S997="S",T997,IF(AND(S997="A",T997&lt;&gt;""),IFERROR(MATCH(INDEX('AFA Rates'!$A$5:$A$1004,T997),Firms!$A$5:$A$1004,0),""),""))</f>
        <v/>
      </c>
    </row>
    <row r="998">
      <c r="A998" s="78">
        <f>IF($T998="","",IF($S998="S",IF(INDEX(Firms!$A$5:$A$1004,$T998)="","",INDEX(Firms!$A$5:$A$1004,$T998)),IF(INDEX('AFA Rates'!$A$5:$A$1004,$T998)="","",INDEX('AFA Rates'!$A$5:$A$1004,$T998))))</f>
        <v/>
      </c>
      <c r="B998" s="79">
        <f>IF(OR($T998="",$U998=""),IF($T998="","","Not on Firms tab"),INDEX(Firms!$B$5:$B$1004,$U998)&amp;"")</f>
        <v/>
      </c>
      <c r="C998" s="78">
        <f>IF($T998="","",IF($S998="S","Standard",INDEX('AFA Rates'!$B$5:$B$1004,$T998)&amp;""))</f>
        <v/>
      </c>
      <c r="D998" s="88">
        <f>IF($T998="","",IF($S998="S",IF(INDEX(Firms!$E$5:$E$1004,$T998)="","",INDEX(Firms!$E$5:$E$1004,$T998)),IF(INDEX('AFA Rates'!$C$5:$C$1004,$T998)="","",INDEX('AFA Rates'!$C$5:$C$1004,$T998))))</f>
        <v/>
      </c>
      <c r="E998" s="88">
        <f>IF($T998="","",IF($S998="S",IF(""="","",""),IF(INDEX('AFA Rates'!$D$5:$D$1004,$T998)="","",INDEX('AFA Rates'!$D$5:$D$1004,$T998))))</f>
        <v/>
      </c>
      <c r="F998" s="79">
        <f>IF($T998="","",IF($S998="S",IF(INDEX(Firms!$O$5:$O$1004,$T998)="","",INDEX(Firms!$O$5:$O$1004,$T998)),IF(INDEX('AFA Rates'!$O$5:$O$1004,$T998)="","",INDEX('AFA Rates'!$O$5:$O$1004,$T998))))</f>
        <v/>
      </c>
      <c r="G998" s="50">
        <f>IF($T998="","",IF($S998="S",IF(INDEX(Firms!$F$5:$F$1004,$T998)="","",INDEX(Firms!$F$5:$F$1004,$T998)),IF(INDEX('AFA Rates'!$E$5:$E$1004,$T998)="","",INDEX('AFA Rates'!$E$5:$E$1004,$T998))))</f>
        <v/>
      </c>
      <c r="H998" s="50">
        <f>IF($T998="","",IF($S998="S",IF(INDEX(Firms!$G$5:$G$1004,$T998)="","",INDEX(Firms!$G$5:$G$1004,$T998)),IF(INDEX('AFA Rates'!$F$5:$F$1004,$T998)="","",INDEX('AFA Rates'!$F$5:$F$1004,$T998))))</f>
        <v/>
      </c>
      <c r="I998" s="50">
        <f>IF($T998="","",IF($S998="S",IF(INDEX(Firms!$H$5:$H$1004,$T998)="","",INDEX(Firms!$H$5:$H$1004,$T998)),IF(INDEX('AFA Rates'!$G$5:$G$1004,$T998)="","",INDEX('AFA Rates'!$G$5:$G$1004,$T998))))</f>
        <v/>
      </c>
      <c r="J998" s="50">
        <f>IF($T998="","",IF($S998="S",IF(INDEX(Firms!$I$5:$I$1004,$T998)="","",INDEX(Firms!$I$5:$I$1004,$T998)),IF(INDEX('AFA Rates'!$H$5:$H$1004,$T998)="","",INDEX('AFA Rates'!$H$5:$H$1004,$T998))))</f>
        <v/>
      </c>
      <c r="K998" s="50">
        <f>IF($T998="","",IF($S998="S",IF(INDEX(Firms!$J$5:$J$1004,$T998)="","",INDEX(Firms!$J$5:$J$1004,$T998)),IF(INDEX('AFA Rates'!$I$5:$I$1004,$T998)="","",INDEX('AFA Rates'!$I$5:$I$1004,$T998))))</f>
        <v/>
      </c>
      <c r="L998" s="50">
        <f>IF($T998="","",IF($S998="S",IF(INDEX(Firms!$K$5:$K$1004,$T998)="","",INDEX(Firms!$K$5:$K$1004,$T998)),IF(INDEX('AFA Rates'!$J$5:$J$1004,$T998)="","",INDEX('AFA Rates'!$J$5:$J$1004,$T998))))</f>
        <v/>
      </c>
      <c r="M998" s="50">
        <f>IF($T998="","",IF($S998="S",IF(INDEX(Firms!$L$5:$L$1004,$T998)="","",INDEX(Firms!$L$5:$L$1004,$T998)),IF(INDEX('AFA Rates'!$K$5:$K$1004,$T998)="","",INDEX('AFA Rates'!$K$5:$K$1004,$T998))))</f>
        <v/>
      </c>
      <c r="N998" s="50">
        <f>IF($T998="","",IF($S998="S",IF(INDEX(Firms!$M$5:$M$1004,$T998)="","",INDEX(Firms!$M$5:$M$1004,$T998)),IF(INDEX('AFA Rates'!$L$5:$L$1004,$T998)="","",INDEX('AFA Rates'!$L$5:$L$1004,$T998))))</f>
        <v/>
      </c>
      <c r="O998" s="78">
        <f>IF(OR($T998="",$U998=""),"",IF(INDEX(Firms!$C$5:$C$1004,$U998)="","",INDEX(Firms!$C$5:$C$1004,$U998)))</f>
        <v/>
      </c>
      <c r="P998" s="79">
        <f>IF(OR($T998="",$U998=""),"",IF(INDEX(Firms!$N$5:$N$1004,$U998)="","",INDEX(Firms!$N$5:$N$1004,$U998)))</f>
        <v/>
      </c>
      <c r="Q998" s="78">
        <f>IF($T998="","",IF($S998="S",IF(INDEX(Firms!$T$5:$T$1004,$T998)="","",INDEX(Firms!$T$5:$T$1004,$T998)),IF(INDEX('AFA Rates'!$M$5:$M$1004,$T998)="","",INDEX('AFA Rates'!$M$5:$M$1004,$T998))))</f>
        <v/>
      </c>
      <c r="S998">
        <f>IF(994&lt;=$S$2,"S",IF(994&lt;=$S$2+$T$2,"A",""))</f>
        <v/>
      </c>
      <c r="T998">
        <f>IF(S998="S",MATCH(994,Firms!$W$5:$W$1004,0),IF(S998="A",IFERROR(MATCH(994-$S$2,'AFA Rates'!$R$5:$R$1004,0),""),""))</f>
        <v/>
      </c>
      <c r="U998">
        <f>IF(S998="S",T998,IF(AND(S998="A",T998&lt;&gt;""),IFERROR(MATCH(INDEX('AFA Rates'!$A$5:$A$1004,T998),Firms!$A$5:$A$1004,0),""),""))</f>
        <v/>
      </c>
    </row>
    <row r="999">
      <c r="A999" s="78">
        <f>IF($T999="","",IF($S999="S",IF(INDEX(Firms!$A$5:$A$1004,$T999)="","",INDEX(Firms!$A$5:$A$1004,$T999)),IF(INDEX('AFA Rates'!$A$5:$A$1004,$T999)="","",INDEX('AFA Rates'!$A$5:$A$1004,$T999))))</f>
        <v/>
      </c>
      <c r="B999" s="79">
        <f>IF(OR($T999="",$U999=""),IF($T999="","","Not on Firms tab"),INDEX(Firms!$B$5:$B$1004,$U999)&amp;"")</f>
        <v/>
      </c>
      <c r="C999" s="78">
        <f>IF($T999="","",IF($S999="S","Standard",INDEX('AFA Rates'!$B$5:$B$1004,$T999)&amp;""))</f>
        <v/>
      </c>
      <c r="D999" s="88">
        <f>IF($T999="","",IF($S999="S",IF(INDEX(Firms!$E$5:$E$1004,$T999)="","",INDEX(Firms!$E$5:$E$1004,$T999)),IF(INDEX('AFA Rates'!$C$5:$C$1004,$T999)="","",INDEX('AFA Rates'!$C$5:$C$1004,$T999))))</f>
        <v/>
      </c>
      <c r="E999" s="88">
        <f>IF($T999="","",IF($S999="S",IF(""="","",""),IF(INDEX('AFA Rates'!$D$5:$D$1004,$T999)="","",INDEX('AFA Rates'!$D$5:$D$1004,$T999))))</f>
        <v/>
      </c>
      <c r="F999" s="79">
        <f>IF($T999="","",IF($S999="S",IF(INDEX(Firms!$O$5:$O$1004,$T999)="","",INDEX(Firms!$O$5:$O$1004,$T999)),IF(INDEX('AFA Rates'!$O$5:$O$1004,$T999)="","",INDEX('AFA Rates'!$O$5:$O$1004,$T999))))</f>
        <v/>
      </c>
      <c r="G999" s="50">
        <f>IF($T999="","",IF($S999="S",IF(INDEX(Firms!$F$5:$F$1004,$T999)="","",INDEX(Firms!$F$5:$F$1004,$T999)),IF(INDEX('AFA Rates'!$E$5:$E$1004,$T999)="","",INDEX('AFA Rates'!$E$5:$E$1004,$T999))))</f>
        <v/>
      </c>
      <c r="H999" s="50">
        <f>IF($T999="","",IF($S999="S",IF(INDEX(Firms!$G$5:$G$1004,$T999)="","",INDEX(Firms!$G$5:$G$1004,$T999)),IF(INDEX('AFA Rates'!$F$5:$F$1004,$T999)="","",INDEX('AFA Rates'!$F$5:$F$1004,$T999))))</f>
        <v/>
      </c>
      <c r="I999" s="50">
        <f>IF($T999="","",IF($S999="S",IF(INDEX(Firms!$H$5:$H$1004,$T999)="","",INDEX(Firms!$H$5:$H$1004,$T999)),IF(INDEX('AFA Rates'!$G$5:$G$1004,$T999)="","",INDEX('AFA Rates'!$G$5:$G$1004,$T999))))</f>
        <v/>
      </c>
      <c r="J999" s="50">
        <f>IF($T999="","",IF($S999="S",IF(INDEX(Firms!$I$5:$I$1004,$T999)="","",INDEX(Firms!$I$5:$I$1004,$T999)),IF(INDEX('AFA Rates'!$H$5:$H$1004,$T999)="","",INDEX('AFA Rates'!$H$5:$H$1004,$T999))))</f>
        <v/>
      </c>
      <c r="K999" s="50">
        <f>IF($T999="","",IF($S999="S",IF(INDEX(Firms!$J$5:$J$1004,$T999)="","",INDEX(Firms!$J$5:$J$1004,$T999)),IF(INDEX('AFA Rates'!$I$5:$I$1004,$T999)="","",INDEX('AFA Rates'!$I$5:$I$1004,$T999))))</f>
        <v/>
      </c>
      <c r="L999" s="50">
        <f>IF($T999="","",IF($S999="S",IF(INDEX(Firms!$K$5:$K$1004,$T999)="","",INDEX(Firms!$K$5:$K$1004,$T999)),IF(INDEX('AFA Rates'!$J$5:$J$1004,$T999)="","",INDEX('AFA Rates'!$J$5:$J$1004,$T999))))</f>
        <v/>
      </c>
      <c r="M999" s="50">
        <f>IF($T999="","",IF($S999="S",IF(INDEX(Firms!$L$5:$L$1004,$T999)="","",INDEX(Firms!$L$5:$L$1004,$T999)),IF(INDEX('AFA Rates'!$K$5:$K$1004,$T999)="","",INDEX('AFA Rates'!$K$5:$K$1004,$T999))))</f>
        <v/>
      </c>
      <c r="N999" s="50">
        <f>IF($T999="","",IF($S999="S",IF(INDEX(Firms!$M$5:$M$1004,$T999)="","",INDEX(Firms!$M$5:$M$1004,$T999)),IF(INDEX('AFA Rates'!$L$5:$L$1004,$T999)="","",INDEX('AFA Rates'!$L$5:$L$1004,$T999))))</f>
        <v/>
      </c>
      <c r="O999" s="78">
        <f>IF(OR($T999="",$U999=""),"",IF(INDEX(Firms!$C$5:$C$1004,$U999)="","",INDEX(Firms!$C$5:$C$1004,$U999)))</f>
        <v/>
      </c>
      <c r="P999" s="79">
        <f>IF(OR($T999="",$U999=""),"",IF(INDEX(Firms!$N$5:$N$1004,$U999)="","",INDEX(Firms!$N$5:$N$1004,$U999)))</f>
        <v/>
      </c>
      <c r="Q999" s="78">
        <f>IF($T999="","",IF($S999="S",IF(INDEX(Firms!$T$5:$T$1004,$T999)="","",INDEX(Firms!$T$5:$T$1004,$T999)),IF(INDEX('AFA Rates'!$M$5:$M$1004,$T999)="","",INDEX('AFA Rates'!$M$5:$M$1004,$T999))))</f>
        <v/>
      </c>
      <c r="S999">
        <f>IF(995&lt;=$S$2,"S",IF(995&lt;=$S$2+$T$2,"A",""))</f>
        <v/>
      </c>
      <c r="T999">
        <f>IF(S999="S",MATCH(995,Firms!$W$5:$W$1004,0),IF(S999="A",IFERROR(MATCH(995-$S$2,'AFA Rates'!$R$5:$R$1004,0),""),""))</f>
        <v/>
      </c>
      <c r="U999">
        <f>IF(S999="S",T999,IF(AND(S999="A",T999&lt;&gt;""),IFERROR(MATCH(INDEX('AFA Rates'!$A$5:$A$1004,T999),Firms!$A$5:$A$1004,0),""),""))</f>
        <v/>
      </c>
    </row>
    <row r="1000">
      <c r="A1000" s="78">
        <f>IF($T1000="","",IF($S1000="S",IF(INDEX(Firms!$A$5:$A$1004,$T1000)="","",INDEX(Firms!$A$5:$A$1004,$T1000)),IF(INDEX('AFA Rates'!$A$5:$A$1004,$T1000)="","",INDEX('AFA Rates'!$A$5:$A$1004,$T1000))))</f>
        <v/>
      </c>
      <c r="B1000" s="79">
        <f>IF(OR($T1000="",$U1000=""),IF($T1000="","","Not on Firms tab"),INDEX(Firms!$B$5:$B$1004,$U1000)&amp;"")</f>
        <v/>
      </c>
      <c r="C1000" s="78">
        <f>IF($T1000="","",IF($S1000="S","Standard",INDEX('AFA Rates'!$B$5:$B$1004,$T1000)&amp;""))</f>
        <v/>
      </c>
      <c r="D1000" s="88">
        <f>IF($T1000="","",IF($S1000="S",IF(INDEX(Firms!$E$5:$E$1004,$T1000)="","",INDEX(Firms!$E$5:$E$1004,$T1000)),IF(INDEX('AFA Rates'!$C$5:$C$1004,$T1000)="","",INDEX('AFA Rates'!$C$5:$C$1004,$T1000))))</f>
        <v/>
      </c>
      <c r="E1000" s="88">
        <f>IF($T1000="","",IF($S1000="S",IF(""="","",""),IF(INDEX('AFA Rates'!$D$5:$D$1004,$T1000)="","",INDEX('AFA Rates'!$D$5:$D$1004,$T1000))))</f>
        <v/>
      </c>
      <c r="F1000" s="79">
        <f>IF($T1000="","",IF($S1000="S",IF(INDEX(Firms!$O$5:$O$1004,$T1000)="","",INDEX(Firms!$O$5:$O$1004,$T1000)),IF(INDEX('AFA Rates'!$O$5:$O$1004,$T1000)="","",INDEX('AFA Rates'!$O$5:$O$1004,$T1000))))</f>
        <v/>
      </c>
      <c r="G1000" s="50">
        <f>IF($T1000="","",IF($S1000="S",IF(INDEX(Firms!$F$5:$F$1004,$T1000)="","",INDEX(Firms!$F$5:$F$1004,$T1000)),IF(INDEX('AFA Rates'!$E$5:$E$1004,$T1000)="","",INDEX('AFA Rates'!$E$5:$E$1004,$T1000))))</f>
        <v/>
      </c>
      <c r="H1000" s="50">
        <f>IF($T1000="","",IF($S1000="S",IF(INDEX(Firms!$G$5:$G$1004,$T1000)="","",INDEX(Firms!$G$5:$G$1004,$T1000)),IF(INDEX('AFA Rates'!$F$5:$F$1004,$T1000)="","",INDEX('AFA Rates'!$F$5:$F$1004,$T1000))))</f>
        <v/>
      </c>
      <c r="I1000" s="50">
        <f>IF($T1000="","",IF($S1000="S",IF(INDEX(Firms!$H$5:$H$1004,$T1000)="","",INDEX(Firms!$H$5:$H$1004,$T1000)),IF(INDEX('AFA Rates'!$G$5:$G$1004,$T1000)="","",INDEX('AFA Rates'!$G$5:$G$1004,$T1000))))</f>
        <v/>
      </c>
      <c r="J1000" s="50">
        <f>IF($T1000="","",IF($S1000="S",IF(INDEX(Firms!$I$5:$I$1004,$T1000)="","",INDEX(Firms!$I$5:$I$1004,$T1000)),IF(INDEX('AFA Rates'!$H$5:$H$1004,$T1000)="","",INDEX('AFA Rates'!$H$5:$H$1004,$T1000))))</f>
        <v/>
      </c>
      <c r="K1000" s="50">
        <f>IF($T1000="","",IF($S1000="S",IF(INDEX(Firms!$J$5:$J$1004,$T1000)="","",INDEX(Firms!$J$5:$J$1004,$T1000)),IF(INDEX('AFA Rates'!$I$5:$I$1004,$T1000)="","",INDEX('AFA Rates'!$I$5:$I$1004,$T1000))))</f>
        <v/>
      </c>
      <c r="L1000" s="50">
        <f>IF($T1000="","",IF($S1000="S",IF(INDEX(Firms!$K$5:$K$1004,$T1000)="","",INDEX(Firms!$K$5:$K$1004,$T1000)),IF(INDEX('AFA Rates'!$J$5:$J$1004,$T1000)="","",INDEX('AFA Rates'!$J$5:$J$1004,$T1000))))</f>
        <v/>
      </c>
      <c r="M1000" s="50">
        <f>IF($T1000="","",IF($S1000="S",IF(INDEX(Firms!$L$5:$L$1004,$T1000)="","",INDEX(Firms!$L$5:$L$1004,$T1000)),IF(INDEX('AFA Rates'!$K$5:$K$1004,$T1000)="","",INDEX('AFA Rates'!$K$5:$K$1004,$T1000))))</f>
        <v/>
      </c>
      <c r="N1000" s="50">
        <f>IF($T1000="","",IF($S1000="S",IF(INDEX(Firms!$M$5:$M$1004,$T1000)="","",INDEX(Firms!$M$5:$M$1004,$T1000)),IF(INDEX('AFA Rates'!$L$5:$L$1004,$T1000)="","",INDEX('AFA Rates'!$L$5:$L$1004,$T1000))))</f>
        <v/>
      </c>
      <c r="O1000" s="78">
        <f>IF(OR($T1000="",$U1000=""),"",IF(INDEX(Firms!$C$5:$C$1004,$U1000)="","",INDEX(Firms!$C$5:$C$1004,$U1000)))</f>
        <v/>
      </c>
      <c r="P1000" s="79">
        <f>IF(OR($T1000="",$U1000=""),"",IF(INDEX(Firms!$N$5:$N$1004,$U1000)="","",INDEX(Firms!$N$5:$N$1004,$U1000)))</f>
        <v/>
      </c>
      <c r="Q1000" s="78">
        <f>IF($T1000="","",IF($S1000="S",IF(INDEX(Firms!$T$5:$T$1004,$T1000)="","",INDEX(Firms!$T$5:$T$1004,$T1000)),IF(INDEX('AFA Rates'!$M$5:$M$1004,$T1000)="","",INDEX('AFA Rates'!$M$5:$M$1004,$T1000))))</f>
        <v/>
      </c>
      <c r="S1000">
        <f>IF(996&lt;=$S$2,"S",IF(996&lt;=$S$2+$T$2,"A",""))</f>
        <v/>
      </c>
      <c r="T1000">
        <f>IF(S1000="S",MATCH(996,Firms!$W$5:$W$1004,0),IF(S1000="A",IFERROR(MATCH(996-$S$2,'AFA Rates'!$R$5:$R$1004,0),""),""))</f>
        <v/>
      </c>
      <c r="U1000">
        <f>IF(S1000="S",T1000,IF(AND(S1000="A",T1000&lt;&gt;""),IFERROR(MATCH(INDEX('AFA Rates'!$A$5:$A$1004,T1000),Firms!$A$5:$A$1004,0),""),""))</f>
        <v/>
      </c>
    </row>
    <row r="1001">
      <c r="A1001" s="78">
        <f>IF($T1001="","",IF($S1001="S",IF(INDEX(Firms!$A$5:$A$1004,$T1001)="","",INDEX(Firms!$A$5:$A$1004,$T1001)),IF(INDEX('AFA Rates'!$A$5:$A$1004,$T1001)="","",INDEX('AFA Rates'!$A$5:$A$1004,$T1001))))</f>
        <v/>
      </c>
      <c r="B1001" s="79">
        <f>IF(OR($T1001="",$U1001=""),IF($T1001="","","Not on Firms tab"),INDEX(Firms!$B$5:$B$1004,$U1001)&amp;"")</f>
        <v/>
      </c>
      <c r="C1001" s="78">
        <f>IF($T1001="","",IF($S1001="S","Standard",INDEX('AFA Rates'!$B$5:$B$1004,$T1001)&amp;""))</f>
        <v/>
      </c>
      <c r="D1001" s="88">
        <f>IF($T1001="","",IF($S1001="S",IF(INDEX(Firms!$E$5:$E$1004,$T1001)="","",INDEX(Firms!$E$5:$E$1004,$T1001)),IF(INDEX('AFA Rates'!$C$5:$C$1004,$T1001)="","",INDEX('AFA Rates'!$C$5:$C$1004,$T1001))))</f>
        <v/>
      </c>
      <c r="E1001" s="88">
        <f>IF($T1001="","",IF($S1001="S",IF(""="","",""),IF(INDEX('AFA Rates'!$D$5:$D$1004,$T1001)="","",INDEX('AFA Rates'!$D$5:$D$1004,$T1001))))</f>
        <v/>
      </c>
      <c r="F1001" s="79">
        <f>IF($T1001="","",IF($S1001="S",IF(INDEX(Firms!$O$5:$O$1004,$T1001)="","",INDEX(Firms!$O$5:$O$1004,$T1001)),IF(INDEX('AFA Rates'!$O$5:$O$1004,$T1001)="","",INDEX('AFA Rates'!$O$5:$O$1004,$T1001))))</f>
        <v/>
      </c>
      <c r="G1001" s="50">
        <f>IF($T1001="","",IF($S1001="S",IF(INDEX(Firms!$F$5:$F$1004,$T1001)="","",INDEX(Firms!$F$5:$F$1004,$T1001)),IF(INDEX('AFA Rates'!$E$5:$E$1004,$T1001)="","",INDEX('AFA Rates'!$E$5:$E$1004,$T1001))))</f>
        <v/>
      </c>
      <c r="H1001" s="50">
        <f>IF($T1001="","",IF($S1001="S",IF(INDEX(Firms!$G$5:$G$1004,$T1001)="","",INDEX(Firms!$G$5:$G$1004,$T1001)),IF(INDEX('AFA Rates'!$F$5:$F$1004,$T1001)="","",INDEX('AFA Rates'!$F$5:$F$1004,$T1001))))</f>
        <v/>
      </c>
      <c r="I1001" s="50">
        <f>IF($T1001="","",IF($S1001="S",IF(INDEX(Firms!$H$5:$H$1004,$T1001)="","",INDEX(Firms!$H$5:$H$1004,$T1001)),IF(INDEX('AFA Rates'!$G$5:$G$1004,$T1001)="","",INDEX('AFA Rates'!$G$5:$G$1004,$T1001))))</f>
        <v/>
      </c>
      <c r="J1001" s="50">
        <f>IF($T1001="","",IF($S1001="S",IF(INDEX(Firms!$I$5:$I$1004,$T1001)="","",INDEX(Firms!$I$5:$I$1004,$T1001)),IF(INDEX('AFA Rates'!$H$5:$H$1004,$T1001)="","",INDEX('AFA Rates'!$H$5:$H$1004,$T1001))))</f>
        <v/>
      </c>
      <c r="K1001" s="50">
        <f>IF($T1001="","",IF($S1001="S",IF(INDEX(Firms!$J$5:$J$1004,$T1001)="","",INDEX(Firms!$J$5:$J$1004,$T1001)),IF(INDEX('AFA Rates'!$I$5:$I$1004,$T1001)="","",INDEX('AFA Rates'!$I$5:$I$1004,$T1001))))</f>
        <v/>
      </c>
      <c r="L1001" s="50">
        <f>IF($T1001="","",IF($S1001="S",IF(INDEX(Firms!$K$5:$K$1004,$T1001)="","",INDEX(Firms!$K$5:$K$1004,$T1001)),IF(INDEX('AFA Rates'!$J$5:$J$1004,$T1001)="","",INDEX('AFA Rates'!$J$5:$J$1004,$T1001))))</f>
        <v/>
      </c>
      <c r="M1001" s="50">
        <f>IF($T1001="","",IF($S1001="S",IF(INDEX(Firms!$L$5:$L$1004,$T1001)="","",INDEX(Firms!$L$5:$L$1004,$T1001)),IF(INDEX('AFA Rates'!$K$5:$K$1004,$T1001)="","",INDEX('AFA Rates'!$K$5:$K$1004,$T1001))))</f>
        <v/>
      </c>
      <c r="N1001" s="50">
        <f>IF($T1001="","",IF($S1001="S",IF(INDEX(Firms!$M$5:$M$1004,$T1001)="","",INDEX(Firms!$M$5:$M$1004,$T1001)),IF(INDEX('AFA Rates'!$L$5:$L$1004,$T1001)="","",INDEX('AFA Rates'!$L$5:$L$1004,$T1001))))</f>
        <v/>
      </c>
      <c r="O1001" s="78">
        <f>IF(OR($T1001="",$U1001=""),"",IF(INDEX(Firms!$C$5:$C$1004,$U1001)="","",INDEX(Firms!$C$5:$C$1004,$U1001)))</f>
        <v/>
      </c>
      <c r="P1001" s="79">
        <f>IF(OR($T1001="",$U1001=""),"",IF(INDEX(Firms!$N$5:$N$1004,$U1001)="","",INDEX(Firms!$N$5:$N$1004,$U1001)))</f>
        <v/>
      </c>
      <c r="Q1001" s="78">
        <f>IF($T1001="","",IF($S1001="S",IF(INDEX(Firms!$T$5:$T$1004,$T1001)="","",INDEX(Firms!$T$5:$T$1004,$T1001)),IF(INDEX('AFA Rates'!$M$5:$M$1004,$T1001)="","",INDEX('AFA Rates'!$M$5:$M$1004,$T1001))))</f>
        <v/>
      </c>
      <c r="S1001">
        <f>IF(997&lt;=$S$2,"S",IF(997&lt;=$S$2+$T$2,"A",""))</f>
        <v/>
      </c>
      <c r="T1001">
        <f>IF(S1001="S",MATCH(997,Firms!$W$5:$W$1004,0),IF(S1001="A",IFERROR(MATCH(997-$S$2,'AFA Rates'!$R$5:$R$1004,0),""),""))</f>
        <v/>
      </c>
      <c r="U1001">
        <f>IF(S1001="S",T1001,IF(AND(S1001="A",T1001&lt;&gt;""),IFERROR(MATCH(INDEX('AFA Rates'!$A$5:$A$1004,T1001),Firms!$A$5:$A$1004,0),""),""))</f>
        <v/>
      </c>
    </row>
    <row r="1002">
      <c r="A1002" s="78">
        <f>IF($T1002="","",IF($S1002="S",IF(INDEX(Firms!$A$5:$A$1004,$T1002)="","",INDEX(Firms!$A$5:$A$1004,$T1002)),IF(INDEX('AFA Rates'!$A$5:$A$1004,$T1002)="","",INDEX('AFA Rates'!$A$5:$A$1004,$T1002))))</f>
        <v/>
      </c>
      <c r="B1002" s="79">
        <f>IF(OR($T1002="",$U1002=""),IF($T1002="","","Not on Firms tab"),INDEX(Firms!$B$5:$B$1004,$U1002)&amp;"")</f>
        <v/>
      </c>
      <c r="C1002" s="78">
        <f>IF($T1002="","",IF($S1002="S","Standard",INDEX('AFA Rates'!$B$5:$B$1004,$T1002)&amp;""))</f>
        <v/>
      </c>
      <c r="D1002" s="88">
        <f>IF($T1002="","",IF($S1002="S",IF(INDEX(Firms!$E$5:$E$1004,$T1002)="","",INDEX(Firms!$E$5:$E$1004,$T1002)),IF(INDEX('AFA Rates'!$C$5:$C$1004,$T1002)="","",INDEX('AFA Rates'!$C$5:$C$1004,$T1002))))</f>
        <v/>
      </c>
      <c r="E1002" s="88">
        <f>IF($T1002="","",IF($S1002="S",IF(""="","",""),IF(INDEX('AFA Rates'!$D$5:$D$1004,$T1002)="","",INDEX('AFA Rates'!$D$5:$D$1004,$T1002))))</f>
        <v/>
      </c>
      <c r="F1002" s="79">
        <f>IF($T1002="","",IF($S1002="S",IF(INDEX(Firms!$O$5:$O$1004,$T1002)="","",INDEX(Firms!$O$5:$O$1004,$T1002)),IF(INDEX('AFA Rates'!$O$5:$O$1004,$T1002)="","",INDEX('AFA Rates'!$O$5:$O$1004,$T1002))))</f>
        <v/>
      </c>
      <c r="G1002" s="50">
        <f>IF($T1002="","",IF($S1002="S",IF(INDEX(Firms!$F$5:$F$1004,$T1002)="","",INDEX(Firms!$F$5:$F$1004,$T1002)),IF(INDEX('AFA Rates'!$E$5:$E$1004,$T1002)="","",INDEX('AFA Rates'!$E$5:$E$1004,$T1002))))</f>
        <v/>
      </c>
      <c r="H1002" s="50">
        <f>IF($T1002="","",IF($S1002="S",IF(INDEX(Firms!$G$5:$G$1004,$T1002)="","",INDEX(Firms!$G$5:$G$1004,$T1002)),IF(INDEX('AFA Rates'!$F$5:$F$1004,$T1002)="","",INDEX('AFA Rates'!$F$5:$F$1004,$T1002))))</f>
        <v/>
      </c>
      <c r="I1002" s="50">
        <f>IF($T1002="","",IF($S1002="S",IF(INDEX(Firms!$H$5:$H$1004,$T1002)="","",INDEX(Firms!$H$5:$H$1004,$T1002)),IF(INDEX('AFA Rates'!$G$5:$G$1004,$T1002)="","",INDEX('AFA Rates'!$G$5:$G$1004,$T1002))))</f>
        <v/>
      </c>
      <c r="J1002" s="50">
        <f>IF($T1002="","",IF($S1002="S",IF(INDEX(Firms!$I$5:$I$1004,$T1002)="","",INDEX(Firms!$I$5:$I$1004,$T1002)),IF(INDEX('AFA Rates'!$H$5:$H$1004,$T1002)="","",INDEX('AFA Rates'!$H$5:$H$1004,$T1002))))</f>
        <v/>
      </c>
      <c r="K1002" s="50">
        <f>IF($T1002="","",IF($S1002="S",IF(INDEX(Firms!$J$5:$J$1004,$T1002)="","",INDEX(Firms!$J$5:$J$1004,$T1002)),IF(INDEX('AFA Rates'!$I$5:$I$1004,$T1002)="","",INDEX('AFA Rates'!$I$5:$I$1004,$T1002))))</f>
        <v/>
      </c>
      <c r="L1002" s="50">
        <f>IF($T1002="","",IF($S1002="S",IF(INDEX(Firms!$K$5:$K$1004,$T1002)="","",INDEX(Firms!$K$5:$K$1004,$T1002)),IF(INDEX('AFA Rates'!$J$5:$J$1004,$T1002)="","",INDEX('AFA Rates'!$J$5:$J$1004,$T1002))))</f>
        <v/>
      </c>
      <c r="M1002" s="50">
        <f>IF($T1002="","",IF($S1002="S",IF(INDEX(Firms!$L$5:$L$1004,$T1002)="","",INDEX(Firms!$L$5:$L$1004,$T1002)),IF(INDEX('AFA Rates'!$K$5:$K$1004,$T1002)="","",INDEX('AFA Rates'!$K$5:$K$1004,$T1002))))</f>
        <v/>
      </c>
      <c r="N1002" s="50">
        <f>IF($T1002="","",IF($S1002="S",IF(INDEX(Firms!$M$5:$M$1004,$T1002)="","",INDEX(Firms!$M$5:$M$1004,$T1002)),IF(INDEX('AFA Rates'!$L$5:$L$1004,$T1002)="","",INDEX('AFA Rates'!$L$5:$L$1004,$T1002))))</f>
        <v/>
      </c>
      <c r="O1002" s="78">
        <f>IF(OR($T1002="",$U1002=""),"",IF(INDEX(Firms!$C$5:$C$1004,$U1002)="","",INDEX(Firms!$C$5:$C$1004,$U1002)))</f>
        <v/>
      </c>
      <c r="P1002" s="79">
        <f>IF(OR($T1002="",$U1002=""),"",IF(INDEX(Firms!$N$5:$N$1004,$U1002)="","",INDEX(Firms!$N$5:$N$1004,$U1002)))</f>
        <v/>
      </c>
      <c r="Q1002" s="78">
        <f>IF($T1002="","",IF($S1002="S",IF(INDEX(Firms!$T$5:$T$1004,$T1002)="","",INDEX(Firms!$T$5:$T$1004,$T1002)),IF(INDEX('AFA Rates'!$M$5:$M$1004,$T1002)="","",INDEX('AFA Rates'!$M$5:$M$1004,$T1002))))</f>
        <v/>
      </c>
      <c r="S1002">
        <f>IF(998&lt;=$S$2,"S",IF(998&lt;=$S$2+$T$2,"A",""))</f>
        <v/>
      </c>
      <c r="T1002">
        <f>IF(S1002="S",MATCH(998,Firms!$W$5:$W$1004,0),IF(S1002="A",IFERROR(MATCH(998-$S$2,'AFA Rates'!$R$5:$R$1004,0),""),""))</f>
        <v/>
      </c>
      <c r="U1002">
        <f>IF(S1002="S",T1002,IF(AND(S1002="A",T1002&lt;&gt;""),IFERROR(MATCH(INDEX('AFA Rates'!$A$5:$A$1004,T1002),Firms!$A$5:$A$1004,0),""),""))</f>
        <v/>
      </c>
    </row>
    <row r="1003">
      <c r="A1003" s="78">
        <f>IF($T1003="","",IF($S1003="S",IF(INDEX(Firms!$A$5:$A$1004,$T1003)="","",INDEX(Firms!$A$5:$A$1004,$T1003)),IF(INDEX('AFA Rates'!$A$5:$A$1004,$T1003)="","",INDEX('AFA Rates'!$A$5:$A$1004,$T1003))))</f>
        <v/>
      </c>
      <c r="B1003" s="79">
        <f>IF(OR($T1003="",$U1003=""),IF($T1003="","","Not on Firms tab"),INDEX(Firms!$B$5:$B$1004,$U1003)&amp;"")</f>
        <v/>
      </c>
      <c r="C1003" s="78">
        <f>IF($T1003="","",IF($S1003="S","Standard",INDEX('AFA Rates'!$B$5:$B$1004,$T1003)&amp;""))</f>
        <v/>
      </c>
      <c r="D1003" s="88">
        <f>IF($T1003="","",IF($S1003="S",IF(INDEX(Firms!$E$5:$E$1004,$T1003)="","",INDEX(Firms!$E$5:$E$1004,$T1003)),IF(INDEX('AFA Rates'!$C$5:$C$1004,$T1003)="","",INDEX('AFA Rates'!$C$5:$C$1004,$T1003))))</f>
        <v/>
      </c>
      <c r="E1003" s="88">
        <f>IF($T1003="","",IF($S1003="S",IF(""="","",""),IF(INDEX('AFA Rates'!$D$5:$D$1004,$T1003)="","",INDEX('AFA Rates'!$D$5:$D$1004,$T1003))))</f>
        <v/>
      </c>
      <c r="F1003" s="79">
        <f>IF($T1003="","",IF($S1003="S",IF(INDEX(Firms!$O$5:$O$1004,$T1003)="","",INDEX(Firms!$O$5:$O$1004,$T1003)),IF(INDEX('AFA Rates'!$O$5:$O$1004,$T1003)="","",INDEX('AFA Rates'!$O$5:$O$1004,$T1003))))</f>
        <v/>
      </c>
      <c r="G1003" s="50">
        <f>IF($T1003="","",IF($S1003="S",IF(INDEX(Firms!$F$5:$F$1004,$T1003)="","",INDEX(Firms!$F$5:$F$1004,$T1003)),IF(INDEX('AFA Rates'!$E$5:$E$1004,$T1003)="","",INDEX('AFA Rates'!$E$5:$E$1004,$T1003))))</f>
        <v/>
      </c>
      <c r="H1003" s="50">
        <f>IF($T1003="","",IF($S1003="S",IF(INDEX(Firms!$G$5:$G$1004,$T1003)="","",INDEX(Firms!$G$5:$G$1004,$T1003)),IF(INDEX('AFA Rates'!$F$5:$F$1004,$T1003)="","",INDEX('AFA Rates'!$F$5:$F$1004,$T1003))))</f>
        <v/>
      </c>
      <c r="I1003" s="50">
        <f>IF($T1003="","",IF($S1003="S",IF(INDEX(Firms!$H$5:$H$1004,$T1003)="","",INDEX(Firms!$H$5:$H$1004,$T1003)),IF(INDEX('AFA Rates'!$G$5:$G$1004,$T1003)="","",INDEX('AFA Rates'!$G$5:$G$1004,$T1003))))</f>
        <v/>
      </c>
      <c r="J1003" s="50">
        <f>IF($T1003="","",IF($S1003="S",IF(INDEX(Firms!$I$5:$I$1004,$T1003)="","",INDEX(Firms!$I$5:$I$1004,$T1003)),IF(INDEX('AFA Rates'!$H$5:$H$1004,$T1003)="","",INDEX('AFA Rates'!$H$5:$H$1004,$T1003))))</f>
        <v/>
      </c>
      <c r="K1003" s="50">
        <f>IF($T1003="","",IF($S1003="S",IF(INDEX(Firms!$J$5:$J$1004,$T1003)="","",INDEX(Firms!$J$5:$J$1004,$T1003)),IF(INDEX('AFA Rates'!$I$5:$I$1004,$T1003)="","",INDEX('AFA Rates'!$I$5:$I$1004,$T1003))))</f>
        <v/>
      </c>
      <c r="L1003" s="50">
        <f>IF($T1003="","",IF($S1003="S",IF(INDEX(Firms!$K$5:$K$1004,$T1003)="","",INDEX(Firms!$K$5:$K$1004,$T1003)),IF(INDEX('AFA Rates'!$J$5:$J$1004,$T1003)="","",INDEX('AFA Rates'!$J$5:$J$1004,$T1003))))</f>
        <v/>
      </c>
      <c r="M1003" s="50">
        <f>IF($T1003="","",IF($S1003="S",IF(INDEX(Firms!$L$5:$L$1004,$T1003)="","",INDEX(Firms!$L$5:$L$1004,$T1003)),IF(INDEX('AFA Rates'!$K$5:$K$1004,$T1003)="","",INDEX('AFA Rates'!$K$5:$K$1004,$T1003))))</f>
        <v/>
      </c>
      <c r="N1003" s="50">
        <f>IF($T1003="","",IF($S1003="S",IF(INDEX(Firms!$M$5:$M$1004,$T1003)="","",INDEX(Firms!$M$5:$M$1004,$T1003)),IF(INDEX('AFA Rates'!$L$5:$L$1004,$T1003)="","",INDEX('AFA Rates'!$L$5:$L$1004,$T1003))))</f>
        <v/>
      </c>
      <c r="O1003" s="78">
        <f>IF(OR($T1003="",$U1003=""),"",IF(INDEX(Firms!$C$5:$C$1004,$U1003)="","",INDEX(Firms!$C$5:$C$1004,$U1003)))</f>
        <v/>
      </c>
      <c r="P1003" s="79">
        <f>IF(OR($T1003="",$U1003=""),"",IF(INDEX(Firms!$N$5:$N$1004,$U1003)="","",INDEX(Firms!$N$5:$N$1004,$U1003)))</f>
        <v/>
      </c>
      <c r="Q1003" s="78">
        <f>IF($T1003="","",IF($S1003="S",IF(INDEX(Firms!$T$5:$T$1004,$T1003)="","",INDEX(Firms!$T$5:$T$1004,$T1003)),IF(INDEX('AFA Rates'!$M$5:$M$1004,$T1003)="","",INDEX('AFA Rates'!$M$5:$M$1004,$T1003))))</f>
        <v/>
      </c>
      <c r="S1003">
        <f>IF(999&lt;=$S$2,"S",IF(999&lt;=$S$2+$T$2,"A",""))</f>
        <v/>
      </c>
      <c r="T1003">
        <f>IF(S1003="S",MATCH(999,Firms!$W$5:$W$1004,0),IF(S1003="A",IFERROR(MATCH(999-$S$2,'AFA Rates'!$R$5:$R$1004,0),""),""))</f>
        <v/>
      </c>
      <c r="U1003">
        <f>IF(S1003="S",T1003,IF(AND(S1003="A",T1003&lt;&gt;""),IFERROR(MATCH(INDEX('AFA Rates'!$A$5:$A$1004,T1003),Firms!$A$5:$A$1004,0),""),""))</f>
        <v/>
      </c>
    </row>
    <row r="1004">
      <c r="A1004" s="78">
        <f>IF($T1004="","",IF($S1004="S",IF(INDEX(Firms!$A$5:$A$1004,$T1004)="","",INDEX(Firms!$A$5:$A$1004,$T1004)),IF(INDEX('AFA Rates'!$A$5:$A$1004,$T1004)="","",INDEX('AFA Rates'!$A$5:$A$1004,$T1004))))</f>
        <v/>
      </c>
      <c r="B1004" s="79">
        <f>IF(OR($T1004="",$U1004=""),IF($T1004="","","Not on Firms tab"),INDEX(Firms!$B$5:$B$1004,$U1004)&amp;"")</f>
        <v/>
      </c>
      <c r="C1004" s="78">
        <f>IF($T1004="","",IF($S1004="S","Standard",INDEX('AFA Rates'!$B$5:$B$1004,$T1004)&amp;""))</f>
        <v/>
      </c>
      <c r="D1004" s="88">
        <f>IF($T1004="","",IF($S1004="S",IF(INDEX(Firms!$E$5:$E$1004,$T1004)="","",INDEX(Firms!$E$5:$E$1004,$T1004)),IF(INDEX('AFA Rates'!$C$5:$C$1004,$T1004)="","",INDEX('AFA Rates'!$C$5:$C$1004,$T1004))))</f>
        <v/>
      </c>
      <c r="E1004" s="88">
        <f>IF($T1004="","",IF($S1004="S",IF(""="","",""),IF(INDEX('AFA Rates'!$D$5:$D$1004,$T1004)="","",INDEX('AFA Rates'!$D$5:$D$1004,$T1004))))</f>
        <v/>
      </c>
      <c r="F1004" s="79">
        <f>IF($T1004="","",IF($S1004="S",IF(INDEX(Firms!$O$5:$O$1004,$T1004)="","",INDEX(Firms!$O$5:$O$1004,$T1004)),IF(INDEX('AFA Rates'!$O$5:$O$1004,$T1004)="","",INDEX('AFA Rates'!$O$5:$O$1004,$T1004))))</f>
        <v/>
      </c>
      <c r="G1004" s="50">
        <f>IF($T1004="","",IF($S1004="S",IF(INDEX(Firms!$F$5:$F$1004,$T1004)="","",INDEX(Firms!$F$5:$F$1004,$T1004)),IF(INDEX('AFA Rates'!$E$5:$E$1004,$T1004)="","",INDEX('AFA Rates'!$E$5:$E$1004,$T1004))))</f>
        <v/>
      </c>
      <c r="H1004" s="50">
        <f>IF($T1004="","",IF($S1004="S",IF(INDEX(Firms!$G$5:$G$1004,$T1004)="","",INDEX(Firms!$G$5:$G$1004,$T1004)),IF(INDEX('AFA Rates'!$F$5:$F$1004,$T1004)="","",INDEX('AFA Rates'!$F$5:$F$1004,$T1004))))</f>
        <v/>
      </c>
      <c r="I1004" s="50">
        <f>IF($T1004="","",IF($S1004="S",IF(INDEX(Firms!$H$5:$H$1004,$T1004)="","",INDEX(Firms!$H$5:$H$1004,$T1004)),IF(INDEX('AFA Rates'!$G$5:$G$1004,$T1004)="","",INDEX('AFA Rates'!$G$5:$G$1004,$T1004))))</f>
        <v/>
      </c>
      <c r="J1004" s="50">
        <f>IF($T1004="","",IF($S1004="S",IF(INDEX(Firms!$I$5:$I$1004,$T1004)="","",INDEX(Firms!$I$5:$I$1004,$T1004)),IF(INDEX('AFA Rates'!$H$5:$H$1004,$T1004)="","",INDEX('AFA Rates'!$H$5:$H$1004,$T1004))))</f>
        <v/>
      </c>
      <c r="K1004" s="50">
        <f>IF($T1004="","",IF($S1004="S",IF(INDEX(Firms!$J$5:$J$1004,$T1004)="","",INDEX(Firms!$J$5:$J$1004,$T1004)),IF(INDEX('AFA Rates'!$I$5:$I$1004,$T1004)="","",INDEX('AFA Rates'!$I$5:$I$1004,$T1004))))</f>
        <v/>
      </c>
      <c r="L1004" s="50">
        <f>IF($T1004="","",IF($S1004="S",IF(INDEX(Firms!$K$5:$K$1004,$T1004)="","",INDEX(Firms!$K$5:$K$1004,$T1004)),IF(INDEX('AFA Rates'!$J$5:$J$1004,$T1004)="","",INDEX('AFA Rates'!$J$5:$J$1004,$T1004))))</f>
        <v/>
      </c>
      <c r="M1004" s="50">
        <f>IF($T1004="","",IF($S1004="S",IF(INDEX(Firms!$L$5:$L$1004,$T1004)="","",INDEX(Firms!$L$5:$L$1004,$T1004)),IF(INDEX('AFA Rates'!$K$5:$K$1004,$T1004)="","",INDEX('AFA Rates'!$K$5:$K$1004,$T1004))))</f>
        <v/>
      </c>
      <c r="N1004" s="50">
        <f>IF($T1004="","",IF($S1004="S",IF(INDEX(Firms!$M$5:$M$1004,$T1004)="","",INDEX(Firms!$M$5:$M$1004,$T1004)),IF(INDEX('AFA Rates'!$L$5:$L$1004,$T1004)="","",INDEX('AFA Rates'!$L$5:$L$1004,$T1004))))</f>
        <v/>
      </c>
      <c r="O1004" s="78">
        <f>IF(OR($T1004="",$U1004=""),"",IF(INDEX(Firms!$C$5:$C$1004,$U1004)="","",INDEX(Firms!$C$5:$C$1004,$U1004)))</f>
        <v/>
      </c>
      <c r="P1004" s="79">
        <f>IF(OR($T1004="",$U1004=""),"",IF(INDEX(Firms!$N$5:$N$1004,$U1004)="","",INDEX(Firms!$N$5:$N$1004,$U1004)))</f>
        <v/>
      </c>
      <c r="Q1004" s="78">
        <f>IF($T1004="","",IF($S1004="S",IF(INDEX(Firms!$T$5:$T$1004,$T1004)="","",INDEX(Firms!$T$5:$T$1004,$T1004)),IF(INDEX('AFA Rates'!$M$5:$M$1004,$T1004)="","",INDEX('AFA Rates'!$M$5:$M$1004,$T1004))))</f>
        <v/>
      </c>
      <c r="S1004">
        <f>IF(1000&lt;=$S$2,"S",IF(1000&lt;=$S$2+$T$2,"A",""))</f>
        <v/>
      </c>
      <c r="T1004">
        <f>IF(S1004="S",MATCH(1000,Firms!$W$5:$W$1004,0),IF(S1004="A",IFERROR(MATCH(1000-$S$2,'AFA Rates'!$R$5:$R$1004,0),""),""))</f>
        <v/>
      </c>
      <c r="U1004">
        <f>IF(S1004="S",T1004,IF(AND(S1004="A",T1004&lt;&gt;""),IFERROR(MATCH(INDEX('AFA Rates'!$A$5:$A$1004,T1004),Firms!$A$5:$A$1004,0),""),""))</f>
        <v/>
      </c>
    </row>
    <row r="1005">
      <c r="A1005" s="78">
        <f>IF($T1005="","",IF($S1005="S",IF(INDEX(Firms!$A$5:$A$1004,$T1005)="","",INDEX(Firms!$A$5:$A$1004,$T1005)),IF(INDEX('AFA Rates'!$A$5:$A$1004,$T1005)="","",INDEX('AFA Rates'!$A$5:$A$1004,$T1005))))</f>
        <v/>
      </c>
      <c r="B1005" s="79">
        <f>IF(OR($T1005="",$U1005=""),IF($T1005="","","Not on Firms tab"),INDEX(Firms!$B$5:$B$1004,$U1005)&amp;"")</f>
        <v/>
      </c>
      <c r="C1005" s="78">
        <f>IF($T1005="","",IF($S1005="S","Standard",INDEX('AFA Rates'!$B$5:$B$1004,$T1005)&amp;""))</f>
        <v/>
      </c>
      <c r="D1005" s="88">
        <f>IF($T1005="","",IF($S1005="S",IF(INDEX(Firms!$E$5:$E$1004,$T1005)="","",INDEX(Firms!$E$5:$E$1004,$T1005)),IF(INDEX('AFA Rates'!$C$5:$C$1004,$T1005)="","",INDEX('AFA Rates'!$C$5:$C$1004,$T1005))))</f>
        <v/>
      </c>
      <c r="E1005" s="88">
        <f>IF($T1005="","",IF($S1005="S",IF(""="","",""),IF(INDEX('AFA Rates'!$D$5:$D$1004,$T1005)="","",INDEX('AFA Rates'!$D$5:$D$1004,$T1005))))</f>
        <v/>
      </c>
      <c r="F1005" s="79">
        <f>IF($T1005="","",IF($S1005="S",IF(INDEX(Firms!$O$5:$O$1004,$T1005)="","",INDEX(Firms!$O$5:$O$1004,$T1005)),IF(INDEX('AFA Rates'!$O$5:$O$1004,$T1005)="","",INDEX('AFA Rates'!$O$5:$O$1004,$T1005))))</f>
        <v/>
      </c>
      <c r="G1005" s="50">
        <f>IF($T1005="","",IF($S1005="S",IF(INDEX(Firms!$F$5:$F$1004,$T1005)="","",INDEX(Firms!$F$5:$F$1004,$T1005)),IF(INDEX('AFA Rates'!$E$5:$E$1004,$T1005)="","",INDEX('AFA Rates'!$E$5:$E$1004,$T1005))))</f>
        <v/>
      </c>
      <c r="H1005" s="50">
        <f>IF($T1005="","",IF($S1005="S",IF(INDEX(Firms!$G$5:$G$1004,$T1005)="","",INDEX(Firms!$G$5:$G$1004,$T1005)),IF(INDEX('AFA Rates'!$F$5:$F$1004,$T1005)="","",INDEX('AFA Rates'!$F$5:$F$1004,$T1005))))</f>
        <v/>
      </c>
      <c r="I1005" s="50">
        <f>IF($T1005="","",IF($S1005="S",IF(INDEX(Firms!$H$5:$H$1004,$T1005)="","",INDEX(Firms!$H$5:$H$1004,$T1005)),IF(INDEX('AFA Rates'!$G$5:$G$1004,$T1005)="","",INDEX('AFA Rates'!$G$5:$G$1004,$T1005))))</f>
        <v/>
      </c>
      <c r="J1005" s="50">
        <f>IF($T1005="","",IF($S1005="S",IF(INDEX(Firms!$I$5:$I$1004,$T1005)="","",INDEX(Firms!$I$5:$I$1004,$T1005)),IF(INDEX('AFA Rates'!$H$5:$H$1004,$T1005)="","",INDEX('AFA Rates'!$H$5:$H$1004,$T1005))))</f>
        <v/>
      </c>
      <c r="K1005" s="50">
        <f>IF($T1005="","",IF($S1005="S",IF(INDEX(Firms!$J$5:$J$1004,$T1005)="","",INDEX(Firms!$J$5:$J$1004,$T1005)),IF(INDEX('AFA Rates'!$I$5:$I$1004,$T1005)="","",INDEX('AFA Rates'!$I$5:$I$1004,$T1005))))</f>
        <v/>
      </c>
      <c r="L1005" s="50">
        <f>IF($T1005="","",IF($S1005="S",IF(INDEX(Firms!$K$5:$K$1004,$T1005)="","",INDEX(Firms!$K$5:$K$1004,$T1005)),IF(INDEX('AFA Rates'!$J$5:$J$1004,$T1005)="","",INDEX('AFA Rates'!$J$5:$J$1004,$T1005))))</f>
        <v/>
      </c>
      <c r="M1005" s="50">
        <f>IF($T1005="","",IF($S1005="S",IF(INDEX(Firms!$L$5:$L$1004,$T1005)="","",INDEX(Firms!$L$5:$L$1004,$T1005)),IF(INDEX('AFA Rates'!$K$5:$K$1004,$T1005)="","",INDEX('AFA Rates'!$K$5:$K$1004,$T1005))))</f>
        <v/>
      </c>
      <c r="N1005" s="50">
        <f>IF($T1005="","",IF($S1005="S",IF(INDEX(Firms!$M$5:$M$1004,$T1005)="","",INDEX(Firms!$M$5:$M$1004,$T1005)),IF(INDEX('AFA Rates'!$L$5:$L$1004,$T1005)="","",INDEX('AFA Rates'!$L$5:$L$1004,$T1005))))</f>
        <v/>
      </c>
      <c r="O1005" s="78">
        <f>IF(OR($T1005="",$U1005=""),"",IF(INDEX(Firms!$C$5:$C$1004,$U1005)="","",INDEX(Firms!$C$5:$C$1004,$U1005)))</f>
        <v/>
      </c>
      <c r="P1005" s="79">
        <f>IF(OR($T1005="",$U1005=""),"",IF(INDEX(Firms!$N$5:$N$1004,$U1005)="","",INDEX(Firms!$N$5:$N$1004,$U1005)))</f>
        <v/>
      </c>
      <c r="Q1005" s="78">
        <f>IF($T1005="","",IF($S1005="S",IF(INDEX(Firms!$T$5:$T$1004,$T1005)="","",INDEX(Firms!$T$5:$T$1004,$T1005)),IF(INDEX('AFA Rates'!$M$5:$M$1004,$T1005)="","",INDEX('AFA Rates'!$M$5:$M$1004,$T1005))))</f>
        <v/>
      </c>
      <c r="S1005">
        <f>IF(1001&lt;=$S$2,"S",IF(1001&lt;=$S$2+$T$2,"A",""))</f>
        <v/>
      </c>
      <c r="T1005">
        <f>IF(S1005="S",MATCH(1001,Firms!$W$5:$W$1004,0),IF(S1005="A",IFERROR(MATCH(1001-$S$2,'AFA Rates'!$R$5:$R$1004,0),""),""))</f>
        <v/>
      </c>
      <c r="U1005">
        <f>IF(S1005="S",T1005,IF(AND(S1005="A",T1005&lt;&gt;""),IFERROR(MATCH(INDEX('AFA Rates'!$A$5:$A$1004,T1005),Firms!$A$5:$A$1004,0),""),""))</f>
        <v/>
      </c>
    </row>
    <row r="1006">
      <c r="A1006" s="78">
        <f>IF($T1006="","",IF($S1006="S",IF(INDEX(Firms!$A$5:$A$1004,$T1006)="","",INDEX(Firms!$A$5:$A$1004,$T1006)),IF(INDEX('AFA Rates'!$A$5:$A$1004,$T1006)="","",INDEX('AFA Rates'!$A$5:$A$1004,$T1006))))</f>
        <v/>
      </c>
      <c r="B1006" s="79">
        <f>IF(OR($T1006="",$U1006=""),IF($T1006="","","Not on Firms tab"),INDEX(Firms!$B$5:$B$1004,$U1006)&amp;"")</f>
        <v/>
      </c>
      <c r="C1006" s="78">
        <f>IF($T1006="","",IF($S1006="S","Standard",INDEX('AFA Rates'!$B$5:$B$1004,$T1006)&amp;""))</f>
        <v/>
      </c>
      <c r="D1006" s="88">
        <f>IF($T1006="","",IF($S1006="S",IF(INDEX(Firms!$E$5:$E$1004,$T1006)="","",INDEX(Firms!$E$5:$E$1004,$T1006)),IF(INDEX('AFA Rates'!$C$5:$C$1004,$T1006)="","",INDEX('AFA Rates'!$C$5:$C$1004,$T1006))))</f>
        <v/>
      </c>
      <c r="E1006" s="88">
        <f>IF($T1006="","",IF($S1006="S",IF(""="","",""),IF(INDEX('AFA Rates'!$D$5:$D$1004,$T1006)="","",INDEX('AFA Rates'!$D$5:$D$1004,$T1006))))</f>
        <v/>
      </c>
      <c r="F1006" s="79">
        <f>IF($T1006="","",IF($S1006="S",IF(INDEX(Firms!$O$5:$O$1004,$T1006)="","",INDEX(Firms!$O$5:$O$1004,$T1006)),IF(INDEX('AFA Rates'!$O$5:$O$1004,$T1006)="","",INDEX('AFA Rates'!$O$5:$O$1004,$T1006))))</f>
        <v/>
      </c>
      <c r="G1006" s="50">
        <f>IF($T1006="","",IF($S1006="S",IF(INDEX(Firms!$F$5:$F$1004,$T1006)="","",INDEX(Firms!$F$5:$F$1004,$T1006)),IF(INDEX('AFA Rates'!$E$5:$E$1004,$T1006)="","",INDEX('AFA Rates'!$E$5:$E$1004,$T1006))))</f>
        <v/>
      </c>
      <c r="H1006" s="50">
        <f>IF($T1006="","",IF($S1006="S",IF(INDEX(Firms!$G$5:$G$1004,$T1006)="","",INDEX(Firms!$G$5:$G$1004,$T1006)),IF(INDEX('AFA Rates'!$F$5:$F$1004,$T1006)="","",INDEX('AFA Rates'!$F$5:$F$1004,$T1006))))</f>
        <v/>
      </c>
      <c r="I1006" s="50">
        <f>IF($T1006="","",IF($S1006="S",IF(INDEX(Firms!$H$5:$H$1004,$T1006)="","",INDEX(Firms!$H$5:$H$1004,$T1006)),IF(INDEX('AFA Rates'!$G$5:$G$1004,$T1006)="","",INDEX('AFA Rates'!$G$5:$G$1004,$T1006))))</f>
        <v/>
      </c>
      <c r="J1006" s="50">
        <f>IF($T1006="","",IF($S1006="S",IF(INDEX(Firms!$I$5:$I$1004,$T1006)="","",INDEX(Firms!$I$5:$I$1004,$T1006)),IF(INDEX('AFA Rates'!$H$5:$H$1004,$T1006)="","",INDEX('AFA Rates'!$H$5:$H$1004,$T1006))))</f>
        <v/>
      </c>
      <c r="K1006" s="50">
        <f>IF($T1006="","",IF($S1006="S",IF(INDEX(Firms!$J$5:$J$1004,$T1006)="","",INDEX(Firms!$J$5:$J$1004,$T1006)),IF(INDEX('AFA Rates'!$I$5:$I$1004,$T1006)="","",INDEX('AFA Rates'!$I$5:$I$1004,$T1006))))</f>
        <v/>
      </c>
      <c r="L1006" s="50">
        <f>IF($T1006="","",IF($S1006="S",IF(INDEX(Firms!$K$5:$K$1004,$T1006)="","",INDEX(Firms!$K$5:$K$1004,$T1006)),IF(INDEX('AFA Rates'!$J$5:$J$1004,$T1006)="","",INDEX('AFA Rates'!$J$5:$J$1004,$T1006))))</f>
        <v/>
      </c>
      <c r="M1006" s="50">
        <f>IF($T1006="","",IF($S1006="S",IF(INDEX(Firms!$L$5:$L$1004,$T1006)="","",INDEX(Firms!$L$5:$L$1004,$T1006)),IF(INDEX('AFA Rates'!$K$5:$K$1004,$T1006)="","",INDEX('AFA Rates'!$K$5:$K$1004,$T1006))))</f>
        <v/>
      </c>
      <c r="N1006" s="50">
        <f>IF($T1006="","",IF($S1006="S",IF(INDEX(Firms!$M$5:$M$1004,$T1006)="","",INDEX(Firms!$M$5:$M$1004,$T1006)),IF(INDEX('AFA Rates'!$L$5:$L$1004,$T1006)="","",INDEX('AFA Rates'!$L$5:$L$1004,$T1006))))</f>
        <v/>
      </c>
      <c r="O1006" s="78">
        <f>IF(OR($T1006="",$U1006=""),"",IF(INDEX(Firms!$C$5:$C$1004,$U1006)="","",INDEX(Firms!$C$5:$C$1004,$U1006)))</f>
        <v/>
      </c>
      <c r="P1006" s="79">
        <f>IF(OR($T1006="",$U1006=""),"",IF(INDEX(Firms!$N$5:$N$1004,$U1006)="","",INDEX(Firms!$N$5:$N$1004,$U1006)))</f>
        <v/>
      </c>
      <c r="Q1006" s="78">
        <f>IF($T1006="","",IF($S1006="S",IF(INDEX(Firms!$T$5:$T$1004,$T1006)="","",INDEX(Firms!$T$5:$T$1004,$T1006)),IF(INDEX('AFA Rates'!$M$5:$M$1004,$T1006)="","",INDEX('AFA Rates'!$M$5:$M$1004,$T1006))))</f>
        <v/>
      </c>
      <c r="S1006">
        <f>IF(1002&lt;=$S$2,"S",IF(1002&lt;=$S$2+$T$2,"A",""))</f>
        <v/>
      </c>
      <c r="T1006">
        <f>IF(S1006="S",MATCH(1002,Firms!$W$5:$W$1004,0),IF(S1006="A",IFERROR(MATCH(1002-$S$2,'AFA Rates'!$R$5:$R$1004,0),""),""))</f>
        <v/>
      </c>
      <c r="U1006">
        <f>IF(S1006="S",T1006,IF(AND(S1006="A",T1006&lt;&gt;""),IFERROR(MATCH(INDEX('AFA Rates'!$A$5:$A$1004,T1006),Firms!$A$5:$A$1004,0),""),""))</f>
        <v/>
      </c>
    </row>
    <row r="1007">
      <c r="A1007" s="78">
        <f>IF($T1007="","",IF($S1007="S",IF(INDEX(Firms!$A$5:$A$1004,$T1007)="","",INDEX(Firms!$A$5:$A$1004,$T1007)),IF(INDEX('AFA Rates'!$A$5:$A$1004,$T1007)="","",INDEX('AFA Rates'!$A$5:$A$1004,$T1007))))</f>
        <v/>
      </c>
      <c r="B1007" s="79">
        <f>IF(OR($T1007="",$U1007=""),IF($T1007="","","Not on Firms tab"),INDEX(Firms!$B$5:$B$1004,$U1007)&amp;"")</f>
        <v/>
      </c>
      <c r="C1007" s="78">
        <f>IF($T1007="","",IF($S1007="S","Standard",INDEX('AFA Rates'!$B$5:$B$1004,$T1007)&amp;""))</f>
        <v/>
      </c>
      <c r="D1007" s="88">
        <f>IF($T1007="","",IF($S1007="S",IF(INDEX(Firms!$E$5:$E$1004,$T1007)="","",INDEX(Firms!$E$5:$E$1004,$T1007)),IF(INDEX('AFA Rates'!$C$5:$C$1004,$T1007)="","",INDEX('AFA Rates'!$C$5:$C$1004,$T1007))))</f>
        <v/>
      </c>
      <c r="E1007" s="88">
        <f>IF($T1007="","",IF($S1007="S",IF(""="","",""),IF(INDEX('AFA Rates'!$D$5:$D$1004,$T1007)="","",INDEX('AFA Rates'!$D$5:$D$1004,$T1007))))</f>
        <v/>
      </c>
      <c r="F1007" s="79">
        <f>IF($T1007="","",IF($S1007="S",IF(INDEX(Firms!$O$5:$O$1004,$T1007)="","",INDEX(Firms!$O$5:$O$1004,$T1007)),IF(INDEX('AFA Rates'!$O$5:$O$1004,$T1007)="","",INDEX('AFA Rates'!$O$5:$O$1004,$T1007))))</f>
        <v/>
      </c>
      <c r="G1007" s="50">
        <f>IF($T1007="","",IF($S1007="S",IF(INDEX(Firms!$F$5:$F$1004,$T1007)="","",INDEX(Firms!$F$5:$F$1004,$T1007)),IF(INDEX('AFA Rates'!$E$5:$E$1004,$T1007)="","",INDEX('AFA Rates'!$E$5:$E$1004,$T1007))))</f>
        <v/>
      </c>
      <c r="H1007" s="50">
        <f>IF($T1007="","",IF($S1007="S",IF(INDEX(Firms!$G$5:$G$1004,$T1007)="","",INDEX(Firms!$G$5:$G$1004,$T1007)),IF(INDEX('AFA Rates'!$F$5:$F$1004,$T1007)="","",INDEX('AFA Rates'!$F$5:$F$1004,$T1007))))</f>
        <v/>
      </c>
      <c r="I1007" s="50">
        <f>IF($T1007="","",IF($S1007="S",IF(INDEX(Firms!$H$5:$H$1004,$T1007)="","",INDEX(Firms!$H$5:$H$1004,$T1007)),IF(INDEX('AFA Rates'!$G$5:$G$1004,$T1007)="","",INDEX('AFA Rates'!$G$5:$G$1004,$T1007))))</f>
        <v/>
      </c>
      <c r="J1007" s="50">
        <f>IF($T1007="","",IF($S1007="S",IF(INDEX(Firms!$I$5:$I$1004,$T1007)="","",INDEX(Firms!$I$5:$I$1004,$T1007)),IF(INDEX('AFA Rates'!$H$5:$H$1004,$T1007)="","",INDEX('AFA Rates'!$H$5:$H$1004,$T1007))))</f>
        <v/>
      </c>
      <c r="K1007" s="50">
        <f>IF($T1007="","",IF($S1007="S",IF(INDEX(Firms!$J$5:$J$1004,$T1007)="","",INDEX(Firms!$J$5:$J$1004,$T1007)),IF(INDEX('AFA Rates'!$I$5:$I$1004,$T1007)="","",INDEX('AFA Rates'!$I$5:$I$1004,$T1007))))</f>
        <v/>
      </c>
      <c r="L1007" s="50">
        <f>IF($T1007="","",IF($S1007="S",IF(INDEX(Firms!$K$5:$K$1004,$T1007)="","",INDEX(Firms!$K$5:$K$1004,$T1007)),IF(INDEX('AFA Rates'!$J$5:$J$1004,$T1007)="","",INDEX('AFA Rates'!$J$5:$J$1004,$T1007))))</f>
        <v/>
      </c>
      <c r="M1007" s="50">
        <f>IF($T1007="","",IF($S1007="S",IF(INDEX(Firms!$L$5:$L$1004,$T1007)="","",INDEX(Firms!$L$5:$L$1004,$T1007)),IF(INDEX('AFA Rates'!$K$5:$K$1004,$T1007)="","",INDEX('AFA Rates'!$K$5:$K$1004,$T1007))))</f>
        <v/>
      </c>
      <c r="N1007" s="50">
        <f>IF($T1007="","",IF($S1007="S",IF(INDEX(Firms!$M$5:$M$1004,$T1007)="","",INDEX(Firms!$M$5:$M$1004,$T1007)),IF(INDEX('AFA Rates'!$L$5:$L$1004,$T1007)="","",INDEX('AFA Rates'!$L$5:$L$1004,$T1007))))</f>
        <v/>
      </c>
      <c r="O1007" s="78">
        <f>IF(OR($T1007="",$U1007=""),"",IF(INDEX(Firms!$C$5:$C$1004,$U1007)="","",INDEX(Firms!$C$5:$C$1004,$U1007)))</f>
        <v/>
      </c>
      <c r="P1007" s="79">
        <f>IF(OR($T1007="",$U1007=""),"",IF(INDEX(Firms!$N$5:$N$1004,$U1007)="","",INDEX(Firms!$N$5:$N$1004,$U1007)))</f>
        <v/>
      </c>
      <c r="Q1007" s="78">
        <f>IF($T1007="","",IF($S1007="S",IF(INDEX(Firms!$T$5:$T$1004,$T1007)="","",INDEX(Firms!$T$5:$T$1004,$T1007)),IF(INDEX('AFA Rates'!$M$5:$M$1004,$T1007)="","",INDEX('AFA Rates'!$M$5:$M$1004,$T1007))))</f>
        <v/>
      </c>
      <c r="S1007">
        <f>IF(1003&lt;=$S$2,"S",IF(1003&lt;=$S$2+$T$2,"A",""))</f>
        <v/>
      </c>
      <c r="T1007">
        <f>IF(S1007="S",MATCH(1003,Firms!$W$5:$W$1004,0),IF(S1007="A",IFERROR(MATCH(1003-$S$2,'AFA Rates'!$R$5:$R$1004,0),""),""))</f>
        <v/>
      </c>
      <c r="U1007">
        <f>IF(S1007="S",T1007,IF(AND(S1007="A",T1007&lt;&gt;""),IFERROR(MATCH(INDEX('AFA Rates'!$A$5:$A$1004,T1007),Firms!$A$5:$A$1004,0),""),""))</f>
        <v/>
      </c>
    </row>
    <row r="1008">
      <c r="A1008" s="78">
        <f>IF($T1008="","",IF($S1008="S",IF(INDEX(Firms!$A$5:$A$1004,$T1008)="","",INDEX(Firms!$A$5:$A$1004,$T1008)),IF(INDEX('AFA Rates'!$A$5:$A$1004,$T1008)="","",INDEX('AFA Rates'!$A$5:$A$1004,$T1008))))</f>
        <v/>
      </c>
      <c r="B1008" s="79">
        <f>IF(OR($T1008="",$U1008=""),IF($T1008="","","Not on Firms tab"),INDEX(Firms!$B$5:$B$1004,$U1008)&amp;"")</f>
        <v/>
      </c>
      <c r="C1008" s="78">
        <f>IF($T1008="","",IF($S1008="S","Standard",INDEX('AFA Rates'!$B$5:$B$1004,$T1008)&amp;""))</f>
        <v/>
      </c>
      <c r="D1008" s="88">
        <f>IF($T1008="","",IF($S1008="S",IF(INDEX(Firms!$E$5:$E$1004,$T1008)="","",INDEX(Firms!$E$5:$E$1004,$T1008)),IF(INDEX('AFA Rates'!$C$5:$C$1004,$T1008)="","",INDEX('AFA Rates'!$C$5:$C$1004,$T1008))))</f>
        <v/>
      </c>
      <c r="E1008" s="88">
        <f>IF($T1008="","",IF($S1008="S",IF(""="","",""),IF(INDEX('AFA Rates'!$D$5:$D$1004,$T1008)="","",INDEX('AFA Rates'!$D$5:$D$1004,$T1008))))</f>
        <v/>
      </c>
      <c r="F1008" s="79">
        <f>IF($T1008="","",IF($S1008="S",IF(INDEX(Firms!$O$5:$O$1004,$T1008)="","",INDEX(Firms!$O$5:$O$1004,$T1008)),IF(INDEX('AFA Rates'!$O$5:$O$1004,$T1008)="","",INDEX('AFA Rates'!$O$5:$O$1004,$T1008))))</f>
        <v/>
      </c>
      <c r="G1008" s="50">
        <f>IF($T1008="","",IF($S1008="S",IF(INDEX(Firms!$F$5:$F$1004,$T1008)="","",INDEX(Firms!$F$5:$F$1004,$T1008)),IF(INDEX('AFA Rates'!$E$5:$E$1004,$T1008)="","",INDEX('AFA Rates'!$E$5:$E$1004,$T1008))))</f>
        <v/>
      </c>
      <c r="H1008" s="50">
        <f>IF($T1008="","",IF($S1008="S",IF(INDEX(Firms!$G$5:$G$1004,$T1008)="","",INDEX(Firms!$G$5:$G$1004,$T1008)),IF(INDEX('AFA Rates'!$F$5:$F$1004,$T1008)="","",INDEX('AFA Rates'!$F$5:$F$1004,$T1008))))</f>
        <v/>
      </c>
      <c r="I1008" s="50">
        <f>IF($T1008="","",IF($S1008="S",IF(INDEX(Firms!$H$5:$H$1004,$T1008)="","",INDEX(Firms!$H$5:$H$1004,$T1008)),IF(INDEX('AFA Rates'!$G$5:$G$1004,$T1008)="","",INDEX('AFA Rates'!$G$5:$G$1004,$T1008))))</f>
        <v/>
      </c>
      <c r="J1008" s="50">
        <f>IF($T1008="","",IF($S1008="S",IF(INDEX(Firms!$I$5:$I$1004,$T1008)="","",INDEX(Firms!$I$5:$I$1004,$T1008)),IF(INDEX('AFA Rates'!$H$5:$H$1004,$T1008)="","",INDEX('AFA Rates'!$H$5:$H$1004,$T1008))))</f>
        <v/>
      </c>
      <c r="K1008" s="50">
        <f>IF($T1008="","",IF($S1008="S",IF(INDEX(Firms!$J$5:$J$1004,$T1008)="","",INDEX(Firms!$J$5:$J$1004,$T1008)),IF(INDEX('AFA Rates'!$I$5:$I$1004,$T1008)="","",INDEX('AFA Rates'!$I$5:$I$1004,$T1008))))</f>
        <v/>
      </c>
      <c r="L1008" s="50">
        <f>IF($T1008="","",IF($S1008="S",IF(INDEX(Firms!$K$5:$K$1004,$T1008)="","",INDEX(Firms!$K$5:$K$1004,$T1008)),IF(INDEX('AFA Rates'!$J$5:$J$1004,$T1008)="","",INDEX('AFA Rates'!$J$5:$J$1004,$T1008))))</f>
        <v/>
      </c>
      <c r="M1008" s="50">
        <f>IF($T1008="","",IF($S1008="S",IF(INDEX(Firms!$L$5:$L$1004,$T1008)="","",INDEX(Firms!$L$5:$L$1004,$T1008)),IF(INDEX('AFA Rates'!$K$5:$K$1004,$T1008)="","",INDEX('AFA Rates'!$K$5:$K$1004,$T1008))))</f>
        <v/>
      </c>
      <c r="N1008" s="50">
        <f>IF($T1008="","",IF($S1008="S",IF(INDEX(Firms!$M$5:$M$1004,$T1008)="","",INDEX(Firms!$M$5:$M$1004,$T1008)),IF(INDEX('AFA Rates'!$L$5:$L$1004,$T1008)="","",INDEX('AFA Rates'!$L$5:$L$1004,$T1008))))</f>
        <v/>
      </c>
      <c r="O1008" s="78">
        <f>IF(OR($T1008="",$U1008=""),"",IF(INDEX(Firms!$C$5:$C$1004,$U1008)="","",INDEX(Firms!$C$5:$C$1004,$U1008)))</f>
        <v/>
      </c>
      <c r="P1008" s="79">
        <f>IF(OR($T1008="",$U1008=""),"",IF(INDEX(Firms!$N$5:$N$1004,$U1008)="","",INDEX(Firms!$N$5:$N$1004,$U1008)))</f>
        <v/>
      </c>
      <c r="Q1008" s="78">
        <f>IF($T1008="","",IF($S1008="S",IF(INDEX(Firms!$T$5:$T$1004,$T1008)="","",INDEX(Firms!$T$5:$T$1004,$T1008)),IF(INDEX('AFA Rates'!$M$5:$M$1004,$T1008)="","",INDEX('AFA Rates'!$M$5:$M$1004,$T1008))))</f>
        <v/>
      </c>
      <c r="S1008">
        <f>IF(1004&lt;=$S$2,"S",IF(1004&lt;=$S$2+$T$2,"A",""))</f>
        <v/>
      </c>
      <c r="T1008">
        <f>IF(S1008="S",MATCH(1004,Firms!$W$5:$W$1004,0),IF(S1008="A",IFERROR(MATCH(1004-$S$2,'AFA Rates'!$R$5:$R$1004,0),""),""))</f>
        <v/>
      </c>
      <c r="U1008">
        <f>IF(S1008="S",T1008,IF(AND(S1008="A",T1008&lt;&gt;""),IFERROR(MATCH(INDEX('AFA Rates'!$A$5:$A$1004,T1008),Firms!$A$5:$A$1004,0),""),""))</f>
        <v/>
      </c>
    </row>
    <row r="1009">
      <c r="A1009" s="78">
        <f>IF($T1009="","",IF($S1009="S",IF(INDEX(Firms!$A$5:$A$1004,$T1009)="","",INDEX(Firms!$A$5:$A$1004,$T1009)),IF(INDEX('AFA Rates'!$A$5:$A$1004,$T1009)="","",INDEX('AFA Rates'!$A$5:$A$1004,$T1009))))</f>
        <v/>
      </c>
      <c r="B1009" s="79">
        <f>IF(OR($T1009="",$U1009=""),IF($T1009="","","Not on Firms tab"),INDEX(Firms!$B$5:$B$1004,$U1009)&amp;"")</f>
        <v/>
      </c>
      <c r="C1009" s="78">
        <f>IF($T1009="","",IF($S1009="S","Standard",INDEX('AFA Rates'!$B$5:$B$1004,$T1009)&amp;""))</f>
        <v/>
      </c>
      <c r="D1009" s="88">
        <f>IF($T1009="","",IF($S1009="S",IF(INDEX(Firms!$E$5:$E$1004,$T1009)="","",INDEX(Firms!$E$5:$E$1004,$T1009)),IF(INDEX('AFA Rates'!$C$5:$C$1004,$T1009)="","",INDEX('AFA Rates'!$C$5:$C$1004,$T1009))))</f>
        <v/>
      </c>
      <c r="E1009" s="88">
        <f>IF($T1009="","",IF($S1009="S",IF(""="","",""),IF(INDEX('AFA Rates'!$D$5:$D$1004,$T1009)="","",INDEX('AFA Rates'!$D$5:$D$1004,$T1009))))</f>
        <v/>
      </c>
      <c r="F1009" s="79">
        <f>IF($T1009="","",IF($S1009="S",IF(INDEX(Firms!$O$5:$O$1004,$T1009)="","",INDEX(Firms!$O$5:$O$1004,$T1009)),IF(INDEX('AFA Rates'!$O$5:$O$1004,$T1009)="","",INDEX('AFA Rates'!$O$5:$O$1004,$T1009))))</f>
        <v/>
      </c>
      <c r="G1009" s="50">
        <f>IF($T1009="","",IF($S1009="S",IF(INDEX(Firms!$F$5:$F$1004,$T1009)="","",INDEX(Firms!$F$5:$F$1004,$T1009)),IF(INDEX('AFA Rates'!$E$5:$E$1004,$T1009)="","",INDEX('AFA Rates'!$E$5:$E$1004,$T1009))))</f>
        <v/>
      </c>
      <c r="H1009" s="50">
        <f>IF($T1009="","",IF($S1009="S",IF(INDEX(Firms!$G$5:$G$1004,$T1009)="","",INDEX(Firms!$G$5:$G$1004,$T1009)),IF(INDEX('AFA Rates'!$F$5:$F$1004,$T1009)="","",INDEX('AFA Rates'!$F$5:$F$1004,$T1009))))</f>
        <v/>
      </c>
      <c r="I1009" s="50">
        <f>IF($T1009="","",IF($S1009="S",IF(INDEX(Firms!$H$5:$H$1004,$T1009)="","",INDEX(Firms!$H$5:$H$1004,$T1009)),IF(INDEX('AFA Rates'!$G$5:$G$1004,$T1009)="","",INDEX('AFA Rates'!$G$5:$G$1004,$T1009))))</f>
        <v/>
      </c>
      <c r="J1009" s="50">
        <f>IF($T1009="","",IF($S1009="S",IF(INDEX(Firms!$I$5:$I$1004,$T1009)="","",INDEX(Firms!$I$5:$I$1004,$T1009)),IF(INDEX('AFA Rates'!$H$5:$H$1004,$T1009)="","",INDEX('AFA Rates'!$H$5:$H$1004,$T1009))))</f>
        <v/>
      </c>
      <c r="K1009" s="50">
        <f>IF($T1009="","",IF($S1009="S",IF(INDEX(Firms!$J$5:$J$1004,$T1009)="","",INDEX(Firms!$J$5:$J$1004,$T1009)),IF(INDEX('AFA Rates'!$I$5:$I$1004,$T1009)="","",INDEX('AFA Rates'!$I$5:$I$1004,$T1009))))</f>
        <v/>
      </c>
      <c r="L1009" s="50">
        <f>IF($T1009="","",IF($S1009="S",IF(INDEX(Firms!$K$5:$K$1004,$T1009)="","",INDEX(Firms!$K$5:$K$1004,$T1009)),IF(INDEX('AFA Rates'!$J$5:$J$1004,$T1009)="","",INDEX('AFA Rates'!$J$5:$J$1004,$T1009))))</f>
        <v/>
      </c>
      <c r="M1009" s="50">
        <f>IF($T1009="","",IF($S1009="S",IF(INDEX(Firms!$L$5:$L$1004,$T1009)="","",INDEX(Firms!$L$5:$L$1004,$T1009)),IF(INDEX('AFA Rates'!$K$5:$K$1004,$T1009)="","",INDEX('AFA Rates'!$K$5:$K$1004,$T1009))))</f>
        <v/>
      </c>
      <c r="N1009" s="50">
        <f>IF($T1009="","",IF($S1009="S",IF(INDEX(Firms!$M$5:$M$1004,$T1009)="","",INDEX(Firms!$M$5:$M$1004,$T1009)),IF(INDEX('AFA Rates'!$L$5:$L$1004,$T1009)="","",INDEX('AFA Rates'!$L$5:$L$1004,$T1009))))</f>
        <v/>
      </c>
      <c r="O1009" s="78">
        <f>IF(OR($T1009="",$U1009=""),"",IF(INDEX(Firms!$C$5:$C$1004,$U1009)="","",INDEX(Firms!$C$5:$C$1004,$U1009)))</f>
        <v/>
      </c>
      <c r="P1009" s="79">
        <f>IF(OR($T1009="",$U1009=""),"",IF(INDEX(Firms!$N$5:$N$1004,$U1009)="","",INDEX(Firms!$N$5:$N$1004,$U1009)))</f>
        <v/>
      </c>
      <c r="Q1009" s="78">
        <f>IF($T1009="","",IF($S1009="S",IF(INDEX(Firms!$T$5:$T$1004,$T1009)="","",INDEX(Firms!$T$5:$T$1004,$T1009)),IF(INDEX('AFA Rates'!$M$5:$M$1004,$T1009)="","",INDEX('AFA Rates'!$M$5:$M$1004,$T1009))))</f>
        <v/>
      </c>
      <c r="S1009">
        <f>IF(1005&lt;=$S$2,"S",IF(1005&lt;=$S$2+$T$2,"A",""))</f>
        <v/>
      </c>
      <c r="T1009">
        <f>IF(S1009="S",MATCH(1005,Firms!$W$5:$W$1004,0),IF(S1009="A",IFERROR(MATCH(1005-$S$2,'AFA Rates'!$R$5:$R$1004,0),""),""))</f>
        <v/>
      </c>
      <c r="U1009">
        <f>IF(S1009="S",T1009,IF(AND(S1009="A",T1009&lt;&gt;""),IFERROR(MATCH(INDEX('AFA Rates'!$A$5:$A$1004,T1009),Firms!$A$5:$A$1004,0),""),""))</f>
        <v/>
      </c>
    </row>
    <row r="1010">
      <c r="A1010" s="78">
        <f>IF($T1010="","",IF($S1010="S",IF(INDEX(Firms!$A$5:$A$1004,$T1010)="","",INDEX(Firms!$A$5:$A$1004,$T1010)),IF(INDEX('AFA Rates'!$A$5:$A$1004,$T1010)="","",INDEX('AFA Rates'!$A$5:$A$1004,$T1010))))</f>
        <v/>
      </c>
      <c r="B1010" s="79">
        <f>IF(OR($T1010="",$U1010=""),IF($T1010="","","Not on Firms tab"),INDEX(Firms!$B$5:$B$1004,$U1010)&amp;"")</f>
        <v/>
      </c>
      <c r="C1010" s="78">
        <f>IF($T1010="","",IF($S1010="S","Standard",INDEX('AFA Rates'!$B$5:$B$1004,$T1010)&amp;""))</f>
        <v/>
      </c>
      <c r="D1010" s="88">
        <f>IF($T1010="","",IF($S1010="S",IF(INDEX(Firms!$E$5:$E$1004,$T1010)="","",INDEX(Firms!$E$5:$E$1004,$T1010)),IF(INDEX('AFA Rates'!$C$5:$C$1004,$T1010)="","",INDEX('AFA Rates'!$C$5:$C$1004,$T1010))))</f>
        <v/>
      </c>
      <c r="E1010" s="88">
        <f>IF($T1010="","",IF($S1010="S",IF(""="","",""),IF(INDEX('AFA Rates'!$D$5:$D$1004,$T1010)="","",INDEX('AFA Rates'!$D$5:$D$1004,$T1010))))</f>
        <v/>
      </c>
      <c r="F1010" s="79">
        <f>IF($T1010="","",IF($S1010="S",IF(INDEX(Firms!$O$5:$O$1004,$T1010)="","",INDEX(Firms!$O$5:$O$1004,$T1010)),IF(INDEX('AFA Rates'!$O$5:$O$1004,$T1010)="","",INDEX('AFA Rates'!$O$5:$O$1004,$T1010))))</f>
        <v/>
      </c>
      <c r="G1010" s="50">
        <f>IF($T1010="","",IF($S1010="S",IF(INDEX(Firms!$F$5:$F$1004,$T1010)="","",INDEX(Firms!$F$5:$F$1004,$T1010)),IF(INDEX('AFA Rates'!$E$5:$E$1004,$T1010)="","",INDEX('AFA Rates'!$E$5:$E$1004,$T1010))))</f>
        <v/>
      </c>
      <c r="H1010" s="50">
        <f>IF($T1010="","",IF($S1010="S",IF(INDEX(Firms!$G$5:$G$1004,$T1010)="","",INDEX(Firms!$G$5:$G$1004,$T1010)),IF(INDEX('AFA Rates'!$F$5:$F$1004,$T1010)="","",INDEX('AFA Rates'!$F$5:$F$1004,$T1010))))</f>
        <v/>
      </c>
      <c r="I1010" s="50">
        <f>IF($T1010="","",IF($S1010="S",IF(INDEX(Firms!$H$5:$H$1004,$T1010)="","",INDEX(Firms!$H$5:$H$1004,$T1010)),IF(INDEX('AFA Rates'!$G$5:$G$1004,$T1010)="","",INDEX('AFA Rates'!$G$5:$G$1004,$T1010))))</f>
        <v/>
      </c>
      <c r="J1010" s="50">
        <f>IF($T1010="","",IF($S1010="S",IF(INDEX(Firms!$I$5:$I$1004,$T1010)="","",INDEX(Firms!$I$5:$I$1004,$T1010)),IF(INDEX('AFA Rates'!$H$5:$H$1004,$T1010)="","",INDEX('AFA Rates'!$H$5:$H$1004,$T1010))))</f>
        <v/>
      </c>
      <c r="K1010" s="50">
        <f>IF($T1010="","",IF($S1010="S",IF(INDEX(Firms!$J$5:$J$1004,$T1010)="","",INDEX(Firms!$J$5:$J$1004,$T1010)),IF(INDEX('AFA Rates'!$I$5:$I$1004,$T1010)="","",INDEX('AFA Rates'!$I$5:$I$1004,$T1010))))</f>
        <v/>
      </c>
      <c r="L1010" s="50">
        <f>IF($T1010="","",IF($S1010="S",IF(INDEX(Firms!$K$5:$K$1004,$T1010)="","",INDEX(Firms!$K$5:$K$1004,$T1010)),IF(INDEX('AFA Rates'!$J$5:$J$1004,$T1010)="","",INDEX('AFA Rates'!$J$5:$J$1004,$T1010))))</f>
        <v/>
      </c>
      <c r="M1010" s="50">
        <f>IF($T1010="","",IF($S1010="S",IF(INDEX(Firms!$L$5:$L$1004,$T1010)="","",INDEX(Firms!$L$5:$L$1004,$T1010)),IF(INDEX('AFA Rates'!$K$5:$K$1004,$T1010)="","",INDEX('AFA Rates'!$K$5:$K$1004,$T1010))))</f>
        <v/>
      </c>
      <c r="N1010" s="50">
        <f>IF($T1010="","",IF($S1010="S",IF(INDEX(Firms!$M$5:$M$1004,$T1010)="","",INDEX(Firms!$M$5:$M$1004,$T1010)),IF(INDEX('AFA Rates'!$L$5:$L$1004,$T1010)="","",INDEX('AFA Rates'!$L$5:$L$1004,$T1010))))</f>
        <v/>
      </c>
      <c r="O1010" s="78">
        <f>IF(OR($T1010="",$U1010=""),"",IF(INDEX(Firms!$C$5:$C$1004,$U1010)="","",INDEX(Firms!$C$5:$C$1004,$U1010)))</f>
        <v/>
      </c>
      <c r="P1010" s="79">
        <f>IF(OR($T1010="",$U1010=""),"",IF(INDEX(Firms!$N$5:$N$1004,$U1010)="","",INDEX(Firms!$N$5:$N$1004,$U1010)))</f>
        <v/>
      </c>
      <c r="Q1010" s="78">
        <f>IF($T1010="","",IF($S1010="S",IF(INDEX(Firms!$T$5:$T$1004,$T1010)="","",INDEX(Firms!$T$5:$T$1004,$T1010)),IF(INDEX('AFA Rates'!$M$5:$M$1004,$T1010)="","",INDEX('AFA Rates'!$M$5:$M$1004,$T1010))))</f>
        <v/>
      </c>
      <c r="S1010">
        <f>IF(1006&lt;=$S$2,"S",IF(1006&lt;=$S$2+$T$2,"A",""))</f>
        <v/>
      </c>
      <c r="T1010">
        <f>IF(S1010="S",MATCH(1006,Firms!$W$5:$W$1004,0),IF(S1010="A",IFERROR(MATCH(1006-$S$2,'AFA Rates'!$R$5:$R$1004,0),""),""))</f>
        <v/>
      </c>
      <c r="U1010">
        <f>IF(S1010="S",T1010,IF(AND(S1010="A",T1010&lt;&gt;""),IFERROR(MATCH(INDEX('AFA Rates'!$A$5:$A$1004,T1010),Firms!$A$5:$A$1004,0),""),""))</f>
        <v/>
      </c>
    </row>
    <row r="1011">
      <c r="A1011" s="78">
        <f>IF($T1011="","",IF($S1011="S",IF(INDEX(Firms!$A$5:$A$1004,$T1011)="","",INDEX(Firms!$A$5:$A$1004,$T1011)),IF(INDEX('AFA Rates'!$A$5:$A$1004,$T1011)="","",INDEX('AFA Rates'!$A$5:$A$1004,$T1011))))</f>
        <v/>
      </c>
      <c r="B1011" s="79">
        <f>IF(OR($T1011="",$U1011=""),IF($T1011="","","Not on Firms tab"),INDEX(Firms!$B$5:$B$1004,$U1011)&amp;"")</f>
        <v/>
      </c>
      <c r="C1011" s="78">
        <f>IF($T1011="","",IF($S1011="S","Standard",INDEX('AFA Rates'!$B$5:$B$1004,$T1011)&amp;""))</f>
        <v/>
      </c>
      <c r="D1011" s="88">
        <f>IF($T1011="","",IF($S1011="S",IF(INDEX(Firms!$E$5:$E$1004,$T1011)="","",INDEX(Firms!$E$5:$E$1004,$T1011)),IF(INDEX('AFA Rates'!$C$5:$C$1004,$T1011)="","",INDEX('AFA Rates'!$C$5:$C$1004,$T1011))))</f>
        <v/>
      </c>
      <c r="E1011" s="88">
        <f>IF($T1011="","",IF($S1011="S",IF(""="","",""),IF(INDEX('AFA Rates'!$D$5:$D$1004,$T1011)="","",INDEX('AFA Rates'!$D$5:$D$1004,$T1011))))</f>
        <v/>
      </c>
      <c r="F1011" s="79">
        <f>IF($T1011="","",IF($S1011="S",IF(INDEX(Firms!$O$5:$O$1004,$T1011)="","",INDEX(Firms!$O$5:$O$1004,$T1011)),IF(INDEX('AFA Rates'!$O$5:$O$1004,$T1011)="","",INDEX('AFA Rates'!$O$5:$O$1004,$T1011))))</f>
        <v/>
      </c>
      <c r="G1011" s="50">
        <f>IF($T1011="","",IF($S1011="S",IF(INDEX(Firms!$F$5:$F$1004,$T1011)="","",INDEX(Firms!$F$5:$F$1004,$T1011)),IF(INDEX('AFA Rates'!$E$5:$E$1004,$T1011)="","",INDEX('AFA Rates'!$E$5:$E$1004,$T1011))))</f>
        <v/>
      </c>
      <c r="H1011" s="50">
        <f>IF($T1011="","",IF($S1011="S",IF(INDEX(Firms!$G$5:$G$1004,$T1011)="","",INDEX(Firms!$G$5:$G$1004,$T1011)),IF(INDEX('AFA Rates'!$F$5:$F$1004,$T1011)="","",INDEX('AFA Rates'!$F$5:$F$1004,$T1011))))</f>
        <v/>
      </c>
      <c r="I1011" s="50">
        <f>IF($T1011="","",IF($S1011="S",IF(INDEX(Firms!$H$5:$H$1004,$T1011)="","",INDEX(Firms!$H$5:$H$1004,$T1011)),IF(INDEX('AFA Rates'!$G$5:$G$1004,$T1011)="","",INDEX('AFA Rates'!$G$5:$G$1004,$T1011))))</f>
        <v/>
      </c>
      <c r="J1011" s="50">
        <f>IF($T1011="","",IF($S1011="S",IF(INDEX(Firms!$I$5:$I$1004,$T1011)="","",INDEX(Firms!$I$5:$I$1004,$T1011)),IF(INDEX('AFA Rates'!$H$5:$H$1004,$T1011)="","",INDEX('AFA Rates'!$H$5:$H$1004,$T1011))))</f>
        <v/>
      </c>
      <c r="K1011" s="50">
        <f>IF($T1011="","",IF($S1011="S",IF(INDEX(Firms!$J$5:$J$1004,$T1011)="","",INDEX(Firms!$J$5:$J$1004,$T1011)),IF(INDEX('AFA Rates'!$I$5:$I$1004,$T1011)="","",INDEX('AFA Rates'!$I$5:$I$1004,$T1011))))</f>
        <v/>
      </c>
      <c r="L1011" s="50">
        <f>IF($T1011="","",IF($S1011="S",IF(INDEX(Firms!$K$5:$K$1004,$T1011)="","",INDEX(Firms!$K$5:$K$1004,$T1011)),IF(INDEX('AFA Rates'!$J$5:$J$1004,$T1011)="","",INDEX('AFA Rates'!$J$5:$J$1004,$T1011))))</f>
        <v/>
      </c>
      <c r="M1011" s="50">
        <f>IF($T1011="","",IF($S1011="S",IF(INDEX(Firms!$L$5:$L$1004,$T1011)="","",INDEX(Firms!$L$5:$L$1004,$T1011)),IF(INDEX('AFA Rates'!$K$5:$K$1004,$T1011)="","",INDEX('AFA Rates'!$K$5:$K$1004,$T1011))))</f>
        <v/>
      </c>
      <c r="N1011" s="50">
        <f>IF($T1011="","",IF($S1011="S",IF(INDEX(Firms!$M$5:$M$1004,$T1011)="","",INDEX(Firms!$M$5:$M$1004,$T1011)),IF(INDEX('AFA Rates'!$L$5:$L$1004,$T1011)="","",INDEX('AFA Rates'!$L$5:$L$1004,$T1011))))</f>
        <v/>
      </c>
      <c r="O1011" s="78">
        <f>IF(OR($T1011="",$U1011=""),"",IF(INDEX(Firms!$C$5:$C$1004,$U1011)="","",INDEX(Firms!$C$5:$C$1004,$U1011)))</f>
        <v/>
      </c>
      <c r="P1011" s="79">
        <f>IF(OR($T1011="",$U1011=""),"",IF(INDEX(Firms!$N$5:$N$1004,$U1011)="","",INDEX(Firms!$N$5:$N$1004,$U1011)))</f>
        <v/>
      </c>
      <c r="Q1011" s="78">
        <f>IF($T1011="","",IF($S1011="S",IF(INDEX(Firms!$T$5:$T$1004,$T1011)="","",INDEX(Firms!$T$5:$T$1004,$T1011)),IF(INDEX('AFA Rates'!$M$5:$M$1004,$T1011)="","",INDEX('AFA Rates'!$M$5:$M$1004,$T1011))))</f>
        <v/>
      </c>
      <c r="S1011">
        <f>IF(1007&lt;=$S$2,"S",IF(1007&lt;=$S$2+$T$2,"A",""))</f>
        <v/>
      </c>
      <c r="T1011">
        <f>IF(S1011="S",MATCH(1007,Firms!$W$5:$W$1004,0),IF(S1011="A",IFERROR(MATCH(1007-$S$2,'AFA Rates'!$R$5:$R$1004,0),""),""))</f>
        <v/>
      </c>
      <c r="U1011">
        <f>IF(S1011="S",T1011,IF(AND(S1011="A",T1011&lt;&gt;""),IFERROR(MATCH(INDEX('AFA Rates'!$A$5:$A$1004,T1011),Firms!$A$5:$A$1004,0),""),""))</f>
        <v/>
      </c>
    </row>
    <row r="1012">
      <c r="A1012" s="78">
        <f>IF($T1012="","",IF($S1012="S",IF(INDEX(Firms!$A$5:$A$1004,$T1012)="","",INDEX(Firms!$A$5:$A$1004,$T1012)),IF(INDEX('AFA Rates'!$A$5:$A$1004,$T1012)="","",INDEX('AFA Rates'!$A$5:$A$1004,$T1012))))</f>
        <v/>
      </c>
      <c r="B1012" s="79">
        <f>IF(OR($T1012="",$U1012=""),IF($T1012="","","Not on Firms tab"),INDEX(Firms!$B$5:$B$1004,$U1012)&amp;"")</f>
        <v/>
      </c>
      <c r="C1012" s="78">
        <f>IF($T1012="","",IF($S1012="S","Standard",INDEX('AFA Rates'!$B$5:$B$1004,$T1012)&amp;""))</f>
        <v/>
      </c>
      <c r="D1012" s="88">
        <f>IF($T1012="","",IF($S1012="S",IF(INDEX(Firms!$E$5:$E$1004,$T1012)="","",INDEX(Firms!$E$5:$E$1004,$T1012)),IF(INDEX('AFA Rates'!$C$5:$C$1004,$T1012)="","",INDEX('AFA Rates'!$C$5:$C$1004,$T1012))))</f>
        <v/>
      </c>
      <c r="E1012" s="88">
        <f>IF($T1012="","",IF($S1012="S",IF(""="","",""),IF(INDEX('AFA Rates'!$D$5:$D$1004,$T1012)="","",INDEX('AFA Rates'!$D$5:$D$1004,$T1012))))</f>
        <v/>
      </c>
      <c r="F1012" s="79">
        <f>IF($T1012="","",IF($S1012="S",IF(INDEX(Firms!$O$5:$O$1004,$T1012)="","",INDEX(Firms!$O$5:$O$1004,$T1012)),IF(INDEX('AFA Rates'!$O$5:$O$1004,$T1012)="","",INDEX('AFA Rates'!$O$5:$O$1004,$T1012))))</f>
        <v/>
      </c>
      <c r="G1012" s="50">
        <f>IF($T1012="","",IF($S1012="S",IF(INDEX(Firms!$F$5:$F$1004,$T1012)="","",INDEX(Firms!$F$5:$F$1004,$T1012)),IF(INDEX('AFA Rates'!$E$5:$E$1004,$T1012)="","",INDEX('AFA Rates'!$E$5:$E$1004,$T1012))))</f>
        <v/>
      </c>
      <c r="H1012" s="50">
        <f>IF($T1012="","",IF($S1012="S",IF(INDEX(Firms!$G$5:$G$1004,$T1012)="","",INDEX(Firms!$G$5:$G$1004,$T1012)),IF(INDEX('AFA Rates'!$F$5:$F$1004,$T1012)="","",INDEX('AFA Rates'!$F$5:$F$1004,$T1012))))</f>
        <v/>
      </c>
      <c r="I1012" s="50">
        <f>IF($T1012="","",IF($S1012="S",IF(INDEX(Firms!$H$5:$H$1004,$T1012)="","",INDEX(Firms!$H$5:$H$1004,$T1012)),IF(INDEX('AFA Rates'!$G$5:$G$1004,$T1012)="","",INDEX('AFA Rates'!$G$5:$G$1004,$T1012))))</f>
        <v/>
      </c>
      <c r="J1012" s="50">
        <f>IF($T1012="","",IF($S1012="S",IF(INDEX(Firms!$I$5:$I$1004,$T1012)="","",INDEX(Firms!$I$5:$I$1004,$T1012)),IF(INDEX('AFA Rates'!$H$5:$H$1004,$T1012)="","",INDEX('AFA Rates'!$H$5:$H$1004,$T1012))))</f>
        <v/>
      </c>
      <c r="K1012" s="50">
        <f>IF($T1012="","",IF($S1012="S",IF(INDEX(Firms!$J$5:$J$1004,$T1012)="","",INDEX(Firms!$J$5:$J$1004,$T1012)),IF(INDEX('AFA Rates'!$I$5:$I$1004,$T1012)="","",INDEX('AFA Rates'!$I$5:$I$1004,$T1012))))</f>
        <v/>
      </c>
      <c r="L1012" s="50">
        <f>IF($T1012="","",IF($S1012="S",IF(INDEX(Firms!$K$5:$K$1004,$T1012)="","",INDEX(Firms!$K$5:$K$1004,$T1012)),IF(INDEX('AFA Rates'!$J$5:$J$1004,$T1012)="","",INDEX('AFA Rates'!$J$5:$J$1004,$T1012))))</f>
        <v/>
      </c>
      <c r="M1012" s="50">
        <f>IF($T1012="","",IF($S1012="S",IF(INDEX(Firms!$L$5:$L$1004,$T1012)="","",INDEX(Firms!$L$5:$L$1004,$T1012)),IF(INDEX('AFA Rates'!$K$5:$K$1004,$T1012)="","",INDEX('AFA Rates'!$K$5:$K$1004,$T1012))))</f>
        <v/>
      </c>
      <c r="N1012" s="50">
        <f>IF($T1012="","",IF($S1012="S",IF(INDEX(Firms!$M$5:$M$1004,$T1012)="","",INDEX(Firms!$M$5:$M$1004,$T1012)),IF(INDEX('AFA Rates'!$L$5:$L$1004,$T1012)="","",INDEX('AFA Rates'!$L$5:$L$1004,$T1012))))</f>
        <v/>
      </c>
      <c r="O1012" s="78">
        <f>IF(OR($T1012="",$U1012=""),"",IF(INDEX(Firms!$C$5:$C$1004,$U1012)="","",INDEX(Firms!$C$5:$C$1004,$U1012)))</f>
        <v/>
      </c>
      <c r="P1012" s="79">
        <f>IF(OR($T1012="",$U1012=""),"",IF(INDEX(Firms!$N$5:$N$1004,$U1012)="","",INDEX(Firms!$N$5:$N$1004,$U1012)))</f>
        <v/>
      </c>
      <c r="Q1012" s="78">
        <f>IF($T1012="","",IF($S1012="S",IF(INDEX(Firms!$T$5:$T$1004,$T1012)="","",INDEX(Firms!$T$5:$T$1004,$T1012)),IF(INDEX('AFA Rates'!$M$5:$M$1004,$T1012)="","",INDEX('AFA Rates'!$M$5:$M$1004,$T1012))))</f>
        <v/>
      </c>
      <c r="S1012">
        <f>IF(1008&lt;=$S$2,"S",IF(1008&lt;=$S$2+$T$2,"A",""))</f>
        <v/>
      </c>
      <c r="T1012">
        <f>IF(S1012="S",MATCH(1008,Firms!$W$5:$W$1004,0),IF(S1012="A",IFERROR(MATCH(1008-$S$2,'AFA Rates'!$R$5:$R$1004,0),""),""))</f>
        <v/>
      </c>
      <c r="U1012">
        <f>IF(S1012="S",T1012,IF(AND(S1012="A",T1012&lt;&gt;""),IFERROR(MATCH(INDEX('AFA Rates'!$A$5:$A$1004,T1012),Firms!$A$5:$A$1004,0),""),""))</f>
        <v/>
      </c>
    </row>
    <row r="1013">
      <c r="A1013" s="78">
        <f>IF($T1013="","",IF($S1013="S",IF(INDEX(Firms!$A$5:$A$1004,$T1013)="","",INDEX(Firms!$A$5:$A$1004,$T1013)),IF(INDEX('AFA Rates'!$A$5:$A$1004,$T1013)="","",INDEX('AFA Rates'!$A$5:$A$1004,$T1013))))</f>
        <v/>
      </c>
      <c r="B1013" s="79">
        <f>IF(OR($T1013="",$U1013=""),IF($T1013="","","Not on Firms tab"),INDEX(Firms!$B$5:$B$1004,$U1013)&amp;"")</f>
        <v/>
      </c>
      <c r="C1013" s="78">
        <f>IF($T1013="","",IF($S1013="S","Standard",INDEX('AFA Rates'!$B$5:$B$1004,$T1013)&amp;""))</f>
        <v/>
      </c>
      <c r="D1013" s="88">
        <f>IF($T1013="","",IF($S1013="S",IF(INDEX(Firms!$E$5:$E$1004,$T1013)="","",INDEX(Firms!$E$5:$E$1004,$T1013)),IF(INDEX('AFA Rates'!$C$5:$C$1004,$T1013)="","",INDEX('AFA Rates'!$C$5:$C$1004,$T1013))))</f>
        <v/>
      </c>
      <c r="E1013" s="88">
        <f>IF($T1013="","",IF($S1013="S",IF(""="","",""),IF(INDEX('AFA Rates'!$D$5:$D$1004,$T1013)="","",INDEX('AFA Rates'!$D$5:$D$1004,$T1013))))</f>
        <v/>
      </c>
      <c r="F1013" s="79">
        <f>IF($T1013="","",IF($S1013="S",IF(INDEX(Firms!$O$5:$O$1004,$T1013)="","",INDEX(Firms!$O$5:$O$1004,$T1013)),IF(INDEX('AFA Rates'!$O$5:$O$1004,$T1013)="","",INDEX('AFA Rates'!$O$5:$O$1004,$T1013))))</f>
        <v/>
      </c>
      <c r="G1013" s="50">
        <f>IF($T1013="","",IF($S1013="S",IF(INDEX(Firms!$F$5:$F$1004,$T1013)="","",INDEX(Firms!$F$5:$F$1004,$T1013)),IF(INDEX('AFA Rates'!$E$5:$E$1004,$T1013)="","",INDEX('AFA Rates'!$E$5:$E$1004,$T1013))))</f>
        <v/>
      </c>
      <c r="H1013" s="50">
        <f>IF($T1013="","",IF($S1013="S",IF(INDEX(Firms!$G$5:$G$1004,$T1013)="","",INDEX(Firms!$G$5:$G$1004,$T1013)),IF(INDEX('AFA Rates'!$F$5:$F$1004,$T1013)="","",INDEX('AFA Rates'!$F$5:$F$1004,$T1013))))</f>
        <v/>
      </c>
      <c r="I1013" s="50">
        <f>IF($T1013="","",IF($S1013="S",IF(INDEX(Firms!$H$5:$H$1004,$T1013)="","",INDEX(Firms!$H$5:$H$1004,$T1013)),IF(INDEX('AFA Rates'!$G$5:$G$1004,$T1013)="","",INDEX('AFA Rates'!$G$5:$G$1004,$T1013))))</f>
        <v/>
      </c>
      <c r="J1013" s="50">
        <f>IF($T1013="","",IF($S1013="S",IF(INDEX(Firms!$I$5:$I$1004,$T1013)="","",INDEX(Firms!$I$5:$I$1004,$T1013)),IF(INDEX('AFA Rates'!$H$5:$H$1004,$T1013)="","",INDEX('AFA Rates'!$H$5:$H$1004,$T1013))))</f>
        <v/>
      </c>
      <c r="K1013" s="50">
        <f>IF($T1013="","",IF($S1013="S",IF(INDEX(Firms!$J$5:$J$1004,$T1013)="","",INDEX(Firms!$J$5:$J$1004,$T1013)),IF(INDEX('AFA Rates'!$I$5:$I$1004,$T1013)="","",INDEX('AFA Rates'!$I$5:$I$1004,$T1013))))</f>
        <v/>
      </c>
      <c r="L1013" s="50">
        <f>IF($T1013="","",IF($S1013="S",IF(INDEX(Firms!$K$5:$K$1004,$T1013)="","",INDEX(Firms!$K$5:$K$1004,$T1013)),IF(INDEX('AFA Rates'!$J$5:$J$1004,$T1013)="","",INDEX('AFA Rates'!$J$5:$J$1004,$T1013))))</f>
        <v/>
      </c>
      <c r="M1013" s="50">
        <f>IF($T1013="","",IF($S1013="S",IF(INDEX(Firms!$L$5:$L$1004,$T1013)="","",INDEX(Firms!$L$5:$L$1004,$T1013)),IF(INDEX('AFA Rates'!$K$5:$K$1004,$T1013)="","",INDEX('AFA Rates'!$K$5:$K$1004,$T1013))))</f>
        <v/>
      </c>
      <c r="N1013" s="50">
        <f>IF($T1013="","",IF($S1013="S",IF(INDEX(Firms!$M$5:$M$1004,$T1013)="","",INDEX(Firms!$M$5:$M$1004,$T1013)),IF(INDEX('AFA Rates'!$L$5:$L$1004,$T1013)="","",INDEX('AFA Rates'!$L$5:$L$1004,$T1013))))</f>
        <v/>
      </c>
      <c r="O1013" s="78">
        <f>IF(OR($T1013="",$U1013=""),"",IF(INDEX(Firms!$C$5:$C$1004,$U1013)="","",INDEX(Firms!$C$5:$C$1004,$U1013)))</f>
        <v/>
      </c>
      <c r="P1013" s="79">
        <f>IF(OR($T1013="",$U1013=""),"",IF(INDEX(Firms!$N$5:$N$1004,$U1013)="","",INDEX(Firms!$N$5:$N$1004,$U1013)))</f>
        <v/>
      </c>
      <c r="Q1013" s="78">
        <f>IF($T1013="","",IF($S1013="S",IF(INDEX(Firms!$T$5:$T$1004,$T1013)="","",INDEX(Firms!$T$5:$T$1004,$T1013)),IF(INDEX('AFA Rates'!$M$5:$M$1004,$T1013)="","",INDEX('AFA Rates'!$M$5:$M$1004,$T1013))))</f>
        <v/>
      </c>
      <c r="S1013">
        <f>IF(1009&lt;=$S$2,"S",IF(1009&lt;=$S$2+$T$2,"A",""))</f>
        <v/>
      </c>
      <c r="T1013">
        <f>IF(S1013="S",MATCH(1009,Firms!$W$5:$W$1004,0),IF(S1013="A",IFERROR(MATCH(1009-$S$2,'AFA Rates'!$R$5:$R$1004,0),""),""))</f>
        <v/>
      </c>
      <c r="U1013">
        <f>IF(S1013="S",T1013,IF(AND(S1013="A",T1013&lt;&gt;""),IFERROR(MATCH(INDEX('AFA Rates'!$A$5:$A$1004,T1013),Firms!$A$5:$A$1004,0),""),""))</f>
        <v/>
      </c>
    </row>
    <row r="1014">
      <c r="A1014" s="78">
        <f>IF($T1014="","",IF($S1014="S",IF(INDEX(Firms!$A$5:$A$1004,$T1014)="","",INDEX(Firms!$A$5:$A$1004,$T1014)),IF(INDEX('AFA Rates'!$A$5:$A$1004,$T1014)="","",INDEX('AFA Rates'!$A$5:$A$1004,$T1014))))</f>
        <v/>
      </c>
      <c r="B1014" s="79">
        <f>IF(OR($T1014="",$U1014=""),IF($T1014="","","Not on Firms tab"),INDEX(Firms!$B$5:$B$1004,$U1014)&amp;"")</f>
        <v/>
      </c>
      <c r="C1014" s="78">
        <f>IF($T1014="","",IF($S1014="S","Standard",INDEX('AFA Rates'!$B$5:$B$1004,$T1014)&amp;""))</f>
        <v/>
      </c>
      <c r="D1014" s="88">
        <f>IF($T1014="","",IF($S1014="S",IF(INDEX(Firms!$E$5:$E$1004,$T1014)="","",INDEX(Firms!$E$5:$E$1004,$T1014)),IF(INDEX('AFA Rates'!$C$5:$C$1004,$T1014)="","",INDEX('AFA Rates'!$C$5:$C$1004,$T1014))))</f>
        <v/>
      </c>
      <c r="E1014" s="88">
        <f>IF($T1014="","",IF($S1014="S",IF(""="","",""),IF(INDEX('AFA Rates'!$D$5:$D$1004,$T1014)="","",INDEX('AFA Rates'!$D$5:$D$1004,$T1014))))</f>
        <v/>
      </c>
      <c r="F1014" s="79">
        <f>IF($T1014="","",IF($S1014="S",IF(INDEX(Firms!$O$5:$O$1004,$T1014)="","",INDEX(Firms!$O$5:$O$1004,$T1014)),IF(INDEX('AFA Rates'!$O$5:$O$1004,$T1014)="","",INDEX('AFA Rates'!$O$5:$O$1004,$T1014))))</f>
        <v/>
      </c>
      <c r="G1014" s="50">
        <f>IF($T1014="","",IF($S1014="S",IF(INDEX(Firms!$F$5:$F$1004,$T1014)="","",INDEX(Firms!$F$5:$F$1004,$T1014)),IF(INDEX('AFA Rates'!$E$5:$E$1004,$T1014)="","",INDEX('AFA Rates'!$E$5:$E$1004,$T1014))))</f>
        <v/>
      </c>
      <c r="H1014" s="50">
        <f>IF($T1014="","",IF($S1014="S",IF(INDEX(Firms!$G$5:$G$1004,$T1014)="","",INDEX(Firms!$G$5:$G$1004,$T1014)),IF(INDEX('AFA Rates'!$F$5:$F$1004,$T1014)="","",INDEX('AFA Rates'!$F$5:$F$1004,$T1014))))</f>
        <v/>
      </c>
      <c r="I1014" s="50">
        <f>IF($T1014="","",IF($S1014="S",IF(INDEX(Firms!$H$5:$H$1004,$T1014)="","",INDEX(Firms!$H$5:$H$1004,$T1014)),IF(INDEX('AFA Rates'!$G$5:$G$1004,$T1014)="","",INDEX('AFA Rates'!$G$5:$G$1004,$T1014))))</f>
        <v/>
      </c>
      <c r="J1014" s="50">
        <f>IF($T1014="","",IF($S1014="S",IF(INDEX(Firms!$I$5:$I$1004,$T1014)="","",INDEX(Firms!$I$5:$I$1004,$T1014)),IF(INDEX('AFA Rates'!$H$5:$H$1004,$T1014)="","",INDEX('AFA Rates'!$H$5:$H$1004,$T1014))))</f>
        <v/>
      </c>
      <c r="K1014" s="50">
        <f>IF($T1014="","",IF($S1014="S",IF(INDEX(Firms!$J$5:$J$1004,$T1014)="","",INDEX(Firms!$J$5:$J$1004,$T1014)),IF(INDEX('AFA Rates'!$I$5:$I$1004,$T1014)="","",INDEX('AFA Rates'!$I$5:$I$1004,$T1014))))</f>
        <v/>
      </c>
      <c r="L1014" s="50">
        <f>IF($T1014="","",IF($S1014="S",IF(INDEX(Firms!$K$5:$K$1004,$T1014)="","",INDEX(Firms!$K$5:$K$1004,$T1014)),IF(INDEX('AFA Rates'!$J$5:$J$1004,$T1014)="","",INDEX('AFA Rates'!$J$5:$J$1004,$T1014))))</f>
        <v/>
      </c>
      <c r="M1014" s="50">
        <f>IF($T1014="","",IF($S1014="S",IF(INDEX(Firms!$L$5:$L$1004,$T1014)="","",INDEX(Firms!$L$5:$L$1004,$T1014)),IF(INDEX('AFA Rates'!$K$5:$K$1004,$T1014)="","",INDEX('AFA Rates'!$K$5:$K$1004,$T1014))))</f>
        <v/>
      </c>
      <c r="N1014" s="50">
        <f>IF($T1014="","",IF($S1014="S",IF(INDEX(Firms!$M$5:$M$1004,$T1014)="","",INDEX(Firms!$M$5:$M$1004,$T1014)),IF(INDEX('AFA Rates'!$L$5:$L$1004,$T1014)="","",INDEX('AFA Rates'!$L$5:$L$1004,$T1014))))</f>
        <v/>
      </c>
      <c r="O1014" s="78">
        <f>IF(OR($T1014="",$U1014=""),"",IF(INDEX(Firms!$C$5:$C$1004,$U1014)="","",INDEX(Firms!$C$5:$C$1004,$U1014)))</f>
        <v/>
      </c>
      <c r="P1014" s="79">
        <f>IF(OR($T1014="",$U1014=""),"",IF(INDEX(Firms!$N$5:$N$1004,$U1014)="","",INDEX(Firms!$N$5:$N$1004,$U1014)))</f>
        <v/>
      </c>
      <c r="Q1014" s="78">
        <f>IF($T1014="","",IF($S1014="S",IF(INDEX(Firms!$T$5:$T$1004,$T1014)="","",INDEX(Firms!$T$5:$T$1004,$T1014)),IF(INDEX('AFA Rates'!$M$5:$M$1004,$T1014)="","",INDEX('AFA Rates'!$M$5:$M$1004,$T1014))))</f>
        <v/>
      </c>
      <c r="S1014">
        <f>IF(1010&lt;=$S$2,"S",IF(1010&lt;=$S$2+$T$2,"A",""))</f>
        <v/>
      </c>
      <c r="T1014">
        <f>IF(S1014="S",MATCH(1010,Firms!$W$5:$W$1004,0),IF(S1014="A",IFERROR(MATCH(1010-$S$2,'AFA Rates'!$R$5:$R$1004,0),""),""))</f>
        <v/>
      </c>
      <c r="U1014">
        <f>IF(S1014="S",T1014,IF(AND(S1014="A",T1014&lt;&gt;""),IFERROR(MATCH(INDEX('AFA Rates'!$A$5:$A$1004,T1014),Firms!$A$5:$A$1004,0),""),""))</f>
        <v/>
      </c>
    </row>
    <row r="1015">
      <c r="A1015" s="78">
        <f>IF($T1015="","",IF($S1015="S",IF(INDEX(Firms!$A$5:$A$1004,$T1015)="","",INDEX(Firms!$A$5:$A$1004,$T1015)),IF(INDEX('AFA Rates'!$A$5:$A$1004,$T1015)="","",INDEX('AFA Rates'!$A$5:$A$1004,$T1015))))</f>
        <v/>
      </c>
      <c r="B1015" s="79">
        <f>IF(OR($T1015="",$U1015=""),IF($T1015="","","Not on Firms tab"),INDEX(Firms!$B$5:$B$1004,$U1015)&amp;"")</f>
        <v/>
      </c>
      <c r="C1015" s="78">
        <f>IF($T1015="","",IF($S1015="S","Standard",INDEX('AFA Rates'!$B$5:$B$1004,$T1015)&amp;""))</f>
        <v/>
      </c>
      <c r="D1015" s="88">
        <f>IF($T1015="","",IF($S1015="S",IF(INDEX(Firms!$E$5:$E$1004,$T1015)="","",INDEX(Firms!$E$5:$E$1004,$T1015)),IF(INDEX('AFA Rates'!$C$5:$C$1004,$T1015)="","",INDEX('AFA Rates'!$C$5:$C$1004,$T1015))))</f>
        <v/>
      </c>
      <c r="E1015" s="88">
        <f>IF($T1015="","",IF($S1015="S",IF(""="","",""),IF(INDEX('AFA Rates'!$D$5:$D$1004,$T1015)="","",INDEX('AFA Rates'!$D$5:$D$1004,$T1015))))</f>
        <v/>
      </c>
      <c r="F1015" s="79">
        <f>IF($T1015="","",IF($S1015="S",IF(INDEX(Firms!$O$5:$O$1004,$T1015)="","",INDEX(Firms!$O$5:$O$1004,$T1015)),IF(INDEX('AFA Rates'!$O$5:$O$1004,$T1015)="","",INDEX('AFA Rates'!$O$5:$O$1004,$T1015))))</f>
        <v/>
      </c>
      <c r="G1015" s="50">
        <f>IF($T1015="","",IF($S1015="S",IF(INDEX(Firms!$F$5:$F$1004,$T1015)="","",INDEX(Firms!$F$5:$F$1004,$T1015)),IF(INDEX('AFA Rates'!$E$5:$E$1004,$T1015)="","",INDEX('AFA Rates'!$E$5:$E$1004,$T1015))))</f>
        <v/>
      </c>
      <c r="H1015" s="50">
        <f>IF($T1015="","",IF($S1015="S",IF(INDEX(Firms!$G$5:$G$1004,$T1015)="","",INDEX(Firms!$G$5:$G$1004,$T1015)),IF(INDEX('AFA Rates'!$F$5:$F$1004,$T1015)="","",INDEX('AFA Rates'!$F$5:$F$1004,$T1015))))</f>
        <v/>
      </c>
      <c r="I1015" s="50">
        <f>IF($T1015="","",IF($S1015="S",IF(INDEX(Firms!$H$5:$H$1004,$T1015)="","",INDEX(Firms!$H$5:$H$1004,$T1015)),IF(INDEX('AFA Rates'!$G$5:$G$1004,$T1015)="","",INDEX('AFA Rates'!$G$5:$G$1004,$T1015))))</f>
        <v/>
      </c>
      <c r="J1015" s="50">
        <f>IF($T1015="","",IF($S1015="S",IF(INDEX(Firms!$I$5:$I$1004,$T1015)="","",INDEX(Firms!$I$5:$I$1004,$T1015)),IF(INDEX('AFA Rates'!$H$5:$H$1004,$T1015)="","",INDEX('AFA Rates'!$H$5:$H$1004,$T1015))))</f>
        <v/>
      </c>
      <c r="K1015" s="50">
        <f>IF($T1015="","",IF($S1015="S",IF(INDEX(Firms!$J$5:$J$1004,$T1015)="","",INDEX(Firms!$J$5:$J$1004,$T1015)),IF(INDEX('AFA Rates'!$I$5:$I$1004,$T1015)="","",INDEX('AFA Rates'!$I$5:$I$1004,$T1015))))</f>
        <v/>
      </c>
      <c r="L1015" s="50">
        <f>IF($T1015="","",IF($S1015="S",IF(INDEX(Firms!$K$5:$K$1004,$T1015)="","",INDEX(Firms!$K$5:$K$1004,$T1015)),IF(INDEX('AFA Rates'!$J$5:$J$1004,$T1015)="","",INDEX('AFA Rates'!$J$5:$J$1004,$T1015))))</f>
        <v/>
      </c>
      <c r="M1015" s="50">
        <f>IF($T1015="","",IF($S1015="S",IF(INDEX(Firms!$L$5:$L$1004,$T1015)="","",INDEX(Firms!$L$5:$L$1004,$T1015)),IF(INDEX('AFA Rates'!$K$5:$K$1004,$T1015)="","",INDEX('AFA Rates'!$K$5:$K$1004,$T1015))))</f>
        <v/>
      </c>
      <c r="N1015" s="50">
        <f>IF($T1015="","",IF($S1015="S",IF(INDEX(Firms!$M$5:$M$1004,$T1015)="","",INDEX(Firms!$M$5:$M$1004,$T1015)),IF(INDEX('AFA Rates'!$L$5:$L$1004,$T1015)="","",INDEX('AFA Rates'!$L$5:$L$1004,$T1015))))</f>
        <v/>
      </c>
      <c r="O1015" s="78">
        <f>IF(OR($T1015="",$U1015=""),"",IF(INDEX(Firms!$C$5:$C$1004,$U1015)="","",INDEX(Firms!$C$5:$C$1004,$U1015)))</f>
        <v/>
      </c>
      <c r="P1015" s="79">
        <f>IF(OR($T1015="",$U1015=""),"",IF(INDEX(Firms!$N$5:$N$1004,$U1015)="","",INDEX(Firms!$N$5:$N$1004,$U1015)))</f>
        <v/>
      </c>
      <c r="Q1015" s="78">
        <f>IF($T1015="","",IF($S1015="S",IF(INDEX(Firms!$T$5:$T$1004,$T1015)="","",INDEX(Firms!$T$5:$T$1004,$T1015)),IF(INDEX('AFA Rates'!$M$5:$M$1004,$T1015)="","",INDEX('AFA Rates'!$M$5:$M$1004,$T1015))))</f>
        <v/>
      </c>
      <c r="S1015">
        <f>IF(1011&lt;=$S$2,"S",IF(1011&lt;=$S$2+$T$2,"A",""))</f>
        <v/>
      </c>
      <c r="T1015">
        <f>IF(S1015="S",MATCH(1011,Firms!$W$5:$W$1004,0),IF(S1015="A",IFERROR(MATCH(1011-$S$2,'AFA Rates'!$R$5:$R$1004,0),""),""))</f>
        <v/>
      </c>
      <c r="U1015">
        <f>IF(S1015="S",T1015,IF(AND(S1015="A",T1015&lt;&gt;""),IFERROR(MATCH(INDEX('AFA Rates'!$A$5:$A$1004,T1015),Firms!$A$5:$A$1004,0),""),""))</f>
        <v/>
      </c>
    </row>
    <row r="1016">
      <c r="A1016" s="78">
        <f>IF($T1016="","",IF($S1016="S",IF(INDEX(Firms!$A$5:$A$1004,$T1016)="","",INDEX(Firms!$A$5:$A$1004,$T1016)),IF(INDEX('AFA Rates'!$A$5:$A$1004,$T1016)="","",INDEX('AFA Rates'!$A$5:$A$1004,$T1016))))</f>
        <v/>
      </c>
      <c r="B1016" s="79">
        <f>IF(OR($T1016="",$U1016=""),IF($T1016="","","Not on Firms tab"),INDEX(Firms!$B$5:$B$1004,$U1016)&amp;"")</f>
        <v/>
      </c>
      <c r="C1016" s="78">
        <f>IF($T1016="","",IF($S1016="S","Standard",INDEX('AFA Rates'!$B$5:$B$1004,$T1016)&amp;""))</f>
        <v/>
      </c>
      <c r="D1016" s="88">
        <f>IF($T1016="","",IF($S1016="S",IF(INDEX(Firms!$E$5:$E$1004,$T1016)="","",INDEX(Firms!$E$5:$E$1004,$T1016)),IF(INDEX('AFA Rates'!$C$5:$C$1004,$T1016)="","",INDEX('AFA Rates'!$C$5:$C$1004,$T1016))))</f>
        <v/>
      </c>
      <c r="E1016" s="88">
        <f>IF($T1016="","",IF($S1016="S",IF(""="","",""),IF(INDEX('AFA Rates'!$D$5:$D$1004,$T1016)="","",INDEX('AFA Rates'!$D$5:$D$1004,$T1016))))</f>
        <v/>
      </c>
      <c r="F1016" s="79">
        <f>IF($T1016="","",IF($S1016="S",IF(INDEX(Firms!$O$5:$O$1004,$T1016)="","",INDEX(Firms!$O$5:$O$1004,$T1016)),IF(INDEX('AFA Rates'!$O$5:$O$1004,$T1016)="","",INDEX('AFA Rates'!$O$5:$O$1004,$T1016))))</f>
        <v/>
      </c>
      <c r="G1016" s="50">
        <f>IF($T1016="","",IF($S1016="S",IF(INDEX(Firms!$F$5:$F$1004,$T1016)="","",INDEX(Firms!$F$5:$F$1004,$T1016)),IF(INDEX('AFA Rates'!$E$5:$E$1004,$T1016)="","",INDEX('AFA Rates'!$E$5:$E$1004,$T1016))))</f>
        <v/>
      </c>
      <c r="H1016" s="50">
        <f>IF($T1016="","",IF($S1016="S",IF(INDEX(Firms!$G$5:$G$1004,$T1016)="","",INDEX(Firms!$G$5:$G$1004,$T1016)),IF(INDEX('AFA Rates'!$F$5:$F$1004,$T1016)="","",INDEX('AFA Rates'!$F$5:$F$1004,$T1016))))</f>
        <v/>
      </c>
      <c r="I1016" s="50">
        <f>IF($T1016="","",IF($S1016="S",IF(INDEX(Firms!$H$5:$H$1004,$T1016)="","",INDEX(Firms!$H$5:$H$1004,$T1016)),IF(INDEX('AFA Rates'!$G$5:$G$1004,$T1016)="","",INDEX('AFA Rates'!$G$5:$G$1004,$T1016))))</f>
        <v/>
      </c>
      <c r="J1016" s="50">
        <f>IF($T1016="","",IF($S1016="S",IF(INDEX(Firms!$I$5:$I$1004,$T1016)="","",INDEX(Firms!$I$5:$I$1004,$T1016)),IF(INDEX('AFA Rates'!$H$5:$H$1004,$T1016)="","",INDEX('AFA Rates'!$H$5:$H$1004,$T1016))))</f>
        <v/>
      </c>
      <c r="K1016" s="50">
        <f>IF($T1016="","",IF($S1016="S",IF(INDEX(Firms!$J$5:$J$1004,$T1016)="","",INDEX(Firms!$J$5:$J$1004,$T1016)),IF(INDEX('AFA Rates'!$I$5:$I$1004,$T1016)="","",INDEX('AFA Rates'!$I$5:$I$1004,$T1016))))</f>
        <v/>
      </c>
      <c r="L1016" s="50">
        <f>IF($T1016="","",IF($S1016="S",IF(INDEX(Firms!$K$5:$K$1004,$T1016)="","",INDEX(Firms!$K$5:$K$1004,$T1016)),IF(INDEX('AFA Rates'!$J$5:$J$1004,$T1016)="","",INDEX('AFA Rates'!$J$5:$J$1004,$T1016))))</f>
        <v/>
      </c>
      <c r="M1016" s="50">
        <f>IF($T1016="","",IF($S1016="S",IF(INDEX(Firms!$L$5:$L$1004,$T1016)="","",INDEX(Firms!$L$5:$L$1004,$T1016)),IF(INDEX('AFA Rates'!$K$5:$K$1004,$T1016)="","",INDEX('AFA Rates'!$K$5:$K$1004,$T1016))))</f>
        <v/>
      </c>
      <c r="N1016" s="50">
        <f>IF($T1016="","",IF($S1016="S",IF(INDEX(Firms!$M$5:$M$1004,$T1016)="","",INDEX(Firms!$M$5:$M$1004,$T1016)),IF(INDEX('AFA Rates'!$L$5:$L$1004,$T1016)="","",INDEX('AFA Rates'!$L$5:$L$1004,$T1016))))</f>
        <v/>
      </c>
      <c r="O1016" s="78">
        <f>IF(OR($T1016="",$U1016=""),"",IF(INDEX(Firms!$C$5:$C$1004,$U1016)="","",INDEX(Firms!$C$5:$C$1004,$U1016)))</f>
        <v/>
      </c>
      <c r="P1016" s="79">
        <f>IF(OR($T1016="",$U1016=""),"",IF(INDEX(Firms!$N$5:$N$1004,$U1016)="","",INDEX(Firms!$N$5:$N$1004,$U1016)))</f>
        <v/>
      </c>
      <c r="Q1016" s="78">
        <f>IF($T1016="","",IF($S1016="S",IF(INDEX(Firms!$T$5:$T$1004,$T1016)="","",INDEX(Firms!$T$5:$T$1004,$T1016)),IF(INDEX('AFA Rates'!$M$5:$M$1004,$T1016)="","",INDEX('AFA Rates'!$M$5:$M$1004,$T1016))))</f>
        <v/>
      </c>
      <c r="S1016">
        <f>IF(1012&lt;=$S$2,"S",IF(1012&lt;=$S$2+$T$2,"A",""))</f>
        <v/>
      </c>
      <c r="T1016">
        <f>IF(S1016="S",MATCH(1012,Firms!$W$5:$W$1004,0),IF(S1016="A",IFERROR(MATCH(1012-$S$2,'AFA Rates'!$R$5:$R$1004,0),""),""))</f>
        <v/>
      </c>
      <c r="U1016">
        <f>IF(S1016="S",T1016,IF(AND(S1016="A",T1016&lt;&gt;""),IFERROR(MATCH(INDEX('AFA Rates'!$A$5:$A$1004,T1016),Firms!$A$5:$A$1004,0),""),""))</f>
        <v/>
      </c>
    </row>
    <row r="1017">
      <c r="A1017" s="78">
        <f>IF($T1017="","",IF($S1017="S",IF(INDEX(Firms!$A$5:$A$1004,$T1017)="","",INDEX(Firms!$A$5:$A$1004,$T1017)),IF(INDEX('AFA Rates'!$A$5:$A$1004,$T1017)="","",INDEX('AFA Rates'!$A$5:$A$1004,$T1017))))</f>
        <v/>
      </c>
      <c r="B1017" s="79">
        <f>IF(OR($T1017="",$U1017=""),IF($T1017="","","Not on Firms tab"),INDEX(Firms!$B$5:$B$1004,$U1017)&amp;"")</f>
        <v/>
      </c>
      <c r="C1017" s="78">
        <f>IF($T1017="","",IF($S1017="S","Standard",INDEX('AFA Rates'!$B$5:$B$1004,$T1017)&amp;""))</f>
        <v/>
      </c>
      <c r="D1017" s="88">
        <f>IF($T1017="","",IF($S1017="S",IF(INDEX(Firms!$E$5:$E$1004,$T1017)="","",INDEX(Firms!$E$5:$E$1004,$T1017)),IF(INDEX('AFA Rates'!$C$5:$C$1004,$T1017)="","",INDEX('AFA Rates'!$C$5:$C$1004,$T1017))))</f>
        <v/>
      </c>
      <c r="E1017" s="88">
        <f>IF($T1017="","",IF($S1017="S",IF(""="","",""),IF(INDEX('AFA Rates'!$D$5:$D$1004,$T1017)="","",INDEX('AFA Rates'!$D$5:$D$1004,$T1017))))</f>
        <v/>
      </c>
      <c r="F1017" s="79">
        <f>IF($T1017="","",IF($S1017="S",IF(INDEX(Firms!$O$5:$O$1004,$T1017)="","",INDEX(Firms!$O$5:$O$1004,$T1017)),IF(INDEX('AFA Rates'!$O$5:$O$1004,$T1017)="","",INDEX('AFA Rates'!$O$5:$O$1004,$T1017))))</f>
        <v/>
      </c>
      <c r="G1017" s="50">
        <f>IF($T1017="","",IF($S1017="S",IF(INDEX(Firms!$F$5:$F$1004,$T1017)="","",INDEX(Firms!$F$5:$F$1004,$T1017)),IF(INDEX('AFA Rates'!$E$5:$E$1004,$T1017)="","",INDEX('AFA Rates'!$E$5:$E$1004,$T1017))))</f>
        <v/>
      </c>
      <c r="H1017" s="50">
        <f>IF($T1017="","",IF($S1017="S",IF(INDEX(Firms!$G$5:$G$1004,$T1017)="","",INDEX(Firms!$G$5:$G$1004,$T1017)),IF(INDEX('AFA Rates'!$F$5:$F$1004,$T1017)="","",INDEX('AFA Rates'!$F$5:$F$1004,$T1017))))</f>
        <v/>
      </c>
      <c r="I1017" s="50">
        <f>IF($T1017="","",IF($S1017="S",IF(INDEX(Firms!$H$5:$H$1004,$T1017)="","",INDEX(Firms!$H$5:$H$1004,$T1017)),IF(INDEX('AFA Rates'!$G$5:$G$1004,$T1017)="","",INDEX('AFA Rates'!$G$5:$G$1004,$T1017))))</f>
        <v/>
      </c>
      <c r="J1017" s="50">
        <f>IF($T1017="","",IF($S1017="S",IF(INDEX(Firms!$I$5:$I$1004,$T1017)="","",INDEX(Firms!$I$5:$I$1004,$T1017)),IF(INDEX('AFA Rates'!$H$5:$H$1004,$T1017)="","",INDEX('AFA Rates'!$H$5:$H$1004,$T1017))))</f>
        <v/>
      </c>
      <c r="K1017" s="50">
        <f>IF($T1017="","",IF($S1017="S",IF(INDEX(Firms!$J$5:$J$1004,$T1017)="","",INDEX(Firms!$J$5:$J$1004,$T1017)),IF(INDEX('AFA Rates'!$I$5:$I$1004,$T1017)="","",INDEX('AFA Rates'!$I$5:$I$1004,$T1017))))</f>
        <v/>
      </c>
      <c r="L1017" s="50">
        <f>IF($T1017="","",IF($S1017="S",IF(INDEX(Firms!$K$5:$K$1004,$T1017)="","",INDEX(Firms!$K$5:$K$1004,$T1017)),IF(INDEX('AFA Rates'!$J$5:$J$1004,$T1017)="","",INDEX('AFA Rates'!$J$5:$J$1004,$T1017))))</f>
        <v/>
      </c>
      <c r="M1017" s="50">
        <f>IF($T1017="","",IF($S1017="S",IF(INDEX(Firms!$L$5:$L$1004,$T1017)="","",INDEX(Firms!$L$5:$L$1004,$T1017)),IF(INDEX('AFA Rates'!$K$5:$K$1004,$T1017)="","",INDEX('AFA Rates'!$K$5:$K$1004,$T1017))))</f>
        <v/>
      </c>
      <c r="N1017" s="50">
        <f>IF($T1017="","",IF($S1017="S",IF(INDEX(Firms!$M$5:$M$1004,$T1017)="","",INDEX(Firms!$M$5:$M$1004,$T1017)),IF(INDEX('AFA Rates'!$L$5:$L$1004,$T1017)="","",INDEX('AFA Rates'!$L$5:$L$1004,$T1017))))</f>
        <v/>
      </c>
      <c r="O1017" s="78">
        <f>IF(OR($T1017="",$U1017=""),"",IF(INDEX(Firms!$C$5:$C$1004,$U1017)="","",INDEX(Firms!$C$5:$C$1004,$U1017)))</f>
        <v/>
      </c>
      <c r="P1017" s="79">
        <f>IF(OR($T1017="",$U1017=""),"",IF(INDEX(Firms!$N$5:$N$1004,$U1017)="","",INDEX(Firms!$N$5:$N$1004,$U1017)))</f>
        <v/>
      </c>
      <c r="Q1017" s="78">
        <f>IF($T1017="","",IF($S1017="S",IF(INDEX(Firms!$T$5:$T$1004,$T1017)="","",INDEX(Firms!$T$5:$T$1004,$T1017)),IF(INDEX('AFA Rates'!$M$5:$M$1004,$T1017)="","",INDEX('AFA Rates'!$M$5:$M$1004,$T1017))))</f>
        <v/>
      </c>
      <c r="S1017">
        <f>IF(1013&lt;=$S$2,"S",IF(1013&lt;=$S$2+$T$2,"A",""))</f>
        <v/>
      </c>
      <c r="T1017">
        <f>IF(S1017="S",MATCH(1013,Firms!$W$5:$W$1004,0),IF(S1017="A",IFERROR(MATCH(1013-$S$2,'AFA Rates'!$R$5:$R$1004,0),""),""))</f>
        <v/>
      </c>
      <c r="U1017">
        <f>IF(S1017="S",T1017,IF(AND(S1017="A",T1017&lt;&gt;""),IFERROR(MATCH(INDEX('AFA Rates'!$A$5:$A$1004,T1017),Firms!$A$5:$A$1004,0),""),""))</f>
        <v/>
      </c>
    </row>
    <row r="1018">
      <c r="A1018" s="78">
        <f>IF($T1018="","",IF($S1018="S",IF(INDEX(Firms!$A$5:$A$1004,$T1018)="","",INDEX(Firms!$A$5:$A$1004,$T1018)),IF(INDEX('AFA Rates'!$A$5:$A$1004,$T1018)="","",INDEX('AFA Rates'!$A$5:$A$1004,$T1018))))</f>
        <v/>
      </c>
      <c r="B1018" s="79">
        <f>IF(OR($T1018="",$U1018=""),IF($T1018="","","Not on Firms tab"),INDEX(Firms!$B$5:$B$1004,$U1018)&amp;"")</f>
        <v/>
      </c>
      <c r="C1018" s="78">
        <f>IF($T1018="","",IF($S1018="S","Standard",INDEX('AFA Rates'!$B$5:$B$1004,$T1018)&amp;""))</f>
        <v/>
      </c>
      <c r="D1018" s="88">
        <f>IF($T1018="","",IF($S1018="S",IF(INDEX(Firms!$E$5:$E$1004,$T1018)="","",INDEX(Firms!$E$5:$E$1004,$T1018)),IF(INDEX('AFA Rates'!$C$5:$C$1004,$T1018)="","",INDEX('AFA Rates'!$C$5:$C$1004,$T1018))))</f>
        <v/>
      </c>
      <c r="E1018" s="88">
        <f>IF($T1018="","",IF($S1018="S",IF(""="","",""),IF(INDEX('AFA Rates'!$D$5:$D$1004,$T1018)="","",INDEX('AFA Rates'!$D$5:$D$1004,$T1018))))</f>
        <v/>
      </c>
      <c r="F1018" s="79">
        <f>IF($T1018="","",IF($S1018="S",IF(INDEX(Firms!$O$5:$O$1004,$T1018)="","",INDEX(Firms!$O$5:$O$1004,$T1018)),IF(INDEX('AFA Rates'!$O$5:$O$1004,$T1018)="","",INDEX('AFA Rates'!$O$5:$O$1004,$T1018))))</f>
        <v/>
      </c>
      <c r="G1018" s="50">
        <f>IF($T1018="","",IF($S1018="S",IF(INDEX(Firms!$F$5:$F$1004,$T1018)="","",INDEX(Firms!$F$5:$F$1004,$T1018)),IF(INDEX('AFA Rates'!$E$5:$E$1004,$T1018)="","",INDEX('AFA Rates'!$E$5:$E$1004,$T1018))))</f>
        <v/>
      </c>
      <c r="H1018" s="50">
        <f>IF($T1018="","",IF($S1018="S",IF(INDEX(Firms!$G$5:$G$1004,$T1018)="","",INDEX(Firms!$G$5:$G$1004,$T1018)),IF(INDEX('AFA Rates'!$F$5:$F$1004,$T1018)="","",INDEX('AFA Rates'!$F$5:$F$1004,$T1018))))</f>
        <v/>
      </c>
      <c r="I1018" s="50">
        <f>IF($T1018="","",IF($S1018="S",IF(INDEX(Firms!$H$5:$H$1004,$T1018)="","",INDEX(Firms!$H$5:$H$1004,$T1018)),IF(INDEX('AFA Rates'!$G$5:$G$1004,$T1018)="","",INDEX('AFA Rates'!$G$5:$G$1004,$T1018))))</f>
        <v/>
      </c>
      <c r="J1018" s="50">
        <f>IF($T1018="","",IF($S1018="S",IF(INDEX(Firms!$I$5:$I$1004,$T1018)="","",INDEX(Firms!$I$5:$I$1004,$T1018)),IF(INDEX('AFA Rates'!$H$5:$H$1004,$T1018)="","",INDEX('AFA Rates'!$H$5:$H$1004,$T1018))))</f>
        <v/>
      </c>
      <c r="K1018" s="50">
        <f>IF($T1018="","",IF($S1018="S",IF(INDEX(Firms!$J$5:$J$1004,$T1018)="","",INDEX(Firms!$J$5:$J$1004,$T1018)),IF(INDEX('AFA Rates'!$I$5:$I$1004,$T1018)="","",INDEX('AFA Rates'!$I$5:$I$1004,$T1018))))</f>
        <v/>
      </c>
      <c r="L1018" s="50">
        <f>IF($T1018="","",IF($S1018="S",IF(INDEX(Firms!$K$5:$K$1004,$T1018)="","",INDEX(Firms!$K$5:$K$1004,$T1018)),IF(INDEX('AFA Rates'!$J$5:$J$1004,$T1018)="","",INDEX('AFA Rates'!$J$5:$J$1004,$T1018))))</f>
        <v/>
      </c>
      <c r="M1018" s="50">
        <f>IF($T1018="","",IF($S1018="S",IF(INDEX(Firms!$L$5:$L$1004,$T1018)="","",INDEX(Firms!$L$5:$L$1004,$T1018)),IF(INDEX('AFA Rates'!$K$5:$K$1004,$T1018)="","",INDEX('AFA Rates'!$K$5:$K$1004,$T1018))))</f>
        <v/>
      </c>
      <c r="N1018" s="50">
        <f>IF($T1018="","",IF($S1018="S",IF(INDEX(Firms!$M$5:$M$1004,$T1018)="","",INDEX(Firms!$M$5:$M$1004,$T1018)),IF(INDEX('AFA Rates'!$L$5:$L$1004,$T1018)="","",INDEX('AFA Rates'!$L$5:$L$1004,$T1018))))</f>
        <v/>
      </c>
      <c r="O1018" s="78">
        <f>IF(OR($T1018="",$U1018=""),"",IF(INDEX(Firms!$C$5:$C$1004,$U1018)="","",INDEX(Firms!$C$5:$C$1004,$U1018)))</f>
        <v/>
      </c>
      <c r="P1018" s="79">
        <f>IF(OR($T1018="",$U1018=""),"",IF(INDEX(Firms!$N$5:$N$1004,$U1018)="","",INDEX(Firms!$N$5:$N$1004,$U1018)))</f>
        <v/>
      </c>
      <c r="Q1018" s="78">
        <f>IF($T1018="","",IF($S1018="S",IF(INDEX(Firms!$T$5:$T$1004,$T1018)="","",INDEX(Firms!$T$5:$T$1004,$T1018)),IF(INDEX('AFA Rates'!$M$5:$M$1004,$T1018)="","",INDEX('AFA Rates'!$M$5:$M$1004,$T1018))))</f>
        <v/>
      </c>
      <c r="S1018">
        <f>IF(1014&lt;=$S$2,"S",IF(1014&lt;=$S$2+$T$2,"A",""))</f>
        <v/>
      </c>
      <c r="T1018">
        <f>IF(S1018="S",MATCH(1014,Firms!$W$5:$W$1004,0),IF(S1018="A",IFERROR(MATCH(1014-$S$2,'AFA Rates'!$R$5:$R$1004,0),""),""))</f>
        <v/>
      </c>
      <c r="U1018">
        <f>IF(S1018="S",T1018,IF(AND(S1018="A",T1018&lt;&gt;""),IFERROR(MATCH(INDEX('AFA Rates'!$A$5:$A$1004,T1018),Firms!$A$5:$A$1004,0),""),""))</f>
        <v/>
      </c>
    </row>
    <row r="1019">
      <c r="A1019" s="78">
        <f>IF($T1019="","",IF($S1019="S",IF(INDEX(Firms!$A$5:$A$1004,$T1019)="","",INDEX(Firms!$A$5:$A$1004,$T1019)),IF(INDEX('AFA Rates'!$A$5:$A$1004,$T1019)="","",INDEX('AFA Rates'!$A$5:$A$1004,$T1019))))</f>
        <v/>
      </c>
      <c r="B1019" s="79">
        <f>IF(OR($T1019="",$U1019=""),IF($T1019="","","Not on Firms tab"),INDEX(Firms!$B$5:$B$1004,$U1019)&amp;"")</f>
        <v/>
      </c>
      <c r="C1019" s="78">
        <f>IF($T1019="","",IF($S1019="S","Standard",INDEX('AFA Rates'!$B$5:$B$1004,$T1019)&amp;""))</f>
        <v/>
      </c>
      <c r="D1019" s="88">
        <f>IF($T1019="","",IF($S1019="S",IF(INDEX(Firms!$E$5:$E$1004,$T1019)="","",INDEX(Firms!$E$5:$E$1004,$T1019)),IF(INDEX('AFA Rates'!$C$5:$C$1004,$T1019)="","",INDEX('AFA Rates'!$C$5:$C$1004,$T1019))))</f>
        <v/>
      </c>
      <c r="E1019" s="88">
        <f>IF($T1019="","",IF($S1019="S",IF(""="","",""),IF(INDEX('AFA Rates'!$D$5:$D$1004,$T1019)="","",INDEX('AFA Rates'!$D$5:$D$1004,$T1019))))</f>
        <v/>
      </c>
      <c r="F1019" s="79">
        <f>IF($T1019="","",IF($S1019="S",IF(INDEX(Firms!$O$5:$O$1004,$T1019)="","",INDEX(Firms!$O$5:$O$1004,$T1019)),IF(INDEX('AFA Rates'!$O$5:$O$1004,$T1019)="","",INDEX('AFA Rates'!$O$5:$O$1004,$T1019))))</f>
        <v/>
      </c>
      <c r="G1019" s="50">
        <f>IF($T1019="","",IF($S1019="S",IF(INDEX(Firms!$F$5:$F$1004,$T1019)="","",INDEX(Firms!$F$5:$F$1004,$T1019)),IF(INDEX('AFA Rates'!$E$5:$E$1004,$T1019)="","",INDEX('AFA Rates'!$E$5:$E$1004,$T1019))))</f>
        <v/>
      </c>
      <c r="H1019" s="50">
        <f>IF($T1019="","",IF($S1019="S",IF(INDEX(Firms!$G$5:$G$1004,$T1019)="","",INDEX(Firms!$G$5:$G$1004,$T1019)),IF(INDEX('AFA Rates'!$F$5:$F$1004,$T1019)="","",INDEX('AFA Rates'!$F$5:$F$1004,$T1019))))</f>
        <v/>
      </c>
      <c r="I1019" s="50">
        <f>IF($T1019="","",IF($S1019="S",IF(INDEX(Firms!$H$5:$H$1004,$T1019)="","",INDEX(Firms!$H$5:$H$1004,$T1019)),IF(INDEX('AFA Rates'!$G$5:$G$1004,$T1019)="","",INDEX('AFA Rates'!$G$5:$G$1004,$T1019))))</f>
        <v/>
      </c>
      <c r="J1019" s="50">
        <f>IF($T1019="","",IF($S1019="S",IF(INDEX(Firms!$I$5:$I$1004,$T1019)="","",INDEX(Firms!$I$5:$I$1004,$T1019)),IF(INDEX('AFA Rates'!$H$5:$H$1004,$T1019)="","",INDEX('AFA Rates'!$H$5:$H$1004,$T1019))))</f>
        <v/>
      </c>
      <c r="K1019" s="50">
        <f>IF($T1019="","",IF($S1019="S",IF(INDEX(Firms!$J$5:$J$1004,$T1019)="","",INDEX(Firms!$J$5:$J$1004,$T1019)),IF(INDEX('AFA Rates'!$I$5:$I$1004,$T1019)="","",INDEX('AFA Rates'!$I$5:$I$1004,$T1019))))</f>
        <v/>
      </c>
      <c r="L1019" s="50">
        <f>IF($T1019="","",IF($S1019="S",IF(INDEX(Firms!$K$5:$K$1004,$T1019)="","",INDEX(Firms!$K$5:$K$1004,$T1019)),IF(INDEX('AFA Rates'!$J$5:$J$1004,$T1019)="","",INDEX('AFA Rates'!$J$5:$J$1004,$T1019))))</f>
        <v/>
      </c>
      <c r="M1019" s="50">
        <f>IF($T1019="","",IF($S1019="S",IF(INDEX(Firms!$L$5:$L$1004,$T1019)="","",INDEX(Firms!$L$5:$L$1004,$T1019)),IF(INDEX('AFA Rates'!$K$5:$K$1004,$T1019)="","",INDEX('AFA Rates'!$K$5:$K$1004,$T1019))))</f>
        <v/>
      </c>
      <c r="N1019" s="50">
        <f>IF($T1019="","",IF($S1019="S",IF(INDEX(Firms!$M$5:$M$1004,$T1019)="","",INDEX(Firms!$M$5:$M$1004,$T1019)),IF(INDEX('AFA Rates'!$L$5:$L$1004,$T1019)="","",INDEX('AFA Rates'!$L$5:$L$1004,$T1019))))</f>
        <v/>
      </c>
      <c r="O1019" s="78">
        <f>IF(OR($T1019="",$U1019=""),"",IF(INDEX(Firms!$C$5:$C$1004,$U1019)="","",INDEX(Firms!$C$5:$C$1004,$U1019)))</f>
        <v/>
      </c>
      <c r="P1019" s="79">
        <f>IF(OR($T1019="",$U1019=""),"",IF(INDEX(Firms!$N$5:$N$1004,$U1019)="","",INDEX(Firms!$N$5:$N$1004,$U1019)))</f>
        <v/>
      </c>
      <c r="Q1019" s="78">
        <f>IF($T1019="","",IF($S1019="S",IF(INDEX(Firms!$T$5:$T$1004,$T1019)="","",INDEX(Firms!$T$5:$T$1004,$T1019)),IF(INDEX('AFA Rates'!$M$5:$M$1004,$T1019)="","",INDEX('AFA Rates'!$M$5:$M$1004,$T1019))))</f>
        <v/>
      </c>
      <c r="S1019">
        <f>IF(1015&lt;=$S$2,"S",IF(1015&lt;=$S$2+$T$2,"A",""))</f>
        <v/>
      </c>
      <c r="T1019">
        <f>IF(S1019="S",MATCH(1015,Firms!$W$5:$W$1004,0),IF(S1019="A",IFERROR(MATCH(1015-$S$2,'AFA Rates'!$R$5:$R$1004,0),""),""))</f>
        <v/>
      </c>
      <c r="U1019">
        <f>IF(S1019="S",T1019,IF(AND(S1019="A",T1019&lt;&gt;""),IFERROR(MATCH(INDEX('AFA Rates'!$A$5:$A$1004,T1019),Firms!$A$5:$A$1004,0),""),""))</f>
        <v/>
      </c>
    </row>
    <row r="1020">
      <c r="A1020" s="78">
        <f>IF($T1020="","",IF($S1020="S",IF(INDEX(Firms!$A$5:$A$1004,$T1020)="","",INDEX(Firms!$A$5:$A$1004,$T1020)),IF(INDEX('AFA Rates'!$A$5:$A$1004,$T1020)="","",INDEX('AFA Rates'!$A$5:$A$1004,$T1020))))</f>
        <v/>
      </c>
      <c r="B1020" s="79">
        <f>IF(OR($T1020="",$U1020=""),IF($T1020="","","Not on Firms tab"),INDEX(Firms!$B$5:$B$1004,$U1020)&amp;"")</f>
        <v/>
      </c>
      <c r="C1020" s="78">
        <f>IF($T1020="","",IF($S1020="S","Standard",INDEX('AFA Rates'!$B$5:$B$1004,$T1020)&amp;""))</f>
        <v/>
      </c>
      <c r="D1020" s="88">
        <f>IF($T1020="","",IF($S1020="S",IF(INDEX(Firms!$E$5:$E$1004,$T1020)="","",INDEX(Firms!$E$5:$E$1004,$T1020)),IF(INDEX('AFA Rates'!$C$5:$C$1004,$T1020)="","",INDEX('AFA Rates'!$C$5:$C$1004,$T1020))))</f>
        <v/>
      </c>
      <c r="E1020" s="88">
        <f>IF($T1020="","",IF($S1020="S",IF(""="","",""),IF(INDEX('AFA Rates'!$D$5:$D$1004,$T1020)="","",INDEX('AFA Rates'!$D$5:$D$1004,$T1020))))</f>
        <v/>
      </c>
      <c r="F1020" s="79">
        <f>IF($T1020="","",IF($S1020="S",IF(INDEX(Firms!$O$5:$O$1004,$T1020)="","",INDEX(Firms!$O$5:$O$1004,$T1020)),IF(INDEX('AFA Rates'!$O$5:$O$1004,$T1020)="","",INDEX('AFA Rates'!$O$5:$O$1004,$T1020))))</f>
        <v/>
      </c>
      <c r="G1020" s="50">
        <f>IF($T1020="","",IF($S1020="S",IF(INDEX(Firms!$F$5:$F$1004,$T1020)="","",INDEX(Firms!$F$5:$F$1004,$T1020)),IF(INDEX('AFA Rates'!$E$5:$E$1004,$T1020)="","",INDEX('AFA Rates'!$E$5:$E$1004,$T1020))))</f>
        <v/>
      </c>
      <c r="H1020" s="50">
        <f>IF($T1020="","",IF($S1020="S",IF(INDEX(Firms!$G$5:$G$1004,$T1020)="","",INDEX(Firms!$G$5:$G$1004,$T1020)),IF(INDEX('AFA Rates'!$F$5:$F$1004,$T1020)="","",INDEX('AFA Rates'!$F$5:$F$1004,$T1020))))</f>
        <v/>
      </c>
      <c r="I1020" s="50">
        <f>IF($T1020="","",IF($S1020="S",IF(INDEX(Firms!$H$5:$H$1004,$T1020)="","",INDEX(Firms!$H$5:$H$1004,$T1020)),IF(INDEX('AFA Rates'!$G$5:$G$1004,$T1020)="","",INDEX('AFA Rates'!$G$5:$G$1004,$T1020))))</f>
        <v/>
      </c>
      <c r="J1020" s="50">
        <f>IF($T1020="","",IF($S1020="S",IF(INDEX(Firms!$I$5:$I$1004,$T1020)="","",INDEX(Firms!$I$5:$I$1004,$T1020)),IF(INDEX('AFA Rates'!$H$5:$H$1004,$T1020)="","",INDEX('AFA Rates'!$H$5:$H$1004,$T1020))))</f>
        <v/>
      </c>
      <c r="K1020" s="50">
        <f>IF($T1020="","",IF($S1020="S",IF(INDEX(Firms!$J$5:$J$1004,$T1020)="","",INDEX(Firms!$J$5:$J$1004,$T1020)),IF(INDEX('AFA Rates'!$I$5:$I$1004,$T1020)="","",INDEX('AFA Rates'!$I$5:$I$1004,$T1020))))</f>
        <v/>
      </c>
      <c r="L1020" s="50">
        <f>IF($T1020="","",IF($S1020="S",IF(INDEX(Firms!$K$5:$K$1004,$T1020)="","",INDEX(Firms!$K$5:$K$1004,$T1020)),IF(INDEX('AFA Rates'!$J$5:$J$1004,$T1020)="","",INDEX('AFA Rates'!$J$5:$J$1004,$T1020))))</f>
        <v/>
      </c>
      <c r="M1020" s="50">
        <f>IF($T1020="","",IF($S1020="S",IF(INDEX(Firms!$L$5:$L$1004,$T1020)="","",INDEX(Firms!$L$5:$L$1004,$T1020)),IF(INDEX('AFA Rates'!$K$5:$K$1004,$T1020)="","",INDEX('AFA Rates'!$K$5:$K$1004,$T1020))))</f>
        <v/>
      </c>
      <c r="N1020" s="50">
        <f>IF($T1020="","",IF($S1020="S",IF(INDEX(Firms!$M$5:$M$1004,$T1020)="","",INDEX(Firms!$M$5:$M$1004,$T1020)),IF(INDEX('AFA Rates'!$L$5:$L$1004,$T1020)="","",INDEX('AFA Rates'!$L$5:$L$1004,$T1020))))</f>
        <v/>
      </c>
      <c r="O1020" s="78">
        <f>IF(OR($T1020="",$U1020=""),"",IF(INDEX(Firms!$C$5:$C$1004,$U1020)="","",INDEX(Firms!$C$5:$C$1004,$U1020)))</f>
        <v/>
      </c>
      <c r="P1020" s="79">
        <f>IF(OR($T1020="",$U1020=""),"",IF(INDEX(Firms!$N$5:$N$1004,$U1020)="","",INDEX(Firms!$N$5:$N$1004,$U1020)))</f>
        <v/>
      </c>
      <c r="Q1020" s="78">
        <f>IF($T1020="","",IF($S1020="S",IF(INDEX(Firms!$T$5:$T$1004,$T1020)="","",INDEX(Firms!$T$5:$T$1004,$T1020)),IF(INDEX('AFA Rates'!$M$5:$M$1004,$T1020)="","",INDEX('AFA Rates'!$M$5:$M$1004,$T1020))))</f>
        <v/>
      </c>
      <c r="S1020">
        <f>IF(1016&lt;=$S$2,"S",IF(1016&lt;=$S$2+$T$2,"A",""))</f>
        <v/>
      </c>
      <c r="T1020">
        <f>IF(S1020="S",MATCH(1016,Firms!$W$5:$W$1004,0),IF(S1020="A",IFERROR(MATCH(1016-$S$2,'AFA Rates'!$R$5:$R$1004,0),""),""))</f>
        <v/>
      </c>
      <c r="U1020">
        <f>IF(S1020="S",T1020,IF(AND(S1020="A",T1020&lt;&gt;""),IFERROR(MATCH(INDEX('AFA Rates'!$A$5:$A$1004,T1020),Firms!$A$5:$A$1004,0),""),""))</f>
        <v/>
      </c>
    </row>
    <row r="1021">
      <c r="A1021" s="78">
        <f>IF($T1021="","",IF($S1021="S",IF(INDEX(Firms!$A$5:$A$1004,$T1021)="","",INDEX(Firms!$A$5:$A$1004,$T1021)),IF(INDEX('AFA Rates'!$A$5:$A$1004,$T1021)="","",INDEX('AFA Rates'!$A$5:$A$1004,$T1021))))</f>
        <v/>
      </c>
      <c r="B1021" s="79">
        <f>IF(OR($T1021="",$U1021=""),IF($T1021="","","Not on Firms tab"),INDEX(Firms!$B$5:$B$1004,$U1021)&amp;"")</f>
        <v/>
      </c>
      <c r="C1021" s="78">
        <f>IF($T1021="","",IF($S1021="S","Standard",INDEX('AFA Rates'!$B$5:$B$1004,$T1021)&amp;""))</f>
        <v/>
      </c>
      <c r="D1021" s="88">
        <f>IF($T1021="","",IF($S1021="S",IF(INDEX(Firms!$E$5:$E$1004,$T1021)="","",INDEX(Firms!$E$5:$E$1004,$T1021)),IF(INDEX('AFA Rates'!$C$5:$C$1004,$T1021)="","",INDEX('AFA Rates'!$C$5:$C$1004,$T1021))))</f>
        <v/>
      </c>
      <c r="E1021" s="88">
        <f>IF($T1021="","",IF($S1021="S",IF(""="","",""),IF(INDEX('AFA Rates'!$D$5:$D$1004,$T1021)="","",INDEX('AFA Rates'!$D$5:$D$1004,$T1021))))</f>
        <v/>
      </c>
      <c r="F1021" s="79">
        <f>IF($T1021="","",IF($S1021="S",IF(INDEX(Firms!$O$5:$O$1004,$T1021)="","",INDEX(Firms!$O$5:$O$1004,$T1021)),IF(INDEX('AFA Rates'!$O$5:$O$1004,$T1021)="","",INDEX('AFA Rates'!$O$5:$O$1004,$T1021))))</f>
        <v/>
      </c>
      <c r="G1021" s="50">
        <f>IF($T1021="","",IF($S1021="S",IF(INDEX(Firms!$F$5:$F$1004,$T1021)="","",INDEX(Firms!$F$5:$F$1004,$T1021)),IF(INDEX('AFA Rates'!$E$5:$E$1004,$T1021)="","",INDEX('AFA Rates'!$E$5:$E$1004,$T1021))))</f>
        <v/>
      </c>
      <c r="H1021" s="50">
        <f>IF($T1021="","",IF($S1021="S",IF(INDEX(Firms!$G$5:$G$1004,$T1021)="","",INDEX(Firms!$G$5:$G$1004,$T1021)),IF(INDEX('AFA Rates'!$F$5:$F$1004,$T1021)="","",INDEX('AFA Rates'!$F$5:$F$1004,$T1021))))</f>
        <v/>
      </c>
      <c r="I1021" s="50">
        <f>IF($T1021="","",IF($S1021="S",IF(INDEX(Firms!$H$5:$H$1004,$T1021)="","",INDEX(Firms!$H$5:$H$1004,$T1021)),IF(INDEX('AFA Rates'!$G$5:$G$1004,$T1021)="","",INDEX('AFA Rates'!$G$5:$G$1004,$T1021))))</f>
        <v/>
      </c>
      <c r="J1021" s="50">
        <f>IF($T1021="","",IF($S1021="S",IF(INDEX(Firms!$I$5:$I$1004,$T1021)="","",INDEX(Firms!$I$5:$I$1004,$T1021)),IF(INDEX('AFA Rates'!$H$5:$H$1004,$T1021)="","",INDEX('AFA Rates'!$H$5:$H$1004,$T1021))))</f>
        <v/>
      </c>
      <c r="K1021" s="50">
        <f>IF($T1021="","",IF($S1021="S",IF(INDEX(Firms!$J$5:$J$1004,$T1021)="","",INDEX(Firms!$J$5:$J$1004,$T1021)),IF(INDEX('AFA Rates'!$I$5:$I$1004,$T1021)="","",INDEX('AFA Rates'!$I$5:$I$1004,$T1021))))</f>
        <v/>
      </c>
      <c r="L1021" s="50">
        <f>IF($T1021="","",IF($S1021="S",IF(INDEX(Firms!$K$5:$K$1004,$T1021)="","",INDEX(Firms!$K$5:$K$1004,$T1021)),IF(INDEX('AFA Rates'!$J$5:$J$1004,$T1021)="","",INDEX('AFA Rates'!$J$5:$J$1004,$T1021))))</f>
        <v/>
      </c>
      <c r="M1021" s="50">
        <f>IF($T1021="","",IF($S1021="S",IF(INDEX(Firms!$L$5:$L$1004,$T1021)="","",INDEX(Firms!$L$5:$L$1004,$T1021)),IF(INDEX('AFA Rates'!$K$5:$K$1004,$T1021)="","",INDEX('AFA Rates'!$K$5:$K$1004,$T1021))))</f>
        <v/>
      </c>
      <c r="N1021" s="50">
        <f>IF($T1021="","",IF($S1021="S",IF(INDEX(Firms!$M$5:$M$1004,$T1021)="","",INDEX(Firms!$M$5:$M$1004,$T1021)),IF(INDEX('AFA Rates'!$L$5:$L$1004,$T1021)="","",INDEX('AFA Rates'!$L$5:$L$1004,$T1021))))</f>
        <v/>
      </c>
      <c r="O1021" s="78">
        <f>IF(OR($T1021="",$U1021=""),"",IF(INDEX(Firms!$C$5:$C$1004,$U1021)="","",INDEX(Firms!$C$5:$C$1004,$U1021)))</f>
        <v/>
      </c>
      <c r="P1021" s="79">
        <f>IF(OR($T1021="",$U1021=""),"",IF(INDEX(Firms!$N$5:$N$1004,$U1021)="","",INDEX(Firms!$N$5:$N$1004,$U1021)))</f>
        <v/>
      </c>
      <c r="Q1021" s="78">
        <f>IF($T1021="","",IF($S1021="S",IF(INDEX(Firms!$T$5:$T$1004,$T1021)="","",INDEX(Firms!$T$5:$T$1004,$T1021)),IF(INDEX('AFA Rates'!$M$5:$M$1004,$T1021)="","",INDEX('AFA Rates'!$M$5:$M$1004,$T1021))))</f>
        <v/>
      </c>
      <c r="S1021">
        <f>IF(1017&lt;=$S$2,"S",IF(1017&lt;=$S$2+$T$2,"A",""))</f>
        <v/>
      </c>
      <c r="T1021">
        <f>IF(S1021="S",MATCH(1017,Firms!$W$5:$W$1004,0),IF(S1021="A",IFERROR(MATCH(1017-$S$2,'AFA Rates'!$R$5:$R$1004,0),""),""))</f>
        <v/>
      </c>
      <c r="U1021">
        <f>IF(S1021="S",T1021,IF(AND(S1021="A",T1021&lt;&gt;""),IFERROR(MATCH(INDEX('AFA Rates'!$A$5:$A$1004,T1021),Firms!$A$5:$A$1004,0),""),""))</f>
        <v/>
      </c>
    </row>
    <row r="1022">
      <c r="A1022" s="78">
        <f>IF($T1022="","",IF($S1022="S",IF(INDEX(Firms!$A$5:$A$1004,$T1022)="","",INDEX(Firms!$A$5:$A$1004,$T1022)),IF(INDEX('AFA Rates'!$A$5:$A$1004,$T1022)="","",INDEX('AFA Rates'!$A$5:$A$1004,$T1022))))</f>
        <v/>
      </c>
      <c r="B1022" s="79">
        <f>IF(OR($T1022="",$U1022=""),IF($T1022="","","Not on Firms tab"),INDEX(Firms!$B$5:$B$1004,$U1022)&amp;"")</f>
        <v/>
      </c>
      <c r="C1022" s="78">
        <f>IF($T1022="","",IF($S1022="S","Standard",INDEX('AFA Rates'!$B$5:$B$1004,$T1022)&amp;""))</f>
        <v/>
      </c>
      <c r="D1022" s="88">
        <f>IF($T1022="","",IF($S1022="S",IF(INDEX(Firms!$E$5:$E$1004,$T1022)="","",INDEX(Firms!$E$5:$E$1004,$T1022)),IF(INDEX('AFA Rates'!$C$5:$C$1004,$T1022)="","",INDEX('AFA Rates'!$C$5:$C$1004,$T1022))))</f>
        <v/>
      </c>
      <c r="E1022" s="88">
        <f>IF($T1022="","",IF($S1022="S",IF(""="","",""),IF(INDEX('AFA Rates'!$D$5:$D$1004,$T1022)="","",INDEX('AFA Rates'!$D$5:$D$1004,$T1022))))</f>
        <v/>
      </c>
      <c r="F1022" s="79">
        <f>IF($T1022="","",IF($S1022="S",IF(INDEX(Firms!$O$5:$O$1004,$T1022)="","",INDEX(Firms!$O$5:$O$1004,$T1022)),IF(INDEX('AFA Rates'!$O$5:$O$1004,$T1022)="","",INDEX('AFA Rates'!$O$5:$O$1004,$T1022))))</f>
        <v/>
      </c>
      <c r="G1022" s="50">
        <f>IF($T1022="","",IF($S1022="S",IF(INDEX(Firms!$F$5:$F$1004,$T1022)="","",INDEX(Firms!$F$5:$F$1004,$T1022)),IF(INDEX('AFA Rates'!$E$5:$E$1004,$T1022)="","",INDEX('AFA Rates'!$E$5:$E$1004,$T1022))))</f>
        <v/>
      </c>
      <c r="H1022" s="50">
        <f>IF($T1022="","",IF($S1022="S",IF(INDEX(Firms!$G$5:$G$1004,$T1022)="","",INDEX(Firms!$G$5:$G$1004,$T1022)),IF(INDEX('AFA Rates'!$F$5:$F$1004,$T1022)="","",INDEX('AFA Rates'!$F$5:$F$1004,$T1022))))</f>
        <v/>
      </c>
      <c r="I1022" s="50">
        <f>IF($T1022="","",IF($S1022="S",IF(INDEX(Firms!$H$5:$H$1004,$T1022)="","",INDEX(Firms!$H$5:$H$1004,$T1022)),IF(INDEX('AFA Rates'!$G$5:$G$1004,$T1022)="","",INDEX('AFA Rates'!$G$5:$G$1004,$T1022))))</f>
        <v/>
      </c>
      <c r="J1022" s="50">
        <f>IF($T1022="","",IF($S1022="S",IF(INDEX(Firms!$I$5:$I$1004,$T1022)="","",INDEX(Firms!$I$5:$I$1004,$T1022)),IF(INDEX('AFA Rates'!$H$5:$H$1004,$T1022)="","",INDEX('AFA Rates'!$H$5:$H$1004,$T1022))))</f>
        <v/>
      </c>
      <c r="K1022" s="50">
        <f>IF($T1022="","",IF($S1022="S",IF(INDEX(Firms!$J$5:$J$1004,$T1022)="","",INDEX(Firms!$J$5:$J$1004,$T1022)),IF(INDEX('AFA Rates'!$I$5:$I$1004,$T1022)="","",INDEX('AFA Rates'!$I$5:$I$1004,$T1022))))</f>
        <v/>
      </c>
      <c r="L1022" s="50">
        <f>IF($T1022="","",IF($S1022="S",IF(INDEX(Firms!$K$5:$K$1004,$T1022)="","",INDEX(Firms!$K$5:$K$1004,$T1022)),IF(INDEX('AFA Rates'!$J$5:$J$1004,$T1022)="","",INDEX('AFA Rates'!$J$5:$J$1004,$T1022))))</f>
        <v/>
      </c>
      <c r="M1022" s="50">
        <f>IF($T1022="","",IF($S1022="S",IF(INDEX(Firms!$L$5:$L$1004,$T1022)="","",INDEX(Firms!$L$5:$L$1004,$T1022)),IF(INDEX('AFA Rates'!$K$5:$K$1004,$T1022)="","",INDEX('AFA Rates'!$K$5:$K$1004,$T1022))))</f>
        <v/>
      </c>
      <c r="N1022" s="50">
        <f>IF($T1022="","",IF($S1022="S",IF(INDEX(Firms!$M$5:$M$1004,$T1022)="","",INDEX(Firms!$M$5:$M$1004,$T1022)),IF(INDEX('AFA Rates'!$L$5:$L$1004,$T1022)="","",INDEX('AFA Rates'!$L$5:$L$1004,$T1022))))</f>
        <v/>
      </c>
      <c r="O1022" s="78">
        <f>IF(OR($T1022="",$U1022=""),"",IF(INDEX(Firms!$C$5:$C$1004,$U1022)="","",INDEX(Firms!$C$5:$C$1004,$U1022)))</f>
        <v/>
      </c>
      <c r="P1022" s="79">
        <f>IF(OR($T1022="",$U1022=""),"",IF(INDEX(Firms!$N$5:$N$1004,$U1022)="","",INDEX(Firms!$N$5:$N$1004,$U1022)))</f>
        <v/>
      </c>
      <c r="Q1022" s="78">
        <f>IF($T1022="","",IF($S1022="S",IF(INDEX(Firms!$T$5:$T$1004,$T1022)="","",INDEX(Firms!$T$5:$T$1004,$T1022)),IF(INDEX('AFA Rates'!$M$5:$M$1004,$T1022)="","",INDEX('AFA Rates'!$M$5:$M$1004,$T1022))))</f>
        <v/>
      </c>
      <c r="S1022">
        <f>IF(1018&lt;=$S$2,"S",IF(1018&lt;=$S$2+$T$2,"A",""))</f>
        <v/>
      </c>
      <c r="T1022">
        <f>IF(S1022="S",MATCH(1018,Firms!$W$5:$W$1004,0),IF(S1022="A",IFERROR(MATCH(1018-$S$2,'AFA Rates'!$R$5:$R$1004,0),""),""))</f>
        <v/>
      </c>
      <c r="U1022">
        <f>IF(S1022="S",T1022,IF(AND(S1022="A",T1022&lt;&gt;""),IFERROR(MATCH(INDEX('AFA Rates'!$A$5:$A$1004,T1022),Firms!$A$5:$A$1004,0),""),""))</f>
        <v/>
      </c>
    </row>
    <row r="1023">
      <c r="A1023" s="78">
        <f>IF($T1023="","",IF($S1023="S",IF(INDEX(Firms!$A$5:$A$1004,$T1023)="","",INDEX(Firms!$A$5:$A$1004,$T1023)),IF(INDEX('AFA Rates'!$A$5:$A$1004,$T1023)="","",INDEX('AFA Rates'!$A$5:$A$1004,$T1023))))</f>
        <v/>
      </c>
      <c r="B1023" s="79">
        <f>IF(OR($T1023="",$U1023=""),IF($T1023="","","Not on Firms tab"),INDEX(Firms!$B$5:$B$1004,$U1023)&amp;"")</f>
        <v/>
      </c>
      <c r="C1023" s="78">
        <f>IF($T1023="","",IF($S1023="S","Standard",INDEX('AFA Rates'!$B$5:$B$1004,$T1023)&amp;""))</f>
        <v/>
      </c>
      <c r="D1023" s="88">
        <f>IF($T1023="","",IF($S1023="S",IF(INDEX(Firms!$E$5:$E$1004,$T1023)="","",INDEX(Firms!$E$5:$E$1004,$T1023)),IF(INDEX('AFA Rates'!$C$5:$C$1004,$T1023)="","",INDEX('AFA Rates'!$C$5:$C$1004,$T1023))))</f>
        <v/>
      </c>
      <c r="E1023" s="88">
        <f>IF($T1023="","",IF($S1023="S",IF(""="","",""),IF(INDEX('AFA Rates'!$D$5:$D$1004,$T1023)="","",INDEX('AFA Rates'!$D$5:$D$1004,$T1023))))</f>
        <v/>
      </c>
      <c r="F1023" s="79">
        <f>IF($T1023="","",IF($S1023="S",IF(INDEX(Firms!$O$5:$O$1004,$T1023)="","",INDEX(Firms!$O$5:$O$1004,$T1023)),IF(INDEX('AFA Rates'!$O$5:$O$1004,$T1023)="","",INDEX('AFA Rates'!$O$5:$O$1004,$T1023))))</f>
        <v/>
      </c>
      <c r="G1023" s="50">
        <f>IF($T1023="","",IF($S1023="S",IF(INDEX(Firms!$F$5:$F$1004,$T1023)="","",INDEX(Firms!$F$5:$F$1004,$T1023)),IF(INDEX('AFA Rates'!$E$5:$E$1004,$T1023)="","",INDEX('AFA Rates'!$E$5:$E$1004,$T1023))))</f>
        <v/>
      </c>
      <c r="H1023" s="50">
        <f>IF($T1023="","",IF($S1023="S",IF(INDEX(Firms!$G$5:$G$1004,$T1023)="","",INDEX(Firms!$G$5:$G$1004,$T1023)),IF(INDEX('AFA Rates'!$F$5:$F$1004,$T1023)="","",INDEX('AFA Rates'!$F$5:$F$1004,$T1023))))</f>
        <v/>
      </c>
      <c r="I1023" s="50">
        <f>IF($T1023="","",IF($S1023="S",IF(INDEX(Firms!$H$5:$H$1004,$T1023)="","",INDEX(Firms!$H$5:$H$1004,$T1023)),IF(INDEX('AFA Rates'!$G$5:$G$1004,$T1023)="","",INDEX('AFA Rates'!$G$5:$G$1004,$T1023))))</f>
        <v/>
      </c>
      <c r="J1023" s="50">
        <f>IF($T1023="","",IF($S1023="S",IF(INDEX(Firms!$I$5:$I$1004,$T1023)="","",INDEX(Firms!$I$5:$I$1004,$T1023)),IF(INDEX('AFA Rates'!$H$5:$H$1004,$T1023)="","",INDEX('AFA Rates'!$H$5:$H$1004,$T1023))))</f>
        <v/>
      </c>
      <c r="K1023" s="50">
        <f>IF($T1023="","",IF($S1023="S",IF(INDEX(Firms!$J$5:$J$1004,$T1023)="","",INDEX(Firms!$J$5:$J$1004,$T1023)),IF(INDEX('AFA Rates'!$I$5:$I$1004,$T1023)="","",INDEX('AFA Rates'!$I$5:$I$1004,$T1023))))</f>
        <v/>
      </c>
      <c r="L1023" s="50">
        <f>IF($T1023="","",IF($S1023="S",IF(INDEX(Firms!$K$5:$K$1004,$T1023)="","",INDEX(Firms!$K$5:$K$1004,$T1023)),IF(INDEX('AFA Rates'!$J$5:$J$1004,$T1023)="","",INDEX('AFA Rates'!$J$5:$J$1004,$T1023))))</f>
        <v/>
      </c>
      <c r="M1023" s="50">
        <f>IF($T1023="","",IF($S1023="S",IF(INDEX(Firms!$L$5:$L$1004,$T1023)="","",INDEX(Firms!$L$5:$L$1004,$T1023)),IF(INDEX('AFA Rates'!$K$5:$K$1004,$T1023)="","",INDEX('AFA Rates'!$K$5:$K$1004,$T1023))))</f>
        <v/>
      </c>
      <c r="N1023" s="50">
        <f>IF($T1023="","",IF($S1023="S",IF(INDEX(Firms!$M$5:$M$1004,$T1023)="","",INDEX(Firms!$M$5:$M$1004,$T1023)),IF(INDEX('AFA Rates'!$L$5:$L$1004,$T1023)="","",INDEX('AFA Rates'!$L$5:$L$1004,$T1023))))</f>
        <v/>
      </c>
      <c r="O1023" s="78">
        <f>IF(OR($T1023="",$U1023=""),"",IF(INDEX(Firms!$C$5:$C$1004,$U1023)="","",INDEX(Firms!$C$5:$C$1004,$U1023)))</f>
        <v/>
      </c>
      <c r="P1023" s="79">
        <f>IF(OR($T1023="",$U1023=""),"",IF(INDEX(Firms!$N$5:$N$1004,$U1023)="","",INDEX(Firms!$N$5:$N$1004,$U1023)))</f>
        <v/>
      </c>
      <c r="Q1023" s="78">
        <f>IF($T1023="","",IF($S1023="S",IF(INDEX(Firms!$T$5:$T$1004,$T1023)="","",INDEX(Firms!$T$5:$T$1004,$T1023)),IF(INDEX('AFA Rates'!$M$5:$M$1004,$T1023)="","",INDEX('AFA Rates'!$M$5:$M$1004,$T1023))))</f>
        <v/>
      </c>
      <c r="S1023">
        <f>IF(1019&lt;=$S$2,"S",IF(1019&lt;=$S$2+$T$2,"A",""))</f>
        <v/>
      </c>
      <c r="T1023">
        <f>IF(S1023="S",MATCH(1019,Firms!$W$5:$W$1004,0),IF(S1023="A",IFERROR(MATCH(1019-$S$2,'AFA Rates'!$R$5:$R$1004,0),""),""))</f>
        <v/>
      </c>
      <c r="U1023">
        <f>IF(S1023="S",T1023,IF(AND(S1023="A",T1023&lt;&gt;""),IFERROR(MATCH(INDEX('AFA Rates'!$A$5:$A$1004,T1023),Firms!$A$5:$A$1004,0),""),""))</f>
        <v/>
      </c>
    </row>
    <row r="1024">
      <c r="A1024" s="78">
        <f>IF($T1024="","",IF($S1024="S",IF(INDEX(Firms!$A$5:$A$1004,$T1024)="","",INDEX(Firms!$A$5:$A$1004,$T1024)),IF(INDEX('AFA Rates'!$A$5:$A$1004,$T1024)="","",INDEX('AFA Rates'!$A$5:$A$1004,$T1024))))</f>
        <v/>
      </c>
      <c r="B1024" s="79">
        <f>IF(OR($T1024="",$U1024=""),IF($T1024="","","Not on Firms tab"),INDEX(Firms!$B$5:$B$1004,$U1024)&amp;"")</f>
        <v/>
      </c>
      <c r="C1024" s="78">
        <f>IF($T1024="","",IF($S1024="S","Standard",INDEX('AFA Rates'!$B$5:$B$1004,$T1024)&amp;""))</f>
        <v/>
      </c>
      <c r="D1024" s="88">
        <f>IF($T1024="","",IF($S1024="S",IF(INDEX(Firms!$E$5:$E$1004,$T1024)="","",INDEX(Firms!$E$5:$E$1004,$T1024)),IF(INDEX('AFA Rates'!$C$5:$C$1004,$T1024)="","",INDEX('AFA Rates'!$C$5:$C$1004,$T1024))))</f>
        <v/>
      </c>
      <c r="E1024" s="88">
        <f>IF($T1024="","",IF($S1024="S",IF(""="","",""),IF(INDEX('AFA Rates'!$D$5:$D$1004,$T1024)="","",INDEX('AFA Rates'!$D$5:$D$1004,$T1024))))</f>
        <v/>
      </c>
      <c r="F1024" s="79">
        <f>IF($T1024="","",IF($S1024="S",IF(INDEX(Firms!$O$5:$O$1004,$T1024)="","",INDEX(Firms!$O$5:$O$1004,$T1024)),IF(INDEX('AFA Rates'!$O$5:$O$1004,$T1024)="","",INDEX('AFA Rates'!$O$5:$O$1004,$T1024))))</f>
        <v/>
      </c>
      <c r="G1024" s="50">
        <f>IF($T1024="","",IF($S1024="S",IF(INDEX(Firms!$F$5:$F$1004,$T1024)="","",INDEX(Firms!$F$5:$F$1004,$T1024)),IF(INDEX('AFA Rates'!$E$5:$E$1004,$T1024)="","",INDEX('AFA Rates'!$E$5:$E$1004,$T1024))))</f>
        <v/>
      </c>
      <c r="H1024" s="50">
        <f>IF($T1024="","",IF($S1024="S",IF(INDEX(Firms!$G$5:$G$1004,$T1024)="","",INDEX(Firms!$G$5:$G$1004,$T1024)),IF(INDEX('AFA Rates'!$F$5:$F$1004,$T1024)="","",INDEX('AFA Rates'!$F$5:$F$1004,$T1024))))</f>
        <v/>
      </c>
      <c r="I1024" s="50">
        <f>IF($T1024="","",IF($S1024="S",IF(INDEX(Firms!$H$5:$H$1004,$T1024)="","",INDEX(Firms!$H$5:$H$1004,$T1024)),IF(INDEX('AFA Rates'!$G$5:$G$1004,$T1024)="","",INDEX('AFA Rates'!$G$5:$G$1004,$T1024))))</f>
        <v/>
      </c>
      <c r="J1024" s="50">
        <f>IF($T1024="","",IF($S1024="S",IF(INDEX(Firms!$I$5:$I$1004,$T1024)="","",INDEX(Firms!$I$5:$I$1004,$T1024)),IF(INDEX('AFA Rates'!$H$5:$H$1004,$T1024)="","",INDEX('AFA Rates'!$H$5:$H$1004,$T1024))))</f>
        <v/>
      </c>
      <c r="K1024" s="50">
        <f>IF($T1024="","",IF($S1024="S",IF(INDEX(Firms!$J$5:$J$1004,$T1024)="","",INDEX(Firms!$J$5:$J$1004,$T1024)),IF(INDEX('AFA Rates'!$I$5:$I$1004,$T1024)="","",INDEX('AFA Rates'!$I$5:$I$1004,$T1024))))</f>
        <v/>
      </c>
      <c r="L1024" s="50">
        <f>IF($T1024="","",IF($S1024="S",IF(INDEX(Firms!$K$5:$K$1004,$T1024)="","",INDEX(Firms!$K$5:$K$1004,$T1024)),IF(INDEX('AFA Rates'!$J$5:$J$1004,$T1024)="","",INDEX('AFA Rates'!$J$5:$J$1004,$T1024))))</f>
        <v/>
      </c>
      <c r="M1024" s="50">
        <f>IF($T1024="","",IF($S1024="S",IF(INDEX(Firms!$L$5:$L$1004,$T1024)="","",INDEX(Firms!$L$5:$L$1004,$T1024)),IF(INDEX('AFA Rates'!$K$5:$K$1004,$T1024)="","",INDEX('AFA Rates'!$K$5:$K$1004,$T1024))))</f>
        <v/>
      </c>
      <c r="N1024" s="50">
        <f>IF($T1024="","",IF($S1024="S",IF(INDEX(Firms!$M$5:$M$1004,$T1024)="","",INDEX(Firms!$M$5:$M$1004,$T1024)),IF(INDEX('AFA Rates'!$L$5:$L$1004,$T1024)="","",INDEX('AFA Rates'!$L$5:$L$1004,$T1024))))</f>
        <v/>
      </c>
      <c r="O1024" s="78">
        <f>IF(OR($T1024="",$U1024=""),"",IF(INDEX(Firms!$C$5:$C$1004,$U1024)="","",INDEX(Firms!$C$5:$C$1004,$U1024)))</f>
        <v/>
      </c>
      <c r="P1024" s="79">
        <f>IF(OR($T1024="",$U1024=""),"",IF(INDEX(Firms!$N$5:$N$1004,$U1024)="","",INDEX(Firms!$N$5:$N$1004,$U1024)))</f>
        <v/>
      </c>
      <c r="Q1024" s="78">
        <f>IF($T1024="","",IF($S1024="S",IF(INDEX(Firms!$T$5:$T$1004,$T1024)="","",INDEX(Firms!$T$5:$T$1004,$T1024)),IF(INDEX('AFA Rates'!$M$5:$M$1004,$T1024)="","",INDEX('AFA Rates'!$M$5:$M$1004,$T1024))))</f>
        <v/>
      </c>
      <c r="S1024">
        <f>IF(1020&lt;=$S$2,"S",IF(1020&lt;=$S$2+$T$2,"A",""))</f>
        <v/>
      </c>
      <c r="T1024">
        <f>IF(S1024="S",MATCH(1020,Firms!$W$5:$W$1004,0),IF(S1024="A",IFERROR(MATCH(1020-$S$2,'AFA Rates'!$R$5:$R$1004,0),""),""))</f>
        <v/>
      </c>
      <c r="U1024">
        <f>IF(S1024="S",T1024,IF(AND(S1024="A",T1024&lt;&gt;""),IFERROR(MATCH(INDEX('AFA Rates'!$A$5:$A$1004,T1024),Firms!$A$5:$A$1004,0),""),""))</f>
        <v/>
      </c>
    </row>
    <row r="1025">
      <c r="A1025" s="78">
        <f>IF($T1025="","",IF($S1025="S",IF(INDEX(Firms!$A$5:$A$1004,$T1025)="","",INDEX(Firms!$A$5:$A$1004,$T1025)),IF(INDEX('AFA Rates'!$A$5:$A$1004,$T1025)="","",INDEX('AFA Rates'!$A$5:$A$1004,$T1025))))</f>
        <v/>
      </c>
      <c r="B1025" s="79">
        <f>IF(OR($T1025="",$U1025=""),IF($T1025="","","Not on Firms tab"),INDEX(Firms!$B$5:$B$1004,$U1025)&amp;"")</f>
        <v/>
      </c>
      <c r="C1025" s="78">
        <f>IF($T1025="","",IF($S1025="S","Standard",INDEX('AFA Rates'!$B$5:$B$1004,$T1025)&amp;""))</f>
        <v/>
      </c>
      <c r="D1025" s="88">
        <f>IF($T1025="","",IF($S1025="S",IF(INDEX(Firms!$E$5:$E$1004,$T1025)="","",INDEX(Firms!$E$5:$E$1004,$T1025)),IF(INDEX('AFA Rates'!$C$5:$C$1004,$T1025)="","",INDEX('AFA Rates'!$C$5:$C$1004,$T1025))))</f>
        <v/>
      </c>
      <c r="E1025" s="88">
        <f>IF($T1025="","",IF($S1025="S",IF(""="","",""),IF(INDEX('AFA Rates'!$D$5:$D$1004,$T1025)="","",INDEX('AFA Rates'!$D$5:$D$1004,$T1025))))</f>
        <v/>
      </c>
      <c r="F1025" s="79">
        <f>IF($T1025="","",IF($S1025="S",IF(INDEX(Firms!$O$5:$O$1004,$T1025)="","",INDEX(Firms!$O$5:$O$1004,$T1025)),IF(INDEX('AFA Rates'!$O$5:$O$1004,$T1025)="","",INDEX('AFA Rates'!$O$5:$O$1004,$T1025))))</f>
        <v/>
      </c>
      <c r="G1025" s="50">
        <f>IF($T1025="","",IF($S1025="S",IF(INDEX(Firms!$F$5:$F$1004,$T1025)="","",INDEX(Firms!$F$5:$F$1004,$T1025)),IF(INDEX('AFA Rates'!$E$5:$E$1004,$T1025)="","",INDEX('AFA Rates'!$E$5:$E$1004,$T1025))))</f>
        <v/>
      </c>
      <c r="H1025" s="50">
        <f>IF($T1025="","",IF($S1025="S",IF(INDEX(Firms!$G$5:$G$1004,$T1025)="","",INDEX(Firms!$G$5:$G$1004,$T1025)),IF(INDEX('AFA Rates'!$F$5:$F$1004,$T1025)="","",INDEX('AFA Rates'!$F$5:$F$1004,$T1025))))</f>
        <v/>
      </c>
      <c r="I1025" s="50">
        <f>IF($T1025="","",IF($S1025="S",IF(INDEX(Firms!$H$5:$H$1004,$T1025)="","",INDEX(Firms!$H$5:$H$1004,$T1025)),IF(INDEX('AFA Rates'!$G$5:$G$1004,$T1025)="","",INDEX('AFA Rates'!$G$5:$G$1004,$T1025))))</f>
        <v/>
      </c>
      <c r="J1025" s="50">
        <f>IF($T1025="","",IF($S1025="S",IF(INDEX(Firms!$I$5:$I$1004,$T1025)="","",INDEX(Firms!$I$5:$I$1004,$T1025)),IF(INDEX('AFA Rates'!$H$5:$H$1004,$T1025)="","",INDEX('AFA Rates'!$H$5:$H$1004,$T1025))))</f>
        <v/>
      </c>
      <c r="K1025" s="50">
        <f>IF($T1025="","",IF($S1025="S",IF(INDEX(Firms!$J$5:$J$1004,$T1025)="","",INDEX(Firms!$J$5:$J$1004,$T1025)),IF(INDEX('AFA Rates'!$I$5:$I$1004,$T1025)="","",INDEX('AFA Rates'!$I$5:$I$1004,$T1025))))</f>
        <v/>
      </c>
      <c r="L1025" s="50">
        <f>IF($T1025="","",IF($S1025="S",IF(INDEX(Firms!$K$5:$K$1004,$T1025)="","",INDEX(Firms!$K$5:$K$1004,$T1025)),IF(INDEX('AFA Rates'!$J$5:$J$1004,$T1025)="","",INDEX('AFA Rates'!$J$5:$J$1004,$T1025))))</f>
        <v/>
      </c>
      <c r="M1025" s="50">
        <f>IF($T1025="","",IF($S1025="S",IF(INDEX(Firms!$L$5:$L$1004,$T1025)="","",INDEX(Firms!$L$5:$L$1004,$T1025)),IF(INDEX('AFA Rates'!$K$5:$K$1004,$T1025)="","",INDEX('AFA Rates'!$K$5:$K$1004,$T1025))))</f>
        <v/>
      </c>
      <c r="N1025" s="50">
        <f>IF($T1025="","",IF($S1025="S",IF(INDEX(Firms!$M$5:$M$1004,$T1025)="","",INDEX(Firms!$M$5:$M$1004,$T1025)),IF(INDEX('AFA Rates'!$L$5:$L$1004,$T1025)="","",INDEX('AFA Rates'!$L$5:$L$1004,$T1025))))</f>
        <v/>
      </c>
      <c r="O1025" s="78">
        <f>IF(OR($T1025="",$U1025=""),"",IF(INDEX(Firms!$C$5:$C$1004,$U1025)="","",INDEX(Firms!$C$5:$C$1004,$U1025)))</f>
        <v/>
      </c>
      <c r="P1025" s="79">
        <f>IF(OR($T1025="",$U1025=""),"",IF(INDEX(Firms!$N$5:$N$1004,$U1025)="","",INDEX(Firms!$N$5:$N$1004,$U1025)))</f>
        <v/>
      </c>
      <c r="Q1025" s="78">
        <f>IF($T1025="","",IF($S1025="S",IF(INDEX(Firms!$T$5:$T$1004,$T1025)="","",INDEX(Firms!$T$5:$T$1004,$T1025)),IF(INDEX('AFA Rates'!$M$5:$M$1004,$T1025)="","",INDEX('AFA Rates'!$M$5:$M$1004,$T1025))))</f>
        <v/>
      </c>
      <c r="S1025">
        <f>IF(1021&lt;=$S$2,"S",IF(1021&lt;=$S$2+$T$2,"A",""))</f>
        <v/>
      </c>
      <c r="T1025">
        <f>IF(S1025="S",MATCH(1021,Firms!$W$5:$W$1004,0),IF(S1025="A",IFERROR(MATCH(1021-$S$2,'AFA Rates'!$R$5:$R$1004,0),""),""))</f>
        <v/>
      </c>
      <c r="U1025">
        <f>IF(S1025="S",T1025,IF(AND(S1025="A",T1025&lt;&gt;""),IFERROR(MATCH(INDEX('AFA Rates'!$A$5:$A$1004,T1025),Firms!$A$5:$A$1004,0),""),""))</f>
        <v/>
      </c>
    </row>
    <row r="1026">
      <c r="A1026" s="78">
        <f>IF($T1026="","",IF($S1026="S",IF(INDEX(Firms!$A$5:$A$1004,$T1026)="","",INDEX(Firms!$A$5:$A$1004,$T1026)),IF(INDEX('AFA Rates'!$A$5:$A$1004,$T1026)="","",INDEX('AFA Rates'!$A$5:$A$1004,$T1026))))</f>
        <v/>
      </c>
      <c r="B1026" s="79">
        <f>IF(OR($T1026="",$U1026=""),IF($T1026="","","Not on Firms tab"),INDEX(Firms!$B$5:$B$1004,$U1026)&amp;"")</f>
        <v/>
      </c>
      <c r="C1026" s="78">
        <f>IF($T1026="","",IF($S1026="S","Standard",INDEX('AFA Rates'!$B$5:$B$1004,$T1026)&amp;""))</f>
        <v/>
      </c>
      <c r="D1026" s="88">
        <f>IF($T1026="","",IF($S1026="S",IF(INDEX(Firms!$E$5:$E$1004,$T1026)="","",INDEX(Firms!$E$5:$E$1004,$T1026)),IF(INDEX('AFA Rates'!$C$5:$C$1004,$T1026)="","",INDEX('AFA Rates'!$C$5:$C$1004,$T1026))))</f>
        <v/>
      </c>
      <c r="E1026" s="88">
        <f>IF($T1026="","",IF($S1026="S",IF(""="","",""),IF(INDEX('AFA Rates'!$D$5:$D$1004,$T1026)="","",INDEX('AFA Rates'!$D$5:$D$1004,$T1026))))</f>
        <v/>
      </c>
      <c r="F1026" s="79">
        <f>IF($T1026="","",IF($S1026="S",IF(INDEX(Firms!$O$5:$O$1004,$T1026)="","",INDEX(Firms!$O$5:$O$1004,$T1026)),IF(INDEX('AFA Rates'!$O$5:$O$1004,$T1026)="","",INDEX('AFA Rates'!$O$5:$O$1004,$T1026))))</f>
        <v/>
      </c>
      <c r="G1026" s="50">
        <f>IF($T1026="","",IF($S1026="S",IF(INDEX(Firms!$F$5:$F$1004,$T1026)="","",INDEX(Firms!$F$5:$F$1004,$T1026)),IF(INDEX('AFA Rates'!$E$5:$E$1004,$T1026)="","",INDEX('AFA Rates'!$E$5:$E$1004,$T1026))))</f>
        <v/>
      </c>
      <c r="H1026" s="50">
        <f>IF($T1026="","",IF($S1026="S",IF(INDEX(Firms!$G$5:$G$1004,$T1026)="","",INDEX(Firms!$G$5:$G$1004,$T1026)),IF(INDEX('AFA Rates'!$F$5:$F$1004,$T1026)="","",INDEX('AFA Rates'!$F$5:$F$1004,$T1026))))</f>
        <v/>
      </c>
      <c r="I1026" s="50">
        <f>IF($T1026="","",IF($S1026="S",IF(INDEX(Firms!$H$5:$H$1004,$T1026)="","",INDEX(Firms!$H$5:$H$1004,$T1026)),IF(INDEX('AFA Rates'!$G$5:$G$1004,$T1026)="","",INDEX('AFA Rates'!$G$5:$G$1004,$T1026))))</f>
        <v/>
      </c>
      <c r="J1026" s="50">
        <f>IF($T1026="","",IF($S1026="S",IF(INDEX(Firms!$I$5:$I$1004,$T1026)="","",INDEX(Firms!$I$5:$I$1004,$T1026)),IF(INDEX('AFA Rates'!$H$5:$H$1004,$T1026)="","",INDEX('AFA Rates'!$H$5:$H$1004,$T1026))))</f>
        <v/>
      </c>
      <c r="K1026" s="50">
        <f>IF($T1026="","",IF($S1026="S",IF(INDEX(Firms!$J$5:$J$1004,$T1026)="","",INDEX(Firms!$J$5:$J$1004,$T1026)),IF(INDEX('AFA Rates'!$I$5:$I$1004,$T1026)="","",INDEX('AFA Rates'!$I$5:$I$1004,$T1026))))</f>
        <v/>
      </c>
      <c r="L1026" s="50">
        <f>IF($T1026="","",IF($S1026="S",IF(INDEX(Firms!$K$5:$K$1004,$T1026)="","",INDEX(Firms!$K$5:$K$1004,$T1026)),IF(INDEX('AFA Rates'!$J$5:$J$1004,$T1026)="","",INDEX('AFA Rates'!$J$5:$J$1004,$T1026))))</f>
        <v/>
      </c>
      <c r="M1026" s="50">
        <f>IF($T1026="","",IF($S1026="S",IF(INDEX(Firms!$L$5:$L$1004,$T1026)="","",INDEX(Firms!$L$5:$L$1004,$T1026)),IF(INDEX('AFA Rates'!$K$5:$K$1004,$T1026)="","",INDEX('AFA Rates'!$K$5:$K$1004,$T1026))))</f>
        <v/>
      </c>
      <c r="N1026" s="50">
        <f>IF($T1026="","",IF($S1026="S",IF(INDEX(Firms!$M$5:$M$1004,$T1026)="","",INDEX(Firms!$M$5:$M$1004,$T1026)),IF(INDEX('AFA Rates'!$L$5:$L$1004,$T1026)="","",INDEX('AFA Rates'!$L$5:$L$1004,$T1026))))</f>
        <v/>
      </c>
      <c r="O1026" s="78">
        <f>IF(OR($T1026="",$U1026=""),"",IF(INDEX(Firms!$C$5:$C$1004,$U1026)="","",INDEX(Firms!$C$5:$C$1004,$U1026)))</f>
        <v/>
      </c>
      <c r="P1026" s="79">
        <f>IF(OR($T1026="",$U1026=""),"",IF(INDEX(Firms!$N$5:$N$1004,$U1026)="","",INDEX(Firms!$N$5:$N$1004,$U1026)))</f>
        <v/>
      </c>
      <c r="Q1026" s="78">
        <f>IF($T1026="","",IF($S1026="S",IF(INDEX(Firms!$T$5:$T$1004,$T1026)="","",INDEX(Firms!$T$5:$T$1004,$T1026)),IF(INDEX('AFA Rates'!$M$5:$M$1004,$T1026)="","",INDEX('AFA Rates'!$M$5:$M$1004,$T1026))))</f>
        <v/>
      </c>
      <c r="S1026">
        <f>IF(1022&lt;=$S$2,"S",IF(1022&lt;=$S$2+$T$2,"A",""))</f>
        <v/>
      </c>
      <c r="T1026">
        <f>IF(S1026="S",MATCH(1022,Firms!$W$5:$W$1004,0),IF(S1026="A",IFERROR(MATCH(1022-$S$2,'AFA Rates'!$R$5:$R$1004,0),""),""))</f>
        <v/>
      </c>
      <c r="U1026">
        <f>IF(S1026="S",T1026,IF(AND(S1026="A",T1026&lt;&gt;""),IFERROR(MATCH(INDEX('AFA Rates'!$A$5:$A$1004,T1026),Firms!$A$5:$A$1004,0),""),""))</f>
        <v/>
      </c>
    </row>
    <row r="1027">
      <c r="A1027" s="78">
        <f>IF($T1027="","",IF($S1027="S",IF(INDEX(Firms!$A$5:$A$1004,$T1027)="","",INDEX(Firms!$A$5:$A$1004,$T1027)),IF(INDEX('AFA Rates'!$A$5:$A$1004,$T1027)="","",INDEX('AFA Rates'!$A$5:$A$1004,$T1027))))</f>
        <v/>
      </c>
      <c r="B1027" s="79">
        <f>IF(OR($T1027="",$U1027=""),IF($T1027="","","Not on Firms tab"),INDEX(Firms!$B$5:$B$1004,$U1027)&amp;"")</f>
        <v/>
      </c>
      <c r="C1027" s="78">
        <f>IF($T1027="","",IF($S1027="S","Standard",INDEX('AFA Rates'!$B$5:$B$1004,$T1027)&amp;""))</f>
        <v/>
      </c>
      <c r="D1027" s="88">
        <f>IF($T1027="","",IF($S1027="S",IF(INDEX(Firms!$E$5:$E$1004,$T1027)="","",INDEX(Firms!$E$5:$E$1004,$T1027)),IF(INDEX('AFA Rates'!$C$5:$C$1004,$T1027)="","",INDEX('AFA Rates'!$C$5:$C$1004,$T1027))))</f>
        <v/>
      </c>
      <c r="E1027" s="88">
        <f>IF($T1027="","",IF($S1027="S",IF(""="","",""),IF(INDEX('AFA Rates'!$D$5:$D$1004,$T1027)="","",INDEX('AFA Rates'!$D$5:$D$1004,$T1027))))</f>
        <v/>
      </c>
      <c r="F1027" s="79">
        <f>IF($T1027="","",IF($S1027="S",IF(INDEX(Firms!$O$5:$O$1004,$T1027)="","",INDEX(Firms!$O$5:$O$1004,$T1027)),IF(INDEX('AFA Rates'!$O$5:$O$1004,$T1027)="","",INDEX('AFA Rates'!$O$5:$O$1004,$T1027))))</f>
        <v/>
      </c>
      <c r="G1027" s="50">
        <f>IF($T1027="","",IF($S1027="S",IF(INDEX(Firms!$F$5:$F$1004,$T1027)="","",INDEX(Firms!$F$5:$F$1004,$T1027)),IF(INDEX('AFA Rates'!$E$5:$E$1004,$T1027)="","",INDEX('AFA Rates'!$E$5:$E$1004,$T1027))))</f>
        <v/>
      </c>
      <c r="H1027" s="50">
        <f>IF($T1027="","",IF($S1027="S",IF(INDEX(Firms!$G$5:$G$1004,$T1027)="","",INDEX(Firms!$G$5:$G$1004,$T1027)),IF(INDEX('AFA Rates'!$F$5:$F$1004,$T1027)="","",INDEX('AFA Rates'!$F$5:$F$1004,$T1027))))</f>
        <v/>
      </c>
      <c r="I1027" s="50">
        <f>IF($T1027="","",IF($S1027="S",IF(INDEX(Firms!$H$5:$H$1004,$T1027)="","",INDEX(Firms!$H$5:$H$1004,$T1027)),IF(INDEX('AFA Rates'!$G$5:$G$1004,$T1027)="","",INDEX('AFA Rates'!$G$5:$G$1004,$T1027))))</f>
        <v/>
      </c>
      <c r="J1027" s="50">
        <f>IF($T1027="","",IF($S1027="S",IF(INDEX(Firms!$I$5:$I$1004,$T1027)="","",INDEX(Firms!$I$5:$I$1004,$T1027)),IF(INDEX('AFA Rates'!$H$5:$H$1004,$T1027)="","",INDEX('AFA Rates'!$H$5:$H$1004,$T1027))))</f>
        <v/>
      </c>
      <c r="K1027" s="50">
        <f>IF($T1027="","",IF($S1027="S",IF(INDEX(Firms!$J$5:$J$1004,$T1027)="","",INDEX(Firms!$J$5:$J$1004,$T1027)),IF(INDEX('AFA Rates'!$I$5:$I$1004,$T1027)="","",INDEX('AFA Rates'!$I$5:$I$1004,$T1027))))</f>
        <v/>
      </c>
      <c r="L1027" s="50">
        <f>IF($T1027="","",IF($S1027="S",IF(INDEX(Firms!$K$5:$K$1004,$T1027)="","",INDEX(Firms!$K$5:$K$1004,$T1027)),IF(INDEX('AFA Rates'!$J$5:$J$1004,$T1027)="","",INDEX('AFA Rates'!$J$5:$J$1004,$T1027))))</f>
        <v/>
      </c>
      <c r="M1027" s="50">
        <f>IF($T1027="","",IF($S1027="S",IF(INDEX(Firms!$L$5:$L$1004,$T1027)="","",INDEX(Firms!$L$5:$L$1004,$T1027)),IF(INDEX('AFA Rates'!$K$5:$K$1004,$T1027)="","",INDEX('AFA Rates'!$K$5:$K$1004,$T1027))))</f>
        <v/>
      </c>
      <c r="N1027" s="50">
        <f>IF($T1027="","",IF($S1027="S",IF(INDEX(Firms!$M$5:$M$1004,$T1027)="","",INDEX(Firms!$M$5:$M$1004,$T1027)),IF(INDEX('AFA Rates'!$L$5:$L$1004,$T1027)="","",INDEX('AFA Rates'!$L$5:$L$1004,$T1027))))</f>
        <v/>
      </c>
      <c r="O1027" s="78">
        <f>IF(OR($T1027="",$U1027=""),"",IF(INDEX(Firms!$C$5:$C$1004,$U1027)="","",INDEX(Firms!$C$5:$C$1004,$U1027)))</f>
        <v/>
      </c>
      <c r="P1027" s="79">
        <f>IF(OR($T1027="",$U1027=""),"",IF(INDEX(Firms!$N$5:$N$1004,$U1027)="","",INDEX(Firms!$N$5:$N$1004,$U1027)))</f>
        <v/>
      </c>
      <c r="Q1027" s="78">
        <f>IF($T1027="","",IF($S1027="S",IF(INDEX(Firms!$T$5:$T$1004,$T1027)="","",INDEX(Firms!$T$5:$T$1004,$T1027)),IF(INDEX('AFA Rates'!$M$5:$M$1004,$T1027)="","",INDEX('AFA Rates'!$M$5:$M$1004,$T1027))))</f>
        <v/>
      </c>
      <c r="S1027">
        <f>IF(1023&lt;=$S$2,"S",IF(1023&lt;=$S$2+$T$2,"A",""))</f>
        <v/>
      </c>
      <c r="T1027">
        <f>IF(S1027="S",MATCH(1023,Firms!$W$5:$W$1004,0),IF(S1027="A",IFERROR(MATCH(1023-$S$2,'AFA Rates'!$R$5:$R$1004,0),""),""))</f>
        <v/>
      </c>
      <c r="U1027">
        <f>IF(S1027="S",T1027,IF(AND(S1027="A",T1027&lt;&gt;""),IFERROR(MATCH(INDEX('AFA Rates'!$A$5:$A$1004,T1027),Firms!$A$5:$A$1004,0),""),""))</f>
        <v/>
      </c>
    </row>
    <row r="1028">
      <c r="A1028" s="78">
        <f>IF($T1028="","",IF($S1028="S",IF(INDEX(Firms!$A$5:$A$1004,$T1028)="","",INDEX(Firms!$A$5:$A$1004,$T1028)),IF(INDEX('AFA Rates'!$A$5:$A$1004,$T1028)="","",INDEX('AFA Rates'!$A$5:$A$1004,$T1028))))</f>
        <v/>
      </c>
      <c r="B1028" s="79">
        <f>IF(OR($T1028="",$U1028=""),IF($T1028="","","Not on Firms tab"),INDEX(Firms!$B$5:$B$1004,$U1028)&amp;"")</f>
        <v/>
      </c>
      <c r="C1028" s="78">
        <f>IF($T1028="","",IF($S1028="S","Standard",INDEX('AFA Rates'!$B$5:$B$1004,$T1028)&amp;""))</f>
        <v/>
      </c>
      <c r="D1028" s="88">
        <f>IF($T1028="","",IF($S1028="S",IF(INDEX(Firms!$E$5:$E$1004,$T1028)="","",INDEX(Firms!$E$5:$E$1004,$T1028)),IF(INDEX('AFA Rates'!$C$5:$C$1004,$T1028)="","",INDEX('AFA Rates'!$C$5:$C$1004,$T1028))))</f>
        <v/>
      </c>
      <c r="E1028" s="88">
        <f>IF($T1028="","",IF($S1028="S",IF(""="","",""),IF(INDEX('AFA Rates'!$D$5:$D$1004,$T1028)="","",INDEX('AFA Rates'!$D$5:$D$1004,$T1028))))</f>
        <v/>
      </c>
      <c r="F1028" s="79">
        <f>IF($T1028="","",IF($S1028="S",IF(INDEX(Firms!$O$5:$O$1004,$T1028)="","",INDEX(Firms!$O$5:$O$1004,$T1028)),IF(INDEX('AFA Rates'!$O$5:$O$1004,$T1028)="","",INDEX('AFA Rates'!$O$5:$O$1004,$T1028))))</f>
        <v/>
      </c>
      <c r="G1028" s="50">
        <f>IF($T1028="","",IF($S1028="S",IF(INDEX(Firms!$F$5:$F$1004,$T1028)="","",INDEX(Firms!$F$5:$F$1004,$T1028)),IF(INDEX('AFA Rates'!$E$5:$E$1004,$T1028)="","",INDEX('AFA Rates'!$E$5:$E$1004,$T1028))))</f>
        <v/>
      </c>
      <c r="H1028" s="50">
        <f>IF($T1028="","",IF($S1028="S",IF(INDEX(Firms!$G$5:$G$1004,$T1028)="","",INDEX(Firms!$G$5:$G$1004,$T1028)),IF(INDEX('AFA Rates'!$F$5:$F$1004,$T1028)="","",INDEX('AFA Rates'!$F$5:$F$1004,$T1028))))</f>
        <v/>
      </c>
      <c r="I1028" s="50">
        <f>IF($T1028="","",IF($S1028="S",IF(INDEX(Firms!$H$5:$H$1004,$T1028)="","",INDEX(Firms!$H$5:$H$1004,$T1028)),IF(INDEX('AFA Rates'!$G$5:$G$1004,$T1028)="","",INDEX('AFA Rates'!$G$5:$G$1004,$T1028))))</f>
        <v/>
      </c>
      <c r="J1028" s="50">
        <f>IF($T1028="","",IF($S1028="S",IF(INDEX(Firms!$I$5:$I$1004,$T1028)="","",INDEX(Firms!$I$5:$I$1004,$T1028)),IF(INDEX('AFA Rates'!$H$5:$H$1004,$T1028)="","",INDEX('AFA Rates'!$H$5:$H$1004,$T1028))))</f>
        <v/>
      </c>
      <c r="K1028" s="50">
        <f>IF($T1028="","",IF($S1028="S",IF(INDEX(Firms!$J$5:$J$1004,$T1028)="","",INDEX(Firms!$J$5:$J$1004,$T1028)),IF(INDEX('AFA Rates'!$I$5:$I$1004,$T1028)="","",INDEX('AFA Rates'!$I$5:$I$1004,$T1028))))</f>
        <v/>
      </c>
      <c r="L1028" s="50">
        <f>IF($T1028="","",IF($S1028="S",IF(INDEX(Firms!$K$5:$K$1004,$T1028)="","",INDEX(Firms!$K$5:$K$1004,$T1028)),IF(INDEX('AFA Rates'!$J$5:$J$1004,$T1028)="","",INDEX('AFA Rates'!$J$5:$J$1004,$T1028))))</f>
        <v/>
      </c>
      <c r="M1028" s="50">
        <f>IF($T1028="","",IF($S1028="S",IF(INDEX(Firms!$L$5:$L$1004,$T1028)="","",INDEX(Firms!$L$5:$L$1004,$T1028)),IF(INDEX('AFA Rates'!$K$5:$K$1004,$T1028)="","",INDEX('AFA Rates'!$K$5:$K$1004,$T1028))))</f>
        <v/>
      </c>
      <c r="N1028" s="50">
        <f>IF($T1028="","",IF($S1028="S",IF(INDEX(Firms!$M$5:$M$1004,$T1028)="","",INDEX(Firms!$M$5:$M$1004,$T1028)),IF(INDEX('AFA Rates'!$L$5:$L$1004,$T1028)="","",INDEX('AFA Rates'!$L$5:$L$1004,$T1028))))</f>
        <v/>
      </c>
      <c r="O1028" s="78">
        <f>IF(OR($T1028="",$U1028=""),"",IF(INDEX(Firms!$C$5:$C$1004,$U1028)="","",INDEX(Firms!$C$5:$C$1004,$U1028)))</f>
        <v/>
      </c>
      <c r="P1028" s="79">
        <f>IF(OR($T1028="",$U1028=""),"",IF(INDEX(Firms!$N$5:$N$1004,$U1028)="","",INDEX(Firms!$N$5:$N$1004,$U1028)))</f>
        <v/>
      </c>
      <c r="Q1028" s="78">
        <f>IF($T1028="","",IF($S1028="S",IF(INDEX(Firms!$T$5:$T$1004,$T1028)="","",INDEX(Firms!$T$5:$T$1004,$T1028)),IF(INDEX('AFA Rates'!$M$5:$M$1004,$T1028)="","",INDEX('AFA Rates'!$M$5:$M$1004,$T1028))))</f>
        <v/>
      </c>
      <c r="S1028">
        <f>IF(1024&lt;=$S$2,"S",IF(1024&lt;=$S$2+$T$2,"A",""))</f>
        <v/>
      </c>
      <c r="T1028">
        <f>IF(S1028="S",MATCH(1024,Firms!$W$5:$W$1004,0),IF(S1028="A",IFERROR(MATCH(1024-$S$2,'AFA Rates'!$R$5:$R$1004,0),""),""))</f>
        <v/>
      </c>
      <c r="U1028">
        <f>IF(S1028="S",T1028,IF(AND(S1028="A",T1028&lt;&gt;""),IFERROR(MATCH(INDEX('AFA Rates'!$A$5:$A$1004,T1028),Firms!$A$5:$A$1004,0),""),""))</f>
        <v/>
      </c>
    </row>
    <row r="1029">
      <c r="A1029" s="78">
        <f>IF($T1029="","",IF($S1029="S",IF(INDEX(Firms!$A$5:$A$1004,$T1029)="","",INDEX(Firms!$A$5:$A$1004,$T1029)),IF(INDEX('AFA Rates'!$A$5:$A$1004,$T1029)="","",INDEX('AFA Rates'!$A$5:$A$1004,$T1029))))</f>
        <v/>
      </c>
      <c r="B1029" s="79">
        <f>IF(OR($T1029="",$U1029=""),IF($T1029="","","Not on Firms tab"),INDEX(Firms!$B$5:$B$1004,$U1029)&amp;"")</f>
        <v/>
      </c>
      <c r="C1029" s="78">
        <f>IF($T1029="","",IF($S1029="S","Standard",INDEX('AFA Rates'!$B$5:$B$1004,$T1029)&amp;""))</f>
        <v/>
      </c>
      <c r="D1029" s="88">
        <f>IF($T1029="","",IF($S1029="S",IF(INDEX(Firms!$E$5:$E$1004,$T1029)="","",INDEX(Firms!$E$5:$E$1004,$T1029)),IF(INDEX('AFA Rates'!$C$5:$C$1004,$T1029)="","",INDEX('AFA Rates'!$C$5:$C$1004,$T1029))))</f>
        <v/>
      </c>
      <c r="E1029" s="88">
        <f>IF($T1029="","",IF($S1029="S",IF(""="","",""),IF(INDEX('AFA Rates'!$D$5:$D$1004,$T1029)="","",INDEX('AFA Rates'!$D$5:$D$1004,$T1029))))</f>
        <v/>
      </c>
      <c r="F1029" s="79">
        <f>IF($T1029="","",IF($S1029="S",IF(INDEX(Firms!$O$5:$O$1004,$T1029)="","",INDEX(Firms!$O$5:$O$1004,$T1029)),IF(INDEX('AFA Rates'!$O$5:$O$1004,$T1029)="","",INDEX('AFA Rates'!$O$5:$O$1004,$T1029))))</f>
        <v/>
      </c>
      <c r="G1029" s="50">
        <f>IF($T1029="","",IF($S1029="S",IF(INDEX(Firms!$F$5:$F$1004,$T1029)="","",INDEX(Firms!$F$5:$F$1004,$T1029)),IF(INDEX('AFA Rates'!$E$5:$E$1004,$T1029)="","",INDEX('AFA Rates'!$E$5:$E$1004,$T1029))))</f>
        <v/>
      </c>
      <c r="H1029" s="50">
        <f>IF($T1029="","",IF($S1029="S",IF(INDEX(Firms!$G$5:$G$1004,$T1029)="","",INDEX(Firms!$G$5:$G$1004,$T1029)),IF(INDEX('AFA Rates'!$F$5:$F$1004,$T1029)="","",INDEX('AFA Rates'!$F$5:$F$1004,$T1029))))</f>
        <v/>
      </c>
      <c r="I1029" s="50">
        <f>IF($T1029="","",IF($S1029="S",IF(INDEX(Firms!$H$5:$H$1004,$T1029)="","",INDEX(Firms!$H$5:$H$1004,$T1029)),IF(INDEX('AFA Rates'!$G$5:$G$1004,$T1029)="","",INDEX('AFA Rates'!$G$5:$G$1004,$T1029))))</f>
        <v/>
      </c>
      <c r="J1029" s="50">
        <f>IF($T1029="","",IF($S1029="S",IF(INDEX(Firms!$I$5:$I$1004,$T1029)="","",INDEX(Firms!$I$5:$I$1004,$T1029)),IF(INDEX('AFA Rates'!$H$5:$H$1004,$T1029)="","",INDEX('AFA Rates'!$H$5:$H$1004,$T1029))))</f>
        <v/>
      </c>
      <c r="K1029" s="50">
        <f>IF($T1029="","",IF($S1029="S",IF(INDEX(Firms!$J$5:$J$1004,$T1029)="","",INDEX(Firms!$J$5:$J$1004,$T1029)),IF(INDEX('AFA Rates'!$I$5:$I$1004,$T1029)="","",INDEX('AFA Rates'!$I$5:$I$1004,$T1029))))</f>
        <v/>
      </c>
      <c r="L1029" s="50">
        <f>IF($T1029="","",IF($S1029="S",IF(INDEX(Firms!$K$5:$K$1004,$T1029)="","",INDEX(Firms!$K$5:$K$1004,$T1029)),IF(INDEX('AFA Rates'!$J$5:$J$1004,$T1029)="","",INDEX('AFA Rates'!$J$5:$J$1004,$T1029))))</f>
        <v/>
      </c>
      <c r="M1029" s="50">
        <f>IF($T1029="","",IF($S1029="S",IF(INDEX(Firms!$L$5:$L$1004,$T1029)="","",INDEX(Firms!$L$5:$L$1004,$T1029)),IF(INDEX('AFA Rates'!$K$5:$K$1004,$T1029)="","",INDEX('AFA Rates'!$K$5:$K$1004,$T1029))))</f>
        <v/>
      </c>
      <c r="N1029" s="50">
        <f>IF($T1029="","",IF($S1029="S",IF(INDEX(Firms!$M$5:$M$1004,$T1029)="","",INDEX(Firms!$M$5:$M$1004,$T1029)),IF(INDEX('AFA Rates'!$L$5:$L$1004,$T1029)="","",INDEX('AFA Rates'!$L$5:$L$1004,$T1029))))</f>
        <v/>
      </c>
      <c r="O1029" s="78">
        <f>IF(OR($T1029="",$U1029=""),"",IF(INDEX(Firms!$C$5:$C$1004,$U1029)="","",INDEX(Firms!$C$5:$C$1004,$U1029)))</f>
        <v/>
      </c>
      <c r="P1029" s="79">
        <f>IF(OR($T1029="",$U1029=""),"",IF(INDEX(Firms!$N$5:$N$1004,$U1029)="","",INDEX(Firms!$N$5:$N$1004,$U1029)))</f>
        <v/>
      </c>
      <c r="Q1029" s="78">
        <f>IF($T1029="","",IF($S1029="S",IF(INDEX(Firms!$T$5:$T$1004,$T1029)="","",INDEX(Firms!$T$5:$T$1004,$T1029)),IF(INDEX('AFA Rates'!$M$5:$M$1004,$T1029)="","",INDEX('AFA Rates'!$M$5:$M$1004,$T1029))))</f>
        <v/>
      </c>
      <c r="S1029">
        <f>IF(1025&lt;=$S$2,"S",IF(1025&lt;=$S$2+$T$2,"A",""))</f>
        <v/>
      </c>
      <c r="T1029">
        <f>IF(S1029="S",MATCH(1025,Firms!$W$5:$W$1004,0),IF(S1029="A",IFERROR(MATCH(1025-$S$2,'AFA Rates'!$R$5:$R$1004,0),""),""))</f>
        <v/>
      </c>
      <c r="U1029">
        <f>IF(S1029="S",T1029,IF(AND(S1029="A",T1029&lt;&gt;""),IFERROR(MATCH(INDEX('AFA Rates'!$A$5:$A$1004,T1029),Firms!$A$5:$A$1004,0),""),""))</f>
        <v/>
      </c>
    </row>
    <row r="1030">
      <c r="A1030" s="78">
        <f>IF($T1030="","",IF($S1030="S",IF(INDEX(Firms!$A$5:$A$1004,$T1030)="","",INDEX(Firms!$A$5:$A$1004,$T1030)),IF(INDEX('AFA Rates'!$A$5:$A$1004,$T1030)="","",INDEX('AFA Rates'!$A$5:$A$1004,$T1030))))</f>
        <v/>
      </c>
      <c r="B1030" s="79">
        <f>IF(OR($T1030="",$U1030=""),IF($T1030="","","Not on Firms tab"),INDEX(Firms!$B$5:$B$1004,$U1030)&amp;"")</f>
        <v/>
      </c>
      <c r="C1030" s="78">
        <f>IF($T1030="","",IF($S1030="S","Standard",INDEX('AFA Rates'!$B$5:$B$1004,$T1030)&amp;""))</f>
        <v/>
      </c>
      <c r="D1030" s="88">
        <f>IF($T1030="","",IF($S1030="S",IF(INDEX(Firms!$E$5:$E$1004,$T1030)="","",INDEX(Firms!$E$5:$E$1004,$T1030)),IF(INDEX('AFA Rates'!$C$5:$C$1004,$T1030)="","",INDEX('AFA Rates'!$C$5:$C$1004,$T1030))))</f>
        <v/>
      </c>
      <c r="E1030" s="88">
        <f>IF($T1030="","",IF($S1030="S",IF(""="","",""),IF(INDEX('AFA Rates'!$D$5:$D$1004,$T1030)="","",INDEX('AFA Rates'!$D$5:$D$1004,$T1030))))</f>
        <v/>
      </c>
      <c r="F1030" s="79">
        <f>IF($T1030="","",IF($S1030="S",IF(INDEX(Firms!$O$5:$O$1004,$T1030)="","",INDEX(Firms!$O$5:$O$1004,$T1030)),IF(INDEX('AFA Rates'!$O$5:$O$1004,$T1030)="","",INDEX('AFA Rates'!$O$5:$O$1004,$T1030))))</f>
        <v/>
      </c>
      <c r="G1030" s="50">
        <f>IF($T1030="","",IF($S1030="S",IF(INDEX(Firms!$F$5:$F$1004,$T1030)="","",INDEX(Firms!$F$5:$F$1004,$T1030)),IF(INDEX('AFA Rates'!$E$5:$E$1004,$T1030)="","",INDEX('AFA Rates'!$E$5:$E$1004,$T1030))))</f>
        <v/>
      </c>
      <c r="H1030" s="50">
        <f>IF($T1030="","",IF($S1030="S",IF(INDEX(Firms!$G$5:$G$1004,$T1030)="","",INDEX(Firms!$G$5:$G$1004,$T1030)),IF(INDEX('AFA Rates'!$F$5:$F$1004,$T1030)="","",INDEX('AFA Rates'!$F$5:$F$1004,$T1030))))</f>
        <v/>
      </c>
      <c r="I1030" s="50">
        <f>IF($T1030="","",IF($S1030="S",IF(INDEX(Firms!$H$5:$H$1004,$T1030)="","",INDEX(Firms!$H$5:$H$1004,$T1030)),IF(INDEX('AFA Rates'!$G$5:$G$1004,$T1030)="","",INDEX('AFA Rates'!$G$5:$G$1004,$T1030))))</f>
        <v/>
      </c>
      <c r="J1030" s="50">
        <f>IF($T1030="","",IF($S1030="S",IF(INDEX(Firms!$I$5:$I$1004,$T1030)="","",INDEX(Firms!$I$5:$I$1004,$T1030)),IF(INDEX('AFA Rates'!$H$5:$H$1004,$T1030)="","",INDEX('AFA Rates'!$H$5:$H$1004,$T1030))))</f>
        <v/>
      </c>
      <c r="K1030" s="50">
        <f>IF($T1030="","",IF($S1030="S",IF(INDEX(Firms!$J$5:$J$1004,$T1030)="","",INDEX(Firms!$J$5:$J$1004,$T1030)),IF(INDEX('AFA Rates'!$I$5:$I$1004,$T1030)="","",INDEX('AFA Rates'!$I$5:$I$1004,$T1030))))</f>
        <v/>
      </c>
      <c r="L1030" s="50">
        <f>IF($T1030="","",IF($S1030="S",IF(INDEX(Firms!$K$5:$K$1004,$T1030)="","",INDEX(Firms!$K$5:$K$1004,$T1030)),IF(INDEX('AFA Rates'!$J$5:$J$1004,$T1030)="","",INDEX('AFA Rates'!$J$5:$J$1004,$T1030))))</f>
        <v/>
      </c>
      <c r="M1030" s="50">
        <f>IF($T1030="","",IF($S1030="S",IF(INDEX(Firms!$L$5:$L$1004,$T1030)="","",INDEX(Firms!$L$5:$L$1004,$T1030)),IF(INDEX('AFA Rates'!$K$5:$K$1004,$T1030)="","",INDEX('AFA Rates'!$K$5:$K$1004,$T1030))))</f>
        <v/>
      </c>
      <c r="N1030" s="50">
        <f>IF($T1030="","",IF($S1030="S",IF(INDEX(Firms!$M$5:$M$1004,$T1030)="","",INDEX(Firms!$M$5:$M$1004,$T1030)),IF(INDEX('AFA Rates'!$L$5:$L$1004,$T1030)="","",INDEX('AFA Rates'!$L$5:$L$1004,$T1030))))</f>
        <v/>
      </c>
      <c r="O1030" s="78">
        <f>IF(OR($T1030="",$U1030=""),"",IF(INDEX(Firms!$C$5:$C$1004,$U1030)="","",INDEX(Firms!$C$5:$C$1004,$U1030)))</f>
        <v/>
      </c>
      <c r="P1030" s="79">
        <f>IF(OR($T1030="",$U1030=""),"",IF(INDEX(Firms!$N$5:$N$1004,$U1030)="","",INDEX(Firms!$N$5:$N$1004,$U1030)))</f>
        <v/>
      </c>
      <c r="Q1030" s="78">
        <f>IF($T1030="","",IF($S1030="S",IF(INDEX(Firms!$T$5:$T$1004,$T1030)="","",INDEX(Firms!$T$5:$T$1004,$T1030)),IF(INDEX('AFA Rates'!$M$5:$M$1004,$T1030)="","",INDEX('AFA Rates'!$M$5:$M$1004,$T1030))))</f>
        <v/>
      </c>
      <c r="S1030">
        <f>IF(1026&lt;=$S$2,"S",IF(1026&lt;=$S$2+$T$2,"A",""))</f>
        <v/>
      </c>
      <c r="T1030">
        <f>IF(S1030="S",MATCH(1026,Firms!$W$5:$W$1004,0),IF(S1030="A",IFERROR(MATCH(1026-$S$2,'AFA Rates'!$R$5:$R$1004,0),""),""))</f>
        <v/>
      </c>
      <c r="U1030">
        <f>IF(S1030="S",T1030,IF(AND(S1030="A",T1030&lt;&gt;""),IFERROR(MATCH(INDEX('AFA Rates'!$A$5:$A$1004,T1030),Firms!$A$5:$A$1004,0),""),""))</f>
        <v/>
      </c>
    </row>
    <row r="1031">
      <c r="A1031" s="78">
        <f>IF($T1031="","",IF($S1031="S",IF(INDEX(Firms!$A$5:$A$1004,$T1031)="","",INDEX(Firms!$A$5:$A$1004,$T1031)),IF(INDEX('AFA Rates'!$A$5:$A$1004,$T1031)="","",INDEX('AFA Rates'!$A$5:$A$1004,$T1031))))</f>
        <v/>
      </c>
      <c r="B1031" s="79">
        <f>IF(OR($T1031="",$U1031=""),IF($T1031="","","Not on Firms tab"),INDEX(Firms!$B$5:$B$1004,$U1031)&amp;"")</f>
        <v/>
      </c>
      <c r="C1031" s="78">
        <f>IF($T1031="","",IF($S1031="S","Standard",INDEX('AFA Rates'!$B$5:$B$1004,$T1031)&amp;""))</f>
        <v/>
      </c>
      <c r="D1031" s="88">
        <f>IF($T1031="","",IF($S1031="S",IF(INDEX(Firms!$E$5:$E$1004,$T1031)="","",INDEX(Firms!$E$5:$E$1004,$T1031)),IF(INDEX('AFA Rates'!$C$5:$C$1004,$T1031)="","",INDEX('AFA Rates'!$C$5:$C$1004,$T1031))))</f>
        <v/>
      </c>
      <c r="E1031" s="88">
        <f>IF($T1031="","",IF($S1031="S",IF(""="","",""),IF(INDEX('AFA Rates'!$D$5:$D$1004,$T1031)="","",INDEX('AFA Rates'!$D$5:$D$1004,$T1031))))</f>
        <v/>
      </c>
      <c r="F1031" s="79">
        <f>IF($T1031="","",IF($S1031="S",IF(INDEX(Firms!$O$5:$O$1004,$T1031)="","",INDEX(Firms!$O$5:$O$1004,$T1031)),IF(INDEX('AFA Rates'!$O$5:$O$1004,$T1031)="","",INDEX('AFA Rates'!$O$5:$O$1004,$T1031))))</f>
        <v/>
      </c>
      <c r="G1031" s="50">
        <f>IF($T1031="","",IF($S1031="S",IF(INDEX(Firms!$F$5:$F$1004,$T1031)="","",INDEX(Firms!$F$5:$F$1004,$T1031)),IF(INDEX('AFA Rates'!$E$5:$E$1004,$T1031)="","",INDEX('AFA Rates'!$E$5:$E$1004,$T1031))))</f>
        <v/>
      </c>
      <c r="H1031" s="50">
        <f>IF($T1031="","",IF($S1031="S",IF(INDEX(Firms!$G$5:$G$1004,$T1031)="","",INDEX(Firms!$G$5:$G$1004,$T1031)),IF(INDEX('AFA Rates'!$F$5:$F$1004,$T1031)="","",INDEX('AFA Rates'!$F$5:$F$1004,$T1031))))</f>
        <v/>
      </c>
      <c r="I1031" s="50">
        <f>IF($T1031="","",IF($S1031="S",IF(INDEX(Firms!$H$5:$H$1004,$T1031)="","",INDEX(Firms!$H$5:$H$1004,$T1031)),IF(INDEX('AFA Rates'!$G$5:$G$1004,$T1031)="","",INDEX('AFA Rates'!$G$5:$G$1004,$T1031))))</f>
        <v/>
      </c>
      <c r="J1031" s="50">
        <f>IF($T1031="","",IF($S1031="S",IF(INDEX(Firms!$I$5:$I$1004,$T1031)="","",INDEX(Firms!$I$5:$I$1004,$T1031)),IF(INDEX('AFA Rates'!$H$5:$H$1004,$T1031)="","",INDEX('AFA Rates'!$H$5:$H$1004,$T1031))))</f>
        <v/>
      </c>
      <c r="K1031" s="50">
        <f>IF($T1031="","",IF($S1031="S",IF(INDEX(Firms!$J$5:$J$1004,$T1031)="","",INDEX(Firms!$J$5:$J$1004,$T1031)),IF(INDEX('AFA Rates'!$I$5:$I$1004,$T1031)="","",INDEX('AFA Rates'!$I$5:$I$1004,$T1031))))</f>
        <v/>
      </c>
      <c r="L1031" s="50">
        <f>IF($T1031="","",IF($S1031="S",IF(INDEX(Firms!$K$5:$K$1004,$T1031)="","",INDEX(Firms!$K$5:$K$1004,$T1031)),IF(INDEX('AFA Rates'!$J$5:$J$1004,$T1031)="","",INDEX('AFA Rates'!$J$5:$J$1004,$T1031))))</f>
        <v/>
      </c>
      <c r="M1031" s="50">
        <f>IF($T1031="","",IF($S1031="S",IF(INDEX(Firms!$L$5:$L$1004,$T1031)="","",INDEX(Firms!$L$5:$L$1004,$T1031)),IF(INDEX('AFA Rates'!$K$5:$K$1004,$T1031)="","",INDEX('AFA Rates'!$K$5:$K$1004,$T1031))))</f>
        <v/>
      </c>
      <c r="N1031" s="50">
        <f>IF($T1031="","",IF($S1031="S",IF(INDEX(Firms!$M$5:$M$1004,$T1031)="","",INDEX(Firms!$M$5:$M$1004,$T1031)),IF(INDEX('AFA Rates'!$L$5:$L$1004,$T1031)="","",INDEX('AFA Rates'!$L$5:$L$1004,$T1031))))</f>
        <v/>
      </c>
      <c r="O1031" s="78">
        <f>IF(OR($T1031="",$U1031=""),"",IF(INDEX(Firms!$C$5:$C$1004,$U1031)="","",INDEX(Firms!$C$5:$C$1004,$U1031)))</f>
        <v/>
      </c>
      <c r="P1031" s="79">
        <f>IF(OR($T1031="",$U1031=""),"",IF(INDEX(Firms!$N$5:$N$1004,$U1031)="","",INDEX(Firms!$N$5:$N$1004,$U1031)))</f>
        <v/>
      </c>
      <c r="Q1031" s="78">
        <f>IF($T1031="","",IF($S1031="S",IF(INDEX(Firms!$T$5:$T$1004,$T1031)="","",INDEX(Firms!$T$5:$T$1004,$T1031)),IF(INDEX('AFA Rates'!$M$5:$M$1004,$T1031)="","",INDEX('AFA Rates'!$M$5:$M$1004,$T1031))))</f>
        <v/>
      </c>
      <c r="S1031">
        <f>IF(1027&lt;=$S$2,"S",IF(1027&lt;=$S$2+$T$2,"A",""))</f>
        <v/>
      </c>
      <c r="T1031">
        <f>IF(S1031="S",MATCH(1027,Firms!$W$5:$W$1004,0),IF(S1031="A",IFERROR(MATCH(1027-$S$2,'AFA Rates'!$R$5:$R$1004,0),""),""))</f>
        <v/>
      </c>
      <c r="U1031">
        <f>IF(S1031="S",T1031,IF(AND(S1031="A",T1031&lt;&gt;""),IFERROR(MATCH(INDEX('AFA Rates'!$A$5:$A$1004,T1031),Firms!$A$5:$A$1004,0),""),""))</f>
        <v/>
      </c>
    </row>
    <row r="1032">
      <c r="A1032" s="78">
        <f>IF($T1032="","",IF($S1032="S",IF(INDEX(Firms!$A$5:$A$1004,$T1032)="","",INDEX(Firms!$A$5:$A$1004,$T1032)),IF(INDEX('AFA Rates'!$A$5:$A$1004,$T1032)="","",INDEX('AFA Rates'!$A$5:$A$1004,$T1032))))</f>
        <v/>
      </c>
      <c r="B1032" s="79">
        <f>IF(OR($T1032="",$U1032=""),IF($T1032="","","Not on Firms tab"),INDEX(Firms!$B$5:$B$1004,$U1032)&amp;"")</f>
        <v/>
      </c>
      <c r="C1032" s="78">
        <f>IF($T1032="","",IF($S1032="S","Standard",INDEX('AFA Rates'!$B$5:$B$1004,$T1032)&amp;""))</f>
        <v/>
      </c>
      <c r="D1032" s="88">
        <f>IF($T1032="","",IF($S1032="S",IF(INDEX(Firms!$E$5:$E$1004,$T1032)="","",INDEX(Firms!$E$5:$E$1004,$T1032)),IF(INDEX('AFA Rates'!$C$5:$C$1004,$T1032)="","",INDEX('AFA Rates'!$C$5:$C$1004,$T1032))))</f>
        <v/>
      </c>
      <c r="E1032" s="88">
        <f>IF($T1032="","",IF($S1032="S",IF(""="","",""),IF(INDEX('AFA Rates'!$D$5:$D$1004,$T1032)="","",INDEX('AFA Rates'!$D$5:$D$1004,$T1032))))</f>
        <v/>
      </c>
      <c r="F1032" s="79">
        <f>IF($T1032="","",IF($S1032="S",IF(INDEX(Firms!$O$5:$O$1004,$T1032)="","",INDEX(Firms!$O$5:$O$1004,$T1032)),IF(INDEX('AFA Rates'!$O$5:$O$1004,$T1032)="","",INDEX('AFA Rates'!$O$5:$O$1004,$T1032))))</f>
        <v/>
      </c>
      <c r="G1032" s="50">
        <f>IF($T1032="","",IF($S1032="S",IF(INDEX(Firms!$F$5:$F$1004,$T1032)="","",INDEX(Firms!$F$5:$F$1004,$T1032)),IF(INDEX('AFA Rates'!$E$5:$E$1004,$T1032)="","",INDEX('AFA Rates'!$E$5:$E$1004,$T1032))))</f>
        <v/>
      </c>
      <c r="H1032" s="50">
        <f>IF($T1032="","",IF($S1032="S",IF(INDEX(Firms!$G$5:$G$1004,$T1032)="","",INDEX(Firms!$G$5:$G$1004,$T1032)),IF(INDEX('AFA Rates'!$F$5:$F$1004,$T1032)="","",INDEX('AFA Rates'!$F$5:$F$1004,$T1032))))</f>
        <v/>
      </c>
      <c r="I1032" s="50">
        <f>IF($T1032="","",IF($S1032="S",IF(INDEX(Firms!$H$5:$H$1004,$T1032)="","",INDEX(Firms!$H$5:$H$1004,$T1032)),IF(INDEX('AFA Rates'!$G$5:$G$1004,$T1032)="","",INDEX('AFA Rates'!$G$5:$G$1004,$T1032))))</f>
        <v/>
      </c>
      <c r="J1032" s="50">
        <f>IF($T1032="","",IF($S1032="S",IF(INDEX(Firms!$I$5:$I$1004,$T1032)="","",INDEX(Firms!$I$5:$I$1004,$T1032)),IF(INDEX('AFA Rates'!$H$5:$H$1004,$T1032)="","",INDEX('AFA Rates'!$H$5:$H$1004,$T1032))))</f>
        <v/>
      </c>
      <c r="K1032" s="50">
        <f>IF($T1032="","",IF($S1032="S",IF(INDEX(Firms!$J$5:$J$1004,$T1032)="","",INDEX(Firms!$J$5:$J$1004,$T1032)),IF(INDEX('AFA Rates'!$I$5:$I$1004,$T1032)="","",INDEX('AFA Rates'!$I$5:$I$1004,$T1032))))</f>
        <v/>
      </c>
      <c r="L1032" s="50">
        <f>IF($T1032="","",IF($S1032="S",IF(INDEX(Firms!$K$5:$K$1004,$T1032)="","",INDEX(Firms!$K$5:$K$1004,$T1032)),IF(INDEX('AFA Rates'!$J$5:$J$1004,$T1032)="","",INDEX('AFA Rates'!$J$5:$J$1004,$T1032))))</f>
        <v/>
      </c>
      <c r="M1032" s="50">
        <f>IF($T1032="","",IF($S1032="S",IF(INDEX(Firms!$L$5:$L$1004,$T1032)="","",INDEX(Firms!$L$5:$L$1004,$T1032)),IF(INDEX('AFA Rates'!$K$5:$K$1004,$T1032)="","",INDEX('AFA Rates'!$K$5:$K$1004,$T1032))))</f>
        <v/>
      </c>
      <c r="N1032" s="50">
        <f>IF($T1032="","",IF($S1032="S",IF(INDEX(Firms!$M$5:$M$1004,$T1032)="","",INDEX(Firms!$M$5:$M$1004,$T1032)),IF(INDEX('AFA Rates'!$L$5:$L$1004,$T1032)="","",INDEX('AFA Rates'!$L$5:$L$1004,$T1032))))</f>
        <v/>
      </c>
      <c r="O1032" s="78">
        <f>IF(OR($T1032="",$U1032=""),"",IF(INDEX(Firms!$C$5:$C$1004,$U1032)="","",INDEX(Firms!$C$5:$C$1004,$U1032)))</f>
        <v/>
      </c>
      <c r="P1032" s="79">
        <f>IF(OR($T1032="",$U1032=""),"",IF(INDEX(Firms!$N$5:$N$1004,$U1032)="","",INDEX(Firms!$N$5:$N$1004,$U1032)))</f>
        <v/>
      </c>
      <c r="Q1032" s="78">
        <f>IF($T1032="","",IF($S1032="S",IF(INDEX(Firms!$T$5:$T$1004,$T1032)="","",INDEX(Firms!$T$5:$T$1004,$T1032)),IF(INDEX('AFA Rates'!$M$5:$M$1004,$T1032)="","",INDEX('AFA Rates'!$M$5:$M$1004,$T1032))))</f>
        <v/>
      </c>
      <c r="S1032">
        <f>IF(1028&lt;=$S$2,"S",IF(1028&lt;=$S$2+$T$2,"A",""))</f>
        <v/>
      </c>
      <c r="T1032">
        <f>IF(S1032="S",MATCH(1028,Firms!$W$5:$W$1004,0),IF(S1032="A",IFERROR(MATCH(1028-$S$2,'AFA Rates'!$R$5:$R$1004,0),""),""))</f>
        <v/>
      </c>
      <c r="U1032">
        <f>IF(S1032="S",T1032,IF(AND(S1032="A",T1032&lt;&gt;""),IFERROR(MATCH(INDEX('AFA Rates'!$A$5:$A$1004,T1032),Firms!$A$5:$A$1004,0),""),""))</f>
        <v/>
      </c>
    </row>
    <row r="1033">
      <c r="A1033" s="78">
        <f>IF($T1033="","",IF($S1033="S",IF(INDEX(Firms!$A$5:$A$1004,$T1033)="","",INDEX(Firms!$A$5:$A$1004,$T1033)),IF(INDEX('AFA Rates'!$A$5:$A$1004,$T1033)="","",INDEX('AFA Rates'!$A$5:$A$1004,$T1033))))</f>
        <v/>
      </c>
      <c r="B1033" s="79">
        <f>IF(OR($T1033="",$U1033=""),IF($T1033="","","Not on Firms tab"),INDEX(Firms!$B$5:$B$1004,$U1033)&amp;"")</f>
        <v/>
      </c>
      <c r="C1033" s="78">
        <f>IF($T1033="","",IF($S1033="S","Standard",INDEX('AFA Rates'!$B$5:$B$1004,$T1033)&amp;""))</f>
        <v/>
      </c>
      <c r="D1033" s="88">
        <f>IF($T1033="","",IF($S1033="S",IF(INDEX(Firms!$E$5:$E$1004,$T1033)="","",INDEX(Firms!$E$5:$E$1004,$T1033)),IF(INDEX('AFA Rates'!$C$5:$C$1004,$T1033)="","",INDEX('AFA Rates'!$C$5:$C$1004,$T1033))))</f>
        <v/>
      </c>
      <c r="E1033" s="88">
        <f>IF($T1033="","",IF($S1033="S",IF(""="","",""),IF(INDEX('AFA Rates'!$D$5:$D$1004,$T1033)="","",INDEX('AFA Rates'!$D$5:$D$1004,$T1033))))</f>
        <v/>
      </c>
      <c r="F1033" s="79">
        <f>IF($T1033="","",IF($S1033="S",IF(INDEX(Firms!$O$5:$O$1004,$T1033)="","",INDEX(Firms!$O$5:$O$1004,$T1033)),IF(INDEX('AFA Rates'!$O$5:$O$1004,$T1033)="","",INDEX('AFA Rates'!$O$5:$O$1004,$T1033))))</f>
        <v/>
      </c>
      <c r="G1033" s="50">
        <f>IF($T1033="","",IF($S1033="S",IF(INDEX(Firms!$F$5:$F$1004,$T1033)="","",INDEX(Firms!$F$5:$F$1004,$T1033)),IF(INDEX('AFA Rates'!$E$5:$E$1004,$T1033)="","",INDEX('AFA Rates'!$E$5:$E$1004,$T1033))))</f>
        <v/>
      </c>
      <c r="H1033" s="50">
        <f>IF($T1033="","",IF($S1033="S",IF(INDEX(Firms!$G$5:$G$1004,$T1033)="","",INDEX(Firms!$G$5:$G$1004,$T1033)),IF(INDEX('AFA Rates'!$F$5:$F$1004,$T1033)="","",INDEX('AFA Rates'!$F$5:$F$1004,$T1033))))</f>
        <v/>
      </c>
      <c r="I1033" s="50">
        <f>IF($T1033="","",IF($S1033="S",IF(INDEX(Firms!$H$5:$H$1004,$T1033)="","",INDEX(Firms!$H$5:$H$1004,$T1033)),IF(INDEX('AFA Rates'!$G$5:$G$1004,$T1033)="","",INDEX('AFA Rates'!$G$5:$G$1004,$T1033))))</f>
        <v/>
      </c>
      <c r="J1033" s="50">
        <f>IF($T1033="","",IF($S1033="S",IF(INDEX(Firms!$I$5:$I$1004,$T1033)="","",INDEX(Firms!$I$5:$I$1004,$T1033)),IF(INDEX('AFA Rates'!$H$5:$H$1004,$T1033)="","",INDEX('AFA Rates'!$H$5:$H$1004,$T1033))))</f>
        <v/>
      </c>
      <c r="K1033" s="50">
        <f>IF($T1033="","",IF($S1033="S",IF(INDEX(Firms!$J$5:$J$1004,$T1033)="","",INDEX(Firms!$J$5:$J$1004,$T1033)),IF(INDEX('AFA Rates'!$I$5:$I$1004,$T1033)="","",INDEX('AFA Rates'!$I$5:$I$1004,$T1033))))</f>
        <v/>
      </c>
      <c r="L1033" s="50">
        <f>IF($T1033="","",IF($S1033="S",IF(INDEX(Firms!$K$5:$K$1004,$T1033)="","",INDEX(Firms!$K$5:$K$1004,$T1033)),IF(INDEX('AFA Rates'!$J$5:$J$1004,$T1033)="","",INDEX('AFA Rates'!$J$5:$J$1004,$T1033))))</f>
        <v/>
      </c>
      <c r="M1033" s="50">
        <f>IF($T1033="","",IF($S1033="S",IF(INDEX(Firms!$L$5:$L$1004,$T1033)="","",INDEX(Firms!$L$5:$L$1004,$T1033)),IF(INDEX('AFA Rates'!$K$5:$K$1004,$T1033)="","",INDEX('AFA Rates'!$K$5:$K$1004,$T1033))))</f>
        <v/>
      </c>
      <c r="N1033" s="50">
        <f>IF($T1033="","",IF($S1033="S",IF(INDEX(Firms!$M$5:$M$1004,$T1033)="","",INDEX(Firms!$M$5:$M$1004,$T1033)),IF(INDEX('AFA Rates'!$L$5:$L$1004,$T1033)="","",INDEX('AFA Rates'!$L$5:$L$1004,$T1033))))</f>
        <v/>
      </c>
      <c r="O1033" s="78">
        <f>IF(OR($T1033="",$U1033=""),"",IF(INDEX(Firms!$C$5:$C$1004,$U1033)="","",INDEX(Firms!$C$5:$C$1004,$U1033)))</f>
        <v/>
      </c>
      <c r="P1033" s="79">
        <f>IF(OR($T1033="",$U1033=""),"",IF(INDEX(Firms!$N$5:$N$1004,$U1033)="","",INDEX(Firms!$N$5:$N$1004,$U1033)))</f>
        <v/>
      </c>
      <c r="Q1033" s="78">
        <f>IF($T1033="","",IF($S1033="S",IF(INDEX(Firms!$T$5:$T$1004,$T1033)="","",INDEX(Firms!$T$5:$T$1004,$T1033)),IF(INDEX('AFA Rates'!$M$5:$M$1004,$T1033)="","",INDEX('AFA Rates'!$M$5:$M$1004,$T1033))))</f>
        <v/>
      </c>
      <c r="S1033">
        <f>IF(1029&lt;=$S$2,"S",IF(1029&lt;=$S$2+$T$2,"A",""))</f>
        <v/>
      </c>
      <c r="T1033">
        <f>IF(S1033="S",MATCH(1029,Firms!$W$5:$W$1004,0),IF(S1033="A",IFERROR(MATCH(1029-$S$2,'AFA Rates'!$R$5:$R$1004,0),""),""))</f>
        <v/>
      </c>
      <c r="U1033">
        <f>IF(S1033="S",T1033,IF(AND(S1033="A",T1033&lt;&gt;""),IFERROR(MATCH(INDEX('AFA Rates'!$A$5:$A$1004,T1033),Firms!$A$5:$A$1004,0),""),""))</f>
        <v/>
      </c>
    </row>
    <row r="1034">
      <c r="A1034" s="78">
        <f>IF($T1034="","",IF($S1034="S",IF(INDEX(Firms!$A$5:$A$1004,$T1034)="","",INDEX(Firms!$A$5:$A$1004,$T1034)),IF(INDEX('AFA Rates'!$A$5:$A$1004,$T1034)="","",INDEX('AFA Rates'!$A$5:$A$1004,$T1034))))</f>
        <v/>
      </c>
      <c r="B1034" s="79">
        <f>IF(OR($T1034="",$U1034=""),IF($T1034="","","Not on Firms tab"),INDEX(Firms!$B$5:$B$1004,$U1034)&amp;"")</f>
        <v/>
      </c>
      <c r="C1034" s="78">
        <f>IF($T1034="","",IF($S1034="S","Standard",INDEX('AFA Rates'!$B$5:$B$1004,$T1034)&amp;""))</f>
        <v/>
      </c>
      <c r="D1034" s="88">
        <f>IF($T1034="","",IF($S1034="S",IF(INDEX(Firms!$E$5:$E$1004,$T1034)="","",INDEX(Firms!$E$5:$E$1004,$T1034)),IF(INDEX('AFA Rates'!$C$5:$C$1004,$T1034)="","",INDEX('AFA Rates'!$C$5:$C$1004,$T1034))))</f>
        <v/>
      </c>
      <c r="E1034" s="88">
        <f>IF($T1034="","",IF($S1034="S",IF(""="","",""),IF(INDEX('AFA Rates'!$D$5:$D$1004,$T1034)="","",INDEX('AFA Rates'!$D$5:$D$1004,$T1034))))</f>
        <v/>
      </c>
      <c r="F1034" s="79">
        <f>IF($T1034="","",IF($S1034="S",IF(INDEX(Firms!$O$5:$O$1004,$T1034)="","",INDEX(Firms!$O$5:$O$1004,$T1034)),IF(INDEX('AFA Rates'!$O$5:$O$1004,$T1034)="","",INDEX('AFA Rates'!$O$5:$O$1004,$T1034))))</f>
        <v/>
      </c>
      <c r="G1034" s="50">
        <f>IF($T1034="","",IF($S1034="S",IF(INDEX(Firms!$F$5:$F$1004,$T1034)="","",INDEX(Firms!$F$5:$F$1004,$T1034)),IF(INDEX('AFA Rates'!$E$5:$E$1004,$T1034)="","",INDEX('AFA Rates'!$E$5:$E$1004,$T1034))))</f>
        <v/>
      </c>
      <c r="H1034" s="50">
        <f>IF($T1034="","",IF($S1034="S",IF(INDEX(Firms!$G$5:$G$1004,$T1034)="","",INDEX(Firms!$G$5:$G$1004,$T1034)),IF(INDEX('AFA Rates'!$F$5:$F$1004,$T1034)="","",INDEX('AFA Rates'!$F$5:$F$1004,$T1034))))</f>
        <v/>
      </c>
      <c r="I1034" s="50">
        <f>IF($T1034="","",IF($S1034="S",IF(INDEX(Firms!$H$5:$H$1004,$T1034)="","",INDEX(Firms!$H$5:$H$1004,$T1034)),IF(INDEX('AFA Rates'!$G$5:$G$1004,$T1034)="","",INDEX('AFA Rates'!$G$5:$G$1004,$T1034))))</f>
        <v/>
      </c>
      <c r="J1034" s="50">
        <f>IF($T1034="","",IF($S1034="S",IF(INDEX(Firms!$I$5:$I$1004,$T1034)="","",INDEX(Firms!$I$5:$I$1004,$T1034)),IF(INDEX('AFA Rates'!$H$5:$H$1004,$T1034)="","",INDEX('AFA Rates'!$H$5:$H$1004,$T1034))))</f>
        <v/>
      </c>
      <c r="K1034" s="50">
        <f>IF($T1034="","",IF($S1034="S",IF(INDEX(Firms!$J$5:$J$1004,$T1034)="","",INDEX(Firms!$J$5:$J$1004,$T1034)),IF(INDEX('AFA Rates'!$I$5:$I$1004,$T1034)="","",INDEX('AFA Rates'!$I$5:$I$1004,$T1034))))</f>
        <v/>
      </c>
      <c r="L1034" s="50">
        <f>IF($T1034="","",IF($S1034="S",IF(INDEX(Firms!$K$5:$K$1004,$T1034)="","",INDEX(Firms!$K$5:$K$1004,$T1034)),IF(INDEX('AFA Rates'!$J$5:$J$1004,$T1034)="","",INDEX('AFA Rates'!$J$5:$J$1004,$T1034))))</f>
        <v/>
      </c>
      <c r="M1034" s="50">
        <f>IF($T1034="","",IF($S1034="S",IF(INDEX(Firms!$L$5:$L$1004,$T1034)="","",INDEX(Firms!$L$5:$L$1004,$T1034)),IF(INDEX('AFA Rates'!$K$5:$K$1004,$T1034)="","",INDEX('AFA Rates'!$K$5:$K$1004,$T1034))))</f>
        <v/>
      </c>
      <c r="N1034" s="50">
        <f>IF($T1034="","",IF($S1034="S",IF(INDEX(Firms!$M$5:$M$1004,$T1034)="","",INDEX(Firms!$M$5:$M$1004,$T1034)),IF(INDEX('AFA Rates'!$L$5:$L$1004,$T1034)="","",INDEX('AFA Rates'!$L$5:$L$1004,$T1034))))</f>
        <v/>
      </c>
      <c r="O1034" s="78">
        <f>IF(OR($T1034="",$U1034=""),"",IF(INDEX(Firms!$C$5:$C$1004,$U1034)="","",INDEX(Firms!$C$5:$C$1004,$U1034)))</f>
        <v/>
      </c>
      <c r="P1034" s="79">
        <f>IF(OR($T1034="",$U1034=""),"",IF(INDEX(Firms!$N$5:$N$1004,$U1034)="","",INDEX(Firms!$N$5:$N$1004,$U1034)))</f>
        <v/>
      </c>
      <c r="Q1034" s="78">
        <f>IF($T1034="","",IF($S1034="S",IF(INDEX(Firms!$T$5:$T$1004,$T1034)="","",INDEX(Firms!$T$5:$T$1004,$T1034)),IF(INDEX('AFA Rates'!$M$5:$M$1004,$T1034)="","",INDEX('AFA Rates'!$M$5:$M$1004,$T1034))))</f>
        <v/>
      </c>
      <c r="S1034">
        <f>IF(1030&lt;=$S$2,"S",IF(1030&lt;=$S$2+$T$2,"A",""))</f>
        <v/>
      </c>
      <c r="T1034">
        <f>IF(S1034="S",MATCH(1030,Firms!$W$5:$W$1004,0),IF(S1034="A",IFERROR(MATCH(1030-$S$2,'AFA Rates'!$R$5:$R$1004,0),""),""))</f>
        <v/>
      </c>
      <c r="U1034">
        <f>IF(S1034="S",T1034,IF(AND(S1034="A",T1034&lt;&gt;""),IFERROR(MATCH(INDEX('AFA Rates'!$A$5:$A$1004,T1034),Firms!$A$5:$A$1004,0),""),""))</f>
        <v/>
      </c>
    </row>
    <row r="1035">
      <c r="A1035" s="78">
        <f>IF($T1035="","",IF($S1035="S",IF(INDEX(Firms!$A$5:$A$1004,$T1035)="","",INDEX(Firms!$A$5:$A$1004,$T1035)),IF(INDEX('AFA Rates'!$A$5:$A$1004,$T1035)="","",INDEX('AFA Rates'!$A$5:$A$1004,$T1035))))</f>
        <v/>
      </c>
      <c r="B1035" s="79">
        <f>IF(OR($T1035="",$U1035=""),IF($T1035="","","Not on Firms tab"),INDEX(Firms!$B$5:$B$1004,$U1035)&amp;"")</f>
        <v/>
      </c>
      <c r="C1035" s="78">
        <f>IF($T1035="","",IF($S1035="S","Standard",INDEX('AFA Rates'!$B$5:$B$1004,$T1035)&amp;""))</f>
        <v/>
      </c>
      <c r="D1035" s="88">
        <f>IF($T1035="","",IF($S1035="S",IF(INDEX(Firms!$E$5:$E$1004,$T1035)="","",INDEX(Firms!$E$5:$E$1004,$T1035)),IF(INDEX('AFA Rates'!$C$5:$C$1004,$T1035)="","",INDEX('AFA Rates'!$C$5:$C$1004,$T1035))))</f>
        <v/>
      </c>
      <c r="E1035" s="88">
        <f>IF($T1035="","",IF($S1035="S",IF(""="","",""),IF(INDEX('AFA Rates'!$D$5:$D$1004,$T1035)="","",INDEX('AFA Rates'!$D$5:$D$1004,$T1035))))</f>
        <v/>
      </c>
      <c r="F1035" s="79">
        <f>IF($T1035="","",IF($S1035="S",IF(INDEX(Firms!$O$5:$O$1004,$T1035)="","",INDEX(Firms!$O$5:$O$1004,$T1035)),IF(INDEX('AFA Rates'!$O$5:$O$1004,$T1035)="","",INDEX('AFA Rates'!$O$5:$O$1004,$T1035))))</f>
        <v/>
      </c>
      <c r="G1035" s="50">
        <f>IF($T1035="","",IF($S1035="S",IF(INDEX(Firms!$F$5:$F$1004,$T1035)="","",INDEX(Firms!$F$5:$F$1004,$T1035)),IF(INDEX('AFA Rates'!$E$5:$E$1004,$T1035)="","",INDEX('AFA Rates'!$E$5:$E$1004,$T1035))))</f>
        <v/>
      </c>
      <c r="H1035" s="50">
        <f>IF($T1035="","",IF($S1035="S",IF(INDEX(Firms!$G$5:$G$1004,$T1035)="","",INDEX(Firms!$G$5:$G$1004,$T1035)),IF(INDEX('AFA Rates'!$F$5:$F$1004,$T1035)="","",INDEX('AFA Rates'!$F$5:$F$1004,$T1035))))</f>
        <v/>
      </c>
      <c r="I1035" s="50">
        <f>IF($T1035="","",IF($S1035="S",IF(INDEX(Firms!$H$5:$H$1004,$T1035)="","",INDEX(Firms!$H$5:$H$1004,$T1035)),IF(INDEX('AFA Rates'!$G$5:$G$1004,$T1035)="","",INDEX('AFA Rates'!$G$5:$G$1004,$T1035))))</f>
        <v/>
      </c>
      <c r="J1035" s="50">
        <f>IF($T1035="","",IF($S1035="S",IF(INDEX(Firms!$I$5:$I$1004,$T1035)="","",INDEX(Firms!$I$5:$I$1004,$T1035)),IF(INDEX('AFA Rates'!$H$5:$H$1004,$T1035)="","",INDEX('AFA Rates'!$H$5:$H$1004,$T1035))))</f>
        <v/>
      </c>
      <c r="K1035" s="50">
        <f>IF($T1035="","",IF($S1035="S",IF(INDEX(Firms!$J$5:$J$1004,$T1035)="","",INDEX(Firms!$J$5:$J$1004,$T1035)),IF(INDEX('AFA Rates'!$I$5:$I$1004,$T1035)="","",INDEX('AFA Rates'!$I$5:$I$1004,$T1035))))</f>
        <v/>
      </c>
      <c r="L1035" s="50">
        <f>IF($T1035="","",IF($S1035="S",IF(INDEX(Firms!$K$5:$K$1004,$T1035)="","",INDEX(Firms!$K$5:$K$1004,$T1035)),IF(INDEX('AFA Rates'!$J$5:$J$1004,$T1035)="","",INDEX('AFA Rates'!$J$5:$J$1004,$T1035))))</f>
        <v/>
      </c>
      <c r="M1035" s="50">
        <f>IF($T1035="","",IF($S1035="S",IF(INDEX(Firms!$L$5:$L$1004,$T1035)="","",INDEX(Firms!$L$5:$L$1004,$T1035)),IF(INDEX('AFA Rates'!$K$5:$K$1004,$T1035)="","",INDEX('AFA Rates'!$K$5:$K$1004,$T1035))))</f>
        <v/>
      </c>
      <c r="N1035" s="50">
        <f>IF($T1035="","",IF($S1035="S",IF(INDEX(Firms!$M$5:$M$1004,$T1035)="","",INDEX(Firms!$M$5:$M$1004,$T1035)),IF(INDEX('AFA Rates'!$L$5:$L$1004,$T1035)="","",INDEX('AFA Rates'!$L$5:$L$1004,$T1035))))</f>
        <v/>
      </c>
      <c r="O1035" s="78">
        <f>IF(OR($T1035="",$U1035=""),"",IF(INDEX(Firms!$C$5:$C$1004,$U1035)="","",INDEX(Firms!$C$5:$C$1004,$U1035)))</f>
        <v/>
      </c>
      <c r="P1035" s="79">
        <f>IF(OR($T1035="",$U1035=""),"",IF(INDEX(Firms!$N$5:$N$1004,$U1035)="","",INDEX(Firms!$N$5:$N$1004,$U1035)))</f>
        <v/>
      </c>
      <c r="Q1035" s="78">
        <f>IF($T1035="","",IF($S1035="S",IF(INDEX(Firms!$T$5:$T$1004,$T1035)="","",INDEX(Firms!$T$5:$T$1004,$T1035)),IF(INDEX('AFA Rates'!$M$5:$M$1004,$T1035)="","",INDEX('AFA Rates'!$M$5:$M$1004,$T1035))))</f>
        <v/>
      </c>
      <c r="S1035">
        <f>IF(1031&lt;=$S$2,"S",IF(1031&lt;=$S$2+$T$2,"A",""))</f>
        <v/>
      </c>
      <c r="T1035">
        <f>IF(S1035="S",MATCH(1031,Firms!$W$5:$W$1004,0),IF(S1035="A",IFERROR(MATCH(1031-$S$2,'AFA Rates'!$R$5:$R$1004,0),""),""))</f>
        <v/>
      </c>
      <c r="U1035">
        <f>IF(S1035="S",T1035,IF(AND(S1035="A",T1035&lt;&gt;""),IFERROR(MATCH(INDEX('AFA Rates'!$A$5:$A$1004,T1035),Firms!$A$5:$A$1004,0),""),""))</f>
        <v/>
      </c>
    </row>
    <row r="1036">
      <c r="A1036" s="78">
        <f>IF($T1036="","",IF($S1036="S",IF(INDEX(Firms!$A$5:$A$1004,$T1036)="","",INDEX(Firms!$A$5:$A$1004,$T1036)),IF(INDEX('AFA Rates'!$A$5:$A$1004,$T1036)="","",INDEX('AFA Rates'!$A$5:$A$1004,$T1036))))</f>
        <v/>
      </c>
      <c r="B1036" s="79">
        <f>IF(OR($T1036="",$U1036=""),IF($T1036="","","Not on Firms tab"),INDEX(Firms!$B$5:$B$1004,$U1036)&amp;"")</f>
        <v/>
      </c>
      <c r="C1036" s="78">
        <f>IF($T1036="","",IF($S1036="S","Standard",INDEX('AFA Rates'!$B$5:$B$1004,$T1036)&amp;""))</f>
        <v/>
      </c>
      <c r="D1036" s="88">
        <f>IF($T1036="","",IF($S1036="S",IF(INDEX(Firms!$E$5:$E$1004,$T1036)="","",INDEX(Firms!$E$5:$E$1004,$T1036)),IF(INDEX('AFA Rates'!$C$5:$C$1004,$T1036)="","",INDEX('AFA Rates'!$C$5:$C$1004,$T1036))))</f>
        <v/>
      </c>
      <c r="E1036" s="88">
        <f>IF($T1036="","",IF($S1036="S",IF(""="","",""),IF(INDEX('AFA Rates'!$D$5:$D$1004,$T1036)="","",INDEX('AFA Rates'!$D$5:$D$1004,$T1036))))</f>
        <v/>
      </c>
      <c r="F1036" s="79">
        <f>IF($T1036="","",IF($S1036="S",IF(INDEX(Firms!$O$5:$O$1004,$T1036)="","",INDEX(Firms!$O$5:$O$1004,$T1036)),IF(INDEX('AFA Rates'!$O$5:$O$1004,$T1036)="","",INDEX('AFA Rates'!$O$5:$O$1004,$T1036))))</f>
        <v/>
      </c>
      <c r="G1036" s="50">
        <f>IF($T1036="","",IF($S1036="S",IF(INDEX(Firms!$F$5:$F$1004,$T1036)="","",INDEX(Firms!$F$5:$F$1004,$T1036)),IF(INDEX('AFA Rates'!$E$5:$E$1004,$T1036)="","",INDEX('AFA Rates'!$E$5:$E$1004,$T1036))))</f>
        <v/>
      </c>
      <c r="H1036" s="50">
        <f>IF($T1036="","",IF($S1036="S",IF(INDEX(Firms!$G$5:$G$1004,$T1036)="","",INDEX(Firms!$G$5:$G$1004,$T1036)),IF(INDEX('AFA Rates'!$F$5:$F$1004,$T1036)="","",INDEX('AFA Rates'!$F$5:$F$1004,$T1036))))</f>
        <v/>
      </c>
      <c r="I1036" s="50">
        <f>IF($T1036="","",IF($S1036="S",IF(INDEX(Firms!$H$5:$H$1004,$T1036)="","",INDEX(Firms!$H$5:$H$1004,$T1036)),IF(INDEX('AFA Rates'!$G$5:$G$1004,$T1036)="","",INDEX('AFA Rates'!$G$5:$G$1004,$T1036))))</f>
        <v/>
      </c>
      <c r="J1036" s="50">
        <f>IF($T1036="","",IF($S1036="S",IF(INDEX(Firms!$I$5:$I$1004,$T1036)="","",INDEX(Firms!$I$5:$I$1004,$T1036)),IF(INDEX('AFA Rates'!$H$5:$H$1004,$T1036)="","",INDEX('AFA Rates'!$H$5:$H$1004,$T1036))))</f>
        <v/>
      </c>
      <c r="K1036" s="50">
        <f>IF($T1036="","",IF($S1036="S",IF(INDEX(Firms!$J$5:$J$1004,$T1036)="","",INDEX(Firms!$J$5:$J$1004,$T1036)),IF(INDEX('AFA Rates'!$I$5:$I$1004,$T1036)="","",INDEX('AFA Rates'!$I$5:$I$1004,$T1036))))</f>
        <v/>
      </c>
      <c r="L1036" s="50">
        <f>IF($T1036="","",IF($S1036="S",IF(INDEX(Firms!$K$5:$K$1004,$T1036)="","",INDEX(Firms!$K$5:$K$1004,$T1036)),IF(INDEX('AFA Rates'!$J$5:$J$1004,$T1036)="","",INDEX('AFA Rates'!$J$5:$J$1004,$T1036))))</f>
        <v/>
      </c>
      <c r="M1036" s="50">
        <f>IF($T1036="","",IF($S1036="S",IF(INDEX(Firms!$L$5:$L$1004,$T1036)="","",INDEX(Firms!$L$5:$L$1004,$T1036)),IF(INDEX('AFA Rates'!$K$5:$K$1004,$T1036)="","",INDEX('AFA Rates'!$K$5:$K$1004,$T1036))))</f>
        <v/>
      </c>
      <c r="N1036" s="50">
        <f>IF($T1036="","",IF($S1036="S",IF(INDEX(Firms!$M$5:$M$1004,$T1036)="","",INDEX(Firms!$M$5:$M$1004,$T1036)),IF(INDEX('AFA Rates'!$L$5:$L$1004,$T1036)="","",INDEX('AFA Rates'!$L$5:$L$1004,$T1036))))</f>
        <v/>
      </c>
      <c r="O1036" s="78">
        <f>IF(OR($T1036="",$U1036=""),"",IF(INDEX(Firms!$C$5:$C$1004,$U1036)="","",INDEX(Firms!$C$5:$C$1004,$U1036)))</f>
        <v/>
      </c>
      <c r="P1036" s="79">
        <f>IF(OR($T1036="",$U1036=""),"",IF(INDEX(Firms!$N$5:$N$1004,$U1036)="","",INDEX(Firms!$N$5:$N$1004,$U1036)))</f>
        <v/>
      </c>
      <c r="Q1036" s="78">
        <f>IF($T1036="","",IF($S1036="S",IF(INDEX(Firms!$T$5:$T$1004,$T1036)="","",INDEX(Firms!$T$5:$T$1004,$T1036)),IF(INDEX('AFA Rates'!$M$5:$M$1004,$T1036)="","",INDEX('AFA Rates'!$M$5:$M$1004,$T1036))))</f>
        <v/>
      </c>
      <c r="S1036">
        <f>IF(1032&lt;=$S$2,"S",IF(1032&lt;=$S$2+$T$2,"A",""))</f>
        <v/>
      </c>
      <c r="T1036">
        <f>IF(S1036="S",MATCH(1032,Firms!$W$5:$W$1004,0),IF(S1036="A",IFERROR(MATCH(1032-$S$2,'AFA Rates'!$R$5:$R$1004,0),""),""))</f>
        <v/>
      </c>
      <c r="U1036">
        <f>IF(S1036="S",T1036,IF(AND(S1036="A",T1036&lt;&gt;""),IFERROR(MATCH(INDEX('AFA Rates'!$A$5:$A$1004,T1036),Firms!$A$5:$A$1004,0),""),""))</f>
        <v/>
      </c>
    </row>
    <row r="1037">
      <c r="A1037" s="78">
        <f>IF($T1037="","",IF($S1037="S",IF(INDEX(Firms!$A$5:$A$1004,$T1037)="","",INDEX(Firms!$A$5:$A$1004,$T1037)),IF(INDEX('AFA Rates'!$A$5:$A$1004,$T1037)="","",INDEX('AFA Rates'!$A$5:$A$1004,$T1037))))</f>
        <v/>
      </c>
      <c r="B1037" s="79">
        <f>IF(OR($T1037="",$U1037=""),IF($T1037="","","Not on Firms tab"),INDEX(Firms!$B$5:$B$1004,$U1037)&amp;"")</f>
        <v/>
      </c>
      <c r="C1037" s="78">
        <f>IF($T1037="","",IF($S1037="S","Standard",INDEX('AFA Rates'!$B$5:$B$1004,$T1037)&amp;""))</f>
        <v/>
      </c>
      <c r="D1037" s="88">
        <f>IF($T1037="","",IF($S1037="S",IF(INDEX(Firms!$E$5:$E$1004,$T1037)="","",INDEX(Firms!$E$5:$E$1004,$T1037)),IF(INDEX('AFA Rates'!$C$5:$C$1004,$T1037)="","",INDEX('AFA Rates'!$C$5:$C$1004,$T1037))))</f>
        <v/>
      </c>
      <c r="E1037" s="88">
        <f>IF($T1037="","",IF($S1037="S",IF(""="","",""),IF(INDEX('AFA Rates'!$D$5:$D$1004,$T1037)="","",INDEX('AFA Rates'!$D$5:$D$1004,$T1037))))</f>
        <v/>
      </c>
      <c r="F1037" s="79">
        <f>IF($T1037="","",IF($S1037="S",IF(INDEX(Firms!$O$5:$O$1004,$T1037)="","",INDEX(Firms!$O$5:$O$1004,$T1037)),IF(INDEX('AFA Rates'!$O$5:$O$1004,$T1037)="","",INDEX('AFA Rates'!$O$5:$O$1004,$T1037))))</f>
        <v/>
      </c>
      <c r="G1037" s="50">
        <f>IF($T1037="","",IF($S1037="S",IF(INDEX(Firms!$F$5:$F$1004,$T1037)="","",INDEX(Firms!$F$5:$F$1004,$T1037)),IF(INDEX('AFA Rates'!$E$5:$E$1004,$T1037)="","",INDEX('AFA Rates'!$E$5:$E$1004,$T1037))))</f>
        <v/>
      </c>
      <c r="H1037" s="50">
        <f>IF($T1037="","",IF($S1037="S",IF(INDEX(Firms!$G$5:$G$1004,$T1037)="","",INDEX(Firms!$G$5:$G$1004,$T1037)),IF(INDEX('AFA Rates'!$F$5:$F$1004,$T1037)="","",INDEX('AFA Rates'!$F$5:$F$1004,$T1037))))</f>
        <v/>
      </c>
      <c r="I1037" s="50">
        <f>IF($T1037="","",IF($S1037="S",IF(INDEX(Firms!$H$5:$H$1004,$T1037)="","",INDEX(Firms!$H$5:$H$1004,$T1037)),IF(INDEX('AFA Rates'!$G$5:$G$1004,$T1037)="","",INDEX('AFA Rates'!$G$5:$G$1004,$T1037))))</f>
        <v/>
      </c>
      <c r="J1037" s="50">
        <f>IF($T1037="","",IF($S1037="S",IF(INDEX(Firms!$I$5:$I$1004,$T1037)="","",INDEX(Firms!$I$5:$I$1004,$T1037)),IF(INDEX('AFA Rates'!$H$5:$H$1004,$T1037)="","",INDEX('AFA Rates'!$H$5:$H$1004,$T1037))))</f>
        <v/>
      </c>
      <c r="K1037" s="50">
        <f>IF($T1037="","",IF($S1037="S",IF(INDEX(Firms!$J$5:$J$1004,$T1037)="","",INDEX(Firms!$J$5:$J$1004,$T1037)),IF(INDEX('AFA Rates'!$I$5:$I$1004,$T1037)="","",INDEX('AFA Rates'!$I$5:$I$1004,$T1037))))</f>
        <v/>
      </c>
      <c r="L1037" s="50">
        <f>IF($T1037="","",IF($S1037="S",IF(INDEX(Firms!$K$5:$K$1004,$T1037)="","",INDEX(Firms!$K$5:$K$1004,$T1037)),IF(INDEX('AFA Rates'!$J$5:$J$1004,$T1037)="","",INDEX('AFA Rates'!$J$5:$J$1004,$T1037))))</f>
        <v/>
      </c>
      <c r="M1037" s="50">
        <f>IF($T1037="","",IF($S1037="S",IF(INDEX(Firms!$L$5:$L$1004,$T1037)="","",INDEX(Firms!$L$5:$L$1004,$T1037)),IF(INDEX('AFA Rates'!$K$5:$K$1004,$T1037)="","",INDEX('AFA Rates'!$K$5:$K$1004,$T1037))))</f>
        <v/>
      </c>
      <c r="N1037" s="50">
        <f>IF($T1037="","",IF($S1037="S",IF(INDEX(Firms!$M$5:$M$1004,$T1037)="","",INDEX(Firms!$M$5:$M$1004,$T1037)),IF(INDEX('AFA Rates'!$L$5:$L$1004,$T1037)="","",INDEX('AFA Rates'!$L$5:$L$1004,$T1037))))</f>
        <v/>
      </c>
      <c r="O1037" s="78">
        <f>IF(OR($T1037="",$U1037=""),"",IF(INDEX(Firms!$C$5:$C$1004,$U1037)="","",INDEX(Firms!$C$5:$C$1004,$U1037)))</f>
        <v/>
      </c>
      <c r="P1037" s="79">
        <f>IF(OR($T1037="",$U1037=""),"",IF(INDEX(Firms!$N$5:$N$1004,$U1037)="","",INDEX(Firms!$N$5:$N$1004,$U1037)))</f>
        <v/>
      </c>
      <c r="Q1037" s="78">
        <f>IF($T1037="","",IF($S1037="S",IF(INDEX(Firms!$T$5:$T$1004,$T1037)="","",INDEX(Firms!$T$5:$T$1004,$T1037)),IF(INDEX('AFA Rates'!$M$5:$M$1004,$T1037)="","",INDEX('AFA Rates'!$M$5:$M$1004,$T1037))))</f>
        <v/>
      </c>
      <c r="S1037">
        <f>IF(1033&lt;=$S$2,"S",IF(1033&lt;=$S$2+$T$2,"A",""))</f>
        <v/>
      </c>
      <c r="T1037">
        <f>IF(S1037="S",MATCH(1033,Firms!$W$5:$W$1004,0),IF(S1037="A",IFERROR(MATCH(1033-$S$2,'AFA Rates'!$R$5:$R$1004,0),""),""))</f>
        <v/>
      </c>
      <c r="U1037">
        <f>IF(S1037="S",T1037,IF(AND(S1037="A",T1037&lt;&gt;""),IFERROR(MATCH(INDEX('AFA Rates'!$A$5:$A$1004,T1037),Firms!$A$5:$A$1004,0),""),""))</f>
        <v/>
      </c>
    </row>
    <row r="1038">
      <c r="A1038" s="78">
        <f>IF($T1038="","",IF($S1038="S",IF(INDEX(Firms!$A$5:$A$1004,$T1038)="","",INDEX(Firms!$A$5:$A$1004,$T1038)),IF(INDEX('AFA Rates'!$A$5:$A$1004,$T1038)="","",INDEX('AFA Rates'!$A$5:$A$1004,$T1038))))</f>
        <v/>
      </c>
      <c r="B1038" s="79">
        <f>IF(OR($T1038="",$U1038=""),IF($T1038="","","Not on Firms tab"),INDEX(Firms!$B$5:$B$1004,$U1038)&amp;"")</f>
        <v/>
      </c>
      <c r="C1038" s="78">
        <f>IF($T1038="","",IF($S1038="S","Standard",INDEX('AFA Rates'!$B$5:$B$1004,$T1038)&amp;""))</f>
        <v/>
      </c>
      <c r="D1038" s="88">
        <f>IF($T1038="","",IF($S1038="S",IF(INDEX(Firms!$E$5:$E$1004,$T1038)="","",INDEX(Firms!$E$5:$E$1004,$T1038)),IF(INDEX('AFA Rates'!$C$5:$C$1004,$T1038)="","",INDEX('AFA Rates'!$C$5:$C$1004,$T1038))))</f>
        <v/>
      </c>
      <c r="E1038" s="88">
        <f>IF($T1038="","",IF($S1038="S",IF(""="","",""),IF(INDEX('AFA Rates'!$D$5:$D$1004,$T1038)="","",INDEX('AFA Rates'!$D$5:$D$1004,$T1038))))</f>
        <v/>
      </c>
      <c r="F1038" s="79">
        <f>IF($T1038="","",IF($S1038="S",IF(INDEX(Firms!$O$5:$O$1004,$T1038)="","",INDEX(Firms!$O$5:$O$1004,$T1038)),IF(INDEX('AFA Rates'!$O$5:$O$1004,$T1038)="","",INDEX('AFA Rates'!$O$5:$O$1004,$T1038))))</f>
        <v/>
      </c>
      <c r="G1038" s="50">
        <f>IF($T1038="","",IF($S1038="S",IF(INDEX(Firms!$F$5:$F$1004,$T1038)="","",INDEX(Firms!$F$5:$F$1004,$T1038)),IF(INDEX('AFA Rates'!$E$5:$E$1004,$T1038)="","",INDEX('AFA Rates'!$E$5:$E$1004,$T1038))))</f>
        <v/>
      </c>
      <c r="H1038" s="50">
        <f>IF($T1038="","",IF($S1038="S",IF(INDEX(Firms!$G$5:$G$1004,$T1038)="","",INDEX(Firms!$G$5:$G$1004,$T1038)),IF(INDEX('AFA Rates'!$F$5:$F$1004,$T1038)="","",INDEX('AFA Rates'!$F$5:$F$1004,$T1038))))</f>
        <v/>
      </c>
      <c r="I1038" s="50">
        <f>IF($T1038="","",IF($S1038="S",IF(INDEX(Firms!$H$5:$H$1004,$T1038)="","",INDEX(Firms!$H$5:$H$1004,$T1038)),IF(INDEX('AFA Rates'!$G$5:$G$1004,$T1038)="","",INDEX('AFA Rates'!$G$5:$G$1004,$T1038))))</f>
        <v/>
      </c>
      <c r="J1038" s="50">
        <f>IF($T1038="","",IF($S1038="S",IF(INDEX(Firms!$I$5:$I$1004,$T1038)="","",INDEX(Firms!$I$5:$I$1004,$T1038)),IF(INDEX('AFA Rates'!$H$5:$H$1004,$T1038)="","",INDEX('AFA Rates'!$H$5:$H$1004,$T1038))))</f>
        <v/>
      </c>
      <c r="K1038" s="50">
        <f>IF($T1038="","",IF($S1038="S",IF(INDEX(Firms!$J$5:$J$1004,$T1038)="","",INDEX(Firms!$J$5:$J$1004,$T1038)),IF(INDEX('AFA Rates'!$I$5:$I$1004,$T1038)="","",INDEX('AFA Rates'!$I$5:$I$1004,$T1038))))</f>
        <v/>
      </c>
      <c r="L1038" s="50">
        <f>IF($T1038="","",IF($S1038="S",IF(INDEX(Firms!$K$5:$K$1004,$T1038)="","",INDEX(Firms!$K$5:$K$1004,$T1038)),IF(INDEX('AFA Rates'!$J$5:$J$1004,$T1038)="","",INDEX('AFA Rates'!$J$5:$J$1004,$T1038))))</f>
        <v/>
      </c>
      <c r="M1038" s="50">
        <f>IF($T1038="","",IF($S1038="S",IF(INDEX(Firms!$L$5:$L$1004,$T1038)="","",INDEX(Firms!$L$5:$L$1004,$T1038)),IF(INDEX('AFA Rates'!$K$5:$K$1004,$T1038)="","",INDEX('AFA Rates'!$K$5:$K$1004,$T1038))))</f>
        <v/>
      </c>
      <c r="N1038" s="50">
        <f>IF($T1038="","",IF($S1038="S",IF(INDEX(Firms!$M$5:$M$1004,$T1038)="","",INDEX(Firms!$M$5:$M$1004,$T1038)),IF(INDEX('AFA Rates'!$L$5:$L$1004,$T1038)="","",INDEX('AFA Rates'!$L$5:$L$1004,$T1038))))</f>
        <v/>
      </c>
      <c r="O1038" s="78">
        <f>IF(OR($T1038="",$U1038=""),"",IF(INDEX(Firms!$C$5:$C$1004,$U1038)="","",INDEX(Firms!$C$5:$C$1004,$U1038)))</f>
        <v/>
      </c>
      <c r="P1038" s="79">
        <f>IF(OR($T1038="",$U1038=""),"",IF(INDEX(Firms!$N$5:$N$1004,$U1038)="","",INDEX(Firms!$N$5:$N$1004,$U1038)))</f>
        <v/>
      </c>
      <c r="Q1038" s="78">
        <f>IF($T1038="","",IF($S1038="S",IF(INDEX(Firms!$T$5:$T$1004,$T1038)="","",INDEX(Firms!$T$5:$T$1004,$T1038)),IF(INDEX('AFA Rates'!$M$5:$M$1004,$T1038)="","",INDEX('AFA Rates'!$M$5:$M$1004,$T1038))))</f>
        <v/>
      </c>
      <c r="S1038">
        <f>IF(1034&lt;=$S$2,"S",IF(1034&lt;=$S$2+$T$2,"A",""))</f>
        <v/>
      </c>
      <c r="T1038">
        <f>IF(S1038="S",MATCH(1034,Firms!$W$5:$W$1004,0),IF(S1038="A",IFERROR(MATCH(1034-$S$2,'AFA Rates'!$R$5:$R$1004,0),""),""))</f>
        <v/>
      </c>
      <c r="U1038">
        <f>IF(S1038="S",T1038,IF(AND(S1038="A",T1038&lt;&gt;""),IFERROR(MATCH(INDEX('AFA Rates'!$A$5:$A$1004,T1038),Firms!$A$5:$A$1004,0),""),""))</f>
        <v/>
      </c>
    </row>
    <row r="1039">
      <c r="A1039" s="78">
        <f>IF($T1039="","",IF($S1039="S",IF(INDEX(Firms!$A$5:$A$1004,$T1039)="","",INDEX(Firms!$A$5:$A$1004,$T1039)),IF(INDEX('AFA Rates'!$A$5:$A$1004,$T1039)="","",INDEX('AFA Rates'!$A$5:$A$1004,$T1039))))</f>
        <v/>
      </c>
      <c r="B1039" s="79">
        <f>IF(OR($T1039="",$U1039=""),IF($T1039="","","Not on Firms tab"),INDEX(Firms!$B$5:$B$1004,$U1039)&amp;"")</f>
        <v/>
      </c>
      <c r="C1039" s="78">
        <f>IF($T1039="","",IF($S1039="S","Standard",INDEX('AFA Rates'!$B$5:$B$1004,$T1039)&amp;""))</f>
        <v/>
      </c>
      <c r="D1039" s="88">
        <f>IF($T1039="","",IF($S1039="S",IF(INDEX(Firms!$E$5:$E$1004,$T1039)="","",INDEX(Firms!$E$5:$E$1004,$T1039)),IF(INDEX('AFA Rates'!$C$5:$C$1004,$T1039)="","",INDEX('AFA Rates'!$C$5:$C$1004,$T1039))))</f>
        <v/>
      </c>
      <c r="E1039" s="88">
        <f>IF($T1039="","",IF($S1039="S",IF(""="","",""),IF(INDEX('AFA Rates'!$D$5:$D$1004,$T1039)="","",INDEX('AFA Rates'!$D$5:$D$1004,$T1039))))</f>
        <v/>
      </c>
      <c r="F1039" s="79">
        <f>IF($T1039="","",IF($S1039="S",IF(INDEX(Firms!$O$5:$O$1004,$T1039)="","",INDEX(Firms!$O$5:$O$1004,$T1039)),IF(INDEX('AFA Rates'!$O$5:$O$1004,$T1039)="","",INDEX('AFA Rates'!$O$5:$O$1004,$T1039))))</f>
        <v/>
      </c>
      <c r="G1039" s="50">
        <f>IF($T1039="","",IF($S1039="S",IF(INDEX(Firms!$F$5:$F$1004,$T1039)="","",INDEX(Firms!$F$5:$F$1004,$T1039)),IF(INDEX('AFA Rates'!$E$5:$E$1004,$T1039)="","",INDEX('AFA Rates'!$E$5:$E$1004,$T1039))))</f>
        <v/>
      </c>
      <c r="H1039" s="50">
        <f>IF($T1039="","",IF($S1039="S",IF(INDEX(Firms!$G$5:$G$1004,$T1039)="","",INDEX(Firms!$G$5:$G$1004,$T1039)),IF(INDEX('AFA Rates'!$F$5:$F$1004,$T1039)="","",INDEX('AFA Rates'!$F$5:$F$1004,$T1039))))</f>
        <v/>
      </c>
      <c r="I1039" s="50">
        <f>IF($T1039="","",IF($S1039="S",IF(INDEX(Firms!$H$5:$H$1004,$T1039)="","",INDEX(Firms!$H$5:$H$1004,$T1039)),IF(INDEX('AFA Rates'!$G$5:$G$1004,$T1039)="","",INDEX('AFA Rates'!$G$5:$G$1004,$T1039))))</f>
        <v/>
      </c>
      <c r="J1039" s="50">
        <f>IF($T1039="","",IF($S1039="S",IF(INDEX(Firms!$I$5:$I$1004,$T1039)="","",INDEX(Firms!$I$5:$I$1004,$T1039)),IF(INDEX('AFA Rates'!$H$5:$H$1004,$T1039)="","",INDEX('AFA Rates'!$H$5:$H$1004,$T1039))))</f>
        <v/>
      </c>
      <c r="K1039" s="50">
        <f>IF($T1039="","",IF($S1039="S",IF(INDEX(Firms!$J$5:$J$1004,$T1039)="","",INDEX(Firms!$J$5:$J$1004,$T1039)),IF(INDEX('AFA Rates'!$I$5:$I$1004,$T1039)="","",INDEX('AFA Rates'!$I$5:$I$1004,$T1039))))</f>
        <v/>
      </c>
      <c r="L1039" s="50">
        <f>IF($T1039="","",IF($S1039="S",IF(INDEX(Firms!$K$5:$K$1004,$T1039)="","",INDEX(Firms!$K$5:$K$1004,$T1039)),IF(INDEX('AFA Rates'!$J$5:$J$1004,$T1039)="","",INDEX('AFA Rates'!$J$5:$J$1004,$T1039))))</f>
        <v/>
      </c>
      <c r="M1039" s="50">
        <f>IF($T1039="","",IF($S1039="S",IF(INDEX(Firms!$L$5:$L$1004,$T1039)="","",INDEX(Firms!$L$5:$L$1004,$T1039)),IF(INDEX('AFA Rates'!$K$5:$K$1004,$T1039)="","",INDEX('AFA Rates'!$K$5:$K$1004,$T1039))))</f>
        <v/>
      </c>
      <c r="N1039" s="50">
        <f>IF($T1039="","",IF($S1039="S",IF(INDEX(Firms!$M$5:$M$1004,$T1039)="","",INDEX(Firms!$M$5:$M$1004,$T1039)),IF(INDEX('AFA Rates'!$L$5:$L$1004,$T1039)="","",INDEX('AFA Rates'!$L$5:$L$1004,$T1039))))</f>
        <v/>
      </c>
      <c r="O1039" s="78">
        <f>IF(OR($T1039="",$U1039=""),"",IF(INDEX(Firms!$C$5:$C$1004,$U1039)="","",INDEX(Firms!$C$5:$C$1004,$U1039)))</f>
        <v/>
      </c>
      <c r="P1039" s="79">
        <f>IF(OR($T1039="",$U1039=""),"",IF(INDEX(Firms!$N$5:$N$1004,$U1039)="","",INDEX(Firms!$N$5:$N$1004,$U1039)))</f>
        <v/>
      </c>
      <c r="Q1039" s="78">
        <f>IF($T1039="","",IF($S1039="S",IF(INDEX(Firms!$T$5:$T$1004,$T1039)="","",INDEX(Firms!$T$5:$T$1004,$T1039)),IF(INDEX('AFA Rates'!$M$5:$M$1004,$T1039)="","",INDEX('AFA Rates'!$M$5:$M$1004,$T1039))))</f>
        <v/>
      </c>
      <c r="S1039">
        <f>IF(1035&lt;=$S$2,"S",IF(1035&lt;=$S$2+$T$2,"A",""))</f>
        <v/>
      </c>
      <c r="T1039">
        <f>IF(S1039="S",MATCH(1035,Firms!$W$5:$W$1004,0),IF(S1039="A",IFERROR(MATCH(1035-$S$2,'AFA Rates'!$R$5:$R$1004,0),""),""))</f>
        <v/>
      </c>
      <c r="U1039">
        <f>IF(S1039="S",T1039,IF(AND(S1039="A",T1039&lt;&gt;""),IFERROR(MATCH(INDEX('AFA Rates'!$A$5:$A$1004,T1039),Firms!$A$5:$A$1004,0),""),""))</f>
        <v/>
      </c>
    </row>
    <row r="1040">
      <c r="A1040" s="78">
        <f>IF($T1040="","",IF($S1040="S",IF(INDEX(Firms!$A$5:$A$1004,$T1040)="","",INDEX(Firms!$A$5:$A$1004,$T1040)),IF(INDEX('AFA Rates'!$A$5:$A$1004,$T1040)="","",INDEX('AFA Rates'!$A$5:$A$1004,$T1040))))</f>
        <v/>
      </c>
      <c r="B1040" s="79">
        <f>IF(OR($T1040="",$U1040=""),IF($T1040="","","Not on Firms tab"),INDEX(Firms!$B$5:$B$1004,$U1040)&amp;"")</f>
        <v/>
      </c>
      <c r="C1040" s="78">
        <f>IF($T1040="","",IF($S1040="S","Standard",INDEX('AFA Rates'!$B$5:$B$1004,$T1040)&amp;""))</f>
        <v/>
      </c>
      <c r="D1040" s="88">
        <f>IF($T1040="","",IF($S1040="S",IF(INDEX(Firms!$E$5:$E$1004,$T1040)="","",INDEX(Firms!$E$5:$E$1004,$T1040)),IF(INDEX('AFA Rates'!$C$5:$C$1004,$T1040)="","",INDEX('AFA Rates'!$C$5:$C$1004,$T1040))))</f>
        <v/>
      </c>
      <c r="E1040" s="88">
        <f>IF($T1040="","",IF($S1040="S",IF(""="","",""),IF(INDEX('AFA Rates'!$D$5:$D$1004,$T1040)="","",INDEX('AFA Rates'!$D$5:$D$1004,$T1040))))</f>
        <v/>
      </c>
      <c r="F1040" s="79">
        <f>IF($T1040="","",IF($S1040="S",IF(INDEX(Firms!$O$5:$O$1004,$T1040)="","",INDEX(Firms!$O$5:$O$1004,$T1040)),IF(INDEX('AFA Rates'!$O$5:$O$1004,$T1040)="","",INDEX('AFA Rates'!$O$5:$O$1004,$T1040))))</f>
        <v/>
      </c>
      <c r="G1040" s="50">
        <f>IF($T1040="","",IF($S1040="S",IF(INDEX(Firms!$F$5:$F$1004,$T1040)="","",INDEX(Firms!$F$5:$F$1004,$T1040)),IF(INDEX('AFA Rates'!$E$5:$E$1004,$T1040)="","",INDEX('AFA Rates'!$E$5:$E$1004,$T1040))))</f>
        <v/>
      </c>
      <c r="H1040" s="50">
        <f>IF($T1040="","",IF($S1040="S",IF(INDEX(Firms!$G$5:$G$1004,$T1040)="","",INDEX(Firms!$G$5:$G$1004,$T1040)),IF(INDEX('AFA Rates'!$F$5:$F$1004,$T1040)="","",INDEX('AFA Rates'!$F$5:$F$1004,$T1040))))</f>
        <v/>
      </c>
      <c r="I1040" s="50">
        <f>IF($T1040="","",IF($S1040="S",IF(INDEX(Firms!$H$5:$H$1004,$T1040)="","",INDEX(Firms!$H$5:$H$1004,$T1040)),IF(INDEX('AFA Rates'!$G$5:$G$1004,$T1040)="","",INDEX('AFA Rates'!$G$5:$G$1004,$T1040))))</f>
        <v/>
      </c>
      <c r="J1040" s="50">
        <f>IF($T1040="","",IF($S1040="S",IF(INDEX(Firms!$I$5:$I$1004,$T1040)="","",INDEX(Firms!$I$5:$I$1004,$T1040)),IF(INDEX('AFA Rates'!$H$5:$H$1004,$T1040)="","",INDEX('AFA Rates'!$H$5:$H$1004,$T1040))))</f>
        <v/>
      </c>
      <c r="K1040" s="50">
        <f>IF($T1040="","",IF($S1040="S",IF(INDEX(Firms!$J$5:$J$1004,$T1040)="","",INDEX(Firms!$J$5:$J$1004,$T1040)),IF(INDEX('AFA Rates'!$I$5:$I$1004,$T1040)="","",INDEX('AFA Rates'!$I$5:$I$1004,$T1040))))</f>
        <v/>
      </c>
      <c r="L1040" s="50">
        <f>IF($T1040="","",IF($S1040="S",IF(INDEX(Firms!$K$5:$K$1004,$T1040)="","",INDEX(Firms!$K$5:$K$1004,$T1040)),IF(INDEX('AFA Rates'!$J$5:$J$1004,$T1040)="","",INDEX('AFA Rates'!$J$5:$J$1004,$T1040))))</f>
        <v/>
      </c>
      <c r="M1040" s="50">
        <f>IF($T1040="","",IF($S1040="S",IF(INDEX(Firms!$L$5:$L$1004,$T1040)="","",INDEX(Firms!$L$5:$L$1004,$T1040)),IF(INDEX('AFA Rates'!$K$5:$K$1004,$T1040)="","",INDEX('AFA Rates'!$K$5:$K$1004,$T1040))))</f>
        <v/>
      </c>
      <c r="N1040" s="50">
        <f>IF($T1040="","",IF($S1040="S",IF(INDEX(Firms!$M$5:$M$1004,$T1040)="","",INDEX(Firms!$M$5:$M$1004,$T1040)),IF(INDEX('AFA Rates'!$L$5:$L$1004,$T1040)="","",INDEX('AFA Rates'!$L$5:$L$1004,$T1040))))</f>
        <v/>
      </c>
      <c r="O1040" s="78">
        <f>IF(OR($T1040="",$U1040=""),"",IF(INDEX(Firms!$C$5:$C$1004,$U1040)="","",INDEX(Firms!$C$5:$C$1004,$U1040)))</f>
        <v/>
      </c>
      <c r="P1040" s="79">
        <f>IF(OR($T1040="",$U1040=""),"",IF(INDEX(Firms!$N$5:$N$1004,$U1040)="","",INDEX(Firms!$N$5:$N$1004,$U1040)))</f>
        <v/>
      </c>
      <c r="Q1040" s="78">
        <f>IF($T1040="","",IF($S1040="S",IF(INDEX(Firms!$T$5:$T$1004,$T1040)="","",INDEX(Firms!$T$5:$T$1004,$T1040)),IF(INDEX('AFA Rates'!$M$5:$M$1004,$T1040)="","",INDEX('AFA Rates'!$M$5:$M$1004,$T1040))))</f>
        <v/>
      </c>
      <c r="S1040">
        <f>IF(1036&lt;=$S$2,"S",IF(1036&lt;=$S$2+$T$2,"A",""))</f>
        <v/>
      </c>
      <c r="T1040">
        <f>IF(S1040="S",MATCH(1036,Firms!$W$5:$W$1004,0),IF(S1040="A",IFERROR(MATCH(1036-$S$2,'AFA Rates'!$R$5:$R$1004,0),""),""))</f>
        <v/>
      </c>
      <c r="U1040">
        <f>IF(S1040="S",T1040,IF(AND(S1040="A",T1040&lt;&gt;""),IFERROR(MATCH(INDEX('AFA Rates'!$A$5:$A$1004,T1040),Firms!$A$5:$A$1004,0),""),""))</f>
        <v/>
      </c>
    </row>
    <row r="1041">
      <c r="A1041" s="78">
        <f>IF($T1041="","",IF($S1041="S",IF(INDEX(Firms!$A$5:$A$1004,$T1041)="","",INDEX(Firms!$A$5:$A$1004,$T1041)),IF(INDEX('AFA Rates'!$A$5:$A$1004,$T1041)="","",INDEX('AFA Rates'!$A$5:$A$1004,$T1041))))</f>
        <v/>
      </c>
      <c r="B1041" s="79">
        <f>IF(OR($T1041="",$U1041=""),IF($T1041="","","Not on Firms tab"),INDEX(Firms!$B$5:$B$1004,$U1041)&amp;"")</f>
        <v/>
      </c>
      <c r="C1041" s="78">
        <f>IF($T1041="","",IF($S1041="S","Standard",INDEX('AFA Rates'!$B$5:$B$1004,$T1041)&amp;""))</f>
        <v/>
      </c>
      <c r="D1041" s="88">
        <f>IF($T1041="","",IF($S1041="S",IF(INDEX(Firms!$E$5:$E$1004,$T1041)="","",INDEX(Firms!$E$5:$E$1004,$T1041)),IF(INDEX('AFA Rates'!$C$5:$C$1004,$T1041)="","",INDEX('AFA Rates'!$C$5:$C$1004,$T1041))))</f>
        <v/>
      </c>
      <c r="E1041" s="88">
        <f>IF($T1041="","",IF($S1041="S",IF(""="","",""),IF(INDEX('AFA Rates'!$D$5:$D$1004,$T1041)="","",INDEX('AFA Rates'!$D$5:$D$1004,$T1041))))</f>
        <v/>
      </c>
      <c r="F1041" s="79">
        <f>IF($T1041="","",IF($S1041="S",IF(INDEX(Firms!$O$5:$O$1004,$T1041)="","",INDEX(Firms!$O$5:$O$1004,$T1041)),IF(INDEX('AFA Rates'!$O$5:$O$1004,$T1041)="","",INDEX('AFA Rates'!$O$5:$O$1004,$T1041))))</f>
        <v/>
      </c>
      <c r="G1041" s="50">
        <f>IF($T1041="","",IF($S1041="S",IF(INDEX(Firms!$F$5:$F$1004,$T1041)="","",INDEX(Firms!$F$5:$F$1004,$T1041)),IF(INDEX('AFA Rates'!$E$5:$E$1004,$T1041)="","",INDEX('AFA Rates'!$E$5:$E$1004,$T1041))))</f>
        <v/>
      </c>
      <c r="H1041" s="50">
        <f>IF($T1041="","",IF($S1041="S",IF(INDEX(Firms!$G$5:$G$1004,$T1041)="","",INDEX(Firms!$G$5:$G$1004,$T1041)),IF(INDEX('AFA Rates'!$F$5:$F$1004,$T1041)="","",INDEX('AFA Rates'!$F$5:$F$1004,$T1041))))</f>
        <v/>
      </c>
      <c r="I1041" s="50">
        <f>IF($T1041="","",IF($S1041="S",IF(INDEX(Firms!$H$5:$H$1004,$T1041)="","",INDEX(Firms!$H$5:$H$1004,$T1041)),IF(INDEX('AFA Rates'!$G$5:$G$1004,$T1041)="","",INDEX('AFA Rates'!$G$5:$G$1004,$T1041))))</f>
        <v/>
      </c>
      <c r="J1041" s="50">
        <f>IF($T1041="","",IF($S1041="S",IF(INDEX(Firms!$I$5:$I$1004,$T1041)="","",INDEX(Firms!$I$5:$I$1004,$T1041)),IF(INDEX('AFA Rates'!$H$5:$H$1004,$T1041)="","",INDEX('AFA Rates'!$H$5:$H$1004,$T1041))))</f>
        <v/>
      </c>
      <c r="K1041" s="50">
        <f>IF($T1041="","",IF($S1041="S",IF(INDEX(Firms!$J$5:$J$1004,$T1041)="","",INDEX(Firms!$J$5:$J$1004,$T1041)),IF(INDEX('AFA Rates'!$I$5:$I$1004,$T1041)="","",INDEX('AFA Rates'!$I$5:$I$1004,$T1041))))</f>
        <v/>
      </c>
      <c r="L1041" s="50">
        <f>IF($T1041="","",IF($S1041="S",IF(INDEX(Firms!$K$5:$K$1004,$T1041)="","",INDEX(Firms!$K$5:$K$1004,$T1041)),IF(INDEX('AFA Rates'!$J$5:$J$1004,$T1041)="","",INDEX('AFA Rates'!$J$5:$J$1004,$T1041))))</f>
        <v/>
      </c>
      <c r="M1041" s="50">
        <f>IF($T1041="","",IF($S1041="S",IF(INDEX(Firms!$L$5:$L$1004,$T1041)="","",INDEX(Firms!$L$5:$L$1004,$T1041)),IF(INDEX('AFA Rates'!$K$5:$K$1004,$T1041)="","",INDEX('AFA Rates'!$K$5:$K$1004,$T1041))))</f>
        <v/>
      </c>
      <c r="N1041" s="50">
        <f>IF($T1041="","",IF($S1041="S",IF(INDEX(Firms!$M$5:$M$1004,$T1041)="","",INDEX(Firms!$M$5:$M$1004,$T1041)),IF(INDEX('AFA Rates'!$L$5:$L$1004,$T1041)="","",INDEX('AFA Rates'!$L$5:$L$1004,$T1041))))</f>
        <v/>
      </c>
      <c r="O1041" s="78">
        <f>IF(OR($T1041="",$U1041=""),"",IF(INDEX(Firms!$C$5:$C$1004,$U1041)="","",INDEX(Firms!$C$5:$C$1004,$U1041)))</f>
        <v/>
      </c>
      <c r="P1041" s="79">
        <f>IF(OR($T1041="",$U1041=""),"",IF(INDEX(Firms!$N$5:$N$1004,$U1041)="","",INDEX(Firms!$N$5:$N$1004,$U1041)))</f>
        <v/>
      </c>
      <c r="Q1041" s="78">
        <f>IF($T1041="","",IF($S1041="S",IF(INDEX(Firms!$T$5:$T$1004,$T1041)="","",INDEX(Firms!$T$5:$T$1004,$T1041)),IF(INDEX('AFA Rates'!$M$5:$M$1004,$T1041)="","",INDEX('AFA Rates'!$M$5:$M$1004,$T1041))))</f>
        <v/>
      </c>
      <c r="S1041">
        <f>IF(1037&lt;=$S$2,"S",IF(1037&lt;=$S$2+$T$2,"A",""))</f>
        <v/>
      </c>
      <c r="T1041">
        <f>IF(S1041="S",MATCH(1037,Firms!$W$5:$W$1004,0),IF(S1041="A",IFERROR(MATCH(1037-$S$2,'AFA Rates'!$R$5:$R$1004,0),""),""))</f>
        <v/>
      </c>
      <c r="U1041">
        <f>IF(S1041="S",T1041,IF(AND(S1041="A",T1041&lt;&gt;""),IFERROR(MATCH(INDEX('AFA Rates'!$A$5:$A$1004,T1041),Firms!$A$5:$A$1004,0),""),""))</f>
        <v/>
      </c>
    </row>
    <row r="1042">
      <c r="A1042" s="78">
        <f>IF($T1042="","",IF($S1042="S",IF(INDEX(Firms!$A$5:$A$1004,$T1042)="","",INDEX(Firms!$A$5:$A$1004,$T1042)),IF(INDEX('AFA Rates'!$A$5:$A$1004,$T1042)="","",INDEX('AFA Rates'!$A$5:$A$1004,$T1042))))</f>
        <v/>
      </c>
      <c r="B1042" s="79">
        <f>IF(OR($T1042="",$U1042=""),IF($T1042="","","Not on Firms tab"),INDEX(Firms!$B$5:$B$1004,$U1042)&amp;"")</f>
        <v/>
      </c>
      <c r="C1042" s="78">
        <f>IF($T1042="","",IF($S1042="S","Standard",INDEX('AFA Rates'!$B$5:$B$1004,$T1042)&amp;""))</f>
        <v/>
      </c>
      <c r="D1042" s="88">
        <f>IF($T1042="","",IF($S1042="S",IF(INDEX(Firms!$E$5:$E$1004,$T1042)="","",INDEX(Firms!$E$5:$E$1004,$T1042)),IF(INDEX('AFA Rates'!$C$5:$C$1004,$T1042)="","",INDEX('AFA Rates'!$C$5:$C$1004,$T1042))))</f>
        <v/>
      </c>
      <c r="E1042" s="88">
        <f>IF($T1042="","",IF($S1042="S",IF(""="","",""),IF(INDEX('AFA Rates'!$D$5:$D$1004,$T1042)="","",INDEX('AFA Rates'!$D$5:$D$1004,$T1042))))</f>
        <v/>
      </c>
      <c r="F1042" s="79">
        <f>IF($T1042="","",IF($S1042="S",IF(INDEX(Firms!$O$5:$O$1004,$T1042)="","",INDEX(Firms!$O$5:$O$1004,$T1042)),IF(INDEX('AFA Rates'!$O$5:$O$1004,$T1042)="","",INDEX('AFA Rates'!$O$5:$O$1004,$T1042))))</f>
        <v/>
      </c>
      <c r="G1042" s="50">
        <f>IF($T1042="","",IF($S1042="S",IF(INDEX(Firms!$F$5:$F$1004,$T1042)="","",INDEX(Firms!$F$5:$F$1004,$T1042)),IF(INDEX('AFA Rates'!$E$5:$E$1004,$T1042)="","",INDEX('AFA Rates'!$E$5:$E$1004,$T1042))))</f>
        <v/>
      </c>
      <c r="H1042" s="50">
        <f>IF($T1042="","",IF($S1042="S",IF(INDEX(Firms!$G$5:$G$1004,$T1042)="","",INDEX(Firms!$G$5:$G$1004,$T1042)),IF(INDEX('AFA Rates'!$F$5:$F$1004,$T1042)="","",INDEX('AFA Rates'!$F$5:$F$1004,$T1042))))</f>
        <v/>
      </c>
      <c r="I1042" s="50">
        <f>IF($T1042="","",IF($S1042="S",IF(INDEX(Firms!$H$5:$H$1004,$T1042)="","",INDEX(Firms!$H$5:$H$1004,$T1042)),IF(INDEX('AFA Rates'!$G$5:$G$1004,$T1042)="","",INDEX('AFA Rates'!$G$5:$G$1004,$T1042))))</f>
        <v/>
      </c>
      <c r="J1042" s="50">
        <f>IF($T1042="","",IF($S1042="S",IF(INDEX(Firms!$I$5:$I$1004,$T1042)="","",INDEX(Firms!$I$5:$I$1004,$T1042)),IF(INDEX('AFA Rates'!$H$5:$H$1004,$T1042)="","",INDEX('AFA Rates'!$H$5:$H$1004,$T1042))))</f>
        <v/>
      </c>
      <c r="K1042" s="50">
        <f>IF($T1042="","",IF($S1042="S",IF(INDEX(Firms!$J$5:$J$1004,$T1042)="","",INDEX(Firms!$J$5:$J$1004,$T1042)),IF(INDEX('AFA Rates'!$I$5:$I$1004,$T1042)="","",INDEX('AFA Rates'!$I$5:$I$1004,$T1042))))</f>
        <v/>
      </c>
      <c r="L1042" s="50">
        <f>IF($T1042="","",IF($S1042="S",IF(INDEX(Firms!$K$5:$K$1004,$T1042)="","",INDEX(Firms!$K$5:$K$1004,$T1042)),IF(INDEX('AFA Rates'!$J$5:$J$1004,$T1042)="","",INDEX('AFA Rates'!$J$5:$J$1004,$T1042))))</f>
        <v/>
      </c>
      <c r="M1042" s="50">
        <f>IF($T1042="","",IF($S1042="S",IF(INDEX(Firms!$L$5:$L$1004,$T1042)="","",INDEX(Firms!$L$5:$L$1004,$T1042)),IF(INDEX('AFA Rates'!$K$5:$K$1004,$T1042)="","",INDEX('AFA Rates'!$K$5:$K$1004,$T1042))))</f>
        <v/>
      </c>
      <c r="N1042" s="50">
        <f>IF($T1042="","",IF($S1042="S",IF(INDEX(Firms!$M$5:$M$1004,$T1042)="","",INDEX(Firms!$M$5:$M$1004,$T1042)),IF(INDEX('AFA Rates'!$L$5:$L$1004,$T1042)="","",INDEX('AFA Rates'!$L$5:$L$1004,$T1042))))</f>
        <v/>
      </c>
      <c r="O1042" s="78">
        <f>IF(OR($T1042="",$U1042=""),"",IF(INDEX(Firms!$C$5:$C$1004,$U1042)="","",INDEX(Firms!$C$5:$C$1004,$U1042)))</f>
        <v/>
      </c>
      <c r="P1042" s="79">
        <f>IF(OR($T1042="",$U1042=""),"",IF(INDEX(Firms!$N$5:$N$1004,$U1042)="","",INDEX(Firms!$N$5:$N$1004,$U1042)))</f>
        <v/>
      </c>
      <c r="Q1042" s="78">
        <f>IF($T1042="","",IF($S1042="S",IF(INDEX(Firms!$T$5:$T$1004,$T1042)="","",INDEX(Firms!$T$5:$T$1004,$T1042)),IF(INDEX('AFA Rates'!$M$5:$M$1004,$T1042)="","",INDEX('AFA Rates'!$M$5:$M$1004,$T1042))))</f>
        <v/>
      </c>
      <c r="S1042">
        <f>IF(1038&lt;=$S$2,"S",IF(1038&lt;=$S$2+$T$2,"A",""))</f>
        <v/>
      </c>
      <c r="T1042">
        <f>IF(S1042="S",MATCH(1038,Firms!$W$5:$W$1004,0),IF(S1042="A",IFERROR(MATCH(1038-$S$2,'AFA Rates'!$R$5:$R$1004,0),""),""))</f>
        <v/>
      </c>
      <c r="U1042">
        <f>IF(S1042="S",T1042,IF(AND(S1042="A",T1042&lt;&gt;""),IFERROR(MATCH(INDEX('AFA Rates'!$A$5:$A$1004,T1042),Firms!$A$5:$A$1004,0),""),""))</f>
        <v/>
      </c>
    </row>
    <row r="1043">
      <c r="A1043" s="78">
        <f>IF($T1043="","",IF($S1043="S",IF(INDEX(Firms!$A$5:$A$1004,$T1043)="","",INDEX(Firms!$A$5:$A$1004,$T1043)),IF(INDEX('AFA Rates'!$A$5:$A$1004,$T1043)="","",INDEX('AFA Rates'!$A$5:$A$1004,$T1043))))</f>
        <v/>
      </c>
      <c r="B1043" s="79">
        <f>IF(OR($T1043="",$U1043=""),IF($T1043="","","Not on Firms tab"),INDEX(Firms!$B$5:$B$1004,$U1043)&amp;"")</f>
        <v/>
      </c>
      <c r="C1043" s="78">
        <f>IF($T1043="","",IF($S1043="S","Standard",INDEX('AFA Rates'!$B$5:$B$1004,$T1043)&amp;""))</f>
        <v/>
      </c>
      <c r="D1043" s="88">
        <f>IF($T1043="","",IF($S1043="S",IF(INDEX(Firms!$E$5:$E$1004,$T1043)="","",INDEX(Firms!$E$5:$E$1004,$T1043)),IF(INDEX('AFA Rates'!$C$5:$C$1004,$T1043)="","",INDEX('AFA Rates'!$C$5:$C$1004,$T1043))))</f>
        <v/>
      </c>
      <c r="E1043" s="88">
        <f>IF($T1043="","",IF($S1043="S",IF(""="","",""),IF(INDEX('AFA Rates'!$D$5:$D$1004,$T1043)="","",INDEX('AFA Rates'!$D$5:$D$1004,$T1043))))</f>
        <v/>
      </c>
      <c r="F1043" s="79">
        <f>IF($T1043="","",IF($S1043="S",IF(INDEX(Firms!$O$5:$O$1004,$T1043)="","",INDEX(Firms!$O$5:$O$1004,$T1043)),IF(INDEX('AFA Rates'!$O$5:$O$1004,$T1043)="","",INDEX('AFA Rates'!$O$5:$O$1004,$T1043))))</f>
        <v/>
      </c>
      <c r="G1043" s="50">
        <f>IF($T1043="","",IF($S1043="S",IF(INDEX(Firms!$F$5:$F$1004,$T1043)="","",INDEX(Firms!$F$5:$F$1004,$T1043)),IF(INDEX('AFA Rates'!$E$5:$E$1004,$T1043)="","",INDEX('AFA Rates'!$E$5:$E$1004,$T1043))))</f>
        <v/>
      </c>
      <c r="H1043" s="50">
        <f>IF($T1043="","",IF($S1043="S",IF(INDEX(Firms!$G$5:$G$1004,$T1043)="","",INDEX(Firms!$G$5:$G$1004,$T1043)),IF(INDEX('AFA Rates'!$F$5:$F$1004,$T1043)="","",INDEX('AFA Rates'!$F$5:$F$1004,$T1043))))</f>
        <v/>
      </c>
      <c r="I1043" s="50">
        <f>IF($T1043="","",IF($S1043="S",IF(INDEX(Firms!$H$5:$H$1004,$T1043)="","",INDEX(Firms!$H$5:$H$1004,$T1043)),IF(INDEX('AFA Rates'!$G$5:$G$1004,$T1043)="","",INDEX('AFA Rates'!$G$5:$G$1004,$T1043))))</f>
        <v/>
      </c>
      <c r="J1043" s="50">
        <f>IF($T1043="","",IF($S1043="S",IF(INDEX(Firms!$I$5:$I$1004,$T1043)="","",INDEX(Firms!$I$5:$I$1004,$T1043)),IF(INDEX('AFA Rates'!$H$5:$H$1004,$T1043)="","",INDEX('AFA Rates'!$H$5:$H$1004,$T1043))))</f>
        <v/>
      </c>
      <c r="K1043" s="50">
        <f>IF($T1043="","",IF($S1043="S",IF(INDEX(Firms!$J$5:$J$1004,$T1043)="","",INDEX(Firms!$J$5:$J$1004,$T1043)),IF(INDEX('AFA Rates'!$I$5:$I$1004,$T1043)="","",INDEX('AFA Rates'!$I$5:$I$1004,$T1043))))</f>
        <v/>
      </c>
      <c r="L1043" s="50">
        <f>IF($T1043="","",IF($S1043="S",IF(INDEX(Firms!$K$5:$K$1004,$T1043)="","",INDEX(Firms!$K$5:$K$1004,$T1043)),IF(INDEX('AFA Rates'!$J$5:$J$1004,$T1043)="","",INDEX('AFA Rates'!$J$5:$J$1004,$T1043))))</f>
        <v/>
      </c>
      <c r="M1043" s="50">
        <f>IF($T1043="","",IF($S1043="S",IF(INDEX(Firms!$L$5:$L$1004,$T1043)="","",INDEX(Firms!$L$5:$L$1004,$T1043)),IF(INDEX('AFA Rates'!$K$5:$K$1004,$T1043)="","",INDEX('AFA Rates'!$K$5:$K$1004,$T1043))))</f>
        <v/>
      </c>
      <c r="N1043" s="50">
        <f>IF($T1043="","",IF($S1043="S",IF(INDEX(Firms!$M$5:$M$1004,$T1043)="","",INDEX(Firms!$M$5:$M$1004,$T1043)),IF(INDEX('AFA Rates'!$L$5:$L$1004,$T1043)="","",INDEX('AFA Rates'!$L$5:$L$1004,$T1043))))</f>
        <v/>
      </c>
      <c r="O1043" s="78">
        <f>IF(OR($T1043="",$U1043=""),"",IF(INDEX(Firms!$C$5:$C$1004,$U1043)="","",INDEX(Firms!$C$5:$C$1004,$U1043)))</f>
        <v/>
      </c>
      <c r="P1043" s="79">
        <f>IF(OR($T1043="",$U1043=""),"",IF(INDEX(Firms!$N$5:$N$1004,$U1043)="","",INDEX(Firms!$N$5:$N$1004,$U1043)))</f>
        <v/>
      </c>
      <c r="Q1043" s="78">
        <f>IF($T1043="","",IF($S1043="S",IF(INDEX(Firms!$T$5:$T$1004,$T1043)="","",INDEX(Firms!$T$5:$T$1004,$T1043)),IF(INDEX('AFA Rates'!$M$5:$M$1004,$T1043)="","",INDEX('AFA Rates'!$M$5:$M$1004,$T1043))))</f>
        <v/>
      </c>
      <c r="S1043">
        <f>IF(1039&lt;=$S$2,"S",IF(1039&lt;=$S$2+$T$2,"A",""))</f>
        <v/>
      </c>
      <c r="T1043">
        <f>IF(S1043="S",MATCH(1039,Firms!$W$5:$W$1004,0),IF(S1043="A",IFERROR(MATCH(1039-$S$2,'AFA Rates'!$R$5:$R$1004,0),""),""))</f>
        <v/>
      </c>
      <c r="U1043">
        <f>IF(S1043="S",T1043,IF(AND(S1043="A",T1043&lt;&gt;""),IFERROR(MATCH(INDEX('AFA Rates'!$A$5:$A$1004,T1043),Firms!$A$5:$A$1004,0),""),""))</f>
        <v/>
      </c>
    </row>
    <row r="1044">
      <c r="A1044" s="78">
        <f>IF($T1044="","",IF($S1044="S",IF(INDEX(Firms!$A$5:$A$1004,$T1044)="","",INDEX(Firms!$A$5:$A$1004,$T1044)),IF(INDEX('AFA Rates'!$A$5:$A$1004,$T1044)="","",INDEX('AFA Rates'!$A$5:$A$1004,$T1044))))</f>
        <v/>
      </c>
      <c r="B1044" s="79">
        <f>IF(OR($T1044="",$U1044=""),IF($T1044="","","Not on Firms tab"),INDEX(Firms!$B$5:$B$1004,$U1044)&amp;"")</f>
        <v/>
      </c>
      <c r="C1044" s="78">
        <f>IF($T1044="","",IF($S1044="S","Standard",INDEX('AFA Rates'!$B$5:$B$1004,$T1044)&amp;""))</f>
        <v/>
      </c>
      <c r="D1044" s="88">
        <f>IF($T1044="","",IF($S1044="S",IF(INDEX(Firms!$E$5:$E$1004,$T1044)="","",INDEX(Firms!$E$5:$E$1004,$T1044)),IF(INDEX('AFA Rates'!$C$5:$C$1004,$T1044)="","",INDEX('AFA Rates'!$C$5:$C$1004,$T1044))))</f>
        <v/>
      </c>
      <c r="E1044" s="88">
        <f>IF($T1044="","",IF($S1044="S",IF(""="","",""),IF(INDEX('AFA Rates'!$D$5:$D$1004,$T1044)="","",INDEX('AFA Rates'!$D$5:$D$1004,$T1044))))</f>
        <v/>
      </c>
      <c r="F1044" s="79">
        <f>IF($T1044="","",IF($S1044="S",IF(INDEX(Firms!$O$5:$O$1004,$T1044)="","",INDEX(Firms!$O$5:$O$1004,$T1044)),IF(INDEX('AFA Rates'!$O$5:$O$1004,$T1044)="","",INDEX('AFA Rates'!$O$5:$O$1004,$T1044))))</f>
        <v/>
      </c>
      <c r="G1044" s="50">
        <f>IF($T1044="","",IF($S1044="S",IF(INDEX(Firms!$F$5:$F$1004,$T1044)="","",INDEX(Firms!$F$5:$F$1004,$T1044)),IF(INDEX('AFA Rates'!$E$5:$E$1004,$T1044)="","",INDEX('AFA Rates'!$E$5:$E$1004,$T1044))))</f>
        <v/>
      </c>
      <c r="H1044" s="50">
        <f>IF($T1044="","",IF($S1044="S",IF(INDEX(Firms!$G$5:$G$1004,$T1044)="","",INDEX(Firms!$G$5:$G$1004,$T1044)),IF(INDEX('AFA Rates'!$F$5:$F$1004,$T1044)="","",INDEX('AFA Rates'!$F$5:$F$1004,$T1044))))</f>
        <v/>
      </c>
      <c r="I1044" s="50">
        <f>IF($T1044="","",IF($S1044="S",IF(INDEX(Firms!$H$5:$H$1004,$T1044)="","",INDEX(Firms!$H$5:$H$1004,$T1044)),IF(INDEX('AFA Rates'!$G$5:$G$1004,$T1044)="","",INDEX('AFA Rates'!$G$5:$G$1004,$T1044))))</f>
        <v/>
      </c>
      <c r="J1044" s="50">
        <f>IF($T1044="","",IF($S1044="S",IF(INDEX(Firms!$I$5:$I$1004,$T1044)="","",INDEX(Firms!$I$5:$I$1004,$T1044)),IF(INDEX('AFA Rates'!$H$5:$H$1004,$T1044)="","",INDEX('AFA Rates'!$H$5:$H$1004,$T1044))))</f>
        <v/>
      </c>
      <c r="K1044" s="50">
        <f>IF($T1044="","",IF($S1044="S",IF(INDEX(Firms!$J$5:$J$1004,$T1044)="","",INDEX(Firms!$J$5:$J$1004,$T1044)),IF(INDEX('AFA Rates'!$I$5:$I$1004,$T1044)="","",INDEX('AFA Rates'!$I$5:$I$1004,$T1044))))</f>
        <v/>
      </c>
      <c r="L1044" s="50">
        <f>IF($T1044="","",IF($S1044="S",IF(INDEX(Firms!$K$5:$K$1004,$T1044)="","",INDEX(Firms!$K$5:$K$1004,$T1044)),IF(INDEX('AFA Rates'!$J$5:$J$1004,$T1044)="","",INDEX('AFA Rates'!$J$5:$J$1004,$T1044))))</f>
        <v/>
      </c>
      <c r="M1044" s="50">
        <f>IF($T1044="","",IF($S1044="S",IF(INDEX(Firms!$L$5:$L$1004,$T1044)="","",INDEX(Firms!$L$5:$L$1004,$T1044)),IF(INDEX('AFA Rates'!$K$5:$K$1004,$T1044)="","",INDEX('AFA Rates'!$K$5:$K$1004,$T1044))))</f>
        <v/>
      </c>
      <c r="N1044" s="50">
        <f>IF($T1044="","",IF($S1044="S",IF(INDEX(Firms!$M$5:$M$1004,$T1044)="","",INDEX(Firms!$M$5:$M$1004,$T1044)),IF(INDEX('AFA Rates'!$L$5:$L$1004,$T1044)="","",INDEX('AFA Rates'!$L$5:$L$1004,$T1044))))</f>
        <v/>
      </c>
      <c r="O1044" s="78">
        <f>IF(OR($T1044="",$U1044=""),"",IF(INDEX(Firms!$C$5:$C$1004,$U1044)="","",INDEX(Firms!$C$5:$C$1004,$U1044)))</f>
        <v/>
      </c>
      <c r="P1044" s="79">
        <f>IF(OR($T1044="",$U1044=""),"",IF(INDEX(Firms!$N$5:$N$1004,$U1044)="","",INDEX(Firms!$N$5:$N$1004,$U1044)))</f>
        <v/>
      </c>
      <c r="Q1044" s="78">
        <f>IF($T1044="","",IF($S1044="S",IF(INDEX(Firms!$T$5:$T$1004,$T1044)="","",INDEX(Firms!$T$5:$T$1004,$T1044)),IF(INDEX('AFA Rates'!$M$5:$M$1004,$T1044)="","",INDEX('AFA Rates'!$M$5:$M$1004,$T1044))))</f>
        <v/>
      </c>
      <c r="S1044">
        <f>IF(1040&lt;=$S$2,"S",IF(1040&lt;=$S$2+$T$2,"A",""))</f>
        <v/>
      </c>
      <c r="T1044">
        <f>IF(S1044="S",MATCH(1040,Firms!$W$5:$W$1004,0),IF(S1044="A",IFERROR(MATCH(1040-$S$2,'AFA Rates'!$R$5:$R$1004,0),""),""))</f>
        <v/>
      </c>
      <c r="U1044">
        <f>IF(S1044="S",T1044,IF(AND(S1044="A",T1044&lt;&gt;""),IFERROR(MATCH(INDEX('AFA Rates'!$A$5:$A$1004,T1044),Firms!$A$5:$A$1004,0),""),""))</f>
        <v/>
      </c>
    </row>
    <row r="1045">
      <c r="A1045" s="78">
        <f>IF($T1045="","",IF($S1045="S",IF(INDEX(Firms!$A$5:$A$1004,$T1045)="","",INDEX(Firms!$A$5:$A$1004,$T1045)),IF(INDEX('AFA Rates'!$A$5:$A$1004,$T1045)="","",INDEX('AFA Rates'!$A$5:$A$1004,$T1045))))</f>
        <v/>
      </c>
      <c r="B1045" s="79">
        <f>IF(OR($T1045="",$U1045=""),IF($T1045="","","Not on Firms tab"),INDEX(Firms!$B$5:$B$1004,$U1045)&amp;"")</f>
        <v/>
      </c>
      <c r="C1045" s="78">
        <f>IF($T1045="","",IF($S1045="S","Standard",INDEX('AFA Rates'!$B$5:$B$1004,$T1045)&amp;""))</f>
        <v/>
      </c>
      <c r="D1045" s="88">
        <f>IF($T1045="","",IF($S1045="S",IF(INDEX(Firms!$E$5:$E$1004,$T1045)="","",INDEX(Firms!$E$5:$E$1004,$T1045)),IF(INDEX('AFA Rates'!$C$5:$C$1004,$T1045)="","",INDEX('AFA Rates'!$C$5:$C$1004,$T1045))))</f>
        <v/>
      </c>
      <c r="E1045" s="88">
        <f>IF($T1045="","",IF($S1045="S",IF(""="","",""),IF(INDEX('AFA Rates'!$D$5:$D$1004,$T1045)="","",INDEX('AFA Rates'!$D$5:$D$1004,$T1045))))</f>
        <v/>
      </c>
      <c r="F1045" s="79">
        <f>IF($T1045="","",IF($S1045="S",IF(INDEX(Firms!$O$5:$O$1004,$T1045)="","",INDEX(Firms!$O$5:$O$1004,$T1045)),IF(INDEX('AFA Rates'!$O$5:$O$1004,$T1045)="","",INDEX('AFA Rates'!$O$5:$O$1004,$T1045))))</f>
        <v/>
      </c>
      <c r="G1045" s="50">
        <f>IF($T1045="","",IF($S1045="S",IF(INDEX(Firms!$F$5:$F$1004,$T1045)="","",INDEX(Firms!$F$5:$F$1004,$T1045)),IF(INDEX('AFA Rates'!$E$5:$E$1004,$T1045)="","",INDEX('AFA Rates'!$E$5:$E$1004,$T1045))))</f>
        <v/>
      </c>
      <c r="H1045" s="50">
        <f>IF($T1045="","",IF($S1045="S",IF(INDEX(Firms!$G$5:$G$1004,$T1045)="","",INDEX(Firms!$G$5:$G$1004,$T1045)),IF(INDEX('AFA Rates'!$F$5:$F$1004,$T1045)="","",INDEX('AFA Rates'!$F$5:$F$1004,$T1045))))</f>
        <v/>
      </c>
      <c r="I1045" s="50">
        <f>IF($T1045="","",IF($S1045="S",IF(INDEX(Firms!$H$5:$H$1004,$T1045)="","",INDEX(Firms!$H$5:$H$1004,$T1045)),IF(INDEX('AFA Rates'!$G$5:$G$1004,$T1045)="","",INDEX('AFA Rates'!$G$5:$G$1004,$T1045))))</f>
        <v/>
      </c>
      <c r="J1045" s="50">
        <f>IF($T1045="","",IF($S1045="S",IF(INDEX(Firms!$I$5:$I$1004,$T1045)="","",INDEX(Firms!$I$5:$I$1004,$T1045)),IF(INDEX('AFA Rates'!$H$5:$H$1004,$T1045)="","",INDEX('AFA Rates'!$H$5:$H$1004,$T1045))))</f>
        <v/>
      </c>
      <c r="K1045" s="50">
        <f>IF($T1045="","",IF($S1045="S",IF(INDEX(Firms!$J$5:$J$1004,$T1045)="","",INDEX(Firms!$J$5:$J$1004,$T1045)),IF(INDEX('AFA Rates'!$I$5:$I$1004,$T1045)="","",INDEX('AFA Rates'!$I$5:$I$1004,$T1045))))</f>
        <v/>
      </c>
      <c r="L1045" s="50">
        <f>IF($T1045="","",IF($S1045="S",IF(INDEX(Firms!$K$5:$K$1004,$T1045)="","",INDEX(Firms!$K$5:$K$1004,$T1045)),IF(INDEX('AFA Rates'!$J$5:$J$1004,$T1045)="","",INDEX('AFA Rates'!$J$5:$J$1004,$T1045))))</f>
        <v/>
      </c>
      <c r="M1045" s="50">
        <f>IF($T1045="","",IF($S1045="S",IF(INDEX(Firms!$L$5:$L$1004,$T1045)="","",INDEX(Firms!$L$5:$L$1004,$T1045)),IF(INDEX('AFA Rates'!$K$5:$K$1004,$T1045)="","",INDEX('AFA Rates'!$K$5:$K$1004,$T1045))))</f>
        <v/>
      </c>
      <c r="N1045" s="50">
        <f>IF($T1045="","",IF($S1045="S",IF(INDEX(Firms!$M$5:$M$1004,$T1045)="","",INDEX(Firms!$M$5:$M$1004,$T1045)),IF(INDEX('AFA Rates'!$L$5:$L$1004,$T1045)="","",INDEX('AFA Rates'!$L$5:$L$1004,$T1045))))</f>
        <v/>
      </c>
      <c r="O1045" s="78">
        <f>IF(OR($T1045="",$U1045=""),"",IF(INDEX(Firms!$C$5:$C$1004,$U1045)="","",INDEX(Firms!$C$5:$C$1004,$U1045)))</f>
        <v/>
      </c>
      <c r="P1045" s="79">
        <f>IF(OR($T1045="",$U1045=""),"",IF(INDEX(Firms!$N$5:$N$1004,$U1045)="","",INDEX(Firms!$N$5:$N$1004,$U1045)))</f>
        <v/>
      </c>
      <c r="Q1045" s="78">
        <f>IF($T1045="","",IF($S1045="S",IF(INDEX(Firms!$T$5:$T$1004,$T1045)="","",INDEX(Firms!$T$5:$T$1004,$T1045)),IF(INDEX('AFA Rates'!$M$5:$M$1004,$T1045)="","",INDEX('AFA Rates'!$M$5:$M$1004,$T1045))))</f>
        <v/>
      </c>
      <c r="S1045">
        <f>IF(1041&lt;=$S$2,"S",IF(1041&lt;=$S$2+$T$2,"A",""))</f>
        <v/>
      </c>
      <c r="T1045">
        <f>IF(S1045="S",MATCH(1041,Firms!$W$5:$W$1004,0),IF(S1045="A",IFERROR(MATCH(1041-$S$2,'AFA Rates'!$R$5:$R$1004,0),""),""))</f>
        <v/>
      </c>
      <c r="U1045">
        <f>IF(S1045="S",T1045,IF(AND(S1045="A",T1045&lt;&gt;""),IFERROR(MATCH(INDEX('AFA Rates'!$A$5:$A$1004,T1045),Firms!$A$5:$A$1004,0),""),""))</f>
        <v/>
      </c>
    </row>
    <row r="1046">
      <c r="A1046" s="78">
        <f>IF($T1046="","",IF($S1046="S",IF(INDEX(Firms!$A$5:$A$1004,$T1046)="","",INDEX(Firms!$A$5:$A$1004,$T1046)),IF(INDEX('AFA Rates'!$A$5:$A$1004,$T1046)="","",INDEX('AFA Rates'!$A$5:$A$1004,$T1046))))</f>
        <v/>
      </c>
      <c r="B1046" s="79">
        <f>IF(OR($T1046="",$U1046=""),IF($T1046="","","Not on Firms tab"),INDEX(Firms!$B$5:$B$1004,$U1046)&amp;"")</f>
        <v/>
      </c>
      <c r="C1046" s="78">
        <f>IF($T1046="","",IF($S1046="S","Standard",INDEX('AFA Rates'!$B$5:$B$1004,$T1046)&amp;""))</f>
        <v/>
      </c>
      <c r="D1046" s="88">
        <f>IF($T1046="","",IF($S1046="S",IF(INDEX(Firms!$E$5:$E$1004,$T1046)="","",INDEX(Firms!$E$5:$E$1004,$T1046)),IF(INDEX('AFA Rates'!$C$5:$C$1004,$T1046)="","",INDEX('AFA Rates'!$C$5:$C$1004,$T1046))))</f>
        <v/>
      </c>
      <c r="E1046" s="88">
        <f>IF($T1046="","",IF($S1046="S",IF(""="","",""),IF(INDEX('AFA Rates'!$D$5:$D$1004,$T1046)="","",INDEX('AFA Rates'!$D$5:$D$1004,$T1046))))</f>
        <v/>
      </c>
      <c r="F1046" s="79">
        <f>IF($T1046="","",IF($S1046="S",IF(INDEX(Firms!$O$5:$O$1004,$T1046)="","",INDEX(Firms!$O$5:$O$1004,$T1046)),IF(INDEX('AFA Rates'!$O$5:$O$1004,$T1046)="","",INDEX('AFA Rates'!$O$5:$O$1004,$T1046))))</f>
        <v/>
      </c>
      <c r="G1046" s="50">
        <f>IF($T1046="","",IF($S1046="S",IF(INDEX(Firms!$F$5:$F$1004,$T1046)="","",INDEX(Firms!$F$5:$F$1004,$T1046)),IF(INDEX('AFA Rates'!$E$5:$E$1004,$T1046)="","",INDEX('AFA Rates'!$E$5:$E$1004,$T1046))))</f>
        <v/>
      </c>
      <c r="H1046" s="50">
        <f>IF($T1046="","",IF($S1046="S",IF(INDEX(Firms!$G$5:$G$1004,$T1046)="","",INDEX(Firms!$G$5:$G$1004,$T1046)),IF(INDEX('AFA Rates'!$F$5:$F$1004,$T1046)="","",INDEX('AFA Rates'!$F$5:$F$1004,$T1046))))</f>
        <v/>
      </c>
      <c r="I1046" s="50">
        <f>IF($T1046="","",IF($S1046="S",IF(INDEX(Firms!$H$5:$H$1004,$T1046)="","",INDEX(Firms!$H$5:$H$1004,$T1046)),IF(INDEX('AFA Rates'!$G$5:$G$1004,$T1046)="","",INDEX('AFA Rates'!$G$5:$G$1004,$T1046))))</f>
        <v/>
      </c>
      <c r="J1046" s="50">
        <f>IF($T1046="","",IF($S1046="S",IF(INDEX(Firms!$I$5:$I$1004,$T1046)="","",INDEX(Firms!$I$5:$I$1004,$T1046)),IF(INDEX('AFA Rates'!$H$5:$H$1004,$T1046)="","",INDEX('AFA Rates'!$H$5:$H$1004,$T1046))))</f>
        <v/>
      </c>
      <c r="K1046" s="50">
        <f>IF($T1046="","",IF($S1046="S",IF(INDEX(Firms!$J$5:$J$1004,$T1046)="","",INDEX(Firms!$J$5:$J$1004,$T1046)),IF(INDEX('AFA Rates'!$I$5:$I$1004,$T1046)="","",INDEX('AFA Rates'!$I$5:$I$1004,$T1046))))</f>
        <v/>
      </c>
      <c r="L1046" s="50">
        <f>IF($T1046="","",IF($S1046="S",IF(INDEX(Firms!$K$5:$K$1004,$T1046)="","",INDEX(Firms!$K$5:$K$1004,$T1046)),IF(INDEX('AFA Rates'!$J$5:$J$1004,$T1046)="","",INDEX('AFA Rates'!$J$5:$J$1004,$T1046))))</f>
        <v/>
      </c>
      <c r="M1046" s="50">
        <f>IF($T1046="","",IF($S1046="S",IF(INDEX(Firms!$L$5:$L$1004,$T1046)="","",INDEX(Firms!$L$5:$L$1004,$T1046)),IF(INDEX('AFA Rates'!$K$5:$K$1004,$T1046)="","",INDEX('AFA Rates'!$K$5:$K$1004,$T1046))))</f>
        <v/>
      </c>
      <c r="N1046" s="50">
        <f>IF($T1046="","",IF($S1046="S",IF(INDEX(Firms!$M$5:$M$1004,$T1046)="","",INDEX(Firms!$M$5:$M$1004,$T1046)),IF(INDEX('AFA Rates'!$L$5:$L$1004,$T1046)="","",INDEX('AFA Rates'!$L$5:$L$1004,$T1046))))</f>
        <v/>
      </c>
      <c r="O1046" s="78">
        <f>IF(OR($T1046="",$U1046=""),"",IF(INDEX(Firms!$C$5:$C$1004,$U1046)="","",INDEX(Firms!$C$5:$C$1004,$U1046)))</f>
        <v/>
      </c>
      <c r="P1046" s="79">
        <f>IF(OR($T1046="",$U1046=""),"",IF(INDEX(Firms!$N$5:$N$1004,$U1046)="","",INDEX(Firms!$N$5:$N$1004,$U1046)))</f>
        <v/>
      </c>
      <c r="Q1046" s="78">
        <f>IF($T1046="","",IF($S1046="S",IF(INDEX(Firms!$T$5:$T$1004,$T1046)="","",INDEX(Firms!$T$5:$T$1004,$T1046)),IF(INDEX('AFA Rates'!$M$5:$M$1004,$T1046)="","",INDEX('AFA Rates'!$M$5:$M$1004,$T1046))))</f>
        <v/>
      </c>
      <c r="S1046">
        <f>IF(1042&lt;=$S$2,"S",IF(1042&lt;=$S$2+$T$2,"A",""))</f>
        <v/>
      </c>
      <c r="T1046">
        <f>IF(S1046="S",MATCH(1042,Firms!$W$5:$W$1004,0),IF(S1046="A",IFERROR(MATCH(1042-$S$2,'AFA Rates'!$R$5:$R$1004,0),""),""))</f>
        <v/>
      </c>
      <c r="U1046">
        <f>IF(S1046="S",T1046,IF(AND(S1046="A",T1046&lt;&gt;""),IFERROR(MATCH(INDEX('AFA Rates'!$A$5:$A$1004,T1046),Firms!$A$5:$A$1004,0),""),""))</f>
        <v/>
      </c>
    </row>
    <row r="1047">
      <c r="A1047" s="78">
        <f>IF($T1047="","",IF($S1047="S",IF(INDEX(Firms!$A$5:$A$1004,$T1047)="","",INDEX(Firms!$A$5:$A$1004,$T1047)),IF(INDEX('AFA Rates'!$A$5:$A$1004,$T1047)="","",INDEX('AFA Rates'!$A$5:$A$1004,$T1047))))</f>
        <v/>
      </c>
      <c r="B1047" s="79">
        <f>IF(OR($T1047="",$U1047=""),IF($T1047="","","Not on Firms tab"),INDEX(Firms!$B$5:$B$1004,$U1047)&amp;"")</f>
        <v/>
      </c>
      <c r="C1047" s="78">
        <f>IF($T1047="","",IF($S1047="S","Standard",INDEX('AFA Rates'!$B$5:$B$1004,$T1047)&amp;""))</f>
        <v/>
      </c>
      <c r="D1047" s="88">
        <f>IF($T1047="","",IF($S1047="S",IF(INDEX(Firms!$E$5:$E$1004,$T1047)="","",INDEX(Firms!$E$5:$E$1004,$T1047)),IF(INDEX('AFA Rates'!$C$5:$C$1004,$T1047)="","",INDEX('AFA Rates'!$C$5:$C$1004,$T1047))))</f>
        <v/>
      </c>
      <c r="E1047" s="88">
        <f>IF($T1047="","",IF($S1047="S",IF(""="","",""),IF(INDEX('AFA Rates'!$D$5:$D$1004,$T1047)="","",INDEX('AFA Rates'!$D$5:$D$1004,$T1047))))</f>
        <v/>
      </c>
      <c r="F1047" s="79">
        <f>IF($T1047="","",IF($S1047="S",IF(INDEX(Firms!$O$5:$O$1004,$T1047)="","",INDEX(Firms!$O$5:$O$1004,$T1047)),IF(INDEX('AFA Rates'!$O$5:$O$1004,$T1047)="","",INDEX('AFA Rates'!$O$5:$O$1004,$T1047))))</f>
        <v/>
      </c>
      <c r="G1047" s="50">
        <f>IF($T1047="","",IF($S1047="S",IF(INDEX(Firms!$F$5:$F$1004,$T1047)="","",INDEX(Firms!$F$5:$F$1004,$T1047)),IF(INDEX('AFA Rates'!$E$5:$E$1004,$T1047)="","",INDEX('AFA Rates'!$E$5:$E$1004,$T1047))))</f>
        <v/>
      </c>
      <c r="H1047" s="50">
        <f>IF($T1047="","",IF($S1047="S",IF(INDEX(Firms!$G$5:$G$1004,$T1047)="","",INDEX(Firms!$G$5:$G$1004,$T1047)),IF(INDEX('AFA Rates'!$F$5:$F$1004,$T1047)="","",INDEX('AFA Rates'!$F$5:$F$1004,$T1047))))</f>
        <v/>
      </c>
      <c r="I1047" s="50">
        <f>IF($T1047="","",IF($S1047="S",IF(INDEX(Firms!$H$5:$H$1004,$T1047)="","",INDEX(Firms!$H$5:$H$1004,$T1047)),IF(INDEX('AFA Rates'!$G$5:$G$1004,$T1047)="","",INDEX('AFA Rates'!$G$5:$G$1004,$T1047))))</f>
        <v/>
      </c>
      <c r="J1047" s="50">
        <f>IF($T1047="","",IF($S1047="S",IF(INDEX(Firms!$I$5:$I$1004,$T1047)="","",INDEX(Firms!$I$5:$I$1004,$T1047)),IF(INDEX('AFA Rates'!$H$5:$H$1004,$T1047)="","",INDEX('AFA Rates'!$H$5:$H$1004,$T1047))))</f>
        <v/>
      </c>
      <c r="K1047" s="50">
        <f>IF($T1047="","",IF($S1047="S",IF(INDEX(Firms!$J$5:$J$1004,$T1047)="","",INDEX(Firms!$J$5:$J$1004,$T1047)),IF(INDEX('AFA Rates'!$I$5:$I$1004,$T1047)="","",INDEX('AFA Rates'!$I$5:$I$1004,$T1047))))</f>
        <v/>
      </c>
      <c r="L1047" s="50">
        <f>IF($T1047="","",IF($S1047="S",IF(INDEX(Firms!$K$5:$K$1004,$T1047)="","",INDEX(Firms!$K$5:$K$1004,$T1047)),IF(INDEX('AFA Rates'!$J$5:$J$1004,$T1047)="","",INDEX('AFA Rates'!$J$5:$J$1004,$T1047))))</f>
        <v/>
      </c>
      <c r="M1047" s="50">
        <f>IF($T1047="","",IF($S1047="S",IF(INDEX(Firms!$L$5:$L$1004,$T1047)="","",INDEX(Firms!$L$5:$L$1004,$T1047)),IF(INDEX('AFA Rates'!$K$5:$K$1004,$T1047)="","",INDEX('AFA Rates'!$K$5:$K$1004,$T1047))))</f>
        <v/>
      </c>
      <c r="N1047" s="50">
        <f>IF($T1047="","",IF($S1047="S",IF(INDEX(Firms!$M$5:$M$1004,$T1047)="","",INDEX(Firms!$M$5:$M$1004,$T1047)),IF(INDEX('AFA Rates'!$L$5:$L$1004,$T1047)="","",INDEX('AFA Rates'!$L$5:$L$1004,$T1047))))</f>
        <v/>
      </c>
      <c r="O1047" s="78">
        <f>IF(OR($T1047="",$U1047=""),"",IF(INDEX(Firms!$C$5:$C$1004,$U1047)="","",INDEX(Firms!$C$5:$C$1004,$U1047)))</f>
        <v/>
      </c>
      <c r="P1047" s="79">
        <f>IF(OR($T1047="",$U1047=""),"",IF(INDEX(Firms!$N$5:$N$1004,$U1047)="","",INDEX(Firms!$N$5:$N$1004,$U1047)))</f>
        <v/>
      </c>
      <c r="Q1047" s="78">
        <f>IF($T1047="","",IF($S1047="S",IF(INDEX(Firms!$T$5:$T$1004,$T1047)="","",INDEX(Firms!$T$5:$T$1004,$T1047)),IF(INDEX('AFA Rates'!$M$5:$M$1004,$T1047)="","",INDEX('AFA Rates'!$M$5:$M$1004,$T1047))))</f>
        <v/>
      </c>
      <c r="S1047">
        <f>IF(1043&lt;=$S$2,"S",IF(1043&lt;=$S$2+$T$2,"A",""))</f>
        <v/>
      </c>
      <c r="T1047">
        <f>IF(S1047="S",MATCH(1043,Firms!$W$5:$W$1004,0),IF(S1047="A",IFERROR(MATCH(1043-$S$2,'AFA Rates'!$R$5:$R$1004,0),""),""))</f>
        <v/>
      </c>
      <c r="U1047">
        <f>IF(S1047="S",T1047,IF(AND(S1047="A",T1047&lt;&gt;""),IFERROR(MATCH(INDEX('AFA Rates'!$A$5:$A$1004,T1047),Firms!$A$5:$A$1004,0),""),""))</f>
        <v/>
      </c>
    </row>
    <row r="1048">
      <c r="A1048" s="78">
        <f>IF($T1048="","",IF($S1048="S",IF(INDEX(Firms!$A$5:$A$1004,$T1048)="","",INDEX(Firms!$A$5:$A$1004,$T1048)),IF(INDEX('AFA Rates'!$A$5:$A$1004,$T1048)="","",INDEX('AFA Rates'!$A$5:$A$1004,$T1048))))</f>
        <v/>
      </c>
      <c r="B1048" s="79">
        <f>IF(OR($T1048="",$U1048=""),IF($T1048="","","Not on Firms tab"),INDEX(Firms!$B$5:$B$1004,$U1048)&amp;"")</f>
        <v/>
      </c>
      <c r="C1048" s="78">
        <f>IF($T1048="","",IF($S1048="S","Standard",INDEX('AFA Rates'!$B$5:$B$1004,$T1048)&amp;""))</f>
        <v/>
      </c>
      <c r="D1048" s="88">
        <f>IF($T1048="","",IF($S1048="S",IF(INDEX(Firms!$E$5:$E$1004,$T1048)="","",INDEX(Firms!$E$5:$E$1004,$T1048)),IF(INDEX('AFA Rates'!$C$5:$C$1004,$T1048)="","",INDEX('AFA Rates'!$C$5:$C$1004,$T1048))))</f>
        <v/>
      </c>
      <c r="E1048" s="88">
        <f>IF($T1048="","",IF($S1048="S",IF(""="","",""),IF(INDEX('AFA Rates'!$D$5:$D$1004,$T1048)="","",INDEX('AFA Rates'!$D$5:$D$1004,$T1048))))</f>
        <v/>
      </c>
      <c r="F1048" s="79">
        <f>IF($T1048="","",IF($S1048="S",IF(INDEX(Firms!$O$5:$O$1004,$T1048)="","",INDEX(Firms!$O$5:$O$1004,$T1048)),IF(INDEX('AFA Rates'!$O$5:$O$1004,$T1048)="","",INDEX('AFA Rates'!$O$5:$O$1004,$T1048))))</f>
        <v/>
      </c>
      <c r="G1048" s="50">
        <f>IF($T1048="","",IF($S1048="S",IF(INDEX(Firms!$F$5:$F$1004,$T1048)="","",INDEX(Firms!$F$5:$F$1004,$T1048)),IF(INDEX('AFA Rates'!$E$5:$E$1004,$T1048)="","",INDEX('AFA Rates'!$E$5:$E$1004,$T1048))))</f>
        <v/>
      </c>
      <c r="H1048" s="50">
        <f>IF($T1048="","",IF($S1048="S",IF(INDEX(Firms!$G$5:$G$1004,$T1048)="","",INDEX(Firms!$G$5:$G$1004,$T1048)),IF(INDEX('AFA Rates'!$F$5:$F$1004,$T1048)="","",INDEX('AFA Rates'!$F$5:$F$1004,$T1048))))</f>
        <v/>
      </c>
      <c r="I1048" s="50">
        <f>IF($T1048="","",IF($S1048="S",IF(INDEX(Firms!$H$5:$H$1004,$T1048)="","",INDEX(Firms!$H$5:$H$1004,$T1048)),IF(INDEX('AFA Rates'!$G$5:$G$1004,$T1048)="","",INDEX('AFA Rates'!$G$5:$G$1004,$T1048))))</f>
        <v/>
      </c>
      <c r="J1048" s="50">
        <f>IF($T1048="","",IF($S1048="S",IF(INDEX(Firms!$I$5:$I$1004,$T1048)="","",INDEX(Firms!$I$5:$I$1004,$T1048)),IF(INDEX('AFA Rates'!$H$5:$H$1004,$T1048)="","",INDEX('AFA Rates'!$H$5:$H$1004,$T1048))))</f>
        <v/>
      </c>
      <c r="K1048" s="50">
        <f>IF($T1048="","",IF($S1048="S",IF(INDEX(Firms!$J$5:$J$1004,$T1048)="","",INDEX(Firms!$J$5:$J$1004,$T1048)),IF(INDEX('AFA Rates'!$I$5:$I$1004,$T1048)="","",INDEX('AFA Rates'!$I$5:$I$1004,$T1048))))</f>
        <v/>
      </c>
      <c r="L1048" s="50">
        <f>IF($T1048="","",IF($S1048="S",IF(INDEX(Firms!$K$5:$K$1004,$T1048)="","",INDEX(Firms!$K$5:$K$1004,$T1048)),IF(INDEX('AFA Rates'!$J$5:$J$1004,$T1048)="","",INDEX('AFA Rates'!$J$5:$J$1004,$T1048))))</f>
        <v/>
      </c>
      <c r="M1048" s="50">
        <f>IF($T1048="","",IF($S1048="S",IF(INDEX(Firms!$L$5:$L$1004,$T1048)="","",INDEX(Firms!$L$5:$L$1004,$T1048)),IF(INDEX('AFA Rates'!$K$5:$K$1004,$T1048)="","",INDEX('AFA Rates'!$K$5:$K$1004,$T1048))))</f>
        <v/>
      </c>
      <c r="N1048" s="50">
        <f>IF($T1048="","",IF($S1048="S",IF(INDEX(Firms!$M$5:$M$1004,$T1048)="","",INDEX(Firms!$M$5:$M$1004,$T1048)),IF(INDEX('AFA Rates'!$L$5:$L$1004,$T1048)="","",INDEX('AFA Rates'!$L$5:$L$1004,$T1048))))</f>
        <v/>
      </c>
      <c r="O1048" s="78">
        <f>IF(OR($T1048="",$U1048=""),"",IF(INDEX(Firms!$C$5:$C$1004,$U1048)="","",INDEX(Firms!$C$5:$C$1004,$U1048)))</f>
        <v/>
      </c>
      <c r="P1048" s="79">
        <f>IF(OR($T1048="",$U1048=""),"",IF(INDEX(Firms!$N$5:$N$1004,$U1048)="","",INDEX(Firms!$N$5:$N$1004,$U1048)))</f>
        <v/>
      </c>
      <c r="Q1048" s="78">
        <f>IF($T1048="","",IF($S1048="S",IF(INDEX(Firms!$T$5:$T$1004,$T1048)="","",INDEX(Firms!$T$5:$T$1004,$T1048)),IF(INDEX('AFA Rates'!$M$5:$M$1004,$T1048)="","",INDEX('AFA Rates'!$M$5:$M$1004,$T1048))))</f>
        <v/>
      </c>
      <c r="S1048">
        <f>IF(1044&lt;=$S$2,"S",IF(1044&lt;=$S$2+$T$2,"A",""))</f>
        <v/>
      </c>
      <c r="T1048">
        <f>IF(S1048="S",MATCH(1044,Firms!$W$5:$W$1004,0),IF(S1048="A",IFERROR(MATCH(1044-$S$2,'AFA Rates'!$R$5:$R$1004,0),""),""))</f>
        <v/>
      </c>
      <c r="U1048">
        <f>IF(S1048="S",T1048,IF(AND(S1048="A",T1048&lt;&gt;""),IFERROR(MATCH(INDEX('AFA Rates'!$A$5:$A$1004,T1048),Firms!$A$5:$A$1004,0),""),""))</f>
        <v/>
      </c>
    </row>
    <row r="1049">
      <c r="A1049" s="78">
        <f>IF($T1049="","",IF($S1049="S",IF(INDEX(Firms!$A$5:$A$1004,$T1049)="","",INDEX(Firms!$A$5:$A$1004,$T1049)),IF(INDEX('AFA Rates'!$A$5:$A$1004,$T1049)="","",INDEX('AFA Rates'!$A$5:$A$1004,$T1049))))</f>
        <v/>
      </c>
      <c r="B1049" s="79">
        <f>IF(OR($T1049="",$U1049=""),IF($T1049="","","Not on Firms tab"),INDEX(Firms!$B$5:$B$1004,$U1049)&amp;"")</f>
        <v/>
      </c>
      <c r="C1049" s="78">
        <f>IF($T1049="","",IF($S1049="S","Standard",INDEX('AFA Rates'!$B$5:$B$1004,$T1049)&amp;""))</f>
        <v/>
      </c>
      <c r="D1049" s="88">
        <f>IF($T1049="","",IF($S1049="S",IF(INDEX(Firms!$E$5:$E$1004,$T1049)="","",INDEX(Firms!$E$5:$E$1004,$T1049)),IF(INDEX('AFA Rates'!$C$5:$C$1004,$T1049)="","",INDEX('AFA Rates'!$C$5:$C$1004,$T1049))))</f>
        <v/>
      </c>
      <c r="E1049" s="88">
        <f>IF($T1049="","",IF($S1049="S",IF(""="","",""),IF(INDEX('AFA Rates'!$D$5:$D$1004,$T1049)="","",INDEX('AFA Rates'!$D$5:$D$1004,$T1049))))</f>
        <v/>
      </c>
      <c r="F1049" s="79">
        <f>IF($T1049="","",IF($S1049="S",IF(INDEX(Firms!$O$5:$O$1004,$T1049)="","",INDEX(Firms!$O$5:$O$1004,$T1049)),IF(INDEX('AFA Rates'!$O$5:$O$1004,$T1049)="","",INDEX('AFA Rates'!$O$5:$O$1004,$T1049))))</f>
        <v/>
      </c>
      <c r="G1049" s="50">
        <f>IF($T1049="","",IF($S1049="S",IF(INDEX(Firms!$F$5:$F$1004,$T1049)="","",INDEX(Firms!$F$5:$F$1004,$T1049)),IF(INDEX('AFA Rates'!$E$5:$E$1004,$T1049)="","",INDEX('AFA Rates'!$E$5:$E$1004,$T1049))))</f>
        <v/>
      </c>
      <c r="H1049" s="50">
        <f>IF($T1049="","",IF($S1049="S",IF(INDEX(Firms!$G$5:$G$1004,$T1049)="","",INDEX(Firms!$G$5:$G$1004,$T1049)),IF(INDEX('AFA Rates'!$F$5:$F$1004,$T1049)="","",INDEX('AFA Rates'!$F$5:$F$1004,$T1049))))</f>
        <v/>
      </c>
      <c r="I1049" s="50">
        <f>IF($T1049="","",IF($S1049="S",IF(INDEX(Firms!$H$5:$H$1004,$T1049)="","",INDEX(Firms!$H$5:$H$1004,$T1049)),IF(INDEX('AFA Rates'!$G$5:$G$1004,$T1049)="","",INDEX('AFA Rates'!$G$5:$G$1004,$T1049))))</f>
        <v/>
      </c>
      <c r="J1049" s="50">
        <f>IF($T1049="","",IF($S1049="S",IF(INDEX(Firms!$I$5:$I$1004,$T1049)="","",INDEX(Firms!$I$5:$I$1004,$T1049)),IF(INDEX('AFA Rates'!$H$5:$H$1004,$T1049)="","",INDEX('AFA Rates'!$H$5:$H$1004,$T1049))))</f>
        <v/>
      </c>
      <c r="K1049" s="50">
        <f>IF($T1049="","",IF($S1049="S",IF(INDEX(Firms!$J$5:$J$1004,$T1049)="","",INDEX(Firms!$J$5:$J$1004,$T1049)),IF(INDEX('AFA Rates'!$I$5:$I$1004,$T1049)="","",INDEX('AFA Rates'!$I$5:$I$1004,$T1049))))</f>
        <v/>
      </c>
      <c r="L1049" s="50">
        <f>IF($T1049="","",IF($S1049="S",IF(INDEX(Firms!$K$5:$K$1004,$T1049)="","",INDEX(Firms!$K$5:$K$1004,$T1049)),IF(INDEX('AFA Rates'!$J$5:$J$1004,$T1049)="","",INDEX('AFA Rates'!$J$5:$J$1004,$T1049))))</f>
        <v/>
      </c>
      <c r="M1049" s="50">
        <f>IF($T1049="","",IF($S1049="S",IF(INDEX(Firms!$L$5:$L$1004,$T1049)="","",INDEX(Firms!$L$5:$L$1004,$T1049)),IF(INDEX('AFA Rates'!$K$5:$K$1004,$T1049)="","",INDEX('AFA Rates'!$K$5:$K$1004,$T1049))))</f>
        <v/>
      </c>
      <c r="N1049" s="50">
        <f>IF($T1049="","",IF($S1049="S",IF(INDEX(Firms!$M$5:$M$1004,$T1049)="","",INDEX(Firms!$M$5:$M$1004,$T1049)),IF(INDEX('AFA Rates'!$L$5:$L$1004,$T1049)="","",INDEX('AFA Rates'!$L$5:$L$1004,$T1049))))</f>
        <v/>
      </c>
      <c r="O1049" s="78">
        <f>IF(OR($T1049="",$U1049=""),"",IF(INDEX(Firms!$C$5:$C$1004,$U1049)="","",INDEX(Firms!$C$5:$C$1004,$U1049)))</f>
        <v/>
      </c>
      <c r="P1049" s="79">
        <f>IF(OR($T1049="",$U1049=""),"",IF(INDEX(Firms!$N$5:$N$1004,$U1049)="","",INDEX(Firms!$N$5:$N$1004,$U1049)))</f>
        <v/>
      </c>
      <c r="Q1049" s="78">
        <f>IF($T1049="","",IF($S1049="S",IF(INDEX(Firms!$T$5:$T$1004,$T1049)="","",INDEX(Firms!$T$5:$T$1004,$T1049)),IF(INDEX('AFA Rates'!$M$5:$M$1004,$T1049)="","",INDEX('AFA Rates'!$M$5:$M$1004,$T1049))))</f>
        <v/>
      </c>
      <c r="S1049">
        <f>IF(1045&lt;=$S$2,"S",IF(1045&lt;=$S$2+$T$2,"A",""))</f>
        <v/>
      </c>
      <c r="T1049">
        <f>IF(S1049="S",MATCH(1045,Firms!$W$5:$W$1004,0),IF(S1049="A",IFERROR(MATCH(1045-$S$2,'AFA Rates'!$R$5:$R$1004,0),""),""))</f>
        <v/>
      </c>
      <c r="U1049">
        <f>IF(S1049="S",T1049,IF(AND(S1049="A",T1049&lt;&gt;""),IFERROR(MATCH(INDEX('AFA Rates'!$A$5:$A$1004,T1049),Firms!$A$5:$A$1004,0),""),""))</f>
        <v/>
      </c>
    </row>
    <row r="1050">
      <c r="A1050" s="78">
        <f>IF($T1050="","",IF($S1050="S",IF(INDEX(Firms!$A$5:$A$1004,$T1050)="","",INDEX(Firms!$A$5:$A$1004,$T1050)),IF(INDEX('AFA Rates'!$A$5:$A$1004,$T1050)="","",INDEX('AFA Rates'!$A$5:$A$1004,$T1050))))</f>
        <v/>
      </c>
      <c r="B1050" s="79">
        <f>IF(OR($T1050="",$U1050=""),IF($T1050="","","Not on Firms tab"),INDEX(Firms!$B$5:$B$1004,$U1050)&amp;"")</f>
        <v/>
      </c>
      <c r="C1050" s="78">
        <f>IF($T1050="","",IF($S1050="S","Standard",INDEX('AFA Rates'!$B$5:$B$1004,$T1050)&amp;""))</f>
        <v/>
      </c>
      <c r="D1050" s="88">
        <f>IF($T1050="","",IF($S1050="S",IF(INDEX(Firms!$E$5:$E$1004,$T1050)="","",INDEX(Firms!$E$5:$E$1004,$T1050)),IF(INDEX('AFA Rates'!$C$5:$C$1004,$T1050)="","",INDEX('AFA Rates'!$C$5:$C$1004,$T1050))))</f>
        <v/>
      </c>
      <c r="E1050" s="88">
        <f>IF($T1050="","",IF($S1050="S",IF(""="","",""),IF(INDEX('AFA Rates'!$D$5:$D$1004,$T1050)="","",INDEX('AFA Rates'!$D$5:$D$1004,$T1050))))</f>
        <v/>
      </c>
      <c r="F1050" s="79">
        <f>IF($T1050="","",IF($S1050="S",IF(INDEX(Firms!$O$5:$O$1004,$T1050)="","",INDEX(Firms!$O$5:$O$1004,$T1050)),IF(INDEX('AFA Rates'!$O$5:$O$1004,$T1050)="","",INDEX('AFA Rates'!$O$5:$O$1004,$T1050))))</f>
        <v/>
      </c>
      <c r="G1050" s="50">
        <f>IF($T1050="","",IF($S1050="S",IF(INDEX(Firms!$F$5:$F$1004,$T1050)="","",INDEX(Firms!$F$5:$F$1004,$T1050)),IF(INDEX('AFA Rates'!$E$5:$E$1004,$T1050)="","",INDEX('AFA Rates'!$E$5:$E$1004,$T1050))))</f>
        <v/>
      </c>
      <c r="H1050" s="50">
        <f>IF($T1050="","",IF($S1050="S",IF(INDEX(Firms!$G$5:$G$1004,$T1050)="","",INDEX(Firms!$G$5:$G$1004,$T1050)),IF(INDEX('AFA Rates'!$F$5:$F$1004,$T1050)="","",INDEX('AFA Rates'!$F$5:$F$1004,$T1050))))</f>
        <v/>
      </c>
      <c r="I1050" s="50">
        <f>IF($T1050="","",IF($S1050="S",IF(INDEX(Firms!$H$5:$H$1004,$T1050)="","",INDEX(Firms!$H$5:$H$1004,$T1050)),IF(INDEX('AFA Rates'!$G$5:$G$1004,$T1050)="","",INDEX('AFA Rates'!$G$5:$G$1004,$T1050))))</f>
        <v/>
      </c>
      <c r="J1050" s="50">
        <f>IF($T1050="","",IF($S1050="S",IF(INDEX(Firms!$I$5:$I$1004,$T1050)="","",INDEX(Firms!$I$5:$I$1004,$T1050)),IF(INDEX('AFA Rates'!$H$5:$H$1004,$T1050)="","",INDEX('AFA Rates'!$H$5:$H$1004,$T1050))))</f>
        <v/>
      </c>
      <c r="K1050" s="50">
        <f>IF($T1050="","",IF($S1050="S",IF(INDEX(Firms!$J$5:$J$1004,$T1050)="","",INDEX(Firms!$J$5:$J$1004,$T1050)),IF(INDEX('AFA Rates'!$I$5:$I$1004,$T1050)="","",INDEX('AFA Rates'!$I$5:$I$1004,$T1050))))</f>
        <v/>
      </c>
      <c r="L1050" s="50">
        <f>IF($T1050="","",IF($S1050="S",IF(INDEX(Firms!$K$5:$K$1004,$T1050)="","",INDEX(Firms!$K$5:$K$1004,$T1050)),IF(INDEX('AFA Rates'!$J$5:$J$1004,$T1050)="","",INDEX('AFA Rates'!$J$5:$J$1004,$T1050))))</f>
        <v/>
      </c>
      <c r="M1050" s="50">
        <f>IF($T1050="","",IF($S1050="S",IF(INDEX(Firms!$L$5:$L$1004,$T1050)="","",INDEX(Firms!$L$5:$L$1004,$T1050)),IF(INDEX('AFA Rates'!$K$5:$K$1004,$T1050)="","",INDEX('AFA Rates'!$K$5:$K$1004,$T1050))))</f>
        <v/>
      </c>
      <c r="N1050" s="50">
        <f>IF($T1050="","",IF($S1050="S",IF(INDEX(Firms!$M$5:$M$1004,$T1050)="","",INDEX(Firms!$M$5:$M$1004,$T1050)),IF(INDEX('AFA Rates'!$L$5:$L$1004,$T1050)="","",INDEX('AFA Rates'!$L$5:$L$1004,$T1050))))</f>
        <v/>
      </c>
      <c r="O1050" s="78">
        <f>IF(OR($T1050="",$U1050=""),"",IF(INDEX(Firms!$C$5:$C$1004,$U1050)="","",INDEX(Firms!$C$5:$C$1004,$U1050)))</f>
        <v/>
      </c>
      <c r="P1050" s="79">
        <f>IF(OR($T1050="",$U1050=""),"",IF(INDEX(Firms!$N$5:$N$1004,$U1050)="","",INDEX(Firms!$N$5:$N$1004,$U1050)))</f>
        <v/>
      </c>
      <c r="Q1050" s="78">
        <f>IF($T1050="","",IF($S1050="S",IF(INDEX(Firms!$T$5:$T$1004,$T1050)="","",INDEX(Firms!$T$5:$T$1004,$T1050)),IF(INDEX('AFA Rates'!$M$5:$M$1004,$T1050)="","",INDEX('AFA Rates'!$M$5:$M$1004,$T1050))))</f>
        <v/>
      </c>
      <c r="S1050">
        <f>IF(1046&lt;=$S$2,"S",IF(1046&lt;=$S$2+$T$2,"A",""))</f>
        <v/>
      </c>
      <c r="T1050">
        <f>IF(S1050="S",MATCH(1046,Firms!$W$5:$W$1004,0),IF(S1050="A",IFERROR(MATCH(1046-$S$2,'AFA Rates'!$R$5:$R$1004,0),""),""))</f>
        <v/>
      </c>
      <c r="U1050">
        <f>IF(S1050="S",T1050,IF(AND(S1050="A",T1050&lt;&gt;""),IFERROR(MATCH(INDEX('AFA Rates'!$A$5:$A$1004,T1050),Firms!$A$5:$A$1004,0),""),""))</f>
        <v/>
      </c>
    </row>
    <row r="1051">
      <c r="A1051" s="78">
        <f>IF($T1051="","",IF($S1051="S",IF(INDEX(Firms!$A$5:$A$1004,$T1051)="","",INDEX(Firms!$A$5:$A$1004,$T1051)),IF(INDEX('AFA Rates'!$A$5:$A$1004,$T1051)="","",INDEX('AFA Rates'!$A$5:$A$1004,$T1051))))</f>
        <v/>
      </c>
      <c r="B1051" s="79">
        <f>IF(OR($T1051="",$U1051=""),IF($T1051="","","Not on Firms tab"),INDEX(Firms!$B$5:$B$1004,$U1051)&amp;"")</f>
        <v/>
      </c>
      <c r="C1051" s="78">
        <f>IF($T1051="","",IF($S1051="S","Standard",INDEX('AFA Rates'!$B$5:$B$1004,$T1051)&amp;""))</f>
        <v/>
      </c>
      <c r="D1051" s="88">
        <f>IF($T1051="","",IF($S1051="S",IF(INDEX(Firms!$E$5:$E$1004,$T1051)="","",INDEX(Firms!$E$5:$E$1004,$T1051)),IF(INDEX('AFA Rates'!$C$5:$C$1004,$T1051)="","",INDEX('AFA Rates'!$C$5:$C$1004,$T1051))))</f>
        <v/>
      </c>
      <c r="E1051" s="88">
        <f>IF($T1051="","",IF($S1051="S",IF(""="","",""),IF(INDEX('AFA Rates'!$D$5:$D$1004,$T1051)="","",INDEX('AFA Rates'!$D$5:$D$1004,$T1051))))</f>
        <v/>
      </c>
      <c r="F1051" s="79">
        <f>IF($T1051="","",IF($S1051="S",IF(INDEX(Firms!$O$5:$O$1004,$T1051)="","",INDEX(Firms!$O$5:$O$1004,$T1051)),IF(INDEX('AFA Rates'!$O$5:$O$1004,$T1051)="","",INDEX('AFA Rates'!$O$5:$O$1004,$T1051))))</f>
        <v/>
      </c>
      <c r="G1051" s="50">
        <f>IF($T1051="","",IF($S1051="S",IF(INDEX(Firms!$F$5:$F$1004,$T1051)="","",INDEX(Firms!$F$5:$F$1004,$T1051)),IF(INDEX('AFA Rates'!$E$5:$E$1004,$T1051)="","",INDEX('AFA Rates'!$E$5:$E$1004,$T1051))))</f>
        <v/>
      </c>
      <c r="H1051" s="50">
        <f>IF($T1051="","",IF($S1051="S",IF(INDEX(Firms!$G$5:$G$1004,$T1051)="","",INDEX(Firms!$G$5:$G$1004,$T1051)),IF(INDEX('AFA Rates'!$F$5:$F$1004,$T1051)="","",INDEX('AFA Rates'!$F$5:$F$1004,$T1051))))</f>
        <v/>
      </c>
      <c r="I1051" s="50">
        <f>IF($T1051="","",IF($S1051="S",IF(INDEX(Firms!$H$5:$H$1004,$T1051)="","",INDEX(Firms!$H$5:$H$1004,$T1051)),IF(INDEX('AFA Rates'!$G$5:$G$1004,$T1051)="","",INDEX('AFA Rates'!$G$5:$G$1004,$T1051))))</f>
        <v/>
      </c>
      <c r="J1051" s="50">
        <f>IF($T1051="","",IF($S1051="S",IF(INDEX(Firms!$I$5:$I$1004,$T1051)="","",INDEX(Firms!$I$5:$I$1004,$T1051)),IF(INDEX('AFA Rates'!$H$5:$H$1004,$T1051)="","",INDEX('AFA Rates'!$H$5:$H$1004,$T1051))))</f>
        <v/>
      </c>
      <c r="K1051" s="50">
        <f>IF($T1051="","",IF($S1051="S",IF(INDEX(Firms!$J$5:$J$1004,$T1051)="","",INDEX(Firms!$J$5:$J$1004,$T1051)),IF(INDEX('AFA Rates'!$I$5:$I$1004,$T1051)="","",INDEX('AFA Rates'!$I$5:$I$1004,$T1051))))</f>
        <v/>
      </c>
      <c r="L1051" s="50">
        <f>IF($T1051="","",IF($S1051="S",IF(INDEX(Firms!$K$5:$K$1004,$T1051)="","",INDEX(Firms!$K$5:$K$1004,$T1051)),IF(INDEX('AFA Rates'!$J$5:$J$1004,$T1051)="","",INDEX('AFA Rates'!$J$5:$J$1004,$T1051))))</f>
        <v/>
      </c>
      <c r="M1051" s="50">
        <f>IF($T1051="","",IF($S1051="S",IF(INDEX(Firms!$L$5:$L$1004,$T1051)="","",INDEX(Firms!$L$5:$L$1004,$T1051)),IF(INDEX('AFA Rates'!$K$5:$K$1004,$T1051)="","",INDEX('AFA Rates'!$K$5:$K$1004,$T1051))))</f>
        <v/>
      </c>
      <c r="N1051" s="50">
        <f>IF($T1051="","",IF($S1051="S",IF(INDEX(Firms!$M$5:$M$1004,$T1051)="","",INDEX(Firms!$M$5:$M$1004,$T1051)),IF(INDEX('AFA Rates'!$L$5:$L$1004,$T1051)="","",INDEX('AFA Rates'!$L$5:$L$1004,$T1051))))</f>
        <v/>
      </c>
      <c r="O1051" s="78">
        <f>IF(OR($T1051="",$U1051=""),"",IF(INDEX(Firms!$C$5:$C$1004,$U1051)="","",INDEX(Firms!$C$5:$C$1004,$U1051)))</f>
        <v/>
      </c>
      <c r="P1051" s="79">
        <f>IF(OR($T1051="",$U1051=""),"",IF(INDEX(Firms!$N$5:$N$1004,$U1051)="","",INDEX(Firms!$N$5:$N$1004,$U1051)))</f>
        <v/>
      </c>
      <c r="Q1051" s="78">
        <f>IF($T1051="","",IF($S1051="S",IF(INDEX(Firms!$T$5:$T$1004,$T1051)="","",INDEX(Firms!$T$5:$T$1004,$T1051)),IF(INDEX('AFA Rates'!$M$5:$M$1004,$T1051)="","",INDEX('AFA Rates'!$M$5:$M$1004,$T1051))))</f>
        <v/>
      </c>
      <c r="S1051">
        <f>IF(1047&lt;=$S$2,"S",IF(1047&lt;=$S$2+$T$2,"A",""))</f>
        <v/>
      </c>
      <c r="T1051">
        <f>IF(S1051="S",MATCH(1047,Firms!$W$5:$W$1004,0),IF(S1051="A",IFERROR(MATCH(1047-$S$2,'AFA Rates'!$R$5:$R$1004,0),""),""))</f>
        <v/>
      </c>
      <c r="U1051">
        <f>IF(S1051="S",T1051,IF(AND(S1051="A",T1051&lt;&gt;""),IFERROR(MATCH(INDEX('AFA Rates'!$A$5:$A$1004,T1051),Firms!$A$5:$A$1004,0),""),""))</f>
        <v/>
      </c>
    </row>
    <row r="1052">
      <c r="A1052" s="78">
        <f>IF($T1052="","",IF($S1052="S",IF(INDEX(Firms!$A$5:$A$1004,$T1052)="","",INDEX(Firms!$A$5:$A$1004,$T1052)),IF(INDEX('AFA Rates'!$A$5:$A$1004,$T1052)="","",INDEX('AFA Rates'!$A$5:$A$1004,$T1052))))</f>
        <v/>
      </c>
      <c r="B1052" s="79">
        <f>IF(OR($T1052="",$U1052=""),IF($T1052="","","Not on Firms tab"),INDEX(Firms!$B$5:$B$1004,$U1052)&amp;"")</f>
        <v/>
      </c>
      <c r="C1052" s="78">
        <f>IF($T1052="","",IF($S1052="S","Standard",INDEX('AFA Rates'!$B$5:$B$1004,$T1052)&amp;""))</f>
        <v/>
      </c>
      <c r="D1052" s="88">
        <f>IF($T1052="","",IF($S1052="S",IF(INDEX(Firms!$E$5:$E$1004,$T1052)="","",INDEX(Firms!$E$5:$E$1004,$T1052)),IF(INDEX('AFA Rates'!$C$5:$C$1004,$T1052)="","",INDEX('AFA Rates'!$C$5:$C$1004,$T1052))))</f>
        <v/>
      </c>
      <c r="E1052" s="88">
        <f>IF($T1052="","",IF($S1052="S",IF(""="","",""),IF(INDEX('AFA Rates'!$D$5:$D$1004,$T1052)="","",INDEX('AFA Rates'!$D$5:$D$1004,$T1052))))</f>
        <v/>
      </c>
      <c r="F1052" s="79">
        <f>IF($T1052="","",IF($S1052="S",IF(INDEX(Firms!$O$5:$O$1004,$T1052)="","",INDEX(Firms!$O$5:$O$1004,$T1052)),IF(INDEX('AFA Rates'!$O$5:$O$1004,$T1052)="","",INDEX('AFA Rates'!$O$5:$O$1004,$T1052))))</f>
        <v/>
      </c>
      <c r="G1052" s="50">
        <f>IF($T1052="","",IF($S1052="S",IF(INDEX(Firms!$F$5:$F$1004,$T1052)="","",INDEX(Firms!$F$5:$F$1004,$T1052)),IF(INDEX('AFA Rates'!$E$5:$E$1004,$T1052)="","",INDEX('AFA Rates'!$E$5:$E$1004,$T1052))))</f>
        <v/>
      </c>
      <c r="H1052" s="50">
        <f>IF($T1052="","",IF($S1052="S",IF(INDEX(Firms!$G$5:$G$1004,$T1052)="","",INDEX(Firms!$G$5:$G$1004,$T1052)),IF(INDEX('AFA Rates'!$F$5:$F$1004,$T1052)="","",INDEX('AFA Rates'!$F$5:$F$1004,$T1052))))</f>
        <v/>
      </c>
      <c r="I1052" s="50">
        <f>IF($T1052="","",IF($S1052="S",IF(INDEX(Firms!$H$5:$H$1004,$T1052)="","",INDEX(Firms!$H$5:$H$1004,$T1052)),IF(INDEX('AFA Rates'!$G$5:$G$1004,$T1052)="","",INDEX('AFA Rates'!$G$5:$G$1004,$T1052))))</f>
        <v/>
      </c>
      <c r="J1052" s="50">
        <f>IF($T1052="","",IF($S1052="S",IF(INDEX(Firms!$I$5:$I$1004,$T1052)="","",INDEX(Firms!$I$5:$I$1004,$T1052)),IF(INDEX('AFA Rates'!$H$5:$H$1004,$T1052)="","",INDEX('AFA Rates'!$H$5:$H$1004,$T1052))))</f>
        <v/>
      </c>
      <c r="K1052" s="50">
        <f>IF($T1052="","",IF($S1052="S",IF(INDEX(Firms!$J$5:$J$1004,$T1052)="","",INDEX(Firms!$J$5:$J$1004,$T1052)),IF(INDEX('AFA Rates'!$I$5:$I$1004,$T1052)="","",INDEX('AFA Rates'!$I$5:$I$1004,$T1052))))</f>
        <v/>
      </c>
      <c r="L1052" s="50">
        <f>IF($T1052="","",IF($S1052="S",IF(INDEX(Firms!$K$5:$K$1004,$T1052)="","",INDEX(Firms!$K$5:$K$1004,$T1052)),IF(INDEX('AFA Rates'!$J$5:$J$1004,$T1052)="","",INDEX('AFA Rates'!$J$5:$J$1004,$T1052))))</f>
        <v/>
      </c>
      <c r="M1052" s="50">
        <f>IF($T1052="","",IF($S1052="S",IF(INDEX(Firms!$L$5:$L$1004,$T1052)="","",INDEX(Firms!$L$5:$L$1004,$T1052)),IF(INDEX('AFA Rates'!$K$5:$K$1004,$T1052)="","",INDEX('AFA Rates'!$K$5:$K$1004,$T1052))))</f>
        <v/>
      </c>
      <c r="N1052" s="50">
        <f>IF($T1052="","",IF($S1052="S",IF(INDEX(Firms!$M$5:$M$1004,$T1052)="","",INDEX(Firms!$M$5:$M$1004,$T1052)),IF(INDEX('AFA Rates'!$L$5:$L$1004,$T1052)="","",INDEX('AFA Rates'!$L$5:$L$1004,$T1052))))</f>
        <v/>
      </c>
      <c r="O1052" s="78">
        <f>IF(OR($T1052="",$U1052=""),"",IF(INDEX(Firms!$C$5:$C$1004,$U1052)="","",INDEX(Firms!$C$5:$C$1004,$U1052)))</f>
        <v/>
      </c>
      <c r="P1052" s="79">
        <f>IF(OR($T1052="",$U1052=""),"",IF(INDEX(Firms!$N$5:$N$1004,$U1052)="","",INDEX(Firms!$N$5:$N$1004,$U1052)))</f>
        <v/>
      </c>
      <c r="Q1052" s="78">
        <f>IF($T1052="","",IF($S1052="S",IF(INDEX(Firms!$T$5:$T$1004,$T1052)="","",INDEX(Firms!$T$5:$T$1004,$T1052)),IF(INDEX('AFA Rates'!$M$5:$M$1004,$T1052)="","",INDEX('AFA Rates'!$M$5:$M$1004,$T1052))))</f>
        <v/>
      </c>
      <c r="S1052">
        <f>IF(1048&lt;=$S$2,"S",IF(1048&lt;=$S$2+$T$2,"A",""))</f>
        <v/>
      </c>
      <c r="T1052">
        <f>IF(S1052="S",MATCH(1048,Firms!$W$5:$W$1004,0),IF(S1052="A",IFERROR(MATCH(1048-$S$2,'AFA Rates'!$R$5:$R$1004,0),""),""))</f>
        <v/>
      </c>
      <c r="U1052">
        <f>IF(S1052="S",T1052,IF(AND(S1052="A",T1052&lt;&gt;""),IFERROR(MATCH(INDEX('AFA Rates'!$A$5:$A$1004,T1052),Firms!$A$5:$A$1004,0),""),""))</f>
        <v/>
      </c>
    </row>
    <row r="1053">
      <c r="A1053" s="78">
        <f>IF($T1053="","",IF($S1053="S",IF(INDEX(Firms!$A$5:$A$1004,$T1053)="","",INDEX(Firms!$A$5:$A$1004,$T1053)),IF(INDEX('AFA Rates'!$A$5:$A$1004,$T1053)="","",INDEX('AFA Rates'!$A$5:$A$1004,$T1053))))</f>
        <v/>
      </c>
      <c r="B1053" s="79">
        <f>IF(OR($T1053="",$U1053=""),IF($T1053="","","Not on Firms tab"),INDEX(Firms!$B$5:$B$1004,$U1053)&amp;"")</f>
        <v/>
      </c>
      <c r="C1053" s="78">
        <f>IF($T1053="","",IF($S1053="S","Standard",INDEX('AFA Rates'!$B$5:$B$1004,$T1053)&amp;""))</f>
        <v/>
      </c>
      <c r="D1053" s="88">
        <f>IF($T1053="","",IF($S1053="S",IF(INDEX(Firms!$E$5:$E$1004,$T1053)="","",INDEX(Firms!$E$5:$E$1004,$T1053)),IF(INDEX('AFA Rates'!$C$5:$C$1004,$T1053)="","",INDEX('AFA Rates'!$C$5:$C$1004,$T1053))))</f>
        <v/>
      </c>
      <c r="E1053" s="88">
        <f>IF($T1053="","",IF($S1053="S",IF(""="","",""),IF(INDEX('AFA Rates'!$D$5:$D$1004,$T1053)="","",INDEX('AFA Rates'!$D$5:$D$1004,$T1053))))</f>
        <v/>
      </c>
      <c r="F1053" s="79">
        <f>IF($T1053="","",IF($S1053="S",IF(INDEX(Firms!$O$5:$O$1004,$T1053)="","",INDEX(Firms!$O$5:$O$1004,$T1053)),IF(INDEX('AFA Rates'!$O$5:$O$1004,$T1053)="","",INDEX('AFA Rates'!$O$5:$O$1004,$T1053))))</f>
        <v/>
      </c>
      <c r="G1053" s="50">
        <f>IF($T1053="","",IF($S1053="S",IF(INDEX(Firms!$F$5:$F$1004,$T1053)="","",INDEX(Firms!$F$5:$F$1004,$T1053)),IF(INDEX('AFA Rates'!$E$5:$E$1004,$T1053)="","",INDEX('AFA Rates'!$E$5:$E$1004,$T1053))))</f>
        <v/>
      </c>
      <c r="H1053" s="50">
        <f>IF($T1053="","",IF($S1053="S",IF(INDEX(Firms!$G$5:$G$1004,$T1053)="","",INDEX(Firms!$G$5:$G$1004,$T1053)),IF(INDEX('AFA Rates'!$F$5:$F$1004,$T1053)="","",INDEX('AFA Rates'!$F$5:$F$1004,$T1053))))</f>
        <v/>
      </c>
      <c r="I1053" s="50">
        <f>IF($T1053="","",IF($S1053="S",IF(INDEX(Firms!$H$5:$H$1004,$T1053)="","",INDEX(Firms!$H$5:$H$1004,$T1053)),IF(INDEX('AFA Rates'!$G$5:$G$1004,$T1053)="","",INDEX('AFA Rates'!$G$5:$G$1004,$T1053))))</f>
        <v/>
      </c>
      <c r="J1053" s="50">
        <f>IF($T1053="","",IF($S1053="S",IF(INDEX(Firms!$I$5:$I$1004,$T1053)="","",INDEX(Firms!$I$5:$I$1004,$T1053)),IF(INDEX('AFA Rates'!$H$5:$H$1004,$T1053)="","",INDEX('AFA Rates'!$H$5:$H$1004,$T1053))))</f>
        <v/>
      </c>
      <c r="K1053" s="50">
        <f>IF($T1053="","",IF($S1053="S",IF(INDEX(Firms!$J$5:$J$1004,$T1053)="","",INDEX(Firms!$J$5:$J$1004,$T1053)),IF(INDEX('AFA Rates'!$I$5:$I$1004,$T1053)="","",INDEX('AFA Rates'!$I$5:$I$1004,$T1053))))</f>
        <v/>
      </c>
      <c r="L1053" s="50">
        <f>IF($T1053="","",IF($S1053="S",IF(INDEX(Firms!$K$5:$K$1004,$T1053)="","",INDEX(Firms!$K$5:$K$1004,$T1053)),IF(INDEX('AFA Rates'!$J$5:$J$1004,$T1053)="","",INDEX('AFA Rates'!$J$5:$J$1004,$T1053))))</f>
        <v/>
      </c>
      <c r="M1053" s="50">
        <f>IF($T1053="","",IF($S1053="S",IF(INDEX(Firms!$L$5:$L$1004,$T1053)="","",INDEX(Firms!$L$5:$L$1004,$T1053)),IF(INDEX('AFA Rates'!$K$5:$K$1004,$T1053)="","",INDEX('AFA Rates'!$K$5:$K$1004,$T1053))))</f>
        <v/>
      </c>
      <c r="N1053" s="50">
        <f>IF($T1053="","",IF($S1053="S",IF(INDEX(Firms!$M$5:$M$1004,$T1053)="","",INDEX(Firms!$M$5:$M$1004,$T1053)),IF(INDEX('AFA Rates'!$L$5:$L$1004,$T1053)="","",INDEX('AFA Rates'!$L$5:$L$1004,$T1053))))</f>
        <v/>
      </c>
      <c r="O1053" s="78">
        <f>IF(OR($T1053="",$U1053=""),"",IF(INDEX(Firms!$C$5:$C$1004,$U1053)="","",INDEX(Firms!$C$5:$C$1004,$U1053)))</f>
        <v/>
      </c>
      <c r="P1053" s="79">
        <f>IF(OR($T1053="",$U1053=""),"",IF(INDEX(Firms!$N$5:$N$1004,$U1053)="","",INDEX(Firms!$N$5:$N$1004,$U1053)))</f>
        <v/>
      </c>
      <c r="Q1053" s="78">
        <f>IF($T1053="","",IF($S1053="S",IF(INDEX(Firms!$T$5:$T$1004,$T1053)="","",INDEX(Firms!$T$5:$T$1004,$T1053)),IF(INDEX('AFA Rates'!$M$5:$M$1004,$T1053)="","",INDEX('AFA Rates'!$M$5:$M$1004,$T1053))))</f>
        <v/>
      </c>
      <c r="S1053">
        <f>IF(1049&lt;=$S$2,"S",IF(1049&lt;=$S$2+$T$2,"A",""))</f>
        <v/>
      </c>
      <c r="T1053">
        <f>IF(S1053="S",MATCH(1049,Firms!$W$5:$W$1004,0),IF(S1053="A",IFERROR(MATCH(1049-$S$2,'AFA Rates'!$R$5:$R$1004,0),""),""))</f>
        <v/>
      </c>
      <c r="U1053">
        <f>IF(S1053="S",T1053,IF(AND(S1053="A",T1053&lt;&gt;""),IFERROR(MATCH(INDEX('AFA Rates'!$A$5:$A$1004,T1053),Firms!$A$5:$A$1004,0),""),""))</f>
        <v/>
      </c>
    </row>
    <row r="1054">
      <c r="A1054" s="78">
        <f>IF($T1054="","",IF($S1054="S",IF(INDEX(Firms!$A$5:$A$1004,$T1054)="","",INDEX(Firms!$A$5:$A$1004,$T1054)),IF(INDEX('AFA Rates'!$A$5:$A$1004,$T1054)="","",INDEX('AFA Rates'!$A$5:$A$1004,$T1054))))</f>
        <v/>
      </c>
      <c r="B1054" s="79">
        <f>IF(OR($T1054="",$U1054=""),IF($T1054="","","Not on Firms tab"),INDEX(Firms!$B$5:$B$1004,$U1054)&amp;"")</f>
        <v/>
      </c>
      <c r="C1054" s="78">
        <f>IF($T1054="","",IF($S1054="S","Standard",INDEX('AFA Rates'!$B$5:$B$1004,$T1054)&amp;""))</f>
        <v/>
      </c>
      <c r="D1054" s="88">
        <f>IF($T1054="","",IF($S1054="S",IF(INDEX(Firms!$E$5:$E$1004,$T1054)="","",INDEX(Firms!$E$5:$E$1004,$T1054)),IF(INDEX('AFA Rates'!$C$5:$C$1004,$T1054)="","",INDEX('AFA Rates'!$C$5:$C$1004,$T1054))))</f>
        <v/>
      </c>
      <c r="E1054" s="88">
        <f>IF($T1054="","",IF($S1054="S",IF(""="","",""),IF(INDEX('AFA Rates'!$D$5:$D$1004,$T1054)="","",INDEX('AFA Rates'!$D$5:$D$1004,$T1054))))</f>
        <v/>
      </c>
      <c r="F1054" s="79">
        <f>IF($T1054="","",IF($S1054="S",IF(INDEX(Firms!$O$5:$O$1004,$T1054)="","",INDEX(Firms!$O$5:$O$1004,$T1054)),IF(INDEX('AFA Rates'!$O$5:$O$1004,$T1054)="","",INDEX('AFA Rates'!$O$5:$O$1004,$T1054))))</f>
        <v/>
      </c>
      <c r="G1054" s="50">
        <f>IF($T1054="","",IF($S1054="S",IF(INDEX(Firms!$F$5:$F$1004,$T1054)="","",INDEX(Firms!$F$5:$F$1004,$T1054)),IF(INDEX('AFA Rates'!$E$5:$E$1004,$T1054)="","",INDEX('AFA Rates'!$E$5:$E$1004,$T1054))))</f>
        <v/>
      </c>
      <c r="H1054" s="50">
        <f>IF($T1054="","",IF($S1054="S",IF(INDEX(Firms!$G$5:$G$1004,$T1054)="","",INDEX(Firms!$G$5:$G$1004,$T1054)),IF(INDEX('AFA Rates'!$F$5:$F$1004,$T1054)="","",INDEX('AFA Rates'!$F$5:$F$1004,$T1054))))</f>
        <v/>
      </c>
      <c r="I1054" s="50">
        <f>IF($T1054="","",IF($S1054="S",IF(INDEX(Firms!$H$5:$H$1004,$T1054)="","",INDEX(Firms!$H$5:$H$1004,$T1054)),IF(INDEX('AFA Rates'!$G$5:$G$1004,$T1054)="","",INDEX('AFA Rates'!$G$5:$G$1004,$T1054))))</f>
        <v/>
      </c>
      <c r="J1054" s="50">
        <f>IF($T1054="","",IF($S1054="S",IF(INDEX(Firms!$I$5:$I$1004,$T1054)="","",INDEX(Firms!$I$5:$I$1004,$T1054)),IF(INDEX('AFA Rates'!$H$5:$H$1004,$T1054)="","",INDEX('AFA Rates'!$H$5:$H$1004,$T1054))))</f>
        <v/>
      </c>
      <c r="K1054" s="50">
        <f>IF($T1054="","",IF($S1054="S",IF(INDEX(Firms!$J$5:$J$1004,$T1054)="","",INDEX(Firms!$J$5:$J$1004,$T1054)),IF(INDEX('AFA Rates'!$I$5:$I$1004,$T1054)="","",INDEX('AFA Rates'!$I$5:$I$1004,$T1054))))</f>
        <v/>
      </c>
      <c r="L1054" s="50">
        <f>IF($T1054="","",IF($S1054="S",IF(INDEX(Firms!$K$5:$K$1004,$T1054)="","",INDEX(Firms!$K$5:$K$1004,$T1054)),IF(INDEX('AFA Rates'!$J$5:$J$1004,$T1054)="","",INDEX('AFA Rates'!$J$5:$J$1004,$T1054))))</f>
        <v/>
      </c>
      <c r="M1054" s="50">
        <f>IF($T1054="","",IF($S1054="S",IF(INDEX(Firms!$L$5:$L$1004,$T1054)="","",INDEX(Firms!$L$5:$L$1004,$T1054)),IF(INDEX('AFA Rates'!$K$5:$K$1004,$T1054)="","",INDEX('AFA Rates'!$K$5:$K$1004,$T1054))))</f>
        <v/>
      </c>
      <c r="N1054" s="50">
        <f>IF($T1054="","",IF($S1054="S",IF(INDEX(Firms!$M$5:$M$1004,$T1054)="","",INDEX(Firms!$M$5:$M$1004,$T1054)),IF(INDEX('AFA Rates'!$L$5:$L$1004,$T1054)="","",INDEX('AFA Rates'!$L$5:$L$1004,$T1054))))</f>
        <v/>
      </c>
      <c r="O1054" s="78">
        <f>IF(OR($T1054="",$U1054=""),"",IF(INDEX(Firms!$C$5:$C$1004,$U1054)="","",INDEX(Firms!$C$5:$C$1004,$U1054)))</f>
        <v/>
      </c>
      <c r="P1054" s="79">
        <f>IF(OR($T1054="",$U1054=""),"",IF(INDEX(Firms!$N$5:$N$1004,$U1054)="","",INDEX(Firms!$N$5:$N$1004,$U1054)))</f>
        <v/>
      </c>
      <c r="Q1054" s="78">
        <f>IF($T1054="","",IF($S1054="S",IF(INDEX(Firms!$T$5:$T$1004,$T1054)="","",INDEX(Firms!$T$5:$T$1004,$T1054)),IF(INDEX('AFA Rates'!$M$5:$M$1004,$T1054)="","",INDEX('AFA Rates'!$M$5:$M$1004,$T1054))))</f>
        <v/>
      </c>
      <c r="S1054">
        <f>IF(1050&lt;=$S$2,"S",IF(1050&lt;=$S$2+$T$2,"A",""))</f>
        <v/>
      </c>
      <c r="T1054">
        <f>IF(S1054="S",MATCH(1050,Firms!$W$5:$W$1004,0),IF(S1054="A",IFERROR(MATCH(1050-$S$2,'AFA Rates'!$R$5:$R$1004,0),""),""))</f>
        <v/>
      </c>
      <c r="U1054">
        <f>IF(S1054="S",T1054,IF(AND(S1054="A",T1054&lt;&gt;""),IFERROR(MATCH(INDEX('AFA Rates'!$A$5:$A$1004,T1054),Firms!$A$5:$A$1004,0),""),""))</f>
        <v/>
      </c>
    </row>
    <row r="1055">
      <c r="A1055" s="78">
        <f>IF($T1055="","",IF($S1055="S",IF(INDEX(Firms!$A$5:$A$1004,$T1055)="","",INDEX(Firms!$A$5:$A$1004,$T1055)),IF(INDEX('AFA Rates'!$A$5:$A$1004,$T1055)="","",INDEX('AFA Rates'!$A$5:$A$1004,$T1055))))</f>
        <v/>
      </c>
      <c r="B1055" s="79">
        <f>IF(OR($T1055="",$U1055=""),IF($T1055="","","Not on Firms tab"),INDEX(Firms!$B$5:$B$1004,$U1055)&amp;"")</f>
        <v/>
      </c>
      <c r="C1055" s="78">
        <f>IF($T1055="","",IF($S1055="S","Standard",INDEX('AFA Rates'!$B$5:$B$1004,$T1055)&amp;""))</f>
        <v/>
      </c>
      <c r="D1055" s="88">
        <f>IF($T1055="","",IF($S1055="S",IF(INDEX(Firms!$E$5:$E$1004,$T1055)="","",INDEX(Firms!$E$5:$E$1004,$T1055)),IF(INDEX('AFA Rates'!$C$5:$C$1004,$T1055)="","",INDEX('AFA Rates'!$C$5:$C$1004,$T1055))))</f>
        <v/>
      </c>
      <c r="E1055" s="88">
        <f>IF($T1055="","",IF($S1055="S",IF(""="","",""),IF(INDEX('AFA Rates'!$D$5:$D$1004,$T1055)="","",INDEX('AFA Rates'!$D$5:$D$1004,$T1055))))</f>
        <v/>
      </c>
      <c r="F1055" s="79">
        <f>IF($T1055="","",IF($S1055="S",IF(INDEX(Firms!$O$5:$O$1004,$T1055)="","",INDEX(Firms!$O$5:$O$1004,$T1055)),IF(INDEX('AFA Rates'!$O$5:$O$1004,$T1055)="","",INDEX('AFA Rates'!$O$5:$O$1004,$T1055))))</f>
        <v/>
      </c>
      <c r="G1055" s="50">
        <f>IF($T1055="","",IF($S1055="S",IF(INDEX(Firms!$F$5:$F$1004,$T1055)="","",INDEX(Firms!$F$5:$F$1004,$T1055)),IF(INDEX('AFA Rates'!$E$5:$E$1004,$T1055)="","",INDEX('AFA Rates'!$E$5:$E$1004,$T1055))))</f>
        <v/>
      </c>
      <c r="H1055" s="50">
        <f>IF($T1055="","",IF($S1055="S",IF(INDEX(Firms!$G$5:$G$1004,$T1055)="","",INDEX(Firms!$G$5:$G$1004,$T1055)),IF(INDEX('AFA Rates'!$F$5:$F$1004,$T1055)="","",INDEX('AFA Rates'!$F$5:$F$1004,$T1055))))</f>
        <v/>
      </c>
      <c r="I1055" s="50">
        <f>IF($T1055="","",IF($S1055="S",IF(INDEX(Firms!$H$5:$H$1004,$T1055)="","",INDEX(Firms!$H$5:$H$1004,$T1055)),IF(INDEX('AFA Rates'!$G$5:$G$1004,$T1055)="","",INDEX('AFA Rates'!$G$5:$G$1004,$T1055))))</f>
        <v/>
      </c>
      <c r="J1055" s="50">
        <f>IF($T1055="","",IF($S1055="S",IF(INDEX(Firms!$I$5:$I$1004,$T1055)="","",INDEX(Firms!$I$5:$I$1004,$T1055)),IF(INDEX('AFA Rates'!$H$5:$H$1004,$T1055)="","",INDEX('AFA Rates'!$H$5:$H$1004,$T1055))))</f>
        <v/>
      </c>
      <c r="K1055" s="50">
        <f>IF($T1055="","",IF($S1055="S",IF(INDEX(Firms!$J$5:$J$1004,$T1055)="","",INDEX(Firms!$J$5:$J$1004,$T1055)),IF(INDEX('AFA Rates'!$I$5:$I$1004,$T1055)="","",INDEX('AFA Rates'!$I$5:$I$1004,$T1055))))</f>
        <v/>
      </c>
      <c r="L1055" s="50">
        <f>IF($T1055="","",IF($S1055="S",IF(INDEX(Firms!$K$5:$K$1004,$T1055)="","",INDEX(Firms!$K$5:$K$1004,$T1055)),IF(INDEX('AFA Rates'!$J$5:$J$1004,$T1055)="","",INDEX('AFA Rates'!$J$5:$J$1004,$T1055))))</f>
        <v/>
      </c>
      <c r="M1055" s="50">
        <f>IF($T1055="","",IF($S1055="S",IF(INDEX(Firms!$L$5:$L$1004,$T1055)="","",INDEX(Firms!$L$5:$L$1004,$T1055)),IF(INDEX('AFA Rates'!$K$5:$K$1004,$T1055)="","",INDEX('AFA Rates'!$K$5:$K$1004,$T1055))))</f>
        <v/>
      </c>
      <c r="N1055" s="50">
        <f>IF($T1055="","",IF($S1055="S",IF(INDEX(Firms!$M$5:$M$1004,$T1055)="","",INDEX(Firms!$M$5:$M$1004,$T1055)),IF(INDEX('AFA Rates'!$L$5:$L$1004,$T1055)="","",INDEX('AFA Rates'!$L$5:$L$1004,$T1055))))</f>
        <v/>
      </c>
      <c r="O1055" s="78">
        <f>IF(OR($T1055="",$U1055=""),"",IF(INDEX(Firms!$C$5:$C$1004,$U1055)="","",INDEX(Firms!$C$5:$C$1004,$U1055)))</f>
        <v/>
      </c>
      <c r="P1055" s="79">
        <f>IF(OR($T1055="",$U1055=""),"",IF(INDEX(Firms!$N$5:$N$1004,$U1055)="","",INDEX(Firms!$N$5:$N$1004,$U1055)))</f>
        <v/>
      </c>
      <c r="Q1055" s="78">
        <f>IF($T1055="","",IF($S1055="S",IF(INDEX(Firms!$T$5:$T$1004,$T1055)="","",INDEX(Firms!$T$5:$T$1004,$T1055)),IF(INDEX('AFA Rates'!$M$5:$M$1004,$T1055)="","",INDEX('AFA Rates'!$M$5:$M$1004,$T1055))))</f>
        <v/>
      </c>
      <c r="S1055">
        <f>IF(1051&lt;=$S$2,"S",IF(1051&lt;=$S$2+$T$2,"A",""))</f>
        <v/>
      </c>
      <c r="T1055">
        <f>IF(S1055="S",MATCH(1051,Firms!$W$5:$W$1004,0),IF(S1055="A",IFERROR(MATCH(1051-$S$2,'AFA Rates'!$R$5:$R$1004,0),""),""))</f>
        <v/>
      </c>
      <c r="U1055">
        <f>IF(S1055="S",T1055,IF(AND(S1055="A",T1055&lt;&gt;""),IFERROR(MATCH(INDEX('AFA Rates'!$A$5:$A$1004,T1055),Firms!$A$5:$A$1004,0),""),""))</f>
        <v/>
      </c>
    </row>
    <row r="1056">
      <c r="A1056" s="78">
        <f>IF($T1056="","",IF($S1056="S",IF(INDEX(Firms!$A$5:$A$1004,$T1056)="","",INDEX(Firms!$A$5:$A$1004,$T1056)),IF(INDEX('AFA Rates'!$A$5:$A$1004,$T1056)="","",INDEX('AFA Rates'!$A$5:$A$1004,$T1056))))</f>
        <v/>
      </c>
      <c r="B1056" s="79">
        <f>IF(OR($T1056="",$U1056=""),IF($T1056="","","Not on Firms tab"),INDEX(Firms!$B$5:$B$1004,$U1056)&amp;"")</f>
        <v/>
      </c>
      <c r="C1056" s="78">
        <f>IF($T1056="","",IF($S1056="S","Standard",INDEX('AFA Rates'!$B$5:$B$1004,$T1056)&amp;""))</f>
        <v/>
      </c>
      <c r="D1056" s="88">
        <f>IF($T1056="","",IF($S1056="S",IF(INDEX(Firms!$E$5:$E$1004,$T1056)="","",INDEX(Firms!$E$5:$E$1004,$T1056)),IF(INDEX('AFA Rates'!$C$5:$C$1004,$T1056)="","",INDEX('AFA Rates'!$C$5:$C$1004,$T1056))))</f>
        <v/>
      </c>
      <c r="E1056" s="88">
        <f>IF($T1056="","",IF($S1056="S",IF(""="","",""),IF(INDEX('AFA Rates'!$D$5:$D$1004,$T1056)="","",INDEX('AFA Rates'!$D$5:$D$1004,$T1056))))</f>
        <v/>
      </c>
      <c r="F1056" s="79">
        <f>IF($T1056="","",IF($S1056="S",IF(INDEX(Firms!$O$5:$O$1004,$T1056)="","",INDEX(Firms!$O$5:$O$1004,$T1056)),IF(INDEX('AFA Rates'!$O$5:$O$1004,$T1056)="","",INDEX('AFA Rates'!$O$5:$O$1004,$T1056))))</f>
        <v/>
      </c>
      <c r="G1056" s="50">
        <f>IF($T1056="","",IF($S1056="S",IF(INDEX(Firms!$F$5:$F$1004,$T1056)="","",INDEX(Firms!$F$5:$F$1004,$T1056)),IF(INDEX('AFA Rates'!$E$5:$E$1004,$T1056)="","",INDEX('AFA Rates'!$E$5:$E$1004,$T1056))))</f>
        <v/>
      </c>
      <c r="H1056" s="50">
        <f>IF($T1056="","",IF($S1056="S",IF(INDEX(Firms!$G$5:$G$1004,$T1056)="","",INDEX(Firms!$G$5:$G$1004,$T1056)),IF(INDEX('AFA Rates'!$F$5:$F$1004,$T1056)="","",INDEX('AFA Rates'!$F$5:$F$1004,$T1056))))</f>
        <v/>
      </c>
      <c r="I1056" s="50">
        <f>IF($T1056="","",IF($S1056="S",IF(INDEX(Firms!$H$5:$H$1004,$T1056)="","",INDEX(Firms!$H$5:$H$1004,$T1056)),IF(INDEX('AFA Rates'!$G$5:$G$1004,$T1056)="","",INDEX('AFA Rates'!$G$5:$G$1004,$T1056))))</f>
        <v/>
      </c>
      <c r="J1056" s="50">
        <f>IF($T1056="","",IF($S1056="S",IF(INDEX(Firms!$I$5:$I$1004,$T1056)="","",INDEX(Firms!$I$5:$I$1004,$T1056)),IF(INDEX('AFA Rates'!$H$5:$H$1004,$T1056)="","",INDEX('AFA Rates'!$H$5:$H$1004,$T1056))))</f>
        <v/>
      </c>
      <c r="K1056" s="50">
        <f>IF($T1056="","",IF($S1056="S",IF(INDEX(Firms!$J$5:$J$1004,$T1056)="","",INDEX(Firms!$J$5:$J$1004,$T1056)),IF(INDEX('AFA Rates'!$I$5:$I$1004,$T1056)="","",INDEX('AFA Rates'!$I$5:$I$1004,$T1056))))</f>
        <v/>
      </c>
      <c r="L1056" s="50">
        <f>IF($T1056="","",IF($S1056="S",IF(INDEX(Firms!$K$5:$K$1004,$T1056)="","",INDEX(Firms!$K$5:$K$1004,$T1056)),IF(INDEX('AFA Rates'!$J$5:$J$1004,$T1056)="","",INDEX('AFA Rates'!$J$5:$J$1004,$T1056))))</f>
        <v/>
      </c>
      <c r="M1056" s="50">
        <f>IF($T1056="","",IF($S1056="S",IF(INDEX(Firms!$L$5:$L$1004,$T1056)="","",INDEX(Firms!$L$5:$L$1004,$T1056)),IF(INDEX('AFA Rates'!$K$5:$K$1004,$T1056)="","",INDEX('AFA Rates'!$K$5:$K$1004,$T1056))))</f>
        <v/>
      </c>
      <c r="N1056" s="50">
        <f>IF($T1056="","",IF($S1056="S",IF(INDEX(Firms!$M$5:$M$1004,$T1056)="","",INDEX(Firms!$M$5:$M$1004,$T1056)),IF(INDEX('AFA Rates'!$L$5:$L$1004,$T1056)="","",INDEX('AFA Rates'!$L$5:$L$1004,$T1056))))</f>
        <v/>
      </c>
      <c r="O1056" s="78">
        <f>IF(OR($T1056="",$U1056=""),"",IF(INDEX(Firms!$C$5:$C$1004,$U1056)="","",INDEX(Firms!$C$5:$C$1004,$U1056)))</f>
        <v/>
      </c>
      <c r="P1056" s="79">
        <f>IF(OR($T1056="",$U1056=""),"",IF(INDEX(Firms!$N$5:$N$1004,$U1056)="","",INDEX(Firms!$N$5:$N$1004,$U1056)))</f>
        <v/>
      </c>
      <c r="Q1056" s="78">
        <f>IF($T1056="","",IF($S1056="S",IF(INDEX(Firms!$T$5:$T$1004,$T1056)="","",INDEX(Firms!$T$5:$T$1004,$T1056)),IF(INDEX('AFA Rates'!$M$5:$M$1004,$T1056)="","",INDEX('AFA Rates'!$M$5:$M$1004,$T1056))))</f>
        <v/>
      </c>
      <c r="S1056">
        <f>IF(1052&lt;=$S$2,"S",IF(1052&lt;=$S$2+$T$2,"A",""))</f>
        <v/>
      </c>
      <c r="T1056">
        <f>IF(S1056="S",MATCH(1052,Firms!$W$5:$W$1004,0),IF(S1056="A",IFERROR(MATCH(1052-$S$2,'AFA Rates'!$R$5:$R$1004,0),""),""))</f>
        <v/>
      </c>
      <c r="U1056">
        <f>IF(S1056="S",T1056,IF(AND(S1056="A",T1056&lt;&gt;""),IFERROR(MATCH(INDEX('AFA Rates'!$A$5:$A$1004,T1056),Firms!$A$5:$A$1004,0),""),""))</f>
        <v/>
      </c>
    </row>
    <row r="1057">
      <c r="A1057" s="78">
        <f>IF($T1057="","",IF($S1057="S",IF(INDEX(Firms!$A$5:$A$1004,$T1057)="","",INDEX(Firms!$A$5:$A$1004,$T1057)),IF(INDEX('AFA Rates'!$A$5:$A$1004,$T1057)="","",INDEX('AFA Rates'!$A$5:$A$1004,$T1057))))</f>
        <v/>
      </c>
      <c r="B1057" s="79">
        <f>IF(OR($T1057="",$U1057=""),IF($T1057="","","Not on Firms tab"),INDEX(Firms!$B$5:$B$1004,$U1057)&amp;"")</f>
        <v/>
      </c>
      <c r="C1057" s="78">
        <f>IF($T1057="","",IF($S1057="S","Standard",INDEX('AFA Rates'!$B$5:$B$1004,$T1057)&amp;""))</f>
        <v/>
      </c>
      <c r="D1057" s="88">
        <f>IF($T1057="","",IF($S1057="S",IF(INDEX(Firms!$E$5:$E$1004,$T1057)="","",INDEX(Firms!$E$5:$E$1004,$T1057)),IF(INDEX('AFA Rates'!$C$5:$C$1004,$T1057)="","",INDEX('AFA Rates'!$C$5:$C$1004,$T1057))))</f>
        <v/>
      </c>
      <c r="E1057" s="88">
        <f>IF($T1057="","",IF($S1057="S",IF(""="","",""),IF(INDEX('AFA Rates'!$D$5:$D$1004,$T1057)="","",INDEX('AFA Rates'!$D$5:$D$1004,$T1057))))</f>
        <v/>
      </c>
      <c r="F1057" s="79">
        <f>IF($T1057="","",IF($S1057="S",IF(INDEX(Firms!$O$5:$O$1004,$T1057)="","",INDEX(Firms!$O$5:$O$1004,$T1057)),IF(INDEX('AFA Rates'!$O$5:$O$1004,$T1057)="","",INDEX('AFA Rates'!$O$5:$O$1004,$T1057))))</f>
        <v/>
      </c>
      <c r="G1057" s="50">
        <f>IF($T1057="","",IF($S1057="S",IF(INDEX(Firms!$F$5:$F$1004,$T1057)="","",INDEX(Firms!$F$5:$F$1004,$T1057)),IF(INDEX('AFA Rates'!$E$5:$E$1004,$T1057)="","",INDEX('AFA Rates'!$E$5:$E$1004,$T1057))))</f>
        <v/>
      </c>
      <c r="H1057" s="50">
        <f>IF($T1057="","",IF($S1057="S",IF(INDEX(Firms!$G$5:$G$1004,$T1057)="","",INDEX(Firms!$G$5:$G$1004,$T1057)),IF(INDEX('AFA Rates'!$F$5:$F$1004,$T1057)="","",INDEX('AFA Rates'!$F$5:$F$1004,$T1057))))</f>
        <v/>
      </c>
      <c r="I1057" s="50">
        <f>IF($T1057="","",IF($S1057="S",IF(INDEX(Firms!$H$5:$H$1004,$T1057)="","",INDEX(Firms!$H$5:$H$1004,$T1057)),IF(INDEX('AFA Rates'!$G$5:$G$1004,$T1057)="","",INDEX('AFA Rates'!$G$5:$G$1004,$T1057))))</f>
        <v/>
      </c>
      <c r="J1057" s="50">
        <f>IF($T1057="","",IF($S1057="S",IF(INDEX(Firms!$I$5:$I$1004,$T1057)="","",INDEX(Firms!$I$5:$I$1004,$T1057)),IF(INDEX('AFA Rates'!$H$5:$H$1004,$T1057)="","",INDEX('AFA Rates'!$H$5:$H$1004,$T1057))))</f>
        <v/>
      </c>
      <c r="K1057" s="50">
        <f>IF($T1057="","",IF($S1057="S",IF(INDEX(Firms!$J$5:$J$1004,$T1057)="","",INDEX(Firms!$J$5:$J$1004,$T1057)),IF(INDEX('AFA Rates'!$I$5:$I$1004,$T1057)="","",INDEX('AFA Rates'!$I$5:$I$1004,$T1057))))</f>
        <v/>
      </c>
      <c r="L1057" s="50">
        <f>IF($T1057="","",IF($S1057="S",IF(INDEX(Firms!$K$5:$K$1004,$T1057)="","",INDEX(Firms!$K$5:$K$1004,$T1057)),IF(INDEX('AFA Rates'!$J$5:$J$1004,$T1057)="","",INDEX('AFA Rates'!$J$5:$J$1004,$T1057))))</f>
        <v/>
      </c>
      <c r="M1057" s="50">
        <f>IF($T1057="","",IF($S1057="S",IF(INDEX(Firms!$L$5:$L$1004,$T1057)="","",INDEX(Firms!$L$5:$L$1004,$T1057)),IF(INDEX('AFA Rates'!$K$5:$K$1004,$T1057)="","",INDEX('AFA Rates'!$K$5:$K$1004,$T1057))))</f>
        <v/>
      </c>
      <c r="N1057" s="50">
        <f>IF($T1057="","",IF($S1057="S",IF(INDEX(Firms!$M$5:$M$1004,$T1057)="","",INDEX(Firms!$M$5:$M$1004,$T1057)),IF(INDEX('AFA Rates'!$L$5:$L$1004,$T1057)="","",INDEX('AFA Rates'!$L$5:$L$1004,$T1057))))</f>
        <v/>
      </c>
      <c r="O1057" s="78">
        <f>IF(OR($T1057="",$U1057=""),"",IF(INDEX(Firms!$C$5:$C$1004,$U1057)="","",INDEX(Firms!$C$5:$C$1004,$U1057)))</f>
        <v/>
      </c>
      <c r="P1057" s="79">
        <f>IF(OR($T1057="",$U1057=""),"",IF(INDEX(Firms!$N$5:$N$1004,$U1057)="","",INDEX(Firms!$N$5:$N$1004,$U1057)))</f>
        <v/>
      </c>
      <c r="Q1057" s="78">
        <f>IF($T1057="","",IF($S1057="S",IF(INDEX(Firms!$T$5:$T$1004,$T1057)="","",INDEX(Firms!$T$5:$T$1004,$T1057)),IF(INDEX('AFA Rates'!$M$5:$M$1004,$T1057)="","",INDEX('AFA Rates'!$M$5:$M$1004,$T1057))))</f>
        <v/>
      </c>
      <c r="S1057">
        <f>IF(1053&lt;=$S$2,"S",IF(1053&lt;=$S$2+$T$2,"A",""))</f>
        <v/>
      </c>
      <c r="T1057">
        <f>IF(S1057="S",MATCH(1053,Firms!$W$5:$W$1004,0),IF(S1057="A",IFERROR(MATCH(1053-$S$2,'AFA Rates'!$R$5:$R$1004,0),""),""))</f>
        <v/>
      </c>
      <c r="U1057">
        <f>IF(S1057="S",T1057,IF(AND(S1057="A",T1057&lt;&gt;""),IFERROR(MATCH(INDEX('AFA Rates'!$A$5:$A$1004,T1057),Firms!$A$5:$A$1004,0),""),""))</f>
        <v/>
      </c>
    </row>
    <row r="1058">
      <c r="A1058" s="78">
        <f>IF($T1058="","",IF($S1058="S",IF(INDEX(Firms!$A$5:$A$1004,$T1058)="","",INDEX(Firms!$A$5:$A$1004,$T1058)),IF(INDEX('AFA Rates'!$A$5:$A$1004,$T1058)="","",INDEX('AFA Rates'!$A$5:$A$1004,$T1058))))</f>
        <v/>
      </c>
      <c r="B1058" s="79">
        <f>IF(OR($T1058="",$U1058=""),IF($T1058="","","Not on Firms tab"),INDEX(Firms!$B$5:$B$1004,$U1058)&amp;"")</f>
        <v/>
      </c>
      <c r="C1058" s="78">
        <f>IF($T1058="","",IF($S1058="S","Standard",INDEX('AFA Rates'!$B$5:$B$1004,$T1058)&amp;""))</f>
        <v/>
      </c>
      <c r="D1058" s="88">
        <f>IF($T1058="","",IF($S1058="S",IF(INDEX(Firms!$E$5:$E$1004,$T1058)="","",INDEX(Firms!$E$5:$E$1004,$T1058)),IF(INDEX('AFA Rates'!$C$5:$C$1004,$T1058)="","",INDEX('AFA Rates'!$C$5:$C$1004,$T1058))))</f>
        <v/>
      </c>
      <c r="E1058" s="88">
        <f>IF($T1058="","",IF($S1058="S",IF(""="","",""),IF(INDEX('AFA Rates'!$D$5:$D$1004,$T1058)="","",INDEX('AFA Rates'!$D$5:$D$1004,$T1058))))</f>
        <v/>
      </c>
      <c r="F1058" s="79">
        <f>IF($T1058="","",IF($S1058="S",IF(INDEX(Firms!$O$5:$O$1004,$T1058)="","",INDEX(Firms!$O$5:$O$1004,$T1058)),IF(INDEX('AFA Rates'!$O$5:$O$1004,$T1058)="","",INDEX('AFA Rates'!$O$5:$O$1004,$T1058))))</f>
        <v/>
      </c>
      <c r="G1058" s="50">
        <f>IF($T1058="","",IF($S1058="S",IF(INDEX(Firms!$F$5:$F$1004,$T1058)="","",INDEX(Firms!$F$5:$F$1004,$T1058)),IF(INDEX('AFA Rates'!$E$5:$E$1004,$T1058)="","",INDEX('AFA Rates'!$E$5:$E$1004,$T1058))))</f>
        <v/>
      </c>
      <c r="H1058" s="50">
        <f>IF($T1058="","",IF($S1058="S",IF(INDEX(Firms!$G$5:$G$1004,$T1058)="","",INDEX(Firms!$G$5:$G$1004,$T1058)),IF(INDEX('AFA Rates'!$F$5:$F$1004,$T1058)="","",INDEX('AFA Rates'!$F$5:$F$1004,$T1058))))</f>
        <v/>
      </c>
      <c r="I1058" s="50">
        <f>IF($T1058="","",IF($S1058="S",IF(INDEX(Firms!$H$5:$H$1004,$T1058)="","",INDEX(Firms!$H$5:$H$1004,$T1058)),IF(INDEX('AFA Rates'!$G$5:$G$1004,$T1058)="","",INDEX('AFA Rates'!$G$5:$G$1004,$T1058))))</f>
        <v/>
      </c>
      <c r="J1058" s="50">
        <f>IF($T1058="","",IF($S1058="S",IF(INDEX(Firms!$I$5:$I$1004,$T1058)="","",INDEX(Firms!$I$5:$I$1004,$T1058)),IF(INDEX('AFA Rates'!$H$5:$H$1004,$T1058)="","",INDEX('AFA Rates'!$H$5:$H$1004,$T1058))))</f>
        <v/>
      </c>
      <c r="K1058" s="50">
        <f>IF($T1058="","",IF($S1058="S",IF(INDEX(Firms!$J$5:$J$1004,$T1058)="","",INDEX(Firms!$J$5:$J$1004,$T1058)),IF(INDEX('AFA Rates'!$I$5:$I$1004,$T1058)="","",INDEX('AFA Rates'!$I$5:$I$1004,$T1058))))</f>
        <v/>
      </c>
      <c r="L1058" s="50">
        <f>IF($T1058="","",IF($S1058="S",IF(INDEX(Firms!$K$5:$K$1004,$T1058)="","",INDEX(Firms!$K$5:$K$1004,$T1058)),IF(INDEX('AFA Rates'!$J$5:$J$1004,$T1058)="","",INDEX('AFA Rates'!$J$5:$J$1004,$T1058))))</f>
        <v/>
      </c>
      <c r="M1058" s="50">
        <f>IF($T1058="","",IF($S1058="S",IF(INDEX(Firms!$L$5:$L$1004,$T1058)="","",INDEX(Firms!$L$5:$L$1004,$T1058)),IF(INDEX('AFA Rates'!$K$5:$K$1004,$T1058)="","",INDEX('AFA Rates'!$K$5:$K$1004,$T1058))))</f>
        <v/>
      </c>
      <c r="N1058" s="50">
        <f>IF($T1058="","",IF($S1058="S",IF(INDEX(Firms!$M$5:$M$1004,$T1058)="","",INDEX(Firms!$M$5:$M$1004,$T1058)),IF(INDEX('AFA Rates'!$L$5:$L$1004,$T1058)="","",INDEX('AFA Rates'!$L$5:$L$1004,$T1058))))</f>
        <v/>
      </c>
      <c r="O1058" s="78">
        <f>IF(OR($T1058="",$U1058=""),"",IF(INDEX(Firms!$C$5:$C$1004,$U1058)="","",INDEX(Firms!$C$5:$C$1004,$U1058)))</f>
        <v/>
      </c>
      <c r="P1058" s="79">
        <f>IF(OR($T1058="",$U1058=""),"",IF(INDEX(Firms!$N$5:$N$1004,$U1058)="","",INDEX(Firms!$N$5:$N$1004,$U1058)))</f>
        <v/>
      </c>
      <c r="Q1058" s="78">
        <f>IF($T1058="","",IF($S1058="S",IF(INDEX(Firms!$T$5:$T$1004,$T1058)="","",INDEX(Firms!$T$5:$T$1004,$T1058)),IF(INDEX('AFA Rates'!$M$5:$M$1004,$T1058)="","",INDEX('AFA Rates'!$M$5:$M$1004,$T1058))))</f>
        <v/>
      </c>
      <c r="S1058">
        <f>IF(1054&lt;=$S$2,"S",IF(1054&lt;=$S$2+$T$2,"A",""))</f>
        <v/>
      </c>
      <c r="T1058">
        <f>IF(S1058="S",MATCH(1054,Firms!$W$5:$W$1004,0),IF(S1058="A",IFERROR(MATCH(1054-$S$2,'AFA Rates'!$R$5:$R$1004,0),""),""))</f>
        <v/>
      </c>
      <c r="U1058">
        <f>IF(S1058="S",T1058,IF(AND(S1058="A",T1058&lt;&gt;""),IFERROR(MATCH(INDEX('AFA Rates'!$A$5:$A$1004,T1058),Firms!$A$5:$A$1004,0),""),""))</f>
        <v/>
      </c>
    </row>
    <row r="1059">
      <c r="A1059" s="78">
        <f>IF($T1059="","",IF($S1059="S",IF(INDEX(Firms!$A$5:$A$1004,$T1059)="","",INDEX(Firms!$A$5:$A$1004,$T1059)),IF(INDEX('AFA Rates'!$A$5:$A$1004,$T1059)="","",INDEX('AFA Rates'!$A$5:$A$1004,$T1059))))</f>
        <v/>
      </c>
      <c r="B1059" s="79">
        <f>IF(OR($T1059="",$U1059=""),IF($T1059="","","Not on Firms tab"),INDEX(Firms!$B$5:$B$1004,$U1059)&amp;"")</f>
        <v/>
      </c>
      <c r="C1059" s="78">
        <f>IF($T1059="","",IF($S1059="S","Standard",INDEX('AFA Rates'!$B$5:$B$1004,$T1059)&amp;""))</f>
        <v/>
      </c>
      <c r="D1059" s="88">
        <f>IF($T1059="","",IF($S1059="S",IF(INDEX(Firms!$E$5:$E$1004,$T1059)="","",INDEX(Firms!$E$5:$E$1004,$T1059)),IF(INDEX('AFA Rates'!$C$5:$C$1004,$T1059)="","",INDEX('AFA Rates'!$C$5:$C$1004,$T1059))))</f>
        <v/>
      </c>
      <c r="E1059" s="88">
        <f>IF($T1059="","",IF($S1059="S",IF(""="","",""),IF(INDEX('AFA Rates'!$D$5:$D$1004,$T1059)="","",INDEX('AFA Rates'!$D$5:$D$1004,$T1059))))</f>
        <v/>
      </c>
      <c r="F1059" s="79">
        <f>IF($T1059="","",IF($S1059="S",IF(INDEX(Firms!$O$5:$O$1004,$T1059)="","",INDEX(Firms!$O$5:$O$1004,$T1059)),IF(INDEX('AFA Rates'!$O$5:$O$1004,$T1059)="","",INDEX('AFA Rates'!$O$5:$O$1004,$T1059))))</f>
        <v/>
      </c>
      <c r="G1059" s="50">
        <f>IF($T1059="","",IF($S1059="S",IF(INDEX(Firms!$F$5:$F$1004,$T1059)="","",INDEX(Firms!$F$5:$F$1004,$T1059)),IF(INDEX('AFA Rates'!$E$5:$E$1004,$T1059)="","",INDEX('AFA Rates'!$E$5:$E$1004,$T1059))))</f>
        <v/>
      </c>
      <c r="H1059" s="50">
        <f>IF($T1059="","",IF($S1059="S",IF(INDEX(Firms!$G$5:$G$1004,$T1059)="","",INDEX(Firms!$G$5:$G$1004,$T1059)),IF(INDEX('AFA Rates'!$F$5:$F$1004,$T1059)="","",INDEX('AFA Rates'!$F$5:$F$1004,$T1059))))</f>
        <v/>
      </c>
      <c r="I1059" s="50">
        <f>IF($T1059="","",IF($S1059="S",IF(INDEX(Firms!$H$5:$H$1004,$T1059)="","",INDEX(Firms!$H$5:$H$1004,$T1059)),IF(INDEX('AFA Rates'!$G$5:$G$1004,$T1059)="","",INDEX('AFA Rates'!$G$5:$G$1004,$T1059))))</f>
        <v/>
      </c>
      <c r="J1059" s="50">
        <f>IF($T1059="","",IF($S1059="S",IF(INDEX(Firms!$I$5:$I$1004,$T1059)="","",INDEX(Firms!$I$5:$I$1004,$T1059)),IF(INDEX('AFA Rates'!$H$5:$H$1004,$T1059)="","",INDEX('AFA Rates'!$H$5:$H$1004,$T1059))))</f>
        <v/>
      </c>
      <c r="K1059" s="50">
        <f>IF($T1059="","",IF($S1059="S",IF(INDEX(Firms!$J$5:$J$1004,$T1059)="","",INDEX(Firms!$J$5:$J$1004,$T1059)),IF(INDEX('AFA Rates'!$I$5:$I$1004,$T1059)="","",INDEX('AFA Rates'!$I$5:$I$1004,$T1059))))</f>
        <v/>
      </c>
      <c r="L1059" s="50">
        <f>IF($T1059="","",IF($S1059="S",IF(INDEX(Firms!$K$5:$K$1004,$T1059)="","",INDEX(Firms!$K$5:$K$1004,$T1059)),IF(INDEX('AFA Rates'!$J$5:$J$1004,$T1059)="","",INDEX('AFA Rates'!$J$5:$J$1004,$T1059))))</f>
        <v/>
      </c>
      <c r="M1059" s="50">
        <f>IF($T1059="","",IF($S1059="S",IF(INDEX(Firms!$L$5:$L$1004,$T1059)="","",INDEX(Firms!$L$5:$L$1004,$T1059)),IF(INDEX('AFA Rates'!$K$5:$K$1004,$T1059)="","",INDEX('AFA Rates'!$K$5:$K$1004,$T1059))))</f>
        <v/>
      </c>
      <c r="N1059" s="50">
        <f>IF($T1059="","",IF($S1059="S",IF(INDEX(Firms!$M$5:$M$1004,$T1059)="","",INDEX(Firms!$M$5:$M$1004,$T1059)),IF(INDEX('AFA Rates'!$L$5:$L$1004,$T1059)="","",INDEX('AFA Rates'!$L$5:$L$1004,$T1059))))</f>
        <v/>
      </c>
      <c r="O1059" s="78">
        <f>IF(OR($T1059="",$U1059=""),"",IF(INDEX(Firms!$C$5:$C$1004,$U1059)="","",INDEX(Firms!$C$5:$C$1004,$U1059)))</f>
        <v/>
      </c>
      <c r="P1059" s="79">
        <f>IF(OR($T1059="",$U1059=""),"",IF(INDEX(Firms!$N$5:$N$1004,$U1059)="","",INDEX(Firms!$N$5:$N$1004,$U1059)))</f>
        <v/>
      </c>
      <c r="Q1059" s="78">
        <f>IF($T1059="","",IF($S1059="S",IF(INDEX(Firms!$T$5:$T$1004,$T1059)="","",INDEX(Firms!$T$5:$T$1004,$T1059)),IF(INDEX('AFA Rates'!$M$5:$M$1004,$T1059)="","",INDEX('AFA Rates'!$M$5:$M$1004,$T1059))))</f>
        <v/>
      </c>
      <c r="S1059">
        <f>IF(1055&lt;=$S$2,"S",IF(1055&lt;=$S$2+$T$2,"A",""))</f>
        <v/>
      </c>
      <c r="T1059">
        <f>IF(S1059="S",MATCH(1055,Firms!$W$5:$W$1004,0),IF(S1059="A",IFERROR(MATCH(1055-$S$2,'AFA Rates'!$R$5:$R$1004,0),""),""))</f>
        <v/>
      </c>
      <c r="U1059">
        <f>IF(S1059="S",T1059,IF(AND(S1059="A",T1059&lt;&gt;""),IFERROR(MATCH(INDEX('AFA Rates'!$A$5:$A$1004,T1059),Firms!$A$5:$A$1004,0),""),""))</f>
        <v/>
      </c>
    </row>
    <row r="1060">
      <c r="A1060" s="78">
        <f>IF($T1060="","",IF($S1060="S",IF(INDEX(Firms!$A$5:$A$1004,$T1060)="","",INDEX(Firms!$A$5:$A$1004,$T1060)),IF(INDEX('AFA Rates'!$A$5:$A$1004,$T1060)="","",INDEX('AFA Rates'!$A$5:$A$1004,$T1060))))</f>
        <v/>
      </c>
      <c r="B1060" s="79">
        <f>IF(OR($T1060="",$U1060=""),IF($T1060="","","Not on Firms tab"),INDEX(Firms!$B$5:$B$1004,$U1060)&amp;"")</f>
        <v/>
      </c>
      <c r="C1060" s="78">
        <f>IF($T1060="","",IF($S1060="S","Standard",INDEX('AFA Rates'!$B$5:$B$1004,$T1060)&amp;""))</f>
        <v/>
      </c>
      <c r="D1060" s="88">
        <f>IF($T1060="","",IF($S1060="S",IF(INDEX(Firms!$E$5:$E$1004,$T1060)="","",INDEX(Firms!$E$5:$E$1004,$T1060)),IF(INDEX('AFA Rates'!$C$5:$C$1004,$T1060)="","",INDEX('AFA Rates'!$C$5:$C$1004,$T1060))))</f>
        <v/>
      </c>
      <c r="E1060" s="88">
        <f>IF($T1060="","",IF($S1060="S",IF(""="","",""),IF(INDEX('AFA Rates'!$D$5:$D$1004,$T1060)="","",INDEX('AFA Rates'!$D$5:$D$1004,$T1060))))</f>
        <v/>
      </c>
      <c r="F1060" s="79">
        <f>IF($T1060="","",IF($S1060="S",IF(INDEX(Firms!$O$5:$O$1004,$T1060)="","",INDEX(Firms!$O$5:$O$1004,$T1060)),IF(INDEX('AFA Rates'!$O$5:$O$1004,$T1060)="","",INDEX('AFA Rates'!$O$5:$O$1004,$T1060))))</f>
        <v/>
      </c>
      <c r="G1060" s="50">
        <f>IF($T1060="","",IF($S1060="S",IF(INDEX(Firms!$F$5:$F$1004,$T1060)="","",INDEX(Firms!$F$5:$F$1004,$T1060)),IF(INDEX('AFA Rates'!$E$5:$E$1004,$T1060)="","",INDEX('AFA Rates'!$E$5:$E$1004,$T1060))))</f>
        <v/>
      </c>
      <c r="H1060" s="50">
        <f>IF($T1060="","",IF($S1060="S",IF(INDEX(Firms!$G$5:$G$1004,$T1060)="","",INDEX(Firms!$G$5:$G$1004,$T1060)),IF(INDEX('AFA Rates'!$F$5:$F$1004,$T1060)="","",INDEX('AFA Rates'!$F$5:$F$1004,$T1060))))</f>
        <v/>
      </c>
      <c r="I1060" s="50">
        <f>IF($T1060="","",IF($S1060="S",IF(INDEX(Firms!$H$5:$H$1004,$T1060)="","",INDEX(Firms!$H$5:$H$1004,$T1060)),IF(INDEX('AFA Rates'!$G$5:$G$1004,$T1060)="","",INDEX('AFA Rates'!$G$5:$G$1004,$T1060))))</f>
        <v/>
      </c>
      <c r="J1060" s="50">
        <f>IF($T1060="","",IF($S1060="S",IF(INDEX(Firms!$I$5:$I$1004,$T1060)="","",INDEX(Firms!$I$5:$I$1004,$T1060)),IF(INDEX('AFA Rates'!$H$5:$H$1004,$T1060)="","",INDEX('AFA Rates'!$H$5:$H$1004,$T1060))))</f>
        <v/>
      </c>
      <c r="K1060" s="50">
        <f>IF($T1060="","",IF($S1060="S",IF(INDEX(Firms!$J$5:$J$1004,$T1060)="","",INDEX(Firms!$J$5:$J$1004,$T1060)),IF(INDEX('AFA Rates'!$I$5:$I$1004,$T1060)="","",INDEX('AFA Rates'!$I$5:$I$1004,$T1060))))</f>
        <v/>
      </c>
      <c r="L1060" s="50">
        <f>IF($T1060="","",IF($S1060="S",IF(INDEX(Firms!$K$5:$K$1004,$T1060)="","",INDEX(Firms!$K$5:$K$1004,$T1060)),IF(INDEX('AFA Rates'!$J$5:$J$1004,$T1060)="","",INDEX('AFA Rates'!$J$5:$J$1004,$T1060))))</f>
        <v/>
      </c>
      <c r="M1060" s="50">
        <f>IF($T1060="","",IF($S1060="S",IF(INDEX(Firms!$L$5:$L$1004,$T1060)="","",INDEX(Firms!$L$5:$L$1004,$T1060)),IF(INDEX('AFA Rates'!$K$5:$K$1004,$T1060)="","",INDEX('AFA Rates'!$K$5:$K$1004,$T1060))))</f>
        <v/>
      </c>
      <c r="N1060" s="50">
        <f>IF($T1060="","",IF($S1060="S",IF(INDEX(Firms!$M$5:$M$1004,$T1060)="","",INDEX(Firms!$M$5:$M$1004,$T1060)),IF(INDEX('AFA Rates'!$L$5:$L$1004,$T1060)="","",INDEX('AFA Rates'!$L$5:$L$1004,$T1060))))</f>
        <v/>
      </c>
      <c r="O1060" s="78">
        <f>IF(OR($T1060="",$U1060=""),"",IF(INDEX(Firms!$C$5:$C$1004,$U1060)="","",INDEX(Firms!$C$5:$C$1004,$U1060)))</f>
        <v/>
      </c>
      <c r="P1060" s="79">
        <f>IF(OR($T1060="",$U1060=""),"",IF(INDEX(Firms!$N$5:$N$1004,$U1060)="","",INDEX(Firms!$N$5:$N$1004,$U1060)))</f>
        <v/>
      </c>
      <c r="Q1060" s="78">
        <f>IF($T1060="","",IF($S1060="S",IF(INDEX(Firms!$T$5:$T$1004,$T1060)="","",INDEX(Firms!$T$5:$T$1004,$T1060)),IF(INDEX('AFA Rates'!$M$5:$M$1004,$T1060)="","",INDEX('AFA Rates'!$M$5:$M$1004,$T1060))))</f>
        <v/>
      </c>
      <c r="S1060">
        <f>IF(1056&lt;=$S$2,"S",IF(1056&lt;=$S$2+$T$2,"A",""))</f>
        <v/>
      </c>
      <c r="T1060">
        <f>IF(S1060="S",MATCH(1056,Firms!$W$5:$W$1004,0),IF(S1060="A",IFERROR(MATCH(1056-$S$2,'AFA Rates'!$R$5:$R$1004,0),""),""))</f>
        <v/>
      </c>
      <c r="U1060">
        <f>IF(S1060="S",T1060,IF(AND(S1060="A",T1060&lt;&gt;""),IFERROR(MATCH(INDEX('AFA Rates'!$A$5:$A$1004,T1060),Firms!$A$5:$A$1004,0),""),""))</f>
        <v/>
      </c>
    </row>
    <row r="1061">
      <c r="A1061" s="78">
        <f>IF($T1061="","",IF($S1061="S",IF(INDEX(Firms!$A$5:$A$1004,$T1061)="","",INDEX(Firms!$A$5:$A$1004,$T1061)),IF(INDEX('AFA Rates'!$A$5:$A$1004,$T1061)="","",INDEX('AFA Rates'!$A$5:$A$1004,$T1061))))</f>
        <v/>
      </c>
      <c r="B1061" s="79">
        <f>IF(OR($T1061="",$U1061=""),IF($T1061="","","Not on Firms tab"),INDEX(Firms!$B$5:$B$1004,$U1061)&amp;"")</f>
        <v/>
      </c>
      <c r="C1061" s="78">
        <f>IF($T1061="","",IF($S1061="S","Standard",INDEX('AFA Rates'!$B$5:$B$1004,$T1061)&amp;""))</f>
        <v/>
      </c>
      <c r="D1061" s="88">
        <f>IF($T1061="","",IF($S1061="S",IF(INDEX(Firms!$E$5:$E$1004,$T1061)="","",INDEX(Firms!$E$5:$E$1004,$T1061)),IF(INDEX('AFA Rates'!$C$5:$C$1004,$T1061)="","",INDEX('AFA Rates'!$C$5:$C$1004,$T1061))))</f>
        <v/>
      </c>
      <c r="E1061" s="88">
        <f>IF($T1061="","",IF($S1061="S",IF(""="","",""),IF(INDEX('AFA Rates'!$D$5:$D$1004,$T1061)="","",INDEX('AFA Rates'!$D$5:$D$1004,$T1061))))</f>
        <v/>
      </c>
      <c r="F1061" s="79">
        <f>IF($T1061="","",IF($S1061="S",IF(INDEX(Firms!$O$5:$O$1004,$T1061)="","",INDEX(Firms!$O$5:$O$1004,$T1061)),IF(INDEX('AFA Rates'!$O$5:$O$1004,$T1061)="","",INDEX('AFA Rates'!$O$5:$O$1004,$T1061))))</f>
        <v/>
      </c>
      <c r="G1061" s="50">
        <f>IF($T1061="","",IF($S1061="S",IF(INDEX(Firms!$F$5:$F$1004,$T1061)="","",INDEX(Firms!$F$5:$F$1004,$T1061)),IF(INDEX('AFA Rates'!$E$5:$E$1004,$T1061)="","",INDEX('AFA Rates'!$E$5:$E$1004,$T1061))))</f>
        <v/>
      </c>
      <c r="H1061" s="50">
        <f>IF($T1061="","",IF($S1061="S",IF(INDEX(Firms!$G$5:$G$1004,$T1061)="","",INDEX(Firms!$G$5:$G$1004,$T1061)),IF(INDEX('AFA Rates'!$F$5:$F$1004,$T1061)="","",INDEX('AFA Rates'!$F$5:$F$1004,$T1061))))</f>
        <v/>
      </c>
      <c r="I1061" s="50">
        <f>IF($T1061="","",IF($S1061="S",IF(INDEX(Firms!$H$5:$H$1004,$T1061)="","",INDEX(Firms!$H$5:$H$1004,$T1061)),IF(INDEX('AFA Rates'!$G$5:$G$1004,$T1061)="","",INDEX('AFA Rates'!$G$5:$G$1004,$T1061))))</f>
        <v/>
      </c>
      <c r="J1061" s="50">
        <f>IF($T1061="","",IF($S1061="S",IF(INDEX(Firms!$I$5:$I$1004,$T1061)="","",INDEX(Firms!$I$5:$I$1004,$T1061)),IF(INDEX('AFA Rates'!$H$5:$H$1004,$T1061)="","",INDEX('AFA Rates'!$H$5:$H$1004,$T1061))))</f>
        <v/>
      </c>
      <c r="K1061" s="50">
        <f>IF($T1061="","",IF($S1061="S",IF(INDEX(Firms!$J$5:$J$1004,$T1061)="","",INDEX(Firms!$J$5:$J$1004,$T1061)),IF(INDEX('AFA Rates'!$I$5:$I$1004,$T1061)="","",INDEX('AFA Rates'!$I$5:$I$1004,$T1061))))</f>
        <v/>
      </c>
      <c r="L1061" s="50">
        <f>IF($T1061="","",IF($S1061="S",IF(INDEX(Firms!$K$5:$K$1004,$T1061)="","",INDEX(Firms!$K$5:$K$1004,$T1061)),IF(INDEX('AFA Rates'!$J$5:$J$1004,$T1061)="","",INDEX('AFA Rates'!$J$5:$J$1004,$T1061))))</f>
        <v/>
      </c>
      <c r="M1061" s="50">
        <f>IF($T1061="","",IF($S1061="S",IF(INDEX(Firms!$L$5:$L$1004,$T1061)="","",INDEX(Firms!$L$5:$L$1004,$T1061)),IF(INDEX('AFA Rates'!$K$5:$K$1004,$T1061)="","",INDEX('AFA Rates'!$K$5:$K$1004,$T1061))))</f>
        <v/>
      </c>
      <c r="N1061" s="50">
        <f>IF($T1061="","",IF($S1061="S",IF(INDEX(Firms!$M$5:$M$1004,$T1061)="","",INDEX(Firms!$M$5:$M$1004,$T1061)),IF(INDEX('AFA Rates'!$L$5:$L$1004,$T1061)="","",INDEX('AFA Rates'!$L$5:$L$1004,$T1061))))</f>
        <v/>
      </c>
      <c r="O1061" s="78">
        <f>IF(OR($T1061="",$U1061=""),"",IF(INDEX(Firms!$C$5:$C$1004,$U1061)="","",INDEX(Firms!$C$5:$C$1004,$U1061)))</f>
        <v/>
      </c>
      <c r="P1061" s="79">
        <f>IF(OR($T1061="",$U1061=""),"",IF(INDEX(Firms!$N$5:$N$1004,$U1061)="","",INDEX(Firms!$N$5:$N$1004,$U1061)))</f>
        <v/>
      </c>
      <c r="Q1061" s="78">
        <f>IF($T1061="","",IF($S1061="S",IF(INDEX(Firms!$T$5:$T$1004,$T1061)="","",INDEX(Firms!$T$5:$T$1004,$T1061)),IF(INDEX('AFA Rates'!$M$5:$M$1004,$T1061)="","",INDEX('AFA Rates'!$M$5:$M$1004,$T1061))))</f>
        <v/>
      </c>
      <c r="S1061">
        <f>IF(1057&lt;=$S$2,"S",IF(1057&lt;=$S$2+$T$2,"A",""))</f>
        <v/>
      </c>
      <c r="T1061">
        <f>IF(S1061="S",MATCH(1057,Firms!$W$5:$W$1004,0),IF(S1061="A",IFERROR(MATCH(1057-$S$2,'AFA Rates'!$R$5:$R$1004,0),""),""))</f>
        <v/>
      </c>
      <c r="U1061">
        <f>IF(S1061="S",T1061,IF(AND(S1061="A",T1061&lt;&gt;""),IFERROR(MATCH(INDEX('AFA Rates'!$A$5:$A$1004,T1061),Firms!$A$5:$A$1004,0),""),""))</f>
        <v/>
      </c>
    </row>
    <row r="1062">
      <c r="A1062" s="78">
        <f>IF($T1062="","",IF($S1062="S",IF(INDEX(Firms!$A$5:$A$1004,$T1062)="","",INDEX(Firms!$A$5:$A$1004,$T1062)),IF(INDEX('AFA Rates'!$A$5:$A$1004,$T1062)="","",INDEX('AFA Rates'!$A$5:$A$1004,$T1062))))</f>
        <v/>
      </c>
      <c r="B1062" s="79">
        <f>IF(OR($T1062="",$U1062=""),IF($T1062="","","Not on Firms tab"),INDEX(Firms!$B$5:$B$1004,$U1062)&amp;"")</f>
        <v/>
      </c>
      <c r="C1062" s="78">
        <f>IF($T1062="","",IF($S1062="S","Standard",INDEX('AFA Rates'!$B$5:$B$1004,$T1062)&amp;""))</f>
        <v/>
      </c>
      <c r="D1062" s="88">
        <f>IF($T1062="","",IF($S1062="S",IF(INDEX(Firms!$E$5:$E$1004,$T1062)="","",INDEX(Firms!$E$5:$E$1004,$T1062)),IF(INDEX('AFA Rates'!$C$5:$C$1004,$T1062)="","",INDEX('AFA Rates'!$C$5:$C$1004,$T1062))))</f>
        <v/>
      </c>
      <c r="E1062" s="88">
        <f>IF($T1062="","",IF($S1062="S",IF(""="","",""),IF(INDEX('AFA Rates'!$D$5:$D$1004,$T1062)="","",INDEX('AFA Rates'!$D$5:$D$1004,$T1062))))</f>
        <v/>
      </c>
      <c r="F1062" s="79">
        <f>IF($T1062="","",IF($S1062="S",IF(INDEX(Firms!$O$5:$O$1004,$T1062)="","",INDEX(Firms!$O$5:$O$1004,$T1062)),IF(INDEX('AFA Rates'!$O$5:$O$1004,$T1062)="","",INDEX('AFA Rates'!$O$5:$O$1004,$T1062))))</f>
        <v/>
      </c>
      <c r="G1062" s="50">
        <f>IF($T1062="","",IF($S1062="S",IF(INDEX(Firms!$F$5:$F$1004,$T1062)="","",INDEX(Firms!$F$5:$F$1004,$T1062)),IF(INDEX('AFA Rates'!$E$5:$E$1004,$T1062)="","",INDEX('AFA Rates'!$E$5:$E$1004,$T1062))))</f>
        <v/>
      </c>
      <c r="H1062" s="50">
        <f>IF($T1062="","",IF($S1062="S",IF(INDEX(Firms!$G$5:$G$1004,$T1062)="","",INDEX(Firms!$G$5:$G$1004,$T1062)),IF(INDEX('AFA Rates'!$F$5:$F$1004,$T1062)="","",INDEX('AFA Rates'!$F$5:$F$1004,$T1062))))</f>
        <v/>
      </c>
      <c r="I1062" s="50">
        <f>IF($T1062="","",IF($S1062="S",IF(INDEX(Firms!$H$5:$H$1004,$T1062)="","",INDEX(Firms!$H$5:$H$1004,$T1062)),IF(INDEX('AFA Rates'!$G$5:$G$1004,$T1062)="","",INDEX('AFA Rates'!$G$5:$G$1004,$T1062))))</f>
        <v/>
      </c>
      <c r="J1062" s="50">
        <f>IF($T1062="","",IF($S1062="S",IF(INDEX(Firms!$I$5:$I$1004,$T1062)="","",INDEX(Firms!$I$5:$I$1004,$T1062)),IF(INDEX('AFA Rates'!$H$5:$H$1004,$T1062)="","",INDEX('AFA Rates'!$H$5:$H$1004,$T1062))))</f>
        <v/>
      </c>
      <c r="K1062" s="50">
        <f>IF($T1062="","",IF($S1062="S",IF(INDEX(Firms!$J$5:$J$1004,$T1062)="","",INDEX(Firms!$J$5:$J$1004,$T1062)),IF(INDEX('AFA Rates'!$I$5:$I$1004,$T1062)="","",INDEX('AFA Rates'!$I$5:$I$1004,$T1062))))</f>
        <v/>
      </c>
      <c r="L1062" s="50">
        <f>IF($T1062="","",IF($S1062="S",IF(INDEX(Firms!$K$5:$K$1004,$T1062)="","",INDEX(Firms!$K$5:$K$1004,$T1062)),IF(INDEX('AFA Rates'!$J$5:$J$1004,$T1062)="","",INDEX('AFA Rates'!$J$5:$J$1004,$T1062))))</f>
        <v/>
      </c>
      <c r="M1062" s="50">
        <f>IF($T1062="","",IF($S1062="S",IF(INDEX(Firms!$L$5:$L$1004,$T1062)="","",INDEX(Firms!$L$5:$L$1004,$T1062)),IF(INDEX('AFA Rates'!$K$5:$K$1004,$T1062)="","",INDEX('AFA Rates'!$K$5:$K$1004,$T1062))))</f>
        <v/>
      </c>
      <c r="N1062" s="50">
        <f>IF($T1062="","",IF($S1062="S",IF(INDEX(Firms!$M$5:$M$1004,$T1062)="","",INDEX(Firms!$M$5:$M$1004,$T1062)),IF(INDEX('AFA Rates'!$L$5:$L$1004,$T1062)="","",INDEX('AFA Rates'!$L$5:$L$1004,$T1062))))</f>
        <v/>
      </c>
      <c r="O1062" s="78">
        <f>IF(OR($T1062="",$U1062=""),"",IF(INDEX(Firms!$C$5:$C$1004,$U1062)="","",INDEX(Firms!$C$5:$C$1004,$U1062)))</f>
        <v/>
      </c>
      <c r="P1062" s="79">
        <f>IF(OR($T1062="",$U1062=""),"",IF(INDEX(Firms!$N$5:$N$1004,$U1062)="","",INDEX(Firms!$N$5:$N$1004,$U1062)))</f>
        <v/>
      </c>
      <c r="Q1062" s="78">
        <f>IF($T1062="","",IF($S1062="S",IF(INDEX(Firms!$T$5:$T$1004,$T1062)="","",INDEX(Firms!$T$5:$T$1004,$T1062)),IF(INDEX('AFA Rates'!$M$5:$M$1004,$T1062)="","",INDEX('AFA Rates'!$M$5:$M$1004,$T1062))))</f>
        <v/>
      </c>
      <c r="S1062">
        <f>IF(1058&lt;=$S$2,"S",IF(1058&lt;=$S$2+$T$2,"A",""))</f>
        <v/>
      </c>
      <c r="T1062">
        <f>IF(S1062="S",MATCH(1058,Firms!$W$5:$W$1004,0),IF(S1062="A",IFERROR(MATCH(1058-$S$2,'AFA Rates'!$R$5:$R$1004,0),""),""))</f>
        <v/>
      </c>
      <c r="U1062">
        <f>IF(S1062="S",T1062,IF(AND(S1062="A",T1062&lt;&gt;""),IFERROR(MATCH(INDEX('AFA Rates'!$A$5:$A$1004,T1062),Firms!$A$5:$A$1004,0),""),""))</f>
        <v/>
      </c>
    </row>
    <row r="1063">
      <c r="A1063" s="78">
        <f>IF($T1063="","",IF($S1063="S",IF(INDEX(Firms!$A$5:$A$1004,$T1063)="","",INDEX(Firms!$A$5:$A$1004,$T1063)),IF(INDEX('AFA Rates'!$A$5:$A$1004,$T1063)="","",INDEX('AFA Rates'!$A$5:$A$1004,$T1063))))</f>
        <v/>
      </c>
      <c r="B1063" s="79">
        <f>IF(OR($T1063="",$U1063=""),IF($T1063="","","Not on Firms tab"),INDEX(Firms!$B$5:$B$1004,$U1063)&amp;"")</f>
        <v/>
      </c>
      <c r="C1063" s="78">
        <f>IF($T1063="","",IF($S1063="S","Standard",INDEX('AFA Rates'!$B$5:$B$1004,$T1063)&amp;""))</f>
        <v/>
      </c>
      <c r="D1063" s="88">
        <f>IF($T1063="","",IF($S1063="S",IF(INDEX(Firms!$E$5:$E$1004,$T1063)="","",INDEX(Firms!$E$5:$E$1004,$T1063)),IF(INDEX('AFA Rates'!$C$5:$C$1004,$T1063)="","",INDEX('AFA Rates'!$C$5:$C$1004,$T1063))))</f>
        <v/>
      </c>
      <c r="E1063" s="88">
        <f>IF($T1063="","",IF($S1063="S",IF(""="","",""),IF(INDEX('AFA Rates'!$D$5:$D$1004,$T1063)="","",INDEX('AFA Rates'!$D$5:$D$1004,$T1063))))</f>
        <v/>
      </c>
      <c r="F1063" s="79">
        <f>IF($T1063="","",IF($S1063="S",IF(INDEX(Firms!$O$5:$O$1004,$T1063)="","",INDEX(Firms!$O$5:$O$1004,$T1063)),IF(INDEX('AFA Rates'!$O$5:$O$1004,$T1063)="","",INDEX('AFA Rates'!$O$5:$O$1004,$T1063))))</f>
        <v/>
      </c>
      <c r="G1063" s="50">
        <f>IF($T1063="","",IF($S1063="S",IF(INDEX(Firms!$F$5:$F$1004,$T1063)="","",INDEX(Firms!$F$5:$F$1004,$T1063)),IF(INDEX('AFA Rates'!$E$5:$E$1004,$T1063)="","",INDEX('AFA Rates'!$E$5:$E$1004,$T1063))))</f>
        <v/>
      </c>
      <c r="H1063" s="50">
        <f>IF($T1063="","",IF($S1063="S",IF(INDEX(Firms!$G$5:$G$1004,$T1063)="","",INDEX(Firms!$G$5:$G$1004,$T1063)),IF(INDEX('AFA Rates'!$F$5:$F$1004,$T1063)="","",INDEX('AFA Rates'!$F$5:$F$1004,$T1063))))</f>
        <v/>
      </c>
      <c r="I1063" s="50">
        <f>IF($T1063="","",IF($S1063="S",IF(INDEX(Firms!$H$5:$H$1004,$T1063)="","",INDEX(Firms!$H$5:$H$1004,$T1063)),IF(INDEX('AFA Rates'!$G$5:$G$1004,$T1063)="","",INDEX('AFA Rates'!$G$5:$G$1004,$T1063))))</f>
        <v/>
      </c>
      <c r="J1063" s="50">
        <f>IF($T1063="","",IF($S1063="S",IF(INDEX(Firms!$I$5:$I$1004,$T1063)="","",INDEX(Firms!$I$5:$I$1004,$T1063)),IF(INDEX('AFA Rates'!$H$5:$H$1004,$T1063)="","",INDEX('AFA Rates'!$H$5:$H$1004,$T1063))))</f>
        <v/>
      </c>
      <c r="K1063" s="50">
        <f>IF($T1063="","",IF($S1063="S",IF(INDEX(Firms!$J$5:$J$1004,$T1063)="","",INDEX(Firms!$J$5:$J$1004,$T1063)),IF(INDEX('AFA Rates'!$I$5:$I$1004,$T1063)="","",INDEX('AFA Rates'!$I$5:$I$1004,$T1063))))</f>
        <v/>
      </c>
      <c r="L1063" s="50">
        <f>IF($T1063="","",IF($S1063="S",IF(INDEX(Firms!$K$5:$K$1004,$T1063)="","",INDEX(Firms!$K$5:$K$1004,$T1063)),IF(INDEX('AFA Rates'!$J$5:$J$1004,$T1063)="","",INDEX('AFA Rates'!$J$5:$J$1004,$T1063))))</f>
        <v/>
      </c>
      <c r="M1063" s="50">
        <f>IF($T1063="","",IF($S1063="S",IF(INDEX(Firms!$L$5:$L$1004,$T1063)="","",INDEX(Firms!$L$5:$L$1004,$T1063)),IF(INDEX('AFA Rates'!$K$5:$K$1004,$T1063)="","",INDEX('AFA Rates'!$K$5:$K$1004,$T1063))))</f>
        <v/>
      </c>
      <c r="N1063" s="50">
        <f>IF($T1063="","",IF($S1063="S",IF(INDEX(Firms!$M$5:$M$1004,$T1063)="","",INDEX(Firms!$M$5:$M$1004,$T1063)),IF(INDEX('AFA Rates'!$L$5:$L$1004,$T1063)="","",INDEX('AFA Rates'!$L$5:$L$1004,$T1063))))</f>
        <v/>
      </c>
      <c r="O1063" s="78">
        <f>IF(OR($T1063="",$U1063=""),"",IF(INDEX(Firms!$C$5:$C$1004,$U1063)="","",INDEX(Firms!$C$5:$C$1004,$U1063)))</f>
        <v/>
      </c>
      <c r="P1063" s="79">
        <f>IF(OR($T1063="",$U1063=""),"",IF(INDEX(Firms!$N$5:$N$1004,$U1063)="","",INDEX(Firms!$N$5:$N$1004,$U1063)))</f>
        <v/>
      </c>
      <c r="Q1063" s="78">
        <f>IF($T1063="","",IF($S1063="S",IF(INDEX(Firms!$T$5:$T$1004,$T1063)="","",INDEX(Firms!$T$5:$T$1004,$T1063)),IF(INDEX('AFA Rates'!$M$5:$M$1004,$T1063)="","",INDEX('AFA Rates'!$M$5:$M$1004,$T1063))))</f>
        <v/>
      </c>
      <c r="S1063">
        <f>IF(1059&lt;=$S$2,"S",IF(1059&lt;=$S$2+$T$2,"A",""))</f>
        <v/>
      </c>
      <c r="T1063">
        <f>IF(S1063="S",MATCH(1059,Firms!$W$5:$W$1004,0),IF(S1063="A",IFERROR(MATCH(1059-$S$2,'AFA Rates'!$R$5:$R$1004,0),""),""))</f>
        <v/>
      </c>
      <c r="U1063">
        <f>IF(S1063="S",T1063,IF(AND(S1063="A",T1063&lt;&gt;""),IFERROR(MATCH(INDEX('AFA Rates'!$A$5:$A$1004,T1063),Firms!$A$5:$A$1004,0),""),""))</f>
        <v/>
      </c>
    </row>
    <row r="1064">
      <c r="A1064" s="78">
        <f>IF($T1064="","",IF($S1064="S",IF(INDEX(Firms!$A$5:$A$1004,$T1064)="","",INDEX(Firms!$A$5:$A$1004,$T1064)),IF(INDEX('AFA Rates'!$A$5:$A$1004,$T1064)="","",INDEX('AFA Rates'!$A$5:$A$1004,$T1064))))</f>
        <v/>
      </c>
      <c r="B1064" s="79">
        <f>IF(OR($T1064="",$U1064=""),IF($T1064="","","Not on Firms tab"),INDEX(Firms!$B$5:$B$1004,$U1064)&amp;"")</f>
        <v/>
      </c>
      <c r="C1064" s="78">
        <f>IF($T1064="","",IF($S1064="S","Standard",INDEX('AFA Rates'!$B$5:$B$1004,$T1064)&amp;""))</f>
        <v/>
      </c>
      <c r="D1064" s="88">
        <f>IF($T1064="","",IF($S1064="S",IF(INDEX(Firms!$E$5:$E$1004,$T1064)="","",INDEX(Firms!$E$5:$E$1004,$T1064)),IF(INDEX('AFA Rates'!$C$5:$C$1004,$T1064)="","",INDEX('AFA Rates'!$C$5:$C$1004,$T1064))))</f>
        <v/>
      </c>
      <c r="E1064" s="88">
        <f>IF($T1064="","",IF($S1064="S",IF(""="","",""),IF(INDEX('AFA Rates'!$D$5:$D$1004,$T1064)="","",INDEX('AFA Rates'!$D$5:$D$1004,$T1064))))</f>
        <v/>
      </c>
      <c r="F1064" s="79">
        <f>IF($T1064="","",IF($S1064="S",IF(INDEX(Firms!$O$5:$O$1004,$T1064)="","",INDEX(Firms!$O$5:$O$1004,$T1064)),IF(INDEX('AFA Rates'!$O$5:$O$1004,$T1064)="","",INDEX('AFA Rates'!$O$5:$O$1004,$T1064))))</f>
        <v/>
      </c>
      <c r="G1064" s="50">
        <f>IF($T1064="","",IF($S1064="S",IF(INDEX(Firms!$F$5:$F$1004,$T1064)="","",INDEX(Firms!$F$5:$F$1004,$T1064)),IF(INDEX('AFA Rates'!$E$5:$E$1004,$T1064)="","",INDEX('AFA Rates'!$E$5:$E$1004,$T1064))))</f>
        <v/>
      </c>
      <c r="H1064" s="50">
        <f>IF($T1064="","",IF($S1064="S",IF(INDEX(Firms!$G$5:$G$1004,$T1064)="","",INDEX(Firms!$G$5:$G$1004,$T1064)),IF(INDEX('AFA Rates'!$F$5:$F$1004,$T1064)="","",INDEX('AFA Rates'!$F$5:$F$1004,$T1064))))</f>
        <v/>
      </c>
      <c r="I1064" s="50">
        <f>IF($T1064="","",IF($S1064="S",IF(INDEX(Firms!$H$5:$H$1004,$T1064)="","",INDEX(Firms!$H$5:$H$1004,$T1064)),IF(INDEX('AFA Rates'!$G$5:$G$1004,$T1064)="","",INDEX('AFA Rates'!$G$5:$G$1004,$T1064))))</f>
        <v/>
      </c>
      <c r="J1064" s="50">
        <f>IF($T1064="","",IF($S1064="S",IF(INDEX(Firms!$I$5:$I$1004,$T1064)="","",INDEX(Firms!$I$5:$I$1004,$T1064)),IF(INDEX('AFA Rates'!$H$5:$H$1004,$T1064)="","",INDEX('AFA Rates'!$H$5:$H$1004,$T1064))))</f>
        <v/>
      </c>
      <c r="K1064" s="50">
        <f>IF($T1064="","",IF($S1064="S",IF(INDEX(Firms!$J$5:$J$1004,$T1064)="","",INDEX(Firms!$J$5:$J$1004,$T1064)),IF(INDEX('AFA Rates'!$I$5:$I$1004,$T1064)="","",INDEX('AFA Rates'!$I$5:$I$1004,$T1064))))</f>
        <v/>
      </c>
      <c r="L1064" s="50">
        <f>IF($T1064="","",IF($S1064="S",IF(INDEX(Firms!$K$5:$K$1004,$T1064)="","",INDEX(Firms!$K$5:$K$1004,$T1064)),IF(INDEX('AFA Rates'!$J$5:$J$1004,$T1064)="","",INDEX('AFA Rates'!$J$5:$J$1004,$T1064))))</f>
        <v/>
      </c>
      <c r="M1064" s="50">
        <f>IF($T1064="","",IF($S1064="S",IF(INDEX(Firms!$L$5:$L$1004,$T1064)="","",INDEX(Firms!$L$5:$L$1004,$T1064)),IF(INDEX('AFA Rates'!$K$5:$K$1004,$T1064)="","",INDEX('AFA Rates'!$K$5:$K$1004,$T1064))))</f>
        <v/>
      </c>
      <c r="N1064" s="50">
        <f>IF($T1064="","",IF($S1064="S",IF(INDEX(Firms!$M$5:$M$1004,$T1064)="","",INDEX(Firms!$M$5:$M$1004,$T1064)),IF(INDEX('AFA Rates'!$L$5:$L$1004,$T1064)="","",INDEX('AFA Rates'!$L$5:$L$1004,$T1064))))</f>
        <v/>
      </c>
      <c r="O1064" s="78">
        <f>IF(OR($T1064="",$U1064=""),"",IF(INDEX(Firms!$C$5:$C$1004,$U1064)="","",INDEX(Firms!$C$5:$C$1004,$U1064)))</f>
        <v/>
      </c>
      <c r="P1064" s="79">
        <f>IF(OR($T1064="",$U1064=""),"",IF(INDEX(Firms!$N$5:$N$1004,$U1064)="","",INDEX(Firms!$N$5:$N$1004,$U1064)))</f>
        <v/>
      </c>
      <c r="Q1064" s="78">
        <f>IF($T1064="","",IF($S1064="S",IF(INDEX(Firms!$T$5:$T$1004,$T1064)="","",INDEX(Firms!$T$5:$T$1004,$T1064)),IF(INDEX('AFA Rates'!$M$5:$M$1004,$T1064)="","",INDEX('AFA Rates'!$M$5:$M$1004,$T1064))))</f>
        <v/>
      </c>
      <c r="S1064">
        <f>IF(1060&lt;=$S$2,"S",IF(1060&lt;=$S$2+$T$2,"A",""))</f>
        <v/>
      </c>
      <c r="T1064">
        <f>IF(S1064="S",MATCH(1060,Firms!$W$5:$W$1004,0),IF(S1064="A",IFERROR(MATCH(1060-$S$2,'AFA Rates'!$R$5:$R$1004,0),""),""))</f>
        <v/>
      </c>
      <c r="U1064">
        <f>IF(S1064="S",T1064,IF(AND(S1064="A",T1064&lt;&gt;""),IFERROR(MATCH(INDEX('AFA Rates'!$A$5:$A$1004,T1064),Firms!$A$5:$A$1004,0),""),""))</f>
        <v/>
      </c>
    </row>
    <row r="1065">
      <c r="A1065" s="78">
        <f>IF($T1065="","",IF($S1065="S",IF(INDEX(Firms!$A$5:$A$1004,$T1065)="","",INDEX(Firms!$A$5:$A$1004,$T1065)),IF(INDEX('AFA Rates'!$A$5:$A$1004,$T1065)="","",INDEX('AFA Rates'!$A$5:$A$1004,$T1065))))</f>
        <v/>
      </c>
      <c r="B1065" s="79">
        <f>IF(OR($T1065="",$U1065=""),IF($T1065="","","Not on Firms tab"),INDEX(Firms!$B$5:$B$1004,$U1065)&amp;"")</f>
        <v/>
      </c>
      <c r="C1065" s="78">
        <f>IF($T1065="","",IF($S1065="S","Standard",INDEX('AFA Rates'!$B$5:$B$1004,$T1065)&amp;""))</f>
        <v/>
      </c>
      <c r="D1065" s="88">
        <f>IF($T1065="","",IF($S1065="S",IF(INDEX(Firms!$E$5:$E$1004,$T1065)="","",INDEX(Firms!$E$5:$E$1004,$T1065)),IF(INDEX('AFA Rates'!$C$5:$C$1004,$T1065)="","",INDEX('AFA Rates'!$C$5:$C$1004,$T1065))))</f>
        <v/>
      </c>
      <c r="E1065" s="88">
        <f>IF($T1065="","",IF($S1065="S",IF(""="","",""),IF(INDEX('AFA Rates'!$D$5:$D$1004,$T1065)="","",INDEX('AFA Rates'!$D$5:$D$1004,$T1065))))</f>
        <v/>
      </c>
      <c r="F1065" s="79">
        <f>IF($T1065="","",IF($S1065="S",IF(INDEX(Firms!$O$5:$O$1004,$T1065)="","",INDEX(Firms!$O$5:$O$1004,$T1065)),IF(INDEX('AFA Rates'!$O$5:$O$1004,$T1065)="","",INDEX('AFA Rates'!$O$5:$O$1004,$T1065))))</f>
        <v/>
      </c>
      <c r="G1065" s="50">
        <f>IF($T1065="","",IF($S1065="S",IF(INDEX(Firms!$F$5:$F$1004,$T1065)="","",INDEX(Firms!$F$5:$F$1004,$T1065)),IF(INDEX('AFA Rates'!$E$5:$E$1004,$T1065)="","",INDEX('AFA Rates'!$E$5:$E$1004,$T1065))))</f>
        <v/>
      </c>
      <c r="H1065" s="50">
        <f>IF($T1065="","",IF($S1065="S",IF(INDEX(Firms!$G$5:$G$1004,$T1065)="","",INDEX(Firms!$G$5:$G$1004,$T1065)),IF(INDEX('AFA Rates'!$F$5:$F$1004,$T1065)="","",INDEX('AFA Rates'!$F$5:$F$1004,$T1065))))</f>
        <v/>
      </c>
      <c r="I1065" s="50">
        <f>IF($T1065="","",IF($S1065="S",IF(INDEX(Firms!$H$5:$H$1004,$T1065)="","",INDEX(Firms!$H$5:$H$1004,$T1065)),IF(INDEX('AFA Rates'!$G$5:$G$1004,$T1065)="","",INDEX('AFA Rates'!$G$5:$G$1004,$T1065))))</f>
        <v/>
      </c>
      <c r="J1065" s="50">
        <f>IF($T1065="","",IF($S1065="S",IF(INDEX(Firms!$I$5:$I$1004,$T1065)="","",INDEX(Firms!$I$5:$I$1004,$T1065)),IF(INDEX('AFA Rates'!$H$5:$H$1004,$T1065)="","",INDEX('AFA Rates'!$H$5:$H$1004,$T1065))))</f>
        <v/>
      </c>
      <c r="K1065" s="50">
        <f>IF($T1065="","",IF($S1065="S",IF(INDEX(Firms!$J$5:$J$1004,$T1065)="","",INDEX(Firms!$J$5:$J$1004,$T1065)),IF(INDEX('AFA Rates'!$I$5:$I$1004,$T1065)="","",INDEX('AFA Rates'!$I$5:$I$1004,$T1065))))</f>
        <v/>
      </c>
      <c r="L1065" s="50">
        <f>IF($T1065="","",IF($S1065="S",IF(INDEX(Firms!$K$5:$K$1004,$T1065)="","",INDEX(Firms!$K$5:$K$1004,$T1065)),IF(INDEX('AFA Rates'!$J$5:$J$1004,$T1065)="","",INDEX('AFA Rates'!$J$5:$J$1004,$T1065))))</f>
        <v/>
      </c>
      <c r="M1065" s="50">
        <f>IF($T1065="","",IF($S1065="S",IF(INDEX(Firms!$L$5:$L$1004,$T1065)="","",INDEX(Firms!$L$5:$L$1004,$T1065)),IF(INDEX('AFA Rates'!$K$5:$K$1004,$T1065)="","",INDEX('AFA Rates'!$K$5:$K$1004,$T1065))))</f>
        <v/>
      </c>
      <c r="N1065" s="50">
        <f>IF($T1065="","",IF($S1065="S",IF(INDEX(Firms!$M$5:$M$1004,$T1065)="","",INDEX(Firms!$M$5:$M$1004,$T1065)),IF(INDEX('AFA Rates'!$L$5:$L$1004,$T1065)="","",INDEX('AFA Rates'!$L$5:$L$1004,$T1065))))</f>
        <v/>
      </c>
      <c r="O1065" s="78">
        <f>IF(OR($T1065="",$U1065=""),"",IF(INDEX(Firms!$C$5:$C$1004,$U1065)="","",INDEX(Firms!$C$5:$C$1004,$U1065)))</f>
        <v/>
      </c>
      <c r="P1065" s="79">
        <f>IF(OR($T1065="",$U1065=""),"",IF(INDEX(Firms!$N$5:$N$1004,$U1065)="","",INDEX(Firms!$N$5:$N$1004,$U1065)))</f>
        <v/>
      </c>
      <c r="Q1065" s="78">
        <f>IF($T1065="","",IF($S1065="S",IF(INDEX(Firms!$T$5:$T$1004,$T1065)="","",INDEX(Firms!$T$5:$T$1004,$T1065)),IF(INDEX('AFA Rates'!$M$5:$M$1004,$T1065)="","",INDEX('AFA Rates'!$M$5:$M$1004,$T1065))))</f>
        <v/>
      </c>
      <c r="S1065">
        <f>IF(1061&lt;=$S$2,"S",IF(1061&lt;=$S$2+$T$2,"A",""))</f>
        <v/>
      </c>
      <c r="T1065">
        <f>IF(S1065="S",MATCH(1061,Firms!$W$5:$W$1004,0),IF(S1065="A",IFERROR(MATCH(1061-$S$2,'AFA Rates'!$R$5:$R$1004,0),""),""))</f>
        <v/>
      </c>
      <c r="U1065">
        <f>IF(S1065="S",T1065,IF(AND(S1065="A",T1065&lt;&gt;""),IFERROR(MATCH(INDEX('AFA Rates'!$A$5:$A$1004,T1065),Firms!$A$5:$A$1004,0),""),""))</f>
        <v/>
      </c>
    </row>
    <row r="1066">
      <c r="A1066" s="78">
        <f>IF($T1066="","",IF($S1066="S",IF(INDEX(Firms!$A$5:$A$1004,$T1066)="","",INDEX(Firms!$A$5:$A$1004,$T1066)),IF(INDEX('AFA Rates'!$A$5:$A$1004,$T1066)="","",INDEX('AFA Rates'!$A$5:$A$1004,$T1066))))</f>
        <v/>
      </c>
      <c r="B1066" s="79">
        <f>IF(OR($T1066="",$U1066=""),IF($T1066="","","Not on Firms tab"),INDEX(Firms!$B$5:$B$1004,$U1066)&amp;"")</f>
        <v/>
      </c>
      <c r="C1066" s="78">
        <f>IF($T1066="","",IF($S1066="S","Standard",INDEX('AFA Rates'!$B$5:$B$1004,$T1066)&amp;""))</f>
        <v/>
      </c>
      <c r="D1066" s="88">
        <f>IF($T1066="","",IF($S1066="S",IF(INDEX(Firms!$E$5:$E$1004,$T1066)="","",INDEX(Firms!$E$5:$E$1004,$T1066)),IF(INDEX('AFA Rates'!$C$5:$C$1004,$T1066)="","",INDEX('AFA Rates'!$C$5:$C$1004,$T1066))))</f>
        <v/>
      </c>
      <c r="E1066" s="88">
        <f>IF($T1066="","",IF($S1066="S",IF(""="","",""),IF(INDEX('AFA Rates'!$D$5:$D$1004,$T1066)="","",INDEX('AFA Rates'!$D$5:$D$1004,$T1066))))</f>
        <v/>
      </c>
      <c r="F1066" s="79">
        <f>IF($T1066="","",IF($S1066="S",IF(INDEX(Firms!$O$5:$O$1004,$T1066)="","",INDEX(Firms!$O$5:$O$1004,$T1066)),IF(INDEX('AFA Rates'!$O$5:$O$1004,$T1066)="","",INDEX('AFA Rates'!$O$5:$O$1004,$T1066))))</f>
        <v/>
      </c>
      <c r="G1066" s="50">
        <f>IF($T1066="","",IF($S1066="S",IF(INDEX(Firms!$F$5:$F$1004,$T1066)="","",INDEX(Firms!$F$5:$F$1004,$T1066)),IF(INDEX('AFA Rates'!$E$5:$E$1004,$T1066)="","",INDEX('AFA Rates'!$E$5:$E$1004,$T1066))))</f>
        <v/>
      </c>
      <c r="H1066" s="50">
        <f>IF($T1066="","",IF($S1066="S",IF(INDEX(Firms!$G$5:$G$1004,$T1066)="","",INDEX(Firms!$G$5:$G$1004,$T1066)),IF(INDEX('AFA Rates'!$F$5:$F$1004,$T1066)="","",INDEX('AFA Rates'!$F$5:$F$1004,$T1066))))</f>
        <v/>
      </c>
      <c r="I1066" s="50">
        <f>IF($T1066="","",IF($S1066="S",IF(INDEX(Firms!$H$5:$H$1004,$T1066)="","",INDEX(Firms!$H$5:$H$1004,$T1066)),IF(INDEX('AFA Rates'!$G$5:$G$1004,$T1066)="","",INDEX('AFA Rates'!$G$5:$G$1004,$T1066))))</f>
        <v/>
      </c>
      <c r="J1066" s="50">
        <f>IF($T1066="","",IF($S1066="S",IF(INDEX(Firms!$I$5:$I$1004,$T1066)="","",INDEX(Firms!$I$5:$I$1004,$T1066)),IF(INDEX('AFA Rates'!$H$5:$H$1004,$T1066)="","",INDEX('AFA Rates'!$H$5:$H$1004,$T1066))))</f>
        <v/>
      </c>
      <c r="K1066" s="50">
        <f>IF($T1066="","",IF($S1066="S",IF(INDEX(Firms!$J$5:$J$1004,$T1066)="","",INDEX(Firms!$J$5:$J$1004,$T1066)),IF(INDEX('AFA Rates'!$I$5:$I$1004,$T1066)="","",INDEX('AFA Rates'!$I$5:$I$1004,$T1066))))</f>
        <v/>
      </c>
      <c r="L1066" s="50">
        <f>IF($T1066="","",IF($S1066="S",IF(INDEX(Firms!$K$5:$K$1004,$T1066)="","",INDEX(Firms!$K$5:$K$1004,$T1066)),IF(INDEX('AFA Rates'!$J$5:$J$1004,$T1066)="","",INDEX('AFA Rates'!$J$5:$J$1004,$T1066))))</f>
        <v/>
      </c>
      <c r="M1066" s="50">
        <f>IF($T1066="","",IF($S1066="S",IF(INDEX(Firms!$L$5:$L$1004,$T1066)="","",INDEX(Firms!$L$5:$L$1004,$T1066)),IF(INDEX('AFA Rates'!$K$5:$K$1004,$T1066)="","",INDEX('AFA Rates'!$K$5:$K$1004,$T1066))))</f>
        <v/>
      </c>
      <c r="N1066" s="50">
        <f>IF($T1066="","",IF($S1066="S",IF(INDEX(Firms!$M$5:$M$1004,$T1066)="","",INDEX(Firms!$M$5:$M$1004,$T1066)),IF(INDEX('AFA Rates'!$L$5:$L$1004,$T1066)="","",INDEX('AFA Rates'!$L$5:$L$1004,$T1066))))</f>
        <v/>
      </c>
      <c r="O1066" s="78">
        <f>IF(OR($T1066="",$U1066=""),"",IF(INDEX(Firms!$C$5:$C$1004,$U1066)="","",INDEX(Firms!$C$5:$C$1004,$U1066)))</f>
        <v/>
      </c>
      <c r="P1066" s="79">
        <f>IF(OR($T1066="",$U1066=""),"",IF(INDEX(Firms!$N$5:$N$1004,$U1066)="","",INDEX(Firms!$N$5:$N$1004,$U1066)))</f>
        <v/>
      </c>
      <c r="Q1066" s="78">
        <f>IF($T1066="","",IF($S1066="S",IF(INDEX(Firms!$T$5:$T$1004,$T1066)="","",INDEX(Firms!$T$5:$T$1004,$T1066)),IF(INDEX('AFA Rates'!$M$5:$M$1004,$T1066)="","",INDEX('AFA Rates'!$M$5:$M$1004,$T1066))))</f>
        <v/>
      </c>
      <c r="S1066">
        <f>IF(1062&lt;=$S$2,"S",IF(1062&lt;=$S$2+$T$2,"A",""))</f>
        <v/>
      </c>
      <c r="T1066">
        <f>IF(S1066="S",MATCH(1062,Firms!$W$5:$W$1004,0),IF(S1066="A",IFERROR(MATCH(1062-$S$2,'AFA Rates'!$R$5:$R$1004,0),""),""))</f>
        <v/>
      </c>
      <c r="U1066">
        <f>IF(S1066="S",T1066,IF(AND(S1066="A",T1066&lt;&gt;""),IFERROR(MATCH(INDEX('AFA Rates'!$A$5:$A$1004,T1066),Firms!$A$5:$A$1004,0),""),""))</f>
        <v/>
      </c>
    </row>
    <row r="1067">
      <c r="A1067" s="78">
        <f>IF($T1067="","",IF($S1067="S",IF(INDEX(Firms!$A$5:$A$1004,$T1067)="","",INDEX(Firms!$A$5:$A$1004,$T1067)),IF(INDEX('AFA Rates'!$A$5:$A$1004,$T1067)="","",INDEX('AFA Rates'!$A$5:$A$1004,$T1067))))</f>
        <v/>
      </c>
      <c r="B1067" s="79">
        <f>IF(OR($T1067="",$U1067=""),IF($T1067="","","Not on Firms tab"),INDEX(Firms!$B$5:$B$1004,$U1067)&amp;"")</f>
        <v/>
      </c>
      <c r="C1067" s="78">
        <f>IF($T1067="","",IF($S1067="S","Standard",INDEX('AFA Rates'!$B$5:$B$1004,$T1067)&amp;""))</f>
        <v/>
      </c>
      <c r="D1067" s="88">
        <f>IF($T1067="","",IF($S1067="S",IF(INDEX(Firms!$E$5:$E$1004,$T1067)="","",INDEX(Firms!$E$5:$E$1004,$T1067)),IF(INDEX('AFA Rates'!$C$5:$C$1004,$T1067)="","",INDEX('AFA Rates'!$C$5:$C$1004,$T1067))))</f>
        <v/>
      </c>
      <c r="E1067" s="88">
        <f>IF($T1067="","",IF($S1067="S",IF(""="","",""),IF(INDEX('AFA Rates'!$D$5:$D$1004,$T1067)="","",INDEX('AFA Rates'!$D$5:$D$1004,$T1067))))</f>
        <v/>
      </c>
      <c r="F1067" s="79">
        <f>IF($T1067="","",IF($S1067="S",IF(INDEX(Firms!$O$5:$O$1004,$T1067)="","",INDEX(Firms!$O$5:$O$1004,$T1067)),IF(INDEX('AFA Rates'!$O$5:$O$1004,$T1067)="","",INDEX('AFA Rates'!$O$5:$O$1004,$T1067))))</f>
        <v/>
      </c>
      <c r="G1067" s="50">
        <f>IF($T1067="","",IF($S1067="S",IF(INDEX(Firms!$F$5:$F$1004,$T1067)="","",INDEX(Firms!$F$5:$F$1004,$T1067)),IF(INDEX('AFA Rates'!$E$5:$E$1004,$T1067)="","",INDEX('AFA Rates'!$E$5:$E$1004,$T1067))))</f>
        <v/>
      </c>
      <c r="H1067" s="50">
        <f>IF($T1067="","",IF($S1067="S",IF(INDEX(Firms!$G$5:$G$1004,$T1067)="","",INDEX(Firms!$G$5:$G$1004,$T1067)),IF(INDEX('AFA Rates'!$F$5:$F$1004,$T1067)="","",INDEX('AFA Rates'!$F$5:$F$1004,$T1067))))</f>
        <v/>
      </c>
      <c r="I1067" s="50">
        <f>IF($T1067="","",IF($S1067="S",IF(INDEX(Firms!$H$5:$H$1004,$T1067)="","",INDEX(Firms!$H$5:$H$1004,$T1067)),IF(INDEX('AFA Rates'!$G$5:$G$1004,$T1067)="","",INDEX('AFA Rates'!$G$5:$G$1004,$T1067))))</f>
        <v/>
      </c>
      <c r="J1067" s="50">
        <f>IF($T1067="","",IF($S1067="S",IF(INDEX(Firms!$I$5:$I$1004,$T1067)="","",INDEX(Firms!$I$5:$I$1004,$T1067)),IF(INDEX('AFA Rates'!$H$5:$H$1004,$T1067)="","",INDEX('AFA Rates'!$H$5:$H$1004,$T1067))))</f>
        <v/>
      </c>
      <c r="K1067" s="50">
        <f>IF($T1067="","",IF($S1067="S",IF(INDEX(Firms!$J$5:$J$1004,$T1067)="","",INDEX(Firms!$J$5:$J$1004,$T1067)),IF(INDEX('AFA Rates'!$I$5:$I$1004,$T1067)="","",INDEX('AFA Rates'!$I$5:$I$1004,$T1067))))</f>
        <v/>
      </c>
      <c r="L1067" s="50">
        <f>IF($T1067="","",IF($S1067="S",IF(INDEX(Firms!$K$5:$K$1004,$T1067)="","",INDEX(Firms!$K$5:$K$1004,$T1067)),IF(INDEX('AFA Rates'!$J$5:$J$1004,$T1067)="","",INDEX('AFA Rates'!$J$5:$J$1004,$T1067))))</f>
        <v/>
      </c>
      <c r="M1067" s="50">
        <f>IF($T1067="","",IF($S1067="S",IF(INDEX(Firms!$L$5:$L$1004,$T1067)="","",INDEX(Firms!$L$5:$L$1004,$T1067)),IF(INDEX('AFA Rates'!$K$5:$K$1004,$T1067)="","",INDEX('AFA Rates'!$K$5:$K$1004,$T1067))))</f>
        <v/>
      </c>
      <c r="N1067" s="50">
        <f>IF($T1067="","",IF($S1067="S",IF(INDEX(Firms!$M$5:$M$1004,$T1067)="","",INDEX(Firms!$M$5:$M$1004,$T1067)),IF(INDEX('AFA Rates'!$L$5:$L$1004,$T1067)="","",INDEX('AFA Rates'!$L$5:$L$1004,$T1067))))</f>
        <v/>
      </c>
      <c r="O1067" s="78">
        <f>IF(OR($T1067="",$U1067=""),"",IF(INDEX(Firms!$C$5:$C$1004,$U1067)="","",INDEX(Firms!$C$5:$C$1004,$U1067)))</f>
        <v/>
      </c>
      <c r="P1067" s="79">
        <f>IF(OR($T1067="",$U1067=""),"",IF(INDEX(Firms!$N$5:$N$1004,$U1067)="","",INDEX(Firms!$N$5:$N$1004,$U1067)))</f>
        <v/>
      </c>
      <c r="Q1067" s="78">
        <f>IF($T1067="","",IF($S1067="S",IF(INDEX(Firms!$T$5:$T$1004,$T1067)="","",INDEX(Firms!$T$5:$T$1004,$T1067)),IF(INDEX('AFA Rates'!$M$5:$M$1004,$T1067)="","",INDEX('AFA Rates'!$M$5:$M$1004,$T1067))))</f>
        <v/>
      </c>
      <c r="S1067">
        <f>IF(1063&lt;=$S$2,"S",IF(1063&lt;=$S$2+$T$2,"A",""))</f>
        <v/>
      </c>
      <c r="T1067">
        <f>IF(S1067="S",MATCH(1063,Firms!$W$5:$W$1004,0),IF(S1067="A",IFERROR(MATCH(1063-$S$2,'AFA Rates'!$R$5:$R$1004,0),""),""))</f>
        <v/>
      </c>
      <c r="U1067">
        <f>IF(S1067="S",T1067,IF(AND(S1067="A",T1067&lt;&gt;""),IFERROR(MATCH(INDEX('AFA Rates'!$A$5:$A$1004,T1067),Firms!$A$5:$A$1004,0),""),""))</f>
        <v/>
      </c>
    </row>
    <row r="1068">
      <c r="A1068" s="78">
        <f>IF($T1068="","",IF($S1068="S",IF(INDEX(Firms!$A$5:$A$1004,$T1068)="","",INDEX(Firms!$A$5:$A$1004,$T1068)),IF(INDEX('AFA Rates'!$A$5:$A$1004,$T1068)="","",INDEX('AFA Rates'!$A$5:$A$1004,$T1068))))</f>
        <v/>
      </c>
      <c r="B1068" s="79">
        <f>IF(OR($T1068="",$U1068=""),IF($T1068="","","Not on Firms tab"),INDEX(Firms!$B$5:$B$1004,$U1068)&amp;"")</f>
        <v/>
      </c>
      <c r="C1068" s="78">
        <f>IF($T1068="","",IF($S1068="S","Standard",INDEX('AFA Rates'!$B$5:$B$1004,$T1068)&amp;""))</f>
        <v/>
      </c>
      <c r="D1068" s="88">
        <f>IF($T1068="","",IF($S1068="S",IF(INDEX(Firms!$E$5:$E$1004,$T1068)="","",INDEX(Firms!$E$5:$E$1004,$T1068)),IF(INDEX('AFA Rates'!$C$5:$C$1004,$T1068)="","",INDEX('AFA Rates'!$C$5:$C$1004,$T1068))))</f>
        <v/>
      </c>
      <c r="E1068" s="88">
        <f>IF($T1068="","",IF($S1068="S",IF(""="","",""),IF(INDEX('AFA Rates'!$D$5:$D$1004,$T1068)="","",INDEX('AFA Rates'!$D$5:$D$1004,$T1068))))</f>
        <v/>
      </c>
      <c r="F1068" s="79">
        <f>IF($T1068="","",IF($S1068="S",IF(INDEX(Firms!$O$5:$O$1004,$T1068)="","",INDEX(Firms!$O$5:$O$1004,$T1068)),IF(INDEX('AFA Rates'!$O$5:$O$1004,$T1068)="","",INDEX('AFA Rates'!$O$5:$O$1004,$T1068))))</f>
        <v/>
      </c>
      <c r="G1068" s="50">
        <f>IF($T1068="","",IF($S1068="S",IF(INDEX(Firms!$F$5:$F$1004,$T1068)="","",INDEX(Firms!$F$5:$F$1004,$T1068)),IF(INDEX('AFA Rates'!$E$5:$E$1004,$T1068)="","",INDEX('AFA Rates'!$E$5:$E$1004,$T1068))))</f>
        <v/>
      </c>
      <c r="H1068" s="50">
        <f>IF($T1068="","",IF($S1068="S",IF(INDEX(Firms!$G$5:$G$1004,$T1068)="","",INDEX(Firms!$G$5:$G$1004,$T1068)),IF(INDEX('AFA Rates'!$F$5:$F$1004,$T1068)="","",INDEX('AFA Rates'!$F$5:$F$1004,$T1068))))</f>
        <v/>
      </c>
      <c r="I1068" s="50">
        <f>IF($T1068="","",IF($S1068="S",IF(INDEX(Firms!$H$5:$H$1004,$T1068)="","",INDEX(Firms!$H$5:$H$1004,$T1068)),IF(INDEX('AFA Rates'!$G$5:$G$1004,$T1068)="","",INDEX('AFA Rates'!$G$5:$G$1004,$T1068))))</f>
        <v/>
      </c>
      <c r="J1068" s="50">
        <f>IF($T1068="","",IF($S1068="S",IF(INDEX(Firms!$I$5:$I$1004,$T1068)="","",INDEX(Firms!$I$5:$I$1004,$T1068)),IF(INDEX('AFA Rates'!$H$5:$H$1004,$T1068)="","",INDEX('AFA Rates'!$H$5:$H$1004,$T1068))))</f>
        <v/>
      </c>
      <c r="K1068" s="50">
        <f>IF($T1068="","",IF($S1068="S",IF(INDEX(Firms!$J$5:$J$1004,$T1068)="","",INDEX(Firms!$J$5:$J$1004,$T1068)),IF(INDEX('AFA Rates'!$I$5:$I$1004,$T1068)="","",INDEX('AFA Rates'!$I$5:$I$1004,$T1068))))</f>
        <v/>
      </c>
      <c r="L1068" s="50">
        <f>IF($T1068="","",IF($S1068="S",IF(INDEX(Firms!$K$5:$K$1004,$T1068)="","",INDEX(Firms!$K$5:$K$1004,$T1068)),IF(INDEX('AFA Rates'!$J$5:$J$1004,$T1068)="","",INDEX('AFA Rates'!$J$5:$J$1004,$T1068))))</f>
        <v/>
      </c>
      <c r="M1068" s="50">
        <f>IF($T1068="","",IF($S1068="S",IF(INDEX(Firms!$L$5:$L$1004,$T1068)="","",INDEX(Firms!$L$5:$L$1004,$T1068)),IF(INDEX('AFA Rates'!$K$5:$K$1004,$T1068)="","",INDEX('AFA Rates'!$K$5:$K$1004,$T1068))))</f>
        <v/>
      </c>
      <c r="N1068" s="50">
        <f>IF($T1068="","",IF($S1068="S",IF(INDEX(Firms!$M$5:$M$1004,$T1068)="","",INDEX(Firms!$M$5:$M$1004,$T1068)),IF(INDEX('AFA Rates'!$L$5:$L$1004,$T1068)="","",INDEX('AFA Rates'!$L$5:$L$1004,$T1068))))</f>
        <v/>
      </c>
      <c r="O1068" s="78">
        <f>IF(OR($T1068="",$U1068=""),"",IF(INDEX(Firms!$C$5:$C$1004,$U1068)="","",INDEX(Firms!$C$5:$C$1004,$U1068)))</f>
        <v/>
      </c>
      <c r="P1068" s="79">
        <f>IF(OR($T1068="",$U1068=""),"",IF(INDEX(Firms!$N$5:$N$1004,$U1068)="","",INDEX(Firms!$N$5:$N$1004,$U1068)))</f>
        <v/>
      </c>
      <c r="Q1068" s="78">
        <f>IF($T1068="","",IF($S1068="S",IF(INDEX(Firms!$T$5:$T$1004,$T1068)="","",INDEX(Firms!$T$5:$T$1004,$T1068)),IF(INDEX('AFA Rates'!$M$5:$M$1004,$T1068)="","",INDEX('AFA Rates'!$M$5:$M$1004,$T1068))))</f>
        <v/>
      </c>
      <c r="S1068">
        <f>IF(1064&lt;=$S$2,"S",IF(1064&lt;=$S$2+$T$2,"A",""))</f>
        <v/>
      </c>
      <c r="T1068">
        <f>IF(S1068="S",MATCH(1064,Firms!$W$5:$W$1004,0),IF(S1068="A",IFERROR(MATCH(1064-$S$2,'AFA Rates'!$R$5:$R$1004,0),""),""))</f>
        <v/>
      </c>
      <c r="U1068">
        <f>IF(S1068="S",T1068,IF(AND(S1068="A",T1068&lt;&gt;""),IFERROR(MATCH(INDEX('AFA Rates'!$A$5:$A$1004,T1068),Firms!$A$5:$A$1004,0),""),""))</f>
        <v/>
      </c>
    </row>
    <row r="1069">
      <c r="A1069" s="78">
        <f>IF($T1069="","",IF($S1069="S",IF(INDEX(Firms!$A$5:$A$1004,$T1069)="","",INDEX(Firms!$A$5:$A$1004,$T1069)),IF(INDEX('AFA Rates'!$A$5:$A$1004,$T1069)="","",INDEX('AFA Rates'!$A$5:$A$1004,$T1069))))</f>
        <v/>
      </c>
      <c r="B1069" s="79">
        <f>IF(OR($T1069="",$U1069=""),IF($T1069="","","Not on Firms tab"),INDEX(Firms!$B$5:$B$1004,$U1069)&amp;"")</f>
        <v/>
      </c>
      <c r="C1069" s="78">
        <f>IF($T1069="","",IF($S1069="S","Standard",INDEX('AFA Rates'!$B$5:$B$1004,$T1069)&amp;""))</f>
        <v/>
      </c>
      <c r="D1069" s="88">
        <f>IF($T1069="","",IF($S1069="S",IF(INDEX(Firms!$E$5:$E$1004,$T1069)="","",INDEX(Firms!$E$5:$E$1004,$T1069)),IF(INDEX('AFA Rates'!$C$5:$C$1004,$T1069)="","",INDEX('AFA Rates'!$C$5:$C$1004,$T1069))))</f>
        <v/>
      </c>
      <c r="E1069" s="88">
        <f>IF($T1069="","",IF($S1069="S",IF(""="","",""),IF(INDEX('AFA Rates'!$D$5:$D$1004,$T1069)="","",INDEX('AFA Rates'!$D$5:$D$1004,$T1069))))</f>
        <v/>
      </c>
      <c r="F1069" s="79">
        <f>IF($T1069="","",IF($S1069="S",IF(INDEX(Firms!$O$5:$O$1004,$T1069)="","",INDEX(Firms!$O$5:$O$1004,$T1069)),IF(INDEX('AFA Rates'!$O$5:$O$1004,$T1069)="","",INDEX('AFA Rates'!$O$5:$O$1004,$T1069))))</f>
        <v/>
      </c>
      <c r="G1069" s="50">
        <f>IF($T1069="","",IF($S1069="S",IF(INDEX(Firms!$F$5:$F$1004,$T1069)="","",INDEX(Firms!$F$5:$F$1004,$T1069)),IF(INDEX('AFA Rates'!$E$5:$E$1004,$T1069)="","",INDEX('AFA Rates'!$E$5:$E$1004,$T1069))))</f>
        <v/>
      </c>
      <c r="H1069" s="50">
        <f>IF($T1069="","",IF($S1069="S",IF(INDEX(Firms!$G$5:$G$1004,$T1069)="","",INDEX(Firms!$G$5:$G$1004,$T1069)),IF(INDEX('AFA Rates'!$F$5:$F$1004,$T1069)="","",INDEX('AFA Rates'!$F$5:$F$1004,$T1069))))</f>
        <v/>
      </c>
      <c r="I1069" s="50">
        <f>IF($T1069="","",IF($S1069="S",IF(INDEX(Firms!$H$5:$H$1004,$T1069)="","",INDEX(Firms!$H$5:$H$1004,$T1069)),IF(INDEX('AFA Rates'!$G$5:$G$1004,$T1069)="","",INDEX('AFA Rates'!$G$5:$G$1004,$T1069))))</f>
        <v/>
      </c>
      <c r="J1069" s="50">
        <f>IF($T1069="","",IF($S1069="S",IF(INDEX(Firms!$I$5:$I$1004,$T1069)="","",INDEX(Firms!$I$5:$I$1004,$T1069)),IF(INDEX('AFA Rates'!$H$5:$H$1004,$T1069)="","",INDEX('AFA Rates'!$H$5:$H$1004,$T1069))))</f>
        <v/>
      </c>
      <c r="K1069" s="50">
        <f>IF($T1069="","",IF($S1069="S",IF(INDEX(Firms!$J$5:$J$1004,$T1069)="","",INDEX(Firms!$J$5:$J$1004,$T1069)),IF(INDEX('AFA Rates'!$I$5:$I$1004,$T1069)="","",INDEX('AFA Rates'!$I$5:$I$1004,$T1069))))</f>
        <v/>
      </c>
      <c r="L1069" s="50">
        <f>IF($T1069="","",IF($S1069="S",IF(INDEX(Firms!$K$5:$K$1004,$T1069)="","",INDEX(Firms!$K$5:$K$1004,$T1069)),IF(INDEX('AFA Rates'!$J$5:$J$1004,$T1069)="","",INDEX('AFA Rates'!$J$5:$J$1004,$T1069))))</f>
        <v/>
      </c>
      <c r="M1069" s="50">
        <f>IF($T1069="","",IF($S1069="S",IF(INDEX(Firms!$L$5:$L$1004,$T1069)="","",INDEX(Firms!$L$5:$L$1004,$T1069)),IF(INDEX('AFA Rates'!$K$5:$K$1004,$T1069)="","",INDEX('AFA Rates'!$K$5:$K$1004,$T1069))))</f>
        <v/>
      </c>
      <c r="N1069" s="50">
        <f>IF($T1069="","",IF($S1069="S",IF(INDEX(Firms!$M$5:$M$1004,$T1069)="","",INDEX(Firms!$M$5:$M$1004,$T1069)),IF(INDEX('AFA Rates'!$L$5:$L$1004,$T1069)="","",INDEX('AFA Rates'!$L$5:$L$1004,$T1069))))</f>
        <v/>
      </c>
      <c r="O1069" s="78">
        <f>IF(OR($T1069="",$U1069=""),"",IF(INDEX(Firms!$C$5:$C$1004,$U1069)="","",INDEX(Firms!$C$5:$C$1004,$U1069)))</f>
        <v/>
      </c>
      <c r="P1069" s="79">
        <f>IF(OR($T1069="",$U1069=""),"",IF(INDEX(Firms!$N$5:$N$1004,$U1069)="","",INDEX(Firms!$N$5:$N$1004,$U1069)))</f>
        <v/>
      </c>
      <c r="Q1069" s="78">
        <f>IF($T1069="","",IF($S1069="S",IF(INDEX(Firms!$T$5:$T$1004,$T1069)="","",INDEX(Firms!$T$5:$T$1004,$T1069)),IF(INDEX('AFA Rates'!$M$5:$M$1004,$T1069)="","",INDEX('AFA Rates'!$M$5:$M$1004,$T1069))))</f>
        <v/>
      </c>
      <c r="S1069">
        <f>IF(1065&lt;=$S$2,"S",IF(1065&lt;=$S$2+$T$2,"A",""))</f>
        <v/>
      </c>
      <c r="T1069">
        <f>IF(S1069="S",MATCH(1065,Firms!$W$5:$W$1004,0),IF(S1069="A",IFERROR(MATCH(1065-$S$2,'AFA Rates'!$R$5:$R$1004,0),""),""))</f>
        <v/>
      </c>
      <c r="U1069">
        <f>IF(S1069="S",T1069,IF(AND(S1069="A",T1069&lt;&gt;""),IFERROR(MATCH(INDEX('AFA Rates'!$A$5:$A$1004,T1069),Firms!$A$5:$A$1004,0),""),""))</f>
        <v/>
      </c>
    </row>
    <row r="1070">
      <c r="A1070" s="78">
        <f>IF($T1070="","",IF($S1070="S",IF(INDEX(Firms!$A$5:$A$1004,$T1070)="","",INDEX(Firms!$A$5:$A$1004,$T1070)),IF(INDEX('AFA Rates'!$A$5:$A$1004,$T1070)="","",INDEX('AFA Rates'!$A$5:$A$1004,$T1070))))</f>
        <v/>
      </c>
      <c r="B1070" s="79">
        <f>IF(OR($T1070="",$U1070=""),IF($T1070="","","Not on Firms tab"),INDEX(Firms!$B$5:$B$1004,$U1070)&amp;"")</f>
        <v/>
      </c>
      <c r="C1070" s="78">
        <f>IF($T1070="","",IF($S1070="S","Standard",INDEX('AFA Rates'!$B$5:$B$1004,$T1070)&amp;""))</f>
        <v/>
      </c>
      <c r="D1070" s="88">
        <f>IF($T1070="","",IF($S1070="S",IF(INDEX(Firms!$E$5:$E$1004,$T1070)="","",INDEX(Firms!$E$5:$E$1004,$T1070)),IF(INDEX('AFA Rates'!$C$5:$C$1004,$T1070)="","",INDEX('AFA Rates'!$C$5:$C$1004,$T1070))))</f>
        <v/>
      </c>
      <c r="E1070" s="88">
        <f>IF($T1070="","",IF($S1070="S",IF(""="","",""),IF(INDEX('AFA Rates'!$D$5:$D$1004,$T1070)="","",INDEX('AFA Rates'!$D$5:$D$1004,$T1070))))</f>
        <v/>
      </c>
      <c r="F1070" s="79">
        <f>IF($T1070="","",IF($S1070="S",IF(INDEX(Firms!$O$5:$O$1004,$T1070)="","",INDEX(Firms!$O$5:$O$1004,$T1070)),IF(INDEX('AFA Rates'!$O$5:$O$1004,$T1070)="","",INDEX('AFA Rates'!$O$5:$O$1004,$T1070))))</f>
        <v/>
      </c>
      <c r="G1070" s="50">
        <f>IF($T1070="","",IF($S1070="S",IF(INDEX(Firms!$F$5:$F$1004,$T1070)="","",INDEX(Firms!$F$5:$F$1004,$T1070)),IF(INDEX('AFA Rates'!$E$5:$E$1004,$T1070)="","",INDEX('AFA Rates'!$E$5:$E$1004,$T1070))))</f>
        <v/>
      </c>
      <c r="H1070" s="50">
        <f>IF($T1070="","",IF($S1070="S",IF(INDEX(Firms!$G$5:$G$1004,$T1070)="","",INDEX(Firms!$G$5:$G$1004,$T1070)),IF(INDEX('AFA Rates'!$F$5:$F$1004,$T1070)="","",INDEX('AFA Rates'!$F$5:$F$1004,$T1070))))</f>
        <v/>
      </c>
      <c r="I1070" s="50">
        <f>IF($T1070="","",IF($S1070="S",IF(INDEX(Firms!$H$5:$H$1004,$T1070)="","",INDEX(Firms!$H$5:$H$1004,$T1070)),IF(INDEX('AFA Rates'!$G$5:$G$1004,$T1070)="","",INDEX('AFA Rates'!$G$5:$G$1004,$T1070))))</f>
        <v/>
      </c>
      <c r="J1070" s="50">
        <f>IF($T1070="","",IF($S1070="S",IF(INDEX(Firms!$I$5:$I$1004,$T1070)="","",INDEX(Firms!$I$5:$I$1004,$T1070)),IF(INDEX('AFA Rates'!$H$5:$H$1004,$T1070)="","",INDEX('AFA Rates'!$H$5:$H$1004,$T1070))))</f>
        <v/>
      </c>
      <c r="K1070" s="50">
        <f>IF($T1070="","",IF($S1070="S",IF(INDEX(Firms!$J$5:$J$1004,$T1070)="","",INDEX(Firms!$J$5:$J$1004,$T1070)),IF(INDEX('AFA Rates'!$I$5:$I$1004,$T1070)="","",INDEX('AFA Rates'!$I$5:$I$1004,$T1070))))</f>
        <v/>
      </c>
      <c r="L1070" s="50">
        <f>IF($T1070="","",IF($S1070="S",IF(INDEX(Firms!$K$5:$K$1004,$T1070)="","",INDEX(Firms!$K$5:$K$1004,$T1070)),IF(INDEX('AFA Rates'!$J$5:$J$1004,$T1070)="","",INDEX('AFA Rates'!$J$5:$J$1004,$T1070))))</f>
        <v/>
      </c>
      <c r="M1070" s="50">
        <f>IF($T1070="","",IF($S1070="S",IF(INDEX(Firms!$L$5:$L$1004,$T1070)="","",INDEX(Firms!$L$5:$L$1004,$T1070)),IF(INDEX('AFA Rates'!$K$5:$K$1004,$T1070)="","",INDEX('AFA Rates'!$K$5:$K$1004,$T1070))))</f>
        <v/>
      </c>
      <c r="N1070" s="50">
        <f>IF($T1070="","",IF($S1070="S",IF(INDEX(Firms!$M$5:$M$1004,$T1070)="","",INDEX(Firms!$M$5:$M$1004,$T1070)),IF(INDEX('AFA Rates'!$L$5:$L$1004,$T1070)="","",INDEX('AFA Rates'!$L$5:$L$1004,$T1070))))</f>
        <v/>
      </c>
      <c r="O1070" s="78">
        <f>IF(OR($T1070="",$U1070=""),"",IF(INDEX(Firms!$C$5:$C$1004,$U1070)="","",INDEX(Firms!$C$5:$C$1004,$U1070)))</f>
        <v/>
      </c>
      <c r="P1070" s="79">
        <f>IF(OR($T1070="",$U1070=""),"",IF(INDEX(Firms!$N$5:$N$1004,$U1070)="","",INDEX(Firms!$N$5:$N$1004,$U1070)))</f>
        <v/>
      </c>
      <c r="Q1070" s="78">
        <f>IF($T1070="","",IF($S1070="S",IF(INDEX(Firms!$T$5:$T$1004,$T1070)="","",INDEX(Firms!$T$5:$T$1004,$T1070)),IF(INDEX('AFA Rates'!$M$5:$M$1004,$T1070)="","",INDEX('AFA Rates'!$M$5:$M$1004,$T1070))))</f>
        <v/>
      </c>
      <c r="S1070">
        <f>IF(1066&lt;=$S$2,"S",IF(1066&lt;=$S$2+$T$2,"A",""))</f>
        <v/>
      </c>
      <c r="T1070">
        <f>IF(S1070="S",MATCH(1066,Firms!$W$5:$W$1004,0),IF(S1070="A",IFERROR(MATCH(1066-$S$2,'AFA Rates'!$R$5:$R$1004,0),""),""))</f>
        <v/>
      </c>
      <c r="U1070">
        <f>IF(S1070="S",T1070,IF(AND(S1070="A",T1070&lt;&gt;""),IFERROR(MATCH(INDEX('AFA Rates'!$A$5:$A$1004,T1070),Firms!$A$5:$A$1004,0),""),""))</f>
        <v/>
      </c>
    </row>
    <row r="1071">
      <c r="A1071" s="78">
        <f>IF($T1071="","",IF($S1071="S",IF(INDEX(Firms!$A$5:$A$1004,$T1071)="","",INDEX(Firms!$A$5:$A$1004,$T1071)),IF(INDEX('AFA Rates'!$A$5:$A$1004,$T1071)="","",INDEX('AFA Rates'!$A$5:$A$1004,$T1071))))</f>
        <v/>
      </c>
      <c r="B1071" s="79">
        <f>IF(OR($T1071="",$U1071=""),IF($T1071="","","Not on Firms tab"),INDEX(Firms!$B$5:$B$1004,$U1071)&amp;"")</f>
        <v/>
      </c>
      <c r="C1071" s="78">
        <f>IF($T1071="","",IF($S1071="S","Standard",INDEX('AFA Rates'!$B$5:$B$1004,$T1071)&amp;""))</f>
        <v/>
      </c>
      <c r="D1071" s="88">
        <f>IF($T1071="","",IF($S1071="S",IF(INDEX(Firms!$E$5:$E$1004,$T1071)="","",INDEX(Firms!$E$5:$E$1004,$T1071)),IF(INDEX('AFA Rates'!$C$5:$C$1004,$T1071)="","",INDEX('AFA Rates'!$C$5:$C$1004,$T1071))))</f>
        <v/>
      </c>
      <c r="E1071" s="88">
        <f>IF($T1071="","",IF($S1071="S",IF(""="","",""),IF(INDEX('AFA Rates'!$D$5:$D$1004,$T1071)="","",INDEX('AFA Rates'!$D$5:$D$1004,$T1071))))</f>
        <v/>
      </c>
      <c r="F1071" s="79">
        <f>IF($T1071="","",IF($S1071="S",IF(INDEX(Firms!$O$5:$O$1004,$T1071)="","",INDEX(Firms!$O$5:$O$1004,$T1071)),IF(INDEX('AFA Rates'!$O$5:$O$1004,$T1071)="","",INDEX('AFA Rates'!$O$5:$O$1004,$T1071))))</f>
        <v/>
      </c>
      <c r="G1071" s="50">
        <f>IF($T1071="","",IF($S1071="S",IF(INDEX(Firms!$F$5:$F$1004,$T1071)="","",INDEX(Firms!$F$5:$F$1004,$T1071)),IF(INDEX('AFA Rates'!$E$5:$E$1004,$T1071)="","",INDEX('AFA Rates'!$E$5:$E$1004,$T1071))))</f>
        <v/>
      </c>
      <c r="H1071" s="50">
        <f>IF($T1071="","",IF($S1071="S",IF(INDEX(Firms!$G$5:$G$1004,$T1071)="","",INDEX(Firms!$G$5:$G$1004,$T1071)),IF(INDEX('AFA Rates'!$F$5:$F$1004,$T1071)="","",INDEX('AFA Rates'!$F$5:$F$1004,$T1071))))</f>
        <v/>
      </c>
      <c r="I1071" s="50">
        <f>IF($T1071="","",IF($S1071="S",IF(INDEX(Firms!$H$5:$H$1004,$T1071)="","",INDEX(Firms!$H$5:$H$1004,$T1071)),IF(INDEX('AFA Rates'!$G$5:$G$1004,$T1071)="","",INDEX('AFA Rates'!$G$5:$G$1004,$T1071))))</f>
        <v/>
      </c>
      <c r="J1071" s="50">
        <f>IF($T1071="","",IF($S1071="S",IF(INDEX(Firms!$I$5:$I$1004,$T1071)="","",INDEX(Firms!$I$5:$I$1004,$T1071)),IF(INDEX('AFA Rates'!$H$5:$H$1004,$T1071)="","",INDEX('AFA Rates'!$H$5:$H$1004,$T1071))))</f>
        <v/>
      </c>
      <c r="K1071" s="50">
        <f>IF($T1071="","",IF($S1071="S",IF(INDEX(Firms!$J$5:$J$1004,$T1071)="","",INDEX(Firms!$J$5:$J$1004,$T1071)),IF(INDEX('AFA Rates'!$I$5:$I$1004,$T1071)="","",INDEX('AFA Rates'!$I$5:$I$1004,$T1071))))</f>
        <v/>
      </c>
      <c r="L1071" s="50">
        <f>IF($T1071="","",IF($S1071="S",IF(INDEX(Firms!$K$5:$K$1004,$T1071)="","",INDEX(Firms!$K$5:$K$1004,$T1071)),IF(INDEX('AFA Rates'!$J$5:$J$1004,$T1071)="","",INDEX('AFA Rates'!$J$5:$J$1004,$T1071))))</f>
        <v/>
      </c>
      <c r="M1071" s="50">
        <f>IF($T1071="","",IF($S1071="S",IF(INDEX(Firms!$L$5:$L$1004,$T1071)="","",INDEX(Firms!$L$5:$L$1004,$T1071)),IF(INDEX('AFA Rates'!$K$5:$K$1004,$T1071)="","",INDEX('AFA Rates'!$K$5:$K$1004,$T1071))))</f>
        <v/>
      </c>
      <c r="N1071" s="50">
        <f>IF($T1071="","",IF($S1071="S",IF(INDEX(Firms!$M$5:$M$1004,$T1071)="","",INDEX(Firms!$M$5:$M$1004,$T1071)),IF(INDEX('AFA Rates'!$L$5:$L$1004,$T1071)="","",INDEX('AFA Rates'!$L$5:$L$1004,$T1071))))</f>
        <v/>
      </c>
      <c r="O1071" s="78">
        <f>IF(OR($T1071="",$U1071=""),"",IF(INDEX(Firms!$C$5:$C$1004,$U1071)="","",INDEX(Firms!$C$5:$C$1004,$U1071)))</f>
        <v/>
      </c>
      <c r="P1071" s="79">
        <f>IF(OR($T1071="",$U1071=""),"",IF(INDEX(Firms!$N$5:$N$1004,$U1071)="","",INDEX(Firms!$N$5:$N$1004,$U1071)))</f>
        <v/>
      </c>
      <c r="Q1071" s="78">
        <f>IF($T1071="","",IF($S1071="S",IF(INDEX(Firms!$T$5:$T$1004,$T1071)="","",INDEX(Firms!$T$5:$T$1004,$T1071)),IF(INDEX('AFA Rates'!$M$5:$M$1004,$T1071)="","",INDEX('AFA Rates'!$M$5:$M$1004,$T1071))))</f>
        <v/>
      </c>
      <c r="S1071">
        <f>IF(1067&lt;=$S$2,"S",IF(1067&lt;=$S$2+$T$2,"A",""))</f>
        <v/>
      </c>
      <c r="T1071">
        <f>IF(S1071="S",MATCH(1067,Firms!$W$5:$W$1004,0),IF(S1071="A",IFERROR(MATCH(1067-$S$2,'AFA Rates'!$R$5:$R$1004,0),""),""))</f>
        <v/>
      </c>
      <c r="U1071">
        <f>IF(S1071="S",T1071,IF(AND(S1071="A",T1071&lt;&gt;""),IFERROR(MATCH(INDEX('AFA Rates'!$A$5:$A$1004,T1071),Firms!$A$5:$A$1004,0),""),""))</f>
        <v/>
      </c>
    </row>
    <row r="1072">
      <c r="A1072" s="78">
        <f>IF($T1072="","",IF($S1072="S",IF(INDEX(Firms!$A$5:$A$1004,$T1072)="","",INDEX(Firms!$A$5:$A$1004,$T1072)),IF(INDEX('AFA Rates'!$A$5:$A$1004,$T1072)="","",INDEX('AFA Rates'!$A$5:$A$1004,$T1072))))</f>
        <v/>
      </c>
      <c r="B1072" s="79">
        <f>IF(OR($T1072="",$U1072=""),IF($T1072="","","Not on Firms tab"),INDEX(Firms!$B$5:$B$1004,$U1072)&amp;"")</f>
        <v/>
      </c>
      <c r="C1072" s="78">
        <f>IF($T1072="","",IF($S1072="S","Standard",INDEX('AFA Rates'!$B$5:$B$1004,$T1072)&amp;""))</f>
        <v/>
      </c>
      <c r="D1072" s="88">
        <f>IF($T1072="","",IF($S1072="S",IF(INDEX(Firms!$E$5:$E$1004,$T1072)="","",INDEX(Firms!$E$5:$E$1004,$T1072)),IF(INDEX('AFA Rates'!$C$5:$C$1004,$T1072)="","",INDEX('AFA Rates'!$C$5:$C$1004,$T1072))))</f>
        <v/>
      </c>
      <c r="E1072" s="88">
        <f>IF($T1072="","",IF($S1072="S",IF(""="","",""),IF(INDEX('AFA Rates'!$D$5:$D$1004,$T1072)="","",INDEX('AFA Rates'!$D$5:$D$1004,$T1072))))</f>
        <v/>
      </c>
      <c r="F1072" s="79">
        <f>IF($T1072="","",IF($S1072="S",IF(INDEX(Firms!$O$5:$O$1004,$T1072)="","",INDEX(Firms!$O$5:$O$1004,$T1072)),IF(INDEX('AFA Rates'!$O$5:$O$1004,$T1072)="","",INDEX('AFA Rates'!$O$5:$O$1004,$T1072))))</f>
        <v/>
      </c>
      <c r="G1072" s="50">
        <f>IF($T1072="","",IF($S1072="S",IF(INDEX(Firms!$F$5:$F$1004,$T1072)="","",INDEX(Firms!$F$5:$F$1004,$T1072)),IF(INDEX('AFA Rates'!$E$5:$E$1004,$T1072)="","",INDEX('AFA Rates'!$E$5:$E$1004,$T1072))))</f>
        <v/>
      </c>
      <c r="H1072" s="50">
        <f>IF($T1072="","",IF($S1072="S",IF(INDEX(Firms!$G$5:$G$1004,$T1072)="","",INDEX(Firms!$G$5:$G$1004,$T1072)),IF(INDEX('AFA Rates'!$F$5:$F$1004,$T1072)="","",INDEX('AFA Rates'!$F$5:$F$1004,$T1072))))</f>
        <v/>
      </c>
      <c r="I1072" s="50">
        <f>IF($T1072="","",IF($S1072="S",IF(INDEX(Firms!$H$5:$H$1004,$T1072)="","",INDEX(Firms!$H$5:$H$1004,$T1072)),IF(INDEX('AFA Rates'!$G$5:$G$1004,$T1072)="","",INDEX('AFA Rates'!$G$5:$G$1004,$T1072))))</f>
        <v/>
      </c>
      <c r="J1072" s="50">
        <f>IF($T1072="","",IF($S1072="S",IF(INDEX(Firms!$I$5:$I$1004,$T1072)="","",INDEX(Firms!$I$5:$I$1004,$T1072)),IF(INDEX('AFA Rates'!$H$5:$H$1004,$T1072)="","",INDEX('AFA Rates'!$H$5:$H$1004,$T1072))))</f>
        <v/>
      </c>
      <c r="K1072" s="50">
        <f>IF($T1072="","",IF($S1072="S",IF(INDEX(Firms!$J$5:$J$1004,$T1072)="","",INDEX(Firms!$J$5:$J$1004,$T1072)),IF(INDEX('AFA Rates'!$I$5:$I$1004,$T1072)="","",INDEX('AFA Rates'!$I$5:$I$1004,$T1072))))</f>
        <v/>
      </c>
      <c r="L1072" s="50">
        <f>IF($T1072="","",IF($S1072="S",IF(INDEX(Firms!$K$5:$K$1004,$T1072)="","",INDEX(Firms!$K$5:$K$1004,$T1072)),IF(INDEX('AFA Rates'!$J$5:$J$1004,$T1072)="","",INDEX('AFA Rates'!$J$5:$J$1004,$T1072))))</f>
        <v/>
      </c>
      <c r="M1072" s="50">
        <f>IF($T1072="","",IF($S1072="S",IF(INDEX(Firms!$L$5:$L$1004,$T1072)="","",INDEX(Firms!$L$5:$L$1004,$T1072)),IF(INDEX('AFA Rates'!$K$5:$K$1004,$T1072)="","",INDEX('AFA Rates'!$K$5:$K$1004,$T1072))))</f>
        <v/>
      </c>
      <c r="N1072" s="50">
        <f>IF($T1072="","",IF($S1072="S",IF(INDEX(Firms!$M$5:$M$1004,$T1072)="","",INDEX(Firms!$M$5:$M$1004,$T1072)),IF(INDEX('AFA Rates'!$L$5:$L$1004,$T1072)="","",INDEX('AFA Rates'!$L$5:$L$1004,$T1072))))</f>
        <v/>
      </c>
      <c r="O1072" s="78">
        <f>IF(OR($T1072="",$U1072=""),"",IF(INDEX(Firms!$C$5:$C$1004,$U1072)="","",INDEX(Firms!$C$5:$C$1004,$U1072)))</f>
        <v/>
      </c>
      <c r="P1072" s="79">
        <f>IF(OR($T1072="",$U1072=""),"",IF(INDEX(Firms!$N$5:$N$1004,$U1072)="","",INDEX(Firms!$N$5:$N$1004,$U1072)))</f>
        <v/>
      </c>
      <c r="Q1072" s="78">
        <f>IF($T1072="","",IF($S1072="S",IF(INDEX(Firms!$T$5:$T$1004,$T1072)="","",INDEX(Firms!$T$5:$T$1004,$T1072)),IF(INDEX('AFA Rates'!$M$5:$M$1004,$T1072)="","",INDEX('AFA Rates'!$M$5:$M$1004,$T1072))))</f>
        <v/>
      </c>
      <c r="S1072">
        <f>IF(1068&lt;=$S$2,"S",IF(1068&lt;=$S$2+$T$2,"A",""))</f>
        <v/>
      </c>
      <c r="T1072">
        <f>IF(S1072="S",MATCH(1068,Firms!$W$5:$W$1004,0),IF(S1072="A",IFERROR(MATCH(1068-$S$2,'AFA Rates'!$R$5:$R$1004,0),""),""))</f>
        <v/>
      </c>
      <c r="U1072">
        <f>IF(S1072="S",T1072,IF(AND(S1072="A",T1072&lt;&gt;""),IFERROR(MATCH(INDEX('AFA Rates'!$A$5:$A$1004,T1072),Firms!$A$5:$A$1004,0),""),""))</f>
        <v/>
      </c>
    </row>
    <row r="1073">
      <c r="A1073" s="78">
        <f>IF($T1073="","",IF($S1073="S",IF(INDEX(Firms!$A$5:$A$1004,$T1073)="","",INDEX(Firms!$A$5:$A$1004,$T1073)),IF(INDEX('AFA Rates'!$A$5:$A$1004,$T1073)="","",INDEX('AFA Rates'!$A$5:$A$1004,$T1073))))</f>
        <v/>
      </c>
      <c r="B1073" s="79">
        <f>IF(OR($T1073="",$U1073=""),IF($T1073="","","Not on Firms tab"),INDEX(Firms!$B$5:$B$1004,$U1073)&amp;"")</f>
        <v/>
      </c>
      <c r="C1073" s="78">
        <f>IF($T1073="","",IF($S1073="S","Standard",INDEX('AFA Rates'!$B$5:$B$1004,$T1073)&amp;""))</f>
        <v/>
      </c>
      <c r="D1073" s="88">
        <f>IF($T1073="","",IF($S1073="S",IF(INDEX(Firms!$E$5:$E$1004,$T1073)="","",INDEX(Firms!$E$5:$E$1004,$T1073)),IF(INDEX('AFA Rates'!$C$5:$C$1004,$T1073)="","",INDEX('AFA Rates'!$C$5:$C$1004,$T1073))))</f>
        <v/>
      </c>
      <c r="E1073" s="88">
        <f>IF($T1073="","",IF($S1073="S",IF(""="","",""),IF(INDEX('AFA Rates'!$D$5:$D$1004,$T1073)="","",INDEX('AFA Rates'!$D$5:$D$1004,$T1073))))</f>
        <v/>
      </c>
      <c r="F1073" s="79">
        <f>IF($T1073="","",IF($S1073="S",IF(INDEX(Firms!$O$5:$O$1004,$T1073)="","",INDEX(Firms!$O$5:$O$1004,$T1073)),IF(INDEX('AFA Rates'!$O$5:$O$1004,$T1073)="","",INDEX('AFA Rates'!$O$5:$O$1004,$T1073))))</f>
        <v/>
      </c>
      <c r="G1073" s="50">
        <f>IF($T1073="","",IF($S1073="S",IF(INDEX(Firms!$F$5:$F$1004,$T1073)="","",INDEX(Firms!$F$5:$F$1004,$T1073)),IF(INDEX('AFA Rates'!$E$5:$E$1004,$T1073)="","",INDEX('AFA Rates'!$E$5:$E$1004,$T1073))))</f>
        <v/>
      </c>
      <c r="H1073" s="50">
        <f>IF($T1073="","",IF($S1073="S",IF(INDEX(Firms!$G$5:$G$1004,$T1073)="","",INDEX(Firms!$G$5:$G$1004,$T1073)),IF(INDEX('AFA Rates'!$F$5:$F$1004,$T1073)="","",INDEX('AFA Rates'!$F$5:$F$1004,$T1073))))</f>
        <v/>
      </c>
      <c r="I1073" s="50">
        <f>IF($T1073="","",IF($S1073="S",IF(INDEX(Firms!$H$5:$H$1004,$T1073)="","",INDEX(Firms!$H$5:$H$1004,$T1073)),IF(INDEX('AFA Rates'!$G$5:$G$1004,$T1073)="","",INDEX('AFA Rates'!$G$5:$G$1004,$T1073))))</f>
        <v/>
      </c>
      <c r="J1073" s="50">
        <f>IF($T1073="","",IF($S1073="S",IF(INDEX(Firms!$I$5:$I$1004,$T1073)="","",INDEX(Firms!$I$5:$I$1004,$T1073)),IF(INDEX('AFA Rates'!$H$5:$H$1004,$T1073)="","",INDEX('AFA Rates'!$H$5:$H$1004,$T1073))))</f>
        <v/>
      </c>
      <c r="K1073" s="50">
        <f>IF($T1073="","",IF($S1073="S",IF(INDEX(Firms!$J$5:$J$1004,$T1073)="","",INDEX(Firms!$J$5:$J$1004,$T1073)),IF(INDEX('AFA Rates'!$I$5:$I$1004,$T1073)="","",INDEX('AFA Rates'!$I$5:$I$1004,$T1073))))</f>
        <v/>
      </c>
      <c r="L1073" s="50">
        <f>IF($T1073="","",IF($S1073="S",IF(INDEX(Firms!$K$5:$K$1004,$T1073)="","",INDEX(Firms!$K$5:$K$1004,$T1073)),IF(INDEX('AFA Rates'!$J$5:$J$1004,$T1073)="","",INDEX('AFA Rates'!$J$5:$J$1004,$T1073))))</f>
        <v/>
      </c>
      <c r="M1073" s="50">
        <f>IF($T1073="","",IF($S1073="S",IF(INDEX(Firms!$L$5:$L$1004,$T1073)="","",INDEX(Firms!$L$5:$L$1004,$T1073)),IF(INDEX('AFA Rates'!$K$5:$K$1004,$T1073)="","",INDEX('AFA Rates'!$K$5:$K$1004,$T1073))))</f>
        <v/>
      </c>
      <c r="N1073" s="50">
        <f>IF($T1073="","",IF($S1073="S",IF(INDEX(Firms!$M$5:$M$1004,$T1073)="","",INDEX(Firms!$M$5:$M$1004,$T1073)),IF(INDEX('AFA Rates'!$L$5:$L$1004,$T1073)="","",INDEX('AFA Rates'!$L$5:$L$1004,$T1073))))</f>
        <v/>
      </c>
      <c r="O1073" s="78">
        <f>IF(OR($T1073="",$U1073=""),"",IF(INDEX(Firms!$C$5:$C$1004,$U1073)="","",INDEX(Firms!$C$5:$C$1004,$U1073)))</f>
        <v/>
      </c>
      <c r="P1073" s="79">
        <f>IF(OR($T1073="",$U1073=""),"",IF(INDEX(Firms!$N$5:$N$1004,$U1073)="","",INDEX(Firms!$N$5:$N$1004,$U1073)))</f>
        <v/>
      </c>
      <c r="Q1073" s="78">
        <f>IF($T1073="","",IF($S1073="S",IF(INDEX(Firms!$T$5:$T$1004,$T1073)="","",INDEX(Firms!$T$5:$T$1004,$T1073)),IF(INDEX('AFA Rates'!$M$5:$M$1004,$T1073)="","",INDEX('AFA Rates'!$M$5:$M$1004,$T1073))))</f>
        <v/>
      </c>
      <c r="S1073">
        <f>IF(1069&lt;=$S$2,"S",IF(1069&lt;=$S$2+$T$2,"A",""))</f>
        <v/>
      </c>
      <c r="T1073">
        <f>IF(S1073="S",MATCH(1069,Firms!$W$5:$W$1004,0),IF(S1073="A",IFERROR(MATCH(1069-$S$2,'AFA Rates'!$R$5:$R$1004,0),""),""))</f>
        <v/>
      </c>
      <c r="U1073">
        <f>IF(S1073="S",T1073,IF(AND(S1073="A",T1073&lt;&gt;""),IFERROR(MATCH(INDEX('AFA Rates'!$A$5:$A$1004,T1073),Firms!$A$5:$A$1004,0),""),""))</f>
        <v/>
      </c>
    </row>
    <row r="1074">
      <c r="A1074" s="78">
        <f>IF($T1074="","",IF($S1074="S",IF(INDEX(Firms!$A$5:$A$1004,$T1074)="","",INDEX(Firms!$A$5:$A$1004,$T1074)),IF(INDEX('AFA Rates'!$A$5:$A$1004,$T1074)="","",INDEX('AFA Rates'!$A$5:$A$1004,$T1074))))</f>
        <v/>
      </c>
      <c r="B1074" s="79">
        <f>IF(OR($T1074="",$U1074=""),IF($T1074="","","Not on Firms tab"),INDEX(Firms!$B$5:$B$1004,$U1074)&amp;"")</f>
        <v/>
      </c>
      <c r="C1074" s="78">
        <f>IF($T1074="","",IF($S1074="S","Standard",INDEX('AFA Rates'!$B$5:$B$1004,$T1074)&amp;""))</f>
        <v/>
      </c>
      <c r="D1074" s="88">
        <f>IF($T1074="","",IF($S1074="S",IF(INDEX(Firms!$E$5:$E$1004,$T1074)="","",INDEX(Firms!$E$5:$E$1004,$T1074)),IF(INDEX('AFA Rates'!$C$5:$C$1004,$T1074)="","",INDEX('AFA Rates'!$C$5:$C$1004,$T1074))))</f>
        <v/>
      </c>
      <c r="E1074" s="88">
        <f>IF($T1074="","",IF($S1074="S",IF(""="","",""),IF(INDEX('AFA Rates'!$D$5:$D$1004,$T1074)="","",INDEX('AFA Rates'!$D$5:$D$1004,$T1074))))</f>
        <v/>
      </c>
      <c r="F1074" s="79">
        <f>IF($T1074="","",IF($S1074="S",IF(INDEX(Firms!$O$5:$O$1004,$T1074)="","",INDEX(Firms!$O$5:$O$1004,$T1074)),IF(INDEX('AFA Rates'!$O$5:$O$1004,$T1074)="","",INDEX('AFA Rates'!$O$5:$O$1004,$T1074))))</f>
        <v/>
      </c>
      <c r="G1074" s="50">
        <f>IF($T1074="","",IF($S1074="S",IF(INDEX(Firms!$F$5:$F$1004,$T1074)="","",INDEX(Firms!$F$5:$F$1004,$T1074)),IF(INDEX('AFA Rates'!$E$5:$E$1004,$T1074)="","",INDEX('AFA Rates'!$E$5:$E$1004,$T1074))))</f>
        <v/>
      </c>
      <c r="H1074" s="50">
        <f>IF($T1074="","",IF($S1074="S",IF(INDEX(Firms!$G$5:$G$1004,$T1074)="","",INDEX(Firms!$G$5:$G$1004,$T1074)),IF(INDEX('AFA Rates'!$F$5:$F$1004,$T1074)="","",INDEX('AFA Rates'!$F$5:$F$1004,$T1074))))</f>
        <v/>
      </c>
      <c r="I1074" s="50">
        <f>IF($T1074="","",IF($S1074="S",IF(INDEX(Firms!$H$5:$H$1004,$T1074)="","",INDEX(Firms!$H$5:$H$1004,$T1074)),IF(INDEX('AFA Rates'!$G$5:$G$1004,$T1074)="","",INDEX('AFA Rates'!$G$5:$G$1004,$T1074))))</f>
        <v/>
      </c>
      <c r="J1074" s="50">
        <f>IF($T1074="","",IF($S1074="S",IF(INDEX(Firms!$I$5:$I$1004,$T1074)="","",INDEX(Firms!$I$5:$I$1004,$T1074)),IF(INDEX('AFA Rates'!$H$5:$H$1004,$T1074)="","",INDEX('AFA Rates'!$H$5:$H$1004,$T1074))))</f>
        <v/>
      </c>
      <c r="K1074" s="50">
        <f>IF($T1074="","",IF($S1074="S",IF(INDEX(Firms!$J$5:$J$1004,$T1074)="","",INDEX(Firms!$J$5:$J$1004,$T1074)),IF(INDEX('AFA Rates'!$I$5:$I$1004,$T1074)="","",INDEX('AFA Rates'!$I$5:$I$1004,$T1074))))</f>
        <v/>
      </c>
      <c r="L1074" s="50">
        <f>IF($T1074="","",IF($S1074="S",IF(INDEX(Firms!$K$5:$K$1004,$T1074)="","",INDEX(Firms!$K$5:$K$1004,$T1074)),IF(INDEX('AFA Rates'!$J$5:$J$1004,$T1074)="","",INDEX('AFA Rates'!$J$5:$J$1004,$T1074))))</f>
        <v/>
      </c>
      <c r="M1074" s="50">
        <f>IF($T1074="","",IF($S1074="S",IF(INDEX(Firms!$L$5:$L$1004,$T1074)="","",INDEX(Firms!$L$5:$L$1004,$T1074)),IF(INDEX('AFA Rates'!$K$5:$K$1004,$T1074)="","",INDEX('AFA Rates'!$K$5:$K$1004,$T1074))))</f>
        <v/>
      </c>
      <c r="N1074" s="50">
        <f>IF($T1074="","",IF($S1074="S",IF(INDEX(Firms!$M$5:$M$1004,$T1074)="","",INDEX(Firms!$M$5:$M$1004,$T1074)),IF(INDEX('AFA Rates'!$L$5:$L$1004,$T1074)="","",INDEX('AFA Rates'!$L$5:$L$1004,$T1074))))</f>
        <v/>
      </c>
      <c r="O1074" s="78">
        <f>IF(OR($T1074="",$U1074=""),"",IF(INDEX(Firms!$C$5:$C$1004,$U1074)="","",INDEX(Firms!$C$5:$C$1004,$U1074)))</f>
        <v/>
      </c>
      <c r="P1074" s="79">
        <f>IF(OR($T1074="",$U1074=""),"",IF(INDEX(Firms!$N$5:$N$1004,$U1074)="","",INDEX(Firms!$N$5:$N$1004,$U1074)))</f>
        <v/>
      </c>
      <c r="Q1074" s="78">
        <f>IF($T1074="","",IF($S1074="S",IF(INDEX(Firms!$T$5:$T$1004,$T1074)="","",INDEX(Firms!$T$5:$T$1004,$T1074)),IF(INDEX('AFA Rates'!$M$5:$M$1004,$T1074)="","",INDEX('AFA Rates'!$M$5:$M$1004,$T1074))))</f>
        <v/>
      </c>
      <c r="S1074">
        <f>IF(1070&lt;=$S$2,"S",IF(1070&lt;=$S$2+$T$2,"A",""))</f>
        <v/>
      </c>
      <c r="T1074">
        <f>IF(S1074="S",MATCH(1070,Firms!$W$5:$W$1004,0),IF(S1074="A",IFERROR(MATCH(1070-$S$2,'AFA Rates'!$R$5:$R$1004,0),""),""))</f>
        <v/>
      </c>
      <c r="U1074">
        <f>IF(S1074="S",T1074,IF(AND(S1074="A",T1074&lt;&gt;""),IFERROR(MATCH(INDEX('AFA Rates'!$A$5:$A$1004,T1074),Firms!$A$5:$A$1004,0),""),""))</f>
        <v/>
      </c>
    </row>
    <row r="1075">
      <c r="A1075" s="78">
        <f>IF($T1075="","",IF($S1075="S",IF(INDEX(Firms!$A$5:$A$1004,$T1075)="","",INDEX(Firms!$A$5:$A$1004,$T1075)),IF(INDEX('AFA Rates'!$A$5:$A$1004,$T1075)="","",INDEX('AFA Rates'!$A$5:$A$1004,$T1075))))</f>
        <v/>
      </c>
      <c r="B1075" s="79">
        <f>IF(OR($T1075="",$U1075=""),IF($T1075="","","Not on Firms tab"),INDEX(Firms!$B$5:$B$1004,$U1075)&amp;"")</f>
        <v/>
      </c>
      <c r="C1075" s="78">
        <f>IF($T1075="","",IF($S1075="S","Standard",INDEX('AFA Rates'!$B$5:$B$1004,$T1075)&amp;""))</f>
        <v/>
      </c>
      <c r="D1075" s="88">
        <f>IF($T1075="","",IF($S1075="S",IF(INDEX(Firms!$E$5:$E$1004,$T1075)="","",INDEX(Firms!$E$5:$E$1004,$T1075)),IF(INDEX('AFA Rates'!$C$5:$C$1004,$T1075)="","",INDEX('AFA Rates'!$C$5:$C$1004,$T1075))))</f>
        <v/>
      </c>
      <c r="E1075" s="88">
        <f>IF($T1075="","",IF($S1075="S",IF(""="","",""),IF(INDEX('AFA Rates'!$D$5:$D$1004,$T1075)="","",INDEX('AFA Rates'!$D$5:$D$1004,$T1075))))</f>
        <v/>
      </c>
      <c r="F1075" s="79">
        <f>IF($T1075="","",IF($S1075="S",IF(INDEX(Firms!$O$5:$O$1004,$T1075)="","",INDEX(Firms!$O$5:$O$1004,$T1075)),IF(INDEX('AFA Rates'!$O$5:$O$1004,$T1075)="","",INDEX('AFA Rates'!$O$5:$O$1004,$T1075))))</f>
        <v/>
      </c>
      <c r="G1075" s="50">
        <f>IF($T1075="","",IF($S1075="S",IF(INDEX(Firms!$F$5:$F$1004,$T1075)="","",INDEX(Firms!$F$5:$F$1004,$T1075)),IF(INDEX('AFA Rates'!$E$5:$E$1004,$T1075)="","",INDEX('AFA Rates'!$E$5:$E$1004,$T1075))))</f>
        <v/>
      </c>
      <c r="H1075" s="50">
        <f>IF($T1075="","",IF($S1075="S",IF(INDEX(Firms!$G$5:$G$1004,$T1075)="","",INDEX(Firms!$G$5:$G$1004,$T1075)),IF(INDEX('AFA Rates'!$F$5:$F$1004,$T1075)="","",INDEX('AFA Rates'!$F$5:$F$1004,$T1075))))</f>
        <v/>
      </c>
      <c r="I1075" s="50">
        <f>IF($T1075="","",IF($S1075="S",IF(INDEX(Firms!$H$5:$H$1004,$T1075)="","",INDEX(Firms!$H$5:$H$1004,$T1075)),IF(INDEX('AFA Rates'!$G$5:$G$1004,$T1075)="","",INDEX('AFA Rates'!$G$5:$G$1004,$T1075))))</f>
        <v/>
      </c>
      <c r="J1075" s="50">
        <f>IF($T1075="","",IF($S1075="S",IF(INDEX(Firms!$I$5:$I$1004,$T1075)="","",INDEX(Firms!$I$5:$I$1004,$T1075)),IF(INDEX('AFA Rates'!$H$5:$H$1004,$T1075)="","",INDEX('AFA Rates'!$H$5:$H$1004,$T1075))))</f>
        <v/>
      </c>
      <c r="K1075" s="50">
        <f>IF($T1075="","",IF($S1075="S",IF(INDEX(Firms!$J$5:$J$1004,$T1075)="","",INDEX(Firms!$J$5:$J$1004,$T1075)),IF(INDEX('AFA Rates'!$I$5:$I$1004,$T1075)="","",INDEX('AFA Rates'!$I$5:$I$1004,$T1075))))</f>
        <v/>
      </c>
      <c r="L1075" s="50">
        <f>IF($T1075="","",IF($S1075="S",IF(INDEX(Firms!$K$5:$K$1004,$T1075)="","",INDEX(Firms!$K$5:$K$1004,$T1075)),IF(INDEX('AFA Rates'!$J$5:$J$1004,$T1075)="","",INDEX('AFA Rates'!$J$5:$J$1004,$T1075))))</f>
        <v/>
      </c>
      <c r="M1075" s="50">
        <f>IF($T1075="","",IF($S1075="S",IF(INDEX(Firms!$L$5:$L$1004,$T1075)="","",INDEX(Firms!$L$5:$L$1004,$T1075)),IF(INDEX('AFA Rates'!$K$5:$K$1004,$T1075)="","",INDEX('AFA Rates'!$K$5:$K$1004,$T1075))))</f>
        <v/>
      </c>
      <c r="N1075" s="50">
        <f>IF($T1075="","",IF($S1075="S",IF(INDEX(Firms!$M$5:$M$1004,$T1075)="","",INDEX(Firms!$M$5:$M$1004,$T1075)),IF(INDEX('AFA Rates'!$L$5:$L$1004,$T1075)="","",INDEX('AFA Rates'!$L$5:$L$1004,$T1075))))</f>
        <v/>
      </c>
      <c r="O1075" s="78">
        <f>IF(OR($T1075="",$U1075=""),"",IF(INDEX(Firms!$C$5:$C$1004,$U1075)="","",INDEX(Firms!$C$5:$C$1004,$U1075)))</f>
        <v/>
      </c>
      <c r="P1075" s="79">
        <f>IF(OR($T1075="",$U1075=""),"",IF(INDEX(Firms!$N$5:$N$1004,$U1075)="","",INDEX(Firms!$N$5:$N$1004,$U1075)))</f>
        <v/>
      </c>
      <c r="Q1075" s="78">
        <f>IF($T1075="","",IF($S1075="S",IF(INDEX(Firms!$T$5:$T$1004,$T1075)="","",INDEX(Firms!$T$5:$T$1004,$T1075)),IF(INDEX('AFA Rates'!$M$5:$M$1004,$T1075)="","",INDEX('AFA Rates'!$M$5:$M$1004,$T1075))))</f>
        <v/>
      </c>
      <c r="S1075">
        <f>IF(1071&lt;=$S$2,"S",IF(1071&lt;=$S$2+$T$2,"A",""))</f>
        <v/>
      </c>
      <c r="T1075">
        <f>IF(S1075="S",MATCH(1071,Firms!$W$5:$W$1004,0),IF(S1075="A",IFERROR(MATCH(1071-$S$2,'AFA Rates'!$R$5:$R$1004,0),""),""))</f>
        <v/>
      </c>
      <c r="U1075">
        <f>IF(S1075="S",T1075,IF(AND(S1075="A",T1075&lt;&gt;""),IFERROR(MATCH(INDEX('AFA Rates'!$A$5:$A$1004,T1075),Firms!$A$5:$A$1004,0),""),""))</f>
        <v/>
      </c>
    </row>
    <row r="1076">
      <c r="A1076" s="78">
        <f>IF($T1076="","",IF($S1076="S",IF(INDEX(Firms!$A$5:$A$1004,$T1076)="","",INDEX(Firms!$A$5:$A$1004,$T1076)),IF(INDEX('AFA Rates'!$A$5:$A$1004,$T1076)="","",INDEX('AFA Rates'!$A$5:$A$1004,$T1076))))</f>
        <v/>
      </c>
      <c r="B1076" s="79">
        <f>IF(OR($T1076="",$U1076=""),IF($T1076="","","Not on Firms tab"),INDEX(Firms!$B$5:$B$1004,$U1076)&amp;"")</f>
        <v/>
      </c>
      <c r="C1076" s="78">
        <f>IF($T1076="","",IF($S1076="S","Standard",INDEX('AFA Rates'!$B$5:$B$1004,$T1076)&amp;""))</f>
        <v/>
      </c>
      <c r="D1076" s="88">
        <f>IF($T1076="","",IF($S1076="S",IF(INDEX(Firms!$E$5:$E$1004,$T1076)="","",INDEX(Firms!$E$5:$E$1004,$T1076)),IF(INDEX('AFA Rates'!$C$5:$C$1004,$T1076)="","",INDEX('AFA Rates'!$C$5:$C$1004,$T1076))))</f>
        <v/>
      </c>
      <c r="E1076" s="88">
        <f>IF($T1076="","",IF($S1076="S",IF(""="","",""),IF(INDEX('AFA Rates'!$D$5:$D$1004,$T1076)="","",INDEX('AFA Rates'!$D$5:$D$1004,$T1076))))</f>
        <v/>
      </c>
      <c r="F1076" s="79">
        <f>IF($T1076="","",IF($S1076="S",IF(INDEX(Firms!$O$5:$O$1004,$T1076)="","",INDEX(Firms!$O$5:$O$1004,$T1076)),IF(INDEX('AFA Rates'!$O$5:$O$1004,$T1076)="","",INDEX('AFA Rates'!$O$5:$O$1004,$T1076))))</f>
        <v/>
      </c>
      <c r="G1076" s="50">
        <f>IF($T1076="","",IF($S1076="S",IF(INDEX(Firms!$F$5:$F$1004,$T1076)="","",INDEX(Firms!$F$5:$F$1004,$T1076)),IF(INDEX('AFA Rates'!$E$5:$E$1004,$T1076)="","",INDEX('AFA Rates'!$E$5:$E$1004,$T1076))))</f>
        <v/>
      </c>
      <c r="H1076" s="50">
        <f>IF($T1076="","",IF($S1076="S",IF(INDEX(Firms!$G$5:$G$1004,$T1076)="","",INDEX(Firms!$G$5:$G$1004,$T1076)),IF(INDEX('AFA Rates'!$F$5:$F$1004,$T1076)="","",INDEX('AFA Rates'!$F$5:$F$1004,$T1076))))</f>
        <v/>
      </c>
      <c r="I1076" s="50">
        <f>IF($T1076="","",IF($S1076="S",IF(INDEX(Firms!$H$5:$H$1004,$T1076)="","",INDEX(Firms!$H$5:$H$1004,$T1076)),IF(INDEX('AFA Rates'!$G$5:$G$1004,$T1076)="","",INDEX('AFA Rates'!$G$5:$G$1004,$T1076))))</f>
        <v/>
      </c>
      <c r="J1076" s="50">
        <f>IF($T1076="","",IF($S1076="S",IF(INDEX(Firms!$I$5:$I$1004,$T1076)="","",INDEX(Firms!$I$5:$I$1004,$T1076)),IF(INDEX('AFA Rates'!$H$5:$H$1004,$T1076)="","",INDEX('AFA Rates'!$H$5:$H$1004,$T1076))))</f>
        <v/>
      </c>
      <c r="K1076" s="50">
        <f>IF($T1076="","",IF($S1076="S",IF(INDEX(Firms!$J$5:$J$1004,$T1076)="","",INDEX(Firms!$J$5:$J$1004,$T1076)),IF(INDEX('AFA Rates'!$I$5:$I$1004,$T1076)="","",INDEX('AFA Rates'!$I$5:$I$1004,$T1076))))</f>
        <v/>
      </c>
      <c r="L1076" s="50">
        <f>IF($T1076="","",IF($S1076="S",IF(INDEX(Firms!$K$5:$K$1004,$T1076)="","",INDEX(Firms!$K$5:$K$1004,$T1076)),IF(INDEX('AFA Rates'!$J$5:$J$1004,$T1076)="","",INDEX('AFA Rates'!$J$5:$J$1004,$T1076))))</f>
        <v/>
      </c>
      <c r="M1076" s="50">
        <f>IF($T1076="","",IF($S1076="S",IF(INDEX(Firms!$L$5:$L$1004,$T1076)="","",INDEX(Firms!$L$5:$L$1004,$T1076)),IF(INDEX('AFA Rates'!$K$5:$K$1004,$T1076)="","",INDEX('AFA Rates'!$K$5:$K$1004,$T1076))))</f>
        <v/>
      </c>
      <c r="N1076" s="50">
        <f>IF($T1076="","",IF($S1076="S",IF(INDEX(Firms!$M$5:$M$1004,$T1076)="","",INDEX(Firms!$M$5:$M$1004,$T1076)),IF(INDEX('AFA Rates'!$L$5:$L$1004,$T1076)="","",INDEX('AFA Rates'!$L$5:$L$1004,$T1076))))</f>
        <v/>
      </c>
      <c r="O1076" s="78">
        <f>IF(OR($T1076="",$U1076=""),"",IF(INDEX(Firms!$C$5:$C$1004,$U1076)="","",INDEX(Firms!$C$5:$C$1004,$U1076)))</f>
        <v/>
      </c>
      <c r="P1076" s="79">
        <f>IF(OR($T1076="",$U1076=""),"",IF(INDEX(Firms!$N$5:$N$1004,$U1076)="","",INDEX(Firms!$N$5:$N$1004,$U1076)))</f>
        <v/>
      </c>
      <c r="Q1076" s="78">
        <f>IF($T1076="","",IF($S1076="S",IF(INDEX(Firms!$T$5:$T$1004,$T1076)="","",INDEX(Firms!$T$5:$T$1004,$T1076)),IF(INDEX('AFA Rates'!$M$5:$M$1004,$T1076)="","",INDEX('AFA Rates'!$M$5:$M$1004,$T1076))))</f>
        <v/>
      </c>
      <c r="S1076">
        <f>IF(1072&lt;=$S$2,"S",IF(1072&lt;=$S$2+$T$2,"A",""))</f>
        <v/>
      </c>
      <c r="T1076">
        <f>IF(S1076="S",MATCH(1072,Firms!$W$5:$W$1004,0),IF(S1076="A",IFERROR(MATCH(1072-$S$2,'AFA Rates'!$R$5:$R$1004,0),""),""))</f>
        <v/>
      </c>
      <c r="U1076">
        <f>IF(S1076="S",T1076,IF(AND(S1076="A",T1076&lt;&gt;""),IFERROR(MATCH(INDEX('AFA Rates'!$A$5:$A$1004,T1076),Firms!$A$5:$A$1004,0),""),""))</f>
        <v/>
      </c>
    </row>
    <row r="1077">
      <c r="A1077" s="78">
        <f>IF($T1077="","",IF($S1077="S",IF(INDEX(Firms!$A$5:$A$1004,$T1077)="","",INDEX(Firms!$A$5:$A$1004,$T1077)),IF(INDEX('AFA Rates'!$A$5:$A$1004,$T1077)="","",INDEX('AFA Rates'!$A$5:$A$1004,$T1077))))</f>
        <v/>
      </c>
      <c r="B1077" s="79">
        <f>IF(OR($T1077="",$U1077=""),IF($T1077="","","Not on Firms tab"),INDEX(Firms!$B$5:$B$1004,$U1077)&amp;"")</f>
        <v/>
      </c>
      <c r="C1077" s="78">
        <f>IF($T1077="","",IF($S1077="S","Standard",INDEX('AFA Rates'!$B$5:$B$1004,$T1077)&amp;""))</f>
        <v/>
      </c>
      <c r="D1077" s="88">
        <f>IF($T1077="","",IF($S1077="S",IF(INDEX(Firms!$E$5:$E$1004,$T1077)="","",INDEX(Firms!$E$5:$E$1004,$T1077)),IF(INDEX('AFA Rates'!$C$5:$C$1004,$T1077)="","",INDEX('AFA Rates'!$C$5:$C$1004,$T1077))))</f>
        <v/>
      </c>
      <c r="E1077" s="88">
        <f>IF($T1077="","",IF($S1077="S",IF(""="","",""),IF(INDEX('AFA Rates'!$D$5:$D$1004,$T1077)="","",INDEX('AFA Rates'!$D$5:$D$1004,$T1077))))</f>
        <v/>
      </c>
      <c r="F1077" s="79">
        <f>IF($T1077="","",IF($S1077="S",IF(INDEX(Firms!$O$5:$O$1004,$T1077)="","",INDEX(Firms!$O$5:$O$1004,$T1077)),IF(INDEX('AFA Rates'!$O$5:$O$1004,$T1077)="","",INDEX('AFA Rates'!$O$5:$O$1004,$T1077))))</f>
        <v/>
      </c>
      <c r="G1077" s="50">
        <f>IF($T1077="","",IF($S1077="S",IF(INDEX(Firms!$F$5:$F$1004,$T1077)="","",INDEX(Firms!$F$5:$F$1004,$T1077)),IF(INDEX('AFA Rates'!$E$5:$E$1004,$T1077)="","",INDEX('AFA Rates'!$E$5:$E$1004,$T1077))))</f>
        <v/>
      </c>
      <c r="H1077" s="50">
        <f>IF($T1077="","",IF($S1077="S",IF(INDEX(Firms!$G$5:$G$1004,$T1077)="","",INDEX(Firms!$G$5:$G$1004,$T1077)),IF(INDEX('AFA Rates'!$F$5:$F$1004,$T1077)="","",INDEX('AFA Rates'!$F$5:$F$1004,$T1077))))</f>
        <v/>
      </c>
      <c r="I1077" s="50">
        <f>IF($T1077="","",IF($S1077="S",IF(INDEX(Firms!$H$5:$H$1004,$T1077)="","",INDEX(Firms!$H$5:$H$1004,$T1077)),IF(INDEX('AFA Rates'!$G$5:$G$1004,$T1077)="","",INDEX('AFA Rates'!$G$5:$G$1004,$T1077))))</f>
        <v/>
      </c>
      <c r="J1077" s="50">
        <f>IF($T1077="","",IF($S1077="S",IF(INDEX(Firms!$I$5:$I$1004,$T1077)="","",INDEX(Firms!$I$5:$I$1004,$T1077)),IF(INDEX('AFA Rates'!$H$5:$H$1004,$T1077)="","",INDEX('AFA Rates'!$H$5:$H$1004,$T1077))))</f>
        <v/>
      </c>
      <c r="K1077" s="50">
        <f>IF($T1077="","",IF($S1077="S",IF(INDEX(Firms!$J$5:$J$1004,$T1077)="","",INDEX(Firms!$J$5:$J$1004,$T1077)),IF(INDEX('AFA Rates'!$I$5:$I$1004,$T1077)="","",INDEX('AFA Rates'!$I$5:$I$1004,$T1077))))</f>
        <v/>
      </c>
      <c r="L1077" s="50">
        <f>IF($T1077="","",IF($S1077="S",IF(INDEX(Firms!$K$5:$K$1004,$T1077)="","",INDEX(Firms!$K$5:$K$1004,$T1077)),IF(INDEX('AFA Rates'!$J$5:$J$1004,$T1077)="","",INDEX('AFA Rates'!$J$5:$J$1004,$T1077))))</f>
        <v/>
      </c>
      <c r="M1077" s="50">
        <f>IF($T1077="","",IF($S1077="S",IF(INDEX(Firms!$L$5:$L$1004,$T1077)="","",INDEX(Firms!$L$5:$L$1004,$T1077)),IF(INDEX('AFA Rates'!$K$5:$K$1004,$T1077)="","",INDEX('AFA Rates'!$K$5:$K$1004,$T1077))))</f>
        <v/>
      </c>
      <c r="N1077" s="50">
        <f>IF($T1077="","",IF($S1077="S",IF(INDEX(Firms!$M$5:$M$1004,$T1077)="","",INDEX(Firms!$M$5:$M$1004,$T1077)),IF(INDEX('AFA Rates'!$L$5:$L$1004,$T1077)="","",INDEX('AFA Rates'!$L$5:$L$1004,$T1077))))</f>
        <v/>
      </c>
      <c r="O1077" s="78">
        <f>IF(OR($T1077="",$U1077=""),"",IF(INDEX(Firms!$C$5:$C$1004,$U1077)="","",INDEX(Firms!$C$5:$C$1004,$U1077)))</f>
        <v/>
      </c>
      <c r="P1077" s="79">
        <f>IF(OR($T1077="",$U1077=""),"",IF(INDEX(Firms!$N$5:$N$1004,$U1077)="","",INDEX(Firms!$N$5:$N$1004,$U1077)))</f>
        <v/>
      </c>
      <c r="Q1077" s="78">
        <f>IF($T1077="","",IF($S1077="S",IF(INDEX(Firms!$T$5:$T$1004,$T1077)="","",INDEX(Firms!$T$5:$T$1004,$T1077)),IF(INDEX('AFA Rates'!$M$5:$M$1004,$T1077)="","",INDEX('AFA Rates'!$M$5:$M$1004,$T1077))))</f>
        <v/>
      </c>
      <c r="S1077">
        <f>IF(1073&lt;=$S$2,"S",IF(1073&lt;=$S$2+$T$2,"A",""))</f>
        <v/>
      </c>
      <c r="T1077">
        <f>IF(S1077="S",MATCH(1073,Firms!$W$5:$W$1004,0),IF(S1077="A",IFERROR(MATCH(1073-$S$2,'AFA Rates'!$R$5:$R$1004,0),""),""))</f>
        <v/>
      </c>
      <c r="U1077">
        <f>IF(S1077="S",T1077,IF(AND(S1077="A",T1077&lt;&gt;""),IFERROR(MATCH(INDEX('AFA Rates'!$A$5:$A$1004,T1077),Firms!$A$5:$A$1004,0),""),""))</f>
        <v/>
      </c>
    </row>
    <row r="1078">
      <c r="A1078" s="78">
        <f>IF($T1078="","",IF($S1078="S",IF(INDEX(Firms!$A$5:$A$1004,$T1078)="","",INDEX(Firms!$A$5:$A$1004,$T1078)),IF(INDEX('AFA Rates'!$A$5:$A$1004,$T1078)="","",INDEX('AFA Rates'!$A$5:$A$1004,$T1078))))</f>
        <v/>
      </c>
      <c r="B1078" s="79">
        <f>IF(OR($T1078="",$U1078=""),IF($T1078="","","Not on Firms tab"),INDEX(Firms!$B$5:$B$1004,$U1078)&amp;"")</f>
        <v/>
      </c>
      <c r="C1078" s="78">
        <f>IF($T1078="","",IF($S1078="S","Standard",INDEX('AFA Rates'!$B$5:$B$1004,$T1078)&amp;""))</f>
        <v/>
      </c>
      <c r="D1078" s="88">
        <f>IF($T1078="","",IF($S1078="S",IF(INDEX(Firms!$E$5:$E$1004,$T1078)="","",INDEX(Firms!$E$5:$E$1004,$T1078)),IF(INDEX('AFA Rates'!$C$5:$C$1004,$T1078)="","",INDEX('AFA Rates'!$C$5:$C$1004,$T1078))))</f>
        <v/>
      </c>
      <c r="E1078" s="88">
        <f>IF($T1078="","",IF($S1078="S",IF(""="","",""),IF(INDEX('AFA Rates'!$D$5:$D$1004,$T1078)="","",INDEX('AFA Rates'!$D$5:$D$1004,$T1078))))</f>
        <v/>
      </c>
      <c r="F1078" s="79">
        <f>IF($T1078="","",IF($S1078="S",IF(INDEX(Firms!$O$5:$O$1004,$T1078)="","",INDEX(Firms!$O$5:$O$1004,$T1078)),IF(INDEX('AFA Rates'!$O$5:$O$1004,$T1078)="","",INDEX('AFA Rates'!$O$5:$O$1004,$T1078))))</f>
        <v/>
      </c>
      <c r="G1078" s="50">
        <f>IF($T1078="","",IF($S1078="S",IF(INDEX(Firms!$F$5:$F$1004,$T1078)="","",INDEX(Firms!$F$5:$F$1004,$T1078)),IF(INDEX('AFA Rates'!$E$5:$E$1004,$T1078)="","",INDEX('AFA Rates'!$E$5:$E$1004,$T1078))))</f>
        <v/>
      </c>
      <c r="H1078" s="50">
        <f>IF($T1078="","",IF($S1078="S",IF(INDEX(Firms!$G$5:$G$1004,$T1078)="","",INDEX(Firms!$G$5:$G$1004,$T1078)),IF(INDEX('AFA Rates'!$F$5:$F$1004,$T1078)="","",INDEX('AFA Rates'!$F$5:$F$1004,$T1078))))</f>
        <v/>
      </c>
      <c r="I1078" s="50">
        <f>IF($T1078="","",IF($S1078="S",IF(INDEX(Firms!$H$5:$H$1004,$T1078)="","",INDEX(Firms!$H$5:$H$1004,$T1078)),IF(INDEX('AFA Rates'!$G$5:$G$1004,$T1078)="","",INDEX('AFA Rates'!$G$5:$G$1004,$T1078))))</f>
        <v/>
      </c>
      <c r="J1078" s="50">
        <f>IF($T1078="","",IF($S1078="S",IF(INDEX(Firms!$I$5:$I$1004,$T1078)="","",INDEX(Firms!$I$5:$I$1004,$T1078)),IF(INDEX('AFA Rates'!$H$5:$H$1004,$T1078)="","",INDEX('AFA Rates'!$H$5:$H$1004,$T1078))))</f>
        <v/>
      </c>
      <c r="K1078" s="50">
        <f>IF($T1078="","",IF($S1078="S",IF(INDEX(Firms!$J$5:$J$1004,$T1078)="","",INDEX(Firms!$J$5:$J$1004,$T1078)),IF(INDEX('AFA Rates'!$I$5:$I$1004,$T1078)="","",INDEX('AFA Rates'!$I$5:$I$1004,$T1078))))</f>
        <v/>
      </c>
      <c r="L1078" s="50">
        <f>IF($T1078="","",IF($S1078="S",IF(INDEX(Firms!$K$5:$K$1004,$T1078)="","",INDEX(Firms!$K$5:$K$1004,$T1078)),IF(INDEX('AFA Rates'!$J$5:$J$1004,$T1078)="","",INDEX('AFA Rates'!$J$5:$J$1004,$T1078))))</f>
        <v/>
      </c>
      <c r="M1078" s="50">
        <f>IF($T1078="","",IF($S1078="S",IF(INDEX(Firms!$L$5:$L$1004,$T1078)="","",INDEX(Firms!$L$5:$L$1004,$T1078)),IF(INDEX('AFA Rates'!$K$5:$K$1004,$T1078)="","",INDEX('AFA Rates'!$K$5:$K$1004,$T1078))))</f>
        <v/>
      </c>
      <c r="N1078" s="50">
        <f>IF($T1078="","",IF($S1078="S",IF(INDEX(Firms!$M$5:$M$1004,$T1078)="","",INDEX(Firms!$M$5:$M$1004,$T1078)),IF(INDEX('AFA Rates'!$L$5:$L$1004,$T1078)="","",INDEX('AFA Rates'!$L$5:$L$1004,$T1078))))</f>
        <v/>
      </c>
      <c r="O1078" s="78">
        <f>IF(OR($T1078="",$U1078=""),"",IF(INDEX(Firms!$C$5:$C$1004,$U1078)="","",INDEX(Firms!$C$5:$C$1004,$U1078)))</f>
        <v/>
      </c>
      <c r="P1078" s="79">
        <f>IF(OR($T1078="",$U1078=""),"",IF(INDEX(Firms!$N$5:$N$1004,$U1078)="","",INDEX(Firms!$N$5:$N$1004,$U1078)))</f>
        <v/>
      </c>
      <c r="Q1078" s="78">
        <f>IF($T1078="","",IF($S1078="S",IF(INDEX(Firms!$T$5:$T$1004,$T1078)="","",INDEX(Firms!$T$5:$T$1004,$T1078)),IF(INDEX('AFA Rates'!$M$5:$M$1004,$T1078)="","",INDEX('AFA Rates'!$M$5:$M$1004,$T1078))))</f>
        <v/>
      </c>
      <c r="S1078">
        <f>IF(1074&lt;=$S$2,"S",IF(1074&lt;=$S$2+$T$2,"A",""))</f>
        <v/>
      </c>
      <c r="T1078">
        <f>IF(S1078="S",MATCH(1074,Firms!$W$5:$W$1004,0),IF(S1078="A",IFERROR(MATCH(1074-$S$2,'AFA Rates'!$R$5:$R$1004,0),""),""))</f>
        <v/>
      </c>
      <c r="U1078">
        <f>IF(S1078="S",T1078,IF(AND(S1078="A",T1078&lt;&gt;""),IFERROR(MATCH(INDEX('AFA Rates'!$A$5:$A$1004,T1078),Firms!$A$5:$A$1004,0),""),""))</f>
        <v/>
      </c>
    </row>
    <row r="1079">
      <c r="A1079" s="78">
        <f>IF($T1079="","",IF($S1079="S",IF(INDEX(Firms!$A$5:$A$1004,$T1079)="","",INDEX(Firms!$A$5:$A$1004,$T1079)),IF(INDEX('AFA Rates'!$A$5:$A$1004,$T1079)="","",INDEX('AFA Rates'!$A$5:$A$1004,$T1079))))</f>
        <v/>
      </c>
      <c r="B1079" s="79">
        <f>IF(OR($T1079="",$U1079=""),IF($T1079="","","Not on Firms tab"),INDEX(Firms!$B$5:$B$1004,$U1079)&amp;"")</f>
        <v/>
      </c>
      <c r="C1079" s="78">
        <f>IF($T1079="","",IF($S1079="S","Standard",INDEX('AFA Rates'!$B$5:$B$1004,$T1079)&amp;""))</f>
        <v/>
      </c>
      <c r="D1079" s="88">
        <f>IF($T1079="","",IF($S1079="S",IF(INDEX(Firms!$E$5:$E$1004,$T1079)="","",INDEX(Firms!$E$5:$E$1004,$T1079)),IF(INDEX('AFA Rates'!$C$5:$C$1004,$T1079)="","",INDEX('AFA Rates'!$C$5:$C$1004,$T1079))))</f>
        <v/>
      </c>
      <c r="E1079" s="88">
        <f>IF($T1079="","",IF($S1079="S",IF(""="","",""),IF(INDEX('AFA Rates'!$D$5:$D$1004,$T1079)="","",INDEX('AFA Rates'!$D$5:$D$1004,$T1079))))</f>
        <v/>
      </c>
      <c r="F1079" s="79">
        <f>IF($T1079="","",IF($S1079="S",IF(INDEX(Firms!$O$5:$O$1004,$T1079)="","",INDEX(Firms!$O$5:$O$1004,$T1079)),IF(INDEX('AFA Rates'!$O$5:$O$1004,$T1079)="","",INDEX('AFA Rates'!$O$5:$O$1004,$T1079))))</f>
        <v/>
      </c>
      <c r="G1079" s="50">
        <f>IF($T1079="","",IF($S1079="S",IF(INDEX(Firms!$F$5:$F$1004,$T1079)="","",INDEX(Firms!$F$5:$F$1004,$T1079)),IF(INDEX('AFA Rates'!$E$5:$E$1004,$T1079)="","",INDEX('AFA Rates'!$E$5:$E$1004,$T1079))))</f>
        <v/>
      </c>
      <c r="H1079" s="50">
        <f>IF($T1079="","",IF($S1079="S",IF(INDEX(Firms!$G$5:$G$1004,$T1079)="","",INDEX(Firms!$G$5:$G$1004,$T1079)),IF(INDEX('AFA Rates'!$F$5:$F$1004,$T1079)="","",INDEX('AFA Rates'!$F$5:$F$1004,$T1079))))</f>
        <v/>
      </c>
      <c r="I1079" s="50">
        <f>IF($T1079="","",IF($S1079="S",IF(INDEX(Firms!$H$5:$H$1004,$T1079)="","",INDEX(Firms!$H$5:$H$1004,$T1079)),IF(INDEX('AFA Rates'!$G$5:$G$1004,$T1079)="","",INDEX('AFA Rates'!$G$5:$G$1004,$T1079))))</f>
        <v/>
      </c>
      <c r="J1079" s="50">
        <f>IF($T1079="","",IF($S1079="S",IF(INDEX(Firms!$I$5:$I$1004,$T1079)="","",INDEX(Firms!$I$5:$I$1004,$T1079)),IF(INDEX('AFA Rates'!$H$5:$H$1004,$T1079)="","",INDEX('AFA Rates'!$H$5:$H$1004,$T1079))))</f>
        <v/>
      </c>
      <c r="K1079" s="50">
        <f>IF($T1079="","",IF($S1079="S",IF(INDEX(Firms!$J$5:$J$1004,$T1079)="","",INDEX(Firms!$J$5:$J$1004,$T1079)),IF(INDEX('AFA Rates'!$I$5:$I$1004,$T1079)="","",INDEX('AFA Rates'!$I$5:$I$1004,$T1079))))</f>
        <v/>
      </c>
      <c r="L1079" s="50">
        <f>IF($T1079="","",IF($S1079="S",IF(INDEX(Firms!$K$5:$K$1004,$T1079)="","",INDEX(Firms!$K$5:$K$1004,$T1079)),IF(INDEX('AFA Rates'!$J$5:$J$1004,$T1079)="","",INDEX('AFA Rates'!$J$5:$J$1004,$T1079))))</f>
        <v/>
      </c>
      <c r="M1079" s="50">
        <f>IF($T1079="","",IF($S1079="S",IF(INDEX(Firms!$L$5:$L$1004,$T1079)="","",INDEX(Firms!$L$5:$L$1004,$T1079)),IF(INDEX('AFA Rates'!$K$5:$K$1004,$T1079)="","",INDEX('AFA Rates'!$K$5:$K$1004,$T1079))))</f>
        <v/>
      </c>
      <c r="N1079" s="50">
        <f>IF($T1079="","",IF($S1079="S",IF(INDEX(Firms!$M$5:$M$1004,$T1079)="","",INDEX(Firms!$M$5:$M$1004,$T1079)),IF(INDEX('AFA Rates'!$L$5:$L$1004,$T1079)="","",INDEX('AFA Rates'!$L$5:$L$1004,$T1079))))</f>
        <v/>
      </c>
      <c r="O1079" s="78">
        <f>IF(OR($T1079="",$U1079=""),"",IF(INDEX(Firms!$C$5:$C$1004,$U1079)="","",INDEX(Firms!$C$5:$C$1004,$U1079)))</f>
        <v/>
      </c>
      <c r="P1079" s="79">
        <f>IF(OR($T1079="",$U1079=""),"",IF(INDEX(Firms!$N$5:$N$1004,$U1079)="","",INDEX(Firms!$N$5:$N$1004,$U1079)))</f>
        <v/>
      </c>
      <c r="Q1079" s="78">
        <f>IF($T1079="","",IF($S1079="S",IF(INDEX(Firms!$T$5:$T$1004,$T1079)="","",INDEX(Firms!$T$5:$T$1004,$T1079)),IF(INDEX('AFA Rates'!$M$5:$M$1004,$T1079)="","",INDEX('AFA Rates'!$M$5:$M$1004,$T1079))))</f>
        <v/>
      </c>
      <c r="S1079">
        <f>IF(1075&lt;=$S$2,"S",IF(1075&lt;=$S$2+$T$2,"A",""))</f>
        <v/>
      </c>
      <c r="T1079">
        <f>IF(S1079="S",MATCH(1075,Firms!$W$5:$W$1004,0),IF(S1079="A",IFERROR(MATCH(1075-$S$2,'AFA Rates'!$R$5:$R$1004,0),""),""))</f>
        <v/>
      </c>
      <c r="U1079">
        <f>IF(S1079="S",T1079,IF(AND(S1079="A",T1079&lt;&gt;""),IFERROR(MATCH(INDEX('AFA Rates'!$A$5:$A$1004,T1079),Firms!$A$5:$A$1004,0),""),""))</f>
        <v/>
      </c>
    </row>
    <row r="1080">
      <c r="A1080" s="78">
        <f>IF($T1080="","",IF($S1080="S",IF(INDEX(Firms!$A$5:$A$1004,$T1080)="","",INDEX(Firms!$A$5:$A$1004,$T1080)),IF(INDEX('AFA Rates'!$A$5:$A$1004,$T1080)="","",INDEX('AFA Rates'!$A$5:$A$1004,$T1080))))</f>
        <v/>
      </c>
      <c r="B1080" s="79">
        <f>IF(OR($T1080="",$U1080=""),IF($T1080="","","Not on Firms tab"),INDEX(Firms!$B$5:$B$1004,$U1080)&amp;"")</f>
        <v/>
      </c>
      <c r="C1080" s="78">
        <f>IF($T1080="","",IF($S1080="S","Standard",INDEX('AFA Rates'!$B$5:$B$1004,$T1080)&amp;""))</f>
        <v/>
      </c>
      <c r="D1080" s="88">
        <f>IF($T1080="","",IF($S1080="S",IF(INDEX(Firms!$E$5:$E$1004,$T1080)="","",INDEX(Firms!$E$5:$E$1004,$T1080)),IF(INDEX('AFA Rates'!$C$5:$C$1004,$T1080)="","",INDEX('AFA Rates'!$C$5:$C$1004,$T1080))))</f>
        <v/>
      </c>
      <c r="E1080" s="88">
        <f>IF($T1080="","",IF($S1080="S",IF(""="","",""),IF(INDEX('AFA Rates'!$D$5:$D$1004,$T1080)="","",INDEX('AFA Rates'!$D$5:$D$1004,$T1080))))</f>
        <v/>
      </c>
      <c r="F1080" s="79">
        <f>IF($T1080="","",IF($S1080="S",IF(INDEX(Firms!$O$5:$O$1004,$T1080)="","",INDEX(Firms!$O$5:$O$1004,$T1080)),IF(INDEX('AFA Rates'!$O$5:$O$1004,$T1080)="","",INDEX('AFA Rates'!$O$5:$O$1004,$T1080))))</f>
        <v/>
      </c>
      <c r="G1080" s="50">
        <f>IF($T1080="","",IF($S1080="S",IF(INDEX(Firms!$F$5:$F$1004,$T1080)="","",INDEX(Firms!$F$5:$F$1004,$T1080)),IF(INDEX('AFA Rates'!$E$5:$E$1004,$T1080)="","",INDEX('AFA Rates'!$E$5:$E$1004,$T1080))))</f>
        <v/>
      </c>
      <c r="H1080" s="50">
        <f>IF($T1080="","",IF($S1080="S",IF(INDEX(Firms!$G$5:$G$1004,$T1080)="","",INDEX(Firms!$G$5:$G$1004,$T1080)),IF(INDEX('AFA Rates'!$F$5:$F$1004,$T1080)="","",INDEX('AFA Rates'!$F$5:$F$1004,$T1080))))</f>
        <v/>
      </c>
      <c r="I1080" s="50">
        <f>IF($T1080="","",IF($S1080="S",IF(INDEX(Firms!$H$5:$H$1004,$T1080)="","",INDEX(Firms!$H$5:$H$1004,$T1080)),IF(INDEX('AFA Rates'!$G$5:$G$1004,$T1080)="","",INDEX('AFA Rates'!$G$5:$G$1004,$T1080))))</f>
        <v/>
      </c>
      <c r="J1080" s="50">
        <f>IF($T1080="","",IF($S1080="S",IF(INDEX(Firms!$I$5:$I$1004,$T1080)="","",INDEX(Firms!$I$5:$I$1004,$T1080)),IF(INDEX('AFA Rates'!$H$5:$H$1004,$T1080)="","",INDEX('AFA Rates'!$H$5:$H$1004,$T1080))))</f>
        <v/>
      </c>
      <c r="K1080" s="50">
        <f>IF($T1080="","",IF($S1080="S",IF(INDEX(Firms!$J$5:$J$1004,$T1080)="","",INDEX(Firms!$J$5:$J$1004,$T1080)),IF(INDEX('AFA Rates'!$I$5:$I$1004,$T1080)="","",INDEX('AFA Rates'!$I$5:$I$1004,$T1080))))</f>
        <v/>
      </c>
      <c r="L1080" s="50">
        <f>IF($T1080="","",IF($S1080="S",IF(INDEX(Firms!$K$5:$K$1004,$T1080)="","",INDEX(Firms!$K$5:$K$1004,$T1080)),IF(INDEX('AFA Rates'!$J$5:$J$1004,$T1080)="","",INDEX('AFA Rates'!$J$5:$J$1004,$T1080))))</f>
        <v/>
      </c>
      <c r="M1080" s="50">
        <f>IF($T1080="","",IF($S1080="S",IF(INDEX(Firms!$L$5:$L$1004,$T1080)="","",INDEX(Firms!$L$5:$L$1004,$T1080)),IF(INDEX('AFA Rates'!$K$5:$K$1004,$T1080)="","",INDEX('AFA Rates'!$K$5:$K$1004,$T1080))))</f>
        <v/>
      </c>
      <c r="N1080" s="50">
        <f>IF($T1080="","",IF($S1080="S",IF(INDEX(Firms!$M$5:$M$1004,$T1080)="","",INDEX(Firms!$M$5:$M$1004,$T1080)),IF(INDEX('AFA Rates'!$L$5:$L$1004,$T1080)="","",INDEX('AFA Rates'!$L$5:$L$1004,$T1080))))</f>
        <v/>
      </c>
      <c r="O1080" s="78">
        <f>IF(OR($T1080="",$U1080=""),"",IF(INDEX(Firms!$C$5:$C$1004,$U1080)="","",INDEX(Firms!$C$5:$C$1004,$U1080)))</f>
        <v/>
      </c>
      <c r="P1080" s="79">
        <f>IF(OR($T1080="",$U1080=""),"",IF(INDEX(Firms!$N$5:$N$1004,$U1080)="","",INDEX(Firms!$N$5:$N$1004,$U1080)))</f>
        <v/>
      </c>
      <c r="Q1080" s="78">
        <f>IF($T1080="","",IF($S1080="S",IF(INDEX(Firms!$T$5:$T$1004,$T1080)="","",INDEX(Firms!$T$5:$T$1004,$T1080)),IF(INDEX('AFA Rates'!$M$5:$M$1004,$T1080)="","",INDEX('AFA Rates'!$M$5:$M$1004,$T1080))))</f>
        <v/>
      </c>
      <c r="S1080">
        <f>IF(1076&lt;=$S$2,"S",IF(1076&lt;=$S$2+$T$2,"A",""))</f>
        <v/>
      </c>
      <c r="T1080">
        <f>IF(S1080="S",MATCH(1076,Firms!$W$5:$W$1004,0),IF(S1080="A",IFERROR(MATCH(1076-$S$2,'AFA Rates'!$R$5:$R$1004,0),""),""))</f>
        <v/>
      </c>
      <c r="U1080">
        <f>IF(S1080="S",T1080,IF(AND(S1080="A",T1080&lt;&gt;""),IFERROR(MATCH(INDEX('AFA Rates'!$A$5:$A$1004,T1080),Firms!$A$5:$A$1004,0),""),""))</f>
        <v/>
      </c>
    </row>
    <row r="1081">
      <c r="A1081" s="78">
        <f>IF($T1081="","",IF($S1081="S",IF(INDEX(Firms!$A$5:$A$1004,$T1081)="","",INDEX(Firms!$A$5:$A$1004,$T1081)),IF(INDEX('AFA Rates'!$A$5:$A$1004,$T1081)="","",INDEX('AFA Rates'!$A$5:$A$1004,$T1081))))</f>
        <v/>
      </c>
      <c r="B1081" s="79">
        <f>IF(OR($T1081="",$U1081=""),IF($T1081="","","Not on Firms tab"),INDEX(Firms!$B$5:$B$1004,$U1081)&amp;"")</f>
        <v/>
      </c>
      <c r="C1081" s="78">
        <f>IF($T1081="","",IF($S1081="S","Standard",INDEX('AFA Rates'!$B$5:$B$1004,$T1081)&amp;""))</f>
        <v/>
      </c>
      <c r="D1081" s="88">
        <f>IF($T1081="","",IF($S1081="S",IF(INDEX(Firms!$E$5:$E$1004,$T1081)="","",INDEX(Firms!$E$5:$E$1004,$T1081)),IF(INDEX('AFA Rates'!$C$5:$C$1004,$T1081)="","",INDEX('AFA Rates'!$C$5:$C$1004,$T1081))))</f>
        <v/>
      </c>
      <c r="E1081" s="88">
        <f>IF($T1081="","",IF($S1081="S",IF(""="","",""),IF(INDEX('AFA Rates'!$D$5:$D$1004,$T1081)="","",INDEX('AFA Rates'!$D$5:$D$1004,$T1081))))</f>
        <v/>
      </c>
      <c r="F1081" s="79">
        <f>IF($T1081="","",IF($S1081="S",IF(INDEX(Firms!$O$5:$O$1004,$T1081)="","",INDEX(Firms!$O$5:$O$1004,$T1081)),IF(INDEX('AFA Rates'!$O$5:$O$1004,$T1081)="","",INDEX('AFA Rates'!$O$5:$O$1004,$T1081))))</f>
        <v/>
      </c>
      <c r="G1081" s="50">
        <f>IF($T1081="","",IF($S1081="S",IF(INDEX(Firms!$F$5:$F$1004,$T1081)="","",INDEX(Firms!$F$5:$F$1004,$T1081)),IF(INDEX('AFA Rates'!$E$5:$E$1004,$T1081)="","",INDEX('AFA Rates'!$E$5:$E$1004,$T1081))))</f>
        <v/>
      </c>
      <c r="H1081" s="50">
        <f>IF($T1081="","",IF($S1081="S",IF(INDEX(Firms!$G$5:$G$1004,$T1081)="","",INDEX(Firms!$G$5:$G$1004,$T1081)),IF(INDEX('AFA Rates'!$F$5:$F$1004,$T1081)="","",INDEX('AFA Rates'!$F$5:$F$1004,$T1081))))</f>
        <v/>
      </c>
      <c r="I1081" s="50">
        <f>IF($T1081="","",IF($S1081="S",IF(INDEX(Firms!$H$5:$H$1004,$T1081)="","",INDEX(Firms!$H$5:$H$1004,$T1081)),IF(INDEX('AFA Rates'!$G$5:$G$1004,$T1081)="","",INDEX('AFA Rates'!$G$5:$G$1004,$T1081))))</f>
        <v/>
      </c>
      <c r="J1081" s="50">
        <f>IF($T1081="","",IF($S1081="S",IF(INDEX(Firms!$I$5:$I$1004,$T1081)="","",INDEX(Firms!$I$5:$I$1004,$T1081)),IF(INDEX('AFA Rates'!$H$5:$H$1004,$T1081)="","",INDEX('AFA Rates'!$H$5:$H$1004,$T1081))))</f>
        <v/>
      </c>
      <c r="K1081" s="50">
        <f>IF($T1081="","",IF($S1081="S",IF(INDEX(Firms!$J$5:$J$1004,$T1081)="","",INDEX(Firms!$J$5:$J$1004,$T1081)),IF(INDEX('AFA Rates'!$I$5:$I$1004,$T1081)="","",INDEX('AFA Rates'!$I$5:$I$1004,$T1081))))</f>
        <v/>
      </c>
      <c r="L1081" s="50">
        <f>IF($T1081="","",IF($S1081="S",IF(INDEX(Firms!$K$5:$K$1004,$T1081)="","",INDEX(Firms!$K$5:$K$1004,$T1081)),IF(INDEX('AFA Rates'!$J$5:$J$1004,$T1081)="","",INDEX('AFA Rates'!$J$5:$J$1004,$T1081))))</f>
        <v/>
      </c>
      <c r="M1081" s="50">
        <f>IF($T1081="","",IF($S1081="S",IF(INDEX(Firms!$L$5:$L$1004,$T1081)="","",INDEX(Firms!$L$5:$L$1004,$T1081)),IF(INDEX('AFA Rates'!$K$5:$K$1004,$T1081)="","",INDEX('AFA Rates'!$K$5:$K$1004,$T1081))))</f>
        <v/>
      </c>
      <c r="N1081" s="50">
        <f>IF($T1081="","",IF($S1081="S",IF(INDEX(Firms!$M$5:$M$1004,$T1081)="","",INDEX(Firms!$M$5:$M$1004,$T1081)),IF(INDEX('AFA Rates'!$L$5:$L$1004,$T1081)="","",INDEX('AFA Rates'!$L$5:$L$1004,$T1081))))</f>
        <v/>
      </c>
      <c r="O1081" s="78">
        <f>IF(OR($T1081="",$U1081=""),"",IF(INDEX(Firms!$C$5:$C$1004,$U1081)="","",INDEX(Firms!$C$5:$C$1004,$U1081)))</f>
        <v/>
      </c>
      <c r="P1081" s="79">
        <f>IF(OR($T1081="",$U1081=""),"",IF(INDEX(Firms!$N$5:$N$1004,$U1081)="","",INDEX(Firms!$N$5:$N$1004,$U1081)))</f>
        <v/>
      </c>
      <c r="Q1081" s="78">
        <f>IF($T1081="","",IF($S1081="S",IF(INDEX(Firms!$T$5:$T$1004,$T1081)="","",INDEX(Firms!$T$5:$T$1004,$T1081)),IF(INDEX('AFA Rates'!$M$5:$M$1004,$T1081)="","",INDEX('AFA Rates'!$M$5:$M$1004,$T1081))))</f>
        <v/>
      </c>
      <c r="S1081">
        <f>IF(1077&lt;=$S$2,"S",IF(1077&lt;=$S$2+$T$2,"A",""))</f>
        <v/>
      </c>
      <c r="T1081">
        <f>IF(S1081="S",MATCH(1077,Firms!$W$5:$W$1004,0),IF(S1081="A",IFERROR(MATCH(1077-$S$2,'AFA Rates'!$R$5:$R$1004,0),""),""))</f>
        <v/>
      </c>
      <c r="U1081">
        <f>IF(S1081="S",T1081,IF(AND(S1081="A",T1081&lt;&gt;""),IFERROR(MATCH(INDEX('AFA Rates'!$A$5:$A$1004,T1081),Firms!$A$5:$A$1004,0),""),""))</f>
        <v/>
      </c>
    </row>
    <row r="1082">
      <c r="A1082" s="78">
        <f>IF($T1082="","",IF($S1082="S",IF(INDEX(Firms!$A$5:$A$1004,$T1082)="","",INDEX(Firms!$A$5:$A$1004,$T1082)),IF(INDEX('AFA Rates'!$A$5:$A$1004,$T1082)="","",INDEX('AFA Rates'!$A$5:$A$1004,$T1082))))</f>
        <v/>
      </c>
      <c r="B1082" s="79">
        <f>IF(OR($T1082="",$U1082=""),IF($T1082="","","Not on Firms tab"),INDEX(Firms!$B$5:$B$1004,$U1082)&amp;"")</f>
        <v/>
      </c>
      <c r="C1082" s="78">
        <f>IF($T1082="","",IF($S1082="S","Standard",INDEX('AFA Rates'!$B$5:$B$1004,$T1082)&amp;""))</f>
        <v/>
      </c>
      <c r="D1082" s="88">
        <f>IF($T1082="","",IF($S1082="S",IF(INDEX(Firms!$E$5:$E$1004,$T1082)="","",INDEX(Firms!$E$5:$E$1004,$T1082)),IF(INDEX('AFA Rates'!$C$5:$C$1004,$T1082)="","",INDEX('AFA Rates'!$C$5:$C$1004,$T1082))))</f>
        <v/>
      </c>
      <c r="E1082" s="88">
        <f>IF($T1082="","",IF($S1082="S",IF(""="","",""),IF(INDEX('AFA Rates'!$D$5:$D$1004,$T1082)="","",INDEX('AFA Rates'!$D$5:$D$1004,$T1082))))</f>
        <v/>
      </c>
      <c r="F1082" s="79">
        <f>IF($T1082="","",IF($S1082="S",IF(INDEX(Firms!$O$5:$O$1004,$T1082)="","",INDEX(Firms!$O$5:$O$1004,$T1082)),IF(INDEX('AFA Rates'!$O$5:$O$1004,$T1082)="","",INDEX('AFA Rates'!$O$5:$O$1004,$T1082))))</f>
        <v/>
      </c>
      <c r="G1082" s="50">
        <f>IF($T1082="","",IF($S1082="S",IF(INDEX(Firms!$F$5:$F$1004,$T1082)="","",INDEX(Firms!$F$5:$F$1004,$T1082)),IF(INDEX('AFA Rates'!$E$5:$E$1004,$T1082)="","",INDEX('AFA Rates'!$E$5:$E$1004,$T1082))))</f>
        <v/>
      </c>
      <c r="H1082" s="50">
        <f>IF($T1082="","",IF($S1082="S",IF(INDEX(Firms!$G$5:$G$1004,$T1082)="","",INDEX(Firms!$G$5:$G$1004,$T1082)),IF(INDEX('AFA Rates'!$F$5:$F$1004,$T1082)="","",INDEX('AFA Rates'!$F$5:$F$1004,$T1082))))</f>
        <v/>
      </c>
      <c r="I1082" s="50">
        <f>IF($T1082="","",IF($S1082="S",IF(INDEX(Firms!$H$5:$H$1004,$T1082)="","",INDEX(Firms!$H$5:$H$1004,$T1082)),IF(INDEX('AFA Rates'!$G$5:$G$1004,$T1082)="","",INDEX('AFA Rates'!$G$5:$G$1004,$T1082))))</f>
        <v/>
      </c>
      <c r="J1082" s="50">
        <f>IF($T1082="","",IF($S1082="S",IF(INDEX(Firms!$I$5:$I$1004,$T1082)="","",INDEX(Firms!$I$5:$I$1004,$T1082)),IF(INDEX('AFA Rates'!$H$5:$H$1004,$T1082)="","",INDEX('AFA Rates'!$H$5:$H$1004,$T1082))))</f>
        <v/>
      </c>
      <c r="K1082" s="50">
        <f>IF($T1082="","",IF($S1082="S",IF(INDEX(Firms!$J$5:$J$1004,$T1082)="","",INDEX(Firms!$J$5:$J$1004,$T1082)),IF(INDEX('AFA Rates'!$I$5:$I$1004,$T1082)="","",INDEX('AFA Rates'!$I$5:$I$1004,$T1082))))</f>
        <v/>
      </c>
      <c r="L1082" s="50">
        <f>IF($T1082="","",IF($S1082="S",IF(INDEX(Firms!$K$5:$K$1004,$T1082)="","",INDEX(Firms!$K$5:$K$1004,$T1082)),IF(INDEX('AFA Rates'!$J$5:$J$1004,$T1082)="","",INDEX('AFA Rates'!$J$5:$J$1004,$T1082))))</f>
        <v/>
      </c>
      <c r="M1082" s="50">
        <f>IF($T1082="","",IF($S1082="S",IF(INDEX(Firms!$L$5:$L$1004,$T1082)="","",INDEX(Firms!$L$5:$L$1004,$T1082)),IF(INDEX('AFA Rates'!$K$5:$K$1004,$T1082)="","",INDEX('AFA Rates'!$K$5:$K$1004,$T1082))))</f>
        <v/>
      </c>
      <c r="N1082" s="50">
        <f>IF($T1082="","",IF($S1082="S",IF(INDEX(Firms!$M$5:$M$1004,$T1082)="","",INDEX(Firms!$M$5:$M$1004,$T1082)),IF(INDEX('AFA Rates'!$L$5:$L$1004,$T1082)="","",INDEX('AFA Rates'!$L$5:$L$1004,$T1082))))</f>
        <v/>
      </c>
      <c r="O1082" s="78">
        <f>IF(OR($T1082="",$U1082=""),"",IF(INDEX(Firms!$C$5:$C$1004,$U1082)="","",INDEX(Firms!$C$5:$C$1004,$U1082)))</f>
        <v/>
      </c>
      <c r="P1082" s="79">
        <f>IF(OR($T1082="",$U1082=""),"",IF(INDEX(Firms!$N$5:$N$1004,$U1082)="","",INDEX(Firms!$N$5:$N$1004,$U1082)))</f>
        <v/>
      </c>
      <c r="Q1082" s="78">
        <f>IF($T1082="","",IF($S1082="S",IF(INDEX(Firms!$T$5:$T$1004,$T1082)="","",INDEX(Firms!$T$5:$T$1004,$T1082)),IF(INDEX('AFA Rates'!$M$5:$M$1004,$T1082)="","",INDEX('AFA Rates'!$M$5:$M$1004,$T1082))))</f>
        <v/>
      </c>
      <c r="S1082">
        <f>IF(1078&lt;=$S$2,"S",IF(1078&lt;=$S$2+$T$2,"A",""))</f>
        <v/>
      </c>
      <c r="T1082">
        <f>IF(S1082="S",MATCH(1078,Firms!$W$5:$W$1004,0),IF(S1082="A",IFERROR(MATCH(1078-$S$2,'AFA Rates'!$R$5:$R$1004,0),""),""))</f>
        <v/>
      </c>
      <c r="U1082">
        <f>IF(S1082="S",T1082,IF(AND(S1082="A",T1082&lt;&gt;""),IFERROR(MATCH(INDEX('AFA Rates'!$A$5:$A$1004,T1082),Firms!$A$5:$A$1004,0),""),""))</f>
        <v/>
      </c>
    </row>
    <row r="1083">
      <c r="A1083" s="78">
        <f>IF($T1083="","",IF($S1083="S",IF(INDEX(Firms!$A$5:$A$1004,$T1083)="","",INDEX(Firms!$A$5:$A$1004,$T1083)),IF(INDEX('AFA Rates'!$A$5:$A$1004,$T1083)="","",INDEX('AFA Rates'!$A$5:$A$1004,$T1083))))</f>
        <v/>
      </c>
      <c r="B1083" s="79">
        <f>IF(OR($T1083="",$U1083=""),IF($T1083="","","Not on Firms tab"),INDEX(Firms!$B$5:$B$1004,$U1083)&amp;"")</f>
        <v/>
      </c>
      <c r="C1083" s="78">
        <f>IF($T1083="","",IF($S1083="S","Standard",INDEX('AFA Rates'!$B$5:$B$1004,$T1083)&amp;""))</f>
        <v/>
      </c>
      <c r="D1083" s="88">
        <f>IF($T1083="","",IF($S1083="S",IF(INDEX(Firms!$E$5:$E$1004,$T1083)="","",INDEX(Firms!$E$5:$E$1004,$T1083)),IF(INDEX('AFA Rates'!$C$5:$C$1004,$T1083)="","",INDEX('AFA Rates'!$C$5:$C$1004,$T1083))))</f>
        <v/>
      </c>
      <c r="E1083" s="88">
        <f>IF($T1083="","",IF($S1083="S",IF(""="","",""),IF(INDEX('AFA Rates'!$D$5:$D$1004,$T1083)="","",INDEX('AFA Rates'!$D$5:$D$1004,$T1083))))</f>
        <v/>
      </c>
      <c r="F1083" s="79">
        <f>IF($T1083="","",IF($S1083="S",IF(INDEX(Firms!$O$5:$O$1004,$T1083)="","",INDEX(Firms!$O$5:$O$1004,$T1083)),IF(INDEX('AFA Rates'!$O$5:$O$1004,$T1083)="","",INDEX('AFA Rates'!$O$5:$O$1004,$T1083))))</f>
        <v/>
      </c>
      <c r="G1083" s="50">
        <f>IF($T1083="","",IF($S1083="S",IF(INDEX(Firms!$F$5:$F$1004,$T1083)="","",INDEX(Firms!$F$5:$F$1004,$T1083)),IF(INDEX('AFA Rates'!$E$5:$E$1004,$T1083)="","",INDEX('AFA Rates'!$E$5:$E$1004,$T1083))))</f>
        <v/>
      </c>
      <c r="H1083" s="50">
        <f>IF($T1083="","",IF($S1083="S",IF(INDEX(Firms!$G$5:$G$1004,$T1083)="","",INDEX(Firms!$G$5:$G$1004,$T1083)),IF(INDEX('AFA Rates'!$F$5:$F$1004,$T1083)="","",INDEX('AFA Rates'!$F$5:$F$1004,$T1083))))</f>
        <v/>
      </c>
      <c r="I1083" s="50">
        <f>IF($T1083="","",IF($S1083="S",IF(INDEX(Firms!$H$5:$H$1004,$T1083)="","",INDEX(Firms!$H$5:$H$1004,$T1083)),IF(INDEX('AFA Rates'!$G$5:$G$1004,$T1083)="","",INDEX('AFA Rates'!$G$5:$G$1004,$T1083))))</f>
        <v/>
      </c>
      <c r="J1083" s="50">
        <f>IF($T1083="","",IF($S1083="S",IF(INDEX(Firms!$I$5:$I$1004,$T1083)="","",INDEX(Firms!$I$5:$I$1004,$T1083)),IF(INDEX('AFA Rates'!$H$5:$H$1004,$T1083)="","",INDEX('AFA Rates'!$H$5:$H$1004,$T1083))))</f>
        <v/>
      </c>
      <c r="K1083" s="50">
        <f>IF($T1083="","",IF($S1083="S",IF(INDEX(Firms!$J$5:$J$1004,$T1083)="","",INDEX(Firms!$J$5:$J$1004,$T1083)),IF(INDEX('AFA Rates'!$I$5:$I$1004,$T1083)="","",INDEX('AFA Rates'!$I$5:$I$1004,$T1083))))</f>
        <v/>
      </c>
      <c r="L1083" s="50">
        <f>IF($T1083="","",IF($S1083="S",IF(INDEX(Firms!$K$5:$K$1004,$T1083)="","",INDEX(Firms!$K$5:$K$1004,$T1083)),IF(INDEX('AFA Rates'!$J$5:$J$1004,$T1083)="","",INDEX('AFA Rates'!$J$5:$J$1004,$T1083))))</f>
        <v/>
      </c>
      <c r="M1083" s="50">
        <f>IF($T1083="","",IF($S1083="S",IF(INDEX(Firms!$L$5:$L$1004,$T1083)="","",INDEX(Firms!$L$5:$L$1004,$T1083)),IF(INDEX('AFA Rates'!$K$5:$K$1004,$T1083)="","",INDEX('AFA Rates'!$K$5:$K$1004,$T1083))))</f>
        <v/>
      </c>
      <c r="N1083" s="50">
        <f>IF($T1083="","",IF($S1083="S",IF(INDEX(Firms!$M$5:$M$1004,$T1083)="","",INDEX(Firms!$M$5:$M$1004,$T1083)),IF(INDEX('AFA Rates'!$L$5:$L$1004,$T1083)="","",INDEX('AFA Rates'!$L$5:$L$1004,$T1083))))</f>
        <v/>
      </c>
      <c r="O1083" s="78">
        <f>IF(OR($T1083="",$U1083=""),"",IF(INDEX(Firms!$C$5:$C$1004,$U1083)="","",INDEX(Firms!$C$5:$C$1004,$U1083)))</f>
        <v/>
      </c>
      <c r="P1083" s="79">
        <f>IF(OR($T1083="",$U1083=""),"",IF(INDEX(Firms!$N$5:$N$1004,$U1083)="","",INDEX(Firms!$N$5:$N$1004,$U1083)))</f>
        <v/>
      </c>
      <c r="Q1083" s="78">
        <f>IF($T1083="","",IF($S1083="S",IF(INDEX(Firms!$T$5:$T$1004,$T1083)="","",INDEX(Firms!$T$5:$T$1004,$T1083)),IF(INDEX('AFA Rates'!$M$5:$M$1004,$T1083)="","",INDEX('AFA Rates'!$M$5:$M$1004,$T1083))))</f>
        <v/>
      </c>
      <c r="S1083">
        <f>IF(1079&lt;=$S$2,"S",IF(1079&lt;=$S$2+$T$2,"A",""))</f>
        <v/>
      </c>
      <c r="T1083">
        <f>IF(S1083="S",MATCH(1079,Firms!$W$5:$W$1004,0),IF(S1083="A",IFERROR(MATCH(1079-$S$2,'AFA Rates'!$R$5:$R$1004,0),""),""))</f>
        <v/>
      </c>
      <c r="U1083">
        <f>IF(S1083="S",T1083,IF(AND(S1083="A",T1083&lt;&gt;""),IFERROR(MATCH(INDEX('AFA Rates'!$A$5:$A$1004,T1083),Firms!$A$5:$A$1004,0),""),""))</f>
        <v/>
      </c>
    </row>
    <row r="1084">
      <c r="A1084" s="78">
        <f>IF($T1084="","",IF($S1084="S",IF(INDEX(Firms!$A$5:$A$1004,$T1084)="","",INDEX(Firms!$A$5:$A$1004,$T1084)),IF(INDEX('AFA Rates'!$A$5:$A$1004,$T1084)="","",INDEX('AFA Rates'!$A$5:$A$1004,$T1084))))</f>
        <v/>
      </c>
      <c r="B1084" s="79">
        <f>IF(OR($T1084="",$U1084=""),IF($T1084="","","Not on Firms tab"),INDEX(Firms!$B$5:$B$1004,$U1084)&amp;"")</f>
        <v/>
      </c>
      <c r="C1084" s="78">
        <f>IF($T1084="","",IF($S1084="S","Standard",INDEX('AFA Rates'!$B$5:$B$1004,$T1084)&amp;""))</f>
        <v/>
      </c>
      <c r="D1084" s="88">
        <f>IF($T1084="","",IF($S1084="S",IF(INDEX(Firms!$E$5:$E$1004,$T1084)="","",INDEX(Firms!$E$5:$E$1004,$T1084)),IF(INDEX('AFA Rates'!$C$5:$C$1004,$T1084)="","",INDEX('AFA Rates'!$C$5:$C$1004,$T1084))))</f>
        <v/>
      </c>
      <c r="E1084" s="88">
        <f>IF($T1084="","",IF($S1084="S",IF(""="","",""),IF(INDEX('AFA Rates'!$D$5:$D$1004,$T1084)="","",INDEX('AFA Rates'!$D$5:$D$1004,$T1084))))</f>
        <v/>
      </c>
      <c r="F1084" s="79">
        <f>IF($T1084="","",IF($S1084="S",IF(INDEX(Firms!$O$5:$O$1004,$T1084)="","",INDEX(Firms!$O$5:$O$1004,$T1084)),IF(INDEX('AFA Rates'!$O$5:$O$1004,$T1084)="","",INDEX('AFA Rates'!$O$5:$O$1004,$T1084))))</f>
        <v/>
      </c>
      <c r="G1084" s="50">
        <f>IF($T1084="","",IF($S1084="S",IF(INDEX(Firms!$F$5:$F$1004,$T1084)="","",INDEX(Firms!$F$5:$F$1004,$T1084)),IF(INDEX('AFA Rates'!$E$5:$E$1004,$T1084)="","",INDEX('AFA Rates'!$E$5:$E$1004,$T1084))))</f>
        <v/>
      </c>
      <c r="H1084" s="50">
        <f>IF($T1084="","",IF($S1084="S",IF(INDEX(Firms!$G$5:$G$1004,$T1084)="","",INDEX(Firms!$G$5:$G$1004,$T1084)),IF(INDEX('AFA Rates'!$F$5:$F$1004,$T1084)="","",INDEX('AFA Rates'!$F$5:$F$1004,$T1084))))</f>
        <v/>
      </c>
      <c r="I1084" s="50">
        <f>IF($T1084="","",IF($S1084="S",IF(INDEX(Firms!$H$5:$H$1004,$T1084)="","",INDEX(Firms!$H$5:$H$1004,$T1084)),IF(INDEX('AFA Rates'!$G$5:$G$1004,$T1084)="","",INDEX('AFA Rates'!$G$5:$G$1004,$T1084))))</f>
        <v/>
      </c>
      <c r="J1084" s="50">
        <f>IF($T1084="","",IF($S1084="S",IF(INDEX(Firms!$I$5:$I$1004,$T1084)="","",INDEX(Firms!$I$5:$I$1004,$T1084)),IF(INDEX('AFA Rates'!$H$5:$H$1004,$T1084)="","",INDEX('AFA Rates'!$H$5:$H$1004,$T1084))))</f>
        <v/>
      </c>
      <c r="K1084" s="50">
        <f>IF($T1084="","",IF($S1084="S",IF(INDEX(Firms!$J$5:$J$1004,$T1084)="","",INDEX(Firms!$J$5:$J$1004,$T1084)),IF(INDEX('AFA Rates'!$I$5:$I$1004,$T1084)="","",INDEX('AFA Rates'!$I$5:$I$1004,$T1084))))</f>
        <v/>
      </c>
      <c r="L1084" s="50">
        <f>IF($T1084="","",IF($S1084="S",IF(INDEX(Firms!$K$5:$K$1004,$T1084)="","",INDEX(Firms!$K$5:$K$1004,$T1084)),IF(INDEX('AFA Rates'!$J$5:$J$1004,$T1084)="","",INDEX('AFA Rates'!$J$5:$J$1004,$T1084))))</f>
        <v/>
      </c>
      <c r="M1084" s="50">
        <f>IF($T1084="","",IF($S1084="S",IF(INDEX(Firms!$L$5:$L$1004,$T1084)="","",INDEX(Firms!$L$5:$L$1004,$T1084)),IF(INDEX('AFA Rates'!$K$5:$K$1004,$T1084)="","",INDEX('AFA Rates'!$K$5:$K$1004,$T1084))))</f>
        <v/>
      </c>
      <c r="N1084" s="50">
        <f>IF($T1084="","",IF($S1084="S",IF(INDEX(Firms!$M$5:$M$1004,$T1084)="","",INDEX(Firms!$M$5:$M$1004,$T1084)),IF(INDEX('AFA Rates'!$L$5:$L$1004,$T1084)="","",INDEX('AFA Rates'!$L$5:$L$1004,$T1084))))</f>
        <v/>
      </c>
      <c r="O1084" s="78">
        <f>IF(OR($T1084="",$U1084=""),"",IF(INDEX(Firms!$C$5:$C$1004,$U1084)="","",INDEX(Firms!$C$5:$C$1004,$U1084)))</f>
        <v/>
      </c>
      <c r="P1084" s="79">
        <f>IF(OR($T1084="",$U1084=""),"",IF(INDEX(Firms!$N$5:$N$1004,$U1084)="","",INDEX(Firms!$N$5:$N$1004,$U1084)))</f>
        <v/>
      </c>
      <c r="Q1084" s="78">
        <f>IF($T1084="","",IF($S1084="S",IF(INDEX(Firms!$T$5:$T$1004,$T1084)="","",INDEX(Firms!$T$5:$T$1004,$T1084)),IF(INDEX('AFA Rates'!$M$5:$M$1004,$T1084)="","",INDEX('AFA Rates'!$M$5:$M$1004,$T1084))))</f>
        <v/>
      </c>
      <c r="S1084">
        <f>IF(1080&lt;=$S$2,"S",IF(1080&lt;=$S$2+$T$2,"A",""))</f>
        <v/>
      </c>
      <c r="T1084">
        <f>IF(S1084="S",MATCH(1080,Firms!$W$5:$W$1004,0),IF(S1084="A",IFERROR(MATCH(1080-$S$2,'AFA Rates'!$R$5:$R$1004,0),""),""))</f>
        <v/>
      </c>
      <c r="U1084">
        <f>IF(S1084="S",T1084,IF(AND(S1084="A",T1084&lt;&gt;""),IFERROR(MATCH(INDEX('AFA Rates'!$A$5:$A$1004,T1084),Firms!$A$5:$A$1004,0),""),""))</f>
        <v/>
      </c>
    </row>
    <row r="1085">
      <c r="A1085" s="78">
        <f>IF($T1085="","",IF($S1085="S",IF(INDEX(Firms!$A$5:$A$1004,$T1085)="","",INDEX(Firms!$A$5:$A$1004,$T1085)),IF(INDEX('AFA Rates'!$A$5:$A$1004,$T1085)="","",INDEX('AFA Rates'!$A$5:$A$1004,$T1085))))</f>
        <v/>
      </c>
      <c r="B1085" s="79">
        <f>IF(OR($T1085="",$U1085=""),IF($T1085="","","Not on Firms tab"),INDEX(Firms!$B$5:$B$1004,$U1085)&amp;"")</f>
        <v/>
      </c>
      <c r="C1085" s="78">
        <f>IF($T1085="","",IF($S1085="S","Standard",INDEX('AFA Rates'!$B$5:$B$1004,$T1085)&amp;""))</f>
        <v/>
      </c>
      <c r="D1085" s="88">
        <f>IF($T1085="","",IF($S1085="S",IF(INDEX(Firms!$E$5:$E$1004,$T1085)="","",INDEX(Firms!$E$5:$E$1004,$T1085)),IF(INDEX('AFA Rates'!$C$5:$C$1004,$T1085)="","",INDEX('AFA Rates'!$C$5:$C$1004,$T1085))))</f>
        <v/>
      </c>
      <c r="E1085" s="88">
        <f>IF($T1085="","",IF($S1085="S",IF(""="","",""),IF(INDEX('AFA Rates'!$D$5:$D$1004,$T1085)="","",INDEX('AFA Rates'!$D$5:$D$1004,$T1085))))</f>
        <v/>
      </c>
      <c r="F1085" s="79">
        <f>IF($T1085="","",IF($S1085="S",IF(INDEX(Firms!$O$5:$O$1004,$T1085)="","",INDEX(Firms!$O$5:$O$1004,$T1085)),IF(INDEX('AFA Rates'!$O$5:$O$1004,$T1085)="","",INDEX('AFA Rates'!$O$5:$O$1004,$T1085))))</f>
        <v/>
      </c>
      <c r="G1085" s="50">
        <f>IF($T1085="","",IF($S1085="S",IF(INDEX(Firms!$F$5:$F$1004,$T1085)="","",INDEX(Firms!$F$5:$F$1004,$T1085)),IF(INDEX('AFA Rates'!$E$5:$E$1004,$T1085)="","",INDEX('AFA Rates'!$E$5:$E$1004,$T1085))))</f>
        <v/>
      </c>
      <c r="H1085" s="50">
        <f>IF($T1085="","",IF($S1085="S",IF(INDEX(Firms!$G$5:$G$1004,$T1085)="","",INDEX(Firms!$G$5:$G$1004,$T1085)),IF(INDEX('AFA Rates'!$F$5:$F$1004,$T1085)="","",INDEX('AFA Rates'!$F$5:$F$1004,$T1085))))</f>
        <v/>
      </c>
      <c r="I1085" s="50">
        <f>IF($T1085="","",IF($S1085="S",IF(INDEX(Firms!$H$5:$H$1004,$T1085)="","",INDEX(Firms!$H$5:$H$1004,$T1085)),IF(INDEX('AFA Rates'!$G$5:$G$1004,$T1085)="","",INDEX('AFA Rates'!$G$5:$G$1004,$T1085))))</f>
        <v/>
      </c>
      <c r="J1085" s="50">
        <f>IF($T1085="","",IF($S1085="S",IF(INDEX(Firms!$I$5:$I$1004,$T1085)="","",INDEX(Firms!$I$5:$I$1004,$T1085)),IF(INDEX('AFA Rates'!$H$5:$H$1004,$T1085)="","",INDEX('AFA Rates'!$H$5:$H$1004,$T1085))))</f>
        <v/>
      </c>
      <c r="K1085" s="50">
        <f>IF($T1085="","",IF($S1085="S",IF(INDEX(Firms!$J$5:$J$1004,$T1085)="","",INDEX(Firms!$J$5:$J$1004,$T1085)),IF(INDEX('AFA Rates'!$I$5:$I$1004,$T1085)="","",INDEX('AFA Rates'!$I$5:$I$1004,$T1085))))</f>
        <v/>
      </c>
      <c r="L1085" s="50">
        <f>IF($T1085="","",IF($S1085="S",IF(INDEX(Firms!$K$5:$K$1004,$T1085)="","",INDEX(Firms!$K$5:$K$1004,$T1085)),IF(INDEX('AFA Rates'!$J$5:$J$1004,$T1085)="","",INDEX('AFA Rates'!$J$5:$J$1004,$T1085))))</f>
        <v/>
      </c>
      <c r="M1085" s="50">
        <f>IF($T1085="","",IF($S1085="S",IF(INDEX(Firms!$L$5:$L$1004,$T1085)="","",INDEX(Firms!$L$5:$L$1004,$T1085)),IF(INDEX('AFA Rates'!$K$5:$K$1004,$T1085)="","",INDEX('AFA Rates'!$K$5:$K$1004,$T1085))))</f>
        <v/>
      </c>
      <c r="N1085" s="50">
        <f>IF($T1085="","",IF($S1085="S",IF(INDEX(Firms!$M$5:$M$1004,$T1085)="","",INDEX(Firms!$M$5:$M$1004,$T1085)),IF(INDEX('AFA Rates'!$L$5:$L$1004,$T1085)="","",INDEX('AFA Rates'!$L$5:$L$1004,$T1085))))</f>
        <v/>
      </c>
      <c r="O1085" s="78">
        <f>IF(OR($T1085="",$U1085=""),"",IF(INDEX(Firms!$C$5:$C$1004,$U1085)="","",INDEX(Firms!$C$5:$C$1004,$U1085)))</f>
        <v/>
      </c>
      <c r="P1085" s="79">
        <f>IF(OR($T1085="",$U1085=""),"",IF(INDEX(Firms!$N$5:$N$1004,$U1085)="","",INDEX(Firms!$N$5:$N$1004,$U1085)))</f>
        <v/>
      </c>
      <c r="Q1085" s="78">
        <f>IF($T1085="","",IF($S1085="S",IF(INDEX(Firms!$T$5:$T$1004,$T1085)="","",INDEX(Firms!$T$5:$T$1004,$T1085)),IF(INDEX('AFA Rates'!$M$5:$M$1004,$T1085)="","",INDEX('AFA Rates'!$M$5:$M$1004,$T1085))))</f>
        <v/>
      </c>
      <c r="S1085">
        <f>IF(1081&lt;=$S$2,"S",IF(1081&lt;=$S$2+$T$2,"A",""))</f>
        <v/>
      </c>
      <c r="T1085">
        <f>IF(S1085="S",MATCH(1081,Firms!$W$5:$W$1004,0),IF(S1085="A",IFERROR(MATCH(1081-$S$2,'AFA Rates'!$R$5:$R$1004,0),""),""))</f>
        <v/>
      </c>
      <c r="U1085">
        <f>IF(S1085="S",T1085,IF(AND(S1085="A",T1085&lt;&gt;""),IFERROR(MATCH(INDEX('AFA Rates'!$A$5:$A$1004,T1085),Firms!$A$5:$A$1004,0),""),""))</f>
        <v/>
      </c>
    </row>
    <row r="1086">
      <c r="A1086" s="78">
        <f>IF($T1086="","",IF($S1086="S",IF(INDEX(Firms!$A$5:$A$1004,$T1086)="","",INDEX(Firms!$A$5:$A$1004,$T1086)),IF(INDEX('AFA Rates'!$A$5:$A$1004,$T1086)="","",INDEX('AFA Rates'!$A$5:$A$1004,$T1086))))</f>
        <v/>
      </c>
      <c r="B1086" s="79">
        <f>IF(OR($T1086="",$U1086=""),IF($T1086="","","Not on Firms tab"),INDEX(Firms!$B$5:$B$1004,$U1086)&amp;"")</f>
        <v/>
      </c>
      <c r="C1086" s="78">
        <f>IF($T1086="","",IF($S1086="S","Standard",INDEX('AFA Rates'!$B$5:$B$1004,$T1086)&amp;""))</f>
        <v/>
      </c>
      <c r="D1086" s="88">
        <f>IF($T1086="","",IF($S1086="S",IF(INDEX(Firms!$E$5:$E$1004,$T1086)="","",INDEX(Firms!$E$5:$E$1004,$T1086)),IF(INDEX('AFA Rates'!$C$5:$C$1004,$T1086)="","",INDEX('AFA Rates'!$C$5:$C$1004,$T1086))))</f>
        <v/>
      </c>
      <c r="E1086" s="88">
        <f>IF($T1086="","",IF($S1086="S",IF(""="","",""),IF(INDEX('AFA Rates'!$D$5:$D$1004,$T1086)="","",INDEX('AFA Rates'!$D$5:$D$1004,$T1086))))</f>
        <v/>
      </c>
      <c r="F1086" s="79">
        <f>IF($T1086="","",IF($S1086="S",IF(INDEX(Firms!$O$5:$O$1004,$T1086)="","",INDEX(Firms!$O$5:$O$1004,$T1086)),IF(INDEX('AFA Rates'!$O$5:$O$1004,$T1086)="","",INDEX('AFA Rates'!$O$5:$O$1004,$T1086))))</f>
        <v/>
      </c>
      <c r="G1086" s="50">
        <f>IF($T1086="","",IF($S1086="S",IF(INDEX(Firms!$F$5:$F$1004,$T1086)="","",INDEX(Firms!$F$5:$F$1004,$T1086)),IF(INDEX('AFA Rates'!$E$5:$E$1004,$T1086)="","",INDEX('AFA Rates'!$E$5:$E$1004,$T1086))))</f>
        <v/>
      </c>
      <c r="H1086" s="50">
        <f>IF($T1086="","",IF($S1086="S",IF(INDEX(Firms!$G$5:$G$1004,$T1086)="","",INDEX(Firms!$G$5:$G$1004,$T1086)),IF(INDEX('AFA Rates'!$F$5:$F$1004,$T1086)="","",INDEX('AFA Rates'!$F$5:$F$1004,$T1086))))</f>
        <v/>
      </c>
      <c r="I1086" s="50">
        <f>IF($T1086="","",IF($S1086="S",IF(INDEX(Firms!$H$5:$H$1004,$T1086)="","",INDEX(Firms!$H$5:$H$1004,$T1086)),IF(INDEX('AFA Rates'!$G$5:$G$1004,$T1086)="","",INDEX('AFA Rates'!$G$5:$G$1004,$T1086))))</f>
        <v/>
      </c>
      <c r="J1086" s="50">
        <f>IF($T1086="","",IF($S1086="S",IF(INDEX(Firms!$I$5:$I$1004,$T1086)="","",INDEX(Firms!$I$5:$I$1004,$T1086)),IF(INDEX('AFA Rates'!$H$5:$H$1004,$T1086)="","",INDEX('AFA Rates'!$H$5:$H$1004,$T1086))))</f>
        <v/>
      </c>
      <c r="K1086" s="50">
        <f>IF($T1086="","",IF($S1086="S",IF(INDEX(Firms!$J$5:$J$1004,$T1086)="","",INDEX(Firms!$J$5:$J$1004,$T1086)),IF(INDEX('AFA Rates'!$I$5:$I$1004,$T1086)="","",INDEX('AFA Rates'!$I$5:$I$1004,$T1086))))</f>
        <v/>
      </c>
      <c r="L1086" s="50">
        <f>IF($T1086="","",IF($S1086="S",IF(INDEX(Firms!$K$5:$K$1004,$T1086)="","",INDEX(Firms!$K$5:$K$1004,$T1086)),IF(INDEX('AFA Rates'!$J$5:$J$1004,$T1086)="","",INDEX('AFA Rates'!$J$5:$J$1004,$T1086))))</f>
        <v/>
      </c>
      <c r="M1086" s="50">
        <f>IF($T1086="","",IF($S1086="S",IF(INDEX(Firms!$L$5:$L$1004,$T1086)="","",INDEX(Firms!$L$5:$L$1004,$T1086)),IF(INDEX('AFA Rates'!$K$5:$K$1004,$T1086)="","",INDEX('AFA Rates'!$K$5:$K$1004,$T1086))))</f>
        <v/>
      </c>
      <c r="N1086" s="50">
        <f>IF($T1086="","",IF($S1086="S",IF(INDEX(Firms!$M$5:$M$1004,$T1086)="","",INDEX(Firms!$M$5:$M$1004,$T1086)),IF(INDEX('AFA Rates'!$L$5:$L$1004,$T1086)="","",INDEX('AFA Rates'!$L$5:$L$1004,$T1086))))</f>
        <v/>
      </c>
      <c r="O1086" s="78">
        <f>IF(OR($T1086="",$U1086=""),"",IF(INDEX(Firms!$C$5:$C$1004,$U1086)="","",INDEX(Firms!$C$5:$C$1004,$U1086)))</f>
        <v/>
      </c>
      <c r="P1086" s="79">
        <f>IF(OR($T1086="",$U1086=""),"",IF(INDEX(Firms!$N$5:$N$1004,$U1086)="","",INDEX(Firms!$N$5:$N$1004,$U1086)))</f>
        <v/>
      </c>
      <c r="Q1086" s="78">
        <f>IF($T1086="","",IF($S1086="S",IF(INDEX(Firms!$T$5:$T$1004,$T1086)="","",INDEX(Firms!$T$5:$T$1004,$T1086)),IF(INDEX('AFA Rates'!$M$5:$M$1004,$T1086)="","",INDEX('AFA Rates'!$M$5:$M$1004,$T1086))))</f>
        <v/>
      </c>
      <c r="S1086">
        <f>IF(1082&lt;=$S$2,"S",IF(1082&lt;=$S$2+$T$2,"A",""))</f>
        <v/>
      </c>
      <c r="T1086">
        <f>IF(S1086="S",MATCH(1082,Firms!$W$5:$W$1004,0),IF(S1086="A",IFERROR(MATCH(1082-$S$2,'AFA Rates'!$R$5:$R$1004,0),""),""))</f>
        <v/>
      </c>
      <c r="U1086">
        <f>IF(S1086="S",T1086,IF(AND(S1086="A",T1086&lt;&gt;""),IFERROR(MATCH(INDEX('AFA Rates'!$A$5:$A$1004,T1086),Firms!$A$5:$A$1004,0),""),""))</f>
        <v/>
      </c>
    </row>
    <row r="1087">
      <c r="A1087" s="78">
        <f>IF($T1087="","",IF($S1087="S",IF(INDEX(Firms!$A$5:$A$1004,$T1087)="","",INDEX(Firms!$A$5:$A$1004,$T1087)),IF(INDEX('AFA Rates'!$A$5:$A$1004,$T1087)="","",INDEX('AFA Rates'!$A$5:$A$1004,$T1087))))</f>
        <v/>
      </c>
      <c r="B1087" s="79">
        <f>IF(OR($T1087="",$U1087=""),IF($T1087="","","Not on Firms tab"),INDEX(Firms!$B$5:$B$1004,$U1087)&amp;"")</f>
        <v/>
      </c>
      <c r="C1087" s="78">
        <f>IF($T1087="","",IF($S1087="S","Standard",INDEX('AFA Rates'!$B$5:$B$1004,$T1087)&amp;""))</f>
        <v/>
      </c>
      <c r="D1087" s="88">
        <f>IF($T1087="","",IF($S1087="S",IF(INDEX(Firms!$E$5:$E$1004,$T1087)="","",INDEX(Firms!$E$5:$E$1004,$T1087)),IF(INDEX('AFA Rates'!$C$5:$C$1004,$T1087)="","",INDEX('AFA Rates'!$C$5:$C$1004,$T1087))))</f>
        <v/>
      </c>
      <c r="E1087" s="88">
        <f>IF($T1087="","",IF($S1087="S",IF(""="","",""),IF(INDEX('AFA Rates'!$D$5:$D$1004,$T1087)="","",INDEX('AFA Rates'!$D$5:$D$1004,$T1087))))</f>
        <v/>
      </c>
      <c r="F1087" s="79">
        <f>IF($T1087="","",IF($S1087="S",IF(INDEX(Firms!$O$5:$O$1004,$T1087)="","",INDEX(Firms!$O$5:$O$1004,$T1087)),IF(INDEX('AFA Rates'!$O$5:$O$1004,$T1087)="","",INDEX('AFA Rates'!$O$5:$O$1004,$T1087))))</f>
        <v/>
      </c>
      <c r="G1087" s="50">
        <f>IF($T1087="","",IF($S1087="S",IF(INDEX(Firms!$F$5:$F$1004,$T1087)="","",INDEX(Firms!$F$5:$F$1004,$T1087)),IF(INDEX('AFA Rates'!$E$5:$E$1004,$T1087)="","",INDEX('AFA Rates'!$E$5:$E$1004,$T1087))))</f>
        <v/>
      </c>
      <c r="H1087" s="50">
        <f>IF($T1087="","",IF($S1087="S",IF(INDEX(Firms!$G$5:$G$1004,$T1087)="","",INDEX(Firms!$G$5:$G$1004,$T1087)),IF(INDEX('AFA Rates'!$F$5:$F$1004,$T1087)="","",INDEX('AFA Rates'!$F$5:$F$1004,$T1087))))</f>
        <v/>
      </c>
      <c r="I1087" s="50">
        <f>IF($T1087="","",IF($S1087="S",IF(INDEX(Firms!$H$5:$H$1004,$T1087)="","",INDEX(Firms!$H$5:$H$1004,$T1087)),IF(INDEX('AFA Rates'!$G$5:$G$1004,$T1087)="","",INDEX('AFA Rates'!$G$5:$G$1004,$T1087))))</f>
        <v/>
      </c>
      <c r="J1087" s="50">
        <f>IF($T1087="","",IF($S1087="S",IF(INDEX(Firms!$I$5:$I$1004,$T1087)="","",INDEX(Firms!$I$5:$I$1004,$T1087)),IF(INDEX('AFA Rates'!$H$5:$H$1004,$T1087)="","",INDEX('AFA Rates'!$H$5:$H$1004,$T1087))))</f>
        <v/>
      </c>
      <c r="K1087" s="50">
        <f>IF($T1087="","",IF($S1087="S",IF(INDEX(Firms!$J$5:$J$1004,$T1087)="","",INDEX(Firms!$J$5:$J$1004,$T1087)),IF(INDEX('AFA Rates'!$I$5:$I$1004,$T1087)="","",INDEX('AFA Rates'!$I$5:$I$1004,$T1087))))</f>
        <v/>
      </c>
      <c r="L1087" s="50">
        <f>IF($T1087="","",IF($S1087="S",IF(INDEX(Firms!$K$5:$K$1004,$T1087)="","",INDEX(Firms!$K$5:$K$1004,$T1087)),IF(INDEX('AFA Rates'!$J$5:$J$1004,$T1087)="","",INDEX('AFA Rates'!$J$5:$J$1004,$T1087))))</f>
        <v/>
      </c>
      <c r="M1087" s="50">
        <f>IF($T1087="","",IF($S1087="S",IF(INDEX(Firms!$L$5:$L$1004,$T1087)="","",INDEX(Firms!$L$5:$L$1004,$T1087)),IF(INDEX('AFA Rates'!$K$5:$K$1004,$T1087)="","",INDEX('AFA Rates'!$K$5:$K$1004,$T1087))))</f>
        <v/>
      </c>
      <c r="N1087" s="50">
        <f>IF($T1087="","",IF($S1087="S",IF(INDEX(Firms!$M$5:$M$1004,$T1087)="","",INDEX(Firms!$M$5:$M$1004,$T1087)),IF(INDEX('AFA Rates'!$L$5:$L$1004,$T1087)="","",INDEX('AFA Rates'!$L$5:$L$1004,$T1087))))</f>
        <v/>
      </c>
      <c r="O1087" s="78">
        <f>IF(OR($T1087="",$U1087=""),"",IF(INDEX(Firms!$C$5:$C$1004,$U1087)="","",INDEX(Firms!$C$5:$C$1004,$U1087)))</f>
        <v/>
      </c>
      <c r="P1087" s="79">
        <f>IF(OR($T1087="",$U1087=""),"",IF(INDEX(Firms!$N$5:$N$1004,$U1087)="","",INDEX(Firms!$N$5:$N$1004,$U1087)))</f>
        <v/>
      </c>
      <c r="Q1087" s="78">
        <f>IF($T1087="","",IF($S1087="S",IF(INDEX(Firms!$T$5:$T$1004,$T1087)="","",INDEX(Firms!$T$5:$T$1004,$T1087)),IF(INDEX('AFA Rates'!$M$5:$M$1004,$T1087)="","",INDEX('AFA Rates'!$M$5:$M$1004,$T1087))))</f>
        <v/>
      </c>
      <c r="S1087">
        <f>IF(1083&lt;=$S$2,"S",IF(1083&lt;=$S$2+$T$2,"A",""))</f>
        <v/>
      </c>
      <c r="T1087">
        <f>IF(S1087="S",MATCH(1083,Firms!$W$5:$W$1004,0),IF(S1087="A",IFERROR(MATCH(1083-$S$2,'AFA Rates'!$R$5:$R$1004,0),""),""))</f>
        <v/>
      </c>
      <c r="U1087">
        <f>IF(S1087="S",T1087,IF(AND(S1087="A",T1087&lt;&gt;""),IFERROR(MATCH(INDEX('AFA Rates'!$A$5:$A$1004,T1087),Firms!$A$5:$A$1004,0),""),""))</f>
        <v/>
      </c>
    </row>
    <row r="1088">
      <c r="A1088" s="78">
        <f>IF($T1088="","",IF($S1088="S",IF(INDEX(Firms!$A$5:$A$1004,$T1088)="","",INDEX(Firms!$A$5:$A$1004,$T1088)),IF(INDEX('AFA Rates'!$A$5:$A$1004,$T1088)="","",INDEX('AFA Rates'!$A$5:$A$1004,$T1088))))</f>
        <v/>
      </c>
      <c r="B1088" s="79">
        <f>IF(OR($T1088="",$U1088=""),IF($T1088="","","Not on Firms tab"),INDEX(Firms!$B$5:$B$1004,$U1088)&amp;"")</f>
        <v/>
      </c>
      <c r="C1088" s="78">
        <f>IF($T1088="","",IF($S1088="S","Standard",INDEX('AFA Rates'!$B$5:$B$1004,$T1088)&amp;""))</f>
        <v/>
      </c>
      <c r="D1088" s="88">
        <f>IF($T1088="","",IF($S1088="S",IF(INDEX(Firms!$E$5:$E$1004,$T1088)="","",INDEX(Firms!$E$5:$E$1004,$T1088)),IF(INDEX('AFA Rates'!$C$5:$C$1004,$T1088)="","",INDEX('AFA Rates'!$C$5:$C$1004,$T1088))))</f>
        <v/>
      </c>
      <c r="E1088" s="88">
        <f>IF($T1088="","",IF($S1088="S",IF(""="","",""),IF(INDEX('AFA Rates'!$D$5:$D$1004,$T1088)="","",INDEX('AFA Rates'!$D$5:$D$1004,$T1088))))</f>
        <v/>
      </c>
      <c r="F1088" s="79">
        <f>IF($T1088="","",IF($S1088="S",IF(INDEX(Firms!$O$5:$O$1004,$T1088)="","",INDEX(Firms!$O$5:$O$1004,$T1088)),IF(INDEX('AFA Rates'!$O$5:$O$1004,$T1088)="","",INDEX('AFA Rates'!$O$5:$O$1004,$T1088))))</f>
        <v/>
      </c>
      <c r="G1088" s="50">
        <f>IF($T1088="","",IF($S1088="S",IF(INDEX(Firms!$F$5:$F$1004,$T1088)="","",INDEX(Firms!$F$5:$F$1004,$T1088)),IF(INDEX('AFA Rates'!$E$5:$E$1004,$T1088)="","",INDEX('AFA Rates'!$E$5:$E$1004,$T1088))))</f>
        <v/>
      </c>
      <c r="H1088" s="50">
        <f>IF($T1088="","",IF($S1088="S",IF(INDEX(Firms!$G$5:$G$1004,$T1088)="","",INDEX(Firms!$G$5:$G$1004,$T1088)),IF(INDEX('AFA Rates'!$F$5:$F$1004,$T1088)="","",INDEX('AFA Rates'!$F$5:$F$1004,$T1088))))</f>
        <v/>
      </c>
      <c r="I1088" s="50">
        <f>IF($T1088="","",IF($S1088="S",IF(INDEX(Firms!$H$5:$H$1004,$T1088)="","",INDEX(Firms!$H$5:$H$1004,$T1088)),IF(INDEX('AFA Rates'!$G$5:$G$1004,$T1088)="","",INDEX('AFA Rates'!$G$5:$G$1004,$T1088))))</f>
        <v/>
      </c>
      <c r="J1088" s="50">
        <f>IF($T1088="","",IF($S1088="S",IF(INDEX(Firms!$I$5:$I$1004,$T1088)="","",INDEX(Firms!$I$5:$I$1004,$T1088)),IF(INDEX('AFA Rates'!$H$5:$H$1004,$T1088)="","",INDEX('AFA Rates'!$H$5:$H$1004,$T1088))))</f>
        <v/>
      </c>
      <c r="K1088" s="50">
        <f>IF($T1088="","",IF($S1088="S",IF(INDEX(Firms!$J$5:$J$1004,$T1088)="","",INDEX(Firms!$J$5:$J$1004,$T1088)),IF(INDEX('AFA Rates'!$I$5:$I$1004,$T1088)="","",INDEX('AFA Rates'!$I$5:$I$1004,$T1088))))</f>
        <v/>
      </c>
      <c r="L1088" s="50">
        <f>IF($T1088="","",IF($S1088="S",IF(INDEX(Firms!$K$5:$K$1004,$T1088)="","",INDEX(Firms!$K$5:$K$1004,$T1088)),IF(INDEX('AFA Rates'!$J$5:$J$1004,$T1088)="","",INDEX('AFA Rates'!$J$5:$J$1004,$T1088))))</f>
        <v/>
      </c>
      <c r="M1088" s="50">
        <f>IF($T1088="","",IF($S1088="S",IF(INDEX(Firms!$L$5:$L$1004,$T1088)="","",INDEX(Firms!$L$5:$L$1004,$T1088)),IF(INDEX('AFA Rates'!$K$5:$K$1004,$T1088)="","",INDEX('AFA Rates'!$K$5:$K$1004,$T1088))))</f>
        <v/>
      </c>
      <c r="N1088" s="50">
        <f>IF($T1088="","",IF($S1088="S",IF(INDEX(Firms!$M$5:$M$1004,$T1088)="","",INDEX(Firms!$M$5:$M$1004,$T1088)),IF(INDEX('AFA Rates'!$L$5:$L$1004,$T1088)="","",INDEX('AFA Rates'!$L$5:$L$1004,$T1088))))</f>
        <v/>
      </c>
      <c r="O1088" s="78">
        <f>IF(OR($T1088="",$U1088=""),"",IF(INDEX(Firms!$C$5:$C$1004,$U1088)="","",INDEX(Firms!$C$5:$C$1004,$U1088)))</f>
        <v/>
      </c>
      <c r="P1088" s="79">
        <f>IF(OR($T1088="",$U1088=""),"",IF(INDEX(Firms!$N$5:$N$1004,$U1088)="","",INDEX(Firms!$N$5:$N$1004,$U1088)))</f>
        <v/>
      </c>
      <c r="Q1088" s="78">
        <f>IF($T1088="","",IF($S1088="S",IF(INDEX(Firms!$T$5:$T$1004,$T1088)="","",INDEX(Firms!$T$5:$T$1004,$T1088)),IF(INDEX('AFA Rates'!$M$5:$M$1004,$T1088)="","",INDEX('AFA Rates'!$M$5:$M$1004,$T1088))))</f>
        <v/>
      </c>
      <c r="S1088">
        <f>IF(1084&lt;=$S$2,"S",IF(1084&lt;=$S$2+$T$2,"A",""))</f>
        <v/>
      </c>
      <c r="T1088">
        <f>IF(S1088="S",MATCH(1084,Firms!$W$5:$W$1004,0),IF(S1088="A",IFERROR(MATCH(1084-$S$2,'AFA Rates'!$R$5:$R$1004,0),""),""))</f>
        <v/>
      </c>
      <c r="U1088">
        <f>IF(S1088="S",T1088,IF(AND(S1088="A",T1088&lt;&gt;""),IFERROR(MATCH(INDEX('AFA Rates'!$A$5:$A$1004,T1088),Firms!$A$5:$A$1004,0),""),""))</f>
        <v/>
      </c>
    </row>
    <row r="1089">
      <c r="A1089" s="78">
        <f>IF($T1089="","",IF($S1089="S",IF(INDEX(Firms!$A$5:$A$1004,$T1089)="","",INDEX(Firms!$A$5:$A$1004,$T1089)),IF(INDEX('AFA Rates'!$A$5:$A$1004,$T1089)="","",INDEX('AFA Rates'!$A$5:$A$1004,$T1089))))</f>
        <v/>
      </c>
      <c r="B1089" s="79">
        <f>IF(OR($T1089="",$U1089=""),IF($T1089="","","Not on Firms tab"),INDEX(Firms!$B$5:$B$1004,$U1089)&amp;"")</f>
        <v/>
      </c>
      <c r="C1089" s="78">
        <f>IF($T1089="","",IF($S1089="S","Standard",INDEX('AFA Rates'!$B$5:$B$1004,$T1089)&amp;""))</f>
        <v/>
      </c>
      <c r="D1089" s="88">
        <f>IF($T1089="","",IF($S1089="S",IF(INDEX(Firms!$E$5:$E$1004,$T1089)="","",INDEX(Firms!$E$5:$E$1004,$T1089)),IF(INDEX('AFA Rates'!$C$5:$C$1004,$T1089)="","",INDEX('AFA Rates'!$C$5:$C$1004,$T1089))))</f>
        <v/>
      </c>
      <c r="E1089" s="88">
        <f>IF($T1089="","",IF($S1089="S",IF(""="","",""),IF(INDEX('AFA Rates'!$D$5:$D$1004,$T1089)="","",INDEX('AFA Rates'!$D$5:$D$1004,$T1089))))</f>
        <v/>
      </c>
      <c r="F1089" s="79">
        <f>IF($T1089="","",IF($S1089="S",IF(INDEX(Firms!$O$5:$O$1004,$T1089)="","",INDEX(Firms!$O$5:$O$1004,$T1089)),IF(INDEX('AFA Rates'!$O$5:$O$1004,$T1089)="","",INDEX('AFA Rates'!$O$5:$O$1004,$T1089))))</f>
        <v/>
      </c>
      <c r="G1089" s="50">
        <f>IF($T1089="","",IF($S1089="S",IF(INDEX(Firms!$F$5:$F$1004,$T1089)="","",INDEX(Firms!$F$5:$F$1004,$T1089)),IF(INDEX('AFA Rates'!$E$5:$E$1004,$T1089)="","",INDEX('AFA Rates'!$E$5:$E$1004,$T1089))))</f>
        <v/>
      </c>
      <c r="H1089" s="50">
        <f>IF($T1089="","",IF($S1089="S",IF(INDEX(Firms!$G$5:$G$1004,$T1089)="","",INDEX(Firms!$G$5:$G$1004,$T1089)),IF(INDEX('AFA Rates'!$F$5:$F$1004,$T1089)="","",INDEX('AFA Rates'!$F$5:$F$1004,$T1089))))</f>
        <v/>
      </c>
      <c r="I1089" s="50">
        <f>IF($T1089="","",IF($S1089="S",IF(INDEX(Firms!$H$5:$H$1004,$T1089)="","",INDEX(Firms!$H$5:$H$1004,$T1089)),IF(INDEX('AFA Rates'!$G$5:$G$1004,$T1089)="","",INDEX('AFA Rates'!$G$5:$G$1004,$T1089))))</f>
        <v/>
      </c>
      <c r="J1089" s="50">
        <f>IF($T1089="","",IF($S1089="S",IF(INDEX(Firms!$I$5:$I$1004,$T1089)="","",INDEX(Firms!$I$5:$I$1004,$T1089)),IF(INDEX('AFA Rates'!$H$5:$H$1004,$T1089)="","",INDEX('AFA Rates'!$H$5:$H$1004,$T1089))))</f>
        <v/>
      </c>
      <c r="K1089" s="50">
        <f>IF($T1089="","",IF($S1089="S",IF(INDEX(Firms!$J$5:$J$1004,$T1089)="","",INDEX(Firms!$J$5:$J$1004,$T1089)),IF(INDEX('AFA Rates'!$I$5:$I$1004,$T1089)="","",INDEX('AFA Rates'!$I$5:$I$1004,$T1089))))</f>
        <v/>
      </c>
      <c r="L1089" s="50">
        <f>IF($T1089="","",IF($S1089="S",IF(INDEX(Firms!$K$5:$K$1004,$T1089)="","",INDEX(Firms!$K$5:$K$1004,$T1089)),IF(INDEX('AFA Rates'!$J$5:$J$1004,$T1089)="","",INDEX('AFA Rates'!$J$5:$J$1004,$T1089))))</f>
        <v/>
      </c>
      <c r="M1089" s="50">
        <f>IF($T1089="","",IF($S1089="S",IF(INDEX(Firms!$L$5:$L$1004,$T1089)="","",INDEX(Firms!$L$5:$L$1004,$T1089)),IF(INDEX('AFA Rates'!$K$5:$K$1004,$T1089)="","",INDEX('AFA Rates'!$K$5:$K$1004,$T1089))))</f>
        <v/>
      </c>
      <c r="N1089" s="50">
        <f>IF($T1089="","",IF($S1089="S",IF(INDEX(Firms!$M$5:$M$1004,$T1089)="","",INDEX(Firms!$M$5:$M$1004,$T1089)),IF(INDEX('AFA Rates'!$L$5:$L$1004,$T1089)="","",INDEX('AFA Rates'!$L$5:$L$1004,$T1089))))</f>
        <v/>
      </c>
      <c r="O1089" s="78">
        <f>IF(OR($T1089="",$U1089=""),"",IF(INDEX(Firms!$C$5:$C$1004,$U1089)="","",INDEX(Firms!$C$5:$C$1004,$U1089)))</f>
        <v/>
      </c>
      <c r="P1089" s="79">
        <f>IF(OR($T1089="",$U1089=""),"",IF(INDEX(Firms!$N$5:$N$1004,$U1089)="","",INDEX(Firms!$N$5:$N$1004,$U1089)))</f>
        <v/>
      </c>
      <c r="Q1089" s="78">
        <f>IF($T1089="","",IF($S1089="S",IF(INDEX(Firms!$T$5:$T$1004,$T1089)="","",INDEX(Firms!$T$5:$T$1004,$T1089)),IF(INDEX('AFA Rates'!$M$5:$M$1004,$T1089)="","",INDEX('AFA Rates'!$M$5:$M$1004,$T1089))))</f>
        <v/>
      </c>
      <c r="S1089">
        <f>IF(1085&lt;=$S$2,"S",IF(1085&lt;=$S$2+$T$2,"A",""))</f>
        <v/>
      </c>
      <c r="T1089">
        <f>IF(S1089="S",MATCH(1085,Firms!$W$5:$W$1004,0),IF(S1089="A",IFERROR(MATCH(1085-$S$2,'AFA Rates'!$R$5:$R$1004,0),""),""))</f>
        <v/>
      </c>
      <c r="U1089">
        <f>IF(S1089="S",T1089,IF(AND(S1089="A",T1089&lt;&gt;""),IFERROR(MATCH(INDEX('AFA Rates'!$A$5:$A$1004,T1089),Firms!$A$5:$A$1004,0),""),""))</f>
        <v/>
      </c>
    </row>
    <row r="1090">
      <c r="A1090" s="78">
        <f>IF($T1090="","",IF($S1090="S",IF(INDEX(Firms!$A$5:$A$1004,$T1090)="","",INDEX(Firms!$A$5:$A$1004,$T1090)),IF(INDEX('AFA Rates'!$A$5:$A$1004,$T1090)="","",INDEX('AFA Rates'!$A$5:$A$1004,$T1090))))</f>
        <v/>
      </c>
      <c r="B1090" s="79">
        <f>IF(OR($T1090="",$U1090=""),IF($T1090="","","Not on Firms tab"),INDEX(Firms!$B$5:$B$1004,$U1090)&amp;"")</f>
        <v/>
      </c>
      <c r="C1090" s="78">
        <f>IF($T1090="","",IF($S1090="S","Standard",INDEX('AFA Rates'!$B$5:$B$1004,$T1090)&amp;""))</f>
        <v/>
      </c>
      <c r="D1090" s="88">
        <f>IF($T1090="","",IF($S1090="S",IF(INDEX(Firms!$E$5:$E$1004,$T1090)="","",INDEX(Firms!$E$5:$E$1004,$T1090)),IF(INDEX('AFA Rates'!$C$5:$C$1004,$T1090)="","",INDEX('AFA Rates'!$C$5:$C$1004,$T1090))))</f>
        <v/>
      </c>
      <c r="E1090" s="88">
        <f>IF($T1090="","",IF($S1090="S",IF(""="","",""),IF(INDEX('AFA Rates'!$D$5:$D$1004,$T1090)="","",INDEX('AFA Rates'!$D$5:$D$1004,$T1090))))</f>
        <v/>
      </c>
      <c r="F1090" s="79">
        <f>IF($T1090="","",IF($S1090="S",IF(INDEX(Firms!$O$5:$O$1004,$T1090)="","",INDEX(Firms!$O$5:$O$1004,$T1090)),IF(INDEX('AFA Rates'!$O$5:$O$1004,$T1090)="","",INDEX('AFA Rates'!$O$5:$O$1004,$T1090))))</f>
        <v/>
      </c>
      <c r="G1090" s="50">
        <f>IF($T1090="","",IF($S1090="S",IF(INDEX(Firms!$F$5:$F$1004,$T1090)="","",INDEX(Firms!$F$5:$F$1004,$T1090)),IF(INDEX('AFA Rates'!$E$5:$E$1004,$T1090)="","",INDEX('AFA Rates'!$E$5:$E$1004,$T1090))))</f>
        <v/>
      </c>
      <c r="H1090" s="50">
        <f>IF($T1090="","",IF($S1090="S",IF(INDEX(Firms!$G$5:$G$1004,$T1090)="","",INDEX(Firms!$G$5:$G$1004,$T1090)),IF(INDEX('AFA Rates'!$F$5:$F$1004,$T1090)="","",INDEX('AFA Rates'!$F$5:$F$1004,$T1090))))</f>
        <v/>
      </c>
      <c r="I1090" s="50">
        <f>IF($T1090="","",IF($S1090="S",IF(INDEX(Firms!$H$5:$H$1004,$T1090)="","",INDEX(Firms!$H$5:$H$1004,$T1090)),IF(INDEX('AFA Rates'!$G$5:$G$1004,$T1090)="","",INDEX('AFA Rates'!$G$5:$G$1004,$T1090))))</f>
        <v/>
      </c>
      <c r="J1090" s="50">
        <f>IF($T1090="","",IF($S1090="S",IF(INDEX(Firms!$I$5:$I$1004,$T1090)="","",INDEX(Firms!$I$5:$I$1004,$T1090)),IF(INDEX('AFA Rates'!$H$5:$H$1004,$T1090)="","",INDEX('AFA Rates'!$H$5:$H$1004,$T1090))))</f>
        <v/>
      </c>
      <c r="K1090" s="50">
        <f>IF($T1090="","",IF($S1090="S",IF(INDEX(Firms!$J$5:$J$1004,$T1090)="","",INDEX(Firms!$J$5:$J$1004,$T1090)),IF(INDEX('AFA Rates'!$I$5:$I$1004,$T1090)="","",INDEX('AFA Rates'!$I$5:$I$1004,$T1090))))</f>
        <v/>
      </c>
      <c r="L1090" s="50">
        <f>IF($T1090="","",IF($S1090="S",IF(INDEX(Firms!$K$5:$K$1004,$T1090)="","",INDEX(Firms!$K$5:$K$1004,$T1090)),IF(INDEX('AFA Rates'!$J$5:$J$1004,$T1090)="","",INDEX('AFA Rates'!$J$5:$J$1004,$T1090))))</f>
        <v/>
      </c>
      <c r="M1090" s="50">
        <f>IF($T1090="","",IF($S1090="S",IF(INDEX(Firms!$L$5:$L$1004,$T1090)="","",INDEX(Firms!$L$5:$L$1004,$T1090)),IF(INDEX('AFA Rates'!$K$5:$K$1004,$T1090)="","",INDEX('AFA Rates'!$K$5:$K$1004,$T1090))))</f>
        <v/>
      </c>
      <c r="N1090" s="50">
        <f>IF($T1090="","",IF($S1090="S",IF(INDEX(Firms!$M$5:$M$1004,$T1090)="","",INDEX(Firms!$M$5:$M$1004,$T1090)),IF(INDEX('AFA Rates'!$L$5:$L$1004,$T1090)="","",INDEX('AFA Rates'!$L$5:$L$1004,$T1090))))</f>
        <v/>
      </c>
      <c r="O1090" s="78">
        <f>IF(OR($T1090="",$U1090=""),"",IF(INDEX(Firms!$C$5:$C$1004,$U1090)="","",INDEX(Firms!$C$5:$C$1004,$U1090)))</f>
        <v/>
      </c>
      <c r="P1090" s="79">
        <f>IF(OR($T1090="",$U1090=""),"",IF(INDEX(Firms!$N$5:$N$1004,$U1090)="","",INDEX(Firms!$N$5:$N$1004,$U1090)))</f>
        <v/>
      </c>
      <c r="Q1090" s="78">
        <f>IF($T1090="","",IF($S1090="S",IF(INDEX(Firms!$T$5:$T$1004,$T1090)="","",INDEX(Firms!$T$5:$T$1004,$T1090)),IF(INDEX('AFA Rates'!$M$5:$M$1004,$T1090)="","",INDEX('AFA Rates'!$M$5:$M$1004,$T1090))))</f>
        <v/>
      </c>
      <c r="S1090">
        <f>IF(1086&lt;=$S$2,"S",IF(1086&lt;=$S$2+$T$2,"A",""))</f>
        <v/>
      </c>
      <c r="T1090">
        <f>IF(S1090="S",MATCH(1086,Firms!$W$5:$W$1004,0),IF(S1090="A",IFERROR(MATCH(1086-$S$2,'AFA Rates'!$R$5:$R$1004,0),""),""))</f>
        <v/>
      </c>
      <c r="U1090">
        <f>IF(S1090="S",T1090,IF(AND(S1090="A",T1090&lt;&gt;""),IFERROR(MATCH(INDEX('AFA Rates'!$A$5:$A$1004,T1090),Firms!$A$5:$A$1004,0),""),""))</f>
        <v/>
      </c>
    </row>
    <row r="1091">
      <c r="A1091" s="78">
        <f>IF($T1091="","",IF($S1091="S",IF(INDEX(Firms!$A$5:$A$1004,$T1091)="","",INDEX(Firms!$A$5:$A$1004,$T1091)),IF(INDEX('AFA Rates'!$A$5:$A$1004,$T1091)="","",INDEX('AFA Rates'!$A$5:$A$1004,$T1091))))</f>
        <v/>
      </c>
      <c r="B1091" s="79">
        <f>IF(OR($T1091="",$U1091=""),IF($T1091="","","Not on Firms tab"),INDEX(Firms!$B$5:$B$1004,$U1091)&amp;"")</f>
        <v/>
      </c>
      <c r="C1091" s="78">
        <f>IF($T1091="","",IF($S1091="S","Standard",INDEX('AFA Rates'!$B$5:$B$1004,$T1091)&amp;""))</f>
        <v/>
      </c>
      <c r="D1091" s="88">
        <f>IF($T1091="","",IF($S1091="S",IF(INDEX(Firms!$E$5:$E$1004,$T1091)="","",INDEX(Firms!$E$5:$E$1004,$T1091)),IF(INDEX('AFA Rates'!$C$5:$C$1004,$T1091)="","",INDEX('AFA Rates'!$C$5:$C$1004,$T1091))))</f>
        <v/>
      </c>
      <c r="E1091" s="88">
        <f>IF($T1091="","",IF($S1091="S",IF(""="","",""),IF(INDEX('AFA Rates'!$D$5:$D$1004,$T1091)="","",INDEX('AFA Rates'!$D$5:$D$1004,$T1091))))</f>
        <v/>
      </c>
      <c r="F1091" s="79">
        <f>IF($T1091="","",IF($S1091="S",IF(INDEX(Firms!$O$5:$O$1004,$T1091)="","",INDEX(Firms!$O$5:$O$1004,$T1091)),IF(INDEX('AFA Rates'!$O$5:$O$1004,$T1091)="","",INDEX('AFA Rates'!$O$5:$O$1004,$T1091))))</f>
        <v/>
      </c>
      <c r="G1091" s="50">
        <f>IF($T1091="","",IF($S1091="S",IF(INDEX(Firms!$F$5:$F$1004,$T1091)="","",INDEX(Firms!$F$5:$F$1004,$T1091)),IF(INDEX('AFA Rates'!$E$5:$E$1004,$T1091)="","",INDEX('AFA Rates'!$E$5:$E$1004,$T1091))))</f>
        <v/>
      </c>
      <c r="H1091" s="50">
        <f>IF($T1091="","",IF($S1091="S",IF(INDEX(Firms!$G$5:$G$1004,$T1091)="","",INDEX(Firms!$G$5:$G$1004,$T1091)),IF(INDEX('AFA Rates'!$F$5:$F$1004,$T1091)="","",INDEX('AFA Rates'!$F$5:$F$1004,$T1091))))</f>
        <v/>
      </c>
      <c r="I1091" s="50">
        <f>IF($T1091="","",IF($S1091="S",IF(INDEX(Firms!$H$5:$H$1004,$T1091)="","",INDEX(Firms!$H$5:$H$1004,$T1091)),IF(INDEX('AFA Rates'!$G$5:$G$1004,$T1091)="","",INDEX('AFA Rates'!$G$5:$G$1004,$T1091))))</f>
        <v/>
      </c>
      <c r="J1091" s="50">
        <f>IF($T1091="","",IF($S1091="S",IF(INDEX(Firms!$I$5:$I$1004,$T1091)="","",INDEX(Firms!$I$5:$I$1004,$T1091)),IF(INDEX('AFA Rates'!$H$5:$H$1004,$T1091)="","",INDEX('AFA Rates'!$H$5:$H$1004,$T1091))))</f>
        <v/>
      </c>
      <c r="K1091" s="50">
        <f>IF($T1091="","",IF($S1091="S",IF(INDEX(Firms!$J$5:$J$1004,$T1091)="","",INDEX(Firms!$J$5:$J$1004,$T1091)),IF(INDEX('AFA Rates'!$I$5:$I$1004,$T1091)="","",INDEX('AFA Rates'!$I$5:$I$1004,$T1091))))</f>
        <v/>
      </c>
      <c r="L1091" s="50">
        <f>IF($T1091="","",IF($S1091="S",IF(INDEX(Firms!$K$5:$K$1004,$T1091)="","",INDEX(Firms!$K$5:$K$1004,$T1091)),IF(INDEX('AFA Rates'!$J$5:$J$1004,$T1091)="","",INDEX('AFA Rates'!$J$5:$J$1004,$T1091))))</f>
        <v/>
      </c>
      <c r="M1091" s="50">
        <f>IF($T1091="","",IF($S1091="S",IF(INDEX(Firms!$L$5:$L$1004,$T1091)="","",INDEX(Firms!$L$5:$L$1004,$T1091)),IF(INDEX('AFA Rates'!$K$5:$K$1004,$T1091)="","",INDEX('AFA Rates'!$K$5:$K$1004,$T1091))))</f>
        <v/>
      </c>
      <c r="N1091" s="50">
        <f>IF($T1091="","",IF($S1091="S",IF(INDEX(Firms!$M$5:$M$1004,$T1091)="","",INDEX(Firms!$M$5:$M$1004,$T1091)),IF(INDEX('AFA Rates'!$L$5:$L$1004,$T1091)="","",INDEX('AFA Rates'!$L$5:$L$1004,$T1091))))</f>
        <v/>
      </c>
      <c r="O1091" s="78">
        <f>IF(OR($T1091="",$U1091=""),"",IF(INDEX(Firms!$C$5:$C$1004,$U1091)="","",INDEX(Firms!$C$5:$C$1004,$U1091)))</f>
        <v/>
      </c>
      <c r="P1091" s="79">
        <f>IF(OR($T1091="",$U1091=""),"",IF(INDEX(Firms!$N$5:$N$1004,$U1091)="","",INDEX(Firms!$N$5:$N$1004,$U1091)))</f>
        <v/>
      </c>
      <c r="Q1091" s="78">
        <f>IF($T1091="","",IF($S1091="S",IF(INDEX(Firms!$T$5:$T$1004,$T1091)="","",INDEX(Firms!$T$5:$T$1004,$T1091)),IF(INDEX('AFA Rates'!$M$5:$M$1004,$T1091)="","",INDEX('AFA Rates'!$M$5:$M$1004,$T1091))))</f>
        <v/>
      </c>
      <c r="S1091">
        <f>IF(1087&lt;=$S$2,"S",IF(1087&lt;=$S$2+$T$2,"A",""))</f>
        <v/>
      </c>
      <c r="T1091">
        <f>IF(S1091="S",MATCH(1087,Firms!$W$5:$W$1004,0),IF(S1091="A",IFERROR(MATCH(1087-$S$2,'AFA Rates'!$R$5:$R$1004,0),""),""))</f>
        <v/>
      </c>
      <c r="U1091">
        <f>IF(S1091="S",T1091,IF(AND(S1091="A",T1091&lt;&gt;""),IFERROR(MATCH(INDEX('AFA Rates'!$A$5:$A$1004,T1091),Firms!$A$5:$A$1004,0),""),""))</f>
        <v/>
      </c>
    </row>
    <row r="1092">
      <c r="A1092" s="78">
        <f>IF($T1092="","",IF($S1092="S",IF(INDEX(Firms!$A$5:$A$1004,$T1092)="","",INDEX(Firms!$A$5:$A$1004,$T1092)),IF(INDEX('AFA Rates'!$A$5:$A$1004,$T1092)="","",INDEX('AFA Rates'!$A$5:$A$1004,$T1092))))</f>
        <v/>
      </c>
      <c r="B1092" s="79">
        <f>IF(OR($T1092="",$U1092=""),IF($T1092="","","Not on Firms tab"),INDEX(Firms!$B$5:$B$1004,$U1092)&amp;"")</f>
        <v/>
      </c>
      <c r="C1092" s="78">
        <f>IF($T1092="","",IF($S1092="S","Standard",INDEX('AFA Rates'!$B$5:$B$1004,$T1092)&amp;""))</f>
        <v/>
      </c>
      <c r="D1092" s="88">
        <f>IF($T1092="","",IF($S1092="S",IF(INDEX(Firms!$E$5:$E$1004,$T1092)="","",INDEX(Firms!$E$5:$E$1004,$T1092)),IF(INDEX('AFA Rates'!$C$5:$C$1004,$T1092)="","",INDEX('AFA Rates'!$C$5:$C$1004,$T1092))))</f>
        <v/>
      </c>
      <c r="E1092" s="88">
        <f>IF($T1092="","",IF($S1092="S",IF(""="","",""),IF(INDEX('AFA Rates'!$D$5:$D$1004,$T1092)="","",INDEX('AFA Rates'!$D$5:$D$1004,$T1092))))</f>
        <v/>
      </c>
      <c r="F1092" s="79">
        <f>IF($T1092="","",IF($S1092="S",IF(INDEX(Firms!$O$5:$O$1004,$T1092)="","",INDEX(Firms!$O$5:$O$1004,$T1092)),IF(INDEX('AFA Rates'!$O$5:$O$1004,$T1092)="","",INDEX('AFA Rates'!$O$5:$O$1004,$T1092))))</f>
        <v/>
      </c>
      <c r="G1092" s="50">
        <f>IF($T1092="","",IF($S1092="S",IF(INDEX(Firms!$F$5:$F$1004,$T1092)="","",INDEX(Firms!$F$5:$F$1004,$T1092)),IF(INDEX('AFA Rates'!$E$5:$E$1004,$T1092)="","",INDEX('AFA Rates'!$E$5:$E$1004,$T1092))))</f>
        <v/>
      </c>
      <c r="H1092" s="50">
        <f>IF($T1092="","",IF($S1092="S",IF(INDEX(Firms!$G$5:$G$1004,$T1092)="","",INDEX(Firms!$G$5:$G$1004,$T1092)),IF(INDEX('AFA Rates'!$F$5:$F$1004,$T1092)="","",INDEX('AFA Rates'!$F$5:$F$1004,$T1092))))</f>
        <v/>
      </c>
      <c r="I1092" s="50">
        <f>IF($T1092="","",IF($S1092="S",IF(INDEX(Firms!$H$5:$H$1004,$T1092)="","",INDEX(Firms!$H$5:$H$1004,$T1092)),IF(INDEX('AFA Rates'!$G$5:$G$1004,$T1092)="","",INDEX('AFA Rates'!$G$5:$G$1004,$T1092))))</f>
        <v/>
      </c>
      <c r="J1092" s="50">
        <f>IF($T1092="","",IF($S1092="S",IF(INDEX(Firms!$I$5:$I$1004,$T1092)="","",INDEX(Firms!$I$5:$I$1004,$T1092)),IF(INDEX('AFA Rates'!$H$5:$H$1004,$T1092)="","",INDEX('AFA Rates'!$H$5:$H$1004,$T1092))))</f>
        <v/>
      </c>
      <c r="K1092" s="50">
        <f>IF($T1092="","",IF($S1092="S",IF(INDEX(Firms!$J$5:$J$1004,$T1092)="","",INDEX(Firms!$J$5:$J$1004,$T1092)),IF(INDEX('AFA Rates'!$I$5:$I$1004,$T1092)="","",INDEX('AFA Rates'!$I$5:$I$1004,$T1092))))</f>
        <v/>
      </c>
      <c r="L1092" s="50">
        <f>IF($T1092="","",IF($S1092="S",IF(INDEX(Firms!$K$5:$K$1004,$T1092)="","",INDEX(Firms!$K$5:$K$1004,$T1092)),IF(INDEX('AFA Rates'!$J$5:$J$1004,$T1092)="","",INDEX('AFA Rates'!$J$5:$J$1004,$T1092))))</f>
        <v/>
      </c>
      <c r="M1092" s="50">
        <f>IF($T1092="","",IF($S1092="S",IF(INDEX(Firms!$L$5:$L$1004,$T1092)="","",INDEX(Firms!$L$5:$L$1004,$T1092)),IF(INDEX('AFA Rates'!$K$5:$K$1004,$T1092)="","",INDEX('AFA Rates'!$K$5:$K$1004,$T1092))))</f>
        <v/>
      </c>
      <c r="N1092" s="50">
        <f>IF($T1092="","",IF($S1092="S",IF(INDEX(Firms!$M$5:$M$1004,$T1092)="","",INDEX(Firms!$M$5:$M$1004,$T1092)),IF(INDEX('AFA Rates'!$L$5:$L$1004,$T1092)="","",INDEX('AFA Rates'!$L$5:$L$1004,$T1092))))</f>
        <v/>
      </c>
      <c r="O1092" s="78">
        <f>IF(OR($T1092="",$U1092=""),"",IF(INDEX(Firms!$C$5:$C$1004,$U1092)="","",INDEX(Firms!$C$5:$C$1004,$U1092)))</f>
        <v/>
      </c>
      <c r="P1092" s="79">
        <f>IF(OR($T1092="",$U1092=""),"",IF(INDEX(Firms!$N$5:$N$1004,$U1092)="","",INDEX(Firms!$N$5:$N$1004,$U1092)))</f>
        <v/>
      </c>
      <c r="Q1092" s="78">
        <f>IF($T1092="","",IF($S1092="S",IF(INDEX(Firms!$T$5:$T$1004,$T1092)="","",INDEX(Firms!$T$5:$T$1004,$T1092)),IF(INDEX('AFA Rates'!$M$5:$M$1004,$T1092)="","",INDEX('AFA Rates'!$M$5:$M$1004,$T1092))))</f>
        <v/>
      </c>
      <c r="S1092">
        <f>IF(1088&lt;=$S$2,"S",IF(1088&lt;=$S$2+$T$2,"A",""))</f>
        <v/>
      </c>
      <c r="T1092">
        <f>IF(S1092="S",MATCH(1088,Firms!$W$5:$W$1004,0),IF(S1092="A",IFERROR(MATCH(1088-$S$2,'AFA Rates'!$R$5:$R$1004,0),""),""))</f>
        <v/>
      </c>
      <c r="U1092">
        <f>IF(S1092="S",T1092,IF(AND(S1092="A",T1092&lt;&gt;""),IFERROR(MATCH(INDEX('AFA Rates'!$A$5:$A$1004,T1092),Firms!$A$5:$A$1004,0),""),""))</f>
        <v/>
      </c>
    </row>
    <row r="1093">
      <c r="A1093" s="78">
        <f>IF($T1093="","",IF($S1093="S",IF(INDEX(Firms!$A$5:$A$1004,$T1093)="","",INDEX(Firms!$A$5:$A$1004,$T1093)),IF(INDEX('AFA Rates'!$A$5:$A$1004,$T1093)="","",INDEX('AFA Rates'!$A$5:$A$1004,$T1093))))</f>
        <v/>
      </c>
      <c r="B1093" s="79">
        <f>IF(OR($T1093="",$U1093=""),IF($T1093="","","Not on Firms tab"),INDEX(Firms!$B$5:$B$1004,$U1093)&amp;"")</f>
        <v/>
      </c>
      <c r="C1093" s="78">
        <f>IF($T1093="","",IF($S1093="S","Standard",INDEX('AFA Rates'!$B$5:$B$1004,$T1093)&amp;""))</f>
        <v/>
      </c>
      <c r="D1093" s="88">
        <f>IF($T1093="","",IF($S1093="S",IF(INDEX(Firms!$E$5:$E$1004,$T1093)="","",INDEX(Firms!$E$5:$E$1004,$T1093)),IF(INDEX('AFA Rates'!$C$5:$C$1004,$T1093)="","",INDEX('AFA Rates'!$C$5:$C$1004,$T1093))))</f>
        <v/>
      </c>
      <c r="E1093" s="88">
        <f>IF($T1093="","",IF($S1093="S",IF(""="","",""),IF(INDEX('AFA Rates'!$D$5:$D$1004,$T1093)="","",INDEX('AFA Rates'!$D$5:$D$1004,$T1093))))</f>
        <v/>
      </c>
      <c r="F1093" s="79">
        <f>IF($T1093="","",IF($S1093="S",IF(INDEX(Firms!$O$5:$O$1004,$T1093)="","",INDEX(Firms!$O$5:$O$1004,$T1093)),IF(INDEX('AFA Rates'!$O$5:$O$1004,$T1093)="","",INDEX('AFA Rates'!$O$5:$O$1004,$T1093))))</f>
        <v/>
      </c>
      <c r="G1093" s="50">
        <f>IF($T1093="","",IF($S1093="S",IF(INDEX(Firms!$F$5:$F$1004,$T1093)="","",INDEX(Firms!$F$5:$F$1004,$T1093)),IF(INDEX('AFA Rates'!$E$5:$E$1004,$T1093)="","",INDEX('AFA Rates'!$E$5:$E$1004,$T1093))))</f>
        <v/>
      </c>
      <c r="H1093" s="50">
        <f>IF($T1093="","",IF($S1093="S",IF(INDEX(Firms!$G$5:$G$1004,$T1093)="","",INDEX(Firms!$G$5:$G$1004,$T1093)),IF(INDEX('AFA Rates'!$F$5:$F$1004,$T1093)="","",INDEX('AFA Rates'!$F$5:$F$1004,$T1093))))</f>
        <v/>
      </c>
      <c r="I1093" s="50">
        <f>IF($T1093="","",IF($S1093="S",IF(INDEX(Firms!$H$5:$H$1004,$T1093)="","",INDEX(Firms!$H$5:$H$1004,$T1093)),IF(INDEX('AFA Rates'!$G$5:$G$1004,$T1093)="","",INDEX('AFA Rates'!$G$5:$G$1004,$T1093))))</f>
        <v/>
      </c>
      <c r="J1093" s="50">
        <f>IF($T1093="","",IF($S1093="S",IF(INDEX(Firms!$I$5:$I$1004,$T1093)="","",INDEX(Firms!$I$5:$I$1004,$T1093)),IF(INDEX('AFA Rates'!$H$5:$H$1004,$T1093)="","",INDEX('AFA Rates'!$H$5:$H$1004,$T1093))))</f>
        <v/>
      </c>
      <c r="K1093" s="50">
        <f>IF($T1093="","",IF($S1093="S",IF(INDEX(Firms!$J$5:$J$1004,$T1093)="","",INDEX(Firms!$J$5:$J$1004,$T1093)),IF(INDEX('AFA Rates'!$I$5:$I$1004,$T1093)="","",INDEX('AFA Rates'!$I$5:$I$1004,$T1093))))</f>
        <v/>
      </c>
      <c r="L1093" s="50">
        <f>IF($T1093="","",IF($S1093="S",IF(INDEX(Firms!$K$5:$K$1004,$T1093)="","",INDEX(Firms!$K$5:$K$1004,$T1093)),IF(INDEX('AFA Rates'!$J$5:$J$1004,$T1093)="","",INDEX('AFA Rates'!$J$5:$J$1004,$T1093))))</f>
        <v/>
      </c>
      <c r="M1093" s="50">
        <f>IF($T1093="","",IF($S1093="S",IF(INDEX(Firms!$L$5:$L$1004,$T1093)="","",INDEX(Firms!$L$5:$L$1004,$T1093)),IF(INDEX('AFA Rates'!$K$5:$K$1004,$T1093)="","",INDEX('AFA Rates'!$K$5:$K$1004,$T1093))))</f>
        <v/>
      </c>
      <c r="N1093" s="50">
        <f>IF($T1093="","",IF($S1093="S",IF(INDEX(Firms!$M$5:$M$1004,$T1093)="","",INDEX(Firms!$M$5:$M$1004,$T1093)),IF(INDEX('AFA Rates'!$L$5:$L$1004,$T1093)="","",INDEX('AFA Rates'!$L$5:$L$1004,$T1093))))</f>
        <v/>
      </c>
      <c r="O1093" s="78">
        <f>IF(OR($T1093="",$U1093=""),"",IF(INDEX(Firms!$C$5:$C$1004,$U1093)="","",INDEX(Firms!$C$5:$C$1004,$U1093)))</f>
        <v/>
      </c>
      <c r="P1093" s="79">
        <f>IF(OR($T1093="",$U1093=""),"",IF(INDEX(Firms!$N$5:$N$1004,$U1093)="","",INDEX(Firms!$N$5:$N$1004,$U1093)))</f>
        <v/>
      </c>
      <c r="Q1093" s="78">
        <f>IF($T1093="","",IF($S1093="S",IF(INDEX(Firms!$T$5:$T$1004,$T1093)="","",INDEX(Firms!$T$5:$T$1004,$T1093)),IF(INDEX('AFA Rates'!$M$5:$M$1004,$T1093)="","",INDEX('AFA Rates'!$M$5:$M$1004,$T1093))))</f>
        <v/>
      </c>
      <c r="S1093">
        <f>IF(1089&lt;=$S$2,"S",IF(1089&lt;=$S$2+$T$2,"A",""))</f>
        <v/>
      </c>
      <c r="T1093">
        <f>IF(S1093="S",MATCH(1089,Firms!$W$5:$W$1004,0),IF(S1093="A",IFERROR(MATCH(1089-$S$2,'AFA Rates'!$R$5:$R$1004,0),""),""))</f>
        <v/>
      </c>
      <c r="U1093">
        <f>IF(S1093="S",T1093,IF(AND(S1093="A",T1093&lt;&gt;""),IFERROR(MATCH(INDEX('AFA Rates'!$A$5:$A$1004,T1093),Firms!$A$5:$A$1004,0),""),""))</f>
        <v/>
      </c>
    </row>
    <row r="1094">
      <c r="A1094" s="78">
        <f>IF($T1094="","",IF($S1094="S",IF(INDEX(Firms!$A$5:$A$1004,$T1094)="","",INDEX(Firms!$A$5:$A$1004,$T1094)),IF(INDEX('AFA Rates'!$A$5:$A$1004,$T1094)="","",INDEX('AFA Rates'!$A$5:$A$1004,$T1094))))</f>
        <v/>
      </c>
      <c r="B1094" s="79">
        <f>IF(OR($T1094="",$U1094=""),IF($T1094="","","Not on Firms tab"),INDEX(Firms!$B$5:$B$1004,$U1094)&amp;"")</f>
        <v/>
      </c>
      <c r="C1094" s="78">
        <f>IF($T1094="","",IF($S1094="S","Standard",INDEX('AFA Rates'!$B$5:$B$1004,$T1094)&amp;""))</f>
        <v/>
      </c>
      <c r="D1094" s="88">
        <f>IF($T1094="","",IF($S1094="S",IF(INDEX(Firms!$E$5:$E$1004,$T1094)="","",INDEX(Firms!$E$5:$E$1004,$T1094)),IF(INDEX('AFA Rates'!$C$5:$C$1004,$T1094)="","",INDEX('AFA Rates'!$C$5:$C$1004,$T1094))))</f>
        <v/>
      </c>
      <c r="E1094" s="88">
        <f>IF($T1094="","",IF($S1094="S",IF(""="","",""),IF(INDEX('AFA Rates'!$D$5:$D$1004,$T1094)="","",INDEX('AFA Rates'!$D$5:$D$1004,$T1094))))</f>
        <v/>
      </c>
      <c r="F1094" s="79">
        <f>IF($T1094="","",IF($S1094="S",IF(INDEX(Firms!$O$5:$O$1004,$T1094)="","",INDEX(Firms!$O$5:$O$1004,$T1094)),IF(INDEX('AFA Rates'!$O$5:$O$1004,$T1094)="","",INDEX('AFA Rates'!$O$5:$O$1004,$T1094))))</f>
        <v/>
      </c>
      <c r="G1094" s="50">
        <f>IF($T1094="","",IF($S1094="S",IF(INDEX(Firms!$F$5:$F$1004,$T1094)="","",INDEX(Firms!$F$5:$F$1004,$T1094)),IF(INDEX('AFA Rates'!$E$5:$E$1004,$T1094)="","",INDEX('AFA Rates'!$E$5:$E$1004,$T1094))))</f>
        <v/>
      </c>
      <c r="H1094" s="50">
        <f>IF($T1094="","",IF($S1094="S",IF(INDEX(Firms!$G$5:$G$1004,$T1094)="","",INDEX(Firms!$G$5:$G$1004,$T1094)),IF(INDEX('AFA Rates'!$F$5:$F$1004,$T1094)="","",INDEX('AFA Rates'!$F$5:$F$1004,$T1094))))</f>
        <v/>
      </c>
      <c r="I1094" s="50">
        <f>IF($T1094="","",IF($S1094="S",IF(INDEX(Firms!$H$5:$H$1004,$T1094)="","",INDEX(Firms!$H$5:$H$1004,$T1094)),IF(INDEX('AFA Rates'!$G$5:$G$1004,$T1094)="","",INDEX('AFA Rates'!$G$5:$G$1004,$T1094))))</f>
        <v/>
      </c>
      <c r="J1094" s="50">
        <f>IF($T1094="","",IF($S1094="S",IF(INDEX(Firms!$I$5:$I$1004,$T1094)="","",INDEX(Firms!$I$5:$I$1004,$T1094)),IF(INDEX('AFA Rates'!$H$5:$H$1004,$T1094)="","",INDEX('AFA Rates'!$H$5:$H$1004,$T1094))))</f>
        <v/>
      </c>
      <c r="K1094" s="50">
        <f>IF($T1094="","",IF($S1094="S",IF(INDEX(Firms!$J$5:$J$1004,$T1094)="","",INDEX(Firms!$J$5:$J$1004,$T1094)),IF(INDEX('AFA Rates'!$I$5:$I$1004,$T1094)="","",INDEX('AFA Rates'!$I$5:$I$1004,$T1094))))</f>
        <v/>
      </c>
      <c r="L1094" s="50">
        <f>IF($T1094="","",IF($S1094="S",IF(INDEX(Firms!$K$5:$K$1004,$T1094)="","",INDEX(Firms!$K$5:$K$1004,$T1094)),IF(INDEX('AFA Rates'!$J$5:$J$1004,$T1094)="","",INDEX('AFA Rates'!$J$5:$J$1004,$T1094))))</f>
        <v/>
      </c>
      <c r="M1094" s="50">
        <f>IF($T1094="","",IF($S1094="S",IF(INDEX(Firms!$L$5:$L$1004,$T1094)="","",INDEX(Firms!$L$5:$L$1004,$T1094)),IF(INDEX('AFA Rates'!$K$5:$K$1004,$T1094)="","",INDEX('AFA Rates'!$K$5:$K$1004,$T1094))))</f>
        <v/>
      </c>
      <c r="N1094" s="50">
        <f>IF($T1094="","",IF($S1094="S",IF(INDEX(Firms!$M$5:$M$1004,$T1094)="","",INDEX(Firms!$M$5:$M$1004,$T1094)),IF(INDEX('AFA Rates'!$L$5:$L$1004,$T1094)="","",INDEX('AFA Rates'!$L$5:$L$1004,$T1094))))</f>
        <v/>
      </c>
      <c r="O1094" s="78">
        <f>IF(OR($T1094="",$U1094=""),"",IF(INDEX(Firms!$C$5:$C$1004,$U1094)="","",INDEX(Firms!$C$5:$C$1004,$U1094)))</f>
        <v/>
      </c>
      <c r="P1094" s="79">
        <f>IF(OR($T1094="",$U1094=""),"",IF(INDEX(Firms!$N$5:$N$1004,$U1094)="","",INDEX(Firms!$N$5:$N$1004,$U1094)))</f>
        <v/>
      </c>
      <c r="Q1094" s="78">
        <f>IF($T1094="","",IF($S1094="S",IF(INDEX(Firms!$T$5:$T$1004,$T1094)="","",INDEX(Firms!$T$5:$T$1004,$T1094)),IF(INDEX('AFA Rates'!$M$5:$M$1004,$T1094)="","",INDEX('AFA Rates'!$M$5:$M$1004,$T1094))))</f>
        <v/>
      </c>
      <c r="S1094">
        <f>IF(1090&lt;=$S$2,"S",IF(1090&lt;=$S$2+$T$2,"A",""))</f>
        <v/>
      </c>
      <c r="T1094">
        <f>IF(S1094="S",MATCH(1090,Firms!$W$5:$W$1004,0),IF(S1094="A",IFERROR(MATCH(1090-$S$2,'AFA Rates'!$R$5:$R$1004,0),""),""))</f>
        <v/>
      </c>
      <c r="U1094">
        <f>IF(S1094="S",T1094,IF(AND(S1094="A",T1094&lt;&gt;""),IFERROR(MATCH(INDEX('AFA Rates'!$A$5:$A$1004,T1094),Firms!$A$5:$A$1004,0),""),""))</f>
        <v/>
      </c>
    </row>
    <row r="1095">
      <c r="A1095" s="78">
        <f>IF($T1095="","",IF($S1095="S",IF(INDEX(Firms!$A$5:$A$1004,$T1095)="","",INDEX(Firms!$A$5:$A$1004,$T1095)),IF(INDEX('AFA Rates'!$A$5:$A$1004,$T1095)="","",INDEX('AFA Rates'!$A$5:$A$1004,$T1095))))</f>
        <v/>
      </c>
      <c r="B1095" s="79">
        <f>IF(OR($T1095="",$U1095=""),IF($T1095="","","Not on Firms tab"),INDEX(Firms!$B$5:$B$1004,$U1095)&amp;"")</f>
        <v/>
      </c>
      <c r="C1095" s="78">
        <f>IF($T1095="","",IF($S1095="S","Standard",INDEX('AFA Rates'!$B$5:$B$1004,$T1095)&amp;""))</f>
        <v/>
      </c>
      <c r="D1095" s="88">
        <f>IF($T1095="","",IF($S1095="S",IF(INDEX(Firms!$E$5:$E$1004,$T1095)="","",INDEX(Firms!$E$5:$E$1004,$T1095)),IF(INDEX('AFA Rates'!$C$5:$C$1004,$T1095)="","",INDEX('AFA Rates'!$C$5:$C$1004,$T1095))))</f>
        <v/>
      </c>
      <c r="E1095" s="88">
        <f>IF($T1095="","",IF($S1095="S",IF(""="","",""),IF(INDEX('AFA Rates'!$D$5:$D$1004,$T1095)="","",INDEX('AFA Rates'!$D$5:$D$1004,$T1095))))</f>
        <v/>
      </c>
      <c r="F1095" s="79">
        <f>IF($T1095="","",IF($S1095="S",IF(INDEX(Firms!$O$5:$O$1004,$T1095)="","",INDEX(Firms!$O$5:$O$1004,$T1095)),IF(INDEX('AFA Rates'!$O$5:$O$1004,$T1095)="","",INDEX('AFA Rates'!$O$5:$O$1004,$T1095))))</f>
        <v/>
      </c>
      <c r="G1095" s="50">
        <f>IF($T1095="","",IF($S1095="S",IF(INDEX(Firms!$F$5:$F$1004,$T1095)="","",INDEX(Firms!$F$5:$F$1004,$T1095)),IF(INDEX('AFA Rates'!$E$5:$E$1004,$T1095)="","",INDEX('AFA Rates'!$E$5:$E$1004,$T1095))))</f>
        <v/>
      </c>
      <c r="H1095" s="50">
        <f>IF($T1095="","",IF($S1095="S",IF(INDEX(Firms!$G$5:$G$1004,$T1095)="","",INDEX(Firms!$G$5:$G$1004,$T1095)),IF(INDEX('AFA Rates'!$F$5:$F$1004,$T1095)="","",INDEX('AFA Rates'!$F$5:$F$1004,$T1095))))</f>
        <v/>
      </c>
      <c r="I1095" s="50">
        <f>IF($T1095="","",IF($S1095="S",IF(INDEX(Firms!$H$5:$H$1004,$T1095)="","",INDEX(Firms!$H$5:$H$1004,$T1095)),IF(INDEX('AFA Rates'!$G$5:$G$1004,$T1095)="","",INDEX('AFA Rates'!$G$5:$G$1004,$T1095))))</f>
        <v/>
      </c>
      <c r="J1095" s="50">
        <f>IF($T1095="","",IF($S1095="S",IF(INDEX(Firms!$I$5:$I$1004,$T1095)="","",INDEX(Firms!$I$5:$I$1004,$T1095)),IF(INDEX('AFA Rates'!$H$5:$H$1004,$T1095)="","",INDEX('AFA Rates'!$H$5:$H$1004,$T1095))))</f>
        <v/>
      </c>
      <c r="K1095" s="50">
        <f>IF($T1095="","",IF($S1095="S",IF(INDEX(Firms!$J$5:$J$1004,$T1095)="","",INDEX(Firms!$J$5:$J$1004,$T1095)),IF(INDEX('AFA Rates'!$I$5:$I$1004,$T1095)="","",INDEX('AFA Rates'!$I$5:$I$1004,$T1095))))</f>
        <v/>
      </c>
      <c r="L1095" s="50">
        <f>IF($T1095="","",IF($S1095="S",IF(INDEX(Firms!$K$5:$K$1004,$T1095)="","",INDEX(Firms!$K$5:$K$1004,$T1095)),IF(INDEX('AFA Rates'!$J$5:$J$1004,$T1095)="","",INDEX('AFA Rates'!$J$5:$J$1004,$T1095))))</f>
        <v/>
      </c>
      <c r="M1095" s="50">
        <f>IF($T1095="","",IF($S1095="S",IF(INDEX(Firms!$L$5:$L$1004,$T1095)="","",INDEX(Firms!$L$5:$L$1004,$T1095)),IF(INDEX('AFA Rates'!$K$5:$K$1004,$T1095)="","",INDEX('AFA Rates'!$K$5:$K$1004,$T1095))))</f>
        <v/>
      </c>
      <c r="N1095" s="50">
        <f>IF($T1095="","",IF($S1095="S",IF(INDEX(Firms!$M$5:$M$1004,$T1095)="","",INDEX(Firms!$M$5:$M$1004,$T1095)),IF(INDEX('AFA Rates'!$L$5:$L$1004,$T1095)="","",INDEX('AFA Rates'!$L$5:$L$1004,$T1095))))</f>
        <v/>
      </c>
      <c r="O1095" s="78">
        <f>IF(OR($T1095="",$U1095=""),"",IF(INDEX(Firms!$C$5:$C$1004,$U1095)="","",INDEX(Firms!$C$5:$C$1004,$U1095)))</f>
        <v/>
      </c>
      <c r="P1095" s="79">
        <f>IF(OR($T1095="",$U1095=""),"",IF(INDEX(Firms!$N$5:$N$1004,$U1095)="","",INDEX(Firms!$N$5:$N$1004,$U1095)))</f>
        <v/>
      </c>
      <c r="Q1095" s="78">
        <f>IF($T1095="","",IF($S1095="S",IF(INDEX(Firms!$T$5:$T$1004,$T1095)="","",INDEX(Firms!$T$5:$T$1004,$T1095)),IF(INDEX('AFA Rates'!$M$5:$M$1004,$T1095)="","",INDEX('AFA Rates'!$M$5:$M$1004,$T1095))))</f>
        <v/>
      </c>
      <c r="S1095">
        <f>IF(1091&lt;=$S$2,"S",IF(1091&lt;=$S$2+$T$2,"A",""))</f>
        <v/>
      </c>
      <c r="T1095">
        <f>IF(S1095="S",MATCH(1091,Firms!$W$5:$W$1004,0),IF(S1095="A",IFERROR(MATCH(1091-$S$2,'AFA Rates'!$R$5:$R$1004,0),""),""))</f>
        <v/>
      </c>
      <c r="U1095">
        <f>IF(S1095="S",T1095,IF(AND(S1095="A",T1095&lt;&gt;""),IFERROR(MATCH(INDEX('AFA Rates'!$A$5:$A$1004,T1095),Firms!$A$5:$A$1004,0),""),""))</f>
        <v/>
      </c>
    </row>
    <row r="1096">
      <c r="A1096" s="78">
        <f>IF($T1096="","",IF($S1096="S",IF(INDEX(Firms!$A$5:$A$1004,$T1096)="","",INDEX(Firms!$A$5:$A$1004,$T1096)),IF(INDEX('AFA Rates'!$A$5:$A$1004,$T1096)="","",INDEX('AFA Rates'!$A$5:$A$1004,$T1096))))</f>
        <v/>
      </c>
      <c r="B1096" s="79">
        <f>IF(OR($T1096="",$U1096=""),IF($T1096="","","Not on Firms tab"),INDEX(Firms!$B$5:$B$1004,$U1096)&amp;"")</f>
        <v/>
      </c>
      <c r="C1096" s="78">
        <f>IF($T1096="","",IF($S1096="S","Standard",INDEX('AFA Rates'!$B$5:$B$1004,$T1096)&amp;""))</f>
        <v/>
      </c>
      <c r="D1096" s="88">
        <f>IF($T1096="","",IF($S1096="S",IF(INDEX(Firms!$E$5:$E$1004,$T1096)="","",INDEX(Firms!$E$5:$E$1004,$T1096)),IF(INDEX('AFA Rates'!$C$5:$C$1004,$T1096)="","",INDEX('AFA Rates'!$C$5:$C$1004,$T1096))))</f>
        <v/>
      </c>
      <c r="E1096" s="88">
        <f>IF($T1096="","",IF($S1096="S",IF(""="","",""),IF(INDEX('AFA Rates'!$D$5:$D$1004,$T1096)="","",INDEX('AFA Rates'!$D$5:$D$1004,$T1096))))</f>
        <v/>
      </c>
      <c r="F1096" s="79">
        <f>IF($T1096="","",IF($S1096="S",IF(INDEX(Firms!$O$5:$O$1004,$T1096)="","",INDEX(Firms!$O$5:$O$1004,$T1096)),IF(INDEX('AFA Rates'!$O$5:$O$1004,$T1096)="","",INDEX('AFA Rates'!$O$5:$O$1004,$T1096))))</f>
        <v/>
      </c>
      <c r="G1096" s="50">
        <f>IF($T1096="","",IF($S1096="S",IF(INDEX(Firms!$F$5:$F$1004,$T1096)="","",INDEX(Firms!$F$5:$F$1004,$T1096)),IF(INDEX('AFA Rates'!$E$5:$E$1004,$T1096)="","",INDEX('AFA Rates'!$E$5:$E$1004,$T1096))))</f>
        <v/>
      </c>
      <c r="H1096" s="50">
        <f>IF($T1096="","",IF($S1096="S",IF(INDEX(Firms!$G$5:$G$1004,$T1096)="","",INDEX(Firms!$G$5:$G$1004,$T1096)),IF(INDEX('AFA Rates'!$F$5:$F$1004,$T1096)="","",INDEX('AFA Rates'!$F$5:$F$1004,$T1096))))</f>
        <v/>
      </c>
      <c r="I1096" s="50">
        <f>IF($T1096="","",IF($S1096="S",IF(INDEX(Firms!$H$5:$H$1004,$T1096)="","",INDEX(Firms!$H$5:$H$1004,$T1096)),IF(INDEX('AFA Rates'!$G$5:$G$1004,$T1096)="","",INDEX('AFA Rates'!$G$5:$G$1004,$T1096))))</f>
        <v/>
      </c>
      <c r="J1096" s="50">
        <f>IF($T1096="","",IF($S1096="S",IF(INDEX(Firms!$I$5:$I$1004,$T1096)="","",INDEX(Firms!$I$5:$I$1004,$T1096)),IF(INDEX('AFA Rates'!$H$5:$H$1004,$T1096)="","",INDEX('AFA Rates'!$H$5:$H$1004,$T1096))))</f>
        <v/>
      </c>
      <c r="K1096" s="50">
        <f>IF($T1096="","",IF($S1096="S",IF(INDEX(Firms!$J$5:$J$1004,$T1096)="","",INDEX(Firms!$J$5:$J$1004,$T1096)),IF(INDEX('AFA Rates'!$I$5:$I$1004,$T1096)="","",INDEX('AFA Rates'!$I$5:$I$1004,$T1096))))</f>
        <v/>
      </c>
      <c r="L1096" s="50">
        <f>IF($T1096="","",IF($S1096="S",IF(INDEX(Firms!$K$5:$K$1004,$T1096)="","",INDEX(Firms!$K$5:$K$1004,$T1096)),IF(INDEX('AFA Rates'!$J$5:$J$1004,$T1096)="","",INDEX('AFA Rates'!$J$5:$J$1004,$T1096))))</f>
        <v/>
      </c>
      <c r="M1096" s="50">
        <f>IF($T1096="","",IF($S1096="S",IF(INDEX(Firms!$L$5:$L$1004,$T1096)="","",INDEX(Firms!$L$5:$L$1004,$T1096)),IF(INDEX('AFA Rates'!$K$5:$K$1004,$T1096)="","",INDEX('AFA Rates'!$K$5:$K$1004,$T1096))))</f>
        <v/>
      </c>
      <c r="N1096" s="50">
        <f>IF($T1096="","",IF($S1096="S",IF(INDEX(Firms!$M$5:$M$1004,$T1096)="","",INDEX(Firms!$M$5:$M$1004,$T1096)),IF(INDEX('AFA Rates'!$L$5:$L$1004,$T1096)="","",INDEX('AFA Rates'!$L$5:$L$1004,$T1096))))</f>
        <v/>
      </c>
      <c r="O1096" s="78">
        <f>IF(OR($T1096="",$U1096=""),"",IF(INDEX(Firms!$C$5:$C$1004,$U1096)="","",INDEX(Firms!$C$5:$C$1004,$U1096)))</f>
        <v/>
      </c>
      <c r="P1096" s="79">
        <f>IF(OR($T1096="",$U1096=""),"",IF(INDEX(Firms!$N$5:$N$1004,$U1096)="","",INDEX(Firms!$N$5:$N$1004,$U1096)))</f>
        <v/>
      </c>
      <c r="Q1096" s="78">
        <f>IF($T1096="","",IF($S1096="S",IF(INDEX(Firms!$T$5:$T$1004,$T1096)="","",INDEX(Firms!$T$5:$T$1004,$T1096)),IF(INDEX('AFA Rates'!$M$5:$M$1004,$T1096)="","",INDEX('AFA Rates'!$M$5:$M$1004,$T1096))))</f>
        <v/>
      </c>
      <c r="S1096">
        <f>IF(1092&lt;=$S$2,"S",IF(1092&lt;=$S$2+$T$2,"A",""))</f>
        <v/>
      </c>
      <c r="T1096">
        <f>IF(S1096="S",MATCH(1092,Firms!$W$5:$W$1004,0),IF(S1096="A",IFERROR(MATCH(1092-$S$2,'AFA Rates'!$R$5:$R$1004,0),""),""))</f>
        <v/>
      </c>
      <c r="U1096">
        <f>IF(S1096="S",T1096,IF(AND(S1096="A",T1096&lt;&gt;""),IFERROR(MATCH(INDEX('AFA Rates'!$A$5:$A$1004,T1096),Firms!$A$5:$A$1004,0),""),""))</f>
        <v/>
      </c>
    </row>
    <row r="1097">
      <c r="A1097" s="78">
        <f>IF($T1097="","",IF($S1097="S",IF(INDEX(Firms!$A$5:$A$1004,$T1097)="","",INDEX(Firms!$A$5:$A$1004,$T1097)),IF(INDEX('AFA Rates'!$A$5:$A$1004,$T1097)="","",INDEX('AFA Rates'!$A$5:$A$1004,$T1097))))</f>
        <v/>
      </c>
      <c r="B1097" s="79">
        <f>IF(OR($T1097="",$U1097=""),IF($T1097="","","Not on Firms tab"),INDEX(Firms!$B$5:$B$1004,$U1097)&amp;"")</f>
        <v/>
      </c>
      <c r="C1097" s="78">
        <f>IF($T1097="","",IF($S1097="S","Standard",INDEX('AFA Rates'!$B$5:$B$1004,$T1097)&amp;""))</f>
        <v/>
      </c>
      <c r="D1097" s="88">
        <f>IF($T1097="","",IF($S1097="S",IF(INDEX(Firms!$E$5:$E$1004,$T1097)="","",INDEX(Firms!$E$5:$E$1004,$T1097)),IF(INDEX('AFA Rates'!$C$5:$C$1004,$T1097)="","",INDEX('AFA Rates'!$C$5:$C$1004,$T1097))))</f>
        <v/>
      </c>
      <c r="E1097" s="88">
        <f>IF($T1097="","",IF($S1097="S",IF(""="","",""),IF(INDEX('AFA Rates'!$D$5:$D$1004,$T1097)="","",INDEX('AFA Rates'!$D$5:$D$1004,$T1097))))</f>
        <v/>
      </c>
      <c r="F1097" s="79">
        <f>IF($T1097="","",IF($S1097="S",IF(INDEX(Firms!$O$5:$O$1004,$T1097)="","",INDEX(Firms!$O$5:$O$1004,$T1097)),IF(INDEX('AFA Rates'!$O$5:$O$1004,$T1097)="","",INDEX('AFA Rates'!$O$5:$O$1004,$T1097))))</f>
        <v/>
      </c>
      <c r="G1097" s="50">
        <f>IF($T1097="","",IF($S1097="S",IF(INDEX(Firms!$F$5:$F$1004,$T1097)="","",INDEX(Firms!$F$5:$F$1004,$T1097)),IF(INDEX('AFA Rates'!$E$5:$E$1004,$T1097)="","",INDEX('AFA Rates'!$E$5:$E$1004,$T1097))))</f>
        <v/>
      </c>
      <c r="H1097" s="50">
        <f>IF($T1097="","",IF($S1097="S",IF(INDEX(Firms!$G$5:$G$1004,$T1097)="","",INDEX(Firms!$G$5:$G$1004,$T1097)),IF(INDEX('AFA Rates'!$F$5:$F$1004,$T1097)="","",INDEX('AFA Rates'!$F$5:$F$1004,$T1097))))</f>
        <v/>
      </c>
      <c r="I1097" s="50">
        <f>IF($T1097="","",IF($S1097="S",IF(INDEX(Firms!$H$5:$H$1004,$T1097)="","",INDEX(Firms!$H$5:$H$1004,$T1097)),IF(INDEX('AFA Rates'!$G$5:$G$1004,$T1097)="","",INDEX('AFA Rates'!$G$5:$G$1004,$T1097))))</f>
        <v/>
      </c>
      <c r="J1097" s="50">
        <f>IF($T1097="","",IF($S1097="S",IF(INDEX(Firms!$I$5:$I$1004,$T1097)="","",INDEX(Firms!$I$5:$I$1004,$T1097)),IF(INDEX('AFA Rates'!$H$5:$H$1004,$T1097)="","",INDEX('AFA Rates'!$H$5:$H$1004,$T1097))))</f>
        <v/>
      </c>
      <c r="K1097" s="50">
        <f>IF($T1097="","",IF($S1097="S",IF(INDEX(Firms!$J$5:$J$1004,$T1097)="","",INDEX(Firms!$J$5:$J$1004,$T1097)),IF(INDEX('AFA Rates'!$I$5:$I$1004,$T1097)="","",INDEX('AFA Rates'!$I$5:$I$1004,$T1097))))</f>
        <v/>
      </c>
      <c r="L1097" s="50">
        <f>IF($T1097="","",IF($S1097="S",IF(INDEX(Firms!$K$5:$K$1004,$T1097)="","",INDEX(Firms!$K$5:$K$1004,$T1097)),IF(INDEX('AFA Rates'!$J$5:$J$1004,$T1097)="","",INDEX('AFA Rates'!$J$5:$J$1004,$T1097))))</f>
        <v/>
      </c>
      <c r="M1097" s="50">
        <f>IF($T1097="","",IF($S1097="S",IF(INDEX(Firms!$L$5:$L$1004,$T1097)="","",INDEX(Firms!$L$5:$L$1004,$T1097)),IF(INDEX('AFA Rates'!$K$5:$K$1004,$T1097)="","",INDEX('AFA Rates'!$K$5:$K$1004,$T1097))))</f>
        <v/>
      </c>
      <c r="N1097" s="50">
        <f>IF($T1097="","",IF($S1097="S",IF(INDEX(Firms!$M$5:$M$1004,$T1097)="","",INDEX(Firms!$M$5:$M$1004,$T1097)),IF(INDEX('AFA Rates'!$L$5:$L$1004,$T1097)="","",INDEX('AFA Rates'!$L$5:$L$1004,$T1097))))</f>
        <v/>
      </c>
      <c r="O1097" s="78">
        <f>IF(OR($T1097="",$U1097=""),"",IF(INDEX(Firms!$C$5:$C$1004,$U1097)="","",INDEX(Firms!$C$5:$C$1004,$U1097)))</f>
        <v/>
      </c>
      <c r="P1097" s="79">
        <f>IF(OR($T1097="",$U1097=""),"",IF(INDEX(Firms!$N$5:$N$1004,$U1097)="","",INDEX(Firms!$N$5:$N$1004,$U1097)))</f>
        <v/>
      </c>
      <c r="Q1097" s="78">
        <f>IF($T1097="","",IF($S1097="S",IF(INDEX(Firms!$T$5:$T$1004,$T1097)="","",INDEX(Firms!$T$5:$T$1004,$T1097)),IF(INDEX('AFA Rates'!$M$5:$M$1004,$T1097)="","",INDEX('AFA Rates'!$M$5:$M$1004,$T1097))))</f>
        <v/>
      </c>
      <c r="S1097">
        <f>IF(1093&lt;=$S$2,"S",IF(1093&lt;=$S$2+$T$2,"A",""))</f>
        <v/>
      </c>
      <c r="T1097">
        <f>IF(S1097="S",MATCH(1093,Firms!$W$5:$W$1004,0),IF(S1097="A",IFERROR(MATCH(1093-$S$2,'AFA Rates'!$R$5:$R$1004,0),""),""))</f>
        <v/>
      </c>
      <c r="U1097">
        <f>IF(S1097="S",T1097,IF(AND(S1097="A",T1097&lt;&gt;""),IFERROR(MATCH(INDEX('AFA Rates'!$A$5:$A$1004,T1097),Firms!$A$5:$A$1004,0),""),""))</f>
        <v/>
      </c>
    </row>
    <row r="1098">
      <c r="A1098" s="78">
        <f>IF($T1098="","",IF($S1098="S",IF(INDEX(Firms!$A$5:$A$1004,$T1098)="","",INDEX(Firms!$A$5:$A$1004,$T1098)),IF(INDEX('AFA Rates'!$A$5:$A$1004,$T1098)="","",INDEX('AFA Rates'!$A$5:$A$1004,$T1098))))</f>
        <v/>
      </c>
      <c r="B1098" s="79">
        <f>IF(OR($T1098="",$U1098=""),IF($T1098="","","Not on Firms tab"),INDEX(Firms!$B$5:$B$1004,$U1098)&amp;"")</f>
        <v/>
      </c>
      <c r="C1098" s="78">
        <f>IF($T1098="","",IF($S1098="S","Standard",INDEX('AFA Rates'!$B$5:$B$1004,$T1098)&amp;""))</f>
        <v/>
      </c>
      <c r="D1098" s="88">
        <f>IF($T1098="","",IF($S1098="S",IF(INDEX(Firms!$E$5:$E$1004,$T1098)="","",INDEX(Firms!$E$5:$E$1004,$T1098)),IF(INDEX('AFA Rates'!$C$5:$C$1004,$T1098)="","",INDEX('AFA Rates'!$C$5:$C$1004,$T1098))))</f>
        <v/>
      </c>
      <c r="E1098" s="88">
        <f>IF($T1098="","",IF($S1098="S",IF(""="","",""),IF(INDEX('AFA Rates'!$D$5:$D$1004,$T1098)="","",INDEX('AFA Rates'!$D$5:$D$1004,$T1098))))</f>
        <v/>
      </c>
      <c r="F1098" s="79">
        <f>IF($T1098="","",IF($S1098="S",IF(INDEX(Firms!$O$5:$O$1004,$T1098)="","",INDEX(Firms!$O$5:$O$1004,$T1098)),IF(INDEX('AFA Rates'!$O$5:$O$1004,$T1098)="","",INDEX('AFA Rates'!$O$5:$O$1004,$T1098))))</f>
        <v/>
      </c>
      <c r="G1098" s="50">
        <f>IF($T1098="","",IF($S1098="S",IF(INDEX(Firms!$F$5:$F$1004,$T1098)="","",INDEX(Firms!$F$5:$F$1004,$T1098)),IF(INDEX('AFA Rates'!$E$5:$E$1004,$T1098)="","",INDEX('AFA Rates'!$E$5:$E$1004,$T1098))))</f>
        <v/>
      </c>
      <c r="H1098" s="50">
        <f>IF($T1098="","",IF($S1098="S",IF(INDEX(Firms!$G$5:$G$1004,$T1098)="","",INDEX(Firms!$G$5:$G$1004,$T1098)),IF(INDEX('AFA Rates'!$F$5:$F$1004,$T1098)="","",INDEX('AFA Rates'!$F$5:$F$1004,$T1098))))</f>
        <v/>
      </c>
      <c r="I1098" s="50">
        <f>IF($T1098="","",IF($S1098="S",IF(INDEX(Firms!$H$5:$H$1004,$T1098)="","",INDEX(Firms!$H$5:$H$1004,$T1098)),IF(INDEX('AFA Rates'!$G$5:$G$1004,$T1098)="","",INDEX('AFA Rates'!$G$5:$G$1004,$T1098))))</f>
        <v/>
      </c>
      <c r="J1098" s="50">
        <f>IF($T1098="","",IF($S1098="S",IF(INDEX(Firms!$I$5:$I$1004,$T1098)="","",INDEX(Firms!$I$5:$I$1004,$T1098)),IF(INDEX('AFA Rates'!$H$5:$H$1004,$T1098)="","",INDEX('AFA Rates'!$H$5:$H$1004,$T1098))))</f>
        <v/>
      </c>
      <c r="K1098" s="50">
        <f>IF($T1098="","",IF($S1098="S",IF(INDEX(Firms!$J$5:$J$1004,$T1098)="","",INDEX(Firms!$J$5:$J$1004,$T1098)),IF(INDEX('AFA Rates'!$I$5:$I$1004,$T1098)="","",INDEX('AFA Rates'!$I$5:$I$1004,$T1098))))</f>
        <v/>
      </c>
      <c r="L1098" s="50">
        <f>IF($T1098="","",IF($S1098="S",IF(INDEX(Firms!$K$5:$K$1004,$T1098)="","",INDEX(Firms!$K$5:$K$1004,$T1098)),IF(INDEX('AFA Rates'!$J$5:$J$1004,$T1098)="","",INDEX('AFA Rates'!$J$5:$J$1004,$T1098))))</f>
        <v/>
      </c>
      <c r="M1098" s="50">
        <f>IF($T1098="","",IF($S1098="S",IF(INDEX(Firms!$L$5:$L$1004,$T1098)="","",INDEX(Firms!$L$5:$L$1004,$T1098)),IF(INDEX('AFA Rates'!$K$5:$K$1004,$T1098)="","",INDEX('AFA Rates'!$K$5:$K$1004,$T1098))))</f>
        <v/>
      </c>
      <c r="N1098" s="50">
        <f>IF($T1098="","",IF($S1098="S",IF(INDEX(Firms!$M$5:$M$1004,$T1098)="","",INDEX(Firms!$M$5:$M$1004,$T1098)),IF(INDEX('AFA Rates'!$L$5:$L$1004,$T1098)="","",INDEX('AFA Rates'!$L$5:$L$1004,$T1098))))</f>
        <v/>
      </c>
      <c r="O1098" s="78">
        <f>IF(OR($T1098="",$U1098=""),"",IF(INDEX(Firms!$C$5:$C$1004,$U1098)="","",INDEX(Firms!$C$5:$C$1004,$U1098)))</f>
        <v/>
      </c>
      <c r="P1098" s="79">
        <f>IF(OR($T1098="",$U1098=""),"",IF(INDEX(Firms!$N$5:$N$1004,$U1098)="","",INDEX(Firms!$N$5:$N$1004,$U1098)))</f>
        <v/>
      </c>
      <c r="Q1098" s="78">
        <f>IF($T1098="","",IF($S1098="S",IF(INDEX(Firms!$T$5:$T$1004,$T1098)="","",INDEX(Firms!$T$5:$T$1004,$T1098)),IF(INDEX('AFA Rates'!$M$5:$M$1004,$T1098)="","",INDEX('AFA Rates'!$M$5:$M$1004,$T1098))))</f>
        <v/>
      </c>
      <c r="S1098">
        <f>IF(1094&lt;=$S$2,"S",IF(1094&lt;=$S$2+$T$2,"A",""))</f>
        <v/>
      </c>
      <c r="T1098">
        <f>IF(S1098="S",MATCH(1094,Firms!$W$5:$W$1004,0),IF(S1098="A",IFERROR(MATCH(1094-$S$2,'AFA Rates'!$R$5:$R$1004,0),""),""))</f>
        <v/>
      </c>
      <c r="U1098">
        <f>IF(S1098="S",T1098,IF(AND(S1098="A",T1098&lt;&gt;""),IFERROR(MATCH(INDEX('AFA Rates'!$A$5:$A$1004,T1098),Firms!$A$5:$A$1004,0),""),""))</f>
        <v/>
      </c>
    </row>
    <row r="1099">
      <c r="A1099" s="78">
        <f>IF($T1099="","",IF($S1099="S",IF(INDEX(Firms!$A$5:$A$1004,$T1099)="","",INDEX(Firms!$A$5:$A$1004,$T1099)),IF(INDEX('AFA Rates'!$A$5:$A$1004,$T1099)="","",INDEX('AFA Rates'!$A$5:$A$1004,$T1099))))</f>
        <v/>
      </c>
      <c r="B1099" s="79">
        <f>IF(OR($T1099="",$U1099=""),IF($T1099="","","Not on Firms tab"),INDEX(Firms!$B$5:$B$1004,$U1099)&amp;"")</f>
        <v/>
      </c>
      <c r="C1099" s="78">
        <f>IF($T1099="","",IF($S1099="S","Standard",INDEX('AFA Rates'!$B$5:$B$1004,$T1099)&amp;""))</f>
        <v/>
      </c>
      <c r="D1099" s="88">
        <f>IF($T1099="","",IF($S1099="S",IF(INDEX(Firms!$E$5:$E$1004,$T1099)="","",INDEX(Firms!$E$5:$E$1004,$T1099)),IF(INDEX('AFA Rates'!$C$5:$C$1004,$T1099)="","",INDEX('AFA Rates'!$C$5:$C$1004,$T1099))))</f>
        <v/>
      </c>
      <c r="E1099" s="88">
        <f>IF($T1099="","",IF($S1099="S",IF(""="","",""),IF(INDEX('AFA Rates'!$D$5:$D$1004,$T1099)="","",INDEX('AFA Rates'!$D$5:$D$1004,$T1099))))</f>
        <v/>
      </c>
      <c r="F1099" s="79">
        <f>IF($T1099="","",IF($S1099="S",IF(INDEX(Firms!$O$5:$O$1004,$T1099)="","",INDEX(Firms!$O$5:$O$1004,$T1099)),IF(INDEX('AFA Rates'!$O$5:$O$1004,$T1099)="","",INDEX('AFA Rates'!$O$5:$O$1004,$T1099))))</f>
        <v/>
      </c>
      <c r="G1099" s="50">
        <f>IF($T1099="","",IF($S1099="S",IF(INDEX(Firms!$F$5:$F$1004,$T1099)="","",INDEX(Firms!$F$5:$F$1004,$T1099)),IF(INDEX('AFA Rates'!$E$5:$E$1004,$T1099)="","",INDEX('AFA Rates'!$E$5:$E$1004,$T1099))))</f>
        <v/>
      </c>
      <c r="H1099" s="50">
        <f>IF($T1099="","",IF($S1099="S",IF(INDEX(Firms!$G$5:$G$1004,$T1099)="","",INDEX(Firms!$G$5:$G$1004,$T1099)),IF(INDEX('AFA Rates'!$F$5:$F$1004,$T1099)="","",INDEX('AFA Rates'!$F$5:$F$1004,$T1099))))</f>
        <v/>
      </c>
      <c r="I1099" s="50">
        <f>IF($T1099="","",IF($S1099="S",IF(INDEX(Firms!$H$5:$H$1004,$T1099)="","",INDEX(Firms!$H$5:$H$1004,$T1099)),IF(INDEX('AFA Rates'!$G$5:$G$1004,$T1099)="","",INDEX('AFA Rates'!$G$5:$G$1004,$T1099))))</f>
        <v/>
      </c>
      <c r="J1099" s="50">
        <f>IF($T1099="","",IF($S1099="S",IF(INDEX(Firms!$I$5:$I$1004,$T1099)="","",INDEX(Firms!$I$5:$I$1004,$T1099)),IF(INDEX('AFA Rates'!$H$5:$H$1004,$T1099)="","",INDEX('AFA Rates'!$H$5:$H$1004,$T1099))))</f>
        <v/>
      </c>
      <c r="K1099" s="50">
        <f>IF($T1099="","",IF($S1099="S",IF(INDEX(Firms!$J$5:$J$1004,$T1099)="","",INDEX(Firms!$J$5:$J$1004,$T1099)),IF(INDEX('AFA Rates'!$I$5:$I$1004,$T1099)="","",INDEX('AFA Rates'!$I$5:$I$1004,$T1099))))</f>
        <v/>
      </c>
      <c r="L1099" s="50">
        <f>IF($T1099="","",IF($S1099="S",IF(INDEX(Firms!$K$5:$K$1004,$T1099)="","",INDEX(Firms!$K$5:$K$1004,$T1099)),IF(INDEX('AFA Rates'!$J$5:$J$1004,$T1099)="","",INDEX('AFA Rates'!$J$5:$J$1004,$T1099))))</f>
        <v/>
      </c>
      <c r="M1099" s="50">
        <f>IF($T1099="","",IF($S1099="S",IF(INDEX(Firms!$L$5:$L$1004,$T1099)="","",INDEX(Firms!$L$5:$L$1004,$T1099)),IF(INDEX('AFA Rates'!$K$5:$K$1004,$T1099)="","",INDEX('AFA Rates'!$K$5:$K$1004,$T1099))))</f>
        <v/>
      </c>
      <c r="N1099" s="50">
        <f>IF($T1099="","",IF($S1099="S",IF(INDEX(Firms!$M$5:$M$1004,$T1099)="","",INDEX(Firms!$M$5:$M$1004,$T1099)),IF(INDEX('AFA Rates'!$L$5:$L$1004,$T1099)="","",INDEX('AFA Rates'!$L$5:$L$1004,$T1099))))</f>
        <v/>
      </c>
      <c r="O1099" s="78">
        <f>IF(OR($T1099="",$U1099=""),"",IF(INDEX(Firms!$C$5:$C$1004,$U1099)="","",INDEX(Firms!$C$5:$C$1004,$U1099)))</f>
        <v/>
      </c>
      <c r="P1099" s="79">
        <f>IF(OR($T1099="",$U1099=""),"",IF(INDEX(Firms!$N$5:$N$1004,$U1099)="","",INDEX(Firms!$N$5:$N$1004,$U1099)))</f>
        <v/>
      </c>
      <c r="Q1099" s="78">
        <f>IF($T1099="","",IF($S1099="S",IF(INDEX(Firms!$T$5:$T$1004,$T1099)="","",INDEX(Firms!$T$5:$T$1004,$T1099)),IF(INDEX('AFA Rates'!$M$5:$M$1004,$T1099)="","",INDEX('AFA Rates'!$M$5:$M$1004,$T1099))))</f>
        <v/>
      </c>
      <c r="S1099">
        <f>IF(1095&lt;=$S$2,"S",IF(1095&lt;=$S$2+$T$2,"A",""))</f>
        <v/>
      </c>
      <c r="T1099">
        <f>IF(S1099="S",MATCH(1095,Firms!$W$5:$W$1004,0),IF(S1099="A",IFERROR(MATCH(1095-$S$2,'AFA Rates'!$R$5:$R$1004,0),""),""))</f>
        <v/>
      </c>
      <c r="U1099">
        <f>IF(S1099="S",T1099,IF(AND(S1099="A",T1099&lt;&gt;""),IFERROR(MATCH(INDEX('AFA Rates'!$A$5:$A$1004,T1099),Firms!$A$5:$A$1004,0),""),""))</f>
        <v/>
      </c>
    </row>
    <row r="1100">
      <c r="A1100" s="78">
        <f>IF($T1100="","",IF($S1100="S",IF(INDEX(Firms!$A$5:$A$1004,$T1100)="","",INDEX(Firms!$A$5:$A$1004,$T1100)),IF(INDEX('AFA Rates'!$A$5:$A$1004,$T1100)="","",INDEX('AFA Rates'!$A$5:$A$1004,$T1100))))</f>
        <v/>
      </c>
      <c r="B1100" s="79">
        <f>IF(OR($T1100="",$U1100=""),IF($T1100="","","Not on Firms tab"),INDEX(Firms!$B$5:$B$1004,$U1100)&amp;"")</f>
        <v/>
      </c>
      <c r="C1100" s="78">
        <f>IF($T1100="","",IF($S1100="S","Standard",INDEX('AFA Rates'!$B$5:$B$1004,$T1100)&amp;""))</f>
        <v/>
      </c>
      <c r="D1100" s="88">
        <f>IF($T1100="","",IF($S1100="S",IF(INDEX(Firms!$E$5:$E$1004,$T1100)="","",INDEX(Firms!$E$5:$E$1004,$T1100)),IF(INDEX('AFA Rates'!$C$5:$C$1004,$T1100)="","",INDEX('AFA Rates'!$C$5:$C$1004,$T1100))))</f>
        <v/>
      </c>
      <c r="E1100" s="88">
        <f>IF($T1100="","",IF($S1100="S",IF(""="","",""),IF(INDEX('AFA Rates'!$D$5:$D$1004,$T1100)="","",INDEX('AFA Rates'!$D$5:$D$1004,$T1100))))</f>
        <v/>
      </c>
      <c r="F1100" s="79">
        <f>IF($T1100="","",IF($S1100="S",IF(INDEX(Firms!$O$5:$O$1004,$T1100)="","",INDEX(Firms!$O$5:$O$1004,$T1100)),IF(INDEX('AFA Rates'!$O$5:$O$1004,$T1100)="","",INDEX('AFA Rates'!$O$5:$O$1004,$T1100))))</f>
        <v/>
      </c>
      <c r="G1100" s="50">
        <f>IF($T1100="","",IF($S1100="S",IF(INDEX(Firms!$F$5:$F$1004,$T1100)="","",INDEX(Firms!$F$5:$F$1004,$T1100)),IF(INDEX('AFA Rates'!$E$5:$E$1004,$T1100)="","",INDEX('AFA Rates'!$E$5:$E$1004,$T1100))))</f>
        <v/>
      </c>
      <c r="H1100" s="50">
        <f>IF($T1100="","",IF($S1100="S",IF(INDEX(Firms!$G$5:$G$1004,$T1100)="","",INDEX(Firms!$G$5:$G$1004,$T1100)),IF(INDEX('AFA Rates'!$F$5:$F$1004,$T1100)="","",INDEX('AFA Rates'!$F$5:$F$1004,$T1100))))</f>
        <v/>
      </c>
      <c r="I1100" s="50">
        <f>IF($T1100="","",IF($S1100="S",IF(INDEX(Firms!$H$5:$H$1004,$T1100)="","",INDEX(Firms!$H$5:$H$1004,$T1100)),IF(INDEX('AFA Rates'!$G$5:$G$1004,$T1100)="","",INDEX('AFA Rates'!$G$5:$G$1004,$T1100))))</f>
        <v/>
      </c>
      <c r="J1100" s="50">
        <f>IF($T1100="","",IF($S1100="S",IF(INDEX(Firms!$I$5:$I$1004,$T1100)="","",INDEX(Firms!$I$5:$I$1004,$T1100)),IF(INDEX('AFA Rates'!$H$5:$H$1004,$T1100)="","",INDEX('AFA Rates'!$H$5:$H$1004,$T1100))))</f>
        <v/>
      </c>
      <c r="K1100" s="50">
        <f>IF($T1100="","",IF($S1100="S",IF(INDEX(Firms!$J$5:$J$1004,$T1100)="","",INDEX(Firms!$J$5:$J$1004,$T1100)),IF(INDEX('AFA Rates'!$I$5:$I$1004,$T1100)="","",INDEX('AFA Rates'!$I$5:$I$1004,$T1100))))</f>
        <v/>
      </c>
      <c r="L1100" s="50">
        <f>IF($T1100="","",IF($S1100="S",IF(INDEX(Firms!$K$5:$K$1004,$T1100)="","",INDEX(Firms!$K$5:$K$1004,$T1100)),IF(INDEX('AFA Rates'!$J$5:$J$1004,$T1100)="","",INDEX('AFA Rates'!$J$5:$J$1004,$T1100))))</f>
        <v/>
      </c>
      <c r="M1100" s="50">
        <f>IF($T1100="","",IF($S1100="S",IF(INDEX(Firms!$L$5:$L$1004,$T1100)="","",INDEX(Firms!$L$5:$L$1004,$T1100)),IF(INDEX('AFA Rates'!$K$5:$K$1004,$T1100)="","",INDEX('AFA Rates'!$K$5:$K$1004,$T1100))))</f>
        <v/>
      </c>
      <c r="N1100" s="50">
        <f>IF($T1100="","",IF($S1100="S",IF(INDEX(Firms!$M$5:$M$1004,$T1100)="","",INDEX(Firms!$M$5:$M$1004,$T1100)),IF(INDEX('AFA Rates'!$L$5:$L$1004,$T1100)="","",INDEX('AFA Rates'!$L$5:$L$1004,$T1100))))</f>
        <v/>
      </c>
      <c r="O1100" s="78">
        <f>IF(OR($T1100="",$U1100=""),"",IF(INDEX(Firms!$C$5:$C$1004,$U1100)="","",INDEX(Firms!$C$5:$C$1004,$U1100)))</f>
        <v/>
      </c>
      <c r="P1100" s="79">
        <f>IF(OR($T1100="",$U1100=""),"",IF(INDEX(Firms!$N$5:$N$1004,$U1100)="","",INDEX(Firms!$N$5:$N$1004,$U1100)))</f>
        <v/>
      </c>
      <c r="Q1100" s="78">
        <f>IF($T1100="","",IF($S1100="S",IF(INDEX(Firms!$T$5:$T$1004,$T1100)="","",INDEX(Firms!$T$5:$T$1004,$T1100)),IF(INDEX('AFA Rates'!$M$5:$M$1004,$T1100)="","",INDEX('AFA Rates'!$M$5:$M$1004,$T1100))))</f>
        <v/>
      </c>
      <c r="S1100">
        <f>IF(1096&lt;=$S$2,"S",IF(1096&lt;=$S$2+$T$2,"A",""))</f>
        <v/>
      </c>
      <c r="T1100">
        <f>IF(S1100="S",MATCH(1096,Firms!$W$5:$W$1004,0),IF(S1100="A",IFERROR(MATCH(1096-$S$2,'AFA Rates'!$R$5:$R$1004,0),""),""))</f>
        <v/>
      </c>
      <c r="U1100">
        <f>IF(S1100="S",T1100,IF(AND(S1100="A",T1100&lt;&gt;""),IFERROR(MATCH(INDEX('AFA Rates'!$A$5:$A$1004,T1100),Firms!$A$5:$A$1004,0),""),""))</f>
        <v/>
      </c>
    </row>
    <row r="1101">
      <c r="A1101" s="78">
        <f>IF($T1101="","",IF($S1101="S",IF(INDEX(Firms!$A$5:$A$1004,$T1101)="","",INDEX(Firms!$A$5:$A$1004,$T1101)),IF(INDEX('AFA Rates'!$A$5:$A$1004,$T1101)="","",INDEX('AFA Rates'!$A$5:$A$1004,$T1101))))</f>
        <v/>
      </c>
      <c r="B1101" s="79">
        <f>IF(OR($T1101="",$U1101=""),IF($T1101="","","Not on Firms tab"),INDEX(Firms!$B$5:$B$1004,$U1101)&amp;"")</f>
        <v/>
      </c>
      <c r="C1101" s="78">
        <f>IF($T1101="","",IF($S1101="S","Standard",INDEX('AFA Rates'!$B$5:$B$1004,$T1101)&amp;""))</f>
        <v/>
      </c>
      <c r="D1101" s="88">
        <f>IF($T1101="","",IF($S1101="S",IF(INDEX(Firms!$E$5:$E$1004,$T1101)="","",INDEX(Firms!$E$5:$E$1004,$T1101)),IF(INDEX('AFA Rates'!$C$5:$C$1004,$T1101)="","",INDEX('AFA Rates'!$C$5:$C$1004,$T1101))))</f>
        <v/>
      </c>
      <c r="E1101" s="88">
        <f>IF($T1101="","",IF($S1101="S",IF(""="","",""),IF(INDEX('AFA Rates'!$D$5:$D$1004,$T1101)="","",INDEX('AFA Rates'!$D$5:$D$1004,$T1101))))</f>
        <v/>
      </c>
      <c r="F1101" s="79">
        <f>IF($T1101="","",IF($S1101="S",IF(INDEX(Firms!$O$5:$O$1004,$T1101)="","",INDEX(Firms!$O$5:$O$1004,$T1101)),IF(INDEX('AFA Rates'!$O$5:$O$1004,$T1101)="","",INDEX('AFA Rates'!$O$5:$O$1004,$T1101))))</f>
        <v/>
      </c>
      <c r="G1101" s="50">
        <f>IF($T1101="","",IF($S1101="S",IF(INDEX(Firms!$F$5:$F$1004,$T1101)="","",INDEX(Firms!$F$5:$F$1004,$T1101)),IF(INDEX('AFA Rates'!$E$5:$E$1004,$T1101)="","",INDEX('AFA Rates'!$E$5:$E$1004,$T1101))))</f>
        <v/>
      </c>
      <c r="H1101" s="50">
        <f>IF($T1101="","",IF($S1101="S",IF(INDEX(Firms!$G$5:$G$1004,$T1101)="","",INDEX(Firms!$G$5:$G$1004,$T1101)),IF(INDEX('AFA Rates'!$F$5:$F$1004,$T1101)="","",INDEX('AFA Rates'!$F$5:$F$1004,$T1101))))</f>
        <v/>
      </c>
      <c r="I1101" s="50">
        <f>IF($T1101="","",IF($S1101="S",IF(INDEX(Firms!$H$5:$H$1004,$T1101)="","",INDEX(Firms!$H$5:$H$1004,$T1101)),IF(INDEX('AFA Rates'!$G$5:$G$1004,$T1101)="","",INDEX('AFA Rates'!$G$5:$G$1004,$T1101))))</f>
        <v/>
      </c>
      <c r="J1101" s="50">
        <f>IF($T1101="","",IF($S1101="S",IF(INDEX(Firms!$I$5:$I$1004,$T1101)="","",INDEX(Firms!$I$5:$I$1004,$T1101)),IF(INDEX('AFA Rates'!$H$5:$H$1004,$T1101)="","",INDEX('AFA Rates'!$H$5:$H$1004,$T1101))))</f>
        <v/>
      </c>
      <c r="K1101" s="50">
        <f>IF($T1101="","",IF($S1101="S",IF(INDEX(Firms!$J$5:$J$1004,$T1101)="","",INDEX(Firms!$J$5:$J$1004,$T1101)),IF(INDEX('AFA Rates'!$I$5:$I$1004,$T1101)="","",INDEX('AFA Rates'!$I$5:$I$1004,$T1101))))</f>
        <v/>
      </c>
      <c r="L1101" s="50">
        <f>IF($T1101="","",IF($S1101="S",IF(INDEX(Firms!$K$5:$K$1004,$T1101)="","",INDEX(Firms!$K$5:$K$1004,$T1101)),IF(INDEX('AFA Rates'!$J$5:$J$1004,$T1101)="","",INDEX('AFA Rates'!$J$5:$J$1004,$T1101))))</f>
        <v/>
      </c>
      <c r="M1101" s="50">
        <f>IF($T1101="","",IF($S1101="S",IF(INDEX(Firms!$L$5:$L$1004,$T1101)="","",INDEX(Firms!$L$5:$L$1004,$T1101)),IF(INDEX('AFA Rates'!$K$5:$K$1004,$T1101)="","",INDEX('AFA Rates'!$K$5:$K$1004,$T1101))))</f>
        <v/>
      </c>
      <c r="N1101" s="50">
        <f>IF($T1101="","",IF($S1101="S",IF(INDEX(Firms!$M$5:$M$1004,$T1101)="","",INDEX(Firms!$M$5:$M$1004,$T1101)),IF(INDEX('AFA Rates'!$L$5:$L$1004,$T1101)="","",INDEX('AFA Rates'!$L$5:$L$1004,$T1101))))</f>
        <v/>
      </c>
      <c r="O1101" s="78">
        <f>IF(OR($T1101="",$U1101=""),"",IF(INDEX(Firms!$C$5:$C$1004,$U1101)="","",INDEX(Firms!$C$5:$C$1004,$U1101)))</f>
        <v/>
      </c>
      <c r="P1101" s="79">
        <f>IF(OR($T1101="",$U1101=""),"",IF(INDEX(Firms!$N$5:$N$1004,$U1101)="","",INDEX(Firms!$N$5:$N$1004,$U1101)))</f>
        <v/>
      </c>
      <c r="Q1101" s="78">
        <f>IF($T1101="","",IF($S1101="S",IF(INDEX(Firms!$T$5:$T$1004,$T1101)="","",INDEX(Firms!$T$5:$T$1004,$T1101)),IF(INDEX('AFA Rates'!$M$5:$M$1004,$T1101)="","",INDEX('AFA Rates'!$M$5:$M$1004,$T1101))))</f>
        <v/>
      </c>
      <c r="S1101">
        <f>IF(1097&lt;=$S$2,"S",IF(1097&lt;=$S$2+$T$2,"A",""))</f>
        <v/>
      </c>
      <c r="T1101">
        <f>IF(S1101="S",MATCH(1097,Firms!$W$5:$W$1004,0),IF(S1101="A",IFERROR(MATCH(1097-$S$2,'AFA Rates'!$R$5:$R$1004,0),""),""))</f>
        <v/>
      </c>
      <c r="U1101">
        <f>IF(S1101="S",T1101,IF(AND(S1101="A",T1101&lt;&gt;""),IFERROR(MATCH(INDEX('AFA Rates'!$A$5:$A$1004,T1101),Firms!$A$5:$A$1004,0),""),""))</f>
        <v/>
      </c>
    </row>
    <row r="1102">
      <c r="A1102" s="78">
        <f>IF($T1102="","",IF($S1102="S",IF(INDEX(Firms!$A$5:$A$1004,$T1102)="","",INDEX(Firms!$A$5:$A$1004,$T1102)),IF(INDEX('AFA Rates'!$A$5:$A$1004,$T1102)="","",INDEX('AFA Rates'!$A$5:$A$1004,$T1102))))</f>
        <v/>
      </c>
      <c r="B1102" s="79">
        <f>IF(OR($T1102="",$U1102=""),IF($T1102="","","Not on Firms tab"),INDEX(Firms!$B$5:$B$1004,$U1102)&amp;"")</f>
        <v/>
      </c>
      <c r="C1102" s="78">
        <f>IF($T1102="","",IF($S1102="S","Standard",INDEX('AFA Rates'!$B$5:$B$1004,$T1102)&amp;""))</f>
        <v/>
      </c>
      <c r="D1102" s="88">
        <f>IF($T1102="","",IF($S1102="S",IF(INDEX(Firms!$E$5:$E$1004,$T1102)="","",INDEX(Firms!$E$5:$E$1004,$T1102)),IF(INDEX('AFA Rates'!$C$5:$C$1004,$T1102)="","",INDEX('AFA Rates'!$C$5:$C$1004,$T1102))))</f>
        <v/>
      </c>
      <c r="E1102" s="88">
        <f>IF($T1102="","",IF($S1102="S",IF(""="","",""),IF(INDEX('AFA Rates'!$D$5:$D$1004,$T1102)="","",INDEX('AFA Rates'!$D$5:$D$1004,$T1102))))</f>
        <v/>
      </c>
      <c r="F1102" s="79">
        <f>IF($T1102="","",IF($S1102="S",IF(INDEX(Firms!$O$5:$O$1004,$T1102)="","",INDEX(Firms!$O$5:$O$1004,$T1102)),IF(INDEX('AFA Rates'!$O$5:$O$1004,$T1102)="","",INDEX('AFA Rates'!$O$5:$O$1004,$T1102))))</f>
        <v/>
      </c>
      <c r="G1102" s="50">
        <f>IF($T1102="","",IF($S1102="S",IF(INDEX(Firms!$F$5:$F$1004,$T1102)="","",INDEX(Firms!$F$5:$F$1004,$T1102)),IF(INDEX('AFA Rates'!$E$5:$E$1004,$T1102)="","",INDEX('AFA Rates'!$E$5:$E$1004,$T1102))))</f>
        <v/>
      </c>
      <c r="H1102" s="50">
        <f>IF($T1102="","",IF($S1102="S",IF(INDEX(Firms!$G$5:$G$1004,$T1102)="","",INDEX(Firms!$G$5:$G$1004,$T1102)),IF(INDEX('AFA Rates'!$F$5:$F$1004,$T1102)="","",INDEX('AFA Rates'!$F$5:$F$1004,$T1102))))</f>
        <v/>
      </c>
      <c r="I1102" s="50">
        <f>IF($T1102="","",IF($S1102="S",IF(INDEX(Firms!$H$5:$H$1004,$T1102)="","",INDEX(Firms!$H$5:$H$1004,$T1102)),IF(INDEX('AFA Rates'!$G$5:$G$1004,$T1102)="","",INDEX('AFA Rates'!$G$5:$G$1004,$T1102))))</f>
        <v/>
      </c>
      <c r="J1102" s="50">
        <f>IF($T1102="","",IF($S1102="S",IF(INDEX(Firms!$I$5:$I$1004,$T1102)="","",INDEX(Firms!$I$5:$I$1004,$T1102)),IF(INDEX('AFA Rates'!$H$5:$H$1004,$T1102)="","",INDEX('AFA Rates'!$H$5:$H$1004,$T1102))))</f>
        <v/>
      </c>
      <c r="K1102" s="50">
        <f>IF($T1102="","",IF($S1102="S",IF(INDEX(Firms!$J$5:$J$1004,$T1102)="","",INDEX(Firms!$J$5:$J$1004,$T1102)),IF(INDEX('AFA Rates'!$I$5:$I$1004,$T1102)="","",INDEX('AFA Rates'!$I$5:$I$1004,$T1102))))</f>
        <v/>
      </c>
      <c r="L1102" s="50">
        <f>IF($T1102="","",IF($S1102="S",IF(INDEX(Firms!$K$5:$K$1004,$T1102)="","",INDEX(Firms!$K$5:$K$1004,$T1102)),IF(INDEX('AFA Rates'!$J$5:$J$1004,$T1102)="","",INDEX('AFA Rates'!$J$5:$J$1004,$T1102))))</f>
        <v/>
      </c>
      <c r="M1102" s="50">
        <f>IF($T1102="","",IF($S1102="S",IF(INDEX(Firms!$L$5:$L$1004,$T1102)="","",INDEX(Firms!$L$5:$L$1004,$T1102)),IF(INDEX('AFA Rates'!$K$5:$K$1004,$T1102)="","",INDEX('AFA Rates'!$K$5:$K$1004,$T1102))))</f>
        <v/>
      </c>
      <c r="N1102" s="50">
        <f>IF($T1102="","",IF($S1102="S",IF(INDEX(Firms!$M$5:$M$1004,$T1102)="","",INDEX(Firms!$M$5:$M$1004,$T1102)),IF(INDEX('AFA Rates'!$L$5:$L$1004,$T1102)="","",INDEX('AFA Rates'!$L$5:$L$1004,$T1102))))</f>
        <v/>
      </c>
      <c r="O1102" s="78">
        <f>IF(OR($T1102="",$U1102=""),"",IF(INDEX(Firms!$C$5:$C$1004,$U1102)="","",INDEX(Firms!$C$5:$C$1004,$U1102)))</f>
        <v/>
      </c>
      <c r="P1102" s="79">
        <f>IF(OR($T1102="",$U1102=""),"",IF(INDEX(Firms!$N$5:$N$1004,$U1102)="","",INDEX(Firms!$N$5:$N$1004,$U1102)))</f>
        <v/>
      </c>
      <c r="Q1102" s="78">
        <f>IF($T1102="","",IF($S1102="S",IF(INDEX(Firms!$T$5:$T$1004,$T1102)="","",INDEX(Firms!$T$5:$T$1004,$T1102)),IF(INDEX('AFA Rates'!$M$5:$M$1004,$T1102)="","",INDEX('AFA Rates'!$M$5:$M$1004,$T1102))))</f>
        <v/>
      </c>
      <c r="S1102">
        <f>IF(1098&lt;=$S$2,"S",IF(1098&lt;=$S$2+$T$2,"A",""))</f>
        <v/>
      </c>
      <c r="T1102">
        <f>IF(S1102="S",MATCH(1098,Firms!$W$5:$W$1004,0),IF(S1102="A",IFERROR(MATCH(1098-$S$2,'AFA Rates'!$R$5:$R$1004,0),""),""))</f>
        <v/>
      </c>
      <c r="U1102">
        <f>IF(S1102="S",T1102,IF(AND(S1102="A",T1102&lt;&gt;""),IFERROR(MATCH(INDEX('AFA Rates'!$A$5:$A$1004,T1102),Firms!$A$5:$A$1004,0),""),""))</f>
        <v/>
      </c>
    </row>
    <row r="1103">
      <c r="A1103" s="78">
        <f>IF($T1103="","",IF($S1103="S",IF(INDEX(Firms!$A$5:$A$1004,$T1103)="","",INDEX(Firms!$A$5:$A$1004,$T1103)),IF(INDEX('AFA Rates'!$A$5:$A$1004,$T1103)="","",INDEX('AFA Rates'!$A$5:$A$1004,$T1103))))</f>
        <v/>
      </c>
      <c r="B1103" s="79">
        <f>IF(OR($T1103="",$U1103=""),IF($T1103="","","Not on Firms tab"),INDEX(Firms!$B$5:$B$1004,$U1103)&amp;"")</f>
        <v/>
      </c>
      <c r="C1103" s="78">
        <f>IF($T1103="","",IF($S1103="S","Standard",INDEX('AFA Rates'!$B$5:$B$1004,$T1103)&amp;""))</f>
        <v/>
      </c>
      <c r="D1103" s="88">
        <f>IF($T1103="","",IF($S1103="S",IF(INDEX(Firms!$E$5:$E$1004,$T1103)="","",INDEX(Firms!$E$5:$E$1004,$T1103)),IF(INDEX('AFA Rates'!$C$5:$C$1004,$T1103)="","",INDEX('AFA Rates'!$C$5:$C$1004,$T1103))))</f>
        <v/>
      </c>
      <c r="E1103" s="88">
        <f>IF($T1103="","",IF($S1103="S",IF(""="","",""),IF(INDEX('AFA Rates'!$D$5:$D$1004,$T1103)="","",INDEX('AFA Rates'!$D$5:$D$1004,$T1103))))</f>
        <v/>
      </c>
      <c r="F1103" s="79">
        <f>IF($T1103="","",IF($S1103="S",IF(INDEX(Firms!$O$5:$O$1004,$T1103)="","",INDEX(Firms!$O$5:$O$1004,$T1103)),IF(INDEX('AFA Rates'!$O$5:$O$1004,$T1103)="","",INDEX('AFA Rates'!$O$5:$O$1004,$T1103))))</f>
        <v/>
      </c>
      <c r="G1103" s="50">
        <f>IF($T1103="","",IF($S1103="S",IF(INDEX(Firms!$F$5:$F$1004,$T1103)="","",INDEX(Firms!$F$5:$F$1004,$T1103)),IF(INDEX('AFA Rates'!$E$5:$E$1004,$T1103)="","",INDEX('AFA Rates'!$E$5:$E$1004,$T1103))))</f>
        <v/>
      </c>
      <c r="H1103" s="50">
        <f>IF($T1103="","",IF($S1103="S",IF(INDEX(Firms!$G$5:$G$1004,$T1103)="","",INDEX(Firms!$G$5:$G$1004,$T1103)),IF(INDEX('AFA Rates'!$F$5:$F$1004,$T1103)="","",INDEX('AFA Rates'!$F$5:$F$1004,$T1103))))</f>
        <v/>
      </c>
      <c r="I1103" s="50">
        <f>IF($T1103="","",IF($S1103="S",IF(INDEX(Firms!$H$5:$H$1004,$T1103)="","",INDEX(Firms!$H$5:$H$1004,$T1103)),IF(INDEX('AFA Rates'!$G$5:$G$1004,$T1103)="","",INDEX('AFA Rates'!$G$5:$G$1004,$T1103))))</f>
        <v/>
      </c>
      <c r="J1103" s="50">
        <f>IF($T1103="","",IF($S1103="S",IF(INDEX(Firms!$I$5:$I$1004,$T1103)="","",INDEX(Firms!$I$5:$I$1004,$T1103)),IF(INDEX('AFA Rates'!$H$5:$H$1004,$T1103)="","",INDEX('AFA Rates'!$H$5:$H$1004,$T1103))))</f>
        <v/>
      </c>
      <c r="K1103" s="50">
        <f>IF($T1103="","",IF($S1103="S",IF(INDEX(Firms!$J$5:$J$1004,$T1103)="","",INDEX(Firms!$J$5:$J$1004,$T1103)),IF(INDEX('AFA Rates'!$I$5:$I$1004,$T1103)="","",INDEX('AFA Rates'!$I$5:$I$1004,$T1103))))</f>
        <v/>
      </c>
      <c r="L1103" s="50">
        <f>IF($T1103="","",IF($S1103="S",IF(INDEX(Firms!$K$5:$K$1004,$T1103)="","",INDEX(Firms!$K$5:$K$1004,$T1103)),IF(INDEX('AFA Rates'!$J$5:$J$1004,$T1103)="","",INDEX('AFA Rates'!$J$5:$J$1004,$T1103))))</f>
        <v/>
      </c>
      <c r="M1103" s="50">
        <f>IF($T1103="","",IF($S1103="S",IF(INDEX(Firms!$L$5:$L$1004,$T1103)="","",INDEX(Firms!$L$5:$L$1004,$T1103)),IF(INDEX('AFA Rates'!$K$5:$K$1004,$T1103)="","",INDEX('AFA Rates'!$K$5:$K$1004,$T1103))))</f>
        <v/>
      </c>
      <c r="N1103" s="50">
        <f>IF($T1103="","",IF($S1103="S",IF(INDEX(Firms!$M$5:$M$1004,$T1103)="","",INDEX(Firms!$M$5:$M$1004,$T1103)),IF(INDEX('AFA Rates'!$L$5:$L$1004,$T1103)="","",INDEX('AFA Rates'!$L$5:$L$1004,$T1103))))</f>
        <v/>
      </c>
      <c r="O1103" s="78">
        <f>IF(OR($T1103="",$U1103=""),"",IF(INDEX(Firms!$C$5:$C$1004,$U1103)="","",INDEX(Firms!$C$5:$C$1004,$U1103)))</f>
        <v/>
      </c>
      <c r="P1103" s="79">
        <f>IF(OR($T1103="",$U1103=""),"",IF(INDEX(Firms!$N$5:$N$1004,$U1103)="","",INDEX(Firms!$N$5:$N$1004,$U1103)))</f>
        <v/>
      </c>
      <c r="Q1103" s="78">
        <f>IF($T1103="","",IF($S1103="S",IF(INDEX(Firms!$T$5:$T$1004,$T1103)="","",INDEX(Firms!$T$5:$T$1004,$T1103)),IF(INDEX('AFA Rates'!$M$5:$M$1004,$T1103)="","",INDEX('AFA Rates'!$M$5:$M$1004,$T1103))))</f>
        <v/>
      </c>
      <c r="S1103">
        <f>IF(1099&lt;=$S$2,"S",IF(1099&lt;=$S$2+$T$2,"A",""))</f>
        <v/>
      </c>
      <c r="T1103">
        <f>IF(S1103="S",MATCH(1099,Firms!$W$5:$W$1004,0),IF(S1103="A",IFERROR(MATCH(1099-$S$2,'AFA Rates'!$R$5:$R$1004,0),""),""))</f>
        <v/>
      </c>
      <c r="U1103">
        <f>IF(S1103="S",T1103,IF(AND(S1103="A",T1103&lt;&gt;""),IFERROR(MATCH(INDEX('AFA Rates'!$A$5:$A$1004,T1103),Firms!$A$5:$A$1004,0),""),""))</f>
        <v/>
      </c>
    </row>
    <row r="1104">
      <c r="A1104" s="78">
        <f>IF($T1104="","",IF($S1104="S",IF(INDEX(Firms!$A$5:$A$1004,$T1104)="","",INDEX(Firms!$A$5:$A$1004,$T1104)),IF(INDEX('AFA Rates'!$A$5:$A$1004,$T1104)="","",INDEX('AFA Rates'!$A$5:$A$1004,$T1104))))</f>
        <v/>
      </c>
      <c r="B1104" s="79">
        <f>IF(OR($T1104="",$U1104=""),IF($T1104="","","Not on Firms tab"),INDEX(Firms!$B$5:$B$1004,$U1104)&amp;"")</f>
        <v/>
      </c>
      <c r="C1104" s="78">
        <f>IF($T1104="","",IF($S1104="S","Standard",INDEX('AFA Rates'!$B$5:$B$1004,$T1104)&amp;""))</f>
        <v/>
      </c>
      <c r="D1104" s="88">
        <f>IF($T1104="","",IF($S1104="S",IF(INDEX(Firms!$E$5:$E$1004,$T1104)="","",INDEX(Firms!$E$5:$E$1004,$T1104)),IF(INDEX('AFA Rates'!$C$5:$C$1004,$T1104)="","",INDEX('AFA Rates'!$C$5:$C$1004,$T1104))))</f>
        <v/>
      </c>
      <c r="E1104" s="88">
        <f>IF($T1104="","",IF($S1104="S",IF(""="","",""),IF(INDEX('AFA Rates'!$D$5:$D$1004,$T1104)="","",INDEX('AFA Rates'!$D$5:$D$1004,$T1104))))</f>
        <v/>
      </c>
      <c r="F1104" s="79">
        <f>IF($T1104="","",IF($S1104="S",IF(INDEX(Firms!$O$5:$O$1004,$T1104)="","",INDEX(Firms!$O$5:$O$1004,$T1104)),IF(INDEX('AFA Rates'!$O$5:$O$1004,$T1104)="","",INDEX('AFA Rates'!$O$5:$O$1004,$T1104))))</f>
        <v/>
      </c>
      <c r="G1104" s="50">
        <f>IF($T1104="","",IF($S1104="S",IF(INDEX(Firms!$F$5:$F$1004,$T1104)="","",INDEX(Firms!$F$5:$F$1004,$T1104)),IF(INDEX('AFA Rates'!$E$5:$E$1004,$T1104)="","",INDEX('AFA Rates'!$E$5:$E$1004,$T1104))))</f>
        <v/>
      </c>
      <c r="H1104" s="50">
        <f>IF($T1104="","",IF($S1104="S",IF(INDEX(Firms!$G$5:$G$1004,$T1104)="","",INDEX(Firms!$G$5:$G$1004,$T1104)),IF(INDEX('AFA Rates'!$F$5:$F$1004,$T1104)="","",INDEX('AFA Rates'!$F$5:$F$1004,$T1104))))</f>
        <v/>
      </c>
      <c r="I1104" s="50">
        <f>IF($T1104="","",IF($S1104="S",IF(INDEX(Firms!$H$5:$H$1004,$T1104)="","",INDEX(Firms!$H$5:$H$1004,$T1104)),IF(INDEX('AFA Rates'!$G$5:$G$1004,$T1104)="","",INDEX('AFA Rates'!$G$5:$G$1004,$T1104))))</f>
        <v/>
      </c>
      <c r="J1104" s="50">
        <f>IF($T1104="","",IF($S1104="S",IF(INDEX(Firms!$I$5:$I$1004,$T1104)="","",INDEX(Firms!$I$5:$I$1004,$T1104)),IF(INDEX('AFA Rates'!$H$5:$H$1004,$T1104)="","",INDEX('AFA Rates'!$H$5:$H$1004,$T1104))))</f>
        <v/>
      </c>
      <c r="K1104" s="50">
        <f>IF($T1104="","",IF($S1104="S",IF(INDEX(Firms!$J$5:$J$1004,$T1104)="","",INDEX(Firms!$J$5:$J$1004,$T1104)),IF(INDEX('AFA Rates'!$I$5:$I$1004,$T1104)="","",INDEX('AFA Rates'!$I$5:$I$1004,$T1104))))</f>
        <v/>
      </c>
      <c r="L1104" s="50">
        <f>IF($T1104="","",IF($S1104="S",IF(INDEX(Firms!$K$5:$K$1004,$T1104)="","",INDEX(Firms!$K$5:$K$1004,$T1104)),IF(INDEX('AFA Rates'!$J$5:$J$1004,$T1104)="","",INDEX('AFA Rates'!$J$5:$J$1004,$T1104))))</f>
        <v/>
      </c>
      <c r="M1104" s="50">
        <f>IF($T1104="","",IF($S1104="S",IF(INDEX(Firms!$L$5:$L$1004,$T1104)="","",INDEX(Firms!$L$5:$L$1004,$T1104)),IF(INDEX('AFA Rates'!$K$5:$K$1004,$T1104)="","",INDEX('AFA Rates'!$K$5:$K$1004,$T1104))))</f>
        <v/>
      </c>
      <c r="N1104" s="50">
        <f>IF($T1104="","",IF($S1104="S",IF(INDEX(Firms!$M$5:$M$1004,$T1104)="","",INDEX(Firms!$M$5:$M$1004,$T1104)),IF(INDEX('AFA Rates'!$L$5:$L$1004,$T1104)="","",INDEX('AFA Rates'!$L$5:$L$1004,$T1104))))</f>
        <v/>
      </c>
      <c r="O1104" s="78">
        <f>IF(OR($T1104="",$U1104=""),"",IF(INDEX(Firms!$C$5:$C$1004,$U1104)="","",INDEX(Firms!$C$5:$C$1004,$U1104)))</f>
        <v/>
      </c>
      <c r="P1104" s="79">
        <f>IF(OR($T1104="",$U1104=""),"",IF(INDEX(Firms!$N$5:$N$1004,$U1104)="","",INDEX(Firms!$N$5:$N$1004,$U1104)))</f>
        <v/>
      </c>
      <c r="Q1104" s="78">
        <f>IF($T1104="","",IF($S1104="S",IF(INDEX(Firms!$T$5:$T$1004,$T1104)="","",INDEX(Firms!$T$5:$T$1004,$T1104)),IF(INDEX('AFA Rates'!$M$5:$M$1004,$T1104)="","",INDEX('AFA Rates'!$M$5:$M$1004,$T1104))))</f>
        <v/>
      </c>
      <c r="S1104">
        <f>IF(1100&lt;=$S$2,"S",IF(1100&lt;=$S$2+$T$2,"A",""))</f>
        <v/>
      </c>
      <c r="T1104">
        <f>IF(S1104="S",MATCH(1100,Firms!$W$5:$W$1004,0),IF(S1104="A",IFERROR(MATCH(1100-$S$2,'AFA Rates'!$R$5:$R$1004,0),""),""))</f>
        <v/>
      </c>
      <c r="U1104">
        <f>IF(S1104="S",T1104,IF(AND(S1104="A",T1104&lt;&gt;""),IFERROR(MATCH(INDEX('AFA Rates'!$A$5:$A$1004,T1104),Firms!$A$5:$A$1004,0),""),""))</f>
        <v/>
      </c>
    </row>
    <row r="1105">
      <c r="A1105" s="78">
        <f>IF($T1105="","",IF($S1105="S",IF(INDEX(Firms!$A$5:$A$1004,$T1105)="","",INDEX(Firms!$A$5:$A$1004,$T1105)),IF(INDEX('AFA Rates'!$A$5:$A$1004,$T1105)="","",INDEX('AFA Rates'!$A$5:$A$1004,$T1105))))</f>
        <v/>
      </c>
      <c r="B1105" s="79">
        <f>IF(OR($T1105="",$U1105=""),IF($T1105="","","Not on Firms tab"),INDEX(Firms!$B$5:$B$1004,$U1105)&amp;"")</f>
        <v/>
      </c>
      <c r="C1105" s="78">
        <f>IF($T1105="","",IF($S1105="S","Standard",INDEX('AFA Rates'!$B$5:$B$1004,$T1105)&amp;""))</f>
        <v/>
      </c>
      <c r="D1105" s="88">
        <f>IF($T1105="","",IF($S1105="S",IF(INDEX(Firms!$E$5:$E$1004,$T1105)="","",INDEX(Firms!$E$5:$E$1004,$T1105)),IF(INDEX('AFA Rates'!$C$5:$C$1004,$T1105)="","",INDEX('AFA Rates'!$C$5:$C$1004,$T1105))))</f>
        <v/>
      </c>
      <c r="E1105" s="88">
        <f>IF($T1105="","",IF($S1105="S",IF(""="","",""),IF(INDEX('AFA Rates'!$D$5:$D$1004,$T1105)="","",INDEX('AFA Rates'!$D$5:$D$1004,$T1105))))</f>
        <v/>
      </c>
      <c r="F1105" s="79">
        <f>IF($T1105="","",IF($S1105="S",IF(INDEX(Firms!$O$5:$O$1004,$T1105)="","",INDEX(Firms!$O$5:$O$1004,$T1105)),IF(INDEX('AFA Rates'!$O$5:$O$1004,$T1105)="","",INDEX('AFA Rates'!$O$5:$O$1004,$T1105))))</f>
        <v/>
      </c>
      <c r="G1105" s="50">
        <f>IF($T1105="","",IF($S1105="S",IF(INDEX(Firms!$F$5:$F$1004,$T1105)="","",INDEX(Firms!$F$5:$F$1004,$T1105)),IF(INDEX('AFA Rates'!$E$5:$E$1004,$T1105)="","",INDEX('AFA Rates'!$E$5:$E$1004,$T1105))))</f>
        <v/>
      </c>
      <c r="H1105" s="50">
        <f>IF($T1105="","",IF($S1105="S",IF(INDEX(Firms!$G$5:$G$1004,$T1105)="","",INDEX(Firms!$G$5:$G$1004,$T1105)),IF(INDEX('AFA Rates'!$F$5:$F$1004,$T1105)="","",INDEX('AFA Rates'!$F$5:$F$1004,$T1105))))</f>
        <v/>
      </c>
      <c r="I1105" s="50">
        <f>IF($T1105="","",IF($S1105="S",IF(INDEX(Firms!$H$5:$H$1004,$T1105)="","",INDEX(Firms!$H$5:$H$1004,$T1105)),IF(INDEX('AFA Rates'!$G$5:$G$1004,$T1105)="","",INDEX('AFA Rates'!$G$5:$G$1004,$T1105))))</f>
        <v/>
      </c>
      <c r="J1105" s="50">
        <f>IF($T1105="","",IF($S1105="S",IF(INDEX(Firms!$I$5:$I$1004,$T1105)="","",INDEX(Firms!$I$5:$I$1004,$T1105)),IF(INDEX('AFA Rates'!$H$5:$H$1004,$T1105)="","",INDEX('AFA Rates'!$H$5:$H$1004,$T1105))))</f>
        <v/>
      </c>
      <c r="K1105" s="50">
        <f>IF($T1105="","",IF($S1105="S",IF(INDEX(Firms!$J$5:$J$1004,$T1105)="","",INDEX(Firms!$J$5:$J$1004,$T1105)),IF(INDEX('AFA Rates'!$I$5:$I$1004,$T1105)="","",INDEX('AFA Rates'!$I$5:$I$1004,$T1105))))</f>
        <v/>
      </c>
      <c r="L1105" s="50">
        <f>IF($T1105="","",IF($S1105="S",IF(INDEX(Firms!$K$5:$K$1004,$T1105)="","",INDEX(Firms!$K$5:$K$1004,$T1105)),IF(INDEX('AFA Rates'!$J$5:$J$1004,$T1105)="","",INDEX('AFA Rates'!$J$5:$J$1004,$T1105))))</f>
        <v/>
      </c>
      <c r="M1105" s="50">
        <f>IF($T1105="","",IF($S1105="S",IF(INDEX(Firms!$L$5:$L$1004,$T1105)="","",INDEX(Firms!$L$5:$L$1004,$T1105)),IF(INDEX('AFA Rates'!$K$5:$K$1004,$T1105)="","",INDEX('AFA Rates'!$K$5:$K$1004,$T1105))))</f>
        <v/>
      </c>
      <c r="N1105" s="50">
        <f>IF($T1105="","",IF($S1105="S",IF(INDEX(Firms!$M$5:$M$1004,$T1105)="","",INDEX(Firms!$M$5:$M$1004,$T1105)),IF(INDEX('AFA Rates'!$L$5:$L$1004,$T1105)="","",INDEX('AFA Rates'!$L$5:$L$1004,$T1105))))</f>
        <v/>
      </c>
      <c r="O1105" s="78">
        <f>IF(OR($T1105="",$U1105=""),"",IF(INDEX(Firms!$C$5:$C$1004,$U1105)="","",INDEX(Firms!$C$5:$C$1004,$U1105)))</f>
        <v/>
      </c>
      <c r="P1105" s="79">
        <f>IF(OR($T1105="",$U1105=""),"",IF(INDEX(Firms!$N$5:$N$1004,$U1105)="","",INDEX(Firms!$N$5:$N$1004,$U1105)))</f>
        <v/>
      </c>
      <c r="Q1105" s="78">
        <f>IF($T1105="","",IF($S1105="S",IF(INDEX(Firms!$T$5:$T$1004,$T1105)="","",INDEX(Firms!$T$5:$T$1004,$T1105)),IF(INDEX('AFA Rates'!$M$5:$M$1004,$T1105)="","",INDEX('AFA Rates'!$M$5:$M$1004,$T1105))))</f>
        <v/>
      </c>
      <c r="S1105">
        <f>IF(1101&lt;=$S$2,"S",IF(1101&lt;=$S$2+$T$2,"A",""))</f>
        <v/>
      </c>
      <c r="T1105">
        <f>IF(S1105="S",MATCH(1101,Firms!$W$5:$W$1004,0),IF(S1105="A",IFERROR(MATCH(1101-$S$2,'AFA Rates'!$R$5:$R$1004,0),""),""))</f>
        <v/>
      </c>
      <c r="U1105">
        <f>IF(S1105="S",T1105,IF(AND(S1105="A",T1105&lt;&gt;""),IFERROR(MATCH(INDEX('AFA Rates'!$A$5:$A$1004,T1105),Firms!$A$5:$A$1004,0),""),""))</f>
        <v/>
      </c>
    </row>
    <row r="1106">
      <c r="A1106" s="78">
        <f>IF($T1106="","",IF($S1106="S",IF(INDEX(Firms!$A$5:$A$1004,$T1106)="","",INDEX(Firms!$A$5:$A$1004,$T1106)),IF(INDEX('AFA Rates'!$A$5:$A$1004,$T1106)="","",INDEX('AFA Rates'!$A$5:$A$1004,$T1106))))</f>
        <v/>
      </c>
      <c r="B1106" s="79">
        <f>IF(OR($T1106="",$U1106=""),IF($T1106="","","Not on Firms tab"),INDEX(Firms!$B$5:$B$1004,$U1106)&amp;"")</f>
        <v/>
      </c>
      <c r="C1106" s="78">
        <f>IF($T1106="","",IF($S1106="S","Standard",INDEX('AFA Rates'!$B$5:$B$1004,$T1106)&amp;""))</f>
        <v/>
      </c>
      <c r="D1106" s="88">
        <f>IF($T1106="","",IF($S1106="S",IF(INDEX(Firms!$E$5:$E$1004,$T1106)="","",INDEX(Firms!$E$5:$E$1004,$T1106)),IF(INDEX('AFA Rates'!$C$5:$C$1004,$T1106)="","",INDEX('AFA Rates'!$C$5:$C$1004,$T1106))))</f>
        <v/>
      </c>
      <c r="E1106" s="88">
        <f>IF($T1106="","",IF($S1106="S",IF(""="","",""),IF(INDEX('AFA Rates'!$D$5:$D$1004,$T1106)="","",INDEX('AFA Rates'!$D$5:$D$1004,$T1106))))</f>
        <v/>
      </c>
      <c r="F1106" s="79">
        <f>IF($T1106="","",IF($S1106="S",IF(INDEX(Firms!$O$5:$O$1004,$T1106)="","",INDEX(Firms!$O$5:$O$1004,$T1106)),IF(INDEX('AFA Rates'!$O$5:$O$1004,$T1106)="","",INDEX('AFA Rates'!$O$5:$O$1004,$T1106))))</f>
        <v/>
      </c>
      <c r="G1106" s="50">
        <f>IF($T1106="","",IF($S1106="S",IF(INDEX(Firms!$F$5:$F$1004,$T1106)="","",INDEX(Firms!$F$5:$F$1004,$T1106)),IF(INDEX('AFA Rates'!$E$5:$E$1004,$T1106)="","",INDEX('AFA Rates'!$E$5:$E$1004,$T1106))))</f>
        <v/>
      </c>
      <c r="H1106" s="50">
        <f>IF($T1106="","",IF($S1106="S",IF(INDEX(Firms!$G$5:$G$1004,$T1106)="","",INDEX(Firms!$G$5:$G$1004,$T1106)),IF(INDEX('AFA Rates'!$F$5:$F$1004,$T1106)="","",INDEX('AFA Rates'!$F$5:$F$1004,$T1106))))</f>
        <v/>
      </c>
      <c r="I1106" s="50">
        <f>IF($T1106="","",IF($S1106="S",IF(INDEX(Firms!$H$5:$H$1004,$T1106)="","",INDEX(Firms!$H$5:$H$1004,$T1106)),IF(INDEX('AFA Rates'!$G$5:$G$1004,$T1106)="","",INDEX('AFA Rates'!$G$5:$G$1004,$T1106))))</f>
        <v/>
      </c>
      <c r="J1106" s="50">
        <f>IF($T1106="","",IF($S1106="S",IF(INDEX(Firms!$I$5:$I$1004,$T1106)="","",INDEX(Firms!$I$5:$I$1004,$T1106)),IF(INDEX('AFA Rates'!$H$5:$H$1004,$T1106)="","",INDEX('AFA Rates'!$H$5:$H$1004,$T1106))))</f>
        <v/>
      </c>
      <c r="K1106" s="50">
        <f>IF($T1106="","",IF($S1106="S",IF(INDEX(Firms!$J$5:$J$1004,$T1106)="","",INDEX(Firms!$J$5:$J$1004,$T1106)),IF(INDEX('AFA Rates'!$I$5:$I$1004,$T1106)="","",INDEX('AFA Rates'!$I$5:$I$1004,$T1106))))</f>
        <v/>
      </c>
      <c r="L1106" s="50">
        <f>IF($T1106="","",IF($S1106="S",IF(INDEX(Firms!$K$5:$K$1004,$T1106)="","",INDEX(Firms!$K$5:$K$1004,$T1106)),IF(INDEX('AFA Rates'!$J$5:$J$1004,$T1106)="","",INDEX('AFA Rates'!$J$5:$J$1004,$T1106))))</f>
        <v/>
      </c>
      <c r="M1106" s="50">
        <f>IF($T1106="","",IF($S1106="S",IF(INDEX(Firms!$L$5:$L$1004,$T1106)="","",INDEX(Firms!$L$5:$L$1004,$T1106)),IF(INDEX('AFA Rates'!$K$5:$K$1004,$T1106)="","",INDEX('AFA Rates'!$K$5:$K$1004,$T1106))))</f>
        <v/>
      </c>
      <c r="N1106" s="50">
        <f>IF($T1106="","",IF($S1106="S",IF(INDEX(Firms!$M$5:$M$1004,$T1106)="","",INDEX(Firms!$M$5:$M$1004,$T1106)),IF(INDEX('AFA Rates'!$L$5:$L$1004,$T1106)="","",INDEX('AFA Rates'!$L$5:$L$1004,$T1106))))</f>
        <v/>
      </c>
      <c r="O1106" s="78">
        <f>IF(OR($T1106="",$U1106=""),"",IF(INDEX(Firms!$C$5:$C$1004,$U1106)="","",INDEX(Firms!$C$5:$C$1004,$U1106)))</f>
        <v/>
      </c>
      <c r="P1106" s="79">
        <f>IF(OR($T1106="",$U1106=""),"",IF(INDEX(Firms!$N$5:$N$1004,$U1106)="","",INDEX(Firms!$N$5:$N$1004,$U1106)))</f>
        <v/>
      </c>
      <c r="Q1106" s="78">
        <f>IF($T1106="","",IF($S1106="S",IF(INDEX(Firms!$T$5:$T$1004,$T1106)="","",INDEX(Firms!$T$5:$T$1004,$T1106)),IF(INDEX('AFA Rates'!$M$5:$M$1004,$T1106)="","",INDEX('AFA Rates'!$M$5:$M$1004,$T1106))))</f>
        <v/>
      </c>
      <c r="S1106">
        <f>IF(1102&lt;=$S$2,"S",IF(1102&lt;=$S$2+$T$2,"A",""))</f>
        <v/>
      </c>
      <c r="T1106">
        <f>IF(S1106="S",MATCH(1102,Firms!$W$5:$W$1004,0),IF(S1106="A",IFERROR(MATCH(1102-$S$2,'AFA Rates'!$R$5:$R$1004,0),""),""))</f>
        <v/>
      </c>
      <c r="U1106">
        <f>IF(S1106="S",T1106,IF(AND(S1106="A",T1106&lt;&gt;""),IFERROR(MATCH(INDEX('AFA Rates'!$A$5:$A$1004,T1106),Firms!$A$5:$A$1004,0),""),""))</f>
        <v/>
      </c>
    </row>
    <row r="1107">
      <c r="A1107" s="78">
        <f>IF($T1107="","",IF($S1107="S",IF(INDEX(Firms!$A$5:$A$1004,$T1107)="","",INDEX(Firms!$A$5:$A$1004,$T1107)),IF(INDEX('AFA Rates'!$A$5:$A$1004,$T1107)="","",INDEX('AFA Rates'!$A$5:$A$1004,$T1107))))</f>
        <v/>
      </c>
      <c r="B1107" s="79">
        <f>IF(OR($T1107="",$U1107=""),IF($T1107="","","Not on Firms tab"),INDEX(Firms!$B$5:$B$1004,$U1107)&amp;"")</f>
        <v/>
      </c>
      <c r="C1107" s="78">
        <f>IF($T1107="","",IF($S1107="S","Standard",INDEX('AFA Rates'!$B$5:$B$1004,$T1107)&amp;""))</f>
        <v/>
      </c>
      <c r="D1107" s="88">
        <f>IF($T1107="","",IF($S1107="S",IF(INDEX(Firms!$E$5:$E$1004,$T1107)="","",INDEX(Firms!$E$5:$E$1004,$T1107)),IF(INDEX('AFA Rates'!$C$5:$C$1004,$T1107)="","",INDEX('AFA Rates'!$C$5:$C$1004,$T1107))))</f>
        <v/>
      </c>
      <c r="E1107" s="88">
        <f>IF($T1107="","",IF($S1107="S",IF(""="","",""),IF(INDEX('AFA Rates'!$D$5:$D$1004,$T1107)="","",INDEX('AFA Rates'!$D$5:$D$1004,$T1107))))</f>
        <v/>
      </c>
      <c r="F1107" s="79">
        <f>IF($T1107="","",IF($S1107="S",IF(INDEX(Firms!$O$5:$O$1004,$T1107)="","",INDEX(Firms!$O$5:$O$1004,$T1107)),IF(INDEX('AFA Rates'!$O$5:$O$1004,$T1107)="","",INDEX('AFA Rates'!$O$5:$O$1004,$T1107))))</f>
        <v/>
      </c>
      <c r="G1107" s="50">
        <f>IF($T1107="","",IF($S1107="S",IF(INDEX(Firms!$F$5:$F$1004,$T1107)="","",INDEX(Firms!$F$5:$F$1004,$T1107)),IF(INDEX('AFA Rates'!$E$5:$E$1004,$T1107)="","",INDEX('AFA Rates'!$E$5:$E$1004,$T1107))))</f>
        <v/>
      </c>
      <c r="H1107" s="50">
        <f>IF($T1107="","",IF($S1107="S",IF(INDEX(Firms!$G$5:$G$1004,$T1107)="","",INDEX(Firms!$G$5:$G$1004,$T1107)),IF(INDEX('AFA Rates'!$F$5:$F$1004,$T1107)="","",INDEX('AFA Rates'!$F$5:$F$1004,$T1107))))</f>
        <v/>
      </c>
      <c r="I1107" s="50">
        <f>IF($T1107="","",IF($S1107="S",IF(INDEX(Firms!$H$5:$H$1004,$T1107)="","",INDEX(Firms!$H$5:$H$1004,$T1107)),IF(INDEX('AFA Rates'!$G$5:$G$1004,$T1107)="","",INDEX('AFA Rates'!$G$5:$G$1004,$T1107))))</f>
        <v/>
      </c>
      <c r="J1107" s="50">
        <f>IF($T1107="","",IF($S1107="S",IF(INDEX(Firms!$I$5:$I$1004,$T1107)="","",INDEX(Firms!$I$5:$I$1004,$T1107)),IF(INDEX('AFA Rates'!$H$5:$H$1004,$T1107)="","",INDEX('AFA Rates'!$H$5:$H$1004,$T1107))))</f>
        <v/>
      </c>
      <c r="K1107" s="50">
        <f>IF($T1107="","",IF($S1107="S",IF(INDEX(Firms!$J$5:$J$1004,$T1107)="","",INDEX(Firms!$J$5:$J$1004,$T1107)),IF(INDEX('AFA Rates'!$I$5:$I$1004,$T1107)="","",INDEX('AFA Rates'!$I$5:$I$1004,$T1107))))</f>
        <v/>
      </c>
      <c r="L1107" s="50">
        <f>IF($T1107="","",IF($S1107="S",IF(INDEX(Firms!$K$5:$K$1004,$T1107)="","",INDEX(Firms!$K$5:$K$1004,$T1107)),IF(INDEX('AFA Rates'!$J$5:$J$1004,$T1107)="","",INDEX('AFA Rates'!$J$5:$J$1004,$T1107))))</f>
        <v/>
      </c>
      <c r="M1107" s="50">
        <f>IF($T1107="","",IF($S1107="S",IF(INDEX(Firms!$L$5:$L$1004,$T1107)="","",INDEX(Firms!$L$5:$L$1004,$T1107)),IF(INDEX('AFA Rates'!$K$5:$K$1004,$T1107)="","",INDEX('AFA Rates'!$K$5:$K$1004,$T1107))))</f>
        <v/>
      </c>
      <c r="N1107" s="50">
        <f>IF($T1107="","",IF($S1107="S",IF(INDEX(Firms!$M$5:$M$1004,$T1107)="","",INDEX(Firms!$M$5:$M$1004,$T1107)),IF(INDEX('AFA Rates'!$L$5:$L$1004,$T1107)="","",INDEX('AFA Rates'!$L$5:$L$1004,$T1107))))</f>
        <v/>
      </c>
      <c r="O1107" s="78">
        <f>IF(OR($T1107="",$U1107=""),"",IF(INDEX(Firms!$C$5:$C$1004,$U1107)="","",INDEX(Firms!$C$5:$C$1004,$U1107)))</f>
        <v/>
      </c>
      <c r="P1107" s="79">
        <f>IF(OR($T1107="",$U1107=""),"",IF(INDEX(Firms!$N$5:$N$1004,$U1107)="","",INDEX(Firms!$N$5:$N$1004,$U1107)))</f>
        <v/>
      </c>
      <c r="Q1107" s="78">
        <f>IF($T1107="","",IF($S1107="S",IF(INDEX(Firms!$T$5:$T$1004,$T1107)="","",INDEX(Firms!$T$5:$T$1004,$T1107)),IF(INDEX('AFA Rates'!$M$5:$M$1004,$T1107)="","",INDEX('AFA Rates'!$M$5:$M$1004,$T1107))))</f>
        <v/>
      </c>
      <c r="S1107">
        <f>IF(1103&lt;=$S$2,"S",IF(1103&lt;=$S$2+$T$2,"A",""))</f>
        <v/>
      </c>
      <c r="T1107">
        <f>IF(S1107="S",MATCH(1103,Firms!$W$5:$W$1004,0),IF(S1107="A",IFERROR(MATCH(1103-$S$2,'AFA Rates'!$R$5:$R$1004,0),""),""))</f>
        <v/>
      </c>
      <c r="U1107">
        <f>IF(S1107="S",T1107,IF(AND(S1107="A",T1107&lt;&gt;""),IFERROR(MATCH(INDEX('AFA Rates'!$A$5:$A$1004,T1107),Firms!$A$5:$A$1004,0),""),""))</f>
        <v/>
      </c>
    </row>
    <row r="1108">
      <c r="A1108" s="78">
        <f>IF($T1108="","",IF($S1108="S",IF(INDEX(Firms!$A$5:$A$1004,$T1108)="","",INDEX(Firms!$A$5:$A$1004,$T1108)),IF(INDEX('AFA Rates'!$A$5:$A$1004,$T1108)="","",INDEX('AFA Rates'!$A$5:$A$1004,$T1108))))</f>
        <v/>
      </c>
      <c r="B1108" s="79">
        <f>IF(OR($T1108="",$U1108=""),IF($T1108="","","Not on Firms tab"),INDEX(Firms!$B$5:$B$1004,$U1108)&amp;"")</f>
        <v/>
      </c>
      <c r="C1108" s="78">
        <f>IF($T1108="","",IF($S1108="S","Standard",INDEX('AFA Rates'!$B$5:$B$1004,$T1108)&amp;""))</f>
        <v/>
      </c>
      <c r="D1108" s="88">
        <f>IF($T1108="","",IF($S1108="S",IF(INDEX(Firms!$E$5:$E$1004,$T1108)="","",INDEX(Firms!$E$5:$E$1004,$T1108)),IF(INDEX('AFA Rates'!$C$5:$C$1004,$T1108)="","",INDEX('AFA Rates'!$C$5:$C$1004,$T1108))))</f>
        <v/>
      </c>
      <c r="E1108" s="88">
        <f>IF($T1108="","",IF($S1108="S",IF(""="","",""),IF(INDEX('AFA Rates'!$D$5:$D$1004,$T1108)="","",INDEX('AFA Rates'!$D$5:$D$1004,$T1108))))</f>
        <v/>
      </c>
      <c r="F1108" s="79">
        <f>IF($T1108="","",IF($S1108="S",IF(INDEX(Firms!$O$5:$O$1004,$T1108)="","",INDEX(Firms!$O$5:$O$1004,$T1108)),IF(INDEX('AFA Rates'!$O$5:$O$1004,$T1108)="","",INDEX('AFA Rates'!$O$5:$O$1004,$T1108))))</f>
        <v/>
      </c>
      <c r="G1108" s="50">
        <f>IF($T1108="","",IF($S1108="S",IF(INDEX(Firms!$F$5:$F$1004,$T1108)="","",INDEX(Firms!$F$5:$F$1004,$T1108)),IF(INDEX('AFA Rates'!$E$5:$E$1004,$T1108)="","",INDEX('AFA Rates'!$E$5:$E$1004,$T1108))))</f>
        <v/>
      </c>
      <c r="H1108" s="50">
        <f>IF($T1108="","",IF($S1108="S",IF(INDEX(Firms!$G$5:$G$1004,$T1108)="","",INDEX(Firms!$G$5:$G$1004,$T1108)),IF(INDEX('AFA Rates'!$F$5:$F$1004,$T1108)="","",INDEX('AFA Rates'!$F$5:$F$1004,$T1108))))</f>
        <v/>
      </c>
      <c r="I1108" s="50">
        <f>IF($T1108="","",IF($S1108="S",IF(INDEX(Firms!$H$5:$H$1004,$T1108)="","",INDEX(Firms!$H$5:$H$1004,$T1108)),IF(INDEX('AFA Rates'!$G$5:$G$1004,$T1108)="","",INDEX('AFA Rates'!$G$5:$G$1004,$T1108))))</f>
        <v/>
      </c>
      <c r="J1108" s="50">
        <f>IF($T1108="","",IF($S1108="S",IF(INDEX(Firms!$I$5:$I$1004,$T1108)="","",INDEX(Firms!$I$5:$I$1004,$T1108)),IF(INDEX('AFA Rates'!$H$5:$H$1004,$T1108)="","",INDEX('AFA Rates'!$H$5:$H$1004,$T1108))))</f>
        <v/>
      </c>
      <c r="K1108" s="50">
        <f>IF($T1108="","",IF($S1108="S",IF(INDEX(Firms!$J$5:$J$1004,$T1108)="","",INDEX(Firms!$J$5:$J$1004,$T1108)),IF(INDEX('AFA Rates'!$I$5:$I$1004,$T1108)="","",INDEX('AFA Rates'!$I$5:$I$1004,$T1108))))</f>
        <v/>
      </c>
      <c r="L1108" s="50">
        <f>IF($T1108="","",IF($S1108="S",IF(INDEX(Firms!$K$5:$K$1004,$T1108)="","",INDEX(Firms!$K$5:$K$1004,$T1108)),IF(INDEX('AFA Rates'!$J$5:$J$1004,$T1108)="","",INDEX('AFA Rates'!$J$5:$J$1004,$T1108))))</f>
        <v/>
      </c>
      <c r="M1108" s="50">
        <f>IF($T1108="","",IF($S1108="S",IF(INDEX(Firms!$L$5:$L$1004,$T1108)="","",INDEX(Firms!$L$5:$L$1004,$T1108)),IF(INDEX('AFA Rates'!$K$5:$K$1004,$T1108)="","",INDEX('AFA Rates'!$K$5:$K$1004,$T1108))))</f>
        <v/>
      </c>
      <c r="N1108" s="50">
        <f>IF($T1108="","",IF($S1108="S",IF(INDEX(Firms!$M$5:$M$1004,$T1108)="","",INDEX(Firms!$M$5:$M$1004,$T1108)),IF(INDEX('AFA Rates'!$L$5:$L$1004,$T1108)="","",INDEX('AFA Rates'!$L$5:$L$1004,$T1108))))</f>
        <v/>
      </c>
      <c r="O1108" s="78">
        <f>IF(OR($T1108="",$U1108=""),"",IF(INDEX(Firms!$C$5:$C$1004,$U1108)="","",INDEX(Firms!$C$5:$C$1004,$U1108)))</f>
        <v/>
      </c>
      <c r="P1108" s="79">
        <f>IF(OR($T1108="",$U1108=""),"",IF(INDEX(Firms!$N$5:$N$1004,$U1108)="","",INDEX(Firms!$N$5:$N$1004,$U1108)))</f>
        <v/>
      </c>
      <c r="Q1108" s="78">
        <f>IF($T1108="","",IF($S1108="S",IF(INDEX(Firms!$T$5:$T$1004,$T1108)="","",INDEX(Firms!$T$5:$T$1004,$T1108)),IF(INDEX('AFA Rates'!$M$5:$M$1004,$T1108)="","",INDEX('AFA Rates'!$M$5:$M$1004,$T1108))))</f>
        <v/>
      </c>
      <c r="S1108">
        <f>IF(1104&lt;=$S$2,"S",IF(1104&lt;=$S$2+$T$2,"A",""))</f>
        <v/>
      </c>
      <c r="T1108">
        <f>IF(S1108="S",MATCH(1104,Firms!$W$5:$W$1004,0),IF(S1108="A",IFERROR(MATCH(1104-$S$2,'AFA Rates'!$R$5:$R$1004,0),""),""))</f>
        <v/>
      </c>
      <c r="U1108">
        <f>IF(S1108="S",T1108,IF(AND(S1108="A",T1108&lt;&gt;""),IFERROR(MATCH(INDEX('AFA Rates'!$A$5:$A$1004,T1108),Firms!$A$5:$A$1004,0),""),""))</f>
        <v/>
      </c>
    </row>
    <row r="1109">
      <c r="A1109" s="78">
        <f>IF($T1109="","",IF($S1109="S",IF(INDEX(Firms!$A$5:$A$1004,$T1109)="","",INDEX(Firms!$A$5:$A$1004,$T1109)),IF(INDEX('AFA Rates'!$A$5:$A$1004,$T1109)="","",INDEX('AFA Rates'!$A$5:$A$1004,$T1109))))</f>
        <v/>
      </c>
      <c r="B1109" s="79">
        <f>IF(OR($T1109="",$U1109=""),IF($T1109="","","Not on Firms tab"),INDEX(Firms!$B$5:$B$1004,$U1109)&amp;"")</f>
        <v/>
      </c>
      <c r="C1109" s="78">
        <f>IF($T1109="","",IF($S1109="S","Standard",INDEX('AFA Rates'!$B$5:$B$1004,$T1109)&amp;""))</f>
        <v/>
      </c>
      <c r="D1109" s="88">
        <f>IF($T1109="","",IF($S1109="S",IF(INDEX(Firms!$E$5:$E$1004,$T1109)="","",INDEX(Firms!$E$5:$E$1004,$T1109)),IF(INDEX('AFA Rates'!$C$5:$C$1004,$T1109)="","",INDEX('AFA Rates'!$C$5:$C$1004,$T1109))))</f>
        <v/>
      </c>
      <c r="E1109" s="88">
        <f>IF($T1109="","",IF($S1109="S",IF(""="","",""),IF(INDEX('AFA Rates'!$D$5:$D$1004,$T1109)="","",INDEX('AFA Rates'!$D$5:$D$1004,$T1109))))</f>
        <v/>
      </c>
      <c r="F1109" s="79">
        <f>IF($T1109="","",IF($S1109="S",IF(INDEX(Firms!$O$5:$O$1004,$T1109)="","",INDEX(Firms!$O$5:$O$1004,$T1109)),IF(INDEX('AFA Rates'!$O$5:$O$1004,$T1109)="","",INDEX('AFA Rates'!$O$5:$O$1004,$T1109))))</f>
        <v/>
      </c>
      <c r="G1109" s="50">
        <f>IF($T1109="","",IF($S1109="S",IF(INDEX(Firms!$F$5:$F$1004,$T1109)="","",INDEX(Firms!$F$5:$F$1004,$T1109)),IF(INDEX('AFA Rates'!$E$5:$E$1004,$T1109)="","",INDEX('AFA Rates'!$E$5:$E$1004,$T1109))))</f>
        <v/>
      </c>
      <c r="H1109" s="50">
        <f>IF($T1109="","",IF($S1109="S",IF(INDEX(Firms!$G$5:$G$1004,$T1109)="","",INDEX(Firms!$G$5:$G$1004,$T1109)),IF(INDEX('AFA Rates'!$F$5:$F$1004,$T1109)="","",INDEX('AFA Rates'!$F$5:$F$1004,$T1109))))</f>
        <v/>
      </c>
      <c r="I1109" s="50">
        <f>IF($T1109="","",IF($S1109="S",IF(INDEX(Firms!$H$5:$H$1004,$T1109)="","",INDEX(Firms!$H$5:$H$1004,$T1109)),IF(INDEX('AFA Rates'!$G$5:$G$1004,$T1109)="","",INDEX('AFA Rates'!$G$5:$G$1004,$T1109))))</f>
        <v/>
      </c>
      <c r="J1109" s="50">
        <f>IF($T1109="","",IF($S1109="S",IF(INDEX(Firms!$I$5:$I$1004,$T1109)="","",INDEX(Firms!$I$5:$I$1004,$T1109)),IF(INDEX('AFA Rates'!$H$5:$H$1004,$T1109)="","",INDEX('AFA Rates'!$H$5:$H$1004,$T1109))))</f>
        <v/>
      </c>
      <c r="K1109" s="50">
        <f>IF($T1109="","",IF($S1109="S",IF(INDEX(Firms!$J$5:$J$1004,$T1109)="","",INDEX(Firms!$J$5:$J$1004,$T1109)),IF(INDEX('AFA Rates'!$I$5:$I$1004,$T1109)="","",INDEX('AFA Rates'!$I$5:$I$1004,$T1109))))</f>
        <v/>
      </c>
      <c r="L1109" s="50">
        <f>IF($T1109="","",IF($S1109="S",IF(INDEX(Firms!$K$5:$K$1004,$T1109)="","",INDEX(Firms!$K$5:$K$1004,$T1109)),IF(INDEX('AFA Rates'!$J$5:$J$1004,$T1109)="","",INDEX('AFA Rates'!$J$5:$J$1004,$T1109))))</f>
        <v/>
      </c>
      <c r="M1109" s="50">
        <f>IF($T1109="","",IF($S1109="S",IF(INDEX(Firms!$L$5:$L$1004,$T1109)="","",INDEX(Firms!$L$5:$L$1004,$T1109)),IF(INDEX('AFA Rates'!$K$5:$K$1004,$T1109)="","",INDEX('AFA Rates'!$K$5:$K$1004,$T1109))))</f>
        <v/>
      </c>
      <c r="N1109" s="50">
        <f>IF($T1109="","",IF($S1109="S",IF(INDEX(Firms!$M$5:$M$1004,$T1109)="","",INDEX(Firms!$M$5:$M$1004,$T1109)),IF(INDEX('AFA Rates'!$L$5:$L$1004,$T1109)="","",INDEX('AFA Rates'!$L$5:$L$1004,$T1109))))</f>
        <v/>
      </c>
      <c r="O1109" s="78">
        <f>IF(OR($T1109="",$U1109=""),"",IF(INDEX(Firms!$C$5:$C$1004,$U1109)="","",INDEX(Firms!$C$5:$C$1004,$U1109)))</f>
        <v/>
      </c>
      <c r="P1109" s="79">
        <f>IF(OR($T1109="",$U1109=""),"",IF(INDEX(Firms!$N$5:$N$1004,$U1109)="","",INDEX(Firms!$N$5:$N$1004,$U1109)))</f>
        <v/>
      </c>
      <c r="Q1109" s="78">
        <f>IF($T1109="","",IF($S1109="S",IF(INDEX(Firms!$T$5:$T$1004,$T1109)="","",INDEX(Firms!$T$5:$T$1004,$T1109)),IF(INDEX('AFA Rates'!$M$5:$M$1004,$T1109)="","",INDEX('AFA Rates'!$M$5:$M$1004,$T1109))))</f>
        <v/>
      </c>
      <c r="S1109">
        <f>IF(1105&lt;=$S$2,"S",IF(1105&lt;=$S$2+$T$2,"A",""))</f>
        <v/>
      </c>
      <c r="T1109">
        <f>IF(S1109="S",MATCH(1105,Firms!$W$5:$W$1004,0),IF(S1109="A",IFERROR(MATCH(1105-$S$2,'AFA Rates'!$R$5:$R$1004,0),""),""))</f>
        <v/>
      </c>
      <c r="U1109">
        <f>IF(S1109="S",T1109,IF(AND(S1109="A",T1109&lt;&gt;""),IFERROR(MATCH(INDEX('AFA Rates'!$A$5:$A$1004,T1109),Firms!$A$5:$A$1004,0),""),""))</f>
        <v/>
      </c>
    </row>
    <row r="1110">
      <c r="A1110" s="78">
        <f>IF($T1110="","",IF($S1110="S",IF(INDEX(Firms!$A$5:$A$1004,$T1110)="","",INDEX(Firms!$A$5:$A$1004,$T1110)),IF(INDEX('AFA Rates'!$A$5:$A$1004,$T1110)="","",INDEX('AFA Rates'!$A$5:$A$1004,$T1110))))</f>
        <v/>
      </c>
      <c r="B1110" s="79">
        <f>IF(OR($T1110="",$U1110=""),IF($T1110="","","Not on Firms tab"),INDEX(Firms!$B$5:$B$1004,$U1110)&amp;"")</f>
        <v/>
      </c>
      <c r="C1110" s="78">
        <f>IF($T1110="","",IF($S1110="S","Standard",INDEX('AFA Rates'!$B$5:$B$1004,$T1110)&amp;""))</f>
        <v/>
      </c>
      <c r="D1110" s="88">
        <f>IF($T1110="","",IF($S1110="S",IF(INDEX(Firms!$E$5:$E$1004,$T1110)="","",INDEX(Firms!$E$5:$E$1004,$T1110)),IF(INDEX('AFA Rates'!$C$5:$C$1004,$T1110)="","",INDEX('AFA Rates'!$C$5:$C$1004,$T1110))))</f>
        <v/>
      </c>
      <c r="E1110" s="88">
        <f>IF($T1110="","",IF($S1110="S",IF(""="","",""),IF(INDEX('AFA Rates'!$D$5:$D$1004,$T1110)="","",INDEX('AFA Rates'!$D$5:$D$1004,$T1110))))</f>
        <v/>
      </c>
      <c r="F1110" s="79">
        <f>IF($T1110="","",IF($S1110="S",IF(INDEX(Firms!$O$5:$O$1004,$T1110)="","",INDEX(Firms!$O$5:$O$1004,$T1110)),IF(INDEX('AFA Rates'!$O$5:$O$1004,$T1110)="","",INDEX('AFA Rates'!$O$5:$O$1004,$T1110))))</f>
        <v/>
      </c>
      <c r="G1110" s="50">
        <f>IF($T1110="","",IF($S1110="S",IF(INDEX(Firms!$F$5:$F$1004,$T1110)="","",INDEX(Firms!$F$5:$F$1004,$T1110)),IF(INDEX('AFA Rates'!$E$5:$E$1004,$T1110)="","",INDEX('AFA Rates'!$E$5:$E$1004,$T1110))))</f>
        <v/>
      </c>
      <c r="H1110" s="50">
        <f>IF($T1110="","",IF($S1110="S",IF(INDEX(Firms!$G$5:$G$1004,$T1110)="","",INDEX(Firms!$G$5:$G$1004,$T1110)),IF(INDEX('AFA Rates'!$F$5:$F$1004,$T1110)="","",INDEX('AFA Rates'!$F$5:$F$1004,$T1110))))</f>
        <v/>
      </c>
      <c r="I1110" s="50">
        <f>IF($T1110="","",IF($S1110="S",IF(INDEX(Firms!$H$5:$H$1004,$T1110)="","",INDEX(Firms!$H$5:$H$1004,$T1110)),IF(INDEX('AFA Rates'!$G$5:$G$1004,$T1110)="","",INDEX('AFA Rates'!$G$5:$G$1004,$T1110))))</f>
        <v/>
      </c>
      <c r="J1110" s="50">
        <f>IF($T1110="","",IF($S1110="S",IF(INDEX(Firms!$I$5:$I$1004,$T1110)="","",INDEX(Firms!$I$5:$I$1004,$T1110)),IF(INDEX('AFA Rates'!$H$5:$H$1004,$T1110)="","",INDEX('AFA Rates'!$H$5:$H$1004,$T1110))))</f>
        <v/>
      </c>
      <c r="K1110" s="50">
        <f>IF($T1110="","",IF($S1110="S",IF(INDEX(Firms!$J$5:$J$1004,$T1110)="","",INDEX(Firms!$J$5:$J$1004,$T1110)),IF(INDEX('AFA Rates'!$I$5:$I$1004,$T1110)="","",INDEX('AFA Rates'!$I$5:$I$1004,$T1110))))</f>
        <v/>
      </c>
      <c r="L1110" s="50">
        <f>IF($T1110="","",IF($S1110="S",IF(INDEX(Firms!$K$5:$K$1004,$T1110)="","",INDEX(Firms!$K$5:$K$1004,$T1110)),IF(INDEX('AFA Rates'!$J$5:$J$1004,$T1110)="","",INDEX('AFA Rates'!$J$5:$J$1004,$T1110))))</f>
        <v/>
      </c>
      <c r="M1110" s="50">
        <f>IF($T1110="","",IF($S1110="S",IF(INDEX(Firms!$L$5:$L$1004,$T1110)="","",INDEX(Firms!$L$5:$L$1004,$T1110)),IF(INDEX('AFA Rates'!$K$5:$K$1004,$T1110)="","",INDEX('AFA Rates'!$K$5:$K$1004,$T1110))))</f>
        <v/>
      </c>
      <c r="N1110" s="50">
        <f>IF($T1110="","",IF($S1110="S",IF(INDEX(Firms!$M$5:$M$1004,$T1110)="","",INDEX(Firms!$M$5:$M$1004,$T1110)),IF(INDEX('AFA Rates'!$L$5:$L$1004,$T1110)="","",INDEX('AFA Rates'!$L$5:$L$1004,$T1110))))</f>
        <v/>
      </c>
      <c r="O1110" s="78">
        <f>IF(OR($T1110="",$U1110=""),"",IF(INDEX(Firms!$C$5:$C$1004,$U1110)="","",INDEX(Firms!$C$5:$C$1004,$U1110)))</f>
        <v/>
      </c>
      <c r="P1110" s="79">
        <f>IF(OR($T1110="",$U1110=""),"",IF(INDEX(Firms!$N$5:$N$1004,$U1110)="","",INDEX(Firms!$N$5:$N$1004,$U1110)))</f>
        <v/>
      </c>
      <c r="Q1110" s="78">
        <f>IF($T1110="","",IF($S1110="S",IF(INDEX(Firms!$T$5:$T$1004,$T1110)="","",INDEX(Firms!$T$5:$T$1004,$T1110)),IF(INDEX('AFA Rates'!$M$5:$M$1004,$T1110)="","",INDEX('AFA Rates'!$M$5:$M$1004,$T1110))))</f>
        <v/>
      </c>
      <c r="S1110">
        <f>IF(1106&lt;=$S$2,"S",IF(1106&lt;=$S$2+$T$2,"A",""))</f>
        <v/>
      </c>
      <c r="T1110">
        <f>IF(S1110="S",MATCH(1106,Firms!$W$5:$W$1004,0),IF(S1110="A",IFERROR(MATCH(1106-$S$2,'AFA Rates'!$R$5:$R$1004,0),""),""))</f>
        <v/>
      </c>
      <c r="U1110">
        <f>IF(S1110="S",T1110,IF(AND(S1110="A",T1110&lt;&gt;""),IFERROR(MATCH(INDEX('AFA Rates'!$A$5:$A$1004,T1110),Firms!$A$5:$A$1004,0),""),""))</f>
        <v/>
      </c>
    </row>
    <row r="1111">
      <c r="A1111" s="78">
        <f>IF($T1111="","",IF($S1111="S",IF(INDEX(Firms!$A$5:$A$1004,$T1111)="","",INDEX(Firms!$A$5:$A$1004,$T1111)),IF(INDEX('AFA Rates'!$A$5:$A$1004,$T1111)="","",INDEX('AFA Rates'!$A$5:$A$1004,$T1111))))</f>
        <v/>
      </c>
      <c r="B1111" s="79">
        <f>IF(OR($T1111="",$U1111=""),IF($T1111="","","Not on Firms tab"),INDEX(Firms!$B$5:$B$1004,$U1111)&amp;"")</f>
        <v/>
      </c>
      <c r="C1111" s="78">
        <f>IF($T1111="","",IF($S1111="S","Standard",INDEX('AFA Rates'!$B$5:$B$1004,$T1111)&amp;""))</f>
        <v/>
      </c>
      <c r="D1111" s="88">
        <f>IF($T1111="","",IF($S1111="S",IF(INDEX(Firms!$E$5:$E$1004,$T1111)="","",INDEX(Firms!$E$5:$E$1004,$T1111)),IF(INDEX('AFA Rates'!$C$5:$C$1004,$T1111)="","",INDEX('AFA Rates'!$C$5:$C$1004,$T1111))))</f>
        <v/>
      </c>
      <c r="E1111" s="88">
        <f>IF($T1111="","",IF($S1111="S",IF(""="","",""),IF(INDEX('AFA Rates'!$D$5:$D$1004,$T1111)="","",INDEX('AFA Rates'!$D$5:$D$1004,$T1111))))</f>
        <v/>
      </c>
      <c r="F1111" s="79">
        <f>IF($T1111="","",IF($S1111="S",IF(INDEX(Firms!$O$5:$O$1004,$T1111)="","",INDEX(Firms!$O$5:$O$1004,$T1111)),IF(INDEX('AFA Rates'!$O$5:$O$1004,$T1111)="","",INDEX('AFA Rates'!$O$5:$O$1004,$T1111))))</f>
        <v/>
      </c>
      <c r="G1111" s="50">
        <f>IF($T1111="","",IF($S1111="S",IF(INDEX(Firms!$F$5:$F$1004,$T1111)="","",INDEX(Firms!$F$5:$F$1004,$T1111)),IF(INDEX('AFA Rates'!$E$5:$E$1004,$T1111)="","",INDEX('AFA Rates'!$E$5:$E$1004,$T1111))))</f>
        <v/>
      </c>
      <c r="H1111" s="50">
        <f>IF($T1111="","",IF($S1111="S",IF(INDEX(Firms!$G$5:$G$1004,$T1111)="","",INDEX(Firms!$G$5:$G$1004,$T1111)),IF(INDEX('AFA Rates'!$F$5:$F$1004,$T1111)="","",INDEX('AFA Rates'!$F$5:$F$1004,$T1111))))</f>
        <v/>
      </c>
      <c r="I1111" s="50">
        <f>IF($T1111="","",IF($S1111="S",IF(INDEX(Firms!$H$5:$H$1004,$T1111)="","",INDEX(Firms!$H$5:$H$1004,$T1111)),IF(INDEX('AFA Rates'!$G$5:$G$1004,$T1111)="","",INDEX('AFA Rates'!$G$5:$G$1004,$T1111))))</f>
        <v/>
      </c>
      <c r="J1111" s="50">
        <f>IF($T1111="","",IF($S1111="S",IF(INDEX(Firms!$I$5:$I$1004,$T1111)="","",INDEX(Firms!$I$5:$I$1004,$T1111)),IF(INDEX('AFA Rates'!$H$5:$H$1004,$T1111)="","",INDEX('AFA Rates'!$H$5:$H$1004,$T1111))))</f>
        <v/>
      </c>
      <c r="K1111" s="50">
        <f>IF($T1111="","",IF($S1111="S",IF(INDEX(Firms!$J$5:$J$1004,$T1111)="","",INDEX(Firms!$J$5:$J$1004,$T1111)),IF(INDEX('AFA Rates'!$I$5:$I$1004,$T1111)="","",INDEX('AFA Rates'!$I$5:$I$1004,$T1111))))</f>
        <v/>
      </c>
      <c r="L1111" s="50">
        <f>IF($T1111="","",IF($S1111="S",IF(INDEX(Firms!$K$5:$K$1004,$T1111)="","",INDEX(Firms!$K$5:$K$1004,$T1111)),IF(INDEX('AFA Rates'!$J$5:$J$1004,$T1111)="","",INDEX('AFA Rates'!$J$5:$J$1004,$T1111))))</f>
        <v/>
      </c>
      <c r="M1111" s="50">
        <f>IF($T1111="","",IF($S1111="S",IF(INDEX(Firms!$L$5:$L$1004,$T1111)="","",INDEX(Firms!$L$5:$L$1004,$T1111)),IF(INDEX('AFA Rates'!$K$5:$K$1004,$T1111)="","",INDEX('AFA Rates'!$K$5:$K$1004,$T1111))))</f>
        <v/>
      </c>
      <c r="N1111" s="50">
        <f>IF($T1111="","",IF($S1111="S",IF(INDEX(Firms!$M$5:$M$1004,$T1111)="","",INDEX(Firms!$M$5:$M$1004,$T1111)),IF(INDEX('AFA Rates'!$L$5:$L$1004,$T1111)="","",INDEX('AFA Rates'!$L$5:$L$1004,$T1111))))</f>
        <v/>
      </c>
      <c r="O1111" s="78">
        <f>IF(OR($T1111="",$U1111=""),"",IF(INDEX(Firms!$C$5:$C$1004,$U1111)="","",INDEX(Firms!$C$5:$C$1004,$U1111)))</f>
        <v/>
      </c>
      <c r="P1111" s="79">
        <f>IF(OR($T1111="",$U1111=""),"",IF(INDEX(Firms!$N$5:$N$1004,$U1111)="","",INDEX(Firms!$N$5:$N$1004,$U1111)))</f>
        <v/>
      </c>
      <c r="Q1111" s="78">
        <f>IF($T1111="","",IF($S1111="S",IF(INDEX(Firms!$T$5:$T$1004,$T1111)="","",INDEX(Firms!$T$5:$T$1004,$T1111)),IF(INDEX('AFA Rates'!$M$5:$M$1004,$T1111)="","",INDEX('AFA Rates'!$M$5:$M$1004,$T1111))))</f>
        <v/>
      </c>
      <c r="S1111">
        <f>IF(1107&lt;=$S$2,"S",IF(1107&lt;=$S$2+$T$2,"A",""))</f>
        <v/>
      </c>
      <c r="T1111">
        <f>IF(S1111="S",MATCH(1107,Firms!$W$5:$W$1004,0),IF(S1111="A",IFERROR(MATCH(1107-$S$2,'AFA Rates'!$R$5:$R$1004,0),""),""))</f>
        <v/>
      </c>
      <c r="U1111">
        <f>IF(S1111="S",T1111,IF(AND(S1111="A",T1111&lt;&gt;""),IFERROR(MATCH(INDEX('AFA Rates'!$A$5:$A$1004,T1111),Firms!$A$5:$A$1004,0),""),""))</f>
        <v/>
      </c>
    </row>
    <row r="1112">
      <c r="A1112" s="78">
        <f>IF($T1112="","",IF($S1112="S",IF(INDEX(Firms!$A$5:$A$1004,$T1112)="","",INDEX(Firms!$A$5:$A$1004,$T1112)),IF(INDEX('AFA Rates'!$A$5:$A$1004,$T1112)="","",INDEX('AFA Rates'!$A$5:$A$1004,$T1112))))</f>
        <v/>
      </c>
      <c r="B1112" s="79">
        <f>IF(OR($T1112="",$U1112=""),IF($T1112="","","Not on Firms tab"),INDEX(Firms!$B$5:$B$1004,$U1112)&amp;"")</f>
        <v/>
      </c>
      <c r="C1112" s="78">
        <f>IF($T1112="","",IF($S1112="S","Standard",INDEX('AFA Rates'!$B$5:$B$1004,$T1112)&amp;""))</f>
        <v/>
      </c>
      <c r="D1112" s="88">
        <f>IF($T1112="","",IF($S1112="S",IF(INDEX(Firms!$E$5:$E$1004,$T1112)="","",INDEX(Firms!$E$5:$E$1004,$T1112)),IF(INDEX('AFA Rates'!$C$5:$C$1004,$T1112)="","",INDEX('AFA Rates'!$C$5:$C$1004,$T1112))))</f>
        <v/>
      </c>
      <c r="E1112" s="88">
        <f>IF($T1112="","",IF($S1112="S",IF(""="","",""),IF(INDEX('AFA Rates'!$D$5:$D$1004,$T1112)="","",INDEX('AFA Rates'!$D$5:$D$1004,$T1112))))</f>
        <v/>
      </c>
      <c r="F1112" s="79">
        <f>IF($T1112="","",IF($S1112="S",IF(INDEX(Firms!$O$5:$O$1004,$T1112)="","",INDEX(Firms!$O$5:$O$1004,$T1112)),IF(INDEX('AFA Rates'!$O$5:$O$1004,$T1112)="","",INDEX('AFA Rates'!$O$5:$O$1004,$T1112))))</f>
        <v/>
      </c>
      <c r="G1112" s="50">
        <f>IF($T1112="","",IF($S1112="S",IF(INDEX(Firms!$F$5:$F$1004,$T1112)="","",INDEX(Firms!$F$5:$F$1004,$T1112)),IF(INDEX('AFA Rates'!$E$5:$E$1004,$T1112)="","",INDEX('AFA Rates'!$E$5:$E$1004,$T1112))))</f>
        <v/>
      </c>
      <c r="H1112" s="50">
        <f>IF($T1112="","",IF($S1112="S",IF(INDEX(Firms!$G$5:$G$1004,$T1112)="","",INDEX(Firms!$G$5:$G$1004,$T1112)),IF(INDEX('AFA Rates'!$F$5:$F$1004,$T1112)="","",INDEX('AFA Rates'!$F$5:$F$1004,$T1112))))</f>
        <v/>
      </c>
      <c r="I1112" s="50">
        <f>IF($T1112="","",IF($S1112="S",IF(INDEX(Firms!$H$5:$H$1004,$T1112)="","",INDEX(Firms!$H$5:$H$1004,$T1112)),IF(INDEX('AFA Rates'!$G$5:$G$1004,$T1112)="","",INDEX('AFA Rates'!$G$5:$G$1004,$T1112))))</f>
        <v/>
      </c>
      <c r="J1112" s="50">
        <f>IF($T1112="","",IF($S1112="S",IF(INDEX(Firms!$I$5:$I$1004,$T1112)="","",INDEX(Firms!$I$5:$I$1004,$T1112)),IF(INDEX('AFA Rates'!$H$5:$H$1004,$T1112)="","",INDEX('AFA Rates'!$H$5:$H$1004,$T1112))))</f>
        <v/>
      </c>
      <c r="K1112" s="50">
        <f>IF($T1112="","",IF($S1112="S",IF(INDEX(Firms!$J$5:$J$1004,$T1112)="","",INDEX(Firms!$J$5:$J$1004,$T1112)),IF(INDEX('AFA Rates'!$I$5:$I$1004,$T1112)="","",INDEX('AFA Rates'!$I$5:$I$1004,$T1112))))</f>
        <v/>
      </c>
      <c r="L1112" s="50">
        <f>IF($T1112="","",IF($S1112="S",IF(INDEX(Firms!$K$5:$K$1004,$T1112)="","",INDEX(Firms!$K$5:$K$1004,$T1112)),IF(INDEX('AFA Rates'!$J$5:$J$1004,$T1112)="","",INDEX('AFA Rates'!$J$5:$J$1004,$T1112))))</f>
        <v/>
      </c>
      <c r="M1112" s="50">
        <f>IF($T1112="","",IF($S1112="S",IF(INDEX(Firms!$L$5:$L$1004,$T1112)="","",INDEX(Firms!$L$5:$L$1004,$T1112)),IF(INDEX('AFA Rates'!$K$5:$K$1004,$T1112)="","",INDEX('AFA Rates'!$K$5:$K$1004,$T1112))))</f>
        <v/>
      </c>
      <c r="N1112" s="50">
        <f>IF($T1112="","",IF($S1112="S",IF(INDEX(Firms!$M$5:$M$1004,$T1112)="","",INDEX(Firms!$M$5:$M$1004,$T1112)),IF(INDEX('AFA Rates'!$L$5:$L$1004,$T1112)="","",INDEX('AFA Rates'!$L$5:$L$1004,$T1112))))</f>
        <v/>
      </c>
      <c r="O1112" s="78">
        <f>IF(OR($T1112="",$U1112=""),"",IF(INDEX(Firms!$C$5:$C$1004,$U1112)="","",INDEX(Firms!$C$5:$C$1004,$U1112)))</f>
        <v/>
      </c>
      <c r="P1112" s="79">
        <f>IF(OR($T1112="",$U1112=""),"",IF(INDEX(Firms!$N$5:$N$1004,$U1112)="","",INDEX(Firms!$N$5:$N$1004,$U1112)))</f>
        <v/>
      </c>
      <c r="Q1112" s="78">
        <f>IF($T1112="","",IF($S1112="S",IF(INDEX(Firms!$T$5:$T$1004,$T1112)="","",INDEX(Firms!$T$5:$T$1004,$T1112)),IF(INDEX('AFA Rates'!$M$5:$M$1004,$T1112)="","",INDEX('AFA Rates'!$M$5:$M$1004,$T1112))))</f>
        <v/>
      </c>
      <c r="S1112">
        <f>IF(1108&lt;=$S$2,"S",IF(1108&lt;=$S$2+$T$2,"A",""))</f>
        <v/>
      </c>
      <c r="T1112">
        <f>IF(S1112="S",MATCH(1108,Firms!$W$5:$W$1004,0),IF(S1112="A",IFERROR(MATCH(1108-$S$2,'AFA Rates'!$R$5:$R$1004,0),""),""))</f>
        <v/>
      </c>
      <c r="U1112">
        <f>IF(S1112="S",T1112,IF(AND(S1112="A",T1112&lt;&gt;""),IFERROR(MATCH(INDEX('AFA Rates'!$A$5:$A$1004,T1112),Firms!$A$5:$A$1004,0),""),""))</f>
        <v/>
      </c>
    </row>
    <row r="1113">
      <c r="A1113" s="78">
        <f>IF($T1113="","",IF($S1113="S",IF(INDEX(Firms!$A$5:$A$1004,$T1113)="","",INDEX(Firms!$A$5:$A$1004,$T1113)),IF(INDEX('AFA Rates'!$A$5:$A$1004,$T1113)="","",INDEX('AFA Rates'!$A$5:$A$1004,$T1113))))</f>
        <v/>
      </c>
      <c r="B1113" s="79">
        <f>IF(OR($T1113="",$U1113=""),IF($T1113="","","Not on Firms tab"),INDEX(Firms!$B$5:$B$1004,$U1113)&amp;"")</f>
        <v/>
      </c>
      <c r="C1113" s="78">
        <f>IF($T1113="","",IF($S1113="S","Standard",INDEX('AFA Rates'!$B$5:$B$1004,$T1113)&amp;""))</f>
        <v/>
      </c>
      <c r="D1113" s="88">
        <f>IF($T1113="","",IF($S1113="S",IF(INDEX(Firms!$E$5:$E$1004,$T1113)="","",INDEX(Firms!$E$5:$E$1004,$T1113)),IF(INDEX('AFA Rates'!$C$5:$C$1004,$T1113)="","",INDEX('AFA Rates'!$C$5:$C$1004,$T1113))))</f>
        <v/>
      </c>
      <c r="E1113" s="88">
        <f>IF($T1113="","",IF($S1113="S",IF(""="","",""),IF(INDEX('AFA Rates'!$D$5:$D$1004,$T1113)="","",INDEX('AFA Rates'!$D$5:$D$1004,$T1113))))</f>
        <v/>
      </c>
      <c r="F1113" s="79">
        <f>IF($T1113="","",IF($S1113="S",IF(INDEX(Firms!$O$5:$O$1004,$T1113)="","",INDEX(Firms!$O$5:$O$1004,$T1113)),IF(INDEX('AFA Rates'!$O$5:$O$1004,$T1113)="","",INDEX('AFA Rates'!$O$5:$O$1004,$T1113))))</f>
        <v/>
      </c>
      <c r="G1113" s="50">
        <f>IF($T1113="","",IF($S1113="S",IF(INDEX(Firms!$F$5:$F$1004,$T1113)="","",INDEX(Firms!$F$5:$F$1004,$T1113)),IF(INDEX('AFA Rates'!$E$5:$E$1004,$T1113)="","",INDEX('AFA Rates'!$E$5:$E$1004,$T1113))))</f>
        <v/>
      </c>
      <c r="H1113" s="50">
        <f>IF($T1113="","",IF($S1113="S",IF(INDEX(Firms!$G$5:$G$1004,$T1113)="","",INDEX(Firms!$G$5:$G$1004,$T1113)),IF(INDEX('AFA Rates'!$F$5:$F$1004,$T1113)="","",INDEX('AFA Rates'!$F$5:$F$1004,$T1113))))</f>
        <v/>
      </c>
      <c r="I1113" s="50">
        <f>IF($T1113="","",IF($S1113="S",IF(INDEX(Firms!$H$5:$H$1004,$T1113)="","",INDEX(Firms!$H$5:$H$1004,$T1113)),IF(INDEX('AFA Rates'!$G$5:$G$1004,$T1113)="","",INDEX('AFA Rates'!$G$5:$G$1004,$T1113))))</f>
        <v/>
      </c>
      <c r="J1113" s="50">
        <f>IF($T1113="","",IF($S1113="S",IF(INDEX(Firms!$I$5:$I$1004,$T1113)="","",INDEX(Firms!$I$5:$I$1004,$T1113)),IF(INDEX('AFA Rates'!$H$5:$H$1004,$T1113)="","",INDEX('AFA Rates'!$H$5:$H$1004,$T1113))))</f>
        <v/>
      </c>
      <c r="K1113" s="50">
        <f>IF($T1113="","",IF($S1113="S",IF(INDEX(Firms!$J$5:$J$1004,$T1113)="","",INDEX(Firms!$J$5:$J$1004,$T1113)),IF(INDEX('AFA Rates'!$I$5:$I$1004,$T1113)="","",INDEX('AFA Rates'!$I$5:$I$1004,$T1113))))</f>
        <v/>
      </c>
      <c r="L1113" s="50">
        <f>IF($T1113="","",IF($S1113="S",IF(INDEX(Firms!$K$5:$K$1004,$T1113)="","",INDEX(Firms!$K$5:$K$1004,$T1113)),IF(INDEX('AFA Rates'!$J$5:$J$1004,$T1113)="","",INDEX('AFA Rates'!$J$5:$J$1004,$T1113))))</f>
        <v/>
      </c>
      <c r="M1113" s="50">
        <f>IF($T1113="","",IF($S1113="S",IF(INDEX(Firms!$L$5:$L$1004,$T1113)="","",INDEX(Firms!$L$5:$L$1004,$T1113)),IF(INDEX('AFA Rates'!$K$5:$K$1004,$T1113)="","",INDEX('AFA Rates'!$K$5:$K$1004,$T1113))))</f>
        <v/>
      </c>
      <c r="N1113" s="50">
        <f>IF($T1113="","",IF($S1113="S",IF(INDEX(Firms!$M$5:$M$1004,$T1113)="","",INDEX(Firms!$M$5:$M$1004,$T1113)),IF(INDEX('AFA Rates'!$L$5:$L$1004,$T1113)="","",INDEX('AFA Rates'!$L$5:$L$1004,$T1113))))</f>
        <v/>
      </c>
      <c r="O1113" s="78">
        <f>IF(OR($T1113="",$U1113=""),"",IF(INDEX(Firms!$C$5:$C$1004,$U1113)="","",INDEX(Firms!$C$5:$C$1004,$U1113)))</f>
        <v/>
      </c>
      <c r="P1113" s="79">
        <f>IF(OR($T1113="",$U1113=""),"",IF(INDEX(Firms!$N$5:$N$1004,$U1113)="","",INDEX(Firms!$N$5:$N$1004,$U1113)))</f>
        <v/>
      </c>
      <c r="Q1113" s="78">
        <f>IF($T1113="","",IF($S1113="S",IF(INDEX(Firms!$T$5:$T$1004,$T1113)="","",INDEX(Firms!$T$5:$T$1004,$T1113)),IF(INDEX('AFA Rates'!$M$5:$M$1004,$T1113)="","",INDEX('AFA Rates'!$M$5:$M$1004,$T1113))))</f>
        <v/>
      </c>
      <c r="S1113">
        <f>IF(1109&lt;=$S$2,"S",IF(1109&lt;=$S$2+$T$2,"A",""))</f>
        <v/>
      </c>
      <c r="T1113">
        <f>IF(S1113="S",MATCH(1109,Firms!$W$5:$W$1004,0),IF(S1113="A",IFERROR(MATCH(1109-$S$2,'AFA Rates'!$R$5:$R$1004,0),""),""))</f>
        <v/>
      </c>
      <c r="U1113">
        <f>IF(S1113="S",T1113,IF(AND(S1113="A",T1113&lt;&gt;""),IFERROR(MATCH(INDEX('AFA Rates'!$A$5:$A$1004,T1113),Firms!$A$5:$A$1004,0),""),""))</f>
        <v/>
      </c>
    </row>
    <row r="1114">
      <c r="A1114" s="78">
        <f>IF($T1114="","",IF($S1114="S",IF(INDEX(Firms!$A$5:$A$1004,$T1114)="","",INDEX(Firms!$A$5:$A$1004,$T1114)),IF(INDEX('AFA Rates'!$A$5:$A$1004,$T1114)="","",INDEX('AFA Rates'!$A$5:$A$1004,$T1114))))</f>
        <v/>
      </c>
      <c r="B1114" s="79">
        <f>IF(OR($T1114="",$U1114=""),IF($T1114="","","Not on Firms tab"),INDEX(Firms!$B$5:$B$1004,$U1114)&amp;"")</f>
        <v/>
      </c>
      <c r="C1114" s="78">
        <f>IF($T1114="","",IF($S1114="S","Standard",INDEX('AFA Rates'!$B$5:$B$1004,$T1114)&amp;""))</f>
        <v/>
      </c>
      <c r="D1114" s="88">
        <f>IF($T1114="","",IF($S1114="S",IF(INDEX(Firms!$E$5:$E$1004,$T1114)="","",INDEX(Firms!$E$5:$E$1004,$T1114)),IF(INDEX('AFA Rates'!$C$5:$C$1004,$T1114)="","",INDEX('AFA Rates'!$C$5:$C$1004,$T1114))))</f>
        <v/>
      </c>
      <c r="E1114" s="88">
        <f>IF($T1114="","",IF($S1114="S",IF(""="","",""),IF(INDEX('AFA Rates'!$D$5:$D$1004,$T1114)="","",INDEX('AFA Rates'!$D$5:$D$1004,$T1114))))</f>
        <v/>
      </c>
      <c r="F1114" s="79">
        <f>IF($T1114="","",IF($S1114="S",IF(INDEX(Firms!$O$5:$O$1004,$T1114)="","",INDEX(Firms!$O$5:$O$1004,$T1114)),IF(INDEX('AFA Rates'!$O$5:$O$1004,$T1114)="","",INDEX('AFA Rates'!$O$5:$O$1004,$T1114))))</f>
        <v/>
      </c>
      <c r="G1114" s="50">
        <f>IF($T1114="","",IF($S1114="S",IF(INDEX(Firms!$F$5:$F$1004,$T1114)="","",INDEX(Firms!$F$5:$F$1004,$T1114)),IF(INDEX('AFA Rates'!$E$5:$E$1004,$T1114)="","",INDEX('AFA Rates'!$E$5:$E$1004,$T1114))))</f>
        <v/>
      </c>
      <c r="H1114" s="50">
        <f>IF($T1114="","",IF($S1114="S",IF(INDEX(Firms!$G$5:$G$1004,$T1114)="","",INDEX(Firms!$G$5:$G$1004,$T1114)),IF(INDEX('AFA Rates'!$F$5:$F$1004,$T1114)="","",INDEX('AFA Rates'!$F$5:$F$1004,$T1114))))</f>
        <v/>
      </c>
      <c r="I1114" s="50">
        <f>IF($T1114="","",IF($S1114="S",IF(INDEX(Firms!$H$5:$H$1004,$T1114)="","",INDEX(Firms!$H$5:$H$1004,$T1114)),IF(INDEX('AFA Rates'!$G$5:$G$1004,$T1114)="","",INDEX('AFA Rates'!$G$5:$G$1004,$T1114))))</f>
        <v/>
      </c>
      <c r="J1114" s="50">
        <f>IF($T1114="","",IF($S1114="S",IF(INDEX(Firms!$I$5:$I$1004,$T1114)="","",INDEX(Firms!$I$5:$I$1004,$T1114)),IF(INDEX('AFA Rates'!$H$5:$H$1004,$T1114)="","",INDEX('AFA Rates'!$H$5:$H$1004,$T1114))))</f>
        <v/>
      </c>
      <c r="K1114" s="50">
        <f>IF($T1114="","",IF($S1114="S",IF(INDEX(Firms!$J$5:$J$1004,$T1114)="","",INDEX(Firms!$J$5:$J$1004,$T1114)),IF(INDEX('AFA Rates'!$I$5:$I$1004,$T1114)="","",INDEX('AFA Rates'!$I$5:$I$1004,$T1114))))</f>
        <v/>
      </c>
      <c r="L1114" s="50">
        <f>IF($T1114="","",IF($S1114="S",IF(INDEX(Firms!$K$5:$K$1004,$T1114)="","",INDEX(Firms!$K$5:$K$1004,$T1114)),IF(INDEX('AFA Rates'!$J$5:$J$1004,$T1114)="","",INDEX('AFA Rates'!$J$5:$J$1004,$T1114))))</f>
        <v/>
      </c>
      <c r="M1114" s="50">
        <f>IF($T1114="","",IF($S1114="S",IF(INDEX(Firms!$L$5:$L$1004,$T1114)="","",INDEX(Firms!$L$5:$L$1004,$T1114)),IF(INDEX('AFA Rates'!$K$5:$K$1004,$T1114)="","",INDEX('AFA Rates'!$K$5:$K$1004,$T1114))))</f>
        <v/>
      </c>
      <c r="N1114" s="50">
        <f>IF($T1114="","",IF($S1114="S",IF(INDEX(Firms!$M$5:$M$1004,$T1114)="","",INDEX(Firms!$M$5:$M$1004,$T1114)),IF(INDEX('AFA Rates'!$L$5:$L$1004,$T1114)="","",INDEX('AFA Rates'!$L$5:$L$1004,$T1114))))</f>
        <v/>
      </c>
      <c r="O1114" s="78">
        <f>IF(OR($T1114="",$U1114=""),"",IF(INDEX(Firms!$C$5:$C$1004,$U1114)="","",INDEX(Firms!$C$5:$C$1004,$U1114)))</f>
        <v/>
      </c>
      <c r="P1114" s="79">
        <f>IF(OR($T1114="",$U1114=""),"",IF(INDEX(Firms!$N$5:$N$1004,$U1114)="","",INDEX(Firms!$N$5:$N$1004,$U1114)))</f>
        <v/>
      </c>
      <c r="Q1114" s="78">
        <f>IF($T1114="","",IF($S1114="S",IF(INDEX(Firms!$T$5:$T$1004,$T1114)="","",INDEX(Firms!$T$5:$T$1004,$T1114)),IF(INDEX('AFA Rates'!$M$5:$M$1004,$T1114)="","",INDEX('AFA Rates'!$M$5:$M$1004,$T1114))))</f>
        <v/>
      </c>
      <c r="S1114">
        <f>IF(1110&lt;=$S$2,"S",IF(1110&lt;=$S$2+$T$2,"A",""))</f>
        <v/>
      </c>
      <c r="T1114">
        <f>IF(S1114="S",MATCH(1110,Firms!$W$5:$W$1004,0),IF(S1114="A",IFERROR(MATCH(1110-$S$2,'AFA Rates'!$R$5:$R$1004,0),""),""))</f>
        <v/>
      </c>
      <c r="U1114">
        <f>IF(S1114="S",T1114,IF(AND(S1114="A",T1114&lt;&gt;""),IFERROR(MATCH(INDEX('AFA Rates'!$A$5:$A$1004,T1114),Firms!$A$5:$A$1004,0),""),""))</f>
        <v/>
      </c>
    </row>
    <row r="1115">
      <c r="A1115" s="78">
        <f>IF($T1115="","",IF($S1115="S",IF(INDEX(Firms!$A$5:$A$1004,$T1115)="","",INDEX(Firms!$A$5:$A$1004,$T1115)),IF(INDEX('AFA Rates'!$A$5:$A$1004,$T1115)="","",INDEX('AFA Rates'!$A$5:$A$1004,$T1115))))</f>
        <v/>
      </c>
      <c r="B1115" s="79">
        <f>IF(OR($T1115="",$U1115=""),IF($T1115="","","Not on Firms tab"),INDEX(Firms!$B$5:$B$1004,$U1115)&amp;"")</f>
        <v/>
      </c>
      <c r="C1115" s="78">
        <f>IF($T1115="","",IF($S1115="S","Standard",INDEX('AFA Rates'!$B$5:$B$1004,$T1115)&amp;""))</f>
        <v/>
      </c>
      <c r="D1115" s="88">
        <f>IF($T1115="","",IF($S1115="S",IF(INDEX(Firms!$E$5:$E$1004,$T1115)="","",INDEX(Firms!$E$5:$E$1004,$T1115)),IF(INDEX('AFA Rates'!$C$5:$C$1004,$T1115)="","",INDEX('AFA Rates'!$C$5:$C$1004,$T1115))))</f>
        <v/>
      </c>
      <c r="E1115" s="88">
        <f>IF($T1115="","",IF($S1115="S",IF(""="","",""),IF(INDEX('AFA Rates'!$D$5:$D$1004,$T1115)="","",INDEX('AFA Rates'!$D$5:$D$1004,$T1115))))</f>
        <v/>
      </c>
      <c r="F1115" s="79">
        <f>IF($T1115="","",IF($S1115="S",IF(INDEX(Firms!$O$5:$O$1004,$T1115)="","",INDEX(Firms!$O$5:$O$1004,$T1115)),IF(INDEX('AFA Rates'!$O$5:$O$1004,$T1115)="","",INDEX('AFA Rates'!$O$5:$O$1004,$T1115))))</f>
        <v/>
      </c>
      <c r="G1115" s="50">
        <f>IF($T1115="","",IF($S1115="S",IF(INDEX(Firms!$F$5:$F$1004,$T1115)="","",INDEX(Firms!$F$5:$F$1004,$T1115)),IF(INDEX('AFA Rates'!$E$5:$E$1004,$T1115)="","",INDEX('AFA Rates'!$E$5:$E$1004,$T1115))))</f>
        <v/>
      </c>
      <c r="H1115" s="50">
        <f>IF($T1115="","",IF($S1115="S",IF(INDEX(Firms!$G$5:$G$1004,$T1115)="","",INDEX(Firms!$G$5:$G$1004,$T1115)),IF(INDEX('AFA Rates'!$F$5:$F$1004,$T1115)="","",INDEX('AFA Rates'!$F$5:$F$1004,$T1115))))</f>
        <v/>
      </c>
      <c r="I1115" s="50">
        <f>IF($T1115="","",IF($S1115="S",IF(INDEX(Firms!$H$5:$H$1004,$T1115)="","",INDEX(Firms!$H$5:$H$1004,$T1115)),IF(INDEX('AFA Rates'!$G$5:$G$1004,$T1115)="","",INDEX('AFA Rates'!$G$5:$G$1004,$T1115))))</f>
        <v/>
      </c>
      <c r="J1115" s="50">
        <f>IF($T1115="","",IF($S1115="S",IF(INDEX(Firms!$I$5:$I$1004,$T1115)="","",INDEX(Firms!$I$5:$I$1004,$T1115)),IF(INDEX('AFA Rates'!$H$5:$H$1004,$T1115)="","",INDEX('AFA Rates'!$H$5:$H$1004,$T1115))))</f>
        <v/>
      </c>
      <c r="K1115" s="50">
        <f>IF($T1115="","",IF($S1115="S",IF(INDEX(Firms!$J$5:$J$1004,$T1115)="","",INDEX(Firms!$J$5:$J$1004,$T1115)),IF(INDEX('AFA Rates'!$I$5:$I$1004,$T1115)="","",INDEX('AFA Rates'!$I$5:$I$1004,$T1115))))</f>
        <v/>
      </c>
      <c r="L1115" s="50">
        <f>IF($T1115="","",IF($S1115="S",IF(INDEX(Firms!$K$5:$K$1004,$T1115)="","",INDEX(Firms!$K$5:$K$1004,$T1115)),IF(INDEX('AFA Rates'!$J$5:$J$1004,$T1115)="","",INDEX('AFA Rates'!$J$5:$J$1004,$T1115))))</f>
        <v/>
      </c>
      <c r="M1115" s="50">
        <f>IF($T1115="","",IF($S1115="S",IF(INDEX(Firms!$L$5:$L$1004,$T1115)="","",INDEX(Firms!$L$5:$L$1004,$T1115)),IF(INDEX('AFA Rates'!$K$5:$K$1004,$T1115)="","",INDEX('AFA Rates'!$K$5:$K$1004,$T1115))))</f>
        <v/>
      </c>
      <c r="N1115" s="50">
        <f>IF($T1115="","",IF($S1115="S",IF(INDEX(Firms!$M$5:$M$1004,$T1115)="","",INDEX(Firms!$M$5:$M$1004,$T1115)),IF(INDEX('AFA Rates'!$L$5:$L$1004,$T1115)="","",INDEX('AFA Rates'!$L$5:$L$1004,$T1115))))</f>
        <v/>
      </c>
      <c r="O1115" s="78">
        <f>IF(OR($T1115="",$U1115=""),"",IF(INDEX(Firms!$C$5:$C$1004,$U1115)="","",INDEX(Firms!$C$5:$C$1004,$U1115)))</f>
        <v/>
      </c>
      <c r="P1115" s="79">
        <f>IF(OR($T1115="",$U1115=""),"",IF(INDEX(Firms!$N$5:$N$1004,$U1115)="","",INDEX(Firms!$N$5:$N$1004,$U1115)))</f>
        <v/>
      </c>
      <c r="Q1115" s="78">
        <f>IF($T1115="","",IF($S1115="S",IF(INDEX(Firms!$T$5:$T$1004,$T1115)="","",INDEX(Firms!$T$5:$T$1004,$T1115)),IF(INDEX('AFA Rates'!$M$5:$M$1004,$T1115)="","",INDEX('AFA Rates'!$M$5:$M$1004,$T1115))))</f>
        <v/>
      </c>
      <c r="S1115">
        <f>IF(1111&lt;=$S$2,"S",IF(1111&lt;=$S$2+$T$2,"A",""))</f>
        <v/>
      </c>
      <c r="T1115">
        <f>IF(S1115="S",MATCH(1111,Firms!$W$5:$W$1004,0),IF(S1115="A",IFERROR(MATCH(1111-$S$2,'AFA Rates'!$R$5:$R$1004,0),""),""))</f>
        <v/>
      </c>
      <c r="U1115">
        <f>IF(S1115="S",T1115,IF(AND(S1115="A",T1115&lt;&gt;""),IFERROR(MATCH(INDEX('AFA Rates'!$A$5:$A$1004,T1115),Firms!$A$5:$A$1004,0),""),""))</f>
        <v/>
      </c>
    </row>
    <row r="1116">
      <c r="A1116" s="78">
        <f>IF($T1116="","",IF($S1116="S",IF(INDEX(Firms!$A$5:$A$1004,$T1116)="","",INDEX(Firms!$A$5:$A$1004,$T1116)),IF(INDEX('AFA Rates'!$A$5:$A$1004,$T1116)="","",INDEX('AFA Rates'!$A$5:$A$1004,$T1116))))</f>
        <v/>
      </c>
      <c r="B1116" s="79">
        <f>IF(OR($T1116="",$U1116=""),IF($T1116="","","Not on Firms tab"),INDEX(Firms!$B$5:$B$1004,$U1116)&amp;"")</f>
        <v/>
      </c>
      <c r="C1116" s="78">
        <f>IF($T1116="","",IF($S1116="S","Standard",INDEX('AFA Rates'!$B$5:$B$1004,$T1116)&amp;""))</f>
        <v/>
      </c>
      <c r="D1116" s="88">
        <f>IF($T1116="","",IF($S1116="S",IF(INDEX(Firms!$E$5:$E$1004,$T1116)="","",INDEX(Firms!$E$5:$E$1004,$T1116)),IF(INDEX('AFA Rates'!$C$5:$C$1004,$T1116)="","",INDEX('AFA Rates'!$C$5:$C$1004,$T1116))))</f>
        <v/>
      </c>
      <c r="E1116" s="88">
        <f>IF($T1116="","",IF($S1116="S",IF(""="","",""),IF(INDEX('AFA Rates'!$D$5:$D$1004,$T1116)="","",INDEX('AFA Rates'!$D$5:$D$1004,$T1116))))</f>
        <v/>
      </c>
      <c r="F1116" s="79">
        <f>IF($T1116="","",IF($S1116="S",IF(INDEX(Firms!$O$5:$O$1004,$T1116)="","",INDEX(Firms!$O$5:$O$1004,$T1116)),IF(INDEX('AFA Rates'!$O$5:$O$1004,$T1116)="","",INDEX('AFA Rates'!$O$5:$O$1004,$T1116))))</f>
        <v/>
      </c>
      <c r="G1116" s="50">
        <f>IF($T1116="","",IF($S1116="S",IF(INDEX(Firms!$F$5:$F$1004,$T1116)="","",INDEX(Firms!$F$5:$F$1004,$T1116)),IF(INDEX('AFA Rates'!$E$5:$E$1004,$T1116)="","",INDEX('AFA Rates'!$E$5:$E$1004,$T1116))))</f>
        <v/>
      </c>
      <c r="H1116" s="50">
        <f>IF($T1116="","",IF($S1116="S",IF(INDEX(Firms!$G$5:$G$1004,$T1116)="","",INDEX(Firms!$G$5:$G$1004,$T1116)),IF(INDEX('AFA Rates'!$F$5:$F$1004,$T1116)="","",INDEX('AFA Rates'!$F$5:$F$1004,$T1116))))</f>
        <v/>
      </c>
      <c r="I1116" s="50">
        <f>IF($T1116="","",IF($S1116="S",IF(INDEX(Firms!$H$5:$H$1004,$T1116)="","",INDEX(Firms!$H$5:$H$1004,$T1116)),IF(INDEX('AFA Rates'!$G$5:$G$1004,$T1116)="","",INDEX('AFA Rates'!$G$5:$G$1004,$T1116))))</f>
        <v/>
      </c>
      <c r="J1116" s="50">
        <f>IF($T1116="","",IF($S1116="S",IF(INDEX(Firms!$I$5:$I$1004,$T1116)="","",INDEX(Firms!$I$5:$I$1004,$T1116)),IF(INDEX('AFA Rates'!$H$5:$H$1004,$T1116)="","",INDEX('AFA Rates'!$H$5:$H$1004,$T1116))))</f>
        <v/>
      </c>
      <c r="K1116" s="50">
        <f>IF($T1116="","",IF($S1116="S",IF(INDEX(Firms!$J$5:$J$1004,$T1116)="","",INDEX(Firms!$J$5:$J$1004,$T1116)),IF(INDEX('AFA Rates'!$I$5:$I$1004,$T1116)="","",INDEX('AFA Rates'!$I$5:$I$1004,$T1116))))</f>
        <v/>
      </c>
      <c r="L1116" s="50">
        <f>IF($T1116="","",IF($S1116="S",IF(INDEX(Firms!$K$5:$K$1004,$T1116)="","",INDEX(Firms!$K$5:$K$1004,$T1116)),IF(INDEX('AFA Rates'!$J$5:$J$1004,$T1116)="","",INDEX('AFA Rates'!$J$5:$J$1004,$T1116))))</f>
        <v/>
      </c>
      <c r="M1116" s="50">
        <f>IF($T1116="","",IF($S1116="S",IF(INDEX(Firms!$L$5:$L$1004,$T1116)="","",INDEX(Firms!$L$5:$L$1004,$T1116)),IF(INDEX('AFA Rates'!$K$5:$K$1004,$T1116)="","",INDEX('AFA Rates'!$K$5:$K$1004,$T1116))))</f>
        <v/>
      </c>
      <c r="N1116" s="50">
        <f>IF($T1116="","",IF($S1116="S",IF(INDEX(Firms!$M$5:$M$1004,$T1116)="","",INDEX(Firms!$M$5:$M$1004,$T1116)),IF(INDEX('AFA Rates'!$L$5:$L$1004,$T1116)="","",INDEX('AFA Rates'!$L$5:$L$1004,$T1116))))</f>
        <v/>
      </c>
      <c r="O1116" s="78">
        <f>IF(OR($T1116="",$U1116=""),"",IF(INDEX(Firms!$C$5:$C$1004,$U1116)="","",INDEX(Firms!$C$5:$C$1004,$U1116)))</f>
        <v/>
      </c>
      <c r="P1116" s="79">
        <f>IF(OR($T1116="",$U1116=""),"",IF(INDEX(Firms!$N$5:$N$1004,$U1116)="","",INDEX(Firms!$N$5:$N$1004,$U1116)))</f>
        <v/>
      </c>
      <c r="Q1116" s="78">
        <f>IF($T1116="","",IF($S1116="S",IF(INDEX(Firms!$T$5:$T$1004,$T1116)="","",INDEX(Firms!$T$5:$T$1004,$T1116)),IF(INDEX('AFA Rates'!$M$5:$M$1004,$T1116)="","",INDEX('AFA Rates'!$M$5:$M$1004,$T1116))))</f>
        <v/>
      </c>
      <c r="S1116">
        <f>IF(1112&lt;=$S$2,"S",IF(1112&lt;=$S$2+$T$2,"A",""))</f>
        <v/>
      </c>
      <c r="T1116">
        <f>IF(S1116="S",MATCH(1112,Firms!$W$5:$W$1004,0),IF(S1116="A",IFERROR(MATCH(1112-$S$2,'AFA Rates'!$R$5:$R$1004,0),""),""))</f>
        <v/>
      </c>
      <c r="U1116">
        <f>IF(S1116="S",T1116,IF(AND(S1116="A",T1116&lt;&gt;""),IFERROR(MATCH(INDEX('AFA Rates'!$A$5:$A$1004,T1116),Firms!$A$5:$A$1004,0),""),""))</f>
        <v/>
      </c>
    </row>
    <row r="1117">
      <c r="A1117" s="78">
        <f>IF($T1117="","",IF($S1117="S",IF(INDEX(Firms!$A$5:$A$1004,$T1117)="","",INDEX(Firms!$A$5:$A$1004,$T1117)),IF(INDEX('AFA Rates'!$A$5:$A$1004,$T1117)="","",INDEX('AFA Rates'!$A$5:$A$1004,$T1117))))</f>
        <v/>
      </c>
      <c r="B1117" s="79">
        <f>IF(OR($T1117="",$U1117=""),IF($T1117="","","Not on Firms tab"),INDEX(Firms!$B$5:$B$1004,$U1117)&amp;"")</f>
        <v/>
      </c>
      <c r="C1117" s="78">
        <f>IF($T1117="","",IF($S1117="S","Standard",INDEX('AFA Rates'!$B$5:$B$1004,$T1117)&amp;""))</f>
        <v/>
      </c>
      <c r="D1117" s="88">
        <f>IF($T1117="","",IF($S1117="S",IF(INDEX(Firms!$E$5:$E$1004,$T1117)="","",INDEX(Firms!$E$5:$E$1004,$T1117)),IF(INDEX('AFA Rates'!$C$5:$C$1004,$T1117)="","",INDEX('AFA Rates'!$C$5:$C$1004,$T1117))))</f>
        <v/>
      </c>
      <c r="E1117" s="88">
        <f>IF($T1117="","",IF($S1117="S",IF(""="","",""),IF(INDEX('AFA Rates'!$D$5:$D$1004,$T1117)="","",INDEX('AFA Rates'!$D$5:$D$1004,$T1117))))</f>
        <v/>
      </c>
      <c r="F1117" s="79">
        <f>IF($T1117="","",IF($S1117="S",IF(INDEX(Firms!$O$5:$O$1004,$T1117)="","",INDEX(Firms!$O$5:$O$1004,$T1117)),IF(INDEX('AFA Rates'!$O$5:$O$1004,$T1117)="","",INDEX('AFA Rates'!$O$5:$O$1004,$T1117))))</f>
        <v/>
      </c>
      <c r="G1117" s="50">
        <f>IF($T1117="","",IF($S1117="S",IF(INDEX(Firms!$F$5:$F$1004,$T1117)="","",INDEX(Firms!$F$5:$F$1004,$T1117)),IF(INDEX('AFA Rates'!$E$5:$E$1004,$T1117)="","",INDEX('AFA Rates'!$E$5:$E$1004,$T1117))))</f>
        <v/>
      </c>
      <c r="H1117" s="50">
        <f>IF($T1117="","",IF($S1117="S",IF(INDEX(Firms!$G$5:$G$1004,$T1117)="","",INDEX(Firms!$G$5:$G$1004,$T1117)),IF(INDEX('AFA Rates'!$F$5:$F$1004,$T1117)="","",INDEX('AFA Rates'!$F$5:$F$1004,$T1117))))</f>
        <v/>
      </c>
      <c r="I1117" s="50">
        <f>IF($T1117="","",IF($S1117="S",IF(INDEX(Firms!$H$5:$H$1004,$T1117)="","",INDEX(Firms!$H$5:$H$1004,$T1117)),IF(INDEX('AFA Rates'!$G$5:$G$1004,$T1117)="","",INDEX('AFA Rates'!$G$5:$G$1004,$T1117))))</f>
        <v/>
      </c>
      <c r="J1117" s="50">
        <f>IF($T1117="","",IF($S1117="S",IF(INDEX(Firms!$I$5:$I$1004,$T1117)="","",INDEX(Firms!$I$5:$I$1004,$T1117)),IF(INDEX('AFA Rates'!$H$5:$H$1004,$T1117)="","",INDEX('AFA Rates'!$H$5:$H$1004,$T1117))))</f>
        <v/>
      </c>
      <c r="K1117" s="50">
        <f>IF($T1117="","",IF($S1117="S",IF(INDEX(Firms!$J$5:$J$1004,$T1117)="","",INDEX(Firms!$J$5:$J$1004,$T1117)),IF(INDEX('AFA Rates'!$I$5:$I$1004,$T1117)="","",INDEX('AFA Rates'!$I$5:$I$1004,$T1117))))</f>
        <v/>
      </c>
      <c r="L1117" s="50">
        <f>IF($T1117="","",IF($S1117="S",IF(INDEX(Firms!$K$5:$K$1004,$T1117)="","",INDEX(Firms!$K$5:$K$1004,$T1117)),IF(INDEX('AFA Rates'!$J$5:$J$1004,$T1117)="","",INDEX('AFA Rates'!$J$5:$J$1004,$T1117))))</f>
        <v/>
      </c>
      <c r="M1117" s="50">
        <f>IF($T1117="","",IF($S1117="S",IF(INDEX(Firms!$L$5:$L$1004,$T1117)="","",INDEX(Firms!$L$5:$L$1004,$T1117)),IF(INDEX('AFA Rates'!$K$5:$K$1004,$T1117)="","",INDEX('AFA Rates'!$K$5:$K$1004,$T1117))))</f>
        <v/>
      </c>
      <c r="N1117" s="50">
        <f>IF($T1117="","",IF($S1117="S",IF(INDEX(Firms!$M$5:$M$1004,$T1117)="","",INDEX(Firms!$M$5:$M$1004,$T1117)),IF(INDEX('AFA Rates'!$L$5:$L$1004,$T1117)="","",INDEX('AFA Rates'!$L$5:$L$1004,$T1117))))</f>
        <v/>
      </c>
      <c r="O1117" s="78">
        <f>IF(OR($T1117="",$U1117=""),"",IF(INDEX(Firms!$C$5:$C$1004,$U1117)="","",INDEX(Firms!$C$5:$C$1004,$U1117)))</f>
        <v/>
      </c>
      <c r="P1117" s="79">
        <f>IF(OR($T1117="",$U1117=""),"",IF(INDEX(Firms!$N$5:$N$1004,$U1117)="","",INDEX(Firms!$N$5:$N$1004,$U1117)))</f>
        <v/>
      </c>
      <c r="Q1117" s="78">
        <f>IF($T1117="","",IF($S1117="S",IF(INDEX(Firms!$T$5:$T$1004,$T1117)="","",INDEX(Firms!$T$5:$T$1004,$T1117)),IF(INDEX('AFA Rates'!$M$5:$M$1004,$T1117)="","",INDEX('AFA Rates'!$M$5:$M$1004,$T1117))))</f>
        <v/>
      </c>
      <c r="S1117">
        <f>IF(1113&lt;=$S$2,"S",IF(1113&lt;=$S$2+$T$2,"A",""))</f>
        <v/>
      </c>
      <c r="T1117">
        <f>IF(S1117="S",MATCH(1113,Firms!$W$5:$W$1004,0),IF(S1117="A",IFERROR(MATCH(1113-$S$2,'AFA Rates'!$R$5:$R$1004,0),""),""))</f>
        <v/>
      </c>
      <c r="U1117">
        <f>IF(S1117="S",T1117,IF(AND(S1117="A",T1117&lt;&gt;""),IFERROR(MATCH(INDEX('AFA Rates'!$A$5:$A$1004,T1117),Firms!$A$5:$A$1004,0),""),""))</f>
        <v/>
      </c>
    </row>
    <row r="1118">
      <c r="A1118" s="78">
        <f>IF($T1118="","",IF($S1118="S",IF(INDEX(Firms!$A$5:$A$1004,$T1118)="","",INDEX(Firms!$A$5:$A$1004,$T1118)),IF(INDEX('AFA Rates'!$A$5:$A$1004,$T1118)="","",INDEX('AFA Rates'!$A$5:$A$1004,$T1118))))</f>
        <v/>
      </c>
      <c r="B1118" s="79">
        <f>IF(OR($T1118="",$U1118=""),IF($T1118="","","Not on Firms tab"),INDEX(Firms!$B$5:$B$1004,$U1118)&amp;"")</f>
        <v/>
      </c>
      <c r="C1118" s="78">
        <f>IF($T1118="","",IF($S1118="S","Standard",INDEX('AFA Rates'!$B$5:$B$1004,$T1118)&amp;""))</f>
        <v/>
      </c>
      <c r="D1118" s="88">
        <f>IF($T1118="","",IF($S1118="S",IF(INDEX(Firms!$E$5:$E$1004,$T1118)="","",INDEX(Firms!$E$5:$E$1004,$T1118)),IF(INDEX('AFA Rates'!$C$5:$C$1004,$T1118)="","",INDEX('AFA Rates'!$C$5:$C$1004,$T1118))))</f>
        <v/>
      </c>
      <c r="E1118" s="88">
        <f>IF($T1118="","",IF($S1118="S",IF(""="","",""),IF(INDEX('AFA Rates'!$D$5:$D$1004,$T1118)="","",INDEX('AFA Rates'!$D$5:$D$1004,$T1118))))</f>
        <v/>
      </c>
      <c r="F1118" s="79">
        <f>IF($T1118="","",IF($S1118="S",IF(INDEX(Firms!$O$5:$O$1004,$T1118)="","",INDEX(Firms!$O$5:$O$1004,$T1118)),IF(INDEX('AFA Rates'!$O$5:$O$1004,$T1118)="","",INDEX('AFA Rates'!$O$5:$O$1004,$T1118))))</f>
        <v/>
      </c>
      <c r="G1118" s="50">
        <f>IF($T1118="","",IF($S1118="S",IF(INDEX(Firms!$F$5:$F$1004,$T1118)="","",INDEX(Firms!$F$5:$F$1004,$T1118)),IF(INDEX('AFA Rates'!$E$5:$E$1004,$T1118)="","",INDEX('AFA Rates'!$E$5:$E$1004,$T1118))))</f>
        <v/>
      </c>
      <c r="H1118" s="50">
        <f>IF($T1118="","",IF($S1118="S",IF(INDEX(Firms!$G$5:$G$1004,$T1118)="","",INDEX(Firms!$G$5:$G$1004,$T1118)),IF(INDEX('AFA Rates'!$F$5:$F$1004,$T1118)="","",INDEX('AFA Rates'!$F$5:$F$1004,$T1118))))</f>
        <v/>
      </c>
      <c r="I1118" s="50">
        <f>IF($T1118="","",IF($S1118="S",IF(INDEX(Firms!$H$5:$H$1004,$T1118)="","",INDEX(Firms!$H$5:$H$1004,$T1118)),IF(INDEX('AFA Rates'!$G$5:$G$1004,$T1118)="","",INDEX('AFA Rates'!$G$5:$G$1004,$T1118))))</f>
        <v/>
      </c>
      <c r="J1118" s="50">
        <f>IF($T1118="","",IF($S1118="S",IF(INDEX(Firms!$I$5:$I$1004,$T1118)="","",INDEX(Firms!$I$5:$I$1004,$T1118)),IF(INDEX('AFA Rates'!$H$5:$H$1004,$T1118)="","",INDEX('AFA Rates'!$H$5:$H$1004,$T1118))))</f>
        <v/>
      </c>
      <c r="K1118" s="50">
        <f>IF($T1118="","",IF($S1118="S",IF(INDEX(Firms!$J$5:$J$1004,$T1118)="","",INDEX(Firms!$J$5:$J$1004,$T1118)),IF(INDEX('AFA Rates'!$I$5:$I$1004,$T1118)="","",INDEX('AFA Rates'!$I$5:$I$1004,$T1118))))</f>
        <v/>
      </c>
      <c r="L1118" s="50">
        <f>IF($T1118="","",IF($S1118="S",IF(INDEX(Firms!$K$5:$K$1004,$T1118)="","",INDEX(Firms!$K$5:$K$1004,$T1118)),IF(INDEX('AFA Rates'!$J$5:$J$1004,$T1118)="","",INDEX('AFA Rates'!$J$5:$J$1004,$T1118))))</f>
        <v/>
      </c>
      <c r="M1118" s="50">
        <f>IF($T1118="","",IF($S1118="S",IF(INDEX(Firms!$L$5:$L$1004,$T1118)="","",INDEX(Firms!$L$5:$L$1004,$T1118)),IF(INDEX('AFA Rates'!$K$5:$K$1004,$T1118)="","",INDEX('AFA Rates'!$K$5:$K$1004,$T1118))))</f>
        <v/>
      </c>
      <c r="N1118" s="50">
        <f>IF($T1118="","",IF($S1118="S",IF(INDEX(Firms!$M$5:$M$1004,$T1118)="","",INDEX(Firms!$M$5:$M$1004,$T1118)),IF(INDEX('AFA Rates'!$L$5:$L$1004,$T1118)="","",INDEX('AFA Rates'!$L$5:$L$1004,$T1118))))</f>
        <v/>
      </c>
      <c r="O1118" s="78">
        <f>IF(OR($T1118="",$U1118=""),"",IF(INDEX(Firms!$C$5:$C$1004,$U1118)="","",INDEX(Firms!$C$5:$C$1004,$U1118)))</f>
        <v/>
      </c>
      <c r="P1118" s="79">
        <f>IF(OR($T1118="",$U1118=""),"",IF(INDEX(Firms!$N$5:$N$1004,$U1118)="","",INDEX(Firms!$N$5:$N$1004,$U1118)))</f>
        <v/>
      </c>
      <c r="Q1118" s="78">
        <f>IF($T1118="","",IF($S1118="S",IF(INDEX(Firms!$T$5:$T$1004,$T1118)="","",INDEX(Firms!$T$5:$T$1004,$T1118)),IF(INDEX('AFA Rates'!$M$5:$M$1004,$T1118)="","",INDEX('AFA Rates'!$M$5:$M$1004,$T1118))))</f>
        <v/>
      </c>
      <c r="S1118">
        <f>IF(1114&lt;=$S$2,"S",IF(1114&lt;=$S$2+$T$2,"A",""))</f>
        <v/>
      </c>
      <c r="T1118">
        <f>IF(S1118="S",MATCH(1114,Firms!$W$5:$W$1004,0),IF(S1118="A",IFERROR(MATCH(1114-$S$2,'AFA Rates'!$R$5:$R$1004,0),""),""))</f>
        <v/>
      </c>
      <c r="U1118">
        <f>IF(S1118="S",T1118,IF(AND(S1118="A",T1118&lt;&gt;""),IFERROR(MATCH(INDEX('AFA Rates'!$A$5:$A$1004,T1118),Firms!$A$5:$A$1004,0),""),""))</f>
        <v/>
      </c>
    </row>
    <row r="1119">
      <c r="A1119" s="78">
        <f>IF($T1119="","",IF($S1119="S",IF(INDEX(Firms!$A$5:$A$1004,$T1119)="","",INDEX(Firms!$A$5:$A$1004,$T1119)),IF(INDEX('AFA Rates'!$A$5:$A$1004,$T1119)="","",INDEX('AFA Rates'!$A$5:$A$1004,$T1119))))</f>
        <v/>
      </c>
      <c r="B1119" s="79">
        <f>IF(OR($T1119="",$U1119=""),IF($T1119="","","Not on Firms tab"),INDEX(Firms!$B$5:$B$1004,$U1119)&amp;"")</f>
        <v/>
      </c>
      <c r="C1119" s="78">
        <f>IF($T1119="","",IF($S1119="S","Standard",INDEX('AFA Rates'!$B$5:$B$1004,$T1119)&amp;""))</f>
        <v/>
      </c>
      <c r="D1119" s="88">
        <f>IF($T1119="","",IF($S1119="S",IF(INDEX(Firms!$E$5:$E$1004,$T1119)="","",INDEX(Firms!$E$5:$E$1004,$T1119)),IF(INDEX('AFA Rates'!$C$5:$C$1004,$T1119)="","",INDEX('AFA Rates'!$C$5:$C$1004,$T1119))))</f>
        <v/>
      </c>
      <c r="E1119" s="88">
        <f>IF($T1119="","",IF($S1119="S",IF(""="","",""),IF(INDEX('AFA Rates'!$D$5:$D$1004,$T1119)="","",INDEX('AFA Rates'!$D$5:$D$1004,$T1119))))</f>
        <v/>
      </c>
      <c r="F1119" s="79">
        <f>IF($T1119="","",IF($S1119="S",IF(INDEX(Firms!$O$5:$O$1004,$T1119)="","",INDEX(Firms!$O$5:$O$1004,$T1119)),IF(INDEX('AFA Rates'!$O$5:$O$1004,$T1119)="","",INDEX('AFA Rates'!$O$5:$O$1004,$T1119))))</f>
        <v/>
      </c>
      <c r="G1119" s="50">
        <f>IF($T1119="","",IF($S1119="S",IF(INDEX(Firms!$F$5:$F$1004,$T1119)="","",INDEX(Firms!$F$5:$F$1004,$T1119)),IF(INDEX('AFA Rates'!$E$5:$E$1004,$T1119)="","",INDEX('AFA Rates'!$E$5:$E$1004,$T1119))))</f>
        <v/>
      </c>
      <c r="H1119" s="50">
        <f>IF($T1119="","",IF($S1119="S",IF(INDEX(Firms!$G$5:$G$1004,$T1119)="","",INDEX(Firms!$G$5:$G$1004,$T1119)),IF(INDEX('AFA Rates'!$F$5:$F$1004,$T1119)="","",INDEX('AFA Rates'!$F$5:$F$1004,$T1119))))</f>
        <v/>
      </c>
      <c r="I1119" s="50">
        <f>IF($T1119="","",IF($S1119="S",IF(INDEX(Firms!$H$5:$H$1004,$T1119)="","",INDEX(Firms!$H$5:$H$1004,$T1119)),IF(INDEX('AFA Rates'!$G$5:$G$1004,$T1119)="","",INDEX('AFA Rates'!$G$5:$G$1004,$T1119))))</f>
        <v/>
      </c>
      <c r="J1119" s="50">
        <f>IF($T1119="","",IF($S1119="S",IF(INDEX(Firms!$I$5:$I$1004,$T1119)="","",INDEX(Firms!$I$5:$I$1004,$T1119)),IF(INDEX('AFA Rates'!$H$5:$H$1004,$T1119)="","",INDEX('AFA Rates'!$H$5:$H$1004,$T1119))))</f>
        <v/>
      </c>
      <c r="K1119" s="50">
        <f>IF($T1119="","",IF($S1119="S",IF(INDEX(Firms!$J$5:$J$1004,$T1119)="","",INDEX(Firms!$J$5:$J$1004,$T1119)),IF(INDEX('AFA Rates'!$I$5:$I$1004,$T1119)="","",INDEX('AFA Rates'!$I$5:$I$1004,$T1119))))</f>
        <v/>
      </c>
      <c r="L1119" s="50">
        <f>IF($T1119="","",IF($S1119="S",IF(INDEX(Firms!$K$5:$K$1004,$T1119)="","",INDEX(Firms!$K$5:$K$1004,$T1119)),IF(INDEX('AFA Rates'!$J$5:$J$1004,$T1119)="","",INDEX('AFA Rates'!$J$5:$J$1004,$T1119))))</f>
        <v/>
      </c>
      <c r="M1119" s="50">
        <f>IF($T1119="","",IF($S1119="S",IF(INDEX(Firms!$L$5:$L$1004,$T1119)="","",INDEX(Firms!$L$5:$L$1004,$T1119)),IF(INDEX('AFA Rates'!$K$5:$K$1004,$T1119)="","",INDEX('AFA Rates'!$K$5:$K$1004,$T1119))))</f>
        <v/>
      </c>
      <c r="N1119" s="50">
        <f>IF($T1119="","",IF($S1119="S",IF(INDEX(Firms!$M$5:$M$1004,$T1119)="","",INDEX(Firms!$M$5:$M$1004,$T1119)),IF(INDEX('AFA Rates'!$L$5:$L$1004,$T1119)="","",INDEX('AFA Rates'!$L$5:$L$1004,$T1119))))</f>
        <v/>
      </c>
      <c r="O1119" s="78">
        <f>IF(OR($T1119="",$U1119=""),"",IF(INDEX(Firms!$C$5:$C$1004,$U1119)="","",INDEX(Firms!$C$5:$C$1004,$U1119)))</f>
        <v/>
      </c>
      <c r="P1119" s="79">
        <f>IF(OR($T1119="",$U1119=""),"",IF(INDEX(Firms!$N$5:$N$1004,$U1119)="","",INDEX(Firms!$N$5:$N$1004,$U1119)))</f>
        <v/>
      </c>
      <c r="Q1119" s="78">
        <f>IF($T1119="","",IF($S1119="S",IF(INDEX(Firms!$T$5:$T$1004,$T1119)="","",INDEX(Firms!$T$5:$T$1004,$T1119)),IF(INDEX('AFA Rates'!$M$5:$M$1004,$T1119)="","",INDEX('AFA Rates'!$M$5:$M$1004,$T1119))))</f>
        <v/>
      </c>
      <c r="S1119">
        <f>IF(1115&lt;=$S$2,"S",IF(1115&lt;=$S$2+$T$2,"A",""))</f>
        <v/>
      </c>
      <c r="T1119">
        <f>IF(S1119="S",MATCH(1115,Firms!$W$5:$W$1004,0),IF(S1119="A",IFERROR(MATCH(1115-$S$2,'AFA Rates'!$R$5:$R$1004,0),""),""))</f>
        <v/>
      </c>
      <c r="U1119">
        <f>IF(S1119="S",T1119,IF(AND(S1119="A",T1119&lt;&gt;""),IFERROR(MATCH(INDEX('AFA Rates'!$A$5:$A$1004,T1119),Firms!$A$5:$A$1004,0),""),""))</f>
        <v/>
      </c>
    </row>
    <row r="1120">
      <c r="A1120" s="78">
        <f>IF($T1120="","",IF($S1120="S",IF(INDEX(Firms!$A$5:$A$1004,$T1120)="","",INDEX(Firms!$A$5:$A$1004,$T1120)),IF(INDEX('AFA Rates'!$A$5:$A$1004,$T1120)="","",INDEX('AFA Rates'!$A$5:$A$1004,$T1120))))</f>
        <v/>
      </c>
      <c r="B1120" s="79">
        <f>IF(OR($T1120="",$U1120=""),IF($T1120="","","Not on Firms tab"),INDEX(Firms!$B$5:$B$1004,$U1120)&amp;"")</f>
        <v/>
      </c>
      <c r="C1120" s="78">
        <f>IF($T1120="","",IF($S1120="S","Standard",INDEX('AFA Rates'!$B$5:$B$1004,$T1120)&amp;""))</f>
        <v/>
      </c>
      <c r="D1120" s="88">
        <f>IF($T1120="","",IF($S1120="S",IF(INDEX(Firms!$E$5:$E$1004,$T1120)="","",INDEX(Firms!$E$5:$E$1004,$T1120)),IF(INDEX('AFA Rates'!$C$5:$C$1004,$T1120)="","",INDEX('AFA Rates'!$C$5:$C$1004,$T1120))))</f>
        <v/>
      </c>
      <c r="E1120" s="88">
        <f>IF($T1120="","",IF($S1120="S",IF(""="","",""),IF(INDEX('AFA Rates'!$D$5:$D$1004,$T1120)="","",INDEX('AFA Rates'!$D$5:$D$1004,$T1120))))</f>
        <v/>
      </c>
      <c r="F1120" s="79">
        <f>IF($T1120="","",IF($S1120="S",IF(INDEX(Firms!$O$5:$O$1004,$T1120)="","",INDEX(Firms!$O$5:$O$1004,$T1120)),IF(INDEX('AFA Rates'!$O$5:$O$1004,$T1120)="","",INDEX('AFA Rates'!$O$5:$O$1004,$T1120))))</f>
        <v/>
      </c>
      <c r="G1120" s="50">
        <f>IF($T1120="","",IF($S1120="S",IF(INDEX(Firms!$F$5:$F$1004,$T1120)="","",INDEX(Firms!$F$5:$F$1004,$T1120)),IF(INDEX('AFA Rates'!$E$5:$E$1004,$T1120)="","",INDEX('AFA Rates'!$E$5:$E$1004,$T1120))))</f>
        <v/>
      </c>
      <c r="H1120" s="50">
        <f>IF($T1120="","",IF($S1120="S",IF(INDEX(Firms!$G$5:$G$1004,$T1120)="","",INDEX(Firms!$G$5:$G$1004,$T1120)),IF(INDEX('AFA Rates'!$F$5:$F$1004,$T1120)="","",INDEX('AFA Rates'!$F$5:$F$1004,$T1120))))</f>
        <v/>
      </c>
      <c r="I1120" s="50">
        <f>IF($T1120="","",IF($S1120="S",IF(INDEX(Firms!$H$5:$H$1004,$T1120)="","",INDEX(Firms!$H$5:$H$1004,$T1120)),IF(INDEX('AFA Rates'!$G$5:$G$1004,$T1120)="","",INDEX('AFA Rates'!$G$5:$G$1004,$T1120))))</f>
        <v/>
      </c>
      <c r="J1120" s="50">
        <f>IF($T1120="","",IF($S1120="S",IF(INDEX(Firms!$I$5:$I$1004,$T1120)="","",INDEX(Firms!$I$5:$I$1004,$T1120)),IF(INDEX('AFA Rates'!$H$5:$H$1004,$T1120)="","",INDEX('AFA Rates'!$H$5:$H$1004,$T1120))))</f>
        <v/>
      </c>
      <c r="K1120" s="50">
        <f>IF($T1120="","",IF($S1120="S",IF(INDEX(Firms!$J$5:$J$1004,$T1120)="","",INDEX(Firms!$J$5:$J$1004,$T1120)),IF(INDEX('AFA Rates'!$I$5:$I$1004,$T1120)="","",INDEX('AFA Rates'!$I$5:$I$1004,$T1120))))</f>
        <v/>
      </c>
      <c r="L1120" s="50">
        <f>IF($T1120="","",IF($S1120="S",IF(INDEX(Firms!$K$5:$K$1004,$T1120)="","",INDEX(Firms!$K$5:$K$1004,$T1120)),IF(INDEX('AFA Rates'!$J$5:$J$1004,$T1120)="","",INDEX('AFA Rates'!$J$5:$J$1004,$T1120))))</f>
        <v/>
      </c>
      <c r="M1120" s="50">
        <f>IF($T1120="","",IF($S1120="S",IF(INDEX(Firms!$L$5:$L$1004,$T1120)="","",INDEX(Firms!$L$5:$L$1004,$T1120)),IF(INDEX('AFA Rates'!$K$5:$K$1004,$T1120)="","",INDEX('AFA Rates'!$K$5:$K$1004,$T1120))))</f>
        <v/>
      </c>
      <c r="N1120" s="50">
        <f>IF($T1120="","",IF($S1120="S",IF(INDEX(Firms!$M$5:$M$1004,$T1120)="","",INDEX(Firms!$M$5:$M$1004,$T1120)),IF(INDEX('AFA Rates'!$L$5:$L$1004,$T1120)="","",INDEX('AFA Rates'!$L$5:$L$1004,$T1120))))</f>
        <v/>
      </c>
      <c r="O1120" s="78">
        <f>IF(OR($T1120="",$U1120=""),"",IF(INDEX(Firms!$C$5:$C$1004,$U1120)="","",INDEX(Firms!$C$5:$C$1004,$U1120)))</f>
        <v/>
      </c>
      <c r="P1120" s="79">
        <f>IF(OR($T1120="",$U1120=""),"",IF(INDEX(Firms!$N$5:$N$1004,$U1120)="","",INDEX(Firms!$N$5:$N$1004,$U1120)))</f>
        <v/>
      </c>
      <c r="Q1120" s="78">
        <f>IF($T1120="","",IF($S1120="S",IF(INDEX(Firms!$T$5:$T$1004,$T1120)="","",INDEX(Firms!$T$5:$T$1004,$T1120)),IF(INDEX('AFA Rates'!$M$5:$M$1004,$T1120)="","",INDEX('AFA Rates'!$M$5:$M$1004,$T1120))))</f>
        <v/>
      </c>
      <c r="S1120">
        <f>IF(1116&lt;=$S$2,"S",IF(1116&lt;=$S$2+$T$2,"A",""))</f>
        <v/>
      </c>
      <c r="T1120">
        <f>IF(S1120="S",MATCH(1116,Firms!$W$5:$W$1004,0),IF(S1120="A",IFERROR(MATCH(1116-$S$2,'AFA Rates'!$R$5:$R$1004,0),""),""))</f>
        <v/>
      </c>
      <c r="U1120">
        <f>IF(S1120="S",T1120,IF(AND(S1120="A",T1120&lt;&gt;""),IFERROR(MATCH(INDEX('AFA Rates'!$A$5:$A$1004,T1120),Firms!$A$5:$A$1004,0),""),""))</f>
        <v/>
      </c>
    </row>
    <row r="1121">
      <c r="A1121" s="78">
        <f>IF($T1121="","",IF($S1121="S",IF(INDEX(Firms!$A$5:$A$1004,$T1121)="","",INDEX(Firms!$A$5:$A$1004,$T1121)),IF(INDEX('AFA Rates'!$A$5:$A$1004,$T1121)="","",INDEX('AFA Rates'!$A$5:$A$1004,$T1121))))</f>
        <v/>
      </c>
      <c r="B1121" s="79">
        <f>IF(OR($T1121="",$U1121=""),IF($T1121="","","Not on Firms tab"),INDEX(Firms!$B$5:$B$1004,$U1121)&amp;"")</f>
        <v/>
      </c>
      <c r="C1121" s="78">
        <f>IF($T1121="","",IF($S1121="S","Standard",INDEX('AFA Rates'!$B$5:$B$1004,$T1121)&amp;""))</f>
        <v/>
      </c>
      <c r="D1121" s="88">
        <f>IF($T1121="","",IF($S1121="S",IF(INDEX(Firms!$E$5:$E$1004,$T1121)="","",INDEX(Firms!$E$5:$E$1004,$T1121)),IF(INDEX('AFA Rates'!$C$5:$C$1004,$T1121)="","",INDEX('AFA Rates'!$C$5:$C$1004,$T1121))))</f>
        <v/>
      </c>
      <c r="E1121" s="88">
        <f>IF($T1121="","",IF($S1121="S",IF(""="","",""),IF(INDEX('AFA Rates'!$D$5:$D$1004,$T1121)="","",INDEX('AFA Rates'!$D$5:$D$1004,$T1121))))</f>
        <v/>
      </c>
      <c r="F1121" s="79">
        <f>IF($T1121="","",IF($S1121="S",IF(INDEX(Firms!$O$5:$O$1004,$T1121)="","",INDEX(Firms!$O$5:$O$1004,$T1121)),IF(INDEX('AFA Rates'!$O$5:$O$1004,$T1121)="","",INDEX('AFA Rates'!$O$5:$O$1004,$T1121))))</f>
        <v/>
      </c>
      <c r="G1121" s="50">
        <f>IF($T1121="","",IF($S1121="S",IF(INDEX(Firms!$F$5:$F$1004,$T1121)="","",INDEX(Firms!$F$5:$F$1004,$T1121)),IF(INDEX('AFA Rates'!$E$5:$E$1004,$T1121)="","",INDEX('AFA Rates'!$E$5:$E$1004,$T1121))))</f>
        <v/>
      </c>
      <c r="H1121" s="50">
        <f>IF($T1121="","",IF($S1121="S",IF(INDEX(Firms!$G$5:$G$1004,$T1121)="","",INDEX(Firms!$G$5:$G$1004,$T1121)),IF(INDEX('AFA Rates'!$F$5:$F$1004,$T1121)="","",INDEX('AFA Rates'!$F$5:$F$1004,$T1121))))</f>
        <v/>
      </c>
      <c r="I1121" s="50">
        <f>IF($T1121="","",IF($S1121="S",IF(INDEX(Firms!$H$5:$H$1004,$T1121)="","",INDEX(Firms!$H$5:$H$1004,$T1121)),IF(INDEX('AFA Rates'!$G$5:$G$1004,$T1121)="","",INDEX('AFA Rates'!$G$5:$G$1004,$T1121))))</f>
        <v/>
      </c>
      <c r="J1121" s="50">
        <f>IF($T1121="","",IF($S1121="S",IF(INDEX(Firms!$I$5:$I$1004,$T1121)="","",INDEX(Firms!$I$5:$I$1004,$T1121)),IF(INDEX('AFA Rates'!$H$5:$H$1004,$T1121)="","",INDEX('AFA Rates'!$H$5:$H$1004,$T1121))))</f>
        <v/>
      </c>
      <c r="K1121" s="50">
        <f>IF($T1121="","",IF($S1121="S",IF(INDEX(Firms!$J$5:$J$1004,$T1121)="","",INDEX(Firms!$J$5:$J$1004,$T1121)),IF(INDEX('AFA Rates'!$I$5:$I$1004,$T1121)="","",INDEX('AFA Rates'!$I$5:$I$1004,$T1121))))</f>
        <v/>
      </c>
      <c r="L1121" s="50">
        <f>IF($T1121="","",IF($S1121="S",IF(INDEX(Firms!$K$5:$K$1004,$T1121)="","",INDEX(Firms!$K$5:$K$1004,$T1121)),IF(INDEX('AFA Rates'!$J$5:$J$1004,$T1121)="","",INDEX('AFA Rates'!$J$5:$J$1004,$T1121))))</f>
        <v/>
      </c>
      <c r="M1121" s="50">
        <f>IF($T1121="","",IF($S1121="S",IF(INDEX(Firms!$L$5:$L$1004,$T1121)="","",INDEX(Firms!$L$5:$L$1004,$T1121)),IF(INDEX('AFA Rates'!$K$5:$K$1004,$T1121)="","",INDEX('AFA Rates'!$K$5:$K$1004,$T1121))))</f>
        <v/>
      </c>
      <c r="N1121" s="50">
        <f>IF($T1121="","",IF($S1121="S",IF(INDEX(Firms!$M$5:$M$1004,$T1121)="","",INDEX(Firms!$M$5:$M$1004,$T1121)),IF(INDEX('AFA Rates'!$L$5:$L$1004,$T1121)="","",INDEX('AFA Rates'!$L$5:$L$1004,$T1121))))</f>
        <v/>
      </c>
      <c r="O1121" s="78">
        <f>IF(OR($T1121="",$U1121=""),"",IF(INDEX(Firms!$C$5:$C$1004,$U1121)="","",INDEX(Firms!$C$5:$C$1004,$U1121)))</f>
        <v/>
      </c>
      <c r="P1121" s="79">
        <f>IF(OR($T1121="",$U1121=""),"",IF(INDEX(Firms!$N$5:$N$1004,$U1121)="","",INDEX(Firms!$N$5:$N$1004,$U1121)))</f>
        <v/>
      </c>
      <c r="Q1121" s="78">
        <f>IF($T1121="","",IF($S1121="S",IF(INDEX(Firms!$T$5:$T$1004,$T1121)="","",INDEX(Firms!$T$5:$T$1004,$T1121)),IF(INDEX('AFA Rates'!$M$5:$M$1004,$T1121)="","",INDEX('AFA Rates'!$M$5:$M$1004,$T1121))))</f>
        <v/>
      </c>
      <c r="S1121">
        <f>IF(1117&lt;=$S$2,"S",IF(1117&lt;=$S$2+$T$2,"A",""))</f>
        <v/>
      </c>
      <c r="T1121">
        <f>IF(S1121="S",MATCH(1117,Firms!$W$5:$W$1004,0),IF(S1121="A",IFERROR(MATCH(1117-$S$2,'AFA Rates'!$R$5:$R$1004,0),""),""))</f>
        <v/>
      </c>
      <c r="U1121">
        <f>IF(S1121="S",T1121,IF(AND(S1121="A",T1121&lt;&gt;""),IFERROR(MATCH(INDEX('AFA Rates'!$A$5:$A$1004,T1121),Firms!$A$5:$A$1004,0),""),""))</f>
        <v/>
      </c>
    </row>
    <row r="1122">
      <c r="A1122" s="78">
        <f>IF($T1122="","",IF($S1122="S",IF(INDEX(Firms!$A$5:$A$1004,$T1122)="","",INDEX(Firms!$A$5:$A$1004,$T1122)),IF(INDEX('AFA Rates'!$A$5:$A$1004,$T1122)="","",INDEX('AFA Rates'!$A$5:$A$1004,$T1122))))</f>
        <v/>
      </c>
      <c r="B1122" s="79">
        <f>IF(OR($T1122="",$U1122=""),IF($T1122="","","Not on Firms tab"),INDEX(Firms!$B$5:$B$1004,$U1122)&amp;"")</f>
        <v/>
      </c>
      <c r="C1122" s="78">
        <f>IF($T1122="","",IF($S1122="S","Standard",INDEX('AFA Rates'!$B$5:$B$1004,$T1122)&amp;""))</f>
        <v/>
      </c>
      <c r="D1122" s="88">
        <f>IF($T1122="","",IF($S1122="S",IF(INDEX(Firms!$E$5:$E$1004,$T1122)="","",INDEX(Firms!$E$5:$E$1004,$T1122)),IF(INDEX('AFA Rates'!$C$5:$C$1004,$T1122)="","",INDEX('AFA Rates'!$C$5:$C$1004,$T1122))))</f>
        <v/>
      </c>
      <c r="E1122" s="88">
        <f>IF($T1122="","",IF($S1122="S",IF(""="","",""),IF(INDEX('AFA Rates'!$D$5:$D$1004,$T1122)="","",INDEX('AFA Rates'!$D$5:$D$1004,$T1122))))</f>
        <v/>
      </c>
      <c r="F1122" s="79">
        <f>IF($T1122="","",IF($S1122="S",IF(INDEX(Firms!$O$5:$O$1004,$T1122)="","",INDEX(Firms!$O$5:$O$1004,$T1122)),IF(INDEX('AFA Rates'!$O$5:$O$1004,$T1122)="","",INDEX('AFA Rates'!$O$5:$O$1004,$T1122))))</f>
        <v/>
      </c>
      <c r="G1122" s="50">
        <f>IF($T1122="","",IF($S1122="S",IF(INDEX(Firms!$F$5:$F$1004,$T1122)="","",INDEX(Firms!$F$5:$F$1004,$T1122)),IF(INDEX('AFA Rates'!$E$5:$E$1004,$T1122)="","",INDEX('AFA Rates'!$E$5:$E$1004,$T1122))))</f>
        <v/>
      </c>
      <c r="H1122" s="50">
        <f>IF($T1122="","",IF($S1122="S",IF(INDEX(Firms!$G$5:$G$1004,$T1122)="","",INDEX(Firms!$G$5:$G$1004,$T1122)),IF(INDEX('AFA Rates'!$F$5:$F$1004,$T1122)="","",INDEX('AFA Rates'!$F$5:$F$1004,$T1122))))</f>
        <v/>
      </c>
      <c r="I1122" s="50">
        <f>IF($T1122="","",IF($S1122="S",IF(INDEX(Firms!$H$5:$H$1004,$T1122)="","",INDEX(Firms!$H$5:$H$1004,$T1122)),IF(INDEX('AFA Rates'!$G$5:$G$1004,$T1122)="","",INDEX('AFA Rates'!$G$5:$G$1004,$T1122))))</f>
        <v/>
      </c>
      <c r="J1122" s="50">
        <f>IF($T1122="","",IF($S1122="S",IF(INDEX(Firms!$I$5:$I$1004,$T1122)="","",INDEX(Firms!$I$5:$I$1004,$T1122)),IF(INDEX('AFA Rates'!$H$5:$H$1004,$T1122)="","",INDEX('AFA Rates'!$H$5:$H$1004,$T1122))))</f>
        <v/>
      </c>
      <c r="K1122" s="50">
        <f>IF($T1122="","",IF($S1122="S",IF(INDEX(Firms!$J$5:$J$1004,$T1122)="","",INDEX(Firms!$J$5:$J$1004,$T1122)),IF(INDEX('AFA Rates'!$I$5:$I$1004,$T1122)="","",INDEX('AFA Rates'!$I$5:$I$1004,$T1122))))</f>
        <v/>
      </c>
      <c r="L1122" s="50">
        <f>IF($T1122="","",IF($S1122="S",IF(INDEX(Firms!$K$5:$K$1004,$T1122)="","",INDEX(Firms!$K$5:$K$1004,$T1122)),IF(INDEX('AFA Rates'!$J$5:$J$1004,$T1122)="","",INDEX('AFA Rates'!$J$5:$J$1004,$T1122))))</f>
        <v/>
      </c>
      <c r="M1122" s="50">
        <f>IF($T1122="","",IF($S1122="S",IF(INDEX(Firms!$L$5:$L$1004,$T1122)="","",INDEX(Firms!$L$5:$L$1004,$T1122)),IF(INDEX('AFA Rates'!$K$5:$K$1004,$T1122)="","",INDEX('AFA Rates'!$K$5:$K$1004,$T1122))))</f>
        <v/>
      </c>
      <c r="N1122" s="50">
        <f>IF($T1122="","",IF($S1122="S",IF(INDEX(Firms!$M$5:$M$1004,$T1122)="","",INDEX(Firms!$M$5:$M$1004,$T1122)),IF(INDEX('AFA Rates'!$L$5:$L$1004,$T1122)="","",INDEX('AFA Rates'!$L$5:$L$1004,$T1122))))</f>
        <v/>
      </c>
      <c r="O1122" s="78">
        <f>IF(OR($T1122="",$U1122=""),"",IF(INDEX(Firms!$C$5:$C$1004,$U1122)="","",INDEX(Firms!$C$5:$C$1004,$U1122)))</f>
        <v/>
      </c>
      <c r="P1122" s="79">
        <f>IF(OR($T1122="",$U1122=""),"",IF(INDEX(Firms!$N$5:$N$1004,$U1122)="","",INDEX(Firms!$N$5:$N$1004,$U1122)))</f>
        <v/>
      </c>
      <c r="Q1122" s="78">
        <f>IF($T1122="","",IF($S1122="S",IF(INDEX(Firms!$T$5:$T$1004,$T1122)="","",INDEX(Firms!$T$5:$T$1004,$T1122)),IF(INDEX('AFA Rates'!$M$5:$M$1004,$T1122)="","",INDEX('AFA Rates'!$M$5:$M$1004,$T1122))))</f>
        <v/>
      </c>
      <c r="S1122">
        <f>IF(1118&lt;=$S$2,"S",IF(1118&lt;=$S$2+$T$2,"A",""))</f>
        <v/>
      </c>
      <c r="T1122">
        <f>IF(S1122="S",MATCH(1118,Firms!$W$5:$W$1004,0),IF(S1122="A",IFERROR(MATCH(1118-$S$2,'AFA Rates'!$R$5:$R$1004,0),""),""))</f>
        <v/>
      </c>
      <c r="U1122">
        <f>IF(S1122="S",T1122,IF(AND(S1122="A",T1122&lt;&gt;""),IFERROR(MATCH(INDEX('AFA Rates'!$A$5:$A$1004,T1122),Firms!$A$5:$A$1004,0),""),""))</f>
        <v/>
      </c>
    </row>
    <row r="1123">
      <c r="A1123" s="78">
        <f>IF($T1123="","",IF($S1123="S",IF(INDEX(Firms!$A$5:$A$1004,$T1123)="","",INDEX(Firms!$A$5:$A$1004,$T1123)),IF(INDEX('AFA Rates'!$A$5:$A$1004,$T1123)="","",INDEX('AFA Rates'!$A$5:$A$1004,$T1123))))</f>
        <v/>
      </c>
      <c r="B1123" s="79">
        <f>IF(OR($T1123="",$U1123=""),IF($T1123="","","Not on Firms tab"),INDEX(Firms!$B$5:$B$1004,$U1123)&amp;"")</f>
        <v/>
      </c>
      <c r="C1123" s="78">
        <f>IF($T1123="","",IF($S1123="S","Standard",INDEX('AFA Rates'!$B$5:$B$1004,$T1123)&amp;""))</f>
        <v/>
      </c>
      <c r="D1123" s="88">
        <f>IF($T1123="","",IF($S1123="S",IF(INDEX(Firms!$E$5:$E$1004,$T1123)="","",INDEX(Firms!$E$5:$E$1004,$T1123)),IF(INDEX('AFA Rates'!$C$5:$C$1004,$T1123)="","",INDEX('AFA Rates'!$C$5:$C$1004,$T1123))))</f>
        <v/>
      </c>
      <c r="E1123" s="88">
        <f>IF($T1123="","",IF($S1123="S",IF(""="","",""),IF(INDEX('AFA Rates'!$D$5:$D$1004,$T1123)="","",INDEX('AFA Rates'!$D$5:$D$1004,$T1123))))</f>
        <v/>
      </c>
      <c r="F1123" s="79">
        <f>IF($T1123="","",IF($S1123="S",IF(INDEX(Firms!$O$5:$O$1004,$T1123)="","",INDEX(Firms!$O$5:$O$1004,$T1123)),IF(INDEX('AFA Rates'!$O$5:$O$1004,$T1123)="","",INDEX('AFA Rates'!$O$5:$O$1004,$T1123))))</f>
        <v/>
      </c>
      <c r="G1123" s="50">
        <f>IF($T1123="","",IF($S1123="S",IF(INDEX(Firms!$F$5:$F$1004,$T1123)="","",INDEX(Firms!$F$5:$F$1004,$T1123)),IF(INDEX('AFA Rates'!$E$5:$E$1004,$T1123)="","",INDEX('AFA Rates'!$E$5:$E$1004,$T1123))))</f>
        <v/>
      </c>
      <c r="H1123" s="50">
        <f>IF($T1123="","",IF($S1123="S",IF(INDEX(Firms!$G$5:$G$1004,$T1123)="","",INDEX(Firms!$G$5:$G$1004,$T1123)),IF(INDEX('AFA Rates'!$F$5:$F$1004,$T1123)="","",INDEX('AFA Rates'!$F$5:$F$1004,$T1123))))</f>
        <v/>
      </c>
      <c r="I1123" s="50">
        <f>IF($T1123="","",IF($S1123="S",IF(INDEX(Firms!$H$5:$H$1004,$T1123)="","",INDEX(Firms!$H$5:$H$1004,$T1123)),IF(INDEX('AFA Rates'!$G$5:$G$1004,$T1123)="","",INDEX('AFA Rates'!$G$5:$G$1004,$T1123))))</f>
        <v/>
      </c>
      <c r="J1123" s="50">
        <f>IF($T1123="","",IF($S1123="S",IF(INDEX(Firms!$I$5:$I$1004,$T1123)="","",INDEX(Firms!$I$5:$I$1004,$T1123)),IF(INDEX('AFA Rates'!$H$5:$H$1004,$T1123)="","",INDEX('AFA Rates'!$H$5:$H$1004,$T1123))))</f>
        <v/>
      </c>
      <c r="K1123" s="50">
        <f>IF($T1123="","",IF($S1123="S",IF(INDEX(Firms!$J$5:$J$1004,$T1123)="","",INDEX(Firms!$J$5:$J$1004,$T1123)),IF(INDEX('AFA Rates'!$I$5:$I$1004,$T1123)="","",INDEX('AFA Rates'!$I$5:$I$1004,$T1123))))</f>
        <v/>
      </c>
      <c r="L1123" s="50">
        <f>IF($T1123="","",IF($S1123="S",IF(INDEX(Firms!$K$5:$K$1004,$T1123)="","",INDEX(Firms!$K$5:$K$1004,$T1123)),IF(INDEX('AFA Rates'!$J$5:$J$1004,$T1123)="","",INDEX('AFA Rates'!$J$5:$J$1004,$T1123))))</f>
        <v/>
      </c>
      <c r="M1123" s="50">
        <f>IF($T1123="","",IF($S1123="S",IF(INDEX(Firms!$L$5:$L$1004,$T1123)="","",INDEX(Firms!$L$5:$L$1004,$T1123)),IF(INDEX('AFA Rates'!$K$5:$K$1004,$T1123)="","",INDEX('AFA Rates'!$K$5:$K$1004,$T1123))))</f>
        <v/>
      </c>
      <c r="N1123" s="50">
        <f>IF($T1123="","",IF($S1123="S",IF(INDEX(Firms!$M$5:$M$1004,$T1123)="","",INDEX(Firms!$M$5:$M$1004,$T1123)),IF(INDEX('AFA Rates'!$L$5:$L$1004,$T1123)="","",INDEX('AFA Rates'!$L$5:$L$1004,$T1123))))</f>
        <v/>
      </c>
      <c r="O1123" s="78">
        <f>IF(OR($T1123="",$U1123=""),"",IF(INDEX(Firms!$C$5:$C$1004,$U1123)="","",INDEX(Firms!$C$5:$C$1004,$U1123)))</f>
        <v/>
      </c>
      <c r="P1123" s="79">
        <f>IF(OR($T1123="",$U1123=""),"",IF(INDEX(Firms!$N$5:$N$1004,$U1123)="","",INDEX(Firms!$N$5:$N$1004,$U1123)))</f>
        <v/>
      </c>
      <c r="Q1123" s="78">
        <f>IF($T1123="","",IF($S1123="S",IF(INDEX(Firms!$T$5:$T$1004,$T1123)="","",INDEX(Firms!$T$5:$T$1004,$T1123)),IF(INDEX('AFA Rates'!$M$5:$M$1004,$T1123)="","",INDEX('AFA Rates'!$M$5:$M$1004,$T1123))))</f>
        <v/>
      </c>
      <c r="S1123">
        <f>IF(1119&lt;=$S$2,"S",IF(1119&lt;=$S$2+$T$2,"A",""))</f>
        <v/>
      </c>
      <c r="T1123">
        <f>IF(S1123="S",MATCH(1119,Firms!$W$5:$W$1004,0),IF(S1123="A",IFERROR(MATCH(1119-$S$2,'AFA Rates'!$R$5:$R$1004,0),""),""))</f>
        <v/>
      </c>
      <c r="U1123">
        <f>IF(S1123="S",T1123,IF(AND(S1123="A",T1123&lt;&gt;""),IFERROR(MATCH(INDEX('AFA Rates'!$A$5:$A$1004,T1123),Firms!$A$5:$A$1004,0),""),""))</f>
        <v/>
      </c>
    </row>
    <row r="1124">
      <c r="A1124" s="78">
        <f>IF($T1124="","",IF($S1124="S",IF(INDEX(Firms!$A$5:$A$1004,$T1124)="","",INDEX(Firms!$A$5:$A$1004,$T1124)),IF(INDEX('AFA Rates'!$A$5:$A$1004,$T1124)="","",INDEX('AFA Rates'!$A$5:$A$1004,$T1124))))</f>
        <v/>
      </c>
      <c r="B1124" s="79">
        <f>IF(OR($T1124="",$U1124=""),IF($T1124="","","Not on Firms tab"),INDEX(Firms!$B$5:$B$1004,$U1124)&amp;"")</f>
        <v/>
      </c>
      <c r="C1124" s="78">
        <f>IF($T1124="","",IF($S1124="S","Standard",INDEX('AFA Rates'!$B$5:$B$1004,$T1124)&amp;""))</f>
        <v/>
      </c>
      <c r="D1124" s="88">
        <f>IF($T1124="","",IF($S1124="S",IF(INDEX(Firms!$E$5:$E$1004,$T1124)="","",INDEX(Firms!$E$5:$E$1004,$T1124)),IF(INDEX('AFA Rates'!$C$5:$C$1004,$T1124)="","",INDEX('AFA Rates'!$C$5:$C$1004,$T1124))))</f>
        <v/>
      </c>
      <c r="E1124" s="88">
        <f>IF($T1124="","",IF($S1124="S",IF(""="","",""),IF(INDEX('AFA Rates'!$D$5:$D$1004,$T1124)="","",INDEX('AFA Rates'!$D$5:$D$1004,$T1124))))</f>
        <v/>
      </c>
      <c r="F1124" s="79">
        <f>IF($T1124="","",IF($S1124="S",IF(INDEX(Firms!$O$5:$O$1004,$T1124)="","",INDEX(Firms!$O$5:$O$1004,$T1124)),IF(INDEX('AFA Rates'!$O$5:$O$1004,$T1124)="","",INDEX('AFA Rates'!$O$5:$O$1004,$T1124))))</f>
        <v/>
      </c>
      <c r="G1124" s="50">
        <f>IF($T1124="","",IF($S1124="S",IF(INDEX(Firms!$F$5:$F$1004,$T1124)="","",INDEX(Firms!$F$5:$F$1004,$T1124)),IF(INDEX('AFA Rates'!$E$5:$E$1004,$T1124)="","",INDEX('AFA Rates'!$E$5:$E$1004,$T1124))))</f>
        <v/>
      </c>
      <c r="H1124" s="50">
        <f>IF($T1124="","",IF($S1124="S",IF(INDEX(Firms!$G$5:$G$1004,$T1124)="","",INDEX(Firms!$G$5:$G$1004,$T1124)),IF(INDEX('AFA Rates'!$F$5:$F$1004,$T1124)="","",INDEX('AFA Rates'!$F$5:$F$1004,$T1124))))</f>
        <v/>
      </c>
      <c r="I1124" s="50">
        <f>IF($T1124="","",IF($S1124="S",IF(INDEX(Firms!$H$5:$H$1004,$T1124)="","",INDEX(Firms!$H$5:$H$1004,$T1124)),IF(INDEX('AFA Rates'!$G$5:$G$1004,$T1124)="","",INDEX('AFA Rates'!$G$5:$G$1004,$T1124))))</f>
        <v/>
      </c>
      <c r="J1124" s="50">
        <f>IF($T1124="","",IF($S1124="S",IF(INDEX(Firms!$I$5:$I$1004,$T1124)="","",INDEX(Firms!$I$5:$I$1004,$T1124)),IF(INDEX('AFA Rates'!$H$5:$H$1004,$T1124)="","",INDEX('AFA Rates'!$H$5:$H$1004,$T1124))))</f>
        <v/>
      </c>
      <c r="K1124" s="50">
        <f>IF($T1124="","",IF($S1124="S",IF(INDEX(Firms!$J$5:$J$1004,$T1124)="","",INDEX(Firms!$J$5:$J$1004,$T1124)),IF(INDEX('AFA Rates'!$I$5:$I$1004,$T1124)="","",INDEX('AFA Rates'!$I$5:$I$1004,$T1124))))</f>
        <v/>
      </c>
      <c r="L1124" s="50">
        <f>IF($T1124="","",IF($S1124="S",IF(INDEX(Firms!$K$5:$K$1004,$T1124)="","",INDEX(Firms!$K$5:$K$1004,$T1124)),IF(INDEX('AFA Rates'!$J$5:$J$1004,$T1124)="","",INDEX('AFA Rates'!$J$5:$J$1004,$T1124))))</f>
        <v/>
      </c>
      <c r="M1124" s="50">
        <f>IF($T1124="","",IF($S1124="S",IF(INDEX(Firms!$L$5:$L$1004,$T1124)="","",INDEX(Firms!$L$5:$L$1004,$T1124)),IF(INDEX('AFA Rates'!$K$5:$K$1004,$T1124)="","",INDEX('AFA Rates'!$K$5:$K$1004,$T1124))))</f>
        <v/>
      </c>
      <c r="N1124" s="50">
        <f>IF($T1124="","",IF($S1124="S",IF(INDEX(Firms!$M$5:$M$1004,$T1124)="","",INDEX(Firms!$M$5:$M$1004,$T1124)),IF(INDEX('AFA Rates'!$L$5:$L$1004,$T1124)="","",INDEX('AFA Rates'!$L$5:$L$1004,$T1124))))</f>
        <v/>
      </c>
      <c r="O1124" s="78">
        <f>IF(OR($T1124="",$U1124=""),"",IF(INDEX(Firms!$C$5:$C$1004,$U1124)="","",INDEX(Firms!$C$5:$C$1004,$U1124)))</f>
        <v/>
      </c>
      <c r="P1124" s="79">
        <f>IF(OR($T1124="",$U1124=""),"",IF(INDEX(Firms!$N$5:$N$1004,$U1124)="","",INDEX(Firms!$N$5:$N$1004,$U1124)))</f>
        <v/>
      </c>
      <c r="Q1124" s="78">
        <f>IF($T1124="","",IF($S1124="S",IF(INDEX(Firms!$T$5:$T$1004,$T1124)="","",INDEX(Firms!$T$5:$T$1004,$T1124)),IF(INDEX('AFA Rates'!$M$5:$M$1004,$T1124)="","",INDEX('AFA Rates'!$M$5:$M$1004,$T1124))))</f>
        <v/>
      </c>
      <c r="S1124">
        <f>IF(1120&lt;=$S$2,"S",IF(1120&lt;=$S$2+$T$2,"A",""))</f>
        <v/>
      </c>
      <c r="T1124">
        <f>IF(S1124="S",MATCH(1120,Firms!$W$5:$W$1004,0),IF(S1124="A",IFERROR(MATCH(1120-$S$2,'AFA Rates'!$R$5:$R$1004,0),""),""))</f>
        <v/>
      </c>
      <c r="U1124">
        <f>IF(S1124="S",T1124,IF(AND(S1124="A",T1124&lt;&gt;""),IFERROR(MATCH(INDEX('AFA Rates'!$A$5:$A$1004,T1124),Firms!$A$5:$A$1004,0),""),""))</f>
        <v/>
      </c>
    </row>
    <row r="1125">
      <c r="A1125" s="78">
        <f>IF($T1125="","",IF($S1125="S",IF(INDEX(Firms!$A$5:$A$1004,$T1125)="","",INDEX(Firms!$A$5:$A$1004,$T1125)),IF(INDEX('AFA Rates'!$A$5:$A$1004,$T1125)="","",INDEX('AFA Rates'!$A$5:$A$1004,$T1125))))</f>
        <v/>
      </c>
      <c r="B1125" s="79">
        <f>IF(OR($T1125="",$U1125=""),IF($T1125="","","Not on Firms tab"),INDEX(Firms!$B$5:$B$1004,$U1125)&amp;"")</f>
        <v/>
      </c>
      <c r="C1125" s="78">
        <f>IF($T1125="","",IF($S1125="S","Standard",INDEX('AFA Rates'!$B$5:$B$1004,$T1125)&amp;""))</f>
        <v/>
      </c>
      <c r="D1125" s="88">
        <f>IF($T1125="","",IF($S1125="S",IF(INDEX(Firms!$E$5:$E$1004,$T1125)="","",INDEX(Firms!$E$5:$E$1004,$T1125)),IF(INDEX('AFA Rates'!$C$5:$C$1004,$T1125)="","",INDEX('AFA Rates'!$C$5:$C$1004,$T1125))))</f>
        <v/>
      </c>
      <c r="E1125" s="88">
        <f>IF($T1125="","",IF($S1125="S",IF(""="","",""),IF(INDEX('AFA Rates'!$D$5:$D$1004,$T1125)="","",INDEX('AFA Rates'!$D$5:$D$1004,$T1125))))</f>
        <v/>
      </c>
      <c r="F1125" s="79">
        <f>IF($T1125="","",IF($S1125="S",IF(INDEX(Firms!$O$5:$O$1004,$T1125)="","",INDEX(Firms!$O$5:$O$1004,$T1125)),IF(INDEX('AFA Rates'!$O$5:$O$1004,$T1125)="","",INDEX('AFA Rates'!$O$5:$O$1004,$T1125))))</f>
        <v/>
      </c>
      <c r="G1125" s="50">
        <f>IF($T1125="","",IF($S1125="S",IF(INDEX(Firms!$F$5:$F$1004,$T1125)="","",INDEX(Firms!$F$5:$F$1004,$T1125)),IF(INDEX('AFA Rates'!$E$5:$E$1004,$T1125)="","",INDEX('AFA Rates'!$E$5:$E$1004,$T1125))))</f>
        <v/>
      </c>
      <c r="H1125" s="50">
        <f>IF($T1125="","",IF($S1125="S",IF(INDEX(Firms!$G$5:$G$1004,$T1125)="","",INDEX(Firms!$G$5:$G$1004,$T1125)),IF(INDEX('AFA Rates'!$F$5:$F$1004,$T1125)="","",INDEX('AFA Rates'!$F$5:$F$1004,$T1125))))</f>
        <v/>
      </c>
      <c r="I1125" s="50">
        <f>IF($T1125="","",IF($S1125="S",IF(INDEX(Firms!$H$5:$H$1004,$T1125)="","",INDEX(Firms!$H$5:$H$1004,$T1125)),IF(INDEX('AFA Rates'!$G$5:$G$1004,$T1125)="","",INDEX('AFA Rates'!$G$5:$G$1004,$T1125))))</f>
        <v/>
      </c>
      <c r="J1125" s="50">
        <f>IF($T1125="","",IF($S1125="S",IF(INDEX(Firms!$I$5:$I$1004,$T1125)="","",INDEX(Firms!$I$5:$I$1004,$T1125)),IF(INDEX('AFA Rates'!$H$5:$H$1004,$T1125)="","",INDEX('AFA Rates'!$H$5:$H$1004,$T1125))))</f>
        <v/>
      </c>
      <c r="K1125" s="50">
        <f>IF($T1125="","",IF($S1125="S",IF(INDEX(Firms!$J$5:$J$1004,$T1125)="","",INDEX(Firms!$J$5:$J$1004,$T1125)),IF(INDEX('AFA Rates'!$I$5:$I$1004,$T1125)="","",INDEX('AFA Rates'!$I$5:$I$1004,$T1125))))</f>
        <v/>
      </c>
      <c r="L1125" s="50">
        <f>IF($T1125="","",IF($S1125="S",IF(INDEX(Firms!$K$5:$K$1004,$T1125)="","",INDEX(Firms!$K$5:$K$1004,$T1125)),IF(INDEX('AFA Rates'!$J$5:$J$1004,$T1125)="","",INDEX('AFA Rates'!$J$5:$J$1004,$T1125))))</f>
        <v/>
      </c>
      <c r="M1125" s="50">
        <f>IF($T1125="","",IF($S1125="S",IF(INDEX(Firms!$L$5:$L$1004,$T1125)="","",INDEX(Firms!$L$5:$L$1004,$T1125)),IF(INDEX('AFA Rates'!$K$5:$K$1004,$T1125)="","",INDEX('AFA Rates'!$K$5:$K$1004,$T1125))))</f>
        <v/>
      </c>
      <c r="N1125" s="50">
        <f>IF($T1125="","",IF($S1125="S",IF(INDEX(Firms!$M$5:$M$1004,$T1125)="","",INDEX(Firms!$M$5:$M$1004,$T1125)),IF(INDEX('AFA Rates'!$L$5:$L$1004,$T1125)="","",INDEX('AFA Rates'!$L$5:$L$1004,$T1125))))</f>
        <v/>
      </c>
      <c r="O1125" s="78">
        <f>IF(OR($T1125="",$U1125=""),"",IF(INDEX(Firms!$C$5:$C$1004,$U1125)="","",INDEX(Firms!$C$5:$C$1004,$U1125)))</f>
        <v/>
      </c>
      <c r="P1125" s="79">
        <f>IF(OR($T1125="",$U1125=""),"",IF(INDEX(Firms!$N$5:$N$1004,$U1125)="","",INDEX(Firms!$N$5:$N$1004,$U1125)))</f>
        <v/>
      </c>
      <c r="Q1125" s="78">
        <f>IF($T1125="","",IF($S1125="S",IF(INDEX(Firms!$T$5:$T$1004,$T1125)="","",INDEX(Firms!$T$5:$T$1004,$T1125)),IF(INDEX('AFA Rates'!$M$5:$M$1004,$T1125)="","",INDEX('AFA Rates'!$M$5:$M$1004,$T1125))))</f>
        <v/>
      </c>
      <c r="S1125">
        <f>IF(1121&lt;=$S$2,"S",IF(1121&lt;=$S$2+$T$2,"A",""))</f>
        <v/>
      </c>
      <c r="T1125">
        <f>IF(S1125="S",MATCH(1121,Firms!$W$5:$W$1004,0),IF(S1125="A",IFERROR(MATCH(1121-$S$2,'AFA Rates'!$R$5:$R$1004,0),""),""))</f>
        <v/>
      </c>
      <c r="U1125">
        <f>IF(S1125="S",T1125,IF(AND(S1125="A",T1125&lt;&gt;""),IFERROR(MATCH(INDEX('AFA Rates'!$A$5:$A$1004,T1125),Firms!$A$5:$A$1004,0),""),""))</f>
        <v/>
      </c>
    </row>
    <row r="1126">
      <c r="A1126" s="78">
        <f>IF($T1126="","",IF($S1126="S",IF(INDEX(Firms!$A$5:$A$1004,$T1126)="","",INDEX(Firms!$A$5:$A$1004,$T1126)),IF(INDEX('AFA Rates'!$A$5:$A$1004,$T1126)="","",INDEX('AFA Rates'!$A$5:$A$1004,$T1126))))</f>
        <v/>
      </c>
      <c r="B1126" s="79">
        <f>IF(OR($T1126="",$U1126=""),IF($T1126="","","Not on Firms tab"),INDEX(Firms!$B$5:$B$1004,$U1126)&amp;"")</f>
        <v/>
      </c>
      <c r="C1126" s="78">
        <f>IF($T1126="","",IF($S1126="S","Standard",INDEX('AFA Rates'!$B$5:$B$1004,$T1126)&amp;""))</f>
        <v/>
      </c>
      <c r="D1126" s="88">
        <f>IF($T1126="","",IF($S1126="S",IF(INDEX(Firms!$E$5:$E$1004,$T1126)="","",INDEX(Firms!$E$5:$E$1004,$T1126)),IF(INDEX('AFA Rates'!$C$5:$C$1004,$T1126)="","",INDEX('AFA Rates'!$C$5:$C$1004,$T1126))))</f>
        <v/>
      </c>
      <c r="E1126" s="88">
        <f>IF($T1126="","",IF($S1126="S",IF(""="","",""),IF(INDEX('AFA Rates'!$D$5:$D$1004,$T1126)="","",INDEX('AFA Rates'!$D$5:$D$1004,$T1126))))</f>
        <v/>
      </c>
      <c r="F1126" s="79">
        <f>IF($T1126="","",IF($S1126="S",IF(INDEX(Firms!$O$5:$O$1004,$T1126)="","",INDEX(Firms!$O$5:$O$1004,$T1126)),IF(INDEX('AFA Rates'!$O$5:$O$1004,$T1126)="","",INDEX('AFA Rates'!$O$5:$O$1004,$T1126))))</f>
        <v/>
      </c>
      <c r="G1126" s="50">
        <f>IF($T1126="","",IF($S1126="S",IF(INDEX(Firms!$F$5:$F$1004,$T1126)="","",INDEX(Firms!$F$5:$F$1004,$T1126)),IF(INDEX('AFA Rates'!$E$5:$E$1004,$T1126)="","",INDEX('AFA Rates'!$E$5:$E$1004,$T1126))))</f>
        <v/>
      </c>
      <c r="H1126" s="50">
        <f>IF($T1126="","",IF($S1126="S",IF(INDEX(Firms!$G$5:$G$1004,$T1126)="","",INDEX(Firms!$G$5:$G$1004,$T1126)),IF(INDEX('AFA Rates'!$F$5:$F$1004,$T1126)="","",INDEX('AFA Rates'!$F$5:$F$1004,$T1126))))</f>
        <v/>
      </c>
      <c r="I1126" s="50">
        <f>IF($T1126="","",IF($S1126="S",IF(INDEX(Firms!$H$5:$H$1004,$T1126)="","",INDEX(Firms!$H$5:$H$1004,$T1126)),IF(INDEX('AFA Rates'!$G$5:$G$1004,$T1126)="","",INDEX('AFA Rates'!$G$5:$G$1004,$T1126))))</f>
        <v/>
      </c>
      <c r="J1126" s="50">
        <f>IF($T1126="","",IF($S1126="S",IF(INDEX(Firms!$I$5:$I$1004,$T1126)="","",INDEX(Firms!$I$5:$I$1004,$T1126)),IF(INDEX('AFA Rates'!$H$5:$H$1004,$T1126)="","",INDEX('AFA Rates'!$H$5:$H$1004,$T1126))))</f>
        <v/>
      </c>
      <c r="K1126" s="50">
        <f>IF($T1126="","",IF($S1126="S",IF(INDEX(Firms!$J$5:$J$1004,$T1126)="","",INDEX(Firms!$J$5:$J$1004,$T1126)),IF(INDEX('AFA Rates'!$I$5:$I$1004,$T1126)="","",INDEX('AFA Rates'!$I$5:$I$1004,$T1126))))</f>
        <v/>
      </c>
      <c r="L1126" s="50">
        <f>IF($T1126="","",IF($S1126="S",IF(INDEX(Firms!$K$5:$K$1004,$T1126)="","",INDEX(Firms!$K$5:$K$1004,$T1126)),IF(INDEX('AFA Rates'!$J$5:$J$1004,$T1126)="","",INDEX('AFA Rates'!$J$5:$J$1004,$T1126))))</f>
        <v/>
      </c>
      <c r="M1126" s="50">
        <f>IF($T1126="","",IF($S1126="S",IF(INDEX(Firms!$L$5:$L$1004,$T1126)="","",INDEX(Firms!$L$5:$L$1004,$T1126)),IF(INDEX('AFA Rates'!$K$5:$K$1004,$T1126)="","",INDEX('AFA Rates'!$K$5:$K$1004,$T1126))))</f>
        <v/>
      </c>
      <c r="N1126" s="50">
        <f>IF($T1126="","",IF($S1126="S",IF(INDEX(Firms!$M$5:$M$1004,$T1126)="","",INDEX(Firms!$M$5:$M$1004,$T1126)),IF(INDEX('AFA Rates'!$L$5:$L$1004,$T1126)="","",INDEX('AFA Rates'!$L$5:$L$1004,$T1126))))</f>
        <v/>
      </c>
      <c r="O1126" s="78">
        <f>IF(OR($T1126="",$U1126=""),"",IF(INDEX(Firms!$C$5:$C$1004,$U1126)="","",INDEX(Firms!$C$5:$C$1004,$U1126)))</f>
        <v/>
      </c>
      <c r="P1126" s="79">
        <f>IF(OR($T1126="",$U1126=""),"",IF(INDEX(Firms!$N$5:$N$1004,$U1126)="","",INDEX(Firms!$N$5:$N$1004,$U1126)))</f>
        <v/>
      </c>
      <c r="Q1126" s="78">
        <f>IF($T1126="","",IF($S1126="S",IF(INDEX(Firms!$T$5:$T$1004,$T1126)="","",INDEX(Firms!$T$5:$T$1004,$T1126)),IF(INDEX('AFA Rates'!$M$5:$M$1004,$T1126)="","",INDEX('AFA Rates'!$M$5:$M$1004,$T1126))))</f>
        <v/>
      </c>
      <c r="S1126">
        <f>IF(1122&lt;=$S$2,"S",IF(1122&lt;=$S$2+$T$2,"A",""))</f>
        <v/>
      </c>
      <c r="T1126">
        <f>IF(S1126="S",MATCH(1122,Firms!$W$5:$W$1004,0),IF(S1126="A",IFERROR(MATCH(1122-$S$2,'AFA Rates'!$R$5:$R$1004,0),""),""))</f>
        <v/>
      </c>
      <c r="U1126">
        <f>IF(S1126="S",T1126,IF(AND(S1126="A",T1126&lt;&gt;""),IFERROR(MATCH(INDEX('AFA Rates'!$A$5:$A$1004,T1126),Firms!$A$5:$A$1004,0),""),""))</f>
        <v/>
      </c>
    </row>
    <row r="1127">
      <c r="A1127" s="78">
        <f>IF($T1127="","",IF($S1127="S",IF(INDEX(Firms!$A$5:$A$1004,$T1127)="","",INDEX(Firms!$A$5:$A$1004,$T1127)),IF(INDEX('AFA Rates'!$A$5:$A$1004,$T1127)="","",INDEX('AFA Rates'!$A$5:$A$1004,$T1127))))</f>
        <v/>
      </c>
      <c r="B1127" s="79">
        <f>IF(OR($T1127="",$U1127=""),IF($T1127="","","Not on Firms tab"),INDEX(Firms!$B$5:$B$1004,$U1127)&amp;"")</f>
        <v/>
      </c>
      <c r="C1127" s="78">
        <f>IF($T1127="","",IF($S1127="S","Standard",INDEX('AFA Rates'!$B$5:$B$1004,$T1127)&amp;""))</f>
        <v/>
      </c>
      <c r="D1127" s="88">
        <f>IF($T1127="","",IF($S1127="S",IF(INDEX(Firms!$E$5:$E$1004,$T1127)="","",INDEX(Firms!$E$5:$E$1004,$T1127)),IF(INDEX('AFA Rates'!$C$5:$C$1004,$T1127)="","",INDEX('AFA Rates'!$C$5:$C$1004,$T1127))))</f>
        <v/>
      </c>
      <c r="E1127" s="88">
        <f>IF($T1127="","",IF($S1127="S",IF(""="","",""),IF(INDEX('AFA Rates'!$D$5:$D$1004,$T1127)="","",INDEX('AFA Rates'!$D$5:$D$1004,$T1127))))</f>
        <v/>
      </c>
      <c r="F1127" s="79">
        <f>IF($T1127="","",IF($S1127="S",IF(INDEX(Firms!$O$5:$O$1004,$T1127)="","",INDEX(Firms!$O$5:$O$1004,$T1127)),IF(INDEX('AFA Rates'!$O$5:$O$1004,$T1127)="","",INDEX('AFA Rates'!$O$5:$O$1004,$T1127))))</f>
        <v/>
      </c>
      <c r="G1127" s="50">
        <f>IF($T1127="","",IF($S1127="S",IF(INDEX(Firms!$F$5:$F$1004,$T1127)="","",INDEX(Firms!$F$5:$F$1004,$T1127)),IF(INDEX('AFA Rates'!$E$5:$E$1004,$T1127)="","",INDEX('AFA Rates'!$E$5:$E$1004,$T1127))))</f>
        <v/>
      </c>
      <c r="H1127" s="50">
        <f>IF($T1127="","",IF($S1127="S",IF(INDEX(Firms!$G$5:$G$1004,$T1127)="","",INDEX(Firms!$G$5:$G$1004,$T1127)),IF(INDEX('AFA Rates'!$F$5:$F$1004,$T1127)="","",INDEX('AFA Rates'!$F$5:$F$1004,$T1127))))</f>
        <v/>
      </c>
      <c r="I1127" s="50">
        <f>IF($T1127="","",IF($S1127="S",IF(INDEX(Firms!$H$5:$H$1004,$T1127)="","",INDEX(Firms!$H$5:$H$1004,$T1127)),IF(INDEX('AFA Rates'!$G$5:$G$1004,$T1127)="","",INDEX('AFA Rates'!$G$5:$G$1004,$T1127))))</f>
        <v/>
      </c>
      <c r="J1127" s="50">
        <f>IF($T1127="","",IF($S1127="S",IF(INDEX(Firms!$I$5:$I$1004,$T1127)="","",INDEX(Firms!$I$5:$I$1004,$T1127)),IF(INDEX('AFA Rates'!$H$5:$H$1004,$T1127)="","",INDEX('AFA Rates'!$H$5:$H$1004,$T1127))))</f>
        <v/>
      </c>
      <c r="K1127" s="50">
        <f>IF($T1127="","",IF($S1127="S",IF(INDEX(Firms!$J$5:$J$1004,$T1127)="","",INDEX(Firms!$J$5:$J$1004,$T1127)),IF(INDEX('AFA Rates'!$I$5:$I$1004,$T1127)="","",INDEX('AFA Rates'!$I$5:$I$1004,$T1127))))</f>
        <v/>
      </c>
      <c r="L1127" s="50">
        <f>IF($T1127="","",IF($S1127="S",IF(INDEX(Firms!$K$5:$K$1004,$T1127)="","",INDEX(Firms!$K$5:$K$1004,$T1127)),IF(INDEX('AFA Rates'!$J$5:$J$1004,$T1127)="","",INDEX('AFA Rates'!$J$5:$J$1004,$T1127))))</f>
        <v/>
      </c>
      <c r="M1127" s="50">
        <f>IF($T1127="","",IF($S1127="S",IF(INDEX(Firms!$L$5:$L$1004,$T1127)="","",INDEX(Firms!$L$5:$L$1004,$T1127)),IF(INDEX('AFA Rates'!$K$5:$K$1004,$T1127)="","",INDEX('AFA Rates'!$K$5:$K$1004,$T1127))))</f>
        <v/>
      </c>
      <c r="N1127" s="50">
        <f>IF($T1127="","",IF($S1127="S",IF(INDEX(Firms!$M$5:$M$1004,$T1127)="","",INDEX(Firms!$M$5:$M$1004,$T1127)),IF(INDEX('AFA Rates'!$L$5:$L$1004,$T1127)="","",INDEX('AFA Rates'!$L$5:$L$1004,$T1127))))</f>
        <v/>
      </c>
      <c r="O1127" s="78">
        <f>IF(OR($T1127="",$U1127=""),"",IF(INDEX(Firms!$C$5:$C$1004,$U1127)="","",INDEX(Firms!$C$5:$C$1004,$U1127)))</f>
        <v/>
      </c>
      <c r="P1127" s="79">
        <f>IF(OR($T1127="",$U1127=""),"",IF(INDEX(Firms!$N$5:$N$1004,$U1127)="","",INDEX(Firms!$N$5:$N$1004,$U1127)))</f>
        <v/>
      </c>
      <c r="Q1127" s="78">
        <f>IF($T1127="","",IF($S1127="S",IF(INDEX(Firms!$T$5:$T$1004,$T1127)="","",INDEX(Firms!$T$5:$T$1004,$T1127)),IF(INDEX('AFA Rates'!$M$5:$M$1004,$T1127)="","",INDEX('AFA Rates'!$M$5:$M$1004,$T1127))))</f>
        <v/>
      </c>
      <c r="S1127">
        <f>IF(1123&lt;=$S$2,"S",IF(1123&lt;=$S$2+$T$2,"A",""))</f>
        <v/>
      </c>
      <c r="T1127">
        <f>IF(S1127="S",MATCH(1123,Firms!$W$5:$W$1004,0),IF(S1127="A",IFERROR(MATCH(1123-$S$2,'AFA Rates'!$R$5:$R$1004,0),""),""))</f>
        <v/>
      </c>
      <c r="U1127">
        <f>IF(S1127="S",T1127,IF(AND(S1127="A",T1127&lt;&gt;""),IFERROR(MATCH(INDEX('AFA Rates'!$A$5:$A$1004,T1127),Firms!$A$5:$A$1004,0),""),""))</f>
        <v/>
      </c>
    </row>
    <row r="1128">
      <c r="A1128" s="78">
        <f>IF($T1128="","",IF($S1128="S",IF(INDEX(Firms!$A$5:$A$1004,$T1128)="","",INDEX(Firms!$A$5:$A$1004,$T1128)),IF(INDEX('AFA Rates'!$A$5:$A$1004,$T1128)="","",INDEX('AFA Rates'!$A$5:$A$1004,$T1128))))</f>
        <v/>
      </c>
      <c r="B1128" s="79">
        <f>IF(OR($T1128="",$U1128=""),IF($T1128="","","Not on Firms tab"),INDEX(Firms!$B$5:$B$1004,$U1128)&amp;"")</f>
        <v/>
      </c>
      <c r="C1128" s="78">
        <f>IF($T1128="","",IF($S1128="S","Standard",INDEX('AFA Rates'!$B$5:$B$1004,$T1128)&amp;""))</f>
        <v/>
      </c>
      <c r="D1128" s="88">
        <f>IF($T1128="","",IF($S1128="S",IF(INDEX(Firms!$E$5:$E$1004,$T1128)="","",INDEX(Firms!$E$5:$E$1004,$T1128)),IF(INDEX('AFA Rates'!$C$5:$C$1004,$T1128)="","",INDEX('AFA Rates'!$C$5:$C$1004,$T1128))))</f>
        <v/>
      </c>
      <c r="E1128" s="88">
        <f>IF($T1128="","",IF($S1128="S",IF(""="","",""),IF(INDEX('AFA Rates'!$D$5:$D$1004,$T1128)="","",INDEX('AFA Rates'!$D$5:$D$1004,$T1128))))</f>
        <v/>
      </c>
      <c r="F1128" s="79">
        <f>IF($T1128="","",IF($S1128="S",IF(INDEX(Firms!$O$5:$O$1004,$T1128)="","",INDEX(Firms!$O$5:$O$1004,$T1128)),IF(INDEX('AFA Rates'!$O$5:$O$1004,$T1128)="","",INDEX('AFA Rates'!$O$5:$O$1004,$T1128))))</f>
        <v/>
      </c>
      <c r="G1128" s="50">
        <f>IF($T1128="","",IF($S1128="S",IF(INDEX(Firms!$F$5:$F$1004,$T1128)="","",INDEX(Firms!$F$5:$F$1004,$T1128)),IF(INDEX('AFA Rates'!$E$5:$E$1004,$T1128)="","",INDEX('AFA Rates'!$E$5:$E$1004,$T1128))))</f>
        <v/>
      </c>
      <c r="H1128" s="50">
        <f>IF($T1128="","",IF($S1128="S",IF(INDEX(Firms!$G$5:$G$1004,$T1128)="","",INDEX(Firms!$G$5:$G$1004,$T1128)),IF(INDEX('AFA Rates'!$F$5:$F$1004,$T1128)="","",INDEX('AFA Rates'!$F$5:$F$1004,$T1128))))</f>
        <v/>
      </c>
      <c r="I1128" s="50">
        <f>IF($T1128="","",IF($S1128="S",IF(INDEX(Firms!$H$5:$H$1004,$T1128)="","",INDEX(Firms!$H$5:$H$1004,$T1128)),IF(INDEX('AFA Rates'!$G$5:$G$1004,$T1128)="","",INDEX('AFA Rates'!$G$5:$G$1004,$T1128))))</f>
        <v/>
      </c>
      <c r="J1128" s="50">
        <f>IF($T1128="","",IF($S1128="S",IF(INDEX(Firms!$I$5:$I$1004,$T1128)="","",INDEX(Firms!$I$5:$I$1004,$T1128)),IF(INDEX('AFA Rates'!$H$5:$H$1004,$T1128)="","",INDEX('AFA Rates'!$H$5:$H$1004,$T1128))))</f>
        <v/>
      </c>
      <c r="K1128" s="50">
        <f>IF($T1128="","",IF($S1128="S",IF(INDEX(Firms!$J$5:$J$1004,$T1128)="","",INDEX(Firms!$J$5:$J$1004,$T1128)),IF(INDEX('AFA Rates'!$I$5:$I$1004,$T1128)="","",INDEX('AFA Rates'!$I$5:$I$1004,$T1128))))</f>
        <v/>
      </c>
      <c r="L1128" s="50">
        <f>IF($T1128="","",IF($S1128="S",IF(INDEX(Firms!$K$5:$K$1004,$T1128)="","",INDEX(Firms!$K$5:$K$1004,$T1128)),IF(INDEX('AFA Rates'!$J$5:$J$1004,$T1128)="","",INDEX('AFA Rates'!$J$5:$J$1004,$T1128))))</f>
        <v/>
      </c>
      <c r="M1128" s="50">
        <f>IF($T1128="","",IF($S1128="S",IF(INDEX(Firms!$L$5:$L$1004,$T1128)="","",INDEX(Firms!$L$5:$L$1004,$T1128)),IF(INDEX('AFA Rates'!$K$5:$K$1004,$T1128)="","",INDEX('AFA Rates'!$K$5:$K$1004,$T1128))))</f>
        <v/>
      </c>
      <c r="N1128" s="50">
        <f>IF($T1128="","",IF($S1128="S",IF(INDEX(Firms!$M$5:$M$1004,$T1128)="","",INDEX(Firms!$M$5:$M$1004,$T1128)),IF(INDEX('AFA Rates'!$L$5:$L$1004,$T1128)="","",INDEX('AFA Rates'!$L$5:$L$1004,$T1128))))</f>
        <v/>
      </c>
      <c r="O1128" s="78">
        <f>IF(OR($T1128="",$U1128=""),"",IF(INDEX(Firms!$C$5:$C$1004,$U1128)="","",INDEX(Firms!$C$5:$C$1004,$U1128)))</f>
        <v/>
      </c>
      <c r="P1128" s="79">
        <f>IF(OR($T1128="",$U1128=""),"",IF(INDEX(Firms!$N$5:$N$1004,$U1128)="","",INDEX(Firms!$N$5:$N$1004,$U1128)))</f>
        <v/>
      </c>
      <c r="Q1128" s="78">
        <f>IF($T1128="","",IF($S1128="S",IF(INDEX(Firms!$T$5:$T$1004,$T1128)="","",INDEX(Firms!$T$5:$T$1004,$T1128)),IF(INDEX('AFA Rates'!$M$5:$M$1004,$T1128)="","",INDEX('AFA Rates'!$M$5:$M$1004,$T1128))))</f>
        <v/>
      </c>
      <c r="S1128">
        <f>IF(1124&lt;=$S$2,"S",IF(1124&lt;=$S$2+$T$2,"A",""))</f>
        <v/>
      </c>
      <c r="T1128">
        <f>IF(S1128="S",MATCH(1124,Firms!$W$5:$W$1004,0),IF(S1128="A",IFERROR(MATCH(1124-$S$2,'AFA Rates'!$R$5:$R$1004,0),""),""))</f>
        <v/>
      </c>
      <c r="U1128">
        <f>IF(S1128="S",T1128,IF(AND(S1128="A",T1128&lt;&gt;""),IFERROR(MATCH(INDEX('AFA Rates'!$A$5:$A$1004,T1128),Firms!$A$5:$A$1004,0),""),""))</f>
        <v/>
      </c>
    </row>
    <row r="1129">
      <c r="A1129" s="78">
        <f>IF($T1129="","",IF($S1129="S",IF(INDEX(Firms!$A$5:$A$1004,$T1129)="","",INDEX(Firms!$A$5:$A$1004,$T1129)),IF(INDEX('AFA Rates'!$A$5:$A$1004,$T1129)="","",INDEX('AFA Rates'!$A$5:$A$1004,$T1129))))</f>
        <v/>
      </c>
      <c r="B1129" s="79">
        <f>IF(OR($T1129="",$U1129=""),IF($T1129="","","Not on Firms tab"),INDEX(Firms!$B$5:$B$1004,$U1129)&amp;"")</f>
        <v/>
      </c>
      <c r="C1129" s="78">
        <f>IF($T1129="","",IF($S1129="S","Standard",INDEX('AFA Rates'!$B$5:$B$1004,$T1129)&amp;""))</f>
        <v/>
      </c>
      <c r="D1129" s="88">
        <f>IF($T1129="","",IF($S1129="S",IF(INDEX(Firms!$E$5:$E$1004,$T1129)="","",INDEX(Firms!$E$5:$E$1004,$T1129)),IF(INDEX('AFA Rates'!$C$5:$C$1004,$T1129)="","",INDEX('AFA Rates'!$C$5:$C$1004,$T1129))))</f>
        <v/>
      </c>
      <c r="E1129" s="88">
        <f>IF($T1129="","",IF($S1129="S",IF(""="","",""),IF(INDEX('AFA Rates'!$D$5:$D$1004,$T1129)="","",INDEX('AFA Rates'!$D$5:$D$1004,$T1129))))</f>
        <v/>
      </c>
      <c r="F1129" s="79">
        <f>IF($T1129="","",IF($S1129="S",IF(INDEX(Firms!$O$5:$O$1004,$T1129)="","",INDEX(Firms!$O$5:$O$1004,$T1129)),IF(INDEX('AFA Rates'!$O$5:$O$1004,$T1129)="","",INDEX('AFA Rates'!$O$5:$O$1004,$T1129))))</f>
        <v/>
      </c>
      <c r="G1129" s="50">
        <f>IF($T1129="","",IF($S1129="S",IF(INDEX(Firms!$F$5:$F$1004,$T1129)="","",INDEX(Firms!$F$5:$F$1004,$T1129)),IF(INDEX('AFA Rates'!$E$5:$E$1004,$T1129)="","",INDEX('AFA Rates'!$E$5:$E$1004,$T1129))))</f>
        <v/>
      </c>
      <c r="H1129" s="50">
        <f>IF($T1129="","",IF($S1129="S",IF(INDEX(Firms!$G$5:$G$1004,$T1129)="","",INDEX(Firms!$G$5:$G$1004,$T1129)),IF(INDEX('AFA Rates'!$F$5:$F$1004,$T1129)="","",INDEX('AFA Rates'!$F$5:$F$1004,$T1129))))</f>
        <v/>
      </c>
      <c r="I1129" s="50">
        <f>IF($T1129="","",IF($S1129="S",IF(INDEX(Firms!$H$5:$H$1004,$T1129)="","",INDEX(Firms!$H$5:$H$1004,$T1129)),IF(INDEX('AFA Rates'!$G$5:$G$1004,$T1129)="","",INDEX('AFA Rates'!$G$5:$G$1004,$T1129))))</f>
        <v/>
      </c>
      <c r="J1129" s="50">
        <f>IF($T1129="","",IF($S1129="S",IF(INDEX(Firms!$I$5:$I$1004,$T1129)="","",INDEX(Firms!$I$5:$I$1004,$T1129)),IF(INDEX('AFA Rates'!$H$5:$H$1004,$T1129)="","",INDEX('AFA Rates'!$H$5:$H$1004,$T1129))))</f>
        <v/>
      </c>
      <c r="K1129" s="50">
        <f>IF($T1129="","",IF($S1129="S",IF(INDEX(Firms!$J$5:$J$1004,$T1129)="","",INDEX(Firms!$J$5:$J$1004,$T1129)),IF(INDEX('AFA Rates'!$I$5:$I$1004,$T1129)="","",INDEX('AFA Rates'!$I$5:$I$1004,$T1129))))</f>
        <v/>
      </c>
      <c r="L1129" s="50">
        <f>IF($T1129="","",IF($S1129="S",IF(INDEX(Firms!$K$5:$K$1004,$T1129)="","",INDEX(Firms!$K$5:$K$1004,$T1129)),IF(INDEX('AFA Rates'!$J$5:$J$1004,$T1129)="","",INDEX('AFA Rates'!$J$5:$J$1004,$T1129))))</f>
        <v/>
      </c>
      <c r="M1129" s="50">
        <f>IF($T1129="","",IF($S1129="S",IF(INDEX(Firms!$L$5:$L$1004,$T1129)="","",INDEX(Firms!$L$5:$L$1004,$T1129)),IF(INDEX('AFA Rates'!$K$5:$K$1004,$T1129)="","",INDEX('AFA Rates'!$K$5:$K$1004,$T1129))))</f>
        <v/>
      </c>
      <c r="N1129" s="50">
        <f>IF($T1129="","",IF($S1129="S",IF(INDEX(Firms!$M$5:$M$1004,$T1129)="","",INDEX(Firms!$M$5:$M$1004,$T1129)),IF(INDEX('AFA Rates'!$L$5:$L$1004,$T1129)="","",INDEX('AFA Rates'!$L$5:$L$1004,$T1129))))</f>
        <v/>
      </c>
      <c r="O1129" s="78">
        <f>IF(OR($T1129="",$U1129=""),"",IF(INDEX(Firms!$C$5:$C$1004,$U1129)="","",INDEX(Firms!$C$5:$C$1004,$U1129)))</f>
        <v/>
      </c>
      <c r="P1129" s="79">
        <f>IF(OR($T1129="",$U1129=""),"",IF(INDEX(Firms!$N$5:$N$1004,$U1129)="","",INDEX(Firms!$N$5:$N$1004,$U1129)))</f>
        <v/>
      </c>
      <c r="Q1129" s="78">
        <f>IF($T1129="","",IF($S1129="S",IF(INDEX(Firms!$T$5:$T$1004,$T1129)="","",INDEX(Firms!$T$5:$T$1004,$T1129)),IF(INDEX('AFA Rates'!$M$5:$M$1004,$T1129)="","",INDEX('AFA Rates'!$M$5:$M$1004,$T1129))))</f>
        <v/>
      </c>
      <c r="S1129">
        <f>IF(1125&lt;=$S$2,"S",IF(1125&lt;=$S$2+$T$2,"A",""))</f>
        <v/>
      </c>
      <c r="T1129">
        <f>IF(S1129="S",MATCH(1125,Firms!$W$5:$W$1004,0),IF(S1129="A",IFERROR(MATCH(1125-$S$2,'AFA Rates'!$R$5:$R$1004,0),""),""))</f>
        <v/>
      </c>
      <c r="U1129">
        <f>IF(S1129="S",T1129,IF(AND(S1129="A",T1129&lt;&gt;""),IFERROR(MATCH(INDEX('AFA Rates'!$A$5:$A$1004,T1129),Firms!$A$5:$A$1004,0),""),""))</f>
        <v/>
      </c>
    </row>
    <row r="1130">
      <c r="A1130" s="78">
        <f>IF($T1130="","",IF($S1130="S",IF(INDEX(Firms!$A$5:$A$1004,$T1130)="","",INDEX(Firms!$A$5:$A$1004,$T1130)),IF(INDEX('AFA Rates'!$A$5:$A$1004,$T1130)="","",INDEX('AFA Rates'!$A$5:$A$1004,$T1130))))</f>
        <v/>
      </c>
      <c r="B1130" s="79">
        <f>IF(OR($T1130="",$U1130=""),IF($T1130="","","Not on Firms tab"),INDEX(Firms!$B$5:$B$1004,$U1130)&amp;"")</f>
        <v/>
      </c>
      <c r="C1130" s="78">
        <f>IF($T1130="","",IF($S1130="S","Standard",INDEX('AFA Rates'!$B$5:$B$1004,$T1130)&amp;""))</f>
        <v/>
      </c>
      <c r="D1130" s="88">
        <f>IF($T1130="","",IF($S1130="S",IF(INDEX(Firms!$E$5:$E$1004,$T1130)="","",INDEX(Firms!$E$5:$E$1004,$T1130)),IF(INDEX('AFA Rates'!$C$5:$C$1004,$T1130)="","",INDEX('AFA Rates'!$C$5:$C$1004,$T1130))))</f>
        <v/>
      </c>
      <c r="E1130" s="88">
        <f>IF($T1130="","",IF($S1130="S",IF(""="","",""),IF(INDEX('AFA Rates'!$D$5:$D$1004,$T1130)="","",INDEX('AFA Rates'!$D$5:$D$1004,$T1130))))</f>
        <v/>
      </c>
      <c r="F1130" s="79">
        <f>IF($T1130="","",IF($S1130="S",IF(INDEX(Firms!$O$5:$O$1004,$T1130)="","",INDEX(Firms!$O$5:$O$1004,$T1130)),IF(INDEX('AFA Rates'!$O$5:$O$1004,$T1130)="","",INDEX('AFA Rates'!$O$5:$O$1004,$T1130))))</f>
        <v/>
      </c>
      <c r="G1130" s="50">
        <f>IF($T1130="","",IF($S1130="S",IF(INDEX(Firms!$F$5:$F$1004,$T1130)="","",INDEX(Firms!$F$5:$F$1004,$T1130)),IF(INDEX('AFA Rates'!$E$5:$E$1004,$T1130)="","",INDEX('AFA Rates'!$E$5:$E$1004,$T1130))))</f>
        <v/>
      </c>
      <c r="H1130" s="50">
        <f>IF($T1130="","",IF($S1130="S",IF(INDEX(Firms!$G$5:$G$1004,$T1130)="","",INDEX(Firms!$G$5:$G$1004,$T1130)),IF(INDEX('AFA Rates'!$F$5:$F$1004,$T1130)="","",INDEX('AFA Rates'!$F$5:$F$1004,$T1130))))</f>
        <v/>
      </c>
      <c r="I1130" s="50">
        <f>IF($T1130="","",IF($S1130="S",IF(INDEX(Firms!$H$5:$H$1004,$T1130)="","",INDEX(Firms!$H$5:$H$1004,$T1130)),IF(INDEX('AFA Rates'!$G$5:$G$1004,$T1130)="","",INDEX('AFA Rates'!$G$5:$G$1004,$T1130))))</f>
        <v/>
      </c>
      <c r="J1130" s="50">
        <f>IF($T1130="","",IF($S1130="S",IF(INDEX(Firms!$I$5:$I$1004,$T1130)="","",INDEX(Firms!$I$5:$I$1004,$T1130)),IF(INDEX('AFA Rates'!$H$5:$H$1004,$T1130)="","",INDEX('AFA Rates'!$H$5:$H$1004,$T1130))))</f>
        <v/>
      </c>
      <c r="K1130" s="50">
        <f>IF($T1130="","",IF($S1130="S",IF(INDEX(Firms!$J$5:$J$1004,$T1130)="","",INDEX(Firms!$J$5:$J$1004,$T1130)),IF(INDEX('AFA Rates'!$I$5:$I$1004,$T1130)="","",INDEX('AFA Rates'!$I$5:$I$1004,$T1130))))</f>
        <v/>
      </c>
      <c r="L1130" s="50">
        <f>IF($T1130="","",IF($S1130="S",IF(INDEX(Firms!$K$5:$K$1004,$T1130)="","",INDEX(Firms!$K$5:$K$1004,$T1130)),IF(INDEX('AFA Rates'!$J$5:$J$1004,$T1130)="","",INDEX('AFA Rates'!$J$5:$J$1004,$T1130))))</f>
        <v/>
      </c>
      <c r="M1130" s="50">
        <f>IF($T1130="","",IF($S1130="S",IF(INDEX(Firms!$L$5:$L$1004,$T1130)="","",INDEX(Firms!$L$5:$L$1004,$T1130)),IF(INDEX('AFA Rates'!$K$5:$K$1004,$T1130)="","",INDEX('AFA Rates'!$K$5:$K$1004,$T1130))))</f>
        <v/>
      </c>
      <c r="N1130" s="50">
        <f>IF($T1130="","",IF($S1130="S",IF(INDEX(Firms!$M$5:$M$1004,$T1130)="","",INDEX(Firms!$M$5:$M$1004,$T1130)),IF(INDEX('AFA Rates'!$L$5:$L$1004,$T1130)="","",INDEX('AFA Rates'!$L$5:$L$1004,$T1130))))</f>
        <v/>
      </c>
      <c r="O1130" s="78">
        <f>IF(OR($T1130="",$U1130=""),"",IF(INDEX(Firms!$C$5:$C$1004,$U1130)="","",INDEX(Firms!$C$5:$C$1004,$U1130)))</f>
        <v/>
      </c>
      <c r="P1130" s="79">
        <f>IF(OR($T1130="",$U1130=""),"",IF(INDEX(Firms!$N$5:$N$1004,$U1130)="","",INDEX(Firms!$N$5:$N$1004,$U1130)))</f>
        <v/>
      </c>
      <c r="Q1130" s="78">
        <f>IF($T1130="","",IF($S1130="S",IF(INDEX(Firms!$T$5:$T$1004,$T1130)="","",INDEX(Firms!$T$5:$T$1004,$T1130)),IF(INDEX('AFA Rates'!$M$5:$M$1004,$T1130)="","",INDEX('AFA Rates'!$M$5:$M$1004,$T1130))))</f>
        <v/>
      </c>
      <c r="S1130">
        <f>IF(1126&lt;=$S$2,"S",IF(1126&lt;=$S$2+$T$2,"A",""))</f>
        <v/>
      </c>
      <c r="T1130">
        <f>IF(S1130="S",MATCH(1126,Firms!$W$5:$W$1004,0),IF(S1130="A",IFERROR(MATCH(1126-$S$2,'AFA Rates'!$R$5:$R$1004,0),""),""))</f>
        <v/>
      </c>
      <c r="U1130">
        <f>IF(S1130="S",T1130,IF(AND(S1130="A",T1130&lt;&gt;""),IFERROR(MATCH(INDEX('AFA Rates'!$A$5:$A$1004,T1130),Firms!$A$5:$A$1004,0),""),""))</f>
        <v/>
      </c>
    </row>
    <row r="1131">
      <c r="A1131" s="78">
        <f>IF($T1131="","",IF($S1131="S",IF(INDEX(Firms!$A$5:$A$1004,$T1131)="","",INDEX(Firms!$A$5:$A$1004,$T1131)),IF(INDEX('AFA Rates'!$A$5:$A$1004,$T1131)="","",INDEX('AFA Rates'!$A$5:$A$1004,$T1131))))</f>
        <v/>
      </c>
      <c r="B1131" s="79">
        <f>IF(OR($T1131="",$U1131=""),IF($T1131="","","Not on Firms tab"),INDEX(Firms!$B$5:$B$1004,$U1131)&amp;"")</f>
        <v/>
      </c>
      <c r="C1131" s="78">
        <f>IF($T1131="","",IF($S1131="S","Standard",INDEX('AFA Rates'!$B$5:$B$1004,$T1131)&amp;""))</f>
        <v/>
      </c>
      <c r="D1131" s="88">
        <f>IF($T1131="","",IF($S1131="S",IF(INDEX(Firms!$E$5:$E$1004,$T1131)="","",INDEX(Firms!$E$5:$E$1004,$T1131)),IF(INDEX('AFA Rates'!$C$5:$C$1004,$T1131)="","",INDEX('AFA Rates'!$C$5:$C$1004,$T1131))))</f>
        <v/>
      </c>
      <c r="E1131" s="88">
        <f>IF($T1131="","",IF($S1131="S",IF(""="","",""),IF(INDEX('AFA Rates'!$D$5:$D$1004,$T1131)="","",INDEX('AFA Rates'!$D$5:$D$1004,$T1131))))</f>
        <v/>
      </c>
      <c r="F1131" s="79">
        <f>IF($T1131="","",IF($S1131="S",IF(INDEX(Firms!$O$5:$O$1004,$T1131)="","",INDEX(Firms!$O$5:$O$1004,$T1131)),IF(INDEX('AFA Rates'!$O$5:$O$1004,$T1131)="","",INDEX('AFA Rates'!$O$5:$O$1004,$T1131))))</f>
        <v/>
      </c>
      <c r="G1131" s="50">
        <f>IF($T1131="","",IF($S1131="S",IF(INDEX(Firms!$F$5:$F$1004,$T1131)="","",INDEX(Firms!$F$5:$F$1004,$T1131)),IF(INDEX('AFA Rates'!$E$5:$E$1004,$T1131)="","",INDEX('AFA Rates'!$E$5:$E$1004,$T1131))))</f>
        <v/>
      </c>
      <c r="H1131" s="50">
        <f>IF($T1131="","",IF($S1131="S",IF(INDEX(Firms!$G$5:$G$1004,$T1131)="","",INDEX(Firms!$G$5:$G$1004,$T1131)),IF(INDEX('AFA Rates'!$F$5:$F$1004,$T1131)="","",INDEX('AFA Rates'!$F$5:$F$1004,$T1131))))</f>
        <v/>
      </c>
      <c r="I1131" s="50">
        <f>IF($T1131="","",IF($S1131="S",IF(INDEX(Firms!$H$5:$H$1004,$T1131)="","",INDEX(Firms!$H$5:$H$1004,$T1131)),IF(INDEX('AFA Rates'!$G$5:$G$1004,$T1131)="","",INDEX('AFA Rates'!$G$5:$G$1004,$T1131))))</f>
        <v/>
      </c>
      <c r="J1131" s="50">
        <f>IF($T1131="","",IF($S1131="S",IF(INDEX(Firms!$I$5:$I$1004,$T1131)="","",INDEX(Firms!$I$5:$I$1004,$T1131)),IF(INDEX('AFA Rates'!$H$5:$H$1004,$T1131)="","",INDEX('AFA Rates'!$H$5:$H$1004,$T1131))))</f>
        <v/>
      </c>
      <c r="K1131" s="50">
        <f>IF($T1131="","",IF($S1131="S",IF(INDEX(Firms!$J$5:$J$1004,$T1131)="","",INDEX(Firms!$J$5:$J$1004,$T1131)),IF(INDEX('AFA Rates'!$I$5:$I$1004,$T1131)="","",INDEX('AFA Rates'!$I$5:$I$1004,$T1131))))</f>
        <v/>
      </c>
      <c r="L1131" s="50">
        <f>IF($T1131="","",IF($S1131="S",IF(INDEX(Firms!$K$5:$K$1004,$T1131)="","",INDEX(Firms!$K$5:$K$1004,$T1131)),IF(INDEX('AFA Rates'!$J$5:$J$1004,$T1131)="","",INDEX('AFA Rates'!$J$5:$J$1004,$T1131))))</f>
        <v/>
      </c>
      <c r="M1131" s="50">
        <f>IF($T1131="","",IF($S1131="S",IF(INDEX(Firms!$L$5:$L$1004,$T1131)="","",INDEX(Firms!$L$5:$L$1004,$T1131)),IF(INDEX('AFA Rates'!$K$5:$K$1004,$T1131)="","",INDEX('AFA Rates'!$K$5:$K$1004,$T1131))))</f>
        <v/>
      </c>
      <c r="N1131" s="50">
        <f>IF($T1131="","",IF($S1131="S",IF(INDEX(Firms!$M$5:$M$1004,$T1131)="","",INDEX(Firms!$M$5:$M$1004,$T1131)),IF(INDEX('AFA Rates'!$L$5:$L$1004,$T1131)="","",INDEX('AFA Rates'!$L$5:$L$1004,$T1131))))</f>
        <v/>
      </c>
      <c r="O1131" s="78">
        <f>IF(OR($T1131="",$U1131=""),"",IF(INDEX(Firms!$C$5:$C$1004,$U1131)="","",INDEX(Firms!$C$5:$C$1004,$U1131)))</f>
        <v/>
      </c>
      <c r="P1131" s="79">
        <f>IF(OR($T1131="",$U1131=""),"",IF(INDEX(Firms!$N$5:$N$1004,$U1131)="","",INDEX(Firms!$N$5:$N$1004,$U1131)))</f>
        <v/>
      </c>
      <c r="Q1131" s="78">
        <f>IF($T1131="","",IF($S1131="S",IF(INDEX(Firms!$T$5:$T$1004,$T1131)="","",INDEX(Firms!$T$5:$T$1004,$T1131)),IF(INDEX('AFA Rates'!$M$5:$M$1004,$T1131)="","",INDEX('AFA Rates'!$M$5:$M$1004,$T1131))))</f>
        <v/>
      </c>
      <c r="S1131">
        <f>IF(1127&lt;=$S$2,"S",IF(1127&lt;=$S$2+$T$2,"A",""))</f>
        <v/>
      </c>
      <c r="T1131">
        <f>IF(S1131="S",MATCH(1127,Firms!$W$5:$W$1004,0),IF(S1131="A",IFERROR(MATCH(1127-$S$2,'AFA Rates'!$R$5:$R$1004,0),""),""))</f>
        <v/>
      </c>
      <c r="U1131">
        <f>IF(S1131="S",T1131,IF(AND(S1131="A",T1131&lt;&gt;""),IFERROR(MATCH(INDEX('AFA Rates'!$A$5:$A$1004,T1131),Firms!$A$5:$A$1004,0),""),""))</f>
        <v/>
      </c>
    </row>
    <row r="1132">
      <c r="A1132" s="78">
        <f>IF($T1132="","",IF($S1132="S",IF(INDEX(Firms!$A$5:$A$1004,$T1132)="","",INDEX(Firms!$A$5:$A$1004,$T1132)),IF(INDEX('AFA Rates'!$A$5:$A$1004,$T1132)="","",INDEX('AFA Rates'!$A$5:$A$1004,$T1132))))</f>
        <v/>
      </c>
      <c r="B1132" s="79">
        <f>IF(OR($T1132="",$U1132=""),IF($T1132="","","Not on Firms tab"),INDEX(Firms!$B$5:$B$1004,$U1132)&amp;"")</f>
        <v/>
      </c>
      <c r="C1132" s="78">
        <f>IF($T1132="","",IF($S1132="S","Standard",INDEX('AFA Rates'!$B$5:$B$1004,$T1132)&amp;""))</f>
        <v/>
      </c>
      <c r="D1132" s="88">
        <f>IF($T1132="","",IF($S1132="S",IF(INDEX(Firms!$E$5:$E$1004,$T1132)="","",INDEX(Firms!$E$5:$E$1004,$T1132)),IF(INDEX('AFA Rates'!$C$5:$C$1004,$T1132)="","",INDEX('AFA Rates'!$C$5:$C$1004,$T1132))))</f>
        <v/>
      </c>
      <c r="E1132" s="88">
        <f>IF($T1132="","",IF($S1132="S",IF(""="","",""),IF(INDEX('AFA Rates'!$D$5:$D$1004,$T1132)="","",INDEX('AFA Rates'!$D$5:$D$1004,$T1132))))</f>
        <v/>
      </c>
      <c r="F1132" s="79">
        <f>IF($T1132="","",IF($S1132="S",IF(INDEX(Firms!$O$5:$O$1004,$T1132)="","",INDEX(Firms!$O$5:$O$1004,$T1132)),IF(INDEX('AFA Rates'!$O$5:$O$1004,$T1132)="","",INDEX('AFA Rates'!$O$5:$O$1004,$T1132))))</f>
        <v/>
      </c>
      <c r="G1132" s="50">
        <f>IF($T1132="","",IF($S1132="S",IF(INDEX(Firms!$F$5:$F$1004,$T1132)="","",INDEX(Firms!$F$5:$F$1004,$T1132)),IF(INDEX('AFA Rates'!$E$5:$E$1004,$T1132)="","",INDEX('AFA Rates'!$E$5:$E$1004,$T1132))))</f>
        <v/>
      </c>
      <c r="H1132" s="50">
        <f>IF($T1132="","",IF($S1132="S",IF(INDEX(Firms!$G$5:$G$1004,$T1132)="","",INDEX(Firms!$G$5:$G$1004,$T1132)),IF(INDEX('AFA Rates'!$F$5:$F$1004,$T1132)="","",INDEX('AFA Rates'!$F$5:$F$1004,$T1132))))</f>
        <v/>
      </c>
      <c r="I1132" s="50">
        <f>IF($T1132="","",IF($S1132="S",IF(INDEX(Firms!$H$5:$H$1004,$T1132)="","",INDEX(Firms!$H$5:$H$1004,$T1132)),IF(INDEX('AFA Rates'!$G$5:$G$1004,$T1132)="","",INDEX('AFA Rates'!$G$5:$G$1004,$T1132))))</f>
        <v/>
      </c>
      <c r="J1132" s="50">
        <f>IF($T1132="","",IF($S1132="S",IF(INDEX(Firms!$I$5:$I$1004,$T1132)="","",INDEX(Firms!$I$5:$I$1004,$T1132)),IF(INDEX('AFA Rates'!$H$5:$H$1004,$T1132)="","",INDEX('AFA Rates'!$H$5:$H$1004,$T1132))))</f>
        <v/>
      </c>
      <c r="K1132" s="50">
        <f>IF($T1132="","",IF($S1132="S",IF(INDEX(Firms!$J$5:$J$1004,$T1132)="","",INDEX(Firms!$J$5:$J$1004,$T1132)),IF(INDEX('AFA Rates'!$I$5:$I$1004,$T1132)="","",INDEX('AFA Rates'!$I$5:$I$1004,$T1132))))</f>
        <v/>
      </c>
      <c r="L1132" s="50">
        <f>IF($T1132="","",IF($S1132="S",IF(INDEX(Firms!$K$5:$K$1004,$T1132)="","",INDEX(Firms!$K$5:$K$1004,$T1132)),IF(INDEX('AFA Rates'!$J$5:$J$1004,$T1132)="","",INDEX('AFA Rates'!$J$5:$J$1004,$T1132))))</f>
        <v/>
      </c>
      <c r="M1132" s="50">
        <f>IF($T1132="","",IF($S1132="S",IF(INDEX(Firms!$L$5:$L$1004,$T1132)="","",INDEX(Firms!$L$5:$L$1004,$T1132)),IF(INDEX('AFA Rates'!$K$5:$K$1004,$T1132)="","",INDEX('AFA Rates'!$K$5:$K$1004,$T1132))))</f>
        <v/>
      </c>
      <c r="N1132" s="50">
        <f>IF($T1132="","",IF($S1132="S",IF(INDEX(Firms!$M$5:$M$1004,$T1132)="","",INDEX(Firms!$M$5:$M$1004,$T1132)),IF(INDEX('AFA Rates'!$L$5:$L$1004,$T1132)="","",INDEX('AFA Rates'!$L$5:$L$1004,$T1132))))</f>
        <v/>
      </c>
      <c r="O1132" s="78">
        <f>IF(OR($T1132="",$U1132=""),"",IF(INDEX(Firms!$C$5:$C$1004,$U1132)="","",INDEX(Firms!$C$5:$C$1004,$U1132)))</f>
        <v/>
      </c>
      <c r="P1132" s="79">
        <f>IF(OR($T1132="",$U1132=""),"",IF(INDEX(Firms!$N$5:$N$1004,$U1132)="","",INDEX(Firms!$N$5:$N$1004,$U1132)))</f>
        <v/>
      </c>
      <c r="Q1132" s="78">
        <f>IF($T1132="","",IF($S1132="S",IF(INDEX(Firms!$T$5:$T$1004,$T1132)="","",INDEX(Firms!$T$5:$T$1004,$T1132)),IF(INDEX('AFA Rates'!$M$5:$M$1004,$T1132)="","",INDEX('AFA Rates'!$M$5:$M$1004,$T1132))))</f>
        <v/>
      </c>
      <c r="S1132">
        <f>IF(1128&lt;=$S$2,"S",IF(1128&lt;=$S$2+$T$2,"A",""))</f>
        <v/>
      </c>
      <c r="T1132">
        <f>IF(S1132="S",MATCH(1128,Firms!$W$5:$W$1004,0),IF(S1132="A",IFERROR(MATCH(1128-$S$2,'AFA Rates'!$R$5:$R$1004,0),""),""))</f>
        <v/>
      </c>
      <c r="U1132">
        <f>IF(S1132="S",T1132,IF(AND(S1132="A",T1132&lt;&gt;""),IFERROR(MATCH(INDEX('AFA Rates'!$A$5:$A$1004,T1132),Firms!$A$5:$A$1004,0),""),""))</f>
        <v/>
      </c>
    </row>
    <row r="1133">
      <c r="A1133" s="78">
        <f>IF($T1133="","",IF($S1133="S",IF(INDEX(Firms!$A$5:$A$1004,$T1133)="","",INDEX(Firms!$A$5:$A$1004,$T1133)),IF(INDEX('AFA Rates'!$A$5:$A$1004,$T1133)="","",INDEX('AFA Rates'!$A$5:$A$1004,$T1133))))</f>
        <v/>
      </c>
      <c r="B1133" s="79">
        <f>IF(OR($T1133="",$U1133=""),IF($T1133="","","Not on Firms tab"),INDEX(Firms!$B$5:$B$1004,$U1133)&amp;"")</f>
        <v/>
      </c>
      <c r="C1133" s="78">
        <f>IF($T1133="","",IF($S1133="S","Standard",INDEX('AFA Rates'!$B$5:$B$1004,$T1133)&amp;""))</f>
        <v/>
      </c>
      <c r="D1133" s="88">
        <f>IF($T1133="","",IF($S1133="S",IF(INDEX(Firms!$E$5:$E$1004,$T1133)="","",INDEX(Firms!$E$5:$E$1004,$T1133)),IF(INDEX('AFA Rates'!$C$5:$C$1004,$T1133)="","",INDEX('AFA Rates'!$C$5:$C$1004,$T1133))))</f>
        <v/>
      </c>
      <c r="E1133" s="88">
        <f>IF($T1133="","",IF($S1133="S",IF(""="","",""),IF(INDEX('AFA Rates'!$D$5:$D$1004,$T1133)="","",INDEX('AFA Rates'!$D$5:$D$1004,$T1133))))</f>
        <v/>
      </c>
      <c r="F1133" s="79">
        <f>IF($T1133="","",IF($S1133="S",IF(INDEX(Firms!$O$5:$O$1004,$T1133)="","",INDEX(Firms!$O$5:$O$1004,$T1133)),IF(INDEX('AFA Rates'!$O$5:$O$1004,$T1133)="","",INDEX('AFA Rates'!$O$5:$O$1004,$T1133))))</f>
        <v/>
      </c>
      <c r="G1133" s="50">
        <f>IF($T1133="","",IF($S1133="S",IF(INDEX(Firms!$F$5:$F$1004,$T1133)="","",INDEX(Firms!$F$5:$F$1004,$T1133)),IF(INDEX('AFA Rates'!$E$5:$E$1004,$T1133)="","",INDEX('AFA Rates'!$E$5:$E$1004,$T1133))))</f>
        <v/>
      </c>
      <c r="H1133" s="50">
        <f>IF($T1133="","",IF($S1133="S",IF(INDEX(Firms!$G$5:$G$1004,$T1133)="","",INDEX(Firms!$G$5:$G$1004,$T1133)),IF(INDEX('AFA Rates'!$F$5:$F$1004,$T1133)="","",INDEX('AFA Rates'!$F$5:$F$1004,$T1133))))</f>
        <v/>
      </c>
      <c r="I1133" s="50">
        <f>IF($T1133="","",IF($S1133="S",IF(INDEX(Firms!$H$5:$H$1004,$T1133)="","",INDEX(Firms!$H$5:$H$1004,$T1133)),IF(INDEX('AFA Rates'!$G$5:$G$1004,$T1133)="","",INDEX('AFA Rates'!$G$5:$G$1004,$T1133))))</f>
        <v/>
      </c>
      <c r="J1133" s="50">
        <f>IF($T1133="","",IF($S1133="S",IF(INDEX(Firms!$I$5:$I$1004,$T1133)="","",INDEX(Firms!$I$5:$I$1004,$T1133)),IF(INDEX('AFA Rates'!$H$5:$H$1004,$T1133)="","",INDEX('AFA Rates'!$H$5:$H$1004,$T1133))))</f>
        <v/>
      </c>
      <c r="K1133" s="50">
        <f>IF($T1133="","",IF($S1133="S",IF(INDEX(Firms!$J$5:$J$1004,$T1133)="","",INDEX(Firms!$J$5:$J$1004,$T1133)),IF(INDEX('AFA Rates'!$I$5:$I$1004,$T1133)="","",INDEX('AFA Rates'!$I$5:$I$1004,$T1133))))</f>
        <v/>
      </c>
      <c r="L1133" s="50">
        <f>IF($T1133="","",IF($S1133="S",IF(INDEX(Firms!$K$5:$K$1004,$T1133)="","",INDEX(Firms!$K$5:$K$1004,$T1133)),IF(INDEX('AFA Rates'!$J$5:$J$1004,$T1133)="","",INDEX('AFA Rates'!$J$5:$J$1004,$T1133))))</f>
        <v/>
      </c>
      <c r="M1133" s="50">
        <f>IF($T1133="","",IF($S1133="S",IF(INDEX(Firms!$L$5:$L$1004,$T1133)="","",INDEX(Firms!$L$5:$L$1004,$T1133)),IF(INDEX('AFA Rates'!$K$5:$K$1004,$T1133)="","",INDEX('AFA Rates'!$K$5:$K$1004,$T1133))))</f>
        <v/>
      </c>
      <c r="N1133" s="50">
        <f>IF($T1133="","",IF($S1133="S",IF(INDEX(Firms!$M$5:$M$1004,$T1133)="","",INDEX(Firms!$M$5:$M$1004,$T1133)),IF(INDEX('AFA Rates'!$L$5:$L$1004,$T1133)="","",INDEX('AFA Rates'!$L$5:$L$1004,$T1133))))</f>
        <v/>
      </c>
      <c r="O1133" s="78">
        <f>IF(OR($T1133="",$U1133=""),"",IF(INDEX(Firms!$C$5:$C$1004,$U1133)="","",INDEX(Firms!$C$5:$C$1004,$U1133)))</f>
        <v/>
      </c>
      <c r="P1133" s="79">
        <f>IF(OR($T1133="",$U1133=""),"",IF(INDEX(Firms!$N$5:$N$1004,$U1133)="","",INDEX(Firms!$N$5:$N$1004,$U1133)))</f>
        <v/>
      </c>
      <c r="Q1133" s="78">
        <f>IF($T1133="","",IF($S1133="S",IF(INDEX(Firms!$T$5:$T$1004,$T1133)="","",INDEX(Firms!$T$5:$T$1004,$T1133)),IF(INDEX('AFA Rates'!$M$5:$M$1004,$T1133)="","",INDEX('AFA Rates'!$M$5:$M$1004,$T1133))))</f>
        <v/>
      </c>
      <c r="S1133">
        <f>IF(1129&lt;=$S$2,"S",IF(1129&lt;=$S$2+$T$2,"A",""))</f>
        <v/>
      </c>
      <c r="T1133">
        <f>IF(S1133="S",MATCH(1129,Firms!$W$5:$W$1004,0),IF(S1133="A",IFERROR(MATCH(1129-$S$2,'AFA Rates'!$R$5:$R$1004,0),""),""))</f>
        <v/>
      </c>
      <c r="U1133">
        <f>IF(S1133="S",T1133,IF(AND(S1133="A",T1133&lt;&gt;""),IFERROR(MATCH(INDEX('AFA Rates'!$A$5:$A$1004,T1133),Firms!$A$5:$A$1004,0),""),""))</f>
        <v/>
      </c>
    </row>
    <row r="1134">
      <c r="A1134" s="78">
        <f>IF($T1134="","",IF($S1134="S",IF(INDEX(Firms!$A$5:$A$1004,$T1134)="","",INDEX(Firms!$A$5:$A$1004,$T1134)),IF(INDEX('AFA Rates'!$A$5:$A$1004,$T1134)="","",INDEX('AFA Rates'!$A$5:$A$1004,$T1134))))</f>
        <v/>
      </c>
      <c r="B1134" s="79">
        <f>IF(OR($T1134="",$U1134=""),IF($T1134="","","Not on Firms tab"),INDEX(Firms!$B$5:$B$1004,$U1134)&amp;"")</f>
        <v/>
      </c>
      <c r="C1134" s="78">
        <f>IF($T1134="","",IF($S1134="S","Standard",INDEX('AFA Rates'!$B$5:$B$1004,$T1134)&amp;""))</f>
        <v/>
      </c>
      <c r="D1134" s="88">
        <f>IF($T1134="","",IF($S1134="S",IF(INDEX(Firms!$E$5:$E$1004,$T1134)="","",INDEX(Firms!$E$5:$E$1004,$T1134)),IF(INDEX('AFA Rates'!$C$5:$C$1004,$T1134)="","",INDEX('AFA Rates'!$C$5:$C$1004,$T1134))))</f>
        <v/>
      </c>
      <c r="E1134" s="88">
        <f>IF($T1134="","",IF($S1134="S",IF(""="","",""),IF(INDEX('AFA Rates'!$D$5:$D$1004,$T1134)="","",INDEX('AFA Rates'!$D$5:$D$1004,$T1134))))</f>
        <v/>
      </c>
      <c r="F1134" s="79">
        <f>IF($T1134="","",IF($S1134="S",IF(INDEX(Firms!$O$5:$O$1004,$T1134)="","",INDEX(Firms!$O$5:$O$1004,$T1134)),IF(INDEX('AFA Rates'!$O$5:$O$1004,$T1134)="","",INDEX('AFA Rates'!$O$5:$O$1004,$T1134))))</f>
        <v/>
      </c>
      <c r="G1134" s="50">
        <f>IF($T1134="","",IF($S1134="S",IF(INDEX(Firms!$F$5:$F$1004,$T1134)="","",INDEX(Firms!$F$5:$F$1004,$T1134)),IF(INDEX('AFA Rates'!$E$5:$E$1004,$T1134)="","",INDEX('AFA Rates'!$E$5:$E$1004,$T1134))))</f>
        <v/>
      </c>
      <c r="H1134" s="50">
        <f>IF($T1134="","",IF($S1134="S",IF(INDEX(Firms!$G$5:$G$1004,$T1134)="","",INDEX(Firms!$G$5:$G$1004,$T1134)),IF(INDEX('AFA Rates'!$F$5:$F$1004,$T1134)="","",INDEX('AFA Rates'!$F$5:$F$1004,$T1134))))</f>
        <v/>
      </c>
      <c r="I1134" s="50">
        <f>IF($T1134="","",IF($S1134="S",IF(INDEX(Firms!$H$5:$H$1004,$T1134)="","",INDEX(Firms!$H$5:$H$1004,$T1134)),IF(INDEX('AFA Rates'!$G$5:$G$1004,$T1134)="","",INDEX('AFA Rates'!$G$5:$G$1004,$T1134))))</f>
        <v/>
      </c>
      <c r="J1134" s="50">
        <f>IF($T1134="","",IF($S1134="S",IF(INDEX(Firms!$I$5:$I$1004,$T1134)="","",INDEX(Firms!$I$5:$I$1004,$T1134)),IF(INDEX('AFA Rates'!$H$5:$H$1004,$T1134)="","",INDEX('AFA Rates'!$H$5:$H$1004,$T1134))))</f>
        <v/>
      </c>
      <c r="K1134" s="50">
        <f>IF($T1134="","",IF($S1134="S",IF(INDEX(Firms!$J$5:$J$1004,$T1134)="","",INDEX(Firms!$J$5:$J$1004,$T1134)),IF(INDEX('AFA Rates'!$I$5:$I$1004,$T1134)="","",INDEX('AFA Rates'!$I$5:$I$1004,$T1134))))</f>
        <v/>
      </c>
      <c r="L1134" s="50">
        <f>IF($T1134="","",IF($S1134="S",IF(INDEX(Firms!$K$5:$K$1004,$T1134)="","",INDEX(Firms!$K$5:$K$1004,$T1134)),IF(INDEX('AFA Rates'!$J$5:$J$1004,$T1134)="","",INDEX('AFA Rates'!$J$5:$J$1004,$T1134))))</f>
        <v/>
      </c>
      <c r="M1134" s="50">
        <f>IF($T1134="","",IF($S1134="S",IF(INDEX(Firms!$L$5:$L$1004,$T1134)="","",INDEX(Firms!$L$5:$L$1004,$T1134)),IF(INDEX('AFA Rates'!$K$5:$K$1004,$T1134)="","",INDEX('AFA Rates'!$K$5:$K$1004,$T1134))))</f>
        <v/>
      </c>
      <c r="N1134" s="50">
        <f>IF($T1134="","",IF($S1134="S",IF(INDEX(Firms!$M$5:$M$1004,$T1134)="","",INDEX(Firms!$M$5:$M$1004,$T1134)),IF(INDEX('AFA Rates'!$L$5:$L$1004,$T1134)="","",INDEX('AFA Rates'!$L$5:$L$1004,$T1134))))</f>
        <v/>
      </c>
      <c r="O1134" s="78">
        <f>IF(OR($T1134="",$U1134=""),"",IF(INDEX(Firms!$C$5:$C$1004,$U1134)="","",INDEX(Firms!$C$5:$C$1004,$U1134)))</f>
        <v/>
      </c>
      <c r="P1134" s="79">
        <f>IF(OR($T1134="",$U1134=""),"",IF(INDEX(Firms!$N$5:$N$1004,$U1134)="","",INDEX(Firms!$N$5:$N$1004,$U1134)))</f>
        <v/>
      </c>
      <c r="Q1134" s="78">
        <f>IF($T1134="","",IF($S1134="S",IF(INDEX(Firms!$T$5:$T$1004,$T1134)="","",INDEX(Firms!$T$5:$T$1004,$T1134)),IF(INDEX('AFA Rates'!$M$5:$M$1004,$T1134)="","",INDEX('AFA Rates'!$M$5:$M$1004,$T1134))))</f>
        <v/>
      </c>
      <c r="S1134">
        <f>IF(1130&lt;=$S$2,"S",IF(1130&lt;=$S$2+$T$2,"A",""))</f>
        <v/>
      </c>
      <c r="T1134">
        <f>IF(S1134="S",MATCH(1130,Firms!$W$5:$W$1004,0),IF(S1134="A",IFERROR(MATCH(1130-$S$2,'AFA Rates'!$R$5:$R$1004,0),""),""))</f>
        <v/>
      </c>
      <c r="U1134">
        <f>IF(S1134="S",T1134,IF(AND(S1134="A",T1134&lt;&gt;""),IFERROR(MATCH(INDEX('AFA Rates'!$A$5:$A$1004,T1134),Firms!$A$5:$A$1004,0),""),""))</f>
        <v/>
      </c>
    </row>
    <row r="1135">
      <c r="A1135" s="78">
        <f>IF($T1135="","",IF($S1135="S",IF(INDEX(Firms!$A$5:$A$1004,$T1135)="","",INDEX(Firms!$A$5:$A$1004,$T1135)),IF(INDEX('AFA Rates'!$A$5:$A$1004,$T1135)="","",INDEX('AFA Rates'!$A$5:$A$1004,$T1135))))</f>
        <v/>
      </c>
      <c r="B1135" s="79">
        <f>IF(OR($T1135="",$U1135=""),IF($T1135="","","Not on Firms tab"),INDEX(Firms!$B$5:$B$1004,$U1135)&amp;"")</f>
        <v/>
      </c>
      <c r="C1135" s="78">
        <f>IF($T1135="","",IF($S1135="S","Standard",INDEX('AFA Rates'!$B$5:$B$1004,$T1135)&amp;""))</f>
        <v/>
      </c>
      <c r="D1135" s="88">
        <f>IF($T1135="","",IF($S1135="S",IF(INDEX(Firms!$E$5:$E$1004,$T1135)="","",INDEX(Firms!$E$5:$E$1004,$T1135)),IF(INDEX('AFA Rates'!$C$5:$C$1004,$T1135)="","",INDEX('AFA Rates'!$C$5:$C$1004,$T1135))))</f>
        <v/>
      </c>
      <c r="E1135" s="88">
        <f>IF($T1135="","",IF($S1135="S",IF(""="","",""),IF(INDEX('AFA Rates'!$D$5:$D$1004,$T1135)="","",INDEX('AFA Rates'!$D$5:$D$1004,$T1135))))</f>
        <v/>
      </c>
      <c r="F1135" s="79">
        <f>IF($T1135="","",IF($S1135="S",IF(INDEX(Firms!$O$5:$O$1004,$T1135)="","",INDEX(Firms!$O$5:$O$1004,$T1135)),IF(INDEX('AFA Rates'!$O$5:$O$1004,$T1135)="","",INDEX('AFA Rates'!$O$5:$O$1004,$T1135))))</f>
        <v/>
      </c>
      <c r="G1135" s="50">
        <f>IF($T1135="","",IF($S1135="S",IF(INDEX(Firms!$F$5:$F$1004,$T1135)="","",INDEX(Firms!$F$5:$F$1004,$T1135)),IF(INDEX('AFA Rates'!$E$5:$E$1004,$T1135)="","",INDEX('AFA Rates'!$E$5:$E$1004,$T1135))))</f>
        <v/>
      </c>
      <c r="H1135" s="50">
        <f>IF($T1135="","",IF($S1135="S",IF(INDEX(Firms!$G$5:$G$1004,$T1135)="","",INDEX(Firms!$G$5:$G$1004,$T1135)),IF(INDEX('AFA Rates'!$F$5:$F$1004,$T1135)="","",INDEX('AFA Rates'!$F$5:$F$1004,$T1135))))</f>
        <v/>
      </c>
      <c r="I1135" s="50">
        <f>IF($T1135="","",IF($S1135="S",IF(INDEX(Firms!$H$5:$H$1004,$T1135)="","",INDEX(Firms!$H$5:$H$1004,$T1135)),IF(INDEX('AFA Rates'!$G$5:$G$1004,$T1135)="","",INDEX('AFA Rates'!$G$5:$G$1004,$T1135))))</f>
        <v/>
      </c>
      <c r="J1135" s="50">
        <f>IF($T1135="","",IF($S1135="S",IF(INDEX(Firms!$I$5:$I$1004,$T1135)="","",INDEX(Firms!$I$5:$I$1004,$T1135)),IF(INDEX('AFA Rates'!$H$5:$H$1004,$T1135)="","",INDEX('AFA Rates'!$H$5:$H$1004,$T1135))))</f>
        <v/>
      </c>
      <c r="K1135" s="50">
        <f>IF($T1135="","",IF($S1135="S",IF(INDEX(Firms!$J$5:$J$1004,$T1135)="","",INDEX(Firms!$J$5:$J$1004,$T1135)),IF(INDEX('AFA Rates'!$I$5:$I$1004,$T1135)="","",INDEX('AFA Rates'!$I$5:$I$1004,$T1135))))</f>
        <v/>
      </c>
      <c r="L1135" s="50">
        <f>IF($T1135="","",IF($S1135="S",IF(INDEX(Firms!$K$5:$K$1004,$T1135)="","",INDEX(Firms!$K$5:$K$1004,$T1135)),IF(INDEX('AFA Rates'!$J$5:$J$1004,$T1135)="","",INDEX('AFA Rates'!$J$5:$J$1004,$T1135))))</f>
        <v/>
      </c>
      <c r="M1135" s="50">
        <f>IF($T1135="","",IF($S1135="S",IF(INDEX(Firms!$L$5:$L$1004,$T1135)="","",INDEX(Firms!$L$5:$L$1004,$T1135)),IF(INDEX('AFA Rates'!$K$5:$K$1004,$T1135)="","",INDEX('AFA Rates'!$K$5:$K$1004,$T1135))))</f>
        <v/>
      </c>
      <c r="N1135" s="50">
        <f>IF($T1135="","",IF($S1135="S",IF(INDEX(Firms!$M$5:$M$1004,$T1135)="","",INDEX(Firms!$M$5:$M$1004,$T1135)),IF(INDEX('AFA Rates'!$L$5:$L$1004,$T1135)="","",INDEX('AFA Rates'!$L$5:$L$1004,$T1135))))</f>
        <v/>
      </c>
      <c r="O1135" s="78">
        <f>IF(OR($T1135="",$U1135=""),"",IF(INDEX(Firms!$C$5:$C$1004,$U1135)="","",INDEX(Firms!$C$5:$C$1004,$U1135)))</f>
        <v/>
      </c>
      <c r="P1135" s="79">
        <f>IF(OR($T1135="",$U1135=""),"",IF(INDEX(Firms!$N$5:$N$1004,$U1135)="","",INDEX(Firms!$N$5:$N$1004,$U1135)))</f>
        <v/>
      </c>
      <c r="Q1135" s="78">
        <f>IF($T1135="","",IF($S1135="S",IF(INDEX(Firms!$T$5:$T$1004,$T1135)="","",INDEX(Firms!$T$5:$T$1004,$T1135)),IF(INDEX('AFA Rates'!$M$5:$M$1004,$T1135)="","",INDEX('AFA Rates'!$M$5:$M$1004,$T1135))))</f>
        <v/>
      </c>
      <c r="S1135">
        <f>IF(1131&lt;=$S$2,"S",IF(1131&lt;=$S$2+$T$2,"A",""))</f>
        <v/>
      </c>
      <c r="T1135">
        <f>IF(S1135="S",MATCH(1131,Firms!$W$5:$W$1004,0),IF(S1135="A",IFERROR(MATCH(1131-$S$2,'AFA Rates'!$R$5:$R$1004,0),""),""))</f>
        <v/>
      </c>
      <c r="U1135">
        <f>IF(S1135="S",T1135,IF(AND(S1135="A",T1135&lt;&gt;""),IFERROR(MATCH(INDEX('AFA Rates'!$A$5:$A$1004,T1135),Firms!$A$5:$A$1004,0),""),""))</f>
        <v/>
      </c>
    </row>
    <row r="1136">
      <c r="A1136" s="78">
        <f>IF($T1136="","",IF($S1136="S",IF(INDEX(Firms!$A$5:$A$1004,$T1136)="","",INDEX(Firms!$A$5:$A$1004,$T1136)),IF(INDEX('AFA Rates'!$A$5:$A$1004,$T1136)="","",INDEX('AFA Rates'!$A$5:$A$1004,$T1136))))</f>
        <v/>
      </c>
      <c r="B1136" s="79">
        <f>IF(OR($T1136="",$U1136=""),IF($T1136="","","Not on Firms tab"),INDEX(Firms!$B$5:$B$1004,$U1136)&amp;"")</f>
        <v/>
      </c>
      <c r="C1136" s="78">
        <f>IF($T1136="","",IF($S1136="S","Standard",INDEX('AFA Rates'!$B$5:$B$1004,$T1136)&amp;""))</f>
        <v/>
      </c>
      <c r="D1136" s="88">
        <f>IF($T1136="","",IF($S1136="S",IF(INDEX(Firms!$E$5:$E$1004,$T1136)="","",INDEX(Firms!$E$5:$E$1004,$T1136)),IF(INDEX('AFA Rates'!$C$5:$C$1004,$T1136)="","",INDEX('AFA Rates'!$C$5:$C$1004,$T1136))))</f>
        <v/>
      </c>
      <c r="E1136" s="88">
        <f>IF($T1136="","",IF($S1136="S",IF(""="","",""),IF(INDEX('AFA Rates'!$D$5:$D$1004,$T1136)="","",INDEX('AFA Rates'!$D$5:$D$1004,$T1136))))</f>
        <v/>
      </c>
      <c r="F1136" s="79">
        <f>IF($T1136="","",IF($S1136="S",IF(INDEX(Firms!$O$5:$O$1004,$T1136)="","",INDEX(Firms!$O$5:$O$1004,$T1136)),IF(INDEX('AFA Rates'!$O$5:$O$1004,$T1136)="","",INDEX('AFA Rates'!$O$5:$O$1004,$T1136))))</f>
        <v/>
      </c>
      <c r="G1136" s="50">
        <f>IF($T1136="","",IF($S1136="S",IF(INDEX(Firms!$F$5:$F$1004,$T1136)="","",INDEX(Firms!$F$5:$F$1004,$T1136)),IF(INDEX('AFA Rates'!$E$5:$E$1004,$T1136)="","",INDEX('AFA Rates'!$E$5:$E$1004,$T1136))))</f>
        <v/>
      </c>
      <c r="H1136" s="50">
        <f>IF($T1136="","",IF($S1136="S",IF(INDEX(Firms!$G$5:$G$1004,$T1136)="","",INDEX(Firms!$G$5:$G$1004,$T1136)),IF(INDEX('AFA Rates'!$F$5:$F$1004,$T1136)="","",INDEX('AFA Rates'!$F$5:$F$1004,$T1136))))</f>
        <v/>
      </c>
      <c r="I1136" s="50">
        <f>IF($T1136="","",IF($S1136="S",IF(INDEX(Firms!$H$5:$H$1004,$T1136)="","",INDEX(Firms!$H$5:$H$1004,$T1136)),IF(INDEX('AFA Rates'!$G$5:$G$1004,$T1136)="","",INDEX('AFA Rates'!$G$5:$G$1004,$T1136))))</f>
        <v/>
      </c>
      <c r="J1136" s="50">
        <f>IF($T1136="","",IF($S1136="S",IF(INDEX(Firms!$I$5:$I$1004,$T1136)="","",INDEX(Firms!$I$5:$I$1004,$T1136)),IF(INDEX('AFA Rates'!$H$5:$H$1004,$T1136)="","",INDEX('AFA Rates'!$H$5:$H$1004,$T1136))))</f>
        <v/>
      </c>
      <c r="K1136" s="50">
        <f>IF($T1136="","",IF($S1136="S",IF(INDEX(Firms!$J$5:$J$1004,$T1136)="","",INDEX(Firms!$J$5:$J$1004,$T1136)),IF(INDEX('AFA Rates'!$I$5:$I$1004,$T1136)="","",INDEX('AFA Rates'!$I$5:$I$1004,$T1136))))</f>
        <v/>
      </c>
      <c r="L1136" s="50">
        <f>IF($T1136="","",IF($S1136="S",IF(INDEX(Firms!$K$5:$K$1004,$T1136)="","",INDEX(Firms!$K$5:$K$1004,$T1136)),IF(INDEX('AFA Rates'!$J$5:$J$1004,$T1136)="","",INDEX('AFA Rates'!$J$5:$J$1004,$T1136))))</f>
        <v/>
      </c>
      <c r="M1136" s="50">
        <f>IF($T1136="","",IF($S1136="S",IF(INDEX(Firms!$L$5:$L$1004,$T1136)="","",INDEX(Firms!$L$5:$L$1004,$T1136)),IF(INDEX('AFA Rates'!$K$5:$K$1004,$T1136)="","",INDEX('AFA Rates'!$K$5:$K$1004,$T1136))))</f>
        <v/>
      </c>
      <c r="N1136" s="50">
        <f>IF($T1136="","",IF($S1136="S",IF(INDEX(Firms!$M$5:$M$1004,$T1136)="","",INDEX(Firms!$M$5:$M$1004,$T1136)),IF(INDEX('AFA Rates'!$L$5:$L$1004,$T1136)="","",INDEX('AFA Rates'!$L$5:$L$1004,$T1136))))</f>
        <v/>
      </c>
      <c r="O1136" s="78">
        <f>IF(OR($T1136="",$U1136=""),"",IF(INDEX(Firms!$C$5:$C$1004,$U1136)="","",INDEX(Firms!$C$5:$C$1004,$U1136)))</f>
        <v/>
      </c>
      <c r="P1136" s="79">
        <f>IF(OR($T1136="",$U1136=""),"",IF(INDEX(Firms!$N$5:$N$1004,$U1136)="","",INDEX(Firms!$N$5:$N$1004,$U1136)))</f>
        <v/>
      </c>
      <c r="Q1136" s="78">
        <f>IF($T1136="","",IF($S1136="S",IF(INDEX(Firms!$T$5:$T$1004,$T1136)="","",INDEX(Firms!$T$5:$T$1004,$T1136)),IF(INDEX('AFA Rates'!$M$5:$M$1004,$T1136)="","",INDEX('AFA Rates'!$M$5:$M$1004,$T1136))))</f>
        <v/>
      </c>
      <c r="S1136">
        <f>IF(1132&lt;=$S$2,"S",IF(1132&lt;=$S$2+$T$2,"A",""))</f>
        <v/>
      </c>
      <c r="T1136">
        <f>IF(S1136="S",MATCH(1132,Firms!$W$5:$W$1004,0),IF(S1136="A",IFERROR(MATCH(1132-$S$2,'AFA Rates'!$R$5:$R$1004,0),""),""))</f>
        <v/>
      </c>
      <c r="U1136">
        <f>IF(S1136="S",T1136,IF(AND(S1136="A",T1136&lt;&gt;""),IFERROR(MATCH(INDEX('AFA Rates'!$A$5:$A$1004,T1136),Firms!$A$5:$A$1004,0),""),""))</f>
        <v/>
      </c>
    </row>
    <row r="1137">
      <c r="A1137" s="78">
        <f>IF($T1137="","",IF($S1137="S",IF(INDEX(Firms!$A$5:$A$1004,$T1137)="","",INDEX(Firms!$A$5:$A$1004,$T1137)),IF(INDEX('AFA Rates'!$A$5:$A$1004,$T1137)="","",INDEX('AFA Rates'!$A$5:$A$1004,$T1137))))</f>
        <v/>
      </c>
      <c r="B1137" s="79">
        <f>IF(OR($T1137="",$U1137=""),IF($T1137="","","Not on Firms tab"),INDEX(Firms!$B$5:$B$1004,$U1137)&amp;"")</f>
        <v/>
      </c>
      <c r="C1137" s="78">
        <f>IF($T1137="","",IF($S1137="S","Standard",INDEX('AFA Rates'!$B$5:$B$1004,$T1137)&amp;""))</f>
        <v/>
      </c>
      <c r="D1137" s="88">
        <f>IF($T1137="","",IF($S1137="S",IF(INDEX(Firms!$E$5:$E$1004,$T1137)="","",INDEX(Firms!$E$5:$E$1004,$T1137)),IF(INDEX('AFA Rates'!$C$5:$C$1004,$T1137)="","",INDEX('AFA Rates'!$C$5:$C$1004,$T1137))))</f>
        <v/>
      </c>
      <c r="E1137" s="88">
        <f>IF($T1137="","",IF($S1137="S",IF(""="","",""),IF(INDEX('AFA Rates'!$D$5:$D$1004,$T1137)="","",INDEX('AFA Rates'!$D$5:$D$1004,$T1137))))</f>
        <v/>
      </c>
      <c r="F1137" s="79">
        <f>IF($T1137="","",IF($S1137="S",IF(INDEX(Firms!$O$5:$O$1004,$T1137)="","",INDEX(Firms!$O$5:$O$1004,$T1137)),IF(INDEX('AFA Rates'!$O$5:$O$1004,$T1137)="","",INDEX('AFA Rates'!$O$5:$O$1004,$T1137))))</f>
        <v/>
      </c>
      <c r="G1137" s="50">
        <f>IF($T1137="","",IF($S1137="S",IF(INDEX(Firms!$F$5:$F$1004,$T1137)="","",INDEX(Firms!$F$5:$F$1004,$T1137)),IF(INDEX('AFA Rates'!$E$5:$E$1004,$T1137)="","",INDEX('AFA Rates'!$E$5:$E$1004,$T1137))))</f>
        <v/>
      </c>
      <c r="H1137" s="50">
        <f>IF($T1137="","",IF($S1137="S",IF(INDEX(Firms!$G$5:$G$1004,$T1137)="","",INDEX(Firms!$G$5:$G$1004,$T1137)),IF(INDEX('AFA Rates'!$F$5:$F$1004,$T1137)="","",INDEX('AFA Rates'!$F$5:$F$1004,$T1137))))</f>
        <v/>
      </c>
      <c r="I1137" s="50">
        <f>IF($T1137="","",IF($S1137="S",IF(INDEX(Firms!$H$5:$H$1004,$T1137)="","",INDEX(Firms!$H$5:$H$1004,$T1137)),IF(INDEX('AFA Rates'!$G$5:$G$1004,$T1137)="","",INDEX('AFA Rates'!$G$5:$G$1004,$T1137))))</f>
        <v/>
      </c>
      <c r="J1137" s="50">
        <f>IF($T1137="","",IF($S1137="S",IF(INDEX(Firms!$I$5:$I$1004,$T1137)="","",INDEX(Firms!$I$5:$I$1004,$T1137)),IF(INDEX('AFA Rates'!$H$5:$H$1004,$T1137)="","",INDEX('AFA Rates'!$H$5:$H$1004,$T1137))))</f>
        <v/>
      </c>
      <c r="K1137" s="50">
        <f>IF($T1137="","",IF($S1137="S",IF(INDEX(Firms!$J$5:$J$1004,$T1137)="","",INDEX(Firms!$J$5:$J$1004,$T1137)),IF(INDEX('AFA Rates'!$I$5:$I$1004,$T1137)="","",INDEX('AFA Rates'!$I$5:$I$1004,$T1137))))</f>
        <v/>
      </c>
      <c r="L1137" s="50">
        <f>IF($T1137="","",IF($S1137="S",IF(INDEX(Firms!$K$5:$K$1004,$T1137)="","",INDEX(Firms!$K$5:$K$1004,$T1137)),IF(INDEX('AFA Rates'!$J$5:$J$1004,$T1137)="","",INDEX('AFA Rates'!$J$5:$J$1004,$T1137))))</f>
        <v/>
      </c>
      <c r="M1137" s="50">
        <f>IF($T1137="","",IF($S1137="S",IF(INDEX(Firms!$L$5:$L$1004,$T1137)="","",INDEX(Firms!$L$5:$L$1004,$T1137)),IF(INDEX('AFA Rates'!$K$5:$K$1004,$T1137)="","",INDEX('AFA Rates'!$K$5:$K$1004,$T1137))))</f>
        <v/>
      </c>
      <c r="N1137" s="50">
        <f>IF($T1137="","",IF($S1137="S",IF(INDEX(Firms!$M$5:$M$1004,$T1137)="","",INDEX(Firms!$M$5:$M$1004,$T1137)),IF(INDEX('AFA Rates'!$L$5:$L$1004,$T1137)="","",INDEX('AFA Rates'!$L$5:$L$1004,$T1137))))</f>
        <v/>
      </c>
      <c r="O1137" s="78">
        <f>IF(OR($T1137="",$U1137=""),"",IF(INDEX(Firms!$C$5:$C$1004,$U1137)="","",INDEX(Firms!$C$5:$C$1004,$U1137)))</f>
        <v/>
      </c>
      <c r="P1137" s="79">
        <f>IF(OR($T1137="",$U1137=""),"",IF(INDEX(Firms!$N$5:$N$1004,$U1137)="","",INDEX(Firms!$N$5:$N$1004,$U1137)))</f>
        <v/>
      </c>
      <c r="Q1137" s="78">
        <f>IF($T1137="","",IF($S1137="S",IF(INDEX(Firms!$T$5:$T$1004,$T1137)="","",INDEX(Firms!$T$5:$T$1004,$T1137)),IF(INDEX('AFA Rates'!$M$5:$M$1004,$T1137)="","",INDEX('AFA Rates'!$M$5:$M$1004,$T1137))))</f>
        <v/>
      </c>
      <c r="S1137">
        <f>IF(1133&lt;=$S$2,"S",IF(1133&lt;=$S$2+$T$2,"A",""))</f>
        <v/>
      </c>
      <c r="T1137">
        <f>IF(S1137="S",MATCH(1133,Firms!$W$5:$W$1004,0),IF(S1137="A",IFERROR(MATCH(1133-$S$2,'AFA Rates'!$R$5:$R$1004,0),""),""))</f>
        <v/>
      </c>
      <c r="U1137">
        <f>IF(S1137="S",T1137,IF(AND(S1137="A",T1137&lt;&gt;""),IFERROR(MATCH(INDEX('AFA Rates'!$A$5:$A$1004,T1137),Firms!$A$5:$A$1004,0),""),""))</f>
        <v/>
      </c>
    </row>
    <row r="1138">
      <c r="A1138" s="78">
        <f>IF($T1138="","",IF($S1138="S",IF(INDEX(Firms!$A$5:$A$1004,$T1138)="","",INDEX(Firms!$A$5:$A$1004,$T1138)),IF(INDEX('AFA Rates'!$A$5:$A$1004,$T1138)="","",INDEX('AFA Rates'!$A$5:$A$1004,$T1138))))</f>
        <v/>
      </c>
      <c r="B1138" s="79">
        <f>IF(OR($T1138="",$U1138=""),IF($T1138="","","Not on Firms tab"),INDEX(Firms!$B$5:$B$1004,$U1138)&amp;"")</f>
        <v/>
      </c>
      <c r="C1138" s="78">
        <f>IF($T1138="","",IF($S1138="S","Standard",INDEX('AFA Rates'!$B$5:$B$1004,$T1138)&amp;""))</f>
        <v/>
      </c>
      <c r="D1138" s="88">
        <f>IF($T1138="","",IF($S1138="S",IF(INDEX(Firms!$E$5:$E$1004,$T1138)="","",INDEX(Firms!$E$5:$E$1004,$T1138)),IF(INDEX('AFA Rates'!$C$5:$C$1004,$T1138)="","",INDEX('AFA Rates'!$C$5:$C$1004,$T1138))))</f>
        <v/>
      </c>
      <c r="E1138" s="88">
        <f>IF($T1138="","",IF($S1138="S",IF(""="","",""),IF(INDEX('AFA Rates'!$D$5:$D$1004,$T1138)="","",INDEX('AFA Rates'!$D$5:$D$1004,$T1138))))</f>
        <v/>
      </c>
      <c r="F1138" s="79">
        <f>IF($T1138="","",IF($S1138="S",IF(INDEX(Firms!$O$5:$O$1004,$T1138)="","",INDEX(Firms!$O$5:$O$1004,$T1138)),IF(INDEX('AFA Rates'!$O$5:$O$1004,$T1138)="","",INDEX('AFA Rates'!$O$5:$O$1004,$T1138))))</f>
        <v/>
      </c>
      <c r="G1138" s="50">
        <f>IF($T1138="","",IF($S1138="S",IF(INDEX(Firms!$F$5:$F$1004,$T1138)="","",INDEX(Firms!$F$5:$F$1004,$T1138)),IF(INDEX('AFA Rates'!$E$5:$E$1004,$T1138)="","",INDEX('AFA Rates'!$E$5:$E$1004,$T1138))))</f>
        <v/>
      </c>
      <c r="H1138" s="50">
        <f>IF($T1138="","",IF($S1138="S",IF(INDEX(Firms!$G$5:$G$1004,$T1138)="","",INDEX(Firms!$G$5:$G$1004,$T1138)),IF(INDEX('AFA Rates'!$F$5:$F$1004,$T1138)="","",INDEX('AFA Rates'!$F$5:$F$1004,$T1138))))</f>
        <v/>
      </c>
      <c r="I1138" s="50">
        <f>IF($T1138="","",IF($S1138="S",IF(INDEX(Firms!$H$5:$H$1004,$T1138)="","",INDEX(Firms!$H$5:$H$1004,$T1138)),IF(INDEX('AFA Rates'!$G$5:$G$1004,$T1138)="","",INDEX('AFA Rates'!$G$5:$G$1004,$T1138))))</f>
        <v/>
      </c>
      <c r="J1138" s="50">
        <f>IF($T1138="","",IF($S1138="S",IF(INDEX(Firms!$I$5:$I$1004,$T1138)="","",INDEX(Firms!$I$5:$I$1004,$T1138)),IF(INDEX('AFA Rates'!$H$5:$H$1004,$T1138)="","",INDEX('AFA Rates'!$H$5:$H$1004,$T1138))))</f>
        <v/>
      </c>
      <c r="K1138" s="50">
        <f>IF($T1138="","",IF($S1138="S",IF(INDEX(Firms!$J$5:$J$1004,$T1138)="","",INDEX(Firms!$J$5:$J$1004,$T1138)),IF(INDEX('AFA Rates'!$I$5:$I$1004,$T1138)="","",INDEX('AFA Rates'!$I$5:$I$1004,$T1138))))</f>
        <v/>
      </c>
      <c r="L1138" s="50">
        <f>IF($T1138="","",IF($S1138="S",IF(INDEX(Firms!$K$5:$K$1004,$T1138)="","",INDEX(Firms!$K$5:$K$1004,$T1138)),IF(INDEX('AFA Rates'!$J$5:$J$1004,$T1138)="","",INDEX('AFA Rates'!$J$5:$J$1004,$T1138))))</f>
        <v/>
      </c>
      <c r="M1138" s="50">
        <f>IF($T1138="","",IF($S1138="S",IF(INDEX(Firms!$L$5:$L$1004,$T1138)="","",INDEX(Firms!$L$5:$L$1004,$T1138)),IF(INDEX('AFA Rates'!$K$5:$K$1004,$T1138)="","",INDEX('AFA Rates'!$K$5:$K$1004,$T1138))))</f>
        <v/>
      </c>
      <c r="N1138" s="50">
        <f>IF($T1138="","",IF($S1138="S",IF(INDEX(Firms!$M$5:$M$1004,$T1138)="","",INDEX(Firms!$M$5:$M$1004,$T1138)),IF(INDEX('AFA Rates'!$L$5:$L$1004,$T1138)="","",INDEX('AFA Rates'!$L$5:$L$1004,$T1138))))</f>
        <v/>
      </c>
      <c r="O1138" s="78">
        <f>IF(OR($T1138="",$U1138=""),"",IF(INDEX(Firms!$C$5:$C$1004,$U1138)="","",INDEX(Firms!$C$5:$C$1004,$U1138)))</f>
        <v/>
      </c>
      <c r="P1138" s="79">
        <f>IF(OR($T1138="",$U1138=""),"",IF(INDEX(Firms!$N$5:$N$1004,$U1138)="","",INDEX(Firms!$N$5:$N$1004,$U1138)))</f>
        <v/>
      </c>
      <c r="Q1138" s="78">
        <f>IF($T1138="","",IF($S1138="S",IF(INDEX(Firms!$T$5:$T$1004,$T1138)="","",INDEX(Firms!$T$5:$T$1004,$T1138)),IF(INDEX('AFA Rates'!$M$5:$M$1004,$T1138)="","",INDEX('AFA Rates'!$M$5:$M$1004,$T1138))))</f>
        <v/>
      </c>
      <c r="S1138">
        <f>IF(1134&lt;=$S$2,"S",IF(1134&lt;=$S$2+$T$2,"A",""))</f>
        <v/>
      </c>
      <c r="T1138">
        <f>IF(S1138="S",MATCH(1134,Firms!$W$5:$W$1004,0),IF(S1138="A",IFERROR(MATCH(1134-$S$2,'AFA Rates'!$R$5:$R$1004,0),""),""))</f>
        <v/>
      </c>
      <c r="U1138">
        <f>IF(S1138="S",T1138,IF(AND(S1138="A",T1138&lt;&gt;""),IFERROR(MATCH(INDEX('AFA Rates'!$A$5:$A$1004,T1138),Firms!$A$5:$A$1004,0),""),""))</f>
        <v/>
      </c>
    </row>
    <row r="1139">
      <c r="A1139" s="78">
        <f>IF($T1139="","",IF($S1139="S",IF(INDEX(Firms!$A$5:$A$1004,$T1139)="","",INDEX(Firms!$A$5:$A$1004,$T1139)),IF(INDEX('AFA Rates'!$A$5:$A$1004,$T1139)="","",INDEX('AFA Rates'!$A$5:$A$1004,$T1139))))</f>
        <v/>
      </c>
      <c r="B1139" s="79">
        <f>IF(OR($T1139="",$U1139=""),IF($T1139="","","Not on Firms tab"),INDEX(Firms!$B$5:$B$1004,$U1139)&amp;"")</f>
        <v/>
      </c>
      <c r="C1139" s="78">
        <f>IF($T1139="","",IF($S1139="S","Standard",INDEX('AFA Rates'!$B$5:$B$1004,$T1139)&amp;""))</f>
        <v/>
      </c>
      <c r="D1139" s="88">
        <f>IF($T1139="","",IF($S1139="S",IF(INDEX(Firms!$E$5:$E$1004,$T1139)="","",INDEX(Firms!$E$5:$E$1004,$T1139)),IF(INDEX('AFA Rates'!$C$5:$C$1004,$T1139)="","",INDEX('AFA Rates'!$C$5:$C$1004,$T1139))))</f>
        <v/>
      </c>
      <c r="E1139" s="88">
        <f>IF($T1139="","",IF($S1139="S",IF(""="","",""),IF(INDEX('AFA Rates'!$D$5:$D$1004,$T1139)="","",INDEX('AFA Rates'!$D$5:$D$1004,$T1139))))</f>
        <v/>
      </c>
      <c r="F1139" s="79">
        <f>IF($T1139="","",IF($S1139="S",IF(INDEX(Firms!$O$5:$O$1004,$T1139)="","",INDEX(Firms!$O$5:$O$1004,$T1139)),IF(INDEX('AFA Rates'!$O$5:$O$1004,$T1139)="","",INDEX('AFA Rates'!$O$5:$O$1004,$T1139))))</f>
        <v/>
      </c>
      <c r="G1139" s="50">
        <f>IF($T1139="","",IF($S1139="S",IF(INDEX(Firms!$F$5:$F$1004,$T1139)="","",INDEX(Firms!$F$5:$F$1004,$T1139)),IF(INDEX('AFA Rates'!$E$5:$E$1004,$T1139)="","",INDEX('AFA Rates'!$E$5:$E$1004,$T1139))))</f>
        <v/>
      </c>
      <c r="H1139" s="50">
        <f>IF($T1139="","",IF($S1139="S",IF(INDEX(Firms!$G$5:$G$1004,$T1139)="","",INDEX(Firms!$G$5:$G$1004,$T1139)),IF(INDEX('AFA Rates'!$F$5:$F$1004,$T1139)="","",INDEX('AFA Rates'!$F$5:$F$1004,$T1139))))</f>
        <v/>
      </c>
      <c r="I1139" s="50">
        <f>IF($T1139="","",IF($S1139="S",IF(INDEX(Firms!$H$5:$H$1004,$T1139)="","",INDEX(Firms!$H$5:$H$1004,$T1139)),IF(INDEX('AFA Rates'!$G$5:$G$1004,$T1139)="","",INDEX('AFA Rates'!$G$5:$G$1004,$T1139))))</f>
        <v/>
      </c>
      <c r="J1139" s="50">
        <f>IF($T1139="","",IF($S1139="S",IF(INDEX(Firms!$I$5:$I$1004,$T1139)="","",INDEX(Firms!$I$5:$I$1004,$T1139)),IF(INDEX('AFA Rates'!$H$5:$H$1004,$T1139)="","",INDEX('AFA Rates'!$H$5:$H$1004,$T1139))))</f>
        <v/>
      </c>
      <c r="K1139" s="50">
        <f>IF($T1139="","",IF($S1139="S",IF(INDEX(Firms!$J$5:$J$1004,$T1139)="","",INDEX(Firms!$J$5:$J$1004,$T1139)),IF(INDEX('AFA Rates'!$I$5:$I$1004,$T1139)="","",INDEX('AFA Rates'!$I$5:$I$1004,$T1139))))</f>
        <v/>
      </c>
      <c r="L1139" s="50">
        <f>IF($T1139="","",IF($S1139="S",IF(INDEX(Firms!$K$5:$K$1004,$T1139)="","",INDEX(Firms!$K$5:$K$1004,$T1139)),IF(INDEX('AFA Rates'!$J$5:$J$1004,$T1139)="","",INDEX('AFA Rates'!$J$5:$J$1004,$T1139))))</f>
        <v/>
      </c>
      <c r="M1139" s="50">
        <f>IF($T1139="","",IF($S1139="S",IF(INDEX(Firms!$L$5:$L$1004,$T1139)="","",INDEX(Firms!$L$5:$L$1004,$T1139)),IF(INDEX('AFA Rates'!$K$5:$K$1004,$T1139)="","",INDEX('AFA Rates'!$K$5:$K$1004,$T1139))))</f>
        <v/>
      </c>
      <c r="N1139" s="50">
        <f>IF($T1139="","",IF($S1139="S",IF(INDEX(Firms!$M$5:$M$1004,$T1139)="","",INDEX(Firms!$M$5:$M$1004,$T1139)),IF(INDEX('AFA Rates'!$L$5:$L$1004,$T1139)="","",INDEX('AFA Rates'!$L$5:$L$1004,$T1139))))</f>
        <v/>
      </c>
      <c r="O1139" s="78">
        <f>IF(OR($T1139="",$U1139=""),"",IF(INDEX(Firms!$C$5:$C$1004,$U1139)="","",INDEX(Firms!$C$5:$C$1004,$U1139)))</f>
        <v/>
      </c>
      <c r="P1139" s="79">
        <f>IF(OR($T1139="",$U1139=""),"",IF(INDEX(Firms!$N$5:$N$1004,$U1139)="","",INDEX(Firms!$N$5:$N$1004,$U1139)))</f>
        <v/>
      </c>
      <c r="Q1139" s="78">
        <f>IF($T1139="","",IF($S1139="S",IF(INDEX(Firms!$T$5:$T$1004,$T1139)="","",INDEX(Firms!$T$5:$T$1004,$T1139)),IF(INDEX('AFA Rates'!$M$5:$M$1004,$T1139)="","",INDEX('AFA Rates'!$M$5:$M$1004,$T1139))))</f>
        <v/>
      </c>
      <c r="S1139">
        <f>IF(1135&lt;=$S$2,"S",IF(1135&lt;=$S$2+$T$2,"A",""))</f>
        <v/>
      </c>
      <c r="T1139">
        <f>IF(S1139="S",MATCH(1135,Firms!$W$5:$W$1004,0),IF(S1139="A",IFERROR(MATCH(1135-$S$2,'AFA Rates'!$R$5:$R$1004,0),""),""))</f>
        <v/>
      </c>
      <c r="U1139">
        <f>IF(S1139="S",T1139,IF(AND(S1139="A",T1139&lt;&gt;""),IFERROR(MATCH(INDEX('AFA Rates'!$A$5:$A$1004,T1139),Firms!$A$5:$A$1004,0),""),""))</f>
        <v/>
      </c>
    </row>
    <row r="1140">
      <c r="A1140" s="78">
        <f>IF($T1140="","",IF($S1140="S",IF(INDEX(Firms!$A$5:$A$1004,$T1140)="","",INDEX(Firms!$A$5:$A$1004,$T1140)),IF(INDEX('AFA Rates'!$A$5:$A$1004,$T1140)="","",INDEX('AFA Rates'!$A$5:$A$1004,$T1140))))</f>
        <v/>
      </c>
      <c r="B1140" s="79">
        <f>IF(OR($T1140="",$U1140=""),IF($T1140="","","Not on Firms tab"),INDEX(Firms!$B$5:$B$1004,$U1140)&amp;"")</f>
        <v/>
      </c>
      <c r="C1140" s="78">
        <f>IF($T1140="","",IF($S1140="S","Standard",INDEX('AFA Rates'!$B$5:$B$1004,$T1140)&amp;""))</f>
        <v/>
      </c>
      <c r="D1140" s="88">
        <f>IF($T1140="","",IF($S1140="S",IF(INDEX(Firms!$E$5:$E$1004,$T1140)="","",INDEX(Firms!$E$5:$E$1004,$T1140)),IF(INDEX('AFA Rates'!$C$5:$C$1004,$T1140)="","",INDEX('AFA Rates'!$C$5:$C$1004,$T1140))))</f>
        <v/>
      </c>
      <c r="E1140" s="88">
        <f>IF($T1140="","",IF($S1140="S",IF(""="","",""),IF(INDEX('AFA Rates'!$D$5:$D$1004,$T1140)="","",INDEX('AFA Rates'!$D$5:$D$1004,$T1140))))</f>
        <v/>
      </c>
      <c r="F1140" s="79">
        <f>IF($T1140="","",IF($S1140="S",IF(INDEX(Firms!$O$5:$O$1004,$T1140)="","",INDEX(Firms!$O$5:$O$1004,$T1140)),IF(INDEX('AFA Rates'!$O$5:$O$1004,$T1140)="","",INDEX('AFA Rates'!$O$5:$O$1004,$T1140))))</f>
        <v/>
      </c>
      <c r="G1140" s="50">
        <f>IF($T1140="","",IF($S1140="S",IF(INDEX(Firms!$F$5:$F$1004,$T1140)="","",INDEX(Firms!$F$5:$F$1004,$T1140)),IF(INDEX('AFA Rates'!$E$5:$E$1004,$T1140)="","",INDEX('AFA Rates'!$E$5:$E$1004,$T1140))))</f>
        <v/>
      </c>
      <c r="H1140" s="50">
        <f>IF($T1140="","",IF($S1140="S",IF(INDEX(Firms!$G$5:$G$1004,$T1140)="","",INDEX(Firms!$G$5:$G$1004,$T1140)),IF(INDEX('AFA Rates'!$F$5:$F$1004,$T1140)="","",INDEX('AFA Rates'!$F$5:$F$1004,$T1140))))</f>
        <v/>
      </c>
      <c r="I1140" s="50">
        <f>IF($T1140="","",IF($S1140="S",IF(INDEX(Firms!$H$5:$H$1004,$T1140)="","",INDEX(Firms!$H$5:$H$1004,$T1140)),IF(INDEX('AFA Rates'!$G$5:$G$1004,$T1140)="","",INDEX('AFA Rates'!$G$5:$G$1004,$T1140))))</f>
        <v/>
      </c>
      <c r="J1140" s="50">
        <f>IF($T1140="","",IF($S1140="S",IF(INDEX(Firms!$I$5:$I$1004,$T1140)="","",INDEX(Firms!$I$5:$I$1004,$T1140)),IF(INDEX('AFA Rates'!$H$5:$H$1004,$T1140)="","",INDEX('AFA Rates'!$H$5:$H$1004,$T1140))))</f>
        <v/>
      </c>
      <c r="K1140" s="50">
        <f>IF($T1140="","",IF($S1140="S",IF(INDEX(Firms!$J$5:$J$1004,$T1140)="","",INDEX(Firms!$J$5:$J$1004,$T1140)),IF(INDEX('AFA Rates'!$I$5:$I$1004,$T1140)="","",INDEX('AFA Rates'!$I$5:$I$1004,$T1140))))</f>
        <v/>
      </c>
      <c r="L1140" s="50">
        <f>IF($T1140="","",IF($S1140="S",IF(INDEX(Firms!$K$5:$K$1004,$T1140)="","",INDEX(Firms!$K$5:$K$1004,$T1140)),IF(INDEX('AFA Rates'!$J$5:$J$1004,$T1140)="","",INDEX('AFA Rates'!$J$5:$J$1004,$T1140))))</f>
        <v/>
      </c>
      <c r="M1140" s="50">
        <f>IF($T1140="","",IF($S1140="S",IF(INDEX(Firms!$L$5:$L$1004,$T1140)="","",INDEX(Firms!$L$5:$L$1004,$T1140)),IF(INDEX('AFA Rates'!$K$5:$K$1004,$T1140)="","",INDEX('AFA Rates'!$K$5:$K$1004,$T1140))))</f>
        <v/>
      </c>
      <c r="N1140" s="50">
        <f>IF($T1140="","",IF($S1140="S",IF(INDEX(Firms!$M$5:$M$1004,$T1140)="","",INDEX(Firms!$M$5:$M$1004,$T1140)),IF(INDEX('AFA Rates'!$L$5:$L$1004,$T1140)="","",INDEX('AFA Rates'!$L$5:$L$1004,$T1140))))</f>
        <v/>
      </c>
      <c r="O1140" s="78">
        <f>IF(OR($T1140="",$U1140=""),"",IF(INDEX(Firms!$C$5:$C$1004,$U1140)="","",INDEX(Firms!$C$5:$C$1004,$U1140)))</f>
        <v/>
      </c>
      <c r="P1140" s="79">
        <f>IF(OR($T1140="",$U1140=""),"",IF(INDEX(Firms!$N$5:$N$1004,$U1140)="","",INDEX(Firms!$N$5:$N$1004,$U1140)))</f>
        <v/>
      </c>
      <c r="Q1140" s="78">
        <f>IF($T1140="","",IF($S1140="S",IF(INDEX(Firms!$T$5:$T$1004,$T1140)="","",INDEX(Firms!$T$5:$T$1004,$T1140)),IF(INDEX('AFA Rates'!$M$5:$M$1004,$T1140)="","",INDEX('AFA Rates'!$M$5:$M$1004,$T1140))))</f>
        <v/>
      </c>
      <c r="S1140">
        <f>IF(1136&lt;=$S$2,"S",IF(1136&lt;=$S$2+$T$2,"A",""))</f>
        <v/>
      </c>
      <c r="T1140">
        <f>IF(S1140="S",MATCH(1136,Firms!$W$5:$W$1004,0),IF(S1140="A",IFERROR(MATCH(1136-$S$2,'AFA Rates'!$R$5:$R$1004,0),""),""))</f>
        <v/>
      </c>
      <c r="U1140">
        <f>IF(S1140="S",T1140,IF(AND(S1140="A",T1140&lt;&gt;""),IFERROR(MATCH(INDEX('AFA Rates'!$A$5:$A$1004,T1140),Firms!$A$5:$A$1004,0),""),""))</f>
        <v/>
      </c>
    </row>
    <row r="1141">
      <c r="A1141" s="78">
        <f>IF($T1141="","",IF($S1141="S",IF(INDEX(Firms!$A$5:$A$1004,$T1141)="","",INDEX(Firms!$A$5:$A$1004,$T1141)),IF(INDEX('AFA Rates'!$A$5:$A$1004,$T1141)="","",INDEX('AFA Rates'!$A$5:$A$1004,$T1141))))</f>
        <v/>
      </c>
      <c r="B1141" s="79">
        <f>IF(OR($T1141="",$U1141=""),IF($T1141="","","Not on Firms tab"),INDEX(Firms!$B$5:$B$1004,$U1141)&amp;"")</f>
        <v/>
      </c>
      <c r="C1141" s="78">
        <f>IF($T1141="","",IF($S1141="S","Standard",INDEX('AFA Rates'!$B$5:$B$1004,$T1141)&amp;""))</f>
        <v/>
      </c>
      <c r="D1141" s="88">
        <f>IF($T1141="","",IF($S1141="S",IF(INDEX(Firms!$E$5:$E$1004,$T1141)="","",INDEX(Firms!$E$5:$E$1004,$T1141)),IF(INDEX('AFA Rates'!$C$5:$C$1004,$T1141)="","",INDEX('AFA Rates'!$C$5:$C$1004,$T1141))))</f>
        <v/>
      </c>
      <c r="E1141" s="88">
        <f>IF($T1141="","",IF($S1141="S",IF(""="","",""),IF(INDEX('AFA Rates'!$D$5:$D$1004,$T1141)="","",INDEX('AFA Rates'!$D$5:$D$1004,$T1141))))</f>
        <v/>
      </c>
      <c r="F1141" s="79">
        <f>IF($T1141="","",IF($S1141="S",IF(INDEX(Firms!$O$5:$O$1004,$T1141)="","",INDEX(Firms!$O$5:$O$1004,$T1141)),IF(INDEX('AFA Rates'!$O$5:$O$1004,$T1141)="","",INDEX('AFA Rates'!$O$5:$O$1004,$T1141))))</f>
        <v/>
      </c>
      <c r="G1141" s="50">
        <f>IF($T1141="","",IF($S1141="S",IF(INDEX(Firms!$F$5:$F$1004,$T1141)="","",INDEX(Firms!$F$5:$F$1004,$T1141)),IF(INDEX('AFA Rates'!$E$5:$E$1004,$T1141)="","",INDEX('AFA Rates'!$E$5:$E$1004,$T1141))))</f>
        <v/>
      </c>
      <c r="H1141" s="50">
        <f>IF($T1141="","",IF($S1141="S",IF(INDEX(Firms!$G$5:$G$1004,$T1141)="","",INDEX(Firms!$G$5:$G$1004,$T1141)),IF(INDEX('AFA Rates'!$F$5:$F$1004,$T1141)="","",INDEX('AFA Rates'!$F$5:$F$1004,$T1141))))</f>
        <v/>
      </c>
      <c r="I1141" s="50">
        <f>IF($T1141="","",IF($S1141="S",IF(INDEX(Firms!$H$5:$H$1004,$T1141)="","",INDEX(Firms!$H$5:$H$1004,$T1141)),IF(INDEX('AFA Rates'!$G$5:$G$1004,$T1141)="","",INDEX('AFA Rates'!$G$5:$G$1004,$T1141))))</f>
        <v/>
      </c>
      <c r="J1141" s="50">
        <f>IF($T1141="","",IF($S1141="S",IF(INDEX(Firms!$I$5:$I$1004,$T1141)="","",INDEX(Firms!$I$5:$I$1004,$T1141)),IF(INDEX('AFA Rates'!$H$5:$H$1004,$T1141)="","",INDEX('AFA Rates'!$H$5:$H$1004,$T1141))))</f>
        <v/>
      </c>
      <c r="K1141" s="50">
        <f>IF($T1141="","",IF($S1141="S",IF(INDEX(Firms!$J$5:$J$1004,$T1141)="","",INDEX(Firms!$J$5:$J$1004,$T1141)),IF(INDEX('AFA Rates'!$I$5:$I$1004,$T1141)="","",INDEX('AFA Rates'!$I$5:$I$1004,$T1141))))</f>
        <v/>
      </c>
      <c r="L1141" s="50">
        <f>IF($T1141="","",IF($S1141="S",IF(INDEX(Firms!$K$5:$K$1004,$T1141)="","",INDEX(Firms!$K$5:$K$1004,$T1141)),IF(INDEX('AFA Rates'!$J$5:$J$1004,$T1141)="","",INDEX('AFA Rates'!$J$5:$J$1004,$T1141))))</f>
        <v/>
      </c>
      <c r="M1141" s="50">
        <f>IF($T1141="","",IF($S1141="S",IF(INDEX(Firms!$L$5:$L$1004,$T1141)="","",INDEX(Firms!$L$5:$L$1004,$T1141)),IF(INDEX('AFA Rates'!$K$5:$K$1004,$T1141)="","",INDEX('AFA Rates'!$K$5:$K$1004,$T1141))))</f>
        <v/>
      </c>
      <c r="N1141" s="50">
        <f>IF($T1141="","",IF($S1141="S",IF(INDEX(Firms!$M$5:$M$1004,$T1141)="","",INDEX(Firms!$M$5:$M$1004,$T1141)),IF(INDEX('AFA Rates'!$L$5:$L$1004,$T1141)="","",INDEX('AFA Rates'!$L$5:$L$1004,$T1141))))</f>
        <v/>
      </c>
      <c r="O1141" s="78">
        <f>IF(OR($T1141="",$U1141=""),"",IF(INDEX(Firms!$C$5:$C$1004,$U1141)="","",INDEX(Firms!$C$5:$C$1004,$U1141)))</f>
        <v/>
      </c>
      <c r="P1141" s="79">
        <f>IF(OR($T1141="",$U1141=""),"",IF(INDEX(Firms!$N$5:$N$1004,$U1141)="","",INDEX(Firms!$N$5:$N$1004,$U1141)))</f>
        <v/>
      </c>
      <c r="Q1141" s="78">
        <f>IF($T1141="","",IF($S1141="S",IF(INDEX(Firms!$T$5:$T$1004,$T1141)="","",INDEX(Firms!$T$5:$T$1004,$T1141)),IF(INDEX('AFA Rates'!$M$5:$M$1004,$T1141)="","",INDEX('AFA Rates'!$M$5:$M$1004,$T1141))))</f>
        <v/>
      </c>
      <c r="S1141">
        <f>IF(1137&lt;=$S$2,"S",IF(1137&lt;=$S$2+$T$2,"A",""))</f>
        <v/>
      </c>
      <c r="T1141">
        <f>IF(S1141="S",MATCH(1137,Firms!$W$5:$W$1004,0),IF(S1141="A",IFERROR(MATCH(1137-$S$2,'AFA Rates'!$R$5:$R$1004,0),""),""))</f>
        <v/>
      </c>
      <c r="U1141">
        <f>IF(S1141="S",T1141,IF(AND(S1141="A",T1141&lt;&gt;""),IFERROR(MATCH(INDEX('AFA Rates'!$A$5:$A$1004,T1141),Firms!$A$5:$A$1004,0),""),""))</f>
        <v/>
      </c>
    </row>
    <row r="1142">
      <c r="A1142" s="78">
        <f>IF($T1142="","",IF($S1142="S",IF(INDEX(Firms!$A$5:$A$1004,$T1142)="","",INDEX(Firms!$A$5:$A$1004,$T1142)),IF(INDEX('AFA Rates'!$A$5:$A$1004,$T1142)="","",INDEX('AFA Rates'!$A$5:$A$1004,$T1142))))</f>
        <v/>
      </c>
      <c r="B1142" s="79">
        <f>IF(OR($T1142="",$U1142=""),IF($T1142="","","Not on Firms tab"),INDEX(Firms!$B$5:$B$1004,$U1142)&amp;"")</f>
        <v/>
      </c>
      <c r="C1142" s="78">
        <f>IF($T1142="","",IF($S1142="S","Standard",INDEX('AFA Rates'!$B$5:$B$1004,$T1142)&amp;""))</f>
        <v/>
      </c>
      <c r="D1142" s="88">
        <f>IF($T1142="","",IF($S1142="S",IF(INDEX(Firms!$E$5:$E$1004,$T1142)="","",INDEX(Firms!$E$5:$E$1004,$T1142)),IF(INDEX('AFA Rates'!$C$5:$C$1004,$T1142)="","",INDEX('AFA Rates'!$C$5:$C$1004,$T1142))))</f>
        <v/>
      </c>
      <c r="E1142" s="88">
        <f>IF($T1142="","",IF($S1142="S",IF(""="","",""),IF(INDEX('AFA Rates'!$D$5:$D$1004,$T1142)="","",INDEX('AFA Rates'!$D$5:$D$1004,$T1142))))</f>
        <v/>
      </c>
      <c r="F1142" s="79">
        <f>IF($T1142="","",IF($S1142="S",IF(INDEX(Firms!$O$5:$O$1004,$T1142)="","",INDEX(Firms!$O$5:$O$1004,$T1142)),IF(INDEX('AFA Rates'!$O$5:$O$1004,$T1142)="","",INDEX('AFA Rates'!$O$5:$O$1004,$T1142))))</f>
        <v/>
      </c>
      <c r="G1142" s="50">
        <f>IF($T1142="","",IF($S1142="S",IF(INDEX(Firms!$F$5:$F$1004,$T1142)="","",INDEX(Firms!$F$5:$F$1004,$T1142)),IF(INDEX('AFA Rates'!$E$5:$E$1004,$T1142)="","",INDEX('AFA Rates'!$E$5:$E$1004,$T1142))))</f>
        <v/>
      </c>
      <c r="H1142" s="50">
        <f>IF($T1142="","",IF($S1142="S",IF(INDEX(Firms!$G$5:$G$1004,$T1142)="","",INDEX(Firms!$G$5:$G$1004,$T1142)),IF(INDEX('AFA Rates'!$F$5:$F$1004,$T1142)="","",INDEX('AFA Rates'!$F$5:$F$1004,$T1142))))</f>
        <v/>
      </c>
      <c r="I1142" s="50">
        <f>IF($T1142="","",IF($S1142="S",IF(INDEX(Firms!$H$5:$H$1004,$T1142)="","",INDEX(Firms!$H$5:$H$1004,$T1142)),IF(INDEX('AFA Rates'!$G$5:$G$1004,$T1142)="","",INDEX('AFA Rates'!$G$5:$G$1004,$T1142))))</f>
        <v/>
      </c>
      <c r="J1142" s="50">
        <f>IF($T1142="","",IF($S1142="S",IF(INDEX(Firms!$I$5:$I$1004,$T1142)="","",INDEX(Firms!$I$5:$I$1004,$T1142)),IF(INDEX('AFA Rates'!$H$5:$H$1004,$T1142)="","",INDEX('AFA Rates'!$H$5:$H$1004,$T1142))))</f>
        <v/>
      </c>
      <c r="K1142" s="50">
        <f>IF($T1142="","",IF($S1142="S",IF(INDEX(Firms!$J$5:$J$1004,$T1142)="","",INDEX(Firms!$J$5:$J$1004,$T1142)),IF(INDEX('AFA Rates'!$I$5:$I$1004,$T1142)="","",INDEX('AFA Rates'!$I$5:$I$1004,$T1142))))</f>
        <v/>
      </c>
      <c r="L1142" s="50">
        <f>IF($T1142="","",IF($S1142="S",IF(INDEX(Firms!$K$5:$K$1004,$T1142)="","",INDEX(Firms!$K$5:$K$1004,$T1142)),IF(INDEX('AFA Rates'!$J$5:$J$1004,$T1142)="","",INDEX('AFA Rates'!$J$5:$J$1004,$T1142))))</f>
        <v/>
      </c>
      <c r="M1142" s="50">
        <f>IF($T1142="","",IF($S1142="S",IF(INDEX(Firms!$L$5:$L$1004,$T1142)="","",INDEX(Firms!$L$5:$L$1004,$T1142)),IF(INDEX('AFA Rates'!$K$5:$K$1004,$T1142)="","",INDEX('AFA Rates'!$K$5:$K$1004,$T1142))))</f>
        <v/>
      </c>
      <c r="N1142" s="50">
        <f>IF($T1142="","",IF($S1142="S",IF(INDEX(Firms!$M$5:$M$1004,$T1142)="","",INDEX(Firms!$M$5:$M$1004,$T1142)),IF(INDEX('AFA Rates'!$L$5:$L$1004,$T1142)="","",INDEX('AFA Rates'!$L$5:$L$1004,$T1142))))</f>
        <v/>
      </c>
      <c r="O1142" s="78">
        <f>IF(OR($T1142="",$U1142=""),"",IF(INDEX(Firms!$C$5:$C$1004,$U1142)="","",INDEX(Firms!$C$5:$C$1004,$U1142)))</f>
        <v/>
      </c>
      <c r="P1142" s="79">
        <f>IF(OR($T1142="",$U1142=""),"",IF(INDEX(Firms!$N$5:$N$1004,$U1142)="","",INDEX(Firms!$N$5:$N$1004,$U1142)))</f>
        <v/>
      </c>
      <c r="Q1142" s="78">
        <f>IF($T1142="","",IF($S1142="S",IF(INDEX(Firms!$T$5:$T$1004,$T1142)="","",INDEX(Firms!$T$5:$T$1004,$T1142)),IF(INDEX('AFA Rates'!$M$5:$M$1004,$T1142)="","",INDEX('AFA Rates'!$M$5:$M$1004,$T1142))))</f>
        <v/>
      </c>
      <c r="S1142">
        <f>IF(1138&lt;=$S$2,"S",IF(1138&lt;=$S$2+$T$2,"A",""))</f>
        <v/>
      </c>
      <c r="T1142">
        <f>IF(S1142="S",MATCH(1138,Firms!$W$5:$W$1004,0),IF(S1142="A",IFERROR(MATCH(1138-$S$2,'AFA Rates'!$R$5:$R$1004,0),""),""))</f>
        <v/>
      </c>
      <c r="U1142">
        <f>IF(S1142="S",T1142,IF(AND(S1142="A",T1142&lt;&gt;""),IFERROR(MATCH(INDEX('AFA Rates'!$A$5:$A$1004,T1142),Firms!$A$5:$A$1004,0),""),""))</f>
        <v/>
      </c>
    </row>
    <row r="1143">
      <c r="A1143" s="78">
        <f>IF($T1143="","",IF($S1143="S",IF(INDEX(Firms!$A$5:$A$1004,$T1143)="","",INDEX(Firms!$A$5:$A$1004,$T1143)),IF(INDEX('AFA Rates'!$A$5:$A$1004,$T1143)="","",INDEX('AFA Rates'!$A$5:$A$1004,$T1143))))</f>
        <v/>
      </c>
      <c r="B1143" s="79">
        <f>IF(OR($T1143="",$U1143=""),IF($T1143="","","Not on Firms tab"),INDEX(Firms!$B$5:$B$1004,$U1143)&amp;"")</f>
        <v/>
      </c>
      <c r="C1143" s="78">
        <f>IF($T1143="","",IF($S1143="S","Standard",INDEX('AFA Rates'!$B$5:$B$1004,$T1143)&amp;""))</f>
        <v/>
      </c>
      <c r="D1143" s="88">
        <f>IF($T1143="","",IF($S1143="S",IF(INDEX(Firms!$E$5:$E$1004,$T1143)="","",INDEX(Firms!$E$5:$E$1004,$T1143)),IF(INDEX('AFA Rates'!$C$5:$C$1004,$T1143)="","",INDEX('AFA Rates'!$C$5:$C$1004,$T1143))))</f>
        <v/>
      </c>
      <c r="E1143" s="88">
        <f>IF($T1143="","",IF($S1143="S",IF(""="","",""),IF(INDEX('AFA Rates'!$D$5:$D$1004,$T1143)="","",INDEX('AFA Rates'!$D$5:$D$1004,$T1143))))</f>
        <v/>
      </c>
      <c r="F1143" s="79">
        <f>IF($T1143="","",IF($S1143="S",IF(INDEX(Firms!$O$5:$O$1004,$T1143)="","",INDEX(Firms!$O$5:$O$1004,$T1143)),IF(INDEX('AFA Rates'!$O$5:$O$1004,$T1143)="","",INDEX('AFA Rates'!$O$5:$O$1004,$T1143))))</f>
        <v/>
      </c>
      <c r="G1143" s="50">
        <f>IF($T1143="","",IF($S1143="S",IF(INDEX(Firms!$F$5:$F$1004,$T1143)="","",INDEX(Firms!$F$5:$F$1004,$T1143)),IF(INDEX('AFA Rates'!$E$5:$E$1004,$T1143)="","",INDEX('AFA Rates'!$E$5:$E$1004,$T1143))))</f>
        <v/>
      </c>
      <c r="H1143" s="50">
        <f>IF($T1143="","",IF($S1143="S",IF(INDEX(Firms!$G$5:$G$1004,$T1143)="","",INDEX(Firms!$G$5:$G$1004,$T1143)),IF(INDEX('AFA Rates'!$F$5:$F$1004,$T1143)="","",INDEX('AFA Rates'!$F$5:$F$1004,$T1143))))</f>
        <v/>
      </c>
      <c r="I1143" s="50">
        <f>IF($T1143="","",IF($S1143="S",IF(INDEX(Firms!$H$5:$H$1004,$T1143)="","",INDEX(Firms!$H$5:$H$1004,$T1143)),IF(INDEX('AFA Rates'!$G$5:$G$1004,$T1143)="","",INDEX('AFA Rates'!$G$5:$G$1004,$T1143))))</f>
        <v/>
      </c>
      <c r="J1143" s="50">
        <f>IF($T1143="","",IF($S1143="S",IF(INDEX(Firms!$I$5:$I$1004,$T1143)="","",INDEX(Firms!$I$5:$I$1004,$T1143)),IF(INDEX('AFA Rates'!$H$5:$H$1004,$T1143)="","",INDEX('AFA Rates'!$H$5:$H$1004,$T1143))))</f>
        <v/>
      </c>
      <c r="K1143" s="50">
        <f>IF($T1143="","",IF($S1143="S",IF(INDEX(Firms!$J$5:$J$1004,$T1143)="","",INDEX(Firms!$J$5:$J$1004,$T1143)),IF(INDEX('AFA Rates'!$I$5:$I$1004,$T1143)="","",INDEX('AFA Rates'!$I$5:$I$1004,$T1143))))</f>
        <v/>
      </c>
      <c r="L1143" s="50">
        <f>IF($T1143="","",IF($S1143="S",IF(INDEX(Firms!$K$5:$K$1004,$T1143)="","",INDEX(Firms!$K$5:$K$1004,$T1143)),IF(INDEX('AFA Rates'!$J$5:$J$1004,$T1143)="","",INDEX('AFA Rates'!$J$5:$J$1004,$T1143))))</f>
        <v/>
      </c>
      <c r="M1143" s="50">
        <f>IF($T1143="","",IF($S1143="S",IF(INDEX(Firms!$L$5:$L$1004,$T1143)="","",INDEX(Firms!$L$5:$L$1004,$T1143)),IF(INDEX('AFA Rates'!$K$5:$K$1004,$T1143)="","",INDEX('AFA Rates'!$K$5:$K$1004,$T1143))))</f>
        <v/>
      </c>
      <c r="N1143" s="50">
        <f>IF($T1143="","",IF($S1143="S",IF(INDEX(Firms!$M$5:$M$1004,$T1143)="","",INDEX(Firms!$M$5:$M$1004,$T1143)),IF(INDEX('AFA Rates'!$L$5:$L$1004,$T1143)="","",INDEX('AFA Rates'!$L$5:$L$1004,$T1143))))</f>
        <v/>
      </c>
      <c r="O1143" s="78">
        <f>IF(OR($T1143="",$U1143=""),"",IF(INDEX(Firms!$C$5:$C$1004,$U1143)="","",INDEX(Firms!$C$5:$C$1004,$U1143)))</f>
        <v/>
      </c>
      <c r="P1143" s="79">
        <f>IF(OR($T1143="",$U1143=""),"",IF(INDEX(Firms!$N$5:$N$1004,$U1143)="","",INDEX(Firms!$N$5:$N$1004,$U1143)))</f>
        <v/>
      </c>
      <c r="Q1143" s="78">
        <f>IF($T1143="","",IF($S1143="S",IF(INDEX(Firms!$T$5:$T$1004,$T1143)="","",INDEX(Firms!$T$5:$T$1004,$T1143)),IF(INDEX('AFA Rates'!$M$5:$M$1004,$T1143)="","",INDEX('AFA Rates'!$M$5:$M$1004,$T1143))))</f>
        <v/>
      </c>
      <c r="S1143">
        <f>IF(1139&lt;=$S$2,"S",IF(1139&lt;=$S$2+$T$2,"A",""))</f>
        <v/>
      </c>
      <c r="T1143">
        <f>IF(S1143="S",MATCH(1139,Firms!$W$5:$W$1004,0),IF(S1143="A",IFERROR(MATCH(1139-$S$2,'AFA Rates'!$R$5:$R$1004,0),""),""))</f>
        <v/>
      </c>
      <c r="U1143">
        <f>IF(S1143="S",T1143,IF(AND(S1143="A",T1143&lt;&gt;""),IFERROR(MATCH(INDEX('AFA Rates'!$A$5:$A$1004,T1143),Firms!$A$5:$A$1004,0),""),""))</f>
        <v/>
      </c>
    </row>
    <row r="1144">
      <c r="A1144" s="78">
        <f>IF($T1144="","",IF($S1144="S",IF(INDEX(Firms!$A$5:$A$1004,$T1144)="","",INDEX(Firms!$A$5:$A$1004,$T1144)),IF(INDEX('AFA Rates'!$A$5:$A$1004,$T1144)="","",INDEX('AFA Rates'!$A$5:$A$1004,$T1144))))</f>
        <v/>
      </c>
      <c r="B1144" s="79">
        <f>IF(OR($T1144="",$U1144=""),IF($T1144="","","Not on Firms tab"),INDEX(Firms!$B$5:$B$1004,$U1144)&amp;"")</f>
        <v/>
      </c>
      <c r="C1144" s="78">
        <f>IF($T1144="","",IF($S1144="S","Standard",INDEX('AFA Rates'!$B$5:$B$1004,$T1144)&amp;""))</f>
        <v/>
      </c>
      <c r="D1144" s="88">
        <f>IF($T1144="","",IF($S1144="S",IF(INDEX(Firms!$E$5:$E$1004,$T1144)="","",INDEX(Firms!$E$5:$E$1004,$T1144)),IF(INDEX('AFA Rates'!$C$5:$C$1004,$T1144)="","",INDEX('AFA Rates'!$C$5:$C$1004,$T1144))))</f>
        <v/>
      </c>
      <c r="E1144" s="88">
        <f>IF($T1144="","",IF($S1144="S",IF(""="","",""),IF(INDEX('AFA Rates'!$D$5:$D$1004,$T1144)="","",INDEX('AFA Rates'!$D$5:$D$1004,$T1144))))</f>
        <v/>
      </c>
      <c r="F1144" s="79">
        <f>IF($T1144="","",IF($S1144="S",IF(INDEX(Firms!$O$5:$O$1004,$T1144)="","",INDEX(Firms!$O$5:$O$1004,$T1144)),IF(INDEX('AFA Rates'!$O$5:$O$1004,$T1144)="","",INDEX('AFA Rates'!$O$5:$O$1004,$T1144))))</f>
        <v/>
      </c>
      <c r="G1144" s="50">
        <f>IF($T1144="","",IF($S1144="S",IF(INDEX(Firms!$F$5:$F$1004,$T1144)="","",INDEX(Firms!$F$5:$F$1004,$T1144)),IF(INDEX('AFA Rates'!$E$5:$E$1004,$T1144)="","",INDEX('AFA Rates'!$E$5:$E$1004,$T1144))))</f>
        <v/>
      </c>
      <c r="H1144" s="50">
        <f>IF($T1144="","",IF($S1144="S",IF(INDEX(Firms!$G$5:$G$1004,$T1144)="","",INDEX(Firms!$G$5:$G$1004,$T1144)),IF(INDEX('AFA Rates'!$F$5:$F$1004,$T1144)="","",INDEX('AFA Rates'!$F$5:$F$1004,$T1144))))</f>
        <v/>
      </c>
      <c r="I1144" s="50">
        <f>IF($T1144="","",IF($S1144="S",IF(INDEX(Firms!$H$5:$H$1004,$T1144)="","",INDEX(Firms!$H$5:$H$1004,$T1144)),IF(INDEX('AFA Rates'!$G$5:$G$1004,$T1144)="","",INDEX('AFA Rates'!$G$5:$G$1004,$T1144))))</f>
        <v/>
      </c>
      <c r="J1144" s="50">
        <f>IF($T1144="","",IF($S1144="S",IF(INDEX(Firms!$I$5:$I$1004,$T1144)="","",INDEX(Firms!$I$5:$I$1004,$T1144)),IF(INDEX('AFA Rates'!$H$5:$H$1004,$T1144)="","",INDEX('AFA Rates'!$H$5:$H$1004,$T1144))))</f>
        <v/>
      </c>
      <c r="K1144" s="50">
        <f>IF($T1144="","",IF($S1144="S",IF(INDEX(Firms!$J$5:$J$1004,$T1144)="","",INDEX(Firms!$J$5:$J$1004,$T1144)),IF(INDEX('AFA Rates'!$I$5:$I$1004,$T1144)="","",INDEX('AFA Rates'!$I$5:$I$1004,$T1144))))</f>
        <v/>
      </c>
      <c r="L1144" s="50">
        <f>IF($T1144="","",IF($S1144="S",IF(INDEX(Firms!$K$5:$K$1004,$T1144)="","",INDEX(Firms!$K$5:$K$1004,$T1144)),IF(INDEX('AFA Rates'!$J$5:$J$1004,$T1144)="","",INDEX('AFA Rates'!$J$5:$J$1004,$T1144))))</f>
        <v/>
      </c>
      <c r="M1144" s="50">
        <f>IF($T1144="","",IF($S1144="S",IF(INDEX(Firms!$L$5:$L$1004,$T1144)="","",INDEX(Firms!$L$5:$L$1004,$T1144)),IF(INDEX('AFA Rates'!$K$5:$K$1004,$T1144)="","",INDEX('AFA Rates'!$K$5:$K$1004,$T1144))))</f>
        <v/>
      </c>
      <c r="N1144" s="50">
        <f>IF($T1144="","",IF($S1144="S",IF(INDEX(Firms!$M$5:$M$1004,$T1144)="","",INDEX(Firms!$M$5:$M$1004,$T1144)),IF(INDEX('AFA Rates'!$L$5:$L$1004,$T1144)="","",INDEX('AFA Rates'!$L$5:$L$1004,$T1144))))</f>
        <v/>
      </c>
      <c r="O1144" s="78">
        <f>IF(OR($T1144="",$U1144=""),"",IF(INDEX(Firms!$C$5:$C$1004,$U1144)="","",INDEX(Firms!$C$5:$C$1004,$U1144)))</f>
        <v/>
      </c>
      <c r="P1144" s="79">
        <f>IF(OR($T1144="",$U1144=""),"",IF(INDEX(Firms!$N$5:$N$1004,$U1144)="","",INDEX(Firms!$N$5:$N$1004,$U1144)))</f>
        <v/>
      </c>
      <c r="Q1144" s="78">
        <f>IF($T1144="","",IF($S1144="S",IF(INDEX(Firms!$T$5:$T$1004,$T1144)="","",INDEX(Firms!$T$5:$T$1004,$T1144)),IF(INDEX('AFA Rates'!$M$5:$M$1004,$T1144)="","",INDEX('AFA Rates'!$M$5:$M$1004,$T1144))))</f>
        <v/>
      </c>
      <c r="S1144">
        <f>IF(1140&lt;=$S$2,"S",IF(1140&lt;=$S$2+$T$2,"A",""))</f>
        <v/>
      </c>
      <c r="T1144">
        <f>IF(S1144="S",MATCH(1140,Firms!$W$5:$W$1004,0),IF(S1144="A",IFERROR(MATCH(1140-$S$2,'AFA Rates'!$R$5:$R$1004,0),""),""))</f>
        <v/>
      </c>
      <c r="U1144">
        <f>IF(S1144="S",T1144,IF(AND(S1144="A",T1144&lt;&gt;""),IFERROR(MATCH(INDEX('AFA Rates'!$A$5:$A$1004,T1144),Firms!$A$5:$A$1004,0),""),""))</f>
        <v/>
      </c>
    </row>
    <row r="1145">
      <c r="A1145" s="78">
        <f>IF($T1145="","",IF($S1145="S",IF(INDEX(Firms!$A$5:$A$1004,$T1145)="","",INDEX(Firms!$A$5:$A$1004,$T1145)),IF(INDEX('AFA Rates'!$A$5:$A$1004,$T1145)="","",INDEX('AFA Rates'!$A$5:$A$1004,$T1145))))</f>
        <v/>
      </c>
      <c r="B1145" s="79">
        <f>IF(OR($T1145="",$U1145=""),IF($T1145="","","Not on Firms tab"),INDEX(Firms!$B$5:$B$1004,$U1145)&amp;"")</f>
        <v/>
      </c>
      <c r="C1145" s="78">
        <f>IF($T1145="","",IF($S1145="S","Standard",INDEX('AFA Rates'!$B$5:$B$1004,$T1145)&amp;""))</f>
        <v/>
      </c>
      <c r="D1145" s="88">
        <f>IF($T1145="","",IF($S1145="S",IF(INDEX(Firms!$E$5:$E$1004,$T1145)="","",INDEX(Firms!$E$5:$E$1004,$T1145)),IF(INDEX('AFA Rates'!$C$5:$C$1004,$T1145)="","",INDEX('AFA Rates'!$C$5:$C$1004,$T1145))))</f>
        <v/>
      </c>
      <c r="E1145" s="88">
        <f>IF($T1145="","",IF($S1145="S",IF(""="","",""),IF(INDEX('AFA Rates'!$D$5:$D$1004,$T1145)="","",INDEX('AFA Rates'!$D$5:$D$1004,$T1145))))</f>
        <v/>
      </c>
      <c r="F1145" s="79">
        <f>IF($T1145="","",IF($S1145="S",IF(INDEX(Firms!$O$5:$O$1004,$T1145)="","",INDEX(Firms!$O$5:$O$1004,$T1145)),IF(INDEX('AFA Rates'!$O$5:$O$1004,$T1145)="","",INDEX('AFA Rates'!$O$5:$O$1004,$T1145))))</f>
        <v/>
      </c>
      <c r="G1145" s="50">
        <f>IF($T1145="","",IF($S1145="S",IF(INDEX(Firms!$F$5:$F$1004,$T1145)="","",INDEX(Firms!$F$5:$F$1004,$T1145)),IF(INDEX('AFA Rates'!$E$5:$E$1004,$T1145)="","",INDEX('AFA Rates'!$E$5:$E$1004,$T1145))))</f>
        <v/>
      </c>
      <c r="H1145" s="50">
        <f>IF($T1145="","",IF($S1145="S",IF(INDEX(Firms!$G$5:$G$1004,$T1145)="","",INDEX(Firms!$G$5:$G$1004,$T1145)),IF(INDEX('AFA Rates'!$F$5:$F$1004,$T1145)="","",INDEX('AFA Rates'!$F$5:$F$1004,$T1145))))</f>
        <v/>
      </c>
      <c r="I1145" s="50">
        <f>IF($T1145="","",IF($S1145="S",IF(INDEX(Firms!$H$5:$H$1004,$T1145)="","",INDEX(Firms!$H$5:$H$1004,$T1145)),IF(INDEX('AFA Rates'!$G$5:$G$1004,$T1145)="","",INDEX('AFA Rates'!$G$5:$G$1004,$T1145))))</f>
        <v/>
      </c>
      <c r="J1145" s="50">
        <f>IF($T1145="","",IF($S1145="S",IF(INDEX(Firms!$I$5:$I$1004,$T1145)="","",INDEX(Firms!$I$5:$I$1004,$T1145)),IF(INDEX('AFA Rates'!$H$5:$H$1004,$T1145)="","",INDEX('AFA Rates'!$H$5:$H$1004,$T1145))))</f>
        <v/>
      </c>
      <c r="K1145" s="50">
        <f>IF($T1145="","",IF($S1145="S",IF(INDEX(Firms!$J$5:$J$1004,$T1145)="","",INDEX(Firms!$J$5:$J$1004,$T1145)),IF(INDEX('AFA Rates'!$I$5:$I$1004,$T1145)="","",INDEX('AFA Rates'!$I$5:$I$1004,$T1145))))</f>
        <v/>
      </c>
      <c r="L1145" s="50">
        <f>IF($T1145="","",IF($S1145="S",IF(INDEX(Firms!$K$5:$K$1004,$T1145)="","",INDEX(Firms!$K$5:$K$1004,$T1145)),IF(INDEX('AFA Rates'!$J$5:$J$1004,$T1145)="","",INDEX('AFA Rates'!$J$5:$J$1004,$T1145))))</f>
        <v/>
      </c>
      <c r="M1145" s="50">
        <f>IF($T1145="","",IF($S1145="S",IF(INDEX(Firms!$L$5:$L$1004,$T1145)="","",INDEX(Firms!$L$5:$L$1004,$T1145)),IF(INDEX('AFA Rates'!$K$5:$K$1004,$T1145)="","",INDEX('AFA Rates'!$K$5:$K$1004,$T1145))))</f>
        <v/>
      </c>
      <c r="N1145" s="50">
        <f>IF($T1145="","",IF($S1145="S",IF(INDEX(Firms!$M$5:$M$1004,$T1145)="","",INDEX(Firms!$M$5:$M$1004,$T1145)),IF(INDEX('AFA Rates'!$L$5:$L$1004,$T1145)="","",INDEX('AFA Rates'!$L$5:$L$1004,$T1145))))</f>
        <v/>
      </c>
      <c r="O1145" s="78">
        <f>IF(OR($T1145="",$U1145=""),"",IF(INDEX(Firms!$C$5:$C$1004,$U1145)="","",INDEX(Firms!$C$5:$C$1004,$U1145)))</f>
        <v/>
      </c>
      <c r="P1145" s="79">
        <f>IF(OR($T1145="",$U1145=""),"",IF(INDEX(Firms!$N$5:$N$1004,$U1145)="","",INDEX(Firms!$N$5:$N$1004,$U1145)))</f>
        <v/>
      </c>
      <c r="Q1145" s="78">
        <f>IF($T1145="","",IF($S1145="S",IF(INDEX(Firms!$T$5:$T$1004,$T1145)="","",INDEX(Firms!$T$5:$T$1004,$T1145)),IF(INDEX('AFA Rates'!$M$5:$M$1004,$T1145)="","",INDEX('AFA Rates'!$M$5:$M$1004,$T1145))))</f>
        <v/>
      </c>
      <c r="S1145">
        <f>IF(1141&lt;=$S$2,"S",IF(1141&lt;=$S$2+$T$2,"A",""))</f>
        <v/>
      </c>
      <c r="T1145">
        <f>IF(S1145="S",MATCH(1141,Firms!$W$5:$W$1004,0),IF(S1145="A",IFERROR(MATCH(1141-$S$2,'AFA Rates'!$R$5:$R$1004,0),""),""))</f>
        <v/>
      </c>
      <c r="U1145">
        <f>IF(S1145="S",T1145,IF(AND(S1145="A",T1145&lt;&gt;""),IFERROR(MATCH(INDEX('AFA Rates'!$A$5:$A$1004,T1145),Firms!$A$5:$A$1004,0),""),""))</f>
        <v/>
      </c>
    </row>
    <row r="1146">
      <c r="A1146" s="78">
        <f>IF($T1146="","",IF($S1146="S",IF(INDEX(Firms!$A$5:$A$1004,$T1146)="","",INDEX(Firms!$A$5:$A$1004,$T1146)),IF(INDEX('AFA Rates'!$A$5:$A$1004,$T1146)="","",INDEX('AFA Rates'!$A$5:$A$1004,$T1146))))</f>
        <v/>
      </c>
      <c r="B1146" s="79">
        <f>IF(OR($T1146="",$U1146=""),IF($T1146="","","Not on Firms tab"),INDEX(Firms!$B$5:$B$1004,$U1146)&amp;"")</f>
        <v/>
      </c>
      <c r="C1146" s="78">
        <f>IF($T1146="","",IF($S1146="S","Standard",INDEX('AFA Rates'!$B$5:$B$1004,$T1146)&amp;""))</f>
        <v/>
      </c>
      <c r="D1146" s="88">
        <f>IF($T1146="","",IF($S1146="S",IF(INDEX(Firms!$E$5:$E$1004,$T1146)="","",INDEX(Firms!$E$5:$E$1004,$T1146)),IF(INDEX('AFA Rates'!$C$5:$C$1004,$T1146)="","",INDEX('AFA Rates'!$C$5:$C$1004,$T1146))))</f>
        <v/>
      </c>
      <c r="E1146" s="88">
        <f>IF($T1146="","",IF($S1146="S",IF(""="","",""),IF(INDEX('AFA Rates'!$D$5:$D$1004,$T1146)="","",INDEX('AFA Rates'!$D$5:$D$1004,$T1146))))</f>
        <v/>
      </c>
      <c r="F1146" s="79">
        <f>IF($T1146="","",IF($S1146="S",IF(INDEX(Firms!$O$5:$O$1004,$T1146)="","",INDEX(Firms!$O$5:$O$1004,$T1146)),IF(INDEX('AFA Rates'!$O$5:$O$1004,$T1146)="","",INDEX('AFA Rates'!$O$5:$O$1004,$T1146))))</f>
        <v/>
      </c>
      <c r="G1146" s="50">
        <f>IF($T1146="","",IF($S1146="S",IF(INDEX(Firms!$F$5:$F$1004,$T1146)="","",INDEX(Firms!$F$5:$F$1004,$T1146)),IF(INDEX('AFA Rates'!$E$5:$E$1004,$T1146)="","",INDEX('AFA Rates'!$E$5:$E$1004,$T1146))))</f>
        <v/>
      </c>
      <c r="H1146" s="50">
        <f>IF($T1146="","",IF($S1146="S",IF(INDEX(Firms!$G$5:$G$1004,$T1146)="","",INDEX(Firms!$G$5:$G$1004,$T1146)),IF(INDEX('AFA Rates'!$F$5:$F$1004,$T1146)="","",INDEX('AFA Rates'!$F$5:$F$1004,$T1146))))</f>
        <v/>
      </c>
      <c r="I1146" s="50">
        <f>IF($T1146="","",IF($S1146="S",IF(INDEX(Firms!$H$5:$H$1004,$T1146)="","",INDEX(Firms!$H$5:$H$1004,$T1146)),IF(INDEX('AFA Rates'!$G$5:$G$1004,$T1146)="","",INDEX('AFA Rates'!$G$5:$G$1004,$T1146))))</f>
        <v/>
      </c>
      <c r="J1146" s="50">
        <f>IF($T1146="","",IF($S1146="S",IF(INDEX(Firms!$I$5:$I$1004,$T1146)="","",INDEX(Firms!$I$5:$I$1004,$T1146)),IF(INDEX('AFA Rates'!$H$5:$H$1004,$T1146)="","",INDEX('AFA Rates'!$H$5:$H$1004,$T1146))))</f>
        <v/>
      </c>
      <c r="K1146" s="50">
        <f>IF($T1146="","",IF($S1146="S",IF(INDEX(Firms!$J$5:$J$1004,$T1146)="","",INDEX(Firms!$J$5:$J$1004,$T1146)),IF(INDEX('AFA Rates'!$I$5:$I$1004,$T1146)="","",INDEX('AFA Rates'!$I$5:$I$1004,$T1146))))</f>
        <v/>
      </c>
      <c r="L1146" s="50">
        <f>IF($T1146="","",IF($S1146="S",IF(INDEX(Firms!$K$5:$K$1004,$T1146)="","",INDEX(Firms!$K$5:$K$1004,$T1146)),IF(INDEX('AFA Rates'!$J$5:$J$1004,$T1146)="","",INDEX('AFA Rates'!$J$5:$J$1004,$T1146))))</f>
        <v/>
      </c>
      <c r="M1146" s="50">
        <f>IF($T1146="","",IF($S1146="S",IF(INDEX(Firms!$L$5:$L$1004,$T1146)="","",INDEX(Firms!$L$5:$L$1004,$T1146)),IF(INDEX('AFA Rates'!$K$5:$K$1004,$T1146)="","",INDEX('AFA Rates'!$K$5:$K$1004,$T1146))))</f>
        <v/>
      </c>
      <c r="N1146" s="50">
        <f>IF($T1146="","",IF($S1146="S",IF(INDEX(Firms!$M$5:$M$1004,$T1146)="","",INDEX(Firms!$M$5:$M$1004,$T1146)),IF(INDEX('AFA Rates'!$L$5:$L$1004,$T1146)="","",INDEX('AFA Rates'!$L$5:$L$1004,$T1146))))</f>
        <v/>
      </c>
      <c r="O1146" s="78">
        <f>IF(OR($T1146="",$U1146=""),"",IF(INDEX(Firms!$C$5:$C$1004,$U1146)="","",INDEX(Firms!$C$5:$C$1004,$U1146)))</f>
        <v/>
      </c>
      <c r="P1146" s="79">
        <f>IF(OR($T1146="",$U1146=""),"",IF(INDEX(Firms!$N$5:$N$1004,$U1146)="","",INDEX(Firms!$N$5:$N$1004,$U1146)))</f>
        <v/>
      </c>
      <c r="Q1146" s="78">
        <f>IF($T1146="","",IF($S1146="S",IF(INDEX(Firms!$T$5:$T$1004,$T1146)="","",INDEX(Firms!$T$5:$T$1004,$T1146)),IF(INDEX('AFA Rates'!$M$5:$M$1004,$T1146)="","",INDEX('AFA Rates'!$M$5:$M$1004,$T1146))))</f>
        <v/>
      </c>
      <c r="S1146">
        <f>IF(1142&lt;=$S$2,"S",IF(1142&lt;=$S$2+$T$2,"A",""))</f>
        <v/>
      </c>
      <c r="T1146">
        <f>IF(S1146="S",MATCH(1142,Firms!$W$5:$W$1004,0),IF(S1146="A",IFERROR(MATCH(1142-$S$2,'AFA Rates'!$R$5:$R$1004,0),""),""))</f>
        <v/>
      </c>
      <c r="U1146">
        <f>IF(S1146="S",T1146,IF(AND(S1146="A",T1146&lt;&gt;""),IFERROR(MATCH(INDEX('AFA Rates'!$A$5:$A$1004,T1146),Firms!$A$5:$A$1004,0),""),""))</f>
        <v/>
      </c>
    </row>
    <row r="1147">
      <c r="A1147" s="78">
        <f>IF($T1147="","",IF($S1147="S",IF(INDEX(Firms!$A$5:$A$1004,$T1147)="","",INDEX(Firms!$A$5:$A$1004,$T1147)),IF(INDEX('AFA Rates'!$A$5:$A$1004,$T1147)="","",INDEX('AFA Rates'!$A$5:$A$1004,$T1147))))</f>
        <v/>
      </c>
      <c r="B1147" s="79">
        <f>IF(OR($T1147="",$U1147=""),IF($T1147="","","Not on Firms tab"),INDEX(Firms!$B$5:$B$1004,$U1147)&amp;"")</f>
        <v/>
      </c>
      <c r="C1147" s="78">
        <f>IF($T1147="","",IF($S1147="S","Standard",INDEX('AFA Rates'!$B$5:$B$1004,$T1147)&amp;""))</f>
        <v/>
      </c>
      <c r="D1147" s="88">
        <f>IF($T1147="","",IF($S1147="S",IF(INDEX(Firms!$E$5:$E$1004,$T1147)="","",INDEX(Firms!$E$5:$E$1004,$T1147)),IF(INDEX('AFA Rates'!$C$5:$C$1004,$T1147)="","",INDEX('AFA Rates'!$C$5:$C$1004,$T1147))))</f>
        <v/>
      </c>
      <c r="E1147" s="88">
        <f>IF($T1147="","",IF($S1147="S",IF(""="","",""),IF(INDEX('AFA Rates'!$D$5:$D$1004,$T1147)="","",INDEX('AFA Rates'!$D$5:$D$1004,$T1147))))</f>
        <v/>
      </c>
      <c r="F1147" s="79">
        <f>IF($T1147="","",IF($S1147="S",IF(INDEX(Firms!$O$5:$O$1004,$T1147)="","",INDEX(Firms!$O$5:$O$1004,$T1147)),IF(INDEX('AFA Rates'!$O$5:$O$1004,$T1147)="","",INDEX('AFA Rates'!$O$5:$O$1004,$T1147))))</f>
        <v/>
      </c>
      <c r="G1147" s="50">
        <f>IF($T1147="","",IF($S1147="S",IF(INDEX(Firms!$F$5:$F$1004,$T1147)="","",INDEX(Firms!$F$5:$F$1004,$T1147)),IF(INDEX('AFA Rates'!$E$5:$E$1004,$T1147)="","",INDEX('AFA Rates'!$E$5:$E$1004,$T1147))))</f>
        <v/>
      </c>
      <c r="H1147" s="50">
        <f>IF($T1147="","",IF($S1147="S",IF(INDEX(Firms!$G$5:$G$1004,$T1147)="","",INDEX(Firms!$G$5:$G$1004,$T1147)),IF(INDEX('AFA Rates'!$F$5:$F$1004,$T1147)="","",INDEX('AFA Rates'!$F$5:$F$1004,$T1147))))</f>
        <v/>
      </c>
      <c r="I1147" s="50">
        <f>IF($T1147="","",IF($S1147="S",IF(INDEX(Firms!$H$5:$H$1004,$T1147)="","",INDEX(Firms!$H$5:$H$1004,$T1147)),IF(INDEX('AFA Rates'!$G$5:$G$1004,$T1147)="","",INDEX('AFA Rates'!$G$5:$G$1004,$T1147))))</f>
        <v/>
      </c>
      <c r="J1147" s="50">
        <f>IF($T1147="","",IF($S1147="S",IF(INDEX(Firms!$I$5:$I$1004,$T1147)="","",INDEX(Firms!$I$5:$I$1004,$T1147)),IF(INDEX('AFA Rates'!$H$5:$H$1004,$T1147)="","",INDEX('AFA Rates'!$H$5:$H$1004,$T1147))))</f>
        <v/>
      </c>
      <c r="K1147" s="50">
        <f>IF($T1147="","",IF($S1147="S",IF(INDEX(Firms!$J$5:$J$1004,$T1147)="","",INDEX(Firms!$J$5:$J$1004,$T1147)),IF(INDEX('AFA Rates'!$I$5:$I$1004,$T1147)="","",INDEX('AFA Rates'!$I$5:$I$1004,$T1147))))</f>
        <v/>
      </c>
      <c r="L1147" s="50">
        <f>IF($T1147="","",IF($S1147="S",IF(INDEX(Firms!$K$5:$K$1004,$T1147)="","",INDEX(Firms!$K$5:$K$1004,$T1147)),IF(INDEX('AFA Rates'!$J$5:$J$1004,$T1147)="","",INDEX('AFA Rates'!$J$5:$J$1004,$T1147))))</f>
        <v/>
      </c>
      <c r="M1147" s="50">
        <f>IF($T1147="","",IF($S1147="S",IF(INDEX(Firms!$L$5:$L$1004,$T1147)="","",INDEX(Firms!$L$5:$L$1004,$T1147)),IF(INDEX('AFA Rates'!$K$5:$K$1004,$T1147)="","",INDEX('AFA Rates'!$K$5:$K$1004,$T1147))))</f>
        <v/>
      </c>
      <c r="N1147" s="50">
        <f>IF($T1147="","",IF($S1147="S",IF(INDEX(Firms!$M$5:$M$1004,$T1147)="","",INDEX(Firms!$M$5:$M$1004,$T1147)),IF(INDEX('AFA Rates'!$L$5:$L$1004,$T1147)="","",INDEX('AFA Rates'!$L$5:$L$1004,$T1147))))</f>
        <v/>
      </c>
      <c r="O1147" s="78">
        <f>IF(OR($T1147="",$U1147=""),"",IF(INDEX(Firms!$C$5:$C$1004,$U1147)="","",INDEX(Firms!$C$5:$C$1004,$U1147)))</f>
        <v/>
      </c>
      <c r="P1147" s="79">
        <f>IF(OR($T1147="",$U1147=""),"",IF(INDEX(Firms!$N$5:$N$1004,$U1147)="","",INDEX(Firms!$N$5:$N$1004,$U1147)))</f>
        <v/>
      </c>
      <c r="Q1147" s="78">
        <f>IF($T1147="","",IF($S1147="S",IF(INDEX(Firms!$T$5:$T$1004,$T1147)="","",INDEX(Firms!$T$5:$T$1004,$T1147)),IF(INDEX('AFA Rates'!$M$5:$M$1004,$T1147)="","",INDEX('AFA Rates'!$M$5:$M$1004,$T1147))))</f>
        <v/>
      </c>
      <c r="S1147">
        <f>IF(1143&lt;=$S$2,"S",IF(1143&lt;=$S$2+$T$2,"A",""))</f>
        <v/>
      </c>
      <c r="T1147">
        <f>IF(S1147="S",MATCH(1143,Firms!$W$5:$W$1004,0),IF(S1147="A",IFERROR(MATCH(1143-$S$2,'AFA Rates'!$R$5:$R$1004,0),""),""))</f>
        <v/>
      </c>
      <c r="U1147">
        <f>IF(S1147="S",T1147,IF(AND(S1147="A",T1147&lt;&gt;""),IFERROR(MATCH(INDEX('AFA Rates'!$A$5:$A$1004,T1147),Firms!$A$5:$A$1004,0),""),""))</f>
        <v/>
      </c>
    </row>
    <row r="1148">
      <c r="A1148" s="78">
        <f>IF($T1148="","",IF($S1148="S",IF(INDEX(Firms!$A$5:$A$1004,$T1148)="","",INDEX(Firms!$A$5:$A$1004,$T1148)),IF(INDEX('AFA Rates'!$A$5:$A$1004,$T1148)="","",INDEX('AFA Rates'!$A$5:$A$1004,$T1148))))</f>
        <v/>
      </c>
      <c r="B1148" s="79">
        <f>IF(OR($T1148="",$U1148=""),IF($T1148="","","Not on Firms tab"),INDEX(Firms!$B$5:$B$1004,$U1148)&amp;"")</f>
        <v/>
      </c>
      <c r="C1148" s="78">
        <f>IF($T1148="","",IF($S1148="S","Standard",INDEX('AFA Rates'!$B$5:$B$1004,$T1148)&amp;""))</f>
        <v/>
      </c>
      <c r="D1148" s="88">
        <f>IF($T1148="","",IF($S1148="S",IF(INDEX(Firms!$E$5:$E$1004,$T1148)="","",INDEX(Firms!$E$5:$E$1004,$T1148)),IF(INDEX('AFA Rates'!$C$5:$C$1004,$T1148)="","",INDEX('AFA Rates'!$C$5:$C$1004,$T1148))))</f>
        <v/>
      </c>
      <c r="E1148" s="88">
        <f>IF($T1148="","",IF($S1148="S",IF(""="","",""),IF(INDEX('AFA Rates'!$D$5:$D$1004,$T1148)="","",INDEX('AFA Rates'!$D$5:$D$1004,$T1148))))</f>
        <v/>
      </c>
      <c r="F1148" s="79">
        <f>IF($T1148="","",IF($S1148="S",IF(INDEX(Firms!$O$5:$O$1004,$T1148)="","",INDEX(Firms!$O$5:$O$1004,$T1148)),IF(INDEX('AFA Rates'!$O$5:$O$1004,$T1148)="","",INDEX('AFA Rates'!$O$5:$O$1004,$T1148))))</f>
        <v/>
      </c>
      <c r="G1148" s="50">
        <f>IF($T1148="","",IF($S1148="S",IF(INDEX(Firms!$F$5:$F$1004,$T1148)="","",INDEX(Firms!$F$5:$F$1004,$T1148)),IF(INDEX('AFA Rates'!$E$5:$E$1004,$T1148)="","",INDEX('AFA Rates'!$E$5:$E$1004,$T1148))))</f>
        <v/>
      </c>
      <c r="H1148" s="50">
        <f>IF($T1148="","",IF($S1148="S",IF(INDEX(Firms!$G$5:$G$1004,$T1148)="","",INDEX(Firms!$G$5:$G$1004,$T1148)),IF(INDEX('AFA Rates'!$F$5:$F$1004,$T1148)="","",INDEX('AFA Rates'!$F$5:$F$1004,$T1148))))</f>
        <v/>
      </c>
      <c r="I1148" s="50">
        <f>IF($T1148="","",IF($S1148="S",IF(INDEX(Firms!$H$5:$H$1004,$T1148)="","",INDEX(Firms!$H$5:$H$1004,$T1148)),IF(INDEX('AFA Rates'!$G$5:$G$1004,$T1148)="","",INDEX('AFA Rates'!$G$5:$G$1004,$T1148))))</f>
        <v/>
      </c>
      <c r="J1148" s="50">
        <f>IF($T1148="","",IF($S1148="S",IF(INDEX(Firms!$I$5:$I$1004,$T1148)="","",INDEX(Firms!$I$5:$I$1004,$T1148)),IF(INDEX('AFA Rates'!$H$5:$H$1004,$T1148)="","",INDEX('AFA Rates'!$H$5:$H$1004,$T1148))))</f>
        <v/>
      </c>
      <c r="K1148" s="50">
        <f>IF($T1148="","",IF($S1148="S",IF(INDEX(Firms!$J$5:$J$1004,$T1148)="","",INDEX(Firms!$J$5:$J$1004,$T1148)),IF(INDEX('AFA Rates'!$I$5:$I$1004,$T1148)="","",INDEX('AFA Rates'!$I$5:$I$1004,$T1148))))</f>
        <v/>
      </c>
      <c r="L1148" s="50">
        <f>IF($T1148="","",IF($S1148="S",IF(INDEX(Firms!$K$5:$K$1004,$T1148)="","",INDEX(Firms!$K$5:$K$1004,$T1148)),IF(INDEX('AFA Rates'!$J$5:$J$1004,$T1148)="","",INDEX('AFA Rates'!$J$5:$J$1004,$T1148))))</f>
        <v/>
      </c>
      <c r="M1148" s="50">
        <f>IF($T1148="","",IF($S1148="S",IF(INDEX(Firms!$L$5:$L$1004,$T1148)="","",INDEX(Firms!$L$5:$L$1004,$T1148)),IF(INDEX('AFA Rates'!$K$5:$K$1004,$T1148)="","",INDEX('AFA Rates'!$K$5:$K$1004,$T1148))))</f>
        <v/>
      </c>
      <c r="N1148" s="50">
        <f>IF($T1148="","",IF($S1148="S",IF(INDEX(Firms!$M$5:$M$1004,$T1148)="","",INDEX(Firms!$M$5:$M$1004,$T1148)),IF(INDEX('AFA Rates'!$L$5:$L$1004,$T1148)="","",INDEX('AFA Rates'!$L$5:$L$1004,$T1148))))</f>
        <v/>
      </c>
      <c r="O1148" s="78">
        <f>IF(OR($T1148="",$U1148=""),"",IF(INDEX(Firms!$C$5:$C$1004,$U1148)="","",INDEX(Firms!$C$5:$C$1004,$U1148)))</f>
        <v/>
      </c>
      <c r="P1148" s="79">
        <f>IF(OR($T1148="",$U1148=""),"",IF(INDEX(Firms!$N$5:$N$1004,$U1148)="","",INDEX(Firms!$N$5:$N$1004,$U1148)))</f>
        <v/>
      </c>
      <c r="Q1148" s="78">
        <f>IF($T1148="","",IF($S1148="S",IF(INDEX(Firms!$T$5:$T$1004,$T1148)="","",INDEX(Firms!$T$5:$T$1004,$T1148)),IF(INDEX('AFA Rates'!$M$5:$M$1004,$T1148)="","",INDEX('AFA Rates'!$M$5:$M$1004,$T1148))))</f>
        <v/>
      </c>
      <c r="S1148">
        <f>IF(1144&lt;=$S$2,"S",IF(1144&lt;=$S$2+$T$2,"A",""))</f>
        <v/>
      </c>
      <c r="T1148">
        <f>IF(S1148="S",MATCH(1144,Firms!$W$5:$W$1004,0),IF(S1148="A",IFERROR(MATCH(1144-$S$2,'AFA Rates'!$R$5:$R$1004,0),""),""))</f>
        <v/>
      </c>
      <c r="U1148">
        <f>IF(S1148="S",T1148,IF(AND(S1148="A",T1148&lt;&gt;""),IFERROR(MATCH(INDEX('AFA Rates'!$A$5:$A$1004,T1148),Firms!$A$5:$A$1004,0),""),""))</f>
        <v/>
      </c>
    </row>
    <row r="1149">
      <c r="A1149" s="78">
        <f>IF($T1149="","",IF($S1149="S",IF(INDEX(Firms!$A$5:$A$1004,$T1149)="","",INDEX(Firms!$A$5:$A$1004,$T1149)),IF(INDEX('AFA Rates'!$A$5:$A$1004,$T1149)="","",INDEX('AFA Rates'!$A$5:$A$1004,$T1149))))</f>
        <v/>
      </c>
      <c r="B1149" s="79">
        <f>IF(OR($T1149="",$U1149=""),IF($T1149="","","Not on Firms tab"),INDEX(Firms!$B$5:$B$1004,$U1149)&amp;"")</f>
        <v/>
      </c>
      <c r="C1149" s="78">
        <f>IF($T1149="","",IF($S1149="S","Standard",INDEX('AFA Rates'!$B$5:$B$1004,$T1149)&amp;""))</f>
        <v/>
      </c>
      <c r="D1149" s="88">
        <f>IF($T1149="","",IF($S1149="S",IF(INDEX(Firms!$E$5:$E$1004,$T1149)="","",INDEX(Firms!$E$5:$E$1004,$T1149)),IF(INDEX('AFA Rates'!$C$5:$C$1004,$T1149)="","",INDEX('AFA Rates'!$C$5:$C$1004,$T1149))))</f>
        <v/>
      </c>
      <c r="E1149" s="88">
        <f>IF($T1149="","",IF($S1149="S",IF(""="","",""),IF(INDEX('AFA Rates'!$D$5:$D$1004,$T1149)="","",INDEX('AFA Rates'!$D$5:$D$1004,$T1149))))</f>
        <v/>
      </c>
      <c r="F1149" s="79">
        <f>IF($T1149="","",IF($S1149="S",IF(INDEX(Firms!$O$5:$O$1004,$T1149)="","",INDEX(Firms!$O$5:$O$1004,$T1149)),IF(INDEX('AFA Rates'!$O$5:$O$1004,$T1149)="","",INDEX('AFA Rates'!$O$5:$O$1004,$T1149))))</f>
        <v/>
      </c>
      <c r="G1149" s="50">
        <f>IF($T1149="","",IF($S1149="S",IF(INDEX(Firms!$F$5:$F$1004,$T1149)="","",INDEX(Firms!$F$5:$F$1004,$T1149)),IF(INDEX('AFA Rates'!$E$5:$E$1004,$T1149)="","",INDEX('AFA Rates'!$E$5:$E$1004,$T1149))))</f>
        <v/>
      </c>
      <c r="H1149" s="50">
        <f>IF($T1149="","",IF($S1149="S",IF(INDEX(Firms!$G$5:$G$1004,$T1149)="","",INDEX(Firms!$G$5:$G$1004,$T1149)),IF(INDEX('AFA Rates'!$F$5:$F$1004,$T1149)="","",INDEX('AFA Rates'!$F$5:$F$1004,$T1149))))</f>
        <v/>
      </c>
      <c r="I1149" s="50">
        <f>IF($T1149="","",IF($S1149="S",IF(INDEX(Firms!$H$5:$H$1004,$T1149)="","",INDEX(Firms!$H$5:$H$1004,$T1149)),IF(INDEX('AFA Rates'!$G$5:$G$1004,$T1149)="","",INDEX('AFA Rates'!$G$5:$G$1004,$T1149))))</f>
        <v/>
      </c>
      <c r="J1149" s="50">
        <f>IF($T1149="","",IF($S1149="S",IF(INDEX(Firms!$I$5:$I$1004,$T1149)="","",INDEX(Firms!$I$5:$I$1004,$T1149)),IF(INDEX('AFA Rates'!$H$5:$H$1004,$T1149)="","",INDEX('AFA Rates'!$H$5:$H$1004,$T1149))))</f>
        <v/>
      </c>
      <c r="K1149" s="50">
        <f>IF($T1149="","",IF($S1149="S",IF(INDEX(Firms!$J$5:$J$1004,$T1149)="","",INDEX(Firms!$J$5:$J$1004,$T1149)),IF(INDEX('AFA Rates'!$I$5:$I$1004,$T1149)="","",INDEX('AFA Rates'!$I$5:$I$1004,$T1149))))</f>
        <v/>
      </c>
      <c r="L1149" s="50">
        <f>IF($T1149="","",IF($S1149="S",IF(INDEX(Firms!$K$5:$K$1004,$T1149)="","",INDEX(Firms!$K$5:$K$1004,$T1149)),IF(INDEX('AFA Rates'!$J$5:$J$1004,$T1149)="","",INDEX('AFA Rates'!$J$5:$J$1004,$T1149))))</f>
        <v/>
      </c>
      <c r="M1149" s="50">
        <f>IF($T1149="","",IF($S1149="S",IF(INDEX(Firms!$L$5:$L$1004,$T1149)="","",INDEX(Firms!$L$5:$L$1004,$T1149)),IF(INDEX('AFA Rates'!$K$5:$K$1004,$T1149)="","",INDEX('AFA Rates'!$K$5:$K$1004,$T1149))))</f>
        <v/>
      </c>
      <c r="N1149" s="50">
        <f>IF($T1149="","",IF($S1149="S",IF(INDEX(Firms!$M$5:$M$1004,$T1149)="","",INDEX(Firms!$M$5:$M$1004,$T1149)),IF(INDEX('AFA Rates'!$L$5:$L$1004,$T1149)="","",INDEX('AFA Rates'!$L$5:$L$1004,$T1149))))</f>
        <v/>
      </c>
      <c r="O1149" s="78">
        <f>IF(OR($T1149="",$U1149=""),"",IF(INDEX(Firms!$C$5:$C$1004,$U1149)="","",INDEX(Firms!$C$5:$C$1004,$U1149)))</f>
        <v/>
      </c>
      <c r="P1149" s="79">
        <f>IF(OR($T1149="",$U1149=""),"",IF(INDEX(Firms!$N$5:$N$1004,$U1149)="","",INDEX(Firms!$N$5:$N$1004,$U1149)))</f>
        <v/>
      </c>
      <c r="Q1149" s="78">
        <f>IF($T1149="","",IF($S1149="S",IF(INDEX(Firms!$T$5:$T$1004,$T1149)="","",INDEX(Firms!$T$5:$T$1004,$T1149)),IF(INDEX('AFA Rates'!$M$5:$M$1004,$T1149)="","",INDEX('AFA Rates'!$M$5:$M$1004,$T1149))))</f>
        <v/>
      </c>
      <c r="S1149">
        <f>IF(1145&lt;=$S$2,"S",IF(1145&lt;=$S$2+$T$2,"A",""))</f>
        <v/>
      </c>
      <c r="T1149">
        <f>IF(S1149="S",MATCH(1145,Firms!$W$5:$W$1004,0),IF(S1149="A",IFERROR(MATCH(1145-$S$2,'AFA Rates'!$R$5:$R$1004,0),""),""))</f>
        <v/>
      </c>
      <c r="U1149">
        <f>IF(S1149="S",T1149,IF(AND(S1149="A",T1149&lt;&gt;""),IFERROR(MATCH(INDEX('AFA Rates'!$A$5:$A$1004,T1149),Firms!$A$5:$A$1004,0),""),""))</f>
        <v/>
      </c>
    </row>
    <row r="1150">
      <c r="A1150" s="78">
        <f>IF($T1150="","",IF($S1150="S",IF(INDEX(Firms!$A$5:$A$1004,$T1150)="","",INDEX(Firms!$A$5:$A$1004,$T1150)),IF(INDEX('AFA Rates'!$A$5:$A$1004,$T1150)="","",INDEX('AFA Rates'!$A$5:$A$1004,$T1150))))</f>
        <v/>
      </c>
      <c r="B1150" s="79">
        <f>IF(OR($T1150="",$U1150=""),IF($T1150="","","Not on Firms tab"),INDEX(Firms!$B$5:$B$1004,$U1150)&amp;"")</f>
        <v/>
      </c>
      <c r="C1150" s="78">
        <f>IF($T1150="","",IF($S1150="S","Standard",INDEX('AFA Rates'!$B$5:$B$1004,$T1150)&amp;""))</f>
        <v/>
      </c>
      <c r="D1150" s="88">
        <f>IF($T1150="","",IF($S1150="S",IF(INDEX(Firms!$E$5:$E$1004,$T1150)="","",INDEX(Firms!$E$5:$E$1004,$T1150)),IF(INDEX('AFA Rates'!$C$5:$C$1004,$T1150)="","",INDEX('AFA Rates'!$C$5:$C$1004,$T1150))))</f>
        <v/>
      </c>
      <c r="E1150" s="88">
        <f>IF($T1150="","",IF($S1150="S",IF(""="","",""),IF(INDEX('AFA Rates'!$D$5:$D$1004,$T1150)="","",INDEX('AFA Rates'!$D$5:$D$1004,$T1150))))</f>
        <v/>
      </c>
      <c r="F1150" s="79">
        <f>IF($T1150="","",IF($S1150="S",IF(INDEX(Firms!$O$5:$O$1004,$T1150)="","",INDEX(Firms!$O$5:$O$1004,$T1150)),IF(INDEX('AFA Rates'!$O$5:$O$1004,$T1150)="","",INDEX('AFA Rates'!$O$5:$O$1004,$T1150))))</f>
        <v/>
      </c>
      <c r="G1150" s="50">
        <f>IF($T1150="","",IF($S1150="S",IF(INDEX(Firms!$F$5:$F$1004,$T1150)="","",INDEX(Firms!$F$5:$F$1004,$T1150)),IF(INDEX('AFA Rates'!$E$5:$E$1004,$T1150)="","",INDEX('AFA Rates'!$E$5:$E$1004,$T1150))))</f>
        <v/>
      </c>
      <c r="H1150" s="50">
        <f>IF($T1150="","",IF($S1150="S",IF(INDEX(Firms!$G$5:$G$1004,$T1150)="","",INDEX(Firms!$G$5:$G$1004,$T1150)),IF(INDEX('AFA Rates'!$F$5:$F$1004,$T1150)="","",INDEX('AFA Rates'!$F$5:$F$1004,$T1150))))</f>
        <v/>
      </c>
      <c r="I1150" s="50">
        <f>IF($T1150="","",IF($S1150="S",IF(INDEX(Firms!$H$5:$H$1004,$T1150)="","",INDEX(Firms!$H$5:$H$1004,$T1150)),IF(INDEX('AFA Rates'!$G$5:$G$1004,$T1150)="","",INDEX('AFA Rates'!$G$5:$G$1004,$T1150))))</f>
        <v/>
      </c>
      <c r="J1150" s="50">
        <f>IF($T1150="","",IF($S1150="S",IF(INDEX(Firms!$I$5:$I$1004,$T1150)="","",INDEX(Firms!$I$5:$I$1004,$T1150)),IF(INDEX('AFA Rates'!$H$5:$H$1004,$T1150)="","",INDEX('AFA Rates'!$H$5:$H$1004,$T1150))))</f>
        <v/>
      </c>
      <c r="K1150" s="50">
        <f>IF($T1150="","",IF($S1150="S",IF(INDEX(Firms!$J$5:$J$1004,$T1150)="","",INDEX(Firms!$J$5:$J$1004,$T1150)),IF(INDEX('AFA Rates'!$I$5:$I$1004,$T1150)="","",INDEX('AFA Rates'!$I$5:$I$1004,$T1150))))</f>
        <v/>
      </c>
      <c r="L1150" s="50">
        <f>IF($T1150="","",IF($S1150="S",IF(INDEX(Firms!$K$5:$K$1004,$T1150)="","",INDEX(Firms!$K$5:$K$1004,$T1150)),IF(INDEX('AFA Rates'!$J$5:$J$1004,$T1150)="","",INDEX('AFA Rates'!$J$5:$J$1004,$T1150))))</f>
        <v/>
      </c>
      <c r="M1150" s="50">
        <f>IF($T1150="","",IF($S1150="S",IF(INDEX(Firms!$L$5:$L$1004,$T1150)="","",INDEX(Firms!$L$5:$L$1004,$T1150)),IF(INDEX('AFA Rates'!$K$5:$K$1004,$T1150)="","",INDEX('AFA Rates'!$K$5:$K$1004,$T1150))))</f>
        <v/>
      </c>
      <c r="N1150" s="50">
        <f>IF($T1150="","",IF($S1150="S",IF(INDEX(Firms!$M$5:$M$1004,$T1150)="","",INDEX(Firms!$M$5:$M$1004,$T1150)),IF(INDEX('AFA Rates'!$L$5:$L$1004,$T1150)="","",INDEX('AFA Rates'!$L$5:$L$1004,$T1150))))</f>
        <v/>
      </c>
      <c r="O1150" s="78">
        <f>IF(OR($T1150="",$U1150=""),"",IF(INDEX(Firms!$C$5:$C$1004,$U1150)="","",INDEX(Firms!$C$5:$C$1004,$U1150)))</f>
        <v/>
      </c>
      <c r="P1150" s="79">
        <f>IF(OR($T1150="",$U1150=""),"",IF(INDEX(Firms!$N$5:$N$1004,$U1150)="","",INDEX(Firms!$N$5:$N$1004,$U1150)))</f>
        <v/>
      </c>
      <c r="Q1150" s="78">
        <f>IF($T1150="","",IF($S1150="S",IF(INDEX(Firms!$T$5:$T$1004,$T1150)="","",INDEX(Firms!$T$5:$T$1004,$T1150)),IF(INDEX('AFA Rates'!$M$5:$M$1004,$T1150)="","",INDEX('AFA Rates'!$M$5:$M$1004,$T1150))))</f>
        <v/>
      </c>
      <c r="S1150">
        <f>IF(1146&lt;=$S$2,"S",IF(1146&lt;=$S$2+$T$2,"A",""))</f>
        <v/>
      </c>
      <c r="T1150">
        <f>IF(S1150="S",MATCH(1146,Firms!$W$5:$W$1004,0),IF(S1150="A",IFERROR(MATCH(1146-$S$2,'AFA Rates'!$R$5:$R$1004,0),""),""))</f>
        <v/>
      </c>
      <c r="U1150">
        <f>IF(S1150="S",T1150,IF(AND(S1150="A",T1150&lt;&gt;""),IFERROR(MATCH(INDEX('AFA Rates'!$A$5:$A$1004,T1150),Firms!$A$5:$A$1004,0),""),""))</f>
        <v/>
      </c>
    </row>
    <row r="1151">
      <c r="A1151" s="78">
        <f>IF($T1151="","",IF($S1151="S",IF(INDEX(Firms!$A$5:$A$1004,$T1151)="","",INDEX(Firms!$A$5:$A$1004,$T1151)),IF(INDEX('AFA Rates'!$A$5:$A$1004,$T1151)="","",INDEX('AFA Rates'!$A$5:$A$1004,$T1151))))</f>
        <v/>
      </c>
      <c r="B1151" s="79">
        <f>IF(OR($T1151="",$U1151=""),IF($T1151="","","Not on Firms tab"),INDEX(Firms!$B$5:$B$1004,$U1151)&amp;"")</f>
        <v/>
      </c>
      <c r="C1151" s="78">
        <f>IF($T1151="","",IF($S1151="S","Standard",INDEX('AFA Rates'!$B$5:$B$1004,$T1151)&amp;""))</f>
        <v/>
      </c>
      <c r="D1151" s="88">
        <f>IF($T1151="","",IF($S1151="S",IF(INDEX(Firms!$E$5:$E$1004,$T1151)="","",INDEX(Firms!$E$5:$E$1004,$T1151)),IF(INDEX('AFA Rates'!$C$5:$C$1004,$T1151)="","",INDEX('AFA Rates'!$C$5:$C$1004,$T1151))))</f>
        <v/>
      </c>
      <c r="E1151" s="88">
        <f>IF($T1151="","",IF($S1151="S",IF(""="","",""),IF(INDEX('AFA Rates'!$D$5:$D$1004,$T1151)="","",INDEX('AFA Rates'!$D$5:$D$1004,$T1151))))</f>
        <v/>
      </c>
      <c r="F1151" s="79">
        <f>IF($T1151="","",IF($S1151="S",IF(INDEX(Firms!$O$5:$O$1004,$T1151)="","",INDEX(Firms!$O$5:$O$1004,$T1151)),IF(INDEX('AFA Rates'!$O$5:$O$1004,$T1151)="","",INDEX('AFA Rates'!$O$5:$O$1004,$T1151))))</f>
        <v/>
      </c>
      <c r="G1151" s="50">
        <f>IF($T1151="","",IF($S1151="S",IF(INDEX(Firms!$F$5:$F$1004,$T1151)="","",INDEX(Firms!$F$5:$F$1004,$T1151)),IF(INDEX('AFA Rates'!$E$5:$E$1004,$T1151)="","",INDEX('AFA Rates'!$E$5:$E$1004,$T1151))))</f>
        <v/>
      </c>
      <c r="H1151" s="50">
        <f>IF($T1151="","",IF($S1151="S",IF(INDEX(Firms!$G$5:$G$1004,$T1151)="","",INDEX(Firms!$G$5:$G$1004,$T1151)),IF(INDEX('AFA Rates'!$F$5:$F$1004,$T1151)="","",INDEX('AFA Rates'!$F$5:$F$1004,$T1151))))</f>
        <v/>
      </c>
      <c r="I1151" s="50">
        <f>IF($T1151="","",IF($S1151="S",IF(INDEX(Firms!$H$5:$H$1004,$T1151)="","",INDEX(Firms!$H$5:$H$1004,$T1151)),IF(INDEX('AFA Rates'!$G$5:$G$1004,$T1151)="","",INDEX('AFA Rates'!$G$5:$G$1004,$T1151))))</f>
        <v/>
      </c>
      <c r="J1151" s="50">
        <f>IF($T1151="","",IF($S1151="S",IF(INDEX(Firms!$I$5:$I$1004,$T1151)="","",INDEX(Firms!$I$5:$I$1004,$T1151)),IF(INDEX('AFA Rates'!$H$5:$H$1004,$T1151)="","",INDEX('AFA Rates'!$H$5:$H$1004,$T1151))))</f>
        <v/>
      </c>
      <c r="K1151" s="50">
        <f>IF($T1151="","",IF($S1151="S",IF(INDEX(Firms!$J$5:$J$1004,$T1151)="","",INDEX(Firms!$J$5:$J$1004,$T1151)),IF(INDEX('AFA Rates'!$I$5:$I$1004,$T1151)="","",INDEX('AFA Rates'!$I$5:$I$1004,$T1151))))</f>
        <v/>
      </c>
      <c r="L1151" s="50">
        <f>IF($T1151="","",IF($S1151="S",IF(INDEX(Firms!$K$5:$K$1004,$T1151)="","",INDEX(Firms!$K$5:$K$1004,$T1151)),IF(INDEX('AFA Rates'!$J$5:$J$1004,$T1151)="","",INDEX('AFA Rates'!$J$5:$J$1004,$T1151))))</f>
        <v/>
      </c>
      <c r="M1151" s="50">
        <f>IF($T1151="","",IF($S1151="S",IF(INDEX(Firms!$L$5:$L$1004,$T1151)="","",INDEX(Firms!$L$5:$L$1004,$T1151)),IF(INDEX('AFA Rates'!$K$5:$K$1004,$T1151)="","",INDEX('AFA Rates'!$K$5:$K$1004,$T1151))))</f>
        <v/>
      </c>
      <c r="N1151" s="50">
        <f>IF($T1151="","",IF($S1151="S",IF(INDEX(Firms!$M$5:$M$1004,$T1151)="","",INDEX(Firms!$M$5:$M$1004,$T1151)),IF(INDEX('AFA Rates'!$L$5:$L$1004,$T1151)="","",INDEX('AFA Rates'!$L$5:$L$1004,$T1151))))</f>
        <v/>
      </c>
      <c r="O1151" s="78">
        <f>IF(OR($T1151="",$U1151=""),"",IF(INDEX(Firms!$C$5:$C$1004,$U1151)="","",INDEX(Firms!$C$5:$C$1004,$U1151)))</f>
        <v/>
      </c>
      <c r="P1151" s="79">
        <f>IF(OR($T1151="",$U1151=""),"",IF(INDEX(Firms!$N$5:$N$1004,$U1151)="","",INDEX(Firms!$N$5:$N$1004,$U1151)))</f>
        <v/>
      </c>
      <c r="Q1151" s="78">
        <f>IF($T1151="","",IF($S1151="S",IF(INDEX(Firms!$T$5:$T$1004,$T1151)="","",INDEX(Firms!$T$5:$T$1004,$T1151)),IF(INDEX('AFA Rates'!$M$5:$M$1004,$T1151)="","",INDEX('AFA Rates'!$M$5:$M$1004,$T1151))))</f>
        <v/>
      </c>
      <c r="S1151">
        <f>IF(1147&lt;=$S$2,"S",IF(1147&lt;=$S$2+$T$2,"A",""))</f>
        <v/>
      </c>
      <c r="T1151">
        <f>IF(S1151="S",MATCH(1147,Firms!$W$5:$W$1004,0),IF(S1151="A",IFERROR(MATCH(1147-$S$2,'AFA Rates'!$R$5:$R$1004,0),""),""))</f>
        <v/>
      </c>
      <c r="U1151">
        <f>IF(S1151="S",T1151,IF(AND(S1151="A",T1151&lt;&gt;""),IFERROR(MATCH(INDEX('AFA Rates'!$A$5:$A$1004,T1151),Firms!$A$5:$A$1004,0),""),""))</f>
        <v/>
      </c>
    </row>
    <row r="1152">
      <c r="A1152" s="78">
        <f>IF($T1152="","",IF($S1152="S",IF(INDEX(Firms!$A$5:$A$1004,$T1152)="","",INDEX(Firms!$A$5:$A$1004,$T1152)),IF(INDEX('AFA Rates'!$A$5:$A$1004,$T1152)="","",INDEX('AFA Rates'!$A$5:$A$1004,$T1152))))</f>
        <v/>
      </c>
      <c r="B1152" s="79">
        <f>IF(OR($T1152="",$U1152=""),IF($T1152="","","Not on Firms tab"),INDEX(Firms!$B$5:$B$1004,$U1152)&amp;"")</f>
        <v/>
      </c>
      <c r="C1152" s="78">
        <f>IF($T1152="","",IF($S1152="S","Standard",INDEX('AFA Rates'!$B$5:$B$1004,$T1152)&amp;""))</f>
        <v/>
      </c>
      <c r="D1152" s="88">
        <f>IF($T1152="","",IF($S1152="S",IF(INDEX(Firms!$E$5:$E$1004,$T1152)="","",INDEX(Firms!$E$5:$E$1004,$T1152)),IF(INDEX('AFA Rates'!$C$5:$C$1004,$T1152)="","",INDEX('AFA Rates'!$C$5:$C$1004,$T1152))))</f>
        <v/>
      </c>
      <c r="E1152" s="88">
        <f>IF($T1152="","",IF($S1152="S",IF(""="","",""),IF(INDEX('AFA Rates'!$D$5:$D$1004,$T1152)="","",INDEX('AFA Rates'!$D$5:$D$1004,$T1152))))</f>
        <v/>
      </c>
      <c r="F1152" s="79">
        <f>IF($T1152="","",IF($S1152="S",IF(INDEX(Firms!$O$5:$O$1004,$T1152)="","",INDEX(Firms!$O$5:$O$1004,$T1152)),IF(INDEX('AFA Rates'!$O$5:$O$1004,$T1152)="","",INDEX('AFA Rates'!$O$5:$O$1004,$T1152))))</f>
        <v/>
      </c>
      <c r="G1152" s="50">
        <f>IF($T1152="","",IF($S1152="S",IF(INDEX(Firms!$F$5:$F$1004,$T1152)="","",INDEX(Firms!$F$5:$F$1004,$T1152)),IF(INDEX('AFA Rates'!$E$5:$E$1004,$T1152)="","",INDEX('AFA Rates'!$E$5:$E$1004,$T1152))))</f>
        <v/>
      </c>
      <c r="H1152" s="50">
        <f>IF($T1152="","",IF($S1152="S",IF(INDEX(Firms!$G$5:$G$1004,$T1152)="","",INDEX(Firms!$G$5:$G$1004,$T1152)),IF(INDEX('AFA Rates'!$F$5:$F$1004,$T1152)="","",INDEX('AFA Rates'!$F$5:$F$1004,$T1152))))</f>
        <v/>
      </c>
      <c r="I1152" s="50">
        <f>IF($T1152="","",IF($S1152="S",IF(INDEX(Firms!$H$5:$H$1004,$T1152)="","",INDEX(Firms!$H$5:$H$1004,$T1152)),IF(INDEX('AFA Rates'!$G$5:$G$1004,$T1152)="","",INDEX('AFA Rates'!$G$5:$G$1004,$T1152))))</f>
        <v/>
      </c>
      <c r="J1152" s="50">
        <f>IF($T1152="","",IF($S1152="S",IF(INDEX(Firms!$I$5:$I$1004,$T1152)="","",INDEX(Firms!$I$5:$I$1004,$T1152)),IF(INDEX('AFA Rates'!$H$5:$H$1004,$T1152)="","",INDEX('AFA Rates'!$H$5:$H$1004,$T1152))))</f>
        <v/>
      </c>
      <c r="K1152" s="50">
        <f>IF($T1152="","",IF($S1152="S",IF(INDEX(Firms!$J$5:$J$1004,$T1152)="","",INDEX(Firms!$J$5:$J$1004,$T1152)),IF(INDEX('AFA Rates'!$I$5:$I$1004,$T1152)="","",INDEX('AFA Rates'!$I$5:$I$1004,$T1152))))</f>
        <v/>
      </c>
      <c r="L1152" s="50">
        <f>IF($T1152="","",IF($S1152="S",IF(INDEX(Firms!$K$5:$K$1004,$T1152)="","",INDEX(Firms!$K$5:$K$1004,$T1152)),IF(INDEX('AFA Rates'!$J$5:$J$1004,$T1152)="","",INDEX('AFA Rates'!$J$5:$J$1004,$T1152))))</f>
        <v/>
      </c>
      <c r="M1152" s="50">
        <f>IF($T1152="","",IF($S1152="S",IF(INDEX(Firms!$L$5:$L$1004,$T1152)="","",INDEX(Firms!$L$5:$L$1004,$T1152)),IF(INDEX('AFA Rates'!$K$5:$K$1004,$T1152)="","",INDEX('AFA Rates'!$K$5:$K$1004,$T1152))))</f>
        <v/>
      </c>
      <c r="N1152" s="50">
        <f>IF($T1152="","",IF($S1152="S",IF(INDEX(Firms!$M$5:$M$1004,$T1152)="","",INDEX(Firms!$M$5:$M$1004,$T1152)),IF(INDEX('AFA Rates'!$L$5:$L$1004,$T1152)="","",INDEX('AFA Rates'!$L$5:$L$1004,$T1152))))</f>
        <v/>
      </c>
      <c r="O1152" s="78">
        <f>IF(OR($T1152="",$U1152=""),"",IF(INDEX(Firms!$C$5:$C$1004,$U1152)="","",INDEX(Firms!$C$5:$C$1004,$U1152)))</f>
        <v/>
      </c>
      <c r="P1152" s="79">
        <f>IF(OR($T1152="",$U1152=""),"",IF(INDEX(Firms!$N$5:$N$1004,$U1152)="","",INDEX(Firms!$N$5:$N$1004,$U1152)))</f>
        <v/>
      </c>
      <c r="Q1152" s="78">
        <f>IF($T1152="","",IF($S1152="S",IF(INDEX(Firms!$T$5:$T$1004,$T1152)="","",INDEX(Firms!$T$5:$T$1004,$T1152)),IF(INDEX('AFA Rates'!$M$5:$M$1004,$T1152)="","",INDEX('AFA Rates'!$M$5:$M$1004,$T1152))))</f>
        <v/>
      </c>
      <c r="S1152">
        <f>IF(1148&lt;=$S$2,"S",IF(1148&lt;=$S$2+$T$2,"A",""))</f>
        <v/>
      </c>
      <c r="T1152">
        <f>IF(S1152="S",MATCH(1148,Firms!$W$5:$W$1004,0),IF(S1152="A",IFERROR(MATCH(1148-$S$2,'AFA Rates'!$R$5:$R$1004,0),""),""))</f>
        <v/>
      </c>
      <c r="U1152">
        <f>IF(S1152="S",T1152,IF(AND(S1152="A",T1152&lt;&gt;""),IFERROR(MATCH(INDEX('AFA Rates'!$A$5:$A$1004,T1152),Firms!$A$5:$A$1004,0),""),""))</f>
        <v/>
      </c>
    </row>
    <row r="1153">
      <c r="A1153" s="78">
        <f>IF($T1153="","",IF($S1153="S",IF(INDEX(Firms!$A$5:$A$1004,$T1153)="","",INDEX(Firms!$A$5:$A$1004,$T1153)),IF(INDEX('AFA Rates'!$A$5:$A$1004,$T1153)="","",INDEX('AFA Rates'!$A$5:$A$1004,$T1153))))</f>
        <v/>
      </c>
      <c r="B1153" s="79">
        <f>IF(OR($T1153="",$U1153=""),IF($T1153="","","Not on Firms tab"),INDEX(Firms!$B$5:$B$1004,$U1153)&amp;"")</f>
        <v/>
      </c>
      <c r="C1153" s="78">
        <f>IF($T1153="","",IF($S1153="S","Standard",INDEX('AFA Rates'!$B$5:$B$1004,$T1153)&amp;""))</f>
        <v/>
      </c>
      <c r="D1153" s="88">
        <f>IF($T1153="","",IF($S1153="S",IF(INDEX(Firms!$E$5:$E$1004,$T1153)="","",INDEX(Firms!$E$5:$E$1004,$T1153)),IF(INDEX('AFA Rates'!$C$5:$C$1004,$T1153)="","",INDEX('AFA Rates'!$C$5:$C$1004,$T1153))))</f>
        <v/>
      </c>
      <c r="E1153" s="88">
        <f>IF($T1153="","",IF($S1153="S",IF(""="","",""),IF(INDEX('AFA Rates'!$D$5:$D$1004,$T1153)="","",INDEX('AFA Rates'!$D$5:$D$1004,$T1153))))</f>
        <v/>
      </c>
      <c r="F1153" s="79">
        <f>IF($T1153="","",IF($S1153="S",IF(INDEX(Firms!$O$5:$O$1004,$T1153)="","",INDEX(Firms!$O$5:$O$1004,$T1153)),IF(INDEX('AFA Rates'!$O$5:$O$1004,$T1153)="","",INDEX('AFA Rates'!$O$5:$O$1004,$T1153))))</f>
        <v/>
      </c>
      <c r="G1153" s="50">
        <f>IF($T1153="","",IF($S1153="S",IF(INDEX(Firms!$F$5:$F$1004,$T1153)="","",INDEX(Firms!$F$5:$F$1004,$T1153)),IF(INDEX('AFA Rates'!$E$5:$E$1004,$T1153)="","",INDEX('AFA Rates'!$E$5:$E$1004,$T1153))))</f>
        <v/>
      </c>
      <c r="H1153" s="50">
        <f>IF($T1153="","",IF($S1153="S",IF(INDEX(Firms!$G$5:$G$1004,$T1153)="","",INDEX(Firms!$G$5:$G$1004,$T1153)),IF(INDEX('AFA Rates'!$F$5:$F$1004,$T1153)="","",INDEX('AFA Rates'!$F$5:$F$1004,$T1153))))</f>
        <v/>
      </c>
      <c r="I1153" s="50">
        <f>IF($T1153="","",IF($S1153="S",IF(INDEX(Firms!$H$5:$H$1004,$T1153)="","",INDEX(Firms!$H$5:$H$1004,$T1153)),IF(INDEX('AFA Rates'!$G$5:$G$1004,$T1153)="","",INDEX('AFA Rates'!$G$5:$G$1004,$T1153))))</f>
        <v/>
      </c>
      <c r="J1153" s="50">
        <f>IF($T1153="","",IF($S1153="S",IF(INDEX(Firms!$I$5:$I$1004,$T1153)="","",INDEX(Firms!$I$5:$I$1004,$T1153)),IF(INDEX('AFA Rates'!$H$5:$H$1004,$T1153)="","",INDEX('AFA Rates'!$H$5:$H$1004,$T1153))))</f>
        <v/>
      </c>
      <c r="K1153" s="50">
        <f>IF($T1153="","",IF($S1153="S",IF(INDEX(Firms!$J$5:$J$1004,$T1153)="","",INDEX(Firms!$J$5:$J$1004,$T1153)),IF(INDEX('AFA Rates'!$I$5:$I$1004,$T1153)="","",INDEX('AFA Rates'!$I$5:$I$1004,$T1153))))</f>
        <v/>
      </c>
      <c r="L1153" s="50">
        <f>IF($T1153="","",IF($S1153="S",IF(INDEX(Firms!$K$5:$K$1004,$T1153)="","",INDEX(Firms!$K$5:$K$1004,$T1153)),IF(INDEX('AFA Rates'!$J$5:$J$1004,$T1153)="","",INDEX('AFA Rates'!$J$5:$J$1004,$T1153))))</f>
        <v/>
      </c>
      <c r="M1153" s="50">
        <f>IF($T1153="","",IF($S1153="S",IF(INDEX(Firms!$L$5:$L$1004,$T1153)="","",INDEX(Firms!$L$5:$L$1004,$T1153)),IF(INDEX('AFA Rates'!$K$5:$K$1004,$T1153)="","",INDEX('AFA Rates'!$K$5:$K$1004,$T1153))))</f>
        <v/>
      </c>
      <c r="N1153" s="50">
        <f>IF($T1153="","",IF($S1153="S",IF(INDEX(Firms!$M$5:$M$1004,$T1153)="","",INDEX(Firms!$M$5:$M$1004,$T1153)),IF(INDEX('AFA Rates'!$L$5:$L$1004,$T1153)="","",INDEX('AFA Rates'!$L$5:$L$1004,$T1153))))</f>
        <v/>
      </c>
      <c r="O1153" s="78">
        <f>IF(OR($T1153="",$U1153=""),"",IF(INDEX(Firms!$C$5:$C$1004,$U1153)="","",INDEX(Firms!$C$5:$C$1004,$U1153)))</f>
        <v/>
      </c>
      <c r="P1153" s="79">
        <f>IF(OR($T1153="",$U1153=""),"",IF(INDEX(Firms!$N$5:$N$1004,$U1153)="","",INDEX(Firms!$N$5:$N$1004,$U1153)))</f>
        <v/>
      </c>
      <c r="Q1153" s="78">
        <f>IF($T1153="","",IF($S1153="S",IF(INDEX(Firms!$T$5:$T$1004,$T1153)="","",INDEX(Firms!$T$5:$T$1004,$T1153)),IF(INDEX('AFA Rates'!$M$5:$M$1004,$T1153)="","",INDEX('AFA Rates'!$M$5:$M$1004,$T1153))))</f>
        <v/>
      </c>
      <c r="S1153">
        <f>IF(1149&lt;=$S$2,"S",IF(1149&lt;=$S$2+$T$2,"A",""))</f>
        <v/>
      </c>
      <c r="T1153">
        <f>IF(S1153="S",MATCH(1149,Firms!$W$5:$W$1004,0),IF(S1153="A",IFERROR(MATCH(1149-$S$2,'AFA Rates'!$R$5:$R$1004,0),""),""))</f>
        <v/>
      </c>
      <c r="U1153">
        <f>IF(S1153="S",T1153,IF(AND(S1153="A",T1153&lt;&gt;""),IFERROR(MATCH(INDEX('AFA Rates'!$A$5:$A$1004,T1153),Firms!$A$5:$A$1004,0),""),""))</f>
        <v/>
      </c>
    </row>
    <row r="1154">
      <c r="A1154" s="78">
        <f>IF($T1154="","",IF($S1154="S",IF(INDEX(Firms!$A$5:$A$1004,$T1154)="","",INDEX(Firms!$A$5:$A$1004,$T1154)),IF(INDEX('AFA Rates'!$A$5:$A$1004,$T1154)="","",INDEX('AFA Rates'!$A$5:$A$1004,$T1154))))</f>
        <v/>
      </c>
      <c r="B1154" s="79">
        <f>IF(OR($T1154="",$U1154=""),IF($T1154="","","Not on Firms tab"),INDEX(Firms!$B$5:$B$1004,$U1154)&amp;"")</f>
        <v/>
      </c>
      <c r="C1154" s="78">
        <f>IF($T1154="","",IF($S1154="S","Standard",INDEX('AFA Rates'!$B$5:$B$1004,$T1154)&amp;""))</f>
        <v/>
      </c>
      <c r="D1154" s="88">
        <f>IF($T1154="","",IF($S1154="S",IF(INDEX(Firms!$E$5:$E$1004,$T1154)="","",INDEX(Firms!$E$5:$E$1004,$T1154)),IF(INDEX('AFA Rates'!$C$5:$C$1004,$T1154)="","",INDEX('AFA Rates'!$C$5:$C$1004,$T1154))))</f>
        <v/>
      </c>
      <c r="E1154" s="88">
        <f>IF($T1154="","",IF($S1154="S",IF(""="","",""),IF(INDEX('AFA Rates'!$D$5:$D$1004,$T1154)="","",INDEX('AFA Rates'!$D$5:$D$1004,$T1154))))</f>
        <v/>
      </c>
      <c r="F1154" s="79">
        <f>IF($T1154="","",IF($S1154="S",IF(INDEX(Firms!$O$5:$O$1004,$T1154)="","",INDEX(Firms!$O$5:$O$1004,$T1154)),IF(INDEX('AFA Rates'!$O$5:$O$1004,$T1154)="","",INDEX('AFA Rates'!$O$5:$O$1004,$T1154))))</f>
        <v/>
      </c>
      <c r="G1154" s="50">
        <f>IF($T1154="","",IF($S1154="S",IF(INDEX(Firms!$F$5:$F$1004,$T1154)="","",INDEX(Firms!$F$5:$F$1004,$T1154)),IF(INDEX('AFA Rates'!$E$5:$E$1004,$T1154)="","",INDEX('AFA Rates'!$E$5:$E$1004,$T1154))))</f>
        <v/>
      </c>
      <c r="H1154" s="50">
        <f>IF($T1154="","",IF($S1154="S",IF(INDEX(Firms!$G$5:$G$1004,$T1154)="","",INDEX(Firms!$G$5:$G$1004,$T1154)),IF(INDEX('AFA Rates'!$F$5:$F$1004,$T1154)="","",INDEX('AFA Rates'!$F$5:$F$1004,$T1154))))</f>
        <v/>
      </c>
      <c r="I1154" s="50">
        <f>IF($T1154="","",IF($S1154="S",IF(INDEX(Firms!$H$5:$H$1004,$T1154)="","",INDEX(Firms!$H$5:$H$1004,$T1154)),IF(INDEX('AFA Rates'!$G$5:$G$1004,$T1154)="","",INDEX('AFA Rates'!$G$5:$G$1004,$T1154))))</f>
        <v/>
      </c>
      <c r="J1154" s="50">
        <f>IF($T1154="","",IF($S1154="S",IF(INDEX(Firms!$I$5:$I$1004,$T1154)="","",INDEX(Firms!$I$5:$I$1004,$T1154)),IF(INDEX('AFA Rates'!$H$5:$H$1004,$T1154)="","",INDEX('AFA Rates'!$H$5:$H$1004,$T1154))))</f>
        <v/>
      </c>
      <c r="K1154" s="50">
        <f>IF($T1154="","",IF($S1154="S",IF(INDEX(Firms!$J$5:$J$1004,$T1154)="","",INDEX(Firms!$J$5:$J$1004,$T1154)),IF(INDEX('AFA Rates'!$I$5:$I$1004,$T1154)="","",INDEX('AFA Rates'!$I$5:$I$1004,$T1154))))</f>
        <v/>
      </c>
      <c r="L1154" s="50">
        <f>IF($T1154="","",IF($S1154="S",IF(INDEX(Firms!$K$5:$K$1004,$T1154)="","",INDEX(Firms!$K$5:$K$1004,$T1154)),IF(INDEX('AFA Rates'!$J$5:$J$1004,$T1154)="","",INDEX('AFA Rates'!$J$5:$J$1004,$T1154))))</f>
        <v/>
      </c>
      <c r="M1154" s="50">
        <f>IF($T1154="","",IF($S1154="S",IF(INDEX(Firms!$L$5:$L$1004,$T1154)="","",INDEX(Firms!$L$5:$L$1004,$T1154)),IF(INDEX('AFA Rates'!$K$5:$K$1004,$T1154)="","",INDEX('AFA Rates'!$K$5:$K$1004,$T1154))))</f>
        <v/>
      </c>
      <c r="N1154" s="50">
        <f>IF($T1154="","",IF($S1154="S",IF(INDEX(Firms!$M$5:$M$1004,$T1154)="","",INDEX(Firms!$M$5:$M$1004,$T1154)),IF(INDEX('AFA Rates'!$L$5:$L$1004,$T1154)="","",INDEX('AFA Rates'!$L$5:$L$1004,$T1154))))</f>
        <v/>
      </c>
      <c r="O1154" s="78">
        <f>IF(OR($T1154="",$U1154=""),"",IF(INDEX(Firms!$C$5:$C$1004,$U1154)="","",INDEX(Firms!$C$5:$C$1004,$U1154)))</f>
        <v/>
      </c>
      <c r="P1154" s="79">
        <f>IF(OR($T1154="",$U1154=""),"",IF(INDEX(Firms!$N$5:$N$1004,$U1154)="","",INDEX(Firms!$N$5:$N$1004,$U1154)))</f>
        <v/>
      </c>
      <c r="Q1154" s="78">
        <f>IF($T1154="","",IF($S1154="S",IF(INDEX(Firms!$T$5:$T$1004,$T1154)="","",INDEX(Firms!$T$5:$T$1004,$T1154)),IF(INDEX('AFA Rates'!$M$5:$M$1004,$T1154)="","",INDEX('AFA Rates'!$M$5:$M$1004,$T1154))))</f>
        <v/>
      </c>
      <c r="S1154">
        <f>IF(1150&lt;=$S$2,"S",IF(1150&lt;=$S$2+$T$2,"A",""))</f>
        <v/>
      </c>
      <c r="T1154">
        <f>IF(S1154="S",MATCH(1150,Firms!$W$5:$W$1004,0),IF(S1154="A",IFERROR(MATCH(1150-$S$2,'AFA Rates'!$R$5:$R$1004,0),""),""))</f>
        <v/>
      </c>
      <c r="U1154">
        <f>IF(S1154="S",T1154,IF(AND(S1154="A",T1154&lt;&gt;""),IFERROR(MATCH(INDEX('AFA Rates'!$A$5:$A$1004,T1154),Firms!$A$5:$A$1004,0),""),""))</f>
        <v/>
      </c>
    </row>
    <row r="1155">
      <c r="A1155" s="78">
        <f>IF($T1155="","",IF($S1155="S",IF(INDEX(Firms!$A$5:$A$1004,$T1155)="","",INDEX(Firms!$A$5:$A$1004,$T1155)),IF(INDEX('AFA Rates'!$A$5:$A$1004,$T1155)="","",INDEX('AFA Rates'!$A$5:$A$1004,$T1155))))</f>
        <v/>
      </c>
      <c r="B1155" s="79">
        <f>IF(OR($T1155="",$U1155=""),IF($T1155="","","Not on Firms tab"),INDEX(Firms!$B$5:$B$1004,$U1155)&amp;"")</f>
        <v/>
      </c>
      <c r="C1155" s="78">
        <f>IF($T1155="","",IF($S1155="S","Standard",INDEX('AFA Rates'!$B$5:$B$1004,$T1155)&amp;""))</f>
        <v/>
      </c>
      <c r="D1155" s="88">
        <f>IF($T1155="","",IF($S1155="S",IF(INDEX(Firms!$E$5:$E$1004,$T1155)="","",INDEX(Firms!$E$5:$E$1004,$T1155)),IF(INDEX('AFA Rates'!$C$5:$C$1004,$T1155)="","",INDEX('AFA Rates'!$C$5:$C$1004,$T1155))))</f>
        <v/>
      </c>
      <c r="E1155" s="88">
        <f>IF($T1155="","",IF($S1155="S",IF(""="","",""),IF(INDEX('AFA Rates'!$D$5:$D$1004,$T1155)="","",INDEX('AFA Rates'!$D$5:$D$1004,$T1155))))</f>
        <v/>
      </c>
      <c r="F1155" s="79">
        <f>IF($T1155="","",IF($S1155="S",IF(INDEX(Firms!$O$5:$O$1004,$T1155)="","",INDEX(Firms!$O$5:$O$1004,$T1155)),IF(INDEX('AFA Rates'!$O$5:$O$1004,$T1155)="","",INDEX('AFA Rates'!$O$5:$O$1004,$T1155))))</f>
        <v/>
      </c>
      <c r="G1155" s="50">
        <f>IF($T1155="","",IF($S1155="S",IF(INDEX(Firms!$F$5:$F$1004,$T1155)="","",INDEX(Firms!$F$5:$F$1004,$T1155)),IF(INDEX('AFA Rates'!$E$5:$E$1004,$T1155)="","",INDEX('AFA Rates'!$E$5:$E$1004,$T1155))))</f>
        <v/>
      </c>
      <c r="H1155" s="50">
        <f>IF($T1155="","",IF($S1155="S",IF(INDEX(Firms!$G$5:$G$1004,$T1155)="","",INDEX(Firms!$G$5:$G$1004,$T1155)),IF(INDEX('AFA Rates'!$F$5:$F$1004,$T1155)="","",INDEX('AFA Rates'!$F$5:$F$1004,$T1155))))</f>
        <v/>
      </c>
      <c r="I1155" s="50">
        <f>IF($T1155="","",IF($S1155="S",IF(INDEX(Firms!$H$5:$H$1004,$T1155)="","",INDEX(Firms!$H$5:$H$1004,$T1155)),IF(INDEX('AFA Rates'!$G$5:$G$1004,$T1155)="","",INDEX('AFA Rates'!$G$5:$G$1004,$T1155))))</f>
        <v/>
      </c>
      <c r="J1155" s="50">
        <f>IF($T1155="","",IF($S1155="S",IF(INDEX(Firms!$I$5:$I$1004,$T1155)="","",INDEX(Firms!$I$5:$I$1004,$T1155)),IF(INDEX('AFA Rates'!$H$5:$H$1004,$T1155)="","",INDEX('AFA Rates'!$H$5:$H$1004,$T1155))))</f>
        <v/>
      </c>
      <c r="K1155" s="50">
        <f>IF($T1155="","",IF($S1155="S",IF(INDEX(Firms!$J$5:$J$1004,$T1155)="","",INDEX(Firms!$J$5:$J$1004,$T1155)),IF(INDEX('AFA Rates'!$I$5:$I$1004,$T1155)="","",INDEX('AFA Rates'!$I$5:$I$1004,$T1155))))</f>
        <v/>
      </c>
      <c r="L1155" s="50">
        <f>IF($T1155="","",IF($S1155="S",IF(INDEX(Firms!$K$5:$K$1004,$T1155)="","",INDEX(Firms!$K$5:$K$1004,$T1155)),IF(INDEX('AFA Rates'!$J$5:$J$1004,$T1155)="","",INDEX('AFA Rates'!$J$5:$J$1004,$T1155))))</f>
        <v/>
      </c>
      <c r="M1155" s="50">
        <f>IF($T1155="","",IF($S1155="S",IF(INDEX(Firms!$L$5:$L$1004,$T1155)="","",INDEX(Firms!$L$5:$L$1004,$T1155)),IF(INDEX('AFA Rates'!$K$5:$K$1004,$T1155)="","",INDEX('AFA Rates'!$K$5:$K$1004,$T1155))))</f>
        <v/>
      </c>
      <c r="N1155" s="50">
        <f>IF($T1155="","",IF($S1155="S",IF(INDEX(Firms!$M$5:$M$1004,$T1155)="","",INDEX(Firms!$M$5:$M$1004,$T1155)),IF(INDEX('AFA Rates'!$L$5:$L$1004,$T1155)="","",INDEX('AFA Rates'!$L$5:$L$1004,$T1155))))</f>
        <v/>
      </c>
      <c r="O1155" s="78">
        <f>IF(OR($T1155="",$U1155=""),"",IF(INDEX(Firms!$C$5:$C$1004,$U1155)="","",INDEX(Firms!$C$5:$C$1004,$U1155)))</f>
        <v/>
      </c>
      <c r="P1155" s="79">
        <f>IF(OR($T1155="",$U1155=""),"",IF(INDEX(Firms!$N$5:$N$1004,$U1155)="","",INDEX(Firms!$N$5:$N$1004,$U1155)))</f>
        <v/>
      </c>
      <c r="Q1155" s="78">
        <f>IF($T1155="","",IF($S1155="S",IF(INDEX(Firms!$T$5:$T$1004,$T1155)="","",INDEX(Firms!$T$5:$T$1004,$T1155)),IF(INDEX('AFA Rates'!$M$5:$M$1004,$T1155)="","",INDEX('AFA Rates'!$M$5:$M$1004,$T1155))))</f>
        <v/>
      </c>
      <c r="S1155">
        <f>IF(1151&lt;=$S$2,"S",IF(1151&lt;=$S$2+$T$2,"A",""))</f>
        <v/>
      </c>
      <c r="T1155">
        <f>IF(S1155="S",MATCH(1151,Firms!$W$5:$W$1004,0),IF(S1155="A",IFERROR(MATCH(1151-$S$2,'AFA Rates'!$R$5:$R$1004,0),""),""))</f>
        <v/>
      </c>
      <c r="U1155">
        <f>IF(S1155="S",T1155,IF(AND(S1155="A",T1155&lt;&gt;""),IFERROR(MATCH(INDEX('AFA Rates'!$A$5:$A$1004,T1155),Firms!$A$5:$A$1004,0),""),""))</f>
        <v/>
      </c>
    </row>
    <row r="1156">
      <c r="A1156" s="78">
        <f>IF($T1156="","",IF($S1156="S",IF(INDEX(Firms!$A$5:$A$1004,$T1156)="","",INDEX(Firms!$A$5:$A$1004,$T1156)),IF(INDEX('AFA Rates'!$A$5:$A$1004,$T1156)="","",INDEX('AFA Rates'!$A$5:$A$1004,$T1156))))</f>
        <v/>
      </c>
      <c r="B1156" s="79">
        <f>IF(OR($T1156="",$U1156=""),IF($T1156="","","Not on Firms tab"),INDEX(Firms!$B$5:$B$1004,$U1156)&amp;"")</f>
        <v/>
      </c>
      <c r="C1156" s="78">
        <f>IF($T1156="","",IF($S1156="S","Standard",INDEX('AFA Rates'!$B$5:$B$1004,$T1156)&amp;""))</f>
        <v/>
      </c>
      <c r="D1156" s="88">
        <f>IF($T1156="","",IF($S1156="S",IF(INDEX(Firms!$E$5:$E$1004,$T1156)="","",INDEX(Firms!$E$5:$E$1004,$T1156)),IF(INDEX('AFA Rates'!$C$5:$C$1004,$T1156)="","",INDEX('AFA Rates'!$C$5:$C$1004,$T1156))))</f>
        <v/>
      </c>
      <c r="E1156" s="88">
        <f>IF($T1156="","",IF($S1156="S",IF(""="","",""),IF(INDEX('AFA Rates'!$D$5:$D$1004,$T1156)="","",INDEX('AFA Rates'!$D$5:$D$1004,$T1156))))</f>
        <v/>
      </c>
      <c r="F1156" s="79">
        <f>IF($T1156="","",IF($S1156="S",IF(INDEX(Firms!$O$5:$O$1004,$T1156)="","",INDEX(Firms!$O$5:$O$1004,$T1156)),IF(INDEX('AFA Rates'!$O$5:$O$1004,$T1156)="","",INDEX('AFA Rates'!$O$5:$O$1004,$T1156))))</f>
        <v/>
      </c>
      <c r="G1156" s="50">
        <f>IF($T1156="","",IF($S1156="S",IF(INDEX(Firms!$F$5:$F$1004,$T1156)="","",INDEX(Firms!$F$5:$F$1004,$T1156)),IF(INDEX('AFA Rates'!$E$5:$E$1004,$T1156)="","",INDEX('AFA Rates'!$E$5:$E$1004,$T1156))))</f>
        <v/>
      </c>
      <c r="H1156" s="50">
        <f>IF($T1156="","",IF($S1156="S",IF(INDEX(Firms!$G$5:$G$1004,$T1156)="","",INDEX(Firms!$G$5:$G$1004,$T1156)),IF(INDEX('AFA Rates'!$F$5:$F$1004,$T1156)="","",INDEX('AFA Rates'!$F$5:$F$1004,$T1156))))</f>
        <v/>
      </c>
      <c r="I1156" s="50">
        <f>IF($T1156="","",IF($S1156="S",IF(INDEX(Firms!$H$5:$H$1004,$T1156)="","",INDEX(Firms!$H$5:$H$1004,$T1156)),IF(INDEX('AFA Rates'!$G$5:$G$1004,$T1156)="","",INDEX('AFA Rates'!$G$5:$G$1004,$T1156))))</f>
        <v/>
      </c>
      <c r="J1156" s="50">
        <f>IF($T1156="","",IF($S1156="S",IF(INDEX(Firms!$I$5:$I$1004,$T1156)="","",INDEX(Firms!$I$5:$I$1004,$T1156)),IF(INDEX('AFA Rates'!$H$5:$H$1004,$T1156)="","",INDEX('AFA Rates'!$H$5:$H$1004,$T1156))))</f>
        <v/>
      </c>
      <c r="K1156" s="50">
        <f>IF($T1156="","",IF($S1156="S",IF(INDEX(Firms!$J$5:$J$1004,$T1156)="","",INDEX(Firms!$J$5:$J$1004,$T1156)),IF(INDEX('AFA Rates'!$I$5:$I$1004,$T1156)="","",INDEX('AFA Rates'!$I$5:$I$1004,$T1156))))</f>
        <v/>
      </c>
      <c r="L1156" s="50">
        <f>IF($T1156="","",IF($S1156="S",IF(INDEX(Firms!$K$5:$K$1004,$T1156)="","",INDEX(Firms!$K$5:$K$1004,$T1156)),IF(INDEX('AFA Rates'!$J$5:$J$1004,$T1156)="","",INDEX('AFA Rates'!$J$5:$J$1004,$T1156))))</f>
        <v/>
      </c>
      <c r="M1156" s="50">
        <f>IF($T1156="","",IF($S1156="S",IF(INDEX(Firms!$L$5:$L$1004,$T1156)="","",INDEX(Firms!$L$5:$L$1004,$T1156)),IF(INDEX('AFA Rates'!$K$5:$K$1004,$T1156)="","",INDEX('AFA Rates'!$K$5:$K$1004,$T1156))))</f>
        <v/>
      </c>
      <c r="N1156" s="50">
        <f>IF($T1156="","",IF($S1156="S",IF(INDEX(Firms!$M$5:$M$1004,$T1156)="","",INDEX(Firms!$M$5:$M$1004,$T1156)),IF(INDEX('AFA Rates'!$L$5:$L$1004,$T1156)="","",INDEX('AFA Rates'!$L$5:$L$1004,$T1156))))</f>
        <v/>
      </c>
      <c r="O1156" s="78">
        <f>IF(OR($T1156="",$U1156=""),"",IF(INDEX(Firms!$C$5:$C$1004,$U1156)="","",INDEX(Firms!$C$5:$C$1004,$U1156)))</f>
        <v/>
      </c>
      <c r="P1156" s="79">
        <f>IF(OR($T1156="",$U1156=""),"",IF(INDEX(Firms!$N$5:$N$1004,$U1156)="","",INDEX(Firms!$N$5:$N$1004,$U1156)))</f>
        <v/>
      </c>
      <c r="Q1156" s="78">
        <f>IF($T1156="","",IF($S1156="S",IF(INDEX(Firms!$T$5:$T$1004,$T1156)="","",INDEX(Firms!$T$5:$T$1004,$T1156)),IF(INDEX('AFA Rates'!$M$5:$M$1004,$T1156)="","",INDEX('AFA Rates'!$M$5:$M$1004,$T1156))))</f>
        <v/>
      </c>
      <c r="S1156">
        <f>IF(1152&lt;=$S$2,"S",IF(1152&lt;=$S$2+$T$2,"A",""))</f>
        <v/>
      </c>
      <c r="T1156">
        <f>IF(S1156="S",MATCH(1152,Firms!$W$5:$W$1004,0),IF(S1156="A",IFERROR(MATCH(1152-$S$2,'AFA Rates'!$R$5:$R$1004,0),""),""))</f>
        <v/>
      </c>
      <c r="U1156">
        <f>IF(S1156="S",T1156,IF(AND(S1156="A",T1156&lt;&gt;""),IFERROR(MATCH(INDEX('AFA Rates'!$A$5:$A$1004,T1156),Firms!$A$5:$A$1004,0),""),""))</f>
        <v/>
      </c>
    </row>
    <row r="1157">
      <c r="A1157" s="78">
        <f>IF($T1157="","",IF($S1157="S",IF(INDEX(Firms!$A$5:$A$1004,$T1157)="","",INDEX(Firms!$A$5:$A$1004,$T1157)),IF(INDEX('AFA Rates'!$A$5:$A$1004,$T1157)="","",INDEX('AFA Rates'!$A$5:$A$1004,$T1157))))</f>
        <v/>
      </c>
      <c r="B1157" s="79">
        <f>IF(OR($T1157="",$U1157=""),IF($T1157="","","Not on Firms tab"),INDEX(Firms!$B$5:$B$1004,$U1157)&amp;"")</f>
        <v/>
      </c>
      <c r="C1157" s="78">
        <f>IF($T1157="","",IF($S1157="S","Standard",INDEX('AFA Rates'!$B$5:$B$1004,$T1157)&amp;""))</f>
        <v/>
      </c>
      <c r="D1157" s="88">
        <f>IF($T1157="","",IF($S1157="S",IF(INDEX(Firms!$E$5:$E$1004,$T1157)="","",INDEX(Firms!$E$5:$E$1004,$T1157)),IF(INDEX('AFA Rates'!$C$5:$C$1004,$T1157)="","",INDEX('AFA Rates'!$C$5:$C$1004,$T1157))))</f>
        <v/>
      </c>
      <c r="E1157" s="88">
        <f>IF($T1157="","",IF($S1157="S",IF(""="","",""),IF(INDEX('AFA Rates'!$D$5:$D$1004,$T1157)="","",INDEX('AFA Rates'!$D$5:$D$1004,$T1157))))</f>
        <v/>
      </c>
      <c r="F1157" s="79">
        <f>IF($T1157="","",IF($S1157="S",IF(INDEX(Firms!$O$5:$O$1004,$T1157)="","",INDEX(Firms!$O$5:$O$1004,$T1157)),IF(INDEX('AFA Rates'!$O$5:$O$1004,$T1157)="","",INDEX('AFA Rates'!$O$5:$O$1004,$T1157))))</f>
        <v/>
      </c>
      <c r="G1157" s="50">
        <f>IF($T1157="","",IF($S1157="S",IF(INDEX(Firms!$F$5:$F$1004,$T1157)="","",INDEX(Firms!$F$5:$F$1004,$T1157)),IF(INDEX('AFA Rates'!$E$5:$E$1004,$T1157)="","",INDEX('AFA Rates'!$E$5:$E$1004,$T1157))))</f>
        <v/>
      </c>
      <c r="H1157" s="50">
        <f>IF($T1157="","",IF($S1157="S",IF(INDEX(Firms!$G$5:$G$1004,$T1157)="","",INDEX(Firms!$G$5:$G$1004,$T1157)),IF(INDEX('AFA Rates'!$F$5:$F$1004,$T1157)="","",INDEX('AFA Rates'!$F$5:$F$1004,$T1157))))</f>
        <v/>
      </c>
      <c r="I1157" s="50">
        <f>IF($T1157="","",IF($S1157="S",IF(INDEX(Firms!$H$5:$H$1004,$T1157)="","",INDEX(Firms!$H$5:$H$1004,$T1157)),IF(INDEX('AFA Rates'!$G$5:$G$1004,$T1157)="","",INDEX('AFA Rates'!$G$5:$G$1004,$T1157))))</f>
        <v/>
      </c>
      <c r="J1157" s="50">
        <f>IF($T1157="","",IF($S1157="S",IF(INDEX(Firms!$I$5:$I$1004,$T1157)="","",INDEX(Firms!$I$5:$I$1004,$T1157)),IF(INDEX('AFA Rates'!$H$5:$H$1004,$T1157)="","",INDEX('AFA Rates'!$H$5:$H$1004,$T1157))))</f>
        <v/>
      </c>
      <c r="K1157" s="50">
        <f>IF($T1157="","",IF($S1157="S",IF(INDEX(Firms!$J$5:$J$1004,$T1157)="","",INDEX(Firms!$J$5:$J$1004,$T1157)),IF(INDEX('AFA Rates'!$I$5:$I$1004,$T1157)="","",INDEX('AFA Rates'!$I$5:$I$1004,$T1157))))</f>
        <v/>
      </c>
      <c r="L1157" s="50">
        <f>IF($T1157="","",IF($S1157="S",IF(INDEX(Firms!$K$5:$K$1004,$T1157)="","",INDEX(Firms!$K$5:$K$1004,$T1157)),IF(INDEX('AFA Rates'!$J$5:$J$1004,$T1157)="","",INDEX('AFA Rates'!$J$5:$J$1004,$T1157))))</f>
        <v/>
      </c>
      <c r="M1157" s="50">
        <f>IF($T1157="","",IF($S1157="S",IF(INDEX(Firms!$L$5:$L$1004,$T1157)="","",INDEX(Firms!$L$5:$L$1004,$T1157)),IF(INDEX('AFA Rates'!$K$5:$K$1004,$T1157)="","",INDEX('AFA Rates'!$K$5:$K$1004,$T1157))))</f>
        <v/>
      </c>
      <c r="N1157" s="50">
        <f>IF($T1157="","",IF($S1157="S",IF(INDEX(Firms!$M$5:$M$1004,$T1157)="","",INDEX(Firms!$M$5:$M$1004,$T1157)),IF(INDEX('AFA Rates'!$L$5:$L$1004,$T1157)="","",INDEX('AFA Rates'!$L$5:$L$1004,$T1157))))</f>
        <v/>
      </c>
      <c r="O1157" s="78">
        <f>IF(OR($T1157="",$U1157=""),"",IF(INDEX(Firms!$C$5:$C$1004,$U1157)="","",INDEX(Firms!$C$5:$C$1004,$U1157)))</f>
        <v/>
      </c>
      <c r="P1157" s="79">
        <f>IF(OR($T1157="",$U1157=""),"",IF(INDEX(Firms!$N$5:$N$1004,$U1157)="","",INDEX(Firms!$N$5:$N$1004,$U1157)))</f>
        <v/>
      </c>
      <c r="Q1157" s="78">
        <f>IF($T1157="","",IF($S1157="S",IF(INDEX(Firms!$T$5:$T$1004,$T1157)="","",INDEX(Firms!$T$5:$T$1004,$T1157)),IF(INDEX('AFA Rates'!$M$5:$M$1004,$T1157)="","",INDEX('AFA Rates'!$M$5:$M$1004,$T1157))))</f>
        <v/>
      </c>
      <c r="S1157">
        <f>IF(1153&lt;=$S$2,"S",IF(1153&lt;=$S$2+$T$2,"A",""))</f>
        <v/>
      </c>
      <c r="T1157">
        <f>IF(S1157="S",MATCH(1153,Firms!$W$5:$W$1004,0),IF(S1157="A",IFERROR(MATCH(1153-$S$2,'AFA Rates'!$R$5:$R$1004,0),""),""))</f>
        <v/>
      </c>
      <c r="U1157">
        <f>IF(S1157="S",T1157,IF(AND(S1157="A",T1157&lt;&gt;""),IFERROR(MATCH(INDEX('AFA Rates'!$A$5:$A$1004,T1157),Firms!$A$5:$A$1004,0),""),""))</f>
        <v/>
      </c>
    </row>
    <row r="1158">
      <c r="A1158" s="78">
        <f>IF($T1158="","",IF($S1158="S",IF(INDEX(Firms!$A$5:$A$1004,$T1158)="","",INDEX(Firms!$A$5:$A$1004,$T1158)),IF(INDEX('AFA Rates'!$A$5:$A$1004,$T1158)="","",INDEX('AFA Rates'!$A$5:$A$1004,$T1158))))</f>
        <v/>
      </c>
      <c r="B1158" s="79">
        <f>IF(OR($T1158="",$U1158=""),IF($T1158="","","Not on Firms tab"),INDEX(Firms!$B$5:$B$1004,$U1158)&amp;"")</f>
        <v/>
      </c>
      <c r="C1158" s="78">
        <f>IF($T1158="","",IF($S1158="S","Standard",INDEX('AFA Rates'!$B$5:$B$1004,$T1158)&amp;""))</f>
        <v/>
      </c>
      <c r="D1158" s="88">
        <f>IF($T1158="","",IF($S1158="S",IF(INDEX(Firms!$E$5:$E$1004,$T1158)="","",INDEX(Firms!$E$5:$E$1004,$T1158)),IF(INDEX('AFA Rates'!$C$5:$C$1004,$T1158)="","",INDEX('AFA Rates'!$C$5:$C$1004,$T1158))))</f>
        <v/>
      </c>
      <c r="E1158" s="88">
        <f>IF($T1158="","",IF($S1158="S",IF(""="","",""),IF(INDEX('AFA Rates'!$D$5:$D$1004,$T1158)="","",INDEX('AFA Rates'!$D$5:$D$1004,$T1158))))</f>
        <v/>
      </c>
      <c r="F1158" s="79">
        <f>IF($T1158="","",IF($S1158="S",IF(INDEX(Firms!$O$5:$O$1004,$T1158)="","",INDEX(Firms!$O$5:$O$1004,$T1158)),IF(INDEX('AFA Rates'!$O$5:$O$1004,$T1158)="","",INDEX('AFA Rates'!$O$5:$O$1004,$T1158))))</f>
        <v/>
      </c>
      <c r="G1158" s="50">
        <f>IF($T1158="","",IF($S1158="S",IF(INDEX(Firms!$F$5:$F$1004,$T1158)="","",INDEX(Firms!$F$5:$F$1004,$T1158)),IF(INDEX('AFA Rates'!$E$5:$E$1004,$T1158)="","",INDEX('AFA Rates'!$E$5:$E$1004,$T1158))))</f>
        <v/>
      </c>
      <c r="H1158" s="50">
        <f>IF($T1158="","",IF($S1158="S",IF(INDEX(Firms!$G$5:$G$1004,$T1158)="","",INDEX(Firms!$G$5:$G$1004,$T1158)),IF(INDEX('AFA Rates'!$F$5:$F$1004,$T1158)="","",INDEX('AFA Rates'!$F$5:$F$1004,$T1158))))</f>
        <v/>
      </c>
      <c r="I1158" s="50">
        <f>IF($T1158="","",IF($S1158="S",IF(INDEX(Firms!$H$5:$H$1004,$T1158)="","",INDEX(Firms!$H$5:$H$1004,$T1158)),IF(INDEX('AFA Rates'!$G$5:$G$1004,$T1158)="","",INDEX('AFA Rates'!$G$5:$G$1004,$T1158))))</f>
        <v/>
      </c>
      <c r="J1158" s="50">
        <f>IF($T1158="","",IF($S1158="S",IF(INDEX(Firms!$I$5:$I$1004,$T1158)="","",INDEX(Firms!$I$5:$I$1004,$T1158)),IF(INDEX('AFA Rates'!$H$5:$H$1004,$T1158)="","",INDEX('AFA Rates'!$H$5:$H$1004,$T1158))))</f>
        <v/>
      </c>
      <c r="K1158" s="50">
        <f>IF($T1158="","",IF($S1158="S",IF(INDEX(Firms!$J$5:$J$1004,$T1158)="","",INDEX(Firms!$J$5:$J$1004,$T1158)),IF(INDEX('AFA Rates'!$I$5:$I$1004,$T1158)="","",INDEX('AFA Rates'!$I$5:$I$1004,$T1158))))</f>
        <v/>
      </c>
      <c r="L1158" s="50">
        <f>IF($T1158="","",IF($S1158="S",IF(INDEX(Firms!$K$5:$K$1004,$T1158)="","",INDEX(Firms!$K$5:$K$1004,$T1158)),IF(INDEX('AFA Rates'!$J$5:$J$1004,$T1158)="","",INDEX('AFA Rates'!$J$5:$J$1004,$T1158))))</f>
        <v/>
      </c>
      <c r="M1158" s="50">
        <f>IF($T1158="","",IF($S1158="S",IF(INDEX(Firms!$L$5:$L$1004,$T1158)="","",INDEX(Firms!$L$5:$L$1004,$T1158)),IF(INDEX('AFA Rates'!$K$5:$K$1004,$T1158)="","",INDEX('AFA Rates'!$K$5:$K$1004,$T1158))))</f>
        <v/>
      </c>
      <c r="N1158" s="50">
        <f>IF($T1158="","",IF($S1158="S",IF(INDEX(Firms!$M$5:$M$1004,$T1158)="","",INDEX(Firms!$M$5:$M$1004,$T1158)),IF(INDEX('AFA Rates'!$L$5:$L$1004,$T1158)="","",INDEX('AFA Rates'!$L$5:$L$1004,$T1158))))</f>
        <v/>
      </c>
      <c r="O1158" s="78">
        <f>IF(OR($T1158="",$U1158=""),"",IF(INDEX(Firms!$C$5:$C$1004,$U1158)="","",INDEX(Firms!$C$5:$C$1004,$U1158)))</f>
        <v/>
      </c>
      <c r="P1158" s="79">
        <f>IF(OR($T1158="",$U1158=""),"",IF(INDEX(Firms!$N$5:$N$1004,$U1158)="","",INDEX(Firms!$N$5:$N$1004,$U1158)))</f>
        <v/>
      </c>
      <c r="Q1158" s="78">
        <f>IF($T1158="","",IF($S1158="S",IF(INDEX(Firms!$T$5:$T$1004,$T1158)="","",INDEX(Firms!$T$5:$T$1004,$T1158)),IF(INDEX('AFA Rates'!$M$5:$M$1004,$T1158)="","",INDEX('AFA Rates'!$M$5:$M$1004,$T1158))))</f>
        <v/>
      </c>
      <c r="S1158">
        <f>IF(1154&lt;=$S$2,"S",IF(1154&lt;=$S$2+$T$2,"A",""))</f>
        <v/>
      </c>
      <c r="T1158">
        <f>IF(S1158="S",MATCH(1154,Firms!$W$5:$W$1004,0),IF(S1158="A",IFERROR(MATCH(1154-$S$2,'AFA Rates'!$R$5:$R$1004,0),""),""))</f>
        <v/>
      </c>
      <c r="U1158">
        <f>IF(S1158="S",T1158,IF(AND(S1158="A",T1158&lt;&gt;""),IFERROR(MATCH(INDEX('AFA Rates'!$A$5:$A$1004,T1158),Firms!$A$5:$A$1004,0),""),""))</f>
        <v/>
      </c>
    </row>
    <row r="1159">
      <c r="A1159" s="78">
        <f>IF($T1159="","",IF($S1159="S",IF(INDEX(Firms!$A$5:$A$1004,$T1159)="","",INDEX(Firms!$A$5:$A$1004,$T1159)),IF(INDEX('AFA Rates'!$A$5:$A$1004,$T1159)="","",INDEX('AFA Rates'!$A$5:$A$1004,$T1159))))</f>
        <v/>
      </c>
      <c r="B1159" s="79">
        <f>IF(OR($T1159="",$U1159=""),IF($T1159="","","Not on Firms tab"),INDEX(Firms!$B$5:$B$1004,$U1159)&amp;"")</f>
        <v/>
      </c>
      <c r="C1159" s="78">
        <f>IF($T1159="","",IF($S1159="S","Standard",INDEX('AFA Rates'!$B$5:$B$1004,$T1159)&amp;""))</f>
        <v/>
      </c>
      <c r="D1159" s="88">
        <f>IF($T1159="","",IF($S1159="S",IF(INDEX(Firms!$E$5:$E$1004,$T1159)="","",INDEX(Firms!$E$5:$E$1004,$T1159)),IF(INDEX('AFA Rates'!$C$5:$C$1004,$T1159)="","",INDEX('AFA Rates'!$C$5:$C$1004,$T1159))))</f>
        <v/>
      </c>
      <c r="E1159" s="88">
        <f>IF($T1159="","",IF($S1159="S",IF(""="","",""),IF(INDEX('AFA Rates'!$D$5:$D$1004,$T1159)="","",INDEX('AFA Rates'!$D$5:$D$1004,$T1159))))</f>
        <v/>
      </c>
      <c r="F1159" s="79">
        <f>IF($T1159="","",IF($S1159="S",IF(INDEX(Firms!$O$5:$O$1004,$T1159)="","",INDEX(Firms!$O$5:$O$1004,$T1159)),IF(INDEX('AFA Rates'!$O$5:$O$1004,$T1159)="","",INDEX('AFA Rates'!$O$5:$O$1004,$T1159))))</f>
        <v/>
      </c>
      <c r="G1159" s="50">
        <f>IF($T1159="","",IF($S1159="S",IF(INDEX(Firms!$F$5:$F$1004,$T1159)="","",INDEX(Firms!$F$5:$F$1004,$T1159)),IF(INDEX('AFA Rates'!$E$5:$E$1004,$T1159)="","",INDEX('AFA Rates'!$E$5:$E$1004,$T1159))))</f>
        <v/>
      </c>
      <c r="H1159" s="50">
        <f>IF($T1159="","",IF($S1159="S",IF(INDEX(Firms!$G$5:$G$1004,$T1159)="","",INDEX(Firms!$G$5:$G$1004,$T1159)),IF(INDEX('AFA Rates'!$F$5:$F$1004,$T1159)="","",INDEX('AFA Rates'!$F$5:$F$1004,$T1159))))</f>
        <v/>
      </c>
      <c r="I1159" s="50">
        <f>IF($T1159="","",IF($S1159="S",IF(INDEX(Firms!$H$5:$H$1004,$T1159)="","",INDEX(Firms!$H$5:$H$1004,$T1159)),IF(INDEX('AFA Rates'!$G$5:$G$1004,$T1159)="","",INDEX('AFA Rates'!$G$5:$G$1004,$T1159))))</f>
        <v/>
      </c>
      <c r="J1159" s="50">
        <f>IF($T1159="","",IF($S1159="S",IF(INDEX(Firms!$I$5:$I$1004,$T1159)="","",INDEX(Firms!$I$5:$I$1004,$T1159)),IF(INDEX('AFA Rates'!$H$5:$H$1004,$T1159)="","",INDEX('AFA Rates'!$H$5:$H$1004,$T1159))))</f>
        <v/>
      </c>
      <c r="K1159" s="50">
        <f>IF($T1159="","",IF($S1159="S",IF(INDEX(Firms!$J$5:$J$1004,$T1159)="","",INDEX(Firms!$J$5:$J$1004,$T1159)),IF(INDEX('AFA Rates'!$I$5:$I$1004,$T1159)="","",INDEX('AFA Rates'!$I$5:$I$1004,$T1159))))</f>
        <v/>
      </c>
      <c r="L1159" s="50">
        <f>IF($T1159="","",IF($S1159="S",IF(INDEX(Firms!$K$5:$K$1004,$T1159)="","",INDEX(Firms!$K$5:$K$1004,$T1159)),IF(INDEX('AFA Rates'!$J$5:$J$1004,$T1159)="","",INDEX('AFA Rates'!$J$5:$J$1004,$T1159))))</f>
        <v/>
      </c>
      <c r="M1159" s="50">
        <f>IF($T1159="","",IF($S1159="S",IF(INDEX(Firms!$L$5:$L$1004,$T1159)="","",INDEX(Firms!$L$5:$L$1004,$T1159)),IF(INDEX('AFA Rates'!$K$5:$K$1004,$T1159)="","",INDEX('AFA Rates'!$K$5:$K$1004,$T1159))))</f>
        <v/>
      </c>
      <c r="N1159" s="50">
        <f>IF($T1159="","",IF($S1159="S",IF(INDEX(Firms!$M$5:$M$1004,$T1159)="","",INDEX(Firms!$M$5:$M$1004,$T1159)),IF(INDEX('AFA Rates'!$L$5:$L$1004,$T1159)="","",INDEX('AFA Rates'!$L$5:$L$1004,$T1159))))</f>
        <v/>
      </c>
      <c r="O1159" s="78">
        <f>IF(OR($T1159="",$U1159=""),"",IF(INDEX(Firms!$C$5:$C$1004,$U1159)="","",INDEX(Firms!$C$5:$C$1004,$U1159)))</f>
        <v/>
      </c>
      <c r="P1159" s="79">
        <f>IF(OR($T1159="",$U1159=""),"",IF(INDEX(Firms!$N$5:$N$1004,$U1159)="","",INDEX(Firms!$N$5:$N$1004,$U1159)))</f>
        <v/>
      </c>
      <c r="Q1159" s="78">
        <f>IF($T1159="","",IF($S1159="S",IF(INDEX(Firms!$T$5:$T$1004,$T1159)="","",INDEX(Firms!$T$5:$T$1004,$T1159)),IF(INDEX('AFA Rates'!$M$5:$M$1004,$T1159)="","",INDEX('AFA Rates'!$M$5:$M$1004,$T1159))))</f>
        <v/>
      </c>
      <c r="S1159">
        <f>IF(1155&lt;=$S$2,"S",IF(1155&lt;=$S$2+$T$2,"A",""))</f>
        <v/>
      </c>
      <c r="T1159">
        <f>IF(S1159="S",MATCH(1155,Firms!$W$5:$W$1004,0),IF(S1159="A",IFERROR(MATCH(1155-$S$2,'AFA Rates'!$R$5:$R$1004,0),""),""))</f>
        <v/>
      </c>
      <c r="U1159">
        <f>IF(S1159="S",T1159,IF(AND(S1159="A",T1159&lt;&gt;""),IFERROR(MATCH(INDEX('AFA Rates'!$A$5:$A$1004,T1159),Firms!$A$5:$A$1004,0),""),""))</f>
        <v/>
      </c>
    </row>
    <row r="1160">
      <c r="A1160" s="78">
        <f>IF($T1160="","",IF($S1160="S",IF(INDEX(Firms!$A$5:$A$1004,$T1160)="","",INDEX(Firms!$A$5:$A$1004,$T1160)),IF(INDEX('AFA Rates'!$A$5:$A$1004,$T1160)="","",INDEX('AFA Rates'!$A$5:$A$1004,$T1160))))</f>
        <v/>
      </c>
      <c r="B1160" s="79">
        <f>IF(OR($T1160="",$U1160=""),IF($T1160="","","Not on Firms tab"),INDEX(Firms!$B$5:$B$1004,$U1160)&amp;"")</f>
        <v/>
      </c>
      <c r="C1160" s="78">
        <f>IF($T1160="","",IF($S1160="S","Standard",INDEX('AFA Rates'!$B$5:$B$1004,$T1160)&amp;""))</f>
        <v/>
      </c>
      <c r="D1160" s="88">
        <f>IF($T1160="","",IF($S1160="S",IF(INDEX(Firms!$E$5:$E$1004,$T1160)="","",INDEX(Firms!$E$5:$E$1004,$T1160)),IF(INDEX('AFA Rates'!$C$5:$C$1004,$T1160)="","",INDEX('AFA Rates'!$C$5:$C$1004,$T1160))))</f>
        <v/>
      </c>
      <c r="E1160" s="88">
        <f>IF($T1160="","",IF($S1160="S",IF(""="","",""),IF(INDEX('AFA Rates'!$D$5:$D$1004,$T1160)="","",INDEX('AFA Rates'!$D$5:$D$1004,$T1160))))</f>
        <v/>
      </c>
      <c r="F1160" s="79">
        <f>IF($T1160="","",IF($S1160="S",IF(INDEX(Firms!$O$5:$O$1004,$T1160)="","",INDEX(Firms!$O$5:$O$1004,$T1160)),IF(INDEX('AFA Rates'!$O$5:$O$1004,$T1160)="","",INDEX('AFA Rates'!$O$5:$O$1004,$T1160))))</f>
        <v/>
      </c>
      <c r="G1160" s="50">
        <f>IF($T1160="","",IF($S1160="S",IF(INDEX(Firms!$F$5:$F$1004,$T1160)="","",INDEX(Firms!$F$5:$F$1004,$T1160)),IF(INDEX('AFA Rates'!$E$5:$E$1004,$T1160)="","",INDEX('AFA Rates'!$E$5:$E$1004,$T1160))))</f>
        <v/>
      </c>
      <c r="H1160" s="50">
        <f>IF($T1160="","",IF($S1160="S",IF(INDEX(Firms!$G$5:$G$1004,$T1160)="","",INDEX(Firms!$G$5:$G$1004,$T1160)),IF(INDEX('AFA Rates'!$F$5:$F$1004,$T1160)="","",INDEX('AFA Rates'!$F$5:$F$1004,$T1160))))</f>
        <v/>
      </c>
      <c r="I1160" s="50">
        <f>IF($T1160="","",IF($S1160="S",IF(INDEX(Firms!$H$5:$H$1004,$T1160)="","",INDEX(Firms!$H$5:$H$1004,$T1160)),IF(INDEX('AFA Rates'!$G$5:$G$1004,$T1160)="","",INDEX('AFA Rates'!$G$5:$G$1004,$T1160))))</f>
        <v/>
      </c>
      <c r="J1160" s="50">
        <f>IF($T1160="","",IF($S1160="S",IF(INDEX(Firms!$I$5:$I$1004,$T1160)="","",INDEX(Firms!$I$5:$I$1004,$T1160)),IF(INDEX('AFA Rates'!$H$5:$H$1004,$T1160)="","",INDEX('AFA Rates'!$H$5:$H$1004,$T1160))))</f>
        <v/>
      </c>
      <c r="K1160" s="50">
        <f>IF($T1160="","",IF($S1160="S",IF(INDEX(Firms!$J$5:$J$1004,$T1160)="","",INDEX(Firms!$J$5:$J$1004,$T1160)),IF(INDEX('AFA Rates'!$I$5:$I$1004,$T1160)="","",INDEX('AFA Rates'!$I$5:$I$1004,$T1160))))</f>
        <v/>
      </c>
      <c r="L1160" s="50">
        <f>IF($T1160="","",IF($S1160="S",IF(INDEX(Firms!$K$5:$K$1004,$T1160)="","",INDEX(Firms!$K$5:$K$1004,$T1160)),IF(INDEX('AFA Rates'!$J$5:$J$1004,$T1160)="","",INDEX('AFA Rates'!$J$5:$J$1004,$T1160))))</f>
        <v/>
      </c>
      <c r="M1160" s="50">
        <f>IF($T1160="","",IF($S1160="S",IF(INDEX(Firms!$L$5:$L$1004,$T1160)="","",INDEX(Firms!$L$5:$L$1004,$T1160)),IF(INDEX('AFA Rates'!$K$5:$K$1004,$T1160)="","",INDEX('AFA Rates'!$K$5:$K$1004,$T1160))))</f>
        <v/>
      </c>
      <c r="N1160" s="50">
        <f>IF($T1160="","",IF($S1160="S",IF(INDEX(Firms!$M$5:$M$1004,$T1160)="","",INDEX(Firms!$M$5:$M$1004,$T1160)),IF(INDEX('AFA Rates'!$L$5:$L$1004,$T1160)="","",INDEX('AFA Rates'!$L$5:$L$1004,$T1160))))</f>
        <v/>
      </c>
      <c r="O1160" s="78">
        <f>IF(OR($T1160="",$U1160=""),"",IF(INDEX(Firms!$C$5:$C$1004,$U1160)="","",INDEX(Firms!$C$5:$C$1004,$U1160)))</f>
        <v/>
      </c>
      <c r="P1160" s="79">
        <f>IF(OR($T1160="",$U1160=""),"",IF(INDEX(Firms!$N$5:$N$1004,$U1160)="","",INDEX(Firms!$N$5:$N$1004,$U1160)))</f>
        <v/>
      </c>
      <c r="Q1160" s="78">
        <f>IF($T1160="","",IF($S1160="S",IF(INDEX(Firms!$T$5:$T$1004,$T1160)="","",INDEX(Firms!$T$5:$T$1004,$T1160)),IF(INDEX('AFA Rates'!$M$5:$M$1004,$T1160)="","",INDEX('AFA Rates'!$M$5:$M$1004,$T1160))))</f>
        <v/>
      </c>
      <c r="S1160">
        <f>IF(1156&lt;=$S$2,"S",IF(1156&lt;=$S$2+$T$2,"A",""))</f>
        <v/>
      </c>
      <c r="T1160">
        <f>IF(S1160="S",MATCH(1156,Firms!$W$5:$W$1004,0),IF(S1160="A",IFERROR(MATCH(1156-$S$2,'AFA Rates'!$R$5:$R$1004,0),""),""))</f>
        <v/>
      </c>
      <c r="U1160">
        <f>IF(S1160="S",T1160,IF(AND(S1160="A",T1160&lt;&gt;""),IFERROR(MATCH(INDEX('AFA Rates'!$A$5:$A$1004,T1160),Firms!$A$5:$A$1004,0),""),""))</f>
        <v/>
      </c>
    </row>
    <row r="1161">
      <c r="A1161" s="78">
        <f>IF($T1161="","",IF($S1161="S",IF(INDEX(Firms!$A$5:$A$1004,$T1161)="","",INDEX(Firms!$A$5:$A$1004,$T1161)),IF(INDEX('AFA Rates'!$A$5:$A$1004,$T1161)="","",INDEX('AFA Rates'!$A$5:$A$1004,$T1161))))</f>
        <v/>
      </c>
      <c r="B1161" s="79">
        <f>IF(OR($T1161="",$U1161=""),IF($T1161="","","Not on Firms tab"),INDEX(Firms!$B$5:$B$1004,$U1161)&amp;"")</f>
        <v/>
      </c>
      <c r="C1161" s="78">
        <f>IF($T1161="","",IF($S1161="S","Standard",INDEX('AFA Rates'!$B$5:$B$1004,$T1161)&amp;""))</f>
        <v/>
      </c>
      <c r="D1161" s="88">
        <f>IF($T1161="","",IF($S1161="S",IF(INDEX(Firms!$E$5:$E$1004,$T1161)="","",INDEX(Firms!$E$5:$E$1004,$T1161)),IF(INDEX('AFA Rates'!$C$5:$C$1004,$T1161)="","",INDEX('AFA Rates'!$C$5:$C$1004,$T1161))))</f>
        <v/>
      </c>
      <c r="E1161" s="88">
        <f>IF($T1161="","",IF($S1161="S",IF(""="","",""),IF(INDEX('AFA Rates'!$D$5:$D$1004,$T1161)="","",INDEX('AFA Rates'!$D$5:$D$1004,$T1161))))</f>
        <v/>
      </c>
      <c r="F1161" s="79">
        <f>IF($T1161="","",IF($S1161="S",IF(INDEX(Firms!$O$5:$O$1004,$T1161)="","",INDEX(Firms!$O$5:$O$1004,$T1161)),IF(INDEX('AFA Rates'!$O$5:$O$1004,$T1161)="","",INDEX('AFA Rates'!$O$5:$O$1004,$T1161))))</f>
        <v/>
      </c>
      <c r="G1161" s="50">
        <f>IF($T1161="","",IF($S1161="S",IF(INDEX(Firms!$F$5:$F$1004,$T1161)="","",INDEX(Firms!$F$5:$F$1004,$T1161)),IF(INDEX('AFA Rates'!$E$5:$E$1004,$T1161)="","",INDEX('AFA Rates'!$E$5:$E$1004,$T1161))))</f>
        <v/>
      </c>
      <c r="H1161" s="50">
        <f>IF($T1161="","",IF($S1161="S",IF(INDEX(Firms!$G$5:$G$1004,$T1161)="","",INDEX(Firms!$G$5:$G$1004,$T1161)),IF(INDEX('AFA Rates'!$F$5:$F$1004,$T1161)="","",INDEX('AFA Rates'!$F$5:$F$1004,$T1161))))</f>
        <v/>
      </c>
      <c r="I1161" s="50">
        <f>IF($T1161="","",IF($S1161="S",IF(INDEX(Firms!$H$5:$H$1004,$T1161)="","",INDEX(Firms!$H$5:$H$1004,$T1161)),IF(INDEX('AFA Rates'!$G$5:$G$1004,$T1161)="","",INDEX('AFA Rates'!$G$5:$G$1004,$T1161))))</f>
        <v/>
      </c>
      <c r="J1161" s="50">
        <f>IF($T1161="","",IF($S1161="S",IF(INDEX(Firms!$I$5:$I$1004,$T1161)="","",INDEX(Firms!$I$5:$I$1004,$T1161)),IF(INDEX('AFA Rates'!$H$5:$H$1004,$T1161)="","",INDEX('AFA Rates'!$H$5:$H$1004,$T1161))))</f>
        <v/>
      </c>
      <c r="K1161" s="50">
        <f>IF($T1161="","",IF($S1161="S",IF(INDEX(Firms!$J$5:$J$1004,$T1161)="","",INDEX(Firms!$J$5:$J$1004,$T1161)),IF(INDEX('AFA Rates'!$I$5:$I$1004,$T1161)="","",INDEX('AFA Rates'!$I$5:$I$1004,$T1161))))</f>
        <v/>
      </c>
      <c r="L1161" s="50">
        <f>IF($T1161="","",IF($S1161="S",IF(INDEX(Firms!$K$5:$K$1004,$T1161)="","",INDEX(Firms!$K$5:$K$1004,$T1161)),IF(INDEX('AFA Rates'!$J$5:$J$1004,$T1161)="","",INDEX('AFA Rates'!$J$5:$J$1004,$T1161))))</f>
        <v/>
      </c>
      <c r="M1161" s="50">
        <f>IF($T1161="","",IF($S1161="S",IF(INDEX(Firms!$L$5:$L$1004,$T1161)="","",INDEX(Firms!$L$5:$L$1004,$T1161)),IF(INDEX('AFA Rates'!$K$5:$K$1004,$T1161)="","",INDEX('AFA Rates'!$K$5:$K$1004,$T1161))))</f>
        <v/>
      </c>
      <c r="N1161" s="50">
        <f>IF($T1161="","",IF($S1161="S",IF(INDEX(Firms!$M$5:$M$1004,$T1161)="","",INDEX(Firms!$M$5:$M$1004,$T1161)),IF(INDEX('AFA Rates'!$L$5:$L$1004,$T1161)="","",INDEX('AFA Rates'!$L$5:$L$1004,$T1161))))</f>
        <v/>
      </c>
      <c r="O1161" s="78">
        <f>IF(OR($T1161="",$U1161=""),"",IF(INDEX(Firms!$C$5:$C$1004,$U1161)="","",INDEX(Firms!$C$5:$C$1004,$U1161)))</f>
        <v/>
      </c>
      <c r="P1161" s="79">
        <f>IF(OR($T1161="",$U1161=""),"",IF(INDEX(Firms!$N$5:$N$1004,$U1161)="","",INDEX(Firms!$N$5:$N$1004,$U1161)))</f>
        <v/>
      </c>
      <c r="Q1161" s="78">
        <f>IF($T1161="","",IF($S1161="S",IF(INDEX(Firms!$T$5:$T$1004,$T1161)="","",INDEX(Firms!$T$5:$T$1004,$T1161)),IF(INDEX('AFA Rates'!$M$5:$M$1004,$T1161)="","",INDEX('AFA Rates'!$M$5:$M$1004,$T1161))))</f>
        <v/>
      </c>
      <c r="S1161">
        <f>IF(1157&lt;=$S$2,"S",IF(1157&lt;=$S$2+$T$2,"A",""))</f>
        <v/>
      </c>
      <c r="T1161">
        <f>IF(S1161="S",MATCH(1157,Firms!$W$5:$W$1004,0),IF(S1161="A",IFERROR(MATCH(1157-$S$2,'AFA Rates'!$R$5:$R$1004,0),""),""))</f>
        <v/>
      </c>
      <c r="U1161">
        <f>IF(S1161="S",T1161,IF(AND(S1161="A",T1161&lt;&gt;""),IFERROR(MATCH(INDEX('AFA Rates'!$A$5:$A$1004,T1161),Firms!$A$5:$A$1004,0),""),""))</f>
        <v/>
      </c>
    </row>
    <row r="1162">
      <c r="A1162" s="78">
        <f>IF($T1162="","",IF($S1162="S",IF(INDEX(Firms!$A$5:$A$1004,$T1162)="","",INDEX(Firms!$A$5:$A$1004,$T1162)),IF(INDEX('AFA Rates'!$A$5:$A$1004,$T1162)="","",INDEX('AFA Rates'!$A$5:$A$1004,$T1162))))</f>
        <v/>
      </c>
      <c r="B1162" s="79">
        <f>IF(OR($T1162="",$U1162=""),IF($T1162="","","Not on Firms tab"),INDEX(Firms!$B$5:$B$1004,$U1162)&amp;"")</f>
        <v/>
      </c>
      <c r="C1162" s="78">
        <f>IF($T1162="","",IF($S1162="S","Standard",INDEX('AFA Rates'!$B$5:$B$1004,$T1162)&amp;""))</f>
        <v/>
      </c>
      <c r="D1162" s="88">
        <f>IF($T1162="","",IF($S1162="S",IF(INDEX(Firms!$E$5:$E$1004,$T1162)="","",INDEX(Firms!$E$5:$E$1004,$T1162)),IF(INDEX('AFA Rates'!$C$5:$C$1004,$T1162)="","",INDEX('AFA Rates'!$C$5:$C$1004,$T1162))))</f>
        <v/>
      </c>
      <c r="E1162" s="88">
        <f>IF($T1162="","",IF($S1162="S",IF(""="","",""),IF(INDEX('AFA Rates'!$D$5:$D$1004,$T1162)="","",INDEX('AFA Rates'!$D$5:$D$1004,$T1162))))</f>
        <v/>
      </c>
      <c r="F1162" s="79">
        <f>IF($T1162="","",IF($S1162="S",IF(INDEX(Firms!$O$5:$O$1004,$T1162)="","",INDEX(Firms!$O$5:$O$1004,$T1162)),IF(INDEX('AFA Rates'!$O$5:$O$1004,$T1162)="","",INDEX('AFA Rates'!$O$5:$O$1004,$T1162))))</f>
        <v/>
      </c>
      <c r="G1162" s="50">
        <f>IF($T1162="","",IF($S1162="S",IF(INDEX(Firms!$F$5:$F$1004,$T1162)="","",INDEX(Firms!$F$5:$F$1004,$T1162)),IF(INDEX('AFA Rates'!$E$5:$E$1004,$T1162)="","",INDEX('AFA Rates'!$E$5:$E$1004,$T1162))))</f>
        <v/>
      </c>
      <c r="H1162" s="50">
        <f>IF($T1162="","",IF($S1162="S",IF(INDEX(Firms!$G$5:$G$1004,$T1162)="","",INDEX(Firms!$G$5:$G$1004,$T1162)),IF(INDEX('AFA Rates'!$F$5:$F$1004,$T1162)="","",INDEX('AFA Rates'!$F$5:$F$1004,$T1162))))</f>
        <v/>
      </c>
      <c r="I1162" s="50">
        <f>IF($T1162="","",IF($S1162="S",IF(INDEX(Firms!$H$5:$H$1004,$T1162)="","",INDEX(Firms!$H$5:$H$1004,$T1162)),IF(INDEX('AFA Rates'!$G$5:$G$1004,$T1162)="","",INDEX('AFA Rates'!$G$5:$G$1004,$T1162))))</f>
        <v/>
      </c>
      <c r="J1162" s="50">
        <f>IF($T1162="","",IF($S1162="S",IF(INDEX(Firms!$I$5:$I$1004,$T1162)="","",INDEX(Firms!$I$5:$I$1004,$T1162)),IF(INDEX('AFA Rates'!$H$5:$H$1004,$T1162)="","",INDEX('AFA Rates'!$H$5:$H$1004,$T1162))))</f>
        <v/>
      </c>
      <c r="K1162" s="50">
        <f>IF($T1162="","",IF($S1162="S",IF(INDEX(Firms!$J$5:$J$1004,$T1162)="","",INDEX(Firms!$J$5:$J$1004,$T1162)),IF(INDEX('AFA Rates'!$I$5:$I$1004,$T1162)="","",INDEX('AFA Rates'!$I$5:$I$1004,$T1162))))</f>
        <v/>
      </c>
      <c r="L1162" s="50">
        <f>IF($T1162="","",IF($S1162="S",IF(INDEX(Firms!$K$5:$K$1004,$T1162)="","",INDEX(Firms!$K$5:$K$1004,$T1162)),IF(INDEX('AFA Rates'!$J$5:$J$1004,$T1162)="","",INDEX('AFA Rates'!$J$5:$J$1004,$T1162))))</f>
        <v/>
      </c>
      <c r="M1162" s="50">
        <f>IF($T1162="","",IF($S1162="S",IF(INDEX(Firms!$L$5:$L$1004,$T1162)="","",INDEX(Firms!$L$5:$L$1004,$T1162)),IF(INDEX('AFA Rates'!$K$5:$K$1004,$T1162)="","",INDEX('AFA Rates'!$K$5:$K$1004,$T1162))))</f>
        <v/>
      </c>
      <c r="N1162" s="50">
        <f>IF($T1162="","",IF($S1162="S",IF(INDEX(Firms!$M$5:$M$1004,$T1162)="","",INDEX(Firms!$M$5:$M$1004,$T1162)),IF(INDEX('AFA Rates'!$L$5:$L$1004,$T1162)="","",INDEX('AFA Rates'!$L$5:$L$1004,$T1162))))</f>
        <v/>
      </c>
      <c r="O1162" s="78">
        <f>IF(OR($T1162="",$U1162=""),"",IF(INDEX(Firms!$C$5:$C$1004,$U1162)="","",INDEX(Firms!$C$5:$C$1004,$U1162)))</f>
        <v/>
      </c>
      <c r="P1162" s="79">
        <f>IF(OR($T1162="",$U1162=""),"",IF(INDEX(Firms!$N$5:$N$1004,$U1162)="","",INDEX(Firms!$N$5:$N$1004,$U1162)))</f>
        <v/>
      </c>
      <c r="Q1162" s="78">
        <f>IF($T1162="","",IF($S1162="S",IF(INDEX(Firms!$T$5:$T$1004,$T1162)="","",INDEX(Firms!$T$5:$T$1004,$T1162)),IF(INDEX('AFA Rates'!$M$5:$M$1004,$T1162)="","",INDEX('AFA Rates'!$M$5:$M$1004,$T1162))))</f>
        <v/>
      </c>
      <c r="S1162">
        <f>IF(1158&lt;=$S$2,"S",IF(1158&lt;=$S$2+$T$2,"A",""))</f>
        <v/>
      </c>
      <c r="T1162">
        <f>IF(S1162="S",MATCH(1158,Firms!$W$5:$W$1004,0),IF(S1162="A",IFERROR(MATCH(1158-$S$2,'AFA Rates'!$R$5:$R$1004,0),""),""))</f>
        <v/>
      </c>
      <c r="U1162">
        <f>IF(S1162="S",T1162,IF(AND(S1162="A",T1162&lt;&gt;""),IFERROR(MATCH(INDEX('AFA Rates'!$A$5:$A$1004,T1162),Firms!$A$5:$A$1004,0),""),""))</f>
        <v/>
      </c>
    </row>
    <row r="1163">
      <c r="A1163" s="78">
        <f>IF($T1163="","",IF($S1163="S",IF(INDEX(Firms!$A$5:$A$1004,$T1163)="","",INDEX(Firms!$A$5:$A$1004,$T1163)),IF(INDEX('AFA Rates'!$A$5:$A$1004,$T1163)="","",INDEX('AFA Rates'!$A$5:$A$1004,$T1163))))</f>
        <v/>
      </c>
      <c r="B1163" s="79">
        <f>IF(OR($T1163="",$U1163=""),IF($T1163="","","Not on Firms tab"),INDEX(Firms!$B$5:$B$1004,$U1163)&amp;"")</f>
        <v/>
      </c>
      <c r="C1163" s="78">
        <f>IF($T1163="","",IF($S1163="S","Standard",INDEX('AFA Rates'!$B$5:$B$1004,$T1163)&amp;""))</f>
        <v/>
      </c>
      <c r="D1163" s="88">
        <f>IF($T1163="","",IF($S1163="S",IF(INDEX(Firms!$E$5:$E$1004,$T1163)="","",INDEX(Firms!$E$5:$E$1004,$T1163)),IF(INDEX('AFA Rates'!$C$5:$C$1004,$T1163)="","",INDEX('AFA Rates'!$C$5:$C$1004,$T1163))))</f>
        <v/>
      </c>
      <c r="E1163" s="88">
        <f>IF($T1163="","",IF($S1163="S",IF(""="","",""),IF(INDEX('AFA Rates'!$D$5:$D$1004,$T1163)="","",INDEX('AFA Rates'!$D$5:$D$1004,$T1163))))</f>
        <v/>
      </c>
      <c r="F1163" s="79">
        <f>IF($T1163="","",IF($S1163="S",IF(INDEX(Firms!$O$5:$O$1004,$T1163)="","",INDEX(Firms!$O$5:$O$1004,$T1163)),IF(INDEX('AFA Rates'!$O$5:$O$1004,$T1163)="","",INDEX('AFA Rates'!$O$5:$O$1004,$T1163))))</f>
        <v/>
      </c>
      <c r="G1163" s="50">
        <f>IF($T1163="","",IF($S1163="S",IF(INDEX(Firms!$F$5:$F$1004,$T1163)="","",INDEX(Firms!$F$5:$F$1004,$T1163)),IF(INDEX('AFA Rates'!$E$5:$E$1004,$T1163)="","",INDEX('AFA Rates'!$E$5:$E$1004,$T1163))))</f>
        <v/>
      </c>
      <c r="H1163" s="50">
        <f>IF($T1163="","",IF($S1163="S",IF(INDEX(Firms!$G$5:$G$1004,$T1163)="","",INDEX(Firms!$G$5:$G$1004,$T1163)),IF(INDEX('AFA Rates'!$F$5:$F$1004,$T1163)="","",INDEX('AFA Rates'!$F$5:$F$1004,$T1163))))</f>
        <v/>
      </c>
      <c r="I1163" s="50">
        <f>IF($T1163="","",IF($S1163="S",IF(INDEX(Firms!$H$5:$H$1004,$T1163)="","",INDEX(Firms!$H$5:$H$1004,$T1163)),IF(INDEX('AFA Rates'!$G$5:$G$1004,$T1163)="","",INDEX('AFA Rates'!$G$5:$G$1004,$T1163))))</f>
        <v/>
      </c>
      <c r="J1163" s="50">
        <f>IF($T1163="","",IF($S1163="S",IF(INDEX(Firms!$I$5:$I$1004,$T1163)="","",INDEX(Firms!$I$5:$I$1004,$T1163)),IF(INDEX('AFA Rates'!$H$5:$H$1004,$T1163)="","",INDEX('AFA Rates'!$H$5:$H$1004,$T1163))))</f>
        <v/>
      </c>
      <c r="K1163" s="50">
        <f>IF($T1163="","",IF($S1163="S",IF(INDEX(Firms!$J$5:$J$1004,$T1163)="","",INDEX(Firms!$J$5:$J$1004,$T1163)),IF(INDEX('AFA Rates'!$I$5:$I$1004,$T1163)="","",INDEX('AFA Rates'!$I$5:$I$1004,$T1163))))</f>
        <v/>
      </c>
      <c r="L1163" s="50">
        <f>IF($T1163="","",IF($S1163="S",IF(INDEX(Firms!$K$5:$K$1004,$T1163)="","",INDEX(Firms!$K$5:$K$1004,$T1163)),IF(INDEX('AFA Rates'!$J$5:$J$1004,$T1163)="","",INDEX('AFA Rates'!$J$5:$J$1004,$T1163))))</f>
        <v/>
      </c>
      <c r="M1163" s="50">
        <f>IF($T1163="","",IF($S1163="S",IF(INDEX(Firms!$L$5:$L$1004,$T1163)="","",INDEX(Firms!$L$5:$L$1004,$T1163)),IF(INDEX('AFA Rates'!$K$5:$K$1004,$T1163)="","",INDEX('AFA Rates'!$K$5:$K$1004,$T1163))))</f>
        <v/>
      </c>
      <c r="N1163" s="50">
        <f>IF($T1163="","",IF($S1163="S",IF(INDEX(Firms!$M$5:$M$1004,$T1163)="","",INDEX(Firms!$M$5:$M$1004,$T1163)),IF(INDEX('AFA Rates'!$L$5:$L$1004,$T1163)="","",INDEX('AFA Rates'!$L$5:$L$1004,$T1163))))</f>
        <v/>
      </c>
      <c r="O1163" s="78">
        <f>IF(OR($T1163="",$U1163=""),"",IF(INDEX(Firms!$C$5:$C$1004,$U1163)="","",INDEX(Firms!$C$5:$C$1004,$U1163)))</f>
        <v/>
      </c>
      <c r="P1163" s="79">
        <f>IF(OR($T1163="",$U1163=""),"",IF(INDEX(Firms!$N$5:$N$1004,$U1163)="","",INDEX(Firms!$N$5:$N$1004,$U1163)))</f>
        <v/>
      </c>
      <c r="Q1163" s="78">
        <f>IF($T1163="","",IF($S1163="S",IF(INDEX(Firms!$T$5:$T$1004,$T1163)="","",INDEX(Firms!$T$5:$T$1004,$T1163)),IF(INDEX('AFA Rates'!$M$5:$M$1004,$T1163)="","",INDEX('AFA Rates'!$M$5:$M$1004,$T1163))))</f>
        <v/>
      </c>
      <c r="S1163">
        <f>IF(1159&lt;=$S$2,"S",IF(1159&lt;=$S$2+$T$2,"A",""))</f>
        <v/>
      </c>
      <c r="T1163">
        <f>IF(S1163="S",MATCH(1159,Firms!$W$5:$W$1004,0),IF(S1163="A",IFERROR(MATCH(1159-$S$2,'AFA Rates'!$R$5:$R$1004,0),""),""))</f>
        <v/>
      </c>
      <c r="U1163">
        <f>IF(S1163="S",T1163,IF(AND(S1163="A",T1163&lt;&gt;""),IFERROR(MATCH(INDEX('AFA Rates'!$A$5:$A$1004,T1163),Firms!$A$5:$A$1004,0),""),""))</f>
        <v/>
      </c>
    </row>
    <row r="1164">
      <c r="A1164" s="78">
        <f>IF($T1164="","",IF($S1164="S",IF(INDEX(Firms!$A$5:$A$1004,$T1164)="","",INDEX(Firms!$A$5:$A$1004,$T1164)),IF(INDEX('AFA Rates'!$A$5:$A$1004,$T1164)="","",INDEX('AFA Rates'!$A$5:$A$1004,$T1164))))</f>
        <v/>
      </c>
      <c r="B1164" s="79">
        <f>IF(OR($T1164="",$U1164=""),IF($T1164="","","Not on Firms tab"),INDEX(Firms!$B$5:$B$1004,$U1164)&amp;"")</f>
        <v/>
      </c>
      <c r="C1164" s="78">
        <f>IF($T1164="","",IF($S1164="S","Standard",INDEX('AFA Rates'!$B$5:$B$1004,$T1164)&amp;""))</f>
        <v/>
      </c>
      <c r="D1164" s="88">
        <f>IF($T1164="","",IF($S1164="S",IF(INDEX(Firms!$E$5:$E$1004,$T1164)="","",INDEX(Firms!$E$5:$E$1004,$T1164)),IF(INDEX('AFA Rates'!$C$5:$C$1004,$T1164)="","",INDEX('AFA Rates'!$C$5:$C$1004,$T1164))))</f>
        <v/>
      </c>
      <c r="E1164" s="88">
        <f>IF($T1164="","",IF($S1164="S",IF(""="","",""),IF(INDEX('AFA Rates'!$D$5:$D$1004,$T1164)="","",INDEX('AFA Rates'!$D$5:$D$1004,$T1164))))</f>
        <v/>
      </c>
      <c r="F1164" s="79">
        <f>IF($T1164="","",IF($S1164="S",IF(INDEX(Firms!$O$5:$O$1004,$T1164)="","",INDEX(Firms!$O$5:$O$1004,$T1164)),IF(INDEX('AFA Rates'!$O$5:$O$1004,$T1164)="","",INDEX('AFA Rates'!$O$5:$O$1004,$T1164))))</f>
        <v/>
      </c>
      <c r="G1164" s="50">
        <f>IF($T1164="","",IF($S1164="S",IF(INDEX(Firms!$F$5:$F$1004,$T1164)="","",INDEX(Firms!$F$5:$F$1004,$T1164)),IF(INDEX('AFA Rates'!$E$5:$E$1004,$T1164)="","",INDEX('AFA Rates'!$E$5:$E$1004,$T1164))))</f>
        <v/>
      </c>
      <c r="H1164" s="50">
        <f>IF($T1164="","",IF($S1164="S",IF(INDEX(Firms!$G$5:$G$1004,$T1164)="","",INDEX(Firms!$G$5:$G$1004,$T1164)),IF(INDEX('AFA Rates'!$F$5:$F$1004,$T1164)="","",INDEX('AFA Rates'!$F$5:$F$1004,$T1164))))</f>
        <v/>
      </c>
      <c r="I1164" s="50">
        <f>IF($T1164="","",IF($S1164="S",IF(INDEX(Firms!$H$5:$H$1004,$T1164)="","",INDEX(Firms!$H$5:$H$1004,$T1164)),IF(INDEX('AFA Rates'!$G$5:$G$1004,$T1164)="","",INDEX('AFA Rates'!$G$5:$G$1004,$T1164))))</f>
        <v/>
      </c>
      <c r="J1164" s="50">
        <f>IF($T1164="","",IF($S1164="S",IF(INDEX(Firms!$I$5:$I$1004,$T1164)="","",INDEX(Firms!$I$5:$I$1004,$T1164)),IF(INDEX('AFA Rates'!$H$5:$H$1004,$T1164)="","",INDEX('AFA Rates'!$H$5:$H$1004,$T1164))))</f>
        <v/>
      </c>
      <c r="K1164" s="50">
        <f>IF($T1164="","",IF($S1164="S",IF(INDEX(Firms!$J$5:$J$1004,$T1164)="","",INDEX(Firms!$J$5:$J$1004,$T1164)),IF(INDEX('AFA Rates'!$I$5:$I$1004,$T1164)="","",INDEX('AFA Rates'!$I$5:$I$1004,$T1164))))</f>
        <v/>
      </c>
      <c r="L1164" s="50">
        <f>IF($T1164="","",IF($S1164="S",IF(INDEX(Firms!$K$5:$K$1004,$T1164)="","",INDEX(Firms!$K$5:$K$1004,$T1164)),IF(INDEX('AFA Rates'!$J$5:$J$1004,$T1164)="","",INDEX('AFA Rates'!$J$5:$J$1004,$T1164))))</f>
        <v/>
      </c>
      <c r="M1164" s="50">
        <f>IF($T1164="","",IF($S1164="S",IF(INDEX(Firms!$L$5:$L$1004,$T1164)="","",INDEX(Firms!$L$5:$L$1004,$T1164)),IF(INDEX('AFA Rates'!$K$5:$K$1004,$T1164)="","",INDEX('AFA Rates'!$K$5:$K$1004,$T1164))))</f>
        <v/>
      </c>
      <c r="N1164" s="50">
        <f>IF($T1164="","",IF($S1164="S",IF(INDEX(Firms!$M$5:$M$1004,$T1164)="","",INDEX(Firms!$M$5:$M$1004,$T1164)),IF(INDEX('AFA Rates'!$L$5:$L$1004,$T1164)="","",INDEX('AFA Rates'!$L$5:$L$1004,$T1164))))</f>
        <v/>
      </c>
      <c r="O1164" s="78">
        <f>IF(OR($T1164="",$U1164=""),"",IF(INDEX(Firms!$C$5:$C$1004,$U1164)="","",INDEX(Firms!$C$5:$C$1004,$U1164)))</f>
        <v/>
      </c>
      <c r="P1164" s="79">
        <f>IF(OR($T1164="",$U1164=""),"",IF(INDEX(Firms!$N$5:$N$1004,$U1164)="","",INDEX(Firms!$N$5:$N$1004,$U1164)))</f>
        <v/>
      </c>
      <c r="Q1164" s="78">
        <f>IF($T1164="","",IF($S1164="S",IF(INDEX(Firms!$T$5:$T$1004,$T1164)="","",INDEX(Firms!$T$5:$T$1004,$T1164)),IF(INDEX('AFA Rates'!$M$5:$M$1004,$T1164)="","",INDEX('AFA Rates'!$M$5:$M$1004,$T1164))))</f>
        <v/>
      </c>
      <c r="S1164">
        <f>IF(1160&lt;=$S$2,"S",IF(1160&lt;=$S$2+$T$2,"A",""))</f>
        <v/>
      </c>
      <c r="T1164">
        <f>IF(S1164="S",MATCH(1160,Firms!$W$5:$W$1004,0),IF(S1164="A",IFERROR(MATCH(1160-$S$2,'AFA Rates'!$R$5:$R$1004,0),""),""))</f>
        <v/>
      </c>
      <c r="U1164">
        <f>IF(S1164="S",T1164,IF(AND(S1164="A",T1164&lt;&gt;""),IFERROR(MATCH(INDEX('AFA Rates'!$A$5:$A$1004,T1164),Firms!$A$5:$A$1004,0),""),""))</f>
        <v/>
      </c>
    </row>
    <row r="1165">
      <c r="A1165" s="78">
        <f>IF($T1165="","",IF($S1165="S",IF(INDEX(Firms!$A$5:$A$1004,$T1165)="","",INDEX(Firms!$A$5:$A$1004,$T1165)),IF(INDEX('AFA Rates'!$A$5:$A$1004,$T1165)="","",INDEX('AFA Rates'!$A$5:$A$1004,$T1165))))</f>
        <v/>
      </c>
      <c r="B1165" s="79">
        <f>IF(OR($T1165="",$U1165=""),IF($T1165="","","Not on Firms tab"),INDEX(Firms!$B$5:$B$1004,$U1165)&amp;"")</f>
        <v/>
      </c>
      <c r="C1165" s="78">
        <f>IF($T1165="","",IF($S1165="S","Standard",INDEX('AFA Rates'!$B$5:$B$1004,$T1165)&amp;""))</f>
        <v/>
      </c>
      <c r="D1165" s="88">
        <f>IF($T1165="","",IF($S1165="S",IF(INDEX(Firms!$E$5:$E$1004,$T1165)="","",INDEX(Firms!$E$5:$E$1004,$T1165)),IF(INDEX('AFA Rates'!$C$5:$C$1004,$T1165)="","",INDEX('AFA Rates'!$C$5:$C$1004,$T1165))))</f>
        <v/>
      </c>
      <c r="E1165" s="88">
        <f>IF($T1165="","",IF($S1165="S",IF(""="","",""),IF(INDEX('AFA Rates'!$D$5:$D$1004,$T1165)="","",INDEX('AFA Rates'!$D$5:$D$1004,$T1165))))</f>
        <v/>
      </c>
      <c r="F1165" s="79">
        <f>IF($T1165="","",IF($S1165="S",IF(INDEX(Firms!$O$5:$O$1004,$T1165)="","",INDEX(Firms!$O$5:$O$1004,$T1165)),IF(INDEX('AFA Rates'!$O$5:$O$1004,$T1165)="","",INDEX('AFA Rates'!$O$5:$O$1004,$T1165))))</f>
        <v/>
      </c>
      <c r="G1165" s="50">
        <f>IF($T1165="","",IF($S1165="S",IF(INDEX(Firms!$F$5:$F$1004,$T1165)="","",INDEX(Firms!$F$5:$F$1004,$T1165)),IF(INDEX('AFA Rates'!$E$5:$E$1004,$T1165)="","",INDEX('AFA Rates'!$E$5:$E$1004,$T1165))))</f>
        <v/>
      </c>
      <c r="H1165" s="50">
        <f>IF($T1165="","",IF($S1165="S",IF(INDEX(Firms!$G$5:$G$1004,$T1165)="","",INDEX(Firms!$G$5:$G$1004,$T1165)),IF(INDEX('AFA Rates'!$F$5:$F$1004,$T1165)="","",INDEX('AFA Rates'!$F$5:$F$1004,$T1165))))</f>
        <v/>
      </c>
      <c r="I1165" s="50">
        <f>IF($T1165="","",IF($S1165="S",IF(INDEX(Firms!$H$5:$H$1004,$T1165)="","",INDEX(Firms!$H$5:$H$1004,$T1165)),IF(INDEX('AFA Rates'!$G$5:$G$1004,$T1165)="","",INDEX('AFA Rates'!$G$5:$G$1004,$T1165))))</f>
        <v/>
      </c>
      <c r="J1165" s="50">
        <f>IF($T1165="","",IF($S1165="S",IF(INDEX(Firms!$I$5:$I$1004,$T1165)="","",INDEX(Firms!$I$5:$I$1004,$T1165)),IF(INDEX('AFA Rates'!$H$5:$H$1004,$T1165)="","",INDEX('AFA Rates'!$H$5:$H$1004,$T1165))))</f>
        <v/>
      </c>
      <c r="K1165" s="50">
        <f>IF($T1165="","",IF($S1165="S",IF(INDEX(Firms!$J$5:$J$1004,$T1165)="","",INDEX(Firms!$J$5:$J$1004,$T1165)),IF(INDEX('AFA Rates'!$I$5:$I$1004,$T1165)="","",INDEX('AFA Rates'!$I$5:$I$1004,$T1165))))</f>
        <v/>
      </c>
      <c r="L1165" s="50">
        <f>IF($T1165="","",IF($S1165="S",IF(INDEX(Firms!$K$5:$K$1004,$T1165)="","",INDEX(Firms!$K$5:$K$1004,$T1165)),IF(INDEX('AFA Rates'!$J$5:$J$1004,$T1165)="","",INDEX('AFA Rates'!$J$5:$J$1004,$T1165))))</f>
        <v/>
      </c>
      <c r="M1165" s="50">
        <f>IF($T1165="","",IF($S1165="S",IF(INDEX(Firms!$L$5:$L$1004,$T1165)="","",INDEX(Firms!$L$5:$L$1004,$T1165)),IF(INDEX('AFA Rates'!$K$5:$K$1004,$T1165)="","",INDEX('AFA Rates'!$K$5:$K$1004,$T1165))))</f>
        <v/>
      </c>
      <c r="N1165" s="50">
        <f>IF($T1165="","",IF($S1165="S",IF(INDEX(Firms!$M$5:$M$1004,$T1165)="","",INDEX(Firms!$M$5:$M$1004,$T1165)),IF(INDEX('AFA Rates'!$L$5:$L$1004,$T1165)="","",INDEX('AFA Rates'!$L$5:$L$1004,$T1165))))</f>
        <v/>
      </c>
      <c r="O1165" s="78">
        <f>IF(OR($T1165="",$U1165=""),"",IF(INDEX(Firms!$C$5:$C$1004,$U1165)="","",INDEX(Firms!$C$5:$C$1004,$U1165)))</f>
        <v/>
      </c>
      <c r="P1165" s="79">
        <f>IF(OR($T1165="",$U1165=""),"",IF(INDEX(Firms!$N$5:$N$1004,$U1165)="","",INDEX(Firms!$N$5:$N$1004,$U1165)))</f>
        <v/>
      </c>
      <c r="Q1165" s="78">
        <f>IF($T1165="","",IF($S1165="S",IF(INDEX(Firms!$T$5:$T$1004,$T1165)="","",INDEX(Firms!$T$5:$T$1004,$T1165)),IF(INDEX('AFA Rates'!$M$5:$M$1004,$T1165)="","",INDEX('AFA Rates'!$M$5:$M$1004,$T1165))))</f>
        <v/>
      </c>
      <c r="S1165">
        <f>IF(1161&lt;=$S$2,"S",IF(1161&lt;=$S$2+$T$2,"A",""))</f>
        <v/>
      </c>
      <c r="T1165">
        <f>IF(S1165="S",MATCH(1161,Firms!$W$5:$W$1004,0),IF(S1165="A",IFERROR(MATCH(1161-$S$2,'AFA Rates'!$R$5:$R$1004,0),""),""))</f>
        <v/>
      </c>
      <c r="U1165">
        <f>IF(S1165="S",T1165,IF(AND(S1165="A",T1165&lt;&gt;""),IFERROR(MATCH(INDEX('AFA Rates'!$A$5:$A$1004,T1165),Firms!$A$5:$A$1004,0),""),""))</f>
        <v/>
      </c>
    </row>
    <row r="1166">
      <c r="A1166" s="78">
        <f>IF($T1166="","",IF($S1166="S",IF(INDEX(Firms!$A$5:$A$1004,$T1166)="","",INDEX(Firms!$A$5:$A$1004,$T1166)),IF(INDEX('AFA Rates'!$A$5:$A$1004,$T1166)="","",INDEX('AFA Rates'!$A$5:$A$1004,$T1166))))</f>
        <v/>
      </c>
      <c r="B1166" s="79">
        <f>IF(OR($T1166="",$U1166=""),IF($T1166="","","Not on Firms tab"),INDEX(Firms!$B$5:$B$1004,$U1166)&amp;"")</f>
        <v/>
      </c>
      <c r="C1166" s="78">
        <f>IF($T1166="","",IF($S1166="S","Standard",INDEX('AFA Rates'!$B$5:$B$1004,$T1166)&amp;""))</f>
        <v/>
      </c>
      <c r="D1166" s="88">
        <f>IF($T1166="","",IF($S1166="S",IF(INDEX(Firms!$E$5:$E$1004,$T1166)="","",INDEX(Firms!$E$5:$E$1004,$T1166)),IF(INDEX('AFA Rates'!$C$5:$C$1004,$T1166)="","",INDEX('AFA Rates'!$C$5:$C$1004,$T1166))))</f>
        <v/>
      </c>
      <c r="E1166" s="88">
        <f>IF($T1166="","",IF($S1166="S",IF(""="","",""),IF(INDEX('AFA Rates'!$D$5:$D$1004,$T1166)="","",INDEX('AFA Rates'!$D$5:$D$1004,$T1166))))</f>
        <v/>
      </c>
      <c r="F1166" s="79">
        <f>IF($T1166="","",IF($S1166="S",IF(INDEX(Firms!$O$5:$O$1004,$T1166)="","",INDEX(Firms!$O$5:$O$1004,$T1166)),IF(INDEX('AFA Rates'!$O$5:$O$1004,$T1166)="","",INDEX('AFA Rates'!$O$5:$O$1004,$T1166))))</f>
        <v/>
      </c>
      <c r="G1166" s="50">
        <f>IF($T1166="","",IF($S1166="S",IF(INDEX(Firms!$F$5:$F$1004,$T1166)="","",INDEX(Firms!$F$5:$F$1004,$T1166)),IF(INDEX('AFA Rates'!$E$5:$E$1004,$T1166)="","",INDEX('AFA Rates'!$E$5:$E$1004,$T1166))))</f>
        <v/>
      </c>
      <c r="H1166" s="50">
        <f>IF($T1166="","",IF($S1166="S",IF(INDEX(Firms!$G$5:$G$1004,$T1166)="","",INDEX(Firms!$G$5:$G$1004,$T1166)),IF(INDEX('AFA Rates'!$F$5:$F$1004,$T1166)="","",INDEX('AFA Rates'!$F$5:$F$1004,$T1166))))</f>
        <v/>
      </c>
      <c r="I1166" s="50">
        <f>IF($T1166="","",IF($S1166="S",IF(INDEX(Firms!$H$5:$H$1004,$T1166)="","",INDEX(Firms!$H$5:$H$1004,$T1166)),IF(INDEX('AFA Rates'!$G$5:$G$1004,$T1166)="","",INDEX('AFA Rates'!$G$5:$G$1004,$T1166))))</f>
        <v/>
      </c>
      <c r="J1166" s="50">
        <f>IF($T1166="","",IF($S1166="S",IF(INDEX(Firms!$I$5:$I$1004,$T1166)="","",INDEX(Firms!$I$5:$I$1004,$T1166)),IF(INDEX('AFA Rates'!$H$5:$H$1004,$T1166)="","",INDEX('AFA Rates'!$H$5:$H$1004,$T1166))))</f>
        <v/>
      </c>
      <c r="K1166" s="50">
        <f>IF($T1166="","",IF($S1166="S",IF(INDEX(Firms!$J$5:$J$1004,$T1166)="","",INDEX(Firms!$J$5:$J$1004,$T1166)),IF(INDEX('AFA Rates'!$I$5:$I$1004,$T1166)="","",INDEX('AFA Rates'!$I$5:$I$1004,$T1166))))</f>
        <v/>
      </c>
      <c r="L1166" s="50">
        <f>IF($T1166="","",IF($S1166="S",IF(INDEX(Firms!$K$5:$K$1004,$T1166)="","",INDEX(Firms!$K$5:$K$1004,$T1166)),IF(INDEX('AFA Rates'!$J$5:$J$1004,$T1166)="","",INDEX('AFA Rates'!$J$5:$J$1004,$T1166))))</f>
        <v/>
      </c>
      <c r="M1166" s="50">
        <f>IF($T1166="","",IF($S1166="S",IF(INDEX(Firms!$L$5:$L$1004,$T1166)="","",INDEX(Firms!$L$5:$L$1004,$T1166)),IF(INDEX('AFA Rates'!$K$5:$K$1004,$T1166)="","",INDEX('AFA Rates'!$K$5:$K$1004,$T1166))))</f>
        <v/>
      </c>
      <c r="N1166" s="50">
        <f>IF($T1166="","",IF($S1166="S",IF(INDEX(Firms!$M$5:$M$1004,$T1166)="","",INDEX(Firms!$M$5:$M$1004,$T1166)),IF(INDEX('AFA Rates'!$L$5:$L$1004,$T1166)="","",INDEX('AFA Rates'!$L$5:$L$1004,$T1166))))</f>
        <v/>
      </c>
      <c r="O1166" s="78">
        <f>IF(OR($T1166="",$U1166=""),"",IF(INDEX(Firms!$C$5:$C$1004,$U1166)="","",INDEX(Firms!$C$5:$C$1004,$U1166)))</f>
        <v/>
      </c>
      <c r="P1166" s="79">
        <f>IF(OR($T1166="",$U1166=""),"",IF(INDEX(Firms!$N$5:$N$1004,$U1166)="","",INDEX(Firms!$N$5:$N$1004,$U1166)))</f>
        <v/>
      </c>
      <c r="Q1166" s="78">
        <f>IF($T1166="","",IF($S1166="S",IF(INDEX(Firms!$T$5:$T$1004,$T1166)="","",INDEX(Firms!$T$5:$T$1004,$T1166)),IF(INDEX('AFA Rates'!$M$5:$M$1004,$T1166)="","",INDEX('AFA Rates'!$M$5:$M$1004,$T1166))))</f>
        <v/>
      </c>
      <c r="S1166">
        <f>IF(1162&lt;=$S$2,"S",IF(1162&lt;=$S$2+$T$2,"A",""))</f>
        <v/>
      </c>
      <c r="T1166">
        <f>IF(S1166="S",MATCH(1162,Firms!$W$5:$W$1004,0),IF(S1166="A",IFERROR(MATCH(1162-$S$2,'AFA Rates'!$R$5:$R$1004,0),""),""))</f>
        <v/>
      </c>
      <c r="U1166">
        <f>IF(S1166="S",T1166,IF(AND(S1166="A",T1166&lt;&gt;""),IFERROR(MATCH(INDEX('AFA Rates'!$A$5:$A$1004,T1166),Firms!$A$5:$A$1004,0),""),""))</f>
        <v/>
      </c>
    </row>
    <row r="1167">
      <c r="A1167" s="78">
        <f>IF($T1167="","",IF($S1167="S",IF(INDEX(Firms!$A$5:$A$1004,$T1167)="","",INDEX(Firms!$A$5:$A$1004,$T1167)),IF(INDEX('AFA Rates'!$A$5:$A$1004,$T1167)="","",INDEX('AFA Rates'!$A$5:$A$1004,$T1167))))</f>
        <v/>
      </c>
      <c r="B1167" s="79">
        <f>IF(OR($T1167="",$U1167=""),IF($T1167="","","Not on Firms tab"),INDEX(Firms!$B$5:$B$1004,$U1167)&amp;"")</f>
        <v/>
      </c>
      <c r="C1167" s="78">
        <f>IF($T1167="","",IF($S1167="S","Standard",INDEX('AFA Rates'!$B$5:$B$1004,$T1167)&amp;""))</f>
        <v/>
      </c>
      <c r="D1167" s="88">
        <f>IF($T1167="","",IF($S1167="S",IF(INDEX(Firms!$E$5:$E$1004,$T1167)="","",INDEX(Firms!$E$5:$E$1004,$T1167)),IF(INDEX('AFA Rates'!$C$5:$C$1004,$T1167)="","",INDEX('AFA Rates'!$C$5:$C$1004,$T1167))))</f>
        <v/>
      </c>
      <c r="E1167" s="88">
        <f>IF($T1167="","",IF($S1167="S",IF(""="","",""),IF(INDEX('AFA Rates'!$D$5:$D$1004,$T1167)="","",INDEX('AFA Rates'!$D$5:$D$1004,$T1167))))</f>
        <v/>
      </c>
      <c r="F1167" s="79">
        <f>IF($T1167="","",IF($S1167="S",IF(INDEX(Firms!$O$5:$O$1004,$T1167)="","",INDEX(Firms!$O$5:$O$1004,$T1167)),IF(INDEX('AFA Rates'!$O$5:$O$1004,$T1167)="","",INDEX('AFA Rates'!$O$5:$O$1004,$T1167))))</f>
        <v/>
      </c>
      <c r="G1167" s="50">
        <f>IF($T1167="","",IF($S1167="S",IF(INDEX(Firms!$F$5:$F$1004,$T1167)="","",INDEX(Firms!$F$5:$F$1004,$T1167)),IF(INDEX('AFA Rates'!$E$5:$E$1004,$T1167)="","",INDEX('AFA Rates'!$E$5:$E$1004,$T1167))))</f>
        <v/>
      </c>
      <c r="H1167" s="50">
        <f>IF($T1167="","",IF($S1167="S",IF(INDEX(Firms!$G$5:$G$1004,$T1167)="","",INDEX(Firms!$G$5:$G$1004,$T1167)),IF(INDEX('AFA Rates'!$F$5:$F$1004,$T1167)="","",INDEX('AFA Rates'!$F$5:$F$1004,$T1167))))</f>
        <v/>
      </c>
      <c r="I1167" s="50">
        <f>IF($T1167="","",IF($S1167="S",IF(INDEX(Firms!$H$5:$H$1004,$T1167)="","",INDEX(Firms!$H$5:$H$1004,$T1167)),IF(INDEX('AFA Rates'!$G$5:$G$1004,$T1167)="","",INDEX('AFA Rates'!$G$5:$G$1004,$T1167))))</f>
        <v/>
      </c>
      <c r="J1167" s="50">
        <f>IF($T1167="","",IF($S1167="S",IF(INDEX(Firms!$I$5:$I$1004,$T1167)="","",INDEX(Firms!$I$5:$I$1004,$T1167)),IF(INDEX('AFA Rates'!$H$5:$H$1004,$T1167)="","",INDEX('AFA Rates'!$H$5:$H$1004,$T1167))))</f>
        <v/>
      </c>
      <c r="K1167" s="50">
        <f>IF($T1167="","",IF($S1167="S",IF(INDEX(Firms!$J$5:$J$1004,$T1167)="","",INDEX(Firms!$J$5:$J$1004,$T1167)),IF(INDEX('AFA Rates'!$I$5:$I$1004,$T1167)="","",INDEX('AFA Rates'!$I$5:$I$1004,$T1167))))</f>
        <v/>
      </c>
      <c r="L1167" s="50">
        <f>IF($T1167="","",IF($S1167="S",IF(INDEX(Firms!$K$5:$K$1004,$T1167)="","",INDEX(Firms!$K$5:$K$1004,$T1167)),IF(INDEX('AFA Rates'!$J$5:$J$1004,$T1167)="","",INDEX('AFA Rates'!$J$5:$J$1004,$T1167))))</f>
        <v/>
      </c>
      <c r="M1167" s="50">
        <f>IF($T1167="","",IF($S1167="S",IF(INDEX(Firms!$L$5:$L$1004,$T1167)="","",INDEX(Firms!$L$5:$L$1004,$T1167)),IF(INDEX('AFA Rates'!$K$5:$K$1004,$T1167)="","",INDEX('AFA Rates'!$K$5:$K$1004,$T1167))))</f>
        <v/>
      </c>
      <c r="N1167" s="50">
        <f>IF($T1167="","",IF($S1167="S",IF(INDEX(Firms!$M$5:$M$1004,$T1167)="","",INDEX(Firms!$M$5:$M$1004,$T1167)),IF(INDEX('AFA Rates'!$L$5:$L$1004,$T1167)="","",INDEX('AFA Rates'!$L$5:$L$1004,$T1167))))</f>
        <v/>
      </c>
      <c r="O1167" s="78">
        <f>IF(OR($T1167="",$U1167=""),"",IF(INDEX(Firms!$C$5:$C$1004,$U1167)="","",INDEX(Firms!$C$5:$C$1004,$U1167)))</f>
        <v/>
      </c>
      <c r="P1167" s="79">
        <f>IF(OR($T1167="",$U1167=""),"",IF(INDEX(Firms!$N$5:$N$1004,$U1167)="","",INDEX(Firms!$N$5:$N$1004,$U1167)))</f>
        <v/>
      </c>
      <c r="Q1167" s="78">
        <f>IF($T1167="","",IF($S1167="S",IF(INDEX(Firms!$T$5:$T$1004,$T1167)="","",INDEX(Firms!$T$5:$T$1004,$T1167)),IF(INDEX('AFA Rates'!$M$5:$M$1004,$T1167)="","",INDEX('AFA Rates'!$M$5:$M$1004,$T1167))))</f>
        <v/>
      </c>
      <c r="S1167">
        <f>IF(1163&lt;=$S$2,"S",IF(1163&lt;=$S$2+$T$2,"A",""))</f>
        <v/>
      </c>
      <c r="T1167">
        <f>IF(S1167="S",MATCH(1163,Firms!$W$5:$W$1004,0),IF(S1167="A",IFERROR(MATCH(1163-$S$2,'AFA Rates'!$R$5:$R$1004,0),""),""))</f>
        <v/>
      </c>
      <c r="U1167">
        <f>IF(S1167="S",T1167,IF(AND(S1167="A",T1167&lt;&gt;""),IFERROR(MATCH(INDEX('AFA Rates'!$A$5:$A$1004,T1167),Firms!$A$5:$A$1004,0),""),""))</f>
        <v/>
      </c>
    </row>
    <row r="1168">
      <c r="A1168" s="78">
        <f>IF($T1168="","",IF($S1168="S",IF(INDEX(Firms!$A$5:$A$1004,$T1168)="","",INDEX(Firms!$A$5:$A$1004,$T1168)),IF(INDEX('AFA Rates'!$A$5:$A$1004,$T1168)="","",INDEX('AFA Rates'!$A$5:$A$1004,$T1168))))</f>
        <v/>
      </c>
      <c r="B1168" s="79">
        <f>IF(OR($T1168="",$U1168=""),IF($T1168="","","Not on Firms tab"),INDEX(Firms!$B$5:$B$1004,$U1168)&amp;"")</f>
        <v/>
      </c>
      <c r="C1168" s="78">
        <f>IF($T1168="","",IF($S1168="S","Standard",INDEX('AFA Rates'!$B$5:$B$1004,$T1168)&amp;""))</f>
        <v/>
      </c>
      <c r="D1168" s="88">
        <f>IF($T1168="","",IF($S1168="S",IF(INDEX(Firms!$E$5:$E$1004,$T1168)="","",INDEX(Firms!$E$5:$E$1004,$T1168)),IF(INDEX('AFA Rates'!$C$5:$C$1004,$T1168)="","",INDEX('AFA Rates'!$C$5:$C$1004,$T1168))))</f>
        <v/>
      </c>
      <c r="E1168" s="88">
        <f>IF($T1168="","",IF($S1168="S",IF(""="","",""),IF(INDEX('AFA Rates'!$D$5:$D$1004,$T1168)="","",INDEX('AFA Rates'!$D$5:$D$1004,$T1168))))</f>
        <v/>
      </c>
      <c r="F1168" s="79">
        <f>IF($T1168="","",IF($S1168="S",IF(INDEX(Firms!$O$5:$O$1004,$T1168)="","",INDEX(Firms!$O$5:$O$1004,$T1168)),IF(INDEX('AFA Rates'!$O$5:$O$1004,$T1168)="","",INDEX('AFA Rates'!$O$5:$O$1004,$T1168))))</f>
        <v/>
      </c>
      <c r="G1168" s="50">
        <f>IF($T1168="","",IF($S1168="S",IF(INDEX(Firms!$F$5:$F$1004,$T1168)="","",INDEX(Firms!$F$5:$F$1004,$T1168)),IF(INDEX('AFA Rates'!$E$5:$E$1004,$T1168)="","",INDEX('AFA Rates'!$E$5:$E$1004,$T1168))))</f>
        <v/>
      </c>
      <c r="H1168" s="50">
        <f>IF($T1168="","",IF($S1168="S",IF(INDEX(Firms!$G$5:$G$1004,$T1168)="","",INDEX(Firms!$G$5:$G$1004,$T1168)),IF(INDEX('AFA Rates'!$F$5:$F$1004,$T1168)="","",INDEX('AFA Rates'!$F$5:$F$1004,$T1168))))</f>
        <v/>
      </c>
      <c r="I1168" s="50">
        <f>IF($T1168="","",IF($S1168="S",IF(INDEX(Firms!$H$5:$H$1004,$T1168)="","",INDEX(Firms!$H$5:$H$1004,$T1168)),IF(INDEX('AFA Rates'!$G$5:$G$1004,$T1168)="","",INDEX('AFA Rates'!$G$5:$G$1004,$T1168))))</f>
        <v/>
      </c>
      <c r="J1168" s="50">
        <f>IF($T1168="","",IF($S1168="S",IF(INDEX(Firms!$I$5:$I$1004,$T1168)="","",INDEX(Firms!$I$5:$I$1004,$T1168)),IF(INDEX('AFA Rates'!$H$5:$H$1004,$T1168)="","",INDEX('AFA Rates'!$H$5:$H$1004,$T1168))))</f>
        <v/>
      </c>
      <c r="K1168" s="50">
        <f>IF($T1168="","",IF($S1168="S",IF(INDEX(Firms!$J$5:$J$1004,$T1168)="","",INDEX(Firms!$J$5:$J$1004,$T1168)),IF(INDEX('AFA Rates'!$I$5:$I$1004,$T1168)="","",INDEX('AFA Rates'!$I$5:$I$1004,$T1168))))</f>
        <v/>
      </c>
      <c r="L1168" s="50">
        <f>IF($T1168="","",IF($S1168="S",IF(INDEX(Firms!$K$5:$K$1004,$T1168)="","",INDEX(Firms!$K$5:$K$1004,$T1168)),IF(INDEX('AFA Rates'!$J$5:$J$1004,$T1168)="","",INDEX('AFA Rates'!$J$5:$J$1004,$T1168))))</f>
        <v/>
      </c>
      <c r="M1168" s="50">
        <f>IF($T1168="","",IF($S1168="S",IF(INDEX(Firms!$L$5:$L$1004,$T1168)="","",INDEX(Firms!$L$5:$L$1004,$T1168)),IF(INDEX('AFA Rates'!$K$5:$K$1004,$T1168)="","",INDEX('AFA Rates'!$K$5:$K$1004,$T1168))))</f>
        <v/>
      </c>
      <c r="N1168" s="50">
        <f>IF($T1168="","",IF($S1168="S",IF(INDEX(Firms!$M$5:$M$1004,$T1168)="","",INDEX(Firms!$M$5:$M$1004,$T1168)),IF(INDEX('AFA Rates'!$L$5:$L$1004,$T1168)="","",INDEX('AFA Rates'!$L$5:$L$1004,$T1168))))</f>
        <v/>
      </c>
      <c r="O1168" s="78">
        <f>IF(OR($T1168="",$U1168=""),"",IF(INDEX(Firms!$C$5:$C$1004,$U1168)="","",INDEX(Firms!$C$5:$C$1004,$U1168)))</f>
        <v/>
      </c>
      <c r="P1168" s="79">
        <f>IF(OR($T1168="",$U1168=""),"",IF(INDEX(Firms!$N$5:$N$1004,$U1168)="","",INDEX(Firms!$N$5:$N$1004,$U1168)))</f>
        <v/>
      </c>
      <c r="Q1168" s="78">
        <f>IF($T1168="","",IF($S1168="S",IF(INDEX(Firms!$T$5:$T$1004,$T1168)="","",INDEX(Firms!$T$5:$T$1004,$T1168)),IF(INDEX('AFA Rates'!$M$5:$M$1004,$T1168)="","",INDEX('AFA Rates'!$M$5:$M$1004,$T1168))))</f>
        <v/>
      </c>
      <c r="S1168">
        <f>IF(1164&lt;=$S$2,"S",IF(1164&lt;=$S$2+$T$2,"A",""))</f>
        <v/>
      </c>
      <c r="T1168">
        <f>IF(S1168="S",MATCH(1164,Firms!$W$5:$W$1004,0),IF(S1168="A",IFERROR(MATCH(1164-$S$2,'AFA Rates'!$R$5:$R$1004,0),""),""))</f>
        <v/>
      </c>
      <c r="U1168">
        <f>IF(S1168="S",T1168,IF(AND(S1168="A",T1168&lt;&gt;""),IFERROR(MATCH(INDEX('AFA Rates'!$A$5:$A$1004,T1168),Firms!$A$5:$A$1004,0),""),""))</f>
        <v/>
      </c>
    </row>
    <row r="1169">
      <c r="A1169" s="78">
        <f>IF($T1169="","",IF($S1169="S",IF(INDEX(Firms!$A$5:$A$1004,$T1169)="","",INDEX(Firms!$A$5:$A$1004,$T1169)),IF(INDEX('AFA Rates'!$A$5:$A$1004,$T1169)="","",INDEX('AFA Rates'!$A$5:$A$1004,$T1169))))</f>
        <v/>
      </c>
      <c r="B1169" s="79">
        <f>IF(OR($T1169="",$U1169=""),IF($T1169="","","Not on Firms tab"),INDEX(Firms!$B$5:$B$1004,$U1169)&amp;"")</f>
        <v/>
      </c>
      <c r="C1169" s="78">
        <f>IF($T1169="","",IF($S1169="S","Standard",INDEX('AFA Rates'!$B$5:$B$1004,$T1169)&amp;""))</f>
        <v/>
      </c>
      <c r="D1169" s="88">
        <f>IF($T1169="","",IF($S1169="S",IF(INDEX(Firms!$E$5:$E$1004,$T1169)="","",INDEX(Firms!$E$5:$E$1004,$T1169)),IF(INDEX('AFA Rates'!$C$5:$C$1004,$T1169)="","",INDEX('AFA Rates'!$C$5:$C$1004,$T1169))))</f>
        <v/>
      </c>
      <c r="E1169" s="88">
        <f>IF($T1169="","",IF($S1169="S",IF(""="","",""),IF(INDEX('AFA Rates'!$D$5:$D$1004,$T1169)="","",INDEX('AFA Rates'!$D$5:$D$1004,$T1169))))</f>
        <v/>
      </c>
      <c r="F1169" s="79">
        <f>IF($T1169="","",IF($S1169="S",IF(INDEX(Firms!$O$5:$O$1004,$T1169)="","",INDEX(Firms!$O$5:$O$1004,$T1169)),IF(INDEX('AFA Rates'!$O$5:$O$1004,$T1169)="","",INDEX('AFA Rates'!$O$5:$O$1004,$T1169))))</f>
        <v/>
      </c>
      <c r="G1169" s="50">
        <f>IF($T1169="","",IF($S1169="S",IF(INDEX(Firms!$F$5:$F$1004,$T1169)="","",INDEX(Firms!$F$5:$F$1004,$T1169)),IF(INDEX('AFA Rates'!$E$5:$E$1004,$T1169)="","",INDEX('AFA Rates'!$E$5:$E$1004,$T1169))))</f>
        <v/>
      </c>
      <c r="H1169" s="50">
        <f>IF($T1169="","",IF($S1169="S",IF(INDEX(Firms!$G$5:$G$1004,$T1169)="","",INDEX(Firms!$G$5:$G$1004,$T1169)),IF(INDEX('AFA Rates'!$F$5:$F$1004,$T1169)="","",INDEX('AFA Rates'!$F$5:$F$1004,$T1169))))</f>
        <v/>
      </c>
      <c r="I1169" s="50">
        <f>IF($T1169="","",IF($S1169="S",IF(INDEX(Firms!$H$5:$H$1004,$T1169)="","",INDEX(Firms!$H$5:$H$1004,$T1169)),IF(INDEX('AFA Rates'!$G$5:$G$1004,$T1169)="","",INDEX('AFA Rates'!$G$5:$G$1004,$T1169))))</f>
        <v/>
      </c>
      <c r="J1169" s="50">
        <f>IF($T1169="","",IF($S1169="S",IF(INDEX(Firms!$I$5:$I$1004,$T1169)="","",INDEX(Firms!$I$5:$I$1004,$T1169)),IF(INDEX('AFA Rates'!$H$5:$H$1004,$T1169)="","",INDEX('AFA Rates'!$H$5:$H$1004,$T1169))))</f>
        <v/>
      </c>
      <c r="K1169" s="50">
        <f>IF($T1169="","",IF($S1169="S",IF(INDEX(Firms!$J$5:$J$1004,$T1169)="","",INDEX(Firms!$J$5:$J$1004,$T1169)),IF(INDEX('AFA Rates'!$I$5:$I$1004,$T1169)="","",INDEX('AFA Rates'!$I$5:$I$1004,$T1169))))</f>
        <v/>
      </c>
      <c r="L1169" s="50">
        <f>IF($T1169="","",IF($S1169="S",IF(INDEX(Firms!$K$5:$K$1004,$T1169)="","",INDEX(Firms!$K$5:$K$1004,$T1169)),IF(INDEX('AFA Rates'!$J$5:$J$1004,$T1169)="","",INDEX('AFA Rates'!$J$5:$J$1004,$T1169))))</f>
        <v/>
      </c>
      <c r="M1169" s="50">
        <f>IF($T1169="","",IF($S1169="S",IF(INDEX(Firms!$L$5:$L$1004,$T1169)="","",INDEX(Firms!$L$5:$L$1004,$T1169)),IF(INDEX('AFA Rates'!$K$5:$K$1004,$T1169)="","",INDEX('AFA Rates'!$K$5:$K$1004,$T1169))))</f>
        <v/>
      </c>
      <c r="N1169" s="50">
        <f>IF($T1169="","",IF($S1169="S",IF(INDEX(Firms!$M$5:$M$1004,$T1169)="","",INDEX(Firms!$M$5:$M$1004,$T1169)),IF(INDEX('AFA Rates'!$L$5:$L$1004,$T1169)="","",INDEX('AFA Rates'!$L$5:$L$1004,$T1169))))</f>
        <v/>
      </c>
      <c r="O1169" s="78">
        <f>IF(OR($T1169="",$U1169=""),"",IF(INDEX(Firms!$C$5:$C$1004,$U1169)="","",INDEX(Firms!$C$5:$C$1004,$U1169)))</f>
        <v/>
      </c>
      <c r="P1169" s="79">
        <f>IF(OR($T1169="",$U1169=""),"",IF(INDEX(Firms!$N$5:$N$1004,$U1169)="","",INDEX(Firms!$N$5:$N$1004,$U1169)))</f>
        <v/>
      </c>
      <c r="Q1169" s="78">
        <f>IF($T1169="","",IF($S1169="S",IF(INDEX(Firms!$T$5:$T$1004,$T1169)="","",INDEX(Firms!$T$5:$T$1004,$T1169)),IF(INDEX('AFA Rates'!$M$5:$M$1004,$T1169)="","",INDEX('AFA Rates'!$M$5:$M$1004,$T1169))))</f>
        <v/>
      </c>
      <c r="S1169">
        <f>IF(1165&lt;=$S$2,"S",IF(1165&lt;=$S$2+$T$2,"A",""))</f>
        <v/>
      </c>
      <c r="T1169">
        <f>IF(S1169="S",MATCH(1165,Firms!$W$5:$W$1004,0),IF(S1169="A",IFERROR(MATCH(1165-$S$2,'AFA Rates'!$R$5:$R$1004,0),""),""))</f>
        <v/>
      </c>
      <c r="U1169">
        <f>IF(S1169="S",T1169,IF(AND(S1169="A",T1169&lt;&gt;""),IFERROR(MATCH(INDEX('AFA Rates'!$A$5:$A$1004,T1169),Firms!$A$5:$A$1004,0),""),""))</f>
        <v/>
      </c>
    </row>
    <row r="1170">
      <c r="A1170" s="78">
        <f>IF($T1170="","",IF($S1170="S",IF(INDEX(Firms!$A$5:$A$1004,$T1170)="","",INDEX(Firms!$A$5:$A$1004,$T1170)),IF(INDEX('AFA Rates'!$A$5:$A$1004,$T1170)="","",INDEX('AFA Rates'!$A$5:$A$1004,$T1170))))</f>
        <v/>
      </c>
      <c r="B1170" s="79">
        <f>IF(OR($T1170="",$U1170=""),IF($T1170="","","Not on Firms tab"),INDEX(Firms!$B$5:$B$1004,$U1170)&amp;"")</f>
        <v/>
      </c>
      <c r="C1170" s="78">
        <f>IF($T1170="","",IF($S1170="S","Standard",INDEX('AFA Rates'!$B$5:$B$1004,$T1170)&amp;""))</f>
        <v/>
      </c>
      <c r="D1170" s="88">
        <f>IF($T1170="","",IF($S1170="S",IF(INDEX(Firms!$E$5:$E$1004,$T1170)="","",INDEX(Firms!$E$5:$E$1004,$T1170)),IF(INDEX('AFA Rates'!$C$5:$C$1004,$T1170)="","",INDEX('AFA Rates'!$C$5:$C$1004,$T1170))))</f>
        <v/>
      </c>
      <c r="E1170" s="88">
        <f>IF($T1170="","",IF($S1170="S",IF(""="","",""),IF(INDEX('AFA Rates'!$D$5:$D$1004,$T1170)="","",INDEX('AFA Rates'!$D$5:$D$1004,$T1170))))</f>
        <v/>
      </c>
      <c r="F1170" s="79">
        <f>IF($T1170="","",IF($S1170="S",IF(INDEX(Firms!$O$5:$O$1004,$T1170)="","",INDEX(Firms!$O$5:$O$1004,$T1170)),IF(INDEX('AFA Rates'!$O$5:$O$1004,$T1170)="","",INDEX('AFA Rates'!$O$5:$O$1004,$T1170))))</f>
        <v/>
      </c>
      <c r="G1170" s="50">
        <f>IF($T1170="","",IF($S1170="S",IF(INDEX(Firms!$F$5:$F$1004,$T1170)="","",INDEX(Firms!$F$5:$F$1004,$T1170)),IF(INDEX('AFA Rates'!$E$5:$E$1004,$T1170)="","",INDEX('AFA Rates'!$E$5:$E$1004,$T1170))))</f>
        <v/>
      </c>
      <c r="H1170" s="50">
        <f>IF($T1170="","",IF($S1170="S",IF(INDEX(Firms!$G$5:$G$1004,$T1170)="","",INDEX(Firms!$G$5:$G$1004,$T1170)),IF(INDEX('AFA Rates'!$F$5:$F$1004,$T1170)="","",INDEX('AFA Rates'!$F$5:$F$1004,$T1170))))</f>
        <v/>
      </c>
      <c r="I1170" s="50">
        <f>IF($T1170="","",IF($S1170="S",IF(INDEX(Firms!$H$5:$H$1004,$T1170)="","",INDEX(Firms!$H$5:$H$1004,$T1170)),IF(INDEX('AFA Rates'!$G$5:$G$1004,$T1170)="","",INDEX('AFA Rates'!$G$5:$G$1004,$T1170))))</f>
        <v/>
      </c>
      <c r="J1170" s="50">
        <f>IF($T1170="","",IF($S1170="S",IF(INDEX(Firms!$I$5:$I$1004,$T1170)="","",INDEX(Firms!$I$5:$I$1004,$T1170)),IF(INDEX('AFA Rates'!$H$5:$H$1004,$T1170)="","",INDEX('AFA Rates'!$H$5:$H$1004,$T1170))))</f>
        <v/>
      </c>
      <c r="K1170" s="50">
        <f>IF($T1170="","",IF($S1170="S",IF(INDEX(Firms!$J$5:$J$1004,$T1170)="","",INDEX(Firms!$J$5:$J$1004,$T1170)),IF(INDEX('AFA Rates'!$I$5:$I$1004,$T1170)="","",INDEX('AFA Rates'!$I$5:$I$1004,$T1170))))</f>
        <v/>
      </c>
      <c r="L1170" s="50">
        <f>IF($T1170="","",IF($S1170="S",IF(INDEX(Firms!$K$5:$K$1004,$T1170)="","",INDEX(Firms!$K$5:$K$1004,$T1170)),IF(INDEX('AFA Rates'!$J$5:$J$1004,$T1170)="","",INDEX('AFA Rates'!$J$5:$J$1004,$T1170))))</f>
        <v/>
      </c>
      <c r="M1170" s="50">
        <f>IF($T1170="","",IF($S1170="S",IF(INDEX(Firms!$L$5:$L$1004,$T1170)="","",INDEX(Firms!$L$5:$L$1004,$T1170)),IF(INDEX('AFA Rates'!$K$5:$K$1004,$T1170)="","",INDEX('AFA Rates'!$K$5:$K$1004,$T1170))))</f>
        <v/>
      </c>
      <c r="N1170" s="50">
        <f>IF($T1170="","",IF($S1170="S",IF(INDEX(Firms!$M$5:$M$1004,$T1170)="","",INDEX(Firms!$M$5:$M$1004,$T1170)),IF(INDEX('AFA Rates'!$L$5:$L$1004,$T1170)="","",INDEX('AFA Rates'!$L$5:$L$1004,$T1170))))</f>
        <v/>
      </c>
      <c r="O1170" s="78">
        <f>IF(OR($T1170="",$U1170=""),"",IF(INDEX(Firms!$C$5:$C$1004,$U1170)="","",INDEX(Firms!$C$5:$C$1004,$U1170)))</f>
        <v/>
      </c>
      <c r="P1170" s="79">
        <f>IF(OR($T1170="",$U1170=""),"",IF(INDEX(Firms!$N$5:$N$1004,$U1170)="","",INDEX(Firms!$N$5:$N$1004,$U1170)))</f>
        <v/>
      </c>
      <c r="Q1170" s="78">
        <f>IF($T1170="","",IF($S1170="S",IF(INDEX(Firms!$T$5:$T$1004,$T1170)="","",INDEX(Firms!$T$5:$T$1004,$T1170)),IF(INDEX('AFA Rates'!$M$5:$M$1004,$T1170)="","",INDEX('AFA Rates'!$M$5:$M$1004,$T1170))))</f>
        <v/>
      </c>
      <c r="S1170">
        <f>IF(1166&lt;=$S$2,"S",IF(1166&lt;=$S$2+$T$2,"A",""))</f>
        <v/>
      </c>
      <c r="T1170">
        <f>IF(S1170="S",MATCH(1166,Firms!$W$5:$W$1004,0),IF(S1170="A",IFERROR(MATCH(1166-$S$2,'AFA Rates'!$R$5:$R$1004,0),""),""))</f>
        <v/>
      </c>
      <c r="U1170">
        <f>IF(S1170="S",T1170,IF(AND(S1170="A",T1170&lt;&gt;""),IFERROR(MATCH(INDEX('AFA Rates'!$A$5:$A$1004,T1170),Firms!$A$5:$A$1004,0),""),""))</f>
        <v/>
      </c>
    </row>
    <row r="1171">
      <c r="A1171" s="78">
        <f>IF($T1171="","",IF($S1171="S",IF(INDEX(Firms!$A$5:$A$1004,$T1171)="","",INDEX(Firms!$A$5:$A$1004,$T1171)),IF(INDEX('AFA Rates'!$A$5:$A$1004,$T1171)="","",INDEX('AFA Rates'!$A$5:$A$1004,$T1171))))</f>
        <v/>
      </c>
      <c r="B1171" s="79">
        <f>IF(OR($T1171="",$U1171=""),IF($T1171="","","Not on Firms tab"),INDEX(Firms!$B$5:$B$1004,$U1171)&amp;"")</f>
        <v/>
      </c>
      <c r="C1171" s="78">
        <f>IF($T1171="","",IF($S1171="S","Standard",INDEX('AFA Rates'!$B$5:$B$1004,$T1171)&amp;""))</f>
        <v/>
      </c>
      <c r="D1171" s="88">
        <f>IF($T1171="","",IF($S1171="S",IF(INDEX(Firms!$E$5:$E$1004,$T1171)="","",INDEX(Firms!$E$5:$E$1004,$T1171)),IF(INDEX('AFA Rates'!$C$5:$C$1004,$T1171)="","",INDEX('AFA Rates'!$C$5:$C$1004,$T1171))))</f>
        <v/>
      </c>
      <c r="E1171" s="88">
        <f>IF($T1171="","",IF($S1171="S",IF(""="","",""),IF(INDEX('AFA Rates'!$D$5:$D$1004,$T1171)="","",INDEX('AFA Rates'!$D$5:$D$1004,$T1171))))</f>
        <v/>
      </c>
      <c r="F1171" s="79">
        <f>IF($T1171="","",IF($S1171="S",IF(INDEX(Firms!$O$5:$O$1004,$T1171)="","",INDEX(Firms!$O$5:$O$1004,$T1171)),IF(INDEX('AFA Rates'!$O$5:$O$1004,$T1171)="","",INDEX('AFA Rates'!$O$5:$O$1004,$T1171))))</f>
        <v/>
      </c>
      <c r="G1171" s="50">
        <f>IF($T1171="","",IF($S1171="S",IF(INDEX(Firms!$F$5:$F$1004,$T1171)="","",INDEX(Firms!$F$5:$F$1004,$T1171)),IF(INDEX('AFA Rates'!$E$5:$E$1004,$T1171)="","",INDEX('AFA Rates'!$E$5:$E$1004,$T1171))))</f>
        <v/>
      </c>
      <c r="H1171" s="50">
        <f>IF($T1171="","",IF($S1171="S",IF(INDEX(Firms!$G$5:$G$1004,$T1171)="","",INDEX(Firms!$G$5:$G$1004,$T1171)),IF(INDEX('AFA Rates'!$F$5:$F$1004,$T1171)="","",INDEX('AFA Rates'!$F$5:$F$1004,$T1171))))</f>
        <v/>
      </c>
      <c r="I1171" s="50">
        <f>IF($T1171="","",IF($S1171="S",IF(INDEX(Firms!$H$5:$H$1004,$T1171)="","",INDEX(Firms!$H$5:$H$1004,$T1171)),IF(INDEX('AFA Rates'!$G$5:$G$1004,$T1171)="","",INDEX('AFA Rates'!$G$5:$G$1004,$T1171))))</f>
        <v/>
      </c>
      <c r="J1171" s="50">
        <f>IF($T1171="","",IF($S1171="S",IF(INDEX(Firms!$I$5:$I$1004,$T1171)="","",INDEX(Firms!$I$5:$I$1004,$T1171)),IF(INDEX('AFA Rates'!$H$5:$H$1004,$T1171)="","",INDEX('AFA Rates'!$H$5:$H$1004,$T1171))))</f>
        <v/>
      </c>
      <c r="K1171" s="50">
        <f>IF($T1171="","",IF($S1171="S",IF(INDEX(Firms!$J$5:$J$1004,$T1171)="","",INDEX(Firms!$J$5:$J$1004,$T1171)),IF(INDEX('AFA Rates'!$I$5:$I$1004,$T1171)="","",INDEX('AFA Rates'!$I$5:$I$1004,$T1171))))</f>
        <v/>
      </c>
      <c r="L1171" s="50">
        <f>IF($T1171="","",IF($S1171="S",IF(INDEX(Firms!$K$5:$K$1004,$T1171)="","",INDEX(Firms!$K$5:$K$1004,$T1171)),IF(INDEX('AFA Rates'!$J$5:$J$1004,$T1171)="","",INDEX('AFA Rates'!$J$5:$J$1004,$T1171))))</f>
        <v/>
      </c>
      <c r="M1171" s="50">
        <f>IF($T1171="","",IF($S1171="S",IF(INDEX(Firms!$L$5:$L$1004,$T1171)="","",INDEX(Firms!$L$5:$L$1004,$T1171)),IF(INDEX('AFA Rates'!$K$5:$K$1004,$T1171)="","",INDEX('AFA Rates'!$K$5:$K$1004,$T1171))))</f>
        <v/>
      </c>
      <c r="N1171" s="50">
        <f>IF($T1171="","",IF($S1171="S",IF(INDEX(Firms!$M$5:$M$1004,$T1171)="","",INDEX(Firms!$M$5:$M$1004,$T1171)),IF(INDEX('AFA Rates'!$L$5:$L$1004,$T1171)="","",INDEX('AFA Rates'!$L$5:$L$1004,$T1171))))</f>
        <v/>
      </c>
      <c r="O1171" s="78">
        <f>IF(OR($T1171="",$U1171=""),"",IF(INDEX(Firms!$C$5:$C$1004,$U1171)="","",INDEX(Firms!$C$5:$C$1004,$U1171)))</f>
        <v/>
      </c>
      <c r="P1171" s="79">
        <f>IF(OR($T1171="",$U1171=""),"",IF(INDEX(Firms!$N$5:$N$1004,$U1171)="","",INDEX(Firms!$N$5:$N$1004,$U1171)))</f>
        <v/>
      </c>
      <c r="Q1171" s="78">
        <f>IF($T1171="","",IF($S1171="S",IF(INDEX(Firms!$T$5:$T$1004,$T1171)="","",INDEX(Firms!$T$5:$T$1004,$T1171)),IF(INDEX('AFA Rates'!$M$5:$M$1004,$T1171)="","",INDEX('AFA Rates'!$M$5:$M$1004,$T1171))))</f>
        <v/>
      </c>
      <c r="S1171">
        <f>IF(1167&lt;=$S$2,"S",IF(1167&lt;=$S$2+$T$2,"A",""))</f>
        <v/>
      </c>
      <c r="T1171">
        <f>IF(S1171="S",MATCH(1167,Firms!$W$5:$W$1004,0),IF(S1171="A",IFERROR(MATCH(1167-$S$2,'AFA Rates'!$R$5:$R$1004,0),""),""))</f>
        <v/>
      </c>
      <c r="U1171">
        <f>IF(S1171="S",T1171,IF(AND(S1171="A",T1171&lt;&gt;""),IFERROR(MATCH(INDEX('AFA Rates'!$A$5:$A$1004,T1171),Firms!$A$5:$A$1004,0),""),""))</f>
        <v/>
      </c>
    </row>
    <row r="1172">
      <c r="A1172" s="78">
        <f>IF($T1172="","",IF($S1172="S",IF(INDEX(Firms!$A$5:$A$1004,$T1172)="","",INDEX(Firms!$A$5:$A$1004,$T1172)),IF(INDEX('AFA Rates'!$A$5:$A$1004,$T1172)="","",INDEX('AFA Rates'!$A$5:$A$1004,$T1172))))</f>
        <v/>
      </c>
      <c r="B1172" s="79">
        <f>IF(OR($T1172="",$U1172=""),IF($T1172="","","Not on Firms tab"),INDEX(Firms!$B$5:$B$1004,$U1172)&amp;"")</f>
        <v/>
      </c>
      <c r="C1172" s="78">
        <f>IF($T1172="","",IF($S1172="S","Standard",INDEX('AFA Rates'!$B$5:$B$1004,$T1172)&amp;""))</f>
        <v/>
      </c>
      <c r="D1172" s="88">
        <f>IF($T1172="","",IF($S1172="S",IF(INDEX(Firms!$E$5:$E$1004,$T1172)="","",INDEX(Firms!$E$5:$E$1004,$T1172)),IF(INDEX('AFA Rates'!$C$5:$C$1004,$T1172)="","",INDEX('AFA Rates'!$C$5:$C$1004,$T1172))))</f>
        <v/>
      </c>
      <c r="E1172" s="88">
        <f>IF($T1172="","",IF($S1172="S",IF(""="","",""),IF(INDEX('AFA Rates'!$D$5:$D$1004,$T1172)="","",INDEX('AFA Rates'!$D$5:$D$1004,$T1172))))</f>
        <v/>
      </c>
      <c r="F1172" s="79">
        <f>IF($T1172="","",IF($S1172="S",IF(INDEX(Firms!$O$5:$O$1004,$T1172)="","",INDEX(Firms!$O$5:$O$1004,$T1172)),IF(INDEX('AFA Rates'!$O$5:$O$1004,$T1172)="","",INDEX('AFA Rates'!$O$5:$O$1004,$T1172))))</f>
        <v/>
      </c>
      <c r="G1172" s="50">
        <f>IF($T1172="","",IF($S1172="S",IF(INDEX(Firms!$F$5:$F$1004,$T1172)="","",INDEX(Firms!$F$5:$F$1004,$T1172)),IF(INDEX('AFA Rates'!$E$5:$E$1004,$T1172)="","",INDEX('AFA Rates'!$E$5:$E$1004,$T1172))))</f>
        <v/>
      </c>
      <c r="H1172" s="50">
        <f>IF($T1172="","",IF($S1172="S",IF(INDEX(Firms!$G$5:$G$1004,$T1172)="","",INDEX(Firms!$G$5:$G$1004,$T1172)),IF(INDEX('AFA Rates'!$F$5:$F$1004,$T1172)="","",INDEX('AFA Rates'!$F$5:$F$1004,$T1172))))</f>
        <v/>
      </c>
      <c r="I1172" s="50">
        <f>IF($T1172="","",IF($S1172="S",IF(INDEX(Firms!$H$5:$H$1004,$T1172)="","",INDEX(Firms!$H$5:$H$1004,$T1172)),IF(INDEX('AFA Rates'!$G$5:$G$1004,$T1172)="","",INDEX('AFA Rates'!$G$5:$G$1004,$T1172))))</f>
        <v/>
      </c>
      <c r="J1172" s="50">
        <f>IF($T1172="","",IF($S1172="S",IF(INDEX(Firms!$I$5:$I$1004,$T1172)="","",INDEX(Firms!$I$5:$I$1004,$T1172)),IF(INDEX('AFA Rates'!$H$5:$H$1004,$T1172)="","",INDEX('AFA Rates'!$H$5:$H$1004,$T1172))))</f>
        <v/>
      </c>
      <c r="K1172" s="50">
        <f>IF($T1172="","",IF($S1172="S",IF(INDEX(Firms!$J$5:$J$1004,$T1172)="","",INDEX(Firms!$J$5:$J$1004,$T1172)),IF(INDEX('AFA Rates'!$I$5:$I$1004,$T1172)="","",INDEX('AFA Rates'!$I$5:$I$1004,$T1172))))</f>
        <v/>
      </c>
      <c r="L1172" s="50">
        <f>IF($T1172="","",IF($S1172="S",IF(INDEX(Firms!$K$5:$K$1004,$T1172)="","",INDEX(Firms!$K$5:$K$1004,$T1172)),IF(INDEX('AFA Rates'!$J$5:$J$1004,$T1172)="","",INDEX('AFA Rates'!$J$5:$J$1004,$T1172))))</f>
        <v/>
      </c>
      <c r="M1172" s="50">
        <f>IF($T1172="","",IF($S1172="S",IF(INDEX(Firms!$L$5:$L$1004,$T1172)="","",INDEX(Firms!$L$5:$L$1004,$T1172)),IF(INDEX('AFA Rates'!$K$5:$K$1004,$T1172)="","",INDEX('AFA Rates'!$K$5:$K$1004,$T1172))))</f>
        <v/>
      </c>
      <c r="N1172" s="50">
        <f>IF($T1172="","",IF($S1172="S",IF(INDEX(Firms!$M$5:$M$1004,$T1172)="","",INDEX(Firms!$M$5:$M$1004,$T1172)),IF(INDEX('AFA Rates'!$L$5:$L$1004,$T1172)="","",INDEX('AFA Rates'!$L$5:$L$1004,$T1172))))</f>
        <v/>
      </c>
      <c r="O1172" s="78">
        <f>IF(OR($T1172="",$U1172=""),"",IF(INDEX(Firms!$C$5:$C$1004,$U1172)="","",INDEX(Firms!$C$5:$C$1004,$U1172)))</f>
        <v/>
      </c>
      <c r="P1172" s="79">
        <f>IF(OR($T1172="",$U1172=""),"",IF(INDEX(Firms!$N$5:$N$1004,$U1172)="","",INDEX(Firms!$N$5:$N$1004,$U1172)))</f>
        <v/>
      </c>
      <c r="Q1172" s="78">
        <f>IF($T1172="","",IF($S1172="S",IF(INDEX(Firms!$T$5:$T$1004,$T1172)="","",INDEX(Firms!$T$5:$T$1004,$T1172)),IF(INDEX('AFA Rates'!$M$5:$M$1004,$T1172)="","",INDEX('AFA Rates'!$M$5:$M$1004,$T1172))))</f>
        <v/>
      </c>
      <c r="S1172">
        <f>IF(1168&lt;=$S$2,"S",IF(1168&lt;=$S$2+$T$2,"A",""))</f>
        <v/>
      </c>
      <c r="T1172">
        <f>IF(S1172="S",MATCH(1168,Firms!$W$5:$W$1004,0),IF(S1172="A",IFERROR(MATCH(1168-$S$2,'AFA Rates'!$R$5:$R$1004,0),""),""))</f>
        <v/>
      </c>
      <c r="U1172">
        <f>IF(S1172="S",T1172,IF(AND(S1172="A",T1172&lt;&gt;""),IFERROR(MATCH(INDEX('AFA Rates'!$A$5:$A$1004,T1172),Firms!$A$5:$A$1004,0),""),""))</f>
        <v/>
      </c>
    </row>
    <row r="1173">
      <c r="A1173" s="78">
        <f>IF($T1173="","",IF($S1173="S",IF(INDEX(Firms!$A$5:$A$1004,$T1173)="","",INDEX(Firms!$A$5:$A$1004,$T1173)),IF(INDEX('AFA Rates'!$A$5:$A$1004,$T1173)="","",INDEX('AFA Rates'!$A$5:$A$1004,$T1173))))</f>
        <v/>
      </c>
      <c r="B1173" s="79">
        <f>IF(OR($T1173="",$U1173=""),IF($T1173="","","Not on Firms tab"),INDEX(Firms!$B$5:$B$1004,$U1173)&amp;"")</f>
        <v/>
      </c>
      <c r="C1173" s="78">
        <f>IF($T1173="","",IF($S1173="S","Standard",INDEX('AFA Rates'!$B$5:$B$1004,$T1173)&amp;""))</f>
        <v/>
      </c>
      <c r="D1173" s="88">
        <f>IF($T1173="","",IF($S1173="S",IF(INDEX(Firms!$E$5:$E$1004,$T1173)="","",INDEX(Firms!$E$5:$E$1004,$T1173)),IF(INDEX('AFA Rates'!$C$5:$C$1004,$T1173)="","",INDEX('AFA Rates'!$C$5:$C$1004,$T1173))))</f>
        <v/>
      </c>
      <c r="E1173" s="88">
        <f>IF($T1173="","",IF($S1173="S",IF(""="","",""),IF(INDEX('AFA Rates'!$D$5:$D$1004,$T1173)="","",INDEX('AFA Rates'!$D$5:$D$1004,$T1173))))</f>
        <v/>
      </c>
      <c r="F1173" s="79">
        <f>IF($T1173="","",IF($S1173="S",IF(INDEX(Firms!$O$5:$O$1004,$T1173)="","",INDEX(Firms!$O$5:$O$1004,$T1173)),IF(INDEX('AFA Rates'!$O$5:$O$1004,$T1173)="","",INDEX('AFA Rates'!$O$5:$O$1004,$T1173))))</f>
        <v/>
      </c>
      <c r="G1173" s="50">
        <f>IF($T1173="","",IF($S1173="S",IF(INDEX(Firms!$F$5:$F$1004,$T1173)="","",INDEX(Firms!$F$5:$F$1004,$T1173)),IF(INDEX('AFA Rates'!$E$5:$E$1004,$T1173)="","",INDEX('AFA Rates'!$E$5:$E$1004,$T1173))))</f>
        <v/>
      </c>
      <c r="H1173" s="50">
        <f>IF($T1173="","",IF($S1173="S",IF(INDEX(Firms!$G$5:$G$1004,$T1173)="","",INDEX(Firms!$G$5:$G$1004,$T1173)),IF(INDEX('AFA Rates'!$F$5:$F$1004,$T1173)="","",INDEX('AFA Rates'!$F$5:$F$1004,$T1173))))</f>
        <v/>
      </c>
      <c r="I1173" s="50">
        <f>IF($T1173="","",IF($S1173="S",IF(INDEX(Firms!$H$5:$H$1004,$T1173)="","",INDEX(Firms!$H$5:$H$1004,$T1173)),IF(INDEX('AFA Rates'!$G$5:$G$1004,$T1173)="","",INDEX('AFA Rates'!$G$5:$G$1004,$T1173))))</f>
        <v/>
      </c>
      <c r="J1173" s="50">
        <f>IF($T1173="","",IF($S1173="S",IF(INDEX(Firms!$I$5:$I$1004,$T1173)="","",INDEX(Firms!$I$5:$I$1004,$T1173)),IF(INDEX('AFA Rates'!$H$5:$H$1004,$T1173)="","",INDEX('AFA Rates'!$H$5:$H$1004,$T1173))))</f>
        <v/>
      </c>
      <c r="K1173" s="50">
        <f>IF($T1173="","",IF($S1173="S",IF(INDEX(Firms!$J$5:$J$1004,$T1173)="","",INDEX(Firms!$J$5:$J$1004,$T1173)),IF(INDEX('AFA Rates'!$I$5:$I$1004,$T1173)="","",INDEX('AFA Rates'!$I$5:$I$1004,$T1173))))</f>
        <v/>
      </c>
      <c r="L1173" s="50">
        <f>IF($T1173="","",IF($S1173="S",IF(INDEX(Firms!$K$5:$K$1004,$T1173)="","",INDEX(Firms!$K$5:$K$1004,$T1173)),IF(INDEX('AFA Rates'!$J$5:$J$1004,$T1173)="","",INDEX('AFA Rates'!$J$5:$J$1004,$T1173))))</f>
        <v/>
      </c>
      <c r="M1173" s="50">
        <f>IF($T1173="","",IF($S1173="S",IF(INDEX(Firms!$L$5:$L$1004,$T1173)="","",INDEX(Firms!$L$5:$L$1004,$T1173)),IF(INDEX('AFA Rates'!$K$5:$K$1004,$T1173)="","",INDEX('AFA Rates'!$K$5:$K$1004,$T1173))))</f>
        <v/>
      </c>
      <c r="N1173" s="50">
        <f>IF($T1173="","",IF($S1173="S",IF(INDEX(Firms!$M$5:$M$1004,$T1173)="","",INDEX(Firms!$M$5:$M$1004,$T1173)),IF(INDEX('AFA Rates'!$L$5:$L$1004,$T1173)="","",INDEX('AFA Rates'!$L$5:$L$1004,$T1173))))</f>
        <v/>
      </c>
      <c r="O1173" s="78">
        <f>IF(OR($T1173="",$U1173=""),"",IF(INDEX(Firms!$C$5:$C$1004,$U1173)="","",INDEX(Firms!$C$5:$C$1004,$U1173)))</f>
        <v/>
      </c>
      <c r="P1173" s="79">
        <f>IF(OR($T1173="",$U1173=""),"",IF(INDEX(Firms!$N$5:$N$1004,$U1173)="","",INDEX(Firms!$N$5:$N$1004,$U1173)))</f>
        <v/>
      </c>
      <c r="Q1173" s="78">
        <f>IF($T1173="","",IF($S1173="S",IF(INDEX(Firms!$T$5:$T$1004,$T1173)="","",INDEX(Firms!$T$5:$T$1004,$T1173)),IF(INDEX('AFA Rates'!$M$5:$M$1004,$T1173)="","",INDEX('AFA Rates'!$M$5:$M$1004,$T1173))))</f>
        <v/>
      </c>
      <c r="S1173">
        <f>IF(1169&lt;=$S$2,"S",IF(1169&lt;=$S$2+$T$2,"A",""))</f>
        <v/>
      </c>
      <c r="T1173">
        <f>IF(S1173="S",MATCH(1169,Firms!$W$5:$W$1004,0),IF(S1173="A",IFERROR(MATCH(1169-$S$2,'AFA Rates'!$R$5:$R$1004,0),""),""))</f>
        <v/>
      </c>
      <c r="U1173">
        <f>IF(S1173="S",T1173,IF(AND(S1173="A",T1173&lt;&gt;""),IFERROR(MATCH(INDEX('AFA Rates'!$A$5:$A$1004,T1173),Firms!$A$5:$A$1004,0),""),""))</f>
        <v/>
      </c>
    </row>
    <row r="1174">
      <c r="A1174" s="78">
        <f>IF($T1174="","",IF($S1174="S",IF(INDEX(Firms!$A$5:$A$1004,$T1174)="","",INDEX(Firms!$A$5:$A$1004,$T1174)),IF(INDEX('AFA Rates'!$A$5:$A$1004,$T1174)="","",INDEX('AFA Rates'!$A$5:$A$1004,$T1174))))</f>
        <v/>
      </c>
      <c r="B1174" s="79">
        <f>IF(OR($T1174="",$U1174=""),IF($T1174="","","Not on Firms tab"),INDEX(Firms!$B$5:$B$1004,$U1174)&amp;"")</f>
        <v/>
      </c>
      <c r="C1174" s="78">
        <f>IF($T1174="","",IF($S1174="S","Standard",INDEX('AFA Rates'!$B$5:$B$1004,$T1174)&amp;""))</f>
        <v/>
      </c>
      <c r="D1174" s="88">
        <f>IF($T1174="","",IF($S1174="S",IF(INDEX(Firms!$E$5:$E$1004,$T1174)="","",INDEX(Firms!$E$5:$E$1004,$T1174)),IF(INDEX('AFA Rates'!$C$5:$C$1004,$T1174)="","",INDEX('AFA Rates'!$C$5:$C$1004,$T1174))))</f>
        <v/>
      </c>
      <c r="E1174" s="88">
        <f>IF($T1174="","",IF($S1174="S",IF(""="","",""),IF(INDEX('AFA Rates'!$D$5:$D$1004,$T1174)="","",INDEX('AFA Rates'!$D$5:$D$1004,$T1174))))</f>
        <v/>
      </c>
      <c r="F1174" s="79">
        <f>IF($T1174="","",IF($S1174="S",IF(INDEX(Firms!$O$5:$O$1004,$T1174)="","",INDEX(Firms!$O$5:$O$1004,$T1174)),IF(INDEX('AFA Rates'!$O$5:$O$1004,$T1174)="","",INDEX('AFA Rates'!$O$5:$O$1004,$T1174))))</f>
        <v/>
      </c>
      <c r="G1174" s="50">
        <f>IF($T1174="","",IF($S1174="S",IF(INDEX(Firms!$F$5:$F$1004,$T1174)="","",INDEX(Firms!$F$5:$F$1004,$T1174)),IF(INDEX('AFA Rates'!$E$5:$E$1004,$T1174)="","",INDEX('AFA Rates'!$E$5:$E$1004,$T1174))))</f>
        <v/>
      </c>
      <c r="H1174" s="50">
        <f>IF($T1174="","",IF($S1174="S",IF(INDEX(Firms!$G$5:$G$1004,$T1174)="","",INDEX(Firms!$G$5:$G$1004,$T1174)),IF(INDEX('AFA Rates'!$F$5:$F$1004,$T1174)="","",INDEX('AFA Rates'!$F$5:$F$1004,$T1174))))</f>
        <v/>
      </c>
      <c r="I1174" s="50">
        <f>IF($T1174="","",IF($S1174="S",IF(INDEX(Firms!$H$5:$H$1004,$T1174)="","",INDEX(Firms!$H$5:$H$1004,$T1174)),IF(INDEX('AFA Rates'!$G$5:$G$1004,$T1174)="","",INDEX('AFA Rates'!$G$5:$G$1004,$T1174))))</f>
        <v/>
      </c>
      <c r="J1174" s="50">
        <f>IF($T1174="","",IF($S1174="S",IF(INDEX(Firms!$I$5:$I$1004,$T1174)="","",INDEX(Firms!$I$5:$I$1004,$T1174)),IF(INDEX('AFA Rates'!$H$5:$H$1004,$T1174)="","",INDEX('AFA Rates'!$H$5:$H$1004,$T1174))))</f>
        <v/>
      </c>
      <c r="K1174" s="50">
        <f>IF($T1174="","",IF($S1174="S",IF(INDEX(Firms!$J$5:$J$1004,$T1174)="","",INDEX(Firms!$J$5:$J$1004,$T1174)),IF(INDEX('AFA Rates'!$I$5:$I$1004,$T1174)="","",INDEX('AFA Rates'!$I$5:$I$1004,$T1174))))</f>
        <v/>
      </c>
      <c r="L1174" s="50">
        <f>IF($T1174="","",IF($S1174="S",IF(INDEX(Firms!$K$5:$K$1004,$T1174)="","",INDEX(Firms!$K$5:$K$1004,$T1174)),IF(INDEX('AFA Rates'!$J$5:$J$1004,$T1174)="","",INDEX('AFA Rates'!$J$5:$J$1004,$T1174))))</f>
        <v/>
      </c>
      <c r="M1174" s="50">
        <f>IF($T1174="","",IF($S1174="S",IF(INDEX(Firms!$L$5:$L$1004,$T1174)="","",INDEX(Firms!$L$5:$L$1004,$T1174)),IF(INDEX('AFA Rates'!$K$5:$K$1004,$T1174)="","",INDEX('AFA Rates'!$K$5:$K$1004,$T1174))))</f>
        <v/>
      </c>
      <c r="N1174" s="50">
        <f>IF($T1174="","",IF($S1174="S",IF(INDEX(Firms!$M$5:$M$1004,$T1174)="","",INDEX(Firms!$M$5:$M$1004,$T1174)),IF(INDEX('AFA Rates'!$L$5:$L$1004,$T1174)="","",INDEX('AFA Rates'!$L$5:$L$1004,$T1174))))</f>
        <v/>
      </c>
      <c r="O1174" s="78">
        <f>IF(OR($T1174="",$U1174=""),"",IF(INDEX(Firms!$C$5:$C$1004,$U1174)="","",INDEX(Firms!$C$5:$C$1004,$U1174)))</f>
        <v/>
      </c>
      <c r="P1174" s="79">
        <f>IF(OR($T1174="",$U1174=""),"",IF(INDEX(Firms!$N$5:$N$1004,$U1174)="","",INDEX(Firms!$N$5:$N$1004,$U1174)))</f>
        <v/>
      </c>
      <c r="Q1174" s="78">
        <f>IF($T1174="","",IF($S1174="S",IF(INDEX(Firms!$T$5:$T$1004,$T1174)="","",INDEX(Firms!$T$5:$T$1004,$T1174)),IF(INDEX('AFA Rates'!$M$5:$M$1004,$T1174)="","",INDEX('AFA Rates'!$M$5:$M$1004,$T1174))))</f>
        <v/>
      </c>
      <c r="S1174">
        <f>IF(1170&lt;=$S$2,"S",IF(1170&lt;=$S$2+$T$2,"A",""))</f>
        <v/>
      </c>
      <c r="T1174">
        <f>IF(S1174="S",MATCH(1170,Firms!$W$5:$W$1004,0),IF(S1174="A",IFERROR(MATCH(1170-$S$2,'AFA Rates'!$R$5:$R$1004,0),""),""))</f>
        <v/>
      </c>
      <c r="U1174">
        <f>IF(S1174="S",T1174,IF(AND(S1174="A",T1174&lt;&gt;""),IFERROR(MATCH(INDEX('AFA Rates'!$A$5:$A$1004,T1174),Firms!$A$5:$A$1004,0),""),""))</f>
        <v/>
      </c>
    </row>
    <row r="1175">
      <c r="A1175" s="78">
        <f>IF($T1175="","",IF($S1175="S",IF(INDEX(Firms!$A$5:$A$1004,$T1175)="","",INDEX(Firms!$A$5:$A$1004,$T1175)),IF(INDEX('AFA Rates'!$A$5:$A$1004,$T1175)="","",INDEX('AFA Rates'!$A$5:$A$1004,$T1175))))</f>
        <v/>
      </c>
      <c r="B1175" s="79">
        <f>IF(OR($T1175="",$U1175=""),IF($T1175="","","Not on Firms tab"),INDEX(Firms!$B$5:$B$1004,$U1175)&amp;"")</f>
        <v/>
      </c>
      <c r="C1175" s="78">
        <f>IF($T1175="","",IF($S1175="S","Standard",INDEX('AFA Rates'!$B$5:$B$1004,$T1175)&amp;""))</f>
        <v/>
      </c>
      <c r="D1175" s="88">
        <f>IF($T1175="","",IF($S1175="S",IF(INDEX(Firms!$E$5:$E$1004,$T1175)="","",INDEX(Firms!$E$5:$E$1004,$T1175)),IF(INDEX('AFA Rates'!$C$5:$C$1004,$T1175)="","",INDEX('AFA Rates'!$C$5:$C$1004,$T1175))))</f>
        <v/>
      </c>
      <c r="E1175" s="88">
        <f>IF($T1175="","",IF($S1175="S",IF(""="","",""),IF(INDEX('AFA Rates'!$D$5:$D$1004,$T1175)="","",INDEX('AFA Rates'!$D$5:$D$1004,$T1175))))</f>
        <v/>
      </c>
      <c r="F1175" s="79">
        <f>IF($T1175="","",IF($S1175="S",IF(INDEX(Firms!$O$5:$O$1004,$T1175)="","",INDEX(Firms!$O$5:$O$1004,$T1175)),IF(INDEX('AFA Rates'!$O$5:$O$1004,$T1175)="","",INDEX('AFA Rates'!$O$5:$O$1004,$T1175))))</f>
        <v/>
      </c>
      <c r="G1175" s="50">
        <f>IF($T1175="","",IF($S1175="S",IF(INDEX(Firms!$F$5:$F$1004,$T1175)="","",INDEX(Firms!$F$5:$F$1004,$T1175)),IF(INDEX('AFA Rates'!$E$5:$E$1004,$T1175)="","",INDEX('AFA Rates'!$E$5:$E$1004,$T1175))))</f>
        <v/>
      </c>
      <c r="H1175" s="50">
        <f>IF($T1175="","",IF($S1175="S",IF(INDEX(Firms!$G$5:$G$1004,$T1175)="","",INDEX(Firms!$G$5:$G$1004,$T1175)),IF(INDEX('AFA Rates'!$F$5:$F$1004,$T1175)="","",INDEX('AFA Rates'!$F$5:$F$1004,$T1175))))</f>
        <v/>
      </c>
      <c r="I1175" s="50">
        <f>IF($T1175="","",IF($S1175="S",IF(INDEX(Firms!$H$5:$H$1004,$T1175)="","",INDEX(Firms!$H$5:$H$1004,$T1175)),IF(INDEX('AFA Rates'!$G$5:$G$1004,$T1175)="","",INDEX('AFA Rates'!$G$5:$G$1004,$T1175))))</f>
        <v/>
      </c>
      <c r="J1175" s="50">
        <f>IF($T1175="","",IF($S1175="S",IF(INDEX(Firms!$I$5:$I$1004,$T1175)="","",INDEX(Firms!$I$5:$I$1004,$T1175)),IF(INDEX('AFA Rates'!$H$5:$H$1004,$T1175)="","",INDEX('AFA Rates'!$H$5:$H$1004,$T1175))))</f>
        <v/>
      </c>
      <c r="K1175" s="50">
        <f>IF($T1175="","",IF($S1175="S",IF(INDEX(Firms!$J$5:$J$1004,$T1175)="","",INDEX(Firms!$J$5:$J$1004,$T1175)),IF(INDEX('AFA Rates'!$I$5:$I$1004,$T1175)="","",INDEX('AFA Rates'!$I$5:$I$1004,$T1175))))</f>
        <v/>
      </c>
      <c r="L1175" s="50">
        <f>IF($T1175="","",IF($S1175="S",IF(INDEX(Firms!$K$5:$K$1004,$T1175)="","",INDEX(Firms!$K$5:$K$1004,$T1175)),IF(INDEX('AFA Rates'!$J$5:$J$1004,$T1175)="","",INDEX('AFA Rates'!$J$5:$J$1004,$T1175))))</f>
        <v/>
      </c>
      <c r="M1175" s="50">
        <f>IF($T1175="","",IF($S1175="S",IF(INDEX(Firms!$L$5:$L$1004,$T1175)="","",INDEX(Firms!$L$5:$L$1004,$T1175)),IF(INDEX('AFA Rates'!$K$5:$K$1004,$T1175)="","",INDEX('AFA Rates'!$K$5:$K$1004,$T1175))))</f>
        <v/>
      </c>
      <c r="N1175" s="50">
        <f>IF($T1175="","",IF($S1175="S",IF(INDEX(Firms!$M$5:$M$1004,$T1175)="","",INDEX(Firms!$M$5:$M$1004,$T1175)),IF(INDEX('AFA Rates'!$L$5:$L$1004,$T1175)="","",INDEX('AFA Rates'!$L$5:$L$1004,$T1175))))</f>
        <v/>
      </c>
      <c r="O1175" s="78">
        <f>IF(OR($T1175="",$U1175=""),"",IF(INDEX(Firms!$C$5:$C$1004,$U1175)="","",INDEX(Firms!$C$5:$C$1004,$U1175)))</f>
        <v/>
      </c>
      <c r="P1175" s="79">
        <f>IF(OR($T1175="",$U1175=""),"",IF(INDEX(Firms!$N$5:$N$1004,$U1175)="","",INDEX(Firms!$N$5:$N$1004,$U1175)))</f>
        <v/>
      </c>
      <c r="Q1175" s="78">
        <f>IF($T1175="","",IF($S1175="S",IF(INDEX(Firms!$T$5:$T$1004,$T1175)="","",INDEX(Firms!$T$5:$T$1004,$T1175)),IF(INDEX('AFA Rates'!$M$5:$M$1004,$T1175)="","",INDEX('AFA Rates'!$M$5:$M$1004,$T1175))))</f>
        <v/>
      </c>
      <c r="S1175">
        <f>IF(1171&lt;=$S$2,"S",IF(1171&lt;=$S$2+$T$2,"A",""))</f>
        <v/>
      </c>
      <c r="T1175">
        <f>IF(S1175="S",MATCH(1171,Firms!$W$5:$W$1004,0),IF(S1175="A",IFERROR(MATCH(1171-$S$2,'AFA Rates'!$R$5:$R$1004,0),""),""))</f>
        <v/>
      </c>
      <c r="U1175">
        <f>IF(S1175="S",T1175,IF(AND(S1175="A",T1175&lt;&gt;""),IFERROR(MATCH(INDEX('AFA Rates'!$A$5:$A$1004,T1175),Firms!$A$5:$A$1004,0),""),""))</f>
        <v/>
      </c>
    </row>
    <row r="1176">
      <c r="A1176" s="78">
        <f>IF($T1176="","",IF($S1176="S",IF(INDEX(Firms!$A$5:$A$1004,$T1176)="","",INDEX(Firms!$A$5:$A$1004,$T1176)),IF(INDEX('AFA Rates'!$A$5:$A$1004,$T1176)="","",INDEX('AFA Rates'!$A$5:$A$1004,$T1176))))</f>
        <v/>
      </c>
      <c r="B1176" s="79">
        <f>IF(OR($T1176="",$U1176=""),IF($T1176="","","Not on Firms tab"),INDEX(Firms!$B$5:$B$1004,$U1176)&amp;"")</f>
        <v/>
      </c>
      <c r="C1176" s="78">
        <f>IF($T1176="","",IF($S1176="S","Standard",INDEX('AFA Rates'!$B$5:$B$1004,$T1176)&amp;""))</f>
        <v/>
      </c>
      <c r="D1176" s="88">
        <f>IF($T1176="","",IF($S1176="S",IF(INDEX(Firms!$E$5:$E$1004,$T1176)="","",INDEX(Firms!$E$5:$E$1004,$T1176)),IF(INDEX('AFA Rates'!$C$5:$C$1004,$T1176)="","",INDEX('AFA Rates'!$C$5:$C$1004,$T1176))))</f>
        <v/>
      </c>
      <c r="E1176" s="88">
        <f>IF($T1176="","",IF($S1176="S",IF(""="","",""),IF(INDEX('AFA Rates'!$D$5:$D$1004,$T1176)="","",INDEX('AFA Rates'!$D$5:$D$1004,$T1176))))</f>
        <v/>
      </c>
      <c r="F1176" s="79">
        <f>IF($T1176="","",IF($S1176="S",IF(INDEX(Firms!$O$5:$O$1004,$T1176)="","",INDEX(Firms!$O$5:$O$1004,$T1176)),IF(INDEX('AFA Rates'!$O$5:$O$1004,$T1176)="","",INDEX('AFA Rates'!$O$5:$O$1004,$T1176))))</f>
        <v/>
      </c>
      <c r="G1176" s="50">
        <f>IF($T1176="","",IF($S1176="S",IF(INDEX(Firms!$F$5:$F$1004,$T1176)="","",INDEX(Firms!$F$5:$F$1004,$T1176)),IF(INDEX('AFA Rates'!$E$5:$E$1004,$T1176)="","",INDEX('AFA Rates'!$E$5:$E$1004,$T1176))))</f>
        <v/>
      </c>
      <c r="H1176" s="50">
        <f>IF($T1176="","",IF($S1176="S",IF(INDEX(Firms!$G$5:$G$1004,$T1176)="","",INDEX(Firms!$G$5:$G$1004,$T1176)),IF(INDEX('AFA Rates'!$F$5:$F$1004,$T1176)="","",INDEX('AFA Rates'!$F$5:$F$1004,$T1176))))</f>
        <v/>
      </c>
      <c r="I1176" s="50">
        <f>IF($T1176="","",IF($S1176="S",IF(INDEX(Firms!$H$5:$H$1004,$T1176)="","",INDEX(Firms!$H$5:$H$1004,$T1176)),IF(INDEX('AFA Rates'!$G$5:$G$1004,$T1176)="","",INDEX('AFA Rates'!$G$5:$G$1004,$T1176))))</f>
        <v/>
      </c>
      <c r="J1176" s="50">
        <f>IF($T1176="","",IF($S1176="S",IF(INDEX(Firms!$I$5:$I$1004,$T1176)="","",INDEX(Firms!$I$5:$I$1004,$T1176)),IF(INDEX('AFA Rates'!$H$5:$H$1004,$T1176)="","",INDEX('AFA Rates'!$H$5:$H$1004,$T1176))))</f>
        <v/>
      </c>
      <c r="K1176" s="50">
        <f>IF($T1176="","",IF($S1176="S",IF(INDEX(Firms!$J$5:$J$1004,$T1176)="","",INDEX(Firms!$J$5:$J$1004,$T1176)),IF(INDEX('AFA Rates'!$I$5:$I$1004,$T1176)="","",INDEX('AFA Rates'!$I$5:$I$1004,$T1176))))</f>
        <v/>
      </c>
      <c r="L1176" s="50">
        <f>IF($T1176="","",IF($S1176="S",IF(INDEX(Firms!$K$5:$K$1004,$T1176)="","",INDEX(Firms!$K$5:$K$1004,$T1176)),IF(INDEX('AFA Rates'!$J$5:$J$1004,$T1176)="","",INDEX('AFA Rates'!$J$5:$J$1004,$T1176))))</f>
        <v/>
      </c>
      <c r="M1176" s="50">
        <f>IF($T1176="","",IF($S1176="S",IF(INDEX(Firms!$L$5:$L$1004,$T1176)="","",INDEX(Firms!$L$5:$L$1004,$T1176)),IF(INDEX('AFA Rates'!$K$5:$K$1004,$T1176)="","",INDEX('AFA Rates'!$K$5:$K$1004,$T1176))))</f>
        <v/>
      </c>
      <c r="N1176" s="50">
        <f>IF($T1176="","",IF($S1176="S",IF(INDEX(Firms!$M$5:$M$1004,$T1176)="","",INDEX(Firms!$M$5:$M$1004,$T1176)),IF(INDEX('AFA Rates'!$L$5:$L$1004,$T1176)="","",INDEX('AFA Rates'!$L$5:$L$1004,$T1176))))</f>
        <v/>
      </c>
      <c r="O1176" s="78">
        <f>IF(OR($T1176="",$U1176=""),"",IF(INDEX(Firms!$C$5:$C$1004,$U1176)="","",INDEX(Firms!$C$5:$C$1004,$U1176)))</f>
        <v/>
      </c>
      <c r="P1176" s="79">
        <f>IF(OR($T1176="",$U1176=""),"",IF(INDEX(Firms!$N$5:$N$1004,$U1176)="","",INDEX(Firms!$N$5:$N$1004,$U1176)))</f>
        <v/>
      </c>
      <c r="Q1176" s="78">
        <f>IF($T1176="","",IF($S1176="S",IF(INDEX(Firms!$T$5:$T$1004,$T1176)="","",INDEX(Firms!$T$5:$T$1004,$T1176)),IF(INDEX('AFA Rates'!$M$5:$M$1004,$T1176)="","",INDEX('AFA Rates'!$M$5:$M$1004,$T1176))))</f>
        <v/>
      </c>
      <c r="S1176">
        <f>IF(1172&lt;=$S$2,"S",IF(1172&lt;=$S$2+$T$2,"A",""))</f>
        <v/>
      </c>
      <c r="T1176">
        <f>IF(S1176="S",MATCH(1172,Firms!$W$5:$W$1004,0),IF(S1176="A",IFERROR(MATCH(1172-$S$2,'AFA Rates'!$R$5:$R$1004,0),""),""))</f>
        <v/>
      </c>
      <c r="U1176">
        <f>IF(S1176="S",T1176,IF(AND(S1176="A",T1176&lt;&gt;""),IFERROR(MATCH(INDEX('AFA Rates'!$A$5:$A$1004,T1176),Firms!$A$5:$A$1004,0),""),""))</f>
        <v/>
      </c>
    </row>
    <row r="1177">
      <c r="A1177" s="78">
        <f>IF($T1177="","",IF($S1177="S",IF(INDEX(Firms!$A$5:$A$1004,$T1177)="","",INDEX(Firms!$A$5:$A$1004,$T1177)),IF(INDEX('AFA Rates'!$A$5:$A$1004,$T1177)="","",INDEX('AFA Rates'!$A$5:$A$1004,$T1177))))</f>
        <v/>
      </c>
      <c r="B1177" s="79">
        <f>IF(OR($T1177="",$U1177=""),IF($T1177="","","Not on Firms tab"),INDEX(Firms!$B$5:$B$1004,$U1177)&amp;"")</f>
        <v/>
      </c>
      <c r="C1177" s="78">
        <f>IF($T1177="","",IF($S1177="S","Standard",INDEX('AFA Rates'!$B$5:$B$1004,$T1177)&amp;""))</f>
        <v/>
      </c>
      <c r="D1177" s="88">
        <f>IF($T1177="","",IF($S1177="S",IF(INDEX(Firms!$E$5:$E$1004,$T1177)="","",INDEX(Firms!$E$5:$E$1004,$T1177)),IF(INDEX('AFA Rates'!$C$5:$C$1004,$T1177)="","",INDEX('AFA Rates'!$C$5:$C$1004,$T1177))))</f>
        <v/>
      </c>
      <c r="E1177" s="88">
        <f>IF($T1177="","",IF($S1177="S",IF(""="","",""),IF(INDEX('AFA Rates'!$D$5:$D$1004,$T1177)="","",INDEX('AFA Rates'!$D$5:$D$1004,$T1177))))</f>
        <v/>
      </c>
      <c r="F1177" s="79">
        <f>IF($T1177="","",IF($S1177="S",IF(INDEX(Firms!$O$5:$O$1004,$T1177)="","",INDEX(Firms!$O$5:$O$1004,$T1177)),IF(INDEX('AFA Rates'!$O$5:$O$1004,$T1177)="","",INDEX('AFA Rates'!$O$5:$O$1004,$T1177))))</f>
        <v/>
      </c>
      <c r="G1177" s="50">
        <f>IF($T1177="","",IF($S1177="S",IF(INDEX(Firms!$F$5:$F$1004,$T1177)="","",INDEX(Firms!$F$5:$F$1004,$T1177)),IF(INDEX('AFA Rates'!$E$5:$E$1004,$T1177)="","",INDEX('AFA Rates'!$E$5:$E$1004,$T1177))))</f>
        <v/>
      </c>
      <c r="H1177" s="50">
        <f>IF($T1177="","",IF($S1177="S",IF(INDEX(Firms!$G$5:$G$1004,$T1177)="","",INDEX(Firms!$G$5:$G$1004,$T1177)),IF(INDEX('AFA Rates'!$F$5:$F$1004,$T1177)="","",INDEX('AFA Rates'!$F$5:$F$1004,$T1177))))</f>
        <v/>
      </c>
      <c r="I1177" s="50">
        <f>IF($T1177="","",IF($S1177="S",IF(INDEX(Firms!$H$5:$H$1004,$T1177)="","",INDEX(Firms!$H$5:$H$1004,$T1177)),IF(INDEX('AFA Rates'!$G$5:$G$1004,$T1177)="","",INDEX('AFA Rates'!$G$5:$G$1004,$T1177))))</f>
        <v/>
      </c>
      <c r="J1177" s="50">
        <f>IF($T1177="","",IF($S1177="S",IF(INDEX(Firms!$I$5:$I$1004,$T1177)="","",INDEX(Firms!$I$5:$I$1004,$T1177)),IF(INDEX('AFA Rates'!$H$5:$H$1004,$T1177)="","",INDEX('AFA Rates'!$H$5:$H$1004,$T1177))))</f>
        <v/>
      </c>
      <c r="K1177" s="50">
        <f>IF($T1177="","",IF($S1177="S",IF(INDEX(Firms!$J$5:$J$1004,$T1177)="","",INDEX(Firms!$J$5:$J$1004,$T1177)),IF(INDEX('AFA Rates'!$I$5:$I$1004,$T1177)="","",INDEX('AFA Rates'!$I$5:$I$1004,$T1177))))</f>
        <v/>
      </c>
      <c r="L1177" s="50">
        <f>IF($T1177="","",IF($S1177="S",IF(INDEX(Firms!$K$5:$K$1004,$T1177)="","",INDEX(Firms!$K$5:$K$1004,$T1177)),IF(INDEX('AFA Rates'!$J$5:$J$1004,$T1177)="","",INDEX('AFA Rates'!$J$5:$J$1004,$T1177))))</f>
        <v/>
      </c>
      <c r="M1177" s="50">
        <f>IF($T1177="","",IF($S1177="S",IF(INDEX(Firms!$L$5:$L$1004,$T1177)="","",INDEX(Firms!$L$5:$L$1004,$T1177)),IF(INDEX('AFA Rates'!$K$5:$K$1004,$T1177)="","",INDEX('AFA Rates'!$K$5:$K$1004,$T1177))))</f>
        <v/>
      </c>
      <c r="N1177" s="50">
        <f>IF($T1177="","",IF($S1177="S",IF(INDEX(Firms!$M$5:$M$1004,$T1177)="","",INDEX(Firms!$M$5:$M$1004,$T1177)),IF(INDEX('AFA Rates'!$L$5:$L$1004,$T1177)="","",INDEX('AFA Rates'!$L$5:$L$1004,$T1177))))</f>
        <v/>
      </c>
      <c r="O1177" s="78">
        <f>IF(OR($T1177="",$U1177=""),"",IF(INDEX(Firms!$C$5:$C$1004,$U1177)="","",INDEX(Firms!$C$5:$C$1004,$U1177)))</f>
        <v/>
      </c>
      <c r="P1177" s="79">
        <f>IF(OR($T1177="",$U1177=""),"",IF(INDEX(Firms!$N$5:$N$1004,$U1177)="","",INDEX(Firms!$N$5:$N$1004,$U1177)))</f>
        <v/>
      </c>
      <c r="Q1177" s="78">
        <f>IF($T1177="","",IF($S1177="S",IF(INDEX(Firms!$T$5:$T$1004,$T1177)="","",INDEX(Firms!$T$5:$T$1004,$T1177)),IF(INDEX('AFA Rates'!$M$5:$M$1004,$T1177)="","",INDEX('AFA Rates'!$M$5:$M$1004,$T1177))))</f>
        <v/>
      </c>
      <c r="S1177">
        <f>IF(1173&lt;=$S$2,"S",IF(1173&lt;=$S$2+$T$2,"A",""))</f>
        <v/>
      </c>
      <c r="T1177">
        <f>IF(S1177="S",MATCH(1173,Firms!$W$5:$W$1004,0),IF(S1177="A",IFERROR(MATCH(1173-$S$2,'AFA Rates'!$R$5:$R$1004,0),""),""))</f>
        <v/>
      </c>
      <c r="U1177">
        <f>IF(S1177="S",T1177,IF(AND(S1177="A",T1177&lt;&gt;""),IFERROR(MATCH(INDEX('AFA Rates'!$A$5:$A$1004,T1177),Firms!$A$5:$A$1004,0),""),""))</f>
        <v/>
      </c>
    </row>
    <row r="1178">
      <c r="A1178" s="78">
        <f>IF($T1178="","",IF($S1178="S",IF(INDEX(Firms!$A$5:$A$1004,$T1178)="","",INDEX(Firms!$A$5:$A$1004,$T1178)),IF(INDEX('AFA Rates'!$A$5:$A$1004,$T1178)="","",INDEX('AFA Rates'!$A$5:$A$1004,$T1178))))</f>
        <v/>
      </c>
      <c r="B1178" s="79">
        <f>IF(OR($T1178="",$U1178=""),IF($T1178="","","Not on Firms tab"),INDEX(Firms!$B$5:$B$1004,$U1178)&amp;"")</f>
        <v/>
      </c>
      <c r="C1178" s="78">
        <f>IF($T1178="","",IF($S1178="S","Standard",INDEX('AFA Rates'!$B$5:$B$1004,$T1178)&amp;""))</f>
        <v/>
      </c>
      <c r="D1178" s="88">
        <f>IF($T1178="","",IF($S1178="S",IF(INDEX(Firms!$E$5:$E$1004,$T1178)="","",INDEX(Firms!$E$5:$E$1004,$T1178)),IF(INDEX('AFA Rates'!$C$5:$C$1004,$T1178)="","",INDEX('AFA Rates'!$C$5:$C$1004,$T1178))))</f>
        <v/>
      </c>
      <c r="E1178" s="88">
        <f>IF($T1178="","",IF($S1178="S",IF(""="","",""),IF(INDEX('AFA Rates'!$D$5:$D$1004,$T1178)="","",INDEX('AFA Rates'!$D$5:$D$1004,$T1178))))</f>
        <v/>
      </c>
      <c r="F1178" s="79">
        <f>IF($T1178="","",IF($S1178="S",IF(INDEX(Firms!$O$5:$O$1004,$T1178)="","",INDEX(Firms!$O$5:$O$1004,$T1178)),IF(INDEX('AFA Rates'!$O$5:$O$1004,$T1178)="","",INDEX('AFA Rates'!$O$5:$O$1004,$T1178))))</f>
        <v/>
      </c>
      <c r="G1178" s="50">
        <f>IF($T1178="","",IF($S1178="S",IF(INDEX(Firms!$F$5:$F$1004,$T1178)="","",INDEX(Firms!$F$5:$F$1004,$T1178)),IF(INDEX('AFA Rates'!$E$5:$E$1004,$T1178)="","",INDEX('AFA Rates'!$E$5:$E$1004,$T1178))))</f>
        <v/>
      </c>
      <c r="H1178" s="50">
        <f>IF($T1178="","",IF($S1178="S",IF(INDEX(Firms!$G$5:$G$1004,$T1178)="","",INDEX(Firms!$G$5:$G$1004,$T1178)),IF(INDEX('AFA Rates'!$F$5:$F$1004,$T1178)="","",INDEX('AFA Rates'!$F$5:$F$1004,$T1178))))</f>
        <v/>
      </c>
      <c r="I1178" s="50">
        <f>IF($T1178="","",IF($S1178="S",IF(INDEX(Firms!$H$5:$H$1004,$T1178)="","",INDEX(Firms!$H$5:$H$1004,$T1178)),IF(INDEX('AFA Rates'!$G$5:$G$1004,$T1178)="","",INDEX('AFA Rates'!$G$5:$G$1004,$T1178))))</f>
        <v/>
      </c>
      <c r="J1178" s="50">
        <f>IF($T1178="","",IF($S1178="S",IF(INDEX(Firms!$I$5:$I$1004,$T1178)="","",INDEX(Firms!$I$5:$I$1004,$T1178)),IF(INDEX('AFA Rates'!$H$5:$H$1004,$T1178)="","",INDEX('AFA Rates'!$H$5:$H$1004,$T1178))))</f>
        <v/>
      </c>
      <c r="K1178" s="50">
        <f>IF($T1178="","",IF($S1178="S",IF(INDEX(Firms!$J$5:$J$1004,$T1178)="","",INDEX(Firms!$J$5:$J$1004,$T1178)),IF(INDEX('AFA Rates'!$I$5:$I$1004,$T1178)="","",INDEX('AFA Rates'!$I$5:$I$1004,$T1178))))</f>
        <v/>
      </c>
      <c r="L1178" s="50">
        <f>IF($T1178="","",IF($S1178="S",IF(INDEX(Firms!$K$5:$K$1004,$T1178)="","",INDEX(Firms!$K$5:$K$1004,$T1178)),IF(INDEX('AFA Rates'!$J$5:$J$1004,$T1178)="","",INDEX('AFA Rates'!$J$5:$J$1004,$T1178))))</f>
        <v/>
      </c>
      <c r="M1178" s="50">
        <f>IF($T1178="","",IF($S1178="S",IF(INDEX(Firms!$L$5:$L$1004,$T1178)="","",INDEX(Firms!$L$5:$L$1004,$T1178)),IF(INDEX('AFA Rates'!$K$5:$K$1004,$T1178)="","",INDEX('AFA Rates'!$K$5:$K$1004,$T1178))))</f>
        <v/>
      </c>
      <c r="N1178" s="50">
        <f>IF($T1178="","",IF($S1178="S",IF(INDEX(Firms!$M$5:$M$1004,$T1178)="","",INDEX(Firms!$M$5:$M$1004,$T1178)),IF(INDEX('AFA Rates'!$L$5:$L$1004,$T1178)="","",INDEX('AFA Rates'!$L$5:$L$1004,$T1178))))</f>
        <v/>
      </c>
      <c r="O1178" s="78">
        <f>IF(OR($T1178="",$U1178=""),"",IF(INDEX(Firms!$C$5:$C$1004,$U1178)="","",INDEX(Firms!$C$5:$C$1004,$U1178)))</f>
        <v/>
      </c>
      <c r="P1178" s="79">
        <f>IF(OR($T1178="",$U1178=""),"",IF(INDEX(Firms!$N$5:$N$1004,$U1178)="","",INDEX(Firms!$N$5:$N$1004,$U1178)))</f>
        <v/>
      </c>
      <c r="Q1178" s="78">
        <f>IF($T1178="","",IF($S1178="S",IF(INDEX(Firms!$T$5:$T$1004,$T1178)="","",INDEX(Firms!$T$5:$T$1004,$T1178)),IF(INDEX('AFA Rates'!$M$5:$M$1004,$T1178)="","",INDEX('AFA Rates'!$M$5:$M$1004,$T1178))))</f>
        <v/>
      </c>
      <c r="S1178">
        <f>IF(1174&lt;=$S$2,"S",IF(1174&lt;=$S$2+$T$2,"A",""))</f>
        <v/>
      </c>
      <c r="T1178">
        <f>IF(S1178="S",MATCH(1174,Firms!$W$5:$W$1004,0),IF(S1178="A",IFERROR(MATCH(1174-$S$2,'AFA Rates'!$R$5:$R$1004,0),""),""))</f>
        <v/>
      </c>
      <c r="U1178">
        <f>IF(S1178="S",T1178,IF(AND(S1178="A",T1178&lt;&gt;""),IFERROR(MATCH(INDEX('AFA Rates'!$A$5:$A$1004,T1178),Firms!$A$5:$A$1004,0),""),""))</f>
        <v/>
      </c>
    </row>
    <row r="1179">
      <c r="A1179" s="78">
        <f>IF($T1179="","",IF($S1179="S",IF(INDEX(Firms!$A$5:$A$1004,$T1179)="","",INDEX(Firms!$A$5:$A$1004,$T1179)),IF(INDEX('AFA Rates'!$A$5:$A$1004,$T1179)="","",INDEX('AFA Rates'!$A$5:$A$1004,$T1179))))</f>
        <v/>
      </c>
      <c r="B1179" s="79">
        <f>IF(OR($T1179="",$U1179=""),IF($T1179="","","Not on Firms tab"),INDEX(Firms!$B$5:$B$1004,$U1179)&amp;"")</f>
        <v/>
      </c>
      <c r="C1179" s="78">
        <f>IF($T1179="","",IF($S1179="S","Standard",INDEX('AFA Rates'!$B$5:$B$1004,$T1179)&amp;""))</f>
        <v/>
      </c>
      <c r="D1179" s="88">
        <f>IF($T1179="","",IF($S1179="S",IF(INDEX(Firms!$E$5:$E$1004,$T1179)="","",INDEX(Firms!$E$5:$E$1004,$T1179)),IF(INDEX('AFA Rates'!$C$5:$C$1004,$T1179)="","",INDEX('AFA Rates'!$C$5:$C$1004,$T1179))))</f>
        <v/>
      </c>
      <c r="E1179" s="88">
        <f>IF($T1179="","",IF($S1179="S",IF(""="","",""),IF(INDEX('AFA Rates'!$D$5:$D$1004,$T1179)="","",INDEX('AFA Rates'!$D$5:$D$1004,$T1179))))</f>
        <v/>
      </c>
      <c r="F1179" s="79">
        <f>IF($T1179="","",IF($S1179="S",IF(INDEX(Firms!$O$5:$O$1004,$T1179)="","",INDEX(Firms!$O$5:$O$1004,$T1179)),IF(INDEX('AFA Rates'!$O$5:$O$1004,$T1179)="","",INDEX('AFA Rates'!$O$5:$O$1004,$T1179))))</f>
        <v/>
      </c>
      <c r="G1179" s="50">
        <f>IF($T1179="","",IF($S1179="S",IF(INDEX(Firms!$F$5:$F$1004,$T1179)="","",INDEX(Firms!$F$5:$F$1004,$T1179)),IF(INDEX('AFA Rates'!$E$5:$E$1004,$T1179)="","",INDEX('AFA Rates'!$E$5:$E$1004,$T1179))))</f>
        <v/>
      </c>
      <c r="H1179" s="50">
        <f>IF($T1179="","",IF($S1179="S",IF(INDEX(Firms!$G$5:$G$1004,$T1179)="","",INDEX(Firms!$G$5:$G$1004,$T1179)),IF(INDEX('AFA Rates'!$F$5:$F$1004,$T1179)="","",INDEX('AFA Rates'!$F$5:$F$1004,$T1179))))</f>
        <v/>
      </c>
      <c r="I1179" s="50">
        <f>IF($T1179="","",IF($S1179="S",IF(INDEX(Firms!$H$5:$H$1004,$T1179)="","",INDEX(Firms!$H$5:$H$1004,$T1179)),IF(INDEX('AFA Rates'!$G$5:$G$1004,$T1179)="","",INDEX('AFA Rates'!$G$5:$G$1004,$T1179))))</f>
        <v/>
      </c>
      <c r="J1179" s="50">
        <f>IF($T1179="","",IF($S1179="S",IF(INDEX(Firms!$I$5:$I$1004,$T1179)="","",INDEX(Firms!$I$5:$I$1004,$T1179)),IF(INDEX('AFA Rates'!$H$5:$H$1004,$T1179)="","",INDEX('AFA Rates'!$H$5:$H$1004,$T1179))))</f>
        <v/>
      </c>
      <c r="K1179" s="50">
        <f>IF($T1179="","",IF($S1179="S",IF(INDEX(Firms!$J$5:$J$1004,$T1179)="","",INDEX(Firms!$J$5:$J$1004,$T1179)),IF(INDEX('AFA Rates'!$I$5:$I$1004,$T1179)="","",INDEX('AFA Rates'!$I$5:$I$1004,$T1179))))</f>
        <v/>
      </c>
      <c r="L1179" s="50">
        <f>IF($T1179="","",IF($S1179="S",IF(INDEX(Firms!$K$5:$K$1004,$T1179)="","",INDEX(Firms!$K$5:$K$1004,$T1179)),IF(INDEX('AFA Rates'!$J$5:$J$1004,$T1179)="","",INDEX('AFA Rates'!$J$5:$J$1004,$T1179))))</f>
        <v/>
      </c>
      <c r="M1179" s="50">
        <f>IF($T1179="","",IF($S1179="S",IF(INDEX(Firms!$L$5:$L$1004,$T1179)="","",INDEX(Firms!$L$5:$L$1004,$T1179)),IF(INDEX('AFA Rates'!$K$5:$K$1004,$T1179)="","",INDEX('AFA Rates'!$K$5:$K$1004,$T1179))))</f>
        <v/>
      </c>
      <c r="N1179" s="50">
        <f>IF($T1179="","",IF($S1179="S",IF(INDEX(Firms!$M$5:$M$1004,$T1179)="","",INDEX(Firms!$M$5:$M$1004,$T1179)),IF(INDEX('AFA Rates'!$L$5:$L$1004,$T1179)="","",INDEX('AFA Rates'!$L$5:$L$1004,$T1179))))</f>
        <v/>
      </c>
      <c r="O1179" s="78">
        <f>IF(OR($T1179="",$U1179=""),"",IF(INDEX(Firms!$C$5:$C$1004,$U1179)="","",INDEX(Firms!$C$5:$C$1004,$U1179)))</f>
        <v/>
      </c>
      <c r="P1179" s="79">
        <f>IF(OR($T1179="",$U1179=""),"",IF(INDEX(Firms!$N$5:$N$1004,$U1179)="","",INDEX(Firms!$N$5:$N$1004,$U1179)))</f>
        <v/>
      </c>
      <c r="Q1179" s="78">
        <f>IF($T1179="","",IF($S1179="S",IF(INDEX(Firms!$T$5:$T$1004,$T1179)="","",INDEX(Firms!$T$5:$T$1004,$T1179)),IF(INDEX('AFA Rates'!$M$5:$M$1004,$T1179)="","",INDEX('AFA Rates'!$M$5:$M$1004,$T1179))))</f>
        <v/>
      </c>
      <c r="S1179">
        <f>IF(1175&lt;=$S$2,"S",IF(1175&lt;=$S$2+$T$2,"A",""))</f>
        <v/>
      </c>
      <c r="T1179">
        <f>IF(S1179="S",MATCH(1175,Firms!$W$5:$W$1004,0),IF(S1179="A",IFERROR(MATCH(1175-$S$2,'AFA Rates'!$R$5:$R$1004,0),""),""))</f>
        <v/>
      </c>
      <c r="U1179">
        <f>IF(S1179="S",T1179,IF(AND(S1179="A",T1179&lt;&gt;""),IFERROR(MATCH(INDEX('AFA Rates'!$A$5:$A$1004,T1179),Firms!$A$5:$A$1004,0),""),""))</f>
        <v/>
      </c>
    </row>
    <row r="1180">
      <c r="A1180" s="78">
        <f>IF($T1180="","",IF($S1180="S",IF(INDEX(Firms!$A$5:$A$1004,$T1180)="","",INDEX(Firms!$A$5:$A$1004,$T1180)),IF(INDEX('AFA Rates'!$A$5:$A$1004,$T1180)="","",INDEX('AFA Rates'!$A$5:$A$1004,$T1180))))</f>
        <v/>
      </c>
      <c r="B1180" s="79">
        <f>IF(OR($T1180="",$U1180=""),IF($T1180="","","Not on Firms tab"),INDEX(Firms!$B$5:$B$1004,$U1180)&amp;"")</f>
        <v/>
      </c>
      <c r="C1180" s="78">
        <f>IF($T1180="","",IF($S1180="S","Standard",INDEX('AFA Rates'!$B$5:$B$1004,$T1180)&amp;""))</f>
        <v/>
      </c>
      <c r="D1180" s="88">
        <f>IF($T1180="","",IF($S1180="S",IF(INDEX(Firms!$E$5:$E$1004,$T1180)="","",INDEX(Firms!$E$5:$E$1004,$T1180)),IF(INDEX('AFA Rates'!$C$5:$C$1004,$T1180)="","",INDEX('AFA Rates'!$C$5:$C$1004,$T1180))))</f>
        <v/>
      </c>
      <c r="E1180" s="88">
        <f>IF($T1180="","",IF($S1180="S",IF(""="","",""),IF(INDEX('AFA Rates'!$D$5:$D$1004,$T1180)="","",INDEX('AFA Rates'!$D$5:$D$1004,$T1180))))</f>
        <v/>
      </c>
      <c r="F1180" s="79">
        <f>IF($T1180="","",IF($S1180="S",IF(INDEX(Firms!$O$5:$O$1004,$T1180)="","",INDEX(Firms!$O$5:$O$1004,$T1180)),IF(INDEX('AFA Rates'!$O$5:$O$1004,$T1180)="","",INDEX('AFA Rates'!$O$5:$O$1004,$T1180))))</f>
        <v/>
      </c>
      <c r="G1180" s="50">
        <f>IF($T1180="","",IF($S1180="S",IF(INDEX(Firms!$F$5:$F$1004,$T1180)="","",INDEX(Firms!$F$5:$F$1004,$T1180)),IF(INDEX('AFA Rates'!$E$5:$E$1004,$T1180)="","",INDEX('AFA Rates'!$E$5:$E$1004,$T1180))))</f>
        <v/>
      </c>
      <c r="H1180" s="50">
        <f>IF($T1180="","",IF($S1180="S",IF(INDEX(Firms!$G$5:$G$1004,$T1180)="","",INDEX(Firms!$G$5:$G$1004,$T1180)),IF(INDEX('AFA Rates'!$F$5:$F$1004,$T1180)="","",INDEX('AFA Rates'!$F$5:$F$1004,$T1180))))</f>
        <v/>
      </c>
      <c r="I1180" s="50">
        <f>IF($T1180="","",IF($S1180="S",IF(INDEX(Firms!$H$5:$H$1004,$T1180)="","",INDEX(Firms!$H$5:$H$1004,$T1180)),IF(INDEX('AFA Rates'!$G$5:$G$1004,$T1180)="","",INDEX('AFA Rates'!$G$5:$G$1004,$T1180))))</f>
        <v/>
      </c>
      <c r="J1180" s="50">
        <f>IF($T1180="","",IF($S1180="S",IF(INDEX(Firms!$I$5:$I$1004,$T1180)="","",INDEX(Firms!$I$5:$I$1004,$T1180)),IF(INDEX('AFA Rates'!$H$5:$H$1004,$T1180)="","",INDEX('AFA Rates'!$H$5:$H$1004,$T1180))))</f>
        <v/>
      </c>
      <c r="K1180" s="50">
        <f>IF($T1180="","",IF($S1180="S",IF(INDEX(Firms!$J$5:$J$1004,$T1180)="","",INDEX(Firms!$J$5:$J$1004,$T1180)),IF(INDEX('AFA Rates'!$I$5:$I$1004,$T1180)="","",INDEX('AFA Rates'!$I$5:$I$1004,$T1180))))</f>
        <v/>
      </c>
      <c r="L1180" s="50">
        <f>IF($T1180="","",IF($S1180="S",IF(INDEX(Firms!$K$5:$K$1004,$T1180)="","",INDEX(Firms!$K$5:$K$1004,$T1180)),IF(INDEX('AFA Rates'!$J$5:$J$1004,$T1180)="","",INDEX('AFA Rates'!$J$5:$J$1004,$T1180))))</f>
        <v/>
      </c>
      <c r="M1180" s="50">
        <f>IF($T1180="","",IF($S1180="S",IF(INDEX(Firms!$L$5:$L$1004,$T1180)="","",INDEX(Firms!$L$5:$L$1004,$T1180)),IF(INDEX('AFA Rates'!$K$5:$K$1004,$T1180)="","",INDEX('AFA Rates'!$K$5:$K$1004,$T1180))))</f>
        <v/>
      </c>
      <c r="N1180" s="50">
        <f>IF($T1180="","",IF($S1180="S",IF(INDEX(Firms!$M$5:$M$1004,$T1180)="","",INDEX(Firms!$M$5:$M$1004,$T1180)),IF(INDEX('AFA Rates'!$L$5:$L$1004,$T1180)="","",INDEX('AFA Rates'!$L$5:$L$1004,$T1180))))</f>
        <v/>
      </c>
      <c r="O1180" s="78">
        <f>IF(OR($T1180="",$U1180=""),"",IF(INDEX(Firms!$C$5:$C$1004,$U1180)="","",INDEX(Firms!$C$5:$C$1004,$U1180)))</f>
        <v/>
      </c>
      <c r="P1180" s="79">
        <f>IF(OR($T1180="",$U1180=""),"",IF(INDEX(Firms!$N$5:$N$1004,$U1180)="","",INDEX(Firms!$N$5:$N$1004,$U1180)))</f>
        <v/>
      </c>
      <c r="Q1180" s="78">
        <f>IF($T1180="","",IF($S1180="S",IF(INDEX(Firms!$T$5:$T$1004,$T1180)="","",INDEX(Firms!$T$5:$T$1004,$T1180)),IF(INDEX('AFA Rates'!$M$5:$M$1004,$T1180)="","",INDEX('AFA Rates'!$M$5:$M$1004,$T1180))))</f>
        <v/>
      </c>
      <c r="S1180">
        <f>IF(1176&lt;=$S$2,"S",IF(1176&lt;=$S$2+$T$2,"A",""))</f>
        <v/>
      </c>
      <c r="T1180">
        <f>IF(S1180="S",MATCH(1176,Firms!$W$5:$W$1004,0),IF(S1180="A",IFERROR(MATCH(1176-$S$2,'AFA Rates'!$R$5:$R$1004,0),""),""))</f>
        <v/>
      </c>
      <c r="U1180">
        <f>IF(S1180="S",T1180,IF(AND(S1180="A",T1180&lt;&gt;""),IFERROR(MATCH(INDEX('AFA Rates'!$A$5:$A$1004,T1180),Firms!$A$5:$A$1004,0),""),""))</f>
        <v/>
      </c>
    </row>
    <row r="1181">
      <c r="A1181" s="78">
        <f>IF($T1181="","",IF($S1181="S",IF(INDEX(Firms!$A$5:$A$1004,$T1181)="","",INDEX(Firms!$A$5:$A$1004,$T1181)),IF(INDEX('AFA Rates'!$A$5:$A$1004,$T1181)="","",INDEX('AFA Rates'!$A$5:$A$1004,$T1181))))</f>
        <v/>
      </c>
      <c r="B1181" s="79">
        <f>IF(OR($T1181="",$U1181=""),IF($T1181="","","Not on Firms tab"),INDEX(Firms!$B$5:$B$1004,$U1181)&amp;"")</f>
        <v/>
      </c>
      <c r="C1181" s="78">
        <f>IF($T1181="","",IF($S1181="S","Standard",INDEX('AFA Rates'!$B$5:$B$1004,$T1181)&amp;""))</f>
        <v/>
      </c>
      <c r="D1181" s="88">
        <f>IF($T1181="","",IF($S1181="S",IF(INDEX(Firms!$E$5:$E$1004,$T1181)="","",INDEX(Firms!$E$5:$E$1004,$T1181)),IF(INDEX('AFA Rates'!$C$5:$C$1004,$T1181)="","",INDEX('AFA Rates'!$C$5:$C$1004,$T1181))))</f>
        <v/>
      </c>
      <c r="E1181" s="88">
        <f>IF($T1181="","",IF($S1181="S",IF(""="","",""),IF(INDEX('AFA Rates'!$D$5:$D$1004,$T1181)="","",INDEX('AFA Rates'!$D$5:$D$1004,$T1181))))</f>
        <v/>
      </c>
      <c r="F1181" s="79">
        <f>IF($T1181="","",IF($S1181="S",IF(INDEX(Firms!$O$5:$O$1004,$T1181)="","",INDEX(Firms!$O$5:$O$1004,$T1181)),IF(INDEX('AFA Rates'!$O$5:$O$1004,$T1181)="","",INDEX('AFA Rates'!$O$5:$O$1004,$T1181))))</f>
        <v/>
      </c>
      <c r="G1181" s="50">
        <f>IF($T1181="","",IF($S1181="S",IF(INDEX(Firms!$F$5:$F$1004,$T1181)="","",INDEX(Firms!$F$5:$F$1004,$T1181)),IF(INDEX('AFA Rates'!$E$5:$E$1004,$T1181)="","",INDEX('AFA Rates'!$E$5:$E$1004,$T1181))))</f>
        <v/>
      </c>
      <c r="H1181" s="50">
        <f>IF($T1181="","",IF($S1181="S",IF(INDEX(Firms!$G$5:$G$1004,$T1181)="","",INDEX(Firms!$G$5:$G$1004,$T1181)),IF(INDEX('AFA Rates'!$F$5:$F$1004,$T1181)="","",INDEX('AFA Rates'!$F$5:$F$1004,$T1181))))</f>
        <v/>
      </c>
      <c r="I1181" s="50">
        <f>IF($T1181="","",IF($S1181="S",IF(INDEX(Firms!$H$5:$H$1004,$T1181)="","",INDEX(Firms!$H$5:$H$1004,$T1181)),IF(INDEX('AFA Rates'!$G$5:$G$1004,$T1181)="","",INDEX('AFA Rates'!$G$5:$G$1004,$T1181))))</f>
        <v/>
      </c>
      <c r="J1181" s="50">
        <f>IF($T1181="","",IF($S1181="S",IF(INDEX(Firms!$I$5:$I$1004,$T1181)="","",INDEX(Firms!$I$5:$I$1004,$T1181)),IF(INDEX('AFA Rates'!$H$5:$H$1004,$T1181)="","",INDEX('AFA Rates'!$H$5:$H$1004,$T1181))))</f>
        <v/>
      </c>
      <c r="K1181" s="50">
        <f>IF($T1181="","",IF($S1181="S",IF(INDEX(Firms!$J$5:$J$1004,$T1181)="","",INDEX(Firms!$J$5:$J$1004,$T1181)),IF(INDEX('AFA Rates'!$I$5:$I$1004,$T1181)="","",INDEX('AFA Rates'!$I$5:$I$1004,$T1181))))</f>
        <v/>
      </c>
      <c r="L1181" s="50">
        <f>IF($T1181="","",IF($S1181="S",IF(INDEX(Firms!$K$5:$K$1004,$T1181)="","",INDEX(Firms!$K$5:$K$1004,$T1181)),IF(INDEX('AFA Rates'!$J$5:$J$1004,$T1181)="","",INDEX('AFA Rates'!$J$5:$J$1004,$T1181))))</f>
        <v/>
      </c>
      <c r="M1181" s="50">
        <f>IF($T1181="","",IF($S1181="S",IF(INDEX(Firms!$L$5:$L$1004,$T1181)="","",INDEX(Firms!$L$5:$L$1004,$T1181)),IF(INDEX('AFA Rates'!$K$5:$K$1004,$T1181)="","",INDEX('AFA Rates'!$K$5:$K$1004,$T1181))))</f>
        <v/>
      </c>
      <c r="N1181" s="50">
        <f>IF($T1181="","",IF($S1181="S",IF(INDEX(Firms!$M$5:$M$1004,$T1181)="","",INDEX(Firms!$M$5:$M$1004,$T1181)),IF(INDEX('AFA Rates'!$L$5:$L$1004,$T1181)="","",INDEX('AFA Rates'!$L$5:$L$1004,$T1181))))</f>
        <v/>
      </c>
      <c r="O1181" s="78">
        <f>IF(OR($T1181="",$U1181=""),"",IF(INDEX(Firms!$C$5:$C$1004,$U1181)="","",INDEX(Firms!$C$5:$C$1004,$U1181)))</f>
        <v/>
      </c>
      <c r="P1181" s="79">
        <f>IF(OR($T1181="",$U1181=""),"",IF(INDEX(Firms!$N$5:$N$1004,$U1181)="","",INDEX(Firms!$N$5:$N$1004,$U1181)))</f>
        <v/>
      </c>
      <c r="Q1181" s="78">
        <f>IF($T1181="","",IF($S1181="S",IF(INDEX(Firms!$T$5:$T$1004,$T1181)="","",INDEX(Firms!$T$5:$T$1004,$T1181)),IF(INDEX('AFA Rates'!$M$5:$M$1004,$T1181)="","",INDEX('AFA Rates'!$M$5:$M$1004,$T1181))))</f>
        <v/>
      </c>
      <c r="S1181">
        <f>IF(1177&lt;=$S$2,"S",IF(1177&lt;=$S$2+$T$2,"A",""))</f>
        <v/>
      </c>
      <c r="T1181">
        <f>IF(S1181="S",MATCH(1177,Firms!$W$5:$W$1004,0),IF(S1181="A",IFERROR(MATCH(1177-$S$2,'AFA Rates'!$R$5:$R$1004,0),""),""))</f>
        <v/>
      </c>
      <c r="U1181">
        <f>IF(S1181="S",T1181,IF(AND(S1181="A",T1181&lt;&gt;""),IFERROR(MATCH(INDEX('AFA Rates'!$A$5:$A$1004,T1181),Firms!$A$5:$A$1004,0),""),""))</f>
        <v/>
      </c>
    </row>
    <row r="1182">
      <c r="A1182" s="78">
        <f>IF($T1182="","",IF($S1182="S",IF(INDEX(Firms!$A$5:$A$1004,$T1182)="","",INDEX(Firms!$A$5:$A$1004,$T1182)),IF(INDEX('AFA Rates'!$A$5:$A$1004,$T1182)="","",INDEX('AFA Rates'!$A$5:$A$1004,$T1182))))</f>
        <v/>
      </c>
      <c r="B1182" s="79">
        <f>IF(OR($T1182="",$U1182=""),IF($T1182="","","Not on Firms tab"),INDEX(Firms!$B$5:$B$1004,$U1182)&amp;"")</f>
        <v/>
      </c>
      <c r="C1182" s="78">
        <f>IF($T1182="","",IF($S1182="S","Standard",INDEX('AFA Rates'!$B$5:$B$1004,$T1182)&amp;""))</f>
        <v/>
      </c>
      <c r="D1182" s="88">
        <f>IF($T1182="","",IF($S1182="S",IF(INDEX(Firms!$E$5:$E$1004,$T1182)="","",INDEX(Firms!$E$5:$E$1004,$T1182)),IF(INDEX('AFA Rates'!$C$5:$C$1004,$T1182)="","",INDEX('AFA Rates'!$C$5:$C$1004,$T1182))))</f>
        <v/>
      </c>
      <c r="E1182" s="88">
        <f>IF($T1182="","",IF($S1182="S",IF(""="","",""),IF(INDEX('AFA Rates'!$D$5:$D$1004,$T1182)="","",INDEX('AFA Rates'!$D$5:$D$1004,$T1182))))</f>
        <v/>
      </c>
      <c r="F1182" s="79">
        <f>IF($T1182="","",IF($S1182="S",IF(INDEX(Firms!$O$5:$O$1004,$T1182)="","",INDEX(Firms!$O$5:$O$1004,$T1182)),IF(INDEX('AFA Rates'!$O$5:$O$1004,$T1182)="","",INDEX('AFA Rates'!$O$5:$O$1004,$T1182))))</f>
        <v/>
      </c>
      <c r="G1182" s="50">
        <f>IF($T1182="","",IF($S1182="S",IF(INDEX(Firms!$F$5:$F$1004,$T1182)="","",INDEX(Firms!$F$5:$F$1004,$T1182)),IF(INDEX('AFA Rates'!$E$5:$E$1004,$T1182)="","",INDEX('AFA Rates'!$E$5:$E$1004,$T1182))))</f>
        <v/>
      </c>
      <c r="H1182" s="50">
        <f>IF($T1182="","",IF($S1182="S",IF(INDEX(Firms!$G$5:$G$1004,$T1182)="","",INDEX(Firms!$G$5:$G$1004,$T1182)),IF(INDEX('AFA Rates'!$F$5:$F$1004,$T1182)="","",INDEX('AFA Rates'!$F$5:$F$1004,$T1182))))</f>
        <v/>
      </c>
      <c r="I1182" s="50">
        <f>IF($T1182="","",IF($S1182="S",IF(INDEX(Firms!$H$5:$H$1004,$T1182)="","",INDEX(Firms!$H$5:$H$1004,$T1182)),IF(INDEX('AFA Rates'!$G$5:$G$1004,$T1182)="","",INDEX('AFA Rates'!$G$5:$G$1004,$T1182))))</f>
        <v/>
      </c>
      <c r="J1182" s="50">
        <f>IF($T1182="","",IF($S1182="S",IF(INDEX(Firms!$I$5:$I$1004,$T1182)="","",INDEX(Firms!$I$5:$I$1004,$T1182)),IF(INDEX('AFA Rates'!$H$5:$H$1004,$T1182)="","",INDEX('AFA Rates'!$H$5:$H$1004,$T1182))))</f>
        <v/>
      </c>
      <c r="K1182" s="50">
        <f>IF($T1182="","",IF($S1182="S",IF(INDEX(Firms!$J$5:$J$1004,$T1182)="","",INDEX(Firms!$J$5:$J$1004,$T1182)),IF(INDEX('AFA Rates'!$I$5:$I$1004,$T1182)="","",INDEX('AFA Rates'!$I$5:$I$1004,$T1182))))</f>
        <v/>
      </c>
      <c r="L1182" s="50">
        <f>IF($T1182="","",IF($S1182="S",IF(INDEX(Firms!$K$5:$K$1004,$T1182)="","",INDEX(Firms!$K$5:$K$1004,$T1182)),IF(INDEX('AFA Rates'!$J$5:$J$1004,$T1182)="","",INDEX('AFA Rates'!$J$5:$J$1004,$T1182))))</f>
        <v/>
      </c>
      <c r="M1182" s="50">
        <f>IF($T1182="","",IF($S1182="S",IF(INDEX(Firms!$L$5:$L$1004,$T1182)="","",INDEX(Firms!$L$5:$L$1004,$T1182)),IF(INDEX('AFA Rates'!$K$5:$K$1004,$T1182)="","",INDEX('AFA Rates'!$K$5:$K$1004,$T1182))))</f>
        <v/>
      </c>
      <c r="N1182" s="50">
        <f>IF($T1182="","",IF($S1182="S",IF(INDEX(Firms!$M$5:$M$1004,$T1182)="","",INDEX(Firms!$M$5:$M$1004,$T1182)),IF(INDEX('AFA Rates'!$L$5:$L$1004,$T1182)="","",INDEX('AFA Rates'!$L$5:$L$1004,$T1182))))</f>
        <v/>
      </c>
      <c r="O1182" s="78">
        <f>IF(OR($T1182="",$U1182=""),"",IF(INDEX(Firms!$C$5:$C$1004,$U1182)="","",INDEX(Firms!$C$5:$C$1004,$U1182)))</f>
        <v/>
      </c>
      <c r="P1182" s="79">
        <f>IF(OR($T1182="",$U1182=""),"",IF(INDEX(Firms!$N$5:$N$1004,$U1182)="","",INDEX(Firms!$N$5:$N$1004,$U1182)))</f>
        <v/>
      </c>
      <c r="Q1182" s="78">
        <f>IF($T1182="","",IF($S1182="S",IF(INDEX(Firms!$T$5:$T$1004,$T1182)="","",INDEX(Firms!$T$5:$T$1004,$T1182)),IF(INDEX('AFA Rates'!$M$5:$M$1004,$T1182)="","",INDEX('AFA Rates'!$M$5:$M$1004,$T1182))))</f>
        <v/>
      </c>
      <c r="S1182">
        <f>IF(1178&lt;=$S$2,"S",IF(1178&lt;=$S$2+$T$2,"A",""))</f>
        <v/>
      </c>
      <c r="T1182">
        <f>IF(S1182="S",MATCH(1178,Firms!$W$5:$W$1004,0),IF(S1182="A",IFERROR(MATCH(1178-$S$2,'AFA Rates'!$R$5:$R$1004,0),""),""))</f>
        <v/>
      </c>
      <c r="U1182">
        <f>IF(S1182="S",T1182,IF(AND(S1182="A",T1182&lt;&gt;""),IFERROR(MATCH(INDEX('AFA Rates'!$A$5:$A$1004,T1182),Firms!$A$5:$A$1004,0),""),""))</f>
        <v/>
      </c>
    </row>
    <row r="1183">
      <c r="A1183" s="78">
        <f>IF($T1183="","",IF($S1183="S",IF(INDEX(Firms!$A$5:$A$1004,$T1183)="","",INDEX(Firms!$A$5:$A$1004,$T1183)),IF(INDEX('AFA Rates'!$A$5:$A$1004,$T1183)="","",INDEX('AFA Rates'!$A$5:$A$1004,$T1183))))</f>
        <v/>
      </c>
      <c r="B1183" s="79">
        <f>IF(OR($T1183="",$U1183=""),IF($T1183="","","Not on Firms tab"),INDEX(Firms!$B$5:$B$1004,$U1183)&amp;"")</f>
        <v/>
      </c>
      <c r="C1183" s="78">
        <f>IF($T1183="","",IF($S1183="S","Standard",INDEX('AFA Rates'!$B$5:$B$1004,$T1183)&amp;""))</f>
        <v/>
      </c>
      <c r="D1183" s="88">
        <f>IF($T1183="","",IF($S1183="S",IF(INDEX(Firms!$E$5:$E$1004,$T1183)="","",INDEX(Firms!$E$5:$E$1004,$T1183)),IF(INDEX('AFA Rates'!$C$5:$C$1004,$T1183)="","",INDEX('AFA Rates'!$C$5:$C$1004,$T1183))))</f>
        <v/>
      </c>
      <c r="E1183" s="88">
        <f>IF($T1183="","",IF($S1183="S",IF(""="","",""),IF(INDEX('AFA Rates'!$D$5:$D$1004,$T1183)="","",INDEX('AFA Rates'!$D$5:$D$1004,$T1183))))</f>
        <v/>
      </c>
      <c r="F1183" s="79">
        <f>IF($T1183="","",IF($S1183="S",IF(INDEX(Firms!$O$5:$O$1004,$T1183)="","",INDEX(Firms!$O$5:$O$1004,$T1183)),IF(INDEX('AFA Rates'!$O$5:$O$1004,$T1183)="","",INDEX('AFA Rates'!$O$5:$O$1004,$T1183))))</f>
        <v/>
      </c>
      <c r="G1183" s="50">
        <f>IF($T1183="","",IF($S1183="S",IF(INDEX(Firms!$F$5:$F$1004,$T1183)="","",INDEX(Firms!$F$5:$F$1004,$T1183)),IF(INDEX('AFA Rates'!$E$5:$E$1004,$T1183)="","",INDEX('AFA Rates'!$E$5:$E$1004,$T1183))))</f>
        <v/>
      </c>
      <c r="H1183" s="50">
        <f>IF($T1183="","",IF($S1183="S",IF(INDEX(Firms!$G$5:$G$1004,$T1183)="","",INDEX(Firms!$G$5:$G$1004,$T1183)),IF(INDEX('AFA Rates'!$F$5:$F$1004,$T1183)="","",INDEX('AFA Rates'!$F$5:$F$1004,$T1183))))</f>
        <v/>
      </c>
      <c r="I1183" s="50">
        <f>IF($T1183="","",IF($S1183="S",IF(INDEX(Firms!$H$5:$H$1004,$T1183)="","",INDEX(Firms!$H$5:$H$1004,$T1183)),IF(INDEX('AFA Rates'!$G$5:$G$1004,$T1183)="","",INDEX('AFA Rates'!$G$5:$G$1004,$T1183))))</f>
        <v/>
      </c>
      <c r="J1183" s="50">
        <f>IF($T1183="","",IF($S1183="S",IF(INDEX(Firms!$I$5:$I$1004,$T1183)="","",INDEX(Firms!$I$5:$I$1004,$T1183)),IF(INDEX('AFA Rates'!$H$5:$H$1004,$T1183)="","",INDEX('AFA Rates'!$H$5:$H$1004,$T1183))))</f>
        <v/>
      </c>
      <c r="K1183" s="50">
        <f>IF($T1183="","",IF($S1183="S",IF(INDEX(Firms!$J$5:$J$1004,$T1183)="","",INDEX(Firms!$J$5:$J$1004,$T1183)),IF(INDEX('AFA Rates'!$I$5:$I$1004,$T1183)="","",INDEX('AFA Rates'!$I$5:$I$1004,$T1183))))</f>
        <v/>
      </c>
      <c r="L1183" s="50">
        <f>IF($T1183="","",IF($S1183="S",IF(INDEX(Firms!$K$5:$K$1004,$T1183)="","",INDEX(Firms!$K$5:$K$1004,$T1183)),IF(INDEX('AFA Rates'!$J$5:$J$1004,$T1183)="","",INDEX('AFA Rates'!$J$5:$J$1004,$T1183))))</f>
        <v/>
      </c>
      <c r="M1183" s="50">
        <f>IF($T1183="","",IF($S1183="S",IF(INDEX(Firms!$L$5:$L$1004,$T1183)="","",INDEX(Firms!$L$5:$L$1004,$T1183)),IF(INDEX('AFA Rates'!$K$5:$K$1004,$T1183)="","",INDEX('AFA Rates'!$K$5:$K$1004,$T1183))))</f>
        <v/>
      </c>
      <c r="N1183" s="50">
        <f>IF($T1183="","",IF($S1183="S",IF(INDEX(Firms!$M$5:$M$1004,$T1183)="","",INDEX(Firms!$M$5:$M$1004,$T1183)),IF(INDEX('AFA Rates'!$L$5:$L$1004,$T1183)="","",INDEX('AFA Rates'!$L$5:$L$1004,$T1183))))</f>
        <v/>
      </c>
      <c r="O1183" s="78">
        <f>IF(OR($T1183="",$U1183=""),"",IF(INDEX(Firms!$C$5:$C$1004,$U1183)="","",INDEX(Firms!$C$5:$C$1004,$U1183)))</f>
        <v/>
      </c>
      <c r="P1183" s="79">
        <f>IF(OR($T1183="",$U1183=""),"",IF(INDEX(Firms!$N$5:$N$1004,$U1183)="","",INDEX(Firms!$N$5:$N$1004,$U1183)))</f>
        <v/>
      </c>
      <c r="Q1183" s="78">
        <f>IF($T1183="","",IF($S1183="S",IF(INDEX(Firms!$T$5:$T$1004,$T1183)="","",INDEX(Firms!$T$5:$T$1004,$T1183)),IF(INDEX('AFA Rates'!$M$5:$M$1004,$T1183)="","",INDEX('AFA Rates'!$M$5:$M$1004,$T1183))))</f>
        <v/>
      </c>
      <c r="S1183">
        <f>IF(1179&lt;=$S$2,"S",IF(1179&lt;=$S$2+$T$2,"A",""))</f>
        <v/>
      </c>
      <c r="T1183">
        <f>IF(S1183="S",MATCH(1179,Firms!$W$5:$W$1004,0),IF(S1183="A",IFERROR(MATCH(1179-$S$2,'AFA Rates'!$R$5:$R$1004,0),""),""))</f>
        <v/>
      </c>
      <c r="U1183">
        <f>IF(S1183="S",T1183,IF(AND(S1183="A",T1183&lt;&gt;""),IFERROR(MATCH(INDEX('AFA Rates'!$A$5:$A$1004,T1183),Firms!$A$5:$A$1004,0),""),""))</f>
        <v/>
      </c>
    </row>
    <row r="1184">
      <c r="A1184" s="78">
        <f>IF($T1184="","",IF($S1184="S",IF(INDEX(Firms!$A$5:$A$1004,$T1184)="","",INDEX(Firms!$A$5:$A$1004,$T1184)),IF(INDEX('AFA Rates'!$A$5:$A$1004,$T1184)="","",INDEX('AFA Rates'!$A$5:$A$1004,$T1184))))</f>
        <v/>
      </c>
      <c r="B1184" s="79">
        <f>IF(OR($T1184="",$U1184=""),IF($T1184="","","Not on Firms tab"),INDEX(Firms!$B$5:$B$1004,$U1184)&amp;"")</f>
        <v/>
      </c>
      <c r="C1184" s="78">
        <f>IF($T1184="","",IF($S1184="S","Standard",INDEX('AFA Rates'!$B$5:$B$1004,$T1184)&amp;""))</f>
        <v/>
      </c>
      <c r="D1184" s="88">
        <f>IF($T1184="","",IF($S1184="S",IF(INDEX(Firms!$E$5:$E$1004,$T1184)="","",INDEX(Firms!$E$5:$E$1004,$T1184)),IF(INDEX('AFA Rates'!$C$5:$C$1004,$T1184)="","",INDEX('AFA Rates'!$C$5:$C$1004,$T1184))))</f>
        <v/>
      </c>
      <c r="E1184" s="88">
        <f>IF($T1184="","",IF($S1184="S",IF(""="","",""),IF(INDEX('AFA Rates'!$D$5:$D$1004,$T1184)="","",INDEX('AFA Rates'!$D$5:$D$1004,$T1184))))</f>
        <v/>
      </c>
      <c r="F1184" s="79">
        <f>IF($T1184="","",IF($S1184="S",IF(INDEX(Firms!$O$5:$O$1004,$T1184)="","",INDEX(Firms!$O$5:$O$1004,$T1184)),IF(INDEX('AFA Rates'!$O$5:$O$1004,$T1184)="","",INDEX('AFA Rates'!$O$5:$O$1004,$T1184))))</f>
        <v/>
      </c>
      <c r="G1184" s="50">
        <f>IF($T1184="","",IF($S1184="S",IF(INDEX(Firms!$F$5:$F$1004,$T1184)="","",INDEX(Firms!$F$5:$F$1004,$T1184)),IF(INDEX('AFA Rates'!$E$5:$E$1004,$T1184)="","",INDEX('AFA Rates'!$E$5:$E$1004,$T1184))))</f>
        <v/>
      </c>
      <c r="H1184" s="50">
        <f>IF($T1184="","",IF($S1184="S",IF(INDEX(Firms!$G$5:$G$1004,$T1184)="","",INDEX(Firms!$G$5:$G$1004,$T1184)),IF(INDEX('AFA Rates'!$F$5:$F$1004,$T1184)="","",INDEX('AFA Rates'!$F$5:$F$1004,$T1184))))</f>
        <v/>
      </c>
      <c r="I1184" s="50">
        <f>IF($T1184="","",IF($S1184="S",IF(INDEX(Firms!$H$5:$H$1004,$T1184)="","",INDEX(Firms!$H$5:$H$1004,$T1184)),IF(INDEX('AFA Rates'!$G$5:$G$1004,$T1184)="","",INDEX('AFA Rates'!$G$5:$G$1004,$T1184))))</f>
        <v/>
      </c>
      <c r="J1184" s="50">
        <f>IF($T1184="","",IF($S1184="S",IF(INDEX(Firms!$I$5:$I$1004,$T1184)="","",INDEX(Firms!$I$5:$I$1004,$T1184)),IF(INDEX('AFA Rates'!$H$5:$H$1004,$T1184)="","",INDEX('AFA Rates'!$H$5:$H$1004,$T1184))))</f>
        <v/>
      </c>
      <c r="K1184" s="50">
        <f>IF($T1184="","",IF($S1184="S",IF(INDEX(Firms!$J$5:$J$1004,$T1184)="","",INDEX(Firms!$J$5:$J$1004,$T1184)),IF(INDEX('AFA Rates'!$I$5:$I$1004,$T1184)="","",INDEX('AFA Rates'!$I$5:$I$1004,$T1184))))</f>
        <v/>
      </c>
      <c r="L1184" s="50">
        <f>IF($T1184="","",IF($S1184="S",IF(INDEX(Firms!$K$5:$K$1004,$T1184)="","",INDEX(Firms!$K$5:$K$1004,$T1184)),IF(INDEX('AFA Rates'!$J$5:$J$1004,$T1184)="","",INDEX('AFA Rates'!$J$5:$J$1004,$T1184))))</f>
        <v/>
      </c>
      <c r="M1184" s="50">
        <f>IF($T1184="","",IF($S1184="S",IF(INDEX(Firms!$L$5:$L$1004,$T1184)="","",INDEX(Firms!$L$5:$L$1004,$T1184)),IF(INDEX('AFA Rates'!$K$5:$K$1004,$T1184)="","",INDEX('AFA Rates'!$K$5:$K$1004,$T1184))))</f>
        <v/>
      </c>
      <c r="N1184" s="50">
        <f>IF($T1184="","",IF($S1184="S",IF(INDEX(Firms!$M$5:$M$1004,$T1184)="","",INDEX(Firms!$M$5:$M$1004,$T1184)),IF(INDEX('AFA Rates'!$L$5:$L$1004,$T1184)="","",INDEX('AFA Rates'!$L$5:$L$1004,$T1184))))</f>
        <v/>
      </c>
      <c r="O1184" s="78">
        <f>IF(OR($T1184="",$U1184=""),"",IF(INDEX(Firms!$C$5:$C$1004,$U1184)="","",INDEX(Firms!$C$5:$C$1004,$U1184)))</f>
        <v/>
      </c>
      <c r="P1184" s="79">
        <f>IF(OR($T1184="",$U1184=""),"",IF(INDEX(Firms!$N$5:$N$1004,$U1184)="","",INDEX(Firms!$N$5:$N$1004,$U1184)))</f>
        <v/>
      </c>
      <c r="Q1184" s="78">
        <f>IF($T1184="","",IF($S1184="S",IF(INDEX(Firms!$T$5:$T$1004,$T1184)="","",INDEX(Firms!$T$5:$T$1004,$T1184)),IF(INDEX('AFA Rates'!$M$5:$M$1004,$T1184)="","",INDEX('AFA Rates'!$M$5:$M$1004,$T1184))))</f>
        <v/>
      </c>
      <c r="S1184">
        <f>IF(1180&lt;=$S$2,"S",IF(1180&lt;=$S$2+$T$2,"A",""))</f>
        <v/>
      </c>
      <c r="T1184">
        <f>IF(S1184="S",MATCH(1180,Firms!$W$5:$W$1004,0),IF(S1184="A",IFERROR(MATCH(1180-$S$2,'AFA Rates'!$R$5:$R$1004,0),""),""))</f>
        <v/>
      </c>
      <c r="U1184">
        <f>IF(S1184="S",T1184,IF(AND(S1184="A",T1184&lt;&gt;""),IFERROR(MATCH(INDEX('AFA Rates'!$A$5:$A$1004,T1184),Firms!$A$5:$A$1004,0),""),""))</f>
        <v/>
      </c>
    </row>
    <row r="1185">
      <c r="A1185" s="78">
        <f>IF($T1185="","",IF($S1185="S",IF(INDEX(Firms!$A$5:$A$1004,$T1185)="","",INDEX(Firms!$A$5:$A$1004,$T1185)),IF(INDEX('AFA Rates'!$A$5:$A$1004,$T1185)="","",INDEX('AFA Rates'!$A$5:$A$1004,$T1185))))</f>
        <v/>
      </c>
      <c r="B1185" s="79">
        <f>IF(OR($T1185="",$U1185=""),IF($T1185="","","Not on Firms tab"),INDEX(Firms!$B$5:$B$1004,$U1185)&amp;"")</f>
        <v/>
      </c>
      <c r="C1185" s="78">
        <f>IF($T1185="","",IF($S1185="S","Standard",INDEX('AFA Rates'!$B$5:$B$1004,$T1185)&amp;""))</f>
        <v/>
      </c>
      <c r="D1185" s="88">
        <f>IF($T1185="","",IF($S1185="S",IF(INDEX(Firms!$E$5:$E$1004,$T1185)="","",INDEX(Firms!$E$5:$E$1004,$T1185)),IF(INDEX('AFA Rates'!$C$5:$C$1004,$T1185)="","",INDEX('AFA Rates'!$C$5:$C$1004,$T1185))))</f>
        <v/>
      </c>
      <c r="E1185" s="88">
        <f>IF($T1185="","",IF($S1185="S",IF(""="","",""),IF(INDEX('AFA Rates'!$D$5:$D$1004,$T1185)="","",INDEX('AFA Rates'!$D$5:$D$1004,$T1185))))</f>
        <v/>
      </c>
      <c r="F1185" s="79">
        <f>IF($T1185="","",IF($S1185="S",IF(INDEX(Firms!$O$5:$O$1004,$T1185)="","",INDEX(Firms!$O$5:$O$1004,$T1185)),IF(INDEX('AFA Rates'!$O$5:$O$1004,$T1185)="","",INDEX('AFA Rates'!$O$5:$O$1004,$T1185))))</f>
        <v/>
      </c>
      <c r="G1185" s="50">
        <f>IF($T1185="","",IF($S1185="S",IF(INDEX(Firms!$F$5:$F$1004,$T1185)="","",INDEX(Firms!$F$5:$F$1004,$T1185)),IF(INDEX('AFA Rates'!$E$5:$E$1004,$T1185)="","",INDEX('AFA Rates'!$E$5:$E$1004,$T1185))))</f>
        <v/>
      </c>
      <c r="H1185" s="50">
        <f>IF($T1185="","",IF($S1185="S",IF(INDEX(Firms!$G$5:$G$1004,$T1185)="","",INDEX(Firms!$G$5:$G$1004,$T1185)),IF(INDEX('AFA Rates'!$F$5:$F$1004,$T1185)="","",INDEX('AFA Rates'!$F$5:$F$1004,$T1185))))</f>
        <v/>
      </c>
      <c r="I1185" s="50">
        <f>IF($T1185="","",IF($S1185="S",IF(INDEX(Firms!$H$5:$H$1004,$T1185)="","",INDEX(Firms!$H$5:$H$1004,$T1185)),IF(INDEX('AFA Rates'!$G$5:$G$1004,$T1185)="","",INDEX('AFA Rates'!$G$5:$G$1004,$T1185))))</f>
        <v/>
      </c>
      <c r="J1185" s="50">
        <f>IF($T1185="","",IF($S1185="S",IF(INDEX(Firms!$I$5:$I$1004,$T1185)="","",INDEX(Firms!$I$5:$I$1004,$T1185)),IF(INDEX('AFA Rates'!$H$5:$H$1004,$T1185)="","",INDEX('AFA Rates'!$H$5:$H$1004,$T1185))))</f>
        <v/>
      </c>
      <c r="K1185" s="50">
        <f>IF($T1185="","",IF($S1185="S",IF(INDEX(Firms!$J$5:$J$1004,$T1185)="","",INDEX(Firms!$J$5:$J$1004,$T1185)),IF(INDEX('AFA Rates'!$I$5:$I$1004,$T1185)="","",INDEX('AFA Rates'!$I$5:$I$1004,$T1185))))</f>
        <v/>
      </c>
      <c r="L1185" s="50">
        <f>IF($T1185="","",IF($S1185="S",IF(INDEX(Firms!$K$5:$K$1004,$T1185)="","",INDEX(Firms!$K$5:$K$1004,$T1185)),IF(INDEX('AFA Rates'!$J$5:$J$1004,$T1185)="","",INDEX('AFA Rates'!$J$5:$J$1004,$T1185))))</f>
        <v/>
      </c>
      <c r="M1185" s="50">
        <f>IF($T1185="","",IF($S1185="S",IF(INDEX(Firms!$L$5:$L$1004,$T1185)="","",INDEX(Firms!$L$5:$L$1004,$T1185)),IF(INDEX('AFA Rates'!$K$5:$K$1004,$T1185)="","",INDEX('AFA Rates'!$K$5:$K$1004,$T1185))))</f>
        <v/>
      </c>
      <c r="N1185" s="50">
        <f>IF($T1185="","",IF($S1185="S",IF(INDEX(Firms!$M$5:$M$1004,$T1185)="","",INDEX(Firms!$M$5:$M$1004,$T1185)),IF(INDEX('AFA Rates'!$L$5:$L$1004,$T1185)="","",INDEX('AFA Rates'!$L$5:$L$1004,$T1185))))</f>
        <v/>
      </c>
      <c r="O1185" s="78">
        <f>IF(OR($T1185="",$U1185=""),"",IF(INDEX(Firms!$C$5:$C$1004,$U1185)="","",INDEX(Firms!$C$5:$C$1004,$U1185)))</f>
        <v/>
      </c>
      <c r="P1185" s="79">
        <f>IF(OR($T1185="",$U1185=""),"",IF(INDEX(Firms!$N$5:$N$1004,$U1185)="","",INDEX(Firms!$N$5:$N$1004,$U1185)))</f>
        <v/>
      </c>
      <c r="Q1185" s="78">
        <f>IF($T1185="","",IF($S1185="S",IF(INDEX(Firms!$T$5:$T$1004,$T1185)="","",INDEX(Firms!$T$5:$T$1004,$T1185)),IF(INDEX('AFA Rates'!$M$5:$M$1004,$T1185)="","",INDEX('AFA Rates'!$M$5:$M$1004,$T1185))))</f>
        <v/>
      </c>
      <c r="S1185">
        <f>IF(1181&lt;=$S$2,"S",IF(1181&lt;=$S$2+$T$2,"A",""))</f>
        <v/>
      </c>
      <c r="T1185">
        <f>IF(S1185="S",MATCH(1181,Firms!$W$5:$W$1004,0),IF(S1185="A",IFERROR(MATCH(1181-$S$2,'AFA Rates'!$R$5:$R$1004,0),""),""))</f>
        <v/>
      </c>
      <c r="U1185">
        <f>IF(S1185="S",T1185,IF(AND(S1185="A",T1185&lt;&gt;""),IFERROR(MATCH(INDEX('AFA Rates'!$A$5:$A$1004,T1185),Firms!$A$5:$A$1004,0),""),""))</f>
        <v/>
      </c>
    </row>
    <row r="1186">
      <c r="A1186" s="78">
        <f>IF($T1186="","",IF($S1186="S",IF(INDEX(Firms!$A$5:$A$1004,$T1186)="","",INDEX(Firms!$A$5:$A$1004,$T1186)),IF(INDEX('AFA Rates'!$A$5:$A$1004,$T1186)="","",INDEX('AFA Rates'!$A$5:$A$1004,$T1186))))</f>
        <v/>
      </c>
      <c r="B1186" s="79">
        <f>IF(OR($T1186="",$U1186=""),IF($T1186="","","Not on Firms tab"),INDEX(Firms!$B$5:$B$1004,$U1186)&amp;"")</f>
        <v/>
      </c>
      <c r="C1186" s="78">
        <f>IF($T1186="","",IF($S1186="S","Standard",INDEX('AFA Rates'!$B$5:$B$1004,$T1186)&amp;""))</f>
        <v/>
      </c>
      <c r="D1186" s="88">
        <f>IF($T1186="","",IF($S1186="S",IF(INDEX(Firms!$E$5:$E$1004,$T1186)="","",INDEX(Firms!$E$5:$E$1004,$T1186)),IF(INDEX('AFA Rates'!$C$5:$C$1004,$T1186)="","",INDEX('AFA Rates'!$C$5:$C$1004,$T1186))))</f>
        <v/>
      </c>
      <c r="E1186" s="88">
        <f>IF($T1186="","",IF($S1186="S",IF(""="","",""),IF(INDEX('AFA Rates'!$D$5:$D$1004,$T1186)="","",INDEX('AFA Rates'!$D$5:$D$1004,$T1186))))</f>
        <v/>
      </c>
      <c r="F1186" s="79">
        <f>IF($T1186="","",IF($S1186="S",IF(INDEX(Firms!$O$5:$O$1004,$T1186)="","",INDEX(Firms!$O$5:$O$1004,$T1186)),IF(INDEX('AFA Rates'!$O$5:$O$1004,$T1186)="","",INDEX('AFA Rates'!$O$5:$O$1004,$T1186))))</f>
        <v/>
      </c>
      <c r="G1186" s="50">
        <f>IF($T1186="","",IF($S1186="S",IF(INDEX(Firms!$F$5:$F$1004,$T1186)="","",INDEX(Firms!$F$5:$F$1004,$T1186)),IF(INDEX('AFA Rates'!$E$5:$E$1004,$T1186)="","",INDEX('AFA Rates'!$E$5:$E$1004,$T1186))))</f>
        <v/>
      </c>
      <c r="H1186" s="50">
        <f>IF($T1186="","",IF($S1186="S",IF(INDEX(Firms!$G$5:$G$1004,$T1186)="","",INDEX(Firms!$G$5:$G$1004,$T1186)),IF(INDEX('AFA Rates'!$F$5:$F$1004,$T1186)="","",INDEX('AFA Rates'!$F$5:$F$1004,$T1186))))</f>
        <v/>
      </c>
      <c r="I1186" s="50">
        <f>IF($T1186="","",IF($S1186="S",IF(INDEX(Firms!$H$5:$H$1004,$T1186)="","",INDEX(Firms!$H$5:$H$1004,$T1186)),IF(INDEX('AFA Rates'!$G$5:$G$1004,$T1186)="","",INDEX('AFA Rates'!$G$5:$G$1004,$T1186))))</f>
        <v/>
      </c>
      <c r="J1186" s="50">
        <f>IF($T1186="","",IF($S1186="S",IF(INDEX(Firms!$I$5:$I$1004,$T1186)="","",INDEX(Firms!$I$5:$I$1004,$T1186)),IF(INDEX('AFA Rates'!$H$5:$H$1004,$T1186)="","",INDEX('AFA Rates'!$H$5:$H$1004,$T1186))))</f>
        <v/>
      </c>
      <c r="K1186" s="50">
        <f>IF($T1186="","",IF($S1186="S",IF(INDEX(Firms!$J$5:$J$1004,$T1186)="","",INDEX(Firms!$J$5:$J$1004,$T1186)),IF(INDEX('AFA Rates'!$I$5:$I$1004,$T1186)="","",INDEX('AFA Rates'!$I$5:$I$1004,$T1186))))</f>
        <v/>
      </c>
      <c r="L1186" s="50">
        <f>IF($T1186="","",IF($S1186="S",IF(INDEX(Firms!$K$5:$K$1004,$T1186)="","",INDEX(Firms!$K$5:$K$1004,$T1186)),IF(INDEX('AFA Rates'!$J$5:$J$1004,$T1186)="","",INDEX('AFA Rates'!$J$5:$J$1004,$T1186))))</f>
        <v/>
      </c>
      <c r="M1186" s="50">
        <f>IF($T1186="","",IF($S1186="S",IF(INDEX(Firms!$L$5:$L$1004,$T1186)="","",INDEX(Firms!$L$5:$L$1004,$T1186)),IF(INDEX('AFA Rates'!$K$5:$K$1004,$T1186)="","",INDEX('AFA Rates'!$K$5:$K$1004,$T1186))))</f>
        <v/>
      </c>
      <c r="N1186" s="50">
        <f>IF($T1186="","",IF($S1186="S",IF(INDEX(Firms!$M$5:$M$1004,$T1186)="","",INDEX(Firms!$M$5:$M$1004,$T1186)),IF(INDEX('AFA Rates'!$L$5:$L$1004,$T1186)="","",INDEX('AFA Rates'!$L$5:$L$1004,$T1186))))</f>
        <v/>
      </c>
      <c r="O1186" s="78">
        <f>IF(OR($T1186="",$U1186=""),"",IF(INDEX(Firms!$C$5:$C$1004,$U1186)="","",INDEX(Firms!$C$5:$C$1004,$U1186)))</f>
        <v/>
      </c>
      <c r="P1186" s="79">
        <f>IF(OR($T1186="",$U1186=""),"",IF(INDEX(Firms!$N$5:$N$1004,$U1186)="","",INDEX(Firms!$N$5:$N$1004,$U1186)))</f>
        <v/>
      </c>
      <c r="Q1186" s="78">
        <f>IF($T1186="","",IF($S1186="S",IF(INDEX(Firms!$T$5:$T$1004,$T1186)="","",INDEX(Firms!$T$5:$T$1004,$T1186)),IF(INDEX('AFA Rates'!$M$5:$M$1004,$T1186)="","",INDEX('AFA Rates'!$M$5:$M$1004,$T1186))))</f>
        <v/>
      </c>
      <c r="S1186">
        <f>IF(1182&lt;=$S$2,"S",IF(1182&lt;=$S$2+$T$2,"A",""))</f>
        <v/>
      </c>
      <c r="T1186">
        <f>IF(S1186="S",MATCH(1182,Firms!$W$5:$W$1004,0),IF(S1186="A",IFERROR(MATCH(1182-$S$2,'AFA Rates'!$R$5:$R$1004,0),""),""))</f>
        <v/>
      </c>
      <c r="U1186">
        <f>IF(S1186="S",T1186,IF(AND(S1186="A",T1186&lt;&gt;""),IFERROR(MATCH(INDEX('AFA Rates'!$A$5:$A$1004,T1186),Firms!$A$5:$A$1004,0),""),""))</f>
        <v/>
      </c>
    </row>
    <row r="1187">
      <c r="A1187" s="78">
        <f>IF($T1187="","",IF($S1187="S",IF(INDEX(Firms!$A$5:$A$1004,$T1187)="","",INDEX(Firms!$A$5:$A$1004,$T1187)),IF(INDEX('AFA Rates'!$A$5:$A$1004,$T1187)="","",INDEX('AFA Rates'!$A$5:$A$1004,$T1187))))</f>
        <v/>
      </c>
      <c r="B1187" s="79">
        <f>IF(OR($T1187="",$U1187=""),IF($T1187="","","Not on Firms tab"),INDEX(Firms!$B$5:$B$1004,$U1187)&amp;"")</f>
        <v/>
      </c>
      <c r="C1187" s="78">
        <f>IF($T1187="","",IF($S1187="S","Standard",INDEX('AFA Rates'!$B$5:$B$1004,$T1187)&amp;""))</f>
        <v/>
      </c>
      <c r="D1187" s="88">
        <f>IF($T1187="","",IF($S1187="S",IF(INDEX(Firms!$E$5:$E$1004,$T1187)="","",INDEX(Firms!$E$5:$E$1004,$T1187)),IF(INDEX('AFA Rates'!$C$5:$C$1004,$T1187)="","",INDEX('AFA Rates'!$C$5:$C$1004,$T1187))))</f>
        <v/>
      </c>
      <c r="E1187" s="88">
        <f>IF($T1187="","",IF($S1187="S",IF(""="","",""),IF(INDEX('AFA Rates'!$D$5:$D$1004,$T1187)="","",INDEX('AFA Rates'!$D$5:$D$1004,$T1187))))</f>
        <v/>
      </c>
      <c r="F1187" s="79">
        <f>IF($T1187="","",IF($S1187="S",IF(INDEX(Firms!$O$5:$O$1004,$T1187)="","",INDEX(Firms!$O$5:$O$1004,$T1187)),IF(INDEX('AFA Rates'!$O$5:$O$1004,$T1187)="","",INDEX('AFA Rates'!$O$5:$O$1004,$T1187))))</f>
        <v/>
      </c>
      <c r="G1187" s="50">
        <f>IF($T1187="","",IF($S1187="S",IF(INDEX(Firms!$F$5:$F$1004,$T1187)="","",INDEX(Firms!$F$5:$F$1004,$T1187)),IF(INDEX('AFA Rates'!$E$5:$E$1004,$T1187)="","",INDEX('AFA Rates'!$E$5:$E$1004,$T1187))))</f>
        <v/>
      </c>
      <c r="H1187" s="50">
        <f>IF($T1187="","",IF($S1187="S",IF(INDEX(Firms!$G$5:$G$1004,$T1187)="","",INDEX(Firms!$G$5:$G$1004,$T1187)),IF(INDEX('AFA Rates'!$F$5:$F$1004,$T1187)="","",INDEX('AFA Rates'!$F$5:$F$1004,$T1187))))</f>
        <v/>
      </c>
      <c r="I1187" s="50">
        <f>IF($T1187="","",IF($S1187="S",IF(INDEX(Firms!$H$5:$H$1004,$T1187)="","",INDEX(Firms!$H$5:$H$1004,$T1187)),IF(INDEX('AFA Rates'!$G$5:$G$1004,$T1187)="","",INDEX('AFA Rates'!$G$5:$G$1004,$T1187))))</f>
        <v/>
      </c>
      <c r="J1187" s="50">
        <f>IF($T1187="","",IF($S1187="S",IF(INDEX(Firms!$I$5:$I$1004,$T1187)="","",INDEX(Firms!$I$5:$I$1004,$T1187)),IF(INDEX('AFA Rates'!$H$5:$H$1004,$T1187)="","",INDEX('AFA Rates'!$H$5:$H$1004,$T1187))))</f>
        <v/>
      </c>
      <c r="K1187" s="50">
        <f>IF($T1187="","",IF($S1187="S",IF(INDEX(Firms!$J$5:$J$1004,$T1187)="","",INDEX(Firms!$J$5:$J$1004,$T1187)),IF(INDEX('AFA Rates'!$I$5:$I$1004,$T1187)="","",INDEX('AFA Rates'!$I$5:$I$1004,$T1187))))</f>
        <v/>
      </c>
      <c r="L1187" s="50">
        <f>IF($T1187="","",IF($S1187="S",IF(INDEX(Firms!$K$5:$K$1004,$T1187)="","",INDEX(Firms!$K$5:$K$1004,$T1187)),IF(INDEX('AFA Rates'!$J$5:$J$1004,$T1187)="","",INDEX('AFA Rates'!$J$5:$J$1004,$T1187))))</f>
        <v/>
      </c>
      <c r="M1187" s="50">
        <f>IF($T1187="","",IF($S1187="S",IF(INDEX(Firms!$L$5:$L$1004,$T1187)="","",INDEX(Firms!$L$5:$L$1004,$T1187)),IF(INDEX('AFA Rates'!$K$5:$K$1004,$T1187)="","",INDEX('AFA Rates'!$K$5:$K$1004,$T1187))))</f>
        <v/>
      </c>
      <c r="N1187" s="50">
        <f>IF($T1187="","",IF($S1187="S",IF(INDEX(Firms!$M$5:$M$1004,$T1187)="","",INDEX(Firms!$M$5:$M$1004,$T1187)),IF(INDEX('AFA Rates'!$L$5:$L$1004,$T1187)="","",INDEX('AFA Rates'!$L$5:$L$1004,$T1187))))</f>
        <v/>
      </c>
      <c r="O1187" s="78">
        <f>IF(OR($T1187="",$U1187=""),"",IF(INDEX(Firms!$C$5:$C$1004,$U1187)="","",INDEX(Firms!$C$5:$C$1004,$U1187)))</f>
        <v/>
      </c>
      <c r="P1187" s="79">
        <f>IF(OR($T1187="",$U1187=""),"",IF(INDEX(Firms!$N$5:$N$1004,$U1187)="","",INDEX(Firms!$N$5:$N$1004,$U1187)))</f>
        <v/>
      </c>
      <c r="Q1187" s="78">
        <f>IF($T1187="","",IF($S1187="S",IF(INDEX(Firms!$T$5:$T$1004,$T1187)="","",INDEX(Firms!$T$5:$T$1004,$T1187)),IF(INDEX('AFA Rates'!$M$5:$M$1004,$T1187)="","",INDEX('AFA Rates'!$M$5:$M$1004,$T1187))))</f>
        <v/>
      </c>
      <c r="S1187">
        <f>IF(1183&lt;=$S$2,"S",IF(1183&lt;=$S$2+$T$2,"A",""))</f>
        <v/>
      </c>
      <c r="T1187">
        <f>IF(S1187="S",MATCH(1183,Firms!$W$5:$W$1004,0),IF(S1187="A",IFERROR(MATCH(1183-$S$2,'AFA Rates'!$R$5:$R$1004,0),""),""))</f>
        <v/>
      </c>
      <c r="U1187">
        <f>IF(S1187="S",T1187,IF(AND(S1187="A",T1187&lt;&gt;""),IFERROR(MATCH(INDEX('AFA Rates'!$A$5:$A$1004,T1187),Firms!$A$5:$A$1004,0),""),""))</f>
        <v/>
      </c>
    </row>
    <row r="1188">
      <c r="A1188" s="78">
        <f>IF($T1188="","",IF($S1188="S",IF(INDEX(Firms!$A$5:$A$1004,$T1188)="","",INDEX(Firms!$A$5:$A$1004,$T1188)),IF(INDEX('AFA Rates'!$A$5:$A$1004,$T1188)="","",INDEX('AFA Rates'!$A$5:$A$1004,$T1188))))</f>
        <v/>
      </c>
      <c r="B1188" s="79">
        <f>IF(OR($T1188="",$U1188=""),IF($T1188="","","Not on Firms tab"),INDEX(Firms!$B$5:$B$1004,$U1188)&amp;"")</f>
        <v/>
      </c>
      <c r="C1188" s="78">
        <f>IF($T1188="","",IF($S1188="S","Standard",INDEX('AFA Rates'!$B$5:$B$1004,$T1188)&amp;""))</f>
        <v/>
      </c>
      <c r="D1188" s="88">
        <f>IF($T1188="","",IF($S1188="S",IF(INDEX(Firms!$E$5:$E$1004,$T1188)="","",INDEX(Firms!$E$5:$E$1004,$T1188)),IF(INDEX('AFA Rates'!$C$5:$C$1004,$T1188)="","",INDEX('AFA Rates'!$C$5:$C$1004,$T1188))))</f>
        <v/>
      </c>
      <c r="E1188" s="88">
        <f>IF($T1188="","",IF($S1188="S",IF(""="","",""),IF(INDEX('AFA Rates'!$D$5:$D$1004,$T1188)="","",INDEX('AFA Rates'!$D$5:$D$1004,$T1188))))</f>
        <v/>
      </c>
      <c r="F1188" s="79">
        <f>IF($T1188="","",IF($S1188="S",IF(INDEX(Firms!$O$5:$O$1004,$T1188)="","",INDEX(Firms!$O$5:$O$1004,$T1188)),IF(INDEX('AFA Rates'!$O$5:$O$1004,$T1188)="","",INDEX('AFA Rates'!$O$5:$O$1004,$T1188))))</f>
        <v/>
      </c>
      <c r="G1188" s="50">
        <f>IF($T1188="","",IF($S1188="S",IF(INDEX(Firms!$F$5:$F$1004,$T1188)="","",INDEX(Firms!$F$5:$F$1004,$T1188)),IF(INDEX('AFA Rates'!$E$5:$E$1004,$T1188)="","",INDEX('AFA Rates'!$E$5:$E$1004,$T1188))))</f>
        <v/>
      </c>
      <c r="H1188" s="50">
        <f>IF($T1188="","",IF($S1188="S",IF(INDEX(Firms!$G$5:$G$1004,$T1188)="","",INDEX(Firms!$G$5:$G$1004,$T1188)),IF(INDEX('AFA Rates'!$F$5:$F$1004,$T1188)="","",INDEX('AFA Rates'!$F$5:$F$1004,$T1188))))</f>
        <v/>
      </c>
      <c r="I1188" s="50">
        <f>IF($T1188="","",IF($S1188="S",IF(INDEX(Firms!$H$5:$H$1004,$T1188)="","",INDEX(Firms!$H$5:$H$1004,$T1188)),IF(INDEX('AFA Rates'!$G$5:$G$1004,$T1188)="","",INDEX('AFA Rates'!$G$5:$G$1004,$T1188))))</f>
        <v/>
      </c>
      <c r="J1188" s="50">
        <f>IF($T1188="","",IF($S1188="S",IF(INDEX(Firms!$I$5:$I$1004,$T1188)="","",INDEX(Firms!$I$5:$I$1004,$T1188)),IF(INDEX('AFA Rates'!$H$5:$H$1004,$T1188)="","",INDEX('AFA Rates'!$H$5:$H$1004,$T1188))))</f>
        <v/>
      </c>
      <c r="K1188" s="50">
        <f>IF($T1188="","",IF($S1188="S",IF(INDEX(Firms!$J$5:$J$1004,$T1188)="","",INDEX(Firms!$J$5:$J$1004,$T1188)),IF(INDEX('AFA Rates'!$I$5:$I$1004,$T1188)="","",INDEX('AFA Rates'!$I$5:$I$1004,$T1188))))</f>
        <v/>
      </c>
      <c r="L1188" s="50">
        <f>IF($T1188="","",IF($S1188="S",IF(INDEX(Firms!$K$5:$K$1004,$T1188)="","",INDEX(Firms!$K$5:$K$1004,$T1188)),IF(INDEX('AFA Rates'!$J$5:$J$1004,$T1188)="","",INDEX('AFA Rates'!$J$5:$J$1004,$T1188))))</f>
        <v/>
      </c>
      <c r="M1188" s="50">
        <f>IF($T1188="","",IF($S1188="S",IF(INDEX(Firms!$L$5:$L$1004,$T1188)="","",INDEX(Firms!$L$5:$L$1004,$T1188)),IF(INDEX('AFA Rates'!$K$5:$K$1004,$T1188)="","",INDEX('AFA Rates'!$K$5:$K$1004,$T1188))))</f>
        <v/>
      </c>
      <c r="N1188" s="50">
        <f>IF($T1188="","",IF($S1188="S",IF(INDEX(Firms!$M$5:$M$1004,$T1188)="","",INDEX(Firms!$M$5:$M$1004,$T1188)),IF(INDEX('AFA Rates'!$L$5:$L$1004,$T1188)="","",INDEX('AFA Rates'!$L$5:$L$1004,$T1188))))</f>
        <v/>
      </c>
      <c r="O1188" s="78">
        <f>IF(OR($T1188="",$U1188=""),"",IF(INDEX(Firms!$C$5:$C$1004,$U1188)="","",INDEX(Firms!$C$5:$C$1004,$U1188)))</f>
        <v/>
      </c>
      <c r="P1188" s="79">
        <f>IF(OR($T1188="",$U1188=""),"",IF(INDEX(Firms!$N$5:$N$1004,$U1188)="","",INDEX(Firms!$N$5:$N$1004,$U1188)))</f>
        <v/>
      </c>
      <c r="Q1188" s="78">
        <f>IF($T1188="","",IF($S1188="S",IF(INDEX(Firms!$T$5:$T$1004,$T1188)="","",INDEX(Firms!$T$5:$T$1004,$T1188)),IF(INDEX('AFA Rates'!$M$5:$M$1004,$T1188)="","",INDEX('AFA Rates'!$M$5:$M$1004,$T1188))))</f>
        <v/>
      </c>
      <c r="S1188">
        <f>IF(1184&lt;=$S$2,"S",IF(1184&lt;=$S$2+$T$2,"A",""))</f>
        <v/>
      </c>
      <c r="T1188">
        <f>IF(S1188="S",MATCH(1184,Firms!$W$5:$W$1004,0),IF(S1188="A",IFERROR(MATCH(1184-$S$2,'AFA Rates'!$R$5:$R$1004,0),""),""))</f>
        <v/>
      </c>
      <c r="U1188">
        <f>IF(S1188="S",T1188,IF(AND(S1188="A",T1188&lt;&gt;""),IFERROR(MATCH(INDEX('AFA Rates'!$A$5:$A$1004,T1188),Firms!$A$5:$A$1004,0),""),""))</f>
        <v/>
      </c>
    </row>
    <row r="1189">
      <c r="A1189" s="78">
        <f>IF($T1189="","",IF($S1189="S",IF(INDEX(Firms!$A$5:$A$1004,$T1189)="","",INDEX(Firms!$A$5:$A$1004,$T1189)),IF(INDEX('AFA Rates'!$A$5:$A$1004,$T1189)="","",INDEX('AFA Rates'!$A$5:$A$1004,$T1189))))</f>
        <v/>
      </c>
      <c r="B1189" s="79">
        <f>IF(OR($T1189="",$U1189=""),IF($T1189="","","Not on Firms tab"),INDEX(Firms!$B$5:$B$1004,$U1189)&amp;"")</f>
        <v/>
      </c>
      <c r="C1189" s="78">
        <f>IF($T1189="","",IF($S1189="S","Standard",INDEX('AFA Rates'!$B$5:$B$1004,$T1189)&amp;""))</f>
        <v/>
      </c>
      <c r="D1189" s="88">
        <f>IF($T1189="","",IF($S1189="S",IF(INDEX(Firms!$E$5:$E$1004,$T1189)="","",INDEX(Firms!$E$5:$E$1004,$T1189)),IF(INDEX('AFA Rates'!$C$5:$C$1004,$T1189)="","",INDEX('AFA Rates'!$C$5:$C$1004,$T1189))))</f>
        <v/>
      </c>
      <c r="E1189" s="88">
        <f>IF($T1189="","",IF($S1189="S",IF(""="","",""),IF(INDEX('AFA Rates'!$D$5:$D$1004,$T1189)="","",INDEX('AFA Rates'!$D$5:$D$1004,$T1189))))</f>
        <v/>
      </c>
      <c r="F1189" s="79">
        <f>IF($T1189="","",IF($S1189="S",IF(INDEX(Firms!$O$5:$O$1004,$T1189)="","",INDEX(Firms!$O$5:$O$1004,$T1189)),IF(INDEX('AFA Rates'!$O$5:$O$1004,$T1189)="","",INDEX('AFA Rates'!$O$5:$O$1004,$T1189))))</f>
        <v/>
      </c>
      <c r="G1189" s="50">
        <f>IF($T1189="","",IF($S1189="S",IF(INDEX(Firms!$F$5:$F$1004,$T1189)="","",INDEX(Firms!$F$5:$F$1004,$T1189)),IF(INDEX('AFA Rates'!$E$5:$E$1004,$T1189)="","",INDEX('AFA Rates'!$E$5:$E$1004,$T1189))))</f>
        <v/>
      </c>
      <c r="H1189" s="50">
        <f>IF($T1189="","",IF($S1189="S",IF(INDEX(Firms!$G$5:$G$1004,$T1189)="","",INDEX(Firms!$G$5:$G$1004,$T1189)),IF(INDEX('AFA Rates'!$F$5:$F$1004,$T1189)="","",INDEX('AFA Rates'!$F$5:$F$1004,$T1189))))</f>
        <v/>
      </c>
      <c r="I1189" s="50">
        <f>IF($T1189="","",IF($S1189="S",IF(INDEX(Firms!$H$5:$H$1004,$T1189)="","",INDEX(Firms!$H$5:$H$1004,$T1189)),IF(INDEX('AFA Rates'!$G$5:$G$1004,$T1189)="","",INDEX('AFA Rates'!$G$5:$G$1004,$T1189))))</f>
        <v/>
      </c>
      <c r="J1189" s="50">
        <f>IF($T1189="","",IF($S1189="S",IF(INDEX(Firms!$I$5:$I$1004,$T1189)="","",INDEX(Firms!$I$5:$I$1004,$T1189)),IF(INDEX('AFA Rates'!$H$5:$H$1004,$T1189)="","",INDEX('AFA Rates'!$H$5:$H$1004,$T1189))))</f>
        <v/>
      </c>
      <c r="K1189" s="50">
        <f>IF($T1189="","",IF($S1189="S",IF(INDEX(Firms!$J$5:$J$1004,$T1189)="","",INDEX(Firms!$J$5:$J$1004,$T1189)),IF(INDEX('AFA Rates'!$I$5:$I$1004,$T1189)="","",INDEX('AFA Rates'!$I$5:$I$1004,$T1189))))</f>
        <v/>
      </c>
      <c r="L1189" s="50">
        <f>IF($T1189="","",IF($S1189="S",IF(INDEX(Firms!$K$5:$K$1004,$T1189)="","",INDEX(Firms!$K$5:$K$1004,$T1189)),IF(INDEX('AFA Rates'!$J$5:$J$1004,$T1189)="","",INDEX('AFA Rates'!$J$5:$J$1004,$T1189))))</f>
        <v/>
      </c>
      <c r="M1189" s="50">
        <f>IF($T1189="","",IF($S1189="S",IF(INDEX(Firms!$L$5:$L$1004,$T1189)="","",INDEX(Firms!$L$5:$L$1004,$T1189)),IF(INDEX('AFA Rates'!$K$5:$K$1004,$T1189)="","",INDEX('AFA Rates'!$K$5:$K$1004,$T1189))))</f>
        <v/>
      </c>
      <c r="N1189" s="50">
        <f>IF($T1189="","",IF($S1189="S",IF(INDEX(Firms!$M$5:$M$1004,$T1189)="","",INDEX(Firms!$M$5:$M$1004,$T1189)),IF(INDEX('AFA Rates'!$L$5:$L$1004,$T1189)="","",INDEX('AFA Rates'!$L$5:$L$1004,$T1189))))</f>
        <v/>
      </c>
      <c r="O1189" s="78">
        <f>IF(OR($T1189="",$U1189=""),"",IF(INDEX(Firms!$C$5:$C$1004,$U1189)="","",INDEX(Firms!$C$5:$C$1004,$U1189)))</f>
        <v/>
      </c>
      <c r="P1189" s="79">
        <f>IF(OR($T1189="",$U1189=""),"",IF(INDEX(Firms!$N$5:$N$1004,$U1189)="","",INDEX(Firms!$N$5:$N$1004,$U1189)))</f>
        <v/>
      </c>
      <c r="Q1189" s="78">
        <f>IF($T1189="","",IF($S1189="S",IF(INDEX(Firms!$T$5:$T$1004,$T1189)="","",INDEX(Firms!$T$5:$T$1004,$T1189)),IF(INDEX('AFA Rates'!$M$5:$M$1004,$T1189)="","",INDEX('AFA Rates'!$M$5:$M$1004,$T1189))))</f>
        <v/>
      </c>
      <c r="S1189">
        <f>IF(1185&lt;=$S$2,"S",IF(1185&lt;=$S$2+$T$2,"A",""))</f>
        <v/>
      </c>
      <c r="T1189">
        <f>IF(S1189="S",MATCH(1185,Firms!$W$5:$W$1004,0),IF(S1189="A",IFERROR(MATCH(1185-$S$2,'AFA Rates'!$R$5:$R$1004,0),""),""))</f>
        <v/>
      </c>
      <c r="U1189">
        <f>IF(S1189="S",T1189,IF(AND(S1189="A",T1189&lt;&gt;""),IFERROR(MATCH(INDEX('AFA Rates'!$A$5:$A$1004,T1189),Firms!$A$5:$A$1004,0),""),""))</f>
        <v/>
      </c>
    </row>
    <row r="1190">
      <c r="A1190" s="78">
        <f>IF($T1190="","",IF($S1190="S",IF(INDEX(Firms!$A$5:$A$1004,$T1190)="","",INDEX(Firms!$A$5:$A$1004,$T1190)),IF(INDEX('AFA Rates'!$A$5:$A$1004,$T1190)="","",INDEX('AFA Rates'!$A$5:$A$1004,$T1190))))</f>
        <v/>
      </c>
      <c r="B1190" s="79">
        <f>IF(OR($T1190="",$U1190=""),IF($T1190="","","Not on Firms tab"),INDEX(Firms!$B$5:$B$1004,$U1190)&amp;"")</f>
        <v/>
      </c>
      <c r="C1190" s="78">
        <f>IF($T1190="","",IF($S1190="S","Standard",INDEX('AFA Rates'!$B$5:$B$1004,$T1190)&amp;""))</f>
        <v/>
      </c>
      <c r="D1190" s="88">
        <f>IF($T1190="","",IF($S1190="S",IF(INDEX(Firms!$E$5:$E$1004,$T1190)="","",INDEX(Firms!$E$5:$E$1004,$T1190)),IF(INDEX('AFA Rates'!$C$5:$C$1004,$T1190)="","",INDEX('AFA Rates'!$C$5:$C$1004,$T1190))))</f>
        <v/>
      </c>
      <c r="E1190" s="88">
        <f>IF($T1190="","",IF($S1190="S",IF(""="","",""),IF(INDEX('AFA Rates'!$D$5:$D$1004,$T1190)="","",INDEX('AFA Rates'!$D$5:$D$1004,$T1190))))</f>
        <v/>
      </c>
      <c r="F1190" s="79">
        <f>IF($T1190="","",IF($S1190="S",IF(INDEX(Firms!$O$5:$O$1004,$T1190)="","",INDEX(Firms!$O$5:$O$1004,$T1190)),IF(INDEX('AFA Rates'!$O$5:$O$1004,$T1190)="","",INDEX('AFA Rates'!$O$5:$O$1004,$T1190))))</f>
        <v/>
      </c>
      <c r="G1190" s="50">
        <f>IF($T1190="","",IF($S1190="S",IF(INDEX(Firms!$F$5:$F$1004,$T1190)="","",INDEX(Firms!$F$5:$F$1004,$T1190)),IF(INDEX('AFA Rates'!$E$5:$E$1004,$T1190)="","",INDEX('AFA Rates'!$E$5:$E$1004,$T1190))))</f>
        <v/>
      </c>
      <c r="H1190" s="50">
        <f>IF($T1190="","",IF($S1190="S",IF(INDEX(Firms!$G$5:$G$1004,$T1190)="","",INDEX(Firms!$G$5:$G$1004,$T1190)),IF(INDEX('AFA Rates'!$F$5:$F$1004,$T1190)="","",INDEX('AFA Rates'!$F$5:$F$1004,$T1190))))</f>
        <v/>
      </c>
      <c r="I1190" s="50">
        <f>IF($T1190="","",IF($S1190="S",IF(INDEX(Firms!$H$5:$H$1004,$T1190)="","",INDEX(Firms!$H$5:$H$1004,$T1190)),IF(INDEX('AFA Rates'!$G$5:$G$1004,$T1190)="","",INDEX('AFA Rates'!$G$5:$G$1004,$T1190))))</f>
        <v/>
      </c>
      <c r="J1190" s="50">
        <f>IF($T1190="","",IF($S1190="S",IF(INDEX(Firms!$I$5:$I$1004,$T1190)="","",INDEX(Firms!$I$5:$I$1004,$T1190)),IF(INDEX('AFA Rates'!$H$5:$H$1004,$T1190)="","",INDEX('AFA Rates'!$H$5:$H$1004,$T1190))))</f>
        <v/>
      </c>
      <c r="K1190" s="50">
        <f>IF($T1190="","",IF($S1190="S",IF(INDEX(Firms!$J$5:$J$1004,$T1190)="","",INDEX(Firms!$J$5:$J$1004,$T1190)),IF(INDEX('AFA Rates'!$I$5:$I$1004,$T1190)="","",INDEX('AFA Rates'!$I$5:$I$1004,$T1190))))</f>
        <v/>
      </c>
      <c r="L1190" s="50">
        <f>IF($T1190="","",IF($S1190="S",IF(INDEX(Firms!$K$5:$K$1004,$T1190)="","",INDEX(Firms!$K$5:$K$1004,$T1190)),IF(INDEX('AFA Rates'!$J$5:$J$1004,$T1190)="","",INDEX('AFA Rates'!$J$5:$J$1004,$T1190))))</f>
        <v/>
      </c>
      <c r="M1190" s="50">
        <f>IF($T1190="","",IF($S1190="S",IF(INDEX(Firms!$L$5:$L$1004,$T1190)="","",INDEX(Firms!$L$5:$L$1004,$T1190)),IF(INDEX('AFA Rates'!$K$5:$K$1004,$T1190)="","",INDEX('AFA Rates'!$K$5:$K$1004,$T1190))))</f>
        <v/>
      </c>
      <c r="N1190" s="50">
        <f>IF($T1190="","",IF($S1190="S",IF(INDEX(Firms!$M$5:$M$1004,$T1190)="","",INDEX(Firms!$M$5:$M$1004,$T1190)),IF(INDEX('AFA Rates'!$L$5:$L$1004,$T1190)="","",INDEX('AFA Rates'!$L$5:$L$1004,$T1190))))</f>
        <v/>
      </c>
      <c r="O1190" s="78">
        <f>IF(OR($T1190="",$U1190=""),"",IF(INDEX(Firms!$C$5:$C$1004,$U1190)="","",INDEX(Firms!$C$5:$C$1004,$U1190)))</f>
        <v/>
      </c>
      <c r="P1190" s="79">
        <f>IF(OR($T1190="",$U1190=""),"",IF(INDEX(Firms!$N$5:$N$1004,$U1190)="","",INDEX(Firms!$N$5:$N$1004,$U1190)))</f>
        <v/>
      </c>
      <c r="Q1190" s="78">
        <f>IF($T1190="","",IF($S1190="S",IF(INDEX(Firms!$T$5:$T$1004,$T1190)="","",INDEX(Firms!$T$5:$T$1004,$T1190)),IF(INDEX('AFA Rates'!$M$5:$M$1004,$T1190)="","",INDEX('AFA Rates'!$M$5:$M$1004,$T1190))))</f>
        <v/>
      </c>
      <c r="S1190">
        <f>IF(1186&lt;=$S$2,"S",IF(1186&lt;=$S$2+$T$2,"A",""))</f>
        <v/>
      </c>
      <c r="T1190">
        <f>IF(S1190="S",MATCH(1186,Firms!$W$5:$W$1004,0),IF(S1190="A",IFERROR(MATCH(1186-$S$2,'AFA Rates'!$R$5:$R$1004,0),""),""))</f>
        <v/>
      </c>
      <c r="U1190">
        <f>IF(S1190="S",T1190,IF(AND(S1190="A",T1190&lt;&gt;""),IFERROR(MATCH(INDEX('AFA Rates'!$A$5:$A$1004,T1190),Firms!$A$5:$A$1004,0),""),""))</f>
        <v/>
      </c>
    </row>
    <row r="1191">
      <c r="A1191" s="78">
        <f>IF($T1191="","",IF($S1191="S",IF(INDEX(Firms!$A$5:$A$1004,$T1191)="","",INDEX(Firms!$A$5:$A$1004,$T1191)),IF(INDEX('AFA Rates'!$A$5:$A$1004,$T1191)="","",INDEX('AFA Rates'!$A$5:$A$1004,$T1191))))</f>
        <v/>
      </c>
      <c r="B1191" s="79">
        <f>IF(OR($T1191="",$U1191=""),IF($T1191="","","Not on Firms tab"),INDEX(Firms!$B$5:$B$1004,$U1191)&amp;"")</f>
        <v/>
      </c>
      <c r="C1191" s="78">
        <f>IF($T1191="","",IF($S1191="S","Standard",INDEX('AFA Rates'!$B$5:$B$1004,$T1191)&amp;""))</f>
        <v/>
      </c>
      <c r="D1191" s="88">
        <f>IF($T1191="","",IF($S1191="S",IF(INDEX(Firms!$E$5:$E$1004,$T1191)="","",INDEX(Firms!$E$5:$E$1004,$T1191)),IF(INDEX('AFA Rates'!$C$5:$C$1004,$T1191)="","",INDEX('AFA Rates'!$C$5:$C$1004,$T1191))))</f>
        <v/>
      </c>
      <c r="E1191" s="88">
        <f>IF($T1191="","",IF($S1191="S",IF(""="","",""),IF(INDEX('AFA Rates'!$D$5:$D$1004,$T1191)="","",INDEX('AFA Rates'!$D$5:$D$1004,$T1191))))</f>
        <v/>
      </c>
      <c r="F1191" s="79">
        <f>IF($T1191="","",IF($S1191="S",IF(INDEX(Firms!$O$5:$O$1004,$T1191)="","",INDEX(Firms!$O$5:$O$1004,$T1191)),IF(INDEX('AFA Rates'!$O$5:$O$1004,$T1191)="","",INDEX('AFA Rates'!$O$5:$O$1004,$T1191))))</f>
        <v/>
      </c>
      <c r="G1191" s="50">
        <f>IF($T1191="","",IF($S1191="S",IF(INDEX(Firms!$F$5:$F$1004,$T1191)="","",INDEX(Firms!$F$5:$F$1004,$T1191)),IF(INDEX('AFA Rates'!$E$5:$E$1004,$T1191)="","",INDEX('AFA Rates'!$E$5:$E$1004,$T1191))))</f>
        <v/>
      </c>
      <c r="H1191" s="50">
        <f>IF($T1191="","",IF($S1191="S",IF(INDEX(Firms!$G$5:$G$1004,$T1191)="","",INDEX(Firms!$G$5:$G$1004,$T1191)),IF(INDEX('AFA Rates'!$F$5:$F$1004,$T1191)="","",INDEX('AFA Rates'!$F$5:$F$1004,$T1191))))</f>
        <v/>
      </c>
      <c r="I1191" s="50">
        <f>IF($T1191="","",IF($S1191="S",IF(INDEX(Firms!$H$5:$H$1004,$T1191)="","",INDEX(Firms!$H$5:$H$1004,$T1191)),IF(INDEX('AFA Rates'!$G$5:$G$1004,$T1191)="","",INDEX('AFA Rates'!$G$5:$G$1004,$T1191))))</f>
        <v/>
      </c>
      <c r="J1191" s="50">
        <f>IF($T1191="","",IF($S1191="S",IF(INDEX(Firms!$I$5:$I$1004,$T1191)="","",INDEX(Firms!$I$5:$I$1004,$T1191)),IF(INDEX('AFA Rates'!$H$5:$H$1004,$T1191)="","",INDEX('AFA Rates'!$H$5:$H$1004,$T1191))))</f>
        <v/>
      </c>
      <c r="K1191" s="50">
        <f>IF($T1191="","",IF($S1191="S",IF(INDEX(Firms!$J$5:$J$1004,$T1191)="","",INDEX(Firms!$J$5:$J$1004,$T1191)),IF(INDEX('AFA Rates'!$I$5:$I$1004,$T1191)="","",INDEX('AFA Rates'!$I$5:$I$1004,$T1191))))</f>
        <v/>
      </c>
      <c r="L1191" s="50">
        <f>IF($T1191="","",IF($S1191="S",IF(INDEX(Firms!$K$5:$K$1004,$T1191)="","",INDEX(Firms!$K$5:$K$1004,$T1191)),IF(INDEX('AFA Rates'!$J$5:$J$1004,$T1191)="","",INDEX('AFA Rates'!$J$5:$J$1004,$T1191))))</f>
        <v/>
      </c>
      <c r="M1191" s="50">
        <f>IF($T1191="","",IF($S1191="S",IF(INDEX(Firms!$L$5:$L$1004,$T1191)="","",INDEX(Firms!$L$5:$L$1004,$T1191)),IF(INDEX('AFA Rates'!$K$5:$K$1004,$T1191)="","",INDEX('AFA Rates'!$K$5:$K$1004,$T1191))))</f>
        <v/>
      </c>
      <c r="N1191" s="50">
        <f>IF($T1191="","",IF($S1191="S",IF(INDEX(Firms!$M$5:$M$1004,$T1191)="","",INDEX(Firms!$M$5:$M$1004,$T1191)),IF(INDEX('AFA Rates'!$L$5:$L$1004,$T1191)="","",INDEX('AFA Rates'!$L$5:$L$1004,$T1191))))</f>
        <v/>
      </c>
      <c r="O1191" s="78">
        <f>IF(OR($T1191="",$U1191=""),"",IF(INDEX(Firms!$C$5:$C$1004,$U1191)="","",INDEX(Firms!$C$5:$C$1004,$U1191)))</f>
        <v/>
      </c>
      <c r="P1191" s="79">
        <f>IF(OR($T1191="",$U1191=""),"",IF(INDEX(Firms!$N$5:$N$1004,$U1191)="","",INDEX(Firms!$N$5:$N$1004,$U1191)))</f>
        <v/>
      </c>
      <c r="Q1191" s="78">
        <f>IF($T1191="","",IF($S1191="S",IF(INDEX(Firms!$T$5:$T$1004,$T1191)="","",INDEX(Firms!$T$5:$T$1004,$T1191)),IF(INDEX('AFA Rates'!$M$5:$M$1004,$T1191)="","",INDEX('AFA Rates'!$M$5:$M$1004,$T1191))))</f>
        <v/>
      </c>
      <c r="S1191">
        <f>IF(1187&lt;=$S$2,"S",IF(1187&lt;=$S$2+$T$2,"A",""))</f>
        <v/>
      </c>
      <c r="T1191">
        <f>IF(S1191="S",MATCH(1187,Firms!$W$5:$W$1004,0),IF(S1191="A",IFERROR(MATCH(1187-$S$2,'AFA Rates'!$R$5:$R$1004,0),""),""))</f>
        <v/>
      </c>
      <c r="U1191">
        <f>IF(S1191="S",T1191,IF(AND(S1191="A",T1191&lt;&gt;""),IFERROR(MATCH(INDEX('AFA Rates'!$A$5:$A$1004,T1191),Firms!$A$5:$A$1004,0),""),""))</f>
        <v/>
      </c>
    </row>
    <row r="1192">
      <c r="A1192" s="78">
        <f>IF($T1192="","",IF($S1192="S",IF(INDEX(Firms!$A$5:$A$1004,$T1192)="","",INDEX(Firms!$A$5:$A$1004,$T1192)),IF(INDEX('AFA Rates'!$A$5:$A$1004,$T1192)="","",INDEX('AFA Rates'!$A$5:$A$1004,$T1192))))</f>
        <v/>
      </c>
      <c r="B1192" s="79">
        <f>IF(OR($T1192="",$U1192=""),IF($T1192="","","Not on Firms tab"),INDEX(Firms!$B$5:$B$1004,$U1192)&amp;"")</f>
        <v/>
      </c>
      <c r="C1192" s="78">
        <f>IF($T1192="","",IF($S1192="S","Standard",INDEX('AFA Rates'!$B$5:$B$1004,$T1192)&amp;""))</f>
        <v/>
      </c>
      <c r="D1192" s="88">
        <f>IF($T1192="","",IF($S1192="S",IF(INDEX(Firms!$E$5:$E$1004,$T1192)="","",INDEX(Firms!$E$5:$E$1004,$T1192)),IF(INDEX('AFA Rates'!$C$5:$C$1004,$T1192)="","",INDEX('AFA Rates'!$C$5:$C$1004,$T1192))))</f>
        <v/>
      </c>
      <c r="E1192" s="88">
        <f>IF($T1192="","",IF($S1192="S",IF(""="","",""),IF(INDEX('AFA Rates'!$D$5:$D$1004,$T1192)="","",INDEX('AFA Rates'!$D$5:$D$1004,$T1192))))</f>
        <v/>
      </c>
      <c r="F1192" s="79">
        <f>IF($T1192="","",IF($S1192="S",IF(INDEX(Firms!$O$5:$O$1004,$T1192)="","",INDEX(Firms!$O$5:$O$1004,$T1192)),IF(INDEX('AFA Rates'!$O$5:$O$1004,$T1192)="","",INDEX('AFA Rates'!$O$5:$O$1004,$T1192))))</f>
        <v/>
      </c>
      <c r="G1192" s="50">
        <f>IF($T1192="","",IF($S1192="S",IF(INDEX(Firms!$F$5:$F$1004,$T1192)="","",INDEX(Firms!$F$5:$F$1004,$T1192)),IF(INDEX('AFA Rates'!$E$5:$E$1004,$T1192)="","",INDEX('AFA Rates'!$E$5:$E$1004,$T1192))))</f>
        <v/>
      </c>
      <c r="H1192" s="50">
        <f>IF($T1192="","",IF($S1192="S",IF(INDEX(Firms!$G$5:$G$1004,$T1192)="","",INDEX(Firms!$G$5:$G$1004,$T1192)),IF(INDEX('AFA Rates'!$F$5:$F$1004,$T1192)="","",INDEX('AFA Rates'!$F$5:$F$1004,$T1192))))</f>
        <v/>
      </c>
      <c r="I1192" s="50">
        <f>IF($T1192="","",IF($S1192="S",IF(INDEX(Firms!$H$5:$H$1004,$T1192)="","",INDEX(Firms!$H$5:$H$1004,$T1192)),IF(INDEX('AFA Rates'!$G$5:$G$1004,$T1192)="","",INDEX('AFA Rates'!$G$5:$G$1004,$T1192))))</f>
        <v/>
      </c>
      <c r="J1192" s="50">
        <f>IF($T1192="","",IF($S1192="S",IF(INDEX(Firms!$I$5:$I$1004,$T1192)="","",INDEX(Firms!$I$5:$I$1004,$T1192)),IF(INDEX('AFA Rates'!$H$5:$H$1004,$T1192)="","",INDEX('AFA Rates'!$H$5:$H$1004,$T1192))))</f>
        <v/>
      </c>
      <c r="K1192" s="50">
        <f>IF($T1192="","",IF($S1192="S",IF(INDEX(Firms!$J$5:$J$1004,$T1192)="","",INDEX(Firms!$J$5:$J$1004,$T1192)),IF(INDEX('AFA Rates'!$I$5:$I$1004,$T1192)="","",INDEX('AFA Rates'!$I$5:$I$1004,$T1192))))</f>
        <v/>
      </c>
      <c r="L1192" s="50">
        <f>IF($T1192="","",IF($S1192="S",IF(INDEX(Firms!$K$5:$K$1004,$T1192)="","",INDEX(Firms!$K$5:$K$1004,$T1192)),IF(INDEX('AFA Rates'!$J$5:$J$1004,$T1192)="","",INDEX('AFA Rates'!$J$5:$J$1004,$T1192))))</f>
        <v/>
      </c>
      <c r="M1192" s="50">
        <f>IF($T1192="","",IF($S1192="S",IF(INDEX(Firms!$L$5:$L$1004,$T1192)="","",INDEX(Firms!$L$5:$L$1004,$T1192)),IF(INDEX('AFA Rates'!$K$5:$K$1004,$T1192)="","",INDEX('AFA Rates'!$K$5:$K$1004,$T1192))))</f>
        <v/>
      </c>
      <c r="N1192" s="50">
        <f>IF($T1192="","",IF($S1192="S",IF(INDEX(Firms!$M$5:$M$1004,$T1192)="","",INDEX(Firms!$M$5:$M$1004,$T1192)),IF(INDEX('AFA Rates'!$L$5:$L$1004,$T1192)="","",INDEX('AFA Rates'!$L$5:$L$1004,$T1192))))</f>
        <v/>
      </c>
      <c r="O1192" s="78">
        <f>IF(OR($T1192="",$U1192=""),"",IF(INDEX(Firms!$C$5:$C$1004,$U1192)="","",INDEX(Firms!$C$5:$C$1004,$U1192)))</f>
        <v/>
      </c>
      <c r="P1192" s="79">
        <f>IF(OR($T1192="",$U1192=""),"",IF(INDEX(Firms!$N$5:$N$1004,$U1192)="","",INDEX(Firms!$N$5:$N$1004,$U1192)))</f>
        <v/>
      </c>
      <c r="Q1192" s="78">
        <f>IF($T1192="","",IF($S1192="S",IF(INDEX(Firms!$T$5:$T$1004,$T1192)="","",INDEX(Firms!$T$5:$T$1004,$T1192)),IF(INDEX('AFA Rates'!$M$5:$M$1004,$T1192)="","",INDEX('AFA Rates'!$M$5:$M$1004,$T1192))))</f>
        <v/>
      </c>
      <c r="S1192">
        <f>IF(1188&lt;=$S$2,"S",IF(1188&lt;=$S$2+$T$2,"A",""))</f>
        <v/>
      </c>
      <c r="T1192">
        <f>IF(S1192="S",MATCH(1188,Firms!$W$5:$W$1004,0),IF(S1192="A",IFERROR(MATCH(1188-$S$2,'AFA Rates'!$R$5:$R$1004,0),""),""))</f>
        <v/>
      </c>
      <c r="U1192">
        <f>IF(S1192="S",T1192,IF(AND(S1192="A",T1192&lt;&gt;""),IFERROR(MATCH(INDEX('AFA Rates'!$A$5:$A$1004,T1192),Firms!$A$5:$A$1004,0),""),""))</f>
        <v/>
      </c>
    </row>
    <row r="1193">
      <c r="A1193" s="78">
        <f>IF($T1193="","",IF($S1193="S",IF(INDEX(Firms!$A$5:$A$1004,$T1193)="","",INDEX(Firms!$A$5:$A$1004,$T1193)),IF(INDEX('AFA Rates'!$A$5:$A$1004,$T1193)="","",INDEX('AFA Rates'!$A$5:$A$1004,$T1193))))</f>
        <v/>
      </c>
      <c r="B1193" s="79">
        <f>IF(OR($T1193="",$U1193=""),IF($T1193="","","Not on Firms tab"),INDEX(Firms!$B$5:$B$1004,$U1193)&amp;"")</f>
        <v/>
      </c>
      <c r="C1193" s="78">
        <f>IF($T1193="","",IF($S1193="S","Standard",INDEX('AFA Rates'!$B$5:$B$1004,$T1193)&amp;""))</f>
        <v/>
      </c>
      <c r="D1193" s="88">
        <f>IF($T1193="","",IF($S1193="S",IF(INDEX(Firms!$E$5:$E$1004,$T1193)="","",INDEX(Firms!$E$5:$E$1004,$T1193)),IF(INDEX('AFA Rates'!$C$5:$C$1004,$T1193)="","",INDEX('AFA Rates'!$C$5:$C$1004,$T1193))))</f>
        <v/>
      </c>
      <c r="E1193" s="88">
        <f>IF($T1193="","",IF($S1193="S",IF(""="","",""),IF(INDEX('AFA Rates'!$D$5:$D$1004,$T1193)="","",INDEX('AFA Rates'!$D$5:$D$1004,$T1193))))</f>
        <v/>
      </c>
      <c r="F1193" s="79">
        <f>IF($T1193="","",IF($S1193="S",IF(INDEX(Firms!$O$5:$O$1004,$T1193)="","",INDEX(Firms!$O$5:$O$1004,$T1193)),IF(INDEX('AFA Rates'!$O$5:$O$1004,$T1193)="","",INDEX('AFA Rates'!$O$5:$O$1004,$T1193))))</f>
        <v/>
      </c>
      <c r="G1193" s="50">
        <f>IF($T1193="","",IF($S1193="S",IF(INDEX(Firms!$F$5:$F$1004,$T1193)="","",INDEX(Firms!$F$5:$F$1004,$T1193)),IF(INDEX('AFA Rates'!$E$5:$E$1004,$T1193)="","",INDEX('AFA Rates'!$E$5:$E$1004,$T1193))))</f>
        <v/>
      </c>
      <c r="H1193" s="50">
        <f>IF($T1193="","",IF($S1193="S",IF(INDEX(Firms!$G$5:$G$1004,$T1193)="","",INDEX(Firms!$G$5:$G$1004,$T1193)),IF(INDEX('AFA Rates'!$F$5:$F$1004,$T1193)="","",INDEX('AFA Rates'!$F$5:$F$1004,$T1193))))</f>
        <v/>
      </c>
      <c r="I1193" s="50">
        <f>IF($T1193="","",IF($S1193="S",IF(INDEX(Firms!$H$5:$H$1004,$T1193)="","",INDEX(Firms!$H$5:$H$1004,$T1193)),IF(INDEX('AFA Rates'!$G$5:$G$1004,$T1193)="","",INDEX('AFA Rates'!$G$5:$G$1004,$T1193))))</f>
        <v/>
      </c>
      <c r="J1193" s="50">
        <f>IF($T1193="","",IF($S1193="S",IF(INDEX(Firms!$I$5:$I$1004,$T1193)="","",INDEX(Firms!$I$5:$I$1004,$T1193)),IF(INDEX('AFA Rates'!$H$5:$H$1004,$T1193)="","",INDEX('AFA Rates'!$H$5:$H$1004,$T1193))))</f>
        <v/>
      </c>
      <c r="K1193" s="50">
        <f>IF($T1193="","",IF($S1193="S",IF(INDEX(Firms!$J$5:$J$1004,$T1193)="","",INDEX(Firms!$J$5:$J$1004,$T1193)),IF(INDEX('AFA Rates'!$I$5:$I$1004,$T1193)="","",INDEX('AFA Rates'!$I$5:$I$1004,$T1193))))</f>
        <v/>
      </c>
      <c r="L1193" s="50">
        <f>IF($T1193="","",IF($S1193="S",IF(INDEX(Firms!$K$5:$K$1004,$T1193)="","",INDEX(Firms!$K$5:$K$1004,$T1193)),IF(INDEX('AFA Rates'!$J$5:$J$1004,$T1193)="","",INDEX('AFA Rates'!$J$5:$J$1004,$T1193))))</f>
        <v/>
      </c>
      <c r="M1193" s="50">
        <f>IF($T1193="","",IF($S1193="S",IF(INDEX(Firms!$L$5:$L$1004,$T1193)="","",INDEX(Firms!$L$5:$L$1004,$T1193)),IF(INDEX('AFA Rates'!$K$5:$K$1004,$T1193)="","",INDEX('AFA Rates'!$K$5:$K$1004,$T1193))))</f>
        <v/>
      </c>
      <c r="N1193" s="50">
        <f>IF($T1193="","",IF($S1193="S",IF(INDEX(Firms!$M$5:$M$1004,$T1193)="","",INDEX(Firms!$M$5:$M$1004,$T1193)),IF(INDEX('AFA Rates'!$L$5:$L$1004,$T1193)="","",INDEX('AFA Rates'!$L$5:$L$1004,$T1193))))</f>
        <v/>
      </c>
      <c r="O1193" s="78">
        <f>IF(OR($T1193="",$U1193=""),"",IF(INDEX(Firms!$C$5:$C$1004,$U1193)="","",INDEX(Firms!$C$5:$C$1004,$U1193)))</f>
        <v/>
      </c>
      <c r="P1193" s="79">
        <f>IF(OR($T1193="",$U1193=""),"",IF(INDEX(Firms!$N$5:$N$1004,$U1193)="","",INDEX(Firms!$N$5:$N$1004,$U1193)))</f>
        <v/>
      </c>
      <c r="Q1193" s="78">
        <f>IF($T1193="","",IF($S1193="S",IF(INDEX(Firms!$T$5:$T$1004,$T1193)="","",INDEX(Firms!$T$5:$T$1004,$T1193)),IF(INDEX('AFA Rates'!$M$5:$M$1004,$T1193)="","",INDEX('AFA Rates'!$M$5:$M$1004,$T1193))))</f>
        <v/>
      </c>
      <c r="S1193">
        <f>IF(1189&lt;=$S$2,"S",IF(1189&lt;=$S$2+$T$2,"A",""))</f>
        <v/>
      </c>
      <c r="T1193">
        <f>IF(S1193="S",MATCH(1189,Firms!$W$5:$W$1004,0),IF(S1193="A",IFERROR(MATCH(1189-$S$2,'AFA Rates'!$R$5:$R$1004,0),""),""))</f>
        <v/>
      </c>
      <c r="U1193">
        <f>IF(S1193="S",T1193,IF(AND(S1193="A",T1193&lt;&gt;""),IFERROR(MATCH(INDEX('AFA Rates'!$A$5:$A$1004,T1193),Firms!$A$5:$A$1004,0),""),""))</f>
        <v/>
      </c>
    </row>
    <row r="1194">
      <c r="A1194" s="78">
        <f>IF($T1194="","",IF($S1194="S",IF(INDEX(Firms!$A$5:$A$1004,$T1194)="","",INDEX(Firms!$A$5:$A$1004,$T1194)),IF(INDEX('AFA Rates'!$A$5:$A$1004,$T1194)="","",INDEX('AFA Rates'!$A$5:$A$1004,$T1194))))</f>
        <v/>
      </c>
      <c r="B1194" s="79">
        <f>IF(OR($T1194="",$U1194=""),IF($T1194="","","Not on Firms tab"),INDEX(Firms!$B$5:$B$1004,$U1194)&amp;"")</f>
        <v/>
      </c>
      <c r="C1194" s="78">
        <f>IF($T1194="","",IF($S1194="S","Standard",INDEX('AFA Rates'!$B$5:$B$1004,$T1194)&amp;""))</f>
        <v/>
      </c>
      <c r="D1194" s="88">
        <f>IF($T1194="","",IF($S1194="S",IF(INDEX(Firms!$E$5:$E$1004,$T1194)="","",INDEX(Firms!$E$5:$E$1004,$T1194)),IF(INDEX('AFA Rates'!$C$5:$C$1004,$T1194)="","",INDEX('AFA Rates'!$C$5:$C$1004,$T1194))))</f>
        <v/>
      </c>
      <c r="E1194" s="88">
        <f>IF($T1194="","",IF($S1194="S",IF(""="","",""),IF(INDEX('AFA Rates'!$D$5:$D$1004,$T1194)="","",INDEX('AFA Rates'!$D$5:$D$1004,$T1194))))</f>
        <v/>
      </c>
      <c r="F1194" s="79">
        <f>IF($T1194="","",IF($S1194="S",IF(INDEX(Firms!$O$5:$O$1004,$T1194)="","",INDEX(Firms!$O$5:$O$1004,$T1194)),IF(INDEX('AFA Rates'!$O$5:$O$1004,$T1194)="","",INDEX('AFA Rates'!$O$5:$O$1004,$T1194))))</f>
        <v/>
      </c>
      <c r="G1194" s="50">
        <f>IF($T1194="","",IF($S1194="S",IF(INDEX(Firms!$F$5:$F$1004,$T1194)="","",INDEX(Firms!$F$5:$F$1004,$T1194)),IF(INDEX('AFA Rates'!$E$5:$E$1004,$T1194)="","",INDEX('AFA Rates'!$E$5:$E$1004,$T1194))))</f>
        <v/>
      </c>
      <c r="H1194" s="50">
        <f>IF($T1194="","",IF($S1194="S",IF(INDEX(Firms!$G$5:$G$1004,$T1194)="","",INDEX(Firms!$G$5:$G$1004,$T1194)),IF(INDEX('AFA Rates'!$F$5:$F$1004,$T1194)="","",INDEX('AFA Rates'!$F$5:$F$1004,$T1194))))</f>
        <v/>
      </c>
      <c r="I1194" s="50">
        <f>IF($T1194="","",IF($S1194="S",IF(INDEX(Firms!$H$5:$H$1004,$T1194)="","",INDEX(Firms!$H$5:$H$1004,$T1194)),IF(INDEX('AFA Rates'!$G$5:$G$1004,$T1194)="","",INDEX('AFA Rates'!$G$5:$G$1004,$T1194))))</f>
        <v/>
      </c>
      <c r="J1194" s="50">
        <f>IF($T1194="","",IF($S1194="S",IF(INDEX(Firms!$I$5:$I$1004,$T1194)="","",INDEX(Firms!$I$5:$I$1004,$T1194)),IF(INDEX('AFA Rates'!$H$5:$H$1004,$T1194)="","",INDEX('AFA Rates'!$H$5:$H$1004,$T1194))))</f>
        <v/>
      </c>
      <c r="K1194" s="50">
        <f>IF($T1194="","",IF($S1194="S",IF(INDEX(Firms!$J$5:$J$1004,$T1194)="","",INDEX(Firms!$J$5:$J$1004,$T1194)),IF(INDEX('AFA Rates'!$I$5:$I$1004,$T1194)="","",INDEX('AFA Rates'!$I$5:$I$1004,$T1194))))</f>
        <v/>
      </c>
      <c r="L1194" s="50">
        <f>IF($T1194="","",IF($S1194="S",IF(INDEX(Firms!$K$5:$K$1004,$T1194)="","",INDEX(Firms!$K$5:$K$1004,$T1194)),IF(INDEX('AFA Rates'!$J$5:$J$1004,$T1194)="","",INDEX('AFA Rates'!$J$5:$J$1004,$T1194))))</f>
        <v/>
      </c>
      <c r="M1194" s="50">
        <f>IF($T1194="","",IF($S1194="S",IF(INDEX(Firms!$L$5:$L$1004,$T1194)="","",INDEX(Firms!$L$5:$L$1004,$T1194)),IF(INDEX('AFA Rates'!$K$5:$K$1004,$T1194)="","",INDEX('AFA Rates'!$K$5:$K$1004,$T1194))))</f>
        <v/>
      </c>
      <c r="N1194" s="50">
        <f>IF($T1194="","",IF($S1194="S",IF(INDEX(Firms!$M$5:$M$1004,$T1194)="","",INDEX(Firms!$M$5:$M$1004,$T1194)),IF(INDEX('AFA Rates'!$L$5:$L$1004,$T1194)="","",INDEX('AFA Rates'!$L$5:$L$1004,$T1194))))</f>
        <v/>
      </c>
      <c r="O1194" s="78">
        <f>IF(OR($T1194="",$U1194=""),"",IF(INDEX(Firms!$C$5:$C$1004,$U1194)="","",INDEX(Firms!$C$5:$C$1004,$U1194)))</f>
        <v/>
      </c>
      <c r="P1194" s="79">
        <f>IF(OR($T1194="",$U1194=""),"",IF(INDEX(Firms!$N$5:$N$1004,$U1194)="","",INDEX(Firms!$N$5:$N$1004,$U1194)))</f>
        <v/>
      </c>
      <c r="Q1194" s="78">
        <f>IF($T1194="","",IF($S1194="S",IF(INDEX(Firms!$T$5:$T$1004,$T1194)="","",INDEX(Firms!$T$5:$T$1004,$T1194)),IF(INDEX('AFA Rates'!$M$5:$M$1004,$T1194)="","",INDEX('AFA Rates'!$M$5:$M$1004,$T1194))))</f>
        <v/>
      </c>
      <c r="S1194">
        <f>IF(1190&lt;=$S$2,"S",IF(1190&lt;=$S$2+$T$2,"A",""))</f>
        <v/>
      </c>
      <c r="T1194">
        <f>IF(S1194="S",MATCH(1190,Firms!$W$5:$W$1004,0),IF(S1194="A",IFERROR(MATCH(1190-$S$2,'AFA Rates'!$R$5:$R$1004,0),""),""))</f>
        <v/>
      </c>
      <c r="U1194">
        <f>IF(S1194="S",T1194,IF(AND(S1194="A",T1194&lt;&gt;""),IFERROR(MATCH(INDEX('AFA Rates'!$A$5:$A$1004,T1194),Firms!$A$5:$A$1004,0),""),""))</f>
        <v/>
      </c>
    </row>
    <row r="1195">
      <c r="A1195" s="78">
        <f>IF($T1195="","",IF($S1195="S",IF(INDEX(Firms!$A$5:$A$1004,$T1195)="","",INDEX(Firms!$A$5:$A$1004,$T1195)),IF(INDEX('AFA Rates'!$A$5:$A$1004,$T1195)="","",INDEX('AFA Rates'!$A$5:$A$1004,$T1195))))</f>
        <v/>
      </c>
      <c r="B1195" s="79">
        <f>IF(OR($T1195="",$U1195=""),IF($T1195="","","Not on Firms tab"),INDEX(Firms!$B$5:$B$1004,$U1195)&amp;"")</f>
        <v/>
      </c>
      <c r="C1195" s="78">
        <f>IF($T1195="","",IF($S1195="S","Standard",INDEX('AFA Rates'!$B$5:$B$1004,$T1195)&amp;""))</f>
        <v/>
      </c>
      <c r="D1195" s="88">
        <f>IF($T1195="","",IF($S1195="S",IF(INDEX(Firms!$E$5:$E$1004,$T1195)="","",INDEX(Firms!$E$5:$E$1004,$T1195)),IF(INDEX('AFA Rates'!$C$5:$C$1004,$T1195)="","",INDEX('AFA Rates'!$C$5:$C$1004,$T1195))))</f>
        <v/>
      </c>
      <c r="E1195" s="88">
        <f>IF($T1195="","",IF($S1195="S",IF(""="","",""),IF(INDEX('AFA Rates'!$D$5:$D$1004,$T1195)="","",INDEX('AFA Rates'!$D$5:$D$1004,$T1195))))</f>
        <v/>
      </c>
      <c r="F1195" s="79">
        <f>IF($T1195="","",IF($S1195="S",IF(INDEX(Firms!$O$5:$O$1004,$T1195)="","",INDEX(Firms!$O$5:$O$1004,$T1195)),IF(INDEX('AFA Rates'!$O$5:$O$1004,$T1195)="","",INDEX('AFA Rates'!$O$5:$O$1004,$T1195))))</f>
        <v/>
      </c>
      <c r="G1195" s="50">
        <f>IF($T1195="","",IF($S1195="S",IF(INDEX(Firms!$F$5:$F$1004,$T1195)="","",INDEX(Firms!$F$5:$F$1004,$T1195)),IF(INDEX('AFA Rates'!$E$5:$E$1004,$T1195)="","",INDEX('AFA Rates'!$E$5:$E$1004,$T1195))))</f>
        <v/>
      </c>
      <c r="H1195" s="50">
        <f>IF($T1195="","",IF($S1195="S",IF(INDEX(Firms!$G$5:$G$1004,$T1195)="","",INDEX(Firms!$G$5:$G$1004,$T1195)),IF(INDEX('AFA Rates'!$F$5:$F$1004,$T1195)="","",INDEX('AFA Rates'!$F$5:$F$1004,$T1195))))</f>
        <v/>
      </c>
      <c r="I1195" s="50">
        <f>IF($T1195="","",IF($S1195="S",IF(INDEX(Firms!$H$5:$H$1004,$T1195)="","",INDEX(Firms!$H$5:$H$1004,$T1195)),IF(INDEX('AFA Rates'!$G$5:$G$1004,$T1195)="","",INDEX('AFA Rates'!$G$5:$G$1004,$T1195))))</f>
        <v/>
      </c>
      <c r="J1195" s="50">
        <f>IF($T1195="","",IF($S1195="S",IF(INDEX(Firms!$I$5:$I$1004,$T1195)="","",INDEX(Firms!$I$5:$I$1004,$T1195)),IF(INDEX('AFA Rates'!$H$5:$H$1004,$T1195)="","",INDEX('AFA Rates'!$H$5:$H$1004,$T1195))))</f>
        <v/>
      </c>
      <c r="K1195" s="50">
        <f>IF($T1195="","",IF($S1195="S",IF(INDEX(Firms!$J$5:$J$1004,$T1195)="","",INDEX(Firms!$J$5:$J$1004,$T1195)),IF(INDEX('AFA Rates'!$I$5:$I$1004,$T1195)="","",INDEX('AFA Rates'!$I$5:$I$1004,$T1195))))</f>
        <v/>
      </c>
      <c r="L1195" s="50">
        <f>IF($T1195="","",IF($S1195="S",IF(INDEX(Firms!$K$5:$K$1004,$T1195)="","",INDEX(Firms!$K$5:$K$1004,$T1195)),IF(INDEX('AFA Rates'!$J$5:$J$1004,$T1195)="","",INDEX('AFA Rates'!$J$5:$J$1004,$T1195))))</f>
        <v/>
      </c>
      <c r="M1195" s="50">
        <f>IF($T1195="","",IF($S1195="S",IF(INDEX(Firms!$L$5:$L$1004,$T1195)="","",INDEX(Firms!$L$5:$L$1004,$T1195)),IF(INDEX('AFA Rates'!$K$5:$K$1004,$T1195)="","",INDEX('AFA Rates'!$K$5:$K$1004,$T1195))))</f>
        <v/>
      </c>
      <c r="N1195" s="50">
        <f>IF($T1195="","",IF($S1195="S",IF(INDEX(Firms!$M$5:$M$1004,$T1195)="","",INDEX(Firms!$M$5:$M$1004,$T1195)),IF(INDEX('AFA Rates'!$L$5:$L$1004,$T1195)="","",INDEX('AFA Rates'!$L$5:$L$1004,$T1195))))</f>
        <v/>
      </c>
      <c r="O1195" s="78">
        <f>IF(OR($T1195="",$U1195=""),"",IF(INDEX(Firms!$C$5:$C$1004,$U1195)="","",INDEX(Firms!$C$5:$C$1004,$U1195)))</f>
        <v/>
      </c>
      <c r="P1195" s="79">
        <f>IF(OR($T1195="",$U1195=""),"",IF(INDEX(Firms!$N$5:$N$1004,$U1195)="","",INDEX(Firms!$N$5:$N$1004,$U1195)))</f>
        <v/>
      </c>
      <c r="Q1195" s="78">
        <f>IF($T1195="","",IF($S1195="S",IF(INDEX(Firms!$T$5:$T$1004,$T1195)="","",INDEX(Firms!$T$5:$T$1004,$T1195)),IF(INDEX('AFA Rates'!$M$5:$M$1004,$T1195)="","",INDEX('AFA Rates'!$M$5:$M$1004,$T1195))))</f>
        <v/>
      </c>
      <c r="S1195">
        <f>IF(1191&lt;=$S$2,"S",IF(1191&lt;=$S$2+$T$2,"A",""))</f>
        <v/>
      </c>
      <c r="T1195">
        <f>IF(S1195="S",MATCH(1191,Firms!$W$5:$W$1004,0),IF(S1195="A",IFERROR(MATCH(1191-$S$2,'AFA Rates'!$R$5:$R$1004,0),""),""))</f>
        <v/>
      </c>
      <c r="U1195">
        <f>IF(S1195="S",T1195,IF(AND(S1195="A",T1195&lt;&gt;""),IFERROR(MATCH(INDEX('AFA Rates'!$A$5:$A$1004,T1195),Firms!$A$5:$A$1004,0),""),""))</f>
        <v/>
      </c>
    </row>
    <row r="1196">
      <c r="A1196" s="78">
        <f>IF($T1196="","",IF($S1196="S",IF(INDEX(Firms!$A$5:$A$1004,$T1196)="","",INDEX(Firms!$A$5:$A$1004,$T1196)),IF(INDEX('AFA Rates'!$A$5:$A$1004,$T1196)="","",INDEX('AFA Rates'!$A$5:$A$1004,$T1196))))</f>
        <v/>
      </c>
      <c r="B1196" s="79">
        <f>IF(OR($T1196="",$U1196=""),IF($T1196="","","Not on Firms tab"),INDEX(Firms!$B$5:$B$1004,$U1196)&amp;"")</f>
        <v/>
      </c>
      <c r="C1196" s="78">
        <f>IF($T1196="","",IF($S1196="S","Standard",INDEX('AFA Rates'!$B$5:$B$1004,$T1196)&amp;""))</f>
        <v/>
      </c>
      <c r="D1196" s="88">
        <f>IF($T1196="","",IF($S1196="S",IF(INDEX(Firms!$E$5:$E$1004,$T1196)="","",INDEX(Firms!$E$5:$E$1004,$T1196)),IF(INDEX('AFA Rates'!$C$5:$C$1004,$T1196)="","",INDEX('AFA Rates'!$C$5:$C$1004,$T1196))))</f>
        <v/>
      </c>
      <c r="E1196" s="88">
        <f>IF($T1196="","",IF($S1196="S",IF(""="","",""),IF(INDEX('AFA Rates'!$D$5:$D$1004,$T1196)="","",INDEX('AFA Rates'!$D$5:$D$1004,$T1196))))</f>
        <v/>
      </c>
      <c r="F1196" s="79">
        <f>IF($T1196="","",IF($S1196="S",IF(INDEX(Firms!$O$5:$O$1004,$T1196)="","",INDEX(Firms!$O$5:$O$1004,$T1196)),IF(INDEX('AFA Rates'!$O$5:$O$1004,$T1196)="","",INDEX('AFA Rates'!$O$5:$O$1004,$T1196))))</f>
        <v/>
      </c>
      <c r="G1196" s="50">
        <f>IF($T1196="","",IF($S1196="S",IF(INDEX(Firms!$F$5:$F$1004,$T1196)="","",INDEX(Firms!$F$5:$F$1004,$T1196)),IF(INDEX('AFA Rates'!$E$5:$E$1004,$T1196)="","",INDEX('AFA Rates'!$E$5:$E$1004,$T1196))))</f>
        <v/>
      </c>
      <c r="H1196" s="50">
        <f>IF($T1196="","",IF($S1196="S",IF(INDEX(Firms!$G$5:$G$1004,$T1196)="","",INDEX(Firms!$G$5:$G$1004,$T1196)),IF(INDEX('AFA Rates'!$F$5:$F$1004,$T1196)="","",INDEX('AFA Rates'!$F$5:$F$1004,$T1196))))</f>
        <v/>
      </c>
      <c r="I1196" s="50">
        <f>IF($T1196="","",IF($S1196="S",IF(INDEX(Firms!$H$5:$H$1004,$T1196)="","",INDEX(Firms!$H$5:$H$1004,$T1196)),IF(INDEX('AFA Rates'!$G$5:$G$1004,$T1196)="","",INDEX('AFA Rates'!$G$5:$G$1004,$T1196))))</f>
        <v/>
      </c>
      <c r="J1196" s="50">
        <f>IF($T1196="","",IF($S1196="S",IF(INDEX(Firms!$I$5:$I$1004,$T1196)="","",INDEX(Firms!$I$5:$I$1004,$T1196)),IF(INDEX('AFA Rates'!$H$5:$H$1004,$T1196)="","",INDEX('AFA Rates'!$H$5:$H$1004,$T1196))))</f>
        <v/>
      </c>
      <c r="K1196" s="50">
        <f>IF($T1196="","",IF($S1196="S",IF(INDEX(Firms!$J$5:$J$1004,$T1196)="","",INDEX(Firms!$J$5:$J$1004,$T1196)),IF(INDEX('AFA Rates'!$I$5:$I$1004,$T1196)="","",INDEX('AFA Rates'!$I$5:$I$1004,$T1196))))</f>
        <v/>
      </c>
      <c r="L1196" s="50">
        <f>IF($T1196="","",IF($S1196="S",IF(INDEX(Firms!$K$5:$K$1004,$T1196)="","",INDEX(Firms!$K$5:$K$1004,$T1196)),IF(INDEX('AFA Rates'!$J$5:$J$1004,$T1196)="","",INDEX('AFA Rates'!$J$5:$J$1004,$T1196))))</f>
        <v/>
      </c>
      <c r="M1196" s="50">
        <f>IF($T1196="","",IF($S1196="S",IF(INDEX(Firms!$L$5:$L$1004,$T1196)="","",INDEX(Firms!$L$5:$L$1004,$T1196)),IF(INDEX('AFA Rates'!$K$5:$K$1004,$T1196)="","",INDEX('AFA Rates'!$K$5:$K$1004,$T1196))))</f>
        <v/>
      </c>
      <c r="N1196" s="50">
        <f>IF($T1196="","",IF($S1196="S",IF(INDEX(Firms!$M$5:$M$1004,$T1196)="","",INDEX(Firms!$M$5:$M$1004,$T1196)),IF(INDEX('AFA Rates'!$L$5:$L$1004,$T1196)="","",INDEX('AFA Rates'!$L$5:$L$1004,$T1196))))</f>
        <v/>
      </c>
      <c r="O1196" s="78">
        <f>IF(OR($T1196="",$U1196=""),"",IF(INDEX(Firms!$C$5:$C$1004,$U1196)="","",INDEX(Firms!$C$5:$C$1004,$U1196)))</f>
        <v/>
      </c>
      <c r="P1196" s="79">
        <f>IF(OR($T1196="",$U1196=""),"",IF(INDEX(Firms!$N$5:$N$1004,$U1196)="","",INDEX(Firms!$N$5:$N$1004,$U1196)))</f>
        <v/>
      </c>
      <c r="Q1196" s="78">
        <f>IF($T1196="","",IF($S1196="S",IF(INDEX(Firms!$T$5:$T$1004,$T1196)="","",INDEX(Firms!$T$5:$T$1004,$T1196)),IF(INDEX('AFA Rates'!$M$5:$M$1004,$T1196)="","",INDEX('AFA Rates'!$M$5:$M$1004,$T1196))))</f>
        <v/>
      </c>
      <c r="S1196">
        <f>IF(1192&lt;=$S$2,"S",IF(1192&lt;=$S$2+$T$2,"A",""))</f>
        <v/>
      </c>
      <c r="T1196">
        <f>IF(S1196="S",MATCH(1192,Firms!$W$5:$W$1004,0),IF(S1196="A",IFERROR(MATCH(1192-$S$2,'AFA Rates'!$R$5:$R$1004,0),""),""))</f>
        <v/>
      </c>
      <c r="U1196">
        <f>IF(S1196="S",T1196,IF(AND(S1196="A",T1196&lt;&gt;""),IFERROR(MATCH(INDEX('AFA Rates'!$A$5:$A$1004,T1196),Firms!$A$5:$A$1004,0),""),""))</f>
        <v/>
      </c>
    </row>
    <row r="1197">
      <c r="A1197" s="78">
        <f>IF($T1197="","",IF($S1197="S",IF(INDEX(Firms!$A$5:$A$1004,$T1197)="","",INDEX(Firms!$A$5:$A$1004,$T1197)),IF(INDEX('AFA Rates'!$A$5:$A$1004,$T1197)="","",INDEX('AFA Rates'!$A$5:$A$1004,$T1197))))</f>
        <v/>
      </c>
      <c r="B1197" s="79">
        <f>IF(OR($T1197="",$U1197=""),IF($T1197="","","Not on Firms tab"),INDEX(Firms!$B$5:$B$1004,$U1197)&amp;"")</f>
        <v/>
      </c>
      <c r="C1197" s="78">
        <f>IF($T1197="","",IF($S1197="S","Standard",INDEX('AFA Rates'!$B$5:$B$1004,$T1197)&amp;""))</f>
        <v/>
      </c>
      <c r="D1197" s="88">
        <f>IF($T1197="","",IF($S1197="S",IF(INDEX(Firms!$E$5:$E$1004,$T1197)="","",INDEX(Firms!$E$5:$E$1004,$T1197)),IF(INDEX('AFA Rates'!$C$5:$C$1004,$T1197)="","",INDEX('AFA Rates'!$C$5:$C$1004,$T1197))))</f>
        <v/>
      </c>
      <c r="E1197" s="88">
        <f>IF($T1197="","",IF($S1197="S",IF(""="","",""),IF(INDEX('AFA Rates'!$D$5:$D$1004,$T1197)="","",INDEX('AFA Rates'!$D$5:$D$1004,$T1197))))</f>
        <v/>
      </c>
      <c r="F1197" s="79">
        <f>IF($T1197="","",IF($S1197="S",IF(INDEX(Firms!$O$5:$O$1004,$T1197)="","",INDEX(Firms!$O$5:$O$1004,$T1197)),IF(INDEX('AFA Rates'!$O$5:$O$1004,$T1197)="","",INDEX('AFA Rates'!$O$5:$O$1004,$T1197))))</f>
        <v/>
      </c>
      <c r="G1197" s="50">
        <f>IF($T1197="","",IF($S1197="S",IF(INDEX(Firms!$F$5:$F$1004,$T1197)="","",INDEX(Firms!$F$5:$F$1004,$T1197)),IF(INDEX('AFA Rates'!$E$5:$E$1004,$T1197)="","",INDEX('AFA Rates'!$E$5:$E$1004,$T1197))))</f>
        <v/>
      </c>
      <c r="H1197" s="50">
        <f>IF($T1197="","",IF($S1197="S",IF(INDEX(Firms!$G$5:$G$1004,$T1197)="","",INDEX(Firms!$G$5:$G$1004,$T1197)),IF(INDEX('AFA Rates'!$F$5:$F$1004,$T1197)="","",INDEX('AFA Rates'!$F$5:$F$1004,$T1197))))</f>
        <v/>
      </c>
      <c r="I1197" s="50">
        <f>IF($T1197="","",IF($S1197="S",IF(INDEX(Firms!$H$5:$H$1004,$T1197)="","",INDEX(Firms!$H$5:$H$1004,$T1197)),IF(INDEX('AFA Rates'!$G$5:$G$1004,$T1197)="","",INDEX('AFA Rates'!$G$5:$G$1004,$T1197))))</f>
        <v/>
      </c>
      <c r="J1197" s="50">
        <f>IF($T1197="","",IF($S1197="S",IF(INDEX(Firms!$I$5:$I$1004,$T1197)="","",INDEX(Firms!$I$5:$I$1004,$T1197)),IF(INDEX('AFA Rates'!$H$5:$H$1004,$T1197)="","",INDEX('AFA Rates'!$H$5:$H$1004,$T1197))))</f>
        <v/>
      </c>
      <c r="K1197" s="50">
        <f>IF($T1197="","",IF($S1197="S",IF(INDEX(Firms!$J$5:$J$1004,$T1197)="","",INDEX(Firms!$J$5:$J$1004,$T1197)),IF(INDEX('AFA Rates'!$I$5:$I$1004,$T1197)="","",INDEX('AFA Rates'!$I$5:$I$1004,$T1197))))</f>
        <v/>
      </c>
      <c r="L1197" s="50">
        <f>IF($T1197="","",IF($S1197="S",IF(INDEX(Firms!$K$5:$K$1004,$T1197)="","",INDEX(Firms!$K$5:$K$1004,$T1197)),IF(INDEX('AFA Rates'!$J$5:$J$1004,$T1197)="","",INDEX('AFA Rates'!$J$5:$J$1004,$T1197))))</f>
        <v/>
      </c>
      <c r="M1197" s="50">
        <f>IF($T1197="","",IF($S1197="S",IF(INDEX(Firms!$L$5:$L$1004,$T1197)="","",INDEX(Firms!$L$5:$L$1004,$T1197)),IF(INDEX('AFA Rates'!$K$5:$K$1004,$T1197)="","",INDEX('AFA Rates'!$K$5:$K$1004,$T1197))))</f>
        <v/>
      </c>
      <c r="N1197" s="50">
        <f>IF($T1197="","",IF($S1197="S",IF(INDEX(Firms!$M$5:$M$1004,$T1197)="","",INDEX(Firms!$M$5:$M$1004,$T1197)),IF(INDEX('AFA Rates'!$L$5:$L$1004,$T1197)="","",INDEX('AFA Rates'!$L$5:$L$1004,$T1197))))</f>
        <v/>
      </c>
      <c r="O1197" s="78">
        <f>IF(OR($T1197="",$U1197=""),"",IF(INDEX(Firms!$C$5:$C$1004,$U1197)="","",INDEX(Firms!$C$5:$C$1004,$U1197)))</f>
        <v/>
      </c>
      <c r="P1197" s="79">
        <f>IF(OR($T1197="",$U1197=""),"",IF(INDEX(Firms!$N$5:$N$1004,$U1197)="","",INDEX(Firms!$N$5:$N$1004,$U1197)))</f>
        <v/>
      </c>
      <c r="Q1197" s="78">
        <f>IF($T1197="","",IF($S1197="S",IF(INDEX(Firms!$T$5:$T$1004,$T1197)="","",INDEX(Firms!$T$5:$T$1004,$T1197)),IF(INDEX('AFA Rates'!$M$5:$M$1004,$T1197)="","",INDEX('AFA Rates'!$M$5:$M$1004,$T1197))))</f>
        <v/>
      </c>
      <c r="S1197">
        <f>IF(1193&lt;=$S$2,"S",IF(1193&lt;=$S$2+$T$2,"A",""))</f>
        <v/>
      </c>
      <c r="T1197">
        <f>IF(S1197="S",MATCH(1193,Firms!$W$5:$W$1004,0),IF(S1197="A",IFERROR(MATCH(1193-$S$2,'AFA Rates'!$R$5:$R$1004,0),""),""))</f>
        <v/>
      </c>
      <c r="U1197">
        <f>IF(S1197="S",T1197,IF(AND(S1197="A",T1197&lt;&gt;""),IFERROR(MATCH(INDEX('AFA Rates'!$A$5:$A$1004,T1197),Firms!$A$5:$A$1004,0),""),""))</f>
        <v/>
      </c>
    </row>
    <row r="1198">
      <c r="A1198" s="78">
        <f>IF($T1198="","",IF($S1198="S",IF(INDEX(Firms!$A$5:$A$1004,$T1198)="","",INDEX(Firms!$A$5:$A$1004,$T1198)),IF(INDEX('AFA Rates'!$A$5:$A$1004,$T1198)="","",INDEX('AFA Rates'!$A$5:$A$1004,$T1198))))</f>
        <v/>
      </c>
      <c r="B1198" s="79">
        <f>IF(OR($T1198="",$U1198=""),IF($T1198="","","Not on Firms tab"),INDEX(Firms!$B$5:$B$1004,$U1198)&amp;"")</f>
        <v/>
      </c>
      <c r="C1198" s="78">
        <f>IF($T1198="","",IF($S1198="S","Standard",INDEX('AFA Rates'!$B$5:$B$1004,$T1198)&amp;""))</f>
        <v/>
      </c>
      <c r="D1198" s="88">
        <f>IF($T1198="","",IF($S1198="S",IF(INDEX(Firms!$E$5:$E$1004,$T1198)="","",INDEX(Firms!$E$5:$E$1004,$T1198)),IF(INDEX('AFA Rates'!$C$5:$C$1004,$T1198)="","",INDEX('AFA Rates'!$C$5:$C$1004,$T1198))))</f>
        <v/>
      </c>
      <c r="E1198" s="88">
        <f>IF($T1198="","",IF($S1198="S",IF(""="","",""),IF(INDEX('AFA Rates'!$D$5:$D$1004,$T1198)="","",INDEX('AFA Rates'!$D$5:$D$1004,$T1198))))</f>
        <v/>
      </c>
      <c r="F1198" s="79">
        <f>IF($T1198="","",IF($S1198="S",IF(INDEX(Firms!$O$5:$O$1004,$T1198)="","",INDEX(Firms!$O$5:$O$1004,$T1198)),IF(INDEX('AFA Rates'!$O$5:$O$1004,$T1198)="","",INDEX('AFA Rates'!$O$5:$O$1004,$T1198))))</f>
        <v/>
      </c>
      <c r="G1198" s="50">
        <f>IF($T1198="","",IF($S1198="S",IF(INDEX(Firms!$F$5:$F$1004,$T1198)="","",INDEX(Firms!$F$5:$F$1004,$T1198)),IF(INDEX('AFA Rates'!$E$5:$E$1004,$T1198)="","",INDEX('AFA Rates'!$E$5:$E$1004,$T1198))))</f>
        <v/>
      </c>
      <c r="H1198" s="50">
        <f>IF($T1198="","",IF($S1198="S",IF(INDEX(Firms!$G$5:$G$1004,$T1198)="","",INDEX(Firms!$G$5:$G$1004,$T1198)),IF(INDEX('AFA Rates'!$F$5:$F$1004,$T1198)="","",INDEX('AFA Rates'!$F$5:$F$1004,$T1198))))</f>
        <v/>
      </c>
      <c r="I1198" s="50">
        <f>IF($T1198="","",IF($S1198="S",IF(INDEX(Firms!$H$5:$H$1004,$T1198)="","",INDEX(Firms!$H$5:$H$1004,$T1198)),IF(INDEX('AFA Rates'!$G$5:$G$1004,$T1198)="","",INDEX('AFA Rates'!$G$5:$G$1004,$T1198))))</f>
        <v/>
      </c>
      <c r="J1198" s="50">
        <f>IF($T1198="","",IF($S1198="S",IF(INDEX(Firms!$I$5:$I$1004,$T1198)="","",INDEX(Firms!$I$5:$I$1004,$T1198)),IF(INDEX('AFA Rates'!$H$5:$H$1004,$T1198)="","",INDEX('AFA Rates'!$H$5:$H$1004,$T1198))))</f>
        <v/>
      </c>
      <c r="K1198" s="50">
        <f>IF($T1198="","",IF($S1198="S",IF(INDEX(Firms!$J$5:$J$1004,$T1198)="","",INDEX(Firms!$J$5:$J$1004,$T1198)),IF(INDEX('AFA Rates'!$I$5:$I$1004,$T1198)="","",INDEX('AFA Rates'!$I$5:$I$1004,$T1198))))</f>
        <v/>
      </c>
      <c r="L1198" s="50">
        <f>IF($T1198="","",IF($S1198="S",IF(INDEX(Firms!$K$5:$K$1004,$T1198)="","",INDEX(Firms!$K$5:$K$1004,$T1198)),IF(INDEX('AFA Rates'!$J$5:$J$1004,$T1198)="","",INDEX('AFA Rates'!$J$5:$J$1004,$T1198))))</f>
        <v/>
      </c>
      <c r="M1198" s="50">
        <f>IF($T1198="","",IF($S1198="S",IF(INDEX(Firms!$L$5:$L$1004,$T1198)="","",INDEX(Firms!$L$5:$L$1004,$T1198)),IF(INDEX('AFA Rates'!$K$5:$K$1004,$T1198)="","",INDEX('AFA Rates'!$K$5:$K$1004,$T1198))))</f>
        <v/>
      </c>
      <c r="N1198" s="50">
        <f>IF($T1198="","",IF($S1198="S",IF(INDEX(Firms!$M$5:$M$1004,$T1198)="","",INDEX(Firms!$M$5:$M$1004,$T1198)),IF(INDEX('AFA Rates'!$L$5:$L$1004,$T1198)="","",INDEX('AFA Rates'!$L$5:$L$1004,$T1198))))</f>
        <v/>
      </c>
      <c r="O1198" s="78">
        <f>IF(OR($T1198="",$U1198=""),"",IF(INDEX(Firms!$C$5:$C$1004,$U1198)="","",INDEX(Firms!$C$5:$C$1004,$U1198)))</f>
        <v/>
      </c>
      <c r="P1198" s="79">
        <f>IF(OR($T1198="",$U1198=""),"",IF(INDEX(Firms!$N$5:$N$1004,$U1198)="","",INDEX(Firms!$N$5:$N$1004,$U1198)))</f>
        <v/>
      </c>
      <c r="Q1198" s="78">
        <f>IF($T1198="","",IF($S1198="S",IF(INDEX(Firms!$T$5:$T$1004,$T1198)="","",INDEX(Firms!$T$5:$T$1004,$T1198)),IF(INDEX('AFA Rates'!$M$5:$M$1004,$T1198)="","",INDEX('AFA Rates'!$M$5:$M$1004,$T1198))))</f>
        <v/>
      </c>
      <c r="S1198">
        <f>IF(1194&lt;=$S$2,"S",IF(1194&lt;=$S$2+$T$2,"A",""))</f>
        <v/>
      </c>
      <c r="T1198">
        <f>IF(S1198="S",MATCH(1194,Firms!$W$5:$W$1004,0),IF(S1198="A",IFERROR(MATCH(1194-$S$2,'AFA Rates'!$R$5:$R$1004,0),""),""))</f>
        <v/>
      </c>
      <c r="U1198">
        <f>IF(S1198="S",T1198,IF(AND(S1198="A",T1198&lt;&gt;""),IFERROR(MATCH(INDEX('AFA Rates'!$A$5:$A$1004,T1198),Firms!$A$5:$A$1004,0),""),""))</f>
        <v/>
      </c>
    </row>
    <row r="1199">
      <c r="A1199" s="78">
        <f>IF($T1199="","",IF($S1199="S",IF(INDEX(Firms!$A$5:$A$1004,$T1199)="","",INDEX(Firms!$A$5:$A$1004,$T1199)),IF(INDEX('AFA Rates'!$A$5:$A$1004,$T1199)="","",INDEX('AFA Rates'!$A$5:$A$1004,$T1199))))</f>
        <v/>
      </c>
      <c r="B1199" s="79">
        <f>IF(OR($T1199="",$U1199=""),IF($T1199="","","Not on Firms tab"),INDEX(Firms!$B$5:$B$1004,$U1199)&amp;"")</f>
        <v/>
      </c>
      <c r="C1199" s="78">
        <f>IF($T1199="","",IF($S1199="S","Standard",INDEX('AFA Rates'!$B$5:$B$1004,$T1199)&amp;""))</f>
        <v/>
      </c>
      <c r="D1199" s="88">
        <f>IF($T1199="","",IF($S1199="S",IF(INDEX(Firms!$E$5:$E$1004,$T1199)="","",INDEX(Firms!$E$5:$E$1004,$T1199)),IF(INDEX('AFA Rates'!$C$5:$C$1004,$T1199)="","",INDEX('AFA Rates'!$C$5:$C$1004,$T1199))))</f>
        <v/>
      </c>
      <c r="E1199" s="88">
        <f>IF($T1199="","",IF($S1199="S",IF(""="","",""),IF(INDEX('AFA Rates'!$D$5:$D$1004,$T1199)="","",INDEX('AFA Rates'!$D$5:$D$1004,$T1199))))</f>
        <v/>
      </c>
      <c r="F1199" s="79">
        <f>IF($T1199="","",IF($S1199="S",IF(INDEX(Firms!$O$5:$O$1004,$T1199)="","",INDEX(Firms!$O$5:$O$1004,$T1199)),IF(INDEX('AFA Rates'!$O$5:$O$1004,$T1199)="","",INDEX('AFA Rates'!$O$5:$O$1004,$T1199))))</f>
        <v/>
      </c>
      <c r="G1199" s="50">
        <f>IF($T1199="","",IF($S1199="S",IF(INDEX(Firms!$F$5:$F$1004,$T1199)="","",INDEX(Firms!$F$5:$F$1004,$T1199)),IF(INDEX('AFA Rates'!$E$5:$E$1004,$T1199)="","",INDEX('AFA Rates'!$E$5:$E$1004,$T1199))))</f>
        <v/>
      </c>
      <c r="H1199" s="50">
        <f>IF($T1199="","",IF($S1199="S",IF(INDEX(Firms!$G$5:$G$1004,$T1199)="","",INDEX(Firms!$G$5:$G$1004,$T1199)),IF(INDEX('AFA Rates'!$F$5:$F$1004,$T1199)="","",INDEX('AFA Rates'!$F$5:$F$1004,$T1199))))</f>
        <v/>
      </c>
      <c r="I1199" s="50">
        <f>IF($T1199="","",IF($S1199="S",IF(INDEX(Firms!$H$5:$H$1004,$T1199)="","",INDEX(Firms!$H$5:$H$1004,$T1199)),IF(INDEX('AFA Rates'!$G$5:$G$1004,$T1199)="","",INDEX('AFA Rates'!$G$5:$G$1004,$T1199))))</f>
        <v/>
      </c>
      <c r="J1199" s="50">
        <f>IF($T1199="","",IF($S1199="S",IF(INDEX(Firms!$I$5:$I$1004,$T1199)="","",INDEX(Firms!$I$5:$I$1004,$T1199)),IF(INDEX('AFA Rates'!$H$5:$H$1004,$T1199)="","",INDEX('AFA Rates'!$H$5:$H$1004,$T1199))))</f>
        <v/>
      </c>
      <c r="K1199" s="50">
        <f>IF($T1199="","",IF($S1199="S",IF(INDEX(Firms!$J$5:$J$1004,$T1199)="","",INDEX(Firms!$J$5:$J$1004,$T1199)),IF(INDEX('AFA Rates'!$I$5:$I$1004,$T1199)="","",INDEX('AFA Rates'!$I$5:$I$1004,$T1199))))</f>
        <v/>
      </c>
      <c r="L1199" s="50">
        <f>IF($T1199="","",IF($S1199="S",IF(INDEX(Firms!$K$5:$K$1004,$T1199)="","",INDEX(Firms!$K$5:$K$1004,$T1199)),IF(INDEX('AFA Rates'!$J$5:$J$1004,$T1199)="","",INDEX('AFA Rates'!$J$5:$J$1004,$T1199))))</f>
        <v/>
      </c>
      <c r="M1199" s="50">
        <f>IF($T1199="","",IF($S1199="S",IF(INDEX(Firms!$L$5:$L$1004,$T1199)="","",INDEX(Firms!$L$5:$L$1004,$T1199)),IF(INDEX('AFA Rates'!$K$5:$K$1004,$T1199)="","",INDEX('AFA Rates'!$K$5:$K$1004,$T1199))))</f>
        <v/>
      </c>
      <c r="N1199" s="50">
        <f>IF($T1199="","",IF($S1199="S",IF(INDEX(Firms!$M$5:$M$1004,$T1199)="","",INDEX(Firms!$M$5:$M$1004,$T1199)),IF(INDEX('AFA Rates'!$L$5:$L$1004,$T1199)="","",INDEX('AFA Rates'!$L$5:$L$1004,$T1199))))</f>
        <v/>
      </c>
      <c r="O1199" s="78">
        <f>IF(OR($T1199="",$U1199=""),"",IF(INDEX(Firms!$C$5:$C$1004,$U1199)="","",INDEX(Firms!$C$5:$C$1004,$U1199)))</f>
        <v/>
      </c>
      <c r="P1199" s="79">
        <f>IF(OR($T1199="",$U1199=""),"",IF(INDEX(Firms!$N$5:$N$1004,$U1199)="","",INDEX(Firms!$N$5:$N$1004,$U1199)))</f>
        <v/>
      </c>
      <c r="Q1199" s="78">
        <f>IF($T1199="","",IF($S1199="S",IF(INDEX(Firms!$T$5:$T$1004,$T1199)="","",INDEX(Firms!$T$5:$T$1004,$T1199)),IF(INDEX('AFA Rates'!$M$5:$M$1004,$T1199)="","",INDEX('AFA Rates'!$M$5:$M$1004,$T1199))))</f>
        <v/>
      </c>
      <c r="S1199">
        <f>IF(1195&lt;=$S$2,"S",IF(1195&lt;=$S$2+$T$2,"A",""))</f>
        <v/>
      </c>
      <c r="T1199">
        <f>IF(S1199="S",MATCH(1195,Firms!$W$5:$W$1004,0),IF(S1199="A",IFERROR(MATCH(1195-$S$2,'AFA Rates'!$R$5:$R$1004,0),""),""))</f>
        <v/>
      </c>
      <c r="U1199">
        <f>IF(S1199="S",T1199,IF(AND(S1199="A",T1199&lt;&gt;""),IFERROR(MATCH(INDEX('AFA Rates'!$A$5:$A$1004,T1199),Firms!$A$5:$A$1004,0),""),""))</f>
        <v/>
      </c>
    </row>
    <row r="1200">
      <c r="A1200" s="78">
        <f>IF($T1200="","",IF($S1200="S",IF(INDEX(Firms!$A$5:$A$1004,$T1200)="","",INDEX(Firms!$A$5:$A$1004,$T1200)),IF(INDEX('AFA Rates'!$A$5:$A$1004,$T1200)="","",INDEX('AFA Rates'!$A$5:$A$1004,$T1200))))</f>
        <v/>
      </c>
      <c r="B1200" s="79">
        <f>IF(OR($T1200="",$U1200=""),IF($T1200="","","Not on Firms tab"),INDEX(Firms!$B$5:$B$1004,$U1200)&amp;"")</f>
        <v/>
      </c>
      <c r="C1200" s="78">
        <f>IF($T1200="","",IF($S1200="S","Standard",INDEX('AFA Rates'!$B$5:$B$1004,$T1200)&amp;""))</f>
        <v/>
      </c>
      <c r="D1200" s="88">
        <f>IF($T1200="","",IF($S1200="S",IF(INDEX(Firms!$E$5:$E$1004,$T1200)="","",INDEX(Firms!$E$5:$E$1004,$T1200)),IF(INDEX('AFA Rates'!$C$5:$C$1004,$T1200)="","",INDEX('AFA Rates'!$C$5:$C$1004,$T1200))))</f>
        <v/>
      </c>
      <c r="E1200" s="88">
        <f>IF($T1200="","",IF($S1200="S",IF(""="","",""),IF(INDEX('AFA Rates'!$D$5:$D$1004,$T1200)="","",INDEX('AFA Rates'!$D$5:$D$1004,$T1200))))</f>
        <v/>
      </c>
      <c r="F1200" s="79">
        <f>IF($T1200="","",IF($S1200="S",IF(INDEX(Firms!$O$5:$O$1004,$T1200)="","",INDEX(Firms!$O$5:$O$1004,$T1200)),IF(INDEX('AFA Rates'!$O$5:$O$1004,$T1200)="","",INDEX('AFA Rates'!$O$5:$O$1004,$T1200))))</f>
        <v/>
      </c>
      <c r="G1200" s="50">
        <f>IF($T1200="","",IF($S1200="S",IF(INDEX(Firms!$F$5:$F$1004,$T1200)="","",INDEX(Firms!$F$5:$F$1004,$T1200)),IF(INDEX('AFA Rates'!$E$5:$E$1004,$T1200)="","",INDEX('AFA Rates'!$E$5:$E$1004,$T1200))))</f>
        <v/>
      </c>
      <c r="H1200" s="50">
        <f>IF($T1200="","",IF($S1200="S",IF(INDEX(Firms!$G$5:$G$1004,$T1200)="","",INDEX(Firms!$G$5:$G$1004,$T1200)),IF(INDEX('AFA Rates'!$F$5:$F$1004,$T1200)="","",INDEX('AFA Rates'!$F$5:$F$1004,$T1200))))</f>
        <v/>
      </c>
      <c r="I1200" s="50">
        <f>IF($T1200="","",IF($S1200="S",IF(INDEX(Firms!$H$5:$H$1004,$T1200)="","",INDEX(Firms!$H$5:$H$1004,$T1200)),IF(INDEX('AFA Rates'!$G$5:$G$1004,$T1200)="","",INDEX('AFA Rates'!$G$5:$G$1004,$T1200))))</f>
        <v/>
      </c>
      <c r="J1200" s="50">
        <f>IF($T1200="","",IF($S1200="S",IF(INDEX(Firms!$I$5:$I$1004,$T1200)="","",INDEX(Firms!$I$5:$I$1004,$T1200)),IF(INDEX('AFA Rates'!$H$5:$H$1004,$T1200)="","",INDEX('AFA Rates'!$H$5:$H$1004,$T1200))))</f>
        <v/>
      </c>
      <c r="K1200" s="50">
        <f>IF($T1200="","",IF($S1200="S",IF(INDEX(Firms!$J$5:$J$1004,$T1200)="","",INDEX(Firms!$J$5:$J$1004,$T1200)),IF(INDEX('AFA Rates'!$I$5:$I$1004,$T1200)="","",INDEX('AFA Rates'!$I$5:$I$1004,$T1200))))</f>
        <v/>
      </c>
      <c r="L1200" s="50">
        <f>IF($T1200="","",IF($S1200="S",IF(INDEX(Firms!$K$5:$K$1004,$T1200)="","",INDEX(Firms!$K$5:$K$1004,$T1200)),IF(INDEX('AFA Rates'!$J$5:$J$1004,$T1200)="","",INDEX('AFA Rates'!$J$5:$J$1004,$T1200))))</f>
        <v/>
      </c>
      <c r="M1200" s="50">
        <f>IF($T1200="","",IF($S1200="S",IF(INDEX(Firms!$L$5:$L$1004,$T1200)="","",INDEX(Firms!$L$5:$L$1004,$T1200)),IF(INDEX('AFA Rates'!$K$5:$K$1004,$T1200)="","",INDEX('AFA Rates'!$K$5:$K$1004,$T1200))))</f>
        <v/>
      </c>
      <c r="N1200" s="50">
        <f>IF($T1200="","",IF($S1200="S",IF(INDEX(Firms!$M$5:$M$1004,$T1200)="","",INDEX(Firms!$M$5:$M$1004,$T1200)),IF(INDEX('AFA Rates'!$L$5:$L$1004,$T1200)="","",INDEX('AFA Rates'!$L$5:$L$1004,$T1200))))</f>
        <v/>
      </c>
      <c r="O1200" s="78">
        <f>IF(OR($T1200="",$U1200=""),"",IF(INDEX(Firms!$C$5:$C$1004,$U1200)="","",INDEX(Firms!$C$5:$C$1004,$U1200)))</f>
        <v/>
      </c>
      <c r="P1200" s="79">
        <f>IF(OR($T1200="",$U1200=""),"",IF(INDEX(Firms!$N$5:$N$1004,$U1200)="","",INDEX(Firms!$N$5:$N$1004,$U1200)))</f>
        <v/>
      </c>
      <c r="Q1200" s="78">
        <f>IF($T1200="","",IF($S1200="S",IF(INDEX(Firms!$T$5:$T$1004,$T1200)="","",INDEX(Firms!$T$5:$T$1004,$T1200)),IF(INDEX('AFA Rates'!$M$5:$M$1004,$T1200)="","",INDEX('AFA Rates'!$M$5:$M$1004,$T1200))))</f>
        <v/>
      </c>
      <c r="S1200">
        <f>IF(1196&lt;=$S$2,"S",IF(1196&lt;=$S$2+$T$2,"A",""))</f>
        <v/>
      </c>
      <c r="T1200">
        <f>IF(S1200="S",MATCH(1196,Firms!$W$5:$W$1004,0),IF(S1200="A",IFERROR(MATCH(1196-$S$2,'AFA Rates'!$R$5:$R$1004,0),""),""))</f>
        <v/>
      </c>
      <c r="U1200">
        <f>IF(S1200="S",T1200,IF(AND(S1200="A",T1200&lt;&gt;""),IFERROR(MATCH(INDEX('AFA Rates'!$A$5:$A$1004,T1200),Firms!$A$5:$A$1004,0),""),""))</f>
        <v/>
      </c>
    </row>
    <row r="1201">
      <c r="A1201" s="78">
        <f>IF($T1201="","",IF($S1201="S",IF(INDEX(Firms!$A$5:$A$1004,$T1201)="","",INDEX(Firms!$A$5:$A$1004,$T1201)),IF(INDEX('AFA Rates'!$A$5:$A$1004,$T1201)="","",INDEX('AFA Rates'!$A$5:$A$1004,$T1201))))</f>
        <v/>
      </c>
      <c r="B1201" s="79">
        <f>IF(OR($T1201="",$U1201=""),IF($T1201="","","Not on Firms tab"),INDEX(Firms!$B$5:$B$1004,$U1201)&amp;"")</f>
        <v/>
      </c>
      <c r="C1201" s="78">
        <f>IF($T1201="","",IF($S1201="S","Standard",INDEX('AFA Rates'!$B$5:$B$1004,$T1201)&amp;""))</f>
        <v/>
      </c>
      <c r="D1201" s="88">
        <f>IF($T1201="","",IF($S1201="S",IF(INDEX(Firms!$E$5:$E$1004,$T1201)="","",INDEX(Firms!$E$5:$E$1004,$T1201)),IF(INDEX('AFA Rates'!$C$5:$C$1004,$T1201)="","",INDEX('AFA Rates'!$C$5:$C$1004,$T1201))))</f>
        <v/>
      </c>
      <c r="E1201" s="88">
        <f>IF($T1201="","",IF($S1201="S",IF(""="","",""),IF(INDEX('AFA Rates'!$D$5:$D$1004,$T1201)="","",INDEX('AFA Rates'!$D$5:$D$1004,$T1201))))</f>
        <v/>
      </c>
      <c r="F1201" s="79">
        <f>IF($T1201="","",IF($S1201="S",IF(INDEX(Firms!$O$5:$O$1004,$T1201)="","",INDEX(Firms!$O$5:$O$1004,$T1201)),IF(INDEX('AFA Rates'!$O$5:$O$1004,$T1201)="","",INDEX('AFA Rates'!$O$5:$O$1004,$T1201))))</f>
        <v/>
      </c>
      <c r="G1201" s="50">
        <f>IF($T1201="","",IF($S1201="S",IF(INDEX(Firms!$F$5:$F$1004,$T1201)="","",INDEX(Firms!$F$5:$F$1004,$T1201)),IF(INDEX('AFA Rates'!$E$5:$E$1004,$T1201)="","",INDEX('AFA Rates'!$E$5:$E$1004,$T1201))))</f>
        <v/>
      </c>
      <c r="H1201" s="50">
        <f>IF($T1201="","",IF($S1201="S",IF(INDEX(Firms!$G$5:$G$1004,$T1201)="","",INDEX(Firms!$G$5:$G$1004,$T1201)),IF(INDEX('AFA Rates'!$F$5:$F$1004,$T1201)="","",INDEX('AFA Rates'!$F$5:$F$1004,$T1201))))</f>
        <v/>
      </c>
      <c r="I1201" s="50">
        <f>IF($T1201="","",IF($S1201="S",IF(INDEX(Firms!$H$5:$H$1004,$T1201)="","",INDEX(Firms!$H$5:$H$1004,$T1201)),IF(INDEX('AFA Rates'!$G$5:$G$1004,$T1201)="","",INDEX('AFA Rates'!$G$5:$G$1004,$T1201))))</f>
        <v/>
      </c>
      <c r="J1201" s="50">
        <f>IF($T1201="","",IF($S1201="S",IF(INDEX(Firms!$I$5:$I$1004,$T1201)="","",INDEX(Firms!$I$5:$I$1004,$T1201)),IF(INDEX('AFA Rates'!$H$5:$H$1004,$T1201)="","",INDEX('AFA Rates'!$H$5:$H$1004,$T1201))))</f>
        <v/>
      </c>
      <c r="K1201" s="50">
        <f>IF($T1201="","",IF($S1201="S",IF(INDEX(Firms!$J$5:$J$1004,$T1201)="","",INDEX(Firms!$J$5:$J$1004,$T1201)),IF(INDEX('AFA Rates'!$I$5:$I$1004,$T1201)="","",INDEX('AFA Rates'!$I$5:$I$1004,$T1201))))</f>
        <v/>
      </c>
      <c r="L1201" s="50">
        <f>IF($T1201="","",IF($S1201="S",IF(INDEX(Firms!$K$5:$K$1004,$T1201)="","",INDEX(Firms!$K$5:$K$1004,$T1201)),IF(INDEX('AFA Rates'!$J$5:$J$1004,$T1201)="","",INDEX('AFA Rates'!$J$5:$J$1004,$T1201))))</f>
        <v/>
      </c>
      <c r="M1201" s="50">
        <f>IF($T1201="","",IF($S1201="S",IF(INDEX(Firms!$L$5:$L$1004,$T1201)="","",INDEX(Firms!$L$5:$L$1004,$T1201)),IF(INDEX('AFA Rates'!$K$5:$K$1004,$T1201)="","",INDEX('AFA Rates'!$K$5:$K$1004,$T1201))))</f>
        <v/>
      </c>
      <c r="N1201" s="50">
        <f>IF($T1201="","",IF($S1201="S",IF(INDEX(Firms!$M$5:$M$1004,$T1201)="","",INDEX(Firms!$M$5:$M$1004,$T1201)),IF(INDEX('AFA Rates'!$L$5:$L$1004,$T1201)="","",INDEX('AFA Rates'!$L$5:$L$1004,$T1201))))</f>
        <v/>
      </c>
      <c r="O1201" s="78">
        <f>IF(OR($T1201="",$U1201=""),"",IF(INDEX(Firms!$C$5:$C$1004,$U1201)="","",INDEX(Firms!$C$5:$C$1004,$U1201)))</f>
        <v/>
      </c>
      <c r="P1201" s="79">
        <f>IF(OR($T1201="",$U1201=""),"",IF(INDEX(Firms!$N$5:$N$1004,$U1201)="","",INDEX(Firms!$N$5:$N$1004,$U1201)))</f>
        <v/>
      </c>
      <c r="Q1201" s="78">
        <f>IF($T1201="","",IF($S1201="S",IF(INDEX(Firms!$T$5:$T$1004,$T1201)="","",INDEX(Firms!$T$5:$T$1004,$T1201)),IF(INDEX('AFA Rates'!$M$5:$M$1004,$T1201)="","",INDEX('AFA Rates'!$M$5:$M$1004,$T1201))))</f>
        <v/>
      </c>
      <c r="S1201">
        <f>IF(1197&lt;=$S$2,"S",IF(1197&lt;=$S$2+$T$2,"A",""))</f>
        <v/>
      </c>
      <c r="T1201">
        <f>IF(S1201="S",MATCH(1197,Firms!$W$5:$W$1004,0),IF(S1201="A",IFERROR(MATCH(1197-$S$2,'AFA Rates'!$R$5:$R$1004,0),""),""))</f>
        <v/>
      </c>
      <c r="U1201">
        <f>IF(S1201="S",T1201,IF(AND(S1201="A",T1201&lt;&gt;""),IFERROR(MATCH(INDEX('AFA Rates'!$A$5:$A$1004,T1201),Firms!$A$5:$A$1004,0),""),""))</f>
        <v/>
      </c>
    </row>
    <row r="1202">
      <c r="A1202" s="78">
        <f>IF($T1202="","",IF($S1202="S",IF(INDEX(Firms!$A$5:$A$1004,$T1202)="","",INDEX(Firms!$A$5:$A$1004,$T1202)),IF(INDEX('AFA Rates'!$A$5:$A$1004,$T1202)="","",INDEX('AFA Rates'!$A$5:$A$1004,$T1202))))</f>
        <v/>
      </c>
      <c r="B1202" s="79">
        <f>IF(OR($T1202="",$U1202=""),IF($T1202="","","Not on Firms tab"),INDEX(Firms!$B$5:$B$1004,$U1202)&amp;"")</f>
        <v/>
      </c>
      <c r="C1202" s="78">
        <f>IF($T1202="","",IF($S1202="S","Standard",INDEX('AFA Rates'!$B$5:$B$1004,$T1202)&amp;""))</f>
        <v/>
      </c>
      <c r="D1202" s="88">
        <f>IF($T1202="","",IF($S1202="S",IF(INDEX(Firms!$E$5:$E$1004,$T1202)="","",INDEX(Firms!$E$5:$E$1004,$T1202)),IF(INDEX('AFA Rates'!$C$5:$C$1004,$T1202)="","",INDEX('AFA Rates'!$C$5:$C$1004,$T1202))))</f>
        <v/>
      </c>
      <c r="E1202" s="88">
        <f>IF($T1202="","",IF($S1202="S",IF(""="","",""),IF(INDEX('AFA Rates'!$D$5:$D$1004,$T1202)="","",INDEX('AFA Rates'!$D$5:$D$1004,$T1202))))</f>
        <v/>
      </c>
      <c r="F1202" s="79">
        <f>IF($T1202="","",IF($S1202="S",IF(INDEX(Firms!$O$5:$O$1004,$T1202)="","",INDEX(Firms!$O$5:$O$1004,$T1202)),IF(INDEX('AFA Rates'!$O$5:$O$1004,$T1202)="","",INDEX('AFA Rates'!$O$5:$O$1004,$T1202))))</f>
        <v/>
      </c>
      <c r="G1202" s="50">
        <f>IF($T1202="","",IF($S1202="S",IF(INDEX(Firms!$F$5:$F$1004,$T1202)="","",INDEX(Firms!$F$5:$F$1004,$T1202)),IF(INDEX('AFA Rates'!$E$5:$E$1004,$T1202)="","",INDEX('AFA Rates'!$E$5:$E$1004,$T1202))))</f>
        <v/>
      </c>
      <c r="H1202" s="50">
        <f>IF($T1202="","",IF($S1202="S",IF(INDEX(Firms!$G$5:$G$1004,$T1202)="","",INDEX(Firms!$G$5:$G$1004,$T1202)),IF(INDEX('AFA Rates'!$F$5:$F$1004,$T1202)="","",INDEX('AFA Rates'!$F$5:$F$1004,$T1202))))</f>
        <v/>
      </c>
      <c r="I1202" s="50">
        <f>IF($T1202="","",IF($S1202="S",IF(INDEX(Firms!$H$5:$H$1004,$T1202)="","",INDEX(Firms!$H$5:$H$1004,$T1202)),IF(INDEX('AFA Rates'!$G$5:$G$1004,$T1202)="","",INDEX('AFA Rates'!$G$5:$G$1004,$T1202))))</f>
        <v/>
      </c>
      <c r="J1202" s="50">
        <f>IF($T1202="","",IF($S1202="S",IF(INDEX(Firms!$I$5:$I$1004,$T1202)="","",INDEX(Firms!$I$5:$I$1004,$T1202)),IF(INDEX('AFA Rates'!$H$5:$H$1004,$T1202)="","",INDEX('AFA Rates'!$H$5:$H$1004,$T1202))))</f>
        <v/>
      </c>
      <c r="K1202" s="50">
        <f>IF($T1202="","",IF($S1202="S",IF(INDEX(Firms!$J$5:$J$1004,$T1202)="","",INDEX(Firms!$J$5:$J$1004,$T1202)),IF(INDEX('AFA Rates'!$I$5:$I$1004,$T1202)="","",INDEX('AFA Rates'!$I$5:$I$1004,$T1202))))</f>
        <v/>
      </c>
      <c r="L1202" s="50">
        <f>IF($T1202="","",IF($S1202="S",IF(INDEX(Firms!$K$5:$K$1004,$T1202)="","",INDEX(Firms!$K$5:$K$1004,$T1202)),IF(INDEX('AFA Rates'!$J$5:$J$1004,$T1202)="","",INDEX('AFA Rates'!$J$5:$J$1004,$T1202))))</f>
        <v/>
      </c>
      <c r="M1202" s="50">
        <f>IF($T1202="","",IF($S1202="S",IF(INDEX(Firms!$L$5:$L$1004,$T1202)="","",INDEX(Firms!$L$5:$L$1004,$T1202)),IF(INDEX('AFA Rates'!$K$5:$K$1004,$T1202)="","",INDEX('AFA Rates'!$K$5:$K$1004,$T1202))))</f>
        <v/>
      </c>
      <c r="N1202" s="50">
        <f>IF($T1202="","",IF($S1202="S",IF(INDEX(Firms!$M$5:$M$1004,$T1202)="","",INDEX(Firms!$M$5:$M$1004,$T1202)),IF(INDEX('AFA Rates'!$L$5:$L$1004,$T1202)="","",INDEX('AFA Rates'!$L$5:$L$1004,$T1202))))</f>
        <v/>
      </c>
      <c r="O1202" s="78">
        <f>IF(OR($T1202="",$U1202=""),"",IF(INDEX(Firms!$C$5:$C$1004,$U1202)="","",INDEX(Firms!$C$5:$C$1004,$U1202)))</f>
        <v/>
      </c>
      <c r="P1202" s="79">
        <f>IF(OR($T1202="",$U1202=""),"",IF(INDEX(Firms!$N$5:$N$1004,$U1202)="","",INDEX(Firms!$N$5:$N$1004,$U1202)))</f>
        <v/>
      </c>
      <c r="Q1202" s="78">
        <f>IF($T1202="","",IF($S1202="S",IF(INDEX(Firms!$T$5:$T$1004,$T1202)="","",INDEX(Firms!$T$5:$T$1004,$T1202)),IF(INDEX('AFA Rates'!$M$5:$M$1004,$T1202)="","",INDEX('AFA Rates'!$M$5:$M$1004,$T1202))))</f>
        <v/>
      </c>
      <c r="S1202">
        <f>IF(1198&lt;=$S$2,"S",IF(1198&lt;=$S$2+$T$2,"A",""))</f>
        <v/>
      </c>
      <c r="T1202">
        <f>IF(S1202="S",MATCH(1198,Firms!$W$5:$W$1004,0),IF(S1202="A",IFERROR(MATCH(1198-$S$2,'AFA Rates'!$R$5:$R$1004,0),""),""))</f>
        <v/>
      </c>
      <c r="U1202">
        <f>IF(S1202="S",T1202,IF(AND(S1202="A",T1202&lt;&gt;""),IFERROR(MATCH(INDEX('AFA Rates'!$A$5:$A$1004,T1202),Firms!$A$5:$A$1004,0),""),""))</f>
        <v/>
      </c>
    </row>
    <row r="1203">
      <c r="A1203" s="78">
        <f>IF($T1203="","",IF($S1203="S",IF(INDEX(Firms!$A$5:$A$1004,$T1203)="","",INDEX(Firms!$A$5:$A$1004,$T1203)),IF(INDEX('AFA Rates'!$A$5:$A$1004,$T1203)="","",INDEX('AFA Rates'!$A$5:$A$1004,$T1203))))</f>
        <v/>
      </c>
      <c r="B1203" s="79">
        <f>IF(OR($T1203="",$U1203=""),IF($T1203="","","Not on Firms tab"),INDEX(Firms!$B$5:$B$1004,$U1203)&amp;"")</f>
        <v/>
      </c>
      <c r="C1203" s="78">
        <f>IF($T1203="","",IF($S1203="S","Standard",INDEX('AFA Rates'!$B$5:$B$1004,$T1203)&amp;""))</f>
        <v/>
      </c>
      <c r="D1203" s="88">
        <f>IF($T1203="","",IF($S1203="S",IF(INDEX(Firms!$E$5:$E$1004,$T1203)="","",INDEX(Firms!$E$5:$E$1004,$T1203)),IF(INDEX('AFA Rates'!$C$5:$C$1004,$T1203)="","",INDEX('AFA Rates'!$C$5:$C$1004,$T1203))))</f>
        <v/>
      </c>
      <c r="E1203" s="88">
        <f>IF($T1203="","",IF($S1203="S",IF(""="","",""),IF(INDEX('AFA Rates'!$D$5:$D$1004,$T1203)="","",INDEX('AFA Rates'!$D$5:$D$1004,$T1203))))</f>
        <v/>
      </c>
      <c r="F1203" s="79">
        <f>IF($T1203="","",IF($S1203="S",IF(INDEX(Firms!$O$5:$O$1004,$T1203)="","",INDEX(Firms!$O$5:$O$1004,$T1203)),IF(INDEX('AFA Rates'!$O$5:$O$1004,$T1203)="","",INDEX('AFA Rates'!$O$5:$O$1004,$T1203))))</f>
        <v/>
      </c>
      <c r="G1203" s="50">
        <f>IF($T1203="","",IF($S1203="S",IF(INDEX(Firms!$F$5:$F$1004,$T1203)="","",INDEX(Firms!$F$5:$F$1004,$T1203)),IF(INDEX('AFA Rates'!$E$5:$E$1004,$T1203)="","",INDEX('AFA Rates'!$E$5:$E$1004,$T1203))))</f>
        <v/>
      </c>
      <c r="H1203" s="50">
        <f>IF($T1203="","",IF($S1203="S",IF(INDEX(Firms!$G$5:$G$1004,$T1203)="","",INDEX(Firms!$G$5:$G$1004,$T1203)),IF(INDEX('AFA Rates'!$F$5:$F$1004,$T1203)="","",INDEX('AFA Rates'!$F$5:$F$1004,$T1203))))</f>
        <v/>
      </c>
      <c r="I1203" s="50">
        <f>IF($T1203="","",IF($S1203="S",IF(INDEX(Firms!$H$5:$H$1004,$T1203)="","",INDEX(Firms!$H$5:$H$1004,$T1203)),IF(INDEX('AFA Rates'!$G$5:$G$1004,$T1203)="","",INDEX('AFA Rates'!$G$5:$G$1004,$T1203))))</f>
        <v/>
      </c>
      <c r="J1203" s="50">
        <f>IF($T1203="","",IF($S1203="S",IF(INDEX(Firms!$I$5:$I$1004,$T1203)="","",INDEX(Firms!$I$5:$I$1004,$T1203)),IF(INDEX('AFA Rates'!$H$5:$H$1004,$T1203)="","",INDEX('AFA Rates'!$H$5:$H$1004,$T1203))))</f>
        <v/>
      </c>
      <c r="K1203" s="50">
        <f>IF($T1203="","",IF($S1203="S",IF(INDEX(Firms!$J$5:$J$1004,$T1203)="","",INDEX(Firms!$J$5:$J$1004,$T1203)),IF(INDEX('AFA Rates'!$I$5:$I$1004,$T1203)="","",INDEX('AFA Rates'!$I$5:$I$1004,$T1203))))</f>
        <v/>
      </c>
      <c r="L1203" s="50">
        <f>IF($T1203="","",IF($S1203="S",IF(INDEX(Firms!$K$5:$K$1004,$T1203)="","",INDEX(Firms!$K$5:$K$1004,$T1203)),IF(INDEX('AFA Rates'!$J$5:$J$1004,$T1203)="","",INDEX('AFA Rates'!$J$5:$J$1004,$T1203))))</f>
        <v/>
      </c>
      <c r="M1203" s="50">
        <f>IF($T1203="","",IF($S1203="S",IF(INDEX(Firms!$L$5:$L$1004,$T1203)="","",INDEX(Firms!$L$5:$L$1004,$T1203)),IF(INDEX('AFA Rates'!$K$5:$K$1004,$T1203)="","",INDEX('AFA Rates'!$K$5:$K$1004,$T1203))))</f>
        <v/>
      </c>
      <c r="N1203" s="50">
        <f>IF($T1203="","",IF($S1203="S",IF(INDEX(Firms!$M$5:$M$1004,$T1203)="","",INDEX(Firms!$M$5:$M$1004,$T1203)),IF(INDEX('AFA Rates'!$L$5:$L$1004,$T1203)="","",INDEX('AFA Rates'!$L$5:$L$1004,$T1203))))</f>
        <v/>
      </c>
      <c r="O1203" s="78">
        <f>IF(OR($T1203="",$U1203=""),"",IF(INDEX(Firms!$C$5:$C$1004,$U1203)="","",INDEX(Firms!$C$5:$C$1004,$U1203)))</f>
        <v/>
      </c>
      <c r="P1203" s="79">
        <f>IF(OR($T1203="",$U1203=""),"",IF(INDEX(Firms!$N$5:$N$1004,$U1203)="","",INDEX(Firms!$N$5:$N$1004,$U1203)))</f>
        <v/>
      </c>
      <c r="Q1203" s="78">
        <f>IF($T1203="","",IF($S1203="S",IF(INDEX(Firms!$T$5:$T$1004,$T1203)="","",INDEX(Firms!$T$5:$T$1004,$T1203)),IF(INDEX('AFA Rates'!$M$5:$M$1004,$T1203)="","",INDEX('AFA Rates'!$M$5:$M$1004,$T1203))))</f>
        <v/>
      </c>
      <c r="S1203">
        <f>IF(1199&lt;=$S$2,"S",IF(1199&lt;=$S$2+$T$2,"A",""))</f>
        <v/>
      </c>
      <c r="T1203">
        <f>IF(S1203="S",MATCH(1199,Firms!$W$5:$W$1004,0),IF(S1203="A",IFERROR(MATCH(1199-$S$2,'AFA Rates'!$R$5:$R$1004,0),""),""))</f>
        <v/>
      </c>
      <c r="U1203">
        <f>IF(S1203="S",T1203,IF(AND(S1203="A",T1203&lt;&gt;""),IFERROR(MATCH(INDEX('AFA Rates'!$A$5:$A$1004,T1203),Firms!$A$5:$A$1004,0),""),""))</f>
        <v/>
      </c>
    </row>
    <row r="1204">
      <c r="A1204" s="78">
        <f>IF($T1204="","",IF($S1204="S",IF(INDEX(Firms!$A$5:$A$1004,$T1204)="","",INDEX(Firms!$A$5:$A$1004,$T1204)),IF(INDEX('AFA Rates'!$A$5:$A$1004,$T1204)="","",INDEX('AFA Rates'!$A$5:$A$1004,$T1204))))</f>
        <v/>
      </c>
      <c r="B1204" s="79">
        <f>IF(OR($T1204="",$U1204=""),IF($T1204="","","Not on Firms tab"),INDEX(Firms!$B$5:$B$1004,$U1204)&amp;"")</f>
        <v/>
      </c>
      <c r="C1204" s="78">
        <f>IF($T1204="","",IF($S1204="S","Standard",INDEX('AFA Rates'!$B$5:$B$1004,$T1204)&amp;""))</f>
        <v/>
      </c>
      <c r="D1204" s="88">
        <f>IF($T1204="","",IF($S1204="S",IF(INDEX(Firms!$E$5:$E$1004,$T1204)="","",INDEX(Firms!$E$5:$E$1004,$T1204)),IF(INDEX('AFA Rates'!$C$5:$C$1004,$T1204)="","",INDEX('AFA Rates'!$C$5:$C$1004,$T1204))))</f>
        <v/>
      </c>
      <c r="E1204" s="88">
        <f>IF($T1204="","",IF($S1204="S",IF(""="","",""),IF(INDEX('AFA Rates'!$D$5:$D$1004,$T1204)="","",INDEX('AFA Rates'!$D$5:$D$1004,$T1204))))</f>
        <v/>
      </c>
      <c r="F1204" s="79">
        <f>IF($T1204="","",IF($S1204="S",IF(INDEX(Firms!$O$5:$O$1004,$T1204)="","",INDEX(Firms!$O$5:$O$1004,$T1204)),IF(INDEX('AFA Rates'!$O$5:$O$1004,$T1204)="","",INDEX('AFA Rates'!$O$5:$O$1004,$T1204))))</f>
        <v/>
      </c>
      <c r="G1204" s="50">
        <f>IF($T1204="","",IF($S1204="S",IF(INDEX(Firms!$F$5:$F$1004,$T1204)="","",INDEX(Firms!$F$5:$F$1004,$T1204)),IF(INDEX('AFA Rates'!$E$5:$E$1004,$T1204)="","",INDEX('AFA Rates'!$E$5:$E$1004,$T1204))))</f>
        <v/>
      </c>
      <c r="H1204" s="50">
        <f>IF($T1204="","",IF($S1204="S",IF(INDEX(Firms!$G$5:$G$1004,$T1204)="","",INDEX(Firms!$G$5:$G$1004,$T1204)),IF(INDEX('AFA Rates'!$F$5:$F$1004,$T1204)="","",INDEX('AFA Rates'!$F$5:$F$1004,$T1204))))</f>
        <v/>
      </c>
      <c r="I1204" s="50">
        <f>IF($T1204="","",IF($S1204="S",IF(INDEX(Firms!$H$5:$H$1004,$T1204)="","",INDEX(Firms!$H$5:$H$1004,$T1204)),IF(INDEX('AFA Rates'!$G$5:$G$1004,$T1204)="","",INDEX('AFA Rates'!$G$5:$G$1004,$T1204))))</f>
        <v/>
      </c>
      <c r="J1204" s="50">
        <f>IF($T1204="","",IF($S1204="S",IF(INDEX(Firms!$I$5:$I$1004,$T1204)="","",INDEX(Firms!$I$5:$I$1004,$T1204)),IF(INDEX('AFA Rates'!$H$5:$H$1004,$T1204)="","",INDEX('AFA Rates'!$H$5:$H$1004,$T1204))))</f>
        <v/>
      </c>
      <c r="K1204" s="50">
        <f>IF($T1204="","",IF($S1204="S",IF(INDEX(Firms!$J$5:$J$1004,$T1204)="","",INDEX(Firms!$J$5:$J$1004,$T1204)),IF(INDEX('AFA Rates'!$I$5:$I$1004,$T1204)="","",INDEX('AFA Rates'!$I$5:$I$1004,$T1204))))</f>
        <v/>
      </c>
      <c r="L1204" s="50">
        <f>IF($T1204="","",IF($S1204="S",IF(INDEX(Firms!$K$5:$K$1004,$T1204)="","",INDEX(Firms!$K$5:$K$1004,$T1204)),IF(INDEX('AFA Rates'!$J$5:$J$1004,$T1204)="","",INDEX('AFA Rates'!$J$5:$J$1004,$T1204))))</f>
        <v/>
      </c>
      <c r="M1204" s="50">
        <f>IF($T1204="","",IF($S1204="S",IF(INDEX(Firms!$L$5:$L$1004,$T1204)="","",INDEX(Firms!$L$5:$L$1004,$T1204)),IF(INDEX('AFA Rates'!$K$5:$K$1004,$T1204)="","",INDEX('AFA Rates'!$K$5:$K$1004,$T1204))))</f>
        <v/>
      </c>
      <c r="N1204" s="50">
        <f>IF($T1204="","",IF($S1204="S",IF(INDEX(Firms!$M$5:$M$1004,$T1204)="","",INDEX(Firms!$M$5:$M$1004,$T1204)),IF(INDEX('AFA Rates'!$L$5:$L$1004,$T1204)="","",INDEX('AFA Rates'!$L$5:$L$1004,$T1204))))</f>
        <v/>
      </c>
      <c r="O1204" s="78">
        <f>IF(OR($T1204="",$U1204=""),"",IF(INDEX(Firms!$C$5:$C$1004,$U1204)="","",INDEX(Firms!$C$5:$C$1004,$U1204)))</f>
        <v/>
      </c>
      <c r="P1204" s="79">
        <f>IF(OR($T1204="",$U1204=""),"",IF(INDEX(Firms!$N$5:$N$1004,$U1204)="","",INDEX(Firms!$N$5:$N$1004,$U1204)))</f>
        <v/>
      </c>
      <c r="Q1204" s="78">
        <f>IF($T1204="","",IF($S1204="S",IF(INDEX(Firms!$T$5:$T$1004,$T1204)="","",INDEX(Firms!$T$5:$T$1004,$T1204)),IF(INDEX('AFA Rates'!$M$5:$M$1004,$T1204)="","",INDEX('AFA Rates'!$M$5:$M$1004,$T1204))))</f>
        <v/>
      </c>
      <c r="S1204">
        <f>IF(1200&lt;=$S$2,"S",IF(1200&lt;=$S$2+$T$2,"A",""))</f>
        <v/>
      </c>
      <c r="T1204">
        <f>IF(S1204="S",MATCH(1200,Firms!$W$5:$W$1004,0),IF(S1204="A",IFERROR(MATCH(1200-$S$2,'AFA Rates'!$R$5:$R$1004,0),""),""))</f>
        <v/>
      </c>
      <c r="U1204">
        <f>IF(S1204="S",T1204,IF(AND(S1204="A",T1204&lt;&gt;""),IFERROR(MATCH(INDEX('AFA Rates'!$A$5:$A$1004,T1204),Firms!$A$5:$A$1004,0),""),""))</f>
        <v/>
      </c>
    </row>
    <row r="1205">
      <c r="A1205" s="78">
        <f>IF($T1205="","",IF($S1205="S",IF(INDEX(Firms!$A$5:$A$1004,$T1205)="","",INDEX(Firms!$A$5:$A$1004,$T1205)),IF(INDEX('AFA Rates'!$A$5:$A$1004,$T1205)="","",INDEX('AFA Rates'!$A$5:$A$1004,$T1205))))</f>
        <v/>
      </c>
      <c r="B1205" s="79">
        <f>IF(OR($T1205="",$U1205=""),IF($T1205="","","Not on Firms tab"),INDEX(Firms!$B$5:$B$1004,$U1205)&amp;"")</f>
        <v/>
      </c>
      <c r="C1205" s="78">
        <f>IF($T1205="","",IF($S1205="S","Standard",INDEX('AFA Rates'!$B$5:$B$1004,$T1205)&amp;""))</f>
        <v/>
      </c>
      <c r="D1205" s="88">
        <f>IF($T1205="","",IF($S1205="S",IF(INDEX(Firms!$E$5:$E$1004,$T1205)="","",INDEX(Firms!$E$5:$E$1004,$T1205)),IF(INDEX('AFA Rates'!$C$5:$C$1004,$T1205)="","",INDEX('AFA Rates'!$C$5:$C$1004,$T1205))))</f>
        <v/>
      </c>
      <c r="E1205" s="88">
        <f>IF($T1205="","",IF($S1205="S",IF(""="","",""),IF(INDEX('AFA Rates'!$D$5:$D$1004,$T1205)="","",INDEX('AFA Rates'!$D$5:$D$1004,$T1205))))</f>
        <v/>
      </c>
      <c r="F1205" s="79">
        <f>IF($T1205="","",IF($S1205="S",IF(INDEX(Firms!$O$5:$O$1004,$T1205)="","",INDEX(Firms!$O$5:$O$1004,$T1205)),IF(INDEX('AFA Rates'!$O$5:$O$1004,$T1205)="","",INDEX('AFA Rates'!$O$5:$O$1004,$T1205))))</f>
        <v/>
      </c>
      <c r="G1205" s="50">
        <f>IF($T1205="","",IF($S1205="S",IF(INDEX(Firms!$F$5:$F$1004,$T1205)="","",INDEX(Firms!$F$5:$F$1004,$T1205)),IF(INDEX('AFA Rates'!$E$5:$E$1004,$T1205)="","",INDEX('AFA Rates'!$E$5:$E$1004,$T1205))))</f>
        <v/>
      </c>
      <c r="H1205" s="50">
        <f>IF($T1205="","",IF($S1205="S",IF(INDEX(Firms!$G$5:$G$1004,$T1205)="","",INDEX(Firms!$G$5:$G$1004,$T1205)),IF(INDEX('AFA Rates'!$F$5:$F$1004,$T1205)="","",INDEX('AFA Rates'!$F$5:$F$1004,$T1205))))</f>
        <v/>
      </c>
      <c r="I1205" s="50">
        <f>IF($T1205="","",IF($S1205="S",IF(INDEX(Firms!$H$5:$H$1004,$T1205)="","",INDEX(Firms!$H$5:$H$1004,$T1205)),IF(INDEX('AFA Rates'!$G$5:$G$1004,$T1205)="","",INDEX('AFA Rates'!$G$5:$G$1004,$T1205))))</f>
        <v/>
      </c>
      <c r="J1205" s="50">
        <f>IF($T1205="","",IF($S1205="S",IF(INDEX(Firms!$I$5:$I$1004,$T1205)="","",INDEX(Firms!$I$5:$I$1004,$T1205)),IF(INDEX('AFA Rates'!$H$5:$H$1004,$T1205)="","",INDEX('AFA Rates'!$H$5:$H$1004,$T1205))))</f>
        <v/>
      </c>
      <c r="K1205" s="50">
        <f>IF($T1205="","",IF($S1205="S",IF(INDEX(Firms!$J$5:$J$1004,$T1205)="","",INDEX(Firms!$J$5:$J$1004,$T1205)),IF(INDEX('AFA Rates'!$I$5:$I$1004,$T1205)="","",INDEX('AFA Rates'!$I$5:$I$1004,$T1205))))</f>
        <v/>
      </c>
      <c r="L1205" s="50">
        <f>IF($T1205="","",IF($S1205="S",IF(INDEX(Firms!$K$5:$K$1004,$T1205)="","",INDEX(Firms!$K$5:$K$1004,$T1205)),IF(INDEX('AFA Rates'!$J$5:$J$1004,$T1205)="","",INDEX('AFA Rates'!$J$5:$J$1004,$T1205))))</f>
        <v/>
      </c>
      <c r="M1205" s="50">
        <f>IF($T1205="","",IF($S1205="S",IF(INDEX(Firms!$L$5:$L$1004,$T1205)="","",INDEX(Firms!$L$5:$L$1004,$T1205)),IF(INDEX('AFA Rates'!$K$5:$K$1004,$T1205)="","",INDEX('AFA Rates'!$K$5:$K$1004,$T1205))))</f>
        <v/>
      </c>
      <c r="N1205" s="50">
        <f>IF($T1205="","",IF($S1205="S",IF(INDEX(Firms!$M$5:$M$1004,$T1205)="","",INDEX(Firms!$M$5:$M$1004,$T1205)),IF(INDEX('AFA Rates'!$L$5:$L$1004,$T1205)="","",INDEX('AFA Rates'!$L$5:$L$1004,$T1205))))</f>
        <v/>
      </c>
      <c r="O1205" s="78">
        <f>IF(OR($T1205="",$U1205=""),"",IF(INDEX(Firms!$C$5:$C$1004,$U1205)="","",INDEX(Firms!$C$5:$C$1004,$U1205)))</f>
        <v/>
      </c>
      <c r="P1205" s="79">
        <f>IF(OR($T1205="",$U1205=""),"",IF(INDEX(Firms!$N$5:$N$1004,$U1205)="","",INDEX(Firms!$N$5:$N$1004,$U1205)))</f>
        <v/>
      </c>
      <c r="Q1205" s="78">
        <f>IF($T1205="","",IF($S1205="S",IF(INDEX(Firms!$T$5:$T$1004,$T1205)="","",INDEX(Firms!$T$5:$T$1004,$T1205)),IF(INDEX('AFA Rates'!$M$5:$M$1004,$T1205)="","",INDEX('AFA Rates'!$M$5:$M$1004,$T1205))))</f>
        <v/>
      </c>
      <c r="S1205">
        <f>IF(1201&lt;=$S$2,"S",IF(1201&lt;=$S$2+$T$2,"A",""))</f>
        <v/>
      </c>
      <c r="T1205">
        <f>IF(S1205="S",MATCH(1201,Firms!$W$5:$W$1004,0),IF(S1205="A",IFERROR(MATCH(1201-$S$2,'AFA Rates'!$R$5:$R$1004,0),""),""))</f>
        <v/>
      </c>
      <c r="U1205">
        <f>IF(S1205="S",T1205,IF(AND(S1205="A",T1205&lt;&gt;""),IFERROR(MATCH(INDEX('AFA Rates'!$A$5:$A$1004,T1205),Firms!$A$5:$A$1004,0),""),""))</f>
        <v/>
      </c>
    </row>
    <row r="1206">
      <c r="A1206" s="78">
        <f>IF($T1206="","",IF($S1206="S",IF(INDEX(Firms!$A$5:$A$1004,$T1206)="","",INDEX(Firms!$A$5:$A$1004,$T1206)),IF(INDEX('AFA Rates'!$A$5:$A$1004,$T1206)="","",INDEX('AFA Rates'!$A$5:$A$1004,$T1206))))</f>
        <v/>
      </c>
      <c r="B1206" s="79">
        <f>IF(OR($T1206="",$U1206=""),IF($T1206="","","Not on Firms tab"),INDEX(Firms!$B$5:$B$1004,$U1206)&amp;"")</f>
        <v/>
      </c>
      <c r="C1206" s="78">
        <f>IF($T1206="","",IF($S1206="S","Standard",INDEX('AFA Rates'!$B$5:$B$1004,$T1206)&amp;""))</f>
        <v/>
      </c>
      <c r="D1206" s="88">
        <f>IF($T1206="","",IF($S1206="S",IF(INDEX(Firms!$E$5:$E$1004,$T1206)="","",INDEX(Firms!$E$5:$E$1004,$T1206)),IF(INDEX('AFA Rates'!$C$5:$C$1004,$T1206)="","",INDEX('AFA Rates'!$C$5:$C$1004,$T1206))))</f>
        <v/>
      </c>
      <c r="E1206" s="88">
        <f>IF($T1206="","",IF($S1206="S",IF(""="","",""),IF(INDEX('AFA Rates'!$D$5:$D$1004,$T1206)="","",INDEX('AFA Rates'!$D$5:$D$1004,$T1206))))</f>
        <v/>
      </c>
      <c r="F1206" s="79">
        <f>IF($T1206="","",IF($S1206="S",IF(INDEX(Firms!$O$5:$O$1004,$T1206)="","",INDEX(Firms!$O$5:$O$1004,$T1206)),IF(INDEX('AFA Rates'!$O$5:$O$1004,$T1206)="","",INDEX('AFA Rates'!$O$5:$O$1004,$T1206))))</f>
        <v/>
      </c>
      <c r="G1206" s="50">
        <f>IF($T1206="","",IF($S1206="S",IF(INDEX(Firms!$F$5:$F$1004,$T1206)="","",INDEX(Firms!$F$5:$F$1004,$T1206)),IF(INDEX('AFA Rates'!$E$5:$E$1004,$T1206)="","",INDEX('AFA Rates'!$E$5:$E$1004,$T1206))))</f>
        <v/>
      </c>
      <c r="H1206" s="50">
        <f>IF($T1206="","",IF($S1206="S",IF(INDEX(Firms!$G$5:$G$1004,$T1206)="","",INDEX(Firms!$G$5:$G$1004,$T1206)),IF(INDEX('AFA Rates'!$F$5:$F$1004,$T1206)="","",INDEX('AFA Rates'!$F$5:$F$1004,$T1206))))</f>
        <v/>
      </c>
      <c r="I1206" s="50">
        <f>IF($T1206="","",IF($S1206="S",IF(INDEX(Firms!$H$5:$H$1004,$T1206)="","",INDEX(Firms!$H$5:$H$1004,$T1206)),IF(INDEX('AFA Rates'!$G$5:$G$1004,$T1206)="","",INDEX('AFA Rates'!$G$5:$G$1004,$T1206))))</f>
        <v/>
      </c>
      <c r="J1206" s="50">
        <f>IF($T1206="","",IF($S1206="S",IF(INDEX(Firms!$I$5:$I$1004,$T1206)="","",INDEX(Firms!$I$5:$I$1004,$T1206)),IF(INDEX('AFA Rates'!$H$5:$H$1004,$T1206)="","",INDEX('AFA Rates'!$H$5:$H$1004,$T1206))))</f>
        <v/>
      </c>
      <c r="K1206" s="50">
        <f>IF($T1206="","",IF($S1206="S",IF(INDEX(Firms!$J$5:$J$1004,$T1206)="","",INDEX(Firms!$J$5:$J$1004,$T1206)),IF(INDEX('AFA Rates'!$I$5:$I$1004,$T1206)="","",INDEX('AFA Rates'!$I$5:$I$1004,$T1206))))</f>
        <v/>
      </c>
      <c r="L1206" s="50">
        <f>IF($T1206="","",IF($S1206="S",IF(INDEX(Firms!$K$5:$K$1004,$T1206)="","",INDEX(Firms!$K$5:$K$1004,$T1206)),IF(INDEX('AFA Rates'!$J$5:$J$1004,$T1206)="","",INDEX('AFA Rates'!$J$5:$J$1004,$T1206))))</f>
        <v/>
      </c>
      <c r="M1206" s="50">
        <f>IF($T1206="","",IF($S1206="S",IF(INDEX(Firms!$L$5:$L$1004,$T1206)="","",INDEX(Firms!$L$5:$L$1004,$T1206)),IF(INDEX('AFA Rates'!$K$5:$K$1004,$T1206)="","",INDEX('AFA Rates'!$K$5:$K$1004,$T1206))))</f>
        <v/>
      </c>
      <c r="N1206" s="50">
        <f>IF($T1206="","",IF($S1206="S",IF(INDEX(Firms!$M$5:$M$1004,$T1206)="","",INDEX(Firms!$M$5:$M$1004,$T1206)),IF(INDEX('AFA Rates'!$L$5:$L$1004,$T1206)="","",INDEX('AFA Rates'!$L$5:$L$1004,$T1206))))</f>
        <v/>
      </c>
      <c r="O1206" s="78">
        <f>IF(OR($T1206="",$U1206=""),"",IF(INDEX(Firms!$C$5:$C$1004,$U1206)="","",INDEX(Firms!$C$5:$C$1004,$U1206)))</f>
        <v/>
      </c>
      <c r="P1206" s="79">
        <f>IF(OR($T1206="",$U1206=""),"",IF(INDEX(Firms!$N$5:$N$1004,$U1206)="","",INDEX(Firms!$N$5:$N$1004,$U1206)))</f>
        <v/>
      </c>
      <c r="Q1206" s="78">
        <f>IF($T1206="","",IF($S1206="S",IF(INDEX(Firms!$T$5:$T$1004,$T1206)="","",INDEX(Firms!$T$5:$T$1004,$T1206)),IF(INDEX('AFA Rates'!$M$5:$M$1004,$T1206)="","",INDEX('AFA Rates'!$M$5:$M$1004,$T1206))))</f>
        <v/>
      </c>
      <c r="S1206">
        <f>IF(1202&lt;=$S$2,"S",IF(1202&lt;=$S$2+$T$2,"A",""))</f>
        <v/>
      </c>
      <c r="T1206">
        <f>IF(S1206="S",MATCH(1202,Firms!$W$5:$W$1004,0),IF(S1206="A",IFERROR(MATCH(1202-$S$2,'AFA Rates'!$R$5:$R$1004,0),""),""))</f>
        <v/>
      </c>
      <c r="U1206">
        <f>IF(S1206="S",T1206,IF(AND(S1206="A",T1206&lt;&gt;""),IFERROR(MATCH(INDEX('AFA Rates'!$A$5:$A$1004,T1206),Firms!$A$5:$A$1004,0),""),""))</f>
        <v/>
      </c>
    </row>
    <row r="1207">
      <c r="A1207" s="78">
        <f>IF($T1207="","",IF($S1207="S",IF(INDEX(Firms!$A$5:$A$1004,$T1207)="","",INDEX(Firms!$A$5:$A$1004,$T1207)),IF(INDEX('AFA Rates'!$A$5:$A$1004,$T1207)="","",INDEX('AFA Rates'!$A$5:$A$1004,$T1207))))</f>
        <v/>
      </c>
      <c r="B1207" s="79">
        <f>IF(OR($T1207="",$U1207=""),IF($T1207="","","Not on Firms tab"),INDEX(Firms!$B$5:$B$1004,$U1207)&amp;"")</f>
        <v/>
      </c>
      <c r="C1207" s="78">
        <f>IF($T1207="","",IF($S1207="S","Standard",INDEX('AFA Rates'!$B$5:$B$1004,$T1207)&amp;""))</f>
        <v/>
      </c>
      <c r="D1207" s="88">
        <f>IF($T1207="","",IF($S1207="S",IF(INDEX(Firms!$E$5:$E$1004,$T1207)="","",INDEX(Firms!$E$5:$E$1004,$T1207)),IF(INDEX('AFA Rates'!$C$5:$C$1004,$T1207)="","",INDEX('AFA Rates'!$C$5:$C$1004,$T1207))))</f>
        <v/>
      </c>
      <c r="E1207" s="88">
        <f>IF($T1207="","",IF($S1207="S",IF(""="","",""),IF(INDEX('AFA Rates'!$D$5:$D$1004,$T1207)="","",INDEX('AFA Rates'!$D$5:$D$1004,$T1207))))</f>
        <v/>
      </c>
      <c r="F1207" s="79">
        <f>IF($T1207="","",IF($S1207="S",IF(INDEX(Firms!$O$5:$O$1004,$T1207)="","",INDEX(Firms!$O$5:$O$1004,$T1207)),IF(INDEX('AFA Rates'!$O$5:$O$1004,$T1207)="","",INDEX('AFA Rates'!$O$5:$O$1004,$T1207))))</f>
        <v/>
      </c>
      <c r="G1207" s="50">
        <f>IF($T1207="","",IF($S1207="S",IF(INDEX(Firms!$F$5:$F$1004,$T1207)="","",INDEX(Firms!$F$5:$F$1004,$T1207)),IF(INDEX('AFA Rates'!$E$5:$E$1004,$T1207)="","",INDEX('AFA Rates'!$E$5:$E$1004,$T1207))))</f>
        <v/>
      </c>
      <c r="H1207" s="50">
        <f>IF($T1207="","",IF($S1207="S",IF(INDEX(Firms!$G$5:$G$1004,$T1207)="","",INDEX(Firms!$G$5:$G$1004,$T1207)),IF(INDEX('AFA Rates'!$F$5:$F$1004,$T1207)="","",INDEX('AFA Rates'!$F$5:$F$1004,$T1207))))</f>
        <v/>
      </c>
      <c r="I1207" s="50">
        <f>IF($T1207="","",IF($S1207="S",IF(INDEX(Firms!$H$5:$H$1004,$T1207)="","",INDEX(Firms!$H$5:$H$1004,$T1207)),IF(INDEX('AFA Rates'!$G$5:$G$1004,$T1207)="","",INDEX('AFA Rates'!$G$5:$G$1004,$T1207))))</f>
        <v/>
      </c>
      <c r="J1207" s="50">
        <f>IF($T1207="","",IF($S1207="S",IF(INDEX(Firms!$I$5:$I$1004,$T1207)="","",INDEX(Firms!$I$5:$I$1004,$T1207)),IF(INDEX('AFA Rates'!$H$5:$H$1004,$T1207)="","",INDEX('AFA Rates'!$H$5:$H$1004,$T1207))))</f>
        <v/>
      </c>
      <c r="K1207" s="50">
        <f>IF($T1207="","",IF($S1207="S",IF(INDEX(Firms!$J$5:$J$1004,$T1207)="","",INDEX(Firms!$J$5:$J$1004,$T1207)),IF(INDEX('AFA Rates'!$I$5:$I$1004,$T1207)="","",INDEX('AFA Rates'!$I$5:$I$1004,$T1207))))</f>
        <v/>
      </c>
      <c r="L1207" s="50">
        <f>IF($T1207="","",IF($S1207="S",IF(INDEX(Firms!$K$5:$K$1004,$T1207)="","",INDEX(Firms!$K$5:$K$1004,$T1207)),IF(INDEX('AFA Rates'!$J$5:$J$1004,$T1207)="","",INDEX('AFA Rates'!$J$5:$J$1004,$T1207))))</f>
        <v/>
      </c>
      <c r="M1207" s="50">
        <f>IF($T1207="","",IF($S1207="S",IF(INDEX(Firms!$L$5:$L$1004,$T1207)="","",INDEX(Firms!$L$5:$L$1004,$T1207)),IF(INDEX('AFA Rates'!$K$5:$K$1004,$T1207)="","",INDEX('AFA Rates'!$K$5:$K$1004,$T1207))))</f>
        <v/>
      </c>
      <c r="N1207" s="50">
        <f>IF($T1207="","",IF($S1207="S",IF(INDEX(Firms!$M$5:$M$1004,$T1207)="","",INDEX(Firms!$M$5:$M$1004,$T1207)),IF(INDEX('AFA Rates'!$L$5:$L$1004,$T1207)="","",INDEX('AFA Rates'!$L$5:$L$1004,$T1207))))</f>
        <v/>
      </c>
      <c r="O1207" s="78">
        <f>IF(OR($T1207="",$U1207=""),"",IF(INDEX(Firms!$C$5:$C$1004,$U1207)="","",INDEX(Firms!$C$5:$C$1004,$U1207)))</f>
        <v/>
      </c>
      <c r="P1207" s="79">
        <f>IF(OR($T1207="",$U1207=""),"",IF(INDEX(Firms!$N$5:$N$1004,$U1207)="","",INDEX(Firms!$N$5:$N$1004,$U1207)))</f>
        <v/>
      </c>
      <c r="Q1207" s="78">
        <f>IF($T1207="","",IF($S1207="S",IF(INDEX(Firms!$T$5:$T$1004,$T1207)="","",INDEX(Firms!$T$5:$T$1004,$T1207)),IF(INDEX('AFA Rates'!$M$5:$M$1004,$T1207)="","",INDEX('AFA Rates'!$M$5:$M$1004,$T1207))))</f>
        <v/>
      </c>
      <c r="S1207">
        <f>IF(1203&lt;=$S$2,"S",IF(1203&lt;=$S$2+$T$2,"A",""))</f>
        <v/>
      </c>
      <c r="T1207">
        <f>IF(S1207="S",MATCH(1203,Firms!$W$5:$W$1004,0),IF(S1207="A",IFERROR(MATCH(1203-$S$2,'AFA Rates'!$R$5:$R$1004,0),""),""))</f>
        <v/>
      </c>
      <c r="U1207">
        <f>IF(S1207="S",T1207,IF(AND(S1207="A",T1207&lt;&gt;""),IFERROR(MATCH(INDEX('AFA Rates'!$A$5:$A$1004,T1207),Firms!$A$5:$A$1004,0),""),""))</f>
        <v/>
      </c>
    </row>
    <row r="1208">
      <c r="A1208" s="78">
        <f>IF($T1208="","",IF($S1208="S",IF(INDEX(Firms!$A$5:$A$1004,$T1208)="","",INDEX(Firms!$A$5:$A$1004,$T1208)),IF(INDEX('AFA Rates'!$A$5:$A$1004,$T1208)="","",INDEX('AFA Rates'!$A$5:$A$1004,$T1208))))</f>
        <v/>
      </c>
      <c r="B1208" s="79">
        <f>IF(OR($T1208="",$U1208=""),IF($T1208="","","Not on Firms tab"),INDEX(Firms!$B$5:$B$1004,$U1208)&amp;"")</f>
        <v/>
      </c>
      <c r="C1208" s="78">
        <f>IF($T1208="","",IF($S1208="S","Standard",INDEX('AFA Rates'!$B$5:$B$1004,$T1208)&amp;""))</f>
        <v/>
      </c>
      <c r="D1208" s="88">
        <f>IF($T1208="","",IF($S1208="S",IF(INDEX(Firms!$E$5:$E$1004,$T1208)="","",INDEX(Firms!$E$5:$E$1004,$T1208)),IF(INDEX('AFA Rates'!$C$5:$C$1004,$T1208)="","",INDEX('AFA Rates'!$C$5:$C$1004,$T1208))))</f>
        <v/>
      </c>
      <c r="E1208" s="88">
        <f>IF($T1208="","",IF($S1208="S",IF(""="","",""),IF(INDEX('AFA Rates'!$D$5:$D$1004,$T1208)="","",INDEX('AFA Rates'!$D$5:$D$1004,$T1208))))</f>
        <v/>
      </c>
      <c r="F1208" s="79">
        <f>IF($T1208="","",IF($S1208="S",IF(INDEX(Firms!$O$5:$O$1004,$T1208)="","",INDEX(Firms!$O$5:$O$1004,$T1208)),IF(INDEX('AFA Rates'!$O$5:$O$1004,$T1208)="","",INDEX('AFA Rates'!$O$5:$O$1004,$T1208))))</f>
        <v/>
      </c>
      <c r="G1208" s="50">
        <f>IF($T1208="","",IF($S1208="S",IF(INDEX(Firms!$F$5:$F$1004,$T1208)="","",INDEX(Firms!$F$5:$F$1004,$T1208)),IF(INDEX('AFA Rates'!$E$5:$E$1004,$T1208)="","",INDEX('AFA Rates'!$E$5:$E$1004,$T1208))))</f>
        <v/>
      </c>
      <c r="H1208" s="50">
        <f>IF($T1208="","",IF($S1208="S",IF(INDEX(Firms!$G$5:$G$1004,$T1208)="","",INDEX(Firms!$G$5:$G$1004,$T1208)),IF(INDEX('AFA Rates'!$F$5:$F$1004,$T1208)="","",INDEX('AFA Rates'!$F$5:$F$1004,$T1208))))</f>
        <v/>
      </c>
      <c r="I1208" s="50">
        <f>IF($T1208="","",IF($S1208="S",IF(INDEX(Firms!$H$5:$H$1004,$T1208)="","",INDEX(Firms!$H$5:$H$1004,$T1208)),IF(INDEX('AFA Rates'!$G$5:$G$1004,$T1208)="","",INDEX('AFA Rates'!$G$5:$G$1004,$T1208))))</f>
        <v/>
      </c>
      <c r="J1208" s="50">
        <f>IF($T1208="","",IF($S1208="S",IF(INDEX(Firms!$I$5:$I$1004,$T1208)="","",INDEX(Firms!$I$5:$I$1004,$T1208)),IF(INDEX('AFA Rates'!$H$5:$H$1004,$T1208)="","",INDEX('AFA Rates'!$H$5:$H$1004,$T1208))))</f>
        <v/>
      </c>
      <c r="K1208" s="50">
        <f>IF($T1208="","",IF($S1208="S",IF(INDEX(Firms!$J$5:$J$1004,$T1208)="","",INDEX(Firms!$J$5:$J$1004,$T1208)),IF(INDEX('AFA Rates'!$I$5:$I$1004,$T1208)="","",INDEX('AFA Rates'!$I$5:$I$1004,$T1208))))</f>
        <v/>
      </c>
      <c r="L1208" s="50">
        <f>IF($T1208="","",IF($S1208="S",IF(INDEX(Firms!$K$5:$K$1004,$T1208)="","",INDEX(Firms!$K$5:$K$1004,$T1208)),IF(INDEX('AFA Rates'!$J$5:$J$1004,$T1208)="","",INDEX('AFA Rates'!$J$5:$J$1004,$T1208))))</f>
        <v/>
      </c>
      <c r="M1208" s="50">
        <f>IF($T1208="","",IF($S1208="S",IF(INDEX(Firms!$L$5:$L$1004,$T1208)="","",INDEX(Firms!$L$5:$L$1004,$T1208)),IF(INDEX('AFA Rates'!$K$5:$K$1004,$T1208)="","",INDEX('AFA Rates'!$K$5:$K$1004,$T1208))))</f>
        <v/>
      </c>
      <c r="N1208" s="50">
        <f>IF($T1208="","",IF($S1208="S",IF(INDEX(Firms!$M$5:$M$1004,$T1208)="","",INDEX(Firms!$M$5:$M$1004,$T1208)),IF(INDEX('AFA Rates'!$L$5:$L$1004,$T1208)="","",INDEX('AFA Rates'!$L$5:$L$1004,$T1208))))</f>
        <v/>
      </c>
      <c r="O1208" s="78">
        <f>IF(OR($T1208="",$U1208=""),"",IF(INDEX(Firms!$C$5:$C$1004,$U1208)="","",INDEX(Firms!$C$5:$C$1004,$U1208)))</f>
        <v/>
      </c>
      <c r="P1208" s="79">
        <f>IF(OR($T1208="",$U1208=""),"",IF(INDEX(Firms!$N$5:$N$1004,$U1208)="","",INDEX(Firms!$N$5:$N$1004,$U1208)))</f>
        <v/>
      </c>
      <c r="Q1208" s="78">
        <f>IF($T1208="","",IF($S1208="S",IF(INDEX(Firms!$T$5:$T$1004,$T1208)="","",INDEX(Firms!$T$5:$T$1004,$T1208)),IF(INDEX('AFA Rates'!$M$5:$M$1004,$T1208)="","",INDEX('AFA Rates'!$M$5:$M$1004,$T1208))))</f>
        <v/>
      </c>
      <c r="S1208">
        <f>IF(1204&lt;=$S$2,"S",IF(1204&lt;=$S$2+$T$2,"A",""))</f>
        <v/>
      </c>
      <c r="T1208">
        <f>IF(S1208="S",MATCH(1204,Firms!$W$5:$W$1004,0),IF(S1208="A",IFERROR(MATCH(1204-$S$2,'AFA Rates'!$R$5:$R$1004,0),""),""))</f>
        <v/>
      </c>
      <c r="U1208">
        <f>IF(S1208="S",T1208,IF(AND(S1208="A",T1208&lt;&gt;""),IFERROR(MATCH(INDEX('AFA Rates'!$A$5:$A$1004,T1208),Firms!$A$5:$A$1004,0),""),""))</f>
        <v/>
      </c>
    </row>
    <row r="1209">
      <c r="A1209" s="78">
        <f>IF($T1209="","",IF($S1209="S",IF(INDEX(Firms!$A$5:$A$1004,$T1209)="","",INDEX(Firms!$A$5:$A$1004,$T1209)),IF(INDEX('AFA Rates'!$A$5:$A$1004,$T1209)="","",INDEX('AFA Rates'!$A$5:$A$1004,$T1209))))</f>
        <v/>
      </c>
      <c r="B1209" s="79">
        <f>IF(OR($T1209="",$U1209=""),IF($T1209="","","Not on Firms tab"),INDEX(Firms!$B$5:$B$1004,$U1209)&amp;"")</f>
        <v/>
      </c>
      <c r="C1209" s="78">
        <f>IF($T1209="","",IF($S1209="S","Standard",INDEX('AFA Rates'!$B$5:$B$1004,$T1209)&amp;""))</f>
        <v/>
      </c>
      <c r="D1209" s="88">
        <f>IF($T1209="","",IF($S1209="S",IF(INDEX(Firms!$E$5:$E$1004,$T1209)="","",INDEX(Firms!$E$5:$E$1004,$T1209)),IF(INDEX('AFA Rates'!$C$5:$C$1004,$T1209)="","",INDEX('AFA Rates'!$C$5:$C$1004,$T1209))))</f>
        <v/>
      </c>
      <c r="E1209" s="88">
        <f>IF($T1209="","",IF($S1209="S",IF(""="","",""),IF(INDEX('AFA Rates'!$D$5:$D$1004,$T1209)="","",INDEX('AFA Rates'!$D$5:$D$1004,$T1209))))</f>
        <v/>
      </c>
      <c r="F1209" s="79">
        <f>IF($T1209="","",IF($S1209="S",IF(INDEX(Firms!$O$5:$O$1004,$T1209)="","",INDEX(Firms!$O$5:$O$1004,$T1209)),IF(INDEX('AFA Rates'!$O$5:$O$1004,$T1209)="","",INDEX('AFA Rates'!$O$5:$O$1004,$T1209))))</f>
        <v/>
      </c>
      <c r="G1209" s="50">
        <f>IF($T1209="","",IF($S1209="S",IF(INDEX(Firms!$F$5:$F$1004,$T1209)="","",INDEX(Firms!$F$5:$F$1004,$T1209)),IF(INDEX('AFA Rates'!$E$5:$E$1004,$T1209)="","",INDEX('AFA Rates'!$E$5:$E$1004,$T1209))))</f>
        <v/>
      </c>
      <c r="H1209" s="50">
        <f>IF($T1209="","",IF($S1209="S",IF(INDEX(Firms!$G$5:$G$1004,$T1209)="","",INDEX(Firms!$G$5:$G$1004,$T1209)),IF(INDEX('AFA Rates'!$F$5:$F$1004,$T1209)="","",INDEX('AFA Rates'!$F$5:$F$1004,$T1209))))</f>
        <v/>
      </c>
      <c r="I1209" s="50">
        <f>IF($T1209="","",IF($S1209="S",IF(INDEX(Firms!$H$5:$H$1004,$T1209)="","",INDEX(Firms!$H$5:$H$1004,$T1209)),IF(INDEX('AFA Rates'!$G$5:$G$1004,$T1209)="","",INDEX('AFA Rates'!$G$5:$G$1004,$T1209))))</f>
        <v/>
      </c>
      <c r="J1209" s="50">
        <f>IF($T1209="","",IF($S1209="S",IF(INDEX(Firms!$I$5:$I$1004,$T1209)="","",INDEX(Firms!$I$5:$I$1004,$T1209)),IF(INDEX('AFA Rates'!$H$5:$H$1004,$T1209)="","",INDEX('AFA Rates'!$H$5:$H$1004,$T1209))))</f>
        <v/>
      </c>
      <c r="K1209" s="50">
        <f>IF($T1209="","",IF($S1209="S",IF(INDEX(Firms!$J$5:$J$1004,$T1209)="","",INDEX(Firms!$J$5:$J$1004,$T1209)),IF(INDEX('AFA Rates'!$I$5:$I$1004,$T1209)="","",INDEX('AFA Rates'!$I$5:$I$1004,$T1209))))</f>
        <v/>
      </c>
      <c r="L1209" s="50">
        <f>IF($T1209="","",IF($S1209="S",IF(INDEX(Firms!$K$5:$K$1004,$T1209)="","",INDEX(Firms!$K$5:$K$1004,$T1209)),IF(INDEX('AFA Rates'!$J$5:$J$1004,$T1209)="","",INDEX('AFA Rates'!$J$5:$J$1004,$T1209))))</f>
        <v/>
      </c>
      <c r="M1209" s="50">
        <f>IF($T1209="","",IF($S1209="S",IF(INDEX(Firms!$L$5:$L$1004,$T1209)="","",INDEX(Firms!$L$5:$L$1004,$T1209)),IF(INDEX('AFA Rates'!$K$5:$K$1004,$T1209)="","",INDEX('AFA Rates'!$K$5:$K$1004,$T1209))))</f>
        <v/>
      </c>
      <c r="N1209" s="50">
        <f>IF($T1209="","",IF($S1209="S",IF(INDEX(Firms!$M$5:$M$1004,$T1209)="","",INDEX(Firms!$M$5:$M$1004,$T1209)),IF(INDEX('AFA Rates'!$L$5:$L$1004,$T1209)="","",INDEX('AFA Rates'!$L$5:$L$1004,$T1209))))</f>
        <v/>
      </c>
      <c r="O1209" s="78">
        <f>IF(OR($T1209="",$U1209=""),"",IF(INDEX(Firms!$C$5:$C$1004,$U1209)="","",INDEX(Firms!$C$5:$C$1004,$U1209)))</f>
        <v/>
      </c>
      <c r="P1209" s="79">
        <f>IF(OR($T1209="",$U1209=""),"",IF(INDEX(Firms!$N$5:$N$1004,$U1209)="","",INDEX(Firms!$N$5:$N$1004,$U1209)))</f>
        <v/>
      </c>
      <c r="Q1209" s="78">
        <f>IF($T1209="","",IF($S1209="S",IF(INDEX(Firms!$T$5:$T$1004,$T1209)="","",INDEX(Firms!$T$5:$T$1004,$T1209)),IF(INDEX('AFA Rates'!$M$5:$M$1004,$T1209)="","",INDEX('AFA Rates'!$M$5:$M$1004,$T1209))))</f>
        <v/>
      </c>
      <c r="S1209">
        <f>IF(1205&lt;=$S$2,"S",IF(1205&lt;=$S$2+$T$2,"A",""))</f>
        <v/>
      </c>
      <c r="T1209">
        <f>IF(S1209="S",MATCH(1205,Firms!$W$5:$W$1004,0),IF(S1209="A",IFERROR(MATCH(1205-$S$2,'AFA Rates'!$R$5:$R$1004,0),""),""))</f>
        <v/>
      </c>
      <c r="U1209">
        <f>IF(S1209="S",T1209,IF(AND(S1209="A",T1209&lt;&gt;""),IFERROR(MATCH(INDEX('AFA Rates'!$A$5:$A$1004,T1209),Firms!$A$5:$A$1004,0),""),""))</f>
        <v/>
      </c>
    </row>
    <row r="1210">
      <c r="A1210" s="78">
        <f>IF($T1210="","",IF($S1210="S",IF(INDEX(Firms!$A$5:$A$1004,$T1210)="","",INDEX(Firms!$A$5:$A$1004,$T1210)),IF(INDEX('AFA Rates'!$A$5:$A$1004,$T1210)="","",INDEX('AFA Rates'!$A$5:$A$1004,$T1210))))</f>
        <v/>
      </c>
      <c r="B1210" s="79">
        <f>IF(OR($T1210="",$U1210=""),IF($T1210="","","Not on Firms tab"),INDEX(Firms!$B$5:$B$1004,$U1210)&amp;"")</f>
        <v/>
      </c>
      <c r="C1210" s="78">
        <f>IF($T1210="","",IF($S1210="S","Standard",INDEX('AFA Rates'!$B$5:$B$1004,$T1210)&amp;""))</f>
        <v/>
      </c>
      <c r="D1210" s="88">
        <f>IF($T1210="","",IF($S1210="S",IF(INDEX(Firms!$E$5:$E$1004,$T1210)="","",INDEX(Firms!$E$5:$E$1004,$T1210)),IF(INDEX('AFA Rates'!$C$5:$C$1004,$T1210)="","",INDEX('AFA Rates'!$C$5:$C$1004,$T1210))))</f>
        <v/>
      </c>
      <c r="E1210" s="88">
        <f>IF($T1210="","",IF($S1210="S",IF(""="","",""),IF(INDEX('AFA Rates'!$D$5:$D$1004,$T1210)="","",INDEX('AFA Rates'!$D$5:$D$1004,$T1210))))</f>
        <v/>
      </c>
      <c r="F1210" s="79">
        <f>IF($T1210="","",IF($S1210="S",IF(INDEX(Firms!$O$5:$O$1004,$T1210)="","",INDEX(Firms!$O$5:$O$1004,$T1210)),IF(INDEX('AFA Rates'!$O$5:$O$1004,$T1210)="","",INDEX('AFA Rates'!$O$5:$O$1004,$T1210))))</f>
        <v/>
      </c>
      <c r="G1210" s="50">
        <f>IF($T1210="","",IF($S1210="S",IF(INDEX(Firms!$F$5:$F$1004,$T1210)="","",INDEX(Firms!$F$5:$F$1004,$T1210)),IF(INDEX('AFA Rates'!$E$5:$E$1004,$T1210)="","",INDEX('AFA Rates'!$E$5:$E$1004,$T1210))))</f>
        <v/>
      </c>
      <c r="H1210" s="50">
        <f>IF($T1210="","",IF($S1210="S",IF(INDEX(Firms!$G$5:$G$1004,$T1210)="","",INDEX(Firms!$G$5:$G$1004,$T1210)),IF(INDEX('AFA Rates'!$F$5:$F$1004,$T1210)="","",INDEX('AFA Rates'!$F$5:$F$1004,$T1210))))</f>
        <v/>
      </c>
      <c r="I1210" s="50">
        <f>IF($T1210="","",IF($S1210="S",IF(INDEX(Firms!$H$5:$H$1004,$T1210)="","",INDEX(Firms!$H$5:$H$1004,$T1210)),IF(INDEX('AFA Rates'!$G$5:$G$1004,$T1210)="","",INDEX('AFA Rates'!$G$5:$G$1004,$T1210))))</f>
        <v/>
      </c>
      <c r="J1210" s="50">
        <f>IF($T1210="","",IF($S1210="S",IF(INDEX(Firms!$I$5:$I$1004,$T1210)="","",INDEX(Firms!$I$5:$I$1004,$T1210)),IF(INDEX('AFA Rates'!$H$5:$H$1004,$T1210)="","",INDEX('AFA Rates'!$H$5:$H$1004,$T1210))))</f>
        <v/>
      </c>
      <c r="K1210" s="50">
        <f>IF($T1210="","",IF($S1210="S",IF(INDEX(Firms!$J$5:$J$1004,$T1210)="","",INDEX(Firms!$J$5:$J$1004,$T1210)),IF(INDEX('AFA Rates'!$I$5:$I$1004,$T1210)="","",INDEX('AFA Rates'!$I$5:$I$1004,$T1210))))</f>
        <v/>
      </c>
      <c r="L1210" s="50">
        <f>IF($T1210="","",IF($S1210="S",IF(INDEX(Firms!$K$5:$K$1004,$T1210)="","",INDEX(Firms!$K$5:$K$1004,$T1210)),IF(INDEX('AFA Rates'!$J$5:$J$1004,$T1210)="","",INDEX('AFA Rates'!$J$5:$J$1004,$T1210))))</f>
        <v/>
      </c>
      <c r="M1210" s="50">
        <f>IF($T1210="","",IF($S1210="S",IF(INDEX(Firms!$L$5:$L$1004,$T1210)="","",INDEX(Firms!$L$5:$L$1004,$T1210)),IF(INDEX('AFA Rates'!$K$5:$K$1004,$T1210)="","",INDEX('AFA Rates'!$K$5:$K$1004,$T1210))))</f>
        <v/>
      </c>
      <c r="N1210" s="50">
        <f>IF($T1210="","",IF($S1210="S",IF(INDEX(Firms!$M$5:$M$1004,$T1210)="","",INDEX(Firms!$M$5:$M$1004,$T1210)),IF(INDEX('AFA Rates'!$L$5:$L$1004,$T1210)="","",INDEX('AFA Rates'!$L$5:$L$1004,$T1210))))</f>
        <v/>
      </c>
      <c r="O1210" s="78">
        <f>IF(OR($T1210="",$U1210=""),"",IF(INDEX(Firms!$C$5:$C$1004,$U1210)="","",INDEX(Firms!$C$5:$C$1004,$U1210)))</f>
        <v/>
      </c>
      <c r="P1210" s="79">
        <f>IF(OR($T1210="",$U1210=""),"",IF(INDEX(Firms!$N$5:$N$1004,$U1210)="","",INDEX(Firms!$N$5:$N$1004,$U1210)))</f>
        <v/>
      </c>
      <c r="Q1210" s="78">
        <f>IF($T1210="","",IF($S1210="S",IF(INDEX(Firms!$T$5:$T$1004,$T1210)="","",INDEX(Firms!$T$5:$T$1004,$T1210)),IF(INDEX('AFA Rates'!$M$5:$M$1004,$T1210)="","",INDEX('AFA Rates'!$M$5:$M$1004,$T1210))))</f>
        <v/>
      </c>
      <c r="S1210">
        <f>IF(1206&lt;=$S$2,"S",IF(1206&lt;=$S$2+$T$2,"A",""))</f>
        <v/>
      </c>
      <c r="T1210">
        <f>IF(S1210="S",MATCH(1206,Firms!$W$5:$W$1004,0),IF(S1210="A",IFERROR(MATCH(1206-$S$2,'AFA Rates'!$R$5:$R$1004,0),""),""))</f>
        <v/>
      </c>
      <c r="U1210">
        <f>IF(S1210="S",T1210,IF(AND(S1210="A",T1210&lt;&gt;""),IFERROR(MATCH(INDEX('AFA Rates'!$A$5:$A$1004,T1210),Firms!$A$5:$A$1004,0),""),""))</f>
        <v/>
      </c>
    </row>
    <row r="1211">
      <c r="A1211" s="78">
        <f>IF($T1211="","",IF($S1211="S",IF(INDEX(Firms!$A$5:$A$1004,$T1211)="","",INDEX(Firms!$A$5:$A$1004,$T1211)),IF(INDEX('AFA Rates'!$A$5:$A$1004,$T1211)="","",INDEX('AFA Rates'!$A$5:$A$1004,$T1211))))</f>
        <v/>
      </c>
      <c r="B1211" s="79">
        <f>IF(OR($T1211="",$U1211=""),IF($T1211="","","Not on Firms tab"),INDEX(Firms!$B$5:$B$1004,$U1211)&amp;"")</f>
        <v/>
      </c>
      <c r="C1211" s="78">
        <f>IF($T1211="","",IF($S1211="S","Standard",INDEX('AFA Rates'!$B$5:$B$1004,$T1211)&amp;""))</f>
        <v/>
      </c>
      <c r="D1211" s="88">
        <f>IF($T1211="","",IF($S1211="S",IF(INDEX(Firms!$E$5:$E$1004,$T1211)="","",INDEX(Firms!$E$5:$E$1004,$T1211)),IF(INDEX('AFA Rates'!$C$5:$C$1004,$T1211)="","",INDEX('AFA Rates'!$C$5:$C$1004,$T1211))))</f>
        <v/>
      </c>
      <c r="E1211" s="88">
        <f>IF($T1211="","",IF($S1211="S",IF(""="","",""),IF(INDEX('AFA Rates'!$D$5:$D$1004,$T1211)="","",INDEX('AFA Rates'!$D$5:$D$1004,$T1211))))</f>
        <v/>
      </c>
      <c r="F1211" s="79">
        <f>IF($T1211="","",IF($S1211="S",IF(INDEX(Firms!$O$5:$O$1004,$T1211)="","",INDEX(Firms!$O$5:$O$1004,$T1211)),IF(INDEX('AFA Rates'!$O$5:$O$1004,$T1211)="","",INDEX('AFA Rates'!$O$5:$O$1004,$T1211))))</f>
        <v/>
      </c>
      <c r="G1211" s="50">
        <f>IF($T1211="","",IF($S1211="S",IF(INDEX(Firms!$F$5:$F$1004,$T1211)="","",INDEX(Firms!$F$5:$F$1004,$T1211)),IF(INDEX('AFA Rates'!$E$5:$E$1004,$T1211)="","",INDEX('AFA Rates'!$E$5:$E$1004,$T1211))))</f>
        <v/>
      </c>
      <c r="H1211" s="50">
        <f>IF($T1211="","",IF($S1211="S",IF(INDEX(Firms!$G$5:$G$1004,$T1211)="","",INDEX(Firms!$G$5:$G$1004,$T1211)),IF(INDEX('AFA Rates'!$F$5:$F$1004,$T1211)="","",INDEX('AFA Rates'!$F$5:$F$1004,$T1211))))</f>
        <v/>
      </c>
      <c r="I1211" s="50">
        <f>IF($T1211="","",IF($S1211="S",IF(INDEX(Firms!$H$5:$H$1004,$T1211)="","",INDEX(Firms!$H$5:$H$1004,$T1211)),IF(INDEX('AFA Rates'!$G$5:$G$1004,$T1211)="","",INDEX('AFA Rates'!$G$5:$G$1004,$T1211))))</f>
        <v/>
      </c>
      <c r="J1211" s="50">
        <f>IF($T1211="","",IF($S1211="S",IF(INDEX(Firms!$I$5:$I$1004,$T1211)="","",INDEX(Firms!$I$5:$I$1004,$T1211)),IF(INDEX('AFA Rates'!$H$5:$H$1004,$T1211)="","",INDEX('AFA Rates'!$H$5:$H$1004,$T1211))))</f>
        <v/>
      </c>
      <c r="K1211" s="50">
        <f>IF($T1211="","",IF($S1211="S",IF(INDEX(Firms!$J$5:$J$1004,$T1211)="","",INDEX(Firms!$J$5:$J$1004,$T1211)),IF(INDEX('AFA Rates'!$I$5:$I$1004,$T1211)="","",INDEX('AFA Rates'!$I$5:$I$1004,$T1211))))</f>
        <v/>
      </c>
      <c r="L1211" s="50">
        <f>IF($T1211="","",IF($S1211="S",IF(INDEX(Firms!$K$5:$K$1004,$T1211)="","",INDEX(Firms!$K$5:$K$1004,$T1211)),IF(INDEX('AFA Rates'!$J$5:$J$1004,$T1211)="","",INDEX('AFA Rates'!$J$5:$J$1004,$T1211))))</f>
        <v/>
      </c>
      <c r="M1211" s="50">
        <f>IF($T1211="","",IF($S1211="S",IF(INDEX(Firms!$L$5:$L$1004,$T1211)="","",INDEX(Firms!$L$5:$L$1004,$T1211)),IF(INDEX('AFA Rates'!$K$5:$K$1004,$T1211)="","",INDEX('AFA Rates'!$K$5:$K$1004,$T1211))))</f>
        <v/>
      </c>
      <c r="N1211" s="50">
        <f>IF($T1211="","",IF($S1211="S",IF(INDEX(Firms!$M$5:$M$1004,$T1211)="","",INDEX(Firms!$M$5:$M$1004,$T1211)),IF(INDEX('AFA Rates'!$L$5:$L$1004,$T1211)="","",INDEX('AFA Rates'!$L$5:$L$1004,$T1211))))</f>
        <v/>
      </c>
      <c r="O1211" s="78">
        <f>IF(OR($T1211="",$U1211=""),"",IF(INDEX(Firms!$C$5:$C$1004,$U1211)="","",INDEX(Firms!$C$5:$C$1004,$U1211)))</f>
        <v/>
      </c>
      <c r="P1211" s="79">
        <f>IF(OR($T1211="",$U1211=""),"",IF(INDEX(Firms!$N$5:$N$1004,$U1211)="","",INDEX(Firms!$N$5:$N$1004,$U1211)))</f>
        <v/>
      </c>
      <c r="Q1211" s="78">
        <f>IF($T1211="","",IF($S1211="S",IF(INDEX(Firms!$T$5:$T$1004,$T1211)="","",INDEX(Firms!$T$5:$T$1004,$T1211)),IF(INDEX('AFA Rates'!$M$5:$M$1004,$T1211)="","",INDEX('AFA Rates'!$M$5:$M$1004,$T1211))))</f>
        <v/>
      </c>
      <c r="S1211">
        <f>IF(1207&lt;=$S$2,"S",IF(1207&lt;=$S$2+$T$2,"A",""))</f>
        <v/>
      </c>
      <c r="T1211">
        <f>IF(S1211="S",MATCH(1207,Firms!$W$5:$W$1004,0),IF(S1211="A",IFERROR(MATCH(1207-$S$2,'AFA Rates'!$R$5:$R$1004,0),""),""))</f>
        <v/>
      </c>
      <c r="U1211">
        <f>IF(S1211="S",T1211,IF(AND(S1211="A",T1211&lt;&gt;""),IFERROR(MATCH(INDEX('AFA Rates'!$A$5:$A$1004,T1211),Firms!$A$5:$A$1004,0),""),""))</f>
        <v/>
      </c>
    </row>
    <row r="1212">
      <c r="A1212" s="78">
        <f>IF($T1212="","",IF($S1212="S",IF(INDEX(Firms!$A$5:$A$1004,$T1212)="","",INDEX(Firms!$A$5:$A$1004,$T1212)),IF(INDEX('AFA Rates'!$A$5:$A$1004,$T1212)="","",INDEX('AFA Rates'!$A$5:$A$1004,$T1212))))</f>
        <v/>
      </c>
      <c r="B1212" s="79">
        <f>IF(OR($T1212="",$U1212=""),IF($T1212="","","Not on Firms tab"),INDEX(Firms!$B$5:$B$1004,$U1212)&amp;"")</f>
        <v/>
      </c>
      <c r="C1212" s="78">
        <f>IF($T1212="","",IF($S1212="S","Standard",INDEX('AFA Rates'!$B$5:$B$1004,$T1212)&amp;""))</f>
        <v/>
      </c>
      <c r="D1212" s="88">
        <f>IF($T1212="","",IF($S1212="S",IF(INDEX(Firms!$E$5:$E$1004,$T1212)="","",INDEX(Firms!$E$5:$E$1004,$T1212)),IF(INDEX('AFA Rates'!$C$5:$C$1004,$T1212)="","",INDEX('AFA Rates'!$C$5:$C$1004,$T1212))))</f>
        <v/>
      </c>
      <c r="E1212" s="88">
        <f>IF($T1212="","",IF($S1212="S",IF(""="","",""),IF(INDEX('AFA Rates'!$D$5:$D$1004,$T1212)="","",INDEX('AFA Rates'!$D$5:$D$1004,$T1212))))</f>
        <v/>
      </c>
      <c r="F1212" s="79">
        <f>IF($T1212="","",IF($S1212="S",IF(INDEX(Firms!$O$5:$O$1004,$T1212)="","",INDEX(Firms!$O$5:$O$1004,$T1212)),IF(INDEX('AFA Rates'!$O$5:$O$1004,$T1212)="","",INDEX('AFA Rates'!$O$5:$O$1004,$T1212))))</f>
        <v/>
      </c>
      <c r="G1212" s="50">
        <f>IF($T1212="","",IF($S1212="S",IF(INDEX(Firms!$F$5:$F$1004,$T1212)="","",INDEX(Firms!$F$5:$F$1004,$T1212)),IF(INDEX('AFA Rates'!$E$5:$E$1004,$T1212)="","",INDEX('AFA Rates'!$E$5:$E$1004,$T1212))))</f>
        <v/>
      </c>
      <c r="H1212" s="50">
        <f>IF($T1212="","",IF($S1212="S",IF(INDEX(Firms!$G$5:$G$1004,$T1212)="","",INDEX(Firms!$G$5:$G$1004,$T1212)),IF(INDEX('AFA Rates'!$F$5:$F$1004,$T1212)="","",INDEX('AFA Rates'!$F$5:$F$1004,$T1212))))</f>
        <v/>
      </c>
      <c r="I1212" s="50">
        <f>IF($T1212="","",IF($S1212="S",IF(INDEX(Firms!$H$5:$H$1004,$T1212)="","",INDEX(Firms!$H$5:$H$1004,$T1212)),IF(INDEX('AFA Rates'!$G$5:$G$1004,$T1212)="","",INDEX('AFA Rates'!$G$5:$G$1004,$T1212))))</f>
        <v/>
      </c>
      <c r="J1212" s="50">
        <f>IF($T1212="","",IF($S1212="S",IF(INDEX(Firms!$I$5:$I$1004,$T1212)="","",INDEX(Firms!$I$5:$I$1004,$T1212)),IF(INDEX('AFA Rates'!$H$5:$H$1004,$T1212)="","",INDEX('AFA Rates'!$H$5:$H$1004,$T1212))))</f>
        <v/>
      </c>
      <c r="K1212" s="50">
        <f>IF($T1212="","",IF($S1212="S",IF(INDEX(Firms!$J$5:$J$1004,$T1212)="","",INDEX(Firms!$J$5:$J$1004,$T1212)),IF(INDEX('AFA Rates'!$I$5:$I$1004,$T1212)="","",INDEX('AFA Rates'!$I$5:$I$1004,$T1212))))</f>
        <v/>
      </c>
      <c r="L1212" s="50">
        <f>IF($T1212="","",IF($S1212="S",IF(INDEX(Firms!$K$5:$K$1004,$T1212)="","",INDEX(Firms!$K$5:$K$1004,$T1212)),IF(INDEX('AFA Rates'!$J$5:$J$1004,$T1212)="","",INDEX('AFA Rates'!$J$5:$J$1004,$T1212))))</f>
        <v/>
      </c>
      <c r="M1212" s="50">
        <f>IF($T1212="","",IF($S1212="S",IF(INDEX(Firms!$L$5:$L$1004,$T1212)="","",INDEX(Firms!$L$5:$L$1004,$T1212)),IF(INDEX('AFA Rates'!$K$5:$K$1004,$T1212)="","",INDEX('AFA Rates'!$K$5:$K$1004,$T1212))))</f>
        <v/>
      </c>
      <c r="N1212" s="50">
        <f>IF($T1212="","",IF($S1212="S",IF(INDEX(Firms!$M$5:$M$1004,$T1212)="","",INDEX(Firms!$M$5:$M$1004,$T1212)),IF(INDEX('AFA Rates'!$L$5:$L$1004,$T1212)="","",INDEX('AFA Rates'!$L$5:$L$1004,$T1212))))</f>
        <v/>
      </c>
      <c r="O1212" s="78">
        <f>IF(OR($T1212="",$U1212=""),"",IF(INDEX(Firms!$C$5:$C$1004,$U1212)="","",INDEX(Firms!$C$5:$C$1004,$U1212)))</f>
        <v/>
      </c>
      <c r="P1212" s="79">
        <f>IF(OR($T1212="",$U1212=""),"",IF(INDEX(Firms!$N$5:$N$1004,$U1212)="","",INDEX(Firms!$N$5:$N$1004,$U1212)))</f>
        <v/>
      </c>
      <c r="Q1212" s="78">
        <f>IF($T1212="","",IF($S1212="S",IF(INDEX(Firms!$T$5:$T$1004,$T1212)="","",INDEX(Firms!$T$5:$T$1004,$T1212)),IF(INDEX('AFA Rates'!$M$5:$M$1004,$T1212)="","",INDEX('AFA Rates'!$M$5:$M$1004,$T1212))))</f>
        <v/>
      </c>
      <c r="S1212">
        <f>IF(1208&lt;=$S$2,"S",IF(1208&lt;=$S$2+$T$2,"A",""))</f>
        <v/>
      </c>
      <c r="T1212">
        <f>IF(S1212="S",MATCH(1208,Firms!$W$5:$W$1004,0),IF(S1212="A",IFERROR(MATCH(1208-$S$2,'AFA Rates'!$R$5:$R$1004,0),""),""))</f>
        <v/>
      </c>
      <c r="U1212">
        <f>IF(S1212="S",T1212,IF(AND(S1212="A",T1212&lt;&gt;""),IFERROR(MATCH(INDEX('AFA Rates'!$A$5:$A$1004,T1212),Firms!$A$5:$A$1004,0),""),""))</f>
        <v/>
      </c>
    </row>
    <row r="1213">
      <c r="A1213" s="78">
        <f>IF($T1213="","",IF($S1213="S",IF(INDEX(Firms!$A$5:$A$1004,$T1213)="","",INDEX(Firms!$A$5:$A$1004,$T1213)),IF(INDEX('AFA Rates'!$A$5:$A$1004,$T1213)="","",INDEX('AFA Rates'!$A$5:$A$1004,$T1213))))</f>
        <v/>
      </c>
      <c r="B1213" s="79">
        <f>IF(OR($T1213="",$U1213=""),IF($T1213="","","Not on Firms tab"),INDEX(Firms!$B$5:$B$1004,$U1213)&amp;"")</f>
        <v/>
      </c>
      <c r="C1213" s="78">
        <f>IF($T1213="","",IF($S1213="S","Standard",INDEX('AFA Rates'!$B$5:$B$1004,$T1213)&amp;""))</f>
        <v/>
      </c>
      <c r="D1213" s="88">
        <f>IF($T1213="","",IF($S1213="S",IF(INDEX(Firms!$E$5:$E$1004,$T1213)="","",INDEX(Firms!$E$5:$E$1004,$T1213)),IF(INDEX('AFA Rates'!$C$5:$C$1004,$T1213)="","",INDEX('AFA Rates'!$C$5:$C$1004,$T1213))))</f>
        <v/>
      </c>
      <c r="E1213" s="88">
        <f>IF($T1213="","",IF($S1213="S",IF(""="","",""),IF(INDEX('AFA Rates'!$D$5:$D$1004,$T1213)="","",INDEX('AFA Rates'!$D$5:$D$1004,$T1213))))</f>
        <v/>
      </c>
      <c r="F1213" s="79">
        <f>IF($T1213="","",IF($S1213="S",IF(INDEX(Firms!$O$5:$O$1004,$T1213)="","",INDEX(Firms!$O$5:$O$1004,$T1213)),IF(INDEX('AFA Rates'!$O$5:$O$1004,$T1213)="","",INDEX('AFA Rates'!$O$5:$O$1004,$T1213))))</f>
        <v/>
      </c>
      <c r="G1213" s="50">
        <f>IF($T1213="","",IF($S1213="S",IF(INDEX(Firms!$F$5:$F$1004,$T1213)="","",INDEX(Firms!$F$5:$F$1004,$T1213)),IF(INDEX('AFA Rates'!$E$5:$E$1004,$T1213)="","",INDEX('AFA Rates'!$E$5:$E$1004,$T1213))))</f>
        <v/>
      </c>
      <c r="H1213" s="50">
        <f>IF($T1213="","",IF($S1213="S",IF(INDEX(Firms!$G$5:$G$1004,$T1213)="","",INDEX(Firms!$G$5:$G$1004,$T1213)),IF(INDEX('AFA Rates'!$F$5:$F$1004,$T1213)="","",INDEX('AFA Rates'!$F$5:$F$1004,$T1213))))</f>
        <v/>
      </c>
      <c r="I1213" s="50">
        <f>IF($T1213="","",IF($S1213="S",IF(INDEX(Firms!$H$5:$H$1004,$T1213)="","",INDEX(Firms!$H$5:$H$1004,$T1213)),IF(INDEX('AFA Rates'!$G$5:$G$1004,$T1213)="","",INDEX('AFA Rates'!$G$5:$G$1004,$T1213))))</f>
        <v/>
      </c>
      <c r="J1213" s="50">
        <f>IF($T1213="","",IF($S1213="S",IF(INDEX(Firms!$I$5:$I$1004,$T1213)="","",INDEX(Firms!$I$5:$I$1004,$T1213)),IF(INDEX('AFA Rates'!$H$5:$H$1004,$T1213)="","",INDEX('AFA Rates'!$H$5:$H$1004,$T1213))))</f>
        <v/>
      </c>
      <c r="K1213" s="50">
        <f>IF($T1213="","",IF($S1213="S",IF(INDEX(Firms!$J$5:$J$1004,$T1213)="","",INDEX(Firms!$J$5:$J$1004,$T1213)),IF(INDEX('AFA Rates'!$I$5:$I$1004,$T1213)="","",INDEX('AFA Rates'!$I$5:$I$1004,$T1213))))</f>
        <v/>
      </c>
      <c r="L1213" s="50">
        <f>IF($T1213="","",IF($S1213="S",IF(INDEX(Firms!$K$5:$K$1004,$T1213)="","",INDEX(Firms!$K$5:$K$1004,$T1213)),IF(INDEX('AFA Rates'!$J$5:$J$1004,$T1213)="","",INDEX('AFA Rates'!$J$5:$J$1004,$T1213))))</f>
        <v/>
      </c>
      <c r="M1213" s="50">
        <f>IF($T1213="","",IF($S1213="S",IF(INDEX(Firms!$L$5:$L$1004,$T1213)="","",INDEX(Firms!$L$5:$L$1004,$T1213)),IF(INDEX('AFA Rates'!$K$5:$K$1004,$T1213)="","",INDEX('AFA Rates'!$K$5:$K$1004,$T1213))))</f>
        <v/>
      </c>
      <c r="N1213" s="50">
        <f>IF($T1213="","",IF($S1213="S",IF(INDEX(Firms!$M$5:$M$1004,$T1213)="","",INDEX(Firms!$M$5:$M$1004,$T1213)),IF(INDEX('AFA Rates'!$L$5:$L$1004,$T1213)="","",INDEX('AFA Rates'!$L$5:$L$1004,$T1213))))</f>
        <v/>
      </c>
      <c r="O1213" s="78">
        <f>IF(OR($T1213="",$U1213=""),"",IF(INDEX(Firms!$C$5:$C$1004,$U1213)="","",INDEX(Firms!$C$5:$C$1004,$U1213)))</f>
        <v/>
      </c>
      <c r="P1213" s="79">
        <f>IF(OR($T1213="",$U1213=""),"",IF(INDEX(Firms!$N$5:$N$1004,$U1213)="","",INDEX(Firms!$N$5:$N$1004,$U1213)))</f>
        <v/>
      </c>
      <c r="Q1213" s="78">
        <f>IF($T1213="","",IF($S1213="S",IF(INDEX(Firms!$T$5:$T$1004,$T1213)="","",INDEX(Firms!$T$5:$T$1004,$T1213)),IF(INDEX('AFA Rates'!$M$5:$M$1004,$T1213)="","",INDEX('AFA Rates'!$M$5:$M$1004,$T1213))))</f>
        <v/>
      </c>
      <c r="S1213">
        <f>IF(1209&lt;=$S$2,"S",IF(1209&lt;=$S$2+$T$2,"A",""))</f>
        <v/>
      </c>
      <c r="T1213">
        <f>IF(S1213="S",MATCH(1209,Firms!$W$5:$W$1004,0),IF(S1213="A",IFERROR(MATCH(1209-$S$2,'AFA Rates'!$R$5:$R$1004,0),""),""))</f>
        <v/>
      </c>
      <c r="U1213">
        <f>IF(S1213="S",T1213,IF(AND(S1213="A",T1213&lt;&gt;""),IFERROR(MATCH(INDEX('AFA Rates'!$A$5:$A$1004,T1213),Firms!$A$5:$A$1004,0),""),""))</f>
        <v/>
      </c>
    </row>
    <row r="1214">
      <c r="A1214" s="78">
        <f>IF($T1214="","",IF($S1214="S",IF(INDEX(Firms!$A$5:$A$1004,$T1214)="","",INDEX(Firms!$A$5:$A$1004,$T1214)),IF(INDEX('AFA Rates'!$A$5:$A$1004,$T1214)="","",INDEX('AFA Rates'!$A$5:$A$1004,$T1214))))</f>
        <v/>
      </c>
      <c r="B1214" s="79">
        <f>IF(OR($T1214="",$U1214=""),IF($T1214="","","Not on Firms tab"),INDEX(Firms!$B$5:$B$1004,$U1214)&amp;"")</f>
        <v/>
      </c>
      <c r="C1214" s="78">
        <f>IF($T1214="","",IF($S1214="S","Standard",INDEX('AFA Rates'!$B$5:$B$1004,$T1214)&amp;""))</f>
        <v/>
      </c>
      <c r="D1214" s="88">
        <f>IF($T1214="","",IF($S1214="S",IF(INDEX(Firms!$E$5:$E$1004,$T1214)="","",INDEX(Firms!$E$5:$E$1004,$T1214)),IF(INDEX('AFA Rates'!$C$5:$C$1004,$T1214)="","",INDEX('AFA Rates'!$C$5:$C$1004,$T1214))))</f>
        <v/>
      </c>
      <c r="E1214" s="88">
        <f>IF($T1214="","",IF($S1214="S",IF(""="","",""),IF(INDEX('AFA Rates'!$D$5:$D$1004,$T1214)="","",INDEX('AFA Rates'!$D$5:$D$1004,$T1214))))</f>
        <v/>
      </c>
      <c r="F1214" s="79">
        <f>IF($T1214="","",IF($S1214="S",IF(INDEX(Firms!$O$5:$O$1004,$T1214)="","",INDEX(Firms!$O$5:$O$1004,$T1214)),IF(INDEX('AFA Rates'!$O$5:$O$1004,$T1214)="","",INDEX('AFA Rates'!$O$5:$O$1004,$T1214))))</f>
        <v/>
      </c>
      <c r="G1214" s="50">
        <f>IF($T1214="","",IF($S1214="S",IF(INDEX(Firms!$F$5:$F$1004,$T1214)="","",INDEX(Firms!$F$5:$F$1004,$T1214)),IF(INDEX('AFA Rates'!$E$5:$E$1004,$T1214)="","",INDEX('AFA Rates'!$E$5:$E$1004,$T1214))))</f>
        <v/>
      </c>
      <c r="H1214" s="50">
        <f>IF($T1214="","",IF($S1214="S",IF(INDEX(Firms!$G$5:$G$1004,$T1214)="","",INDEX(Firms!$G$5:$G$1004,$T1214)),IF(INDEX('AFA Rates'!$F$5:$F$1004,$T1214)="","",INDEX('AFA Rates'!$F$5:$F$1004,$T1214))))</f>
        <v/>
      </c>
      <c r="I1214" s="50">
        <f>IF($T1214="","",IF($S1214="S",IF(INDEX(Firms!$H$5:$H$1004,$T1214)="","",INDEX(Firms!$H$5:$H$1004,$T1214)),IF(INDEX('AFA Rates'!$G$5:$G$1004,$T1214)="","",INDEX('AFA Rates'!$G$5:$G$1004,$T1214))))</f>
        <v/>
      </c>
      <c r="J1214" s="50">
        <f>IF($T1214="","",IF($S1214="S",IF(INDEX(Firms!$I$5:$I$1004,$T1214)="","",INDEX(Firms!$I$5:$I$1004,$T1214)),IF(INDEX('AFA Rates'!$H$5:$H$1004,$T1214)="","",INDEX('AFA Rates'!$H$5:$H$1004,$T1214))))</f>
        <v/>
      </c>
      <c r="K1214" s="50">
        <f>IF($T1214="","",IF($S1214="S",IF(INDEX(Firms!$J$5:$J$1004,$T1214)="","",INDEX(Firms!$J$5:$J$1004,$T1214)),IF(INDEX('AFA Rates'!$I$5:$I$1004,$T1214)="","",INDEX('AFA Rates'!$I$5:$I$1004,$T1214))))</f>
        <v/>
      </c>
      <c r="L1214" s="50">
        <f>IF($T1214="","",IF($S1214="S",IF(INDEX(Firms!$K$5:$K$1004,$T1214)="","",INDEX(Firms!$K$5:$K$1004,$T1214)),IF(INDEX('AFA Rates'!$J$5:$J$1004,$T1214)="","",INDEX('AFA Rates'!$J$5:$J$1004,$T1214))))</f>
        <v/>
      </c>
      <c r="M1214" s="50">
        <f>IF($T1214="","",IF($S1214="S",IF(INDEX(Firms!$L$5:$L$1004,$T1214)="","",INDEX(Firms!$L$5:$L$1004,$T1214)),IF(INDEX('AFA Rates'!$K$5:$K$1004,$T1214)="","",INDEX('AFA Rates'!$K$5:$K$1004,$T1214))))</f>
        <v/>
      </c>
      <c r="N1214" s="50">
        <f>IF($T1214="","",IF($S1214="S",IF(INDEX(Firms!$M$5:$M$1004,$T1214)="","",INDEX(Firms!$M$5:$M$1004,$T1214)),IF(INDEX('AFA Rates'!$L$5:$L$1004,$T1214)="","",INDEX('AFA Rates'!$L$5:$L$1004,$T1214))))</f>
        <v/>
      </c>
      <c r="O1214" s="78">
        <f>IF(OR($T1214="",$U1214=""),"",IF(INDEX(Firms!$C$5:$C$1004,$U1214)="","",INDEX(Firms!$C$5:$C$1004,$U1214)))</f>
        <v/>
      </c>
      <c r="P1214" s="79">
        <f>IF(OR($T1214="",$U1214=""),"",IF(INDEX(Firms!$N$5:$N$1004,$U1214)="","",INDEX(Firms!$N$5:$N$1004,$U1214)))</f>
        <v/>
      </c>
      <c r="Q1214" s="78">
        <f>IF($T1214="","",IF($S1214="S",IF(INDEX(Firms!$T$5:$T$1004,$T1214)="","",INDEX(Firms!$T$5:$T$1004,$T1214)),IF(INDEX('AFA Rates'!$M$5:$M$1004,$T1214)="","",INDEX('AFA Rates'!$M$5:$M$1004,$T1214))))</f>
        <v/>
      </c>
      <c r="S1214">
        <f>IF(1210&lt;=$S$2,"S",IF(1210&lt;=$S$2+$T$2,"A",""))</f>
        <v/>
      </c>
      <c r="T1214">
        <f>IF(S1214="S",MATCH(1210,Firms!$W$5:$W$1004,0),IF(S1214="A",IFERROR(MATCH(1210-$S$2,'AFA Rates'!$R$5:$R$1004,0),""),""))</f>
        <v/>
      </c>
      <c r="U1214">
        <f>IF(S1214="S",T1214,IF(AND(S1214="A",T1214&lt;&gt;""),IFERROR(MATCH(INDEX('AFA Rates'!$A$5:$A$1004,T1214),Firms!$A$5:$A$1004,0),""),""))</f>
        <v/>
      </c>
    </row>
    <row r="1215">
      <c r="A1215" s="78">
        <f>IF($T1215="","",IF($S1215="S",IF(INDEX(Firms!$A$5:$A$1004,$T1215)="","",INDEX(Firms!$A$5:$A$1004,$T1215)),IF(INDEX('AFA Rates'!$A$5:$A$1004,$T1215)="","",INDEX('AFA Rates'!$A$5:$A$1004,$T1215))))</f>
        <v/>
      </c>
      <c r="B1215" s="79">
        <f>IF(OR($T1215="",$U1215=""),IF($T1215="","","Not on Firms tab"),INDEX(Firms!$B$5:$B$1004,$U1215)&amp;"")</f>
        <v/>
      </c>
      <c r="C1215" s="78">
        <f>IF($T1215="","",IF($S1215="S","Standard",INDEX('AFA Rates'!$B$5:$B$1004,$T1215)&amp;""))</f>
        <v/>
      </c>
      <c r="D1215" s="88">
        <f>IF($T1215="","",IF($S1215="S",IF(INDEX(Firms!$E$5:$E$1004,$T1215)="","",INDEX(Firms!$E$5:$E$1004,$T1215)),IF(INDEX('AFA Rates'!$C$5:$C$1004,$T1215)="","",INDEX('AFA Rates'!$C$5:$C$1004,$T1215))))</f>
        <v/>
      </c>
      <c r="E1215" s="88">
        <f>IF($T1215="","",IF($S1215="S",IF(""="","",""),IF(INDEX('AFA Rates'!$D$5:$D$1004,$T1215)="","",INDEX('AFA Rates'!$D$5:$D$1004,$T1215))))</f>
        <v/>
      </c>
      <c r="F1215" s="79">
        <f>IF($T1215="","",IF($S1215="S",IF(INDEX(Firms!$O$5:$O$1004,$T1215)="","",INDEX(Firms!$O$5:$O$1004,$T1215)),IF(INDEX('AFA Rates'!$O$5:$O$1004,$T1215)="","",INDEX('AFA Rates'!$O$5:$O$1004,$T1215))))</f>
        <v/>
      </c>
      <c r="G1215" s="50">
        <f>IF($T1215="","",IF($S1215="S",IF(INDEX(Firms!$F$5:$F$1004,$T1215)="","",INDEX(Firms!$F$5:$F$1004,$T1215)),IF(INDEX('AFA Rates'!$E$5:$E$1004,$T1215)="","",INDEX('AFA Rates'!$E$5:$E$1004,$T1215))))</f>
        <v/>
      </c>
      <c r="H1215" s="50">
        <f>IF($T1215="","",IF($S1215="S",IF(INDEX(Firms!$G$5:$G$1004,$T1215)="","",INDEX(Firms!$G$5:$G$1004,$T1215)),IF(INDEX('AFA Rates'!$F$5:$F$1004,$T1215)="","",INDEX('AFA Rates'!$F$5:$F$1004,$T1215))))</f>
        <v/>
      </c>
      <c r="I1215" s="50">
        <f>IF($T1215="","",IF($S1215="S",IF(INDEX(Firms!$H$5:$H$1004,$T1215)="","",INDEX(Firms!$H$5:$H$1004,$T1215)),IF(INDEX('AFA Rates'!$G$5:$G$1004,$T1215)="","",INDEX('AFA Rates'!$G$5:$G$1004,$T1215))))</f>
        <v/>
      </c>
      <c r="J1215" s="50">
        <f>IF($T1215="","",IF($S1215="S",IF(INDEX(Firms!$I$5:$I$1004,$T1215)="","",INDEX(Firms!$I$5:$I$1004,$T1215)),IF(INDEX('AFA Rates'!$H$5:$H$1004,$T1215)="","",INDEX('AFA Rates'!$H$5:$H$1004,$T1215))))</f>
        <v/>
      </c>
      <c r="K1215" s="50">
        <f>IF($T1215="","",IF($S1215="S",IF(INDEX(Firms!$J$5:$J$1004,$T1215)="","",INDEX(Firms!$J$5:$J$1004,$T1215)),IF(INDEX('AFA Rates'!$I$5:$I$1004,$T1215)="","",INDEX('AFA Rates'!$I$5:$I$1004,$T1215))))</f>
        <v/>
      </c>
      <c r="L1215" s="50">
        <f>IF($T1215="","",IF($S1215="S",IF(INDEX(Firms!$K$5:$K$1004,$T1215)="","",INDEX(Firms!$K$5:$K$1004,$T1215)),IF(INDEX('AFA Rates'!$J$5:$J$1004,$T1215)="","",INDEX('AFA Rates'!$J$5:$J$1004,$T1215))))</f>
        <v/>
      </c>
      <c r="M1215" s="50">
        <f>IF($T1215="","",IF($S1215="S",IF(INDEX(Firms!$L$5:$L$1004,$T1215)="","",INDEX(Firms!$L$5:$L$1004,$T1215)),IF(INDEX('AFA Rates'!$K$5:$K$1004,$T1215)="","",INDEX('AFA Rates'!$K$5:$K$1004,$T1215))))</f>
        <v/>
      </c>
      <c r="N1215" s="50">
        <f>IF($T1215="","",IF($S1215="S",IF(INDEX(Firms!$M$5:$M$1004,$T1215)="","",INDEX(Firms!$M$5:$M$1004,$T1215)),IF(INDEX('AFA Rates'!$L$5:$L$1004,$T1215)="","",INDEX('AFA Rates'!$L$5:$L$1004,$T1215))))</f>
        <v/>
      </c>
      <c r="O1215" s="78">
        <f>IF(OR($T1215="",$U1215=""),"",IF(INDEX(Firms!$C$5:$C$1004,$U1215)="","",INDEX(Firms!$C$5:$C$1004,$U1215)))</f>
        <v/>
      </c>
      <c r="P1215" s="79">
        <f>IF(OR($T1215="",$U1215=""),"",IF(INDEX(Firms!$N$5:$N$1004,$U1215)="","",INDEX(Firms!$N$5:$N$1004,$U1215)))</f>
        <v/>
      </c>
      <c r="Q1215" s="78">
        <f>IF($T1215="","",IF($S1215="S",IF(INDEX(Firms!$T$5:$T$1004,$T1215)="","",INDEX(Firms!$T$5:$T$1004,$T1215)),IF(INDEX('AFA Rates'!$M$5:$M$1004,$T1215)="","",INDEX('AFA Rates'!$M$5:$M$1004,$T1215))))</f>
        <v/>
      </c>
      <c r="S1215">
        <f>IF(1211&lt;=$S$2,"S",IF(1211&lt;=$S$2+$T$2,"A",""))</f>
        <v/>
      </c>
      <c r="T1215">
        <f>IF(S1215="S",MATCH(1211,Firms!$W$5:$W$1004,0),IF(S1215="A",IFERROR(MATCH(1211-$S$2,'AFA Rates'!$R$5:$R$1004,0),""),""))</f>
        <v/>
      </c>
      <c r="U1215">
        <f>IF(S1215="S",T1215,IF(AND(S1215="A",T1215&lt;&gt;""),IFERROR(MATCH(INDEX('AFA Rates'!$A$5:$A$1004,T1215),Firms!$A$5:$A$1004,0),""),""))</f>
        <v/>
      </c>
    </row>
    <row r="1216">
      <c r="A1216" s="78">
        <f>IF($T1216="","",IF($S1216="S",IF(INDEX(Firms!$A$5:$A$1004,$T1216)="","",INDEX(Firms!$A$5:$A$1004,$T1216)),IF(INDEX('AFA Rates'!$A$5:$A$1004,$T1216)="","",INDEX('AFA Rates'!$A$5:$A$1004,$T1216))))</f>
        <v/>
      </c>
      <c r="B1216" s="79">
        <f>IF(OR($T1216="",$U1216=""),IF($T1216="","","Not on Firms tab"),INDEX(Firms!$B$5:$B$1004,$U1216)&amp;"")</f>
        <v/>
      </c>
      <c r="C1216" s="78">
        <f>IF($T1216="","",IF($S1216="S","Standard",INDEX('AFA Rates'!$B$5:$B$1004,$T1216)&amp;""))</f>
        <v/>
      </c>
      <c r="D1216" s="88">
        <f>IF($T1216="","",IF($S1216="S",IF(INDEX(Firms!$E$5:$E$1004,$T1216)="","",INDEX(Firms!$E$5:$E$1004,$T1216)),IF(INDEX('AFA Rates'!$C$5:$C$1004,$T1216)="","",INDEX('AFA Rates'!$C$5:$C$1004,$T1216))))</f>
        <v/>
      </c>
      <c r="E1216" s="88">
        <f>IF($T1216="","",IF($S1216="S",IF(""="","",""),IF(INDEX('AFA Rates'!$D$5:$D$1004,$T1216)="","",INDEX('AFA Rates'!$D$5:$D$1004,$T1216))))</f>
        <v/>
      </c>
      <c r="F1216" s="79">
        <f>IF($T1216="","",IF($S1216="S",IF(INDEX(Firms!$O$5:$O$1004,$T1216)="","",INDEX(Firms!$O$5:$O$1004,$T1216)),IF(INDEX('AFA Rates'!$O$5:$O$1004,$T1216)="","",INDEX('AFA Rates'!$O$5:$O$1004,$T1216))))</f>
        <v/>
      </c>
      <c r="G1216" s="50">
        <f>IF($T1216="","",IF($S1216="S",IF(INDEX(Firms!$F$5:$F$1004,$T1216)="","",INDEX(Firms!$F$5:$F$1004,$T1216)),IF(INDEX('AFA Rates'!$E$5:$E$1004,$T1216)="","",INDEX('AFA Rates'!$E$5:$E$1004,$T1216))))</f>
        <v/>
      </c>
      <c r="H1216" s="50">
        <f>IF($T1216="","",IF($S1216="S",IF(INDEX(Firms!$G$5:$G$1004,$T1216)="","",INDEX(Firms!$G$5:$G$1004,$T1216)),IF(INDEX('AFA Rates'!$F$5:$F$1004,$T1216)="","",INDEX('AFA Rates'!$F$5:$F$1004,$T1216))))</f>
        <v/>
      </c>
      <c r="I1216" s="50">
        <f>IF($T1216="","",IF($S1216="S",IF(INDEX(Firms!$H$5:$H$1004,$T1216)="","",INDEX(Firms!$H$5:$H$1004,$T1216)),IF(INDEX('AFA Rates'!$G$5:$G$1004,$T1216)="","",INDEX('AFA Rates'!$G$5:$G$1004,$T1216))))</f>
        <v/>
      </c>
      <c r="J1216" s="50">
        <f>IF($T1216="","",IF($S1216="S",IF(INDEX(Firms!$I$5:$I$1004,$T1216)="","",INDEX(Firms!$I$5:$I$1004,$T1216)),IF(INDEX('AFA Rates'!$H$5:$H$1004,$T1216)="","",INDEX('AFA Rates'!$H$5:$H$1004,$T1216))))</f>
        <v/>
      </c>
      <c r="K1216" s="50">
        <f>IF($T1216="","",IF($S1216="S",IF(INDEX(Firms!$J$5:$J$1004,$T1216)="","",INDEX(Firms!$J$5:$J$1004,$T1216)),IF(INDEX('AFA Rates'!$I$5:$I$1004,$T1216)="","",INDEX('AFA Rates'!$I$5:$I$1004,$T1216))))</f>
        <v/>
      </c>
      <c r="L1216" s="50">
        <f>IF($T1216="","",IF($S1216="S",IF(INDEX(Firms!$K$5:$K$1004,$T1216)="","",INDEX(Firms!$K$5:$K$1004,$T1216)),IF(INDEX('AFA Rates'!$J$5:$J$1004,$T1216)="","",INDEX('AFA Rates'!$J$5:$J$1004,$T1216))))</f>
        <v/>
      </c>
      <c r="M1216" s="50">
        <f>IF($T1216="","",IF($S1216="S",IF(INDEX(Firms!$L$5:$L$1004,$T1216)="","",INDEX(Firms!$L$5:$L$1004,$T1216)),IF(INDEX('AFA Rates'!$K$5:$K$1004,$T1216)="","",INDEX('AFA Rates'!$K$5:$K$1004,$T1216))))</f>
        <v/>
      </c>
      <c r="N1216" s="50">
        <f>IF($T1216="","",IF($S1216="S",IF(INDEX(Firms!$M$5:$M$1004,$T1216)="","",INDEX(Firms!$M$5:$M$1004,$T1216)),IF(INDEX('AFA Rates'!$L$5:$L$1004,$T1216)="","",INDEX('AFA Rates'!$L$5:$L$1004,$T1216))))</f>
        <v/>
      </c>
      <c r="O1216" s="78">
        <f>IF(OR($T1216="",$U1216=""),"",IF(INDEX(Firms!$C$5:$C$1004,$U1216)="","",INDEX(Firms!$C$5:$C$1004,$U1216)))</f>
        <v/>
      </c>
      <c r="P1216" s="79">
        <f>IF(OR($T1216="",$U1216=""),"",IF(INDEX(Firms!$N$5:$N$1004,$U1216)="","",INDEX(Firms!$N$5:$N$1004,$U1216)))</f>
        <v/>
      </c>
      <c r="Q1216" s="78">
        <f>IF($T1216="","",IF($S1216="S",IF(INDEX(Firms!$T$5:$T$1004,$T1216)="","",INDEX(Firms!$T$5:$T$1004,$T1216)),IF(INDEX('AFA Rates'!$M$5:$M$1004,$T1216)="","",INDEX('AFA Rates'!$M$5:$M$1004,$T1216))))</f>
        <v/>
      </c>
      <c r="S1216">
        <f>IF(1212&lt;=$S$2,"S",IF(1212&lt;=$S$2+$T$2,"A",""))</f>
        <v/>
      </c>
      <c r="T1216">
        <f>IF(S1216="S",MATCH(1212,Firms!$W$5:$W$1004,0),IF(S1216="A",IFERROR(MATCH(1212-$S$2,'AFA Rates'!$R$5:$R$1004,0),""),""))</f>
        <v/>
      </c>
      <c r="U1216">
        <f>IF(S1216="S",T1216,IF(AND(S1216="A",T1216&lt;&gt;""),IFERROR(MATCH(INDEX('AFA Rates'!$A$5:$A$1004,T1216),Firms!$A$5:$A$1004,0),""),""))</f>
        <v/>
      </c>
    </row>
    <row r="1217">
      <c r="A1217" s="78">
        <f>IF($T1217="","",IF($S1217="S",IF(INDEX(Firms!$A$5:$A$1004,$T1217)="","",INDEX(Firms!$A$5:$A$1004,$T1217)),IF(INDEX('AFA Rates'!$A$5:$A$1004,$T1217)="","",INDEX('AFA Rates'!$A$5:$A$1004,$T1217))))</f>
        <v/>
      </c>
      <c r="B1217" s="79">
        <f>IF(OR($T1217="",$U1217=""),IF($T1217="","","Not on Firms tab"),INDEX(Firms!$B$5:$B$1004,$U1217)&amp;"")</f>
        <v/>
      </c>
      <c r="C1217" s="78">
        <f>IF($T1217="","",IF($S1217="S","Standard",INDEX('AFA Rates'!$B$5:$B$1004,$T1217)&amp;""))</f>
        <v/>
      </c>
      <c r="D1217" s="88">
        <f>IF($T1217="","",IF($S1217="S",IF(INDEX(Firms!$E$5:$E$1004,$T1217)="","",INDEX(Firms!$E$5:$E$1004,$T1217)),IF(INDEX('AFA Rates'!$C$5:$C$1004,$T1217)="","",INDEX('AFA Rates'!$C$5:$C$1004,$T1217))))</f>
        <v/>
      </c>
      <c r="E1217" s="88">
        <f>IF($T1217="","",IF($S1217="S",IF(""="","",""),IF(INDEX('AFA Rates'!$D$5:$D$1004,$T1217)="","",INDEX('AFA Rates'!$D$5:$D$1004,$T1217))))</f>
        <v/>
      </c>
      <c r="F1217" s="79">
        <f>IF($T1217="","",IF($S1217="S",IF(INDEX(Firms!$O$5:$O$1004,$T1217)="","",INDEX(Firms!$O$5:$O$1004,$T1217)),IF(INDEX('AFA Rates'!$O$5:$O$1004,$T1217)="","",INDEX('AFA Rates'!$O$5:$O$1004,$T1217))))</f>
        <v/>
      </c>
      <c r="G1217" s="50">
        <f>IF($T1217="","",IF($S1217="S",IF(INDEX(Firms!$F$5:$F$1004,$T1217)="","",INDEX(Firms!$F$5:$F$1004,$T1217)),IF(INDEX('AFA Rates'!$E$5:$E$1004,$T1217)="","",INDEX('AFA Rates'!$E$5:$E$1004,$T1217))))</f>
        <v/>
      </c>
      <c r="H1217" s="50">
        <f>IF($T1217="","",IF($S1217="S",IF(INDEX(Firms!$G$5:$G$1004,$T1217)="","",INDEX(Firms!$G$5:$G$1004,$T1217)),IF(INDEX('AFA Rates'!$F$5:$F$1004,$T1217)="","",INDEX('AFA Rates'!$F$5:$F$1004,$T1217))))</f>
        <v/>
      </c>
      <c r="I1217" s="50">
        <f>IF($T1217="","",IF($S1217="S",IF(INDEX(Firms!$H$5:$H$1004,$T1217)="","",INDEX(Firms!$H$5:$H$1004,$T1217)),IF(INDEX('AFA Rates'!$G$5:$G$1004,$T1217)="","",INDEX('AFA Rates'!$G$5:$G$1004,$T1217))))</f>
        <v/>
      </c>
      <c r="J1217" s="50">
        <f>IF($T1217="","",IF($S1217="S",IF(INDEX(Firms!$I$5:$I$1004,$T1217)="","",INDEX(Firms!$I$5:$I$1004,$T1217)),IF(INDEX('AFA Rates'!$H$5:$H$1004,$T1217)="","",INDEX('AFA Rates'!$H$5:$H$1004,$T1217))))</f>
        <v/>
      </c>
      <c r="K1217" s="50">
        <f>IF($T1217="","",IF($S1217="S",IF(INDEX(Firms!$J$5:$J$1004,$T1217)="","",INDEX(Firms!$J$5:$J$1004,$T1217)),IF(INDEX('AFA Rates'!$I$5:$I$1004,$T1217)="","",INDEX('AFA Rates'!$I$5:$I$1004,$T1217))))</f>
        <v/>
      </c>
      <c r="L1217" s="50">
        <f>IF($T1217="","",IF($S1217="S",IF(INDEX(Firms!$K$5:$K$1004,$T1217)="","",INDEX(Firms!$K$5:$K$1004,$T1217)),IF(INDEX('AFA Rates'!$J$5:$J$1004,$T1217)="","",INDEX('AFA Rates'!$J$5:$J$1004,$T1217))))</f>
        <v/>
      </c>
      <c r="M1217" s="50">
        <f>IF($T1217="","",IF($S1217="S",IF(INDEX(Firms!$L$5:$L$1004,$T1217)="","",INDEX(Firms!$L$5:$L$1004,$T1217)),IF(INDEX('AFA Rates'!$K$5:$K$1004,$T1217)="","",INDEX('AFA Rates'!$K$5:$K$1004,$T1217))))</f>
        <v/>
      </c>
      <c r="N1217" s="50">
        <f>IF($T1217="","",IF($S1217="S",IF(INDEX(Firms!$M$5:$M$1004,$T1217)="","",INDEX(Firms!$M$5:$M$1004,$T1217)),IF(INDEX('AFA Rates'!$L$5:$L$1004,$T1217)="","",INDEX('AFA Rates'!$L$5:$L$1004,$T1217))))</f>
        <v/>
      </c>
      <c r="O1217" s="78">
        <f>IF(OR($T1217="",$U1217=""),"",IF(INDEX(Firms!$C$5:$C$1004,$U1217)="","",INDEX(Firms!$C$5:$C$1004,$U1217)))</f>
        <v/>
      </c>
      <c r="P1217" s="79">
        <f>IF(OR($T1217="",$U1217=""),"",IF(INDEX(Firms!$N$5:$N$1004,$U1217)="","",INDEX(Firms!$N$5:$N$1004,$U1217)))</f>
        <v/>
      </c>
      <c r="Q1217" s="78">
        <f>IF($T1217="","",IF($S1217="S",IF(INDEX(Firms!$T$5:$T$1004,$T1217)="","",INDEX(Firms!$T$5:$T$1004,$T1217)),IF(INDEX('AFA Rates'!$M$5:$M$1004,$T1217)="","",INDEX('AFA Rates'!$M$5:$M$1004,$T1217))))</f>
        <v/>
      </c>
      <c r="S1217">
        <f>IF(1213&lt;=$S$2,"S",IF(1213&lt;=$S$2+$T$2,"A",""))</f>
        <v/>
      </c>
      <c r="T1217">
        <f>IF(S1217="S",MATCH(1213,Firms!$W$5:$W$1004,0),IF(S1217="A",IFERROR(MATCH(1213-$S$2,'AFA Rates'!$R$5:$R$1004,0),""),""))</f>
        <v/>
      </c>
      <c r="U1217">
        <f>IF(S1217="S",T1217,IF(AND(S1217="A",T1217&lt;&gt;""),IFERROR(MATCH(INDEX('AFA Rates'!$A$5:$A$1004,T1217),Firms!$A$5:$A$1004,0),""),""))</f>
        <v/>
      </c>
    </row>
    <row r="1218">
      <c r="A1218" s="78">
        <f>IF($T1218="","",IF($S1218="S",IF(INDEX(Firms!$A$5:$A$1004,$T1218)="","",INDEX(Firms!$A$5:$A$1004,$T1218)),IF(INDEX('AFA Rates'!$A$5:$A$1004,$T1218)="","",INDEX('AFA Rates'!$A$5:$A$1004,$T1218))))</f>
        <v/>
      </c>
      <c r="B1218" s="79">
        <f>IF(OR($T1218="",$U1218=""),IF($T1218="","","Not on Firms tab"),INDEX(Firms!$B$5:$B$1004,$U1218)&amp;"")</f>
        <v/>
      </c>
      <c r="C1218" s="78">
        <f>IF($T1218="","",IF($S1218="S","Standard",INDEX('AFA Rates'!$B$5:$B$1004,$T1218)&amp;""))</f>
        <v/>
      </c>
      <c r="D1218" s="88">
        <f>IF($T1218="","",IF($S1218="S",IF(INDEX(Firms!$E$5:$E$1004,$T1218)="","",INDEX(Firms!$E$5:$E$1004,$T1218)),IF(INDEX('AFA Rates'!$C$5:$C$1004,$T1218)="","",INDEX('AFA Rates'!$C$5:$C$1004,$T1218))))</f>
        <v/>
      </c>
      <c r="E1218" s="88">
        <f>IF($T1218="","",IF($S1218="S",IF(""="","",""),IF(INDEX('AFA Rates'!$D$5:$D$1004,$T1218)="","",INDEX('AFA Rates'!$D$5:$D$1004,$T1218))))</f>
        <v/>
      </c>
      <c r="F1218" s="79">
        <f>IF($T1218="","",IF($S1218="S",IF(INDEX(Firms!$O$5:$O$1004,$T1218)="","",INDEX(Firms!$O$5:$O$1004,$T1218)),IF(INDEX('AFA Rates'!$O$5:$O$1004,$T1218)="","",INDEX('AFA Rates'!$O$5:$O$1004,$T1218))))</f>
        <v/>
      </c>
      <c r="G1218" s="50">
        <f>IF($T1218="","",IF($S1218="S",IF(INDEX(Firms!$F$5:$F$1004,$T1218)="","",INDEX(Firms!$F$5:$F$1004,$T1218)),IF(INDEX('AFA Rates'!$E$5:$E$1004,$T1218)="","",INDEX('AFA Rates'!$E$5:$E$1004,$T1218))))</f>
        <v/>
      </c>
      <c r="H1218" s="50">
        <f>IF($T1218="","",IF($S1218="S",IF(INDEX(Firms!$G$5:$G$1004,$T1218)="","",INDEX(Firms!$G$5:$G$1004,$T1218)),IF(INDEX('AFA Rates'!$F$5:$F$1004,$T1218)="","",INDEX('AFA Rates'!$F$5:$F$1004,$T1218))))</f>
        <v/>
      </c>
      <c r="I1218" s="50">
        <f>IF($T1218="","",IF($S1218="S",IF(INDEX(Firms!$H$5:$H$1004,$T1218)="","",INDEX(Firms!$H$5:$H$1004,$T1218)),IF(INDEX('AFA Rates'!$G$5:$G$1004,$T1218)="","",INDEX('AFA Rates'!$G$5:$G$1004,$T1218))))</f>
        <v/>
      </c>
      <c r="J1218" s="50">
        <f>IF($T1218="","",IF($S1218="S",IF(INDEX(Firms!$I$5:$I$1004,$T1218)="","",INDEX(Firms!$I$5:$I$1004,$T1218)),IF(INDEX('AFA Rates'!$H$5:$H$1004,$T1218)="","",INDEX('AFA Rates'!$H$5:$H$1004,$T1218))))</f>
        <v/>
      </c>
      <c r="K1218" s="50">
        <f>IF($T1218="","",IF($S1218="S",IF(INDEX(Firms!$J$5:$J$1004,$T1218)="","",INDEX(Firms!$J$5:$J$1004,$T1218)),IF(INDEX('AFA Rates'!$I$5:$I$1004,$T1218)="","",INDEX('AFA Rates'!$I$5:$I$1004,$T1218))))</f>
        <v/>
      </c>
      <c r="L1218" s="50">
        <f>IF($T1218="","",IF($S1218="S",IF(INDEX(Firms!$K$5:$K$1004,$T1218)="","",INDEX(Firms!$K$5:$K$1004,$T1218)),IF(INDEX('AFA Rates'!$J$5:$J$1004,$T1218)="","",INDEX('AFA Rates'!$J$5:$J$1004,$T1218))))</f>
        <v/>
      </c>
      <c r="M1218" s="50">
        <f>IF($T1218="","",IF($S1218="S",IF(INDEX(Firms!$L$5:$L$1004,$T1218)="","",INDEX(Firms!$L$5:$L$1004,$T1218)),IF(INDEX('AFA Rates'!$K$5:$K$1004,$T1218)="","",INDEX('AFA Rates'!$K$5:$K$1004,$T1218))))</f>
        <v/>
      </c>
      <c r="N1218" s="50">
        <f>IF($T1218="","",IF($S1218="S",IF(INDEX(Firms!$M$5:$M$1004,$T1218)="","",INDEX(Firms!$M$5:$M$1004,$T1218)),IF(INDEX('AFA Rates'!$L$5:$L$1004,$T1218)="","",INDEX('AFA Rates'!$L$5:$L$1004,$T1218))))</f>
        <v/>
      </c>
      <c r="O1218" s="78">
        <f>IF(OR($T1218="",$U1218=""),"",IF(INDEX(Firms!$C$5:$C$1004,$U1218)="","",INDEX(Firms!$C$5:$C$1004,$U1218)))</f>
        <v/>
      </c>
      <c r="P1218" s="79">
        <f>IF(OR($T1218="",$U1218=""),"",IF(INDEX(Firms!$N$5:$N$1004,$U1218)="","",INDEX(Firms!$N$5:$N$1004,$U1218)))</f>
        <v/>
      </c>
      <c r="Q1218" s="78">
        <f>IF($T1218="","",IF($S1218="S",IF(INDEX(Firms!$T$5:$T$1004,$T1218)="","",INDEX(Firms!$T$5:$T$1004,$T1218)),IF(INDEX('AFA Rates'!$M$5:$M$1004,$T1218)="","",INDEX('AFA Rates'!$M$5:$M$1004,$T1218))))</f>
        <v/>
      </c>
      <c r="S1218">
        <f>IF(1214&lt;=$S$2,"S",IF(1214&lt;=$S$2+$T$2,"A",""))</f>
        <v/>
      </c>
      <c r="T1218">
        <f>IF(S1218="S",MATCH(1214,Firms!$W$5:$W$1004,0),IF(S1218="A",IFERROR(MATCH(1214-$S$2,'AFA Rates'!$R$5:$R$1004,0),""),""))</f>
        <v/>
      </c>
      <c r="U1218">
        <f>IF(S1218="S",T1218,IF(AND(S1218="A",T1218&lt;&gt;""),IFERROR(MATCH(INDEX('AFA Rates'!$A$5:$A$1004,T1218),Firms!$A$5:$A$1004,0),""),""))</f>
        <v/>
      </c>
    </row>
    <row r="1219">
      <c r="A1219" s="78">
        <f>IF($T1219="","",IF($S1219="S",IF(INDEX(Firms!$A$5:$A$1004,$T1219)="","",INDEX(Firms!$A$5:$A$1004,$T1219)),IF(INDEX('AFA Rates'!$A$5:$A$1004,$T1219)="","",INDEX('AFA Rates'!$A$5:$A$1004,$T1219))))</f>
        <v/>
      </c>
      <c r="B1219" s="79">
        <f>IF(OR($T1219="",$U1219=""),IF($T1219="","","Not on Firms tab"),INDEX(Firms!$B$5:$B$1004,$U1219)&amp;"")</f>
        <v/>
      </c>
      <c r="C1219" s="78">
        <f>IF($T1219="","",IF($S1219="S","Standard",INDEX('AFA Rates'!$B$5:$B$1004,$T1219)&amp;""))</f>
        <v/>
      </c>
      <c r="D1219" s="88">
        <f>IF($T1219="","",IF($S1219="S",IF(INDEX(Firms!$E$5:$E$1004,$T1219)="","",INDEX(Firms!$E$5:$E$1004,$T1219)),IF(INDEX('AFA Rates'!$C$5:$C$1004,$T1219)="","",INDEX('AFA Rates'!$C$5:$C$1004,$T1219))))</f>
        <v/>
      </c>
      <c r="E1219" s="88">
        <f>IF($T1219="","",IF($S1219="S",IF(""="","",""),IF(INDEX('AFA Rates'!$D$5:$D$1004,$T1219)="","",INDEX('AFA Rates'!$D$5:$D$1004,$T1219))))</f>
        <v/>
      </c>
      <c r="F1219" s="79">
        <f>IF($T1219="","",IF($S1219="S",IF(INDEX(Firms!$O$5:$O$1004,$T1219)="","",INDEX(Firms!$O$5:$O$1004,$T1219)),IF(INDEX('AFA Rates'!$O$5:$O$1004,$T1219)="","",INDEX('AFA Rates'!$O$5:$O$1004,$T1219))))</f>
        <v/>
      </c>
      <c r="G1219" s="50">
        <f>IF($T1219="","",IF($S1219="S",IF(INDEX(Firms!$F$5:$F$1004,$T1219)="","",INDEX(Firms!$F$5:$F$1004,$T1219)),IF(INDEX('AFA Rates'!$E$5:$E$1004,$T1219)="","",INDEX('AFA Rates'!$E$5:$E$1004,$T1219))))</f>
        <v/>
      </c>
      <c r="H1219" s="50">
        <f>IF($T1219="","",IF($S1219="S",IF(INDEX(Firms!$G$5:$G$1004,$T1219)="","",INDEX(Firms!$G$5:$G$1004,$T1219)),IF(INDEX('AFA Rates'!$F$5:$F$1004,$T1219)="","",INDEX('AFA Rates'!$F$5:$F$1004,$T1219))))</f>
        <v/>
      </c>
      <c r="I1219" s="50">
        <f>IF($T1219="","",IF($S1219="S",IF(INDEX(Firms!$H$5:$H$1004,$T1219)="","",INDEX(Firms!$H$5:$H$1004,$T1219)),IF(INDEX('AFA Rates'!$G$5:$G$1004,$T1219)="","",INDEX('AFA Rates'!$G$5:$G$1004,$T1219))))</f>
        <v/>
      </c>
      <c r="J1219" s="50">
        <f>IF($T1219="","",IF($S1219="S",IF(INDEX(Firms!$I$5:$I$1004,$T1219)="","",INDEX(Firms!$I$5:$I$1004,$T1219)),IF(INDEX('AFA Rates'!$H$5:$H$1004,$T1219)="","",INDEX('AFA Rates'!$H$5:$H$1004,$T1219))))</f>
        <v/>
      </c>
      <c r="K1219" s="50">
        <f>IF($T1219="","",IF($S1219="S",IF(INDEX(Firms!$J$5:$J$1004,$T1219)="","",INDEX(Firms!$J$5:$J$1004,$T1219)),IF(INDEX('AFA Rates'!$I$5:$I$1004,$T1219)="","",INDEX('AFA Rates'!$I$5:$I$1004,$T1219))))</f>
        <v/>
      </c>
      <c r="L1219" s="50">
        <f>IF($T1219="","",IF($S1219="S",IF(INDEX(Firms!$K$5:$K$1004,$T1219)="","",INDEX(Firms!$K$5:$K$1004,$T1219)),IF(INDEX('AFA Rates'!$J$5:$J$1004,$T1219)="","",INDEX('AFA Rates'!$J$5:$J$1004,$T1219))))</f>
        <v/>
      </c>
      <c r="M1219" s="50">
        <f>IF($T1219="","",IF($S1219="S",IF(INDEX(Firms!$L$5:$L$1004,$T1219)="","",INDEX(Firms!$L$5:$L$1004,$T1219)),IF(INDEX('AFA Rates'!$K$5:$K$1004,$T1219)="","",INDEX('AFA Rates'!$K$5:$K$1004,$T1219))))</f>
        <v/>
      </c>
      <c r="N1219" s="50">
        <f>IF($T1219="","",IF($S1219="S",IF(INDEX(Firms!$M$5:$M$1004,$T1219)="","",INDEX(Firms!$M$5:$M$1004,$T1219)),IF(INDEX('AFA Rates'!$L$5:$L$1004,$T1219)="","",INDEX('AFA Rates'!$L$5:$L$1004,$T1219))))</f>
        <v/>
      </c>
      <c r="O1219" s="78">
        <f>IF(OR($T1219="",$U1219=""),"",IF(INDEX(Firms!$C$5:$C$1004,$U1219)="","",INDEX(Firms!$C$5:$C$1004,$U1219)))</f>
        <v/>
      </c>
      <c r="P1219" s="79">
        <f>IF(OR($T1219="",$U1219=""),"",IF(INDEX(Firms!$N$5:$N$1004,$U1219)="","",INDEX(Firms!$N$5:$N$1004,$U1219)))</f>
        <v/>
      </c>
      <c r="Q1219" s="78">
        <f>IF($T1219="","",IF($S1219="S",IF(INDEX(Firms!$T$5:$T$1004,$T1219)="","",INDEX(Firms!$T$5:$T$1004,$T1219)),IF(INDEX('AFA Rates'!$M$5:$M$1004,$T1219)="","",INDEX('AFA Rates'!$M$5:$M$1004,$T1219))))</f>
        <v/>
      </c>
      <c r="S1219">
        <f>IF(1215&lt;=$S$2,"S",IF(1215&lt;=$S$2+$T$2,"A",""))</f>
        <v/>
      </c>
      <c r="T1219">
        <f>IF(S1219="S",MATCH(1215,Firms!$W$5:$W$1004,0),IF(S1219="A",IFERROR(MATCH(1215-$S$2,'AFA Rates'!$R$5:$R$1004,0),""),""))</f>
        <v/>
      </c>
      <c r="U1219">
        <f>IF(S1219="S",T1219,IF(AND(S1219="A",T1219&lt;&gt;""),IFERROR(MATCH(INDEX('AFA Rates'!$A$5:$A$1004,T1219),Firms!$A$5:$A$1004,0),""),""))</f>
        <v/>
      </c>
    </row>
    <row r="1220">
      <c r="A1220" s="78">
        <f>IF($T1220="","",IF($S1220="S",IF(INDEX(Firms!$A$5:$A$1004,$T1220)="","",INDEX(Firms!$A$5:$A$1004,$T1220)),IF(INDEX('AFA Rates'!$A$5:$A$1004,$T1220)="","",INDEX('AFA Rates'!$A$5:$A$1004,$T1220))))</f>
        <v/>
      </c>
      <c r="B1220" s="79">
        <f>IF(OR($T1220="",$U1220=""),IF($T1220="","","Not on Firms tab"),INDEX(Firms!$B$5:$B$1004,$U1220)&amp;"")</f>
        <v/>
      </c>
      <c r="C1220" s="78">
        <f>IF($T1220="","",IF($S1220="S","Standard",INDEX('AFA Rates'!$B$5:$B$1004,$T1220)&amp;""))</f>
        <v/>
      </c>
      <c r="D1220" s="88">
        <f>IF($T1220="","",IF($S1220="S",IF(INDEX(Firms!$E$5:$E$1004,$T1220)="","",INDEX(Firms!$E$5:$E$1004,$T1220)),IF(INDEX('AFA Rates'!$C$5:$C$1004,$T1220)="","",INDEX('AFA Rates'!$C$5:$C$1004,$T1220))))</f>
        <v/>
      </c>
      <c r="E1220" s="88">
        <f>IF($T1220="","",IF($S1220="S",IF(""="","",""),IF(INDEX('AFA Rates'!$D$5:$D$1004,$T1220)="","",INDEX('AFA Rates'!$D$5:$D$1004,$T1220))))</f>
        <v/>
      </c>
      <c r="F1220" s="79">
        <f>IF($T1220="","",IF($S1220="S",IF(INDEX(Firms!$O$5:$O$1004,$T1220)="","",INDEX(Firms!$O$5:$O$1004,$T1220)),IF(INDEX('AFA Rates'!$O$5:$O$1004,$T1220)="","",INDEX('AFA Rates'!$O$5:$O$1004,$T1220))))</f>
        <v/>
      </c>
      <c r="G1220" s="50">
        <f>IF($T1220="","",IF($S1220="S",IF(INDEX(Firms!$F$5:$F$1004,$T1220)="","",INDEX(Firms!$F$5:$F$1004,$T1220)),IF(INDEX('AFA Rates'!$E$5:$E$1004,$T1220)="","",INDEX('AFA Rates'!$E$5:$E$1004,$T1220))))</f>
        <v/>
      </c>
      <c r="H1220" s="50">
        <f>IF($T1220="","",IF($S1220="S",IF(INDEX(Firms!$G$5:$G$1004,$T1220)="","",INDEX(Firms!$G$5:$G$1004,$T1220)),IF(INDEX('AFA Rates'!$F$5:$F$1004,$T1220)="","",INDEX('AFA Rates'!$F$5:$F$1004,$T1220))))</f>
        <v/>
      </c>
      <c r="I1220" s="50">
        <f>IF($T1220="","",IF($S1220="S",IF(INDEX(Firms!$H$5:$H$1004,$T1220)="","",INDEX(Firms!$H$5:$H$1004,$T1220)),IF(INDEX('AFA Rates'!$G$5:$G$1004,$T1220)="","",INDEX('AFA Rates'!$G$5:$G$1004,$T1220))))</f>
        <v/>
      </c>
      <c r="J1220" s="50">
        <f>IF($T1220="","",IF($S1220="S",IF(INDEX(Firms!$I$5:$I$1004,$T1220)="","",INDEX(Firms!$I$5:$I$1004,$T1220)),IF(INDEX('AFA Rates'!$H$5:$H$1004,$T1220)="","",INDEX('AFA Rates'!$H$5:$H$1004,$T1220))))</f>
        <v/>
      </c>
      <c r="K1220" s="50">
        <f>IF($T1220="","",IF($S1220="S",IF(INDEX(Firms!$J$5:$J$1004,$T1220)="","",INDEX(Firms!$J$5:$J$1004,$T1220)),IF(INDEX('AFA Rates'!$I$5:$I$1004,$T1220)="","",INDEX('AFA Rates'!$I$5:$I$1004,$T1220))))</f>
        <v/>
      </c>
      <c r="L1220" s="50">
        <f>IF($T1220="","",IF($S1220="S",IF(INDEX(Firms!$K$5:$K$1004,$T1220)="","",INDEX(Firms!$K$5:$K$1004,$T1220)),IF(INDEX('AFA Rates'!$J$5:$J$1004,$T1220)="","",INDEX('AFA Rates'!$J$5:$J$1004,$T1220))))</f>
        <v/>
      </c>
      <c r="M1220" s="50">
        <f>IF($T1220="","",IF($S1220="S",IF(INDEX(Firms!$L$5:$L$1004,$T1220)="","",INDEX(Firms!$L$5:$L$1004,$T1220)),IF(INDEX('AFA Rates'!$K$5:$K$1004,$T1220)="","",INDEX('AFA Rates'!$K$5:$K$1004,$T1220))))</f>
        <v/>
      </c>
      <c r="N1220" s="50">
        <f>IF($T1220="","",IF($S1220="S",IF(INDEX(Firms!$M$5:$M$1004,$T1220)="","",INDEX(Firms!$M$5:$M$1004,$T1220)),IF(INDEX('AFA Rates'!$L$5:$L$1004,$T1220)="","",INDEX('AFA Rates'!$L$5:$L$1004,$T1220))))</f>
        <v/>
      </c>
      <c r="O1220" s="78">
        <f>IF(OR($T1220="",$U1220=""),"",IF(INDEX(Firms!$C$5:$C$1004,$U1220)="","",INDEX(Firms!$C$5:$C$1004,$U1220)))</f>
        <v/>
      </c>
      <c r="P1220" s="79">
        <f>IF(OR($T1220="",$U1220=""),"",IF(INDEX(Firms!$N$5:$N$1004,$U1220)="","",INDEX(Firms!$N$5:$N$1004,$U1220)))</f>
        <v/>
      </c>
      <c r="Q1220" s="78">
        <f>IF($T1220="","",IF($S1220="S",IF(INDEX(Firms!$T$5:$T$1004,$T1220)="","",INDEX(Firms!$T$5:$T$1004,$T1220)),IF(INDEX('AFA Rates'!$M$5:$M$1004,$T1220)="","",INDEX('AFA Rates'!$M$5:$M$1004,$T1220))))</f>
        <v/>
      </c>
      <c r="S1220">
        <f>IF(1216&lt;=$S$2,"S",IF(1216&lt;=$S$2+$T$2,"A",""))</f>
        <v/>
      </c>
      <c r="T1220">
        <f>IF(S1220="S",MATCH(1216,Firms!$W$5:$W$1004,0),IF(S1220="A",IFERROR(MATCH(1216-$S$2,'AFA Rates'!$R$5:$R$1004,0),""),""))</f>
        <v/>
      </c>
      <c r="U1220">
        <f>IF(S1220="S",T1220,IF(AND(S1220="A",T1220&lt;&gt;""),IFERROR(MATCH(INDEX('AFA Rates'!$A$5:$A$1004,T1220),Firms!$A$5:$A$1004,0),""),""))</f>
        <v/>
      </c>
    </row>
    <row r="1221">
      <c r="A1221" s="78">
        <f>IF($T1221="","",IF($S1221="S",IF(INDEX(Firms!$A$5:$A$1004,$T1221)="","",INDEX(Firms!$A$5:$A$1004,$T1221)),IF(INDEX('AFA Rates'!$A$5:$A$1004,$T1221)="","",INDEX('AFA Rates'!$A$5:$A$1004,$T1221))))</f>
        <v/>
      </c>
      <c r="B1221" s="79">
        <f>IF(OR($T1221="",$U1221=""),IF($T1221="","","Not on Firms tab"),INDEX(Firms!$B$5:$B$1004,$U1221)&amp;"")</f>
        <v/>
      </c>
      <c r="C1221" s="78">
        <f>IF($T1221="","",IF($S1221="S","Standard",INDEX('AFA Rates'!$B$5:$B$1004,$T1221)&amp;""))</f>
        <v/>
      </c>
      <c r="D1221" s="88">
        <f>IF($T1221="","",IF($S1221="S",IF(INDEX(Firms!$E$5:$E$1004,$T1221)="","",INDEX(Firms!$E$5:$E$1004,$T1221)),IF(INDEX('AFA Rates'!$C$5:$C$1004,$T1221)="","",INDEX('AFA Rates'!$C$5:$C$1004,$T1221))))</f>
        <v/>
      </c>
      <c r="E1221" s="88">
        <f>IF($T1221="","",IF($S1221="S",IF(""="","",""),IF(INDEX('AFA Rates'!$D$5:$D$1004,$T1221)="","",INDEX('AFA Rates'!$D$5:$D$1004,$T1221))))</f>
        <v/>
      </c>
      <c r="F1221" s="79">
        <f>IF($T1221="","",IF($S1221="S",IF(INDEX(Firms!$O$5:$O$1004,$T1221)="","",INDEX(Firms!$O$5:$O$1004,$T1221)),IF(INDEX('AFA Rates'!$O$5:$O$1004,$T1221)="","",INDEX('AFA Rates'!$O$5:$O$1004,$T1221))))</f>
        <v/>
      </c>
      <c r="G1221" s="50">
        <f>IF($T1221="","",IF($S1221="S",IF(INDEX(Firms!$F$5:$F$1004,$T1221)="","",INDEX(Firms!$F$5:$F$1004,$T1221)),IF(INDEX('AFA Rates'!$E$5:$E$1004,$T1221)="","",INDEX('AFA Rates'!$E$5:$E$1004,$T1221))))</f>
        <v/>
      </c>
      <c r="H1221" s="50">
        <f>IF($T1221="","",IF($S1221="S",IF(INDEX(Firms!$G$5:$G$1004,$T1221)="","",INDEX(Firms!$G$5:$G$1004,$T1221)),IF(INDEX('AFA Rates'!$F$5:$F$1004,$T1221)="","",INDEX('AFA Rates'!$F$5:$F$1004,$T1221))))</f>
        <v/>
      </c>
      <c r="I1221" s="50">
        <f>IF($T1221="","",IF($S1221="S",IF(INDEX(Firms!$H$5:$H$1004,$T1221)="","",INDEX(Firms!$H$5:$H$1004,$T1221)),IF(INDEX('AFA Rates'!$G$5:$G$1004,$T1221)="","",INDEX('AFA Rates'!$G$5:$G$1004,$T1221))))</f>
        <v/>
      </c>
      <c r="J1221" s="50">
        <f>IF($T1221="","",IF($S1221="S",IF(INDEX(Firms!$I$5:$I$1004,$T1221)="","",INDEX(Firms!$I$5:$I$1004,$T1221)),IF(INDEX('AFA Rates'!$H$5:$H$1004,$T1221)="","",INDEX('AFA Rates'!$H$5:$H$1004,$T1221))))</f>
        <v/>
      </c>
      <c r="K1221" s="50">
        <f>IF($T1221="","",IF($S1221="S",IF(INDEX(Firms!$J$5:$J$1004,$T1221)="","",INDEX(Firms!$J$5:$J$1004,$T1221)),IF(INDEX('AFA Rates'!$I$5:$I$1004,$T1221)="","",INDEX('AFA Rates'!$I$5:$I$1004,$T1221))))</f>
        <v/>
      </c>
      <c r="L1221" s="50">
        <f>IF($T1221="","",IF($S1221="S",IF(INDEX(Firms!$K$5:$K$1004,$T1221)="","",INDEX(Firms!$K$5:$K$1004,$T1221)),IF(INDEX('AFA Rates'!$J$5:$J$1004,$T1221)="","",INDEX('AFA Rates'!$J$5:$J$1004,$T1221))))</f>
        <v/>
      </c>
      <c r="M1221" s="50">
        <f>IF($T1221="","",IF($S1221="S",IF(INDEX(Firms!$L$5:$L$1004,$T1221)="","",INDEX(Firms!$L$5:$L$1004,$T1221)),IF(INDEX('AFA Rates'!$K$5:$K$1004,$T1221)="","",INDEX('AFA Rates'!$K$5:$K$1004,$T1221))))</f>
        <v/>
      </c>
      <c r="N1221" s="50">
        <f>IF($T1221="","",IF($S1221="S",IF(INDEX(Firms!$M$5:$M$1004,$T1221)="","",INDEX(Firms!$M$5:$M$1004,$T1221)),IF(INDEX('AFA Rates'!$L$5:$L$1004,$T1221)="","",INDEX('AFA Rates'!$L$5:$L$1004,$T1221))))</f>
        <v/>
      </c>
      <c r="O1221" s="78">
        <f>IF(OR($T1221="",$U1221=""),"",IF(INDEX(Firms!$C$5:$C$1004,$U1221)="","",INDEX(Firms!$C$5:$C$1004,$U1221)))</f>
        <v/>
      </c>
      <c r="P1221" s="79">
        <f>IF(OR($T1221="",$U1221=""),"",IF(INDEX(Firms!$N$5:$N$1004,$U1221)="","",INDEX(Firms!$N$5:$N$1004,$U1221)))</f>
        <v/>
      </c>
      <c r="Q1221" s="78">
        <f>IF($T1221="","",IF($S1221="S",IF(INDEX(Firms!$T$5:$T$1004,$T1221)="","",INDEX(Firms!$T$5:$T$1004,$T1221)),IF(INDEX('AFA Rates'!$M$5:$M$1004,$T1221)="","",INDEX('AFA Rates'!$M$5:$M$1004,$T1221))))</f>
        <v/>
      </c>
      <c r="S1221">
        <f>IF(1217&lt;=$S$2,"S",IF(1217&lt;=$S$2+$T$2,"A",""))</f>
        <v/>
      </c>
      <c r="T1221">
        <f>IF(S1221="S",MATCH(1217,Firms!$W$5:$W$1004,0),IF(S1221="A",IFERROR(MATCH(1217-$S$2,'AFA Rates'!$R$5:$R$1004,0),""),""))</f>
        <v/>
      </c>
      <c r="U1221">
        <f>IF(S1221="S",T1221,IF(AND(S1221="A",T1221&lt;&gt;""),IFERROR(MATCH(INDEX('AFA Rates'!$A$5:$A$1004,T1221),Firms!$A$5:$A$1004,0),""),""))</f>
        <v/>
      </c>
    </row>
    <row r="1222">
      <c r="A1222" s="78">
        <f>IF($T1222="","",IF($S1222="S",IF(INDEX(Firms!$A$5:$A$1004,$T1222)="","",INDEX(Firms!$A$5:$A$1004,$T1222)),IF(INDEX('AFA Rates'!$A$5:$A$1004,$T1222)="","",INDEX('AFA Rates'!$A$5:$A$1004,$T1222))))</f>
        <v/>
      </c>
      <c r="B1222" s="79">
        <f>IF(OR($T1222="",$U1222=""),IF($T1222="","","Not on Firms tab"),INDEX(Firms!$B$5:$B$1004,$U1222)&amp;"")</f>
        <v/>
      </c>
      <c r="C1222" s="78">
        <f>IF($T1222="","",IF($S1222="S","Standard",INDEX('AFA Rates'!$B$5:$B$1004,$T1222)&amp;""))</f>
        <v/>
      </c>
      <c r="D1222" s="88">
        <f>IF($T1222="","",IF($S1222="S",IF(INDEX(Firms!$E$5:$E$1004,$T1222)="","",INDEX(Firms!$E$5:$E$1004,$T1222)),IF(INDEX('AFA Rates'!$C$5:$C$1004,$T1222)="","",INDEX('AFA Rates'!$C$5:$C$1004,$T1222))))</f>
        <v/>
      </c>
      <c r="E1222" s="88">
        <f>IF($T1222="","",IF($S1222="S",IF(""="","",""),IF(INDEX('AFA Rates'!$D$5:$D$1004,$T1222)="","",INDEX('AFA Rates'!$D$5:$D$1004,$T1222))))</f>
        <v/>
      </c>
      <c r="F1222" s="79">
        <f>IF($T1222="","",IF($S1222="S",IF(INDEX(Firms!$O$5:$O$1004,$T1222)="","",INDEX(Firms!$O$5:$O$1004,$T1222)),IF(INDEX('AFA Rates'!$O$5:$O$1004,$T1222)="","",INDEX('AFA Rates'!$O$5:$O$1004,$T1222))))</f>
        <v/>
      </c>
      <c r="G1222" s="50">
        <f>IF($T1222="","",IF($S1222="S",IF(INDEX(Firms!$F$5:$F$1004,$T1222)="","",INDEX(Firms!$F$5:$F$1004,$T1222)),IF(INDEX('AFA Rates'!$E$5:$E$1004,$T1222)="","",INDEX('AFA Rates'!$E$5:$E$1004,$T1222))))</f>
        <v/>
      </c>
      <c r="H1222" s="50">
        <f>IF($T1222="","",IF($S1222="S",IF(INDEX(Firms!$G$5:$G$1004,$T1222)="","",INDEX(Firms!$G$5:$G$1004,$T1222)),IF(INDEX('AFA Rates'!$F$5:$F$1004,$T1222)="","",INDEX('AFA Rates'!$F$5:$F$1004,$T1222))))</f>
        <v/>
      </c>
      <c r="I1222" s="50">
        <f>IF($T1222="","",IF($S1222="S",IF(INDEX(Firms!$H$5:$H$1004,$T1222)="","",INDEX(Firms!$H$5:$H$1004,$T1222)),IF(INDEX('AFA Rates'!$G$5:$G$1004,$T1222)="","",INDEX('AFA Rates'!$G$5:$G$1004,$T1222))))</f>
        <v/>
      </c>
      <c r="J1222" s="50">
        <f>IF($T1222="","",IF($S1222="S",IF(INDEX(Firms!$I$5:$I$1004,$T1222)="","",INDEX(Firms!$I$5:$I$1004,$T1222)),IF(INDEX('AFA Rates'!$H$5:$H$1004,$T1222)="","",INDEX('AFA Rates'!$H$5:$H$1004,$T1222))))</f>
        <v/>
      </c>
      <c r="K1222" s="50">
        <f>IF($T1222="","",IF($S1222="S",IF(INDEX(Firms!$J$5:$J$1004,$T1222)="","",INDEX(Firms!$J$5:$J$1004,$T1222)),IF(INDEX('AFA Rates'!$I$5:$I$1004,$T1222)="","",INDEX('AFA Rates'!$I$5:$I$1004,$T1222))))</f>
        <v/>
      </c>
      <c r="L1222" s="50">
        <f>IF($T1222="","",IF($S1222="S",IF(INDEX(Firms!$K$5:$K$1004,$T1222)="","",INDEX(Firms!$K$5:$K$1004,$T1222)),IF(INDEX('AFA Rates'!$J$5:$J$1004,$T1222)="","",INDEX('AFA Rates'!$J$5:$J$1004,$T1222))))</f>
        <v/>
      </c>
      <c r="M1222" s="50">
        <f>IF($T1222="","",IF($S1222="S",IF(INDEX(Firms!$L$5:$L$1004,$T1222)="","",INDEX(Firms!$L$5:$L$1004,$T1222)),IF(INDEX('AFA Rates'!$K$5:$K$1004,$T1222)="","",INDEX('AFA Rates'!$K$5:$K$1004,$T1222))))</f>
        <v/>
      </c>
      <c r="N1222" s="50">
        <f>IF($T1222="","",IF($S1222="S",IF(INDEX(Firms!$M$5:$M$1004,$T1222)="","",INDEX(Firms!$M$5:$M$1004,$T1222)),IF(INDEX('AFA Rates'!$L$5:$L$1004,$T1222)="","",INDEX('AFA Rates'!$L$5:$L$1004,$T1222))))</f>
        <v/>
      </c>
      <c r="O1222" s="78">
        <f>IF(OR($T1222="",$U1222=""),"",IF(INDEX(Firms!$C$5:$C$1004,$U1222)="","",INDEX(Firms!$C$5:$C$1004,$U1222)))</f>
        <v/>
      </c>
      <c r="P1222" s="79">
        <f>IF(OR($T1222="",$U1222=""),"",IF(INDEX(Firms!$N$5:$N$1004,$U1222)="","",INDEX(Firms!$N$5:$N$1004,$U1222)))</f>
        <v/>
      </c>
      <c r="Q1222" s="78">
        <f>IF($T1222="","",IF($S1222="S",IF(INDEX(Firms!$T$5:$T$1004,$T1222)="","",INDEX(Firms!$T$5:$T$1004,$T1222)),IF(INDEX('AFA Rates'!$M$5:$M$1004,$T1222)="","",INDEX('AFA Rates'!$M$5:$M$1004,$T1222))))</f>
        <v/>
      </c>
      <c r="S1222">
        <f>IF(1218&lt;=$S$2,"S",IF(1218&lt;=$S$2+$T$2,"A",""))</f>
        <v/>
      </c>
      <c r="T1222">
        <f>IF(S1222="S",MATCH(1218,Firms!$W$5:$W$1004,0),IF(S1222="A",IFERROR(MATCH(1218-$S$2,'AFA Rates'!$R$5:$R$1004,0),""),""))</f>
        <v/>
      </c>
      <c r="U1222">
        <f>IF(S1222="S",T1222,IF(AND(S1222="A",T1222&lt;&gt;""),IFERROR(MATCH(INDEX('AFA Rates'!$A$5:$A$1004,T1222),Firms!$A$5:$A$1004,0),""),""))</f>
        <v/>
      </c>
    </row>
    <row r="1223">
      <c r="A1223" s="78">
        <f>IF($T1223="","",IF($S1223="S",IF(INDEX(Firms!$A$5:$A$1004,$T1223)="","",INDEX(Firms!$A$5:$A$1004,$T1223)),IF(INDEX('AFA Rates'!$A$5:$A$1004,$T1223)="","",INDEX('AFA Rates'!$A$5:$A$1004,$T1223))))</f>
        <v/>
      </c>
      <c r="B1223" s="79">
        <f>IF(OR($T1223="",$U1223=""),IF($T1223="","","Not on Firms tab"),INDEX(Firms!$B$5:$B$1004,$U1223)&amp;"")</f>
        <v/>
      </c>
      <c r="C1223" s="78">
        <f>IF($T1223="","",IF($S1223="S","Standard",INDEX('AFA Rates'!$B$5:$B$1004,$T1223)&amp;""))</f>
        <v/>
      </c>
      <c r="D1223" s="88">
        <f>IF($T1223="","",IF($S1223="S",IF(INDEX(Firms!$E$5:$E$1004,$T1223)="","",INDEX(Firms!$E$5:$E$1004,$T1223)),IF(INDEX('AFA Rates'!$C$5:$C$1004,$T1223)="","",INDEX('AFA Rates'!$C$5:$C$1004,$T1223))))</f>
        <v/>
      </c>
      <c r="E1223" s="88">
        <f>IF($T1223="","",IF($S1223="S",IF(""="","",""),IF(INDEX('AFA Rates'!$D$5:$D$1004,$T1223)="","",INDEX('AFA Rates'!$D$5:$D$1004,$T1223))))</f>
        <v/>
      </c>
      <c r="F1223" s="79">
        <f>IF($T1223="","",IF($S1223="S",IF(INDEX(Firms!$O$5:$O$1004,$T1223)="","",INDEX(Firms!$O$5:$O$1004,$T1223)),IF(INDEX('AFA Rates'!$O$5:$O$1004,$T1223)="","",INDEX('AFA Rates'!$O$5:$O$1004,$T1223))))</f>
        <v/>
      </c>
      <c r="G1223" s="50">
        <f>IF($T1223="","",IF($S1223="S",IF(INDEX(Firms!$F$5:$F$1004,$T1223)="","",INDEX(Firms!$F$5:$F$1004,$T1223)),IF(INDEX('AFA Rates'!$E$5:$E$1004,$T1223)="","",INDEX('AFA Rates'!$E$5:$E$1004,$T1223))))</f>
        <v/>
      </c>
      <c r="H1223" s="50">
        <f>IF($T1223="","",IF($S1223="S",IF(INDEX(Firms!$G$5:$G$1004,$T1223)="","",INDEX(Firms!$G$5:$G$1004,$T1223)),IF(INDEX('AFA Rates'!$F$5:$F$1004,$T1223)="","",INDEX('AFA Rates'!$F$5:$F$1004,$T1223))))</f>
        <v/>
      </c>
      <c r="I1223" s="50">
        <f>IF($T1223="","",IF($S1223="S",IF(INDEX(Firms!$H$5:$H$1004,$T1223)="","",INDEX(Firms!$H$5:$H$1004,$T1223)),IF(INDEX('AFA Rates'!$G$5:$G$1004,$T1223)="","",INDEX('AFA Rates'!$G$5:$G$1004,$T1223))))</f>
        <v/>
      </c>
      <c r="J1223" s="50">
        <f>IF($T1223="","",IF($S1223="S",IF(INDEX(Firms!$I$5:$I$1004,$T1223)="","",INDEX(Firms!$I$5:$I$1004,$T1223)),IF(INDEX('AFA Rates'!$H$5:$H$1004,$T1223)="","",INDEX('AFA Rates'!$H$5:$H$1004,$T1223))))</f>
        <v/>
      </c>
      <c r="K1223" s="50">
        <f>IF($T1223="","",IF($S1223="S",IF(INDEX(Firms!$J$5:$J$1004,$T1223)="","",INDEX(Firms!$J$5:$J$1004,$T1223)),IF(INDEX('AFA Rates'!$I$5:$I$1004,$T1223)="","",INDEX('AFA Rates'!$I$5:$I$1004,$T1223))))</f>
        <v/>
      </c>
      <c r="L1223" s="50">
        <f>IF($T1223="","",IF($S1223="S",IF(INDEX(Firms!$K$5:$K$1004,$T1223)="","",INDEX(Firms!$K$5:$K$1004,$T1223)),IF(INDEX('AFA Rates'!$J$5:$J$1004,$T1223)="","",INDEX('AFA Rates'!$J$5:$J$1004,$T1223))))</f>
        <v/>
      </c>
      <c r="M1223" s="50">
        <f>IF($T1223="","",IF($S1223="S",IF(INDEX(Firms!$L$5:$L$1004,$T1223)="","",INDEX(Firms!$L$5:$L$1004,$T1223)),IF(INDEX('AFA Rates'!$K$5:$K$1004,$T1223)="","",INDEX('AFA Rates'!$K$5:$K$1004,$T1223))))</f>
        <v/>
      </c>
      <c r="N1223" s="50">
        <f>IF($T1223="","",IF($S1223="S",IF(INDEX(Firms!$M$5:$M$1004,$T1223)="","",INDEX(Firms!$M$5:$M$1004,$T1223)),IF(INDEX('AFA Rates'!$L$5:$L$1004,$T1223)="","",INDEX('AFA Rates'!$L$5:$L$1004,$T1223))))</f>
        <v/>
      </c>
      <c r="O1223" s="78">
        <f>IF(OR($T1223="",$U1223=""),"",IF(INDEX(Firms!$C$5:$C$1004,$U1223)="","",INDEX(Firms!$C$5:$C$1004,$U1223)))</f>
        <v/>
      </c>
      <c r="P1223" s="79">
        <f>IF(OR($T1223="",$U1223=""),"",IF(INDEX(Firms!$N$5:$N$1004,$U1223)="","",INDEX(Firms!$N$5:$N$1004,$U1223)))</f>
        <v/>
      </c>
      <c r="Q1223" s="78">
        <f>IF($T1223="","",IF($S1223="S",IF(INDEX(Firms!$T$5:$T$1004,$T1223)="","",INDEX(Firms!$T$5:$T$1004,$T1223)),IF(INDEX('AFA Rates'!$M$5:$M$1004,$T1223)="","",INDEX('AFA Rates'!$M$5:$M$1004,$T1223))))</f>
        <v/>
      </c>
      <c r="S1223">
        <f>IF(1219&lt;=$S$2,"S",IF(1219&lt;=$S$2+$T$2,"A",""))</f>
        <v/>
      </c>
      <c r="T1223">
        <f>IF(S1223="S",MATCH(1219,Firms!$W$5:$W$1004,0),IF(S1223="A",IFERROR(MATCH(1219-$S$2,'AFA Rates'!$R$5:$R$1004,0),""),""))</f>
        <v/>
      </c>
      <c r="U1223">
        <f>IF(S1223="S",T1223,IF(AND(S1223="A",T1223&lt;&gt;""),IFERROR(MATCH(INDEX('AFA Rates'!$A$5:$A$1004,T1223),Firms!$A$5:$A$1004,0),""),""))</f>
        <v/>
      </c>
    </row>
    <row r="1224">
      <c r="A1224" s="78">
        <f>IF($T1224="","",IF($S1224="S",IF(INDEX(Firms!$A$5:$A$1004,$T1224)="","",INDEX(Firms!$A$5:$A$1004,$T1224)),IF(INDEX('AFA Rates'!$A$5:$A$1004,$T1224)="","",INDEX('AFA Rates'!$A$5:$A$1004,$T1224))))</f>
        <v/>
      </c>
      <c r="B1224" s="79">
        <f>IF(OR($T1224="",$U1224=""),IF($T1224="","","Not on Firms tab"),INDEX(Firms!$B$5:$B$1004,$U1224)&amp;"")</f>
        <v/>
      </c>
      <c r="C1224" s="78">
        <f>IF($T1224="","",IF($S1224="S","Standard",INDEX('AFA Rates'!$B$5:$B$1004,$T1224)&amp;""))</f>
        <v/>
      </c>
      <c r="D1224" s="88">
        <f>IF($T1224="","",IF($S1224="S",IF(INDEX(Firms!$E$5:$E$1004,$T1224)="","",INDEX(Firms!$E$5:$E$1004,$T1224)),IF(INDEX('AFA Rates'!$C$5:$C$1004,$T1224)="","",INDEX('AFA Rates'!$C$5:$C$1004,$T1224))))</f>
        <v/>
      </c>
      <c r="E1224" s="88">
        <f>IF($T1224="","",IF($S1224="S",IF(""="","",""),IF(INDEX('AFA Rates'!$D$5:$D$1004,$T1224)="","",INDEX('AFA Rates'!$D$5:$D$1004,$T1224))))</f>
        <v/>
      </c>
      <c r="F1224" s="79">
        <f>IF($T1224="","",IF($S1224="S",IF(INDEX(Firms!$O$5:$O$1004,$T1224)="","",INDEX(Firms!$O$5:$O$1004,$T1224)),IF(INDEX('AFA Rates'!$O$5:$O$1004,$T1224)="","",INDEX('AFA Rates'!$O$5:$O$1004,$T1224))))</f>
        <v/>
      </c>
      <c r="G1224" s="50">
        <f>IF($T1224="","",IF($S1224="S",IF(INDEX(Firms!$F$5:$F$1004,$T1224)="","",INDEX(Firms!$F$5:$F$1004,$T1224)),IF(INDEX('AFA Rates'!$E$5:$E$1004,$T1224)="","",INDEX('AFA Rates'!$E$5:$E$1004,$T1224))))</f>
        <v/>
      </c>
      <c r="H1224" s="50">
        <f>IF($T1224="","",IF($S1224="S",IF(INDEX(Firms!$G$5:$G$1004,$T1224)="","",INDEX(Firms!$G$5:$G$1004,$T1224)),IF(INDEX('AFA Rates'!$F$5:$F$1004,$T1224)="","",INDEX('AFA Rates'!$F$5:$F$1004,$T1224))))</f>
        <v/>
      </c>
      <c r="I1224" s="50">
        <f>IF($T1224="","",IF($S1224="S",IF(INDEX(Firms!$H$5:$H$1004,$T1224)="","",INDEX(Firms!$H$5:$H$1004,$T1224)),IF(INDEX('AFA Rates'!$G$5:$G$1004,$T1224)="","",INDEX('AFA Rates'!$G$5:$G$1004,$T1224))))</f>
        <v/>
      </c>
      <c r="J1224" s="50">
        <f>IF($T1224="","",IF($S1224="S",IF(INDEX(Firms!$I$5:$I$1004,$T1224)="","",INDEX(Firms!$I$5:$I$1004,$T1224)),IF(INDEX('AFA Rates'!$H$5:$H$1004,$T1224)="","",INDEX('AFA Rates'!$H$5:$H$1004,$T1224))))</f>
        <v/>
      </c>
      <c r="K1224" s="50">
        <f>IF($T1224="","",IF($S1224="S",IF(INDEX(Firms!$J$5:$J$1004,$T1224)="","",INDEX(Firms!$J$5:$J$1004,$T1224)),IF(INDEX('AFA Rates'!$I$5:$I$1004,$T1224)="","",INDEX('AFA Rates'!$I$5:$I$1004,$T1224))))</f>
        <v/>
      </c>
      <c r="L1224" s="50">
        <f>IF($T1224="","",IF($S1224="S",IF(INDEX(Firms!$K$5:$K$1004,$T1224)="","",INDEX(Firms!$K$5:$K$1004,$T1224)),IF(INDEX('AFA Rates'!$J$5:$J$1004,$T1224)="","",INDEX('AFA Rates'!$J$5:$J$1004,$T1224))))</f>
        <v/>
      </c>
      <c r="M1224" s="50">
        <f>IF($T1224="","",IF($S1224="S",IF(INDEX(Firms!$L$5:$L$1004,$T1224)="","",INDEX(Firms!$L$5:$L$1004,$T1224)),IF(INDEX('AFA Rates'!$K$5:$K$1004,$T1224)="","",INDEX('AFA Rates'!$K$5:$K$1004,$T1224))))</f>
        <v/>
      </c>
      <c r="N1224" s="50">
        <f>IF($T1224="","",IF($S1224="S",IF(INDEX(Firms!$M$5:$M$1004,$T1224)="","",INDEX(Firms!$M$5:$M$1004,$T1224)),IF(INDEX('AFA Rates'!$L$5:$L$1004,$T1224)="","",INDEX('AFA Rates'!$L$5:$L$1004,$T1224))))</f>
        <v/>
      </c>
      <c r="O1224" s="78">
        <f>IF(OR($T1224="",$U1224=""),"",IF(INDEX(Firms!$C$5:$C$1004,$U1224)="","",INDEX(Firms!$C$5:$C$1004,$U1224)))</f>
        <v/>
      </c>
      <c r="P1224" s="79">
        <f>IF(OR($T1224="",$U1224=""),"",IF(INDEX(Firms!$N$5:$N$1004,$U1224)="","",INDEX(Firms!$N$5:$N$1004,$U1224)))</f>
        <v/>
      </c>
      <c r="Q1224" s="78">
        <f>IF($T1224="","",IF($S1224="S",IF(INDEX(Firms!$T$5:$T$1004,$T1224)="","",INDEX(Firms!$T$5:$T$1004,$T1224)),IF(INDEX('AFA Rates'!$M$5:$M$1004,$T1224)="","",INDEX('AFA Rates'!$M$5:$M$1004,$T1224))))</f>
        <v/>
      </c>
      <c r="S1224">
        <f>IF(1220&lt;=$S$2,"S",IF(1220&lt;=$S$2+$T$2,"A",""))</f>
        <v/>
      </c>
      <c r="T1224">
        <f>IF(S1224="S",MATCH(1220,Firms!$W$5:$W$1004,0),IF(S1224="A",IFERROR(MATCH(1220-$S$2,'AFA Rates'!$R$5:$R$1004,0),""),""))</f>
        <v/>
      </c>
      <c r="U1224">
        <f>IF(S1224="S",T1224,IF(AND(S1224="A",T1224&lt;&gt;""),IFERROR(MATCH(INDEX('AFA Rates'!$A$5:$A$1004,T1224),Firms!$A$5:$A$1004,0),""),""))</f>
        <v/>
      </c>
    </row>
    <row r="1225">
      <c r="A1225" s="78">
        <f>IF($T1225="","",IF($S1225="S",IF(INDEX(Firms!$A$5:$A$1004,$T1225)="","",INDEX(Firms!$A$5:$A$1004,$T1225)),IF(INDEX('AFA Rates'!$A$5:$A$1004,$T1225)="","",INDEX('AFA Rates'!$A$5:$A$1004,$T1225))))</f>
        <v/>
      </c>
      <c r="B1225" s="79">
        <f>IF(OR($T1225="",$U1225=""),IF($T1225="","","Not on Firms tab"),INDEX(Firms!$B$5:$B$1004,$U1225)&amp;"")</f>
        <v/>
      </c>
      <c r="C1225" s="78">
        <f>IF($T1225="","",IF($S1225="S","Standard",INDEX('AFA Rates'!$B$5:$B$1004,$T1225)&amp;""))</f>
        <v/>
      </c>
      <c r="D1225" s="88">
        <f>IF($T1225="","",IF($S1225="S",IF(INDEX(Firms!$E$5:$E$1004,$T1225)="","",INDEX(Firms!$E$5:$E$1004,$T1225)),IF(INDEX('AFA Rates'!$C$5:$C$1004,$T1225)="","",INDEX('AFA Rates'!$C$5:$C$1004,$T1225))))</f>
        <v/>
      </c>
      <c r="E1225" s="88">
        <f>IF($T1225="","",IF($S1225="S",IF(""="","",""),IF(INDEX('AFA Rates'!$D$5:$D$1004,$T1225)="","",INDEX('AFA Rates'!$D$5:$D$1004,$T1225))))</f>
        <v/>
      </c>
      <c r="F1225" s="79">
        <f>IF($T1225="","",IF($S1225="S",IF(INDEX(Firms!$O$5:$O$1004,$T1225)="","",INDEX(Firms!$O$5:$O$1004,$T1225)),IF(INDEX('AFA Rates'!$O$5:$O$1004,$T1225)="","",INDEX('AFA Rates'!$O$5:$O$1004,$T1225))))</f>
        <v/>
      </c>
      <c r="G1225" s="50">
        <f>IF($T1225="","",IF($S1225="S",IF(INDEX(Firms!$F$5:$F$1004,$T1225)="","",INDEX(Firms!$F$5:$F$1004,$T1225)),IF(INDEX('AFA Rates'!$E$5:$E$1004,$T1225)="","",INDEX('AFA Rates'!$E$5:$E$1004,$T1225))))</f>
        <v/>
      </c>
      <c r="H1225" s="50">
        <f>IF($T1225="","",IF($S1225="S",IF(INDEX(Firms!$G$5:$G$1004,$T1225)="","",INDEX(Firms!$G$5:$G$1004,$T1225)),IF(INDEX('AFA Rates'!$F$5:$F$1004,$T1225)="","",INDEX('AFA Rates'!$F$5:$F$1004,$T1225))))</f>
        <v/>
      </c>
      <c r="I1225" s="50">
        <f>IF($T1225="","",IF($S1225="S",IF(INDEX(Firms!$H$5:$H$1004,$T1225)="","",INDEX(Firms!$H$5:$H$1004,$T1225)),IF(INDEX('AFA Rates'!$G$5:$G$1004,$T1225)="","",INDEX('AFA Rates'!$G$5:$G$1004,$T1225))))</f>
        <v/>
      </c>
      <c r="J1225" s="50">
        <f>IF($T1225="","",IF($S1225="S",IF(INDEX(Firms!$I$5:$I$1004,$T1225)="","",INDEX(Firms!$I$5:$I$1004,$T1225)),IF(INDEX('AFA Rates'!$H$5:$H$1004,$T1225)="","",INDEX('AFA Rates'!$H$5:$H$1004,$T1225))))</f>
        <v/>
      </c>
      <c r="K1225" s="50">
        <f>IF($T1225="","",IF($S1225="S",IF(INDEX(Firms!$J$5:$J$1004,$T1225)="","",INDEX(Firms!$J$5:$J$1004,$T1225)),IF(INDEX('AFA Rates'!$I$5:$I$1004,$T1225)="","",INDEX('AFA Rates'!$I$5:$I$1004,$T1225))))</f>
        <v/>
      </c>
      <c r="L1225" s="50">
        <f>IF($T1225="","",IF($S1225="S",IF(INDEX(Firms!$K$5:$K$1004,$T1225)="","",INDEX(Firms!$K$5:$K$1004,$T1225)),IF(INDEX('AFA Rates'!$J$5:$J$1004,$T1225)="","",INDEX('AFA Rates'!$J$5:$J$1004,$T1225))))</f>
        <v/>
      </c>
      <c r="M1225" s="50">
        <f>IF($T1225="","",IF($S1225="S",IF(INDEX(Firms!$L$5:$L$1004,$T1225)="","",INDEX(Firms!$L$5:$L$1004,$T1225)),IF(INDEX('AFA Rates'!$K$5:$K$1004,$T1225)="","",INDEX('AFA Rates'!$K$5:$K$1004,$T1225))))</f>
        <v/>
      </c>
      <c r="N1225" s="50">
        <f>IF($T1225="","",IF($S1225="S",IF(INDEX(Firms!$M$5:$M$1004,$T1225)="","",INDEX(Firms!$M$5:$M$1004,$T1225)),IF(INDEX('AFA Rates'!$L$5:$L$1004,$T1225)="","",INDEX('AFA Rates'!$L$5:$L$1004,$T1225))))</f>
        <v/>
      </c>
      <c r="O1225" s="78">
        <f>IF(OR($T1225="",$U1225=""),"",IF(INDEX(Firms!$C$5:$C$1004,$U1225)="","",INDEX(Firms!$C$5:$C$1004,$U1225)))</f>
        <v/>
      </c>
      <c r="P1225" s="79">
        <f>IF(OR($T1225="",$U1225=""),"",IF(INDEX(Firms!$N$5:$N$1004,$U1225)="","",INDEX(Firms!$N$5:$N$1004,$U1225)))</f>
        <v/>
      </c>
      <c r="Q1225" s="78">
        <f>IF($T1225="","",IF($S1225="S",IF(INDEX(Firms!$T$5:$T$1004,$T1225)="","",INDEX(Firms!$T$5:$T$1004,$T1225)),IF(INDEX('AFA Rates'!$M$5:$M$1004,$T1225)="","",INDEX('AFA Rates'!$M$5:$M$1004,$T1225))))</f>
        <v/>
      </c>
      <c r="S1225">
        <f>IF(1221&lt;=$S$2,"S",IF(1221&lt;=$S$2+$T$2,"A",""))</f>
        <v/>
      </c>
      <c r="T1225">
        <f>IF(S1225="S",MATCH(1221,Firms!$W$5:$W$1004,0),IF(S1225="A",IFERROR(MATCH(1221-$S$2,'AFA Rates'!$R$5:$R$1004,0),""),""))</f>
        <v/>
      </c>
      <c r="U1225">
        <f>IF(S1225="S",T1225,IF(AND(S1225="A",T1225&lt;&gt;""),IFERROR(MATCH(INDEX('AFA Rates'!$A$5:$A$1004,T1225),Firms!$A$5:$A$1004,0),""),""))</f>
        <v/>
      </c>
    </row>
    <row r="1226">
      <c r="A1226" s="78">
        <f>IF($T1226="","",IF($S1226="S",IF(INDEX(Firms!$A$5:$A$1004,$T1226)="","",INDEX(Firms!$A$5:$A$1004,$T1226)),IF(INDEX('AFA Rates'!$A$5:$A$1004,$T1226)="","",INDEX('AFA Rates'!$A$5:$A$1004,$T1226))))</f>
        <v/>
      </c>
      <c r="B1226" s="79">
        <f>IF(OR($T1226="",$U1226=""),IF($T1226="","","Not on Firms tab"),INDEX(Firms!$B$5:$B$1004,$U1226)&amp;"")</f>
        <v/>
      </c>
      <c r="C1226" s="78">
        <f>IF($T1226="","",IF($S1226="S","Standard",INDEX('AFA Rates'!$B$5:$B$1004,$T1226)&amp;""))</f>
        <v/>
      </c>
      <c r="D1226" s="88">
        <f>IF($T1226="","",IF($S1226="S",IF(INDEX(Firms!$E$5:$E$1004,$T1226)="","",INDEX(Firms!$E$5:$E$1004,$T1226)),IF(INDEX('AFA Rates'!$C$5:$C$1004,$T1226)="","",INDEX('AFA Rates'!$C$5:$C$1004,$T1226))))</f>
        <v/>
      </c>
      <c r="E1226" s="88">
        <f>IF($T1226="","",IF($S1226="S",IF(""="","",""),IF(INDEX('AFA Rates'!$D$5:$D$1004,$T1226)="","",INDEX('AFA Rates'!$D$5:$D$1004,$T1226))))</f>
        <v/>
      </c>
      <c r="F1226" s="79">
        <f>IF($T1226="","",IF($S1226="S",IF(INDEX(Firms!$O$5:$O$1004,$T1226)="","",INDEX(Firms!$O$5:$O$1004,$T1226)),IF(INDEX('AFA Rates'!$O$5:$O$1004,$T1226)="","",INDEX('AFA Rates'!$O$5:$O$1004,$T1226))))</f>
        <v/>
      </c>
      <c r="G1226" s="50">
        <f>IF($T1226="","",IF($S1226="S",IF(INDEX(Firms!$F$5:$F$1004,$T1226)="","",INDEX(Firms!$F$5:$F$1004,$T1226)),IF(INDEX('AFA Rates'!$E$5:$E$1004,$T1226)="","",INDEX('AFA Rates'!$E$5:$E$1004,$T1226))))</f>
        <v/>
      </c>
      <c r="H1226" s="50">
        <f>IF($T1226="","",IF($S1226="S",IF(INDEX(Firms!$G$5:$G$1004,$T1226)="","",INDEX(Firms!$G$5:$G$1004,$T1226)),IF(INDEX('AFA Rates'!$F$5:$F$1004,$T1226)="","",INDEX('AFA Rates'!$F$5:$F$1004,$T1226))))</f>
        <v/>
      </c>
      <c r="I1226" s="50">
        <f>IF($T1226="","",IF($S1226="S",IF(INDEX(Firms!$H$5:$H$1004,$T1226)="","",INDEX(Firms!$H$5:$H$1004,$T1226)),IF(INDEX('AFA Rates'!$G$5:$G$1004,$T1226)="","",INDEX('AFA Rates'!$G$5:$G$1004,$T1226))))</f>
        <v/>
      </c>
      <c r="J1226" s="50">
        <f>IF($T1226="","",IF($S1226="S",IF(INDEX(Firms!$I$5:$I$1004,$T1226)="","",INDEX(Firms!$I$5:$I$1004,$T1226)),IF(INDEX('AFA Rates'!$H$5:$H$1004,$T1226)="","",INDEX('AFA Rates'!$H$5:$H$1004,$T1226))))</f>
        <v/>
      </c>
      <c r="K1226" s="50">
        <f>IF($T1226="","",IF($S1226="S",IF(INDEX(Firms!$J$5:$J$1004,$T1226)="","",INDEX(Firms!$J$5:$J$1004,$T1226)),IF(INDEX('AFA Rates'!$I$5:$I$1004,$T1226)="","",INDEX('AFA Rates'!$I$5:$I$1004,$T1226))))</f>
        <v/>
      </c>
      <c r="L1226" s="50">
        <f>IF($T1226="","",IF($S1226="S",IF(INDEX(Firms!$K$5:$K$1004,$T1226)="","",INDEX(Firms!$K$5:$K$1004,$T1226)),IF(INDEX('AFA Rates'!$J$5:$J$1004,$T1226)="","",INDEX('AFA Rates'!$J$5:$J$1004,$T1226))))</f>
        <v/>
      </c>
      <c r="M1226" s="50">
        <f>IF($T1226="","",IF($S1226="S",IF(INDEX(Firms!$L$5:$L$1004,$T1226)="","",INDEX(Firms!$L$5:$L$1004,$T1226)),IF(INDEX('AFA Rates'!$K$5:$K$1004,$T1226)="","",INDEX('AFA Rates'!$K$5:$K$1004,$T1226))))</f>
        <v/>
      </c>
      <c r="N1226" s="50">
        <f>IF($T1226="","",IF($S1226="S",IF(INDEX(Firms!$M$5:$M$1004,$T1226)="","",INDEX(Firms!$M$5:$M$1004,$T1226)),IF(INDEX('AFA Rates'!$L$5:$L$1004,$T1226)="","",INDEX('AFA Rates'!$L$5:$L$1004,$T1226))))</f>
        <v/>
      </c>
      <c r="O1226" s="78">
        <f>IF(OR($T1226="",$U1226=""),"",IF(INDEX(Firms!$C$5:$C$1004,$U1226)="","",INDEX(Firms!$C$5:$C$1004,$U1226)))</f>
        <v/>
      </c>
      <c r="P1226" s="79">
        <f>IF(OR($T1226="",$U1226=""),"",IF(INDEX(Firms!$N$5:$N$1004,$U1226)="","",INDEX(Firms!$N$5:$N$1004,$U1226)))</f>
        <v/>
      </c>
      <c r="Q1226" s="78">
        <f>IF($T1226="","",IF($S1226="S",IF(INDEX(Firms!$T$5:$T$1004,$T1226)="","",INDEX(Firms!$T$5:$T$1004,$T1226)),IF(INDEX('AFA Rates'!$M$5:$M$1004,$T1226)="","",INDEX('AFA Rates'!$M$5:$M$1004,$T1226))))</f>
        <v/>
      </c>
      <c r="S1226">
        <f>IF(1222&lt;=$S$2,"S",IF(1222&lt;=$S$2+$T$2,"A",""))</f>
        <v/>
      </c>
      <c r="T1226">
        <f>IF(S1226="S",MATCH(1222,Firms!$W$5:$W$1004,0),IF(S1226="A",IFERROR(MATCH(1222-$S$2,'AFA Rates'!$R$5:$R$1004,0),""),""))</f>
        <v/>
      </c>
      <c r="U1226">
        <f>IF(S1226="S",T1226,IF(AND(S1226="A",T1226&lt;&gt;""),IFERROR(MATCH(INDEX('AFA Rates'!$A$5:$A$1004,T1226),Firms!$A$5:$A$1004,0),""),""))</f>
        <v/>
      </c>
    </row>
    <row r="1227">
      <c r="A1227" s="78">
        <f>IF($T1227="","",IF($S1227="S",IF(INDEX(Firms!$A$5:$A$1004,$T1227)="","",INDEX(Firms!$A$5:$A$1004,$T1227)),IF(INDEX('AFA Rates'!$A$5:$A$1004,$T1227)="","",INDEX('AFA Rates'!$A$5:$A$1004,$T1227))))</f>
        <v/>
      </c>
      <c r="B1227" s="79">
        <f>IF(OR($T1227="",$U1227=""),IF($T1227="","","Not on Firms tab"),INDEX(Firms!$B$5:$B$1004,$U1227)&amp;"")</f>
        <v/>
      </c>
      <c r="C1227" s="78">
        <f>IF($T1227="","",IF($S1227="S","Standard",INDEX('AFA Rates'!$B$5:$B$1004,$T1227)&amp;""))</f>
        <v/>
      </c>
      <c r="D1227" s="88">
        <f>IF($T1227="","",IF($S1227="S",IF(INDEX(Firms!$E$5:$E$1004,$T1227)="","",INDEX(Firms!$E$5:$E$1004,$T1227)),IF(INDEX('AFA Rates'!$C$5:$C$1004,$T1227)="","",INDEX('AFA Rates'!$C$5:$C$1004,$T1227))))</f>
        <v/>
      </c>
      <c r="E1227" s="88">
        <f>IF($T1227="","",IF($S1227="S",IF(""="","",""),IF(INDEX('AFA Rates'!$D$5:$D$1004,$T1227)="","",INDEX('AFA Rates'!$D$5:$D$1004,$T1227))))</f>
        <v/>
      </c>
      <c r="F1227" s="79">
        <f>IF($T1227="","",IF($S1227="S",IF(INDEX(Firms!$O$5:$O$1004,$T1227)="","",INDEX(Firms!$O$5:$O$1004,$T1227)),IF(INDEX('AFA Rates'!$O$5:$O$1004,$T1227)="","",INDEX('AFA Rates'!$O$5:$O$1004,$T1227))))</f>
        <v/>
      </c>
      <c r="G1227" s="50">
        <f>IF($T1227="","",IF($S1227="S",IF(INDEX(Firms!$F$5:$F$1004,$T1227)="","",INDEX(Firms!$F$5:$F$1004,$T1227)),IF(INDEX('AFA Rates'!$E$5:$E$1004,$T1227)="","",INDEX('AFA Rates'!$E$5:$E$1004,$T1227))))</f>
        <v/>
      </c>
      <c r="H1227" s="50">
        <f>IF($T1227="","",IF($S1227="S",IF(INDEX(Firms!$G$5:$G$1004,$T1227)="","",INDEX(Firms!$G$5:$G$1004,$T1227)),IF(INDEX('AFA Rates'!$F$5:$F$1004,$T1227)="","",INDEX('AFA Rates'!$F$5:$F$1004,$T1227))))</f>
        <v/>
      </c>
      <c r="I1227" s="50">
        <f>IF($T1227="","",IF($S1227="S",IF(INDEX(Firms!$H$5:$H$1004,$T1227)="","",INDEX(Firms!$H$5:$H$1004,$T1227)),IF(INDEX('AFA Rates'!$G$5:$G$1004,$T1227)="","",INDEX('AFA Rates'!$G$5:$G$1004,$T1227))))</f>
        <v/>
      </c>
      <c r="J1227" s="50">
        <f>IF($T1227="","",IF($S1227="S",IF(INDEX(Firms!$I$5:$I$1004,$T1227)="","",INDEX(Firms!$I$5:$I$1004,$T1227)),IF(INDEX('AFA Rates'!$H$5:$H$1004,$T1227)="","",INDEX('AFA Rates'!$H$5:$H$1004,$T1227))))</f>
        <v/>
      </c>
      <c r="K1227" s="50">
        <f>IF($T1227="","",IF($S1227="S",IF(INDEX(Firms!$J$5:$J$1004,$T1227)="","",INDEX(Firms!$J$5:$J$1004,$T1227)),IF(INDEX('AFA Rates'!$I$5:$I$1004,$T1227)="","",INDEX('AFA Rates'!$I$5:$I$1004,$T1227))))</f>
        <v/>
      </c>
      <c r="L1227" s="50">
        <f>IF($T1227="","",IF($S1227="S",IF(INDEX(Firms!$K$5:$K$1004,$T1227)="","",INDEX(Firms!$K$5:$K$1004,$T1227)),IF(INDEX('AFA Rates'!$J$5:$J$1004,$T1227)="","",INDEX('AFA Rates'!$J$5:$J$1004,$T1227))))</f>
        <v/>
      </c>
      <c r="M1227" s="50">
        <f>IF($T1227="","",IF($S1227="S",IF(INDEX(Firms!$L$5:$L$1004,$T1227)="","",INDEX(Firms!$L$5:$L$1004,$T1227)),IF(INDEX('AFA Rates'!$K$5:$K$1004,$T1227)="","",INDEX('AFA Rates'!$K$5:$K$1004,$T1227))))</f>
        <v/>
      </c>
      <c r="N1227" s="50">
        <f>IF($T1227="","",IF($S1227="S",IF(INDEX(Firms!$M$5:$M$1004,$T1227)="","",INDEX(Firms!$M$5:$M$1004,$T1227)),IF(INDEX('AFA Rates'!$L$5:$L$1004,$T1227)="","",INDEX('AFA Rates'!$L$5:$L$1004,$T1227))))</f>
        <v/>
      </c>
      <c r="O1227" s="78">
        <f>IF(OR($T1227="",$U1227=""),"",IF(INDEX(Firms!$C$5:$C$1004,$U1227)="","",INDEX(Firms!$C$5:$C$1004,$U1227)))</f>
        <v/>
      </c>
      <c r="P1227" s="79">
        <f>IF(OR($T1227="",$U1227=""),"",IF(INDEX(Firms!$N$5:$N$1004,$U1227)="","",INDEX(Firms!$N$5:$N$1004,$U1227)))</f>
        <v/>
      </c>
      <c r="Q1227" s="78">
        <f>IF($T1227="","",IF($S1227="S",IF(INDEX(Firms!$T$5:$T$1004,$T1227)="","",INDEX(Firms!$T$5:$T$1004,$T1227)),IF(INDEX('AFA Rates'!$M$5:$M$1004,$T1227)="","",INDEX('AFA Rates'!$M$5:$M$1004,$T1227))))</f>
        <v/>
      </c>
      <c r="S1227">
        <f>IF(1223&lt;=$S$2,"S",IF(1223&lt;=$S$2+$T$2,"A",""))</f>
        <v/>
      </c>
      <c r="T1227">
        <f>IF(S1227="S",MATCH(1223,Firms!$W$5:$W$1004,0),IF(S1227="A",IFERROR(MATCH(1223-$S$2,'AFA Rates'!$R$5:$R$1004,0),""),""))</f>
        <v/>
      </c>
      <c r="U1227">
        <f>IF(S1227="S",T1227,IF(AND(S1227="A",T1227&lt;&gt;""),IFERROR(MATCH(INDEX('AFA Rates'!$A$5:$A$1004,T1227),Firms!$A$5:$A$1004,0),""),""))</f>
        <v/>
      </c>
    </row>
    <row r="1228">
      <c r="A1228" s="78">
        <f>IF($T1228="","",IF($S1228="S",IF(INDEX(Firms!$A$5:$A$1004,$T1228)="","",INDEX(Firms!$A$5:$A$1004,$T1228)),IF(INDEX('AFA Rates'!$A$5:$A$1004,$T1228)="","",INDEX('AFA Rates'!$A$5:$A$1004,$T1228))))</f>
        <v/>
      </c>
      <c r="B1228" s="79">
        <f>IF(OR($T1228="",$U1228=""),IF($T1228="","","Not on Firms tab"),INDEX(Firms!$B$5:$B$1004,$U1228)&amp;"")</f>
        <v/>
      </c>
      <c r="C1228" s="78">
        <f>IF($T1228="","",IF($S1228="S","Standard",INDEX('AFA Rates'!$B$5:$B$1004,$T1228)&amp;""))</f>
        <v/>
      </c>
      <c r="D1228" s="88">
        <f>IF($T1228="","",IF($S1228="S",IF(INDEX(Firms!$E$5:$E$1004,$T1228)="","",INDEX(Firms!$E$5:$E$1004,$T1228)),IF(INDEX('AFA Rates'!$C$5:$C$1004,$T1228)="","",INDEX('AFA Rates'!$C$5:$C$1004,$T1228))))</f>
        <v/>
      </c>
      <c r="E1228" s="88">
        <f>IF($T1228="","",IF($S1228="S",IF(""="","",""),IF(INDEX('AFA Rates'!$D$5:$D$1004,$T1228)="","",INDEX('AFA Rates'!$D$5:$D$1004,$T1228))))</f>
        <v/>
      </c>
      <c r="F1228" s="79">
        <f>IF($T1228="","",IF($S1228="S",IF(INDEX(Firms!$O$5:$O$1004,$T1228)="","",INDEX(Firms!$O$5:$O$1004,$T1228)),IF(INDEX('AFA Rates'!$O$5:$O$1004,$T1228)="","",INDEX('AFA Rates'!$O$5:$O$1004,$T1228))))</f>
        <v/>
      </c>
      <c r="G1228" s="50">
        <f>IF($T1228="","",IF($S1228="S",IF(INDEX(Firms!$F$5:$F$1004,$T1228)="","",INDEX(Firms!$F$5:$F$1004,$T1228)),IF(INDEX('AFA Rates'!$E$5:$E$1004,$T1228)="","",INDEX('AFA Rates'!$E$5:$E$1004,$T1228))))</f>
        <v/>
      </c>
      <c r="H1228" s="50">
        <f>IF($T1228="","",IF($S1228="S",IF(INDEX(Firms!$G$5:$G$1004,$T1228)="","",INDEX(Firms!$G$5:$G$1004,$T1228)),IF(INDEX('AFA Rates'!$F$5:$F$1004,$T1228)="","",INDEX('AFA Rates'!$F$5:$F$1004,$T1228))))</f>
        <v/>
      </c>
      <c r="I1228" s="50">
        <f>IF($T1228="","",IF($S1228="S",IF(INDEX(Firms!$H$5:$H$1004,$T1228)="","",INDEX(Firms!$H$5:$H$1004,$T1228)),IF(INDEX('AFA Rates'!$G$5:$G$1004,$T1228)="","",INDEX('AFA Rates'!$G$5:$G$1004,$T1228))))</f>
        <v/>
      </c>
      <c r="J1228" s="50">
        <f>IF($T1228="","",IF($S1228="S",IF(INDEX(Firms!$I$5:$I$1004,$T1228)="","",INDEX(Firms!$I$5:$I$1004,$T1228)),IF(INDEX('AFA Rates'!$H$5:$H$1004,$T1228)="","",INDEX('AFA Rates'!$H$5:$H$1004,$T1228))))</f>
        <v/>
      </c>
      <c r="K1228" s="50">
        <f>IF($T1228="","",IF($S1228="S",IF(INDEX(Firms!$J$5:$J$1004,$T1228)="","",INDEX(Firms!$J$5:$J$1004,$T1228)),IF(INDEX('AFA Rates'!$I$5:$I$1004,$T1228)="","",INDEX('AFA Rates'!$I$5:$I$1004,$T1228))))</f>
        <v/>
      </c>
      <c r="L1228" s="50">
        <f>IF($T1228="","",IF($S1228="S",IF(INDEX(Firms!$K$5:$K$1004,$T1228)="","",INDEX(Firms!$K$5:$K$1004,$T1228)),IF(INDEX('AFA Rates'!$J$5:$J$1004,$T1228)="","",INDEX('AFA Rates'!$J$5:$J$1004,$T1228))))</f>
        <v/>
      </c>
      <c r="M1228" s="50">
        <f>IF($T1228="","",IF($S1228="S",IF(INDEX(Firms!$L$5:$L$1004,$T1228)="","",INDEX(Firms!$L$5:$L$1004,$T1228)),IF(INDEX('AFA Rates'!$K$5:$K$1004,$T1228)="","",INDEX('AFA Rates'!$K$5:$K$1004,$T1228))))</f>
        <v/>
      </c>
      <c r="N1228" s="50">
        <f>IF($T1228="","",IF($S1228="S",IF(INDEX(Firms!$M$5:$M$1004,$T1228)="","",INDEX(Firms!$M$5:$M$1004,$T1228)),IF(INDEX('AFA Rates'!$L$5:$L$1004,$T1228)="","",INDEX('AFA Rates'!$L$5:$L$1004,$T1228))))</f>
        <v/>
      </c>
      <c r="O1228" s="78">
        <f>IF(OR($T1228="",$U1228=""),"",IF(INDEX(Firms!$C$5:$C$1004,$U1228)="","",INDEX(Firms!$C$5:$C$1004,$U1228)))</f>
        <v/>
      </c>
      <c r="P1228" s="79">
        <f>IF(OR($T1228="",$U1228=""),"",IF(INDEX(Firms!$N$5:$N$1004,$U1228)="","",INDEX(Firms!$N$5:$N$1004,$U1228)))</f>
        <v/>
      </c>
      <c r="Q1228" s="78">
        <f>IF($T1228="","",IF($S1228="S",IF(INDEX(Firms!$T$5:$T$1004,$T1228)="","",INDEX(Firms!$T$5:$T$1004,$T1228)),IF(INDEX('AFA Rates'!$M$5:$M$1004,$T1228)="","",INDEX('AFA Rates'!$M$5:$M$1004,$T1228))))</f>
        <v/>
      </c>
      <c r="S1228">
        <f>IF(1224&lt;=$S$2,"S",IF(1224&lt;=$S$2+$T$2,"A",""))</f>
        <v/>
      </c>
      <c r="T1228">
        <f>IF(S1228="S",MATCH(1224,Firms!$W$5:$W$1004,0),IF(S1228="A",IFERROR(MATCH(1224-$S$2,'AFA Rates'!$R$5:$R$1004,0),""),""))</f>
        <v/>
      </c>
      <c r="U1228">
        <f>IF(S1228="S",T1228,IF(AND(S1228="A",T1228&lt;&gt;""),IFERROR(MATCH(INDEX('AFA Rates'!$A$5:$A$1004,T1228),Firms!$A$5:$A$1004,0),""),""))</f>
        <v/>
      </c>
    </row>
    <row r="1229">
      <c r="A1229" s="78">
        <f>IF($T1229="","",IF($S1229="S",IF(INDEX(Firms!$A$5:$A$1004,$T1229)="","",INDEX(Firms!$A$5:$A$1004,$T1229)),IF(INDEX('AFA Rates'!$A$5:$A$1004,$T1229)="","",INDEX('AFA Rates'!$A$5:$A$1004,$T1229))))</f>
        <v/>
      </c>
      <c r="B1229" s="79">
        <f>IF(OR($T1229="",$U1229=""),IF($T1229="","","Not on Firms tab"),INDEX(Firms!$B$5:$B$1004,$U1229)&amp;"")</f>
        <v/>
      </c>
      <c r="C1229" s="78">
        <f>IF($T1229="","",IF($S1229="S","Standard",INDEX('AFA Rates'!$B$5:$B$1004,$T1229)&amp;""))</f>
        <v/>
      </c>
      <c r="D1229" s="88">
        <f>IF($T1229="","",IF($S1229="S",IF(INDEX(Firms!$E$5:$E$1004,$T1229)="","",INDEX(Firms!$E$5:$E$1004,$T1229)),IF(INDEX('AFA Rates'!$C$5:$C$1004,$T1229)="","",INDEX('AFA Rates'!$C$5:$C$1004,$T1229))))</f>
        <v/>
      </c>
      <c r="E1229" s="88">
        <f>IF($T1229="","",IF($S1229="S",IF(""="","",""),IF(INDEX('AFA Rates'!$D$5:$D$1004,$T1229)="","",INDEX('AFA Rates'!$D$5:$D$1004,$T1229))))</f>
        <v/>
      </c>
      <c r="F1229" s="79">
        <f>IF($T1229="","",IF($S1229="S",IF(INDEX(Firms!$O$5:$O$1004,$T1229)="","",INDEX(Firms!$O$5:$O$1004,$T1229)),IF(INDEX('AFA Rates'!$O$5:$O$1004,$T1229)="","",INDEX('AFA Rates'!$O$5:$O$1004,$T1229))))</f>
        <v/>
      </c>
      <c r="G1229" s="50">
        <f>IF($T1229="","",IF($S1229="S",IF(INDEX(Firms!$F$5:$F$1004,$T1229)="","",INDEX(Firms!$F$5:$F$1004,$T1229)),IF(INDEX('AFA Rates'!$E$5:$E$1004,$T1229)="","",INDEX('AFA Rates'!$E$5:$E$1004,$T1229))))</f>
        <v/>
      </c>
      <c r="H1229" s="50">
        <f>IF($T1229="","",IF($S1229="S",IF(INDEX(Firms!$G$5:$G$1004,$T1229)="","",INDEX(Firms!$G$5:$G$1004,$T1229)),IF(INDEX('AFA Rates'!$F$5:$F$1004,$T1229)="","",INDEX('AFA Rates'!$F$5:$F$1004,$T1229))))</f>
        <v/>
      </c>
      <c r="I1229" s="50">
        <f>IF($T1229="","",IF($S1229="S",IF(INDEX(Firms!$H$5:$H$1004,$T1229)="","",INDEX(Firms!$H$5:$H$1004,$T1229)),IF(INDEX('AFA Rates'!$G$5:$G$1004,$T1229)="","",INDEX('AFA Rates'!$G$5:$G$1004,$T1229))))</f>
        <v/>
      </c>
      <c r="J1229" s="50">
        <f>IF($T1229="","",IF($S1229="S",IF(INDEX(Firms!$I$5:$I$1004,$T1229)="","",INDEX(Firms!$I$5:$I$1004,$T1229)),IF(INDEX('AFA Rates'!$H$5:$H$1004,$T1229)="","",INDEX('AFA Rates'!$H$5:$H$1004,$T1229))))</f>
        <v/>
      </c>
      <c r="K1229" s="50">
        <f>IF($T1229="","",IF($S1229="S",IF(INDEX(Firms!$J$5:$J$1004,$T1229)="","",INDEX(Firms!$J$5:$J$1004,$T1229)),IF(INDEX('AFA Rates'!$I$5:$I$1004,$T1229)="","",INDEX('AFA Rates'!$I$5:$I$1004,$T1229))))</f>
        <v/>
      </c>
      <c r="L1229" s="50">
        <f>IF($T1229="","",IF($S1229="S",IF(INDEX(Firms!$K$5:$K$1004,$T1229)="","",INDEX(Firms!$K$5:$K$1004,$T1229)),IF(INDEX('AFA Rates'!$J$5:$J$1004,$T1229)="","",INDEX('AFA Rates'!$J$5:$J$1004,$T1229))))</f>
        <v/>
      </c>
      <c r="M1229" s="50">
        <f>IF($T1229="","",IF($S1229="S",IF(INDEX(Firms!$L$5:$L$1004,$T1229)="","",INDEX(Firms!$L$5:$L$1004,$T1229)),IF(INDEX('AFA Rates'!$K$5:$K$1004,$T1229)="","",INDEX('AFA Rates'!$K$5:$K$1004,$T1229))))</f>
        <v/>
      </c>
      <c r="N1229" s="50">
        <f>IF($T1229="","",IF($S1229="S",IF(INDEX(Firms!$M$5:$M$1004,$T1229)="","",INDEX(Firms!$M$5:$M$1004,$T1229)),IF(INDEX('AFA Rates'!$L$5:$L$1004,$T1229)="","",INDEX('AFA Rates'!$L$5:$L$1004,$T1229))))</f>
        <v/>
      </c>
      <c r="O1229" s="78">
        <f>IF(OR($T1229="",$U1229=""),"",IF(INDEX(Firms!$C$5:$C$1004,$U1229)="","",INDEX(Firms!$C$5:$C$1004,$U1229)))</f>
        <v/>
      </c>
      <c r="P1229" s="79">
        <f>IF(OR($T1229="",$U1229=""),"",IF(INDEX(Firms!$N$5:$N$1004,$U1229)="","",INDEX(Firms!$N$5:$N$1004,$U1229)))</f>
        <v/>
      </c>
      <c r="Q1229" s="78">
        <f>IF($T1229="","",IF($S1229="S",IF(INDEX(Firms!$T$5:$T$1004,$T1229)="","",INDEX(Firms!$T$5:$T$1004,$T1229)),IF(INDEX('AFA Rates'!$M$5:$M$1004,$T1229)="","",INDEX('AFA Rates'!$M$5:$M$1004,$T1229))))</f>
        <v/>
      </c>
      <c r="S1229">
        <f>IF(1225&lt;=$S$2,"S",IF(1225&lt;=$S$2+$T$2,"A",""))</f>
        <v/>
      </c>
      <c r="T1229">
        <f>IF(S1229="S",MATCH(1225,Firms!$W$5:$W$1004,0),IF(S1229="A",IFERROR(MATCH(1225-$S$2,'AFA Rates'!$R$5:$R$1004,0),""),""))</f>
        <v/>
      </c>
      <c r="U1229">
        <f>IF(S1229="S",T1229,IF(AND(S1229="A",T1229&lt;&gt;""),IFERROR(MATCH(INDEX('AFA Rates'!$A$5:$A$1004,T1229),Firms!$A$5:$A$1004,0),""),""))</f>
        <v/>
      </c>
    </row>
    <row r="1230">
      <c r="A1230" s="78">
        <f>IF($T1230="","",IF($S1230="S",IF(INDEX(Firms!$A$5:$A$1004,$T1230)="","",INDEX(Firms!$A$5:$A$1004,$T1230)),IF(INDEX('AFA Rates'!$A$5:$A$1004,$T1230)="","",INDEX('AFA Rates'!$A$5:$A$1004,$T1230))))</f>
        <v/>
      </c>
      <c r="B1230" s="79">
        <f>IF(OR($T1230="",$U1230=""),IF($T1230="","","Not on Firms tab"),INDEX(Firms!$B$5:$B$1004,$U1230)&amp;"")</f>
        <v/>
      </c>
      <c r="C1230" s="78">
        <f>IF($T1230="","",IF($S1230="S","Standard",INDEX('AFA Rates'!$B$5:$B$1004,$T1230)&amp;""))</f>
        <v/>
      </c>
      <c r="D1230" s="88">
        <f>IF($T1230="","",IF($S1230="S",IF(INDEX(Firms!$E$5:$E$1004,$T1230)="","",INDEX(Firms!$E$5:$E$1004,$T1230)),IF(INDEX('AFA Rates'!$C$5:$C$1004,$T1230)="","",INDEX('AFA Rates'!$C$5:$C$1004,$T1230))))</f>
        <v/>
      </c>
      <c r="E1230" s="88">
        <f>IF($T1230="","",IF($S1230="S",IF(""="","",""),IF(INDEX('AFA Rates'!$D$5:$D$1004,$T1230)="","",INDEX('AFA Rates'!$D$5:$D$1004,$T1230))))</f>
        <v/>
      </c>
      <c r="F1230" s="79">
        <f>IF($T1230="","",IF($S1230="S",IF(INDEX(Firms!$O$5:$O$1004,$T1230)="","",INDEX(Firms!$O$5:$O$1004,$T1230)),IF(INDEX('AFA Rates'!$O$5:$O$1004,$T1230)="","",INDEX('AFA Rates'!$O$5:$O$1004,$T1230))))</f>
        <v/>
      </c>
      <c r="G1230" s="50">
        <f>IF($T1230="","",IF($S1230="S",IF(INDEX(Firms!$F$5:$F$1004,$T1230)="","",INDEX(Firms!$F$5:$F$1004,$T1230)),IF(INDEX('AFA Rates'!$E$5:$E$1004,$T1230)="","",INDEX('AFA Rates'!$E$5:$E$1004,$T1230))))</f>
        <v/>
      </c>
      <c r="H1230" s="50">
        <f>IF($T1230="","",IF($S1230="S",IF(INDEX(Firms!$G$5:$G$1004,$T1230)="","",INDEX(Firms!$G$5:$G$1004,$T1230)),IF(INDEX('AFA Rates'!$F$5:$F$1004,$T1230)="","",INDEX('AFA Rates'!$F$5:$F$1004,$T1230))))</f>
        <v/>
      </c>
      <c r="I1230" s="50">
        <f>IF($T1230="","",IF($S1230="S",IF(INDEX(Firms!$H$5:$H$1004,$T1230)="","",INDEX(Firms!$H$5:$H$1004,$T1230)),IF(INDEX('AFA Rates'!$G$5:$G$1004,$T1230)="","",INDEX('AFA Rates'!$G$5:$G$1004,$T1230))))</f>
        <v/>
      </c>
      <c r="J1230" s="50">
        <f>IF($T1230="","",IF($S1230="S",IF(INDEX(Firms!$I$5:$I$1004,$T1230)="","",INDEX(Firms!$I$5:$I$1004,$T1230)),IF(INDEX('AFA Rates'!$H$5:$H$1004,$T1230)="","",INDEX('AFA Rates'!$H$5:$H$1004,$T1230))))</f>
        <v/>
      </c>
      <c r="K1230" s="50">
        <f>IF($T1230="","",IF($S1230="S",IF(INDEX(Firms!$J$5:$J$1004,$T1230)="","",INDEX(Firms!$J$5:$J$1004,$T1230)),IF(INDEX('AFA Rates'!$I$5:$I$1004,$T1230)="","",INDEX('AFA Rates'!$I$5:$I$1004,$T1230))))</f>
        <v/>
      </c>
      <c r="L1230" s="50">
        <f>IF($T1230="","",IF($S1230="S",IF(INDEX(Firms!$K$5:$K$1004,$T1230)="","",INDEX(Firms!$K$5:$K$1004,$T1230)),IF(INDEX('AFA Rates'!$J$5:$J$1004,$T1230)="","",INDEX('AFA Rates'!$J$5:$J$1004,$T1230))))</f>
        <v/>
      </c>
      <c r="M1230" s="50">
        <f>IF($T1230="","",IF($S1230="S",IF(INDEX(Firms!$L$5:$L$1004,$T1230)="","",INDEX(Firms!$L$5:$L$1004,$T1230)),IF(INDEX('AFA Rates'!$K$5:$K$1004,$T1230)="","",INDEX('AFA Rates'!$K$5:$K$1004,$T1230))))</f>
        <v/>
      </c>
      <c r="N1230" s="50">
        <f>IF($T1230="","",IF($S1230="S",IF(INDEX(Firms!$M$5:$M$1004,$T1230)="","",INDEX(Firms!$M$5:$M$1004,$T1230)),IF(INDEX('AFA Rates'!$L$5:$L$1004,$T1230)="","",INDEX('AFA Rates'!$L$5:$L$1004,$T1230))))</f>
        <v/>
      </c>
      <c r="O1230" s="78">
        <f>IF(OR($T1230="",$U1230=""),"",IF(INDEX(Firms!$C$5:$C$1004,$U1230)="","",INDEX(Firms!$C$5:$C$1004,$U1230)))</f>
        <v/>
      </c>
      <c r="P1230" s="79">
        <f>IF(OR($T1230="",$U1230=""),"",IF(INDEX(Firms!$N$5:$N$1004,$U1230)="","",INDEX(Firms!$N$5:$N$1004,$U1230)))</f>
        <v/>
      </c>
      <c r="Q1230" s="78">
        <f>IF($T1230="","",IF($S1230="S",IF(INDEX(Firms!$T$5:$T$1004,$T1230)="","",INDEX(Firms!$T$5:$T$1004,$T1230)),IF(INDEX('AFA Rates'!$M$5:$M$1004,$T1230)="","",INDEX('AFA Rates'!$M$5:$M$1004,$T1230))))</f>
        <v/>
      </c>
      <c r="S1230">
        <f>IF(1226&lt;=$S$2,"S",IF(1226&lt;=$S$2+$T$2,"A",""))</f>
        <v/>
      </c>
      <c r="T1230">
        <f>IF(S1230="S",MATCH(1226,Firms!$W$5:$W$1004,0),IF(S1230="A",IFERROR(MATCH(1226-$S$2,'AFA Rates'!$R$5:$R$1004,0),""),""))</f>
        <v/>
      </c>
      <c r="U1230">
        <f>IF(S1230="S",T1230,IF(AND(S1230="A",T1230&lt;&gt;""),IFERROR(MATCH(INDEX('AFA Rates'!$A$5:$A$1004,T1230),Firms!$A$5:$A$1004,0),""),""))</f>
        <v/>
      </c>
    </row>
    <row r="1231">
      <c r="A1231" s="78">
        <f>IF($T1231="","",IF($S1231="S",IF(INDEX(Firms!$A$5:$A$1004,$T1231)="","",INDEX(Firms!$A$5:$A$1004,$T1231)),IF(INDEX('AFA Rates'!$A$5:$A$1004,$T1231)="","",INDEX('AFA Rates'!$A$5:$A$1004,$T1231))))</f>
        <v/>
      </c>
      <c r="B1231" s="79">
        <f>IF(OR($T1231="",$U1231=""),IF($T1231="","","Not on Firms tab"),INDEX(Firms!$B$5:$B$1004,$U1231)&amp;"")</f>
        <v/>
      </c>
      <c r="C1231" s="78">
        <f>IF($T1231="","",IF($S1231="S","Standard",INDEX('AFA Rates'!$B$5:$B$1004,$T1231)&amp;""))</f>
        <v/>
      </c>
      <c r="D1231" s="88">
        <f>IF($T1231="","",IF($S1231="S",IF(INDEX(Firms!$E$5:$E$1004,$T1231)="","",INDEX(Firms!$E$5:$E$1004,$T1231)),IF(INDEX('AFA Rates'!$C$5:$C$1004,$T1231)="","",INDEX('AFA Rates'!$C$5:$C$1004,$T1231))))</f>
        <v/>
      </c>
      <c r="E1231" s="88">
        <f>IF($T1231="","",IF($S1231="S",IF(""="","",""),IF(INDEX('AFA Rates'!$D$5:$D$1004,$T1231)="","",INDEX('AFA Rates'!$D$5:$D$1004,$T1231))))</f>
        <v/>
      </c>
      <c r="F1231" s="79">
        <f>IF($T1231="","",IF($S1231="S",IF(INDEX(Firms!$O$5:$O$1004,$T1231)="","",INDEX(Firms!$O$5:$O$1004,$T1231)),IF(INDEX('AFA Rates'!$O$5:$O$1004,$T1231)="","",INDEX('AFA Rates'!$O$5:$O$1004,$T1231))))</f>
        <v/>
      </c>
      <c r="G1231" s="50">
        <f>IF($T1231="","",IF($S1231="S",IF(INDEX(Firms!$F$5:$F$1004,$T1231)="","",INDEX(Firms!$F$5:$F$1004,$T1231)),IF(INDEX('AFA Rates'!$E$5:$E$1004,$T1231)="","",INDEX('AFA Rates'!$E$5:$E$1004,$T1231))))</f>
        <v/>
      </c>
      <c r="H1231" s="50">
        <f>IF($T1231="","",IF($S1231="S",IF(INDEX(Firms!$G$5:$G$1004,$T1231)="","",INDEX(Firms!$G$5:$G$1004,$T1231)),IF(INDEX('AFA Rates'!$F$5:$F$1004,$T1231)="","",INDEX('AFA Rates'!$F$5:$F$1004,$T1231))))</f>
        <v/>
      </c>
      <c r="I1231" s="50">
        <f>IF($T1231="","",IF($S1231="S",IF(INDEX(Firms!$H$5:$H$1004,$T1231)="","",INDEX(Firms!$H$5:$H$1004,$T1231)),IF(INDEX('AFA Rates'!$G$5:$G$1004,$T1231)="","",INDEX('AFA Rates'!$G$5:$G$1004,$T1231))))</f>
        <v/>
      </c>
      <c r="J1231" s="50">
        <f>IF($T1231="","",IF($S1231="S",IF(INDEX(Firms!$I$5:$I$1004,$T1231)="","",INDEX(Firms!$I$5:$I$1004,$T1231)),IF(INDEX('AFA Rates'!$H$5:$H$1004,$T1231)="","",INDEX('AFA Rates'!$H$5:$H$1004,$T1231))))</f>
        <v/>
      </c>
      <c r="K1231" s="50">
        <f>IF($T1231="","",IF($S1231="S",IF(INDEX(Firms!$J$5:$J$1004,$T1231)="","",INDEX(Firms!$J$5:$J$1004,$T1231)),IF(INDEX('AFA Rates'!$I$5:$I$1004,$T1231)="","",INDEX('AFA Rates'!$I$5:$I$1004,$T1231))))</f>
        <v/>
      </c>
      <c r="L1231" s="50">
        <f>IF($T1231="","",IF($S1231="S",IF(INDEX(Firms!$K$5:$K$1004,$T1231)="","",INDEX(Firms!$K$5:$K$1004,$T1231)),IF(INDEX('AFA Rates'!$J$5:$J$1004,$T1231)="","",INDEX('AFA Rates'!$J$5:$J$1004,$T1231))))</f>
        <v/>
      </c>
      <c r="M1231" s="50">
        <f>IF($T1231="","",IF($S1231="S",IF(INDEX(Firms!$L$5:$L$1004,$T1231)="","",INDEX(Firms!$L$5:$L$1004,$T1231)),IF(INDEX('AFA Rates'!$K$5:$K$1004,$T1231)="","",INDEX('AFA Rates'!$K$5:$K$1004,$T1231))))</f>
        <v/>
      </c>
      <c r="N1231" s="50">
        <f>IF($T1231="","",IF($S1231="S",IF(INDEX(Firms!$M$5:$M$1004,$T1231)="","",INDEX(Firms!$M$5:$M$1004,$T1231)),IF(INDEX('AFA Rates'!$L$5:$L$1004,$T1231)="","",INDEX('AFA Rates'!$L$5:$L$1004,$T1231))))</f>
        <v/>
      </c>
      <c r="O1231" s="78">
        <f>IF(OR($T1231="",$U1231=""),"",IF(INDEX(Firms!$C$5:$C$1004,$U1231)="","",INDEX(Firms!$C$5:$C$1004,$U1231)))</f>
        <v/>
      </c>
      <c r="P1231" s="79">
        <f>IF(OR($T1231="",$U1231=""),"",IF(INDEX(Firms!$N$5:$N$1004,$U1231)="","",INDEX(Firms!$N$5:$N$1004,$U1231)))</f>
        <v/>
      </c>
      <c r="Q1231" s="78">
        <f>IF($T1231="","",IF($S1231="S",IF(INDEX(Firms!$T$5:$T$1004,$T1231)="","",INDEX(Firms!$T$5:$T$1004,$T1231)),IF(INDEX('AFA Rates'!$M$5:$M$1004,$T1231)="","",INDEX('AFA Rates'!$M$5:$M$1004,$T1231))))</f>
        <v/>
      </c>
      <c r="S1231">
        <f>IF(1227&lt;=$S$2,"S",IF(1227&lt;=$S$2+$T$2,"A",""))</f>
        <v/>
      </c>
      <c r="T1231">
        <f>IF(S1231="S",MATCH(1227,Firms!$W$5:$W$1004,0),IF(S1231="A",IFERROR(MATCH(1227-$S$2,'AFA Rates'!$R$5:$R$1004,0),""),""))</f>
        <v/>
      </c>
      <c r="U1231">
        <f>IF(S1231="S",T1231,IF(AND(S1231="A",T1231&lt;&gt;""),IFERROR(MATCH(INDEX('AFA Rates'!$A$5:$A$1004,T1231),Firms!$A$5:$A$1004,0),""),""))</f>
        <v/>
      </c>
    </row>
    <row r="1232">
      <c r="A1232" s="78">
        <f>IF($T1232="","",IF($S1232="S",IF(INDEX(Firms!$A$5:$A$1004,$T1232)="","",INDEX(Firms!$A$5:$A$1004,$T1232)),IF(INDEX('AFA Rates'!$A$5:$A$1004,$T1232)="","",INDEX('AFA Rates'!$A$5:$A$1004,$T1232))))</f>
        <v/>
      </c>
      <c r="B1232" s="79">
        <f>IF(OR($T1232="",$U1232=""),IF($T1232="","","Not on Firms tab"),INDEX(Firms!$B$5:$B$1004,$U1232)&amp;"")</f>
        <v/>
      </c>
      <c r="C1232" s="78">
        <f>IF($T1232="","",IF($S1232="S","Standard",INDEX('AFA Rates'!$B$5:$B$1004,$T1232)&amp;""))</f>
        <v/>
      </c>
      <c r="D1232" s="88">
        <f>IF($T1232="","",IF($S1232="S",IF(INDEX(Firms!$E$5:$E$1004,$T1232)="","",INDEX(Firms!$E$5:$E$1004,$T1232)),IF(INDEX('AFA Rates'!$C$5:$C$1004,$T1232)="","",INDEX('AFA Rates'!$C$5:$C$1004,$T1232))))</f>
        <v/>
      </c>
      <c r="E1232" s="88">
        <f>IF($T1232="","",IF($S1232="S",IF(""="","",""),IF(INDEX('AFA Rates'!$D$5:$D$1004,$T1232)="","",INDEX('AFA Rates'!$D$5:$D$1004,$T1232))))</f>
        <v/>
      </c>
      <c r="F1232" s="79">
        <f>IF($T1232="","",IF($S1232="S",IF(INDEX(Firms!$O$5:$O$1004,$T1232)="","",INDEX(Firms!$O$5:$O$1004,$T1232)),IF(INDEX('AFA Rates'!$O$5:$O$1004,$T1232)="","",INDEX('AFA Rates'!$O$5:$O$1004,$T1232))))</f>
        <v/>
      </c>
      <c r="G1232" s="50">
        <f>IF($T1232="","",IF($S1232="S",IF(INDEX(Firms!$F$5:$F$1004,$T1232)="","",INDEX(Firms!$F$5:$F$1004,$T1232)),IF(INDEX('AFA Rates'!$E$5:$E$1004,$T1232)="","",INDEX('AFA Rates'!$E$5:$E$1004,$T1232))))</f>
        <v/>
      </c>
      <c r="H1232" s="50">
        <f>IF($T1232="","",IF($S1232="S",IF(INDEX(Firms!$G$5:$G$1004,$T1232)="","",INDEX(Firms!$G$5:$G$1004,$T1232)),IF(INDEX('AFA Rates'!$F$5:$F$1004,$T1232)="","",INDEX('AFA Rates'!$F$5:$F$1004,$T1232))))</f>
        <v/>
      </c>
      <c r="I1232" s="50">
        <f>IF($T1232="","",IF($S1232="S",IF(INDEX(Firms!$H$5:$H$1004,$T1232)="","",INDEX(Firms!$H$5:$H$1004,$T1232)),IF(INDEX('AFA Rates'!$G$5:$G$1004,$T1232)="","",INDEX('AFA Rates'!$G$5:$G$1004,$T1232))))</f>
        <v/>
      </c>
      <c r="J1232" s="50">
        <f>IF($T1232="","",IF($S1232="S",IF(INDEX(Firms!$I$5:$I$1004,$T1232)="","",INDEX(Firms!$I$5:$I$1004,$T1232)),IF(INDEX('AFA Rates'!$H$5:$H$1004,$T1232)="","",INDEX('AFA Rates'!$H$5:$H$1004,$T1232))))</f>
        <v/>
      </c>
      <c r="K1232" s="50">
        <f>IF($T1232="","",IF($S1232="S",IF(INDEX(Firms!$J$5:$J$1004,$T1232)="","",INDEX(Firms!$J$5:$J$1004,$T1232)),IF(INDEX('AFA Rates'!$I$5:$I$1004,$T1232)="","",INDEX('AFA Rates'!$I$5:$I$1004,$T1232))))</f>
        <v/>
      </c>
      <c r="L1232" s="50">
        <f>IF($T1232="","",IF($S1232="S",IF(INDEX(Firms!$K$5:$K$1004,$T1232)="","",INDEX(Firms!$K$5:$K$1004,$T1232)),IF(INDEX('AFA Rates'!$J$5:$J$1004,$T1232)="","",INDEX('AFA Rates'!$J$5:$J$1004,$T1232))))</f>
        <v/>
      </c>
      <c r="M1232" s="50">
        <f>IF($T1232="","",IF($S1232="S",IF(INDEX(Firms!$L$5:$L$1004,$T1232)="","",INDEX(Firms!$L$5:$L$1004,$T1232)),IF(INDEX('AFA Rates'!$K$5:$K$1004,$T1232)="","",INDEX('AFA Rates'!$K$5:$K$1004,$T1232))))</f>
        <v/>
      </c>
      <c r="N1232" s="50">
        <f>IF($T1232="","",IF($S1232="S",IF(INDEX(Firms!$M$5:$M$1004,$T1232)="","",INDEX(Firms!$M$5:$M$1004,$T1232)),IF(INDEX('AFA Rates'!$L$5:$L$1004,$T1232)="","",INDEX('AFA Rates'!$L$5:$L$1004,$T1232))))</f>
        <v/>
      </c>
      <c r="O1232" s="78">
        <f>IF(OR($T1232="",$U1232=""),"",IF(INDEX(Firms!$C$5:$C$1004,$U1232)="","",INDEX(Firms!$C$5:$C$1004,$U1232)))</f>
        <v/>
      </c>
      <c r="P1232" s="79">
        <f>IF(OR($T1232="",$U1232=""),"",IF(INDEX(Firms!$N$5:$N$1004,$U1232)="","",INDEX(Firms!$N$5:$N$1004,$U1232)))</f>
        <v/>
      </c>
      <c r="Q1232" s="78">
        <f>IF($T1232="","",IF($S1232="S",IF(INDEX(Firms!$T$5:$T$1004,$T1232)="","",INDEX(Firms!$T$5:$T$1004,$T1232)),IF(INDEX('AFA Rates'!$M$5:$M$1004,$T1232)="","",INDEX('AFA Rates'!$M$5:$M$1004,$T1232))))</f>
        <v/>
      </c>
      <c r="S1232">
        <f>IF(1228&lt;=$S$2,"S",IF(1228&lt;=$S$2+$T$2,"A",""))</f>
        <v/>
      </c>
      <c r="T1232">
        <f>IF(S1232="S",MATCH(1228,Firms!$W$5:$W$1004,0),IF(S1232="A",IFERROR(MATCH(1228-$S$2,'AFA Rates'!$R$5:$R$1004,0),""),""))</f>
        <v/>
      </c>
      <c r="U1232">
        <f>IF(S1232="S",T1232,IF(AND(S1232="A",T1232&lt;&gt;""),IFERROR(MATCH(INDEX('AFA Rates'!$A$5:$A$1004,T1232),Firms!$A$5:$A$1004,0),""),""))</f>
        <v/>
      </c>
    </row>
    <row r="1233">
      <c r="A1233" s="78">
        <f>IF($T1233="","",IF($S1233="S",IF(INDEX(Firms!$A$5:$A$1004,$T1233)="","",INDEX(Firms!$A$5:$A$1004,$T1233)),IF(INDEX('AFA Rates'!$A$5:$A$1004,$T1233)="","",INDEX('AFA Rates'!$A$5:$A$1004,$T1233))))</f>
        <v/>
      </c>
      <c r="B1233" s="79">
        <f>IF(OR($T1233="",$U1233=""),IF($T1233="","","Not on Firms tab"),INDEX(Firms!$B$5:$B$1004,$U1233)&amp;"")</f>
        <v/>
      </c>
      <c r="C1233" s="78">
        <f>IF($T1233="","",IF($S1233="S","Standard",INDEX('AFA Rates'!$B$5:$B$1004,$T1233)&amp;""))</f>
        <v/>
      </c>
      <c r="D1233" s="88">
        <f>IF($T1233="","",IF($S1233="S",IF(INDEX(Firms!$E$5:$E$1004,$T1233)="","",INDEX(Firms!$E$5:$E$1004,$T1233)),IF(INDEX('AFA Rates'!$C$5:$C$1004,$T1233)="","",INDEX('AFA Rates'!$C$5:$C$1004,$T1233))))</f>
        <v/>
      </c>
      <c r="E1233" s="88">
        <f>IF($T1233="","",IF($S1233="S",IF(""="","",""),IF(INDEX('AFA Rates'!$D$5:$D$1004,$T1233)="","",INDEX('AFA Rates'!$D$5:$D$1004,$T1233))))</f>
        <v/>
      </c>
      <c r="F1233" s="79">
        <f>IF($T1233="","",IF($S1233="S",IF(INDEX(Firms!$O$5:$O$1004,$T1233)="","",INDEX(Firms!$O$5:$O$1004,$T1233)),IF(INDEX('AFA Rates'!$O$5:$O$1004,$T1233)="","",INDEX('AFA Rates'!$O$5:$O$1004,$T1233))))</f>
        <v/>
      </c>
      <c r="G1233" s="50">
        <f>IF($T1233="","",IF($S1233="S",IF(INDEX(Firms!$F$5:$F$1004,$T1233)="","",INDEX(Firms!$F$5:$F$1004,$T1233)),IF(INDEX('AFA Rates'!$E$5:$E$1004,$T1233)="","",INDEX('AFA Rates'!$E$5:$E$1004,$T1233))))</f>
        <v/>
      </c>
      <c r="H1233" s="50">
        <f>IF($T1233="","",IF($S1233="S",IF(INDEX(Firms!$G$5:$G$1004,$T1233)="","",INDEX(Firms!$G$5:$G$1004,$T1233)),IF(INDEX('AFA Rates'!$F$5:$F$1004,$T1233)="","",INDEX('AFA Rates'!$F$5:$F$1004,$T1233))))</f>
        <v/>
      </c>
      <c r="I1233" s="50">
        <f>IF($T1233="","",IF($S1233="S",IF(INDEX(Firms!$H$5:$H$1004,$T1233)="","",INDEX(Firms!$H$5:$H$1004,$T1233)),IF(INDEX('AFA Rates'!$G$5:$G$1004,$T1233)="","",INDEX('AFA Rates'!$G$5:$G$1004,$T1233))))</f>
        <v/>
      </c>
      <c r="J1233" s="50">
        <f>IF($T1233="","",IF($S1233="S",IF(INDEX(Firms!$I$5:$I$1004,$T1233)="","",INDEX(Firms!$I$5:$I$1004,$T1233)),IF(INDEX('AFA Rates'!$H$5:$H$1004,$T1233)="","",INDEX('AFA Rates'!$H$5:$H$1004,$T1233))))</f>
        <v/>
      </c>
      <c r="K1233" s="50">
        <f>IF($T1233="","",IF($S1233="S",IF(INDEX(Firms!$J$5:$J$1004,$T1233)="","",INDEX(Firms!$J$5:$J$1004,$T1233)),IF(INDEX('AFA Rates'!$I$5:$I$1004,$T1233)="","",INDEX('AFA Rates'!$I$5:$I$1004,$T1233))))</f>
        <v/>
      </c>
      <c r="L1233" s="50">
        <f>IF($T1233="","",IF($S1233="S",IF(INDEX(Firms!$K$5:$K$1004,$T1233)="","",INDEX(Firms!$K$5:$K$1004,$T1233)),IF(INDEX('AFA Rates'!$J$5:$J$1004,$T1233)="","",INDEX('AFA Rates'!$J$5:$J$1004,$T1233))))</f>
        <v/>
      </c>
      <c r="M1233" s="50">
        <f>IF($T1233="","",IF($S1233="S",IF(INDEX(Firms!$L$5:$L$1004,$T1233)="","",INDEX(Firms!$L$5:$L$1004,$T1233)),IF(INDEX('AFA Rates'!$K$5:$K$1004,$T1233)="","",INDEX('AFA Rates'!$K$5:$K$1004,$T1233))))</f>
        <v/>
      </c>
      <c r="N1233" s="50">
        <f>IF($T1233="","",IF($S1233="S",IF(INDEX(Firms!$M$5:$M$1004,$T1233)="","",INDEX(Firms!$M$5:$M$1004,$T1233)),IF(INDEX('AFA Rates'!$L$5:$L$1004,$T1233)="","",INDEX('AFA Rates'!$L$5:$L$1004,$T1233))))</f>
        <v/>
      </c>
      <c r="O1233" s="78">
        <f>IF(OR($T1233="",$U1233=""),"",IF(INDEX(Firms!$C$5:$C$1004,$U1233)="","",INDEX(Firms!$C$5:$C$1004,$U1233)))</f>
        <v/>
      </c>
      <c r="P1233" s="79">
        <f>IF(OR($T1233="",$U1233=""),"",IF(INDEX(Firms!$N$5:$N$1004,$U1233)="","",INDEX(Firms!$N$5:$N$1004,$U1233)))</f>
        <v/>
      </c>
      <c r="Q1233" s="78">
        <f>IF($T1233="","",IF($S1233="S",IF(INDEX(Firms!$T$5:$T$1004,$T1233)="","",INDEX(Firms!$T$5:$T$1004,$T1233)),IF(INDEX('AFA Rates'!$M$5:$M$1004,$T1233)="","",INDEX('AFA Rates'!$M$5:$M$1004,$T1233))))</f>
        <v/>
      </c>
      <c r="S1233">
        <f>IF(1229&lt;=$S$2,"S",IF(1229&lt;=$S$2+$T$2,"A",""))</f>
        <v/>
      </c>
      <c r="T1233">
        <f>IF(S1233="S",MATCH(1229,Firms!$W$5:$W$1004,0),IF(S1233="A",IFERROR(MATCH(1229-$S$2,'AFA Rates'!$R$5:$R$1004,0),""),""))</f>
        <v/>
      </c>
      <c r="U1233">
        <f>IF(S1233="S",T1233,IF(AND(S1233="A",T1233&lt;&gt;""),IFERROR(MATCH(INDEX('AFA Rates'!$A$5:$A$1004,T1233),Firms!$A$5:$A$1004,0),""),""))</f>
        <v/>
      </c>
    </row>
    <row r="1234">
      <c r="A1234" s="78">
        <f>IF($T1234="","",IF($S1234="S",IF(INDEX(Firms!$A$5:$A$1004,$T1234)="","",INDEX(Firms!$A$5:$A$1004,$T1234)),IF(INDEX('AFA Rates'!$A$5:$A$1004,$T1234)="","",INDEX('AFA Rates'!$A$5:$A$1004,$T1234))))</f>
        <v/>
      </c>
      <c r="B1234" s="79">
        <f>IF(OR($T1234="",$U1234=""),IF($T1234="","","Not on Firms tab"),INDEX(Firms!$B$5:$B$1004,$U1234)&amp;"")</f>
        <v/>
      </c>
      <c r="C1234" s="78">
        <f>IF($T1234="","",IF($S1234="S","Standard",INDEX('AFA Rates'!$B$5:$B$1004,$T1234)&amp;""))</f>
        <v/>
      </c>
      <c r="D1234" s="88">
        <f>IF($T1234="","",IF($S1234="S",IF(INDEX(Firms!$E$5:$E$1004,$T1234)="","",INDEX(Firms!$E$5:$E$1004,$T1234)),IF(INDEX('AFA Rates'!$C$5:$C$1004,$T1234)="","",INDEX('AFA Rates'!$C$5:$C$1004,$T1234))))</f>
        <v/>
      </c>
      <c r="E1234" s="88">
        <f>IF($T1234="","",IF($S1234="S",IF(""="","",""),IF(INDEX('AFA Rates'!$D$5:$D$1004,$T1234)="","",INDEX('AFA Rates'!$D$5:$D$1004,$T1234))))</f>
        <v/>
      </c>
      <c r="F1234" s="79">
        <f>IF($T1234="","",IF($S1234="S",IF(INDEX(Firms!$O$5:$O$1004,$T1234)="","",INDEX(Firms!$O$5:$O$1004,$T1234)),IF(INDEX('AFA Rates'!$O$5:$O$1004,$T1234)="","",INDEX('AFA Rates'!$O$5:$O$1004,$T1234))))</f>
        <v/>
      </c>
      <c r="G1234" s="50">
        <f>IF($T1234="","",IF($S1234="S",IF(INDEX(Firms!$F$5:$F$1004,$T1234)="","",INDEX(Firms!$F$5:$F$1004,$T1234)),IF(INDEX('AFA Rates'!$E$5:$E$1004,$T1234)="","",INDEX('AFA Rates'!$E$5:$E$1004,$T1234))))</f>
        <v/>
      </c>
      <c r="H1234" s="50">
        <f>IF($T1234="","",IF($S1234="S",IF(INDEX(Firms!$G$5:$G$1004,$T1234)="","",INDEX(Firms!$G$5:$G$1004,$T1234)),IF(INDEX('AFA Rates'!$F$5:$F$1004,$T1234)="","",INDEX('AFA Rates'!$F$5:$F$1004,$T1234))))</f>
        <v/>
      </c>
      <c r="I1234" s="50">
        <f>IF($T1234="","",IF($S1234="S",IF(INDEX(Firms!$H$5:$H$1004,$T1234)="","",INDEX(Firms!$H$5:$H$1004,$T1234)),IF(INDEX('AFA Rates'!$G$5:$G$1004,$T1234)="","",INDEX('AFA Rates'!$G$5:$G$1004,$T1234))))</f>
        <v/>
      </c>
      <c r="J1234" s="50">
        <f>IF($T1234="","",IF($S1234="S",IF(INDEX(Firms!$I$5:$I$1004,$T1234)="","",INDEX(Firms!$I$5:$I$1004,$T1234)),IF(INDEX('AFA Rates'!$H$5:$H$1004,$T1234)="","",INDEX('AFA Rates'!$H$5:$H$1004,$T1234))))</f>
        <v/>
      </c>
      <c r="K1234" s="50">
        <f>IF($T1234="","",IF($S1234="S",IF(INDEX(Firms!$J$5:$J$1004,$T1234)="","",INDEX(Firms!$J$5:$J$1004,$T1234)),IF(INDEX('AFA Rates'!$I$5:$I$1004,$T1234)="","",INDEX('AFA Rates'!$I$5:$I$1004,$T1234))))</f>
        <v/>
      </c>
      <c r="L1234" s="50">
        <f>IF($T1234="","",IF($S1234="S",IF(INDEX(Firms!$K$5:$K$1004,$T1234)="","",INDEX(Firms!$K$5:$K$1004,$T1234)),IF(INDEX('AFA Rates'!$J$5:$J$1004,$T1234)="","",INDEX('AFA Rates'!$J$5:$J$1004,$T1234))))</f>
        <v/>
      </c>
      <c r="M1234" s="50">
        <f>IF($T1234="","",IF($S1234="S",IF(INDEX(Firms!$L$5:$L$1004,$T1234)="","",INDEX(Firms!$L$5:$L$1004,$T1234)),IF(INDEX('AFA Rates'!$K$5:$K$1004,$T1234)="","",INDEX('AFA Rates'!$K$5:$K$1004,$T1234))))</f>
        <v/>
      </c>
      <c r="N1234" s="50">
        <f>IF($T1234="","",IF($S1234="S",IF(INDEX(Firms!$M$5:$M$1004,$T1234)="","",INDEX(Firms!$M$5:$M$1004,$T1234)),IF(INDEX('AFA Rates'!$L$5:$L$1004,$T1234)="","",INDEX('AFA Rates'!$L$5:$L$1004,$T1234))))</f>
        <v/>
      </c>
      <c r="O1234" s="78">
        <f>IF(OR($T1234="",$U1234=""),"",IF(INDEX(Firms!$C$5:$C$1004,$U1234)="","",INDEX(Firms!$C$5:$C$1004,$U1234)))</f>
        <v/>
      </c>
      <c r="P1234" s="79">
        <f>IF(OR($T1234="",$U1234=""),"",IF(INDEX(Firms!$N$5:$N$1004,$U1234)="","",INDEX(Firms!$N$5:$N$1004,$U1234)))</f>
        <v/>
      </c>
      <c r="Q1234" s="78">
        <f>IF($T1234="","",IF($S1234="S",IF(INDEX(Firms!$T$5:$T$1004,$T1234)="","",INDEX(Firms!$T$5:$T$1004,$T1234)),IF(INDEX('AFA Rates'!$M$5:$M$1004,$T1234)="","",INDEX('AFA Rates'!$M$5:$M$1004,$T1234))))</f>
        <v/>
      </c>
      <c r="S1234">
        <f>IF(1230&lt;=$S$2,"S",IF(1230&lt;=$S$2+$T$2,"A",""))</f>
        <v/>
      </c>
      <c r="T1234">
        <f>IF(S1234="S",MATCH(1230,Firms!$W$5:$W$1004,0),IF(S1234="A",IFERROR(MATCH(1230-$S$2,'AFA Rates'!$R$5:$R$1004,0),""),""))</f>
        <v/>
      </c>
      <c r="U1234">
        <f>IF(S1234="S",T1234,IF(AND(S1234="A",T1234&lt;&gt;""),IFERROR(MATCH(INDEX('AFA Rates'!$A$5:$A$1004,T1234),Firms!$A$5:$A$1004,0),""),""))</f>
        <v/>
      </c>
    </row>
    <row r="1235">
      <c r="A1235" s="78">
        <f>IF($T1235="","",IF($S1235="S",IF(INDEX(Firms!$A$5:$A$1004,$T1235)="","",INDEX(Firms!$A$5:$A$1004,$T1235)),IF(INDEX('AFA Rates'!$A$5:$A$1004,$T1235)="","",INDEX('AFA Rates'!$A$5:$A$1004,$T1235))))</f>
        <v/>
      </c>
      <c r="B1235" s="79">
        <f>IF(OR($T1235="",$U1235=""),IF($T1235="","","Not on Firms tab"),INDEX(Firms!$B$5:$B$1004,$U1235)&amp;"")</f>
        <v/>
      </c>
      <c r="C1235" s="78">
        <f>IF($T1235="","",IF($S1235="S","Standard",INDEX('AFA Rates'!$B$5:$B$1004,$T1235)&amp;""))</f>
        <v/>
      </c>
      <c r="D1235" s="88">
        <f>IF($T1235="","",IF($S1235="S",IF(INDEX(Firms!$E$5:$E$1004,$T1235)="","",INDEX(Firms!$E$5:$E$1004,$T1235)),IF(INDEX('AFA Rates'!$C$5:$C$1004,$T1235)="","",INDEX('AFA Rates'!$C$5:$C$1004,$T1235))))</f>
        <v/>
      </c>
      <c r="E1235" s="88">
        <f>IF($T1235="","",IF($S1235="S",IF(""="","",""),IF(INDEX('AFA Rates'!$D$5:$D$1004,$T1235)="","",INDEX('AFA Rates'!$D$5:$D$1004,$T1235))))</f>
        <v/>
      </c>
      <c r="F1235" s="79">
        <f>IF($T1235="","",IF($S1235="S",IF(INDEX(Firms!$O$5:$O$1004,$T1235)="","",INDEX(Firms!$O$5:$O$1004,$T1235)),IF(INDEX('AFA Rates'!$O$5:$O$1004,$T1235)="","",INDEX('AFA Rates'!$O$5:$O$1004,$T1235))))</f>
        <v/>
      </c>
      <c r="G1235" s="50">
        <f>IF($T1235="","",IF($S1235="S",IF(INDEX(Firms!$F$5:$F$1004,$T1235)="","",INDEX(Firms!$F$5:$F$1004,$T1235)),IF(INDEX('AFA Rates'!$E$5:$E$1004,$T1235)="","",INDEX('AFA Rates'!$E$5:$E$1004,$T1235))))</f>
        <v/>
      </c>
      <c r="H1235" s="50">
        <f>IF($T1235="","",IF($S1235="S",IF(INDEX(Firms!$G$5:$G$1004,$T1235)="","",INDEX(Firms!$G$5:$G$1004,$T1235)),IF(INDEX('AFA Rates'!$F$5:$F$1004,$T1235)="","",INDEX('AFA Rates'!$F$5:$F$1004,$T1235))))</f>
        <v/>
      </c>
      <c r="I1235" s="50">
        <f>IF($T1235="","",IF($S1235="S",IF(INDEX(Firms!$H$5:$H$1004,$T1235)="","",INDEX(Firms!$H$5:$H$1004,$T1235)),IF(INDEX('AFA Rates'!$G$5:$G$1004,$T1235)="","",INDEX('AFA Rates'!$G$5:$G$1004,$T1235))))</f>
        <v/>
      </c>
      <c r="J1235" s="50">
        <f>IF($T1235="","",IF($S1235="S",IF(INDEX(Firms!$I$5:$I$1004,$T1235)="","",INDEX(Firms!$I$5:$I$1004,$T1235)),IF(INDEX('AFA Rates'!$H$5:$H$1004,$T1235)="","",INDEX('AFA Rates'!$H$5:$H$1004,$T1235))))</f>
        <v/>
      </c>
      <c r="K1235" s="50">
        <f>IF($T1235="","",IF($S1235="S",IF(INDEX(Firms!$J$5:$J$1004,$T1235)="","",INDEX(Firms!$J$5:$J$1004,$T1235)),IF(INDEX('AFA Rates'!$I$5:$I$1004,$T1235)="","",INDEX('AFA Rates'!$I$5:$I$1004,$T1235))))</f>
        <v/>
      </c>
      <c r="L1235" s="50">
        <f>IF($T1235="","",IF($S1235="S",IF(INDEX(Firms!$K$5:$K$1004,$T1235)="","",INDEX(Firms!$K$5:$K$1004,$T1235)),IF(INDEX('AFA Rates'!$J$5:$J$1004,$T1235)="","",INDEX('AFA Rates'!$J$5:$J$1004,$T1235))))</f>
        <v/>
      </c>
      <c r="M1235" s="50">
        <f>IF($T1235="","",IF($S1235="S",IF(INDEX(Firms!$L$5:$L$1004,$T1235)="","",INDEX(Firms!$L$5:$L$1004,$T1235)),IF(INDEX('AFA Rates'!$K$5:$K$1004,$T1235)="","",INDEX('AFA Rates'!$K$5:$K$1004,$T1235))))</f>
        <v/>
      </c>
      <c r="N1235" s="50">
        <f>IF($T1235="","",IF($S1235="S",IF(INDEX(Firms!$M$5:$M$1004,$T1235)="","",INDEX(Firms!$M$5:$M$1004,$T1235)),IF(INDEX('AFA Rates'!$L$5:$L$1004,$T1235)="","",INDEX('AFA Rates'!$L$5:$L$1004,$T1235))))</f>
        <v/>
      </c>
      <c r="O1235" s="78">
        <f>IF(OR($T1235="",$U1235=""),"",IF(INDEX(Firms!$C$5:$C$1004,$U1235)="","",INDEX(Firms!$C$5:$C$1004,$U1235)))</f>
        <v/>
      </c>
      <c r="P1235" s="79">
        <f>IF(OR($T1235="",$U1235=""),"",IF(INDEX(Firms!$N$5:$N$1004,$U1235)="","",INDEX(Firms!$N$5:$N$1004,$U1235)))</f>
        <v/>
      </c>
      <c r="Q1235" s="78">
        <f>IF($T1235="","",IF($S1235="S",IF(INDEX(Firms!$T$5:$T$1004,$T1235)="","",INDEX(Firms!$T$5:$T$1004,$T1235)),IF(INDEX('AFA Rates'!$M$5:$M$1004,$T1235)="","",INDEX('AFA Rates'!$M$5:$M$1004,$T1235))))</f>
        <v/>
      </c>
      <c r="S1235">
        <f>IF(1231&lt;=$S$2,"S",IF(1231&lt;=$S$2+$T$2,"A",""))</f>
        <v/>
      </c>
      <c r="T1235">
        <f>IF(S1235="S",MATCH(1231,Firms!$W$5:$W$1004,0),IF(S1235="A",IFERROR(MATCH(1231-$S$2,'AFA Rates'!$R$5:$R$1004,0),""),""))</f>
        <v/>
      </c>
      <c r="U1235">
        <f>IF(S1235="S",T1235,IF(AND(S1235="A",T1235&lt;&gt;""),IFERROR(MATCH(INDEX('AFA Rates'!$A$5:$A$1004,T1235),Firms!$A$5:$A$1004,0),""),""))</f>
        <v/>
      </c>
    </row>
    <row r="1236">
      <c r="A1236" s="78">
        <f>IF($T1236="","",IF($S1236="S",IF(INDEX(Firms!$A$5:$A$1004,$T1236)="","",INDEX(Firms!$A$5:$A$1004,$T1236)),IF(INDEX('AFA Rates'!$A$5:$A$1004,$T1236)="","",INDEX('AFA Rates'!$A$5:$A$1004,$T1236))))</f>
        <v/>
      </c>
      <c r="B1236" s="79">
        <f>IF(OR($T1236="",$U1236=""),IF($T1236="","","Not on Firms tab"),INDEX(Firms!$B$5:$B$1004,$U1236)&amp;"")</f>
        <v/>
      </c>
      <c r="C1236" s="78">
        <f>IF($T1236="","",IF($S1236="S","Standard",INDEX('AFA Rates'!$B$5:$B$1004,$T1236)&amp;""))</f>
        <v/>
      </c>
      <c r="D1236" s="88">
        <f>IF($T1236="","",IF($S1236="S",IF(INDEX(Firms!$E$5:$E$1004,$T1236)="","",INDEX(Firms!$E$5:$E$1004,$T1236)),IF(INDEX('AFA Rates'!$C$5:$C$1004,$T1236)="","",INDEX('AFA Rates'!$C$5:$C$1004,$T1236))))</f>
        <v/>
      </c>
      <c r="E1236" s="88">
        <f>IF($T1236="","",IF($S1236="S",IF(""="","",""),IF(INDEX('AFA Rates'!$D$5:$D$1004,$T1236)="","",INDEX('AFA Rates'!$D$5:$D$1004,$T1236))))</f>
        <v/>
      </c>
      <c r="F1236" s="79">
        <f>IF($T1236="","",IF($S1236="S",IF(INDEX(Firms!$O$5:$O$1004,$T1236)="","",INDEX(Firms!$O$5:$O$1004,$T1236)),IF(INDEX('AFA Rates'!$O$5:$O$1004,$T1236)="","",INDEX('AFA Rates'!$O$5:$O$1004,$T1236))))</f>
        <v/>
      </c>
      <c r="G1236" s="50">
        <f>IF($T1236="","",IF($S1236="S",IF(INDEX(Firms!$F$5:$F$1004,$T1236)="","",INDEX(Firms!$F$5:$F$1004,$T1236)),IF(INDEX('AFA Rates'!$E$5:$E$1004,$T1236)="","",INDEX('AFA Rates'!$E$5:$E$1004,$T1236))))</f>
        <v/>
      </c>
      <c r="H1236" s="50">
        <f>IF($T1236="","",IF($S1236="S",IF(INDEX(Firms!$G$5:$G$1004,$T1236)="","",INDEX(Firms!$G$5:$G$1004,$T1236)),IF(INDEX('AFA Rates'!$F$5:$F$1004,$T1236)="","",INDEX('AFA Rates'!$F$5:$F$1004,$T1236))))</f>
        <v/>
      </c>
      <c r="I1236" s="50">
        <f>IF($T1236="","",IF($S1236="S",IF(INDEX(Firms!$H$5:$H$1004,$T1236)="","",INDEX(Firms!$H$5:$H$1004,$T1236)),IF(INDEX('AFA Rates'!$G$5:$G$1004,$T1236)="","",INDEX('AFA Rates'!$G$5:$G$1004,$T1236))))</f>
        <v/>
      </c>
      <c r="J1236" s="50">
        <f>IF($T1236="","",IF($S1236="S",IF(INDEX(Firms!$I$5:$I$1004,$T1236)="","",INDEX(Firms!$I$5:$I$1004,$T1236)),IF(INDEX('AFA Rates'!$H$5:$H$1004,$T1236)="","",INDEX('AFA Rates'!$H$5:$H$1004,$T1236))))</f>
        <v/>
      </c>
      <c r="K1236" s="50">
        <f>IF($T1236="","",IF($S1236="S",IF(INDEX(Firms!$J$5:$J$1004,$T1236)="","",INDEX(Firms!$J$5:$J$1004,$T1236)),IF(INDEX('AFA Rates'!$I$5:$I$1004,$T1236)="","",INDEX('AFA Rates'!$I$5:$I$1004,$T1236))))</f>
        <v/>
      </c>
      <c r="L1236" s="50">
        <f>IF($T1236="","",IF($S1236="S",IF(INDEX(Firms!$K$5:$K$1004,$T1236)="","",INDEX(Firms!$K$5:$K$1004,$T1236)),IF(INDEX('AFA Rates'!$J$5:$J$1004,$T1236)="","",INDEX('AFA Rates'!$J$5:$J$1004,$T1236))))</f>
        <v/>
      </c>
      <c r="M1236" s="50">
        <f>IF($T1236="","",IF($S1236="S",IF(INDEX(Firms!$L$5:$L$1004,$T1236)="","",INDEX(Firms!$L$5:$L$1004,$T1236)),IF(INDEX('AFA Rates'!$K$5:$K$1004,$T1236)="","",INDEX('AFA Rates'!$K$5:$K$1004,$T1236))))</f>
        <v/>
      </c>
      <c r="N1236" s="50">
        <f>IF($T1236="","",IF($S1236="S",IF(INDEX(Firms!$M$5:$M$1004,$T1236)="","",INDEX(Firms!$M$5:$M$1004,$T1236)),IF(INDEX('AFA Rates'!$L$5:$L$1004,$T1236)="","",INDEX('AFA Rates'!$L$5:$L$1004,$T1236))))</f>
        <v/>
      </c>
      <c r="O1236" s="78">
        <f>IF(OR($T1236="",$U1236=""),"",IF(INDEX(Firms!$C$5:$C$1004,$U1236)="","",INDEX(Firms!$C$5:$C$1004,$U1236)))</f>
        <v/>
      </c>
      <c r="P1236" s="79">
        <f>IF(OR($T1236="",$U1236=""),"",IF(INDEX(Firms!$N$5:$N$1004,$U1236)="","",INDEX(Firms!$N$5:$N$1004,$U1236)))</f>
        <v/>
      </c>
      <c r="Q1236" s="78">
        <f>IF($T1236="","",IF($S1236="S",IF(INDEX(Firms!$T$5:$T$1004,$T1236)="","",INDEX(Firms!$T$5:$T$1004,$T1236)),IF(INDEX('AFA Rates'!$M$5:$M$1004,$T1236)="","",INDEX('AFA Rates'!$M$5:$M$1004,$T1236))))</f>
        <v/>
      </c>
      <c r="S1236">
        <f>IF(1232&lt;=$S$2,"S",IF(1232&lt;=$S$2+$T$2,"A",""))</f>
        <v/>
      </c>
      <c r="T1236">
        <f>IF(S1236="S",MATCH(1232,Firms!$W$5:$W$1004,0),IF(S1236="A",IFERROR(MATCH(1232-$S$2,'AFA Rates'!$R$5:$R$1004,0),""),""))</f>
        <v/>
      </c>
      <c r="U1236">
        <f>IF(S1236="S",T1236,IF(AND(S1236="A",T1236&lt;&gt;""),IFERROR(MATCH(INDEX('AFA Rates'!$A$5:$A$1004,T1236),Firms!$A$5:$A$1004,0),""),""))</f>
        <v/>
      </c>
    </row>
    <row r="1237">
      <c r="A1237" s="78">
        <f>IF($T1237="","",IF($S1237="S",IF(INDEX(Firms!$A$5:$A$1004,$T1237)="","",INDEX(Firms!$A$5:$A$1004,$T1237)),IF(INDEX('AFA Rates'!$A$5:$A$1004,$T1237)="","",INDEX('AFA Rates'!$A$5:$A$1004,$T1237))))</f>
        <v/>
      </c>
      <c r="B1237" s="79">
        <f>IF(OR($T1237="",$U1237=""),IF($T1237="","","Not on Firms tab"),INDEX(Firms!$B$5:$B$1004,$U1237)&amp;"")</f>
        <v/>
      </c>
      <c r="C1237" s="78">
        <f>IF($T1237="","",IF($S1237="S","Standard",INDEX('AFA Rates'!$B$5:$B$1004,$T1237)&amp;""))</f>
        <v/>
      </c>
      <c r="D1237" s="88">
        <f>IF($T1237="","",IF($S1237="S",IF(INDEX(Firms!$E$5:$E$1004,$T1237)="","",INDEX(Firms!$E$5:$E$1004,$T1237)),IF(INDEX('AFA Rates'!$C$5:$C$1004,$T1237)="","",INDEX('AFA Rates'!$C$5:$C$1004,$T1237))))</f>
        <v/>
      </c>
      <c r="E1237" s="88">
        <f>IF($T1237="","",IF($S1237="S",IF(""="","",""),IF(INDEX('AFA Rates'!$D$5:$D$1004,$T1237)="","",INDEX('AFA Rates'!$D$5:$D$1004,$T1237))))</f>
        <v/>
      </c>
      <c r="F1237" s="79">
        <f>IF($T1237="","",IF($S1237="S",IF(INDEX(Firms!$O$5:$O$1004,$T1237)="","",INDEX(Firms!$O$5:$O$1004,$T1237)),IF(INDEX('AFA Rates'!$O$5:$O$1004,$T1237)="","",INDEX('AFA Rates'!$O$5:$O$1004,$T1237))))</f>
        <v/>
      </c>
      <c r="G1237" s="50">
        <f>IF($T1237="","",IF($S1237="S",IF(INDEX(Firms!$F$5:$F$1004,$T1237)="","",INDEX(Firms!$F$5:$F$1004,$T1237)),IF(INDEX('AFA Rates'!$E$5:$E$1004,$T1237)="","",INDEX('AFA Rates'!$E$5:$E$1004,$T1237))))</f>
        <v/>
      </c>
      <c r="H1237" s="50">
        <f>IF($T1237="","",IF($S1237="S",IF(INDEX(Firms!$G$5:$G$1004,$T1237)="","",INDEX(Firms!$G$5:$G$1004,$T1237)),IF(INDEX('AFA Rates'!$F$5:$F$1004,$T1237)="","",INDEX('AFA Rates'!$F$5:$F$1004,$T1237))))</f>
        <v/>
      </c>
      <c r="I1237" s="50">
        <f>IF($T1237="","",IF($S1237="S",IF(INDEX(Firms!$H$5:$H$1004,$T1237)="","",INDEX(Firms!$H$5:$H$1004,$T1237)),IF(INDEX('AFA Rates'!$G$5:$G$1004,$T1237)="","",INDEX('AFA Rates'!$G$5:$G$1004,$T1237))))</f>
        <v/>
      </c>
      <c r="J1237" s="50">
        <f>IF($T1237="","",IF($S1237="S",IF(INDEX(Firms!$I$5:$I$1004,$T1237)="","",INDEX(Firms!$I$5:$I$1004,$T1237)),IF(INDEX('AFA Rates'!$H$5:$H$1004,$T1237)="","",INDEX('AFA Rates'!$H$5:$H$1004,$T1237))))</f>
        <v/>
      </c>
      <c r="K1237" s="50">
        <f>IF($T1237="","",IF($S1237="S",IF(INDEX(Firms!$J$5:$J$1004,$T1237)="","",INDEX(Firms!$J$5:$J$1004,$T1237)),IF(INDEX('AFA Rates'!$I$5:$I$1004,$T1237)="","",INDEX('AFA Rates'!$I$5:$I$1004,$T1237))))</f>
        <v/>
      </c>
      <c r="L1237" s="50">
        <f>IF($T1237="","",IF($S1237="S",IF(INDEX(Firms!$K$5:$K$1004,$T1237)="","",INDEX(Firms!$K$5:$K$1004,$T1237)),IF(INDEX('AFA Rates'!$J$5:$J$1004,$T1237)="","",INDEX('AFA Rates'!$J$5:$J$1004,$T1237))))</f>
        <v/>
      </c>
      <c r="M1237" s="50">
        <f>IF($T1237="","",IF($S1237="S",IF(INDEX(Firms!$L$5:$L$1004,$T1237)="","",INDEX(Firms!$L$5:$L$1004,$T1237)),IF(INDEX('AFA Rates'!$K$5:$K$1004,$T1237)="","",INDEX('AFA Rates'!$K$5:$K$1004,$T1237))))</f>
        <v/>
      </c>
      <c r="N1237" s="50">
        <f>IF($T1237="","",IF($S1237="S",IF(INDEX(Firms!$M$5:$M$1004,$T1237)="","",INDEX(Firms!$M$5:$M$1004,$T1237)),IF(INDEX('AFA Rates'!$L$5:$L$1004,$T1237)="","",INDEX('AFA Rates'!$L$5:$L$1004,$T1237))))</f>
        <v/>
      </c>
      <c r="O1237" s="78">
        <f>IF(OR($T1237="",$U1237=""),"",IF(INDEX(Firms!$C$5:$C$1004,$U1237)="","",INDEX(Firms!$C$5:$C$1004,$U1237)))</f>
        <v/>
      </c>
      <c r="P1237" s="79">
        <f>IF(OR($T1237="",$U1237=""),"",IF(INDEX(Firms!$N$5:$N$1004,$U1237)="","",INDEX(Firms!$N$5:$N$1004,$U1237)))</f>
        <v/>
      </c>
      <c r="Q1237" s="78">
        <f>IF($T1237="","",IF($S1237="S",IF(INDEX(Firms!$T$5:$T$1004,$T1237)="","",INDEX(Firms!$T$5:$T$1004,$T1237)),IF(INDEX('AFA Rates'!$M$5:$M$1004,$T1237)="","",INDEX('AFA Rates'!$M$5:$M$1004,$T1237))))</f>
        <v/>
      </c>
      <c r="S1237">
        <f>IF(1233&lt;=$S$2,"S",IF(1233&lt;=$S$2+$T$2,"A",""))</f>
        <v/>
      </c>
      <c r="T1237">
        <f>IF(S1237="S",MATCH(1233,Firms!$W$5:$W$1004,0),IF(S1237="A",IFERROR(MATCH(1233-$S$2,'AFA Rates'!$R$5:$R$1004,0),""),""))</f>
        <v/>
      </c>
      <c r="U1237">
        <f>IF(S1237="S",T1237,IF(AND(S1237="A",T1237&lt;&gt;""),IFERROR(MATCH(INDEX('AFA Rates'!$A$5:$A$1004,T1237),Firms!$A$5:$A$1004,0),""),""))</f>
        <v/>
      </c>
    </row>
    <row r="1238">
      <c r="A1238" s="78">
        <f>IF($T1238="","",IF($S1238="S",IF(INDEX(Firms!$A$5:$A$1004,$T1238)="","",INDEX(Firms!$A$5:$A$1004,$T1238)),IF(INDEX('AFA Rates'!$A$5:$A$1004,$T1238)="","",INDEX('AFA Rates'!$A$5:$A$1004,$T1238))))</f>
        <v/>
      </c>
      <c r="B1238" s="79">
        <f>IF(OR($T1238="",$U1238=""),IF($T1238="","","Not on Firms tab"),INDEX(Firms!$B$5:$B$1004,$U1238)&amp;"")</f>
        <v/>
      </c>
      <c r="C1238" s="78">
        <f>IF($T1238="","",IF($S1238="S","Standard",INDEX('AFA Rates'!$B$5:$B$1004,$T1238)&amp;""))</f>
        <v/>
      </c>
      <c r="D1238" s="88">
        <f>IF($T1238="","",IF($S1238="S",IF(INDEX(Firms!$E$5:$E$1004,$T1238)="","",INDEX(Firms!$E$5:$E$1004,$T1238)),IF(INDEX('AFA Rates'!$C$5:$C$1004,$T1238)="","",INDEX('AFA Rates'!$C$5:$C$1004,$T1238))))</f>
        <v/>
      </c>
      <c r="E1238" s="88">
        <f>IF($T1238="","",IF($S1238="S",IF(""="","",""),IF(INDEX('AFA Rates'!$D$5:$D$1004,$T1238)="","",INDEX('AFA Rates'!$D$5:$D$1004,$T1238))))</f>
        <v/>
      </c>
      <c r="F1238" s="79">
        <f>IF($T1238="","",IF($S1238="S",IF(INDEX(Firms!$O$5:$O$1004,$T1238)="","",INDEX(Firms!$O$5:$O$1004,$T1238)),IF(INDEX('AFA Rates'!$O$5:$O$1004,$T1238)="","",INDEX('AFA Rates'!$O$5:$O$1004,$T1238))))</f>
        <v/>
      </c>
      <c r="G1238" s="50">
        <f>IF($T1238="","",IF($S1238="S",IF(INDEX(Firms!$F$5:$F$1004,$T1238)="","",INDEX(Firms!$F$5:$F$1004,$T1238)),IF(INDEX('AFA Rates'!$E$5:$E$1004,$T1238)="","",INDEX('AFA Rates'!$E$5:$E$1004,$T1238))))</f>
        <v/>
      </c>
      <c r="H1238" s="50">
        <f>IF($T1238="","",IF($S1238="S",IF(INDEX(Firms!$G$5:$G$1004,$T1238)="","",INDEX(Firms!$G$5:$G$1004,$T1238)),IF(INDEX('AFA Rates'!$F$5:$F$1004,$T1238)="","",INDEX('AFA Rates'!$F$5:$F$1004,$T1238))))</f>
        <v/>
      </c>
      <c r="I1238" s="50">
        <f>IF($T1238="","",IF($S1238="S",IF(INDEX(Firms!$H$5:$H$1004,$T1238)="","",INDEX(Firms!$H$5:$H$1004,$T1238)),IF(INDEX('AFA Rates'!$G$5:$G$1004,$T1238)="","",INDEX('AFA Rates'!$G$5:$G$1004,$T1238))))</f>
        <v/>
      </c>
      <c r="J1238" s="50">
        <f>IF($T1238="","",IF($S1238="S",IF(INDEX(Firms!$I$5:$I$1004,$T1238)="","",INDEX(Firms!$I$5:$I$1004,$T1238)),IF(INDEX('AFA Rates'!$H$5:$H$1004,$T1238)="","",INDEX('AFA Rates'!$H$5:$H$1004,$T1238))))</f>
        <v/>
      </c>
      <c r="K1238" s="50">
        <f>IF($T1238="","",IF($S1238="S",IF(INDEX(Firms!$J$5:$J$1004,$T1238)="","",INDEX(Firms!$J$5:$J$1004,$T1238)),IF(INDEX('AFA Rates'!$I$5:$I$1004,$T1238)="","",INDEX('AFA Rates'!$I$5:$I$1004,$T1238))))</f>
        <v/>
      </c>
      <c r="L1238" s="50">
        <f>IF($T1238="","",IF($S1238="S",IF(INDEX(Firms!$K$5:$K$1004,$T1238)="","",INDEX(Firms!$K$5:$K$1004,$T1238)),IF(INDEX('AFA Rates'!$J$5:$J$1004,$T1238)="","",INDEX('AFA Rates'!$J$5:$J$1004,$T1238))))</f>
        <v/>
      </c>
      <c r="M1238" s="50">
        <f>IF($T1238="","",IF($S1238="S",IF(INDEX(Firms!$L$5:$L$1004,$T1238)="","",INDEX(Firms!$L$5:$L$1004,$T1238)),IF(INDEX('AFA Rates'!$K$5:$K$1004,$T1238)="","",INDEX('AFA Rates'!$K$5:$K$1004,$T1238))))</f>
        <v/>
      </c>
      <c r="N1238" s="50">
        <f>IF($T1238="","",IF($S1238="S",IF(INDEX(Firms!$M$5:$M$1004,$T1238)="","",INDEX(Firms!$M$5:$M$1004,$T1238)),IF(INDEX('AFA Rates'!$L$5:$L$1004,$T1238)="","",INDEX('AFA Rates'!$L$5:$L$1004,$T1238))))</f>
        <v/>
      </c>
      <c r="O1238" s="78">
        <f>IF(OR($T1238="",$U1238=""),"",IF(INDEX(Firms!$C$5:$C$1004,$U1238)="","",INDEX(Firms!$C$5:$C$1004,$U1238)))</f>
        <v/>
      </c>
      <c r="P1238" s="79">
        <f>IF(OR($T1238="",$U1238=""),"",IF(INDEX(Firms!$N$5:$N$1004,$U1238)="","",INDEX(Firms!$N$5:$N$1004,$U1238)))</f>
        <v/>
      </c>
      <c r="Q1238" s="78">
        <f>IF($T1238="","",IF($S1238="S",IF(INDEX(Firms!$T$5:$T$1004,$T1238)="","",INDEX(Firms!$T$5:$T$1004,$T1238)),IF(INDEX('AFA Rates'!$M$5:$M$1004,$T1238)="","",INDEX('AFA Rates'!$M$5:$M$1004,$T1238))))</f>
        <v/>
      </c>
      <c r="S1238">
        <f>IF(1234&lt;=$S$2,"S",IF(1234&lt;=$S$2+$T$2,"A",""))</f>
        <v/>
      </c>
      <c r="T1238">
        <f>IF(S1238="S",MATCH(1234,Firms!$W$5:$W$1004,0),IF(S1238="A",IFERROR(MATCH(1234-$S$2,'AFA Rates'!$R$5:$R$1004,0),""),""))</f>
        <v/>
      </c>
      <c r="U1238">
        <f>IF(S1238="S",T1238,IF(AND(S1238="A",T1238&lt;&gt;""),IFERROR(MATCH(INDEX('AFA Rates'!$A$5:$A$1004,T1238),Firms!$A$5:$A$1004,0),""),""))</f>
        <v/>
      </c>
    </row>
    <row r="1239">
      <c r="A1239" s="78">
        <f>IF($T1239="","",IF($S1239="S",IF(INDEX(Firms!$A$5:$A$1004,$T1239)="","",INDEX(Firms!$A$5:$A$1004,$T1239)),IF(INDEX('AFA Rates'!$A$5:$A$1004,$T1239)="","",INDEX('AFA Rates'!$A$5:$A$1004,$T1239))))</f>
        <v/>
      </c>
      <c r="B1239" s="79">
        <f>IF(OR($T1239="",$U1239=""),IF($T1239="","","Not on Firms tab"),INDEX(Firms!$B$5:$B$1004,$U1239)&amp;"")</f>
        <v/>
      </c>
      <c r="C1239" s="78">
        <f>IF($T1239="","",IF($S1239="S","Standard",INDEX('AFA Rates'!$B$5:$B$1004,$T1239)&amp;""))</f>
        <v/>
      </c>
      <c r="D1239" s="88">
        <f>IF($T1239="","",IF($S1239="S",IF(INDEX(Firms!$E$5:$E$1004,$T1239)="","",INDEX(Firms!$E$5:$E$1004,$T1239)),IF(INDEX('AFA Rates'!$C$5:$C$1004,$T1239)="","",INDEX('AFA Rates'!$C$5:$C$1004,$T1239))))</f>
        <v/>
      </c>
      <c r="E1239" s="88">
        <f>IF($T1239="","",IF($S1239="S",IF(""="","",""),IF(INDEX('AFA Rates'!$D$5:$D$1004,$T1239)="","",INDEX('AFA Rates'!$D$5:$D$1004,$T1239))))</f>
        <v/>
      </c>
      <c r="F1239" s="79">
        <f>IF($T1239="","",IF($S1239="S",IF(INDEX(Firms!$O$5:$O$1004,$T1239)="","",INDEX(Firms!$O$5:$O$1004,$T1239)),IF(INDEX('AFA Rates'!$O$5:$O$1004,$T1239)="","",INDEX('AFA Rates'!$O$5:$O$1004,$T1239))))</f>
        <v/>
      </c>
      <c r="G1239" s="50">
        <f>IF($T1239="","",IF($S1239="S",IF(INDEX(Firms!$F$5:$F$1004,$T1239)="","",INDEX(Firms!$F$5:$F$1004,$T1239)),IF(INDEX('AFA Rates'!$E$5:$E$1004,$T1239)="","",INDEX('AFA Rates'!$E$5:$E$1004,$T1239))))</f>
        <v/>
      </c>
      <c r="H1239" s="50">
        <f>IF($T1239="","",IF($S1239="S",IF(INDEX(Firms!$G$5:$G$1004,$T1239)="","",INDEX(Firms!$G$5:$G$1004,$T1239)),IF(INDEX('AFA Rates'!$F$5:$F$1004,$T1239)="","",INDEX('AFA Rates'!$F$5:$F$1004,$T1239))))</f>
        <v/>
      </c>
      <c r="I1239" s="50">
        <f>IF($T1239="","",IF($S1239="S",IF(INDEX(Firms!$H$5:$H$1004,$T1239)="","",INDEX(Firms!$H$5:$H$1004,$T1239)),IF(INDEX('AFA Rates'!$G$5:$G$1004,$T1239)="","",INDEX('AFA Rates'!$G$5:$G$1004,$T1239))))</f>
        <v/>
      </c>
      <c r="J1239" s="50">
        <f>IF($T1239="","",IF($S1239="S",IF(INDEX(Firms!$I$5:$I$1004,$T1239)="","",INDEX(Firms!$I$5:$I$1004,$T1239)),IF(INDEX('AFA Rates'!$H$5:$H$1004,$T1239)="","",INDEX('AFA Rates'!$H$5:$H$1004,$T1239))))</f>
        <v/>
      </c>
      <c r="K1239" s="50">
        <f>IF($T1239="","",IF($S1239="S",IF(INDEX(Firms!$J$5:$J$1004,$T1239)="","",INDEX(Firms!$J$5:$J$1004,$T1239)),IF(INDEX('AFA Rates'!$I$5:$I$1004,$T1239)="","",INDEX('AFA Rates'!$I$5:$I$1004,$T1239))))</f>
        <v/>
      </c>
      <c r="L1239" s="50">
        <f>IF($T1239="","",IF($S1239="S",IF(INDEX(Firms!$K$5:$K$1004,$T1239)="","",INDEX(Firms!$K$5:$K$1004,$T1239)),IF(INDEX('AFA Rates'!$J$5:$J$1004,$T1239)="","",INDEX('AFA Rates'!$J$5:$J$1004,$T1239))))</f>
        <v/>
      </c>
      <c r="M1239" s="50">
        <f>IF($T1239="","",IF($S1239="S",IF(INDEX(Firms!$L$5:$L$1004,$T1239)="","",INDEX(Firms!$L$5:$L$1004,$T1239)),IF(INDEX('AFA Rates'!$K$5:$K$1004,$T1239)="","",INDEX('AFA Rates'!$K$5:$K$1004,$T1239))))</f>
        <v/>
      </c>
      <c r="N1239" s="50">
        <f>IF($T1239="","",IF($S1239="S",IF(INDEX(Firms!$M$5:$M$1004,$T1239)="","",INDEX(Firms!$M$5:$M$1004,$T1239)),IF(INDEX('AFA Rates'!$L$5:$L$1004,$T1239)="","",INDEX('AFA Rates'!$L$5:$L$1004,$T1239))))</f>
        <v/>
      </c>
      <c r="O1239" s="78">
        <f>IF(OR($T1239="",$U1239=""),"",IF(INDEX(Firms!$C$5:$C$1004,$U1239)="","",INDEX(Firms!$C$5:$C$1004,$U1239)))</f>
        <v/>
      </c>
      <c r="P1239" s="79">
        <f>IF(OR($T1239="",$U1239=""),"",IF(INDEX(Firms!$N$5:$N$1004,$U1239)="","",INDEX(Firms!$N$5:$N$1004,$U1239)))</f>
        <v/>
      </c>
      <c r="Q1239" s="78">
        <f>IF($T1239="","",IF($S1239="S",IF(INDEX(Firms!$T$5:$T$1004,$T1239)="","",INDEX(Firms!$T$5:$T$1004,$T1239)),IF(INDEX('AFA Rates'!$M$5:$M$1004,$T1239)="","",INDEX('AFA Rates'!$M$5:$M$1004,$T1239))))</f>
        <v/>
      </c>
      <c r="S1239">
        <f>IF(1235&lt;=$S$2,"S",IF(1235&lt;=$S$2+$T$2,"A",""))</f>
        <v/>
      </c>
      <c r="T1239">
        <f>IF(S1239="S",MATCH(1235,Firms!$W$5:$W$1004,0),IF(S1239="A",IFERROR(MATCH(1235-$S$2,'AFA Rates'!$R$5:$R$1004,0),""),""))</f>
        <v/>
      </c>
      <c r="U1239">
        <f>IF(S1239="S",T1239,IF(AND(S1239="A",T1239&lt;&gt;""),IFERROR(MATCH(INDEX('AFA Rates'!$A$5:$A$1004,T1239),Firms!$A$5:$A$1004,0),""),""))</f>
        <v/>
      </c>
    </row>
    <row r="1240">
      <c r="A1240" s="78">
        <f>IF($T1240="","",IF($S1240="S",IF(INDEX(Firms!$A$5:$A$1004,$T1240)="","",INDEX(Firms!$A$5:$A$1004,$T1240)),IF(INDEX('AFA Rates'!$A$5:$A$1004,$T1240)="","",INDEX('AFA Rates'!$A$5:$A$1004,$T1240))))</f>
        <v/>
      </c>
      <c r="B1240" s="79">
        <f>IF(OR($T1240="",$U1240=""),IF($T1240="","","Not on Firms tab"),INDEX(Firms!$B$5:$B$1004,$U1240)&amp;"")</f>
        <v/>
      </c>
      <c r="C1240" s="78">
        <f>IF($T1240="","",IF($S1240="S","Standard",INDEX('AFA Rates'!$B$5:$B$1004,$T1240)&amp;""))</f>
        <v/>
      </c>
      <c r="D1240" s="88">
        <f>IF($T1240="","",IF($S1240="S",IF(INDEX(Firms!$E$5:$E$1004,$T1240)="","",INDEX(Firms!$E$5:$E$1004,$T1240)),IF(INDEX('AFA Rates'!$C$5:$C$1004,$T1240)="","",INDEX('AFA Rates'!$C$5:$C$1004,$T1240))))</f>
        <v/>
      </c>
      <c r="E1240" s="88">
        <f>IF($T1240="","",IF($S1240="S",IF(""="","",""),IF(INDEX('AFA Rates'!$D$5:$D$1004,$T1240)="","",INDEX('AFA Rates'!$D$5:$D$1004,$T1240))))</f>
        <v/>
      </c>
      <c r="F1240" s="79">
        <f>IF($T1240="","",IF($S1240="S",IF(INDEX(Firms!$O$5:$O$1004,$T1240)="","",INDEX(Firms!$O$5:$O$1004,$T1240)),IF(INDEX('AFA Rates'!$O$5:$O$1004,$T1240)="","",INDEX('AFA Rates'!$O$5:$O$1004,$T1240))))</f>
        <v/>
      </c>
      <c r="G1240" s="50">
        <f>IF($T1240="","",IF($S1240="S",IF(INDEX(Firms!$F$5:$F$1004,$T1240)="","",INDEX(Firms!$F$5:$F$1004,$T1240)),IF(INDEX('AFA Rates'!$E$5:$E$1004,$T1240)="","",INDEX('AFA Rates'!$E$5:$E$1004,$T1240))))</f>
        <v/>
      </c>
      <c r="H1240" s="50">
        <f>IF($T1240="","",IF($S1240="S",IF(INDEX(Firms!$G$5:$G$1004,$T1240)="","",INDEX(Firms!$G$5:$G$1004,$T1240)),IF(INDEX('AFA Rates'!$F$5:$F$1004,$T1240)="","",INDEX('AFA Rates'!$F$5:$F$1004,$T1240))))</f>
        <v/>
      </c>
      <c r="I1240" s="50">
        <f>IF($T1240="","",IF($S1240="S",IF(INDEX(Firms!$H$5:$H$1004,$T1240)="","",INDEX(Firms!$H$5:$H$1004,$T1240)),IF(INDEX('AFA Rates'!$G$5:$G$1004,$T1240)="","",INDEX('AFA Rates'!$G$5:$G$1004,$T1240))))</f>
        <v/>
      </c>
      <c r="J1240" s="50">
        <f>IF($T1240="","",IF($S1240="S",IF(INDEX(Firms!$I$5:$I$1004,$T1240)="","",INDEX(Firms!$I$5:$I$1004,$T1240)),IF(INDEX('AFA Rates'!$H$5:$H$1004,$T1240)="","",INDEX('AFA Rates'!$H$5:$H$1004,$T1240))))</f>
        <v/>
      </c>
      <c r="K1240" s="50">
        <f>IF($T1240="","",IF($S1240="S",IF(INDEX(Firms!$J$5:$J$1004,$T1240)="","",INDEX(Firms!$J$5:$J$1004,$T1240)),IF(INDEX('AFA Rates'!$I$5:$I$1004,$T1240)="","",INDEX('AFA Rates'!$I$5:$I$1004,$T1240))))</f>
        <v/>
      </c>
      <c r="L1240" s="50">
        <f>IF($T1240="","",IF($S1240="S",IF(INDEX(Firms!$K$5:$K$1004,$T1240)="","",INDEX(Firms!$K$5:$K$1004,$T1240)),IF(INDEX('AFA Rates'!$J$5:$J$1004,$T1240)="","",INDEX('AFA Rates'!$J$5:$J$1004,$T1240))))</f>
        <v/>
      </c>
      <c r="M1240" s="50">
        <f>IF($T1240="","",IF($S1240="S",IF(INDEX(Firms!$L$5:$L$1004,$T1240)="","",INDEX(Firms!$L$5:$L$1004,$T1240)),IF(INDEX('AFA Rates'!$K$5:$K$1004,$T1240)="","",INDEX('AFA Rates'!$K$5:$K$1004,$T1240))))</f>
        <v/>
      </c>
      <c r="N1240" s="50">
        <f>IF($T1240="","",IF($S1240="S",IF(INDEX(Firms!$M$5:$M$1004,$T1240)="","",INDEX(Firms!$M$5:$M$1004,$T1240)),IF(INDEX('AFA Rates'!$L$5:$L$1004,$T1240)="","",INDEX('AFA Rates'!$L$5:$L$1004,$T1240))))</f>
        <v/>
      </c>
      <c r="O1240" s="78">
        <f>IF(OR($T1240="",$U1240=""),"",IF(INDEX(Firms!$C$5:$C$1004,$U1240)="","",INDEX(Firms!$C$5:$C$1004,$U1240)))</f>
        <v/>
      </c>
      <c r="P1240" s="79">
        <f>IF(OR($T1240="",$U1240=""),"",IF(INDEX(Firms!$N$5:$N$1004,$U1240)="","",INDEX(Firms!$N$5:$N$1004,$U1240)))</f>
        <v/>
      </c>
      <c r="Q1240" s="78">
        <f>IF($T1240="","",IF($S1240="S",IF(INDEX(Firms!$T$5:$T$1004,$T1240)="","",INDEX(Firms!$T$5:$T$1004,$T1240)),IF(INDEX('AFA Rates'!$M$5:$M$1004,$T1240)="","",INDEX('AFA Rates'!$M$5:$M$1004,$T1240))))</f>
        <v/>
      </c>
      <c r="S1240">
        <f>IF(1236&lt;=$S$2,"S",IF(1236&lt;=$S$2+$T$2,"A",""))</f>
        <v/>
      </c>
      <c r="T1240">
        <f>IF(S1240="S",MATCH(1236,Firms!$W$5:$W$1004,0),IF(S1240="A",IFERROR(MATCH(1236-$S$2,'AFA Rates'!$R$5:$R$1004,0),""),""))</f>
        <v/>
      </c>
      <c r="U1240">
        <f>IF(S1240="S",T1240,IF(AND(S1240="A",T1240&lt;&gt;""),IFERROR(MATCH(INDEX('AFA Rates'!$A$5:$A$1004,T1240),Firms!$A$5:$A$1004,0),""),""))</f>
        <v/>
      </c>
    </row>
    <row r="1241">
      <c r="A1241" s="78">
        <f>IF($T1241="","",IF($S1241="S",IF(INDEX(Firms!$A$5:$A$1004,$T1241)="","",INDEX(Firms!$A$5:$A$1004,$T1241)),IF(INDEX('AFA Rates'!$A$5:$A$1004,$T1241)="","",INDEX('AFA Rates'!$A$5:$A$1004,$T1241))))</f>
        <v/>
      </c>
      <c r="B1241" s="79">
        <f>IF(OR($T1241="",$U1241=""),IF($T1241="","","Not on Firms tab"),INDEX(Firms!$B$5:$B$1004,$U1241)&amp;"")</f>
        <v/>
      </c>
      <c r="C1241" s="78">
        <f>IF($T1241="","",IF($S1241="S","Standard",INDEX('AFA Rates'!$B$5:$B$1004,$T1241)&amp;""))</f>
        <v/>
      </c>
      <c r="D1241" s="88">
        <f>IF($T1241="","",IF($S1241="S",IF(INDEX(Firms!$E$5:$E$1004,$T1241)="","",INDEX(Firms!$E$5:$E$1004,$T1241)),IF(INDEX('AFA Rates'!$C$5:$C$1004,$T1241)="","",INDEX('AFA Rates'!$C$5:$C$1004,$T1241))))</f>
        <v/>
      </c>
      <c r="E1241" s="88">
        <f>IF($T1241="","",IF($S1241="S",IF(""="","",""),IF(INDEX('AFA Rates'!$D$5:$D$1004,$T1241)="","",INDEX('AFA Rates'!$D$5:$D$1004,$T1241))))</f>
        <v/>
      </c>
      <c r="F1241" s="79">
        <f>IF($T1241="","",IF($S1241="S",IF(INDEX(Firms!$O$5:$O$1004,$T1241)="","",INDEX(Firms!$O$5:$O$1004,$T1241)),IF(INDEX('AFA Rates'!$O$5:$O$1004,$T1241)="","",INDEX('AFA Rates'!$O$5:$O$1004,$T1241))))</f>
        <v/>
      </c>
      <c r="G1241" s="50">
        <f>IF($T1241="","",IF($S1241="S",IF(INDEX(Firms!$F$5:$F$1004,$T1241)="","",INDEX(Firms!$F$5:$F$1004,$T1241)),IF(INDEX('AFA Rates'!$E$5:$E$1004,$T1241)="","",INDEX('AFA Rates'!$E$5:$E$1004,$T1241))))</f>
        <v/>
      </c>
      <c r="H1241" s="50">
        <f>IF($T1241="","",IF($S1241="S",IF(INDEX(Firms!$G$5:$G$1004,$T1241)="","",INDEX(Firms!$G$5:$G$1004,$T1241)),IF(INDEX('AFA Rates'!$F$5:$F$1004,$T1241)="","",INDEX('AFA Rates'!$F$5:$F$1004,$T1241))))</f>
        <v/>
      </c>
      <c r="I1241" s="50">
        <f>IF($T1241="","",IF($S1241="S",IF(INDEX(Firms!$H$5:$H$1004,$T1241)="","",INDEX(Firms!$H$5:$H$1004,$T1241)),IF(INDEX('AFA Rates'!$G$5:$G$1004,$T1241)="","",INDEX('AFA Rates'!$G$5:$G$1004,$T1241))))</f>
        <v/>
      </c>
      <c r="J1241" s="50">
        <f>IF($T1241="","",IF($S1241="S",IF(INDEX(Firms!$I$5:$I$1004,$T1241)="","",INDEX(Firms!$I$5:$I$1004,$T1241)),IF(INDEX('AFA Rates'!$H$5:$H$1004,$T1241)="","",INDEX('AFA Rates'!$H$5:$H$1004,$T1241))))</f>
        <v/>
      </c>
      <c r="K1241" s="50">
        <f>IF($T1241="","",IF($S1241="S",IF(INDEX(Firms!$J$5:$J$1004,$T1241)="","",INDEX(Firms!$J$5:$J$1004,$T1241)),IF(INDEX('AFA Rates'!$I$5:$I$1004,$T1241)="","",INDEX('AFA Rates'!$I$5:$I$1004,$T1241))))</f>
        <v/>
      </c>
      <c r="L1241" s="50">
        <f>IF($T1241="","",IF($S1241="S",IF(INDEX(Firms!$K$5:$K$1004,$T1241)="","",INDEX(Firms!$K$5:$K$1004,$T1241)),IF(INDEX('AFA Rates'!$J$5:$J$1004,$T1241)="","",INDEX('AFA Rates'!$J$5:$J$1004,$T1241))))</f>
        <v/>
      </c>
      <c r="M1241" s="50">
        <f>IF($T1241="","",IF($S1241="S",IF(INDEX(Firms!$L$5:$L$1004,$T1241)="","",INDEX(Firms!$L$5:$L$1004,$T1241)),IF(INDEX('AFA Rates'!$K$5:$K$1004,$T1241)="","",INDEX('AFA Rates'!$K$5:$K$1004,$T1241))))</f>
        <v/>
      </c>
      <c r="N1241" s="50">
        <f>IF($T1241="","",IF($S1241="S",IF(INDEX(Firms!$M$5:$M$1004,$T1241)="","",INDEX(Firms!$M$5:$M$1004,$T1241)),IF(INDEX('AFA Rates'!$L$5:$L$1004,$T1241)="","",INDEX('AFA Rates'!$L$5:$L$1004,$T1241))))</f>
        <v/>
      </c>
      <c r="O1241" s="78">
        <f>IF(OR($T1241="",$U1241=""),"",IF(INDEX(Firms!$C$5:$C$1004,$U1241)="","",INDEX(Firms!$C$5:$C$1004,$U1241)))</f>
        <v/>
      </c>
      <c r="P1241" s="79">
        <f>IF(OR($T1241="",$U1241=""),"",IF(INDEX(Firms!$N$5:$N$1004,$U1241)="","",INDEX(Firms!$N$5:$N$1004,$U1241)))</f>
        <v/>
      </c>
      <c r="Q1241" s="78">
        <f>IF($T1241="","",IF($S1241="S",IF(INDEX(Firms!$T$5:$T$1004,$T1241)="","",INDEX(Firms!$T$5:$T$1004,$T1241)),IF(INDEX('AFA Rates'!$M$5:$M$1004,$T1241)="","",INDEX('AFA Rates'!$M$5:$M$1004,$T1241))))</f>
        <v/>
      </c>
      <c r="S1241">
        <f>IF(1237&lt;=$S$2,"S",IF(1237&lt;=$S$2+$T$2,"A",""))</f>
        <v/>
      </c>
      <c r="T1241">
        <f>IF(S1241="S",MATCH(1237,Firms!$W$5:$W$1004,0),IF(S1241="A",IFERROR(MATCH(1237-$S$2,'AFA Rates'!$R$5:$R$1004,0),""),""))</f>
        <v/>
      </c>
      <c r="U1241">
        <f>IF(S1241="S",T1241,IF(AND(S1241="A",T1241&lt;&gt;""),IFERROR(MATCH(INDEX('AFA Rates'!$A$5:$A$1004,T1241),Firms!$A$5:$A$1004,0),""),""))</f>
        <v/>
      </c>
    </row>
    <row r="1242">
      <c r="A1242" s="78">
        <f>IF($T1242="","",IF($S1242="S",IF(INDEX(Firms!$A$5:$A$1004,$T1242)="","",INDEX(Firms!$A$5:$A$1004,$T1242)),IF(INDEX('AFA Rates'!$A$5:$A$1004,$T1242)="","",INDEX('AFA Rates'!$A$5:$A$1004,$T1242))))</f>
        <v/>
      </c>
      <c r="B1242" s="79">
        <f>IF(OR($T1242="",$U1242=""),IF($T1242="","","Not on Firms tab"),INDEX(Firms!$B$5:$B$1004,$U1242)&amp;"")</f>
        <v/>
      </c>
      <c r="C1242" s="78">
        <f>IF($T1242="","",IF($S1242="S","Standard",INDEX('AFA Rates'!$B$5:$B$1004,$T1242)&amp;""))</f>
        <v/>
      </c>
      <c r="D1242" s="88">
        <f>IF($T1242="","",IF($S1242="S",IF(INDEX(Firms!$E$5:$E$1004,$T1242)="","",INDEX(Firms!$E$5:$E$1004,$T1242)),IF(INDEX('AFA Rates'!$C$5:$C$1004,$T1242)="","",INDEX('AFA Rates'!$C$5:$C$1004,$T1242))))</f>
        <v/>
      </c>
      <c r="E1242" s="88">
        <f>IF($T1242="","",IF($S1242="S",IF(""="","",""),IF(INDEX('AFA Rates'!$D$5:$D$1004,$T1242)="","",INDEX('AFA Rates'!$D$5:$D$1004,$T1242))))</f>
        <v/>
      </c>
      <c r="F1242" s="79">
        <f>IF($T1242="","",IF($S1242="S",IF(INDEX(Firms!$O$5:$O$1004,$T1242)="","",INDEX(Firms!$O$5:$O$1004,$T1242)),IF(INDEX('AFA Rates'!$O$5:$O$1004,$T1242)="","",INDEX('AFA Rates'!$O$5:$O$1004,$T1242))))</f>
        <v/>
      </c>
      <c r="G1242" s="50">
        <f>IF($T1242="","",IF($S1242="S",IF(INDEX(Firms!$F$5:$F$1004,$T1242)="","",INDEX(Firms!$F$5:$F$1004,$T1242)),IF(INDEX('AFA Rates'!$E$5:$E$1004,$T1242)="","",INDEX('AFA Rates'!$E$5:$E$1004,$T1242))))</f>
        <v/>
      </c>
      <c r="H1242" s="50">
        <f>IF($T1242="","",IF($S1242="S",IF(INDEX(Firms!$G$5:$G$1004,$T1242)="","",INDEX(Firms!$G$5:$G$1004,$T1242)),IF(INDEX('AFA Rates'!$F$5:$F$1004,$T1242)="","",INDEX('AFA Rates'!$F$5:$F$1004,$T1242))))</f>
        <v/>
      </c>
      <c r="I1242" s="50">
        <f>IF($T1242="","",IF($S1242="S",IF(INDEX(Firms!$H$5:$H$1004,$T1242)="","",INDEX(Firms!$H$5:$H$1004,$T1242)),IF(INDEX('AFA Rates'!$G$5:$G$1004,$T1242)="","",INDEX('AFA Rates'!$G$5:$G$1004,$T1242))))</f>
        <v/>
      </c>
      <c r="J1242" s="50">
        <f>IF($T1242="","",IF($S1242="S",IF(INDEX(Firms!$I$5:$I$1004,$T1242)="","",INDEX(Firms!$I$5:$I$1004,$T1242)),IF(INDEX('AFA Rates'!$H$5:$H$1004,$T1242)="","",INDEX('AFA Rates'!$H$5:$H$1004,$T1242))))</f>
        <v/>
      </c>
      <c r="K1242" s="50">
        <f>IF($T1242="","",IF($S1242="S",IF(INDEX(Firms!$J$5:$J$1004,$T1242)="","",INDEX(Firms!$J$5:$J$1004,$T1242)),IF(INDEX('AFA Rates'!$I$5:$I$1004,$T1242)="","",INDEX('AFA Rates'!$I$5:$I$1004,$T1242))))</f>
        <v/>
      </c>
      <c r="L1242" s="50">
        <f>IF($T1242="","",IF($S1242="S",IF(INDEX(Firms!$K$5:$K$1004,$T1242)="","",INDEX(Firms!$K$5:$K$1004,$T1242)),IF(INDEX('AFA Rates'!$J$5:$J$1004,$T1242)="","",INDEX('AFA Rates'!$J$5:$J$1004,$T1242))))</f>
        <v/>
      </c>
      <c r="M1242" s="50">
        <f>IF($T1242="","",IF($S1242="S",IF(INDEX(Firms!$L$5:$L$1004,$T1242)="","",INDEX(Firms!$L$5:$L$1004,$T1242)),IF(INDEX('AFA Rates'!$K$5:$K$1004,$T1242)="","",INDEX('AFA Rates'!$K$5:$K$1004,$T1242))))</f>
        <v/>
      </c>
      <c r="N1242" s="50">
        <f>IF($T1242="","",IF($S1242="S",IF(INDEX(Firms!$M$5:$M$1004,$T1242)="","",INDEX(Firms!$M$5:$M$1004,$T1242)),IF(INDEX('AFA Rates'!$L$5:$L$1004,$T1242)="","",INDEX('AFA Rates'!$L$5:$L$1004,$T1242))))</f>
        <v/>
      </c>
      <c r="O1242" s="78">
        <f>IF(OR($T1242="",$U1242=""),"",IF(INDEX(Firms!$C$5:$C$1004,$U1242)="","",INDEX(Firms!$C$5:$C$1004,$U1242)))</f>
        <v/>
      </c>
      <c r="P1242" s="79">
        <f>IF(OR($T1242="",$U1242=""),"",IF(INDEX(Firms!$N$5:$N$1004,$U1242)="","",INDEX(Firms!$N$5:$N$1004,$U1242)))</f>
        <v/>
      </c>
      <c r="Q1242" s="78">
        <f>IF($T1242="","",IF($S1242="S",IF(INDEX(Firms!$T$5:$T$1004,$T1242)="","",INDEX(Firms!$T$5:$T$1004,$T1242)),IF(INDEX('AFA Rates'!$M$5:$M$1004,$T1242)="","",INDEX('AFA Rates'!$M$5:$M$1004,$T1242))))</f>
        <v/>
      </c>
      <c r="S1242">
        <f>IF(1238&lt;=$S$2,"S",IF(1238&lt;=$S$2+$T$2,"A",""))</f>
        <v/>
      </c>
      <c r="T1242">
        <f>IF(S1242="S",MATCH(1238,Firms!$W$5:$W$1004,0),IF(S1242="A",IFERROR(MATCH(1238-$S$2,'AFA Rates'!$R$5:$R$1004,0),""),""))</f>
        <v/>
      </c>
      <c r="U1242">
        <f>IF(S1242="S",T1242,IF(AND(S1242="A",T1242&lt;&gt;""),IFERROR(MATCH(INDEX('AFA Rates'!$A$5:$A$1004,T1242),Firms!$A$5:$A$1004,0),""),""))</f>
        <v/>
      </c>
    </row>
    <row r="1243">
      <c r="A1243" s="78">
        <f>IF($T1243="","",IF($S1243="S",IF(INDEX(Firms!$A$5:$A$1004,$T1243)="","",INDEX(Firms!$A$5:$A$1004,$T1243)),IF(INDEX('AFA Rates'!$A$5:$A$1004,$T1243)="","",INDEX('AFA Rates'!$A$5:$A$1004,$T1243))))</f>
        <v/>
      </c>
      <c r="B1243" s="79">
        <f>IF(OR($T1243="",$U1243=""),IF($T1243="","","Not on Firms tab"),INDEX(Firms!$B$5:$B$1004,$U1243)&amp;"")</f>
        <v/>
      </c>
      <c r="C1243" s="78">
        <f>IF($T1243="","",IF($S1243="S","Standard",INDEX('AFA Rates'!$B$5:$B$1004,$T1243)&amp;""))</f>
        <v/>
      </c>
      <c r="D1243" s="88">
        <f>IF($T1243="","",IF($S1243="S",IF(INDEX(Firms!$E$5:$E$1004,$T1243)="","",INDEX(Firms!$E$5:$E$1004,$T1243)),IF(INDEX('AFA Rates'!$C$5:$C$1004,$T1243)="","",INDEX('AFA Rates'!$C$5:$C$1004,$T1243))))</f>
        <v/>
      </c>
      <c r="E1243" s="88">
        <f>IF($T1243="","",IF($S1243="S",IF(""="","",""),IF(INDEX('AFA Rates'!$D$5:$D$1004,$T1243)="","",INDEX('AFA Rates'!$D$5:$D$1004,$T1243))))</f>
        <v/>
      </c>
      <c r="F1243" s="79">
        <f>IF($T1243="","",IF($S1243="S",IF(INDEX(Firms!$O$5:$O$1004,$T1243)="","",INDEX(Firms!$O$5:$O$1004,$T1243)),IF(INDEX('AFA Rates'!$O$5:$O$1004,$T1243)="","",INDEX('AFA Rates'!$O$5:$O$1004,$T1243))))</f>
        <v/>
      </c>
      <c r="G1243" s="50">
        <f>IF($T1243="","",IF($S1243="S",IF(INDEX(Firms!$F$5:$F$1004,$T1243)="","",INDEX(Firms!$F$5:$F$1004,$T1243)),IF(INDEX('AFA Rates'!$E$5:$E$1004,$T1243)="","",INDEX('AFA Rates'!$E$5:$E$1004,$T1243))))</f>
        <v/>
      </c>
      <c r="H1243" s="50">
        <f>IF($T1243="","",IF($S1243="S",IF(INDEX(Firms!$G$5:$G$1004,$T1243)="","",INDEX(Firms!$G$5:$G$1004,$T1243)),IF(INDEX('AFA Rates'!$F$5:$F$1004,$T1243)="","",INDEX('AFA Rates'!$F$5:$F$1004,$T1243))))</f>
        <v/>
      </c>
      <c r="I1243" s="50">
        <f>IF($T1243="","",IF($S1243="S",IF(INDEX(Firms!$H$5:$H$1004,$T1243)="","",INDEX(Firms!$H$5:$H$1004,$T1243)),IF(INDEX('AFA Rates'!$G$5:$G$1004,$T1243)="","",INDEX('AFA Rates'!$G$5:$G$1004,$T1243))))</f>
        <v/>
      </c>
      <c r="J1243" s="50">
        <f>IF($T1243="","",IF($S1243="S",IF(INDEX(Firms!$I$5:$I$1004,$T1243)="","",INDEX(Firms!$I$5:$I$1004,$T1243)),IF(INDEX('AFA Rates'!$H$5:$H$1004,$T1243)="","",INDEX('AFA Rates'!$H$5:$H$1004,$T1243))))</f>
        <v/>
      </c>
      <c r="K1243" s="50">
        <f>IF($T1243="","",IF($S1243="S",IF(INDEX(Firms!$J$5:$J$1004,$T1243)="","",INDEX(Firms!$J$5:$J$1004,$T1243)),IF(INDEX('AFA Rates'!$I$5:$I$1004,$T1243)="","",INDEX('AFA Rates'!$I$5:$I$1004,$T1243))))</f>
        <v/>
      </c>
      <c r="L1243" s="50">
        <f>IF($T1243="","",IF($S1243="S",IF(INDEX(Firms!$K$5:$K$1004,$T1243)="","",INDEX(Firms!$K$5:$K$1004,$T1243)),IF(INDEX('AFA Rates'!$J$5:$J$1004,$T1243)="","",INDEX('AFA Rates'!$J$5:$J$1004,$T1243))))</f>
        <v/>
      </c>
      <c r="M1243" s="50">
        <f>IF($T1243="","",IF($S1243="S",IF(INDEX(Firms!$L$5:$L$1004,$T1243)="","",INDEX(Firms!$L$5:$L$1004,$T1243)),IF(INDEX('AFA Rates'!$K$5:$K$1004,$T1243)="","",INDEX('AFA Rates'!$K$5:$K$1004,$T1243))))</f>
        <v/>
      </c>
      <c r="N1243" s="50">
        <f>IF($T1243="","",IF($S1243="S",IF(INDEX(Firms!$M$5:$M$1004,$T1243)="","",INDEX(Firms!$M$5:$M$1004,$T1243)),IF(INDEX('AFA Rates'!$L$5:$L$1004,$T1243)="","",INDEX('AFA Rates'!$L$5:$L$1004,$T1243))))</f>
        <v/>
      </c>
      <c r="O1243" s="78">
        <f>IF(OR($T1243="",$U1243=""),"",IF(INDEX(Firms!$C$5:$C$1004,$U1243)="","",INDEX(Firms!$C$5:$C$1004,$U1243)))</f>
        <v/>
      </c>
      <c r="P1243" s="79">
        <f>IF(OR($T1243="",$U1243=""),"",IF(INDEX(Firms!$N$5:$N$1004,$U1243)="","",INDEX(Firms!$N$5:$N$1004,$U1243)))</f>
        <v/>
      </c>
      <c r="Q1243" s="78">
        <f>IF($T1243="","",IF($S1243="S",IF(INDEX(Firms!$T$5:$T$1004,$T1243)="","",INDEX(Firms!$T$5:$T$1004,$T1243)),IF(INDEX('AFA Rates'!$M$5:$M$1004,$T1243)="","",INDEX('AFA Rates'!$M$5:$M$1004,$T1243))))</f>
        <v/>
      </c>
      <c r="S1243">
        <f>IF(1239&lt;=$S$2,"S",IF(1239&lt;=$S$2+$T$2,"A",""))</f>
        <v/>
      </c>
      <c r="T1243">
        <f>IF(S1243="S",MATCH(1239,Firms!$W$5:$W$1004,0),IF(S1243="A",IFERROR(MATCH(1239-$S$2,'AFA Rates'!$R$5:$R$1004,0),""),""))</f>
        <v/>
      </c>
      <c r="U1243">
        <f>IF(S1243="S",T1243,IF(AND(S1243="A",T1243&lt;&gt;""),IFERROR(MATCH(INDEX('AFA Rates'!$A$5:$A$1004,T1243),Firms!$A$5:$A$1004,0),""),""))</f>
        <v/>
      </c>
    </row>
    <row r="1244">
      <c r="A1244" s="78">
        <f>IF($T1244="","",IF($S1244="S",IF(INDEX(Firms!$A$5:$A$1004,$T1244)="","",INDEX(Firms!$A$5:$A$1004,$T1244)),IF(INDEX('AFA Rates'!$A$5:$A$1004,$T1244)="","",INDEX('AFA Rates'!$A$5:$A$1004,$T1244))))</f>
        <v/>
      </c>
      <c r="B1244" s="79">
        <f>IF(OR($T1244="",$U1244=""),IF($T1244="","","Not on Firms tab"),INDEX(Firms!$B$5:$B$1004,$U1244)&amp;"")</f>
        <v/>
      </c>
      <c r="C1244" s="78">
        <f>IF($T1244="","",IF($S1244="S","Standard",INDEX('AFA Rates'!$B$5:$B$1004,$T1244)&amp;""))</f>
        <v/>
      </c>
      <c r="D1244" s="88">
        <f>IF($T1244="","",IF($S1244="S",IF(INDEX(Firms!$E$5:$E$1004,$T1244)="","",INDEX(Firms!$E$5:$E$1004,$T1244)),IF(INDEX('AFA Rates'!$C$5:$C$1004,$T1244)="","",INDEX('AFA Rates'!$C$5:$C$1004,$T1244))))</f>
        <v/>
      </c>
      <c r="E1244" s="88">
        <f>IF($T1244="","",IF($S1244="S",IF(""="","",""),IF(INDEX('AFA Rates'!$D$5:$D$1004,$T1244)="","",INDEX('AFA Rates'!$D$5:$D$1004,$T1244))))</f>
        <v/>
      </c>
      <c r="F1244" s="79">
        <f>IF($T1244="","",IF($S1244="S",IF(INDEX(Firms!$O$5:$O$1004,$T1244)="","",INDEX(Firms!$O$5:$O$1004,$T1244)),IF(INDEX('AFA Rates'!$O$5:$O$1004,$T1244)="","",INDEX('AFA Rates'!$O$5:$O$1004,$T1244))))</f>
        <v/>
      </c>
      <c r="G1244" s="50">
        <f>IF($T1244="","",IF($S1244="S",IF(INDEX(Firms!$F$5:$F$1004,$T1244)="","",INDEX(Firms!$F$5:$F$1004,$T1244)),IF(INDEX('AFA Rates'!$E$5:$E$1004,$T1244)="","",INDEX('AFA Rates'!$E$5:$E$1004,$T1244))))</f>
        <v/>
      </c>
      <c r="H1244" s="50">
        <f>IF($T1244="","",IF($S1244="S",IF(INDEX(Firms!$G$5:$G$1004,$T1244)="","",INDEX(Firms!$G$5:$G$1004,$T1244)),IF(INDEX('AFA Rates'!$F$5:$F$1004,$T1244)="","",INDEX('AFA Rates'!$F$5:$F$1004,$T1244))))</f>
        <v/>
      </c>
      <c r="I1244" s="50">
        <f>IF($T1244="","",IF($S1244="S",IF(INDEX(Firms!$H$5:$H$1004,$T1244)="","",INDEX(Firms!$H$5:$H$1004,$T1244)),IF(INDEX('AFA Rates'!$G$5:$G$1004,$T1244)="","",INDEX('AFA Rates'!$G$5:$G$1004,$T1244))))</f>
        <v/>
      </c>
      <c r="J1244" s="50">
        <f>IF($T1244="","",IF($S1244="S",IF(INDEX(Firms!$I$5:$I$1004,$T1244)="","",INDEX(Firms!$I$5:$I$1004,$T1244)),IF(INDEX('AFA Rates'!$H$5:$H$1004,$T1244)="","",INDEX('AFA Rates'!$H$5:$H$1004,$T1244))))</f>
        <v/>
      </c>
      <c r="K1244" s="50">
        <f>IF($T1244="","",IF($S1244="S",IF(INDEX(Firms!$J$5:$J$1004,$T1244)="","",INDEX(Firms!$J$5:$J$1004,$T1244)),IF(INDEX('AFA Rates'!$I$5:$I$1004,$T1244)="","",INDEX('AFA Rates'!$I$5:$I$1004,$T1244))))</f>
        <v/>
      </c>
      <c r="L1244" s="50">
        <f>IF($T1244="","",IF($S1244="S",IF(INDEX(Firms!$K$5:$K$1004,$T1244)="","",INDEX(Firms!$K$5:$K$1004,$T1244)),IF(INDEX('AFA Rates'!$J$5:$J$1004,$T1244)="","",INDEX('AFA Rates'!$J$5:$J$1004,$T1244))))</f>
        <v/>
      </c>
      <c r="M1244" s="50">
        <f>IF($T1244="","",IF($S1244="S",IF(INDEX(Firms!$L$5:$L$1004,$T1244)="","",INDEX(Firms!$L$5:$L$1004,$T1244)),IF(INDEX('AFA Rates'!$K$5:$K$1004,$T1244)="","",INDEX('AFA Rates'!$K$5:$K$1004,$T1244))))</f>
        <v/>
      </c>
      <c r="N1244" s="50">
        <f>IF($T1244="","",IF($S1244="S",IF(INDEX(Firms!$M$5:$M$1004,$T1244)="","",INDEX(Firms!$M$5:$M$1004,$T1244)),IF(INDEX('AFA Rates'!$L$5:$L$1004,$T1244)="","",INDEX('AFA Rates'!$L$5:$L$1004,$T1244))))</f>
        <v/>
      </c>
      <c r="O1244" s="78">
        <f>IF(OR($T1244="",$U1244=""),"",IF(INDEX(Firms!$C$5:$C$1004,$U1244)="","",INDEX(Firms!$C$5:$C$1004,$U1244)))</f>
        <v/>
      </c>
      <c r="P1244" s="79">
        <f>IF(OR($T1244="",$U1244=""),"",IF(INDEX(Firms!$N$5:$N$1004,$U1244)="","",INDEX(Firms!$N$5:$N$1004,$U1244)))</f>
        <v/>
      </c>
      <c r="Q1244" s="78">
        <f>IF($T1244="","",IF($S1244="S",IF(INDEX(Firms!$T$5:$T$1004,$T1244)="","",INDEX(Firms!$T$5:$T$1004,$T1244)),IF(INDEX('AFA Rates'!$M$5:$M$1004,$T1244)="","",INDEX('AFA Rates'!$M$5:$M$1004,$T1244))))</f>
        <v/>
      </c>
      <c r="S1244">
        <f>IF(1240&lt;=$S$2,"S",IF(1240&lt;=$S$2+$T$2,"A",""))</f>
        <v/>
      </c>
      <c r="T1244">
        <f>IF(S1244="S",MATCH(1240,Firms!$W$5:$W$1004,0),IF(S1244="A",IFERROR(MATCH(1240-$S$2,'AFA Rates'!$R$5:$R$1004,0),""),""))</f>
        <v/>
      </c>
      <c r="U1244">
        <f>IF(S1244="S",T1244,IF(AND(S1244="A",T1244&lt;&gt;""),IFERROR(MATCH(INDEX('AFA Rates'!$A$5:$A$1004,T1244),Firms!$A$5:$A$1004,0),""),""))</f>
        <v/>
      </c>
    </row>
    <row r="1245">
      <c r="A1245" s="78">
        <f>IF($T1245="","",IF($S1245="S",IF(INDEX(Firms!$A$5:$A$1004,$T1245)="","",INDEX(Firms!$A$5:$A$1004,$T1245)),IF(INDEX('AFA Rates'!$A$5:$A$1004,$T1245)="","",INDEX('AFA Rates'!$A$5:$A$1004,$T1245))))</f>
        <v/>
      </c>
      <c r="B1245" s="79">
        <f>IF(OR($T1245="",$U1245=""),IF($T1245="","","Not on Firms tab"),INDEX(Firms!$B$5:$B$1004,$U1245)&amp;"")</f>
        <v/>
      </c>
      <c r="C1245" s="78">
        <f>IF($T1245="","",IF($S1245="S","Standard",INDEX('AFA Rates'!$B$5:$B$1004,$T1245)&amp;""))</f>
        <v/>
      </c>
      <c r="D1245" s="88">
        <f>IF($T1245="","",IF($S1245="S",IF(INDEX(Firms!$E$5:$E$1004,$T1245)="","",INDEX(Firms!$E$5:$E$1004,$T1245)),IF(INDEX('AFA Rates'!$C$5:$C$1004,$T1245)="","",INDEX('AFA Rates'!$C$5:$C$1004,$T1245))))</f>
        <v/>
      </c>
      <c r="E1245" s="88">
        <f>IF($T1245="","",IF($S1245="S",IF(""="","",""),IF(INDEX('AFA Rates'!$D$5:$D$1004,$T1245)="","",INDEX('AFA Rates'!$D$5:$D$1004,$T1245))))</f>
        <v/>
      </c>
      <c r="F1245" s="79">
        <f>IF($T1245="","",IF($S1245="S",IF(INDEX(Firms!$O$5:$O$1004,$T1245)="","",INDEX(Firms!$O$5:$O$1004,$T1245)),IF(INDEX('AFA Rates'!$O$5:$O$1004,$T1245)="","",INDEX('AFA Rates'!$O$5:$O$1004,$T1245))))</f>
        <v/>
      </c>
      <c r="G1245" s="50">
        <f>IF($T1245="","",IF($S1245="S",IF(INDEX(Firms!$F$5:$F$1004,$T1245)="","",INDEX(Firms!$F$5:$F$1004,$T1245)),IF(INDEX('AFA Rates'!$E$5:$E$1004,$T1245)="","",INDEX('AFA Rates'!$E$5:$E$1004,$T1245))))</f>
        <v/>
      </c>
      <c r="H1245" s="50">
        <f>IF($T1245="","",IF($S1245="S",IF(INDEX(Firms!$G$5:$G$1004,$T1245)="","",INDEX(Firms!$G$5:$G$1004,$T1245)),IF(INDEX('AFA Rates'!$F$5:$F$1004,$T1245)="","",INDEX('AFA Rates'!$F$5:$F$1004,$T1245))))</f>
        <v/>
      </c>
      <c r="I1245" s="50">
        <f>IF($T1245="","",IF($S1245="S",IF(INDEX(Firms!$H$5:$H$1004,$T1245)="","",INDEX(Firms!$H$5:$H$1004,$T1245)),IF(INDEX('AFA Rates'!$G$5:$G$1004,$T1245)="","",INDEX('AFA Rates'!$G$5:$G$1004,$T1245))))</f>
        <v/>
      </c>
      <c r="J1245" s="50">
        <f>IF($T1245="","",IF($S1245="S",IF(INDEX(Firms!$I$5:$I$1004,$T1245)="","",INDEX(Firms!$I$5:$I$1004,$T1245)),IF(INDEX('AFA Rates'!$H$5:$H$1004,$T1245)="","",INDEX('AFA Rates'!$H$5:$H$1004,$T1245))))</f>
        <v/>
      </c>
      <c r="K1245" s="50">
        <f>IF($T1245="","",IF($S1245="S",IF(INDEX(Firms!$J$5:$J$1004,$T1245)="","",INDEX(Firms!$J$5:$J$1004,$T1245)),IF(INDEX('AFA Rates'!$I$5:$I$1004,$T1245)="","",INDEX('AFA Rates'!$I$5:$I$1004,$T1245))))</f>
        <v/>
      </c>
      <c r="L1245" s="50">
        <f>IF($T1245="","",IF($S1245="S",IF(INDEX(Firms!$K$5:$K$1004,$T1245)="","",INDEX(Firms!$K$5:$K$1004,$T1245)),IF(INDEX('AFA Rates'!$J$5:$J$1004,$T1245)="","",INDEX('AFA Rates'!$J$5:$J$1004,$T1245))))</f>
        <v/>
      </c>
      <c r="M1245" s="50">
        <f>IF($T1245="","",IF($S1245="S",IF(INDEX(Firms!$L$5:$L$1004,$T1245)="","",INDEX(Firms!$L$5:$L$1004,$T1245)),IF(INDEX('AFA Rates'!$K$5:$K$1004,$T1245)="","",INDEX('AFA Rates'!$K$5:$K$1004,$T1245))))</f>
        <v/>
      </c>
      <c r="N1245" s="50">
        <f>IF($T1245="","",IF($S1245="S",IF(INDEX(Firms!$M$5:$M$1004,$T1245)="","",INDEX(Firms!$M$5:$M$1004,$T1245)),IF(INDEX('AFA Rates'!$L$5:$L$1004,$T1245)="","",INDEX('AFA Rates'!$L$5:$L$1004,$T1245))))</f>
        <v/>
      </c>
      <c r="O1245" s="78">
        <f>IF(OR($T1245="",$U1245=""),"",IF(INDEX(Firms!$C$5:$C$1004,$U1245)="","",INDEX(Firms!$C$5:$C$1004,$U1245)))</f>
        <v/>
      </c>
      <c r="P1245" s="79">
        <f>IF(OR($T1245="",$U1245=""),"",IF(INDEX(Firms!$N$5:$N$1004,$U1245)="","",INDEX(Firms!$N$5:$N$1004,$U1245)))</f>
        <v/>
      </c>
      <c r="Q1245" s="78">
        <f>IF($T1245="","",IF($S1245="S",IF(INDEX(Firms!$T$5:$T$1004,$T1245)="","",INDEX(Firms!$T$5:$T$1004,$T1245)),IF(INDEX('AFA Rates'!$M$5:$M$1004,$T1245)="","",INDEX('AFA Rates'!$M$5:$M$1004,$T1245))))</f>
        <v/>
      </c>
      <c r="S1245">
        <f>IF(1241&lt;=$S$2,"S",IF(1241&lt;=$S$2+$T$2,"A",""))</f>
        <v/>
      </c>
      <c r="T1245">
        <f>IF(S1245="S",MATCH(1241,Firms!$W$5:$W$1004,0),IF(S1245="A",IFERROR(MATCH(1241-$S$2,'AFA Rates'!$R$5:$R$1004,0),""),""))</f>
        <v/>
      </c>
      <c r="U1245">
        <f>IF(S1245="S",T1245,IF(AND(S1245="A",T1245&lt;&gt;""),IFERROR(MATCH(INDEX('AFA Rates'!$A$5:$A$1004,T1245),Firms!$A$5:$A$1004,0),""),""))</f>
        <v/>
      </c>
    </row>
    <row r="1246">
      <c r="A1246" s="78">
        <f>IF($T1246="","",IF($S1246="S",IF(INDEX(Firms!$A$5:$A$1004,$T1246)="","",INDEX(Firms!$A$5:$A$1004,$T1246)),IF(INDEX('AFA Rates'!$A$5:$A$1004,$T1246)="","",INDEX('AFA Rates'!$A$5:$A$1004,$T1246))))</f>
        <v/>
      </c>
      <c r="B1246" s="79">
        <f>IF(OR($T1246="",$U1246=""),IF($T1246="","","Not on Firms tab"),INDEX(Firms!$B$5:$B$1004,$U1246)&amp;"")</f>
        <v/>
      </c>
      <c r="C1246" s="78">
        <f>IF($T1246="","",IF($S1246="S","Standard",INDEX('AFA Rates'!$B$5:$B$1004,$T1246)&amp;""))</f>
        <v/>
      </c>
      <c r="D1246" s="88">
        <f>IF($T1246="","",IF($S1246="S",IF(INDEX(Firms!$E$5:$E$1004,$T1246)="","",INDEX(Firms!$E$5:$E$1004,$T1246)),IF(INDEX('AFA Rates'!$C$5:$C$1004,$T1246)="","",INDEX('AFA Rates'!$C$5:$C$1004,$T1246))))</f>
        <v/>
      </c>
      <c r="E1246" s="88">
        <f>IF($T1246="","",IF($S1246="S",IF(""="","",""),IF(INDEX('AFA Rates'!$D$5:$D$1004,$T1246)="","",INDEX('AFA Rates'!$D$5:$D$1004,$T1246))))</f>
        <v/>
      </c>
      <c r="F1246" s="79">
        <f>IF($T1246="","",IF($S1246="S",IF(INDEX(Firms!$O$5:$O$1004,$T1246)="","",INDEX(Firms!$O$5:$O$1004,$T1246)),IF(INDEX('AFA Rates'!$O$5:$O$1004,$T1246)="","",INDEX('AFA Rates'!$O$5:$O$1004,$T1246))))</f>
        <v/>
      </c>
      <c r="G1246" s="50">
        <f>IF($T1246="","",IF($S1246="S",IF(INDEX(Firms!$F$5:$F$1004,$T1246)="","",INDEX(Firms!$F$5:$F$1004,$T1246)),IF(INDEX('AFA Rates'!$E$5:$E$1004,$T1246)="","",INDEX('AFA Rates'!$E$5:$E$1004,$T1246))))</f>
        <v/>
      </c>
      <c r="H1246" s="50">
        <f>IF($T1246="","",IF($S1246="S",IF(INDEX(Firms!$G$5:$G$1004,$T1246)="","",INDEX(Firms!$G$5:$G$1004,$T1246)),IF(INDEX('AFA Rates'!$F$5:$F$1004,$T1246)="","",INDEX('AFA Rates'!$F$5:$F$1004,$T1246))))</f>
        <v/>
      </c>
      <c r="I1246" s="50">
        <f>IF($T1246="","",IF($S1246="S",IF(INDEX(Firms!$H$5:$H$1004,$T1246)="","",INDEX(Firms!$H$5:$H$1004,$T1246)),IF(INDEX('AFA Rates'!$G$5:$G$1004,$T1246)="","",INDEX('AFA Rates'!$G$5:$G$1004,$T1246))))</f>
        <v/>
      </c>
      <c r="J1246" s="50">
        <f>IF($T1246="","",IF($S1246="S",IF(INDEX(Firms!$I$5:$I$1004,$T1246)="","",INDEX(Firms!$I$5:$I$1004,$T1246)),IF(INDEX('AFA Rates'!$H$5:$H$1004,$T1246)="","",INDEX('AFA Rates'!$H$5:$H$1004,$T1246))))</f>
        <v/>
      </c>
      <c r="K1246" s="50">
        <f>IF($T1246="","",IF($S1246="S",IF(INDEX(Firms!$J$5:$J$1004,$T1246)="","",INDEX(Firms!$J$5:$J$1004,$T1246)),IF(INDEX('AFA Rates'!$I$5:$I$1004,$T1246)="","",INDEX('AFA Rates'!$I$5:$I$1004,$T1246))))</f>
        <v/>
      </c>
      <c r="L1246" s="50">
        <f>IF($T1246="","",IF($S1246="S",IF(INDEX(Firms!$K$5:$K$1004,$T1246)="","",INDEX(Firms!$K$5:$K$1004,$T1246)),IF(INDEX('AFA Rates'!$J$5:$J$1004,$T1246)="","",INDEX('AFA Rates'!$J$5:$J$1004,$T1246))))</f>
        <v/>
      </c>
      <c r="M1246" s="50">
        <f>IF($T1246="","",IF($S1246="S",IF(INDEX(Firms!$L$5:$L$1004,$T1246)="","",INDEX(Firms!$L$5:$L$1004,$T1246)),IF(INDEX('AFA Rates'!$K$5:$K$1004,$T1246)="","",INDEX('AFA Rates'!$K$5:$K$1004,$T1246))))</f>
        <v/>
      </c>
      <c r="N1246" s="50">
        <f>IF($T1246="","",IF($S1246="S",IF(INDEX(Firms!$M$5:$M$1004,$T1246)="","",INDEX(Firms!$M$5:$M$1004,$T1246)),IF(INDEX('AFA Rates'!$L$5:$L$1004,$T1246)="","",INDEX('AFA Rates'!$L$5:$L$1004,$T1246))))</f>
        <v/>
      </c>
      <c r="O1246" s="78">
        <f>IF(OR($T1246="",$U1246=""),"",IF(INDEX(Firms!$C$5:$C$1004,$U1246)="","",INDEX(Firms!$C$5:$C$1004,$U1246)))</f>
        <v/>
      </c>
      <c r="P1246" s="79">
        <f>IF(OR($T1246="",$U1246=""),"",IF(INDEX(Firms!$N$5:$N$1004,$U1246)="","",INDEX(Firms!$N$5:$N$1004,$U1246)))</f>
        <v/>
      </c>
      <c r="Q1246" s="78">
        <f>IF($T1246="","",IF($S1246="S",IF(INDEX(Firms!$T$5:$T$1004,$T1246)="","",INDEX(Firms!$T$5:$T$1004,$T1246)),IF(INDEX('AFA Rates'!$M$5:$M$1004,$T1246)="","",INDEX('AFA Rates'!$M$5:$M$1004,$T1246))))</f>
        <v/>
      </c>
      <c r="S1246">
        <f>IF(1242&lt;=$S$2,"S",IF(1242&lt;=$S$2+$T$2,"A",""))</f>
        <v/>
      </c>
      <c r="T1246">
        <f>IF(S1246="S",MATCH(1242,Firms!$W$5:$W$1004,0),IF(S1246="A",IFERROR(MATCH(1242-$S$2,'AFA Rates'!$R$5:$R$1004,0),""),""))</f>
        <v/>
      </c>
      <c r="U1246">
        <f>IF(S1246="S",T1246,IF(AND(S1246="A",T1246&lt;&gt;""),IFERROR(MATCH(INDEX('AFA Rates'!$A$5:$A$1004,T1246),Firms!$A$5:$A$1004,0),""),""))</f>
        <v/>
      </c>
    </row>
    <row r="1247">
      <c r="A1247" s="78">
        <f>IF($T1247="","",IF($S1247="S",IF(INDEX(Firms!$A$5:$A$1004,$T1247)="","",INDEX(Firms!$A$5:$A$1004,$T1247)),IF(INDEX('AFA Rates'!$A$5:$A$1004,$T1247)="","",INDEX('AFA Rates'!$A$5:$A$1004,$T1247))))</f>
        <v/>
      </c>
      <c r="B1247" s="79">
        <f>IF(OR($T1247="",$U1247=""),IF($T1247="","","Not on Firms tab"),INDEX(Firms!$B$5:$B$1004,$U1247)&amp;"")</f>
        <v/>
      </c>
      <c r="C1247" s="78">
        <f>IF($T1247="","",IF($S1247="S","Standard",INDEX('AFA Rates'!$B$5:$B$1004,$T1247)&amp;""))</f>
        <v/>
      </c>
      <c r="D1247" s="88">
        <f>IF($T1247="","",IF($S1247="S",IF(INDEX(Firms!$E$5:$E$1004,$T1247)="","",INDEX(Firms!$E$5:$E$1004,$T1247)),IF(INDEX('AFA Rates'!$C$5:$C$1004,$T1247)="","",INDEX('AFA Rates'!$C$5:$C$1004,$T1247))))</f>
        <v/>
      </c>
      <c r="E1247" s="88">
        <f>IF($T1247="","",IF($S1247="S",IF(""="","",""),IF(INDEX('AFA Rates'!$D$5:$D$1004,$T1247)="","",INDEX('AFA Rates'!$D$5:$D$1004,$T1247))))</f>
        <v/>
      </c>
      <c r="F1247" s="79">
        <f>IF($T1247="","",IF($S1247="S",IF(INDEX(Firms!$O$5:$O$1004,$T1247)="","",INDEX(Firms!$O$5:$O$1004,$T1247)),IF(INDEX('AFA Rates'!$O$5:$O$1004,$T1247)="","",INDEX('AFA Rates'!$O$5:$O$1004,$T1247))))</f>
        <v/>
      </c>
      <c r="G1247" s="50">
        <f>IF($T1247="","",IF($S1247="S",IF(INDEX(Firms!$F$5:$F$1004,$T1247)="","",INDEX(Firms!$F$5:$F$1004,$T1247)),IF(INDEX('AFA Rates'!$E$5:$E$1004,$T1247)="","",INDEX('AFA Rates'!$E$5:$E$1004,$T1247))))</f>
        <v/>
      </c>
      <c r="H1247" s="50">
        <f>IF($T1247="","",IF($S1247="S",IF(INDEX(Firms!$G$5:$G$1004,$T1247)="","",INDEX(Firms!$G$5:$G$1004,$T1247)),IF(INDEX('AFA Rates'!$F$5:$F$1004,$T1247)="","",INDEX('AFA Rates'!$F$5:$F$1004,$T1247))))</f>
        <v/>
      </c>
      <c r="I1247" s="50">
        <f>IF($T1247="","",IF($S1247="S",IF(INDEX(Firms!$H$5:$H$1004,$T1247)="","",INDEX(Firms!$H$5:$H$1004,$T1247)),IF(INDEX('AFA Rates'!$G$5:$G$1004,$T1247)="","",INDEX('AFA Rates'!$G$5:$G$1004,$T1247))))</f>
        <v/>
      </c>
      <c r="J1247" s="50">
        <f>IF($T1247="","",IF($S1247="S",IF(INDEX(Firms!$I$5:$I$1004,$T1247)="","",INDEX(Firms!$I$5:$I$1004,$T1247)),IF(INDEX('AFA Rates'!$H$5:$H$1004,$T1247)="","",INDEX('AFA Rates'!$H$5:$H$1004,$T1247))))</f>
        <v/>
      </c>
      <c r="K1247" s="50">
        <f>IF($T1247="","",IF($S1247="S",IF(INDEX(Firms!$J$5:$J$1004,$T1247)="","",INDEX(Firms!$J$5:$J$1004,$T1247)),IF(INDEX('AFA Rates'!$I$5:$I$1004,$T1247)="","",INDEX('AFA Rates'!$I$5:$I$1004,$T1247))))</f>
        <v/>
      </c>
      <c r="L1247" s="50">
        <f>IF($T1247="","",IF($S1247="S",IF(INDEX(Firms!$K$5:$K$1004,$T1247)="","",INDEX(Firms!$K$5:$K$1004,$T1247)),IF(INDEX('AFA Rates'!$J$5:$J$1004,$T1247)="","",INDEX('AFA Rates'!$J$5:$J$1004,$T1247))))</f>
        <v/>
      </c>
      <c r="M1247" s="50">
        <f>IF($T1247="","",IF($S1247="S",IF(INDEX(Firms!$L$5:$L$1004,$T1247)="","",INDEX(Firms!$L$5:$L$1004,$T1247)),IF(INDEX('AFA Rates'!$K$5:$K$1004,$T1247)="","",INDEX('AFA Rates'!$K$5:$K$1004,$T1247))))</f>
        <v/>
      </c>
      <c r="N1247" s="50">
        <f>IF($T1247="","",IF($S1247="S",IF(INDEX(Firms!$M$5:$M$1004,$T1247)="","",INDEX(Firms!$M$5:$M$1004,$T1247)),IF(INDEX('AFA Rates'!$L$5:$L$1004,$T1247)="","",INDEX('AFA Rates'!$L$5:$L$1004,$T1247))))</f>
        <v/>
      </c>
      <c r="O1247" s="78">
        <f>IF(OR($T1247="",$U1247=""),"",IF(INDEX(Firms!$C$5:$C$1004,$U1247)="","",INDEX(Firms!$C$5:$C$1004,$U1247)))</f>
        <v/>
      </c>
      <c r="P1247" s="79">
        <f>IF(OR($T1247="",$U1247=""),"",IF(INDEX(Firms!$N$5:$N$1004,$U1247)="","",INDEX(Firms!$N$5:$N$1004,$U1247)))</f>
        <v/>
      </c>
      <c r="Q1247" s="78">
        <f>IF($T1247="","",IF($S1247="S",IF(INDEX(Firms!$T$5:$T$1004,$T1247)="","",INDEX(Firms!$T$5:$T$1004,$T1247)),IF(INDEX('AFA Rates'!$M$5:$M$1004,$T1247)="","",INDEX('AFA Rates'!$M$5:$M$1004,$T1247))))</f>
        <v/>
      </c>
      <c r="S1247">
        <f>IF(1243&lt;=$S$2,"S",IF(1243&lt;=$S$2+$T$2,"A",""))</f>
        <v/>
      </c>
      <c r="T1247">
        <f>IF(S1247="S",MATCH(1243,Firms!$W$5:$W$1004,0),IF(S1247="A",IFERROR(MATCH(1243-$S$2,'AFA Rates'!$R$5:$R$1004,0),""),""))</f>
        <v/>
      </c>
      <c r="U1247">
        <f>IF(S1247="S",T1247,IF(AND(S1247="A",T1247&lt;&gt;""),IFERROR(MATCH(INDEX('AFA Rates'!$A$5:$A$1004,T1247),Firms!$A$5:$A$1004,0),""),""))</f>
        <v/>
      </c>
    </row>
    <row r="1248">
      <c r="A1248" s="78">
        <f>IF($T1248="","",IF($S1248="S",IF(INDEX(Firms!$A$5:$A$1004,$T1248)="","",INDEX(Firms!$A$5:$A$1004,$T1248)),IF(INDEX('AFA Rates'!$A$5:$A$1004,$T1248)="","",INDEX('AFA Rates'!$A$5:$A$1004,$T1248))))</f>
        <v/>
      </c>
      <c r="B1248" s="79">
        <f>IF(OR($T1248="",$U1248=""),IF($T1248="","","Not on Firms tab"),INDEX(Firms!$B$5:$B$1004,$U1248)&amp;"")</f>
        <v/>
      </c>
      <c r="C1248" s="78">
        <f>IF($T1248="","",IF($S1248="S","Standard",INDEX('AFA Rates'!$B$5:$B$1004,$T1248)&amp;""))</f>
        <v/>
      </c>
      <c r="D1248" s="88">
        <f>IF($T1248="","",IF($S1248="S",IF(INDEX(Firms!$E$5:$E$1004,$T1248)="","",INDEX(Firms!$E$5:$E$1004,$T1248)),IF(INDEX('AFA Rates'!$C$5:$C$1004,$T1248)="","",INDEX('AFA Rates'!$C$5:$C$1004,$T1248))))</f>
        <v/>
      </c>
      <c r="E1248" s="88">
        <f>IF($T1248="","",IF($S1248="S",IF(""="","",""),IF(INDEX('AFA Rates'!$D$5:$D$1004,$T1248)="","",INDEX('AFA Rates'!$D$5:$D$1004,$T1248))))</f>
        <v/>
      </c>
      <c r="F1248" s="79">
        <f>IF($T1248="","",IF($S1248="S",IF(INDEX(Firms!$O$5:$O$1004,$T1248)="","",INDEX(Firms!$O$5:$O$1004,$T1248)),IF(INDEX('AFA Rates'!$O$5:$O$1004,$T1248)="","",INDEX('AFA Rates'!$O$5:$O$1004,$T1248))))</f>
        <v/>
      </c>
      <c r="G1248" s="50">
        <f>IF($T1248="","",IF($S1248="S",IF(INDEX(Firms!$F$5:$F$1004,$T1248)="","",INDEX(Firms!$F$5:$F$1004,$T1248)),IF(INDEX('AFA Rates'!$E$5:$E$1004,$T1248)="","",INDEX('AFA Rates'!$E$5:$E$1004,$T1248))))</f>
        <v/>
      </c>
      <c r="H1248" s="50">
        <f>IF($T1248="","",IF($S1248="S",IF(INDEX(Firms!$G$5:$G$1004,$T1248)="","",INDEX(Firms!$G$5:$G$1004,$T1248)),IF(INDEX('AFA Rates'!$F$5:$F$1004,$T1248)="","",INDEX('AFA Rates'!$F$5:$F$1004,$T1248))))</f>
        <v/>
      </c>
      <c r="I1248" s="50">
        <f>IF($T1248="","",IF($S1248="S",IF(INDEX(Firms!$H$5:$H$1004,$T1248)="","",INDEX(Firms!$H$5:$H$1004,$T1248)),IF(INDEX('AFA Rates'!$G$5:$G$1004,$T1248)="","",INDEX('AFA Rates'!$G$5:$G$1004,$T1248))))</f>
        <v/>
      </c>
      <c r="J1248" s="50">
        <f>IF($T1248="","",IF($S1248="S",IF(INDEX(Firms!$I$5:$I$1004,$T1248)="","",INDEX(Firms!$I$5:$I$1004,$T1248)),IF(INDEX('AFA Rates'!$H$5:$H$1004,$T1248)="","",INDEX('AFA Rates'!$H$5:$H$1004,$T1248))))</f>
        <v/>
      </c>
      <c r="K1248" s="50">
        <f>IF($T1248="","",IF($S1248="S",IF(INDEX(Firms!$J$5:$J$1004,$T1248)="","",INDEX(Firms!$J$5:$J$1004,$T1248)),IF(INDEX('AFA Rates'!$I$5:$I$1004,$T1248)="","",INDEX('AFA Rates'!$I$5:$I$1004,$T1248))))</f>
        <v/>
      </c>
      <c r="L1248" s="50">
        <f>IF($T1248="","",IF($S1248="S",IF(INDEX(Firms!$K$5:$K$1004,$T1248)="","",INDEX(Firms!$K$5:$K$1004,$T1248)),IF(INDEX('AFA Rates'!$J$5:$J$1004,$T1248)="","",INDEX('AFA Rates'!$J$5:$J$1004,$T1248))))</f>
        <v/>
      </c>
      <c r="M1248" s="50">
        <f>IF($T1248="","",IF($S1248="S",IF(INDEX(Firms!$L$5:$L$1004,$T1248)="","",INDEX(Firms!$L$5:$L$1004,$T1248)),IF(INDEX('AFA Rates'!$K$5:$K$1004,$T1248)="","",INDEX('AFA Rates'!$K$5:$K$1004,$T1248))))</f>
        <v/>
      </c>
      <c r="N1248" s="50">
        <f>IF($T1248="","",IF($S1248="S",IF(INDEX(Firms!$M$5:$M$1004,$T1248)="","",INDEX(Firms!$M$5:$M$1004,$T1248)),IF(INDEX('AFA Rates'!$L$5:$L$1004,$T1248)="","",INDEX('AFA Rates'!$L$5:$L$1004,$T1248))))</f>
        <v/>
      </c>
      <c r="O1248" s="78">
        <f>IF(OR($T1248="",$U1248=""),"",IF(INDEX(Firms!$C$5:$C$1004,$U1248)="","",INDEX(Firms!$C$5:$C$1004,$U1248)))</f>
        <v/>
      </c>
      <c r="P1248" s="79">
        <f>IF(OR($T1248="",$U1248=""),"",IF(INDEX(Firms!$N$5:$N$1004,$U1248)="","",INDEX(Firms!$N$5:$N$1004,$U1248)))</f>
        <v/>
      </c>
      <c r="Q1248" s="78">
        <f>IF($T1248="","",IF($S1248="S",IF(INDEX(Firms!$T$5:$T$1004,$T1248)="","",INDEX(Firms!$T$5:$T$1004,$T1248)),IF(INDEX('AFA Rates'!$M$5:$M$1004,$T1248)="","",INDEX('AFA Rates'!$M$5:$M$1004,$T1248))))</f>
        <v/>
      </c>
      <c r="S1248">
        <f>IF(1244&lt;=$S$2,"S",IF(1244&lt;=$S$2+$T$2,"A",""))</f>
        <v/>
      </c>
      <c r="T1248">
        <f>IF(S1248="S",MATCH(1244,Firms!$W$5:$W$1004,0),IF(S1248="A",IFERROR(MATCH(1244-$S$2,'AFA Rates'!$R$5:$R$1004,0),""),""))</f>
        <v/>
      </c>
      <c r="U1248">
        <f>IF(S1248="S",T1248,IF(AND(S1248="A",T1248&lt;&gt;""),IFERROR(MATCH(INDEX('AFA Rates'!$A$5:$A$1004,T1248),Firms!$A$5:$A$1004,0),""),""))</f>
        <v/>
      </c>
    </row>
    <row r="1249">
      <c r="A1249" s="78">
        <f>IF($T1249="","",IF($S1249="S",IF(INDEX(Firms!$A$5:$A$1004,$T1249)="","",INDEX(Firms!$A$5:$A$1004,$T1249)),IF(INDEX('AFA Rates'!$A$5:$A$1004,$T1249)="","",INDEX('AFA Rates'!$A$5:$A$1004,$T1249))))</f>
        <v/>
      </c>
      <c r="B1249" s="79">
        <f>IF(OR($T1249="",$U1249=""),IF($T1249="","","Not on Firms tab"),INDEX(Firms!$B$5:$B$1004,$U1249)&amp;"")</f>
        <v/>
      </c>
      <c r="C1249" s="78">
        <f>IF($T1249="","",IF($S1249="S","Standard",INDEX('AFA Rates'!$B$5:$B$1004,$T1249)&amp;""))</f>
        <v/>
      </c>
      <c r="D1249" s="88">
        <f>IF($T1249="","",IF($S1249="S",IF(INDEX(Firms!$E$5:$E$1004,$T1249)="","",INDEX(Firms!$E$5:$E$1004,$T1249)),IF(INDEX('AFA Rates'!$C$5:$C$1004,$T1249)="","",INDEX('AFA Rates'!$C$5:$C$1004,$T1249))))</f>
        <v/>
      </c>
      <c r="E1249" s="88">
        <f>IF($T1249="","",IF($S1249="S",IF(""="","",""),IF(INDEX('AFA Rates'!$D$5:$D$1004,$T1249)="","",INDEX('AFA Rates'!$D$5:$D$1004,$T1249))))</f>
        <v/>
      </c>
      <c r="F1249" s="79">
        <f>IF($T1249="","",IF($S1249="S",IF(INDEX(Firms!$O$5:$O$1004,$T1249)="","",INDEX(Firms!$O$5:$O$1004,$T1249)),IF(INDEX('AFA Rates'!$O$5:$O$1004,$T1249)="","",INDEX('AFA Rates'!$O$5:$O$1004,$T1249))))</f>
        <v/>
      </c>
      <c r="G1249" s="50">
        <f>IF($T1249="","",IF($S1249="S",IF(INDEX(Firms!$F$5:$F$1004,$T1249)="","",INDEX(Firms!$F$5:$F$1004,$T1249)),IF(INDEX('AFA Rates'!$E$5:$E$1004,$T1249)="","",INDEX('AFA Rates'!$E$5:$E$1004,$T1249))))</f>
        <v/>
      </c>
      <c r="H1249" s="50">
        <f>IF($T1249="","",IF($S1249="S",IF(INDEX(Firms!$G$5:$G$1004,$T1249)="","",INDEX(Firms!$G$5:$G$1004,$T1249)),IF(INDEX('AFA Rates'!$F$5:$F$1004,$T1249)="","",INDEX('AFA Rates'!$F$5:$F$1004,$T1249))))</f>
        <v/>
      </c>
      <c r="I1249" s="50">
        <f>IF($T1249="","",IF($S1249="S",IF(INDEX(Firms!$H$5:$H$1004,$T1249)="","",INDEX(Firms!$H$5:$H$1004,$T1249)),IF(INDEX('AFA Rates'!$G$5:$G$1004,$T1249)="","",INDEX('AFA Rates'!$G$5:$G$1004,$T1249))))</f>
        <v/>
      </c>
      <c r="J1249" s="50">
        <f>IF($T1249="","",IF($S1249="S",IF(INDEX(Firms!$I$5:$I$1004,$T1249)="","",INDEX(Firms!$I$5:$I$1004,$T1249)),IF(INDEX('AFA Rates'!$H$5:$H$1004,$T1249)="","",INDEX('AFA Rates'!$H$5:$H$1004,$T1249))))</f>
        <v/>
      </c>
      <c r="K1249" s="50">
        <f>IF($T1249="","",IF($S1249="S",IF(INDEX(Firms!$J$5:$J$1004,$T1249)="","",INDEX(Firms!$J$5:$J$1004,$T1249)),IF(INDEX('AFA Rates'!$I$5:$I$1004,$T1249)="","",INDEX('AFA Rates'!$I$5:$I$1004,$T1249))))</f>
        <v/>
      </c>
      <c r="L1249" s="50">
        <f>IF($T1249="","",IF($S1249="S",IF(INDEX(Firms!$K$5:$K$1004,$T1249)="","",INDEX(Firms!$K$5:$K$1004,$T1249)),IF(INDEX('AFA Rates'!$J$5:$J$1004,$T1249)="","",INDEX('AFA Rates'!$J$5:$J$1004,$T1249))))</f>
        <v/>
      </c>
      <c r="M1249" s="50">
        <f>IF($T1249="","",IF($S1249="S",IF(INDEX(Firms!$L$5:$L$1004,$T1249)="","",INDEX(Firms!$L$5:$L$1004,$T1249)),IF(INDEX('AFA Rates'!$K$5:$K$1004,$T1249)="","",INDEX('AFA Rates'!$K$5:$K$1004,$T1249))))</f>
        <v/>
      </c>
      <c r="N1249" s="50">
        <f>IF($T1249="","",IF($S1249="S",IF(INDEX(Firms!$M$5:$M$1004,$T1249)="","",INDEX(Firms!$M$5:$M$1004,$T1249)),IF(INDEX('AFA Rates'!$L$5:$L$1004,$T1249)="","",INDEX('AFA Rates'!$L$5:$L$1004,$T1249))))</f>
        <v/>
      </c>
      <c r="O1249" s="78">
        <f>IF(OR($T1249="",$U1249=""),"",IF(INDEX(Firms!$C$5:$C$1004,$U1249)="","",INDEX(Firms!$C$5:$C$1004,$U1249)))</f>
        <v/>
      </c>
      <c r="P1249" s="79">
        <f>IF(OR($T1249="",$U1249=""),"",IF(INDEX(Firms!$N$5:$N$1004,$U1249)="","",INDEX(Firms!$N$5:$N$1004,$U1249)))</f>
        <v/>
      </c>
      <c r="Q1249" s="78">
        <f>IF($T1249="","",IF($S1249="S",IF(INDEX(Firms!$T$5:$T$1004,$T1249)="","",INDEX(Firms!$T$5:$T$1004,$T1249)),IF(INDEX('AFA Rates'!$M$5:$M$1004,$T1249)="","",INDEX('AFA Rates'!$M$5:$M$1004,$T1249))))</f>
        <v/>
      </c>
      <c r="S1249">
        <f>IF(1245&lt;=$S$2,"S",IF(1245&lt;=$S$2+$T$2,"A",""))</f>
        <v/>
      </c>
      <c r="T1249">
        <f>IF(S1249="S",MATCH(1245,Firms!$W$5:$W$1004,0),IF(S1249="A",IFERROR(MATCH(1245-$S$2,'AFA Rates'!$R$5:$R$1004,0),""),""))</f>
        <v/>
      </c>
      <c r="U1249">
        <f>IF(S1249="S",T1249,IF(AND(S1249="A",T1249&lt;&gt;""),IFERROR(MATCH(INDEX('AFA Rates'!$A$5:$A$1004,T1249),Firms!$A$5:$A$1004,0),""),""))</f>
        <v/>
      </c>
    </row>
    <row r="1250">
      <c r="A1250" s="78">
        <f>IF($T1250="","",IF($S1250="S",IF(INDEX(Firms!$A$5:$A$1004,$T1250)="","",INDEX(Firms!$A$5:$A$1004,$T1250)),IF(INDEX('AFA Rates'!$A$5:$A$1004,$T1250)="","",INDEX('AFA Rates'!$A$5:$A$1004,$T1250))))</f>
        <v/>
      </c>
      <c r="B1250" s="79">
        <f>IF(OR($T1250="",$U1250=""),IF($T1250="","","Not on Firms tab"),INDEX(Firms!$B$5:$B$1004,$U1250)&amp;"")</f>
        <v/>
      </c>
      <c r="C1250" s="78">
        <f>IF($T1250="","",IF($S1250="S","Standard",INDEX('AFA Rates'!$B$5:$B$1004,$T1250)&amp;""))</f>
        <v/>
      </c>
      <c r="D1250" s="88">
        <f>IF($T1250="","",IF($S1250="S",IF(INDEX(Firms!$E$5:$E$1004,$T1250)="","",INDEX(Firms!$E$5:$E$1004,$T1250)),IF(INDEX('AFA Rates'!$C$5:$C$1004,$T1250)="","",INDEX('AFA Rates'!$C$5:$C$1004,$T1250))))</f>
        <v/>
      </c>
      <c r="E1250" s="88">
        <f>IF($T1250="","",IF($S1250="S",IF(""="","",""),IF(INDEX('AFA Rates'!$D$5:$D$1004,$T1250)="","",INDEX('AFA Rates'!$D$5:$D$1004,$T1250))))</f>
        <v/>
      </c>
      <c r="F1250" s="79">
        <f>IF($T1250="","",IF($S1250="S",IF(INDEX(Firms!$O$5:$O$1004,$T1250)="","",INDEX(Firms!$O$5:$O$1004,$T1250)),IF(INDEX('AFA Rates'!$O$5:$O$1004,$T1250)="","",INDEX('AFA Rates'!$O$5:$O$1004,$T1250))))</f>
        <v/>
      </c>
      <c r="G1250" s="50">
        <f>IF($T1250="","",IF($S1250="S",IF(INDEX(Firms!$F$5:$F$1004,$T1250)="","",INDEX(Firms!$F$5:$F$1004,$T1250)),IF(INDEX('AFA Rates'!$E$5:$E$1004,$T1250)="","",INDEX('AFA Rates'!$E$5:$E$1004,$T1250))))</f>
        <v/>
      </c>
      <c r="H1250" s="50">
        <f>IF($T1250="","",IF($S1250="S",IF(INDEX(Firms!$G$5:$G$1004,$T1250)="","",INDEX(Firms!$G$5:$G$1004,$T1250)),IF(INDEX('AFA Rates'!$F$5:$F$1004,$T1250)="","",INDEX('AFA Rates'!$F$5:$F$1004,$T1250))))</f>
        <v/>
      </c>
      <c r="I1250" s="50">
        <f>IF($T1250="","",IF($S1250="S",IF(INDEX(Firms!$H$5:$H$1004,$T1250)="","",INDEX(Firms!$H$5:$H$1004,$T1250)),IF(INDEX('AFA Rates'!$G$5:$G$1004,$T1250)="","",INDEX('AFA Rates'!$G$5:$G$1004,$T1250))))</f>
        <v/>
      </c>
      <c r="J1250" s="50">
        <f>IF($T1250="","",IF($S1250="S",IF(INDEX(Firms!$I$5:$I$1004,$T1250)="","",INDEX(Firms!$I$5:$I$1004,$T1250)),IF(INDEX('AFA Rates'!$H$5:$H$1004,$T1250)="","",INDEX('AFA Rates'!$H$5:$H$1004,$T1250))))</f>
        <v/>
      </c>
      <c r="K1250" s="50">
        <f>IF($T1250="","",IF($S1250="S",IF(INDEX(Firms!$J$5:$J$1004,$T1250)="","",INDEX(Firms!$J$5:$J$1004,$T1250)),IF(INDEX('AFA Rates'!$I$5:$I$1004,$T1250)="","",INDEX('AFA Rates'!$I$5:$I$1004,$T1250))))</f>
        <v/>
      </c>
      <c r="L1250" s="50">
        <f>IF($T1250="","",IF($S1250="S",IF(INDEX(Firms!$K$5:$K$1004,$T1250)="","",INDEX(Firms!$K$5:$K$1004,$T1250)),IF(INDEX('AFA Rates'!$J$5:$J$1004,$T1250)="","",INDEX('AFA Rates'!$J$5:$J$1004,$T1250))))</f>
        <v/>
      </c>
      <c r="M1250" s="50">
        <f>IF($T1250="","",IF($S1250="S",IF(INDEX(Firms!$L$5:$L$1004,$T1250)="","",INDEX(Firms!$L$5:$L$1004,$T1250)),IF(INDEX('AFA Rates'!$K$5:$K$1004,$T1250)="","",INDEX('AFA Rates'!$K$5:$K$1004,$T1250))))</f>
        <v/>
      </c>
      <c r="N1250" s="50">
        <f>IF($T1250="","",IF($S1250="S",IF(INDEX(Firms!$M$5:$M$1004,$T1250)="","",INDEX(Firms!$M$5:$M$1004,$T1250)),IF(INDEX('AFA Rates'!$L$5:$L$1004,$T1250)="","",INDEX('AFA Rates'!$L$5:$L$1004,$T1250))))</f>
        <v/>
      </c>
      <c r="O1250" s="78">
        <f>IF(OR($T1250="",$U1250=""),"",IF(INDEX(Firms!$C$5:$C$1004,$U1250)="","",INDEX(Firms!$C$5:$C$1004,$U1250)))</f>
        <v/>
      </c>
      <c r="P1250" s="79">
        <f>IF(OR($T1250="",$U1250=""),"",IF(INDEX(Firms!$N$5:$N$1004,$U1250)="","",INDEX(Firms!$N$5:$N$1004,$U1250)))</f>
        <v/>
      </c>
      <c r="Q1250" s="78">
        <f>IF($T1250="","",IF($S1250="S",IF(INDEX(Firms!$T$5:$T$1004,$T1250)="","",INDEX(Firms!$T$5:$T$1004,$T1250)),IF(INDEX('AFA Rates'!$M$5:$M$1004,$T1250)="","",INDEX('AFA Rates'!$M$5:$M$1004,$T1250))))</f>
        <v/>
      </c>
      <c r="S1250">
        <f>IF(1246&lt;=$S$2,"S",IF(1246&lt;=$S$2+$T$2,"A",""))</f>
        <v/>
      </c>
      <c r="T1250">
        <f>IF(S1250="S",MATCH(1246,Firms!$W$5:$W$1004,0),IF(S1250="A",IFERROR(MATCH(1246-$S$2,'AFA Rates'!$R$5:$R$1004,0),""),""))</f>
        <v/>
      </c>
      <c r="U1250">
        <f>IF(S1250="S",T1250,IF(AND(S1250="A",T1250&lt;&gt;""),IFERROR(MATCH(INDEX('AFA Rates'!$A$5:$A$1004,T1250),Firms!$A$5:$A$1004,0),""),""))</f>
        <v/>
      </c>
    </row>
    <row r="1251">
      <c r="A1251" s="78">
        <f>IF($T1251="","",IF($S1251="S",IF(INDEX(Firms!$A$5:$A$1004,$T1251)="","",INDEX(Firms!$A$5:$A$1004,$T1251)),IF(INDEX('AFA Rates'!$A$5:$A$1004,$T1251)="","",INDEX('AFA Rates'!$A$5:$A$1004,$T1251))))</f>
        <v/>
      </c>
      <c r="B1251" s="79">
        <f>IF(OR($T1251="",$U1251=""),IF($T1251="","","Not on Firms tab"),INDEX(Firms!$B$5:$B$1004,$U1251)&amp;"")</f>
        <v/>
      </c>
      <c r="C1251" s="78">
        <f>IF($T1251="","",IF($S1251="S","Standard",INDEX('AFA Rates'!$B$5:$B$1004,$T1251)&amp;""))</f>
        <v/>
      </c>
      <c r="D1251" s="88">
        <f>IF($T1251="","",IF($S1251="S",IF(INDEX(Firms!$E$5:$E$1004,$T1251)="","",INDEX(Firms!$E$5:$E$1004,$T1251)),IF(INDEX('AFA Rates'!$C$5:$C$1004,$T1251)="","",INDEX('AFA Rates'!$C$5:$C$1004,$T1251))))</f>
        <v/>
      </c>
      <c r="E1251" s="88">
        <f>IF($T1251="","",IF($S1251="S",IF(""="","",""),IF(INDEX('AFA Rates'!$D$5:$D$1004,$T1251)="","",INDEX('AFA Rates'!$D$5:$D$1004,$T1251))))</f>
        <v/>
      </c>
      <c r="F1251" s="79">
        <f>IF($T1251="","",IF($S1251="S",IF(INDEX(Firms!$O$5:$O$1004,$T1251)="","",INDEX(Firms!$O$5:$O$1004,$T1251)),IF(INDEX('AFA Rates'!$O$5:$O$1004,$T1251)="","",INDEX('AFA Rates'!$O$5:$O$1004,$T1251))))</f>
        <v/>
      </c>
      <c r="G1251" s="50">
        <f>IF($T1251="","",IF($S1251="S",IF(INDEX(Firms!$F$5:$F$1004,$T1251)="","",INDEX(Firms!$F$5:$F$1004,$T1251)),IF(INDEX('AFA Rates'!$E$5:$E$1004,$T1251)="","",INDEX('AFA Rates'!$E$5:$E$1004,$T1251))))</f>
        <v/>
      </c>
      <c r="H1251" s="50">
        <f>IF($T1251="","",IF($S1251="S",IF(INDEX(Firms!$G$5:$G$1004,$T1251)="","",INDEX(Firms!$G$5:$G$1004,$T1251)),IF(INDEX('AFA Rates'!$F$5:$F$1004,$T1251)="","",INDEX('AFA Rates'!$F$5:$F$1004,$T1251))))</f>
        <v/>
      </c>
      <c r="I1251" s="50">
        <f>IF($T1251="","",IF($S1251="S",IF(INDEX(Firms!$H$5:$H$1004,$T1251)="","",INDEX(Firms!$H$5:$H$1004,$T1251)),IF(INDEX('AFA Rates'!$G$5:$G$1004,$T1251)="","",INDEX('AFA Rates'!$G$5:$G$1004,$T1251))))</f>
        <v/>
      </c>
      <c r="J1251" s="50">
        <f>IF($T1251="","",IF($S1251="S",IF(INDEX(Firms!$I$5:$I$1004,$T1251)="","",INDEX(Firms!$I$5:$I$1004,$T1251)),IF(INDEX('AFA Rates'!$H$5:$H$1004,$T1251)="","",INDEX('AFA Rates'!$H$5:$H$1004,$T1251))))</f>
        <v/>
      </c>
      <c r="K1251" s="50">
        <f>IF($T1251="","",IF($S1251="S",IF(INDEX(Firms!$J$5:$J$1004,$T1251)="","",INDEX(Firms!$J$5:$J$1004,$T1251)),IF(INDEX('AFA Rates'!$I$5:$I$1004,$T1251)="","",INDEX('AFA Rates'!$I$5:$I$1004,$T1251))))</f>
        <v/>
      </c>
      <c r="L1251" s="50">
        <f>IF($T1251="","",IF($S1251="S",IF(INDEX(Firms!$K$5:$K$1004,$T1251)="","",INDEX(Firms!$K$5:$K$1004,$T1251)),IF(INDEX('AFA Rates'!$J$5:$J$1004,$T1251)="","",INDEX('AFA Rates'!$J$5:$J$1004,$T1251))))</f>
        <v/>
      </c>
      <c r="M1251" s="50">
        <f>IF($T1251="","",IF($S1251="S",IF(INDEX(Firms!$L$5:$L$1004,$T1251)="","",INDEX(Firms!$L$5:$L$1004,$T1251)),IF(INDEX('AFA Rates'!$K$5:$K$1004,$T1251)="","",INDEX('AFA Rates'!$K$5:$K$1004,$T1251))))</f>
        <v/>
      </c>
      <c r="N1251" s="50">
        <f>IF($T1251="","",IF($S1251="S",IF(INDEX(Firms!$M$5:$M$1004,$T1251)="","",INDEX(Firms!$M$5:$M$1004,$T1251)),IF(INDEX('AFA Rates'!$L$5:$L$1004,$T1251)="","",INDEX('AFA Rates'!$L$5:$L$1004,$T1251))))</f>
        <v/>
      </c>
      <c r="O1251" s="78">
        <f>IF(OR($T1251="",$U1251=""),"",IF(INDEX(Firms!$C$5:$C$1004,$U1251)="","",INDEX(Firms!$C$5:$C$1004,$U1251)))</f>
        <v/>
      </c>
      <c r="P1251" s="79">
        <f>IF(OR($T1251="",$U1251=""),"",IF(INDEX(Firms!$N$5:$N$1004,$U1251)="","",INDEX(Firms!$N$5:$N$1004,$U1251)))</f>
        <v/>
      </c>
      <c r="Q1251" s="78">
        <f>IF($T1251="","",IF($S1251="S",IF(INDEX(Firms!$T$5:$T$1004,$T1251)="","",INDEX(Firms!$T$5:$T$1004,$T1251)),IF(INDEX('AFA Rates'!$M$5:$M$1004,$T1251)="","",INDEX('AFA Rates'!$M$5:$M$1004,$T1251))))</f>
        <v/>
      </c>
      <c r="S1251">
        <f>IF(1247&lt;=$S$2,"S",IF(1247&lt;=$S$2+$T$2,"A",""))</f>
        <v/>
      </c>
      <c r="T1251">
        <f>IF(S1251="S",MATCH(1247,Firms!$W$5:$W$1004,0),IF(S1251="A",IFERROR(MATCH(1247-$S$2,'AFA Rates'!$R$5:$R$1004,0),""),""))</f>
        <v/>
      </c>
      <c r="U1251">
        <f>IF(S1251="S",T1251,IF(AND(S1251="A",T1251&lt;&gt;""),IFERROR(MATCH(INDEX('AFA Rates'!$A$5:$A$1004,T1251),Firms!$A$5:$A$1004,0),""),""))</f>
        <v/>
      </c>
    </row>
    <row r="1252">
      <c r="A1252" s="78">
        <f>IF($T1252="","",IF($S1252="S",IF(INDEX(Firms!$A$5:$A$1004,$T1252)="","",INDEX(Firms!$A$5:$A$1004,$T1252)),IF(INDEX('AFA Rates'!$A$5:$A$1004,$T1252)="","",INDEX('AFA Rates'!$A$5:$A$1004,$T1252))))</f>
        <v/>
      </c>
      <c r="B1252" s="79">
        <f>IF(OR($T1252="",$U1252=""),IF($T1252="","","Not on Firms tab"),INDEX(Firms!$B$5:$B$1004,$U1252)&amp;"")</f>
        <v/>
      </c>
      <c r="C1252" s="78">
        <f>IF($T1252="","",IF($S1252="S","Standard",INDEX('AFA Rates'!$B$5:$B$1004,$T1252)&amp;""))</f>
        <v/>
      </c>
      <c r="D1252" s="88">
        <f>IF($T1252="","",IF($S1252="S",IF(INDEX(Firms!$E$5:$E$1004,$T1252)="","",INDEX(Firms!$E$5:$E$1004,$T1252)),IF(INDEX('AFA Rates'!$C$5:$C$1004,$T1252)="","",INDEX('AFA Rates'!$C$5:$C$1004,$T1252))))</f>
        <v/>
      </c>
      <c r="E1252" s="88">
        <f>IF($T1252="","",IF($S1252="S",IF(""="","",""),IF(INDEX('AFA Rates'!$D$5:$D$1004,$T1252)="","",INDEX('AFA Rates'!$D$5:$D$1004,$T1252))))</f>
        <v/>
      </c>
      <c r="F1252" s="79">
        <f>IF($T1252="","",IF($S1252="S",IF(INDEX(Firms!$O$5:$O$1004,$T1252)="","",INDEX(Firms!$O$5:$O$1004,$T1252)),IF(INDEX('AFA Rates'!$O$5:$O$1004,$T1252)="","",INDEX('AFA Rates'!$O$5:$O$1004,$T1252))))</f>
        <v/>
      </c>
      <c r="G1252" s="50">
        <f>IF($T1252="","",IF($S1252="S",IF(INDEX(Firms!$F$5:$F$1004,$T1252)="","",INDEX(Firms!$F$5:$F$1004,$T1252)),IF(INDEX('AFA Rates'!$E$5:$E$1004,$T1252)="","",INDEX('AFA Rates'!$E$5:$E$1004,$T1252))))</f>
        <v/>
      </c>
      <c r="H1252" s="50">
        <f>IF($T1252="","",IF($S1252="S",IF(INDEX(Firms!$G$5:$G$1004,$T1252)="","",INDEX(Firms!$G$5:$G$1004,$T1252)),IF(INDEX('AFA Rates'!$F$5:$F$1004,$T1252)="","",INDEX('AFA Rates'!$F$5:$F$1004,$T1252))))</f>
        <v/>
      </c>
      <c r="I1252" s="50">
        <f>IF($T1252="","",IF($S1252="S",IF(INDEX(Firms!$H$5:$H$1004,$T1252)="","",INDEX(Firms!$H$5:$H$1004,$T1252)),IF(INDEX('AFA Rates'!$G$5:$G$1004,$T1252)="","",INDEX('AFA Rates'!$G$5:$G$1004,$T1252))))</f>
        <v/>
      </c>
      <c r="J1252" s="50">
        <f>IF($T1252="","",IF($S1252="S",IF(INDEX(Firms!$I$5:$I$1004,$T1252)="","",INDEX(Firms!$I$5:$I$1004,$T1252)),IF(INDEX('AFA Rates'!$H$5:$H$1004,$T1252)="","",INDEX('AFA Rates'!$H$5:$H$1004,$T1252))))</f>
        <v/>
      </c>
      <c r="K1252" s="50">
        <f>IF($T1252="","",IF($S1252="S",IF(INDEX(Firms!$J$5:$J$1004,$T1252)="","",INDEX(Firms!$J$5:$J$1004,$T1252)),IF(INDEX('AFA Rates'!$I$5:$I$1004,$T1252)="","",INDEX('AFA Rates'!$I$5:$I$1004,$T1252))))</f>
        <v/>
      </c>
      <c r="L1252" s="50">
        <f>IF($T1252="","",IF($S1252="S",IF(INDEX(Firms!$K$5:$K$1004,$T1252)="","",INDEX(Firms!$K$5:$K$1004,$T1252)),IF(INDEX('AFA Rates'!$J$5:$J$1004,$T1252)="","",INDEX('AFA Rates'!$J$5:$J$1004,$T1252))))</f>
        <v/>
      </c>
      <c r="M1252" s="50">
        <f>IF($T1252="","",IF($S1252="S",IF(INDEX(Firms!$L$5:$L$1004,$T1252)="","",INDEX(Firms!$L$5:$L$1004,$T1252)),IF(INDEX('AFA Rates'!$K$5:$K$1004,$T1252)="","",INDEX('AFA Rates'!$K$5:$K$1004,$T1252))))</f>
        <v/>
      </c>
      <c r="N1252" s="50">
        <f>IF($T1252="","",IF($S1252="S",IF(INDEX(Firms!$M$5:$M$1004,$T1252)="","",INDEX(Firms!$M$5:$M$1004,$T1252)),IF(INDEX('AFA Rates'!$L$5:$L$1004,$T1252)="","",INDEX('AFA Rates'!$L$5:$L$1004,$T1252))))</f>
        <v/>
      </c>
      <c r="O1252" s="78">
        <f>IF(OR($T1252="",$U1252=""),"",IF(INDEX(Firms!$C$5:$C$1004,$U1252)="","",INDEX(Firms!$C$5:$C$1004,$U1252)))</f>
        <v/>
      </c>
      <c r="P1252" s="79">
        <f>IF(OR($T1252="",$U1252=""),"",IF(INDEX(Firms!$N$5:$N$1004,$U1252)="","",INDEX(Firms!$N$5:$N$1004,$U1252)))</f>
        <v/>
      </c>
      <c r="Q1252" s="78">
        <f>IF($T1252="","",IF($S1252="S",IF(INDEX(Firms!$T$5:$T$1004,$T1252)="","",INDEX(Firms!$T$5:$T$1004,$T1252)),IF(INDEX('AFA Rates'!$M$5:$M$1004,$T1252)="","",INDEX('AFA Rates'!$M$5:$M$1004,$T1252))))</f>
        <v/>
      </c>
      <c r="S1252">
        <f>IF(1248&lt;=$S$2,"S",IF(1248&lt;=$S$2+$T$2,"A",""))</f>
        <v/>
      </c>
      <c r="T1252">
        <f>IF(S1252="S",MATCH(1248,Firms!$W$5:$W$1004,0),IF(S1252="A",IFERROR(MATCH(1248-$S$2,'AFA Rates'!$R$5:$R$1004,0),""),""))</f>
        <v/>
      </c>
      <c r="U1252">
        <f>IF(S1252="S",T1252,IF(AND(S1252="A",T1252&lt;&gt;""),IFERROR(MATCH(INDEX('AFA Rates'!$A$5:$A$1004,T1252),Firms!$A$5:$A$1004,0),""),""))</f>
        <v/>
      </c>
    </row>
    <row r="1253">
      <c r="A1253" s="78">
        <f>IF($T1253="","",IF($S1253="S",IF(INDEX(Firms!$A$5:$A$1004,$T1253)="","",INDEX(Firms!$A$5:$A$1004,$T1253)),IF(INDEX('AFA Rates'!$A$5:$A$1004,$T1253)="","",INDEX('AFA Rates'!$A$5:$A$1004,$T1253))))</f>
        <v/>
      </c>
      <c r="B1253" s="79">
        <f>IF(OR($T1253="",$U1253=""),IF($T1253="","","Not on Firms tab"),INDEX(Firms!$B$5:$B$1004,$U1253)&amp;"")</f>
        <v/>
      </c>
      <c r="C1253" s="78">
        <f>IF($T1253="","",IF($S1253="S","Standard",INDEX('AFA Rates'!$B$5:$B$1004,$T1253)&amp;""))</f>
        <v/>
      </c>
      <c r="D1253" s="88">
        <f>IF($T1253="","",IF($S1253="S",IF(INDEX(Firms!$E$5:$E$1004,$T1253)="","",INDEX(Firms!$E$5:$E$1004,$T1253)),IF(INDEX('AFA Rates'!$C$5:$C$1004,$T1253)="","",INDEX('AFA Rates'!$C$5:$C$1004,$T1253))))</f>
        <v/>
      </c>
      <c r="E1253" s="88">
        <f>IF($T1253="","",IF($S1253="S",IF(""="","",""),IF(INDEX('AFA Rates'!$D$5:$D$1004,$T1253)="","",INDEX('AFA Rates'!$D$5:$D$1004,$T1253))))</f>
        <v/>
      </c>
      <c r="F1253" s="79">
        <f>IF($T1253="","",IF($S1253="S",IF(INDEX(Firms!$O$5:$O$1004,$T1253)="","",INDEX(Firms!$O$5:$O$1004,$T1253)),IF(INDEX('AFA Rates'!$O$5:$O$1004,$T1253)="","",INDEX('AFA Rates'!$O$5:$O$1004,$T1253))))</f>
        <v/>
      </c>
      <c r="G1253" s="50">
        <f>IF($T1253="","",IF($S1253="S",IF(INDEX(Firms!$F$5:$F$1004,$T1253)="","",INDEX(Firms!$F$5:$F$1004,$T1253)),IF(INDEX('AFA Rates'!$E$5:$E$1004,$T1253)="","",INDEX('AFA Rates'!$E$5:$E$1004,$T1253))))</f>
        <v/>
      </c>
      <c r="H1253" s="50">
        <f>IF($T1253="","",IF($S1253="S",IF(INDEX(Firms!$G$5:$G$1004,$T1253)="","",INDEX(Firms!$G$5:$G$1004,$T1253)),IF(INDEX('AFA Rates'!$F$5:$F$1004,$T1253)="","",INDEX('AFA Rates'!$F$5:$F$1004,$T1253))))</f>
        <v/>
      </c>
      <c r="I1253" s="50">
        <f>IF($T1253="","",IF($S1253="S",IF(INDEX(Firms!$H$5:$H$1004,$T1253)="","",INDEX(Firms!$H$5:$H$1004,$T1253)),IF(INDEX('AFA Rates'!$G$5:$G$1004,$T1253)="","",INDEX('AFA Rates'!$G$5:$G$1004,$T1253))))</f>
        <v/>
      </c>
      <c r="J1253" s="50">
        <f>IF($T1253="","",IF($S1253="S",IF(INDEX(Firms!$I$5:$I$1004,$T1253)="","",INDEX(Firms!$I$5:$I$1004,$T1253)),IF(INDEX('AFA Rates'!$H$5:$H$1004,$T1253)="","",INDEX('AFA Rates'!$H$5:$H$1004,$T1253))))</f>
        <v/>
      </c>
      <c r="K1253" s="50">
        <f>IF($T1253="","",IF($S1253="S",IF(INDEX(Firms!$J$5:$J$1004,$T1253)="","",INDEX(Firms!$J$5:$J$1004,$T1253)),IF(INDEX('AFA Rates'!$I$5:$I$1004,$T1253)="","",INDEX('AFA Rates'!$I$5:$I$1004,$T1253))))</f>
        <v/>
      </c>
      <c r="L1253" s="50">
        <f>IF($T1253="","",IF($S1253="S",IF(INDEX(Firms!$K$5:$K$1004,$T1253)="","",INDEX(Firms!$K$5:$K$1004,$T1253)),IF(INDEX('AFA Rates'!$J$5:$J$1004,$T1253)="","",INDEX('AFA Rates'!$J$5:$J$1004,$T1253))))</f>
        <v/>
      </c>
      <c r="M1253" s="50">
        <f>IF($T1253="","",IF($S1253="S",IF(INDEX(Firms!$L$5:$L$1004,$T1253)="","",INDEX(Firms!$L$5:$L$1004,$T1253)),IF(INDEX('AFA Rates'!$K$5:$K$1004,$T1253)="","",INDEX('AFA Rates'!$K$5:$K$1004,$T1253))))</f>
        <v/>
      </c>
      <c r="N1253" s="50">
        <f>IF($T1253="","",IF($S1253="S",IF(INDEX(Firms!$M$5:$M$1004,$T1253)="","",INDEX(Firms!$M$5:$M$1004,$T1253)),IF(INDEX('AFA Rates'!$L$5:$L$1004,$T1253)="","",INDEX('AFA Rates'!$L$5:$L$1004,$T1253))))</f>
        <v/>
      </c>
      <c r="O1253" s="78">
        <f>IF(OR($T1253="",$U1253=""),"",IF(INDEX(Firms!$C$5:$C$1004,$U1253)="","",INDEX(Firms!$C$5:$C$1004,$U1253)))</f>
        <v/>
      </c>
      <c r="P1253" s="79">
        <f>IF(OR($T1253="",$U1253=""),"",IF(INDEX(Firms!$N$5:$N$1004,$U1253)="","",INDEX(Firms!$N$5:$N$1004,$U1253)))</f>
        <v/>
      </c>
      <c r="Q1253" s="78">
        <f>IF($T1253="","",IF($S1253="S",IF(INDEX(Firms!$T$5:$T$1004,$T1253)="","",INDEX(Firms!$T$5:$T$1004,$T1253)),IF(INDEX('AFA Rates'!$M$5:$M$1004,$T1253)="","",INDEX('AFA Rates'!$M$5:$M$1004,$T1253))))</f>
        <v/>
      </c>
      <c r="S1253">
        <f>IF(1249&lt;=$S$2,"S",IF(1249&lt;=$S$2+$T$2,"A",""))</f>
        <v/>
      </c>
      <c r="T1253">
        <f>IF(S1253="S",MATCH(1249,Firms!$W$5:$W$1004,0),IF(S1253="A",IFERROR(MATCH(1249-$S$2,'AFA Rates'!$R$5:$R$1004,0),""),""))</f>
        <v/>
      </c>
      <c r="U1253">
        <f>IF(S1253="S",T1253,IF(AND(S1253="A",T1253&lt;&gt;""),IFERROR(MATCH(INDEX('AFA Rates'!$A$5:$A$1004,T1253),Firms!$A$5:$A$1004,0),""),""))</f>
        <v/>
      </c>
    </row>
    <row r="1254">
      <c r="A1254" s="78">
        <f>IF($T1254="","",IF($S1254="S",IF(INDEX(Firms!$A$5:$A$1004,$T1254)="","",INDEX(Firms!$A$5:$A$1004,$T1254)),IF(INDEX('AFA Rates'!$A$5:$A$1004,$T1254)="","",INDEX('AFA Rates'!$A$5:$A$1004,$T1254))))</f>
        <v/>
      </c>
      <c r="B1254" s="79">
        <f>IF(OR($T1254="",$U1254=""),IF($T1254="","","Not on Firms tab"),INDEX(Firms!$B$5:$B$1004,$U1254)&amp;"")</f>
        <v/>
      </c>
      <c r="C1254" s="78">
        <f>IF($T1254="","",IF($S1254="S","Standard",INDEX('AFA Rates'!$B$5:$B$1004,$T1254)&amp;""))</f>
        <v/>
      </c>
      <c r="D1254" s="88">
        <f>IF($T1254="","",IF($S1254="S",IF(INDEX(Firms!$E$5:$E$1004,$T1254)="","",INDEX(Firms!$E$5:$E$1004,$T1254)),IF(INDEX('AFA Rates'!$C$5:$C$1004,$T1254)="","",INDEX('AFA Rates'!$C$5:$C$1004,$T1254))))</f>
        <v/>
      </c>
      <c r="E1254" s="88">
        <f>IF($T1254="","",IF($S1254="S",IF(""="","",""),IF(INDEX('AFA Rates'!$D$5:$D$1004,$T1254)="","",INDEX('AFA Rates'!$D$5:$D$1004,$T1254))))</f>
        <v/>
      </c>
      <c r="F1254" s="79">
        <f>IF($T1254="","",IF($S1254="S",IF(INDEX(Firms!$O$5:$O$1004,$T1254)="","",INDEX(Firms!$O$5:$O$1004,$T1254)),IF(INDEX('AFA Rates'!$O$5:$O$1004,$T1254)="","",INDEX('AFA Rates'!$O$5:$O$1004,$T1254))))</f>
        <v/>
      </c>
      <c r="G1254" s="50">
        <f>IF($T1254="","",IF($S1254="S",IF(INDEX(Firms!$F$5:$F$1004,$T1254)="","",INDEX(Firms!$F$5:$F$1004,$T1254)),IF(INDEX('AFA Rates'!$E$5:$E$1004,$T1254)="","",INDEX('AFA Rates'!$E$5:$E$1004,$T1254))))</f>
        <v/>
      </c>
      <c r="H1254" s="50">
        <f>IF($T1254="","",IF($S1254="S",IF(INDEX(Firms!$G$5:$G$1004,$T1254)="","",INDEX(Firms!$G$5:$G$1004,$T1254)),IF(INDEX('AFA Rates'!$F$5:$F$1004,$T1254)="","",INDEX('AFA Rates'!$F$5:$F$1004,$T1254))))</f>
        <v/>
      </c>
      <c r="I1254" s="50">
        <f>IF($T1254="","",IF($S1254="S",IF(INDEX(Firms!$H$5:$H$1004,$T1254)="","",INDEX(Firms!$H$5:$H$1004,$T1254)),IF(INDEX('AFA Rates'!$G$5:$G$1004,$T1254)="","",INDEX('AFA Rates'!$G$5:$G$1004,$T1254))))</f>
        <v/>
      </c>
      <c r="J1254" s="50">
        <f>IF($T1254="","",IF($S1254="S",IF(INDEX(Firms!$I$5:$I$1004,$T1254)="","",INDEX(Firms!$I$5:$I$1004,$T1254)),IF(INDEX('AFA Rates'!$H$5:$H$1004,$T1254)="","",INDEX('AFA Rates'!$H$5:$H$1004,$T1254))))</f>
        <v/>
      </c>
      <c r="K1254" s="50">
        <f>IF($T1254="","",IF($S1254="S",IF(INDEX(Firms!$J$5:$J$1004,$T1254)="","",INDEX(Firms!$J$5:$J$1004,$T1254)),IF(INDEX('AFA Rates'!$I$5:$I$1004,$T1254)="","",INDEX('AFA Rates'!$I$5:$I$1004,$T1254))))</f>
        <v/>
      </c>
      <c r="L1254" s="50">
        <f>IF($T1254="","",IF($S1254="S",IF(INDEX(Firms!$K$5:$K$1004,$T1254)="","",INDEX(Firms!$K$5:$K$1004,$T1254)),IF(INDEX('AFA Rates'!$J$5:$J$1004,$T1254)="","",INDEX('AFA Rates'!$J$5:$J$1004,$T1254))))</f>
        <v/>
      </c>
      <c r="M1254" s="50">
        <f>IF($T1254="","",IF($S1254="S",IF(INDEX(Firms!$L$5:$L$1004,$T1254)="","",INDEX(Firms!$L$5:$L$1004,$T1254)),IF(INDEX('AFA Rates'!$K$5:$K$1004,$T1254)="","",INDEX('AFA Rates'!$K$5:$K$1004,$T1254))))</f>
        <v/>
      </c>
      <c r="N1254" s="50">
        <f>IF($T1254="","",IF($S1254="S",IF(INDEX(Firms!$M$5:$M$1004,$T1254)="","",INDEX(Firms!$M$5:$M$1004,$T1254)),IF(INDEX('AFA Rates'!$L$5:$L$1004,$T1254)="","",INDEX('AFA Rates'!$L$5:$L$1004,$T1254))))</f>
        <v/>
      </c>
      <c r="O1254" s="78">
        <f>IF(OR($T1254="",$U1254=""),"",IF(INDEX(Firms!$C$5:$C$1004,$U1254)="","",INDEX(Firms!$C$5:$C$1004,$U1254)))</f>
        <v/>
      </c>
      <c r="P1254" s="79">
        <f>IF(OR($T1254="",$U1254=""),"",IF(INDEX(Firms!$N$5:$N$1004,$U1254)="","",INDEX(Firms!$N$5:$N$1004,$U1254)))</f>
        <v/>
      </c>
      <c r="Q1254" s="78">
        <f>IF($T1254="","",IF($S1254="S",IF(INDEX(Firms!$T$5:$T$1004,$T1254)="","",INDEX(Firms!$T$5:$T$1004,$T1254)),IF(INDEX('AFA Rates'!$M$5:$M$1004,$T1254)="","",INDEX('AFA Rates'!$M$5:$M$1004,$T1254))))</f>
        <v/>
      </c>
      <c r="S1254">
        <f>IF(1250&lt;=$S$2,"S",IF(1250&lt;=$S$2+$T$2,"A",""))</f>
        <v/>
      </c>
      <c r="T1254">
        <f>IF(S1254="S",MATCH(1250,Firms!$W$5:$W$1004,0),IF(S1254="A",IFERROR(MATCH(1250-$S$2,'AFA Rates'!$R$5:$R$1004,0),""),""))</f>
        <v/>
      </c>
      <c r="U1254">
        <f>IF(S1254="S",T1254,IF(AND(S1254="A",T1254&lt;&gt;""),IFERROR(MATCH(INDEX('AFA Rates'!$A$5:$A$1004,T1254),Firms!$A$5:$A$1004,0),""),""))</f>
        <v/>
      </c>
    </row>
    <row r="1255">
      <c r="A1255" s="78">
        <f>IF($T1255="","",IF($S1255="S",IF(INDEX(Firms!$A$5:$A$1004,$T1255)="","",INDEX(Firms!$A$5:$A$1004,$T1255)),IF(INDEX('AFA Rates'!$A$5:$A$1004,$T1255)="","",INDEX('AFA Rates'!$A$5:$A$1004,$T1255))))</f>
        <v/>
      </c>
      <c r="B1255" s="79">
        <f>IF(OR($T1255="",$U1255=""),IF($T1255="","","Not on Firms tab"),INDEX(Firms!$B$5:$B$1004,$U1255)&amp;"")</f>
        <v/>
      </c>
      <c r="C1255" s="78">
        <f>IF($T1255="","",IF($S1255="S","Standard",INDEX('AFA Rates'!$B$5:$B$1004,$T1255)&amp;""))</f>
        <v/>
      </c>
      <c r="D1255" s="88">
        <f>IF($T1255="","",IF($S1255="S",IF(INDEX(Firms!$E$5:$E$1004,$T1255)="","",INDEX(Firms!$E$5:$E$1004,$T1255)),IF(INDEX('AFA Rates'!$C$5:$C$1004,$T1255)="","",INDEX('AFA Rates'!$C$5:$C$1004,$T1255))))</f>
        <v/>
      </c>
      <c r="E1255" s="88">
        <f>IF($T1255="","",IF($S1255="S",IF(""="","",""),IF(INDEX('AFA Rates'!$D$5:$D$1004,$T1255)="","",INDEX('AFA Rates'!$D$5:$D$1004,$T1255))))</f>
        <v/>
      </c>
      <c r="F1255" s="79">
        <f>IF($T1255="","",IF($S1255="S",IF(INDEX(Firms!$O$5:$O$1004,$T1255)="","",INDEX(Firms!$O$5:$O$1004,$T1255)),IF(INDEX('AFA Rates'!$O$5:$O$1004,$T1255)="","",INDEX('AFA Rates'!$O$5:$O$1004,$T1255))))</f>
        <v/>
      </c>
      <c r="G1255" s="50">
        <f>IF($T1255="","",IF($S1255="S",IF(INDEX(Firms!$F$5:$F$1004,$T1255)="","",INDEX(Firms!$F$5:$F$1004,$T1255)),IF(INDEX('AFA Rates'!$E$5:$E$1004,$T1255)="","",INDEX('AFA Rates'!$E$5:$E$1004,$T1255))))</f>
        <v/>
      </c>
      <c r="H1255" s="50">
        <f>IF($T1255="","",IF($S1255="S",IF(INDEX(Firms!$G$5:$G$1004,$T1255)="","",INDEX(Firms!$G$5:$G$1004,$T1255)),IF(INDEX('AFA Rates'!$F$5:$F$1004,$T1255)="","",INDEX('AFA Rates'!$F$5:$F$1004,$T1255))))</f>
        <v/>
      </c>
      <c r="I1255" s="50">
        <f>IF($T1255="","",IF($S1255="S",IF(INDEX(Firms!$H$5:$H$1004,$T1255)="","",INDEX(Firms!$H$5:$H$1004,$T1255)),IF(INDEX('AFA Rates'!$G$5:$G$1004,$T1255)="","",INDEX('AFA Rates'!$G$5:$G$1004,$T1255))))</f>
        <v/>
      </c>
      <c r="J1255" s="50">
        <f>IF($T1255="","",IF($S1255="S",IF(INDEX(Firms!$I$5:$I$1004,$T1255)="","",INDEX(Firms!$I$5:$I$1004,$T1255)),IF(INDEX('AFA Rates'!$H$5:$H$1004,$T1255)="","",INDEX('AFA Rates'!$H$5:$H$1004,$T1255))))</f>
        <v/>
      </c>
      <c r="K1255" s="50">
        <f>IF($T1255="","",IF($S1255="S",IF(INDEX(Firms!$J$5:$J$1004,$T1255)="","",INDEX(Firms!$J$5:$J$1004,$T1255)),IF(INDEX('AFA Rates'!$I$5:$I$1004,$T1255)="","",INDEX('AFA Rates'!$I$5:$I$1004,$T1255))))</f>
        <v/>
      </c>
      <c r="L1255" s="50">
        <f>IF($T1255="","",IF($S1255="S",IF(INDEX(Firms!$K$5:$K$1004,$T1255)="","",INDEX(Firms!$K$5:$K$1004,$T1255)),IF(INDEX('AFA Rates'!$J$5:$J$1004,$T1255)="","",INDEX('AFA Rates'!$J$5:$J$1004,$T1255))))</f>
        <v/>
      </c>
      <c r="M1255" s="50">
        <f>IF($T1255="","",IF($S1255="S",IF(INDEX(Firms!$L$5:$L$1004,$T1255)="","",INDEX(Firms!$L$5:$L$1004,$T1255)),IF(INDEX('AFA Rates'!$K$5:$K$1004,$T1255)="","",INDEX('AFA Rates'!$K$5:$K$1004,$T1255))))</f>
        <v/>
      </c>
      <c r="N1255" s="50">
        <f>IF($T1255="","",IF($S1255="S",IF(INDEX(Firms!$M$5:$M$1004,$T1255)="","",INDEX(Firms!$M$5:$M$1004,$T1255)),IF(INDEX('AFA Rates'!$L$5:$L$1004,$T1255)="","",INDEX('AFA Rates'!$L$5:$L$1004,$T1255))))</f>
        <v/>
      </c>
      <c r="O1255" s="78">
        <f>IF(OR($T1255="",$U1255=""),"",IF(INDEX(Firms!$C$5:$C$1004,$U1255)="","",INDEX(Firms!$C$5:$C$1004,$U1255)))</f>
        <v/>
      </c>
      <c r="P1255" s="79">
        <f>IF(OR($T1255="",$U1255=""),"",IF(INDEX(Firms!$N$5:$N$1004,$U1255)="","",INDEX(Firms!$N$5:$N$1004,$U1255)))</f>
        <v/>
      </c>
      <c r="Q1255" s="78">
        <f>IF($T1255="","",IF($S1255="S",IF(INDEX(Firms!$T$5:$T$1004,$T1255)="","",INDEX(Firms!$T$5:$T$1004,$T1255)),IF(INDEX('AFA Rates'!$M$5:$M$1004,$T1255)="","",INDEX('AFA Rates'!$M$5:$M$1004,$T1255))))</f>
        <v/>
      </c>
      <c r="S1255">
        <f>IF(1251&lt;=$S$2,"S",IF(1251&lt;=$S$2+$T$2,"A",""))</f>
        <v/>
      </c>
      <c r="T1255">
        <f>IF(S1255="S",MATCH(1251,Firms!$W$5:$W$1004,0),IF(S1255="A",IFERROR(MATCH(1251-$S$2,'AFA Rates'!$R$5:$R$1004,0),""),""))</f>
        <v/>
      </c>
      <c r="U1255">
        <f>IF(S1255="S",T1255,IF(AND(S1255="A",T1255&lt;&gt;""),IFERROR(MATCH(INDEX('AFA Rates'!$A$5:$A$1004,T1255),Firms!$A$5:$A$1004,0),""),""))</f>
        <v/>
      </c>
    </row>
    <row r="1256">
      <c r="A1256" s="78">
        <f>IF($T1256="","",IF($S1256="S",IF(INDEX(Firms!$A$5:$A$1004,$T1256)="","",INDEX(Firms!$A$5:$A$1004,$T1256)),IF(INDEX('AFA Rates'!$A$5:$A$1004,$T1256)="","",INDEX('AFA Rates'!$A$5:$A$1004,$T1256))))</f>
        <v/>
      </c>
      <c r="B1256" s="79">
        <f>IF(OR($T1256="",$U1256=""),IF($T1256="","","Not on Firms tab"),INDEX(Firms!$B$5:$B$1004,$U1256)&amp;"")</f>
        <v/>
      </c>
      <c r="C1256" s="78">
        <f>IF($T1256="","",IF($S1256="S","Standard",INDEX('AFA Rates'!$B$5:$B$1004,$T1256)&amp;""))</f>
        <v/>
      </c>
      <c r="D1256" s="88">
        <f>IF($T1256="","",IF($S1256="S",IF(INDEX(Firms!$E$5:$E$1004,$T1256)="","",INDEX(Firms!$E$5:$E$1004,$T1256)),IF(INDEX('AFA Rates'!$C$5:$C$1004,$T1256)="","",INDEX('AFA Rates'!$C$5:$C$1004,$T1256))))</f>
        <v/>
      </c>
      <c r="E1256" s="88">
        <f>IF($T1256="","",IF($S1256="S",IF(""="","",""),IF(INDEX('AFA Rates'!$D$5:$D$1004,$T1256)="","",INDEX('AFA Rates'!$D$5:$D$1004,$T1256))))</f>
        <v/>
      </c>
      <c r="F1256" s="79">
        <f>IF($T1256="","",IF($S1256="S",IF(INDEX(Firms!$O$5:$O$1004,$T1256)="","",INDEX(Firms!$O$5:$O$1004,$T1256)),IF(INDEX('AFA Rates'!$O$5:$O$1004,$T1256)="","",INDEX('AFA Rates'!$O$5:$O$1004,$T1256))))</f>
        <v/>
      </c>
      <c r="G1256" s="50">
        <f>IF($T1256="","",IF($S1256="S",IF(INDEX(Firms!$F$5:$F$1004,$T1256)="","",INDEX(Firms!$F$5:$F$1004,$T1256)),IF(INDEX('AFA Rates'!$E$5:$E$1004,$T1256)="","",INDEX('AFA Rates'!$E$5:$E$1004,$T1256))))</f>
        <v/>
      </c>
      <c r="H1256" s="50">
        <f>IF($T1256="","",IF($S1256="S",IF(INDEX(Firms!$G$5:$G$1004,$T1256)="","",INDEX(Firms!$G$5:$G$1004,$T1256)),IF(INDEX('AFA Rates'!$F$5:$F$1004,$T1256)="","",INDEX('AFA Rates'!$F$5:$F$1004,$T1256))))</f>
        <v/>
      </c>
      <c r="I1256" s="50">
        <f>IF($T1256="","",IF($S1256="S",IF(INDEX(Firms!$H$5:$H$1004,$T1256)="","",INDEX(Firms!$H$5:$H$1004,$T1256)),IF(INDEX('AFA Rates'!$G$5:$G$1004,$T1256)="","",INDEX('AFA Rates'!$G$5:$G$1004,$T1256))))</f>
        <v/>
      </c>
      <c r="J1256" s="50">
        <f>IF($T1256="","",IF($S1256="S",IF(INDEX(Firms!$I$5:$I$1004,$T1256)="","",INDEX(Firms!$I$5:$I$1004,$T1256)),IF(INDEX('AFA Rates'!$H$5:$H$1004,$T1256)="","",INDEX('AFA Rates'!$H$5:$H$1004,$T1256))))</f>
        <v/>
      </c>
      <c r="K1256" s="50">
        <f>IF($T1256="","",IF($S1256="S",IF(INDEX(Firms!$J$5:$J$1004,$T1256)="","",INDEX(Firms!$J$5:$J$1004,$T1256)),IF(INDEX('AFA Rates'!$I$5:$I$1004,$T1256)="","",INDEX('AFA Rates'!$I$5:$I$1004,$T1256))))</f>
        <v/>
      </c>
      <c r="L1256" s="50">
        <f>IF($T1256="","",IF($S1256="S",IF(INDEX(Firms!$K$5:$K$1004,$T1256)="","",INDEX(Firms!$K$5:$K$1004,$T1256)),IF(INDEX('AFA Rates'!$J$5:$J$1004,$T1256)="","",INDEX('AFA Rates'!$J$5:$J$1004,$T1256))))</f>
        <v/>
      </c>
      <c r="M1256" s="50">
        <f>IF($T1256="","",IF($S1256="S",IF(INDEX(Firms!$L$5:$L$1004,$T1256)="","",INDEX(Firms!$L$5:$L$1004,$T1256)),IF(INDEX('AFA Rates'!$K$5:$K$1004,$T1256)="","",INDEX('AFA Rates'!$K$5:$K$1004,$T1256))))</f>
        <v/>
      </c>
      <c r="N1256" s="50">
        <f>IF($T1256="","",IF($S1256="S",IF(INDEX(Firms!$M$5:$M$1004,$T1256)="","",INDEX(Firms!$M$5:$M$1004,$T1256)),IF(INDEX('AFA Rates'!$L$5:$L$1004,$T1256)="","",INDEX('AFA Rates'!$L$5:$L$1004,$T1256))))</f>
        <v/>
      </c>
      <c r="O1256" s="78">
        <f>IF(OR($T1256="",$U1256=""),"",IF(INDEX(Firms!$C$5:$C$1004,$U1256)="","",INDEX(Firms!$C$5:$C$1004,$U1256)))</f>
        <v/>
      </c>
      <c r="P1256" s="79">
        <f>IF(OR($T1256="",$U1256=""),"",IF(INDEX(Firms!$N$5:$N$1004,$U1256)="","",INDEX(Firms!$N$5:$N$1004,$U1256)))</f>
        <v/>
      </c>
      <c r="Q1256" s="78">
        <f>IF($T1256="","",IF($S1256="S",IF(INDEX(Firms!$T$5:$T$1004,$T1256)="","",INDEX(Firms!$T$5:$T$1004,$T1256)),IF(INDEX('AFA Rates'!$M$5:$M$1004,$T1256)="","",INDEX('AFA Rates'!$M$5:$M$1004,$T1256))))</f>
        <v/>
      </c>
      <c r="S1256">
        <f>IF(1252&lt;=$S$2,"S",IF(1252&lt;=$S$2+$T$2,"A",""))</f>
        <v/>
      </c>
      <c r="T1256">
        <f>IF(S1256="S",MATCH(1252,Firms!$W$5:$W$1004,0),IF(S1256="A",IFERROR(MATCH(1252-$S$2,'AFA Rates'!$R$5:$R$1004,0),""),""))</f>
        <v/>
      </c>
      <c r="U1256">
        <f>IF(S1256="S",T1256,IF(AND(S1256="A",T1256&lt;&gt;""),IFERROR(MATCH(INDEX('AFA Rates'!$A$5:$A$1004,T1256),Firms!$A$5:$A$1004,0),""),""))</f>
        <v/>
      </c>
    </row>
    <row r="1257">
      <c r="A1257" s="78">
        <f>IF($T1257="","",IF($S1257="S",IF(INDEX(Firms!$A$5:$A$1004,$T1257)="","",INDEX(Firms!$A$5:$A$1004,$T1257)),IF(INDEX('AFA Rates'!$A$5:$A$1004,$T1257)="","",INDEX('AFA Rates'!$A$5:$A$1004,$T1257))))</f>
        <v/>
      </c>
      <c r="B1257" s="79">
        <f>IF(OR($T1257="",$U1257=""),IF($T1257="","","Not on Firms tab"),INDEX(Firms!$B$5:$B$1004,$U1257)&amp;"")</f>
        <v/>
      </c>
      <c r="C1257" s="78">
        <f>IF($T1257="","",IF($S1257="S","Standard",INDEX('AFA Rates'!$B$5:$B$1004,$T1257)&amp;""))</f>
        <v/>
      </c>
      <c r="D1257" s="88">
        <f>IF($T1257="","",IF($S1257="S",IF(INDEX(Firms!$E$5:$E$1004,$T1257)="","",INDEX(Firms!$E$5:$E$1004,$T1257)),IF(INDEX('AFA Rates'!$C$5:$C$1004,$T1257)="","",INDEX('AFA Rates'!$C$5:$C$1004,$T1257))))</f>
        <v/>
      </c>
      <c r="E1257" s="88">
        <f>IF($T1257="","",IF($S1257="S",IF(""="","",""),IF(INDEX('AFA Rates'!$D$5:$D$1004,$T1257)="","",INDEX('AFA Rates'!$D$5:$D$1004,$T1257))))</f>
        <v/>
      </c>
      <c r="F1257" s="79">
        <f>IF($T1257="","",IF($S1257="S",IF(INDEX(Firms!$O$5:$O$1004,$T1257)="","",INDEX(Firms!$O$5:$O$1004,$T1257)),IF(INDEX('AFA Rates'!$O$5:$O$1004,$T1257)="","",INDEX('AFA Rates'!$O$5:$O$1004,$T1257))))</f>
        <v/>
      </c>
      <c r="G1257" s="50">
        <f>IF($T1257="","",IF($S1257="S",IF(INDEX(Firms!$F$5:$F$1004,$T1257)="","",INDEX(Firms!$F$5:$F$1004,$T1257)),IF(INDEX('AFA Rates'!$E$5:$E$1004,$T1257)="","",INDEX('AFA Rates'!$E$5:$E$1004,$T1257))))</f>
        <v/>
      </c>
      <c r="H1257" s="50">
        <f>IF($T1257="","",IF($S1257="S",IF(INDEX(Firms!$G$5:$G$1004,$T1257)="","",INDEX(Firms!$G$5:$G$1004,$T1257)),IF(INDEX('AFA Rates'!$F$5:$F$1004,$T1257)="","",INDEX('AFA Rates'!$F$5:$F$1004,$T1257))))</f>
        <v/>
      </c>
      <c r="I1257" s="50">
        <f>IF($T1257="","",IF($S1257="S",IF(INDEX(Firms!$H$5:$H$1004,$T1257)="","",INDEX(Firms!$H$5:$H$1004,$T1257)),IF(INDEX('AFA Rates'!$G$5:$G$1004,$T1257)="","",INDEX('AFA Rates'!$G$5:$G$1004,$T1257))))</f>
        <v/>
      </c>
      <c r="J1257" s="50">
        <f>IF($T1257="","",IF($S1257="S",IF(INDEX(Firms!$I$5:$I$1004,$T1257)="","",INDEX(Firms!$I$5:$I$1004,$T1257)),IF(INDEX('AFA Rates'!$H$5:$H$1004,$T1257)="","",INDEX('AFA Rates'!$H$5:$H$1004,$T1257))))</f>
        <v/>
      </c>
      <c r="K1257" s="50">
        <f>IF($T1257="","",IF($S1257="S",IF(INDEX(Firms!$J$5:$J$1004,$T1257)="","",INDEX(Firms!$J$5:$J$1004,$T1257)),IF(INDEX('AFA Rates'!$I$5:$I$1004,$T1257)="","",INDEX('AFA Rates'!$I$5:$I$1004,$T1257))))</f>
        <v/>
      </c>
      <c r="L1257" s="50">
        <f>IF($T1257="","",IF($S1257="S",IF(INDEX(Firms!$K$5:$K$1004,$T1257)="","",INDEX(Firms!$K$5:$K$1004,$T1257)),IF(INDEX('AFA Rates'!$J$5:$J$1004,$T1257)="","",INDEX('AFA Rates'!$J$5:$J$1004,$T1257))))</f>
        <v/>
      </c>
      <c r="M1257" s="50">
        <f>IF($T1257="","",IF($S1257="S",IF(INDEX(Firms!$L$5:$L$1004,$T1257)="","",INDEX(Firms!$L$5:$L$1004,$T1257)),IF(INDEX('AFA Rates'!$K$5:$K$1004,$T1257)="","",INDEX('AFA Rates'!$K$5:$K$1004,$T1257))))</f>
        <v/>
      </c>
      <c r="N1257" s="50">
        <f>IF($T1257="","",IF($S1257="S",IF(INDEX(Firms!$M$5:$M$1004,$T1257)="","",INDEX(Firms!$M$5:$M$1004,$T1257)),IF(INDEX('AFA Rates'!$L$5:$L$1004,$T1257)="","",INDEX('AFA Rates'!$L$5:$L$1004,$T1257))))</f>
        <v/>
      </c>
      <c r="O1257" s="78">
        <f>IF(OR($T1257="",$U1257=""),"",IF(INDEX(Firms!$C$5:$C$1004,$U1257)="","",INDEX(Firms!$C$5:$C$1004,$U1257)))</f>
        <v/>
      </c>
      <c r="P1257" s="79">
        <f>IF(OR($T1257="",$U1257=""),"",IF(INDEX(Firms!$N$5:$N$1004,$U1257)="","",INDEX(Firms!$N$5:$N$1004,$U1257)))</f>
        <v/>
      </c>
      <c r="Q1257" s="78">
        <f>IF($T1257="","",IF($S1257="S",IF(INDEX(Firms!$T$5:$T$1004,$T1257)="","",INDEX(Firms!$T$5:$T$1004,$T1257)),IF(INDEX('AFA Rates'!$M$5:$M$1004,$T1257)="","",INDEX('AFA Rates'!$M$5:$M$1004,$T1257))))</f>
        <v/>
      </c>
      <c r="S1257">
        <f>IF(1253&lt;=$S$2,"S",IF(1253&lt;=$S$2+$T$2,"A",""))</f>
        <v/>
      </c>
      <c r="T1257">
        <f>IF(S1257="S",MATCH(1253,Firms!$W$5:$W$1004,0),IF(S1257="A",IFERROR(MATCH(1253-$S$2,'AFA Rates'!$R$5:$R$1004,0),""),""))</f>
        <v/>
      </c>
      <c r="U1257">
        <f>IF(S1257="S",T1257,IF(AND(S1257="A",T1257&lt;&gt;""),IFERROR(MATCH(INDEX('AFA Rates'!$A$5:$A$1004,T1257),Firms!$A$5:$A$1004,0),""),""))</f>
        <v/>
      </c>
    </row>
    <row r="1258">
      <c r="A1258" s="78">
        <f>IF($T1258="","",IF($S1258="S",IF(INDEX(Firms!$A$5:$A$1004,$T1258)="","",INDEX(Firms!$A$5:$A$1004,$T1258)),IF(INDEX('AFA Rates'!$A$5:$A$1004,$T1258)="","",INDEX('AFA Rates'!$A$5:$A$1004,$T1258))))</f>
        <v/>
      </c>
      <c r="B1258" s="79">
        <f>IF(OR($T1258="",$U1258=""),IF($T1258="","","Not on Firms tab"),INDEX(Firms!$B$5:$B$1004,$U1258)&amp;"")</f>
        <v/>
      </c>
      <c r="C1258" s="78">
        <f>IF($T1258="","",IF($S1258="S","Standard",INDEX('AFA Rates'!$B$5:$B$1004,$T1258)&amp;""))</f>
        <v/>
      </c>
      <c r="D1258" s="88">
        <f>IF($T1258="","",IF($S1258="S",IF(INDEX(Firms!$E$5:$E$1004,$T1258)="","",INDEX(Firms!$E$5:$E$1004,$T1258)),IF(INDEX('AFA Rates'!$C$5:$C$1004,$T1258)="","",INDEX('AFA Rates'!$C$5:$C$1004,$T1258))))</f>
        <v/>
      </c>
      <c r="E1258" s="88">
        <f>IF($T1258="","",IF($S1258="S",IF(""="","",""),IF(INDEX('AFA Rates'!$D$5:$D$1004,$T1258)="","",INDEX('AFA Rates'!$D$5:$D$1004,$T1258))))</f>
        <v/>
      </c>
      <c r="F1258" s="79">
        <f>IF($T1258="","",IF($S1258="S",IF(INDEX(Firms!$O$5:$O$1004,$T1258)="","",INDEX(Firms!$O$5:$O$1004,$T1258)),IF(INDEX('AFA Rates'!$O$5:$O$1004,$T1258)="","",INDEX('AFA Rates'!$O$5:$O$1004,$T1258))))</f>
        <v/>
      </c>
      <c r="G1258" s="50">
        <f>IF($T1258="","",IF($S1258="S",IF(INDEX(Firms!$F$5:$F$1004,$T1258)="","",INDEX(Firms!$F$5:$F$1004,$T1258)),IF(INDEX('AFA Rates'!$E$5:$E$1004,$T1258)="","",INDEX('AFA Rates'!$E$5:$E$1004,$T1258))))</f>
        <v/>
      </c>
      <c r="H1258" s="50">
        <f>IF($T1258="","",IF($S1258="S",IF(INDEX(Firms!$G$5:$G$1004,$T1258)="","",INDEX(Firms!$G$5:$G$1004,$T1258)),IF(INDEX('AFA Rates'!$F$5:$F$1004,$T1258)="","",INDEX('AFA Rates'!$F$5:$F$1004,$T1258))))</f>
        <v/>
      </c>
      <c r="I1258" s="50">
        <f>IF($T1258="","",IF($S1258="S",IF(INDEX(Firms!$H$5:$H$1004,$T1258)="","",INDEX(Firms!$H$5:$H$1004,$T1258)),IF(INDEX('AFA Rates'!$G$5:$G$1004,$T1258)="","",INDEX('AFA Rates'!$G$5:$G$1004,$T1258))))</f>
        <v/>
      </c>
      <c r="J1258" s="50">
        <f>IF($T1258="","",IF($S1258="S",IF(INDEX(Firms!$I$5:$I$1004,$T1258)="","",INDEX(Firms!$I$5:$I$1004,$T1258)),IF(INDEX('AFA Rates'!$H$5:$H$1004,$T1258)="","",INDEX('AFA Rates'!$H$5:$H$1004,$T1258))))</f>
        <v/>
      </c>
      <c r="K1258" s="50">
        <f>IF($T1258="","",IF($S1258="S",IF(INDEX(Firms!$J$5:$J$1004,$T1258)="","",INDEX(Firms!$J$5:$J$1004,$T1258)),IF(INDEX('AFA Rates'!$I$5:$I$1004,$T1258)="","",INDEX('AFA Rates'!$I$5:$I$1004,$T1258))))</f>
        <v/>
      </c>
      <c r="L1258" s="50">
        <f>IF($T1258="","",IF($S1258="S",IF(INDEX(Firms!$K$5:$K$1004,$T1258)="","",INDEX(Firms!$K$5:$K$1004,$T1258)),IF(INDEX('AFA Rates'!$J$5:$J$1004,$T1258)="","",INDEX('AFA Rates'!$J$5:$J$1004,$T1258))))</f>
        <v/>
      </c>
      <c r="M1258" s="50">
        <f>IF($T1258="","",IF($S1258="S",IF(INDEX(Firms!$L$5:$L$1004,$T1258)="","",INDEX(Firms!$L$5:$L$1004,$T1258)),IF(INDEX('AFA Rates'!$K$5:$K$1004,$T1258)="","",INDEX('AFA Rates'!$K$5:$K$1004,$T1258))))</f>
        <v/>
      </c>
      <c r="N1258" s="50">
        <f>IF($T1258="","",IF($S1258="S",IF(INDEX(Firms!$M$5:$M$1004,$T1258)="","",INDEX(Firms!$M$5:$M$1004,$T1258)),IF(INDEX('AFA Rates'!$L$5:$L$1004,$T1258)="","",INDEX('AFA Rates'!$L$5:$L$1004,$T1258))))</f>
        <v/>
      </c>
      <c r="O1258" s="78">
        <f>IF(OR($T1258="",$U1258=""),"",IF(INDEX(Firms!$C$5:$C$1004,$U1258)="","",INDEX(Firms!$C$5:$C$1004,$U1258)))</f>
        <v/>
      </c>
      <c r="P1258" s="79">
        <f>IF(OR($T1258="",$U1258=""),"",IF(INDEX(Firms!$N$5:$N$1004,$U1258)="","",INDEX(Firms!$N$5:$N$1004,$U1258)))</f>
        <v/>
      </c>
      <c r="Q1258" s="78">
        <f>IF($T1258="","",IF($S1258="S",IF(INDEX(Firms!$T$5:$T$1004,$T1258)="","",INDEX(Firms!$T$5:$T$1004,$T1258)),IF(INDEX('AFA Rates'!$M$5:$M$1004,$T1258)="","",INDEX('AFA Rates'!$M$5:$M$1004,$T1258))))</f>
        <v/>
      </c>
      <c r="S1258">
        <f>IF(1254&lt;=$S$2,"S",IF(1254&lt;=$S$2+$T$2,"A",""))</f>
        <v/>
      </c>
      <c r="T1258">
        <f>IF(S1258="S",MATCH(1254,Firms!$W$5:$W$1004,0),IF(S1258="A",IFERROR(MATCH(1254-$S$2,'AFA Rates'!$R$5:$R$1004,0),""),""))</f>
        <v/>
      </c>
      <c r="U1258">
        <f>IF(S1258="S",T1258,IF(AND(S1258="A",T1258&lt;&gt;""),IFERROR(MATCH(INDEX('AFA Rates'!$A$5:$A$1004,T1258),Firms!$A$5:$A$1004,0),""),""))</f>
        <v/>
      </c>
    </row>
    <row r="1259">
      <c r="A1259" s="78">
        <f>IF($T1259="","",IF($S1259="S",IF(INDEX(Firms!$A$5:$A$1004,$T1259)="","",INDEX(Firms!$A$5:$A$1004,$T1259)),IF(INDEX('AFA Rates'!$A$5:$A$1004,$T1259)="","",INDEX('AFA Rates'!$A$5:$A$1004,$T1259))))</f>
        <v/>
      </c>
      <c r="B1259" s="79">
        <f>IF(OR($T1259="",$U1259=""),IF($T1259="","","Not on Firms tab"),INDEX(Firms!$B$5:$B$1004,$U1259)&amp;"")</f>
        <v/>
      </c>
      <c r="C1259" s="78">
        <f>IF($T1259="","",IF($S1259="S","Standard",INDEX('AFA Rates'!$B$5:$B$1004,$T1259)&amp;""))</f>
        <v/>
      </c>
      <c r="D1259" s="88">
        <f>IF($T1259="","",IF($S1259="S",IF(INDEX(Firms!$E$5:$E$1004,$T1259)="","",INDEX(Firms!$E$5:$E$1004,$T1259)),IF(INDEX('AFA Rates'!$C$5:$C$1004,$T1259)="","",INDEX('AFA Rates'!$C$5:$C$1004,$T1259))))</f>
        <v/>
      </c>
      <c r="E1259" s="88">
        <f>IF($T1259="","",IF($S1259="S",IF(""="","",""),IF(INDEX('AFA Rates'!$D$5:$D$1004,$T1259)="","",INDEX('AFA Rates'!$D$5:$D$1004,$T1259))))</f>
        <v/>
      </c>
      <c r="F1259" s="79">
        <f>IF($T1259="","",IF($S1259="S",IF(INDEX(Firms!$O$5:$O$1004,$T1259)="","",INDEX(Firms!$O$5:$O$1004,$T1259)),IF(INDEX('AFA Rates'!$O$5:$O$1004,$T1259)="","",INDEX('AFA Rates'!$O$5:$O$1004,$T1259))))</f>
        <v/>
      </c>
      <c r="G1259" s="50">
        <f>IF($T1259="","",IF($S1259="S",IF(INDEX(Firms!$F$5:$F$1004,$T1259)="","",INDEX(Firms!$F$5:$F$1004,$T1259)),IF(INDEX('AFA Rates'!$E$5:$E$1004,$T1259)="","",INDEX('AFA Rates'!$E$5:$E$1004,$T1259))))</f>
        <v/>
      </c>
      <c r="H1259" s="50">
        <f>IF($T1259="","",IF($S1259="S",IF(INDEX(Firms!$G$5:$G$1004,$T1259)="","",INDEX(Firms!$G$5:$G$1004,$T1259)),IF(INDEX('AFA Rates'!$F$5:$F$1004,$T1259)="","",INDEX('AFA Rates'!$F$5:$F$1004,$T1259))))</f>
        <v/>
      </c>
      <c r="I1259" s="50">
        <f>IF($T1259="","",IF($S1259="S",IF(INDEX(Firms!$H$5:$H$1004,$T1259)="","",INDEX(Firms!$H$5:$H$1004,$T1259)),IF(INDEX('AFA Rates'!$G$5:$G$1004,$T1259)="","",INDEX('AFA Rates'!$G$5:$G$1004,$T1259))))</f>
        <v/>
      </c>
      <c r="J1259" s="50">
        <f>IF($T1259="","",IF($S1259="S",IF(INDEX(Firms!$I$5:$I$1004,$T1259)="","",INDEX(Firms!$I$5:$I$1004,$T1259)),IF(INDEX('AFA Rates'!$H$5:$H$1004,$T1259)="","",INDEX('AFA Rates'!$H$5:$H$1004,$T1259))))</f>
        <v/>
      </c>
      <c r="K1259" s="50">
        <f>IF($T1259="","",IF($S1259="S",IF(INDEX(Firms!$J$5:$J$1004,$T1259)="","",INDEX(Firms!$J$5:$J$1004,$T1259)),IF(INDEX('AFA Rates'!$I$5:$I$1004,$T1259)="","",INDEX('AFA Rates'!$I$5:$I$1004,$T1259))))</f>
        <v/>
      </c>
      <c r="L1259" s="50">
        <f>IF($T1259="","",IF($S1259="S",IF(INDEX(Firms!$K$5:$K$1004,$T1259)="","",INDEX(Firms!$K$5:$K$1004,$T1259)),IF(INDEX('AFA Rates'!$J$5:$J$1004,$T1259)="","",INDEX('AFA Rates'!$J$5:$J$1004,$T1259))))</f>
        <v/>
      </c>
      <c r="M1259" s="50">
        <f>IF($T1259="","",IF($S1259="S",IF(INDEX(Firms!$L$5:$L$1004,$T1259)="","",INDEX(Firms!$L$5:$L$1004,$T1259)),IF(INDEX('AFA Rates'!$K$5:$K$1004,$T1259)="","",INDEX('AFA Rates'!$K$5:$K$1004,$T1259))))</f>
        <v/>
      </c>
      <c r="N1259" s="50">
        <f>IF($T1259="","",IF($S1259="S",IF(INDEX(Firms!$M$5:$M$1004,$T1259)="","",INDEX(Firms!$M$5:$M$1004,$T1259)),IF(INDEX('AFA Rates'!$L$5:$L$1004,$T1259)="","",INDEX('AFA Rates'!$L$5:$L$1004,$T1259))))</f>
        <v/>
      </c>
      <c r="O1259" s="78">
        <f>IF(OR($T1259="",$U1259=""),"",IF(INDEX(Firms!$C$5:$C$1004,$U1259)="","",INDEX(Firms!$C$5:$C$1004,$U1259)))</f>
        <v/>
      </c>
      <c r="P1259" s="79">
        <f>IF(OR($T1259="",$U1259=""),"",IF(INDEX(Firms!$N$5:$N$1004,$U1259)="","",INDEX(Firms!$N$5:$N$1004,$U1259)))</f>
        <v/>
      </c>
      <c r="Q1259" s="78">
        <f>IF($T1259="","",IF($S1259="S",IF(INDEX(Firms!$T$5:$T$1004,$T1259)="","",INDEX(Firms!$T$5:$T$1004,$T1259)),IF(INDEX('AFA Rates'!$M$5:$M$1004,$T1259)="","",INDEX('AFA Rates'!$M$5:$M$1004,$T1259))))</f>
        <v/>
      </c>
      <c r="S1259">
        <f>IF(1255&lt;=$S$2,"S",IF(1255&lt;=$S$2+$T$2,"A",""))</f>
        <v/>
      </c>
      <c r="T1259">
        <f>IF(S1259="S",MATCH(1255,Firms!$W$5:$W$1004,0),IF(S1259="A",IFERROR(MATCH(1255-$S$2,'AFA Rates'!$R$5:$R$1004,0),""),""))</f>
        <v/>
      </c>
      <c r="U1259">
        <f>IF(S1259="S",T1259,IF(AND(S1259="A",T1259&lt;&gt;""),IFERROR(MATCH(INDEX('AFA Rates'!$A$5:$A$1004,T1259),Firms!$A$5:$A$1004,0),""),""))</f>
        <v/>
      </c>
    </row>
    <row r="1260">
      <c r="A1260" s="78">
        <f>IF($T1260="","",IF($S1260="S",IF(INDEX(Firms!$A$5:$A$1004,$T1260)="","",INDEX(Firms!$A$5:$A$1004,$T1260)),IF(INDEX('AFA Rates'!$A$5:$A$1004,$T1260)="","",INDEX('AFA Rates'!$A$5:$A$1004,$T1260))))</f>
        <v/>
      </c>
      <c r="B1260" s="79">
        <f>IF(OR($T1260="",$U1260=""),IF($T1260="","","Not on Firms tab"),INDEX(Firms!$B$5:$B$1004,$U1260)&amp;"")</f>
        <v/>
      </c>
      <c r="C1260" s="78">
        <f>IF($T1260="","",IF($S1260="S","Standard",INDEX('AFA Rates'!$B$5:$B$1004,$T1260)&amp;""))</f>
        <v/>
      </c>
      <c r="D1260" s="88">
        <f>IF($T1260="","",IF($S1260="S",IF(INDEX(Firms!$E$5:$E$1004,$T1260)="","",INDEX(Firms!$E$5:$E$1004,$T1260)),IF(INDEX('AFA Rates'!$C$5:$C$1004,$T1260)="","",INDEX('AFA Rates'!$C$5:$C$1004,$T1260))))</f>
        <v/>
      </c>
      <c r="E1260" s="88">
        <f>IF($T1260="","",IF($S1260="S",IF(""="","",""),IF(INDEX('AFA Rates'!$D$5:$D$1004,$T1260)="","",INDEX('AFA Rates'!$D$5:$D$1004,$T1260))))</f>
        <v/>
      </c>
      <c r="F1260" s="79">
        <f>IF($T1260="","",IF($S1260="S",IF(INDEX(Firms!$O$5:$O$1004,$T1260)="","",INDEX(Firms!$O$5:$O$1004,$T1260)),IF(INDEX('AFA Rates'!$O$5:$O$1004,$T1260)="","",INDEX('AFA Rates'!$O$5:$O$1004,$T1260))))</f>
        <v/>
      </c>
      <c r="G1260" s="50">
        <f>IF($T1260="","",IF($S1260="S",IF(INDEX(Firms!$F$5:$F$1004,$T1260)="","",INDEX(Firms!$F$5:$F$1004,$T1260)),IF(INDEX('AFA Rates'!$E$5:$E$1004,$T1260)="","",INDEX('AFA Rates'!$E$5:$E$1004,$T1260))))</f>
        <v/>
      </c>
      <c r="H1260" s="50">
        <f>IF($T1260="","",IF($S1260="S",IF(INDEX(Firms!$G$5:$G$1004,$T1260)="","",INDEX(Firms!$G$5:$G$1004,$T1260)),IF(INDEX('AFA Rates'!$F$5:$F$1004,$T1260)="","",INDEX('AFA Rates'!$F$5:$F$1004,$T1260))))</f>
        <v/>
      </c>
      <c r="I1260" s="50">
        <f>IF($T1260="","",IF($S1260="S",IF(INDEX(Firms!$H$5:$H$1004,$T1260)="","",INDEX(Firms!$H$5:$H$1004,$T1260)),IF(INDEX('AFA Rates'!$G$5:$G$1004,$T1260)="","",INDEX('AFA Rates'!$G$5:$G$1004,$T1260))))</f>
        <v/>
      </c>
      <c r="J1260" s="50">
        <f>IF($T1260="","",IF($S1260="S",IF(INDEX(Firms!$I$5:$I$1004,$T1260)="","",INDEX(Firms!$I$5:$I$1004,$T1260)),IF(INDEX('AFA Rates'!$H$5:$H$1004,$T1260)="","",INDEX('AFA Rates'!$H$5:$H$1004,$T1260))))</f>
        <v/>
      </c>
      <c r="K1260" s="50">
        <f>IF($T1260="","",IF($S1260="S",IF(INDEX(Firms!$J$5:$J$1004,$T1260)="","",INDEX(Firms!$J$5:$J$1004,$T1260)),IF(INDEX('AFA Rates'!$I$5:$I$1004,$T1260)="","",INDEX('AFA Rates'!$I$5:$I$1004,$T1260))))</f>
        <v/>
      </c>
      <c r="L1260" s="50">
        <f>IF($T1260="","",IF($S1260="S",IF(INDEX(Firms!$K$5:$K$1004,$T1260)="","",INDEX(Firms!$K$5:$K$1004,$T1260)),IF(INDEX('AFA Rates'!$J$5:$J$1004,$T1260)="","",INDEX('AFA Rates'!$J$5:$J$1004,$T1260))))</f>
        <v/>
      </c>
      <c r="M1260" s="50">
        <f>IF($T1260="","",IF($S1260="S",IF(INDEX(Firms!$L$5:$L$1004,$T1260)="","",INDEX(Firms!$L$5:$L$1004,$T1260)),IF(INDEX('AFA Rates'!$K$5:$K$1004,$T1260)="","",INDEX('AFA Rates'!$K$5:$K$1004,$T1260))))</f>
        <v/>
      </c>
      <c r="N1260" s="50">
        <f>IF($T1260="","",IF($S1260="S",IF(INDEX(Firms!$M$5:$M$1004,$T1260)="","",INDEX(Firms!$M$5:$M$1004,$T1260)),IF(INDEX('AFA Rates'!$L$5:$L$1004,$T1260)="","",INDEX('AFA Rates'!$L$5:$L$1004,$T1260))))</f>
        <v/>
      </c>
      <c r="O1260" s="78">
        <f>IF(OR($T1260="",$U1260=""),"",IF(INDEX(Firms!$C$5:$C$1004,$U1260)="","",INDEX(Firms!$C$5:$C$1004,$U1260)))</f>
        <v/>
      </c>
      <c r="P1260" s="79">
        <f>IF(OR($T1260="",$U1260=""),"",IF(INDEX(Firms!$N$5:$N$1004,$U1260)="","",INDEX(Firms!$N$5:$N$1004,$U1260)))</f>
        <v/>
      </c>
      <c r="Q1260" s="78">
        <f>IF($T1260="","",IF($S1260="S",IF(INDEX(Firms!$T$5:$T$1004,$T1260)="","",INDEX(Firms!$T$5:$T$1004,$T1260)),IF(INDEX('AFA Rates'!$M$5:$M$1004,$T1260)="","",INDEX('AFA Rates'!$M$5:$M$1004,$T1260))))</f>
        <v/>
      </c>
      <c r="S1260">
        <f>IF(1256&lt;=$S$2,"S",IF(1256&lt;=$S$2+$T$2,"A",""))</f>
        <v/>
      </c>
      <c r="T1260">
        <f>IF(S1260="S",MATCH(1256,Firms!$W$5:$W$1004,0),IF(S1260="A",IFERROR(MATCH(1256-$S$2,'AFA Rates'!$R$5:$R$1004,0),""),""))</f>
        <v/>
      </c>
      <c r="U1260">
        <f>IF(S1260="S",T1260,IF(AND(S1260="A",T1260&lt;&gt;""),IFERROR(MATCH(INDEX('AFA Rates'!$A$5:$A$1004,T1260),Firms!$A$5:$A$1004,0),""),""))</f>
        <v/>
      </c>
    </row>
    <row r="1261">
      <c r="A1261" s="78">
        <f>IF($T1261="","",IF($S1261="S",IF(INDEX(Firms!$A$5:$A$1004,$T1261)="","",INDEX(Firms!$A$5:$A$1004,$T1261)),IF(INDEX('AFA Rates'!$A$5:$A$1004,$T1261)="","",INDEX('AFA Rates'!$A$5:$A$1004,$T1261))))</f>
        <v/>
      </c>
      <c r="B1261" s="79">
        <f>IF(OR($T1261="",$U1261=""),IF($T1261="","","Not on Firms tab"),INDEX(Firms!$B$5:$B$1004,$U1261)&amp;"")</f>
        <v/>
      </c>
      <c r="C1261" s="78">
        <f>IF($T1261="","",IF($S1261="S","Standard",INDEX('AFA Rates'!$B$5:$B$1004,$T1261)&amp;""))</f>
        <v/>
      </c>
      <c r="D1261" s="88">
        <f>IF($T1261="","",IF($S1261="S",IF(INDEX(Firms!$E$5:$E$1004,$T1261)="","",INDEX(Firms!$E$5:$E$1004,$T1261)),IF(INDEX('AFA Rates'!$C$5:$C$1004,$T1261)="","",INDEX('AFA Rates'!$C$5:$C$1004,$T1261))))</f>
        <v/>
      </c>
      <c r="E1261" s="88">
        <f>IF($T1261="","",IF($S1261="S",IF(""="","",""),IF(INDEX('AFA Rates'!$D$5:$D$1004,$T1261)="","",INDEX('AFA Rates'!$D$5:$D$1004,$T1261))))</f>
        <v/>
      </c>
      <c r="F1261" s="79">
        <f>IF($T1261="","",IF($S1261="S",IF(INDEX(Firms!$O$5:$O$1004,$T1261)="","",INDEX(Firms!$O$5:$O$1004,$T1261)),IF(INDEX('AFA Rates'!$O$5:$O$1004,$T1261)="","",INDEX('AFA Rates'!$O$5:$O$1004,$T1261))))</f>
        <v/>
      </c>
      <c r="G1261" s="50">
        <f>IF($T1261="","",IF($S1261="S",IF(INDEX(Firms!$F$5:$F$1004,$T1261)="","",INDEX(Firms!$F$5:$F$1004,$T1261)),IF(INDEX('AFA Rates'!$E$5:$E$1004,$T1261)="","",INDEX('AFA Rates'!$E$5:$E$1004,$T1261))))</f>
        <v/>
      </c>
      <c r="H1261" s="50">
        <f>IF($T1261="","",IF($S1261="S",IF(INDEX(Firms!$G$5:$G$1004,$T1261)="","",INDEX(Firms!$G$5:$G$1004,$T1261)),IF(INDEX('AFA Rates'!$F$5:$F$1004,$T1261)="","",INDEX('AFA Rates'!$F$5:$F$1004,$T1261))))</f>
        <v/>
      </c>
      <c r="I1261" s="50">
        <f>IF($T1261="","",IF($S1261="S",IF(INDEX(Firms!$H$5:$H$1004,$T1261)="","",INDEX(Firms!$H$5:$H$1004,$T1261)),IF(INDEX('AFA Rates'!$G$5:$G$1004,$T1261)="","",INDEX('AFA Rates'!$G$5:$G$1004,$T1261))))</f>
        <v/>
      </c>
      <c r="J1261" s="50">
        <f>IF($T1261="","",IF($S1261="S",IF(INDEX(Firms!$I$5:$I$1004,$T1261)="","",INDEX(Firms!$I$5:$I$1004,$T1261)),IF(INDEX('AFA Rates'!$H$5:$H$1004,$T1261)="","",INDEX('AFA Rates'!$H$5:$H$1004,$T1261))))</f>
        <v/>
      </c>
      <c r="K1261" s="50">
        <f>IF($T1261="","",IF($S1261="S",IF(INDEX(Firms!$J$5:$J$1004,$T1261)="","",INDEX(Firms!$J$5:$J$1004,$T1261)),IF(INDEX('AFA Rates'!$I$5:$I$1004,$T1261)="","",INDEX('AFA Rates'!$I$5:$I$1004,$T1261))))</f>
        <v/>
      </c>
      <c r="L1261" s="50">
        <f>IF($T1261="","",IF($S1261="S",IF(INDEX(Firms!$K$5:$K$1004,$T1261)="","",INDEX(Firms!$K$5:$K$1004,$T1261)),IF(INDEX('AFA Rates'!$J$5:$J$1004,$T1261)="","",INDEX('AFA Rates'!$J$5:$J$1004,$T1261))))</f>
        <v/>
      </c>
      <c r="M1261" s="50">
        <f>IF($T1261="","",IF($S1261="S",IF(INDEX(Firms!$L$5:$L$1004,$T1261)="","",INDEX(Firms!$L$5:$L$1004,$T1261)),IF(INDEX('AFA Rates'!$K$5:$K$1004,$T1261)="","",INDEX('AFA Rates'!$K$5:$K$1004,$T1261))))</f>
        <v/>
      </c>
      <c r="N1261" s="50">
        <f>IF($T1261="","",IF($S1261="S",IF(INDEX(Firms!$M$5:$M$1004,$T1261)="","",INDEX(Firms!$M$5:$M$1004,$T1261)),IF(INDEX('AFA Rates'!$L$5:$L$1004,$T1261)="","",INDEX('AFA Rates'!$L$5:$L$1004,$T1261))))</f>
        <v/>
      </c>
      <c r="O1261" s="78">
        <f>IF(OR($T1261="",$U1261=""),"",IF(INDEX(Firms!$C$5:$C$1004,$U1261)="","",INDEX(Firms!$C$5:$C$1004,$U1261)))</f>
        <v/>
      </c>
      <c r="P1261" s="79">
        <f>IF(OR($T1261="",$U1261=""),"",IF(INDEX(Firms!$N$5:$N$1004,$U1261)="","",INDEX(Firms!$N$5:$N$1004,$U1261)))</f>
        <v/>
      </c>
      <c r="Q1261" s="78">
        <f>IF($T1261="","",IF($S1261="S",IF(INDEX(Firms!$T$5:$T$1004,$T1261)="","",INDEX(Firms!$T$5:$T$1004,$T1261)),IF(INDEX('AFA Rates'!$M$5:$M$1004,$T1261)="","",INDEX('AFA Rates'!$M$5:$M$1004,$T1261))))</f>
        <v/>
      </c>
      <c r="S1261">
        <f>IF(1257&lt;=$S$2,"S",IF(1257&lt;=$S$2+$T$2,"A",""))</f>
        <v/>
      </c>
      <c r="T1261">
        <f>IF(S1261="S",MATCH(1257,Firms!$W$5:$W$1004,0),IF(S1261="A",IFERROR(MATCH(1257-$S$2,'AFA Rates'!$R$5:$R$1004,0),""),""))</f>
        <v/>
      </c>
      <c r="U1261">
        <f>IF(S1261="S",T1261,IF(AND(S1261="A",T1261&lt;&gt;""),IFERROR(MATCH(INDEX('AFA Rates'!$A$5:$A$1004,T1261),Firms!$A$5:$A$1004,0),""),""))</f>
        <v/>
      </c>
    </row>
    <row r="1262">
      <c r="A1262" s="78">
        <f>IF($T1262="","",IF($S1262="S",IF(INDEX(Firms!$A$5:$A$1004,$T1262)="","",INDEX(Firms!$A$5:$A$1004,$T1262)),IF(INDEX('AFA Rates'!$A$5:$A$1004,$T1262)="","",INDEX('AFA Rates'!$A$5:$A$1004,$T1262))))</f>
        <v/>
      </c>
      <c r="B1262" s="79">
        <f>IF(OR($T1262="",$U1262=""),IF($T1262="","","Not on Firms tab"),INDEX(Firms!$B$5:$B$1004,$U1262)&amp;"")</f>
        <v/>
      </c>
      <c r="C1262" s="78">
        <f>IF($T1262="","",IF($S1262="S","Standard",INDEX('AFA Rates'!$B$5:$B$1004,$T1262)&amp;""))</f>
        <v/>
      </c>
      <c r="D1262" s="88">
        <f>IF($T1262="","",IF($S1262="S",IF(INDEX(Firms!$E$5:$E$1004,$T1262)="","",INDEX(Firms!$E$5:$E$1004,$T1262)),IF(INDEX('AFA Rates'!$C$5:$C$1004,$T1262)="","",INDEX('AFA Rates'!$C$5:$C$1004,$T1262))))</f>
        <v/>
      </c>
      <c r="E1262" s="88">
        <f>IF($T1262="","",IF($S1262="S",IF(""="","",""),IF(INDEX('AFA Rates'!$D$5:$D$1004,$T1262)="","",INDEX('AFA Rates'!$D$5:$D$1004,$T1262))))</f>
        <v/>
      </c>
      <c r="F1262" s="79">
        <f>IF($T1262="","",IF($S1262="S",IF(INDEX(Firms!$O$5:$O$1004,$T1262)="","",INDEX(Firms!$O$5:$O$1004,$T1262)),IF(INDEX('AFA Rates'!$O$5:$O$1004,$T1262)="","",INDEX('AFA Rates'!$O$5:$O$1004,$T1262))))</f>
        <v/>
      </c>
      <c r="G1262" s="50">
        <f>IF($T1262="","",IF($S1262="S",IF(INDEX(Firms!$F$5:$F$1004,$T1262)="","",INDEX(Firms!$F$5:$F$1004,$T1262)),IF(INDEX('AFA Rates'!$E$5:$E$1004,$T1262)="","",INDEX('AFA Rates'!$E$5:$E$1004,$T1262))))</f>
        <v/>
      </c>
      <c r="H1262" s="50">
        <f>IF($T1262="","",IF($S1262="S",IF(INDEX(Firms!$G$5:$G$1004,$T1262)="","",INDEX(Firms!$G$5:$G$1004,$T1262)),IF(INDEX('AFA Rates'!$F$5:$F$1004,$T1262)="","",INDEX('AFA Rates'!$F$5:$F$1004,$T1262))))</f>
        <v/>
      </c>
      <c r="I1262" s="50">
        <f>IF($T1262="","",IF($S1262="S",IF(INDEX(Firms!$H$5:$H$1004,$T1262)="","",INDEX(Firms!$H$5:$H$1004,$T1262)),IF(INDEX('AFA Rates'!$G$5:$G$1004,$T1262)="","",INDEX('AFA Rates'!$G$5:$G$1004,$T1262))))</f>
        <v/>
      </c>
      <c r="J1262" s="50">
        <f>IF($T1262="","",IF($S1262="S",IF(INDEX(Firms!$I$5:$I$1004,$T1262)="","",INDEX(Firms!$I$5:$I$1004,$T1262)),IF(INDEX('AFA Rates'!$H$5:$H$1004,$T1262)="","",INDEX('AFA Rates'!$H$5:$H$1004,$T1262))))</f>
        <v/>
      </c>
      <c r="K1262" s="50">
        <f>IF($T1262="","",IF($S1262="S",IF(INDEX(Firms!$J$5:$J$1004,$T1262)="","",INDEX(Firms!$J$5:$J$1004,$T1262)),IF(INDEX('AFA Rates'!$I$5:$I$1004,$T1262)="","",INDEX('AFA Rates'!$I$5:$I$1004,$T1262))))</f>
        <v/>
      </c>
      <c r="L1262" s="50">
        <f>IF($T1262="","",IF($S1262="S",IF(INDEX(Firms!$K$5:$K$1004,$T1262)="","",INDEX(Firms!$K$5:$K$1004,$T1262)),IF(INDEX('AFA Rates'!$J$5:$J$1004,$T1262)="","",INDEX('AFA Rates'!$J$5:$J$1004,$T1262))))</f>
        <v/>
      </c>
      <c r="M1262" s="50">
        <f>IF($T1262="","",IF($S1262="S",IF(INDEX(Firms!$L$5:$L$1004,$T1262)="","",INDEX(Firms!$L$5:$L$1004,$T1262)),IF(INDEX('AFA Rates'!$K$5:$K$1004,$T1262)="","",INDEX('AFA Rates'!$K$5:$K$1004,$T1262))))</f>
        <v/>
      </c>
      <c r="N1262" s="50">
        <f>IF($T1262="","",IF($S1262="S",IF(INDEX(Firms!$M$5:$M$1004,$T1262)="","",INDEX(Firms!$M$5:$M$1004,$T1262)),IF(INDEX('AFA Rates'!$L$5:$L$1004,$T1262)="","",INDEX('AFA Rates'!$L$5:$L$1004,$T1262))))</f>
        <v/>
      </c>
      <c r="O1262" s="78">
        <f>IF(OR($T1262="",$U1262=""),"",IF(INDEX(Firms!$C$5:$C$1004,$U1262)="","",INDEX(Firms!$C$5:$C$1004,$U1262)))</f>
        <v/>
      </c>
      <c r="P1262" s="79">
        <f>IF(OR($T1262="",$U1262=""),"",IF(INDEX(Firms!$N$5:$N$1004,$U1262)="","",INDEX(Firms!$N$5:$N$1004,$U1262)))</f>
        <v/>
      </c>
      <c r="Q1262" s="78">
        <f>IF($T1262="","",IF($S1262="S",IF(INDEX(Firms!$T$5:$T$1004,$T1262)="","",INDEX(Firms!$T$5:$T$1004,$T1262)),IF(INDEX('AFA Rates'!$M$5:$M$1004,$T1262)="","",INDEX('AFA Rates'!$M$5:$M$1004,$T1262))))</f>
        <v/>
      </c>
      <c r="S1262">
        <f>IF(1258&lt;=$S$2,"S",IF(1258&lt;=$S$2+$T$2,"A",""))</f>
        <v/>
      </c>
      <c r="T1262">
        <f>IF(S1262="S",MATCH(1258,Firms!$W$5:$W$1004,0),IF(S1262="A",IFERROR(MATCH(1258-$S$2,'AFA Rates'!$R$5:$R$1004,0),""),""))</f>
        <v/>
      </c>
      <c r="U1262">
        <f>IF(S1262="S",T1262,IF(AND(S1262="A",T1262&lt;&gt;""),IFERROR(MATCH(INDEX('AFA Rates'!$A$5:$A$1004,T1262),Firms!$A$5:$A$1004,0),""),""))</f>
        <v/>
      </c>
    </row>
    <row r="1263">
      <c r="A1263" s="78">
        <f>IF($T1263="","",IF($S1263="S",IF(INDEX(Firms!$A$5:$A$1004,$T1263)="","",INDEX(Firms!$A$5:$A$1004,$T1263)),IF(INDEX('AFA Rates'!$A$5:$A$1004,$T1263)="","",INDEX('AFA Rates'!$A$5:$A$1004,$T1263))))</f>
        <v/>
      </c>
      <c r="B1263" s="79">
        <f>IF(OR($T1263="",$U1263=""),IF($T1263="","","Not on Firms tab"),INDEX(Firms!$B$5:$B$1004,$U1263)&amp;"")</f>
        <v/>
      </c>
      <c r="C1263" s="78">
        <f>IF($T1263="","",IF($S1263="S","Standard",INDEX('AFA Rates'!$B$5:$B$1004,$T1263)&amp;""))</f>
        <v/>
      </c>
      <c r="D1263" s="88">
        <f>IF($T1263="","",IF($S1263="S",IF(INDEX(Firms!$E$5:$E$1004,$T1263)="","",INDEX(Firms!$E$5:$E$1004,$T1263)),IF(INDEX('AFA Rates'!$C$5:$C$1004,$T1263)="","",INDEX('AFA Rates'!$C$5:$C$1004,$T1263))))</f>
        <v/>
      </c>
      <c r="E1263" s="88">
        <f>IF($T1263="","",IF($S1263="S",IF(""="","",""),IF(INDEX('AFA Rates'!$D$5:$D$1004,$T1263)="","",INDEX('AFA Rates'!$D$5:$D$1004,$T1263))))</f>
        <v/>
      </c>
      <c r="F1263" s="79">
        <f>IF($T1263="","",IF($S1263="S",IF(INDEX(Firms!$O$5:$O$1004,$T1263)="","",INDEX(Firms!$O$5:$O$1004,$T1263)),IF(INDEX('AFA Rates'!$O$5:$O$1004,$T1263)="","",INDEX('AFA Rates'!$O$5:$O$1004,$T1263))))</f>
        <v/>
      </c>
      <c r="G1263" s="50">
        <f>IF($T1263="","",IF($S1263="S",IF(INDEX(Firms!$F$5:$F$1004,$T1263)="","",INDEX(Firms!$F$5:$F$1004,$T1263)),IF(INDEX('AFA Rates'!$E$5:$E$1004,$T1263)="","",INDEX('AFA Rates'!$E$5:$E$1004,$T1263))))</f>
        <v/>
      </c>
      <c r="H1263" s="50">
        <f>IF($T1263="","",IF($S1263="S",IF(INDEX(Firms!$G$5:$G$1004,$T1263)="","",INDEX(Firms!$G$5:$G$1004,$T1263)),IF(INDEX('AFA Rates'!$F$5:$F$1004,$T1263)="","",INDEX('AFA Rates'!$F$5:$F$1004,$T1263))))</f>
        <v/>
      </c>
      <c r="I1263" s="50">
        <f>IF($T1263="","",IF($S1263="S",IF(INDEX(Firms!$H$5:$H$1004,$T1263)="","",INDEX(Firms!$H$5:$H$1004,$T1263)),IF(INDEX('AFA Rates'!$G$5:$G$1004,$T1263)="","",INDEX('AFA Rates'!$G$5:$G$1004,$T1263))))</f>
        <v/>
      </c>
      <c r="J1263" s="50">
        <f>IF($T1263="","",IF($S1263="S",IF(INDEX(Firms!$I$5:$I$1004,$T1263)="","",INDEX(Firms!$I$5:$I$1004,$T1263)),IF(INDEX('AFA Rates'!$H$5:$H$1004,$T1263)="","",INDEX('AFA Rates'!$H$5:$H$1004,$T1263))))</f>
        <v/>
      </c>
      <c r="K1263" s="50">
        <f>IF($T1263="","",IF($S1263="S",IF(INDEX(Firms!$J$5:$J$1004,$T1263)="","",INDEX(Firms!$J$5:$J$1004,$T1263)),IF(INDEX('AFA Rates'!$I$5:$I$1004,$T1263)="","",INDEX('AFA Rates'!$I$5:$I$1004,$T1263))))</f>
        <v/>
      </c>
      <c r="L1263" s="50">
        <f>IF($T1263="","",IF($S1263="S",IF(INDEX(Firms!$K$5:$K$1004,$T1263)="","",INDEX(Firms!$K$5:$K$1004,$T1263)),IF(INDEX('AFA Rates'!$J$5:$J$1004,$T1263)="","",INDEX('AFA Rates'!$J$5:$J$1004,$T1263))))</f>
        <v/>
      </c>
      <c r="M1263" s="50">
        <f>IF($T1263="","",IF($S1263="S",IF(INDEX(Firms!$L$5:$L$1004,$T1263)="","",INDEX(Firms!$L$5:$L$1004,$T1263)),IF(INDEX('AFA Rates'!$K$5:$K$1004,$T1263)="","",INDEX('AFA Rates'!$K$5:$K$1004,$T1263))))</f>
        <v/>
      </c>
      <c r="N1263" s="50">
        <f>IF($T1263="","",IF($S1263="S",IF(INDEX(Firms!$M$5:$M$1004,$T1263)="","",INDEX(Firms!$M$5:$M$1004,$T1263)),IF(INDEX('AFA Rates'!$L$5:$L$1004,$T1263)="","",INDEX('AFA Rates'!$L$5:$L$1004,$T1263))))</f>
        <v/>
      </c>
      <c r="O1263" s="78">
        <f>IF(OR($T1263="",$U1263=""),"",IF(INDEX(Firms!$C$5:$C$1004,$U1263)="","",INDEX(Firms!$C$5:$C$1004,$U1263)))</f>
        <v/>
      </c>
      <c r="P1263" s="79">
        <f>IF(OR($T1263="",$U1263=""),"",IF(INDEX(Firms!$N$5:$N$1004,$U1263)="","",INDEX(Firms!$N$5:$N$1004,$U1263)))</f>
        <v/>
      </c>
      <c r="Q1263" s="78">
        <f>IF($T1263="","",IF($S1263="S",IF(INDEX(Firms!$T$5:$T$1004,$T1263)="","",INDEX(Firms!$T$5:$T$1004,$T1263)),IF(INDEX('AFA Rates'!$M$5:$M$1004,$T1263)="","",INDEX('AFA Rates'!$M$5:$M$1004,$T1263))))</f>
        <v/>
      </c>
      <c r="S1263">
        <f>IF(1259&lt;=$S$2,"S",IF(1259&lt;=$S$2+$T$2,"A",""))</f>
        <v/>
      </c>
      <c r="T1263">
        <f>IF(S1263="S",MATCH(1259,Firms!$W$5:$W$1004,0),IF(S1263="A",IFERROR(MATCH(1259-$S$2,'AFA Rates'!$R$5:$R$1004,0),""),""))</f>
        <v/>
      </c>
      <c r="U1263">
        <f>IF(S1263="S",T1263,IF(AND(S1263="A",T1263&lt;&gt;""),IFERROR(MATCH(INDEX('AFA Rates'!$A$5:$A$1004,T1263),Firms!$A$5:$A$1004,0),""),""))</f>
        <v/>
      </c>
    </row>
    <row r="1264">
      <c r="A1264" s="78">
        <f>IF($T1264="","",IF($S1264="S",IF(INDEX(Firms!$A$5:$A$1004,$T1264)="","",INDEX(Firms!$A$5:$A$1004,$T1264)),IF(INDEX('AFA Rates'!$A$5:$A$1004,$T1264)="","",INDEX('AFA Rates'!$A$5:$A$1004,$T1264))))</f>
        <v/>
      </c>
      <c r="B1264" s="79">
        <f>IF(OR($T1264="",$U1264=""),IF($T1264="","","Not on Firms tab"),INDEX(Firms!$B$5:$B$1004,$U1264)&amp;"")</f>
        <v/>
      </c>
      <c r="C1264" s="78">
        <f>IF($T1264="","",IF($S1264="S","Standard",INDEX('AFA Rates'!$B$5:$B$1004,$T1264)&amp;""))</f>
        <v/>
      </c>
      <c r="D1264" s="88">
        <f>IF($T1264="","",IF($S1264="S",IF(INDEX(Firms!$E$5:$E$1004,$T1264)="","",INDEX(Firms!$E$5:$E$1004,$T1264)),IF(INDEX('AFA Rates'!$C$5:$C$1004,$T1264)="","",INDEX('AFA Rates'!$C$5:$C$1004,$T1264))))</f>
        <v/>
      </c>
      <c r="E1264" s="88">
        <f>IF($T1264="","",IF($S1264="S",IF(""="","",""),IF(INDEX('AFA Rates'!$D$5:$D$1004,$T1264)="","",INDEX('AFA Rates'!$D$5:$D$1004,$T1264))))</f>
        <v/>
      </c>
      <c r="F1264" s="79">
        <f>IF($T1264="","",IF($S1264="S",IF(INDEX(Firms!$O$5:$O$1004,$T1264)="","",INDEX(Firms!$O$5:$O$1004,$T1264)),IF(INDEX('AFA Rates'!$O$5:$O$1004,$T1264)="","",INDEX('AFA Rates'!$O$5:$O$1004,$T1264))))</f>
        <v/>
      </c>
      <c r="G1264" s="50">
        <f>IF($T1264="","",IF($S1264="S",IF(INDEX(Firms!$F$5:$F$1004,$T1264)="","",INDEX(Firms!$F$5:$F$1004,$T1264)),IF(INDEX('AFA Rates'!$E$5:$E$1004,$T1264)="","",INDEX('AFA Rates'!$E$5:$E$1004,$T1264))))</f>
        <v/>
      </c>
      <c r="H1264" s="50">
        <f>IF($T1264="","",IF($S1264="S",IF(INDEX(Firms!$G$5:$G$1004,$T1264)="","",INDEX(Firms!$G$5:$G$1004,$T1264)),IF(INDEX('AFA Rates'!$F$5:$F$1004,$T1264)="","",INDEX('AFA Rates'!$F$5:$F$1004,$T1264))))</f>
        <v/>
      </c>
      <c r="I1264" s="50">
        <f>IF($T1264="","",IF($S1264="S",IF(INDEX(Firms!$H$5:$H$1004,$T1264)="","",INDEX(Firms!$H$5:$H$1004,$T1264)),IF(INDEX('AFA Rates'!$G$5:$G$1004,$T1264)="","",INDEX('AFA Rates'!$G$5:$G$1004,$T1264))))</f>
        <v/>
      </c>
      <c r="J1264" s="50">
        <f>IF($T1264="","",IF($S1264="S",IF(INDEX(Firms!$I$5:$I$1004,$T1264)="","",INDEX(Firms!$I$5:$I$1004,$T1264)),IF(INDEX('AFA Rates'!$H$5:$H$1004,$T1264)="","",INDEX('AFA Rates'!$H$5:$H$1004,$T1264))))</f>
        <v/>
      </c>
      <c r="K1264" s="50">
        <f>IF($T1264="","",IF($S1264="S",IF(INDEX(Firms!$J$5:$J$1004,$T1264)="","",INDEX(Firms!$J$5:$J$1004,$T1264)),IF(INDEX('AFA Rates'!$I$5:$I$1004,$T1264)="","",INDEX('AFA Rates'!$I$5:$I$1004,$T1264))))</f>
        <v/>
      </c>
      <c r="L1264" s="50">
        <f>IF($T1264="","",IF($S1264="S",IF(INDEX(Firms!$K$5:$K$1004,$T1264)="","",INDEX(Firms!$K$5:$K$1004,$T1264)),IF(INDEX('AFA Rates'!$J$5:$J$1004,$T1264)="","",INDEX('AFA Rates'!$J$5:$J$1004,$T1264))))</f>
        <v/>
      </c>
      <c r="M1264" s="50">
        <f>IF($T1264="","",IF($S1264="S",IF(INDEX(Firms!$L$5:$L$1004,$T1264)="","",INDEX(Firms!$L$5:$L$1004,$T1264)),IF(INDEX('AFA Rates'!$K$5:$K$1004,$T1264)="","",INDEX('AFA Rates'!$K$5:$K$1004,$T1264))))</f>
        <v/>
      </c>
      <c r="N1264" s="50">
        <f>IF($T1264="","",IF($S1264="S",IF(INDEX(Firms!$M$5:$M$1004,$T1264)="","",INDEX(Firms!$M$5:$M$1004,$T1264)),IF(INDEX('AFA Rates'!$L$5:$L$1004,$T1264)="","",INDEX('AFA Rates'!$L$5:$L$1004,$T1264))))</f>
        <v/>
      </c>
      <c r="O1264" s="78">
        <f>IF(OR($T1264="",$U1264=""),"",IF(INDEX(Firms!$C$5:$C$1004,$U1264)="","",INDEX(Firms!$C$5:$C$1004,$U1264)))</f>
        <v/>
      </c>
      <c r="P1264" s="79">
        <f>IF(OR($T1264="",$U1264=""),"",IF(INDEX(Firms!$N$5:$N$1004,$U1264)="","",INDEX(Firms!$N$5:$N$1004,$U1264)))</f>
        <v/>
      </c>
      <c r="Q1264" s="78">
        <f>IF($T1264="","",IF($S1264="S",IF(INDEX(Firms!$T$5:$T$1004,$T1264)="","",INDEX(Firms!$T$5:$T$1004,$T1264)),IF(INDEX('AFA Rates'!$M$5:$M$1004,$T1264)="","",INDEX('AFA Rates'!$M$5:$M$1004,$T1264))))</f>
        <v/>
      </c>
      <c r="S1264">
        <f>IF(1260&lt;=$S$2,"S",IF(1260&lt;=$S$2+$T$2,"A",""))</f>
        <v/>
      </c>
      <c r="T1264">
        <f>IF(S1264="S",MATCH(1260,Firms!$W$5:$W$1004,0),IF(S1264="A",IFERROR(MATCH(1260-$S$2,'AFA Rates'!$R$5:$R$1004,0),""),""))</f>
        <v/>
      </c>
      <c r="U1264">
        <f>IF(S1264="S",T1264,IF(AND(S1264="A",T1264&lt;&gt;""),IFERROR(MATCH(INDEX('AFA Rates'!$A$5:$A$1004,T1264),Firms!$A$5:$A$1004,0),""),""))</f>
        <v/>
      </c>
    </row>
    <row r="1265">
      <c r="A1265" s="78">
        <f>IF($T1265="","",IF($S1265="S",IF(INDEX(Firms!$A$5:$A$1004,$T1265)="","",INDEX(Firms!$A$5:$A$1004,$T1265)),IF(INDEX('AFA Rates'!$A$5:$A$1004,$T1265)="","",INDEX('AFA Rates'!$A$5:$A$1004,$T1265))))</f>
        <v/>
      </c>
      <c r="B1265" s="79">
        <f>IF(OR($T1265="",$U1265=""),IF($T1265="","","Not on Firms tab"),INDEX(Firms!$B$5:$B$1004,$U1265)&amp;"")</f>
        <v/>
      </c>
      <c r="C1265" s="78">
        <f>IF($T1265="","",IF($S1265="S","Standard",INDEX('AFA Rates'!$B$5:$B$1004,$T1265)&amp;""))</f>
        <v/>
      </c>
      <c r="D1265" s="88">
        <f>IF($T1265="","",IF($S1265="S",IF(INDEX(Firms!$E$5:$E$1004,$T1265)="","",INDEX(Firms!$E$5:$E$1004,$T1265)),IF(INDEX('AFA Rates'!$C$5:$C$1004,$T1265)="","",INDEX('AFA Rates'!$C$5:$C$1004,$T1265))))</f>
        <v/>
      </c>
      <c r="E1265" s="88">
        <f>IF($T1265="","",IF($S1265="S",IF(""="","",""),IF(INDEX('AFA Rates'!$D$5:$D$1004,$T1265)="","",INDEX('AFA Rates'!$D$5:$D$1004,$T1265))))</f>
        <v/>
      </c>
      <c r="F1265" s="79">
        <f>IF($T1265="","",IF($S1265="S",IF(INDEX(Firms!$O$5:$O$1004,$T1265)="","",INDEX(Firms!$O$5:$O$1004,$T1265)),IF(INDEX('AFA Rates'!$O$5:$O$1004,$T1265)="","",INDEX('AFA Rates'!$O$5:$O$1004,$T1265))))</f>
        <v/>
      </c>
      <c r="G1265" s="50">
        <f>IF($T1265="","",IF($S1265="S",IF(INDEX(Firms!$F$5:$F$1004,$T1265)="","",INDEX(Firms!$F$5:$F$1004,$T1265)),IF(INDEX('AFA Rates'!$E$5:$E$1004,$T1265)="","",INDEX('AFA Rates'!$E$5:$E$1004,$T1265))))</f>
        <v/>
      </c>
      <c r="H1265" s="50">
        <f>IF($T1265="","",IF($S1265="S",IF(INDEX(Firms!$G$5:$G$1004,$T1265)="","",INDEX(Firms!$G$5:$G$1004,$T1265)),IF(INDEX('AFA Rates'!$F$5:$F$1004,$T1265)="","",INDEX('AFA Rates'!$F$5:$F$1004,$T1265))))</f>
        <v/>
      </c>
      <c r="I1265" s="50">
        <f>IF($T1265="","",IF($S1265="S",IF(INDEX(Firms!$H$5:$H$1004,$T1265)="","",INDEX(Firms!$H$5:$H$1004,$T1265)),IF(INDEX('AFA Rates'!$G$5:$G$1004,$T1265)="","",INDEX('AFA Rates'!$G$5:$G$1004,$T1265))))</f>
        <v/>
      </c>
      <c r="J1265" s="50">
        <f>IF($T1265="","",IF($S1265="S",IF(INDEX(Firms!$I$5:$I$1004,$T1265)="","",INDEX(Firms!$I$5:$I$1004,$T1265)),IF(INDEX('AFA Rates'!$H$5:$H$1004,$T1265)="","",INDEX('AFA Rates'!$H$5:$H$1004,$T1265))))</f>
        <v/>
      </c>
      <c r="K1265" s="50">
        <f>IF($T1265="","",IF($S1265="S",IF(INDEX(Firms!$J$5:$J$1004,$T1265)="","",INDEX(Firms!$J$5:$J$1004,$T1265)),IF(INDEX('AFA Rates'!$I$5:$I$1004,$T1265)="","",INDEX('AFA Rates'!$I$5:$I$1004,$T1265))))</f>
        <v/>
      </c>
      <c r="L1265" s="50">
        <f>IF($T1265="","",IF($S1265="S",IF(INDEX(Firms!$K$5:$K$1004,$T1265)="","",INDEX(Firms!$K$5:$K$1004,$T1265)),IF(INDEX('AFA Rates'!$J$5:$J$1004,$T1265)="","",INDEX('AFA Rates'!$J$5:$J$1004,$T1265))))</f>
        <v/>
      </c>
      <c r="M1265" s="50">
        <f>IF($T1265="","",IF($S1265="S",IF(INDEX(Firms!$L$5:$L$1004,$T1265)="","",INDEX(Firms!$L$5:$L$1004,$T1265)),IF(INDEX('AFA Rates'!$K$5:$K$1004,$T1265)="","",INDEX('AFA Rates'!$K$5:$K$1004,$T1265))))</f>
        <v/>
      </c>
      <c r="N1265" s="50">
        <f>IF($T1265="","",IF($S1265="S",IF(INDEX(Firms!$M$5:$M$1004,$T1265)="","",INDEX(Firms!$M$5:$M$1004,$T1265)),IF(INDEX('AFA Rates'!$L$5:$L$1004,$T1265)="","",INDEX('AFA Rates'!$L$5:$L$1004,$T1265))))</f>
        <v/>
      </c>
      <c r="O1265" s="78">
        <f>IF(OR($T1265="",$U1265=""),"",IF(INDEX(Firms!$C$5:$C$1004,$U1265)="","",INDEX(Firms!$C$5:$C$1004,$U1265)))</f>
        <v/>
      </c>
      <c r="P1265" s="79">
        <f>IF(OR($T1265="",$U1265=""),"",IF(INDEX(Firms!$N$5:$N$1004,$U1265)="","",INDEX(Firms!$N$5:$N$1004,$U1265)))</f>
        <v/>
      </c>
      <c r="Q1265" s="78">
        <f>IF($T1265="","",IF($S1265="S",IF(INDEX(Firms!$T$5:$T$1004,$T1265)="","",INDEX(Firms!$T$5:$T$1004,$T1265)),IF(INDEX('AFA Rates'!$M$5:$M$1004,$T1265)="","",INDEX('AFA Rates'!$M$5:$M$1004,$T1265))))</f>
        <v/>
      </c>
      <c r="S1265">
        <f>IF(1261&lt;=$S$2,"S",IF(1261&lt;=$S$2+$T$2,"A",""))</f>
        <v/>
      </c>
      <c r="T1265">
        <f>IF(S1265="S",MATCH(1261,Firms!$W$5:$W$1004,0),IF(S1265="A",IFERROR(MATCH(1261-$S$2,'AFA Rates'!$R$5:$R$1004,0),""),""))</f>
        <v/>
      </c>
      <c r="U1265">
        <f>IF(S1265="S",T1265,IF(AND(S1265="A",T1265&lt;&gt;""),IFERROR(MATCH(INDEX('AFA Rates'!$A$5:$A$1004,T1265),Firms!$A$5:$A$1004,0),""),""))</f>
        <v/>
      </c>
    </row>
    <row r="1266">
      <c r="A1266" s="78">
        <f>IF($T1266="","",IF($S1266="S",IF(INDEX(Firms!$A$5:$A$1004,$T1266)="","",INDEX(Firms!$A$5:$A$1004,$T1266)),IF(INDEX('AFA Rates'!$A$5:$A$1004,$T1266)="","",INDEX('AFA Rates'!$A$5:$A$1004,$T1266))))</f>
        <v/>
      </c>
      <c r="B1266" s="79">
        <f>IF(OR($T1266="",$U1266=""),IF($T1266="","","Not on Firms tab"),INDEX(Firms!$B$5:$B$1004,$U1266)&amp;"")</f>
        <v/>
      </c>
      <c r="C1266" s="78">
        <f>IF($T1266="","",IF($S1266="S","Standard",INDEX('AFA Rates'!$B$5:$B$1004,$T1266)&amp;""))</f>
        <v/>
      </c>
      <c r="D1266" s="88">
        <f>IF($T1266="","",IF($S1266="S",IF(INDEX(Firms!$E$5:$E$1004,$T1266)="","",INDEX(Firms!$E$5:$E$1004,$T1266)),IF(INDEX('AFA Rates'!$C$5:$C$1004,$T1266)="","",INDEX('AFA Rates'!$C$5:$C$1004,$T1266))))</f>
        <v/>
      </c>
      <c r="E1266" s="88">
        <f>IF($T1266="","",IF($S1266="S",IF(""="","",""),IF(INDEX('AFA Rates'!$D$5:$D$1004,$T1266)="","",INDEX('AFA Rates'!$D$5:$D$1004,$T1266))))</f>
        <v/>
      </c>
      <c r="F1266" s="79">
        <f>IF($T1266="","",IF($S1266="S",IF(INDEX(Firms!$O$5:$O$1004,$T1266)="","",INDEX(Firms!$O$5:$O$1004,$T1266)),IF(INDEX('AFA Rates'!$O$5:$O$1004,$T1266)="","",INDEX('AFA Rates'!$O$5:$O$1004,$T1266))))</f>
        <v/>
      </c>
      <c r="G1266" s="50">
        <f>IF($T1266="","",IF($S1266="S",IF(INDEX(Firms!$F$5:$F$1004,$T1266)="","",INDEX(Firms!$F$5:$F$1004,$T1266)),IF(INDEX('AFA Rates'!$E$5:$E$1004,$T1266)="","",INDEX('AFA Rates'!$E$5:$E$1004,$T1266))))</f>
        <v/>
      </c>
      <c r="H1266" s="50">
        <f>IF($T1266="","",IF($S1266="S",IF(INDEX(Firms!$G$5:$G$1004,$T1266)="","",INDEX(Firms!$G$5:$G$1004,$T1266)),IF(INDEX('AFA Rates'!$F$5:$F$1004,$T1266)="","",INDEX('AFA Rates'!$F$5:$F$1004,$T1266))))</f>
        <v/>
      </c>
      <c r="I1266" s="50">
        <f>IF($T1266="","",IF($S1266="S",IF(INDEX(Firms!$H$5:$H$1004,$T1266)="","",INDEX(Firms!$H$5:$H$1004,$T1266)),IF(INDEX('AFA Rates'!$G$5:$G$1004,$T1266)="","",INDEX('AFA Rates'!$G$5:$G$1004,$T1266))))</f>
        <v/>
      </c>
      <c r="J1266" s="50">
        <f>IF($T1266="","",IF($S1266="S",IF(INDEX(Firms!$I$5:$I$1004,$T1266)="","",INDEX(Firms!$I$5:$I$1004,$T1266)),IF(INDEX('AFA Rates'!$H$5:$H$1004,$T1266)="","",INDEX('AFA Rates'!$H$5:$H$1004,$T1266))))</f>
        <v/>
      </c>
      <c r="K1266" s="50">
        <f>IF($T1266="","",IF($S1266="S",IF(INDEX(Firms!$J$5:$J$1004,$T1266)="","",INDEX(Firms!$J$5:$J$1004,$T1266)),IF(INDEX('AFA Rates'!$I$5:$I$1004,$T1266)="","",INDEX('AFA Rates'!$I$5:$I$1004,$T1266))))</f>
        <v/>
      </c>
      <c r="L1266" s="50">
        <f>IF($T1266="","",IF($S1266="S",IF(INDEX(Firms!$K$5:$K$1004,$T1266)="","",INDEX(Firms!$K$5:$K$1004,$T1266)),IF(INDEX('AFA Rates'!$J$5:$J$1004,$T1266)="","",INDEX('AFA Rates'!$J$5:$J$1004,$T1266))))</f>
        <v/>
      </c>
      <c r="M1266" s="50">
        <f>IF($T1266="","",IF($S1266="S",IF(INDEX(Firms!$L$5:$L$1004,$T1266)="","",INDEX(Firms!$L$5:$L$1004,$T1266)),IF(INDEX('AFA Rates'!$K$5:$K$1004,$T1266)="","",INDEX('AFA Rates'!$K$5:$K$1004,$T1266))))</f>
        <v/>
      </c>
      <c r="N1266" s="50">
        <f>IF($T1266="","",IF($S1266="S",IF(INDEX(Firms!$M$5:$M$1004,$T1266)="","",INDEX(Firms!$M$5:$M$1004,$T1266)),IF(INDEX('AFA Rates'!$L$5:$L$1004,$T1266)="","",INDEX('AFA Rates'!$L$5:$L$1004,$T1266))))</f>
        <v/>
      </c>
      <c r="O1266" s="78">
        <f>IF(OR($T1266="",$U1266=""),"",IF(INDEX(Firms!$C$5:$C$1004,$U1266)="","",INDEX(Firms!$C$5:$C$1004,$U1266)))</f>
        <v/>
      </c>
      <c r="P1266" s="79">
        <f>IF(OR($T1266="",$U1266=""),"",IF(INDEX(Firms!$N$5:$N$1004,$U1266)="","",INDEX(Firms!$N$5:$N$1004,$U1266)))</f>
        <v/>
      </c>
      <c r="Q1266" s="78">
        <f>IF($T1266="","",IF($S1266="S",IF(INDEX(Firms!$T$5:$T$1004,$T1266)="","",INDEX(Firms!$T$5:$T$1004,$T1266)),IF(INDEX('AFA Rates'!$M$5:$M$1004,$T1266)="","",INDEX('AFA Rates'!$M$5:$M$1004,$T1266))))</f>
        <v/>
      </c>
      <c r="S1266">
        <f>IF(1262&lt;=$S$2,"S",IF(1262&lt;=$S$2+$T$2,"A",""))</f>
        <v/>
      </c>
      <c r="T1266">
        <f>IF(S1266="S",MATCH(1262,Firms!$W$5:$W$1004,0),IF(S1266="A",IFERROR(MATCH(1262-$S$2,'AFA Rates'!$R$5:$R$1004,0),""),""))</f>
        <v/>
      </c>
      <c r="U1266">
        <f>IF(S1266="S",T1266,IF(AND(S1266="A",T1266&lt;&gt;""),IFERROR(MATCH(INDEX('AFA Rates'!$A$5:$A$1004,T1266),Firms!$A$5:$A$1004,0),""),""))</f>
        <v/>
      </c>
    </row>
    <row r="1267">
      <c r="A1267" s="78">
        <f>IF($T1267="","",IF($S1267="S",IF(INDEX(Firms!$A$5:$A$1004,$T1267)="","",INDEX(Firms!$A$5:$A$1004,$T1267)),IF(INDEX('AFA Rates'!$A$5:$A$1004,$T1267)="","",INDEX('AFA Rates'!$A$5:$A$1004,$T1267))))</f>
        <v/>
      </c>
      <c r="B1267" s="79">
        <f>IF(OR($T1267="",$U1267=""),IF($T1267="","","Not on Firms tab"),INDEX(Firms!$B$5:$B$1004,$U1267)&amp;"")</f>
        <v/>
      </c>
      <c r="C1267" s="78">
        <f>IF($T1267="","",IF($S1267="S","Standard",INDEX('AFA Rates'!$B$5:$B$1004,$T1267)&amp;""))</f>
        <v/>
      </c>
      <c r="D1267" s="88">
        <f>IF($T1267="","",IF($S1267="S",IF(INDEX(Firms!$E$5:$E$1004,$T1267)="","",INDEX(Firms!$E$5:$E$1004,$T1267)),IF(INDEX('AFA Rates'!$C$5:$C$1004,$T1267)="","",INDEX('AFA Rates'!$C$5:$C$1004,$T1267))))</f>
        <v/>
      </c>
      <c r="E1267" s="88">
        <f>IF($T1267="","",IF($S1267="S",IF(""="","",""),IF(INDEX('AFA Rates'!$D$5:$D$1004,$T1267)="","",INDEX('AFA Rates'!$D$5:$D$1004,$T1267))))</f>
        <v/>
      </c>
      <c r="F1267" s="79">
        <f>IF($T1267="","",IF($S1267="S",IF(INDEX(Firms!$O$5:$O$1004,$T1267)="","",INDEX(Firms!$O$5:$O$1004,$T1267)),IF(INDEX('AFA Rates'!$O$5:$O$1004,$T1267)="","",INDEX('AFA Rates'!$O$5:$O$1004,$T1267))))</f>
        <v/>
      </c>
      <c r="G1267" s="50">
        <f>IF($T1267="","",IF($S1267="S",IF(INDEX(Firms!$F$5:$F$1004,$T1267)="","",INDEX(Firms!$F$5:$F$1004,$T1267)),IF(INDEX('AFA Rates'!$E$5:$E$1004,$T1267)="","",INDEX('AFA Rates'!$E$5:$E$1004,$T1267))))</f>
        <v/>
      </c>
      <c r="H1267" s="50">
        <f>IF($T1267="","",IF($S1267="S",IF(INDEX(Firms!$G$5:$G$1004,$T1267)="","",INDEX(Firms!$G$5:$G$1004,$T1267)),IF(INDEX('AFA Rates'!$F$5:$F$1004,$T1267)="","",INDEX('AFA Rates'!$F$5:$F$1004,$T1267))))</f>
        <v/>
      </c>
      <c r="I1267" s="50">
        <f>IF($T1267="","",IF($S1267="S",IF(INDEX(Firms!$H$5:$H$1004,$T1267)="","",INDEX(Firms!$H$5:$H$1004,$T1267)),IF(INDEX('AFA Rates'!$G$5:$G$1004,$T1267)="","",INDEX('AFA Rates'!$G$5:$G$1004,$T1267))))</f>
        <v/>
      </c>
      <c r="J1267" s="50">
        <f>IF($T1267="","",IF($S1267="S",IF(INDEX(Firms!$I$5:$I$1004,$T1267)="","",INDEX(Firms!$I$5:$I$1004,$T1267)),IF(INDEX('AFA Rates'!$H$5:$H$1004,$T1267)="","",INDEX('AFA Rates'!$H$5:$H$1004,$T1267))))</f>
        <v/>
      </c>
      <c r="K1267" s="50">
        <f>IF($T1267="","",IF($S1267="S",IF(INDEX(Firms!$J$5:$J$1004,$T1267)="","",INDEX(Firms!$J$5:$J$1004,$T1267)),IF(INDEX('AFA Rates'!$I$5:$I$1004,$T1267)="","",INDEX('AFA Rates'!$I$5:$I$1004,$T1267))))</f>
        <v/>
      </c>
      <c r="L1267" s="50">
        <f>IF($T1267="","",IF($S1267="S",IF(INDEX(Firms!$K$5:$K$1004,$T1267)="","",INDEX(Firms!$K$5:$K$1004,$T1267)),IF(INDEX('AFA Rates'!$J$5:$J$1004,$T1267)="","",INDEX('AFA Rates'!$J$5:$J$1004,$T1267))))</f>
        <v/>
      </c>
      <c r="M1267" s="50">
        <f>IF($T1267="","",IF($S1267="S",IF(INDEX(Firms!$L$5:$L$1004,$T1267)="","",INDEX(Firms!$L$5:$L$1004,$T1267)),IF(INDEX('AFA Rates'!$K$5:$K$1004,$T1267)="","",INDEX('AFA Rates'!$K$5:$K$1004,$T1267))))</f>
        <v/>
      </c>
      <c r="N1267" s="50">
        <f>IF($T1267="","",IF($S1267="S",IF(INDEX(Firms!$M$5:$M$1004,$T1267)="","",INDEX(Firms!$M$5:$M$1004,$T1267)),IF(INDEX('AFA Rates'!$L$5:$L$1004,$T1267)="","",INDEX('AFA Rates'!$L$5:$L$1004,$T1267))))</f>
        <v/>
      </c>
      <c r="O1267" s="78">
        <f>IF(OR($T1267="",$U1267=""),"",IF(INDEX(Firms!$C$5:$C$1004,$U1267)="","",INDEX(Firms!$C$5:$C$1004,$U1267)))</f>
        <v/>
      </c>
      <c r="P1267" s="79">
        <f>IF(OR($T1267="",$U1267=""),"",IF(INDEX(Firms!$N$5:$N$1004,$U1267)="","",INDEX(Firms!$N$5:$N$1004,$U1267)))</f>
        <v/>
      </c>
      <c r="Q1267" s="78">
        <f>IF($T1267="","",IF($S1267="S",IF(INDEX(Firms!$T$5:$T$1004,$T1267)="","",INDEX(Firms!$T$5:$T$1004,$T1267)),IF(INDEX('AFA Rates'!$M$5:$M$1004,$T1267)="","",INDEX('AFA Rates'!$M$5:$M$1004,$T1267))))</f>
        <v/>
      </c>
      <c r="S1267">
        <f>IF(1263&lt;=$S$2,"S",IF(1263&lt;=$S$2+$T$2,"A",""))</f>
        <v/>
      </c>
      <c r="T1267">
        <f>IF(S1267="S",MATCH(1263,Firms!$W$5:$W$1004,0),IF(S1267="A",IFERROR(MATCH(1263-$S$2,'AFA Rates'!$R$5:$R$1004,0),""),""))</f>
        <v/>
      </c>
      <c r="U1267">
        <f>IF(S1267="S",T1267,IF(AND(S1267="A",T1267&lt;&gt;""),IFERROR(MATCH(INDEX('AFA Rates'!$A$5:$A$1004,T1267),Firms!$A$5:$A$1004,0),""),""))</f>
        <v/>
      </c>
    </row>
    <row r="1268">
      <c r="A1268" s="78">
        <f>IF($T1268="","",IF($S1268="S",IF(INDEX(Firms!$A$5:$A$1004,$T1268)="","",INDEX(Firms!$A$5:$A$1004,$T1268)),IF(INDEX('AFA Rates'!$A$5:$A$1004,$T1268)="","",INDEX('AFA Rates'!$A$5:$A$1004,$T1268))))</f>
        <v/>
      </c>
      <c r="B1268" s="79">
        <f>IF(OR($T1268="",$U1268=""),IF($T1268="","","Not on Firms tab"),INDEX(Firms!$B$5:$B$1004,$U1268)&amp;"")</f>
        <v/>
      </c>
      <c r="C1268" s="78">
        <f>IF($T1268="","",IF($S1268="S","Standard",INDEX('AFA Rates'!$B$5:$B$1004,$T1268)&amp;""))</f>
        <v/>
      </c>
      <c r="D1268" s="88">
        <f>IF($T1268="","",IF($S1268="S",IF(INDEX(Firms!$E$5:$E$1004,$T1268)="","",INDEX(Firms!$E$5:$E$1004,$T1268)),IF(INDEX('AFA Rates'!$C$5:$C$1004,$T1268)="","",INDEX('AFA Rates'!$C$5:$C$1004,$T1268))))</f>
        <v/>
      </c>
      <c r="E1268" s="88">
        <f>IF($T1268="","",IF($S1268="S",IF(""="","",""),IF(INDEX('AFA Rates'!$D$5:$D$1004,$T1268)="","",INDEX('AFA Rates'!$D$5:$D$1004,$T1268))))</f>
        <v/>
      </c>
      <c r="F1268" s="79">
        <f>IF($T1268="","",IF($S1268="S",IF(INDEX(Firms!$O$5:$O$1004,$T1268)="","",INDEX(Firms!$O$5:$O$1004,$T1268)),IF(INDEX('AFA Rates'!$O$5:$O$1004,$T1268)="","",INDEX('AFA Rates'!$O$5:$O$1004,$T1268))))</f>
        <v/>
      </c>
      <c r="G1268" s="50">
        <f>IF($T1268="","",IF($S1268="S",IF(INDEX(Firms!$F$5:$F$1004,$T1268)="","",INDEX(Firms!$F$5:$F$1004,$T1268)),IF(INDEX('AFA Rates'!$E$5:$E$1004,$T1268)="","",INDEX('AFA Rates'!$E$5:$E$1004,$T1268))))</f>
        <v/>
      </c>
      <c r="H1268" s="50">
        <f>IF($T1268="","",IF($S1268="S",IF(INDEX(Firms!$G$5:$G$1004,$T1268)="","",INDEX(Firms!$G$5:$G$1004,$T1268)),IF(INDEX('AFA Rates'!$F$5:$F$1004,$T1268)="","",INDEX('AFA Rates'!$F$5:$F$1004,$T1268))))</f>
        <v/>
      </c>
      <c r="I1268" s="50">
        <f>IF($T1268="","",IF($S1268="S",IF(INDEX(Firms!$H$5:$H$1004,$T1268)="","",INDEX(Firms!$H$5:$H$1004,$T1268)),IF(INDEX('AFA Rates'!$G$5:$G$1004,$T1268)="","",INDEX('AFA Rates'!$G$5:$G$1004,$T1268))))</f>
        <v/>
      </c>
      <c r="J1268" s="50">
        <f>IF($T1268="","",IF($S1268="S",IF(INDEX(Firms!$I$5:$I$1004,$T1268)="","",INDEX(Firms!$I$5:$I$1004,$T1268)),IF(INDEX('AFA Rates'!$H$5:$H$1004,$T1268)="","",INDEX('AFA Rates'!$H$5:$H$1004,$T1268))))</f>
        <v/>
      </c>
      <c r="K1268" s="50">
        <f>IF($T1268="","",IF($S1268="S",IF(INDEX(Firms!$J$5:$J$1004,$T1268)="","",INDEX(Firms!$J$5:$J$1004,$T1268)),IF(INDEX('AFA Rates'!$I$5:$I$1004,$T1268)="","",INDEX('AFA Rates'!$I$5:$I$1004,$T1268))))</f>
        <v/>
      </c>
      <c r="L1268" s="50">
        <f>IF($T1268="","",IF($S1268="S",IF(INDEX(Firms!$K$5:$K$1004,$T1268)="","",INDEX(Firms!$K$5:$K$1004,$T1268)),IF(INDEX('AFA Rates'!$J$5:$J$1004,$T1268)="","",INDEX('AFA Rates'!$J$5:$J$1004,$T1268))))</f>
        <v/>
      </c>
      <c r="M1268" s="50">
        <f>IF($T1268="","",IF($S1268="S",IF(INDEX(Firms!$L$5:$L$1004,$T1268)="","",INDEX(Firms!$L$5:$L$1004,$T1268)),IF(INDEX('AFA Rates'!$K$5:$K$1004,$T1268)="","",INDEX('AFA Rates'!$K$5:$K$1004,$T1268))))</f>
        <v/>
      </c>
      <c r="N1268" s="50">
        <f>IF($T1268="","",IF($S1268="S",IF(INDEX(Firms!$M$5:$M$1004,$T1268)="","",INDEX(Firms!$M$5:$M$1004,$T1268)),IF(INDEX('AFA Rates'!$L$5:$L$1004,$T1268)="","",INDEX('AFA Rates'!$L$5:$L$1004,$T1268))))</f>
        <v/>
      </c>
      <c r="O1268" s="78">
        <f>IF(OR($T1268="",$U1268=""),"",IF(INDEX(Firms!$C$5:$C$1004,$U1268)="","",INDEX(Firms!$C$5:$C$1004,$U1268)))</f>
        <v/>
      </c>
      <c r="P1268" s="79">
        <f>IF(OR($T1268="",$U1268=""),"",IF(INDEX(Firms!$N$5:$N$1004,$U1268)="","",INDEX(Firms!$N$5:$N$1004,$U1268)))</f>
        <v/>
      </c>
      <c r="Q1268" s="78">
        <f>IF($T1268="","",IF($S1268="S",IF(INDEX(Firms!$T$5:$T$1004,$T1268)="","",INDEX(Firms!$T$5:$T$1004,$T1268)),IF(INDEX('AFA Rates'!$M$5:$M$1004,$T1268)="","",INDEX('AFA Rates'!$M$5:$M$1004,$T1268))))</f>
        <v/>
      </c>
      <c r="S1268">
        <f>IF(1264&lt;=$S$2,"S",IF(1264&lt;=$S$2+$T$2,"A",""))</f>
        <v/>
      </c>
      <c r="T1268">
        <f>IF(S1268="S",MATCH(1264,Firms!$W$5:$W$1004,0),IF(S1268="A",IFERROR(MATCH(1264-$S$2,'AFA Rates'!$R$5:$R$1004,0),""),""))</f>
        <v/>
      </c>
      <c r="U1268">
        <f>IF(S1268="S",T1268,IF(AND(S1268="A",T1268&lt;&gt;""),IFERROR(MATCH(INDEX('AFA Rates'!$A$5:$A$1004,T1268),Firms!$A$5:$A$1004,0),""),""))</f>
        <v/>
      </c>
    </row>
    <row r="1269">
      <c r="A1269" s="78">
        <f>IF($T1269="","",IF($S1269="S",IF(INDEX(Firms!$A$5:$A$1004,$T1269)="","",INDEX(Firms!$A$5:$A$1004,$T1269)),IF(INDEX('AFA Rates'!$A$5:$A$1004,$T1269)="","",INDEX('AFA Rates'!$A$5:$A$1004,$T1269))))</f>
        <v/>
      </c>
      <c r="B1269" s="79">
        <f>IF(OR($T1269="",$U1269=""),IF($T1269="","","Not on Firms tab"),INDEX(Firms!$B$5:$B$1004,$U1269)&amp;"")</f>
        <v/>
      </c>
      <c r="C1269" s="78">
        <f>IF($T1269="","",IF($S1269="S","Standard",INDEX('AFA Rates'!$B$5:$B$1004,$T1269)&amp;""))</f>
        <v/>
      </c>
      <c r="D1269" s="88">
        <f>IF($T1269="","",IF($S1269="S",IF(INDEX(Firms!$E$5:$E$1004,$T1269)="","",INDEX(Firms!$E$5:$E$1004,$T1269)),IF(INDEX('AFA Rates'!$C$5:$C$1004,$T1269)="","",INDEX('AFA Rates'!$C$5:$C$1004,$T1269))))</f>
        <v/>
      </c>
      <c r="E1269" s="88">
        <f>IF($T1269="","",IF($S1269="S",IF(""="","",""),IF(INDEX('AFA Rates'!$D$5:$D$1004,$T1269)="","",INDEX('AFA Rates'!$D$5:$D$1004,$T1269))))</f>
        <v/>
      </c>
      <c r="F1269" s="79">
        <f>IF($T1269="","",IF($S1269="S",IF(INDEX(Firms!$O$5:$O$1004,$T1269)="","",INDEX(Firms!$O$5:$O$1004,$T1269)),IF(INDEX('AFA Rates'!$O$5:$O$1004,$T1269)="","",INDEX('AFA Rates'!$O$5:$O$1004,$T1269))))</f>
        <v/>
      </c>
      <c r="G1269" s="50">
        <f>IF($T1269="","",IF($S1269="S",IF(INDEX(Firms!$F$5:$F$1004,$T1269)="","",INDEX(Firms!$F$5:$F$1004,$T1269)),IF(INDEX('AFA Rates'!$E$5:$E$1004,$T1269)="","",INDEX('AFA Rates'!$E$5:$E$1004,$T1269))))</f>
        <v/>
      </c>
      <c r="H1269" s="50">
        <f>IF($T1269="","",IF($S1269="S",IF(INDEX(Firms!$G$5:$G$1004,$T1269)="","",INDEX(Firms!$G$5:$G$1004,$T1269)),IF(INDEX('AFA Rates'!$F$5:$F$1004,$T1269)="","",INDEX('AFA Rates'!$F$5:$F$1004,$T1269))))</f>
        <v/>
      </c>
      <c r="I1269" s="50">
        <f>IF($T1269="","",IF($S1269="S",IF(INDEX(Firms!$H$5:$H$1004,$T1269)="","",INDEX(Firms!$H$5:$H$1004,$T1269)),IF(INDEX('AFA Rates'!$G$5:$G$1004,$T1269)="","",INDEX('AFA Rates'!$G$5:$G$1004,$T1269))))</f>
        <v/>
      </c>
      <c r="J1269" s="50">
        <f>IF($T1269="","",IF($S1269="S",IF(INDEX(Firms!$I$5:$I$1004,$T1269)="","",INDEX(Firms!$I$5:$I$1004,$T1269)),IF(INDEX('AFA Rates'!$H$5:$H$1004,$T1269)="","",INDEX('AFA Rates'!$H$5:$H$1004,$T1269))))</f>
        <v/>
      </c>
      <c r="K1269" s="50">
        <f>IF($T1269="","",IF($S1269="S",IF(INDEX(Firms!$J$5:$J$1004,$T1269)="","",INDEX(Firms!$J$5:$J$1004,$T1269)),IF(INDEX('AFA Rates'!$I$5:$I$1004,$T1269)="","",INDEX('AFA Rates'!$I$5:$I$1004,$T1269))))</f>
        <v/>
      </c>
      <c r="L1269" s="50">
        <f>IF($T1269="","",IF($S1269="S",IF(INDEX(Firms!$K$5:$K$1004,$T1269)="","",INDEX(Firms!$K$5:$K$1004,$T1269)),IF(INDEX('AFA Rates'!$J$5:$J$1004,$T1269)="","",INDEX('AFA Rates'!$J$5:$J$1004,$T1269))))</f>
        <v/>
      </c>
      <c r="M1269" s="50">
        <f>IF($T1269="","",IF($S1269="S",IF(INDEX(Firms!$L$5:$L$1004,$T1269)="","",INDEX(Firms!$L$5:$L$1004,$T1269)),IF(INDEX('AFA Rates'!$K$5:$K$1004,$T1269)="","",INDEX('AFA Rates'!$K$5:$K$1004,$T1269))))</f>
        <v/>
      </c>
      <c r="N1269" s="50">
        <f>IF($T1269="","",IF($S1269="S",IF(INDEX(Firms!$M$5:$M$1004,$T1269)="","",INDEX(Firms!$M$5:$M$1004,$T1269)),IF(INDEX('AFA Rates'!$L$5:$L$1004,$T1269)="","",INDEX('AFA Rates'!$L$5:$L$1004,$T1269))))</f>
        <v/>
      </c>
      <c r="O1269" s="78">
        <f>IF(OR($T1269="",$U1269=""),"",IF(INDEX(Firms!$C$5:$C$1004,$U1269)="","",INDEX(Firms!$C$5:$C$1004,$U1269)))</f>
        <v/>
      </c>
      <c r="P1269" s="79">
        <f>IF(OR($T1269="",$U1269=""),"",IF(INDEX(Firms!$N$5:$N$1004,$U1269)="","",INDEX(Firms!$N$5:$N$1004,$U1269)))</f>
        <v/>
      </c>
      <c r="Q1269" s="78">
        <f>IF($T1269="","",IF($S1269="S",IF(INDEX(Firms!$T$5:$T$1004,$T1269)="","",INDEX(Firms!$T$5:$T$1004,$T1269)),IF(INDEX('AFA Rates'!$M$5:$M$1004,$T1269)="","",INDEX('AFA Rates'!$M$5:$M$1004,$T1269))))</f>
        <v/>
      </c>
      <c r="S1269">
        <f>IF(1265&lt;=$S$2,"S",IF(1265&lt;=$S$2+$T$2,"A",""))</f>
        <v/>
      </c>
      <c r="T1269">
        <f>IF(S1269="S",MATCH(1265,Firms!$W$5:$W$1004,0),IF(S1269="A",IFERROR(MATCH(1265-$S$2,'AFA Rates'!$R$5:$R$1004,0),""),""))</f>
        <v/>
      </c>
      <c r="U1269">
        <f>IF(S1269="S",T1269,IF(AND(S1269="A",T1269&lt;&gt;""),IFERROR(MATCH(INDEX('AFA Rates'!$A$5:$A$1004,T1269),Firms!$A$5:$A$1004,0),""),""))</f>
        <v/>
      </c>
    </row>
    <row r="1270">
      <c r="A1270" s="78">
        <f>IF($T1270="","",IF($S1270="S",IF(INDEX(Firms!$A$5:$A$1004,$T1270)="","",INDEX(Firms!$A$5:$A$1004,$T1270)),IF(INDEX('AFA Rates'!$A$5:$A$1004,$T1270)="","",INDEX('AFA Rates'!$A$5:$A$1004,$T1270))))</f>
        <v/>
      </c>
      <c r="B1270" s="79">
        <f>IF(OR($T1270="",$U1270=""),IF($T1270="","","Not on Firms tab"),INDEX(Firms!$B$5:$B$1004,$U1270)&amp;"")</f>
        <v/>
      </c>
      <c r="C1270" s="78">
        <f>IF($T1270="","",IF($S1270="S","Standard",INDEX('AFA Rates'!$B$5:$B$1004,$T1270)&amp;""))</f>
        <v/>
      </c>
      <c r="D1270" s="88">
        <f>IF($T1270="","",IF($S1270="S",IF(INDEX(Firms!$E$5:$E$1004,$T1270)="","",INDEX(Firms!$E$5:$E$1004,$T1270)),IF(INDEX('AFA Rates'!$C$5:$C$1004,$T1270)="","",INDEX('AFA Rates'!$C$5:$C$1004,$T1270))))</f>
        <v/>
      </c>
      <c r="E1270" s="88">
        <f>IF($T1270="","",IF($S1270="S",IF(""="","",""),IF(INDEX('AFA Rates'!$D$5:$D$1004,$T1270)="","",INDEX('AFA Rates'!$D$5:$D$1004,$T1270))))</f>
        <v/>
      </c>
      <c r="F1270" s="79">
        <f>IF($T1270="","",IF($S1270="S",IF(INDEX(Firms!$O$5:$O$1004,$T1270)="","",INDEX(Firms!$O$5:$O$1004,$T1270)),IF(INDEX('AFA Rates'!$O$5:$O$1004,$T1270)="","",INDEX('AFA Rates'!$O$5:$O$1004,$T1270))))</f>
        <v/>
      </c>
      <c r="G1270" s="50">
        <f>IF($T1270="","",IF($S1270="S",IF(INDEX(Firms!$F$5:$F$1004,$T1270)="","",INDEX(Firms!$F$5:$F$1004,$T1270)),IF(INDEX('AFA Rates'!$E$5:$E$1004,$T1270)="","",INDEX('AFA Rates'!$E$5:$E$1004,$T1270))))</f>
        <v/>
      </c>
      <c r="H1270" s="50">
        <f>IF($T1270="","",IF($S1270="S",IF(INDEX(Firms!$G$5:$G$1004,$T1270)="","",INDEX(Firms!$G$5:$G$1004,$T1270)),IF(INDEX('AFA Rates'!$F$5:$F$1004,$T1270)="","",INDEX('AFA Rates'!$F$5:$F$1004,$T1270))))</f>
        <v/>
      </c>
      <c r="I1270" s="50">
        <f>IF($T1270="","",IF($S1270="S",IF(INDEX(Firms!$H$5:$H$1004,$T1270)="","",INDEX(Firms!$H$5:$H$1004,$T1270)),IF(INDEX('AFA Rates'!$G$5:$G$1004,$T1270)="","",INDEX('AFA Rates'!$G$5:$G$1004,$T1270))))</f>
        <v/>
      </c>
      <c r="J1270" s="50">
        <f>IF($T1270="","",IF($S1270="S",IF(INDEX(Firms!$I$5:$I$1004,$T1270)="","",INDEX(Firms!$I$5:$I$1004,$T1270)),IF(INDEX('AFA Rates'!$H$5:$H$1004,$T1270)="","",INDEX('AFA Rates'!$H$5:$H$1004,$T1270))))</f>
        <v/>
      </c>
      <c r="K1270" s="50">
        <f>IF($T1270="","",IF($S1270="S",IF(INDEX(Firms!$J$5:$J$1004,$T1270)="","",INDEX(Firms!$J$5:$J$1004,$T1270)),IF(INDEX('AFA Rates'!$I$5:$I$1004,$T1270)="","",INDEX('AFA Rates'!$I$5:$I$1004,$T1270))))</f>
        <v/>
      </c>
      <c r="L1270" s="50">
        <f>IF($T1270="","",IF($S1270="S",IF(INDEX(Firms!$K$5:$K$1004,$T1270)="","",INDEX(Firms!$K$5:$K$1004,$T1270)),IF(INDEX('AFA Rates'!$J$5:$J$1004,$T1270)="","",INDEX('AFA Rates'!$J$5:$J$1004,$T1270))))</f>
        <v/>
      </c>
      <c r="M1270" s="50">
        <f>IF($T1270="","",IF($S1270="S",IF(INDEX(Firms!$L$5:$L$1004,$T1270)="","",INDEX(Firms!$L$5:$L$1004,$T1270)),IF(INDEX('AFA Rates'!$K$5:$K$1004,$T1270)="","",INDEX('AFA Rates'!$K$5:$K$1004,$T1270))))</f>
        <v/>
      </c>
      <c r="N1270" s="50">
        <f>IF($T1270="","",IF($S1270="S",IF(INDEX(Firms!$M$5:$M$1004,$T1270)="","",INDEX(Firms!$M$5:$M$1004,$T1270)),IF(INDEX('AFA Rates'!$L$5:$L$1004,$T1270)="","",INDEX('AFA Rates'!$L$5:$L$1004,$T1270))))</f>
        <v/>
      </c>
      <c r="O1270" s="78">
        <f>IF(OR($T1270="",$U1270=""),"",IF(INDEX(Firms!$C$5:$C$1004,$U1270)="","",INDEX(Firms!$C$5:$C$1004,$U1270)))</f>
        <v/>
      </c>
      <c r="P1270" s="79">
        <f>IF(OR($T1270="",$U1270=""),"",IF(INDEX(Firms!$N$5:$N$1004,$U1270)="","",INDEX(Firms!$N$5:$N$1004,$U1270)))</f>
        <v/>
      </c>
      <c r="Q1270" s="78">
        <f>IF($T1270="","",IF($S1270="S",IF(INDEX(Firms!$T$5:$T$1004,$T1270)="","",INDEX(Firms!$T$5:$T$1004,$T1270)),IF(INDEX('AFA Rates'!$M$5:$M$1004,$T1270)="","",INDEX('AFA Rates'!$M$5:$M$1004,$T1270))))</f>
        <v/>
      </c>
      <c r="S1270">
        <f>IF(1266&lt;=$S$2,"S",IF(1266&lt;=$S$2+$T$2,"A",""))</f>
        <v/>
      </c>
      <c r="T1270">
        <f>IF(S1270="S",MATCH(1266,Firms!$W$5:$W$1004,0),IF(S1270="A",IFERROR(MATCH(1266-$S$2,'AFA Rates'!$R$5:$R$1004,0),""),""))</f>
        <v/>
      </c>
      <c r="U1270">
        <f>IF(S1270="S",T1270,IF(AND(S1270="A",T1270&lt;&gt;""),IFERROR(MATCH(INDEX('AFA Rates'!$A$5:$A$1004,T1270),Firms!$A$5:$A$1004,0),""),""))</f>
        <v/>
      </c>
    </row>
    <row r="1271">
      <c r="A1271" s="78">
        <f>IF($T1271="","",IF($S1271="S",IF(INDEX(Firms!$A$5:$A$1004,$T1271)="","",INDEX(Firms!$A$5:$A$1004,$T1271)),IF(INDEX('AFA Rates'!$A$5:$A$1004,$T1271)="","",INDEX('AFA Rates'!$A$5:$A$1004,$T1271))))</f>
        <v/>
      </c>
      <c r="B1271" s="79">
        <f>IF(OR($T1271="",$U1271=""),IF($T1271="","","Not on Firms tab"),INDEX(Firms!$B$5:$B$1004,$U1271)&amp;"")</f>
        <v/>
      </c>
      <c r="C1271" s="78">
        <f>IF($T1271="","",IF($S1271="S","Standard",INDEX('AFA Rates'!$B$5:$B$1004,$T1271)&amp;""))</f>
        <v/>
      </c>
      <c r="D1271" s="88">
        <f>IF($T1271="","",IF($S1271="S",IF(INDEX(Firms!$E$5:$E$1004,$T1271)="","",INDEX(Firms!$E$5:$E$1004,$T1271)),IF(INDEX('AFA Rates'!$C$5:$C$1004,$T1271)="","",INDEX('AFA Rates'!$C$5:$C$1004,$T1271))))</f>
        <v/>
      </c>
      <c r="E1271" s="88">
        <f>IF($T1271="","",IF($S1271="S",IF(""="","",""),IF(INDEX('AFA Rates'!$D$5:$D$1004,$T1271)="","",INDEX('AFA Rates'!$D$5:$D$1004,$T1271))))</f>
        <v/>
      </c>
      <c r="F1271" s="79">
        <f>IF($T1271="","",IF($S1271="S",IF(INDEX(Firms!$O$5:$O$1004,$T1271)="","",INDEX(Firms!$O$5:$O$1004,$T1271)),IF(INDEX('AFA Rates'!$O$5:$O$1004,$T1271)="","",INDEX('AFA Rates'!$O$5:$O$1004,$T1271))))</f>
        <v/>
      </c>
      <c r="G1271" s="50">
        <f>IF($T1271="","",IF($S1271="S",IF(INDEX(Firms!$F$5:$F$1004,$T1271)="","",INDEX(Firms!$F$5:$F$1004,$T1271)),IF(INDEX('AFA Rates'!$E$5:$E$1004,$T1271)="","",INDEX('AFA Rates'!$E$5:$E$1004,$T1271))))</f>
        <v/>
      </c>
      <c r="H1271" s="50">
        <f>IF($T1271="","",IF($S1271="S",IF(INDEX(Firms!$G$5:$G$1004,$T1271)="","",INDEX(Firms!$G$5:$G$1004,$T1271)),IF(INDEX('AFA Rates'!$F$5:$F$1004,$T1271)="","",INDEX('AFA Rates'!$F$5:$F$1004,$T1271))))</f>
        <v/>
      </c>
      <c r="I1271" s="50">
        <f>IF($T1271="","",IF($S1271="S",IF(INDEX(Firms!$H$5:$H$1004,$T1271)="","",INDEX(Firms!$H$5:$H$1004,$T1271)),IF(INDEX('AFA Rates'!$G$5:$G$1004,$T1271)="","",INDEX('AFA Rates'!$G$5:$G$1004,$T1271))))</f>
        <v/>
      </c>
      <c r="J1271" s="50">
        <f>IF($T1271="","",IF($S1271="S",IF(INDEX(Firms!$I$5:$I$1004,$T1271)="","",INDEX(Firms!$I$5:$I$1004,$T1271)),IF(INDEX('AFA Rates'!$H$5:$H$1004,$T1271)="","",INDEX('AFA Rates'!$H$5:$H$1004,$T1271))))</f>
        <v/>
      </c>
      <c r="K1271" s="50">
        <f>IF($T1271="","",IF($S1271="S",IF(INDEX(Firms!$J$5:$J$1004,$T1271)="","",INDEX(Firms!$J$5:$J$1004,$T1271)),IF(INDEX('AFA Rates'!$I$5:$I$1004,$T1271)="","",INDEX('AFA Rates'!$I$5:$I$1004,$T1271))))</f>
        <v/>
      </c>
      <c r="L1271" s="50">
        <f>IF($T1271="","",IF($S1271="S",IF(INDEX(Firms!$K$5:$K$1004,$T1271)="","",INDEX(Firms!$K$5:$K$1004,$T1271)),IF(INDEX('AFA Rates'!$J$5:$J$1004,$T1271)="","",INDEX('AFA Rates'!$J$5:$J$1004,$T1271))))</f>
        <v/>
      </c>
      <c r="M1271" s="50">
        <f>IF($T1271="","",IF($S1271="S",IF(INDEX(Firms!$L$5:$L$1004,$T1271)="","",INDEX(Firms!$L$5:$L$1004,$T1271)),IF(INDEX('AFA Rates'!$K$5:$K$1004,$T1271)="","",INDEX('AFA Rates'!$K$5:$K$1004,$T1271))))</f>
        <v/>
      </c>
      <c r="N1271" s="50">
        <f>IF($T1271="","",IF($S1271="S",IF(INDEX(Firms!$M$5:$M$1004,$T1271)="","",INDEX(Firms!$M$5:$M$1004,$T1271)),IF(INDEX('AFA Rates'!$L$5:$L$1004,$T1271)="","",INDEX('AFA Rates'!$L$5:$L$1004,$T1271))))</f>
        <v/>
      </c>
      <c r="O1271" s="78">
        <f>IF(OR($T1271="",$U1271=""),"",IF(INDEX(Firms!$C$5:$C$1004,$U1271)="","",INDEX(Firms!$C$5:$C$1004,$U1271)))</f>
        <v/>
      </c>
      <c r="P1271" s="79">
        <f>IF(OR($T1271="",$U1271=""),"",IF(INDEX(Firms!$N$5:$N$1004,$U1271)="","",INDEX(Firms!$N$5:$N$1004,$U1271)))</f>
        <v/>
      </c>
      <c r="Q1271" s="78">
        <f>IF($T1271="","",IF($S1271="S",IF(INDEX(Firms!$T$5:$T$1004,$T1271)="","",INDEX(Firms!$T$5:$T$1004,$T1271)),IF(INDEX('AFA Rates'!$M$5:$M$1004,$T1271)="","",INDEX('AFA Rates'!$M$5:$M$1004,$T1271))))</f>
        <v/>
      </c>
      <c r="S1271">
        <f>IF(1267&lt;=$S$2,"S",IF(1267&lt;=$S$2+$T$2,"A",""))</f>
        <v/>
      </c>
      <c r="T1271">
        <f>IF(S1271="S",MATCH(1267,Firms!$W$5:$W$1004,0),IF(S1271="A",IFERROR(MATCH(1267-$S$2,'AFA Rates'!$R$5:$R$1004,0),""),""))</f>
        <v/>
      </c>
      <c r="U1271">
        <f>IF(S1271="S",T1271,IF(AND(S1271="A",T1271&lt;&gt;""),IFERROR(MATCH(INDEX('AFA Rates'!$A$5:$A$1004,T1271),Firms!$A$5:$A$1004,0),""),""))</f>
        <v/>
      </c>
    </row>
    <row r="1272">
      <c r="A1272" s="78">
        <f>IF($T1272="","",IF($S1272="S",IF(INDEX(Firms!$A$5:$A$1004,$T1272)="","",INDEX(Firms!$A$5:$A$1004,$T1272)),IF(INDEX('AFA Rates'!$A$5:$A$1004,$T1272)="","",INDEX('AFA Rates'!$A$5:$A$1004,$T1272))))</f>
        <v/>
      </c>
      <c r="B1272" s="79">
        <f>IF(OR($T1272="",$U1272=""),IF($T1272="","","Not on Firms tab"),INDEX(Firms!$B$5:$B$1004,$U1272)&amp;"")</f>
        <v/>
      </c>
      <c r="C1272" s="78">
        <f>IF($T1272="","",IF($S1272="S","Standard",INDEX('AFA Rates'!$B$5:$B$1004,$T1272)&amp;""))</f>
        <v/>
      </c>
      <c r="D1272" s="88">
        <f>IF($T1272="","",IF($S1272="S",IF(INDEX(Firms!$E$5:$E$1004,$T1272)="","",INDEX(Firms!$E$5:$E$1004,$T1272)),IF(INDEX('AFA Rates'!$C$5:$C$1004,$T1272)="","",INDEX('AFA Rates'!$C$5:$C$1004,$T1272))))</f>
        <v/>
      </c>
      <c r="E1272" s="88">
        <f>IF($T1272="","",IF($S1272="S",IF(""="","",""),IF(INDEX('AFA Rates'!$D$5:$D$1004,$T1272)="","",INDEX('AFA Rates'!$D$5:$D$1004,$T1272))))</f>
        <v/>
      </c>
      <c r="F1272" s="79">
        <f>IF($T1272="","",IF($S1272="S",IF(INDEX(Firms!$O$5:$O$1004,$T1272)="","",INDEX(Firms!$O$5:$O$1004,$T1272)),IF(INDEX('AFA Rates'!$O$5:$O$1004,$T1272)="","",INDEX('AFA Rates'!$O$5:$O$1004,$T1272))))</f>
        <v/>
      </c>
      <c r="G1272" s="50">
        <f>IF($T1272="","",IF($S1272="S",IF(INDEX(Firms!$F$5:$F$1004,$T1272)="","",INDEX(Firms!$F$5:$F$1004,$T1272)),IF(INDEX('AFA Rates'!$E$5:$E$1004,$T1272)="","",INDEX('AFA Rates'!$E$5:$E$1004,$T1272))))</f>
        <v/>
      </c>
      <c r="H1272" s="50">
        <f>IF($T1272="","",IF($S1272="S",IF(INDEX(Firms!$G$5:$G$1004,$T1272)="","",INDEX(Firms!$G$5:$G$1004,$T1272)),IF(INDEX('AFA Rates'!$F$5:$F$1004,$T1272)="","",INDEX('AFA Rates'!$F$5:$F$1004,$T1272))))</f>
        <v/>
      </c>
      <c r="I1272" s="50">
        <f>IF($T1272="","",IF($S1272="S",IF(INDEX(Firms!$H$5:$H$1004,$T1272)="","",INDEX(Firms!$H$5:$H$1004,$T1272)),IF(INDEX('AFA Rates'!$G$5:$G$1004,$T1272)="","",INDEX('AFA Rates'!$G$5:$G$1004,$T1272))))</f>
        <v/>
      </c>
      <c r="J1272" s="50">
        <f>IF($T1272="","",IF($S1272="S",IF(INDEX(Firms!$I$5:$I$1004,$T1272)="","",INDEX(Firms!$I$5:$I$1004,$T1272)),IF(INDEX('AFA Rates'!$H$5:$H$1004,$T1272)="","",INDEX('AFA Rates'!$H$5:$H$1004,$T1272))))</f>
        <v/>
      </c>
      <c r="K1272" s="50">
        <f>IF($T1272="","",IF($S1272="S",IF(INDEX(Firms!$J$5:$J$1004,$T1272)="","",INDEX(Firms!$J$5:$J$1004,$T1272)),IF(INDEX('AFA Rates'!$I$5:$I$1004,$T1272)="","",INDEX('AFA Rates'!$I$5:$I$1004,$T1272))))</f>
        <v/>
      </c>
      <c r="L1272" s="50">
        <f>IF($T1272="","",IF($S1272="S",IF(INDEX(Firms!$K$5:$K$1004,$T1272)="","",INDEX(Firms!$K$5:$K$1004,$T1272)),IF(INDEX('AFA Rates'!$J$5:$J$1004,$T1272)="","",INDEX('AFA Rates'!$J$5:$J$1004,$T1272))))</f>
        <v/>
      </c>
      <c r="M1272" s="50">
        <f>IF($T1272="","",IF($S1272="S",IF(INDEX(Firms!$L$5:$L$1004,$T1272)="","",INDEX(Firms!$L$5:$L$1004,$T1272)),IF(INDEX('AFA Rates'!$K$5:$K$1004,$T1272)="","",INDEX('AFA Rates'!$K$5:$K$1004,$T1272))))</f>
        <v/>
      </c>
      <c r="N1272" s="50">
        <f>IF($T1272="","",IF($S1272="S",IF(INDEX(Firms!$M$5:$M$1004,$T1272)="","",INDEX(Firms!$M$5:$M$1004,$T1272)),IF(INDEX('AFA Rates'!$L$5:$L$1004,$T1272)="","",INDEX('AFA Rates'!$L$5:$L$1004,$T1272))))</f>
        <v/>
      </c>
      <c r="O1272" s="78">
        <f>IF(OR($T1272="",$U1272=""),"",IF(INDEX(Firms!$C$5:$C$1004,$U1272)="","",INDEX(Firms!$C$5:$C$1004,$U1272)))</f>
        <v/>
      </c>
      <c r="P1272" s="79">
        <f>IF(OR($T1272="",$U1272=""),"",IF(INDEX(Firms!$N$5:$N$1004,$U1272)="","",INDEX(Firms!$N$5:$N$1004,$U1272)))</f>
        <v/>
      </c>
      <c r="Q1272" s="78">
        <f>IF($T1272="","",IF($S1272="S",IF(INDEX(Firms!$T$5:$T$1004,$T1272)="","",INDEX(Firms!$T$5:$T$1004,$T1272)),IF(INDEX('AFA Rates'!$M$5:$M$1004,$T1272)="","",INDEX('AFA Rates'!$M$5:$M$1004,$T1272))))</f>
        <v/>
      </c>
      <c r="S1272">
        <f>IF(1268&lt;=$S$2,"S",IF(1268&lt;=$S$2+$T$2,"A",""))</f>
        <v/>
      </c>
      <c r="T1272">
        <f>IF(S1272="S",MATCH(1268,Firms!$W$5:$W$1004,0),IF(S1272="A",IFERROR(MATCH(1268-$S$2,'AFA Rates'!$R$5:$R$1004,0),""),""))</f>
        <v/>
      </c>
      <c r="U1272">
        <f>IF(S1272="S",T1272,IF(AND(S1272="A",T1272&lt;&gt;""),IFERROR(MATCH(INDEX('AFA Rates'!$A$5:$A$1004,T1272),Firms!$A$5:$A$1004,0),""),""))</f>
        <v/>
      </c>
    </row>
    <row r="1273">
      <c r="A1273" s="78">
        <f>IF($T1273="","",IF($S1273="S",IF(INDEX(Firms!$A$5:$A$1004,$T1273)="","",INDEX(Firms!$A$5:$A$1004,$T1273)),IF(INDEX('AFA Rates'!$A$5:$A$1004,$T1273)="","",INDEX('AFA Rates'!$A$5:$A$1004,$T1273))))</f>
        <v/>
      </c>
      <c r="B1273" s="79">
        <f>IF(OR($T1273="",$U1273=""),IF($T1273="","","Not on Firms tab"),INDEX(Firms!$B$5:$B$1004,$U1273)&amp;"")</f>
        <v/>
      </c>
      <c r="C1273" s="78">
        <f>IF($T1273="","",IF($S1273="S","Standard",INDEX('AFA Rates'!$B$5:$B$1004,$T1273)&amp;""))</f>
        <v/>
      </c>
      <c r="D1273" s="88">
        <f>IF($T1273="","",IF($S1273="S",IF(INDEX(Firms!$E$5:$E$1004,$T1273)="","",INDEX(Firms!$E$5:$E$1004,$T1273)),IF(INDEX('AFA Rates'!$C$5:$C$1004,$T1273)="","",INDEX('AFA Rates'!$C$5:$C$1004,$T1273))))</f>
        <v/>
      </c>
      <c r="E1273" s="88">
        <f>IF($T1273="","",IF($S1273="S",IF(""="","",""),IF(INDEX('AFA Rates'!$D$5:$D$1004,$T1273)="","",INDEX('AFA Rates'!$D$5:$D$1004,$T1273))))</f>
        <v/>
      </c>
      <c r="F1273" s="79">
        <f>IF($T1273="","",IF($S1273="S",IF(INDEX(Firms!$O$5:$O$1004,$T1273)="","",INDEX(Firms!$O$5:$O$1004,$T1273)),IF(INDEX('AFA Rates'!$O$5:$O$1004,$T1273)="","",INDEX('AFA Rates'!$O$5:$O$1004,$T1273))))</f>
        <v/>
      </c>
      <c r="G1273" s="50">
        <f>IF($T1273="","",IF($S1273="S",IF(INDEX(Firms!$F$5:$F$1004,$T1273)="","",INDEX(Firms!$F$5:$F$1004,$T1273)),IF(INDEX('AFA Rates'!$E$5:$E$1004,$T1273)="","",INDEX('AFA Rates'!$E$5:$E$1004,$T1273))))</f>
        <v/>
      </c>
      <c r="H1273" s="50">
        <f>IF($T1273="","",IF($S1273="S",IF(INDEX(Firms!$G$5:$G$1004,$T1273)="","",INDEX(Firms!$G$5:$G$1004,$T1273)),IF(INDEX('AFA Rates'!$F$5:$F$1004,$T1273)="","",INDEX('AFA Rates'!$F$5:$F$1004,$T1273))))</f>
        <v/>
      </c>
      <c r="I1273" s="50">
        <f>IF($T1273="","",IF($S1273="S",IF(INDEX(Firms!$H$5:$H$1004,$T1273)="","",INDEX(Firms!$H$5:$H$1004,$T1273)),IF(INDEX('AFA Rates'!$G$5:$G$1004,$T1273)="","",INDEX('AFA Rates'!$G$5:$G$1004,$T1273))))</f>
        <v/>
      </c>
      <c r="J1273" s="50">
        <f>IF($T1273="","",IF($S1273="S",IF(INDEX(Firms!$I$5:$I$1004,$T1273)="","",INDEX(Firms!$I$5:$I$1004,$T1273)),IF(INDEX('AFA Rates'!$H$5:$H$1004,$T1273)="","",INDEX('AFA Rates'!$H$5:$H$1004,$T1273))))</f>
        <v/>
      </c>
      <c r="K1273" s="50">
        <f>IF($T1273="","",IF($S1273="S",IF(INDEX(Firms!$J$5:$J$1004,$T1273)="","",INDEX(Firms!$J$5:$J$1004,$T1273)),IF(INDEX('AFA Rates'!$I$5:$I$1004,$T1273)="","",INDEX('AFA Rates'!$I$5:$I$1004,$T1273))))</f>
        <v/>
      </c>
      <c r="L1273" s="50">
        <f>IF($T1273="","",IF($S1273="S",IF(INDEX(Firms!$K$5:$K$1004,$T1273)="","",INDEX(Firms!$K$5:$K$1004,$T1273)),IF(INDEX('AFA Rates'!$J$5:$J$1004,$T1273)="","",INDEX('AFA Rates'!$J$5:$J$1004,$T1273))))</f>
        <v/>
      </c>
      <c r="M1273" s="50">
        <f>IF($T1273="","",IF($S1273="S",IF(INDEX(Firms!$L$5:$L$1004,$T1273)="","",INDEX(Firms!$L$5:$L$1004,$T1273)),IF(INDEX('AFA Rates'!$K$5:$K$1004,$T1273)="","",INDEX('AFA Rates'!$K$5:$K$1004,$T1273))))</f>
        <v/>
      </c>
      <c r="N1273" s="50">
        <f>IF($T1273="","",IF($S1273="S",IF(INDEX(Firms!$M$5:$M$1004,$T1273)="","",INDEX(Firms!$M$5:$M$1004,$T1273)),IF(INDEX('AFA Rates'!$L$5:$L$1004,$T1273)="","",INDEX('AFA Rates'!$L$5:$L$1004,$T1273))))</f>
        <v/>
      </c>
      <c r="O1273" s="78">
        <f>IF(OR($T1273="",$U1273=""),"",IF(INDEX(Firms!$C$5:$C$1004,$U1273)="","",INDEX(Firms!$C$5:$C$1004,$U1273)))</f>
        <v/>
      </c>
      <c r="P1273" s="79">
        <f>IF(OR($T1273="",$U1273=""),"",IF(INDEX(Firms!$N$5:$N$1004,$U1273)="","",INDEX(Firms!$N$5:$N$1004,$U1273)))</f>
        <v/>
      </c>
      <c r="Q1273" s="78">
        <f>IF($T1273="","",IF($S1273="S",IF(INDEX(Firms!$T$5:$T$1004,$T1273)="","",INDEX(Firms!$T$5:$T$1004,$T1273)),IF(INDEX('AFA Rates'!$M$5:$M$1004,$T1273)="","",INDEX('AFA Rates'!$M$5:$M$1004,$T1273))))</f>
        <v/>
      </c>
      <c r="S1273">
        <f>IF(1269&lt;=$S$2,"S",IF(1269&lt;=$S$2+$T$2,"A",""))</f>
        <v/>
      </c>
      <c r="T1273">
        <f>IF(S1273="S",MATCH(1269,Firms!$W$5:$W$1004,0),IF(S1273="A",IFERROR(MATCH(1269-$S$2,'AFA Rates'!$R$5:$R$1004,0),""),""))</f>
        <v/>
      </c>
      <c r="U1273">
        <f>IF(S1273="S",T1273,IF(AND(S1273="A",T1273&lt;&gt;""),IFERROR(MATCH(INDEX('AFA Rates'!$A$5:$A$1004,T1273),Firms!$A$5:$A$1004,0),""),""))</f>
        <v/>
      </c>
    </row>
    <row r="1274">
      <c r="A1274" s="78">
        <f>IF($T1274="","",IF($S1274="S",IF(INDEX(Firms!$A$5:$A$1004,$T1274)="","",INDEX(Firms!$A$5:$A$1004,$T1274)),IF(INDEX('AFA Rates'!$A$5:$A$1004,$T1274)="","",INDEX('AFA Rates'!$A$5:$A$1004,$T1274))))</f>
        <v/>
      </c>
      <c r="B1274" s="79">
        <f>IF(OR($T1274="",$U1274=""),IF($T1274="","","Not on Firms tab"),INDEX(Firms!$B$5:$B$1004,$U1274)&amp;"")</f>
        <v/>
      </c>
      <c r="C1274" s="78">
        <f>IF($T1274="","",IF($S1274="S","Standard",INDEX('AFA Rates'!$B$5:$B$1004,$T1274)&amp;""))</f>
        <v/>
      </c>
      <c r="D1274" s="88">
        <f>IF($T1274="","",IF($S1274="S",IF(INDEX(Firms!$E$5:$E$1004,$T1274)="","",INDEX(Firms!$E$5:$E$1004,$T1274)),IF(INDEX('AFA Rates'!$C$5:$C$1004,$T1274)="","",INDEX('AFA Rates'!$C$5:$C$1004,$T1274))))</f>
        <v/>
      </c>
      <c r="E1274" s="88">
        <f>IF($T1274="","",IF($S1274="S",IF(""="","",""),IF(INDEX('AFA Rates'!$D$5:$D$1004,$T1274)="","",INDEX('AFA Rates'!$D$5:$D$1004,$T1274))))</f>
        <v/>
      </c>
      <c r="F1274" s="79">
        <f>IF($T1274="","",IF($S1274="S",IF(INDEX(Firms!$O$5:$O$1004,$T1274)="","",INDEX(Firms!$O$5:$O$1004,$T1274)),IF(INDEX('AFA Rates'!$O$5:$O$1004,$T1274)="","",INDEX('AFA Rates'!$O$5:$O$1004,$T1274))))</f>
        <v/>
      </c>
      <c r="G1274" s="50">
        <f>IF($T1274="","",IF($S1274="S",IF(INDEX(Firms!$F$5:$F$1004,$T1274)="","",INDEX(Firms!$F$5:$F$1004,$T1274)),IF(INDEX('AFA Rates'!$E$5:$E$1004,$T1274)="","",INDEX('AFA Rates'!$E$5:$E$1004,$T1274))))</f>
        <v/>
      </c>
      <c r="H1274" s="50">
        <f>IF($T1274="","",IF($S1274="S",IF(INDEX(Firms!$G$5:$G$1004,$T1274)="","",INDEX(Firms!$G$5:$G$1004,$T1274)),IF(INDEX('AFA Rates'!$F$5:$F$1004,$T1274)="","",INDEX('AFA Rates'!$F$5:$F$1004,$T1274))))</f>
        <v/>
      </c>
      <c r="I1274" s="50">
        <f>IF($T1274="","",IF($S1274="S",IF(INDEX(Firms!$H$5:$H$1004,$T1274)="","",INDEX(Firms!$H$5:$H$1004,$T1274)),IF(INDEX('AFA Rates'!$G$5:$G$1004,$T1274)="","",INDEX('AFA Rates'!$G$5:$G$1004,$T1274))))</f>
        <v/>
      </c>
      <c r="J1274" s="50">
        <f>IF($T1274="","",IF($S1274="S",IF(INDEX(Firms!$I$5:$I$1004,$T1274)="","",INDEX(Firms!$I$5:$I$1004,$T1274)),IF(INDEX('AFA Rates'!$H$5:$H$1004,$T1274)="","",INDEX('AFA Rates'!$H$5:$H$1004,$T1274))))</f>
        <v/>
      </c>
      <c r="K1274" s="50">
        <f>IF($T1274="","",IF($S1274="S",IF(INDEX(Firms!$J$5:$J$1004,$T1274)="","",INDEX(Firms!$J$5:$J$1004,$T1274)),IF(INDEX('AFA Rates'!$I$5:$I$1004,$T1274)="","",INDEX('AFA Rates'!$I$5:$I$1004,$T1274))))</f>
        <v/>
      </c>
      <c r="L1274" s="50">
        <f>IF($T1274="","",IF($S1274="S",IF(INDEX(Firms!$K$5:$K$1004,$T1274)="","",INDEX(Firms!$K$5:$K$1004,$T1274)),IF(INDEX('AFA Rates'!$J$5:$J$1004,$T1274)="","",INDEX('AFA Rates'!$J$5:$J$1004,$T1274))))</f>
        <v/>
      </c>
      <c r="M1274" s="50">
        <f>IF($T1274="","",IF($S1274="S",IF(INDEX(Firms!$L$5:$L$1004,$T1274)="","",INDEX(Firms!$L$5:$L$1004,$T1274)),IF(INDEX('AFA Rates'!$K$5:$K$1004,$T1274)="","",INDEX('AFA Rates'!$K$5:$K$1004,$T1274))))</f>
        <v/>
      </c>
      <c r="N1274" s="50">
        <f>IF($T1274="","",IF($S1274="S",IF(INDEX(Firms!$M$5:$M$1004,$T1274)="","",INDEX(Firms!$M$5:$M$1004,$T1274)),IF(INDEX('AFA Rates'!$L$5:$L$1004,$T1274)="","",INDEX('AFA Rates'!$L$5:$L$1004,$T1274))))</f>
        <v/>
      </c>
      <c r="O1274" s="78">
        <f>IF(OR($T1274="",$U1274=""),"",IF(INDEX(Firms!$C$5:$C$1004,$U1274)="","",INDEX(Firms!$C$5:$C$1004,$U1274)))</f>
        <v/>
      </c>
      <c r="P1274" s="79">
        <f>IF(OR($T1274="",$U1274=""),"",IF(INDEX(Firms!$N$5:$N$1004,$U1274)="","",INDEX(Firms!$N$5:$N$1004,$U1274)))</f>
        <v/>
      </c>
      <c r="Q1274" s="78">
        <f>IF($T1274="","",IF($S1274="S",IF(INDEX(Firms!$T$5:$T$1004,$T1274)="","",INDEX(Firms!$T$5:$T$1004,$T1274)),IF(INDEX('AFA Rates'!$M$5:$M$1004,$T1274)="","",INDEX('AFA Rates'!$M$5:$M$1004,$T1274))))</f>
        <v/>
      </c>
      <c r="S1274">
        <f>IF(1270&lt;=$S$2,"S",IF(1270&lt;=$S$2+$T$2,"A",""))</f>
        <v/>
      </c>
      <c r="T1274">
        <f>IF(S1274="S",MATCH(1270,Firms!$W$5:$W$1004,0),IF(S1274="A",IFERROR(MATCH(1270-$S$2,'AFA Rates'!$R$5:$R$1004,0),""),""))</f>
        <v/>
      </c>
      <c r="U1274">
        <f>IF(S1274="S",T1274,IF(AND(S1274="A",T1274&lt;&gt;""),IFERROR(MATCH(INDEX('AFA Rates'!$A$5:$A$1004,T1274),Firms!$A$5:$A$1004,0),""),""))</f>
        <v/>
      </c>
    </row>
    <row r="1275">
      <c r="A1275" s="78">
        <f>IF($T1275="","",IF($S1275="S",IF(INDEX(Firms!$A$5:$A$1004,$T1275)="","",INDEX(Firms!$A$5:$A$1004,$T1275)),IF(INDEX('AFA Rates'!$A$5:$A$1004,$T1275)="","",INDEX('AFA Rates'!$A$5:$A$1004,$T1275))))</f>
        <v/>
      </c>
      <c r="B1275" s="79">
        <f>IF(OR($T1275="",$U1275=""),IF($T1275="","","Not on Firms tab"),INDEX(Firms!$B$5:$B$1004,$U1275)&amp;"")</f>
        <v/>
      </c>
      <c r="C1275" s="78">
        <f>IF($T1275="","",IF($S1275="S","Standard",INDEX('AFA Rates'!$B$5:$B$1004,$T1275)&amp;""))</f>
        <v/>
      </c>
      <c r="D1275" s="88">
        <f>IF($T1275="","",IF($S1275="S",IF(INDEX(Firms!$E$5:$E$1004,$T1275)="","",INDEX(Firms!$E$5:$E$1004,$T1275)),IF(INDEX('AFA Rates'!$C$5:$C$1004,$T1275)="","",INDEX('AFA Rates'!$C$5:$C$1004,$T1275))))</f>
        <v/>
      </c>
      <c r="E1275" s="88">
        <f>IF($T1275="","",IF($S1275="S",IF(""="","",""),IF(INDEX('AFA Rates'!$D$5:$D$1004,$T1275)="","",INDEX('AFA Rates'!$D$5:$D$1004,$T1275))))</f>
        <v/>
      </c>
      <c r="F1275" s="79">
        <f>IF($T1275="","",IF($S1275="S",IF(INDEX(Firms!$O$5:$O$1004,$T1275)="","",INDEX(Firms!$O$5:$O$1004,$T1275)),IF(INDEX('AFA Rates'!$O$5:$O$1004,$T1275)="","",INDEX('AFA Rates'!$O$5:$O$1004,$T1275))))</f>
        <v/>
      </c>
      <c r="G1275" s="50">
        <f>IF($T1275="","",IF($S1275="S",IF(INDEX(Firms!$F$5:$F$1004,$T1275)="","",INDEX(Firms!$F$5:$F$1004,$T1275)),IF(INDEX('AFA Rates'!$E$5:$E$1004,$T1275)="","",INDEX('AFA Rates'!$E$5:$E$1004,$T1275))))</f>
        <v/>
      </c>
      <c r="H1275" s="50">
        <f>IF($T1275="","",IF($S1275="S",IF(INDEX(Firms!$G$5:$G$1004,$T1275)="","",INDEX(Firms!$G$5:$G$1004,$T1275)),IF(INDEX('AFA Rates'!$F$5:$F$1004,$T1275)="","",INDEX('AFA Rates'!$F$5:$F$1004,$T1275))))</f>
        <v/>
      </c>
      <c r="I1275" s="50">
        <f>IF($T1275="","",IF($S1275="S",IF(INDEX(Firms!$H$5:$H$1004,$T1275)="","",INDEX(Firms!$H$5:$H$1004,$T1275)),IF(INDEX('AFA Rates'!$G$5:$G$1004,$T1275)="","",INDEX('AFA Rates'!$G$5:$G$1004,$T1275))))</f>
        <v/>
      </c>
      <c r="J1275" s="50">
        <f>IF($T1275="","",IF($S1275="S",IF(INDEX(Firms!$I$5:$I$1004,$T1275)="","",INDEX(Firms!$I$5:$I$1004,$T1275)),IF(INDEX('AFA Rates'!$H$5:$H$1004,$T1275)="","",INDEX('AFA Rates'!$H$5:$H$1004,$T1275))))</f>
        <v/>
      </c>
      <c r="K1275" s="50">
        <f>IF($T1275="","",IF($S1275="S",IF(INDEX(Firms!$J$5:$J$1004,$T1275)="","",INDEX(Firms!$J$5:$J$1004,$T1275)),IF(INDEX('AFA Rates'!$I$5:$I$1004,$T1275)="","",INDEX('AFA Rates'!$I$5:$I$1004,$T1275))))</f>
        <v/>
      </c>
      <c r="L1275" s="50">
        <f>IF($T1275="","",IF($S1275="S",IF(INDEX(Firms!$K$5:$K$1004,$T1275)="","",INDEX(Firms!$K$5:$K$1004,$T1275)),IF(INDEX('AFA Rates'!$J$5:$J$1004,$T1275)="","",INDEX('AFA Rates'!$J$5:$J$1004,$T1275))))</f>
        <v/>
      </c>
      <c r="M1275" s="50">
        <f>IF($T1275="","",IF($S1275="S",IF(INDEX(Firms!$L$5:$L$1004,$T1275)="","",INDEX(Firms!$L$5:$L$1004,$T1275)),IF(INDEX('AFA Rates'!$K$5:$K$1004,$T1275)="","",INDEX('AFA Rates'!$K$5:$K$1004,$T1275))))</f>
        <v/>
      </c>
      <c r="N1275" s="50">
        <f>IF($T1275="","",IF($S1275="S",IF(INDEX(Firms!$M$5:$M$1004,$T1275)="","",INDEX(Firms!$M$5:$M$1004,$T1275)),IF(INDEX('AFA Rates'!$L$5:$L$1004,$T1275)="","",INDEX('AFA Rates'!$L$5:$L$1004,$T1275))))</f>
        <v/>
      </c>
      <c r="O1275" s="78">
        <f>IF(OR($T1275="",$U1275=""),"",IF(INDEX(Firms!$C$5:$C$1004,$U1275)="","",INDEX(Firms!$C$5:$C$1004,$U1275)))</f>
        <v/>
      </c>
      <c r="P1275" s="79">
        <f>IF(OR($T1275="",$U1275=""),"",IF(INDEX(Firms!$N$5:$N$1004,$U1275)="","",INDEX(Firms!$N$5:$N$1004,$U1275)))</f>
        <v/>
      </c>
      <c r="Q1275" s="78">
        <f>IF($T1275="","",IF($S1275="S",IF(INDEX(Firms!$T$5:$T$1004,$T1275)="","",INDEX(Firms!$T$5:$T$1004,$T1275)),IF(INDEX('AFA Rates'!$M$5:$M$1004,$T1275)="","",INDEX('AFA Rates'!$M$5:$M$1004,$T1275))))</f>
        <v/>
      </c>
      <c r="S1275">
        <f>IF(1271&lt;=$S$2,"S",IF(1271&lt;=$S$2+$T$2,"A",""))</f>
        <v/>
      </c>
      <c r="T1275">
        <f>IF(S1275="S",MATCH(1271,Firms!$W$5:$W$1004,0),IF(S1275="A",IFERROR(MATCH(1271-$S$2,'AFA Rates'!$R$5:$R$1004,0),""),""))</f>
        <v/>
      </c>
      <c r="U1275">
        <f>IF(S1275="S",T1275,IF(AND(S1275="A",T1275&lt;&gt;""),IFERROR(MATCH(INDEX('AFA Rates'!$A$5:$A$1004,T1275),Firms!$A$5:$A$1004,0),""),""))</f>
        <v/>
      </c>
    </row>
    <row r="1276">
      <c r="A1276" s="78">
        <f>IF($T1276="","",IF($S1276="S",IF(INDEX(Firms!$A$5:$A$1004,$T1276)="","",INDEX(Firms!$A$5:$A$1004,$T1276)),IF(INDEX('AFA Rates'!$A$5:$A$1004,$T1276)="","",INDEX('AFA Rates'!$A$5:$A$1004,$T1276))))</f>
        <v/>
      </c>
      <c r="B1276" s="79">
        <f>IF(OR($T1276="",$U1276=""),IF($T1276="","","Not on Firms tab"),INDEX(Firms!$B$5:$B$1004,$U1276)&amp;"")</f>
        <v/>
      </c>
      <c r="C1276" s="78">
        <f>IF($T1276="","",IF($S1276="S","Standard",INDEX('AFA Rates'!$B$5:$B$1004,$T1276)&amp;""))</f>
        <v/>
      </c>
      <c r="D1276" s="88">
        <f>IF($T1276="","",IF($S1276="S",IF(INDEX(Firms!$E$5:$E$1004,$T1276)="","",INDEX(Firms!$E$5:$E$1004,$T1276)),IF(INDEX('AFA Rates'!$C$5:$C$1004,$T1276)="","",INDEX('AFA Rates'!$C$5:$C$1004,$T1276))))</f>
        <v/>
      </c>
      <c r="E1276" s="88">
        <f>IF($T1276="","",IF($S1276="S",IF(""="","",""),IF(INDEX('AFA Rates'!$D$5:$D$1004,$T1276)="","",INDEX('AFA Rates'!$D$5:$D$1004,$T1276))))</f>
        <v/>
      </c>
      <c r="F1276" s="79">
        <f>IF($T1276="","",IF($S1276="S",IF(INDEX(Firms!$O$5:$O$1004,$T1276)="","",INDEX(Firms!$O$5:$O$1004,$T1276)),IF(INDEX('AFA Rates'!$O$5:$O$1004,$T1276)="","",INDEX('AFA Rates'!$O$5:$O$1004,$T1276))))</f>
        <v/>
      </c>
      <c r="G1276" s="50">
        <f>IF($T1276="","",IF($S1276="S",IF(INDEX(Firms!$F$5:$F$1004,$T1276)="","",INDEX(Firms!$F$5:$F$1004,$T1276)),IF(INDEX('AFA Rates'!$E$5:$E$1004,$T1276)="","",INDEX('AFA Rates'!$E$5:$E$1004,$T1276))))</f>
        <v/>
      </c>
      <c r="H1276" s="50">
        <f>IF($T1276="","",IF($S1276="S",IF(INDEX(Firms!$G$5:$G$1004,$T1276)="","",INDEX(Firms!$G$5:$G$1004,$T1276)),IF(INDEX('AFA Rates'!$F$5:$F$1004,$T1276)="","",INDEX('AFA Rates'!$F$5:$F$1004,$T1276))))</f>
        <v/>
      </c>
      <c r="I1276" s="50">
        <f>IF($T1276="","",IF($S1276="S",IF(INDEX(Firms!$H$5:$H$1004,$T1276)="","",INDEX(Firms!$H$5:$H$1004,$T1276)),IF(INDEX('AFA Rates'!$G$5:$G$1004,$T1276)="","",INDEX('AFA Rates'!$G$5:$G$1004,$T1276))))</f>
        <v/>
      </c>
      <c r="J1276" s="50">
        <f>IF($T1276="","",IF($S1276="S",IF(INDEX(Firms!$I$5:$I$1004,$T1276)="","",INDEX(Firms!$I$5:$I$1004,$T1276)),IF(INDEX('AFA Rates'!$H$5:$H$1004,$T1276)="","",INDEX('AFA Rates'!$H$5:$H$1004,$T1276))))</f>
        <v/>
      </c>
      <c r="K1276" s="50">
        <f>IF($T1276="","",IF($S1276="S",IF(INDEX(Firms!$J$5:$J$1004,$T1276)="","",INDEX(Firms!$J$5:$J$1004,$T1276)),IF(INDEX('AFA Rates'!$I$5:$I$1004,$T1276)="","",INDEX('AFA Rates'!$I$5:$I$1004,$T1276))))</f>
        <v/>
      </c>
      <c r="L1276" s="50">
        <f>IF($T1276="","",IF($S1276="S",IF(INDEX(Firms!$K$5:$K$1004,$T1276)="","",INDEX(Firms!$K$5:$K$1004,$T1276)),IF(INDEX('AFA Rates'!$J$5:$J$1004,$T1276)="","",INDEX('AFA Rates'!$J$5:$J$1004,$T1276))))</f>
        <v/>
      </c>
      <c r="M1276" s="50">
        <f>IF($T1276="","",IF($S1276="S",IF(INDEX(Firms!$L$5:$L$1004,$T1276)="","",INDEX(Firms!$L$5:$L$1004,$T1276)),IF(INDEX('AFA Rates'!$K$5:$K$1004,$T1276)="","",INDEX('AFA Rates'!$K$5:$K$1004,$T1276))))</f>
        <v/>
      </c>
      <c r="N1276" s="50">
        <f>IF($T1276="","",IF($S1276="S",IF(INDEX(Firms!$M$5:$M$1004,$T1276)="","",INDEX(Firms!$M$5:$M$1004,$T1276)),IF(INDEX('AFA Rates'!$L$5:$L$1004,$T1276)="","",INDEX('AFA Rates'!$L$5:$L$1004,$T1276))))</f>
        <v/>
      </c>
      <c r="O1276" s="78">
        <f>IF(OR($T1276="",$U1276=""),"",IF(INDEX(Firms!$C$5:$C$1004,$U1276)="","",INDEX(Firms!$C$5:$C$1004,$U1276)))</f>
        <v/>
      </c>
      <c r="P1276" s="79">
        <f>IF(OR($T1276="",$U1276=""),"",IF(INDEX(Firms!$N$5:$N$1004,$U1276)="","",INDEX(Firms!$N$5:$N$1004,$U1276)))</f>
        <v/>
      </c>
      <c r="Q1276" s="78">
        <f>IF($T1276="","",IF($S1276="S",IF(INDEX(Firms!$T$5:$T$1004,$T1276)="","",INDEX(Firms!$T$5:$T$1004,$T1276)),IF(INDEX('AFA Rates'!$M$5:$M$1004,$T1276)="","",INDEX('AFA Rates'!$M$5:$M$1004,$T1276))))</f>
        <v/>
      </c>
      <c r="S1276">
        <f>IF(1272&lt;=$S$2,"S",IF(1272&lt;=$S$2+$T$2,"A",""))</f>
        <v/>
      </c>
      <c r="T1276">
        <f>IF(S1276="S",MATCH(1272,Firms!$W$5:$W$1004,0),IF(S1276="A",IFERROR(MATCH(1272-$S$2,'AFA Rates'!$R$5:$R$1004,0),""),""))</f>
        <v/>
      </c>
      <c r="U1276">
        <f>IF(S1276="S",T1276,IF(AND(S1276="A",T1276&lt;&gt;""),IFERROR(MATCH(INDEX('AFA Rates'!$A$5:$A$1004,T1276),Firms!$A$5:$A$1004,0),""),""))</f>
        <v/>
      </c>
    </row>
    <row r="1277">
      <c r="A1277" s="78">
        <f>IF($T1277="","",IF($S1277="S",IF(INDEX(Firms!$A$5:$A$1004,$T1277)="","",INDEX(Firms!$A$5:$A$1004,$T1277)),IF(INDEX('AFA Rates'!$A$5:$A$1004,$T1277)="","",INDEX('AFA Rates'!$A$5:$A$1004,$T1277))))</f>
        <v/>
      </c>
      <c r="B1277" s="79">
        <f>IF(OR($T1277="",$U1277=""),IF($T1277="","","Not on Firms tab"),INDEX(Firms!$B$5:$B$1004,$U1277)&amp;"")</f>
        <v/>
      </c>
      <c r="C1277" s="78">
        <f>IF($T1277="","",IF($S1277="S","Standard",INDEX('AFA Rates'!$B$5:$B$1004,$T1277)&amp;""))</f>
        <v/>
      </c>
      <c r="D1277" s="88">
        <f>IF($T1277="","",IF($S1277="S",IF(INDEX(Firms!$E$5:$E$1004,$T1277)="","",INDEX(Firms!$E$5:$E$1004,$T1277)),IF(INDEX('AFA Rates'!$C$5:$C$1004,$T1277)="","",INDEX('AFA Rates'!$C$5:$C$1004,$T1277))))</f>
        <v/>
      </c>
      <c r="E1277" s="88">
        <f>IF($T1277="","",IF($S1277="S",IF(""="","",""),IF(INDEX('AFA Rates'!$D$5:$D$1004,$T1277)="","",INDEX('AFA Rates'!$D$5:$D$1004,$T1277))))</f>
        <v/>
      </c>
      <c r="F1277" s="79">
        <f>IF($T1277="","",IF($S1277="S",IF(INDEX(Firms!$O$5:$O$1004,$T1277)="","",INDEX(Firms!$O$5:$O$1004,$T1277)),IF(INDEX('AFA Rates'!$O$5:$O$1004,$T1277)="","",INDEX('AFA Rates'!$O$5:$O$1004,$T1277))))</f>
        <v/>
      </c>
      <c r="G1277" s="50">
        <f>IF($T1277="","",IF($S1277="S",IF(INDEX(Firms!$F$5:$F$1004,$T1277)="","",INDEX(Firms!$F$5:$F$1004,$T1277)),IF(INDEX('AFA Rates'!$E$5:$E$1004,$T1277)="","",INDEX('AFA Rates'!$E$5:$E$1004,$T1277))))</f>
        <v/>
      </c>
      <c r="H1277" s="50">
        <f>IF($T1277="","",IF($S1277="S",IF(INDEX(Firms!$G$5:$G$1004,$T1277)="","",INDEX(Firms!$G$5:$G$1004,$T1277)),IF(INDEX('AFA Rates'!$F$5:$F$1004,$T1277)="","",INDEX('AFA Rates'!$F$5:$F$1004,$T1277))))</f>
        <v/>
      </c>
      <c r="I1277" s="50">
        <f>IF($T1277="","",IF($S1277="S",IF(INDEX(Firms!$H$5:$H$1004,$T1277)="","",INDEX(Firms!$H$5:$H$1004,$T1277)),IF(INDEX('AFA Rates'!$G$5:$G$1004,$T1277)="","",INDEX('AFA Rates'!$G$5:$G$1004,$T1277))))</f>
        <v/>
      </c>
      <c r="J1277" s="50">
        <f>IF($T1277="","",IF($S1277="S",IF(INDEX(Firms!$I$5:$I$1004,$T1277)="","",INDEX(Firms!$I$5:$I$1004,$T1277)),IF(INDEX('AFA Rates'!$H$5:$H$1004,$T1277)="","",INDEX('AFA Rates'!$H$5:$H$1004,$T1277))))</f>
        <v/>
      </c>
      <c r="K1277" s="50">
        <f>IF($T1277="","",IF($S1277="S",IF(INDEX(Firms!$J$5:$J$1004,$T1277)="","",INDEX(Firms!$J$5:$J$1004,$T1277)),IF(INDEX('AFA Rates'!$I$5:$I$1004,$T1277)="","",INDEX('AFA Rates'!$I$5:$I$1004,$T1277))))</f>
        <v/>
      </c>
      <c r="L1277" s="50">
        <f>IF($T1277="","",IF($S1277="S",IF(INDEX(Firms!$K$5:$K$1004,$T1277)="","",INDEX(Firms!$K$5:$K$1004,$T1277)),IF(INDEX('AFA Rates'!$J$5:$J$1004,$T1277)="","",INDEX('AFA Rates'!$J$5:$J$1004,$T1277))))</f>
        <v/>
      </c>
      <c r="M1277" s="50">
        <f>IF($T1277="","",IF($S1277="S",IF(INDEX(Firms!$L$5:$L$1004,$T1277)="","",INDEX(Firms!$L$5:$L$1004,$T1277)),IF(INDEX('AFA Rates'!$K$5:$K$1004,$T1277)="","",INDEX('AFA Rates'!$K$5:$K$1004,$T1277))))</f>
        <v/>
      </c>
      <c r="N1277" s="50">
        <f>IF($T1277="","",IF($S1277="S",IF(INDEX(Firms!$M$5:$M$1004,$T1277)="","",INDEX(Firms!$M$5:$M$1004,$T1277)),IF(INDEX('AFA Rates'!$L$5:$L$1004,$T1277)="","",INDEX('AFA Rates'!$L$5:$L$1004,$T1277))))</f>
        <v/>
      </c>
      <c r="O1277" s="78">
        <f>IF(OR($T1277="",$U1277=""),"",IF(INDEX(Firms!$C$5:$C$1004,$U1277)="","",INDEX(Firms!$C$5:$C$1004,$U1277)))</f>
        <v/>
      </c>
      <c r="P1277" s="79">
        <f>IF(OR($T1277="",$U1277=""),"",IF(INDEX(Firms!$N$5:$N$1004,$U1277)="","",INDEX(Firms!$N$5:$N$1004,$U1277)))</f>
        <v/>
      </c>
      <c r="Q1277" s="78">
        <f>IF($T1277="","",IF($S1277="S",IF(INDEX(Firms!$T$5:$T$1004,$T1277)="","",INDEX(Firms!$T$5:$T$1004,$T1277)),IF(INDEX('AFA Rates'!$M$5:$M$1004,$T1277)="","",INDEX('AFA Rates'!$M$5:$M$1004,$T1277))))</f>
        <v/>
      </c>
      <c r="S1277">
        <f>IF(1273&lt;=$S$2,"S",IF(1273&lt;=$S$2+$T$2,"A",""))</f>
        <v/>
      </c>
      <c r="T1277">
        <f>IF(S1277="S",MATCH(1273,Firms!$W$5:$W$1004,0),IF(S1277="A",IFERROR(MATCH(1273-$S$2,'AFA Rates'!$R$5:$R$1004,0),""),""))</f>
        <v/>
      </c>
      <c r="U1277">
        <f>IF(S1277="S",T1277,IF(AND(S1277="A",T1277&lt;&gt;""),IFERROR(MATCH(INDEX('AFA Rates'!$A$5:$A$1004,T1277),Firms!$A$5:$A$1004,0),""),""))</f>
        <v/>
      </c>
    </row>
    <row r="1278">
      <c r="A1278" s="78">
        <f>IF($T1278="","",IF($S1278="S",IF(INDEX(Firms!$A$5:$A$1004,$T1278)="","",INDEX(Firms!$A$5:$A$1004,$T1278)),IF(INDEX('AFA Rates'!$A$5:$A$1004,$T1278)="","",INDEX('AFA Rates'!$A$5:$A$1004,$T1278))))</f>
        <v/>
      </c>
      <c r="B1278" s="79">
        <f>IF(OR($T1278="",$U1278=""),IF($T1278="","","Not on Firms tab"),INDEX(Firms!$B$5:$B$1004,$U1278)&amp;"")</f>
        <v/>
      </c>
      <c r="C1278" s="78">
        <f>IF($T1278="","",IF($S1278="S","Standard",INDEX('AFA Rates'!$B$5:$B$1004,$T1278)&amp;""))</f>
        <v/>
      </c>
      <c r="D1278" s="88">
        <f>IF($T1278="","",IF($S1278="S",IF(INDEX(Firms!$E$5:$E$1004,$T1278)="","",INDEX(Firms!$E$5:$E$1004,$T1278)),IF(INDEX('AFA Rates'!$C$5:$C$1004,$T1278)="","",INDEX('AFA Rates'!$C$5:$C$1004,$T1278))))</f>
        <v/>
      </c>
      <c r="E1278" s="88">
        <f>IF($T1278="","",IF($S1278="S",IF(""="","",""),IF(INDEX('AFA Rates'!$D$5:$D$1004,$T1278)="","",INDEX('AFA Rates'!$D$5:$D$1004,$T1278))))</f>
        <v/>
      </c>
      <c r="F1278" s="79">
        <f>IF($T1278="","",IF($S1278="S",IF(INDEX(Firms!$O$5:$O$1004,$T1278)="","",INDEX(Firms!$O$5:$O$1004,$T1278)),IF(INDEX('AFA Rates'!$O$5:$O$1004,$T1278)="","",INDEX('AFA Rates'!$O$5:$O$1004,$T1278))))</f>
        <v/>
      </c>
      <c r="G1278" s="50">
        <f>IF($T1278="","",IF($S1278="S",IF(INDEX(Firms!$F$5:$F$1004,$T1278)="","",INDEX(Firms!$F$5:$F$1004,$T1278)),IF(INDEX('AFA Rates'!$E$5:$E$1004,$T1278)="","",INDEX('AFA Rates'!$E$5:$E$1004,$T1278))))</f>
        <v/>
      </c>
      <c r="H1278" s="50">
        <f>IF($T1278="","",IF($S1278="S",IF(INDEX(Firms!$G$5:$G$1004,$T1278)="","",INDEX(Firms!$G$5:$G$1004,$T1278)),IF(INDEX('AFA Rates'!$F$5:$F$1004,$T1278)="","",INDEX('AFA Rates'!$F$5:$F$1004,$T1278))))</f>
        <v/>
      </c>
      <c r="I1278" s="50">
        <f>IF($T1278="","",IF($S1278="S",IF(INDEX(Firms!$H$5:$H$1004,$T1278)="","",INDEX(Firms!$H$5:$H$1004,$T1278)),IF(INDEX('AFA Rates'!$G$5:$G$1004,$T1278)="","",INDEX('AFA Rates'!$G$5:$G$1004,$T1278))))</f>
        <v/>
      </c>
      <c r="J1278" s="50">
        <f>IF($T1278="","",IF($S1278="S",IF(INDEX(Firms!$I$5:$I$1004,$T1278)="","",INDEX(Firms!$I$5:$I$1004,$T1278)),IF(INDEX('AFA Rates'!$H$5:$H$1004,$T1278)="","",INDEX('AFA Rates'!$H$5:$H$1004,$T1278))))</f>
        <v/>
      </c>
      <c r="K1278" s="50">
        <f>IF($T1278="","",IF($S1278="S",IF(INDEX(Firms!$J$5:$J$1004,$T1278)="","",INDEX(Firms!$J$5:$J$1004,$T1278)),IF(INDEX('AFA Rates'!$I$5:$I$1004,$T1278)="","",INDEX('AFA Rates'!$I$5:$I$1004,$T1278))))</f>
        <v/>
      </c>
      <c r="L1278" s="50">
        <f>IF($T1278="","",IF($S1278="S",IF(INDEX(Firms!$K$5:$K$1004,$T1278)="","",INDEX(Firms!$K$5:$K$1004,$T1278)),IF(INDEX('AFA Rates'!$J$5:$J$1004,$T1278)="","",INDEX('AFA Rates'!$J$5:$J$1004,$T1278))))</f>
        <v/>
      </c>
      <c r="M1278" s="50">
        <f>IF($T1278="","",IF($S1278="S",IF(INDEX(Firms!$L$5:$L$1004,$T1278)="","",INDEX(Firms!$L$5:$L$1004,$T1278)),IF(INDEX('AFA Rates'!$K$5:$K$1004,$T1278)="","",INDEX('AFA Rates'!$K$5:$K$1004,$T1278))))</f>
        <v/>
      </c>
      <c r="N1278" s="50">
        <f>IF($T1278="","",IF($S1278="S",IF(INDEX(Firms!$M$5:$M$1004,$T1278)="","",INDEX(Firms!$M$5:$M$1004,$T1278)),IF(INDEX('AFA Rates'!$L$5:$L$1004,$T1278)="","",INDEX('AFA Rates'!$L$5:$L$1004,$T1278))))</f>
        <v/>
      </c>
      <c r="O1278" s="78">
        <f>IF(OR($T1278="",$U1278=""),"",IF(INDEX(Firms!$C$5:$C$1004,$U1278)="","",INDEX(Firms!$C$5:$C$1004,$U1278)))</f>
        <v/>
      </c>
      <c r="P1278" s="79">
        <f>IF(OR($T1278="",$U1278=""),"",IF(INDEX(Firms!$N$5:$N$1004,$U1278)="","",INDEX(Firms!$N$5:$N$1004,$U1278)))</f>
        <v/>
      </c>
      <c r="Q1278" s="78">
        <f>IF($T1278="","",IF($S1278="S",IF(INDEX(Firms!$T$5:$T$1004,$T1278)="","",INDEX(Firms!$T$5:$T$1004,$T1278)),IF(INDEX('AFA Rates'!$M$5:$M$1004,$T1278)="","",INDEX('AFA Rates'!$M$5:$M$1004,$T1278))))</f>
        <v/>
      </c>
      <c r="S1278">
        <f>IF(1274&lt;=$S$2,"S",IF(1274&lt;=$S$2+$T$2,"A",""))</f>
        <v/>
      </c>
      <c r="T1278">
        <f>IF(S1278="S",MATCH(1274,Firms!$W$5:$W$1004,0),IF(S1278="A",IFERROR(MATCH(1274-$S$2,'AFA Rates'!$R$5:$R$1004,0),""),""))</f>
        <v/>
      </c>
      <c r="U1278">
        <f>IF(S1278="S",T1278,IF(AND(S1278="A",T1278&lt;&gt;""),IFERROR(MATCH(INDEX('AFA Rates'!$A$5:$A$1004,T1278),Firms!$A$5:$A$1004,0),""),""))</f>
        <v/>
      </c>
    </row>
    <row r="1279">
      <c r="A1279" s="78">
        <f>IF($T1279="","",IF($S1279="S",IF(INDEX(Firms!$A$5:$A$1004,$T1279)="","",INDEX(Firms!$A$5:$A$1004,$T1279)),IF(INDEX('AFA Rates'!$A$5:$A$1004,$T1279)="","",INDEX('AFA Rates'!$A$5:$A$1004,$T1279))))</f>
        <v/>
      </c>
      <c r="B1279" s="79">
        <f>IF(OR($T1279="",$U1279=""),IF($T1279="","","Not on Firms tab"),INDEX(Firms!$B$5:$B$1004,$U1279)&amp;"")</f>
        <v/>
      </c>
      <c r="C1279" s="78">
        <f>IF($T1279="","",IF($S1279="S","Standard",INDEX('AFA Rates'!$B$5:$B$1004,$T1279)&amp;""))</f>
        <v/>
      </c>
      <c r="D1279" s="88">
        <f>IF($T1279="","",IF($S1279="S",IF(INDEX(Firms!$E$5:$E$1004,$T1279)="","",INDEX(Firms!$E$5:$E$1004,$T1279)),IF(INDEX('AFA Rates'!$C$5:$C$1004,$T1279)="","",INDEX('AFA Rates'!$C$5:$C$1004,$T1279))))</f>
        <v/>
      </c>
      <c r="E1279" s="88">
        <f>IF($T1279="","",IF($S1279="S",IF(""="","",""),IF(INDEX('AFA Rates'!$D$5:$D$1004,$T1279)="","",INDEX('AFA Rates'!$D$5:$D$1004,$T1279))))</f>
        <v/>
      </c>
      <c r="F1279" s="79">
        <f>IF($T1279="","",IF($S1279="S",IF(INDEX(Firms!$O$5:$O$1004,$T1279)="","",INDEX(Firms!$O$5:$O$1004,$T1279)),IF(INDEX('AFA Rates'!$O$5:$O$1004,$T1279)="","",INDEX('AFA Rates'!$O$5:$O$1004,$T1279))))</f>
        <v/>
      </c>
      <c r="G1279" s="50">
        <f>IF($T1279="","",IF($S1279="S",IF(INDEX(Firms!$F$5:$F$1004,$T1279)="","",INDEX(Firms!$F$5:$F$1004,$T1279)),IF(INDEX('AFA Rates'!$E$5:$E$1004,$T1279)="","",INDEX('AFA Rates'!$E$5:$E$1004,$T1279))))</f>
        <v/>
      </c>
      <c r="H1279" s="50">
        <f>IF($T1279="","",IF($S1279="S",IF(INDEX(Firms!$G$5:$G$1004,$T1279)="","",INDEX(Firms!$G$5:$G$1004,$T1279)),IF(INDEX('AFA Rates'!$F$5:$F$1004,$T1279)="","",INDEX('AFA Rates'!$F$5:$F$1004,$T1279))))</f>
        <v/>
      </c>
      <c r="I1279" s="50">
        <f>IF($T1279="","",IF($S1279="S",IF(INDEX(Firms!$H$5:$H$1004,$T1279)="","",INDEX(Firms!$H$5:$H$1004,$T1279)),IF(INDEX('AFA Rates'!$G$5:$G$1004,$T1279)="","",INDEX('AFA Rates'!$G$5:$G$1004,$T1279))))</f>
        <v/>
      </c>
      <c r="J1279" s="50">
        <f>IF($T1279="","",IF($S1279="S",IF(INDEX(Firms!$I$5:$I$1004,$T1279)="","",INDEX(Firms!$I$5:$I$1004,$T1279)),IF(INDEX('AFA Rates'!$H$5:$H$1004,$T1279)="","",INDEX('AFA Rates'!$H$5:$H$1004,$T1279))))</f>
        <v/>
      </c>
      <c r="K1279" s="50">
        <f>IF($T1279="","",IF($S1279="S",IF(INDEX(Firms!$J$5:$J$1004,$T1279)="","",INDEX(Firms!$J$5:$J$1004,$T1279)),IF(INDEX('AFA Rates'!$I$5:$I$1004,$T1279)="","",INDEX('AFA Rates'!$I$5:$I$1004,$T1279))))</f>
        <v/>
      </c>
      <c r="L1279" s="50">
        <f>IF($T1279="","",IF($S1279="S",IF(INDEX(Firms!$K$5:$K$1004,$T1279)="","",INDEX(Firms!$K$5:$K$1004,$T1279)),IF(INDEX('AFA Rates'!$J$5:$J$1004,$T1279)="","",INDEX('AFA Rates'!$J$5:$J$1004,$T1279))))</f>
        <v/>
      </c>
      <c r="M1279" s="50">
        <f>IF($T1279="","",IF($S1279="S",IF(INDEX(Firms!$L$5:$L$1004,$T1279)="","",INDEX(Firms!$L$5:$L$1004,$T1279)),IF(INDEX('AFA Rates'!$K$5:$K$1004,$T1279)="","",INDEX('AFA Rates'!$K$5:$K$1004,$T1279))))</f>
        <v/>
      </c>
      <c r="N1279" s="50">
        <f>IF($T1279="","",IF($S1279="S",IF(INDEX(Firms!$M$5:$M$1004,$T1279)="","",INDEX(Firms!$M$5:$M$1004,$T1279)),IF(INDEX('AFA Rates'!$L$5:$L$1004,$T1279)="","",INDEX('AFA Rates'!$L$5:$L$1004,$T1279))))</f>
        <v/>
      </c>
      <c r="O1279" s="78">
        <f>IF(OR($T1279="",$U1279=""),"",IF(INDEX(Firms!$C$5:$C$1004,$U1279)="","",INDEX(Firms!$C$5:$C$1004,$U1279)))</f>
        <v/>
      </c>
      <c r="P1279" s="79">
        <f>IF(OR($T1279="",$U1279=""),"",IF(INDEX(Firms!$N$5:$N$1004,$U1279)="","",INDEX(Firms!$N$5:$N$1004,$U1279)))</f>
        <v/>
      </c>
      <c r="Q1279" s="78">
        <f>IF($T1279="","",IF($S1279="S",IF(INDEX(Firms!$T$5:$T$1004,$T1279)="","",INDEX(Firms!$T$5:$T$1004,$T1279)),IF(INDEX('AFA Rates'!$M$5:$M$1004,$T1279)="","",INDEX('AFA Rates'!$M$5:$M$1004,$T1279))))</f>
        <v/>
      </c>
      <c r="S1279">
        <f>IF(1275&lt;=$S$2,"S",IF(1275&lt;=$S$2+$T$2,"A",""))</f>
        <v/>
      </c>
      <c r="T1279">
        <f>IF(S1279="S",MATCH(1275,Firms!$W$5:$W$1004,0),IF(S1279="A",IFERROR(MATCH(1275-$S$2,'AFA Rates'!$R$5:$R$1004,0),""),""))</f>
        <v/>
      </c>
      <c r="U1279">
        <f>IF(S1279="S",T1279,IF(AND(S1279="A",T1279&lt;&gt;""),IFERROR(MATCH(INDEX('AFA Rates'!$A$5:$A$1004,T1279),Firms!$A$5:$A$1004,0),""),""))</f>
        <v/>
      </c>
    </row>
    <row r="1280">
      <c r="A1280" s="78">
        <f>IF($T1280="","",IF($S1280="S",IF(INDEX(Firms!$A$5:$A$1004,$T1280)="","",INDEX(Firms!$A$5:$A$1004,$T1280)),IF(INDEX('AFA Rates'!$A$5:$A$1004,$T1280)="","",INDEX('AFA Rates'!$A$5:$A$1004,$T1280))))</f>
        <v/>
      </c>
      <c r="B1280" s="79">
        <f>IF(OR($T1280="",$U1280=""),IF($T1280="","","Not on Firms tab"),INDEX(Firms!$B$5:$B$1004,$U1280)&amp;"")</f>
        <v/>
      </c>
      <c r="C1280" s="78">
        <f>IF($T1280="","",IF($S1280="S","Standard",INDEX('AFA Rates'!$B$5:$B$1004,$T1280)&amp;""))</f>
        <v/>
      </c>
      <c r="D1280" s="88">
        <f>IF($T1280="","",IF($S1280="S",IF(INDEX(Firms!$E$5:$E$1004,$T1280)="","",INDEX(Firms!$E$5:$E$1004,$T1280)),IF(INDEX('AFA Rates'!$C$5:$C$1004,$T1280)="","",INDEX('AFA Rates'!$C$5:$C$1004,$T1280))))</f>
        <v/>
      </c>
      <c r="E1280" s="88">
        <f>IF($T1280="","",IF($S1280="S",IF(""="","",""),IF(INDEX('AFA Rates'!$D$5:$D$1004,$T1280)="","",INDEX('AFA Rates'!$D$5:$D$1004,$T1280))))</f>
        <v/>
      </c>
      <c r="F1280" s="79">
        <f>IF($T1280="","",IF($S1280="S",IF(INDEX(Firms!$O$5:$O$1004,$T1280)="","",INDEX(Firms!$O$5:$O$1004,$T1280)),IF(INDEX('AFA Rates'!$O$5:$O$1004,$T1280)="","",INDEX('AFA Rates'!$O$5:$O$1004,$T1280))))</f>
        <v/>
      </c>
      <c r="G1280" s="50">
        <f>IF($T1280="","",IF($S1280="S",IF(INDEX(Firms!$F$5:$F$1004,$T1280)="","",INDEX(Firms!$F$5:$F$1004,$T1280)),IF(INDEX('AFA Rates'!$E$5:$E$1004,$T1280)="","",INDEX('AFA Rates'!$E$5:$E$1004,$T1280))))</f>
        <v/>
      </c>
      <c r="H1280" s="50">
        <f>IF($T1280="","",IF($S1280="S",IF(INDEX(Firms!$G$5:$G$1004,$T1280)="","",INDEX(Firms!$G$5:$G$1004,$T1280)),IF(INDEX('AFA Rates'!$F$5:$F$1004,$T1280)="","",INDEX('AFA Rates'!$F$5:$F$1004,$T1280))))</f>
        <v/>
      </c>
      <c r="I1280" s="50">
        <f>IF($T1280="","",IF($S1280="S",IF(INDEX(Firms!$H$5:$H$1004,$T1280)="","",INDEX(Firms!$H$5:$H$1004,$T1280)),IF(INDEX('AFA Rates'!$G$5:$G$1004,$T1280)="","",INDEX('AFA Rates'!$G$5:$G$1004,$T1280))))</f>
        <v/>
      </c>
      <c r="J1280" s="50">
        <f>IF($T1280="","",IF($S1280="S",IF(INDEX(Firms!$I$5:$I$1004,$T1280)="","",INDEX(Firms!$I$5:$I$1004,$T1280)),IF(INDEX('AFA Rates'!$H$5:$H$1004,$T1280)="","",INDEX('AFA Rates'!$H$5:$H$1004,$T1280))))</f>
        <v/>
      </c>
      <c r="K1280" s="50">
        <f>IF($T1280="","",IF($S1280="S",IF(INDEX(Firms!$J$5:$J$1004,$T1280)="","",INDEX(Firms!$J$5:$J$1004,$T1280)),IF(INDEX('AFA Rates'!$I$5:$I$1004,$T1280)="","",INDEX('AFA Rates'!$I$5:$I$1004,$T1280))))</f>
        <v/>
      </c>
      <c r="L1280" s="50">
        <f>IF($T1280="","",IF($S1280="S",IF(INDEX(Firms!$K$5:$K$1004,$T1280)="","",INDEX(Firms!$K$5:$K$1004,$T1280)),IF(INDEX('AFA Rates'!$J$5:$J$1004,$T1280)="","",INDEX('AFA Rates'!$J$5:$J$1004,$T1280))))</f>
        <v/>
      </c>
      <c r="M1280" s="50">
        <f>IF($T1280="","",IF($S1280="S",IF(INDEX(Firms!$L$5:$L$1004,$T1280)="","",INDEX(Firms!$L$5:$L$1004,$T1280)),IF(INDEX('AFA Rates'!$K$5:$K$1004,$T1280)="","",INDEX('AFA Rates'!$K$5:$K$1004,$T1280))))</f>
        <v/>
      </c>
      <c r="N1280" s="50">
        <f>IF($T1280="","",IF($S1280="S",IF(INDEX(Firms!$M$5:$M$1004,$T1280)="","",INDEX(Firms!$M$5:$M$1004,$T1280)),IF(INDEX('AFA Rates'!$L$5:$L$1004,$T1280)="","",INDEX('AFA Rates'!$L$5:$L$1004,$T1280))))</f>
        <v/>
      </c>
      <c r="O1280" s="78">
        <f>IF(OR($T1280="",$U1280=""),"",IF(INDEX(Firms!$C$5:$C$1004,$U1280)="","",INDEX(Firms!$C$5:$C$1004,$U1280)))</f>
        <v/>
      </c>
      <c r="P1280" s="79">
        <f>IF(OR($T1280="",$U1280=""),"",IF(INDEX(Firms!$N$5:$N$1004,$U1280)="","",INDEX(Firms!$N$5:$N$1004,$U1280)))</f>
        <v/>
      </c>
      <c r="Q1280" s="78">
        <f>IF($T1280="","",IF($S1280="S",IF(INDEX(Firms!$T$5:$T$1004,$T1280)="","",INDEX(Firms!$T$5:$T$1004,$T1280)),IF(INDEX('AFA Rates'!$M$5:$M$1004,$T1280)="","",INDEX('AFA Rates'!$M$5:$M$1004,$T1280))))</f>
        <v/>
      </c>
      <c r="S1280">
        <f>IF(1276&lt;=$S$2,"S",IF(1276&lt;=$S$2+$T$2,"A",""))</f>
        <v/>
      </c>
      <c r="T1280">
        <f>IF(S1280="S",MATCH(1276,Firms!$W$5:$W$1004,0),IF(S1280="A",IFERROR(MATCH(1276-$S$2,'AFA Rates'!$R$5:$R$1004,0),""),""))</f>
        <v/>
      </c>
      <c r="U1280">
        <f>IF(S1280="S",T1280,IF(AND(S1280="A",T1280&lt;&gt;""),IFERROR(MATCH(INDEX('AFA Rates'!$A$5:$A$1004,T1280),Firms!$A$5:$A$1004,0),""),""))</f>
        <v/>
      </c>
    </row>
    <row r="1281">
      <c r="A1281" s="78">
        <f>IF($T1281="","",IF($S1281="S",IF(INDEX(Firms!$A$5:$A$1004,$T1281)="","",INDEX(Firms!$A$5:$A$1004,$T1281)),IF(INDEX('AFA Rates'!$A$5:$A$1004,$T1281)="","",INDEX('AFA Rates'!$A$5:$A$1004,$T1281))))</f>
        <v/>
      </c>
      <c r="B1281" s="79">
        <f>IF(OR($T1281="",$U1281=""),IF($T1281="","","Not on Firms tab"),INDEX(Firms!$B$5:$B$1004,$U1281)&amp;"")</f>
        <v/>
      </c>
      <c r="C1281" s="78">
        <f>IF($T1281="","",IF($S1281="S","Standard",INDEX('AFA Rates'!$B$5:$B$1004,$T1281)&amp;""))</f>
        <v/>
      </c>
      <c r="D1281" s="88">
        <f>IF($T1281="","",IF($S1281="S",IF(INDEX(Firms!$E$5:$E$1004,$T1281)="","",INDEX(Firms!$E$5:$E$1004,$T1281)),IF(INDEX('AFA Rates'!$C$5:$C$1004,$T1281)="","",INDEX('AFA Rates'!$C$5:$C$1004,$T1281))))</f>
        <v/>
      </c>
      <c r="E1281" s="88">
        <f>IF($T1281="","",IF($S1281="S",IF(""="","",""),IF(INDEX('AFA Rates'!$D$5:$D$1004,$T1281)="","",INDEX('AFA Rates'!$D$5:$D$1004,$T1281))))</f>
        <v/>
      </c>
      <c r="F1281" s="79">
        <f>IF($T1281="","",IF($S1281="S",IF(INDEX(Firms!$O$5:$O$1004,$T1281)="","",INDEX(Firms!$O$5:$O$1004,$T1281)),IF(INDEX('AFA Rates'!$O$5:$O$1004,$T1281)="","",INDEX('AFA Rates'!$O$5:$O$1004,$T1281))))</f>
        <v/>
      </c>
      <c r="G1281" s="50">
        <f>IF($T1281="","",IF($S1281="S",IF(INDEX(Firms!$F$5:$F$1004,$T1281)="","",INDEX(Firms!$F$5:$F$1004,$T1281)),IF(INDEX('AFA Rates'!$E$5:$E$1004,$T1281)="","",INDEX('AFA Rates'!$E$5:$E$1004,$T1281))))</f>
        <v/>
      </c>
      <c r="H1281" s="50">
        <f>IF($T1281="","",IF($S1281="S",IF(INDEX(Firms!$G$5:$G$1004,$T1281)="","",INDEX(Firms!$G$5:$G$1004,$T1281)),IF(INDEX('AFA Rates'!$F$5:$F$1004,$T1281)="","",INDEX('AFA Rates'!$F$5:$F$1004,$T1281))))</f>
        <v/>
      </c>
      <c r="I1281" s="50">
        <f>IF($T1281="","",IF($S1281="S",IF(INDEX(Firms!$H$5:$H$1004,$T1281)="","",INDEX(Firms!$H$5:$H$1004,$T1281)),IF(INDEX('AFA Rates'!$G$5:$G$1004,$T1281)="","",INDEX('AFA Rates'!$G$5:$G$1004,$T1281))))</f>
        <v/>
      </c>
      <c r="J1281" s="50">
        <f>IF($T1281="","",IF($S1281="S",IF(INDEX(Firms!$I$5:$I$1004,$T1281)="","",INDEX(Firms!$I$5:$I$1004,$T1281)),IF(INDEX('AFA Rates'!$H$5:$H$1004,$T1281)="","",INDEX('AFA Rates'!$H$5:$H$1004,$T1281))))</f>
        <v/>
      </c>
      <c r="K1281" s="50">
        <f>IF($T1281="","",IF($S1281="S",IF(INDEX(Firms!$J$5:$J$1004,$T1281)="","",INDEX(Firms!$J$5:$J$1004,$T1281)),IF(INDEX('AFA Rates'!$I$5:$I$1004,$T1281)="","",INDEX('AFA Rates'!$I$5:$I$1004,$T1281))))</f>
        <v/>
      </c>
      <c r="L1281" s="50">
        <f>IF($T1281="","",IF($S1281="S",IF(INDEX(Firms!$K$5:$K$1004,$T1281)="","",INDEX(Firms!$K$5:$K$1004,$T1281)),IF(INDEX('AFA Rates'!$J$5:$J$1004,$T1281)="","",INDEX('AFA Rates'!$J$5:$J$1004,$T1281))))</f>
        <v/>
      </c>
      <c r="M1281" s="50">
        <f>IF($T1281="","",IF($S1281="S",IF(INDEX(Firms!$L$5:$L$1004,$T1281)="","",INDEX(Firms!$L$5:$L$1004,$T1281)),IF(INDEX('AFA Rates'!$K$5:$K$1004,$T1281)="","",INDEX('AFA Rates'!$K$5:$K$1004,$T1281))))</f>
        <v/>
      </c>
      <c r="N1281" s="50">
        <f>IF($T1281="","",IF($S1281="S",IF(INDEX(Firms!$M$5:$M$1004,$T1281)="","",INDEX(Firms!$M$5:$M$1004,$T1281)),IF(INDEX('AFA Rates'!$L$5:$L$1004,$T1281)="","",INDEX('AFA Rates'!$L$5:$L$1004,$T1281))))</f>
        <v/>
      </c>
      <c r="O1281" s="78">
        <f>IF(OR($T1281="",$U1281=""),"",IF(INDEX(Firms!$C$5:$C$1004,$U1281)="","",INDEX(Firms!$C$5:$C$1004,$U1281)))</f>
        <v/>
      </c>
      <c r="P1281" s="79">
        <f>IF(OR($T1281="",$U1281=""),"",IF(INDEX(Firms!$N$5:$N$1004,$U1281)="","",INDEX(Firms!$N$5:$N$1004,$U1281)))</f>
        <v/>
      </c>
      <c r="Q1281" s="78">
        <f>IF($T1281="","",IF($S1281="S",IF(INDEX(Firms!$T$5:$T$1004,$T1281)="","",INDEX(Firms!$T$5:$T$1004,$T1281)),IF(INDEX('AFA Rates'!$M$5:$M$1004,$T1281)="","",INDEX('AFA Rates'!$M$5:$M$1004,$T1281))))</f>
        <v/>
      </c>
      <c r="S1281">
        <f>IF(1277&lt;=$S$2,"S",IF(1277&lt;=$S$2+$T$2,"A",""))</f>
        <v/>
      </c>
      <c r="T1281">
        <f>IF(S1281="S",MATCH(1277,Firms!$W$5:$W$1004,0),IF(S1281="A",IFERROR(MATCH(1277-$S$2,'AFA Rates'!$R$5:$R$1004,0),""),""))</f>
        <v/>
      </c>
      <c r="U1281">
        <f>IF(S1281="S",T1281,IF(AND(S1281="A",T1281&lt;&gt;""),IFERROR(MATCH(INDEX('AFA Rates'!$A$5:$A$1004,T1281),Firms!$A$5:$A$1004,0),""),""))</f>
        <v/>
      </c>
    </row>
    <row r="1282">
      <c r="A1282" s="78">
        <f>IF($T1282="","",IF($S1282="S",IF(INDEX(Firms!$A$5:$A$1004,$T1282)="","",INDEX(Firms!$A$5:$A$1004,$T1282)),IF(INDEX('AFA Rates'!$A$5:$A$1004,$T1282)="","",INDEX('AFA Rates'!$A$5:$A$1004,$T1282))))</f>
        <v/>
      </c>
      <c r="B1282" s="79">
        <f>IF(OR($T1282="",$U1282=""),IF($T1282="","","Not on Firms tab"),INDEX(Firms!$B$5:$B$1004,$U1282)&amp;"")</f>
        <v/>
      </c>
      <c r="C1282" s="78">
        <f>IF($T1282="","",IF($S1282="S","Standard",INDEX('AFA Rates'!$B$5:$B$1004,$T1282)&amp;""))</f>
        <v/>
      </c>
      <c r="D1282" s="88">
        <f>IF($T1282="","",IF($S1282="S",IF(INDEX(Firms!$E$5:$E$1004,$T1282)="","",INDEX(Firms!$E$5:$E$1004,$T1282)),IF(INDEX('AFA Rates'!$C$5:$C$1004,$T1282)="","",INDEX('AFA Rates'!$C$5:$C$1004,$T1282))))</f>
        <v/>
      </c>
      <c r="E1282" s="88">
        <f>IF($T1282="","",IF($S1282="S",IF(""="","",""),IF(INDEX('AFA Rates'!$D$5:$D$1004,$T1282)="","",INDEX('AFA Rates'!$D$5:$D$1004,$T1282))))</f>
        <v/>
      </c>
      <c r="F1282" s="79">
        <f>IF($T1282="","",IF($S1282="S",IF(INDEX(Firms!$O$5:$O$1004,$T1282)="","",INDEX(Firms!$O$5:$O$1004,$T1282)),IF(INDEX('AFA Rates'!$O$5:$O$1004,$T1282)="","",INDEX('AFA Rates'!$O$5:$O$1004,$T1282))))</f>
        <v/>
      </c>
      <c r="G1282" s="50">
        <f>IF($T1282="","",IF($S1282="S",IF(INDEX(Firms!$F$5:$F$1004,$T1282)="","",INDEX(Firms!$F$5:$F$1004,$T1282)),IF(INDEX('AFA Rates'!$E$5:$E$1004,$T1282)="","",INDEX('AFA Rates'!$E$5:$E$1004,$T1282))))</f>
        <v/>
      </c>
      <c r="H1282" s="50">
        <f>IF($T1282="","",IF($S1282="S",IF(INDEX(Firms!$G$5:$G$1004,$T1282)="","",INDEX(Firms!$G$5:$G$1004,$T1282)),IF(INDEX('AFA Rates'!$F$5:$F$1004,$T1282)="","",INDEX('AFA Rates'!$F$5:$F$1004,$T1282))))</f>
        <v/>
      </c>
      <c r="I1282" s="50">
        <f>IF($T1282="","",IF($S1282="S",IF(INDEX(Firms!$H$5:$H$1004,$T1282)="","",INDEX(Firms!$H$5:$H$1004,$T1282)),IF(INDEX('AFA Rates'!$G$5:$G$1004,$T1282)="","",INDEX('AFA Rates'!$G$5:$G$1004,$T1282))))</f>
        <v/>
      </c>
      <c r="J1282" s="50">
        <f>IF($T1282="","",IF($S1282="S",IF(INDEX(Firms!$I$5:$I$1004,$T1282)="","",INDEX(Firms!$I$5:$I$1004,$T1282)),IF(INDEX('AFA Rates'!$H$5:$H$1004,$T1282)="","",INDEX('AFA Rates'!$H$5:$H$1004,$T1282))))</f>
        <v/>
      </c>
      <c r="K1282" s="50">
        <f>IF($T1282="","",IF($S1282="S",IF(INDEX(Firms!$J$5:$J$1004,$T1282)="","",INDEX(Firms!$J$5:$J$1004,$T1282)),IF(INDEX('AFA Rates'!$I$5:$I$1004,$T1282)="","",INDEX('AFA Rates'!$I$5:$I$1004,$T1282))))</f>
        <v/>
      </c>
      <c r="L1282" s="50">
        <f>IF($T1282="","",IF($S1282="S",IF(INDEX(Firms!$K$5:$K$1004,$T1282)="","",INDEX(Firms!$K$5:$K$1004,$T1282)),IF(INDEX('AFA Rates'!$J$5:$J$1004,$T1282)="","",INDEX('AFA Rates'!$J$5:$J$1004,$T1282))))</f>
        <v/>
      </c>
      <c r="M1282" s="50">
        <f>IF($T1282="","",IF($S1282="S",IF(INDEX(Firms!$L$5:$L$1004,$T1282)="","",INDEX(Firms!$L$5:$L$1004,$T1282)),IF(INDEX('AFA Rates'!$K$5:$K$1004,$T1282)="","",INDEX('AFA Rates'!$K$5:$K$1004,$T1282))))</f>
        <v/>
      </c>
      <c r="N1282" s="50">
        <f>IF($T1282="","",IF($S1282="S",IF(INDEX(Firms!$M$5:$M$1004,$T1282)="","",INDEX(Firms!$M$5:$M$1004,$T1282)),IF(INDEX('AFA Rates'!$L$5:$L$1004,$T1282)="","",INDEX('AFA Rates'!$L$5:$L$1004,$T1282))))</f>
        <v/>
      </c>
      <c r="O1282" s="78">
        <f>IF(OR($T1282="",$U1282=""),"",IF(INDEX(Firms!$C$5:$C$1004,$U1282)="","",INDEX(Firms!$C$5:$C$1004,$U1282)))</f>
        <v/>
      </c>
      <c r="P1282" s="79">
        <f>IF(OR($T1282="",$U1282=""),"",IF(INDEX(Firms!$N$5:$N$1004,$U1282)="","",INDEX(Firms!$N$5:$N$1004,$U1282)))</f>
        <v/>
      </c>
      <c r="Q1282" s="78">
        <f>IF($T1282="","",IF($S1282="S",IF(INDEX(Firms!$T$5:$T$1004,$T1282)="","",INDEX(Firms!$T$5:$T$1004,$T1282)),IF(INDEX('AFA Rates'!$M$5:$M$1004,$T1282)="","",INDEX('AFA Rates'!$M$5:$M$1004,$T1282))))</f>
        <v/>
      </c>
      <c r="S1282">
        <f>IF(1278&lt;=$S$2,"S",IF(1278&lt;=$S$2+$T$2,"A",""))</f>
        <v/>
      </c>
      <c r="T1282">
        <f>IF(S1282="S",MATCH(1278,Firms!$W$5:$W$1004,0),IF(S1282="A",IFERROR(MATCH(1278-$S$2,'AFA Rates'!$R$5:$R$1004,0),""),""))</f>
        <v/>
      </c>
      <c r="U1282">
        <f>IF(S1282="S",T1282,IF(AND(S1282="A",T1282&lt;&gt;""),IFERROR(MATCH(INDEX('AFA Rates'!$A$5:$A$1004,T1282),Firms!$A$5:$A$1004,0),""),""))</f>
        <v/>
      </c>
    </row>
    <row r="1283">
      <c r="A1283" s="78">
        <f>IF($T1283="","",IF($S1283="S",IF(INDEX(Firms!$A$5:$A$1004,$T1283)="","",INDEX(Firms!$A$5:$A$1004,$T1283)),IF(INDEX('AFA Rates'!$A$5:$A$1004,$T1283)="","",INDEX('AFA Rates'!$A$5:$A$1004,$T1283))))</f>
        <v/>
      </c>
      <c r="B1283" s="79">
        <f>IF(OR($T1283="",$U1283=""),IF($T1283="","","Not on Firms tab"),INDEX(Firms!$B$5:$B$1004,$U1283)&amp;"")</f>
        <v/>
      </c>
      <c r="C1283" s="78">
        <f>IF($T1283="","",IF($S1283="S","Standard",INDEX('AFA Rates'!$B$5:$B$1004,$T1283)&amp;""))</f>
        <v/>
      </c>
      <c r="D1283" s="88">
        <f>IF($T1283="","",IF($S1283="S",IF(INDEX(Firms!$E$5:$E$1004,$T1283)="","",INDEX(Firms!$E$5:$E$1004,$T1283)),IF(INDEX('AFA Rates'!$C$5:$C$1004,$T1283)="","",INDEX('AFA Rates'!$C$5:$C$1004,$T1283))))</f>
        <v/>
      </c>
      <c r="E1283" s="88">
        <f>IF($T1283="","",IF($S1283="S",IF(""="","",""),IF(INDEX('AFA Rates'!$D$5:$D$1004,$T1283)="","",INDEX('AFA Rates'!$D$5:$D$1004,$T1283))))</f>
        <v/>
      </c>
      <c r="F1283" s="79">
        <f>IF($T1283="","",IF($S1283="S",IF(INDEX(Firms!$O$5:$O$1004,$T1283)="","",INDEX(Firms!$O$5:$O$1004,$T1283)),IF(INDEX('AFA Rates'!$O$5:$O$1004,$T1283)="","",INDEX('AFA Rates'!$O$5:$O$1004,$T1283))))</f>
        <v/>
      </c>
      <c r="G1283" s="50">
        <f>IF($T1283="","",IF($S1283="S",IF(INDEX(Firms!$F$5:$F$1004,$T1283)="","",INDEX(Firms!$F$5:$F$1004,$T1283)),IF(INDEX('AFA Rates'!$E$5:$E$1004,$T1283)="","",INDEX('AFA Rates'!$E$5:$E$1004,$T1283))))</f>
        <v/>
      </c>
      <c r="H1283" s="50">
        <f>IF($T1283="","",IF($S1283="S",IF(INDEX(Firms!$G$5:$G$1004,$T1283)="","",INDEX(Firms!$G$5:$G$1004,$T1283)),IF(INDEX('AFA Rates'!$F$5:$F$1004,$T1283)="","",INDEX('AFA Rates'!$F$5:$F$1004,$T1283))))</f>
        <v/>
      </c>
      <c r="I1283" s="50">
        <f>IF($T1283="","",IF($S1283="S",IF(INDEX(Firms!$H$5:$H$1004,$T1283)="","",INDEX(Firms!$H$5:$H$1004,$T1283)),IF(INDEX('AFA Rates'!$G$5:$G$1004,$T1283)="","",INDEX('AFA Rates'!$G$5:$G$1004,$T1283))))</f>
        <v/>
      </c>
      <c r="J1283" s="50">
        <f>IF($T1283="","",IF($S1283="S",IF(INDEX(Firms!$I$5:$I$1004,$T1283)="","",INDEX(Firms!$I$5:$I$1004,$T1283)),IF(INDEX('AFA Rates'!$H$5:$H$1004,$T1283)="","",INDEX('AFA Rates'!$H$5:$H$1004,$T1283))))</f>
        <v/>
      </c>
      <c r="K1283" s="50">
        <f>IF($T1283="","",IF($S1283="S",IF(INDEX(Firms!$J$5:$J$1004,$T1283)="","",INDEX(Firms!$J$5:$J$1004,$T1283)),IF(INDEX('AFA Rates'!$I$5:$I$1004,$T1283)="","",INDEX('AFA Rates'!$I$5:$I$1004,$T1283))))</f>
        <v/>
      </c>
      <c r="L1283" s="50">
        <f>IF($T1283="","",IF($S1283="S",IF(INDEX(Firms!$K$5:$K$1004,$T1283)="","",INDEX(Firms!$K$5:$K$1004,$T1283)),IF(INDEX('AFA Rates'!$J$5:$J$1004,$T1283)="","",INDEX('AFA Rates'!$J$5:$J$1004,$T1283))))</f>
        <v/>
      </c>
      <c r="M1283" s="50">
        <f>IF($T1283="","",IF($S1283="S",IF(INDEX(Firms!$L$5:$L$1004,$T1283)="","",INDEX(Firms!$L$5:$L$1004,$T1283)),IF(INDEX('AFA Rates'!$K$5:$K$1004,$T1283)="","",INDEX('AFA Rates'!$K$5:$K$1004,$T1283))))</f>
        <v/>
      </c>
      <c r="N1283" s="50">
        <f>IF($T1283="","",IF($S1283="S",IF(INDEX(Firms!$M$5:$M$1004,$T1283)="","",INDEX(Firms!$M$5:$M$1004,$T1283)),IF(INDEX('AFA Rates'!$L$5:$L$1004,$T1283)="","",INDEX('AFA Rates'!$L$5:$L$1004,$T1283))))</f>
        <v/>
      </c>
      <c r="O1283" s="78">
        <f>IF(OR($T1283="",$U1283=""),"",IF(INDEX(Firms!$C$5:$C$1004,$U1283)="","",INDEX(Firms!$C$5:$C$1004,$U1283)))</f>
        <v/>
      </c>
      <c r="P1283" s="79">
        <f>IF(OR($T1283="",$U1283=""),"",IF(INDEX(Firms!$N$5:$N$1004,$U1283)="","",INDEX(Firms!$N$5:$N$1004,$U1283)))</f>
        <v/>
      </c>
      <c r="Q1283" s="78">
        <f>IF($T1283="","",IF($S1283="S",IF(INDEX(Firms!$T$5:$T$1004,$T1283)="","",INDEX(Firms!$T$5:$T$1004,$T1283)),IF(INDEX('AFA Rates'!$M$5:$M$1004,$T1283)="","",INDEX('AFA Rates'!$M$5:$M$1004,$T1283))))</f>
        <v/>
      </c>
      <c r="S1283">
        <f>IF(1279&lt;=$S$2,"S",IF(1279&lt;=$S$2+$T$2,"A",""))</f>
        <v/>
      </c>
      <c r="T1283">
        <f>IF(S1283="S",MATCH(1279,Firms!$W$5:$W$1004,0),IF(S1283="A",IFERROR(MATCH(1279-$S$2,'AFA Rates'!$R$5:$R$1004,0),""),""))</f>
        <v/>
      </c>
      <c r="U1283">
        <f>IF(S1283="S",T1283,IF(AND(S1283="A",T1283&lt;&gt;""),IFERROR(MATCH(INDEX('AFA Rates'!$A$5:$A$1004,T1283),Firms!$A$5:$A$1004,0),""),""))</f>
        <v/>
      </c>
    </row>
    <row r="1284">
      <c r="A1284" s="78">
        <f>IF($T1284="","",IF($S1284="S",IF(INDEX(Firms!$A$5:$A$1004,$T1284)="","",INDEX(Firms!$A$5:$A$1004,$T1284)),IF(INDEX('AFA Rates'!$A$5:$A$1004,$T1284)="","",INDEX('AFA Rates'!$A$5:$A$1004,$T1284))))</f>
        <v/>
      </c>
      <c r="B1284" s="79">
        <f>IF(OR($T1284="",$U1284=""),IF($T1284="","","Not on Firms tab"),INDEX(Firms!$B$5:$B$1004,$U1284)&amp;"")</f>
        <v/>
      </c>
      <c r="C1284" s="78">
        <f>IF($T1284="","",IF($S1284="S","Standard",INDEX('AFA Rates'!$B$5:$B$1004,$T1284)&amp;""))</f>
        <v/>
      </c>
      <c r="D1284" s="88">
        <f>IF($T1284="","",IF($S1284="S",IF(INDEX(Firms!$E$5:$E$1004,$T1284)="","",INDEX(Firms!$E$5:$E$1004,$T1284)),IF(INDEX('AFA Rates'!$C$5:$C$1004,$T1284)="","",INDEX('AFA Rates'!$C$5:$C$1004,$T1284))))</f>
        <v/>
      </c>
      <c r="E1284" s="88">
        <f>IF($T1284="","",IF($S1284="S",IF(""="","",""),IF(INDEX('AFA Rates'!$D$5:$D$1004,$T1284)="","",INDEX('AFA Rates'!$D$5:$D$1004,$T1284))))</f>
        <v/>
      </c>
      <c r="F1284" s="79">
        <f>IF($T1284="","",IF($S1284="S",IF(INDEX(Firms!$O$5:$O$1004,$T1284)="","",INDEX(Firms!$O$5:$O$1004,$T1284)),IF(INDEX('AFA Rates'!$O$5:$O$1004,$T1284)="","",INDEX('AFA Rates'!$O$5:$O$1004,$T1284))))</f>
        <v/>
      </c>
      <c r="G1284" s="50">
        <f>IF($T1284="","",IF($S1284="S",IF(INDEX(Firms!$F$5:$F$1004,$T1284)="","",INDEX(Firms!$F$5:$F$1004,$T1284)),IF(INDEX('AFA Rates'!$E$5:$E$1004,$T1284)="","",INDEX('AFA Rates'!$E$5:$E$1004,$T1284))))</f>
        <v/>
      </c>
      <c r="H1284" s="50">
        <f>IF($T1284="","",IF($S1284="S",IF(INDEX(Firms!$G$5:$G$1004,$T1284)="","",INDEX(Firms!$G$5:$G$1004,$T1284)),IF(INDEX('AFA Rates'!$F$5:$F$1004,$T1284)="","",INDEX('AFA Rates'!$F$5:$F$1004,$T1284))))</f>
        <v/>
      </c>
      <c r="I1284" s="50">
        <f>IF($T1284="","",IF($S1284="S",IF(INDEX(Firms!$H$5:$H$1004,$T1284)="","",INDEX(Firms!$H$5:$H$1004,$T1284)),IF(INDEX('AFA Rates'!$G$5:$G$1004,$T1284)="","",INDEX('AFA Rates'!$G$5:$G$1004,$T1284))))</f>
        <v/>
      </c>
      <c r="J1284" s="50">
        <f>IF($T1284="","",IF($S1284="S",IF(INDEX(Firms!$I$5:$I$1004,$T1284)="","",INDEX(Firms!$I$5:$I$1004,$T1284)),IF(INDEX('AFA Rates'!$H$5:$H$1004,$T1284)="","",INDEX('AFA Rates'!$H$5:$H$1004,$T1284))))</f>
        <v/>
      </c>
      <c r="K1284" s="50">
        <f>IF($T1284="","",IF($S1284="S",IF(INDEX(Firms!$J$5:$J$1004,$T1284)="","",INDEX(Firms!$J$5:$J$1004,$T1284)),IF(INDEX('AFA Rates'!$I$5:$I$1004,$T1284)="","",INDEX('AFA Rates'!$I$5:$I$1004,$T1284))))</f>
        <v/>
      </c>
      <c r="L1284" s="50">
        <f>IF($T1284="","",IF($S1284="S",IF(INDEX(Firms!$K$5:$K$1004,$T1284)="","",INDEX(Firms!$K$5:$K$1004,$T1284)),IF(INDEX('AFA Rates'!$J$5:$J$1004,$T1284)="","",INDEX('AFA Rates'!$J$5:$J$1004,$T1284))))</f>
        <v/>
      </c>
      <c r="M1284" s="50">
        <f>IF($T1284="","",IF($S1284="S",IF(INDEX(Firms!$L$5:$L$1004,$T1284)="","",INDEX(Firms!$L$5:$L$1004,$T1284)),IF(INDEX('AFA Rates'!$K$5:$K$1004,$T1284)="","",INDEX('AFA Rates'!$K$5:$K$1004,$T1284))))</f>
        <v/>
      </c>
      <c r="N1284" s="50">
        <f>IF($T1284="","",IF($S1284="S",IF(INDEX(Firms!$M$5:$M$1004,$T1284)="","",INDEX(Firms!$M$5:$M$1004,$T1284)),IF(INDEX('AFA Rates'!$L$5:$L$1004,$T1284)="","",INDEX('AFA Rates'!$L$5:$L$1004,$T1284))))</f>
        <v/>
      </c>
      <c r="O1284" s="78">
        <f>IF(OR($T1284="",$U1284=""),"",IF(INDEX(Firms!$C$5:$C$1004,$U1284)="","",INDEX(Firms!$C$5:$C$1004,$U1284)))</f>
        <v/>
      </c>
      <c r="P1284" s="79">
        <f>IF(OR($T1284="",$U1284=""),"",IF(INDEX(Firms!$N$5:$N$1004,$U1284)="","",INDEX(Firms!$N$5:$N$1004,$U1284)))</f>
        <v/>
      </c>
      <c r="Q1284" s="78">
        <f>IF($T1284="","",IF($S1284="S",IF(INDEX(Firms!$T$5:$T$1004,$T1284)="","",INDEX(Firms!$T$5:$T$1004,$T1284)),IF(INDEX('AFA Rates'!$M$5:$M$1004,$T1284)="","",INDEX('AFA Rates'!$M$5:$M$1004,$T1284))))</f>
        <v/>
      </c>
      <c r="S1284">
        <f>IF(1280&lt;=$S$2,"S",IF(1280&lt;=$S$2+$T$2,"A",""))</f>
        <v/>
      </c>
      <c r="T1284">
        <f>IF(S1284="S",MATCH(1280,Firms!$W$5:$W$1004,0),IF(S1284="A",IFERROR(MATCH(1280-$S$2,'AFA Rates'!$R$5:$R$1004,0),""),""))</f>
        <v/>
      </c>
      <c r="U1284">
        <f>IF(S1284="S",T1284,IF(AND(S1284="A",T1284&lt;&gt;""),IFERROR(MATCH(INDEX('AFA Rates'!$A$5:$A$1004,T1284),Firms!$A$5:$A$1004,0),""),""))</f>
        <v/>
      </c>
    </row>
    <row r="1285">
      <c r="A1285" s="78">
        <f>IF($T1285="","",IF($S1285="S",IF(INDEX(Firms!$A$5:$A$1004,$T1285)="","",INDEX(Firms!$A$5:$A$1004,$T1285)),IF(INDEX('AFA Rates'!$A$5:$A$1004,$T1285)="","",INDEX('AFA Rates'!$A$5:$A$1004,$T1285))))</f>
        <v/>
      </c>
      <c r="B1285" s="79">
        <f>IF(OR($T1285="",$U1285=""),IF($T1285="","","Not on Firms tab"),INDEX(Firms!$B$5:$B$1004,$U1285)&amp;"")</f>
        <v/>
      </c>
      <c r="C1285" s="78">
        <f>IF($T1285="","",IF($S1285="S","Standard",INDEX('AFA Rates'!$B$5:$B$1004,$T1285)&amp;""))</f>
        <v/>
      </c>
      <c r="D1285" s="88">
        <f>IF($T1285="","",IF($S1285="S",IF(INDEX(Firms!$E$5:$E$1004,$T1285)="","",INDEX(Firms!$E$5:$E$1004,$T1285)),IF(INDEX('AFA Rates'!$C$5:$C$1004,$T1285)="","",INDEX('AFA Rates'!$C$5:$C$1004,$T1285))))</f>
        <v/>
      </c>
      <c r="E1285" s="88">
        <f>IF($T1285="","",IF($S1285="S",IF(""="","",""),IF(INDEX('AFA Rates'!$D$5:$D$1004,$T1285)="","",INDEX('AFA Rates'!$D$5:$D$1004,$T1285))))</f>
        <v/>
      </c>
      <c r="F1285" s="79">
        <f>IF($T1285="","",IF($S1285="S",IF(INDEX(Firms!$O$5:$O$1004,$T1285)="","",INDEX(Firms!$O$5:$O$1004,$T1285)),IF(INDEX('AFA Rates'!$O$5:$O$1004,$T1285)="","",INDEX('AFA Rates'!$O$5:$O$1004,$T1285))))</f>
        <v/>
      </c>
      <c r="G1285" s="50">
        <f>IF($T1285="","",IF($S1285="S",IF(INDEX(Firms!$F$5:$F$1004,$T1285)="","",INDEX(Firms!$F$5:$F$1004,$T1285)),IF(INDEX('AFA Rates'!$E$5:$E$1004,$T1285)="","",INDEX('AFA Rates'!$E$5:$E$1004,$T1285))))</f>
        <v/>
      </c>
      <c r="H1285" s="50">
        <f>IF($T1285="","",IF($S1285="S",IF(INDEX(Firms!$G$5:$G$1004,$T1285)="","",INDEX(Firms!$G$5:$G$1004,$T1285)),IF(INDEX('AFA Rates'!$F$5:$F$1004,$T1285)="","",INDEX('AFA Rates'!$F$5:$F$1004,$T1285))))</f>
        <v/>
      </c>
      <c r="I1285" s="50">
        <f>IF($T1285="","",IF($S1285="S",IF(INDEX(Firms!$H$5:$H$1004,$T1285)="","",INDEX(Firms!$H$5:$H$1004,$T1285)),IF(INDEX('AFA Rates'!$G$5:$G$1004,$T1285)="","",INDEX('AFA Rates'!$G$5:$G$1004,$T1285))))</f>
        <v/>
      </c>
      <c r="J1285" s="50">
        <f>IF($T1285="","",IF($S1285="S",IF(INDEX(Firms!$I$5:$I$1004,$T1285)="","",INDEX(Firms!$I$5:$I$1004,$T1285)),IF(INDEX('AFA Rates'!$H$5:$H$1004,$T1285)="","",INDEX('AFA Rates'!$H$5:$H$1004,$T1285))))</f>
        <v/>
      </c>
      <c r="K1285" s="50">
        <f>IF($T1285="","",IF($S1285="S",IF(INDEX(Firms!$J$5:$J$1004,$T1285)="","",INDEX(Firms!$J$5:$J$1004,$T1285)),IF(INDEX('AFA Rates'!$I$5:$I$1004,$T1285)="","",INDEX('AFA Rates'!$I$5:$I$1004,$T1285))))</f>
        <v/>
      </c>
      <c r="L1285" s="50">
        <f>IF($T1285="","",IF($S1285="S",IF(INDEX(Firms!$K$5:$K$1004,$T1285)="","",INDEX(Firms!$K$5:$K$1004,$T1285)),IF(INDEX('AFA Rates'!$J$5:$J$1004,$T1285)="","",INDEX('AFA Rates'!$J$5:$J$1004,$T1285))))</f>
        <v/>
      </c>
      <c r="M1285" s="50">
        <f>IF($T1285="","",IF($S1285="S",IF(INDEX(Firms!$L$5:$L$1004,$T1285)="","",INDEX(Firms!$L$5:$L$1004,$T1285)),IF(INDEX('AFA Rates'!$K$5:$K$1004,$T1285)="","",INDEX('AFA Rates'!$K$5:$K$1004,$T1285))))</f>
        <v/>
      </c>
      <c r="N1285" s="50">
        <f>IF($T1285="","",IF($S1285="S",IF(INDEX(Firms!$M$5:$M$1004,$T1285)="","",INDEX(Firms!$M$5:$M$1004,$T1285)),IF(INDEX('AFA Rates'!$L$5:$L$1004,$T1285)="","",INDEX('AFA Rates'!$L$5:$L$1004,$T1285))))</f>
        <v/>
      </c>
      <c r="O1285" s="78">
        <f>IF(OR($T1285="",$U1285=""),"",IF(INDEX(Firms!$C$5:$C$1004,$U1285)="","",INDEX(Firms!$C$5:$C$1004,$U1285)))</f>
        <v/>
      </c>
      <c r="P1285" s="79">
        <f>IF(OR($T1285="",$U1285=""),"",IF(INDEX(Firms!$N$5:$N$1004,$U1285)="","",INDEX(Firms!$N$5:$N$1004,$U1285)))</f>
        <v/>
      </c>
      <c r="Q1285" s="78">
        <f>IF($T1285="","",IF($S1285="S",IF(INDEX(Firms!$T$5:$T$1004,$T1285)="","",INDEX(Firms!$T$5:$T$1004,$T1285)),IF(INDEX('AFA Rates'!$M$5:$M$1004,$T1285)="","",INDEX('AFA Rates'!$M$5:$M$1004,$T1285))))</f>
        <v/>
      </c>
      <c r="S1285">
        <f>IF(1281&lt;=$S$2,"S",IF(1281&lt;=$S$2+$T$2,"A",""))</f>
        <v/>
      </c>
      <c r="T1285">
        <f>IF(S1285="S",MATCH(1281,Firms!$W$5:$W$1004,0),IF(S1285="A",IFERROR(MATCH(1281-$S$2,'AFA Rates'!$R$5:$R$1004,0),""),""))</f>
        <v/>
      </c>
      <c r="U1285">
        <f>IF(S1285="S",T1285,IF(AND(S1285="A",T1285&lt;&gt;""),IFERROR(MATCH(INDEX('AFA Rates'!$A$5:$A$1004,T1285),Firms!$A$5:$A$1004,0),""),""))</f>
        <v/>
      </c>
    </row>
    <row r="1286">
      <c r="A1286" s="78">
        <f>IF($T1286="","",IF($S1286="S",IF(INDEX(Firms!$A$5:$A$1004,$T1286)="","",INDEX(Firms!$A$5:$A$1004,$T1286)),IF(INDEX('AFA Rates'!$A$5:$A$1004,$T1286)="","",INDEX('AFA Rates'!$A$5:$A$1004,$T1286))))</f>
        <v/>
      </c>
      <c r="B1286" s="79">
        <f>IF(OR($T1286="",$U1286=""),IF($T1286="","","Not on Firms tab"),INDEX(Firms!$B$5:$B$1004,$U1286)&amp;"")</f>
        <v/>
      </c>
      <c r="C1286" s="78">
        <f>IF($T1286="","",IF($S1286="S","Standard",INDEX('AFA Rates'!$B$5:$B$1004,$T1286)&amp;""))</f>
        <v/>
      </c>
      <c r="D1286" s="88">
        <f>IF($T1286="","",IF($S1286="S",IF(INDEX(Firms!$E$5:$E$1004,$T1286)="","",INDEX(Firms!$E$5:$E$1004,$T1286)),IF(INDEX('AFA Rates'!$C$5:$C$1004,$T1286)="","",INDEX('AFA Rates'!$C$5:$C$1004,$T1286))))</f>
        <v/>
      </c>
      <c r="E1286" s="88">
        <f>IF($T1286="","",IF($S1286="S",IF(""="","",""),IF(INDEX('AFA Rates'!$D$5:$D$1004,$T1286)="","",INDEX('AFA Rates'!$D$5:$D$1004,$T1286))))</f>
        <v/>
      </c>
      <c r="F1286" s="79">
        <f>IF($T1286="","",IF($S1286="S",IF(INDEX(Firms!$O$5:$O$1004,$T1286)="","",INDEX(Firms!$O$5:$O$1004,$T1286)),IF(INDEX('AFA Rates'!$O$5:$O$1004,$T1286)="","",INDEX('AFA Rates'!$O$5:$O$1004,$T1286))))</f>
        <v/>
      </c>
      <c r="G1286" s="50">
        <f>IF($T1286="","",IF($S1286="S",IF(INDEX(Firms!$F$5:$F$1004,$T1286)="","",INDEX(Firms!$F$5:$F$1004,$T1286)),IF(INDEX('AFA Rates'!$E$5:$E$1004,$T1286)="","",INDEX('AFA Rates'!$E$5:$E$1004,$T1286))))</f>
        <v/>
      </c>
      <c r="H1286" s="50">
        <f>IF($T1286="","",IF($S1286="S",IF(INDEX(Firms!$G$5:$G$1004,$T1286)="","",INDEX(Firms!$G$5:$G$1004,$T1286)),IF(INDEX('AFA Rates'!$F$5:$F$1004,$T1286)="","",INDEX('AFA Rates'!$F$5:$F$1004,$T1286))))</f>
        <v/>
      </c>
      <c r="I1286" s="50">
        <f>IF($T1286="","",IF($S1286="S",IF(INDEX(Firms!$H$5:$H$1004,$T1286)="","",INDEX(Firms!$H$5:$H$1004,$T1286)),IF(INDEX('AFA Rates'!$G$5:$G$1004,$T1286)="","",INDEX('AFA Rates'!$G$5:$G$1004,$T1286))))</f>
        <v/>
      </c>
      <c r="J1286" s="50">
        <f>IF($T1286="","",IF($S1286="S",IF(INDEX(Firms!$I$5:$I$1004,$T1286)="","",INDEX(Firms!$I$5:$I$1004,$T1286)),IF(INDEX('AFA Rates'!$H$5:$H$1004,$T1286)="","",INDEX('AFA Rates'!$H$5:$H$1004,$T1286))))</f>
        <v/>
      </c>
      <c r="K1286" s="50">
        <f>IF($T1286="","",IF($S1286="S",IF(INDEX(Firms!$J$5:$J$1004,$T1286)="","",INDEX(Firms!$J$5:$J$1004,$T1286)),IF(INDEX('AFA Rates'!$I$5:$I$1004,$T1286)="","",INDEX('AFA Rates'!$I$5:$I$1004,$T1286))))</f>
        <v/>
      </c>
      <c r="L1286" s="50">
        <f>IF($T1286="","",IF($S1286="S",IF(INDEX(Firms!$K$5:$K$1004,$T1286)="","",INDEX(Firms!$K$5:$K$1004,$T1286)),IF(INDEX('AFA Rates'!$J$5:$J$1004,$T1286)="","",INDEX('AFA Rates'!$J$5:$J$1004,$T1286))))</f>
        <v/>
      </c>
      <c r="M1286" s="50">
        <f>IF($T1286="","",IF($S1286="S",IF(INDEX(Firms!$L$5:$L$1004,$T1286)="","",INDEX(Firms!$L$5:$L$1004,$T1286)),IF(INDEX('AFA Rates'!$K$5:$K$1004,$T1286)="","",INDEX('AFA Rates'!$K$5:$K$1004,$T1286))))</f>
        <v/>
      </c>
      <c r="N1286" s="50">
        <f>IF($T1286="","",IF($S1286="S",IF(INDEX(Firms!$M$5:$M$1004,$T1286)="","",INDEX(Firms!$M$5:$M$1004,$T1286)),IF(INDEX('AFA Rates'!$L$5:$L$1004,$T1286)="","",INDEX('AFA Rates'!$L$5:$L$1004,$T1286))))</f>
        <v/>
      </c>
      <c r="O1286" s="78">
        <f>IF(OR($T1286="",$U1286=""),"",IF(INDEX(Firms!$C$5:$C$1004,$U1286)="","",INDEX(Firms!$C$5:$C$1004,$U1286)))</f>
        <v/>
      </c>
      <c r="P1286" s="79">
        <f>IF(OR($T1286="",$U1286=""),"",IF(INDEX(Firms!$N$5:$N$1004,$U1286)="","",INDEX(Firms!$N$5:$N$1004,$U1286)))</f>
        <v/>
      </c>
      <c r="Q1286" s="78">
        <f>IF($T1286="","",IF($S1286="S",IF(INDEX(Firms!$T$5:$T$1004,$T1286)="","",INDEX(Firms!$T$5:$T$1004,$T1286)),IF(INDEX('AFA Rates'!$M$5:$M$1004,$T1286)="","",INDEX('AFA Rates'!$M$5:$M$1004,$T1286))))</f>
        <v/>
      </c>
      <c r="S1286">
        <f>IF(1282&lt;=$S$2,"S",IF(1282&lt;=$S$2+$T$2,"A",""))</f>
        <v/>
      </c>
      <c r="T1286">
        <f>IF(S1286="S",MATCH(1282,Firms!$W$5:$W$1004,0),IF(S1286="A",IFERROR(MATCH(1282-$S$2,'AFA Rates'!$R$5:$R$1004,0),""),""))</f>
        <v/>
      </c>
      <c r="U1286">
        <f>IF(S1286="S",T1286,IF(AND(S1286="A",T1286&lt;&gt;""),IFERROR(MATCH(INDEX('AFA Rates'!$A$5:$A$1004,T1286),Firms!$A$5:$A$1004,0),""),""))</f>
        <v/>
      </c>
    </row>
    <row r="1287">
      <c r="A1287" s="78">
        <f>IF($T1287="","",IF($S1287="S",IF(INDEX(Firms!$A$5:$A$1004,$T1287)="","",INDEX(Firms!$A$5:$A$1004,$T1287)),IF(INDEX('AFA Rates'!$A$5:$A$1004,$T1287)="","",INDEX('AFA Rates'!$A$5:$A$1004,$T1287))))</f>
        <v/>
      </c>
      <c r="B1287" s="79">
        <f>IF(OR($T1287="",$U1287=""),IF($T1287="","","Not on Firms tab"),INDEX(Firms!$B$5:$B$1004,$U1287)&amp;"")</f>
        <v/>
      </c>
      <c r="C1287" s="78">
        <f>IF($T1287="","",IF($S1287="S","Standard",INDEX('AFA Rates'!$B$5:$B$1004,$T1287)&amp;""))</f>
        <v/>
      </c>
      <c r="D1287" s="88">
        <f>IF($T1287="","",IF($S1287="S",IF(INDEX(Firms!$E$5:$E$1004,$T1287)="","",INDEX(Firms!$E$5:$E$1004,$T1287)),IF(INDEX('AFA Rates'!$C$5:$C$1004,$T1287)="","",INDEX('AFA Rates'!$C$5:$C$1004,$T1287))))</f>
        <v/>
      </c>
      <c r="E1287" s="88">
        <f>IF($T1287="","",IF($S1287="S",IF(""="","",""),IF(INDEX('AFA Rates'!$D$5:$D$1004,$T1287)="","",INDEX('AFA Rates'!$D$5:$D$1004,$T1287))))</f>
        <v/>
      </c>
      <c r="F1287" s="79">
        <f>IF($T1287="","",IF($S1287="S",IF(INDEX(Firms!$O$5:$O$1004,$T1287)="","",INDEX(Firms!$O$5:$O$1004,$T1287)),IF(INDEX('AFA Rates'!$O$5:$O$1004,$T1287)="","",INDEX('AFA Rates'!$O$5:$O$1004,$T1287))))</f>
        <v/>
      </c>
      <c r="G1287" s="50">
        <f>IF($T1287="","",IF($S1287="S",IF(INDEX(Firms!$F$5:$F$1004,$T1287)="","",INDEX(Firms!$F$5:$F$1004,$T1287)),IF(INDEX('AFA Rates'!$E$5:$E$1004,$T1287)="","",INDEX('AFA Rates'!$E$5:$E$1004,$T1287))))</f>
        <v/>
      </c>
      <c r="H1287" s="50">
        <f>IF($T1287="","",IF($S1287="S",IF(INDEX(Firms!$G$5:$G$1004,$T1287)="","",INDEX(Firms!$G$5:$G$1004,$T1287)),IF(INDEX('AFA Rates'!$F$5:$F$1004,$T1287)="","",INDEX('AFA Rates'!$F$5:$F$1004,$T1287))))</f>
        <v/>
      </c>
      <c r="I1287" s="50">
        <f>IF($T1287="","",IF($S1287="S",IF(INDEX(Firms!$H$5:$H$1004,$T1287)="","",INDEX(Firms!$H$5:$H$1004,$T1287)),IF(INDEX('AFA Rates'!$G$5:$G$1004,$T1287)="","",INDEX('AFA Rates'!$G$5:$G$1004,$T1287))))</f>
        <v/>
      </c>
      <c r="J1287" s="50">
        <f>IF($T1287="","",IF($S1287="S",IF(INDEX(Firms!$I$5:$I$1004,$T1287)="","",INDEX(Firms!$I$5:$I$1004,$T1287)),IF(INDEX('AFA Rates'!$H$5:$H$1004,$T1287)="","",INDEX('AFA Rates'!$H$5:$H$1004,$T1287))))</f>
        <v/>
      </c>
      <c r="K1287" s="50">
        <f>IF($T1287="","",IF($S1287="S",IF(INDEX(Firms!$J$5:$J$1004,$T1287)="","",INDEX(Firms!$J$5:$J$1004,$T1287)),IF(INDEX('AFA Rates'!$I$5:$I$1004,$T1287)="","",INDEX('AFA Rates'!$I$5:$I$1004,$T1287))))</f>
        <v/>
      </c>
      <c r="L1287" s="50">
        <f>IF($T1287="","",IF($S1287="S",IF(INDEX(Firms!$K$5:$K$1004,$T1287)="","",INDEX(Firms!$K$5:$K$1004,$T1287)),IF(INDEX('AFA Rates'!$J$5:$J$1004,$T1287)="","",INDEX('AFA Rates'!$J$5:$J$1004,$T1287))))</f>
        <v/>
      </c>
      <c r="M1287" s="50">
        <f>IF($T1287="","",IF($S1287="S",IF(INDEX(Firms!$L$5:$L$1004,$T1287)="","",INDEX(Firms!$L$5:$L$1004,$T1287)),IF(INDEX('AFA Rates'!$K$5:$K$1004,$T1287)="","",INDEX('AFA Rates'!$K$5:$K$1004,$T1287))))</f>
        <v/>
      </c>
      <c r="N1287" s="50">
        <f>IF($T1287="","",IF($S1287="S",IF(INDEX(Firms!$M$5:$M$1004,$T1287)="","",INDEX(Firms!$M$5:$M$1004,$T1287)),IF(INDEX('AFA Rates'!$L$5:$L$1004,$T1287)="","",INDEX('AFA Rates'!$L$5:$L$1004,$T1287))))</f>
        <v/>
      </c>
      <c r="O1287" s="78">
        <f>IF(OR($T1287="",$U1287=""),"",IF(INDEX(Firms!$C$5:$C$1004,$U1287)="","",INDEX(Firms!$C$5:$C$1004,$U1287)))</f>
        <v/>
      </c>
      <c r="P1287" s="79">
        <f>IF(OR($T1287="",$U1287=""),"",IF(INDEX(Firms!$N$5:$N$1004,$U1287)="","",INDEX(Firms!$N$5:$N$1004,$U1287)))</f>
        <v/>
      </c>
      <c r="Q1287" s="78">
        <f>IF($T1287="","",IF($S1287="S",IF(INDEX(Firms!$T$5:$T$1004,$T1287)="","",INDEX(Firms!$T$5:$T$1004,$T1287)),IF(INDEX('AFA Rates'!$M$5:$M$1004,$T1287)="","",INDEX('AFA Rates'!$M$5:$M$1004,$T1287))))</f>
        <v/>
      </c>
      <c r="S1287">
        <f>IF(1283&lt;=$S$2,"S",IF(1283&lt;=$S$2+$T$2,"A",""))</f>
        <v/>
      </c>
      <c r="T1287">
        <f>IF(S1287="S",MATCH(1283,Firms!$W$5:$W$1004,0),IF(S1287="A",IFERROR(MATCH(1283-$S$2,'AFA Rates'!$R$5:$R$1004,0),""),""))</f>
        <v/>
      </c>
      <c r="U1287">
        <f>IF(S1287="S",T1287,IF(AND(S1287="A",T1287&lt;&gt;""),IFERROR(MATCH(INDEX('AFA Rates'!$A$5:$A$1004,T1287),Firms!$A$5:$A$1004,0),""),""))</f>
        <v/>
      </c>
    </row>
    <row r="1288">
      <c r="A1288" s="78">
        <f>IF($T1288="","",IF($S1288="S",IF(INDEX(Firms!$A$5:$A$1004,$T1288)="","",INDEX(Firms!$A$5:$A$1004,$T1288)),IF(INDEX('AFA Rates'!$A$5:$A$1004,$T1288)="","",INDEX('AFA Rates'!$A$5:$A$1004,$T1288))))</f>
        <v/>
      </c>
      <c r="B1288" s="79">
        <f>IF(OR($T1288="",$U1288=""),IF($T1288="","","Not on Firms tab"),INDEX(Firms!$B$5:$B$1004,$U1288)&amp;"")</f>
        <v/>
      </c>
      <c r="C1288" s="78">
        <f>IF($T1288="","",IF($S1288="S","Standard",INDEX('AFA Rates'!$B$5:$B$1004,$T1288)&amp;""))</f>
        <v/>
      </c>
      <c r="D1288" s="88">
        <f>IF($T1288="","",IF($S1288="S",IF(INDEX(Firms!$E$5:$E$1004,$T1288)="","",INDEX(Firms!$E$5:$E$1004,$T1288)),IF(INDEX('AFA Rates'!$C$5:$C$1004,$T1288)="","",INDEX('AFA Rates'!$C$5:$C$1004,$T1288))))</f>
        <v/>
      </c>
      <c r="E1288" s="88">
        <f>IF($T1288="","",IF($S1288="S",IF(""="","",""),IF(INDEX('AFA Rates'!$D$5:$D$1004,$T1288)="","",INDEX('AFA Rates'!$D$5:$D$1004,$T1288))))</f>
        <v/>
      </c>
      <c r="F1288" s="79">
        <f>IF($T1288="","",IF($S1288="S",IF(INDEX(Firms!$O$5:$O$1004,$T1288)="","",INDEX(Firms!$O$5:$O$1004,$T1288)),IF(INDEX('AFA Rates'!$O$5:$O$1004,$T1288)="","",INDEX('AFA Rates'!$O$5:$O$1004,$T1288))))</f>
        <v/>
      </c>
      <c r="G1288" s="50">
        <f>IF($T1288="","",IF($S1288="S",IF(INDEX(Firms!$F$5:$F$1004,$T1288)="","",INDEX(Firms!$F$5:$F$1004,$T1288)),IF(INDEX('AFA Rates'!$E$5:$E$1004,$T1288)="","",INDEX('AFA Rates'!$E$5:$E$1004,$T1288))))</f>
        <v/>
      </c>
      <c r="H1288" s="50">
        <f>IF($T1288="","",IF($S1288="S",IF(INDEX(Firms!$G$5:$G$1004,$T1288)="","",INDEX(Firms!$G$5:$G$1004,$T1288)),IF(INDEX('AFA Rates'!$F$5:$F$1004,$T1288)="","",INDEX('AFA Rates'!$F$5:$F$1004,$T1288))))</f>
        <v/>
      </c>
      <c r="I1288" s="50">
        <f>IF($T1288="","",IF($S1288="S",IF(INDEX(Firms!$H$5:$H$1004,$T1288)="","",INDEX(Firms!$H$5:$H$1004,$T1288)),IF(INDEX('AFA Rates'!$G$5:$G$1004,$T1288)="","",INDEX('AFA Rates'!$G$5:$G$1004,$T1288))))</f>
        <v/>
      </c>
      <c r="J1288" s="50">
        <f>IF($T1288="","",IF($S1288="S",IF(INDEX(Firms!$I$5:$I$1004,$T1288)="","",INDEX(Firms!$I$5:$I$1004,$T1288)),IF(INDEX('AFA Rates'!$H$5:$H$1004,$T1288)="","",INDEX('AFA Rates'!$H$5:$H$1004,$T1288))))</f>
        <v/>
      </c>
      <c r="K1288" s="50">
        <f>IF($T1288="","",IF($S1288="S",IF(INDEX(Firms!$J$5:$J$1004,$T1288)="","",INDEX(Firms!$J$5:$J$1004,$T1288)),IF(INDEX('AFA Rates'!$I$5:$I$1004,$T1288)="","",INDEX('AFA Rates'!$I$5:$I$1004,$T1288))))</f>
        <v/>
      </c>
      <c r="L1288" s="50">
        <f>IF($T1288="","",IF($S1288="S",IF(INDEX(Firms!$K$5:$K$1004,$T1288)="","",INDEX(Firms!$K$5:$K$1004,$T1288)),IF(INDEX('AFA Rates'!$J$5:$J$1004,$T1288)="","",INDEX('AFA Rates'!$J$5:$J$1004,$T1288))))</f>
        <v/>
      </c>
      <c r="M1288" s="50">
        <f>IF($T1288="","",IF($S1288="S",IF(INDEX(Firms!$L$5:$L$1004,$T1288)="","",INDEX(Firms!$L$5:$L$1004,$T1288)),IF(INDEX('AFA Rates'!$K$5:$K$1004,$T1288)="","",INDEX('AFA Rates'!$K$5:$K$1004,$T1288))))</f>
        <v/>
      </c>
      <c r="N1288" s="50">
        <f>IF($T1288="","",IF($S1288="S",IF(INDEX(Firms!$M$5:$M$1004,$T1288)="","",INDEX(Firms!$M$5:$M$1004,$T1288)),IF(INDEX('AFA Rates'!$L$5:$L$1004,$T1288)="","",INDEX('AFA Rates'!$L$5:$L$1004,$T1288))))</f>
        <v/>
      </c>
      <c r="O1288" s="78">
        <f>IF(OR($T1288="",$U1288=""),"",IF(INDEX(Firms!$C$5:$C$1004,$U1288)="","",INDEX(Firms!$C$5:$C$1004,$U1288)))</f>
        <v/>
      </c>
      <c r="P1288" s="79">
        <f>IF(OR($T1288="",$U1288=""),"",IF(INDEX(Firms!$N$5:$N$1004,$U1288)="","",INDEX(Firms!$N$5:$N$1004,$U1288)))</f>
        <v/>
      </c>
      <c r="Q1288" s="78">
        <f>IF($T1288="","",IF($S1288="S",IF(INDEX(Firms!$T$5:$T$1004,$T1288)="","",INDEX(Firms!$T$5:$T$1004,$T1288)),IF(INDEX('AFA Rates'!$M$5:$M$1004,$T1288)="","",INDEX('AFA Rates'!$M$5:$M$1004,$T1288))))</f>
        <v/>
      </c>
      <c r="S1288">
        <f>IF(1284&lt;=$S$2,"S",IF(1284&lt;=$S$2+$T$2,"A",""))</f>
        <v/>
      </c>
      <c r="T1288">
        <f>IF(S1288="S",MATCH(1284,Firms!$W$5:$W$1004,0),IF(S1288="A",IFERROR(MATCH(1284-$S$2,'AFA Rates'!$R$5:$R$1004,0),""),""))</f>
        <v/>
      </c>
      <c r="U1288">
        <f>IF(S1288="S",T1288,IF(AND(S1288="A",T1288&lt;&gt;""),IFERROR(MATCH(INDEX('AFA Rates'!$A$5:$A$1004,T1288),Firms!$A$5:$A$1004,0),""),""))</f>
        <v/>
      </c>
    </row>
    <row r="1289">
      <c r="A1289" s="78">
        <f>IF($T1289="","",IF($S1289="S",IF(INDEX(Firms!$A$5:$A$1004,$T1289)="","",INDEX(Firms!$A$5:$A$1004,$T1289)),IF(INDEX('AFA Rates'!$A$5:$A$1004,$T1289)="","",INDEX('AFA Rates'!$A$5:$A$1004,$T1289))))</f>
        <v/>
      </c>
      <c r="B1289" s="79">
        <f>IF(OR($T1289="",$U1289=""),IF($T1289="","","Not on Firms tab"),INDEX(Firms!$B$5:$B$1004,$U1289)&amp;"")</f>
        <v/>
      </c>
      <c r="C1289" s="78">
        <f>IF($T1289="","",IF($S1289="S","Standard",INDEX('AFA Rates'!$B$5:$B$1004,$T1289)&amp;""))</f>
        <v/>
      </c>
      <c r="D1289" s="88">
        <f>IF($T1289="","",IF($S1289="S",IF(INDEX(Firms!$E$5:$E$1004,$T1289)="","",INDEX(Firms!$E$5:$E$1004,$T1289)),IF(INDEX('AFA Rates'!$C$5:$C$1004,$T1289)="","",INDEX('AFA Rates'!$C$5:$C$1004,$T1289))))</f>
        <v/>
      </c>
      <c r="E1289" s="88">
        <f>IF($T1289="","",IF($S1289="S",IF(""="","",""),IF(INDEX('AFA Rates'!$D$5:$D$1004,$T1289)="","",INDEX('AFA Rates'!$D$5:$D$1004,$T1289))))</f>
        <v/>
      </c>
      <c r="F1289" s="79">
        <f>IF($T1289="","",IF($S1289="S",IF(INDEX(Firms!$O$5:$O$1004,$T1289)="","",INDEX(Firms!$O$5:$O$1004,$T1289)),IF(INDEX('AFA Rates'!$O$5:$O$1004,$T1289)="","",INDEX('AFA Rates'!$O$5:$O$1004,$T1289))))</f>
        <v/>
      </c>
      <c r="G1289" s="50">
        <f>IF($T1289="","",IF($S1289="S",IF(INDEX(Firms!$F$5:$F$1004,$T1289)="","",INDEX(Firms!$F$5:$F$1004,$T1289)),IF(INDEX('AFA Rates'!$E$5:$E$1004,$T1289)="","",INDEX('AFA Rates'!$E$5:$E$1004,$T1289))))</f>
        <v/>
      </c>
      <c r="H1289" s="50">
        <f>IF($T1289="","",IF($S1289="S",IF(INDEX(Firms!$G$5:$G$1004,$T1289)="","",INDEX(Firms!$G$5:$G$1004,$T1289)),IF(INDEX('AFA Rates'!$F$5:$F$1004,$T1289)="","",INDEX('AFA Rates'!$F$5:$F$1004,$T1289))))</f>
        <v/>
      </c>
      <c r="I1289" s="50">
        <f>IF($T1289="","",IF($S1289="S",IF(INDEX(Firms!$H$5:$H$1004,$T1289)="","",INDEX(Firms!$H$5:$H$1004,$T1289)),IF(INDEX('AFA Rates'!$G$5:$G$1004,$T1289)="","",INDEX('AFA Rates'!$G$5:$G$1004,$T1289))))</f>
        <v/>
      </c>
      <c r="J1289" s="50">
        <f>IF($T1289="","",IF($S1289="S",IF(INDEX(Firms!$I$5:$I$1004,$T1289)="","",INDEX(Firms!$I$5:$I$1004,$T1289)),IF(INDEX('AFA Rates'!$H$5:$H$1004,$T1289)="","",INDEX('AFA Rates'!$H$5:$H$1004,$T1289))))</f>
        <v/>
      </c>
      <c r="K1289" s="50">
        <f>IF($T1289="","",IF($S1289="S",IF(INDEX(Firms!$J$5:$J$1004,$T1289)="","",INDEX(Firms!$J$5:$J$1004,$T1289)),IF(INDEX('AFA Rates'!$I$5:$I$1004,$T1289)="","",INDEX('AFA Rates'!$I$5:$I$1004,$T1289))))</f>
        <v/>
      </c>
      <c r="L1289" s="50">
        <f>IF($T1289="","",IF($S1289="S",IF(INDEX(Firms!$K$5:$K$1004,$T1289)="","",INDEX(Firms!$K$5:$K$1004,$T1289)),IF(INDEX('AFA Rates'!$J$5:$J$1004,$T1289)="","",INDEX('AFA Rates'!$J$5:$J$1004,$T1289))))</f>
        <v/>
      </c>
      <c r="M1289" s="50">
        <f>IF($T1289="","",IF($S1289="S",IF(INDEX(Firms!$L$5:$L$1004,$T1289)="","",INDEX(Firms!$L$5:$L$1004,$T1289)),IF(INDEX('AFA Rates'!$K$5:$K$1004,$T1289)="","",INDEX('AFA Rates'!$K$5:$K$1004,$T1289))))</f>
        <v/>
      </c>
      <c r="N1289" s="50">
        <f>IF($T1289="","",IF($S1289="S",IF(INDEX(Firms!$M$5:$M$1004,$T1289)="","",INDEX(Firms!$M$5:$M$1004,$T1289)),IF(INDEX('AFA Rates'!$L$5:$L$1004,$T1289)="","",INDEX('AFA Rates'!$L$5:$L$1004,$T1289))))</f>
        <v/>
      </c>
      <c r="O1289" s="78">
        <f>IF(OR($T1289="",$U1289=""),"",IF(INDEX(Firms!$C$5:$C$1004,$U1289)="","",INDEX(Firms!$C$5:$C$1004,$U1289)))</f>
        <v/>
      </c>
      <c r="P1289" s="79">
        <f>IF(OR($T1289="",$U1289=""),"",IF(INDEX(Firms!$N$5:$N$1004,$U1289)="","",INDEX(Firms!$N$5:$N$1004,$U1289)))</f>
        <v/>
      </c>
      <c r="Q1289" s="78">
        <f>IF($T1289="","",IF($S1289="S",IF(INDEX(Firms!$T$5:$T$1004,$T1289)="","",INDEX(Firms!$T$5:$T$1004,$T1289)),IF(INDEX('AFA Rates'!$M$5:$M$1004,$T1289)="","",INDEX('AFA Rates'!$M$5:$M$1004,$T1289))))</f>
        <v/>
      </c>
      <c r="S1289">
        <f>IF(1285&lt;=$S$2,"S",IF(1285&lt;=$S$2+$T$2,"A",""))</f>
        <v/>
      </c>
      <c r="T1289">
        <f>IF(S1289="S",MATCH(1285,Firms!$W$5:$W$1004,0),IF(S1289="A",IFERROR(MATCH(1285-$S$2,'AFA Rates'!$R$5:$R$1004,0),""),""))</f>
        <v/>
      </c>
      <c r="U1289">
        <f>IF(S1289="S",T1289,IF(AND(S1289="A",T1289&lt;&gt;""),IFERROR(MATCH(INDEX('AFA Rates'!$A$5:$A$1004,T1289),Firms!$A$5:$A$1004,0),""),""))</f>
        <v/>
      </c>
    </row>
    <row r="1290">
      <c r="A1290" s="78">
        <f>IF($T1290="","",IF($S1290="S",IF(INDEX(Firms!$A$5:$A$1004,$T1290)="","",INDEX(Firms!$A$5:$A$1004,$T1290)),IF(INDEX('AFA Rates'!$A$5:$A$1004,$T1290)="","",INDEX('AFA Rates'!$A$5:$A$1004,$T1290))))</f>
        <v/>
      </c>
      <c r="B1290" s="79">
        <f>IF(OR($T1290="",$U1290=""),IF($T1290="","","Not on Firms tab"),INDEX(Firms!$B$5:$B$1004,$U1290)&amp;"")</f>
        <v/>
      </c>
      <c r="C1290" s="78">
        <f>IF($T1290="","",IF($S1290="S","Standard",INDEX('AFA Rates'!$B$5:$B$1004,$T1290)&amp;""))</f>
        <v/>
      </c>
      <c r="D1290" s="88">
        <f>IF($T1290="","",IF($S1290="S",IF(INDEX(Firms!$E$5:$E$1004,$T1290)="","",INDEX(Firms!$E$5:$E$1004,$T1290)),IF(INDEX('AFA Rates'!$C$5:$C$1004,$T1290)="","",INDEX('AFA Rates'!$C$5:$C$1004,$T1290))))</f>
        <v/>
      </c>
      <c r="E1290" s="88">
        <f>IF($T1290="","",IF($S1290="S",IF(""="","",""),IF(INDEX('AFA Rates'!$D$5:$D$1004,$T1290)="","",INDEX('AFA Rates'!$D$5:$D$1004,$T1290))))</f>
        <v/>
      </c>
      <c r="F1290" s="79">
        <f>IF($T1290="","",IF($S1290="S",IF(INDEX(Firms!$O$5:$O$1004,$T1290)="","",INDEX(Firms!$O$5:$O$1004,$T1290)),IF(INDEX('AFA Rates'!$O$5:$O$1004,$T1290)="","",INDEX('AFA Rates'!$O$5:$O$1004,$T1290))))</f>
        <v/>
      </c>
      <c r="G1290" s="50">
        <f>IF($T1290="","",IF($S1290="S",IF(INDEX(Firms!$F$5:$F$1004,$T1290)="","",INDEX(Firms!$F$5:$F$1004,$T1290)),IF(INDEX('AFA Rates'!$E$5:$E$1004,$T1290)="","",INDEX('AFA Rates'!$E$5:$E$1004,$T1290))))</f>
        <v/>
      </c>
      <c r="H1290" s="50">
        <f>IF($T1290="","",IF($S1290="S",IF(INDEX(Firms!$G$5:$G$1004,$T1290)="","",INDEX(Firms!$G$5:$G$1004,$T1290)),IF(INDEX('AFA Rates'!$F$5:$F$1004,$T1290)="","",INDEX('AFA Rates'!$F$5:$F$1004,$T1290))))</f>
        <v/>
      </c>
      <c r="I1290" s="50">
        <f>IF($T1290="","",IF($S1290="S",IF(INDEX(Firms!$H$5:$H$1004,$T1290)="","",INDEX(Firms!$H$5:$H$1004,$T1290)),IF(INDEX('AFA Rates'!$G$5:$G$1004,$T1290)="","",INDEX('AFA Rates'!$G$5:$G$1004,$T1290))))</f>
        <v/>
      </c>
      <c r="J1290" s="50">
        <f>IF($T1290="","",IF($S1290="S",IF(INDEX(Firms!$I$5:$I$1004,$T1290)="","",INDEX(Firms!$I$5:$I$1004,$T1290)),IF(INDEX('AFA Rates'!$H$5:$H$1004,$T1290)="","",INDEX('AFA Rates'!$H$5:$H$1004,$T1290))))</f>
        <v/>
      </c>
      <c r="K1290" s="50">
        <f>IF($T1290="","",IF($S1290="S",IF(INDEX(Firms!$J$5:$J$1004,$T1290)="","",INDEX(Firms!$J$5:$J$1004,$T1290)),IF(INDEX('AFA Rates'!$I$5:$I$1004,$T1290)="","",INDEX('AFA Rates'!$I$5:$I$1004,$T1290))))</f>
        <v/>
      </c>
      <c r="L1290" s="50">
        <f>IF($T1290="","",IF($S1290="S",IF(INDEX(Firms!$K$5:$K$1004,$T1290)="","",INDEX(Firms!$K$5:$K$1004,$T1290)),IF(INDEX('AFA Rates'!$J$5:$J$1004,$T1290)="","",INDEX('AFA Rates'!$J$5:$J$1004,$T1290))))</f>
        <v/>
      </c>
      <c r="M1290" s="50">
        <f>IF($T1290="","",IF($S1290="S",IF(INDEX(Firms!$L$5:$L$1004,$T1290)="","",INDEX(Firms!$L$5:$L$1004,$T1290)),IF(INDEX('AFA Rates'!$K$5:$K$1004,$T1290)="","",INDEX('AFA Rates'!$K$5:$K$1004,$T1290))))</f>
        <v/>
      </c>
      <c r="N1290" s="50">
        <f>IF($T1290="","",IF($S1290="S",IF(INDEX(Firms!$M$5:$M$1004,$T1290)="","",INDEX(Firms!$M$5:$M$1004,$T1290)),IF(INDEX('AFA Rates'!$L$5:$L$1004,$T1290)="","",INDEX('AFA Rates'!$L$5:$L$1004,$T1290))))</f>
        <v/>
      </c>
      <c r="O1290" s="78">
        <f>IF(OR($T1290="",$U1290=""),"",IF(INDEX(Firms!$C$5:$C$1004,$U1290)="","",INDEX(Firms!$C$5:$C$1004,$U1290)))</f>
        <v/>
      </c>
      <c r="P1290" s="79">
        <f>IF(OR($T1290="",$U1290=""),"",IF(INDEX(Firms!$N$5:$N$1004,$U1290)="","",INDEX(Firms!$N$5:$N$1004,$U1290)))</f>
        <v/>
      </c>
      <c r="Q1290" s="78">
        <f>IF($T1290="","",IF($S1290="S",IF(INDEX(Firms!$T$5:$T$1004,$T1290)="","",INDEX(Firms!$T$5:$T$1004,$T1290)),IF(INDEX('AFA Rates'!$M$5:$M$1004,$T1290)="","",INDEX('AFA Rates'!$M$5:$M$1004,$T1290))))</f>
        <v/>
      </c>
      <c r="S1290">
        <f>IF(1286&lt;=$S$2,"S",IF(1286&lt;=$S$2+$T$2,"A",""))</f>
        <v/>
      </c>
      <c r="T1290">
        <f>IF(S1290="S",MATCH(1286,Firms!$W$5:$W$1004,0),IF(S1290="A",IFERROR(MATCH(1286-$S$2,'AFA Rates'!$R$5:$R$1004,0),""),""))</f>
        <v/>
      </c>
      <c r="U1290">
        <f>IF(S1290="S",T1290,IF(AND(S1290="A",T1290&lt;&gt;""),IFERROR(MATCH(INDEX('AFA Rates'!$A$5:$A$1004,T1290),Firms!$A$5:$A$1004,0),""),""))</f>
        <v/>
      </c>
    </row>
    <row r="1291">
      <c r="A1291" s="78">
        <f>IF($T1291="","",IF($S1291="S",IF(INDEX(Firms!$A$5:$A$1004,$T1291)="","",INDEX(Firms!$A$5:$A$1004,$T1291)),IF(INDEX('AFA Rates'!$A$5:$A$1004,$T1291)="","",INDEX('AFA Rates'!$A$5:$A$1004,$T1291))))</f>
        <v/>
      </c>
      <c r="B1291" s="79">
        <f>IF(OR($T1291="",$U1291=""),IF($T1291="","","Not on Firms tab"),INDEX(Firms!$B$5:$B$1004,$U1291)&amp;"")</f>
        <v/>
      </c>
      <c r="C1291" s="78">
        <f>IF($T1291="","",IF($S1291="S","Standard",INDEX('AFA Rates'!$B$5:$B$1004,$T1291)&amp;""))</f>
        <v/>
      </c>
      <c r="D1291" s="88">
        <f>IF($T1291="","",IF($S1291="S",IF(INDEX(Firms!$E$5:$E$1004,$T1291)="","",INDEX(Firms!$E$5:$E$1004,$T1291)),IF(INDEX('AFA Rates'!$C$5:$C$1004,$T1291)="","",INDEX('AFA Rates'!$C$5:$C$1004,$T1291))))</f>
        <v/>
      </c>
      <c r="E1291" s="88">
        <f>IF($T1291="","",IF($S1291="S",IF(""="","",""),IF(INDEX('AFA Rates'!$D$5:$D$1004,$T1291)="","",INDEX('AFA Rates'!$D$5:$D$1004,$T1291))))</f>
        <v/>
      </c>
      <c r="F1291" s="79">
        <f>IF($T1291="","",IF($S1291="S",IF(INDEX(Firms!$O$5:$O$1004,$T1291)="","",INDEX(Firms!$O$5:$O$1004,$T1291)),IF(INDEX('AFA Rates'!$O$5:$O$1004,$T1291)="","",INDEX('AFA Rates'!$O$5:$O$1004,$T1291))))</f>
        <v/>
      </c>
      <c r="G1291" s="50">
        <f>IF($T1291="","",IF($S1291="S",IF(INDEX(Firms!$F$5:$F$1004,$T1291)="","",INDEX(Firms!$F$5:$F$1004,$T1291)),IF(INDEX('AFA Rates'!$E$5:$E$1004,$T1291)="","",INDEX('AFA Rates'!$E$5:$E$1004,$T1291))))</f>
        <v/>
      </c>
      <c r="H1291" s="50">
        <f>IF($T1291="","",IF($S1291="S",IF(INDEX(Firms!$G$5:$G$1004,$T1291)="","",INDEX(Firms!$G$5:$G$1004,$T1291)),IF(INDEX('AFA Rates'!$F$5:$F$1004,$T1291)="","",INDEX('AFA Rates'!$F$5:$F$1004,$T1291))))</f>
        <v/>
      </c>
      <c r="I1291" s="50">
        <f>IF($T1291="","",IF($S1291="S",IF(INDEX(Firms!$H$5:$H$1004,$T1291)="","",INDEX(Firms!$H$5:$H$1004,$T1291)),IF(INDEX('AFA Rates'!$G$5:$G$1004,$T1291)="","",INDEX('AFA Rates'!$G$5:$G$1004,$T1291))))</f>
        <v/>
      </c>
      <c r="J1291" s="50">
        <f>IF($T1291="","",IF($S1291="S",IF(INDEX(Firms!$I$5:$I$1004,$T1291)="","",INDEX(Firms!$I$5:$I$1004,$T1291)),IF(INDEX('AFA Rates'!$H$5:$H$1004,$T1291)="","",INDEX('AFA Rates'!$H$5:$H$1004,$T1291))))</f>
        <v/>
      </c>
      <c r="K1291" s="50">
        <f>IF($T1291="","",IF($S1291="S",IF(INDEX(Firms!$J$5:$J$1004,$T1291)="","",INDEX(Firms!$J$5:$J$1004,$T1291)),IF(INDEX('AFA Rates'!$I$5:$I$1004,$T1291)="","",INDEX('AFA Rates'!$I$5:$I$1004,$T1291))))</f>
        <v/>
      </c>
      <c r="L1291" s="50">
        <f>IF($T1291="","",IF($S1291="S",IF(INDEX(Firms!$K$5:$K$1004,$T1291)="","",INDEX(Firms!$K$5:$K$1004,$T1291)),IF(INDEX('AFA Rates'!$J$5:$J$1004,$T1291)="","",INDEX('AFA Rates'!$J$5:$J$1004,$T1291))))</f>
        <v/>
      </c>
      <c r="M1291" s="50">
        <f>IF($T1291="","",IF($S1291="S",IF(INDEX(Firms!$L$5:$L$1004,$T1291)="","",INDEX(Firms!$L$5:$L$1004,$T1291)),IF(INDEX('AFA Rates'!$K$5:$K$1004,$T1291)="","",INDEX('AFA Rates'!$K$5:$K$1004,$T1291))))</f>
        <v/>
      </c>
      <c r="N1291" s="50">
        <f>IF($T1291="","",IF($S1291="S",IF(INDEX(Firms!$M$5:$M$1004,$T1291)="","",INDEX(Firms!$M$5:$M$1004,$T1291)),IF(INDEX('AFA Rates'!$L$5:$L$1004,$T1291)="","",INDEX('AFA Rates'!$L$5:$L$1004,$T1291))))</f>
        <v/>
      </c>
      <c r="O1291" s="78">
        <f>IF(OR($T1291="",$U1291=""),"",IF(INDEX(Firms!$C$5:$C$1004,$U1291)="","",INDEX(Firms!$C$5:$C$1004,$U1291)))</f>
        <v/>
      </c>
      <c r="P1291" s="79">
        <f>IF(OR($T1291="",$U1291=""),"",IF(INDEX(Firms!$N$5:$N$1004,$U1291)="","",INDEX(Firms!$N$5:$N$1004,$U1291)))</f>
        <v/>
      </c>
      <c r="Q1291" s="78">
        <f>IF($T1291="","",IF($S1291="S",IF(INDEX(Firms!$T$5:$T$1004,$T1291)="","",INDEX(Firms!$T$5:$T$1004,$T1291)),IF(INDEX('AFA Rates'!$M$5:$M$1004,$T1291)="","",INDEX('AFA Rates'!$M$5:$M$1004,$T1291))))</f>
        <v/>
      </c>
      <c r="S1291">
        <f>IF(1287&lt;=$S$2,"S",IF(1287&lt;=$S$2+$T$2,"A",""))</f>
        <v/>
      </c>
      <c r="T1291">
        <f>IF(S1291="S",MATCH(1287,Firms!$W$5:$W$1004,0),IF(S1291="A",IFERROR(MATCH(1287-$S$2,'AFA Rates'!$R$5:$R$1004,0),""),""))</f>
        <v/>
      </c>
      <c r="U1291">
        <f>IF(S1291="S",T1291,IF(AND(S1291="A",T1291&lt;&gt;""),IFERROR(MATCH(INDEX('AFA Rates'!$A$5:$A$1004,T1291),Firms!$A$5:$A$1004,0),""),""))</f>
        <v/>
      </c>
    </row>
    <row r="1292">
      <c r="A1292" s="78">
        <f>IF($T1292="","",IF($S1292="S",IF(INDEX(Firms!$A$5:$A$1004,$T1292)="","",INDEX(Firms!$A$5:$A$1004,$T1292)),IF(INDEX('AFA Rates'!$A$5:$A$1004,$T1292)="","",INDEX('AFA Rates'!$A$5:$A$1004,$T1292))))</f>
        <v/>
      </c>
      <c r="B1292" s="79">
        <f>IF(OR($T1292="",$U1292=""),IF($T1292="","","Not on Firms tab"),INDEX(Firms!$B$5:$B$1004,$U1292)&amp;"")</f>
        <v/>
      </c>
      <c r="C1292" s="78">
        <f>IF($T1292="","",IF($S1292="S","Standard",INDEX('AFA Rates'!$B$5:$B$1004,$T1292)&amp;""))</f>
        <v/>
      </c>
      <c r="D1292" s="88">
        <f>IF($T1292="","",IF($S1292="S",IF(INDEX(Firms!$E$5:$E$1004,$T1292)="","",INDEX(Firms!$E$5:$E$1004,$T1292)),IF(INDEX('AFA Rates'!$C$5:$C$1004,$T1292)="","",INDEX('AFA Rates'!$C$5:$C$1004,$T1292))))</f>
        <v/>
      </c>
      <c r="E1292" s="88">
        <f>IF($T1292="","",IF($S1292="S",IF(""="","",""),IF(INDEX('AFA Rates'!$D$5:$D$1004,$T1292)="","",INDEX('AFA Rates'!$D$5:$D$1004,$T1292))))</f>
        <v/>
      </c>
      <c r="F1292" s="79">
        <f>IF($T1292="","",IF($S1292="S",IF(INDEX(Firms!$O$5:$O$1004,$T1292)="","",INDEX(Firms!$O$5:$O$1004,$T1292)),IF(INDEX('AFA Rates'!$O$5:$O$1004,$T1292)="","",INDEX('AFA Rates'!$O$5:$O$1004,$T1292))))</f>
        <v/>
      </c>
      <c r="G1292" s="50">
        <f>IF($T1292="","",IF($S1292="S",IF(INDEX(Firms!$F$5:$F$1004,$T1292)="","",INDEX(Firms!$F$5:$F$1004,$T1292)),IF(INDEX('AFA Rates'!$E$5:$E$1004,$T1292)="","",INDEX('AFA Rates'!$E$5:$E$1004,$T1292))))</f>
        <v/>
      </c>
      <c r="H1292" s="50">
        <f>IF($T1292="","",IF($S1292="S",IF(INDEX(Firms!$G$5:$G$1004,$T1292)="","",INDEX(Firms!$G$5:$G$1004,$T1292)),IF(INDEX('AFA Rates'!$F$5:$F$1004,$T1292)="","",INDEX('AFA Rates'!$F$5:$F$1004,$T1292))))</f>
        <v/>
      </c>
      <c r="I1292" s="50">
        <f>IF($T1292="","",IF($S1292="S",IF(INDEX(Firms!$H$5:$H$1004,$T1292)="","",INDEX(Firms!$H$5:$H$1004,$T1292)),IF(INDEX('AFA Rates'!$G$5:$G$1004,$T1292)="","",INDEX('AFA Rates'!$G$5:$G$1004,$T1292))))</f>
        <v/>
      </c>
      <c r="J1292" s="50">
        <f>IF($T1292="","",IF($S1292="S",IF(INDEX(Firms!$I$5:$I$1004,$T1292)="","",INDEX(Firms!$I$5:$I$1004,$T1292)),IF(INDEX('AFA Rates'!$H$5:$H$1004,$T1292)="","",INDEX('AFA Rates'!$H$5:$H$1004,$T1292))))</f>
        <v/>
      </c>
      <c r="K1292" s="50">
        <f>IF($T1292="","",IF($S1292="S",IF(INDEX(Firms!$J$5:$J$1004,$T1292)="","",INDEX(Firms!$J$5:$J$1004,$T1292)),IF(INDEX('AFA Rates'!$I$5:$I$1004,$T1292)="","",INDEX('AFA Rates'!$I$5:$I$1004,$T1292))))</f>
        <v/>
      </c>
      <c r="L1292" s="50">
        <f>IF($T1292="","",IF($S1292="S",IF(INDEX(Firms!$K$5:$K$1004,$T1292)="","",INDEX(Firms!$K$5:$K$1004,$T1292)),IF(INDEX('AFA Rates'!$J$5:$J$1004,$T1292)="","",INDEX('AFA Rates'!$J$5:$J$1004,$T1292))))</f>
        <v/>
      </c>
      <c r="M1292" s="50">
        <f>IF($T1292="","",IF($S1292="S",IF(INDEX(Firms!$L$5:$L$1004,$T1292)="","",INDEX(Firms!$L$5:$L$1004,$T1292)),IF(INDEX('AFA Rates'!$K$5:$K$1004,$T1292)="","",INDEX('AFA Rates'!$K$5:$K$1004,$T1292))))</f>
        <v/>
      </c>
      <c r="N1292" s="50">
        <f>IF($T1292="","",IF($S1292="S",IF(INDEX(Firms!$M$5:$M$1004,$T1292)="","",INDEX(Firms!$M$5:$M$1004,$T1292)),IF(INDEX('AFA Rates'!$L$5:$L$1004,$T1292)="","",INDEX('AFA Rates'!$L$5:$L$1004,$T1292))))</f>
        <v/>
      </c>
      <c r="O1292" s="78">
        <f>IF(OR($T1292="",$U1292=""),"",IF(INDEX(Firms!$C$5:$C$1004,$U1292)="","",INDEX(Firms!$C$5:$C$1004,$U1292)))</f>
        <v/>
      </c>
      <c r="P1292" s="79">
        <f>IF(OR($T1292="",$U1292=""),"",IF(INDEX(Firms!$N$5:$N$1004,$U1292)="","",INDEX(Firms!$N$5:$N$1004,$U1292)))</f>
        <v/>
      </c>
      <c r="Q1292" s="78">
        <f>IF($T1292="","",IF($S1292="S",IF(INDEX(Firms!$T$5:$T$1004,$T1292)="","",INDEX(Firms!$T$5:$T$1004,$T1292)),IF(INDEX('AFA Rates'!$M$5:$M$1004,$T1292)="","",INDEX('AFA Rates'!$M$5:$M$1004,$T1292))))</f>
        <v/>
      </c>
      <c r="S1292">
        <f>IF(1288&lt;=$S$2,"S",IF(1288&lt;=$S$2+$T$2,"A",""))</f>
        <v/>
      </c>
      <c r="T1292">
        <f>IF(S1292="S",MATCH(1288,Firms!$W$5:$W$1004,0),IF(S1292="A",IFERROR(MATCH(1288-$S$2,'AFA Rates'!$R$5:$R$1004,0),""),""))</f>
        <v/>
      </c>
      <c r="U1292">
        <f>IF(S1292="S",T1292,IF(AND(S1292="A",T1292&lt;&gt;""),IFERROR(MATCH(INDEX('AFA Rates'!$A$5:$A$1004,T1292),Firms!$A$5:$A$1004,0),""),""))</f>
        <v/>
      </c>
    </row>
    <row r="1293">
      <c r="A1293" s="78">
        <f>IF($T1293="","",IF($S1293="S",IF(INDEX(Firms!$A$5:$A$1004,$T1293)="","",INDEX(Firms!$A$5:$A$1004,$T1293)),IF(INDEX('AFA Rates'!$A$5:$A$1004,$T1293)="","",INDEX('AFA Rates'!$A$5:$A$1004,$T1293))))</f>
        <v/>
      </c>
      <c r="B1293" s="79">
        <f>IF(OR($T1293="",$U1293=""),IF($T1293="","","Not on Firms tab"),INDEX(Firms!$B$5:$B$1004,$U1293)&amp;"")</f>
        <v/>
      </c>
      <c r="C1293" s="78">
        <f>IF($T1293="","",IF($S1293="S","Standard",INDEX('AFA Rates'!$B$5:$B$1004,$T1293)&amp;""))</f>
        <v/>
      </c>
      <c r="D1293" s="88">
        <f>IF($T1293="","",IF($S1293="S",IF(INDEX(Firms!$E$5:$E$1004,$T1293)="","",INDEX(Firms!$E$5:$E$1004,$T1293)),IF(INDEX('AFA Rates'!$C$5:$C$1004,$T1293)="","",INDEX('AFA Rates'!$C$5:$C$1004,$T1293))))</f>
        <v/>
      </c>
      <c r="E1293" s="88">
        <f>IF($T1293="","",IF($S1293="S",IF(""="","",""),IF(INDEX('AFA Rates'!$D$5:$D$1004,$T1293)="","",INDEX('AFA Rates'!$D$5:$D$1004,$T1293))))</f>
        <v/>
      </c>
      <c r="F1293" s="79">
        <f>IF($T1293="","",IF($S1293="S",IF(INDEX(Firms!$O$5:$O$1004,$T1293)="","",INDEX(Firms!$O$5:$O$1004,$T1293)),IF(INDEX('AFA Rates'!$O$5:$O$1004,$T1293)="","",INDEX('AFA Rates'!$O$5:$O$1004,$T1293))))</f>
        <v/>
      </c>
      <c r="G1293" s="50">
        <f>IF($T1293="","",IF($S1293="S",IF(INDEX(Firms!$F$5:$F$1004,$T1293)="","",INDEX(Firms!$F$5:$F$1004,$T1293)),IF(INDEX('AFA Rates'!$E$5:$E$1004,$T1293)="","",INDEX('AFA Rates'!$E$5:$E$1004,$T1293))))</f>
        <v/>
      </c>
      <c r="H1293" s="50">
        <f>IF($T1293="","",IF($S1293="S",IF(INDEX(Firms!$G$5:$G$1004,$T1293)="","",INDEX(Firms!$G$5:$G$1004,$T1293)),IF(INDEX('AFA Rates'!$F$5:$F$1004,$T1293)="","",INDEX('AFA Rates'!$F$5:$F$1004,$T1293))))</f>
        <v/>
      </c>
      <c r="I1293" s="50">
        <f>IF($T1293="","",IF($S1293="S",IF(INDEX(Firms!$H$5:$H$1004,$T1293)="","",INDEX(Firms!$H$5:$H$1004,$T1293)),IF(INDEX('AFA Rates'!$G$5:$G$1004,$T1293)="","",INDEX('AFA Rates'!$G$5:$G$1004,$T1293))))</f>
        <v/>
      </c>
      <c r="J1293" s="50">
        <f>IF($T1293="","",IF($S1293="S",IF(INDEX(Firms!$I$5:$I$1004,$T1293)="","",INDEX(Firms!$I$5:$I$1004,$T1293)),IF(INDEX('AFA Rates'!$H$5:$H$1004,$T1293)="","",INDEX('AFA Rates'!$H$5:$H$1004,$T1293))))</f>
        <v/>
      </c>
      <c r="K1293" s="50">
        <f>IF($T1293="","",IF($S1293="S",IF(INDEX(Firms!$J$5:$J$1004,$T1293)="","",INDEX(Firms!$J$5:$J$1004,$T1293)),IF(INDEX('AFA Rates'!$I$5:$I$1004,$T1293)="","",INDEX('AFA Rates'!$I$5:$I$1004,$T1293))))</f>
        <v/>
      </c>
      <c r="L1293" s="50">
        <f>IF($T1293="","",IF($S1293="S",IF(INDEX(Firms!$K$5:$K$1004,$T1293)="","",INDEX(Firms!$K$5:$K$1004,$T1293)),IF(INDEX('AFA Rates'!$J$5:$J$1004,$T1293)="","",INDEX('AFA Rates'!$J$5:$J$1004,$T1293))))</f>
        <v/>
      </c>
      <c r="M1293" s="50">
        <f>IF($T1293="","",IF($S1293="S",IF(INDEX(Firms!$L$5:$L$1004,$T1293)="","",INDEX(Firms!$L$5:$L$1004,$T1293)),IF(INDEX('AFA Rates'!$K$5:$K$1004,$T1293)="","",INDEX('AFA Rates'!$K$5:$K$1004,$T1293))))</f>
        <v/>
      </c>
      <c r="N1293" s="50">
        <f>IF($T1293="","",IF($S1293="S",IF(INDEX(Firms!$M$5:$M$1004,$T1293)="","",INDEX(Firms!$M$5:$M$1004,$T1293)),IF(INDEX('AFA Rates'!$L$5:$L$1004,$T1293)="","",INDEX('AFA Rates'!$L$5:$L$1004,$T1293))))</f>
        <v/>
      </c>
      <c r="O1293" s="78">
        <f>IF(OR($T1293="",$U1293=""),"",IF(INDEX(Firms!$C$5:$C$1004,$U1293)="","",INDEX(Firms!$C$5:$C$1004,$U1293)))</f>
        <v/>
      </c>
      <c r="P1293" s="79">
        <f>IF(OR($T1293="",$U1293=""),"",IF(INDEX(Firms!$N$5:$N$1004,$U1293)="","",INDEX(Firms!$N$5:$N$1004,$U1293)))</f>
        <v/>
      </c>
      <c r="Q1293" s="78">
        <f>IF($T1293="","",IF($S1293="S",IF(INDEX(Firms!$T$5:$T$1004,$T1293)="","",INDEX(Firms!$T$5:$T$1004,$T1293)),IF(INDEX('AFA Rates'!$M$5:$M$1004,$T1293)="","",INDEX('AFA Rates'!$M$5:$M$1004,$T1293))))</f>
        <v/>
      </c>
      <c r="S1293">
        <f>IF(1289&lt;=$S$2,"S",IF(1289&lt;=$S$2+$T$2,"A",""))</f>
        <v/>
      </c>
      <c r="T1293">
        <f>IF(S1293="S",MATCH(1289,Firms!$W$5:$W$1004,0),IF(S1293="A",IFERROR(MATCH(1289-$S$2,'AFA Rates'!$R$5:$R$1004,0),""),""))</f>
        <v/>
      </c>
      <c r="U1293">
        <f>IF(S1293="S",T1293,IF(AND(S1293="A",T1293&lt;&gt;""),IFERROR(MATCH(INDEX('AFA Rates'!$A$5:$A$1004,T1293),Firms!$A$5:$A$1004,0),""),""))</f>
        <v/>
      </c>
    </row>
    <row r="1294">
      <c r="A1294" s="78">
        <f>IF($T1294="","",IF($S1294="S",IF(INDEX(Firms!$A$5:$A$1004,$T1294)="","",INDEX(Firms!$A$5:$A$1004,$T1294)),IF(INDEX('AFA Rates'!$A$5:$A$1004,$T1294)="","",INDEX('AFA Rates'!$A$5:$A$1004,$T1294))))</f>
        <v/>
      </c>
      <c r="B1294" s="79">
        <f>IF(OR($T1294="",$U1294=""),IF($T1294="","","Not on Firms tab"),INDEX(Firms!$B$5:$B$1004,$U1294)&amp;"")</f>
        <v/>
      </c>
      <c r="C1294" s="78">
        <f>IF($T1294="","",IF($S1294="S","Standard",INDEX('AFA Rates'!$B$5:$B$1004,$T1294)&amp;""))</f>
        <v/>
      </c>
      <c r="D1294" s="88">
        <f>IF($T1294="","",IF($S1294="S",IF(INDEX(Firms!$E$5:$E$1004,$T1294)="","",INDEX(Firms!$E$5:$E$1004,$T1294)),IF(INDEX('AFA Rates'!$C$5:$C$1004,$T1294)="","",INDEX('AFA Rates'!$C$5:$C$1004,$T1294))))</f>
        <v/>
      </c>
      <c r="E1294" s="88">
        <f>IF($T1294="","",IF($S1294="S",IF(""="","",""),IF(INDEX('AFA Rates'!$D$5:$D$1004,$T1294)="","",INDEX('AFA Rates'!$D$5:$D$1004,$T1294))))</f>
        <v/>
      </c>
      <c r="F1294" s="79">
        <f>IF($T1294="","",IF($S1294="S",IF(INDEX(Firms!$O$5:$O$1004,$T1294)="","",INDEX(Firms!$O$5:$O$1004,$T1294)),IF(INDEX('AFA Rates'!$O$5:$O$1004,$T1294)="","",INDEX('AFA Rates'!$O$5:$O$1004,$T1294))))</f>
        <v/>
      </c>
      <c r="G1294" s="50">
        <f>IF($T1294="","",IF($S1294="S",IF(INDEX(Firms!$F$5:$F$1004,$T1294)="","",INDEX(Firms!$F$5:$F$1004,$T1294)),IF(INDEX('AFA Rates'!$E$5:$E$1004,$T1294)="","",INDEX('AFA Rates'!$E$5:$E$1004,$T1294))))</f>
        <v/>
      </c>
      <c r="H1294" s="50">
        <f>IF($T1294="","",IF($S1294="S",IF(INDEX(Firms!$G$5:$G$1004,$T1294)="","",INDEX(Firms!$G$5:$G$1004,$T1294)),IF(INDEX('AFA Rates'!$F$5:$F$1004,$T1294)="","",INDEX('AFA Rates'!$F$5:$F$1004,$T1294))))</f>
        <v/>
      </c>
      <c r="I1294" s="50">
        <f>IF($T1294="","",IF($S1294="S",IF(INDEX(Firms!$H$5:$H$1004,$T1294)="","",INDEX(Firms!$H$5:$H$1004,$T1294)),IF(INDEX('AFA Rates'!$G$5:$G$1004,$T1294)="","",INDEX('AFA Rates'!$G$5:$G$1004,$T1294))))</f>
        <v/>
      </c>
      <c r="J1294" s="50">
        <f>IF($T1294="","",IF($S1294="S",IF(INDEX(Firms!$I$5:$I$1004,$T1294)="","",INDEX(Firms!$I$5:$I$1004,$T1294)),IF(INDEX('AFA Rates'!$H$5:$H$1004,$T1294)="","",INDEX('AFA Rates'!$H$5:$H$1004,$T1294))))</f>
        <v/>
      </c>
      <c r="K1294" s="50">
        <f>IF($T1294="","",IF($S1294="S",IF(INDEX(Firms!$J$5:$J$1004,$T1294)="","",INDEX(Firms!$J$5:$J$1004,$T1294)),IF(INDEX('AFA Rates'!$I$5:$I$1004,$T1294)="","",INDEX('AFA Rates'!$I$5:$I$1004,$T1294))))</f>
        <v/>
      </c>
      <c r="L1294" s="50">
        <f>IF($T1294="","",IF($S1294="S",IF(INDEX(Firms!$K$5:$K$1004,$T1294)="","",INDEX(Firms!$K$5:$K$1004,$T1294)),IF(INDEX('AFA Rates'!$J$5:$J$1004,$T1294)="","",INDEX('AFA Rates'!$J$5:$J$1004,$T1294))))</f>
        <v/>
      </c>
      <c r="M1294" s="50">
        <f>IF($T1294="","",IF($S1294="S",IF(INDEX(Firms!$L$5:$L$1004,$T1294)="","",INDEX(Firms!$L$5:$L$1004,$T1294)),IF(INDEX('AFA Rates'!$K$5:$K$1004,$T1294)="","",INDEX('AFA Rates'!$K$5:$K$1004,$T1294))))</f>
        <v/>
      </c>
      <c r="N1294" s="50">
        <f>IF($T1294="","",IF($S1294="S",IF(INDEX(Firms!$M$5:$M$1004,$T1294)="","",INDEX(Firms!$M$5:$M$1004,$T1294)),IF(INDEX('AFA Rates'!$L$5:$L$1004,$T1294)="","",INDEX('AFA Rates'!$L$5:$L$1004,$T1294))))</f>
        <v/>
      </c>
      <c r="O1294" s="78">
        <f>IF(OR($T1294="",$U1294=""),"",IF(INDEX(Firms!$C$5:$C$1004,$U1294)="","",INDEX(Firms!$C$5:$C$1004,$U1294)))</f>
        <v/>
      </c>
      <c r="P1294" s="79">
        <f>IF(OR($T1294="",$U1294=""),"",IF(INDEX(Firms!$N$5:$N$1004,$U1294)="","",INDEX(Firms!$N$5:$N$1004,$U1294)))</f>
        <v/>
      </c>
      <c r="Q1294" s="78">
        <f>IF($T1294="","",IF($S1294="S",IF(INDEX(Firms!$T$5:$T$1004,$T1294)="","",INDEX(Firms!$T$5:$T$1004,$T1294)),IF(INDEX('AFA Rates'!$M$5:$M$1004,$T1294)="","",INDEX('AFA Rates'!$M$5:$M$1004,$T1294))))</f>
        <v/>
      </c>
      <c r="S1294">
        <f>IF(1290&lt;=$S$2,"S",IF(1290&lt;=$S$2+$T$2,"A",""))</f>
        <v/>
      </c>
      <c r="T1294">
        <f>IF(S1294="S",MATCH(1290,Firms!$W$5:$W$1004,0),IF(S1294="A",IFERROR(MATCH(1290-$S$2,'AFA Rates'!$R$5:$R$1004,0),""),""))</f>
        <v/>
      </c>
      <c r="U1294">
        <f>IF(S1294="S",T1294,IF(AND(S1294="A",T1294&lt;&gt;""),IFERROR(MATCH(INDEX('AFA Rates'!$A$5:$A$1004,T1294),Firms!$A$5:$A$1004,0),""),""))</f>
        <v/>
      </c>
    </row>
    <row r="1295">
      <c r="A1295" s="78">
        <f>IF($T1295="","",IF($S1295="S",IF(INDEX(Firms!$A$5:$A$1004,$T1295)="","",INDEX(Firms!$A$5:$A$1004,$T1295)),IF(INDEX('AFA Rates'!$A$5:$A$1004,$T1295)="","",INDEX('AFA Rates'!$A$5:$A$1004,$T1295))))</f>
        <v/>
      </c>
      <c r="B1295" s="79">
        <f>IF(OR($T1295="",$U1295=""),IF($T1295="","","Not on Firms tab"),INDEX(Firms!$B$5:$B$1004,$U1295)&amp;"")</f>
        <v/>
      </c>
      <c r="C1295" s="78">
        <f>IF($T1295="","",IF($S1295="S","Standard",INDEX('AFA Rates'!$B$5:$B$1004,$T1295)&amp;""))</f>
        <v/>
      </c>
      <c r="D1295" s="88">
        <f>IF($T1295="","",IF($S1295="S",IF(INDEX(Firms!$E$5:$E$1004,$T1295)="","",INDEX(Firms!$E$5:$E$1004,$T1295)),IF(INDEX('AFA Rates'!$C$5:$C$1004,$T1295)="","",INDEX('AFA Rates'!$C$5:$C$1004,$T1295))))</f>
        <v/>
      </c>
      <c r="E1295" s="88">
        <f>IF($T1295="","",IF($S1295="S",IF(""="","",""),IF(INDEX('AFA Rates'!$D$5:$D$1004,$T1295)="","",INDEX('AFA Rates'!$D$5:$D$1004,$T1295))))</f>
        <v/>
      </c>
      <c r="F1295" s="79">
        <f>IF($T1295="","",IF($S1295="S",IF(INDEX(Firms!$O$5:$O$1004,$T1295)="","",INDEX(Firms!$O$5:$O$1004,$T1295)),IF(INDEX('AFA Rates'!$O$5:$O$1004,$T1295)="","",INDEX('AFA Rates'!$O$5:$O$1004,$T1295))))</f>
        <v/>
      </c>
      <c r="G1295" s="50">
        <f>IF($T1295="","",IF($S1295="S",IF(INDEX(Firms!$F$5:$F$1004,$T1295)="","",INDEX(Firms!$F$5:$F$1004,$T1295)),IF(INDEX('AFA Rates'!$E$5:$E$1004,$T1295)="","",INDEX('AFA Rates'!$E$5:$E$1004,$T1295))))</f>
        <v/>
      </c>
      <c r="H1295" s="50">
        <f>IF($T1295="","",IF($S1295="S",IF(INDEX(Firms!$G$5:$G$1004,$T1295)="","",INDEX(Firms!$G$5:$G$1004,$T1295)),IF(INDEX('AFA Rates'!$F$5:$F$1004,$T1295)="","",INDEX('AFA Rates'!$F$5:$F$1004,$T1295))))</f>
        <v/>
      </c>
      <c r="I1295" s="50">
        <f>IF($T1295="","",IF($S1295="S",IF(INDEX(Firms!$H$5:$H$1004,$T1295)="","",INDEX(Firms!$H$5:$H$1004,$T1295)),IF(INDEX('AFA Rates'!$G$5:$G$1004,$T1295)="","",INDEX('AFA Rates'!$G$5:$G$1004,$T1295))))</f>
        <v/>
      </c>
      <c r="J1295" s="50">
        <f>IF($T1295="","",IF($S1295="S",IF(INDEX(Firms!$I$5:$I$1004,$T1295)="","",INDEX(Firms!$I$5:$I$1004,$T1295)),IF(INDEX('AFA Rates'!$H$5:$H$1004,$T1295)="","",INDEX('AFA Rates'!$H$5:$H$1004,$T1295))))</f>
        <v/>
      </c>
      <c r="K1295" s="50">
        <f>IF($T1295="","",IF($S1295="S",IF(INDEX(Firms!$J$5:$J$1004,$T1295)="","",INDEX(Firms!$J$5:$J$1004,$T1295)),IF(INDEX('AFA Rates'!$I$5:$I$1004,$T1295)="","",INDEX('AFA Rates'!$I$5:$I$1004,$T1295))))</f>
        <v/>
      </c>
      <c r="L1295" s="50">
        <f>IF($T1295="","",IF($S1295="S",IF(INDEX(Firms!$K$5:$K$1004,$T1295)="","",INDEX(Firms!$K$5:$K$1004,$T1295)),IF(INDEX('AFA Rates'!$J$5:$J$1004,$T1295)="","",INDEX('AFA Rates'!$J$5:$J$1004,$T1295))))</f>
        <v/>
      </c>
      <c r="M1295" s="50">
        <f>IF($T1295="","",IF($S1295="S",IF(INDEX(Firms!$L$5:$L$1004,$T1295)="","",INDEX(Firms!$L$5:$L$1004,$T1295)),IF(INDEX('AFA Rates'!$K$5:$K$1004,$T1295)="","",INDEX('AFA Rates'!$K$5:$K$1004,$T1295))))</f>
        <v/>
      </c>
      <c r="N1295" s="50">
        <f>IF($T1295="","",IF($S1295="S",IF(INDEX(Firms!$M$5:$M$1004,$T1295)="","",INDEX(Firms!$M$5:$M$1004,$T1295)),IF(INDEX('AFA Rates'!$L$5:$L$1004,$T1295)="","",INDEX('AFA Rates'!$L$5:$L$1004,$T1295))))</f>
        <v/>
      </c>
      <c r="O1295" s="78">
        <f>IF(OR($T1295="",$U1295=""),"",IF(INDEX(Firms!$C$5:$C$1004,$U1295)="","",INDEX(Firms!$C$5:$C$1004,$U1295)))</f>
        <v/>
      </c>
      <c r="P1295" s="79">
        <f>IF(OR($T1295="",$U1295=""),"",IF(INDEX(Firms!$N$5:$N$1004,$U1295)="","",INDEX(Firms!$N$5:$N$1004,$U1295)))</f>
        <v/>
      </c>
      <c r="Q1295" s="78">
        <f>IF($T1295="","",IF($S1295="S",IF(INDEX(Firms!$T$5:$T$1004,$T1295)="","",INDEX(Firms!$T$5:$T$1004,$T1295)),IF(INDEX('AFA Rates'!$M$5:$M$1004,$T1295)="","",INDEX('AFA Rates'!$M$5:$M$1004,$T1295))))</f>
        <v/>
      </c>
      <c r="S1295">
        <f>IF(1291&lt;=$S$2,"S",IF(1291&lt;=$S$2+$T$2,"A",""))</f>
        <v/>
      </c>
      <c r="T1295">
        <f>IF(S1295="S",MATCH(1291,Firms!$W$5:$W$1004,0),IF(S1295="A",IFERROR(MATCH(1291-$S$2,'AFA Rates'!$R$5:$R$1004,0),""),""))</f>
        <v/>
      </c>
      <c r="U1295">
        <f>IF(S1295="S",T1295,IF(AND(S1295="A",T1295&lt;&gt;""),IFERROR(MATCH(INDEX('AFA Rates'!$A$5:$A$1004,T1295),Firms!$A$5:$A$1004,0),""),""))</f>
        <v/>
      </c>
    </row>
    <row r="1296">
      <c r="A1296" s="78">
        <f>IF($T1296="","",IF($S1296="S",IF(INDEX(Firms!$A$5:$A$1004,$T1296)="","",INDEX(Firms!$A$5:$A$1004,$T1296)),IF(INDEX('AFA Rates'!$A$5:$A$1004,$T1296)="","",INDEX('AFA Rates'!$A$5:$A$1004,$T1296))))</f>
        <v/>
      </c>
      <c r="B1296" s="79">
        <f>IF(OR($T1296="",$U1296=""),IF($T1296="","","Not on Firms tab"),INDEX(Firms!$B$5:$B$1004,$U1296)&amp;"")</f>
        <v/>
      </c>
      <c r="C1296" s="78">
        <f>IF($T1296="","",IF($S1296="S","Standard",INDEX('AFA Rates'!$B$5:$B$1004,$T1296)&amp;""))</f>
        <v/>
      </c>
      <c r="D1296" s="88">
        <f>IF($T1296="","",IF($S1296="S",IF(INDEX(Firms!$E$5:$E$1004,$T1296)="","",INDEX(Firms!$E$5:$E$1004,$T1296)),IF(INDEX('AFA Rates'!$C$5:$C$1004,$T1296)="","",INDEX('AFA Rates'!$C$5:$C$1004,$T1296))))</f>
        <v/>
      </c>
      <c r="E1296" s="88">
        <f>IF($T1296="","",IF($S1296="S",IF(""="","",""),IF(INDEX('AFA Rates'!$D$5:$D$1004,$T1296)="","",INDEX('AFA Rates'!$D$5:$D$1004,$T1296))))</f>
        <v/>
      </c>
      <c r="F1296" s="79">
        <f>IF($T1296="","",IF($S1296="S",IF(INDEX(Firms!$O$5:$O$1004,$T1296)="","",INDEX(Firms!$O$5:$O$1004,$T1296)),IF(INDEX('AFA Rates'!$O$5:$O$1004,$T1296)="","",INDEX('AFA Rates'!$O$5:$O$1004,$T1296))))</f>
        <v/>
      </c>
      <c r="G1296" s="50">
        <f>IF($T1296="","",IF($S1296="S",IF(INDEX(Firms!$F$5:$F$1004,$T1296)="","",INDEX(Firms!$F$5:$F$1004,$T1296)),IF(INDEX('AFA Rates'!$E$5:$E$1004,$T1296)="","",INDEX('AFA Rates'!$E$5:$E$1004,$T1296))))</f>
        <v/>
      </c>
      <c r="H1296" s="50">
        <f>IF($T1296="","",IF($S1296="S",IF(INDEX(Firms!$G$5:$G$1004,$T1296)="","",INDEX(Firms!$G$5:$G$1004,$T1296)),IF(INDEX('AFA Rates'!$F$5:$F$1004,$T1296)="","",INDEX('AFA Rates'!$F$5:$F$1004,$T1296))))</f>
        <v/>
      </c>
      <c r="I1296" s="50">
        <f>IF($T1296="","",IF($S1296="S",IF(INDEX(Firms!$H$5:$H$1004,$T1296)="","",INDEX(Firms!$H$5:$H$1004,$T1296)),IF(INDEX('AFA Rates'!$G$5:$G$1004,$T1296)="","",INDEX('AFA Rates'!$G$5:$G$1004,$T1296))))</f>
        <v/>
      </c>
      <c r="J1296" s="50">
        <f>IF($T1296="","",IF($S1296="S",IF(INDEX(Firms!$I$5:$I$1004,$T1296)="","",INDEX(Firms!$I$5:$I$1004,$T1296)),IF(INDEX('AFA Rates'!$H$5:$H$1004,$T1296)="","",INDEX('AFA Rates'!$H$5:$H$1004,$T1296))))</f>
        <v/>
      </c>
      <c r="K1296" s="50">
        <f>IF($T1296="","",IF($S1296="S",IF(INDEX(Firms!$J$5:$J$1004,$T1296)="","",INDEX(Firms!$J$5:$J$1004,$T1296)),IF(INDEX('AFA Rates'!$I$5:$I$1004,$T1296)="","",INDEX('AFA Rates'!$I$5:$I$1004,$T1296))))</f>
        <v/>
      </c>
      <c r="L1296" s="50">
        <f>IF($T1296="","",IF($S1296="S",IF(INDEX(Firms!$K$5:$K$1004,$T1296)="","",INDEX(Firms!$K$5:$K$1004,$T1296)),IF(INDEX('AFA Rates'!$J$5:$J$1004,$T1296)="","",INDEX('AFA Rates'!$J$5:$J$1004,$T1296))))</f>
        <v/>
      </c>
      <c r="M1296" s="50">
        <f>IF($T1296="","",IF($S1296="S",IF(INDEX(Firms!$L$5:$L$1004,$T1296)="","",INDEX(Firms!$L$5:$L$1004,$T1296)),IF(INDEX('AFA Rates'!$K$5:$K$1004,$T1296)="","",INDEX('AFA Rates'!$K$5:$K$1004,$T1296))))</f>
        <v/>
      </c>
      <c r="N1296" s="50">
        <f>IF($T1296="","",IF($S1296="S",IF(INDEX(Firms!$M$5:$M$1004,$T1296)="","",INDEX(Firms!$M$5:$M$1004,$T1296)),IF(INDEX('AFA Rates'!$L$5:$L$1004,$T1296)="","",INDEX('AFA Rates'!$L$5:$L$1004,$T1296))))</f>
        <v/>
      </c>
      <c r="O1296" s="78">
        <f>IF(OR($T1296="",$U1296=""),"",IF(INDEX(Firms!$C$5:$C$1004,$U1296)="","",INDEX(Firms!$C$5:$C$1004,$U1296)))</f>
        <v/>
      </c>
      <c r="P1296" s="79">
        <f>IF(OR($T1296="",$U1296=""),"",IF(INDEX(Firms!$N$5:$N$1004,$U1296)="","",INDEX(Firms!$N$5:$N$1004,$U1296)))</f>
        <v/>
      </c>
      <c r="Q1296" s="78">
        <f>IF($T1296="","",IF($S1296="S",IF(INDEX(Firms!$T$5:$T$1004,$T1296)="","",INDEX(Firms!$T$5:$T$1004,$T1296)),IF(INDEX('AFA Rates'!$M$5:$M$1004,$T1296)="","",INDEX('AFA Rates'!$M$5:$M$1004,$T1296))))</f>
        <v/>
      </c>
      <c r="S1296">
        <f>IF(1292&lt;=$S$2,"S",IF(1292&lt;=$S$2+$T$2,"A",""))</f>
        <v/>
      </c>
      <c r="T1296">
        <f>IF(S1296="S",MATCH(1292,Firms!$W$5:$W$1004,0),IF(S1296="A",IFERROR(MATCH(1292-$S$2,'AFA Rates'!$R$5:$R$1004,0),""),""))</f>
        <v/>
      </c>
      <c r="U1296">
        <f>IF(S1296="S",T1296,IF(AND(S1296="A",T1296&lt;&gt;""),IFERROR(MATCH(INDEX('AFA Rates'!$A$5:$A$1004,T1296),Firms!$A$5:$A$1004,0),""),""))</f>
        <v/>
      </c>
    </row>
    <row r="1297">
      <c r="A1297" s="78">
        <f>IF($T1297="","",IF($S1297="S",IF(INDEX(Firms!$A$5:$A$1004,$T1297)="","",INDEX(Firms!$A$5:$A$1004,$T1297)),IF(INDEX('AFA Rates'!$A$5:$A$1004,$T1297)="","",INDEX('AFA Rates'!$A$5:$A$1004,$T1297))))</f>
        <v/>
      </c>
      <c r="B1297" s="79">
        <f>IF(OR($T1297="",$U1297=""),IF($T1297="","","Not on Firms tab"),INDEX(Firms!$B$5:$B$1004,$U1297)&amp;"")</f>
        <v/>
      </c>
      <c r="C1297" s="78">
        <f>IF($T1297="","",IF($S1297="S","Standard",INDEX('AFA Rates'!$B$5:$B$1004,$T1297)&amp;""))</f>
        <v/>
      </c>
      <c r="D1297" s="88">
        <f>IF($T1297="","",IF($S1297="S",IF(INDEX(Firms!$E$5:$E$1004,$T1297)="","",INDEX(Firms!$E$5:$E$1004,$T1297)),IF(INDEX('AFA Rates'!$C$5:$C$1004,$T1297)="","",INDEX('AFA Rates'!$C$5:$C$1004,$T1297))))</f>
        <v/>
      </c>
      <c r="E1297" s="88">
        <f>IF($T1297="","",IF($S1297="S",IF(""="","",""),IF(INDEX('AFA Rates'!$D$5:$D$1004,$T1297)="","",INDEX('AFA Rates'!$D$5:$D$1004,$T1297))))</f>
        <v/>
      </c>
      <c r="F1297" s="79">
        <f>IF($T1297="","",IF($S1297="S",IF(INDEX(Firms!$O$5:$O$1004,$T1297)="","",INDEX(Firms!$O$5:$O$1004,$T1297)),IF(INDEX('AFA Rates'!$O$5:$O$1004,$T1297)="","",INDEX('AFA Rates'!$O$5:$O$1004,$T1297))))</f>
        <v/>
      </c>
      <c r="G1297" s="50">
        <f>IF($T1297="","",IF($S1297="S",IF(INDEX(Firms!$F$5:$F$1004,$T1297)="","",INDEX(Firms!$F$5:$F$1004,$T1297)),IF(INDEX('AFA Rates'!$E$5:$E$1004,$T1297)="","",INDEX('AFA Rates'!$E$5:$E$1004,$T1297))))</f>
        <v/>
      </c>
      <c r="H1297" s="50">
        <f>IF($T1297="","",IF($S1297="S",IF(INDEX(Firms!$G$5:$G$1004,$T1297)="","",INDEX(Firms!$G$5:$G$1004,$T1297)),IF(INDEX('AFA Rates'!$F$5:$F$1004,$T1297)="","",INDEX('AFA Rates'!$F$5:$F$1004,$T1297))))</f>
        <v/>
      </c>
      <c r="I1297" s="50">
        <f>IF($T1297="","",IF($S1297="S",IF(INDEX(Firms!$H$5:$H$1004,$T1297)="","",INDEX(Firms!$H$5:$H$1004,$T1297)),IF(INDEX('AFA Rates'!$G$5:$G$1004,$T1297)="","",INDEX('AFA Rates'!$G$5:$G$1004,$T1297))))</f>
        <v/>
      </c>
      <c r="J1297" s="50">
        <f>IF($T1297="","",IF($S1297="S",IF(INDEX(Firms!$I$5:$I$1004,$T1297)="","",INDEX(Firms!$I$5:$I$1004,$T1297)),IF(INDEX('AFA Rates'!$H$5:$H$1004,$T1297)="","",INDEX('AFA Rates'!$H$5:$H$1004,$T1297))))</f>
        <v/>
      </c>
      <c r="K1297" s="50">
        <f>IF($T1297="","",IF($S1297="S",IF(INDEX(Firms!$J$5:$J$1004,$T1297)="","",INDEX(Firms!$J$5:$J$1004,$T1297)),IF(INDEX('AFA Rates'!$I$5:$I$1004,$T1297)="","",INDEX('AFA Rates'!$I$5:$I$1004,$T1297))))</f>
        <v/>
      </c>
      <c r="L1297" s="50">
        <f>IF($T1297="","",IF($S1297="S",IF(INDEX(Firms!$K$5:$K$1004,$T1297)="","",INDEX(Firms!$K$5:$K$1004,$T1297)),IF(INDEX('AFA Rates'!$J$5:$J$1004,$T1297)="","",INDEX('AFA Rates'!$J$5:$J$1004,$T1297))))</f>
        <v/>
      </c>
      <c r="M1297" s="50">
        <f>IF($T1297="","",IF($S1297="S",IF(INDEX(Firms!$L$5:$L$1004,$T1297)="","",INDEX(Firms!$L$5:$L$1004,$T1297)),IF(INDEX('AFA Rates'!$K$5:$K$1004,$T1297)="","",INDEX('AFA Rates'!$K$5:$K$1004,$T1297))))</f>
        <v/>
      </c>
      <c r="N1297" s="50">
        <f>IF($T1297="","",IF($S1297="S",IF(INDEX(Firms!$M$5:$M$1004,$T1297)="","",INDEX(Firms!$M$5:$M$1004,$T1297)),IF(INDEX('AFA Rates'!$L$5:$L$1004,$T1297)="","",INDEX('AFA Rates'!$L$5:$L$1004,$T1297))))</f>
        <v/>
      </c>
      <c r="O1297" s="78">
        <f>IF(OR($T1297="",$U1297=""),"",IF(INDEX(Firms!$C$5:$C$1004,$U1297)="","",INDEX(Firms!$C$5:$C$1004,$U1297)))</f>
        <v/>
      </c>
      <c r="P1297" s="79">
        <f>IF(OR($T1297="",$U1297=""),"",IF(INDEX(Firms!$N$5:$N$1004,$U1297)="","",INDEX(Firms!$N$5:$N$1004,$U1297)))</f>
        <v/>
      </c>
      <c r="Q1297" s="78">
        <f>IF($T1297="","",IF($S1297="S",IF(INDEX(Firms!$T$5:$T$1004,$T1297)="","",INDEX(Firms!$T$5:$T$1004,$T1297)),IF(INDEX('AFA Rates'!$M$5:$M$1004,$T1297)="","",INDEX('AFA Rates'!$M$5:$M$1004,$T1297))))</f>
        <v/>
      </c>
      <c r="S1297">
        <f>IF(1293&lt;=$S$2,"S",IF(1293&lt;=$S$2+$T$2,"A",""))</f>
        <v/>
      </c>
      <c r="T1297">
        <f>IF(S1297="S",MATCH(1293,Firms!$W$5:$W$1004,0),IF(S1297="A",IFERROR(MATCH(1293-$S$2,'AFA Rates'!$R$5:$R$1004,0),""),""))</f>
        <v/>
      </c>
      <c r="U1297">
        <f>IF(S1297="S",T1297,IF(AND(S1297="A",T1297&lt;&gt;""),IFERROR(MATCH(INDEX('AFA Rates'!$A$5:$A$1004,T1297),Firms!$A$5:$A$1004,0),""),""))</f>
        <v/>
      </c>
    </row>
    <row r="1298">
      <c r="A1298" s="78">
        <f>IF($T1298="","",IF($S1298="S",IF(INDEX(Firms!$A$5:$A$1004,$T1298)="","",INDEX(Firms!$A$5:$A$1004,$T1298)),IF(INDEX('AFA Rates'!$A$5:$A$1004,$T1298)="","",INDEX('AFA Rates'!$A$5:$A$1004,$T1298))))</f>
        <v/>
      </c>
      <c r="B1298" s="79">
        <f>IF(OR($T1298="",$U1298=""),IF($T1298="","","Not on Firms tab"),INDEX(Firms!$B$5:$B$1004,$U1298)&amp;"")</f>
        <v/>
      </c>
      <c r="C1298" s="78">
        <f>IF($T1298="","",IF($S1298="S","Standard",INDEX('AFA Rates'!$B$5:$B$1004,$T1298)&amp;""))</f>
        <v/>
      </c>
      <c r="D1298" s="88">
        <f>IF($T1298="","",IF($S1298="S",IF(INDEX(Firms!$E$5:$E$1004,$T1298)="","",INDEX(Firms!$E$5:$E$1004,$T1298)),IF(INDEX('AFA Rates'!$C$5:$C$1004,$T1298)="","",INDEX('AFA Rates'!$C$5:$C$1004,$T1298))))</f>
        <v/>
      </c>
      <c r="E1298" s="88">
        <f>IF($T1298="","",IF($S1298="S",IF(""="","",""),IF(INDEX('AFA Rates'!$D$5:$D$1004,$T1298)="","",INDEX('AFA Rates'!$D$5:$D$1004,$T1298))))</f>
        <v/>
      </c>
      <c r="F1298" s="79">
        <f>IF($T1298="","",IF($S1298="S",IF(INDEX(Firms!$O$5:$O$1004,$T1298)="","",INDEX(Firms!$O$5:$O$1004,$T1298)),IF(INDEX('AFA Rates'!$O$5:$O$1004,$T1298)="","",INDEX('AFA Rates'!$O$5:$O$1004,$T1298))))</f>
        <v/>
      </c>
      <c r="G1298" s="50">
        <f>IF($T1298="","",IF($S1298="S",IF(INDEX(Firms!$F$5:$F$1004,$T1298)="","",INDEX(Firms!$F$5:$F$1004,$T1298)),IF(INDEX('AFA Rates'!$E$5:$E$1004,$T1298)="","",INDEX('AFA Rates'!$E$5:$E$1004,$T1298))))</f>
        <v/>
      </c>
      <c r="H1298" s="50">
        <f>IF($T1298="","",IF($S1298="S",IF(INDEX(Firms!$G$5:$G$1004,$T1298)="","",INDEX(Firms!$G$5:$G$1004,$T1298)),IF(INDEX('AFA Rates'!$F$5:$F$1004,$T1298)="","",INDEX('AFA Rates'!$F$5:$F$1004,$T1298))))</f>
        <v/>
      </c>
      <c r="I1298" s="50">
        <f>IF($T1298="","",IF($S1298="S",IF(INDEX(Firms!$H$5:$H$1004,$T1298)="","",INDEX(Firms!$H$5:$H$1004,$T1298)),IF(INDEX('AFA Rates'!$G$5:$G$1004,$T1298)="","",INDEX('AFA Rates'!$G$5:$G$1004,$T1298))))</f>
        <v/>
      </c>
      <c r="J1298" s="50">
        <f>IF($T1298="","",IF($S1298="S",IF(INDEX(Firms!$I$5:$I$1004,$T1298)="","",INDEX(Firms!$I$5:$I$1004,$T1298)),IF(INDEX('AFA Rates'!$H$5:$H$1004,$T1298)="","",INDEX('AFA Rates'!$H$5:$H$1004,$T1298))))</f>
        <v/>
      </c>
      <c r="K1298" s="50">
        <f>IF($T1298="","",IF($S1298="S",IF(INDEX(Firms!$J$5:$J$1004,$T1298)="","",INDEX(Firms!$J$5:$J$1004,$T1298)),IF(INDEX('AFA Rates'!$I$5:$I$1004,$T1298)="","",INDEX('AFA Rates'!$I$5:$I$1004,$T1298))))</f>
        <v/>
      </c>
      <c r="L1298" s="50">
        <f>IF($T1298="","",IF($S1298="S",IF(INDEX(Firms!$K$5:$K$1004,$T1298)="","",INDEX(Firms!$K$5:$K$1004,$T1298)),IF(INDEX('AFA Rates'!$J$5:$J$1004,$T1298)="","",INDEX('AFA Rates'!$J$5:$J$1004,$T1298))))</f>
        <v/>
      </c>
      <c r="M1298" s="50">
        <f>IF($T1298="","",IF($S1298="S",IF(INDEX(Firms!$L$5:$L$1004,$T1298)="","",INDEX(Firms!$L$5:$L$1004,$T1298)),IF(INDEX('AFA Rates'!$K$5:$K$1004,$T1298)="","",INDEX('AFA Rates'!$K$5:$K$1004,$T1298))))</f>
        <v/>
      </c>
      <c r="N1298" s="50">
        <f>IF($T1298="","",IF($S1298="S",IF(INDEX(Firms!$M$5:$M$1004,$T1298)="","",INDEX(Firms!$M$5:$M$1004,$T1298)),IF(INDEX('AFA Rates'!$L$5:$L$1004,$T1298)="","",INDEX('AFA Rates'!$L$5:$L$1004,$T1298))))</f>
        <v/>
      </c>
      <c r="O1298" s="78">
        <f>IF(OR($T1298="",$U1298=""),"",IF(INDEX(Firms!$C$5:$C$1004,$U1298)="","",INDEX(Firms!$C$5:$C$1004,$U1298)))</f>
        <v/>
      </c>
      <c r="P1298" s="79">
        <f>IF(OR($T1298="",$U1298=""),"",IF(INDEX(Firms!$N$5:$N$1004,$U1298)="","",INDEX(Firms!$N$5:$N$1004,$U1298)))</f>
        <v/>
      </c>
      <c r="Q1298" s="78">
        <f>IF($T1298="","",IF($S1298="S",IF(INDEX(Firms!$T$5:$T$1004,$T1298)="","",INDEX(Firms!$T$5:$T$1004,$T1298)),IF(INDEX('AFA Rates'!$M$5:$M$1004,$T1298)="","",INDEX('AFA Rates'!$M$5:$M$1004,$T1298))))</f>
        <v/>
      </c>
      <c r="S1298">
        <f>IF(1294&lt;=$S$2,"S",IF(1294&lt;=$S$2+$T$2,"A",""))</f>
        <v/>
      </c>
      <c r="T1298">
        <f>IF(S1298="S",MATCH(1294,Firms!$W$5:$W$1004,0),IF(S1298="A",IFERROR(MATCH(1294-$S$2,'AFA Rates'!$R$5:$R$1004,0),""),""))</f>
        <v/>
      </c>
      <c r="U1298">
        <f>IF(S1298="S",T1298,IF(AND(S1298="A",T1298&lt;&gt;""),IFERROR(MATCH(INDEX('AFA Rates'!$A$5:$A$1004,T1298),Firms!$A$5:$A$1004,0),""),""))</f>
        <v/>
      </c>
    </row>
    <row r="1299">
      <c r="A1299" s="78">
        <f>IF($T1299="","",IF($S1299="S",IF(INDEX(Firms!$A$5:$A$1004,$T1299)="","",INDEX(Firms!$A$5:$A$1004,$T1299)),IF(INDEX('AFA Rates'!$A$5:$A$1004,$T1299)="","",INDEX('AFA Rates'!$A$5:$A$1004,$T1299))))</f>
        <v/>
      </c>
      <c r="B1299" s="79">
        <f>IF(OR($T1299="",$U1299=""),IF($T1299="","","Not on Firms tab"),INDEX(Firms!$B$5:$B$1004,$U1299)&amp;"")</f>
        <v/>
      </c>
      <c r="C1299" s="78">
        <f>IF($T1299="","",IF($S1299="S","Standard",INDEX('AFA Rates'!$B$5:$B$1004,$T1299)&amp;""))</f>
        <v/>
      </c>
      <c r="D1299" s="88">
        <f>IF($T1299="","",IF($S1299="S",IF(INDEX(Firms!$E$5:$E$1004,$T1299)="","",INDEX(Firms!$E$5:$E$1004,$T1299)),IF(INDEX('AFA Rates'!$C$5:$C$1004,$T1299)="","",INDEX('AFA Rates'!$C$5:$C$1004,$T1299))))</f>
        <v/>
      </c>
      <c r="E1299" s="88">
        <f>IF($T1299="","",IF($S1299="S",IF(""="","",""),IF(INDEX('AFA Rates'!$D$5:$D$1004,$T1299)="","",INDEX('AFA Rates'!$D$5:$D$1004,$T1299))))</f>
        <v/>
      </c>
      <c r="F1299" s="79">
        <f>IF($T1299="","",IF($S1299="S",IF(INDEX(Firms!$O$5:$O$1004,$T1299)="","",INDEX(Firms!$O$5:$O$1004,$T1299)),IF(INDEX('AFA Rates'!$O$5:$O$1004,$T1299)="","",INDEX('AFA Rates'!$O$5:$O$1004,$T1299))))</f>
        <v/>
      </c>
      <c r="G1299" s="50">
        <f>IF($T1299="","",IF($S1299="S",IF(INDEX(Firms!$F$5:$F$1004,$T1299)="","",INDEX(Firms!$F$5:$F$1004,$T1299)),IF(INDEX('AFA Rates'!$E$5:$E$1004,$T1299)="","",INDEX('AFA Rates'!$E$5:$E$1004,$T1299))))</f>
        <v/>
      </c>
      <c r="H1299" s="50">
        <f>IF($T1299="","",IF($S1299="S",IF(INDEX(Firms!$G$5:$G$1004,$T1299)="","",INDEX(Firms!$G$5:$G$1004,$T1299)),IF(INDEX('AFA Rates'!$F$5:$F$1004,$T1299)="","",INDEX('AFA Rates'!$F$5:$F$1004,$T1299))))</f>
        <v/>
      </c>
      <c r="I1299" s="50">
        <f>IF($T1299="","",IF($S1299="S",IF(INDEX(Firms!$H$5:$H$1004,$T1299)="","",INDEX(Firms!$H$5:$H$1004,$T1299)),IF(INDEX('AFA Rates'!$G$5:$G$1004,$T1299)="","",INDEX('AFA Rates'!$G$5:$G$1004,$T1299))))</f>
        <v/>
      </c>
      <c r="J1299" s="50">
        <f>IF($T1299="","",IF($S1299="S",IF(INDEX(Firms!$I$5:$I$1004,$T1299)="","",INDEX(Firms!$I$5:$I$1004,$T1299)),IF(INDEX('AFA Rates'!$H$5:$H$1004,$T1299)="","",INDEX('AFA Rates'!$H$5:$H$1004,$T1299))))</f>
        <v/>
      </c>
      <c r="K1299" s="50">
        <f>IF($T1299="","",IF($S1299="S",IF(INDEX(Firms!$J$5:$J$1004,$T1299)="","",INDEX(Firms!$J$5:$J$1004,$T1299)),IF(INDEX('AFA Rates'!$I$5:$I$1004,$T1299)="","",INDEX('AFA Rates'!$I$5:$I$1004,$T1299))))</f>
        <v/>
      </c>
      <c r="L1299" s="50">
        <f>IF($T1299="","",IF($S1299="S",IF(INDEX(Firms!$K$5:$K$1004,$T1299)="","",INDEX(Firms!$K$5:$K$1004,$T1299)),IF(INDEX('AFA Rates'!$J$5:$J$1004,$T1299)="","",INDEX('AFA Rates'!$J$5:$J$1004,$T1299))))</f>
        <v/>
      </c>
      <c r="M1299" s="50">
        <f>IF($T1299="","",IF($S1299="S",IF(INDEX(Firms!$L$5:$L$1004,$T1299)="","",INDEX(Firms!$L$5:$L$1004,$T1299)),IF(INDEX('AFA Rates'!$K$5:$K$1004,$T1299)="","",INDEX('AFA Rates'!$K$5:$K$1004,$T1299))))</f>
        <v/>
      </c>
      <c r="N1299" s="50">
        <f>IF($T1299="","",IF($S1299="S",IF(INDEX(Firms!$M$5:$M$1004,$T1299)="","",INDEX(Firms!$M$5:$M$1004,$T1299)),IF(INDEX('AFA Rates'!$L$5:$L$1004,$T1299)="","",INDEX('AFA Rates'!$L$5:$L$1004,$T1299))))</f>
        <v/>
      </c>
      <c r="O1299" s="78">
        <f>IF(OR($T1299="",$U1299=""),"",IF(INDEX(Firms!$C$5:$C$1004,$U1299)="","",INDEX(Firms!$C$5:$C$1004,$U1299)))</f>
        <v/>
      </c>
      <c r="P1299" s="79">
        <f>IF(OR($T1299="",$U1299=""),"",IF(INDEX(Firms!$N$5:$N$1004,$U1299)="","",INDEX(Firms!$N$5:$N$1004,$U1299)))</f>
        <v/>
      </c>
      <c r="Q1299" s="78">
        <f>IF($T1299="","",IF($S1299="S",IF(INDEX(Firms!$T$5:$T$1004,$T1299)="","",INDEX(Firms!$T$5:$T$1004,$T1299)),IF(INDEX('AFA Rates'!$M$5:$M$1004,$T1299)="","",INDEX('AFA Rates'!$M$5:$M$1004,$T1299))))</f>
        <v/>
      </c>
      <c r="S1299">
        <f>IF(1295&lt;=$S$2,"S",IF(1295&lt;=$S$2+$T$2,"A",""))</f>
        <v/>
      </c>
      <c r="T1299">
        <f>IF(S1299="S",MATCH(1295,Firms!$W$5:$W$1004,0),IF(S1299="A",IFERROR(MATCH(1295-$S$2,'AFA Rates'!$R$5:$R$1004,0),""),""))</f>
        <v/>
      </c>
      <c r="U1299">
        <f>IF(S1299="S",T1299,IF(AND(S1299="A",T1299&lt;&gt;""),IFERROR(MATCH(INDEX('AFA Rates'!$A$5:$A$1004,T1299),Firms!$A$5:$A$1004,0),""),""))</f>
        <v/>
      </c>
    </row>
    <row r="1300">
      <c r="A1300" s="78">
        <f>IF($T1300="","",IF($S1300="S",IF(INDEX(Firms!$A$5:$A$1004,$T1300)="","",INDEX(Firms!$A$5:$A$1004,$T1300)),IF(INDEX('AFA Rates'!$A$5:$A$1004,$T1300)="","",INDEX('AFA Rates'!$A$5:$A$1004,$T1300))))</f>
        <v/>
      </c>
      <c r="B1300" s="79">
        <f>IF(OR($T1300="",$U1300=""),IF($T1300="","","Not on Firms tab"),INDEX(Firms!$B$5:$B$1004,$U1300)&amp;"")</f>
        <v/>
      </c>
      <c r="C1300" s="78">
        <f>IF($T1300="","",IF($S1300="S","Standard",INDEX('AFA Rates'!$B$5:$B$1004,$T1300)&amp;""))</f>
        <v/>
      </c>
      <c r="D1300" s="88">
        <f>IF($T1300="","",IF($S1300="S",IF(INDEX(Firms!$E$5:$E$1004,$T1300)="","",INDEX(Firms!$E$5:$E$1004,$T1300)),IF(INDEX('AFA Rates'!$C$5:$C$1004,$T1300)="","",INDEX('AFA Rates'!$C$5:$C$1004,$T1300))))</f>
        <v/>
      </c>
      <c r="E1300" s="88">
        <f>IF($T1300="","",IF($S1300="S",IF(""="","",""),IF(INDEX('AFA Rates'!$D$5:$D$1004,$T1300)="","",INDEX('AFA Rates'!$D$5:$D$1004,$T1300))))</f>
        <v/>
      </c>
      <c r="F1300" s="79">
        <f>IF($T1300="","",IF($S1300="S",IF(INDEX(Firms!$O$5:$O$1004,$T1300)="","",INDEX(Firms!$O$5:$O$1004,$T1300)),IF(INDEX('AFA Rates'!$O$5:$O$1004,$T1300)="","",INDEX('AFA Rates'!$O$5:$O$1004,$T1300))))</f>
        <v/>
      </c>
      <c r="G1300" s="50">
        <f>IF($T1300="","",IF($S1300="S",IF(INDEX(Firms!$F$5:$F$1004,$T1300)="","",INDEX(Firms!$F$5:$F$1004,$T1300)),IF(INDEX('AFA Rates'!$E$5:$E$1004,$T1300)="","",INDEX('AFA Rates'!$E$5:$E$1004,$T1300))))</f>
        <v/>
      </c>
      <c r="H1300" s="50">
        <f>IF($T1300="","",IF($S1300="S",IF(INDEX(Firms!$G$5:$G$1004,$T1300)="","",INDEX(Firms!$G$5:$G$1004,$T1300)),IF(INDEX('AFA Rates'!$F$5:$F$1004,$T1300)="","",INDEX('AFA Rates'!$F$5:$F$1004,$T1300))))</f>
        <v/>
      </c>
      <c r="I1300" s="50">
        <f>IF($T1300="","",IF($S1300="S",IF(INDEX(Firms!$H$5:$H$1004,$T1300)="","",INDEX(Firms!$H$5:$H$1004,$T1300)),IF(INDEX('AFA Rates'!$G$5:$G$1004,$T1300)="","",INDEX('AFA Rates'!$G$5:$G$1004,$T1300))))</f>
        <v/>
      </c>
      <c r="J1300" s="50">
        <f>IF($T1300="","",IF($S1300="S",IF(INDEX(Firms!$I$5:$I$1004,$T1300)="","",INDEX(Firms!$I$5:$I$1004,$T1300)),IF(INDEX('AFA Rates'!$H$5:$H$1004,$T1300)="","",INDEX('AFA Rates'!$H$5:$H$1004,$T1300))))</f>
        <v/>
      </c>
      <c r="K1300" s="50">
        <f>IF($T1300="","",IF($S1300="S",IF(INDEX(Firms!$J$5:$J$1004,$T1300)="","",INDEX(Firms!$J$5:$J$1004,$T1300)),IF(INDEX('AFA Rates'!$I$5:$I$1004,$T1300)="","",INDEX('AFA Rates'!$I$5:$I$1004,$T1300))))</f>
        <v/>
      </c>
      <c r="L1300" s="50">
        <f>IF($T1300="","",IF($S1300="S",IF(INDEX(Firms!$K$5:$K$1004,$T1300)="","",INDEX(Firms!$K$5:$K$1004,$T1300)),IF(INDEX('AFA Rates'!$J$5:$J$1004,$T1300)="","",INDEX('AFA Rates'!$J$5:$J$1004,$T1300))))</f>
        <v/>
      </c>
      <c r="M1300" s="50">
        <f>IF($T1300="","",IF($S1300="S",IF(INDEX(Firms!$L$5:$L$1004,$T1300)="","",INDEX(Firms!$L$5:$L$1004,$T1300)),IF(INDEX('AFA Rates'!$K$5:$K$1004,$T1300)="","",INDEX('AFA Rates'!$K$5:$K$1004,$T1300))))</f>
        <v/>
      </c>
      <c r="N1300" s="50">
        <f>IF($T1300="","",IF($S1300="S",IF(INDEX(Firms!$M$5:$M$1004,$T1300)="","",INDEX(Firms!$M$5:$M$1004,$T1300)),IF(INDEX('AFA Rates'!$L$5:$L$1004,$T1300)="","",INDEX('AFA Rates'!$L$5:$L$1004,$T1300))))</f>
        <v/>
      </c>
      <c r="O1300" s="78">
        <f>IF(OR($T1300="",$U1300=""),"",IF(INDEX(Firms!$C$5:$C$1004,$U1300)="","",INDEX(Firms!$C$5:$C$1004,$U1300)))</f>
        <v/>
      </c>
      <c r="P1300" s="79">
        <f>IF(OR($T1300="",$U1300=""),"",IF(INDEX(Firms!$N$5:$N$1004,$U1300)="","",INDEX(Firms!$N$5:$N$1004,$U1300)))</f>
        <v/>
      </c>
      <c r="Q1300" s="78">
        <f>IF($T1300="","",IF($S1300="S",IF(INDEX(Firms!$T$5:$T$1004,$T1300)="","",INDEX(Firms!$T$5:$T$1004,$T1300)),IF(INDEX('AFA Rates'!$M$5:$M$1004,$T1300)="","",INDEX('AFA Rates'!$M$5:$M$1004,$T1300))))</f>
        <v/>
      </c>
      <c r="S1300">
        <f>IF(1296&lt;=$S$2,"S",IF(1296&lt;=$S$2+$T$2,"A",""))</f>
        <v/>
      </c>
      <c r="T1300">
        <f>IF(S1300="S",MATCH(1296,Firms!$W$5:$W$1004,0),IF(S1300="A",IFERROR(MATCH(1296-$S$2,'AFA Rates'!$R$5:$R$1004,0),""),""))</f>
        <v/>
      </c>
      <c r="U1300">
        <f>IF(S1300="S",T1300,IF(AND(S1300="A",T1300&lt;&gt;""),IFERROR(MATCH(INDEX('AFA Rates'!$A$5:$A$1004,T1300),Firms!$A$5:$A$1004,0),""),""))</f>
        <v/>
      </c>
    </row>
    <row r="1301">
      <c r="A1301" s="78">
        <f>IF($T1301="","",IF($S1301="S",IF(INDEX(Firms!$A$5:$A$1004,$T1301)="","",INDEX(Firms!$A$5:$A$1004,$T1301)),IF(INDEX('AFA Rates'!$A$5:$A$1004,$T1301)="","",INDEX('AFA Rates'!$A$5:$A$1004,$T1301))))</f>
        <v/>
      </c>
      <c r="B1301" s="79">
        <f>IF(OR($T1301="",$U1301=""),IF($T1301="","","Not on Firms tab"),INDEX(Firms!$B$5:$B$1004,$U1301)&amp;"")</f>
        <v/>
      </c>
      <c r="C1301" s="78">
        <f>IF($T1301="","",IF($S1301="S","Standard",INDEX('AFA Rates'!$B$5:$B$1004,$T1301)&amp;""))</f>
        <v/>
      </c>
      <c r="D1301" s="88">
        <f>IF($T1301="","",IF($S1301="S",IF(INDEX(Firms!$E$5:$E$1004,$T1301)="","",INDEX(Firms!$E$5:$E$1004,$T1301)),IF(INDEX('AFA Rates'!$C$5:$C$1004,$T1301)="","",INDEX('AFA Rates'!$C$5:$C$1004,$T1301))))</f>
        <v/>
      </c>
      <c r="E1301" s="88">
        <f>IF($T1301="","",IF($S1301="S",IF(""="","",""),IF(INDEX('AFA Rates'!$D$5:$D$1004,$T1301)="","",INDEX('AFA Rates'!$D$5:$D$1004,$T1301))))</f>
        <v/>
      </c>
      <c r="F1301" s="79">
        <f>IF($T1301="","",IF($S1301="S",IF(INDEX(Firms!$O$5:$O$1004,$T1301)="","",INDEX(Firms!$O$5:$O$1004,$T1301)),IF(INDEX('AFA Rates'!$O$5:$O$1004,$T1301)="","",INDEX('AFA Rates'!$O$5:$O$1004,$T1301))))</f>
        <v/>
      </c>
      <c r="G1301" s="50">
        <f>IF($T1301="","",IF($S1301="S",IF(INDEX(Firms!$F$5:$F$1004,$T1301)="","",INDEX(Firms!$F$5:$F$1004,$T1301)),IF(INDEX('AFA Rates'!$E$5:$E$1004,$T1301)="","",INDEX('AFA Rates'!$E$5:$E$1004,$T1301))))</f>
        <v/>
      </c>
      <c r="H1301" s="50">
        <f>IF($T1301="","",IF($S1301="S",IF(INDEX(Firms!$G$5:$G$1004,$T1301)="","",INDEX(Firms!$G$5:$G$1004,$T1301)),IF(INDEX('AFA Rates'!$F$5:$F$1004,$T1301)="","",INDEX('AFA Rates'!$F$5:$F$1004,$T1301))))</f>
        <v/>
      </c>
      <c r="I1301" s="50">
        <f>IF($T1301="","",IF($S1301="S",IF(INDEX(Firms!$H$5:$H$1004,$T1301)="","",INDEX(Firms!$H$5:$H$1004,$T1301)),IF(INDEX('AFA Rates'!$G$5:$G$1004,$T1301)="","",INDEX('AFA Rates'!$G$5:$G$1004,$T1301))))</f>
        <v/>
      </c>
      <c r="J1301" s="50">
        <f>IF($T1301="","",IF($S1301="S",IF(INDEX(Firms!$I$5:$I$1004,$T1301)="","",INDEX(Firms!$I$5:$I$1004,$T1301)),IF(INDEX('AFA Rates'!$H$5:$H$1004,$T1301)="","",INDEX('AFA Rates'!$H$5:$H$1004,$T1301))))</f>
        <v/>
      </c>
      <c r="K1301" s="50">
        <f>IF($T1301="","",IF($S1301="S",IF(INDEX(Firms!$J$5:$J$1004,$T1301)="","",INDEX(Firms!$J$5:$J$1004,$T1301)),IF(INDEX('AFA Rates'!$I$5:$I$1004,$T1301)="","",INDEX('AFA Rates'!$I$5:$I$1004,$T1301))))</f>
        <v/>
      </c>
      <c r="L1301" s="50">
        <f>IF($T1301="","",IF($S1301="S",IF(INDEX(Firms!$K$5:$K$1004,$T1301)="","",INDEX(Firms!$K$5:$K$1004,$T1301)),IF(INDEX('AFA Rates'!$J$5:$J$1004,$T1301)="","",INDEX('AFA Rates'!$J$5:$J$1004,$T1301))))</f>
        <v/>
      </c>
      <c r="M1301" s="50">
        <f>IF($T1301="","",IF($S1301="S",IF(INDEX(Firms!$L$5:$L$1004,$T1301)="","",INDEX(Firms!$L$5:$L$1004,$T1301)),IF(INDEX('AFA Rates'!$K$5:$K$1004,$T1301)="","",INDEX('AFA Rates'!$K$5:$K$1004,$T1301))))</f>
        <v/>
      </c>
      <c r="N1301" s="50">
        <f>IF($T1301="","",IF($S1301="S",IF(INDEX(Firms!$M$5:$M$1004,$T1301)="","",INDEX(Firms!$M$5:$M$1004,$T1301)),IF(INDEX('AFA Rates'!$L$5:$L$1004,$T1301)="","",INDEX('AFA Rates'!$L$5:$L$1004,$T1301))))</f>
        <v/>
      </c>
      <c r="O1301" s="78">
        <f>IF(OR($T1301="",$U1301=""),"",IF(INDEX(Firms!$C$5:$C$1004,$U1301)="","",INDEX(Firms!$C$5:$C$1004,$U1301)))</f>
        <v/>
      </c>
      <c r="P1301" s="79">
        <f>IF(OR($T1301="",$U1301=""),"",IF(INDEX(Firms!$N$5:$N$1004,$U1301)="","",INDEX(Firms!$N$5:$N$1004,$U1301)))</f>
        <v/>
      </c>
      <c r="Q1301" s="78">
        <f>IF($T1301="","",IF($S1301="S",IF(INDEX(Firms!$T$5:$T$1004,$T1301)="","",INDEX(Firms!$T$5:$T$1004,$T1301)),IF(INDEX('AFA Rates'!$M$5:$M$1004,$T1301)="","",INDEX('AFA Rates'!$M$5:$M$1004,$T1301))))</f>
        <v/>
      </c>
      <c r="S1301">
        <f>IF(1297&lt;=$S$2,"S",IF(1297&lt;=$S$2+$T$2,"A",""))</f>
        <v/>
      </c>
      <c r="T1301">
        <f>IF(S1301="S",MATCH(1297,Firms!$W$5:$W$1004,0),IF(S1301="A",IFERROR(MATCH(1297-$S$2,'AFA Rates'!$R$5:$R$1004,0),""),""))</f>
        <v/>
      </c>
      <c r="U1301">
        <f>IF(S1301="S",T1301,IF(AND(S1301="A",T1301&lt;&gt;""),IFERROR(MATCH(INDEX('AFA Rates'!$A$5:$A$1004,T1301),Firms!$A$5:$A$1004,0),""),""))</f>
        <v/>
      </c>
    </row>
    <row r="1302">
      <c r="A1302" s="78">
        <f>IF($T1302="","",IF($S1302="S",IF(INDEX(Firms!$A$5:$A$1004,$T1302)="","",INDEX(Firms!$A$5:$A$1004,$T1302)),IF(INDEX('AFA Rates'!$A$5:$A$1004,$T1302)="","",INDEX('AFA Rates'!$A$5:$A$1004,$T1302))))</f>
        <v/>
      </c>
      <c r="B1302" s="79">
        <f>IF(OR($T1302="",$U1302=""),IF($T1302="","","Not on Firms tab"),INDEX(Firms!$B$5:$B$1004,$U1302)&amp;"")</f>
        <v/>
      </c>
      <c r="C1302" s="78">
        <f>IF($T1302="","",IF($S1302="S","Standard",INDEX('AFA Rates'!$B$5:$B$1004,$T1302)&amp;""))</f>
        <v/>
      </c>
      <c r="D1302" s="88">
        <f>IF($T1302="","",IF($S1302="S",IF(INDEX(Firms!$E$5:$E$1004,$T1302)="","",INDEX(Firms!$E$5:$E$1004,$T1302)),IF(INDEX('AFA Rates'!$C$5:$C$1004,$T1302)="","",INDEX('AFA Rates'!$C$5:$C$1004,$T1302))))</f>
        <v/>
      </c>
      <c r="E1302" s="88">
        <f>IF($T1302="","",IF($S1302="S",IF(""="","",""),IF(INDEX('AFA Rates'!$D$5:$D$1004,$T1302)="","",INDEX('AFA Rates'!$D$5:$D$1004,$T1302))))</f>
        <v/>
      </c>
      <c r="F1302" s="79">
        <f>IF($T1302="","",IF($S1302="S",IF(INDEX(Firms!$O$5:$O$1004,$T1302)="","",INDEX(Firms!$O$5:$O$1004,$T1302)),IF(INDEX('AFA Rates'!$O$5:$O$1004,$T1302)="","",INDEX('AFA Rates'!$O$5:$O$1004,$T1302))))</f>
        <v/>
      </c>
      <c r="G1302" s="50">
        <f>IF($T1302="","",IF($S1302="S",IF(INDEX(Firms!$F$5:$F$1004,$T1302)="","",INDEX(Firms!$F$5:$F$1004,$T1302)),IF(INDEX('AFA Rates'!$E$5:$E$1004,$T1302)="","",INDEX('AFA Rates'!$E$5:$E$1004,$T1302))))</f>
        <v/>
      </c>
      <c r="H1302" s="50">
        <f>IF($T1302="","",IF($S1302="S",IF(INDEX(Firms!$G$5:$G$1004,$T1302)="","",INDEX(Firms!$G$5:$G$1004,$T1302)),IF(INDEX('AFA Rates'!$F$5:$F$1004,$T1302)="","",INDEX('AFA Rates'!$F$5:$F$1004,$T1302))))</f>
        <v/>
      </c>
      <c r="I1302" s="50">
        <f>IF($T1302="","",IF($S1302="S",IF(INDEX(Firms!$H$5:$H$1004,$T1302)="","",INDEX(Firms!$H$5:$H$1004,$T1302)),IF(INDEX('AFA Rates'!$G$5:$G$1004,$T1302)="","",INDEX('AFA Rates'!$G$5:$G$1004,$T1302))))</f>
        <v/>
      </c>
      <c r="J1302" s="50">
        <f>IF($T1302="","",IF($S1302="S",IF(INDEX(Firms!$I$5:$I$1004,$T1302)="","",INDEX(Firms!$I$5:$I$1004,$T1302)),IF(INDEX('AFA Rates'!$H$5:$H$1004,$T1302)="","",INDEX('AFA Rates'!$H$5:$H$1004,$T1302))))</f>
        <v/>
      </c>
      <c r="K1302" s="50">
        <f>IF($T1302="","",IF($S1302="S",IF(INDEX(Firms!$J$5:$J$1004,$T1302)="","",INDEX(Firms!$J$5:$J$1004,$T1302)),IF(INDEX('AFA Rates'!$I$5:$I$1004,$T1302)="","",INDEX('AFA Rates'!$I$5:$I$1004,$T1302))))</f>
        <v/>
      </c>
      <c r="L1302" s="50">
        <f>IF($T1302="","",IF($S1302="S",IF(INDEX(Firms!$K$5:$K$1004,$T1302)="","",INDEX(Firms!$K$5:$K$1004,$T1302)),IF(INDEX('AFA Rates'!$J$5:$J$1004,$T1302)="","",INDEX('AFA Rates'!$J$5:$J$1004,$T1302))))</f>
        <v/>
      </c>
      <c r="M1302" s="50">
        <f>IF($T1302="","",IF($S1302="S",IF(INDEX(Firms!$L$5:$L$1004,$T1302)="","",INDEX(Firms!$L$5:$L$1004,$T1302)),IF(INDEX('AFA Rates'!$K$5:$K$1004,$T1302)="","",INDEX('AFA Rates'!$K$5:$K$1004,$T1302))))</f>
        <v/>
      </c>
      <c r="N1302" s="50">
        <f>IF($T1302="","",IF($S1302="S",IF(INDEX(Firms!$M$5:$M$1004,$T1302)="","",INDEX(Firms!$M$5:$M$1004,$T1302)),IF(INDEX('AFA Rates'!$L$5:$L$1004,$T1302)="","",INDEX('AFA Rates'!$L$5:$L$1004,$T1302))))</f>
        <v/>
      </c>
      <c r="O1302" s="78">
        <f>IF(OR($T1302="",$U1302=""),"",IF(INDEX(Firms!$C$5:$C$1004,$U1302)="","",INDEX(Firms!$C$5:$C$1004,$U1302)))</f>
        <v/>
      </c>
      <c r="P1302" s="79">
        <f>IF(OR($T1302="",$U1302=""),"",IF(INDEX(Firms!$N$5:$N$1004,$U1302)="","",INDEX(Firms!$N$5:$N$1004,$U1302)))</f>
        <v/>
      </c>
      <c r="Q1302" s="78">
        <f>IF($T1302="","",IF($S1302="S",IF(INDEX(Firms!$T$5:$T$1004,$T1302)="","",INDEX(Firms!$T$5:$T$1004,$T1302)),IF(INDEX('AFA Rates'!$M$5:$M$1004,$T1302)="","",INDEX('AFA Rates'!$M$5:$M$1004,$T1302))))</f>
        <v/>
      </c>
      <c r="S1302">
        <f>IF(1298&lt;=$S$2,"S",IF(1298&lt;=$S$2+$T$2,"A",""))</f>
        <v/>
      </c>
      <c r="T1302">
        <f>IF(S1302="S",MATCH(1298,Firms!$W$5:$W$1004,0),IF(S1302="A",IFERROR(MATCH(1298-$S$2,'AFA Rates'!$R$5:$R$1004,0),""),""))</f>
        <v/>
      </c>
      <c r="U1302">
        <f>IF(S1302="S",T1302,IF(AND(S1302="A",T1302&lt;&gt;""),IFERROR(MATCH(INDEX('AFA Rates'!$A$5:$A$1004,T1302),Firms!$A$5:$A$1004,0),""),""))</f>
        <v/>
      </c>
    </row>
    <row r="1303">
      <c r="A1303" s="78">
        <f>IF($T1303="","",IF($S1303="S",IF(INDEX(Firms!$A$5:$A$1004,$T1303)="","",INDEX(Firms!$A$5:$A$1004,$T1303)),IF(INDEX('AFA Rates'!$A$5:$A$1004,$T1303)="","",INDEX('AFA Rates'!$A$5:$A$1004,$T1303))))</f>
        <v/>
      </c>
      <c r="B1303" s="79">
        <f>IF(OR($T1303="",$U1303=""),IF($T1303="","","Not on Firms tab"),INDEX(Firms!$B$5:$B$1004,$U1303)&amp;"")</f>
        <v/>
      </c>
      <c r="C1303" s="78">
        <f>IF($T1303="","",IF($S1303="S","Standard",INDEX('AFA Rates'!$B$5:$B$1004,$T1303)&amp;""))</f>
        <v/>
      </c>
      <c r="D1303" s="88">
        <f>IF($T1303="","",IF($S1303="S",IF(INDEX(Firms!$E$5:$E$1004,$T1303)="","",INDEX(Firms!$E$5:$E$1004,$T1303)),IF(INDEX('AFA Rates'!$C$5:$C$1004,$T1303)="","",INDEX('AFA Rates'!$C$5:$C$1004,$T1303))))</f>
        <v/>
      </c>
      <c r="E1303" s="88">
        <f>IF($T1303="","",IF($S1303="S",IF(""="","",""),IF(INDEX('AFA Rates'!$D$5:$D$1004,$T1303)="","",INDEX('AFA Rates'!$D$5:$D$1004,$T1303))))</f>
        <v/>
      </c>
      <c r="F1303" s="79">
        <f>IF($T1303="","",IF($S1303="S",IF(INDEX(Firms!$O$5:$O$1004,$T1303)="","",INDEX(Firms!$O$5:$O$1004,$T1303)),IF(INDEX('AFA Rates'!$O$5:$O$1004,$T1303)="","",INDEX('AFA Rates'!$O$5:$O$1004,$T1303))))</f>
        <v/>
      </c>
      <c r="G1303" s="50">
        <f>IF($T1303="","",IF($S1303="S",IF(INDEX(Firms!$F$5:$F$1004,$T1303)="","",INDEX(Firms!$F$5:$F$1004,$T1303)),IF(INDEX('AFA Rates'!$E$5:$E$1004,$T1303)="","",INDEX('AFA Rates'!$E$5:$E$1004,$T1303))))</f>
        <v/>
      </c>
      <c r="H1303" s="50">
        <f>IF($T1303="","",IF($S1303="S",IF(INDEX(Firms!$G$5:$G$1004,$T1303)="","",INDEX(Firms!$G$5:$G$1004,$T1303)),IF(INDEX('AFA Rates'!$F$5:$F$1004,$T1303)="","",INDEX('AFA Rates'!$F$5:$F$1004,$T1303))))</f>
        <v/>
      </c>
      <c r="I1303" s="50">
        <f>IF($T1303="","",IF($S1303="S",IF(INDEX(Firms!$H$5:$H$1004,$T1303)="","",INDEX(Firms!$H$5:$H$1004,$T1303)),IF(INDEX('AFA Rates'!$G$5:$G$1004,$T1303)="","",INDEX('AFA Rates'!$G$5:$G$1004,$T1303))))</f>
        <v/>
      </c>
      <c r="J1303" s="50">
        <f>IF($T1303="","",IF($S1303="S",IF(INDEX(Firms!$I$5:$I$1004,$T1303)="","",INDEX(Firms!$I$5:$I$1004,$T1303)),IF(INDEX('AFA Rates'!$H$5:$H$1004,$T1303)="","",INDEX('AFA Rates'!$H$5:$H$1004,$T1303))))</f>
        <v/>
      </c>
      <c r="K1303" s="50">
        <f>IF($T1303="","",IF($S1303="S",IF(INDEX(Firms!$J$5:$J$1004,$T1303)="","",INDEX(Firms!$J$5:$J$1004,$T1303)),IF(INDEX('AFA Rates'!$I$5:$I$1004,$T1303)="","",INDEX('AFA Rates'!$I$5:$I$1004,$T1303))))</f>
        <v/>
      </c>
      <c r="L1303" s="50">
        <f>IF($T1303="","",IF($S1303="S",IF(INDEX(Firms!$K$5:$K$1004,$T1303)="","",INDEX(Firms!$K$5:$K$1004,$T1303)),IF(INDEX('AFA Rates'!$J$5:$J$1004,$T1303)="","",INDEX('AFA Rates'!$J$5:$J$1004,$T1303))))</f>
        <v/>
      </c>
      <c r="M1303" s="50">
        <f>IF($T1303="","",IF($S1303="S",IF(INDEX(Firms!$L$5:$L$1004,$T1303)="","",INDEX(Firms!$L$5:$L$1004,$T1303)),IF(INDEX('AFA Rates'!$K$5:$K$1004,$T1303)="","",INDEX('AFA Rates'!$K$5:$K$1004,$T1303))))</f>
        <v/>
      </c>
      <c r="N1303" s="50">
        <f>IF($T1303="","",IF($S1303="S",IF(INDEX(Firms!$M$5:$M$1004,$T1303)="","",INDEX(Firms!$M$5:$M$1004,$T1303)),IF(INDEX('AFA Rates'!$L$5:$L$1004,$T1303)="","",INDEX('AFA Rates'!$L$5:$L$1004,$T1303))))</f>
        <v/>
      </c>
      <c r="O1303" s="78">
        <f>IF(OR($T1303="",$U1303=""),"",IF(INDEX(Firms!$C$5:$C$1004,$U1303)="","",INDEX(Firms!$C$5:$C$1004,$U1303)))</f>
        <v/>
      </c>
      <c r="P1303" s="79">
        <f>IF(OR($T1303="",$U1303=""),"",IF(INDEX(Firms!$N$5:$N$1004,$U1303)="","",INDEX(Firms!$N$5:$N$1004,$U1303)))</f>
        <v/>
      </c>
      <c r="Q1303" s="78">
        <f>IF($T1303="","",IF($S1303="S",IF(INDEX(Firms!$T$5:$T$1004,$T1303)="","",INDEX(Firms!$T$5:$T$1004,$T1303)),IF(INDEX('AFA Rates'!$M$5:$M$1004,$T1303)="","",INDEX('AFA Rates'!$M$5:$M$1004,$T1303))))</f>
        <v/>
      </c>
      <c r="S1303">
        <f>IF(1299&lt;=$S$2,"S",IF(1299&lt;=$S$2+$T$2,"A",""))</f>
        <v/>
      </c>
      <c r="T1303">
        <f>IF(S1303="S",MATCH(1299,Firms!$W$5:$W$1004,0),IF(S1303="A",IFERROR(MATCH(1299-$S$2,'AFA Rates'!$R$5:$R$1004,0),""),""))</f>
        <v/>
      </c>
      <c r="U1303">
        <f>IF(S1303="S",T1303,IF(AND(S1303="A",T1303&lt;&gt;""),IFERROR(MATCH(INDEX('AFA Rates'!$A$5:$A$1004,T1303),Firms!$A$5:$A$1004,0),""),""))</f>
        <v/>
      </c>
    </row>
    <row r="1304">
      <c r="A1304" s="78">
        <f>IF($T1304="","",IF($S1304="S",IF(INDEX(Firms!$A$5:$A$1004,$T1304)="","",INDEX(Firms!$A$5:$A$1004,$T1304)),IF(INDEX('AFA Rates'!$A$5:$A$1004,$T1304)="","",INDEX('AFA Rates'!$A$5:$A$1004,$T1304))))</f>
        <v/>
      </c>
      <c r="B1304" s="79">
        <f>IF(OR($T1304="",$U1304=""),IF($T1304="","","Not on Firms tab"),INDEX(Firms!$B$5:$B$1004,$U1304)&amp;"")</f>
        <v/>
      </c>
      <c r="C1304" s="78">
        <f>IF($T1304="","",IF($S1304="S","Standard",INDEX('AFA Rates'!$B$5:$B$1004,$T1304)&amp;""))</f>
        <v/>
      </c>
      <c r="D1304" s="88">
        <f>IF($T1304="","",IF($S1304="S",IF(INDEX(Firms!$E$5:$E$1004,$T1304)="","",INDEX(Firms!$E$5:$E$1004,$T1304)),IF(INDEX('AFA Rates'!$C$5:$C$1004,$T1304)="","",INDEX('AFA Rates'!$C$5:$C$1004,$T1304))))</f>
        <v/>
      </c>
      <c r="E1304" s="88">
        <f>IF($T1304="","",IF($S1304="S",IF(""="","",""),IF(INDEX('AFA Rates'!$D$5:$D$1004,$T1304)="","",INDEX('AFA Rates'!$D$5:$D$1004,$T1304))))</f>
        <v/>
      </c>
      <c r="F1304" s="79">
        <f>IF($T1304="","",IF($S1304="S",IF(INDEX(Firms!$O$5:$O$1004,$T1304)="","",INDEX(Firms!$O$5:$O$1004,$T1304)),IF(INDEX('AFA Rates'!$O$5:$O$1004,$T1304)="","",INDEX('AFA Rates'!$O$5:$O$1004,$T1304))))</f>
        <v/>
      </c>
      <c r="G1304" s="50">
        <f>IF($T1304="","",IF($S1304="S",IF(INDEX(Firms!$F$5:$F$1004,$T1304)="","",INDEX(Firms!$F$5:$F$1004,$T1304)),IF(INDEX('AFA Rates'!$E$5:$E$1004,$T1304)="","",INDEX('AFA Rates'!$E$5:$E$1004,$T1304))))</f>
        <v/>
      </c>
      <c r="H1304" s="50">
        <f>IF($T1304="","",IF($S1304="S",IF(INDEX(Firms!$G$5:$G$1004,$T1304)="","",INDEX(Firms!$G$5:$G$1004,$T1304)),IF(INDEX('AFA Rates'!$F$5:$F$1004,$T1304)="","",INDEX('AFA Rates'!$F$5:$F$1004,$T1304))))</f>
        <v/>
      </c>
      <c r="I1304" s="50">
        <f>IF($T1304="","",IF($S1304="S",IF(INDEX(Firms!$H$5:$H$1004,$T1304)="","",INDEX(Firms!$H$5:$H$1004,$T1304)),IF(INDEX('AFA Rates'!$G$5:$G$1004,$T1304)="","",INDEX('AFA Rates'!$G$5:$G$1004,$T1304))))</f>
        <v/>
      </c>
      <c r="J1304" s="50">
        <f>IF($T1304="","",IF($S1304="S",IF(INDEX(Firms!$I$5:$I$1004,$T1304)="","",INDEX(Firms!$I$5:$I$1004,$T1304)),IF(INDEX('AFA Rates'!$H$5:$H$1004,$T1304)="","",INDEX('AFA Rates'!$H$5:$H$1004,$T1304))))</f>
        <v/>
      </c>
      <c r="K1304" s="50">
        <f>IF($T1304="","",IF($S1304="S",IF(INDEX(Firms!$J$5:$J$1004,$T1304)="","",INDEX(Firms!$J$5:$J$1004,$T1304)),IF(INDEX('AFA Rates'!$I$5:$I$1004,$T1304)="","",INDEX('AFA Rates'!$I$5:$I$1004,$T1304))))</f>
        <v/>
      </c>
      <c r="L1304" s="50">
        <f>IF($T1304="","",IF($S1304="S",IF(INDEX(Firms!$K$5:$K$1004,$T1304)="","",INDEX(Firms!$K$5:$K$1004,$T1304)),IF(INDEX('AFA Rates'!$J$5:$J$1004,$T1304)="","",INDEX('AFA Rates'!$J$5:$J$1004,$T1304))))</f>
        <v/>
      </c>
      <c r="M1304" s="50">
        <f>IF($T1304="","",IF($S1304="S",IF(INDEX(Firms!$L$5:$L$1004,$T1304)="","",INDEX(Firms!$L$5:$L$1004,$T1304)),IF(INDEX('AFA Rates'!$K$5:$K$1004,$T1304)="","",INDEX('AFA Rates'!$K$5:$K$1004,$T1304))))</f>
        <v/>
      </c>
      <c r="N1304" s="50">
        <f>IF($T1304="","",IF($S1304="S",IF(INDEX(Firms!$M$5:$M$1004,$T1304)="","",INDEX(Firms!$M$5:$M$1004,$T1304)),IF(INDEX('AFA Rates'!$L$5:$L$1004,$T1304)="","",INDEX('AFA Rates'!$L$5:$L$1004,$T1304))))</f>
        <v/>
      </c>
      <c r="O1304" s="78">
        <f>IF(OR($T1304="",$U1304=""),"",IF(INDEX(Firms!$C$5:$C$1004,$U1304)="","",INDEX(Firms!$C$5:$C$1004,$U1304)))</f>
        <v/>
      </c>
      <c r="P1304" s="79">
        <f>IF(OR($T1304="",$U1304=""),"",IF(INDEX(Firms!$N$5:$N$1004,$U1304)="","",INDEX(Firms!$N$5:$N$1004,$U1304)))</f>
        <v/>
      </c>
      <c r="Q1304" s="78">
        <f>IF($T1304="","",IF($S1304="S",IF(INDEX(Firms!$T$5:$T$1004,$T1304)="","",INDEX(Firms!$T$5:$T$1004,$T1304)),IF(INDEX('AFA Rates'!$M$5:$M$1004,$T1304)="","",INDEX('AFA Rates'!$M$5:$M$1004,$T1304))))</f>
        <v/>
      </c>
      <c r="S1304">
        <f>IF(1300&lt;=$S$2,"S",IF(1300&lt;=$S$2+$T$2,"A",""))</f>
        <v/>
      </c>
      <c r="T1304">
        <f>IF(S1304="S",MATCH(1300,Firms!$W$5:$W$1004,0),IF(S1304="A",IFERROR(MATCH(1300-$S$2,'AFA Rates'!$R$5:$R$1004,0),""),""))</f>
        <v/>
      </c>
      <c r="U1304">
        <f>IF(S1304="S",T1304,IF(AND(S1304="A",T1304&lt;&gt;""),IFERROR(MATCH(INDEX('AFA Rates'!$A$5:$A$1004,T1304),Firms!$A$5:$A$1004,0),""),""))</f>
        <v/>
      </c>
    </row>
    <row r="1305">
      <c r="A1305" s="78">
        <f>IF($T1305="","",IF($S1305="S",IF(INDEX(Firms!$A$5:$A$1004,$T1305)="","",INDEX(Firms!$A$5:$A$1004,$T1305)),IF(INDEX('AFA Rates'!$A$5:$A$1004,$T1305)="","",INDEX('AFA Rates'!$A$5:$A$1004,$T1305))))</f>
        <v/>
      </c>
      <c r="B1305" s="79">
        <f>IF(OR($T1305="",$U1305=""),IF($T1305="","","Not on Firms tab"),INDEX(Firms!$B$5:$B$1004,$U1305)&amp;"")</f>
        <v/>
      </c>
      <c r="C1305" s="78">
        <f>IF($T1305="","",IF($S1305="S","Standard",INDEX('AFA Rates'!$B$5:$B$1004,$T1305)&amp;""))</f>
        <v/>
      </c>
      <c r="D1305" s="88">
        <f>IF($T1305="","",IF($S1305="S",IF(INDEX(Firms!$E$5:$E$1004,$T1305)="","",INDEX(Firms!$E$5:$E$1004,$T1305)),IF(INDEX('AFA Rates'!$C$5:$C$1004,$T1305)="","",INDEX('AFA Rates'!$C$5:$C$1004,$T1305))))</f>
        <v/>
      </c>
      <c r="E1305" s="88">
        <f>IF($T1305="","",IF($S1305="S",IF(""="","",""),IF(INDEX('AFA Rates'!$D$5:$D$1004,$T1305)="","",INDEX('AFA Rates'!$D$5:$D$1004,$T1305))))</f>
        <v/>
      </c>
      <c r="F1305" s="79">
        <f>IF($T1305="","",IF($S1305="S",IF(INDEX(Firms!$O$5:$O$1004,$T1305)="","",INDEX(Firms!$O$5:$O$1004,$T1305)),IF(INDEX('AFA Rates'!$O$5:$O$1004,$T1305)="","",INDEX('AFA Rates'!$O$5:$O$1004,$T1305))))</f>
        <v/>
      </c>
      <c r="G1305" s="50">
        <f>IF($T1305="","",IF($S1305="S",IF(INDEX(Firms!$F$5:$F$1004,$T1305)="","",INDEX(Firms!$F$5:$F$1004,$T1305)),IF(INDEX('AFA Rates'!$E$5:$E$1004,$T1305)="","",INDEX('AFA Rates'!$E$5:$E$1004,$T1305))))</f>
        <v/>
      </c>
      <c r="H1305" s="50">
        <f>IF($T1305="","",IF($S1305="S",IF(INDEX(Firms!$G$5:$G$1004,$T1305)="","",INDEX(Firms!$G$5:$G$1004,$T1305)),IF(INDEX('AFA Rates'!$F$5:$F$1004,$T1305)="","",INDEX('AFA Rates'!$F$5:$F$1004,$T1305))))</f>
        <v/>
      </c>
      <c r="I1305" s="50">
        <f>IF($T1305="","",IF($S1305="S",IF(INDEX(Firms!$H$5:$H$1004,$T1305)="","",INDEX(Firms!$H$5:$H$1004,$T1305)),IF(INDEX('AFA Rates'!$G$5:$G$1004,$T1305)="","",INDEX('AFA Rates'!$G$5:$G$1004,$T1305))))</f>
        <v/>
      </c>
      <c r="J1305" s="50">
        <f>IF($T1305="","",IF($S1305="S",IF(INDEX(Firms!$I$5:$I$1004,$T1305)="","",INDEX(Firms!$I$5:$I$1004,$T1305)),IF(INDEX('AFA Rates'!$H$5:$H$1004,$T1305)="","",INDEX('AFA Rates'!$H$5:$H$1004,$T1305))))</f>
        <v/>
      </c>
      <c r="K1305" s="50">
        <f>IF($T1305="","",IF($S1305="S",IF(INDEX(Firms!$J$5:$J$1004,$T1305)="","",INDEX(Firms!$J$5:$J$1004,$T1305)),IF(INDEX('AFA Rates'!$I$5:$I$1004,$T1305)="","",INDEX('AFA Rates'!$I$5:$I$1004,$T1305))))</f>
        <v/>
      </c>
      <c r="L1305" s="50">
        <f>IF($T1305="","",IF($S1305="S",IF(INDEX(Firms!$K$5:$K$1004,$T1305)="","",INDEX(Firms!$K$5:$K$1004,$T1305)),IF(INDEX('AFA Rates'!$J$5:$J$1004,$T1305)="","",INDEX('AFA Rates'!$J$5:$J$1004,$T1305))))</f>
        <v/>
      </c>
      <c r="M1305" s="50">
        <f>IF($T1305="","",IF($S1305="S",IF(INDEX(Firms!$L$5:$L$1004,$T1305)="","",INDEX(Firms!$L$5:$L$1004,$T1305)),IF(INDEX('AFA Rates'!$K$5:$K$1004,$T1305)="","",INDEX('AFA Rates'!$K$5:$K$1004,$T1305))))</f>
        <v/>
      </c>
      <c r="N1305" s="50">
        <f>IF($T1305="","",IF($S1305="S",IF(INDEX(Firms!$M$5:$M$1004,$T1305)="","",INDEX(Firms!$M$5:$M$1004,$T1305)),IF(INDEX('AFA Rates'!$L$5:$L$1004,$T1305)="","",INDEX('AFA Rates'!$L$5:$L$1004,$T1305))))</f>
        <v/>
      </c>
      <c r="O1305" s="78">
        <f>IF(OR($T1305="",$U1305=""),"",IF(INDEX(Firms!$C$5:$C$1004,$U1305)="","",INDEX(Firms!$C$5:$C$1004,$U1305)))</f>
        <v/>
      </c>
      <c r="P1305" s="79">
        <f>IF(OR($T1305="",$U1305=""),"",IF(INDEX(Firms!$N$5:$N$1004,$U1305)="","",INDEX(Firms!$N$5:$N$1004,$U1305)))</f>
        <v/>
      </c>
      <c r="Q1305" s="78">
        <f>IF($T1305="","",IF($S1305="S",IF(INDEX(Firms!$T$5:$T$1004,$T1305)="","",INDEX(Firms!$T$5:$T$1004,$T1305)),IF(INDEX('AFA Rates'!$M$5:$M$1004,$T1305)="","",INDEX('AFA Rates'!$M$5:$M$1004,$T1305))))</f>
        <v/>
      </c>
      <c r="S1305">
        <f>IF(1301&lt;=$S$2,"S",IF(1301&lt;=$S$2+$T$2,"A",""))</f>
        <v/>
      </c>
      <c r="T1305">
        <f>IF(S1305="S",MATCH(1301,Firms!$W$5:$W$1004,0),IF(S1305="A",IFERROR(MATCH(1301-$S$2,'AFA Rates'!$R$5:$R$1004,0),""),""))</f>
        <v/>
      </c>
      <c r="U1305">
        <f>IF(S1305="S",T1305,IF(AND(S1305="A",T1305&lt;&gt;""),IFERROR(MATCH(INDEX('AFA Rates'!$A$5:$A$1004,T1305),Firms!$A$5:$A$1004,0),""),""))</f>
        <v/>
      </c>
    </row>
    <row r="1306">
      <c r="A1306" s="78">
        <f>IF($T1306="","",IF($S1306="S",IF(INDEX(Firms!$A$5:$A$1004,$T1306)="","",INDEX(Firms!$A$5:$A$1004,$T1306)),IF(INDEX('AFA Rates'!$A$5:$A$1004,$T1306)="","",INDEX('AFA Rates'!$A$5:$A$1004,$T1306))))</f>
        <v/>
      </c>
      <c r="B1306" s="79">
        <f>IF(OR($T1306="",$U1306=""),IF($T1306="","","Not on Firms tab"),INDEX(Firms!$B$5:$B$1004,$U1306)&amp;"")</f>
        <v/>
      </c>
      <c r="C1306" s="78">
        <f>IF($T1306="","",IF($S1306="S","Standard",INDEX('AFA Rates'!$B$5:$B$1004,$T1306)&amp;""))</f>
        <v/>
      </c>
      <c r="D1306" s="88">
        <f>IF($T1306="","",IF($S1306="S",IF(INDEX(Firms!$E$5:$E$1004,$T1306)="","",INDEX(Firms!$E$5:$E$1004,$T1306)),IF(INDEX('AFA Rates'!$C$5:$C$1004,$T1306)="","",INDEX('AFA Rates'!$C$5:$C$1004,$T1306))))</f>
        <v/>
      </c>
      <c r="E1306" s="88">
        <f>IF($T1306="","",IF($S1306="S",IF(""="","",""),IF(INDEX('AFA Rates'!$D$5:$D$1004,$T1306)="","",INDEX('AFA Rates'!$D$5:$D$1004,$T1306))))</f>
        <v/>
      </c>
      <c r="F1306" s="79">
        <f>IF($T1306="","",IF($S1306="S",IF(INDEX(Firms!$O$5:$O$1004,$T1306)="","",INDEX(Firms!$O$5:$O$1004,$T1306)),IF(INDEX('AFA Rates'!$O$5:$O$1004,$T1306)="","",INDEX('AFA Rates'!$O$5:$O$1004,$T1306))))</f>
        <v/>
      </c>
      <c r="G1306" s="50">
        <f>IF($T1306="","",IF($S1306="S",IF(INDEX(Firms!$F$5:$F$1004,$T1306)="","",INDEX(Firms!$F$5:$F$1004,$T1306)),IF(INDEX('AFA Rates'!$E$5:$E$1004,$T1306)="","",INDEX('AFA Rates'!$E$5:$E$1004,$T1306))))</f>
        <v/>
      </c>
      <c r="H1306" s="50">
        <f>IF($T1306="","",IF($S1306="S",IF(INDEX(Firms!$G$5:$G$1004,$T1306)="","",INDEX(Firms!$G$5:$G$1004,$T1306)),IF(INDEX('AFA Rates'!$F$5:$F$1004,$T1306)="","",INDEX('AFA Rates'!$F$5:$F$1004,$T1306))))</f>
        <v/>
      </c>
      <c r="I1306" s="50">
        <f>IF($T1306="","",IF($S1306="S",IF(INDEX(Firms!$H$5:$H$1004,$T1306)="","",INDEX(Firms!$H$5:$H$1004,$T1306)),IF(INDEX('AFA Rates'!$G$5:$G$1004,$T1306)="","",INDEX('AFA Rates'!$G$5:$G$1004,$T1306))))</f>
        <v/>
      </c>
      <c r="J1306" s="50">
        <f>IF($T1306="","",IF($S1306="S",IF(INDEX(Firms!$I$5:$I$1004,$T1306)="","",INDEX(Firms!$I$5:$I$1004,$T1306)),IF(INDEX('AFA Rates'!$H$5:$H$1004,$T1306)="","",INDEX('AFA Rates'!$H$5:$H$1004,$T1306))))</f>
        <v/>
      </c>
      <c r="K1306" s="50">
        <f>IF($T1306="","",IF($S1306="S",IF(INDEX(Firms!$J$5:$J$1004,$T1306)="","",INDEX(Firms!$J$5:$J$1004,$T1306)),IF(INDEX('AFA Rates'!$I$5:$I$1004,$T1306)="","",INDEX('AFA Rates'!$I$5:$I$1004,$T1306))))</f>
        <v/>
      </c>
      <c r="L1306" s="50">
        <f>IF($T1306="","",IF($S1306="S",IF(INDEX(Firms!$K$5:$K$1004,$T1306)="","",INDEX(Firms!$K$5:$K$1004,$T1306)),IF(INDEX('AFA Rates'!$J$5:$J$1004,$T1306)="","",INDEX('AFA Rates'!$J$5:$J$1004,$T1306))))</f>
        <v/>
      </c>
      <c r="M1306" s="50">
        <f>IF($T1306="","",IF($S1306="S",IF(INDEX(Firms!$L$5:$L$1004,$T1306)="","",INDEX(Firms!$L$5:$L$1004,$T1306)),IF(INDEX('AFA Rates'!$K$5:$K$1004,$T1306)="","",INDEX('AFA Rates'!$K$5:$K$1004,$T1306))))</f>
        <v/>
      </c>
      <c r="N1306" s="50">
        <f>IF($T1306="","",IF($S1306="S",IF(INDEX(Firms!$M$5:$M$1004,$T1306)="","",INDEX(Firms!$M$5:$M$1004,$T1306)),IF(INDEX('AFA Rates'!$L$5:$L$1004,$T1306)="","",INDEX('AFA Rates'!$L$5:$L$1004,$T1306))))</f>
        <v/>
      </c>
      <c r="O1306" s="78">
        <f>IF(OR($T1306="",$U1306=""),"",IF(INDEX(Firms!$C$5:$C$1004,$U1306)="","",INDEX(Firms!$C$5:$C$1004,$U1306)))</f>
        <v/>
      </c>
      <c r="P1306" s="79">
        <f>IF(OR($T1306="",$U1306=""),"",IF(INDEX(Firms!$N$5:$N$1004,$U1306)="","",INDEX(Firms!$N$5:$N$1004,$U1306)))</f>
        <v/>
      </c>
      <c r="Q1306" s="78">
        <f>IF($T1306="","",IF($S1306="S",IF(INDEX(Firms!$T$5:$T$1004,$T1306)="","",INDEX(Firms!$T$5:$T$1004,$T1306)),IF(INDEX('AFA Rates'!$M$5:$M$1004,$T1306)="","",INDEX('AFA Rates'!$M$5:$M$1004,$T1306))))</f>
        <v/>
      </c>
      <c r="S1306">
        <f>IF(1302&lt;=$S$2,"S",IF(1302&lt;=$S$2+$T$2,"A",""))</f>
        <v/>
      </c>
      <c r="T1306">
        <f>IF(S1306="S",MATCH(1302,Firms!$W$5:$W$1004,0),IF(S1306="A",IFERROR(MATCH(1302-$S$2,'AFA Rates'!$R$5:$R$1004,0),""),""))</f>
        <v/>
      </c>
      <c r="U1306">
        <f>IF(S1306="S",T1306,IF(AND(S1306="A",T1306&lt;&gt;""),IFERROR(MATCH(INDEX('AFA Rates'!$A$5:$A$1004,T1306),Firms!$A$5:$A$1004,0),""),""))</f>
        <v/>
      </c>
    </row>
    <row r="1307">
      <c r="A1307" s="78">
        <f>IF($T1307="","",IF($S1307="S",IF(INDEX(Firms!$A$5:$A$1004,$T1307)="","",INDEX(Firms!$A$5:$A$1004,$T1307)),IF(INDEX('AFA Rates'!$A$5:$A$1004,$T1307)="","",INDEX('AFA Rates'!$A$5:$A$1004,$T1307))))</f>
        <v/>
      </c>
      <c r="B1307" s="79">
        <f>IF(OR($T1307="",$U1307=""),IF($T1307="","","Not on Firms tab"),INDEX(Firms!$B$5:$B$1004,$U1307)&amp;"")</f>
        <v/>
      </c>
      <c r="C1307" s="78">
        <f>IF($T1307="","",IF($S1307="S","Standard",INDEX('AFA Rates'!$B$5:$B$1004,$T1307)&amp;""))</f>
        <v/>
      </c>
      <c r="D1307" s="88">
        <f>IF($T1307="","",IF($S1307="S",IF(INDEX(Firms!$E$5:$E$1004,$T1307)="","",INDEX(Firms!$E$5:$E$1004,$T1307)),IF(INDEX('AFA Rates'!$C$5:$C$1004,$T1307)="","",INDEX('AFA Rates'!$C$5:$C$1004,$T1307))))</f>
        <v/>
      </c>
      <c r="E1307" s="88">
        <f>IF($T1307="","",IF($S1307="S",IF(""="","",""),IF(INDEX('AFA Rates'!$D$5:$D$1004,$T1307)="","",INDEX('AFA Rates'!$D$5:$D$1004,$T1307))))</f>
        <v/>
      </c>
      <c r="F1307" s="79">
        <f>IF($T1307="","",IF($S1307="S",IF(INDEX(Firms!$O$5:$O$1004,$T1307)="","",INDEX(Firms!$O$5:$O$1004,$T1307)),IF(INDEX('AFA Rates'!$O$5:$O$1004,$T1307)="","",INDEX('AFA Rates'!$O$5:$O$1004,$T1307))))</f>
        <v/>
      </c>
      <c r="G1307" s="50">
        <f>IF($T1307="","",IF($S1307="S",IF(INDEX(Firms!$F$5:$F$1004,$T1307)="","",INDEX(Firms!$F$5:$F$1004,$T1307)),IF(INDEX('AFA Rates'!$E$5:$E$1004,$T1307)="","",INDEX('AFA Rates'!$E$5:$E$1004,$T1307))))</f>
        <v/>
      </c>
      <c r="H1307" s="50">
        <f>IF($T1307="","",IF($S1307="S",IF(INDEX(Firms!$G$5:$G$1004,$T1307)="","",INDEX(Firms!$G$5:$G$1004,$T1307)),IF(INDEX('AFA Rates'!$F$5:$F$1004,$T1307)="","",INDEX('AFA Rates'!$F$5:$F$1004,$T1307))))</f>
        <v/>
      </c>
      <c r="I1307" s="50">
        <f>IF($T1307="","",IF($S1307="S",IF(INDEX(Firms!$H$5:$H$1004,$T1307)="","",INDEX(Firms!$H$5:$H$1004,$T1307)),IF(INDEX('AFA Rates'!$G$5:$G$1004,$T1307)="","",INDEX('AFA Rates'!$G$5:$G$1004,$T1307))))</f>
        <v/>
      </c>
      <c r="J1307" s="50">
        <f>IF($T1307="","",IF($S1307="S",IF(INDEX(Firms!$I$5:$I$1004,$T1307)="","",INDEX(Firms!$I$5:$I$1004,$T1307)),IF(INDEX('AFA Rates'!$H$5:$H$1004,$T1307)="","",INDEX('AFA Rates'!$H$5:$H$1004,$T1307))))</f>
        <v/>
      </c>
      <c r="K1307" s="50">
        <f>IF($T1307="","",IF($S1307="S",IF(INDEX(Firms!$J$5:$J$1004,$T1307)="","",INDEX(Firms!$J$5:$J$1004,$T1307)),IF(INDEX('AFA Rates'!$I$5:$I$1004,$T1307)="","",INDEX('AFA Rates'!$I$5:$I$1004,$T1307))))</f>
        <v/>
      </c>
      <c r="L1307" s="50">
        <f>IF($T1307="","",IF($S1307="S",IF(INDEX(Firms!$K$5:$K$1004,$T1307)="","",INDEX(Firms!$K$5:$K$1004,$T1307)),IF(INDEX('AFA Rates'!$J$5:$J$1004,$T1307)="","",INDEX('AFA Rates'!$J$5:$J$1004,$T1307))))</f>
        <v/>
      </c>
      <c r="M1307" s="50">
        <f>IF($T1307="","",IF($S1307="S",IF(INDEX(Firms!$L$5:$L$1004,$T1307)="","",INDEX(Firms!$L$5:$L$1004,$T1307)),IF(INDEX('AFA Rates'!$K$5:$K$1004,$T1307)="","",INDEX('AFA Rates'!$K$5:$K$1004,$T1307))))</f>
        <v/>
      </c>
      <c r="N1307" s="50">
        <f>IF($T1307="","",IF($S1307="S",IF(INDEX(Firms!$M$5:$M$1004,$T1307)="","",INDEX(Firms!$M$5:$M$1004,$T1307)),IF(INDEX('AFA Rates'!$L$5:$L$1004,$T1307)="","",INDEX('AFA Rates'!$L$5:$L$1004,$T1307))))</f>
        <v/>
      </c>
      <c r="O1307" s="78">
        <f>IF(OR($T1307="",$U1307=""),"",IF(INDEX(Firms!$C$5:$C$1004,$U1307)="","",INDEX(Firms!$C$5:$C$1004,$U1307)))</f>
        <v/>
      </c>
      <c r="P1307" s="79">
        <f>IF(OR($T1307="",$U1307=""),"",IF(INDEX(Firms!$N$5:$N$1004,$U1307)="","",INDEX(Firms!$N$5:$N$1004,$U1307)))</f>
        <v/>
      </c>
      <c r="Q1307" s="78">
        <f>IF($T1307="","",IF($S1307="S",IF(INDEX(Firms!$T$5:$T$1004,$T1307)="","",INDEX(Firms!$T$5:$T$1004,$T1307)),IF(INDEX('AFA Rates'!$M$5:$M$1004,$T1307)="","",INDEX('AFA Rates'!$M$5:$M$1004,$T1307))))</f>
        <v/>
      </c>
      <c r="S1307">
        <f>IF(1303&lt;=$S$2,"S",IF(1303&lt;=$S$2+$T$2,"A",""))</f>
        <v/>
      </c>
      <c r="T1307">
        <f>IF(S1307="S",MATCH(1303,Firms!$W$5:$W$1004,0),IF(S1307="A",IFERROR(MATCH(1303-$S$2,'AFA Rates'!$R$5:$R$1004,0),""),""))</f>
        <v/>
      </c>
      <c r="U1307">
        <f>IF(S1307="S",T1307,IF(AND(S1307="A",T1307&lt;&gt;""),IFERROR(MATCH(INDEX('AFA Rates'!$A$5:$A$1004,T1307),Firms!$A$5:$A$1004,0),""),""))</f>
        <v/>
      </c>
    </row>
    <row r="1308">
      <c r="A1308" s="78">
        <f>IF($T1308="","",IF($S1308="S",IF(INDEX(Firms!$A$5:$A$1004,$T1308)="","",INDEX(Firms!$A$5:$A$1004,$T1308)),IF(INDEX('AFA Rates'!$A$5:$A$1004,$T1308)="","",INDEX('AFA Rates'!$A$5:$A$1004,$T1308))))</f>
        <v/>
      </c>
      <c r="B1308" s="79">
        <f>IF(OR($T1308="",$U1308=""),IF($T1308="","","Not on Firms tab"),INDEX(Firms!$B$5:$B$1004,$U1308)&amp;"")</f>
        <v/>
      </c>
      <c r="C1308" s="78">
        <f>IF($T1308="","",IF($S1308="S","Standard",INDEX('AFA Rates'!$B$5:$B$1004,$T1308)&amp;""))</f>
        <v/>
      </c>
      <c r="D1308" s="88">
        <f>IF($T1308="","",IF($S1308="S",IF(INDEX(Firms!$E$5:$E$1004,$T1308)="","",INDEX(Firms!$E$5:$E$1004,$T1308)),IF(INDEX('AFA Rates'!$C$5:$C$1004,$T1308)="","",INDEX('AFA Rates'!$C$5:$C$1004,$T1308))))</f>
        <v/>
      </c>
      <c r="E1308" s="88">
        <f>IF($T1308="","",IF($S1308="S",IF(""="","",""),IF(INDEX('AFA Rates'!$D$5:$D$1004,$T1308)="","",INDEX('AFA Rates'!$D$5:$D$1004,$T1308))))</f>
        <v/>
      </c>
      <c r="F1308" s="79">
        <f>IF($T1308="","",IF($S1308="S",IF(INDEX(Firms!$O$5:$O$1004,$T1308)="","",INDEX(Firms!$O$5:$O$1004,$T1308)),IF(INDEX('AFA Rates'!$O$5:$O$1004,$T1308)="","",INDEX('AFA Rates'!$O$5:$O$1004,$T1308))))</f>
        <v/>
      </c>
      <c r="G1308" s="50">
        <f>IF($T1308="","",IF($S1308="S",IF(INDEX(Firms!$F$5:$F$1004,$T1308)="","",INDEX(Firms!$F$5:$F$1004,$T1308)),IF(INDEX('AFA Rates'!$E$5:$E$1004,$T1308)="","",INDEX('AFA Rates'!$E$5:$E$1004,$T1308))))</f>
        <v/>
      </c>
      <c r="H1308" s="50">
        <f>IF($T1308="","",IF($S1308="S",IF(INDEX(Firms!$G$5:$G$1004,$T1308)="","",INDEX(Firms!$G$5:$G$1004,$T1308)),IF(INDEX('AFA Rates'!$F$5:$F$1004,$T1308)="","",INDEX('AFA Rates'!$F$5:$F$1004,$T1308))))</f>
        <v/>
      </c>
      <c r="I1308" s="50">
        <f>IF($T1308="","",IF($S1308="S",IF(INDEX(Firms!$H$5:$H$1004,$T1308)="","",INDEX(Firms!$H$5:$H$1004,$T1308)),IF(INDEX('AFA Rates'!$G$5:$G$1004,$T1308)="","",INDEX('AFA Rates'!$G$5:$G$1004,$T1308))))</f>
        <v/>
      </c>
      <c r="J1308" s="50">
        <f>IF($T1308="","",IF($S1308="S",IF(INDEX(Firms!$I$5:$I$1004,$T1308)="","",INDEX(Firms!$I$5:$I$1004,$T1308)),IF(INDEX('AFA Rates'!$H$5:$H$1004,$T1308)="","",INDEX('AFA Rates'!$H$5:$H$1004,$T1308))))</f>
        <v/>
      </c>
      <c r="K1308" s="50">
        <f>IF($T1308="","",IF($S1308="S",IF(INDEX(Firms!$J$5:$J$1004,$T1308)="","",INDEX(Firms!$J$5:$J$1004,$T1308)),IF(INDEX('AFA Rates'!$I$5:$I$1004,$T1308)="","",INDEX('AFA Rates'!$I$5:$I$1004,$T1308))))</f>
        <v/>
      </c>
      <c r="L1308" s="50">
        <f>IF($T1308="","",IF($S1308="S",IF(INDEX(Firms!$K$5:$K$1004,$T1308)="","",INDEX(Firms!$K$5:$K$1004,$T1308)),IF(INDEX('AFA Rates'!$J$5:$J$1004,$T1308)="","",INDEX('AFA Rates'!$J$5:$J$1004,$T1308))))</f>
        <v/>
      </c>
      <c r="M1308" s="50">
        <f>IF($T1308="","",IF($S1308="S",IF(INDEX(Firms!$L$5:$L$1004,$T1308)="","",INDEX(Firms!$L$5:$L$1004,$T1308)),IF(INDEX('AFA Rates'!$K$5:$K$1004,$T1308)="","",INDEX('AFA Rates'!$K$5:$K$1004,$T1308))))</f>
        <v/>
      </c>
      <c r="N1308" s="50">
        <f>IF($T1308="","",IF($S1308="S",IF(INDEX(Firms!$M$5:$M$1004,$T1308)="","",INDEX(Firms!$M$5:$M$1004,$T1308)),IF(INDEX('AFA Rates'!$L$5:$L$1004,$T1308)="","",INDEX('AFA Rates'!$L$5:$L$1004,$T1308))))</f>
        <v/>
      </c>
      <c r="O1308" s="78">
        <f>IF(OR($T1308="",$U1308=""),"",IF(INDEX(Firms!$C$5:$C$1004,$U1308)="","",INDEX(Firms!$C$5:$C$1004,$U1308)))</f>
        <v/>
      </c>
      <c r="P1308" s="79">
        <f>IF(OR($T1308="",$U1308=""),"",IF(INDEX(Firms!$N$5:$N$1004,$U1308)="","",INDEX(Firms!$N$5:$N$1004,$U1308)))</f>
        <v/>
      </c>
      <c r="Q1308" s="78">
        <f>IF($T1308="","",IF($S1308="S",IF(INDEX(Firms!$T$5:$T$1004,$T1308)="","",INDEX(Firms!$T$5:$T$1004,$T1308)),IF(INDEX('AFA Rates'!$M$5:$M$1004,$T1308)="","",INDEX('AFA Rates'!$M$5:$M$1004,$T1308))))</f>
        <v/>
      </c>
      <c r="S1308">
        <f>IF(1304&lt;=$S$2,"S",IF(1304&lt;=$S$2+$T$2,"A",""))</f>
        <v/>
      </c>
      <c r="T1308">
        <f>IF(S1308="S",MATCH(1304,Firms!$W$5:$W$1004,0),IF(S1308="A",IFERROR(MATCH(1304-$S$2,'AFA Rates'!$R$5:$R$1004,0),""),""))</f>
        <v/>
      </c>
      <c r="U1308">
        <f>IF(S1308="S",T1308,IF(AND(S1308="A",T1308&lt;&gt;""),IFERROR(MATCH(INDEX('AFA Rates'!$A$5:$A$1004,T1308),Firms!$A$5:$A$1004,0),""),""))</f>
        <v/>
      </c>
    </row>
    <row r="1309">
      <c r="A1309" s="78">
        <f>IF($T1309="","",IF($S1309="S",IF(INDEX(Firms!$A$5:$A$1004,$T1309)="","",INDEX(Firms!$A$5:$A$1004,$T1309)),IF(INDEX('AFA Rates'!$A$5:$A$1004,$T1309)="","",INDEX('AFA Rates'!$A$5:$A$1004,$T1309))))</f>
        <v/>
      </c>
      <c r="B1309" s="79">
        <f>IF(OR($T1309="",$U1309=""),IF($T1309="","","Not on Firms tab"),INDEX(Firms!$B$5:$B$1004,$U1309)&amp;"")</f>
        <v/>
      </c>
      <c r="C1309" s="78">
        <f>IF($T1309="","",IF($S1309="S","Standard",INDEX('AFA Rates'!$B$5:$B$1004,$T1309)&amp;""))</f>
        <v/>
      </c>
      <c r="D1309" s="88">
        <f>IF($T1309="","",IF($S1309="S",IF(INDEX(Firms!$E$5:$E$1004,$T1309)="","",INDEX(Firms!$E$5:$E$1004,$T1309)),IF(INDEX('AFA Rates'!$C$5:$C$1004,$T1309)="","",INDEX('AFA Rates'!$C$5:$C$1004,$T1309))))</f>
        <v/>
      </c>
      <c r="E1309" s="88">
        <f>IF($T1309="","",IF($S1309="S",IF(""="","",""),IF(INDEX('AFA Rates'!$D$5:$D$1004,$T1309)="","",INDEX('AFA Rates'!$D$5:$D$1004,$T1309))))</f>
        <v/>
      </c>
      <c r="F1309" s="79">
        <f>IF($T1309="","",IF($S1309="S",IF(INDEX(Firms!$O$5:$O$1004,$T1309)="","",INDEX(Firms!$O$5:$O$1004,$T1309)),IF(INDEX('AFA Rates'!$O$5:$O$1004,$T1309)="","",INDEX('AFA Rates'!$O$5:$O$1004,$T1309))))</f>
        <v/>
      </c>
      <c r="G1309" s="50">
        <f>IF($T1309="","",IF($S1309="S",IF(INDEX(Firms!$F$5:$F$1004,$T1309)="","",INDEX(Firms!$F$5:$F$1004,$T1309)),IF(INDEX('AFA Rates'!$E$5:$E$1004,$T1309)="","",INDEX('AFA Rates'!$E$5:$E$1004,$T1309))))</f>
        <v/>
      </c>
      <c r="H1309" s="50">
        <f>IF($T1309="","",IF($S1309="S",IF(INDEX(Firms!$G$5:$G$1004,$T1309)="","",INDEX(Firms!$G$5:$G$1004,$T1309)),IF(INDEX('AFA Rates'!$F$5:$F$1004,$T1309)="","",INDEX('AFA Rates'!$F$5:$F$1004,$T1309))))</f>
        <v/>
      </c>
      <c r="I1309" s="50">
        <f>IF($T1309="","",IF($S1309="S",IF(INDEX(Firms!$H$5:$H$1004,$T1309)="","",INDEX(Firms!$H$5:$H$1004,$T1309)),IF(INDEX('AFA Rates'!$G$5:$G$1004,$T1309)="","",INDEX('AFA Rates'!$G$5:$G$1004,$T1309))))</f>
        <v/>
      </c>
      <c r="J1309" s="50">
        <f>IF($T1309="","",IF($S1309="S",IF(INDEX(Firms!$I$5:$I$1004,$T1309)="","",INDEX(Firms!$I$5:$I$1004,$T1309)),IF(INDEX('AFA Rates'!$H$5:$H$1004,$T1309)="","",INDEX('AFA Rates'!$H$5:$H$1004,$T1309))))</f>
        <v/>
      </c>
      <c r="K1309" s="50">
        <f>IF($T1309="","",IF($S1309="S",IF(INDEX(Firms!$J$5:$J$1004,$T1309)="","",INDEX(Firms!$J$5:$J$1004,$T1309)),IF(INDEX('AFA Rates'!$I$5:$I$1004,$T1309)="","",INDEX('AFA Rates'!$I$5:$I$1004,$T1309))))</f>
        <v/>
      </c>
      <c r="L1309" s="50">
        <f>IF($T1309="","",IF($S1309="S",IF(INDEX(Firms!$K$5:$K$1004,$T1309)="","",INDEX(Firms!$K$5:$K$1004,$T1309)),IF(INDEX('AFA Rates'!$J$5:$J$1004,$T1309)="","",INDEX('AFA Rates'!$J$5:$J$1004,$T1309))))</f>
        <v/>
      </c>
      <c r="M1309" s="50">
        <f>IF($T1309="","",IF($S1309="S",IF(INDEX(Firms!$L$5:$L$1004,$T1309)="","",INDEX(Firms!$L$5:$L$1004,$T1309)),IF(INDEX('AFA Rates'!$K$5:$K$1004,$T1309)="","",INDEX('AFA Rates'!$K$5:$K$1004,$T1309))))</f>
        <v/>
      </c>
      <c r="N1309" s="50">
        <f>IF($T1309="","",IF($S1309="S",IF(INDEX(Firms!$M$5:$M$1004,$T1309)="","",INDEX(Firms!$M$5:$M$1004,$T1309)),IF(INDEX('AFA Rates'!$L$5:$L$1004,$T1309)="","",INDEX('AFA Rates'!$L$5:$L$1004,$T1309))))</f>
        <v/>
      </c>
      <c r="O1309" s="78">
        <f>IF(OR($T1309="",$U1309=""),"",IF(INDEX(Firms!$C$5:$C$1004,$U1309)="","",INDEX(Firms!$C$5:$C$1004,$U1309)))</f>
        <v/>
      </c>
      <c r="P1309" s="79">
        <f>IF(OR($T1309="",$U1309=""),"",IF(INDEX(Firms!$N$5:$N$1004,$U1309)="","",INDEX(Firms!$N$5:$N$1004,$U1309)))</f>
        <v/>
      </c>
      <c r="Q1309" s="78">
        <f>IF($T1309="","",IF($S1309="S",IF(INDEX(Firms!$T$5:$T$1004,$T1309)="","",INDEX(Firms!$T$5:$T$1004,$T1309)),IF(INDEX('AFA Rates'!$M$5:$M$1004,$T1309)="","",INDEX('AFA Rates'!$M$5:$M$1004,$T1309))))</f>
        <v/>
      </c>
      <c r="S1309">
        <f>IF(1305&lt;=$S$2,"S",IF(1305&lt;=$S$2+$T$2,"A",""))</f>
        <v/>
      </c>
      <c r="T1309">
        <f>IF(S1309="S",MATCH(1305,Firms!$W$5:$W$1004,0),IF(S1309="A",IFERROR(MATCH(1305-$S$2,'AFA Rates'!$R$5:$R$1004,0),""),""))</f>
        <v/>
      </c>
      <c r="U1309">
        <f>IF(S1309="S",T1309,IF(AND(S1309="A",T1309&lt;&gt;""),IFERROR(MATCH(INDEX('AFA Rates'!$A$5:$A$1004,T1309),Firms!$A$5:$A$1004,0),""),""))</f>
        <v/>
      </c>
    </row>
    <row r="1310">
      <c r="A1310" s="78">
        <f>IF($T1310="","",IF($S1310="S",IF(INDEX(Firms!$A$5:$A$1004,$T1310)="","",INDEX(Firms!$A$5:$A$1004,$T1310)),IF(INDEX('AFA Rates'!$A$5:$A$1004,$T1310)="","",INDEX('AFA Rates'!$A$5:$A$1004,$T1310))))</f>
        <v/>
      </c>
      <c r="B1310" s="79">
        <f>IF(OR($T1310="",$U1310=""),IF($T1310="","","Not on Firms tab"),INDEX(Firms!$B$5:$B$1004,$U1310)&amp;"")</f>
        <v/>
      </c>
      <c r="C1310" s="78">
        <f>IF($T1310="","",IF($S1310="S","Standard",INDEX('AFA Rates'!$B$5:$B$1004,$T1310)&amp;""))</f>
        <v/>
      </c>
      <c r="D1310" s="88">
        <f>IF($T1310="","",IF($S1310="S",IF(INDEX(Firms!$E$5:$E$1004,$T1310)="","",INDEX(Firms!$E$5:$E$1004,$T1310)),IF(INDEX('AFA Rates'!$C$5:$C$1004,$T1310)="","",INDEX('AFA Rates'!$C$5:$C$1004,$T1310))))</f>
        <v/>
      </c>
      <c r="E1310" s="88">
        <f>IF($T1310="","",IF($S1310="S",IF(""="","",""),IF(INDEX('AFA Rates'!$D$5:$D$1004,$T1310)="","",INDEX('AFA Rates'!$D$5:$D$1004,$T1310))))</f>
        <v/>
      </c>
      <c r="F1310" s="79">
        <f>IF($T1310="","",IF($S1310="S",IF(INDEX(Firms!$O$5:$O$1004,$T1310)="","",INDEX(Firms!$O$5:$O$1004,$T1310)),IF(INDEX('AFA Rates'!$O$5:$O$1004,$T1310)="","",INDEX('AFA Rates'!$O$5:$O$1004,$T1310))))</f>
        <v/>
      </c>
      <c r="G1310" s="50">
        <f>IF($T1310="","",IF($S1310="S",IF(INDEX(Firms!$F$5:$F$1004,$T1310)="","",INDEX(Firms!$F$5:$F$1004,$T1310)),IF(INDEX('AFA Rates'!$E$5:$E$1004,$T1310)="","",INDEX('AFA Rates'!$E$5:$E$1004,$T1310))))</f>
        <v/>
      </c>
      <c r="H1310" s="50">
        <f>IF($T1310="","",IF($S1310="S",IF(INDEX(Firms!$G$5:$G$1004,$T1310)="","",INDEX(Firms!$G$5:$G$1004,$T1310)),IF(INDEX('AFA Rates'!$F$5:$F$1004,$T1310)="","",INDEX('AFA Rates'!$F$5:$F$1004,$T1310))))</f>
        <v/>
      </c>
      <c r="I1310" s="50">
        <f>IF($T1310="","",IF($S1310="S",IF(INDEX(Firms!$H$5:$H$1004,$T1310)="","",INDEX(Firms!$H$5:$H$1004,$T1310)),IF(INDEX('AFA Rates'!$G$5:$G$1004,$T1310)="","",INDEX('AFA Rates'!$G$5:$G$1004,$T1310))))</f>
        <v/>
      </c>
      <c r="J1310" s="50">
        <f>IF($T1310="","",IF($S1310="S",IF(INDEX(Firms!$I$5:$I$1004,$T1310)="","",INDEX(Firms!$I$5:$I$1004,$T1310)),IF(INDEX('AFA Rates'!$H$5:$H$1004,$T1310)="","",INDEX('AFA Rates'!$H$5:$H$1004,$T1310))))</f>
        <v/>
      </c>
      <c r="K1310" s="50">
        <f>IF($T1310="","",IF($S1310="S",IF(INDEX(Firms!$J$5:$J$1004,$T1310)="","",INDEX(Firms!$J$5:$J$1004,$T1310)),IF(INDEX('AFA Rates'!$I$5:$I$1004,$T1310)="","",INDEX('AFA Rates'!$I$5:$I$1004,$T1310))))</f>
        <v/>
      </c>
      <c r="L1310" s="50">
        <f>IF($T1310="","",IF($S1310="S",IF(INDEX(Firms!$K$5:$K$1004,$T1310)="","",INDEX(Firms!$K$5:$K$1004,$T1310)),IF(INDEX('AFA Rates'!$J$5:$J$1004,$T1310)="","",INDEX('AFA Rates'!$J$5:$J$1004,$T1310))))</f>
        <v/>
      </c>
      <c r="M1310" s="50">
        <f>IF($T1310="","",IF($S1310="S",IF(INDEX(Firms!$L$5:$L$1004,$T1310)="","",INDEX(Firms!$L$5:$L$1004,$T1310)),IF(INDEX('AFA Rates'!$K$5:$K$1004,$T1310)="","",INDEX('AFA Rates'!$K$5:$K$1004,$T1310))))</f>
        <v/>
      </c>
      <c r="N1310" s="50">
        <f>IF($T1310="","",IF($S1310="S",IF(INDEX(Firms!$M$5:$M$1004,$T1310)="","",INDEX(Firms!$M$5:$M$1004,$T1310)),IF(INDEX('AFA Rates'!$L$5:$L$1004,$T1310)="","",INDEX('AFA Rates'!$L$5:$L$1004,$T1310))))</f>
        <v/>
      </c>
      <c r="O1310" s="78">
        <f>IF(OR($T1310="",$U1310=""),"",IF(INDEX(Firms!$C$5:$C$1004,$U1310)="","",INDEX(Firms!$C$5:$C$1004,$U1310)))</f>
        <v/>
      </c>
      <c r="P1310" s="79">
        <f>IF(OR($T1310="",$U1310=""),"",IF(INDEX(Firms!$N$5:$N$1004,$U1310)="","",INDEX(Firms!$N$5:$N$1004,$U1310)))</f>
        <v/>
      </c>
      <c r="Q1310" s="78">
        <f>IF($T1310="","",IF($S1310="S",IF(INDEX(Firms!$T$5:$T$1004,$T1310)="","",INDEX(Firms!$T$5:$T$1004,$T1310)),IF(INDEX('AFA Rates'!$M$5:$M$1004,$T1310)="","",INDEX('AFA Rates'!$M$5:$M$1004,$T1310))))</f>
        <v/>
      </c>
      <c r="S1310">
        <f>IF(1306&lt;=$S$2,"S",IF(1306&lt;=$S$2+$T$2,"A",""))</f>
        <v/>
      </c>
      <c r="T1310">
        <f>IF(S1310="S",MATCH(1306,Firms!$W$5:$W$1004,0),IF(S1310="A",IFERROR(MATCH(1306-$S$2,'AFA Rates'!$R$5:$R$1004,0),""),""))</f>
        <v/>
      </c>
      <c r="U1310">
        <f>IF(S1310="S",T1310,IF(AND(S1310="A",T1310&lt;&gt;""),IFERROR(MATCH(INDEX('AFA Rates'!$A$5:$A$1004,T1310),Firms!$A$5:$A$1004,0),""),""))</f>
        <v/>
      </c>
    </row>
    <row r="1311">
      <c r="A1311" s="78">
        <f>IF($T1311="","",IF($S1311="S",IF(INDEX(Firms!$A$5:$A$1004,$T1311)="","",INDEX(Firms!$A$5:$A$1004,$T1311)),IF(INDEX('AFA Rates'!$A$5:$A$1004,$T1311)="","",INDEX('AFA Rates'!$A$5:$A$1004,$T1311))))</f>
        <v/>
      </c>
      <c r="B1311" s="79">
        <f>IF(OR($T1311="",$U1311=""),IF($T1311="","","Not on Firms tab"),INDEX(Firms!$B$5:$B$1004,$U1311)&amp;"")</f>
        <v/>
      </c>
      <c r="C1311" s="78">
        <f>IF($T1311="","",IF($S1311="S","Standard",INDEX('AFA Rates'!$B$5:$B$1004,$T1311)&amp;""))</f>
        <v/>
      </c>
      <c r="D1311" s="88">
        <f>IF($T1311="","",IF($S1311="S",IF(INDEX(Firms!$E$5:$E$1004,$T1311)="","",INDEX(Firms!$E$5:$E$1004,$T1311)),IF(INDEX('AFA Rates'!$C$5:$C$1004,$T1311)="","",INDEX('AFA Rates'!$C$5:$C$1004,$T1311))))</f>
        <v/>
      </c>
      <c r="E1311" s="88">
        <f>IF($T1311="","",IF($S1311="S",IF(""="","",""),IF(INDEX('AFA Rates'!$D$5:$D$1004,$T1311)="","",INDEX('AFA Rates'!$D$5:$D$1004,$T1311))))</f>
        <v/>
      </c>
      <c r="F1311" s="79">
        <f>IF($T1311="","",IF($S1311="S",IF(INDEX(Firms!$O$5:$O$1004,$T1311)="","",INDEX(Firms!$O$5:$O$1004,$T1311)),IF(INDEX('AFA Rates'!$O$5:$O$1004,$T1311)="","",INDEX('AFA Rates'!$O$5:$O$1004,$T1311))))</f>
        <v/>
      </c>
      <c r="G1311" s="50">
        <f>IF($T1311="","",IF($S1311="S",IF(INDEX(Firms!$F$5:$F$1004,$T1311)="","",INDEX(Firms!$F$5:$F$1004,$T1311)),IF(INDEX('AFA Rates'!$E$5:$E$1004,$T1311)="","",INDEX('AFA Rates'!$E$5:$E$1004,$T1311))))</f>
        <v/>
      </c>
      <c r="H1311" s="50">
        <f>IF($T1311="","",IF($S1311="S",IF(INDEX(Firms!$G$5:$G$1004,$T1311)="","",INDEX(Firms!$G$5:$G$1004,$T1311)),IF(INDEX('AFA Rates'!$F$5:$F$1004,$T1311)="","",INDEX('AFA Rates'!$F$5:$F$1004,$T1311))))</f>
        <v/>
      </c>
      <c r="I1311" s="50">
        <f>IF($T1311="","",IF($S1311="S",IF(INDEX(Firms!$H$5:$H$1004,$T1311)="","",INDEX(Firms!$H$5:$H$1004,$T1311)),IF(INDEX('AFA Rates'!$G$5:$G$1004,$T1311)="","",INDEX('AFA Rates'!$G$5:$G$1004,$T1311))))</f>
        <v/>
      </c>
      <c r="J1311" s="50">
        <f>IF($T1311="","",IF($S1311="S",IF(INDEX(Firms!$I$5:$I$1004,$T1311)="","",INDEX(Firms!$I$5:$I$1004,$T1311)),IF(INDEX('AFA Rates'!$H$5:$H$1004,$T1311)="","",INDEX('AFA Rates'!$H$5:$H$1004,$T1311))))</f>
        <v/>
      </c>
      <c r="K1311" s="50">
        <f>IF($T1311="","",IF($S1311="S",IF(INDEX(Firms!$J$5:$J$1004,$T1311)="","",INDEX(Firms!$J$5:$J$1004,$T1311)),IF(INDEX('AFA Rates'!$I$5:$I$1004,$T1311)="","",INDEX('AFA Rates'!$I$5:$I$1004,$T1311))))</f>
        <v/>
      </c>
      <c r="L1311" s="50">
        <f>IF($T1311="","",IF($S1311="S",IF(INDEX(Firms!$K$5:$K$1004,$T1311)="","",INDEX(Firms!$K$5:$K$1004,$T1311)),IF(INDEX('AFA Rates'!$J$5:$J$1004,$T1311)="","",INDEX('AFA Rates'!$J$5:$J$1004,$T1311))))</f>
        <v/>
      </c>
      <c r="M1311" s="50">
        <f>IF($T1311="","",IF($S1311="S",IF(INDEX(Firms!$L$5:$L$1004,$T1311)="","",INDEX(Firms!$L$5:$L$1004,$T1311)),IF(INDEX('AFA Rates'!$K$5:$K$1004,$T1311)="","",INDEX('AFA Rates'!$K$5:$K$1004,$T1311))))</f>
        <v/>
      </c>
      <c r="N1311" s="50">
        <f>IF($T1311="","",IF($S1311="S",IF(INDEX(Firms!$M$5:$M$1004,$T1311)="","",INDEX(Firms!$M$5:$M$1004,$T1311)),IF(INDEX('AFA Rates'!$L$5:$L$1004,$T1311)="","",INDEX('AFA Rates'!$L$5:$L$1004,$T1311))))</f>
        <v/>
      </c>
      <c r="O1311" s="78">
        <f>IF(OR($T1311="",$U1311=""),"",IF(INDEX(Firms!$C$5:$C$1004,$U1311)="","",INDEX(Firms!$C$5:$C$1004,$U1311)))</f>
        <v/>
      </c>
      <c r="P1311" s="79">
        <f>IF(OR($T1311="",$U1311=""),"",IF(INDEX(Firms!$N$5:$N$1004,$U1311)="","",INDEX(Firms!$N$5:$N$1004,$U1311)))</f>
        <v/>
      </c>
      <c r="Q1311" s="78">
        <f>IF($T1311="","",IF($S1311="S",IF(INDEX(Firms!$T$5:$T$1004,$T1311)="","",INDEX(Firms!$T$5:$T$1004,$T1311)),IF(INDEX('AFA Rates'!$M$5:$M$1004,$T1311)="","",INDEX('AFA Rates'!$M$5:$M$1004,$T1311))))</f>
        <v/>
      </c>
      <c r="S1311">
        <f>IF(1307&lt;=$S$2,"S",IF(1307&lt;=$S$2+$T$2,"A",""))</f>
        <v/>
      </c>
      <c r="T1311">
        <f>IF(S1311="S",MATCH(1307,Firms!$W$5:$W$1004,0),IF(S1311="A",IFERROR(MATCH(1307-$S$2,'AFA Rates'!$R$5:$R$1004,0),""),""))</f>
        <v/>
      </c>
      <c r="U1311">
        <f>IF(S1311="S",T1311,IF(AND(S1311="A",T1311&lt;&gt;""),IFERROR(MATCH(INDEX('AFA Rates'!$A$5:$A$1004,T1311),Firms!$A$5:$A$1004,0),""),""))</f>
        <v/>
      </c>
    </row>
    <row r="1312">
      <c r="A1312" s="78">
        <f>IF($T1312="","",IF($S1312="S",IF(INDEX(Firms!$A$5:$A$1004,$T1312)="","",INDEX(Firms!$A$5:$A$1004,$T1312)),IF(INDEX('AFA Rates'!$A$5:$A$1004,$T1312)="","",INDEX('AFA Rates'!$A$5:$A$1004,$T1312))))</f>
        <v/>
      </c>
      <c r="B1312" s="79">
        <f>IF(OR($T1312="",$U1312=""),IF($T1312="","","Not on Firms tab"),INDEX(Firms!$B$5:$B$1004,$U1312)&amp;"")</f>
        <v/>
      </c>
      <c r="C1312" s="78">
        <f>IF($T1312="","",IF($S1312="S","Standard",INDEX('AFA Rates'!$B$5:$B$1004,$T1312)&amp;""))</f>
        <v/>
      </c>
      <c r="D1312" s="88">
        <f>IF($T1312="","",IF($S1312="S",IF(INDEX(Firms!$E$5:$E$1004,$T1312)="","",INDEX(Firms!$E$5:$E$1004,$T1312)),IF(INDEX('AFA Rates'!$C$5:$C$1004,$T1312)="","",INDEX('AFA Rates'!$C$5:$C$1004,$T1312))))</f>
        <v/>
      </c>
      <c r="E1312" s="88">
        <f>IF($T1312="","",IF($S1312="S",IF(""="","",""),IF(INDEX('AFA Rates'!$D$5:$D$1004,$T1312)="","",INDEX('AFA Rates'!$D$5:$D$1004,$T1312))))</f>
        <v/>
      </c>
      <c r="F1312" s="79">
        <f>IF($T1312="","",IF($S1312="S",IF(INDEX(Firms!$O$5:$O$1004,$T1312)="","",INDEX(Firms!$O$5:$O$1004,$T1312)),IF(INDEX('AFA Rates'!$O$5:$O$1004,$T1312)="","",INDEX('AFA Rates'!$O$5:$O$1004,$T1312))))</f>
        <v/>
      </c>
      <c r="G1312" s="50">
        <f>IF($T1312="","",IF($S1312="S",IF(INDEX(Firms!$F$5:$F$1004,$T1312)="","",INDEX(Firms!$F$5:$F$1004,$T1312)),IF(INDEX('AFA Rates'!$E$5:$E$1004,$T1312)="","",INDEX('AFA Rates'!$E$5:$E$1004,$T1312))))</f>
        <v/>
      </c>
      <c r="H1312" s="50">
        <f>IF($T1312="","",IF($S1312="S",IF(INDEX(Firms!$G$5:$G$1004,$T1312)="","",INDEX(Firms!$G$5:$G$1004,$T1312)),IF(INDEX('AFA Rates'!$F$5:$F$1004,$T1312)="","",INDEX('AFA Rates'!$F$5:$F$1004,$T1312))))</f>
        <v/>
      </c>
      <c r="I1312" s="50">
        <f>IF($T1312="","",IF($S1312="S",IF(INDEX(Firms!$H$5:$H$1004,$T1312)="","",INDEX(Firms!$H$5:$H$1004,$T1312)),IF(INDEX('AFA Rates'!$G$5:$G$1004,$T1312)="","",INDEX('AFA Rates'!$G$5:$G$1004,$T1312))))</f>
        <v/>
      </c>
      <c r="J1312" s="50">
        <f>IF($T1312="","",IF($S1312="S",IF(INDEX(Firms!$I$5:$I$1004,$T1312)="","",INDEX(Firms!$I$5:$I$1004,$T1312)),IF(INDEX('AFA Rates'!$H$5:$H$1004,$T1312)="","",INDEX('AFA Rates'!$H$5:$H$1004,$T1312))))</f>
        <v/>
      </c>
      <c r="K1312" s="50">
        <f>IF($T1312="","",IF($S1312="S",IF(INDEX(Firms!$J$5:$J$1004,$T1312)="","",INDEX(Firms!$J$5:$J$1004,$T1312)),IF(INDEX('AFA Rates'!$I$5:$I$1004,$T1312)="","",INDEX('AFA Rates'!$I$5:$I$1004,$T1312))))</f>
        <v/>
      </c>
      <c r="L1312" s="50">
        <f>IF($T1312="","",IF($S1312="S",IF(INDEX(Firms!$K$5:$K$1004,$T1312)="","",INDEX(Firms!$K$5:$K$1004,$T1312)),IF(INDEX('AFA Rates'!$J$5:$J$1004,$T1312)="","",INDEX('AFA Rates'!$J$5:$J$1004,$T1312))))</f>
        <v/>
      </c>
      <c r="M1312" s="50">
        <f>IF($T1312="","",IF($S1312="S",IF(INDEX(Firms!$L$5:$L$1004,$T1312)="","",INDEX(Firms!$L$5:$L$1004,$T1312)),IF(INDEX('AFA Rates'!$K$5:$K$1004,$T1312)="","",INDEX('AFA Rates'!$K$5:$K$1004,$T1312))))</f>
        <v/>
      </c>
      <c r="N1312" s="50">
        <f>IF($T1312="","",IF($S1312="S",IF(INDEX(Firms!$M$5:$M$1004,$T1312)="","",INDEX(Firms!$M$5:$M$1004,$T1312)),IF(INDEX('AFA Rates'!$L$5:$L$1004,$T1312)="","",INDEX('AFA Rates'!$L$5:$L$1004,$T1312))))</f>
        <v/>
      </c>
      <c r="O1312" s="78">
        <f>IF(OR($T1312="",$U1312=""),"",IF(INDEX(Firms!$C$5:$C$1004,$U1312)="","",INDEX(Firms!$C$5:$C$1004,$U1312)))</f>
        <v/>
      </c>
      <c r="P1312" s="79">
        <f>IF(OR($T1312="",$U1312=""),"",IF(INDEX(Firms!$N$5:$N$1004,$U1312)="","",INDEX(Firms!$N$5:$N$1004,$U1312)))</f>
        <v/>
      </c>
      <c r="Q1312" s="78">
        <f>IF($T1312="","",IF($S1312="S",IF(INDEX(Firms!$T$5:$T$1004,$T1312)="","",INDEX(Firms!$T$5:$T$1004,$T1312)),IF(INDEX('AFA Rates'!$M$5:$M$1004,$T1312)="","",INDEX('AFA Rates'!$M$5:$M$1004,$T1312))))</f>
        <v/>
      </c>
      <c r="S1312">
        <f>IF(1308&lt;=$S$2,"S",IF(1308&lt;=$S$2+$T$2,"A",""))</f>
        <v/>
      </c>
      <c r="T1312">
        <f>IF(S1312="S",MATCH(1308,Firms!$W$5:$W$1004,0),IF(S1312="A",IFERROR(MATCH(1308-$S$2,'AFA Rates'!$R$5:$R$1004,0),""),""))</f>
        <v/>
      </c>
      <c r="U1312">
        <f>IF(S1312="S",T1312,IF(AND(S1312="A",T1312&lt;&gt;""),IFERROR(MATCH(INDEX('AFA Rates'!$A$5:$A$1004,T1312),Firms!$A$5:$A$1004,0),""),""))</f>
        <v/>
      </c>
    </row>
    <row r="1313">
      <c r="A1313" s="78">
        <f>IF($T1313="","",IF($S1313="S",IF(INDEX(Firms!$A$5:$A$1004,$T1313)="","",INDEX(Firms!$A$5:$A$1004,$T1313)),IF(INDEX('AFA Rates'!$A$5:$A$1004,$T1313)="","",INDEX('AFA Rates'!$A$5:$A$1004,$T1313))))</f>
        <v/>
      </c>
      <c r="B1313" s="79">
        <f>IF(OR($T1313="",$U1313=""),IF($T1313="","","Not on Firms tab"),INDEX(Firms!$B$5:$B$1004,$U1313)&amp;"")</f>
        <v/>
      </c>
      <c r="C1313" s="78">
        <f>IF($T1313="","",IF($S1313="S","Standard",INDEX('AFA Rates'!$B$5:$B$1004,$T1313)&amp;""))</f>
        <v/>
      </c>
      <c r="D1313" s="88">
        <f>IF($T1313="","",IF($S1313="S",IF(INDEX(Firms!$E$5:$E$1004,$T1313)="","",INDEX(Firms!$E$5:$E$1004,$T1313)),IF(INDEX('AFA Rates'!$C$5:$C$1004,$T1313)="","",INDEX('AFA Rates'!$C$5:$C$1004,$T1313))))</f>
        <v/>
      </c>
      <c r="E1313" s="88">
        <f>IF($T1313="","",IF($S1313="S",IF(""="","",""),IF(INDEX('AFA Rates'!$D$5:$D$1004,$T1313)="","",INDEX('AFA Rates'!$D$5:$D$1004,$T1313))))</f>
        <v/>
      </c>
      <c r="F1313" s="79">
        <f>IF($T1313="","",IF($S1313="S",IF(INDEX(Firms!$O$5:$O$1004,$T1313)="","",INDEX(Firms!$O$5:$O$1004,$T1313)),IF(INDEX('AFA Rates'!$O$5:$O$1004,$T1313)="","",INDEX('AFA Rates'!$O$5:$O$1004,$T1313))))</f>
        <v/>
      </c>
      <c r="G1313" s="50">
        <f>IF($T1313="","",IF($S1313="S",IF(INDEX(Firms!$F$5:$F$1004,$T1313)="","",INDEX(Firms!$F$5:$F$1004,$T1313)),IF(INDEX('AFA Rates'!$E$5:$E$1004,$T1313)="","",INDEX('AFA Rates'!$E$5:$E$1004,$T1313))))</f>
        <v/>
      </c>
      <c r="H1313" s="50">
        <f>IF($T1313="","",IF($S1313="S",IF(INDEX(Firms!$G$5:$G$1004,$T1313)="","",INDEX(Firms!$G$5:$G$1004,$T1313)),IF(INDEX('AFA Rates'!$F$5:$F$1004,$T1313)="","",INDEX('AFA Rates'!$F$5:$F$1004,$T1313))))</f>
        <v/>
      </c>
      <c r="I1313" s="50">
        <f>IF($T1313="","",IF($S1313="S",IF(INDEX(Firms!$H$5:$H$1004,$T1313)="","",INDEX(Firms!$H$5:$H$1004,$T1313)),IF(INDEX('AFA Rates'!$G$5:$G$1004,$T1313)="","",INDEX('AFA Rates'!$G$5:$G$1004,$T1313))))</f>
        <v/>
      </c>
      <c r="J1313" s="50">
        <f>IF($T1313="","",IF($S1313="S",IF(INDEX(Firms!$I$5:$I$1004,$T1313)="","",INDEX(Firms!$I$5:$I$1004,$T1313)),IF(INDEX('AFA Rates'!$H$5:$H$1004,$T1313)="","",INDEX('AFA Rates'!$H$5:$H$1004,$T1313))))</f>
        <v/>
      </c>
      <c r="K1313" s="50">
        <f>IF($T1313="","",IF($S1313="S",IF(INDEX(Firms!$J$5:$J$1004,$T1313)="","",INDEX(Firms!$J$5:$J$1004,$T1313)),IF(INDEX('AFA Rates'!$I$5:$I$1004,$T1313)="","",INDEX('AFA Rates'!$I$5:$I$1004,$T1313))))</f>
        <v/>
      </c>
      <c r="L1313" s="50">
        <f>IF($T1313="","",IF($S1313="S",IF(INDEX(Firms!$K$5:$K$1004,$T1313)="","",INDEX(Firms!$K$5:$K$1004,$T1313)),IF(INDEX('AFA Rates'!$J$5:$J$1004,$T1313)="","",INDEX('AFA Rates'!$J$5:$J$1004,$T1313))))</f>
        <v/>
      </c>
      <c r="M1313" s="50">
        <f>IF($T1313="","",IF($S1313="S",IF(INDEX(Firms!$L$5:$L$1004,$T1313)="","",INDEX(Firms!$L$5:$L$1004,$T1313)),IF(INDEX('AFA Rates'!$K$5:$K$1004,$T1313)="","",INDEX('AFA Rates'!$K$5:$K$1004,$T1313))))</f>
        <v/>
      </c>
      <c r="N1313" s="50">
        <f>IF($T1313="","",IF($S1313="S",IF(INDEX(Firms!$M$5:$M$1004,$T1313)="","",INDEX(Firms!$M$5:$M$1004,$T1313)),IF(INDEX('AFA Rates'!$L$5:$L$1004,$T1313)="","",INDEX('AFA Rates'!$L$5:$L$1004,$T1313))))</f>
        <v/>
      </c>
      <c r="O1313" s="78">
        <f>IF(OR($T1313="",$U1313=""),"",IF(INDEX(Firms!$C$5:$C$1004,$U1313)="","",INDEX(Firms!$C$5:$C$1004,$U1313)))</f>
        <v/>
      </c>
      <c r="P1313" s="79">
        <f>IF(OR($T1313="",$U1313=""),"",IF(INDEX(Firms!$N$5:$N$1004,$U1313)="","",INDEX(Firms!$N$5:$N$1004,$U1313)))</f>
        <v/>
      </c>
      <c r="Q1313" s="78">
        <f>IF($T1313="","",IF($S1313="S",IF(INDEX(Firms!$T$5:$T$1004,$T1313)="","",INDEX(Firms!$T$5:$T$1004,$T1313)),IF(INDEX('AFA Rates'!$M$5:$M$1004,$T1313)="","",INDEX('AFA Rates'!$M$5:$M$1004,$T1313))))</f>
        <v/>
      </c>
      <c r="S1313">
        <f>IF(1309&lt;=$S$2,"S",IF(1309&lt;=$S$2+$T$2,"A",""))</f>
        <v/>
      </c>
      <c r="T1313">
        <f>IF(S1313="S",MATCH(1309,Firms!$W$5:$W$1004,0),IF(S1313="A",IFERROR(MATCH(1309-$S$2,'AFA Rates'!$R$5:$R$1004,0),""),""))</f>
        <v/>
      </c>
      <c r="U1313">
        <f>IF(S1313="S",T1313,IF(AND(S1313="A",T1313&lt;&gt;""),IFERROR(MATCH(INDEX('AFA Rates'!$A$5:$A$1004,T1313),Firms!$A$5:$A$1004,0),""),""))</f>
        <v/>
      </c>
    </row>
    <row r="1314">
      <c r="A1314" s="78">
        <f>IF($T1314="","",IF($S1314="S",IF(INDEX(Firms!$A$5:$A$1004,$T1314)="","",INDEX(Firms!$A$5:$A$1004,$T1314)),IF(INDEX('AFA Rates'!$A$5:$A$1004,$T1314)="","",INDEX('AFA Rates'!$A$5:$A$1004,$T1314))))</f>
        <v/>
      </c>
      <c r="B1314" s="79">
        <f>IF(OR($T1314="",$U1314=""),IF($T1314="","","Not on Firms tab"),INDEX(Firms!$B$5:$B$1004,$U1314)&amp;"")</f>
        <v/>
      </c>
      <c r="C1314" s="78">
        <f>IF($T1314="","",IF($S1314="S","Standard",INDEX('AFA Rates'!$B$5:$B$1004,$T1314)&amp;""))</f>
        <v/>
      </c>
      <c r="D1314" s="88">
        <f>IF($T1314="","",IF($S1314="S",IF(INDEX(Firms!$E$5:$E$1004,$T1314)="","",INDEX(Firms!$E$5:$E$1004,$T1314)),IF(INDEX('AFA Rates'!$C$5:$C$1004,$T1314)="","",INDEX('AFA Rates'!$C$5:$C$1004,$T1314))))</f>
        <v/>
      </c>
      <c r="E1314" s="88">
        <f>IF($T1314="","",IF($S1314="S",IF(""="","",""),IF(INDEX('AFA Rates'!$D$5:$D$1004,$T1314)="","",INDEX('AFA Rates'!$D$5:$D$1004,$T1314))))</f>
        <v/>
      </c>
      <c r="F1314" s="79">
        <f>IF($T1314="","",IF($S1314="S",IF(INDEX(Firms!$O$5:$O$1004,$T1314)="","",INDEX(Firms!$O$5:$O$1004,$T1314)),IF(INDEX('AFA Rates'!$O$5:$O$1004,$T1314)="","",INDEX('AFA Rates'!$O$5:$O$1004,$T1314))))</f>
        <v/>
      </c>
      <c r="G1314" s="50">
        <f>IF($T1314="","",IF($S1314="S",IF(INDEX(Firms!$F$5:$F$1004,$T1314)="","",INDEX(Firms!$F$5:$F$1004,$T1314)),IF(INDEX('AFA Rates'!$E$5:$E$1004,$T1314)="","",INDEX('AFA Rates'!$E$5:$E$1004,$T1314))))</f>
        <v/>
      </c>
      <c r="H1314" s="50">
        <f>IF($T1314="","",IF($S1314="S",IF(INDEX(Firms!$G$5:$G$1004,$T1314)="","",INDEX(Firms!$G$5:$G$1004,$T1314)),IF(INDEX('AFA Rates'!$F$5:$F$1004,$T1314)="","",INDEX('AFA Rates'!$F$5:$F$1004,$T1314))))</f>
        <v/>
      </c>
      <c r="I1314" s="50">
        <f>IF($T1314="","",IF($S1314="S",IF(INDEX(Firms!$H$5:$H$1004,$T1314)="","",INDEX(Firms!$H$5:$H$1004,$T1314)),IF(INDEX('AFA Rates'!$G$5:$G$1004,$T1314)="","",INDEX('AFA Rates'!$G$5:$G$1004,$T1314))))</f>
        <v/>
      </c>
      <c r="J1314" s="50">
        <f>IF($T1314="","",IF($S1314="S",IF(INDEX(Firms!$I$5:$I$1004,$T1314)="","",INDEX(Firms!$I$5:$I$1004,$T1314)),IF(INDEX('AFA Rates'!$H$5:$H$1004,$T1314)="","",INDEX('AFA Rates'!$H$5:$H$1004,$T1314))))</f>
        <v/>
      </c>
      <c r="K1314" s="50">
        <f>IF($T1314="","",IF($S1314="S",IF(INDEX(Firms!$J$5:$J$1004,$T1314)="","",INDEX(Firms!$J$5:$J$1004,$T1314)),IF(INDEX('AFA Rates'!$I$5:$I$1004,$T1314)="","",INDEX('AFA Rates'!$I$5:$I$1004,$T1314))))</f>
        <v/>
      </c>
      <c r="L1314" s="50">
        <f>IF($T1314="","",IF($S1314="S",IF(INDEX(Firms!$K$5:$K$1004,$T1314)="","",INDEX(Firms!$K$5:$K$1004,$T1314)),IF(INDEX('AFA Rates'!$J$5:$J$1004,$T1314)="","",INDEX('AFA Rates'!$J$5:$J$1004,$T1314))))</f>
        <v/>
      </c>
      <c r="M1314" s="50">
        <f>IF($T1314="","",IF($S1314="S",IF(INDEX(Firms!$L$5:$L$1004,$T1314)="","",INDEX(Firms!$L$5:$L$1004,$T1314)),IF(INDEX('AFA Rates'!$K$5:$K$1004,$T1314)="","",INDEX('AFA Rates'!$K$5:$K$1004,$T1314))))</f>
        <v/>
      </c>
      <c r="N1314" s="50">
        <f>IF($T1314="","",IF($S1314="S",IF(INDEX(Firms!$M$5:$M$1004,$T1314)="","",INDEX(Firms!$M$5:$M$1004,$T1314)),IF(INDEX('AFA Rates'!$L$5:$L$1004,$T1314)="","",INDEX('AFA Rates'!$L$5:$L$1004,$T1314))))</f>
        <v/>
      </c>
      <c r="O1314" s="78">
        <f>IF(OR($T1314="",$U1314=""),"",IF(INDEX(Firms!$C$5:$C$1004,$U1314)="","",INDEX(Firms!$C$5:$C$1004,$U1314)))</f>
        <v/>
      </c>
      <c r="P1314" s="79">
        <f>IF(OR($T1314="",$U1314=""),"",IF(INDEX(Firms!$N$5:$N$1004,$U1314)="","",INDEX(Firms!$N$5:$N$1004,$U1314)))</f>
        <v/>
      </c>
      <c r="Q1314" s="78">
        <f>IF($T1314="","",IF($S1314="S",IF(INDEX(Firms!$T$5:$T$1004,$T1314)="","",INDEX(Firms!$T$5:$T$1004,$T1314)),IF(INDEX('AFA Rates'!$M$5:$M$1004,$T1314)="","",INDEX('AFA Rates'!$M$5:$M$1004,$T1314))))</f>
        <v/>
      </c>
      <c r="S1314">
        <f>IF(1310&lt;=$S$2,"S",IF(1310&lt;=$S$2+$T$2,"A",""))</f>
        <v/>
      </c>
      <c r="T1314">
        <f>IF(S1314="S",MATCH(1310,Firms!$W$5:$W$1004,0),IF(S1314="A",IFERROR(MATCH(1310-$S$2,'AFA Rates'!$R$5:$R$1004,0),""),""))</f>
        <v/>
      </c>
      <c r="U1314">
        <f>IF(S1314="S",T1314,IF(AND(S1314="A",T1314&lt;&gt;""),IFERROR(MATCH(INDEX('AFA Rates'!$A$5:$A$1004,T1314),Firms!$A$5:$A$1004,0),""),""))</f>
        <v/>
      </c>
    </row>
    <row r="1315">
      <c r="A1315" s="78">
        <f>IF($T1315="","",IF($S1315="S",IF(INDEX(Firms!$A$5:$A$1004,$T1315)="","",INDEX(Firms!$A$5:$A$1004,$T1315)),IF(INDEX('AFA Rates'!$A$5:$A$1004,$T1315)="","",INDEX('AFA Rates'!$A$5:$A$1004,$T1315))))</f>
        <v/>
      </c>
      <c r="B1315" s="79">
        <f>IF(OR($T1315="",$U1315=""),IF($T1315="","","Not on Firms tab"),INDEX(Firms!$B$5:$B$1004,$U1315)&amp;"")</f>
        <v/>
      </c>
      <c r="C1315" s="78">
        <f>IF($T1315="","",IF($S1315="S","Standard",INDEX('AFA Rates'!$B$5:$B$1004,$T1315)&amp;""))</f>
        <v/>
      </c>
      <c r="D1315" s="88">
        <f>IF($T1315="","",IF($S1315="S",IF(INDEX(Firms!$E$5:$E$1004,$T1315)="","",INDEX(Firms!$E$5:$E$1004,$T1315)),IF(INDEX('AFA Rates'!$C$5:$C$1004,$T1315)="","",INDEX('AFA Rates'!$C$5:$C$1004,$T1315))))</f>
        <v/>
      </c>
      <c r="E1315" s="88">
        <f>IF($T1315="","",IF($S1315="S",IF(""="","",""),IF(INDEX('AFA Rates'!$D$5:$D$1004,$T1315)="","",INDEX('AFA Rates'!$D$5:$D$1004,$T1315))))</f>
        <v/>
      </c>
      <c r="F1315" s="79">
        <f>IF($T1315="","",IF($S1315="S",IF(INDEX(Firms!$O$5:$O$1004,$T1315)="","",INDEX(Firms!$O$5:$O$1004,$T1315)),IF(INDEX('AFA Rates'!$O$5:$O$1004,$T1315)="","",INDEX('AFA Rates'!$O$5:$O$1004,$T1315))))</f>
        <v/>
      </c>
      <c r="G1315" s="50">
        <f>IF($T1315="","",IF($S1315="S",IF(INDEX(Firms!$F$5:$F$1004,$T1315)="","",INDEX(Firms!$F$5:$F$1004,$T1315)),IF(INDEX('AFA Rates'!$E$5:$E$1004,$T1315)="","",INDEX('AFA Rates'!$E$5:$E$1004,$T1315))))</f>
        <v/>
      </c>
      <c r="H1315" s="50">
        <f>IF($T1315="","",IF($S1315="S",IF(INDEX(Firms!$G$5:$G$1004,$T1315)="","",INDEX(Firms!$G$5:$G$1004,$T1315)),IF(INDEX('AFA Rates'!$F$5:$F$1004,$T1315)="","",INDEX('AFA Rates'!$F$5:$F$1004,$T1315))))</f>
        <v/>
      </c>
      <c r="I1315" s="50">
        <f>IF($T1315="","",IF($S1315="S",IF(INDEX(Firms!$H$5:$H$1004,$T1315)="","",INDEX(Firms!$H$5:$H$1004,$T1315)),IF(INDEX('AFA Rates'!$G$5:$G$1004,$T1315)="","",INDEX('AFA Rates'!$G$5:$G$1004,$T1315))))</f>
        <v/>
      </c>
      <c r="J1315" s="50">
        <f>IF($T1315="","",IF($S1315="S",IF(INDEX(Firms!$I$5:$I$1004,$T1315)="","",INDEX(Firms!$I$5:$I$1004,$T1315)),IF(INDEX('AFA Rates'!$H$5:$H$1004,$T1315)="","",INDEX('AFA Rates'!$H$5:$H$1004,$T1315))))</f>
        <v/>
      </c>
      <c r="K1315" s="50">
        <f>IF($T1315="","",IF($S1315="S",IF(INDEX(Firms!$J$5:$J$1004,$T1315)="","",INDEX(Firms!$J$5:$J$1004,$T1315)),IF(INDEX('AFA Rates'!$I$5:$I$1004,$T1315)="","",INDEX('AFA Rates'!$I$5:$I$1004,$T1315))))</f>
        <v/>
      </c>
      <c r="L1315" s="50">
        <f>IF($T1315="","",IF($S1315="S",IF(INDEX(Firms!$K$5:$K$1004,$T1315)="","",INDEX(Firms!$K$5:$K$1004,$T1315)),IF(INDEX('AFA Rates'!$J$5:$J$1004,$T1315)="","",INDEX('AFA Rates'!$J$5:$J$1004,$T1315))))</f>
        <v/>
      </c>
      <c r="M1315" s="50">
        <f>IF($T1315="","",IF($S1315="S",IF(INDEX(Firms!$L$5:$L$1004,$T1315)="","",INDEX(Firms!$L$5:$L$1004,$T1315)),IF(INDEX('AFA Rates'!$K$5:$K$1004,$T1315)="","",INDEX('AFA Rates'!$K$5:$K$1004,$T1315))))</f>
        <v/>
      </c>
      <c r="N1315" s="50">
        <f>IF($T1315="","",IF($S1315="S",IF(INDEX(Firms!$M$5:$M$1004,$T1315)="","",INDEX(Firms!$M$5:$M$1004,$T1315)),IF(INDEX('AFA Rates'!$L$5:$L$1004,$T1315)="","",INDEX('AFA Rates'!$L$5:$L$1004,$T1315))))</f>
        <v/>
      </c>
      <c r="O1315" s="78">
        <f>IF(OR($T1315="",$U1315=""),"",IF(INDEX(Firms!$C$5:$C$1004,$U1315)="","",INDEX(Firms!$C$5:$C$1004,$U1315)))</f>
        <v/>
      </c>
      <c r="P1315" s="79">
        <f>IF(OR($T1315="",$U1315=""),"",IF(INDEX(Firms!$N$5:$N$1004,$U1315)="","",INDEX(Firms!$N$5:$N$1004,$U1315)))</f>
        <v/>
      </c>
      <c r="Q1315" s="78">
        <f>IF($T1315="","",IF($S1315="S",IF(INDEX(Firms!$T$5:$T$1004,$T1315)="","",INDEX(Firms!$T$5:$T$1004,$T1315)),IF(INDEX('AFA Rates'!$M$5:$M$1004,$T1315)="","",INDEX('AFA Rates'!$M$5:$M$1004,$T1315))))</f>
        <v/>
      </c>
      <c r="S1315">
        <f>IF(1311&lt;=$S$2,"S",IF(1311&lt;=$S$2+$T$2,"A",""))</f>
        <v/>
      </c>
      <c r="T1315">
        <f>IF(S1315="S",MATCH(1311,Firms!$W$5:$W$1004,0),IF(S1315="A",IFERROR(MATCH(1311-$S$2,'AFA Rates'!$R$5:$R$1004,0),""),""))</f>
        <v/>
      </c>
      <c r="U1315">
        <f>IF(S1315="S",T1315,IF(AND(S1315="A",T1315&lt;&gt;""),IFERROR(MATCH(INDEX('AFA Rates'!$A$5:$A$1004,T1315),Firms!$A$5:$A$1004,0),""),""))</f>
        <v/>
      </c>
    </row>
    <row r="1316">
      <c r="A1316" s="78">
        <f>IF($T1316="","",IF($S1316="S",IF(INDEX(Firms!$A$5:$A$1004,$T1316)="","",INDEX(Firms!$A$5:$A$1004,$T1316)),IF(INDEX('AFA Rates'!$A$5:$A$1004,$T1316)="","",INDEX('AFA Rates'!$A$5:$A$1004,$T1316))))</f>
        <v/>
      </c>
      <c r="B1316" s="79">
        <f>IF(OR($T1316="",$U1316=""),IF($T1316="","","Not on Firms tab"),INDEX(Firms!$B$5:$B$1004,$U1316)&amp;"")</f>
        <v/>
      </c>
      <c r="C1316" s="78">
        <f>IF($T1316="","",IF($S1316="S","Standard",INDEX('AFA Rates'!$B$5:$B$1004,$T1316)&amp;""))</f>
        <v/>
      </c>
      <c r="D1316" s="88">
        <f>IF($T1316="","",IF($S1316="S",IF(INDEX(Firms!$E$5:$E$1004,$T1316)="","",INDEX(Firms!$E$5:$E$1004,$T1316)),IF(INDEX('AFA Rates'!$C$5:$C$1004,$T1316)="","",INDEX('AFA Rates'!$C$5:$C$1004,$T1316))))</f>
        <v/>
      </c>
      <c r="E1316" s="88">
        <f>IF($T1316="","",IF($S1316="S",IF(""="","",""),IF(INDEX('AFA Rates'!$D$5:$D$1004,$T1316)="","",INDEX('AFA Rates'!$D$5:$D$1004,$T1316))))</f>
        <v/>
      </c>
      <c r="F1316" s="79">
        <f>IF($T1316="","",IF($S1316="S",IF(INDEX(Firms!$O$5:$O$1004,$T1316)="","",INDEX(Firms!$O$5:$O$1004,$T1316)),IF(INDEX('AFA Rates'!$O$5:$O$1004,$T1316)="","",INDEX('AFA Rates'!$O$5:$O$1004,$T1316))))</f>
        <v/>
      </c>
      <c r="G1316" s="50">
        <f>IF($T1316="","",IF($S1316="S",IF(INDEX(Firms!$F$5:$F$1004,$T1316)="","",INDEX(Firms!$F$5:$F$1004,$T1316)),IF(INDEX('AFA Rates'!$E$5:$E$1004,$T1316)="","",INDEX('AFA Rates'!$E$5:$E$1004,$T1316))))</f>
        <v/>
      </c>
      <c r="H1316" s="50">
        <f>IF($T1316="","",IF($S1316="S",IF(INDEX(Firms!$G$5:$G$1004,$T1316)="","",INDEX(Firms!$G$5:$G$1004,$T1316)),IF(INDEX('AFA Rates'!$F$5:$F$1004,$T1316)="","",INDEX('AFA Rates'!$F$5:$F$1004,$T1316))))</f>
        <v/>
      </c>
      <c r="I1316" s="50">
        <f>IF($T1316="","",IF($S1316="S",IF(INDEX(Firms!$H$5:$H$1004,$T1316)="","",INDEX(Firms!$H$5:$H$1004,$T1316)),IF(INDEX('AFA Rates'!$G$5:$G$1004,$T1316)="","",INDEX('AFA Rates'!$G$5:$G$1004,$T1316))))</f>
        <v/>
      </c>
      <c r="J1316" s="50">
        <f>IF($T1316="","",IF($S1316="S",IF(INDEX(Firms!$I$5:$I$1004,$T1316)="","",INDEX(Firms!$I$5:$I$1004,$T1316)),IF(INDEX('AFA Rates'!$H$5:$H$1004,$T1316)="","",INDEX('AFA Rates'!$H$5:$H$1004,$T1316))))</f>
        <v/>
      </c>
      <c r="K1316" s="50">
        <f>IF($T1316="","",IF($S1316="S",IF(INDEX(Firms!$J$5:$J$1004,$T1316)="","",INDEX(Firms!$J$5:$J$1004,$T1316)),IF(INDEX('AFA Rates'!$I$5:$I$1004,$T1316)="","",INDEX('AFA Rates'!$I$5:$I$1004,$T1316))))</f>
        <v/>
      </c>
      <c r="L1316" s="50">
        <f>IF($T1316="","",IF($S1316="S",IF(INDEX(Firms!$K$5:$K$1004,$T1316)="","",INDEX(Firms!$K$5:$K$1004,$T1316)),IF(INDEX('AFA Rates'!$J$5:$J$1004,$T1316)="","",INDEX('AFA Rates'!$J$5:$J$1004,$T1316))))</f>
        <v/>
      </c>
      <c r="M1316" s="50">
        <f>IF($T1316="","",IF($S1316="S",IF(INDEX(Firms!$L$5:$L$1004,$T1316)="","",INDEX(Firms!$L$5:$L$1004,$T1316)),IF(INDEX('AFA Rates'!$K$5:$K$1004,$T1316)="","",INDEX('AFA Rates'!$K$5:$K$1004,$T1316))))</f>
        <v/>
      </c>
      <c r="N1316" s="50">
        <f>IF($T1316="","",IF($S1316="S",IF(INDEX(Firms!$M$5:$M$1004,$T1316)="","",INDEX(Firms!$M$5:$M$1004,$T1316)),IF(INDEX('AFA Rates'!$L$5:$L$1004,$T1316)="","",INDEX('AFA Rates'!$L$5:$L$1004,$T1316))))</f>
        <v/>
      </c>
      <c r="O1316" s="78">
        <f>IF(OR($T1316="",$U1316=""),"",IF(INDEX(Firms!$C$5:$C$1004,$U1316)="","",INDEX(Firms!$C$5:$C$1004,$U1316)))</f>
        <v/>
      </c>
      <c r="P1316" s="79">
        <f>IF(OR($T1316="",$U1316=""),"",IF(INDEX(Firms!$N$5:$N$1004,$U1316)="","",INDEX(Firms!$N$5:$N$1004,$U1316)))</f>
        <v/>
      </c>
      <c r="Q1316" s="78">
        <f>IF($T1316="","",IF($S1316="S",IF(INDEX(Firms!$T$5:$T$1004,$T1316)="","",INDEX(Firms!$T$5:$T$1004,$T1316)),IF(INDEX('AFA Rates'!$M$5:$M$1004,$T1316)="","",INDEX('AFA Rates'!$M$5:$M$1004,$T1316))))</f>
        <v/>
      </c>
      <c r="S1316">
        <f>IF(1312&lt;=$S$2,"S",IF(1312&lt;=$S$2+$T$2,"A",""))</f>
        <v/>
      </c>
      <c r="T1316">
        <f>IF(S1316="S",MATCH(1312,Firms!$W$5:$W$1004,0),IF(S1316="A",IFERROR(MATCH(1312-$S$2,'AFA Rates'!$R$5:$R$1004,0),""),""))</f>
        <v/>
      </c>
      <c r="U1316">
        <f>IF(S1316="S",T1316,IF(AND(S1316="A",T1316&lt;&gt;""),IFERROR(MATCH(INDEX('AFA Rates'!$A$5:$A$1004,T1316),Firms!$A$5:$A$1004,0),""),""))</f>
        <v/>
      </c>
    </row>
    <row r="1317">
      <c r="A1317" s="78">
        <f>IF($T1317="","",IF($S1317="S",IF(INDEX(Firms!$A$5:$A$1004,$T1317)="","",INDEX(Firms!$A$5:$A$1004,$T1317)),IF(INDEX('AFA Rates'!$A$5:$A$1004,$T1317)="","",INDEX('AFA Rates'!$A$5:$A$1004,$T1317))))</f>
        <v/>
      </c>
      <c r="B1317" s="79">
        <f>IF(OR($T1317="",$U1317=""),IF($T1317="","","Not on Firms tab"),INDEX(Firms!$B$5:$B$1004,$U1317)&amp;"")</f>
        <v/>
      </c>
      <c r="C1317" s="78">
        <f>IF($T1317="","",IF($S1317="S","Standard",INDEX('AFA Rates'!$B$5:$B$1004,$T1317)&amp;""))</f>
        <v/>
      </c>
      <c r="D1317" s="88">
        <f>IF($T1317="","",IF($S1317="S",IF(INDEX(Firms!$E$5:$E$1004,$T1317)="","",INDEX(Firms!$E$5:$E$1004,$T1317)),IF(INDEX('AFA Rates'!$C$5:$C$1004,$T1317)="","",INDEX('AFA Rates'!$C$5:$C$1004,$T1317))))</f>
        <v/>
      </c>
      <c r="E1317" s="88">
        <f>IF($T1317="","",IF($S1317="S",IF(""="","",""),IF(INDEX('AFA Rates'!$D$5:$D$1004,$T1317)="","",INDEX('AFA Rates'!$D$5:$D$1004,$T1317))))</f>
        <v/>
      </c>
      <c r="F1317" s="79">
        <f>IF($T1317="","",IF($S1317="S",IF(INDEX(Firms!$O$5:$O$1004,$T1317)="","",INDEX(Firms!$O$5:$O$1004,$T1317)),IF(INDEX('AFA Rates'!$O$5:$O$1004,$T1317)="","",INDEX('AFA Rates'!$O$5:$O$1004,$T1317))))</f>
        <v/>
      </c>
      <c r="G1317" s="50">
        <f>IF($T1317="","",IF($S1317="S",IF(INDEX(Firms!$F$5:$F$1004,$T1317)="","",INDEX(Firms!$F$5:$F$1004,$T1317)),IF(INDEX('AFA Rates'!$E$5:$E$1004,$T1317)="","",INDEX('AFA Rates'!$E$5:$E$1004,$T1317))))</f>
        <v/>
      </c>
      <c r="H1317" s="50">
        <f>IF($T1317="","",IF($S1317="S",IF(INDEX(Firms!$G$5:$G$1004,$T1317)="","",INDEX(Firms!$G$5:$G$1004,$T1317)),IF(INDEX('AFA Rates'!$F$5:$F$1004,$T1317)="","",INDEX('AFA Rates'!$F$5:$F$1004,$T1317))))</f>
        <v/>
      </c>
      <c r="I1317" s="50">
        <f>IF($T1317="","",IF($S1317="S",IF(INDEX(Firms!$H$5:$H$1004,$T1317)="","",INDEX(Firms!$H$5:$H$1004,$T1317)),IF(INDEX('AFA Rates'!$G$5:$G$1004,$T1317)="","",INDEX('AFA Rates'!$G$5:$G$1004,$T1317))))</f>
        <v/>
      </c>
      <c r="J1317" s="50">
        <f>IF($T1317="","",IF($S1317="S",IF(INDEX(Firms!$I$5:$I$1004,$T1317)="","",INDEX(Firms!$I$5:$I$1004,$T1317)),IF(INDEX('AFA Rates'!$H$5:$H$1004,$T1317)="","",INDEX('AFA Rates'!$H$5:$H$1004,$T1317))))</f>
        <v/>
      </c>
      <c r="K1317" s="50">
        <f>IF($T1317="","",IF($S1317="S",IF(INDEX(Firms!$J$5:$J$1004,$T1317)="","",INDEX(Firms!$J$5:$J$1004,$T1317)),IF(INDEX('AFA Rates'!$I$5:$I$1004,$T1317)="","",INDEX('AFA Rates'!$I$5:$I$1004,$T1317))))</f>
        <v/>
      </c>
      <c r="L1317" s="50">
        <f>IF($T1317="","",IF($S1317="S",IF(INDEX(Firms!$K$5:$K$1004,$T1317)="","",INDEX(Firms!$K$5:$K$1004,$T1317)),IF(INDEX('AFA Rates'!$J$5:$J$1004,$T1317)="","",INDEX('AFA Rates'!$J$5:$J$1004,$T1317))))</f>
        <v/>
      </c>
      <c r="M1317" s="50">
        <f>IF($T1317="","",IF($S1317="S",IF(INDEX(Firms!$L$5:$L$1004,$T1317)="","",INDEX(Firms!$L$5:$L$1004,$T1317)),IF(INDEX('AFA Rates'!$K$5:$K$1004,$T1317)="","",INDEX('AFA Rates'!$K$5:$K$1004,$T1317))))</f>
        <v/>
      </c>
      <c r="N1317" s="50">
        <f>IF($T1317="","",IF($S1317="S",IF(INDEX(Firms!$M$5:$M$1004,$T1317)="","",INDEX(Firms!$M$5:$M$1004,$T1317)),IF(INDEX('AFA Rates'!$L$5:$L$1004,$T1317)="","",INDEX('AFA Rates'!$L$5:$L$1004,$T1317))))</f>
        <v/>
      </c>
      <c r="O1317" s="78">
        <f>IF(OR($T1317="",$U1317=""),"",IF(INDEX(Firms!$C$5:$C$1004,$U1317)="","",INDEX(Firms!$C$5:$C$1004,$U1317)))</f>
        <v/>
      </c>
      <c r="P1317" s="79">
        <f>IF(OR($T1317="",$U1317=""),"",IF(INDEX(Firms!$N$5:$N$1004,$U1317)="","",INDEX(Firms!$N$5:$N$1004,$U1317)))</f>
        <v/>
      </c>
      <c r="Q1317" s="78">
        <f>IF($T1317="","",IF($S1317="S",IF(INDEX(Firms!$T$5:$T$1004,$T1317)="","",INDEX(Firms!$T$5:$T$1004,$T1317)),IF(INDEX('AFA Rates'!$M$5:$M$1004,$T1317)="","",INDEX('AFA Rates'!$M$5:$M$1004,$T1317))))</f>
        <v/>
      </c>
      <c r="S1317">
        <f>IF(1313&lt;=$S$2,"S",IF(1313&lt;=$S$2+$T$2,"A",""))</f>
        <v/>
      </c>
      <c r="T1317">
        <f>IF(S1317="S",MATCH(1313,Firms!$W$5:$W$1004,0),IF(S1317="A",IFERROR(MATCH(1313-$S$2,'AFA Rates'!$R$5:$R$1004,0),""),""))</f>
        <v/>
      </c>
      <c r="U1317">
        <f>IF(S1317="S",T1317,IF(AND(S1317="A",T1317&lt;&gt;""),IFERROR(MATCH(INDEX('AFA Rates'!$A$5:$A$1004,T1317),Firms!$A$5:$A$1004,0),""),""))</f>
        <v/>
      </c>
    </row>
    <row r="1318">
      <c r="A1318" s="78">
        <f>IF($T1318="","",IF($S1318="S",IF(INDEX(Firms!$A$5:$A$1004,$T1318)="","",INDEX(Firms!$A$5:$A$1004,$T1318)),IF(INDEX('AFA Rates'!$A$5:$A$1004,$T1318)="","",INDEX('AFA Rates'!$A$5:$A$1004,$T1318))))</f>
        <v/>
      </c>
      <c r="B1318" s="79">
        <f>IF(OR($T1318="",$U1318=""),IF($T1318="","","Not on Firms tab"),INDEX(Firms!$B$5:$B$1004,$U1318)&amp;"")</f>
        <v/>
      </c>
      <c r="C1318" s="78">
        <f>IF($T1318="","",IF($S1318="S","Standard",INDEX('AFA Rates'!$B$5:$B$1004,$T1318)&amp;""))</f>
        <v/>
      </c>
      <c r="D1318" s="88">
        <f>IF($T1318="","",IF($S1318="S",IF(INDEX(Firms!$E$5:$E$1004,$T1318)="","",INDEX(Firms!$E$5:$E$1004,$T1318)),IF(INDEX('AFA Rates'!$C$5:$C$1004,$T1318)="","",INDEX('AFA Rates'!$C$5:$C$1004,$T1318))))</f>
        <v/>
      </c>
      <c r="E1318" s="88">
        <f>IF($T1318="","",IF($S1318="S",IF(""="","",""),IF(INDEX('AFA Rates'!$D$5:$D$1004,$T1318)="","",INDEX('AFA Rates'!$D$5:$D$1004,$T1318))))</f>
        <v/>
      </c>
      <c r="F1318" s="79">
        <f>IF($T1318="","",IF($S1318="S",IF(INDEX(Firms!$O$5:$O$1004,$T1318)="","",INDEX(Firms!$O$5:$O$1004,$T1318)),IF(INDEX('AFA Rates'!$O$5:$O$1004,$T1318)="","",INDEX('AFA Rates'!$O$5:$O$1004,$T1318))))</f>
        <v/>
      </c>
      <c r="G1318" s="50">
        <f>IF($T1318="","",IF($S1318="S",IF(INDEX(Firms!$F$5:$F$1004,$T1318)="","",INDEX(Firms!$F$5:$F$1004,$T1318)),IF(INDEX('AFA Rates'!$E$5:$E$1004,$T1318)="","",INDEX('AFA Rates'!$E$5:$E$1004,$T1318))))</f>
        <v/>
      </c>
      <c r="H1318" s="50">
        <f>IF($T1318="","",IF($S1318="S",IF(INDEX(Firms!$G$5:$G$1004,$T1318)="","",INDEX(Firms!$G$5:$G$1004,$T1318)),IF(INDEX('AFA Rates'!$F$5:$F$1004,$T1318)="","",INDEX('AFA Rates'!$F$5:$F$1004,$T1318))))</f>
        <v/>
      </c>
      <c r="I1318" s="50">
        <f>IF($T1318="","",IF($S1318="S",IF(INDEX(Firms!$H$5:$H$1004,$T1318)="","",INDEX(Firms!$H$5:$H$1004,$T1318)),IF(INDEX('AFA Rates'!$G$5:$G$1004,$T1318)="","",INDEX('AFA Rates'!$G$5:$G$1004,$T1318))))</f>
        <v/>
      </c>
      <c r="J1318" s="50">
        <f>IF($T1318="","",IF($S1318="S",IF(INDEX(Firms!$I$5:$I$1004,$T1318)="","",INDEX(Firms!$I$5:$I$1004,$T1318)),IF(INDEX('AFA Rates'!$H$5:$H$1004,$T1318)="","",INDEX('AFA Rates'!$H$5:$H$1004,$T1318))))</f>
        <v/>
      </c>
      <c r="K1318" s="50">
        <f>IF($T1318="","",IF($S1318="S",IF(INDEX(Firms!$J$5:$J$1004,$T1318)="","",INDEX(Firms!$J$5:$J$1004,$T1318)),IF(INDEX('AFA Rates'!$I$5:$I$1004,$T1318)="","",INDEX('AFA Rates'!$I$5:$I$1004,$T1318))))</f>
        <v/>
      </c>
      <c r="L1318" s="50">
        <f>IF($T1318="","",IF($S1318="S",IF(INDEX(Firms!$K$5:$K$1004,$T1318)="","",INDEX(Firms!$K$5:$K$1004,$T1318)),IF(INDEX('AFA Rates'!$J$5:$J$1004,$T1318)="","",INDEX('AFA Rates'!$J$5:$J$1004,$T1318))))</f>
        <v/>
      </c>
      <c r="M1318" s="50">
        <f>IF($T1318="","",IF($S1318="S",IF(INDEX(Firms!$L$5:$L$1004,$T1318)="","",INDEX(Firms!$L$5:$L$1004,$T1318)),IF(INDEX('AFA Rates'!$K$5:$K$1004,$T1318)="","",INDEX('AFA Rates'!$K$5:$K$1004,$T1318))))</f>
        <v/>
      </c>
      <c r="N1318" s="50">
        <f>IF($T1318="","",IF($S1318="S",IF(INDEX(Firms!$M$5:$M$1004,$T1318)="","",INDEX(Firms!$M$5:$M$1004,$T1318)),IF(INDEX('AFA Rates'!$L$5:$L$1004,$T1318)="","",INDEX('AFA Rates'!$L$5:$L$1004,$T1318))))</f>
        <v/>
      </c>
      <c r="O1318" s="78">
        <f>IF(OR($T1318="",$U1318=""),"",IF(INDEX(Firms!$C$5:$C$1004,$U1318)="","",INDEX(Firms!$C$5:$C$1004,$U1318)))</f>
        <v/>
      </c>
      <c r="P1318" s="79">
        <f>IF(OR($T1318="",$U1318=""),"",IF(INDEX(Firms!$N$5:$N$1004,$U1318)="","",INDEX(Firms!$N$5:$N$1004,$U1318)))</f>
        <v/>
      </c>
      <c r="Q1318" s="78">
        <f>IF($T1318="","",IF($S1318="S",IF(INDEX(Firms!$T$5:$T$1004,$T1318)="","",INDEX(Firms!$T$5:$T$1004,$T1318)),IF(INDEX('AFA Rates'!$M$5:$M$1004,$T1318)="","",INDEX('AFA Rates'!$M$5:$M$1004,$T1318))))</f>
        <v/>
      </c>
      <c r="S1318">
        <f>IF(1314&lt;=$S$2,"S",IF(1314&lt;=$S$2+$T$2,"A",""))</f>
        <v/>
      </c>
      <c r="T1318">
        <f>IF(S1318="S",MATCH(1314,Firms!$W$5:$W$1004,0),IF(S1318="A",IFERROR(MATCH(1314-$S$2,'AFA Rates'!$R$5:$R$1004,0),""),""))</f>
        <v/>
      </c>
      <c r="U1318">
        <f>IF(S1318="S",T1318,IF(AND(S1318="A",T1318&lt;&gt;""),IFERROR(MATCH(INDEX('AFA Rates'!$A$5:$A$1004,T1318),Firms!$A$5:$A$1004,0),""),""))</f>
        <v/>
      </c>
    </row>
    <row r="1319">
      <c r="A1319" s="78">
        <f>IF($T1319="","",IF($S1319="S",IF(INDEX(Firms!$A$5:$A$1004,$T1319)="","",INDEX(Firms!$A$5:$A$1004,$T1319)),IF(INDEX('AFA Rates'!$A$5:$A$1004,$T1319)="","",INDEX('AFA Rates'!$A$5:$A$1004,$T1319))))</f>
        <v/>
      </c>
      <c r="B1319" s="79">
        <f>IF(OR($T1319="",$U1319=""),IF($T1319="","","Not on Firms tab"),INDEX(Firms!$B$5:$B$1004,$U1319)&amp;"")</f>
        <v/>
      </c>
      <c r="C1319" s="78">
        <f>IF($T1319="","",IF($S1319="S","Standard",INDEX('AFA Rates'!$B$5:$B$1004,$T1319)&amp;""))</f>
        <v/>
      </c>
      <c r="D1319" s="88">
        <f>IF($T1319="","",IF($S1319="S",IF(INDEX(Firms!$E$5:$E$1004,$T1319)="","",INDEX(Firms!$E$5:$E$1004,$T1319)),IF(INDEX('AFA Rates'!$C$5:$C$1004,$T1319)="","",INDEX('AFA Rates'!$C$5:$C$1004,$T1319))))</f>
        <v/>
      </c>
      <c r="E1319" s="88">
        <f>IF($T1319="","",IF($S1319="S",IF(""="","",""),IF(INDEX('AFA Rates'!$D$5:$D$1004,$T1319)="","",INDEX('AFA Rates'!$D$5:$D$1004,$T1319))))</f>
        <v/>
      </c>
      <c r="F1319" s="79">
        <f>IF($T1319="","",IF($S1319="S",IF(INDEX(Firms!$O$5:$O$1004,$T1319)="","",INDEX(Firms!$O$5:$O$1004,$T1319)),IF(INDEX('AFA Rates'!$O$5:$O$1004,$T1319)="","",INDEX('AFA Rates'!$O$5:$O$1004,$T1319))))</f>
        <v/>
      </c>
      <c r="G1319" s="50">
        <f>IF($T1319="","",IF($S1319="S",IF(INDEX(Firms!$F$5:$F$1004,$T1319)="","",INDEX(Firms!$F$5:$F$1004,$T1319)),IF(INDEX('AFA Rates'!$E$5:$E$1004,$T1319)="","",INDEX('AFA Rates'!$E$5:$E$1004,$T1319))))</f>
        <v/>
      </c>
      <c r="H1319" s="50">
        <f>IF($T1319="","",IF($S1319="S",IF(INDEX(Firms!$G$5:$G$1004,$T1319)="","",INDEX(Firms!$G$5:$G$1004,$T1319)),IF(INDEX('AFA Rates'!$F$5:$F$1004,$T1319)="","",INDEX('AFA Rates'!$F$5:$F$1004,$T1319))))</f>
        <v/>
      </c>
      <c r="I1319" s="50">
        <f>IF($T1319="","",IF($S1319="S",IF(INDEX(Firms!$H$5:$H$1004,$T1319)="","",INDEX(Firms!$H$5:$H$1004,$T1319)),IF(INDEX('AFA Rates'!$G$5:$G$1004,$T1319)="","",INDEX('AFA Rates'!$G$5:$G$1004,$T1319))))</f>
        <v/>
      </c>
      <c r="J1319" s="50">
        <f>IF($T1319="","",IF($S1319="S",IF(INDEX(Firms!$I$5:$I$1004,$T1319)="","",INDEX(Firms!$I$5:$I$1004,$T1319)),IF(INDEX('AFA Rates'!$H$5:$H$1004,$T1319)="","",INDEX('AFA Rates'!$H$5:$H$1004,$T1319))))</f>
        <v/>
      </c>
      <c r="K1319" s="50">
        <f>IF($T1319="","",IF($S1319="S",IF(INDEX(Firms!$J$5:$J$1004,$T1319)="","",INDEX(Firms!$J$5:$J$1004,$T1319)),IF(INDEX('AFA Rates'!$I$5:$I$1004,$T1319)="","",INDEX('AFA Rates'!$I$5:$I$1004,$T1319))))</f>
        <v/>
      </c>
      <c r="L1319" s="50">
        <f>IF($T1319="","",IF($S1319="S",IF(INDEX(Firms!$K$5:$K$1004,$T1319)="","",INDEX(Firms!$K$5:$K$1004,$T1319)),IF(INDEX('AFA Rates'!$J$5:$J$1004,$T1319)="","",INDEX('AFA Rates'!$J$5:$J$1004,$T1319))))</f>
        <v/>
      </c>
      <c r="M1319" s="50">
        <f>IF($T1319="","",IF($S1319="S",IF(INDEX(Firms!$L$5:$L$1004,$T1319)="","",INDEX(Firms!$L$5:$L$1004,$T1319)),IF(INDEX('AFA Rates'!$K$5:$K$1004,$T1319)="","",INDEX('AFA Rates'!$K$5:$K$1004,$T1319))))</f>
        <v/>
      </c>
      <c r="N1319" s="50">
        <f>IF($T1319="","",IF($S1319="S",IF(INDEX(Firms!$M$5:$M$1004,$T1319)="","",INDEX(Firms!$M$5:$M$1004,$T1319)),IF(INDEX('AFA Rates'!$L$5:$L$1004,$T1319)="","",INDEX('AFA Rates'!$L$5:$L$1004,$T1319))))</f>
        <v/>
      </c>
      <c r="O1319" s="78">
        <f>IF(OR($T1319="",$U1319=""),"",IF(INDEX(Firms!$C$5:$C$1004,$U1319)="","",INDEX(Firms!$C$5:$C$1004,$U1319)))</f>
        <v/>
      </c>
      <c r="P1319" s="79">
        <f>IF(OR($T1319="",$U1319=""),"",IF(INDEX(Firms!$N$5:$N$1004,$U1319)="","",INDEX(Firms!$N$5:$N$1004,$U1319)))</f>
        <v/>
      </c>
      <c r="Q1319" s="78">
        <f>IF($T1319="","",IF($S1319="S",IF(INDEX(Firms!$T$5:$T$1004,$T1319)="","",INDEX(Firms!$T$5:$T$1004,$T1319)),IF(INDEX('AFA Rates'!$M$5:$M$1004,$T1319)="","",INDEX('AFA Rates'!$M$5:$M$1004,$T1319))))</f>
        <v/>
      </c>
      <c r="S1319">
        <f>IF(1315&lt;=$S$2,"S",IF(1315&lt;=$S$2+$T$2,"A",""))</f>
        <v/>
      </c>
      <c r="T1319">
        <f>IF(S1319="S",MATCH(1315,Firms!$W$5:$W$1004,0),IF(S1319="A",IFERROR(MATCH(1315-$S$2,'AFA Rates'!$R$5:$R$1004,0),""),""))</f>
        <v/>
      </c>
      <c r="U1319">
        <f>IF(S1319="S",T1319,IF(AND(S1319="A",T1319&lt;&gt;""),IFERROR(MATCH(INDEX('AFA Rates'!$A$5:$A$1004,T1319),Firms!$A$5:$A$1004,0),""),""))</f>
        <v/>
      </c>
    </row>
    <row r="1320">
      <c r="A1320" s="78">
        <f>IF($T1320="","",IF($S1320="S",IF(INDEX(Firms!$A$5:$A$1004,$T1320)="","",INDEX(Firms!$A$5:$A$1004,$T1320)),IF(INDEX('AFA Rates'!$A$5:$A$1004,$T1320)="","",INDEX('AFA Rates'!$A$5:$A$1004,$T1320))))</f>
        <v/>
      </c>
      <c r="B1320" s="79">
        <f>IF(OR($T1320="",$U1320=""),IF($T1320="","","Not on Firms tab"),INDEX(Firms!$B$5:$B$1004,$U1320)&amp;"")</f>
        <v/>
      </c>
      <c r="C1320" s="78">
        <f>IF($T1320="","",IF($S1320="S","Standard",INDEX('AFA Rates'!$B$5:$B$1004,$T1320)&amp;""))</f>
        <v/>
      </c>
      <c r="D1320" s="88">
        <f>IF($T1320="","",IF($S1320="S",IF(INDEX(Firms!$E$5:$E$1004,$T1320)="","",INDEX(Firms!$E$5:$E$1004,$T1320)),IF(INDEX('AFA Rates'!$C$5:$C$1004,$T1320)="","",INDEX('AFA Rates'!$C$5:$C$1004,$T1320))))</f>
        <v/>
      </c>
      <c r="E1320" s="88">
        <f>IF($T1320="","",IF($S1320="S",IF(""="","",""),IF(INDEX('AFA Rates'!$D$5:$D$1004,$T1320)="","",INDEX('AFA Rates'!$D$5:$D$1004,$T1320))))</f>
        <v/>
      </c>
      <c r="F1320" s="79">
        <f>IF($T1320="","",IF($S1320="S",IF(INDEX(Firms!$O$5:$O$1004,$T1320)="","",INDEX(Firms!$O$5:$O$1004,$T1320)),IF(INDEX('AFA Rates'!$O$5:$O$1004,$T1320)="","",INDEX('AFA Rates'!$O$5:$O$1004,$T1320))))</f>
        <v/>
      </c>
      <c r="G1320" s="50">
        <f>IF($T1320="","",IF($S1320="S",IF(INDEX(Firms!$F$5:$F$1004,$T1320)="","",INDEX(Firms!$F$5:$F$1004,$T1320)),IF(INDEX('AFA Rates'!$E$5:$E$1004,$T1320)="","",INDEX('AFA Rates'!$E$5:$E$1004,$T1320))))</f>
        <v/>
      </c>
      <c r="H1320" s="50">
        <f>IF($T1320="","",IF($S1320="S",IF(INDEX(Firms!$G$5:$G$1004,$T1320)="","",INDEX(Firms!$G$5:$G$1004,$T1320)),IF(INDEX('AFA Rates'!$F$5:$F$1004,$T1320)="","",INDEX('AFA Rates'!$F$5:$F$1004,$T1320))))</f>
        <v/>
      </c>
      <c r="I1320" s="50">
        <f>IF($T1320="","",IF($S1320="S",IF(INDEX(Firms!$H$5:$H$1004,$T1320)="","",INDEX(Firms!$H$5:$H$1004,$T1320)),IF(INDEX('AFA Rates'!$G$5:$G$1004,$T1320)="","",INDEX('AFA Rates'!$G$5:$G$1004,$T1320))))</f>
        <v/>
      </c>
      <c r="J1320" s="50">
        <f>IF($T1320="","",IF($S1320="S",IF(INDEX(Firms!$I$5:$I$1004,$T1320)="","",INDEX(Firms!$I$5:$I$1004,$T1320)),IF(INDEX('AFA Rates'!$H$5:$H$1004,$T1320)="","",INDEX('AFA Rates'!$H$5:$H$1004,$T1320))))</f>
        <v/>
      </c>
      <c r="K1320" s="50">
        <f>IF($T1320="","",IF($S1320="S",IF(INDEX(Firms!$J$5:$J$1004,$T1320)="","",INDEX(Firms!$J$5:$J$1004,$T1320)),IF(INDEX('AFA Rates'!$I$5:$I$1004,$T1320)="","",INDEX('AFA Rates'!$I$5:$I$1004,$T1320))))</f>
        <v/>
      </c>
      <c r="L1320" s="50">
        <f>IF($T1320="","",IF($S1320="S",IF(INDEX(Firms!$K$5:$K$1004,$T1320)="","",INDEX(Firms!$K$5:$K$1004,$T1320)),IF(INDEX('AFA Rates'!$J$5:$J$1004,$T1320)="","",INDEX('AFA Rates'!$J$5:$J$1004,$T1320))))</f>
        <v/>
      </c>
      <c r="M1320" s="50">
        <f>IF($T1320="","",IF($S1320="S",IF(INDEX(Firms!$L$5:$L$1004,$T1320)="","",INDEX(Firms!$L$5:$L$1004,$T1320)),IF(INDEX('AFA Rates'!$K$5:$K$1004,$T1320)="","",INDEX('AFA Rates'!$K$5:$K$1004,$T1320))))</f>
        <v/>
      </c>
      <c r="N1320" s="50">
        <f>IF($T1320="","",IF($S1320="S",IF(INDEX(Firms!$M$5:$M$1004,$T1320)="","",INDEX(Firms!$M$5:$M$1004,$T1320)),IF(INDEX('AFA Rates'!$L$5:$L$1004,$T1320)="","",INDEX('AFA Rates'!$L$5:$L$1004,$T1320))))</f>
        <v/>
      </c>
      <c r="O1320" s="78">
        <f>IF(OR($T1320="",$U1320=""),"",IF(INDEX(Firms!$C$5:$C$1004,$U1320)="","",INDEX(Firms!$C$5:$C$1004,$U1320)))</f>
        <v/>
      </c>
      <c r="P1320" s="79">
        <f>IF(OR($T1320="",$U1320=""),"",IF(INDEX(Firms!$N$5:$N$1004,$U1320)="","",INDEX(Firms!$N$5:$N$1004,$U1320)))</f>
        <v/>
      </c>
      <c r="Q1320" s="78">
        <f>IF($T1320="","",IF($S1320="S",IF(INDEX(Firms!$T$5:$T$1004,$T1320)="","",INDEX(Firms!$T$5:$T$1004,$T1320)),IF(INDEX('AFA Rates'!$M$5:$M$1004,$T1320)="","",INDEX('AFA Rates'!$M$5:$M$1004,$T1320))))</f>
        <v/>
      </c>
      <c r="S1320">
        <f>IF(1316&lt;=$S$2,"S",IF(1316&lt;=$S$2+$T$2,"A",""))</f>
        <v/>
      </c>
      <c r="T1320">
        <f>IF(S1320="S",MATCH(1316,Firms!$W$5:$W$1004,0),IF(S1320="A",IFERROR(MATCH(1316-$S$2,'AFA Rates'!$R$5:$R$1004,0),""),""))</f>
        <v/>
      </c>
      <c r="U1320">
        <f>IF(S1320="S",T1320,IF(AND(S1320="A",T1320&lt;&gt;""),IFERROR(MATCH(INDEX('AFA Rates'!$A$5:$A$1004,T1320),Firms!$A$5:$A$1004,0),""),""))</f>
        <v/>
      </c>
    </row>
    <row r="1321">
      <c r="A1321" s="78">
        <f>IF($T1321="","",IF($S1321="S",IF(INDEX(Firms!$A$5:$A$1004,$T1321)="","",INDEX(Firms!$A$5:$A$1004,$T1321)),IF(INDEX('AFA Rates'!$A$5:$A$1004,$T1321)="","",INDEX('AFA Rates'!$A$5:$A$1004,$T1321))))</f>
        <v/>
      </c>
      <c r="B1321" s="79">
        <f>IF(OR($T1321="",$U1321=""),IF($T1321="","","Not on Firms tab"),INDEX(Firms!$B$5:$B$1004,$U1321)&amp;"")</f>
        <v/>
      </c>
      <c r="C1321" s="78">
        <f>IF($T1321="","",IF($S1321="S","Standard",INDEX('AFA Rates'!$B$5:$B$1004,$T1321)&amp;""))</f>
        <v/>
      </c>
      <c r="D1321" s="88">
        <f>IF($T1321="","",IF($S1321="S",IF(INDEX(Firms!$E$5:$E$1004,$T1321)="","",INDEX(Firms!$E$5:$E$1004,$T1321)),IF(INDEX('AFA Rates'!$C$5:$C$1004,$T1321)="","",INDEX('AFA Rates'!$C$5:$C$1004,$T1321))))</f>
        <v/>
      </c>
      <c r="E1321" s="88">
        <f>IF($T1321="","",IF($S1321="S",IF(""="","",""),IF(INDEX('AFA Rates'!$D$5:$D$1004,$T1321)="","",INDEX('AFA Rates'!$D$5:$D$1004,$T1321))))</f>
        <v/>
      </c>
      <c r="F1321" s="79">
        <f>IF($T1321="","",IF($S1321="S",IF(INDEX(Firms!$O$5:$O$1004,$T1321)="","",INDEX(Firms!$O$5:$O$1004,$T1321)),IF(INDEX('AFA Rates'!$O$5:$O$1004,$T1321)="","",INDEX('AFA Rates'!$O$5:$O$1004,$T1321))))</f>
        <v/>
      </c>
      <c r="G1321" s="50">
        <f>IF($T1321="","",IF($S1321="S",IF(INDEX(Firms!$F$5:$F$1004,$T1321)="","",INDEX(Firms!$F$5:$F$1004,$T1321)),IF(INDEX('AFA Rates'!$E$5:$E$1004,$T1321)="","",INDEX('AFA Rates'!$E$5:$E$1004,$T1321))))</f>
        <v/>
      </c>
      <c r="H1321" s="50">
        <f>IF($T1321="","",IF($S1321="S",IF(INDEX(Firms!$G$5:$G$1004,$T1321)="","",INDEX(Firms!$G$5:$G$1004,$T1321)),IF(INDEX('AFA Rates'!$F$5:$F$1004,$T1321)="","",INDEX('AFA Rates'!$F$5:$F$1004,$T1321))))</f>
        <v/>
      </c>
      <c r="I1321" s="50">
        <f>IF($T1321="","",IF($S1321="S",IF(INDEX(Firms!$H$5:$H$1004,$T1321)="","",INDEX(Firms!$H$5:$H$1004,$T1321)),IF(INDEX('AFA Rates'!$G$5:$G$1004,$T1321)="","",INDEX('AFA Rates'!$G$5:$G$1004,$T1321))))</f>
        <v/>
      </c>
      <c r="J1321" s="50">
        <f>IF($T1321="","",IF($S1321="S",IF(INDEX(Firms!$I$5:$I$1004,$T1321)="","",INDEX(Firms!$I$5:$I$1004,$T1321)),IF(INDEX('AFA Rates'!$H$5:$H$1004,$T1321)="","",INDEX('AFA Rates'!$H$5:$H$1004,$T1321))))</f>
        <v/>
      </c>
      <c r="K1321" s="50">
        <f>IF($T1321="","",IF($S1321="S",IF(INDEX(Firms!$J$5:$J$1004,$T1321)="","",INDEX(Firms!$J$5:$J$1004,$T1321)),IF(INDEX('AFA Rates'!$I$5:$I$1004,$T1321)="","",INDEX('AFA Rates'!$I$5:$I$1004,$T1321))))</f>
        <v/>
      </c>
      <c r="L1321" s="50">
        <f>IF($T1321="","",IF($S1321="S",IF(INDEX(Firms!$K$5:$K$1004,$T1321)="","",INDEX(Firms!$K$5:$K$1004,$T1321)),IF(INDEX('AFA Rates'!$J$5:$J$1004,$T1321)="","",INDEX('AFA Rates'!$J$5:$J$1004,$T1321))))</f>
        <v/>
      </c>
      <c r="M1321" s="50">
        <f>IF($T1321="","",IF($S1321="S",IF(INDEX(Firms!$L$5:$L$1004,$T1321)="","",INDEX(Firms!$L$5:$L$1004,$T1321)),IF(INDEX('AFA Rates'!$K$5:$K$1004,$T1321)="","",INDEX('AFA Rates'!$K$5:$K$1004,$T1321))))</f>
        <v/>
      </c>
      <c r="N1321" s="50">
        <f>IF($T1321="","",IF($S1321="S",IF(INDEX(Firms!$M$5:$M$1004,$T1321)="","",INDEX(Firms!$M$5:$M$1004,$T1321)),IF(INDEX('AFA Rates'!$L$5:$L$1004,$T1321)="","",INDEX('AFA Rates'!$L$5:$L$1004,$T1321))))</f>
        <v/>
      </c>
      <c r="O1321" s="78">
        <f>IF(OR($T1321="",$U1321=""),"",IF(INDEX(Firms!$C$5:$C$1004,$U1321)="","",INDEX(Firms!$C$5:$C$1004,$U1321)))</f>
        <v/>
      </c>
      <c r="P1321" s="79">
        <f>IF(OR($T1321="",$U1321=""),"",IF(INDEX(Firms!$N$5:$N$1004,$U1321)="","",INDEX(Firms!$N$5:$N$1004,$U1321)))</f>
        <v/>
      </c>
      <c r="Q1321" s="78">
        <f>IF($T1321="","",IF($S1321="S",IF(INDEX(Firms!$T$5:$T$1004,$T1321)="","",INDEX(Firms!$T$5:$T$1004,$T1321)),IF(INDEX('AFA Rates'!$M$5:$M$1004,$T1321)="","",INDEX('AFA Rates'!$M$5:$M$1004,$T1321))))</f>
        <v/>
      </c>
      <c r="S1321">
        <f>IF(1317&lt;=$S$2,"S",IF(1317&lt;=$S$2+$T$2,"A",""))</f>
        <v/>
      </c>
      <c r="T1321">
        <f>IF(S1321="S",MATCH(1317,Firms!$W$5:$W$1004,0),IF(S1321="A",IFERROR(MATCH(1317-$S$2,'AFA Rates'!$R$5:$R$1004,0),""),""))</f>
        <v/>
      </c>
      <c r="U1321">
        <f>IF(S1321="S",T1321,IF(AND(S1321="A",T1321&lt;&gt;""),IFERROR(MATCH(INDEX('AFA Rates'!$A$5:$A$1004,T1321),Firms!$A$5:$A$1004,0),""),""))</f>
        <v/>
      </c>
    </row>
    <row r="1322">
      <c r="A1322" s="78">
        <f>IF($T1322="","",IF($S1322="S",IF(INDEX(Firms!$A$5:$A$1004,$T1322)="","",INDEX(Firms!$A$5:$A$1004,$T1322)),IF(INDEX('AFA Rates'!$A$5:$A$1004,$T1322)="","",INDEX('AFA Rates'!$A$5:$A$1004,$T1322))))</f>
        <v/>
      </c>
      <c r="B1322" s="79">
        <f>IF(OR($T1322="",$U1322=""),IF($T1322="","","Not on Firms tab"),INDEX(Firms!$B$5:$B$1004,$U1322)&amp;"")</f>
        <v/>
      </c>
      <c r="C1322" s="78">
        <f>IF($T1322="","",IF($S1322="S","Standard",INDEX('AFA Rates'!$B$5:$B$1004,$T1322)&amp;""))</f>
        <v/>
      </c>
      <c r="D1322" s="88">
        <f>IF($T1322="","",IF($S1322="S",IF(INDEX(Firms!$E$5:$E$1004,$T1322)="","",INDEX(Firms!$E$5:$E$1004,$T1322)),IF(INDEX('AFA Rates'!$C$5:$C$1004,$T1322)="","",INDEX('AFA Rates'!$C$5:$C$1004,$T1322))))</f>
        <v/>
      </c>
      <c r="E1322" s="88">
        <f>IF($T1322="","",IF($S1322="S",IF(""="","",""),IF(INDEX('AFA Rates'!$D$5:$D$1004,$T1322)="","",INDEX('AFA Rates'!$D$5:$D$1004,$T1322))))</f>
        <v/>
      </c>
      <c r="F1322" s="79">
        <f>IF($T1322="","",IF($S1322="S",IF(INDEX(Firms!$O$5:$O$1004,$T1322)="","",INDEX(Firms!$O$5:$O$1004,$T1322)),IF(INDEX('AFA Rates'!$O$5:$O$1004,$T1322)="","",INDEX('AFA Rates'!$O$5:$O$1004,$T1322))))</f>
        <v/>
      </c>
      <c r="G1322" s="50">
        <f>IF($T1322="","",IF($S1322="S",IF(INDEX(Firms!$F$5:$F$1004,$T1322)="","",INDEX(Firms!$F$5:$F$1004,$T1322)),IF(INDEX('AFA Rates'!$E$5:$E$1004,$T1322)="","",INDEX('AFA Rates'!$E$5:$E$1004,$T1322))))</f>
        <v/>
      </c>
      <c r="H1322" s="50">
        <f>IF($T1322="","",IF($S1322="S",IF(INDEX(Firms!$G$5:$G$1004,$T1322)="","",INDEX(Firms!$G$5:$G$1004,$T1322)),IF(INDEX('AFA Rates'!$F$5:$F$1004,$T1322)="","",INDEX('AFA Rates'!$F$5:$F$1004,$T1322))))</f>
        <v/>
      </c>
      <c r="I1322" s="50">
        <f>IF($T1322="","",IF($S1322="S",IF(INDEX(Firms!$H$5:$H$1004,$T1322)="","",INDEX(Firms!$H$5:$H$1004,$T1322)),IF(INDEX('AFA Rates'!$G$5:$G$1004,$T1322)="","",INDEX('AFA Rates'!$G$5:$G$1004,$T1322))))</f>
        <v/>
      </c>
      <c r="J1322" s="50">
        <f>IF($T1322="","",IF($S1322="S",IF(INDEX(Firms!$I$5:$I$1004,$T1322)="","",INDEX(Firms!$I$5:$I$1004,$T1322)),IF(INDEX('AFA Rates'!$H$5:$H$1004,$T1322)="","",INDEX('AFA Rates'!$H$5:$H$1004,$T1322))))</f>
        <v/>
      </c>
      <c r="K1322" s="50">
        <f>IF($T1322="","",IF($S1322="S",IF(INDEX(Firms!$J$5:$J$1004,$T1322)="","",INDEX(Firms!$J$5:$J$1004,$T1322)),IF(INDEX('AFA Rates'!$I$5:$I$1004,$T1322)="","",INDEX('AFA Rates'!$I$5:$I$1004,$T1322))))</f>
        <v/>
      </c>
      <c r="L1322" s="50">
        <f>IF($T1322="","",IF($S1322="S",IF(INDEX(Firms!$K$5:$K$1004,$T1322)="","",INDEX(Firms!$K$5:$K$1004,$T1322)),IF(INDEX('AFA Rates'!$J$5:$J$1004,$T1322)="","",INDEX('AFA Rates'!$J$5:$J$1004,$T1322))))</f>
        <v/>
      </c>
      <c r="M1322" s="50">
        <f>IF($T1322="","",IF($S1322="S",IF(INDEX(Firms!$L$5:$L$1004,$T1322)="","",INDEX(Firms!$L$5:$L$1004,$T1322)),IF(INDEX('AFA Rates'!$K$5:$K$1004,$T1322)="","",INDEX('AFA Rates'!$K$5:$K$1004,$T1322))))</f>
        <v/>
      </c>
      <c r="N1322" s="50">
        <f>IF($T1322="","",IF($S1322="S",IF(INDEX(Firms!$M$5:$M$1004,$T1322)="","",INDEX(Firms!$M$5:$M$1004,$T1322)),IF(INDEX('AFA Rates'!$L$5:$L$1004,$T1322)="","",INDEX('AFA Rates'!$L$5:$L$1004,$T1322))))</f>
        <v/>
      </c>
      <c r="O1322" s="78">
        <f>IF(OR($T1322="",$U1322=""),"",IF(INDEX(Firms!$C$5:$C$1004,$U1322)="","",INDEX(Firms!$C$5:$C$1004,$U1322)))</f>
        <v/>
      </c>
      <c r="P1322" s="79">
        <f>IF(OR($T1322="",$U1322=""),"",IF(INDEX(Firms!$N$5:$N$1004,$U1322)="","",INDEX(Firms!$N$5:$N$1004,$U1322)))</f>
        <v/>
      </c>
      <c r="Q1322" s="78">
        <f>IF($T1322="","",IF($S1322="S",IF(INDEX(Firms!$T$5:$T$1004,$T1322)="","",INDEX(Firms!$T$5:$T$1004,$T1322)),IF(INDEX('AFA Rates'!$M$5:$M$1004,$T1322)="","",INDEX('AFA Rates'!$M$5:$M$1004,$T1322))))</f>
        <v/>
      </c>
      <c r="S1322">
        <f>IF(1318&lt;=$S$2,"S",IF(1318&lt;=$S$2+$T$2,"A",""))</f>
        <v/>
      </c>
      <c r="T1322">
        <f>IF(S1322="S",MATCH(1318,Firms!$W$5:$W$1004,0),IF(S1322="A",IFERROR(MATCH(1318-$S$2,'AFA Rates'!$R$5:$R$1004,0),""),""))</f>
        <v/>
      </c>
      <c r="U1322">
        <f>IF(S1322="S",T1322,IF(AND(S1322="A",T1322&lt;&gt;""),IFERROR(MATCH(INDEX('AFA Rates'!$A$5:$A$1004,T1322),Firms!$A$5:$A$1004,0),""),""))</f>
        <v/>
      </c>
    </row>
    <row r="1323">
      <c r="A1323" s="78">
        <f>IF($T1323="","",IF($S1323="S",IF(INDEX(Firms!$A$5:$A$1004,$T1323)="","",INDEX(Firms!$A$5:$A$1004,$T1323)),IF(INDEX('AFA Rates'!$A$5:$A$1004,$T1323)="","",INDEX('AFA Rates'!$A$5:$A$1004,$T1323))))</f>
        <v/>
      </c>
      <c r="B1323" s="79">
        <f>IF(OR($T1323="",$U1323=""),IF($T1323="","","Not on Firms tab"),INDEX(Firms!$B$5:$B$1004,$U1323)&amp;"")</f>
        <v/>
      </c>
      <c r="C1323" s="78">
        <f>IF($T1323="","",IF($S1323="S","Standard",INDEX('AFA Rates'!$B$5:$B$1004,$T1323)&amp;""))</f>
        <v/>
      </c>
      <c r="D1323" s="88">
        <f>IF($T1323="","",IF($S1323="S",IF(INDEX(Firms!$E$5:$E$1004,$T1323)="","",INDEX(Firms!$E$5:$E$1004,$T1323)),IF(INDEX('AFA Rates'!$C$5:$C$1004,$T1323)="","",INDEX('AFA Rates'!$C$5:$C$1004,$T1323))))</f>
        <v/>
      </c>
      <c r="E1323" s="88">
        <f>IF($T1323="","",IF($S1323="S",IF(""="","",""),IF(INDEX('AFA Rates'!$D$5:$D$1004,$T1323)="","",INDEX('AFA Rates'!$D$5:$D$1004,$T1323))))</f>
        <v/>
      </c>
      <c r="F1323" s="79">
        <f>IF($T1323="","",IF($S1323="S",IF(INDEX(Firms!$O$5:$O$1004,$T1323)="","",INDEX(Firms!$O$5:$O$1004,$T1323)),IF(INDEX('AFA Rates'!$O$5:$O$1004,$T1323)="","",INDEX('AFA Rates'!$O$5:$O$1004,$T1323))))</f>
        <v/>
      </c>
      <c r="G1323" s="50">
        <f>IF($T1323="","",IF($S1323="S",IF(INDEX(Firms!$F$5:$F$1004,$T1323)="","",INDEX(Firms!$F$5:$F$1004,$T1323)),IF(INDEX('AFA Rates'!$E$5:$E$1004,$T1323)="","",INDEX('AFA Rates'!$E$5:$E$1004,$T1323))))</f>
        <v/>
      </c>
      <c r="H1323" s="50">
        <f>IF($T1323="","",IF($S1323="S",IF(INDEX(Firms!$G$5:$G$1004,$T1323)="","",INDEX(Firms!$G$5:$G$1004,$T1323)),IF(INDEX('AFA Rates'!$F$5:$F$1004,$T1323)="","",INDEX('AFA Rates'!$F$5:$F$1004,$T1323))))</f>
        <v/>
      </c>
      <c r="I1323" s="50">
        <f>IF($T1323="","",IF($S1323="S",IF(INDEX(Firms!$H$5:$H$1004,$T1323)="","",INDEX(Firms!$H$5:$H$1004,$T1323)),IF(INDEX('AFA Rates'!$G$5:$G$1004,$T1323)="","",INDEX('AFA Rates'!$G$5:$G$1004,$T1323))))</f>
        <v/>
      </c>
      <c r="J1323" s="50">
        <f>IF($T1323="","",IF($S1323="S",IF(INDEX(Firms!$I$5:$I$1004,$T1323)="","",INDEX(Firms!$I$5:$I$1004,$T1323)),IF(INDEX('AFA Rates'!$H$5:$H$1004,$T1323)="","",INDEX('AFA Rates'!$H$5:$H$1004,$T1323))))</f>
        <v/>
      </c>
      <c r="K1323" s="50">
        <f>IF($T1323="","",IF($S1323="S",IF(INDEX(Firms!$J$5:$J$1004,$T1323)="","",INDEX(Firms!$J$5:$J$1004,$T1323)),IF(INDEX('AFA Rates'!$I$5:$I$1004,$T1323)="","",INDEX('AFA Rates'!$I$5:$I$1004,$T1323))))</f>
        <v/>
      </c>
      <c r="L1323" s="50">
        <f>IF($T1323="","",IF($S1323="S",IF(INDEX(Firms!$K$5:$K$1004,$T1323)="","",INDEX(Firms!$K$5:$K$1004,$T1323)),IF(INDEX('AFA Rates'!$J$5:$J$1004,$T1323)="","",INDEX('AFA Rates'!$J$5:$J$1004,$T1323))))</f>
        <v/>
      </c>
      <c r="M1323" s="50">
        <f>IF($T1323="","",IF($S1323="S",IF(INDEX(Firms!$L$5:$L$1004,$T1323)="","",INDEX(Firms!$L$5:$L$1004,$T1323)),IF(INDEX('AFA Rates'!$K$5:$K$1004,$T1323)="","",INDEX('AFA Rates'!$K$5:$K$1004,$T1323))))</f>
        <v/>
      </c>
      <c r="N1323" s="50">
        <f>IF($T1323="","",IF($S1323="S",IF(INDEX(Firms!$M$5:$M$1004,$T1323)="","",INDEX(Firms!$M$5:$M$1004,$T1323)),IF(INDEX('AFA Rates'!$L$5:$L$1004,$T1323)="","",INDEX('AFA Rates'!$L$5:$L$1004,$T1323))))</f>
        <v/>
      </c>
      <c r="O1323" s="78">
        <f>IF(OR($T1323="",$U1323=""),"",IF(INDEX(Firms!$C$5:$C$1004,$U1323)="","",INDEX(Firms!$C$5:$C$1004,$U1323)))</f>
        <v/>
      </c>
      <c r="P1323" s="79">
        <f>IF(OR($T1323="",$U1323=""),"",IF(INDEX(Firms!$N$5:$N$1004,$U1323)="","",INDEX(Firms!$N$5:$N$1004,$U1323)))</f>
        <v/>
      </c>
      <c r="Q1323" s="78">
        <f>IF($T1323="","",IF($S1323="S",IF(INDEX(Firms!$T$5:$T$1004,$T1323)="","",INDEX(Firms!$T$5:$T$1004,$T1323)),IF(INDEX('AFA Rates'!$M$5:$M$1004,$T1323)="","",INDEX('AFA Rates'!$M$5:$M$1004,$T1323))))</f>
        <v/>
      </c>
      <c r="S1323">
        <f>IF(1319&lt;=$S$2,"S",IF(1319&lt;=$S$2+$T$2,"A",""))</f>
        <v/>
      </c>
      <c r="T1323">
        <f>IF(S1323="S",MATCH(1319,Firms!$W$5:$W$1004,0),IF(S1323="A",IFERROR(MATCH(1319-$S$2,'AFA Rates'!$R$5:$R$1004,0),""),""))</f>
        <v/>
      </c>
      <c r="U1323">
        <f>IF(S1323="S",T1323,IF(AND(S1323="A",T1323&lt;&gt;""),IFERROR(MATCH(INDEX('AFA Rates'!$A$5:$A$1004,T1323),Firms!$A$5:$A$1004,0),""),""))</f>
        <v/>
      </c>
    </row>
    <row r="1324">
      <c r="A1324" s="78">
        <f>IF($T1324="","",IF($S1324="S",IF(INDEX(Firms!$A$5:$A$1004,$T1324)="","",INDEX(Firms!$A$5:$A$1004,$T1324)),IF(INDEX('AFA Rates'!$A$5:$A$1004,$T1324)="","",INDEX('AFA Rates'!$A$5:$A$1004,$T1324))))</f>
        <v/>
      </c>
      <c r="B1324" s="79">
        <f>IF(OR($T1324="",$U1324=""),IF($T1324="","","Not on Firms tab"),INDEX(Firms!$B$5:$B$1004,$U1324)&amp;"")</f>
        <v/>
      </c>
      <c r="C1324" s="78">
        <f>IF($T1324="","",IF($S1324="S","Standard",INDEX('AFA Rates'!$B$5:$B$1004,$T1324)&amp;""))</f>
        <v/>
      </c>
      <c r="D1324" s="88">
        <f>IF($T1324="","",IF($S1324="S",IF(INDEX(Firms!$E$5:$E$1004,$T1324)="","",INDEX(Firms!$E$5:$E$1004,$T1324)),IF(INDEX('AFA Rates'!$C$5:$C$1004,$T1324)="","",INDEX('AFA Rates'!$C$5:$C$1004,$T1324))))</f>
        <v/>
      </c>
      <c r="E1324" s="88">
        <f>IF($T1324="","",IF($S1324="S",IF(""="","",""),IF(INDEX('AFA Rates'!$D$5:$D$1004,$T1324)="","",INDEX('AFA Rates'!$D$5:$D$1004,$T1324))))</f>
        <v/>
      </c>
      <c r="F1324" s="79">
        <f>IF($T1324="","",IF($S1324="S",IF(INDEX(Firms!$O$5:$O$1004,$T1324)="","",INDEX(Firms!$O$5:$O$1004,$T1324)),IF(INDEX('AFA Rates'!$O$5:$O$1004,$T1324)="","",INDEX('AFA Rates'!$O$5:$O$1004,$T1324))))</f>
        <v/>
      </c>
      <c r="G1324" s="50">
        <f>IF($T1324="","",IF($S1324="S",IF(INDEX(Firms!$F$5:$F$1004,$T1324)="","",INDEX(Firms!$F$5:$F$1004,$T1324)),IF(INDEX('AFA Rates'!$E$5:$E$1004,$T1324)="","",INDEX('AFA Rates'!$E$5:$E$1004,$T1324))))</f>
        <v/>
      </c>
      <c r="H1324" s="50">
        <f>IF($T1324="","",IF($S1324="S",IF(INDEX(Firms!$G$5:$G$1004,$T1324)="","",INDEX(Firms!$G$5:$G$1004,$T1324)),IF(INDEX('AFA Rates'!$F$5:$F$1004,$T1324)="","",INDEX('AFA Rates'!$F$5:$F$1004,$T1324))))</f>
        <v/>
      </c>
      <c r="I1324" s="50">
        <f>IF($T1324="","",IF($S1324="S",IF(INDEX(Firms!$H$5:$H$1004,$T1324)="","",INDEX(Firms!$H$5:$H$1004,$T1324)),IF(INDEX('AFA Rates'!$G$5:$G$1004,$T1324)="","",INDEX('AFA Rates'!$G$5:$G$1004,$T1324))))</f>
        <v/>
      </c>
      <c r="J1324" s="50">
        <f>IF($T1324="","",IF($S1324="S",IF(INDEX(Firms!$I$5:$I$1004,$T1324)="","",INDEX(Firms!$I$5:$I$1004,$T1324)),IF(INDEX('AFA Rates'!$H$5:$H$1004,$T1324)="","",INDEX('AFA Rates'!$H$5:$H$1004,$T1324))))</f>
        <v/>
      </c>
      <c r="K1324" s="50">
        <f>IF($T1324="","",IF($S1324="S",IF(INDEX(Firms!$J$5:$J$1004,$T1324)="","",INDEX(Firms!$J$5:$J$1004,$T1324)),IF(INDEX('AFA Rates'!$I$5:$I$1004,$T1324)="","",INDEX('AFA Rates'!$I$5:$I$1004,$T1324))))</f>
        <v/>
      </c>
      <c r="L1324" s="50">
        <f>IF($T1324="","",IF($S1324="S",IF(INDEX(Firms!$K$5:$K$1004,$T1324)="","",INDEX(Firms!$K$5:$K$1004,$T1324)),IF(INDEX('AFA Rates'!$J$5:$J$1004,$T1324)="","",INDEX('AFA Rates'!$J$5:$J$1004,$T1324))))</f>
        <v/>
      </c>
      <c r="M1324" s="50">
        <f>IF($T1324="","",IF($S1324="S",IF(INDEX(Firms!$L$5:$L$1004,$T1324)="","",INDEX(Firms!$L$5:$L$1004,$T1324)),IF(INDEX('AFA Rates'!$K$5:$K$1004,$T1324)="","",INDEX('AFA Rates'!$K$5:$K$1004,$T1324))))</f>
        <v/>
      </c>
      <c r="N1324" s="50">
        <f>IF($T1324="","",IF($S1324="S",IF(INDEX(Firms!$M$5:$M$1004,$T1324)="","",INDEX(Firms!$M$5:$M$1004,$T1324)),IF(INDEX('AFA Rates'!$L$5:$L$1004,$T1324)="","",INDEX('AFA Rates'!$L$5:$L$1004,$T1324))))</f>
        <v/>
      </c>
      <c r="O1324" s="78">
        <f>IF(OR($T1324="",$U1324=""),"",IF(INDEX(Firms!$C$5:$C$1004,$U1324)="","",INDEX(Firms!$C$5:$C$1004,$U1324)))</f>
        <v/>
      </c>
      <c r="P1324" s="79">
        <f>IF(OR($T1324="",$U1324=""),"",IF(INDEX(Firms!$N$5:$N$1004,$U1324)="","",INDEX(Firms!$N$5:$N$1004,$U1324)))</f>
        <v/>
      </c>
      <c r="Q1324" s="78">
        <f>IF($T1324="","",IF($S1324="S",IF(INDEX(Firms!$T$5:$T$1004,$T1324)="","",INDEX(Firms!$T$5:$T$1004,$T1324)),IF(INDEX('AFA Rates'!$M$5:$M$1004,$T1324)="","",INDEX('AFA Rates'!$M$5:$M$1004,$T1324))))</f>
        <v/>
      </c>
      <c r="S1324">
        <f>IF(1320&lt;=$S$2,"S",IF(1320&lt;=$S$2+$T$2,"A",""))</f>
        <v/>
      </c>
      <c r="T1324">
        <f>IF(S1324="S",MATCH(1320,Firms!$W$5:$W$1004,0),IF(S1324="A",IFERROR(MATCH(1320-$S$2,'AFA Rates'!$R$5:$R$1004,0),""),""))</f>
        <v/>
      </c>
      <c r="U1324">
        <f>IF(S1324="S",T1324,IF(AND(S1324="A",T1324&lt;&gt;""),IFERROR(MATCH(INDEX('AFA Rates'!$A$5:$A$1004,T1324),Firms!$A$5:$A$1004,0),""),""))</f>
        <v/>
      </c>
    </row>
    <row r="1325">
      <c r="A1325" s="78">
        <f>IF($T1325="","",IF($S1325="S",IF(INDEX(Firms!$A$5:$A$1004,$T1325)="","",INDEX(Firms!$A$5:$A$1004,$T1325)),IF(INDEX('AFA Rates'!$A$5:$A$1004,$T1325)="","",INDEX('AFA Rates'!$A$5:$A$1004,$T1325))))</f>
        <v/>
      </c>
      <c r="B1325" s="79">
        <f>IF(OR($T1325="",$U1325=""),IF($T1325="","","Not on Firms tab"),INDEX(Firms!$B$5:$B$1004,$U1325)&amp;"")</f>
        <v/>
      </c>
      <c r="C1325" s="78">
        <f>IF($T1325="","",IF($S1325="S","Standard",INDEX('AFA Rates'!$B$5:$B$1004,$T1325)&amp;""))</f>
        <v/>
      </c>
      <c r="D1325" s="88">
        <f>IF($T1325="","",IF($S1325="S",IF(INDEX(Firms!$E$5:$E$1004,$T1325)="","",INDEX(Firms!$E$5:$E$1004,$T1325)),IF(INDEX('AFA Rates'!$C$5:$C$1004,$T1325)="","",INDEX('AFA Rates'!$C$5:$C$1004,$T1325))))</f>
        <v/>
      </c>
      <c r="E1325" s="88">
        <f>IF($T1325="","",IF($S1325="S",IF(""="","",""),IF(INDEX('AFA Rates'!$D$5:$D$1004,$T1325)="","",INDEX('AFA Rates'!$D$5:$D$1004,$T1325))))</f>
        <v/>
      </c>
      <c r="F1325" s="79">
        <f>IF($T1325="","",IF($S1325="S",IF(INDEX(Firms!$O$5:$O$1004,$T1325)="","",INDEX(Firms!$O$5:$O$1004,$T1325)),IF(INDEX('AFA Rates'!$O$5:$O$1004,$T1325)="","",INDEX('AFA Rates'!$O$5:$O$1004,$T1325))))</f>
        <v/>
      </c>
      <c r="G1325" s="50">
        <f>IF($T1325="","",IF($S1325="S",IF(INDEX(Firms!$F$5:$F$1004,$T1325)="","",INDEX(Firms!$F$5:$F$1004,$T1325)),IF(INDEX('AFA Rates'!$E$5:$E$1004,$T1325)="","",INDEX('AFA Rates'!$E$5:$E$1004,$T1325))))</f>
        <v/>
      </c>
      <c r="H1325" s="50">
        <f>IF($T1325="","",IF($S1325="S",IF(INDEX(Firms!$G$5:$G$1004,$T1325)="","",INDEX(Firms!$G$5:$G$1004,$T1325)),IF(INDEX('AFA Rates'!$F$5:$F$1004,$T1325)="","",INDEX('AFA Rates'!$F$5:$F$1004,$T1325))))</f>
        <v/>
      </c>
      <c r="I1325" s="50">
        <f>IF($T1325="","",IF($S1325="S",IF(INDEX(Firms!$H$5:$H$1004,$T1325)="","",INDEX(Firms!$H$5:$H$1004,$T1325)),IF(INDEX('AFA Rates'!$G$5:$G$1004,$T1325)="","",INDEX('AFA Rates'!$G$5:$G$1004,$T1325))))</f>
        <v/>
      </c>
      <c r="J1325" s="50">
        <f>IF($T1325="","",IF($S1325="S",IF(INDEX(Firms!$I$5:$I$1004,$T1325)="","",INDEX(Firms!$I$5:$I$1004,$T1325)),IF(INDEX('AFA Rates'!$H$5:$H$1004,$T1325)="","",INDEX('AFA Rates'!$H$5:$H$1004,$T1325))))</f>
        <v/>
      </c>
      <c r="K1325" s="50">
        <f>IF($T1325="","",IF($S1325="S",IF(INDEX(Firms!$J$5:$J$1004,$T1325)="","",INDEX(Firms!$J$5:$J$1004,$T1325)),IF(INDEX('AFA Rates'!$I$5:$I$1004,$T1325)="","",INDEX('AFA Rates'!$I$5:$I$1004,$T1325))))</f>
        <v/>
      </c>
      <c r="L1325" s="50">
        <f>IF($T1325="","",IF($S1325="S",IF(INDEX(Firms!$K$5:$K$1004,$T1325)="","",INDEX(Firms!$K$5:$K$1004,$T1325)),IF(INDEX('AFA Rates'!$J$5:$J$1004,$T1325)="","",INDEX('AFA Rates'!$J$5:$J$1004,$T1325))))</f>
        <v/>
      </c>
      <c r="M1325" s="50">
        <f>IF($T1325="","",IF($S1325="S",IF(INDEX(Firms!$L$5:$L$1004,$T1325)="","",INDEX(Firms!$L$5:$L$1004,$T1325)),IF(INDEX('AFA Rates'!$K$5:$K$1004,$T1325)="","",INDEX('AFA Rates'!$K$5:$K$1004,$T1325))))</f>
        <v/>
      </c>
      <c r="N1325" s="50">
        <f>IF($T1325="","",IF($S1325="S",IF(INDEX(Firms!$M$5:$M$1004,$T1325)="","",INDEX(Firms!$M$5:$M$1004,$T1325)),IF(INDEX('AFA Rates'!$L$5:$L$1004,$T1325)="","",INDEX('AFA Rates'!$L$5:$L$1004,$T1325))))</f>
        <v/>
      </c>
      <c r="O1325" s="78">
        <f>IF(OR($T1325="",$U1325=""),"",IF(INDEX(Firms!$C$5:$C$1004,$U1325)="","",INDEX(Firms!$C$5:$C$1004,$U1325)))</f>
        <v/>
      </c>
      <c r="P1325" s="79">
        <f>IF(OR($T1325="",$U1325=""),"",IF(INDEX(Firms!$N$5:$N$1004,$U1325)="","",INDEX(Firms!$N$5:$N$1004,$U1325)))</f>
        <v/>
      </c>
      <c r="Q1325" s="78">
        <f>IF($T1325="","",IF($S1325="S",IF(INDEX(Firms!$T$5:$T$1004,$T1325)="","",INDEX(Firms!$T$5:$T$1004,$T1325)),IF(INDEX('AFA Rates'!$M$5:$M$1004,$T1325)="","",INDEX('AFA Rates'!$M$5:$M$1004,$T1325))))</f>
        <v/>
      </c>
      <c r="S1325">
        <f>IF(1321&lt;=$S$2,"S",IF(1321&lt;=$S$2+$T$2,"A",""))</f>
        <v/>
      </c>
      <c r="T1325">
        <f>IF(S1325="S",MATCH(1321,Firms!$W$5:$W$1004,0),IF(S1325="A",IFERROR(MATCH(1321-$S$2,'AFA Rates'!$R$5:$R$1004,0),""),""))</f>
        <v/>
      </c>
      <c r="U1325">
        <f>IF(S1325="S",T1325,IF(AND(S1325="A",T1325&lt;&gt;""),IFERROR(MATCH(INDEX('AFA Rates'!$A$5:$A$1004,T1325),Firms!$A$5:$A$1004,0),""),""))</f>
        <v/>
      </c>
    </row>
    <row r="1326">
      <c r="A1326" s="78">
        <f>IF($T1326="","",IF($S1326="S",IF(INDEX(Firms!$A$5:$A$1004,$T1326)="","",INDEX(Firms!$A$5:$A$1004,$T1326)),IF(INDEX('AFA Rates'!$A$5:$A$1004,$T1326)="","",INDEX('AFA Rates'!$A$5:$A$1004,$T1326))))</f>
        <v/>
      </c>
      <c r="B1326" s="79">
        <f>IF(OR($T1326="",$U1326=""),IF($T1326="","","Not on Firms tab"),INDEX(Firms!$B$5:$B$1004,$U1326)&amp;"")</f>
        <v/>
      </c>
      <c r="C1326" s="78">
        <f>IF($T1326="","",IF($S1326="S","Standard",INDEX('AFA Rates'!$B$5:$B$1004,$T1326)&amp;""))</f>
        <v/>
      </c>
      <c r="D1326" s="88">
        <f>IF($T1326="","",IF($S1326="S",IF(INDEX(Firms!$E$5:$E$1004,$T1326)="","",INDEX(Firms!$E$5:$E$1004,$T1326)),IF(INDEX('AFA Rates'!$C$5:$C$1004,$T1326)="","",INDEX('AFA Rates'!$C$5:$C$1004,$T1326))))</f>
        <v/>
      </c>
      <c r="E1326" s="88">
        <f>IF($T1326="","",IF($S1326="S",IF(""="","",""),IF(INDEX('AFA Rates'!$D$5:$D$1004,$T1326)="","",INDEX('AFA Rates'!$D$5:$D$1004,$T1326))))</f>
        <v/>
      </c>
      <c r="F1326" s="79">
        <f>IF($T1326="","",IF($S1326="S",IF(INDEX(Firms!$O$5:$O$1004,$T1326)="","",INDEX(Firms!$O$5:$O$1004,$T1326)),IF(INDEX('AFA Rates'!$O$5:$O$1004,$T1326)="","",INDEX('AFA Rates'!$O$5:$O$1004,$T1326))))</f>
        <v/>
      </c>
      <c r="G1326" s="50">
        <f>IF($T1326="","",IF($S1326="S",IF(INDEX(Firms!$F$5:$F$1004,$T1326)="","",INDEX(Firms!$F$5:$F$1004,$T1326)),IF(INDEX('AFA Rates'!$E$5:$E$1004,$T1326)="","",INDEX('AFA Rates'!$E$5:$E$1004,$T1326))))</f>
        <v/>
      </c>
      <c r="H1326" s="50">
        <f>IF($T1326="","",IF($S1326="S",IF(INDEX(Firms!$G$5:$G$1004,$T1326)="","",INDEX(Firms!$G$5:$G$1004,$T1326)),IF(INDEX('AFA Rates'!$F$5:$F$1004,$T1326)="","",INDEX('AFA Rates'!$F$5:$F$1004,$T1326))))</f>
        <v/>
      </c>
      <c r="I1326" s="50">
        <f>IF($T1326="","",IF($S1326="S",IF(INDEX(Firms!$H$5:$H$1004,$T1326)="","",INDEX(Firms!$H$5:$H$1004,$T1326)),IF(INDEX('AFA Rates'!$G$5:$G$1004,$T1326)="","",INDEX('AFA Rates'!$G$5:$G$1004,$T1326))))</f>
        <v/>
      </c>
      <c r="J1326" s="50">
        <f>IF($T1326="","",IF($S1326="S",IF(INDEX(Firms!$I$5:$I$1004,$T1326)="","",INDEX(Firms!$I$5:$I$1004,$T1326)),IF(INDEX('AFA Rates'!$H$5:$H$1004,$T1326)="","",INDEX('AFA Rates'!$H$5:$H$1004,$T1326))))</f>
        <v/>
      </c>
      <c r="K1326" s="50">
        <f>IF($T1326="","",IF($S1326="S",IF(INDEX(Firms!$J$5:$J$1004,$T1326)="","",INDEX(Firms!$J$5:$J$1004,$T1326)),IF(INDEX('AFA Rates'!$I$5:$I$1004,$T1326)="","",INDEX('AFA Rates'!$I$5:$I$1004,$T1326))))</f>
        <v/>
      </c>
      <c r="L1326" s="50">
        <f>IF($T1326="","",IF($S1326="S",IF(INDEX(Firms!$K$5:$K$1004,$T1326)="","",INDEX(Firms!$K$5:$K$1004,$T1326)),IF(INDEX('AFA Rates'!$J$5:$J$1004,$T1326)="","",INDEX('AFA Rates'!$J$5:$J$1004,$T1326))))</f>
        <v/>
      </c>
      <c r="M1326" s="50">
        <f>IF($T1326="","",IF($S1326="S",IF(INDEX(Firms!$L$5:$L$1004,$T1326)="","",INDEX(Firms!$L$5:$L$1004,$T1326)),IF(INDEX('AFA Rates'!$K$5:$K$1004,$T1326)="","",INDEX('AFA Rates'!$K$5:$K$1004,$T1326))))</f>
        <v/>
      </c>
      <c r="N1326" s="50">
        <f>IF($T1326="","",IF($S1326="S",IF(INDEX(Firms!$M$5:$M$1004,$T1326)="","",INDEX(Firms!$M$5:$M$1004,$T1326)),IF(INDEX('AFA Rates'!$L$5:$L$1004,$T1326)="","",INDEX('AFA Rates'!$L$5:$L$1004,$T1326))))</f>
        <v/>
      </c>
      <c r="O1326" s="78">
        <f>IF(OR($T1326="",$U1326=""),"",IF(INDEX(Firms!$C$5:$C$1004,$U1326)="","",INDEX(Firms!$C$5:$C$1004,$U1326)))</f>
        <v/>
      </c>
      <c r="P1326" s="79">
        <f>IF(OR($T1326="",$U1326=""),"",IF(INDEX(Firms!$N$5:$N$1004,$U1326)="","",INDEX(Firms!$N$5:$N$1004,$U1326)))</f>
        <v/>
      </c>
      <c r="Q1326" s="78">
        <f>IF($T1326="","",IF($S1326="S",IF(INDEX(Firms!$T$5:$T$1004,$T1326)="","",INDEX(Firms!$T$5:$T$1004,$T1326)),IF(INDEX('AFA Rates'!$M$5:$M$1004,$T1326)="","",INDEX('AFA Rates'!$M$5:$M$1004,$T1326))))</f>
        <v/>
      </c>
      <c r="S1326">
        <f>IF(1322&lt;=$S$2,"S",IF(1322&lt;=$S$2+$T$2,"A",""))</f>
        <v/>
      </c>
      <c r="T1326">
        <f>IF(S1326="S",MATCH(1322,Firms!$W$5:$W$1004,0),IF(S1326="A",IFERROR(MATCH(1322-$S$2,'AFA Rates'!$R$5:$R$1004,0),""),""))</f>
        <v/>
      </c>
      <c r="U1326">
        <f>IF(S1326="S",T1326,IF(AND(S1326="A",T1326&lt;&gt;""),IFERROR(MATCH(INDEX('AFA Rates'!$A$5:$A$1004,T1326),Firms!$A$5:$A$1004,0),""),""))</f>
        <v/>
      </c>
    </row>
    <row r="1327">
      <c r="A1327" s="78">
        <f>IF($T1327="","",IF($S1327="S",IF(INDEX(Firms!$A$5:$A$1004,$T1327)="","",INDEX(Firms!$A$5:$A$1004,$T1327)),IF(INDEX('AFA Rates'!$A$5:$A$1004,$T1327)="","",INDEX('AFA Rates'!$A$5:$A$1004,$T1327))))</f>
        <v/>
      </c>
      <c r="B1327" s="79">
        <f>IF(OR($T1327="",$U1327=""),IF($T1327="","","Not on Firms tab"),INDEX(Firms!$B$5:$B$1004,$U1327)&amp;"")</f>
        <v/>
      </c>
      <c r="C1327" s="78">
        <f>IF($T1327="","",IF($S1327="S","Standard",INDEX('AFA Rates'!$B$5:$B$1004,$T1327)&amp;""))</f>
        <v/>
      </c>
      <c r="D1327" s="88">
        <f>IF($T1327="","",IF($S1327="S",IF(INDEX(Firms!$E$5:$E$1004,$T1327)="","",INDEX(Firms!$E$5:$E$1004,$T1327)),IF(INDEX('AFA Rates'!$C$5:$C$1004,$T1327)="","",INDEX('AFA Rates'!$C$5:$C$1004,$T1327))))</f>
        <v/>
      </c>
      <c r="E1327" s="88">
        <f>IF($T1327="","",IF($S1327="S",IF(""="","",""),IF(INDEX('AFA Rates'!$D$5:$D$1004,$T1327)="","",INDEX('AFA Rates'!$D$5:$D$1004,$T1327))))</f>
        <v/>
      </c>
      <c r="F1327" s="79">
        <f>IF($T1327="","",IF($S1327="S",IF(INDEX(Firms!$O$5:$O$1004,$T1327)="","",INDEX(Firms!$O$5:$O$1004,$T1327)),IF(INDEX('AFA Rates'!$O$5:$O$1004,$T1327)="","",INDEX('AFA Rates'!$O$5:$O$1004,$T1327))))</f>
        <v/>
      </c>
      <c r="G1327" s="50">
        <f>IF($T1327="","",IF($S1327="S",IF(INDEX(Firms!$F$5:$F$1004,$T1327)="","",INDEX(Firms!$F$5:$F$1004,$T1327)),IF(INDEX('AFA Rates'!$E$5:$E$1004,$T1327)="","",INDEX('AFA Rates'!$E$5:$E$1004,$T1327))))</f>
        <v/>
      </c>
      <c r="H1327" s="50">
        <f>IF($T1327="","",IF($S1327="S",IF(INDEX(Firms!$G$5:$G$1004,$T1327)="","",INDEX(Firms!$G$5:$G$1004,$T1327)),IF(INDEX('AFA Rates'!$F$5:$F$1004,$T1327)="","",INDEX('AFA Rates'!$F$5:$F$1004,$T1327))))</f>
        <v/>
      </c>
      <c r="I1327" s="50">
        <f>IF($T1327="","",IF($S1327="S",IF(INDEX(Firms!$H$5:$H$1004,$T1327)="","",INDEX(Firms!$H$5:$H$1004,$T1327)),IF(INDEX('AFA Rates'!$G$5:$G$1004,$T1327)="","",INDEX('AFA Rates'!$G$5:$G$1004,$T1327))))</f>
        <v/>
      </c>
      <c r="J1327" s="50">
        <f>IF($T1327="","",IF($S1327="S",IF(INDEX(Firms!$I$5:$I$1004,$T1327)="","",INDEX(Firms!$I$5:$I$1004,$T1327)),IF(INDEX('AFA Rates'!$H$5:$H$1004,$T1327)="","",INDEX('AFA Rates'!$H$5:$H$1004,$T1327))))</f>
        <v/>
      </c>
      <c r="K1327" s="50">
        <f>IF($T1327="","",IF($S1327="S",IF(INDEX(Firms!$J$5:$J$1004,$T1327)="","",INDEX(Firms!$J$5:$J$1004,$T1327)),IF(INDEX('AFA Rates'!$I$5:$I$1004,$T1327)="","",INDEX('AFA Rates'!$I$5:$I$1004,$T1327))))</f>
        <v/>
      </c>
      <c r="L1327" s="50">
        <f>IF($T1327="","",IF($S1327="S",IF(INDEX(Firms!$K$5:$K$1004,$T1327)="","",INDEX(Firms!$K$5:$K$1004,$T1327)),IF(INDEX('AFA Rates'!$J$5:$J$1004,$T1327)="","",INDEX('AFA Rates'!$J$5:$J$1004,$T1327))))</f>
        <v/>
      </c>
      <c r="M1327" s="50">
        <f>IF($T1327="","",IF($S1327="S",IF(INDEX(Firms!$L$5:$L$1004,$T1327)="","",INDEX(Firms!$L$5:$L$1004,$T1327)),IF(INDEX('AFA Rates'!$K$5:$K$1004,$T1327)="","",INDEX('AFA Rates'!$K$5:$K$1004,$T1327))))</f>
        <v/>
      </c>
      <c r="N1327" s="50">
        <f>IF($T1327="","",IF($S1327="S",IF(INDEX(Firms!$M$5:$M$1004,$T1327)="","",INDEX(Firms!$M$5:$M$1004,$T1327)),IF(INDEX('AFA Rates'!$L$5:$L$1004,$T1327)="","",INDEX('AFA Rates'!$L$5:$L$1004,$T1327))))</f>
        <v/>
      </c>
      <c r="O1327" s="78">
        <f>IF(OR($T1327="",$U1327=""),"",IF(INDEX(Firms!$C$5:$C$1004,$U1327)="","",INDEX(Firms!$C$5:$C$1004,$U1327)))</f>
        <v/>
      </c>
      <c r="P1327" s="79">
        <f>IF(OR($T1327="",$U1327=""),"",IF(INDEX(Firms!$N$5:$N$1004,$U1327)="","",INDEX(Firms!$N$5:$N$1004,$U1327)))</f>
        <v/>
      </c>
      <c r="Q1327" s="78">
        <f>IF($T1327="","",IF($S1327="S",IF(INDEX(Firms!$T$5:$T$1004,$T1327)="","",INDEX(Firms!$T$5:$T$1004,$T1327)),IF(INDEX('AFA Rates'!$M$5:$M$1004,$T1327)="","",INDEX('AFA Rates'!$M$5:$M$1004,$T1327))))</f>
        <v/>
      </c>
      <c r="S1327">
        <f>IF(1323&lt;=$S$2,"S",IF(1323&lt;=$S$2+$T$2,"A",""))</f>
        <v/>
      </c>
      <c r="T1327">
        <f>IF(S1327="S",MATCH(1323,Firms!$W$5:$W$1004,0),IF(S1327="A",IFERROR(MATCH(1323-$S$2,'AFA Rates'!$R$5:$R$1004,0),""),""))</f>
        <v/>
      </c>
      <c r="U1327">
        <f>IF(S1327="S",T1327,IF(AND(S1327="A",T1327&lt;&gt;""),IFERROR(MATCH(INDEX('AFA Rates'!$A$5:$A$1004,T1327),Firms!$A$5:$A$1004,0),""),""))</f>
        <v/>
      </c>
    </row>
    <row r="1328">
      <c r="A1328" s="78">
        <f>IF($T1328="","",IF($S1328="S",IF(INDEX(Firms!$A$5:$A$1004,$T1328)="","",INDEX(Firms!$A$5:$A$1004,$T1328)),IF(INDEX('AFA Rates'!$A$5:$A$1004,$T1328)="","",INDEX('AFA Rates'!$A$5:$A$1004,$T1328))))</f>
        <v/>
      </c>
      <c r="B1328" s="79">
        <f>IF(OR($T1328="",$U1328=""),IF($T1328="","","Not on Firms tab"),INDEX(Firms!$B$5:$B$1004,$U1328)&amp;"")</f>
        <v/>
      </c>
      <c r="C1328" s="78">
        <f>IF($T1328="","",IF($S1328="S","Standard",INDEX('AFA Rates'!$B$5:$B$1004,$T1328)&amp;""))</f>
        <v/>
      </c>
      <c r="D1328" s="88">
        <f>IF($T1328="","",IF($S1328="S",IF(INDEX(Firms!$E$5:$E$1004,$T1328)="","",INDEX(Firms!$E$5:$E$1004,$T1328)),IF(INDEX('AFA Rates'!$C$5:$C$1004,$T1328)="","",INDEX('AFA Rates'!$C$5:$C$1004,$T1328))))</f>
        <v/>
      </c>
      <c r="E1328" s="88">
        <f>IF($T1328="","",IF($S1328="S",IF(""="","",""),IF(INDEX('AFA Rates'!$D$5:$D$1004,$T1328)="","",INDEX('AFA Rates'!$D$5:$D$1004,$T1328))))</f>
        <v/>
      </c>
      <c r="F1328" s="79">
        <f>IF($T1328="","",IF($S1328="S",IF(INDEX(Firms!$O$5:$O$1004,$T1328)="","",INDEX(Firms!$O$5:$O$1004,$T1328)),IF(INDEX('AFA Rates'!$O$5:$O$1004,$T1328)="","",INDEX('AFA Rates'!$O$5:$O$1004,$T1328))))</f>
        <v/>
      </c>
      <c r="G1328" s="50">
        <f>IF($T1328="","",IF($S1328="S",IF(INDEX(Firms!$F$5:$F$1004,$T1328)="","",INDEX(Firms!$F$5:$F$1004,$T1328)),IF(INDEX('AFA Rates'!$E$5:$E$1004,$T1328)="","",INDEX('AFA Rates'!$E$5:$E$1004,$T1328))))</f>
        <v/>
      </c>
      <c r="H1328" s="50">
        <f>IF($T1328="","",IF($S1328="S",IF(INDEX(Firms!$G$5:$G$1004,$T1328)="","",INDEX(Firms!$G$5:$G$1004,$T1328)),IF(INDEX('AFA Rates'!$F$5:$F$1004,$T1328)="","",INDEX('AFA Rates'!$F$5:$F$1004,$T1328))))</f>
        <v/>
      </c>
      <c r="I1328" s="50">
        <f>IF($T1328="","",IF($S1328="S",IF(INDEX(Firms!$H$5:$H$1004,$T1328)="","",INDEX(Firms!$H$5:$H$1004,$T1328)),IF(INDEX('AFA Rates'!$G$5:$G$1004,$T1328)="","",INDEX('AFA Rates'!$G$5:$G$1004,$T1328))))</f>
        <v/>
      </c>
      <c r="J1328" s="50">
        <f>IF($T1328="","",IF($S1328="S",IF(INDEX(Firms!$I$5:$I$1004,$T1328)="","",INDEX(Firms!$I$5:$I$1004,$T1328)),IF(INDEX('AFA Rates'!$H$5:$H$1004,$T1328)="","",INDEX('AFA Rates'!$H$5:$H$1004,$T1328))))</f>
        <v/>
      </c>
      <c r="K1328" s="50">
        <f>IF($T1328="","",IF($S1328="S",IF(INDEX(Firms!$J$5:$J$1004,$T1328)="","",INDEX(Firms!$J$5:$J$1004,$T1328)),IF(INDEX('AFA Rates'!$I$5:$I$1004,$T1328)="","",INDEX('AFA Rates'!$I$5:$I$1004,$T1328))))</f>
        <v/>
      </c>
      <c r="L1328" s="50">
        <f>IF($T1328="","",IF($S1328="S",IF(INDEX(Firms!$K$5:$K$1004,$T1328)="","",INDEX(Firms!$K$5:$K$1004,$T1328)),IF(INDEX('AFA Rates'!$J$5:$J$1004,$T1328)="","",INDEX('AFA Rates'!$J$5:$J$1004,$T1328))))</f>
        <v/>
      </c>
      <c r="M1328" s="50">
        <f>IF($T1328="","",IF($S1328="S",IF(INDEX(Firms!$L$5:$L$1004,$T1328)="","",INDEX(Firms!$L$5:$L$1004,$T1328)),IF(INDEX('AFA Rates'!$K$5:$K$1004,$T1328)="","",INDEX('AFA Rates'!$K$5:$K$1004,$T1328))))</f>
        <v/>
      </c>
      <c r="N1328" s="50">
        <f>IF($T1328="","",IF($S1328="S",IF(INDEX(Firms!$M$5:$M$1004,$T1328)="","",INDEX(Firms!$M$5:$M$1004,$T1328)),IF(INDEX('AFA Rates'!$L$5:$L$1004,$T1328)="","",INDEX('AFA Rates'!$L$5:$L$1004,$T1328))))</f>
        <v/>
      </c>
      <c r="O1328" s="78">
        <f>IF(OR($T1328="",$U1328=""),"",IF(INDEX(Firms!$C$5:$C$1004,$U1328)="","",INDEX(Firms!$C$5:$C$1004,$U1328)))</f>
        <v/>
      </c>
      <c r="P1328" s="79">
        <f>IF(OR($T1328="",$U1328=""),"",IF(INDEX(Firms!$N$5:$N$1004,$U1328)="","",INDEX(Firms!$N$5:$N$1004,$U1328)))</f>
        <v/>
      </c>
      <c r="Q1328" s="78">
        <f>IF($T1328="","",IF($S1328="S",IF(INDEX(Firms!$T$5:$T$1004,$T1328)="","",INDEX(Firms!$T$5:$T$1004,$T1328)),IF(INDEX('AFA Rates'!$M$5:$M$1004,$T1328)="","",INDEX('AFA Rates'!$M$5:$M$1004,$T1328))))</f>
        <v/>
      </c>
      <c r="S1328">
        <f>IF(1324&lt;=$S$2,"S",IF(1324&lt;=$S$2+$T$2,"A",""))</f>
        <v/>
      </c>
      <c r="T1328">
        <f>IF(S1328="S",MATCH(1324,Firms!$W$5:$W$1004,0),IF(S1328="A",IFERROR(MATCH(1324-$S$2,'AFA Rates'!$R$5:$R$1004,0),""),""))</f>
        <v/>
      </c>
      <c r="U1328">
        <f>IF(S1328="S",T1328,IF(AND(S1328="A",T1328&lt;&gt;""),IFERROR(MATCH(INDEX('AFA Rates'!$A$5:$A$1004,T1328),Firms!$A$5:$A$1004,0),""),""))</f>
        <v/>
      </c>
    </row>
    <row r="1329">
      <c r="A1329" s="78">
        <f>IF($T1329="","",IF($S1329="S",IF(INDEX(Firms!$A$5:$A$1004,$T1329)="","",INDEX(Firms!$A$5:$A$1004,$T1329)),IF(INDEX('AFA Rates'!$A$5:$A$1004,$T1329)="","",INDEX('AFA Rates'!$A$5:$A$1004,$T1329))))</f>
        <v/>
      </c>
      <c r="B1329" s="79">
        <f>IF(OR($T1329="",$U1329=""),IF($T1329="","","Not on Firms tab"),INDEX(Firms!$B$5:$B$1004,$U1329)&amp;"")</f>
        <v/>
      </c>
      <c r="C1329" s="78">
        <f>IF($T1329="","",IF($S1329="S","Standard",INDEX('AFA Rates'!$B$5:$B$1004,$T1329)&amp;""))</f>
        <v/>
      </c>
      <c r="D1329" s="88">
        <f>IF($T1329="","",IF($S1329="S",IF(INDEX(Firms!$E$5:$E$1004,$T1329)="","",INDEX(Firms!$E$5:$E$1004,$T1329)),IF(INDEX('AFA Rates'!$C$5:$C$1004,$T1329)="","",INDEX('AFA Rates'!$C$5:$C$1004,$T1329))))</f>
        <v/>
      </c>
      <c r="E1329" s="88">
        <f>IF($T1329="","",IF($S1329="S",IF(""="","",""),IF(INDEX('AFA Rates'!$D$5:$D$1004,$T1329)="","",INDEX('AFA Rates'!$D$5:$D$1004,$T1329))))</f>
        <v/>
      </c>
      <c r="F1329" s="79">
        <f>IF($T1329="","",IF($S1329="S",IF(INDEX(Firms!$O$5:$O$1004,$T1329)="","",INDEX(Firms!$O$5:$O$1004,$T1329)),IF(INDEX('AFA Rates'!$O$5:$O$1004,$T1329)="","",INDEX('AFA Rates'!$O$5:$O$1004,$T1329))))</f>
        <v/>
      </c>
      <c r="G1329" s="50">
        <f>IF($T1329="","",IF($S1329="S",IF(INDEX(Firms!$F$5:$F$1004,$T1329)="","",INDEX(Firms!$F$5:$F$1004,$T1329)),IF(INDEX('AFA Rates'!$E$5:$E$1004,$T1329)="","",INDEX('AFA Rates'!$E$5:$E$1004,$T1329))))</f>
        <v/>
      </c>
      <c r="H1329" s="50">
        <f>IF($T1329="","",IF($S1329="S",IF(INDEX(Firms!$G$5:$G$1004,$T1329)="","",INDEX(Firms!$G$5:$G$1004,$T1329)),IF(INDEX('AFA Rates'!$F$5:$F$1004,$T1329)="","",INDEX('AFA Rates'!$F$5:$F$1004,$T1329))))</f>
        <v/>
      </c>
      <c r="I1329" s="50">
        <f>IF($T1329="","",IF($S1329="S",IF(INDEX(Firms!$H$5:$H$1004,$T1329)="","",INDEX(Firms!$H$5:$H$1004,$T1329)),IF(INDEX('AFA Rates'!$G$5:$G$1004,$T1329)="","",INDEX('AFA Rates'!$G$5:$G$1004,$T1329))))</f>
        <v/>
      </c>
      <c r="J1329" s="50">
        <f>IF($T1329="","",IF($S1329="S",IF(INDEX(Firms!$I$5:$I$1004,$T1329)="","",INDEX(Firms!$I$5:$I$1004,$T1329)),IF(INDEX('AFA Rates'!$H$5:$H$1004,$T1329)="","",INDEX('AFA Rates'!$H$5:$H$1004,$T1329))))</f>
        <v/>
      </c>
      <c r="K1329" s="50">
        <f>IF($T1329="","",IF($S1329="S",IF(INDEX(Firms!$J$5:$J$1004,$T1329)="","",INDEX(Firms!$J$5:$J$1004,$T1329)),IF(INDEX('AFA Rates'!$I$5:$I$1004,$T1329)="","",INDEX('AFA Rates'!$I$5:$I$1004,$T1329))))</f>
        <v/>
      </c>
      <c r="L1329" s="50">
        <f>IF($T1329="","",IF($S1329="S",IF(INDEX(Firms!$K$5:$K$1004,$T1329)="","",INDEX(Firms!$K$5:$K$1004,$T1329)),IF(INDEX('AFA Rates'!$J$5:$J$1004,$T1329)="","",INDEX('AFA Rates'!$J$5:$J$1004,$T1329))))</f>
        <v/>
      </c>
      <c r="M1329" s="50">
        <f>IF($T1329="","",IF($S1329="S",IF(INDEX(Firms!$L$5:$L$1004,$T1329)="","",INDEX(Firms!$L$5:$L$1004,$T1329)),IF(INDEX('AFA Rates'!$K$5:$K$1004,$T1329)="","",INDEX('AFA Rates'!$K$5:$K$1004,$T1329))))</f>
        <v/>
      </c>
      <c r="N1329" s="50">
        <f>IF($T1329="","",IF($S1329="S",IF(INDEX(Firms!$M$5:$M$1004,$T1329)="","",INDEX(Firms!$M$5:$M$1004,$T1329)),IF(INDEX('AFA Rates'!$L$5:$L$1004,$T1329)="","",INDEX('AFA Rates'!$L$5:$L$1004,$T1329))))</f>
        <v/>
      </c>
      <c r="O1329" s="78">
        <f>IF(OR($T1329="",$U1329=""),"",IF(INDEX(Firms!$C$5:$C$1004,$U1329)="","",INDEX(Firms!$C$5:$C$1004,$U1329)))</f>
        <v/>
      </c>
      <c r="P1329" s="79">
        <f>IF(OR($T1329="",$U1329=""),"",IF(INDEX(Firms!$N$5:$N$1004,$U1329)="","",INDEX(Firms!$N$5:$N$1004,$U1329)))</f>
        <v/>
      </c>
      <c r="Q1329" s="78">
        <f>IF($T1329="","",IF($S1329="S",IF(INDEX(Firms!$T$5:$T$1004,$T1329)="","",INDEX(Firms!$T$5:$T$1004,$T1329)),IF(INDEX('AFA Rates'!$M$5:$M$1004,$T1329)="","",INDEX('AFA Rates'!$M$5:$M$1004,$T1329))))</f>
        <v/>
      </c>
      <c r="S1329">
        <f>IF(1325&lt;=$S$2,"S",IF(1325&lt;=$S$2+$T$2,"A",""))</f>
        <v/>
      </c>
      <c r="T1329">
        <f>IF(S1329="S",MATCH(1325,Firms!$W$5:$W$1004,0),IF(S1329="A",IFERROR(MATCH(1325-$S$2,'AFA Rates'!$R$5:$R$1004,0),""),""))</f>
        <v/>
      </c>
      <c r="U1329">
        <f>IF(S1329="S",T1329,IF(AND(S1329="A",T1329&lt;&gt;""),IFERROR(MATCH(INDEX('AFA Rates'!$A$5:$A$1004,T1329),Firms!$A$5:$A$1004,0),""),""))</f>
        <v/>
      </c>
    </row>
    <row r="1330">
      <c r="A1330" s="78">
        <f>IF($T1330="","",IF($S1330="S",IF(INDEX(Firms!$A$5:$A$1004,$T1330)="","",INDEX(Firms!$A$5:$A$1004,$T1330)),IF(INDEX('AFA Rates'!$A$5:$A$1004,$T1330)="","",INDEX('AFA Rates'!$A$5:$A$1004,$T1330))))</f>
        <v/>
      </c>
      <c r="B1330" s="79">
        <f>IF(OR($T1330="",$U1330=""),IF($T1330="","","Not on Firms tab"),INDEX(Firms!$B$5:$B$1004,$U1330)&amp;"")</f>
        <v/>
      </c>
      <c r="C1330" s="78">
        <f>IF($T1330="","",IF($S1330="S","Standard",INDEX('AFA Rates'!$B$5:$B$1004,$T1330)&amp;""))</f>
        <v/>
      </c>
      <c r="D1330" s="88">
        <f>IF($T1330="","",IF($S1330="S",IF(INDEX(Firms!$E$5:$E$1004,$T1330)="","",INDEX(Firms!$E$5:$E$1004,$T1330)),IF(INDEX('AFA Rates'!$C$5:$C$1004,$T1330)="","",INDEX('AFA Rates'!$C$5:$C$1004,$T1330))))</f>
        <v/>
      </c>
      <c r="E1330" s="88">
        <f>IF($T1330="","",IF($S1330="S",IF(""="","",""),IF(INDEX('AFA Rates'!$D$5:$D$1004,$T1330)="","",INDEX('AFA Rates'!$D$5:$D$1004,$T1330))))</f>
        <v/>
      </c>
      <c r="F1330" s="79">
        <f>IF($T1330="","",IF($S1330="S",IF(INDEX(Firms!$O$5:$O$1004,$T1330)="","",INDEX(Firms!$O$5:$O$1004,$T1330)),IF(INDEX('AFA Rates'!$O$5:$O$1004,$T1330)="","",INDEX('AFA Rates'!$O$5:$O$1004,$T1330))))</f>
        <v/>
      </c>
      <c r="G1330" s="50">
        <f>IF($T1330="","",IF($S1330="S",IF(INDEX(Firms!$F$5:$F$1004,$T1330)="","",INDEX(Firms!$F$5:$F$1004,$T1330)),IF(INDEX('AFA Rates'!$E$5:$E$1004,$T1330)="","",INDEX('AFA Rates'!$E$5:$E$1004,$T1330))))</f>
        <v/>
      </c>
      <c r="H1330" s="50">
        <f>IF($T1330="","",IF($S1330="S",IF(INDEX(Firms!$G$5:$G$1004,$T1330)="","",INDEX(Firms!$G$5:$G$1004,$T1330)),IF(INDEX('AFA Rates'!$F$5:$F$1004,$T1330)="","",INDEX('AFA Rates'!$F$5:$F$1004,$T1330))))</f>
        <v/>
      </c>
      <c r="I1330" s="50">
        <f>IF($T1330="","",IF($S1330="S",IF(INDEX(Firms!$H$5:$H$1004,$T1330)="","",INDEX(Firms!$H$5:$H$1004,$T1330)),IF(INDEX('AFA Rates'!$G$5:$G$1004,$T1330)="","",INDEX('AFA Rates'!$G$5:$G$1004,$T1330))))</f>
        <v/>
      </c>
      <c r="J1330" s="50">
        <f>IF($T1330="","",IF($S1330="S",IF(INDEX(Firms!$I$5:$I$1004,$T1330)="","",INDEX(Firms!$I$5:$I$1004,$T1330)),IF(INDEX('AFA Rates'!$H$5:$H$1004,$T1330)="","",INDEX('AFA Rates'!$H$5:$H$1004,$T1330))))</f>
        <v/>
      </c>
      <c r="K1330" s="50">
        <f>IF($T1330="","",IF($S1330="S",IF(INDEX(Firms!$J$5:$J$1004,$T1330)="","",INDEX(Firms!$J$5:$J$1004,$T1330)),IF(INDEX('AFA Rates'!$I$5:$I$1004,$T1330)="","",INDEX('AFA Rates'!$I$5:$I$1004,$T1330))))</f>
        <v/>
      </c>
      <c r="L1330" s="50">
        <f>IF($T1330="","",IF($S1330="S",IF(INDEX(Firms!$K$5:$K$1004,$T1330)="","",INDEX(Firms!$K$5:$K$1004,$T1330)),IF(INDEX('AFA Rates'!$J$5:$J$1004,$T1330)="","",INDEX('AFA Rates'!$J$5:$J$1004,$T1330))))</f>
        <v/>
      </c>
      <c r="M1330" s="50">
        <f>IF($T1330="","",IF($S1330="S",IF(INDEX(Firms!$L$5:$L$1004,$T1330)="","",INDEX(Firms!$L$5:$L$1004,$T1330)),IF(INDEX('AFA Rates'!$K$5:$K$1004,$T1330)="","",INDEX('AFA Rates'!$K$5:$K$1004,$T1330))))</f>
        <v/>
      </c>
      <c r="N1330" s="50">
        <f>IF($T1330="","",IF($S1330="S",IF(INDEX(Firms!$M$5:$M$1004,$T1330)="","",INDEX(Firms!$M$5:$M$1004,$T1330)),IF(INDEX('AFA Rates'!$L$5:$L$1004,$T1330)="","",INDEX('AFA Rates'!$L$5:$L$1004,$T1330))))</f>
        <v/>
      </c>
      <c r="O1330" s="78">
        <f>IF(OR($T1330="",$U1330=""),"",IF(INDEX(Firms!$C$5:$C$1004,$U1330)="","",INDEX(Firms!$C$5:$C$1004,$U1330)))</f>
        <v/>
      </c>
      <c r="P1330" s="79">
        <f>IF(OR($T1330="",$U1330=""),"",IF(INDEX(Firms!$N$5:$N$1004,$U1330)="","",INDEX(Firms!$N$5:$N$1004,$U1330)))</f>
        <v/>
      </c>
      <c r="Q1330" s="78">
        <f>IF($T1330="","",IF($S1330="S",IF(INDEX(Firms!$T$5:$T$1004,$T1330)="","",INDEX(Firms!$T$5:$T$1004,$T1330)),IF(INDEX('AFA Rates'!$M$5:$M$1004,$T1330)="","",INDEX('AFA Rates'!$M$5:$M$1004,$T1330))))</f>
        <v/>
      </c>
      <c r="S1330">
        <f>IF(1326&lt;=$S$2,"S",IF(1326&lt;=$S$2+$T$2,"A",""))</f>
        <v/>
      </c>
      <c r="T1330">
        <f>IF(S1330="S",MATCH(1326,Firms!$W$5:$W$1004,0),IF(S1330="A",IFERROR(MATCH(1326-$S$2,'AFA Rates'!$R$5:$R$1004,0),""),""))</f>
        <v/>
      </c>
      <c r="U1330">
        <f>IF(S1330="S",T1330,IF(AND(S1330="A",T1330&lt;&gt;""),IFERROR(MATCH(INDEX('AFA Rates'!$A$5:$A$1004,T1330),Firms!$A$5:$A$1004,0),""),""))</f>
        <v/>
      </c>
    </row>
    <row r="1331">
      <c r="A1331" s="78">
        <f>IF($T1331="","",IF($S1331="S",IF(INDEX(Firms!$A$5:$A$1004,$T1331)="","",INDEX(Firms!$A$5:$A$1004,$T1331)),IF(INDEX('AFA Rates'!$A$5:$A$1004,$T1331)="","",INDEX('AFA Rates'!$A$5:$A$1004,$T1331))))</f>
        <v/>
      </c>
      <c r="B1331" s="79">
        <f>IF(OR($T1331="",$U1331=""),IF($T1331="","","Not on Firms tab"),INDEX(Firms!$B$5:$B$1004,$U1331)&amp;"")</f>
        <v/>
      </c>
      <c r="C1331" s="78">
        <f>IF($T1331="","",IF($S1331="S","Standard",INDEX('AFA Rates'!$B$5:$B$1004,$T1331)&amp;""))</f>
        <v/>
      </c>
      <c r="D1331" s="88">
        <f>IF($T1331="","",IF($S1331="S",IF(INDEX(Firms!$E$5:$E$1004,$T1331)="","",INDEX(Firms!$E$5:$E$1004,$T1331)),IF(INDEX('AFA Rates'!$C$5:$C$1004,$T1331)="","",INDEX('AFA Rates'!$C$5:$C$1004,$T1331))))</f>
        <v/>
      </c>
      <c r="E1331" s="88">
        <f>IF($T1331="","",IF($S1331="S",IF(""="","",""),IF(INDEX('AFA Rates'!$D$5:$D$1004,$T1331)="","",INDEX('AFA Rates'!$D$5:$D$1004,$T1331))))</f>
        <v/>
      </c>
      <c r="F1331" s="79">
        <f>IF($T1331="","",IF($S1331="S",IF(INDEX(Firms!$O$5:$O$1004,$T1331)="","",INDEX(Firms!$O$5:$O$1004,$T1331)),IF(INDEX('AFA Rates'!$O$5:$O$1004,$T1331)="","",INDEX('AFA Rates'!$O$5:$O$1004,$T1331))))</f>
        <v/>
      </c>
      <c r="G1331" s="50">
        <f>IF($T1331="","",IF($S1331="S",IF(INDEX(Firms!$F$5:$F$1004,$T1331)="","",INDEX(Firms!$F$5:$F$1004,$T1331)),IF(INDEX('AFA Rates'!$E$5:$E$1004,$T1331)="","",INDEX('AFA Rates'!$E$5:$E$1004,$T1331))))</f>
        <v/>
      </c>
      <c r="H1331" s="50">
        <f>IF($T1331="","",IF($S1331="S",IF(INDEX(Firms!$G$5:$G$1004,$T1331)="","",INDEX(Firms!$G$5:$G$1004,$T1331)),IF(INDEX('AFA Rates'!$F$5:$F$1004,$T1331)="","",INDEX('AFA Rates'!$F$5:$F$1004,$T1331))))</f>
        <v/>
      </c>
      <c r="I1331" s="50">
        <f>IF($T1331="","",IF($S1331="S",IF(INDEX(Firms!$H$5:$H$1004,$T1331)="","",INDEX(Firms!$H$5:$H$1004,$T1331)),IF(INDEX('AFA Rates'!$G$5:$G$1004,$T1331)="","",INDEX('AFA Rates'!$G$5:$G$1004,$T1331))))</f>
        <v/>
      </c>
      <c r="J1331" s="50">
        <f>IF($T1331="","",IF($S1331="S",IF(INDEX(Firms!$I$5:$I$1004,$T1331)="","",INDEX(Firms!$I$5:$I$1004,$T1331)),IF(INDEX('AFA Rates'!$H$5:$H$1004,$T1331)="","",INDEX('AFA Rates'!$H$5:$H$1004,$T1331))))</f>
        <v/>
      </c>
      <c r="K1331" s="50">
        <f>IF($T1331="","",IF($S1331="S",IF(INDEX(Firms!$J$5:$J$1004,$T1331)="","",INDEX(Firms!$J$5:$J$1004,$T1331)),IF(INDEX('AFA Rates'!$I$5:$I$1004,$T1331)="","",INDEX('AFA Rates'!$I$5:$I$1004,$T1331))))</f>
        <v/>
      </c>
      <c r="L1331" s="50">
        <f>IF($T1331="","",IF($S1331="S",IF(INDEX(Firms!$K$5:$K$1004,$T1331)="","",INDEX(Firms!$K$5:$K$1004,$T1331)),IF(INDEX('AFA Rates'!$J$5:$J$1004,$T1331)="","",INDEX('AFA Rates'!$J$5:$J$1004,$T1331))))</f>
        <v/>
      </c>
      <c r="M1331" s="50">
        <f>IF($T1331="","",IF($S1331="S",IF(INDEX(Firms!$L$5:$L$1004,$T1331)="","",INDEX(Firms!$L$5:$L$1004,$T1331)),IF(INDEX('AFA Rates'!$K$5:$K$1004,$T1331)="","",INDEX('AFA Rates'!$K$5:$K$1004,$T1331))))</f>
        <v/>
      </c>
      <c r="N1331" s="50">
        <f>IF($T1331="","",IF($S1331="S",IF(INDEX(Firms!$M$5:$M$1004,$T1331)="","",INDEX(Firms!$M$5:$M$1004,$T1331)),IF(INDEX('AFA Rates'!$L$5:$L$1004,$T1331)="","",INDEX('AFA Rates'!$L$5:$L$1004,$T1331))))</f>
        <v/>
      </c>
      <c r="O1331" s="78">
        <f>IF(OR($T1331="",$U1331=""),"",IF(INDEX(Firms!$C$5:$C$1004,$U1331)="","",INDEX(Firms!$C$5:$C$1004,$U1331)))</f>
        <v/>
      </c>
      <c r="P1331" s="79">
        <f>IF(OR($T1331="",$U1331=""),"",IF(INDEX(Firms!$N$5:$N$1004,$U1331)="","",INDEX(Firms!$N$5:$N$1004,$U1331)))</f>
        <v/>
      </c>
      <c r="Q1331" s="78">
        <f>IF($T1331="","",IF($S1331="S",IF(INDEX(Firms!$T$5:$T$1004,$T1331)="","",INDEX(Firms!$T$5:$T$1004,$T1331)),IF(INDEX('AFA Rates'!$M$5:$M$1004,$T1331)="","",INDEX('AFA Rates'!$M$5:$M$1004,$T1331))))</f>
        <v/>
      </c>
      <c r="S1331">
        <f>IF(1327&lt;=$S$2,"S",IF(1327&lt;=$S$2+$T$2,"A",""))</f>
        <v/>
      </c>
      <c r="T1331">
        <f>IF(S1331="S",MATCH(1327,Firms!$W$5:$W$1004,0),IF(S1331="A",IFERROR(MATCH(1327-$S$2,'AFA Rates'!$R$5:$R$1004,0),""),""))</f>
        <v/>
      </c>
      <c r="U1331">
        <f>IF(S1331="S",T1331,IF(AND(S1331="A",T1331&lt;&gt;""),IFERROR(MATCH(INDEX('AFA Rates'!$A$5:$A$1004,T1331),Firms!$A$5:$A$1004,0),""),""))</f>
        <v/>
      </c>
    </row>
    <row r="1332">
      <c r="A1332" s="78">
        <f>IF($T1332="","",IF($S1332="S",IF(INDEX(Firms!$A$5:$A$1004,$T1332)="","",INDEX(Firms!$A$5:$A$1004,$T1332)),IF(INDEX('AFA Rates'!$A$5:$A$1004,$T1332)="","",INDEX('AFA Rates'!$A$5:$A$1004,$T1332))))</f>
        <v/>
      </c>
      <c r="B1332" s="79">
        <f>IF(OR($T1332="",$U1332=""),IF($T1332="","","Not on Firms tab"),INDEX(Firms!$B$5:$B$1004,$U1332)&amp;"")</f>
        <v/>
      </c>
      <c r="C1332" s="78">
        <f>IF($T1332="","",IF($S1332="S","Standard",INDEX('AFA Rates'!$B$5:$B$1004,$T1332)&amp;""))</f>
        <v/>
      </c>
      <c r="D1332" s="88">
        <f>IF($T1332="","",IF($S1332="S",IF(INDEX(Firms!$E$5:$E$1004,$T1332)="","",INDEX(Firms!$E$5:$E$1004,$T1332)),IF(INDEX('AFA Rates'!$C$5:$C$1004,$T1332)="","",INDEX('AFA Rates'!$C$5:$C$1004,$T1332))))</f>
        <v/>
      </c>
      <c r="E1332" s="88">
        <f>IF($T1332="","",IF($S1332="S",IF(""="","",""),IF(INDEX('AFA Rates'!$D$5:$D$1004,$T1332)="","",INDEX('AFA Rates'!$D$5:$D$1004,$T1332))))</f>
        <v/>
      </c>
      <c r="F1332" s="79">
        <f>IF($T1332="","",IF($S1332="S",IF(INDEX(Firms!$O$5:$O$1004,$T1332)="","",INDEX(Firms!$O$5:$O$1004,$T1332)),IF(INDEX('AFA Rates'!$O$5:$O$1004,$T1332)="","",INDEX('AFA Rates'!$O$5:$O$1004,$T1332))))</f>
        <v/>
      </c>
      <c r="G1332" s="50">
        <f>IF($T1332="","",IF($S1332="S",IF(INDEX(Firms!$F$5:$F$1004,$T1332)="","",INDEX(Firms!$F$5:$F$1004,$T1332)),IF(INDEX('AFA Rates'!$E$5:$E$1004,$T1332)="","",INDEX('AFA Rates'!$E$5:$E$1004,$T1332))))</f>
        <v/>
      </c>
      <c r="H1332" s="50">
        <f>IF($T1332="","",IF($S1332="S",IF(INDEX(Firms!$G$5:$G$1004,$T1332)="","",INDEX(Firms!$G$5:$G$1004,$T1332)),IF(INDEX('AFA Rates'!$F$5:$F$1004,$T1332)="","",INDEX('AFA Rates'!$F$5:$F$1004,$T1332))))</f>
        <v/>
      </c>
      <c r="I1332" s="50">
        <f>IF($T1332="","",IF($S1332="S",IF(INDEX(Firms!$H$5:$H$1004,$T1332)="","",INDEX(Firms!$H$5:$H$1004,$T1332)),IF(INDEX('AFA Rates'!$G$5:$G$1004,$T1332)="","",INDEX('AFA Rates'!$G$5:$G$1004,$T1332))))</f>
        <v/>
      </c>
      <c r="J1332" s="50">
        <f>IF($T1332="","",IF($S1332="S",IF(INDEX(Firms!$I$5:$I$1004,$T1332)="","",INDEX(Firms!$I$5:$I$1004,$T1332)),IF(INDEX('AFA Rates'!$H$5:$H$1004,$T1332)="","",INDEX('AFA Rates'!$H$5:$H$1004,$T1332))))</f>
        <v/>
      </c>
      <c r="K1332" s="50">
        <f>IF($T1332="","",IF($S1332="S",IF(INDEX(Firms!$J$5:$J$1004,$T1332)="","",INDEX(Firms!$J$5:$J$1004,$T1332)),IF(INDEX('AFA Rates'!$I$5:$I$1004,$T1332)="","",INDEX('AFA Rates'!$I$5:$I$1004,$T1332))))</f>
        <v/>
      </c>
      <c r="L1332" s="50">
        <f>IF($T1332="","",IF($S1332="S",IF(INDEX(Firms!$K$5:$K$1004,$T1332)="","",INDEX(Firms!$K$5:$K$1004,$T1332)),IF(INDEX('AFA Rates'!$J$5:$J$1004,$T1332)="","",INDEX('AFA Rates'!$J$5:$J$1004,$T1332))))</f>
        <v/>
      </c>
      <c r="M1332" s="50">
        <f>IF($T1332="","",IF($S1332="S",IF(INDEX(Firms!$L$5:$L$1004,$T1332)="","",INDEX(Firms!$L$5:$L$1004,$T1332)),IF(INDEX('AFA Rates'!$K$5:$K$1004,$T1332)="","",INDEX('AFA Rates'!$K$5:$K$1004,$T1332))))</f>
        <v/>
      </c>
      <c r="N1332" s="50">
        <f>IF($T1332="","",IF($S1332="S",IF(INDEX(Firms!$M$5:$M$1004,$T1332)="","",INDEX(Firms!$M$5:$M$1004,$T1332)),IF(INDEX('AFA Rates'!$L$5:$L$1004,$T1332)="","",INDEX('AFA Rates'!$L$5:$L$1004,$T1332))))</f>
        <v/>
      </c>
      <c r="O1332" s="78">
        <f>IF(OR($T1332="",$U1332=""),"",IF(INDEX(Firms!$C$5:$C$1004,$U1332)="","",INDEX(Firms!$C$5:$C$1004,$U1332)))</f>
        <v/>
      </c>
      <c r="P1332" s="79">
        <f>IF(OR($T1332="",$U1332=""),"",IF(INDEX(Firms!$N$5:$N$1004,$U1332)="","",INDEX(Firms!$N$5:$N$1004,$U1332)))</f>
        <v/>
      </c>
      <c r="Q1332" s="78">
        <f>IF($T1332="","",IF($S1332="S",IF(INDEX(Firms!$T$5:$T$1004,$T1332)="","",INDEX(Firms!$T$5:$T$1004,$T1332)),IF(INDEX('AFA Rates'!$M$5:$M$1004,$T1332)="","",INDEX('AFA Rates'!$M$5:$M$1004,$T1332))))</f>
        <v/>
      </c>
      <c r="S1332">
        <f>IF(1328&lt;=$S$2,"S",IF(1328&lt;=$S$2+$T$2,"A",""))</f>
        <v/>
      </c>
      <c r="T1332">
        <f>IF(S1332="S",MATCH(1328,Firms!$W$5:$W$1004,0),IF(S1332="A",IFERROR(MATCH(1328-$S$2,'AFA Rates'!$R$5:$R$1004,0),""),""))</f>
        <v/>
      </c>
      <c r="U1332">
        <f>IF(S1332="S",T1332,IF(AND(S1332="A",T1332&lt;&gt;""),IFERROR(MATCH(INDEX('AFA Rates'!$A$5:$A$1004,T1332),Firms!$A$5:$A$1004,0),""),""))</f>
        <v/>
      </c>
    </row>
    <row r="1333">
      <c r="A1333" s="78">
        <f>IF($T1333="","",IF($S1333="S",IF(INDEX(Firms!$A$5:$A$1004,$T1333)="","",INDEX(Firms!$A$5:$A$1004,$T1333)),IF(INDEX('AFA Rates'!$A$5:$A$1004,$T1333)="","",INDEX('AFA Rates'!$A$5:$A$1004,$T1333))))</f>
        <v/>
      </c>
      <c r="B1333" s="79">
        <f>IF(OR($T1333="",$U1333=""),IF($T1333="","","Not on Firms tab"),INDEX(Firms!$B$5:$B$1004,$U1333)&amp;"")</f>
        <v/>
      </c>
      <c r="C1333" s="78">
        <f>IF($T1333="","",IF($S1333="S","Standard",INDEX('AFA Rates'!$B$5:$B$1004,$T1333)&amp;""))</f>
        <v/>
      </c>
      <c r="D1333" s="88">
        <f>IF($T1333="","",IF($S1333="S",IF(INDEX(Firms!$E$5:$E$1004,$T1333)="","",INDEX(Firms!$E$5:$E$1004,$T1333)),IF(INDEX('AFA Rates'!$C$5:$C$1004,$T1333)="","",INDEX('AFA Rates'!$C$5:$C$1004,$T1333))))</f>
        <v/>
      </c>
      <c r="E1333" s="88">
        <f>IF($T1333="","",IF($S1333="S",IF(""="","",""),IF(INDEX('AFA Rates'!$D$5:$D$1004,$T1333)="","",INDEX('AFA Rates'!$D$5:$D$1004,$T1333))))</f>
        <v/>
      </c>
      <c r="F1333" s="79">
        <f>IF($T1333="","",IF($S1333="S",IF(INDEX(Firms!$O$5:$O$1004,$T1333)="","",INDEX(Firms!$O$5:$O$1004,$T1333)),IF(INDEX('AFA Rates'!$O$5:$O$1004,$T1333)="","",INDEX('AFA Rates'!$O$5:$O$1004,$T1333))))</f>
        <v/>
      </c>
      <c r="G1333" s="50">
        <f>IF($T1333="","",IF($S1333="S",IF(INDEX(Firms!$F$5:$F$1004,$T1333)="","",INDEX(Firms!$F$5:$F$1004,$T1333)),IF(INDEX('AFA Rates'!$E$5:$E$1004,$T1333)="","",INDEX('AFA Rates'!$E$5:$E$1004,$T1333))))</f>
        <v/>
      </c>
      <c r="H1333" s="50">
        <f>IF($T1333="","",IF($S1333="S",IF(INDEX(Firms!$G$5:$G$1004,$T1333)="","",INDEX(Firms!$G$5:$G$1004,$T1333)),IF(INDEX('AFA Rates'!$F$5:$F$1004,$T1333)="","",INDEX('AFA Rates'!$F$5:$F$1004,$T1333))))</f>
        <v/>
      </c>
      <c r="I1333" s="50">
        <f>IF($T1333="","",IF($S1333="S",IF(INDEX(Firms!$H$5:$H$1004,$T1333)="","",INDEX(Firms!$H$5:$H$1004,$T1333)),IF(INDEX('AFA Rates'!$G$5:$G$1004,$T1333)="","",INDEX('AFA Rates'!$G$5:$G$1004,$T1333))))</f>
        <v/>
      </c>
      <c r="J1333" s="50">
        <f>IF($T1333="","",IF($S1333="S",IF(INDEX(Firms!$I$5:$I$1004,$T1333)="","",INDEX(Firms!$I$5:$I$1004,$T1333)),IF(INDEX('AFA Rates'!$H$5:$H$1004,$T1333)="","",INDEX('AFA Rates'!$H$5:$H$1004,$T1333))))</f>
        <v/>
      </c>
      <c r="K1333" s="50">
        <f>IF($T1333="","",IF($S1333="S",IF(INDEX(Firms!$J$5:$J$1004,$T1333)="","",INDEX(Firms!$J$5:$J$1004,$T1333)),IF(INDEX('AFA Rates'!$I$5:$I$1004,$T1333)="","",INDEX('AFA Rates'!$I$5:$I$1004,$T1333))))</f>
        <v/>
      </c>
      <c r="L1333" s="50">
        <f>IF($T1333="","",IF($S1333="S",IF(INDEX(Firms!$K$5:$K$1004,$T1333)="","",INDEX(Firms!$K$5:$K$1004,$T1333)),IF(INDEX('AFA Rates'!$J$5:$J$1004,$T1333)="","",INDEX('AFA Rates'!$J$5:$J$1004,$T1333))))</f>
        <v/>
      </c>
      <c r="M1333" s="50">
        <f>IF($T1333="","",IF($S1333="S",IF(INDEX(Firms!$L$5:$L$1004,$T1333)="","",INDEX(Firms!$L$5:$L$1004,$T1333)),IF(INDEX('AFA Rates'!$K$5:$K$1004,$T1333)="","",INDEX('AFA Rates'!$K$5:$K$1004,$T1333))))</f>
        <v/>
      </c>
      <c r="N1333" s="50">
        <f>IF($T1333="","",IF($S1333="S",IF(INDEX(Firms!$M$5:$M$1004,$T1333)="","",INDEX(Firms!$M$5:$M$1004,$T1333)),IF(INDEX('AFA Rates'!$L$5:$L$1004,$T1333)="","",INDEX('AFA Rates'!$L$5:$L$1004,$T1333))))</f>
        <v/>
      </c>
      <c r="O1333" s="78">
        <f>IF(OR($T1333="",$U1333=""),"",IF(INDEX(Firms!$C$5:$C$1004,$U1333)="","",INDEX(Firms!$C$5:$C$1004,$U1333)))</f>
        <v/>
      </c>
      <c r="P1333" s="79">
        <f>IF(OR($T1333="",$U1333=""),"",IF(INDEX(Firms!$N$5:$N$1004,$U1333)="","",INDEX(Firms!$N$5:$N$1004,$U1333)))</f>
        <v/>
      </c>
      <c r="Q1333" s="78">
        <f>IF($T1333="","",IF($S1333="S",IF(INDEX(Firms!$T$5:$T$1004,$T1333)="","",INDEX(Firms!$T$5:$T$1004,$T1333)),IF(INDEX('AFA Rates'!$M$5:$M$1004,$T1333)="","",INDEX('AFA Rates'!$M$5:$M$1004,$T1333))))</f>
        <v/>
      </c>
      <c r="S1333">
        <f>IF(1329&lt;=$S$2,"S",IF(1329&lt;=$S$2+$T$2,"A",""))</f>
        <v/>
      </c>
      <c r="T1333">
        <f>IF(S1333="S",MATCH(1329,Firms!$W$5:$W$1004,0),IF(S1333="A",IFERROR(MATCH(1329-$S$2,'AFA Rates'!$R$5:$R$1004,0),""),""))</f>
        <v/>
      </c>
      <c r="U1333">
        <f>IF(S1333="S",T1333,IF(AND(S1333="A",T1333&lt;&gt;""),IFERROR(MATCH(INDEX('AFA Rates'!$A$5:$A$1004,T1333),Firms!$A$5:$A$1004,0),""),""))</f>
        <v/>
      </c>
    </row>
    <row r="1334">
      <c r="A1334" s="78">
        <f>IF($T1334="","",IF($S1334="S",IF(INDEX(Firms!$A$5:$A$1004,$T1334)="","",INDEX(Firms!$A$5:$A$1004,$T1334)),IF(INDEX('AFA Rates'!$A$5:$A$1004,$T1334)="","",INDEX('AFA Rates'!$A$5:$A$1004,$T1334))))</f>
        <v/>
      </c>
      <c r="B1334" s="79">
        <f>IF(OR($T1334="",$U1334=""),IF($T1334="","","Not on Firms tab"),INDEX(Firms!$B$5:$B$1004,$U1334)&amp;"")</f>
        <v/>
      </c>
      <c r="C1334" s="78">
        <f>IF($T1334="","",IF($S1334="S","Standard",INDEX('AFA Rates'!$B$5:$B$1004,$T1334)&amp;""))</f>
        <v/>
      </c>
      <c r="D1334" s="88">
        <f>IF($T1334="","",IF($S1334="S",IF(INDEX(Firms!$E$5:$E$1004,$T1334)="","",INDEX(Firms!$E$5:$E$1004,$T1334)),IF(INDEX('AFA Rates'!$C$5:$C$1004,$T1334)="","",INDEX('AFA Rates'!$C$5:$C$1004,$T1334))))</f>
        <v/>
      </c>
      <c r="E1334" s="88">
        <f>IF($T1334="","",IF($S1334="S",IF(""="","",""),IF(INDEX('AFA Rates'!$D$5:$D$1004,$T1334)="","",INDEX('AFA Rates'!$D$5:$D$1004,$T1334))))</f>
        <v/>
      </c>
      <c r="F1334" s="79">
        <f>IF($T1334="","",IF($S1334="S",IF(INDEX(Firms!$O$5:$O$1004,$T1334)="","",INDEX(Firms!$O$5:$O$1004,$T1334)),IF(INDEX('AFA Rates'!$O$5:$O$1004,$T1334)="","",INDEX('AFA Rates'!$O$5:$O$1004,$T1334))))</f>
        <v/>
      </c>
      <c r="G1334" s="50">
        <f>IF($T1334="","",IF($S1334="S",IF(INDEX(Firms!$F$5:$F$1004,$T1334)="","",INDEX(Firms!$F$5:$F$1004,$T1334)),IF(INDEX('AFA Rates'!$E$5:$E$1004,$T1334)="","",INDEX('AFA Rates'!$E$5:$E$1004,$T1334))))</f>
        <v/>
      </c>
      <c r="H1334" s="50">
        <f>IF($T1334="","",IF($S1334="S",IF(INDEX(Firms!$G$5:$G$1004,$T1334)="","",INDEX(Firms!$G$5:$G$1004,$T1334)),IF(INDEX('AFA Rates'!$F$5:$F$1004,$T1334)="","",INDEX('AFA Rates'!$F$5:$F$1004,$T1334))))</f>
        <v/>
      </c>
      <c r="I1334" s="50">
        <f>IF($T1334="","",IF($S1334="S",IF(INDEX(Firms!$H$5:$H$1004,$T1334)="","",INDEX(Firms!$H$5:$H$1004,$T1334)),IF(INDEX('AFA Rates'!$G$5:$G$1004,$T1334)="","",INDEX('AFA Rates'!$G$5:$G$1004,$T1334))))</f>
        <v/>
      </c>
      <c r="J1334" s="50">
        <f>IF($T1334="","",IF($S1334="S",IF(INDEX(Firms!$I$5:$I$1004,$T1334)="","",INDEX(Firms!$I$5:$I$1004,$T1334)),IF(INDEX('AFA Rates'!$H$5:$H$1004,$T1334)="","",INDEX('AFA Rates'!$H$5:$H$1004,$T1334))))</f>
        <v/>
      </c>
      <c r="K1334" s="50">
        <f>IF($T1334="","",IF($S1334="S",IF(INDEX(Firms!$J$5:$J$1004,$T1334)="","",INDEX(Firms!$J$5:$J$1004,$T1334)),IF(INDEX('AFA Rates'!$I$5:$I$1004,$T1334)="","",INDEX('AFA Rates'!$I$5:$I$1004,$T1334))))</f>
        <v/>
      </c>
      <c r="L1334" s="50">
        <f>IF($T1334="","",IF($S1334="S",IF(INDEX(Firms!$K$5:$K$1004,$T1334)="","",INDEX(Firms!$K$5:$K$1004,$T1334)),IF(INDEX('AFA Rates'!$J$5:$J$1004,$T1334)="","",INDEX('AFA Rates'!$J$5:$J$1004,$T1334))))</f>
        <v/>
      </c>
      <c r="M1334" s="50">
        <f>IF($T1334="","",IF($S1334="S",IF(INDEX(Firms!$L$5:$L$1004,$T1334)="","",INDEX(Firms!$L$5:$L$1004,$T1334)),IF(INDEX('AFA Rates'!$K$5:$K$1004,$T1334)="","",INDEX('AFA Rates'!$K$5:$K$1004,$T1334))))</f>
        <v/>
      </c>
      <c r="N1334" s="50">
        <f>IF($T1334="","",IF($S1334="S",IF(INDEX(Firms!$M$5:$M$1004,$T1334)="","",INDEX(Firms!$M$5:$M$1004,$T1334)),IF(INDEX('AFA Rates'!$L$5:$L$1004,$T1334)="","",INDEX('AFA Rates'!$L$5:$L$1004,$T1334))))</f>
        <v/>
      </c>
      <c r="O1334" s="78">
        <f>IF(OR($T1334="",$U1334=""),"",IF(INDEX(Firms!$C$5:$C$1004,$U1334)="","",INDEX(Firms!$C$5:$C$1004,$U1334)))</f>
        <v/>
      </c>
      <c r="P1334" s="79">
        <f>IF(OR($T1334="",$U1334=""),"",IF(INDEX(Firms!$N$5:$N$1004,$U1334)="","",INDEX(Firms!$N$5:$N$1004,$U1334)))</f>
        <v/>
      </c>
      <c r="Q1334" s="78">
        <f>IF($T1334="","",IF($S1334="S",IF(INDEX(Firms!$T$5:$T$1004,$T1334)="","",INDEX(Firms!$T$5:$T$1004,$T1334)),IF(INDEX('AFA Rates'!$M$5:$M$1004,$T1334)="","",INDEX('AFA Rates'!$M$5:$M$1004,$T1334))))</f>
        <v/>
      </c>
      <c r="S1334">
        <f>IF(1330&lt;=$S$2,"S",IF(1330&lt;=$S$2+$T$2,"A",""))</f>
        <v/>
      </c>
      <c r="T1334">
        <f>IF(S1334="S",MATCH(1330,Firms!$W$5:$W$1004,0),IF(S1334="A",IFERROR(MATCH(1330-$S$2,'AFA Rates'!$R$5:$R$1004,0),""),""))</f>
        <v/>
      </c>
      <c r="U1334">
        <f>IF(S1334="S",T1334,IF(AND(S1334="A",T1334&lt;&gt;""),IFERROR(MATCH(INDEX('AFA Rates'!$A$5:$A$1004,T1334),Firms!$A$5:$A$1004,0),""),""))</f>
        <v/>
      </c>
    </row>
    <row r="1335">
      <c r="A1335" s="78">
        <f>IF($T1335="","",IF($S1335="S",IF(INDEX(Firms!$A$5:$A$1004,$T1335)="","",INDEX(Firms!$A$5:$A$1004,$T1335)),IF(INDEX('AFA Rates'!$A$5:$A$1004,$T1335)="","",INDEX('AFA Rates'!$A$5:$A$1004,$T1335))))</f>
        <v/>
      </c>
      <c r="B1335" s="79">
        <f>IF(OR($T1335="",$U1335=""),IF($T1335="","","Not on Firms tab"),INDEX(Firms!$B$5:$B$1004,$U1335)&amp;"")</f>
        <v/>
      </c>
      <c r="C1335" s="78">
        <f>IF($T1335="","",IF($S1335="S","Standard",INDEX('AFA Rates'!$B$5:$B$1004,$T1335)&amp;""))</f>
        <v/>
      </c>
      <c r="D1335" s="88">
        <f>IF($T1335="","",IF($S1335="S",IF(INDEX(Firms!$E$5:$E$1004,$T1335)="","",INDEX(Firms!$E$5:$E$1004,$T1335)),IF(INDEX('AFA Rates'!$C$5:$C$1004,$T1335)="","",INDEX('AFA Rates'!$C$5:$C$1004,$T1335))))</f>
        <v/>
      </c>
      <c r="E1335" s="88">
        <f>IF($T1335="","",IF($S1335="S",IF(""="","",""),IF(INDEX('AFA Rates'!$D$5:$D$1004,$T1335)="","",INDEX('AFA Rates'!$D$5:$D$1004,$T1335))))</f>
        <v/>
      </c>
      <c r="F1335" s="79">
        <f>IF($T1335="","",IF($S1335="S",IF(INDEX(Firms!$O$5:$O$1004,$T1335)="","",INDEX(Firms!$O$5:$O$1004,$T1335)),IF(INDEX('AFA Rates'!$O$5:$O$1004,$T1335)="","",INDEX('AFA Rates'!$O$5:$O$1004,$T1335))))</f>
        <v/>
      </c>
      <c r="G1335" s="50">
        <f>IF($T1335="","",IF($S1335="S",IF(INDEX(Firms!$F$5:$F$1004,$T1335)="","",INDEX(Firms!$F$5:$F$1004,$T1335)),IF(INDEX('AFA Rates'!$E$5:$E$1004,$T1335)="","",INDEX('AFA Rates'!$E$5:$E$1004,$T1335))))</f>
        <v/>
      </c>
      <c r="H1335" s="50">
        <f>IF($T1335="","",IF($S1335="S",IF(INDEX(Firms!$G$5:$G$1004,$T1335)="","",INDEX(Firms!$G$5:$G$1004,$T1335)),IF(INDEX('AFA Rates'!$F$5:$F$1004,$T1335)="","",INDEX('AFA Rates'!$F$5:$F$1004,$T1335))))</f>
        <v/>
      </c>
      <c r="I1335" s="50">
        <f>IF($T1335="","",IF($S1335="S",IF(INDEX(Firms!$H$5:$H$1004,$T1335)="","",INDEX(Firms!$H$5:$H$1004,$T1335)),IF(INDEX('AFA Rates'!$G$5:$G$1004,$T1335)="","",INDEX('AFA Rates'!$G$5:$G$1004,$T1335))))</f>
        <v/>
      </c>
      <c r="J1335" s="50">
        <f>IF($T1335="","",IF($S1335="S",IF(INDEX(Firms!$I$5:$I$1004,$T1335)="","",INDEX(Firms!$I$5:$I$1004,$T1335)),IF(INDEX('AFA Rates'!$H$5:$H$1004,$T1335)="","",INDEX('AFA Rates'!$H$5:$H$1004,$T1335))))</f>
        <v/>
      </c>
      <c r="K1335" s="50">
        <f>IF($T1335="","",IF($S1335="S",IF(INDEX(Firms!$J$5:$J$1004,$T1335)="","",INDEX(Firms!$J$5:$J$1004,$T1335)),IF(INDEX('AFA Rates'!$I$5:$I$1004,$T1335)="","",INDEX('AFA Rates'!$I$5:$I$1004,$T1335))))</f>
        <v/>
      </c>
      <c r="L1335" s="50">
        <f>IF($T1335="","",IF($S1335="S",IF(INDEX(Firms!$K$5:$K$1004,$T1335)="","",INDEX(Firms!$K$5:$K$1004,$T1335)),IF(INDEX('AFA Rates'!$J$5:$J$1004,$T1335)="","",INDEX('AFA Rates'!$J$5:$J$1004,$T1335))))</f>
        <v/>
      </c>
      <c r="M1335" s="50">
        <f>IF($T1335="","",IF($S1335="S",IF(INDEX(Firms!$L$5:$L$1004,$T1335)="","",INDEX(Firms!$L$5:$L$1004,$T1335)),IF(INDEX('AFA Rates'!$K$5:$K$1004,$T1335)="","",INDEX('AFA Rates'!$K$5:$K$1004,$T1335))))</f>
        <v/>
      </c>
      <c r="N1335" s="50">
        <f>IF($T1335="","",IF($S1335="S",IF(INDEX(Firms!$M$5:$M$1004,$T1335)="","",INDEX(Firms!$M$5:$M$1004,$T1335)),IF(INDEX('AFA Rates'!$L$5:$L$1004,$T1335)="","",INDEX('AFA Rates'!$L$5:$L$1004,$T1335))))</f>
        <v/>
      </c>
      <c r="O1335" s="78">
        <f>IF(OR($T1335="",$U1335=""),"",IF(INDEX(Firms!$C$5:$C$1004,$U1335)="","",INDEX(Firms!$C$5:$C$1004,$U1335)))</f>
        <v/>
      </c>
      <c r="P1335" s="79">
        <f>IF(OR($T1335="",$U1335=""),"",IF(INDEX(Firms!$N$5:$N$1004,$U1335)="","",INDEX(Firms!$N$5:$N$1004,$U1335)))</f>
        <v/>
      </c>
      <c r="Q1335" s="78">
        <f>IF($T1335="","",IF($S1335="S",IF(INDEX(Firms!$T$5:$T$1004,$T1335)="","",INDEX(Firms!$T$5:$T$1004,$T1335)),IF(INDEX('AFA Rates'!$M$5:$M$1004,$T1335)="","",INDEX('AFA Rates'!$M$5:$M$1004,$T1335))))</f>
        <v/>
      </c>
      <c r="S1335">
        <f>IF(1331&lt;=$S$2,"S",IF(1331&lt;=$S$2+$T$2,"A",""))</f>
        <v/>
      </c>
      <c r="T1335">
        <f>IF(S1335="S",MATCH(1331,Firms!$W$5:$W$1004,0),IF(S1335="A",IFERROR(MATCH(1331-$S$2,'AFA Rates'!$R$5:$R$1004,0),""),""))</f>
        <v/>
      </c>
      <c r="U1335">
        <f>IF(S1335="S",T1335,IF(AND(S1335="A",T1335&lt;&gt;""),IFERROR(MATCH(INDEX('AFA Rates'!$A$5:$A$1004,T1335),Firms!$A$5:$A$1004,0),""),""))</f>
        <v/>
      </c>
    </row>
    <row r="1336">
      <c r="A1336" s="78">
        <f>IF($T1336="","",IF($S1336="S",IF(INDEX(Firms!$A$5:$A$1004,$T1336)="","",INDEX(Firms!$A$5:$A$1004,$T1336)),IF(INDEX('AFA Rates'!$A$5:$A$1004,$T1336)="","",INDEX('AFA Rates'!$A$5:$A$1004,$T1336))))</f>
        <v/>
      </c>
      <c r="B1336" s="79">
        <f>IF(OR($T1336="",$U1336=""),IF($T1336="","","Not on Firms tab"),INDEX(Firms!$B$5:$B$1004,$U1336)&amp;"")</f>
        <v/>
      </c>
      <c r="C1336" s="78">
        <f>IF($T1336="","",IF($S1336="S","Standard",INDEX('AFA Rates'!$B$5:$B$1004,$T1336)&amp;""))</f>
        <v/>
      </c>
      <c r="D1336" s="88">
        <f>IF($T1336="","",IF($S1336="S",IF(INDEX(Firms!$E$5:$E$1004,$T1336)="","",INDEX(Firms!$E$5:$E$1004,$T1336)),IF(INDEX('AFA Rates'!$C$5:$C$1004,$T1336)="","",INDEX('AFA Rates'!$C$5:$C$1004,$T1336))))</f>
        <v/>
      </c>
      <c r="E1336" s="88">
        <f>IF($T1336="","",IF($S1336="S",IF(""="","",""),IF(INDEX('AFA Rates'!$D$5:$D$1004,$T1336)="","",INDEX('AFA Rates'!$D$5:$D$1004,$T1336))))</f>
        <v/>
      </c>
      <c r="F1336" s="79">
        <f>IF($T1336="","",IF($S1336="S",IF(INDEX(Firms!$O$5:$O$1004,$T1336)="","",INDEX(Firms!$O$5:$O$1004,$T1336)),IF(INDEX('AFA Rates'!$O$5:$O$1004,$T1336)="","",INDEX('AFA Rates'!$O$5:$O$1004,$T1336))))</f>
        <v/>
      </c>
      <c r="G1336" s="50">
        <f>IF($T1336="","",IF($S1336="S",IF(INDEX(Firms!$F$5:$F$1004,$T1336)="","",INDEX(Firms!$F$5:$F$1004,$T1336)),IF(INDEX('AFA Rates'!$E$5:$E$1004,$T1336)="","",INDEX('AFA Rates'!$E$5:$E$1004,$T1336))))</f>
        <v/>
      </c>
      <c r="H1336" s="50">
        <f>IF($T1336="","",IF($S1336="S",IF(INDEX(Firms!$G$5:$G$1004,$T1336)="","",INDEX(Firms!$G$5:$G$1004,$T1336)),IF(INDEX('AFA Rates'!$F$5:$F$1004,$T1336)="","",INDEX('AFA Rates'!$F$5:$F$1004,$T1336))))</f>
        <v/>
      </c>
      <c r="I1336" s="50">
        <f>IF($T1336="","",IF($S1336="S",IF(INDEX(Firms!$H$5:$H$1004,$T1336)="","",INDEX(Firms!$H$5:$H$1004,$T1336)),IF(INDEX('AFA Rates'!$G$5:$G$1004,$T1336)="","",INDEX('AFA Rates'!$G$5:$G$1004,$T1336))))</f>
        <v/>
      </c>
      <c r="J1336" s="50">
        <f>IF($T1336="","",IF($S1336="S",IF(INDEX(Firms!$I$5:$I$1004,$T1336)="","",INDEX(Firms!$I$5:$I$1004,$T1336)),IF(INDEX('AFA Rates'!$H$5:$H$1004,$T1336)="","",INDEX('AFA Rates'!$H$5:$H$1004,$T1336))))</f>
        <v/>
      </c>
      <c r="K1336" s="50">
        <f>IF($T1336="","",IF($S1336="S",IF(INDEX(Firms!$J$5:$J$1004,$T1336)="","",INDEX(Firms!$J$5:$J$1004,$T1336)),IF(INDEX('AFA Rates'!$I$5:$I$1004,$T1336)="","",INDEX('AFA Rates'!$I$5:$I$1004,$T1336))))</f>
        <v/>
      </c>
      <c r="L1336" s="50">
        <f>IF($T1336="","",IF($S1336="S",IF(INDEX(Firms!$K$5:$K$1004,$T1336)="","",INDEX(Firms!$K$5:$K$1004,$T1336)),IF(INDEX('AFA Rates'!$J$5:$J$1004,$T1336)="","",INDEX('AFA Rates'!$J$5:$J$1004,$T1336))))</f>
        <v/>
      </c>
      <c r="M1336" s="50">
        <f>IF($T1336="","",IF($S1336="S",IF(INDEX(Firms!$L$5:$L$1004,$T1336)="","",INDEX(Firms!$L$5:$L$1004,$T1336)),IF(INDEX('AFA Rates'!$K$5:$K$1004,$T1336)="","",INDEX('AFA Rates'!$K$5:$K$1004,$T1336))))</f>
        <v/>
      </c>
      <c r="N1336" s="50">
        <f>IF($T1336="","",IF($S1336="S",IF(INDEX(Firms!$M$5:$M$1004,$T1336)="","",INDEX(Firms!$M$5:$M$1004,$T1336)),IF(INDEX('AFA Rates'!$L$5:$L$1004,$T1336)="","",INDEX('AFA Rates'!$L$5:$L$1004,$T1336))))</f>
        <v/>
      </c>
      <c r="O1336" s="78">
        <f>IF(OR($T1336="",$U1336=""),"",IF(INDEX(Firms!$C$5:$C$1004,$U1336)="","",INDEX(Firms!$C$5:$C$1004,$U1336)))</f>
        <v/>
      </c>
      <c r="P1336" s="79">
        <f>IF(OR($T1336="",$U1336=""),"",IF(INDEX(Firms!$N$5:$N$1004,$U1336)="","",INDEX(Firms!$N$5:$N$1004,$U1336)))</f>
        <v/>
      </c>
      <c r="Q1336" s="78">
        <f>IF($T1336="","",IF($S1336="S",IF(INDEX(Firms!$T$5:$T$1004,$T1336)="","",INDEX(Firms!$T$5:$T$1004,$T1336)),IF(INDEX('AFA Rates'!$M$5:$M$1004,$T1336)="","",INDEX('AFA Rates'!$M$5:$M$1004,$T1336))))</f>
        <v/>
      </c>
      <c r="S1336">
        <f>IF(1332&lt;=$S$2,"S",IF(1332&lt;=$S$2+$T$2,"A",""))</f>
        <v/>
      </c>
      <c r="T1336">
        <f>IF(S1336="S",MATCH(1332,Firms!$W$5:$W$1004,0),IF(S1336="A",IFERROR(MATCH(1332-$S$2,'AFA Rates'!$R$5:$R$1004,0),""),""))</f>
        <v/>
      </c>
      <c r="U1336">
        <f>IF(S1336="S",T1336,IF(AND(S1336="A",T1336&lt;&gt;""),IFERROR(MATCH(INDEX('AFA Rates'!$A$5:$A$1004,T1336),Firms!$A$5:$A$1004,0),""),""))</f>
        <v/>
      </c>
    </row>
    <row r="1337">
      <c r="A1337" s="78">
        <f>IF($T1337="","",IF($S1337="S",IF(INDEX(Firms!$A$5:$A$1004,$T1337)="","",INDEX(Firms!$A$5:$A$1004,$T1337)),IF(INDEX('AFA Rates'!$A$5:$A$1004,$T1337)="","",INDEX('AFA Rates'!$A$5:$A$1004,$T1337))))</f>
        <v/>
      </c>
      <c r="B1337" s="79">
        <f>IF(OR($T1337="",$U1337=""),IF($T1337="","","Not on Firms tab"),INDEX(Firms!$B$5:$B$1004,$U1337)&amp;"")</f>
        <v/>
      </c>
      <c r="C1337" s="78">
        <f>IF($T1337="","",IF($S1337="S","Standard",INDEX('AFA Rates'!$B$5:$B$1004,$T1337)&amp;""))</f>
        <v/>
      </c>
      <c r="D1337" s="88">
        <f>IF($T1337="","",IF($S1337="S",IF(INDEX(Firms!$E$5:$E$1004,$T1337)="","",INDEX(Firms!$E$5:$E$1004,$T1337)),IF(INDEX('AFA Rates'!$C$5:$C$1004,$T1337)="","",INDEX('AFA Rates'!$C$5:$C$1004,$T1337))))</f>
        <v/>
      </c>
      <c r="E1337" s="88">
        <f>IF($T1337="","",IF($S1337="S",IF(""="","",""),IF(INDEX('AFA Rates'!$D$5:$D$1004,$T1337)="","",INDEX('AFA Rates'!$D$5:$D$1004,$T1337))))</f>
        <v/>
      </c>
      <c r="F1337" s="79">
        <f>IF($T1337="","",IF($S1337="S",IF(INDEX(Firms!$O$5:$O$1004,$T1337)="","",INDEX(Firms!$O$5:$O$1004,$T1337)),IF(INDEX('AFA Rates'!$O$5:$O$1004,$T1337)="","",INDEX('AFA Rates'!$O$5:$O$1004,$T1337))))</f>
        <v/>
      </c>
      <c r="G1337" s="50">
        <f>IF($T1337="","",IF($S1337="S",IF(INDEX(Firms!$F$5:$F$1004,$T1337)="","",INDEX(Firms!$F$5:$F$1004,$T1337)),IF(INDEX('AFA Rates'!$E$5:$E$1004,$T1337)="","",INDEX('AFA Rates'!$E$5:$E$1004,$T1337))))</f>
        <v/>
      </c>
      <c r="H1337" s="50">
        <f>IF($T1337="","",IF($S1337="S",IF(INDEX(Firms!$G$5:$G$1004,$T1337)="","",INDEX(Firms!$G$5:$G$1004,$T1337)),IF(INDEX('AFA Rates'!$F$5:$F$1004,$T1337)="","",INDEX('AFA Rates'!$F$5:$F$1004,$T1337))))</f>
        <v/>
      </c>
      <c r="I1337" s="50">
        <f>IF($T1337="","",IF($S1337="S",IF(INDEX(Firms!$H$5:$H$1004,$T1337)="","",INDEX(Firms!$H$5:$H$1004,$T1337)),IF(INDEX('AFA Rates'!$G$5:$G$1004,$T1337)="","",INDEX('AFA Rates'!$G$5:$G$1004,$T1337))))</f>
        <v/>
      </c>
      <c r="J1337" s="50">
        <f>IF($T1337="","",IF($S1337="S",IF(INDEX(Firms!$I$5:$I$1004,$T1337)="","",INDEX(Firms!$I$5:$I$1004,$T1337)),IF(INDEX('AFA Rates'!$H$5:$H$1004,$T1337)="","",INDEX('AFA Rates'!$H$5:$H$1004,$T1337))))</f>
        <v/>
      </c>
      <c r="K1337" s="50">
        <f>IF($T1337="","",IF($S1337="S",IF(INDEX(Firms!$J$5:$J$1004,$T1337)="","",INDEX(Firms!$J$5:$J$1004,$T1337)),IF(INDEX('AFA Rates'!$I$5:$I$1004,$T1337)="","",INDEX('AFA Rates'!$I$5:$I$1004,$T1337))))</f>
        <v/>
      </c>
      <c r="L1337" s="50">
        <f>IF($T1337="","",IF($S1337="S",IF(INDEX(Firms!$K$5:$K$1004,$T1337)="","",INDEX(Firms!$K$5:$K$1004,$T1337)),IF(INDEX('AFA Rates'!$J$5:$J$1004,$T1337)="","",INDEX('AFA Rates'!$J$5:$J$1004,$T1337))))</f>
        <v/>
      </c>
      <c r="M1337" s="50">
        <f>IF($T1337="","",IF($S1337="S",IF(INDEX(Firms!$L$5:$L$1004,$T1337)="","",INDEX(Firms!$L$5:$L$1004,$T1337)),IF(INDEX('AFA Rates'!$K$5:$K$1004,$T1337)="","",INDEX('AFA Rates'!$K$5:$K$1004,$T1337))))</f>
        <v/>
      </c>
      <c r="N1337" s="50">
        <f>IF($T1337="","",IF($S1337="S",IF(INDEX(Firms!$M$5:$M$1004,$T1337)="","",INDEX(Firms!$M$5:$M$1004,$T1337)),IF(INDEX('AFA Rates'!$L$5:$L$1004,$T1337)="","",INDEX('AFA Rates'!$L$5:$L$1004,$T1337))))</f>
        <v/>
      </c>
      <c r="O1337" s="78">
        <f>IF(OR($T1337="",$U1337=""),"",IF(INDEX(Firms!$C$5:$C$1004,$U1337)="","",INDEX(Firms!$C$5:$C$1004,$U1337)))</f>
        <v/>
      </c>
      <c r="P1337" s="79">
        <f>IF(OR($T1337="",$U1337=""),"",IF(INDEX(Firms!$N$5:$N$1004,$U1337)="","",INDEX(Firms!$N$5:$N$1004,$U1337)))</f>
        <v/>
      </c>
      <c r="Q1337" s="78">
        <f>IF($T1337="","",IF($S1337="S",IF(INDEX(Firms!$T$5:$T$1004,$T1337)="","",INDEX(Firms!$T$5:$T$1004,$T1337)),IF(INDEX('AFA Rates'!$M$5:$M$1004,$T1337)="","",INDEX('AFA Rates'!$M$5:$M$1004,$T1337))))</f>
        <v/>
      </c>
      <c r="S1337">
        <f>IF(1333&lt;=$S$2,"S",IF(1333&lt;=$S$2+$T$2,"A",""))</f>
        <v/>
      </c>
      <c r="T1337">
        <f>IF(S1337="S",MATCH(1333,Firms!$W$5:$W$1004,0),IF(S1337="A",IFERROR(MATCH(1333-$S$2,'AFA Rates'!$R$5:$R$1004,0),""),""))</f>
        <v/>
      </c>
      <c r="U1337">
        <f>IF(S1337="S",T1337,IF(AND(S1337="A",T1337&lt;&gt;""),IFERROR(MATCH(INDEX('AFA Rates'!$A$5:$A$1004,T1337),Firms!$A$5:$A$1004,0),""),""))</f>
        <v/>
      </c>
    </row>
    <row r="1338">
      <c r="A1338" s="78">
        <f>IF($T1338="","",IF($S1338="S",IF(INDEX(Firms!$A$5:$A$1004,$T1338)="","",INDEX(Firms!$A$5:$A$1004,$T1338)),IF(INDEX('AFA Rates'!$A$5:$A$1004,$T1338)="","",INDEX('AFA Rates'!$A$5:$A$1004,$T1338))))</f>
        <v/>
      </c>
      <c r="B1338" s="79">
        <f>IF(OR($T1338="",$U1338=""),IF($T1338="","","Not on Firms tab"),INDEX(Firms!$B$5:$B$1004,$U1338)&amp;"")</f>
        <v/>
      </c>
      <c r="C1338" s="78">
        <f>IF($T1338="","",IF($S1338="S","Standard",INDEX('AFA Rates'!$B$5:$B$1004,$T1338)&amp;""))</f>
        <v/>
      </c>
      <c r="D1338" s="88">
        <f>IF($T1338="","",IF($S1338="S",IF(INDEX(Firms!$E$5:$E$1004,$T1338)="","",INDEX(Firms!$E$5:$E$1004,$T1338)),IF(INDEX('AFA Rates'!$C$5:$C$1004,$T1338)="","",INDEX('AFA Rates'!$C$5:$C$1004,$T1338))))</f>
        <v/>
      </c>
      <c r="E1338" s="88">
        <f>IF($T1338="","",IF($S1338="S",IF(""="","",""),IF(INDEX('AFA Rates'!$D$5:$D$1004,$T1338)="","",INDEX('AFA Rates'!$D$5:$D$1004,$T1338))))</f>
        <v/>
      </c>
      <c r="F1338" s="79">
        <f>IF($T1338="","",IF($S1338="S",IF(INDEX(Firms!$O$5:$O$1004,$T1338)="","",INDEX(Firms!$O$5:$O$1004,$T1338)),IF(INDEX('AFA Rates'!$O$5:$O$1004,$T1338)="","",INDEX('AFA Rates'!$O$5:$O$1004,$T1338))))</f>
        <v/>
      </c>
      <c r="G1338" s="50">
        <f>IF($T1338="","",IF($S1338="S",IF(INDEX(Firms!$F$5:$F$1004,$T1338)="","",INDEX(Firms!$F$5:$F$1004,$T1338)),IF(INDEX('AFA Rates'!$E$5:$E$1004,$T1338)="","",INDEX('AFA Rates'!$E$5:$E$1004,$T1338))))</f>
        <v/>
      </c>
      <c r="H1338" s="50">
        <f>IF($T1338="","",IF($S1338="S",IF(INDEX(Firms!$G$5:$G$1004,$T1338)="","",INDEX(Firms!$G$5:$G$1004,$T1338)),IF(INDEX('AFA Rates'!$F$5:$F$1004,$T1338)="","",INDEX('AFA Rates'!$F$5:$F$1004,$T1338))))</f>
        <v/>
      </c>
      <c r="I1338" s="50">
        <f>IF($T1338="","",IF($S1338="S",IF(INDEX(Firms!$H$5:$H$1004,$T1338)="","",INDEX(Firms!$H$5:$H$1004,$T1338)),IF(INDEX('AFA Rates'!$G$5:$G$1004,$T1338)="","",INDEX('AFA Rates'!$G$5:$G$1004,$T1338))))</f>
        <v/>
      </c>
      <c r="J1338" s="50">
        <f>IF($T1338="","",IF($S1338="S",IF(INDEX(Firms!$I$5:$I$1004,$T1338)="","",INDEX(Firms!$I$5:$I$1004,$T1338)),IF(INDEX('AFA Rates'!$H$5:$H$1004,$T1338)="","",INDEX('AFA Rates'!$H$5:$H$1004,$T1338))))</f>
        <v/>
      </c>
      <c r="K1338" s="50">
        <f>IF($T1338="","",IF($S1338="S",IF(INDEX(Firms!$J$5:$J$1004,$T1338)="","",INDEX(Firms!$J$5:$J$1004,$T1338)),IF(INDEX('AFA Rates'!$I$5:$I$1004,$T1338)="","",INDEX('AFA Rates'!$I$5:$I$1004,$T1338))))</f>
        <v/>
      </c>
      <c r="L1338" s="50">
        <f>IF($T1338="","",IF($S1338="S",IF(INDEX(Firms!$K$5:$K$1004,$T1338)="","",INDEX(Firms!$K$5:$K$1004,$T1338)),IF(INDEX('AFA Rates'!$J$5:$J$1004,$T1338)="","",INDEX('AFA Rates'!$J$5:$J$1004,$T1338))))</f>
        <v/>
      </c>
      <c r="M1338" s="50">
        <f>IF($T1338="","",IF($S1338="S",IF(INDEX(Firms!$L$5:$L$1004,$T1338)="","",INDEX(Firms!$L$5:$L$1004,$T1338)),IF(INDEX('AFA Rates'!$K$5:$K$1004,$T1338)="","",INDEX('AFA Rates'!$K$5:$K$1004,$T1338))))</f>
        <v/>
      </c>
      <c r="N1338" s="50">
        <f>IF($T1338="","",IF($S1338="S",IF(INDEX(Firms!$M$5:$M$1004,$T1338)="","",INDEX(Firms!$M$5:$M$1004,$T1338)),IF(INDEX('AFA Rates'!$L$5:$L$1004,$T1338)="","",INDEX('AFA Rates'!$L$5:$L$1004,$T1338))))</f>
        <v/>
      </c>
      <c r="O1338" s="78">
        <f>IF(OR($T1338="",$U1338=""),"",IF(INDEX(Firms!$C$5:$C$1004,$U1338)="","",INDEX(Firms!$C$5:$C$1004,$U1338)))</f>
        <v/>
      </c>
      <c r="P1338" s="79">
        <f>IF(OR($T1338="",$U1338=""),"",IF(INDEX(Firms!$N$5:$N$1004,$U1338)="","",INDEX(Firms!$N$5:$N$1004,$U1338)))</f>
        <v/>
      </c>
      <c r="Q1338" s="78">
        <f>IF($T1338="","",IF($S1338="S",IF(INDEX(Firms!$T$5:$T$1004,$T1338)="","",INDEX(Firms!$T$5:$T$1004,$T1338)),IF(INDEX('AFA Rates'!$M$5:$M$1004,$T1338)="","",INDEX('AFA Rates'!$M$5:$M$1004,$T1338))))</f>
        <v/>
      </c>
      <c r="S1338">
        <f>IF(1334&lt;=$S$2,"S",IF(1334&lt;=$S$2+$T$2,"A",""))</f>
        <v/>
      </c>
      <c r="T1338">
        <f>IF(S1338="S",MATCH(1334,Firms!$W$5:$W$1004,0),IF(S1338="A",IFERROR(MATCH(1334-$S$2,'AFA Rates'!$R$5:$R$1004,0),""),""))</f>
        <v/>
      </c>
      <c r="U1338">
        <f>IF(S1338="S",T1338,IF(AND(S1338="A",T1338&lt;&gt;""),IFERROR(MATCH(INDEX('AFA Rates'!$A$5:$A$1004,T1338),Firms!$A$5:$A$1004,0),""),""))</f>
        <v/>
      </c>
    </row>
    <row r="1339">
      <c r="A1339" s="78">
        <f>IF($T1339="","",IF($S1339="S",IF(INDEX(Firms!$A$5:$A$1004,$T1339)="","",INDEX(Firms!$A$5:$A$1004,$T1339)),IF(INDEX('AFA Rates'!$A$5:$A$1004,$T1339)="","",INDEX('AFA Rates'!$A$5:$A$1004,$T1339))))</f>
        <v/>
      </c>
      <c r="B1339" s="79">
        <f>IF(OR($T1339="",$U1339=""),IF($T1339="","","Not on Firms tab"),INDEX(Firms!$B$5:$B$1004,$U1339)&amp;"")</f>
        <v/>
      </c>
      <c r="C1339" s="78">
        <f>IF($T1339="","",IF($S1339="S","Standard",INDEX('AFA Rates'!$B$5:$B$1004,$T1339)&amp;""))</f>
        <v/>
      </c>
      <c r="D1339" s="88">
        <f>IF($T1339="","",IF($S1339="S",IF(INDEX(Firms!$E$5:$E$1004,$T1339)="","",INDEX(Firms!$E$5:$E$1004,$T1339)),IF(INDEX('AFA Rates'!$C$5:$C$1004,$T1339)="","",INDEX('AFA Rates'!$C$5:$C$1004,$T1339))))</f>
        <v/>
      </c>
      <c r="E1339" s="88">
        <f>IF($T1339="","",IF($S1339="S",IF(""="","",""),IF(INDEX('AFA Rates'!$D$5:$D$1004,$T1339)="","",INDEX('AFA Rates'!$D$5:$D$1004,$T1339))))</f>
        <v/>
      </c>
      <c r="F1339" s="79">
        <f>IF($T1339="","",IF($S1339="S",IF(INDEX(Firms!$O$5:$O$1004,$T1339)="","",INDEX(Firms!$O$5:$O$1004,$T1339)),IF(INDEX('AFA Rates'!$O$5:$O$1004,$T1339)="","",INDEX('AFA Rates'!$O$5:$O$1004,$T1339))))</f>
        <v/>
      </c>
      <c r="G1339" s="50">
        <f>IF($T1339="","",IF($S1339="S",IF(INDEX(Firms!$F$5:$F$1004,$T1339)="","",INDEX(Firms!$F$5:$F$1004,$T1339)),IF(INDEX('AFA Rates'!$E$5:$E$1004,$T1339)="","",INDEX('AFA Rates'!$E$5:$E$1004,$T1339))))</f>
        <v/>
      </c>
      <c r="H1339" s="50">
        <f>IF($T1339="","",IF($S1339="S",IF(INDEX(Firms!$G$5:$G$1004,$T1339)="","",INDEX(Firms!$G$5:$G$1004,$T1339)),IF(INDEX('AFA Rates'!$F$5:$F$1004,$T1339)="","",INDEX('AFA Rates'!$F$5:$F$1004,$T1339))))</f>
        <v/>
      </c>
      <c r="I1339" s="50">
        <f>IF($T1339="","",IF($S1339="S",IF(INDEX(Firms!$H$5:$H$1004,$T1339)="","",INDEX(Firms!$H$5:$H$1004,$T1339)),IF(INDEX('AFA Rates'!$G$5:$G$1004,$T1339)="","",INDEX('AFA Rates'!$G$5:$G$1004,$T1339))))</f>
        <v/>
      </c>
      <c r="J1339" s="50">
        <f>IF($T1339="","",IF($S1339="S",IF(INDEX(Firms!$I$5:$I$1004,$T1339)="","",INDEX(Firms!$I$5:$I$1004,$T1339)),IF(INDEX('AFA Rates'!$H$5:$H$1004,$T1339)="","",INDEX('AFA Rates'!$H$5:$H$1004,$T1339))))</f>
        <v/>
      </c>
      <c r="K1339" s="50">
        <f>IF($T1339="","",IF($S1339="S",IF(INDEX(Firms!$J$5:$J$1004,$T1339)="","",INDEX(Firms!$J$5:$J$1004,$T1339)),IF(INDEX('AFA Rates'!$I$5:$I$1004,$T1339)="","",INDEX('AFA Rates'!$I$5:$I$1004,$T1339))))</f>
        <v/>
      </c>
      <c r="L1339" s="50">
        <f>IF($T1339="","",IF($S1339="S",IF(INDEX(Firms!$K$5:$K$1004,$T1339)="","",INDEX(Firms!$K$5:$K$1004,$T1339)),IF(INDEX('AFA Rates'!$J$5:$J$1004,$T1339)="","",INDEX('AFA Rates'!$J$5:$J$1004,$T1339))))</f>
        <v/>
      </c>
      <c r="M1339" s="50">
        <f>IF($T1339="","",IF($S1339="S",IF(INDEX(Firms!$L$5:$L$1004,$T1339)="","",INDEX(Firms!$L$5:$L$1004,$T1339)),IF(INDEX('AFA Rates'!$K$5:$K$1004,$T1339)="","",INDEX('AFA Rates'!$K$5:$K$1004,$T1339))))</f>
        <v/>
      </c>
      <c r="N1339" s="50">
        <f>IF($T1339="","",IF($S1339="S",IF(INDEX(Firms!$M$5:$M$1004,$T1339)="","",INDEX(Firms!$M$5:$M$1004,$T1339)),IF(INDEX('AFA Rates'!$L$5:$L$1004,$T1339)="","",INDEX('AFA Rates'!$L$5:$L$1004,$T1339))))</f>
        <v/>
      </c>
      <c r="O1339" s="78">
        <f>IF(OR($T1339="",$U1339=""),"",IF(INDEX(Firms!$C$5:$C$1004,$U1339)="","",INDEX(Firms!$C$5:$C$1004,$U1339)))</f>
        <v/>
      </c>
      <c r="P1339" s="79">
        <f>IF(OR($T1339="",$U1339=""),"",IF(INDEX(Firms!$N$5:$N$1004,$U1339)="","",INDEX(Firms!$N$5:$N$1004,$U1339)))</f>
        <v/>
      </c>
      <c r="Q1339" s="78">
        <f>IF($T1339="","",IF($S1339="S",IF(INDEX(Firms!$T$5:$T$1004,$T1339)="","",INDEX(Firms!$T$5:$T$1004,$T1339)),IF(INDEX('AFA Rates'!$M$5:$M$1004,$T1339)="","",INDEX('AFA Rates'!$M$5:$M$1004,$T1339))))</f>
        <v/>
      </c>
      <c r="S1339">
        <f>IF(1335&lt;=$S$2,"S",IF(1335&lt;=$S$2+$T$2,"A",""))</f>
        <v/>
      </c>
      <c r="T1339">
        <f>IF(S1339="S",MATCH(1335,Firms!$W$5:$W$1004,0),IF(S1339="A",IFERROR(MATCH(1335-$S$2,'AFA Rates'!$R$5:$R$1004,0),""),""))</f>
        <v/>
      </c>
      <c r="U1339">
        <f>IF(S1339="S",T1339,IF(AND(S1339="A",T1339&lt;&gt;""),IFERROR(MATCH(INDEX('AFA Rates'!$A$5:$A$1004,T1339),Firms!$A$5:$A$1004,0),""),""))</f>
        <v/>
      </c>
    </row>
    <row r="1340">
      <c r="A1340" s="78">
        <f>IF($T1340="","",IF($S1340="S",IF(INDEX(Firms!$A$5:$A$1004,$T1340)="","",INDEX(Firms!$A$5:$A$1004,$T1340)),IF(INDEX('AFA Rates'!$A$5:$A$1004,$T1340)="","",INDEX('AFA Rates'!$A$5:$A$1004,$T1340))))</f>
        <v/>
      </c>
      <c r="B1340" s="79">
        <f>IF(OR($T1340="",$U1340=""),IF($T1340="","","Not on Firms tab"),INDEX(Firms!$B$5:$B$1004,$U1340)&amp;"")</f>
        <v/>
      </c>
      <c r="C1340" s="78">
        <f>IF($T1340="","",IF($S1340="S","Standard",INDEX('AFA Rates'!$B$5:$B$1004,$T1340)&amp;""))</f>
        <v/>
      </c>
      <c r="D1340" s="88">
        <f>IF($T1340="","",IF($S1340="S",IF(INDEX(Firms!$E$5:$E$1004,$T1340)="","",INDEX(Firms!$E$5:$E$1004,$T1340)),IF(INDEX('AFA Rates'!$C$5:$C$1004,$T1340)="","",INDEX('AFA Rates'!$C$5:$C$1004,$T1340))))</f>
        <v/>
      </c>
      <c r="E1340" s="88">
        <f>IF($T1340="","",IF($S1340="S",IF(""="","",""),IF(INDEX('AFA Rates'!$D$5:$D$1004,$T1340)="","",INDEX('AFA Rates'!$D$5:$D$1004,$T1340))))</f>
        <v/>
      </c>
      <c r="F1340" s="79">
        <f>IF($T1340="","",IF($S1340="S",IF(INDEX(Firms!$O$5:$O$1004,$T1340)="","",INDEX(Firms!$O$5:$O$1004,$T1340)),IF(INDEX('AFA Rates'!$O$5:$O$1004,$T1340)="","",INDEX('AFA Rates'!$O$5:$O$1004,$T1340))))</f>
        <v/>
      </c>
      <c r="G1340" s="50">
        <f>IF($T1340="","",IF($S1340="S",IF(INDEX(Firms!$F$5:$F$1004,$T1340)="","",INDEX(Firms!$F$5:$F$1004,$T1340)),IF(INDEX('AFA Rates'!$E$5:$E$1004,$T1340)="","",INDEX('AFA Rates'!$E$5:$E$1004,$T1340))))</f>
        <v/>
      </c>
      <c r="H1340" s="50">
        <f>IF($T1340="","",IF($S1340="S",IF(INDEX(Firms!$G$5:$G$1004,$T1340)="","",INDEX(Firms!$G$5:$G$1004,$T1340)),IF(INDEX('AFA Rates'!$F$5:$F$1004,$T1340)="","",INDEX('AFA Rates'!$F$5:$F$1004,$T1340))))</f>
        <v/>
      </c>
      <c r="I1340" s="50">
        <f>IF($T1340="","",IF($S1340="S",IF(INDEX(Firms!$H$5:$H$1004,$T1340)="","",INDEX(Firms!$H$5:$H$1004,$T1340)),IF(INDEX('AFA Rates'!$G$5:$G$1004,$T1340)="","",INDEX('AFA Rates'!$G$5:$G$1004,$T1340))))</f>
        <v/>
      </c>
      <c r="J1340" s="50">
        <f>IF($T1340="","",IF($S1340="S",IF(INDEX(Firms!$I$5:$I$1004,$T1340)="","",INDEX(Firms!$I$5:$I$1004,$T1340)),IF(INDEX('AFA Rates'!$H$5:$H$1004,$T1340)="","",INDEX('AFA Rates'!$H$5:$H$1004,$T1340))))</f>
        <v/>
      </c>
      <c r="K1340" s="50">
        <f>IF($T1340="","",IF($S1340="S",IF(INDEX(Firms!$J$5:$J$1004,$T1340)="","",INDEX(Firms!$J$5:$J$1004,$T1340)),IF(INDEX('AFA Rates'!$I$5:$I$1004,$T1340)="","",INDEX('AFA Rates'!$I$5:$I$1004,$T1340))))</f>
        <v/>
      </c>
      <c r="L1340" s="50">
        <f>IF($T1340="","",IF($S1340="S",IF(INDEX(Firms!$K$5:$K$1004,$T1340)="","",INDEX(Firms!$K$5:$K$1004,$T1340)),IF(INDEX('AFA Rates'!$J$5:$J$1004,$T1340)="","",INDEX('AFA Rates'!$J$5:$J$1004,$T1340))))</f>
        <v/>
      </c>
      <c r="M1340" s="50">
        <f>IF($T1340="","",IF($S1340="S",IF(INDEX(Firms!$L$5:$L$1004,$T1340)="","",INDEX(Firms!$L$5:$L$1004,$T1340)),IF(INDEX('AFA Rates'!$K$5:$K$1004,$T1340)="","",INDEX('AFA Rates'!$K$5:$K$1004,$T1340))))</f>
        <v/>
      </c>
      <c r="N1340" s="50">
        <f>IF($T1340="","",IF($S1340="S",IF(INDEX(Firms!$M$5:$M$1004,$T1340)="","",INDEX(Firms!$M$5:$M$1004,$T1340)),IF(INDEX('AFA Rates'!$L$5:$L$1004,$T1340)="","",INDEX('AFA Rates'!$L$5:$L$1004,$T1340))))</f>
        <v/>
      </c>
      <c r="O1340" s="78">
        <f>IF(OR($T1340="",$U1340=""),"",IF(INDEX(Firms!$C$5:$C$1004,$U1340)="","",INDEX(Firms!$C$5:$C$1004,$U1340)))</f>
        <v/>
      </c>
      <c r="P1340" s="79">
        <f>IF(OR($T1340="",$U1340=""),"",IF(INDEX(Firms!$N$5:$N$1004,$U1340)="","",INDEX(Firms!$N$5:$N$1004,$U1340)))</f>
        <v/>
      </c>
      <c r="Q1340" s="78">
        <f>IF($T1340="","",IF($S1340="S",IF(INDEX(Firms!$T$5:$T$1004,$T1340)="","",INDEX(Firms!$T$5:$T$1004,$T1340)),IF(INDEX('AFA Rates'!$M$5:$M$1004,$T1340)="","",INDEX('AFA Rates'!$M$5:$M$1004,$T1340))))</f>
        <v/>
      </c>
      <c r="S1340">
        <f>IF(1336&lt;=$S$2,"S",IF(1336&lt;=$S$2+$T$2,"A",""))</f>
        <v/>
      </c>
      <c r="T1340">
        <f>IF(S1340="S",MATCH(1336,Firms!$W$5:$W$1004,0),IF(S1340="A",IFERROR(MATCH(1336-$S$2,'AFA Rates'!$R$5:$R$1004,0),""),""))</f>
        <v/>
      </c>
      <c r="U1340">
        <f>IF(S1340="S",T1340,IF(AND(S1340="A",T1340&lt;&gt;""),IFERROR(MATCH(INDEX('AFA Rates'!$A$5:$A$1004,T1340),Firms!$A$5:$A$1004,0),""),""))</f>
        <v/>
      </c>
    </row>
    <row r="1341">
      <c r="A1341" s="78">
        <f>IF($T1341="","",IF($S1341="S",IF(INDEX(Firms!$A$5:$A$1004,$T1341)="","",INDEX(Firms!$A$5:$A$1004,$T1341)),IF(INDEX('AFA Rates'!$A$5:$A$1004,$T1341)="","",INDEX('AFA Rates'!$A$5:$A$1004,$T1341))))</f>
        <v/>
      </c>
      <c r="B1341" s="79">
        <f>IF(OR($T1341="",$U1341=""),IF($T1341="","","Not on Firms tab"),INDEX(Firms!$B$5:$B$1004,$U1341)&amp;"")</f>
        <v/>
      </c>
      <c r="C1341" s="78">
        <f>IF($T1341="","",IF($S1341="S","Standard",INDEX('AFA Rates'!$B$5:$B$1004,$T1341)&amp;""))</f>
        <v/>
      </c>
      <c r="D1341" s="88">
        <f>IF($T1341="","",IF($S1341="S",IF(INDEX(Firms!$E$5:$E$1004,$T1341)="","",INDEX(Firms!$E$5:$E$1004,$T1341)),IF(INDEX('AFA Rates'!$C$5:$C$1004,$T1341)="","",INDEX('AFA Rates'!$C$5:$C$1004,$T1341))))</f>
        <v/>
      </c>
      <c r="E1341" s="88">
        <f>IF($T1341="","",IF($S1341="S",IF(""="","",""),IF(INDEX('AFA Rates'!$D$5:$D$1004,$T1341)="","",INDEX('AFA Rates'!$D$5:$D$1004,$T1341))))</f>
        <v/>
      </c>
      <c r="F1341" s="79">
        <f>IF($T1341="","",IF($S1341="S",IF(INDEX(Firms!$O$5:$O$1004,$T1341)="","",INDEX(Firms!$O$5:$O$1004,$T1341)),IF(INDEX('AFA Rates'!$O$5:$O$1004,$T1341)="","",INDEX('AFA Rates'!$O$5:$O$1004,$T1341))))</f>
        <v/>
      </c>
      <c r="G1341" s="50">
        <f>IF($T1341="","",IF($S1341="S",IF(INDEX(Firms!$F$5:$F$1004,$T1341)="","",INDEX(Firms!$F$5:$F$1004,$T1341)),IF(INDEX('AFA Rates'!$E$5:$E$1004,$T1341)="","",INDEX('AFA Rates'!$E$5:$E$1004,$T1341))))</f>
        <v/>
      </c>
      <c r="H1341" s="50">
        <f>IF($T1341="","",IF($S1341="S",IF(INDEX(Firms!$G$5:$G$1004,$T1341)="","",INDEX(Firms!$G$5:$G$1004,$T1341)),IF(INDEX('AFA Rates'!$F$5:$F$1004,$T1341)="","",INDEX('AFA Rates'!$F$5:$F$1004,$T1341))))</f>
        <v/>
      </c>
      <c r="I1341" s="50">
        <f>IF($T1341="","",IF($S1341="S",IF(INDEX(Firms!$H$5:$H$1004,$T1341)="","",INDEX(Firms!$H$5:$H$1004,$T1341)),IF(INDEX('AFA Rates'!$G$5:$G$1004,$T1341)="","",INDEX('AFA Rates'!$G$5:$G$1004,$T1341))))</f>
        <v/>
      </c>
      <c r="J1341" s="50">
        <f>IF($T1341="","",IF($S1341="S",IF(INDEX(Firms!$I$5:$I$1004,$T1341)="","",INDEX(Firms!$I$5:$I$1004,$T1341)),IF(INDEX('AFA Rates'!$H$5:$H$1004,$T1341)="","",INDEX('AFA Rates'!$H$5:$H$1004,$T1341))))</f>
        <v/>
      </c>
      <c r="K1341" s="50">
        <f>IF($T1341="","",IF($S1341="S",IF(INDEX(Firms!$J$5:$J$1004,$T1341)="","",INDEX(Firms!$J$5:$J$1004,$T1341)),IF(INDEX('AFA Rates'!$I$5:$I$1004,$T1341)="","",INDEX('AFA Rates'!$I$5:$I$1004,$T1341))))</f>
        <v/>
      </c>
      <c r="L1341" s="50">
        <f>IF($T1341="","",IF($S1341="S",IF(INDEX(Firms!$K$5:$K$1004,$T1341)="","",INDEX(Firms!$K$5:$K$1004,$T1341)),IF(INDEX('AFA Rates'!$J$5:$J$1004,$T1341)="","",INDEX('AFA Rates'!$J$5:$J$1004,$T1341))))</f>
        <v/>
      </c>
      <c r="M1341" s="50">
        <f>IF($T1341="","",IF($S1341="S",IF(INDEX(Firms!$L$5:$L$1004,$T1341)="","",INDEX(Firms!$L$5:$L$1004,$T1341)),IF(INDEX('AFA Rates'!$K$5:$K$1004,$T1341)="","",INDEX('AFA Rates'!$K$5:$K$1004,$T1341))))</f>
        <v/>
      </c>
      <c r="N1341" s="50">
        <f>IF($T1341="","",IF($S1341="S",IF(INDEX(Firms!$M$5:$M$1004,$T1341)="","",INDEX(Firms!$M$5:$M$1004,$T1341)),IF(INDEX('AFA Rates'!$L$5:$L$1004,$T1341)="","",INDEX('AFA Rates'!$L$5:$L$1004,$T1341))))</f>
        <v/>
      </c>
      <c r="O1341" s="78">
        <f>IF(OR($T1341="",$U1341=""),"",IF(INDEX(Firms!$C$5:$C$1004,$U1341)="","",INDEX(Firms!$C$5:$C$1004,$U1341)))</f>
        <v/>
      </c>
      <c r="P1341" s="79">
        <f>IF(OR($T1341="",$U1341=""),"",IF(INDEX(Firms!$N$5:$N$1004,$U1341)="","",INDEX(Firms!$N$5:$N$1004,$U1341)))</f>
        <v/>
      </c>
      <c r="Q1341" s="78">
        <f>IF($T1341="","",IF($S1341="S",IF(INDEX(Firms!$T$5:$T$1004,$T1341)="","",INDEX(Firms!$T$5:$T$1004,$T1341)),IF(INDEX('AFA Rates'!$M$5:$M$1004,$T1341)="","",INDEX('AFA Rates'!$M$5:$M$1004,$T1341))))</f>
        <v/>
      </c>
      <c r="S1341">
        <f>IF(1337&lt;=$S$2,"S",IF(1337&lt;=$S$2+$T$2,"A",""))</f>
        <v/>
      </c>
      <c r="T1341">
        <f>IF(S1341="S",MATCH(1337,Firms!$W$5:$W$1004,0),IF(S1341="A",IFERROR(MATCH(1337-$S$2,'AFA Rates'!$R$5:$R$1004,0),""),""))</f>
        <v/>
      </c>
      <c r="U1341">
        <f>IF(S1341="S",T1341,IF(AND(S1341="A",T1341&lt;&gt;""),IFERROR(MATCH(INDEX('AFA Rates'!$A$5:$A$1004,T1341),Firms!$A$5:$A$1004,0),""),""))</f>
        <v/>
      </c>
    </row>
    <row r="1342">
      <c r="A1342" s="78">
        <f>IF($T1342="","",IF($S1342="S",IF(INDEX(Firms!$A$5:$A$1004,$T1342)="","",INDEX(Firms!$A$5:$A$1004,$T1342)),IF(INDEX('AFA Rates'!$A$5:$A$1004,$T1342)="","",INDEX('AFA Rates'!$A$5:$A$1004,$T1342))))</f>
        <v/>
      </c>
      <c r="B1342" s="79">
        <f>IF(OR($T1342="",$U1342=""),IF($T1342="","","Not on Firms tab"),INDEX(Firms!$B$5:$B$1004,$U1342)&amp;"")</f>
        <v/>
      </c>
      <c r="C1342" s="78">
        <f>IF($T1342="","",IF($S1342="S","Standard",INDEX('AFA Rates'!$B$5:$B$1004,$T1342)&amp;""))</f>
        <v/>
      </c>
      <c r="D1342" s="88">
        <f>IF($T1342="","",IF($S1342="S",IF(INDEX(Firms!$E$5:$E$1004,$T1342)="","",INDEX(Firms!$E$5:$E$1004,$T1342)),IF(INDEX('AFA Rates'!$C$5:$C$1004,$T1342)="","",INDEX('AFA Rates'!$C$5:$C$1004,$T1342))))</f>
        <v/>
      </c>
      <c r="E1342" s="88">
        <f>IF($T1342="","",IF($S1342="S",IF(""="","",""),IF(INDEX('AFA Rates'!$D$5:$D$1004,$T1342)="","",INDEX('AFA Rates'!$D$5:$D$1004,$T1342))))</f>
        <v/>
      </c>
      <c r="F1342" s="79">
        <f>IF($T1342="","",IF($S1342="S",IF(INDEX(Firms!$O$5:$O$1004,$T1342)="","",INDEX(Firms!$O$5:$O$1004,$T1342)),IF(INDEX('AFA Rates'!$O$5:$O$1004,$T1342)="","",INDEX('AFA Rates'!$O$5:$O$1004,$T1342))))</f>
        <v/>
      </c>
      <c r="G1342" s="50">
        <f>IF($T1342="","",IF($S1342="S",IF(INDEX(Firms!$F$5:$F$1004,$T1342)="","",INDEX(Firms!$F$5:$F$1004,$T1342)),IF(INDEX('AFA Rates'!$E$5:$E$1004,$T1342)="","",INDEX('AFA Rates'!$E$5:$E$1004,$T1342))))</f>
        <v/>
      </c>
      <c r="H1342" s="50">
        <f>IF($T1342="","",IF($S1342="S",IF(INDEX(Firms!$G$5:$G$1004,$T1342)="","",INDEX(Firms!$G$5:$G$1004,$T1342)),IF(INDEX('AFA Rates'!$F$5:$F$1004,$T1342)="","",INDEX('AFA Rates'!$F$5:$F$1004,$T1342))))</f>
        <v/>
      </c>
      <c r="I1342" s="50">
        <f>IF($T1342="","",IF($S1342="S",IF(INDEX(Firms!$H$5:$H$1004,$T1342)="","",INDEX(Firms!$H$5:$H$1004,$T1342)),IF(INDEX('AFA Rates'!$G$5:$G$1004,$T1342)="","",INDEX('AFA Rates'!$G$5:$G$1004,$T1342))))</f>
        <v/>
      </c>
      <c r="J1342" s="50">
        <f>IF($T1342="","",IF($S1342="S",IF(INDEX(Firms!$I$5:$I$1004,$T1342)="","",INDEX(Firms!$I$5:$I$1004,$T1342)),IF(INDEX('AFA Rates'!$H$5:$H$1004,$T1342)="","",INDEX('AFA Rates'!$H$5:$H$1004,$T1342))))</f>
        <v/>
      </c>
      <c r="K1342" s="50">
        <f>IF($T1342="","",IF($S1342="S",IF(INDEX(Firms!$J$5:$J$1004,$T1342)="","",INDEX(Firms!$J$5:$J$1004,$T1342)),IF(INDEX('AFA Rates'!$I$5:$I$1004,$T1342)="","",INDEX('AFA Rates'!$I$5:$I$1004,$T1342))))</f>
        <v/>
      </c>
      <c r="L1342" s="50">
        <f>IF($T1342="","",IF($S1342="S",IF(INDEX(Firms!$K$5:$K$1004,$T1342)="","",INDEX(Firms!$K$5:$K$1004,$T1342)),IF(INDEX('AFA Rates'!$J$5:$J$1004,$T1342)="","",INDEX('AFA Rates'!$J$5:$J$1004,$T1342))))</f>
        <v/>
      </c>
      <c r="M1342" s="50">
        <f>IF($T1342="","",IF($S1342="S",IF(INDEX(Firms!$L$5:$L$1004,$T1342)="","",INDEX(Firms!$L$5:$L$1004,$T1342)),IF(INDEX('AFA Rates'!$K$5:$K$1004,$T1342)="","",INDEX('AFA Rates'!$K$5:$K$1004,$T1342))))</f>
        <v/>
      </c>
      <c r="N1342" s="50">
        <f>IF($T1342="","",IF($S1342="S",IF(INDEX(Firms!$M$5:$M$1004,$T1342)="","",INDEX(Firms!$M$5:$M$1004,$T1342)),IF(INDEX('AFA Rates'!$L$5:$L$1004,$T1342)="","",INDEX('AFA Rates'!$L$5:$L$1004,$T1342))))</f>
        <v/>
      </c>
      <c r="O1342" s="78">
        <f>IF(OR($T1342="",$U1342=""),"",IF(INDEX(Firms!$C$5:$C$1004,$U1342)="","",INDEX(Firms!$C$5:$C$1004,$U1342)))</f>
        <v/>
      </c>
      <c r="P1342" s="79">
        <f>IF(OR($T1342="",$U1342=""),"",IF(INDEX(Firms!$N$5:$N$1004,$U1342)="","",INDEX(Firms!$N$5:$N$1004,$U1342)))</f>
        <v/>
      </c>
      <c r="Q1342" s="78">
        <f>IF($T1342="","",IF($S1342="S",IF(INDEX(Firms!$T$5:$T$1004,$T1342)="","",INDEX(Firms!$T$5:$T$1004,$T1342)),IF(INDEX('AFA Rates'!$M$5:$M$1004,$T1342)="","",INDEX('AFA Rates'!$M$5:$M$1004,$T1342))))</f>
        <v/>
      </c>
      <c r="S1342">
        <f>IF(1338&lt;=$S$2,"S",IF(1338&lt;=$S$2+$T$2,"A",""))</f>
        <v/>
      </c>
      <c r="T1342">
        <f>IF(S1342="S",MATCH(1338,Firms!$W$5:$W$1004,0),IF(S1342="A",IFERROR(MATCH(1338-$S$2,'AFA Rates'!$R$5:$R$1004,0),""),""))</f>
        <v/>
      </c>
      <c r="U1342">
        <f>IF(S1342="S",T1342,IF(AND(S1342="A",T1342&lt;&gt;""),IFERROR(MATCH(INDEX('AFA Rates'!$A$5:$A$1004,T1342),Firms!$A$5:$A$1004,0),""),""))</f>
        <v/>
      </c>
    </row>
    <row r="1343">
      <c r="A1343" s="78">
        <f>IF($T1343="","",IF($S1343="S",IF(INDEX(Firms!$A$5:$A$1004,$T1343)="","",INDEX(Firms!$A$5:$A$1004,$T1343)),IF(INDEX('AFA Rates'!$A$5:$A$1004,$T1343)="","",INDEX('AFA Rates'!$A$5:$A$1004,$T1343))))</f>
        <v/>
      </c>
      <c r="B1343" s="79">
        <f>IF(OR($T1343="",$U1343=""),IF($T1343="","","Not on Firms tab"),INDEX(Firms!$B$5:$B$1004,$U1343)&amp;"")</f>
        <v/>
      </c>
      <c r="C1343" s="78">
        <f>IF($T1343="","",IF($S1343="S","Standard",INDEX('AFA Rates'!$B$5:$B$1004,$T1343)&amp;""))</f>
        <v/>
      </c>
      <c r="D1343" s="88">
        <f>IF($T1343="","",IF($S1343="S",IF(INDEX(Firms!$E$5:$E$1004,$T1343)="","",INDEX(Firms!$E$5:$E$1004,$T1343)),IF(INDEX('AFA Rates'!$C$5:$C$1004,$T1343)="","",INDEX('AFA Rates'!$C$5:$C$1004,$T1343))))</f>
        <v/>
      </c>
      <c r="E1343" s="88">
        <f>IF($T1343="","",IF($S1343="S",IF(""="","",""),IF(INDEX('AFA Rates'!$D$5:$D$1004,$T1343)="","",INDEX('AFA Rates'!$D$5:$D$1004,$T1343))))</f>
        <v/>
      </c>
      <c r="F1343" s="79">
        <f>IF($T1343="","",IF($S1343="S",IF(INDEX(Firms!$O$5:$O$1004,$T1343)="","",INDEX(Firms!$O$5:$O$1004,$T1343)),IF(INDEX('AFA Rates'!$O$5:$O$1004,$T1343)="","",INDEX('AFA Rates'!$O$5:$O$1004,$T1343))))</f>
        <v/>
      </c>
      <c r="G1343" s="50">
        <f>IF($T1343="","",IF($S1343="S",IF(INDEX(Firms!$F$5:$F$1004,$T1343)="","",INDEX(Firms!$F$5:$F$1004,$T1343)),IF(INDEX('AFA Rates'!$E$5:$E$1004,$T1343)="","",INDEX('AFA Rates'!$E$5:$E$1004,$T1343))))</f>
        <v/>
      </c>
      <c r="H1343" s="50">
        <f>IF($T1343="","",IF($S1343="S",IF(INDEX(Firms!$G$5:$G$1004,$T1343)="","",INDEX(Firms!$G$5:$G$1004,$T1343)),IF(INDEX('AFA Rates'!$F$5:$F$1004,$T1343)="","",INDEX('AFA Rates'!$F$5:$F$1004,$T1343))))</f>
        <v/>
      </c>
      <c r="I1343" s="50">
        <f>IF($T1343="","",IF($S1343="S",IF(INDEX(Firms!$H$5:$H$1004,$T1343)="","",INDEX(Firms!$H$5:$H$1004,$T1343)),IF(INDEX('AFA Rates'!$G$5:$G$1004,$T1343)="","",INDEX('AFA Rates'!$G$5:$G$1004,$T1343))))</f>
        <v/>
      </c>
      <c r="J1343" s="50">
        <f>IF($T1343="","",IF($S1343="S",IF(INDEX(Firms!$I$5:$I$1004,$T1343)="","",INDEX(Firms!$I$5:$I$1004,$T1343)),IF(INDEX('AFA Rates'!$H$5:$H$1004,$T1343)="","",INDEX('AFA Rates'!$H$5:$H$1004,$T1343))))</f>
        <v/>
      </c>
      <c r="K1343" s="50">
        <f>IF($T1343="","",IF($S1343="S",IF(INDEX(Firms!$J$5:$J$1004,$T1343)="","",INDEX(Firms!$J$5:$J$1004,$T1343)),IF(INDEX('AFA Rates'!$I$5:$I$1004,$T1343)="","",INDEX('AFA Rates'!$I$5:$I$1004,$T1343))))</f>
        <v/>
      </c>
      <c r="L1343" s="50">
        <f>IF($T1343="","",IF($S1343="S",IF(INDEX(Firms!$K$5:$K$1004,$T1343)="","",INDEX(Firms!$K$5:$K$1004,$T1343)),IF(INDEX('AFA Rates'!$J$5:$J$1004,$T1343)="","",INDEX('AFA Rates'!$J$5:$J$1004,$T1343))))</f>
        <v/>
      </c>
      <c r="M1343" s="50">
        <f>IF($T1343="","",IF($S1343="S",IF(INDEX(Firms!$L$5:$L$1004,$T1343)="","",INDEX(Firms!$L$5:$L$1004,$T1343)),IF(INDEX('AFA Rates'!$K$5:$K$1004,$T1343)="","",INDEX('AFA Rates'!$K$5:$K$1004,$T1343))))</f>
        <v/>
      </c>
      <c r="N1343" s="50">
        <f>IF($T1343="","",IF($S1343="S",IF(INDEX(Firms!$M$5:$M$1004,$T1343)="","",INDEX(Firms!$M$5:$M$1004,$T1343)),IF(INDEX('AFA Rates'!$L$5:$L$1004,$T1343)="","",INDEX('AFA Rates'!$L$5:$L$1004,$T1343))))</f>
        <v/>
      </c>
      <c r="O1343" s="78">
        <f>IF(OR($T1343="",$U1343=""),"",IF(INDEX(Firms!$C$5:$C$1004,$U1343)="","",INDEX(Firms!$C$5:$C$1004,$U1343)))</f>
        <v/>
      </c>
      <c r="P1343" s="79">
        <f>IF(OR($T1343="",$U1343=""),"",IF(INDEX(Firms!$N$5:$N$1004,$U1343)="","",INDEX(Firms!$N$5:$N$1004,$U1343)))</f>
        <v/>
      </c>
      <c r="Q1343" s="78">
        <f>IF($T1343="","",IF($S1343="S",IF(INDEX(Firms!$T$5:$T$1004,$T1343)="","",INDEX(Firms!$T$5:$T$1004,$T1343)),IF(INDEX('AFA Rates'!$M$5:$M$1004,$T1343)="","",INDEX('AFA Rates'!$M$5:$M$1004,$T1343))))</f>
        <v/>
      </c>
      <c r="S1343">
        <f>IF(1339&lt;=$S$2,"S",IF(1339&lt;=$S$2+$T$2,"A",""))</f>
        <v/>
      </c>
      <c r="T1343">
        <f>IF(S1343="S",MATCH(1339,Firms!$W$5:$W$1004,0),IF(S1343="A",IFERROR(MATCH(1339-$S$2,'AFA Rates'!$R$5:$R$1004,0),""),""))</f>
        <v/>
      </c>
      <c r="U1343">
        <f>IF(S1343="S",T1343,IF(AND(S1343="A",T1343&lt;&gt;""),IFERROR(MATCH(INDEX('AFA Rates'!$A$5:$A$1004,T1343),Firms!$A$5:$A$1004,0),""),""))</f>
        <v/>
      </c>
    </row>
    <row r="1344">
      <c r="A1344" s="78">
        <f>IF($T1344="","",IF($S1344="S",IF(INDEX(Firms!$A$5:$A$1004,$T1344)="","",INDEX(Firms!$A$5:$A$1004,$T1344)),IF(INDEX('AFA Rates'!$A$5:$A$1004,$T1344)="","",INDEX('AFA Rates'!$A$5:$A$1004,$T1344))))</f>
        <v/>
      </c>
      <c r="B1344" s="79">
        <f>IF(OR($T1344="",$U1344=""),IF($T1344="","","Not on Firms tab"),INDEX(Firms!$B$5:$B$1004,$U1344)&amp;"")</f>
        <v/>
      </c>
      <c r="C1344" s="78">
        <f>IF($T1344="","",IF($S1344="S","Standard",INDEX('AFA Rates'!$B$5:$B$1004,$T1344)&amp;""))</f>
        <v/>
      </c>
      <c r="D1344" s="88">
        <f>IF($T1344="","",IF($S1344="S",IF(INDEX(Firms!$E$5:$E$1004,$T1344)="","",INDEX(Firms!$E$5:$E$1004,$T1344)),IF(INDEX('AFA Rates'!$C$5:$C$1004,$T1344)="","",INDEX('AFA Rates'!$C$5:$C$1004,$T1344))))</f>
        <v/>
      </c>
      <c r="E1344" s="88">
        <f>IF($T1344="","",IF($S1344="S",IF(""="","",""),IF(INDEX('AFA Rates'!$D$5:$D$1004,$T1344)="","",INDEX('AFA Rates'!$D$5:$D$1004,$T1344))))</f>
        <v/>
      </c>
      <c r="F1344" s="79">
        <f>IF($T1344="","",IF($S1344="S",IF(INDEX(Firms!$O$5:$O$1004,$T1344)="","",INDEX(Firms!$O$5:$O$1004,$T1344)),IF(INDEX('AFA Rates'!$O$5:$O$1004,$T1344)="","",INDEX('AFA Rates'!$O$5:$O$1004,$T1344))))</f>
        <v/>
      </c>
      <c r="G1344" s="50">
        <f>IF($T1344="","",IF($S1344="S",IF(INDEX(Firms!$F$5:$F$1004,$T1344)="","",INDEX(Firms!$F$5:$F$1004,$T1344)),IF(INDEX('AFA Rates'!$E$5:$E$1004,$T1344)="","",INDEX('AFA Rates'!$E$5:$E$1004,$T1344))))</f>
        <v/>
      </c>
      <c r="H1344" s="50">
        <f>IF($T1344="","",IF($S1344="S",IF(INDEX(Firms!$G$5:$G$1004,$T1344)="","",INDEX(Firms!$G$5:$G$1004,$T1344)),IF(INDEX('AFA Rates'!$F$5:$F$1004,$T1344)="","",INDEX('AFA Rates'!$F$5:$F$1004,$T1344))))</f>
        <v/>
      </c>
      <c r="I1344" s="50">
        <f>IF($T1344="","",IF($S1344="S",IF(INDEX(Firms!$H$5:$H$1004,$T1344)="","",INDEX(Firms!$H$5:$H$1004,$T1344)),IF(INDEX('AFA Rates'!$G$5:$G$1004,$T1344)="","",INDEX('AFA Rates'!$G$5:$G$1004,$T1344))))</f>
        <v/>
      </c>
      <c r="J1344" s="50">
        <f>IF($T1344="","",IF($S1344="S",IF(INDEX(Firms!$I$5:$I$1004,$T1344)="","",INDEX(Firms!$I$5:$I$1004,$T1344)),IF(INDEX('AFA Rates'!$H$5:$H$1004,$T1344)="","",INDEX('AFA Rates'!$H$5:$H$1004,$T1344))))</f>
        <v/>
      </c>
      <c r="K1344" s="50">
        <f>IF($T1344="","",IF($S1344="S",IF(INDEX(Firms!$J$5:$J$1004,$T1344)="","",INDEX(Firms!$J$5:$J$1004,$T1344)),IF(INDEX('AFA Rates'!$I$5:$I$1004,$T1344)="","",INDEX('AFA Rates'!$I$5:$I$1004,$T1344))))</f>
        <v/>
      </c>
      <c r="L1344" s="50">
        <f>IF($T1344="","",IF($S1344="S",IF(INDEX(Firms!$K$5:$K$1004,$T1344)="","",INDEX(Firms!$K$5:$K$1004,$T1344)),IF(INDEX('AFA Rates'!$J$5:$J$1004,$T1344)="","",INDEX('AFA Rates'!$J$5:$J$1004,$T1344))))</f>
        <v/>
      </c>
      <c r="M1344" s="50">
        <f>IF($T1344="","",IF($S1344="S",IF(INDEX(Firms!$L$5:$L$1004,$T1344)="","",INDEX(Firms!$L$5:$L$1004,$T1344)),IF(INDEX('AFA Rates'!$K$5:$K$1004,$T1344)="","",INDEX('AFA Rates'!$K$5:$K$1004,$T1344))))</f>
        <v/>
      </c>
      <c r="N1344" s="50">
        <f>IF($T1344="","",IF($S1344="S",IF(INDEX(Firms!$M$5:$M$1004,$T1344)="","",INDEX(Firms!$M$5:$M$1004,$T1344)),IF(INDEX('AFA Rates'!$L$5:$L$1004,$T1344)="","",INDEX('AFA Rates'!$L$5:$L$1004,$T1344))))</f>
        <v/>
      </c>
      <c r="O1344" s="78">
        <f>IF(OR($T1344="",$U1344=""),"",IF(INDEX(Firms!$C$5:$C$1004,$U1344)="","",INDEX(Firms!$C$5:$C$1004,$U1344)))</f>
        <v/>
      </c>
      <c r="P1344" s="79">
        <f>IF(OR($T1344="",$U1344=""),"",IF(INDEX(Firms!$N$5:$N$1004,$U1344)="","",INDEX(Firms!$N$5:$N$1004,$U1344)))</f>
        <v/>
      </c>
      <c r="Q1344" s="78">
        <f>IF($T1344="","",IF($S1344="S",IF(INDEX(Firms!$T$5:$T$1004,$T1344)="","",INDEX(Firms!$T$5:$T$1004,$T1344)),IF(INDEX('AFA Rates'!$M$5:$M$1004,$T1344)="","",INDEX('AFA Rates'!$M$5:$M$1004,$T1344))))</f>
        <v/>
      </c>
      <c r="S1344">
        <f>IF(1340&lt;=$S$2,"S",IF(1340&lt;=$S$2+$T$2,"A",""))</f>
        <v/>
      </c>
      <c r="T1344">
        <f>IF(S1344="S",MATCH(1340,Firms!$W$5:$W$1004,0),IF(S1344="A",IFERROR(MATCH(1340-$S$2,'AFA Rates'!$R$5:$R$1004,0),""),""))</f>
        <v/>
      </c>
      <c r="U1344">
        <f>IF(S1344="S",T1344,IF(AND(S1344="A",T1344&lt;&gt;""),IFERROR(MATCH(INDEX('AFA Rates'!$A$5:$A$1004,T1344),Firms!$A$5:$A$1004,0),""),""))</f>
        <v/>
      </c>
    </row>
    <row r="1345">
      <c r="A1345" s="78">
        <f>IF($T1345="","",IF($S1345="S",IF(INDEX(Firms!$A$5:$A$1004,$T1345)="","",INDEX(Firms!$A$5:$A$1004,$T1345)),IF(INDEX('AFA Rates'!$A$5:$A$1004,$T1345)="","",INDEX('AFA Rates'!$A$5:$A$1004,$T1345))))</f>
        <v/>
      </c>
      <c r="B1345" s="79">
        <f>IF(OR($T1345="",$U1345=""),IF($T1345="","","Not on Firms tab"),INDEX(Firms!$B$5:$B$1004,$U1345)&amp;"")</f>
        <v/>
      </c>
      <c r="C1345" s="78">
        <f>IF($T1345="","",IF($S1345="S","Standard",INDEX('AFA Rates'!$B$5:$B$1004,$T1345)&amp;""))</f>
        <v/>
      </c>
      <c r="D1345" s="88">
        <f>IF($T1345="","",IF($S1345="S",IF(INDEX(Firms!$E$5:$E$1004,$T1345)="","",INDEX(Firms!$E$5:$E$1004,$T1345)),IF(INDEX('AFA Rates'!$C$5:$C$1004,$T1345)="","",INDEX('AFA Rates'!$C$5:$C$1004,$T1345))))</f>
        <v/>
      </c>
      <c r="E1345" s="88">
        <f>IF($T1345="","",IF($S1345="S",IF(""="","",""),IF(INDEX('AFA Rates'!$D$5:$D$1004,$T1345)="","",INDEX('AFA Rates'!$D$5:$D$1004,$T1345))))</f>
        <v/>
      </c>
      <c r="F1345" s="79">
        <f>IF($T1345="","",IF($S1345="S",IF(INDEX(Firms!$O$5:$O$1004,$T1345)="","",INDEX(Firms!$O$5:$O$1004,$T1345)),IF(INDEX('AFA Rates'!$O$5:$O$1004,$T1345)="","",INDEX('AFA Rates'!$O$5:$O$1004,$T1345))))</f>
        <v/>
      </c>
      <c r="G1345" s="50">
        <f>IF($T1345="","",IF($S1345="S",IF(INDEX(Firms!$F$5:$F$1004,$T1345)="","",INDEX(Firms!$F$5:$F$1004,$T1345)),IF(INDEX('AFA Rates'!$E$5:$E$1004,$T1345)="","",INDEX('AFA Rates'!$E$5:$E$1004,$T1345))))</f>
        <v/>
      </c>
      <c r="H1345" s="50">
        <f>IF($T1345="","",IF($S1345="S",IF(INDEX(Firms!$G$5:$G$1004,$T1345)="","",INDEX(Firms!$G$5:$G$1004,$T1345)),IF(INDEX('AFA Rates'!$F$5:$F$1004,$T1345)="","",INDEX('AFA Rates'!$F$5:$F$1004,$T1345))))</f>
        <v/>
      </c>
      <c r="I1345" s="50">
        <f>IF($T1345="","",IF($S1345="S",IF(INDEX(Firms!$H$5:$H$1004,$T1345)="","",INDEX(Firms!$H$5:$H$1004,$T1345)),IF(INDEX('AFA Rates'!$G$5:$G$1004,$T1345)="","",INDEX('AFA Rates'!$G$5:$G$1004,$T1345))))</f>
        <v/>
      </c>
      <c r="J1345" s="50">
        <f>IF($T1345="","",IF($S1345="S",IF(INDEX(Firms!$I$5:$I$1004,$T1345)="","",INDEX(Firms!$I$5:$I$1004,$T1345)),IF(INDEX('AFA Rates'!$H$5:$H$1004,$T1345)="","",INDEX('AFA Rates'!$H$5:$H$1004,$T1345))))</f>
        <v/>
      </c>
      <c r="K1345" s="50">
        <f>IF($T1345="","",IF($S1345="S",IF(INDEX(Firms!$J$5:$J$1004,$T1345)="","",INDEX(Firms!$J$5:$J$1004,$T1345)),IF(INDEX('AFA Rates'!$I$5:$I$1004,$T1345)="","",INDEX('AFA Rates'!$I$5:$I$1004,$T1345))))</f>
        <v/>
      </c>
      <c r="L1345" s="50">
        <f>IF($T1345="","",IF($S1345="S",IF(INDEX(Firms!$K$5:$K$1004,$T1345)="","",INDEX(Firms!$K$5:$K$1004,$T1345)),IF(INDEX('AFA Rates'!$J$5:$J$1004,$T1345)="","",INDEX('AFA Rates'!$J$5:$J$1004,$T1345))))</f>
        <v/>
      </c>
      <c r="M1345" s="50">
        <f>IF($T1345="","",IF($S1345="S",IF(INDEX(Firms!$L$5:$L$1004,$T1345)="","",INDEX(Firms!$L$5:$L$1004,$T1345)),IF(INDEX('AFA Rates'!$K$5:$K$1004,$T1345)="","",INDEX('AFA Rates'!$K$5:$K$1004,$T1345))))</f>
        <v/>
      </c>
      <c r="N1345" s="50">
        <f>IF($T1345="","",IF($S1345="S",IF(INDEX(Firms!$M$5:$M$1004,$T1345)="","",INDEX(Firms!$M$5:$M$1004,$T1345)),IF(INDEX('AFA Rates'!$L$5:$L$1004,$T1345)="","",INDEX('AFA Rates'!$L$5:$L$1004,$T1345))))</f>
        <v/>
      </c>
      <c r="O1345" s="78">
        <f>IF(OR($T1345="",$U1345=""),"",IF(INDEX(Firms!$C$5:$C$1004,$U1345)="","",INDEX(Firms!$C$5:$C$1004,$U1345)))</f>
        <v/>
      </c>
      <c r="P1345" s="79">
        <f>IF(OR($T1345="",$U1345=""),"",IF(INDEX(Firms!$N$5:$N$1004,$U1345)="","",INDEX(Firms!$N$5:$N$1004,$U1345)))</f>
        <v/>
      </c>
      <c r="Q1345" s="78">
        <f>IF($T1345="","",IF($S1345="S",IF(INDEX(Firms!$T$5:$T$1004,$T1345)="","",INDEX(Firms!$T$5:$T$1004,$T1345)),IF(INDEX('AFA Rates'!$M$5:$M$1004,$T1345)="","",INDEX('AFA Rates'!$M$5:$M$1004,$T1345))))</f>
        <v/>
      </c>
      <c r="S1345">
        <f>IF(1341&lt;=$S$2,"S",IF(1341&lt;=$S$2+$T$2,"A",""))</f>
        <v/>
      </c>
      <c r="T1345">
        <f>IF(S1345="S",MATCH(1341,Firms!$W$5:$W$1004,0),IF(S1345="A",IFERROR(MATCH(1341-$S$2,'AFA Rates'!$R$5:$R$1004,0),""),""))</f>
        <v/>
      </c>
      <c r="U1345">
        <f>IF(S1345="S",T1345,IF(AND(S1345="A",T1345&lt;&gt;""),IFERROR(MATCH(INDEX('AFA Rates'!$A$5:$A$1004,T1345),Firms!$A$5:$A$1004,0),""),""))</f>
        <v/>
      </c>
    </row>
    <row r="1346">
      <c r="A1346" s="78">
        <f>IF($T1346="","",IF($S1346="S",IF(INDEX(Firms!$A$5:$A$1004,$T1346)="","",INDEX(Firms!$A$5:$A$1004,$T1346)),IF(INDEX('AFA Rates'!$A$5:$A$1004,$T1346)="","",INDEX('AFA Rates'!$A$5:$A$1004,$T1346))))</f>
        <v/>
      </c>
      <c r="B1346" s="79">
        <f>IF(OR($T1346="",$U1346=""),IF($T1346="","","Not on Firms tab"),INDEX(Firms!$B$5:$B$1004,$U1346)&amp;"")</f>
        <v/>
      </c>
      <c r="C1346" s="78">
        <f>IF($T1346="","",IF($S1346="S","Standard",INDEX('AFA Rates'!$B$5:$B$1004,$T1346)&amp;""))</f>
        <v/>
      </c>
      <c r="D1346" s="88">
        <f>IF($T1346="","",IF($S1346="S",IF(INDEX(Firms!$E$5:$E$1004,$T1346)="","",INDEX(Firms!$E$5:$E$1004,$T1346)),IF(INDEX('AFA Rates'!$C$5:$C$1004,$T1346)="","",INDEX('AFA Rates'!$C$5:$C$1004,$T1346))))</f>
        <v/>
      </c>
      <c r="E1346" s="88">
        <f>IF($T1346="","",IF($S1346="S",IF(""="","",""),IF(INDEX('AFA Rates'!$D$5:$D$1004,$T1346)="","",INDEX('AFA Rates'!$D$5:$D$1004,$T1346))))</f>
        <v/>
      </c>
      <c r="F1346" s="79">
        <f>IF($T1346="","",IF($S1346="S",IF(INDEX(Firms!$O$5:$O$1004,$T1346)="","",INDEX(Firms!$O$5:$O$1004,$T1346)),IF(INDEX('AFA Rates'!$O$5:$O$1004,$T1346)="","",INDEX('AFA Rates'!$O$5:$O$1004,$T1346))))</f>
        <v/>
      </c>
      <c r="G1346" s="50">
        <f>IF($T1346="","",IF($S1346="S",IF(INDEX(Firms!$F$5:$F$1004,$T1346)="","",INDEX(Firms!$F$5:$F$1004,$T1346)),IF(INDEX('AFA Rates'!$E$5:$E$1004,$T1346)="","",INDEX('AFA Rates'!$E$5:$E$1004,$T1346))))</f>
        <v/>
      </c>
      <c r="H1346" s="50">
        <f>IF($T1346="","",IF($S1346="S",IF(INDEX(Firms!$G$5:$G$1004,$T1346)="","",INDEX(Firms!$G$5:$G$1004,$T1346)),IF(INDEX('AFA Rates'!$F$5:$F$1004,$T1346)="","",INDEX('AFA Rates'!$F$5:$F$1004,$T1346))))</f>
        <v/>
      </c>
      <c r="I1346" s="50">
        <f>IF($T1346="","",IF($S1346="S",IF(INDEX(Firms!$H$5:$H$1004,$T1346)="","",INDEX(Firms!$H$5:$H$1004,$T1346)),IF(INDEX('AFA Rates'!$G$5:$G$1004,$T1346)="","",INDEX('AFA Rates'!$G$5:$G$1004,$T1346))))</f>
        <v/>
      </c>
      <c r="J1346" s="50">
        <f>IF($T1346="","",IF($S1346="S",IF(INDEX(Firms!$I$5:$I$1004,$T1346)="","",INDEX(Firms!$I$5:$I$1004,$T1346)),IF(INDEX('AFA Rates'!$H$5:$H$1004,$T1346)="","",INDEX('AFA Rates'!$H$5:$H$1004,$T1346))))</f>
        <v/>
      </c>
      <c r="K1346" s="50">
        <f>IF($T1346="","",IF($S1346="S",IF(INDEX(Firms!$J$5:$J$1004,$T1346)="","",INDEX(Firms!$J$5:$J$1004,$T1346)),IF(INDEX('AFA Rates'!$I$5:$I$1004,$T1346)="","",INDEX('AFA Rates'!$I$5:$I$1004,$T1346))))</f>
        <v/>
      </c>
      <c r="L1346" s="50">
        <f>IF($T1346="","",IF($S1346="S",IF(INDEX(Firms!$K$5:$K$1004,$T1346)="","",INDEX(Firms!$K$5:$K$1004,$T1346)),IF(INDEX('AFA Rates'!$J$5:$J$1004,$T1346)="","",INDEX('AFA Rates'!$J$5:$J$1004,$T1346))))</f>
        <v/>
      </c>
      <c r="M1346" s="50">
        <f>IF($T1346="","",IF($S1346="S",IF(INDEX(Firms!$L$5:$L$1004,$T1346)="","",INDEX(Firms!$L$5:$L$1004,$T1346)),IF(INDEX('AFA Rates'!$K$5:$K$1004,$T1346)="","",INDEX('AFA Rates'!$K$5:$K$1004,$T1346))))</f>
        <v/>
      </c>
      <c r="N1346" s="50">
        <f>IF($T1346="","",IF($S1346="S",IF(INDEX(Firms!$M$5:$M$1004,$T1346)="","",INDEX(Firms!$M$5:$M$1004,$T1346)),IF(INDEX('AFA Rates'!$L$5:$L$1004,$T1346)="","",INDEX('AFA Rates'!$L$5:$L$1004,$T1346))))</f>
        <v/>
      </c>
      <c r="O1346" s="78">
        <f>IF(OR($T1346="",$U1346=""),"",IF(INDEX(Firms!$C$5:$C$1004,$U1346)="","",INDEX(Firms!$C$5:$C$1004,$U1346)))</f>
        <v/>
      </c>
      <c r="P1346" s="79">
        <f>IF(OR($T1346="",$U1346=""),"",IF(INDEX(Firms!$N$5:$N$1004,$U1346)="","",INDEX(Firms!$N$5:$N$1004,$U1346)))</f>
        <v/>
      </c>
      <c r="Q1346" s="78">
        <f>IF($T1346="","",IF($S1346="S",IF(INDEX(Firms!$T$5:$T$1004,$T1346)="","",INDEX(Firms!$T$5:$T$1004,$T1346)),IF(INDEX('AFA Rates'!$M$5:$M$1004,$T1346)="","",INDEX('AFA Rates'!$M$5:$M$1004,$T1346))))</f>
        <v/>
      </c>
      <c r="S1346">
        <f>IF(1342&lt;=$S$2,"S",IF(1342&lt;=$S$2+$T$2,"A",""))</f>
        <v/>
      </c>
      <c r="T1346">
        <f>IF(S1346="S",MATCH(1342,Firms!$W$5:$W$1004,0),IF(S1346="A",IFERROR(MATCH(1342-$S$2,'AFA Rates'!$R$5:$R$1004,0),""),""))</f>
        <v/>
      </c>
      <c r="U1346">
        <f>IF(S1346="S",T1346,IF(AND(S1346="A",T1346&lt;&gt;""),IFERROR(MATCH(INDEX('AFA Rates'!$A$5:$A$1004,T1346),Firms!$A$5:$A$1004,0),""),""))</f>
        <v/>
      </c>
    </row>
    <row r="1347">
      <c r="A1347" s="78">
        <f>IF($T1347="","",IF($S1347="S",IF(INDEX(Firms!$A$5:$A$1004,$T1347)="","",INDEX(Firms!$A$5:$A$1004,$T1347)),IF(INDEX('AFA Rates'!$A$5:$A$1004,$T1347)="","",INDEX('AFA Rates'!$A$5:$A$1004,$T1347))))</f>
        <v/>
      </c>
      <c r="B1347" s="79">
        <f>IF(OR($T1347="",$U1347=""),IF($T1347="","","Not on Firms tab"),INDEX(Firms!$B$5:$B$1004,$U1347)&amp;"")</f>
        <v/>
      </c>
      <c r="C1347" s="78">
        <f>IF($T1347="","",IF($S1347="S","Standard",INDEX('AFA Rates'!$B$5:$B$1004,$T1347)&amp;""))</f>
        <v/>
      </c>
      <c r="D1347" s="88">
        <f>IF($T1347="","",IF($S1347="S",IF(INDEX(Firms!$E$5:$E$1004,$T1347)="","",INDEX(Firms!$E$5:$E$1004,$T1347)),IF(INDEX('AFA Rates'!$C$5:$C$1004,$T1347)="","",INDEX('AFA Rates'!$C$5:$C$1004,$T1347))))</f>
        <v/>
      </c>
      <c r="E1347" s="88">
        <f>IF($T1347="","",IF($S1347="S",IF(""="","",""),IF(INDEX('AFA Rates'!$D$5:$D$1004,$T1347)="","",INDEX('AFA Rates'!$D$5:$D$1004,$T1347))))</f>
        <v/>
      </c>
      <c r="F1347" s="79">
        <f>IF($T1347="","",IF($S1347="S",IF(INDEX(Firms!$O$5:$O$1004,$T1347)="","",INDEX(Firms!$O$5:$O$1004,$T1347)),IF(INDEX('AFA Rates'!$O$5:$O$1004,$T1347)="","",INDEX('AFA Rates'!$O$5:$O$1004,$T1347))))</f>
        <v/>
      </c>
      <c r="G1347" s="50">
        <f>IF($T1347="","",IF($S1347="S",IF(INDEX(Firms!$F$5:$F$1004,$T1347)="","",INDEX(Firms!$F$5:$F$1004,$T1347)),IF(INDEX('AFA Rates'!$E$5:$E$1004,$T1347)="","",INDEX('AFA Rates'!$E$5:$E$1004,$T1347))))</f>
        <v/>
      </c>
      <c r="H1347" s="50">
        <f>IF($T1347="","",IF($S1347="S",IF(INDEX(Firms!$G$5:$G$1004,$T1347)="","",INDEX(Firms!$G$5:$G$1004,$T1347)),IF(INDEX('AFA Rates'!$F$5:$F$1004,$T1347)="","",INDEX('AFA Rates'!$F$5:$F$1004,$T1347))))</f>
        <v/>
      </c>
      <c r="I1347" s="50">
        <f>IF($T1347="","",IF($S1347="S",IF(INDEX(Firms!$H$5:$H$1004,$T1347)="","",INDEX(Firms!$H$5:$H$1004,$T1347)),IF(INDEX('AFA Rates'!$G$5:$G$1004,$T1347)="","",INDEX('AFA Rates'!$G$5:$G$1004,$T1347))))</f>
        <v/>
      </c>
      <c r="J1347" s="50">
        <f>IF($T1347="","",IF($S1347="S",IF(INDEX(Firms!$I$5:$I$1004,$T1347)="","",INDEX(Firms!$I$5:$I$1004,$T1347)),IF(INDEX('AFA Rates'!$H$5:$H$1004,$T1347)="","",INDEX('AFA Rates'!$H$5:$H$1004,$T1347))))</f>
        <v/>
      </c>
      <c r="K1347" s="50">
        <f>IF($T1347="","",IF($S1347="S",IF(INDEX(Firms!$J$5:$J$1004,$T1347)="","",INDEX(Firms!$J$5:$J$1004,$T1347)),IF(INDEX('AFA Rates'!$I$5:$I$1004,$T1347)="","",INDEX('AFA Rates'!$I$5:$I$1004,$T1347))))</f>
        <v/>
      </c>
      <c r="L1347" s="50">
        <f>IF($T1347="","",IF($S1347="S",IF(INDEX(Firms!$K$5:$K$1004,$T1347)="","",INDEX(Firms!$K$5:$K$1004,$T1347)),IF(INDEX('AFA Rates'!$J$5:$J$1004,$T1347)="","",INDEX('AFA Rates'!$J$5:$J$1004,$T1347))))</f>
        <v/>
      </c>
      <c r="M1347" s="50">
        <f>IF($T1347="","",IF($S1347="S",IF(INDEX(Firms!$L$5:$L$1004,$T1347)="","",INDEX(Firms!$L$5:$L$1004,$T1347)),IF(INDEX('AFA Rates'!$K$5:$K$1004,$T1347)="","",INDEX('AFA Rates'!$K$5:$K$1004,$T1347))))</f>
        <v/>
      </c>
      <c r="N1347" s="50">
        <f>IF($T1347="","",IF($S1347="S",IF(INDEX(Firms!$M$5:$M$1004,$T1347)="","",INDEX(Firms!$M$5:$M$1004,$T1347)),IF(INDEX('AFA Rates'!$L$5:$L$1004,$T1347)="","",INDEX('AFA Rates'!$L$5:$L$1004,$T1347))))</f>
        <v/>
      </c>
      <c r="O1347" s="78">
        <f>IF(OR($T1347="",$U1347=""),"",IF(INDEX(Firms!$C$5:$C$1004,$U1347)="","",INDEX(Firms!$C$5:$C$1004,$U1347)))</f>
        <v/>
      </c>
      <c r="P1347" s="79">
        <f>IF(OR($T1347="",$U1347=""),"",IF(INDEX(Firms!$N$5:$N$1004,$U1347)="","",INDEX(Firms!$N$5:$N$1004,$U1347)))</f>
        <v/>
      </c>
      <c r="Q1347" s="78">
        <f>IF($T1347="","",IF($S1347="S",IF(INDEX(Firms!$T$5:$T$1004,$T1347)="","",INDEX(Firms!$T$5:$T$1004,$T1347)),IF(INDEX('AFA Rates'!$M$5:$M$1004,$T1347)="","",INDEX('AFA Rates'!$M$5:$M$1004,$T1347))))</f>
        <v/>
      </c>
      <c r="S1347">
        <f>IF(1343&lt;=$S$2,"S",IF(1343&lt;=$S$2+$T$2,"A",""))</f>
        <v/>
      </c>
      <c r="T1347">
        <f>IF(S1347="S",MATCH(1343,Firms!$W$5:$W$1004,0),IF(S1347="A",IFERROR(MATCH(1343-$S$2,'AFA Rates'!$R$5:$R$1004,0),""),""))</f>
        <v/>
      </c>
      <c r="U1347">
        <f>IF(S1347="S",T1347,IF(AND(S1347="A",T1347&lt;&gt;""),IFERROR(MATCH(INDEX('AFA Rates'!$A$5:$A$1004,T1347),Firms!$A$5:$A$1004,0),""),""))</f>
        <v/>
      </c>
    </row>
    <row r="1348">
      <c r="A1348" s="78">
        <f>IF($T1348="","",IF($S1348="S",IF(INDEX(Firms!$A$5:$A$1004,$T1348)="","",INDEX(Firms!$A$5:$A$1004,$T1348)),IF(INDEX('AFA Rates'!$A$5:$A$1004,$T1348)="","",INDEX('AFA Rates'!$A$5:$A$1004,$T1348))))</f>
        <v/>
      </c>
      <c r="B1348" s="79">
        <f>IF(OR($T1348="",$U1348=""),IF($T1348="","","Not on Firms tab"),INDEX(Firms!$B$5:$B$1004,$U1348)&amp;"")</f>
        <v/>
      </c>
      <c r="C1348" s="78">
        <f>IF($T1348="","",IF($S1348="S","Standard",INDEX('AFA Rates'!$B$5:$B$1004,$T1348)&amp;""))</f>
        <v/>
      </c>
      <c r="D1348" s="88">
        <f>IF($T1348="","",IF($S1348="S",IF(INDEX(Firms!$E$5:$E$1004,$T1348)="","",INDEX(Firms!$E$5:$E$1004,$T1348)),IF(INDEX('AFA Rates'!$C$5:$C$1004,$T1348)="","",INDEX('AFA Rates'!$C$5:$C$1004,$T1348))))</f>
        <v/>
      </c>
      <c r="E1348" s="88">
        <f>IF($T1348="","",IF($S1348="S",IF(""="","",""),IF(INDEX('AFA Rates'!$D$5:$D$1004,$T1348)="","",INDEX('AFA Rates'!$D$5:$D$1004,$T1348))))</f>
        <v/>
      </c>
      <c r="F1348" s="79">
        <f>IF($T1348="","",IF($S1348="S",IF(INDEX(Firms!$O$5:$O$1004,$T1348)="","",INDEX(Firms!$O$5:$O$1004,$T1348)),IF(INDEX('AFA Rates'!$O$5:$O$1004,$T1348)="","",INDEX('AFA Rates'!$O$5:$O$1004,$T1348))))</f>
        <v/>
      </c>
      <c r="G1348" s="50">
        <f>IF($T1348="","",IF($S1348="S",IF(INDEX(Firms!$F$5:$F$1004,$T1348)="","",INDEX(Firms!$F$5:$F$1004,$T1348)),IF(INDEX('AFA Rates'!$E$5:$E$1004,$T1348)="","",INDEX('AFA Rates'!$E$5:$E$1004,$T1348))))</f>
        <v/>
      </c>
      <c r="H1348" s="50">
        <f>IF($T1348="","",IF($S1348="S",IF(INDEX(Firms!$G$5:$G$1004,$T1348)="","",INDEX(Firms!$G$5:$G$1004,$T1348)),IF(INDEX('AFA Rates'!$F$5:$F$1004,$T1348)="","",INDEX('AFA Rates'!$F$5:$F$1004,$T1348))))</f>
        <v/>
      </c>
      <c r="I1348" s="50">
        <f>IF($T1348="","",IF($S1348="S",IF(INDEX(Firms!$H$5:$H$1004,$T1348)="","",INDEX(Firms!$H$5:$H$1004,$T1348)),IF(INDEX('AFA Rates'!$G$5:$G$1004,$T1348)="","",INDEX('AFA Rates'!$G$5:$G$1004,$T1348))))</f>
        <v/>
      </c>
      <c r="J1348" s="50">
        <f>IF($T1348="","",IF($S1348="S",IF(INDEX(Firms!$I$5:$I$1004,$T1348)="","",INDEX(Firms!$I$5:$I$1004,$T1348)),IF(INDEX('AFA Rates'!$H$5:$H$1004,$T1348)="","",INDEX('AFA Rates'!$H$5:$H$1004,$T1348))))</f>
        <v/>
      </c>
      <c r="K1348" s="50">
        <f>IF($T1348="","",IF($S1348="S",IF(INDEX(Firms!$J$5:$J$1004,$T1348)="","",INDEX(Firms!$J$5:$J$1004,$T1348)),IF(INDEX('AFA Rates'!$I$5:$I$1004,$T1348)="","",INDEX('AFA Rates'!$I$5:$I$1004,$T1348))))</f>
        <v/>
      </c>
      <c r="L1348" s="50">
        <f>IF($T1348="","",IF($S1348="S",IF(INDEX(Firms!$K$5:$K$1004,$T1348)="","",INDEX(Firms!$K$5:$K$1004,$T1348)),IF(INDEX('AFA Rates'!$J$5:$J$1004,$T1348)="","",INDEX('AFA Rates'!$J$5:$J$1004,$T1348))))</f>
        <v/>
      </c>
      <c r="M1348" s="50">
        <f>IF($T1348="","",IF($S1348="S",IF(INDEX(Firms!$L$5:$L$1004,$T1348)="","",INDEX(Firms!$L$5:$L$1004,$T1348)),IF(INDEX('AFA Rates'!$K$5:$K$1004,$T1348)="","",INDEX('AFA Rates'!$K$5:$K$1004,$T1348))))</f>
        <v/>
      </c>
      <c r="N1348" s="50">
        <f>IF($T1348="","",IF($S1348="S",IF(INDEX(Firms!$M$5:$M$1004,$T1348)="","",INDEX(Firms!$M$5:$M$1004,$T1348)),IF(INDEX('AFA Rates'!$L$5:$L$1004,$T1348)="","",INDEX('AFA Rates'!$L$5:$L$1004,$T1348))))</f>
        <v/>
      </c>
      <c r="O1348" s="78">
        <f>IF(OR($T1348="",$U1348=""),"",IF(INDEX(Firms!$C$5:$C$1004,$U1348)="","",INDEX(Firms!$C$5:$C$1004,$U1348)))</f>
        <v/>
      </c>
      <c r="P1348" s="79">
        <f>IF(OR($T1348="",$U1348=""),"",IF(INDEX(Firms!$N$5:$N$1004,$U1348)="","",INDEX(Firms!$N$5:$N$1004,$U1348)))</f>
        <v/>
      </c>
      <c r="Q1348" s="78">
        <f>IF($T1348="","",IF($S1348="S",IF(INDEX(Firms!$T$5:$T$1004,$T1348)="","",INDEX(Firms!$T$5:$T$1004,$T1348)),IF(INDEX('AFA Rates'!$M$5:$M$1004,$T1348)="","",INDEX('AFA Rates'!$M$5:$M$1004,$T1348))))</f>
        <v/>
      </c>
      <c r="S1348">
        <f>IF(1344&lt;=$S$2,"S",IF(1344&lt;=$S$2+$T$2,"A",""))</f>
        <v/>
      </c>
      <c r="T1348">
        <f>IF(S1348="S",MATCH(1344,Firms!$W$5:$W$1004,0),IF(S1348="A",IFERROR(MATCH(1344-$S$2,'AFA Rates'!$R$5:$R$1004,0),""),""))</f>
        <v/>
      </c>
      <c r="U1348">
        <f>IF(S1348="S",T1348,IF(AND(S1348="A",T1348&lt;&gt;""),IFERROR(MATCH(INDEX('AFA Rates'!$A$5:$A$1004,T1348),Firms!$A$5:$A$1004,0),""),""))</f>
        <v/>
      </c>
    </row>
    <row r="1349">
      <c r="A1349" s="78">
        <f>IF($T1349="","",IF($S1349="S",IF(INDEX(Firms!$A$5:$A$1004,$T1349)="","",INDEX(Firms!$A$5:$A$1004,$T1349)),IF(INDEX('AFA Rates'!$A$5:$A$1004,$T1349)="","",INDEX('AFA Rates'!$A$5:$A$1004,$T1349))))</f>
        <v/>
      </c>
      <c r="B1349" s="79">
        <f>IF(OR($T1349="",$U1349=""),IF($T1349="","","Not on Firms tab"),INDEX(Firms!$B$5:$B$1004,$U1349)&amp;"")</f>
        <v/>
      </c>
      <c r="C1349" s="78">
        <f>IF($T1349="","",IF($S1349="S","Standard",INDEX('AFA Rates'!$B$5:$B$1004,$T1349)&amp;""))</f>
        <v/>
      </c>
      <c r="D1349" s="88">
        <f>IF($T1349="","",IF($S1349="S",IF(INDEX(Firms!$E$5:$E$1004,$T1349)="","",INDEX(Firms!$E$5:$E$1004,$T1349)),IF(INDEX('AFA Rates'!$C$5:$C$1004,$T1349)="","",INDEX('AFA Rates'!$C$5:$C$1004,$T1349))))</f>
        <v/>
      </c>
      <c r="E1349" s="88">
        <f>IF($T1349="","",IF($S1349="S",IF(""="","",""),IF(INDEX('AFA Rates'!$D$5:$D$1004,$T1349)="","",INDEX('AFA Rates'!$D$5:$D$1004,$T1349))))</f>
        <v/>
      </c>
      <c r="F1349" s="79">
        <f>IF($T1349="","",IF($S1349="S",IF(INDEX(Firms!$O$5:$O$1004,$T1349)="","",INDEX(Firms!$O$5:$O$1004,$T1349)),IF(INDEX('AFA Rates'!$O$5:$O$1004,$T1349)="","",INDEX('AFA Rates'!$O$5:$O$1004,$T1349))))</f>
        <v/>
      </c>
      <c r="G1349" s="50">
        <f>IF($T1349="","",IF($S1349="S",IF(INDEX(Firms!$F$5:$F$1004,$T1349)="","",INDEX(Firms!$F$5:$F$1004,$T1349)),IF(INDEX('AFA Rates'!$E$5:$E$1004,$T1349)="","",INDEX('AFA Rates'!$E$5:$E$1004,$T1349))))</f>
        <v/>
      </c>
      <c r="H1349" s="50">
        <f>IF($T1349="","",IF($S1349="S",IF(INDEX(Firms!$G$5:$G$1004,$T1349)="","",INDEX(Firms!$G$5:$G$1004,$T1349)),IF(INDEX('AFA Rates'!$F$5:$F$1004,$T1349)="","",INDEX('AFA Rates'!$F$5:$F$1004,$T1349))))</f>
        <v/>
      </c>
      <c r="I1349" s="50">
        <f>IF($T1349="","",IF($S1349="S",IF(INDEX(Firms!$H$5:$H$1004,$T1349)="","",INDEX(Firms!$H$5:$H$1004,$T1349)),IF(INDEX('AFA Rates'!$G$5:$G$1004,$T1349)="","",INDEX('AFA Rates'!$G$5:$G$1004,$T1349))))</f>
        <v/>
      </c>
      <c r="J1349" s="50">
        <f>IF($T1349="","",IF($S1349="S",IF(INDEX(Firms!$I$5:$I$1004,$T1349)="","",INDEX(Firms!$I$5:$I$1004,$T1349)),IF(INDEX('AFA Rates'!$H$5:$H$1004,$T1349)="","",INDEX('AFA Rates'!$H$5:$H$1004,$T1349))))</f>
        <v/>
      </c>
      <c r="K1349" s="50">
        <f>IF($T1349="","",IF($S1349="S",IF(INDEX(Firms!$J$5:$J$1004,$T1349)="","",INDEX(Firms!$J$5:$J$1004,$T1349)),IF(INDEX('AFA Rates'!$I$5:$I$1004,$T1349)="","",INDEX('AFA Rates'!$I$5:$I$1004,$T1349))))</f>
        <v/>
      </c>
      <c r="L1349" s="50">
        <f>IF($T1349="","",IF($S1349="S",IF(INDEX(Firms!$K$5:$K$1004,$T1349)="","",INDEX(Firms!$K$5:$K$1004,$T1349)),IF(INDEX('AFA Rates'!$J$5:$J$1004,$T1349)="","",INDEX('AFA Rates'!$J$5:$J$1004,$T1349))))</f>
        <v/>
      </c>
      <c r="M1349" s="50">
        <f>IF($T1349="","",IF($S1349="S",IF(INDEX(Firms!$L$5:$L$1004,$T1349)="","",INDEX(Firms!$L$5:$L$1004,$T1349)),IF(INDEX('AFA Rates'!$K$5:$K$1004,$T1349)="","",INDEX('AFA Rates'!$K$5:$K$1004,$T1349))))</f>
        <v/>
      </c>
      <c r="N1349" s="50">
        <f>IF($T1349="","",IF($S1349="S",IF(INDEX(Firms!$M$5:$M$1004,$T1349)="","",INDEX(Firms!$M$5:$M$1004,$T1349)),IF(INDEX('AFA Rates'!$L$5:$L$1004,$T1349)="","",INDEX('AFA Rates'!$L$5:$L$1004,$T1349))))</f>
        <v/>
      </c>
      <c r="O1349" s="78">
        <f>IF(OR($T1349="",$U1349=""),"",IF(INDEX(Firms!$C$5:$C$1004,$U1349)="","",INDEX(Firms!$C$5:$C$1004,$U1349)))</f>
        <v/>
      </c>
      <c r="P1349" s="79">
        <f>IF(OR($T1349="",$U1349=""),"",IF(INDEX(Firms!$N$5:$N$1004,$U1349)="","",INDEX(Firms!$N$5:$N$1004,$U1349)))</f>
        <v/>
      </c>
      <c r="Q1349" s="78">
        <f>IF($T1349="","",IF($S1349="S",IF(INDEX(Firms!$T$5:$T$1004,$T1349)="","",INDEX(Firms!$T$5:$T$1004,$T1349)),IF(INDEX('AFA Rates'!$M$5:$M$1004,$T1349)="","",INDEX('AFA Rates'!$M$5:$M$1004,$T1349))))</f>
        <v/>
      </c>
      <c r="S1349">
        <f>IF(1345&lt;=$S$2,"S",IF(1345&lt;=$S$2+$T$2,"A",""))</f>
        <v/>
      </c>
      <c r="T1349">
        <f>IF(S1349="S",MATCH(1345,Firms!$W$5:$W$1004,0),IF(S1349="A",IFERROR(MATCH(1345-$S$2,'AFA Rates'!$R$5:$R$1004,0),""),""))</f>
        <v/>
      </c>
      <c r="U1349">
        <f>IF(S1349="S",T1349,IF(AND(S1349="A",T1349&lt;&gt;""),IFERROR(MATCH(INDEX('AFA Rates'!$A$5:$A$1004,T1349),Firms!$A$5:$A$1004,0),""),""))</f>
        <v/>
      </c>
    </row>
    <row r="1350">
      <c r="A1350" s="78">
        <f>IF($T1350="","",IF($S1350="S",IF(INDEX(Firms!$A$5:$A$1004,$T1350)="","",INDEX(Firms!$A$5:$A$1004,$T1350)),IF(INDEX('AFA Rates'!$A$5:$A$1004,$T1350)="","",INDEX('AFA Rates'!$A$5:$A$1004,$T1350))))</f>
        <v/>
      </c>
      <c r="B1350" s="79">
        <f>IF(OR($T1350="",$U1350=""),IF($T1350="","","Not on Firms tab"),INDEX(Firms!$B$5:$B$1004,$U1350)&amp;"")</f>
        <v/>
      </c>
      <c r="C1350" s="78">
        <f>IF($T1350="","",IF($S1350="S","Standard",INDEX('AFA Rates'!$B$5:$B$1004,$T1350)&amp;""))</f>
        <v/>
      </c>
      <c r="D1350" s="88">
        <f>IF($T1350="","",IF($S1350="S",IF(INDEX(Firms!$E$5:$E$1004,$T1350)="","",INDEX(Firms!$E$5:$E$1004,$T1350)),IF(INDEX('AFA Rates'!$C$5:$C$1004,$T1350)="","",INDEX('AFA Rates'!$C$5:$C$1004,$T1350))))</f>
        <v/>
      </c>
      <c r="E1350" s="88">
        <f>IF($T1350="","",IF($S1350="S",IF(""="","",""),IF(INDEX('AFA Rates'!$D$5:$D$1004,$T1350)="","",INDEX('AFA Rates'!$D$5:$D$1004,$T1350))))</f>
        <v/>
      </c>
      <c r="F1350" s="79">
        <f>IF($T1350="","",IF($S1350="S",IF(INDEX(Firms!$O$5:$O$1004,$T1350)="","",INDEX(Firms!$O$5:$O$1004,$T1350)),IF(INDEX('AFA Rates'!$O$5:$O$1004,$T1350)="","",INDEX('AFA Rates'!$O$5:$O$1004,$T1350))))</f>
        <v/>
      </c>
      <c r="G1350" s="50">
        <f>IF($T1350="","",IF($S1350="S",IF(INDEX(Firms!$F$5:$F$1004,$T1350)="","",INDEX(Firms!$F$5:$F$1004,$T1350)),IF(INDEX('AFA Rates'!$E$5:$E$1004,$T1350)="","",INDEX('AFA Rates'!$E$5:$E$1004,$T1350))))</f>
        <v/>
      </c>
      <c r="H1350" s="50">
        <f>IF($T1350="","",IF($S1350="S",IF(INDEX(Firms!$G$5:$G$1004,$T1350)="","",INDEX(Firms!$G$5:$G$1004,$T1350)),IF(INDEX('AFA Rates'!$F$5:$F$1004,$T1350)="","",INDEX('AFA Rates'!$F$5:$F$1004,$T1350))))</f>
        <v/>
      </c>
      <c r="I1350" s="50">
        <f>IF($T1350="","",IF($S1350="S",IF(INDEX(Firms!$H$5:$H$1004,$T1350)="","",INDEX(Firms!$H$5:$H$1004,$T1350)),IF(INDEX('AFA Rates'!$G$5:$G$1004,$T1350)="","",INDEX('AFA Rates'!$G$5:$G$1004,$T1350))))</f>
        <v/>
      </c>
      <c r="J1350" s="50">
        <f>IF($T1350="","",IF($S1350="S",IF(INDEX(Firms!$I$5:$I$1004,$T1350)="","",INDEX(Firms!$I$5:$I$1004,$T1350)),IF(INDEX('AFA Rates'!$H$5:$H$1004,$T1350)="","",INDEX('AFA Rates'!$H$5:$H$1004,$T1350))))</f>
        <v/>
      </c>
      <c r="K1350" s="50">
        <f>IF($T1350="","",IF($S1350="S",IF(INDEX(Firms!$J$5:$J$1004,$T1350)="","",INDEX(Firms!$J$5:$J$1004,$T1350)),IF(INDEX('AFA Rates'!$I$5:$I$1004,$T1350)="","",INDEX('AFA Rates'!$I$5:$I$1004,$T1350))))</f>
        <v/>
      </c>
      <c r="L1350" s="50">
        <f>IF($T1350="","",IF($S1350="S",IF(INDEX(Firms!$K$5:$K$1004,$T1350)="","",INDEX(Firms!$K$5:$K$1004,$T1350)),IF(INDEX('AFA Rates'!$J$5:$J$1004,$T1350)="","",INDEX('AFA Rates'!$J$5:$J$1004,$T1350))))</f>
        <v/>
      </c>
      <c r="M1350" s="50">
        <f>IF($T1350="","",IF($S1350="S",IF(INDEX(Firms!$L$5:$L$1004,$T1350)="","",INDEX(Firms!$L$5:$L$1004,$T1350)),IF(INDEX('AFA Rates'!$K$5:$K$1004,$T1350)="","",INDEX('AFA Rates'!$K$5:$K$1004,$T1350))))</f>
        <v/>
      </c>
      <c r="N1350" s="50">
        <f>IF($T1350="","",IF($S1350="S",IF(INDEX(Firms!$M$5:$M$1004,$T1350)="","",INDEX(Firms!$M$5:$M$1004,$T1350)),IF(INDEX('AFA Rates'!$L$5:$L$1004,$T1350)="","",INDEX('AFA Rates'!$L$5:$L$1004,$T1350))))</f>
        <v/>
      </c>
      <c r="O1350" s="78">
        <f>IF(OR($T1350="",$U1350=""),"",IF(INDEX(Firms!$C$5:$C$1004,$U1350)="","",INDEX(Firms!$C$5:$C$1004,$U1350)))</f>
        <v/>
      </c>
      <c r="P1350" s="79">
        <f>IF(OR($T1350="",$U1350=""),"",IF(INDEX(Firms!$N$5:$N$1004,$U1350)="","",INDEX(Firms!$N$5:$N$1004,$U1350)))</f>
        <v/>
      </c>
      <c r="Q1350" s="78">
        <f>IF($T1350="","",IF($S1350="S",IF(INDEX(Firms!$T$5:$T$1004,$T1350)="","",INDEX(Firms!$T$5:$T$1004,$T1350)),IF(INDEX('AFA Rates'!$M$5:$M$1004,$T1350)="","",INDEX('AFA Rates'!$M$5:$M$1004,$T1350))))</f>
        <v/>
      </c>
      <c r="S1350">
        <f>IF(1346&lt;=$S$2,"S",IF(1346&lt;=$S$2+$T$2,"A",""))</f>
        <v/>
      </c>
      <c r="T1350">
        <f>IF(S1350="S",MATCH(1346,Firms!$W$5:$W$1004,0),IF(S1350="A",IFERROR(MATCH(1346-$S$2,'AFA Rates'!$R$5:$R$1004,0),""),""))</f>
        <v/>
      </c>
      <c r="U1350">
        <f>IF(S1350="S",T1350,IF(AND(S1350="A",T1350&lt;&gt;""),IFERROR(MATCH(INDEX('AFA Rates'!$A$5:$A$1004,T1350),Firms!$A$5:$A$1004,0),""),""))</f>
        <v/>
      </c>
    </row>
    <row r="1351">
      <c r="A1351" s="78">
        <f>IF($T1351="","",IF($S1351="S",IF(INDEX(Firms!$A$5:$A$1004,$T1351)="","",INDEX(Firms!$A$5:$A$1004,$T1351)),IF(INDEX('AFA Rates'!$A$5:$A$1004,$T1351)="","",INDEX('AFA Rates'!$A$5:$A$1004,$T1351))))</f>
        <v/>
      </c>
      <c r="B1351" s="79">
        <f>IF(OR($T1351="",$U1351=""),IF($T1351="","","Not on Firms tab"),INDEX(Firms!$B$5:$B$1004,$U1351)&amp;"")</f>
        <v/>
      </c>
      <c r="C1351" s="78">
        <f>IF($T1351="","",IF($S1351="S","Standard",INDEX('AFA Rates'!$B$5:$B$1004,$T1351)&amp;""))</f>
        <v/>
      </c>
      <c r="D1351" s="88">
        <f>IF($T1351="","",IF($S1351="S",IF(INDEX(Firms!$E$5:$E$1004,$T1351)="","",INDEX(Firms!$E$5:$E$1004,$T1351)),IF(INDEX('AFA Rates'!$C$5:$C$1004,$T1351)="","",INDEX('AFA Rates'!$C$5:$C$1004,$T1351))))</f>
        <v/>
      </c>
      <c r="E1351" s="88">
        <f>IF($T1351="","",IF($S1351="S",IF(""="","",""),IF(INDEX('AFA Rates'!$D$5:$D$1004,$T1351)="","",INDEX('AFA Rates'!$D$5:$D$1004,$T1351))))</f>
        <v/>
      </c>
      <c r="F1351" s="79">
        <f>IF($T1351="","",IF($S1351="S",IF(INDEX(Firms!$O$5:$O$1004,$T1351)="","",INDEX(Firms!$O$5:$O$1004,$T1351)),IF(INDEX('AFA Rates'!$O$5:$O$1004,$T1351)="","",INDEX('AFA Rates'!$O$5:$O$1004,$T1351))))</f>
        <v/>
      </c>
      <c r="G1351" s="50">
        <f>IF($T1351="","",IF($S1351="S",IF(INDEX(Firms!$F$5:$F$1004,$T1351)="","",INDEX(Firms!$F$5:$F$1004,$T1351)),IF(INDEX('AFA Rates'!$E$5:$E$1004,$T1351)="","",INDEX('AFA Rates'!$E$5:$E$1004,$T1351))))</f>
        <v/>
      </c>
      <c r="H1351" s="50">
        <f>IF($T1351="","",IF($S1351="S",IF(INDEX(Firms!$G$5:$G$1004,$T1351)="","",INDEX(Firms!$G$5:$G$1004,$T1351)),IF(INDEX('AFA Rates'!$F$5:$F$1004,$T1351)="","",INDEX('AFA Rates'!$F$5:$F$1004,$T1351))))</f>
        <v/>
      </c>
      <c r="I1351" s="50">
        <f>IF($T1351="","",IF($S1351="S",IF(INDEX(Firms!$H$5:$H$1004,$T1351)="","",INDEX(Firms!$H$5:$H$1004,$T1351)),IF(INDEX('AFA Rates'!$G$5:$G$1004,$T1351)="","",INDEX('AFA Rates'!$G$5:$G$1004,$T1351))))</f>
        <v/>
      </c>
      <c r="J1351" s="50">
        <f>IF($T1351="","",IF($S1351="S",IF(INDEX(Firms!$I$5:$I$1004,$T1351)="","",INDEX(Firms!$I$5:$I$1004,$T1351)),IF(INDEX('AFA Rates'!$H$5:$H$1004,$T1351)="","",INDEX('AFA Rates'!$H$5:$H$1004,$T1351))))</f>
        <v/>
      </c>
      <c r="K1351" s="50">
        <f>IF($T1351="","",IF($S1351="S",IF(INDEX(Firms!$J$5:$J$1004,$T1351)="","",INDEX(Firms!$J$5:$J$1004,$T1351)),IF(INDEX('AFA Rates'!$I$5:$I$1004,$T1351)="","",INDEX('AFA Rates'!$I$5:$I$1004,$T1351))))</f>
        <v/>
      </c>
      <c r="L1351" s="50">
        <f>IF($T1351="","",IF($S1351="S",IF(INDEX(Firms!$K$5:$K$1004,$T1351)="","",INDEX(Firms!$K$5:$K$1004,$T1351)),IF(INDEX('AFA Rates'!$J$5:$J$1004,$T1351)="","",INDEX('AFA Rates'!$J$5:$J$1004,$T1351))))</f>
        <v/>
      </c>
      <c r="M1351" s="50">
        <f>IF($T1351="","",IF($S1351="S",IF(INDEX(Firms!$L$5:$L$1004,$T1351)="","",INDEX(Firms!$L$5:$L$1004,$T1351)),IF(INDEX('AFA Rates'!$K$5:$K$1004,$T1351)="","",INDEX('AFA Rates'!$K$5:$K$1004,$T1351))))</f>
        <v/>
      </c>
      <c r="N1351" s="50">
        <f>IF($T1351="","",IF($S1351="S",IF(INDEX(Firms!$M$5:$M$1004,$T1351)="","",INDEX(Firms!$M$5:$M$1004,$T1351)),IF(INDEX('AFA Rates'!$L$5:$L$1004,$T1351)="","",INDEX('AFA Rates'!$L$5:$L$1004,$T1351))))</f>
        <v/>
      </c>
      <c r="O1351" s="78">
        <f>IF(OR($T1351="",$U1351=""),"",IF(INDEX(Firms!$C$5:$C$1004,$U1351)="","",INDEX(Firms!$C$5:$C$1004,$U1351)))</f>
        <v/>
      </c>
      <c r="P1351" s="79">
        <f>IF(OR($T1351="",$U1351=""),"",IF(INDEX(Firms!$N$5:$N$1004,$U1351)="","",INDEX(Firms!$N$5:$N$1004,$U1351)))</f>
        <v/>
      </c>
      <c r="Q1351" s="78">
        <f>IF($T1351="","",IF($S1351="S",IF(INDEX(Firms!$T$5:$T$1004,$T1351)="","",INDEX(Firms!$T$5:$T$1004,$T1351)),IF(INDEX('AFA Rates'!$M$5:$M$1004,$T1351)="","",INDEX('AFA Rates'!$M$5:$M$1004,$T1351))))</f>
        <v/>
      </c>
      <c r="S1351">
        <f>IF(1347&lt;=$S$2,"S",IF(1347&lt;=$S$2+$T$2,"A",""))</f>
        <v/>
      </c>
      <c r="T1351">
        <f>IF(S1351="S",MATCH(1347,Firms!$W$5:$W$1004,0),IF(S1351="A",IFERROR(MATCH(1347-$S$2,'AFA Rates'!$R$5:$R$1004,0),""),""))</f>
        <v/>
      </c>
      <c r="U1351">
        <f>IF(S1351="S",T1351,IF(AND(S1351="A",T1351&lt;&gt;""),IFERROR(MATCH(INDEX('AFA Rates'!$A$5:$A$1004,T1351),Firms!$A$5:$A$1004,0),""),""))</f>
        <v/>
      </c>
    </row>
    <row r="1352">
      <c r="A1352" s="78">
        <f>IF($T1352="","",IF($S1352="S",IF(INDEX(Firms!$A$5:$A$1004,$T1352)="","",INDEX(Firms!$A$5:$A$1004,$T1352)),IF(INDEX('AFA Rates'!$A$5:$A$1004,$T1352)="","",INDEX('AFA Rates'!$A$5:$A$1004,$T1352))))</f>
        <v/>
      </c>
      <c r="B1352" s="79">
        <f>IF(OR($T1352="",$U1352=""),IF($T1352="","","Not on Firms tab"),INDEX(Firms!$B$5:$B$1004,$U1352)&amp;"")</f>
        <v/>
      </c>
      <c r="C1352" s="78">
        <f>IF($T1352="","",IF($S1352="S","Standard",INDEX('AFA Rates'!$B$5:$B$1004,$T1352)&amp;""))</f>
        <v/>
      </c>
      <c r="D1352" s="88">
        <f>IF($T1352="","",IF($S1352="S",IF(INDEX(Firms!$E$5:$E$1004,$T1352)="","",INDEX(Firms!$E$5:$E$1004,$T1352)),IF(INDEX('AFA Rates'!$C$5:$C$1004,$T1352)="","",INDEX('AFA Rates'!$C$5:$C$1004,$T1352))))</f>
        <v/>
      </c>
      <c r="E1352" s="88">
        <f>IF($T1352="","",IF($S1352="S",IF(""="","",""),IF(INDEX('AFA Rates'!$D$5:$D$1004,$T1352)="","",INDEX('AFA Rates'!$D$5:$D$1004,$T1352))))</f>
        <v/>
      </c>
      <c r="F1352" s="79">
        <f>IF($T1352="","",IF($S1352="S",IF(INDEX(Firms!$O$5:$O$1004,$T1352)="","",INDEX(Firms!$O$5:$O$1004,$T1352)),IF(INDEX('AFA Rates'!$O$5:$O$1004,$T1352)="","",INDEX('AFA Rates'!$O$5:$O$1004,$T1352))))</f>
        <v/>
      </c>
      <c r="G1352" s="50">
        <f>IF($T1352="","",IF($S1352="S",IF(INDEX(Firms!$F$5:$F$1004,$T1352)="","",INDEX(Firms!$F$5:$F$1004,$T1352)),IF(INDEX('AFA Rates'!$E$5:$E$1004,$T1352)="","",INDEX('AFA Rates'!$E$5:$E$1004,$T1352))))</f>
        <v/>
      </c>
      <c r="H1352" s="50">
        <f>IF($T1352="","",IF($S1352="S",IF(INDEX(Firms!$G$5:$G$1004,$T1352)="","",INDEX(Firms!$G$5:$G$1004,$T1352)),IF(INDEX('AFA Rates'!$F$5:$F$1004,$T1352)="","",INDEX('AFA Rates'!$F$5:$F$1004,$T1352))))</f>
        <v/>
      </c>
      <c r="I1352" s="50">
        <f>IF($T1352="","",IF($S1352="S",IF(INDEX(Firms!$H$5:$H$1004,$T1352)="","",INDEX(Firms!$H$5:$H$1004,$T1352)),IF(INDEX('AFA Rates'!$G$5:$G$1004,$T1352)="","",INDEX('AFA Rates'!$G$5:$G$1004,$T1352))))</f>
        <v/>
      </c>
      <c r="J1352" s="50">
        <f>IF($T1352="","",IF($S1352="S",IF(INDEX(Firms!$I$5:$I$1004,$T1352)="","",INDEX(Firms!$I$5:$I$1004,$T1352)),IF(INDEX('AFA Rates'!$H$5:$H$1004,$T1352)="","",INDEX('AFA Rates'!$H$5:$H$1004,$T1352))))</f>
        <v/>
      </c>
      <c r="K1352" s="50">
        <f>IF($T1352="","",IF($S1352="S",IF(INDEX(Firms!$J$5:$J$1004,$T1352)="","",INDEX(Firms!$J$5:$J$1004,$T1352)),IF(INDEX('AFA Rates'!$I$5:$I$1004,$T1352)="","",INDEX('AFA Rates'!$I$5:$I$1004,$T1352))))</f>
        <v/>
      </c>
      <c r="L1352" s="50">
        <f>IF($T1352="","",IF($S1352="S",IF(INDEX(Firms!$K$5:$K$1004,$T1352)="","",INDEX(Firms!$K$5:$K$1004,$T1352)),IF(INDEX('AFA Rates'!$J$5:$J$1004,$T1352)="","",INDEX('AFA Rates'!$J$5:$J$1004,$T1352))))</f>
        <v/>
      </c>
      <c r="M1352" s="50">
        <f>IF($T1352="","",IF($S1352="S",IF(INDEX(Firms!$L$5:$L$1004,$T1352)="","",INDEX(Firms!$L$5:$L$1004,$T1352)),IF(INDEX('AFA Rates'!$K$5:$K$1004,$T1352)="","",INDEX('AFA Rates'!$K$5:$K$1004,$T1352))))</f>
        <v/>
      </c>
      <c r="N1352" s="50">
        <f>IF($T1352="","",IF($S1352="S",IF(INDEX(Firms!$M$5:$M$1004,$T1352)="","",INDEX(Firms!$M$5:$M$1004,$T1352)),IF(INDEX('AFA Rates'!$L$5:$L$1004,$T1352)="","",INDEX('AFA Rates'!$L$5:$L$1004,$T1352))))</f>
        <v/>
      </c>
      <c r="O1352" s="78">
        <f>IF(OR($T1352="",$U1352=""),"",IF(INDEX(Firms!$C$5:$C$1004,$U1352)="","",INDEX(Firms!$C$5:$C$1004,$U1352)))</f>
        <v/>
      </c>
      <c r="P1352" s="79">
        <f>IF(OR($T1352="",$U1352=""),"",IF(INDEX(Firms!$N$5:$N$1004,$U1352)="","",INDEX(Firms!$N$5:$N$1004,$U1352)))</f>
        <v/>
      </c>
      <c r="Q1352" s="78">
        <f>IF($T1352="","",IF($S1352="S",IF(INDEX(Firms!$T$5:$T$1004,$T1352)="","",INDEX(Firms!$T$5:$T$1004,$T1352)),IF(INDEX('AFA Rates'!$M$5:$M$1004,$T1352)="","",INDEX('AFA Rates'!$M$5:$M$1004,$T1352))))</f>
        <v/>
      </c>
      <c r="S1352">
        <f>IF(1348&lt;=$S$2,"S",IF(1348&lt;=$S$2+$T$2,"A",""))</f>
        <v/>
      </c>
      <c r="T1352">
        <f>IF(S1352="S",MATCH(1348,Firms!$W$5:$W$1004,0),IF(S1352="A",IFERROR(MATCH(1348-$S$2,'AFA Rates'!$R$5:$R$1004,0),""),""))</f>
        <v/>
      </c>
      <c r="U1352">
        <f>IF(S1352="S",T1352,IF(AND(S1352="A",T1352&lt;&gt;""),IFERROR(MATCH(INDEX('AFA Rates'!$A$5:$A$1004,T1352),Firms!$A$5:$A$1004,0),""),""))</f>
        <v/>
      </c>
    </row>
    <row r="1353">
      <c r="A1353" s="78">
        <f>IF($T1353="","",IF($S1353="S",IF(INDEX(Firms!$A$5:$A$1004,$T1353)="","",INDEX(Firms!$A$5:$A$1004,$T1353)),IF(INDEX('AFA Rates'!$A$5:$A$1004,$T1353)="","",INDEX('AFA Rates'!$A$5:$A$1004,$T1353))))</f>
        <v/>
      </c>
      <c r="B1353" s="79">
        <f>IF(OR($T1353="",$U1353=""),IF($T1353="","","Not on Firms tab"),INDEX(Firms!$B$5:$B$1004,$U1353)&amp;"")</f>
        <v/>
      </c>
      <c r="C1353" s="78">
        <f>IF($T1353="","",IF($S1353="S","Standard",INDEX('AFA Rates'!$B$5:$B$1004,$T1353)&amp;""))</f>
        <v/>
      </c>
      <c r="D1353" s="88">
        <f>IF($T1353="","",IF($S1353="S",IF(INDEX(Firms!$E$5:$E$1004,$T1353)="","",INDEX(Firms!$E$5:$E$1004,$T1353)),IF(INDEX('AFA Rates'!$C$5:$C$1004,$T1353)="","",INDEX('AFA Rates'!$C$5:$C$1004,$T1353))))</f>
        <v/>
      </c>
      <c r="E1353" s="88">
        <f>IF($T1353="","",IF($S1353="S",IF(""="","",""),IF(INDEX('AFA Rates'!$D$5:$D$1004,$T1353)="","",INDEX('AFA Rates'!$D$5:$D$1004,$T1353))))</f>
        <v/>
      </c>
      <c r="F1353" s="79">
        <f>IF($T1353="","",IF($S1353="S",IF(INDEX(Firms!$O$5:$O$1004,$T1353)="","",INDEX(Firms!$O$5:$O$1004,$T1353)),IF(INDEX('AFA Rates'!$O$5:$O$1004,$T1353)="","",INDEX('AFA Rates'!$O$5:$O$1004,$T1353))))</f>
        <v/>
      </c>
      <c r="G1353" s="50">
        <f>IF($T1353="","",IF($S1353="S",IF(INDEX(Firms!$F$5:$F$1004,$T1353)="","",INDEX(Firms!$F$5:$F$1004,$T1353)),IF(INDEX('AFA Rates'!$E$5:$E$1004,$T1353)="","",INDEX('AFA Rates'!$E$5:$E$1004,$T1353))))</f>
        <v/>
      </c>
      <c r="H1353" s="50">
        <f>IF($T1353="","",IF($S1353="S",IF(INDEX(Firms!$G$5:$G$1004,$T1353)="","",INDEX(Firms!$G$5:$G$1004,$T1353)),IF(INDEX('AFA Rates'!$F$5:$F$1004,$T1353)="","",INDEX('AFA Rates'!$F$5:$F$1004,$T1353))))</f>
        <v/>
      </c>
      <c r="I1353" s="50">
        <f>IF($T1353="","",IF($S1353="S",IF(INDEX(Firms!$H$5:$H$1004,$T1353)="","",INDEX(Firms!$H$5:$H$1004,$T1353)),IF(INDEX('AFA Rates'!$G$5:$G$1004,$T1353)="","",INDEX('AFA Rates'!$G$5:$G$1004,$T1353))))</f>
        <v/>
      </c>
      <c r="J1353" s="50">
        <f>IF($T1353="","",IF($S1353="S",IF(INDEX(Firms!$I$5:$I$1004,$T1353)="","",INDEX(Firms!$I$5:$I$1004,$T1353)),IF(INDEX('AFA Rates'!$H$5:$H$1004,$T1353)="","",INDEX('AFA Rates'!$H$5:$H$1004,$T1353))))</f>
        <v/>
      </c>
      <c r="K1353" s="50">
        <f>IF($T1353="","",IF($S1353="S",IF(INDEX(Firms!$J$5:$J$1004,$T1353)="","",INDEX(Firms!$J$5:$J$1004,$T1353)),IF(INDEX('AFA Rates'!$I$5:$I$1004,$T1353)="","",INDEX('AFA Rates'!$I$5:$I$1004,$T1353))))</f>
        <v/>
      </c>
      <c r="L1353" s="50">
        <f>IF($T1353="","",IF($S1353="S",IF(INDEX(Firms!$K$5:$K$1004,$T1353)="","",INDEX(Firms!$K$5:$K$1004,$T1353)),IF(INDEX('AFA Rates'!$J$5:$J$1004,$T1353)="","",INDEX('AFA Rates'!$J$5:$J$1004,$T1353))))</f>
        <v/>
      </c>
      <c r="M1353" s="50">
        <f>IF($T1353="","",IF($S1353="S",IF(INDEX(Firms!$L$5:$L$1004,$T1353)="","",INDEX(Firms!$L$5:$L$1004,$T1353)),IF(INDEX('AFA Rates'!$K$5:$K$1004,$T1353)="","",INDEX('AFA Rates'!$K$5:$K$1004,$T1353))))</f>
        <v/>
      </c>
      <c r="N1353" s="50">
        <f>IF($T1353="","",IF($S1353="S",IF(INDEX(Firms!$M$5:$M$1004,$T1353)="","",INDEX(Firms!$M$5:$M$1004,$T1353)),IF(INDEX('AFA Rates'!$L$5:$L$1004,$T1353)="","",INDEX('AFA Rates'!$L$5:$L$1004,$T1353))))</f>
        <v/>
      </c>
      <c r="O1353" s="78">
        <f>IF(OR($T1353="",$U1353=""),"",IF(INDEX(Firms!$C$5:$C$1004,$U1353)="","",INDEX(Firms!$C$5:$C$1004,$U1353)))</f>
        <v/>
      </c>
      <c r="P1353" s="79">
        <f>IF(OR($T1353="",$U1353=""),"",IF(INDEX(Firms!$N$5:$N$1004,$U1353)="","",INDEX(Firms!$N$5:$N$1004,$U1353)))</f>
        <v/>
      </c>
      <c r="Q1353" s="78">
        <f>IF($T1353="","",IF($S1353="S",IF(INDEX(Firms!$T$5:$T$1004,$T1353)="","",INDEX(Firms!$T$5:$T$1004,$T1353)),IF(INDEX('AFA Rates'!$M$5:$M$1004,$T1353)="","",INDEX('AFA Rates'!$M$5:$M$1004,$T1353))))</f>
        <v/>
      </c>
      <c r="S1353">
        <f>IF(1349&lt;=$S$2,"S",IF(1349&lt;=$S$2+$T$2,"A",""))</f>
        <v/>
      </c>
      <c r="T1353">
        <f>IF(S1353="S",MATCH(1349,Firms!$W$5:$W$1004,0),IF(S1353="A",IFERROR(MATCH(1349-$S$2,'AFA Rates'!$R$5:$R$1004,0),""),""))</f>
        <v/>
      </c>
      <c r="U1353">
        <f>IF(S1353="S",T1353,IF(AND(S1353="A",T1353&lt;&gt;""),IFERROR(MATCH(INDEX('AFA Rates'!$A$5:$A$1004,T1353),Firms!$A$5:$A$1004,0),""),""))</f>
        <v/>
      </c>
    </row>
    <row r="1354">
      <c r="A1354" s="78">
        <f>IF($T1354="","",IF($S1354="S",IF(INDEX(Firms!$A$5:$A$1004,$T1354)="","",INDEX(Firms!$A$5:$A$1004,$T1354)),IF(INDEX('AFA Rates'!$A$5:$A$1004,$T1354)="","",INDEX('AFA Rates'!$A$5:$A$1004,$T1354))))</f>
        <v/>
      </c>
      <c r="B1354" s="79">
        <f>IF(OR($T1354="",$U1354=""),IF($T1354="","","Not on Firms tab"),INDEX(Firms!$B$5:$B$1004,$U1354)&amp;"")</f>
        <v/>
      </c>
      <c r="C1354" s="78">
        <f>IF($T1354="","",IF($S1354="S","Standard",INDEX('AFA Rates'!$B$5:$B$1004,$T1354)&amp;""))</f>
        <v/>
      </c>
      <c r="D1354" s="88">
        <f>IF($T1354="","",IF($S1354="S",IF(INDEX(Firms!$E$5:$E$1004,$T1354)="","",INDEX(Firms!$E$5:$E$1004,$T1354)),IF(INDEX('AFA Rates'!$C$5:$C$1004,$T1354)="","",INDEX('AFA Rates'!$C$5:$C$1004,$T1354))))</f>
        <v/>
      </c>
      <c r="E1354" s="88">
        <f>IF($T1354="","",IF($S1354="S",IF(""="","",""),IF(INDEX('AFA Rates'!$D$5:$D$1004,$T1354)="","",INDEX('AFA Rates'!$D$5:$D$1004,$T1354))))</f>
        <v/>
      </c>
      <c r="F1354" s="79">
        <f>IF($T1354="","",IF($S1354="S",IF(INDEX(Firms!$O$5:$O$1004,$T1354)="","",INDEX(Firms!$O$5:$O$1004,$T1354)),IF(INDEX('AFA Rates'!$O$5:$O$1004,$T1354)="","",INDEX('AFA Rates'!$O$5:$O$1004,$T1354))))</f>
        <v/>
      </c>
      <c r="G1354" s="50">
        <f>IF($T1354="","",IF($S1354="S",IF(INDEX(Firms!$F$5:$F$1004,$T1354)="","",INDEX(Firms!$F$5:$F$1004,$T1354)),IF(INDEX('AFA Rates'!$E$5:$E$1004,$T1354)="","",INDEX('AFA Rates'!$E$5:$E$1004,$T1354))))</f>
        <v/>
      </c>
      <c r="H1354" s="50">
        <f>IF($T1354="","",IF($S1354="S",IF(INDEX(Firms!$G$5:$G$1004,$T1354)="","",INDEX(Firms!$G$5:$G$1004,$T1354)),IF(INDEX('AFA Rates'!$F$5:$F$1004,$T1354)="","",INDEX('AFA Rates'!$F$5:$F$1004,$T1354))))</f>
        <v/>
      </c>
      <c r="I1354" s="50">
        <f>IF($T1354="","",IF($S1354="S",IF(INDEX(Firms!$H$5:$H$1004,$T1354)="","",INDEX(Firms!$H$5:$H$1004,$T1354)),IF(INDEX('AFA Rates'!$G$5:$G$1004,$T1354)="","",INDEX('AFA Rates'!$G$5:$G$1004,$T1354))))</f>
        <v/>
      </c>
      <c r="J1354" s="50">
        <f>IF($T1354="","",IF($S1354="S",IF(INDEX(Firms!$I$5:$I$1004,$T1354)="","",INDEX(Firms!$I$5:$I$1004,$T1354)),IF(INDEX('AFA Rates'!$H$5:$H$1004,$T1354)="","",INDEX('AFA Rates'!$H$5:$H$1004,$T1354))))</f>
        <v/>
      </c>
      <c r="K1354" s="50">
        <f>IF($T1354="","",IF($S1354="S",IF(INDEX(Firms!$J$5:$J$1004,$T1354)="","",INDEX(Firms!$J$5:$J$1004,$T1354)),IF(INDEX('AFA Rates'!$I$5:$I$1004,$T1354)="","",INDEX('AFA Rates'!$I$5:$I$1004,$T1354))))</f>
        <v/>
      </c>
      <c r="L1354" s="50">
        <f>IF($T1354="","",IF($S1354="S",IF(INDEX(Firms!$K$5:$K$1004,$T1354)="","",INDEX(Firms!$K$5:$K$1004,$T1354)),IF(INDEX('AFA Rates'!$J$5:$J$1004,$T1354)="","",INDEX('AFA Rates'!$J$5:$J$1004,$T1354))))</f>
        <v/>
      </c>
      <c r="M1354" s="50">
        <f>IF($T1354="","",IF($S1354="S",IF(INDEX(Firms!$L$5:$L$1004,$T1354)="","",INDEX(Firms!$L$5:$L$1004,$T1354)),IF(INDEX('AFA Rates'!$K$5:$K$1004,$T1354)="","",INDEX('AFA Rates'!$K$5:$K$1004,$T1354))))</f>
        <v/>
      </c>
      <c r="N1354" s="50">
        <f>IF($T1354="","",IF($S1354="S",IF(INDEX(Firms!$M$5:$M$1004,$T1354)="","",INDEX(Firms!$M$5:$M$1004,$T1354)),IF(INDEX('AFA Rates'!$L$5:$L$1004,$T1354)="","",INDEX('AFA Rates'!$L$5:$L$1004,$T1354))))</f>
        <v/>
      </c>
      <c r="O1354" s="78">
        <f>IF(OR($T1354="",$U1354=""),"",IF(INDEX(Firms!$C$5:$C$1004,$U1354)="","",INDEX(Firms!$C$5:$C$1004,$U1354)))</f>
        <v/>
      </c>
      <c r="P1354" s="79">
        <f>IF(OR($T1354="",$U1354=""),"",IF(INDEX(Firms!$N$5:$N$1004,$U1354)="","",INDEX(Firms!$N$5:$N$1004,$U1354)))</f>
        <v/>
      </c>
      <c r="Q1354" s="78">
        <f>IF($T1354="","",IF($S1354="S",IF(INDEX(Firms!$T$5:$T$1004,$T1354)="","",INDEX(Firms!$T$5:$T$1004,$T1354)),IF(INDEX('AFA Rates'!$M$5:$M$1004,$T1354)="","",INDEX('AFA Rates'!$M$5:$M$1004,$T1354))))</f>
        <v/>
      </c>
      <c r="S1354">
        <f>IF(1350&lt;=$S$2,"S",IF(1350&lt;=$S$2+$T$2,"A",""))</f>
        <v/>
      </c>
      <c r="T1354">
        <f>IF(S1354="S",MATCH(1350,Firms!$W$5:$W$1004,0),IF(S1354="A",IFERROR(MATCH(1350-$S$2,'AFA Rates'!$R$5:$R$1004,0),""),""))</f>
        <v/>
      </c>
      <c r="U1354">
        <f>IF(S1354="S",T1354,IF(AND(S1354="A",T1354&lt;&gt;""),IFERROR(MATCH(INDEX('AFA Rates'!$A$5:$A$1004,T1354),Firms!$A$5:$A$1004,0),""),""))</f>
        <v/>
      </c>
    </row>
    <row r="1355">
      <c r="A1355" s="78">
        <f>IF($T1355="","",IF($S1355="S",IF(INDEX(Firms!$A$5:$A$1004,$T1355)="","",INDEX(Firms!$A$5:$A$1004,$T1355)),IF(INDEX('AFA Rates'!$A$5:$A$1004,$T1355)="","",INDEX('AFA Rates'!$A$5:$A$1004,$T1355))))</f>
        <v/>
      </c>
      <c r="B1355" s="79">
        <f>IF(OR($T1355="",$U1355=""),IF($T1355="","","Not on Firms tab"),INDEX(Firms!$B$5:$B$1004,$U1355)&amp;"")</f>
        <v/>
      </c>
      <c r="C1355" s="78">
        <f>IF($T1355="","",IF($S1355="S","Standard",INDEX('AFA Rates'!$B$5:$B$1004,$T1355)&amp;""))</f>
        <v/>
      </c>
      <c r="D1355" s="88">
        <f>IF($T1355="","",IF($S1355="S",IF(INDEX(Firms!$E$5:$E$1004,$T1355)="","",INDEX(Firms!$E$5:$E$1004,$T1355)),IF(INDEX('AFA Rates'!$C$5:$C$1004,$T1355)="","",INDEX('AFA Rates'!$C$5:$C$1004,$T1355))))</f>
        <v/>
      </c>
      <c r="E1355" s="88">
        <f>IF($T1355="","",IF($S1355="S",IF(""="","",""),IF(INDEX('AFA Rates'!$D$5:$D$1004,$T1355)="","",INDEX('AFA Rates'!$D$5:$D$1004,$T1355))))</f>
        <v/>
      </c>
      <c r="F1355" s="79">
        <f>IF($T1355="","",IF($S1355="S",IF(INDEX(Firms!$O$5:$O$1004,$T1355)="","",INDEX(Firms!$O$5:$O$1004,$T1355)),IF(INDEX('AFA Rates'!$O$5:$O$1004,$T1355)="","",INDEX('AFA Rates'!$O$5:$O$1004,$T1355))))</f>
        <v/>
      </c>
      <c r="G1355" s="50">
        <f>IF($T1355="","",IF($S1355="S",IF(INDEX(Firms!$F$5:$F$1004,$T1355)="","",INDEX(Firms!$F$5:$F$1004,$T1355)),IF(INDEX('AFA Rates'!$E$5:$E$1004,$T1355)="","",INDEX('AFA Rates'!$E$5:$E$1004,$T1355))))</f>
        <v/>
      </c>
      <c r="H1355" s="50">
        <f>IF($T1355="","",IF($S1355="S",IF(INDEX(Firms!$G$5:$G$1004,$T1355)="","",INDEX(Firms!$G$5:$G$1004,$T1355)),IF(INDEX('AFA Rates'!$F$5:$F$1004,$T1355)="","",INDEX('AFA Rates'!$F$5:$F$1004,$T1355))))</f>
        <v/>
      </c>
      <c r="I1355" s="50">
        <f>IF($T1355="","",IF($S1355="S",IF(INDEX(Firms!$H$5:$H$1004,$T1355)="","",INDEX(Firms!$H$5:$H$1004,$T1355)),IF(INDEX('AFA Rates'!$G$5:$G$1004,$T1355)="","",INDEX('AFA Rates'!$G$5:$G$1004,$T1355))))</f>
        <v/>
      </c>
      <c r="J1355" s="50">
        <f>IF($T1355="","",IF($S1355="S",IF(INDEX(Firms!$I$5:$I$1004,$T1355)="","",INDEX(Firms!$I$5:$I$1004,$T1355)),IF(INDEX('AFA Rates'!$H$5:$H$1004,$T1355)="","",INDEX('AFA Rates'!$H$5:$H$1004,$T1355))))</f>
        <v/>
      </c>
      <c r="K1355" s="50">
        <f>IF($T1355="","",IF($S1355="S",IF(INDEX(Firms!$J$5:$J$1004,$T1355)="","",INDEX(Firms!$J$5:$J$1004,$T1355)),IF(INDEX('AFA Rates'!$I$5:$I$1004,$T1355)="","",INDEX('AFA Rates'!$I$5:$I$1004,$T1355))))</f>
        <v/>
      </c>
      <c r="L1355" s="50">
        <f>IF($T1355="","",IF($S1355="S",IF(INDEX(Firms!$K$5:$K$1004,$T1355)="","",INDEX(Firms!$K$5:$K$1004,$T1355)),IF(INDEX('AFA Rates'!$J$5:$J$1004,$T1355)="","",INDEX('AFA Rates'!$J$5:$J$1004,$T1355))))</f>
        <v/>
      </c>
      <c r="M1355" s="50">
        <f>IF($T1355="","",IF($S1355="S",IF(INDEX(Firms!$L$5:$L$1004,$T1355)="","",INDEX(Firms!$L$5:$L$1004,$T1355)),IF(INDEX('AFA Rates'!$K$5:$K$1004,$T1355)="","",INDEX('AFA Rates'!$K$5:$K$1004,$T1355))))</f>
        <v/>
      </c>
      <c r="N1355" s="50">
        <f>IF($T1355="","",IF($S1355="S",IF(INDEX(Firms!$M$5:$M$1004,$T1355)="","",INDEX(Firms!$M$5:$M$1004,$T1355)),IF(INDEX('AFA Rates'!$L$5:$L$1004,$T1355)="","",INDEX('AFA Rates'!$L$5:$L$1004,$T1355))))</f>
        <v/>
      </c>
      <c r="O1355" s="78">
        <f>IF(OR($T1355="",$U1355=""),"",IF(INDEX(Firms!$C$5:$C$1004,$U1355)="","",INDEX(Firms!$C$5:$C$1004,$U1355)))</f>
        <v/>
      </c>
      <c r="P1355" s="79">
        <f>IF(OR($T1355="",$U1355=""),"",IF(INDEX(Firms!$N$5:$N$1004,$U1355)="","",INDEX(Firms!$N$5:$N$1004,$U1355)))</f>
        <v/>
      </c>
      <c r="Q1355" s="78">
        <f>IF($T1355="","",IF($S1355="S",IF(INDEX(Firms!$T$5:$T$1004,$T1355)="","",INDEX(Firms!$T$5:$T$1004,$T1355)),IF(INDEX('AFA Rates'!$M$5:$M$1004,$T1355)="","",INDEX('AFA Rates'!$M$5:$M$1004,$T1355))))</f>
        <v/>
      </c>
      <c r="S1355">
        <f>IF(1351&lt;=$S$2,"S",IF(1351&lt;=$S$2+$T$2,"A",""))</f>
        <v/>
      </c>
      <c r="T1355">
        <f>IF(S1355="S",MATCH(1351,Firms!$W$5:$W$1004,0),IF(S1355="A",IFERROR(MATCH(1351-$S$2,'AFA Rates'!$R$5:$R$1004,0),""),""))</f>
        <v/>
      </c>
      <c r="U1355">
        <f>IF(S1355="S",T1355,IF(AND(S1355="A",T1355&lt;&gt;""),IFERROR(MATCH(INDEX('AFA Rates'!$A$5:$A$1004,T1355),Firms!$A$5:$A$1004,0),""),""))</f>
        <v/>
      </c>
    </row>
    <row r="1356">
      <c r="A1356" s="78">
        <f>IF($T1356="","",IF($S1356="S",IF(INDEX(Firms!$A$5:$A$1004,$T1356)="","",INDEX(Firms!$A$5:$A$1004,$T1356)),IF(INDEX('AFA Rates'!$A$5:$A$1004,$T1356)="","",INDEX('AFA Rates'!$A$5:$A$1004,$T1356))))</f>
        <v/>
      </c>
      <c r="B1356" s="79">
        <f>IF(OR($T1356="",$U1356=""),IF($T1356="","","Not on Firms tab"),INDEX(Firms!$B$5:$B$1004,$U1356)&amp;"")</f>
        <v/>
      </c>
      <c r="C1356" s="78">
        <f>IF($T1356="","",IF($S1356="S","Standard",INDEX('AFA Rates'!$B$5:$B$1004,$T1356)&amp;""))</f>
        <v/>
      </c>
      <c r="D1356" s="88">
        <f>IF($T1356="","",IF($S1356="S",IF(INDEX(Firms!$E$5:$E$1004,$T1356)="","",INDEX(Firms!$E$5:$E$1004,$T1356)),IF(INDEX('AFA Rates'!$C$5:$C$1004,$T1356)="","",INDEX('AFA Rates'!$C$5:$C$1004,$T1356))))</f>
        <v/>
      </c>
      <c r="E1356" s="88">
        <f>IF($T1356="","",IF($S1356="S",IF(""="","",""),IF(INDEX('AFA Rates'!$D$5:$D$1004,$T1356)="","",INDEX('AFA Rates'!$D$5:$D$1004,$T1356))))</f>
        <v/>
      </c>
      <c r="F1356" s="79">
        <f>IF($T1356="","",IF($S1356="S",IF(INDEX(Firms!$O$5:$O$1004,$T1356)="","",INDEX(Firms!$O$5:$O$1004,$T1356)),IF(INDEX('AFA Rates'!$O$5:$O$1004,$T1356)="","",INDEX('AFA Rates'!$O$5:$O$1004,$T1356))))</f>
        <v/>
      </c>
      <c r="G1356" s="50">
        <f>IF($T1356="","",IF($S1356="S",IF(INDEX(Firms!$F$5:$F$1004,$T1356)="","",INDEX(Firms!$F$5:$F$1004,$T1356)),IF(INDEX('AFA Rates'!$E$5:$E$1004,$T1356)="","",INDEX('AFA Rates'!$E$5:$E$1004,$T1356))))</f>
        <v/>
      </c>
      <c r="H1356" s="50">
        <f>IF($T1356="","",IF($S1356="S",IF(INDEX(Firms!$G$5:$G$1004,$T1356)="","",INDEX(Firms!$G$5:$G$1004,$T1356)),IF(INDEX('AFA Rates'!$F$5:$F$1004,$T1356)="","",INDEX('AFA Rates'!$F$5:$F$1004,$T1356))))</f>
        <v/>
      </c>
      <c r="I1356" s="50">
        <f>IF($T1356="","",IF($S1356="S",IF(INDEX(Firms!$H$5:$H$1004,$T1356)="","",INDEX(Firms!$H$5:$H$1004,$T1356)),IF(INDEX('AFA Rates'!$G$5:$G$1004,$T1356)="","",INDEX('AFA Rates'!$G$5:$G$1004,$T1356))))</f>
        <v/>
      </c>
      <c r="J1356" s="50">
        <f>IF($T1356="","",IF($S1356="S",IF(INDEX(Firms!$I$5:$I$1004,$T1356)="","",INDEX(Firms!$I$5:$I$1004,$T1356)),IF(INDEX('AFA Rates'!$H$5:$H$1004,$T1356)="","",INDEX('AFA Rates'!$H$5:$H$1004,$T1356))))</f>
        <v/>
      </c>
      <c r="K1356" s="50">
        <f>IF($T1356="","",IF($S1356="S",IF(INDEX(Firms!$J$5:$J$1004,$T1356)="","",INDEX(Firms!$J$5:$J$1004,$T1356)),IF(INDEX('AFA Rates'!$I$5:$I$1004,$T1356)="","",INDEX('AFA Rates'!$I$5:$I$1004,$T1356))))</f>
        <v/>
      </c>
      <c r="L1356" s="50">
        <f>IF($T1356="","",IF($S1356="S",IF(INDEX(Firms!$K$5:$K$1004,$T1356)="","",INDEX(Firms!$K$5:$K$1004,$T1356)),IF(INDEX('AFA Rates'!$J$5:$J$1004,$T1356)="","",INDEX('AFA Rates'!$J$5:$J$1004,$T1356))))</f>
        <v/>
      </c>
      <c r="M1356" s="50">
        <f>IF($T1356="","",IF($S1356="S",IF(INDEX(Firms!$L$5:$L$1004,$T1356)="","",INDEX(Firms!$L$5:$L$1004,$T1356)),IF(INDEX('AFA Rates'!$K$5:$K$1004,$T1356)="","",INDEX('AFA Rates'!$K$5:$K$1004,$T1356))))</f>
        <v/>
      </c>
      <c r="N1356" s="50">
        <f>IF($T1356="","",IF($S1356="S",IF(INDEX(Firms!$M$5:$M$1004,$T1356)="","",INDEX(Firms!$M$5:$M$1004,$T1356)),IF(INDEX('AFA Rates'!$L$5:$L$1004,$T1356)="","",INDEX('AFA Rates'!$L$5:$L$1004,$T1356))))</f>
        <v/>
      </c>
      <c r="O1356" s="78">
        <f>IF(OR($T1356="",$U1356=""),"",IF(INDEX(Firms!$C$5:$C$1004,$U1356)="","",INDEX(Firms!$C$5:$C$1004,$U1356)))</f>
        <v/>
      </c>
      <c r="P1356" s="79">
        <f>IF(OR($T1356="",$U1356=""),"",IF(INDEX(Firms!$N$5:$N$1004,$U1356)="","",INDEX(Firms!$N$5:$N$1004,$U1356)))</f>
        <v/>
      </c>
      <c r="Q1356" s="78">
        <f>IF($T1356="","",IF($S1356="S",IF(INDEX(Firms!$T$5:$T$1004,$T1356)="","",INDEX(Firms!$T$5:$T$1004,$T1356)),IF(INDEX('AFA Rates'!$M$5:$M$1004,$T1356)="","",INDEX('AFA Rates'!$M$5:$M$1004,$T1356))))</f>
        <v/>
      </c>
      <c r="S1356">
        <f>IF(1352&lt;=$S$2,"S",IF(1352&lt;=$S$2+$T$2,"A",""))</f>
        <v/>
      </c>
      <c r="T1356">
        <f>IF(S1356="S",MATCH(1352,Firms!$W$5:$W$1004,0),IF(S1356="A",IFERROR(MATCH(1352-$S$2,'AFA Rates'!$R$5:$R$1004,0),""),""))</f>
        <v/>
      </c>
      <c r="U1356">
        <f>IF(S1356="S",T1356,IF(AND(S1356="A",T1356&lt;&gt;""),IFERROR(MATCH(INDEX('AFA Rates'!$A$5:$A$1004,T1356),Firms!$A$5:$A$1004,0),""),""))</f>
        <v/>
      </c>
    </row>
    <row r="1357">
      <c r="A1357" s="78">
        <f>IF($T1357="","",IF($S1357="S",IF(INDEX(Firms!$A$5:$A$1004,$T1357)="","",INDEX(Firms!$A$5:$A$1004,$T1357)),IF(INDEX('AFA Rates'!$A$5:$A$1004,$T1357)="","",INDEX('AFA Rates'!$A$5:$A$1004,$T1357))))</f>
        <v/>
      </c>
      <c r="B1357" s="79">
        <f>IF(OR($T1357="",$U1357=""),IF($T1357="","","Not on Firms tab"),INDEX(Firms!$B$5:$B$1004,$U1357)&amp;"")</f>
        <v/>
      </c>
      <c r="C1357" s="78">
        <f>IF($T1357="","",IF($S1357="S","Standard",INDEX('AFA Rates'!$B$5:$B$1004,$T1357)&amp;""))</f>
        <v/>
      </c>
      <c r="D1357" s="88">
        <f>IF($T1357="","",IF($S1357="S",IF(INDEX(Firms!$E$5:$E$1004,$T1357)="","",INDEX(Firms!$E$5:$E$1004,$T1357)),IF(INDEX('AFA Rates'!$C$5:$C$1004,$T1357)="","",INDEX('AFA Rates'!$C$5:$C$1004,$T1357))))</f>
        <v/>
      </c>
      <c r="E1357" s="88">
        <f>IF($T1357="","",IF($S1357="S",IF(""="","",""),IF(INDEX('AFA Rates'!$D$5:$D$1004,$T1357)="","",INDEX('AFA Rates'!$D$5:$D$1004,$T1357))))</f>
        <v/>
      </c>
      <c r="F1357" s="79">
        <f>IF($T1357="","",IF($S1357="S",IF(INDEX(Firms!$O$5:$O$1004,$T1357)="","",INDEX(Firms!$O$5:$O$1004,$T1357)),IF(INDEX('AFA Rates'!$O$5:$O$1004,$T1357)="","",INDEX('AFA Rates'!$O$5:$O$1004,$T1357))))</f>
        <v/>
      </c>
      <c r="G1357" s="50">
        <f>IF($T1357="","",IF($S1357="S",IF(INDEX(Firms!$F$5:$F$1004,$T1357)="","",INDEX(Firms!$F$5:$F$1004,$T1357)),IF(INDEX('AFA Rates'!$E$5:$E$1004,$T1357)="","",INDEX('AFA Rates'!$E$5:$E$1004,$T1357))))</f>
        <v/>
      </c>
      <c r="H1357" s="50">
        <f>IF($T1357="","",IF($S1357="S",IF(INDEX(Firms!$G$5:$G$1004,$T1357)="","",INDEX(Firms!$G$5:$G$1004,$T1357)),IF(INDEX('AFA Rates'!$F$5:$F$1004,$T1357)="","",INDEX('AFA Rates'!$F$5:$F$1004,$T1357))))</f>
        <v/>
      </c>
      <c r="I1357" s="50">
        <f>IF($T1357="","",IF($S1357="S",IF(INDEX(Firms!$H$5:$H$1004,$T1357)="","",INDEX(Firms!$H$5:$H$1004,$T1357)),IF(INDEX('AFA Rates'!$G$5:$G$1004,$T1357)="","",INDEX('AFA Rates'!$G$5:$G$1004,$T1357))))</f>
        <v/>
      </c>
      <c r="J1357" s="50">
        <f>IF($T1357="","",IF($S1357="S",IF(INDEX(Firms!$I$5:$I$1004,$T1357)="","",INDEX(Firms!$I$5:$I$1004,$T1357)),IF(INDEX('AFA Rates'!$H$5:$H$1004,$T1357)="","",INDEX('AFA Rates'!$H$5:$H$1004,$T1357))))</f>
        <v/>
      </c>
      <c r="K1357" s="50">
        <f>IF($T1357="","",IF($S1357="S",IF(INDEX(Firms!$J$5:$J$1004,$T1357)="","",INDEX(Firms!$J$5:$J$1004,$T1357)),IF(INDEX('AFA Rates'!$I$5:$I$1004,$T1357)="","",INDEX('AFA Rates'!$I$5:$I$1004,$T1357))))</f>
        <v/>
      </c>
      <c r="L1357" s="50">
        <f>IF($T1357="","",IF($S1357="S",IF(INDEX(Firms!$K$5:$K$1004,$T1357)="","",INDEX(Firms!$K$5:$K$1004,$T1357)),IF(INDEX('AFA Rates'!$J$5:$J$1004,$T1357)="","",INDEX('AFA Rates'!$J$5:$J$1004,$T1357))))</f>
        <v/>
      </c>
      <c r="M1357" s="50">
        <f>IF($T1357="","",IF($S1357="S",IF(INDEX(Firms!$L$5:$L$1004,$T1357)="","",INDEX(Firms!$L$5:$L$1004,$T1357)),IF(INDEX('AFA Rates'!$K$5:$K$1004,$T1357)="","",INDEX('AFA Rates'!$K$5:$K$1004,$T1357))))</f>
        <v/>
      </c>
      <c r="N1357" s="50">
        <f>IF($T1357="","",IF($S1357="S",IF(INDEX(Firms!$M$5:$M$1004,$T1357)="","",INDEX(Firms!$M$5:$M$1004,$T1357)),IF(INDEX('AFA Rates'!$L$5:$L$1004,$T1357)="","",INDEX('AFA Rates'!$L$5:$L$1004,$T1357))))</f>
        <v/>
      </c>
      <c r="O1357" s="78">
        <f>IF(OR($T1357="",$U1357=""),"",IF(INDEX(Firms!$C$5:$C$1004,$U1357)="","",INDEX(Firms!$C$5:$C$1004,$U1357)))</f>
        <v/>
      </c>
      <c r="P1357" s="79">
        <f>IF(OR($T1357="",$U1357=""),"",IF(INDEX(Firms!$N$5:$N$1004,$U1357)="","",INDEX(Firms!$N$5:$N$1004,$U1357)))</f>
        <v/>
      </c>
      <c r="Q1357" s="78">
        <f>IF($T1357="","",IF($S1357="S",IF(INDEX(Firms!$T$5:$T$1004,$T1357)="","",INDEX(Firms!$T$5:$T$1004,$T1357)),IF(INDEX('AFA Rates'!$M$5:$M$1004,$T1357)="","",INDEX('AFA Rates'!$M$5:$M$1004,$T1357))))</f>
        <v/>
      </c>
      <c r="S1357">
        <f>IF(1353&lt;=$S$2,"S",IF(1353&lt;=$S$2+$T$2,"A",""))</f>
        <v/>
      </c>
      <c r="T1357">
        <f>IF(S1357="S",MATCH(1353,Firms!$W$5:$W$1004,0),IF(S1357="A",IFERROR(MATCH(1353-$S$2,'AFA Rates'!$R$5:$R$1004,0),""),""))</f>
        <v/>
      </c>
      <c r="U1357">
        <f>IF(S1357="S",T1357,IF(AND(S1357="A",T1357&lt;&gt;""),IFERROR(MATCH(INDEX('AFA Rates'!$A$5:$A$1004,T1357),Firms!$A$5:$A$1004,0),""),""))</f>
        <v/>
      </c>
    </row>
    <row r="1358">
      <c r="A1358" s="78">
        <f>IF($T1358="","",IF($S1358="S",IF(INDEX(Firms!$A$5:$A$1004,$T1358)="","",INDEX(Firms!$A$5:$A$1004,$T1358)),IF(INDEX('AFA Rates'!$A$5:$A$1004,$T1358)="","",INDEX('AFA Rates'!$A$5:$A$1004,$T1358))))</f>
        <v/>
      </c>
      <c r="B1358" s="79">
        <f>IF(OR($T1358="",$U1358=""),IF($T1358="","","Not on Firms tab"),INDEX(Firms!$B$5:$B$1004,$U1358)&amp;"")</f>
        <v/>
      </c>
      <c r="C1358" s="78">
        <f>IF($T1358="","",IF($S1358="S","Standard",INDEX('AFA Rates'!$B$5:$B$1004,$T1358)&amp;""))</f>
        <v/>
      </c>
      <c r="D1358" s="88">
        <f>IF($T1358="","",IF($S1358="S",IF(INDEX(Firms!$E$5:$E$1004,$T1358)="","",INDEX(Firms!$E$5:$E$1004,$T1358)),IF(INDEX('AFA Rates'!$C$5:$C$1004,$T1358)="","",INDEX('AFA Rates'!$C$5:$C$1004,$T1358))))</f>
        <v/>
      </c>
      <c r="E1358" s="88">
        <f>IF($T1358="","",IF($S1358="S",IF(""="","",""),IF(INDEX('AFA Rates'!$D$5:$D$1004,$T1358)="","",INDEX('AFA Rates'!$D$5:$D$1004,$T1358))))</f>
        <v/>
      </c>
      <c r="F1358" s="79">
        <f>IF($T1358="","",IF($S1358="S",IF(INDEX(Firms!$O$5:$O$1004,$T1358)="","",INDEX(Firms!$O$5:$O$1004,$T1358)),IF(INDEX('AFA Rates'!$O$5:$O$1004,$T1358)="","",INDEX('AFA Rates'!$O$5:$O$1004,$T1358))))</f>
        <v/>
      </c>
      <c r="G1358" s="50">
        <f>IF($T1358="","",IF($S1358="S",IF(INDEX(Firms!$F$5:$F$1004,$T1358)="","",INDEX(Firms!$F$5:$F$1004,$T1358)),IF(INDEX('AFA Rates'!$E$5:$E$1004,$T1358)="","",INDEX('AFA Rates'!$E$5:$E$1004,$T1358))))</f>
        <v/>
      </c>
      <c r="H1358" s="50">
        <f>IF($T1358="","",IF($S1358="S",IF(INDEX(Firms!$G$5:$G$1004,$T1358)="","",INDEX(Firms!$G$5:$G$1004,$T1358)),IF(INDEX('AFA Rates'!$F$5:$F$1004,$T1358)="","",INDEX('AFA Rates'!$F$5:$F$1004,$T1358))))</f>
        <v/>
      </c>
      <c r="I1358" s="50">
        <f>IF($T1358="","",IF($S1358="S",IF(INDEX(Firms!$H$5:$H$1004,$T1358)="","",INDEX(Firms!$H$5:$H$1004,$T1358)),IF(INDEX('AFA Rates'!$G$5:$G$1004,$T1358)="","",INDEX('AFA Rates'!$G$5:$G$1004,$T1358))))</f>
        <v/>
      </c>
      <c r="J1358" s="50">
        <f>IF($T1358="","",IF($S1358="S",IF(INDEX(Firms!$I$5:$I$1004,$T1358)="","",INDEX(Firms!$I$5:$I$1004,$T1358)),IF(INDEX('AFA Rates'!$H$5:$H$1004,$T1358)="","",INDEX('AFA Rates'!$H$5:$H$1004,$T1358))))</f>
        <v/>
      </c>
      <c r="K1358" s="50">
        <f>IF($T1358="","",IF($S1358="S",IF(INDEX(Firms!$J$5:$J$1004,$T1358)="","",INDEX(Firms!$J$5:$J$1004,$T1358)),IF(INDEX('AFA Rates'!$I$5:$I$1004,$T1358)="","",INDEX('AFA Rates'!$I$5:$I$1004,$T1358))))</f>
        <v/>
      </c>
      <c r="L1358" s="50">
        <f>IF($T1358="","",IF($S1358="S",IF(INDEX(Firms!$K$5:$K$1004,$T1358)="","",INDEX(Firms!$K$5:$K$1004,$T1358)),IF(INDEX('AFA Rates'!$J$5:$J$1004,$T1358)="","",INDEX('AFA Rates'!$J$5:$J$1004,$T1358))))</f>
        <v/>
      </c>
      <c r="M1358" s="50">
        <f>IF($T1358="","",IF($S1358="S",IF(INDEX(Firms!$L$5:$L$1004,$T1358)="","",INDEX(Firms!$L$5:$L$1004,$T1358)),IF(INDEX('AFA Rates'!$K$5:$K$1004,$T1358)="","",INDEX('AFA Rates'!$K$5:$K$1004,$T1358))))</f>
        <v/>
      </c>
      <c r="N1358" s="50">
        <f>IF($T1358="","",IF($S1358="S",IF(INDEX(Firms!$M$5:$M$1004,$T1358)="","",INDEX(Firms!$M$5:$M$1004,$T1358)),IF(INDEX('AFA Rates'!$L$5:$L$1004,$T1358)="","",INDEX('AFA Rates'!$L$5:$L$1004,$T1358))))</f>
        <v/>
      </c>
      <c r="O1358" s="78">
        <f>IF(OR($T1358="",$U1358=""),"",IF(INDEX(Firms!$C$5:$C$1004,$U1358)="","",INDEX(Firms!$C$5:$C$1004,$U1358)))</f>
        <v/>
      </c>
      <c r="P1358" s="79">
        <f>IF(OR($T1358="",$U1358=""),"",IF(INDEX(Firms!$N$5:$N$1004,$U1358)="","",INDEX(Firms!$N$5:$N$1004,$U1358)))</f>
        <v/>
      </c>
      <c r="Q1358" s="78">
        <f>IF($T1358="","",IF($S1358="S",IF(INDEX(Firms!$T$5:$T$1004,$T1358)="","",INDEX(Firms!$T$5:$T$1004,$T1358)),IF(INDEX('AFA Rates'!$M$5:$M$1004,$T1358)="","",INDEX('AFA Rates'!$M$5:$M$1004,$T1358))))</f>
        <v/>
      </c>
      <c r="S1358">
        <f>IF(1354&lt;=$S$2,"S",IF(1354&lt;=$S$2+$T$2,"A",""))</f>
        <v/>
      </c>
      <c r="T1358">
        <f>IF(S1358="S",MATCH(1354,Firms!$W$5:$W$1004,0),IF(S1358="A",IFERROR(MATCH(1354-$S$2,'AFA Rates'!$R$5:$R$1004,0),""),""))</f>
        <v/>
      </c>
      <c r="U1358">
        <f>IF(S1358="S",T1358,IF(AND(S1358="A",T1358&lt;&gt;""),IFERROR(MATCH(INDEX('AFA Rates'!$A$5:$A$1004,T1358),Firms!$A$5:$A$1004,0),""),""))</f>
        <v/>
      </c>
    </row>
    <row r="1359">
      <c r="A1359" s="78">
        <f>IF($T1359="","",IF($S1359="S",IF(INDEX(Firms!$A$5:$A$1004,$T1359)="","",INDEX(Firms!$A$5:$A$1004,$T1359)),IF(INDEX('AFA Rates'!$A$5:$A$1004,$T1359)="","",INDEX('AFA Rates'!$A$5:$A$1004,$T1359))))</f>
        <v/>
      </c>
      <c r="B1359" s="79">
        <f>IF(OR($T1359="",$U1359=""),IF($T1359="","","Not on Firms tab"),INDEX(Firms!$B$5:$B$1004,$U1359)&amp;"")</f>
        <v/>
      </c>
      <c r="C1359" s="78">
        <f>IF($T1359="","",IF($S1359="S","Standard",INDEX('AFA Rates'!$B$5:$B$1004,$T1359)&amp;""))</f>
        <v/>
      </c>
      <c r="D1359" s="88">
        <f>IF($T1359="","",IF($S1359="S",IF(INDEX(Firms!$E$5:$E$1004,$T1359)="","",INDEX(Firms!$E$5:$E$1004,$T1359)),IF(INDEX('AFA Rates'!$C$5:$C$1004,$T1359)="","",INDEX('AFA Rates'!$C$5:$C$1004,$T1359))))</f>
        <v/>
      </c>
      <c r="E1359" s="88">
        <f>IF($T1359="","",IF($S1359="S",IF(""="","",""),IF(INDEX('AFA Rates'!$D$5:$D$1004,$T1359)="","",INDEX('AFA Rates'!$D$5:$D$1004,$T1359))))</f>
        <v/>
      </c>
      <c r="F1359" s="79">
        <f>IF($T1359="","",IF($S1359="S",IF(INDEX(Firms!$O$5:$O$1004,$T1359)="","",INDEX(Firms!$O$5:$O$1004,$T1359)),IF(INDEX('AFA Rates'!$O$5:$O$1004,$T1359)="","",INDEX('AFA Rates'!$O$5:$O$1004,$T1359))))</f>
        <v/>
      </c>
      <c r="G1359" s="50">
        <f>IF($T1359="","",IF($S1359="S",IF(INDEX(Firms!$F$5:$F$1004,$T1359)="","",INDEX(Firms!$F$5:$F$1004,$T1359)),IF(INDEX('AFA Rates'!$E$5:$E$1004,$T1359)="","",INDEX('AFA Rates'!$E$5:$E$1004,$T1359))))</f>
        <v/>
      </c>
      <c r="H1359" s="50">
        <f>IF($T1359="","",IF($S1359="S",IF(INDEX(Firms!$G$5:$G$1004,$T1359)="","",INDEX(Firms!$G$5:$G$1004,$T1359)),IF(INDEX('AFA Rates'!$F$5:$F$1004,$T1359)="","",INDEX('AFA Rates'!$F$5:$F$1004,$T1359))))</f>
        <v/>
      </c>
      <c r="I1359" s="50">
        <f>IF($T1359="","",IF($S1359="S",IF(INDEX(Firms!$H$5:$H$1004,$T1359)="","",INDEX(Firms!$H$5:$H$1004,$T1359)),IF(INDEX('AFA Rates'!$G$5:$G$1004,$T1359)="","",INDEX('AFA Rates'!$G$5:$G$1004,$T1359))))</f>
        <v/>
      </c>
      <c r="J1359" s="50">
        <f>IF($T1359="","",IF($S1359="S",IF(INDEX(Firms!$I$5:$I$1004,$T1359)="","",INDEX(Firms!$I$5:$I$1004,$T1359)),IF(INDEX('AFA Rates'!$H$5:$H$1004,$T1359)="","",INDEX('AFA Rates'!$H$5:$H$1004,$T1359))))</f>
        <v/>
      </c>
      <c r="K1359" s="50">
        <f>IF($T1359="","",IF($S1359="S",IF(INDEX(Firms!$J$5:$J$1004,$T1359)="","",INDEX(Firms!$J$5:$J$1004,$T1359)),IF(INDEX('AFA Rates'!$I$5:$I$1004,$T1359)="","",INDEX('AFA Rates'!$I$5:$I$1004,$T1359))))</f>
        <v/>
      </c>
      <c r="L1359" s="50">
        <f>IF($T1359="","",IF($S1359="S",IF(INDEX(Firms!$K$5:$K$1004,$T1359)="","",INDEX(Firms!$K$5:$K$1004,$T1359)),IF(INDEX('AFA Rates'!$J$5:$J$1004,$T1359)="","",INDEX('AFA Rates'!$J$5:$J$1004,$T1359))))</f>
        <v/>
      </c>
      <c r="M1359" s="50">
        <f>IF($T1359="","",IF($S1359="S",IF(INDEX(Firms!$L$5:$L$1004,$T1359)="","",INDEX(Firms!$L$5:$L$1004,$T1359)),IF(INDEX('AFA Rates'!$K$5:$K$1004,$T1359)="","",INDEX('AFA Rates'!$K$5:$K$1004,$T1359))))</f>
        <v/>
      </c>
      <c r="N1359" s="50">
        <f>IF($T1359="","",IF($S1359="S",IF(INDEX(Firms!$M$5:$M$1004,$T1359)="","",INDEX(Firms!$M$5:$M$1004,$T1359)),IF(INDEX('AFA Rates'!$L$5:$L$1004,$T1359)="","",INDEX('AFA Rates'!$L$5:$L$1004,$T1359))))</f>
        <v/>
      </c>
      <c r="O1359" s="78">
        <f>IF(OR($T1359="",$U1359=""),"",IF(INDEX(Firms!$C$5:$C$1004,$U1359)="","",INDEX(Firms!$C$5:$C$1004,$U1359)))</f>
        <v/>
      </c>
      <c r="P1359" s="79">
        <f>IF(OR($T1359="",$U1359=""),"",IF(INDEX(Firms!$N$5:$N$1004,$U1359)="","",INDEX(Firms!$N$5:$N$1004,$U1359)))</f>
        <v/>
      </c>
      <c r="Q1359" s="78">
        <f>IF($T1359="","",IF($S1359="S",IF(INDEX(Firms!$T$5:$T$1004,$T1359)="","",INDEX(Firms!$T$5:$T$1004,$T1359)),IF(INDEX('AFA Rates'!$M$5:$M$1004,$T1359)="","",INDEX('AFA Rates'!$M$5:$M$1004,$T1359))))</f>
        <v/>
      </c>
      <c r="S1359">
        <f>IF(1355&lt;=$S$2,"S",IF(1355&lt;=$S$2+$T$2,"A",""))</f>
        <v/>
      </c>
      <c r="T1359">
        <f>IF(S1359="S",MATCH(1355,Firms!$W$5:$W$1004,0),IF(S1359="A",IFERROR(MATCH(1355-$S$2,'AFA Rates'!$R$5:$R$1004,0),""),""))</f>
        <v/>
      </c>
      <c r="U1359">
        <f>IF(S1359="S",T1359,IF(AND(S1359="A",T1359&lt;&gt;""),IFERROR(MATCH(INDEX('AFA Rates'!$A$5:$A$1004,T1359),Firms!$A$5:$A$1004,0),""),""))</f>
        <v/>
      </c>
    </row>
    <row r="1360">
      <c r="A1360" s="78">
        <f>IF($T1360="","",IF($S1360="S",IF(INDEX(Firms!$A$5:$A$1004,$T1360)="","",INDEX(Firms!$A$5:$A$1004,$T1360)),IF(INDEX('AFA Rates'!$A$5:$A$1004,$T1360)="","",INDEX('AFA Rates'!$A$5:$A$1004,$T1360))))</f>
        <v/>
      </c>
      <c r="B1360" s="79">
        <f>IF(OR($T1360="",$U1360=""),IF($T1360="","","Not on Firms tab"),INDEX(Firms!$B$5:$B$1004,$U1360)&amp;"")</f>
        <v/>
      </c>
      <c r="C1360" s="78">
        <f>IF($T1360="","",IF($S1360="S","Standard",INDEX('AFA Rates'!$B$5:$B$1004,$T1360)&amp;""))</f>
        <v/>
      </c>
      <c r="D1360" s="88">
        <f>IF($T1360="","",IF($S1360="S",IF(INDEX(Firms!$E$5:$E$1004,$T1360)="","",INDEX(Firms!$E$5:$E$1004,$T1360)),IF(INDEX('AFA Rates'!$C$5:$C$1004,$T1360)="","",INDEX('AFA Rates'!$C$5:$C$1004,$T1360))))</f>
        <v/>
      </c>
      <c r="E1360" s="88">
        <f>IF($T1360="","",IF($S1360="S",IF(""="","",""),IF(INDEX('AFA Rates'!$D$5:$D$1004,$T1360)="","",INDEX('AFA Rates'!$D$5:$D$1004,$T1360))))</f>
        <v/>
      </c>
      <c r="F1360" s="79">
        <f>IF($T1360="","",IF($S1360="S",IF(INDEX(Firms!$O$5:$O$1004,$T1360)="","",INDEX(Firms!$O$5:$O$1004,$T1360)),IF(INDEX('AFA Rates'!$O$5:$O$1004,$T1360)="","",INDEX('AFA Rates'!$O$5:$O$1004,$T1360))))</f>
        <v/>
      </c>
      <c r="G1360" s="50">
        <f>IF($T1360="","",IF($S1360="S",IF(INDEX(Firms!$F$5:$F$1004,$T1360)="","",INDEX(Firms!$F$5:$F$1004,$T1360)),IF(INDEX('AFA Rates'!$E$5:$E$1004,$T1360)="","",INDEX('AFA Rates'!$E$5:$E$1004,$T1360))))</f>
        <v/>
      </c>
      <c r="H1360" s="50">
        <f>IF($T1360="","",IF($S1360="S",IF(INDEX(Firms!$G$5:$G$1004,$T1360)="","",INDEX(Firms!$G$5:$G$1004,$T1360)),IF(INDEX('AFA Rates'!$F$5:$F$1004,$T1360)="","",INDEX('AFA Rates'!$F$5:$F$1004,$T1360))))</f>
        <v/>
      </c>
      <c r="I1360" s="50">
        <f>IF($T1360="","",IF($S1360="S",IF(INDEX(Firms!$H$5:$H$1004,$T1360)="","",INDEX(Firms!$H$5:$H$1004,$T1360)),IF(INDEX('AFA Rates'!$G$5:$G$1004,$T1360)="","",INDEX('AFA Rates'!$G$5:$G$1004,$T1360))))</f>
        <v/>
      </c>
      <c r="J1360" s="50">
        <f>IF($T1360="","",IF($S1360="S",IF(INDEX(Firms!$I$5:$I$1004,$T1360)="","",INDEX(Firms!$I$5:$I$1004,$T1360)),IF(INDEX('AFA Rates'!$H$5:$H$1004,$T1360)="","",INDEX('AFA Rates'!$H$5:$H$1004,$T1360))))</f>
        <v/>
      </c>
      <c r="K1360" s="50">
        <f>IF($T1360="","",IF($S1360="S",IF(INDEX(Firms!$J$5:$J$1004,$T1360)="","",INDEX(Firms!$J$5:$J$1004,$T1360)),IF(INDEX('AFA Rates'!$I$5:$I$1004,$T1360)="","",INDEX('AFA Rates'!$I$5:$I$1004,$T1360))))</f>
        <v/>
      </c>
      <c r="L1360" s="50">
        <f>IF($T1360="","",IF($S1360="S",IF(INDEX(Firms!$K$5:$K$1004,$T1360)="","",INDEX(Firms!$K$5:$K$1004,$T1360)),IF(INDEX('AFA Rates'!$J$5:$J$1004,$T1360)="","",INDEX('AFA Rates'!$J$5:$J$1004,$T1360))))</f>
        <v/>
      </c>
      <c r="M1360" s="50">
        <f>IF($T1360="","",IF($S1360="S",IF(INDEX(Firms!$L$5:$L$1004,$T1360)="","",INDEX(Firms!$L$5:$L$1004,$T1360)),IF(INDEX('AFA Rates'!$K$5:$K$1004,$T1360)="","",INDEX('AFA Rates'!$K$5:$K$1004,$T1360))))</f>
        <v/>
      </c>
      <c r="N1360" s="50">
        <f>IF($T1360="","",IF($S1360="S",IF(INDEX(Firms!$M$5:$M$1004,$T1360)="","",INDEX(Firms!$M$5:$M$1004,$T1360)),IF(INDEX('AFA Rates'!$L$5:$L$1004,$T1360)="","",INDEX('AFA Rates'!$L$5:$L$1004,$T1360))))</f>
        <v/>
      </c>
      <c r="O1360" s="78">
        <f>IF(OR($T1360="",$U1360=""),"",IF(INDEX(Firms!$C$5:$C$1004,$U1360)="","",INDEX(Firms!$C$5:$C$1004,$U1360)))</f>
        <v/>
      </c>
      <c r="P1360" s="79">
        <f>IF(OR($T1360="",$U1360=""),"",IF(INDEX(Firms!$N$5:$N$1004,$U1360)="","",INDEX(Firms!$N$5:$N$1004,$U1360)))</f>
        <v/>
      </c>
      <c r="Q1360" s="78">
        <f>IF($T1360="","",IF($S1360="S",IF(INDEX(Firms!$T$5:$T$1004,$T1360)="","",INDEX(Firms!$T$5:$T$1004,$T1360)),IF(INDEX('AFA Rates'!$M$5:$M$1004,$T1360)="","",INDEX('AFA Rates'!$M$5:$M$1004,$T1360))))</f>
        <v/>
      </c>
      <c r="S1360">
        <f>IF(1356&lt;=$S$2,"S",IF(1356&lt;=$S$2+$T$2,"A",""))</f>
        <v/>
      </c>
      <c r="T1360">
        <f>IF(S1360="S",MATCH(1356,Firms!$W$5:$W$1004,0),IF(S1360="A",IFERROR(MATCH(1356-$S$2,'AFA Rates'!$R$5:$R$1004,0),""),""))</f>
        <v/>
      </c>
      <c r="U1360">
        <f>IF(S1360="S",T1360,IF(AND(S1360="A",T1360&lt;&gt;""),IFERROR(MATCH(INDEX('AFA Rates'!$A$5:$A$1004,T1360),Firms!$A$5:$A$1004,0),""),""))</f>
        <v/>
      </c>
    </row>
    <row r="1361">
      <c r="A1361" s="78">
        <f>IF($T1361="","",IF($S1361="S",IF(INDEX(Firms!$A$5:$A$1004,$T1361)="","",INDEX(Firms!$A$5:$A$1004,$T1361)),IF(INDEX('AFA Rates'!$A$5:$A$1004,$T1361)="","",INDEX('AFA Rates'!$A$5:$A$1004,$T1361))))</f>
        <v/>
      </c>
      <c r="B1361" s="79">
        <f>IF(OR($T1361="",$U1361=""),IF($T1361="","","Not on Firms tab"),INDEX(Firms!$B$5:$B$1004,$U1361)&amp;"")</f>
        <v/>
      </c>
      <c r="C1361" s="78">
        <f>IF($T1361="","",IF($S1361="S","Standard",INDEX('AFA Rates'!$B$5:$B$1004,$T1361)&amp;""))</f>
        <v/>
      </c>
      <c r="D1361" s="88">
        <f>IF($T1361="","",IF($S1361="S",IF(INDEX(Firms!$E$5:$E$1004,$T1361)="","",INDEX(Firms!$E$5:$E$1004,$T1361)),IF(INDEX('AFA Rates'!$C$5:$C$1004,$T1361)="","",INDEX('AFA Rates'!$C$5:$C$1004,$T1361))))</f>
        <v/>
      </c>
      <c r="E1361" s="88">
        <f>IF($T1361="","",IF($S1361="S",IF(""="","",""),IF(INDEX('AFA Rates'!$D$5:$D$1004,$T1361)="","",INDEX('AFA Rates'!$D$5:$D$1004,$T1361))))</f>
        <v/>
      </c>
      <c r="F1361" s="79">
        <f>IF($T1361="","",IF($S1361="S",IF(INDEX(Firms!$O$5:$O$1004,$T1361)="","",INDEX(Firms!$O$5:$O$1004,$T1361)),IF(INDEX('AFA Rates'!$O$5:$O$1004,$T1361)="","",INDEX('AFA Rates'!$O$5:$O$1004,$T1361))))</f>
        <v/>
      </c>
      <c r="G1361" s="50">
        <f>IF($T1361="","",IF($S1361="S",IF(INDEX(Firms!$F$5:$F$1004,$T1361)="","",INDEX(Firms!$F$5:$F$1004,$T1361)),IF(INDEX('AFA Rates'!$E$5:$E$1004,$T1361)="","",INDEX('AFA Rates'!$E$5:$E$1004,$T1361))))</f>
        <v/>
      </c>
      <c r="H1361" s="50">
        <f>IF($T1361="","",IF($S1361="S",IF(INDEX(Firms!$G$5:$G$1004,$T1361)="","",INDEX(Firms!$G$5:$G$1004,$T1361)),IF(INDEX('AFA Rates'!$F$5:$F$1004,$T1361)="","",INDEX('AFA Rates'!$F$5:$F$1004,$T1361))))</f>
        <v/>
      </c>
      <c r="I1361" s="50">
        <f>IF($T1361="","",IF($S1361="S",IF(INDEX(Firms!$H$5:$H$1004,$T1361)="","",INDEX(Firms!$H$5:$H$1004,$T1361)),IF(INDEX('AFA Rates'!$G$5:$G$1004,$T1361)="","",INDEX('AFA Rates'!$G$5:$G$1004,$T1361))))</f>
        <v/>
      </c>
      <c r="J1361" s="50">
        <f>IF($T1361="","",IF($S1361="S",IF(INDEX(Firms!$I$5:$I$1004,$T1361)="","",INDEX(Firms!$I$5:$I$1004,$T1361)),IF(INDEX('AFA Rates'!$H$5:$H$1004,$T1361)="","",INDEX('AFA Rates'!$H$5:$H$1004,$T1361))))</f>
        <v/>
      </c>
      <c r="K1361" s="50">
        <f>IF($T1361="","",IF($S1361="S",IF(INDEX(Firms!$J$5:$J$1004,$T1361)="","",INDEX(Firms!$J$5:$J$1004,$T1361)),IF(INDEX('AFA Rates'!$I$5:$I$1004,$T1361)="","",INDEX('AFA Rates'!$I$5:$I$1004,$T1361))))</f>
        <v/>
      </c>
      <c r="L1361" s="50">
        <f>IF($T1361="","",IF($S1361="S",IF(INDEX(Firms!$K$5:$K$1004,$T1361)="","",INDEX(Firms!$K$5:$K$1004,$T1361)),IF(INDEX('AFA Rates'!$J$5:$J$1004,$T1361)="","",INDEX('AFA Rates'!$J$5:$J$1004,$T1361))))</f>
        <v/>
      </c>
      <c r="M1361" s="50">
        <f>IF($T1361="","",IF($S1361="S",IF(INDEX(Firms!$L$5:$L$1004,$T1361)="","",INDEX(Firms!$L$5:$L$1004,$T1361)),IF(INDEX('AFA Rates'!$K$5:$K$1004,$T1361)="","",INDEX('AFA Rates'!$K$5:$K$1004,$T1361))))</f>
        <v/>
      </c>
      <c r="N1361" s="50">
        <f>IF($T1361="","",IF($S1361="S",IF(INDEX(Firms!$M$5:$M$1004,$T1361)="","",INDEX(Firms!$M$5:$M$1004,$T1361)),IF(INDEX('AFA Rates'!$L$5:$L$1004,$T1361)="","",INDEX('AFA Rates'!$L$5:$L$1004,$T1361))))</f>
        <v/>
      </c>
      <c r="O1361" s="78">
        <f>IF(OR($T1361="",$U1361=""),"",IF(INDEX(Firms!$C$5:$C$1004,$U1361)="","",INDEX(Firms!$C$5:$C$1004,$U1361)))</f>
        <v/>
      </c>
      <c r="P1361" s="79">
        <f>IF(OR($T1361="",$U1361=""),"",IF(INDEX(Firms!$N$5:$N$1004,$U1361)="","",INDEX(Firms!$N$5:$N$1004,$U1361)))</f>
        <v/>
      </c>
      <c r="Q1361" s="78">
        <f>IF($T1361="","",IF($S1361="S",IF(INDEX(Firms!$T$5:$T$1004,$T1361)="","",INDEX(Firms!$T$5:$T$1004,$T1361)),IF(INDEX('AFA Rates'!$M$5:$M$1004,$T1361)="","",INDEX('AFA Rates'!$M$5:$M$1004,$T1361))))</f>
        <v/>
      </c>
      <c r="S1361">
        <f>IF(1357&lt;=$S$2,"S",IF(1357&lt;=$S$2+$T$2,"A",""))</f>
        <v/>
      </c>
      <c r="T1361">
        <f>IF(S1361="S",MATCH(1357,Firms!$W$5:$W$1004,0),IF(S1361="A",IFERROR(MATCH(1357-$S$2,'AFA Rates'!$R$5:$R$1004,0),""),""))</f>
        <v/>
      </c>
      <c r="U1361">
        <f>IF(S1361="S",T1361,IF(AND(S1361="A",T1361&lt;&gt;""),IFERROR(MATCH(INDEX('AFA Rates'!$A$5:$A$1004,T1361),Firms!$A$5:$A$1004,0),""),""))</f>
        <v/>
      </c>
    </row>
    <row r="1362">
      <c r="A1362" s="78">
        <f>IF($T1362="","",IF($S1362="S",IF(INDEX(Firms!$A$5:$A$1004,$T1362)="","",INDEX(Firms!$A$5:$A$1004,$T1362)),IF(INDEX('AFA Rates'!$A$5:$A$1004,$T1362)="","",INDEX('AFA Rates'!$A$5:$A$1004,$T1362))))</f>
        <v/>
      </c>
      <c r="B1362" s="79">
        <f>IF(OR($T1362="",$U1362=""),IF($T1362="","","Not on Firms tab"),INDEX(Firms!$B$5:$B$1004,$U1362)&amp;"")</f>
        <v/>
      </c>
      <c r="C1362" s="78">
        <f>IF($T1362="","",IF($S1362="S","Standard",INDEX('AFA Rates'!$B$5:$B$1004,$T1362)&amp;""))</f>
        <v/>
      </c>
      <c r="D1362" s="88">
        <f>IF($T1362="","",IF($S1362="S",IF(INDEX(Firms!$E$5:$E$1004,$T1362)="","",INDEX(Firms!$E$5:$E$1004,$T1362)),IF(INDEX('AFA Rates'!$C$5:$C$1004,$T1362)="","",INDEX('AFA Rates'!$C$5:$C$1004,$T1362))))</f>
        <v/>
      </c>
      <c r="E1362" s="88">
        <f>IF($T1362="","",IF($S1362="S",IF(""="","",""),IF(INDEX('AFA Rates'!$D$5:$D$1004,$T1362)="","",INDEX('AFA Rates'!$D$5:$D$1004,$T1362))))</f>
        <v/>
      </c>
      <c r="F1362" s="79">
        <f>IF($T1362="","",IF($S1362="S",IF(INDEX(Firms!$O$5:$O$1004,$T1362)="","",INDEX(Firms!$O$5:$O$1004,$T1362)),IF(INDEX('AFA Rates'!$O$5:$O$1004,$T1362)="","",INDEX('AFA Rates'!$O$5:$O$1004,$T1362))))</f>
        <v/>
      </c>
      <c r="G1362" s="50">
        <f>IF($T1362="","",IF($S1362="S",IF(INDEX(Firms!$F$5:$F$1004,$T1362)="","",INDEX(Firms!$F$5:$F$1004,$T1362)),IF(INDEX('AFA Rates'!$E$5:$E$1004,$T1362)="","",INDEX('AFA Rates'!$E$5:$E$1004,$T1362))))</f>
        <v/>
      </c>
      <c r="H1362" s="50">
        <f>IF($T1362="","",IF($S1362="S",IF(INDEX(Firms!$G$5:$G$1004,$T1362)="","",INDEX(Firms!$G$5:$G$1004,$T1362)),IF(INDEX('AFA Rates'!$F$5:$F$1004,$T1362)="","",INDEX('AFA Rates'!$F$5:$F$1004,$T1362))))</f>
        <v/>
      </c>
      <c r="I1362" s="50">
        <f>IF($T1362="","",IF($S1362="S",IF(INDEX(Firms!$H$5:$H$1004,$T1362)="","",INDEX(Firms!$H$5:$H$1004,$T1362)),IF(INDEX('AFA Rates'!$G$5:$G$1004,$T1362)="","",INDEX('AFA Rates'!$G$5:$G$1004,$T1362))))</f>
        <v/>
      </c>
      <c r="J1362" s="50">
        <f>IF($T1362="","",IF($S1362="S",IF(INDEX(Firms!$I$5:$I$1004,$T1362)="","",INDEX(Firms!$I$5:$I$1004,$T1362)),IF(INDEX('AFA Rates'!$H$5:$H$1004,$T1362)="","",INDEX('AFA Rates'!$H$5:$H$1004,$T1362))))</f>
        <v/>
      </c>
      <c r="K1362" s="50">
        <f>IF($T1362="","",IF($S1362="S",IF(INDEX(Firms!$J$5:$J$1004,$T1362)="","",INDEX(Firms!$J$5:$J$1004,$T1362)),IF(INDEX('AFA Rates'!$I$5:$I$1004,$T1362)="","",INDEX('AFA Rates'!$I$5:$I$1004,$T1362))))</f>
        <v/>
      </c>
      <c r="L1362" s="50">
        <f>IF($T1362="","",IF($S1362="S",IF(INDEX(Firms!$K$5:$K$1004,$T1362)="","",INDEX(Firms!$K$5:$K$1004,$T1362)),IF(INDEX('AFA Rates'!$J$5:$J$1004,$T1362)="","",INDEX('AFA Rates'!$J$5:$J$1004,$T1362))))</f>
        <v/>
      </c>
      <c r="M1362" s="50">
        <f>IF($T1362="","",IF($S1362="S",IF(INDEX(Firms!$L$5:$L$1004,$T1362)="","",INDEX(Firms!$L$5:$L$1004,$T1362)),IF(INDEX('AFA Rates'!$K$5:$K$1004,$T1362)="","",INDEX('AFA Rates'!$K$5:$K$1004,$T1362))))</f>
        <v/>
      </c>
      <c r="N1362" s="50">
        <f>IF($T1362="","",IF($S1362="S",IF(INDEX(Firms!$M$5:$M$1004,$T1362)="","",INDEX(Firms!$M$5:$M$1004,$T1362)),IF(INDEX('AFA Rates'!$L$5:$L$1004,$T1362)="","",INDEX('AFA Rates'!$L$5:$L$1004,$T1362))))</f>
        <v/>
      </c>
      <c r="O1362" s="78">
        <f>IF(OR($T1362="",$U1362=""),"",IF(INDEX(Firms!$C$5:$C$1004,$U1362)="","",INDEX(Firms!$C$5:$C$1004,$U1362)))</f>
        <v/>
      </c>
      <c r="P1362" s="79">
        <f>IF(OR($T1362="",$U1362=""),"",IF(INDEX(Firms!$N$5:$N$1004,$U1362)="","",INDEX(Firms!$N$5:$N$1004,$U1362)))</f>
        <v/>
      </c>
      <c r="Q1362" s="78">
        <f>IF($T1362="","",IF($S1362="S",IF(INDEX(Firms!$T$5:$T$1004,$T1362)="","",INDEX(Firms!$T$5:$T$1004,$T1362)),IF(INDEX('AFA Rates'!$M$5:$M$1004,$T1362)="","",INDEX('AFA Rates'!$M$5:$M$1004,$T1362))))</f>
        <v/>
      </c>
      <c r="S1362">
        <f>IF(1358&lt;=$S$2,"S",IF(1358&lt;=$S$2+$T$2,"A",""))</f>
        <v/>
      </c>
      <c r="T1362">
        <f>IF(S1362="S",MATCH(1358,Firms!$W$5:$W$1004,0),IF(S1362="A",IFERROR(MATCH(1358-$S$2,'AFA Rates'!$R$5:$R$1004,0),""),""))</f>
        <v/>
      </c>
      <c r="U1362">
        <f>IF(S1362="S",T1362,IF(AND(S1362="A",T1362&lt;&gt;""),IFERROR(MATCH(INDEX('AFA Rates'!$A$5:$A$1004,T1362),Firms!$A$5:$A$1004,0),""),""))</f>
        <v/>
      </c>
    </row>
    <row r="1363">
      <c r="A1363" s="78">
        <f>IF($T1363="","",IF($S1363="S",IF(INDEX(Firms!$A$5:$A$1004,$T1363)="","",INDEX(Firms!$A$5:$A$1004,$T1363)),IF(INDEX('AFA Rates'!$A$5:$A$1004,$T1363)="","",INDEX('AFA Rates'!$A$5:$A$1004,$T1363))))</f>
        <v/>
      </c>
      <c r="B1363" s="79">
        <f>IF(OR($T1363="",$U1363=""),IF($T1363="","","Not on Firms tab"),INDEX(Firms!$B$5:$B$1004,$U1363)&amp;"")</f>
        <v/>
      </c>
      <c r="C1363" s="78">
        <f>IF($T1363="","",IF($S1363="S","Standard",INDEX('AFA Rates'!$B$5:$B$1004,$T1363)&amp;""))</f>
        <v/>
      </c>
      <c r="D1363" s="88">
        <f>IF($T1363="","",IF($S1363="S",IF(INDEX(Firms!$E$5:$E$1004,$T1363)="","",INDEX(Firms!$E$5:$E$1004,$T1363)),IF(INDEX('AFA Rates'!$C$5:$C$1004,$T1363)="","",INDEX('AFA Rates'!$C$5:$C$1004,$T1363))))</f>
        <v/>
      </c>
      <c r="E1363" s="88">
        <f>IF($T1363="","",IF($S1363="S",IF(""="","",""),IF(INDEX('AFA Rates'!$D$5:$D$1004,$T1363)="","",INDEX('AFA Rates'!$D$5:$D$1004,$T1363))))</f>
        <v/>
      </c>
      <c r="F1363" s="79">
        <f>IF($T1363="","",IF($S1363="S",IF(INDEX(Firms!$O$5:$O$1004,$T1363)="","",INDEX(Firms!$O$5:$O$1004,$T1363)),IF(INDEX('AFA Rates'!$O$5:$O$1004,$T1363)="","",INDEX('AFA Rates'!$O$5:$O$1004,$T1363))))</f>
        <v/>
      </c>
      <c r="G1363" s="50">
        <f>IF($T1363="","",IF($S1363="S",IF(INDEX(Firms!$F$5:$F$1004,$T1363)="","",INDEX(Firms!$F$5:$F$1004,$T1363)),IF(INDEX('AFA Rates'!$E$5:$E$1004,$T1363)="","",INDEX('AFA Rates'!$E$5:$E$1004,$T1363))))</f>
        <v/>
      </c>
      <c r="H1363" s="50">
        <f>IF($T1363="","",IF($S1363="S",IF(INDEX(Firms!$G$5:$G$1004,$T1363)="","",INDEX(Firms!$G$5:$G$1004,$T1363)),IF(INDEX('AFA Rates'!$F$5:$F$1004,$T1363)="","",INDEX('AFA Rates'!$F$5:$F$1004,$T1363))))</f>
        <v/>
      </c>
      <c r="I1363" s="50">
        <f>IF($T1363="","",IF($S1363="S",IF(INDEX(Firms!$H$5:$H$1004,$T1363)="","",INDEX(Firms!$H$5:$H$1004,$T1363)),IF(INDEX('AFA Rates'!$G$5:$G$1004,$T1363)="","",INDEX('AFA Rates'!$G$5:$G$1004,$T1363))))</f>
        <v/>
      </c>
      <c r="J1363" s="50">
        <f>IF($T1363="","",IF($S1363="S",IF(INDEX(Firms!$I$5:$I$1004,$T1363)="","",INDEX(Firms!$I$5:$I$1004,$T1363)),IF(INDEX('AFA Rates'!$H$5:$H$1004,$T1363)="","",INDEX('AFA Rates'!$H$5:$H$1004,$T1363))))</f>
        <v/>
      </c>
      <c r="K1363" s="50">
        <f>IF($T1363="","",IF($S1363="S",IF(INDEX(Firms!$J$5:$J$1004,$T1363)="","",INDEX(Firms!$J$5:$J$1004,$T1363)),IF(INDEX('AFA Rates'!$I$5:$I$1004,$T1363)="","",INDEX('AFA Rates'!$I$5:$I$1004,$T1363))))</f>
        <v/>
      </c>
      <c r="L1363" s="50">
        <f>IF($T1363="","",IF($S1363="S",IF(INDEX(Firms!$K$5:$K$1004,$T1363)="","",INDEX(Firms!$K$5:$K$1004,$T1363)),IF(INDEX('AFA Rates'!$J$5:$J$1004,$T1363)="","",INDEX('AFA Rates'!$J$5:$J$1004,$T1363))))</f>
        <v/>
      </c>
      <c r="M1363" s="50">
        <f>IF($T1363="","",IF($S1363="S",IF(INDEX(Firms!$L$5:$L$1004,$T1363)="","",INDEX(Firms!$L$5:$L$1004,$T1363)),IF(INDEX('AFA Rates'!$K$5:$K$1004,$T1363)="","",INDEX('AFA Rates'!$K$5:$K$1004,$T1363))))</f>
        <v/>
      </c>
      <c r="N1363" s="50">
        <f>IF($T1363="","",IF($S1363="S",IF(INDEX(Firms!$M$5:$M$1004,$T1363)="","",INDEX(Firms!$M$5:$M$1004,$T1363)),IF(INDEX('AFA Rates'!$L$5:$L$1004,$T1363)="","",INDEX('AFA Rates'!$L$5:$L$1004,$T1363))))</f>
        <v/>
      </c>
      <c r="O1363" s="78">
        <f>IF(OR($T1363="",$U1363=""),"",IF(INDEX(Firms!$C$5:$C$1004,$U1363)="","",INDEX(Firms!$C$5:$C$1004,$U1363)))</f>
        <v/>
      </c>
      <c r="P1363" s="79">
        <f>IF(OR($T1363="",$U1363=""),"",IF(INDEX(Firms!$N$5:$N$1004,$U1363)="","",INDEX(Firms!$N$5:$N$1004,$U1363)))</f>
        <v/>
      </c>
      <c r="Q1363" s="78">
        <f>IF($T1363="","",IF($S1363="S",IF(INDEX(Firms!$T$5:$T$1004,$T1363)="","",INDEX(Firms!$T$5:$T$1004,$T1363)),IF(INDEX('AFA Rates'!$M$5:$M$1004,$T1363)="","",INDEX('AFA Rates'!$M$5:$M$1004,$T1363))))</f>
        <v/>
      </c>
      <c r="S1363">
        <f>IF(1359&lt;=$S$2,"S",IF(1359&lt;=$S$2+$T$2,"A",""))</f>
        <v/>
      </c>
      <c r="T1363">
        <f>IF(S1363="S",MATCH(1359,Firms!$W$5:$W$1004,0),IF(S1363="A",IFERROR(MATCH(1359-$S$2,'AFA Rates'!$R$5:$R$1004,0),""),""))</f>
        <v/>
      </c>
      <c r="U1363">
        <f>IF(S1363="S",T1363,IF(AND(S1363="A",T1363&lt;&gt;""),IFERROR(MATCH(INDEX('AFA Rates'!$A$5:$A$1004,T1363),Firms!$A$5:$A$1004,0),""),""))</f>
        <v/>
      </c>
    </row>
    <row r="1364">
      <c r="A1364" s="78">
        <f>IF($T1364="","",IF($S1364="S",IF(INDEX(Firms!$A$5:$A$1004,$T1364)="","",INDEX(Firms!$A$5:$A$1004,$T1364)),IF(INDEX('AFA Rates'!$A$5:$A$1004,$T1364)="","",INDEX('AFA Rates'!$A$5:$A$1004,$T1364))))</f>
        <v/>
      </c>
      <c r="B1364" s="79">
        <f>IF(OR($T1364="",$U1364=""),IF($T1364="","","Not on Firms tab"),INDEX(Firms!$B$5:$B$1004,$U1364)&amp;"")</f>
        <v/>
      </c>
      <c r="C1364" s="78">
        <f>IF($T1364="","",IF($S1364="S","Standard",INDEX('AFA Rates'!$B$5:$B$1004,$T1364)&amp;""))</f>
        <v/>
      </c>
      <c r="D1364" s="88">
        <f>IF($T1364="","",IF($S1364="S",IF(INDEX(Firms!$E$5:$E$1004,$T1364)="","",INDEX(Firms!$E$5:$E$1004,$T1364)),IF(INDEX('AFA Rates'!$C$5:$C$1004,$T1364)="","",INDEX('AFA Rates'!$C$5:$C$1004,$T1364))))</f>
        <v/>
      </c>
      <c r="E1364" s="88">
        <f>IF($T1364="","",IF($S1364="S",IF(""="","",""),IF(INDEX('AFA Rates'!$D$5:$D$1004,$T1364)="","",INDEX('AFA Rates'!$D$5:$D$1004,$T1364))))</f>
        <v/>
      </c>
      <c r="F1364" s="79">
        <f>IF($T1364="","",IF($S1364="S",IF(INDEX(Firms!$O$5:$O$1004,$T1364)="","",INDEX(Firms!$O$5:$O$1004,$T1364)),IF(INDEX('AFA Rates'!$O$5:$O$1004,$T1364)="","",INDEX('AFA Rates'!$O$5:$O$1004,$T1364))))</f>
        <v/>
      </c>
      <c r="G1364" s="50">
        <f>IF($T1364="","",IF($S1364="S",IF(INDEX(Firms!$F$5:$F$1004,$T1364)="","",INDEX(Firms!$F$5:$F$1004,$T1364)),IF(INDEX('AFA Rates'!$E$5:$E$1004,$T1364)="","",INDEX('AFA Rates'!$E$5:$E$1004,$T1364))))</f>
        <v/>
      </c>
      <c r="H1364" s="50">
        <f>IF($T1364="","",IF($S1364="S",IF(INDEX(Firms!$G$5:$G$1004,$T1364)="","",INDEX(Firms!$G$5:$G$1004,$T1364)),IF(INDEX('AFA Rates'!$F$5:$F$1004,$T1364)="","",INDEX('AFA Rates'!$F$5:$F$1004,$T1364))))</f>
        <v/>
      </c>
      <c r="I1364" s="50">
        <f>IF($T1364="","",IF($S1364="S",IF(INDEX(Firms!$H$5:$H$1004,$T1364)="","",INDEX(Firms!$H$5:$H$1004,$T1364)),IF(INDEX('AFA Rates'!$G$5:$G$1004,$T1364)="","",INDEX('AFA Rates'!$G$5:$G$1004,$T1364))))</f>
        <v/>
      </c>
      <c r="J1364" s="50">
        <f>IF($T1364="","",IF($S1364="S",IF(INDEX(Firms!$I$5:$I$1004,$T1364)="","",INDEX(Firms!$I$5:$I$1004,$T1364)),IF(INDEX('AFA Rates'!$H$5:$H$1004,$T1364)="","",INDEX('AFA Rates'!$H$5:$H$1004,$T1364))))</f>
        <v/>
      </c>
      <c r="K1364" s="50">
        <f>IF($T1364="","",IF($S1364="S",IF(INDEX(Firms!$J$5:$J$1004,$T1364)="","",INDEX(Firms!$J$5:$J$1004,$T1364)),IF(INDEX('AFA Rates'!$I$5:$I$1004,$T1364)="","",INDEX('AFA Rates'!$I$5:$I$1004,$T1364))))</f>
        <v/>
      </c>
      <c r="L1364" s="50">
        <f>IF($T1364="","",IF($S1364="S",IF(INDEX(Firms!$K$5:$K$1004,$T1364)="","",INDEX(Firms!$K$5:$K$1004,$T1364)),IF(INDEX('AFA Rates'!$J$5:$J$1004,$T1364)="","",INDEX('AFA Rates'!$J$5:$J$1004,$T1364))))</f>
        <v/>
      </c>
      <c r="M1364" s="50">
        <f>IF($T1364="","",IF($S1364="S",IF(INDEX(Firms!$L$5:$L$1004,$T1364)="","",INDEX(Firms!$L$5:$L$1004,$T1364)),IF(INDEX('AFA Rates'!$K$5:$K$1004,$T1364)="","",INDEX('AFA Rates'!$K$5:$K$1004,$T1364))))</f>
        <v/>
      </c>
      <c r="N1364" s="50">
        <f>IF($T1364="","",IF($S1364="S",IF(INDEX(Firms!$M$5:$M$1004,$T1364)="","",INDEX(Firms!$M$5:$M$1004,$T1364)),IF(INDEX('AFA Rates'!$L$5:$L$1004,$T1364)="","",INDEX('AFA Rates'!$L$5:$L$1004,$T1364))))</f>
        <v/>
      </c>
      <c r="O1364" s="78">
        <f>IF(OR($T1364="",$U1364=""),"",IF(INDEX(Firms!$C$5:$C$1004,$U1364)="","",INDEX(Firms!$C$5:$C$1004,$U1364)))</f>
        <v/>
      </c>
      <c r="P1364" s="79">
        <f>IF(OR($T1364="",$U1364=""),"",IF(INDEX(Firms!$N$5:$N$1004,$U1364)="","",INDEX(Firms!$N$5:$N$1004,$U1364)))</f>
        <v/>
      </c>
      <c r="Q1364" s="78">
        <f>IF($T1364="","",IF($S1364="S",IF(INDEX(Firms!$T$5:$T$1004,$T1364)="","",INDEX(Firms!$T$5:$T$1004,$T1364)),IF(INDEX('AFA Rates'!$M$5:$M$1004,$T1364)="","",INDEX('AFA Rates'!$M$5:$M$1004,$T1364))))</f>
        <v/>
      </c>
      <c r="S1364">
        <f>IF(1360&lt;=$S$2,"S",IF(1360&lt;=$S$2+$T$2,"A",""))</f>
        <v/>
      </c>
      <c r="T1364">
        <f>IF(S1364="S",MATCH(1360,Firms!$W$5:$W$1004,0),IF(S1364="A",IFERROR(MATCH(1360-$S$2,'AFA Rates'!$R$5:$R$1004,0),""),""))</f>
        <v/>
      </c>
      <c r="U1364">
        <f>IF(S1364="S",T1364,IF(AND(S1364="A",T1364&lt;&gt;""),IFERROR(MATCH(INDEX('AFA Rates'!$A$5:$A$1004,T1364),Firms!$A$5:$A$1004,0),""),""))</f>
        <v/>
      </c>
    </row>
    <row r="1365">
      <c r="A1365" s="78">
        <f>IF($T1365="","",IF($S1365="S",IF(INDEX(Firms!$A$5:$A$1004,$T1365)="","",INDEX(Firms!$A$5:$A$1004,$T1365)),IF(INDEX('AFA Rates'!$A$5:$A$1004,$T1365)="","",INDEX('AFA Rates'!$A$5:$A$1004,$T1365))))</f>
        <v/>
      </c>
      <c r="B1365" s="79">
        <f>IF(OR($T1365="",$U1365=""),IF($T1365="","","Not on Firms tab"),INDEX(Firms!$B$5:$B$1004,$U1365)&amp;"")</f>
        <v/>
      </c>
      <c r="C1365" s="78">
        <f>IF($T1365="","",IF($S1365="S","Standard",INDEX('AFA Rates'!$B$5:$B$1004,$T1365)&amp;""))</f>
        <v/>
      </c>
      <c r="D1365" s="88">
        <f>IF($T1365="","",IF($S1365="S",IF(INDEX(Firms!$E$5:$E$1004,$T1365)="","",INDEX(Firms!$E$5:$E$1004,$T1365)),IF(INDEX('AFA Rates'!$C$5:$C$1004,$T1365)="","",INDEX('AFA Rates'!$C$5:$C$1004,$T1365))))</f>
        <v/>
      </c>
      <c r="E1365" s="88">
        <f>IF($T1365="","",IF($S1365="S",IF(""="","",""),IF(INDEX('AFA Rates'!$D$5:$D$1004,$T1365)="","",INDEX('AFA Rates'!$D$5:$D$1004,$T1365))))</f>
        <v/>
      </c>
      <c r="F1365" s="79">
        <f>IF($T1365="","",IF($S1365="S",IF(INDEX(Firms!$O$5:$O$1004,$T1365)="","",INDEX(Firms!$O$5:$O$1004,$T1365)),IF(INDEX('AFA Rates'!$O$5:$O$1004,$T1365)="","",INDEX('AFA Rates'!$O$5:$O$1004,$T1365))))</f>
        <v/>
      </c>
      <c r="G1365" s="50">
        <f>IF($T1365="","",IF($S1365="S",IF(INDEX(Firms!$F$5:$F$1004,$T1365)="","",INDEX(Firms!$F$5:$F$1004,$T1365)),IF(INDEX('AFA Rates'!$E$5:$E$1004,$T1365)="","",INDEX('AFA Rates'!$E$5:$E$1004,$T1365))))</f>
        <v/>
      </c>
      <c r="H1365" s="50">
        <f>IF($T1365="","",IF($S1365="S",IF(INDEX(Firms!$G$5:$G$1004,$T1365)="","",INDEX(Firms!$G$5:$G$1004,$T1365)),IF(INDEX('AFA Rates'!$F$5:$F$1004,$T1365)="","",INDEX('AFA Rates'!$F$5:$F$1004,$T1365))))</f>
        <v/>
      </c>
      <c r="I1365" s="50">
        <f>IF($T1365="","",IF($S1365="S",IF(INDEX(Firms!$H$5:$H$1004,$T1365)="","",INDEX(Firms!$H$5:$H$1004,$T1365)),IF(INDEX('AFA Rates'!$G$5:$G$1004,$T1365)="","",INDEX('AFA Rates'!$G$5:$G$1004,$T1365))))</f>
        <v/>
      </c>
      <c r="J1365" s="50">
        <f>IF($T1365="","",IF($S1365="S",IF(INDEX(Firms!$I$5:$I$1004,$T1365)="","",INDEX(Firms!$I$5:$I$1004,$T1365)),IF(INDEX('AFA Rates'!$H$5:$H$1004,$T1365)="","",INDEX('AFA Rates'!$H$5:$H$1004,$T1365))))</f>
        <v/>
      </c>
      <c r="K1365" s="50">
        <f>IF($T1365="","",IF($S1365="S",IF(INDEX(Firms!$J$5:$J$1004,$T1365)="","",INDEX(Firms!$J$5:$J$1004,$T1365)),IF(INDEX('AFA Rates'!$I$5:$I$1004,$T1365)="","",INDEX('AFA Rates'!$I$5:$I$1004,$T1365))))</f>
        <v/>
      </c>
      <c r="L1365" s="50">
        <f>IF($T1365="","",IF($S1365="S",IF(INDEX(Firms!$K$5:$K$1004,$T1365)="","",INDEX(Firms!$K$5:$K$1004,$T1365)),IF(INDEX('AFA Rates'!$J$5:$J$1004,$T1365)="","",INDEX('AFA Rates'!$J$5:$J$1004,$T1365))))</f>
        <v/>
      </c>
      <c r="M1365" s="50">
        <f>IF($T1365="","",IF($S1365="S",IF(INDEX(Firms!$L$5:$L$1004,$T1365)="","",INDEX(Firms!$L$5:$L$1004,$T1365)),IF(INDEX('AFA Rates'!$K$5:$K$1004,$T1365)="","",INDEX('AFA Rates'!$K$5:$K$1004,$T1365))))</f>
        <v/>
      </c>
      <c r="N1365" s="50">
        <f>IF($T1365="","",IF($S1365="S",IF(INDEX(Firms!$M$5:$M$1004,$T1365)="","",INDEX(Firms!$M$5:$M$1004,$T1365)),IF(INDEX('AFA Rates'!$L$5:$L$1004,$T1365)="","",INDEX('AFA Rates'!$L$5:$L$1004,$T1365))))</f>
        <v/>
      </c>
      <c r="O1365" s="78">
        <f>IF(OR($T1365="",$U1365=""),"",IF(INDEX(Firms!$C$5:$C$1004,$U1365)="","",INDEX(Firms!$C$5:$C$1004,$U1365)))</f>
        <v/>
      </c>
      <c r="P1365" s="79">
        <f>IF(OR($T1365="",$U1365=""),"",IF(INDEX(Firms!$N$5:$N$1004,$U1365)="","",INDEX(Firms!$N$5:$N$1004,$U1365)))</f>
        <v/>
      </c>
      <c r="Q1365" s="78">
        <f>IF($T1365="","",IF($S1365="S",IF(INDEX(Firms!$T$5:$T$1004,$T1365)="","",INDEX(Firms!$T$5:$T$1004,$T1365)),IF(INDEX('AFA Rates'!$M$5:$M$1004,$T1365)="","",INDEX('AFA Rates'!$M$5:$M$1004,$T1365))))</f>
        <v/>
      </c>
      <c r="S1365">
        <f>IF(1361&lt;=$S$2,"S",IF(1361&lt;=$S$2+$T$2,"A",""))</f>
        <v/>
      </c>
      <c r="T1365">
        <f>IF(S1365="S",MATCH(1361,Firms!$W$5:$W$1004,0),IF(S1365="A",IFERROR(MATCH(1361-$S$2,'AFA Rates'!$R$5:$R$1004,0),""),""))</f>
        <v/>
      </c>
      <c r="U1365">
        <f>IF(S1365="S",T1365,IF(AND(S1365="A",T1365&lt;&gt;""),IFERROR(MATCH(INDEX('AFA Rates'!$A$5:$A$1004,T1365),Firms!$A$5:$A$1004,0),""),""))</f>
        <v/>
      </c>
    </row>
    <row r="1366">
      <c r="A1366" s="78">
        <f>IF($T1366="","",IF($S1366="S",IF(INDEX(Firms!$A$5:$A$1004,$T1366)="","",INDEX(Firms!$A$5:$A$1004,$T1366)),IF(INDEX('AFA Rates'!$A$5:$A$1004,$T1366)="","",INDEX('AFA Rates'!$A$5:$A$1004,$T1366))))</f>
        <v/>
      </c>
      <c r="B1366" s="79">
        <f>IF(OR($T1366="",$U1366=""),IF($T1366="","","Not on Firms tab"),INDEX(Firms!$B$5:$B$1004,$U1366)&amp;"")</f>
        <v/>
      </c>
      <c r="C1366" s="78">
        <f>IF($T1366="","",IF($S1366="S","Standard",INDEX('AFA Rates'!$B$5:$B$1004,$T1366)&amp;""))</f>
        <v/>
      </c>
      <c r="D1366" s="88">
        <f>IF($T1366="","",IF($S1366="S",IF(INDEX(Firms!$E$5:$E$1004,$T1366)="","",INDEX(Firms!$E$5:$E$1004,$T1366)),IF(INDEX('AFA Rates'!$C$5:$C$1004,$T1366)="","",INDEX('AFA Rates'!$C$5:$C$1004,$T1366))))</f>
        <v/>
      </c>
      <c r="E1366" s="88">
        <f>IF($T1366="","",IF($S1366="S",IF(""="","",""),IF(INDEX('AFA Rates'!$D$5:$D$1004,$T1366)="","",INDEX('AFA Rates'!$D$5:$D$1004,$T1366))))</f>
        <v/>
      </c>
      <c r="F1366" s="79">
        <f>IF($T1366="","",IF($S1366="S",IF(INDEX(Firms!$O$5:$O$1004,$T1366)="","",INDEX(Firms!$O$5:$O$1004,$T1366)),IF(INDEX('AFA Rates'!$O$5:$O$1004,$T1366)="","",INDEX('AFA Rates'!$O$5:$O$1004,$T1366))))</f>
        <v/>
      </c>
      <c r="G1366" s="50">
        <f>IF($T1366="","",IF($S1366="S",IF(INDEX(Firms!$F$5:$F$1004,$T1366)="","",INDEX(Firms!$F$5:$F$1004,$T1366)),IF(INDEX('AFA Rates'!$E$5:$E$1004,$T1366)="","",INDEX('AFA Rates'!$E$5:$E$1004,$T1366))))</f>
        <v/>
      </c>
      <c r="H1366" s="50">
        <f>IF($T1366="","",IF($S1366="S",IF(INDEX(Firms!$G$5:$G$1004,$T1366)="","",INDEX(Firms!$G$5:$G$1004,$T1366)),IF(INDEX('AFA Rates'!$F$5:$F$1004,$T1366)="","",INDEX('AFA Rates'!$F$5:$F$1004,$T1366))))</f>
        <v/>
      </c>
      <c r="I1366" s="50">
        <f>IF($T1366="","",IF($S1366="S",IF(INDEX(Firms!$H$5:$H$1004,$T1366)="","",INDEX(Firms!$H$5:$H$1004,$T1366)),IF(INDEX('AFA Rates'!$G$5:$G$1004,$T1366)="","",INDEX('AFA Rates'!$G$5:$G$1004,$T1366))))</f>
        <v/>
      </c>
      <c r="J1366" s="50">
        <f>IF($T1366="","",IF($S1366="S",IF(INDEX(Firms!$I$5:$I$1004,$T1366)="","",INDEX(Firms!$I$5:$I$1004,$T1366)),IF(INDEX('AFA Rates'!$H$5:$H$1004,$T1366)="","",INDEX('AFA Rates'!$H$5:$H$1004,$T1366))))</f>
        <v/>
      </c>
      <c r="K1366" s="50">
        <f>IF($T1366="","",IF($S1366="S",IF(INDEX(Firms!$J$5:$J$1004,$T1366)="","",INDEX(Firms!$J$5:$J$1004,$T1366)),IF(INDEX('AFA Rates'!$I$5:$I$1004,$T1366)="","",INDEX('AFA Rates'!$I$5:$I$1004,$T1366))))</f>
        <v/>
      </c>
      <c r="L1366" s="50">
        <f>IF($T1366="","",IF($S1366="S",IF(INDEX(Firms!$K$5:$K$1004,$T1366)="","",INDEX(Firms!$K$5:$K$1004,$T1366)),IF(INDEX('AFA Rates'!$J$5:$J$1004,$T1366)="","",INDEX('AFA Rates'!$J$5:$J$1004,$T1366))))</f>
        <v/>
      </c>
      <c r="M1366" s="50">
        <f>IF($T1366="","",IF($S1366="S",IF(INDEX(Firms!$L$5:$L$1004,$T1366)="","",INDEX(Firms!$L$5:$L$1004,$T1366)),IF(INDEX('AFA Rates'!$K$5:$K$1004,$T1366)="","",INDEX('AFA Rates'!$K$5:$K$1004,$T1366))))</f>
        <v/>
      </c>
      <c r="N1366" s="50">
        <f>IF($T1366="","",IF($S1366="S",IF(INDEX(Firms!$M$5:$M$1004,$T1366)="","",INDEX(Firms!$M$5:$M$1004,$T1366)),IF(INDEX('AFA Rates'!$L$5:$L$1004,$T1366)="","",INDEX('AFA Rates'!$L$5:$L$1004,$T1366))))</f>
        <v/>
      </c>
      <c r="O1366" s="78">
        <f>IF(OR($T1366="",$U1366=""),"",IF(INDEX(Firms!$C$5:$C$1004,$U1366)="","",INDEX(Firms!$C$5:$C$1004,$U1366)))</f>
        <v/>
      </c>
      <c r="P1366" s="79">
        <f>IF(OR($T1366="",$U1366=""),"",IF(INDEX(Firms!$N$5:$N$1004,$U1366)="","",INDEX(Firms!$N$5:$N$1004,$U1366)))</f>
        <v/>
      </c>
      <c r="Q1366" s="78">
        <f>IF($T1366="","",IF($S1366="S",IF(INDEX(Firms!$T$5:$T$1004,$T1366)="","",INDEX(Firms!$T$5:$T$1004,$T1366)),IF(INDEX('AFA Rates'!$M$5:$M$1004,$T1366)="","",INDEX('AFA Rates'!$M$5:$M$1004,$T1366))))</f>
        <v/>
      </c>
      <c r="S1366">
        <f>IF(1362&lt;=$S$2,"S",IF(1362&lt;=$S$2+$T$2,"A",""))</f>
        <v/>
      </c>
      <c r="T1366">
        <f>IF(S1366="S",MATCH(1362,Firms!$W$5:$W$1004,0),IF(S1366="A",IFERROR(MATCH(1362-$S$2,'AFA Rates'!$R$5:$R$1004,0),""),""))</f>
        <v/>
      </c>
      <c r="U1366">
        <f>IF(S1366="S",T1366,IF(AND(S1366="A",T1366&lt;&gt;""),IFERROR(MATCH(INDEX('AFA Rates'!$A$5:$A$1004,T1366),Firms!$A$5:$A$1004,0),""),""))</f>
        <v/>
      </c>
    </row>
    <row r="1367">
      <c r="A1367" s="78">
        <f>IF($T1367="","",IF($S1367="S",IF(INDEX(Firms!$A$5:$A$1004,$T1367)="","",INDEX(Firms!$A$5:$A$1004,$T1367)),IF(INDEX('AFA Rates'!$A$5:$A$1004,$T1367)="","",INDEX('AFA Rates'!$A$5:$A$1004,$T1367))))</f>
        <v/>
      </c>
      <c r="B1367" s="79">
        <f>IF(OR($T1367="",$U1367=""),IF($T1367="","","Not on Firms tab"),INDEX(Firms!$B$5:$B$1004,$U1367)&amp;"")</f>
        <v/>
      </c>
      <c r="C1367" s="78">
        <f>IF($T1367="","",IF($S1367="S","Standard",INDEX('AFA Rates'!$B$5:$B$1004,$T1367)&amp;""))</f>
        <v/>
      </c>
      <c r="D1367" s="88">
        <f>IF($T1367="","",IF($S1367="S",IF(INDEX(Firms!$E$5:$E$1004,$T1367)="","",INDEX(Firms!$E$5:$E$1004,$T1367)),IF(INDEX('AFA Rates'!$C$5:$C$1004,$T1367)="","",INDEX('AFA Rates'!$C$5:$C$1004,$T1367))))</f>
        <v/>
      </c>
      <c r="E1367" s="88">
        <f>IF($T1367="","",IF($S1367="S",IF(""="","",""),IF(INDEX('AFA Rates'!$D$5:$D$1004,$T1367)="","",INDEX('AFA Rates'!$D$5:$D$1004,$T1367))))</f>
        <v/>
      </c>
      <c r="F1367" s="79">
        <f>IF($T1367="","",IF($S1367="S",IF(INDEX(Firms!$O$5:$O$1004,$T1367)="","",INDEX(Firms!$O$5:$O$1004,$T1367)),IF(INDEX('AFA Rates'!$O$5:$O$1004,$T1367)="","",INDEX('AFA Rates'!$O$5:$O$1004,$T1367))))</f>
        <v/>
      </c>
      <c r="G1367" s="50">
        <f>IF($T1367="","",IF($S1367="S",IF(INDEX(Firms!$F$5:$F$1004,$T1367)="","",INDEX(Firms!$F$5:$F$1004,$T1367)),IF(INDEX('AFA Rates'!$E$5:$E$1004,$T1367)="","",INDEX('AFA Rates'!$E$5:$E$1004,$T1367))))</f>
        <v/>
      </c>
      <c r="H1367" s="50">
        <f>IF($T1367="","",IF($S1367="S",IF(INDEX(Firms!$G$5:$G$1004,$T1367)="","",INDEX(Firms!$G$5:$G$1004,$T1367)),IF(INDEX('AFA Rates'!$F$5:$F$1004,$T1367)="","",INDEX('AFA Rates'!$F$5:$F$1004,$T1367))))</f>
        <v/>
      </c>
      <c r="I1367" s="50">
        <f>IF($T1367="","",IF($S1367="S",IF(INDEX(Firms!$H$5:$H$1004,$T1367)="","",INDEX(Firms!$H$5:$H$1004,$T1367)),IF(INDEX('AFA Rates'!$G$5:$G$1004,$T1367)="","",INDEX('AFA Rates'!$G$5:$G$1004,$T1367))))</f>
        <v/>
      </c>
      <c r="J1367" s="50">
        <f>IF($T1367="","",IF($S1367="S",IF(INDEX(Firms!$I$5:$I$1004,$T1367)="","",INDEX(Firms!$I$5:$I$1004,$T1367)),IF(INDEX('AFA Rates'!$H$5:$H$1004,$T1367)="","",INDEX('AFA Rates'!$H$5:$H$1004,$T1367))))</f>
        <v/>
      </c>
      <c r="K1367" s="50">
        <f>IF($T1367="","",IF($S1367="S",IF(INDEX(Firms!$J$5:$J$1004,$T1367)="","",INDEX(Firms!$J$5:$J$1004,$T1367)),IF(INDEX('AFA Rates'!$I$5:$I$1004,$T1367)="","",INDEX('AFA Rates'!$I$5:$I$1004,$T1367))))</f>
        <v/>
      </c>
      <c r="L1367" s="50">
        <f>IF($T1367="","",IF($S1367="S",IF(INDEX(Firms!$K$5:$K$1004,$T1367)="","",INDEX(Firms!$K$5:$K$1004,$T1367)),IF(INDEX('AFA Rates'!$J$5:$J$1004,$T1367)="","",INDEX('AFA Rates'!$J$5:$J$1004,$T1367))))</f>
        <v/>
      </c>
      <c r="M1367" s="50">
        <f>IF($T1367="","",IF($S1367="S",IF(INDEX(Firms!$L$5:$L$1004,$T1367)="","",INDEX(Firms!$L$5:$L$1004,$T1367)),IF(INDEX('AFA Rates'!$K$5:$K$1004,$T1367)="","",INDEX('AFA Rates'!$K$5:$K$1004,$T1367))))</f>
        <v/>
      </c>
      <c r="N1367" s="50">
        <f>IF($T1367="","",IF($S1367="S",IF(INDEX(Firms!$M$5:$M$1004,$T1367)="","",INDEX(Firms!$M$5:$M$1004,$T1367)),IF(INDEX('AFA Rates'!$L$5:$L$1004,$T1367)="","",INDEX('AFA Rates'!$L$5:$L$1004,$T1367))))</f>
        <v/>
      </c>
      <c r="O1367" s="78">
        <f>IF(OR($T1367="",$U1367=""),"",IF(INDEX(Firms!$C$5:$C$1004,$U1367)="","",INDEX(Firms!$C$5:$C$1004,$U1367)))</f>
        <v/>
      </c>
      <c r="P1367" s="79">
        <f>IF(OR($T1367="",$U1367=""),"",IF(INDEX(Firms!$N$5:$N$1004,$U1367)="","",INDEX(Firms!$N$5:$N$1004,$U1367)))</f>
        <v/>
      </c>
      <c r="Q1367" s="78">
        <f>IF($T1367="","",IF($S1367="S",IF(INDEX(Firms!$T$5:$T$1004,$T1367)="","",INDEX(Firms!$T$5:$T$1004,$T1367)),IF(INDEX('AFA Rates'!$M$5:$M$1004,$T1367)="","",INDEX('AFA Rates'!$M$5:$M$1004,$T1367))))</f>
        <v/>
      </c>
      <c r="S1367">
        <f>IF(1363&lt;=$S$2,"S",IF(1363&lt;=$S$2+$T$2,"A",""))</f>
        <v/>
      </c>
      <c r="T1367">
        <f>IF(S1367="S",MATCH(1363,Firms!$W$5:$W$1004,0),IF(S1367="A",IFERROR(MATCH(1363-$S$2,'AFA Rates'!$R$5:$R$1004,0),""),""))</f>
        <v/>
      </c>
      <c r="U1367">
        <f>IF(S1367="S",T1367,IF(AND(S1367="A",T1367&lt;&gt;""),IFERROR(MATCH(INDEX('AFA Rates'!$A$5:$A$1004,T1367),Firms!$A$5:$A$1004,0),""),""))</f>
        <v/>
      </c>
    </row>
    <row r="1368">
      <c r="A1368" s="78">
        <f>IF($T1368="","",IF($S1368="S",IF(INDEX(Firms!$A$5:$A$1004,$T1368)="","",INDEX(Firms!$A$5:$A$1004,$T1368)),IF(INDEX('AFA Rates'!$A$5:$A$1004,$T1368)="","",INDEX('AFA Rates'!$A$5:$A$1004,$T1368))))</f>
        <v/>
      </c>
      <c r="B1368" s="79">
        <f>IF(OR($T1368="",$U1368=""),IF($T1368="","","Not on Firms tab"),INDEX(Firms!$B$5:$B$1004,$U1368)&amp;"")</f>
        <v/>
      </c>
      <c r="C1368" s="78">
        <f>IF($T1368="","",IF($S1368="S","Standard",INDEX('AFA Rates'!$B$5:$B$1004,$T1368)&amp;""))</f>
        <v/>
      </c>
      <c r="D1368" s="88">
        <f>IF($T1368="","",IF($S1368="S",IF(INDEX(Firms!$E$5:$E$1004,$T1368)="","",INDEX(Firms!$E$5:$E$1004,$T1368)),IF(INDEX('AFA Rates'!$C$5:$C$1004,$T1368)="","",INDEX('AFA Rates'!$C$5:$C$1004,$T1368))))</f>
        <v/>
      </c>
      <c r="E1368" s="88">
        <f>IF($T1368="","",IF($S1368="S",IF(""="","",""),IF(INDEX('AFA Rates'!$D$5:$D$1004,$T1368)="","",INDEX('AFA Rates'!$D$5:$D$1004,$T1368))))</f>
        <v/>
      </c>
      <c r="F1368" s="79">
        <f>IF($T1368="","",IF($S1368="S",IF(INDEX(Firms!$O$5:$O$1004,$T1368)="","",INDEX(Firms!$O$5:$O$1004,$T1368)),IF(INDEX('AFA Rates'!$O$5:$O$1004,$T1368)="","",INDEX('AFA Rates'!$O$5:$O$1004,$T1368))))</f>
        <v/>
      </c>
      <c r="G1368" s="50">
        <f>IF($T1368="","",IF($S1368="S",IF(INDEX(Firms!$F$5:$F$1004,$T1368)="","",INDEX(Firms!$F$5:$F$1004,$T1368)),IF(INDEX('AFA Rates'!$E$5:$E$1004,$T1368)="","",INDEX('AFA Rates'!$E$5:$E$1004,$T1368))))</f>
        <v/>
      </c>
      <c r="H1368" s="50">
        <f>IF($T1368="","",IF($S1368="S",IF(INDEX(Firms!$G$5:$G$1004,$T1368)="","",INDEX(Firms!$G$5:$G$1004,$T1368)),IF(INDEX('AFA Rates'!$F$5:$F$1004,$T1368)="","",INDEX('AFA Rates'!$F$5:$F$1004,$T1368))))</f>
        <v/>
      </c>
      <c r="I1368" s="50">
        <f>IF($T1368="","",IF($S1368="S",IF(INDEX(Firms!$H$5:$H$1004,$T1368)="","",INDEX(Firms!$H$5:$H$1004,$T1368)),IF(INDEX('AFA Rates'!$G$5:$G$1004,$T1368)="","",INDEX('AFA Rates'!$G$5:$G$1004,$T1368))))</f>
        <v/>
      </c>
      <c r="J1368" s="50">
        <f>IF($T1368="","",IF($S1368="S",IF(INDEX(Firms!$I$5:$I$1004,$T1368)="","",INDEX(Firms!$I$5:$I$1004,$T1368)),IF(INDEX('AFA Rates'!$H$5:$H$1004,$T1368)="","",INDEX('AFA Rates'!$H$5:$H$1004,$T1368))))</f>
        <v/>
      </c>
      <c r="K1368" s="50">
        <f>IF($T1368="","",IF($S1368="S",IF(INDEX(Firms!$J$5:$J$1004,$T1368)="","",INDEX(Firms!$J$5:$J$1004,$T1368)),IF(INDEX('AFA Rates'!$I$5:$I$1004,$T1368)="","",INDEX('AFA Rates'!$I$5:$I$1004,$T1368))))</f>
        <v/>
      </c>
      <c r="L1368" s="50">
        <f>IF($T1368="","",IF($S1368="S",IF(INDEX(Firms!$K$5:$K$1004,$T1368)="","",INDEX(Firms!$K$5:$K$1004,$T1368)),IF(INDEX('AFA Rates'!$J$5:$J$1004,$T1368)="","",INDEX('AFA Rates'!$J$5:$J$1004,$T1368))))</f>
        <v/>
      </c>
      <c r="M1368" s="50">
        <f>IF($T1368="","",IF($S1368="S",IF(INDEX(Firms!$L$5:$L$1004,$T1368)="","",INDEX(Firms!$L$5:$L$1004,$T1368)),IF(INDEX('AFA Rates'!$K$5:$K$1004,$T1368)="","",INDEX('AFA Rates'!$K$5:$K$1004,$T1368))))</f>
        <v/>
      </c>
      <c r="N1368" s="50">
        <f>IF($T1368="","",IF($S1368="S",IF(INDEX(Firms!$M$5:$M$1004,$T1368)="","",INDEX(Firms!$M$5:$M$1004,$T1368)),IF(INDEX('AFA Rates'!$L$5:$L$1004,$T1368)="","",INDEX('AFA Rates'!$L$5:$L$1004,$T1368))))</f>
        <v/>
      </c>
      <c r="O1368" s="78">
        <f>IF(OR($T1368="",$U1368=""),"",IF(INDEX(Firms!$C$5:$C$1004,$U1368)="","",INDEX(Firms!$C$5:$C$1004,$U1368)))</f>
        <v/>
      </c>
      <c r="P1368" s="79">
        <f>IF(OR($T1368="",$U1368=""),"",IF(INDEX(Firms!$N$5:$N$1004,$U1368)="","",INDEX(Firms!$N$5:$N$1004,$U1368)))</f>
        <v/>
      </c>
      <c r="Q1368" s="78">
        <f>IF($T1368="","",IF($S1368="S",IF(INDEX(Firms!$T$5:$T$1004,$T1368)="","",INDEX(Firms!$T$5:$T$1004,$T1368)),IF(INDEX('AFA Rates'!$M$5:$M$1004,$T1368)="","",INDEX('AFA Rates'!$M$5:$M$1004,$T1368))))</f>
        <v/>
      </c>
      <c r="S1368">
        <f>IF(1364&lt;=$S$2,"S",IF(1364&lt;=$S$2+$T$2,"A",""))</f>
        <v/>
      </c>
      <c r="T1368">
        <f>IF(S1368="S",MATCH(1364,Firms!$W$5:$W$1004,0),IF(S1368="A",IFERROR(MATCH(1364-$S$2,'AFA Rates'!$R$5:$R$1004,0),""),""))</f>
        <v/>
      </c>
      <c r="U1368">
        <f>IF(S1368="S",T1368,IF(AND(S1368="A",T1368&lt;&gt;""),IFERROR(MATCH(INDEX('AFA Rates'!$A$5:$A$1004,T1368),Firms!$A$5:$A$1004,0),""),""))</f>
        <v/>
      </c>
    </row>
    <row r="1369">
      <c r="A1369" s="78">
        <f>IF($T1369="","",IF($S1369="S",IF(INDEX(Firms!$A$5:$A$1004,$T1369)="","",INDEX(Firms!$A$5:$A$1004,$T1369)),IF(INDEX('AFA Rates'!$A$5:$A$1004,$T1369)="","",INDEX('AFA Rates'!$A$5:$A$1004,$T1369))))</f>
        <v/>
      </c>
      <c r="B1369" s="79">
        <f>IF(OR($T1369="",$U1369=""),IF($T1369="","","Not on Firms tab"),INDEX(Firms!$B$5:$B$1004,$U1369)&amp;"")</f>
        <v/>
      </c>
      <c r="C1369" s="78">
        <f>IF($T1369="","",IF($S1369="S","Standard",INDEX('AFA Rates'!$B$5:$B$1004,$T1369)&amp;""))</f>
        <v/>
      </c>
      <c r="D1369" s="88">
        <f>IF($T1369="","",IF($S1369="S",IF(INDEX(Firms!$E$5:$E$1004,$T1369)="","",INDEX(Firms!$E$5:$E$1004,$T1369)),IF(INDEX('AFA Rates'!$C$5:$C$1004,$T1369)="","",INDEX('AFA Rates'!$C$5:$C$1004,$T1369))))</f>
        <v/>
      </c>
      <c r="E1369" s="88">
        <f>IF($T1369="","",IF($S1369="S",IF(""="","",""),IF(INDEX('AFA Rates'!$D$5:$D$1004,$T1369)="","",INDEX('AFA Rates'!$D$5:$D$1004,$T1369))))</f>
        <v/>
      </c>
      <c r="F1369" s="79">
        <f>IF($T1369="","",IF($S1369="S",IF(INDEX(Firms!$O$5:$O$1004,$T1369)="","",INDEX(Firms!$O$5:$O$1004,$T1369)),IF(INDEX('AFA Rates'!$O$5:$O$1004,$T1369)="","",INDEX('AFA Rates'!$O$5:$O$1004,$T1369))))</f>
        <v/>
      </c>
      <c r="G1369" s="50">
        <f>IF($T1369="","",IF($S1369="S",IF(INDEX(Firms!$F$5:$F$1004,$T1369)="","",INDEX(Firms!$F$5:$F$1004,$T1369)),IF(INDEX('AFA Rates'!$E$5:$E$1004,$T1369)="","",INDEX('AFA Rates'!$E$5:$E$1004,$T1369))))</f>
        <v/>
      </c>
      <c r="H1369" s="50">
        <f>IF($T1369="","",IF($S1369="S",IF(INDEX(Firms!$G$5:$G$1004,$T1369)="","",INDEX(Firms!$G$5:$G$1004,$T1369)),IF(INDEX('AFA Rates'!$F$5:$F$1004,$T1369)="","",INDEX('AFA Rates'!$F$5:$F$1004,$T1369))))</f>
        <v/>
      </c>
      <c r="I1369" s="50">
        <f>IF($T1369="","",IF($S1369="S",IF(INDEX(Firms!$H$5:$H$1004,$T1369)="","",INDEX(Firms!$H$5:$H$1004,$T1369)),IF(INDEX('AFA Rates'!$G$5:$G$1004,$T1369)="","",INDEX('AFA Rates'!$G$5:$G$1004,$T1369))))</f>
        <v/>
      </c>
      <c r="J1369" s="50">
        <f>IF($T1369="","",IF($S1369="S",IF(INDEX(Firms!$I$5:$I$1004,$T1369)="","",INDEX(Firms!$I$5:$I$1004,$T1369)),IF(INDEX('AFA Rates'!$H$5:$H$1004,$T1369)="","",INDEX('AFA Rates'!$H$5:$H$1004,$T1369))))</f>
        <v/>
      </c>
      <c r="K1369" s="50">
        <f>IF($T1369="","",IF($S1369="S",IF(INDEX(Firms!$J$5:$J$1004,$T1369)="","",INDEX(Firms!$J$5:$J$1004,$T1369)),IF(INDEX('AFA Rates'!$I$5:$I$1004,$T1369)="","",INDEX('AFA Rates'!$I$5:$I$1004,$T1369))))</f>
        <v/>
      </c>
      <c r="L1369" s="50">
        <f>IF($T1369="","",IF($S1369="S",IF(INDEX(Firms!$K$5:$K$1004,$T1369)="","",INDEX(Firms!$K$5:$K$1004,$T1369)),IF(INDEX('AFA Rates'!$J$5:$J$1004,$T1369)="","",INDEX('AFA Rates'!$J$5:$J$1004,$T1369))))</f>
        <v/>
      </c>
      <c r="M1369" s="50">
        <f>IF($T1369="","",IF($S1369="S",IF(INDEX(Firms!$L$5:$L$1004,$T1369)="","",INDEX(Firms!$L$5:$L$1004,$T1369)),IF(INDEX('AFA Rates'!$K$5:$K$1004,$T1369)="","",INDEX('AFA Rates'!$K$5:$K$1004,$T1369))))</f>
        <v/>
      </c>
      <c r="N1369" s="50">
        <f>IF($T1369="","",IF($S1369="S",IF(INDEX(Firms!$M$5:$M$1004,$T1369)="","",INDEX(Firms!$M$5:$M$1004,$T1369)),IF(INDEX('AFA Rates'!$L$5:$L$1004,$T1369)="","",INDEX('AFA Rates'!$L$5:$L$1004,$T1369))))</f>
        <v/>
      </c>
      <c r="O1369" s="78">
        <f>IF(OR($T1369="",$U1369=""),"",IF(INDEX(Firms!$C$5:$C$1004,$U1369)="","",INDEX(Firms!$C$5:$C$1004,$U1369)))</f>
        <v/>
      </c>
      <c r="P1369" s="79">
        <f>IF(OR($T1369="",$U1369=""),"",IF(INDEX(Firms!$N$5:$N$1004,$U1369)="","",INDEX(Firms!$N$5:$N$1004,$U1369)))</f>
        <v/>
      </c>
      <c r="Q1369" s="78">
        <f>IF($T1369="","",IF($S1369="S",IF(INDEX(Firms!$T$5:$T$1004,$T1369)="","",INDEX(Firms!$T$5:$T$1004,$T1369)),IF(INDEX('AFA Rates'!$M$5:$M$1004,$T1369)="","",INDEX('AFA Rates'!$M$5:$M$1004,$T1369))))</f>
        <v/>
      </c>
      <c r="S1369">
        <f>IF(1365&lt;=$S$2,"S",IF(1365&lt;=$S$2+$T$2,"A",""))</f>
        <v/>
      </c>
      <c r="T1369">
        <f>IF(S1369="S",MATCH(1365,Firms!$W$5:$W$1004,0),IF(S1369="A",IFERROR(MATCH(1365-$S$2,'AFA Rates'!$R$5:$R$1004,0),""),""))</f>
        <v/>
      </c>
      <c r="U1369">
        <f>IF(S1369="S",T1369,IF(AND(S1369="A",T1369&lt;&gt;""),IFERROR(MATCH(INDEX('AFA Rates'!$A$5:$A$1004,T1369),Firms!$A$5:$A$1004,0),""),""))</f>
        <v/>
      </c>
    </row>
    <row r="1370">
      <c r="A1370" s="78">
        <f>IF($T1370="","",IF($S1370="S",IF(INDEX(Firms!$A$5:$A$1004,$T1370)="","",INDEX(Firms!$A$5:$A$1004,$T1370)),IF(INDEX('AFA Rates'!$A$5:$A$1004,$T1370)="","",INDEX('AFA Rates'!$A$5:$A$1004,$T1370))))</f>
        <v/>
      </c>
      <c r="B1370" s="79">
        <f>IF(OR($T1370="",$U1370=""),IF($T1370="","","Not on Firms tab"),INDEX(Firms!$B$5:$B$1004,$U1370)&amp;"")</f>
        <v/>
      </c>
      <c r="C1370" s="78">
        <f>IF($T1370="","",IF($S1370="S","Standard",INDEX('AFA Rates'!$B$5:$B$1004,$T1370)&amp;""))</f>
        <v/>
      </c>
      <c r="D1370" s="88">
        <f>IF($T1370="","",IF($S1370="S",IF(INDEX(Firms!$E$5:$E$1004,$T1370)="","",INDEX(Firms!$E$5:$E$1004,$T1370)),IF(INDEX('AFA Rates'!$C$5:$C$1004,$T1370)="","",INDEX('AFA Rates'!$C$5:$C$1004,$T1370))))</f>
        <v/>
      </c>
      <c r="E1370" s="88">
        <f>IF($T1370="","",IF($S1370="S",IF(""="","",""),IF(INDEX('AFA Rates'!$D$5:$D$1004,$T1370)="","",INDEX('AFA Rates'!$D$5:$D$1004,$T1370))))</f>
        <v/>
      </c>
      <c r="F1370" s="79">
        <f>IF($T1370="","",IF($S1370="S",IF(INDEX(Firms!$O$5:$O$1004,$T1370)="","",INDEX(Firms!$O$5:$O$1004,$T1370)),IF(INDEX('AFA Rates'!$O$5:$O$1004,$T1370)="","",INDEX('AFA Rates'!$O$5:$O$1004,$T1370))))</f>
        <v/>
      </c>
      <c r="G1370" s="50">
        <f>IF($T1370="","",IF($S1370="S",IF(INDEX(Firms!$F$5:$F$1004,$T1370)="","",INDEX(Firms!$F$5:$F$1004,$T1370)),IF(INDEX('AFA Rates'!$E$5:$E$1004,$T1370)="","",INDEX('AFA Rates'!$E$5:$E$1004,$T1370))))</f>
        <v/>
      </c>
      <c r="H1370" s="50">
        <f>IF($T1370="","",IF($S1370="S",IF(INDEX(Firms!$G$5:$G$1004,$T1370)="","",INDEX(Firms!$G$5:$G$1004,$T1370)),IF(INDEX('AFA Rates'!$F$5:$F$1004,$T1370)="","",INDEX('AFA Rates'!$F$5:$F$1004,$T1370))))</f>
        <v/>
      </c>
      <c r="I1370" s="50">
        <f>IF($T1370="","",IF($S1370="S",IF(INDEX(Firms!$H$5:$H$1004,$T1370)="","",INDEX(Firms!$H$5:$H$1004,$T1370)),IF(INDEX('AFA Rates'!$G$5:$G$1004,$T1370)="","",INDEX('AFA Rates'!$G$5:$G$1004,$T1370))))</f>
        <v/>
      </c>
      <c r="J1370" s="50">
        <f>IF($T1370="","",IF($S1370="S",IF(INDEX(Firms!$I$5:$I$1004,$T1370)="","",INDEX(Firms!$I$5:$I$1004,$T1370)),IF(INDEX('AFA Rates'!$H$5:$H$1004,$T1370)="","",INDEX('AFA Rates'!$H$5:$H$1004,$T1370))))</f>
        <v/>
      </c>
      <c r="K1370" s="50">
        <f>IF($T1370="","",IF($S1370="S",IF(INDEX(Firms!$J$5:$J$1004,$T1370)="","",INDEX(Firms!$J$5:$J$1004,$T1370)),IF(INDEX('AFA Rates'!$I$5:$I$1004,$T1370)="","",INDEX('AFA Rates'!$I$5:$I$1004,$T1370))))</f>
        <v/>
      </c>
      <c r="L1370" s="50">
        <f>IF($T1370="","",IF($S1370="S",IF(INDEX(Firms!$K$5:$K$1004,$T1370)="","",INDEX(Firms!$K$5:$K$1004,$T1370)),IF(INDEX('AFA Rates'!$J$5:$J$1004,$T1370)="","",INDEX('AFA Rates'!$J$5:$J$1004,$T1370))))</f>
        <v/>
      </c>
      <c r="M1370" s="50">
        <f>IF($T1370="","",IF($S1370="S",IF(INDEX(Firms!$L$5:$L$1004,$T1370)="","",INDEX(Firms!$L$5:$L$1004,$T1370)),IF(INDEX('AFA Rates'!$K$5:$K$1004,$T1370)="","",INDEX('AFA Rates'!$K$5:$K$1004,$T1370))))</f>
        <v/>
      </c>
      <c r="N1370" s="50">
        <f>IF($T1370="","",IF($S1370="S",IF(INDEX(Firms!$M$5:$M$1004,$T1370)="","",INDEX(Firms!$M$5:$M$1004,$T1370)),IF(INDEX('AFA Rates'!$L$5:$L$1004,$T1370)="","",INDEX('AFA Rates'!$L$5:$L$1004,$T1370))))</f>
        <v/>
      </c>
      <c r="O1370" s="78">
        <f>IF(OR($T1370="",$U1370=""),"",IF(INDEX(Firms!$C$5:$C$1004,$U1370)="","",INDEX(Firms!$C$5:$C$1004,$U1370)))</f>
        <v/>
      </c>
      <c r="P1370" s="79">
        <f>IF(OR($T1370="",$U1370=""),"",IF(INDEX(Firms!$N$5:$N$1004,$U1370)="","",INDEX(Firms!$N$5:$N$1004,$U1370)))</f>
        <v/>
      </c>
      <c r="Q1370" s="78">
        <f>IF($T1370="","",IF($S1370="S",IF(INDEX(Firms!$T$5:$T$1004,$T1370)="","",INDEX(Firms!$T$5:$T$1004,$T1370)),IF(INDEX('AFA Rates'!$M$5:$M$1004,$T1370)="","",INDEX('AFA Rates'!$M$5:$M$1004,$T1370))))</f>
        <v/>
      </c>
      <c r="S1370">
        <f>IF(1366&lt;=$S$2,"S",IF(1366&lt;=$S$2+$T$2,"A",""))</f>
        <v/>
      </c>
      <c r="T1370">
        <f>IF(S1370="S",MATCH(1366,Firms!$W$5:$W$1004,0),IF(S1370="A",IFERROR(MATCH(1366-$S$2,'AFA Rates'!$R$5:$R$1004,0),""),""))</f>
        <v/>
      </c>
      <c r="U1370">
        <f>IF(S1370="S",T1370,IF(AND(S1370="A",T1370&lt;&gt;""),IFERROR(MATCH(INDEX('AFA Rates'!$A$5:$A$1004,T1370),Firms!$A$5:$A$1004,0),""),""))</f>
        <v/>
      </c>
    </row>
    <row r="1371">
      <c r="A1371" s="78">
        <f>IF($T1371="","",IF($S1371="S",IF(INDEX(Firms!$A$5:$A$1004,$T1371)="","",INDEX(Firms!$A$5:$A$1004,$T1371)),IF(INDEX('AFA Rates'!$A$5:$A$1004,$T1371)="","",INDEX('AFA Rates'!$A$5:$A$1004,$T1371))))</f>
        <v/>
      </c>
      <c r="B1371" s="79">
        <f>IF(OR($T1371="",$U1371=""),IF($T1371="","","Not on Firms tab"),INDEX(Firms!$B$5:$B$1004,$U1371)&amp;"")</f>
        <v/>
      </c>
      <c r="C1371" s="78">
        <f>IF($T1371="","",IF($S1371="S","Standard",INDEX('AFA Rates'!$B$5:$B$1004,$T1371)&amp;""))</f>
        <v/>
      </c>
      <c r="D1371" s="88">
        <f>IF($T1371="","",IF($S1371="S",IF(INDEX(Firms!$E$5:$E$1004,$T1371)="","",INDEX(Firms!$E$5:$E$1004,$T1371)),IF(INDEX('AFA Rates'!$C$5:$C$1004,$T1371)="","",INDEX('AFA Rates'!$C$5:$C$1004,$T1371))))</f>
        <v/>
      </c>
      <c r="E1371" s="88">
        <f>IF($T1371="","",IF($S1371="S",IF(""="","",""),IF(INDEX('AFA Rates'!$D$5:$D$1004,$T1371)="","",INDEX('AFA Rates'!$D$5:$D$1004,$T1371))))</f>
        <v/>
      </c>
      <c r="F1371" s="79">
        <f>IF($T1371="","",IF($S1371="S",IF(INDEX(Firms!$O$5:$O$1004,$T1371)="","",INDEX(Firms!$O$5:$O$1004,$T1371)),IF(INDEX('AFA Rates'!$O$5:$O$1004,$T1371)="","",INDEX('AFA Rates'!$O$5:$O$1004,$T1371))))</f>
        <v/>
      </c>
      <c r="G1371" s="50">
        <f>IF($T1371="","",IF($S1371="S",IF(INDEX(Firms!$F$5:$F$1004,$T1371)="","",INDEX(Firms!$F$5:$F$1004,$T1371)),IF(INDEX('AFA Rates'!$E$5:$E$1004,$T1371)="","",INDEX('AFA Rates'!$E$5:$E$1004,$T1371))))</f>
        <v/>
      </c>
      <c r="H1371" s="50">
        <f>IF($T1371="","",IF($S1371="S",IF(INDEX(Firms!$G$5:$G$1004,$T1371)="","",INDEX(Firms!$G$5:$G$1004,$T1371)),IF(INDEX('AFA Rates'!$F$5:$F$1004,$T1371)="","",INDEX('AFA Rates'!$F$5:$F$1004,$T1371))))</f>
        <v/>
      </c>
      <c r="I1371" s="50">
        <f>IF($T1371="","",IF($S1371="S",IF(INDEX(Firms!$H$5:$H$1004,$T1371)="","",INDEX(Firms!$H$5:$H$1004,$T1371)),IF(INDEX('AFA Rates'!$G$5:$G$1004,$T1371)="","",INDEX('AFA Rates'!$G$5:$G$1004,$T1371))))</f>
        <v/>
      </c>
      <c r="J1371" s="50">
        <f>IF($T1371="","",IF($S1371="S",IF(INDEX(Firms!$I$5:$I$1004,$T1371)="","",INDEX(Firms!$I$5:$I$1004,$T1371)),IF(INDEX('AFA Rates'!$H$5:$H$1004,$T1371)="","",INDEX('AFA Rates'!$H$5:$H$1004,$T1371))))</f>
        <v/>
      </c>
      <c r="K1371" s="50">
        <f>IF($T1371="","",IF($S1371="S",IF(INDEX(Firms!$J$5:$J$1004,$T1371)="","",INDEX(Firms!$J$5:$J$1004,$T1371)),IF(INDEX('AFA Rates'!$I$5:$I$1004,$T1371)="","",INDEX('AFA Rates'!$I$5:$I$1004,$T1371))))</f>
        <v/>
      </c>
      <c r="L1371" s="50">
        <f>IF($T1371="","",IF($S1371="S",IF(INDEX(Firms!$K$5:$K$1004,$T1371)="","",INDEX(Firms!$K$5:$K$1004,$T1371)),IF(INDEX('AFA Rates'!$J$5:$J$1004,$T1371)="","",INDEX('AFA Rates'!$J$5:$J$1004,$T1371))))</f>
        <v/>
      </c>
      <c r="M1371" s="50">
        <f>IF($T1371="","",IF($S1371="S",IF(INDEX(Firms!$L$5:$L$1004,$T1371)="","",INDEX(Firms!$L$5:$L$1004,$T1371)),IF(INDEX('AFA Rates'!$K$5:$K$1004,$T1371)="","",INDEX('AFA Rates'!$K$5:$K$1004,$T1371))))</f>
        <v/>
      </c>
      <c r="N1371" s="50">
        <f>IF($T1371="","",IF($S1371="S",IF(INDEX(Firms!$M$5:$M$1004,$T1371)="","",INDEX(Firms!$M$5:$M$1004,$T1371)),IF(INDEX('AFA Rates'!$L$5:$L$1004,$T1371)="","",INDEX('AFA Rates'!$L$5:$L$1004,$T1371))))</f>
        <v/>
      </c>
      <c r="O1371" s="78">
        <f>IF(OR($T1371="",$U1371=""),"",IF(INDEX(Firms!$C$5:$C$1004,$U1371)="","",INDEX(Firms!$C$5:$C$1004,$U1371)))</f>
        <v/>
      </c>
      <c r="P1371" s="79">
        <f>IF(OR($T1371="",$U1371=""),"",IF(INDEX(Firms!$N$5:$N$1004,$U1371)="","",INDEX(Firms!$N$5:$N$1004,$U1371)))</f>
        <v/>
      </c>
      <c r="Q1371" s="78">
        <f>IF($T1371="","",IF($S1371="S",IF(INDEX(Firms!$T$5:$T$1004,$T1371)="","",INDEX(Firms!$T$5:$T$1004,$T1371)),IF(INDEX('AFA Rates'!$M$5:$M$1004,$T1371)="","",INDEX('AFA Rates'!$M$5:$M$1004,$T1371))))</f>
        <v/>
      </c>
      <c r="S1371">
        <f>IF(1367&lt;=$S$2,"S",IF(1367&lt;=$S$2+$T$2,"A",""))</f>
        <v/>
      </c>
      <c r="T1371">
        <f>IF(S1371="S",MATCH(1367,Firms!$W$5:$W$1004,0),IF(S1371="A",IFERROR(MATCH(1367-$S$2,'AFA Rates'!$R$5:$R$1004,0),""),""))</f>
        <v/>
      </c>
      <c r="U1371">
        <f>IF(S1371="S",T1371,IF(AND(S1371="A",T1371&lt;&gt;""),IFERROR(MATCH(INDEX('AFA Rates'!$A$5:$A$1004,T1371),Firms!$A$5:$A$1004,0),""),""))</f>
        <v/>
      </c>
    </row>
    <row r="1372">
      <c r="A1372" s="78">
        <f>IF($T1372="","",IF($S1372="S",IF(INDEX(Firms!$A$5:$A$1004,$T1372)="","",INDEX(Firms!$A$5:$A$1004,$T1372)),IF(INDEX('AFA Rates'!$A$5:$A$1004,$T1372)="","",INDEX('AFA Rates'!$A$5:$A$1004,$T1372))))</f>
        <v/>
      </c>
      <c r="B1372" s="79">
        <f>IF(OR($T1372="",$U1372=""),IF($T1372="","","Not on Firms tab"),INDEX(Firms!$B$5:$B$1004,$U1372)&amp;"")</f>
        <v/>
      </c>
      <c r="C1372" s="78">
        <f>IF($T1372="","",IF($S1372="S","Standard",INDEX('AFA Rates'!$B$5:$B$1004,$T1372)&amp;""))</f>
        <v/>
      </c>
      <c r="D1372" s="88">
        <f>IF($T1372="","",IF($S1372="S",IF(INDEX(Firms!$E$5:$E$1004,$T1372)="","",INDEX(Firms!$E$5:$E$1004,$T1372)),IF(INDEX('AFA Rates'!$C$5:$C$1004,$T1372)="","",INDEX('AFA Rates'!$C$5:$C$1004,$T1372))))</f>
        <v/>
      </c>
      <c r="E1372" s="88">
        <f>IF($T1372="","",IF($S1372="S",IF(""="","",""),IF(INDEX('AFA Rates'!$D$5:$D$1004,$T1372)="","",INDEX('AFA Rates'!$D$5:$D$1004,$T1372))))</f>
        <v/>
      </c>
      <c r="F1372" s="79">
        <f>IF($T1372="","",IF($S1372="S",IF(INDEX(Firms!$O$5:$O$1004,$T1372)="","",INDEX(Firms!$O$5:$O$1004,$T1372)),IF(INDEX('AFA Rates'!$O$5:$O$1004,$T1372)="","",INDEX('AFA Rates'!$O$5:$O$1004,$T1372))))</f>
        <v/>
      </c>
      <c r="G1372" s="50">
        <f>IF($T1372="","",IF($S1372="S",IF(INDEX(Firms!$F$5:$F$1004,$T1372)="","",INDEX(Firms!$F$5:$F$1004,$T1372)),IF(INDEX('AFA Rates'!$E$5:$E$1004,$T1372)="","",INDEX('AFA Rates'!$E$5:$E$1004,$T1372))))</f>
        <v/>
      </c>
      <c r="H1372" s="50">
        <f>IF($T1372="","",IF($S1372="S",IF(INDEX(Firms!$G$5:$G$1004,$T1372)="","",INDEX(Firms!$G$5:$G$1004,$T1372)),IF(INDEX('AFA Rates'!$F$5:$F$1004,$T1372)="","",INDEX('AFA Rates'!$F$5:$F$1004,$T1372))))</f>
        <v/>
      </c>
      <c r="I1372" s="50">
        <f>IF($T1372="","",IF($S1372="S",IF(INDEX(Firms!$H$5:$H$1004,$T1372)="","",INDEX(Firms!$H$5:$H$1004,$T1372)),IF(INDEX('AFA Rates'!$G$5:$G$1004,$T1372)="","",INDEX('AFA Rates'!$G$5:$G$1004,$T1372))))</f>
        <v/>
      </c>
      <c r="J1372" s="50">
        <f>IF($T1372="","",IF($S1372="S",IF(INDEX(Firms!$I$5:$I$1004,$T1372)="","",INDEX(Firms!$I$5:$I$1004,$T1372)),IF(INDEX('AFA Rates'!$H$5:$H$1004,$T1372)="","",INDEX('AFA Rates'!$H$5:$H$1004,$T1372))))</f>
        <v/>
      </c>
      <c r="K1372" s="50">
        <f>IF($T1372="","",IF($S1372="S",IF(INDEX(Firms!$J$5:$J$1004,$T1372)="","",INDEX(Firms!$J$5:$J$1004,$T1372)),IF(INDEX('AFA Rates'!$I$5:$I$1004,$T1372)="","",INDEX('AFA Rates'!$I$5:$I$1004,$T1372))))</f>
        <v/>
      </c>
      <c r="L1372" s="50">
        <f>IF($T1372="","",IF($S1372="S",IF(INDEX(Firms!$K$5:$K$1004,$T1372)="","",INDEX(Firms!$K$5:$K$1004,$T1372)),IF(INDEX('AFA Rates'!$J$5:$J$1004,$T1372)="","",INDEX('AFA Rates'!$J$5:$J$1004,$T1372))))</f>
        <v/>
      </c>
      <c r="M1372" s="50">
        <f>IF($T1372="","",IF($S1372="S",IF(INDEX(Firms!$L$5:$L$1004,$T1372)="","",INDEX(Firms!$L$5:$L$1004,$T1372)),IF(INDEX('AFA Rates'!$K$5:$K$1004,$T1372)="","",INDEX('AFA Rates'!$K$5:$K$1004,$T1372))))</f>
        <v/>
      </c>
      <c r="N1372" s="50">
        <f>IF($T1372="","",IF($S1372="S",IF(INDEX(Firms!$M$5:$M$1004,$T1372)="","",INDEX(Firms!$M$5:$M$1004,$T1372)),IF(INDEX('AFA Rates'!$L$5:$L$1004,$T1372)="","",INDEX('AFA Rates'!$L$5:$L$1004,$T1372))))</f>
        <v/>
      </c>
      <c r="O1372" s="78">
        <f>IF(OR($T1372="",$U1372=""),"",IF(INDEX(Firms!$C$5:$C$1004,$U1372)="","",INDEX(Firms!$C$5:$C$1004,$U1372)))</f>
        <v/>
      </c>
      <c r="P1372" s="79">
        <f>IF(OR($T1372="",$U1372=""),"",IF(INDEX(Firms!$N$5:$N$1004,$U1372)="","",INDEX(Firms!$N$5:$N$1004,$U1372)))</f>
        <v/>
      </c>
      <c r="Q1372" s="78">
        <f>IF($T1372="","",IF($S1372="S",IF(INDEX(Firms!$T$5:$T$1004,$T1372)="","",INDEX(Firms!$T$5:$T$1004,$T1372)),IF(INDEX('AFA Rates'!$M$5:$M$1004,$T1372)="","",INDEX('AFA Rates'!$M$5:$M$1004,$T1372))))</f>
        <v/>
      </c>
      <c r="S1372">
        <f>IF(1368&lt;=$S$2,"S",IF(1368&lt;=$S$2+$T$2,"A",""))</f>
        <v/>
      </c>
      <c r="T1372">
        <f>IF(S1372="S",MATCH(1368,Firms!$W$5:$W$1004,0),IF(S1372="A",IFERROR(MATCH(1368-$S$2,'AFA Rates'!$R$5:$R$1004,0),""),""))</f>
        <v/>
      </c>
      <c r="U1372">
        <f>IF(S1372="S",T1372,IF(AND(S1372="A",T1372&lt;&gt;""),IFERROR(MATCH(INDEX('AFA Rates'!$A$5:$A$1004,T1372),Firms!$A$5:$A$1004,0),""),""))</f>
        <v/>
      </c>
    </row>
    <row r="1373">
      <c r="A1373" s="78">
        <f>IF($T1373="","",IF($S1373="S",IF(INDEX(Firms!$A$5:$A$1004,$T1373)="","",INDEX(Firms!$A$5:$A$1004,$T1373)),IF(INDEX('AFA Rates'!$A$5:$A$1004,$T1373)="","",INDEX('AFA Rates'!$A$5:$A$1004,$T1373))))</f>
        <v/>
      </c>
      <c r="B1373" s="79">
        <f>IF(OR($T1373="",$U1373=""),IF($T1373="","","Not on Firms tab"),INDEX(Firms!$B$5:$B$1004,$U1373)&amp;"")</f>
        <v/>
      </c>
      <c r="C1373" s="78">
        <f>IF($T1373="","",IF($S1373="S","Standard",INDEX('AFA Rates'!$B$5:$B$1004,$T1373)&amp;""))</f>
        <v/>
      </c>
      <c r="D1373" s="88">
        <f>IF($T1373="","",IF($S1373="S",IF(INDEX(Firms!$E$5:$E$1004,$T1373)="","",INDEX(Firms!$E$5:$E$1004,$T1373)),IF(INDEX('AFA Rates'!$C$5:$C$1004,$T1373)="","",INDEX('AFA Rates'!$C$5:$C$1004,$T1373))))</f>
        <v/>
      </c>
      <c r="E1373" s="88">
        <f>IF($T1373="","",IF($S1373="S",IF(""="","",""),IF(INDEX('AFA Rates'!$D$5:$D$1004,$T1373)="","",INDEX('AFA Rates'!$D$5:$D$1004,$T1373))))</f>
        <v/>
      </c>
      <c r="F1373" s="79">
        <f>IF($T1373="","",IF($S1373="S",IF(INDEX(Firms!$O$5:$O$1004,$T1373)="","",INDEX(Firms!$O$5:$O$1004,$T1373)),IF(INDEX('AFA Rates'!$O$5:$O$1004,$T1373)="","",INDEX('AFA Rates'!$O$5:$O$1004,$T1373))))</f>
        <v/>
      </c>
      <c r="G1373" s="50">
        <f>IF($T1373="","",IF($S1373="S",IF(INDEX(Firms!$F$5:$F$1004,$T1373)="","",INDEX(Firms!$F$5:$F$1004,$T1373)),IF(INDEX('AFA Rates'!$E$5:$E$1004,$T1373)="","",INDEX('AFA Rates'!$E$5:$E$1004,$T1373))))</f>
        <v/>
      </c>
      <c r="H1373" s="50">
        <f>IF($T1373="","",IF($S1373="S",IF(INDEX(Firms!$G$5:$G$1004,$T1373)="","",INDEX(Firms!$G$5:$G$1004,$T1373)),IF(INDEX('AFA Rates'!$F$5:$F$1004,$T1373)="","",INDEX('AFA Rates'!$F$5:$F$1004,$T1373))))</f>
        <v/>
      </c>
      <c r="I1373" s="50">
        <f>IF($T1373="","",IF($S1373="S",IF(INDEX(Firms!$H$5:$H$1004,$T1373)="","",INDEX(Firms!$H$5:$H$1004,$T1373)),IF(INDEX('AFA Rates'!$G$5:$G$1004,$T1373)="","",INDEX('AFA Rates'!$G$5:$G$1004,$T1373))))</f>
        <v/>
      </c>
      <c r="J1373" s="50">
        <f>IF($T1373="","",IF($S1373="S",IF(INDEX(Firms!$I$5:$I$1004,$T1373)="","",INDEX(Firms!$I$5:$I$1004,$T1373)),IF(INDEX('AFA Rates'!$H$5:$H$1004,$T1373)="","",INDEX('AFA Rates'!$H$5:$H$1004,$T1373))))</f>
        <v/>
      </c>
      <c r="K1373" s="50">
        <f>IF($T1373="","",IF($S1373="S",IF(INDEX(Firms!$J$5:$J$1004,$T1373)="","",INDEX(Firms!$J$5:$J$1004,$T1373)),IF(INDEX('AFA Rates'!$I$5:$I$1004,$T1373)="","",INDEX('AFA Rates'!$I$5:$I$1004,$T1373))))</f>
        <v/>
      </c>
      <c r="L1373" s="50">
        <f>IF($T1373="","",IF($S1373="S",IF(INDEX(Firms!$K$5:$K$1004,$T1373)="","",INDEX(Firms!$K$5:$K$1004,$T1373)),IF(INDEX('AFA Rates'!$J$5:$J$1004,$T1373)="","",INDEX('AFA Rates'!$J$5:$J$1004,$T1373))))</f>
        <v/>
      </c>
      <c r="M1373" s="50">
        <f>IF($T1373="","",IF($S1373="S",IF(INDEX(Firms!$L$5:$L$1004,$T1373)="","",INDEX(Firms!$L$5:$L$1004,$T1373)),IF(INDEX('AFA Rates'!$K$5:$K$1004,$T1373)="","",INDEX('AFA Rates'!$K$5:$K$1004,$T1373))))</f>
        <v/>
      </c>
      <c r="N1373" s="50">
        <f>IF($T1373="","",IF($S1373="S",IF(INDEX(Firms!$M$5:$M$1004,$T1373)="","",INDEX(Firms!$M$5:$M$1004,$T1373)),IF(INDEX('AFA Rates'!$L$5:$L$1004,$T1373)="","",INDEX('AFA Rates'!$L$5:$L$1004,$T1373))))</f>
        <v/>
      </c>
      <c r="O1373" s="78">
        <f>IF(OR($T1373="",$U1373=""),"",IF(INDEX(Firms!$C$5:$C$1004,$U1373)="","",INDEX(Firms!$C$5:$C$1004,$U1373)))</f>
        <v/>
      </c>
      <c r="P1373" s="79">
        <f>IF(OR($T1373="",$U1373=""),"",IF(INDEX(Firms!$N$5:$N$1004,$U1373)="","",INDEX(Firms!$N$5:$N$1004,$U1373)))</f>
        <v/>
      </c>
      <c r="Q1373" s="78">
        <f>IF($T1373="","",IF($S1373="S",IF(INDEX(Firms!$T$5:$T$1004,$T1373)="","",INDEX(Firms!$T$5:$T$1004,$T1373)),IF(INDEX('AFA Rates'!$M$5:$M$1004,$T1373)="","",INDEX('AFA Rates'!$M$5:$M$1004,$T1373))))</f>
        <v/>
      </c>
      <c r="S1373">
        <f>IF(1369&lt;=$S$2,"S",IF(1369&lt;=$S$2+$T$2,"A",""))</f>
        <v/>
      </c>
      <c r="T1373">
        <f>IF(S1373="S",MATCH(1369,Firms!$W$5:$W$1004,0),IF(S1373="A",IFERROR(MATCH(1369-$S$2,'AFA Rates'!$R$5:$R$1004,0),""),""))</f>
        <v/>
      </c>
      <c r="U1373">
        <f>IF(S1373="S",T1373,IF(AND(S1373="A",T1373&lt;&gt;""),IFERROR(MATCH(INDEX('AFA Rates'!$A$5:$A$1004,T1373),Firms!$A$5:$A$1004,0),""),""))</f>
        <v/>
      </c>
    </row>
    <row r="1374">
      <c r="A1374" s="78">
        <f>IF($T1374="","",IF($S1374="S",IF(INDEX(Firms!$A$5:$A$1004,$T1374)="","",INDEX(Firms!$A$5:$A$1004,$T1374)),IF(INDEX('AFA Rates'!$A$5:$A$1004,$T1374)="","",INDEX('AFA Rates'!$A$5:$A$1004,$T1374))))</f>
        <v/>
      </c>
      <c r="B1374" s="79">
        <f>IF(OR($T1374="",$U1374=""),IF($T1374="","","Not on Firms tab"),INDEX(Firms!$B$5:$B$1004,$U1374)&amp;"")</f>
        <v/>
      </c>
      <c r="C1374" s="78">
        <f>IF($T1374="","",IF($S1374="S","Standard",INDEX('AFA Rates'!$B$5:$B$1004,$T1374)&amp;""))</f>
        <v/>
      </c>
      <c r="D1374" s="88">
        <f>IF($T1374="","",IF($S1374="S",IF(INDEX(Firms!$E$5:$E$1004,$T1374)="","",INDEX(Firms!$E$5:$E$1004,$T1374)),IF(INDEX('AFA Rates'!$C$5:$C$1004,$T1374)="","",INDEX('AFA Rates'!$C$5:$C$1004,$T1374))))</f>
        <v/>
      </c>
      <c r="E1374" s="88">
        <f>IF($T1374="","",IF($S1374="S",IF(""="","",""),IF(INDEX('AFA Rates'!$D$5:$D$1004,$T1374)="","",INDEX('AFA Rates'!$D$5:$D$1004,$T1374))))</f>
        <v/>
      </c>
      <c r="F1374" s="79">
        <f>IF($T1374="","",IF($S1374="S",IF(INDEX(Firms!$O$5:$O$1004,$T1374)="","",INDEX(Firms!$O$5:$O$1004,$T1374)),IF(INDEX('AFA Rates'!$O$5:$O$1004,$T1374)="","",INDEX('AFA Rates'!$O$5:$O$1004,$T1374))))</f>
        <v/>
      </c>
      <c r="G1374" s="50">
        <f>IF($T1374="","",IF($S1374="S",IF(INDEX(Firms!$F$5:$F$1004,$T1374)="","",INDEX(Firms!$F$5:$F$1004,$T1374)),IF(INDEX('AFA Rates'!$E$5:$E$1004,$T1374)="","",INDEX('AFA Rates'!$E$5:$E$1004,$T1374))))</f>
        <v/>
      </c>
      <c r="H1374" s="50">
        <f>IF($T1374="","",IF($S1374="S",IF(INDEX(Firms!$G$5:$G$1004,$T1374)="","",INDEX(Firms!$G$5:$G$1004,$T1374)),IF(INDEX('AFA Rates'!$F$5:$F$1004,$T1374)="","",INDEX('AFA Rates'!$F$5:$F$1004,$T1374))))</f>
        <v/>
      </c>
      <c r="I1374" s="50">
        <f>IF($T1374="","",IF($S1374="S",IF(INDEX(Firms!$H$5:$H$1004,$T1374)="","",INDEX(Firms!$H$5:$H$1004,$T1374)),IF(INDEX('AFA Rates'!$G$5:$G$1004,$T1374)="","",INDEX('AFA Rates'!$G$5:$G$1004,$T1374))))</f>
        <v/>
      </c>
      <c r="J1374" s="50">
        <f>IF($T1374="","",IF($S1374="S",IF(INDEX(Firms!$I$5:$I$1004,$T1374)="","",INDEX(Firms!$I$5:$I$1004,$T1374)),IF(INDEX('AFA Rates'!$H$5:$H$1004,$T1374)="","",INDEX('AFA Rates'!$H$5:$H$1004,$T1374))))</f>
        <v/>
      </c>
      <c r="K1374" s="50">
        <f>IF($T1374="","",IF($S1374="S",IF(INDEX(Firms!$J$5:$J$1004,$T1374)="","",INDEX(Firms!$J$5:$J$1004,$T1374)),IF(INDEX('AFA Rates'!$I$5:$I$1004,$T1374)="","",INDEX('AFA Rates'!$I$5:$I$1004,$T1374))))</f>
        <v/>
      </c>
      <c r="L1374" s="50">
        <f>IF($T1374="","",IF($S1374="S",IF(INDEX(Firms!$K$5:$K$1004,$T1374)="","",INDEX(Firms!$K$5:$K$1004,$T1374)),IF(INDEX('AFA Rates'!$J$5:$J$1004,$T1374)="","",INDEX('AFA Rates'!$J$5:$J$1004,$T1374))))</f>
        <v/>
      </c>
      <c r="M1374" s="50">
        <f>IF($T1374="","",IF($S1374="S",IF(INDEX(Firms!$L$5:$L$1004,$T1374)="","",INDEX(Firms!$L$5:$L$1004,$T1374)),IF(INDEX('AFA Rates'!$K$5:$K$1004,$T1374)="","",INDEX('AFA Rates'!$K$5:$K$1004,$T1374))))</f>
        <v/>
      </c>
      <c r="N1374" s="50">
        <f>IF($T1374="","",IF($S1374="S",IF(INDEX(Firms!$M$5:$M$1004,$T1374)="","",INDEX(Firms!$M$5:$M$1004,$T1374)),IF(INDEX('AFA Rates'!$L$5:$L$1004,$T1374)="","",INDEX('AFA Rates'!$L$5:$L$1004,$T1374))))</f>
        <v/>
      </c>
      <c r="O1374" s="78">
        <f>IF(OR($T1374="",$U1374=""),"",IF(INDEX(Firms!$C$5:$C$1004,$U1374)="","",INDEX(Firms!$C$5:$C$1004,$U1374)))</f>
        <v/>
      </c>
      <c r="P1374" s="79">
        <f>IF(OR($T1374="",$U1374=""),"",IF(INDEX(Firms!$N$5:$N$1004,$U1374)="","",INDEX(Firms!$N$5:$N$1004,$U1374)))</f>
        <v/>
      </c>
      <c r="Q1374" s="78">
        <f>IF($T1374="","",IF($S1374="S",IF(INDEX(Firms!$T$5:$T$1004,$T1374)="","",INDEX(Firms!$T$5:$T$1004,$T1374)),IF(INDEX('AFA Rates'!$M$5:$M$1004,$T1374)="","",INDEX('AFA Rates'!$M$5:$M$1004,$T1374))))</f>
        <v/>
      </c>
      <c r="S1374">
        <f>IF(1370&lt;=$S$2,"S",IF(1370&lt;=$S$2+$T$2,"A",""))</f>
        <v/>
      </c>
      <c r="T1374">
        <f>IF(S1374="S",MATCH(1370,Firms!$W$5:$W$1004,0),IF(S1374="A",IFERROR(MATCH(1370-$S$2,'AFA Rates'!$R$5:$R$1004,0),""),""))</f>
        <v/>
      </c>
      <c r="U1374">
        <f>IF(S1374="S",T1374,IF(AND(S1374="A",T1374&lt;&gt;""),IFERROR(MATCH(INDEX('AFA Rates'!$A$5:$A$1004,T1374),Firms!$A$5:$A$1004,0),""),""))</f>
        <v/>
      </c>
    </row>
    <row r="1375">
      <c r="A1375" s="78">
        <f>IF($T1375="","",IF($S1375="S",IF(INDEX(Firms!$A$5:$A$1004,$T1375)="","",INDEX(Firms!$A$5:$A$1004,$T1375)),IF(INDEX('AFA Rates'!$A$5:$A$1004,$T1375)="","",INDEX('AFA Rates'!$A$5:$A$1004,$T1375))))</f>
        <v/>
      </c>
      <c r="B1375" s="79">
        <f>IF(OR($T1375="",$U1375=""),IF($T1375="","","Not on Firms tab"),INDEX(Firms!$B$5:$B$1004,$U1375)&amp;"")</f>
        <v/>
      </c>
      <c r="C1375" s="78">
        <f>IF($T1375="","",IF($S1375="S","Standard",INDEX('AFA Rates'!$B$5:$B$1004,$T1375)&amp;""))</f>
        <v/>
      </c>
      <c r="D1375" s="88">
        <f>IF($T1375="","",IF($S1375="S",IF(INDEX(Firms!$E$5:$E$1004,$T1375)="","",INDEX(Firms!$E$5:$E$1004,$T1375)),IF(INDEX('AFA Rates'!$C$5:$C$1004,$T1375)="","",INDEX('AFA Rates'!$C$5:$C$1004,$T1375))))</f>
        <v/>
      </c>
      <c r="E1375" s="88">
        <f>IF($T1375="","",IF($S1375="S",IF(""="","",""),IF(INDEX('AFA Rates'!$D$5:$D$1004,$T1375)="","",INDEX('AFA Rates'!$D$5:$D$1004,$T1375))))</f>
        <v/>
      </c>
      <c r="F1375" s="79">
        <f>IF($T1375="","",IF($S1375="S",IF(INDEX(Firms!$O$5:$O$1004,$T1375)="","",INDEX(Firms!$O$5:$O$1004,$T1375)),IF(INDEX('AFA Rates'!$O$5:$O$1004,$T1375)="","",INDEX('AFA Rates'!$O$5:$O$1004,$T1375))))</f>
        <v/>
      </c>
      <c r="G1375" s="50">
        <f>IF($T1375="","",IF($S1375="S",IF(INDEX(Firms!$F$5:$F$1004,$T1375)="","",INDEX(Firms!$F$5:$F$1004,$T1375)),IF(INDEX('AFA Rates'!$E$5:$E$1004,$T1375)="","",INDEX('AFA Rates'!$E$5:$E$1004,$T1375))))</f>
        <v/>
      </c>
      <c r="H1375" s="50">
        <f>IF($T1375="","",IF($S1375="S",IF(INDEX(Firms!$G$5:$G$1004,$T1375)="","",INDEX(Firms!$G$5:$G$1004,$T1375)),IF(INDEX('AFA Rates'!$F$5:$F$1004,$T1375)="","",INDEX('AFA Rates'!$F$5:$F$1004,$T1375))))</f>
        <v/>
      </c>
      <c r="I1375" s="50">
        <f>IF($T1375="","",IF($S1375="S",IF(INDEX(Firms!$H$5:$H$1004,$T1375)="","",INDEX(Firms!$H$5:$H$1004,$T1375)),IF(INDEX('AFA Rates'!$G$5:$G$1004,$T1375)="","",INDEX('AFA Rates'!$G$5:$G$1004,$T1375))))</f>
        <v/>
      </c>
      <c r="J1375" s="50">
        <f>IF($T1375="","",IF($S1375="S",IF(INDEX(Firms!$I$5:$I$1004,$T1375)="","",INDEX(Firms!$I$5:$I$1004,$T1375)),IF(INDEX('AFA Rates'!$H$5:$H$1004,$T1375)="","",INDEX('AFA Rates'!$H$5:$H$1004,$T1375))))</f>
        <v/>
      </c>
      <c r="K1375" s="50">
        <f>IF($T1375="","",IF($S1375="S",IF(INDEX(Firms!$J$5:$J$1004,$T1375)="","",INDEX(Firms!$J$5:$J$1004,$T1375)),IF(INDEX('AFA Rates'!$I$5:$I$1004,$T1375)="","",INDEX('AFA Rates'!$I$5:$I$1004,$T1375))))</f>
        <v/>
      </c>
      <c r="L1375" s="50">
        <f>IF($T1375="","",IF($S1375="S",IF(INDEX(Firms!$K$5:$K$1004,$T1375)="","",INDEX(Firms!$K$5:$K$1004,$T1375)),IF(INDEX('AFA Rates'!$J$5:$J$1004,$T1375)="","",INDEX('AFA Rates'!$J$5:$J$1004,$T1375))))</f>
        <v/>
      </c>
      <c r="M1375" s="50">
        <f>IF($T1375="","",IF($S1375="S",IF(INDEX(Firms!$L$5:$L$1004,$T1375)="","",INDEX(Firms!$L$5:$L$1004,$T1375)),IF(INDEX('AFA Rates'!$K$5:$K$1004,$T1375)="","",INDEX('AFA Rates'!$K$5:$K$1004,$T1375))))</f>
        <v/>
      </c>
      <c r="N1375" s="50">
        <f>IF($T1375="","",IF($S1375="S",IF(INDEX(Firms!$M$5:$M$1004,$T1375)="","",INDEX(Firms!$M$5:$M$1004,$T1375)),IF(INDEX('AFA Rates'!$L$5:$L$1004,$T1375)="","",INDEX('AFA Rates'!$L$5:$L$1004,$T1375))))</f>
        <v/>
      </c>
      <c r="O1375" s="78">
        <f>IF(OR($T1375="",$U1375=""),"",IF(INDEX(Firms!$C$5:$C$1004,$U1375)="","",INDEX(Firms!$C$5:$C$1004,$U1375)))</f>
        <v/>
      </c>
      <c r="P1375" s="79">
        <f>IF(OR($T1375="",$U1375=""),"",IF(INDEX(Firms!$N$5:$N$1004,$U1375)="","",INDEX(Firms!$N$5:$N$1004,$U1375)))</f>
        <v/>
      </c>
      <c r="Q1375" s="78">
        <f>IF($T1375="","",IF($S1375="S",IF(INDEX(Firms!$T$5:$T$1004,$T1375)="","",INDEX(Firms!$T$5:$T$1004,$T1375)),IF(INDEX('AFA Rates'!$M$5:$M$1004,$T1375)="","",INDEX('AFA Rates'!$M$5:$M$1004,$T1375))))</f>
        <v/>
      </c>
      <c r="S1375">
        <f>IF(1371&lt;=$S$2,"S",IF(1371&lt;=$S$2+$T$2,"A",""))</f>
        <v/>
      </c>
      <c r="T1375">
        <f>IF(S1375="S",MATCH(1371,Firms!$W$5:$W$1004,0),IF(S1375="A",IFERROR(MATCH(1371-$S$2,'AFA Rates'!$R$5:$R$1004,0),""),""))</f>
        <v/>
      </c>
      <c r="U1375">
        <f>IF(S1375="S",T1375,IF(AND(S1375="A",T1375&lt;&gt;""),IFERROR(MATCH(INDEX('AFA Rates'!$A$5:$A$1004,T1375),Firms!$A$5:$A$1004,0),""),""))</f>
        <v/>
      </c>
    </row>
    <row r="1376">
      <c r="A1376" s="78">
        <f>IF($T1376="","",IF($S1376="S",IF(INDEX(Firms!$A$5:$A$1004,$T1376)="","",INDEX(Firms!$A$5:$A$1004,$T1376)),IF(INDEX('AFA Rates'!$A$5:$A$1004,$T1376)="","",INDEX('AFA Rates'!$A$5:$A$1004,$T1376))))</f>
        <v/>
      </c>
      <c r="B1376" s="79">
        <f>IF(OR($T1376="",$U1376=""),IF($T1376="","","Not on Firms tab"),INDEX(Firms!$B$5:$B$1004,$U1376)&amp;"")</f>
        <v/>
      </c>
      <c r="C1376" s="78">
        <f>IF($T1376="","",IF($S1376="S","Standard",INDEX('AFA Rates'!$B$5:$B$1004,$T1376)&amp;""))</f>
        <v/>
      </c>
      <c r="D1376" s="88">
        <f>IF($T1376="","",IF($S1376="S",IF(INDEX(Firms!$E$5:$E$1004,$T1376)="","",INDEX(Firms!$E$5:$E$1004,$T1376)),IF(INDEX('AFA Rates'!$C$5:$C$1004,$T1376)="","",INDEX('AFA Rates'!$C$5:$C$1004,$T1376))))</f>
        <v/>
      </c>
      <c r="E1376" s="88">
        <f>IF($T1376="","",IF($S1376="S",IF(""="","",""),IF(INDEX('AFA Rates'!$D$5:$D$1004,$T1376)="","",INDEX('AFA Rates'!$D$5:$D$1004,$T1376))))</f>
        <v/>
      </c>
      <c r="F1376" s="79">
        <f>IF($T1376="","",IF($S1376="S",IF(INDEX(Firms!$O$5:$O$1004,$T1376)="","",INDEX(Firms!$O$5:$O$1004,$T1376)),IF(INDEX('AFA Rates'!$O$5:$O$1004,$T1376)="","",INDEX('AFA Rates'!$O$5:$O$1004,$T1376))))</f>
        <v/>
      </c>
      <c r="G1376" s="50">
        <f>IF($T1376="","",IF($S1376="S",IF(INDEX(Firms!$F$5:$F$1004,$T1376)="","",INDEX(Firms!$F$5:$F$1004,$T1376)),IF(INDEX('AFA Rates'!$E$5:$E$1004,$T1376)="","",INDEX('AFA Rates'!$E$5:$E$1004,$T1376))))</f>
        <v/>
      </c>
      <c r="H1376" s="50">
        <f>IF($T1376="","",IF($S1376="S",IF(INDEX(Firms!$G$5:$G$1004,$T1376)="","",INDEX(Firms!$G$5:$G$1004,$T1376)),IF(INDEX('AFA Rates'!$F$5:$F$1004,$T1376)="","",INDEX('AFA Rates'!$F$5:$F$1004,$T1376))))</f>
        <v/>
      </c>
      <c r="I1376" s="50">
        <f>IF($T1376="","",IF($S1376="S",IF(INDEX(Firms!$H$5:$H$1004,$T1376)="","",INDEX(Firms!$H$5:$H$1004,$T1376)),IF(INDEX('AFA Rates'!$G$5:$G$1004,$T1376)="","",INDEX('AFA Rates'!$G$5:$G$1004,$T1376))))</f>
        <v/>
      </c>
      <c r="J1376" s="50">
        <f>IF($T1376="","",IF($S1376="S",IF(INDEX(Firms!$I$5:$I$1004,$T1376)="","",INDEX(Firms!$I$5:$I$1004,$T1376)),IF(INDEX('AFA Rates'!$H$5:$H$1004,$T1376)="","",INDEX('AFA Rates'!$H$5:$H$1004,$T1376))))</f>
        <v/>
      </c>
      <c r="K1376" s="50">
        <f>IF($T1376="","",IF($S1376="S",IF(INDEX(Firms!$J$5:$J$1004,$T1376)="","",INDEX(Firms!$J$5:$J$1004,$T1376)),IF(INDEX('AFA Rates'!$I$5:$I$1004,$T1376)="","",INDEX('AFA Rates'!$I$5:$I$1004,$T1376))))</f>
        <v/>
      </c>
      <c r="L1376" s="50">
        <f>IF($T1376="","",IF($S1376="S",IF(INDEX(Firms!$K$5:$K$1004,$T1376)="","",INDEX(Firms!$K$5:$K$1004,$T1376)),IF(INDEX('AFA Rates'!$J$5:$J$1004,$T1376)="","",INDEX('AFA Rates'!$J$5:$J$1004,$T1376))))</f>
        <v/>
      </c>
      <c r="M1376" s="50">
        <f>IF($T1376="","",IF($S1376="S",IF(INDEX(Firms!$L$5:$L$1004,$T1376)="","",INDEX(Firms!$L$5:$L$1004,$T1376)),IF(INDEX('AFA Rates'!$K$5:$K$1004,$T1376)="","",INDEX('AFA Rates'!$K$5:$K$1004,$T1376))))</f>
        <v/>
      </c>
      <c r="N1376" s="50">
        <f>IF($T1376="","",IF($S1376="S",IF(INDEX(Firms!$M$5:$M$1004,$T1376)="","",INDEX(Firms!$M$5:$M$1004,$T1376)),IF(INDEX('AFA Rates'!$L$5:$L$1004,$T1376)="","",INDEX('AFA Rates'!$L$5:$L$1004,$T1376))))</f>
        <v/>
      </c>
      <c r="O1376" s="78">
        <f>IF(OR($T1376="",$U1376=""),"",IF(INDEX(Firms!$C$5:$C$1004,$U1376)="","",INDEX(Firms!$C$5:$C$1004,$U1376)))</f>
        <v/>
      </c>
      <c r="P1376" s="79">
        <f>IF(OR($T1376="",$U1376=""),"",IF(INDEX(Firms!$N$5:$N$1004,$U1376)="","",INDEX(Firms!$N$5:$N$1004,$U1376)))</f>
        <v/>
      </c>
      <c r="Q1376" s="78">
        <f>IF($T1376="","",IF($S1376="S",IF(INDEX(Firms!$T$5:$T$1004,$T1376)="","",INDEX(Firms!$T$5:$T$1004,$T1376)),IF(INDEX('AFA Rates'!$M$5:$M$1004,$T1376)="","",INDEX('AFA Rates'!$M$5:$M$1004,$T1376))))</f>
        <v/>
      </c>
      <c r="S1376">
        <f>IF(1372&lt;=$S$2,"S",IF(1372&lt;=$S$2+$T$2,"A",""))</f>
        <v/>
      </c>
      <c r="T1376">
        <f>IF(S1376="S",MATCH(1372,Firms!$W$5:$W$1004,0),IF(S1376="A",IFERROR(MATCH(1372-$S$2,'AFA Rates'!$R$5:$R$1004,0),""),""))</f>
        <v/>
      </c>
      <c r="U1376">
        <f>IF(S1376="S",T1376,IF(AND(S1376="A",T1376&lt;&gt;""),IFERROR(MATCH(INDEX('AFA Rates'!$A$5:$A$1004,T1376),Firms!$A$5:$A$1004,0),""),""))</f>
        <v/>
      </c>
    </row>
    <row r="1377">
      <c r="A1377" s="78">
        <f>IF($T1377="","",IF($S1377="S",IF(INDEX(Firms!$A$5:$A$1004,$T1377)="","",INDEX(Firms!$A$5:$A$1004,$T1377)),IF(INDEX('AFA Rates'!$A$5:$A$1004,$T1377)="","",INDEX('AFA Rates'!$A$5:$A$1004,$T1377))))</f>
        <v/>
      </c>
      <c r="B1377" s="79">
        <f>IF(OR($T1377="",$U1377=""),IF($T1377="","","Not on Firms tab"),INDEX(Firms!$B$5:$B$1004,$U1377)&amp;"")</f>
        <v/>
      </c>
      <c r="C1377" s="78">
        <f>IF($T1377="","",IF($S1377="S","Standard",INDEX('AFA Rates'!$B$5:$B$1004,$T1377)&amp;""))</f>
        <v/>
      </c>
      <c r="D1377" s="88">
        <f>IF($T1377="","",IF($S1377="S",IF(INDEX(Firms!$E$5:$E$1004,$T1377)="","",INDEX(Firms!$E$5:$E$1004,$T1377)),IF(INDEX('AFA Rates'!$C$5:$C$1004,$T1377)="","",INDEX('AFA Rates'!$C$5:$C$1004,$T1377))))</f>
        <v/>
      </c>
      <c r="E1377" s="88">
        <f>IF($T1377="","",IF($S1377="S",IF(""="","",""),IF(INDEX('AFA Rates'!$D$5:$D$1004,$T1377)="","",INDEX('AFA Rates'!$D$5:$D$1004,$T1377))))</f>
        <v/>
      </c>
      <c r="F1377" s="79">
        <f>IF($T1377="","",IF($S1377="S",IF(INDEX(Firms!$O$5:$O$1004,$T1377)="","",INDEX(Firms!$O$5:$O$1004,$T1377)),IF(INDEX('AFA Rates'!$O$5:$O$1004,$T1377)="","",INDEX('AFA Rates'!$O$5:$O$1004,$T1377))))</f>
        <v/>
      </c>
      <c r="G1377" s="50">
        <f>IF($T1377="","",IF($S1377="S",IF(INDEX(Firms!$F$5:$F$1004,$T1377)="","",INDEX(Firms!$F$5:$F$1004,$T1377)),IF(INDEX('AFA Rates'!$E$5:$E$1004,$T1377)="","",INDEX('AFA Rates'!$E$5:$E$1004,$T1377))))</f>
        <v/>
      </c>
      <c r="H1377" s="50">
        <f>IF($T1377="","",IF($S1377="S",IF(INDEX(Firms!$G$5:$G$1004,$T1377)="","",INDEX(Firms!$G$5:$G$1004,$T1377)),IF(INDEX('AFA Rates'!$F$5:$F$1004,$T1377)="","",INDEX('AFA Rates'!$F$5:$F$1004,$T1377))))</f>
        <v/>
      </c>
      <c r="I1377" s="50">
        <f>IF($T1377="","",IF($S1377="S",IF(INDEX(Firms!$H$5:$H$1004,$T1377)="","",INDEX(Firms!$H$5:$H$1004,$T1377)),IF(INDEX('AFA Rates'!$G$5:$G$1004,$T1377)="","",INDEX('AFA Rates'!$G$5:$G$1004,$T1377))))</f>
        <v/>
      </c>
      <c r="J1377" s="50">
        <f>IF($T1377="","",IF($S1377="S",IF(INDEX(Firms!$I$5:$I$1004,$T1377)="","",INDEX(Firms!$I$5:$I$1004,$T1377)),IF(INDEX('AFA Rates'!$H$5:$H$1004,$T1377)="","",INDEX('AFA Rates'!$H$5:$H$1004,$T1377))))</f>
        <v/>
      </c>
      <c r="K1377" s="50">
        <f>IF($T1377="","",IF($S1377="S",IF(INDEX(Firms!$J$5:$J$1004,$T1377)="","",INDEX(Firms!$J$5:$J$1004,$T1377)),IF(INDEX('AFA Rates'!$I$5:$I$1004,$T1377)="","",INDEX('AFA Rates'!$I$5:$I$1004,$T1377))))</f>
        <v/>
      </c>
      <c r="L1377" s="50">
        <f>IF($T1377="","",IF($S1377="S",IF(INDEX(Firms!$K$5:$K$1004,$T1377)="","",INDEX(Firms!$K$5:$K$1004,$T1377)),IF(INDEX('AFA Rates'!$J$5:$J$1004,$T1377)="","",INDEX('AFA Rates'!$J$5:$J$1004,$T1377))))</f>
        <v/>
      </c>
      <c r="M1377" s="50">
        <f>IF($T1377="","",IF($S1377="S",IF(INDEX(Firms!$L$5:$L$1004,$T1377)="","",INDEX(Firms!$L$5:$L$1004,$T1377)),IF(INDEX('AFA Rates'!$K$5:$K$1004,$T1377)="","",INDEX('AFA Rates'!$K$5:$K$1004,$T1377))))</f>
        <v/>
      </c>
      <c r="N1377" s="50">
        <f>IF($T1377="","",IF($S1377="S",IF(INDEX(Firms!$M$5:$M$1004,$T1377)="","",INDEX(Firms!$M$5:$M$1004,$T1377)),IF(INDEX('AFA Rates'!$L$5:$L$1004,$T1377)="","",INDEX('AFA Rates'!$L$5:$L$1004,$T1377))))</f>
        <v/>
      </c>
      <c r="O1377" s="78">
        <f>IF(OR($T1377="",$U1377=""),"",IF(INDEX(Firms!$C$5:$C$1004,$U1377)="","",INDEX(Firms!$C$5:$C$1004,$U1377)))</f>
        <v/>
      </c>
      <c r="P1377" s="79">
        <f>IF(OR($T1377="",$U1377=""),"",IF(INDEX(Firms!$N$5:$N$1004,$U1377)="","",INDEX(Firms!$N$5:$N$1004,$U1377)))</f>
        <v/>
      </c>
      <c r="Q1377" s="78">
        <f>IF($T1377="","",IF($S1377="S",IF(INDEX(Firms!$T$5:$T$1004,$T1377)="","",INDEX(Firms!$T$5:$T$1004,$T1377)),IF(INDEX('AFA Rates'!$M$5:$M$1004,$T1377)="","",INDEX('AFA Rates'!$M$5:$M$1004,$T1377))))</f>
        <v/>
      </c>
      <c r="S1377">
        <f>IF(1373&lt;=$S$2,"S",IF(1373&lt;=$S$2+$T$2,"A",""))</f>
        <v/>
      </c>
      <c r="T1377">
        <f>IF(S1377="S",MATCH(1373,Firms!$W$5:$W$1004,0),IF(S1377="A",IFERROR(MATCH(1373-$S$2,'AFA Rates'!$R$5:$R$1004,0),""),""))</f>
        <v/>
      </c>
      <c r="U1377">
        <f>IF(S1377="S",T1377,IF(AND(S1377="A",T1377&lt;&gt;""),IFERROR(MATCH(INDEX('AFA Rates'!$A$5:$A$1004,T1377),Firms!$A$5:$A$1004,0),""),""))</f>
        <v/>
      </c>
    </row>
    <row r="1378">
      <c r="A1378" s="78">
        <f>IF($T1378="","",IF($S1378="S",IF(INDEX(Firms!$A$5:$A$1004,$T1378)="","",INDEX(Firms!$A$5:$A$1004,$T1378)),IF(INDEX('AFA Rates'!$A$5:$A$1004,$T1378)="","",INDEX('AFA Rates'!$A$5:$A$1004,$T1378))))</f>
        <v/>
      </c>
      <c r="B1378" s="79">
        <f>IF(OR($T1378="",$U1378=""),IF($T1378="","","Not on Firms tab"),INDEX(Firms!$B$5:$B$1004,$U1378)&amp;"")</f>
        <v/>
      </c>
      <c r="C1378" s="78">
        <f>IF($T1378="","",IF($S1378="S","Standard",INDEX('AFA Rates'!$B$5:$B$1004,$T1378)&amp;""))</f>
        <v/>
      </c>
      <c r="D1378" s="88">
        <f>IF($T1378="","",IF($S1378="S",IF(INDEX(Firms!$E$5:$E$1004,$T1378)="","",INDEX(Firms!$E$5:$E$1004,$T1378)),IF(INDEX('AFA Rates'!$C$5:$C$1004,$T1378)="","",INDEX('AFA Rates'!$C$5:$C$1004,$T1378))))</f>
        <v/>
      </c>
      <c r="E1378" s="88">
        <f>IF($T1378="","",IF($S1378="S",IF(""="","",""),IF(INDEX('AFA Rates'!$D$5:$D$1004,$T1378)="","",INDEX('AFA Rates'!$D$5:$D$1004,$T1378))))</f>
        <v/>
      </c>
      <c r="F1378" s="79">
        <f>IF($T1378="","",IF($S1378="S",IF(INDEX(Firms!$O$5:$O$1004,$T1378)="","",INDEX(Firms!$O$5:$O$1004,$T1378)),IF(INDEX('AFA Rates'!$O$5:$O$1004,$T1378)="","",INDEX('AFA Rates'!$O$5:$O$1004,$T1378))))</f>
        <v/>
      </c>
      <c r="G1378" s="50">
        <f>IF($T1378="","",IF($S1378="S",IF(INDEX(Firms!$F$5:$F$1004,$T1378)="","",INDEX(Firms!$F$5:$F$1004,$T1378)),IF(INDEX('AFA Rates'!$E$5:$E$1004,$T1378)="","",INDEX('AFA Rates'!$E$5:$E$1004,$T1378))))</f>
        <v/>
      </c>
      <c r="H1378" s="50">
        <f>IF($T1378="","",IF($S1378="S",IF(INDEX(Firms!$G$5:$G$1004,$T1378)="","",INDEX(Firms!$G$5:$G$1004,$T1378)),IF(INDEX('AFA Rates'!$F$5:$F$1004,$T1378)="","",INDEX('AFA Rates'!$F$5:$F$1004,$T1378))))</f>
        <v/>
      </c>
      <c r="I1378" s="50">
        <f>IF($T1378="","",IF($S1378="S",IF(INDEX(Firms!$H$5:$H$1004,$T1378)="","",INDEX(Firms!$H$5:$H$1004,$T1378)),IF(INDEX('AFA Rates'!$G$5:$G$1004,$T1378)="","",INDEX('AFA Rates'!$G$5:$G$1004,$T1378))))</f>
        <v/>
      </c>
      <c r="J1378" s="50">
        <f>IF($T1378="","",IF($S1378="S",IF(INDEX(Firms!$I$5:$I$1004,$T1378)="","",INDEX(Firms!$I$5:$I$1004,$T1378)),IF(INDEX('AFA Rates'!$H$5:$H$1004,$T1378)="","",INDEX('AFA Rates'!$H$5:$H$1004,$T1378))))</f>
        <v/>
      </c>
      <c r="K1378" s="50">
        <f>IF($T1378="","",IF($S1378="S",IF(INDEX(Firms!$J$5:$J$1004,$T1378)="","",INDEX(Firms!$J$5:$J$1004,$T1378)),IF(INDEX('AFA Rates'!$I$5:$I$1004,$T1378)="","",INDEX('AFA Rates'!$I$5:$I$1004,$T1378))))</f>
        <v/>
      </c>
      <c r="L1378" s="50">
        <f>IF($T1378="","",IF($S1378="S",IF(INDEX(Firms!$K$5:$K$1004,$T1378)="","",INDEX(Firms!$K$5:$K$1004,$T1378)),IF(INDEX('AFA Rates'!$J$5:$J$1004,$T1378)="","",INDEX('AFA Rates'!$J$5:$J$1004,$T1378))))</f>
        <v/>
      </c>
      <c r="M1378" s="50">
        <f>IF($T1378="","",IF($S1378="S",IF(INDEX(Firms!$L$5:$L$1004,$T1378)="","",INDEX(Firms!$L$5:$L$1004,$T1378)),IF(INDEX('AFA Rates'!$K$5:$K$1004,$T1378)="","",INDEX('AFA Rates'!$K$5:$K$1004,$T1378))))</f>
        <v/>
      </c>
      <c r="N1378" s="50">
        <f>IF($T1378="","",IF($S1378="S",IF(INDEX(Firms!$M$5:$M$1004,$T1378)="","",INDEX(Firms!$M$5:$M$1004,$T1378)),IF(INDEX('AFA Rates'!$L$5:$L$1004,$T1378)="","",INDEX('AFA Rates'!$L$5:$L$1004,$T1378))))</f>
        <v/>
      </c>
      <c r="O1378" s="78">
        <f>IF(OR($T1378="",$U1378=""),"",IF(INDEX(Firms!$C$5:$C$1004,$U1378)="","",INDEX(Firms!$C$5:$C$1004,$U1378)))</f>
        <v/>
      </c>
      <c r="P1378" s="79">
        <f>IF(OR($T1378="",$U1378=""),"",IF(INDEX(Firms!$N$5:$N$1004,$U1378)="","",INDEX(Firms!$N$5:$N$1004,$U1378)))</f>
        <v/>
      </c>
      <c r="Q1378" s="78">
        <f>IF($T1378="","",IF($S1378="S",IF(INDEX(Firms!$T$5:$T$1004,$T1378)="","",INDEX(Firms!$T$5:$T$1004,$T1378)),IF(INDEX('AFA Rates'!$M$5:$M$1004,$T1378)="","",INDEX('AFA Rates'!$M$5:$M$1004,$T1378))))</f>
        <v/>
      </c>
      <c r="S1378">
        <f>IF(1374&lt;=$S$2,"S",IF(1374&lt;=$S$2+$T$2,"A",""))</f>
        <v/>
      </c>
      <c r="T1378">
        <f>IF(S1378="S",MATCH(1374,Firms!$W$5:$W$1004,0),IF(S1378="A",IFERROR(MATCH(1374-$S$2,'AFA Rates'!$R$5:$R$1004,0),""),""))</f>
        <v/>
      </c>
      <c r="U1378">
        <f>IF(S1378="S",T1378,IF(AND(S1378="A",T1378&lt;&gt;""),IFERROR(MATCH(INDEX('AFA Rates'!$A$5:$A$1004,T1378),Firms!$A$5:$A$1004,0),""),""))</f>
        <v/>
      </c>
    </row>
    <row r="1379">
      <c r="A1379" s="78">
        <f>IF($T1379="","",IF($S1379="S",IF(INDEX(Firms!$A$5:$A$1004,$T1379)="","",INDEX(Firms!$A$5:$A$1004,$T1379)),IF(INDEX('AFA Rates'!$A$5:$A$1004,$T1379)="","",INDEX('AFA Rates'!$A$5:$A$1004,$T1379))))</f>
        <v/>
      </c>
      <c r="B1379" s="79">
        <f>IF(OR($T1379="",$U1379=""),IF($T1379="","","Not on Firms tab"),INDEX(Firms!$B$5:$B$1004,$U1379)&amp;"")</f>
        <v/>
      </c>
      <c r="C1379" s="78">
        <f>IF($T1379="","",IF($S1379="S","Standard",INDEX('AFA Rates'!$B$5:$B$1004,$T1379)&amp;""))</f>
        <v/>
      </c>
      <c r="D1379" s="88">
        <f>IF($T1379="","",IF($S1379="S",IF(INDEX(Firms!$E$5:$E$1004,$T1379)="","",INDEX(Firms!$E$5:$E$1004,$T1379)),IF(INDEX('AFA Rates'!$C$5:$C$1004,$T1379)="","",INDEX('AFA Rates'!$C$5:$C$1004,$T1379))))</f>
        <v/>
      </c>
      <c r="E1379" s="88">
        <f>IF($T1379="","",IF($S1379="S",IF(""="","",""),IF(INDEX('AFA Rates'!$D$5:$D$1004,$T1379)="","",INDEX('AFA Rates'!$D$5:$D$1004,$T1379))))</f>
        <v/>
      </c>
      <c r="F1379" s="79">
        <f>IF($T1379="","",IF($S1379="S",IF(INDEX(Firms!$O$5:$O$1004,$T1379)="","",INDEX(Firms!$O$5:$O$1004,$T1379)),IF(INDEX('AFA Rates'!$O$5:$O$1004,$T1379)="","",INDEX('AFA Rates'!$O$5:$O$1004,$T1379))))</f>
        <v/>
      </c>
      <c r="G1379" s="50">
        <f>IF($T1379="","",IF($S1379="S",IF(INDEX(Firms!$F$5:$F$1004,$T1379)="","",INDEX(Firms!$F$5:$F$1004,$T1379)),IF(INDEX('AFA Rates'!$E$5:$E$1004,$T1379)="","",INDEX('AFA Rates'!$E$5:$E$1004,$T1379))))</f>
        <v/>
      </c>
      <c r="H1379" s="50">
        <f>IF($T1379="","",IF($S1379="S",IF(INDEX(Firms!$G$5:$G$1004,$T1379)="","",INDEX(Firms!$G$5:$G$1004,$T1379)),IF(INDEX('AFA Rates'!$F$5:$F$1004,$T1379)="","",INDEX('AFA Rates'!$F$5:$F$1004,$T1379))))</f>
        <v/>
      </c>
      <c r="I1379" s="50">
        <f>IF($T1379="","",IF($S1379="S",IF(INDEX(Firms!$H$5:$H$1004,$T1379)="","",INDEX(Firms!$H$5:$H$1004,$T1379)),IF(INDEX('AFA Rates'!$G$5:$G$1004,$T1379)="","",INDEX('AFA Rates'!$G$5:$G$1004,$T1379))))</f>
        <v/>
      </c>
      <c r="J1379" s="50">
        <f>IF($T1379="","",IF($S1379="S",IF(INDEX(Firms!$I$5:$I$1004,$T1379)="","",INDEX(Firms!$I$5:$I$1004,$T1379)),IF(INDEX('AFA Rates'!$H$5:$H$1004,$T1379)="","",INDEX('AFA Rates'!$H$5:$H$1004,$T1379))))</f>
        <v/>
      </c>
      <c r="K1379" s="50">
        <f>IF($T1379="","",IF($S1379="S",IF(INDEX(Firms!$J$5:$J$1004,$T1379)="","",INDEX(Firms!$J$5:$J$1004,$T1379)),IF(INDEX('AFA Rates'!$I$5:$I$1004,$T1379)="","",INDEX('AFA Rates'!$I$5:$I$1004,$T1379))))</f>
        <v/>
      </c>
      <c r="L1379" s="50">
        <f>IF($T1379="","",IF($S1379="S",IF(INDEX(Firms!$K$5:$K$1004,$T1379)="","",INDEX(Firms!$K$5:$K$1004,$T1379)),IF(INDEX('AFA Rates'!$J$5:$J$1004,$T1379)="","",INDEX('AFA Rates'!$J$5:$J$1004,$T1379))))</f>
        <v/>
      </c>
      <c r="M1379" s="50">
        <f>IF($T1379="","",IF($S1379="S",IF(INDEX(Firms!$L$5:$L$1004,$T1379)="","",INDEX(Firms!$L$5:$L$1004,$T1379)),IF(INDEX('AFA Rates'!$K$5:$K$1004,$T1379)="","",INDEX('AFA Rates'!$K$5:$K$1004,$T1379))))</f>
        <v/>
      </c>
      <c r="N1379" s="50">
        <f>IF($T1379="","",IF($S1379="S",IF(INDEX(Firms!$M$5:$M$1004,$T1379)="","",INDEX(Firms!$M$5:$M$1004,$T1379)),IF(INDEX('AFA Rates'!$L$5:$L$1004,$T1379)="","",INDEX('AFA Rates'!$L$5:$L$1004,$T1379))))</f>
        <v/>
      </c>
      <c r="O1379" s="78">
        <f>IF(OR($T1379="",$U1379=""),"",IF(INDEX(Firms!$C$5:$C$1004,$U1379)="","",INDEX(Firms!$C$5:$C$1004,$U1379)))</f>
        <v/>
      </c>
      <c r="P1379" s="79">
        <f>IF(OR($T1379="",$U1379=""),"",IF(INDEX(Firms!$N$5:$N$1004,$U1379)="","",INDEX(Firms!$N$5:$N$1004,$U1379)))</f>
        <v/>
      </c>
      <c r="Q1379" s="78">
        <f>IF($T1379="","",IF($S1379="S",IF(INDEX(Firms!$T$5:$T$1004,$T1379)="","",INDEX(Firms!$T$5:$T$1004,$T1379)),IF(INDEX('AFA Rates'!$M$5:$M$1004,$T1379)="","",INDEX('AFA Rates'!$M$5:$M$1004,$T1379))))</f>
        <v/>
      </c>
      <c r="S1379">
        <f>IF(1375&lt;=$S$2,"S",IF(1375&lt;=$S$2+$T$2,"A",""))</f>
        <v/>
      </c>
      <c r="T1379">
        <f>IF(S1379="S",MATCH(1375,Firms!$W$5:$W$1004,0),IF(S1379="A",IFERROR(MATCH(1375-$S$2,'AFA Rates'!$R$5:$R$1004,0),""),""))</f>
        <v/>
      </c>
      <c r="U1379">
        <f>IF(S1379="S",T1379,IF(AND(S1379="A",T1379&lt;&gt;""),IFERROR(MATCH(INDEX('AFA Rates'!$A$5:$A$1004,T1379),Firms!$A$5:$A$1004,0),""),""))</f>
        <v/>
      </c>
    </row>
    <row r="1380">
      <c r="A1380" s="78">
        <f>IF($T1380="","",IF($S1380="S",IF(INDEX(Firms!$A$5:$A$1004,$T1380)="","",INDEX(Firms!$A$5:$A$1004,$T1380)),IF(INDEX('AFA Rates'!$A$5:$A$1004,$T1380)="","",INDEX('AFA Rates'!$A$5:$A$1004,$T1380))))</f>
        <v/>
      </c>
      <c r="B1380" s="79">
        <f>IF(OR($T1380="",$U1380=""),IF($T1380="","","Not on Firms tab"),INDEX(Firms!$B$5:$B$1004,$U1380)&amp;"")</f>
        <v/>
      </c>
      <c r="C1380" s="78">
        <f>IF($T1380="","",IF($S1380="S","Standard",INDEX('AFA Rates'!$B$5:$B$1004,$T1380)&amp;""))</f>
        <v/>
      </c>
      <c r="D1380" s="88">
        <f>IF($T1380="","",IF($S1380="S",IF(INDEX(Firms!$E$5:$E$1004,$T1380)="","",INDEX(Firms!$E$5:$E$1004,$T1380)),IF(INDEX('AFA Rates'!$C$5:$C$1004,$T1380)="","",INDEX('AFA Rates'!$C$5:$C$1004,$T1380))))</f>
        <v/>
      </c>
      <c r="E1380" s="88">
        <f>IF($T1380="","",IF($S1380="S",IF(""="","",""),IF(INDEX('AFA Rates'!$D$5:$D$1004,$T1380)="","",INDEX('AFA Rates'!$D$5:$D$1004,$T1380))))</f>
        <v/>
      </c>
      <c r="F1380" s="79">
        <f>IF($T1380="","",IF($S1380="S",IF(INDEX(Firms!$O$5:$O$1004,$T1380)="","",INDEX(Firms!$O$5:$O$1004,$T1380)),IF(INDEX('AFA Rates'!$O$5:$O$1004,$T1380)="","",INDEX('AFA Rates'!$O$5:$O$1004,$T1380))))</f>
        <v/>
      </c>
      <c r="G1380" s="50">
        <f>IF($T1380="","",IF($S1380="S",IF(INDEX(Firms!$F$5:$F$1004,$T1380)="","",INDEX(Firms!$F$5:$F$1004,$T1380)),IF(INDEX('AFA Rates'!$E$5:$E$1004,$T1380)="","",INDEX('AFA Rates'!$E$5:$E$1004,$T1380))))</f>
        <v/>
      </c>
      <c r="H1380" s="50">
        <f>IF($T1380="","",IF($S1380="S",IF(INDEX(Firms!$G$5:$G$1004,$T1380)="","",INDEX(Firms!$G$5:$G$1004,$T1380)),IF(INDEX('AFA Rates'!$F$5:$F$1004,$T1380)="","",INDEX('AFA Rates'!$F$5:$F$1004,$T1380))))</f>
        <v/>
      </c>
      <c r="I1380" s="50">
        <f>IF($T1380="","",IF($S1380="S",IF(INDEX(Firms!$H$5:$H$1004,$T1380)="","",INDEX(Firms!$H$5:$H$1004,$T1380)),IF(INDEX('AFA Rates'!$G$5:$G$1004,$T1380)="","",INDEX('AFA Rates'!$G$5:$G$1004,$T1380))))</f>
        <v/>
      </c>
      <c r="J1380" s="50">
        <f>IF($T1380="","",IF($S1380="S",IF(INDEX(Firms!$I$5:$I$1004,$T1380)="","",INDEX(Firms!$I$5:$I$1004,$T1380)),IF(INDEX('AFA Rates'!$H$5:$H$1004,$T1380)="","",INDEX('AFA Rates'!$H$5:$H$1004,$T1380))))</f>
        <v/>
      </c>
      <c r="K1380" s="50">
        <f>IF($T1380="","",IF($S1380="S",IF(INDEX(Firms!$J$5:$J$1004,$T1380)="","",INDEX(Firms!$J$5:$J$1004,$T1380)),IF(INDEX('AFA Rates'!$I$5:$I$1004,$T1380)="","",INDEX('AFA Rates'!$I$5:$I$1004,$T1380))))</f>
        <v/>
      </c>
      <c r="L1380" s="50">
        <f>IF($T1380="","",IF($S1380="S",IF(INDEX(Firms!$K$5:$K$1004,$T1380)="","",INDEX(Firms!$K$5:$K$1004,$T1380)),IF(INDEX('AFA Rates'!$J$5:$J$1004,$T1380)="","",INDEX('AFA Rates'!$J$5:$J$1004,$T1380))))</f>
        <v/>
      </c>
      <c r="M1380" s="50">
        <f>IF($T1380="","",IF($S1380="S",IF(INDEX(Firms!$L$5:$L$1004,$T1380)="","",INDEX(Firms!$L$5:$L$1004,$T1380)),IF(INDEX('AFA Rates'!$K$5:$K$1004,$T1380)="","",INDEX('AFA Rates'!$K$5:$K$1004,$T1380))))</f>
        <v/>
      </c>
      <c r="N1380" s="50">
        <f>IF($T1380="","",IF($S1380="S",IF(INDEX(Firms!$M$5:$M$1004,$T1380)="","",INDEX(Firms!$M$5:$M$1004,$T1380)),IF(INDEX('AFA Rates'!$L$5:$L$1004,$T1380)="","",INDEX('AFA Rates'!$L$5:$L$1004,$T1380))))</f>
        <v/>
      </c>
      <c r="O1380" s="78">
        <f>IF(OR($T1380="",$U1380=""),"",IF(INDEX(Firms!$C$5:$C$1004,$U1380)="","",INDEX(Firms!$C$5:$C$1004,$U1380)))</f>
        <v/>
      </c>
      <c r="P1380" s="79">
        <f>IF(OR($T1380="",$U1380=""),"",IF(INDEX(Firms!$N$5:$N$1004,$U1380)="","",INDEX(Firms!$N$5:$N$1004,$U1380)))</f>
        <v/>
      </c>
      <c r="Q1380" s="78">
        <f>IF($T1380="","",IF($S1380="S",IF(INDEX(Firms!$T$5:$T$1004,$T1380)="","",INDEX(Firms!$T$5:$T$1004,$T1380)),IF(INDEX('AFA Rates'!$M$5:$M$1004,$T1380)="","",INDEX('AFA Rates'!$M$5:$M$1004,$T1380))))</f>
        <v/>
      </c>
      <c r="S1380">
        <f>IF(1376&lt;=$S$2,"S",IF(1376&lt;=$S$2+$T$2,"A",""))</f>
        <v/>
      </c>
      <c r="T1380">
        <f>IF(S1380="S",MATCH(1376,Firms!$W$5:$W$1004,0),IF(S1380="A",IFERROR(MATCH(1376-$S$2,'AFA Rates'!$R$5:$R$1004,0),""),""))</f>
        <v/>
      </c>
      <c r="U1380">
        <f>IF(S1380="S",T1380,IF(AND(S1380="A",T1380&lt;&gt;""),IFERROR(MATCH(INDEX('AFA Rates'!$A$5:$A$1004,T1380),Firms!$A$5:$A$1004,0),""),""))</f>
        <v/>
      </c>
    </row>
    <row r="1381">
      <c r="A1381" s="78">
        <f>IF($T1381="","",IF($S1381="S",IF(INDEX(Firms!$A$5:$A$1004,$T1381)="","",INDEX(Firms!$A$5:$A$1004,$T1381)),IF(INDEX('AFA Rates'!$A$5:$A$1004,$T1381)="","",INDEX('AFA Rates'!$A$5:$A$1004,$T1381))))</f>
        <v/>
      </c>
      <c r="B1381" s="79">
        <f>IF(OR($T1381="",$U1381=""),IF($T1381="","","Not on Firms tab"),INDEX(Firms!$B$5:$B$1004,$U1381)&amp;"")</f>
        <v/>
      </c>
      <c r="C1381" s="78">
        <f>IF($T1381="","",IF($S1381="S","Standard",INDEX('AFA Rates'!$B$5:$B$1004,$T1381)&amp;""))</f>
        <v/>
      </c>
      <c r="D1381" s="88">
        <f>IF($T1381="","",IF($S1381="S",IF(INDEX(Firms!$E$5:$E$1004,$T1381)="","",INDEX(Firms!$E$5:$E$1004,$T1381)),IF(INDEX('AFA Rates'!$C$5:$C$1004,$T1381)="","",INDEX('AFA Rates'!$C$5:$C$1004,$T1381))))</f>
        <v/>
      </c>
      <c r="E1381" s="88">
        <f>IF($T1381="","",IF($S1381="S",IF(""="","",""),IF(INDEX('AFA Rates'!$D$5:$D$1004,$T1381)="","",INDEX('AFA Rates'!$D$5:$D$1004,$T1381))))</f>
        <v/>
      </c>
      <c r="F1381" s="79">
        <f>IF($T1381="","",IF($S1381="S",IF(INDEX(Firms!$O$5:$O$1004,$T1381)="","",INDEX(Firms!$O$5:$O$1004,$T1381)),IF(INDEX('AFA Rates'!$O$5:$O$1004,$T1381)="","",INDEX('AFA Rates'!$O$5:$O$1004,$T1381))))</f>
        <v/>
      </c>
      <c r="G1381" s="50">
        <f>IF($T1381="","",IF($S1381="S",IF(INDEX(Firms!$F$5:$F$1004,$T1381)="","",INDEX(Firms!$F$5:$F$1004,$T1381)),IF(INDEX('AFA Rates'!$E$5:$E$1004,$T1381)="","",INDEX('AFA Rates'!$E$5:$E$1004,$T1381))))</f>
        <v/>
      </c>
      <c r="H1381" s="50">
        <f>IF($T1381="","",IF($S1381="S",IF(INDEX(Firms!$G$5:$G$1004,$T1381)="","",INDEX(Firms!$G$5:$G$1004,$T1381)),IF(INDEX('AFA Rates'!$F$5:$F$1004,$T1381)="","",INDEX('AFA Rates'!$F$5:$F$1004,$T1381))))</f>
        <v/>
      </c>
      <c r="I1381" s="50">
        <f>IF($T1381="","",IF($S1381="S",IF(INDEX(Firms!$H$5:$H$1004,$T1381)="","",INDEX(Firms!$H$5:$H$1004,$T1381)),IF(INDEX('AFA Rates'!$G$5:$G$1004,$T1381)="","",INDEX('AFA Rates'!$G$5:$G$1004,$T1381))))</f>
        <v/>
      </c>
      <c r="J1381" s="50">
        <f>IF($T1381="","",IF($S1381="S",IF(INDEX(Firms!$I$5:$I$1004,$T1381)="","",INDEX(Firms!$I$5:$I$1004,$T1381)),IF(INDEX('AFA Rates'!$H$5:$H$1004,$T1381)="","",INDEX('AFA Rates'!$H$5:$H$1004,$T1381))))</f>
        <v/>
      </c>
      <c r="K1381" s="50">
        <f>IF($T1381="","",IF($S1381="S",IF(INDEX(Firms!$J$5:$J$1004,$T1381)="","",INDEX(Firms!$J$5:$J$1004,$T1381)),IF(INDEX('AFA Rates'!$I$5:$I$1004,$T1381)="","",INDEX('AFA Rates'!$I$5:$I$1004,$T1381))))</f>
        <v/>
      </c>
      <c r="L1381" s="50">
        <f>IF($T1381="","",IF($S1381="S",IF(INDEX(Firms!$K$5:$K$1004,$T1381)="","",INDEX(Firms!$K$5:$K$1004,$T1381)),IF(INDEX('AFA Rates'!$J$5:$J$1004,$T1381)="","",INDEX('AFA Rates'!$J$5:$J$1004,$T1381))))</f>
        <v/>
      </c>
      <c r="M1381" s="50">
        <f>IF($T1381="","",IF($S1381="S",IF(INDEX(Firms!$L$5:$L$1004,$T1381)="","",INDEX(Firms!$L$5:$L$1004,$T1381)),IF(INDEX('AFA Rates'!$K$5:$K$1004,$T1381)="","",INDEX('AFA Rates'!$K$5:$K$1004,$T1381))))</f>
        <v/>
      </c>
      <c r="N1381" s="50">
        <f>IF($T1381="","",IF($S1381="S",IF(INDEX(Firms!$M$5:$M$1004,$T1381)="","",INDEX(Firms!$M$5:$M$1004,$T1381)),IF(INDEX('AFA Rates'!$L$5:$L$1004,$T1381)="","",INDEX('AFA Rates'!$L$5:$L$1004,$T1381))))</f>
        <v/>
      </c>
      <c r="O1381" s="78">
        <f>IF(OR($T1381="",$U1381=""),"",IF(INDEX(Firms!$C$5:$C$1004,$U1381)="","",INDEX(Firms!$C$5:$C$1004,$U1381)))</f>
        <v/>
      </c>
      <c r="P1381" s="79">
        <f>IF(OR($T1381="",$U1381=""),"",IF(INDEX(Firms!$N$5:$N$1004,$U1381)="","",INDEX(Firms!$N$5:$N$1004,$U1381)))</f>
        <v/>
      </c>
      <c r="Q1381" s="78">
        <f>IF($T1381="","",IF($S1381="S",IF(INDEX(Firms!$T$5:$T$1004,$T1381)="","",INDEX(Firms!$T$5:$T$1004,$T1381)),IF(INDEX('AFA Rates'!$M$5:$M$1004,$T1381)="","",INDEX('AFA Rates'!$M$5:$M$1004,$T1381))))</f>
        <v/>
      </c>
      <c r="S1381">
        <f>IF(1377&lt;=$S$2,"S",IF(1377&lt;=$S$2+$T$2,"A",""))</f>
        <v/>
      </c>
      <c r="T1381">
        <f>IF(S1381="S",MATCH(1377,Firms!$W$5:$W$1004,0),IF(S1381="A",IFERROR(MATCH(1377-$S$2,'AFA Rates'!$R$5:$R$1004,0),""),""))</f>
        <v/>
      </c>
      <c r="U1381">
        <f>IF(S1381="S",T1381,IF(AND(S1381="A",T1381&lt;&gt;""),IFERROR(MATCH(INDEX('AFA Rates'!$A$5:$A$1004,T1381),Firms!$A$5:$A$1004,0),""),""))</f>
        <v/>
      </c>
    </row>
    <row r="1382">
      <c r="A1382" s="78">
        <f>IF($T1382="","",IF($S1382="S",IF(INDEX(Firms!$A$5:$A$1004,$T1382)="","",INDEX(Firms!$A$5:$A$1004,$T1382)),IF(INDEX('AFA Rates'!$A$5:$A$1004,$T1382)="","",INDEX('AFA Rates'!$A$5:$A$1004,$T1382))))</f>
        <v/>
      </c>
      <c r="B1382" s="79">
        <f>IF(OR($T1382="",$U1382=""),IF($T1382="","","Not on Firms tab"),INDEX(Firms!$B$5:$B$1004,$U1382)&amp;"")</f>
        <v/>
      </c>
      <c r="C1382" s="78">
        <f>IF($T1382="","",IF($S1382="S","Standard",INDEX('AFA Rates'!$B$5:$B$1004,$T1382)&amp;""))</f>
        <v/>
      </c>
      <c r="D1382" s="88">
        <f>IF($T1382="","",IF($S1382="S",IF(INDEX(Firms!$E$5:$E$1004,$T1382)="","",INDEX(Firms!$E$5:$E$1004,$T1382)),IF(INDEX('AFA Rates'!$C$5:$C$1004,$T1382)="","",INDEX('AFA Rates'!$C$5:$C$1004,$T1382))))</f>
        <v/>
      </c>
      <c r="E1382" s="88">
        <f>IF($T1382="","",IF($S1382="S",IF(""="","",""),IF(INDEX('AFA Rates'!$D$5:$D$1004,$T1382)="","",INDEX('AFA Rates'!$D$5:$D$1004,$T1382))))</f>
        <v/>
      </c>
      <c r="F1382" s="79">
        <f>IF($T1382="","",IF($S1382="S",IF(INDEX(Firms!$O$5:$O$1004,$T1382)="","",INDEX(Firms!$O$5:$O$1004,$T1382)),IF(INDEX('AFA Rates'!$O$5:$O$1004,$T1382)="","",INDEX('AFA Rates'!$O$5:$O$1004,$T1382))))</f>
        <v/>
      </c>
      <c r="G1382" s="50">
        <f>IF($T1382="","",IF($S1382="S",IF(INDEX(Firms!$F$5:$F$1004,$T1382)="","",INDEX(Firms!$F$5:$F$1004,$T1382)),IF(INDEX('AFA Rates'!$E$5:$E$1004,$T1382)="","",INDEX('AFA Rates'!$E$5:$E$1004,$T1382))))</f>
        <v/>
      </c>
      <c r="H1382" s="50">
        <f>IF($T1382="","",IF($S1382="S",IF(INDEX(Firms!$G$5:$G$1004,$T1382)="","",INDEX(Firms!$G$5:$G$1004,$T1382)),IF(INDEX('AFA Rates'!$F$5:$F$1004,$T1382)="","",INDEX('AFA Rates'!$F$5:$F$1004,$T1382))))</f>
        <v/>
      </c>
      <c r="I1382" s="50">
        <f>IF($T1382="","",IF($S1382="S",IF(INDEX(Firms!$H$5:$H$1004,$T1382)="","",INDEX(Firms!$H$5:$H$1004,$T1382)),IF(INDEX('AFA Rates'!$G$5:$G$1004,$T1382)="","",INDEX('AFA Rates'!$G$5:$G$1004,$T1382))))</f>
        <v/>
      </c>
      <c r="J1382" s="50">
        <f>IF($T1382="","",IF($S1382="S",IF(INDEX(Firms!$I$5:$I$1004,$T1382)="","",INDEX(Firms!$I$5:$I$1004,$T1382)),IF(INDEX('AFA Rates'!$H$5:$H$1004,$T1382)="","",INDEX('AFA Rates'!$H$5:$H$1004,$T1382))))</f>
        <v/>
      </c>
      <c r="K1382" s="50">
        <f>IF($T1382="","",IF($S1382="S",IF(INDEX(Firms!$J$5:$J$1004,$T1382)="","",INDEX(Firms!$J$5:$J$1004,$T1382)),IF(INDEX('AFA Rates'!$I$5:$I$1004,$T1382)="","",INDEX('AFA Rates'!$I$5:$I$1004,$T1382))))</f>
        <v/>
      </c>
      <c r="L1382" s="50">
        <f>IF($T1382="","",IF($S1382="S",IF(INDEX(Firms!$K$5:$K$1004,$T1382)="","",INDEX(Firms!$K$5:$K$1004,$T1382)),IF(INDEX('AFA Rates'!$J$5:$J$1004,$T1382)="","",INDEX('AFA Rates'!$J$5:$J$1004,$T1382))))</f>
        <v/>
      </c>
      <c r="M1382" s="50">
        <f>IF($T1382="","",IF($S1382="S",IF(INDEX(Firms!$L$5:$L$1004,$T1382)="","",INDEX(Firms!$L$5:$L$1004,$T1382)),IF(INDEX('AFA Rates'!$K$5:$K$1004,$T1382)="","",INDEX('AFA Rates'!$K$5:$K$1004,$T1382))))</f>
        <v/>
      </c>
      <c r="N1382" s="50">
        <f>IF($T1382="","",IF($S1382="S",IF(INDEX(Firms!$M$5:$M$1004,$T1382)="","",INDEX(Firms!$M$5:$M$1004,$T1382)),IF(INDEX('AFA Rates'!$L$5:$L$1004,$T1382)="","",INDEX('AFA Rates'!$L$5:$L$1004,$T1382))))</f>
        <v/>
      </c>
      <c r="O1382" s="78">
        <f>IF(OR($T1382="",$U1382=""),"",IF(INDEX(Firms!$C$5:$C$1004,$U1382)="","",INDEX(Firms!$C$5:$C$1004,$U1382)))</f>
        <v/>
      </c>
      <c r="P1382" s="79">
        <f>IF(OR($T1382="",$U1382=""),"",IF(INDEX(Firms!$N$5:$N$1004,$U1382)="","",INDEX(Firms!$N$5:$N$1004,$U1382)))</f>
        <v/>
      </c>
      <c r="Q1382" s="78">
        <f>IF($T1382="","",IF($S1382="S",IF(INDEX(Firms!$T$5:$T$1004,$T1382)="","",INDEX(Firms!$T$5:$T$1004,$T1382)),IF(INDEX('AFA Rates'!$M$5:$M$1004,$T1382)="","",INDEX('AFA Rates'!$M$5:$M$1004,$T1382))))</f>
        <v/>
      </c>
      <c r="S1382">
        <f>IF(1378&lt;=$S$2,"S",IF(1378&lt;=$S$2+$T$2,"A",""))</f>
        <v/>
      </c>
      <c r="T1382">
        <f>IF(S1382="S",MATCH(1378,Firms!$W$5:$W$1004,0),IF(S1382="A",IFERROR(MATCH(1378-$S$2,'AFA Rates'!$R$5:$R$1004,0),""),""))</f>
        <v/>
      </c>
      <c r="U1382">
        <f>IF(S1382="S",T1382,IF(AND(S1382="A",T1382&lt;&gt;""),IFERROR(MATCH(INDEX('AFA Rates'!$A$5:$A$1004,T1382),Firms!$A$5:$A$1004,0),""),""))</f>
        <v/>
      </c>
    </row>
    <row r="1383">
      <c r="A1383" s="78">
        <f>IF($T1383="","",IF($S1383="S",IF(INDEX(Firms!$A$5:$A$1004,$T1383)="","",INDEX(Firms!$A$5:$A$1004,$T1383)),IF(INDEX('AFA Rates'!$A$5:$A$1004,$T1383)="","",INDEX('AFA Rates'!$A$5:$A$1004,$T1383))))</f>
        <v/>
      </c>
      <c r="B1383" s="79">
        <f>IF(OR($T1383="",$U1383=""),IF($T1383="","","Not on Firms tab"),INDEX(Firms!$B$5:$B$1004,$U1383)&amp;"")</f>
        <v/>
      </c>
      <c r="C1383" s="78">
        <f>IF($T1383="","",IF($S1383="S","Standard",INDEX('AFA Rates'!$B$5:$B$1004,$T1383)&amp;""))</f>
        <v/>
      </c>
      <c r="D1383" s="88">
        <f>IF($T1383="","",IF($S1383="S",IF(INDEX(Firms!$E$5:$E$1004,$T1383)="","",INDEX(Firms!$E$5:$E$1004,$T1383)),IF(INDEX('AFA Rates'!$C$5:$C$1004,$T1383)="","",INDEX('AFA Rates'!$C$5:$C$1004,$T1383))))</f>
        <v/>
      </c>
      <c r="E1383" s="88">
        <f>IF($T1383="","",IF($S1383="S",IF(""="","",""),IF(INDEX('AFA Rates'!$D$5:$D$1004,$T1383)="","",INDEX('AFA Rates'!$D$5:$D$1004,$T1383))))</f>
        <v/>
      </c>
      <c r="F1383" s="79">
        <f>IF($T1383="","",IF($S1383="S",IF(INDEX(Firms!$O$5:$O$1004,$T1383)="","",INDEX(Firms!$O$5:$O$1004,$T1383)),IF(INDEX('AFA Rates'!$O$5:$O$1004,$T1383)="","",INDEX('AFA Rates'!$O$5:$O$1004,$T1383))))</f>
        <v/>
      </c>
      <c r="G1383" s="50">
        <f>IF($T1383="","",IF($S1383="S",IF(INDEX(Firms!$F$5:$F$1004,$T1383)="","",INDEX(Firms!$F$5:$F$1004,$T1383)),IF(INDEX('AFA Rates'!$E$5:$E$1004,$T1383)="","",INDEX('AFA Rates'!$E$5:$E$1004,$T1383))))</f>
        <v/>
      </c>
      <c r="H1383" s="50">
        <f>IF($T1383="","",IF($S1383="S",IF(INDEX(Firms!$G$5:$G$1004,$T1383)="","",INDEX(Firms!$G$5:$G$1004,$T1383)),IF(INDEX('AFA Rates'!$F$5:$F$1004,$T1383)="","",INDEX('AFA Rates'!$F$5:$F$1004,$T1383))))</f>
        <v/>
      </c>
      <c r="I1383" s="50">
        <f>IF($T1383="","",IF($S1383="S",IF(INDEX(Firms!$H$5:$H$1004,$T1383)="","",INDEX(Firms!$H$5:$H$1004,$T1383)),IF(INDEX('AFA Rates'!$G$5:$G$1004,$T1383)="","",INDEX('AFA Rates'!$G$5:$G$1004,$T1383))))</f>
        <v/>
      </c>
      <c r="J1383" s="50">
        <f>IF($T1383="","",IF($S1383="S",IF(INDEX(Firms!$I$5:$I$1004,$T1383)="","",INDEX(Firms!$I$5:$I$1004,$T1383)),IF(INDEX('AFA Rates'!$H$5:$H$1004,$T1383)="","",INDEX('AFA Rates'!$H$5:$H$1004,$T1383))))</f>
        <v/>
      </c>
      <c r="K1383" s="50">
        <f>IF($T1383="","",IF($S1383="S",IF(INDEX(Firms!$J$5:$J$1004,$T1383)="","",INDEX(Firms!$J$5:$J$1004,$T1383)),IF(INDEX('AFA Rates'!$I$5:$I$1004,$T1383)="","",INDEX('AFA Rates'!$I$5:$I$1004,$T1383))))</f>
        <v/>
      </c>
      <c r="L1383" s="50">
        <f>IF($T1383="","",IF($S1383="S",IF(INDEX(Firms!$K$5:$K$1004,$T1383)="","",INDEX(Firms!$K$5:$K$1004,$T1383)),IF(INDEX('AFA Rates'!$J$5:$J$1004,$T1383)="","",INDEX('AFA Rates'!$J$5:$J$1004,$T1383))))</f>
        <v/>
      </c>
      <c r="M1383" s="50">
        <f>IF($T1383="","",IF($S1383="S",IF(INDEX(Firms!$L$5:$L$1004,$T1383)="","",INDEX(Firms!$L$5:$L$1004,$T1383)),IF(INDEX('AFA Rates'!$K$5:$K$1004,$T1383)="","",INDEX('AFA Rates'!$K$5:$K$1004,$T1383))))</f>
        <v/>
      </c>
      <c r="N1383" s="50">
        <f>IF($T1383="","",IF($S1383="S",IF(INDEX(Firms!$M$5:$M$1004,$T1383)="","",INDEX(Firms!$M$5:$M$1004,$T1383)),IF(INDEX('AFA Rates'!$L$5:$L$1004,$T1383)="","",INDEX('AFA Rates'!$L$5:$L$1004,$T1383))))</f>
        <v/>
      </c>
      <c r="O1383" s="78">
        <f>IF(OR($T1383="",$U1383=""),"",IF(INDEX(Firms!$C$5:$C$1004,$U1383)="","",INDEX(Firms!$C$5:$C$1004,$U1383)))</f>
        <v/>
      </c>
      <c r="P1383" s="79">
        <f>IF(OR($T1383="",$U1383=""),"",IF(INDEX(Firms!$N$5:$N$1004,$U1383)="","",INDEX(Firms!$N$5:$N$1004,$U1383)))</f>
        <v/>
      </c>
      <c r="Q1383" s="78">
        <f>IF($T1383="","",IF($S1383="S",IF(INDEX(Firms!$T$5:$T$1004,$T1383)="","",INDEX(Firms!$T$5:$T$1004,$T1383)),IF(INDEX('AFA Rates'!$M$5:$M$1004,$T1383)="","",INDEX('AFA Rates'!$M$5:$M$1004,$T1383))))</f>
        <v/>
      </c>
      <c r="S1383">
        <f>IF(1379&lt;=$S$2,"S",IF(1379&lt;=$S$2+$T$2,"A",""))</f>
        <v/>
      </c>
      <c r="T1383">
        <f>IF(S1383="S",MATCH(1379,Firms!$W$5:$W$1004,0),IF(S1383="A",IFERROR(MATCH(1379-$S$2,'AFA Rates'!$R$5:$R$1004,0),""),""))</f>
        <v/>
      </c>
      <c r="U1383">
        <f>IF(S1383="S",T1383,IF(AND(S1383="A",T1383&lt;&gt;""),IFERROR(MATCH(INDEX('AFA Rates'!$A$5:$A$1004,T1383),Firms!$A$5:$A$1004,0),""),""))</f>
        <v/>
      </c>
    </row>
    <row r="1384">
      <c r="A1384" s="78">
        <f>IF($T1384="","",IF($S1384="S",IF(INDEX(Firms!$A$5:$A$1004,$T1384)="","",INDEX(Firms!$A$5:$A$1004,$T1384)),IF(INDEX('AFA Rates'!$A$5:$A$1004,$T1384)="","",INDEX('AFA Rates'!$A$5:$A$1004,$T1384))))</f>
        <v/>
      </c>
      <c r="B1384" s="79">
        <f>IF(OR($T1384="",$U1384=""),IF($T1384="","","Not on Firms tab"),INDEX(Firms!$B$5:$B$1004,$U1384)&amp;"")</f>
        <v/>
      </c>
      <c r="C1384" s="78">
        <f>IF($T1384="","",IF($S1384="S","Standard",INDEX('AFA Rates'!$B$5:$B$1004,$T1384)&amp;""))</f>
        <v/>
      </c>
      <c r="D1384" s="88">
        <f>IF($T1384="","",IF($S1384="S",IF(INDEX(Firms!$E$5:$E$1004,$T1384)="","",INDEX(Firms!$E$5:$E$1004,$T1384)),IF(INDEX('AFA Rates'!$C$5:$C$1004,$T1384)="","",INDEX('AFA Rates'!$C$5:$C$1004,$T1384))))</f>
        <v/>
      </c>
      <c r="E1384" s="88">
        <f>IF($T1384="","",IF($S1384="S",IF(""="","",""),IF(INDEX('AFA Rates'!$D$5:$D$1004,$T1384)="","",INDEX('AFA Rates'!$D$5:$D$1004,$T1384))))</f>
        <v/>
      </c>
      <c r="F1384" s="79">
        <f>IF($T1384="","",IF($S1384="S",IF(INDEX(Firms!$O$5:$O$1004,$T1384)="","",INDEX(Firms!$O$5:$O$1004,$T1384)),IF(INDEX('AFA Rates'!$O$5:$O$1004,$T1384)="","",INDEX('AFA Rates'!$O$5:$O$1004,$T1384))))</f>
        <v/>
      </c>
      <c r="G1384" s="50">
        <f>IF($T1384="","",IF($S1384="S",IF(INDEX(Firms!$F$5:$F$1004,$T1384)="","",INDEX(Firms!$F$5:$F$1004,$T1384)),IF(INDEX('AFA Rates'!$E$5:$E$1004,$T1384)="","",INDEX('AFA Rates'!$E$5:$E$1004,$T1384))))</f>
        <v/>
      </c>
      <c r="H1384" s="50">
        <f>IF($T1384="","",IF($S1384="S",IF(INDEX(Firms!$G$5:$G$1004,$T1384)="","",INDEX(Firms!$G$5:$G$1004,$T1384)),IF(INDEX('AFA Rates'!$F$5:$F$1004,$T1384)="","",INDEX('AFA Rates'!$F$5:$F$1004,$T1384))))</f>
        <v/>
      </c>
      <c r="I1384" s="50">
        <f>IF($T1384="","",IF($S1384="S",IF(INDEX(Firms!$H$5:$H$1004,$T1384)="","",INDEX(Firms!$H$5:$H$1004,$T1384)),IF(INDEX('AFA Rates'!$G$5:$G$1004,$T1384)="","",INDEX('AFA Rates'!$G$5:$G$1004,$T1384))))</f>
        <v/>
      </c>
      <c r="J1384" s="50">
        <f>IF($T1384="","",IF($S1384="S",IF(INDEX(Firms!$I$5:$I$1004,$T1384)="","",INDEX(Firms!$I$5:$I$1004,$T1384)),IF(INDEX('AFA Rates'!$H$5:$H$1004,$T1384)="","",INDEX('AFA Rates'!$H$5:$H$1004,$T1384))))</f>
        <v/>
      </c>
      <c r="K1384" s="50">
        <f>IF($T1384="","",IF($S1384="S",IF(INDEX(Firms!$J$5:$J$1004,$T1384)="","",INDEX(Firms!$J$5:$J$1004,$T1384)),IF(INDEX('AFA Rates'!$I$5:$I$1004,$T1384)="","",INDEX('AFA Rates'!$I$5:$I$1004,$T1384))))</f>
        <v/>
      </c>
      <c r="L1384" s="50">
        <f>IF($T1384="","",IF($S1384="S",IF(INDEX(Firms!$K$5:$K$1004,$T1384)="","",INDEX(Firms!$K$5:$K$1004,$T1384)),IF(INDEX('AFA Rates'!$J$5:$J$1004,$T1384)="","",INDEX('AFA Rates'!$J$5:$J$1004,$T1384))))</f>
        <v/>
      </c>
      <c r="M1384" s="50">
        <f>IF($T1384="","",IF($S1384="S",IF(INDEX(Firms!$L$5:$L$1004,$T1384)="","",INDEX(Firms!$L$5:$L$1004,$T1384)),IF(INDEX('AFA Rates'!$K$5:$K$1004,$T1384)="","",INDEX('AFA Rates'!$K$5:$K$1004,$T1384))))</f>
        <v/>
      </c>
      <c r="N1384" s="50">
        <f>IF($T1384="","",IF($S1384="S",IF(INDEX(Firms!$M$5:$M$1004,$T1384)="","",INDEX(Firms!$M$5:$M$1004,$T1384)),IF(INDEX('AFA Rates'!$L$5:$L$1004,$T1384)="","",INDEX('AFA Rates'!$L$5:$L$1004,$T1384))))</f>
        <v/>
      </c>
      <c r="O1384" s="78">
        <f>IF(OR($T1384="",$U1384=""),"",IF(INDEX(Firms!$C$5:$C$1004,$U1384)="","",INDEX(Firms!$C$5:$C$1004,$U1384)))</f>
        <v/>
      </c>
      <c r="P1384" s="79">
        <f>IF(OR($T1384="",$U1384=""),"",IF(INDEX(Firms!$N$5:$N$1004,$U1384)="","",INDEX(Firms!$N$5:$N$1004,$U1384)))</f>
        <v/>
      </c>
      <c r="Q1384" s="78">
        <f>IF($T1384="","",IF($S1384="S",IF(INDEX(Firms!$T$5:$T$1004,$T1384)="","",INDEX(Firms!$T$5:$T$1004,$T1384)),IF(INDEX('AFA Rates'!$M$5:$M$1004,$T1384)="","",INDEX('AFA Rates'!$M$5:$M$1004,$T1384))))</f>
        <v/>
      </c>
      <c r="S1384">
        <f>IF(1380&lt;=$S$2,"S",IF(1380&lt;=$S$2+$T$2,"A",""))</f>
        <v/>
      </c>
      <c r="T1384">
        <f>IF(S1384="S",MATCH(1380,Firms!$W$5:$W$1004,0),IF(S1384="A",IFERROR(MATCH(1380-$S$2,'AFA Rates'!$R$5:$R$1004,0),""),""))</f>
        <v/>
      </c>
      <c r="U1384">
        <f>IF(S1384="S",T1384,IF(AND(S1384="A",T1384&lt;&gt;""),IFERROR(MATCH(INDEX('AFA Rates'!$A$5:$A$1004,T1384),Firms!$A$5:$A$1004,0),""),""))</f>
        <v/>
      </c>
    </row>
    <row r="1385">
      <c r="A1385" s="78">
        <f>IF($T1385="","",IF($S1385="S",IF(INDEX(Firms!$A$5:$A$1004,$T1385)="","",INDEX(Firms!$A$5:$A$1004,$T1385)),IF(INDEX('AFA Rates'!$A$5:$A$1004,$T1385)="","",INDEX('AFA Rates'!$A$5:$A$1004,$T1385))))</f>
        <v/>
      </c>
      <c r="B1385" s="79">
        <f>IF(OR($T1385="",$U1385=""),IF($T1385="","","Not on Firms tab"),INDEX(Firms!$B$5:$B$1004,$U1385)&amp;"")</f>
        <v/>
      </c>
      <c r="C1385" s="78">
        <f>IF($T1385="","",IF($S1385="S","Standard",INDEX('AFA Rates'!$B$5:$B$1004,$T1385)&amp;""))</f>
        <v/>
      </c>
      <c r="D1385" s="88">
        <f>IF($T1385="","",IF($S1385="S",IF(INDEX(Firms!$E$5:$E$1004,$T1385)="","",INDEX(Firms!$E$5:$E$1004,$T1385)),IF(INDEX('AFA Rates'!$C$5:$C$1004,$T1385)="","",INDEX('AFA Rates'!$C$5:$C$1004,$T1385))))</f>
        <v/>
      </c>
      <c r="E1385" s="88">
        <f>IF($T1385="","",IF($S1385="S",IF(""="","",""),IF(INDEX('AFA Rates'!$D$5:$D$1004,$T1385)="","",INDEX('AFA Rates'!$D$5:$D$1004,$T1385))))</f>
        <v/>
      </c>
      <c r="F1385" s="79">
        <f>IF($T1385="","",IF($S1385="S",IF(INDEX(Firms!$O$5:$O$1004,$T1385)="","",INDEX(Firms!$O$5:$O$1004,$T1385)),IF(INDEX('AFA Rates'!$O$5:$O$1004,$T1385)="","",INDEX('AFA Rates'!$O$5:$O$1004,$T1385))))</f>
        <v/>
      </c>
      <c r="G1385" s="50">
        <f>IF($T1385="","",IF($S1385="S",IF(INDEX(Firms!$F$5:$F$1004,$T1385)="","",INDEX(Firms!$F$5:$F$1004,$T1385)),IF(INDEX('AFA Rates'!$E$5:$E$1004,$T1385)="","",INDEX('AFA Rates'!$E$5:$E$1004,$T1385))))</f>
        <v/>
      </c>
      <c r="H1385" s="50">
        <f>IF($T1385="","",IF($S1385="S",IF(INDEX(Firms!$G$5:$G$1004,$T1385)="","",INDEX(Firms!$G$5:$G$1004,$T1385)),IF(INDEX('AFA Rates'!$F$5:$F$1004,$T1385)="","",INDEX('AFA Rates'!$F$5:$F$1004,$T1385))))</f>
        <v/>
      </c>
      <c r="I1385" s="50">
        <f>IF($T1385="","",IF($S1385="S",IF(INDEX(Firms!$H$5:$H$1004,$T1385)="","",INDEX(Firms!$H$5:$H$1004,$T1385)),IF(INDEX('AFA Rates'!$G$5:$G$1004,$T1385)="","",INDEX('AFA Rates'!$G$5:$G$1004,$T1385))))</f>
        <v/>
      </c>
      <c r="J1385" s="50">
        <f>IF($T1385="","",IF($S1385="S",IF(INDEX(Firms!$I$5:$I$1004,$T1385)="","",INDEX(Firms!$I$5:$I$1004,$T1385)),IF(INDEX('AFA Rates'!$H$5:$H$1004,$T1385)="","",INDEX('AFA Rates'!$H$5:$H$1004,$T1385))))</f>
        <v/>
      </c>
      <c r="K1385" s="50">
        <f>IF($T1385="","",IF($S1385="S",IF(INDEX(Firms!$J$5:$J$1004,$T1385)="","",INDEX(Firms!$J$5:$J$1004,$T1385)),IF(INDEX('AFA Rates'!$I$5:$I$1004,$T1385)="","",INDEX('AFA Rates'!$I$5:$I$1004,$T1385))))</f>
        <v/>
      </c>
      <c r="L1385" s="50">
        <f>IF($T1385="","",IF($S1385="S",IF(INDEX(Firms!$K$5:$K$1004,$T1385)="","",INDEX(Firms!$K$5:$K$1004,$T1385)),IF(INDEX('AFA Rates'!$J$5:$J$1004,$T1385)="","",INDEX('AFA Rates'!$J$5:$J$1004,$T1385))))</f>
        <v/>
      </c>
      <c r="M1385" s="50">
        <f>IF($T1385="","",IF($S1385="S",IF(INDEX(Firms!$L$5:$L$1004,$T1385)="","",INDEX(Firms!$L$5:$L$1004,$T1385)),IF(INDEX('AFA Rates'!$K$5:$K$1004,$T1385)="","",INDEX('AFA Rates'!$K$5:$K$1004,$T1385))))</f>
        <v/>
      </c>
      <c r="N1385" s="50">
        <f>IF($T1385="","",IF($S1385="S",IF(INDEX(Firms!$M$5:$M$1004,$T1385)="","",INDEX(Firms!$M$5:$M$1004,$T1385)),IF(INDEX('AFA Rates'!$L$5:$L$1004,$T1385)="","",INDEX('AFA Rates'!$L$5:$L$1004,$T1385))))</f>
        <v/>
      </c>
      <c r="O1385" s="78">
        <f>IF(OR($T1385="",$U1385=""),"",IF(INDEX(Firms!$C$5:$C$1004,$U1385)="","",INDEX(Firms!$C$5:$C$1004,$U1385)))</f>
        <v/>
      </c>
      <c r="P1385" s="79">
        <f>IF(OR($T1385="",$U1385=""),"",IF(INDEX(Firms!$N$5:$N$1004,$U1385)="","",INDEX(Firms!$N$5:$N$1004,$U1385)))</f>
        <v/>
      </c>
      <c r="Q1385" s="78">
        <f>IF($T1385="","",IF($S1385="S",IF(INDEX(Firms!$T$5:$T$1004,$T1385)="","",INDEX(Firms!$T$5:$T$1004,$T1385)),IF(INDEX('AFA Rates'!$M$5:$M$1004,$T1385)="","",INDEX('AFA Rates'!$M$5:$M$1004,$T1385))))</f>
        <v/>
      </c>
      <c r="S1385">
        <f>IF(1381&lt;=$S$2,"S",IF(1381&lt;=$S$2+$T$2,"A",""))</f>
        <v/>
      </c>
      <c r="T1385">
        <f>IF(S1385="S",MATCH(1381,Firms!$W$5:$W$1004,0),IF(S1385="A",IFERROR(MATCH(1381-$S$2,'AFA Rates'!$R$5:$R$1004,0),""),""))</f>
        <v/>
      </c>
      <c r="U1385">
        <f>IF(S1385="S",T1385,IF(AND(S1385="A",T1385&lt;&gt;""),IFERROR(MATCH(INDEX('AFA Rates'!$A$5:$A$1004,T1385),Firms!$A$5:$A$1004,0),""),""))</f>
        <v/>
      </c>
    </row>
    <row r="1386">
      <c r="A1386" s="78">
        <f>IF($T1386="","",IF($S1386="S",IF(INDEX(Firms!$A$5:$A$1004,$T1386)="","",INDEX(Firms!$A$5:$A$1004,$T1386)),IF(INDEX('AFA Rates'!$A$5:$A$1004,$T1386)="","",INDEX('AFA Rates'!$A$5:$A$1004,$T1386))))</f>
        <v/>
      </c>
      <c r="B1386" s="79">
        <f>IF(OR($T1386="",$U1386=""),IF($T1386="","","Not on Firms tab"),INDEX(Firms!$B$5:$B$1004,$U1386)&amp;"")</f>
        <v/>
      </c>
      <c r="C1386" s="78">
        <f>IF($T1386="","",IF($S1386="S","Standard",INDEX('AFA Rates'!$B$5:$B$1004,$T1386)&amp;""))</f>
        <v/>
      </c>
      <c r="D1386" s="88">
        <f>IF($T1386="","",IF($S1386="S",IF(INDEX(Firms!$E$5:$E$1004,$T1386)="","",INDEX(Firms!$E$5:$E$1004,$T1386)),IF(INDEX('AFA Rates'!$C$5:$C$1004,$T1386)="","",INDEX('AFA Rates'!$C$5:$C$1004,$T1386))))</f>
        <v/>
      </c>
      <c r="E1386" s="88">
        <f>IF($T1386="","",IF($S1386="S",IF(""="","",""),IF(INDEX('AFA Rates'!$D$5:$D$1004,$T1386)="","",INDEX('AFA Rates'!$D$5:$D$1004,$T1386))))</f>
        <v/>
      </c>
      <c r="F1386" s="79">
        <f>IF($T1386="","",IF($S1386="S",IF(INDEX(Firms!$O$5:$O$1004,$T1386)="","",INDEX(Firms!$O$5:$O$1004,$T1386)),IF(INDEX('AFA Rates'!$O$5:$O$1004,$T1386)="","",INDEX('AFA Rates'!$O$5:$O$1004,$T1386))))</f>
        <v/>
      </c>
      <c r="G1386" s="50">
        <f>IF($T1386="","",IF($S1386="S",IF(INDEX(Firms!$F$5:$F$1004,$T1386)="","",INDEX(Firms!$F$5:$F$1004,$T1386)),IF(INDEX('AFA Rates'!$E$5:$E$1004,$T1386)="","",INDEX('AFA Rates'!$E$5:$E$1004,$T1386))))</f>
        <v/>
      </c>
      <c r="H1386" s="50">
        <f>IF($T1386="","",IF($S1386="S",IF(INDEX(Firms!$G$5:$G$1004,$T1386)="","",INDEX(Firms!$G$5:$G$1004,$T1386)),IF(INDEX('AFA Rates'!$F$5:$F$1004,$T1386)="","",INDEX('AFA Rates'!$F$5:$F$1004,$T1386))))</f>
        <v/>
      </c>
      <c r="I1386" s="50">
        <f>IF($T1386="","",IF($S1386="S",IF(INDEX(Firms!$H$5:$H$1004,$T1386)="","",INDEX(Firms!$H$5:$H$1004,$T1386)),IF(INDEX('AFA Rates'!$G$5:$G$1004,$T1386)="","",INDEX('AFA Rates'!$G$5:$G$1004,$T1386))))</f>
        <v/>
      </c>
      <c r="J1386" s="50">
        <f>IF($T1386="","",IF($S1386="S",IF(INDEX(Firms!$I$5:$I$1004,$T1386)="","",INDEX(Firms!$I$5:$I$1004,$T1386)),IF(INDEX('AFA Rates'!$H$5:$H$1004,$T1386)="","",INDEX('AFA Rates'!$H$5:$H$1004,$T1386))))</f>
        <v/>
      </c>
      <c r="K1386" s="50">
        <f>IF($T1386="","",IF($S1386="S",IF(INDEX(Firms!$J$5:$J$1004,$T1386)="","",INDEX(Firms!$J$5:$J$1004,$T1386)),IF(INDEX('AFA Rates'!$I$5:$I$1004,$T1386)="","",INDEX('AFA Rates'!$I$5:$I$1004,$T1386))))</f>
        <v/>
      </c>
      <c r="L1386" s="50">
        <f>IF($T1386="","",IF($S1386="S",IF(INDEX(Firms!$K$5:$K$1004,$T1386)="","",INDEX(Firms!$K$5:$K$1004,$T1386)),IF(INDEX('AFA Rates'!$J$5:$J$1004,$T1386)="","",INDEX('AFA Rates'!$J$5:$J$1004,$T1386))))</f>
        <v/>
      </c>
      <c r="M1386" s="50">
        <f>IF($T1386="","",IF($S1386="S",IF(INDEX(Firms!$L$5:$L$1004,$T1386)="","",INDEX(Firms!$L$5:$L$1004,$T1386)),IF(INDEX('AFA Rates'!$K$5:$K$1004,$T1386)="","",INDEX('AFA Rates'!$K$5:$K$1004,$T1386))))</f>
        <v/>
      </c>
      <c r="N1386" s="50">
        <f>IF($T1386="","",IF($S1386="S",IF(INDEX(Firms!$M$5:$M$1004,$T1386)="","",INDEX(Firms!$M$5:$M$1004,$T1386)),IF(INDEX('AFA Rates'!$L$5:$L$1004,$T1386)="","",INDEX('AFA Rates'!$L$5:$L$1004,$T1386))))</f>
        <v/>
      </c>
      <c r="O1386" s="78">
        <f>IF(OR($T1386="",$U1386=""),"",IF(INDEX(Firms!$C$5:$C$1004,$U1386)="","",INDEX(Firms!$C$5:$C$1004,$U1386)))</f>
        <v/>
      </c>
      <c r="P1386" s="79">
        <f>IF(OR($T1386="",$U1386=""),"",IF(INDEX(Firms!$N$5:$N$1004,$U1386)="","",INDEX(Firms!$N$5:$N$1004,$U1386)))</f>
        <v/>
      </c>
      <c r="Q1386" s="78">
        <f>IF($T1386="","",IF($S1386="S",IF(INDEX(Firms!$T$5:$T$1004,$T1386)="","",INDEX(Firms!$T$5:$T$1004,$T1386)),IF(INDEX('AFA Rates'!$M$5:$M$1004,$T1386)="","",INDEX('AFA Rates'!$M$5:$M$1004,$T1386))))</f>
        <v/>
      </c>
      <c r="S1386">
        <f>IF(1382&lt;=$S$2,"S",IF(1382&lt;=$S$2+$T$2,"A",""))</f>
        <v/>
      </c>
      <c r="T1386">
        <f>IF(S1386="S",MATCH(1382,Firms!$W$5:$W$1004,0),IF(S1386="A",IFERROR(MATCH(1382-$S$2,'AFA Rates'!$R$5:$R$1004,0),""),""))</f>
        <v/>
      </c>
      <c r="U1386">
        <f>IF(S1386="S",T1386,IF(AND(S1386="A",T1386&lt;&gt;""),IFERROR(MATCH(INDEX('AFA Rates'!$A$5:$A$1004,T1386),Firms!$A$5:$A$1004,0),""),""))</f>
        <v/>
      </c>
    </row>
    <row r="1387">
      <c r="A1387" s="78">
        <f>IF($T1387="","",IF($S1387="S",IF(INDEX(Firms!$A$5:$A$1004,$T1387)="","",INDEX(Firms!$A$5:$A$1004,$T1387)),IF(INDEX('AFA Rates'!$A$5:$A$1004,$T1387)="","",INDEX('AFA Rates'!$A$5:$A$1004,$T1387))))</f>
        <v/>
      </c>
      <c r="B1387" s="79">
        <f>IF(OR($T1387="",$U1387=""),IF($T1387="","","Not on Firms tab"),INDEX(Firms!$B$5:$B$1004,$U1387)&amp;"")</f>
        <v/>
      </c>
      <c r="C1387" s="78">
        <f>IF($T1387="","",IF($S1387="S","Standard",INDEX('AFA Rates'!$B$5:$B$1004,$T1387)&amp;""))</f>
        <v/>
      </c>
      <c r="D1387" s="88">
        <f>IF($T1387="","",IF($S1387="S",IF(INDEX(Firms!$E$5:$E$1004,$T1387)="","",INDEX(Firms!$E$5:$E$1004,$T1387)),IF(INDEX('AFA Rates'!$C$5:$C$1004,$T1387)="","",INDEX('AFA Rates'!$C$5:$C$1004,$T1387))))</f>
        <v/>
      </c>
      <c r="E1387" s="88">
        <f>IF($T1387="","",IF($S1387="S",IF(""="","",""),IF(INDEX('AFA Rates'!$D$5:$D$1004,$T1387)="","",INDEX('AFA Rates'!$D$5:$D$1004,$T1387))))</f>
        <v/>
      </c>
      <c r="F1387" s="79">
        <f>IF($T1387="","",IF($S1387="S",IF(INDEX(Firms!$O$5:$O$1004,$T1387)="","",INDEX(Firms!$O$5:$O$1004,$T1387)),IF(INDEX('AFA Rates'!$O$5:$O$1004,$T1387)="","",INDEX('AFA Rates'!$O$5:$O$1004,$T1387))))</f>
        <v/>
      </c>
      <c r="G1387" s="50">
        <f>IF($T1387="","",IF($S1387="S",IF(INDEX(Firms!$F$5:$F$1004,$T1387)="","",INDEX(Firms!$F$5:$F$1004,$T1387)),IF(INDEX('AFA Rates'!$E$5:$E$1004,$T1387)="","",INDEX('AFA Rates'!$E$5:$E$1004,$T1387))))</f>
        <v/>
      </c>
      <c r="H1387" s="50">
        <f>IF($T1387="","",IF($S1387="S",IF(INDEX(Firms!$G$5:$G$1004,$T1387)="","",INDEX(Firms!$G$5:$G$1004,$T1387)),IF(INDEX('AFA Rates'!$F$5:$F$1004,$T1387)="","",INDEX('AFA Rates'!$F$5:$F$1004,$T1387))))</f>
        <v/>
      </c>
      <c r="I1387" s="50">
        <f>IF($T1387="","",IF($S1387="S",IF(INDEX(Firms!$H$5:$H$1004,$T1387)="","",INDEX(Firms!$H$5:$H$1004,$T1387)),IF(INDEX('AFA Rates'!$G$5:$G$1004,$T1387)="","",INDEX('AFA Rates'!$G$5:$G$1004,$T1387))))</f>
        <v/>
      </c>
      <c r="J1387" s="50">
        <f>IF($T1387="","",IF($S1387="S",IF(INDEX(Firms!$I$5:$I$1004,$T1387)="","",INDEX(Firms!$I$5:$I$1004,$T1387)),IF(INDEX('AFA Rates'!$H$5:$H$1004,$T1387)="","",INDEX('AFA Rates'!$H$5:$H$1004,$T1387))))</f>
        <v/>
      </c>
      <c r="K1387" s="50">
        <f>IF($T1387="","",IF($S1387="S",IF(INDEX(Firms!$J$5:$J$1004,$T1387)="","",INDEX(Firms!$J$5:$J$1004,$T1387)),IF(INDEX('AFA Rates'!$I$5:$I$1004,$T1387)="","",INDEX('AFA Rates'!$I$5:$I$1004,$T1387))))</f>
        <v/>
      </c>
      <c r="L1387" s="50">
        <f>IF($T1387="","",IF($S1387="S",IF(INDEX(Firms!$K$5:$K$1004,$T1387)="","",INDEX(Firms!$K$5:$K$1004,$T1387)),IF(INDEX('AFA Rates'!$J$5:$J$1004,$T1387)="","",INDEX('AFA Rates'!$J$5:$J$1004,$T1387))))</f>
        <v/>
      </c>
      <c r="M1387" s="50">
        <f>IF($T1387="","",IF($S1387="S",IF(INDEX(Firms!$L$5:$L$1004,$T1387)="","",INDEX(Firms!$L$5:$L$1004,$T1387)),IF(INDEX('AFA Rates'!$K$5:$K$1004,$T1387)="","",INDEX('AFA Rates'!$K$5:$K$1004,$T1387))))</f>
        <v/>
      </c>
      <c r="N1387" s="50">
        <f>IF($T1387="","",IF($S1387="S",IF(INDEX(Firms!$M$5:$M$1004,$T1387)="","",INDEX(Firms!$M$5:$M$1004,$T1387)),IF(INDEX('AFA Rates'!$L$5:$L$1004,$T1387)="","",INDEX('AFA Rates'!$L$5:$L$1004,$T1387))))</f>
        <v/>
      </c>
      <c r="O1387" s="78">
        <f>IF(OR($T1387="",$U1387=""),"",IF(INDEX(Firms!$C$5:$C$1004,$U1387)="","",INDEX(Firms!$C$5:$C$1004,$U1387)))</f>
        <v/>
      </c>
      <c r="P1387" s="79">
        <f>IF(OR($T1387="",$U1387=""),"",IF(INDEX(Firms!$N$5:$N$1004,$U1387)="","",INDEX(Firms!$N$5:$N$1004,$U1387)))</f>
        <v/>
      </c>
      <c r="Q1387" s="78">
        <f>IF($T1387="","",IF($S1387="S",IF(INDEX(Firms!$T$5:$T$1004,$T1387)="","",INDEX(Firms!$T$5:$T$1004,$T1387)),IF(INDEX('AFA Rates'!$M$5:$M$1004,$T1387)="","",INDEX('AFA Rates'!$M$5:$M$1004,$T1387))))</f>
        <v/>
      </c>
      <c r="S1387">
        <f>IF(1383&lt;=$S$2,"S",IF(1383&lt;=$S$2+$T$2,"A",""))</f>
        <v/>
      </c>
      <c r="T1387">
        <f>IF(S1387="S",MATCH(1383,Firms!$W$5:$W$1004,0),IF(S1387="A",IFERROR(MATCH(1383-$S$2,'AFA Rates'!$R$5:$R$1004,0),""),""))</f>
        <v/>
      </c>
      <c r="U1387">
        <f>IF(S1387="S",T1387,IF(AND(S1387="A",T1387&lt;&gt;""),IFERROR(MATCH(INDEX('AFA Rates'!$A$5:$A$1004,T1387),Firms!$A$5:$A$1004,0),""),""))</f>
        <v/>
      </c>
    </row>
    <row r="1388">
      <c r="A1388" s="78">
        <f>IF($T1388="","",IF($S1388="S",IF(INDEX(Firms!$A$5:$A$1004,$T1388)="","",INDEX(Firms!$A$5:$A$1004,$T1388)),IF(INDEX('AFA Rates'!$A$5:$A$1004,$T1388)="","",INDEX('AFA Rates'!$A$5:$A$1004,$T1388))))</f>
        <v/>
      </c>
      <c r="B1388" s="79">
        <f>IF(OR($T1388="",$U1388=""),IF($T1388="","","Not on Firms tab"),INDEX(Firms!$B$5:$B$1004,$U1388)&amp;"")</f>
        <v/>
      </c>
      <c r="C1388" s="78">
        <f>IF($T1388="","",IF($S1388="S","Standard",INDEX('AFA Rates'!$B$5:$B$1004,$T1388)&amp;""))</f>
        <v/>
      </c>
      <c r="D1388" s="88">
        <f>IF($T1388="","",IF($S1388="S",IF(INDEX(Firms!$E$5:$E$1004,$T1388)="","",INDEX(Firms!$E$5:$E$1004,$T1388)),IF(INDEX('AFA Rates'!$C$5:$C$1004,$T1388)="","",INDEX('AFA Rates'!$C$5:$C$1004,$T1388))))</f>
        <v/>
      </c>
      <c r="E1388" s="88">
        <f>IF($T1388="","",IF($S1388="S",IF(""="","",""),IF(INDEX('AFA Rates'!$D$5:$D$1004,$T1388)="","",INDEX('AFA Rates'!$D$5:$D$1004,$T1388))))</f>
        <v/>
      </c>
      <c r="F1388" s="79">
        <f>IF($T1388="","",IF($S1388="S",IF(INDEX(Firms!$O$5:$O$1004,$T1388)="","",INDEX(Firms!$O$5:$O$1004,$T1388)),IF(INDEX('AFA Rates'!$O$5:$O$1004,$T1388)="","",INDEX('AFA Rates'!$O$5:$O$1004,$T1388))))</f>
        <v/>
      </c>
      <c r="G1388" s="50">
        <f>IF($T1388="","",IF($S1388="S",IF(INDEX(Firms!$F$5:$F$1004,$T1388)="","",INDEX(Firms!$F$5:$F$1004,$T1388)),IF(INDEX('AFA Rates'!$E$5:$E$1004,$T1388)="","",INDEX('AFA Rates'!$E$5:$E$1004,$T1388))))</f>
        <v/>
      </c>
      <c r="H1388" s="50">
        <f>IF($T1388="","",IF($S1388="S",IF(INDEX(Firms!$G$5:$G$1004,$T1388)="","",INDEX(Firms!$G$5:$G$1004,$T1388)),IF(INDEX('AFA Rates'!$F$5:$F$1004,$T1388)="","",INDEX('AFA Rates'!$F$5:$F$1004,$T1388))))</f>
        <v/>
      </c>
      <c r="I1388" s="50">
        <f>IF($T1388="","",IF($S1388="S",IF(INDEX(Firms!$H$5:$H$1004,$T1388)="","",INDEX(Firms!$H$5:$H$1004,$T1388)),IF(INDEX('AFA Rates'!$G$5:$G$1004,$T1388)="","",INDEX('AFA Rates'!$G$5:$G$1004,$T1388))))</f>
        <v/>
      </c>
      <c r="J1388" s="50">
        <f>IF($T1388="","",IF($S1388="S",IF(INDEX(Firms!$I$5:$I$1004,$T1388)="","",INDEX(Firms!$I$5:$I$1004,$T1388)),IF(INDEX('AFA Rates'!$H$5:$H$1004,$T1388)="","",INDEX('AFA Rates'!$H$5:$H$1004,$T1388))))</f>
        <v/>
      </c>
      <c r="K1388" s="50">
        <f>IF($T1388="","",IF($S1388="S",IF(INDEX(Firms!$J$5:$J$1004,$T1388)="","",INDEX(Firms!$J$5:$J$1004,$T1388)),IF(INDEX('AFA Rates'!$I$5:$I$1004,$T1388)="","",INDEX('AFA Rates'!$I$5:$I$1004,$T1388))))</f>
        <v/>
      </c>
      <c r="L1388" s="50">
        <f>IF($T1388="","",IF($S1388="S",IF(INDEX(Firms!$K$5:$K$1004,$T1388)="","",INDEX(Firms!$K$5:$K$1004,$T1388)),IF(INDEX('AFA Rates'!$J$5:$J$1004,$T1388)="","",INDEX('AFA Rates'!$J$5:$J$1004,$T1388))))</f>
        <v/>
      </c>
      <c r="M1388" s="50">
        <f>IF($T1388="","",IF($S1388="S",IF(INDEX(Firms!$L$5:$L$1004,$T1388)="","",INDEX(Firms!$L$5:$L$1004,$T1388)),IF(INDEX('AFA Rates'!$K$5:$K$1004,$T1388)="","",INDEX('AFA Rates'!$K$5:$K$1004,$T1388))))</f>
        <v/>
      </c>
      <c r="N1388" s="50">
        <f>IF($T1388="","",IF($S1388="S",IF(INDEX(Firms!$M$5:$M$1004,$T1388)="","",INDEX(Firms!$M$5:$M$1004,$T1388)),IF(INDEX('AFA Rates'!$L$5:$L$1004,$T1388)="","",INDEX('AFA Rates'!$L$5:$L$1004,$T1388))))</f>
        <v/>
      </c>
      <c r="O1388" s="78">
        <f>IF(OR($T1388="",$U1388=""),"",IF(INDEX(Firms!$C$5:$C$1004,$U1388)="","",INDEX(Firms!$C$5:$C$1004,$U1388)))</f>
        <v/>
      </c>
      <c r="P1388" s="79">
        <f>IF(OR($T1388="",$U1388=""),"",IF(INDEX(Firms!$N$5:$N$1004,$U1388)="","",INDEX(Firms!$N$5:$N$1004,$U1388)))</f>
        <v/>
      </c>
      <c r="Q1388" s="78">
        <f>IF($T1388="","",IF($S1388="S",IF(INDEX(Firms!$T$5:$T$1004,$T1388)="","",INDEX(Firms!$T$5:$T$1004,$T1388)),IF(INDEX('AFA Rates'!$M$5:$M$1004,$T1388)="","",INDEX('AFA Rates'!$M$5:$M$1004,$T1388))))</f>
        <v/>
      </c>
      <c r="S1388">
        <f>IF(1384&lt;=$S$2,"S",IF(1384&lt;=$S$2+$T$2,"A",""))</f>
        <v/>
      </c>
      <c r="T1388">
        <f>IF(S1388="S",MATCH(1384,Firms!$W$5:$W$1004,0),IF(S1388="A",IFERROR(MATCH(1384-$S$2,'AFA Rates'!$R$5:$R$1004,0),""),""))</f>
        <v/>
      </c>
      <c r="U1388">
        <f>IF(S1388="S",T1388,IF(AND(S1388="A",T1388&lt;&gt;""),IFERROR(MATCH(INDEX('AFA Rates'!$A$5:$A$1004,T1388),Firms!$A$5:$A$1004,0),""),""))</f>
        <v/>
      </c>
    </row>
    <row r="1389">
      <c r="A1389" s="78">
        <f>IF($T1389="","",IF($S1389="S",IF(INDEX(Firms!$A$5:$A$1004,$T1389)="","",INDEX(Firms!$A$5:$A$1004,$T1389)),IF(INDEX('AFA Rates'!$A$5:$A$1004,$T1389)="","",INDEX('AFA Rates'!$A$5:$A$1004,$T1389))))</f>
        <v/>
      </c>
      <c r="B1389" s="79">
        <f>IF(OR($T1389="",$U1389=""),IF($T1389="","","Not on Firms tab"),INDEX(Firms!$B$5:$B$1004,$U1389)&amp;"")</f>
        <v/>
      </c>
      <c r="C1389" s="78">
        <f>IF($T1389="","",IF($S1389="S","Standard",INDEX('AFA Rates'!$B$5:$B$1004,$T1389)&amp;""))</f>
        <v/>
      </c>
      <c r="D1389" s="88">
        <f>IF($T1389="","",IF($S1389="S",IF(INDEX(Firms!$E$5:$E$1004,$T1389)="","",INDEX(Firms!$E$5:$E$1004,$T1389)),IF(INDEX('AFA Rates'!$C$5:$C$1004,$T1389)="","",INDEX('AFA Rates'!$C$5:$C$1004,$T1389))))</f>
        <v/>
      </c>
      <c r="E1389" s="88">
        <f>IF($T1389="","",IF($S1389="S",IF(""="","",""),IF(INDEX('AFA Rates'!$D$5:$D$1004,$T1389)="","",INDEX('AFA Rates'!$D$5:$D$1004,$T1389))))</f>
        <v/>
      </c>
      <c r="F1389" s="79">
        <f>IF($T1389="","",IF($S1389="S",IF(INDEX(Firms!$O$5:$O$1004,$T1389)="","",INDEX(Firms!$O$5:$O$1004,$T1389)),IF(INDEX('AFA Rates'!$O$5:$O$1004,$T1389)="","",INDEX('AFA Rates'!$O$5:$O$1004,$T1389))))</f>
        <v/>
      </c>
      <c r="G1389" s="50">
        <f>IF($T1389="","",IF($S1389="S",IF(INDEX(Firms!$F$5:$F$1004,$T1389)="","",INDEX(Firms!$F$5:$F$1004,$T1389)),IF(INDEX('AFA Rates'!$E$5:$E$1004,$T1389)="","",INDEX('AFA Rates'!$E$5:$E$1004,$T1389))))</f>
        <v/>
      </c>
      <c r="H1389" s="50">
        <f>IF($T1389="","",IF($S1389="S",IF(INDEX(Firms!$G$5:$G$1004,$T1389)="","",INDEX(Firms!$G$5:$G$1004,$T1389)),IF(INDEX('AFA Rates'!$F$5:$F$1004,$T1389)="","",INDEX('AFA Rates'!$F$5:$F$1004,$T1389))))</f>
        <v/>
      </c>
      <c r="I1389" s="50">
        <f>IF($T1389="","",IF($S1389="S",IF(INDEX(Firms!$H$5:$H$1004,$T1389)="","",INDEX(Firms!$H$5:$H$1004,$T1389)),IF(INDEX('AFA Rates'!$G$5:$G$1004,$T1389)="","",INDEX('AFA Rates'!$G$5:$G$1004,$T1389))))</f>
        <v/>
      </c>
      <c r="J1389" s="50">
        <f>IF($T1389="","",IF($S1389="S",IF(INDEX(Firms!$I$5:$I$1004,$T1389)="","",INDEX(Firms!$I$5:$I$1004,$T1389)),IF(INDEX('AFA Rates'!$H$5:$H$1004,$T1389)="","",INDEX('AFA Rates'!$H$5:$H$1004,$T1389))))</f>
        <v/>
      </c>
      <c r="K1389" s="50">
        <f>IF($T1389="","",IF($S1389="S",IF(INDEX(Firms!$J$5:$J$1004,$T1389)="","",INDEX(Firms!$J$5:$J$1004,$T1389)),IF(INDEX('AFA Rates'!$I$5:$I$1004,$T1389)="","",INDEX('AFA Rates'!$I$5:$I$1004,$T1389))))</f>
        <v/>
      </c>
      <c r="L1389" s="50">
        <f>IF($T1389="","",IF($S1389="S",IF(INDEX(Firms!$K$5:$K$1004,$T1389)="","",INDEX(Firms!$K$5:$K$1004,$T1389)),IF(INDEX('AFA Rates'!$J$5:$J$1004,$T1389)="","",INDEX('AFA Rates'!$J$5:$J$1004,$T1389))))</f>
        <v/>
      </c>
      <c r="M1389" s="50">
        <f>IF($T1389="","",IF($S1389="S",IF(INDEX(Firms!$L$5:$L$1004,$T1389)="","",INDEX(Firms!$L$5:$L$1004,$T1389)),IF(INDEX('AFA Rates'!$K$5:$K$1004,$T1389)="","",INDEX('AFA Rates'!$K$5:$K$1004,$T1389))))</f>
        <v/>
      </c>
      <c r="N1389" s="50">
        <f>IF($T1389="","",IF($S1389="S",IF(INDEX(Firms!$M$5:$M$1004,$T1389)="","",INDEX(Firms!$M$5:$M$1004,$T1389)),IF(INDEX('AFA Rates'!$L$5:$L$1004,$T1389)="","",INDEX('AFA Rates'!$L$5:$L$1004,$T1389))))</f>
        <v/>
      </c>
      <c r="O1389" s="78">
        <f>IF(OR($T1389="",$U1389=""),"",IF(INDEX(Firms!$C$5:$C$1004,$U1389)="","",INDEX(Firms!$C$5:$C$1004,$U1389)))</f>
        <v/>
      </c>
      <c r="P1389" s="79">
        <f>IF(OR($T1389="",$U1389=""),"",IF(INDEX(Firms!$N$5:$N$1004,$U1389)="","",INDEX(Firms!$N$5:$N$1004,$U1389)))</f>
        <v/>
      </c>
      <c r="Q1389" s="78">
        <f>IF($T1389="","",IF($S1389="S",IF(INDEX(Firms!$T$5:$T$1004,$T1389)="","",INDEX(Firms!$T$5:$T$1004,$T1389)),IF(INDEX('AFA Rates'!$M$5:$M$1004,$T1389)="","",INDEX('AFA Rates'!$M$5:$M$1004,$T1389))))</f>
        <v/>
      </c>
      <c r="S1389">
        <f>IF(1385&lt;=$S$2,"S",IF(1385&lt;=$S$2+$T$2,"A",""))</f>
        <v/>
      </c>
      <c r="T1389">
        <f>IF(S1389="S",MATCH(1385,Firms!$W$5:$W$1004,0),IF(S1389="A",IFERROR(MATCH(1385-$S$2,'AFA Rates'!$R$5:$R$1004,0),""),""))</f>
        <v/>
      </c>
      <c r="U1389">
        <f>IF(S1389="S",T1389,IF(AND(S1389="A",T1389&lt;&gt;""),IFERROR(MATCH(INDEX('AFA Rates'!$A$5:$A$1004,T1389),Firms!$A$5:$A$1004,0),""),""))</f>
        <v/>
      </c>
    </row>
    <row r="1390">
      <c r="A1390" s="78">
        <f>IF($T1390="","",IF($S1390="S",IF(INDEX(Firms!$A$5:$A$1004,$T1390)="","",INDEX(Firms!$A$5:$A$1004,$T1390)),IF(INDEX('AFA Rates'!$A$5:$A$1004,$T1390)="","",INDEX('AFA Rates'!$A$5:$A$1004,$T1390))))</f>
        <v/>
      </c>
      <c r="B1390" s="79">
        <f>IF(OR($T1390="",$U1390=""),IF($T1390="","","Not on Firms tab"),INDEX(Firms!$B$5:$B$1004,$U1390)&amp;"")</f>
        <v/>
      </c>
      <c r="C1390" s="78">
        <f>IF($T1390="","",IF($S1390="S","Standard",INDEX('AFA Rates'!$B$5:$B$1004,$T1390)&amp;""))</f>
        <v/>
      </c>
      <c r="D1390" s="88">
        <f>IF($T1390="","",IF($S1390="S",IF(INDEX(Firms!$E$5:$E$1004,$T1390)="","",INDEX(Firms!$E$5:$E$1004,$T1390)),IF(INDEX('AFA Rates'!$C$5:$C$1004,$T1390)="","",INDEX('AFA Rates'!$C$5:$C$1004,$T1390))))</f>
        <v/>
      </c>
      <c r="E1390" s="88">
        <f>IF($T1390="","",IF($S1390="S",IF(""="","",""),IF(INDEX('AFA Rates'!$D$5:$D$1004,$T1390)="","",INDEX('AFA Rates'!$D$5:$D$1004,$T1390))))</f>
        <v/>
      </c>
      <c r="F1390" s="79">
        <f>IF($T1390="","",IF($S1390="S",IF(INDEX(Firms!$O$5:$O$1004,$T1390)="","",INDEX(Firms!$O$5:$O$1004,$T1390)),IF(INDEX('AFA Rates'!$O$5:$O$1004,$T1390)="","",INDEX('AFA Rates'!$O$5:$O$1004,$T1390))))</f>
        <v/>
      </c>
      <c r="G1390" s="50">
        <f>IF($T1390="","",IF($S1390="S",IF(INDEX(Firms!$F$5:$F$1004,$T1390)="","",INDEX(Firms!$F$5:$F$1004,$T1390)),IF(INDEX('AFA Rates'!$E$5:$E$1004,$T1390)="","",INDEX('AFA Rates'!$E$5:$E$1004,$T1390))))</f>
        <v/>
      </c>
      <c r="H1390" s="50">
        <f>IF($T1390="","",IF($S1390="S",IF(INDEX(Firms!$G$5:$G$1004,$T1390)="","",INDEX(Firms!$G$5:$G$1004,$T1390)),IF(INDEX('AFA Rates'!$F$5:$F$1004,$T1390)="","",INDEX('AFA Rates'!$F$5:$F$1004,$T1390))))</f>
        <v/>
      </c>
      <c r="I1390" s="50">
        <f>IF($T1390="","",IF($S1390="S",IF(INDEX(Firms!$H$5:$H$1004,$T1390)="","",INDEX(Firms!$H$5:$H$1004,$T1390)),IF(INDEX('AFA Rates'!$G$5:$G$1004,$T1390)="","",INDEX('AFA Rates'!$G$5:$G$1004,$T1390))))</f>
        <v/>
      </c>
      <c r="J1390" s="50">
        <f>IF($T1390="","",IF($S1390="S",IF(INDEX(Firms!$I$5:$I$1004,$T1390)="","",INDEX(Firms!$I$5:$I$1004,$T1390)),IF(INDEX('AFA Rates'!$H$5:$H$1004,$T1390)="","",INDEX('AFA Rates'!$H$5:$H$1004,$T1390))))</f>
        <v/>
      </c>
      <c r="K1390" s="50">
        <f>IF($T1390="","",IF($S1390="S",IF(INDEX(Firms!$J$5:$J$1004,$T1390)="","",INDEX(Firms!$J$5:$J$1004,$T1390)),IF(INDEX('AFA Rates'!$I$5:$I$1004,$T1390)="","",INDEX('AFA Rates'!$I$5:$I$1004,$T1390))))</f>
        <v/>
      </c>
      <c r="L1390" s="50">
        <f>IF($T1390="","",IF($S1390="S",IF(INDEX(Firms!$K$5:$K$1004,$T1390)="","",INDEX(Firms!$K$5:$K$1004,$T1390)),IF(INDEX('AFA Rates'!$J$5:$J$1004,$T1390)="","",INDEX('AFA Rates'!$J$5:$J$1004,$T1390))))</f>
        <v/>
      </c>
      <c r="M1390" s="50">
        <f>IF($T1390="","",IF($S1390="S",IF(INDEX(Firms!$L$5:$L$1004,$T1390)="","",INDEX(Firms!$L$5:$L$1004,$T1390)),IF(INDEX('AFA Rates'!$K$5:$K$1004,$T1390)="","",INDEX('AFA Rates'!$K$5:$K$1004,$T1390))))</f>
        <v/>
      </c>
      <c r="N1390" s="50">
        <f>IF($T1390="","",IF($S1390="S",IF(INDEX(Firms!$M$5:$M$1004,$T1390)="","",INDEX(Firms!$M$5:$M$1004,$T1390)),IF(INDEX('AFA Rates'!$L$5:$L$1004,$T1390)="","",INDEX('AFA Rates'!$L$5:$L$1004,$T1390))))</f>
        <v/>
      </c>
      <c r="O1390" s="78">
        <f>IF(OR($T1390="",$U1390=""),"",IF(INDEX(Firms!$C$5:$C$1004,$U1390)="","",INDEX(Firms!$C$5:$C$1004,$U1390)))</f>
        <v/>
      </c>
      <c r="P1390" s="79">
        <f>IF(OR($T1390="",$U1390=""),"",IF(INDEX(Firms!$N$5:$N$1004,$U1390)="","",INDEX(Firms!$N$5:$N$1004,$U1390)))</f>
        <v/>
      </c>
      <c r="Q1390" s="78">
        <f>IF($T1390="","",IF($S1390="S",IF(INDEX(Firms!$T$5:$T$1004,$T1390)="","",INDEX(Firms!$T$5:$T$1004,$T1390)),IF(INDEX('AFA Rates'!$M$5:$M$1004,$T1390)="","",INDEX('AFA Rates'!$M$5:$M$1004,$T1390))))</f>
        <v/>
      </c>
      <c r="S1390">
        <f>IF(1386&lt;=$S$2,"S",IF(1386&lt;=$S$2+$T$2,"A",""))</f>
        <v/>
      </c>
      <c r="T1390">
        <f>IF(S1390="S",MATCH(1386,Firms!$W$5:$W$1004,0),IF(S1390="A",IFERROR(MATCH(1386-$S$2,'AFA Rates'!$R$5:$R$1004,0),""),""))</f>
        <v/>
      </c>
      <c r="U1390">
        <f>IF(S1390="S",T1390,IF(AND(S1390="A",T1390&lt;&gt;""),IFERROR(MATCH(INDEX('AFA Rates'!$A$5:$A$1004,T1390),Firms!$A$5:$A$1004,0),""),""))</f>
        <v/>
      </c>
    </row>
    <row r="1391">
      <c r="A1391" s="78">
        <f>IF($T1391="","",IF($S1391="S",IF(INDEX(Firms!$A$5:$A$1004,$T1391)="","",INDEX(Firms!$A$5:$A$1004,$T1391)),IF(INDEX('AFA Rates'!$A$5:$A$1004,$T1391)="","",INDEX('AFA Rates'!$A$5:$A$1004,$T1391))))</f>
        <v/>
      </c>
      <c r="B1391" s="79">
        <f>IF(OR($T1391="",$U1391=""),IF($T1391="","","Not on Firms tab"),INDEX(Firms!$B$5:$B$1004,$U1391)&amp;"")</f>
        <v/>
      </c>
      <c r="C1391" s="78">
        <f>IF($T1391="","",IF($S1391="S","Standard",INDEX('AFA Rates'!$B$5:$B$1004,$T1391)&amp;""))</f>
        <v/>
      </c>
      <c r="D1391" s="88">
        <f>IF($T1391="","",IF($S1391="S",IF(INDEX(Firms!$E$5:$E$1004,$T1391)="","",INDEX(Firms!$E$5:$E$1004,$T1391)),IF(INDEX('AFA Rates'!$C$5:$C$1004,$T1391)="","",INDEX('AFA Rates'!$C$5:$C$1004,$T1391))))</f>
        <v/>
      </c>
      <c r="E1391" s="88">
        <f>IF($T1391="","",IF($S1391="S",IF(""="","",""),IF(INDEX('AFA Rates'!$D$5:$D$1004,$T1391)="","",INDEX('AFA Rates'!$D$5:$D$1004,$T1391))))</f>
        <v/>
      </c>
      <c r="F1391" s="79">
        <f>IF($T1391="","",IF($S1391="S",IF(INDEX(Firms!$O$5:$O$1004,$T1391)="","",INDEX(Firms!$O$5:$O$1004,$T1391)),IF(INDEX('AFA Rates'!$O$5:$O$1004,$T1391)="","",INDEX('AFA Rates'!$O$5:$O$1004,$T1391))))</f>
        <v/>
      </c>
      <c r="G1391" s="50">
        <f>IF($T1391="","",IF($S1391="S",IF(INDEX(Firms!$F$5:$F$1004,$T1391)="","",INDEX(Firms!$F$5:$F$1004,$T1391)),IF(INDEX('AFA Rates'!$E$5:$E$1004,$T1391)="","",INDEX('AFA Rates'!$E$5:$E$1004,$T1391))))</f>
        <v/>
      </c>
      <c r="H1391" s="50">
        <f>IF($T1391="","",IF($S1391="S",IF(INDEX(Firms!$G$5:$G$1004,$T1391)="","",INDEX(Firms!$G$5:$G$1004,$T1391)),IF(INDEX('AFA Rates'!$F$5:$F$1004,$T1391)="","",INDEX('AFA Rates'!$F$5:$F$1004,$T1391))))</f>
        <v/>
      </c>
      <c r="I1391" s="50">
        <f>IF($T1391="","",IF($S1391="S",IF(INDEX(Firms!$H$5:$H$1004,$T1391)="","",INDEX(Firms!$H$5:$H$1004,$T1391)),IF(INDEX('AFA Rates'!$G$5:$G$1004,$T1391)="","",INDEX('AFA Rates'!$G$5:$G$1004,$T1391))))</f>
        <v/>
      </c>
      <c r="J1391" s="50">
        <f>IF($T1391="","",IF($S1391="S",IF(INDEX(Firms!$I$5:$I$1004,$T1391)="","",INDEX(Firms!$I$5:$I$1004,$T1391)),IF(INDEX('AFA Rates'!$H$5:$H$1004,$T1391)="","",INDEX('AFA Rates'!$H$5:$H$1004,$T1391))))</f>
        <v/>
      </c>
      <c r="K1391" s="50">
        <f>IF($T1391="","",IF($S1391="S",IF(INDEX(Firms!$J$5:$J$1004,$T1391)="","",INDEX(Firms!$J$5:$J$1004,$T1391)),IF(INDEX('AFA Rates'!$I$5:$I$1004,$T1391)="","",INDEX('AFA Rates'!$I$5:$I$1004,$T1391))))</f>
        <v/>
      </c>
      <c r="L1391" s="50">
        <f>IF($T1391="","",IF($S1391="S",IF(INDEX(Firms!$K$5:$K$1004,$T1391)="","",INDEX(Firms!$K$5:$K$1004,$T1391)),IF(INDEX('AFA Rates'!$J$5:$J$1004,$T1391)="","",INDEX('AFA Rates'!$J$5:$J$1004,$T1391))))</f>
        <v/>
      </c>
      <c r="M1391" s="50">
        <f>IF($T1391="","",IF($S1391="S",IF(INDEX(Firms!$L$5:$L$1004,$T1391)="","",INDEX(Firms!$L$5:$L$1004,$T1391)),IF(INDEX('AFA Rates'!$K$5:$K$1004,$T1391)="","",INDEX('AFA Rates'!$K$5:$K$1004,$T1391))))</f>
        <v/>
      </c>
      <c r="N1391" s="50">
        <f>IF($T1391="","",IF($S1391="S",IF(INDEX(Firms!$M$5:$M$1004,$T1391)="","",INDEX(Firms!$M$5:$M$1004,$T1391)),IF(INDEX('AFA Rates'!$L$5:$L$1004,$T1391)="","",INDEX('AFA Rates'!$L$5:$L$1004,$T1391))))</f>
        <v/>
      </c>
      <c r="O1391" s="78">
        <f>IF(OR($T1391="",$U1391=""),"",IF(INDEX(Firms!$C$5:$C$1004,$U1391)="","",INDEX(Firms!$C$5:$C$1004,$U1391)))</f>
        <v/>
      </c>
      <c r="P1391" s="79">
        <f>IF(OR($T1391="",$U1391=""),"",IF(INDEX(Firms!$N$5:$N$1004,$U1391)="","",INDEX(Firms!$N$5:$N$1004,$U1391)))</f>
        <v/>
      </c>
      <c r="Q1391" s="78">
        <f>IF($T1391="","",IF($S1391="S",IF(INDEX(Firms!$T$5:$T$1004,$T1391)="","",INDEX(Firms!$T$5:$T$1004,$T1391)),IF(INDEX('AFA Rates'!$M$5:$M$1004,$T1391)="","",INDEX('AFA Rates'!$M$5:$M$1004,$T1391))))</f>
        <v/>
      </c>
      <c r="S1391">
        <f>IF(1387&lt;=$S$2,"S",IF(1387&lt;=$S$2+$T$2,"A",""))</f>
        <v/>
      </c>
      <c r="T1391">
        <f>IF(S1391="S",MATCH(1387,Firms!$W$5:$W$1004,0),IF(S1391="A",IFERROR(MATCH(1387-$S$2,'AFA Rates'!$R$5:$R$1004,0),""),""))</f>
        <v/>
      </c>
      <c r="U1391">
        <f>IF(S1391="S",T1391,IF(AND(S1391="A",T1391&lt;&gt;""),IFERROR(MATCH(INDEX('AFA Rates'!$A$5:$A$1004,T1391),Firms!$A$5:$A$1004,0),""),""))</f>
        <v/>
      </c>
    </row>
    <row r="1392">
      <c r="A1392" s="78">
        <f>IF($T1392="","",IF($S1392="S",IF(INDEX(Firms!$A$5:$A$1004,$T1392)="","",INDEX(Firms!$A$5:$A$1004,$T1392)),IF(INDEX('AFA Rates'!$A$5:$A$1004,$T1392)="","",INDEX('AFA Rates'!$A$5:$A$1004,$T1392))))</f>
        <v/>
      </c>
      <c r="B1392" s="79">
        <f>IF(OR($T1392="",$U1392=""),IF($T1392="","","Not on Firms tab"),INDEX(Firms!$B$5:$B$1004,$U1392)&amp;"")</f>
        <v/>
      </c>
      <c r="C1392" s="78">
        <f>IF($T1392="","",IF($S1392="S","Standard",INDEX('AFA Rates'!$B$5:$B$1004,$T1392)&amp;""))</f>
        <v/>
      </c>
      <c r="D1392" s="88">
        <f>IF($T1392="","",IF($S1392="S",IF(INDEX(Firms!$E$5:$E$1004,$T1392)="","",INDEX(Firms!$E$5:$E$1004,$T1392)),IF(INDEX('AFA Rates'!$C$5:$C$1004,$T1392)="","",INDEX('AFA Rates'!$C$5:$C$1004,$T1392))))</f>
        <v/>
      </c>
      <c r="E1392" s="88">
        <f>IF($T1392="","",IF($S1392="S",IF(""="","",""),IF(INDEX('AFA Rates'!$D$5:$D$1004,$T1392)="","",INDEX('AFA Rates'!$D$5:$D$1004,$T1392))))</f>
        <v/>
      </c>
      <c r="F1392" s="79">
        <f>IF($T1392="","",IF($S1392="S",IF(INDEX(Firms!$O$5:$O$1004,$T1392)="","",INDEX(Firms!$O$5:$O$1004,$T1392)),IF(INDEX('AFA Rates'!$O$5:$O$1004,$T1392)="","",INDEX('AFA Rates'!$O$5:$O$1004,$T1392))))</f>
        <v/>
      </c>
      <c r="G1392" s="50">
        <f>IF($T1392="","",IF($S1392="S",IF(INDEX(Firms!$F$5:$F$1004,$T1392)="","",INDEX(Firms!$F$5:$F$1004,$T1392)),IF(INDEX('AFA Rates'!$E$5:$E$1004,$T1392)="","",INDEX('AFA Rates'!$E$5:$E$1004,$T1392))))</f>
        <v/>
      </c>
      <c r="H1392" s="50">
        <f>IF($T1392="","",IF($S1392="S",IF(INDEX(Firms!$G$5:$G$1004,$T1392)="","",INDEX(Firms!$G$5:$G$1004,$T1392)),IF(INDEX('AFA Rates'!$F$5:$F$1004,$T1392)="","",INDEX('AFA Rates'!$F$5:$F$1004,$T1392))))</f>
        <v/>
      </c>
      <c r="I1392" s="50">
        <f>IF($T1392="","",IF($S1392="S",IF(INDEX(Firms!$H$5:$H$1004,$T1392)="","",INDEX(Firms!$H$5:$H$1004,$T1392)),IF(INDEX('AFA Rates'!$G$5:$G$1004,$T1392)="","",INDEX('AFA Rates'!$G$5:$G$1004,$T1392))))</f>
        <v/>
      </c>
      <c r="J1392" s="50">
        <f>IF($T1392="","",IF($S1392="S",IF(INDEX(Firms!$I$5:$I$1004,$T1392)="","",INDEX(Firms!$I$5:$I$1004,$T1392)),IF(INDEX('AFA Rates'!$H$5:$H$1004,$T1392)="","",INDEX('AFA Rates'!$H$5:$H$1004,$T1392))))</f>
        <v/>
      </c>
      <c r="K1392" s="50">
        <f>IF($T1392="","",IF($S1392="S",IF(INDEX(Firms!$J$5:$J$1004,$T1392)="","",INDEX(Firms!$J$5:$J$1004,$T1392)),IF(INDEX('AFA Rates'!$I$5:$I$1004,$T1392)="","",INDEX('AFA Rates'!$I$5:$I$1004,$T1392))))</f>
        <v/>
      </c>
      <c r="L1392" s="50">
        <f>IF($T1392="","",IF($S1392="S",IF(INDEX(Firms!$K$5:$K$1004,$T1392)="","",INDEX(Firms!$K$5:$K$1004,$T1392)),IF(INDEX('AFA Rates'!$J$5:$J$1004,$T1392)="","",INDEX('AFA Rates'!$J$5:$J$1004,$T1392))))</f>
        <v/>
      </c>
      <c r="M1392" s="50">
        <f>IF($T1392="","",IF($S1392="S",IF(INDEX(Firms!$L$5:$L$1004,$T1392)="","",INDEX(Firms!$L$5:$L$1004,$T1392)),IF(INDEX('AFA Rates'!$K$5:$K$1004,$T1392)="","",INDEX('AFA Rates'!$K$5:$K$1004,$T1392))))</f>
        <v/>
      </c>
      <c r="N1392" s="50">
        <f>IF($T1392="","",IF($S1392="S",IF(INDEX(Firms!$M$5:$M$1004,$T1392)="","",INDEX(Firms!$M$5:$M$1004,$T1392)),IF(INDEX('AFA Rates'!$L$5:$L$1004,$T1392)="","",INDEX('AFA Rates'!$L$5:$L$1004,$T1392))))</f>
        <v/>
      </c>
      <c r="O1392" s="78">
        <f>IF(OR($T1392="",$U1392=""),"",IF(INDEX(Firms!$C$5:$C$1004,$U1392)="","",INDEX(Firms!$C$5:$C$1004,$U1392)))</f>
        <v/>
      </c>
      <c r="P1392" s="79">
        <f>IF(OR($T1392="",$U1392=""),"",IF(INDEX(Firms!$N$5:$N$1004,$U1392)="","",INDEX(Firms!$N$5:$N$1004,$U1392)))</f>
        <v/>
      </c>
      <c r="Q1392" s="78">
        <f>IF($T1392="","",IF($S1392="S",IF(INDEX(Firms!$T$5:$T$1004,$T1392)="","",INDEX(Firms!$T$5:$T$1004,$T1392)),IF(INDEX('AFA Rates'!$M$5:$M$1004,$T1392)="","",INDEX('AFA Rates'!$M$5:$M$1004,$T1392))))</f>
        <v/>
      </c>
      <c r="S1392">
        <f>IF(1388&lt;=$S$2,"S",IF(1388&lt;=$S$2+$T$2,"A",""))</f>
        <v/>
      </c>
      <c r="T1392">
        <f>IF(S1392="S",MATCH(1388,Firms!$W$5:$W$1004,0),IF(S1392="A",IFERROR(MATCH(1388-$S$2,'AFA Rates'!$R$5:$R$1004,0),""),""))</f>
        <v/>
      </c>
      <c r="U1392">
        <f>IF(S1392="S",T1392,IF(AND(S1392="A",T1392&lt;&gt;""),IFERROR(MATCH(INDEX('AFA Rates'!$A$5:$A$1004,T1392),Firms!$A$5:$A$1004,0),""),""))</f>
        <v/>
      </c>
    </row>
    <row r="1393">
      <c r="A1393" s="78">
        <f>IF($T1393="","",IF($S1393="S",IF(INDEX(Firms!$A$5:$A$1004,$T1393)="","",INDEX(Firms!$A$5:$A$1004,$T1393)),IF(INDEX('AFA Rates'!$A$5:$A$1004,$T1393)="","",INDEX('AFA Rates'!$A$5:$A$1004,$T1393))))</f>
        <v/>
      </c>
      <c r="B1393" s="79">
        <f>IF(OR($T1393="",$U1393=""),IF($T1393="","","Not on Firms tab"),INDEX(Firms!$B$5:$B$1004,$U1393)&amp;"")</f>
        <v/>
      </c>
      <c r="C1393" s="78">
        <f>IF($T1393="","",IF($S1393="S","Standard",INDEX('AFA Rates'!$B$5:$B$1004,$T1393)&amp;""))</f>
        <v/>
      </c>
      <c r="D1393" s="88">
        <f>IF($T1393="","",IF($S1393="S",IF(INDEX(Firms!$E$5:$E$1004,$T1393)="","",INDEX(Firms!$E$5:$E$1004,$T1393)),IF(INDEX('AFA Rates'!$C$5:$C$1004,$T1393)="","",INDEX('AFA Rates'!$C$5:$C$1004,$T1393))))</f>
        <v/>
      </c>
      <c r="E1393" s="88">
        <f>IF($T1393="","",IF($S1393="S",IF(""="","",""),IF(INDEX('AFA Rates'!$D$5:$D$1004,$T1393)="","",INDEX('AFA Rates'!$D$5:$D$1004,$T1393))))</f>
        <v/>
      </c>
      <c r="F1393" s="79">
        <f>IF($T1393="","",IF($S1393="S",IF(INDEX(Firms!$O$5:$O$1004,$T1393)="","",INDEX(Firms!$O$5:$O$1004,$T1393)),IF(INDEX('AFA Rates'!$O$5:$O$1004,$T1393)="","",INDEX('AFA Rates'!$O$5:$O$1004,$T1393))))</f>
        <v/>
      </c>
      <c r="G1393" s="50">
        <f>IF($T1393="","",IF($S1393="S",IF(INDEX(Firms!$F$5:$F$1004,$T1393)="","",INDEX(Firms!$F$5:$F$1004,$T1393)),IF(INDEX('AFA Rates'!$E$5:$E$1004,$T1393)="","",INDEX('AFA Rates'!$E$5:$E$1004,$T1393))))</f>
        <v/>
      </c>
      <c r="H1393" s="50">
        <f>IF($T1393="","",IF($S1393="S",IF(INDEX(Firms!$G$5:$G$1004,$T1393)="","",INDEX(Firms!$G$5:$G$1004,$T1393)),IF(INDEX('AFA Rates'!$F$5:$F$1004,$T1393)="","",INDEX('AFA Rates'!$F$5:$F$1004,$T1393))))</f>
        <v/>
      </c>
      <c r="I1393" s="50">
        <f>IF($T1393="","",IF($S1393="S",IF(INDEX(Firms!$H$5:$H$1004,$T1393)="","",INDEX(Firms!$H$5:$H$1004,$T1393)),IF(INDEX('AFA Rates'!$G$5:$G$1004,$T1393)="","",INDEX('AFA Rates'!$G$5:$G$1004,$T1393))))</f>
        <v/>
      </c>
      <c r="J1393" s="50">
        <f>IF($T1393="","",IF($S1393="S",IF(INDEX(Firms!$I$5:$I$1004,$T1393)="","",INDEX(Firms!$I$5:$I$1004,$T1393)),IF(INDEX('AFA Rates'!$H$5:$H$1004,$T1393)="","",INDEX('AFA Rates'!$H$5:$H$1004,$T1393))))</f>
        <v/>
      </c>
      <c r="K1393" s="50">
        <f>IF($T1393="","",IF($S1393="S",IF(INDEX(Firms!$J$5:$J$1004,$T1393)="","",INDEX(Firms!$J$5:$J$1004,$T1393)),IF(INDEX('AFA Rates'!$I$5:$I$1004,$T1393)="","",INDEX('AFA Rates'!$I$5:$I$1004,$T1393))))</f>
        <v/>
      </c>
      <c r="L1393" s="50">
        <f>IF($T1393="","",IF($S1393="S",IF(INDEX(Firms!$K$5:$K$1004,$T1393)="","",INDEX(Firms!$K$5:$K$1004,$T1393)),IF(INDEX('AFA Rates'!$J$5:$J$1004,$T1393)="","",INDEX('AFA Rates'!$J$5:$J$1004,$T1393))))</f>
        <v/>
      </c>
      <c r="M1393" s="50">
        <f>IF($T1393="","",IF($S1393="S",IF(INDEX(Firms!$L$5:$L$1004,$T1393)="","",INDEX(Firms!$L$5:$L$1004,$T1393)),IF(INDEX('AFA Rates'!$K$5:$K$1004,$T1393)="","",INDEX('AFA Rates'!$K$5:$K$1004,$T1393))))</f>
        <v/>
      </c>
      <c r="N1393" s="50">
        <f>IF($T1393="","",IF($S1393="S",IF(INDEX(Firms!$M$5:$M$1004,$T1393)="","",INDEX(Firms!$M$5:$M$1004,$T1393)),IF(INDEX('AFA Rates'!$L$5:$L$1004,$T1393)="","",INDEX('AFA Rates'!$L$5:$L$1004,$T1393))))</f>
        <v/>
      </c>
      <c r="O1393" s="78">
        <f>IF(OR($T1393="",$U1393=""),"",IF(INDEX(Firms!$C$5:$C$1004,$U1393)="","",INDEX(Firms!$C$5:$C$1004,$U1393)))</f>
        <v/>
      </c>
      <c r="P1393" s="79">
        <f>IF(OR($T1393="",$U1393=""),"",IF(INDEX(Firms!$N$5:$N$1004,$U1393)="","",INDEX(Firms!$N$5:$N$1004,$U1393)))</f>
        <v/>
      </c>
      <c r="Q1393" s="78">
        <f>IF($T1393="","",IF($S1393="S",IF(INDEX(Firms!$T$5:$T$1004,$T1393)="","",INDEX(Firms!$T$5:$T$1004,$T1393)),IF(INDEX('AFA Rates'!$M$5:$M$1004,$T1393)="","",INDEX('AFA Rates'!$M$5:$M$1004,$T1393))))</f>
        <v/>
      </c>
      <c r="S1393">
        <f>IF(1389&lt;=$S$2,"S",IF(1389&lt;=$S$2+$T$2,"A",""))</f>
        <v/>
      </c>
      <c r="T1393">
        <f>IF(S1393="S",MATCH(1389,Firms!$W$5:$W$1004,0),IF(S1393="A",IFERROR(MATCH(1389-$S$2,'AFA Rates'!$R$5:$R$1004,0),""),""))</f>
        <v/>
      </c>
      <c r="U1393">
        <f>IF(S1393="S",T1393,IF(AND(S1393="A",T1393&lt;&gt;""),IFERROR(MATCH(INDEX('AFA Rates'!$A$5:$A$1004,T1393),Firms!$A$5:$A$1004,0),""),""))</f>
        <v/>
      </c>
    </row>
    <row r="1394">
      <c r="A1394" s="78">
        <f>IF($T1394="","",IF($S1394="S",IF(INDEX(Firms!$A$5:$A$1004,$T1394)="","",INDEX(Firms!$A$5:$A$1004,$T1394)),IF(INDEX('AFA Rates'!$A$5:$A$1004,$T1394)="","",INDEX('AFA Rates'!$A$5:$A$1004,$T1394))))</f>
        <v/>
      </c>
      <c r="B1394" s="79">
        <f>IF(OR($T1394="",$U1394=""),IF($T1394="","","Not on Firms tab"),INDEX(Firms!$B$5:$B$1004,$U1394)&amp;"")</f>
        <v/>
      </c>
      <c r="C1394" s="78">
        <f>IF($T1394="","",IF($S1394="S","Standard",INDEX('AFA Rates'!$B$5:$B$1004,$T1394)&amp;""))</f>
        <v/>
      </c>
      <c r="D1394" s="88">
        <f>IF($T1394="","",IF($S1394="S",IF(INDEX(Firms!$E$5:$E$1004,$T1394)="","",INDEX(Firms!$E$5:$E$1004,$T1394)),IF(INDEX('AFA Rates'!$C$5:$C$1004,$T1394)="","",INDEX('AFA Rates'!$C$5:$C$1004,$T1394))))</f>
        <v/>
      </c>
      <c r="E1394" s="88">
        <f>IF($T1394="","",IF($S1394="S",IF(""="","",""),IF(INDEX('AFA Rates'!$D$5:$D$1004,$T1394)="","",INDEX('AFA Rates'!$D$5:$D$1004,$T1394))))</f>
        <v/>
      </c>
      <c r="F1394" s="79">
        <f>IF($T1394="","",IF($S1394="S",IF(INDEX(Firms!$O$5:$O$1004,$T1394)="","",INDEX(Firms!$O$5:$O$1004,$T1394)),IF(INDEX('AFA Rates'!$O$5:$O$1004,$T1394)="","",INDEX('AFA Rates'!$O$5:$O$1004,$T1394))))</f>
        <v/>
      </c>
      <c r="G1394" s="50">
        <f>IF($T1394="","",IF($S1394="S",IF(INDEX(Firms!$F$5:$F$1004,$T1394)="","",INDEX(Firms!$F$5:$F$1004,$T1394)),IF(INDEX('AFA Rates'!$E$5:$E$1004,$T1394)="","",INDEX('AFA Rates'!$E$5:$E$1004,$T1394))))</f>
        <v/>
      </c>
      <c r="H1394" s="50">
        <f>IF($T1394="","",IF($S1394="S",IF(INDEX(Firms!$G$5:$G$1004,$T1394)="","",INDEX(Firms!$G$5:$G$1004,$T1394)),IF(INDEX('AFA Rates'!$F$5:$F$1004,$T1394)="","",INDEX('AFA Rates'!$F$5:$F$1004,$T1394))))</f>
        <v/>
      </c>
      <c r="I1394" s="50">
        <f>IF($T1394="","",IF($S1394="S",IF(INDEX(Firms!$H$5:$H$1004,$T1394)="","",INDEX(Firms!$H$5:$H$1004,$T1394)),IF(INDEX('AFA Rates'!$G$5:$G$1004,$T1394)="","",INDEX('AFA Rates'!$G$5:$G$1004,$T1394))))</f>
        <v/>
      </c>
      <c r="J1394" s="50">
        <f>IF($T1394="","",IF($S1394="S",IF(INDEX(Firms!$I$5:$I$1004,$T1394)="","",INDEX(Firms!$I$5:$I$1004,$T1394)),IF(INDEX('AFA Rates'!$H$5:$H$1004,$T1394)="","",INDEX('AFA Rates'!$H$5:$H$1004,$T1394))))</f>
        <v/>
      </c>
      <c r="K1394" s="50">
        <f>IF($T1394="","",IF($S1394="S",IF(INDEX(Firms!$J$5:$J$1004,$T1394)="","",INDEX(Firms!$J$5:$J$1004,$T1394)),IF(INDEX('AFA Rates'!$I$5:$I$1004,$T1394)="","",INDEX('AFA Rates'!$I$5:$I$1004,$T1394))))</f>
        <v/>
      </c>
      <c r="L1394" s="50">
        <f>IF($T1394="","",IF($S1394="S",IF(INDEX(Firms!$K$5:$K$1004,$T1394)="","",INDEX(Firms!$K$5:$K$1004,$T1394)),IF(INDEX('AFA Rates'!$J$5:$J$1004,$T1394)="","",INDEX('AFA Rates'!$J$5:$J$1004,$T1394))))</f>
        <v/>
      </c>
      <c r="M1394" s="50">
        <f>IF($T1394="","",IF($S1394="S",IF(INDEX(Firms!$L$5:$L$1004,$T1394)="","",INDEX(Firms!$L$5:$L$1004,$T1394)),IF(INDEX('AFA Rates'!$K$5:$K$1004,$T1394)="","",INDEX('AFA Rates'!$K$5:$K$1004,$T1394))))</f>
        <v/>
      </c>
      <c r="N1394" s="50">
        <f>IF($T1394="","",IF($S1394="S",IF(INDEX(Firms!$M$5:$M$1004,$T1394)="","",INDEX(Firms!$M$5:$M$1004,$T1394)),IF(INDEX('AFA Rates'!$L$5:$L$1004,$T1394)="","",INDEX('AFA Rates'!$L$5:$L$1004,$T1394))))</f>
        <v/>
      </c>
      <c r="O1394" s="78">
        <f>IF(OR($T1394="",$U1394=""),"",IF(INDEX(Firms!$C$5:$C$1004,$U1394)="","",INDEX(Firms!$C$5:$C$1004,$U1394)))</f>
        <v/>
      </c>
      <c r="P1394" s="79">
        <f>IF(OR($T1394="",$U1394=""),"",IF(INDEX(Firms!$N$5:$N$1004,$U1394)="","",INDEX(Firms!$N$5:$N$1004,$U1394)))</f>
        <v/>
      </c>
      <c r="Q1394" s="78">
        <f>IF($T1394="","",IF($S1394="S",IF(INDEX(Firms!$T$5:$T$1004,$T1394)="","",INDEX(Firms!$T$5:$T$1004,$T1394)),IF(INDEX('AFA Rates'!$M$5:$M$1004,$T1394)="","",INDEX('AFA Rates'!$M$5:$M$1004,$T1394))))</f>
        <v/>
      </c>
      <c r="S1394">
        <f>IF(1390&lt;=$S$2,"S",IF(1390&lt;=$S$2+$T$2,"A",""))</f>
        <v/>
      </c>
      <c r="T1394">
        <f>IF(S1394="S",MATCH(1390,Firms!$W$5:$W$1004,0),IF(S1394="A",IFERROR(MATCH(1390-$S$2,'AFA Rates'!$R$5:$R$1004,0),""),""))</f>
        <v/>
      </c>
      <c r="U1394">
        <f>IF(S1394="S",T1394,IF(AND(S1394="A",T1394&lt;&gt;""),IFERROR(MATCH(INDEX('AFA Rates'!$A$5:$A$1004,T1394),Firms!$A$5:$A$1004,0),""),""))</f>
        <v/>
      </c>
    </row>
    <row r="1395">
      <c r="A1395" s="78">
        <f>IF($T1395="","",IF($S1395="S",IF(INDEX(Firms!$A$5:$A$1004,$T1395)="","",INDEX(Firms!$A$5:$A$1004,$T1395)),IF(INDEX('AFA Rates'!$A$5:$A$1004,$T1395)="","",INDEX('AFA Rates'!$A$5:$A$1004,$T1395))))</f>
        <v/>
      </c>
      <c r="B1395" s="79">
        <f>IF(OR($T1395="",$U1395=""),IF($T1395="","","Not on Firms tab"),INDEX(Firms!$B$5:$B$1004,$U1395)&amp;"")</f>
        <v/>
      </c>
      <c r="C1395" s="78">
        <f>IF($T1395="","",IF($S1395="S","Standard",INDEX('AFA Rates'!$B$5:$B$1004,$T1395)&amp;""))</f>
        <v/>
      </c>
      <c r="D1395" s="88">
        <f>IF($T1395="","",IF($S1395="S",IF(INDEX(Firms!$E$5:$E$1004,$T1395)="","",INDEX(Firms!$E$5:$E$1004,$T1395)),IF(INDEX('AFA Rates'!$C$5:$C$1004,$T1395)="","",INDEX('AFA Rates'!$C$5:$C$1004,$T1395))))</f>
        <v/>
      </c>
      <c r="E1395" s="88">
        <f>IF($T1395="","",IF($S1395="S",IF(""="","",""),IF(INDEX('AFA Rates'!$D$5:$D$1004,$T1395)="","",INDEX('AFA Rates'!$D$5:$D$1004,$T1395))))</f>
        <v/>
      </c>
      <c r="F1395" s="79">
        <f>IF($T1395="","",IF($S1395="S",IF(INDEX(Firms!$O$5:$O$1004,$T1395)="","",INDEX(Firms!$O$5:$O$1004,$T1395)),IF(INDEX('AFA Rates'!$O$5:$O$1004,$T1395)="","",INDEX('AFA Rates'!$O$5:$O$1004,$T1395))))</f>
        <v/>
      </c>
      <c r="G1395" s="50">
        <f>IF($T1395="","",IF($S1395="S",IF(INDEX(Firms!$F$5:$F$1004,$T1395)="","",INDEX(Firms!$F$5:$F$1004,$T1395)),IF(INDEX('AFA Rates'!$E$5:$E$1004,$T1395)="","",INDEX('AFA Rates'!$E$5:$E$1004,$T1395))))</f>
        <v/>
      </c>
      <c r="H1395" s="50">
        <f>IF($T1395="","",IF($S1395="S",IF(INDEX(Firms!$G$5:$G$1004,$T1395)="","",INDEX(Firms!$G$5:$G$1004,$T1395)),IF(INDEX('AFA Rates'!$F$5:$F$1004,$T1395)="","",INDEX('AFA Rates'!$F$5:$F$1004,$T1395))))</f>
        <v/>
      </c>
      <c r="I1395" s="50">
        <f>IF($T1395="","",IF($S1395="S",IF(INDEX(Firms!$H$5:$H$1004,$T1395)="","",INDEX(Firms!$H$5:$H$1004,$T1395)),IF(INDEX('AFA Rates'!$G$5:$G$1004,$T1395)="","",INDEX('AFA Rates'!$G$5:$G$1004,$T1395))))</f>
        <v/>
      </c>
      <c r="J1395" s="50">
        <f>IF($T1395="","",IF($S1395="S",IF(INDEX(Firms!$I$5:$I$1004,$T1395)="","",INDEX(Firms!$I$5:$I$1004,$T1395)),IF(INDEX('AFA Rates'!$H$5:$H$1004,$T1395)="","",INDEX('AFA Rates'!$H$5:$H$1004,$T1395))))</f>
        <v/>
      </c>
      <c r="K1395" s="50">
        <f>IF($T1395="","",IF($S1395="S",IF(INDEX(Firms!$J$5:$J$1004,$T1395)="","",INDEX(Firms!$J$5:$J$1004,$T1395)),IF(INDEX('AFA Rates'!$I$5:$I$1004,$T1395)="","",INDEX('AFA Rates'!$I$5:$I$1004,$T1395))))</f>
        <v/>
      </c>
      <c r="L1395" s="50">
        <f>IF($T1395="","",IF($S1395="S",IF(INDEX(Firms!$K$5:$K$1004,$T1395)="","",INDEX(Firms!$K$5:$K$1004,$T1395)),IF(INDEX('AFA Rates'!$J$5:$J$1004,$T1395)="","",INDEX('AFA Rates'!$J$5:$J$1004,$T1395))))</f>
        <v/>
      </c>
      <c r="M1395" s="50">
        <f>IF($T1395="","",IF($S1395="S",IF(INDEX(Firms!$L$5:$L$1004,$T1395)="","",INDEX(Firms!$L$5:$L$1004,$T1395)),IF(INDEX('AFA Rates'!$K$5:$K$1004,$T1395)="","",INDEX('AFA Rates'!$K$5:$K$1004,$T1395))))</f>
        <v/>
      </c>
      <c r="N1395" s="50">
        <f>IF($T1395="","",IF($S1395="S",IF(INDEX(Firms!$M$5:$M$1004,$T1395)="","",INDEX(Firms!$M$5:$M$1004,$T1395)),IF(INDEX('AFA Rates'!$L$5:$L$1004,$T1395)="","",INDEX('AFA Rates'!$L$5:$L$1004,$T1395))))</f>
        <v/>
      </c>
      <c r="O1395" s="78">
        <f>IF(OR($T1395="",$U1395=""),"",IF(INDEX(Firms!$C$5:$C$1004,$U1395)="","",INDEX(Firms!$C$5:$C$1004,$U1395)))</f>
        <v/>
      </c>
      <c r="P1395" s="79">
        <f>IF(OR($T1395="",$U1395=""),"",IF(INDEX(Firms!$N$5:$N$1004,$U1395)="","",INDEX(Firms!$N$5:$N$1004,$U1395)))</f>
        <v/>
      </c>
      <c r="Q1395" s="78">
        <f>IF($T1395="","",IF($S1395="S",IF(INDEX(Firms!$T$5:$T$1004,$T1395)="","",INDEX(Firms!$T$5:$T$1004,$T1395)),IF(INDEX('AFA Rates'!$M$5:$M$1004,$T1395)="","",INDEX('AFA Rates'!$M$5:$M$1004,$T1395))))</f>
        <v/>
      </c>
      <c r="S1395">
        <f>IF(1391&lt;=$S$2,"S",IF(1391&lt;=$S$2+$T$2,"A",""))</f>
        <v/>
      </c>
      <c r="T1395">
        <f>IF(S1395="S",MATCH(1391,Firms!$W$5:$W$1004,0),IF(S1395="A",IFERROR(MATCH(1391-$S$2,'AFA Rates'!$R$5:$R$1004,0),""),""))</f>
        <v/>
      </c>
      <c r="U1395">
        <f>IF(S1395="S",T1395,IF(AND(S1395="A",T1395&lt;&gt;""),IFERROR(MATCH(INDEX('AFA Rates'!$A$5:$A$1004,T1395),Firms!$A$5:$A$1004,0),""),""))</f>
        <v/>
      </c>
    </row>
    <row r="1396">
      <c r="A1396" s="78">
        <f>IF($T1396="","",IF($S1396="S",IF(INDEX(Firms!$A$5:$A$1004,$T1396)="","",INDEX(Firms!$A$5:$A$1004,$T1396)),IF(INDEX('AFA Rates'!$A$5:$A$1004,$T1396)="","",INDEX('AFA Rates'!$A$5:$A$1004,$T1396))))</f>
        <v/>
      </c>
      <c r="B1396" s="79">
        <f>IF(OR($T1396="",$U1396=""),IF($T1396="","","Not on Firms tab"),INDEX(Firms!$B$5:$B$1004,$U1396)&amp;"")</f>
        <v/>
      </c>
      <c r="C1396" s="78">
        <f>IF($T1396="","",IF($S1396="S","Standard",INDEX('AFA Rates'!$B$5:$B$1004,$T1396)&amp;""))</f>
        <v/>
      </c>
      <c r="D1396" s="88">
        <f>IF($T1396="","",IF($S1396="S",IF(INDEX(Firms!$E$5:$E$1004,$T1396)="","",INDEX(Firms!$E$5:$E$1004,$T1396)),IF(INDEX('AFA Rates'!$C$5:$C$1004,$T1396)="","",INDEX('AFA Rates'!$C$5:$C$1004,$T1396))))</f>
        <v/>
      </c>
      <c r="E1396" s="88">
        <f>IF($T1396="","",IF($S1396="S",IF(""="","",""),IF(INDEX('AFA Rates'!$D$5:$D$1004,$T1396)="","",INDEX('AFA Rates'!$D$5:$D$1004,$T1396))))</f>
        <v/>
      </c>
      <c r="F1396" s="79">
        <f>IF($T1396="","",IF($S1396="S",IF(INDEX(Firms!$O$5:$O$1004,$T1396)="","",INDEX(Firms!$O$5:$O$1004,$T1396)),IF(INDEX('AFA Rates'!$O$5:$O$1004,$T1396)="","",INDEX('AFA Rates'!$O$5:$O$1004,$T1396))))</f>
        <v/>
      </c>
      <c r="G1396" s="50">
        <f>IF($T1396="","",IF($S1396="S",IF(INDEX(Firms!$F$5:$F$1004,$T1396)="","",INDEX(Firms!$F$5:$F$1004,$T1396)),IF(INDEX('AFA Rates'!$E$5:$E$1004,$T1396)="","",INDEX('AFA Rates'!$E$5:$E$1004,$T1396))))</f>
        <v/>
      </c>
      <c r="H1396" s="50">
        <f>IF($T1396="","",IF($S1396="S",IF(INDEX(Firms!$G$5:$G$1004,$T1396)="","",INDEX(Firms!$G$5:$G$1004,$T1396)),IF(INDEX('AFA Rates'!$F$5:$F$1004,$T1396)="","",INDEX('AFA Rates'!$F$5:$F$1004,$T1396))))</f>
        <v/>
      </c>
      <c r="I1396" s="50">
        <f>IF($T1396="","",IF($S1396="S",IF(INDEX(Firms!$H$5:$H$1004,$T1396)="","",INDEX(Firms!$H$5:$H$1004,$T1396)),IF(INDEX('AFA Rates'!$G$5:$G$1004,$T1396)="","",INDEX('AFA Rates'!$G$5:$G$1004,$T1396))))</f>
        <v/>
      </c>
      <c r="J1396" s="50">
        <f>IF($T1396="","",IF($S1396="S",IF(INDEX(Firms!$I$5:$I$1004,$T1396)="","",INDEX(Firms!$I$5:$I$1004,$T1396)),IF(INDEX('AFA Rates'!$H$5:$H$1004,$T1396)="","",INDEX('AFA Rates'!$H$5:$H$1004,$T1396))))</f>
        <v/>
      </c>
      <c r="K1396" s="50">
        <f>IF($T1396="","",IF($S1396="S",IF(INDEX(Firms!$J$5:$J$1004,$T1396)="","",INDEX(Firms!$J$5:$J$1004,$T1396)),IF(INDEX('AFA Rates'!$I$5:$I$1004,$T1396)="","",INDEX('AFA Rates'!$I$5:$I$1004,$T1396))))</f>
        <v/>
      </c>
      <c r="L1396" s="50">
        <f>IF($T1396="","",IF($S1396="S",IF(INDEX(Firms!$K$5:$K$1004,$T1396)="","",INDEX(Firms!$K$5:$K$1004,$T1396)),IF(INDEX('AFA Rates'!$J$5:$J$1004,$T1396)="","",INDEX('AFA Rates'!$J$5:$J$1004,$T1396))))</f>
        <v/>
      </c>
      <c r="M1396" s="50">
        <f>IF($T1396="","",IF($S1396="S",IF(INDEX(Firms!$L$5:$L$1004,$T1396)="","",INDEX(Firms!$L$5:$L$1004,$T1396)),IF(INDEX('AFA Rates'!$K$5:$K$1004,$T1396)="","",INDEX('AFA Rates'!$K$5:$K$1004,$T1396))))</f>
        <v/>
      </c>
      <c r="N1396" s="50">
        <f>IF($T1396="","",IF($S1396="S",IF(INDEX(Firms!$M$5:$M$1004,$T1396)="","",INDEX(Firms!$M$5:$M$1004,$T1396)),IF(INDEX('AFA Rates'!$L$5:$L$1004,$T1396)="","",INDEX('AFA Rates'!$L$5:$L$1004,$T1396))))</f>
        <v/>
      </c>
      <c r="O1396" s="78">
        <f>IF(OR($T1396="",$U1396=""),"",IF(INDEX(Firms!$C$5:$C$1004,$U1396)="","",INDEX(Firms!$C$5:$C$1004,$U1396)))</f>
        <v/>
      </c>
      <c r="P1396" s="79">
        <f>IF(OR($T1396="",$U1396=""),"",IF(INDEX(Firms!$N$5:$N$1004,$U1396)="","",INDEX(Firms!$N$5:$N$1004,$U1396)))</f>
        <v/>
      </c>
      <c r="Q1396" s="78">
        <f>IF($T1396="","",IF($S1396="S",IF(INDEX(Firms!$T$5:$T$1004,$T1396)="","",INDEX(Firms!$T$5:$T$1004,$T1396)),IF(INDEX('AFA Rates'!$M$5:$M$1004,$T1396)="","",INDEX('AFA Rates'!$M$5:$M$1004,$T1396))))</f>
        <v/>
      </c>
      <c r="S1396">
        <f>IF(1392&lt;=$S$2,"S",IF(1392&lt;=$S$2+$T$2,"A",""))</f>
        <v/>
      </c>
      <c r="T1396">
        <f>IF(S1396="S",MATCH(1392,Firms!$W$5:$W$1004,0),IF(S1396="A",IFERROR(MATCH(1392-$S$2,'AFA Rates'!$R$5:$R$1004,0),""),""))</f>
        <v/>
      </c>
      <c r="U1396">
        <f>IF(S1396="S",T1396,IF(AND(S1396="A",T1396&lt;&gt;""),IFERROR(MATCH(INDEX('AFA Rates'!$A$5:$A$1004,T1396),Firms!$A$5:$A$1004,0),""),""))</f>
        <v/>
      </c>
    </row>
    <row r="1397">
      <c r="A1397" s="78">
        <f>IF($T1397="","",IF($S1397="S",IF(INDEX(Firms!$A$5:$A$1004,$T1397)="","",INDEX(Firms!$A$5:$A$1004,$T1397)),IF(INDEX('AFA Rates'!$A$5:$A$1004,$T1397)="","",INDEX('AFA Rates'!$A$5:$A$1004,$T1397))))</f>
        <v/>
      </c>
      <c r="B1397" s="79">
        <f>IF(OR($T1397="",$U1397=""),IF($T1397="","","Not on Firms tab"),INDEX(Firms!$B$5:$B$1004,$U1397)&amp;"")</f>
        <v/>
      </c>
      <c r="C1397" s="78">
        <f>IF($T1397="","",IF($S1397="S","Standard",INDEX('AFA Rates'!$B$5:$B$1004,$T1397)&amp;""))</f>
        <v/>
      </c>
      <c r="D1397" s="88">
        <f>IF($T1397="","",IF($S1397="S",IF(INDEX(Firms!$E$5:$E$1004,$T1397)="","",INDEX(Firms!$E$5:$E$1004,$T1397)),IF(INDEX('AFA Rates'!$C$5:$C$1004,$T1397)="","",INDEX('AFA Rates'!$C$5:$C$1004,$T1397))))</f>
        <v/>
      </c>
      <c r="E1397" s="88">
        <f>IF($T1397="","",IF($S1397="S",IF(""="","",""),IF(INDEX('AFA Rates'!$D$5:$D$1004,$T1397)="","",INDEX('AFA Rates'!$D$5:$D$1004,$T1397))))</f>
        <v/>
      </c>
      <c r="F1397" s="79">
        <f>IF($T1397="","",IF($S1397="S",IF(INDEX(Firms!$O$5:$O$1004,$T1397)="","",INDEX(Firms!$O$5:$O$1004,$T1397)),IF(INDEX('AFA Rates'!$O$5:$O$1004,$T1397)="","",INDEX('AFA Rates'!$O$5:$O$1004,$T1397))))</f>
        <v/>
      </c>
      <c r="G1397" s="50">
        <f>IF($T1397="","",IF($S1397="S",IF(INDEX(Firms!$F$5:$F$1004,$T1397)="","",INDEX(Firms!$F$5:$F$1004,$T1397)),IF(INDEX('AFA Rates'!$E$5:$E$1004,$T1397)="","",INDEX('AFA Rates'!$E$5:$E$1004,$T1397))))</f>
        <v/>
      </c>
      <c r="H1397" s="50">
        <f>IF($T1397="","",IF($S1397="S",IF(INDEX(Firms!$G$5:$G$1004,$T1397)="","",INDEX(Firms!$G$5:$G$1004,$T1397)),IF(INDEX('AFA Rates'!$F$5:$F$1004,$T1397)="","",INDEX('AFA Rates'!$F$5:$F$1004,$T1397))))</f>
        <v/>
      </c>
      <c r="I1397" s="50">
        <f>IF($T1397="","",IF($S1397="S",IF(INDEX(Firms!$H$5:$H$1004,$T1397)="","",INDEX(Firms!$H$5:$H$1004,$T1397)),IF(INDEX('AFA Rates'!$G$5:$G$1004,$T1397)="","",INDEX('AFA Rates'!$G$5:$G$1004,$T1397))))</f>
        <v/>
      </c>
      <c r="J1397" s="50">
        <f>IF($T1397="","",IF($S1397="S",IF(INDEX(Firms!$I$5:$I$1004,$T1397)="","",INDEX(Firms!$I$5:$I$1004,$T1397)),IF(INDEX('AFA Rates'!$H$5:$H$1004,$T1397)="","",INDEX('AFA Rates'!$H$5:$H$1004,$T1397))))</f>
        <v/>
      </c>
      <c r="K1397" s="50">
        <f>IF($T1397="","",IF($S1397="S",IF(INDEX(Firms!$J$5:$J$1004,$T1397)="","",INDEX(Firms!$J$5:$J$1004,$T1397)),IF(INDEX('AFA Rates'!$I$5:$I$1004,$T1397)="","",INDEX('AFA Rates'!$I$5:$I$1004,$T1397))))</f>
        <v/>
      </c>
      <c r="L1397" s="50">
        <f>IF($T1397="","",IF($S1397="S",IF(INDEX(Firms!$K$5:$K$1004,$T1397)="","",INDEX(Firms!$K$5:$K$1004,$T1397)),IF(INDEX('AFA Rates'!$J$5:$J$1004,$T1397)="","",INDEX('AFA Rates'!$J$5:$J$1004,$T1397))))</f>
        <v/>
      </c>
      <c r="M1397" s="50">
        <f>IF($T1397="","",IF($S1397="S",IF(INDEX(Firms!$L$5:$L$1004,$T1397)="","",INDEX(Firms!$L$5:$L$1004,$T1397)),IF(INDEX('AFA Rates'!$K$5:$K$1004,$T1397)="","",INDEX('AFA Rates'!$K$5:$K$1004,$T1397))))</f>
        <v/>
      </c>
      <c r="N1397" s="50">
        <f>IF($T1397="","",IF($S1397="S",IF(INDEX(Firms!$M$5:$M$1004,$T1397)="","",INDEX(Firms!$M$5:$M$1004,$T1397)),IF(INDEX('AFA Rates'!$L$5:$L$1004,$T1397)="","",INDEX('AFA Rates'!$L$5:$L$1004,$T1397))))</f>
        <v/>
      </c>
      <c r="O1397" s="78">
        <f>IF(OR($T1397="",$U1397=""),"",IF(INDEX(Firms!$C$5:$C$1004,$U1397)="","",INDEX(Firms!$C$5:$C$1004,$U1397)))</f>
        <v/>
      </c>
      <c r="P1397" s="79">
        <f>IF(OR($T1397="",$U1397=""),"",IF(INDEX(Firms!$N$5:$N$1004,$U1397)="","",INDEX(Firms!$N$5:$N$1004,$U1397)))</f>
        <v/>
      </c>
      <c r="Q1397" s="78">
        <f>IF($T1397="","",IF($S1397="S",IF(INDEX(Firms!$T$5:$T$1004,$T1397)="","",INDEX(Firms!$T$5:$T$1004,$T1397)),IF(INDEX('AFA Rates'!$M$5:$M$1004,$T1397)="","",INDEX('AFA Rates'!$M$5:$M$1004,$T1397))))</f>
        <v/>
      </c>
      <c r="S1397">
        <f>IF(1393&lt;=$S$2,"S",IF(1393&lt;=$S$2+$T$2,"A",""))</f>
        <v/>
      </c>
      <c r="T1397">
        <f>IF(S1397="S",MATCH(1393,Firms!$W$5:$W$1004,0),IF(S1397="A",IFERROR(MATCH(1393-$S$2,'AFA Rates'!$R$5:$R$1004,0),""),""))</f>
        <v/>
      </c>
      <c r="U1397">
        <f>IF(S1397="S",T1397,IF(AND(S1397="A",T1397&lt;&gt;""),IFERROR(MATCH(INDEX('AFA Rates'!$A$5:$A$1004,T1397),Firms!$A$5:$A$1004,0),""),""))</f>
        <v/>
      </c>
    </row>
    <row r="1398">
      <c r="A1398" s="78">
        <f>IF($T1398="","",IF($S1398="S",IF(INDEX(Firms!$A$5:$A$1004,$T1398)="","",INDEX(Firms!$A$5:$A$1004,$T1398)),IF(INDEX('AFA Rates'!$A$5:$A$1004,$T1398)="","",INDEX('AFA Rates'!$A$5:$A$1004,$T1398))))</f>
        <v/>
      </c>
      <c r="B1398" s="79">
        <f>IF(OR($T1398="",$U1398=""),IF($T1398="","","Not on Firms tab"),INDEX(Firms!$B$5:$B$1004,$U1398)&amp;"")</f>
        <v/>
      </c>
      <c r="C1398" s="78">
        <f>IF($T1398="","",IF($S1398="S","Standard",INDEX('AFA Rates'!$B$5:$B$1004,$T1398)&amp;""))</f>
        <v/>
      </c>
      <c r="D1398" s="88">
        <f>IF($T1398="","",IF($S1398="S",IF(INDEX(Firms!$E$5:$E$1004,$T1398)="","",INDEX(Firms!$E$5:$E$1004,$T1398)),IF(INDEX('AFA Rates'!$C$5:$C$1004,$T1398)="","",INDEX('AFA Rates'!$C$5:$C$1004,$T1398))))</f>
        <v/>
      </c>
      <c r="E1398" s="88">
        <f>IF($T1398="","",IF($S1398="S",IF(""="","",""),IF(INDEX('AFA Rates'!$D$5:$D$1004,$T1398)="","",INDEX('AFA Rates'!$D$5:$D$1004,$T1398))))</f>
        <v/>
      </c>
      <c r="F1398" s="79">
        <f>IF($T1398="","",IF($S1398="S",IF(INDEX(Firms!$O$5:$O$1004,$T1398)="","",INDEX(Firms!$O$5:$O$1004,$T1398)),IF(INDEX('AFA Rates'!$O$5:$O$1004,$T1398)="","",INDEX('AFA Rates'!$O$5:$O$1004,$T1398))))</f>
        <v/>
      </c>
      <c r="G1398" s="50">
        <f>IF($T1398="","",IF($S1398="S",IF(INDEX(Firms!$F$5:$F$1004,$T1398)="","",INDEX(Firms!$F$5:$F$1004,$T1398)),IF(INDEX('AFA Rates'!$E$5:$E$1004,$T1398)="","",INDEX('AFA Rates'!$E$5:$E$1004,$T1398))))</f>
        <v/>
      </c>
      <c r="H1398" s="50">
        <f>IF($T1398="","",IF($S1398="S",IF(INDEX(Firms!$G$5:$G$1004,$T1398)="","",INDEX(Firms!$G$5:$G$1004,$T1398)),IF(INDEX('AFA Rates'!$F$5:$F$1004,$T1398)="","",INDEX('AFA Rates'!$F$5:$F$1004,$T1398))))</f>
        <v/>
      </c>
      <c r="I1398" s="50">
        <f>IF($T1398="","",IF($S1398="S",IF(INDEX(Firms!$H$5:$H$1004,$T1398)="","",INDEX(Firms!$H$5:$H$1004,$T1398)),IF(INDEX('AFA Rates'!$G$5:$G$1004,$T1398)="","",INDEX('AFA Rates'!$G$5:$G$1004,$T1398))))</f>
        <v/>
      </c>
      <c r="J1398" s="50">
        <f>IF($T1398="","",IF($S1398="S",IF(INDEX(Firms!$I$5:$I$1004,$T1398)="","",INDEX(Firms!$I$5:$I$1004,$T1398)),IF(INDEX('AFA Rates'!$H$5:$H$1004,$T1398)="","",INDEX('AFA Rates'!$H$5:$H$1004,$T1398))))</f>
        <v/>
      </c>
      <c r="K1398" s="50">
        <f>IF($T1398="","",IF($S1398="S",IF(INDEX(Firms!$J$5:$J$1004,$T1398)="","",INDEX(Firms!$J$5:$J$1004,$T1398)),IF(INDEX('AFA Rates'!$I$5:$I$1004,$T1398)="","",INDEX('AFA Rates'!$I$5:$I$1004,$T1398))))</f>
        <v/>
      </c>
      <c r="L1398" s="50">
        <f>IF($T1398="","",IF($S1398="S",IF(INDEX(Firms!$K$5:$K$1004,$T1398)="","",INDEX(Firms!$K$5:$K$1004,$T1398)),IF(INDEX('AFA Rates'!$J$5:$J$1004,$T1398)="","",INDEX('AFA Rates'!$J$5:$J$1004,$T1398))))</f>
        <v/>
      </c>
      <c r="M1398" s="50">
        <f>IF($T1398="","",IF($S1398="S",IF(INDEX(Firms!$L$5:$L$1004,$T1398)="","",INDEX(Firms!$L$5:$L$1004,$T1398)),IF(INDEX('AFA Rates'!$K$5:$K$1004,$T1398)="","",INDEX('AFA Rates'!$K$5:$K$1004,$T1398))))</f>
        <v/>
      </c>
      <c r="N1398" s="50">
        <f>IF($T1398="","",IF($S1398="S",IF(INDEX(Firms!$M$5:$M$1004,$T1398)="","",INDEX(Firms!$M$5:$M$1004,$T1398)),IF(INDEX('AFA Rates'!$L$5:$L$1004,$T1398)="","",INDEX('AFA Rates'!$L$5:$L$1004,$T1398))))</f>
        <v/>
      </c>
      <c r="O1398" s="78">
        <f>IF(OR($T1398="",$U1398=""),"",IF(INDEX(Firms!$C$5:$C$1004,$U1398)="","",INDEX(Firms!$C$5:$C$1004,$U1398)))</f>
        <v/>
      </c>
      <c r="P1398" s="79">
        <f>IF(OR($T1398="",$U1398=""),"",IF(INDEX(Firms!$N$5:$N$1004,$U1398)="","",INDEX(Firms!$N$5:$N$1004,$U1398)))</f>
        <v/>
      </c>
      <c r="Q1398" s="78">
        <f>IF($T1398="","",IF($S1398="S",IF(INDEX(Firms!$T$5:$T$1004,$T1398)="","",INDEX(Firms!$T$5:$T$1004,$T1398)),IF(INDEX('AFA Rates'!$M$5:$M$1004,$T1398)="","",INDEX('AFA Rates'!$M$5:$M$1004,$T1398))))</f>
        <v/>
      </c>
      <c r="S1398">
        <f>IF(1394&lt;=$S$2,"S",IF(1394&lt;=$S$2+$T$2,"A",""))</f>
        <v/>
      </c>
      <c r="T1398">
        <f>IF(S1398="S",MATCH(1394,Firms!$W$5:$W$1004,0),IF(S1398="A",IFERROR(MATCH(1394-$S$2,'AFA Rates'!$R$5:$R$1004,0),""),""))</f>
        <v/>
      </c>
      <c r="U1398">
        <f>IF(S1398="S",T1398,IF(AND(S1398="A",T1398&lt;&gt;""),IFERROR(MATCH(INDEX('AFA Rates'!$A$5:$A$1004,T1398),Firms!$A$5:$A$1004,0),""),""))</f>
        <v/>
      </c>
    </row>
    <row r="1399">
      <c r="A1399" s="78">
        <f>IF($T1399="","",IF($S1399="S",IF(INDEX(Firms!$A$5:$A$1004,$T1399)="","",INDEX(Firms!$A$5:$A$1004,$T1399)),IF(INDEX('AFA Rates'!$A$5:$A$1004,$T1399)="","",INDEX('AFA Rates'!$A$5:$A$1004,$T1399))))</f>
        <v/>
      </c>
      <c r="B1399" s="79">
        <f>IF(OR($T1399="",$U1399=""),IF($T1399="","","Not on Firms tab"),INDEX(Firms!$B$5:$B$1004,$U1399)&amp;"")</f>
        <v/>
      </c>
      <c r="C1399" s="78">
        <f>IF($T1399="","",IF($S1399="S","Standard",INDEX('AFA Rates'!$B$5:$B$1004,$T1399)&amp;""))</f>
        <v/>
      </c>
      <c r="D1399" s="88">
        <f>IF($T1399="","",IF($S1399="S",IF(INDEX(Firms!$E$5:$E$1004,$T1399)="","",INDEX(Firms!$E$5:$E$1004,$T1399)),IF(INDEX('AFA Rates'!$C$5:$C$1004,$T1399)="","",INDEX('AFA Rates'!$C$5:$C$1004,$T1399))))</f>
        <v/>
      </c>
      <c r="E1399" s="88">
        <f>IF($T1399="","",IF($S1399="S",IF(""="","",""),IF(INDEX('AFA Rates'!$D$5:$D$1004,$T1399)="","",INDEX('AFA Rates'!$D$5:$D$1004,$T1399))))</f>
        <v/>
      </c>
      <c r="F1399" s="79">
        <f>IF($T1399="","",IF($S1399="S",IF(INDEX(Firms!$O$5:$O$1004,$T1399)="","",INDEX(Firms!$O$5:$O$1004,$T1399)),IF(INDEX('AFA Rates'!$O$5:$O$1004,$T1399)="","",INDEX('AFA Rates'!$O$5:$O$1004,$T1399))))</f>
        <v/>
      </c>
      <c r="G1399" s="50">
        <f>IF($T1399="","",IF($S1399="S",IF(INDEX(Firms!$F$5:$F$1004,$T1399)="","",INDEX(Firms!$F$5:$F$1004,$T1399)),IF(INDEX('AFA Rates'!$E$5:$E$1004,$T1399)="","",INDEX('AFA Rates'!$E$5:$E$1004,$T1399))))</f>
        <v/>
      </c>
      <c r="H1399" s="50">
        <f>IF($T1399="","",IF($S1399="S",IF(INDEX(Firms!$G$5:$G$1004,$T1399)="","",INDEX(Firms!$G$5:$G$1004,$T1399)),IF(INDEX('AFA Rates'!$F$5:$F$1004,$T1399)="","",INDEX('AFA Rates'!$F$5:$F$1004,$T1399))))</f>
        <v/>
      </c>
      <c r="I1399" s="50">
        <f>IF($T1399="","",IF($S1399="S",IF(INDEX(Firms!$H$5:$H$1004,$T1399)="","",INDEX(Firms!$H$5:$H$1004,$T1399)),IF(INDEX('AFA Rates'!$G$5:$G$1004,$T1399)="","",INDEX('AFA Rates'!$G$5:$G$1004,$T1399))))</f>
        <v/>
      </c>
      <c r="J1399" s="50">
        <f>IF($T1399="","",IF($S1399="S",IF(INDEX(Firms!$I$5:$I$1004,$T1399)="","",INDEX(Firms!$I$5:$I$1004,$T1399)),IF(INDEX('AFA Rates'!$H$5:$H$1004,$T1399)="","",INDEX('AFA Rates'!$H$5:$H$1004,$T1399))))</f>
        <v/>
      </c>
      <c r="K1399" s="50">
        <f>IF($T1399="","",IF($S1399="S",IF(INDEX(Firms!$J$5:$J$1004,$T1399)="","",INDEX(Firms!$J$5:$J$1004,$T1399)),IF(INDEX('AFA Rates'!$I$5:$I$1004,$T1399)="","",INDEX('AFA Rates'!$I$5:$I$1004,$T1399))))</f>
        <v/>
      </c>
      <c r="L1399" s="50">
        <f>IF($T1399="","",IF($S1399="S",IF(INDEX(Firms!$K$5:$K$1004,$T1399)="","",INDEX(Firms!$K$5:$K$1004,$T1399)),IF(INDEX('AFA Rates'!$J$5:$J$1004,$T1399)="","",INDEX('AFA Rates'!$J$5:$J$1004,$T1399))))</f>
        <v/>
      </c>
      <c r="M1399" s="50">
        <f>IF($T1399="","",IF($S1399="S",IF(INDEX(Firms!$L$5:$L$1004,$T1399)="","",INDEX(Firms!$L$5:$L$1004,$T1399)),IF(INDEX('AFA Rates'!$K$5:$K$1004,$T1399)="","",INDEX('AFA Rates'!$K$5:$K$1004,$T1399))))</f>
        <v/>
      </c>
      <c r="N1399" s="50">
        <f>IF($T1399="","",IF($S1399="S",IF(INDEX(Firms!$M$5:$M$1004,$T1399)="","",INDEX(Firms!$M$5:$M$1004,$T1399)),IF(INDEX('AFA Rates'!$L$5:$L$1004,$T1399)="","",INDEX('AFA Rates'!$L$5:$L$1004,$T1399))))</f>
        <v/>
      </c>
      <c r="O1399" s="78">
        <f>IF(OR($T1399="",$U1399=""),"",IF(INDEX(Firms!$C$5:$C$1004,$U1399)="","",INDEX(Firms!$C$5:$C$1004,$U1399)))</f>
        <v/>
      </c>
      <c r="P1399" s="79">
        <f>IF(OR($T1399="",$U1399=""),"",IF(INDEX(Firms!$N$5:$N$1004,$U1399)="","",INDEX(Firms!$N$5:$N$1004,$U1399)))</f>
        <v/>
      </c>
      <c r="Q1399" s="78">
        <f>IF($T1399="","",IF($S1399="S",IF(INDEX(Firms!$T$5:$T$1004,$T1399)="","",INDEX(Firms!$T$5:$T$1004,$T1399)),IF(INDEX('AFA Rates'!$M$5:$M$1004,$T1399)="","",INDEX('AFA Rates'!$M$5:$M$1004,$T1399))))</f>
        <v/>
      </c>
      <c r="S1399">
        <f>IF(1395&lt;=$S$2,"S",IF(1395&lt;=$S$2+$T$2,"A",""))</f>
        <v/>
      </c>
      <c r="T1399">
        <f>IF(S1399="S",MATCH(1395,Firms!$W$5:$W$1004,0),IF(S1399="A",IFERROR(MATCH(1395-$S$2,'AFA Rates'!$R$5:$R$1004,0),""),""))</f>
        <v/>
      </c>
      <c r="U1399">
        <f>IF(S1399="S",T1399,IF(AND(S1399="A",T1399&lt;&gt;""),IFERROR(MATCH(INDEX('AFA Rates'!$A$5:$A$1004,T1399),Firms!$A$5:$A$1004,0),""),""))</f>
        <v/>
      </c>
    </row>
    <row r="1400">
      <c r="A1400" s="78">
        <f>IF($T1400="","",IF($S1400="S",IF(INDEX(Firms!$A$5:$A$1004,$T1400)="","",INDEX(Firms!$A$5:$A$1004,$T1400)),IF(INDEX('AFA Rates'!$A$5:$A$1004,$T1400)="","",INDEX('AFA Rates'!$A$5:$A$1004,$T1400))))</f>
        <v/>
      </c>
      <c r="B1400" s="79">
        <f>IF(OR($T1400="",$U1400=""),IF($T1400="","","Not on Firms tab"),INDEX(Firms!$B$5:$B$1004,$U1400)&amp;"")</f>
        <v/>
      </c>
      <c r="C1400" s="78">
        <f>IF($T1400="","",IF($S1400="S","Standard",INDEX('AFA Rates'!$B$5:$B$1004,$T1400)&amp;""))</f>
        <v/>
      </c>
      <c r="D1400" s="88">
        <f>IF($T1400="","",IF($S1400="S",IF(INDEX(Firms!$E$5:$E$1004,$T1400)="","",INDEX(Firms!$E$5:$E$1004,$T1400)),IF(INDEX('AFA Rates'!$C$5:$C$1004,$T1400)="","",INDEX('AFA Rates'!$C$5:$C$1004,$T1400))))</f>
        <v/>
      </c>
      <c r="E1400" s="88">
        <f>IF($T1400="","",IF($S1400="S",IF(""="","",""),IF(INDEX('AFA Rates'!$D$5:$D$1004,$T1400)="","",INDEX('AFA Rates'!$D$5:$D$1004,$T1400))))</f>
        <v/>
      </c>
      <c r="F1400" s="79">
        <f>IF($T1400="","",IF($S1400="S",IF(INDEX(Firms!$O$5:$O$1004,$T1400)="","",INDEX(Firms!$O$5:$O$1004,$T1400)),IF(INDEX('AFA Rates'!$O$5:$O$1004,$T1400)="","",INDEX('AFA Rates'!$O$5:$O$1004,$T1400))))</f>
        <v/>
      </c>
      <c r="G1400" s="50">
        <f>IF($T1400="","",IF($S1400="S",IF(INDEX(Firms!$F$5:$F$1004,$T1400)="","",INDEX(Firms!$F$5:$F$1004,$T1400)),IF(INDEX('AFA Rates'!$E$5:$E$1004,$T1400)="","",INDEX('AFA Rates'!$E$5:$E$1004,$T1400))))</f>
        <v/>
      </c>
      <c r="H1400" s="50">
        <f>IF($T1400="","",IF($S1400="S",IF(INDEX(Firms!$G$5:$G$1004,$T1400)="","",INDEX(Firms!$G$5:$G$1004,$T1400)),IF(INDEX('AFA Rates'!$F$5:$F$1004,$T1400)="","",INDEX('AFA Rates'!$F$5:$F$1004,$T1400))))</f>
        <v/>
      </c>
      <c r="I1400" s="50">
        <f>IF($T1400="","",IF($S1400="S",IF(INDEX(Firms!$H$5:$H$1004,$T1400)="","",INDEX(Firms!$H$5:$H$1004,$T1400)),IF(INDEX('AFA Rates'!$G$5:$G$1004,$T1400)="","",INDEX('AFA Rates'!$G$5:$G$1004,$T1400))))</f>
        <v/>
      </c>
      <c r="J1400" s="50">
        <f>IF($T1400="","",IF($S1400="S",IF(INDEX(Firms!$I$5:$I$1004,$T1400)="","",INDEX(Firms!$I$5:$I$1004,$T1400)),IF(INDEX('AFA Rates'!$H$5:$H$1004,$T1400)="","",INDEX('AFA Rates'!$H$5:$H$1004,$T1400))))</f>
        <v/>
      </c>
      <c r="K1400" s="50">
        <f>IF($T1400="","",IF($S1400="S",IF(INDEX(Firms!$J$5:$J$1004,$T1400)="","",INDEX(Firms!$J$5:$J$1004,$T1400)),IF(INDEX('AFA Rates'!$I$5:$I$1004,$T1400)="","",INDEX('AFA Rates'!$I$5:$I$1004,$T1400))))</f>
        <v/>
      </c>
      <c r="L1400" s="50">
        <f>IF($T1400="","",IF($S1400="S",IF(INDEX(Firms!$K$5:$K$1004,$T1400)="","",INDEX(Firms!$K$5:$K$1004,$T1400)),IF(INDEX('AFA Rates'!$J$5:$J$1004,$T1400)="","",INDEX('AFA Rates'!$J$5:$J$1004,$T1400))))</f>
        <v/>
      </c>
      <c r="M1400" s="50">
        <f>IF($T1400="","",IF($S1400="S",IF(INDEX(Firms!$L$5:$L$1004,$T1400)="","",INDEX(Firms!$L$5:$L$1004,$T1400)),IF(INDEX('AFA Rates'!$K$5:$K$1004,$T1400)="","",INDEX('AFA Rates'!$K$5:$K$1004,$T1400))))</f>
        <v/>
      </c>
      <c r="N1400" s="50">
        <f>IF($T1400="","",IF($S1400="S",IF(INDEX(Firms!$M$5:$M$1004,$T1400)="","",INDEX(Firms!$M$5:$M$1004,$T1400)),IF(INDEX('AFA Rates'!$L$5:$L$1004,$T1400)="","",INDEX('AFA Rates'!$L$5:$L$1004,$T1400))))</f>
        <v/>
      </c>
      <c r="O1400" s="78">
        <f>IF(OR($T1400="",$U1400=""),"",IF(INDEX(Firms!$C$5:$C$1004,$U1400)="","",INDEX(Firms!$C$5:$C$1004,$U1400)))</f>
        <v/>
      </c>
      <c r="P1400" s="79">
        <f>IF(OR($T1400="",$U1400=""),"",IF(INDEX(Firms!$N$5:$N$1004,$U1400)="","",INDEX(Firms!$N$5:$N$1004,$U1400)))</f>
        <v/>
      </c>
      <c r="Q1400" s="78">
        <f>IF($T1400="","",IF($S1400="S",IF(INDEX(Firms!$T$5:$T$1004,$T1400)="","",INDEX(Firms!$T$5:$T$1004,$T1400)),IF(INDEX('AFA Rates'!$M$5:$M$1004,$T1400)="","",INDEX('AFA Rates'!$M$5:$M$1004,$T1400))))</f>
        <v/>
      </c>
      <c r="S1400">
        <f>IF(1396&lt;=$S$2,"S",IF(1396&lt;=$S$2+$T$2,"A",""))</f>
        <v/>
      </c>
      <c r="T1400">
        <f>IF(S1400="S",MATCH(1396,Firms!$W$5:$W$1004,0),IF(S1400="A",IFERROR(MATCH(1396-$S$2,'AFA Rates'!$R$5:$R$1004,0),""),""))</f>
        <v/>
      </c>
      <c r="U1400">
        <f>IF(S1400="S",T1400,IF(AND(S1400="A",T1400&lt;&gt;""),IFERROR(MATCH(INDEX('AFA Rates'!$A$5:$A$1004,T1400),Firms!$A$5:$A$1004,0),""),""))</f>
        <v/>
      </c>
    </row>
    <row r="1401">
      <c r="A1401" s="78">
        <f>IF($T1401="","",IF($S1401="S",IF(INDEX(Firms!$A$5:$A$1004,$T1401)="","",INDEX(Firms!$A$5:$A$1004,$T1401)),IF(INDEX('AFA Rates'!$A$5:$A$1004,$T1401)="","",INDEX('AFA Rates'!$A$5:$A$1004,$T1401))))</f>
        <v/>
      </c>
      <c r="B1401" s="79">
        <f>IF(OR($T1401="",$U1401=""),IF($T1401="","","Not on Firms tab"),INDEX(Firms!$B$5:$B$1004,$U1401)&amp;"")</f>
        <v/>
      </c>
      <c r="C1401" s="78">
        <f>IF($T1401="","",IF($S1401="S","Standard",INDEX('AFA Rates'!$B$5:$B$1004,$T1401)&amp;""))</f>
        <v/>
      </c>
      <c r="D1401" s="88">
        <f>IF($T1401="","",IF($S1401="S",IF(INDEX(Firms!$E$5:$E$1004,$T1401)="","",INDEX(Firms!$E$5:$E$1004,$T1401)),IF(INDEX('AFA Rates'!$C$5:$C$1004,$T1401)="","",INDEX('AFA Rates'!$C$5:$C$1004,$T1401))))</f>
        <v/>
      </c>
      <c r="E1401" s="88">
        <f>IF($T1401="","",IF($S1401="S",IF(""="","",""),IF(INDEX('AFA Rates'!$D$5:$D$1004,$T1401)="","",INDEX('AFA Rates'!$D$5:$D$1004,$T1401))))</f>
        <v/>
      </c>
      <c r="F1401" s="79">
        <f>IF($T1401="","",IF($S1401="S",IF(INDEX(Firms!$O$5:$O$1004,$T1401)="","",INDEX(Firms!$O$5:$O$1004,$T1401)),IF(INDEX('AFA Rates'!$O$5:$O$1004,$T1401)="","",INDEX('AFA Rates'!$O$5:$O$1004,$T1401))))</f>
        <v/>
      </c>
      <c r="G1401" s="50">
        <f>IF($T1401="","",IF($S1401="S",IF(INDEX(Firms!$F$5:$F$1004,$T1401)="","",INDEX(Firms!$F$5:$F$1004,$T1401)),IF(INDEX('AFA Rates'!$E$5:$E$1004,$T1401)="","",INDEX('AFA Rates'!$E$5:$E$1004,$T1401))))</f>
        <v/>
      </c>
      <c r="H1401" s="50">
        <f>IF($T1401="","",IF($S1401="S",IF(INDEX(Firms!$G$5:$G$1004,$T1401)="","",INDEX(Firms!$G$5:$G$1004,$T1401)),IF(INDEX('AFA Rates'!$F$5:$F$1004,$T1401)="","",INDEX('AFA Rates'!$F$5:$F$1004,$T1401))))</f>
        <v/>
      </c>
      <c r="I1401" s="50">
        <f>IF($T1401="","",IF($S1401="S",IF(INDEX(Firms!$H$5:$H$1004,$T1401)="","",INDEX(Firms!$H$5:$H$1004,$T1401)),IF(INDEX('AFA Rates'!$G$5:$G$1004,$T1401)="","",INDEX('AFA Rates'!$G$5:$G$1004,$T1401))))</f>
        <v/>
      </c>
      <c r="J1401" s="50">
        <f>IF($T1401="","",IF($S1401="S",IF(INDEX(Firms!$I$5:$I$1004,$T1401)="","",INDEX(Firms!$I$5:$I$1004,$T1401)),IF(INDEX('AFA Rates'!$H$5:$H$1004,$T1401)="","",INDEX('AFA Rates'!$H$5:$H$1004,$T1401))))</f>
        <v/>
      </c>
      <c r="K1401" s="50">
        <f>IF($T1401="","",IF($S1401="S",IF(INDEX(Firms!$J$5:$J$1004,$T1401)="","",INDEX(Firms!$J$5:$J$1004,$T1401)),IF(INDEX('AFA Rates'!$I$5:$I$1004,$T1401)="","",INDEX('AFA Rates'!$I$5:$I$1004,$T1401))))</f>
        <v/>
      </c>
      <c r="L1401" s="50">
        <f>IF($T1401="","",IF($S1401="S",IF(INDEX(Firms!$K$5:$K$1004,$T1401)="","",INDEX(Firms!$K$5:$K$1004,$T1401)),IF(INDEX('AFA Rates'!$J$5:$J$1004,$T1401)="","",INDEX('AFA Rates'!$J$5:$J$1004,$T1401))))</f>
        <v/>
      </c>
      <c r="M1401" s="50">
        <f>IF($T1401="","",IF($S1401="S",IF(INDEX(Firms!$L$5:$L$1004,$T1401)="","",INDEX(Firms!$L$5:$L$1004,$T1401)),IF(INDEX('AFA Rates'!$K$5:$K$1004,$T1401)="","",INDEX('AFA Rates'!$K$5:$K$1004,$T1401))))</f>
        <v/>
      </c>
      <c r="N1401" s="50">
        <f>IF($T1401="","",IF($S1401="S",IF(INDEX(Firms!$M$5:$M$1004,$T1401)="","",INDEX(Firms!$M$5:$M$1004,$T1401)),IF(INDEX('AFA Rates'!$L$5:$L$1004,$T1401)="","",INDEX('AFA Rates'!$L$5:$L$1004,$T1401))))</f>
        <v/>
      </c>
      <c r="O1401" s="78">
        <f>IF(OR($T1401="",$U1401=""),"",IF(INDEX(Firms!$C$5:$C$1004,$U1401)="","",INDEX(Firms!$C$5:$C$1004,$U1401)))</f>
        <v/>
      </c>
      <c r="P1401" s="79">
        <f>IF(OR($T1401="",$U1401=""),"",IF(INDEX(Firms!$N$5:$N$1004,$U1401)="","",INDEX(Firms!$N$5:$N$1004,$U1401)))</f>
        <v/>
      </c>
      <c r="Q1401" s="78">
        <f>IF($T1401="","",IF($S1401="S",IF(INDEX(Firms!$T$5:$T$1004,$T1401)="","",INDEX(Firms!$T$5:$T$1004,$T1401)),IF(INDEX('AFA Rates'!$M$5:$M$1004,$T1401)="","",INDEX('AFA Rates'!$M$5:$M$1004,$T1401))))</f>
        <v/>
      </c>
      <c r="S1401">
        <f>IF(1397&lt;=$S$2,"S",IF(1397&lt;=$S$2+$T$2,"A",""))</f>
        <v/>
      </c>
      <c r="T1401">
        <f>IF(S1401="S",MATCH(1397,Firms!$W$5:$W$1004,0),IF(S1401="A",IFERROR(MATCH(1397-$S$2,'AFA Rates'!$R$5:$R$1004,0),""),""))</f>
        <v/>
      </c>
      <c r="U1401">
        <f>IF(S1401="S",T1401,IF(AND(S1401="A",T1401&lt;&gt;""),IFERROR(MATCH(INDEX('AFA Rates'!$A$5:$A$1004,T1401),Firms!$A$5:$A$1004,0),""),""))</f>
        <v/>
      </c>
    </row>
    <row r="1402">
      <c r="A1402" s="78">
        <f>IF($T1402="","",IF($S1402="S",IF(INDEX(Firms!$A$5:$A$1004,$T1402)="","",INDEX(Firms!$A$5:$A$1004,$T1402)),IF(INDEX('AFA Rates'!$A$5:$A$1004,$T1402)="","",INDEX('AFA Rates'!$A$5:$A$1004,$T1402))))</f>
        <v/>
      </c>
      <c r="B1402" s="79">
        <f>IF(OR($T1402="",$U1402=""),IF($T1402="","","Not on Firms tab"),INDEX(Firms!$B$5:$B$1004,$U1402)&amp;"")</f>
        <v/>
      </c>
      <c r="C1402" s="78">
        <f>IF($T1402="","",IF($S1402="S","Standard",INDEX('AFA Rates'!$B$5:$B$1004,$T1402)&amp;""))</f>
        <v/>
      </c>
      <c r="D1402" s="88">
        <f>IF($T1402="","",IF($S1402="S",IF(INDEX(Firms!$E$5:$E$1004,$T1402)="","",INDEX(Firms!$E$5:$E$1004,$T1402)),IF(INDEX('AFA Rates'!$C$5:$C$1004,$T1402)="","",INDEX('AFA Rates'!$C$5:$C$1004,$T1402))))</f>
        <v/>
      </c>
      <c r="E1402" s="88">
        <f>IF($T1402="","",IF($S1402="S",IF(""="","",""),IF(INDEX('AFA Rates'!$D$5:$D$1004,$T1402)="","",INDEX('AFA Rates'!$D$5:$D$1004,$T1402))))</f>
        <v/>
      </c>
      <c r="F1402" s="79">
        <f>IF($T1402="","",IF($S1402="S",IF(INDEX(Firms!$O$5:$O$1004,$T1402)="","",INDEX(Firms!$O$5:$O$1004,$T1402)),IF(INDEX('AFA Rates'!$O$5:$O$1004,$T1402)="","",INDEX('AFA Rates'!$O$5:$O$1004,$T1402))))</f>
        <v/>
      </c>
      <c r="G1402" s="50">
        <f>IF($T1402="","",IF($S1402="S",IF(INDEX(Firms!$F$5:$F$1004,$T1402)="","",INDEX(Firms!$F$5:$F$1004,$T1402)),IF(INDEX('AFA Rates'!$E$5:$E$1004,$T1402)="","",INDEX('AFA Rates'!$E$5:$E$1004,$T1402))))</f>
        <v/>
      </c>
      <c r="H1402" s="50">
        <f>IF($T1402="","",IF($S1402="S",IF(INDEX(Firms!$G$5:$G$1004,$T1402)="","",INDEX(Firms!$G$5:$G$1004,$T1402)),IF(INDEX('AFA Rates'!$F$5:$F$1004,$T1402)="","",INDEX('AFA Rates'!$F$5:$F$1004,$T1402))))</f>
        <v/>
      </c>
      <c r="I1402" s="50">
        <f>IF($T1402="","",IF($S1402="S",IF(INDEX(Firms!$H$5:$H$1004,$T1402)="","",INDEX(Firms!$H$5:$H$1004,$T1402)),IF(INDEX('AFA Rates'!$G$5:$G$1004,$T1402)="","",INDEX('AFA Rates'!$G$5:$G$1004,$T1402))))</f>
        <v/>
      </c>
      <c r="J1402" s="50">
        <f>IF($T1402="","",IF($S1402="S",IF(INDEX(Firms!$I$5:$I$1004,$T1402)="","",INDEX(Firms!$I$5:$I$1004,$T1402)),IF(INDEX('AFA Rates'!$H$5:$H$1004,$T1402)="","",INDEX('AFA Rates'!$H$5:$H$1004,$T1402))))</f>
        <v/>
      </c>
      <c r="K1402" s="50">
        <f>IF($T1402="","",IF($S1402="S",IF(INDEX(Firms!$J$5:$J$1004,$T1402)="","",INDEX(Firms!$J$5:$J$1004,$T1402)),IF(INDEX('AFA Rates'!$I$5:$I$1004,$T1402)="","",INDEX('AFA Rates'!$I$5:$I$1004,$T1402))))</f>
        <v/>
      </c>
      <c r="L1402" s="50">
        <f>IF($T1402="","",IF($S1402="S",IF(INDEX(Firms!$K$5:$K$1004,$T1402)="","",INDEX(Firms!$K$5:$K$1004,$T1402)),IF(INDEX('AFA Rates'!$J$5:$J$1004,$T1402)="","",INDEX('AFA Rates'!$J$5:$J$1004,$T1402))))</f>
        <v/>
      </c>
      <c r="M1402" s="50">
        <f>IF($T1402="","",IF($S1402="S",IF(INDEX(Firms!$L$5:$L$1004,$T1402)="","",INDEX(Firms!$L$5:$L$1004,$T1402)),IF(INDEX('AFA Rates'!$K$5:$K$1004,$T1402)="","",INDEX('AFA Rates'!$K$5:$K$1004,$T1402))))</f>
        <v/>
      </c>
      <c r="N1402" s="50">
        <f>IF($T1402="","",IF($S1402="S",IF(INDEX(Firms!$M$5:$M$1004,$T1402)="","",INDEX(Firms!$M$5:$M$1004,$T1402)),IF(INDEX('AFA Rates'!$L$5:$L$1004,$T1402)="","",INDEX('AFA Rates'!$L$5:$L$1004,$T1402))))</f>
        <v/>
      </c>
      <c r="O1402" s="78">
        <f>IF(OR($T1402="",$U1402=""),"",IF(INDEX(Firms!$C$5:$C$1004,$U1402)="","",INDEX(Firms!$C$5:$C$1004,$U1402)))</f>
        <v/>
      </c>
      <c r="P1402" s="79">
        <f>IF(OR($T1402="",$U1402=""),"",IF(INDEX(Firms!$N$5:$N$1004,$U1402)="","",INDEX(Firms!$N$5:$N$1004,$U1402)))</f>
        <v/>
      </c>
      <c r="Q1402" s="78">
        <f>IF($T1402="","",IF($S1402="S",IF(INDEX(Firms!$T$5:$T$1004,$T1402)="","",INDEX(Firms!$T$5:$T$1004,$T1402)),IF(INDEX('AFA Rates'!$M$5:$M$1004,$T1402)="","",INDEX('AFA Rates'!$M$5:$M$1004,$T1402))))</f>
        <v/>
      </c>
      <c r="S1402">
        <f>IF(1398&lt;=$S$2,"S",IF(1398&lt;=$S$2+$T$2,"A",""))</f>
        <v/>
      </c>
      <c r="T1402">
        <f>IF(S1402="S",MATCH(1398,Firms!$W$5:$W$1004,0),IF(S1402="A",IFERROR(MATCH(1398-$S$2,'AFA Rates'!$R$5:$R$1004,0),""),""))</f>
        <v/>
      </c>
      <c r="U1402">
        <f>IF(S1402="S",T1402,IF(AND(S1402="A",T1402&lt;&gt;""),IFERROR(MATCH(INDEX('AFA Rates'!$A$5:$A$1004,T1402),Firms!$A$5:$A$1004,0),""),""))</f>
        <v/>
      </c>
    </row>
    <row r="1403">
      <c r="A1403" s="78">
        <f>IF($T1403="","",IF($S1403="S",IF(INDEX(Firms!$A$5:$A$1004,$T1403)="","",INDEX(Firms!$A$5:$A$1004,$T1403)),IF(INDEX('AFA Rates'!$A$5:$A$1004,$T1403)="","",INDEX('AFA Rates'!$A$5:$A$1004,$T1403))))</f>
        <v/>
      </c>
      <c r="B1403" s="79">
        <f>IF(OR($T1403="",$U1403=""),IF($T1403="","","Not on Firms tab"),INDEX(Firms!$B$5:$B$1004,$U1403)&amp;"")</f>
        <v/>
      </c>
      <c r="C1403" s="78">
        <f>IF($T1403="","",IF($S1403="S","Standard",INDEX('AFA Rates'!$B$5:$B$1004,$T1403)&amp;""))</f>
        <v/>
      </c>
      <c r="D1403" s="88">
        <f>IF($T1403="","",IF($S1403="S",IF(INDEX(Firms!$E$5:$E$1004,$T1403)="","",INDEX(Firms!$E$5:$E$1004,$T1403)),IF(INDEX('AFA Rates'!$C$5:$C$1004,$T1403)="","",INDEX('AFA Rates'!$C$5:$C$1004,$T1403))))</f>
        <v/>
      </c>
      <c r="E1403" s="88">
        <f>IF($T1403="","",IF($S1403="S",IF(""="","",""),IF(INDEX('AFA Rates'!$D$5:$D$1004,$T1403)="","",INDEX('AFA Rates'!$D$5:$D$1004,$T1403))))</f>
        <v/>
      </c>
      <c r="F1403" s="79">
        <f>IF($T1403="","",IF($S1403="S",IF(INDEX(Firms!$O$5:$O$1004,$T1403)="","",INDEX(Firms!$O$5:$O$1004,$T1403)),IF(INDEX('AFA Rates'!$O$5:$O$1004,$T1403)="","",INDEX('AFA Rates'!$O$5:$O$1004,$T1403))))</f>
        <v/>
      </c>
      <c r="G1403" s="50">
        <f>IF($T1403="","",IF($S1403="S",IF(INDEX(Firms!$F$5:$F$1004,$T1403)="","",INDEX(Firms!$F$5:$F$1004,$T1403)),IF(INDEX('AFA Rates'!$E$5:$E$1004,$T1403)="","",INDEX('AFA Rates'!$E$5:$E$1004,$T1403))))</f>
        <v/>
      </c>
      <c r="H1403" s="50">
        <f>IF($T1403="","",IF($S1403="S",IF(INDEX(Firms!$G$5:$G$1004,$T1403)="","",INDEX(Firms!$G$5:$G$1004,$T1403)),IF(INDEX('AFA Rates'!$F$5:$F$1004,$T1403)="","",INDEX('AFA Rates'!$F$5:$F$1004,$T1403))))</f>
        <v/>
      </c>
      <c r="I1403" s="50">
        <f>IF($T1403="","",IF($S1403="S",IF(INDEX(Firms!$H$5:$H$1004,$T1403)="","",INDEX(Firms!$H$5:$H$1004,$T1403)),IF(INDEX('AFA Rates'!$G$5:$G$1004,$T1403)="","",INDEX('AFA Rates'!$G$5:$G$1004,$T1403))))</f>
        <v/>
      </c>
      <c r="J1403" s="50">
        <f>IF($T1403="","",IF($S1403="S",IF(INDEX(Firms!$I$5:$I$1004,$T1403)="","",INDEX(Firms!$I$5:$I$1004,$T1403)),IF(INDEX('AFA Rates'!$H$5:$H$1004,$T1403)="","",INDEX('AFA Rates'!$H$5:$H$1004,$T1403))))</f>
        <v/>
      </c>
      <c r="K1403" s="50">
        <f>IF($T1403="","",IF($S1403="S",IF(INDEX(Firms!$J$5:$J$1004,$T1403)="","",INDEX(Firms!$J$5:$J$1004,$T1403)),IF(INDEX('AFA Rates'!$I$5:$I$1004,$T1403)="","",INDEX('AFA Rates'!$I$5:$I$1004,$T1403))))</f>
        <v/>
      </c>
      <c r="L1403" s="50">
        <f>IF($T1403="","",IF($S1403="S",IF(INDEX(Firms!$K$5:$K$1004,$T1403)="","",INDEX(Firms!$K$5:$K$1004,$T1403)),IF(INDEX('AFA Rates'!$J$5:$J$1004,$T1403)="","",INDEX('AFA Rates'!$J$5:$J$1004,$T1403))))</f>
        <v/>
      </c>
      <c r="M1403" s="50">
        <f>IF($T1403="","",IF($S1403="S",IF(INDEX(Firms!$L$5:$L$1004,$T1403)="","",INDEX(Firms!$L$5:$L$1004,$T1403)),IF(INDEX('AFA Rates'!$K$5:$K$1004,$T1403)="","",INDEX('AFA Rates'!$K$5:$K$1004,$T1403))))</f>
        <v/>
      </c>
      <c r="N1403" s="50">
        <f>IF($T1403="","",IF($S1403="S",IF(INDEX(Firms!$M$5:$M$1004,$T1403)="","",INDEX(Firms!$M$5:$M$1004,$T1403)),IF(INDEX('AFA Rates'!$L$5:$L$1004,$T1403)="","",INDEX('AFA Rates'!$L$5:$L$1004,$T1403))))</f>
        <v/>
      </c>
      <c r="O1403" s="78">
        <f>IF(OR($T1403="",$U1403=""),"",IF(INDEX(Firms!$C$5:$C$1004,$U1403)="","",INDEX(Firms!$C$5:$C$1004,$U1403)))</f>
        <v/>
      </c>
      <c r="P1403" s="79">
        <f>IF(OR($T1403="",$U1403=""),"",IF(INDEX(Firms!$N$5:$N$1004,$U1403)="","",INDEX(Firms!$N$5:$N$1004,$U1403)))</f>
        <v/>
      </c>
      <c r="Q1403" s="78">
        <f>IF($T1403="","",IF($S1403="S",IF(INDEX(Firms!$T$5:$T$1004,$T1403)="","",INDEX(Firms!$T$5:$T$1004,$T1403)),IF(INDEX('AFA Rates'!$M$5:$M$1004,$T1403)="","",INDEX('AFA Rates'!$M$5:$M$1004,$T1403))))</f>
        <v/>
      </c>
      <c r="S1403">
        <f>IF(1399&lt;=$S$2,"S",IF(1399&lt;=$S$2+$T$2,"A",""))</f>
        <v/>
      </c>
      <c r="T1403">
        <f>IF(S1403="S",MATCH(1399,Firms!$W$5:$W$1004,0),IF(S1403="A",IFERROR(MATCH(1399-$S$2,'AFA Rates'!$R$5:$R$1004,0),""),""))</f>
        <v/>
      </c>
      <c r="U1403">
        <f>IF(S1403="S",T1403,IF(AND(S1403="A",T1403&lt;&gt;""),IFERROR(MATCH(INDEX('AFA Rates'!$A$5:$A$1004,T1403),Firms!$A$5:$A$1004,0),""),""))</f>
        <v/>
      </c>
    </row>
    <row r="1404">
      <c r="A1404" s="78">
        <f>IF($T1404="","",IF($S1404="S",IF(INDEX(Firms!$A$5:$A$1004,$T1404)="","",INDEX(Firms!$A$5:$A$1004,$T1404)),IF(INDEX('AFA Rates'!$A$5:$A$1004,$T1404)="","",INDEX('AFA Rates'!$A$5:$A$1004,$T1404))))</f>
        <v/>
      </c>
      <c r="B1404" s="79">
        <f>IF(OR($T1404="",$U1404=""),IF($T1404="","","Not on Firms tab"),INDEX(Firms!$B$5:$B$1004,$U1404)&amp;"")</f>
        <v/>
      </c>
      <c r="C1404" s="78">
        <f>IF($T1404="","",IF($S1404="S","Standard",INDEX('AFA Rates'!$B$5:$B$1004,$T1404)&amp;""))</f>
        <v/>
      </c>
      <c r="D1404" s="88">
        <f>IF($T1404="","",IF($S1404="S",IF(INDEX(Firms!$E$5:$E$1004,$T1404)="","",INDEX(Firms!$E$5:$E$1004,$T1404)),IF(INDEX('AFA Rates'!$C$5:$C$1004,$T1404)="","",INDEX('AFA Rates'!$C$5:$C$1004,$T1404))))</f>
        <v/>
      </c>
      <c r="E1404" s="88">
        <f>IF($T1404="","",IF($S1404="S",IF(""="","",""),IF(INDEX('AFA Rates'!$D$5:$D$1004,$T1404)="","",INDEX('AFA Rates'!$D$5:$D$1004,$T1404))))</f>
        <v/>
      </c>
      <c r="F1404" s="79">
        <f>IF($T1404="","",IF($S1404="S",IF(INDEX(Firms!$O$5:$O$1004,$T1404)="","",INDEX(Firms!$O$5:$O$1004,$T1404)),IF(INDEX('AFA Rates'!$O$5:$O$1004,$T1404)="","",INDEX('AFA Rates'!$O$5:$O$1004,$T1404))))</f>
        <v/>
      </c>
      <c r="G1404" s="50">
        <f>IF($T1404="","",IF($S1404="S",IF(INDEX(Firms!$F$5:$F$1004,$T1404)="","",INDEX(Firms!$F$5:$F$1004,$T1404)),IF(INDEX('AFA Rates'!$E$5:$E$1004,$T1404)="","",INDEX('AFA Rates'!$E$5:$E$1004,$T1404))))</f>
        <v/>
      </c>
      <c r="H1404" s="50">
        <f>IF($T1404="","",IF($S1404="S",IF(INDEX(Firms!$G$5:$G$1004,$T1404)="","",INDEX(Firms!$G$5:$G$1004,$T1404)),IF(INDEX('AFA Rates'!$F$5:$F$1004,$T1404)="","",INDEX('AFA Rates'!$F$5:$F$1004,$T1404))))</f>
        <v/>
      </c>
      <c r="I1404" s="50">
        <f>IF($T1404="","",IF($S1404="S",IF(INDEX(Firms!$H$5:$H$1004,$T1404)="","",INDEX(Firms!$H$5:$H$1004,$T1404)),IF(INDEX('AFA Rates'!$G$5:$G$1004,$T1404)="","",INDEX('AFA Rates'!$G$5:$G$1004,$T1404))))</f>
        <v/>
      </c>
      <c r="J1404" s="50">
        <f>IF($T1404="","",IF($S1404="S",IF(INDEX(Firms!$I$5:$I$1004,$T1404)="","",INDEX(Firms!$I$5:$I$1004,$T1404)),IF(INDEX('AFA Rates'!$H$5:$H$1004,$T1404)="","",INDEX('AFA Rates'!$H$5:$H$1004,$T1404))))</f>
        <v/>
      </c>
      <c r="K1404" s="50">
        <f>IF($T1404="","",IF($S1404="S",IF(INDEX(Firms!$J$5:$J$1004,$T1404)="","",INDEX(Firms!$J$5:$J$1004,$T1404)),IF(INDEX('AFA Rates'!$I$5:$I$1004,$T1404)="","",INDEX('AFA Rates'!$I$5:$I$1004,$T1404))))</f>
        <v/>
      </c>
      <c r="L1404" s="50">
        <f>IF($T1404="","",IF($S1404="S",IF(INDEX(Firms!$K$5:$K$1004,$T1404)="","",INDEX(Firms!$K$5:$K$1004,$T1404)),IF(INDEX('AFA Rates'!$J$5:$J$1004,$T1404)="","",INDEX('AFA Rates'!$J$5:$J$1004,$T1404))))</f>
        <v/>
      </c>
      <c r="M1404" s="50">
        <f>IF($T1404="","",IF($S1404="S",IF(INDEX(Firms!$L$5:$L$1004,$T1404)="","",INDEX(Firms!$L$5:$L$1004,$T1404)),IF(INDEX('AFA Rates'!$K$5:$K$1004,$T1404)="","",INDEX('AFA Rates'!$K$5:$K$1004,$T1404))))</f>
        <v/>
      </c>
      <c r="N1404" s="50">
        <f>IF($T1404="","",IF($S1404="S",IF(INDEX(Firms!$M$5:$M$1004,$T1404)="","",INDEX(Firms!$M$5:$M$1004,$T1404)),IF(INDEX('AFA Rates'!$L$5:$L$1004,$T1404)="","",INDEX('AFA Rates'!$L$5:$L$1004,$T1404))))</f>
        <v/>
      </c>
      <c r="O1404" s="78">
        <f>IF(OR($T1404="",$U1404=""),"",IF(INDEX(Firms!$C$5:$C$1004,$U1404)="","",INDEX(Firms!$C$5:$C$1004,$U1404)))</f>
        <v/>
      </c>
      <c r="P1404" s="79">
        <f>IF(OR($T1404="",$U1404=""),"",IF(INDEX(Firms!$N$5:$N$1004,$U1404)="","",INDEX(Firms!$N$5:$N$1004,$U1404)))</f>
        <v/>
      </c>
      <c r="Q1404" s="78">
        <f>IF($T1404="","",IF($S1404="S",IF(INDEX(Firms!$T$5:$T$1004,$T1404)="","",INDEX(Firms!$T$5:$T$1004,$T1404)),IF(INDEX('AFA Rates'!$M$5:$M$1004,$T1404)="","",INDEX('AFA Rates'!$M$5:$M$1004,$T1404))))</f>
        <v/>
      </c>
      <c r="S1404">
        <f>IF(1400&lt;=$S$2,"S",IF(1400&lt;=$S$2+$T$2,"A",""))</f>
        <v/>
      </c>
      <c r="T1404">
        <f>IF(S1404="S",MATCH(1400,Firms!$W$5:$W$1004,0),IF(S1404="A",IFERROR(MATCH(1400-$S$2,'AFA Rates'!$R$5:$R$1004,0),""),""))</f>
        <v/>
      </c>
      <c r="U1404">
        <f>IF(S1404="S",T1404,IF(AND(S1404="A",T1404&lt;&gt;""),IFERROR(MATCH(INDEX('AFA Rates'!$A$5:$A$1004,T1404),Firms!$A$5:$A$1004,0),""),""))</f>
        <v/>
      </c>
    </row>
    <row r="1405">
      <c r="A1405" s="78">
        <f>IF($T1405="","",IF($S1405="S",IF(INDEX(Firms!$A$5:$A$1004,$T1405)="","",INDEX(Firms!$A$5:$A$1004,$T1405)),IF(INDEX('AFA Rates'!$A$5:$A$1004,$T1405)="","",INDEX('AFA Rates'!$A$5:$A$1004,$T1405))))</f>
        <v/>
      </c>
      <c r="B1405" s="79">
        <f>IF(OR($T1405="",$U1405=""),IF($T1405="","","Not on Firms tab"),INDEX(Firms!$B$5:$B$1004,$U1405)&amp;"")</f>
        <v/>
      </c>
      <c r="C1405" s="78">
        <f>IF($T1405="","",IF($S1405="S","Standard",INDEX('AFA Rates'!$B$5:$B$1004,$T1405)&amp;""))</f>
        <v/>
      </c>
      <c r="D1405" s="88">
        <f>IF($T1405="","",IF($S1405="S",IF(INDEX(Firms!$E$5:$E$1004,$T1405)="","",INDEX(Firms!$E$5:$E$1004,$T1405)),IF(INDEX('AFA Rates'!$C$5:$C$1004,$T1405)="","",INDEX('AFA Rates'!$C$5:$C$1004,$T1405))))</f>
        <v/>
      </c>
      <c r="E1405" s="88">
        <f>IF($T1405="","",IF($S1405="S",IF(""="","",""),IF(INDEX('AFA Rates'!$D$5:$D$1004,$T1405)="","",INDEX('AFA Rates'!$D$5:$D$1004,$T1405))))</f>
        <v/>
      </c>
      <c r="F1405" s="79">
        <f>IF($T1405="","",IF($S1405="S",IF(INDEX(Firms!$O$5:$O$1004,$T1405)="","",INDEX(Firms!$O$5:$O$1004,$T1405)),IF(INDEX('AFA Rates'!$O$5:$O$1004,$T1405)="","",INDEX('AFA Rates'!$O$5:$O$1004,$T1405))))</f>
        <v/>
      </c>
      <c r="G1405" s="50">
        <f>IF($T1405="","",IF($S1405="S",IF(INDEX(Firms!$F$5:$F$1004,$T1405)="","",INDEX(Firms!$F$5:$F$1004,$T1405)),IF(INDEX('AFA Rates'!$E$5:$E$1004,$T1405)="","",INDEX('AFA Rates'!$E$5:$E$1004,$T1405))))</f>
        <v/>
      </c>
      <c r="H1405" s="50">
        <f>IF($T1405="","",IF($S1405="S",IF(INDEX(Firms!$G$5:$G$1004,$T1405)="","",INDEX(Firms!$G$5:$G$1004,$T1405)),IF(INDEX('AFA Rates'!$F$5:$F$1004,$T1405)="","",INDEX('AFA Rates'!$F$5:$F$1004,$T1405))))</f>
        <v/>
      </c>
      <c r="I1405" s="50">
        <f>IF($T1405="","",IF($S1405="S",IF(INDEX(Firms!$H$5:$H$1004,$T1405)="","",INDEX(Firms!$H$5:$H$1004,$T1405)),IF(INDEX('AFA Rates'!$G$5:$G$1004,$T1405)="","",INDEX('AFA Rates'!$G$5:$G$1004,$T1405))))</f>
        <v/>
      </c>
      <c r="J1405" s="50">
        <f>IF($T1405="","",IF($S1405="S",IF(INDEX(Firms!$I$5:$I$1004,$T1405)="","",INDEX(Firms!$I$5:$I$1004,$T1405)),IF(INDEX('AFA Rates'!$H$5:$H$1004,$T1405)="","",INDEX('AFA Rates'!$H$5:$H$1004,$T1405))))</f>
        <v/>
      </c>
      <c r="K1405" s="50">
        <f>IF($T1405="","",IF($S1405="S",IF(INDEX(Firms!$J$5:$J$1004,$T1405)="","",INDEX(Firms!$J$5:$J$1004,$T1405)),IF(INDEX('AFA Rates'!$I$5:$I$1004,$T1405)="","",INDEX('AFA Rates'!$I$5:$I$1004,$T1405))))</f>
        <v/>
      </c>
      <c r="L1405" s="50">
        <f>IF($T1405="","",IF($S1405="S",IF(INDEX(Firms!$K$5:$K$1004,$T1405)="","",INDEX(Firms!$K$5:$K$1004,$T1405)),IF(INDEX('AFA Rates'!$J$5:$J$1004,$T1405)="","",INDEX('AFA Rates'!$J$5:$J$1004,$T1405))))</f>
        <v/>
      </c>
      <c r="M1405" s="50">
        <f>IF($T1405="","",IF($S1405="S",IF(INDEX(Firms!$L$5:$L$1004,$T1405)="","",INDEX(Firms!$L$5:$L$1004,$T1405)),IF(INDEX('AFA Rates'!$K$5:$K$1004,$T1405)="","",INDEX('AFA Rates'!$K$5:$K$1004,$T1405))))</f>
        <v/>
      </c>
      <c r="N1405" s="50">
        <f>IF($T1405="","",IF($S1405="S",IF(INDEX(Firms!$M$5:$M$1004,$T1405)="","",INDEX(Firms!$M$5:$M$1004,$T1405)),IF(INDEX('AFA Rates'!$L$5:$L$1004,$T1405)="","",INDEX('AFA Rates'!$L$5:$L$1004,$T1405))))</f>
        <v/>
      </c>
      <c r="O1405" s="78">
        <f>IF(OR($T1405="",$U1405=""),"",IF(INDEX(Firms!$C$5:$C$1004,$U1405)="","",INDEX(Firms!$C$5:$C$1004,$U1405)))</f>
        <v/>
      </c>
      <c r="P1405" s="79">
        <f>IF(OR($T1405="",$U1405=""),"",IF(INDEX(Firms!$N$5:$N$1004,$U1405)="","",INDEX(Firms!$N$5:$N$1004,$U1405)))</f>
        <v/>
      </c>
      <c r="Q1405" s="78">
        <f>IF($T1405="","",IF($S1405="S",IF(INDEX(Firms!$T$5:$T$1004,$T1405)="","",INDEX(Firms!$T$5:$T$1004,$T1405)),IF(INDEX('AFA Rates'!$M$5:$M$1004,$T1405)="","",INDEX('AFA Rates'!$M$5:$M$1004,$T1405))))</f>
        <v/>
      </c>
      <c r="S1405">
        <f>IF(1401&lt;=$S$2,"S",IF(1401&lt;=$S$2+$T$2,"A",""))</f>
        <v/>
      </c>
      <c r="T1405">
        <f>IF(S1405="S",MATCH(1401,Firms!$W$5:$W$1004,0),IF(S1405="A",IFERROR(MATCH(1401-$S$2,'AFA Rates'!$R$5:$R$1004,0),""),""))</f>
        <v/>
      </c>
      <c r="U1405">
        <f>IF(S1405="S",T1405,IF(AND(S1405="A",T1405&lt;&gt;""),IFERROR(MATCH(INDEX('AFA Rates'!$A$5:$A$1004,T1405),Firms!$A$5:$A$1004,0),""),""))</f>
        <v/>
      </c>
    </row>
    <row r="1406">
      <c r="A1406" s="78">
        <f>IF($T1406="","",IF($S1406="S",IF(INDEX(Firms!$A$5:$A$1004,$T1406)="","",INDEX(Firms!$A$5:$A$1004,$T1406)),IF(INDEX('AFA Rates'!$A$5:$A$1004,$T1406)="","",INDEX('AFA Rates'!$A$5:$A$1004,$T1406))))</f>
        <v/>
      </c>
      <c r="B1406" s="79">
        <f>IF(OR($T1406="",$U1406=""),IF($T1406="","","Not on Firms tab"),INDEX(Firms!$B$5:$B$1004,$U1406)&amp;"")</f>
        <v/>
      </c>
      <c r="C1406" s="78">
        <f>IF($T1406="","",IF($S1406="S","Standard",INDEX('AFA Rates'!$B$5:$B$1004,$T1406)&amp;""))</f>
        <v/>
      </c>
      <c r="D1406" s="88">
        <f>IF($T1406="","",IF($S1406="S",IF(INDEX(Firms!$E$5:$E$1004,$T1406)="","",INDEX(Firms!$E$5:$E$1004,$T1406)),IF(INDEX('AFA Rates'!$C$5:$C$1004,$T1406)="","",INDEX('AFA Rates'!$C$5:$C$1004,$T1406))))</f>
        <v/>
      </c>
      <c r="E1406" s="88">
        <f>IF($T1406="","",IF($S1406="S",IF(""="","",""),IF(INDEX('AFA Rates'!$D$5:$D$1004,$T1406)="","",INDEX('AFA Rates'!$D$5:$D$1004,$T1406))))</f>
        <v/>
      </c>
      <c r="F1406" s="79">
        <f>IF($T1406="","",IF($S1406="S",IF(INDEX(Firms!$O$5:$O$1004,$T1406)="","",INDEX(Firms!$O$5:$O$1004,$T1406)),IF(INDEX('AFA Rates'!$O$5:$O$1004,$T1406)="","",INDEX('AFA Rates'!$O$5:$O$1004,$T1406))))</f>
        <v/>
      </c>
      <c r="G1406" s="50">
        <f>IF($T1406="","",IF($S1406="S",IF(INDEX(Firms!$F$5:$F$1004,$T1406)="","",INDEX(Firms!$F$5:$F$1004,$T1406)),IF(INDEX('AFA Rates'!$E$5:$E$1004,$T1406)="","",INDEX('AFA Rates'!$E$5:$E$1004,$T1406))))</f>
        <v/>
      </c>
      <c r="H1406" s="50">
        <f>IF($T1406="","",IF($S1406="S",IF(INDEX(Firms!$G$5:$G$1004,$T1406)="","",INDEX(Firms!$G$5:$G$1004,$T1406)),IF(INDEX('AFA Rates'!$F$5:$F$1004,$T1406)="","",INDEX('AFA Rates'!$F$5:$F$1004,$T1406))))</f>
        <v/>
      </c>
      <c r="I1406" s="50">
        <f>IF($T1406="","",IF($S1406="S",IF(INDEX(Firms!$H$5:$H$1004,$T1406)="","",INDEX(Firms!$H$5:$H$1004,$T1406)),IF(INDEX('AFA Rates'!$G$5:$G$1004,$T1406)="","",INDEX('AFA Rates'!$G$5:$G$1004,$T1406))))</f>
        <v/>
      </c>
      <c r="J1406" s="50">
        <f>IF($T1406="","",IF($S1406="S",IF(INDEX(Firms!$I$5:$I$1004,$T1406)="","",INDEX(Firms!$I$5:$I$1004,$T1406)),IF(INDEX('AFA Rates'!$H$5:$H$1004,$T1406)="","",INDEX('AFA Rates'!$H$5:$H$1004,$T1406))))</f>
        <v/>
      </c>
      <c r="K1406" s="50">
        <f>IF($T1406="","",IF($S1406="S",IF(INDEX(Firms!$J$5:$J$1004,$T1406)="","",INDEX(Firms!$J$5:$J$1004,$T1406)),IF(INDEX('AFA Rates'!$I$5:$I$1004,$T1406)="","",INDEX('AFA Rates'!$I$5:$I$1004,$T1406))))</f>
        <v/>
      </c>
      <c r="L1406" s="50">
        <f>IF($T1406="","",IF($S1406="S",IF(INDEX(Firms!$K$5:$K$1004,$T1406)="","",INDEX(Firms!$K$5:$K$1004,$T1406)),IF(INDEX('AFA Rates'!$J$5:$J$1004,$T1406)="","",INDEX('AFA Rates'!$J$5:$J$1004,$T1406))))</f>
        <v/>
      </c>
      <c r="M1406" s="50">
        <f>IF($T1406="","",IF($S1406="S",IF(INDEX(Firms!$L$5:$L$1004,$T1406)="","",INDEX(Firms!$L$5:$L$1004,$T1406)),IF(INDEX('AFA Rates'!$K$5:$K$1004,$T1406)="","",INDEX('AFA Rates'!$K$5:$K$1004,$T1406))))</f>
        <v/>
      </c>
      <c r="N1406" s="50">
        <f>IF($T1406="","",IF($S1406="S",IF(INDEX(Firms!$M$5:$M$1004,$T1406)="","",INDEX(Firms!$M$5:$M$1004,$T1406)),IF(INDEX('AFA Rates'!$L$5:$L$1004,$T1406)="","",INDEX('AFA Rates'!$L$5:$L$1004,$T1406))))</f>
        <v/>
      </c>
      <c r="O1406" s="78">
        <f>IF(OR($T1406="",$U1406=""),"",IF(INDEX(Firms!$C$5:$C$1004,$U1406)="","",INDEX(Firms!$C$5:$C$1004,$U1406)))</f>
        <v/>
      </c>
      <c r="P1406" s="79">
        <f>IF(OR($T1406="",$U1406=""),"",IF(INDEX(Firms!$N$5:$N$1004,$U1406)="","",INDEX(Firms!$N$5:$N$1004,$U1406)))</f>
        <v/>
      </c>
      <c r="Q1406" s="78">
        <f>IF($T1406="","",IF($S1406="S",IF(INDEX(Firms!$T$5:$T$1004,$T1406)="","",INDEX(Firms!$T$5:$T$1004,$T1406)),IF(INDEX('AFA Rates'!$M$5:$M$1004,$T1406)="","",INDEX('AFA Rates'!$M$5:$M$1004,$T1406))))</f>
        <v/>
      </c>
      <c r="S1406">
        <f>IF(1402&lt;=$S$2,"S",IF(1402&lt;=$S$2+$T$2,"A",""))</f>
        <v/>
      </c>
      <c r="T1406">
        <f>IF(S1406="S",MATCH(1402,Firms!$W$5:$W$1004,0),IF(S1406="A",IFERROR(MATCH(1402-$S$2,'AFA Rates'!$R$5:$R$1004,0),""),""))</f>
        <v/>
      </c>
      <c r="U1406">
        <f>IF(S1406="S",T1406,IF(AND(S1406="A",T1406&lt;&gt;""),IFERROR(MATCH(INDEX('AFA Rates'!$A$5:$A$1004,T1406),Firms!$A$5:$A$1004,0),""),""))</f>
        <v/>
      </c>
    </row>
    <row r="1407">
      <c r="A1407" s="78">
        <f>IF($T1407="","",IF($S1407="S",IF(INDEX(Firms!$A$5:$A$1004,$T1407)="","",INDEX(Firms!$A$5:$A$1004,$T1407)),IF(INDEX('AFA Rates'!$A$5:$A$1004,$T1407)="","",INDEX('AFA Rates'!$A$5:$A$1004,$T1407))))</f>
        <v/>
      </c>
      <c r="B1407" s="79">
        <f>IF(OR($T1407="",$U1407=""),IF($T1407="","","Not on Firms tab"),INDEX(Firms!$B$5:$B$1004,$U1407)&amp;"")</f>
        <v/>
      </c>
      <c r="C1407" s="78">
        <f>IF($T1407="","",IF($S1407="S","Standard",INDEX('AFA Rates'!$B$5:$B$1004,$T1407)&amp;""))</f>
        <v/>
      </c>
      <c r="D1407" s="88">
        <f>IF($T1407="","",IF($S1407="S",IF(INDEX(Firms!$E$5:$E$1004,$T1407)="","",INDEX(Firms!$E$5:$E$1004,$T1407)),IF(INDEX('AFA Rates'!$C$5:$C$1004,$T1407)="","",INDEX('AFA Rates'!$C$5:$C$1004,$T1407))))</f>
        <v/>
      </c>
      <c r="E1407" s="88">
        <f>IF($T1407="","",IF($S1407="S",IF(""="","",""),IF(INDEX('AFA Rates'!$D$5:$D$1004,$T1407)="","",INDEX('AFA Rates'!$D$5:$D$1004,$T1407))))</f>
        <v/>
      </c>
      <c r="F1407" s="79">
        <f>IF($T1407="","",IF($S1407="S",IF(INDEX(Firms!$O$5:$O$1004,$T1407)="","",INDEX(Firms!$O$5:$O$1004,$T1407)),IF(INDEX('AFA Rates'!$O$5:$O$1004,$T1407)="","",INDEX('AFA Rates'!$O$5:$O$1004,$T1407))))</f>
        <v/>
      </c>
      <c r="G1407" s="50">
        <f>IF($T1407="","",IF($S1407="S",IF(INDEX(Firms!$F$5:$F$1004,$T1407)="","",INDEX(Firms!$F$5:$F$1004,$T1407)),IF(INDEX('AFA Rates'!$E$5:$E$1004,$T1407)="","",INDEX('AFA Rates'!$E$5:$E$1004,$T1407))))</f>
        <v/>
      </c>
      <c r="H1407" s="50">
        <f>IF($T1407="","",IF($S1407="S",IF(INDEX(Firms!$G$5:$G$1004,$T1407)="","",INDEX(Firms!$G$5:$G$1004,$T1407)),IF(INDEX('AFA Rates'!$F$5:$F$1004,$T1407)="","",INDEX('AFA Rates'!$F$5:$F$1004,$T1407))))</f>
        <v/>
      </c>
      <c r="I1407" s="50">
        <f>IF($T1407="","",IF($S1407="S",IF(INDEX(Firms!$H$5:$H$1004,$T1407)="","",INDEX(Firms!$H$5:$H$1004,$T1407)),IF(INDEX('AFA Rates'!$G$5:$G$1004,$T1407)="","",INDEX('AFA Rates'!$G$5:$G$1004,$T1407))))</f>
        <v/>
      </c>
      <c r="J1407" s="50">
        <f>IF($T1407="","",IF($S1407="S",IF(INDEX(Firms!$I$5:$I$1004,$T1407)="","",INDEX(Firms!$I$5:$I$1004,$T1407)),IF(INDEX('AFA Rates'!$H$5:$H$1004,$T1407)="","",INDEX('AFA Rates'!$H$5:$H$1004,$T1407))))</f>
        <v/>
      </c>
      <c r="K1407" s="50">
        <f>IF($T1407="","",IF($S1407="S",IF(INDEX(Firms!$J$5:$J$1004,$T1407)="","",INDEX(Firms!$J$5:$J$1004,$T1407)),IF(INDEX('AFA Rates'!$I$5:$I$1004,$T1407)="","",INDEX('AFA Rates'!$I$5:$I$1004,$T1407))))</f>
        <v/>
      </c>
      <c r="L1407" s="50">
        <f>IF($T1407="","",IF($S1407="S",IF(INDEX(Firms!$K$5:$K$1004,$T1407)="","",INDEX(Firms!$K$5:$K$1004,$T1407)),IF(INDEX('AFA Rates'!$J$5:$J$1004,$T1407)="","",INDEX('AFA Rates'!$J$5:$J$1004,$T1407))))</f>
        <v/>
      </c>
      <c r="M1407" s="50">
        <f>IF($T1407="","",IF($S1407="S",IF(INDEX(Firms!$L$5:$L$1004,$T1407)="","",INDEX(Firms!$L$5:$L$1004,$T1407)),IF(INDEX('AFA Rates'!$K$5:$K$1004,$T1407)="","",INDEX('AFA Rates'!$K$5:$K$1004,$T1407))))</f>
        <v/>
      </c>
      <c r="N1407" s="50">
        <f>IF($T1407="","",IF($S1407="S",IF(INDEX(Firms!$M$5:$M$1004,$T1407)="","",INDEX(Firms!$M$5:$M$1004,$T1407)),IF(INDEX('AFA Rates'!$L$5:$L$1004,$T1407)="","",INDEX('AFA Rates'!$L$5:$L$1004,$T1407))))</f>
        <v/>
      </c>
      <c r="O1407" s="78">
        <f>IF(OR($T1407="",$U1407=""),"",IF(INDEX(Firms!$C$5:$C$1004,$U1407)="","",INDEX(Firms!$C$5:$C$1004,$U1407)))</f>
        <v/>
      </c>
      <c r="P1407" s="79">
        <f>IF(OR($T1407="",$U1407=""),"",IF(INDEX(Firms!$N$5:$N$1004,$U1407)="","",INDEX(Firms!$N$5:$N$1004,$U1407)))</f>
        <v/>
      </c>
      <c r="Q1407" s="78">
        <f>IF($T1407="","",IF($S1407="S",IF(INDEX(Firms!$T$5:$T$1004,$T1407)="","",INDEX(Firms!$T$5:$T$1004,$T1407)),IF(INDEX('AFA Rates'!$M$5:$M$1004,$T1407)="","",INDEX('AFA Rates'!$M$5:$M$1004,$T1407))))</f>
        <v/>
      </c>
      <c r="S1407">
        <f>IF(1403&lt;=$S$2,"S",IF(1403&lt;=$S$2+$T$2,"A",""))</f>
        <v/>
      </c>
      <c r="T1407">
        <f>IF(S1407="S",MATCH(1403,Firms!$W$5:$W$1004,0),IF(S1407="A",IFERROR(MATCH(1403-$S$2,'AFA Rates'!$R$5:$R$1004,0),""),""))</f>
        <v/>
      </c>
      <c r="U1407">
        <f>IF(S1407="S",T1407,IF(AND(S1407="A",T1407&lt;&gt;""),IFERROR(MATCH(INDEX('AFA Rates'!$A$5:$A$1004,T1407),Firms!$A$5:$A$1004,0),""),""))</f>
        <v/>
      </c>
    </row>
    <row r="1408">
      <c r="A1408" s="78">
        <f>IF($T1408="","",IF($S1408="S",IF(INDEX(Firms!$A$5:$A$1004,$T1408)="","",INDEX(Firms!$A$5:$A$1004,$T1408)),IF(INDEX('AFA Rates'!$A$5:$A$1004,$T1408)="","",INDEX('AFA Rates'!$A$5:$A$1004,$T1408))))</f>
        <v/>
      </c>
      <c r="B1408" s="79">
        <f>IF(OR($T1408="",$U1408=""),IF($T1408="","","Not on Firms tab"),INDEX(Firms!$B$5:$B$1004,$U1408)&amp;"")</f>
        <v/>
      </c>
      <c r="C1408" s="78">
        <f>IF($T1408="","",IF($S1408="S","Standard",INDEX('AFA Rates'!$B$5:$B$1004,$T1408)&amp;""))</f>
        <v/>
      </c>
      <c r="D1408" s="88">
        <f>IF($T1408="","",IF($S1408="S",IF(INDEX(Firms!$E$5:$E$1004,$T1408)="","",INDEX(Firms!$E$5:$E$1004,$T1408)),IF(INDEX('AFA Rates'!$C$5:$C$1004,$T1408)="","",INDEX('AFA Rates'!$C$5:$C$1004,$T1408))))</f>
        <v/>
      </c>
      <c r="E1408" s="88">
        <f>IF($T1408="","",IF($S1408="S",IF(""="","",""),IF(INDEX('AFA Rates'!$D$5:$D$1004,$T1408)="","",INDEX('AFA Rates'!$D$5:$D$1004,$T1408))))</f>
        <v/>
      </c>
      <c r="F1408" s="79">
        <f>IF($T1408="","",IF($S1408="S",IF(INDEX(Firms!$O$5:$O$1004,$T1408)="","",INDEX(Firms!$O$5:$O$1004,$T1408)),IF(INDEX('AFA Rates'!$O$5:$O$1004,$T1408)="","",INDEX('AFA Rates'!$O$5:$O$1004,$T1408))))</f>
        <v/>
      </c>
      <c r="G1408" s="50">
        <f>IF($T1408="","",IF($S1408="S",IF(INDEX(Firms!$F$5:$F$1004,$T1408)="","",INDEX(Firms!$F$5:$F$1004,$T1408)),IF(INDEX('AFA Rates'!$E$5:$E$1004,$T1408)="","",INDEX('AFA Rates'!$E$5:$E$1004,$T1408))))</f>
        <v/>
      </c>
      <c r="H1408" s="50">
        <f>IF($T1408="","",IF($S1408="S",IF(INDEX(Firms!$G$5:$G$1004,$T1408)="","",INDEX(Firms!$G$5:$G$1004,$T1408)),IF(INDEX('AFA Rates'!$F$5:$F$1004,$T1408)="","",INDEX('AFA Rates'!$F$5:$F$1004,$T1408))))</f>
        <v/>
      </c>
      <c r="I1408" s="50">
        <f>IF($T1408="","",IF($S1408="S",IF(INDEX(Firms!$H$5:$H$1004,$T1408)="","",INDEX(Firms!$H$5:$H$1004,$T1408)),IF(INDEX('AFA Rates'!$G$5:$G$1004,$T1408)="","",INDEX('AFA Rates'!$G$5:$G$1004,$T1408))))</f>
        <v/>
      </c>
      <c r="J1408" s="50">
        <f>IF($T1408="","",IF($S1408="S",IF(INDEX(Firms!$I$5:$I$1004,$T1408)="","",INDEX(Firms!$I$5:$I$1004,$T1408)),IF(INDEX('AFA Rates'!$H$5:$H$1004,$T1408)="","",INDEX('AFA Rates'!$H$5:$H$1004,$T1408))))</f>
        <v/>
      </c>
      <c r="K1408" s="50">
        <f>IF($T1408="","",IF($S1408="S",IF(INDEX(Firms!$J$5:$J$1004,$T1408)="","",INDEX(Firms!$J$5:$J$1004,$T1408)),IF(INDEX('AFA Rates'!$I$5:$I$1004,$T1408)="","",INDEX('AFA Rates'!$I$5:$I$1004,$T1408))))</f>
        <v/>
      </c>
      <c r="L1408" s="50">
        <f>IF($T1408="","",IF($S1408="S",IF(INDEX(Firms!$K$5:$K$1004,$T1408)="","",INDEX(Firms!$K$5:$K$1004,$T1408)),IF(INDEX('AFA Rates'!$J$5:$J$1004,$T1408)="","",INDEX('AFA Rates'!$J$5:$J$1004,$T1408))))</f>
        <v/>
      </c>
      <c r="M1408" s="50">
        <f>IF($T1408="","",IF($S1408="S",IF(INDEX(Firms!$L$5:$L$1004,$T1408)="","",INDEX(Firms!$L$5:$L$1004,$T1408)),IF(INDEX('AFA Rates'!$K$5:$K$1004,$T1408)="","",INDEX('AFA Rates'!$K$5:$K$1004,$T1408))))</f>
        <v/>
      </c>
      <c r="N1408" s="50">
        <f>IF($T1408="","",IF($S1408="S",IF(INDEX(Firms!$M$5:$M$1004,$T1408)="","",INDEX(Firms!$M$5:$M$1004,$T1408)),IF(INDEX('AFA Rates'!$L$5:$L$1004,$T1408)="","",INDEX('AFA Rates'!$L$5:$L$1004,$T1408))))</f>
        <v/>
      </c>
      <c r="O1408" s="78">
        <f>IF(OR($T1408="",$U1408=""),"",IF(INDEX(Firms!$C$5:$C$1004,$U1408)="","",INDEX(Firms!$C$5:$C$1004,$U1408)))</f>
        <v/>
      </c>
      <c r="P1408" s="79">
        <f>IF(OR($T1408="",$U1408=""),"",IF(INDEX(Firms!$N$5:$N$1004,$U1408)="","",INDEX(Firms!$N$5:$N$1004,$U1408)))</f>
        <v/>
      </c>
      <c r="Q1408" s="78">
        <f>IF($T1408="","",IF($S1408="S",IF(INDEX(Firms!$T$5:$T$1004,$T1408)="","",INDEX(Firms!$T$5:$T$1004,$T1408)),IF(INDEX('AFA Rates'!$M$5:$M$1004,$T1408)="","",INDEX('AFA Rates'!$M$5:$M$1004,$T1408))))</f>
        <v/>
      </c>
      <c r="S1408">
        <f>IF(1404&lt;=$S$2,"S",IF(1404&lt;=$S$2+$T$2,"A",""))</f>
        <v/>
      </c>
      <c r="T1408">
        <f>IF(S1408="S",MATCH(1404,Firms!$W$5:$W$1004,0),IF(S1408="A",IFERROR(MATCH(1404-$S$2,'AFA Rates'!$R$5:$R$1004,0),""),""))</f>
        <v/>
      </c>
      <c r="U1408">
        <f>IF(S1408="S",T1408,IF(AND(S1408="A",T1408&lt;&gt;""),IFERROR(MATCH(INDEX('AFA Rates'!$A$5:$A$1004,T1408),Firms!$A$5:$A$1004,0),""),""))</f>
        <v/>
      </c>
    </row>
    <row r="1409">
      <c r="A1409" s="78">
        <f>IF($T1409="","",IF($S1409="S",IF(INDEX(Firms!$A$5:$A$1004,$T1409)="","",INDEX(Firms!$A$5:$A$1004,$T1409)),IF(INDEX('AFA Rates'!$A$5:$A$1004,$T1409)="","",INDEX('AFA Rates'!$A$5:$A$1004,$T1409))))</f>
        <v/>
      </c>
      <c r="B1409" s="79">
        <f>IF(OR($T1409="",$U1409=""),IF($T1409="","","Not on Firms tab"),INDEX(Firms!$B$5:$B$1004,$U1409)&amp;"")</f>
        <v/>
      </c>
      <c r="C1409" s="78">
        <f>IF($T1409="","",IF($S1409="S","Standard",INDEX('AFA Rates'!$B$5:$B$1004,$T1409)&amp;""))</f>
        <v/>
      </c>
      <c r="D1409" s="88">
        <f>IF($T1409="","",IF($S1409="S",IF(INDEX(Firms!$E$5:$E$1004,$T1409)="","",INDEX(Firms!$E$5:$E$1004,$T1409)),IF(INDEX('AFA Rates'!$C$5:$C$1004,$T1409)="","",INDEX('AFA Rates'!$C$5:$C$1004,$T1409))))</f>
        <v/>
      </c>
      <c r="E1409" s="88">
        <f>IF($T1409="","",IF($S1409="S",IF(""="","",""),IF(INDEX('AFA Rates'!$D$5:$D$1004,$T1409)="","",INDEX('AFA Rates'!$D$5:$D$1004,$T1409))))</f>
        <v/>
      </c>
      <c r="F1409" s="79">
        <f>IF($T1409="","",IF($S1409="S",IF(INDEX(Firms!$O$5:$O$1004,$T1409)="","",INDEX(Firms!$O$5:$O$1004,$T1409)),IF(INDEX('AFA Rates'!$O$5:$O$1004,$T1409)="","",INDEX('AFA Rates'!$O$5:$O$1004,$T1409))))</f>
        <v/>
      </c>
      <c r="G1409" s="50">
        <f>IF($T1409="","",IF($S1409="S",IF(INDEX(Firms!$F$5:$F$1004,$T1409)="","",INDEX(Firms!$F$5:$F$1004,$T1409)),IF(INDEX('AFA Rates'!$E$5:$E$1004,$T1409)="","",INDEX('AFA Rates'!$E$5:$E$1004,$T1409))))</f>
        <v/>
      </c>
      <c r="H1409" s="50">
        <f>IF($T1409="","",IF($S1409="S",IF(INDEX(Firms!$G$5:$G$1004,$T1409)="","",INDEX(Firms!$G$5:$G$1004,$T1409)),IF(INDEX('AFA Rates'!$F$5:$F$1004,$T1409)="","",INDEX('AFA Rates'!$F$5:$F$1004,$T1409))))</f>
        <v/>
      </c>
      <c r="I1409" s="50">
        <f>IF($T1409="","",IF($S1409="S",IF(INDEX(Firms!$H$5:$H$1004,$T1409)="","",INDEX(Firms!$H$5:$H$1004,$T1409)),IF(INDEX('AFA Rates'!$G$5:$G$1004,$T1409)="","",INDEX('AFA Rates'!$G$5:$G$1004,$T1409))))</f>
        <v/>
      </c>
      <c r="J1409" s="50">
        <f>IF($T1409="","",IF($S1409="S",IF(INDEX(Firms!$I$5:$I$1004,$T1409)="","",INDEX(Firms!$I$5:$I$1004,$T1409)),IF(INDEX('AFA Rates'!$H$5:$H$1004,$T1409)="","",INDEX('AFA Rates'!$H$5:$H$1004,$T1409))))</f>
        <v/>
      </c>
      <c r="K1409" s="50">
        <f>IF($T1409="","",IF($S1409="S",IF(INDEX(Firms!$J$5:$J$1004,$T1409)="","",INDEX(Firms!$J$5:$J$1004,$T1409)),IF(INDEX('AFA Rates'!$I$5:$I$1004,$T1409)="","",INDEX('AFA Rates'!$I$5:$I$1004,$T1409))))</f>
        <v/>
      </c>
      <c r="L1409" s="50">
        <f>IF($T1409="","",IF($S1409="S",IF(INDEX(Firms!$K$5:$K$1004,$T1409)="","",INDEX(Firms!$K$5:$K$1004,$T1409)),IF(INDEX('AFA Rates'!$J$5:$J$1004,$T1409)="","",INDEX('AFA Rates'!$J$5:$J$1004,$T1409))))</f>
        <v/>
      </c>
      <c r="M1409" s="50">
        <f>IF($T1409="","",IF($S1409="S",IF(INDEX(Firms!$L$5:$L$1004,$T1409)="","",INDEX(Firms!$L$5:$L$1004,$T1409)),IF(INDEX('AFA Rates'!$K$5:$K$1004,$T1409)="","",INDEX('AFA Rates'!$K$5:$K$1004,$T1409))))</f>
        <v/>
      </c>
      <c r="N1409" s="50">
        <f>IF($T1409="","",IF($S1409="S",IF(INDEX(Firms!$M$5:$M$1004,$T1409)="","",INDEX(Firms!$M$5:$M$1004,$T1409)),IF(INDEX('AFA Rates'!$L$5:$L$1004,$T1409)="","",INDEX('AFA Rates'!$L$5:$L$1004,$T1409))))</f>
        <v/>
      </c>
      <c r="O1409" s="78">
        <f>IF(OR($T1409="",$U1409=""),"",IF(INDEX(Firms!$C$5:$C$1004,$U1409)="","",INDEX(Firms!$C$5:$C$1004,$U1409)))</f>
        <v/>
      </c>
      <c r="P1409" s="79">
        <f>IF(OR($T1409="",$U1409=""),"",IF(INDEX(Firms!$N$5:$N$1004,$U1409)="","",INDEX(Firms!$N$5:$N$1004,$U1409)))</f>
        <v/>
      </c>
      <c r="Q1409" s="78">
        <f>IF($T1409="","",IF($S1409="S",IF(INDEX(Firms!$T$5:$T$1004,$T1409)="","",INDEX(Firms!$T$5:$T$1004,$T1409)),IF(INDEX('AFA Rates'!$M$5:$M$1004,$T1409)="","",INDEX('AFA Rates'!$M$5:$M$1004,$T1409))))</f>
        <v/>
      </c>
      <c r="S1409">
        <f>IF(1405&lt;=$S$2,"S",IF(1405&lt;=$S$2+$T$2,"A",""))</f>
        <v/>
      </c>
      <c r="T1409">
        <f>IF(S1409="S",MATCH(1405,Firms!$W$5:$W$1004,0),IF(S1409="A",IFERROR(MATCH(1405-$S$2,'AFA Rates'!$R$5:$R$1004,0),""),""))</f>
        <v/>
      </c>
      <c r="U1409">
        <f>IF(S1409="S",T1409,IF(AND(S1409="A",T1409&lt;&gt;""),IFERROR(MATCH(INDEX('AFA Rates'!$A$5:$A$1004,T1409),Firms!$A$5:$A$1004,0),""),""))</f>
        <v/>
      </c>
    </row>
    <row r="1410">
      <c r="A1410" s="78">
        <f>IF($T1410="","",IF($S1410="S",IF(INDEX(Firms!$A$5:$A$1004,$T1410)="","",INDEX(Firms!$A$5:$A$1004,$T1410)),IF(INDEX('AFA Rates'!$A$5:$A$1004,$T1410)="","",INDEX('AFA Rates'!$A$5:$A$1004,$T1410))))</f>
        <v/>
      </c>
      <c r="B1410" s="79">
        <f>IF(OR($T1410="",$U1410=""),IF($T1410="","","Not on Firms tab"),INDEX(Firms!$B$5:$B$1004,$U1410)&amp;"")</f>
        <v/>
      </c>
      <c r="C1410" s="78">
        <f>IF($T1410="","",IF($S1410="S","Standard",INDEX('AFA Rates'!$B$5:$B$1004,$T1410)&amp;""))</f>
        <v/>
      </c>
      <c r="D1410" s="88">
        <f>IF($T1410="","",IF($S1410="S",IF(INDEX(Firms!$E$5:$E$1004,$T1410)="","",INDEX(Firms!$E$5:$E$1004,$T1410)),IF(INDEX('AFA Rates'!$C$5:$C$1004,$T1410)="","",INDEX('AFA Rates'!$C$5:$C$1004,$T1410))))</f>
        <v/>
      </c>
      <c r="E1410" s="88">
        <f>IF($T1410="","",IF($S1410="S",IF(""="","",""),IF(INDEX('AFA Rates'!$D$5:$D$1004,$T1410)="","",INDEX('AFA Rates'!$D$5:$D$1004,$T1410))))</f>
        <v/>
      </c>
      <c r="F1410" s="79">
        <f>IF($T1410="","",IF($S1410="S",IF(INDEX(Firms!$O$5:$O$1004,$T1410)="","",INDEX(Firms!$O$5:$O$1004,$T1410)),IF(INDEX('AFA Rates'!$O$5:$O$1004,$T1410)="","",INDEX('AFA Rates'!$O$5:$O$1004,$T1410))))</f>
        <v/>
      </c>
      <c r="G1410" s="50">
        <f>IF($T1410="","",IF($S1410="S",IF(INDEX(Firms!$F$5:$F$1004,$T1410)="","",INDEX(Firms!$F$5:$F$1004,$T1410)),IF(INDEX('AFA Rates'!$E$5:$E$1004,$T1410)="","",INDEX('AFA Rates'!$E$5:$E$1004,$T1410))))</f>
        <v/>
      </c>
      <c r="H1410" s="50">
        <f>IF($T1410="","",IF($S1410="S",IF(INDEX(Firms!$G$5:$G$1004,$T1410)="","",INDEX(Firms!$G$5:$G$1004,$T1410)),IF(INDEX('AFA Rates'!$F$5:$F$1004,$T1410)="","",INDEX('AFA Rates'!$F$5:$F$1004,$T1410))))</f>
        <v/>
      </c>
      <c r="I1410" s="50">
        <f>IF($T1410="","",IF($S1410="S",IF(INDEX(Firms!$H$5:$H$1004,$T1410)="","",INDEX(Firms!$H$5:$H$1004,$T1410)),IF(INDEX('AFA Rates'!$G$5:$G$1004,$T1410)="","",INDEX('AFA Rates'!$G$5:$G$1004,$T1410))))</f>
        <v/>
      </c>
      <c r="J1410" s="50">
        <f>IF($T1410="","",IF($S1410="S",IF(INDEX(Firms!$I$5:$I$1004,$T1410)="","",INDEX(Firms!$I$5:$I$1004,$T1410)),IF(INDEX('AFA Rates'!$H$5:$H$1004,$T1410)="","",INDEX('AFA Rates'!$H$5:$H$1004,$T1410))))</f>
        <v/>
      </c>
      <c r="K1410" s="50">
        <f>IF($T1410="","",IF($S1410="S",IF(INDEX(Firms!$J$5:$J$1004,$T1410)="","",INDEX(Firms!$J$5:$J$1004,$T1410)),IF(INDEX('AFA Rates'!$I$5:$I$1004,$T1410)="","",INDEX('AFA Rates'!$I$5:$I$1004,$T1410))))</f>
        <v/>
      </c>
      <c r="L1410" s="50">
        <f>IF($T1410="","",IF($S1410="S",IF(INDEX(Firms!$K$5:$K$1004,$T1410)="","",INDEX(Firms!$K$5:$K$1004,$T1410)),IF(INDEX('AFA Rates'!$J$5:$J$1004,$T1410)="","",INDEX('AFA Rates'!$J$5:$J$1004,$T1410))))</f>
        <v/>
      </c>
      <c r="M1410" s="50">
        <f>IF($T1410="","",IF($S1410="S",IF(INDEX(Firms!$L$5:$L$1004,$T1410)="","",INDEX(Firms!$L$5:$L$1004,$T1410)),IF(INDEX('AFA Rates'!$K$5:$K$1004,$T1410)="","",INDEX('AFA Rates'!$K$5:$K$1004,$T1410))))</f>
        <v/>
      </c>
      <c r="N1410" s="50">
        <f>IF($T1410="","",IF($S1410="S",IF(INDEX(Firms!$M$5:$M$1004,$T1410)="","",INDEX(Firms!$M$5:$M$1004,$T1410)),IF(INDEX('AFA Rates'!$L$5:$L$1004,$T1410)="","",INDEX('AFA Rates'!$L$5:$L$1004,$T1410))))</f>
        <v/>
      </c>
      <c r="O1410" s="78">
        <f>IF(OR($T1410="",$U1410=""),"",IF(INDEX(Firms!$C$5:$C$1004,$U1410)="","",INDEX(Firms!$C$5:$C$1004,$U1410)))</f>
        <v/>
      </c>
      <c r="P1410" s="79">
        <f>IF(OR($T1410="",$U1410=""),"",IF(INDEX(Firms!$N$5:$N$1004,$U1410)="","",INDEX(Firms!$N$5:$N$1004,$U1410)))</f>
        <v/>
      </c>
      <c r="Q1410" s="78">
        <f>IF($T1410="","",IF($S1410="S",IF(INDEX(Firms!$T$5:$T$1004,$T1410)="","",INDEX(Firms!$T$5:$T$1004,$T1410)),IF(INDEX('AFA Rates'!$M$5:$M$1004,$T1410)="","",INDEX('AFA Rates'!$M$5:$M$1004,$T1410))))</f>
        <v/>
      </c>
      <c r="S1410">
        <f>IF(1406&lt;=$S$2,"S",IF(1406&lt;=$S$2+$T$2,"A",""))</f>
        <v/>
      </c>
      <c r="T1410">
        <f>IF(S1410="S",MATCH(1406,Firms!$W$5:$W$1004,0),IF(S1410="A",IFERROR(MATCH(1406-$S$2,'AFA Rates'!$R$5:$R$1004,0),""),""))</f>
        <v/>
      </c>
      <c r="U1410">
        <f>IF(S1410="S",T1410,IF(AND(S1410="A",T1410&lt;&gt;""),IFERROR(MATCH(INDEX('AFA Rates'!$A$5:$A$1004,T1410),Firms!$A$5:$A$1004,0),""),""))</f>
        <v/>
      </c>
    </row>
    <row r="1411">
      <c r="A1411" s="78">
        <f>IF($T1411="","",IF($S1411="S",IF(INDEX(Firms!$A$5:$A$1004,$T1411)="","",INDEX(Firms!$A$5:$A$1004,$T1411)),IF(INDEX('AFA Rates'!$A$5:$A$1004,$T1411)="","",INDEX('AFA Rates'!$A$5:$A$1004,$T1411))))</f>
        <v/>
      </c>
      <c r="B1411" s="79">
        <f>IF(OR($T1411="",$U1411=""),IF($T1411="","","Not on Firms tab"),INDEX(Firms!$B$5:$B$1004,$U1411)&amp;"")</f>
        <v/>
      </c>
      <c r="C1411" s="78">
        <f>IF($T1411="","",IF($S1411="S","Standard",INDEX('AFA Rates'!$B$5:$B$1004,$T1411)&amp;""))</f>
        <v/>
      </c>
      <c r="D1411" s="88">
        <f>IF($T1411="","",IF($S1411="S",IF(INDEX(Firms!$E$5:$E$1004,$T1411)="","",INDEX(Firms!$E$5:$E$1004,$T1411)),IF(INDEX('AFA Rates'!$C$5:$C$1004,$T1411)="","",INDEX('AFA Rates'!$C$5:$C$1004,$T1411))))</f>
        <v/>
      </c>
      <c r="E1411" s="88">
        <f>IF($T1411="","",IF($S1411="S",IF(""="","",""),IF(INDEX('AFA Rates'!$D$5:$D$1004,$T1411)="","",INDEX('AFA Rates'!$D$5:$D$1004,$T1411))))</f>
        <v/>
      </c>
      <c r="F1411" s="79">
        <f>IF($T1411="","",IF($S1411="S",IF(INDEX(Firms!$O$5:$O$1004,$T1411)="","",INDEX(Firms!$O$5:$O$1004,$T1411)),IF(INDEX('AFA Rates'!$O$5:$O$1004,$T1411)="","",INDEX('AFA Rates'!$O$5:$O$1004,$T1411))))</f>
        <v/>
      </c>
      <c r="G1411" s="50">
        <f>IF($T1411="","",IF($S1411="S",IF(INDEX(Firms!$F$5:$F$1004,$T1411)="","",INDEX(Firms!$F$5:$F$1004,$T1411)),IF(INDEX('AFA Rates'!$E$5:$E$1004,$T1411)="","",INDEX('AFA Rates'!$E$5:$E$1004,$T1411))))</f>
        <v/>
      </c>
      <c r="H1411" s="50">
        <f>IF($T1411="","",IF($S1411="S",IF(INDEX(Firms!$G$5:$G$1004,$T1411)="","",INDEX(Firms!$G$5:$G$1004,$T1411)),IF(INDEX('AFA Rates'!$F$5:$F$1004,$T1411)="","",INDEX('AFA Rates'!$F$5:$F$1004,$T1411))))</f>
        <v/>
      </c>
      <c r="I1411" s="50">
        <f>IF($T1411="","",IF($S1411="S",IF(INDEX(Firms!$H$5:$H$1004,$T1411)="","",INDEX(Firms!$H$5:$H$1004,$T1411)),IF(INDEX('AFA Rates'!$G$5:$G$1004,$T1411)="","",INDEX('AFA Rates'!$G$5:$G$1004,$T1411))))</f>
        <v/>
      </c>
      <c r="J1411" s="50">
        <f>IF($T1411="","",IF($S1411="S",IF(INDEX(Firms!$I$5:$I$1004,$T1411)="","",INDEX(Firms!$I$5:$I$1004,$T1411)),IF(INDEX('AFA Rates'!$H$5:$H$1004,$T1411)="","",INDEX('AFA Rates'!$H$5:$H$1004,$T1411))))</f>
        <v/>
      </c>
      <c r="K1411" s="50">
        <f>IF($T1411="","",IF($S1411="S",IF(INDEX(Firms!$J$5:$J$1004,$T1411)="","",INDEX(Firms!$J$5:$J$1004,$T1411)),IF(INDEX('AFA Rates'!$I$5:$I$1004,$T1411)="","",INDEX('AFA Rates'!$I$5:$I$1004,$T1411))))</f>
        <v/>
      </c>
      <c r="L1411" s="50">
        <f>IF($T1411="","",IF($S1411="S",IF(INDEX(Firms!$K$5:$K$1004,$T1411)="","",INDEX(Firms!$K$5:$K$1004,$T1411)),IF(INDEX('AFA Rates'!$J$5:$J$1004,$T1411)="","",INDEX('AFA Rates'!$J$5:$J$1004,$T1411))))</f>
        <v/>
      </c>
      <c r="M1411" s="50">
        <f>IF($T1411="","",IF($S1411="S",IF(INDEX(Firms!$L$5:$L$1004,$T1411)="","",INDEX(Firms!$L$5:$L$1004,$T1411)),IF(INDEX('AFA Rates'!$K$5:$K$1004,$T1411)="","",INDEX('AFA Rates'!$K$5:$K$1004,$T1411))))</f>
        <v/>
      </c>
      <c r="N1411" s="50">
        <f>IF($T1411="","",IF($S1411="S",IF(INDEX(Firms!$M$5:$M$1004,$T1411)="","",INDEX(Firms!$M$5:$M$1004,$T1411)),IF(INDEX('AFA Rates'!$L$5:$L$1004,$T1411)="","",INDEX('AFA Rates'!$L$5:$L$1004,$T1411))))</f>
        <v/>
      </c>
      <c r="O1411" s="78">
        <f>IF(OR($T1411="",$U1411=""),"",IF(INDEX(Firms!$C$5:$C$1004,$U1411)="","",INDEX(Firms!$C$5:$C$1004,$U1411)))</f>
        <v/>
      </c>
      <c r="P1411" s="79">
        <f>IF(OR($T1411="",$U1411=""),"",IF(INDEX(Firms!$N$5:$N$1004,$U1411)="","",INDEX(Firms!$N$5:$N$1004,$U1411)))</f>
        <v/>
      </c>
      <c r="Q1411" s="78">
        <f>IF($T1411="","",IF($S1411="S",IF(INDEX(Firms!$T$5:$T$1004,$T1411)="","",INDEX(Firms!$T$5:$T$1004,$T1411)),IF(INDEX('AFA Rates'!$M$5:$M$1004,$T1411)="","",INDEX('AFA Rates'!$M$5:$M$1004,$T1411))))</f>
        <v/>
      </c>
      <c r="S1411">
        <f>IF(1407&lt;=$S$2,"S",IF(1407&lt;=$S$2+$T$2,"A",""))</f>
        <v/>
      </c>
      <c r="T1411">
        <f>IF(S1411="S",MATCH(1407,Firms!$W$5:$W$1004,0),IF(S1411="A",IFERROR(MATCH(1407-$S$2,'AFA Rates'!$R$5:$R$1004,0),""),""))</f>
        <v/>
      </c>
      <c r="U1411">
        <f>IF(S1411="S",T1411,IF(AND(S1411="A",T1411&lt;&gt;""),IFERROR(MATCH(INDEX('AFA Rates'!$A$5:$A$1004,T1411),Firms!$A$5:$A$1004,0),""),""))</f>
        <v/>
      </c>
    </row>
    <row r="1412">
      <c r="A1412" s="78">
        <f>IF($T1412="","",IF($S1412="S",IF(INDEX(Firms!$A$5:$A$1004,$T1412)="","",INDEX(Firms!$A$5:$A$1004,$T1412)),IF(INDEX('AFA Rates'!$A$5:$A$1004,$T1412)="","",INDEX('AFA Rates'!$A$5:$A$1004,$T1412))))</f>
        <v/>
      </c>
      <c r="B1412" s="79">
        <f>IF(OR($T1412="",$U1412=""),IF($T1412="","","Not on Firms tab"),INDEX(Firms!$B$5:$B$1004,$U1412)&amp;"")</f>
        <v/>
      </c>
      <c r="C1412" s="78">
        <f>IF($T1412="","",IF($S1412="S","Standard",INDEX('AFA Rates'!$B$5:$B$1004,$T1412)&amp;""))</f>
        <v/>
      </c>
      <c r="D1412" s="88">
        <f>IF($T1412="","",IF($S1412="S",IF(INDEX(Firms!$E$5:$E$1004,$T1412)="","",INDEX(Firms!$E$5:$E$1004,$T1412)),IF(INDEX('AFA Rates'!$C$5:$C$1004,$T1412)="","",INDEX('AFA Rates'!$C$5:$C$1004,$T1412))))</f>
        <v/>
      </c>
      <c r="E1412" s="88">
        <f>IF($T1412="","",IF($S1412="S",IF(""="","",""),IF(INDEX('AFA Rates'!$D$5:$D$1004,$T1412)="","",INDEX('AFA Rates'!$D$5:$D$1004,$T1412))))</f>
        <v/>
      </c>
      <c r="F1412" s="79">
        <f>IF($T1412="","",IF($S1412="S",IF(INDEX(Firms!$O$5:$O$1004,$T1412)="","",INDEX(Firms!$O$5:$O$1004,$T1412)),IF(INDEX('AFA Rates'!$O$5:$O$1004,$T1412)="","",INDEX('AFA Rates'!$O$5:$O$1004,$T1412))))</f>
        <v/>
      </c>
      <c r="G1412" s="50">
        <f>IF($T1412="","",IF($S1412="S",IF(INDEX(Firms!$F$5:$F$1004,$T1412)="","",INDEX(Firms!$F$5:$F$1004,$T1412)),IF(INDEX('AFA Rates'!$E$5:$E$1004,$T1412)="","",INDEX('AFA Rates'!$E$5:$E$1004,$T1412))))</f>
        <v/>
      </c>
      <c r="H1412" s="50">
        <f>IF($T1412="","",IF($S1412="S",IF(INDEX(Firms!$G$5:$G$1004,$T1412)="","",INDEX(Firms!$G$5:$G$1004,$T1412)),IF(INDEX('AFA Rates'!$F$5:$F$1004,$T1412)="","",INDEX('AFA Rates'!$F$5:$F$1004,$T1412))))</f>
        <v/>
      </c>
      <c r="I1412" s="50">
        <f>IF($T1412="","",IF($S1412="S",IF(INDEX(Firms!$H$5:$H$1004,$T1412)="","",INDEX(Firms!$H$5:$H$1004,$T1412)),IF(INDEX('AFA Rates'!$G$5:$G$1004,$T1412)="","",INDEX('AFA Rates'!$G$5:$G$1004,$T1412))))</f>
        <v/>
      </c>
      <c r="J1412" s="50">
        <f>IF($T1412="","",IF($S1412="S",IF(INDEX(Firms!$I$5:$I$1004,$T1412)="","",INDEX(Firms!$I$5:$I$1004,$T1412)),IF(INDEX('AFA Rates'!$H$5:$H$1004,$T1412)="","",INDEX('AFA Rates'!$H$5:$H$1004,$T1412))))</f>
        <v/>
      </c>
      <c r="K1412" s="50">
        <f>IF($T1412="","",IF($S1412="S",IF(INDEX(Firms!$J$5:$J$1004,$T1412)="","",INDEX(Firms!$J$5:$J$1004,$T1412)),IF(INDEX('AFA Rates'!$I$5:$I$1004,$T1412)="","",INDEX('AFA Rates'!$I$5:$I$1004,$T1412))))</f>
        <v/>
      </c>
      <c r="L1412" s="50">
        <f>IF($T1412="","",IF($S1412="S",IF(INDEX(Firms!$K$5:$K$1004,$T1412)="","",INDEX(Firms!$K$5:$K$1004,$T1412)),IF(INDEX('AFA Rates'!$J$5:$J$1004,$T1412)="","",INDEX('AFA Rates'!$J$5:$J$1004,$T1412))))</f>
        <v/>
      </c>
      <c r="M1412" s="50">
        <f>IF($T1412="","",IF($S1412="S",IF(INDEX(Firms!$L$5:$L$1004,$T1412)="","",INDEX(Firms!$L$5:$L$1004,$T1412)),IF(INDEX('AFA Rates'!$K$5:$K$1004,$T1412)="","",INDEX('AFA Rates'!$K$5:$K$1004,$T1412))))</f>
        <v/>
      </c>
      <c r="N1412" s="50">
        <f>IF($T1412="","",IF($S1412="S",IF(INDEX(Firms!$M$5:$M$1004,$T1412)="","",INDEX(Firms!$M$5:$M$1004,$T1412)),IF(INDEX('AFA Rates'!$L$5:$L$1004,$T1412)="","",INDEX('AFA Rates'!$L$5:$L$1004,$T1412))))</f>
        <v/>
      </c>
      <c r="O1412" s="78">
        <f>IF(OR($T1412="",$U1412=""),"",IF(INDEX(Firms!$C$5:$C$1004,$U1412)="","",INDEX(Firms!$C$5:$C$1004,$U1412)))</f>
        <v/>
      </c>
      <c r="P1412" s="79">
        <f>IF(OR($T1412="",$U1412=""),"",IF(INDEX(Firms!$N$5:$N$1004,$U1412)="","",INDEX(Firms!$N$5:$N$1004,$U1412)))</f>
        <v/>
      </c>
      <c r="Q1412" s="78">
        <f>IF($T1412="","",IF($S1412="S",IF(INDEX(Firms!$T$5:$T$1004,$T1412)="","",INDEX(Firms!$T$5:$T$1004,$T1412)),IF(INDEX('AFA Rates'!$M$5:$M$1004,$T1412)="","",INDEX('AFA Rates'!$M$5:$M$1004,$T1412))))</f>
        <v/>
      </c>
      <c r="S1412">
        <f>IF(1408&lt;=$S$2,"S",IF(1408&lt;=$S$2+$T$2,"A",""))</f>
        <v/>
      </c>
      <c r="T1412">
        <f>IF(S1412="S",MATCH(1408,Firms!$W$5:$W$1004,0),IF(S1412="A",IFERROR(MATCH(1408-$S$2,'AFA Rates'!$R$5:$R$1004,0),""),""))</f>
        <v/>
      </c>
      <c r="U1412">
        <f>IF(S1412="S",T1412,IF(AND(S1412="A",T1412&lt;&gt;""),IFERROR(MATCH(INDEX('AFA Rates'!$A$5:$A$1004,T1412),Firms!$A$5:$A$1004,0),""),""))</f>
        <v/>
      </c>
    </row>
    <row r="1413">
      <c r="A1413" s="78">
        <f>IF($T1413="","",IF($S1413="S",IF(INDEX(Firms!$A$5:$A$1004,$T1413)="","",INDEX(Firms!$A$5:$A$1004,$T1413)),IF(INDEX('AFA Rates'!$A$5:$A$1004,$T1413)="","",INDEX('AFA Rates'!$A$5:$A$1004,$T1413))))</f>
        <v/>
      </c>
      <c r="B1413" s="79">
        <f>IF(OR($T1413="",$U1413=""),IF($T1413="","","Not on Firms tab"),INDEX(Firms!$B$5:$B$1004,$U1413)&amp;"")</f>
        <v/>
      </c>
      <c r="C1413" s="78">
        <f>IF($T1413="","",IF($S1413="S","Standard",INDEX('AFA Rates'!$B$5:$B$1004,$T1413)&amp;""))</f>
        <v/>
      </c>
      <c r="D1413" s="88">
        <f>IF($T1413="","",IF($S1413="S",IF(INDEX(Firms!$E$5:$E$1004,$T1413)="","",INDEX(Firms!$E$5:$E$1004,$T1413)),IF(INDEX('AFA Rates'!$C$5:$C$1004,$T1413)="","",INDEX('AFA Rates'!$C$5:$C$1004,$T1413))))</f>
        <v/>
      </c>
      <c r="E1413" s="88">
        <f>IF($T1413="","",IF($S1413="S",IF(""="","",""),IF(INDEX('AFA Rates'!$D$5:$D$1004,$T1413)="","",INDEX('AFA Rates'!$D$5:$D$1004,$T1413))))</f>
        <v/>
      </c>
      <c r="F1413" s="79">
        <f>IF($T1413="","",IF($S1413="S",IF(INDEX(Firms!$O$5:$O$1004,$T1413)="","",INDEX(Firms!$O$5:$O$1004,$T1413)),IF(INDEX('AFA Rates'!$O$5:$O$1004,$T1413)="","",INDEX('AFA Rates'!$O$5:$O$1004,$T1413))))</f>
        <v/>
      </c>
      <c r="G1413" s="50">
        <f>IF($T1413="","",IF($S1413="S",IF(INDEX(Firms!$F$5:$F$1004,$T1413)="","",INDEX(Firms!$F$5:$F$1004,$T1413)),IF(INDEX('AFA Rates'!$E$5:$E$1004,$T1413)="","",INDEX('AFA Rates'!$E$5:$E$1004,$T1413))))</f>
        <v/>
      </c>
      <c r="H1413" s="50">
        <f>IF($T1413="","",IF($S1413="S",IF(INDEX(Firms!$G$5:$G$1004,$T1413)="","",INDEX(Firms!$G$5:$G$1004,$T1413)),IF(INDEX('AFA Rates'!$F$5:$F$1004,$T1413)="","",INDEX('AFA Rates'!$F$5:$F$1004,$T1413))))</f>
        <v/>
      </c>
      <c r="I1413" s="50">
        <f>IF($T1413="","",IF($S1413="S",IF(INDEX(Firms!$H$5:$H$1004,$T1413)="","",INDEX(Firms!$H$5:$H$1004,$T1413)),IF(INDEX('AFA Rates'!$G$5:$G$1004,$T1413)="","",INDEX('AFA Rates'!$G$5:$G$1004,$T1413))))</f>
        <v/>
      </c>
      <c r="J1413" s="50">
        <f>IF($T1413="","",IF($S1413="S",IF(INDEX(Firms!$I$5:$I$1004,$T1413)="","",INDEX(Firms!$I$5:$I$1004,$T1413)),IF(INDEX('AFA Rates'!$H$5:$H$1004,$T1413)="","",INDEX('AFA Rates'!$H$5:$H$1004,$T1413))))</f>
        <v/>
      </c>
      <c r="K1413" s="50">
        <f>IF($T1413="","",IF($S1413="S",IF(INDEX(Firms!$J$5:$J$1004,$T1413)="","",INDEX(Firms!$J$5:$J$1004,$T1413)),IF(INDEX('AFA Rates'!$I$5:$I$1004,$T1413)="","",INDEX('AFA Rates'!$I$5:$I$1004,$T1413))))</f>
        <v/>
      </c>
      <c r="L1413" s="50">
        <f>IF($T1413="","",IF($S1413="S",IF(INDEX(Firms!$K$5:$K$1004,$T1413)="","",INDEX(Firms!$K$5:$K$1004,$T1413)),IF(INDEX('AFA Rates'!$J$5:$J$1004,$T1413)="","",INDEX('AFA Rates'!$J$5:$J$1004,$T1413))))</f>
        <v/>
      </c>
      <c r="M1413" s="50">
        <f>IF($T1413="","",IF($S1413="S",IF(INDEX(Firms!$L$5:$L$1004,$T1413)="","",INDEX(Firms!$L$5:$L$1004,$T1413)),IF(INDEX('AFA Rates'!$K$5:$K$1004,$T1413)="","",INDEX('AFA Rates'!$K$5:$K$1004,$T1413))))</f>
        <v/>
      </c>
      <c r="N1413" s="50">
        <f>IF($T1413="","",IF($S1413="S",IF(INDEX(Firms!$M$5:$M$1004,$T1413)="","",INDEX(Firms!$M$5:$M$1004,$T1413)),IF(INDEX('AFA Rates'!$L$5:$L$1004,$T1413)="","",INDEX('AFA Rates'!$L$5:$L$1004,$T1413))))</f>
        <v/>
      </c>
      <c r="O1413" s="78">
        <f>IF(OR($T1413="",$U1413=""),"",IF(INDEX(Firms!$C$5:$C$1004,$U1413)="","",INDEX(Firms!$C$5:$C$1004,$U1413)))</f>
        <v/>
      </c>
      <c r="P1413" s="79">
        <f>IF(OR($T1413="",$U1413=""),"",IF(INDEX(Firms!$N$5:$N$1004,$U1413)="","",INDEX(Firms!$N$5:$N$1004,$U1413)))</f>
        <v/>
      </c>
      <c r="Q1413" s="78">
        <f>IF($T1413="","",IF($S1413="S",IF(INDEX(Firms!$T$5:$T$1004,$T1413)="","",INDEX(Firms!$T$5:$T$1004,$T1413)),IF(INDEX('AFA Rates'!$M$5:$M$1004,$T1413)="","",INDEX('AFA Rates'!$M$5:$M$1004,$T1413))))</f>
        <v/>
      </c>
      <c r="S1413">
        <f>IF(1409&lt;=$S$2,"S",IF(1409&lt;=$S$2+$T$2,"A",""))</f>
        <v/>
      </c>
      <c r="T1413">
        <f>IF(S1413="S",MATCH(1409,Firms!$W$5:$W$1004,0),IF(S1413="A",IFERROR(MATCH(1409-$S$2,'AFA Rates'!$R$5:$R$1004,0),""),""))</f>
        <v/>
      </c>
      <c r="U1413">
        <f>IF(S1413="S",T1413,IF(AND(S1413="A",T1413&lt;&gt;""),IFERROR(MATCH(INDEX('AFA Rates'!$A$5:$A$1004,T1413),Firms!$A$5:$A$1004,0),""),""))</f>
        <v/>
      </c>
    </row>
    <row r="1414">
      <c r="A1414" s="78">
        <f>IF($T1414="","",IF($S1414="S",IF(INDEX(Firms!$A$5:$A$1004,$T1414)="","",INDEX(Firms!$A$5:$A$1004,$T1414)),IF(INDEX('AFA Rates'!$A$5:$A$1004,$T1414)="","",INDEX('AFA Rates'!$A$5:$A$1004,$T1414))))</f>
        <v/>
      </c>
      <c r="B1414" s="79">
        <f>IF(OR($T1414="",$U1414=""),IF($T1414="","","Not on Firms tab"),INDEX(Firms!$B$5:$B$1004,$U1414)&amp;"")</f>
        <v/>
      </c>
      <c r="C1414" s="78">
        <f>IF($T1414="","",IF($S1414="S","Standard",INDEX('AFA Rates'!$B$5:$B$1004,$T1414)&amp;""))</f>
        <v/>
      </c>
      <c r="D1414" s="88">
        <f>IF($T1414="","",IF($S1414="S",IF(INDEX(Firms!$E$5:$E$1004,$T1414)="","",INDEX(Firms!$E$5:$E$1004,$T1414)),IF(INDEX('AFA Rates'!$C$5:$C$1004,$T1414)="","",INDEX('AFA Rates'!$C$5:$C$1004,$T1414))))</f>
        <v/>
      </c>
      <c r="E1414" s="88">
        <f>IF($T1414="","",IF($S1414="S",IF(""="","",""),IF(INDEX('AFA Rates'!$D$5:$D$1004,$T1414)="","",INDEX('AFA Rates'!$D$5:$D$1004,$T1414))))</f>
        <v/>
      </c>
      <c r="F1414" s="79">
        <f>IF($T1414="","",IF($S1414="S",IF(INDEX(Firms!$O$5:$O$1004,$T1414)="","",INDEX(Firms!$O$5:$O$1004,$T1414)),IF(INDEX('AFA Rates'!$O$5:$O$1004,$T1414)="","",INDEX('AFA Rates'!$O$5:$O$1004,$T1414))))</f>
        <v/>
      </c>
      <c r="G1414" s="50">
        <f>IF($T1414="","",IF($S1414="S",IF(INDEX(Firms!$F$5:$F$1004,$T1414)="","",INDEX(Firms!$F$5:$F$1004,$T1414)),IF(INDEX('AFA Rates'!$E$5:$E$1004,$T1414)="","",INDEX('AFA Rates'!$E$5:$E$1004,$T1414))))</f>
        <v/>
      </c>
      <c r="H1414" s="50">
        <f>IF($T1414="","",IF($S1414="S",IF(INDEX(Firms!$G$5:$G$1004,$T1414)="","",INDEX(Firms!$G$5:$G$1004,$T1414)),IF(INDEX('AFA Rates'!$F$5:$F$1004,$T1414)="","",INDEX('AFA Rates'!$F$5:$F$1004,$T1414))))</f>
        <v/>
      </c>
      <c r="I1414" s="50">
        <f>IF($T1414="","",IF($S1414="S",IF(INDEX(Firms!$H$5:$H$1004,$T1414)="","",INDEX(Firms!$H$5:$H$1004,$T1414)),IF(INDEX('AFA Rates'!$G$5:$G$1004,$T1414)="","",INDEX('AFA Rates'!$G$5:$G$1004,$T1414))))</f>
        <v/>
      </c>
      <c r="J1414" s="50">
        <f>IF($T1414="","",IF($S1414="S",IF(INDEX(Firms!$I$5:$I$1004,$T1414)="","",INDEX(Firms!$I$5:$I$1004,$T1414)),IF(INDEX('AFA Rates'!$H$5:$H$1004,$T1414)="","",INDEX('AFA Rates'!$H$5:$H$1004,$T1414))))</f>
        <v/>
      </c>
      <c r="K1414" s="50">
        <f>IF($T1414="","",IF($S1414="S",IF(INDEX(Firms!$J$5:$J$1004,$T1414)="","",INDEX(Firms!$J$5:$J$1004,$T1414)),IF(INDEX('AFA Rates'!$I$5:$I$1004,$T1414)="","",INDEX('AFA Rates'!$I$5:$I$1004,$T1414))))</f>
        <v/>
      </c>
      <c r="L1414" s="50">
        <f>IF($T1414="","",IF($S1414="S",IF(INDEX(Firms!$K$5:$K$1004,$T1414)="","",INDEX(Firms!$K$5:$K$1004,$T1414)),IF(INDEX('AFA Rates'!$J$5:$J$1004,$T1414)="","",INDEX('AFA Rates'!$J$5:$J$1004,$T1414))))</f>
        <v/>
      </c>
      <c r="M1414" s="50">
        <f>IF($T1414="","",IF($S1414="S",IF(INDEX(Firms!$L$5:$L$1004,$T1414)="","",INDEX(Firms!$L$5:$L$1004,$T1414)),IF(INDEX('AFA Rates'!$K$5:$K$1004,$T1414)="","",INDEX('AFA Rates'!$K$5:$K$1004,$T1414))))</f>
        <v/>
      </c>
      <c r="N1414" s="50">
        <f>IF($T1414="","",IF($S1414="S",IF(INDEX(Firms!$M$5:$M$1004,$T1414)="","",INDEX(Firms!$M$5:$M$1004,$T1414)),IF(INDEX('AFA Rates'!$L$5:$L$1004,$T1414)="","",INDEX('AFA Rates'!$L$5:$L$1004,$T1414))))</f>
        <v/>
      </c>
      <c r="O1414" s="78">
        <f>IF(OR($T1414="",$U1414=""),"",IF(INDEX(Firms!$C$5:$C$1004,$U1414)="","",INDEX(Firms!$C$5:$C$1004,$U1414)))</f>
        <v/>
      </c>
      <c r="P1414" s="79">
        <f>IF(OR($T1414="",$U1414=""),"",IF(INDEX(Firms!$N$5:$N$1004,$U1414)="","",INDEX(Firms!$N$5:$N$1004,$U1414)))</f>
        <v/>
      </c>
      <c r="Q1414" s="78">
        <f>IF($T1414="","",IF($S1414="S",IF(INDEX(Firms!$T$5:$T$1004,$T1414)="","",INDEX(Firms!$T$5:$T$1004,$T1414)),IF(INDEX('AFA Rates'!$M$5:$M$1004,$T1414)="","",INDEX('AFA Rates'!$M$5:$M$1004,$T1414))))</f>
        <v/>
      </c>
      <c r="S1414">
        <f>IF(1410&lt;=$S$2,"S",IF(1410&lt;=$S$2+$T$2,"A",""))</f>
        <v/>
      </c>
      <c r="T1414">
        <f>IF(S1414="S",MATCH(1410,Firms!$W$5:$W$1004,0),IF(S1414="A",IFERROR(MATCH(1410-$S$2,'AFA Rates'!$R$5:$R$1004,0),""),""))</f>
        <v/>
      </c>
      <c r="U1414">
        <f>IF(S1414="S",T1414,IF(AND(S1414="A",T1414&lt;&gt;""),IFERROR(MATCH(INDEX('AFA Rates'!$A$5:$A$1004,T1414),Firms!$A$5:$A$1004,0),""),""))</f>
        <v/>
      </c>
    </row>
    <row r="1415">
      <c r="A1415" s="78">
        <f>IF($T1415="","",IF($S1415="S",IF(INDEX(Firms!$A$5:$A$1004,$T1415)="","",INDEX(Firms!$A$5:$A$1004,$T1415)),IF(INDEX('AFA Rates'!$A$5:$A$1004,$T1415)="","",INDEX('AFA Rates'!$A$5:$A$1004,$T1415))))</f>
        <v/>
      </c>
      <c r="B1415" s="79">
        <f>IF(OR($T1415="",$U1415=""),IF($T1415="","","Not on Firms tab"),INDEX(Firms!$B$5:$B$1004,$U1415)&amp;"")</f>
        <v/>
      </c>
      <c r="C1415" s="78">
        <f>IF($T1415="","",IF($S1415="S","Standard",INDEX('AFA Rates'!$B$5:$B$1004,$T1415)&amp;""))</f>
        <v/>
      </c>
      <c r="D1415" s="88">
        <f>IF($T1415="","",IF($S1415="S",IF(INDEX(Firms!$E$5:$E$1004,$T1415)="","",INDEX(Firms!$E$5:$E$1004,$T1415)),IF(INDEX('AFA Rates'!$C$5:$C$1004,$T1415)="","",INDEX('AFA Rates'!$C$5:$C$1004,$T1415))))</f>
        <v/>
      </c>
      <c r="E1415" s="88">
        <f>IF($T1415="","",IF($S1415="S",IF(""="","",""),IF(INDEX('AFA Rates'!$D$5:$D$1004,$T1415)="","",INDEX('AFA Rates'!$D$5:$D$1004,$T1415))))</f>
        <v/>
      </c>
      <c r="F1415" s="79">
        <f>IF($T1415="","",IF($S1415="S",IF(INDEX(Firms!$O$5:$O$1004,$T1415)="","",INDEX(Firms!$O$5:$O$1004,$T1415)),IF(INDEX('AFA Rates'!$O$5:$O$1004,$T1415)="","",INDEX('AFA Rates'!$O$5:$O$1004,$T1415))))</f>
        <v/>
      </c>
      <c r="G1415" s="50">
        <f>IF($T1415="","",IF($S1415="S",IF(INDEX(Firms!$F$5:$F$1004,$T1415)="","",INDEX(Firms!$F$5:$F$1004,$T1415)),IF(INDEX('AFA Rates'!$E$5:$E$1004,$T1415)="","",INDEX('AFA Rates'!$E$5:$E$1004,$T1415))))</f>
        <v/>
      </c>
      <c r="H1415" s="50">
        <f>IF($T1415="","",IF($S1415="S",IF(INDEX(Firms!$G$5:$G$1004,$T1415)="","",INDEX(Firms!$G$5:$G$1004,$T1415)),IF(INDEX('AFA Rates'!$F$5:$F$1004,$T1415)="","",INDEX('AFA Rates'!$F$5:$F$1004,$T1415))))</f>
        <v/>
      </c>
      <c r="I1415" s="50">
        <f>IF($T1415="","",IF($S1415="S",IF(INDEX(Firms!$H$5:$H$1004,$T1415)="","",INDEX(Firms!$H$5:$H$1004,$T1415)),IF(INDEX('AFA Rates'!$G$5:$G$1004,$T1415)="","",INDEX('AFA Rates'!$G$5:$G$1004,$T1415))))</f>
        <v/>
      </c>
      <c r="J1415" s="50">
        <f>IF($T1415="","",IF($S1415="S",IF(INDEX(Firms!$I$5:$I$1004,$T1415)="","",INDEX(Firms!$I$5:$I$1004,$T1415)),IF(INDEX('AFA Rates'!$H$5:$H$1004,$T1415)="","",INDEX('AFA Rates'!$H$5:$H$1004,$T1415))))</f>
        <v/>
      </c>
      <c r="K1415" s="50">
        <f>IF($T1415="","",IF($S1415="S",IF(INDEX(Firms!$J$5:$J$1004,$T1415)="","",INDEX(Firms!$J$5:$J$1004,$T1415)),IF(INDEX('AFA Rates'!$I$5:$I$1004,$T1415)="","",INDEX('AFA Rates'!$I$5:$I$1004,$T1415))))</f>
        <v/>
      </c>
      <c r="L1415" s="50">
        <f>IF($T1415="","",IF($S1415="S",IF(INDEX(Firms!$K$5:$K$1004,$T1415)="","",INDEX(Firms!$K$5:$K$1004,$T1415)),IF(INDEX('AFA Rates'!$J$5:$J$1004,$T1415)="","",INDEX('AFA Rates'!$J$5:$J$1004,$T1415))))</f>
        <v/>
      </c>
      <c r="M1415" s="50">
        <f>IF($T1415="","",IF($S1415="S",IF(INDEX(Firms!$L$5:$L$1004,$T1415)="","",INDEX(Firms!$L$5:$L$1004,$T1415)),IF(INDEX('AFA Rates'!$K$5:$K$1004,$T1415)="","",INDEX('AFA Rates'!$K$5:$K$1004,$T1415))))</f>
        <v/>
      </c>
      <c r="N1415" s="50">
        <f>IF($T1415="","",IF($S1415="S",IF(INDEX(Firms!$M$5:$M$1004,$T1415)="","",INDEX(Firms!$M$5:$M$1004,$T1415)),IF(INDEX('AFA Rates'!$L$5:$L$1004,$T1415)="","",INDEX('AFA Rates'!$L$5:$L$1004,$T1415))))</f>
        <v/>
      </c>
      <c r="O1415" s="78">
        <f>IF(OR($T1415="",$U1415=""),"",IF(INDEX(Firms!$C$5:$C$1004,$U1415)="","",INDEX(Firms!$C$5:$C$1004,$U1415)))</f>
        <v/>
      </c>
      <c r="P1415" s="79">
        <f>IF(OR($T1415="",$U1415=""),"",IF(INDEX(Firms!$N$5:$N$1004,$U1415)="","",INDEX(Firms!$N$5:$N$1004,$U1415)))</f>
        <v/>
      </c>
      <c r="Q1415" s="78">
        <f>IF($T1415="","",IF($S1415="S",IF(INDEX(Firms!$T$5:$T$1004,$T1415)="","",INDEX(Firms!$T$5:$T$1004,$T1415)),IF(INDEX('AFA Rates'!$M$5:$M$1004,$T1415)="","",INDEX('AFA Rates'!$M$5:$M$1004,$T1415))))</f>
        <v/>
      </c>
      <c r="S1415">
        <f>IF(1411&lt;=$S$2,"S",IF(1411&lt;=$S$2+$T$2,"A",""))</f>
        <v/>
      </c>
      <c r="T1415">
        <f>IF(S1415="S",MATCH(1411,Firms!$W$5:$W$1004,0),IF(S1415="A",IFERROR(MATCH(1411-$S$2,'AFA Rates'!$R$5:$R$1004,0),""),""))</f>
        <v/>
      </c>
      <c r="U1415">
        <f>IF(S1415="S",T1415,IF(AND(S1415="A",T1415&lt;&gt;""),IFERROR(MATCH(INDEX('AFA Rates'!$A$5:$A$1004,T1415),Firms!$A$5:$A$1004,0),""),""))</f>
        <v/>
      </c>
    </row>
    <row r="1416">
      <c r="A1416" s="78">
        <f>IF($T1416="","",IF($S1416="S",IF(INDEX(Firms!$A$5:$A$1004,$T1416)="","",INDEX(Firms!$A$5:$A$1004,$T1416)),IF(INDEX('AFA Rates'!$A$5:$A$1004,$T1416)="","",INDEX('AFA Rates'!$A$5:$A$1004,$T1416))))</f>
        <v/>
      </c>
      <c r="B1416" s="79">
        <f>IF(OR($T1416="",$U1416=""),IF($T1416="","","Not on Firms tab"),INDEX(Firms!$B$5:$B$1004,$U1416)&amp;"")</f>
        <v/>
      </c>
      <c r="C1416" s="78">
        <f>IF($T1416="","",IF($S1416="S","Standard",INDEX('AFA Rates'!$B$5:$B$1004,$T1416)&amp;""))</f>
        <v/>
      </c>
      <c r="D1416" s="88">
        <f>IF($T1416="","",IF($S1416="S",IF(INDEX(Firms!$E$5:$E$1004,$T1416)="","",INDEX(Firms!$E$5:$E$1004,$T1416)),IF(INDEX('AFA Rates'!$C$5:$C$1004,$T1416)="","",INDEX('AFA Rates'!$C$5:$C$1004,$T1416))))</f>
        <v/>
      </c>
      <c r="E1416" s="88">
        <f>IF($T1416="","",IF($S1416="S",IF(""="","",""),IF(INDEX('AFA Rates'!$D$5:$D$1004,$T1416)="","",INDEX('AFA Rates'!$D$5:$D$1004,$T1416))))</f>
        <v/>
      </c>
      <c r="F1416" s="79">
        <f>IF($T1416="","",IF($S1416="S",IF(INDEX(Firms!$O$5:$O$1004,$T1416)="","",INDEX(Firms!$O$5:$O$1004,$T1416)),IF(INDEX('AFA Rates'!$O$5:$O$1004,$T1416)="","",INDEX('AFA Rates'!$O$5:$O$1004,$T1416))))</f>
        <v/>
      </c>
      <c r="G1416" s="50">
        <f>IF($T1416="","",IF($S1416="S",IF(INDEX(Firms!$F$5:$F$1004,$T1416)="","",INDEX(Firms!$F$5:$F$1004,$T1416)),IF(INDEX('AFA Rates'!$E$5:$E$1004,$T1416)="","",INDEX('AFA Rates'!$E$5:$E$1004,$T1416))))</f>
        <v/>
      </c>
      <c r="H1416" s="50">
        <f>IF($T1416="","",IF($S1416="S",IF(INDEX(Firms!$G$5:$G$1004,$T1416)="","",INDEX(Firms!$G$5:$G$1004,$T1416)),IF(INDEX('AFA Rates'!$F$5:$F$1004,$T1416)="","",INDEX('AFA Rates'!$F$5:$F$1004,$T1416))))</f>
        <v/>
      </c>
      <c r="I1416" s="50">
        <f>IF($T1416="","",IF($S1416="S",IF(INDEX(Firms!$H$5:$H$1004,$T1416)="","",INDEX(Firms!$H$5:$H$1004,$T1416)),IF(INDEX('AFA Rates'!$G$5:$G$1004,$T1416)="","",INDEX('AFA Rates'!$G$5:$G$1004,$T1416))))</f>
        <v/>
      </c>
      <c r="J1416" s="50">
        <f>IF($T1416="","",IF($S1416="S",IF(INDEX(Firms!$I$5:$I$1004,$T1416)="","",INDEX(Firms!$I$5:$I$1004,$T1416)),IF(INDEX('AFA Rates'!$H$5:$H$1004,$T1416)="","",INDEX('AFA Rates'!$H$5:$H$1004,$T1416))))</f>
        <v/>
      </c>
      <c r="K1416" s="50">
        <f>IF($T1416="","",IF($S1416="S",IF(INDEX(Firms!$J$5:$J$1004,$T1416)="","",INDEX(Firms!$J$5:$J$1004,$T1416)),IF(INDEX('AFA Rates'!$I$5:$I$1004,$T1416)="","",INDEX('AFA Rates'!$I$5:$I$1004,$T1416))))</f>
        <v/>
      </c>
      <c r="L1416" s="50">
        <f>IF($T1416="","",IF($S1416="S",IF(INDEX(Firms!$K$5:$K$1004,$T1416)="","",INDEX(Firms!$K$5:$K$1004,$T1416)),IF(INDEX('AFA Rates'!$J$5:$J$1004,$T1416)="","",INDEX('AFA Rates'!$J$5:$J$1004,$T1416))))</f>
        <v/>
      </c>
      <c r="M1416" s="50">
        <f>IF($T1416="","",IF($S1416="S",IF(INDEX(Firms!$L$5:$L$1004,$T1416)="","",INDEX(Firms!$L$5:$L$1004,$T1416)),IF(INDEX('AFA Rates'!$K$5:$K$1004,$T1416)="","",INDEX('AFA Rates'!$K$5:$K$1004,$T1416))))</f>
        <v/>
      </c>
      <c r="N1416" s="50">
        <f>IF($T1416="","",IF($S1416="S",IF(INDEX(Firms!$M$5:$M$1004,$T1416)="","",INDEX(Firms!$M$5:$M$1004,$T1416)),IF(INDEX('AFA Rates'!$L$5:$L$1004,$T1416)="","",INDEX('AFA Rates'!$L$5:$L$1004,$T1416))))</f>
        <v/>
      </c>
      <c r="O1416" s="78">
        <f>IF(OR($T1416="",$U1416=""),"",IF(INDEX(Firms!$C$5:$C$1004,$U1416)="","",INDEX(Firms!$C$5:$C$1004,$U1416)))</f>
        <v/>
      </c>
      <c r="P1416" s="79">
        <f>IF(OR($T1416="",$U1416=""),"",IF(INDEX(Firms!$N$5:$N$1004,$U1416)="","",INDEX(Firms!$N$5:$N$1004,$U1416)))</f>
        <v/>
      </c>
      <c r="Q1416" s="78">
        <f>IF($T1416="","",IF($S1416="S",IF(INDEX(Firms!$T$5:$T$1004,$T1416)="","",INDEX(Firms!$T$5:$T$1004,$T1416)),IF(INDEX('AFA Rates'!$M$5:$M$1004,$T1416)="","",INDEX('AFA Rates'!$M$5:$M$1004,$T1416))))</f>
        <v/>
      </c>
      <c r="S1416">
        <f>IF(1412&lt;=$S$2,"S",IF(1412&lt;=$S$2+$T$2,"A",""))</f>
        <v/>
      </c>
      <c r="T1416">
        <f>IF(S1416="S",MATCH(1412,Firms!$W$5:$W$1004,0),IF(S1416="A",IFERROR(MATCH(1412-$S$2,'AFA Rates'!$R$5:$R$1004,0),""),""))</f>
        <v/>
      </c>
      <c r="U1416">
        <f>IF(S1416="S",T1416,IF(AND(S1416="A",T1416&lt;&gt;""),IFERROR(MATCH(INDEX('AFA Rates'!$A$5:$A$1004,T1416),Firms!$A$5:$A$1004,0),""),""))</f>
        <v/>
      </c>
    </row>
    <row r="1417">
      <c r="A1417" s="78">
        <f>IF($T1417="","",IF($S1417="S",IF(INDEX(Firms!$A$5:$A$1004,$T1417)="","",INDEX(Firms!$A$5:$A$1004,$T1417)),IF(INDEX('AFA Rates'!$A$5:$A$1004,$T1417)="","",INDEX('AFA Rates'!$A$5:$A$1004,$T1417))))</f>
        <v/>
      </c>
      <c r="B1417" s="79">
        <f>IF(OR($T1417="",$U1417=""),IF($T1417="","","Not on Firms tab"),INDEX(Firms!$B$5:$B$1004,$U1417)&amp;"")</f>
        <v/>
      </c>
      <c r="C1417" s="78">
        <f>IF($T1417="","",IF($S1417="S","Standard",INDEX('AFA Rates'!$B$5:$B$1004,$T1417)&amp;""))</f>
        <v/>
      </c>
      <c r="D1417" s="88">
        <f>IF($T1417="","",IF($S1417="S",IF(INDEX(Firms!$E$5:$E$1004,$T1417)="","",INDEX(Firms!$E$5:$E$1004,$T1417)),IF(INDEX('AFA Rates'!$C$5:$C$1004,$T1417)="","",INDEX('AFA Rates'!$C$5:$C$1004,$T1417))))</f>
        <v/>
      </c>
      <c r="E1417" s="88">
        <f>IF($T1417="","",IF($S1417="S",IF(""="","",""),IF(INDEX('AFA Rates'!$D$5:$D$1004,$T1417)="","",INDEX('AFA Rates'!$D$5:$D$1004,$T1417))))</f>
        <v/>
      </c>
      <c r="F1417" s="79">
        <f>IF($T1417="","",IF($S1417="S",IF(INDEX(Firms!$O$5:$O$1004,$T1417)="","",INDEX(Firms!$O$5:$O$1004,$T1417)),IF(INDEX('AFA Rates'!$O$5:$O$1004,$T1417)="","",INDEX('AFA Rates'!$O$5:$O$1004,$T1417))))</f>
        <v/>
      </c>
      <c r="G1417" s="50">
        <f>IF($T1417="","",IF($S1417="S",IF(INDEX(Firms!$F$5:$F$1004,$T1417)="","",INDEX(Firms!$F$5:$F$1004,$T1417)),IF(INDEX('AFA Rates'!$E$5:$E$1004,$T1417)="","",INDEX('AFA Rates'!$E$5:$E$1004,$T1417))))</f>
        <v/>
      </c>
      <c r="H1417" s="50">
        <f>IF($T1417="","",IF($S1417="S",IF(INDEX(Firms!$G$5:$G$1004,$T1417)="","",INDEX(Firms!$G$5:$G$1004,$T1417)),IF(INDEX('AFA Rates'!$F$5:$F$1004,$T1417)="","",INDEX('AFA Rates'!$F$5:$F$1004,$T1417))))</f>
        <v/>
      </c>
      <c r="I1417" s="50">
        <f>IF($T1417="","",IF($S1417="S",IF(INDEX(Firms!$H$5:$H$1004,$T1417)="","",INDEX(Firms!$H$5:$H$1004,$T1417)),IF(INDEX('AFA Rates'!$G$5:$G$1004,$T1417)="","",INDEX('AFA Rates'!$G$5:$G$1004,$T1417))))</f>
        <v/>
      </c>
      <c r="J1417" s="50">
        <f>IF($T1417="","",IF($S1417="S",IF(INDEX(Firms!$I$5:$I$1004,$T1417)="","",INDEX(Firms!$I$5:$I$1004,$T1417)),IF(INDEX('AFA Rates'!$H$5:$H$1004,$T1417)="","",INDEX('AFA Rates'!$H$5:$H$1004,$T1417))))</f>
        <v/>
      </c>
      <c r="K1417" s="50">
        <f>IF($T1417="","",IF($S1417="S",IF(INDEX(Firms!$J$5:$J$1004,$T1417)="","",INDEX(Firms!$J$5:$J$1004,$T1417)),IF(INDEX('AFA Rates'!$I$5:$I$1004,$T1417)="","",INDEX('AFA Rates'!$I$5:$I$1004,$T1417))))</f>
        <v/>
      </c>
      <c r="L1417" s="50">
        <f>IF($T1417="","",IF($S1417="S",IF(INDEX(Firms!$K$5:$K$1004,$T1417)="","",INDEX(Firms!$K$5:$K$1004,$T1417)),IF(INDEX('AFA Rates'!$J$5:$J$1004,$T1417)="","",INDEX('AFA Rates'!$J$5:$J$1004,$T1417))))</f>
        <v/>
      </c>
      <c r="M1417" s="50">
        <f>IF($T1417="","",IF($S1417="S",IF(INDEX(Firms!$L$5:$L$1004,$T1417)="","",INDEX(Firms!$L$5:$L$1004,$T1417)),IF(INDEX('AFA Rates'!$K$5:$K$1004,$T1417)="","",INDEX('AFA Rates'!$K$5:$K$1004,$T1417))))</f>
        <v/>
      </c>
      <c r="N1417" s="50">
        <f>IF($T1417="","",IF($S1417="S",IF(INDEX(Firms!$M$5:$M$1004,$T1417)="","",INDEX(Firms!$M$5:$M$1004,$T1417)),IF(INDEX('AFA Rates'!$L$5:$L$1004,$T1417)="","",INDEX('AFA Rates'!$L$5:$L$1004,$T1417))))</f>
        <v/>
      </c>
      <c r="O1417" s="78">
        <f>IF(OR($T1417="",$U1417=""),"",IF(INDEX(Firms!$C$5:$C$1004,$U1417)="","",INDEX(Firms!$C$5:$C$1004,$U1417)))</f>
        <v/>
      </c>
      <c r="P1417" s="79">
        <f>IF(OR($T1417="",$U1417=""),"",IF(INDEX(Firms!$N$5:$N$1004,$U1417)="","",INDEX(Firms!$N$5:$N$1004,$U1417)))</f>
        <v/>
      </c>
      <c r="Q1417" s="78">
        <f>IF($T1417="","",IF($S1417="S",IF(INDEX(Firms!$T$5:$T$1004,$T1417)="","",INDEX(Firms!$T$5:$T$1004,$T1417)),IF(INDEX('AFA Rates'!$M$5:$M$1004,$T1417)="","",INDEX('AFA Rates'!$M$5:$M$1004,$T1417))))</f>
        <v/>
      </c>
      <c r="S1417">
        <f>IF(1413&lt;=$S$2,"S",IF(1413&lt;=$S$2+$T$2,"A",""))</f>
        <v/>
      </c>
      <c r="T1417">
        <f>IF(S1417="S",MATCH(1413,Firms!$W$5:$W$1004,0),IF(S1417="A",IFERROR(MATCH(1413-$S$2,'AFA Rates'!$R$5:$R$1004,0),""),""))</f>
        <v/>
      </c>
      <c r="U1417">
        <f>IF(S1417="S",T1417,IF(AND(S1417="A",T1417&lt;&gt;""),IFERROR(MATCH(INDEX('AFA Rates'!$A$5:$A$1004,T1417),Firms!$A$5:$A$1004,0),""),""))</f>
        <v/>
      </c>
    </row>
    <row r="1418">
      <c r="A1418" s="78">
        <f>IF($T1418="","",IF($S1418="S",IF(INDEX(Firms!$A$5:$A$1004,$T1418)="","",INDEX(Firms!$A$5:$A$1004,$T1418)),IF(INDEX('AFA Rates'!$A$5:$A$1004,$T1418)="","",INDEX('AFA Rates'!$A$5:$A$1004,$T1418))))</f>
        <v/>
      </c>
      <c r="B1418" s="79">
        <f>IF(OR($T1418="",$U1418=""),IF($T1418="","","Not on Firms tab"),INDEX(Firms!$B$5:$B$1004,$U1418)&amp;"")</f>
        <v/>
      </c>
      <c r="C1418" s="78">
        <f>IF($T1418="","",IF($S1418="S","Standard",INDEX('AFA Rates'!$B$5:$B$1004,$T1418)&amp;""))</f>
        <v/>
      </c>
      <c r="D1418" s="88">
        <f>IF($T1418="","",IF($S1418="S",IF(INDEX(Firms!$E$5:$E$1004,$T1418)="","",INDEX(Firms!$E$5:$E$1004,$T1418)),IF(INDEX('AFA Rates'!$C$5:$C$1004,$T1418)="","",INDEX('AFA Rates'!$C$5:$C$1004,$T1418))))</f>
        <v/>
      </c>
      <c r="E1418" s="88">
        <f>IF($T1418="","",IF($S1418="S",IF(""="","",""),IF(INDEX('AFA Rates'!$D$5:$D$1004,$T1418)="","",INDEX('AFA Rates'!$D$5:$D$1004,$T1418))))</f>
        <v/>
      </c>
      <c r="F1418" s="79">
        <f>IF($T1418="","",IF($S1418="S",IF(INDEX(Firms!$O$5:$O$1004,$T1418)="","",INDEX(Firms!$O$5:$O$1004,$T1418)),IF(INDEX('AFA Rates'!$O$5:$O$1004,$T1418)="","",INDEX('AFA Rates'!$O$5:$O$1004,$T1418))))</f>
        <v/>
      </c>
      <c r="G1418" s="50">
        <f>IF($T1418="","",IF($S1418="S",IF(INDEX(Firms!$F$5:$F$1004,$T1418)="","",INDEX(Firms!$F$5:$F$1004,$T1418)),IF(INDEX('AFA Rates'!$E$5:$E$1004,$T1418)="","",INDEX('AFA Rates'!$E$5:$E$1004,$T1418))))</f>
        <v/>
      </c>
      <c r="H1418" s="50">
        <f>IF($T1418="","",IF($S1418="S",IF(INDEX(Firms!$G$5:$G$1004,$T1418)="","",INDEX(Firms!$G$5:$G$1004,$T1418)),IF(INDEX('AFA Rates'!$F$5:$F$1004,$T1418)="","",INDEX('AFA Rates'!$F$5:$F$1004,$T1418))))</f>
        <v/>
      </c>
      <c r="I1418" s="50">
        <f>IF($T1418="","",IF($S1418="S",IF(INDEX(Firms!$H$5:$H$1004,$T1418)="","",INDEX(Firms!$H$5:$H$1004,$T1418)),IF(INDEX('AFA Rates'!$G$5:$G$1004,$T1418)="","",INDEX('AFA Rates'!$G$5:$G$1004,$T1418))))</f>
        <v/>
      </c>
      <c r="J1418" s="50">
        <f>IF($T1418="","",IF($S1418="S",IF(INDEX(Firms!$I$5:$I$1004,$T1418)="","",INDEX(Firms!$I$5:$I$1004,$T1418)),IF(INDEX('AFA Rates'!$H$5:$H$1004,$T1418)="","",INDEX('AFA Rates'!$H$5:$H$1004,$T1418))))</f>
        <v/>
      </c>
      <c r="K1418" s="50">
        <f>IF($T1418="","",IF($S1418="S",IF(INDEX(Firms!$J$5:$J$1004,$T1418)="","",INDEX(Firms!$J$5:$J$1004,$T1418)),IF(INDEX('AFA Rates'!$I$5:$I$1004,$T1418)="","",INDEX('AFA Rates'!$I$5:$I$1004,$T1418))))</f>
        <v/>
      </c>
      <c r="L1418" s="50">
        <f>IF($T1418="","",IF($S1418="S",IF(INDEX(Firms!$K$5:$K$1004,$T1418)="","",INDEX(Firms!$K$5:$K$1004,$T1418)),IF(INDEX('AFA Rates'!$J$5:$J$1004,$T1418)="","",INDEX('AFA Rates'!$J$5:$J$1004,$T1418))))</f>
        <v/>
      </c>
      <c r="M1418" s="50">
        <f>IF($T1418="","",IF($S1418="S",IF(INDEX(Firms!$L$5:$L$1004,$T1418)="","",INDEX(Firms!$L$5:$L$1004,$T1418)),IF(INDEX('AFA Rates'!$K$5:$K$1004,$T1418)="","",INDEX('AFA Rates'!$K$5:$K$1004,$T1418))))</f>
        <v/>
      </c>
      <c r="N1418" s="50">
        <f>IF($T1418="","",IF($S1418="S",IF(INDEX(Firms!$M$5:$M$1004,$T1418)="","",INDEX(Firms!$M$5:$M$1004,$T1418)),IF(INDEX('AFA Rates'!$L$5:$L$1004,$T1418)="","",INDEX('AFA Rates'!$L$5:$L$1004,$T1418))))</f>
        <v/>
      </c>
      <c r="O1418" s="78">
        <f>IF(OR($T1418="",$U1418=""),"",IF(INDEX(Firms!$C$5:$C$1004,$U1418)="","",INDEX(Firms!$C$5:$C$1004,$U1418)))</f>
        <v/>
      </c>
      <c r="P1418" s="79">
        <f>IF(OR($T1418="",$U1418=""),"",IF(INDEX(Firms!$N$5:$N$1004,$U1418)="","",INDEX(Firms!$N$5:$N$1004,$U1418)))</f>
        <v/>
      </c>
      <c r="Q1418" s="78">
        <f>IF($T1418="","",IF($S1418="S",IF(INDEX(Firms!$T$5:$T$1004,$T1418)="","",INDEX(Firms!$T$5:$T$1004,$T1418)),IF(INDEX('AFA Rates'!$M$5:$M$1004,$T1418)="","",INDEX('AFA Rates'!$M$5:$M$1004,$T1418))))</f>
        <v/>
      </c>
      <c r="S1418">
        <f>IF(1414&lt;=$S$2,"S",IF(1414&lt;=$S$2+$T$2,"A",""))</f>
        <v/>
      </c>
      <c r="T1418">
        <f>IF(S1418="S",MATCH(1414,Firms!$W$5:$W$1004,0),IF(S1418="A",IFERROR(MATCH(1414-$S$2,'AFA Rates'!$R$5:$R$1004,0),""),""))</f>
        <v/>
      </c>
      <c r="U1418">
        <f>IF(S1418="S",T1418,IF(AND(S1418="A",T1418&lt;&gt;""),IFERROR(MATCH(INDEX('AFA Rates'!$A$5:$A$1004,T1418),Firms!$A$5:$A$1004,0),""),""))</f>
        <v/>
      </c>
    </row>
    <row r="1419">
      <c r="A1419" s="78">
        <f>IF($T1419="","",IF($S1419="S",IF(INDEX(Firms!$A$5:$A$1004,$T1419)="","",INDEX(Firms!$A$5:$A$1004,$T1419)),IF(INDEX('AFA Rates'!$A$5:$A$1004,$T1419)="","",INDEX('AFA Rates'!$A$5:$A$1004,$T1419))))</f>
        <v/>
      </c>
      <c r="B1419" s="79">
        <f>IF(OR($T1419="",$U1419=""),IF($T1419="","","Not on Firms tab"),INDEX(Firms!$B$5:$B$1004,$U1419)&amp;"")</f>
        <v/>
      </c>
      <c r="C1419" s="78">
        <f>IF($T1419="","",IF($S1419="S","Standard",INDEX('AFA Rates'!$B$5:$B$1004,$T1419)&amp;""))</f>
        <v/>
      </c>
      <c r="D1419" s="88">
        <f>IF($T1419="","",IF($S1419="S",IF(INDEX(Firms!$E$5:$E$1004,$T1419)="","",INDEX(Firms!$E$5:$E$1004,$T1419)),IF(INDEX('AFA Rates'!$C$5:$C$1004,$T1419)="","",INDEX('AFA Rates'!$C$5:$C$1004,$T1419))))</f>
        <v/>
      </c>
      <c r="E1419" s="88">
        <f>IF($T1419="","",IF($S1419="S",IF(""="","",""),IF(INDEX('AFA Rates'!$D$5:$D$1004,$T1419)="","",INDEX('AFA Rates'!$D$5:$D$1004,$T1419))))</f>
        <v/>
      </c>
      <c r="F1419" s="79">
        <f>IF($T1419="","",IF($S1419="S",IF(INDEX(Firms!$O$5:$O$1004,$T1419)="","",INDEX(Firms!$O$5:$O$1004,$T1419)),IF(INDEX('AFA Rates'!$O$5:$O$1004,$T1419)="","",INDEX('AFA Rates'!$O$5:$O$1004,$T1419))))</f>
        <v/>
      </c>
      <c r="G1419" s="50">
        <f>IF($T1419="","",IF($S1419="S",IF(INDEX(Firms!$F$5:$F$1004,$T1419)="","",INDEX(Firms!$F$5:$F$1004,$T1419)),IF(INDEX('AFA Rates'!$E$5:$E$1004,$T1419)="","",INDEX('AFA Rates'!$E$5:$E$1004,$T1419))))</f>
        <v/>
      </c>
      <c r="H1419" s="50">
        <f>IF($T1419="","",IF($S1419="S",IF(INDEX(Firms!$G$5:$G$1004,$T1419)="","",INDEX(Firms!$G$5:$G$1004,$T1419)),IF(INDEX('AFA Rates'!$F$5:$F$1004,$T1419)="","",INDEX('AFA Rates'!$F$5:$F$1004,$T1419))))</f>
        <v/>
      </c>
      <c r="I1419" s="50">
        <f>IF($T1419="","",IF($S1419="S",IF(INDEX(Firms!$H$5:$H$1004,$T1419)="","",INDEX(Firms!$H$5:$H$1004,$T1419)),IF(INDEX('AFA Rates'!$G$5:$G$1004,$T1419)="","",INDEX('AFA Rates'!$G$5:$G$1004,$T1419))))</f>
        <v/>
      </c>
      <c r="J1419" s="50">
        <f>IF($T1419="","",IF($S1419="S",IF(INDEX(Firms!$I$5:$I$1004,$T1419)="","",INDEX(Firms!$I$5:$I$1004,$T1419)),IF(INDEX('AFA Rates'!$H$5:$H$1004,$T1419)="","",INDEX('AFA Rates'!$H$5:$H$1004,$T1419))))</f>
        <v/>
      </c>
      <c r="K1419" s="50">
        <f>IF($T1419="","",IF($S1419="S",IF(INDEX(Firms!$J$5:$J$1004,$T1419)="","",INDEX(Firms!$J$5:$J$1004,$T1419)),IF(INDEX('AFA Rates'!$I$5:$I$1004,$T1419)="","",INDEX('AFA Rates'!$I$5:$I$1004,$T1419))))</f>
        <v/>
      </c>
      <c r="L1419" s="50">
        <f>IF($T1419="","",IF($S1419="S",IF(INDEX(Firms!$K$5:$K$1004,$T1419)="","",INDEX(Firms!$K$5:$K$1004,$T1419)),IF(INDEX('AFA Rates'!$J$5:$J$1004,$T1419)="","",INDEX('AFA Rates'!$J$5:$J$1004,$T1419))))</f>
        <v/>
      </c>
      <c r="M1419" s="50">
        <f>IF($T1419="","",IF($S1419="S",IF(INDEX(Firms!$L$5:$L$1004,$T1419)="","",INDEX(Firms!$L$5:$L$1004,$T1419)),IF(INDEX('AFA Rates'!$K$5:$K$1004,$T1419)="","",INDEX('AFA Rates'!$K$5:$K$1004,$T1419))))</f>
        <v/>
      </c>
      <c r="N1419" s="50">
        <f>IF($T1419="","",IF($S1419="S",IF(INDEX(Firms!$M$5:$M$1004,$T1419)="","",INDEX(Firms!$M$5:$M$1004,$T1419)),IF(INDEX('AFA Rates'!$L$5:$L$1004,$T1419)="","",INDEX('AFA Rates'!$L$5:$L$1004,$T1419))))</f>
        <v/>
      </c>
      <c r="O1419" s="78">
        <f>IF(OR($T1419="",$U1419=""),"",IF(INDEX(Firms!$C$5:$C$1004,$U1419)="","",INDEX(Firms!$C$5:$C$1004,$U1419)))</f>
        <v/>
      </c>
      <c r="P1419" s="79">
        <f>IF(OR($T1419="",$U1419=""),"",IF(INDEX(Firms!$N$5:$N$1004,$U1419)="","",INDEX(Firms!$N$5:$N$1004,$U1419)))</f>
        <v/>
      </c>
      <c r="Q1419" s="78">
        <f>IF($T1419="","",IF($S1419="S",IF(INDEX(Firms!$T$5:$T$1004,$T1419)="","",INDEX(Firms!$T$5:$T$1004,$T1419)),IF(INDEX('AFA Rates'!$M$5:$M$1004,$T1419)="","",INDEX('AFA Rates'!$M$5:$M$1004,$T1419))))</f>
        <v/>
      </c>
      <c r="S1419">
        <f>IF(1415&lt;=$S$2,"S",IF(1415&lt;=$S$2+$T$2,"A",""))</f>
        <v/>
      </c>
      <c r="T1419">
        <f>IF(S1419="S",MATCH(1415,Firms!$W$5:$W$1004,0),IF(S1419="A",IFERROR(MATCH(1415-$S$2,'AFA Rates'!$R$5:$R$1004,0),""),""))</f>
        <v/>
      </c>
      <c r="U1419">
        <f>IF(S1419="S",T1419,IF(AND(S1419="A",T1419&lt;&gt;""),IFERROR(MATCH(INDEX('AFA Rates'!$A$5:$A$1004,T1419),Firms!$A$5:$A$1004,0),""),""))</f>
        <v/>
      </c>
    </row>
    <row r="1420">
      <c r="A1420" s="78">
        <f>IF($T1420="","",IF($S1420="S",IF(INDEX(Firms!$A$5:$A$1004,$T1420)="","",INDEX(Firms!$A$5:$A$1004,$T1420)),IF(INDEX('AFA Rates'!$A$5:$A$1004,$T1420)="","",INDEX('AFA Rates'!$A$5:$A$1004,$T1420))))</f>
        <v/>
      </c>
      <c r="B1420" s="79">
        <f>IF(OR($T1420="",$U1420=""),IF($T1420="","","Not on Firms tab"),INDEX(Firms!$B$5:$B$1004,$U1420)&amp;"")</f>
        <v/>
      </c>
      <c r="C1420" s="78">
        <f>IF($T1420="","",IF($S1420="S","Standard",INDEX('AFA Rates'!$B$5:$B$1004,$T1420)&amp;""))</f>
        <v/>
      </c>
      <c r="D1420" s="88">
        <f>IF($T1420="","",IF($S1420="S",IF(INDEX(Firms!$E$5:$E$1004,$T1420)="","",INDEX(Firms!$E$5:$E$1004,$T1420)),IF(INDEX('AFA Rates'!$C$5:$C$1004,$T1420)="","",INDEX('AFA Rates'!$C$5:$C$1004,$T1420))))</f>
        <v/>
      </c>
      <c r="E1420" s="88">
        <f>IF($T1420="","",IF($S1420="S",IF(""="","",""),IF(INDEX('AFA Rates'!$D$5:$D$1004,$T1420)="","",INDEX('AFA Rates'!$D$5:$D$1004,$T1420))))</f>
        <v/>
      </c>
      <c r="F1420" s="79">
        <f>IF($T1420="","",IF($S1420="S",IF(INDEX(Firms!$O$5:$O$1004,$T1420)="","",INDEX(Firms!$O$5:$O$1004,$T1420)),IF(INDEX('AFA Rates'!$O$5:$O$1004,$T1420)="","",INDEX('AFA Rates'!$O$5:$O$1004,$T1420))))</f>
        <v/>
      </c>
      <c r="G1420" s="50">
        <f>IF($T1420="","",IF($S1420="S",IF(INDEX(Firms!$F$5:$F$1004,$T1420)="","",INDEX(Firms!$F$5:$F$1004,$T1420)),IF(INDEX('AFA Rates'!$E$5:$E$1004,$T1420)="","",INDEX('AFA Rates'!$E$5:$E$1004,$T1420))))</f>
        <v/>
      </c>
      <c r="H1420" s="50">
        <f>IF($T1420="","",IF($S1420="S",IF(INDEX(Firms!$G$5:$G$1004,$T1420)="","",INDEX(Firms!$G$5:$G$1004,$T1420)),IF(INDEX('AFA Rates'!$F$5:$F$1004,$T1420)="","",INDEX('AFA Rates'!$F$5:$F$1004,$T1420))))</f>
        <v/>
      </c>
      <c r="I1420" s="50">
        <f>IF($T1420="","",IF($S1420="S",IF(INDEX(Firms!$H$5:$H$1004,$T1420)="","",INDEX(Firms!$H$5:$H$1004,$T1420)),IF(INDEX('AFA Rates'!$G$5:$G$1004,$T1420)="","",INDEX('AFA Rates'!$G$5:$G$1004,$T1420))))</f>
        <v/>
      </c>
      <c r="J1420" s="50">
        <f>IF($T1420="","",IF($S1420="S",IF(INDEX(Firms!$I$5:$I$1004,$T1420)="","",INDEX(Firms!$I$5:$I$1004,$T1420)),IF(INDEX('AFA Rates'!$H$5:$H$1004,$T1420)="","",INDEX('AFA Rates'!$H$5:$H$1004,$T1420))))</f>
        <v/>
      </c>
      <c r="K1420" s="50">
        <f>IF($T1420="","",IF($S1420="S",IF(INDEX(Firms!$J$5:$J$1004,$T1420)="","",INDEX(Firms!$J$5:$J$1004,$T1420)),IF(INDEX('AFA Rates'!$I$5:$I$1004,$T1420)="","",INDEX('AFA Rates'!$I$5:$I$1004,$T1420))))</f>
        <v/>
      </c>
      <c r="L1420" s="50">
        <f>IF($T1420="","",IF($S1420="S",IF(INDEX(Firms!$K$5:$K$1004,$T1420)="","",INDEX(Firms!$K$5:$K$1004,$T1420)),IF(INDEX('AFA Rates'!$J$5:$J$1004,$T1420)="","",INDEX('AFA Rates'!$J$5:$J$1004,$T1420))))</f>
        <v/>
      </c>
      <c r="M1420" s="50">
        <f>IF($T1420="","",IF($S1420="S",IF(INDEX(Firms!$L$5:$L$1004,$T1420)="","",INDEX(Firms!$L$5:$L$1004,$T1420)),IF(INDEX('AFA Rates'!$K$5:$K$1004,$T1420)="","",INDEX('AFA Rates'!$K$5:$K$1004,$T1420))))</f>
        <v/>
      </c>
      <c r="N1420" s="50">
        <f>IF($T1420="","",IF($S1420="S",IF(INDEX(Firms!$M$5:$M$1004,$T1420)="","",INDEX(Firms!$M$5:$M$1004,$T1420)),IF(INDEX('AFA Rates'!$L$5:$L$1004,$T1420)="","",INDEX('AFA Rates'!$L$5:$L$1004,$T1420))))</f>
        <v/>
      </c>
      <c r="O1420" s="78">
        <f>IF(OR($T1420="",$U1420=""),"",IF(INDEX(Firms!$C$5:$C$1004,$U1420)="","",INDEX(Firms!$C$5:$C$1004,$U1420)))</f>
        <v/>
      </c>
      <c r="P1420" s="79">
        <f>IF(OR($T1420="",$U1420=""),"",IF(INDEX(Firms!$N$5:$N$1004,$U1420)="","",INDEX(Firms!$N$5:$N$1004,$U1420)))</f>
        <v/>
      </c>
      <c r="Q1420" s="78">
        <f>IF($T1420="","",IF($S1420="S",IF(INDEX(Firms!$T$5:$T$1004,$T1420)="","",INDEX(Firms!$T$5:$T$1004,$T1420)),IF(INDEX('AFA Rates'!$M$5:$M$1004,$T1420)="","",INDEX('AFA Rates'!$M$5:$M$1004,$T1420))))</f>
        <v/>
      </c>
      <c r="S1420">
        <f>IF(1416&lt;=$S$2,"S",IF(1416&lt;=$S$2+$T$2,"A",""))</f>
        <v/>
      </c>
      <c r="T1420">
        <f>IF(S1420="S",MATCH(1416,Firms!$W$5:$W$1004,0),IF(S1420="A",IFERROR(MATCH(1416-$S$2,'AFA Rates'!$R$5:$R$1004,0),""),""))</f>
        <v/>
      </c>
      <c r="U1420">
        <f>IF(S1420="S",T1420,IF(AND(S1420="A",T1420&lt;&gt;""),IFERROR(MATCH(INDEX('AFA Rates'!$A$5:$A$1004,T1420),Firms!$A$5:$A$1004,0),""),""))</f>
        <v/>
      </c>
    </row>
    <row r="1421">
      <c r="A1421" s="78">
        <f>IF($T1421="","",IF($S1421="S",IF(INDEX(Firms!$A$5:$A$1004,$T1421)="","",INDEX(Firms!$A$5:$A$1004,$T1421)),IF(INDEX('AFA Rates'!$A$5:$A$1004,$T1421)="","",INDEX('AFA Rates'!$A$5:$A$1004,$T1421))))</f>
        <v/>
      </c>
      <c r="B1421" s="79">
        <f>IF(OR($T1421="",$U1421=""),IF($T1421="","","Not on Firms tab"),INDEX(Firms!$B$5:$B$1004,$U1421)&amp;"")</f>
        <v/>
      </c>
      <c r="C1421" s="78">
        <f>IF($T1421="","",IF($S1421="S","Standard",INDEX('AFA Rates'!$B$5:$B$1004,$T1421)&amp;""))</f>
        <v/>
      </c>
      <c r="D1421" s="88">
        <f>IF($T1421="","",IF($S1421="S",IF(INDEX(Firms!$E$5:$E$1004,$T1421)="","",INDEX(Firms!$E$5:$E$1004,$T1421)),IF(INDEX('AFA Rates'!$C$5:$C$1004,$T1421)="","",INDEX('AFA Rates'!$C$5:$C$1004,$T1421))))</f>
        <v/>
      </c>
      <c r="E1421" s="88">
        <f>IF($T1421="","",IF($S1421="S",IF(""="","",""),IF(INDEX('AFA Rates'!$D$5:$D$1004,$T1421)="","",INDEX('AFA Rates'!$D$5:$D$1004,$T1421))))</f>
        <v/>
      </c>
      <c r="F1421" s="79">
        <f>IF($T1421="","",IF($S1421="S",IF(INDEX(Firms!$O$5:$O$1004,$T1421)="","",INDEX(Firms!$O$5:$O$1004,$T1421)),IF(INDEX('AFA Rates'!$O$5:$O$1004,$T1421)="","",INDEX('AFA Rates'!$O$5:$O$1004,$T1421))))</f>
        <v/>
      </c>
      <c r="G1421" s="50">
        <f>IF($T1421="","",IF($S1421="S",IF(INDEX(Firms!$F$5:$F$1004,$T1421)="","",INDEX(Firms!$F$5:$F$1004,$T1421)),IF(INDEX('AFA Rates'!$E$5:$E$1004,$T1421)="","",INDEX('AFA Rates'!$E$5:$E$1004,$T1421))))</f>
        <v/>
      </c>
      <c r="H1421" s="50">
        <f>IF($T1421="","",IF($S1421="S",IF(INDEX(Firms!$G$5:$G$1004,$T1421)="","",INDEX(Firms!$G$5:$G$1004,$T1421)),IF(INDEX('AFA Rates'!$F$5:$F$1004,$T1421)="","",INDEX('AFA Rates'!$F$5:$F$1004,$T1421))))</f>
        <v/>
      </c>
      <c r="I1421" s="50">
        <f>IF($T1421="","",IF($S1421="S",IF(INDEX(Firms!$H$5:$H$1004,$T1421)="","",INDEX(Firms!$H$5:$H$1004,$T1421)),IF(INDEX('AFA Rates'!$G$5:$G$1004,$T1421)="","",INDEX('AFA Rates'!$G$5:$G$1004,$T1421))))</f>
        <v/>
      </c>
      <c r="J1421" s="50">
        <f>IF($T1421="","",IF($S1421="S",IF(INDEX(Firms!$I$5:$I$1004,$T1421)="","",INDEX(Firms!$I$5:$I$1004,$T1421)),IF(INDEX('AFA Rates'!$H$5:$H$1004,$T1421)="","",INDEX('AFA Rates'!$H$5:$H$1004,$T1421))))</f>
        <v/>
      </c>
      <c r="K1421" s="50">
        <f>IF($T1421="","",IF($S1421="S",IF(INDEX(Firms!$J$5:$J$1004,$T1421)="","",INDEX(Firms!$J$5:$J$1004,$T1421)),IF(INDEX('AFA Rates'!$I$5:$I$1004,$T1421)="","",INDEX('AFA Rates'!$I$5:$I$1004,$T1421))))</f>
        <v/>
      </c>
      <c r="L1421" s="50">
        <f>IF($T1421="","",IF($S1421="S",IF(INDEX(Firms!$K$5:$K$1004,$T1421)="","",INDEX(Firms!$K$5:$K$1004,$T1421)),IF(INDEX('AFA Rates'!$J$5:$J$1004,$T1421)="","",INDEX('AFA Rates'!$J$5:$J$1004,$T1421))))</f>
        <v/>
      </c>
      <c r="M1421" s="50">
        <f>IF($T1421="","",IF($S1421="S",IF(INDEX(Firms!$L$5:$L$1004,$T1421)="","",INDEX(Firms!$L$5:$L$1004,$T1421)),IF(INDEX('AFA Rates'!$K$5:$K$1004,$T1421)="","",INDEX('AFA Rates'!$K$5:$K$1004,$T1421))))</f>
        <v/>
      </c>
      <c r="N1421" s="50">
        <f>IF($T1421="","",IF($S1421="S",IF(INDEX(Firms!$M$5:$M$1004,$T1421)="","",INDEX(Firms!$M$5:$M$1004,$T1421)),IF(INDEX('AFA Rates'!$L$5:$L$1004,$T1421)="","",INDEX('AFA Rates'!$L$5:$L$1004,$T1421))))</f>
        <v/>
      </c>
      <c r="O1421" s="78">
        <f>IF(OR($T1421="",$U1421=""),"",IF(INDEX(Firms!$C$5:$C$1004,$U1421)="","",INDEX(Firms!$C$5:$C$1004,$U1421)))</f>
        <v/>
      </c>
      <c r="P1421" s="79">
        <f>IF(OR($T1421="",$U1421=""),"",IF(INDEX(Firms!$N$5:$N$1004,$U1421)="","",INDEX(Firms!$N$5:$N$1004,$U1421)))</f>
        <v/>
      </c>
      <c r="Q1421" s="78">
        <f>IF($T1421="","",IF($S1421="S",IF(INDEX(Firms!$T$5:$T$1004,$T1421)="","",INDEX(Firms!$T$5:$T$1004,$T1421)),IF(INDEX('AFA Rates'!$M$5:$M$1004,$T1421)="","",INDEX('AFA Rates'!$M$5:$M$1004,$T1421))))</f>
        <v/>
      </c>
      <c r="S1421">
        <f>IF(1417&lt;=$S$2,"S",IF(1417&lt;=$S$2+$T$2,"A",""))</f>
        <v/>
      </c>
      <c r="T1421">
        <f>IF(S1421="S",MATCH(1417,Firms!$W$5:$W$1004,0),IF(S1421="A",IFERROR(MATCH(1417-$S$2,'AFA Rates'!$R$5:$R$1004,0),""),""))</f>
        <v/>
      </c>
      <c r="U1421">
        <f>IF(S1421="S",T1421,IF(AND(S1421="A",T1421&lt;&gt;""),IFERROR(MATCH(INDEX('AFA Rates'!$A$5:$A$1004,T1421),Firms!$A$5:$A$1004,0),""),""))</f>
        <v/>
      </c>
    </row>
    <row r="1422">
      <c r="A1422" s="78">
        <f>IF($T1422="","",IF($S1422="S",IF(INDEX(Firms!$A$5:$A$1004,$T1422)="","",INDEX(Firms!$A$5:$A$1004,$T1422)),IF(INDEX('AFA Rates'!$A$5:$A$1004,$T1422)="","",INDEX('AFA Rates'!$A$5:$A$1004,$T1422))))</f>
        <v/>
      </c>
      <c r="B1422" s="79">
        <f>IF(OR($T1422="",$U1422=""),IF($T1422="","","Not on Firms tab"),INDEX(Firms!$B$5:$B$1004,$U1422)&amp;"")</f>
        <v/>
      </c>
      <c r="C1422" s="78">
        <f>IF($T1422="","",IF($S1422="S","Standard",INDEX('AFA Rates'!$B$5:$B$1004,$T1422)&amp;""))</f>
        <v/>
      </c>
      <c r="D1422" s="88">
        <f>IF($T1422="","",IF($S1422="S",IF(INDEX(Firms!$E$5:$E$1004,$T1422)="","",INDEX(Firms!$E$5:$E$1004,$T1422)),IF(INDEX('AFA Rates'!$C$5:$C$1004,$T1422)="","",INDEX('AFA Rates'!$C$5:$C$1004,$T1422))))</f>
        <v/>
      </c>
      <c r="E1422" s="88">
        <f>IF($T1422="","",IF($S1422="S",IF(""="","",""),IF(INDEX('AFA Rates'!$D$5:$D$1004,$T1422)="","",INDEX('AFA Rates'!$D$5:$D$1004,$T1422))))</f>
        <v/>
      </c>
      <c r="F1422" s="79">
        <f>IF($T1422="","",IF($S1422="S",IF(INDEX(Firms!$O$5:$O$1004,$T1422)="","",INDEX(Firms!$O$5:$O$1004,$T1422)),IF(INDEX('AFA Rates'!$O$5:$O$1004,$T1422)="","",INDEX('AFA Rates'!$O$5:$O$1004,$T1422))))</f>
        <v/>
      </c>
      <c r="G1422" s="50">
        <f>IF($T1422="","",IF($S1422="S",IF(INDEX(Firms!$F$5:$F$1004,$T1422)="","",INDEX(Firms!$F$5:$F$1004,$T1422)),IF(INDEX('AFA Rates'!$E$5:$E$1004,$T1422)="","",INDEX('AFA Rates'!$E$5:$E$1004,$T1422))))</f>
        <v/>
      </c>
      <c r="H1422" s="50">
        <f>IF($T1422="","",IF($S1422="S",IF(INDEX(Firms!$G$5:$G$1004,$T1422)="","",INDEX(Firms!$G$5:$G$1004,$T1422)),IF(INDEX('AFA Rates'!$F$5:$F$1004,$T1422)="","",INDEX('AFA Rates'!$F$5:$F$1004,$T1422))))</f>
        <v/>
      </c>
      <c r="I1422" s="50">
        <f>IF($T1422="","",IF($S1422="S",IF(INDEX(Firms!$H$5:$H$1004,$T1422)="","",INDEX(Firms!$H$5:$H$1004,$T1422)),IF(INDEX('AFA Rates'!$G$5:$G$1004,$T1422)="","",INDEX('AFA Rates'!$G$5:$G$1004,$T1422))))</f>
        <v/>
      </c>
      <c r="J1422" s="50">
        <f>IF($T1422="","",IF($S1422="S",IF(INDEX(Firms!$I$5:$I$1004,$T1422)="","",INDEX(Firms!$I$5:$I$1004,$T1422)),IF(INDEX('AFA Rates'!$H$5:$H$1004,$T1422)="","",INDEX('AFA Rates'!$H$5:$H$1004,$T1422))))</f>
        <v/>
      </c>
      <c r="K1422" s="50">
        <f>IF($T1422="","",IF($S1422="S",IF(INDEX(Firms!$J$5:$J$1004,$T1422)="","",INDEX(Firms!$J$5:$J$1004,$T1422)),IF(INDEX('AFA Rates'!$I$5:$I$1004,$T1422)="","",INDEX('AFA Rates'!$I$5:$I$1004,$T1422))))</f>
        <v/>
      </c>
      <c r="L1422" s="50">
        <f>IF($T1422="","",IF($S1422="S",IF(INDEX(Firms!$K$5:$K$1004,$T1422)="","",INDEX(Firms!$K$5:$K$1004,$T1422)),IF(INDEX('AFA Rates'!$J$5:$J$1004,$T1422)="","",INDEX('AFA Rates'!$J$5:$J$1004,$T1422))))</f>
        <v/>
      </c>
      <c r="M1422" s="50">
        <f>IF($T1422="","",IF($S1422="S",IF(INDEX(Firms!$L$5:$L$1004,$T1422)="","",INDEX(Firms!$L$5:$L$1004,$T1422)),IF(INDEX('AFA Rates'!$K$5:$K$1004,$T1422)="","",INDEX('AFA Rates'!$K$5:$K$1004,$T1422))))</f>
        <v/>
      </c>
      <c r="N1422" s="50">
        <f>IF($T1422="","",IF($S1422="S",IF(INDEX(Firms!$M$5:$M$1004,$T1422)="","",INDEX(Firms!$M$5:$M$1004,$T1422)),IF(INDEX('AFA Rates'!$L$5:$L$1004,$T1422)="","",INDEX('AFA Rates'!$L$5:$L$1004,$T1422))))</f>
        <v/>
      </c>
      <c r="O1422" s="78">
        <f>IF(OR($T1422="",$U1422=""),"",IF(INDEX(Firms!$C$5:$C$1004,$U1422)="","",INDEX(Firms!$C$5:$C$1004,$U1422)))</f>
        <v/>
      </c>
      <c r="P1422" s="79">
        <f>IF(OR($T1422="",$U1422=""),"",IF(INDEX(Firms!$N$5:$N$1004,$U1422)="","",INDEX(Firms!$N$5:$N$1004,$U1422)))</f>
        <v/>
      </c>
      <c r="Q1422" s="78">
        <f>IF($T1422="","",IF($S1422="S",IF(INDEX(Firms!$T$5:$T$1004,$T1422)="","",INDEX(Firms!$T$5:$T$1004,$T1422)),IF(INDEX('AFA Rates'!$M$5:$M$1004,$T1422)="","",INDEX('AFA Rates'!$M$5:$M$1004,$T1422))))</f>
        <v/>
      </c>
      <c r="S1422">
        <f>IF(1418&lt;=$S$2,"S",IF(1418&lt;=$S$2+$T$2,"A",""))</f>
        <v/>
      </c>
      <c r="T1422">
        <f>IF(S1422="S",MATCH(1418,Firms!$W$5:$W$1004,0),IF(S1422="A",IFERROR(MATCH(1418-$S$2,'AFA Rates'!$R$5:$R$1004,0),""),""))</f>
        <v/>
      </c>
      <c r="U1422">
        <f>IF(S1422="S",T1422,IF(AND(S1422="A",T1422&lt;&gt;""),IFERROR(MATCH(INDEX('AFA Rates'!$A$5:$A$1004,T1422),Firms!$A$5:$A$1004,0),""),""))</f>
        <v/>
      </c>
    </row>
    <row r="1423">
      <c r="A1423" s="78">
        <f>IF($T1423="","",IF($S1423="S",IF(INDEX(Firms!$A$5:$A$1004,$T1423)="","",INDEX(Firms!$A$5:$A$1004,$T1423)),IF(INDEX('AFA Rates'!$A$5:$A$1004,$T1423)="","",INDEX('AFA Rates'!$A$5:$A$1004,$T1423))))</f>
        <v/>
      </c>
      <c r="B1423" s="79">
        <f>IF(OR($T1423="",$U1423=""),IF($T1423="","","Not on Firms tab"),INDEX(Firms!$B$5:$B$1004,$U1423)&amp;"")</f>
        <v/>
      </c>
      <c r="C1423" s="78">
        <f>IF($T1423="","",IF($S1423="S","Standard",INDEX('AFA Rates'!$B$5:$B$1004,$T1423)&amp;""))</f>
        <v/>
      </c>
      <c r="D1423" s="88">
        <f>IF($T1423="","",IF($S1423="S",IF(INDEX(Firms!$E$5:$E$1004,$T1423)="","",INDEX(Firms!$E$5:$E$1004,$T1423)),IF(INDEX('AFA Rates'!$C$5:$C$1004,$T1423)="","",INDEX('AFA Rates'!$C$5:$C$1004,$T1423))))</f>
        <v/>
      </c>
      <c r="E1423" s="88">
        <f>IF($T1423="","",IF($S1423="S",IF(""="","",""),IF(INDEX('AFA Rates'!$D$5:$D$1004,$T1423)="","",INDEX('AFA Rates'!$D$5:$D$1004,$T1423))))</f>
        <v/>
      </c>
      <c r="F1423" s="79">
        <f>IF($T1423="","",IF($S1423="S",IF(INDEX(Firms!$O$5:$O$1004,$T1423)="","",INDEX(Firms!$O$5:$O$1004,$T1423)),IF(INDEX('AFA Rates'!$O$5:$O$1004,$T1423)="","",INDEX('AFA Rates'!$O$5:$O$1004,$T1423))))</f>
        <v/>
      </c>
      <c r="G1423" s="50">
        <f>IF($T1423="","",IF($S1423="S",IF(INDEX(Firms!$F$5:$F$1004,$T1423)="","",INDEX(Firms!$F$5:$F$1004,$T1423)),IF(INDEX('AFA Rates'!$E$5:$E$1004,$T1423)="","",INDEX('AFA Rates'!$E$5:$E$1004,$T1423))))</f>
        <v/>
      </c>
      <c r="H1423" s="50">
        <f>IF($T1423="","",IF($S1423="S",IF(INDEX(Firms!$G$5:$G$1004,$T1423)="","",INDEX(Firms!$G$5:$G$1004,$T1423)),IF(INDEX('AFA Rates'!$F$5:$F$1004,$T1423)="","",INDEX('AFA Rates'!$F$5:$F$1004,$T1423))))</f>
        <v/>
      </c>
      <c r="I1423" s="50">
        <f>IF($T1423="","",IF($S1423="S",IF(INDEX(Firms!$H$5:$H$1004,$T1423)="","",INDEX(Firms!$H$5:$H$1004,$T1423)),IF(INDEX('AFA Rates'!$G$5:$G$1004,$T1423)="","",INDEX('AFA Rates'!$G$5:$G$1004,$T1423))))</f>
        <v/>
      </c>
      <c r="J1423" s="50">
        <f>IF($T1423="","",IF($S1423="S",IF(INDEX(Firms!$I$5:$I$1004,$T1423)="","",INDEX(Firms!$I$5:$I$1004,$T1423)),IF(INDEX('AFA Rates'!$H$5:$H$1004,$T1423)="","",INDEX('AFA Rates'!$H$5:$H$1004,$T1423))))</f>
        <v/>
      </c>
      <c r="K1423" s="50">
        <f>IF($T1423="","",IF($S1423="S",IF(INDEX(Firms!$J$5:$J$1004,$T1423)="","",INDEX(Firms!$J$5:$J$1004,$T1423)),IF(INDEX('AFA Rates'!$I$5:$I$1004,$T1423)="","",INDEX('AFA Rates'!$I$5:$I$1004,$T1423))))</f>
        <v/>
      </c>
      <c r="L1423" s="50">
        <f>IF($T1423="","",IF($S1423="S",IF(INDEX(Firms!$K$5:$K$1004,$T1423)="","",INDEX(Firms!$K$5:$K$1004,$T1423)),IF(INDEX('AFA Rates'!$J$5:$J$1004,$T1423)="","",INDEX('AFA Rates'!$J$5:$J$1004,$T1423))))</f>
        <v/>
      </c>
      <c r="M1423" s="50">
        <f>IF($T1423="","",IF($S1423="S",IF(INDEX(Firms!$L$5:$L$1004,$T1423)="","",INDEX(Firms!$L$5:$L$1004,$T1423)),IF(INDEX('AFA Rates'!$K$5:$K$1004,$T1423)="","",INDEX('AFA Rates'!$K$5:$K$1004,$T1423))))</f>
        <v/>
      </c>
      <c r="N1423" s="50">
        <f>IF($T1423="","",IF($S1423="S",IF(INDEX(Firms!$M$5:$M$1004,$T1423)="","",INDEX(Firms!$M$5:$M$1004,$T1423)),IF(INDEX('AFA Rates'!$L$5:$L$1004,$T1423)="","",INDEX('AFA Rates'!$L$5:$L$1004,$T1423))))</f>
        <v/>
      </c>
      <c r="O1423" s="78">
        <f>IF(OR($T1423="",$U1423=""),"",IF(INDEX(Firms!$C$5:$C$1004,$U1423)="","",INDEX(Firms!$C$5:$C$1004,$U1423)))</f>
        <v/>
      </c>
      <c r="P1423" s="79">
        <f>IF(OR($T1423="",$U1423=""),"",IF(INDEX(Firms!$N$5:$N$1004,$U1423)="","",INDEX(Firms!$N$5:$N$1004,$U1423)))</f>
        <v/>
      </c>
      <c r="Q1423" s="78">
        <f>IF($T1423="","",IF($S1423="S",IF(INDEX(Firms!$T$5:$T$1004,$T1423)="","",INDEX(Firms!$T$5:$T$1004,$T1423)),IF(INDEX('AFA Rates'!$M$5:$M$1004,$T1423)="","",INDEX('AFA Rates'!$M$5:$M$1004,$T1423))))</f>
        <v/>
      </c>
      <c r="S1423">
        <f>IF(1419&lt;=$S$2,"S",IF(1419&lt;=$S$2+$T$2,"A",""))</f>
        <v/>
      </c>
      <c r="T1423">
        <f>IF(S1423="S",MATCH(1419,Firms!$W$5:$W$1004,0),IF(S1423="A",IFERROR(MATCH(1419-$S$2,'AFA Rates'!$R$5:$R$1004,0),""),""))</f>
        <v/>
      </c>
      <c r="U1423">
        <f>IF(S1423="S",T1423,IF(AND(S1423="A",T1423&lt;&gt;""),IFERROR(MATCH(INDEX('AFA Rates'!$A$5:$A$1004,T1423),Firms!$A$5:$A$1004,0),""),""))</f>
        <v/>
      </c>
    </row>
    <row r="1424">
      <c r="A1424" s="78">
        <f>IF($T1424="","",IF($S1424="S",IF(INDEX(Firms!$A$5:$A$1004,$T1424)="","",INDEX(Firms!$A$5:$A$1004,$T1424)),IF(INDEX('AFA Rates'!$A$5:$A$1004,$T1424)="","",INDEX('AFA Rates'!$A$5:$A$1004,$T1424))))</f>
        <v/>
      </c>
      <c r="B1424" s="79">
        <f>IF(OR($T1424="",$U1424=""),IF($T1424="","","Not on Firms tab"),INDEX(Firms!$B$5:$B$1004,$U1424)&amp;"")</f>
        <v/>
      </c>
      <c r="C1424" s="78">
        <f>IF($T1424="","",IF($S1424="S","Standard",INDEX('AFA Rates'!$B$5:$B$1004,$T1424)&amp;""))</f>
        <v/>
      </c>
      <c r="D1424" s="88">
        <f>IF($T1424="","",IF($S1424="S",IF(INDEX(Firms!$E$5:$E$1004,$T1424)="","",INDEX(Firms!$E$5:$E$1004,$T1424)),IF(INDEX('AFA Rates'!$C$5:$C$1004,$T1424)="","",INDEX('AFA Rates'!$C$5:$C$1004,$T1424))))</f>
        <v/>
      </c>
      <c r="E1424" s="88">
        <f>IF($T1424="","",IF($S1424="S",IF(""="","",""),IF(INDEX('AFA Rates'!$D$5:$D$1004,$T1424)="","",INDEX('AFA Rates'!$D$5:$D$1004,$T1424))))</f>
        <v/>
      </c>
      <c r="F1424" s="79">
        <f>IF($T1424="","",IF($S1424="S",IF(INDEX(Firms!$O$5:$O$1004,$T1424)="","",INDEX(Firms!$O$5:$O$1004,$T1424)),IF(INDEX('AFA Rates'!$O$5:$O$1004,$T1424)="","",INDEX('AFA Rates'!$O$5:$O$1004,$T1424))))</f>
        <v/>
      </c>
      <c r="G1424" s="50">
        <f>IF($T1424="","",IF($S1424="S",IF(INDEX(Firms!$F$5:$F$1004,$T1424)="","",INDEX(Firms!$F$5:$F$1004,$T1424)),IF(INDEX('AFA Rates'!$E$5:$E$1004,$T1424)="","",INDEX('AFA Rates'!$E$5:$E$1004,$T1424))))</f>
        <v/>
      </c>
      <c r="H1424" s="50">
        <f>IF($T1424="","",IF($S1424="S",IF(INDEX(Firms!$G$5:$G$1004,$T1424)="","",INDEX(Firms!$G$5:$G$1004,$T1424)),IF(INDEX('AFA Rates'!$F$5:$F$1004,$T1424)="","",INDEX('AFA Rates'!$F$5:$F$1004,$T1424))))</f>
        <v/>
      </c>
      <c r="I1424" s="50">
        <f>IF($T1424="","",IF($S1424="S",IF(INDEX(Firms!$H$5:$H$1004,$T1424)="","",INDEX(Firms!$H$5:$H$1004,$T1424)),IF(INDEX('AFA Rates'!$G$5:$G$1004,$T1424)="","",INDEX('AFA Rates'!$G$5:$G$1004,$T1424))))</f>
        <v/>
      </c>
      <c r="J1424" s="50">
        <f>IF($T1424="","",IF($S1424="S",IF(INDEX(Firms!$I$5:$I$1004,$T1424)="","",INDEX(Firms!$I$5:$I$1004,$T1424)),IF(INDEX('AFA Rates'!$H$5:$H$1004,$T1424)="","",INDEX('AFA Rates'!$H$5:$H$1004,$T1424))))</f>
        <v/>
      </c>
      <c r="K1424" s="50">
        <f>IF($T1424="","",IF($S1424="S",IF(INDEX(Firms!$J$5:$J$1004,$T1424)="","",INDEX(Firms!$J$5:$J$1004,$T1424)),IF(INDEX('AFA Rates'!$I$5:$I$1004,$T1424)="","",INDEX('AFA Rates'!$I$5:$I$1004,$T1424))))</f>
        <v/>
      </c>
      <c r="L1424" s="50">
        <f>IF($T1424="","",IF($S1424="S",IF(INDEX(Firms!$K$5:$K$1004,$T1424)="","",INDEX(Firms!$K$5:$K$1004,$T1424)),IF(INDEX('AFA Rates'!$J$5:$J$1004,$T1424)="","",INDEX('AFA Rates'!$J$5:$J$1004,$T1424))))</f>
        <v/>
      </c>
      <c r="M1424" s="50">
        <f>IF($T1424="","",IF($S1424="S",IF(INDEX(Firms!$L$5:$L$1004,$T1424)="","",INDEX(Firms!$L$5:$L$1004,$T1424)),IF(INDEX('AFA Rates'!$K$5:$K$1004,$T1424)="","",INDEX('AFA Rates'!$K$5:$K$1004,$T1424))))</f>
        <v/>
      </c>
      <c r="N1424" s="50">
        <f>IF($T1424="","",IF($S1424="S",IF(INDEX(Firms!$M$5:$M$1004,$T1424)="","",INDEX(Firms!$M$5:$M$1004,$T1424)),IF(INDEX('AFA Rates'!$L$5:$L$1004,$T1424)="","",INDEX('AFA Rates'!$L$5:$L$1004,$T1424))))</f>
        <v/>
      </c>
      <c r="O1424" s="78">
        <f>IF(OR($T1424="",$U1424=""),"",IF(INDEX(Firms!$C$5:$C$1004,$U1424)="","",INDEX(Firms!$C$5:$C$1004,$U1424)))</f>
        <v/>
      </c>
      <c r="P1424" s="79">
        <f>IF(OR($T1424="",$U1424=""),"",IF(INDEX(Firms!$N$5:$N$1004,$U1424)="","",INDEX(Firms!$N$5:$N$1004,$U1424)))</f>
        <v/>
      </c>
      <c r="Q1424" s="78">
        <f>IF($T1424="","",IF($S1424="S",IF(INDEX(Firms!$T$5:$T$1004,$T1424)="","",INDEX(Firms!$T$5:$T$1004,$T1424)),IF(INDEX('AFA Rates'!$M$5:$M$1004,$T1424)="","",INDEX('AFA Rates'!$M$5:$M$1004,$T1424))))</f>
        <v/>
      </c>
      <c r="S1424">
        <f>IF(1420&lt;=$S$2,"S",IF(1420&lt;=$S$2+$T$2,"A",""))</f>
        <v/>
      </c>
      <c r="T1424">
        <f>IF(S1424="S",MATCH(1420,Firms!$W$5:$W$1004,0),IF(S1424="A",IFERROR(MATCH(1420-$S$2,'AFA Rates'!$R$5:$R$1004,0),""),""))</f>
        <v/>
      </c>
      <c r="U1424">
        <f>IF(S1424="S",T1424,IF(AND(S1424="A",T1424&lt;&gt;""),IFERROR(MATCH(INDEX('AFA Rates'!$A$5:$A$1004,T1424),Firms!$A$5:$A$1004,0),""),""))</f>
        <v/>
      </c>
    </row>
    <row r="1425">
      <c r="A1425" s="78">
        <f>IF($T1425="","",IF($S1425="S",IF(INDEX(Firms!$A$5:$A$1004,$T1425)="","",INDEX(Firms!$A$5:$A$1004,$T1425)),IF(INDEX('AFA Rates'!$A$5:$A$1004,$T1425)="","",INDEX('AFA Rates'!$A$5:$A$1004,$T1425))))</f>
        <v/>
      </c>
      <c r="B1425" s="79">
        <f>IF(OR($T1425="",$U1425=""),IF($T1425="","","Not on Firms tab"),INDEX(Firms!$B$5:$B$1004,$U1425)&amp;"")</f>
        <v/>
      </c>
      <c r="C1425" s="78">
        <f>IF($T1425="","",IF($S1425="S","Standard",INDEX('AFA Rates'!$B$5:$B$1004,$T1425)&amp;""))</f>
        <v/>
      </c>
      <c r="D1425" s="88">
        <f>IF($T1425="","",IF($S1425="S",IF(INDEX(Firms!$E$5:$E$1004,$T1425)="","",INDEX(Firms!$E$5:$E$1004,$T1425)),IF(INDEX('AFA Rates'!$C$5:$C$1004,$T1425)="","",INDEX('AFA Rates'!$C$5:$C$1004,$T1425))))</f>
        <v/>
      </c>
      <c r="E1425" s="88">
        <f>IF($T1425="","",IF($S1425="S",IF(""="","",""),IF(INDEX('AFA Rates'!$D$5:$D$1004,$T1425)="","",INDEX('AFA Rates'!$D$5:$D$1004,$T1425))))</f>
        <v/>
      </c>
      <c r="F1425" s="79">
        <f>IF($T1425="","",IF($S1425="S",IF(INDEX(Firms!$O$5:$O$1004,$T1425)="","",INDEX(Firms!$O$5:$O$1004,$T1425)),IF(INDEX('AFA Rates'!$O$5:$O$1004,$T1425)="","",INDEX('AFA Rates'!$O$5:$O$1004,$T1425))))</f>
        <v/>
      </c>
      <c r="G1425" s="50">
        <f>IF($T1425="","",IF($S1425="S",IF(INDEX(Firms!$F$5:$F$1004,$T1425)="","",INDEX(Firms!$F$5:$F$1004,$T1425)),IF(INDEX('AFA Rates'!$E$5:$E$1004,$T1425)="","",INDEX('AFA Rates'!$E$5:$E$1004,$T1425))))</f>
        <v/>
      </c>
      <c r="H1425" s="50">
        <f>IF($T1425="","",IF($S1425="S",IF(INDEX(Firms!$G$5:$G$1004,$T1425)="","",INDEX(Firms!$G$5:$G$1004,$T1425)),IF(INDEX('AFA Rates'!$F$5:$F$1004,$T1425)="","",INDEX('AFA Rates'!$F$5:$F$1004,$T1425))))</f>
        <v/>
      </c>
      <c r="I1425" s="50">
        <f>IF($T1425="","",IF($S1425="S",IF(INDEX(Firms!$H$5:$H$1004,$T1425)="","",INDEX(Firms!$H$5:$H$1004,$T1425)),IF(INDEX('AFA Rates'!$G$5:$G$1004,$T1425)="","",INDEX('AFA Rates'!$G$5:$G$1004,$T1425))))</f>
        <v/>
      </c>
      <c r="J1425" s="50">
        <f>IF($T1425="","",IF($S1425="S",IF(INDEX(Firms!$I$5:$I$1004,$T1425)="","",INDEX(Firms!$I$5:$I$1004,$T1425)),IF(INDEX('AFA Rates'!$H$5:$H$1004,$T1425)="","",INDEX('AFA Rates'!$H$5:$H$1004,$T1425))))</f>
        <v/>
      </c>
      <c r="K1425" s="50">
        <f>IF($T1425="","",IF($S1425="S",IF(INDEX(Firms!$J$5:$J$1004,$T1425)="","",INDEX(Firms!$J$5:$J$1004,$T1425)),IF(INDEX('AFA Rates'!$I$5:$I$1004,$T1425)="","",INDEX('AFA Rates'!$I$5:$I$1004,$T1425))))</f>
        <v/>
      </c>
      <c r="L1425" s="50">
        <f>IF($T1425="","",IF($S1425="S",IF(INDEX(Firms!$K$5:$K$1004,$T1425)="","",INDEX(Firms!$K$5:$K$1004,$T1425)),IF(INDEX('AFA Rates'!$J$5:$J$1004,$T1425)="","",INDEX('AFA Rates'!$J$5:$J$1004,$T1425))))</f>
        <v/>
      </c>
      <c r="M1425" s="50">
        <f>IF($T1425="","",IF($S1425="S",IF(INDEX(Firms!$L$5:$L$1004,$T1425)="","",INDEX(Firms!$L$5:$L$1004,$T1425)),IF(INDEX('AFA Rates'!$K$5:$K$1004,$T1425)="","",INDEX('AFA Rates'!$K$5:$K$1004,$T1425))))</f>
        <v/>
      </c>
      <c r="N1425" s="50">
        <f>IF($T1425="","",IF($S1425="S",IF(INDEX(Firms!$M$5:$M$1004,$T1425)="","",INDEX(Firms!$M$5:$M$1004,$T1425)),IF(INDEX('AFA Rates'!$L$5:$L$1004,$T1425)="","",INDEX('AFA Rates'!$L$5:$L$1004,$T1425))))</f>
        <v/>
      </c>
      <c r="O1425" s="78">
        <f>IF(OR($T1425="",$U1425=""),"",IF(INDEX(Firms!$C$5:$C$1004,$U1425)="","",INDEX(Firms!$C$5:$C$1004,$U1425)))</f>
        <v/>
      </c>
      <c r="P1425" s="79">
        <f>IF(OR($T1425="",$U1425=""),"",IF(INDEX(Firms!$N$5:$N$1004,$U1425)="","",INDEX(Firms!$N$5:$N$1004,$U1425)))</f>
        <v/>
      </c>
      <c r="Q1425" s="78">
        <f>IF($T1425="","",IF($S1425="S",IF(INDEX(Firms!$T$5:$T$1004,$T1425)="","",INDEX(Firms!$T$5:$T$1004,$T1425)),IF(INDEX('AFA Rates'!$M$5:$M$1004,$T1425)="","",INDEX('AFA Rates'!$M$5:$M$1004,$T1425))))</f>
        <v/>
      </c>
      <c r="S1425">
        <f>IF(1421&lt;=$S$2,"S",IF(1421&lt;=$S$2+$T$2,"A",""))</f>
        <v/>
      </c>
      <c r="T1425">
        <f>IF(S1425="S",MATCH(1421,Firms!$W$5:$W$1004,0),IF(S1425="A",IFERROR(MATCH(1421-$S$2,'AFA Rates'!$R$5:$R$1004,0),""),""))</f>
        <v/>
      </c>
      <c r="U1425">
        <f>IF(S1425="S",T1425,IF(AND(S1425="A",T1425&lt;&gt;""),IFERROR(MATCH(INDEX('AFA Rates'!$A$5:$A$1004,T1425),Firms!$A$5:$A$1004,0),""),""))</f>
        <v/>
      </c>
    </row>
    <row r="1426">
      <c r="A1426" s="78">
        <f>IF($T1426="","",IF($S1426="S",IF(INDEX(Firms!$A$5:$A$1004,$T1426)="","",INDEX(Firms!$A$5:$A$1004,$T1426)),IF(INDEX('AFA Rates'!$A$5:$A$1004,$T1426)="","",INDEX('AFA Rates'!$A$5:$A$1004,$T1426))))</f>
        <v/>
      </c>
      <c r="B1426" s="79">
        <f>IF(OR($T1426="",$U1426=""),IF($T1426="","","Not on Firms tab"),INDEX(Firms!$B$5:$B$1004,$U1426)&amp;"")</f>
        <v/>
      </c>
      <c r="C1426" s="78">
        <f>IF($T1426="","",IF($S1426="S","Standard",INDEX('AFA Rates'!$B$5:$B$1004,$T1426)&amp;""))</f>
        <v/>
      </c>
      <c r="D1426" s="88">
        <f>IF($T1426="","",IF($S1426="S",IF(INDEX(Firms!$E$5:$E$1004,$T1426)="","",INDEX(Firms!$E$5:$E$1004,$T1426)),IF(INDEX('AFA Rates'!$C$5:$C$1004,$T1426)="","",INDEX('AFA Rates'!$C$5:$C$1004,$T1426))))</f>
        <v/>
      </c>
      <c r="E1426" s="88">
        <f>IF($T1426="","",IF($S1426="S",IF(""="","",""),IF(INDEX('AFA Rates'!$D$5:$D$1004,$T1426)="","",INDEX('AFA Rates'!$D$5:$D$1004,$T1426))))</f>
        <v/>
      </c>
      <c r="F1426" s="79">
        <f>IF($T1426="","",IF($S1426="S",IF(INDEX(Firms!$O$5:$O$1004,$T1426)="","",INDEX(Firms!$O$5:$O$1004,$T1426)),IF(INDEX('AFA Rates'!$O$5:$O$1004,$T1426)="","",INDEX('AFA Rates'!$O$5:$O$1004,$T1426))))</f>
        <v/>
      </c>
      <c r="G1426" s="50">
        <f>IF($T1426="","",IF($S1426="S",IF(INDEX(Firms!$F$5:$F$1004,$T1426)="","",INDEX(Firms!$F$5:$F$1004,$T1426)),IF(INDEX('AFA Rates'!$E$5:$E$1004,$T1426)="","",INDEX('AFA Rates'!$E$5:$E$1004,$T1426))))</f>
        <v/>
      </c>
      <c r="H1426" s="50">
        <f>IF($T1426="","",IF($S1426="S",IF(INDEX(Firms!$G$5:$G$1004,$T1426)="","",INDEX(Firms!$G$5:$G$1004,$T1426)),IF(INDEX('AFA Rates'!$F$5:$F$1004,$T1426)="","",INDEX('AFA Rates'!$F$5:$F$1004,$T1426))))</f>
        <v/>
      </c>
      <c r="I1426" s="50">
        <f>IF($T1426="","",IF($S1426="S",IF(INDEX(Firms!$H$5:$H$1004,$T1426)="","",INDEX(Firms!$H$5:$H$1004,$T1426)),IF(INDEX('AFA Rates'!$G$5:$G$1004,$T1426)="","",INDEX('AFA Rates'!$G$5:$G$1004,$T1426))))</f>
        <v/>
      </c>
      <c r="J1426" s="50">
        <f>IF($T1426="","",IF($S1426="S",IF(INDEX(Firms!$I$5:$I$1004,$T1426)="","",INDEX(Firms!$I$5:$I$1004,$T1426)),IF(INDEX('AFA Rates'!$H$5:$H$1004,$T1426)="","",INDEX('AFA Rates'!$H$5:$H$1004,$T1426))))</f>
        <v/>
      </c>
      <c r="K1426" s="50">
        <f>IF($T1426="","",IF($S1426="S",IF(INDEX(Firms!$J$5:$J$1004,$T1426)="","",INDEX(Firms!$J$5:$J$1004,$T1426)),IF(INDEX('AFA Rates'!$I$5:$I$1004,$T1426)="","",INDEX('AFA Rates'!$I$5:$I$1004,$T1426))))</f>
        <v/>
      </c>
      <c r="L1426" s="50">
        <f>IF($T1426="","",IF($S1426="S",IF(INDEX(Firms!$K$5:$K$1004,$T1426)="","",INDEX(Firms!$K$5:$K$1004,$T1426)),IF(INDEX('AFA Rates'!$J$5:$J$1004,$T1426)="","",INDEX('AFA Rates'!$J$5:$J$1004,$T1426))))</f>
        <v/>
      </c>
      <c r="M1426" s="50">
        <f>IF($T1426="","",IF($S1426="S",IF(INDEX(Firms!$L$5:$L$1004,$T1426)="","",INDEX(Firms!$L$5:$L$1004,$T1426)),IF(INDEX('AFA Rates'!$K$5:$K$1004,$T1426)="","",INDEX('AFA Rates'!$K$5:$K$1004,$T1426))))</f>
        <v/>
      </c>
      <c r="N1426" s="50">
        <f>IF($T1426="","",IF($S1426="S",IF(INDEX(Firms!$M$5:$M$1004,$T1426)="","",INDEX(Firms!$M$5:$M$1004,$T1426)),IF(INDEX('AFA Rates'!$L$5:$L$1004,$T1426)="","",INDEX('AFA Rates'!$L$5:$L$1004,$T1426))))</f>
        <v/>
      </c>
      <c r="O1426" s="78">
        <f>IF(OR($T1426="",$U1426=""),"",IF(INDEX(Firms!$C$5:$C$1004,$U1426)="","",INDEX(Firms!$C$5:$C$1004,$U1426)))</f>
        <v/>
      </c>
      <c r="P1426" s="79">
        <f>IF(OR($T1426="",$U1426=""),"",IF(INDEX(Firms!$N$5:$N$1004,$U1426)="","",INDEX(Firms!$N$5:$N$1004,$U1426)))</f>
        <v/>
      </c>
      <c r="Q1426" s="78">
        <f>IF($T1426="","",IF($S1426="S",IF(INDEX(Firms!$T$5:$T$1004,$T1426)="","",INDEX(Firms!$T$5:$T$1004,$T1426)),IF(INDEX('AFA Rates'!$M$5:$M$1004,$T1426)="","",INDEX('AFA Rates'!$M$5:$M$1004,$T1426))))</f>
        <v/>
      </c>
      <c r="S1426">
        <f>IF(1422&lt;=$S$2,"S",IF(1422&lt;=$S$2+$T$2,"A",""))</f>
        <v/>
      </c>
      <c r="T1426">
        <f>IF(S1426="S",MATCH(1422,Firms!$W$5:$W$1004,0),IF(S1426="A",IFERROR(MATCH(1422-$S$2,'AFA Rates'!$R$5:$R$1004,0),""),""))</f>
        <v/>
      </c>
      <c r="U1426">
        <f>IF(S1426="S",T1426,IF(AND(S1426="A",T1426&lt;&gt;""),IFERROR(MATCH(INDEX('AFA Rates'!$A$5:$A$1004,T1426),Firms!$A$5:$A$1004,0),""),""))</f>
        <v/>
      </c>
    </row>
    <row r="1427">
      <c r="A1427" s="78">
        <f>IF($T1427="","",IF($S1427="S",IF(INDEX(Firms!$A$5:$A$1004,$T1427)="","",INDEX(Firms!$A$5:$A$1004,$T1427)),IF(INDEX('AFA Rates'!$A$5:$A$1004,$T1427)="","",INDEX('AFA Rates'!$A$5:$A$1004,$T1427))))</f>
        <v/>
      </c>
      <c r="B1427" s="79">
        <f>IF(OR($T1427="",$U1427=""),IF($T1427="","","Not on Firms tab"),INDEX(Firms!$B$5:$B$1004,$U1427)&amp;"")</f>
        <v/>
      </c>
      <c r="C1427" s="78">
        <f>IF($T1427="","",IF($S1427="S","Standard",INDEX('AFA Rates'!$B$5:$B$1004,$T1427)&amp;""))</f>
        <v/>
      </c>
      <c r="D1427" s="88">
        <f>IF($T1427="","",IF($S1427="S",IF(INDEX(Firms!$E$5:$E$1004,$T1427)="","",INDEX(Firms!$E$5:$E$1004,$T1427)),IF(INDEX('AFA Rates'!$C$5:$C$1004,$T1427)="","",INDEX('AFA Rates'!$C$5:$C$1004,$T1427))))</f>
        <v/>
      </c>
      <c r="E1427" s="88">
        <f>IF($T1427="","",IF($S1427="S",IF(""="","",""),IF(INDEX('AFA Rates'!$D$5:$D$1004,$T1427)="","",INDEX('AFA Rates'!$D$5:$D$1004,$T1427))))</f>
        <v/>
      </c>
      <c r="F1427" s="79">
        <f>IF($T1427="","",IF($S1427="S",IF(INDEX(Firms!$O$5:$O$1004,$T1427)="","",INDEX(Firms!$O$5:$O$1004,$T1427)),IF(INDEX('AFA Rates'!$O$5:$O$1004,$T1427)="","",INDEX('AFA Rates'!$O$5:$O$1004,$T1427))))</f>
        <v/>
      </c>
      <c r="G1427" s="50">
        <f>IF($T1427="","",IF($S1427="S",IF(INDEX(Firms!$F$5:$F$1004,$T1427)="","",INDEX(Firms!$F$5:$F$1004,$T1427)),IF(INDEX('AFA Rates'!$E$5:$E$1004,$T1427)="","",INDEX('AFA Rates'!$E$5:$E$1004,$T1427))))</f>
        <v/>
      </c>
      <c r="H1427" s="50">
        <f>IF($T1427="","",IF($S1427="S",IF(INDEX(Firms!$G$5:$G$1004,$T1427)="","",INDEX(Firms!$G$5:$G$1004,$T1427)),IF(INDEX('AFA Rates'!$F$5:$F$1004,$T1427)="","",INDEX('AFA Rates'!$F$5:$F$1004,$T1427))))</f>
        <v/>
      </c>
      <c r="I1427" s="50">
        <f>IF($T1427="","",IF($S1427="S",IF(INDEX(Firms!$H$5:$H$1004,$T1427)="","",INDEX(Firms!$H$5:$H$1004,$T1427)),IF(INDEX('AFA Rates'!$G$5:$G$1004,$T1427)="","",INDEX('AFA Rates'!$G$5:$G$1004,$T1427))))</f>
        <v/>
      </c>
      <c r="J1427" s="50">
        <f>IF($T1427="","",IF($S1427="S",IF(INDEX(Firms!$I$5:$I$1004,$T1427)="","",INDEX(Firms!$I$5:$I$1004,$T1427)),IF(INDEX('AFA Rates'!$H$5:$H$1004,$T1427)="","",INDEX('AFA Rates'!$H$5:$H$1004,$T1427))))</f>
        <v/>
      </c>
      <c r="K1427" s="50">
        <f>IF($T1427="","",IF($S1427="S",IF(INDEX(Firms!$J$5:$J$1004,$T1427)="","",INDEX(Firms!$J$5:$J$1004,$T1427)),IF(INDEX('AFA Rates'!$I$5:$I$1004,$T1427)="","",INDEX('AFA Rates'!$I$5:$I$1004,$T1427))))</f>
        <v/>
      </c>
      <c r="L1427" s="50">
        <f>IF($T1427="","",IF($S1427="S",IF(INDEX(Firms!$K$5:$K$1004,$T1427)="","",INDEX(Firms!$K$5:$K$1004,$T1427)),IF(INDEX('AFA Rates'!$J$5:$J$1004,$T1427)="","",INDEX('AFA Rates'!$J$5:$J$1004,$T1427))))</f>
        <v/>
      </c>
      <c r="M1427" s="50">
        <f>IF($T1427="","",IF($S1427="S",IF(INDEX(Firms!$L$5:$L$1004,$T1427)="","",INDEX(Firms!$L$5:$L$1004,$T1427)),IF(INDEX('AFA Rates'!$K$5:$K$1004,$T1427)="","",INDEX('AFA Rates'!$K$5:$K$1004,$T1427))))</f>
        <v/>
      </c>
      <c r="N1427" s="50">
        <f>IF($T1427="","",IF($S1427="S",IF(INDEX(Firms!$M$5:$M$1004,$T1427)="","",INDEX(Firms!$M$5:$M$1004,$T1427)),IF(INDEX('AFA Rates'!$L$5:$L$1004,$T1427)="","",INDEX('AFA Rates'!$L$5:$L$1004,$T1427))))</f>
        <v/>
      </c>
      <c r="O1427" s="78">
        <f>IF(OR($T1427="",$U1427=""),"",IF(INDEX(Firms!$C$5:$C$1004,$U1427)="","",INDEX(Firms!$C$5:$C$1004,$U1427)))</f>
        <v/>
      </c>
      <c r="P1427" s="79">
        <f>IF(OR($T1427="",$U1427=""),"",IF(INDEX(Firms!$N$5:$N$1004,$U1427)="","",INDEX(Firms!$N$5:$N$1004,$U1427)))</f>
        <v/>
      </c>
      <c r="Q1427" s="78">
        <f>IF($T1427="","",IF($S1427="S",IF(INDEX(Firms!$T$5:$T$1004,$T1427)="","",INDEX(Firms!$T$5:$T$1004,$T1427)),IF(INDEX('AFA Rates'!$M$5:$M$1004,$T1427)="","",INDEX('AFA Rates'!$M$5:$M$1004,$T1427))))</f>
        <v/>
      </c>
      <c r="S1427">
        <f>IF(1423&lt;=$S$2,"S",IF(1423&lt;=$S$2+$T$2,"A",""))</f>
        <v/>
      </c>
      <c r="T1427">
        <f>IF(S1427="S",MATCH(1423,Firms!$W$5:$W$1004,0),IF(S1427="A",IFERROR(MATCH(1423-$S$2,'AFA Rates'!$R$5:$R$1004,0),""),""))</f>
        <v/>
      </c>
      <c r="U1427">
        <f>IF(S1427="S",T1427,IF(AND(S1427="A",T1427&lt;&gt;""),IFERROR(MATCH(INDEX('AFA Rates'!$A$5:$A$1004,T1427),Firms!$A$5:$A$1004,0),""),""))</f>
        <v/>
      </c>
    </row>
    <row r="1428">
      <c r="A1428" s="78">
        <f>IF($T1428="","",IF($S1428="S",IF(INDEX(Firms!$A$5:$A$1004,$T1428)="","",INDEX(Firms!$A$5:$A$1004,$T1428)),IF(INDEX('AFA Rates'!$A$5:$A$1004,$T1428)="","",INDEX('AFA Rates'!$A$5:$A$1004,$T1428))))</f>
        <v/>
      </c>
      <c r="B1428" s="79">
        <f>IF(OR($T1428="",$U1428=""),IF($T1428="","","Not on Firms tab"),INDEX(Firms!$B$5:$B$1004,$U1428)&amp;"")</f>
        <v/>
      </c>
      <c r="C1428" s="78">
        <f>IF($T1428="","",IF($S1428="S","Standard",INDEX('AFA Rates'!$B$5:$B$1004,$T1428)&amp;""))</f>
        <v/>
      </c>
      <c r="D1428" s="88">
        <f>IF($T1428="","",IF($S1428="S",IF(INDEX(Firms!$E$5:$E$1004,$T1428)="","",INDEX(Firms!$E$5:$E$1004,$T1428)),IF(INDEX('AFA Rates'!$C$5:$C$1004,$T1428)="","",INDEX('AFA Rates'!$C$5:$C$1004,$T1428))))</f>
        <v/>
      </c>
      <c r="E1428" s="88">
        <f>IF($T1428="","",IF($S1428="S",IF(""="","",""),IF(INDEX('AFA Rates'!$D$5:$D$1004,$T1428)="","",INDEX('AFA Rates'!$D$5:$D$1004,$T1428))))</f>
        <v/>
      </c>
      <c r="F1428" s="79">
        <f>IF($T1428="","",IF($S1428="S",IF(INDEX(Firms!$O$5:$O$1004,$T1428)="","",INDEX(Firms!$O$5:$O$1004,$T1428)),IF(INDEX('AFA Rates'!$O$5:$O$1004,$T1428)="","",INDEX('AFA Rates'!$O$5:$O$1004,$T1428))))</f>
        <v/>
      </c>
      <c r="G1428" s="50">
        <f>IF($T1428="","",IF($S1428="S",IF(INDEX(Firms!$F$5:$F$1004,$T1428)="","",INDEX(Firms!$F$5:$F$1004,$T1428)),IF(INDEX('AFA Rates'!$E$5:$E$1004,$T1428)="","",INDEX('AFA Rates'!$E$5:$E$1004,$T1428))))</f>
        <v/>
      </c>
      <c r="H1428" s="50">
        <f>IF($T1428="","",IF($S1428="S",IF(INDEX(Firms!$G$5:$G$1004,$T1428)="","",INDEX(Firms!$G$5:$G$1004,$T1428)),IF(INDEX('AFA Rates'!$F$5:$F$1004,$T1428)="","",INDEX('AFA Rates'!$F$5:$F$1004,$T1428))))</f>
        <v/>
      </c>
      <c r="I1428" s="50">
        <f>IF($T1428="","",IF($S1428="S",IF(INDEX(Firms!$H$5:$H$1004,$T1428)="","",INDEX(Firms!$H$5:$H$1004,$T1428)),IF(INDEX('AFA Rates'!$G$5:$G$1004,$T1428)="","",INDEX('AFA Rates'!$G$5:$G$1004,$T1428))))</f>
        <v/>
      </c>
      <c r="J1428" s="50">
        <f>IF($T1428="","",IF($S1428="S",IF(INDEX(Firms!$I$5:$I$1004,$T1428)="","",INDEX(Firms!$I$5:$I$1004,$T1428)),IF(INDEX('AFA Rates'!$H$5:$H$1004,$T1428)="","",INDEX('AFA Rates'!$H$5:$H$1004,$T1428))))</f>
        <v/>
      </c>
      <c r="K1428" s="50">
        <f>IF($T1428="","",IF($S1428="S",IF(INDEX(Firms!$J$5:$J$1004,$T1428)="","",INDEX(Firms!$J$5:$J$1004,$T1428)),IF(INDEX('AFA Rates'!$I$5:$I$1004,$T1428)="","",INDEX('AFA Rates'!$I$5:$I$1004,$T1428))))</f>
        <v/>
      </c>
      <c r="L1428" s="50">
        <f>IF($T1428="","",IF($S1428="S",IF(INDEX(Firms!$K$5:$K$1004,$T1428)="","",INDEX(Firms!$K$5:$K$1004,$T1428)),IF(INDEX('AFA Rates'!$J$5:$J$1004,$T1428)="","",INDEX('AFA Rates'!$J$5:$J$1004,$T1428))))</f>
        <v/>
      </c>
      <c r="M1428" s="50">
        <f>IF($T1428="","",IF($S1428="S",IF(INDEX(Firms!$L$5:$L$1004,$T1428)="","",INDEX(Firms!$L$5:$L$1004,$T1428)),IF(INDEX('AFA Rates'!$K$5:$K$1004,$T1428)="","",INDEX('AFA Rates'!$K$5:$K$1004,$T1428))))</f>
        <v/>
      </c>
      <c r="N1428" s="50">
        <f>IF($T1428="","",IF($S1428="S",IF(INDEX(Firms!$M$5:$M$1004,$T1428)="","",INDEX(Firms!$M$5:$M$1004,$T1428)),IF(INDEX('AFA Rates'!$L$5:$L$1004,$T1428)="","",INDEX('AFA Rates'!$L$5:$L$1004,$T1428))))</f>
        <v/>
      </c>
      <c r="O1428" s="78">
        <f>IF(OR($T1428="",$U1428=""),"",IF(INDEX(Firms!$C$5:$C$1004,$U1428)="","",INDEX(Firms!$C$5:$C$1004,$U1428)))</f>
        <v/>
      </c>
      <c r="P1428" s="79">
        <f>IF(OR($T1428="",$U1428=""),"",IF(INDEX(Firms!$N$5:$N$1004,$U1428)="","",INDEX(Firms!$N$5:$N$1004,$U1428)))</f>
        <v/>
      </c>
      <c r="Q1428" s="78">
        <f>IF($T1428="","",IF($S1428="S",IF(INDEX(Firms!$T$5:$T$1004,$T1428)="","",INDEX(Firms!$T$5:$T$1004,$T1428)),IF(INDEX('AFA Rates'!$M$5:$M$1004,$T1428)="","",INDEX('AFA Rates'!$M$5:$M$1004,$T1428))))</f>
        <v/>
      </c>
      <c r="S1428">
        <f>IF(1424&lt;=$S$2,"S",IF(1424&lt;=$S$2+$T$2,"A",""))</f>
        <v/>
      </c>
      <c r="T1428">
        <f>IF(S1428="S",MATCH(1424,Firms!$W$5:$W$1004,0),IF(S1428="A",IFERROR(MATCH(1424-$S$2,'AFA Rates'!$R$5:$R$1004,0),""),""))</f>
        <v/>
      </c>
      <c r="U1428">
        <f>IF(S1428="S",T1428,IF(AND(S1428="A",T1428&lt;&gt;""),IFERROR(MATCH(INDEX('AFA Rates'!$A$5:$A$1004,T1428),Firms!$A$5:$A$1004,0),""),""))</f>
        <v/>
      </c>
    </row>
    <row r="1429">
      <c r="A1429" s="78">
        <f>IF($T1429="","",IF($S1429="S",IF(INDEX(Firms!$A$5:$A$1004,$T1429)="","",INDEX(Firms!$A$5:$A$1004,$T1429)),IF(INDEX('AFA Rates'!$A$5:$A$1004,$T1429)="","",INDEX('AFA Rates'!$A$5:$A$1004,$T1429))))</f>
        <v/>
      </c>
      <c r="B1429" s="79">
        <f>IF(OR($T1429="",$U1429=""),IF($T1429="","","Not on Firms tab"),INDEX(Firms!$B$5:$B$1004,$U1429)&amp;"")</f>
        <v/>
      </c>
      <c r="C1429" s="78">
        <f>IF($T1429="","",IF($S1429="S","Standard",INDEX('AFA Rates'!$B$5:$B$1004,$T1429)&amp;""))</f>
        <v/>
      </c>
      <c r="D1429" s="88">
        <f>IF($T1429="","",IF($S1429="S",IF(INDEX(Firms!$E$5:$E$1004,$T1429)="","",INDEX(Firms!$E$5:$E$1004,$T1429)),IF(INDEX('AFA Rates'!$C$5:$C$1004,$T1429)="","",INDEX('AFA Rates'!$C$5:$C$1004,$T1429))))</f>
        <v/>
      </c>
      <c r="E1429" s="88">
        <f>IF($T1429="","",IF($S1429="S",IF(""="","",""),IF(INDEX('AFA Rates'!$D$5:$D$1004,$T1429)="","",INDEX('AFA Rates'!$D$5:$D$1004,$T1429))))</f>
        <v/>
      </c>
      <c r="F1429" s="79">
        <f>IF($T1429="","",IF($S1429="S",IF(INDEX(Firms!$O$5:$O$1004,$T1429)="","",INDEX(Firms!$O$5:$O$1004,$T1429)),IF(INDEX('AFA Rates'!$O$5:$O$1004,$T1429)="","",INDEX('AFA Rates'!$O$5:$O$1004,$T1429))))</f>
        <v/>
      </c>
      <c r="G1429" s="50">
        <f>IF($T1429="","",IF($S1429="S",IF(INDEX(Firms!$F$5:$F$1004,$T1429)="","",INDEX(Firms!$F$5:$F$1004,$T1429)),IF(INDEX('AFA Rates'!$E$5:$E$1004,$T1429)="","",INDEX('AFA Rates'!$E$5:$E$1004,$T1429))))</f>
        <v/>
      </c>
      <c r="H1429" s="50">
        <f>IF($T1429="","",IF($S1429="S",IF(INDEX(Firms!$G$5:$G$1004,$T1429)="","",INDEX(Firms!$G$5:$G$1004,$T1429)),IF(INDEX('AFA Rates'!$F$5:$F$1004,$T1429)="","",INDEX('AFA Rates'!$F$5:$F$1004,$T1429))))</f>
        <v/>
      </c>
      <c r="I1429" s="50">
        <f>IF($T1429="","",IF($S1429="S",IF(INDEX(Firms!$H$5:$H$1004,$T1429)="","",INDEX(Firms!$H$5:$H$1004,$T1429)),IF(INDEX('AFA Rates'!$G$5:$G$1004,$T1429)="","",INDEX('AFA Rates'!$G$5:$G$1004,$T1429))))</f>
        <v/>
      </c>
      <c r="J1429" s="50">
        <f>IF($T1429="","",IF($S1429="S",IF(INDEX(Firms!$I$5:$I$1004,$T1429)="","",INDEX(Firms!$I$5:$I$1004,$T1429)),IF(INDEX('AFA Rates'!$H$5:$H$1004,$T1429)="","",INDEX('AFA Rates'!$H$5:$H$1004,$T1429))))</f>
        <v/>
      </c>
      <c r="K1429" s="50">
        <f>IF($T1429="","",IF($S1429="S",IF(INDEX(Firms!$J$5:$J$1004,$T1429)="","",INDEX(Firms!$J$5:$J$1004,$T1429)),IF(INDEX('AFA Rates'!$I$5:$I$1004,$T1429)="","",INDEX('AFA Rates'!$I$5:$I$1004,$T1429))))</f>
        <v/>
      </c>
      <c r="L1429" s="50">
        <f>IF($T1429="","",IF($S1429="S",IF(INDEX(Firms!$K$5:$K$1004,$T1429)="","",INDEX(Firms!$K$5:$K$1004,$T1429)),IF(INDEX('AFA Rates'!$J$5:$J$1004,$T1429)="","",INDEX('AFA Rates'!$J$5:$J$1004,$T1429))))</f>
        <v/>
      </c>
      <c r="M1429" s="50">
        <f>IF($T1429="","",IF($S1429="S",IF(INDEX(Firms!$L$5:$L$1004,$T1429)="","",INDEX(Firms!$L$5:$L$1004,$T1429)),IF(INDEX('AFA Rates'!$K$5:$K$1004,$T1429)="","",INDEX('AFA Rates'!$K$5:$K$1004,$T1429))))</f>
        <v/>
      </c>
      <c r="N1429" s="50">
        <f>IF($T1429="","",IF($S1429="S",IF(INDEX(Firms!$M$5:$M$1004,$T1429)="","",INDEX(Firms!$M$5:$M$1004,$T1429)),IF(INDEX('AFA Rates'!$L$5:$L$1004,$T1429)="","",INDEX('AFA Rates'!$L$5:$L$1004,$T1429))))</f>
        <v/>
      </c>
      <c r="O1429" s="78">
        <f>IF(OR($T1429="",$U1429=""),"",IF(INDEX(Firms!$C$5:$C$1004,$U1429)="","",INDEX(Firms!$C$5:$C$1004,$U1429)))</f>
        <v/>
      </c>
      <c r="P1429" s="79">
        <f>IF(OR($T1429="",$U1429=""),"",IF(INDEX(Firms!$N$5:$N$1004,$U1429)="","",INDEX(Firms!$N$5:$N$1004,$U1429)))</f>
        <v/>
      </c>
      <c r="Q1429" s="78">
        <f>IF($T1429="","",IF($S1429="S",IF(INDEX(Firms!$T$5:$T$1004,$T1429)="","",INDEX(Firms!$T$5:$T$1004,$T1429)),IF(INDEX('AFA Rates'!$M$5:$M$1004,$T1429)="","",INDEX('AFA Rates'!$M$5:$M$1004,$T1429))))</f>
        <v/>
      </c>
      <c r="S1429">
        <f>IF(1425&lt;=$S$2,"S",IF(1425&lt;=$S$2+$T$2,"A",""))</f>
        <v/>
      </c>
      <c r="T1429">
        <f>IF(S1429="S",MATCH(1425,Firms!$W$5:$W$1004,0),IF(S1429="A",IFERROR(MATCH(1425-$S$2,'AFA Rates'!$R$5:$R$1004,0),""),""))</f>
        <v/>
      </c>
      <c r="U1429">
        <f>IF(S1429="S",T1429,IF(AND(S1429="A",T1429&lt;&gt;""),IFERROR(MATCH(INDEX('AFA Rates'!$A$5:$A$1004,T1429),Firms!$A$5:$A$1004,0),""),""))</f>
        <v/>
      </c>
    </row>
    <row r="1430">
      <c r="A1430" s="78">
        <f>IF($T1430="","",IF($S1430="S",IF(INDEX(Firms!$A$5:$A$1004,$T1430)="","",INDEX(Firms!$A$5:$A$1004,$T1430)),IF(INDEX('AFA Rates'!$A$5:$A$1004,$T1430)="","",INDEX('AFA Rates'!$A$5:$A$1004,$T1430))))</f>
        <v/>
      </c>
      <c r="B1430" s="79">
        <f>IF(OR($T1430="",$U1430=""),IF($T1430="","","Not on Firms tab"),INDEX(Firms!$B$5:$B$1004,$U1430)&amp;"")</f>
        <v/>
      </c>
      <c r="C1430" s="78">
        <f>IF($T1430="","",IF($S1430="S","Standard",INDEX('AFA Rates'!$B$5:$B$1004,$T1430)&amp;""))</f>
        <v/>
      </c>
      <c r="D1430" s="88">
        <f>IF($T1430="","",IF($S1430="S",IF(INDEX(Firms!$E$5:$E$1004,$T1430)="","",INDEX(Firms!$E$5:$E$1004,$T1430)),IF(INDEX('AFA Rates'!$C$5:$C$1004,$T1430)="","",INDEX('AFA Rates'!$C$5:$C$1004,$T1430))))</f>
        <v/>
      </c>
      <c r="E1430" s="88">
        <f>IF($T1430="","",IF($S1430="S",IF(""="","",""),IF(INDEX('AFA Rates'!$D$5:$D$1004,$T1430)="","",INDEX('AFA Rates'!$D$5:$D$1004,$T1430))))</f>
        <v/>
      </c>
      <c r="F1430" s="79">
        <f>IF($T1430="","",IF($S1430="S",IF(INDEX(Firms!$O$5:$O$1004,$T1430)="","",INDEX(Firms!$O$5:$O$1004,$T1430)),IF(INDEX('AFA Rates'!$O$5:$O$1004,$T1430)="","",INDEX('AFA Rates'!$O$5:$O$1004,$T1430))))</f>
        <v/>
      </c>
      <c r="G1430" s="50">
        <f>IF($T1430="","",IF($S1430="S",IF(INDEX(Firms!$F$5:$F$1004,$T1430)="","",INDEX(Firms!$F$5:$F$1004,$T1430)),IF(INDEX('AFA Rates'!$E$5:$E$1004,$T1430)="","",INDEX('AFA Rates'!$E$5:$E$1004,$T1430))))</f>
        <v/>
      </c>
      <c r="H1430" s="50">
        <f>IF($T1430="","",IF($S1430="S",IF(INDEX(Firms!$G$5:$G$1004,$T1430)="","",INDEX(Firms!$G$5:$G$1004,$T1430)),IF(INDEX('AFA Rates'!$F$5:$F$1004,$T1430)="","",INDEX('AFA Rates'!$F$5:$F$1004,$T1430))))</f>
        <v/>
      </c>
      <c r="I1430" s="50">
        <f>IF($T1430="","",IF($S1430="S",IF(INDEX(Firms!$H$5:$H$1004,$T1430)="","",INDEX(Firms!$H$5:$H$1004,$T1430)),IF(INDEX('AFA Rates'!$G$5:$G$1004,$T1430)="","",INDEX('AFA Rates'!$G$5:$G$1004,$T1430))))</f>
        <v/>
      </c>
      <c r="J1430" s="50">
        <f>IF($T1430="","",IF($S1430="S",IF(INDEX(Firms!$I$5:$I$1004,$T1430)="","",INDEX(Firms!$I$5:$I$1004,$T1430)),IF(INDEX('AFA Rates'!$H$5:$H$1004,$T1430)="","",INDEX('AFA Rates'!$H$5:$H$1004,$T1430))))</f>
        <v/>
      </c>
      <c r="K1430" s="50">
        <f>IF($T1430="","",IF($S1430="S",IF(INDEX(Firms!$J$5:$J$1004,$T1430)="","",INDEX(Firms!$J$5:$J$1004,$T1430)),IF(INDEX('AFA Rates'!$I$5:$I$1004,$T1430)="","",INDEX('AFA Rates'!$I$5:$I$1004,$T1430))))</f>
        <v/>
      </c>
      <c r="L1430" s="50">
        <f>IF($T1430="","",IF($S1430="S",IF(INDEX(Firms!$K$5:$K$1004,$T1430)="","",INDEX(Firms!$K$5:$K$1004,$T1430)),IF(INDEX('AFA Rates'!$J$5:$J$1004,$T1430)="","",INDEX('AFA Rates'!$J$5:$J$1004,$T1430))))</f>
        <v/>
      </c>
      <c r="M1430" s="50">
        <f>IF($T1430="","",IF($S1430="S",IF(INDEX(Firms!$L$5:$L$1004,$T1430)="","",INDEX(Firms!$L$5:$L$1004,$T1430)),IF(INDEX('AFA Rates'!$K$5:$K$1004,$T1430)="","",INDEX('AFA Rates'!$K$5:$K$1004,$T1430))))</f>
        <v/>
      </c>
      <c r="N1430" s="50">
        <f>IF($T1430="","",IF($S1430="S",IF(INDEX(Firms!$M$5:$M$1004,$T1430)="","",INDEX(Firms!$M$5:$M$1004,$T1430)),IF(INDEX('AFA Rates'!$L$5:$L$1004,$T1430)="","",INDEX('AFA Rates'!$L$5:$L$1004,$T1430))))</f>
        <v/>
      </c>
      <c r="O1430" s="78">
        <f>IF(OR($T1430="",$U1430=""),"",IF(INDEX(Firms!$C$5:$C$1004,$U1430)="","",INDEX(Firms!$C$5:$C$1004,$U1430)))</f>
        <v/>
      </c>
      <c r="P1430" s="79">
        <f>IF(OR($T1430="",$U1430=""),"",IF(INDEX(Firms!$N$5:$N$1004,$U1430)="","",INDEX(Firms!$N$5:$N$1004,$U1430)))</f>
        <v/>
      </c>
      <c r="Q1430" s="78">
        <f>IF($T1430="","",IF($S1430="S",IF(INDEX(Firms!$T$5:$T$1004,$T1430)="","",INDEX(Firms!$T$5:$T$1004,$T1430)),IF(INDEX('AFA Rates'!$M$5:$M$1004,$T1430)="","",INDEX('AFA Rates'!$M$5:$M$1004,$T1430))))</f>
        <v/>
      </c>
      <c r="S1430">
        <f>IF(1426&lt;=$S$2,"S",IF(1426&lt;=$S$2+$T$2,"A",""))</f>
        <v/>
      </c>
      <c r="T1430">
        <f>IF(S1430="S",MATCH(1426,Firms!$W$5:$W$1004,0),IF(S1430="A",IFERROR(MATCH(1426-$S$2,'AFA Rates'!$R$5:$R$1004,0),""),""))</f>
        <v/>
      </c>
      <c r="U1430">
        <f>IF(S1430="S",T1430,IF(AND(S1430="A",T1430&lt;&gt;""),IFERROR(MATCH(INDEX('AFA Rates'!$A$5:$A$1004,T1430),Firms!$A$5:$A$1004,0),""),""))</f>
        <v/>
      </c>
    </row>
    <row r="1431">
      <c r="A1431" s="78">
        <f>IF($T1431="","",IF($S1431="S",IF(INDEX(Firms!$A$5:$A$1004,$T1431)="","",INDEX(Firms!$A$5:$A$1004,$T1431)),IF(INDEX('AFA Rates'!$A$5:$A$1004,$T1431)="","",INDEX('AFA Rates'!$A$5:$A$1004,$T1431))))</f>
        <v/>
      </c>
      <c r="B1431" s="79">
        <f>IF(OR($T1431="",$U1431=""),IF($T1431="","","Not on Firms tab"),INDEX(Firms!$B$5:$B$1004,$U1431)&amp;"")</f>
        <v/>
      </c>
      <c r="C1431" s="78">
        <f>IF($T1431="","",IF($S1431="S","Standard",INDEX('AFA Rates'!$B$5:$B$1004,$T1431)&amp;""))</f>
        <v/>
      </c>
      <c r="D1431" s="88">
        <f>IF($T1431="","",IF($S1431="S",IF(INDEX(Firms!$E$5:$E$1004,$T1431)="","",INDEX(Firms!$E$5:$E$1004,$T1431)),IF(INDEX('AFA Rates'!$C$5:$C$1004,$T1431)="","",INDEX('AFA Rates'!$C$5:$C$1004,$T1431))))</f>
        <v/>
      </c>
      <c r="E1431" s="88">
        <f>IF($T1431="","",IF($S1431="S",IF(""="","",""),IF(INDEX('AFA Rates'!$D$5:$D$1004,$T1431)="","",INDEX('AFA Rates'!$D$5:$D$1004,$T1431))))</f>
        <v/>
      </c>
      <c r="F1431" s="79">
        <f>IF($T1431="","",IF($S1431="S",IF(INDEX(Firms!$O$5:$O$1004,$T1431)="","",INDEX(Firms!$O$5:$O$1004,$T1431)),IF(INDEX('AFA Rates'!$O$5:$O$1004,$T1431)="","",INDEX('AFA Rates'!$O$5:$O$1004,$T1431))))</f>
        <v/>
      </c>
      <c r="G1431" s="50">
        <f>IF($T1431="","",IF($S1431="S",IF(INDEX(Firms!$F$5:$F$1004,$T1431)="","",INDEX(Firms!$F$5:$F$1004,$T1431)),IF(INDEX('AFA Rates'!$E$5:$E$1004,$T1431)="","",INDEX('AFA Rates'!$E$5:$E$1004,$T1431))))</f>
        <v/>
      </c>
      <c r="H1431" s="50">
        <f>IF($T1431="","",IF($S1431="S",IF(INDEX(Firms!$G$5:$G$1004,$T1431)="","",INDEX(Firms!$G$5:$G$1004,$T1431)),IF(INDEX('AFA Rates'!$F$5:$F$1004,$T1431)="","",INDEX('AFA Rates'!$F$5:$F$1004,$T1431))))</f>
        <v/>
      </c>
      <c r="I1431" s="50">
        <f>IF($T1431="","",IF($S1431="S",IF(INDEX(Firms!$H$5:$H$1004,$T1431)="","",INDEX(Firms!$H$5:$H$1004,$T1431)),IF(INDEX('AFA Rates'!$G$5:$G$1004,$T1431)="","",INDEX('AFA Rates'!$G$5:$G$1004,$T1431))))</f>
        <v/>
      </c>
      <c r="J1431" s="50">
        <f>IF($T1431="","",IF($S1431="S",IF(INDEX(Firms!$I$5:$I$1004,$T1431)="","",INDEX(Firms!$I$5:$I$1004,$T1431)),IF(INDEX('AFA Rates'!$H$5:$H$1004,$T1431)="","",INDEX('AFA Rates'!$H$5:$H$1004,$T1431))))</f>
        <v/>
      </c>
      <c r="K1431" s="50">
        <f>IF($T1431="","",IF($S1431="S",IF(INDEX(Firms!$J$5:$J$1004,$T1431)="","",INDEX(Firms!$J$5:$J$1004,$T1431)),IF(INDEX('AFA Rates'!$I$5:$I$1004,$T1431)="","",INDEX('AFA Rates'!$I$5:$I$1004,$T1431))))</f>
        <v/>
      </c>
      <c r="L1431" s="50">
        <f>IF($T1431="","",IF($S1431="S",IF(INDEX(Firms!$K$5:$K$1004,$T1431)="","",INDEX(Firms!$K$5:$K$1004,$T1431)),IF(INDEX('AFA Rates'!$J$5:$J$1004,$T1431)="","",INDEX('AFA Rates'!$J$5:$J$1004,$T1431))))</f>
        <v/>
      </c>
      <c r="M1431" s="50">
        <f>IF($T1431="","",IF($S1431="S",IF(INDEX(Firms!$L$5:$L$1004,$T1431)="","",INDEX(Firms!$L$5:$L$1004,$T1431)),IF(INDEX('AFA Rates'!$K$5:$K$1004,$T1431)="","",INDEX('AFA Rates'!$K$5:$K$1004,$T1431))))</f>
        <v/>
      </c>
      <c r="N1431" s="50">
        <f>IF($T1431="","",IF($S1431="S",IF(INDEX(Firms!$M$5:$M$1004,$T1431)="","",INDEX(Firms!$M$5:$M$1004,$T1431)),IF(INDEX('AFA Rates'!$L$5:$L$1004,$T1431)="","",INDEX('AFA Rates'!$L$5:$L$1004,$T1431))))</f>
        <v/>
      </c>
      <c r="O1431" s="78">
        <f>IF(OR($T1431="",$U1431=""),"",IF(INDEX(Firms!$C$5:$C$1004,$U1431)="","",INDEX(Firms!$C$5:$C$1004,$U1431)))</f>
        <v/>
      </c>
      <c r="P1431" s="79">
        <f>IF(OR($T1431="",$U1431=""),"",IF(INDEX(Firms!$N$5:$N$1004,$U1431)="","",INDEX(Firms!$N$5:$N$1004,$U1431)))</f>
        <v/>
      </c>
      <c r="Q1431" s="78">
        <f>IF($T1431="","",IF($S1431="S",IF(INDEX(Firms!$T$5:$T$1004,$T1431)="","",INDEX(Firms!$T$5:$T$1004,$T1431)),IF(INDEX('AFA Rates'!$M$5:$M$1004,$T1431)="","",INDEX('AFA Rates'!$M$5:$M$1004,$T1431))))</f>
        <v/>
      </c>
      <c r="S1431">
        <f>IF(1427&lt;=$S$2,"S",IF(1427&lt;=$S$2+$T$2,"A",""))</f>
        <v/>
      </c>
      <c r="T1431">
        <f>IF(S1431="S",MATCH(1427,Firms!$W$5:$W$1004,0),IF(S1431="A",IFERROR(MATCH(1427-$S$2,'AFA Rates'!$R$5:$R$1004,0),""),""))</f>
        <v/>
      </c>
      <c r="U1431">
        <f>IF(S1431="S",T1431,IF(AND(S1431="A",T1431&lt;&gt;""),IFERROR(MATCH(INDEX('AFA Rates'!$A$5:$A$1004,T1431),Firms!$A$5:$A$1004,0),""),""))</f>
        <v/>
      </c>
    </row>
    <row r="1432">
      <c r="A1432" s="78">
        <f>IF($T1432="","",IF($S1432="S",IF(INDEX(Firms!$A$5:$A$1004,$T1432)="","",INDEX(Firms!$A$5:$A$1004,$T1432)),IF(INDEX('AFA Rates'!$A$5:$A$1004,$T1432)="","",INDEX('AFA Rates'!$A$5:$A$1004,$T1432))))</f>
        <v/>
      </c>
      <c r="B1432" s="79">
        <f>IF(OR($T1432="",$U1432=""),IF($T1432="","","Not on Firms tab"),INDEX(Firms!$B$5:$B$1004,$U1432)&amp;"")</f>
        <v/>
      </c>
      <c r="C1432" s="78">
        <f>IF($T1432="","",IF($S1432="S","Standard",INDEX('AFA Rates'!$B$5:$B$1004,$T1432)&amp;""))</f>
        <v/>
      </c>
      <c r="D1432" s="88">
        <f>IF($T1432="","",IF($S1432="S",IF(INDEX(Firms!$E$5:$E$1004,$T1432)="","",INDEX(Firms!$E$5:$E$1004,$T1432)),IF(INDEX('AFA Rates'!$C$5:$C$1004,$T1432)="","",INDEX('AFA Rates'!$C$5:$C$1004,$T1432))))</f>
        <v/>
      </c>
      <c r="E1432" s="88">
        <f>IF($T1432="","",IF($S1432="S",IF(""="","",""),IF(INDEX('AFA Rates'!$D$5:$D$1004,$T1432)="","",INDEX('AFA Rates'!$D$5:$D$1004,$T1432))))</f>
        <v/>
      </c>
      <c r="F1432" s="79">
        <f>IF($T1432="","",IF($S1432="S",IF(INDEX(Firms!$O$5:$O$1004,$T1432)="","",INDEX(Firms!$O$5:$O$1004,$T1432)),IF(INDEX('AFA Rates'!$O$5:$O$1004,$T1432)="","",INDEX('AFA Rates'!$O$5:$O$1004,$T1432))))</f>
        <v/>
      </c>
      <c r="G1432" s="50">
        <f>IF($T1432="","",IF($S1432="S",IF(INDEX(Firms!$F$5:$F$1004,$T1432)="","",INDEX(Firms!$F$5:$F$1004,$T1432)),IF(INDEX('AFA Rates'!$E$5:$E$1004,$T1432)="","",INDEX('AFA Rates'!$E$5:$E$1004,$T1432))))</f>
        <v/>
      </c>
      <c r="H1432" s="50">
        <f>IF($T1432="","",IF($S1432="S",IF(INDEX(Firms!$G$5:$G$1004,$T1432)="","",INDEX(Firms!$G$5:$G$1004,$T1432)),IF(INDEX('AFA Rates'!$F$5:$F$1004,$T1432)="","",INDEX('AFA Rates'!$F$5:$F$1004,$T1432))))</f>
        <v/>
      </c>
      <c r="I1432" s="50">
        <f>IF($T1432="","",IF($S1432="S",IF(INDEX(Firms!$H$5:$H$1004,$T1432)="","",INDEX(Firms!$H$5:$H$1004,$T1432)),IF(INDEX('AFA Rates'!$G$5:$G$1004,$T1432)="","",INDEX('AFA Rates'!$G$5:$G$1004,$T1432))))</f>
        <v/>
      </c>
      <c r="J1432" s="50">
        <f>IF($T1432="","",IF($S1432="S",IF(INDEX(Firms!$I$5:$I$1004,$T1432)="","",INDEX(Firms!$I$5:$I$1004,$T1432)),IF(INDEX('AFA Rates'!$H$5:$H$1004,$T1432)="","",INDEX('AFA Rates'!$H$5:$H$1004,$T1432))))</f>
        <v/>
      </c>
      <c r="K1432" s="50">
        <f>IF($T1432="","",IF($S1432="S",IF(INDEX(Firms!$J$5:$J$1004,$T1432)="","",INDEX(Firms!$J$5:$J$1004,$T1432)),IF(INDEX('AFA Rates'!$I$5:$I$1004,$T1432)="","",INDEX('AFA Rates'!$I$5:$I$1004,$T1432))))</f>
        <v/>
      </c>
      <c r="L1432" s="50">
        <f>IF($T1432="","",IF($S1432="S",IF(INDEX(Firms!$K$5:$K$1004,$T1432)="","",INDEX(Firms!$K$5:$K$1004,$T1432)),IF(INDEX('AFA Rates'!$J$5:$J$1004,$T1432)="","",INDEX('AFA Rates'!$J$5:$J$1004,$T1432))))</f>
        <v/>
      </c>
      <c r="M1432" s="50">
        <f>IF($T1432="","",IF($S1432="S",IF(INDEX(Firms!$L$5:$L$1004,$T1432)="","",INDEX(Firms!$L$5:$L$1004,$T1432)),IF(INDEX('AFA Rates'!$K$5:$K$1004,$T1432)="","",INDEX('AFA Rates'!$K$5:$K$1004,$T1432))))</f>
        <v/>
      </c>
      <c r="N1432" s="50">
        <f>IF($T1432="","",IF($S1432="S",IF(INDEX(Firms!$M$5:$M$1004,$T1432)="","",INDEX(Firms!$M$5:$M$1004,$T1432)),IF(INDEX('AFA Rates'!$L$5:$L$1004,$T1432)="","",INDEX('AFA Rates'!$L$5:$L$1004,$T1432))))</f>
        <v/>
      </c>
      <c r="O1432" s="78">
        <f>IF(OR($T1432="",$U1432=""),"",IF(INDEX(Firms!$C$5:$C$1004,$U1432)="","",INDEX(Firms!$C$5:$C$1004,$U1432)))</f>
        <v/>
      </c>
      <c r="P1432" s="79">
        <f>IF(OR($T1432="",$U1432=""),"",IF(INDEX(Firms!$N$5:$N$1004,$U1432)="","",INDEX(Firms!$N$5:$N$1004,$U1432)))</f>
        <v/>
      </c>
      <c r="Q1432" s="78">
        <f>IF($T1432="","",IF($S1432="S",IF(INDEX(Firms!$T$5:$T$1004,$T1432)="","",INDEX(Firms!$T$5:$T$1004,$T1432)),IF(INDEX('AFA Rates'!$M$5:$M$1004,$T1432)="","",INDEX('AFA Rates'!$M$5:$M$1004,$T1432))))</f>
        <v/>
      </c>
      <c r="S1432">
        <f>IF(1428&lt;=$S$2,"S",IF(1428&lt;=$S$2+$T$2,"A",""))</f>
        <v/>
      </c>
      <c r="T1432">
        <f>IF(S1432="S",MATCH(1428,Firms!$W$5:$W$1004,0),IF(S1432="A",IFERROR(MATCH(1428-$S$2,'AFA Rates'!$R$5:$R$1004,0),""),""))</f>
        <v/>
      </c>
      <c r="U1432">
        <f>IF(S1432="S",T1432,IF(AND(S1432="A",T1432&lt;&gt;""),IFERROR(MATCH(INDEX('AFA Rates'!$A$5:$A$1004,T1432),Firms!$A$5:$A$1004,0),""),""))</f>
        <v/>
      </c>
    </row>
    <row r="1433">
      <c r="A1433" s="78">
        <f>IF($T1433="","",IF($S1433="S",IF(INDEX(Firms!$A$5:$A$1004,$T1433)="","",INDEX(Firms!$A$5:$A$1004,$T1433)),IF(INDEX('AFA Rates'!$A$5:$A$1004,$T1433)="","",INDEX('AFA Rates'!$A$5:$A$1004,$T1433))))</f>
        <v/>
      </c>
      <c r="B1433" s="79">
        <f>IF(OR($T1433="",$U1433=""),IF($T1433="","","Not on Firms tab"),INDEX(Firms!$B$5:$B$1004,$U1433)&amp;"")</f>
        <v/>
      </c>
      <c r="C1433" s="78">
        <f>IF($T1433="","",IF($S1433="S","Standard",INDEX('AFA Rates'!$B$5:$B$1004,$T1433)&amp;""))</f>
        <v/>
      </c>
      <c r="D1433" s="88">
        <f>IF($T1433="","",IF($S1433="S",IF(INDEX(Firms!$E$5:$E$1004,$T1433)="","",INDEX(Firms!$E$5:$E$1004,$T1433)),IF(INDEX('AFA Rates'!$C$5:$C$1004,$T1433)="","",INDEX('AFA Rates'!$C$5:$C$1004,$T1433))))</f>
        <v/>
      </c>
      <c r="E1433" s="88">
        <f>IF($T1433="","",IF($S1433="S",IF(""="","",""),IF(INDEX('AFA Rates'!$D$5:$D$1004,$T1433)="","",INDEX('AFA Rates'!$D$5:$D$1004,$T1433))))</f>
        <v/>
      </c>
      <c r="F1433" s="79">
        <f>IF($T1433="","",IF($S1433="S",IF(INDEX(Firms!$O$5:$O$1004,$T1433)="","",INDEX(Firms!$O$5:$O$1004,$T1433)),IF(INDEX('AFA Rates'!$O$5:$O$1004,$T1433)="","",INDEX('AFA Rates'!$O$5:$O$1004,$T1433))))</f>
        <v/>
      </c>
      <c r="G1433" s="50">
        <f>IF($T1433="","",IF($S1433="S",IF(INDEX(Firms!$F$5:$F$1004,$T1433)="","",INDEX(Firms!$F$5:$F$1004,$T1433)),IF(INDEX('AFA Rates'!$E$5:$E$1004,$T1433)="","",INDEX('AFA Rates'!$E$5:$E$1004,$T1433))))</f>
        <v/>
      </c>
      <c r="H1433" s="50">
        <f>IF($T1433="","",IF($S1433="S",IF(INDEX(Firms!$G$5:$G$1004,$T1433)="","",INDEX(Firms!$G$5:$G$1004,$T1433)),IF(INDEX('AFA Rates'!$F$5:$F$1004,$T1433)="","",INDEX('AFA Rates'!$F$5:$F$1004,$T1433))))</f>
        <v/>
      </c>
      <c r="I1433" s="50">
        <f>IF($T1433="","",IF($S1433="S",IF(INDEX(Firms!$H$5:$H$1004,$T1433)="","",INDEX(Firms!$H$5:$H$1004,$T1433)),IF(INDEX('AFA Rates'!$G$5:$G$1004,$T1433)="","",INDEX('AFA Rates'!$G$5:$G$1004,$T1433))))</f>
        <v/>
      </c>
      <c r="J1433" s="50">
        <f>IF($T1433="","",IF($S1433="S",IF(INDEX(Firms!$I$5:$I$1004,$T1433)="","",INDEX(Firms!$I$5:$I$1004,$T1433)),IF(INDEX('AFA Rates'!$H$5:$H$1004,$T1433)="","",INDEX('AFA Rates'!$H$5:$H$1004,$T1433))))</f>
        <v/>
      </c>
      <c r="K1433" s="50">
        <f>IF($T1433="","",IF($S1433="S",IF(INDEX(Firms!$J$5:$J$1004,$T1433)="","",INDEX(Firms!$J$5:$J$1004,$T1433)),IF(INDEX('AFA Rates'!$I$5:$I$1004,$T1433)="","",INDEX('AFA Rates'!$I$5:$I$1004,$T1433))))</f>
        <v/>
      </c>
      <c r="L1433" s="50">
        <f>IF($T1433="","",IF($S1433="S",IF(INDEX(Firms!$K$5:$K$1004,$T1433)="","",INDEX(Firms!$K$5:$K$1004,$T1433)),IF(INDEX('AFA Rates'!$J$5:$J$1004,$T1433)="","",INDEX('AFA Rates'!$J$5:$J$1004,$T1433))))</f>
        <v/>
      </c>
      <c r="M1433" s="50">
        <f>IF($T1433="","",IF($S1433="S",IF(INDEX(Firms!$L$5:$L$1004,$T1433)="","",INDEX(Firms!$L$5:$L$1004,$T1433)),IF(INDEX('AFA Rates'!$K$5:$K$1004,$T1433)="","",INDEX('AFA Rates'!$K$5:$K$1004,$T1433))))</f>
        <v/>
      </c>
      <c r="N1433" s="50">
        <f>IF($T1433="","",IF($S1433="S",IF(INDEX(Firms!$M$5:$M$1004,$T1433)="","",INDEX(Firms!$M$5:$M$1004,$T1433)),IF(INDEX('AFA Rates'!$L$5:$L$1004,$T1433)="","",INDEX('AFA Rates'!$L$5:$L$1004,$T1433))))</f>
        <v/>
      </c>
      <c r="O1433" s="78">
        <f>IF(OR($T1433="",$U1433=""),"",IF(INDEX(Firms!$C$5:$C$1004,$U1433)="","",INDEX(Firms!$C$5:$C$1004,$U1433)))</f>
        <v/>
      </c>
      <c r="P1433" s="79">
        <f>IF(OR($T1433="",$U1433=""),"",IF(INDEX(Firms!$N$5:$N$1004,$U1433)="","",INDEX(Firms!$N$5:$N$1004,$U1433)))</f>
        <v/>
      </c>
      <c r="Q1433" s="78">
        <f>IF($T1433="","",IF($S1433="S",IF(INDEX(Firms!$T$5:$T$1004,$T1433)="","",INDEX(Firms!$T$5:$T$1004,$T1433)),IF(INDEX('AFA Rates'!$M$5:$M$1004,$T1433)="","",INDEX('AFA Rates'!$M$5:$M$1004,$T1433))))</f>
        <v/>
      </c>
      <c r="S1433">
        <f>IF(1429&lt;=$S$2,"S",IF(1429&lt;=$S$2+$T$2,"A",""))</f>
        <v/>
      </c>
      <c r="T1433">
        <f>IF(S1433="S",MATCH(1429,Firms!$W$5:$W$1004,0),IF(S1433="A",IFERROR(MATCH(1429-$S$2,'AFA Rates'!$R$5:$R$1004,0),""),""))</f>
        <v/>
      </c>
      <c r="U1433">
        <f>IF(S1433="S",T1433,IF(AND(S1433="A",T1433&lt;&gt;""),IFERROR(MATCH(INDEX('AFA Rates'!$A$5:$A$1004,T1433),Firms!$A$5:$A$1004,0),""),""))</f>
        <v/>
      </c>
    </row>
    <row r="1434">
      <c r="A1434" s="78">
        <f>IF($T1434="","",IF($S1434="S",IF(INDEX(Firms!$A$5:$A$1004,$T1434)="","",INDEX(Firms!$A$5:$A$1004,$T1434)),IF(INDEX('AFA Rates'!$A$5:$A$1004,$T1434)="","",INDEX('AFA Rates'!$A$5:$A$1004,$T1434))))</f>
        <v/>
      </c>
      <c r="B1434" s="79">
        <f>IF(OR($T1434="",$U1434=""),IF($T1434="","","Not on Firms tab"),INDEX(Firms!$B$5:$B$1004,$U1434)&amp;"")</f>
        <v/>
      </c>
      <c r="C1434" s="78">
        <f>IF($T1434="","",IF($S1434="S","Standard",INDEX('AFA Rates'!$B$5:$B$1004,$T1434)&amp;""))</f>
        <v/>
      </c>
      <c r="D1434" s="88">
        <f>IF($T1434="","",IF($S1434="S",IF(INDEX(Firms!$E$5:$E$1004,$T1434)="","",INDEX(Firms!$E$5:$E$1004,$T1434)),IF(INDEX('AFA Rates'!$C$5:$C$1004,$T1434)="","",INDEX('AFA Rates'!$C$5:$C$1004,$T1434))))</f>
        <v/>
      </c>
      <c r="E1434" s="88">
        <f>IF($T1434="","",IF($S1434="S",IF(""="","",""),IF(INDEX('AFA Rates'!$D$5:$D$1004,$T1434)="","",INDEX('AFA Rates'!$D$5:$D$1004,$T1434))))</f>
        <v/>
      </c>
      <c r="F1434" s="79">
        <f>IF($T1434="","",IF($S1434="S",IF(INDEX(Firms!$O$5:$O$1004,$T1434)="","",INDEX(Firms!$O$5:$O$1004,$T1434)),IF(INDEX('AFA Rates'!$O$5:$O$1004,$T1434)="","",INDEX('AFA Rates'!$O$5:$O$1004,$T1434))))</f>
        <v/>
      </c>
      <c r="G1434" s="50">
        <f>IF($T1434="","",IF($S1434="S",IF(INDEX(Firms!$F$5:$F$1004,$T1434)="","",INDEX(Firms!$F$5:$F$1004,$T1434)),IF(INDEX('AFA Rates'!$E$5:$E$1004,$T1434)="","",INDEX('AFA Rates'!$E$5:$E$1004,$T1434))))</f>
        <v/>
      </c>
      <c r="H1434" s="50">
        <f>IF($T1434="","",IF($S1434="S",IF(INDEX(Firms!$G$5:$G$1004,$T1434)="","",INDEX(Firms!$G$5:$G$1004,$T1434)),IF(INDEX('AFA Rates'!$F$5:$F$1004,$T1434)="","",INDEX('AFA Rates'!$F$5:$F$1004,$T1434))))</f>
        <v/>
      </c>
      <c r="I1434" s="50">
        <f>IF($T1434="","",IF($S1434="S",IF(INDEX(Firms!$H$5:$H$1004,$T1434)="","",INDEX(Firms!$H$5:$H$1004,$T1434)),IF(INDEX('AFA Rates'!$G$5:$G$1004,$T1434)="","",INDEX('AFA Rates'!$G$5:$G$1004,$T1434))))</f>
        <v/>
      </c>
      <c r="J1434" s="50">
        <f>IF($T1434="","",IF($S1434="S",IF(INDEX(Firms!$I$5:$I$1004,$T1434)="","",INDEX(Firms!$I$5:$I$1004,$T1434)),IF(INDEX('AFA Rates'!$H$5:$H$1004,$T1434)="","",INDEX('AFA Rates'!$H$5:$H$1004,$T1434))))</f>
        <v/>
      </c>
      <c r="K1434" s="50">
        <f>IF($T1434="","",IF($S1434="S",IF(INDEX(Firms!$J$5:$J$1004,$T1434)="","",INDEX(Firms!$J$5:$J$1004,$T1434)),IF(INDEX('AFA Rates'!$I$5:$I$1004,$T1434)="","",INDEX('AFA Rates'!$I$5:$I$1004,$T1434))))</f>
        <v/>
      </c>
      <c r="L1434" s="50">
        <f>IF($T1434="","",IF($S1434="S",IF(INDEX(Firms!$K$5:$K$1004,$T1434)="","",INDEX(Firms!$K$5:$K$1004,$T1434)),IF(INDEX('AFA Rates'!$J$5:$J$1004,$T1434)="","",INDEX('AFA Rates'!$J$5:$J$1004,$T1434))))</f>
        <v/>
      </c>
      <c r="M1434" s="50">
        <f>IF($T1434="","",IF($S1434="S",IF(INDEX(Firms!$L$5:$L$1004,$T1434)="","",INDEX(Firms!$L$5:$L$1004,$T1434)),IF(INDEX('AFA Rates'!$K$5:$K$1004,$T1434)="","",INDEX('AFA Rates'!$K$5:$K$1004,$T1434))))</f>
        <v/>
      </c>
      <c r="N1434" s="50">
        <f>IF($T1434="","",IF($S1434="S",IF(INDEX(Firms!$M$5:$M$1004,$T1434)="","",INDEX(Firms!$M$5:$M$1004,$T1434)),IF(INDEX('AFA Rates'!$L$5:$L$1004,$T1434)="","",INDEX('AFA Rates'!$L$5:$L$1004,$T1434))))</f>
        <v/>
      </c>
      <c r="O1434" s="78">
        <f>IF(OR($T1434="",$U1434=""),"",IF(INDEX(Firms!$C$5:$C$1004,$U1434)="","",INDEX(Firms!$C$5:$C$1004,$U1434)))</f>
        <v/>
      </c>
      <c r="P1434" s="79">
        <f>IF(OR($T1434="",$U1434=""),"",IF(INDEX(Firms!$N$5:$N$1004,$U1434)="","",INDEX(Firms!$N$5:$N$1004,$U1434)))</f>
        <v/>
      </c>
      <c r="Q1434" s="78">
        <f>IF($T1434="","",IF($S1434="S",IF(INDEX(Firms!$T$5:$T$1004,$T1434)="","",INDEX(Firms!$T$5:$T$1004,$T1434)),IF(INDEX('AFA Rates'!$M$5:$M$1004,$T1434)="","",INDEX('AFA Rates'!$M$5:$M$1004,$T1434))))</f>
        <v/>
      </c>
      <c r="S1434">
        <f>IF(1430&lt;=$S$2,"S",IF(1430&lt;=$S$2+$T$2,"A",""))</f>
        <v/>
      </c>
      <c r="T1434">
        <f>IF(S1434="S",MATCH(1430,Firms!$W$5:$W$1004,0),IF(S1434="A",IFERROR(MATCH(1430-$S$2,'AFA Rates'!$R$5:$R$1004,0),""),""))</f>
        <v/>
      </c>
      <c r="U1434">
        <f>IF(S1434="S",T1434,IF(AND(S1434="A",T1434&lt;&gt;""),IFERROR(MATCH(INDEX('AFA Rates'!$A$5:$A$1004,T1434),Firms!$A$5:$A$1004,0),""),""))</f>
        <v/>
      </c>
    </row>
    <row r="1435">
      <c r="A1435" s="78">
        <f>IF($T1435="","",IF($S1435="S",IF(INDEX(Firms!$A$5:$A$1004,$T1435)="","",INDEX(Firms!$A$5:$A$1004,$T1435)),IF(INDEX('AFA Rates'!$A$5:$A$1004,$T1435)="","",INDEX('AFA Rates'!$A$5:$A$1004,$T1435))))</f>
        <v/>
      </c>
      <c r="B1435" s="79">
        <f>IF(OR($T1435="",$U1435=""),IF($T1435="","","Not on Firms tab"),INDEX(Firms!$B$5:$B$1004,$U1435)&amp;"")</f>
        <v/>
      </c>
      <c r="C1435" s="78">
        <f>IF($T1435="","",IF($S1435="S","Standard",INDEX('AFA Rates'!$B$5:$B$1004,$T1435)&amp;""))</f>
        <v/>
      </c>
      <c r="D1435" s="88">
        <f>IF($T1435="","",IF($S1435="S",IF(INDEX(Firms!$E$5:$E$1004,$T1435)="","",INDEX(Firms!$E$5:$E$1004,$T1435)),IF(INDEX('AFA Rates'!$C$5:$C$1004,$T1435)="","",INDEX('AFA Rates'!$C$5:$C$1004,$T1435))))</f>
        <v/>
      </c>
      <c r="E1435" s="88">
        <f>IF($T1435="","",IF($S1435="S",IF(""="","",""),IF(INDEX('AFA Rates'!$D$5:$D$1004,$T1435)="","",INDEX('AFA Rates'!$D$5:$D$1004,$T1435))))</f>
        <v/>
      </c>
      <c r="F1435" s="79">
        <f>IF($T1435="","",IF($S1435="S",IF(INDEX(Firms!$O$5:$O$1004,$T1435)="","",INDEX(Firms!$O$5:$O$1004,$T1435)),IF(INDEX('AFA Rates'!$O$5:$O$1004,$T1435)="","",INDEX('AFA Rates'!$O$5:$O$1004,$T1435))))</f>
        <v/>
      </c>
      <c r="G1435" s="50">
        <f>IF($T1435="","",IF($S1435="S",IF(INDEX(Firms!$F$5:$F$1004,$T1435)="","",INDEX(Firms!$F$5:$F$1004,$T1435)),IF(INDEX('AFA Rates'!$E$5:$E$1004,$T1435)="","",INDEX('AFA Rates'!$E$5:$E$1004,$T1435))))</f>
        <v/>
      </c>
      <c r="H1435" s="50">
        <f>IF($T1435="","",IF($S1435="S",IF(INDEX(Firms!$G$5:$G$1004,$T1435)="","",INDEX(Firms!$G$5:$G$1004,$T1435)),IF(INDEX('AFA Rates'!$F$5:$F$1004,$T1435)="","",INDEX('AFA Rates'!$F$5:$F$1004,$T1435))))</f>
        <v/>
      </c>
      <c r="I1435" s="50">
        <f>IF($T1435="","",IF($S1435="S",IF(INDEX(Firms!$H$5:$H$1004,$T1435)="","",INDEX(Firms!$H$5:$H$1004,$T1435)),IF(INDEX('AFA Rates'!$G$5:$G$1004,$T1435)="","",INDEX('AFA Rates'!$G$5:$G$1004,$T1435))))</f>
        <v/>
      </c>
      <c r="J1435" s="50">
        <f>IF($T1435="","",IF($S1435="S",IF(INDEX(Firms!$I$5:$I$1004,$T1435)="","",INDEX(Firms!$I$5:$I$1004,$T1435)),IF(INDEX('AFA Rates'!$H$5:$H$1004,$T1435)="","",INDEX('AFA Rates'!$H$5:$H$1004,$T1435))))</f>
        <v/>
      </c>
      <c r="K1435" s="50">
        <f>IF($T1435="","",IF($S1435="S",IF(INDEX(Firms!$J$5:$J$1004,$T1435)="","",INDEX(Firms!$J$5:$J$1004,$T1435)),IF(INDEX('AFA Rates'!$I$5:$I$1004,$T1435)="","",INDEX('AFA Rates'!$I$5:$I$1004,$T1435))))</f>
        <v/>
      </c>
      <c r="L1435" s="50">
        <f>IF($T1435="","",IF($S1435="S",IF(INDEX(Firms!$K$5:$K$1004,$T1435)="","",INDEX(Firms!$K$5:$K$1004,$T1435)),IF(INDEX('AFA Rates'!$J$5:$J$1004,$T1435)="","",INDEX('AFA Rates'!$J$5:$J$1004,$T1435))))</f>
        <v/>
      </c>
      <c r="M1435" s="50">
        <f>IF($T1435="","",IF($S1435="S",IF(INDEX(Firms!$L$5:$L$1004,$T1435)="","",INDEX(Firms!$L$5:$L$1004,$T1435)),IF(INDEX('AFA Rates'!$K$5:$K$1004,$T1435)="","",INDEX('AFA Rates'!$K$5:$K$1004,$T1435))))</f>
        <v/>
      </c>
      <c r="N1435" s="50">
        <f>IF($T1435="","",IF($S1435="S",IF(INDEX(Firms!$M$5:$M$1004,$T1435)="","",INDEX(Firms!$M$5:$M$1004,$T1435)),IF(INDEX('AFA Rates'!$L$5:$L$1004,$T1435)="","",INDEX('AFA Rates'!$L$5:$L$1004,$T1435))))</f>
        <v/>
      </c>
      <c r="O1435" s="78">
        <f>IF(OR($T1435="",$U1435=""),"",IF(INDEX(Firms!$C$5:$C$1004,$U1435)="","",INDEX(Firms!$C$5:$C$1004,$U1435)))</f>
        <v/>
      </c>
      <c r="P1435" s="79">
        <f>IF(OR($T1435="",$U1435=""),"",IF(INDEX(Firms!$N$5:$N$1004,$U1435)="","",INDEX(Firms!$N$5:$N$1004,$U1435)))</f>
        <v/>
      </c>
      <c r="Q1435" s="78">
        <f>IF($T1435="","",IF($S1435="S",IF(INDEX(Firms!$T$5:$T$1004,$T1435)="","",INDEX(Firms!$T$5:$T$1004,$T1435)),IF(INDEX('AFA Rates'!$M$5:$M$1004,$T1435)="","",INDEX('AFA Rates'!$M$5:$M$1004,$T1435))))</f>
        <v/>
      </c>
      <c r="S1435">
        <f>IF(1431&lt;=$S$2,"S",IF(1431&lt;=$S$2+$T$2,"A",""))</f>
        <v/>
      </c>
      <c r="T1435">
        <f>IF(S1435="S",MATCH(1431,Firms!$W$5:$W$1004,0),IF(S1435="A",IFERROR(MATCH(1431-$S$2,'AFA Rates'!$R$5:$R$1004,0),""),""))</f>
        <v/>
      </c>
      <c r="U1435">
        <f>IF(S1435="S",T1435,IF(AND(S1435="A",T1435&lt;&gt;""),IFERROR(MATCH(INDEX('AFA Rates'!$A$5:$A$1004,T1435),Firms!$A$5:$A$1004,0),""),""))</f>
        <v/>
      </c>
    </row>
    <row r="1436">
      <c r="A1436" s="78">
        <f>IF($T1436="","",IF($S1436="S",IF(INDEX(Firms!$A$5:$A$1004,$T1436)="","",INDEX(Firms!$A$5:$A$1004,$T1436)),IF(INDEX('AFA Rates'!$A$5:$A$1004,$T1436)="","",INDEX('AFA Rates'!$A$5:$A$1004,$T1436))))</f>
        <v/>
      </c>
      <c r="B1436" s="79">
        <f>IF(OR($T1436="",$U1436=""),IF($T1436="","","Not on Firms tab"),INDEX(Firms!$B$5:$B$1004,$U1436)&amp;"")</f>
        <v/>
      </c>
      <c r="C1436" s="78">
        <f>IF($T1436="","",IF($S1436="S","Standard",INDEX('AFA Rates'!$B$5:$B$1004,$T1436)&amp;""))</f>
        <v/>
      </c>
      <c r="D1436" s="88">
        <f>IF($T1436="","",IF($S1436="S",IF(INDEX(Firms!$E$5:$E$1004,$T1436)="","",INDEX(Firms!$E$5:$E$1004,$T1436)),IF(INDEX('AFA Rates'!$C$5:$C$1004,$T1436)="","",INDEX('AFA Rates'!$C$5:$C$1004,$T1436))))</f>
        <v/>
      </c>
      <c r="E1436" s="88">
        <f>IF($T1436="","",IF($S1436="S",IF(""="","",""),IF(INDEX('AFA Rates'!$D$5:$D$1004,$T1436)="","",INDEX('AFA Rates'!$D$5:$D$1004,$T1436))))</f>
        <v/>
      </c>
      <c r="F1436" s="79">
        <f>IF($T1436="","",IF($S1436="S",IF(INDEX(Firms!$O$5:$O$1004,$T1436)="","",INDEX(Firms!$O$5:$O$1004,$T1436)),IF(INDEX('AFA Rates'!$O$5:$O$1004,$T1436)="","",INDEX('AFA Rates'!$O$5:$O$1004,$T1436))))</f>
        <v/>
      </c>
      <c r="G1436" s="50">
        <f>IF($T1436="","",IF($S1436="S",IF(INDEX(Firms!$F$5:$F$1004,$T1436)="","",INDEX(Firms!$F$5:$F$1004,$T1436)),IF(INDEX('AFA Rates'!$E$5:$E$1004,$T1436)="","",INDEX('AFA Rates'!$E$5:$E$1004,$T1436))))</f>
        <v/>
      </c>
      <c r="H1436" s="50">
        <f>IF($T1436="","",IF($S1436="S",IF(INDEX(Firms!$G$5:$G$1004,$T1436)="","",INDEX(Firms!$G$5:$G$1004,$T1436)),IF(INDEX('AFA Rates'!$F$5:$F$1004,$T1436)="","",INDEX('AFA Rates'!$F$5:$F$1004,$T1436))))</f>
        <v/>
      </c>
      <c r="I1436" s="50">
        <f>IF($T1436="","",IF($S1436="S",IF(INDEX(Firms!$H$5:$H$1004,$T1436)="","",INDEX(Firms!$H$5:$H$1004,$T1436)),IF(INDEX('AFA Rates'!$G$5:$G$1004,$T1436)="","",INDEX('AFA Rates'!$G$5:$G$1004,$T1436))))</f>
        <v/>
      </c>
      <c r="J1436" s="50">
        <f>IF($T1436="","",IF($S1436="S",IF(INDEX(Firms!$I$5:$I$1004,$T1436)="","",INDEX(Firms!$I$5:$I$1004,$T1436)),IF(INDEX('AFA Rates'!$H$5:$H$1004,$T1436)="","",INDEX('AFA Rates'!$H$5:$H$1004,$T1436))))</f>
        <v/>
      </c>
      <c r="K1436" s="50">
        <f>IF($T1436="","",IF($S1436="S",IF(INDEX(Firms!$J$5:$J$1004,$T1436)="","",INDEX(Firms!$J$5:$J$1004,$T1436)),IF(INDEX('AFA Rates'!$I$5:$I$1004,$T1436)="","",INDEX('AFA Rates'!$I$5:$I$1004,$T1436))))</f>
        <v/>
      </c>
      <c r="L1436" s="50">
        <f>IF($T1436="","",IF($S1436="S",IF(INDEX(Firms!$K$5:$K$1004,$T1436)="","",INDEX(Firms!$K$5:$K$1004,$T1436)),IF(INDEX('AFA Rates'!$J$5:$J$1004,$T1436)="","",INDEX('AFA Rates'!$J$5:$J$1004,$T1436))))</f>
        <v/>
      </c>
      <c r="M1436" s="50">
        <f>IF($T1436="","",IF($S1436="S",IF(INDEX(Firms!$L$5:$L$1004,$T1436)="","",INDEX(Firms!$L$5:$L$1004,$T1436)),IF(INDEX('AFA Rates'!$K$5:$K$1004,$T1436)="","",INDEX('AFA Rates'!$K$5:$K$1004,$T1436))))</f>
        <v/>
      </c>
      <c r="N1436" s="50">
        <f>IF($T1436="","",IF($S1436="S",IF(INDEX(Firms!$M$5:$M$1004,$T1436)="","",INDEX(Firms!$M$5:$M$1004,$T1436)),IF(INDEX('AFA Rates'!$L$5:$L$1004,$T1436)="","",INDEX('AFA Rates'!$L$5:$L$1004,$T1436))))</f>
        <v/>
      </c>
      <c r="O1436" s="78">
        <f>IF(OR($T1436="",$U1436=""),"",IF(INDEX(Firms!$C$5:$C$1004,$U1436)="","",INDEX(Firms!$C$5:$C$1004,$U1436)))</f>
        <v/>
      </c>
      <c r="P1436" s="79">
        <f>IF(OR($T1436="",$U1436=""),"",IF(INDEX(Firms!$N$5:$N$1004,$U1436)="","",INDEX(Firms!$N$5:$N$1004,$U1436)))</f>
        <v/>
      </c>
      <c r="Q1436" s="78">
        <f>IF($T1436="","",IF($S1436="S",IF(INDEX(Firms!$T$5:$T$1004,$T1436)="","",INDEX(Firms!$T$5:$T$1004,$T1436)),IF(INDEX('AFA Rates'!$M$5:$M$1004,$T1436)="","",INDEX('AFA Rates'!$M$5:$M$1004,$T1436))))</f>
        <v/>
      </c>
      <c r="S1436">
        <f>IF(1432&lt;=$S$2,"S",IF(1432&lt;=$S$2+$T$2,"A",""))</f>
        <v/>
      </c>
      <c r="T1436">
        <f>IF(S1436="S",MATCH(1432,Firms!$W$5:$W$1004,0),IF(S1436="A",IFERROR(MATCH(1432-$S$2,'AFA Rates'!$R$5:$R$1004,0),""),""))</f>
        <v/>
      </c>
      <c r="U1436">
        <f>IF(S1436="S",T1436,IF(AND(S1436="A",T1436&lt;&gt;""),IFERROR(MATCH(INDEX('AFA Rates'!$A$5:$A$1004,T1436),Firms!$A$5:$A$1004,0),""),""))</f>
        <v/>
      </c>
    </row>
    <row r="1437">
      <c r="A1437" s="78">
        <f>IF($T1437="","",IF($S1437="S",IF(INDEX(Firms!$A$5:$A$1004,$T1437)="","",INDEX(Firms!$A$5:$A$1004,$T1437)),IF(INDEX('AFA Rates'!$A$5:$A$1004,$T1437)="","",INDEX('AFA Rates'!$A$5:$A$1004,$T1437))))</f>
        <v/>
      </c>
      <c r="B1437" s="79">
        <f>IF(OR($T1437="",$U1437=""),IF($T1437="","","Not on Firms tab"),INDEX(Firms!$B$5:$B$1004,$U1437)&amp;"")</f>
        <v/>
      </c>
      <c r="C1437" s="78">
        <f>IF($T1437="","",IF($S1437="S","Standard",INDEX('AFA Rates'!$B$5:$B$1004,$T1437)&amp;""))</f>
        <v/>
      </c>
      <c r="D1437" s="88">
        <f>IF($T1437="","",IF($S1437="S",IF(INDEX(Firms!$E$5:$E$1004,$T1437)="","",INDEX(Firms!$E$5:$E$1004,$T1437)),IF(INDEX('AFA Rates'!$C$5:$C$1004,$T1437)="","",INDEX('AFA Rates'!$C$5:$C$1004,$T1437))))</f>
        <v/>
      </c>
      <c r="E1437" s="88">
        <f>IF($T1437="","",IF($S1437="S",IF(""="","",""),IF(INDEX('AFA Rates'!$D$5:$D$1004,$T1437)="","",INDEX('AFA Rates'!$D$5:$D$1004,$T1437))))</f>
        <v/>
      </c>
      <c r="F1437" s="79">
        <f>IF($T1437="","",IF($S1437="S",IF(INDEX(Firms!$O$5:$O$1004,$T1437)="","",INDEX(Firms!$O$5:$O$1004,$T1437)),IF(INDEX('AFA Rates'!$O$5:$O$1004,$T1437)="","",INDEX('AFA Rates'!$O$5:$O$1004,$T1437))))</f>
        <v/>
      </c>
      <c r="G1437" s="50">
        <f>IF($T1437="","",IF($S1437="S",IF(INDEX(Firms!$F$5:$F$1004,$T1437)="","",INDEX(Firms!$F$5:$F$1004,$T1437)),IF(INDEX('AFA Rates'!$E$5:$E$1004,$T1437)="","",INDEX('AFA Rates'!$E$5:$E$1004,$T1437))))</f>
        <v/>
      </c>
      <c r="H1437" s="50">
        <f>IF($T1437="","",IF($S1437="S",IF(INDEX(Firms!$G$5:$G$1004,$T1437)="","",INDEX(Firms!$G$5:$G$1004,$T1437)),IF(INDEX('AFA Rates'!$F$5:$F$1004,$T1437)="","",INDEX('AFA Rates'!$F$5:$F$1004,$T1437))))</f>
        <v/>
      </c>
      <c r="I1437" s="50">
        <f>IF($T1437="","",IF($S1437="S",IF(INDEX(Firms!$H$5:$H$1004,$T1437)="","",INDEX(Firms!$H$5:$H$1004,$T1437)),IF(INDEX('AFA Rates'!$G$5:$G$1004,$T1437)="","",INDEX('AFA Rates'!$G$5:$G$1004,$T1437))))</f>
        <v/>
      </c>
      <c r="J1437" s="50">
        <f>IF($T1437="","",IF($S1437="S",IF(INDEX(Firms!$I$5:$I$1004,$T1437)="","",INDEX(Firms!$I$5:$I$1004,$T1437)),IF(INDEX('AFA Rates'!$H$5:$H$1004,$T1437)="","",INDEX('AFA Rates'!$H$5:$H$1004,$T1437))))</f>
        <v/>
      </c>
      <c r="K1437" s="50">
        <f>IF($T1437="","",IF($S1437="S",IF(INDEX(Firms!$J$5:$J$1004,$T1437)="","",INDEX(Firms!$J$5:$J$1004,$T1437)),IF(INDEX('AFA Rates'!$I$5:$I$1004,$T1437)="","",INDEX('AFA Rates'!$I$5:$I$1004,$T1437))))</f>
        <v/>
      </c>
      <c r="L1437" s="50">
        <f>IF($T1437="","",IF($S1437="S",IF(INDEX(Firms!$K$5:$K$1004,$T1437)="","",INDEX(Firms!$K$5:$K$1004,$T1437)),IF(INDEX('AFA Rates'!$J$5:$J$1004,$T1437)="","",INDEX('AFA Rates'!$J$5:$J$1004,$T1437))))</f>
        <v/>
      </c>
      <c r="M1437" s="50">
        <f>IF($T1437="","",IF($S1437="S",IF(INDEX(Firms!$L$5:$L$1004,$T1437)="","",INDEX(Firms!$L$5:$L$1004,$T1437)),IF(INDEX('AFA Rates'!$K$5:$K$1004,$T1437)="","",INDEX('AFA Rates'!$K$5:$K$1004,$T1437))))</f>
        <v/>
      </c>
      <c r="N1437" s="50">
        <f>IF($T1437="","",IF($S1437="S",IF(INDEX(Firms!$M$5:$M$1004,$T1437)="","",INDEX(Firms!$M$5:$M$1004,$T1437)),IF(INDEX('AFA Rates'!$L$5:$L$1004,$T1437)="","",INDEX('AFA Rates'!$L$5:$L$1004,$T1437))))</f>
        <v/>
      </c>
      <c r="O1437" s="78">
        <f>IF(OR($T1437="",$U1437=""),"",IF(INDEX(Firms!$C$5:$C$1004,$U1437)="","",INDEX(Firms!$C$5:$C$1004,$U1437)))</f>
        <v/>
      </c>
      <c r="P1437" s="79">
        <f>IF(OR($T1437="",$U1437=""),"",IF(INDEX(Firms!$N$5:$N$1004,$U1437)="","",INDEX(Firms!$N$5:$N$1004,$U1437)))</f>
        <v/>
      </c>
      <c r="Q1437" s="78">
        <f>IF($T1437="","",IF($S1437="S",IF(INDEX(Firms!$T$5:$T$1004,$T1437)="","",INDEX(Firms!$T$5:$T$1004,$T1437)),IF(INDEX('AFA Rates'!$M$5:$M$1004,$T1437)="","",INDEX('AFA Rates'!$M$5:$M$1004,$T1437))))</f>
        <v/>
      </c>
      <c r="S1437">
        <f>IF(1433&lt;=$S$2,"S",IF(1433&lt;=$S$2+$T$2,"A",""))</f>
        <v/>
      </c>
      <c r="T1437">
        <f>IF(S1437="S",MATCH(1433,Firms!$W$5:$W$1004,0),IF(S1437="A",IFERROR(MATCH(1433-$S$2,'AFA Rates'!$R$5:$R$1004,0),""),""))</f>
        <v/>
      </c>
      <c r="U1437">
        <f>IF(S1437="S",T1437,IF(AND(S1437="A",T1437&lt;&gt;""),IFERROR(MATCH(INDEX('AFA Rates'!$A$5:$A$1004,T1437),Firms!$A$5:$A$1004,0),""),""))</f>
        <v/>
      </c>
    </row>
    <row r="1438">
      <c r="A1438" s="78">
        <f>IF($T1438="","",IF($S1438="S",IF(INDEX(Firms!$A$5:$A$1004,$T1438)="","",INDEX(Firms!$A$5:$A$1004,$T1438)),IF(INDEX('AFA Rates'!$A$5:$A$1004,$T1438)="","",INDEX('AFA Rates'!$A$5:$A$1004,$T1438))))</f>
        <v/>
      </c>
      <c r="B1438" s="79">
        <f>IF(OR($T1438="",$U1438=""),IF($T1438="","","Not on Firms tab"),INDEX(Firms!$B$5:$B$1004,$U1438)&amp;"")</f>
        <v/>
      </c>
      <c r="C1438" s="78">
        <f>IF($T1438="","",IF($S1438="S","Standard",INDEX('AFA Rates'!$B$5:$B$1004,$T1438)&amp;""))</f>
        <v/>
      </c>
      <c r="D1438" s="88">
        <f>IF($T1438="","",IF($S1438="S",IF(INDEX(Firms!$E$5:$E$1004,$T1438)="","",INDEX(Firms!$E$5:$E$1004,$T1438)),IF(INDEX('AFA Rates'!$C$5:$C$1004,$T1438)="","",INDEX('AFA Rates'!$C$5:$C$1004,$T1438))))</f>
        <v/>
      </c>
      <c r="E1438" s="88">
        <f>IF($T1438="","",IF($S1438="S",IF(""="","",""),IF(INDEX('AFA Rates'!$D$5:$D$1004,$T1438)="","",INDEX('AFA Rates'!$D$5:$D$1004,$T1438))))</f>
        <v/>
      </c>
      <c r="F1438" s="79">
        <f>IF($T1438="","",IF($S1438="S",IF(INDEX(Firms!$O$5:$O$1004,$T1438)="","",INDEX(Firms!$O$5:$O$1004,$T1438)),IF(INDEX('AFA Rates'!$O$5:$O$1004,$T1438)="","",INDEX('AFA Rates'!$O$5:$O$1004,$T1438))))</f>
        <v/>
      </c>
      <c r="G1438" s="50">
        <f>IF($T1438="","",IF($S1438="S",IF(INDEX(Firms!$F$5:$F$1004,$T1438)="","",INDEX(Firms!$F$5:$F$1004,$T1438)),IF(INDEX('AFA Rates'!$E$5:$E$1004,$T1438)="","",INDEX('AFA Rates'!$E$5:$E$1004,$T1438))))</f>
        <v/>
      </c>
      <c r="H1438" s="50">
        <f>IF($T1438="","",IF($S1438="S",IF(INDEX(Firms!$G$5:$G$1004,$T1438)="","",INDEX(Firms!$G$5:$G$1004,$T1438)),IF(INDEX('AFA Rates'!$F$5:$F$1004,$T1438)="","",INDEX('AFA Rates'!$F$5:$F$1004,$T1438))))</f>
        <v/>
      </c>
      <c r="I1438" s="50">
        <f>IF($T1438="","",IF($S1438="S",IF(INDEX(Firms!$H$5:$H$1004,$T1438)="","",INDEX(Firms!$H$5:$H$1004,$T1438)),IF(INDEX('AFA Rates'!$G$5:$G$1004,$T1438)="","",INDEX('AFA Rates'!$G$5:$G$1004,$T1438))))</f>
        <v/>
      </c>
      <c r="J1438" s="50">
        <f>IF($T1438="","",IF($S1438="S",IF(INDEX(Firms!$I$5:$I$1004,$T1438)="","",INDEX(Firms!$I$5:$I$1004,$T1438)),IF(INDEX('AFA Rates'!$H$5:$H$1004,$T1438)="","",INDEX('AFA Rates'!$H$5:$H$1004,$T1438))))</f>
        <v/>
      </c>
      <c r="K1438" s="50">
        <f>IF($T1438="","",IF($S1438="S",IF(INDEX(Firms!$J$5:$J$1004,$T1438)="","",INDEX(Firms!$J$5:$J$1004,$T1438)),IF(INDEX('AFA Rates'!$I$5:$I$1004,$T1438)="","",INDEX('AFA Rates'!$I$5:$I$1004,$T1438))))</f>
        <v/>
      </c>
      <c r="L1438" s="50">
        <f>IF($T1438="","",IF($S1438="S",IF(INDEX(Firms!$K$5:$K$1004,$T1438)="","",INDEX(Firms!$K$5:$K$1004,$T1438)),IF(INDEX('AFA Rates'!$J$5:$J$1004,$T1438)="","",INDEX('AFA Rates'!$J$5:$J$1004,$T1438))))</f>
        <v/>
      </c>
      <c r="M1438" s="50">
        <f>IF($T1438="","",IF($S1438="S",IF(INDEX(Firms!$L$5:$L$1004,$T1438)="","",INDEX(Firms!$L$5:$L$1004,$T1438)),IF(INDEX('AFA Rates'!$K$5:$K$1004,$T1438)="","",INDEX('AFA Rates'!$K$5:$K$1004,$T1438))))</f>
        <v/>
      </c>
      <c r="N1438" s="50">
        <f>IF($T1438="","",IF($S1438="S",IF(INDEX(Firms!$M$5:$M$1004,$T1438)="","",INDEX(Firms!$M$5:$M$1004,$T1438)),IF(INDEX('AFA Rates'!$L$5:$L$1004,$T1438)="","",INDEX('AFA Rates'!$L$5:$L$1004,$T1438))))</f>
        <v/>
      </c>
      <c r="O1438" s="78">
        <f>IF(OR($T1438="",$U1438=""),"",IF(INDEX(Firms!$C$5:$C$1004,$U1438)="","",INDEX(Firms!$C$5:$C$1004,$U1438)))</f>
        <v/>
      </c>
      <c r="P1438" s="79">
        <f>IF(OR($T1438="",$U1438=""),"",IF(INDEX(Firms!$N$5:$N$1004,$U1438)="","",INDEX(Firms!$N$5:$N$1004,$U1438)))</f>
        <v/>
      </c>
      <c r="Q1438" s="78">
        <f>IF($T1438="","",IF($S1438="S",IF(INDEX(Firms!$T$5:$T$1004,$T1438)="","",INDEX(Firms!$T$5:$T$1004,$T1438)),IF(INDEX('AFA Rates'!$M$5:$M$1004,$T1438)="","",INDEX('AFA Rates'!$M$5:$M$1004,$T1438))))</f>
        <v/>
      </c>
      <c r="S1438">
        <f>IF(1434&lt;=$S$2,"S",IF(1434&lt;=$S$2+$T$2,"A",""))</f>
        <v/>
      </c>
      <c r="T1438">
        <f>IF(S1438="S",MATCH(1434,Firms!$W$5:$W$1004,0),IF(S1438="A",IFERROR(MATCH(1434-$S$2,'AFA Rates'!$R$5:$R$1004,0),""),""))</f>
        <v/>
      </c>
      <c r="U1438">
        <f>IF(S1438="S",T1438,IF(AND(S1438="A",T1438&lt;&gt;""),IFERROR(MATCH(INDEX('AFA Rates'!$A$5:$A$1004,T1438),Firms!$A$5:$A$1004,0),""),""))</f>
        <v/>
      </c>
    </row>
    <row r="1439">
      <c r="A1439" s="78">
        <f>IF($T1439="","",IF($S1439="S",IF(INDEX(Firms!$A$5:$A$1004,$T1439)="","",INDEX(Firms!$A$5:$A$1004,$T1439)),IF(INDEX('AFA Rates'!$A$5:$A$1004,$T1439)="","",INDEX('AFA Rates'!$A$5:$A$1004,$T1439))))</f>
        <v/>
      </c>
      <c r="B1439" s="79">
        <f>IF(OR($T1439="",$U1439=""),IF($T1439="","","Not on Firms tab"),INDEX(Firms!$B$5:$B$1004,$U1439)&amp;"")</f>
        <v/>
      </c>
      <c r="C1439" s="78">
        <f>IF($T1439="","",IF($S1439="S","Standard",INDEX('AFA Rates'!$B$5:$B$1004,$T1439)&amp;""))</f>
        <v/>
      </c>
      <c r="D1439" s="88">
        <f>IF($T1439="","",IF($S1439="S",IF(INDEX(Firms!$E$5:$E$1004,$T1439)="","",INDEX(Firms!$E$5:$E$1004,$T1439)),IF(INDEX('AFA Rates'!$C$5:$C$1004,$T1439)="","",INDEX('AFA Rates'!$C$5:$C$1004,$T1439))))</f>
        <v/>
      </c>
      <c r="E1439" s="88">
        <f>IF($T1439="","",IF($S1439="S",IF(""="","",""),IF(INDEX('AFA Rates'!$D$5:$D$1004,$T1439)="","",INDEX('AFA Rates'!$D$5:$D$1004,$T1439))))</f>
        <v/>
      </c>
      <c r="F1439" s="79">
        <f>IF($T1439="","",IF($S1439="S",IF(INDEX(Firms!$O$5:$O$1004,$T1439)="","",INDEX(Firms!$O$5:$O$1004,$T1439)),IF(INDEX('AFA Rates'!$O$5:$O$1004,$T1439)="","",INDEX('AFA Rates'!$O$5:$O$1004,$T1439))))</f>
        <v/>
      </c>
      <c r="G1439" s="50">
        <f>IF($T1439="","",IF($S1439="S",IF(INDEX(Firms!$F$5:$F$1004,$T1439)="","",INDEX(Firms!$F$5:$F$1004,$T1439)),IF(INDEX('AFA Rates'!$E$5:$E$1004,$T1439)="","",INDEX('AFA Rates'!$E$5:$E$1004,$T1439))))</f>
        <v/>
      </c>
      <c r="H1439" s="50">
        <f>IF($T1439="","",IF($S1439="S",IF(INDEX(Firms!$G$5:$G$1004,$T1439)="","",INDEX(Firms!$G$5:$G$1004,$T1439)),IF(INDEX('AFA Rates'!$F$5:$F$1004,$T1439)="","",INDEX('AFA Rates'!$F$5:$F$1004,$T1439))))</f>
        <v/>
      </c>
      <c r="I1439" s="50">
        <f>IF($T1439="","",IF($S1439="S",IF(INDEX(Firms!$H$5:$H$1004,$T1439)="","",INDEX(Firms!$H$5:$H$1004,$T1439)),IF(INDEX('AFA Rates'!$G$5:$G$1004,$T1439)="","",INDEX('AFA Rates'!$G$5:$G$1004,$T1439))))</f>
        <v/>
      </c>
      <c r="J1439" s="50">
        <f>IF($T1439="","",IF($S1439="S",IF(INDEX(Firms!$I$5:$I$1004,$T1439)="","",INDEX(Firms!$I$5:$I$1004,$T1439)),IF(INDEX('AFA Rates'!$H$5:$H$1004,$T1439)="","",INDEX('AFA Rates'!$H$5:$H$1004,$T1439))))</f>
        <v/>
      </c>
      <c r="K1439" s="50">
        <f>IF($T1439="","",IF($S1439="S",IF(INDEX(Firms!$J$5:$J$1004,$T1439)="","",INDEX(Firms!$J$5:$J$1004,$T1439)),IF(INDEX('AFA Rates'!$I$5:$I$1004,$T1439)="","",INDEX('AFA Rates'!$I$5:$I$1004,$T1439))))</f>
        <v/>
      </c>
      <c r="L1439" s="50">
        <f>IF($T1439="","",IF($S1439="S",IF(INDEX(Firms!$K$5:$K$1004,$T1439)="","",INDEX(Firms!$K$5:$K$1004,$T1439)),IF(INDEX('AFA Rates'!$J$5:$J$1004,$T1439)="","",INDEX('AFA Rates'!$J$5:$J$1004,$T1439))))</f>
        <v/>
      </c>
      <c r="M1439" s="50">
        <f>IF($T1439="","",IF($S1439="S",IF(INDEX(Firms!$L$5:$L$1004,$T1439)="","",INDEX(Firms!$L$5:$L$1004,$T1439)),IF(INDEX('AFA Rates'!$K$5:$K$1004,$T1439)="","",INDEX('AFA Rates'!$K$5:$K$1004,$T1439))))</f>
        <v/>
      </c>
      <c r="N1439" s="50">
        <f>IF($T1439="","",IF($S1439="S",IF(INDEX(Firms!$M$5:$M$1004,$T1439)="","",INDEX(Firms!$M$5:$M$1004,$T1439)),IF(INDEX('AFA Rates'!$L$5:$L$1004,$T1439)="","",INDEX('AFA Rates'!$L$5:$L$1004,$T1439))))</f>
        <v/>
      </c>
      <c r="O1439" s="78">
        <f>IF(OR($T1439="",$U1439=""),"",IF(INDEX(Firms!$C$5:$C$1004,$U1439)="","",INDEX(Firms!$C$5:$C$1004,$U1439)))</f>
        <v/>
      </c>
      <c r="P1439" s="79">
        <f>IF(OR($T1439="",$U1439=""),"",IF(INDEX(Firms!$N$5:$N$1004,$U1439)="","",INDEX(Firms!$N$5:$N$1004,$U1439)))</f>
        <v/>
      </c>
      <c r="Q1439" s="78">
        <f>IF($T1439="","",IF($S1439="S",IF(INDEX(Firms!$T$5:$T$1004,$T1439)="","",INDEX(Firms!$T$5:$T$1004,$T1439)),IF(INDEX('AFA Rates'!$M$5:$M$1004,$T1439)="","",INDEX('AFA Rates'!$M$5:$M$1004,$T1439))))</f>
        <v/>
      </c>
      <c r="S1439">
        <f>IF(1435&lt;=$S$2,"S",IF(1435&lt;=$S$2+$T$2,"A",""))</f>
        <v/>
      </c>
      <c r="T1439">
        <f>IF(S1439="S",MATCH(1435,Firms!$W$5:$W$1004,0),IF(S1439="A",IFERROR(MATCH(1435-$S$2,'AFA Rates'!$R$5:$R$1004,0),""),""))</f>
        <v/>
      </c>
      <c r="U1439">
        <f>IF(S1439="S",T1439,IF(AND(S1439="A",T1439&lt;&gt;""),IFERROR(MATCH(INDEX('AFA Rates'!$A$5:$A$1004,T1439),Firms!$A$5:$A$1004,0),""),""))</f>
        <v/>
      </c>
    </row>
    <row r="1440">
      <c r="A1440" s="78">
        <f>IF($T1440="","",IF($S1440="S",IF(INDEX(Firms!$A$5:$A$1004,$T1440)="","",INDEX(Firms!$A$5:$A$1004,$T1440)),IF(INDEX('AFA Rates'!$A$5:$A$1004,$T1440)="","",INDEX('AFA Rates'!$A$5:$A$1004,$T1440))))</f>
        <v/>
      </c>
      <c r="B1440" s="79">
        <f>IF(OR($T1440="",$U1440=""),IF($T1440="","","Not on Firms tab"),INDEX(Firms!$B$5:$B$1004,$U1440)&amp;"")</f>
        <v/>
      </c>
      <c r="C1440" s="78">
        <f>IF($T1440="","",IF($S1440="S","Standard",INDEX('AFA Rates'!$B$5:$B$1004,$T1440)&amp;""))</f>
        <v/>
      </c>
      <c r="D1440" s="88">
        <f>IF($T1440="","",IF($S1440="S",IF(INDEX(Firms!$E$5:$E$1004,$T1440)="","",INDEX(Firms!$E$5:$E$1004,$T1440)),IF(INDEX('AFA Rates'!$C$5:$C$1004,$T1440)="","",INDEX('AFA Rates'!$C$5:$C$1004,$T1440))))</f>
        <v/>
      </c>
      <c r="E1440" s="88">
        <f>IF($T1440="","",IF($S1440="S",IF(""="","",""),IF(INDEX('AFA Rates'!$D$5:$D$1004,$T1440)="","",INDEX('AFA Rates'!$D$5:$D$1004,$T1440))))</f>
        <v/>
      </c>
      <c r="F1440" s="79">
        <f>IF($T1440="","",IF($S1440="S",IF(INDEX(Firms!$O$5:$O$1004,$T1440)="","",INDEX(Firms!$O$5:$O$1004,$T1440)),IF(INDEX('AFA Rates'!$O$5:$O$1004,$T1440)="","",INDEX('AFA Rates'!$O$5:$O$1004,$T1440))))</f>
        <v/>
      </c>
      <c r="G1440" s="50">
        <f>IF($T1440="","",IF($S1440="S",IF(INDEX(Firms!$F$5:$F$1004,$T1440)="","",INDEX(Firms!$F$5:$F$1004,$T1440)),IF(INDEX('AFA Rates'!$E$5:$E$1004,$T1440)="","",INDEX('AFA Rates'!$E$5:$E$1004,$T1440))))</f>
        <v/>
      </c>
      <c r="H1440" s="50">
        <f>IF($T1440="","",IF($S1440="S",IF(INDEX(Firms!$G$5:$G$1004,$T1440)="","",INDEX(Firms!$G$5:$G$1004,$T1440)),IF(INDEX('AFA Rates'!$F$5:$F$1004,$T1440)="","",INDEX('AFA Rates'!$F$5:$F$1004,$T1440))))</f>
        <v/>
      </c>
      <c r="I1440" s="50">
        <f>IF($T1440="","",IF($S1440="S",IF(INDEX(Firms!$H$5:$H$1004,$T1440)="","",INDEX(Firms!$H$5:$H$1004,$T1440)),IF(INDEX('AFA Rates'!$G$5:$G$1004,$T1440)="","",INDEX('AFA Rates'!$G$5:$G$1004,$T1440))))</f>
        <v/>
      </c>
      <c r="J1440" s="50">
        <f>IF($T1440="","",IF($S1440="S",IF(INDEX(Firms!$I$5:$I$1004,$T1440)="","",INDEX(Firms!$I$5:$I$1004,$T1440)),IF(INDEX('AFA Rates'!$H$5:$H$1004,$T1440)="","",INDEX('AFA Rates'!$H$5:$H$1004,$T1440))))</f>
        <v/>
      </c>
      <c r="K1440" s="50">
        <f>IF($T1440="","",IF($S1440="S",IF(INDEX(Firms!$J$5:$J$1004,$T1440)="","",INDEX(Firms!$J$5:$J$1004,$T1440)),IF(INDEX('AFA Rates'!$I$5:$I$1004,$T1440)="","",INDEX('AFA Rates'!$I$5:$I$1004,$T1440))))</f>
        <v/>
      </c>
      <c r="L1440" s="50">
        <f>IF($T1440="","",IF($S1440="S",IF(INDEX(Firms!$K$5:$K$1004,$T1440)="","",INDEX(Firms!$K$5:$K$1004,$T1440)),IF(INDEX('AFA Rates'!$J$5:$J$1004,$T1440)="","",INDEX('AFA Rates'!$J$5:$J$1004,$T1440))))</f>
        <v/>
      </c>
      <c r="M1440" s="50">
        <f>IF($T1440="","",IF($S1440="S",IF(INDEX(Firms!$L$5:$L$1004,$T1440)="","",INDEX(Firms!$L$5:$L$1004,$T1440)),IF(INDEX('AFA Rates'!$K$5:$K$1004,$T1440)="","",INDEX('AFA Rates'!$K$5:$K$1004,$T1440))))</f>
        <v/>
      </c>
      <c r="N1440" s="50">
        <f>IF($T1440="","",IF($S1440="S",IF(INDEX(Firms!$M$5:$M$1004,$T1440)="","",INDEX(Firms!$M$5:$M$1004,$T1440)),IF(INDEX('AFA Rates'!$L$5:$L$1004,$T1440)="","",INDEX('AFA Rates'!$L$5:$L$1004,$T1440))))</f>
        <v/>
      </c>
      <c r="O1440" s="78">
        <f>IF(OR($T1440="",$U1440=""),"",IF(INDEX(Firms!$C$5:$C$1004,$U1440)="","",INDEX(Firms!$C$5:$C$1004,$U1440)))</f>
        <v/>
      </c>
      <c r="P1440" s="79">
        <f>IF(OR($T1440="",$U1440=""),"",IF(INDEX(Firms!$N$5:$N$1004,$U1440)="","",INDEX(Firms!$N$5:$N$1004,$U1440)))</f>
        <v/>
      </c>
      <c r="Q1440" s="78">
        <f>IF($T1440="","",IF($S1440="S",IF(INDEX(Firms!$T$5:$T$1004,$T1440)="","",INDEX(Firms!$T$5:$T$1004,$T1440)),IF(INDEX('AFA Rates'!$M$5:$M$1004,$T1440)="","",INDEX('AFA Rates'!$M$5:$M$1004,$T1440))))</f>
        <v/>
      </c>
      <c r="S1440">
        <f>IF(1436&lt;=$S$2,"S",IF(1436&lt;=$S$2+$T$2,"A",""))</f>
        <v/>
      </c>
      <c r="T1440">
        <f>IF(S1440="S",MATCH(1436,Firms!$W$5:$W$1004,0),IF(S1440="A",IFERROR(MATCH(1436-$S$2,'AFA Rates'!$R$5:$R$1004,0),""),""))</f>
        <v/>
      </c>
      <c r="U1440">
        <f>IF(S1440="S",T1440,IF(AND(S1440="A",T1440&lt;&gt;""),IFERROR(MATCH(INDEX('AFA Rates'!$A$5:$A$1004,T1440),Firms!$A$5:$A$1004,0),""),""))</f>
        <v/>
      </c>
    </row>
    <row r="1441">
      <c r="A1441" s="78">
        <f>IF($T1441="","",IF($S1441="S",IF(INDEX(Firms!$A$5:$A$1004,$T1441)="","",INDEX(Firms!$A$5:$A$1004,$T1441)),IF(INDEX('AFA Rates'!$A$5:$A$1004,$T1441)="","",INDEX('AFA Rates'!$A$5:$A$1004,$T1441))))</f>
        <v/>
      </c>
      <c r="B1441" s="79">
        <f>IF(OR($T1441="",$U1441=""),IF($T1441="","","Not on Firms tab"),INDEX(Firms!$B$5:$B$1004,$U1441)&amp;"")</f>
        <v/>
      </c>
      <c r="C1441" s="78">
        <f>IF($T1441="","",IF($S1441="S","Standard",INDEX('AFA Rates'!$B$5:$B$1004,$T1441)&amp;""))</f>
        <v/>
      </c>
      <c r="D1441" s="88">
        <f>IF($T1441="","",IF($S1441="S",IF(INDEX(Firms!$E$5:$E$1004,$T1441)="","",INDEX(Firms!$E$5:$E$1004,$T1441)),IF(INDEX('AFA Rates'!$C$5:$C$1004,$T1441)="","",INDEX('AFA Rates'!$C$5:$C$1004,$T1441))))</f>
        <v/>
      </c>
      <c r="E1441" s="88">
        <f>IF($T1441="","",IF($S1441="S",IF(""="","",""),IF(INDEX('AFA Rates'!$D$5:$D$1004,$T1441)="","",INDEX('AFA Rates'!$D$5:$D$1004,$T1441))))</f>
        <v/>
      </c>
      <c r="F1441" s="79">
        <f>IF($T1441="","",IF($S1441="S",IF(INDEX(Firms!$O$5:$O$1004,$T1441)="","",INDEX(Firms!$O$5:$O$1004,$T1441)),IF(INDEX('AFA Rates'!$O$5:$O$1004,$T1441)="","",INDEX('AFA Rates'!$O$5:$O$1004,$T1441))))</f>
        <v/>
      </c>
      <c r="G1441" s="50">
        <f>IF($T1441="","",IF($S1441="S",IF(INDEX(Firms!$F$5:$F$1004,$T1441)="","",INDEX(Firms!$F$5:$F$1004,$T1441)),IF(INDEX('AFA Rates'!$E$5:$E$1004,$T1441)="","",INDEX('AFA Rates'!$E$5:$E$1004,$T1441))))</f>
        <v/>
      </c>
      <c r="H1441" s="50">
        <f>IF($T1441="","",IF($S1441="S",IF(INDEX(Firms!$G$5:$G$1004,$T1441)="","",INDEX(Firms!$G$5:$G$1004,$T1441)),IF(INDEX('AFA Rates'!$F$5:$F$1004,$T1441)="","",INDEX('AFA Rates'!$F$5:$F$1004,$T1441))))</f>
        <v/>
      </c>
      <c r="I1441" s="50">
        <f>IF($T1441="","",IF($S1441="S",IF(INDEX(Firms!$H$5:$H$1004,$T1441)="","",INDEX(Firms!$H$5:$H$1004,$T1441)),IF(INDEX('AFA Rates'!$G$5:$G$1004,$T1441)="","",INDEX('AFA Rates'!$G$5:$G$1004,$T1441))))</f>
        <v/>
      </c>
      <c r="J1441" s="50">
        <f>IF($T1441="","",IF($S1441="S",IF(INDEX(Firms!$I$5:$I$1004,$T1441)="","",INDEX(Firms!$I$5:$I$1004,$T1441)),IF(INDEX('AFA Rates'!$H$5:$H$1004,$T1441)="","",INDEX('AFA Rates'!$H$5:$H$1004,$T1441))))</f>
        <v/>
      </c>
      <c r="K1441" s="50">
        <f>IF($T1441="","",IF($S1441="S",IF(INDEX(Firms!$J$5:$J$1004,$T1441)="","",INDEX(Firms!$J$5:$J$1004,$T1441)),IF(INDEX('AFA Rates'!$I$5:$I$1004,$T1441)="","",INDEX('AFA Rates'!$I$5:$I$1004,$T1441))))</f>
        <v/>
      </c>
      <c r="L1441" s="50">
        <f>IF($T1441="","",IF($S1441="S",IF(INDEX(Firms!$K$5:$K$1004,$T1441)="","",INDEX(Firms!$K$5:$K$1004,$T1441)),IF(INDEX('AFA Rates'!$J$5:$J$1004,$T1441)="","",INDEX('AFA Rates'!$J$5:$J$1004,$T1441))))</f>
        <v/>
      </c>
      <c r="M1441" s="50">
        <f>IF($T1441="","",IF($S1441="S",IF(INDEX(Firms!$L$5:$L$1004,$T1441)="","",INDEX(Firms!$L$5:$L$1004,$T1441)),IF(INDEX('AFA Rates'!$K$5:$K$1004,$T1441)="","",INDEX('AFA Rates'!$K$5:$K$1004,$T1441))))</f>
        <v/>
      </c>
      <c r="N1441" s="50">
        <f>IF($T1441="","",IF($S1441="S",IF(INDEX(Firms!$M$5:$M$1004,$T1441)="","",INDEX(Firms!$M$5:$M$1004,$T1441)),IF(INDEX('AFA Rates'!$L$5:$L$1004,$T1441)="","",INDEX('AFA Rates'!$L$5:$L$1004,$T1441))))</f>
        <v/>
      </c>
      <c r="O1441" s="78">
        <f>IF(OR($T1441="",$U1441=""),"",IF(INDEX(Firms!$C$5:$C$1004,$U1441)="","",INDEX(Firms!$C$5:$C$1004,$U1441)))</f>
        <v/>
      </c>
      <c r="P1441" s="79">
        <f>IF(OR($T1441="",$U1441=""),"",IF(INDEX(Firms!$N$5:$N$1004,$U1441)="","",INDEX(Firms!$N$5:$N$1004,$U1441)))</f>
        <v/>
      </c>
      <c r="Q1441" s="78">
        <f>IF($T1441="","",IF($S1441="S",IF(INDEX(Firms!$T$5:$T$1004,$T1441)="","",INDEX(Firms!$T$5:$T$1004,$T1441)),IF(INDEX('AFA Rates'!$M$5:$M$1004,$T1441)="","",INDEX('AFA Rates'!$M$5:$M$1004,$T1441))))</f>
        <v/>
      </c>
      <c r="S1441">
        <f>IF(1437&lt;=$S$2,"S",IF(1437&lt;=$S$2+$T$2,"A",""))</f>
        <v/>
      </c>
      <c r="T1441">
        <f>IF(S1441="S",MATCH(1437,Firms!$W$5:$W$1004,0),IF(S1441="A",IFERROR(MATCH(1437-$S$2,'AFA Rates'!$R$5:$R$1004,0),""),""))</f>
        <v/>
      </c>
      <c r="U1441">
        <f>IF(S1441="S",T1441,IF(AND(S1441="A",T1441&lt;&gt;""),IFERROR(MATCH(INDEX('AFA Rates'!$A$5:$A$1004,T1441),Firms!$A$5:$A$1004,0),""),""))</f>
        <v/>
      </c>
    </row>
    <row r="1442">
      <c r="A1442" s="78">
        <f>IF($T1442="","",IF($S1442="S",IF(INDEX(Firms!$A$5:$A$1004,$T1442)="","",INDEX(Firms!$A$5:$A$1004,$T1442)),IF(INDEX('AFA Rates'!$A$5:$A$1004,$T1442)="","",INDEX('AFA Rates'!$A$5:$A$1004,$T1442))))</f>
        <v/>
      </c>
      <c r="B1442" s="79">
        <f>IF(OR($T1442="",$U1442=""),IF($T1442="","","Not on Firms tab"),INDEX(Firms!$B$5:$B$1004,$U1442)&amp;"")</f>
        <v/>
      </c>
      <c r="C1442" s="78">
        <f>IF($T1442="","",IF($S1442="S","Standard",INDEX('AFA Rates'!$B$5:$B$1004,$T1442)&amp;""))</f>
        <v/>
      </c>
      <c r="D1442" s="88">
        <f>IF($T1442="","",IF($S1442="S",IF(INDEX(Firms!$E$5:$E$1004,$T1442)="","",INDEX(Firms!$E$5:$E$1004,$T1442)),IF(INDEX('AFA Rates'!$C$5:$C$1004,$T1442)="","",INDEX('AFA Rates'!$C$5:$C$1004,$T1442))))</f>
        <v/>
      </c>
      <c r="E1442" s="88">
        <f>IF($T1442="","",IF($S1442="S",IF(""="","",""),IF(INDEX('AFA Rates'!$D$5:$D$1004,$T1442)="","",INDEX('AFA Rates'!$D$5:$D$1004,$T1442))))</f>
        <v/>
      </c>
      <c r="F1442" s="79">
        <f>IF($T1442="","",IF($S1442="S",IF(INDEX(Firms!$O$5:$O$1004,$T1442)="","",INDEX(Firms!$O$5:$O$1004,$T1442)),IF(INDEX('AFA Rates'!$O$5:$O$1004,$T1442)="","",INDEX('AFA Rates'!$O$5:$O$1004,$T1442))))</f>
        <v/>
      </c>
      <c r="G1442" s="50">
        <f>IF($T1442="","",IF($S1442="S",IF(INDEX(Firms!$F$5:$F$1004,$T1442)="","",INDEX(Firms!$F$5:$F$1004,$T1442)),IF(INDEX('AFA Rates'!$E$5:$E$1004,$T1442)="","",INDEX('AFA Rates'!$E$5:$E$1004,$T1442))))</f>
        <v/>
      </c>
      <c r="H1442" s="50">
        <f>IF($T1442="","",IF($S1442="S",IF(INDEX(Firms!$G$5:$G$1004,$T1442)="","",INDEX(Firms!$G$5:$G$1004,$T1442)),IF(INDEX('AFA Rates'!$F$5:$F$1004,$T1442)="","",INDEX('AFA Rates'!$F$5:$F$1004,$T1442))))</f>
        <v/>
      </c>
      <c r="I1442" s="50">
        <f>IF($T1442="","",IF($S1442="S",IF(INDEX(Firms!$H$5:$H$1004,$T1442)="","",INDEX(Firms!$H$5:$H$1004,$T1442)),IF(INDEX('AFA Rates'!$G$5:$G$1004,$T1442)="","",INDEX('AFA Rates'!$G$5:$G$1004,$T1442))))</f>
        <v/>
      </c>
      <c r="J1442" s="50">
        <f>IF($T1442="","",IF($S1442="S",IF(INDEX(Firms!$I$5:$I$1004,$T1442)="","",INDEX(Firms!$I$5:$I$1004,$T1442)),IF(INDEX('AFA Rates'!$H$5:$H$1004,$T1442)="","",INDEX('AFA Rates'!$H$5:$H$1004,$T1442))))</f>
        <v/>
      </c>
      <c r="K1442" s="50">
        <f>IF($T1442="","",IF($S1442="S",IF(INDEX(Firms!$J$5:$J$1004,$T1442)="","",INDEX(Firms!$J$5:$J$1004,$T1442)),IF(INDEX('AFA Rates'!$I$5:$I$1004,$T1442)="","",INDEX('AFA Rates'!$I$5:$I$1004,$T1442))))</f>
        <v/>
      </c>
      <c r="L1442" s="50">
        <f>IF($T1442="","",IF($S1442="S",IF(INDEX(Firms!$K$5:$K$1004,$T1442)="","",INDEX(Firms!$K$5:$K$1004,$T1442)),IF(INDEX('AFA Rates'!$J$5:$J$1004,$T1442)="","",INDEX('AFA Rates'!$J$5:$J$1004,$T1442))))</f>
        <v/>
      </c>
      <c r="M1442" s="50">
        <f>IF($T1442="","",IF($S1442="S",IF(INDEX(Firms!$L$5:$L$1004,$T1442)="","",INDEX(Firms!$L$5:$L$1004,$T1442)),IF(INDEX('AFA Rates'!$K$5:$K$1004,$T1442)="","",INDEX('AFA Rates'!$K$5:$K$1004,$T1442))))</f>
        <v/>
      </c>
      <c r="N1442" s="50">
        <f>IF($T1442="","",IF($S1442="S",IF(INDEX(Firms!$M$5:$M$1004,$T1442)="","",INDEX(Firms!$M$5:$M$1004,$T1442)),IF(INDEX('AFA Rates'!$L$5:$L$1004,$T1442)="","",INDEX('AFA Rates'!$L$5:$L$1004,$T1442))))</f>
        <v/>
      </c>
      <c r="O1442" s="78">
        <f>IF(OR($T1442="",$U1442=""),"",IF(INDEX(Firms!$C$5:$C$1004,$U1442)="","",INDEX(Firms!$C$5:$C$1004,$U1442)))</f>
        <v/>
      </c>
      <c r="P1442" s="79">
        <f>IF(OR($T1442="",$U1442=""),"",IF(INDEX(Firms!$N$5:$N$1004,$U1442)="","",INDEX(Firms!$N$5:$N$1004,$U1442)))</f>
        <v/>
      </c>
      <c r="Q1442" s="78">
        <f>IF($T1442="","",IF($S1442="S",IF(INDEX(Firms!$T$5:$T$1004,$T1442)="","",INDEX(Firms!$T$5:$T$1004,$T1442)),IF(INDEX('AFA Rates'!$M$5:$M$1004,$T1442)="","",INDEX('AFA Rates'!$M$5:$M$1004,$T1442))))</f>
        <v/>
      </c>
      <c r="S1442">
        <f>IF(1438&lt;=$S$2,"S",IF(1438&lt;=$S$2+$T$2,"A",""))</f>
        <v/>
      </c>
      <c r="T1442">
        <f>IF(S1442="S",MATCH(1438,Firms!$W$5:$W$1004,0),IF(S1442="A",IFERROR(MATCH(1438-$S$2,'AFA Rates'!$R$5:$R$1004,0),""),""))</f>
        <v/>
      </c>
      <c r="U1442">
        <f>IF(S1442="S",T1442,IF(AND(S1442="A",T1442&lt;&gt;""),IFERROR(MATCH(INDEX('AFA Rates'!$A$5:$A$1004,T1442),Firms!$A$5:$A$1004,0),""),""))</f>
        <v/>
      </c>
    </row>
    <row r="1443">
      <c r="A1443" s="78">
        <f>IF($T1443="","",IF($S1443="S",IF(INDEX(Firms!$A$5:$A$1004,$T1443)="","",INDEX(Firms!$A$5:$A$1004,$T1443)),IF(INDEX('AFA Rates'!$A$5:$A$1004,$T1443)="","",INDEX('AFA Rates'!$A$5:$A$1004,$T1443))))</f>
        <v/>
      </c>
      <c r="B1443" s="79">
        <f>IF(OR($T1443="",$U1443=""),IF($T1443="","","Not on Firms tab"),INDEX(Firms!$B$5:$B$1004,$U1443)&amp;"")</f>
        <v/>
      </c>
      <c r="C1443" s="78">
        <f>IF($T1443="","",IF($S1443="S","Standard",INDEX('AFA Rates'!$B$5:$B$1004,$T1443)&amp;""))</f>
        <v/>
      </c>
      <c r="D1443" s="88">
        <f>IF($T1443="","",IF($S1443="S",IF(INDEX(Firms!$E$5:$E$1004,$T1443)="","",INDEX(Firms!$E$5:$E$1004,$T1443)),IF(INDEX('AFA Rates'!$C$5:$C$1004,$T1443)="","",INDEX('AFA Rates'!$C$5:$C$1004,$T1443))))</f>
        <v/>
      </c>
      <c r="E1443" s="88">
        <f>IF($T1443="","",IF($S1443="S",IF(""="","",""),IF(INDEX('AFA Rates'!$D$5:$D$1004,$T1443)="","",INDEX('AFA Rates'!$D$5:$D$1004,$T1443))))</f>
        <v/>
      </c>
      <c r="F1443" s="79">
        <f>IF($T1443="","",IF($S1443="S",IF(INDEX(Firms!$O$5:$O$1004,$T1443)="","",INDEX(Firms!$O$5:$O$1004,$T1443)),IF(INDEX('AFA Rates'!$O$5:$O$1004,$T1443)="","",INDEX('AFA Rates'!$O$5:$O$1004,$T1443))))</f>
        <v/>
      </c>
      <c r="G1443" s="50">
        <f>IF($T1443="","",IF($S1443="S",IF(INDEX(Firms!$F$5:$F$1004,$T1443)="","",INDEX(Firms!$F$5:$F$1004,$T1443)),IF(INDEX('AFA Rates'!$E$5:$E$1004,$T1443)="","",INDEX('AFA Rates'!$E$5:$E$1004,$T1443))))</f>
        <v/>
      </c>
      <c r="H1443" s="50">
        <f>IF($T1443="","",IF($S1443="S",IF(INDEX(Firms!$G$5:$G$1004,$T1443)="","",INDEX(Firms!$G$5:$G$1004,$T1443)),IF(INDEX('AFA Rates'!$F$5:$F$1004,$T1443)="","",INDEX('AFA Rates'!$F$5:$F$1004,$T1443))))</f>
        <v/>
      </c>
      <c r="I1443" s="50">
        <f>IF($T1443="","",IF($S1443="S",IF(INDEX(Firms!$H$5:$H$1004,$T1443)="","",INDEX(Firms!$H$5:$H$1004,$T1443)),IF(INDEX('AFA Rates'!$G$5:$G$1004,$T1443)="","",INDEX('AFA Rates'!$G$5:$G$1004,$T1443))))</f>
        <v/>
      </c>
      <c r="J1443" s="50">
        <f>IF($T1443="","",IF($S1443="S",IF(INDEX(Firms!$I$5:$I$1004,$T1443)="","",INDEX(Firms!$I$5:$I$1004,$T1443)),IF(INDEX('AFA Rates'!$H$5:$H$1004,$T1443)="","",INDEX('AFA Rates'!$H$5:$H$1004,$T1443))))</f>
        <v/>
      </c>
      <c r="K1443" s="50">
        <f>IF($T1443="","",IF($S1443="S",IF(INDEX(Firms!$J$5:$J$1004,$T1443)="","",INDEX(Firms!$J$5:$J$1004,$T1443)),IF(INDEX('AFA Rates'!$I$5:$I$1004,$T1443)="","",INDEX('AFA Rates'!$I$5:$I$1004,$T1443))))</f>
        <v/>
      </c>
      <c r="L1443" s="50">
        <f>IF($T1443="","",IF($S1443="S",IF(INDEX(Firms!$K$5:$K$1004,$T1443)="","",INDEX(Firms!$K$5:$K$1004,$T1443)),IF(INDEX('AFA Rates'!$J$5:$J$1004,$T1443)="","",INDEX('AFA Rates'!$J$5:$J$1004,$T1443))))</f>
        <v/>
      </c>
      <c r="M1443" s="50">
        <f>IF($T1443="","",IF($S1443="S",IF(INDEX(Firms!$L$5:$L$1004,$T1443)="","",INDEX(Firms!$L$5:$L$1004,$T1443)),IF(INDEX('AFA Rates'!$K$5:$K$1004,$T1443)="","",INDEX('AFA Rates'!$K$5:$K$1004,$T1443))))</f>
        <v/>
      </c>
      <c r="N1443" s="50">
        <f>IF($T1443="","",IF($S1443="S",IF(INDEX(Firms!$M$5:$M$1004,$T1443)="","",INDEX(Firms!$M$5:$M$1004,$T1443)),IF(INDEX('AFA Rates'!$L$5:$L$1004,$T1443)="","",INDEX('AFA Rates'!$L$5:$L$1004,$T1443))))</f>
        <v/>
      </c>
      <c r="O1443" s="78">
        <f>IF(OR($T1443="",$U1443=""),"",IF(INDEX(Firms!$C$5:$C$1004,$U1443)="","",INDEX(Firms!$C$5:$C$1004,$U1443)))</f>
        <v/>
      </c>
      <c r="P1443" s="79">
        <f>IF(OR($T1443="",$U1443=""),"",IF(INDEX(Firms!$N$5:$N$1004,$U1443)="","",INDEX(Firms!$N$5:$N$1004,$U1443)))</f>
        <v/>
      </c>
      <c r="Q1443" s="78">
        <f>IF($T1443="","",IF($S1443="S",IF(INDEX(Firms!$T$5:$T$1004,$T1443)="","",INDEX(Firms!$T$5:$T$1004,$T1443)),IF(INDEX('AFA Rates'!$M$5:$M$1004,$T1443)="","",INDEX('AFA Rates'!$M$5:$M$1004,$T1443))))</f>
        <v/>
      </c>
      <c r="S1443">
        <f>IF(1439&lt;=$S$2,"S",IF(1439&lt;=$S$2+$T$2,"A",""))</f>
        <v/>
      </c>
      <c r="T1443">
        <f>IF(S1443="S",MATCH(1439,Firms!$W$5:$W$1004,0),IF(S1443="A",IFERROR(MATCH(1439-$S$2,'AFA Rates'!$R$5:$R$1004,0),""),""))</f>
        <v/>
      </c>
      <c r="U1443">
        <f>IF(S1443="S",T1443,IF(AND(S1443="A",T1443&lt;&gt;""),IFERROR(MATCH(INDEX('AFA Rates'!$A$5:$A$1004,T1443),Firms!$A$5:$A$1004,0),""),""))</f>
        <v/>
      </c>
    </row>
    <row r="1444">
      <c r="A1444" s="78">
        <f>IF($T1444="","",IF($S1444="S",IF(INDEX(Firms!$A$5:$A$1004,$T1444)="","",INDEX(Firms!$A$5:$A$1004,$T1444)),IF(INDEX('AFA Rates'!$A$5:$A$1004,$T1444)="","",INDEX('AFA Rates'!$A$5:$A$1004,$T1444))))</f>
        <v/>
      </c>
      <c r="B1444" s="79">
        <f>IF(OR($T1444="",$U1444=""),IF($T1444="","","Not on Firms tab"),INDEX(Firms!$B$5:$B$1004,$U1444)&amp;"")</f>
        <v/>
      </c>
      <c r="C1444" s="78">
        <f>IF($T1444="","",IF($S1444="S","Standard",INDEX('AFA Rates'!$B$5:$B$1004,$T1444)&amp;""))</f>
        <v/>
      </c>
      <c r="D1444" s="88">
        <f>IF($T1444="","",IF($S1444="S",IF(INDEX(Firms!$E$5:$E$1004,$T1444)="","",INDEX(Firms!$E$5:$E$1004,$T1444)),IF(INDEX('AFA Rates'!$C$5:$C$1004,$T1444)="","",INDEX('AFA Rates'!$C$5:$C$1004,$T1444))))</f>
        <v/>
      </c>
      <c r="E1444" s="88">
        <f>IF($T1444="","",IF($S1444="S",IF(""="","",""),IF(INDEX('AFA Rates'!$D$5:$D$1004,$T1444)="","",INDEX('AFA Rates'!$D$5:$D$1004,$T1444))))</f>
        <v/>
      </c>
      <c r="F1444" s="79">
        <f>IF($T1444="","",IF($S1444="S",IF(INDEX(Firms!$O$5:$O$1004,$T1444)="","",INDEX(Firms!$O$5:$O$1004,$T1444)),IF(INDEX('AFA Rates'!$O$5:$O$1004,$T1444)="","",INDEX('AFA Rates'!$O$5:$O$1004,$T1444))))</f>
        <v/>
      </c>
      <c r="G1444" s="50">
        <f>IF($T1444="","",IF($S1444="S",IF(INDEX(Firms!$F$5:$F$1004,$T1444)="","",INDEX(Firms!$F$5:$F$1004,$T1444)),IF(INDEX('AFA Rates'!$E$5:$E$1004,$T1444)="","",INDEX('AFA Rates'!$E$5:$E$1004,$T1444))))</f>
        <v/>
      </c>
      <c r="H1444" s="50">
        <f>IF($T1444="","",IF($S1444="S",IF(INDEX(Firms!$G$5:$G$1004,$T1444)="","",INDEX(Firms!$G$5:$G$1004,$T1444)),IF(INDEX('AFA Rates'!$F$5:$F$1004,$T1444)="","",INDEX('AFA Rates'!$F$5:$F$1004,$T1444))))</f>
        <v/>
      </c>
      <c r="I1444" s="50">
        <f>IF($T1444="","",IF($S1444="S",IF(INDEX(Firms!$H$5:$H$1004,$T1444)="","",INDEX(Firms!$H$5:$H$1004,$T1444)),IF(INDEX('AFA Rates'!$G$5:$G$1004,$T1444)="","",INDEX('AFA Rates'!$G$5:$G$1004,$T1444))))</f>
        <v/>
      </c>
      <c r="J1444" s="50">
        <f>IF($T1444="","",IF($S1444="S",IF(INDEX(Firms!$I$5:$I$1004,$T1444)="","",INDEX(Firms!$I$5:$I$1004,$T1444)),IF(INDEX('AFA Rates'!$H$5:$H$1004,$T1444)="","",INDEX('AFA Rates'!$H$5:$H$1004,$T1444))))</f>
        <v/>
      </c>
      <c r="K1444" s="50">
        <f>IF($T1444="","",IF($S1444="S",IF(INDEX(Firms!$J$5:$J$1004,$T1444)="","",INDEX(Firms!$J$5:$J$1004,$T1444)),IF(INDEX('AFA Rates'!$I$5:$I$1004,$T1444)="","",INDEX('AFA Rates'!$I$5:$I$1004,$T1444))))</f>
        <v/>
      </c>
      <c r="L1444" s="50">
        <f>IF($T1444="","",IF($S1444="S",IF(INDEX(Firms!$K$5:$K$1004,$T1444)="","",INDEX(Firms!$K$5:$K$1004,$T1444)),IF(INDEX('AFA Rates'!$J$5:$J$1004,$T1444)="","",INDEX('AFA Rates'!$J$5:$J$1004,$T1444))))</f>
        <v/>
      </c>
      <c r="M1444" s="50">
        <f>IF($T1444="","",IF($S1444="S",IF(INDEX(Firms!$L$5:$L$1004,$T1444)="","",INDEX(Firms!$L$5:$L$1004,$T1444)),IF(INDEX('AFA Rates'!$K$5:$K$1004,$T1444)="","",INDEX('AFA Rates'!$K$5:$K$1004,$T1444))))</f>
        <v/>
      </c>
      <c r="N1444" s="50">
        <f>IF($T1444="","",IF($S1444="S",IF(INDEX(Firms!$M$5:$M$1004,$T1444)="","",INDEX(Firms!$M$5:$M$1004,$T1444)),IF(INDEX('AFA Rates'!$L$5:$L$1004,$T1444)="","",INDEX('AFA Rates'!$L$5:$L$1004,$T1444))))</f>
        <v/>
      </c>
      <c r="O1444" s="78">
        <f>IF(OR($T1444="",$U1444=""),"",IF(INDEX(Firms!$C$5:$C$1004,$U1444)="","",INDEX(Firms!$C$5:$C$1004,$U1444)))</f>
        <v/>
      </c>
      <c r="P1444" s="79">
        <f>IF(OR($T1444="",$U1444=""),"",IF(INDEX(Firms!$N$5:$N$1004,$U1444)="","",INDEX(Firms!$N$5:$N$1004,$U1444)))</f>
        <v/>
      </c>
      <c r="Q1444" s="78">
        <f>IF($T1444="","",IF($S1444="S",IF(INDEX(Firms!$T$5:$T$1004,$T1444)="","",INDEX(Firms!$T$5:$T$1004,$T1444)),IF(INDEX('AFA Rates'!$M$5:$M$1004,$T1444)="","",INDEX('AFA Rates'!$M$5:$M$1004,$T1444))))</f>
        <v/>
      </c>
      <c r="S1444">
        <f>IF(1440&lt;=$S$2,"S",IF(1440&lt;=$S$2+$T$2,"A",""))</f>
        <v/>
      </c>
      <c r="T1444">
        <f>IF(S1444="S",MATCH(1440,Firms!$W$5:$W$1004,0),IF(S1444="A",IFERROR(MATCH(1440-$S$2,'AFA Rates'!$R$5:$R$1004,0),""),""))</f>
        <v/>
      </c>
      <c r="U1444">
        <f>IF(S1444="S",T1444,IF(AND(S1444="A",T1444&lt;&gt;""),IFERROR(MATCH(INDEX('AFA Rates'!$A$5:$A$1004,T1444),Firms!$A$5:$A$1004,0),""),""))</f>
        <v/>
      </c>
    </row>
    <row r="1445">
      <c r="A1445" s="78">
        <f>IF($T1445="","",IF($S1445="S",IF(INDEX(Firms!$A$5:$A$1004,$T1445)="","",INDEX(Firms!$A$5:$A$1004,$T1445)),IF(INDEX('AFA Rates'!$A$5:$A$1004,$T1445)="","",INDEX('AFA Rates'!$A$5:$A$1004,$T1445))))</f>
        <v/>
      </c>
      <c r="B1445" s="79">
        <f>IF(OR($T1445="",$U1445=""),IF($T1445="","","Not on Firms tab"),INDEX(Firms!$B$5:$B$1004,$U1445)&amp;"")</f>
        <v/>
      </c>
      <c r="C1445" s="78">
        <f>IF($T1445="","",IF($S1445="S","Standard",INDEX('AFA Rates'!$B$5:$B$1004,$T1445)&amp;""))</f>
        <v/>
      </c>
      <c r="D1445" s="88">
        <f>IF($T1445="","",IF($S1445="S",IF(INDEX(Firms!$E$5:$E$1004,$T1445)="","",INDEX(Firms!$E$5:$E$1004,$T1445)),IF(INDEX('AFA Rates'!$C$5:$C$1004,$T1445)="","",INDEX('AFA Rates'!$C$5:$C$1004,$T1445))))</f>
        <v/>
      </c>
      <c r="E1445" s="88">
        <f>IF($T1445="","",IF($S1445="S",IF(""="","",""),IF(INDEX('AFA Rates'!$D$5:$D$1004,$T1445)="","",INDEX('AFA Rates'!$D$5:$D$1004,$T1445))))</f>
        <v/>
      </c>
      <c r="F1445" s="79">
        <f>IF($T1445="","",IF($S1445="S",IF(INDEX(Firms!$O$5:$O$1004,$T1445)="","",INDEX(Firms!$O$5:$O$1004,$T1445)),IF(INDEX('AFA Rates'!$O$5:$O$1004,$T1445)="","",INDEX('AFA Rates'!$O$5:$O$1004,$T1445))))</f>
        <v/>
      </c>
      <c r="G1445" s="50">
        <f>IF($T1445="","",IF($S1445="S",IF(INDEX(Firms!$F$5:$F$1004,$T1445)="","",INDEX(Firms!$F$5:$F$1004,$T1445)),IF(INDEX('AFA Rates'!$E$5:$E$1004,$T1445)="","",INDEX('AFA Rates'!$E$5:$E$1004,$T1445))))</f>
        <v/>
      </c>
      <c r="H1445" s="50">
        <f>IF($T1445="","",IF($S1445="S",IF(INDEX(Firms!$G$5:$G$1004,$T1445)="","",INDEX(Firms!$G$5:$G$1004,$T1445)),IF(INDEX('AFA Rates'!$F$5:$F$1004,$T1445)="","",INDEX('AFA Rates'!$F$5:$F$1004,$T1445))))</f>
        <v/>
      </c>
      <c r="I1445" s="50">
        <f>IF($T1445="","",IF($S1445="S",IF(INDEX(Firms!$H$5:$H$1004,$T1445)="","",INDEX(Firms!$H$5:$H$1004,$T1445)),IF(INDEX('AFA Rates'!$G$5:$G$1004,$T1445)="","",INDEX('AFA Rates'!$G$5:$G$1004,$T1445))))</f>
        <v/>
      </c>
      <c r="J1445" s="50">
        <f>IF($T1445="","",IF($S1445="S",IF(INDEX(Firms!$I$5:$I$1004,$T1445)="","",INDEX(Firms!$I$5:$I$1004,$T1445)),IF(INDEX('AFA Rates'!$H$5:$H$1004,$T1445)="","",INDEX('AFA Rates'!$H$5:$H$1004,$T1445))))</f>
        <v/>
      </c>
      <c r="K1445" s="50">
        <f>IF($T1445="","",IF($S1445="S",IF(INDEX(Firms!$J$5:$J$1004,$T1445)="","",INDEX(Firms!$J$5:$J$1004,$T1445)),IF(INDEX('AFA Rates'!$I$5:$I$1004,$T1445)="","",INDEX('AFA Rates'!$I$5:$I$1004,$T1445))))</f>
        <v/>
      </c>
      <c r="L1445" s="50">
        <f>IF($T1445="","",IF($S1445="S",IF(INDEX(Firms!$K$5:$K$1004,$T1445)="","",INDEX(Firms!$K$5:$K$1004,$T1445)),IF(INDEX('AFA Rates'!$J$5:$J$1004,$T1445)="","",INDEX('AFA Rates'!$J$5:$J$1004,$T1445))))</f>
        <v/>
      </c>
      <c r="M1445" s="50">
        <f>IF($T1445="","",IF($S1445="S",IF(INDEX(Firms!$L$5:$L$1004,$T1445)="","",INDEX(Firms!$L$5:$L$1004,$T1445)),IF(INDEX('AFA Rates'!$K$5:$K$1004,$T1445)="","",INDEX('AFA Rates'!$K$5:$K$1004,$T1445))))</f>
        <v/>
      </c>
      <c r="N1445" s="50">
        <f>IF($T1445="","",IF($S1445="S",IF(INDEX(Firms!$M$5:$M$1004,$T1445)="","",INDEX(Firms!$M$5:$M$1004,$T1445)),IF(INDEX('AFA Rates'!$L$5:$L$1004,$T1445)="","",INDEX('AFA Rates'!$L$5:$L$1004,$T1445))))</f>
        <v/>
      </c>
      <c r="O1445" s="78">
        <f>IF(OR($T1445="",$U1445=""),"",IF(INDEX(Firms!$C$5:$C$1004,$U1445)="","",INDEX(Firms!$C$5:$C$1004,$U1445)))</f>
        <v/>
      </c>
      <c r="P1445" s="79">
        <f>IF(OR($T1445="",$U1445=""),"",IF(INDEX(Firms!$N$5:$N$1004,$U1445)="","",INDEX(Firms!$N$5:$N$1004,$U1445)))</f>
        <v/>
      </c>
      <c r="Q1445" s="78">
        <f>IF($T1445="","",IF($S1445="S",IF(INDEX(Firms!$T$5:$T$1004,$T1445)="","",INDEX(Firms!$T$5:$T$1004,$T1445)),IF(INDEX('AFA Rates'!$M$5:$M$1004,$T1445)="","",INDEX('AFA Rates'!$M$5:$M$1004,$T1445))))</f>
        <v/>
      </c>
      <c r="S1445">
        <f>IF(1441&lt;=$S$2,"S",IF(1441&lt;=$S$2+$T$2,"A",""))</f>
        <v/>
      </c>
      <c r="T1445">
        <f>IF(S1445="S",MATCH(1441,Firms!$W$5:$W$1004,0),IF(S1445="A",IFERROR(MATCH(1441-$S$2,'AFA Rates'!$R$5:$R$1004,0),""),""))</f>
        <v/>
      </c>
      <c r="U1445">
        <f>IF(S1445="S",T1445,IF(AND(S1445="A",T1445&lt;&gt;""),IFERROR(MATCH(INDEX('AFA Rates'!$A$5:$A$1004,T1445),Firms!$A$5:$A$1004,0),""),""))</f>
        <v/>
      </c>
    </row>
    <row r="1446">
      <c r="A1446" s="78">
        <f>IF($T1446="","",IF($S1446="S",IF(INDEX(Firms!$A$5:$A$1004,$T1446)="","",INDEX(Firms!$A$5:$A$1004,$T1446)),IF(INDEX('AFA Rates'!$A$5:$A$1004,$T1446)="","",INDEX('AFA Rates'!$A$5:$A$1004,$T1446))))</f>
        <v/>
      </c>
      <c r="B1446" s="79">
        <f>IF(OR($T1446="",$U1446=""),IF($T1446="","","Not on Firms tab"),INDEX(Firms!$B$5:$B$1004,$U1446)&amp;"")</f>
        <v/>
      </c>
      <c r="C1446" s="78">
        <f>IF($T1446="","",IF($S1446="S","Standard",INDEX('AFA Rates'!$B$5:$B$1004,$T1446)&amp;""))</f>
        <v/>
      </c>
      <c r="D1446" s="88">
        <f>IF($T1446="","",IF($S1446="S",IF(INDEX(Firms!$E$5:$E$1004,$T1446)="","",INDEX(Firms!$E$5:$E$1004,$T1446)),IF(INDEX('AFA Rates'!$C$5:$C$1004,$T1446)="","",INDEX('AFA Rates'!$C$5:$C$1004,$T1446))))</f>
        <v/>
      </c>
      <c r="E1446" s="88">
        <f>IF($T1446="","",IF($S1446="S",IF(""="","",""),IF(INDEX('AFA Rates'!$D$5:$D$1004,$T1446)="","",INDEX('AFA Rates'!$D$5:$D$1004,$T1446))))</f>
        <v/>
      </c>
      <c r="F1446" s="79">
        <f>IF($T1446="","",IF($S1446="S",IF(INDEX(Firms!$O$5:$O$1004,$T1446)="","",INDEX(Firms!$O$5:$O$1004,$T1446)),IF(INDEX('AFA Rates'!$O$5:$O$1004,$T1446)="","",INDEX('AFA Rates'!$O$5:$O$1004,$T1446))))</f>
        <v/>
      </c>
      <c r="G1446" s="50">
        <f>IF($T1446="","",IF($S1446="S",IF(INDEX(Firms!$F$5:$F$1004,$T1446)="","",INDEX(Firms!$F$5:$F$1004,$T1446)),IF(INDEX('AFA Rates'!$E$5:$E$1004,$T1446)="","",INDEX('AFA Rates'!$E$5:$E$1004,$T1446))))</f>
        <v/>
      </c>
      <c r="H1446" s="50">
        <f>IF($T1446="","",IF($S1446="S",IF(INDEX(Firms!$G$5:$G$1004,$T1446)="","",INDEX(Firms!$G$5:$G$1004,$T1446)),IF(INDEX('AFA Rates'!$F$5:$F$1004,$T1446)="","",INDEX('AFA Rates'!$F$5:$F$1004,$T1446))))</f>
        <v/>
      </c>
      <c r="I1446" s="50">
        <f>IF($T1446="","",IF($S1446="S",IF(INDEX(Firms!$H$5:$H$1004,$T1446)="","",INDEX(Firms!$H$5:$H$1004,$T1446)),IF(INDEX('AFA Rates'!$G$5:$G$1004,$T1446)="","",INDEX('AFA Rates'!$G$5:$G$1004,$T1446))))</f>
        <v/>
      </c>
      <c r="J1446" s="50">
        <f>IF($T1446="","",IF($S1446="S",IF(INDEX(Firms!$I$5:$I$1004,$T1446)="","",INDEX(Firms!$I$5:$I$1004,$T1446)),IF(INDEX('AFA Rates'!$H$5:$H$1004,$T1446)="","",INDEX('AFA Rates'!$H$5:$H$1004,$T1446))))</f>
        <v/>
      </c>
      <c r="K1446" s="50">
        <f>IF($T1446="","",IF($S1446="S",IF(INDEX(Firms!$J$5:$J$1004,$T1446)="","",INDEX(Firms!$J$5:$J$1004,$T1446)),IF(INDEX('AFA Rates'!$I$5:$I$1004,$T1446)="","",INDEX('AFA Rates'!$I$5:$I$1004,$T1446))))</f>
        <v/>
      </c>
      <c r="L1446" s="50">
        <f>IF($T1446="","",IF($S1446="S",IF(INDEX(Firms!$K$5:$K$1004,$T1446)="","",INDEX(Firms!$K$5:$K$1004,$T1446)),IF(INDEX('AFA Rates'!$J$5:$J$1004,$T1446)="","",INDEX('AFA Rates'!$J$5:$J$1004,$T1446))))</f>
        <v/>
      </c>
      <c r="M1446" s="50">
        <f>IF($T1446="","",IF($S1446="S",IF(INDEX(Firms!$L$5:$L$1004,$T1446)="","",INDEX(Firms!$L$5:$L$1004,$T1446)),IF(INDEX('AFA Rates'!$K$5:$K$1004,$T1446)="","",INDEX('AFA Rates'!$K$5:$K$1004,$T1446))))</f>
        <v/>
      </c>
      <c r="N1446" s="50">
        <f>IF($T1446="","",IF($S1446="S",IF(INDEX(Firms!$M$5:$M$1004,$T1446)="","",INDEX(Firms!$M$5:$M$1004,$T1446)),IF(INDEX('AFA Rates'!$L$5:$L$1004,$T1446)="","",INDEX('AFA Rates'!$L$5:$L$1004,$T1446))))</f>
        <v/>
      </c>
      <c r="O1446" s="78">
        <f>IF(OR($T1446="",$U1446=""),"",IF(INDEX(Firms!$C$5:$C$1004,$U1446)="","",INDEX(Firms!$C$5:$C$1004,$U1446)))</f>
        <v/>
      </c>
      <c r="P1446" s="79">
        <f>IF(OR($T1446="",$U1446=""),"",IF(INDEX(Firms!$N$5:$N$1004,$U1446)="","",INDEX(Firms!$N$5:$N$1004,$U1446)))</f>
        <v/>
      </c>
      <c r="Q1446" s="78">
        <f>IF($T1446="","",IF($S1446="S",IF(INDEX(Firms!$T$5:$T$1004,$T1446)="","",INDEX(Firms!$T$5:$T$1004,$T1446)),IF(INDEX('AFA Rates'!$M$5:$M$1004,$T1446)="","",INDEX('AFA Rates'!$M$5:$M$1004,$T1446))))</f>
        <v/>
      </c>
      <c r="S1446">
        <f>IF(1442&lt;=$S$2,"S",IF(1442&lt;=$S$2+$T$2,"A",""))</f>
        <v/>
      </c>
      <c r="T1446">
        <f>IF(S1446="S",MATCH(1442,Firms!$W$5:$W$1004,0),IF(S1446="A",IFERROR(MATCH(1442-$S$2,'AFA Rates'!$R$5:$R$1004,0),""),""))</f>
        <v/>
      </c>
      <c r="U1446">
        <f>IF(S1446="S",T1446,IF(AND(S1446="A",T1446&lt;&gt;""),IFERROR(MATCH(INDEX('AFA Rates'!$A$5:$A$1004,T1446),Firms!$A$5:$A$1004,0),""),""))</f>
        <v/>
      </c>
    </row>
    <row r="1447">
      <c r="A1447" s="78">
        <f>IF($T1447="","",IF($S1447="S",IF(INDEX(Firms!$A$5:$A$1004,$T1447)="","",INDEX(Firms!$A$5:$A$1004,$T1447)),IF(INDEX('AFA Rates'!$A$5:$A$1004,$T1447)="","",INDEX('AFA Rates'!$A$5:$A$1004,$T1447))))</f>
        <v/>
      </c>
      <c r="B1447" s="79">
        <f>IF(OR($T1447="",$U1447=""),IF($T1447="","","Not on Firms tab"),INDEX(Firms!$B$5:$B$1004,$U1447)&amp;"")</f>
        <v/>
      </c>
      <c r="C1447" s="78">
        <f>IF($T1447="","",IF($S1447="S","Standard",INDEX('AFA Rates'!$B$5:$B$1004,$T1447)&amp;""))</f>
        <v/>
      </c>
      <c r="D1447" s="88">
        <f>IF($T1447="","",IF($S1447="S",IF(INDEX(Firms!$E$5:$E$1004,$T1447)="","",INDEX(Firms!$E$5:$E$1004,$T1447)),IF(INDEX('AFA Rates'!$C$5:$C$1004,$T1447)="","",INDEX('AFA Rates'!$C$5:$C$1004,$T1447))))</f>
        <v/>
      </c>
      <c r="E1447" s="88">
        <f>IF($T1447="","",IF($S1447="S",IF(""="","",""),IF(INDEX('AFA Rates'!$D$5:$D$1004,$T1447)="","",INDEX('AFA Rates'!$D$5:$D$1004,$T1447))))</f>
        <v/>
      </c>
      <c r="F1447" s="79">
        <f>IF($T1447="","",IF($S1447="S",IF(INDEX(Firms!$O$5:$O$1004,$T1447)="","",INDEX(Firms!$O$5:$O$1004,$T1447)),IF(INDEX('AFA Rates'!$O$5:$O$1004,$T1447)="","",INDEX('AFA Rates'!$O$5:$O$1004,$T1447))))</f>
        <v/>
      </c>
      <c r="G1447" s="50">
        <f>IF($T1447="","",IF($S1447="S",IF(INDEX(Firms!$F$5:$F$1004,$T1447)="","",INDEX(Firms!$F$5:$F$1004,$T1447)),IF(INDEX('AFA Rates'!$E$5:$E$1004,$T1447)="","",INDEX('AFA Rates'!$E$5:$E$1004,$T1447))))</f>
        <v/>
      </c>
      <c r="H1447" s="50">
        <f>IF($T1447="","",IF($S1447="S",IF(INDEX(Firms!$G$5:$G$1004,$T1447)="","",INDEX(Firms!$G$5:$G$1004,$T1447)),IF(INDEX('AFA Rates'!$F$5:$F$1004,$T1447)="","",INDEX('AFA Rates'!$F$5:$F$1004,$T1447))))</f>
        <v/>
      </c>
      <c r="I1447" s="50">
        <f>IF($T1447="","",IF($S1447="S",IF(INDEX(Firms!$H$5:$H$1004,$T1447)="","",INDEX(Firms!$H$5:$H$1004,$T1447)),IF(INDEX('AFA Rates'!$G$5:$G$1004,$T1447)="","",INDEX('AFA Rates'!$G$5:$G$1004,$T1447))))</f>
        <v/>
      </c>
      <c r="J1447" s="50">
        <f>IF($T1447="","",IF($S1447="S",IF(INDEX(Firms!$I$5:$I$1004,$T1447)="","",INDEX(Firms!$I$5:$I$1004,$T1447)),IF(INDEX('AFA Rates'!$H$5:$H$1004,$T1447)="","",INDEX('AFA Rates'!$H$5:$H$1004,$T1447))))</f>
        <v/>
      </c>
      <c r="K1447" s="50">
        <f>IF($T1447="","",IF($S1447="S",IF(INDEX(Firms!$J$5:$J$1004,$T1447)="","",INDEX(Firms!$J$5:$J$1004,$T1447)),IF(INDEX('AFA Rates'!$I$5:$I$1004,$T1447)="","",INDEX('AFA Rates'!$I$5:$I$1004,$T1447))))</f>
        <v/>
      </c>
      <c r="L1447" s="50">
        <f>IF($T1447="","",IF($S1447="S",IF(INDEX(Firms!$K$5:$K$1004,$T1447)="","",INDEX(Firms!$K$5:$K$1004,$T1447)),IF(INDEX('AFA Rates'!$J$5:$J$1004,$T1447)="","",INDEX('AFA Rates'!$J$5:$J$1004,$T1447))))</f>
        <v/>
      </c>
      <c r="M1447" s="50">
        <f>IF($T1447="","",IF($S1447="S",IF(INDEX(Firms!$L$5:$L$1004,$T1447)="","",INDEX(Firms!$L$5:$L$1004,$T1447)),IF(INDEX('AFA Rates'!$K$5:$K$1004,$T1447)="","",INDEX('AFA Rates'!$K$5:$K$1004,$T1447))))</f>
        <v/>
      </c>
      <c r="N1447" s="50">
        <f>IF($T1447="","",IF($S1447="S",IF(INDEX(Firms!$M$5:$M$1004,$T1447)="","",INDEX(Firms!$M$5:$M$1004,$T1447)),IF(INDEX('AFA Rates'!$L$5:$L$1004,$T1447)="","",INDEX('AFA Rates'!$L$5:$L$1004,$T1447))))</f>
        <v/>
      </c>
      <c r="O1447" s="78">
        <f>IF(OR($T1447="",$U1447=""),"",IF(INDEX(Firms!$C$5:$C$1004,$U1447)="","",INDEX(Firms!$C$5:$C$1004,$U1447)))</f>
        <v/>
      </c>
      <c r="P1447" s="79">
        <f>IF(OR($T1447="",$U1447=""),"",IF(INDEX(Firms!$N$5:$N$1004,$U1447)="","",INDEX(Firms!$N$5:$N$1004,$U1447)))</f>
        <v/>
      </c>
      <c r="Q1447" s="78">
        <f>IF($T1447="","",IF($S1447="S",IF(INDEX(Firms!$T$5:$T$1004,$T1447)="","",INDEX(Firms!$T$5:$T$1004,$T1447)),IF(INDEX('AFA Rates'!$M$5:$M$1004,$T1447)="","",INDEX('AFA Rates'!$M$5:$M$1004,$T1447))))</f>
        <v/>
      </c>
      <c r="S1447">
        <f>IF(1443&lt;=$S$2,"S",IF(1443&lt;=$S$2+$T$2,"A",""))</f>
        <v/>
      </c>
      <c r="T1447">
        <f>IF(S1447="S",MATCH(1443,Firms!$W$5:$W$1004,0),IF(S1447="A",IFERROR(MATCH(1443-$S$2,'AFA Rates'!$R$5:$R$1004,0),""),""))</f>
        <v/>
      </c>
      <c r="U1447">
        <f>IF(S1447="S",T1447,IF(AND(S1447="A",T1447&lt;&gt;""),IFERROR(MATCH(INDEX('AFA Rates'!$A$5:$A$1004,T1447),Firms!$A$5:$A$1004,0),""),""))</f>
        <v/>
      </c>
    </row>
    <row r="1448">
      <c r="A1448" s="78">
        <f>IF($T1448="","",IF($S1448="S",IF(INDEX(Firms!$A$5:$A$1004,$T1448)="","",INDEX(Firms!$A$5:$A$1004,$T1448)),IF(INDEX('AFA Rates'!$A$5:$A$1004,$T1448)="","",INDEX('AFA Rates'!$A$5:$A$1004,$T1448))))</f>
        <v/>
      </c>
      <c r="B1448" s="79">
        <f>IF(OR($T1448="",$U1448=""),IF($T1448="","","Not on Firms tab"),INDEX(Firms!$B$5:$B$1004,$U1448)&amp;"")</f>
        <v/>
      </c>
      <c r="C1448" s="78">
        <f>IF($T1448="","",IF($S1448="S","Standard",INDEX('AFA Rates'!$B$5:$B$1004,$T1448)&amp;""))</f>
        <v/>
      </c>
      <c r="D1448" s="88">
        <f>IF($T1448="","",IF($S1448="S",IF(INDEX(Firms!$E$5:$E$1004,$T1448)="","",INDEX(Firms!$E$5:$E$1004,$T1448)),IF(INDEX('AFA Rates'!$C$5:$C$1004,$T1448)="","",INDEX('AFA Rates'!$C$5:$C$1004,$T1448))))</f>
        <v/>
      </c>
      <c r="E1448" s="88">
        <f>IF($T1448="","",IF($S1448="S",IF(""="","",""),IF(INDEX('AFA Rates'!$D$5:$D$1004,$T1448)="","",INDEX('AFA Rates'!$D$5:$D$1004,$T1448))))</f>
        <v/>
      </c>
      <c r="F1448" s="79">
        <f>IF($T1448="","",IF($S1448="S",IF(INDEX(Firms!$O$5:$O$1004,$T1448)="","",INDEX(Firms!$O$5:$O$1004,$T1448)),IF(INDEX('AFA Rates'!$O$5:$O$1004,$T1448)="","",INDEX('AFA Rates'!$O$5:$O$1004,$T1448))))</f>
        <v/>
      </c>
      <c r="G1448" s="50">
        <f>IF($T1448="","",IF($S1448="S",IF(INDEX(Firms!$F$5:$F$1004,$T1448)="","",INDEX(Firms!$F$5:$F$1004,$T1448)),IF(INDEX('AFA Rates'!$E$5:$E$1004,$T1448)="","",INDEX('AFA Rates'!$E$5:$E$1004,$T1448))))</f>
        <v/>
      </c>
      <c r="H1448" s="50">
        <f>IF($T1448="","",IF($S1448="S",IF(INDEX(Firms!$G$5:$G$1004,$T1448)="","",INDEX(Firms!$G$5:$G$1004,$T1448)),IF(INDEX('AFA Rates'!$F$5:$F$1004,$T1448)="","",INDEX('AFA Rates'!$F$5:$F$1004,$T1448))))</f>
        <v/>
      </c>
      <c r="I1448" s="50">
        <f>IF($T1448="","",IF($S1448="S",IF(INDEX(Firms!$H$5:$H$1004,$T1448)="","",INDEX(Firms!$H$5:$H$1004,$T1448)),IF(INDEX('AFA Rates'!$G$5:$G$1004,$T1448)="","",INDEX('AFA Rates'!$G$5:$G$1004,$T1448))))</f>
        <v/>
      </c>
      <c r="J1448" s="50">
        <f>IF($T1448="","",IF($S1448="S",IF(INDEX(Firms!$I$5:$I$1004,$T1448)="","",INDEX(Firms!$I$5:$I$1004,$T1448)),IF(INDEX('AFA Rates'!$H$5:$H$1004,$T1448)="","",INDEX('AFA Rates'!$H$5:$H$1004,$T1448))))</f>
        <v/>
      </c>
      <c r="K1448" s="50">
        <f>IF($T1448="","",IF($S1448="S",IF(INDEX(Firms!$J$5:$J$1004,$T1448)="","",INDEX(Firms!$J$5:$J$1004,$T1448)),IF(INDEX('AFA Rates'!$I$5:$I$1004,$T1448)="","",INDEX('AFA Rates'!$I$5:$I$1004,$T1448))))</f>
        <v/>
      </c>
      <c r="L1448" s="50">
        <f>IF($T1448="","",IF($S1448="S",IF(INDEX(Firms!$K$5:$K$1004,$T1448)="","",INDEX(Firms!$K$5:$K$1004,$T1448)),IF(INDEX('AFA Rates'!$J$5:$J$1004,$T1448)="","",INDEX('AFA Rates'!$J$5:$J$1004,$T1448))))</f>
        <v/>
      </c>
      <c r="M1448" s="50">
        <f>IF($T1448="","",IF($S1448="S",IF(INDEX(Firms!$L$5:$L$1004,$T1448)="","",INDEX(Firms!$L$5:$L$1004,$T1448)),IF(INDEX('AFA Rates'!$K$5:$K$1004,$T1448)="","",INDEX('AFA Rates'!$K$5:$K$1004,$T1448))))</f>
        <v/>
      </c>
      <c r="N1448" s="50">
        <f>IF($T1448="","",IF($S1448="S",IF(INDEX(Firms!$M$5:$M$1004,$T1448)="","",INDEX(Firms!$M$5:$M$1004,$T1448)),IF(INDEX('AFA Rates'!$L$5:$L$1004,$T1448)="","",INDEX('AFA Rates'!$L$5:$L$1004,$T1448))))</f>
        <v/>
      </c>
      <c r="O1448" s="78">
        <f>IF(OR($T1448="",$U1448=""),"",IF(INDEX(Firms!$C$5:$C$1004,$U1448)="","",INDEX(Firms!$C$5:$C$1004,$U1448)))</f>
        <v/>
      </c>
      <c r="P1448" s="79">
        <f>IF(OR($T1448="",$U1448=""),"",IF(INDEX(Firms!$N$5:$N$1004,$U1448)="","",INDEX(Firms!$N$5:$N$1004,$U1448)))</f>
        <v/>
      </c>
      <c r="Q1448" s="78">
        <f>IF($T1448="","",IF($S1448="S",IF(INDEX(Firms!$T$5:$T$1004,$T1448)="","",INDEX(Firms!$T$5:$T$1004,$T1448)),IF(INDEX('AFA Rates'!$M$5:$M$1004,$T1448)="","",INDEX('AFA Rates'!$M$5:$M$1004,$T1448))))</f>
        <v/>
      </c>
      <c r="S1448">
        <f>IF(1444&lt;=$S$2,"S",IF(1444&lt;=$S$2+$T$2,"A",""))</f>
        <v/>
      </c>
      <c r="T1448">
        <f>IF(S1448="S",MATCH(1444,Firms!$W$5:$W$1004,0),IF(S1448="A",IFERROR(MATCH(1444-$S$2,'AFA Rates'!$R$5:$R$1004,0),""),""))</f>
        <v/>
      </c>
      <c r="U1448">
        <f>IF(S1448="S",T1448,IF(AND(S1448="A",T1448&lt;&gt;""),IFERROR(MATCH(INDEX('AFA Rates'!$A$5:$A$1004,T1448),Firms!$A$5:$A$1004,0),""),""))</f>
        <v/>
      </c>
    </row>
    <row r="1449">
      <c r="A1449" s="78">
        <f>IF($T1449="","",IF($S1449="S",IF(INDEX(Firms!$A$5:$A$1004,$T1449)="","",INDEX(Firms!$A$5:$A$1004,$T1449)),IF(INDEX('AFA Rates'!$A$5:$A$1004,$T1449)="","",INDEX('AFA Rates'!$A$5:$A$1004,$T1449))))</f>
        <v/>
      </c>
      <c r="B1449" s="79">
        <f>IF(OR($T1449="",$U1449=""),IF($T1449="","","Not on Firms tab"),INDEX(Firms!$B$5:$B$1004,$U1449)&amp;"")</f>
        <v/>
      </c>
      <c r="C1449" s="78">
        <f>IF($T1449="","",IF($S1449="S","Standard",INDEX('AFA Rates'!$B$5:$B$1004,$T1449)&amp;""))</f>
        <v/>
      </c>
      <c r="D1449" s="88">
        <f>IF($T1449="","",IF($S1449="S",IF(INDEX(Firms!$E$5:$E$1004,$T1449)="","",INDEX(Firms!$E$5:$E$1004,$T1449)),IF(INDEX('AFA Rates'!$C$5:$C$1004,$T1449)="","",INDEX('AFA Rates'!$C$5:$C$1004,$T1449))))</f>
        <v/>
      </c>
      <c r="E1449" s="88">
        <f>IF($T1449="","",IF($S1449="S",IF(""="","",""),IF(INDEX('AFA Rates'!$D$5:$D$1004,$T1449)="","",INDEX('AFA Rates'!$D$5:$D$1004,$T1449))))</f>
        <v/>
      </c>
      <c r="F1449" s="79">
        <f>IF($T1449="","",IF($S1449="S",IF(INDEX(Firms!$O$5:$O$1004,$T1449)="","",INDEX(Firms!$O$5:$O$1004,$T1449)),IF(INDEX('AFA Rates'!$O$5:$O$1004,$T1449)="","",INDEX('AFA Rates'!$O$5:$O$1004,$T1449))))</f>
        <v/>
      </c>
      <c r="G1449" s="50">
        <f>IF($T1449="","",IF($S1449="S",IF(INDEX(Firms!$F$5:$F$1004,$T1449)="","",INDEX(Firms!$F$5:$F$1004,$T1449)),IF(INDEX('AFA Rates'!$E$5:$E$1004,$T1449)="","",INDEX('AFA Rates'!$E$5:$E$1004,$T1449))))</f>
        <v/>
      </c>
      <c r="H1449" s="50">
        <f>IF($T1449="","",IF($S1449="S",IF(INDEX(Firms!$G$5:$G$1004,$T1449)="","",INDEX(Firms!$G$5:$G$1004,$T1449)),IF(INDEX('AFA Rates'!$F$5:$F$1004,$T1449)="","",INDEX('AFA Rates'!$F$5:$F$1004,$T1449))))</f>
        <v/>
      </c>
      <c r="I1449" s="50">
        <f>IF($T1449="","",IF($S1449="S",IF(INDEX(Firms!$H$5:$H$1004,$T1449)="","",INDEX(Firms!$H$5:$H$1004,$T1449)),IF(INDEX('AFA Rates'!$G$5:$G$1004,$T1449)="","",INDEX('AFA Rates'!$G$5:$G$1004,$T1449))))</f>
        <v/>
      </c>
      <c r="J1449" s="50">
        <f>IF($T1449="","",IF($S1449="S",IF(INDEX(Firms!$I$5:$I$1004,$T1449)="","",INDEX(Firms!$I$5:$I$1004,$T1449)),IF(INDEX('AFA Rates'!$H$5:$H$1004,$T1449)="","",INDEX('AFA Rates'!$H$5:$H$1004,$T1449))))</f>
        <v/>
      </c>
      <c r="K1449" s="50">
        <f>IF($T1449="","",IF($S1449="S",IF(INDEX(Firms!$J$5:$J$1004,$T1449)="","",INDEX(Firms!$J$5:$J$1004,$T1449)),IF(INDEX('AFA Rates'!$I$5:$I$1004,$T1449)="","",INDEX('AFA Rates'!$I$5:$I$1004,$T1449))))</f>
        <v/>
      </c>
      <c r="L1449" s="50">
        <f>IF($T1449="","",IF($S1449="S",IF(INDEX(Firms!$K$5:$K$1004,$T1449)="","",INDEX(Firms!$K$5:$K$1004,$T1449)),IF(INDEX('AFA Rates'!$J$5:$J$1004,$T1449)="","",INDEX('AFA Rates'!$J$5:$J$1004,$T1449))))</f>
        <v/>
      </c>
      <c r="M1449" s="50">
        <f>IF($T1449="","",IF($S1449="S",IF(INDEX(Firms!$L$5:$L$1004,$T1449)="","",INDEX(Firms!$L$5:$L$1004,$T1449)),IF(INDEX('AFA Rates'!$K$5:$K$1004,$T1449)="","",INDEX('AFA Rates'!$K$5:$K$1004,$T1449))))</f>
        <v/>
      </c>
      <c r="N1449" s="50">
        <f>IF($T1449="","",IF($S1449="S",IF(INDEX(Firms!$M$5:$M$1004,$T1449)="","",INDEX(Firms!$M$5:$M$1004,$T1449)),IF(INDEX('AFA Rates'!$L$5:$L$1004,$T1449)="","",INDEX('AFA Rates'!$L$5:$L$1004,$T1449))))</f>
        <v/>
      </c>
      <c r="O1449" s="78">
        <f>IF(OR($T1449="",$U1449=""),"",IF(INDEX(Firms!$C$5:$C$1004,$U1449)="","",INDEX(Firms!$C$5:$C$1004,$U1449)))</f>
        <v/>
      </c>
      <c r="P1449" s="79">
        <f>IF(OR($T1449="",$U1449=""),"",IF(INDEX(Firms!$N$5:$N$1004,$U1449)="","",INDEX(Firms!$N$5:$N$1004,$U1449)))</f>
        <v/>
      </c>
      <c r="Q1449" s="78">
        <f>IF($T1449="","",IF($S1449="S",IF(INDEX(Firms!$T$5:$T$1004,$T1449)="","",INDEX(Firms!$T$5:$T$1004,$T1449)),IF(INDEX('AFA Rates'!$M$5:$M$1004,$T1449)="","",INDEX('AFA Rates'!$M$5:$M$1004,$T1449))))</f>
        <v/>
      </c>
      <c r="S1449">
        <f>IF(1445&lt;=$S$2,"S",IF(1445&lt;=$S$2+$T$2,"A",""))</f>
        <v/>
      </c>
      <c r="T1449">
        <f>IF(S1449="S",MATCH(1445,Firms!$W$5:$W$1004,0),IF(S1449="A",IFERROR(MATCH(1445-$S$2,'AFA Rates'!$R$5:$R$1004,0),""),""))</f>
        <v/>
      </c>
      <c r="U1449">
        <f>IF(S1449="S",T1449,IF(AND(S1449="A",T1449&lt;&gt;""),IFERROR(MATCH(INDEX('AFA Rates'!$A$5:$A$1004,T1449),Firms!$A$5:$A$1004,0),""),""))</f>
        <v/>
      </c>
    </row>
    <row r="1450">
      <c r="A1450" s="78">
        <f>IF($T1450="","",IF($S1450="S",IF(INDEX(Firms!$A$5:$A$1004,$T1450)="","",INDEX(Firms!$A$5:$A$1004,$T1450)),IF(INDEX('AFA Rates'!$A$5:$A$1004,$T1450)="","",INDEX('AFA Rates'!$A$5:$A$1004,$T1450))))</f>
        <v/>
      </c>
      <c r="B1450" s="79">
        <f>IF(OR($T1450="",$U1450=""),IF($T1450="","","Not on Firms tab"),INDEX(Firms!$B$5:$B$1004,$U1450)&amp;"")</f>
        <v/>
      </c>
      <c r="C1450" s="78">
        <f>IF($T1450="","",IF($S1450="S","Standard",INDEX('AFA Rates'!$B$5:$B$1004,$T1450)&amp;""))</f>
        <v/>
      </c>
      <c r="D1450" s="88">
        <f>IF($T1450="","",IF($S1450="S",IF(INDEX(Firms!$E$5:$E$1004,$T1450)="","",INDEX(Firms!$E$5:$E$1004,$T1450)),IF(INDEX('AFA Rates'!$C$5:$C$1004,$T1450)="","",INDEX('AFA Rates'!$C$5:$C$1004,$T1450))))</f>
        <v/>
      </c>
      <c r="E1450" s="88">
        <f>IF($T1450="","",IF($S1450="S",IF(""="","",""),IF(INDEX('AFA Rates'!$D$5:$D$1004,$T1450)="","",INDEX('AFA Rates'!$D$5:$D$1004,$T1450))))</f>
        <v/>
      </c>
      <c r="F1450" s="79">
        <f>IF($T1450="","",IF($S1450="S",IF(INDEX(Firms!$O$5:$O$1004,$T1450)="","",INDEX(Firms!$O$5:$O$1004,$T1450)),IF(INDEX('AFA Rates'!$O$5:$O$1004,$T1450)="","",INDEX('AFA Rates'!$O$5:$O$1004,$T1450))))</f>
        <v/>
      </c>
      <c r="G1450" s="50">
        <f>IF($T1450="","",IF($S1450="S",IF(INDEX(Firms!$F$5:$F$1004,$T1450)="","",INDEX(Firms!$F$5:$F$1004,$T1450)),IF(INDEX('AFA Rates'!$E$5:$E$1004,$T1450)="","",INDEX('AFA Rates'!$E$5:$E$1004,$T1450))))</f>
        <v/>
      </c>
      <c r="H1450" s="50">
        <f>IF($T1450="","",IF($S1450="S",IF(INDEX(Firms!$G$5:$G$1004,$T1450)="","",INDEX(Firms!$G$5:$G$1004,$T1450)),IF(INDEX('AFA Rates'!$F$5:$F$1004,$T1450)="","",INDEX('AFA Rates'!$F$5:$F$1004,$T1450))))</f>
        <v/>
      </c>
      <c r="I1450" s="50">
        <f>IF($T1450="","",IF($S1450="S",IF(INDEX(Firms!$H$5:$H$1004,$T1450)="","",INDEX(Firms!$H$5:$H$1004,$T1450)),IF(INDEX('AFA Rates'!$G$5:$G$1004,$T1450)="","",INDEX('AFA Rates'!$G$5:$G$1004,$T1450))))</f>
        <v/>
      </c>
      <c r="J1450" s="50">
        <f>IF($T1450="","",IF($S1450="S",IF(INDEX(Firms!$I$5:$I$1004,$T1450)="","",INDEX(Firms!$I$5:$I$1004,$T1450)),IF(INDEX('AFA Rates'!$H$5:$H$1004,$T1450)="","",INDEX('AFA Rates'!$H$5:$H$1004,$T1450))))</f>
        <v/>
      </c>
      <c r="K1450" s="50">
        <f>IF($T1450="","",IF($S1450="S",IF(INDEX(Firms!$J$5:$J$1004,$T1450)="","",INDEX(Firms!$J$5:$J$1004,$T1450)),IF(INDEX('AFA Rates'!$I$5:$I$1004,$T1450)="","",INDEX('AFA Rates'!$I$5:$I$1004,$T1450))))</f>
        <v/>
      </c>
      <c r="L1450" s="50">
        <f>IF($T1450="","",IF($S1450="S",IF(INDEX(Firms!$K$5:$K$1004,$T1450)="","",INDEX(Firms!$K$5:$K$1004,$T1450)),IF(INDEX('AFA Rates'!$J$5:$J$1004,$T1450)="","",INDEX('AFA Rates'!$J$5:$J$1004,$T1450))))</f>
        <v/>
      </c>
      <c r="M1450" s="50">
        <f>IF($T1450="","",IF($S1450="S",IF(INDEX(Firms!$L$5:$L$1004,$T1450)="","",INDEX(Firms!$L$5:$L$1004,$T1450)),IF(INDEX('AFA Rates'!$K$5:$K$1004,$T1450)="","",INDEX('AFA Rates'!$K$5:$K$1004,$T1450))))</f>
        <v/>
      </c>
      <c r="N1450" s="50">
        <f>IF($T1450="","",IF($S1450="S",IF(INDEX(Firms!$M$5:$M$1004,$T1450)="","",INDEX(Firms!$M$5:$M$1004,$T1450)),IF(INDEX('AFA Rates'!$L$5:$L$1004,$T1450)="","",INDEX('AFA Rates'!$L$5:$L$1004,$T1450))))</f>
        <v/>
      </c>
      <c r="O1450" s="78">
        <f>IF(OR($T1450="",$U1450=""),"",IF(INDEX(Firms!$C$5:$C$1004,$U1450)="","",INDEX(Firms!$C$5:$C$1004,$U1450)))</f>
        <v/>
      </c>
      <c r="P1450" s="79">
        <f>IF(OR($T1450="",$U1450=""),"",IF(INDEX(Firms!$N$5:$N$1004,$U1450)="","",INDEX(Firms!$N$5:$N$1004,$U1450)))</f>
        <v/>
      </c>
      <c r="Q1450" s="78">
        <f>IF($T1450="","",IF($S1450="S",IF(INDEX(Firms!$T$5:$T$1004,$T1450)="","",INDEX(Firms!$T$5:$T$1004,$T1450)),IF(INDEX('AFA Rates'!$M$5:$M$1004,$T1450)="","",INDEX('AFA Rates'!$M$5:$M$1004,$T1450))))</f>
        <v/>
      </c>
      <c r="S1450">
        <f>IF(1446&lt;=$S$2,"S",IF(1446&lt;=$S$2+$T$2,"A",""))</f>
        <v/>
      </c>
      <c r="T1450">
        <f>IF(S1450="S",MATCH(1446,Firms!$W$5:$W$1004,0),IF(S1450="A",IFERROR(MATCH(1446-$S$2,'AFA Rates'!$R$5:$R$1004,0),""),""))</f>
        <v/>
      </c>
      <c r="U1450">
        <f>IF(S1450="S",T1450,IF(AND(S1450="A",T1450&lt;&gt;""),IFERROR(MATCH(INDEX('AFA Rates'!$A$5:$A$1004,T1450),Firms!$A$5:$A$1004,0),""),""))</f>
        <v/>
      </c>
    </row>
    <row r="1451">
      <c r="A1451" s="78">
        <f>IF($T1451="","",IF($S1451="S",IF(INDEX(Firms!$A$5:$A$1004,$T1451)="","",INDEX(Firms!$A$5:$A$1004,$T1451)),IF(INDEX('AFA Rates'!$A$5:$A$1004,$T1451)="","",INDEX('AFA Rates'!$A$5:$A$1004,$T1451))))</f>
        <v/>
      </c>
      <c r="B1451" s="79">
        <f>IF(OR($T1451="",$U1451=""),IF($T1451="","","Not on Firms tab"),INDEX(Firms!$B$5:$B$1004,$U1451)&amp;"")</f>
        <v/>
      </c>
      <c r="C1451" s="78">
        <f>IF($T1451="","",IF($S1451="S","Standard",INDEX('AFA Rates'!$B$5:$B$1004,$T1451)&amp;""))</f>
        <v/>
      </c>
      <c r="D1451" s="88">
        <f>IF($T1451="","",IF($S1451="S",IF(INDEX(Firms!$E$5:$E$1004,$T1451)="","",INDEX(Firms!$E$5:$E$1004,$T1451)),IF(INDEX('AFA Rates'!$C$5:$C$1004,$T1451)="","",INDEX('AFA Rates'!$C$5:$C$1004,$T1451))))</f>
        <v/>
      </c>
      <c r="E1451" s="88">
        <f>IF($T1451="","",IF($S1451="S",IF(""="","",""),IF(INDEX('AFA Rates'!$D$5:$D$1004,$T1451)="","",INDEX('AFA Rates'!$D$5:$D$1004,$T1451))))</f>
        <v/>
      </c>
      <c r="F1451" s="79">
        <f>IF($T1451="","",IF($S1451="S",IF(INDEX(Firms!$O$5:$O$1004,$T1451)="","",INDEX(Firms!$O$5:$O$1004,$T1451)),IF(INDEX('AFA Rates'!$O$5:$O$1004,$T1451)="","",INDEX('AFA Rates'!$O$5:$O$1004,$T1451))))</f>
        <v/>
      </c>
      <c r="G1451" s="50">
        <f>IF($T1451="","",IF($S1451="S",IF(INDEX(Firms!$F$5:$F$1004,$T1451)="","",INDEX(Firms!$F$5:$F$1004,$T1451)),IF(INDEX('AFA Rates'!$E$5:$E$1004,$T1451)="","",INDEX('AFA Rates'!$E$5:$E$1004,$T1451))))</f>
        <v/>
      </c>
      <c r="H1451" s="50">
        <f>IF($T1451="","",IF($S1451="S",IF(INDEX(Firms!$G$5:$G$1004,$T1451)="","",INDEX(Firms!$G$5:$G$1004,$T1451)),IF(INDEX('AFA Rates'!$F$5:$F$1004,$T1451)="","",INDEX('AFA Rates'!$F$5:$F$1004,$T1451))))</f>
        <v/>
      </c>
      <c r="I1451" s="50">
        <f>IF($T1451="","",IF($S1451="S",IF(INDEX(Firms!$H$5:$H$1004,$T1451)="","",INDEX(Firms!$H$5:$H$1004,$T1451)),IF(INDEX('AFA Rates'!$G$5:$G$1004,$T1451)="","",INDEX('AFA Rates'!$G$5:$G$1004,$T1451))))</f>
        <v/>
      </c>
      <c r="J1451" s="50">
        <f>IF($T1451="","",IF($S1451="S",IF(INDEX(Firms!$I$5:$I$1004,$T1451)="","",INDEX(Firms!$I$5:$I$1004,$T1451)),IF(INDEX('AFA Rates'!$H$5:$H$1004,$T1451)="","",INDEX('AFA Rates'!$H$5:$H$1004,$T1451))))</f>
        <v/>
      </c>
      <c r="K1451" s="50">
        <f>IF($T1451="","",IF($S1451="S",IF(INDEX(Firms!$J$5:$J$1004,$T1451)="","",INDEX(Firms!$J$5:$J$1004,$T1451)),IF(INDEX('AFA Rates'!$I$5:$I$1004,$T1451)="","",INDEX('AFA Rates'!$I$5:$I$1004,$T1451))))</f>
        <v/>
      </c>
      <c r="L1451" s="50">
        <f>IF($T1451="","",IF($S1451="S",IF(INDEX(Firms!$K$5:$K$1004,$T1451)="","",INDEX(Firms!$K$5:$K$1004,$T1451)),IF(INDEX('AFA Rates'!$J$5:$J$1004,$T1451)="","",INDEX('AFA Rates'!$J$5:$J$1004,$T1451))))</f>
        <v/>
      </c>
      <c r="M1451" s="50">
        <f>IF($T1451="","",IF($S1451="S",IF(INDEX(Firms!$L$5:$L$1004,$T1451)="","",INDEX(Firms!$L$5:$L$1004,$T1451)),IF(INDEX('AFA Rates'!$K$5:$K$1004,$T1451)="","",INDEX('AFA Rates'!$K$5:$K$1004,$T1451))))</f>
        <v/>
      </c>
      <c r="N1451" s="50">
        <f>IF($T1451="","",IF($S1451="S",IF(INDEX(Firms!$M$5:$M$1004,$T1451)="","",INDEX(Firms!$M$5:$M$1004,$T1451)),IF(INDEX('AFA Rates'!$L$5:$L$1004,$T1451)="","",INDEX('AFA Rates'!$L$5:$L$1004,$T1451))))</f>
        <v/>
      </c>
      <c r="O1451" s="78">
        <f>IF(OR($T1451="",$U1451=""),"",IF(INDEX(Firms!$C$5:$C$1004,$U1451)="","",INDEX(Firms!$C$5:$C$1004,$U1451)))</f>
        <v/>
      </c>
      <c r="P1451" s="79">
        <f>IF(OR($T1451="",$U1451=""),"",IF(INDEX(Firms!$N$5:$N$1004,$U1451)="","",INDEX(Firms!$N$5:$N$1004,$U1451)))</f>
        <v/>
      </c>
      <c r="Q1451" s="78">
        <f>IF($T1451="","",IF($S1451="S",IF(INDEX(Firms!$T$5:$T$1004,$T1451)="","",INDEX(Firms!$T$5:$T$1004,$T1451)),IF(INDEX('AFA Rates'!$M$5:$M$1004,$T1451)="","",INDEX('AFA Rates'!$M$5:$M$1004,$T1451))))</f>
        <v/>
      </c>
      <c r="S1451">
        <f>IF(1447&lt;=$S$2,"S",IF(1447&lt;=$S$2+$T$2,"A",""))</f>
        <v/>
      </c>
      <c r="T1451">
        <f>IF(S1451="S",MATCH(1447,Firms!$W$5:$W$1004,0),IF(S1451="A",IFERROR(MATCH(1447-$S$2,'AFA Rates'!$R$5:$R$1004,0),""),""))</f>
        <v/>
      </c>
      <c r="U1451">
        <f>IF(S1451="S",T1451,IF(AND(S1451="A",T1451&lt;&gt;""),IFERROR(MATCH(INDEX('AFA Rates'!$A$5:$A$1004,T1451),Firms!$A$5:$A$1004,0),""),""))</f>
        <v/>
      </c>
    </row>
    <row r="1452">
      <c r="A1452" s="78">
        <f>IF($T1452="","",IF($S1452="S",IF(INDEX(Firms!$A$5:$A$1004,$T1452)="","",INDEX(Firms!$A$5:$A$1004,$T1452)),IF(INDEX('AFA Rates'!$A$5:$A$1004,$T1452)="","",INDEX('AFA Rates'!$A$5:$A$1004,$T1452))))</f>
        <v/>
      </c>
      <c r="B1452" s="79">
        <f>IF(OR($T1452="",$U1452=""),IF($T1452="","","Not on Firms tab"),INDEX(Firms!$B$5:$B$1004,$U1452)&amp;"")</f>
        <v/>
      </c>
      <c r="C1452" s="78">
        <f>IF($T1452="","",IF($S1452="S","Standard",INDEX('AFA Rates'!$B$5:$B$1004,$T1452)&amp;""))</f>
        <v/>
      </c>
      <c r="D1452" s="88">
        <f>IF($T1452="","",IF($S1452="S",IF(INDEX(Firms!$E$5:$E$1004,$T1452)="","",INDEX(Firms!$E$5:$E$1004,$T1452)),IF(INDEX('AFA Rates'!$C$5:$C$1004,$T1452)="","",INDEX('AFA Rates'!$C$5:$C$1004,$T1452))))</f>
        <v/>
      </c>
      <c r="E1452" s="88">
        <f>IF($T1452="","",IF($S1452="S",IF(""="","",""),IF(INDEX('AFA Rates'!$D$5:$D$1004,$T1452)="","",INDEX('AFA Rates'!$D$5:$D$1004,$T1452))))</f>
        <v/>
      </c>
      <c r="F1452" s="79">
        <f>IF($T1452="","",IF($S1452="S",IF(INDEX(Firms!$O$5:$O$1004,$T1452)="","",INDEX(Firms!$O$5:$O$1004,$T1452)),IF(INDEX('AFA Rates'!$O$5:$O$1004,$T1452)="","",INDEX('AFA Rates'!$O$5:$O$1004,$T1452))))</f>
        <v/>
      </c>
      <c r="G1452" s="50">
        <f>IF($T1452="","",IF($S1452="S",IF(INDEX(Firms!$F$5:$F$1004,$T1452)="","",INDEX(Firms!$F$5:$F$1004,$T1452)),IF(INDEX('AFA Rates'!$E$5:$E$1004,$T1452)="","",INDEX('AFA Rates'!$E$5:$E$1004,$T1452))))</f>
        <v/>
      </c>
      <c r="H1452" s="50">
        <f>IF($T1452="","",IF($S1452="S",IF(INDEX(Firms!$G$5:$G$1004,$T1452)="","",INDEX(Firms!$G$5:$G$1004,$T1452)),IF(INDEX('AFA Rates'!$F$5:$F$1004,$T1452)="","",INDEX('AFA Rates'!$F$5:$F$1004,$T1452))))</f>
        <v/>
      </c>
      <c r="I1452" s="50">
        <f>IF($T1452="","",IF($S1452="S",IF(INDEX(Firms!$H$5:$H$1004,$T1452)="","",INDEX(Firms!$H$5:$H$1004,$T1452)),IF(INDEX('AFA Rates'!$G$5:$G$1004,$T1452)="","",INDEX('AFA Rates'!$G$5:$G$1004,$T1452))))</f>
        <v/>
      </c>
      <c r="J1452" s="50">
        <f>IF($T1452="","",IF($S1452="S",IF(INDEX(Firms!$I$5:$I$1004,$T1452)="","",INDEX(Firms!$I$5:$I$1004,$T1452)),IF(INDEX('AFA Rates'!$H$5:$H$1004,$T1452)="","",INDEX('AFA Rates'!$H$5:$H$1004,$T1452))))</f>
        <v/>
      </c>
      <c r="K1452" s="50">
        <f>IF($T1452="","",IF($S1452="S",IF(INDEX(Firms!$J$5:$J$1004,$T1452)="","",INDEX(Firms!$J$5:$J$1004,$T1452)),IF(INDEX('AFA Rates'!$I$5:$I$1004,$T1452)="","",INDEX('AFA Rates'!$I$5:$I$1004,$T1452))))</f>
        <v/>
      </c>
      <c r="L1452" s="50">
        <f>IF($T1452="","",IF($S1452="S",IF(INDEX(Firms!$K$5:$K$1004,$T1452)="","",INDEX(Firms!$K$5:$K$1004,$T1452)),IF(INDEX('AFA Rates'!$J$5:$J$1004,$T1452)="","",INDEX('AFA Rates'!$J$5:$J$1004,$T1452))))</f>
        <v/>
      </c>
      <c r="M1452" s="50">
        <f>IF($T1452="","",IF($S1452="S",IF(INDEX(Firms!$L$5:$L$1004,$T1452)="","",INDEX(Firms!$L$5:$L$1004,$T1452)),IF(INDEX('AFA Rates'!$K$5:$K$1004,$T1452)="","",INDEX('AFA Rates'!$K$5:$K$1004,$T1452))))</f>
        <v/>
      </c>
      <c r="N1452" s="50">
        <f>IF($T1452="","",IF($S1452="S",IF(INDEX(Firms!$M$5:$M$1004,$T1452)="","",INDEX(Firms!$M$5:$M$1004,$T1452)),IF(INDEX('AFA Rates'!$L$5:$L$1004,$T1452)="","",INDEX('AFA Rates'!$L$5:$L$1004,$T1452))))</f>
        <v/>
      </c>
      <c r="O1452" s="78">
        <f>IF(OR($T1452="",$U1452=""),"",IF(INDEX(Firms!$C$5:$C$1004,$U1452)="","",INDEX(Firms!$C$5:$C$1004,$U1452)))</f>
        <v/>
      </c>
      <c r="P1452" s="79">
        <f>IF(OR($T1452="",$U1452=""),"",IF(INDEX(Firms!$N$5:$N$1004,$U1452)="","",INDEX(Firms!$N$5:$N$1004,$U1452)))</f>
        <v/>
      </c>
      <c r="Q1452" s="78">
        <f>IF($T1452="","",IF($S1452="S",IF(INDEX(Firms!$T$5:$T$1004,$T1452)="","",INDEX(Firms!$T$5:$T$1004,$T1452)),IF(INDEX('AFA Rates'!$M$5:$M$1004,$T1452)="","",INDEX('AFA Rates'!$M$5:$M$1004,$T1452))))</f>
        <v/>
      </c>
      <c r="S1452">
        <f>IF(1448&lt;=$S$2,"S",IF(1448&lt;=$S$2+$T$2,"A",""))</f>
        <v/>
      </c>
      <c r="T1452">
        <f>IF(S1452="S",MATCH(1448,Firms!$W$5:$W$1004,0),IF(S1452="A",IFERROR(MATCH(1448-$S$2,'AFA Rates'!$R$5:$R$1004,0),""),""))</f>
        <v/>
      </c>
      <c r="U1452">
        <f>IF(S1452="S",T1452,IF(AND(S1452="A",T1452&lt;&gt;""),IFERROR(MATCH(INDEX('AFA Rates'!$A$5:$A$1004,T1452),Firms!$A$5:$A$1004,0),""),""))</f>
        <v/>
      </c>
    </row>
    <row r="1453">
      <c r="A1453" s="78">
        <f>IF($T1453="","",IF($S1453="S",IF(INDEX(Firms!$A$5:$A$1004,$T1453)="","",INDEX(Firms!$A$5:$A$1004,$T1453)),IF(INDEX('AFA Rates'!$A$5:$A$1004,$T1453)="","",INDEX('AFA Rates'!$A$5:$A$1004,$T1453))))</f>
        <v/>
      </c>
      <c r="B1453" s="79">
        <f>IF(OR($T1453="",$U1453=""),IF($T1453="","","Not on Firms tab"),INDEX(Firms!$B$5:$B$1004,$U1453)&amp;"")</f>
        <v/>
      </c>
      <c r="C1453" s="78">
        <f>IF($T1453="","",IF($S1453="S","Standard",INDEX('AFA Rates'!$B$5:$B$1004,$T1453)&amp;""))</f>
        <v/>
      </c>
      <c r="D1453" s="88">
        <f>IF($T1453="","",IF($S1453="S",IF(INDEX(Firms!$E$5:$E$1004,$T1453)="","",INDEX(Firms!$E$5:$E$1004,$T1453)),IF(INDEX('AFA Rates'!$C$5:$C$1004,$T1453)="","",INDEX('AFA Rates'!$C$5:$C$1004,$T1453))))</f>
        <v/>
      </c>
      <c r="E1453" s="88">
        <f>IF($T1453="","",IF($S1453="S",IF(""="","",""),IF(INDEX('AFA Rates'!$D$5:$D$1004,$T1453)="","",INDEX('AFA Rates'!$D$5:$D$1004,$T1453))))</f>
        <v/>
      </c>
      <c r="F1453" s="79">
        <f>IF($T1453="","",IF($S1453="S",IF(INDEX(Firms!$O$5:$O$1004,$T1453)="","",INDEX(Firms!$O$5:$O$1004,$T1453)),IF(INDEX('AFA Rates'!$O$5:$O$1004,$T1453)="","",INDEX('AFA Rates'!$O$5:$O$1004,$T1453))))</f>
        <v/>
      </c>
      <c r="G1453" s="50">
        <f>IF($T1453="","",IF($S1453="S",IF(INDEX(Firms!$F$5:$F$1004,$T1453)="","",INDEX(Firms!$F$5:$F$1004,$T1453)),IF(INDEX('AFA Rates'!$E$5:$E$1004,$T1453)="","",INDEX('AFA Rates'!$E$5:$E$1004,$T1453))))</f>
        <v/>
      </c>
      <c r="H1453" s="50">
        <f>IF($T1453="","",IF($S1453="S",IF(INDEX(Firms!$G$5:$G$1004,$T1453)="","",INDEX(Firms!$G$5:$G$1004,$T1453)),IF(INDEX('AFA Rates'!$F$5:$F$1004,$T1453)="","",INDEX('AFA Rates'!$F$5:$F$1004,$T1453))))</f>
        <v/>
      </c>
      <c r="I1453" s="50">
        <f>IF($T1453="","",IF($S1453="S",IF(INDEX(Firms!$H$5:$H$1004,$T1453)="","",INDEX(Firms!$H$5:$H$1004,$T1453)),IF(INDEX('AFA Rates'!$G$5:$G$1004,$T1453)="","",INDEX('AFA Rates'!$G$5:$G$1004,$T1453))))</f>
        <v/>
      </c>
      <c r="J1453" s="50">
        <f>IF($T1453="","",IF($S1453="S",IF(INDEX(Firms!$I$5:$I$1004,$T1453)="","",INDEX(Firms!$I$5:$I$1004,$T1453)),IF(INDEX('AFA Rates'!$H$5:$H$1004,$T1453)="","",INDEX('AFA Rates'!$H$5:$H$1004,$T1453))))</f>
        <v/>
      </c>
      <c r="K1453" s="50">
        <f>IF($T1453="","",IF($S1453="S",IF(INDEX(Firms!$J$5:$J$1004,$T1453)="","",INDEX(Firms!$J$5:$J$1004,$T1453)),IF(INDEX('AFA Rates'!$I$5:$I$1004,$T1453)="","",INDEX('AFA Rates'!$I$5:$I$1004,$T1453))))</f>
        <v/>
      </c>
      <c r="L1453" s="50">
        <f>IF($T1453="","",IF($S1453="S",IF(INDEX(Firms!$K$5:$K$1004,$T1453)="","",INDEX(Firms!$K$5:$K$1004,$T1453)),IF(INDEX('AFA Rates'!$J$5:$J$1004,$T1453)="","",INDEX('AFA Rates'!$J$5:$J$1004,$T1453))))</f>
        <v/>
      </c>
      <c r="M1453" s="50">
        <f>IF($T1453="","",IF($S1453="S",IF(INDEX(Firms!$L$5:$L$1004,$T1453)="","",INDEX(Firms!$L$5:$L$1004,$T1453)),IF(INDEX('AFA Rates'!$K$5:$K$1004,$T1453)="","",INDEX('AFA Rates'!$K$5:$K$1004,$T1453))))</f>
        <v/>
      </c>
      <c r="N1453" s="50">
        <f>IF($T1453="","",IF($S1453="S",IF(INDEX(Firms!$M$5:$M$1004,$T1453)="","",INDEX(Firms!$M$5:$M$1004,$T1453)),IF(INDEX('AFA Rates'!$L$5:$L$1004,$T1453)="","",INDEX('AFA Rates'!$L$5:$L$1004,$T1453))))</f>
        <v/>
      </c>
      <c r="O1453" s="78">
        <f>IF(OR($T1453="",$U1453=""),"",IF(INDEX(Firms!$C$5:$C$1004,$U1453)="","",INDEX(Firms!$C$5:$C$1004,$U1453)))</f>
        <v/>
      </c>
      <c r="P1453" s="79">
        <f>IF(OR($T1453="",$U1453=""),"",IF(INDEX(Firms!$N$5:$N$1004,$U1453)="","",INDEX(Firms!$N$5:$N$1004,$U1453)))</f>
        <v/>
      </c>
      <c r="Q1453" s="78">
        <f>IF($T1453="","",IF($S1453="S",IF(INDEX(Firms!$T$5:$T$1004,$T1453)="","",INDEX(Firms!$T$5:$T$1004,$T1453)),IF(INDEX('AFA Rates'!$M$5:$M$1004,$T1453)="","",INDEX('AFA Rates'!$M$5:$M$1004,$T1453))))</f>
        <v/>
      </c>
      <c r="S1453">
        <f>IF(1449&lt;=$S$2,"S",IF(1449&lt;=$S$2+$T$2,"A",""))</f>
        <v/>
      </c>
      <c r="T1453">
        <f>IF(S1453="S",MATCH(1449,Firms!$W$5:$W$1004,0),IF(S1453="A",IFERROR(MATCH(1449-$S$2,'AFA Rates'!$R$5:$R$1004,0),""),""))</f>
        <v/>
      </c>
      <c r="U1453">
        <f>IF(S1453="S",T1453,IF(AND(S1453="A",T1453&lt;&gt;""),IFERROR(MATCH(INDEX('AFA Rates'!$A$5:$A$1004,T1453),Firms!$A$5:$A$1004,0),""),""))</f>
        <v/>
      </c>
    </row>
    <row r="1454">
      <c r="A1454" s="78">
        <f>IF($T1454="","",IF($S1454="S",IF(INDEX(Firms!$A$5:$A$1004,$T1454)="","",INDEX(Firms!$A$5:$A$1004,$T1454)),IF(INDEX('AFA Rates'!$A$5:$A$1004,$T1454)="","",INDEX('AFA Rates'!$A$5:$A$1004,$T1454))))</f>
        <v/>
      </c>
      <c r="B1454" s="79">
        <f>IF(OR($T1454="",$U1454=""),IF($T1454="","","Not on Firms tab"),INDEX(Firms!$B$5:$B$1004,$U1454)&amp;"")</f>
        <v/>
      </c>
      <c r="C1454" s="78">
        <f>IF($T1454="","",IF($S1454="S","Standard",INDEX('AFA Rates'!$B$5:$B$1004,$T1454)&amp;""))</f>
        <v/>
      </c>
      <c r="D1454" s="88">
        <f>IF($T1454="","",IF($S1454="S",IF(INDEX(Firms!$E$5:$E$1004,$T1454)="","",INDEX(Firms!$E$5:$E$1004,$T1454)),IF(INDEX('AFA Rates'!$C$5:$C$1004,$T1454)="","",INDEX('AFA Rates'!$C$5:$C$1004,$T1454))))</f>
        <v/>
      </c>
      <c r="E1454" s="88">
        <f>IF($T1454="","",IF($S1454="S",IF(""="","",""),IF(INDEX('AFA Rates'!$D$5:$D$1004,$T1454)="","",INDEX('AFA Rates'!$D$5:$D$1004,$T1454))))</f>
        <v/>
      </c>
      <c r="F1454" s="79">
        <f>IF($T1454="","",IF($S1454="S",IF(INDEX(Firms!$O$5:$O$1004,$T1454)="","",INDEX(Firms!$O$5:$O$1004,$T1454)),IF(INDEX('AFA Rates'!$O$5:$O$1004,$T1454)="","",INDEX('AFA Rates'!$O$5:$O$1004,$T1454))))</f>
        <v/>
      </c>
      <c r="G1454" s="50">
        <f>IF($T1454="","",IF($S1454="S",IF(INDEX(Firms!$F$5:$F$1004,$T1454)="","",INDEX(Firms!$F$5:$F$1004,$T1454)),IF(INDEX('AFA Rates'!$E$5:$E$1004,$T1454)="","",INDEX('AFA Rates'!$E$5:$E$1004,$T1454))))</f>
        <v/>
      </c>
      <c r="H1454" s="50">
        <f>IF($T1454="","",IF($S1454="S",IF(INDEX(Firms!$G$5:$G$1004,$T1454)="","",INDEX(Firms!$G$5:$G$1004,$T1454)),IF(INDEX('AFA Rates'!$F$5:$F$1004,$T1454)="","",INDEX('AFA Rates'!$F$5:$F$1004,$T1454))))</f>
        <v/>
      </c>
      <c r="I1454" s="50">
        <f>IF($T1454="","",IF($S1454="S",IF(INDEX(Firms!$H$5:$H$1004,$T1454)="","",INDEX(Firms!$H$5:$H$1004,$T1454)),IF(INDEX('AFA Rates'!$G$5:$G$1004,$T1454)="","",INDEX('AFA Rates'!$G$5:$G$1004,$T1454))))</f>
        <v/>
      </c>
      <c r="J1454" s="50">
        <f>IF($T1454="","",IF($S1454="S",IF(INDEX(Firms!$I$5:$I$1004,$T1454)="","",INDEX(Firms!$I$5:$I$1004,$T1454)),IF(INDEX('AFA Rates'!$H$5:$H$1004,$T1454)="","",INDEX('AFA Rates'!$H$5:$H$1004,$T1454))))</f>
        <v/>
      </c>
      <c r="K1454" s="50">
        <f>IF($T1454="","",IF($S1454="S",IF(INDEX(Firms!$J$5:$J$1004,$T1454)="","",INDEX(Firms!$J$5:$J$1004,$T1454)),IF(INDEX('AFA Rates'!$I$5:$I$1004,$T1454)="","",INDEX('AFA Rates'!$I$5:$I$1004,$T1454))))</f>
        <v/>
      </c>
      <c r="L1454" s="50">
        <f>IF($T1454="","",IF($S1454="S",IF(INDEX(Firms!$K$5:$K$1004,$T1454)="","",INDEX(Firms!$K$5:$K$1004,$T1454)),IF(INDEX('AFA Rates'!$J$5:$J$1004,$T1454)="","",INDEX('AFA Rates'!$J$5:$J$1004,$T1454))))</f>
        <v/>
      </c>
      <c r="M1454" s="50">
        <f>IF($T1454="","",IF($S1454="S",IF(INDEX(Firms!$L$5:$L$1004,$T1454)="","",INDEX(Firms!$L$5:$L$1004,$T1454)),IF(INDEX('AFA Rates'!$K$5:$K$1004,$T1454)="","",INDEX('AFA Rates'!$K$5:$K$1004,$T1454))))</f>
        <v/>
      </c>
      <c r="N1454" s="50">
        <f>IF($T1454="","",IF($S1454="S",IF(INDEX(Firms!$M$5:$M$1004,$T1454)="","",INDEX(Firms!$M$5:$M$1004,$T1454)),IF(INDEX('AFA Rates'!$L$5:$L$1004,$T1454)="","",INDEX('AFA Rates'!$L$5:$L$1004,$T1454))))</f>
        <v/>
      </c>
      <c r="O1454" s="78">
        <f>IF(OR($T1454="",$U1454=""),"",IF(INDEX(Firms!$C$5:$C$1004,$U1454)="","",INDEX(Firms!$C$5:$C$1004,$U1454)))</f>
        <v/>
      </c>
      <c r="P1454" s="79">
        <f>IF(OR($T1454="",$U1454=""),"",IF(INDEX(Firms!$N$5:$N$1004,$U1454)="","",INDEX(Firms!$N$5:$N$1004,$U1454)))</f>
        <v/>
      </c>
      <c r="Q1454" s="78">
        <f>IF($T1454="","",IF($S1454="S",IF(INDEX(Firms!$T$5:$T$1004,$T1454)="","",INDEX(Firms!$T$5:$T$1004,$T1454)),IF(INDEX('AFA Rates'!$M$5:$M$1004,$T1454)="","",INDEX('AFA Rates'!$M$5:$M$1004,$T1454))))</f>
        <v/>
      </c>
      <c r="S1454">
        <f>IF(1450&lt;=$S$2,"S",IF(1450&lt;=$S$2+$T$2,"A",""))</f>
        <v/>
      </c>
      <c r="T1454">
        <f>IF(S1454="S",MATCH(1450,Firms!$W$5:$W$1004,0),IF(S1454="A",IFERROR(MATCH(1450-$S$2,'AFA Rates'!$R$5:$R$1004,0),""),""))</f>
        <v/>
      </c>
      <c r="U1454">
        <f>IF(S1454="S",T1454,IF(AND(S1454="A",T1454&lt;&gt;""),IFERROR(MATCH(INDEX('AFA Rates'!$A$5:$A$1004,T1454),Firms!$A$5:$A$1004,0),""),""))</f>
        <v/>
      </c>
    </row>
    <row r="1455">
      <c r="A1455" s="78">
        <f>IF($T1455="","",IF($S1455="S",IF(INDEX(Firms!$A$5:$A$1004,$T1455)="","",INDEX(Firms!$A$5:$A$1004,$T1455)),IF(INDEX('AFA Rates'!$A$5:$A$1004,$T1455)="","",INDEX('AFA Rates'!$A$5:$A$1004,$T1455))))</f>
        <v/>
      </c>
      <c r="B1455" s="79">
        <f>IF(OR($T1455="",$U1455=""),IF($T1455="","","Not on Firms tab"),INDEX(Firms!$B$5:$B$1004,$U1455)&amp;"")</f>
        <v/>
      </c>
      <c r="C1455" s="78">
        <f>IF($T1455="","",IF($S1455="S","Standard",INDEX('AFA Rates'!$B$5:$B$1004,$T1455)&amp;""))</f>
        <v/>
      </c>
      <c r="D1455" s="88">
        <f>IF($T1455="","",IF($S1455="S",IF(INDEX(Firms!$E$5:$E$1004,$T1455)="","",INDEX(Firms!$E$5:$E$1004,$T1455)),IF(INDEX('AFA Rates'!$C$5:$C$1004,$T1455)="","",INDEX('AFA Rates'!$C$5:$C$1004,$T1455))))</f>
        <v/>
      </c>
      <c r="E1455" s="88">
        <f>IF($T1455="","",IF($S1455="S",IF(""="","",""),IF(INDEX('AFA Rates'!$D$5:$D$1004,$T1455)="","",INDEX('AFA Rates'!$D$5:$D$1004,$T1455))))</f>
        <v/>
      </c>
      <c r="F1455" s="79">
        <f>IF($T1455="","",IF($S1455="S",IF(INDEX(Firms!$O$5:$O$1004,$T1455)="","",INDEX(Firms!$O$5:$O$1004,$T1455)),IF(INDEX('AFA Rates'!$O$5:$O$1004,$T1455)="","",INDEX('AFA Rates'!$O$5:$O$1004,$T1455))))</f>
        <v/>
      </c>
      <c r="G1455" s="50">
        <f>IF($T1455="","",IF($S1455="S",IF(INDEX(Firms!$F$5:$F$1004,$T1455)="","",INDEX(Firms!$F$5:$F$1004,$T1455)),IF(INDEX('AFA Rates'!$E$5:$E$1004,$T1455)="","",INDEX('AFA Rates'!$E$5:$E$1004,$T1455))))</f>
        <v/>
      </c>
      <c r="H1455" s="50">
        <f>IF($T1455="","",IF($S1455="S",IF(INDEX(Firms!$G$5:$G$1004,$T1455)="","",INDEX(Firms!$G$5:$G$1004,$T1455)),IF(INDEX('AFA Rates'!$F$5:$F$1004,$T1455)="","",INDEX('AFA Rates'!$F$5:$F$1004,$T1455))))</f>
        <v/>
      </c>
      <c r="I1455" s="50">
        <f>IF($T1455="","",IF($S1455="S",IF(INDEX(Firms!$H$5:$H$1004,$T1455)="","",INDEX(Firms!$H$5:$H$1004,$T1455)),IF(INDEX('AFA Rates'!$G$5:$G$1004,$T1455)="","",INDEX('AFA Rates'!$G$5:$G$1004,$T1455))))</f>
        <v/>
      </c>
      <c r="J1455" s="50">
        <f>IF($T1455="","",IF($S1455="S",IF(INDEX(Firms!$I$5:$I$1004,$T1455)="","",INDEX(Firms!$I$5:$I$1004,$T1455)),IF(INDEX('AFA Rates'!$H$5:$H$1004,$T1455)="","",INDEX('AFA Rates'!$H$5:$H$1004,$T1455))))</f>
        <v/>
      </c>
      <c r="K1455" s="50">
        <f>IF($T1455="","",IF($S1455="S",IF(INDEX(Firms!$J$5:$J$1004,$T1455)="","",INDEX(Firms!$J$5:$J$1004,$T1455)),IF(INDEX('AFA Rates'!$I$5:$I$1004,$T1455)="","",INDEX('AFA Rates'!$I$5:$I$1004,$T1455))))</f>
        <v/>
      </c>
      <c r="L1455" s="50">
        <f>IF($T1455="","",IF($S1455="S",IF(INDEX(Firms!$K$5:$K$1004,$T1455)="","",INDEX(Firms!$K$5:$K$1004,$T1455)),IF(INDEX('AFA Rates'!$J$5:$J$1004,$T1455)="","",INDEX('AFA Rates'!$J$5:$J$1004,$T1455))))</f>
        <v/>
      </c>
      <c r="M1455" s="50">
        <f>IF($T1455="","",IF($S1455="S",IF(INDEX(Firms!$L$5:$L$1004,$T1455)="","",INDEX(Firms!$L$5:$L$1004,$T1455)),IF(INDEX('AFA Rates'!$K$5:$K$1004,$T1455)="","",INDEX('AFA Rates'!$K$5:$K$1004,$T1455))))</f>
        <v/>
      </c>
      <c r="N1455" s="50">
        <f>IF($T1455="","",IF($S1455="S",IF(INDEX(Firms!$M$5:$M$1004,$T1455)="","",INDEX(Firms!$M$5:$M$1004,$T1455)),IF(INDEX('AFA Rates'!$L$5:$L$1004,$T1455)="","",INDEX('AFA Rates'!$L$5:$L$1004,$T1455))))</f>
        <v/>
      </c>
      <c r="O1455" s="78">
        <f>IF(OR($T1455="",$U1455=""),"",IF(INDEX(Firms!$C$5:$C$1004,$U1455)="","",INDEX(Firms!$C$5:$C$1004,$U1455)))</f>
        <v/>
      </c>
      <c r="P1455" s="79">
        <f>IF(OR($T1455="",$U1455=""),"",IF(INDEX(Firms!$N$5:$N$1004,$U1455)="","",INDEX(Firms!$N$5:$N$1004,$U1455)))</f>
        <v/>
      </c>
      <c r="Q1455" s="78">
        <f>IF($T1455="","",IF($S1455="S",IF(INDEX(Firms!$T$5:$T$1004,$T1455)="","",INDEX(Firms!$T$5:$T$1004,$T1455)),IF(INDEX('AFA Rates'!$M$5:$M$1004,$T1455)="","",INDEX('AFA Rates'!$M$5:$M$1004,$T1455))))</f>
        <v/>
      </c>
      <c r="S1455">
        <f>IF(1451&lt;=$S$2,"S",IF(1451&lt;=$S$2+$T$2,"A",""))</f>
        <v/>
      </c>
      <c r="T1455">
        <f>IF(S1455="S",MATCH(1451,Firms!$W$5:$W$1004,0),IF(S1455="A",IFERROR(MATCH(1451-$S$2,'AFA Rates'!$R$5:$R$1004,0),""),""))</f>
        <v/>
      </c>
      <c r="U1455">
        <f>IF(S1455="S",T1455,IF(AND(S1455="A",T1455&lt;&gt;""),IFERROR(MATCH(INDEX('AFA Rates'!$A$5:$A$1004,T1455),Firms!$A$5:$A$1004,0),""),""))</f>
        <v/>
      </c>
    </row>
    <row r="1456">
      <c r="A1456" s="78">
        <f>IF($T1456="","",IF($S1456="S",IF(INDEX(Firms!$A$5:$A$1004,$T1456)="","",INDEX(Firms!$A$5:$A$1004,$T1456)),IF(INDEX('AFA Rates'!$A$5:$A$1004,$T1456)="","",INDEX('AFA Rates'!$A$5:$A$1004,$T1456))))</f>
        <v/>
      </c>
      <c r="B1456" s="79">
        <f>IF(OR($T1456="",$U1456=""),IF($T1456="","","Not on Firms tab"),INDEX(Firms!$B$5:$B$1004,$U1456)&amp;"")</f>
        <v/>
      </c>
      <c r="C1456" s="78">
        <f>IF($T1456="","",IF($S1456="S","Standard",INDEX('AFA Rates'!$B$5:$B$1004,$T1456)&amp;""))</f>
        <v/>
      </c>
      <c r="D1456" s="88">
        <f>IF($T1456="","",IF($S1456="S",IF(INDEX(Firms!$E$5:$E$1004,$T1456)="","",INDEX(Firms!$E$5:$E$1004,$T1456)),IF(INDEX('AFA Rates'!$C$5:$C$1004,$T1456)="","",INDEX('AFA Rates'!$C$5:$C$1004,$T1456))))</f>
        <v/>
      </c>
      <c r="E1456" s="88">
        <f>IF($T1456="","",IF($S1456="S",IF(""="","",""),IF(INDEX('AFA Rates'!$D$5:$D$1004,$T1456)="","",INDEX('AFA Rates'!$D$5:$D$1004,$T1456))))</f>
        <v/>
      </c>
      <c r="F1456" s="79">
        <f>IF($T1456="","",IF($S1456="S",IF(INDEX(Firms!$O$5:$O$1004,$T1456)="","",INDEX(Firms!$O$5:$O$1004,$T1456)),IF(INDEX('AFA Rates'!$O$5:$O$1004,$T1456)="","",INDEX('AFA Rates'!$O$5:$O$1004,$T1456))))</f>
        <v/>
      </c>
      <c r="G1456" s="50">
        <f>IF($T1456="","",IF($S1456="S",IF(INDEX(Firms!$F$5:$F$1004,$T1456)="","",INDEX(Firms!$F$5:$F$1004,$T1456)),IF(INDEX('AFA Rates'!$E$5:$E$1004,$T1456)="","",INDEX('AFA Rates'!$E$5:$E$1004,$T1456))))</f>
        <v/>
      </c>
      <c r="H1456" s="50">
        <f>IF($T1456="","",IF($S1456="S",IF(INDEX(Firms!$G$5:$G$1004,$T1456)="","",INDEX(Firms!$G$5:$G$1004,$T1456)),IF(INDEX('AFA Rates'!$F$5:$F$1004,$T1456)="","",INDEX('AFA Rates'!$F$5:$F$1004,$T1456))))</f>
        <v/>
      </c>
      <c r="I1456" s="50">
        <f>IF($T1456="","",IF($S1456="S",IF(INDEX(Firms!$H$5:$H$1004,$T1456)="","",INDEX(Firms!$H$5:$H$1004,$T1456)),IF(INDEX('AFA Rates'!$G$5:$G$1004,$T1456)="","",INDEX('AFA Rates'!$G$5:$G$1004,$T1456))))</f>
        <v/>
      </c>
      <c r="J1456" s="50">
        <f>IF($T1456="","",IF($S1456="S",IF(INDEX(Firms!$I$5:$I$1004,$T1456)="","",INDEX(Firms!$I$5:$I$1004,$T1456)),IF(INDEX('AFA Rates'!$H$5:$H$1004,$T1456)="","",INDEX('AFA Rates'!$H$5:$H$1004,$T1456))))</f>
        <v/>
      </c>
      <c r="K1456" s="50">
        <f>IF($T1456="","",IF($S1456="S",IF(INDEX(Firms!$J$5:$J$1004,$T1456)="","",INDEX(Firms!$J$5:$J$1004,$T1456)),IF(INDEX('AFA Rates'!$I$5:$I$1004,$T1456)="","",INDEX('AFA Rates'!$I$5:$I$1004,$T1456))))</f>
        <v/>
      </c>
      <c r="L1456" s="50">
        <f>IF($T1456="","",IF($S1456="S",IF(INDEX(Firms!$K$5:$K$1004,$T1456)="","",INDEX(Firms!$K$5:$K$1004,$T1456)),IF(INDEX('AFA Rates'!$J$5:$J$1004,$T1456)="","",INDEX('AFA Rates'!$J$5:$J$1004,$T1456))))</f>
        <v/>
      </c>
      <c r="M1456" s="50">
        <f>IF($T1456="","",IF($S1456="S",IF(INDEX(Firms!$L$5:$L$1004,$T1456)="","",INDEX(Firms!$L$5:$L$1004,$T1456)),IF(INDEX('AFA Rates'!$K$5:$K$1004,$T1456)="","",INDEX('AFA Rates'!$K$5:$K$1004,$T1456))))</f>
        <v/>
      </c>
      <c r="N1456" s="50">
        <f>IF($T1456="","",IF($S1456="S",IF(INDEX(Firms!$M$5:$M$1004,$T1456)="","",INDEX(Firms!$M$5:$M$1004,$T1456)),IF(INDEX('AFA Rates'!$L$5:$L$1004,$T1456)="","",INDEX('AFA Rates'!$L$5:$L$1004,$T1456))))</f>
        <v/>
      </c>
      <c r="O1456" s="78">
        <f>IF(OR($T1456="",$U1456=""),"",IF(INDEX(Firms!$C$5:$C$1004,$U1456)="","",INDEX(Firms!$C$5:$C$1004,$U1456)))</f>
        <v/>
      </c>
      <c r="P1456" s="79">
        <f>IF(OR($T1456="",$U1456=""),"",IF(INDEX(Firms!$N$5:$N$1004,$U1456)="","",INDEX(Firms!$N$5:$N$1004,$U1456)))</f>
        <v/>
      </c>
      <c r="Q1456" s="78">
        <f>IF($T1456="","",IF($S1456="S",IF(INDEX(Firms!$T$5:$T$1004,$T1456)="","",INDEX(Firms!$T$5:$T$1004,$T1456)),IF(INDEX('AFA Rates'!$M$5:$M$1004,$T1456)="","",INDEX('AFA Rates'!$M$5:$M$1004,$T1456))))</f>
        <v/>
      </c>
      <c r="S1456">
        <f>IF(1452&lt;=$S$2,"S",IF(1452&lt;=$S$2+$T$2,"A",""))</f>
        <v/>
      </c>
      <c r="T1456">
        <f>IF(S1456="S",MATCH(1452,Firms!$W$5:$W$1004,0),IF(S1456="A",IFERROR(MATCH(1452-$S$2,'AFA Rates'!$R$5:$R$1004,0),""),""))</f>
        <v/>
      </c>
      <c r="U1456">
        <f>IF(S1456="S",T1456,IF(AND(S1456="A",T1456&lt;&gt;""),IFERROR(MATCH(INDEX('AFA Rates'!$A$5:$A$1004,T1456),Firms!$A$5:$A$1004,0),""),""))</f>
        <v/>
      </c>
    </row>
    <row r="1457">
      <c r="A1457" s="78">
        <f>IF($T1457="","",IF($S1457="S",IF(INDEX(Firms!$A$5:$A$1004,$T1457)="","",INDEX(Firms!$A$5:$A$1004,$T1457)),IF(INDEX('AFA Rates'!$A$5:$A$1004,$T1457)="","",INDEX('AFA Rates'!$A$5:$A$1004,$T1457))))</f>
        <v/>
      </c>
      <c r="B1457" s="79">
        <f>IF(OR($T1457="",$U1457=""),IF($T1457="","","Not on Firms tab"),INDEX(Firms!$B$5:$B$1004,$U1457)&amp;"")</f>
        <v/>
      </c>
      <c r="C1457" s="78">
        <f>IF($T1457="","",IF($S1457="S","Standard",INDEX('AFA Rates'!$B$5:$B$1004,$T1457)&amp;""))</f>
        <v/>
      </c>
      <c r="D1457" s="88">
        <f>IF($T1457="","",IF($S1457="S",IF(INDEX(Firms!$E$5:$E$1004,$T1457)="","",INDEX(Firms!$E$5:$E$1004,$T1457)),IF(INDEX('AFA Rates'!$C$5:$C$1004,$T1457)="","",INDEX('AFA Rates'!$C$5:$C$1004,$T1457))))</f>
        <v/>
      </c>
      <c r="E1457" s="88">
        <f>IF($T1457="","",IF($S1457="S",IF(""="","",""),IF(INDEX('AFA Rates'!$D$5:$D$1004,$T1457)="","",INDEX('AFA Rates'!$D$5:$D$1004,$T1457))))</f>
        <v/>
      </c>
      <c r="F1457" s="79">
        <f>IF($T1457="","",IF($S1457="S",IF(INDEX(Firms!$O$5:$O$1004,$T1457)="","",INDEX(Firms!$O$5:$O$1004,$T1457)),IF(INDEX('AFA Rates'!$O$5:$O$1004,$T1457)="","",INDEX('AFA Rates'!$O$5:$O$1004,$T1457))))</f>
        <v/>
      </c>
      <c r="G1457" s="50">
        <f>IF($T1457="","",IF($S1457="S",IF(INDEX(Firms!$F$5:$F$1004,$T1457)="","",INDEX(Firms!$F$5:$F$1004,$T1457)),IF(INDEX('AFA Rates'!$E$5:$E$1004,$T1457)="","",INDEX('AFA Rates'!$E$5:$E$1004,$T1457))))</f>
        <v/>
      </c>
      <c r="H1457" s="50">
        <f>IF($T1457="","",IF($S1457="S",IF(INDEX(Firms!$G$5:$G$1004,$T1457)="","",INDEX(Firms!$G$5:$G$1004,$T1457)),IF(INDEX('AFA Rates'!$F$5:$F$1004,$T1457)="","",INDEX('AFA Rates'!$F$5:$F$1004,$T1457))))</f>
        <v/>
      </c>
      <c r="I1457" s="50">
        <f>IF($T1457="","",IF($S1457="S",IF(INDEX(Firms!$H$5:$H$1004,$T1457)="","",INDEX(Firms!$H$5:$H$1004,$T1457)),IF(INDEX('AFA Rates'!$G$5:$G$1004,$T1457)="","",INDEX('AFA Rates'!$G$5:$G$1004,$T1457))))</f>
        <v/>
      </c>
      <c r="J1457" s="50">
        <f>IF($T1457="","",IF($S1457="S",IF(INDEX(Firms!$I$5:$I$1004,$T1457)="","",INDEX(Firms!$I$5:$I$1004,$T1457)),IF(INDEX('AFA Rates'!$H$5:$H$1004,$T1457)="","",INDEX('AFA Rates'!$H$5:$H$1004,$T1457))))</f>
        <v/>
      </c>
      <c r="K1457" s="50">
        <f>IF($T1457="","",IF($S1457="S",IF(INDEX(Firms!$J$5:$J$1004,$T1457)="","",INDEX(Firms!$J$5:$J$1004,$T1457)),IF(INDEX('AFA Rates'!$I$5:$I$1004,$T1457)="","",INDEX('AFA Rates'!$I$5:$I$1004,$T1457))))</f>
        <v/>
      </c>
      <c r="L1457" s="50">
        <f>IF($T1457="","",IF($S1457="S",IF(INDEX(Firms!$K$5:$K$1004,$T1457)="","",INDEX(Firms!$K$5:$K$1004,$T1457)),IF(INDEX('AFA Rates'!$J$5:$J$1004,$T1457)="","",INDEX('AFA Rates'!$J$5:$J$1004,$T1457))))</f>
        <v/>
      </c>
      <c r="M1457" s="50">
        <f>IF($T1457="","",IF($S1457="S",IF(INDEX(Firms!$L$5:$L$1004,$T1457)="","",INDEX(Firms!$L$5:$L$1004,$T1457)),IF(INDEX('AFA Rates'!$K$5:$K$1004,$T1457)="","",INDEX('AFA Rates'!$K$5:$K$1004,$T1457))))</f>
        <v/>
      </c>
      <c r="N1457" s="50">
        <f>IF($T1457="","",IF($S1457="S",IF(INDEX(Firms!$M$5:$M$1004,$T1457)="","",INDEX(Firms!$M$5:$M$1004,$T1457)),IF(INDEX('AFA Rates'!$L$5:$L$1004,$T1457)="","",INDEX('AFA Rates'!$L$5:$L$1004,$T1457))))</f>
        <v/>
      </c>
      <c r="O1457" s="78">
        <f>IF(OR($T1457="",$U1457=""),"",IF(INDEX(Firms!$C$5:$C$1004,$U1457)="","",INDEX(Firms!$C$5:$C$1004,$U1457)))</f>
        <v/>
      </c>
      <c r="P1457" s="79">
        <f>IF(OR($T1457="",$U1457=""),"",IF(INDEX(Firms!$N$5:$N$1004,$U1457)="","",INDEX(Firms!$N$5:$N$1004,$U1457)))</f>
        <v/>
      </c>
      <c r="Q1457" s="78">
        <f>IF($T1457="","",IF($S1457="S",IF(INDEX(Firms!$T$5:$T$1004,$T1457)="","",INDEX(Firms!$T$5:$T$1004,$T1457)),IF(INDEX('AFA Rates'!$M$5:$M$1004,$T1457)="","",INDEX('AFA Rates'!$M$5:$M$1004,$T1457))))</f>
        <v/>
      </c>
      <c r="S1457">
        <f>IF(1453&lt;=$S$2,"S",IF(1453&lt;=$S$2+$T$2,"A",""))</f>
        <v/>
      </c>
      <c r="T1457">
        <f>IF(S1457="S",MATCH(1453,Firms!$W$5:$W$1004,0),IF(S1457="A",IFERROR(MATCH(1453-$S$2,'AFA Rates'!$R$5:$R$1004,0),""),""))</f>
        <v/>
      </c>
      <c r="U1457">
        <f>IF(S1457="S",T1457,IF(AND(S1457="A",T1457&lt;&gt;""),IFERROR(MATCH(INDEX('AFA Rates'!$A$5:$A$1004,T1457),Firms!$A$5:$A$1004,0),""),""))</f>
        <v/>
      </c>
    </row>
    <row r="1458">
      <c r="A1458" s="78">
        <f>IF($T1458="","",IF($S1458="S",IF(INDEX(Firms!$A$5:$A$1004,$T1458)="","",INDEX(Firms!$A$5:$A$1004,$T1458)),IF(INDEX('AFA Rates'!$A$5:$A$1004,$T1458)="","",INDEX('AFA Rates'!$A$5:$A$1004,$T1458))))</f>
        <v/>
      </c>
      <c r="B1458" s="79">
        <f>IF(OR($T1458="",$U1458=""),IF($T1458="","","Not on Firms tab"),INDEX(Firms!$B$5:$B$1004,$U1458)&amp;"")</f>
        <v/>
      </c>
      <c r="C1458" s="78">
        <f>IF($T1458="","",IF($S1458="S","Standard",INDEX('AFA Rates'!$B$5:$B$1004,$T1458)&amp;""))</f>
        <v/>
      </c>
      <c r="D1458" s="88">
        <f>IF($T1458="","",IF($S1458="S",IF(INDEX(Firms!$E$5:$E$1004,$T1458)="","",INDEX(Firms!$E$5:$E$1004,$T1458)),IF(INDEX('AFA Rates'!$C$5:$C$1004,$T1458)="","",INDEX('AFA Rates'!$C$5:$C$1004,$T1458))))</f>
        <v/>
      </c>
      <c r="E1458" s="88">
        <f>IF($T1458="","",IF($S1458="S",IF(""="","",""),IF(INDEX('AFA Rates'!$D$5:$D$1004,$T1458)="","",INDEX('AFA Rates'!$D$5:$D$1004,$T1458))))</f>
        <v/>
      </c>
      <c r="F1458" s="79">
        <f>IF($T1458="","",IF($S1458="S",IF(INDEX(Firms!$O$5:$O$1004,$T1458)="","",INDEX(Firms!$O$5:$O$1004,$T1458)),IF(INDEX('AFA Rates'!$O$5:$O$1004,$T1458)="","",INDEX('AFA Rates'!$O$5:$O$1004,$T1458))))</f>
        <v/>
      </c>
      <c r="G1458" s="50">
        <f>IF($T1458="","",IF($S1458="S",IF(INDEX(Firms!$F$5:$F$1004,$T1458)="","",INDEX(Firms!$F$5:$F$1004,$T1458)),IF(INDEX('AFA Rates'!$E$5:$E$1004,$T1458)="","",INDEX('AFA Rates'!$E$5:$E$1004,$T1458))))</f>
        <v/>
      </c>
      <c r="H1458" s="50">
        <f>IF($T1458="","",IF($S1458="S",IF(INDEX(Firms!$G$5:$G$1004,$T1458)="","",INDEX(Firms!$G$5:$G$1004,$T1458)),IF(INDEX('AFA Rates'!$F$5:$F$1004,$T1458)="","",INDEX('AFA Rates'!$F$5:$F$1004,$T1458))))</f>
        <v/>
      </c>
      <c r="I1458" s="50">
        <f>IF($T1458="","",IF($S1458="S",IF(INDEX(Firms!$H$5:$H$1004,$T1458)="","",INDEX(Firms!$H$5:$H$1004,$T1458)),IF(INDEX('AFA Rates'!$G$5:$G$1004,$T1458)="","",INDEX('AFA Rates'!$G$5:$G$1004,$T1458))))</f>
        <v/>
      </c>
      <c r="J1458" s="50">
        <f>IF($T1458="","",IF($S1458="S",IF(INDEX(Firms!$I$5:$I$1004,$T1458)="","",INDEX(Firms!$I$5:$I$1004,$T1458)),IF(INDEX('AFA Rates'!$H$5:$H$1004,$T1458)="","",INDEX('AFA Rates'!$H$5:$H$1004,$T1458))))</f>
        <v/>
      </c>
      <c r="K1458" s="50">
        <f>IF($T1458="","",IF($S1458="S",IF(INDEX(Firms!$J$5:$J$1004,$T1458)="","",INDEX(Firms!$J$5:$J$1004,$T1458)),IF(INDEX('AFA Rates'!$I$5:$I$1004,$T1458)="","",INDEX('AFA Rates'!$I$5:$I$1004,$T1458))))</f>
        <v/>
      </c>
      <c r="L1458" s="50">
        <f>IF($T1458="","",IF($S1458="S",IF(INDEX(Firms!$K$5:$K$1004,$T1458)="","",INDEX(Firms!$K$5:$K$1004,$T1458)),IF(INDEX('AFA Rates'!$J$5:$J$1004,$T1458)="","",INDEX('AFA Rates'!$J$5:$J$1004,$T1458))))</f>
        <v/>
      </c>
      <c r="M1458" s="50">
        <f>IF($T1458="","",IF($S1458="S",IF(INDEX(Firms!$L$5:$L$1004,$T1458)="","",INDEX(Firms!$L$5:$L$1004,$T1458)),IF(INDEX('AFA Rates'!$K$5:$K$1004,$T1458)="","",INDEX('AFA Rates'!$K$5:$K$1004,$T1458))))</f>
        <v/>
      </c>
      <c r="N1458" s="50">
        <f>IF($T1458="","",IF($S1458="S",IF(INDEX(Firms!$M$5:$M$1004,$T1458)="","",INDEX(Firms!$M$5:$M$1004,$T1458)),IF(INDEX('AFA Rates'!$L$5:$L$1004,$T1458)="","",INDEX('AFA Rates'!$L$5:$L$1004,$T1458))))</f>
        <v/>
      </c>
      <c r="O1458" s="78">
        <f>IF(OR($T1458="",$U1458=""),"",IF(INDEX(Firms!$C$5:$C$1004,$U1458)="","",INDEX(Firms!$C$5:$C$1004,$U1458)))</f>
        <v/>
      </c>
      <c r="P1458" s="79">
        <f>IF(OR($T1458="",$U1458=""),"",IF(INDEX(Firms!$N$5:$N$1004,$U1458)="","",INDEX(Firms!$N$5:$N$1004,$U1458)))</f>
        <v/>
      </c>
      <c r="Q1458" s="78">
        <f>IF($T1458="","",IF($S1458="S",IF(INDEX(Firms!$T$5:$T$1004,$T1458)="","",INDEX(Firms!$T$5:$T$1004,$T1458)),IF(INDEX('AFA Rates'!$M$5:$M$1004,$T1458)="","",INDEX('AFA Rates'!$M$5:$M$1004,$T1458))))</f>
        <v/>
      </c>
      <c r="S1458">
        <f>IF(1454&lt;=$S$2,"S",IF(1454&lt;=$S$2+$T$2,"A",""))</f>
        <v/>
      </c>
      <c r="T1458">
        <f>IF(S1458="S",MATCH(1454,Firms!$W$5:$W$1004,0),IF(S1458="A",IFERROR(MATCH(1454-$S$2,'AFA Rates'!$R$5:$R$1004,0),""),""))</f>
        <v/>
      </c>
      <c r="U1458">
        <f>IF(S1458="S",T1458,IF(AND(S1458="A",T1458&lt;&gt;""),IFERROR(MATCH(INDEX('AFA Rates'!$A$5:$A$1004,T1458),Firms!$A$5:$A$1004,0),""),""))</f>
        <v/>
      </c>
    </row>
    <row r="1459">
      <c r="A1459" s="78">
        <f>IF($T1459="","",IF($S1459="S",IF(INDEX(Firms!$A$5:$A$1004,$T1459)="","",INDEX(Firms!$A$5:$A$1004,$T1459)),IF(INDEX('AFA Rates'!$A$5:$A$1004,$T1459)="","",INDEX('AFA Rates'!$A$5:$A$1004,$T1459))))</f>
        <v/>
      </c>
      <c r="B1459" s="79">
        <f>IF(OR($T1459="",$U1459=""),IF($T1459="","","Not on Firms tab"),INDEX(Firms!$B$5:$B$1004,$U1459)&amp;"")</f>
        <v/>
      </c>
      <c r="C1459" s="78">
        <f>IF($T1459="","",IF($S1459="S","Standard",INDEX('AFA Rates'!$B$5:$B$1004,$T1459)&amp;""))</f>
        <v/>
      </c>
      <c r="D1459" s="88">
        <f>IF($T1459="","",IF($S1459="S",IF(INDEX(Firms!$E$5:$E$1004,$T1459)="","",INDEX(Firms!$E$5:$E$1004,$T1459)),IF(INDEX('AFA Rates'!$C$5:$C$1004,$T1459)="","",INDEX('AFA Rates'!$C$5:$C$1004,$T1459))))</f>
        <v/>
      </c>
      <c r="E1459" s="88">
        <f>IF($T1459="","",IF($S1459="S",IF(""="","",""),IF(INDEX('AFA Rates'!$D$5:$D$1004,$T1459)="","",INDEX('AFA Rates'!$D$5:$D$1004,$T1459))))</f>
        <v/>
      </c>
      <c r="F1459" s="79">
        <f>IF($T1459="","",IF($S1459="S",IF(INDEX(Firms!$O$5:$O$1004,$T1459)="","",INDEX(Firms!$O$5:$O$1004,$T1459)),IF(INDEX('AFA Rates'!$O$5:$O$1004,$T1459)="","",INDEX('AFA Rates'!$O$5:$O$1004,$T1459))))</f>
        <v/>
      </c>
      <c r="G1459" s="50">
        <f>IF($T1459="","",IF($S1459="S",IF(INDEX(Firms!$F$5:$F$1004,$T1459)="","",INDEX(Firms!$F$5:$F$1004,$T1459)),IF(INDEX('AFA Rates'!$E$5:$E$1004,$T1459)="","",INDEX('AFA Rates'!$E$5:$E$1004,$T1459))))</f>
        <v/>
      </c>
      <c r="H1459" s="50">
        <f>IF($T1459="","",IF($S1459="S",IF(INDEX(Firms!$G$5:$G$1004,$T1459)="","",INDEX(Firms!$G$5:$G$1004,$T1459)),IF(INDEX('AFA Rates'!$F$5:$F$1004,$T1459)="","",INDEX('AFA Rates'!$F$5:$F$1004,$T1459))))</f>
        <v/>
      </c>
      <c r="I1459" s="50">
        <f>IF($T1459="","",IF($S1459="S",IF(INDEX(Firms!$H$5:$H$1004,$T1459)="","",INDEX(Firms!$H$5:$H$1004,$T1459)),IF(INDEX('AFA Rates'!$G$5:$G$1004,$T1459)="","",INDEX('AFA Rates'!$G$5:$G$1004,$T1459))))</f>
        <v/>
      </c>
      <c r="J1459" s="50">
        <f>IF($T1459="","",IF($S1459="S",IF(INDEX(Firms!$I$5:$I$1004,$T1459)="","",INDEX(Firms!$I$5:$I$1004,$T1459)),IF(INDEX('AFA Rates'!$H$5:$H$1004,$T1459)="","",INDEX('AFA Rates'!$H$5:$H$1004,$T1459))))</f>
        <v/>
      </c>
      <c r="K1459" s="50">
        <f>IF($T1459="","",IF($S1459="S",IF(INDEX(Firms!$J$5:$J$1004,$T1459)="","",INDEX(Firms!$J$5:$J$1004,$T1459)),IF(INDEX('AFA Rates'!$I$5:$I$1004,$T1459)="","",INDEX('AFA Rates'!$I$5:$I$1004,$T1459))))</f>
        <v/>
      </c>
      <c r="L1459" s="50">
        <f>IF($T1459="","",IF($S1459="S",IF(INDEX(Firms!$K$5:$K$1004,$T1459)="","",INDEX(Firms!$K$5:$K$1004,$T1459)),IF(INDEX('AFA Rates'!$J$5:$J$1004,$T1459)="","",INDEX('AFA Rates'!$J$5:$J$1004,$T1459))))</f>
        <v/>
      </c>
      <c r="M1459" s="50">
        <f>IF($T1459="","",IF($S1459="S",IF(INDEX(Firms!$L$5:$L$1004,$T1459)="","",INDEX(Firms!$L$5:$L$1004,$T1459)),IF(INDEX('AFA Rates'!$K$5:$K$1004,$T1459)="","",INDEX('AFA Rates'!$K$5:$K$1004,$T1459))))</f>
        <v/>
      </c>
      <c r="N1459" s="50">
        <f>IF($T1459="","",IF($S1459="S",IF(INDEX(Firms!$M$5:$M$1004,$T1459)="","",INDEX(Firms!$M$5:$M$1004,$T1459)),IF(INDEX('AFA Rates'!$L$5:$L$1004,$T1459)="","",INDEX('AFA Rates'!$L$5:$L$1004,$T1459))))</f>
        <v/>
      </c>
      <c r="O1459" s="78">
        <f>IF(OR($T1459="",$U1459=""),"",IF(INDEX(Firms!$C$5:$C$1004,$U1459)="","",INDEX(Firms!$C$5:$C$1004,$U1459)))</f>
        <v/>
      </c>
      <c r="P1459" s="79">
        <f>IF(OR($T1459="",$U1459=""),"",IF(INDEX(Firms!$N$5:$N$1004,$U1459)="","",INDEX(Firms!$N$5:$N$1004,$U1459)))</f>
        <v/>
      </c>
      <c r="Q1459" s="78">
        <f>IF($T1459="","",IF($S1459="S",IF(INDEX(Firms!$T$5:$T$1004,$T1459)="","",INDEX(Firms!$T$5:$T$1004,$T1459)),IF(INDEX('AFA Rates'!$M$5:$M$1004,$T1459)="","",INDEX('AFA Rates'!$M$5:$M$1004,$T1459))))</f>
        <v/>
      </c>
      <c r="S1459">
        <f>IF(1455&lt;=$S$2,"S",IF(1455&lt;=$S$2+$T$2,"A",""))</f>
        <v/>
      </c>
      <c r="T1459">
        <f>IF(S1459="S",MATCH(1455,Firms!$W$5:$W$1004,0),IF(S1459="A",IFERROR(MATCH(1455-$S$2,'AFA Rates'!$R$5:$R$1004,0),""),""))</f>
        <v/>
      </c>
      <c r="U1459">
        <f>IF(S1459="S",T1459,IF(AND(S1459="A",T1459&lt;&gt;""),IFERROR(MATCH(INDEX('AFA Rates'!$A$5:$A$1004,T1459),Firms!$A$5:$A$1004,0),""),""))</f>
        <v/>
      </c>
    </row>
    <row r="1460">
      <c r="A1460" s="78">
        <f>IF($T1460="","",IF($S1460="S",IF(INDEX(Firms!$A$5:$A$1004,$T1460)="","",INDEX(Firms!$A$5:$A$1004,$T1460)),IF(INDEX('AFA Rates'!$A$5:$A$1004,$T1460)="","",INDEX('AFA Rates'!$A$5:$A$1004,$T1460))))</f>
        <v/>
      </c>
      <c r="B1460" s="79">
        <f>IF(OR($T1460="",$U1460=""),IF($T1460="","","Not on Firms tab"),INDEX(Firms!$B$5:$B$1004,$U1460)&amp;"")</f>
        <v/>
      </c>
      <c r="C1460" s="78">
        <f>IF($T1460="","",IF($S1460="S","Standard",INDEX('AFA Rates'!$B$5:$B$1004,$T1460)&amp;""))</f>
        <v/>
      </c>
      <c r="D1460" s="88">
        <f>IF($T1460="","",IF($S1460="S",IF(INDEX(Firms!$E$5:$E$1004,$T1460)="","",INDEX(Firms!$E$5:$E$1004,$T1460)),IF(INDEX('AFA Rates'!$C$5:$C$1004,$T1460)="","",INDEX('AFA Rates'!$C$5:$C$1004,$T1460))))</f>
        <v/>
      </c>
      <c r="E1460" s="88">
        <f>IF($T1460="","",IF($S1460="S",IF(""="","",""),IF(INDEX('AFA Rates'!$D$5:$D$1004,$T1460)="","",INDEX('AFA Rates'!$D$5:$D$1004,$T1460))))</f>
        <v/>
      </c>
      <c r="F1460" s="79">
        <f>IF($T1460="","",IF($S1460="S",IF(INDEX(Firms!$O$5:$O$1004,$T1460)="","",INDEX(Firms!$O$5:$O$1004,$T1460)),IF(INDEX('AFA Rates'!$O$5:$O$1004,$T1460)="","",INDEX('AFA Rates'!$O$5:$O$1004,$T1460))))</f>
        <v/>
      </c>
      <c r="G1460" s="50">
        <f>IF($T1460="","",IF($S1460="S",IF(INDEX(Firms!$F$5:$F$1004,$T1460)="","",INDEX(Firms!$F$5:$F$1004,$T1460)),IF(INDEX('AFA Rates'!$E$5:$E$1004,$T1460)="","",INDEX('AFA Rates'!$E$5:$E$1004,$T1460))))</f>
        <v/>
      </c>
      <c r="H1460" s="50">
        <f>IF($T1460="","",IF($S1460="S",IF(INDEX(Firms!$G$5:$G$1004,$T1460)="","",INDEX(Firms!$G$5:$G$1004,$T1460)),IF(INDEX('AFA Rates'!$F$5:$F$1004,$T1460)="","",INDEX('AFA Rates'!$F$5:$F$1004,$T1460))))</f>
        <v/>
      </c>
      <c r="I1460" s="50">
        <f>IF($T1460="","",IF($S1460="S",IF(INDEX(Firms!$H$5:$H$1004,$T1460)="","",INDEX(Firms!$H$5:$H$1004,$T1460)),IF(INDEX('AFA Rates'!$G$5:$G$1004,$T1460)="","",INDEX('AFA Rates'!$G$5:$G$1004,$T1460))))</f>
        <v/>
      </c>
      <c r="J1460" s="50">
        <f>IF($T1460="","",IF($S1460="S",IF(INDEX(Firms!$I$5:$I$1004,$T1460)="","",INDEX(Firms!$I$5:$I$1004,$T1460)),IF(INDEX('AFA Rates'!$H$5:$H$1004,$T1460)="","",INDEX('AFA Rates'!$H$5:$H$1004,$T1460))))</f>
        <v/>
      </c>
      <c r="K1460" s="50">
        <f>IF($T1460="","",IF($S1460="S",IF(INDEX(Firms!$J$5:$J$1004,$T1460)="","",INDEX(Firms!$J$5:$J$1004,$T1460)),IF(INDEX('AFA Rates'!$I$5:$I$1004,$T1460)="","",INDEX('AFA Rates'!$I$5:$I$1004,$T1460))))</f>
        <v/>
      </c>
      <c r="L1460" s="50">
        <f>IF($T1460="","",IF($S1460="S",IF(INDEX(Firms!$K$5:$K$1004,$T1460)="","",INDEX(Firms!$K$5:$K$1004,$T1460)),IF(INDEX('AFA Rates'!$J$5:$J$1004,$T1460)="","",INDEX('AFA Rates'!$J$5:$J$1004,$T1460))))</f>
        <v/>
      </c>
      <c r="M1460" s="50">
        <f>IF($T1460="","",IF($S1460="S",IF(INDEX(Firms!$L$5:$L$1004,$T1460)="","",INDEX(Firms!$L$5:$L$1004,$T1460)),IF(INDEX('AFA Rates'!$K$5:$K$1004,$T1460)="","",INDEX('AFA Rates'!$K$5:$K$1004,$T1460))))</f>
        <v/>
      </c>
      <c r="N1460" s="50">
        <f>IF($T1460="","",IF($S1460="S",IF(INDEX(Firms!$M$5:$M$1004,$T1460)="","",INDEX(Firms!$M$5:$M$1004,$T1460)),IF(INDEX('AFA Rates'!$L$5:$L$1004,$T1460)="","",INDEX('AFA Rates'!$L$5:$L$1004,$T1460))))</f>
        <v/>
      </c>
      <c r="O1460" s="78">
        <f>IF(OR($T1460="",$U1460=""),"",IF(INDEX(Firms!$C$5:$C$1004,$U1460)="","",INDEX(Firms!$C$5:$C$1004,$U1460)))</f>
        <v/>
      </c>
      <c r="P1460" s="79">
        <f>IF(OR($T1460="",$U1460=""),"",IF(INDEX(Firms!$N$5:$N$1004,$U1460)="","",INDEX(Firms!$N$5:$N$1004,$U1460)))</f>
        <v/>
      </c>
      <c r="Q1460" s="78">
        <f>IF($T1460="","",IF($S1460="S",IF(INDEX(Firms!$T$5:$T$1004,$T1460)="","",INDEX(Firms!$T$5:$T$1004,$T1460)),IF(INDEX('AFA Rates'!$M$5:$M$1004,$T1460)="","",INDEX('AFA Rates'!$M$5:$M$1004,$T1460))))</f>
        <v/>
      </c>
      <c r="S1460">
        <f>IF(1456&lt;=$S$2,"S",IF(1456&lt;=$S$2+$T$2,"A",""))</f>
        <v/>
      </c>
      <c r="T1460">
        <f>IF(S1460="S",MATCH(1456,Firms!$W$5:$W$1004,0),IF(S1460="A",IFERROR(MATCH(1456-$S$2,'AFA Rates'!$R$5:$R$1004,0),""),""))</f>
        <v/>
      </c>
      <c r="U1460">
        <f>IF(S1460="S",T1460,IF(AND(S1460="A",T1460&lt;&gt;""),IFERROR(MATCH(INDEX('AFA Rates'!$A$5:$A$1004,T1460),Firms!$A$5:$A$1004,0),""),""))</f>
        <v/>
      </c>
    </row>
    <row r="1461">
      <c r="A1461" s="78">
        <f>IF($T1461="","",IF($S1461="S",IF(INDEX(Firms!$A$5:$A$1004,$T1461)="","",INDEX(Firms!$A$5:$A$1004,$T1461)),IF(INDEX('AFA Rates'!$A$5:$A$1004,$T1461)="","",INDEX('AFA Rates'!$A$5:$A$1004,$T1461))))</f>
        <v/>
      </c>
      <c r="B1461" s="79">
        <f>IF(OR($T1461="",$U1461=""),IF($T1461="","","Not on Firms tab"),INDEX(Firms!$B$5:$B$1004,$U1461)&amp;"")</f>
        <v/>
      </c>
      <c r="C1461" s="78">
        <f>IF($T1461="","",IF($S1461="S","Standard",INDEX('AFA Rates'!$B$5:$B$1004,$T1461)&amp;""))</f>
        <v/>
      </c>
      <c r="D1461" s="88">
        <f>IF($T1461="","",IF($S1461="S",IF(INDEX(Firms!$E$5:$E$1004,$T1461)="","",INDEX(Firms!$E$5:$E$1004,$T1461)),IF(INDEX('AFA Rates'!$C$5:$C$1004,$T1461)="","",INDEX('AFA Rates'!$C$5:$C$1004,$T1461))))</f>
        <v/>
      </c>
      <c r="E1461" s="88">
        <f>IF($T1461="","",IF($S1461="S",IF(""="","",""),IF(INDEX('AFA Rates'!$D$5:$D$1004,$T1461)="","",INDEX('AFA Rates'!$D$5:$D$1004,$T1461))))</f>
        <v/>
      </c>
      <c r="F1461" s="79">
        <f>IF($T1461="","",IF($S1461="S",IF(INDEX(Firms!$O$5:$O$1004,$T1461)="","",INDEX(Firms!$O$5:$O$1004,$T1461)),IF(INDEX('AFA Rates'!$O$5:$O$1004,$T1461)="","",INDEX('AFA Rates'!$O$5:$O$1004,$T1461))))</f>
        <v/>
      </c>
      <c r="G1461" s="50">
        <f>IF($T1461="","",IF($S1461="S",IF(INDEX(Firms!$F$5:$F$1004,$T1461)="","",INDEX(Firms!$F$5:$F$1004,$T1461)),IF(INDEX('AFA Rates'!$E$5:$E$1004,$T1461)="","",INDEX('AFA Rates'!$E$5:$E$1004,$T1461))))</f>
        <v/>
      </c>
      <c r="H1461" s="50">
        <f>IF($T1461="","",IF($S1461="S",IF(INDEX(Firms!$G$5:$G$1004,$T1461)="","",INDEX(Firms!$G$5:$G$1004,$T1461)),IF(INDEX('AFA Rates'!$F$5:$F$1004,$T1461)="","",INDEX('AFA Rates'!$F$5:$F$1004,$T1461))))</f>
        <v/>
      </c>
      <c r="I1461" s="50">
        <f>IF($T1461="","",IF($S1461="S",IF(INDEX(Firms!$H$5:$H$1004,$T1461)="","",INDEX(Firms!$H$5:$H$1004,$T1461)),IF(INDEX('AFA Rates'!$G$5:$G$1004,$T1461)="","",INDEX('AFA Rates'!$G$5:$G$1004,$T1461))))</f>
        <v/>
      </c>
      <c r="J1461" s="50">
        <f>IF($T1461="","",IF($S1461="S",IF(INDEX(Firms!$I$5:$I$1004,$T1461)="","",INDEX(Firms!$I$5:$I$1004,$T1461)),IF(INDEX('AFA Rates'!$H$5:$H$1004,$T1461)="","",INDEX('AFA Rates'!$H$5:$H$1004,$T1461))))</f>
        <v/>
      </c>
      <c r="K1461" s="50">
        <f>IF($T1461="","",IF($S1461="S",IF(INDEX(Firms!$J$5:$J$1004,$T1461)="","",INDEX(Firms!$J$5:$J$1004,$T1461)),IF(INDEX('AFA Rates'!$I$5:$I$1004,$T1461)="","",INDEX('AFA Rates'!$I$5:$I$1004,$T1461))))</f>
        <v/>
      </c>
      <c r="L1461" s="50">
        <f>IF($T1461="","",IF($S1461="S",IF(INDEX(Firms!$K$5:$K$1004,$T1461)="","",INDEX(Firms!$K$5:$K$1004,$T1461)),IF(INDEX('AFA Rates'!$J$5:$J$1004,$T1461)="","",INDEX('AFA Rates'!$J$5:$J$1004,$T1461))))</f>
        <v/>
      </c>
      <c r="M1461" s="50">
        <f>IF($T1461="","",IF($S1461="S",IF(INDEX(Firms!$L$5:$L$1004,$T1461)="","",INDEX(Firms!$L$5:$L$1004,$T1461)),IF(INDEX('AFA Rates'!$K$5:$K$1004,$T1461)="","",INDEX('AFA Rates'!$K$5:$K$1004,$T1461))))</f>
        <v/>
      </c>
      <c r="N1461" s="50">
        <f>IF($T1461="","",IF($S1461="S",IF(INDEX(Firms!$M$5:$M$1004,$T1461)="","",INDEX(Firms!$M$5:$M$1004,$T1461)),IF(INDEX('AFA Rates'!$L$5:$L$1004,$T1461)="","",INDEX('AFA Rates'!$L$5:$L$1004,$T1461))))</f>
        <v/>
      </c>
      <c r="O1461" s="78">
        <f>IF(OR($T1461="",$U1461=""),"",IF(INDEX(Firms!$C$5:$C$1004,$U1461)="","",INDEX(Firms!$C$5:$C$1004,$U1461)))</f>
        <v/>
      </c>
      <c r="P1461" s="79">
        <f>IF(OR($T1461="",$U1461=""),"",IF(INDEX(Firms!$N$5:$N$1004,$U1461)="","",INDEX(Firms!$N$5:$N$1004,$U1461)))</f>
        <v/>
      </c>
      <c r="Q1461" s="78">
        <f>IF($T1461="","",IF($S1461="S",IF(INDEX(Firms!$T$5:$T$1004,$T1461)="","",INDEX(Firms!$T$5:$T$1004,$T1461)),IF(INDEX('AFA Rates'!$M$5:$M$1004,$T1461)="","",INDEX('AFA Rates'!$M$5:$M$1004,$T1461))))</f>
        <v/>
      </c>
      <c r="S1461">
        <f>IF(1457&lt;=$S$2,"S",IF(1457&lt;=$S$2+$T$2,"A",""))</f>
        <v/>
      </c>
      <c r="T1461">
        <f>IF(S1461="S",MATCH(1457,Firms!$W$5:$W$1004,0),IF(S1461="A",IFERROR(MATCH(1457-$S$2,'AFA Rates'!$R$5:$R$1004,0),""),""))</f>
        <v/>
      </c>
      <c r="U1461">
        <f>IF(S1461="S",T1461,IF(AND(S1461="A",T1461&lt;&gt;""),IFERROR(MATCH(INDEX('AFA Rates'!$A$5:$A$1004,T1461),Firms!$A$5:$A$1004,0),""),""))</f>
        <v/>
      </c>
    </row>
    <row r="1462">
      <c r="A1462" s="78">
        <f>IF($T1462="","",IF($S1462="S",IF(INDEX(Firms!$A$5:$A$1004,$T1462)="","",INDEX(Firms!$A$5:$A$1004,$T1462)),IF(INDEX('AFA Rates'!$A$5:$A$1004,$T1462)="","",INDEX('AFA Rates'!$A$5:$A$1004,$T1462))))</f>
        <v/>
      </c>
      <c r="B1462" s="79">
        <f>IF(OR($T1462="",$U1462=""),IF($T1462="","","Not on Firms tab"),INDEX(Firms!$B$5:$B$1004,$U1462)&amp;"")</f>
        <v/>
      </c>
      <c r="C1462" s="78">
        <f>IF($T1462="","",IF($S1462="S","Standard",INDEX('AFA Rates'!$B$5:$B$1004,$T1462)&amp;""))</f>
        <v/>
      </c>
      <c r="D1462" s="88">
        <f>IF($T1462="","",IF($S1462="S",IF(INDEX(Firms!$E$5:$E$1004,$T1462)="","",INDEX(Firms!$E$5:$E$1004,$T1462)),IF(INDEX('AFA Rates'!$C$5:$C$1004,$T1462)="","",INDEX('AFA Rates'!$C$5:$C$1004,$T1462))))</f>
        <v/>
      </c>
      <c r="E1462" s="88">
        <f>IF($T1462="","",IF($S1462="S",IF(""="","",""),IF(INDEX('AFA Rates'!$D$5:$D$1004,$T1462)="","",INDEX('AFA Rates'!$D$5:$D$1004,$T1462))))</f>
        <v/>
      </c>
      <c r="F1462" s="79">
        <f>IF($T1462="","",IF($S1462="S",IF(INDEX(Firms!$O$5:$O$1004,$T1462)="","",INDEX(Firms!$O$5:$O$1004,$T1462)),IF(INDEX('AFA Rates'!$O$5:$O$1004,$T1462)="","",INDEX('AFA Rates'!$O$5:$O$1004,$T1462))))</f>
        <v/>
      </c>
      <c r="G1462" s="50">
        <f>IF($T1462="","",IF($S1462="S",IF(INDEX(Firms!$F$5:$F$1004,$T1462)="","",INDEX(Firms!$F$5:$F$1004,$T1462)),IF(INDEX('AFA Rates'!$E$5:$E$1004,$T1462)="","",INDEX('AFA Rates'!$E$5:$E$1004,$T1462))))</f>
        <v/>
      </c>
      <c r="H1462" s="50">
        <f>IF($T1462="","",IF($S1462="S",IF(INDEX(Firms!$G$5:$G$1004,$T1462)="","",INDEX(Firms!$G$5:$G$1004,$T1462)),IF(INDEX('AFA Rates'!$F$5:$F$1004,$T1462)="","",INDEX('AFA Rates'!$F$5:$F$1004,$T1462))))</f>
        <v/>
      </c>
      <c r="I1462" s="50">
        <f>IF($T1462="","",IF($S1462="S",IF(INDEX(Firms!$H$5:$H$1004,$T1462)="","",INDEX(Firms!$H$5:$H$1004,$T1462)),IF(INDEX('AFA Rates'!$G$5:$G$1004,$T1462)="","",INDEX('AFA Rates'!$G$5:$G$1004,$T1462))))</f>
        <v/>
      </c>
      <c r="J1462" s="50">
        <f>IF($T1462="","",IF($S1462="S",IF(INDEX(Firms!$I$5:$I$1004,$T1462)="","",INDEX(Firms!$I$5:$I$1004,$T1462)),IF(INDEX('AFA Rates'!$H$5:$H$1004,$T1462)="","",INDEX('AFA Rates'!$H$5:$H$1004,$T1462))))</f>
        <v/>
      </c>
      <c r="K1462" s="50">
        <f>IF($T1462="","",IF($S1462="S",IF(INDEX(Firms!$J$5:$J$1004,$T1462)="","",INDEX(Firms!$J$5:$J$1004,$T1462)),IF(INDEX('AFA Rates'!$I$5:$I$1004,$T1462)="","",INDEX('AFA Rates'!$I$5:$I$1004,$T1462))))</f>
        <v/>
      </c>
      <c r="L1462" s="50">
        <f>IF($T1462="","",IF($S1462="S",IF(INDEX(Firms!$K$5:$K$1004,$T1462)="","",INDEX(Firms!$K$5:$K$1004,$T1462)),IF(INDEX('AFA Rates'!$J$5:$J$1004,$T1462)="","",INDEX('AFA Rates'!$J$5:$J$1004,$T1462))))</f>
        <v/>
      </c>
      <c r="M1462" s="50">
        <f>IF($T1462="","",IF($S1462="S",IF(INDEX(Firms!$L$5:$L$1004,$T1462)="","",INDEX(Firms!$L$5:$L$1004,$T1462)),IF(INDEX('AFA Rates'!$K$5:$K$1004,$T1462)="","",INDEX('AFA Rates'!$K$5:$K$1004,$T1462))))</f>
        <v/>
      </c>
      <c r="N1462" s="50">
        <f>IF($T1462="","",IF($S1462="S",IF(INDEX(Firms!$M$5:$M$1004,$T1462)="","",INDEX(Firms!$M$5:$M$1004,$T1462)),IF(INDEX('AFA Rates'!$L$5:$L$1004,$T1462)="","",INDEX('AFA Rates'!$L$5:$L$1004,$T1462))))</f>
        <v/>
      </c>
      <c r="O1462" s="78">
        <f>IF(OR($T1462="",$U1462=""),"",IF(INDEX(Firms!$C$5:$C$1004,$U1462)="","",INDEX(Firms!$C$5:$C$1004,$U1462)))</f>
        <v/>
      </c>
      <c r="P1462" s="79">
        <f>IF(OR($T1462="",$U1462=""),"",IF(INDEX(Firms!$N$5:$N$1004,$U1462)="","",INDEX(Firms!$N$5:$N$1004,$U1462)))</f>
        <v/>
      </c>
      <c r="Q1462" s="78">
        <f>IF($T1462="","",IF($S1462="S",IF(INDEX(Firms!$T$5:$T$1004,$T1462)="","",INDEX(Firms!$T$5:$T$1004,$T1462)),IF(INDEX('AFA Rates'!$M$5:$M$1004,$T1462)="","",INDEX('AFA Rates'!$M$5:$M$1004,$T1462))))</f>
        <v/>
      </c>
      <c r="S1462">
        <f>IF(1458&lt;=$S$2,"S",IF(1458&lt;=$S$2+$T$2,"A",""))</f>
        <v/>
      </c>
      <c r="T1462">
        <f>IF(S1462="S",MATCH(1458,Firms!$W$5:$W$1004,0),IF(S1462="A",IFERROR(MATCH(1458-$S$2,'AFA Rates'!$R$5:$R$1004,0),""),""))</f>
        <v/>
      </c>
      <c r="U1462">
        <f>IF(S1462="S",T1462,IF(AND(S1462="A",T1462&lt;&gt;""),IFERROR(MATCH(INDEX('AFA Rates'!$A$5:$A$1004,T1462),Firms!$A$5:$A$1004,0),""),""))</f>
        <v/>
      </c>
    </row>
    <row r="1463">
      <c r="A1463" s="78">
        <f>IF($T1463="","",IF($S1463="S",IF(INDEX(Firms!$A$5:$A$1004,$T1463)="","",INDEX(Firms!$A$5:$A$1004,$T1463)),IF(INDEX('AFA Rates'!$A$5:$A$1004,$T1463)="","",INDEX('AFA Rates'!$A$5:$A$1004,$T1463))))</f>
        <v/>
      </c>
      <c r="B1463" s="79">
        <f>IF(OR($T1463="",$U1463=""),IF($T1463="","","Not on Firms tab"),INDEX(Firms!$B$5:$B$1004,$U1463)&amp;"")</f>
        <v/>
      </c>
      <c r="C1463" s="78">
        <f>IF($T1463="","",IF($S1463="S","Standard",INDEX('AFA Rates'!$B$5:$B$1004,$T1463)&amp;""))</f>
        <v/>
      </c>
      <c r="D1463" s="88">
        <f>IF($T1463="","",IF($S1463="S",IF(INDEX(Firms!$E$5:$E$1004,$T1463)="","",INDEX(Firms!$E$5:$E$1004,$T1463)),IF(INDEX('AFA Rates'!$C$5:$C$1004,$T1463)="","",INDEX('AFA Rates'!$C$5:$C$1004,$T1463))))</f>
        <v/>
      </c>
      <c r="E1463" s="88">
        <f>IF($T1463="","",IF($S1463="S",IF(""="","",""),IF(INDEX('AFA Rates'!$D$5:$D$1004,$T1463)="","",INDEX('AFA Rates'!$D$5:$D$1004,$T1463))))</f>
        <v/>
      </c>
      <c r="F1463" s="79">
        <f>IF($T1463="","",IF($S1463="S",IF(INDEX(Firms!$O$5:$O$1004,$T1463)="","",INDEX(Firms!$O$5:$O$1004,$T1463)),IF(INDEX('AFA Rates'!$O$5:$O$1004,$T1463)="","",INDEX('AFA Rates'!$O$5:$O$1004,$T1463))))</f>
        <v/>
      </c>
      <c r="G1463" s="50">
        <f>IF($T1463="","",IF($S1463="S",IF(INDEX(Firms!$F$5:$F$1004,$T1463)="","",INDEX(Firms!$F$5:$F$1004,$T1463)),IF(INDEX('AFA Rates'!$E$5:$E$1004,$T1463)="","",INDEX('AFA Rates'!$E$5:$E$1004,$T1463))))</f>
        <v/>
      </c>
      <c r="H1463" s="50">
        <f>IF($T1463="","",IF($S1463="S",IF(INDEX(Firms!$G$5:$G$1004,$T1463)="","",INDEX(Firms!$G$5:$G$1004,$T1463)),IF(INDEX('AFA Rates'!$F$5:$F$1004,$T1463)="","",INDEX('AFA Rates'!$F$5:$F$1004,$T1463))))</f>
        <v/>
      </c>
      <c r="I1463" s="50">
        <f>IF($T1463="","",IF($S1463="S",IF(INDEX(Firms!$H$5:$H$1004,$T1463)="","",INDEX(Firms!$H$5:$H$1004,$T1463)),IF(INDEX('AFA Rates'!$G$5:$G$1004,$T1463)="","",INDEX('AFA Rates'!$G$5:$G$1004,$T1463))))</f>
        <v/>
      </c>
      <c r="J1463" s="50">
        <f>IF($T1463="","",IF($S1463="S",IF(INDEX(Firms!$I$5:$I$1004,$T1463)="","",INDEX(Firms!$I$5:$I$1004,$T1463)),IF(INDEX('AFA Rates'!$H$5:$H$1004,$T1463)="","",INDEX('AFA Rates'!$H$5:$H$1004,$T1463))))</f>
        <v/>
      </c>
      <c r="K1463" s="50">
        <f>IF($T1463="","",IF($S1463="S",IF(INDEX(Firms!$J$5:$J$1004,$T1463)="","",INDEX(Firms!$J$5:$J$1004,$T1463)),IF(INDEX('AFA Rates'!$I$5:$I$1004,$T1463)="","",INDEX('AFA Rates'!$I$5:$I$1004,$T1463))))</f>
        <v/>
      </c>
      <c r="L1463" s="50">
        <f>IF($T1463="","",IF($S1463="S",IF(INDEX(Firms!$K$5:$K$1004,$T1463)="","",INDEX(Firms!$K$5:$K$1004,$T1463)),IF(INDEX('AFA Rates'!$J$5:$J$1004,$T1463)="","",INDEX('AFA Rates'!$J$5:$J$1004,$T1463))))</f>
        <v/>
      </c>
      <c r="M1463" s="50">
        <f>IF($T1463="","",IF($S1463="S",IF(INDEX(Firms!$L$5:$L$1004,$T1463)="","",INDEX(Firms!$L$5:$L$1004,$T1463)),IF(INDEX('AFA Rates'!$K$5:$K$1004,$T1463)="","",INDEX('AFA Rates'!$K$5:$K$1004,$T1463))))</f>
        <v/>
      </c>
      <c r="N1463" s="50">
        <f>IF($T1463="","",IF($S1463="S",IF(INDEX(Firms!$M$5:$M$1004,$T1463)="","",INDEX(Firms!$M$5:$M$1004,$T1463)),IF(INDEX('AFA Rates'!$L$5:$L$1004,$T1463)="","",INDEX('AFA Rates'!$L$5:$L$1004,$T1463))))</f>
        <v/>
      </c>
      <c r="O1463" s="78">
        <f>IF(OR($T1463="",$U1463=""),"",IF(INDEX(Firms!$C$5:$C$1004,$U1463)="","",INDEX(Firms!$C$5:$C$1004,$U1463)))</f>
        <v/>
      </c>
      <c r="P1463" s="79">
        <f>IF(OR($T1463="",$U1463=""),"",IF(INDEX(Firms!$N$5:$N$1004,$U1463)="","",INDEX(Firms!$N$5:$N$1004,$U1463)))</f>
        <v/>
      </c>
      <c r="Q1463" s="78">
        <f>IF($T1463="","",IF($S1463="S",IF(INDEX(Firms!$T$5:$T$1004,$T1463)="","",INDEX(Firms!$T$5:$T$1004,$T1463)),IF(INDEX('AFA Rates'!$M$5:$M$1004,$T1463)="","",INDEX('AFA Rates'!$M$5:$M$1004,$T1463))))</f>
        <v/>
      </c>
      <c r="S1463">
        <f>IF(1459&lt;=$S$2,"S",IF(1459&lt;=$S$2+$T$2,"A",""))</f>
        <v/>
      </c>
      <c r="T1463">
        <f>IF(S1463="S",MATCH(1459,Firms!$W$5:$W$1004,0),IF(S1463="A",IFERROR(MATCH(1459-$S$2,'AFA Rates'!$R$5:$R$1004,0),""),""))</f>
        <v/>
      </c>
      <c r="U1463">
        <f>IF(S1463="S",T1463,IF(AND(S1463="A",T1463&lt;&gt;""),IFERROR(MATCH(INDEX('AFA Rates'!$A$5:$A$1004,T1463),Firms!$A$5:$A$1004,0),""),""))</f>
        <v/>
      </c>
    </row>
    <row r="1464">
      <c r="A1464" s="78">
        <f>IF($T1464="","",IF($S1464="S",IF(INDEX(Firms!$A$5:$A$1004,$T1464)="","",INDEX(Firms!$A$5:$A$1004,$T1464)),IF(INDEX('AFA Rates'!$A$5:$A$1004,$T1464)="","",INDEX('AFA Rates'!$A$5:$A$1004,$T1464))))</f>
        <v/>
      </c>
      <c r="B1464" s="79">
        <f>IF(OR($T1464="",$U1464=""),IF($T1464="","","Not on Firms tab"),INDEX(Firms!$B$5:$B$1004,$U1464)&amp;"")</f>
        <v/>
      </c>
      <c r="C1464" s="78">
        <f>IF($T1464="","",IF($S1464="S","Standard",INDEX('AFA Rates'!$B$5:$B$1004,$T1464)&amp;""))</f>
        <v/>
      </c>
      <c r="D1464" s="88">
        <f>IF($T1464="","",IF($S1464="S",IF(INDEX(Firms!$E$5:$E$1004,$T1464)="","",INDEX(Firms!$E$5:$E$1004,$T1464)),IF(INDEX('AFA Rates'!$C$5:$C$1004,$T1464)="","",INDEX('AFA Rates'!$C$5:$C$1004,$T1464))))</f>
        <v/>
      </c>
      <c r="E1464" s="88">
        <f>IF($T1464="","",IF($S1464="S",IF(""="","",""),IF(INDEX('AFA Rates'!$D$5:$D$1004,$T1464)="","",INDEX('AFA Rates'!$D$5:$D$1004,$T1464))))</f>
        <v/>
      </c>
      <c r="F1464" s="79">
        <f>IF($T1464="","",IF($S1464="S",IF(INDEX(Firms!$O$5:$O$1004,$T1464)="","",INDEX(Firms!$O$5:$O$1004,$T1464)),IF(INDEX('AFA Rates'!$O$5:$O$1004,$T1464)="","",INDEX('AFA Rates'!$O$5:$O$1004,$T1464))))</f>
        <v/>
      </c>
      <c r="G1464" s="50">
        <f>IF($T1464="","",IF($S1464="S",IF(INDEX(Firms!$F$5:$F$1004,$T1464)="","",INDEX(Firms!$F$5:$F$1004,$T1464)),IF(INDEX('AFA Rates'!$E$5:$E$1004,$T1464)="","",INDEX('AFA Rates'!$E$5:$E$1004,$T1464))))</f>
        <v/>
      </c>
      <c r="H1464" s="50">
        <f>IF($T1464="","",IF($S1464="S",IF(INDEX(Firms!$G$5:$G$1004,$T1464)="","",INDEX(Firms!$G$5:$G$1004,$T1464)),IF(INDEX('AFA Rates'!$F$5:$F$1004,$T1464)="","",INDEX('AFA Rates'!$F$5:$F$1004,$T1464))))</f>
        <v/>
      </c>
      <c r="I1464" s="50">
        <f>IF($T1464="","",IF($S1464="S",IF(INDEX(Firms!$H$5:$H$1004,$T1464)="","",INDEX(Firms!$H$5:$H$1004,$T1464)),IF(INDEX('AFA Rates'!$G$5:$G$1004,$T1464)="","",INDEX('AFA Rates'!$G$5:$G$1004,$T1464))))</f>
        <v/>
      </c>
      <c r="J1464" s="50">
        <f>IF($T1464="","",IF($S1464="S",IF(INDEX(Firms!$I$5:$I$1004,$T1464)="","",INDEX(Firms!$I$5:$I$1004,$T1464)),IF(INDEX('AFA Rates'!$H$5:$H$1004,$T1464)="","",INDEX('AFA Rates'!$H$5:$H$1004,$T1464))))</f>
        <v/>
      </c>
      <c r="K1464" s="50">
        <f>IF($T1464="","",IF($S1464="S",IF(INDEX(Firms!$J$5:$J$1004,$T1464)="","",INDEX(Firms!$J$5:$J$1004,$T1464)),IF(INDEX('AFA Rates'!$I$5:$I$1004,$T1464)="","",INDEX('AFA Rates'!$I$5:$I$1004,$T1464))))</f>
        <v/>
      </c>
      <c r="L1464" s="50">
        <f>IF($T1464="","",IF($S1464="S",IF(INDEX(Firms!$K$5:$K$1004,$T1464)="","",INDEX(Firms!$K$5:$K$1004,$T1464)),IF(INDEX('AFA Rates'!$J$5:$J$1004,$T1464)="","",INDEX('AFA Rates'!$J$5:$J$1004,$T1464))))</f>
        <v/>
      </c>
      <c r="M1464" s="50">
        <f>IF($T1464="","",IF($S1464="S",IF(INDEX(Firms!$L$5:$L$1004,$T1464)="","",INDEX(Firms!$L$5:$L$1004,$T1464)),IF(INDEX('AFA Rates'!$K$5:$K$1004,$T1464)="","",INDEX('AFA Rates'!$K$5:$K$1004,$T1464))))</f>
        <v/>
      </c>
      <c r="N1464" s="50">
        <f>IF($T1464="","",IF($S1464="S",IF(INDEX(Firms!$M$5:$M$1004,$T1464)="","",INDEX(Firms!$M$5:$M$1004,$T1464)),IF(INDEX('AFA Rates'!$L$5:$L$1004,$T1464)="","",INDEX('AFA Rates'!$L$5:$L$1004,$T1464))))</f>
        <v/>
      </c>
      <c r="O1464" s="78">
        <f>IF(OR($T1464="",$U1464=""),"",IF(INDEX(Firms!$C$5:$C$1004,$U1464)="","",INDEX(Firms!$C$5:$C$1004,$U1464)))</f>
        <v/>
      </c>
      <c r="P1464" s="79">
        <f>IF(OR($T1464="",$U1464=""),"",IF(INDEX(Firms!$N$5:$N$1004,$U1464)="","",INDEX(Firms!$N$5:$N$1004,$U1464)))</f>
        <v/>
      </c>
      <c r="Q1464" s="78">
        <f>IF($T1464="","",IF($S1464="S",IF(INDEX(Firms!$T$5:$T$1004,$T1464)="","",INDEX(Firms!$T$5:$T$1004,$T1464)),IF(INDEX('AFA Rates'!$M$5:$M$1004,$T1464)="","",INDEX('AFA Rates'!$M$5:$M$1004,$T1464))))</f>
        <v/>
      </c>
      <c r="S1464">
        <f>IF(1460&lt;=$S$2,"S",IF(1460&lt;=$S$2+$T$2,"A",""))</f>
        <v/>
      </c>
      <c r="T1464">
        <f>IF(S1464="S",MATCH(1460,Firms!$W$5:$W$1004,0),IF(S1464="A",IFERROR(MATCH(1460-$S$2,'AFA Rates'!$R$5:$R$1004,0),""),""))</f>
        <v/>
      </c>
      <c r="U1464">
        <f>IF(S1464="S",T1464,IF(AND(S1464="A",T1464&lt;&gt;""),IFERROR(MATCH(INDEX('AFA Rates'!$A$5:$A$1004,T1464),Firms!$A$5:$A$1004,0),""),""))</f>
        <v/>
      </c>
    </row>
    <row r="1465">
      <c r="A1465" s="78">
        <f>IF($T1465="","",IF($S1465="S",IF(INDEX(Firms!$A$5:$A$1004,$T1465)="","",INDEX(Firms!$A$5:$A$1004,$T1465)),IF(INDEX('AFA Rates'!$A$5:$A$1004,$T1465)="","",INDEX('AFA Rates'!$A$5:$A$1004,$T1465))))</f>
        <v/>
      </c>
      <c r="B1465" s="79">
        <f>IF(OR($T1465="",$U1465=""),IF($T1465="","","Not on Firms tab"),INDEX(Firms!$B$5:$B$1004,$U1465)&amp;"")</f>
        <v/>
      </c>
      <c r="C1465" s="78">
        <f>IF($T1465="","",IF($S1465="S","Standard",INDEX('AFA Rates'!$B$5:$B$1004,$T1465)&amp;""))</f>
        <v/>
      </c>
      <c r="D1465" s="88">
        <f>IF($T1465="","",IF($S1465="S",IF(INDEX(Firms!$E$5:$E$1004,$T1465)="","",INDEX(Firms!$E$5:$E$1004,$T1465)),IF(INDEX('AFA Rates'!$C$5:$C$1004,$T1465)="","",INDEX('AFA Rates'!$C$5:$C$1004,$T1465))))</f>
        <v/>
      </c>
      <c r="E1465" s="88">
        <f>IF($T1465="","",IF($S1465="S",IF(""="","",""),IF(INDEX('AFA Rates'!$D$5:$D$1004,$T1465)="","",INDEX('AFA Rates'!$D$5:$D$1004,$T1465))))</f>
        <v/>
      </c>
      <c r="F1465" s="79">
        <f>IF($T1465="","",IF($S1465="S",IF(INDEX(Firms!$O$5:$O$1004,$T1465)="","",INDEX(Firms!$O$5:$O$1004,$T1465)),IF(INDEX('AFA Rates'!$O$5:$O$1004,$T1465)="","",INDEX('AFA Rates'!$O$5:$O$1004,$T1465))))</f>
        <v/>
      </c>
      <c r="G1465" s="50">
        <f>IF($T1465="","",IF($S1465="S",IF(INDEX(Firms!$F$5:$F$1004,$T1465)="","",INDEX(Firms!$F$5:$F$1004,$T1465)),IF(INDEX('AFA Rates'!$E$5:$E$1004,$T1465)="","",INDEX('AFA Rates'!$E$5:$E$1004,$T1465))))</f>
        <v/>
      </c>
      <c r="H1465" s="50">
        <f>IF($T1465="","",IF($S1465="S",IF(INDEX(Firms!$G$5:$G$1004,$T1465)="","",INDEX(Firms!$G$5:$G$1004,$T1465)),IF(INDEX('AFA Rates'!$F$5:$F$1004,$T1465)="","",INDEX('AFA Rates'!$F$5:$F$1004,$T1465))))</f>
        <v/>
      </c>
      <c r="I1465" s="50">
        <f>IF($T1465="","",IF($S1465="S",IF(INDEX(Firms!$H$5:$H$1004,$T1465)="","",INDEX(Firms!$H$5:$H$1004,$T1465)),IF(INDEX('AFA Rates'!$G$5:$G$1004,$T1465)="","",INDEX('AFA Rates'!$G$5:$G$1004,$T1465))))</f>
        <v/>
      </c>
      <c r="J1465" s="50">
        <f>IF($T1465="","",IF($S1465="S",IF(INDEX(Firms!$I$5:$I$1004,$T1465)="","",INDEX(Firms!$I$5:$I$1004,$T1465)),IF(INDEX('AFA Rates'!$H$5:$H$1004,$T1465)="","",INDEX('AFA Rates'!$H$5:$H$1004,$T1465))))</f>
        <v/>
      </c>
      <c r="K1465" s="50">
        <f>IF($T1465="","",IF($S1465="S",IF(INDEX(Firms!$J$5:$J$1004,$T1465)="","",INDEX(Firms!$J$5:$J$1004,$T1465)),IF(INDEX('AFA Rates'!$I$5:$I$1004,$T1465)="","",INDEX('AFA Rates'!$I$5:$I$1004,$T1465))))</f>
        <v/>
      </c>
      <c r="L1465" s="50">
        <f>IF($T1465="","",IF($S1465="S",IF(INDEX(Firms!$K$5:$K$1004,$T1465)="","",INDEX(Firms!$K$5:$K$1004,$T1465)),IF(INDEX('AFA Rates'!$J$5:$J$1004,$T1465)="","",INDEX('AFA Rates'!$J$5:$J$1004,$T1465))))</f>
        <v/>
      </c>
      <c r="M1465" s="50">
        <f>IF($T1465="","",IF($S1465="S",IF(INDEX(Firms!$L$5:$L$1004,$T1465)="","",INDEX(Firms!$L$5:$L$1004,$T1465)),IF(INDEX('AFA Rates'!$K$5:$K$1004,$T1465)="","",INDEX('AFA Rates'!$K$5:$K$1004,$T1465))))</f>
        <v/>
      </c>
      <c r="N1465" s="50">
        <f>IF($T1465="","",IF($S1465="S",IF(INDEX(Firms!$M$5:$M$1004,$T1465)="","",INDEX(Firms!$M$5:$M$1004,$T1465)),IF(INDEX('AFA Rates'!$L$5:$L$1004,$T1465)="","",INDEX('AFA Rates'!$L$5:$L$1004,$T1465))))</f>
        <v/>
      </c>
      <c r="O1465" s="78">
        <f>IF(OR($T1465="",$U1465=""),"",IF(INDEX(Firms!$C$5:$C$1004,$U1465)="","",INDEX(Firms!$C$5:$C$1004,$U1465)))</f>
        <v/>
      </c>
      <c r="P1465" s="79">
        <f>IF(OR($T1465="",$U1465=""),"",IF(INDEX(Firms!$N$5:$N$1004,$U1465)="","",INDEX(Firms!$N$5:$N$1004,$U1465)))</f>
        <v/>
      </c>
      <c r="Q1465" s="78">
        <f>IF($T1465="","",IF($S1465="S",IF(INDEX(Firms!$T$5:$T$1004,$T1465)="","",INDEX(Firms!$T$5:$T$1004,$T1465)),IF(INDEX('AFA Rates'!$M$5:$M$1004,$T1465)="","",INDEX('AFA Rates'!$M$5:$M$1004,$T1465))))</f>
        <v/>
      </c>
      <c r="S1465">
        <f>IF(1461&lt;=$S$2,"S",IF(1461&lt;=$S$2+$T$2,"A",""))</f>
        <v/>
      </c>
      <c r="T1465">
        <f>IF(S1465="S",MATCH(1461,Firms!$W$5:$W$1004,0),IF(S1465="A",IFERROR(MATCH(1461-$S$2,'AFA Rates'!$R$5:$R$1004,0),""),""))</f>
        <v/>
      </c>
      <c r="U1465">
        <f>IF(S1465="S",T1465,IF(AND(S1465="A",T1465&lt;&gt;""),IFERROR(MATCH(INDEX('AFA Rates'!$A$5:$A$1004,T1465),Firms!$A$5:$A$1004,0),""),""))</f>
        <v/>
      </c>
    </row>
    <row r="1466">
      <c r="A1466" s="78">
        <f>IF($T1466="","",IF($S1466="S",IF(INDEX(Firms!$A$5:$A$1004,$T1466)="","",INDEX(Firms!$A$5:$A$1004,$T1466)),IF(INDEX('AFA Rates'!$A$5:$A$1004,$T1466)="","",INDEX('AFA Rates'!$A$5:$A$1004,$T1466))))</f>
        <v/>
      </c>
      <c r="B1466" s="79">
        <f>IF(OR($T1466="",$U1466=""),IF($T1466="","","Not on Firms tab"),INDEX(Firms!$B$5:$B$1004,$U1466)&amp;"")</f>
        <v/>
      </c>
      <c r="C1466" s="78">
        <f>IF($T1466="","",IF($S1466="S","Standard",INDEX('AFA Rates'!$B$5:$B$1004,$T1466)&amp;""))</f>
        <v/>
      </c>
      <c r="D1466" s="88">
        <f>IF($T1466="","",IF($S1466="S",IF(INDEX(Firms!$E$5:$E$1004,$T1466)="","",INDEX(Firms!$E$5:$E$1004,$T1466)),IF(INDEX('AFA Rates'!$C$5:$C$1004,$T1466)="","",INDEX('AFA Rates'!$C$5:$C$1004,$T1466))))</f>
        <v/>
      </c>
      <c r="E1466" s="88">
        <f>IF($T1466="","",IF($S1466="S",IF(""="","",""),IF(INDEX('AFA Rates'!$D$5:$D$1004,$T1466)="","",INDEX('AFA Rates'!$D$5:$D$1004,$T1466))))</f>
        <v/>
      </c>
      <c r="F1466" s="79">
        <f>IF($T1466="","",IF($S1466="S",IF(INDEX(Firms!$O$5:$O$1004,$T1466)="","",INDEX(Firms!$O$5:$O$1004,$T1466)),IF(INDEX('AFA Rates'!$O$5:$O$1004,$T1466)="","",INDEX('AFA Rates'!$O$5:$O$1004,$T1466))))</f>
        <v/>
      </c>
      <c r="G1466" s="50">
        <f>IF($T1466="","",IF($S1466="S",IF(INDEX(Firms!$F$5:$F$1004,$T1466)="","",INDEX(Firms!$F$5:$F$1004,$T1466)),IF(INDEX('AFA Rates'!$E$5:$E$1004,$T1466)="","",INDEX('AFA Rates'!$E$5:$E$1004,$T1466))))</f>
        <v/>
      </c>
      <c r="H1466" s="50">
        <f>IF($T1466="","",IF($S1466="S",IF(INDEX(Firms!$G$5:$G$1004,$T1466)="","",INDEX(Firms!$G$5:$G$1004,$T1466)),IF(INDEX('AFA Rates'!$F$5:$F$1004,$T1466)="","",INDEX('AFA Rates'!$F$5:$F$1004,$T1466))))</f>
        <v/>
      </c>
      <c r="I1466" s="50">
        <f>IF($T1466="","",IF($S1466="S",IF(INDEX(Firms!$H$5:$H$1004,$T1466)="","",INDEX(Firms!$H$5:$H$1004,$T1466)),IF(INDEX('AFA Rates'!$G$5:$G$1004,$T1466)="","",INDEX('AFA Rates'!$G$5:$G$1004,$T1466))))</f>
        <v/>
      </c>
      <c r="J1466" s="50">
        <f>IF($T1466="","",IF($S1466="S",IF(INDEX(Firms!$I$5:$I$1004,$T1466)="","",INDEX(Firms!$I$5:$I$1004,$T1466)),IF(INDEX('AFA Rates'!$H$5:$H$1004,$T1466)="","",INDEX('AFA Rates'!$H$5:$H$1004,$T1466))))</f>
        <v/>
      </c>
      <c r="K1466" s="50">
        <f>IF($T1466="","",IF($S1466="S",IF(INDEX(Firms!$J$5:$J$1004,$T1466)="","",INDEX(Firms!$J$5:$J$1004,$T1466)),IF(INDEX('AFA Rates'!$I$5:$I$1004,$T1466)="","",INDEX('AFA Rates'!$I$5:$I$1004,$T1466))))</f>
        <v/>
      </c>
      <c r="L1466" s="50">
        <f>IF($T1466="","",IF($S1466="S",IF(INDEX(Firms!$K$5:$K$1004,$T1466)="","",INDEX(Firms!$K$5:$K$1004,$T1466)),IF(INDEX('AFA Rates'!$J$5:$J$1004,$T1466)="","",INDEX('AFA Rates'!$J$5:$J$1004,$T1466))))</f>
        <v/>
      </c>
      <c r="M1466" s="50">
        <f>IF($T1466="","",IF($S1466="S",IF(INDEX(Firms!$L$5:$L$1004,$T1466)="","",INDEX(Firms!$L$5:$L$1004,$T1466)),IF(INDEX('AFA Rates'!$K$5:$K$1004,$T1466)="","",INDEX('AFA Rates'!$K$5:$K$1004,$T1466))))</f>
        <v/>
      </c>
      <c r="N1466" s="50">
        <f>IF($T1466="","",IF($S1466="S",IF(INDEX(Firms!$M$5:$M$1004,$T1466)="","",INDEX(Firms!$M$5:$M$1004,$T1466)),IF(INDEX('AFA Rates'!$L$5:$L$1004,$T1466)="","",INDEX('AFA Rates'!$L$5:$L$1004,$T1466))))</f>
        <v/>
      </c>
      <c r="O1466" s="78">
        <f>IF(OR($T1466="",$U1466=""),"",IF(INDEX(Firms!$C$5:$C$1004,$U1466)="","",INDEX(Firms!$C$5:$C$1004,$U1466)))</f>
        <v/>
      </c>
      <c r="P1466" s="79">
        <f>IF(OR($T1466="",$U1466=""),"",IF(INDEX(Firms!$N$5:$N$1004,$U1466)="","",INDEX(Firms!$N$5:$N$1004,$U1466)))</f>
        <v/>
      </c>
      <c r="Q1466" s="78">
        <f>IF($T1466="","",IF($S1466="S",IF(INDEX(Firms!$T$5:$T$1004,$T1466)="","",INDEX(Firms!$T$5:$T$1004,$T1466)),IF(INDEX('AFA Rates'!$M$5:$M$1004,$T1466)="","",INDEX('AFA Rates'!$M$5:$M$1004,$T1466))))</f>
        <v/>
      </c>
      <c r="S1466">
        <f>IF(1462&lt;=$S$2,"S",IF(1462&lt;=$S$2+$T$2,"A",""))</f>
        <v/>
      </c>
      <c r="T1466">
        <f>IF(S1466="S",MATCH(1462,Firms!$W$5:$W$1004,0),IF(S1466="A",IFERROR(MATCH(1462-$S$2,'AFA Rates'!$R$5:$R$1004,0),""),""))</f>
        <v/>
      </c>
      <c r="U1466">
        <f>IF(S1466="S",T1466,IF(AND(S1466="A",T1466&lt;&gt;""),IFERROR(MATCH(INDEX('AFA Rates'!$A$5:$A$1004,T1466),Firms!$A$5:$A$1004,0),""),""))</f>
        <v/>
      </c>
    </row>
    <row r="1467">
      <c r="A1467" s="78">
        <f>IF($T1467="","",IF($S1467="S",IF(INDEX(Firms!$A$5:$A$1004,$T1467)="","",INDEX(Firms!$A$5:$A$1004,$T1467)),IF(INDEX('AFA Rates'!$A$5:$A$1004,$T1467)="","",INDEX('AFA Rates'!$A$5:$A$1004,$T1467))))</f>
        <v/>
      </c>
      <c r="B1467" s="79">
        <f>IF(OR($T1467="",$U1467=""),IF($T1467="","","Not on Firms tab"),INDEX(Firms!$B$5:$B$1004,$U1467)&amp;"")</f>
        <v/>
      </c>
      <c r="C1467" s="78">
        <f>IF($T1467="","",IF($S1467="S","Standard",INDEX('AFA Rates'!$B$5:$B$1004,$T1467)&amp;""))</f>
        <v/>
      </c>
      <c r="D1467" s="88">
        <f>IF($T1467="","",IF($S1467="S",IF(INDEX(Firms!$E$5:$E$1004,$T1467)="","",INDEX(Firms!$E$5:$E$1004,$T1467)),IF(INDEX('AFA Rates'!$C$5:$C$1004,$T1467)="","",INDEX('AFA Rates'!$C$5:$C$1004,$T1467))))</f>
        <v/>
      </c>
      <c r="E1467" s="88">
        <f>IF($T1467="","",IF($S1467="S",IF(""="","",""),IF(INDEX('AFA Rates'!$D$5:$D$1004,$T1467)="","",INDEX('AFA Rates'!$D$5:$D$1004,$T1467))))</f>
        <v/>
      </c>
      <c r="F1467" s="79">
        <f>IF($T1467="","",IF($S1467="S",IF(INDEX(Firms!$O$5:$O$1004,$T1467)="","",INDEX(Firms!$O$5:$O$1004,$T1467)),IF(INDEX('AFA Rates'!$O$5:$O$1004,$T1467)="","",INDEX('AFA Rates'!$O$5:$O$1004,$T1467))))</f>
        <v/>
      </c>
      <c r="G1467" s="50">
        <f>IF($T1467="","",IF($S1467="S",IF(INDEX(Firms!$F$5:$F$1004,$T1467)="","",INDEX(Firms!$F$5:$F$1004,$T1467)),IF(INDEX('AFA Rates'!$E$5:$E$1004,$T1467)="","",INDEX('AFA Rates'!$E$5:$E$1004,$T1467))))</f>
        <v/>
      </c>
      <c r="H1467" s="50">
        <f>IF($T1467="","",IF($S1467="S",IF(INDEX(Firms!$G$5:$G$1004,$T1467)="","",INDEX(Firms!$G$5:$G$1004,$T1467)),IF(INDEX('AFA Rates'!$F$5:$F$1004,$T1467)="","",INDEX('AFA Rates'!$F$5:$F$1004,$T1467))))</f>
        <v/>
      </c>
      <c r="I1467" s="50">
        <f>IF($T1467="","",IF($S1467="S",IF(INDEX(Firms!$H$5:$H$1004,$T1467)="","",INDEX(Firms!$H$5:$H$1004,$T1467)),IF(INDEX('AFA Rates'!$G$5:$G$1004,$T1467)="","",INDEX('AFA Rates'!$G$5:$G$1004,$T1467))))</f>
        <v/>
      </c>
      <c r="J1467" s="50">
        <f>IF($T1467="","",IF($S1467="S",IF(INDEX(Firms!$I$5:$I$1004,$T1467)="","",INDEX(Firms!$I$5:$I$1004,$T1467)),IF(INDEX('AFA Rates'!$H$5:$H$1004,$T1467)="","",INDEX('AFA Rates'!$H$5:$H$1004,$T1467))))</f>
        <v/>
      </c>
      <c r="K1467" s="50">
        <f>IF($T1467="","",IF($S1467="S",IF(INDEX(Firms!$J$5:$J$1004,$T1467)="","",INDEX(Firms!$J$5:$J$1004,$T1467)),IF(INDEX('AFA Rates'!$I$5:$I$1004,$T1467)="","",INDEX('AFA Rates'!$I$5:$I$1004,$T1467))))</f>
        <v/>
      </c>
      <c r="L1467" s="50">
        <f>IF($T1467="","",IF($S1467="S",IF(INDEX(Firms!$K$5:$K$1004,$T1467)="","",INDEX(Firms!$K$5:$K$1004,$T1467)),IF(INDEX('AFA Rates'!$J$5:$J$1004,$T1467)="","",INDEX('AFA Rates'!$J$5:$J$1004,$T1467))))</f>
        <v/>
      </c>
      <c r="M1467" s="50">
        <f>IF($T1467="","",IF($S1467="S",IF(INDEX(Firms!$L$5:$L$1004,$T1467)="","",INDEX(Firms!$L$5:$L$1004,$T1467)),IF(INDEX('AFA Rates'!$K$5:$K$1004,$T1467)="","",INDEX('AFA Rates'!$K$5:$K$1004,$T1467))))</f>
        <v/>
      </c>
      <c r="N1467" s="50">
        <f>IF($T1467="","",IF($S1467="S",IF(INDEX(Firms!$M$5:$M$1004,$T1467)="","",INDEX(Firms!$M$5:$M$1004,$T1467)),IF(INDEX('AFA Rates'!$L$5:$L$1004,$T1467)="","",INDEX('AFA Rates'!$L$5:$L$1004,$T1467))))</f>
        <v/>
      </c>
      <c r="O1467" s="78">
        <f>IF(OR($T1467="",$U1467=""),"",IF(INDEX(Firms!$C$5:$C$1004,$U1467)="","",INDEX(Firms!$C$5:$C$1004,$U1467)))</f>
        <v/>
      </c>
      <c r="P1467" s="79">
        <f>IF(OR($T1467="",$U1467=""),"",IF(INDEX(Firms!$N$5:$N$1004,$U1467)="","",INDEX(Firms!$N$5:$N$1004,$U1467)))</f>
        <v/>
      </c>
      <c r="Q1467" s="78">
        <f>IF($T1467="","",IF($S1467="S",IF(INDEX(Firms!$T$5:$T$1004,$T1467)="","",INDEX(Firms!$T$5:$T$1004,$T1467)),IF(INDEX('AFA Rates'!$M$5:$M$1004,$T1467)="","",INDEX('AFA Rates'!$M$5:$M$1004,$T1467))))</f>
        <v/>
      </c>
      <c r="S1467">
        <f>IF(1463&lt;=$S$2,"S",IF(1463&lt;=$S$2+$T$2,"A",""))</f>
        <v/>
      </c>
      <c r="T1467">
        <f>IF(S1467="S",MATCH(1463,Firms!$W$5:$W$1004,0),IF(S1467="A",IFERROR(MATCH(1463-$S$2,'AFA Rates'!$R$5:$R$1004,0),""),""))</f>
        <v/>
      </c>
      <c r="U1467">
        <f>IF(S1467="S",T1467,IF(AND(S1467="A",T1467&lt;&gt;""),IFERROR(MATCH(INDEX('AFA Rates'!$A$5:$A$1004,T1467),Firms!$A$5:$A$1004,0),""),""))</f>
        <v/>
      </c>
    </row>
    <row r="1468">
      <c r="A1468" s="78">
        <f>IF($T1468="","",IF($S1468="S",IF(INDEX(Firms!$A$5:$A$1004,$T1468)="","",INDEX(Firms!$A$5:$A$1004,$T1468)),IF(INDEX('AFA Rates'!$A$5:$A$1004,$T1468)="","",INDEX('AFA Rates'!$A$5:$A$1004,$T1468))))</f>
        <v/>
      </c>
      <c r="B1468" s="79">
        <f>IF(OR($T1468="",$U1468=""),IF($T1468="","","Not on Firms tab"),INDEX(Firms!$B$5:$B$1004,$U1468)&amp;"")</f>
        <v/>
      </c>
      <c r="C1468" s="78">
        <f>IF($T1468="","",IF($S1468="S","Standard",INDEX('AFA Rates'!$B$5:$B$1004,$T1468)&amp;""))</f>
        <v/>
      </c>
      <c r="D1468" s="88">
        <f>IF($T1468="","",IF($S1468="S",IF(INDEX(Firms!$E$5:$E$1004,$T1468)="","",INDEX(Firms!$E$5:$E$1004,$T1468)),IF(INDEX('AFA Rates'!$C$5:$C$1004,$T1468)="","",INDEX('AFA Rates'!$C$5:$C$1004,$T1468))))</f>
        <v/>
      </c>
      <c r="E1468" s="88">
        <f>IF($T1468="","",IF($S1468="S",IF(""="","",""),IF(INDEX('AFA Rates'!$D$5:$D$1004,$T1468)="","",INDEX('AFA Rates'!$D$5:$D$1004,$T1468))))</f>
        <v/>
      </c>
      <c r="F1468" s="79">
        <f>IF($T1468="","",IF($S1468="S",IF(INDEX(Firms!$O$5:$O$1004,$T1468)="","",INDEX(Firms!$O$5:$O$1004,$T1468)),IF(INDEX('AFA Rates'!$O$5:$O$1004,$T1468)="","",INDEX('AFA Rates'!$O$5:$O$1004,$T1468))))</f>
        <v/>
      </c>
      <c r="G1468" s="50">
        <f>IF($T1468="","",IF($S1468="S",IF(INDEX(Firms!$F$5:$F$1004,$T1468)="","",INDEX(Firms!$F$5:$F$1004,$T1468)),IF(INDEX('AFA Rates'!$E$5:$E$1004,$T1468)="","",INDEX('AFA Rates'!$E$5:$E$1004,$T1468))))</f>
        <v/>
      </c>
      <c r="H1468" s="50">
        <f>IF($T1468="","",IF($S1468="S",IF(INDEX(Firms!$G$5:$G$1004,$T1468)="","",INDEX(Firms!$G$5:$G$1004,$T1468)),IF(INDEX('AFA Rates'!$F$5:$F$1004,$T1468)="","",INDEX('AFA Rates'!$F$5:$F$1004,$T1468))))</f>
        <v/>
      </c>
      <c r="I1468" s="50">
        <f>IF($T1468="","",IF($S1468="S",IF(INDEX(Firms!$H$5:$H$1004,$T1468)="","",INDEX(Firms!$H$5:$H$1004,$T1468)),IF(INDEX('AFA Rates'!$G$5:$G$1004,$T1468)="","",INDEX('AFA Rates'!$G$5:$G$1004,$T1468))))</f>
        <v/>
      </c>
      <c r="J1468" s="50">
        <f>IF($T1468="","",IF($S1468="S",IF(INDEX(Firms!$I$5:$I$1004,$T1468)="","",INDEX(Firms!$I$5:$I$1004,$T1468)),IF(INDEX('AFA Rates'!$H$5:$H$1004,$T1468)="","",INDEX('AFA Rates'!$H$5:$H$1004,$T1468))))</f>
        <v/>
      </c>
      <c r="K1468" s="50">
        <f>IF($T1468="","",IF($S1468="S",IF(INDEX(Firms!$J$5:$J$1004,$T1468)="","",INDEX(Firms!$J$5:$J$1004,$T1468)),IF(INDEX('AFA Rates'!$I$5:$I$1004,$T1468)="","",INDEX('AFA Rates'!$I$5:$I$1004,$T1468))))</f>
        <v/>
      </c>
      <c r="L1468" s="50">
        <f>IF($T1468="","",IF($S1468="S",IF(INDEX(Firms!$K$5:$K$1004,$T1468)="","",INDEX(Firms!$K$5:$K$1004,$T1468)),IF(INDEX('AFA Rates'!$J$5:$J$1004,$T1468)="","",INDEX('AFA Rates'!$J$5:$J$1004,$T1468))))</f>
        <v/>
      </c>
      <c r="M1468" s="50">
        <f>IF($T1468="","",IF($S1468="S",IF(INDEX(Firms!$L$5:$L$1004,$T1468)="","",INDEX(Firms!$L$5:$L$1004,$T1468)),IF(INDEX('AFA Rates'!$K$5:$K$1004,$T1468)="","",INDEX('AFA Rates'!$K$5:$K$1004,$T1468))))</f>
        <v/>
      </c>
      <c r="N1468" s="50">
        <f>IF($T1468="","",IF($S1468="S",IF(INDEX(Firms!$M$5:$M$1004,$T1468)="","",INDEX(Firms!$M$5:$M$1004,$T1468)),IF(INDEX('AFA Rates'!$L$5:$L$1004,$T1468)="","",INDEX('AFA Rates'!$L$5:$L$1004,$T1468))))</f>
        <v/>
      </c>
      <c r="O1468" s="78">
        <f>IF(OR($T1468="",$U1468=""),"",IF(INDEX(Firms!$C$5:$C$1004,$U1468)="","",INDEX(Firms!$C$5:$C$1004,$U1468)))</f>
        <v/>
      </c>
      <c r="P1468" s="79">
        <f>IF(OR($T1468="",$U1468=""),"",IF(INDEX(Firms!$N$5:$N$1004,$U1468)="","",INDEX(Firms!$N$5:$N$1004,$U1468)))</f>
        <v/>
      </c>
      <c r="Q1468" s="78">
        <f>IF($T1468="","",IF($S1468="S",IF(INDEX(Firms!$T$5:$T$1004,$T1468)="","",INDEX(Firms!$T$5:$T$1004,$T1468)),IF(INDEX('AFA Rates'!$M$5:$M$1004,$T1468)="","",INDEX('AFA Rates'!$M$5:$M$1004,$T1468))))</f>
        <v/>
      </c>
      <c r="S1468">
        <f>IF(1464&lt;=$S$2,"S",IF(1464&lt;=$S$2+$T$2,"A",""))</f>
        <v/>
      </c>
      <c r="T1468">
        <f>IF(S1468="S",MATCH(1464,Firms!$W$5:$W$1004,0),IF(S1468="A",IFERROR(MATCH(1464-$S$2,'AFA Rates'!$R$5:$R$1004,0),""),""))</f>
        <v/>
      </c>
      <c r="U1468">
        <f>IF(S1468="S",T1468,IF(AND(S1468="A",T1468&lt;&gt;""),IFERROR(MATCH(INDEX('AFA Rates'!$A$5:$A$1004,T1468),Firms!$A$5:$A$1004,0),""),""))</f>
        <v/>
      </c>
    </row>
    <row r="1469">
      <c r="A1469" s="78">
        <f>IF($T1469="","",IF($S1469="S",IF(INDEX(Firms!$A$5:$A$1004,$T1469)="","",INDEX(Firms!$A$5:$A$1004,$T1469)),IF(INDEX('AFA Rates'!$A$5:$A$1004,$T1469)="","",INDEX('AFA Rates'!$A$5:$A$1004,$T1469))))</f>
        <v/>
      </c>
      <c r="B1469" s="79">
        <f>IF(OR($T1469="",$U1469=""),IF($T1469="","","Not on Firms tab"),INDEX(Firms!$B$5:$B$1004,$U1469)&amp;"")</f>
        <v/>
      </c>
      <c r="C1469" s="78">
        <f>IF($T1469="","",IF($S1469="S","Standard",INDEX('AFA Rates'!$B$5:$B$1004,$T1469)&amp;""))</f>
        <v/>
      </c>
      <c r="D1469" s="88">
        <f>IF($T1469="","",IF($S1469="S",IF(INDEX(Firms!$E$5:$E$1004,$T1469)="","",INDEX(Firms!$E$5:$E$1004,$T1469)),IF(INDEX('AFA Rates'!$C$5:$C$1004,$T1469)="","",INDEX('AFA Rates'!$C$5:$C$1004,$T1469))))</f>
        <v/>
      </c>
      <c r="E1469" s="88">
        <f>IF($T1469="","",IF($S1469="S",IF(""="","",""),IF(INDEX('AFA Rates'!$D$5:$D$1004,$T1469)="","",INDEX('AFA Rates'!$D$5:$D$1004,$T1469))))</f>
        <v/>
      </c>
      <c r="F1469" s="79">
        <f>IF($T1469="","",IF($S1469="S",IF(INDEX(Firms!$O$5:$O$1004,$T1469)="","",INDEX(Firms!$O$5:$O$1004,$T1469)),IF(INDEX('AFA Rates'!$O$5:$O$1004,$T1469)="","",INDEX('AFA Rates'!$O$5:$O$1004,$T1469))))</f>
        <v/>
      </c>
      <c r="G1469" s="50">
        <f>IF($T1469="","",IF($S1469="S",IF(INDEX(Firms!$F$5:$F$1004,$T1469)="","",INDEX(Firms!$F$5:$F$1004,$T1469)),IF(INDEX('AFA Rates'!$E$5:$E$1004,$T1469)="","",INDEX('AFA Rates'!$E$5:$E$1004,$T1469))))</f>
        <v/>
      </c>
      <c r="H1469" s="50">
        <f>IF($T1469="","",IF($S1469="S",IF(INDEX(Firms!$G$5:$G$1004,$T1469)="","",INDEX(Firms!$G$5:$G$1004,$T1469)),IF(INDEX('AFA Rates'!$F$5:$F$1004,$T1469)="","",INDEX('AFA Rates'!$F$5:$F$1004,$T1469))))</f>
        <v/>
      </c>
      <c r="I1469" s="50">
        <f>IF($T1469="","",IF($S1469="S",IF(INDEX(Firms!$H$5:$H$1004,$T1469)="","",INDEX(Firms!$H$5:$H$1004,$T1469)),IF(INDEX('AFA Rates'!$G$5:$G$1004,$T1469)="","",INDEX('AFA Rates'!$G$5:$G$1004,$T1469))))</f>
        <v/>
      </c>
      <c r="J1469" s="50">
        <f>IF($T1469="","",IF($S1469="S",IF(INDEX(Firms!$I$5:$I$1004,$T1469)="","",INDEX(Firms!$I$5:$I$1004,$T1469)),IF(INDEX('AFA Rates'!$H$5:$H$1004,$T1469)="","",INDEX('AFA Rates'!$H$5:$H$1004,$T1469))))</f>
        <v/>
      </c>
      <c r="K1469" s="50">
        <f>IF($T1469="","",IF($S1469="S",IF(INDEX(Firms!$J$5:$J$1004,$T1469)="","",INDEX(Firms!$J$5:$J$1004,$T1469)),IF(INDEX('AFA Rates'!$I$5:$I$1004,$T1469)="","",INDEX('AFA Rates'!$I$5:$I$1004,$T1469))))</f>
        <v/>
      </c>
      <c r="L1469" s="50">
        <f>IF($T1469="","",IF($S1469="S",IF(INDEX(Firms!$K$5:$K$1004,$T1469)="","",INDEX(Firms!$K$5:$K$1004,$T1469)),IF(INDEX('AFA Rates'!$J$5:$J$1004,$T1469)="","",INDEX('AFA Rates'!$J$5:$J$1004,$T1469))))</f>
        <v/>
      </c>
      <c r="M1469" s="50">
        <f>IF($T1469="","",IF($S1469="S",IF(INDEX(Firms!$L$5:$L$1004,$T1469)="","",INDEX(Firms!$L$5:$L$1004,$T1469)),IF(INDEX('AFA Rates'!$K$5:$K$1004,$T1469)="","",INDEX('AFA Rates'!$K$5:$K$1004,$T1469))))</f>
        <v/>
      </c>
      <c r="N1469" s="50">
        <f>IF($T1469="","",IF($S1469="S",IF(INDEX(Firms!$M$5:$M$1004,$T1469)="","",INDEX(Firms!$M$5:$M$1004,$T1469)),IF(INDEX('AFA Rates'!$L$5:$L$1004,$T1469)="","",INDEX('AFA Rates'!$L$5:$L$1004,$T1469))))</f>
        <v/>
      </c>
      <c r="O1469" s="78">
        <f>IF(OR($T1469="",$U1469=""),"",IF(INDEX(Firms!$C$5:$C$1004,$U1469)="","",INDEX(Firms!$C$5:$C$1004,$U1469)))</f>
        <v/>
      </c>
      <c r="P1469" s="79">
        <f>IF(OR($T1469="",$U1469=""),"",IF(INDEX(Firms!$N$5:$N$1004,$U1469)="","",INDEX(Firms!$N$5:$N$1004,$U1469)))</f>
        <v/>
      </c>
      <c r="Q1469" s="78">
        <f>IF($T1469="","",IF($S1469="S",IF(INDEX(Firms!$T$5:$T$1004,$T1469)="","",INDEX(Firms!$T$5:$T$1004,$T1469)),IF(INDEX('AFA Rates'!$M$5:$M$1004,$T1469)="","",INDEX('AFA Rates'!$M$5:$M$1004,$T1469))))</f>
        <v/>
      </c>
      <c r="S1469">
        <f>IF(1465&lt;=$S$2,"S",IF(1465&lt;=$S$2+$T$2,"A",""))</f>
        <v/>
      </c>
      <c r="T1469">
        <f>IF(S1469="S",MATCH(1465,Firms!$W$5:$W$1004,0),IF(S1469="A",IFERROR(MATCH(1465-$S$2,'AFA Rates'!$R$5:$R$1004,0),""),""))</f>
        <v/>
      </c>
      <c r="U1469">
        <f>IF(S1469="S",T1469,IF(AND(S1469="A",T1469&lt;&gt;""),IFERROR(MATCH(INDEX('AFA Rates'!$A$5:$A$1004,T1469),Firms!$A$5:$A$1004,0),""),""))</f>
        <v/>
      </c>
    </row>
    <row r="1470">
      <c r="A1470" s="78">
        <f>IF($T1470="","",IF($S1470="S",IF(INDEX(Firms!$A$5:$A$1004,$T1470)="","",INDEX(Firms!$A$5:$A$1004,$T1470)),IF(INDEX('AFA Rates'!$A$5:$A$1004,$T1470)="","",INDEX('AFA Rates'!$A$5:$A$1004,$T1470))))</f>
        <v/>
      </c>
      <c r="B1470" s="79">
        <f>IF(OR($T1470="",$U1470=""),IF($T1470="","","Not on Firms tab"),INDEX(Firms!$B$5:$B$1004,$U1470)&amp;"")</f>
        <v/>
      </c>
      <c r="C1470" s="78">
        <f>IF($T1470="","",IF($S1470="S","Standard",INDEX('AFA Rates'!$B$5:$B$1004,$T1470)&amp;""))</f>
        <v/>
      </c>
      <c r="D1470" s="88">
        <f>IF($T1470="","",IF($S1470="S",IF(INDEX(Firms!$E$5:$E$1004,$T1470)="","",INDEX(Firms!$E$5:$E$1004,$T1470)),IF(INDEX('AFA Rates'!$C$5:$C$1004,$T1470)="","",INDEX('AFA Rates'!$C$5:$C$1004,$T1470))))</f>
        <v/>
      </c>
      <c r="E1470" s="88">
        <f>IF($T1470="","",IF($S1470="S",IF(""="","",""),IF(INDEX('AFA Rates'!$D$5:$D$1004,$T1470)="","",INDEX('AFA Rates'!$D$5:$D$1004,$T1470))))</f>
        <v/>
      </c>
      <c r="F1470" s="79">
        <f>IF($T1470="","",IF($S1470="S",IF(INDEX(Firms!$O$5:$O$1004,$T1470)="","",INDEX(Firms!$O$5:$O$1004,$T1470)),IF(INDEX('AFA Rates'!$O$5:$O$1004,$T1470)="","",INDEX('AFA Rates'!$O$5:$O$1004,$T1470))))</f>
        <v/>
      </c>
      <c r="G1470" s="50">
        <f>IF($T1470="","",IF($S1470="S",IF(INDEX(Firms!$F$5:$F$1004,$T1470)="","",INDEX(Firms!$F$5:$F$1004,$T1470)),IF(INDEX('AFA Rates'!$E$5:$E$1004,$T1470)="","",INDEX('AFA Rates'!$E$5:$E$1004,$T1470))))</f>
        <v/>
      </c>
      <c r="H1470" s="50">
        <f>IF($T1470="","",IF($S1470="S",IF(INDEX(Firms!$G$5:$G$1004,$T1470)="","",INDEX(Firms!$G$5:$G$1004,$T1470)),IF(INDEX('AFA Rates'!$F$5:$F$1004,$T1470)="","",INDEX('AFA Rates'!$F$5:$F$1004,$T1470))))</f>
        <v/>
      </c>
      <c r="I1470" s="50">
        <f>IF($T1470="","",IF($S1470="S",IF(INDEX(Firms!$H$5:$H$1004,$T1470)="","",INDEX(Firms!$H$5:$H$1004,$T1470)),IF(INDEX('AFA Rates'!$G$5:$G$1004,$T1470)="","",INDEX('AFA Rates'!$G$5:$G$1004,$T1470))))</f>
        <v/>
      </c>
      <c r="J1470" s="50">
        <f>IF($T1470="","",IF($S1470="S",IF(INDEX(Firms!$I$5:$I$1004,$T1470)="","",INDEX(Firms!$I$5:$I$1004,$T1470)),IF(INDEX('AFA Rates'!$H$5:$H$1004,$T1470)="","",INDEX('AFA Rates'!$H$5:$H$1004,$T1470))))</f>
        <v/>
      </c>
      <c r="K1470" s="50">
        <f>IF($T1470="","",IF($S1470="S",IF(INDEX(Firms!$J$5:$J$1004,$T1470)="","",INDEX(Firms!$J$5:$J$1004,$T1470)),IF(INDEX('AFA Rates'!$I$5:$I$1004,$T1470)="","",INDEX('AFA Rates'!$I$5:$I$1004,$T1470))))</f>
        <v/>
      </c>
      <c r="L1470" s="50">
        <f>IF($T1470="","",IF($S1470="S",IF(INDEX(Firms!$K$5:$K$1004,$T1470)="","",INDEX(Firms!$K$5:$K$1004,$T1470)),IF(INDEX('AFA Rates'!$J$5:$J$1004,$T1470)="","",INDEX('AFA Rates'!$J$5:$J$1004,$T1470))))</f>
        <v/>
      </c>
      <c r="M1470" s="50">
        <f>IF($T1470="","",IF($S1470="S",IF(INDEX(Firms!$L$5:$L$1004,$T1470)="","",INDEX(Firms!$L$5:$L$1004,$T1470)),IF(INDEX('AFA Rates'!$K$5:$K$1004,$T1470)="","",INDEX('AFA Rates'!$K$5:$K$1004,$T1470))))</f>
        <v/>
      </c>
      <c r="N1470" s="50">
        <f>IF($T1470="","",IF($S1470="S",IF(INDEX(Firms!$M$5:$M$1004,$T1470)="","",INDEX(Firms!$M$5:$M$1004,$T1470)),IF(INDEX('AFA Rates'!$L$5:$L$1004,$T1470)="","",INDEX('AFA Rates'!$L$5:$L$1004,$T1470))))</f>
        <v/>
      </c>
      <c r="O1470" s="78">
        <f>IF(OR($T1470="",$U1470=""),"",IF(INDEX(Firms!$C$5:$C$1004,$U1470)="","",INDEX(Firms!$C$5:$C$1004,$U1470)))</f>
        <v/>
      </c>
      <c r="P1470" s="79">
        <f>IF(OR($T1470="",$U1470=""),"",IF(INDEX(Firms!$N$5:$N$1004,$U1470)="","",INDEX(Firms!$N$5:$N$1004,$U1470)))</f>
        <v/>
      </c>
      <c r="Q1470" s="78">
        <f>IF($T1470="","",IF($S1470="S",IF(INDEX(Firms!$T$5:$T$1004,$T1470)="","",INDEX(Firms!$T$5:$T$1004,$T1470)),IF(INDEX('AFA Rates'!$M$5:$M$1004,$T1470)="","",INDEX('AFA Rates'!$M$5:$M$1004,$T1470))))</f>
        <v/>
      </c>
      <c r="S1470">
        <f>IF(1466&lt;=$S$2,"S",IF(1466&lt;=$S$2+$T$2,"A",""))</f>
        <v/>
      </c>
      <c r="T1470">
        <f>IF(S1470="S",MATCH(1466,Firms!$W$5:$W$1004,0),IF(S1470="A",IFERROR(MATCH(1466-$S$2,'AFA Rates'!$R$5:$R$1004,0),""),""))</f>
        <v/>
      </c>
      <c r="U1470">
        <f>IF(S1470="S",T1470,IF(AND(S1470="A",T1470&lt;&gt;""),IFERROR(MATCH(INDEX('AFA Rates'!$A$5:$A$1004,T1470),Firms!$A$5:$A$1004,0),""),""))</f>
        <v/>
      </c>
    </row>
    <row r="1471">
      <c r="A1471" s="78">
        <f>IF($T1471="","",IF($S1471="S",IF(INDEX(Firms!$A$5:$A$1004,$T1471)="","",INDEX(Firms!$A$5:$A$1004,$T1471)),IF(INDEX('AFA Rates'!$A$5:$A$1004,$T1471)="","",INDEX('AFA Rates'!$A$5:$A$1004,$T1471))))</f>
        <v/>
      </c>
      <c r="B1471" s="79">
        <f>IF(OR($T1471="",$U1471=""),IF($T1471="","","Not on Firms tab"),INDEX(Firms!$B$5:$B$1004,$U1471)&amp;"")</f>
        <v/>
      </c>
      <c r="C1471" s="78">
        <f>IF($T1471="","",IF($S1471="S","Standard",INDEX('AFA Rates'!$B$5:$B$1004,$T1471)&amp;""))</f>
        <v/>
      </c>
      <c r="D1471" s="88">
        <f>IF($T1471="","",IF($S1471="S",IF(INDEX(Firms!$E$5:$E$1004,$T1471)="","",INDEX(Firms!$E$5:$E$1004,$T1471)),IF(INDEX('AFA Rates'!$C$5:$C$1004,$T1471)="","",INDEX('AFA Rates'!$C$5:$C$1004,$T1471))))</f>
        <v/>
      </c>
      <c r="E1471" s="88">
        <f>IF($T1471="","",IF($S1471="S",IF(""="","",""),IF(INDEX('AFA Rates'!$D$5:$D$1004,$T1471)="","",INDEX('AFA Rates'!$D$5:$D$1004,$T1471))))</f>
        <v/>
      </c>
      <c r="F1471" s="79">
        <f>IF($T1471="","",IF($S1471="S",IF(INDEX(Firms!$O$5:$O$1004,$T1471)="","",INDEX(Firms!$O$5:$O$1004,$T1471)),IF(INDEX('AFA Rates'!$O$5:$O$1004,$T1471)="","",INDEX('AFA Rates'!$O$5:$O$1004,$T1471))))</f>
        <v/>
      </c>
      <c r="G1471" s="50">
        <f>IF($T1471="","",IF($S1471="S",IF(INDEX(Firms!$F$5:$F$1004,$T1471)="","",INDEX(Firms!$F$5:$F$1004,$T1471)),IF(INDEX('AFA Rates'!$E$5:$E$1004,$T1471)="","",INDEX('AFA Rates'!$E$5:$E$1004,$T1471))))</f>
        <v/>
      </c>
      <c r="H1471" s="50">
        <f>IF($T1471="","",IF($S1471="S",IF(INDEX(Firms!$G$5:$G$1004,$T1471)="","",INDEX(Firms!$G$5:$G$1004,$T1471)),IF(INDEX('AFA Rates'!$F$5:$F$1004,$T1471)="","",INDEX('AFA Rates'!$F$5:$F$1004,$T1471))))</f>
        <v/>
      </c>
      <c r="I1471" s="50">
        <f>IF($T1471="","",IF($S1471="S",IF(INDEX(Firms!$H$5:$H$1004,$T1471)="","",INDEX(Firms!$H$5:$H$1004,$T1471)),IF(INDEX('AFA Rates'!$G$5:$G$1004,$T1471)="","",INDEX('AFA Rates'!$G$5:$G$1004,$T1471))))</f>
        <v/>
      </c>
      <c r="J1471" s="50">
        <f>IF($T1471="","",IF($S1471="S",IF(INDEX(Firms!$I$5:$I$1004,$T1471)="","",INDEX(Firms!$I$5:$I$1004,$T1471)),IF(INDEX('AFA Rates'!$H$5:$H$1004,$T1471)="","",INDEX('AFA Rates'!$H$5:$H$1004,$T1471))))</f>
        <v/>
      </c>
      <c r="K1471" s="50">
        <f>IF($T1471="","",IF($S1471="S",IF(INDEX(Firms!$J$5:$J$1004,$T1471)="","",INDEX(Firms!$J$5:$J$1004,$T1471)),IF(INDEX('AFA Rates'!$I$5:$I$1004,$T1471)="","",INDEX('AFA Rates'!$I$5:$I$1004,$T1471))))</f>
        <v/>
      </c>
      <c r="L1471" s="50">
        <f>IF($T1471="","",IF($S1471="S",IF(INDEX(Firms!$K$5:$K$1004,$T1471)="","",INDEX(Firms!$K$5:$K$1004,$T1471)),IF(INDEX('AFA Rates'!$J$5:$J$1004,$T1471)="","",INDEX('AFA Rates'!$J$5:$J$1004,$T1471))))</f>
        <v/>
      </c>
      <c r="M1471" s="50">
        <f>IF($T1471="","",IF($S1471="S",IF(INDEX(Firms!$L$5:$L$1004,$T1471)="","",INDEX(Firms!$L$5:$L$1004,$T1471)),IF(INDEX('AFA Rates'!$K$5:$K$1004,$T1471)="","",INDEX('AFA Rates'!$K$5:$K$1004,$T1471))))</f>
        <v/>
      </c>
      <c r="N1471" s="50">
        <f>IF($T1471="","",IF($S1471="S",IF(INDEX(Firms!$M$5:$M$1004,$T1471)="","",INDEX(Firms!$M$5:$M$1004,$T1471)),IF(INDEX('AFA Rates'!$L$5:$L$1004,$T1471)="","",INDEX('AFA Rates'!$L$5:$L$1004,$T1471))))</f>
        <v/>
      </c>
      <c r="O1471" s="78">
        <f>IF(OR($T1471="",$U1471=""),"",IF(INDEX(Firms!$C$5:$C$1004,$U1471)="","",INDEX(Firms!$C$5:$C$1004,$U1471)))</f>
        <v/>
      </c>
      <c r="P1471" s="79">
        <f>IF(OR($T1471="",$U1471=""),"",IF(INDEX(Firms!$N$5:$N$1004,$U1471)="","",INDEX(Firms!$N$5:$N$1004,$U1471)))</f>
        <v/>
      </c>
      <c r="Q1471" s="78">
        <f>IF($T1471="","",IF($S1471="S",IF(INDEX(Firms!$T$5:$T$1004,$T1471)="","",INDEX(Firms!$T$5:$T$1004,$T1471)),IF(INDEX('AFA Rates'!$M$5:$M$1004,$T1471)="","",INDEX('AFA Rates'!$M$5:$M$1004,$T1471))))</f>
        <v/>
      </c>
      <c r="S1471">
        <f>IF(1467&lt;=$S$2,"S",IF(1467&lt;=$S$2+$T$2,"A",""))</f>
        <v/>
      </c>
      <c r="T1471">
        <f>IF(S1471="S",MATCH(1467,Firms!$W$5:$W$1004,0),IF(S1471="A",IFERROR(MATCH(1467-$S$2,'AFA Rates'!$R$5:$R$1004,0),""),""))</f>
        <v/>
      </c>
      <c r="U1471">
        <f>IF(S1471="S",T1471,IF(AND(S1471="A",T1471&lt;&gt;""),IFERROR(MATCH(INDEX('AFA Rates'!$A$5:$A$1004,T1471),Firms!$A$5:$A$1004,0),""),""))</f>
        <v/>
      </c>
    </row>
    <row r="1472">
      <c r="A1472" s="78">
        <f>IF($T1472="","",IF($S1472="S",IF(INDEX(Firms!$A$5:$A$1004,$T1472)="","",INDEX(Firms!$A$5:$A$1004,$T1472)),IF(INDEX('AFA Rates'!$A$5:$A$1004,$T1472)="","",INDEX('AFA Rates'!$A$5:$A$1004,$T1472))))</f>
        <v/>
      </c>
      <c r="B1472" s="79">
        <f>IF(OR($T1472="",$U1472=""),IF($T1472="","","Not on Firms tab"),INDEX(Firms!$B$5:$B$1004,$U1472)&amp;"")</f>
        <v/>
      </c>
      <c r="C1472" s="78">
        <f>IF($T1472="","",IF($S1472="S","Standard",INDEX('AFA Rates'!$B$5:$B$1004,$T1472)&amp;""))</f>
        <v/>
      </c>
      <c r="D1472" s="88">
        <f>IF($T1472="","",IF($S1472="S",IF(INDEX(Firms!$E$5:$E$1004,$T1472)="","",INDEX(Firms!$E$5:$E$1004,$T1472)),IF(INDEX('AFA Rates'!$C$5:$C$1004,$T1472)="","",INDEX('AFA Rates'!$C$5:$C$1004,$T1472))))</f>
        <v/>
      </c>
      <c r="E1472" s="88">
        <f>IF($T1472="","",IF($S1472="S",IF(""="","",""),IF(INDEX('AFA Rates'!$D$5:$D$1004,$T1472)="","",INDEX('AFA Rates'!$D$5:$D$1004,$T1472))))</f>
        <v/>
      </c>
      <c r="F1472" s="79">
        <f>IF($T1472="","",IF($S1472="S",IF(INDEX(Firms!$O$5:$O$1004,$T1472)="","",INDEX(Firms!$O$5:$O$1004,$T1472)),IF(INDEX('AFA Rates'!$O$5:$O$1004,$T1472)="","",INDEX('AFA Rates'!$O$5:$O$1004,$T1472))))</f>
        <v/>
      </c>
      <c r="G1472" s="50">
        <f>IF($T1472="","",IF($S1472="S",IF(INDEX(Firms!$F$5:$F$1004,$T1472)="","",INDEX(Firms!$F$5:$F$1004,$T1472)),IF(INDEX('AFA Rates'!$E$5:$E$1004,$T1472)="","",INDEX('AFA Rates'!$E$5:$E$1004,$T1472))))</f>
        <v/>
      </c>
      <c r="H1472" s="50">
        <f>IF($T1472="","",IF($S1472="S",IF(INDEX(Firms!$G$5:$G$1004,$T1472)="","",INDEX(Firms!$G$5:$G$1004,$T1472)),IF(INDEX('AFA Rates'!$F$5:$F$1004,$T1472)="","",INDEX('AFA Rates'!$F$5:$F$1004,$T1472))))</f>
        <v/>
      </c>
      <c r="I1472" s="50">
        <f>IF($T1472="","",IF($S1472="S",IF(INDEX(Firms!$H$5:$H$1004,$T1472)="","",INDEX(Firms!$H$5:$H$1004,$T1472)),IF(INDEX('AFA Rates'!$G$5:$G$1004,$T1472)="","",INDEX('AFA Rates'!$G$5:$G$1004,$T1472))))</f>
        <v/>
      </c>
      <c r="J1472" s="50">
        <f>IF($T1472="","",IF($S1472="S",IF(INDEX(Firms!$I$5:$I$1004,$T1472)="","",INDEX(Firms!$I$5:$I$1004,$T1472)),IF(INDEX('AFA Rates'!$H$5:$H$1004,$T1472)="","",INDEX('AFA Rates'!$H$5:$H$1004,$T1472))))</f>
        <v/>
      </c>
      <c r="K1472" s="50">
        <f>IF($T1472="","",IF($S1472="S",IF(INDEX(Firms!$J$5:$J$1004,$T1472)="","",INDEX(Firms!$J$5:$J$1004,$T1472)),IF(INDEX('AFA Rates'!$I$5:$I$1004,$T1472)="","",INDEX('AFA Rates'!$I$5:$I$1004,$T1472))))</f>
        <v/>
      </c>
      <c r="L1472" s="50">
        <f>IF($T1472="","",IF($S1472="S",IF(INDEX(Firms!$K$5:$K$1004,$T1472)="","",INDEX(Firms!$K$5:$K$1004,$T1472)),IF(INDEX('AFA Rates'!$J$5:$J$1004,$T1472)="","",INDEX('AFA Rates'!$J$5:$J$1004,$T1472))))</f>
        <v/>
      </c>
      <c r="M1472" s="50">
        <f>IF($T1472="","",IF($S1472="S",IF(INDEX(Firms!$L$5:$L$1004,$T1472)="","",INDEX(Firms!$L$5:$L$1004,$T1472)),IF(INDEX('AFA Rates'!$K$5:$K$1004,$T1472)="","",INDEX('AFA Rates'!$K$5:$K$1004,$T1472))))</f>
        <v/>
      </c>
      <c r="N1472" s="50">
        <f>IF($T1472="","",IF($S1472="S",IF(INDEX(Firms!$M$5:$M$1004,$T1472)="","",INDEX(Firms!$M$5:$M$1004,$T1472)),IF(INDEX('AFA Rates'!$L$5:$L$1004,$T1472)="","",INDEX('AFA Rates'!$L$5:$L$1004,$T1472))))</f>
        <v/>
      </c>
      <c r="O1472" s="78">
        <f>IF(OR($T1472="",$U1472=""),"",IF(INDEX(Firms!$C$5:$C$1004,$U1472)="","",INDEX(Firms!$C$5:$C$1004,$U1472)))</f>
        <v/>
      </c>
      <c r="P1472" s="79">
        <f>IF(OR($T1472="",$U1472=""),"",IF(INDEX(Firms!$N$5:$N$1004,$U1472)="","",INDEX(Firms!$N$5:$N$1004,$U1472)))</f>
        <v/>
      </c>
      <c r="Q1472" s="78">
        <f>IF($T1472="","",IF($S1472="S",IF(INDEX(Firms!$T$5:$T$1004,$T1472)="","",INDEX(Firms!$T$5:$T$1004,$T1472)),IF(INDEX('AFA Rates'!$M$5:$M$1004,$T1472)="","",INDEX('AFA Rates'!$M$5:$M$1004,$T1472))))</f>
        <v/>
      </c>
      <c r="S1472">
        <f>IF(1468&lt;=$S$2,"S",IF(1468&lt;=$S$2+$T$2,"A",""))</f>
        <v/>
      </c>
      <c r="T1472">
        <f>IF(S1472="S",MATCH(1468,Firms!$W$5:$W$1004,0),IF(S1472="A",IFERROR(MATCH(1468-$S$2,'AFA Rates'!$R$5:$R$1004,0),""),""))</f>
        <v/>
      </c>
      <c r="U1472">
        <f>IF(S1472="S",T1472,IF(AND(S1472="A",T1472&lt;&gt;""),IFERROR(MATCH(INDEX('AFA Rates'!$A$5:$A$1004,T1472),Firms!$A$5:$A$1004,0),""),""))</f>
        <v/>
      </c>
    </row>
    <row r="1473">
      <c r="A1473" s="78">
        <f>IF($T1473="","",IF($S1473="S",IF(INDEX(Firms!$A$5:$A$1004,$T1473)="","",INDEX(Firms!$A$5:$A$1004,$T1473)),IF(INDEX('AFA Rates'!$A$5:$A$1004,$T1473)="","",INDEX('AFA Rates'!$A$5:$A$1004,$T1473))))</f>
        <v/>
      </c>
      <c r="B1473" s="79">
        <f>IF(OR($T1473="",$U1473=""),IF($T1473="","","Not on Firms tab"),INDEX(Firms!$B$5:$B$1004,$U1473)&amp;"")</f>
        <v/>
      </c>
      <c r="C1473" s="78">
        <f>IF($T1473="","",IF($S1473="S","Standard",INDEX('AFA Rates'!$B$5:$B$1004,$T1473)&amp;""))</f>
        <v/>
      </c>
      <c r="D1473" s="88">
        <f>IF($T1473="","",IF($S1473="S",IF(INDEX(Firms!$E$5:$E$1004,$T1473)="","",INDEX(Firms!$E$5:$E$1004,$T1473)),IF(INDEX('AFA Rates'!$C$5:$C$1004,$T1473)="","",INDEX('AFA Rates'!$C$5:$C$1004,$T1473))))</f>
        <v/>
      </c>
      <c r="E1473" s="88">
        <f>IF($T1473="","",IF($S1473="S",IF(""="","",""),IF(INDEX('AFA Rates'!$D$5:$D$1004,$T1473)="","",INDEX('AFA Rates'!$D$5:$D$1004,$T1473))))</f>
        <v/>
      </c>
      <c r="F1473" s="79">
        <f>IF($T1473="","",IF($S1473="S",IF(INDEX(Firms!$O$5:$O$1004,$T1473)="","",INDEX(Firms!$O$5:$O$1004,$T1473)),IF(INDEX('AFA Rates'!$O$5:$O$1004,$T1473)="","",INDEX('AFA Rates'!$O$5:$O$1004,$T1473))))</f>
        <v/>
      </c>
      <c r="G1473" s="50">
        <f>IF($T1473="","",IF($S1473="S",IF(INDEX(Firms!$F$5:$F$1004,$T1473)="","",INDEX(Firms!$F$5:$F$1004,$T1473)),IF(INDEX('AFA Rates'!$E$5:$E$1004,$T1473)="","",INDEX('AFA Rates'!$E$5:$E$1004,$T1473))))</f>
        <v/>
      </c>
      <c r="H1473" s="50">
        <f>IF($T1473="","",IF($S1473="S",IF(INDEX(Firms!$G$5:$G$1004,$T1473)="","",INDEX(Firms!$G$5:$G$1004,$T1473)),IF(INDEX('AFA Rates'!$F$5:$F$1004,$T1473)="","",INDEX('AFA Rates'!$F$5:$F$1004,$T1473))))</f>
        <v/>
      </c>
      <c r="I1473" s="50">
        <f>IF($T1473="","",IF($S1473="S",IF(INDEX(Firms!$H$5:$H$1004,$T1473)="","",INDEX(Firms!$H$5:$H$1004,$T1473)),IF(INDEX('AFA Rates'!$G$5:$G$1004,$T1473)="","",INDEX('AFA Rates'!$G$5:$G$1004,$T1473))))</f>
        <v/>
      </c>
      <c r="J1473" s="50">
        <f>IF($T1473="","",IF($S1473="S",IF(INDEX(Firms!$I$5:$I$1004,$T1473)="","",INDEX(Firms!$I$5:$I$1004,$T1473)),IF(INDEX('AFA Rates'!$H$5:$H$1004,$T1473)="","",INDEX('AFA Rates'!$H$5:$H$1004,$T1473))))</f>
        <v/>
      </c>
      <c r="K1473" s="50">
        <f>IF($T1473="","",IF($S1473="S",IF(INDEX(Firms!$J$5:$J$1004,$T1473)="","",INDEX(Firms!$J$5:$J$1004,$T1473)),IF(INDEX('AFA Rates'!$I$5:$I$1004,$T1473)="","",INDEX('AFA Rates'!$I$5:$I$1004,$T1473))))</f>
        <v/>
      </c>
      <c r="L1473" s="50">
        <f>IF($T1473="","",IF($S1473="S",IF(INDEX(Firms!$K$5:$K$1004,$T1473)="","",INDEX(Firms!$K$5:$K$1004,$T1473)),IF(INDEX('AFA Rates'!$J$5:$J$1004,$T1473)="","",INDEX('AFA Rates'!$J$5:$J$1004,$T1473))))</f>
        <v/>
      </c>
      <c r="M1473" s="50">
        <f>IF($T1473="","",IF($S1473="S",IF(INDEX(Firms!$L$5:$L$1004,$T1473)="","",INDEX(Firms!$L$5:$L$1004,$T1473)),IF(INDEX('AFA Rates'!$K$5:$K$1004,$T1473)="","",INDEX('AFA Rates'!$K$5:$K$1004,$T1473))))</f>
        <v/>
      </c>
      <c r="N1473" s="50">
        <f>IF($T1473="","",IF($S1473="S",IF(INDEX(Firms!$M$5:$M$1004,$T1473)="","",INDEX(Firms!$M$5:$M$1004,$T1473)),IF(INDEX('AFA Rates'!$L$5:$L$1004,$T1473)="","",INDEX('AFA Rates'!$L$5:$L$1004,$T1473))))</f>
        <v/>
      </c>
      <c r="O1473" s="78">
        <f>IF(OR($T1473="",$U1473=""),"",IF(INDEX(Firms!$C$5:$C$1004,$U1473)="","",INDEX(Firms!$C$5:$C$1004,$U1473)))</f>
        <v/>
      </c>
      <c r="P1473" s="79">
        <f>IF(OR($T1473="",$U1473=""),"",IF(INDEX(Firms!$N$5:$N$1004,$U1473)="","",INDEX(Firms!$N$5:$N$1004,$U1473)))</f>
        <v/>
      </c>
      <c r="Q1473" s="78">
        <f>IF($T1473="","",IF($S1473="S",IF(INDEX(Firms!$T$5:$T$1004,$T1473)="","",INDEX(Firms!$T$5:$T$1004,$T1473)),IF(INDEX('AFA Rates'!$M$5:$M$1004,$T1473)="","",INDEX('AFA Rates'!$M$5:$M$1004,$T1473))))</f>
        <v/>
      </c>
      <c r="S1473">
        <f>IF(1469&lt;=$S$2,"S",IF(1469&lt;=$S$2+$T$2,"A",""))</f>
        <v/>
      </c>
      <c r="T1473">
        <f>IF(S1473="S",MATCH(1469,Firms!$W$5:$W$1004,0),IF(S1473="A",IFERROR(MATCH(1469-$S$2,'AFA Rates'!$R$5:$R$1004,0),""),""))</f>
        <v/>
      </c>
      <c r="U1473">
        <f>IF(S1473="S",T1473,IF(AND(S1473="A",T1473&lt;&gt;""),IFERROR(MATCH(INDEX('AFA Rates'!$A$5:$A$1004,T1473),Firms!$A$5:$A$1004,0),""),""))</f>
        <v/>
      </c>
    </row>
    <row r="1474">
      <c r="A1474" s="78">
        <f>IF($T1474="","",IF($S1474="S",IF(INDEX(Firms!$A$5:$A$1004,$T1474)="","",INDEX(Firms!$A$5:$A$1004,$T1474)),IF(INDEX('AFA Rates'!$A$5:$A$1004,$T1474)="","",INDEX('AFA Rates'!$A$5:$A$1004,$T1474))))</f>
        <v/>
      </c>
      <c r="B1474" s="79">
        <f>IF(OR($T1474="",$U1474=""),IF($T1474="","","Not on Firms tab"),INDEX(Firms!$B$5:$B$1004,$U1474)&amp;"")</f>
        <v/>
      </c>
      <c r="C1474" s="78">
        <f>IF($T1474="","",IF($S1474="S","Standard",INDEX('AFA Rates'!$B$5:$B$1004,$T1474)&amp;""))</f>
        <v/>
      </c>
      <c r="D1474" s="88">
        <f>IF($T1474="","",IF($S1474="S",IF(INDEX(Firms!$E$5:$E$1004,$T1474)="","",INDEX(Firms!$E$5:$E$1004,$T1474)),IF(INDEX('AFA Rates'!$C$5:$C$1004,$T1474)="","",INDEX('AFA Rates'!$C$5:$C$1004,$T1474))))</f>
        <v/>
      </c>
      <c r="E1474" s="88">
        <f>IF($T1474="","",IF($S1474="S",IF(""="","",""),IF(INDEX('AFA Rates'!$D$5:$D$1004,$T1474)="","",INDEX('AFA Rates'!$D$5:$D$1004,$T1474))))</f>
        <v/>
      </c>
      <c r="F1474" s="79">
        <f>IF($T1474="","",IF($S1474="S",IF(INDEX(Firms!$O$5:$O$1004,$T1474)="","",INDEX(Firms!$O$5:$O$1004,$T1474)),IF(INDEX('AFA Rates'!$O$5:$O$1004,$T1474)="","",INDEX('AFA Rates'!$O$5:$O$1004,$T1474))))</f>
        <v/>
      </c>
      <c r="G1474" s="50">
        <f>IF($T1474="","",IF($S1474="S",IF(INDEX(Firms!$F$5:$F$1004,$T1474)="","",INDEX(Firms!$F$5:$F$1004,$T1474)),IF(INDEX('AFA Rates'!$E$5:$E$1004,$T1474)="","",INDEX('AFA Rates'!$E$5:$E$1004,$T1474))))</f>
        <v/>
      </c>
      <c r="H1474" s="50">
        <f>IF($T1474="","",IF($S1474="S",IF(INDEX(Firms!$G$5:$G$1004,$T1474)="","",INDEX(Firms!$G$5:$G$1004,$T1474)),IF(INDEX('AFA Rates'!$F$5:$F$1004,$T1474)="","",INDEX('AFA Rates'!$F$5:$F$1004,$T1474))))</f>
        <v/>
      </c>
      <c r="I1474" s="50">
        <f>IF($T1474="","",IF($S1474="S",IF(INDEX(Firms!$H$5:$H$1004,$T1474)="","",INDEX(Firms!$H$5:$H$1004,$T1474)),IF(INDEX('AFA Rates'!$G$5:$G$1004,$T1474)="","",INDEX('AFA Rates'!$G$5:$G$1004,$T1474))))</f>
        <v/>
      </c>
      <c r="J1474" s="50">
        <f>IF($T1474="","",IF($S1474="S",IF(INDEX(Firms!$I$5:$I$1004,$T1474)="","",INDEX(Firms!$I$5:$I$1004,$T1474)),IF(INDEX('AFA Rates'!$H$5:$H$1004,$T1474)="","",INDEX('AFA Rates'!$H$5:$H$1004,$T1474))))</f>
        <v/>
      </c>
      <c r="K1474" s="50">
        <f>IF($T1474="","",IF($S1474="S",IF(INDEX(Firms!$J$5:$J$1004,$T1474)="","",INDEX(Firms!$J$5:$J$1004,$T1474)),IF(INDEX('AFA Rates'!$I$5:$I$1004,$T1474)="","",INDEX('AFA Rates'!$I$5:$I$1004,$T1474))))</f>
        <v/>
      </c>
      <c r="L1474" s="50">
        <f>IF($T1474="","",IF($S1474="S",IF(INDEX(Firms!$K$5:$K$1004,$T1474)="","",INDEX(Firms!$K$5:$K$1004,$T1474)),IF(INDEX('AFA Rates'!$J$5:$J$1004,$T1474)="","",INDEX('AFA Rates'!$J$5:$J$1004,$T1474))))</f>
        <v/>
      </c>
      <c r="M1474" s="50">
        <f>IF($T1474="","",IF($S1474="S",IF(INDEX(Firms!$L$5:$L$1004,$T1474)="","",INDEX(Firms!$L$5:$L$1004,$T1474)),IF(INDEX('AFA Rates'!$K$5:$K$1004,$T1474)="","",INDEX('AFA Rates'!$K$5:$K$1004,$T1474))))</f>
        <v/>
      </c>
      <c r="N1474" s="50">
        <f>IF($T1474="","",IF($S1474="S",IF(INDEX(Firms!$M$5:$M$1004,$T1474)="","",INDEX(Firms!$M$5:$M$1004,$T1474)),IF(INDEX('AFA Rates'!$L$5:$L$1004,$T1474)="","",INDEX('AFA Rates'!$L$5:$L$1004,$T1474))))</f>
        <v/>
      </c>
      <c r="O1474" s="78">
        <f>IF(OR($T1474="",$U1474=""),"",IF(INDEX(Firms!$C$5:$C$1004,$U1474)="","",INDEX(Firms!$C$5:$C$1004,$U1474)))</f>
        <v/>
      </c>
      <c r="P1474" s="79">
        <f>IF(OR($T1474="",$U1474=""),"",IF(INDEX(Firms!$N$5:$N$1004,$U1474)="","",INDEX(Firms!$N$5:$N$1004,$U1474)))</f>
        <v/>
      </c>
      <c r="Q1474" s="78">
        <f>IF($T1474="","",IF($S1474="S",IF(INDEX(Firms!$T$5:$T$1004,$T1474)="","",INDEX(Firms!$T$5:$T$1004,$T1474)),IF(INDEX('AFA Rates'!$M$5:$M$1004,$T1474)="","",INDEX('AFA Rates'!$M$5:$M$1004,$T1474))))</f>
        <v/>
      </c>
      <c r="S1474">
        <f>IF(1470&lt;=$S$2,"S",IF(1470&lt;=$S$2+$T$2,"A",""))</f>
        <v/>
      </c>
      <c r="T1474">
        <f>IF(S1474="S",MATCH(1470,Firms!$W$5:$W$1004,0),IF(S1474="A",IFERROR(MATCH(1470-$S$2,'AFA Rates'!$R$5:$R$1004,0),""),""))</f>
        <v/>
      </c>
      <c r="U1474">
        <f>IF(S1474="S",T1474,IF(AND(S1474="A",T1474&lt;&gt;""),IFERROR(MATCH(INDEX('AFA Rates'!$A$5:$A$1004,T1474),Firms!$A$5:$A$1004,0),""),""))</f>
        <v/>
      </c>
    </row>
    <row r="1475">
      <c r="A1475" s="78">
        <f>IF($T1475="","",IF($S1475="S",IF(INDEX(Firms!$A$5:$A$1004,$T1475)="","",INDEX(Firms!$A$5:$A$1004,$T1475)),IF(INDEX('AFA Rates'!$A$5:$A$1004,$T1475)="","",INDEX('AFA Rates'!$A$5:$A$1004,$T1475))))</f>
        <v/>
      </c>
      <c r="B1475" s="79">
        <f>IF(OR($T1475="",$U1475=""),IF($T1475="","","Not on Firms tab"),INDEX(Firms!$B$5:$B$1004,$U1475)&amp;"")</f>
        <v/>
      </c>
      <c r="C1475" s="78">
        <f>IF($T1475="","",IF($S1475="S","Standard",INDEX('AFA Rates'!$B$5:$B$1004,$T1475)&amp;""))</f>
        <v/>
      </c>
      <c r="D1475" s="88">
        <f>IF($T1475="","",IF($S1475="S",IF(INDEX(Firms!$E$5:$E$1004,$T1475)="","",INDEX(Firms!$E$5:$E$1004,$T1475)),IF(INDEX('AFA Rates'!$C$5:$C$1004,$T1475)="","",INDEX('AFA Rates'!$C$5:$C$1004,$T1475))))</f>
        <v/>
      </c>
      <c r="E1475" s="88">
        <f>IF($T1475="","",IF($S1475="S",IF(""="","",""),IF(INDEX('AFA Rates'!$D$5:$D$1004,$T1475)="","",INDEX('AFA Rates'!$D$5:$D$1004,$T1475))))</f>
        <v/>
      </c>
      <c r="F1475" s="79">
        <f>IF($T1475="","",IF($S1475="S",IF(INDEX(Firms!$O$5:$O$1004,$T1475)="","",INDEX(Firms!$O$5:$O$1004,$T1475)),IF(INDEX('AFA Rates'!$O$5:$O$1004,$T1475)="","",INDEX('AFA Rates'!$O$5:$O$1004,$T1475))))</f>
        <v/>
      </c>
      <c r="G1475" s="50">
        <f>IF($T1475="","",IF($S1475="S",IF(INDEX(Firms!$F$5:$F$1004,$T1475)="","",INDEX(Firms!$F$5:$F$1004,$T1475)),IF(INDEX('AFA Rates'!$E$5:$E$1004,$T1475)="","",INDEX('AFA Rates'!$E$5:$E$1004,$T1475))))</f>
        <v/>
      </c>
      <c r="H1475" s="50">
        <f>IF($T1475="","",IF($S1475="S",IF(INDEX(Firms!$G$5:$G$1004,$T1475)="","",INDEX(Firms!$G$5:$G$1004,$T1475)),IF(INDEX('AFA Rates'!$F$5:$F$1004,$T1475)="","",INDEX('AFA Rates'!$F$5:$F$1004,$T1475))))</f>
        <v/>
      </c>
      <c r="I1475" s="50">
        <f>IF($T1475="","",IF($S1475="S",IF(INDEX(Firms!$H$5:$H$1004,$T1475)="","",INDEX(Firms!$H$5:$H$1004,$T1475)),IF(INDEX('AFA Rates'!$G$5:$G$1004,$T1475)="","",INDEX('AFA Rates'!$G$5:$G$1004,$T1475))))</f>
        <v/>
      </c>
      <c r="J1475" s="50">
        <f>IF($T1475="","",IF($S1475="S",IF(INDEX(Firms!$I$5:$I$1004,$T1475)="","",INDEX(Firms!$I$5:$I$1004,$T1475)),IF(INDEX('AFA Rates'!$H$5:$H$1004,$T1475)="","",INDEX('AFA Rates'!$H$5:$H$1004,$T1475))))</f>
        <v/>
      </c>
      <c r="K1475" s="50">
        <f>IF($T1475="","",IF($S1475="S",IF(INDEX(Firms!$J$5:$J$1004,$T1475)="","",INDEX(Firms!$J$5:$J$1004,$T1475)),IF(INDEX('AFA Rates'!$I$5:$I$1004,$T1475)="","",INDEX('AFA Rates'!$I$5:$I$1004,$T1475))))</f>
        <v/>
      </c>
      <c r="L1475" s="50">
        <f>IF($T1475="","",IF($S1475="S",IF(INDEX(Firms!$K$5:$K$1004,$T1475)="","",INDEX(Firms!$K$5:$K$1004,$T1475)),IF(INDEX('AFA Rates'!$J$5:$J$1004,$T1475)="","",INDEX('AFA Rates'!$J$5:$J$1004,$T1475))))</f>
        <v/>
      </c>
      <c r="M1475" s="50">
        <f>IF($T1475="","",IF($S1475="S",IF(INDEX(Firms!$L$5:$L$1004,$T1475)="","",INDEX(Firms!$L$5:$L$1004,$T1475)),IF(INDEX('AFA Rates'!$K$5:$K$1004,$T1475)="","",INDEX('AFA Rates'!$K$5:$K$1004,$T1475))))</f>
        <v/>
      </c>
      <c r="N1475" s="50">
        <f>IF($T1475="","",IF($S1475="S",IF(INDEX(Firms!$M$5:$M$1004,$T1475)="","",INDEX(Firms!$M$5:$M$1004,$T1475)),IF(INDEX('AFA Rates'!$L$5:$L$1004,$T1475)="","",INDEX('AFA Rates'!$L$5:$L$1004,$T1475))))</f>
        <v/>
      </c>
      <c r="O1475" s="78">
        <f>IF(OR($T1475="",$U1475=""),"",IF(INDEX(Firms!$C$5:$C$1004,$U1475)="","",INDEX(Firms!$C$5:$C$1004,$U1475)))</f>
        <v/>
      </c>
      <c r="P1475" s="79">
        <f>IF(OR($T1475="",$U1475=""),"",IF(INDEX(Firms!$N$5:$N$1004,$U1475)="","",INDEX(Firms!$N$5:$N$1004,$U1475)))</f>
        <v/>
      </c>
      <c r="Q1475" s="78">
        <f>IF($T1475="","",IF($S1475="S",IF(INDEX(Firms!$T$5:$T$1004,$T1475)="","",INDEX(Firms!$T$5:$T$1004,$T1475)),IF(INDEX('AFA Rates'!$M$5:$M$1004,$T1475)="","",INDEX('AFA Rates'!$M$5:$M$1004,$T1475))))</f>
        <v/>
      </c>
      <c r="S1475">
        <f>IF(1471&lt;=$S$2,"S",IF(1471&lt;=$S$2+$T$2,"A",""))</f>
        <v/>
      </c>
      <c r="T1475">
        <f>IF(S1475="S",MATCH(1471,Firms!$W$5:$W$1004,0),IF(S1475="A",IFERROR(MATCH(1471-$S$2,'AFA Rates'!$R$5:$R$1004,0),""),""))</f>
        <v/>
      </c>
      <c r="U1475">
        <f>IF(S1475="S",T1475,IF(AND(S1475="A",T1475&lt;&gt;""),IFERROR(MATCH(INDEX('AFA Rates'!$A$5:$A$1004,T1475),Firms!$A$5:$A$1004,0),""),""))</f>
        <v/>
      </c>
    </row>
    <row r="1476">
      <c r="A1476" s="78">
        <f>IF($T1476="","",IF($S1476="S",IF(INDEX(Firms!$A$5:$A$1004,$T1476)="","",INDEX(Firms!$A$5:$A$1004,$T1476)),IF(INDEX('AFA Rates'!$A$5:$A$1004,$T1476)="","",INDEX('AFA Rates'!$A$5:$A$1004,$T1476))))</f>
        <v/>
      </c>
      <c r="B1476" s="79">
        <f>IF(OR($T1476="",$U1476=""),IF($T1476="","","Not on Firms tab"),INDEX(Firms!$B$5:$B$1004,$U1476)&amp;"")</f>
        <v/>
      </c>
      <c r="C1476" s="78">
        <f>IF($T1476="","",IF($S1476="S","Standard",INDEX('AFA Rates'!$B$5:$B$1004,$T1476)&amp;""))</f>
        <v/>
      </c>
      <c r="D1476" s="88">
        <f>IF($T1476="","",IF($S1476="S",IF(INDEX(Firms!$E$5:$E$1004,$T1476)="","",INDEX(Firms!$E$5:$E$1004,$T1476)),IF(INDEX('AFA Rates'!$C$5:$C$1004,$T1476)="","",INDEX('AFA Rates'!$C$5:$C$1004,$T1476))))</f>
        <v/>
      </c>
      <c r="E1476" s="88">
        <f>IF($T1476="","",IF($S1476="S",IF(""="","",""),IF(INDEX('AFA Rates'!$D$5:$D$1004,$T1476)="","",INDEX('AFA Rates'!$D$5:$D$1004,$T1476))))</f>
        <v/>
      </c>
      <c r="F1476" s="79">
        <f>IF($T1476="","",IF($S1476="S",IF(INDEX(Firms!$O$5:$O$1004,$T1476)="","",INDEX(Firms!$O$5:$O$1004,$T1476)),IF(INDEX('AFA Rates'!$O$5:$O$1004,$T1476)="","",INDEX('AFA Rates'!$O$5:$O$1004,$T1476))))</f>
        <v/>
      </c>
      <c r="G1476" s="50">
        <f>IF($T1476="","",IF($S1476="S",IF(INDEX(Firms!$F$5:$F$1004,$T1476)="","",INDEX(Firms!$F$5:$F$1004,$T1476)),IF(INDEX('AFA Rates'!$E$5:$E$1004,$T1476)="","",INDEX('AFA Rates'!$E$5:$E$1004,$T1476))))</f>
        <v/>
      </c>
      <c r="H1476" s="50">
        <f>IF($T1476="","",IF($S1476="S",IF(INDEX(Firms!$G$5:$G$1004,$T1476)="","",INDEX(Firms!$G$5:$G$1004,$T1476)),IF(INDEX('AFA Rates'!$F$5:$F$1004,$T1476)="","",INDEX('AFA Rates'!$F$5:$F$1004,$T1476))))</f>
        <v/>
      </c>
      <c r="I1476" s="50">
        <f>IF($T1476="","",IF($S1476="S",IF(INDEX(Firms!$H$5:$H$1004,$T1476)="","",INDEX(Firms!$H$5:$H$1004,$T1476)),IF(INDEX('AFA Rates'!$G$5:$G$1004,$T1476)="","",INDEX('AFA Rates'!$G$5:$G$1004,$T1476))))</f>
        <v/>
      </c>
      <c r="J1476" s="50">
        <f>IF($T1476="","",IF($S1476="S",IF(INDEX(Firms!$I$5:$I$1004,$T1476)="","",INDEX(Firms!$I$5:$I$1004,$T1476)),IF(INDEX('AFA Rates'!$H$5:$H$1004,$T1476)="","",INDEX('AFA Rates'!$H$5:$H$1004,$T1476))))</f>
        <v/>
      </c>
      <c r="K1476" s="50">
        <f>IF($T1476="","",IF($S1476="S",IF(INDEX(Firms!$J$5:$J$1004,$T1476)="","",INDEX(Firms!$J$5:$J$1004,$T1476)),IF(INDEX('AFA Rates'!$I$5:$I$1004,$T1476)="","",INDEX('AFA Rates'!$I$5:$I$1004,$T1476))))</f>
        <v/>
      </c>
      <c r="L1476" s="50">
        <f>IF($T1476="","",IF($S1476="S",IF(INDEX(Firms!$K$5:$K$1004,$T1476)="","",INDEX(Firms!$K$5:$K$1004,$T1476)),IF(INDEX('AFA Rates'!$J$5:$J$1004,$T1476)="","",INDEX('AFA Rates'!$J$5:$J$1004,$T1476))))</f>
        <v/>
      </c>
      <c r="M1476" s="50">
        <f>IF($T1476="","",IF($S1476="S",IF(INDEX(Firms!$L$5:$L$1004,$T1476)="","",INDEX(Firms!$L$5:$L$1004,$T1476)),IF(INDEX('AFA Rates'!$K$5:$K$1004,$T1476)="","",INDEX('AFA Rates'!$K$5:$K$1004,$T1476))))</f>
        <v/>
      </c>
      <c r="N1476" s="50">
        <f>IF($T1476="","",IF($S1476="S",IF(INDEX(Firms!$M$5:$M$1004,$T1476)="","",INDEX(Firms!$M$5:$M$1004,$T1476)),IF(INDEX('AFA Rates'!$L$5:$L$1004,$T1476)="","",INDEX('AFA Rates'!$L$5:$L$1004,$T1476))))</f>
        <v/>
      </c>
      <c r="O1476" s="78">
        <f>IF(OR($T1476="",$U1476=""),"",IF(INDEX(Firms!$C$5:$C$1004,$U1476)="","",INDEX(Firms!$C$5:$C$1004,$U1476)))</f>
        <v/>
      </c>
      <c r="P1476" s="79">
        <f>IF(OR($T1476="",$U1476=""),"",IF(INDEX(Firms!$N$5:$N$1004,$U1476)="","",INDEX(Firms!$N$5:$N$1004,$U1476)))</f>
        <v/>
      </c>
      <c r="Q1476" s="78">
        <f>IF($T1476="","",IF($S1476="S",IF(INDEX(Firms!$T$5:$T$1004,$T1476)="","",INDEX(Firms!$T$5:$T$1004,$T1476)),IF(INDEX('AFA Rates'!$M$5:$M$1004,$T1476)="","",INDEX('AFA Rates'!$M$5:$M$1004,$T1476))))</f>
        <v/>
      </c>
      <c r="S1476">
        <f>IF(1472&lt;=$S$2,"S",IF(1472&lt;=$S$2+$T$2,"A",""))</f>
        <v/>
      </c>
      <c r="T1476">
        <f>IF(S1476="S",MATCH(1472,Firms!$W$5:$W$1004,0),IF(S1476="A",IFERROR(MATCH(1472-$S$2,'AFA Rates'!$R$5:$R$1004,0),""),""))</f>
        <v/>
      </c>
      <c r="U1476">
        <f>IF(S1476="S",T1476,IF(AND(S1476="A",T1476&lt;&gt;""),IFERROR(MATCH(INDEX('AFA Rates'!$A$5:$A$1004,T1476),Firms!$A$5:$A$1004,0),""),""))</f>
        <v/>
      </c>
    </row>
    <row r="1477">
      <c r="A1477" s="78">
        <f>IF($T1477="","",IF($S1477="S",IF(INDEX(Firms!$A$5:$A$1004,$T1477)="","",INDEX(Firms!$A$5:$A$1004,$T1477)),IF(INDEX('AFA Rates'!$A$5:$A$1004,$T1477)="","",INDEX('AFA Rates'!$A$5:$A$1004,$T1477))))</f>
        <v/>
      </c>
      <c r="B1477" s="79">
        <f>IF(OR($T1477="",$U1477=""),IF($T1477="","","Not on Firms tab"),INDEX(Firms!$B$5:$B$1004,$U1477)&amp;"")</f>
        <v/>
      </c>
      <c r="C1477" s="78">
        <f>IF($T1477="","",IF($S1477="S","Standard",INDEX('AFA Rates'!$B$5:$B$1004,$T1477)&amp;""))</f>
        <v/>
      </c>
      <c r="D1477" s="88">
        <f>IF($T1477="","",IF($S1477="S",IF(INDEX(Firms!$E$5:$E$1004,$T1477)="","",INDEX(Firms!$E$5:$E$1004,$T1477)),IF(INDEX('AFA Rates'!$C$5:$C$1004,$T1477)="","",INDEX('AFA Rates'!$C$5:$C$1004,$T1477))))</f>
        <v/>
      </c>
      <c r="E1477" s="88">
        <f>IF($T1477="","",IF($S1477="S",IF(""="","",""),IF(INDEX('AFA Rates'!$D$5:$D$1004,$T1477)="","",INDEX('AFA Rates'!$D$5:$D$1004,$T1477))))</f>
        <v/>
      </c>
      <c r="F1477" s="79">
        <f>IF($T1477="","",IF($S1477="S",IF(INDEX(Firms!$O$5:$O$1004,$T1477)="","",INDEX(Firms!$O$5:$O$1004,$T1477)),IF(INDEX('AFA Rates'!$O$5:$O$1004,$T1477)="","",INDEX('AFA Rates'!$O$5:$O$1004,$T1477))))</f>
        <v/>
      </c>
      <c r="G1477" s="50">
        <f>IF($T1477="","",IF($S1477="S",IF(INDEX(Firms!$F$5:$F$1004,$T1477)="","",INDEX(Firms!$F$5:$F$1004,$T1477)),IF(INDEX('AFA Rates'!$E$5:$E$1004,$T1477)="","",INDEX('AFA Rates'!$E$5:$E$1004,$T1477))))</f>
        <v/>
      </c>
      <c r="H1477" s="50">
        <f>IF($T1477="","",IF($S1477="S",IF(INDEX(Firms!$G$5:$G$1004,$T1477)="","",INDEX(Firms!$G$5:$G$1004,$T1477)),IF(INDEX('AFA Rates'!$F$5:$F$1004,$T1477)="","",INDEX('AFA Rates'!$F$5:$F$1004,$T1477))))</f>
        <v/>
      </c>
      <c r="I1477" s="50">
        <f>IF($T1477="","",IF($S1477="S",IF(INDEX(Firms!$H$5:$H$1004,$T1477)="","",INDEX(Firms!$H$5:$H$1004,$T1477)),IF(INDEX('AFA Rates'!$G$5:$G$1004,$T1477)="","",INDEX('AFA Rates'!$G$5:$G$1004,$T1477))))</f>
        <v/>
      </c>
      <c r="J1477" s="50">
        <f>IF($T1477="","",IF($S1477="S",IF(INDEX(Firms!$I$5:$I$1004,$T1477)="","",INDEX(Firms!$I$5:$I$1004,$T1477)),IF(INDEX('AFA Rates'!$H$5:$H$1004,$T1477)="","",INDEX('AFA Rates'!$H$5:$H$1004,$T1477))))</f>
        <v/>
      </c>
      <c r="K1477" s="50">
        <f>IF($T1477="","",IF($S1477="S",IF(INDEX(Firms!$J$5:$J$1004,$T1477)="","",INDEX(Firms!$J$5:$J$1004,$T1477)),IF(INDEX('AFA Rates'!$I$5:$I$1004,$T1477)="","",INDEX('AFA Rates'!$I$5:$I$1004,$T1477))))</f>
        <v/>
      </c>
      <c r="L1477" s="50">
        <f>IF($T1477="","",IF($S1477="S",IF(INDEX(Firms!$K$5:$K$1004,$T1477)="","",INDEX(Firms!$K$5:$K$1004,$T1477)),IF(INDEX('AFA Rates'!$J$5:$J$1004,$T1477)="","",INDEX('AFA Rates'!$J$5:$J$1004,$T1477))))</f>
        <v/>
      </c>
      <c r="M1477" s="50">
        <f>IF($T1477="","",IF($S1477="S",IF(INDEX(Firms!$L$5:$L$1004,$T1477)="","",INDEX(Firms!$L$5:$L$1004,$T1477)),IF(INDEX('AFA Rates'!$K$5:$K$1004,$T1477)="","",INDEX('AFA Rates'!$K$5:$K$1004,$T1477))))</f>
        <v/>
      </c>
      <c r="N1477" s="50">
        <f>IF($T1477="","",IF($S1477="S",IF(INDEX(Firms!$M$5:$M$1004,$T1477)="","",INDEX(Firms!$M$5:$M$1004,$T1477)),IF(INDEX('AFA Rates'!$L$5:$L$1004,$T1477)="","",INDEX('AFA Rates'!$L$5:$L$1004,$T1477))))</f>
        <v/>
      </c>
      <c r="O1477" s="78">
        <f>IF(OR($T1477="",$U1477=""),"",IF(INDEX(Firms!$C$5:$C$1004,$U1477)="","",INDEX(Firms!$C$5:$C$1004,$U1477)))</f>
        <v/>
      </c>
      <c r="P1477" s="79">
        <f>IF(OR($T1477="",$U1477=""),"",IF(INDEX(Firms!$N$5:$N$1004,$U1477)="","",INDEX(Firms!$N$5:$N$1004,$U1477)))</f>
        <v/>
      </c>
      <c r="Q1477" s="78">
        <f>IF($T1477="","",IF($S1477="S",IF(INDEX(Firms!$T$5:$T$1004,$T1477)="","",INDEX(Firms!$T$5:$T$1004,$T1477)),IF(INDEX('AFA Rates'!$M$5:$M$1004,$T1477)="","",INDEX('AFA Rates'!$M$5:$M$1004,$T1477))))</f>
        <v/>
      </c>
      <c r="S1477">
        <f>IF(1473&lt;=$S$2,"S",IF(1473&lt;=$S$2+$T$2,"A",""))</f>
        <v/>
      </c>
      <c r="T1477">
        <f>IF(S1477="S",MATCH(1473,Firms!$W$5:$W$1004,0),IF(S1477="A",IFERROR(MATCH(1473-$S$2,'AFA Rates'!$R$5:$R$1004,0),""),""))</f>
        <v/>
      </c>
      <c r="U1477">
        <f>IF(S1477="S",T1477,IF(AND(S1477="A",T1477&lt;&gt;""),IFERROR(MATCH(INDEX('AFA Rates'!$A$5:$A$1004,T1477),Firms!$A$5:$A$1004,0),""),""))</f>
        <v/>
      </c>
    </row>
    <row r="1478">
      <c r="A1478" s="78">
        <f>IF($T1478="","",IF($S1478="S",IF(INDEX(Firms!$A$5:$A$1004,$T1478)="","",INDEX(Firms!$A$5:$A$1004,$T1478)),IF(INDEX('AFA Rates'!$A$5:$A$1004,$T1478)="","",INDEX('AFA Rates'!$A$5:$A$1004,$T1478))))</f>
        <v/>
      </c>
      <c r="B1478" s="79">
        <f>IF(OR($T1478="",$U1478=""),IF($T1478="","","Not on Firms tab"),INDEX(Firms!$B$5:$B$1004,$U1478)&amp;"")</f>
        <v/>
      </c>
      <c r="C1478" s="78">
        <f>IF($T1478="","",IF($S1478="S","Standard",INDEX('AFA Rates'!$B$5:$B$1004,$T1478)&amp;""))</f>
        <v/>
      </c>
      <c r="D1478" s="88">
        <f>IF($T1478="","",IF($S1478="S",IF(INDEX(Firms!$E$5:$E$1004,$T1478)="","",INDEX(Firms!$E$5:$E$1004,$T1478)),IF(INDEX('AFA Rates'!$C$5:$C$1004,$T1478)="","",INDEX('AFA Rates'!$C$5:$C$1004,$T1478))))</f>
        <v/>
      </c>
      <c r="E1478" s="88">
        <f>IF($T1478="","",IF($S1478="S",IF(""="","",""),IF(INDEX('AFA Rates'!$D$5:$D$1004,$T1478)="","",INDEX('AFA Rates'!$D$5:$D$1004,$T1478))))</f>
        <v/>
      </c>
      <c r="F1478" s="79">
        <f>IF($T1478="","",IF($S1478="S",IF(INDEX(Firms!$O$5:$O$1004,$T1478)="","",INDEX(Firms!$O$5:$O$1004,$T1478)),IF(INDEX('AFA Rates'!$O$5:$O$1004,$T1478)="","",INDEX('AFA Rates'!$O$5:$O$1004,$T1478))))</f>
        <v/>
      </c>
      <c r="G1478" s="50">
        <f>IF($T1478="","",IF($S1478="S",IF(INDEX(Firms!$F$5:$F$1004,$T1478)="","",INDEX(Firms!$F$5:$F$1004,$T1478)),IF(INDEX('AFA Rates'!$E$5:$E$1004,$T1478)="","",INDEX('AFA Rates'!$E$5:$E$1004,$T1478))))</f>
        <v/>
      </c>
      <c r="H1478" s="50">
        <f>IF($T1478="","",IF($S1478="S",IF(INDEX(Firms!$G$5:$G$1004,$T1478)="","",INDEX(Firms!$G$5:$G$1004,$T1478)),IF(INDEX('AFA Rates'!$F$5:$F$1004,$T1478)="","",INDEX('AFA Rates'!$F$5:$F$1004,$T1478))))</f>
        <v/>
      </c>
      <c r="I1478" s="50">
        <f>IF($T1478="","",IF($S1478="S",IF(INDEX(Firms!$H$5:$H$1004,$T1478)="","",INDEX(Firms!$H$5:$H$1004,$T1478)),IF(INDEX('AFA Rates'!$G$5:$G$1004,$T1478)="","",INDEX('AFA Rates'!$G$5:$G$1004,$T1478))))</f>
        <v/>
      </c>
      <c r="J1478" s="50">
        <f>IF($T1478="","",IF($S1478="S",IF(INDEX(Firms!$I$5:$I$1004,$T1478)="","",INDEX(Firms!$I$5:$I$1004,$T1478)),IF(INDEX('AFA Rates'!$H$5:$H$1004,$T1478)="","",INDEX('AFA Rates'!$H$5:$H$1004,$T1478))))</f>
        <v/>
      </c>
      <c r="K1478" s="50">
        <f>IF($T1478="","",IF($S1478="S",IF(INDEX(Firms!$J$5:$J$1004,$T1478)="","",INDEX(Firms!$J$5:$J$1004,$T1478)),IF(INDEX('AFA Rates'!$I$5:$I$1004,$T1478)="","",INDEX('AFA Rates'!$I$5:$I$1004,$T1478))))</f>
        <v/>
      </c>
      <c r="L1478" s="50">
        <f>IF($T1478="","",IF($S1478="S",IF(INDEX(Firms!$K$5:$K$1004,$T1478)="","",INDEX(Firms!$K$5:$K$1004,$T1478)),IF(INDEX('AFA Rates'!$J$5:$J$1004,$T1478)="","",INDEX('AFA Rates'!$J$5:$J$1004,$T1478))))</f>
        <v/>
      </c>
      <c r="M1478" s="50">
        <f>IF($T1478="","",IF($S1478="S",IF(INDEX(Firms!$L$5:$L$1004,$T1478)="","",INDEX(Firms!$L$5:$L$1004,$T1478)),IF(INDEX('AFA Rates'!$K$5:$K$1004,$T1478)="","",INDEX('AFA Rates'!$K$5:$K$1004,$T1478))))</f>
        <v/>
      </c>
      <c r="N1478" s="50">
        <f>IF($T1478="","",IF($S1478="S",IF(INDEX(Firms!$M$5:$M$1004,$T1478)="","",INDEX(Firms!$M$5:$M$1004,$T1478)),IF(INDEX('AFA Rates'!$L$5:$L$1004,$T1478)="","",INDEX('AFA Rates'!$L$5:$L$1004,$T1478))))</f>
        <v/>
      </c>
      <c r="O1478" s="78">
        <f>IF(OR($T1478="",$U1478=""),"",IF(INDEX(Firms!$C$5:$C$1004,$U1478)="","",INDEX(Firms!$C$5:$C$1004,$U1478)))</f>
        <v/>
      </c>
      <c r="P1478" s="79">
        <f>IF(OR($T1478="",$U1478=""),"",IF(INDEX(Firms!$N$5:$N$1004,$U1478)="","",INDEX(Firms!$N$5:$N$1004,$U1478)))</f>
        <v/>
      </c>
      <c r="Q1478" s="78">
        <f>IF($T1478="","",IF($S1478="S",IF(INDEX(Firms!$T$5:$T$1004,$T1478)="","",INDEX(Firms!$T$5:$T$1004,$T1478)),IF(INDEX('AFA Rates'!$M$5:$M$1004,$T1478)="","",INDEX('AFA Rates'!$M$5:$M$1004,$T1478))))</f>
        <v/>
      </c>
      <c r="S1478">
        <f>IF(1474&lt;=$S$2,"S",IF(1474&lt;=$S$2+$T$2,"A",""))</f>
        <v/>
      </c>
      <c r="T1478">
        <f>IF(S1478="S",MATCH(1474,Firms!$W$5:$W$1004,0),IF(S1478="A",IFERROR(MATCH(1474-$S$2,'AFA Rates'!$R$5:$R$1004,0),""),""))</f>
        <v/>
      </c>
      <c r="U1478">
        <f>IF(S1478="S",T1478,IF(AND(S1478="A",T1478&lt;&gt;""),IFERROR(MATCH(INDEX('AFA Rates'!$A$5:$A$1004,T1478),Firms!$A$5:$A$1004,0),""),""))</f>
        <v/>
      </c>
    </row>
    <row r="1479">
      <c r="A1479" s="78">
        <f>IF($T1479="","",IF($S1479="S",IF(INDEX(Firms!$A$5:$A$1004,$T1479)="","",INDEX(Firms!$A$5:$A$1004,$T1479)),IF(INDEX('AFA Rates'!$A$5:$A$1004,$T1479)="","",INDEX('AFA Rates'!$A$5:$A$1004,$T1479))))</f>
        <v/>
      </c>
      <c r="B1479" s="79">
        <f>IF(OR($T1479="",$U1479=""),IF($T1479="","","Not on Firms tab"),INDEX(Firms!$B$5:$B$1004,$U1479)&amp;"")</f>
        <v/>
      </c>
      <c r="C1479" s="78">
        <f>IF($T1479="","",IF($S1479="S","Standard",INDEX('AFA Rates'!$B$5:$B$1004,$T1479)&amp;""))</f>
        <v/>
      </c>
      <c r="D1479" s="88">
        <f>IF($T1479="","",IF($S1479="S",IF(INDEX(Firms!$E$5:$E$1004,$T1479)="","",INDEX(Firms!$E$5:$E$1004,$T1479)),IF(INDEX('AFA Rates'!$C$5:$C$1004,$T1479)="","",INDEX('AFA Rates'!$C$5:$C$1004,$T1479))))</f>
        <v/>
      </c>
      <c r="E1479" s="88">
        <f>IF($T1479="","",IF($S1479="S",IF(""="","",""),IF(INDEX('AFA Rates'!$D$5:$D$1004,$T1479)="","",INDEX('AFA Rates'!$D$5:$D$1004,$T1479))))</f>
        <v/>
      </c>
      <c r="F1479" s="79">
        <f>IF($T1479="","",IF($S1479="S",IF(INDEX(Firms!$O$5:$O$1004,$T1479)="","",INDEX(Firms!$O$5:$O$1004,$T1479)),IF(INDEX('AFA Rates'!$O$5:$O$1004,$T1479)="","",INDEX('AFA Rates'!$O$5:$O$1004,$T1479))))</f>
        <v/>
      </c>
      <c r="G1479" s="50">
        <f>IF($T1479="","",IF($S1479="S",IF(INDEX(Firms!$F$5:$F$1004,$T1479)="","",INDEX(Firms!$F$5:$F$1004,$T1479)),IF(INDEX('AFA Rates'!$E$5:$E$1004,$T1479)="","",INDEX('AFA Rates'!$E$5:$E$1004,$T1479))))</f>
        <v/>
      </c>
      <c r="H1479" s="50">
        <f>IF($T1479="","",IF($S1479="S",IF(INDEX(Firms!$G$5:$G$1004,$T1479)="","",INDEX(Firms!$G$5:$G$1004,$T1479)),IF(INDEX('AFA Rates'!$F$5:$F$1004,$T1479)="","",INDEX('AFA Rates'!$F$5:$F$1004,$T1479))))</f>
        <v/>
      </c>
      <c r="I1479" s="50">
        <f>IF($T1479="","",IF($S1479="S",IF(INDEX(Firms!$H$5:$H$1004,$T1479)="","",INDEX(Firms!$H$5:$H$1004,$T1479)),IF(INDEX('AFA Rates'!$G$5:$G$1004,$T1479)="","",INDEX('AFA Rates'!$G$5:$G$1004,$T1479))))</f>
        <v/>
      </c>
      <c r="J1479" s="50">
        <f>IF($T1479="","",IF($S1479="S",IF(INDEX(Firms!$I$5:$I$1004,$T1479)="","",INDEX(Firms!$I$5:$I$1004,$T1479)),IF(INDEX('AFA Rates'!$H$5:$H$1004,$T1479)="","",INDEX('AFA Rates'!$H$5:$H$1004,$T1479))))</f>
        <v/>
      </c>
      <c r="K1479" s="50">
        <f>IF($T1479="","",IF($S1479="S",IF(INDEX(Firms!$J$5:$J$1004,$T1479)="","",INDEX(Firms!$J$5:$J$1004,$T1479)),IF(INDEX('AFA Rates'!$I$5:$I$1004,$T1479)="","",INDEX('AFA Rates'!$I$5:$I$1004,$T1479))))</f>
        <v/>
      </c>
      <c r="L1479" s="50">
        <f>IF($T1479="","",IF($S1479="S",IF(INDEX(Firms!$K$5:$K$1004,$T1479)="","",INDEX(Firms!$K$5:$K$1004,$T1479)),IF(INDEX('AFA Rates'!$J$5:$J$1004,$T1479)="","",INDEX('AFA Rates'!$J$5:$J$1004,$T1479))))</f>
        <v/>
      </c>
      <c r="M1479" s="50">
        <f>IF($T1479="","",IF($S1479="S",IF(INDEX(Firms!$L$5:$L$1004,$T1479)="","",INDEX(Firms!$L$5:$L$1004,$T1479)),IF(INDEX('AFA Rates'!$K$5:$K$1004,$T1479)="","",INDEX('AFA Rates'!$K$5:$K$1004,$T1479))))</f>
        <v/>
      </c>
      <c r="N1479" s="50">
        <f>IF($T1479="","",IF($S1479="S",IF(INDEX(Firms!$M$5:$M$1004,$T1479)="","",INDEX(Firms!$M$5:$M$1004,$T1479)),IF(INDEX('AFA Rates'!$L$5:$L$1004,$T1479)="","",INDEX('AFA Rates'!$L$5:$L$1004,$T1479))))</f>
        <v/>
      </c>
      <c r="O1479" s="78">
        <f>IF(OR($T1479="",$U1479=""),"",IF(INDEX(Firms!$C$5:$C$1004,$U1479)="","",INDEX(Firms!$C$5:$C$1004,$U1479)))</f>
        <v/>
      </c>
      <c r="P1479" s="79">
        <f>IF(OR($T1479="",$U1479=""),"",IF(INDEX(Firms!$N$5:$N$1004,$U1479)="","",INDEX(Firms!$N$5:$N$1004,$U1479)))</f>
        <v/>
      </c>
      <c r="Q1479" s="78">
        <f>IF($T1479="","",IF($S1479="S",IF(INDEX(Firms!$T$5:$T$1004,$T1479)="","",INDEX(Firms!$T$5:$T$1004,$T1479)),IF(INDEX('AFA Rates'!$M$5:$M$1004,$T1479)="","",INDEX('AFA Rates'!$M$5:$M$1004,$T1479))))</f>
        <v/>
      </c>
      <c r="S1479">
        <f>IF(1475&lt;=$S$2,"S",IF(1475&lt;=$S$2+$T$2,"A",""))</f>
        <v/>
      </c>
      <c r="T1479">
        <f>IF(S1479="S",MATCH(1475,Firms!$W$5:$W$1004,0),IF(S1479="A",IFERROR(MATCH(1475-$S$2,'AFA Rates'!$R$5:$R$1004,0),""),""))</f>
        <v/>
      </c>
      <c r="U1479">
        <f>IF(S1479="S",T1479,IF(AND(S1479="A",T1479&lt;&gt;""),IFERROR(MATCH(INDEX('AFA Rates'!$A$5:$A$1004,T1479),Firms!$A$5:$A$1004,0),""),""))</f>
        <v/>
      </c>
    </row>
    <row r="1480">
      <c r="A1480" s="78">
        <f>IF($T1480="","",IF($S1480="S",IF(INDEX(Firms!$A$5:$A$1004,$T1480)="","",INDEX(Firms!$A$5:$A$1004,$T1480)),IF(INDEX('AFA Rates'!$A$5:$A$1004,$T1480)="","",INDEX('AFA Rates'!$A$5:$A$1004,$T1480))))</f>
        <v/>
      </c>
      <c r="B1480" s="79">
        <f>IF(OR($T1480="",$U1480=""),IF($T1480="","","Not on Firms tab"),INDEX(Firms!$B$5:$B$1004,$U1480)&amp;"")</f>
        <v/>
      </c>
      <c r="C1480" s="78">
        <f>IF($T1480="","",IF($S1480="S","Standard",INDEX('AFA Rates'!$B$5:$B$1004,$T1480)&amp;""))</f>
        <v/>
      </c>
      <c r="D1480" s="88">
        <f>IF($T1480="","",IF($S1480="S",IF(INDEX(Firms!$E$5:$E$1004,$T1480)="","",INDEX(Firms!$E$5:$E$1004,$T1480)),IF(INDEX('AFA Rates'!$C$5:$C$1004,$T1480)="","",INDEX('AFA Rates'!$C$5:$C$1004,$T1480))))</f>
        <v/>
      </c>
      <c r="E1480" s="88">
        <f>IF($T1480="","",IF($S1480="S",IF(""="","",""),IF(INDEX('AFA Rates'!$D$5:$D$1004,$T1480)="","",INDEX('AFA Rates'!$D$5:$D$1004,$T1480))))</f>
        <v/>
      </c>
      <c r="F1480" s="79">
        <f>IF($T1480="","",IF($S1480="S",IF(INDEX(Firms!$O$5:$O$1004,$T1480)="","",INDEX(Firms!$O$5:$O$1004,$T1480)),IF(INDEX('AFA Rates'!$O$5:$O$1004,$T1480)="","",INDEX('AFA Rates'!$O$5:$O$1004,$T1480))))</f>
        <v/>
      </c>
      <c r="G1480" s="50">
        <f>IF($T1480="","",IF($S1480="S",IF(INDEX(Firms!$F$5:$F$1004,$T1480)="","",INDEX(Firms!$F$5:$F$1004,$T1480)),IF(INDEX('AFA Rates'!$E$5:$E$1004,$T1480)="","",INDEX('AFA Rates'!$E$5:$E$1004,$T1480))))</f>
        <v/>
      </c>
      <c r="H1480" s="50">
        <f>IF($T1480="","",IF($S1480="S",IF(INDEX(Firms!$G$5:$G$1004,$T1480)="","",INDEX(Firms!$G$5:$G$1004,$T1480)),IF(INDEX('AFA Rates'!$F$5:$F$1004,$T1480)="","",INDEX('AFA Rates'!$F$5:$F$1004,$T1480))))</f>
        <v/>
      </c>
      <c r="I1480" s="50">
        <f>IF($T1480="","",IF($S1480="S",IF(INDEX(Firms!$H$5:$H$1004,$T1480)="","",INDEX(Firms!$H$5:$H$1004,$T1480)),IF(INDEX('AFA Rates'!$G$5:$G$1004,$T1480)="","",INDEX('AFA Rates'!$G$5:$G$1004,$T1480))))</f>
        <v/>
      </c>
      <c r="J1480" s="50">
        <f>IF($T1480="","",IF($S1480="S",IF(INDEX(Firms!$I$5:$I$1004,$T1480)="","",INDEX(Firms!$I$5:$I$1004,$T1480)),IF(INDEX('AFA Rates'!$H$5:$H$1004,$T1480)="","",INDEX('AFA Rates'!$H$5:$H$1004,$T1480))))</f>
        <v/>
      </c>
      <c r="K1480" s="50">
        <f>IF($T1480="","",IF($S1480="S",IF(INDEX(Firms!$J$5:$J$1004,$T1480)="","",INDEX(Firms!$J$5:$J$1004,$T1480)),IF(INDEX('AFA Rates'!$I$5:$I$1004,$T1480)="","",INDEX('AFA Rates'!$I$5:$I$1004,$T1480))))</f>
        <v/>
      </c>
      <c r="L1480" s="50">
        <f>IF($T1480="","",IF($S1480="S",IF(INDEX(Firms!$K$5:$K$1004,$T1480)="","",INDEX(Firms!$K$5:$K$1004,$T1480)),IF(INDEX('AFA Rates'!$J$5:$J$1004,$T1480)="","",INDEX('AFA Rates'!$J$5:$J$1004,$T1480))))</f>
        <v/>
      </c>
      <c r="M1480" s="50">
        <f>IF($T1480="","",IF($S1480="S",IF(INDEX(Firms!$L$5:$L$1004,$T1480)="","",INDEX(Firms!$L$5:$L$1004,$T1480)),IF(INDEX('AFA Rates'!$K$5:$K$1004,$T1480)="","",INDEX('AFA Rates'!$K$5:$K$1004,$T1480))))</f>
        <v/>
      </c>
      <c r="N1480" s="50">
        <f>IF($T1480="","",IF($S1480="S",IF(INDEX(Firms!$M$5:$M$1004,$T1480)="","",INDEX(Firms!$M$5:$M$1004,$T1480)),IF(INDEX('AFA Rates'!$L$5:$L$1004,$T1480)="","",INDEX('AFA Rates'!$L$5:$L$1004,$T1480))))</f>
        <v/>
      </c>
      <c r="O1480" s="78">
        <f>IF(OR($T1480="",$U1480=""),"",IF(INDEX(Firms!$C$5:$C$1004,$U1480)="","",INDEX(Firms!$C$5:$C$1004,$U1480)))</f>
        <v/>
      </c>
      <c r="P1480" s="79">
        <f>IF(OR($T1480="",$U1480=""),"",IF(INDEX(Firms!$N$5:$N$1004,$U1480)="","",INDEX(Firms!$N$5:$N$1004,$U1480)))</f>
        <v/>
      </c>
      <c r="Q1480" s="78">
        <f>IF($T1480="","",IF($S1480="S",IF(INDEX(Firms!$T$5:$T$1004,$T1480)="","",INDEX(Firms!$T$5:$T$1004,$T1480)),IF(INDEX('AFA Rates'!$M$5:$M$1004,$T1480)="","",INDEX('AFA Rates'!$M$5:$M$1004,$T1480))))</f>
        <v/>
      </c>
      <c r="S1480">
        <f>IF(1476&lt;=$S$2,"S",IF(1476&lt;=$S$2+$T$2,"A",""))</f>
        <v/>
      </c>
      <c r="T1480">
        <f>IF(S1480="S",MATCH(1476,Firms!$W$5:$W$1004,0),IF(S1480="A",IFERROR(MATCH(1476-$S$2,'AFA Rates'!$R$5:$R$1004,0),""),""))</f>
        <v/>
      </c>
      <c r="U1480">
        <f>IF(S1480="S",T1480,IF(AND(S1480="A",T1480&lt;&gt;""),IFERROR(MATCH(INDEX('AFA Rates'!$A$5:$A$1004,T1480),Firms!$A$5:$A$1004,0),""),""))</f>
        <v/>
      </c>
    </row>
    <row r="1481">
      <c r="A1481" s="78">
        <f>IF($T1481="","",IF($S1481="S",IF(INDEX(Firms!$A$5:$A$1004,$T1481)="","",INDEX(Firms!$A$5:$A$1004,$T1481)),IF(INDEX('AFA Rates'!$A$5:$A$1004,$T1481)="","",INDEX('AFA Rates'!$A$5:$A$1004,$T1481))))</f>
        <v/>
      </c>
      <c r="B1481" s="79">
        <f>IF(OR($T1481="",$U1481=""),IF($T1481="","","Not on Firms tab"),INDEX(Firms!$B$5:$B$1004,$U1481)&amp;"")</f>
        <v/>
      </c>
      <c r="C1481" s="78">
        <f>IF($T1481="","",IF($S1481="S","Standard",INDEX('AFA Rates'!$B$5:$B$1004,$T1481)&amp;""))</f>
        <v/>
      </c>
      <c r="D1481" s="88">
        <f>IF($T1481="","",IF($S1481="S",IF(INDEX(Firms!$E$5:$E$1004,$T1481)="","",INDEX(Firms!$E$5:$E$1004,$T1481)),IF(INDEX('AFA Rates'!$C$5:$C$1004,$T1481)="","",INDEX('AFA Rates'!$C$5:$C$1004,$T1481))))</f>
        <v/>
      </c>
      <c r="E1481" s="88">
        <f>IF($T1481="","",IF($S1481="S",IF(""="","",""),IF(INDEX('AFA Rates'!$D$5:$D$1004,$T1481)="","",INDEX('AFA Rates'!$D$5:$D$1004,$T1481))))</f>
        <v/>
      </c>
      <c r="F1481" s="79">
        <f>IF($T1481="","",IF($S1481="S",IF(INDEX(Firms!$O$5:$O$1004,$T1481)="","",INDEX(Firms!$O$5:$O$1004,$T1481)),IF(INDEX('AFA Rates'!$O$5:$O$1004,$T1481)="","",INDEX('AFA Rates'!$O$5:$O$1004,$T1481))))</f>
        <v/>
      </c>
      <c r="G1481" s="50">
        <f>IF($T1481="","",IF($S1481="S",IF(INDEX(Firms!$F$5:$F$1004,$T1481)="","",INDEX(Firms!$F$5:$F$1004,$T1481)),IF(INDEX('AFA Rates'!$E$5:$E$1004,$T1481)="","",INDEX('AFA Rates'!$E$5:$E$1004,$T1481))))</f>
        <v/>
      </c>
      <c r="H1481" s="50">
        <f>IF($T1481="","",IF($S1481="S",IF(INDEX(Firms!$G$5:$G$1004,$T1481)="","",INDEX(Firms!$G$5:$G$1004,$T1481)),IF(INDEX('AFA Rates'!$F$5:$F$1004,$T1481)="","",INDEX('AFA Rates'!$F$5:$F$1004,$T1481))))</f>
        <v/>
      </c>
      <c r="I1481" s="50">
        <f>IF($T1481="","",IF($S1481="S",IF(INDEX(Firms!$H$5:$H$1004,$T1481)="","",INDEX(Firms!$H$5:$H$1004,$T1481)),IF(INDEX('AFA Rates'!$G$5:$G$1004,$T1481)="","",INDEX('AFA Rates'!$G$5:$G$1004,$T1481))))</f>
        <v/>
      </c>
      <c r="J1481" s="50">
        <f>IF($T1481="","",IF($S1481="S",IF(INDEX(Firms!$I$5:$I$1004,$T1481)="","",INDEX(Firms!$I$5:$I$1004,$T1481)),IF(INDEX('AFA Rates'!$H$5:$H$1004,$T1481)="","",INDEX('AFA Rates'!$H$5:$H$1004,$T1481))))</f>
        <v/>
      </c>
      <c r="K1481" s="50">
        <f>IF($T1481="","",IF($S1481="S",IF(INDEX(Firms!$J$5:$J$1004,$T1481)="","",INDEX(Firms!$J$5:$J$1004,$T1481)),IF(INDEX('AFA Rates'!$I$5:$I$1004,$T1481)="","",INDEX('AFA Rates'!$I$5:$I$1004,$T1481))))</f>
        <v/>
      </c>
      <c r="L1481" s="50">
        <f>IF($T1481="","",IF($S1481="S",IF(INDEX(Firms!$K$5:$K$1004,$T1481)="","",INDEX(Firms!$K$5:$K$1004,$T1481)),IF(INDEX('AFA Rates'!$J$5:$J$1004,$T1481)="","",INDEX('AFA Rates'!$J$5:$J$1004,$T1481))))</f>
        <v/>
      </c>
      <c r="M1481" s="50">
        <f>IF($T1481="","",IF($S1481="S",IF(INDEX(Firms!$L$5:$L$1004,$T1481)="","",INDEX(Firms!$L$5:$L$1004,$T1481)),IF(INDEX('AFA Rates'!$K$5:$K$1004,$T1481)="","",INDEX('AFA Rates'!$K$5:$K$1004,$T1481))))</f>
        <v/>
      </c>
      <c r="N1481" s="50">
        <f>IF($T1481="","",IF($S1481="S",IF(INDEX(Firms!$M$5:$M$1004,$T1481)="","",INDEX(Firms!$M$5:$M$1004,$T1481)),IF(INDEX('AFA Rates'!$L$5:$L$1004,$T1481)="","",INDEX('AFA Rates'!$L$5:$L$1004,$T1481))))</f>
        <v/>
      </c>
      <c r="O1481" s="78">
        <f>IF(OR($T1481="",$U1481=""),"",IF(INDEX(Firms!$C$5:$C$1004,$U1481)="","",INDEX(Firms!$C$5:$C$1004,$U1481)))</f>
        <v/>
      </c>
      <c r="P1481" s="79">
        <f>IF(OR($T1481="",$U1481=""),"",IF(INDEX(Firms!$N$5:$N$1004,$U1481)="","",INDEX(Firms!$N$5:$N$1004,$U1481)))</f>
        <v/>
      </c>
      <c r="Q1481" s="78">
        <f>IF($T1481="","",IF($S1481="S",IF(INDEX(Firms!$T$5:$T$1004,$T1481)="","",INDEX(Firms!$T$5:$T$1004,$T1481)),IF(INDEX('AFA Rates'!$M$5:$M$1004,$T1481)="","",INDEX('AFA Rates'!$M$5:$M$1004,$T1481))))</f>
        <v/>
      </c>
      <c r="S1481">
        <f>IF(1477&lt;=$S$2,"S",IF(1477&lt;=$S$2+$T$2,"A",""))</f>
        <v/>
      </c>
      <c r="T1481">
        <f>IF(S1481="S",MATCH(1477,Firms!$W$5:$W$1004,0),IF(S1481="A",IFERROR(MATCH(1477-$S$2,'AFA Rates'!$R$5:$R$1004,0),""),""))</f>
        <v/>
      </c>
      <c r="U1481">
        <f>IF(S1481="S",T1481,IF(AND(S1481="A",T1481&lt;&gt;""),IFERROR(MATCH(INDEX('AFA Rates'!$A$5:$A$1004,T1481),Firms!$A$5:$A$1004,0),""),""))</f>
        <v/>
      </c>
    </row>
    <row r="1482">
      <c r="A1482" s="78">
        <f>IF($T1482="","",IF($S1482="S",IF(INDEX(Firms!$A$5:$A$1004,$T1482)="","",INDEX(Firms!$A$5:$A$1004,$T1482)),IF(INDEX('AFA Rates'!$A$5:$A$1004,$T1482)="","",INDEX('AFA Rates'!$A$5:$A$1004,$T1482))))</f>
        <v/>
      </c>
      <c r="B1482" s="79">
        <f>IF(OR($T1482="",$U1482=""),IF($T1482="","","Not on Firms tab"),INDEX(Firms!$B$5:$B$1004,$U1482)&amp;"")</f>
        <v/>
      </c>
      <c r="C1482" s="78">
        <f>IF($T1482="","",IF($S1482="S","Standard",INDEX('AFA Rates'!$B$5:$B$1004,$T1482)&amp;""))</f>
        <v/>
      </c>
      <c r="D1482" s="88">
        <f>IF($T1482="","",IF($S1482="S",IF(INDEX(Firms!$E$5:$E$1004,$T1482)="","",INDEX(Firms!$E$5:$E$1004,$T1482)),IF(INDEX('AFA Rates'!$C$5:$C$1004,$T1482)="","",INDEX('AFA Rates'!$C$5:$C$1004,$T1482))))</f>
        <v/>
      </c>
      <c r="E1482" s="88">
        <f>IF($T1482="","",IF($S1482="S",IF(""="","",""),IF(INDEX('AFA Rates'!$D$5:$D$1004,$T1482)="","",INDEX('AFA Rates'!$D$5:$D$1004,$T1482))))</f>
        <v/>
      </c>
      <c r="F1482" s="79">
        <f>IF($T1482="","",IF($S1482="S",IF(INDEX(Firms!$O$5:$O$1004,$T1482)="","",INDEX(Firms!$O$5:$O$1004,$T1482)),IF(INDEX('AFA Rates'!$O$5:$O$1004,$T1482)="","",INDEX('AFA Rates'!$O$5:$O$1004,$T1482))))</f>
        <v/>
      </c>
      <c r="G1482" s="50">
        <f>IF($T1482="","",IF($S1482="S",IF(INDEX(Firms!$F$5:$F$1004,$T1482)="","",INDEX(Firms!$F$5:$F$1004,$T1482)),IF(INDEX('AFA Rates'!$E$5:$E$1004,$T1482)="","",INDEX('AFA Rates'!$E$5:$E$1004,$T1482))))</f>
        <v/>
      </c>
      <c r="H1482" s="50">
        <f>IF($T1482="","",IF($S1482="S",IF(INDEX(Firms!$G$5:$G$1004,$T1482)="","",INDEX(Firms!$G$5:$G$1004,$T1482)),IF(INDEX('AFA Rates'!$F$5:$F$1004,$T1482)="","",INDEX('AFA Rates'!$F$5:$F$1004,$T1482))))</f>
        <v/>
      </c>
      <c r="I1482" s="50">
        <f>IF($T1482="","",IF($S1482="S",IF(INDEX(Firms!$H$5:$H$1004,$T1482)="","",INDEX(Firms!$H$5:$H$1004,$T1482)),IF(INDEX('AFA Rates'!$G$5:$G$1004,$T1482)="","",INDEX('AFA Rates'!$G$5:$G$1004,$T1482))))</f>
        <v/>
      </c>
      <c r="J1482" s="50">
        <f>IF($T1482="","",IF($S1482="S",IF(INDEX(Firms!$I$5:$I$1004,$T1482)="","",INDEX(Firms!$I$5:$I$1004,$T1482)),IF(INDEX('AFA Rates'!$H$5:$H$1004,$T1482)="","",INDEX('AFA Rates'!$H$5:$H$1004,$T1482))))</f>
        <v/>
      </c>
      <c r="K1482" s="50">
        <f>IF($T1482="","",IF($S1482="S",IF(INDEX(Firms!$J$5:$J$1004,$T1482)="","",INDEX(Firms!$J$5:$J$1004,$T1482)),IF(INDEX('AFA Rates'!$I$5:$I$1004,$T1482)="","",INDEX('AFA Rates'!$I$5:$I$1004,$T1482))))</f>
        <v/>
      </c>
      <c r="L1482" s="50">
        <f>IF($T1482="","",IF($S1482="S",IF(INDEX(Firms!$K$5:$K$1004,$T1482)="","",INDEX(Firms!$K$5:$K$1004,$T1482)),IF(INDEX('AFA Rates'!$J$5:$J$1004,$T1482)="","",INDEX('AFA Rates'!$J$5:$J$1004,$T1482))))</f>
        <v/>
      </c>
      <c r="M1482" s="50">
        <f>IF($T1482="","",IF($S1482="S",IF(INDEX(Firms!$L$5:$L$1004,$T1482)="","",INDEX(Firms!$L$5:$L$1004,$T1482)),IF(INDEX('AFA Rates'!$K$5:$K$1004,$T1482)="","",INDEX('AFA Rates'!$K$5:$K$1004,$T1482))))</f>
        <v/>
      </c>
      <c r="N1482" s="50">
        <f>IF($T1482="","",IF($S1482="S",IF(INDEX(Firms!$M$5:$M$1004,$T1482)="","",INDEX(Firms!$M$5:$M$1004,$T1482)),IF(INDEX('AFA Rates'!$L$5:$L$1004,$T1482)="","",INDEX('AFA Rates'!$L$5:$L$1004,$T1482))))</f>
        <v/>
      </c>
      <c r="O1482" s="78">
        <f>IF(OR($T1482="",$U1482=""),"",IF(INDEX(Firms!$C$5:$C$1004,$U1482)="","",INDEX(Firms!$C$5:$C$1004,$U1482)))</f>
        <v/>
      </c>
      <c r="P1482" s="79">
        <f>IF(OR($T1482="",$U1482=""),"",IF(INDEX(Firms!$N$5:$N$1004,$U1482)="","",INDEX(Firms!$N$5:$N$1004,$U1482)))</f>
        <v/>
      </c>
      <c r="Q1482" s="78">
        <f>IF($T1482="","",IF($S1482="S",IF(INDEX(Firms!$T$5:$T$1004,$T1482)="","",INDEX(Firms!$T$5:$T$1004,$T1482)),IF(INDEX('AFA Rates'!$M$5:$M$1004,$T1482)="","",INDEX('AFA Rates'!$M$5:$M$1004,$T1482))))</f>
        <v/>
      </c>
      <c r="S1482">
        <f>IF(1478&lt;=$S$2,"S",IF(1478&lt;=$S$2+$T$2,"A",""))</f>
        <v/>
      </c>
      <c r="T1482">
        <f>IF(S1482="S",MATCH(1478,Firms!$W$5:$W$1004,0),IF(S1482="A",IFERROR(MATCH(1478-$S$2,'AFA Rates'!$R$5:$R$1004,0),""),""))</f>
        <v/>
      </c>
      <c r="U1482">
        <f>IF(S1482="S",T1482,IF(AND(S1482="A",T1482&lt;&gt;""),IFERROR(MATCH(INDEX('AFA Rates'!$A$5:$A$1004,T1482),Firms!$A$5:$A$1004,0),""),""))</f>
        <v/>
      </c>
    </row>
    <row r="1483">
      <c r="A1483" s="78">
        <f>IF($T1483="","",IF($S1483="S",IF(INDEX(Firms!$A$5:$A$1004,$T1483)="","",INDEX(Firms!$A$5:$A$1004,$T1483)),IF(INDEX('AFA Rates'!$A$5:$A$1004,$T1483)="","",INDEX('AFA Rates'!$A$5:$A$1004,$T1483))))</f>
        <v/>
      </c>
      <c r="B1483" s="79">
        <f>IF(OR($T1483="",$U1483=""),IF($T1483="","","Not on Firms tab"),INDEX(Firms!$B$5:$B$1004,$U1483)&amp;"")</f>
        <v/>
      </c>
      <c r="C1483" s="78">
        <f>IF($T1483="","",IF($S1483="S","Standard",INDEX('AFA Rates'!$B$5:$B$1004,$T1483)&amp;""))</f>
        <v/>
      </c>
      <c r="D1483" s="88">
        <f>IF($T1483="","",IF($S1483="S",IF(INDEX(Firms!$E$5:$E$1004,$T1483)="","",INDEX(Firms!$E$5:$E$1004,$T1483)),IF(INDEX('AFA Rates'!$C$5:$C$1004,$T1483)="","",INDEX('AFA Rates'!$C$5:$C$1004,$T1483))))</f>
        <v/>
      </c>
      <c r="E1483" s="88">
        <f>IF($T1483="","",IF($S1483="S",IF(""="","",""),IF(INDEX('AFA Rates'!$D$5:$D$1004,$T1483)="","",INDEX('AFA Rates'!$D$5:$D$1004,$T1483))))</f>
        <v/>
      </c>
      <c r="F1483" s="79">
        <f>IF($T1483="","",IF($S1483="S",IF(INDEX(Firms!$O$5:$O$1004,$T1483)="","",INDEX(Firms!$O$5:$O$1004,$T1483)),IF(INDEX('AFA Rates'!$O$5:$O$1004,$T1483)="","",INDEX('AFA Rates'!$O$5:$O$1004,$T1483))))</f>
        <v/>
      </c>
      <c r="G1483" s="50">
        <f>IF($T1483="","",IF($S1483="S",IF(INDEX(Firms!$F$5:$F$1004,$T1483)="","",INDEX(Firms!$F$5:$F$1004,$T1483)),IF(INDEX('AFA Rates'!$E$5:$E$1004,$T1483)="","",INDEX('AFA Rates'!$E$5:$E$1004,$T1483))))</f>
        <v/>
      </c>
      <c r="H1483" s="50">
        <f>IF($T1483="","",IF($S1483="S",IF(INDEX(Firms!$G$5:$G$1004,$T1483)="","",INDEX(Firms!$G$5:$G$1004,$T1483)),IF(INDEX('AFA Rates'!$F$5:$F$1004,$T1483)="","",INDEX('AFA Rates'!$F$5:$F$1004,$T1483))))</f>
        <v/>
      </c>
      <c r="I1483" s="50">
        <f>IF($T1483="","",IF($S1483="S",IF(INDEX(Firms!$H$5:$H$1004,$T1483)="","",INDEX(Firms!$H$5:$H$1004,$T1483)),IF(INDEX('AFA Rates'!$G$5:$G$1004,$T1483)="","",INDEX('AFA Rates'!$G$5:$G$1004,$T1483))))</f>
        <v/>
      </c>
      <c r="J1483" s="50">
        <f>IF($T1483="","",IF($S1483="S",IF(INDEX(Firms!$I$5:$I$1004,$T1483)="","",INDEX(Firms!$I$5:$I$1004,$T1483)),IF(INDEX('AFA Rates'!$H$5:$H$1004,$T1483)="","",INDEX('AFA Rates'!$H$5:$H$1004,$T1483))))</f>
        <v/>
      </c>
      <c r="K1483" s="50">
        <f>IF($T1483="","",IF($S1483="S",IF(INDEX(Firms!$J$5:$J$1004,$T1483)="","",INDEX(Firms!$J$5:$J$1004,$T1483)),IF(INDEX('AFA Rates'!$I$5:$I$1004,$T1483)="","",INDEX('AFA Rates'!$I$5:$I$1004,$T1483))))</f>
        <v/>
      </c>
      <c r="L1483" s="50">
        <f>IF($T1483="","",IF($S1483="S",IF(INDEX(Firms!$K$5:$K$1004,$T1483)="","",INDEX(Firms!$K$5:$K$1004,$T1483)),IF(INDEX('AFA Rates'!$J$5:$J$1004,$T1483)="","",INDEX('AFA Rates'!$J$5:$J$1004,$T1483))))</f>
        <v/>
      </c>
      <c r="M1483" s="50">
        <f>IF($T1483="","",IF($S1483="S",IF(INDEX(Firms!$L$5:$L$1004,$T1483)="","",INDEX(Firms!$L$5:$L$1004,$T1483)),IF(INDEX('AFA Rates'!$K$5:$K$1004,$T1483)="","",INDEX('AFA Rates'!$K$5:$K$1004,$T1483))))</f>
        <v/>
      </c>
      <c r="N1483" s="50">
        <f>IF($T1483="","",IF($S1483="S",IF(INDEX(Firms!$M$5:$M$1004,$T1483)="","",INDEX(Firms!$M$5:$M$1004,$T1483)),IF(INDEX('AFA Rates'!$L$5:$L$1004,$T1483)="","",INDEX('AFA Rates'!$L$5:$L$1004,$T1483))))</f>
        <v/>
      </c>
      <c r="O1483" s="78">
        <f>IF(OR($T1483="",$U1483=""),"",IF(INDEX(Firms!$C$5:$C$1004,$U1483)="","",INDEX(Firms!$C$5:$C$1004,$U1483)))</f>
        <v/>
      </c>
      <c r="P1483" s="79">
        <f>IF(OR($T1483="",$U1483=""),"",IF(INDEX(Firms!$N$5:$N$1004,$U1483)="","",INDEX(Firms!$N$5:$N$1004,$U1483)))</f>
        <v/>
      </c>
      <c r="Q1483" s="78">
        <f>IF($T1483="","",IF($S1483="S",IF(INDEX(Firms!$T$5:$T$1004,$T1483)="","",INDEX(Firms!$T$5:$T$1004,$T1483)),IF(INDEX('AFA Rates'!$M$5:$M$1004,$T1483)="","",INDEX('AFA Rates'!$M$5:$M$1004,$T1483))))</f>
        <v/>
      </c>
      <c r="S1483">
        <f>IF(1479&lt;=$S$2,"S",IF(1479&lt;=$S$2+$T$2,"A",""))</f>
        <v/>
      </c>
      <c r="T1483">
        <f>IF(S1483="S",MATCH(1479,Firms!$W$5:$W$1004,0),IF(S1483="A",IFERROR(MATCH(1479-$S$2,'AFA Rates'!$R$5:$R$1004,0),""),""))</f>
        <v/>
      </c>
      <c r="U1483">
        <f>IF(S1483="S",T1483,IF(AND(S1483="A",T1483&lt;&gt;""),IFERROR(MATCH(INDEX('AFA Rates'!$A$5:$A$1004,T1483),Firms!$A$5:$A$1004,0),""),""))</f>
        <v/>
      </c>
    </row>
    <row r="1484">
      <c r="A1484" s="78">
        <f>IF($T1484="","",IF($S1484="S",IF(INDEX(Firms!$A$5:$A$1004,$T1484)="","",INDEX(Firms!$A$5:$A$1004,$T1484)),IF(INDEX('AFA Rates'!$A$5:$A$1004,$T1484)="","",INDEX('AFA Rates'!$A$5:$A$1004,$T1484))))</f>
        <v/>
      </c>
      <c r="B1484" s="79">
        <f>IF(OR($T1484="",$U1484=""),IF($T1484="","","Not on Firms tab"),INDEX(Firms!$B$5:$B$1004,$U1484)&amp;"")</f>
        <v/>
      </c>
      <c r="C1484" s="78">
        <f>IF($T1484="","",IF($S1484="S","Standard",INDEX('AFA Rates'!$B$5:$B$1004,$T1484)&amp;""))</f>
        <v/>
      </c>
      <c r="D1484" s="88">
        <f>IF($T1484="","",IF($S1484="S",IF(INDEX(Firms!$E$5:$E$1004,$T1484)="","",INDEX(Firms!$E$5:$E$1004,$T1484)),IF(INDEX('AFA Rates'!$C$5:$C$1004,$T1484)="","",INDEX('AFA Rates'!$C$5:$C$1004,$T1484))))</f>
        <v/>
      </c>
      <c r="E1484" s="88">
        <f>IF($T1484="","",IF($S1484="S",IF(""="","",""),IF(INDEX('AFA Rates'!$D$5:$D$1004,$T1484)="","",INDEX('AFA Rates'!$D$5:$D$1004,$T1484))))</f>
        <v/>
      </c>
      <c r="F1484" s="79">
        <f>IF($T1484="","",IF($S1484="S",IF(INDEX(Firms!$O$5:$O$1004,$T1484)="","",INDEX(Firms!$O$5:$O$1004,$T1484)),IF(INDEX('AFA Rates'!$O$5:$O$1004,$T1484)="","",INDEX('AFA Rates'!$O$5:$O$1004,$T1484))))</f>
        <v/>
      </c>
      <c r="G1484" s="50">
        <f>IF($T1484="","",IF($S1484="S",IF(INDEX(Firms!$F$5:$F$1004,$T1484)="","",INDEX(Firms!$F$5:$F$1004,$T1484)),IF(INDEX('AFA Rates'!$E$5:$E$1004,$T1484)="","",INDEX('AFA Rates'!$E$5:$E$1004,$T1484))))</f>
        <v/>
      </c>
      <c r="H1484" s="50">
        <f>IF($T1484="","",IF($S1484="S",IF(INDEX(Firms!$G$5:$G$1004,$T1484)="","",INDEX(Firms!$G$5:$G$1004,$T1484)),IF(INDEX('AFA Rates'!$F$5:$F$1004,$T1484)="","",INDEX('AFA Rates'!$F$5:$F$1004,$T1484))))</f>
        <v/>
      </c>
      <c r="I1484" s="50">
        <f>IF($T1484="","",IF($S1484="S",IF(INDEX(Firms!$H$5:$H$1004,$T1484)="","",INDEX(Firms!$H$5:$H$1004,$T1484)),IF(INDEX('AFA Rates'!$G$5:$G$1004,$T1484)="","",INDEX('AFA Rates'!$G$5:$G$1004,$T1484))))</f>
        <v/>
      </c>
      <c r="J1484" s="50">
        <f>IF($T1484="","",IF($S1484="S",IF(INDEX(Firms!$I$5:$I$1004,$T1484)="","",INDEX(Firms!$I$5:$I$1004,$T1484)),IF(INDEX('AFA Rates'!$H$5:$H$1004,$T1484)="","",INDEX('AFA Rates'!$H$5:$H$1004,$T1484))))</f>
        <v/>
      </c>
      <c r="K1484" s="50">
        <f>IF($T1484="","",IF($S1484="S",IF(INDEX(Firms!$J$5:$J$1004,$T1484)="","",INDEX(Firms!$J$5:$J$1004,$T1484)),IF(INDEX('AFA Rates'!$I$5:$I$1004,$T1484)="","",INDEX('AFA Rates'!$I$5:$I$1004,$T1484))))</f>
        <v/>
      </c>
      <c r="L1484" s="50">
        <f>IF($T1484="","",IF($S1484="S",IF(INDEX(Firms!$K$5:$K$1004,$T1484)="","",INDEX(Firms!$K$5:$K$1004,$T1484)),IF(INDEX('AFA Rates'!$J$5:$J$1004,$T1484)="","",INDEX('AFA Rates'!$J$5:$J$1004,$T1484))))</f>
        <v/>
      </c>
      <c r="M1484" s="50">
        <f>IF($T1484="","",IF($S1484="S",IF(INDEX(Firms!$L$5:$L$1004,$T1484)="","",INDEX(Firms!$L$5:$L$1004,$T1484)),IF(INDEX('AFA Rates'!$K$5:$K$1004,$T1484)="","",INDEX('AFA Rates'!$K$5:$K$1004,$T1484))))</f>
        <v/>
      </c>
      <c r="N1484" s="50">
        <f>IF($T1484="","",IF($S1484="S",IF(INDEX(Firms!$M$5:$M$1004,$T1484)="","",INDEX(Firms!$M$5:$M$1004,$T1484)),IF(INDEX('AFA Rates'!$L$5:$L$1004,$T1484)="","",INDEX('AFA Rates'!$L$5:$L$1004,$T1484))))</f>
        <v/>
      </c>
      <c r="O1484" s="78">
        <f>IF(OR($T1484="",$U1484=""),"",IF(INDEX(Firms!$C$5:$C$1004,$U1484)="","",INDEX(Firms!$C$5:$C$1004,$U1484)))</f>
        <v/>
      </c>
      <c r="P1484" s="79">
        <f>IF(OR($T1484="",$U1484=""),"",IF(INDEX(Firms!$N$5:$N$1004,$U1484)="","",INDEX(Firms!$N$5:$N$1004,$U1484)))</f>
        <v/>
      </c>
      <c r="Q1484" s="78">
        <f>IF($T1484="","",IF($S1484="S",IF(INDEX(Firms!$T$5:$T$1004,$T1484)="","",INDEX(Firms!$T$5:$T$1004,$T1484)),IF(INDEX('AFA Rates'!$M$5:$M$1004,$T1484)="","",INDEX('AFA Rates'!$M$5:$M$1004,$T1484))))</f>
        <v/>
      </c>
      <c r="S1484">
        <f>IF(1480&lt;=$S$2,"S",IF(1480&lt;=$S$2+$T$2,"A",""))</f>
        <v/>
      </c>
      <c r="T1484">
        <f>IF(S1484="S",MATCH(1480,Firms!$W$5:$W$1004,0),IF(S1484="A",IFERROR(MATCH(1480-$S$2,'AFA Rates'!$R$5:$R$1004,0),""),""))</f>
        <v/>
      </c>
      <c r="U1484">
        <f>IF(S1484="S",T1484,IF(AND(S1484="A",T1484&lt;&gt;""),IFERROR(MATCH(INDEX('AFA Rates'!$A$5:$A$1004,T1484),Firms!$A$5:$A$1004,0),""),""))</f>
        <v/>
      </c>
    </row>
    <row r="1485">
      <c r="A1485" s="78">
        <f>IF($T1485="","",IF($S1485="S",IF(INDEX(Firms!$A$5:$A$1004,$T1485)="","",INDEX(Firms!$A$5:$A$1004,$T1485)),IF(INDEX('AFA Rates'!$A$5:$A$1004,$T1485)="","",INDEX('AFA Rates'!$A$5:$A$1004,$T1485))))</f>
        <v/>
      </c>
      <c r="B1485" s="79">
        <f>IF(OR($T1485="",$U1485=""),IF($T1485="","","Not on Firms tab"),INDEX(Firms!$B$5:$B$1004,$U1485)&amp;"")</f>
        <v/>
      </c>
      <c r="C1485" s="78">
        <f>IF($T1485="","",IF($S1485="S","Standard",INDEX('AFA Rates'!$B$5:$B$1004,$T1485)&amp;""))</f>
        <v/>
      </c>
      <c r="D1485" s="88">
        <f>IF($T1485="","",IF($S1485="S",IF(INDEX(Firms!$E$5:$E$1004,$T1485)="","",INDEX(Firms!$E$5:$E$1004,$T1485)),IF(INDEX('AFA Rates'!$C$5:$C$1004,$T1485)="","",INDEX('AFA Rates'!$C$5:$C$1004,$T1485))))</f>
        <v/>
      </c>
      <c r="E1485" s="88">
        <f>IF($T1485="","",IF($S1485="S",IF(""="","",""),IF(INDEX('AFA Rates'!$D$5:$D$1004,$T1485)="","",INDEX('AFA Rates'!$D$5:$D$1004,$T1485))))</f>
        <v/>
      </c>
      <c r="F1485" s="79">
        <f>IF($T1485="","",IF($S1485="S",IF(INDEX(Firms!$O$5:$O$1004,$T1485)="","",INDEX(Firms!$O$5:$O$1004,$T1485)),IF(INDEX('AFA Rates'!$O$5:$O$1004,$T1485)="","",INDEX('AFA Rates'!$O$5:$O$1004,$T1485))))</f>
        <v/>
      </c>
      <c r="G1485" s="50">
        <f>IF($T1485="","",IF($S1485="S",IF(INDEX(Firms!$F$5:$F$1004,$T1485)="","",INDEX(Firms!$F$5:$F$1004,$T1485)),IF(INDEX('AFA Rates'!$E$5:$E$1004,$T1485)="","",INDEX('AFA Rates'!$E$5:$E$1004,$T1485))))</f>
        <v/>
      </c>
      <c r="H1485" s="50">
        <f>IF($T1485="","",IF($S1485="S",IF(INDEX(Firms!$G$5:$G$1004,$T1485)="","",INDEX(Firms!$G$5:$G$1004,$T1485)),IF(INDEX('AFA Rates'!$F$5:$F$1004,$T1485)="","",INDEX('AFA Rates'!$F$5:$F$1004,$T1485))))</f>
        <v/>
      </c>
      <c r="I1485" s="50">
        <f>IF($T1485="","",IF($S1485="S",IF(INDEX(Firms!$H$5:$H$1004,$T1485)="","",INDEX(Firms!$H$5:$H$1004,$T1485)),IF(INDEX('AFA Rates'!$G$5:$G$1004,$T1485)="","",INDEX('AFA Rates'!$G$5:$G$1004,$T1485))))</f>
        <v/>
      </c>
      <c r="J1485" s="50">
        <f>IF($T1485="","",IF($S1485="S",IF(INDEX(Firms!$I$5:$I$1004,$T1485)="","",INDEX(Firms!$I$5:$I$1004,$T1485)),IF(INDEX('AFA Rates'!$H$5:$H$1004,$T1485)="","",INDEX('AFA Rates'!$H$5:$H$1004,$T1485))))</f>
        <v/>
      </c>
      <c r="K1485" s="50">
        <f>IF($T1485="","",IF($S1485="S",IF(INDEX(Firms!$J$5:$J$1004,$T1485)="","",INDEX(Firms!$J$5:$J$1004,$T1485)),IF(INDEX('AFA Rates'!$I$5:$I$1004,$T1485)="","",INDEX('AFA Rates'!$I$5:$I$1004,$T1485))))</f>
        <v/>
      </c>
      <c r="L1485" s="50">
        <f>IF($T1485="","",IF($S1485="S",IF(INDEX(Firms!$K$5:$K$1004,$T1485)="","",INDEX(Firms!$K$5:$K$1004,$T1485)),IF(INDEX('AFA Rates'!$J$5:$J$1004,$T1485)="","",INDEX('AFA Rates'!$J$5:$J$1004,$T1485))))</f>
        <v/>
      </c>
      <c r="M1485" s="50">
        <f>IF($T1485="","",IF($S1485="S",IF(INDEX(Firms!$L$5:$L$1004,$T1485)="","",INDEX(Firms!$L$5:$L$1004,$T1485)),IF(INDEX('AFA Rates'!$K$5:$K$1004,$T1485)="","",INDEX('AFA Rates'!$K$5:$K$1004,$T1485))))</f>
        <v/>
      </c>
      <c r="N1485" s="50">
        <f>IF($T1485="","",IF($S1485="S",IF(INDEX(Firms!$M$5:$M$1004,$T1485)="","",INDEX(Firms!$M$5:$M$1004,$T1485)),IF(INDEX('AFA Rates'!$L$5:$L$1004,$T1485)="","",INDEX('AFA Rates'!$L$5:$L$1004,$T1485))))</f>
        <v/>
      </c>
      <c r="O1485" s="78">
        <f>IF(OR($T1485="",$U1485=""),"",IF(INDEX(Firms!$C$5:$C$1004,$U1485)="","",INDEX(Firms!$C$5:$C$1004,$U1485)))</f>
        <v/>
      </c>
      <c r="P1485" s="79">
        <f>IF(OR($T1485="",$U1485=""),"",IF(INDEX(Firms!$N$5:$N$1004,$U1485)="","",INDEX(Firms!$N$5:$N$1004,$U1485)))</f>
        <v/>
      </c>
      <c r="Q1485" s="78">
        <f>IF($T1485="","",IF($S1485="S",IF(INDEX(Firms!$T$5:$T$1004,$T1485)="","",INDEX(Firms!$T$5:$T$1004,$T1485)),IF(INDEX('AFA Rates'!$M$5:$M$1004,$T1485)="","",INDEX('AFA Rates'!$M$5:$M$1004,$T1485))))</f>
        <v/>
      </c>
      <c r="S1485">
        <f>IF(1481&lt;=$S$2,"S",IF(1481&lt;=$S$2+$T$2,"A",""))</f>
        <v/>
      </c>
      <c r="T1485">
        <f>IF(S1485="S",MATCH(1481,Firms!$W$5:$W$1004,0),IF(S1485="A",IFERROR(MATCH(1481-$S$2,'AFA Rates'!$R$5:$R$1004,0),""),""))</f>
        <v/>
      </c>
      <c r="U1485">
        <f>IF(S1485="S",T1485,IF(AND(S1485="A",T1485&lt;&gt;""),IFERROR(MATCH(INDEX('AFA Rates'!$A$5:$A$1004,T1485),Firms!$A$5:$A$1004,0),""),""))</f>
        <v/>
      </c>
    </row>
    <row r="1486">
      <c r="A1486" s="78">
        <f>IF($T1486="","",IF($S1486="S",IF(INDEX(Firms!$A$5:$A$1004,$T1486)="","",INDEX(Firms!$A$5:$A$1004,$T1486)),IF(INDEX('AFA Rates'!$A$5:$A$1004,$T1486)="","",INDEX('AFA Rates'!$A$5:$A$1004,$T1486))))</f>
        <v/>
      </c>
      <c r="B1486" s="79">
        <f>IF(OR($T1486="",$U1486=""),IF($T1486="","","Not on Firms tab"),INDEX(Firms!$B$5:$B$1004,$U1486)&amp;"")</f>
        <v/>
      </c>
      <c r="C1486" s="78">
        <f>IF($T1486="","",IF($S1486="S","Standard",INDEX('AFA Rates'!$B$5:$B$1004,$T1486)&amp;""))</f>
        <v/>
      </c>
      <c r="D1486" s="88">
        <f>IF($T1486="","",IF($S1486="S",IF(INDEX(Firms!$E$5:$E$1004,$T1486)="","",INDEX(Firms!$E$5:$E$1004,$T1486)),IF(INDEX('AFA Rates'!$C$5:$C$1004,$T1486)="","",INDEX('AFA Rates'!$C$5:$C$1004,$T1486))))</f>
        <v/>
      </c>
      <c r="E1486" s="88">
        <f>IF($T1486="","",IF($S1486="S",IF(""="","",""),IF(INDEX('AFA Rates'!$D$5:$D$1004,$T1486)="","",INDEX('AFA Rates'!$D$5:$D$1004,$T1486))))</f>
        <v/>
      </c>
      <c r="F1486" s="79">
        <f>IF($T1486="","",IF($S1486="S",IF(INDEX(Firms!$O$5:$O$1004,$T1486)="","",INDEX(Firms!$O$5:$O$1004,$T1486)),IF(INDEX('AFA Rates'!$O$5:$O$1004,$T1486)="","",INDEX('AFA Rates'!$O$5:$O$1004,$T1486))))</f>
        <v/>
      </c>
      <c r="G1486" s="50">
        <f>IF($T1486="","",IF($S1486="S",IF(INDEX(Firms!$F$5:$F$1004,$T1486)="","",INDEX(Firms!$F$5:$F$1004,$T1486)),IF(INDEX('AFA Rates'!$E$5:$E$1004,$T1486)="","",INDEX('AFA Rates'!$E$5:$E$1004,$T1486))))</f>
        <v/>
      </c>
      <c r="H1486" s="50">
        <f>IF($T1486="","",IF($S1486="S",IF(INDEX(Firms!$G$5:$G$1004,$T1486)="","",INDEX(Firms!$G$5:$G$1004,$T1486)),IF(INDEX('AFA Rates'!$F$5:$F$1004,$T1486)="","",INDEX('AFA Rates'!$F$5:$F$1004,$T1486))))</f>
        <v/>
      </c>
      <c r="I1486" s="50">
        <f>IF($T1486="","",IF($S1486="S",IF(INDEX(Firms!$H$5:$H$1004,$T1486)="","",INDEX(Firms!$H$5:$H$1004,$T1486)),IF(INDEX('AFA Rates'!$G$5:$G$1004,$T1486)="","",INDEX('AFA Rates'!$G$5:$G$1004,$T1486))))</f>
        <v/>
      </c>
      <c r="J1486" s="50">
        <f>IF($T1486="","",IF($S1486="S",IF(INDEX(Firms!$I$5:$I$1004,$T1486)="","",INDEX(Firms!$I$5:$I$1004,$T1486)),IF(INDEX('AFA Rates'!$H$5:$H$1004,$T1486)="","",INDEX('AFA Rates'!$H$5:$H$1004,$T1486))))</f>
        <v/>
      </c>
      <c r="K1486" s="50">
        <f>IF($T1486="","",IF($S1486="S",IF(INDEX(Firms!$J$5:$J$1004,$T1486)="","",INDEX(Firms!$J$5:$J$1004,$T1486)),IF(INDEX('AFA Rates'!$I$5:$I$1004,$T1486)="","",INDEX('AFA Rates'!$I$5:$I$1004,$T1486))))</f>
        <v/>
      </c>
      <c r="L1486" s="50">
        <f>IF($T1486="","",IF($S1486="S",IF(INDEX(Firms!$K$5:$K$1004,$T1486)="","",INDEX(Firms!$K$5:$K$1004,$T1486)),IF(INDEX('AFA Rates'!$J$5:$J$1004,$T1486)="","",INDEX('AFA Rates'!$J$5:$J$1004,$T1486))))</f>
        <v/>
      </c>
      <c r="M1486" s="50">
        <f>IF($T1486="","",IF($S1486="S",IF(INDEX(Firms!$L$5:$L$1004,$T1486)="","",INDEX(Firms!$L$5:$L$1004,$T1486)),IF(INDEX('AFA Rates'!$K$5:$K$1004,$T1486)="","",INDEX('AFA Rates'!$K$5:$K$1004,$T1486))))</f>
        <v/>
      </c>
      <c r="N1486" s="50">
        <f>IF($T1486="","",IF($S1486="S",IF(INDEX(Firms!$M$5:$M$1004,$T1486)="","",INDEX(Firms!$M$5:$M$1004,$T1486)),IF(INDEX('AFA Rates'!$L$5:$L$1004,$T1486)="","",INDEX('AFA Rates'!$L$5:$L$1004,$T1486))))</f>
        <v/>
      </c>
      <c r="O1486" s="78">
        <f>IF(OR($T1486="",$U1486=""),"",IF(INDEX(Firms!$C$5:$C$1004,$U1486)="","",INDEX(Firms!$C$5:$C$1004,$U1486)))</f>
        <v/>
      </c>
      <c r="P1486" s="79">
        <f>IF(OR($T1486="",$U1486=""),"",IF(INDEX(Firms!$N$5:$N$1004,$U1486)="","",INDEX(Firms!$N$5:$N$1004,$U1486)))</f>
        <v/>
      </c>
      <c r="Q1486" s="78">
        <f>IF($T1486="","",IF($S1486="S",IF(INDEX(Firms!$T$5:$T$1004,$T1486)="","",INDEX(Firms!$T$5:$T$1004,$T1486)),IF(INDEX('AFA Rates'!$M$5:$M$1004,$T1486)="","",INDEX('AFA Rates'!$M$5:$M$1004,$T1486))))</f>
        <v/>
      </c>
      <c r="S1486">
        <f>IF(1482&lt;=$S$2,"S",IF(1482&lt;=$S$2+$T$2,"A",""))</f>
        <v/>
      </c>
      <c r="T1486">
        <f>IF(S1486="S",MATCH(1482,Firms!$W$5:$W$1004,0),IF(S1486="A",IFERROR(MATCH(1482-$S$2,'AFA Rates'!$R$5:$R$1004,0),""),""))</f>
        <v/>
      </c>
      <c r="U1486">
        <f>IF(S1486="S",T1486,IF(AND(S1486="A",T1486&lt;&gt;""),IFERROR(MATCH(INDEX('AFA Rates'!$A$5:$A$1004,T1486),Firms!$A$5:$A$1004,0),""),""))</f>
        <v/>
      </c>
    </row>
    <row r="1487">
      <c r="A1487" s="78">
        <f>IF($T1487="","",IF($S1487="S",IF(INDEX(Firms!$A$5:$A$1004,$T1487)="","",INDEX(Firms!$A$5:$A$1004,$T1487)),IF(INDEX('AFA Rates'!$A$5:$A$1004,$T1487)="","",INDEX('AFA Rates'!$A$5:$A$1004,$T1487))))</f>
        <v/>
      </c>
      <c r="B1487" s="79">
        <f>IF(OR($T1487="",$U1487=""),IF($T1487="","","Not on Firms tab"),INDEX(Firms!$B$5:$B$1004,$U1487)&amp;"")</f>
        <v/>
      </c>
      <c r="C1487" s="78">
        <f>IF($T1487="","",IF($S1487="S","Standard",INDEX('AFA Rates'!$B$5:$B$1004,$T1487)&amp;""))</f>
        <v/>
      </c>
      <c r="D1487" s="88">
        <f>IF($T1487="","",IF($S1487="S",IF(INDEX(Firms!$E$5:$E$1004,$T1487)="","",INDEX(Firms!$E$5:$E$1004,$T1487)),IF(INDEX('AFA Rates'!$C$5:$C$1004,$T1487)="","",INDEX('AFA Rates'!$C$5:$C$1004,$T1487))))</f>
        <v/>
      </c>
      <c r="E1487" s="88">
        <f>IF($T1487="","",IF($S1487="S",IF(""="","",""),IF(INDEX('AFA Rates'!$D$5:$D$1004,$T1487)="","",INDEX('AFA Rates'!$D$5:$D$1004,$T1487))))</f>
        <v/>
      </c>
      <c r="F1487" s="79">
        <f>IF($T1487="","",IF($S1487="S",IF(INDEX(Firms!$O$5:$O$1004,$T1487)="","",INDEX(Firms!$O$5:$O$1004,$T1487)),IF(INDEX('AFA Rates'!$O$5:$O$1004,$T1487)="","",INDEX('AFA Rates'!$O$5:$O$1004,$T1487))))</f>
        <v/>
      </c>
      <c r="G1487" s="50">
        <f>IF($T1487="","",IF($S1487="S",IF(INDEX(Firms!$F$5:$F$1004,$T1487)="","",INDEX(Firms!$F$5:$F$1004,$T1487)),IF(INDEX('AFA Rates'!$E$5:$E$1004,$T1487)="","",INDEX('AFA Rates'!$E$5:$E$1004,$T1487))))</f>
        <v/>
      </c>
      <c r="H1487" s="50">
        <f>IF($T1487="","",IF($S1487="S",IF(INDEX(Firms!$G$5:$G$1004,$T1487)="","",INDEX(Firms!$G$5:$G$1004,$T1487)),IF(INDEX('AFA Rates'!$F$5:$F$1004,$T1487)="","",INDEX('AFA Rates'!$F$5:$F$1004,$T1487))))</f>
        <v/>
      </c>
      <c r="I1487" s="50">
        <f>IF($T1487="","",IF($S1487="S",IF(INDEX(Firms!$H$5:$H$1004,$T1487)="","",INDEX(Firms!$H$5:$H$1004,$T1487)),IF(INDEX('AFA Rates'!$G$5:$G$1004,$T1487)="","",INDEX('AFA Rates'!$G$5:$G$1004,$T1487))))</f>
        <v/>
      </c>
      <c r="J1487" s="50">
        <f>IF($T1487="","",IF($S1487="S",IF(INDEX(Firms!$I$5:$I$1004,$T1487)="","",INDEX(Firms!$I$5:$I$1004,$T1487)),IF(INDEX('AFA Rates'!$H$5:$H$1004,$T1487)="","",INDEX('AFA Rates'!$H$5:$H$1004,$T1487))))</f>
        <v/>
      </c>
      <c r="K1487" s="50">
        <f>IF($T1487="","",IF($S1487="S",IF(INDEX(Firms!$J$5:$J$1004,$T1487)="","",INDEX(Firms!$J$5:$J$1004,$T1487)),IF(INDEX('AFA Rates'!$I$5:$I$1004,$T1487)="","",INDEX('AFA Rates'!$I$5:$I$1004,$T1487))))</f>
        <v/>
      </c>
      <c r="L1487" s="50">
        <f>IF($T1487="","",IF($S1487="S",IF(INDEX(Firms!$K$5:$K$1004,$T1487)="","",INDEX(Firms!$K$5:$K$1004,$T1487)),IF(INDEX('AFA Rates'!$J$5:$J$1004,$T1487)="","",INDEX('AFA Rates'!$J$5:$J$1004,$T1487))))</f>
        <v/>
      </c>
      <c r="M1487" s="50">
        <f>IF($T1487="","",IF($S1487="S",IF(INDEX(Firms!$L$5:$L$1004,$T1487)="","",INDEX(Firms!$L$5:$L$1004,$T1487)),IF(INDEX('AFA Rates'!$K$5:$K$1004,$T1487)="","",INDEX('AFA Rates'!$K$5:$K$1004,$T1487))))</f>
        <v/>
      </c>
      <c r="N1487" s="50">
        <f>IF($T1487="","",IF($S1487="S",IF(INDEX(Firms!$M$5:$M$1004,$T1487)="","",INDEX(Firms!$M$5:$M$1004,$T1487)),IF(INDEX('AFA Rates'!$L$5:$L$1004,$T1487)="","",INDEX('AFA Rates'!$L$5:$L$1004,$T1487))))</f>
        <v/>
      </c>
      <c r="O1487" s="78">
        <f>IF(OR($T1487="",$U1487=""),"",IF(INDEX(Firms!$C$5:$C$1004,$U1487)="","",INDEX(Firms!$C$5:$C$1004,$U1487)))</f>
        <v/>
      </c>
      <c r="P1487" s="79">
        <f>IF(OR($T1487="",$U1487=""),"",IF(INDEX(Firms!$N$5:$N$1004,$U1487)="","",INDEX(Firms!$N$5:$N$1004,$U1487)))</f>
        <v/>
      </c>
      <c r="Q1487" s="78">
        <f>IF($T1487="","",IF($S1487="S",IF(INDEX(Firms!$T$5:$T$1004,$T1487)="","",INDEX(Firms!$T$5:$T$1004,$T1487)),IF(INDEX('AFA Rates'!$M$5:$M$1004,$T1487)="","",INDEX('AFA Rates'!$M$5:$M$1004,$T1487))))</f>
        <v/>
      </c>
      <c r="S1487">
        <f>IF(1483&lt;=$S$2,"S",IF(1483&lt;=$S$2+$T$2,"A",""))</f>
        <v/>
      </c>
      <c r="T1487">
        <f>IF(S1487="S",MATCH(1483,Firms!$W$5:$W$1004,0),IF(S1487="A",IFERROR(MATCH(1483-$S$2,'AFA Rates'!$R$5:$R$1004,0),""),""))</f>
        <v/>
      </c>
      <c r="U1487">
        <f>IF(S1487="S",T1487,IF(AND(S1487="A",T1487&lt;&gt;""),IFERROR(MATCH(INDEX('AFA Rates'!$A$5:$A$1004,T1487),Firms!$A$5:$A$1004,0),""),""))</f>
        <v/>
      </c>
    </row>
    <row r="1488">
      <c r="A1488" s="78">
        <f>IF($T1488="","",IF($S1488="S",IF(INDEX(Firms!$A$5:$A$1004,$T1488)="","",INDEX(Firms!$A$5:$A$1004,$T1488)),IF(INDEX('AFA Rates'!$A$5:$A$1004,$T1488)="","",INDEX('AFA Rates'!$A$5:$A$1004,$T1488))))</f>
        <v/>
      </c>
      <c r="B1488" s="79">
        <f>IF(OR($T1488="",$U1488=""),IF($T1488="","","Not on Firms tab"),INDEX(Firms!$B$5:$B$1004,$U1488)&amp;"")</f>
        <v/>
      </c>
      <c r="C1488" s="78">
        <f>IF($T1488="","",IF($S1488="S","Standard",INDEX('AFA Rates'!$B$5:$B$1004,$T1488)&amp;""))</f>
        <v/>
      </c>
      <c r="D1488" s="88">
        <f>IF($T1488="","",IF($S1488="S",IF(INDEX(Firms!$E$5:$E$1004,$T1488)="","",INDEX(Firms!$E$5:$E$1004,$T1488)),IF(INDEX('AFA Rates'!$C$5:$C$1004,$T1488)="","",INDEX('AFA Rates'!$C$5:$C$1004,$T1488))))</f>
        <v/>
      </c>
      <c r="E1488" s="88">
        <f>IF($T1488="","",IF($S1488="S",IF(""="","",""),IF(INDEX('AFA Rates'!$D$5:$D$1004,$T1488)="","",INDEX('AFA Rates'!$D$5:$D$1004,$T1488))))</f>
        <v/>
      </c>
      <c r="F1488" s="79">
        <f>IF($T1488="","",IF($S1488="S",IF(INDEX(Firms!$O$5:$O$1004,$T1488)="","",INDEX(Firms!$O$5:$O$1004,$T1488)),IF(INDEX('AFA Rates'!$O$5:$O$1004,$T1488)="","",INDEX('AFA Rates'!$O$5:$O$1004,$T1488))))</f>
        <v/>
      </c>
      <c r="G1488" s="50">
        <f>IF($T1488="","",IF($S1488="S",IF(INDEX(Firms!$F$5:$F$1004,$T1488)="","",INDEX(Firms!$F$5:$F$1004,$T1488)),IF(INDEX('AFA Rates'!$E$5:$E$1004,$T1488)="","",INDEX('AFA Rates'!$E$5:$E$1004,$T1488))))</f>
        <v/>
      </c>
      <c r="H1488" s="50">
        <f>IF($T1488="","",IF($S1488="S",IF(INDEX(Firms!$G$5:$G$1004,$T1488)="","",INDEX(Firms!$G$5:$G$1004,$T1488)),IF(INDEX('AFA Rates'!$F$5:$F$1004,$T1488)="","",INDEX('AFA Rates'!$F$5:$F$1004,$T1488))))</f>
        <v/>
      </c>
      <c r="I1488" s="50">
        <f>IF($T1488="","",IF($S1488="S",IF(INDEX(Firms!$H$5:$H$1004,$T1488)="","",INDEX(Firms!$H$5:$H$1004,$T1488)),IF(INDEX('AFA Rates'!$G$5:$G$1004,$T1488)="","",INDEX('AFA Rates'!$G$5:$G$1004,$T1488))))</f>
        <v/>
      </c>
      <c r="J1488" s="50">
        <f>IF($T1488="","",IF($S1488="S",IF(INDEX(Firms!$I$5:$I$1004,$T1488)="","",INDEX(Firms!$I$5:$I$1004,$T1488)),IF(INDEX('AFA Rates'!$H$5:$H$1004,$T1488)="","",INDEX('AFA Rates'!$H$5:$H$1004,$T1488))))</f>
        <v/>
      </c>
      <c r="K1488" s="50">
        <f>IF($T1488="","",IF($S1488="S",IF(INDEX(Firms!$J$5:$J$1004,$T1488)="","",INDEX(Firms!$J$5:$J$1004,$T1488)),IF(INDEX('AFA Rates'!$I$5:$I$1004,$T1488)="","",INDEX('AFA Rates'!$I$5:$I$1004,$T1488))))</f>
        <v/>
      </c>
      <c r="L1488" s="50">
        <f>IF($T1488="","",IF($S1488="S",IF(INDEX(Firms!$K$5:$K$1004,$T1488)="","",INDEX(Firms!$K$5:$K$1004,$T1488)),IF(INDEX('AFA Rates'!$J$5:$J$1004,$T1488)="","",INDEX('AFA Rates'!$J$5:$J$1004,$T1488))))</f>
        <v/>
      </c>
      <c r="M1488" s="50">
        <f>IF($T1488="","",IF($S1488="S",IF(INDEX(Firms!$L$5:$L$1004,$T1488)="","",INDEX(Firms!$L$5:$L$1004,$T1488)),IF(INDEX('AFA Rates'!$K$5:$K$1004,$T1488)="","",INDEX('AFA Rates'!$K$5:$K$1004,$T1488))))</f>
        <v/>
      </c>
      <c r="N1488" s="50">
        <f>IF($T1488="","",IF($S1488="S",IF(INDEX(Firms!$M$5:$M$1004,$T1488)="","",INDEX(Firms!$M$5:$M$1004,$T1488)),IF(INDEX('AFA Rates'!$L$5:$L$1004,$T1488)="","",INDEX('AFA Rates'!$L$5:$L$1004,$T1488))))</f>
        <v/>
      </c>
      <c r="O1488" s="78">
        <f>IF(OR($T1488="",$U1488=""),"",IF(INDEX(Firms!$C$5:$C$1004,$U1488)="","",INDEX(Firms!$C$5:$C$1004,$U1488)))</f>
        <v/>
      </c>
      <c r="P1488" s="79">
        <f>IF(OR($T1488="",$U1488=""),"",IF(INDEX(Firms!$N$5:$N$1004,$U1488)="","",INDEX(Firms!$N$5:$N$1004,$U1488)))</f>
        <v/>
      </c>
      <c r="Q1488" s="78">
        <f>IF($T1488="","",IF($S1488="S",IF(INDEX(Firms!$T$5:$T$1004,$T1488)="","",INDEX(Firms!$T$5:$T$1004,$T1488)),IF(INDEX('AFA Rates'!$M$5:$M$1004,$T1488)="","",INDEX('AFA Rates'!$M$5:$M$1004,$T1488))))</f>
        <v/>
      </c>
      <c r="S1488">
        <f>IF(1484&lt;=$S$2,"S",IF(1484&lt;=$S$2+$T$2,"A",""))</f>
        <v/>
      </c>
      <c r="T1488">
        <f>IF(S1488="S",MATCH(1484,Firms!$W$5:$W$1004,0),IF(S1488="A",IFERROR(MATCH(1484-$S$2,'AFA Rates'!$R$5:$R$1004,0),""),""))</f>
        <v/>
      </c>
      <c r="U1488">
        <f>IF(S1488="S",T1488,IF(AND(S1488="A",T1488&lt;&gt;""),IFERROR(MATCH(INDEX('AFA Rates'!$A$5:$A$1004,T1488),Firms!$A$5:$A$1004,0),""),""))</f>
        <v/>
      </c>
    </row>
    <row r="1489">
      <c r="A1489" s="78">
        <f>IF($T1489="","",IF($S1489="S",IF(INDEX(Firms!$A$5:$A$1004,$T1489)="","",INDEX(Firms!$A$5:$A$1004,$T1489)),IF(INDEX('AFA Rates'!$A$5:$A$1004,$T1489)="","",INDEX('AFA Rates'!$A$5:$A$1004,$T1489))))</f>
        <v/>
      </c>
      <c r="B1489" s="79">
        <f>IF(OR($T1489="",$U1489=""),IF($T1489="","","Not on Firms tab"),INDEX(Firms!$B$5:$B$1004,$U1489)&amp;"")</f>
        <v/>
      </c>
      <c r="C1489" s="78">
        <f>IF($T1489="","",IF($S1489="S","Standard",INDEX('AFA Rates'!$B$5:$B$1004,$T1489)&amp;""))</f>
        <v/>
      </c>
      <c r="D1489" s="88">
        <f>IF($T1489="","",IF($S1489="S",IF(INDEX(Firms!$E$5:$E$1004,$T1489)="","",INDEX(Firms!$E$5:$E$1004,$T1489)),IF(INDEX('AFA Rates'!$C$5:$C$1004,$T1489)="","",INDEX('AFA Rates'!$C$5:$C$1004,$T1489))))</f>
        <v/>
      </c>
      <c r="E1489" s="88">
        <f>IF($T1489="","",IF($S1489="S",IF(""="","",""),IF(INDEX('AFA Rates'!$D$5:$D$1004,$T1489)="","",INDEX('AFA Rates'!$D$5:$D$1004,$T1489))))</f>
        <v/>
      </c>
      <c r="F1489" s="79">
        <f>IF($T1489="","",IF($S1489="S",IF(INDEX(Firms!$O$5:$O$1004,$T1489)="","",INDEX(Firms!$O$5:$O$1004,$T1489)),IF(INDEX('AFA Rates'!$O$5:$O$1004,$T1489)="","",INDEX('AFA Rates'!$O$5:$O$1004,$T1489))))</f>
        <v/>
      </c>
      <c r="G1489" s="50">
        <f>IF($T1489="","",IF($S1489="S",IF(INDEX(Firms!$F$5:$F$1004,$T1489)="","",INDEX(Firms!$F$5:$F$1004,$T1489)),IF(INDEX('AFA Rates'!$E$5:$E$1004,$T1489)="","",INDEX('AFA Rates'!$E$5:$E$1004,$T1489))))</f>
        <v/>
      </c>
      <c r="H1489" s="50">
        <f>IF($T1489="","",IF($S1489="S",IF(INDEX(Firms!$G$5:$G$1004,$T1489)="","",INDEX(Firms!$G$5:$G$1004,$T1489)),IF(INDEX('AFA Rates'!$F$5:$F$1004,$T1489)="","",INDEX('AFA Rates'!$F$5:$F$1004,$T1489))))</f>
        <v/>
      </c>
      <c r="I1489" s="50">
        <f>IF($T1489="","",IF($S1489="S",IF(INDEX(Firms!$H$5:$H$1004,$T1489)="","",INDEX(Firms!$H$5:$H$1004,$T1489)),IF(INDEX('AFA Rates'!$G$5:$G$1004,$T1489)="","",INDEX('AFA Rates'!$G$5:$G$1004,$T1489))))</f>
        <v/>
      </c>
      <c r="J1489" s="50">
        <f>IF($T1489="","",IF($S1489="S",IF(INDEX(Firms!$I$5:$I$1004,$T1489)="","",INDEX(Firms!$I$5:$I$1004,$T1489)),IF(INDEX('AFA Rates'!$H$5:$H$1004,$T1489)="","",INDEX('AFA Rates'!$H$5:$H$1004,$T1489))))</f>
        <v/>
      </c>
      <c r="K1489" s="50">
        <f>IF($T1489="","",IF($S1489="S",IF(INDEX(Firms!$J$5:$J$1004,$T1489)="","",INDEX(Firms!$J$5:$J$1004,$T1489)),IF(INDEX('AFA Rates'!$I$5:$I$1004,$T1489)="","",INDEX('AFA Rates'!$I$5:$I$1004,$T1489))))</f>
        <v/>
      </c>
      <c r="L1489" s="50">
        <f>IF($T1489="","",IF($S1489="S",IF(INDEX(Firms!$K$5:$K$1004,$T1489)="","",INDEX(Firms!$K$5:$K$1004,$T1489)),IF(INDEX('AFA Rates'!$J$5:$J$1004,$T1489)="","",INDEX('AFA Rates'!$J$5:$J$1004,$T1489))))</f>
        <v/>
      </c>
      <c r="M1489" s="50">
        <f>IF($T1489="","",IF($S1489="S",IF(INDEX(Firms!$L$5:$L$1004,$T1489)="","",INDEX(Firms!$L$5:$L$1004,$T1489)),IF(INDEX('AFA Rates'!$K$5:$K$1004,$T1489)="","",INDEX('AFA Rates'!$K$5:$K$1004,$T1489))))</f>
        <v/>
      </c>
      <c r="N1489" s="50">
        <f>IF($T1489="","",IF($S1489="S",IF(INDEX(Firms!$M$5:$M$1004,$T1489)="","",INDEX(Firms!$M$5:$M$1004,$T1489)),IF(INDEX('AFA Rates'!$L$5:$L$1004,$T1489)="","",INDEX('AFA Rates'!$L$5:$L$1004,$T1489))))</f>
        <v/>
      </c>
      <c r="O1489" s="78">
        <f>IF(OR($T1489="",$U1489=""),"",IF(INDEX(Firms!$C$5:$C$1004,$U1489)="","",INDEX(Firms!$C$5:$C$1004,$U1489)))</f>
        <v/>
      </c>
      <c r="P1489" s="79">
        <f>IF(OR($T1489="",$U1489=""),"",IF(INDEX(Firms!$N$5:$N$1004,$U1489)="","",INDEX(Firms!$N$5:$N$1004,$U1489)))</f>
        <v/>
      </c>
      <c r="Q1489" s="78">
        <f>IF($T1489="","",IF($S1489="S",IF(INDEX(Firms!$T$5:$T$1004,$T1489)="","",INDEX(Firms!$T$5:$T$1004,$T1489)),IF(INDEX('AFA Rates'!$M$5:$M$1004,$T1489)="","",INDEX('AFA Rates'!$M$5:$M$1004,$T1489))))</f>
        <v/>
      </c>
      <c r="S1489">
        <f>IF(1485&lt;=$S$2,"S",IF(1485&lt;=$S$2+$T$2,"A",""))</f>
        <v/>
      </c>
      <c r="T1489">
        <f>IF(S1489="S",MATCH(1485,Firms!$W$5:$W$1004,0),IF(S1489="A",IFERROR(MATCH(1485-$S$2,'AFA Rates'!$R$5:$R$1004,0),""),""))</f>
        <v/>
      </c>
      <c r="U1489">
        <f>IF(S1489="S",T1489,IF(AND(S1489="A",T1489&lt;&gt;""),IFERROR(MATCH(INDEX('AFA Rates'!$A$5:$A$1004,T1489),Firms!$A$5:$A$1004,0),""),""))</f>
        <v/>
      </c>
    </row>
    <row r="1490">
      <c r="A1490" s="78">
        <f>IF($T1490="","",IF($S1490="S",IF(INDEX(Firms!$A$5:$A$1004,$T1490)="","",INDEX(Firms!$A$5:$A$1004,$T1490)),IF(INDEX('AFA Rates'!$A$5:$A$1004,$T1490)="","",INDEX('AFA Rates'!$A$5:$A$1004,$T1490))))</f>
        <v/>
      </c>
      <c r="B1490" s="79">
        <f>IF(OR($T1490="",$U1490=""),IF($T1490="","","Not on Firms tab"),INDEX(Firms!$B$5:$B$1004,$U1490)&amp;"")</f>
        <v/>
      </c>
      <c r="C1490" s="78">
        <f>IF($T1490="","",IF($S1490="S","Standard",INDEX('AFA Rates'!$B$5:$B$1004,$T1490)&amp;""))</f>
        <v/>
      </c>
      <c r="D1490" s="88">
        <f>IF($T1490="","",IF($S1490="S",IF(INDEX(Firms!$E$5:$E$1004,$T1490)="","",INDEX(Firms!$E$5:$E$1004,$T1490)),IF(INDEX('AFA Rates'!$C$5:$C$1004,$T1490)="","",INDEX('AFA Rates'!$C$5:$C$1004,$T1490))))</f>
        <v/>
      </c>
      <c r="E1490" s="88">
        <f>IF($T1490="","",IF($S1490="S",IF(""="","",""),IF(INDEX('AFA Rates'!$D$5:$D$1004,$T1490)="","",INDEX('AFA Rates'!$D$5:$D$1004,$T1490))))</f>
        <v/>
      </c>
      <c r="F1490" s="79">
        <f>IF($T1490="","",IF($S1490="S",IF(INDEX(Firms!$O$5:$O$1004,$T1490)="","",INDEX(Firms!$O$5:$O$1004,$T1490)),IF(INDEX('AFA Rates'!$O$5:$O$1004,$T1490)="","",INDEX('AFA Rates'!$O$5:$O$1004,$T1490))))</f>
        <v/>
      </c>
      <c r="G1490" s="50">
        <f>IF($T1490="","",IF($S1490="S",IF(INDEX(Firms!$F$5:$F$1004,$T1490)="","",INDEX(Firms!$F$5:$F$1004,$T1490)),IF(INDEX('AFA Rates'!$E$5:$E$1004,$T1490)="","",INDEX('AFA Rates'!$E$5:$E$1004,$T1490))))</f>
        <v/>
      </c>
      <c r="H1490" s="50">
        <f>IF($T1490="","",IF($S1490="S",IF(INDEX(Firms!$G$5:$G$1004,$T1490)="","",INDEX(Firms!$G$5:$G$1004,$T1490)),IF(INDEX('AFA Rates'!$F$5:$F$1004,$T1490)="","",INDEX('AFA Rates'!$F$5:$F$1004,$T1490))))</f>
        <v/>
      </c>
      <c r="I1490" s="50">
        <f>IF($T1490="","",IF($S1490="S",IF(INDEX(Firms!$H$5:$H$1004,$T1490)="","",INDEX(Firms!$H$5:$H$1004,$T1490)),IF(INDEX('AFA Rates'!$G$5:$G$1004,$T1490)="","",INDEX('AFA Rates'!$G$5:$G$1004,$T1490))))</f>
        <v/>
      </c>
      <c r="J1490" s="50">
        <f>IF($T1490="","",IF($S1490="S",IF(INDEX(Firms!$I$5:$I$1004,$T1490)="","",INDEX(Firms!$I$5:$I$1004,$T1490)),IF(INDEX('AFA Rates'!$H$5:$H$1004,$T1490)="","",INDEX('AFA Rates'!$H$5:$H$1004,$T1490))))</f>
        <v/>
      </c>
      <c r="K1490" s="50">
        <f>IF($T1490="","",IF($S1490="S",IF(INDEX(Firms!$J$5:$J$1004,$T1490)="","",INDEX(Firms!$J$5:$J$1004,$T1490)),IF(INDEX('AFA Rates'!$I$5:$I$1004,$T1490)="","",INDEX('AFA Rates'!$I$5:$I$1004,$T1490))))</f>
        <v/>
      </c>
      <c r="L1490" s="50">
        <f>IF($T1490="","",IF($S1490="S",IF(INDEX(Firms!$K$5:$K$1004,$T1490)="","",INDEX(Firms!$K$5:$K$1004,$T1490)),IF(INDEX('AFA Rates'!$J$5:$J$1004,$T1490)="","",INDEX('AFA Rates'!$J$5:$J$1004,$T1490))))</f>
        <v/>
      </c>
      <c r="M1490" s="50">
        <f>IF($T1490="","",IF($S1490="S",IF(INDEX(Firms!$L$5:$L$1004,$T1490)="","",INDEX(Firms!$L$5:$L$1004,$T1490)),IF(INDEX('AFA Rates'!$K$5:$K$1004,$T1490)="","",INDEX('AFA Rates'!$K$5:$K$1004,$T1490))))</f>
        <v/>
      </c>
      <c r="N1490" s="50">
        <f>IF($T1490="","",IF($S1490="S",IF(INDEX(Firms!$M$5:$M$1004,$T1490)="","",INDEX(Firms!$M$5:$M$1004,$T1490)),IF(INDEX('AFA Rates'!$L$5:$L$1004,$T1490)="","",INDEX('AFA Rates'!$L$5:$L$1004,$T1490))))</f>
        <v/>
      </c>
      <c r="O1490" s="78">
        <f>IF(OR($T1490="",$U1490=""),"",IF(INDEX(Firms!$C$5:$C$1004,$U1490)="","",INDEX(Firms!$C$5:$C$1004,$U1490)))</f>
        <v/>
      </c>
      <c r="P1490" s="79">
        <f>IF(OR($T1490="",$U1490=""),"",IF(INDEX(Firms!$N$5:$N$1004,$U1490)="","",INDEX(Firms!$N$5:$N$1004,$U1490)))</f>
        <v/>
      </c>
      <c r="Q1490" s="78">
        <f>IF($T1490="","",IF($S1490="S",IF(INDEX(Firms!$T$5:$T$1004,$T1490)="","",INDEX(Firms!$T$5:$T$1004,$T1490)),IF(INDEX('AFA Rates'!$M$5:$M$1004,$T1490)="","",INDEX('AFA Rates'!$M$5:$M$1004,$T1490))))</f>
        <v/>
      </c>
      <c r="S1490">
        <f>IF(1486&lt;=$S$2,"S",IF(1486&lt;=$S$2+$T$2,"A",""))</f>
        <v/>
      </c>
      <c r="T1490">
        <f>IF(S1490="S",MATCH(1486,Firms!$W$5:$W$1004,0),IF(S1490="A",IFERROR(MATCH(1486-$S$2,'AFA Rates'!$R$5:$R$1004,0),""),""))</f>
        <v/>
      </c>
      <c r="U1490">
        <f>IF(S1490="S",T1490,IF(AND(S1490="A",T1490&lt;&gt;""),IFERROR(MATCH(INDEX('AFA Rates'!$A$5:$A$1004,T1490),Firms!$A$5:$A$1004,0),""),""))</f>
        <v/>
      </c>
    </row>
    <row r="1491">
      <c r="A1491" s="78">
        <f>IF($T1491="","",IF($S1491="S",IF(INDEX(Firms!$A$5:$A$1004,$T1491)="","",INDEX(Firms!$A$5:$A$1004,$T1491)),IF(INDEX('AFA Rates'!$A$5:$A$1004,$T1491)="","",INDEX('AFA Rates'!$A$5:$A$1004,$T1491))))</f>
        <v/>
      </c>
      <c r="B1491" s="79">
        <f>IF(OR($T1491="",$U1491=""),IF($T1491="","","Not on Firms tab"),INDEX(Firms!$B$5:$B$1004,$U1491)&amp;"")</f>
        <v/>
      </c>
      <c r="C1491" s="78">
        <f>IF($T1491="","",IF($S1491="S","Standard",INDEX('AFA Rates'!$B$5:$B$1004,$T1491)&amp;""))</f>
        <v/>
      </c>
      <c r="D1491" s="88">
        <f>IF($T1491="","",IF($S1491="S",IF(INDEX(Firms!$E$5:$E$1004,$T1491)="","",INDEX(Firms!$E$5:$E$1004,$T1491)),IF(INDEX('AFA Rates'!$C$5:$C$1004,$T1491)="","",INDEX('AFA Rates'!$C$5:$C$1004,$T1491))))</f>
        <v/>
      </c>
      <c r="E1491" s="88">
        <f>IF($T1491="","",IF($S1491="S",IF(""="","",""),IF(INDEX('AFA Rates'!$D$5:$D$1004,$T1491)="","",INDEX('AFA Rates'!$D$5:$D$1004,$T1491))))</f>
        <v/>
      </c>
      <c r="F1491" s="79">
        <f>IF($T1491="","",IF($S1491="S",IF(INDEX(Firms!$O$5:$O$1004,$T1491)="","",INDEX(Firms!$O$5:$O$1004,$T1491)),IF(INDEX('AFA Rates'!$O$5:$O$1004,$T1491)="","",INDEX('AFA Rates'!$O$5:$O$1004,$T1491))))</f>
        <v/>
      </c>
      <c r="G1491" s="50">
        <f>IF($T1491="","",IF($S1491="S",IF(INDEX(Firms!$F$5:$F$1004,$T1491)="","",INDEX(Firms!$F$5:$F$1004,$T1491)),IF(INDEX('AFA Rates'!$E$5:$E$1004,$T1491)="","",INDEX('AFA Rates'!$E$5:$E$1004,$T1491))))</f>
        <v/>
      </c>
      <c r="H1491" s="50">
        <f>IF($T1491="","",IF($S1491="S",IF(INDEX(Firms!$G$5:$G$1004,$T1491)="","",INDEX(Firms!$G$5:$G$1004,$T1491)),IF(INDEX('AFA Rates'!$F$5:$F$1004,$T1491)="","",INDEX('AFA Rates'!$F$5:$F$1004,$T1491))))</f>
        <v/>
      </c>
      <c r="I1491" s="50">
        <f>IF($T1491="","",IF($S1491="S",IF(INDEX(Firms!$H$5:$H$1004,$T1491)="","",INDEX(Firms!$H$5:$H$1004,$T1491)),IF(INDEX('AFA Rates'!$G$5:$G$1004,$T1491)="","",INDEX('AFA Rates'!$G$5:$G$1004,$T1491))))</f>
        <v/>
      </c>
      <c r="J1491" s="50">
        <f>IF($T1491="","",IF($S1491="S",IF(INDEX(Firms!$I$5:$I$1004,$T1491)="","",INDEX(Firms!$I$5:$I$1004,$T1491)),IF(INDEX('AFA Rates'!$H$5:$H$1004,$T1491)="","",INDEX('AFA Rates'!$H$5:$H$1004,$T1491))))</f>
        <v/>
      </c>
      <c r="K1491" s="50">
        <f>IF($T1491="","",IF($S1491="S",IF(INDEX(Firms!$J$5:$J$1004,$T1491)="","",INDEX(Firms!$J$5:$J$1004,$T1491)),IF(INDEX('AFA Rates'!$I$5:$I$1004,$T1491)="","",INDEX('AFA Rates'!$I$5:$I$1004,$T1491))))</f>
        <v/>
      </c>
      <c r="L1491" s="50">
        <f>IF($T1491="","",IF($S1491="S",IF(INDEX(Firms!$K$5:$K$1004,$T1491)="","",INDEX(Firms!$K$5:$K$1004,$T1491)),IF(INDEX('AFA Rates'!$J$5:$J$1004,$T1491)="","",INDEX('AFA Rates'!$J$5:$J$1004,$T1491))))</f>
        <v/>
      </c>
      <c r="M1491" s="50">
        <f>IF($T1491="","",IF($S1491="S",IF(INDEX(Firms!$L$5:$L$1004,$T1491)="","",INDEX(Firms!$L$5:$L$1004,$T1491)),IF(INDEX('AFA Rates'!$K$5:$K$1004,$T1491)="","",INDEX('AFA Rates'!$K$5:$K$1004,$T1491))))</f>
        <v/>
      </c>
      <c r="N1491" s="50">
        <f>IF($T1491="","",IF($S1491="S",IF(INDEX(Firms!$M$5:$M$1004,$T1491)="","",INDEX(Firms!$M$5:$M$1004,$T1491)),IF(INDEX('AFA Rates'!$L$5:$L$1004,$T1491)="","",INDEX('AFA Rates'!$L$5:$L$1004,$T1491))))</f>
        <v/>
      </c>
      <c r="O1491" s="78">
        <f>IF(OR($T1491="",$U1491=""),"",IF(INDEX(Firms!$C$5:$C$1004,$U1491)="","",INDEX(Firms!$C$5:$C$1004,$U1491)))</f>
        <v/>
      </c>
      <c r="P1491" s="79">
        <f>IF(OR($T1491="",$U1491=""),"",IF(INDEX(Firms!$N$5:$N$1004,$U1491)="","",INDEX(Firms!$N$5:$N$1004,$U1491)))</f>
        <v/>
      </c>
      <c r="Q1491" s="78">
        <f>IF($T1491="","",IF($S1491="S",IF(INDEX(Firms!$T$5:$T$1004,$T1491)="","",INDEX(Firms!$T$5:$T$1004,$T1491)),IF(INDEX('AFA Rates'!$M$5:$M$1004,$T1491)="","",INDEX('AFA Rates'!$M$5:$M$1004,$T1491))))</f>
        <v/>
      </c>
      <c r="S1491">
        <f>IF(1487&lt;=$S$2,"S",IF(1487&lt;=$S$2+$T$2,"A",""))</f>
        <v/>
      </c>
      <c r="T1491">
        <f>IF(S1491="S",MATCH(1487,Firms!$W$5:$W$1004,0),IF(S1491="A",IFERROR(MATCH(1487-$S$2,'AFA Rates'!$R$5:$R$1004,0),""),""))</f>
        <v/>
      </c>
      <c r="U1491">
        <f>IF(S1491="S",T1491,IF(AND(S1491="A",T1491&lt;&gt;""),IFERROR(MATCH(INDEX('AFA Rates'!$A$5:$A$1004,T1491),Firms!$A$5:$A$1004,0),""),""))</f>
        <v/>
      </c>
    </row>
    <row r="1492">
      <c r="A1492" s="78">
        <f>IF($T1492="","",IF($S1492="S",IF(INDEX(Firms!$A$5:$A$1004,$T1492)="","",INDEX(Firms!$A$5:$A$1004,$T1492)),IF(INDEX('AFA Rates'!$A$5:$A$1004,$T1492)="","",INDEX('AFA Rates'!$A$5:$A$1004,$T1492))))</f>
        <v/>
      </c>
      <c r="B1492" s="79">
        <f>IF(OR($T1492="",$U1492=""),IF($T1492="","","Not on Firms tab"),INDEX(Firms!$B$5:$B$1004,$U1492)&amp;"")</f>
        <v/>
      </c>
      <c r="C1492" s="78">
        <f>IF($T1492="","",IF($S1492="S","Standard",INDEX('AFA Rates'!$B$5:$B$1004,$T1492)&amp;""))</f>
        <v/>
      </c>
      <c r="D1492" s="88">
        <f>IF($T1492="","",IF($S1492="S",IF(INDEX(Firms!$E$5:$E$1004,$T1492)="","",INDEX(Firms!$E$5:$E$1004,$T1492)),IF(INDEX('AFA Rates'!$C$5:$C$1004,$T1492)="","",INDEX('AFA Rates'!$C$5:$C$1004,$T1492))))</f>
        <v/>
      </c>
      <c r="E1492" s="88">
        <f>IF($T1492="","",IF($S1492="S",IF(""="","",""),IF(INDEX('AFA Rates'!$D$5:$D$1004,$T1492)="","",INDEX('AFA Rates'!$D$5:$D$1004,$T1492))))</f>
        <v/>
      </c>
      <c r="F1492" s="79">
        <f>IF($T1492="","",IF($S1492="S",IF(INDEX(Firms!$O$5:$O$1004,$T1492)="","",INDEX(Firms!$O$5:$O$1004,$T1492)),IF(INDEX('AFA Rates'!$O$5:$O$1004,$T1492)="","",INDEX('AFA Rates'!$O$5:$O$1004,$T1492))))</f>
        <v/>
      </c>
      <c r="G1492" s="50">
        <f>IF($T1492="","",IF($S1492="S",IF(INDEX(Firms!$F$5:$F$1004,$T1492)="","",INDEX(Firms!$F$5:$F$1004,$T1492)),IF(INDEX('AFA Rates'!$E$5:$E$1004,$T1492)="","",INDEX('AFA Rates'!$E$5:$E$1004,$T1492))))</f>
        <v/>
      </c>
      <c r="H1492" s="50">
        <f>IF($T1492="","",IF($S1492="S",IF(INDEX(Firms!$G$5:$G$1004,$T1492)="","",INDEX(Firms!$G$5:$G$1004,$T1492)),IF(INDEX('AFA Rates'!$F$5:$F$1004,$T1492)="","",INDEX('AFA Rates'!$F$5:$F$1004,$T1492))))</f>
        <v/>
      </c>
      <c r="I1492" s="50">
        <f>IF($T1492="","",IF($S1492="S",IF(INDEX(Firms!$H$5:$H$1004,$T1492)="","",INDEX(Firms!$H$5:$H$1004,$T1492)),IF(INDEX('AFA Rates'!$G$5:$G$1004,$T1492)="","",INDEX('AFA Rates'!$G$5:$G$1004,$T1492))))</f>
        <v/>
      </c>
      <c r="J1492" s="50">
        <f>IF($T1492="","",IF($S1492="S",IF(INDEX(Firms!$I$5:$I$1004,$T1492)="","",INDEX(Firms!$I$5:$I$1004,$T1492)),IF(INDEX('AFA Rates'!$H$5:$H$1004,$T1492)="","",INDEX('AFA Rates'!$H$5:$H$1004,$T1492))))</f>
        <v/>
      </c>
      <c r="K1492" s="50">
        <f>IF($T1492="","",IF($S1492="S",IF(INDEX(Firms!$J$5:$J$1004,$T1492)="","",INDEX(Firms!$J$5:$J$1004,$T1492)),IF(INDEX('AFA Rates'!$I$5:$I$1004,$T1492)="","",INDEX('AFA Rates'!$I$5:$I$1004,$T1492))))</f>
        <v/>
      </c>
      <c r="L1492" s="50">
        <f>IF($T1492="","",IF($S1492="S",IF(INDEX(Firms!$K$5:$K$1004,$T1492)="","",INDEX(Firms!$K$5:$K$1004,$T1492)),IF(INDEX('AFA Rates'!$J$5:$J$1004,$T1492)="","",INDEX('AFA Rates'!$J$5:$J$1004,$T1492))))</f>
        <v/>
      </c>
      <c r="M1492" s="50">
        <f>IF($T1492="","",IF($S1492="S",IF(INDEX(Firms!$L$5:$L$1004,$T1492)="","",INDEX(Firms!$L$5:$L$1004,$T1492)),IF(INDEX('AFA Rates'!$K$5:$K$1004,$T1492)="","",INDEX('AFA Rates'!$K$5:$K$1004,$T1492))))</f>
        <v/>
      </c>
      <c r="N1492" s="50">
        <f>IF($T1492="","",IF($S1492="S",IF(INDEX(Firms!$M$5:$M$1004,$T1492)="","",INDEX(Firms!$M$5:$M$1004,$T1492)),IF(INDEX('AFA Rates'!$L$5:$L$1004,$T1492)="","",INDEX('AFA Rates'!$L$5:$L$1004,$T1492))))</f>
        <v/>
      </c>
      <c r="O1492" s="78">
        <f>IF(OR($T1492="",$U1492=""),"",IF(INDEX(Firms!$C$5:$C$1004,$U1492)="","",INDEX(Firms!$C$5:$C$1004,$U1492)))</f>
        <v/>
      </c>
      <c r="P1492" s="79">
        <f>IF(OR($T1492="",$U1492=""),"",IF(INDEX(Firms!$N$5:$N$1004,$U1492)="","",INDEX(Firms!$N$5:$N$1004,$U1492)))</f>
        <v/>
      </c>
      <c r="Q1492" s="78">
        <f>IF($T1492="","",IF($S1492="S",IF(INDEX(Firms!$T$5:$T$1004,$T1492)="","",INDEX(Firms!$T$5:$T$1004,$T1492)),IF(INDEX('AFA Rates'!$M$5:$M$1004,$T1492)="","",INDEX('AFA Rates'!$M$5:$M$1004,$T1492))))</f>
        <v/>
      </c>
      <c r="S1492">
        <f>IF(1488&lt;=$S$2,"S",IF(1488&lt;=$S$2+$T$2,"A",""))</f>
        <v/>
      </c>
      <c r="T1492">
        <f>IF(S1492="S",MATCH(1488,Firms!$W$5:$W$1004,0),IF(S1492="A",IFERROR(MATCH(1488-$S$2,'AFA Rates'!$R$5:$R$1004,0),""),""))</f>
        <v/>
      </c>
      <c r="U1492">
        <f>IF(S1492="S",T1492,IF(AND(S1492="A",T1492&lt;&gt;""),IFERROR(MATCH(INDEX('AFA Rates'!$A$5:$A$1004,T1492),Firms!$A$5:$A$1004,0),""),""))</f>
        <v/>
      </c>
    </row>
    <row r="1493">
      <c r="A1493" s="78">
        <f>IF($T1493="","",IF($S1493="S",IF(INDEX(Firms!$A$5:$A$1004,$T1493)="","",INDEX(Firms!$A$5:$A$1004,$T1493)),IF(INDEX('AFA Rates'!$A$5:$A$1004,$T1493)="","",INDEX('AFA Rates'!$A$5:$A$1004,$T1493))))</f>
        <v/>
      </c>
      <c r="B1493" s="79">
        <f>IF(OR($T1493="",$U1493=""),IF($T1493="","","Not on Firms tab"),INDEX(Firms!$B$5:$B$1004,$U1493)&amp;"")</f>
        <v/>
      </c>
      <c r="C1493" s="78">
        <f>IF($T1493="","",IF($S1493="S","Standard",INDEX('AFA Rates'!$B$5:$B$1004,$T1493)&amp;""))</f>
        <v/>
      </c>
      <c r="D1493" s="88">
        <f>IF($T1493="","",IF($S1493="S",IF(INDEX(Firms!$E$5:$E$1004,$T1493)="","",INDEX(Firms!$E$5:$E$1004,$T1493)),IF(INDEX('AFA Rates'!$C$5:$C$1004,$T1493)="","",INDEX('AFA Rates'!$C$5:$C$1004,$T1493))))</f>
        <v/>
      </c>
      <c r="E1493" s="88">
        <f>IF($T1493="","",IF($S1493="S",IF(""="","",""),IF(INDEX('AFA Rates'!$D$5:$D$1004,$T1493)="","",INDEX('AFA Rates'!$D$5:$D$1004,$T1493))))</f>
        <v/>
      </c>
      <c r="F1493" s="79">
        <f>IF($T1493="","",IF($S1493="S",IF(INDEX(Firms!$O$5:$O$1004,$T1493)="","",INDEX(Firms!$O$5:$O$1004,$T1493)),IF(INDEX('AFA Rates'!$O$5:$O$1004,$T1493)="","",INDEX('AFA Rates'!$O$5:$O$1004,$T1493))))</f>
        <v/>
      </c>
      <c r="G1493" s="50">
        <f>IF($T1493="","",IF($S1493="S",IF(INDEX(Firms!$F$5:$F$1004,$T1493)="","",INDEX(Firms!$F$5:$F$1004,$T1493)),IF(INDEX('AFA Rates'!$E$5:$E$1004,$T1493)="","",INDEX('AFA Rates'!$E$5:$E$1004,$T1493))))</f>
        <v/>
      </c>
      <c r="H1493" s="50">
        <f>IF($T1493="","",IF($S1493="S",IF(INDEX(Firms!$G$5:$G$1004,$T1493)="","",INDEX(Firms!$G$5:$G$1004,$T1493)),IF(INDEX('AFA Rates'!$F$5:$F$1004,$T1493)="","",INDEX('AFA Rates'!$F$5:$F$1004,$T1493))))</f>
        <v/>
      </c>
      <c r="I1493" s="50">
        <f>IF($T1493="","",IF($S1493="S",IF(INDEX(Firms!$H$5:$H$1004,$T1493)="","",INDEX(Firms!$H$5:$H$1004,$T1493)),IF(INDEX('AFA Rates'!$G$5:$G$1004,$T1493)="","",INDEX('AFA Rates'!$G$5:$G$1004,$T1493))))</f>
        <v/>
      </c>
      <c r="J1493" s="50">
        <f>IF($T1493="","",IF($S1493="S",IF(INDEX(Firms!$I$5:$I$1004,$T1493)="","",INDEX(Firms!$I$5:$I$1004,$T1493)),IF(INDEX('AFA Rates'!$H$5:$H$1004,$T1493)="","",INDEX('AFA Rates'!$H$5:$H$1004,$T1493))))</f>
        <v/>
      </c>
      <c r="K1493" s="50">
        <f>IF($T1493="","",IF($S1493="S",IF(INDEX(Firms!$J$5:$J$1004,$T1493)="","",INDEX(Firms!$J$5:$J$1004,$T1493)),IF(INDEX('AFA Rates'!$I$5:$I$1004,$T1493)="","",INDEX('AFA Rates'!$I$5:$I$1004,$T1493))))</f>
        <v/>
      </c>
      <c r="L1493" s="50">
        <f>IF($T1493="","",IF($S1493="S",IF(INDEX(Firms!$K$5:$K$1004,$T1493)="","",INDEX(Firms!$K$5:$K$1004,$T1493)),IF(INDEX('AFA Rates'!$J$5:$J$1004,$T1493)="","",INDEX('AFA Rates'!$J$5:$J$1004,$T1493))))</f>
        <v/>
      </c>
      <c r="M1493" s="50">
        <f>IF($T1493="","",IF($S1493="S",IF(INDEX(Firms!$L$5:$L$1004,$T1493)="","",INDEX(Firms!$L$5:$L$1004,$T1493)),IF(INDEX('AFA Rates'!$K$5:$K$1004,$T1493)="","",INDEX('AFA Rates'!$K$5:$K$1004,$T1493))))</f>
        <v/>
      </c>
      <c r="N1493" s="50">
        <f>IF($T1493="","",IF($S1493="S",IF(INDEX(Firms!$M$5:$M$1004,$T1493)="","",INDEX(Firms!$M$5:$M$1004,$T1493)),IF(INDEX('AFA Rates'!$L$5:$L$1004,$T1493)="","",INDEX('AFA Rates'!$L$5:$L$1004,$T1493))))</f>
        <v/>
      </c>
      <c r="O1493" s="78">
        <f>IF(OR($T1493="",$U1493=""),"",IF(INDEX(Firms!$C$5:$C$1004,$U1493)="","",INDEX(Firms!$C$5:$C$1004,$U1493)))</f>
        <v/>
      </c>
      <c r="P1493" s="79">
        <f>IF(OR($T1493="",$U1493=""),"",IF(INDEX(Firms!$N$5:$N$1004,$U1493)="","",INDEX(Firms!$N$5:$N$1004,$U1493)))</f>
        <v/>
      </c>
      <c r="Q1493" s="78">
        <f>IF($T1493="","",IF($S1493="S",IF(INDEX(Firms!$T$5:$T$1004,$T1493)="","",INDEX(Firms!$T$5:$T$1004,$T1493)),IF(INDEX('AFA Rates'!$M$5:$M$1004,$T1493)="","",INDEX('AFA Rates'!$M$5:$M$1004,$T1493))))</f>
        <v/>
      </c>
      <c r="S1493">
        <f>IF(1489&lt;=$S$2,"S",IF(1489&lt;=$S$2+$T$2,"A",""))</f>
        <v/>
      </c>
      <c r="T1493">
        <f>IF(S1493="S",MATCH(1489,Firms!$W$5:$W$1004,0),IF(S1493="A",IFERROR(MATCH(1489-$S$2,'AFA Rates'!$R$5:$R$1004,0),""),""))</f>
        <v/>
      </c>
      <c r="U1493">
        <f>IF(S1493="S",T1493,IF(AND(S1493="A",T1493&lt;&gt;""),IFERROR(MATCH(INDEX('AFA Rates'!$A$5:$A$1004,T1493),Firms!$A$5:$A$1004,0),""),""))</f>
        <v/>
      </c>
    </row>
    <row r="1494">
      <c r="A1494" s="78">
        <f>IF($T1494="","",IF($S1494="S",IF(INDEX(Firms!$A$5:$A$1004,$T1494)="","",INDEX(Firms!$A$5:$A$1004,$T1494)),IF(INDEX('AFA Rates'!$A$5:$A$1004,$T1494)="","",INDEX('AFA Rates'!$A$5:$A$1004,$T1494))))</f>
        <v/>
      </c>
      <c r="B1494" s="79">
        <f>IF(OR($T1494="",$U1494=""),IF($T1494="","","Not on Firms tab"),INDEX(Firms!$B$5:$B$1004,$U1494)&amp;"")</f>
        <v/>
      </c>
      <c r="C1494" s="78">
        <f>IF($T1494="","",IF($S1494="S","Standard",INDEX('AFA Rates'!$B$5:$B$1004,$T1494)&amp;""))</f>
        <v/>
      </c>
      <c r="D1494" s="88">
        <f>IF($T1494="","",IF($S1494="S",IF(INDEX(Firms!$E$5:$E$1004,$T1494)="","",INDEX(Firms!$E$5:$E$1004,$T1494)),IF(INDEX('AFA Rates'!$C$5:$C$1004,$T1494)="","",INDEX('AFA Rates'!$C$5:$C$1004,$T1494))))</f>
        <v/>
      </c>
      <c r="E1494" s="88">
        <f>IF($T1494="","",IF($S1494="S",IF(""="","",""),IF(INDEX('AFA Rates'!$D$5:$D$1004,$T1494)="","",INDEX('AFA Rates'!$D$5:$D$1004,$T1494))))</f>
        <v/>
      </c>
      <c r="F1494" s="79">
        <f>IF($T1494="","",IF($S1494="S",IF(INDEX(Firms!$O$5:$O$1004,$T1494)="","",INDEX(Firms!$O$5:$O$1004,$T1494)),IF(INDEX('AFA Rates'!$O$5:$O$1004,$T1494)="","",INDEX('AFA Rates'!$O$5:$O$1004,$T1494))))</f>
        <v/>
      </c>
      <c r="G1494" s="50">
        <f>IF($T1494="","",IF($S1494="S",IF(INDEX(Firms!$F$5:$F$1004,$T1494)="","",INDEX(Firms!$F$5:$F$1004,$T1494)),IF(INDEX('AFA Rates'!$E$5:$E$1004,$T1494)="","",INDEX('AFA Rates'!$E$5:$E$1004,$T1494))))</f>
        <v/>
      </c>
      <c r="H1494" s="50">
        <f>IF($T1494="","",IF($S1494="S",IF(INDEX(Firms!$G$5:$G$1004,$T1494)="","",INDEX(Firms!$G$5:$G$1004,$T1494)),IF(INDEX('AFA Rates'!$F$5:$F$1004,$T1494)="","",INDEX('AFA Rates'!$F$5:$F$1004,$T1494))))</f>
        <v/>
      </c>
      <c r="I1494" s="50">
        <f>IF($T1494="","",IF($S1494="S",IF(INDEX(Firms!$H$5:$H$1004,$T1494)="","",INDEX(Firms!$H$5:$H$1004,$T1494)),IF(INDEX('AFA Rates'!$G$5:$G$1004,$T1494)="","",INDEX('AFA Rates'!$G$5:$G$1004,$T1494))))</f>
        <v/>
      </c>
      <c r="J1494" s="50">
        <f>IF($T1494="","",IF($S1494="S",IF(INDEX(Firms!$I$5:$I$1004,$T1494)="","",INDEX(Firms!$I$5:$I$1004,$T1494)),IF(INDEX('AFA Rates'!$H$5:$H$1004,$T1494)="","",INDEX('AFA Rates'!$H$5:$H$1004,$T1494))))</f>
        <v/>
      </c>
      <c r="K1494" s="50">
        <f>IF($T1494="","",IF($S1494="S",IF(INDEX(Firms!$J$5:$J$1004,$T1494)="","",INDEX(Firms!$J$5:$J$1004,$T1494)),IF(INDEX('AFA Rates'!$I$5:$I$1004,$T1494)="","",INDEX('AFA Rates'!$I$5:$I$1004,$T1494))))</f>
        <v/>
      </c>
      <c r="L1494" s="50">
        <f>IF($T1494="","",IF($S1494="S",IF(INDEX(Firms!$K$5:$K$1004,$T1494)="","",INDEX(Firms!$K$5:$K$1004,$T1494)),IF(INDEX('AFA Rates'!$J$5:$J$1004,$T1494)="","",INDEX('AFA Rates'!$J$5:$J$1004,$T1494))))</f>
        <v/>
      </c>
      <c r="M1494" s="50">
        <f>IF($T1494="","",IF($S1494="S",IF(INDEX(Firms!$L$5:$L$1004,$T1494)="","",INDEX(Firms!$L$5:$L$1004,$T1494)),IF(INDEX('AFA Rates'!$K$5:$K$1004,$T1494)="","",INDEX('AFA Rates'!$K$5:$K$1004,$T1494))))</f>
        <v/>
      </c>
      <c r="N1494" s="50">
        <f>IF($T1494="","",IF($S1494="S",IF(INDEX(Firms!$M$5:$M$1004,$T1494)="","",INDEX(Firms!$M$5:$M$1004,$T1494)),IF(INDEX('AFA Rates'!$L$5:$L$1004,$T1494)="","",INDEX('AFA Rates'!$L$5:$L$1004,$T1494))))</f>
        <v/>
      </c>
      <c r="O1494" s="78">
        <f>IF(OR($T1494="",$U1494=""),"",IF(INDEX(Firms!$C$5:$C$1004,$U1494)="","",INDEX(Firms!$C$5:$C$1004,$U1494)))</f>
        <v/>
      </c>
      <c r="P1494" s="79">
        <f>IF(OR($T1494="",$U1494=""),"",IF(INDEX(Firms!$N$5:$N$1004,$U1494)="","",INDEX(Firms!$N$5:$N$1004,$U1494)))</f>
        <v/>
      </c>
      <c r="Q1494" s="78">
        <f>IF($T1494="","",IF($S1494="S",IF(INDEX(Firms!$T$5:$T$1004,$T1494)="","",INDEX(Firms!$T$5:$T$1004,$T1494)),IF(INDEX('AFA Rates'!$M$5:$M$1004,$T1494)="","",INDEX('AFA Rates'!$M$5:$M$1004,$T1494))))</f>
        <v/>
      </c>
      <c r="S1494">
        <f>IF(1490&lt;=$S$2,"S",IF(1490&lt;=$S$2+$T$2,"A",""))</f>
        <v/>
      </c>
      <c r="T1494">
        <f>IF(S1494="S",MATCH(1490,Firms!$W$5:$W$1004,0),IF(S1494="A",IFERROR(MATCH(1490-$S$2,'AFA Rates'!$R$5:$R$1004,0),""),""))</f>
        <v/>
      </c>
      <c r="U1494">
        <f>IF(S1494="S",T1494,IF(AND(S1494="A",T1494&lt;&gt;""),IFERROR(MATCH(INDEX('AFA Rates'!$A$5:$A$1004,T1494),Firms!$A$5:$A$1004,0),""),""))</f>
        <v/>
      </c>
    </row>
    <row r="1495">
      <c r="A1495" s="78">
        <f>IF($T1495="","",IF($S1495="S",IF(INDEX(Firms!$A$5:$A$1004,$T1495)="","",INDEX(Firms!$A$5:$A$1004,$T1495)),IF(INDEX('AFA Rates'!$A$5:$A$1004,$T1495)="","",INDEX('AFA Rates'!$A$5:$A$1004,$T1495))))</f>
        <v/>
      </c>
      <c r="B1495" s="79">
        <f>IF(OR($T1495="",$U1495=""),IF($T1495="","","Not on Firms tab"),INDEX(Firms!$B$5:$B$1004,$U1495)&amp;"")</f>
        <v/>
      </c>
      <c r="C1495" s="78">
        <f>IF($T1495="","",IF($S1495="S","Standard",INDEX('AFA Rates'!$B$5:$B$1004,$T1495)&amp;""))</f>
        <v/>
      </c>
      <c r="D1495" s="88">
        <f>IF($T1495="","",IF($S1495="S",IF(INDEX(Firms!$E$5:$E$1004,$T1495)="","",INDEX(Firms!$E$5:$E$1004,$T1495)),IF(INDEX('AFA Rates'!$C$5:$C$1004,$T1495)="","",INDEX('AFA Rates'!$C$5:$C$1004,$T1495))))</f>
        <v/>
      </c>
      <c r="E1495" s="88">
        <f>IF($T1495="","",IF($S1495="S",IF(""="","",""),IF(INDEX('AFA Rates'!$D$5:$D$1004,$T1495)="","",INDEX('AFA Rates'!$D$5:$D$1004,$T1495))))</f>
        <v/>
      </c>
      <c r="F1495" s="79">
        <f>IF($T1495="","",IF($S1495="S",IF(INDEX(Firms!$O$5:$O$1004,$T1495)="","",INDEX(Firms!$O$5:$O$1004,$T1495)),IF(INDEX('AFA Rates'!$O$5:$O$1004,$T1495)="","",INDEX('AFA Rates'!$O$5:$O$1004,$T1495))))</f>
        <v/>
      </c>
      <c r="G1495" s="50">
        <f>IF($T1495="","",IF($S1495="S",IF(INDEX(Firms!$F$5:$F$1004,$T1495)="","",INDEX(Firms!$F$5:$F$1004,$T1495)),IF(INDEX('AFA Rates'!$E$5:$E$1004,$T1495)="","",INDEX('AFA Rates'!$E$5:$E$1004,$T1495))))</f>
        <v/>
      </c>
      <c r="H1495" s="50">
        <f>IF($T1495="","",IF($S1495="S",IF(INDEX(Firms!$G$5:$G$1004,$T1495)="","",INDEX(Firms!$G$5:$G$1004,$T1495)),IF(INDEX('AFA Rates'!$F$5:$F$1004,$T1495)="","",INDEX('AFA Rates'!$F$5:$F$1004,$T1495))))</f>
        <v/>
      </c>
      <c r="I1495" s="50">
        <f>IF($T1495="","",IF($S1495="S",IF(INDEX(Firms!$H$5:$H$1004,$T1495)="","",INDEX(Firms!$H$5:$H$1004,$T1495)),IF(INDEX('AFA Rates'!$G$5:$G$1004,$T1495)="","",INDEX('AFA Rates'!$G$5:$G$1004,$T1495))))</f>
        <v/>
      </c>
      <c r="J1495" s="50">
        <f>IF($T1495="","",IF($S1495="S",IF(INDEX(Firms!$I$5:$I$1004,$T1495)="","",INDEX(Firms!$I$5:$I$1004,$T1495)),IF(INDEX('AFA Rates'!$H$5:$H$1004,$T1495)="","",INDEX('AFA Rates'!$H$5:$H$1004,$T1495))))</f>
        <v/>
      </c>
      <c r="K1495" s="50">
        <f>IF($T1495="","",IF($S1495="S",IF(INDEX(Firms!$J$5:$J$1004,$T1495)="","",INDEX(Firms!$J$5:$J$1004,$T1495)),IF(INDEX('AFA Rates'!$I$5:$I$1004,$T1495)="","",INDEX('AFA Rates'!$I$5:$I$1004,$T1495))))</f>
        <v/>
      </c>
      <c r="L1495" s="50">
        <f>IF($T1495="","",IF($S1495="S",IF(INDEX(Firms!$K$5:$K$1004,$T1495)="","",INDEX(Firms!$K$5:$K$1004,$T1495)),IF(INDEX('AFA Rates'!$J$5:$J$1004,$T1495)="","",INDEX('AFA Rates'!$J$5:$J$1004,$T1495))))</f>
        <v/>
      </c>
      <c r="M1495" s="50">
        <f>IF($T1495="","",IF($S1495="S",IF(INDEX(Firms!$L$5:$L$1004,$T1495)="","",INDEX(Firms!$L$5:$L$1004,$T1495)),IF(INDEX('AFA Rates'!$K$5:$K$1004,$T1495)="","",INDEX('AFA Rates'!$K$5:$K$1004,$T1495))))</f>
        <v/>
      </c>
      <c r="N1495" s="50">
        <f>IF($T1495="","",IF($S1495="S",IF(INDEX(Firms!$M$5:$M$1004,$T1495)="","",INDEX(Firms!$M$5:$M$1004,$T1495)),IF(INDEX('AFA Rates'!$L$5:$L$1004,$T1495)="","",INDEX('AFA Rates'!$L$5:$L$1004,$T1495))))</f>
        <v/>
      </c>
      <c r="O1495" s="78">
        <f>IF(OR($T1495="",$U1495=""),"",IF(INDEX(Firms!$C$5:$C$1004,$U1495)="","",INDEX(Firms!$C$5:$C$1004,$U1495)))</f>
        <v/>
      </c>
      <c r="P1495" s="79">
        <f>IF(OR($T1495="",$U1495=""),"",IF(INDEX(Firms!$N$5:$N$1004,$U1495)="","",INDEX(Firms!$N$5:$N$1004,$U1495)))</f>
        <v/>
      </c>
      <c r="Q1495" s="78">
        <f>IF($T1495="","",IF($S1495="S",IF(INDEX(Firms!$T$5:$T$1004,$T1495)="","",INDEX(Firms!$T$5:$T$1004,$T1495)),IF(INDEX('AFA Rates'!$M$5:$M$1004,$T1495)="","",INDEX('AFA Rates'!$M$5:$M$1004,$T1495))))</f>
        <v/>
      </c>
      <c r="S1495">
        <f>IF(1491&lt;=$S$2,"S",IF(1491&lt;=$S$2+$T$2,"A",""))</f>
        <v/>
      </c>
      <c r="T1495">
        <f>IF(S1495="S",MATCH(1491,Firms!$W$5:$W$1004,0),IF(S1495="A",IFERROR(MATCH(1491-$S$2,'AFA Rates'!$R$5:$R$1004,0),""),""))</f>
        <v/>
      </c>
      <c r="U1495">
        <f>IF(S1495="S",T1495,IF(AND(S1495="A",T1495&lt;&gt;""),IFERROR(MATCH(INDEX('AFA Rates'!$A$5:$A$1004,T1495),Firms!$A$5:$A$1004,0),""),""))</f>
        <v/>
      </c>
    </row>
    <row r="1496">
      <c r="A1496" s="78">
        <f>IF($T1496="","",IF($S1496="S",IF(INDEX(Firms!$A$5:$A$1004,$T1496)="","",INDEX(Firms!$A$5:$A$1004,$T1496)),IF(INDEX('AFA Rates'!$A$5:$A$1004,$T1496)="","",INDEX('AFA Rates'!$A$5:$A$1004,$T1496))))</f>
        <v/>
      </c>
      <c r="B1496" s="79">
        <f>IF(OR($T1496="",$U1496=""),IF($T1496="","","Not on Firms tab"),INDEX(Firms!$B$5:$B$1004,$U1496)&amp;"")</f>
        <v/>
      </c>
      <c r="C1496" s="78">
        <f>IF($T1496="","",IF($S1496="S","Standard",INDEX('AFA Rates'!$B$5:$B$1004,$T1496)&amp;""))</f>
        <v/>
      </c>
      <c r="D1496" s="88">
        <f>IF($T1496="","",IF($S1496="S",IF(INDEX(Firms!$E$5:$E$1004,$T1496)="","",INDEX(Firms!$E$5:$E$1004,$T1496)),IF(INDEX('AFA Rates'!$C$5:$C$1004,$T1496)="","",INDEX('AFA Rates'!$C$5:$C$1004,$T1496))))</f>
        <v/>
      </c>
      <c r="E1496" s="88">
        <f>IF($T1496="","",IF($S1496="S",IF(""="","",""),IF(INDEX('AFA Rates'!$D$5:$D$1004,$T1496)="","",INDEX('AFA Rates'!$D$5:$D$1004,$T1496))))</f>
        <v/>
      </c>
      <c r="F1496" s="79">
        <f>IF($T1496="","",IF($S1496="S",IF(INDEX(Firms!$O$5:$O$1004,$T1496)="","",INDEX(Firms!$O$5:$O$1004,$T1496)),IF(INDEX('AFA Rates'!$O$5:$O$1004,$T1496)="","",INDEX('AFA Rates'!$O$5:$O$1004,$T1496))))</f>
        <v/>
      </c>
      <c r="G1496" s="50">
        <f>IF($T1496="","",IF($S1496="S",IF(INDEX(Firms!$F$5:$F$1004,$T1496)="","",INDEX(Firms!$F$5:$F$1004,$T1496)),IF(INDEX('AFA Rates'!$E$5:$E$1004,$T1496)="","",INDEX('AFA Rates'!$E$5:$E$1004,$T1496))))</f>
        <v/>
      </c>
      <c r="H1496" s="50">
        <f>IF($T1496="","",IF($S1496="S",IF(INDEX(Firms!$G$5:$G$1004,$T1496)="","",INDEX(Firms!$G$5:$G$1004,$T1496)),IF(INDEX('AFA Rates'!$F$5:$F$1004,$T1496)="","",INDEX('AFA Rates'!$F$5:$F$1004,$T1496))))</f>
        <v/>
      </c>
      <c r="I1496" s="50">
        <f>IF($T1496="","",IF($S1496="S",IF(INDEX(Firms!$H$5:$H$1004,$T1496)="","",INDEX(Firms!$H$5:$H$1004,$T1496)),IF(INDEX('AFA Rates'!$G$5:$G$1004,$T1496)="","",INDEX('AFA Rates'!$G$5:$G$1004,$T1496))))</f>
        <v/>
      </c>
      <c r="J1496" s="50">
        <f>IF($T1496="","",IF($S1496="S",IF(INDEX(Firms!$I$5:$I$1004,$T1496)="","",INDEX(Firms!$I$5:$I$1004,$T1496)),IF(INDEX('AFA Rates'!$H$5:$H$1004,$T1496)="","",INDEX('AFA Rates'!$H$5:$H$1004,$T1496))))</f>
        <v/>
      </c>
      <c r="K1496" s="50">
        <f>IF($T1496="","",IF($S1496="S",IF(INDEX(Firms!$J$5:$J$1004,$T1496)="","",INDEX(Firms!$J$5:$J$1004,$T1496)),IF(INDEX('AFA Rates'!$I$5:$I$1004,$T1496)="","",INDEX('AFA Rates'!$I$5:$I$1004,$T1496))))</f>
        <v/>
      </c>
      <c r="L1496" s="50">
        <f>IF($T1496="","",IF($S1496="S",IF(INDEX(Firms!$K$5:$K$1004,$T1496)="","",INDEX(Firms!$K$5:$K$1004,$T1496)),IF(INDEX('AFA Rates'!$J$5:$J$1004,$T1496)="","",INDEX('AFA Rates'!$J$5:$J$1004,$T1496))))</f>
        <v/>
      </c>
      <c r="M1496" s="50">
        <f>IF($T1496="","",IF($S1496="S",IF(INDEX(Firms!$L$5:$L$1004,$T1496)="","",INDEX(Firms!$L$5:$L$1004,$T1496)),IF(INDEX('AFA Rates'!$K$5:$K$1004,$T1496)="","",INDEX('AFA Rates'!$K$5:$K$1004,$T1496))))</f>
        <v/>
      </c>
      <c r="N1496" s="50">
        <f>IF($T1496="","",IF($S1496="S",IF(INDEX(Firms!$M$5:$M$1004,$T1496)="","",INDEX(Firms!$M$5:$M$1004,$T1496)),IF(INDEX('AFA Rates'!$L$5:$L$1004,$T1496)="","",INDEX('AFA Rates'!$L$5:$L$1004,$T1496))))</f>
        <v/>
      </c>
      <c r="O1496" s="78">
        <f>IF(OR($T1496="",$U1496=""),"",IF(INDEX(Firms!$C$5:$C$1004,$U1496)="","",INDEX(Firms!$C$5:$C$1004,$U1496)))</f>
        <v/>
      </c>
      <c r="P1496" s="79">
        <f>IF(OR($T1496="",$U1496=""),"",IF(INDEX(Firms!$N$5:$N$1004,$U1496)="","",INDEX(Firms!$N$5:$N$1004,$U1496)))</f>
        <v/>
      </c>
      <c r="Q1496" s="78">
        <f>IF($T1496="","",IF($S1496="S",IF(INDEX(Firms!$T$5:$T$1004,$T1496)="","",INDEX(Firms!$T$5:$T$1004,$T1496)),IF(INDEX('AFA Rates'!$M$5:$M$1004,$T1496)="","",INDEX('AFA Rates'!$M$5:$M$1004,$T1496))))</f>
        <v/>
      </c>
      <c r="S1496">
        <f>IF(1492&lt;=$S$2,"S",IF(1492&lt;=$S$2+$T$2,"A",""))</f>
        <v/>
      </c>
      <c r="T1496">
        <f>IF(S1496="S",MATCH(1492,Firms!$W$5:$W$1004,0),IF(S1496="A",IFERROR(MATCH(1492-$S$2,'AFA Rates'!$R$5:$R$1004,0),""),""))</f>
        <v/>
      </c>
      <c r="U1496">
        <f>IF(S1496="S",T1496,IF(AND(S1496="A",T1496&lt;&gt;""),IFERROR(MATCH(INDEX('AFA Rates'!$A$5:$A$1004,T1496),Firms!$A$5:$A$1004,0),""),""))</f>
        <v/>
      </c>
    </row>
    <row r="1497">
      <c r="A1497" s="78">
        <f>IF($T1497="","",IF($S1497="S",IF(INDEX(Firms!$A$5:$A$1004,$T1497)="","",INDEX(Firms!$A$5:$A$1004,$T1497)),IF(INDEX('AFA Rates'!$A$5:$A$1004,$T1497)="","",INDEX('AFA Rates'!$A$5:$A$1004,$T1497))))</f>
        <v/>
      </c>
      <c r="B1497" s="79">
        <f>IF(OR($T1497="",$U1497=""),IF($T1497="","","Not on Firms tab"),INDEX(Firms!$B$5:$B$1004,$U1497)&amp;"")</f>
        <v/>
      </c>
      <c r="C1497" s="78">
        <f>IF($T1497="","",IF($S1497="S","Standard",INDEX('AFA Rates'!$B$5:$B$1004,$T1497)&amp;""))</f>
        <v/>
      </c>
      <c r="D1497" s="88">
        <f>IF($T1497="","",IF($S1497="S",IF(INDEX(Firms!$E$5:$E$1004,$T1497)="","",INDEX(Firms!$E$5:$E$1004,$T1497)),IF(INDEX('AFA Rates'!$C$5:$C$1004,$T1497)="","",INDEX('AFA Rates'!$C$5:$C$1004,$T1497))))</f>
        <v/>
      </c>
      <c r="E1497" s="88">
        <f>IF($T1497="","",IF($S1497="S",IF(""="","",""),IF(INDEX('AFA Rates'!$D$5:$D$1004,$T1497)="","",INDEX('AFA Rates'!$D$5:$D$1004,$T1497))))</f>
        <v/>
      </c>
      <c r="F1497" s="79">
        <f>IF($T1497="","",IF($S1497="S",IF(INDEX(Firms!$O$5:$O$1004,$T1497)="","",INDEX(Firms!$O$5:$O$1004,$T1497)),IF(INDEX('AFA Rates'!$O$5:$O$1004,$T1497)="","",INDEX('AFA Rates'!$O$5:$O$1004,$T1497))))</f>
        <v/>
      </c>
      <c r="G1497" s="50">
        <f>IF($T1497="","",IF($S1497="S",IF(INDEX(Firms!$F$5:$F$1004,$T1497)="","",INDEX(Firms!$F$5:$F$1004,$T1497)),IF(INDEX('AFA Rates'!$E$5:$E$1004,$T1497)="","",INDEX('AFA Rates'!$E$5:$E$1004,$T1497))))</f>
        <v/>
      </c>
      <c r="H1497" s="50">
        <f>IF($T1497="","",IF($S1497="S",IF(INDEX(Firms!$G$5:$G$1004,$T1497)="","",INDEX(Firms!$G$5:$G$1004,$T1497)),IF(INDEX('AFA Rates'!$F$5:$F$1004,$T1497)="","",INDEX('AFA Rates'!$F$5:$F$1004,$T1497))))</f>
        <v/>
      </c>
      <c r="I1497" s="50">
        <f>IF($T1497="","",IF($S1497="S",IF(INDEX(Firms!$H$5:$H$1004,$T1497)="","",INDEX(Firms!$H$5:$H$1004,$T1497)),IF(INDEX('AFA Rates'!$G$5:$G$1004,$T1497)="","",INDEX('AFA Rates'!$G$5:$G$1004,$T1497))))</f>
        <v/>
      </c>
      <c r="J1497" s="50">
        <f>IF($T1497="","",IF($S1497="S",IF(INDEX(Firms!$I$5:$I$1004,$T1497)="","",INDEX(Firms!$I$5:$I$1004,$T1497)),IF(INDEX('AFA Rates'!$H$5:$H$1004,$T1497)="","",INDEX('AFA Rates'!$H$5:$H$1004,$T1497))))</f>
        <v/>
      </c>
      <c r="K1497" s="50">
        <f>IF($T1497="","",IF($S1497="S",IF(INDEX(Firms!$J$5:$J$1004,$T1497)="","",INDEX(Firms!$J$5:$J$1004,$T1497)),IF(INDEX('AFA Rates'!$I$5:$I$1004,$T1497)="","",INDEX('AFA Rates'!$I$5:$I$1004,$T1497))))</f>
        <v/>
      </c>
      <c r="L1497" s="50">
        <f>IF($T1497="","",IF($S1497="S",IF(INDEX(Firms!$K$5:$K$1004,$T1497)="","",INDEX(Firms!$K$5:$K$1004,$T1497)),IF(INDEX('AFA Rates'!$J$5:$J$1004,$T1497)="","",INDEX('AFA Rates'!$J$5:$J$1004,$T1497))))</f>
        <v/>
      </c>
      <c r="M1497" s="50">
        <f>IF($T1497="","",IF($S1497="S",IF(INDEX(Firms!$L$5:$L$1004,$T1497)="","",INDEX(Firms!$L$5:$L$1004,$T1497)),IF(INDEX('AFA Rates'!$K$5:$K$1004,$T1497)="","",INDEX('AFA Rates'!$K$5:$K$1004,$T1497))))</f>
        <v/>
      </c>
      <c r="N1497" s="50">
        <f>IF($T1497="","",IF($S1497="S",IF(INDEX(Firms!$M$5:$M$1004,$T1497)="","",INDEX(Firms!$M$5:$M$1004,$T1497)),IF(INDEX('AFA Rates'!$L$5:$L$1004,$T1497)="","",INDEX('AFA Rates'!$L$5:$L$1004,$T1497))))</f>
        <v/>
      </c>
      <c r="O1497" s="78">
        <f>IF(OR($T1497="",$U1497=""),"",IF(INDEX(Firms!$C$5:$C$1004,$U1497)="","",INDEX(Firms!$C$5:$C$1004,$U1497)))</f>
        <v/>
      </c>
      <c r="P1497" s="79">
        <f>IF(OR($T1497="",$U1497=""),"",IF(INDEX(Firms!$N$5:$N$1004,$U1497)="","",INDEX(Firms!$N$5:$N$1004,$U1497)))</f>
        <v/>
      </c>
      <c r="Q1497" s="78">
        <f>IF($T1497="","",IF($S1497="S",IF(INDEX(Firms!$T$5:$T$1004,$T1497)="","",INDEX(Firms!$T$5:$T$1004,$T1497)),IF(INDEX('AFA Rates'!$M$5:$M$1004,$T1497)="","",INDEX('AFA Rates'!$M$5:$M$1004,$T1497))))</f>
        <v/>
      </c>
      <c r="S1497">
        <f>IF(1493&lt;=$S$2,"S",IF(1493&lt;=$S$2+$T$2,"A",""))</f>
        <v/>
      </c>
      <c r="T1497">
        <f>IF(S1497="S",MATCH(1493,Firms!$W$5:$W$1004,0),IF(S1497="A",IFERROR(MATCH(1493-$S$2,'AFA Rates'!$R$5:$R$1004,0),""),""))</f>
        <v/>
      </c>
      <c r="U1497">
        <f>IF(S1497="S",T1497,IF(AND(S1497="A",T1497&lt;&gt;""),IFERROR(MATCH(INDEX('AFA Rates'!$A$5:$A$1004,T1497),Firms!$A$5:$A$1004,0),""),""))</f>
        <v/>
      </c>
    </row>
    <row r="1498">
      <c r="A1498" s="78">
        <f>IF($T1498="","",IF($S1498="S",IF(INDEX(Firms!$A$5:$A$1004,$T1498)="","",INDEX(Firms!$A$5:$A$1004,$T1498)),IF(INDEX('AFA Rates'!$A$5:$A$1004,$T1498)="","",INDEX('AFA Rates'!$A$5:$A$1004,$T1498))))</f>
        <v/>
      </c>
      <c r="B1498" s="79">
        <f>IF(OR($T1498="",$U1498=""),IF($T1498="","","Not on Firms tab"),INDEX(Firms!$B$5:$B$1004,$U1498)&amp;"")</f>
        <v/>
      </c>
      <c r="C1498" s="78">
        <f>IF($T1498="","",IF($S1498="S","Standard",INDEX('AFA Rates'!$B$5:$B$1004,$T1498)&amp;""))</f>
        <v/>
      </c>
      <c r="D1498" s="88">
        <f>IF($T1498="","",IF($S1498="S",IF(INDEX(Firms!$E$5:$E$1004,$T1498)="","",INDEX(Firms!$E$5:$E$1004,$T1498)),IF(INDEX('AFA Rates'!$C$5:$C$1004,$T1498)="","",INDEX('AFA Rates'!$C$5:$C$1004,$T1498))))</f>
        <v/>
      </c>
      <c r="E1498" s="88">
        <f>IF($T1498="","",IF($S1498="S",IF(""="","",""),IF(INDEX('AFA Rates'!$D$5:$D$1004,$T1498)="","",INDEX('AFA Rates'!$D$5:$D$1004,$T1498))))</f>
        <v/>
      </c>
      <c r="F1498" s="79">
        <f>IF($T1498="","",IF($S1498="S",IF(INDEX(Firms!$O$5:$O$1004,$T1498)="","",INDEX(Firms!$O$5:$O$1004,$T1498)),IF(INDEX('AFA Rates'!$O$5:$O$1004,$T1498)="","",INDEX('AFA Rates'!$O$5:$O$1004,$T1498))))</f>
        <v/>
      </c>
      <c r="G1498" s="50">
        <f>IF($T1498="","",IF($S1498="S",IF(INDEX(Firms!$F$5:$F$1004,$T1498)="","",INDEX(Firms!$F$5:$F$1004,$T1498)),IF(INDEX('AFA Rates'!$E$5:$E$1004,$T1498)="","",INDEX('AFA Rates'!$E$5:$E$1004,$T1498))))</f>
        <v/>
      </c>
      <c r="H1498" s="50">
        <f>IF($T1498="","",IF($S1498="S",IF(INDEX(Firms!$G$5:$G$1004,$T1498)="","",INDEX(Firms!$G$5:$G$1004,$T1498)),IF(INDEX('AFA Rates'!$F$5:$F$1004,$T1498)="","",INDEX('AFA Rates'!$F$5:$F$1004,$T1498))))</f>
        <v/>
      </c>
      <c r="I1498" s="50">
        <f>IF($T1498="","",IF($S1498="S",IF(INDEX(Firms!$H$5:$H$1004,$T1498)="","",INDEX(Firms!$H$5:$H$1004,$T1498)),IF(INDEX('AFA Rates'!$G$5:$G$1004,$T1498)="","",INDEX('AFA Rates'!$G$5:$G$1004,$T1498))))</f>
        <v/>
      </c>
      <c r="J1498" s="50">
        <f>IF($T1498="","",IF($S1498="S",IF(INDEX(Firms!$I$5:$I$1004,$T1498)="","",INDEX(Firms!$I$5:$I$1004,$T1498)),IF(INDEX('AFA Rates'!$H$5:$H$1004,$T1498)="","",INDEX('AFA Rates'!$H$5:$H$1004,$T1498))))</f>
        <v/>
      </c>
      <c r="K1498" s="50">
        <f>IF($T1498="","",IF($S1498="S",IF(INDEX(Firms!$J$5:$J$1004,$T1498)="","",INDEX(Firms!$J$5:$J$1004,$T1498)),IF(INDEX('AFA Rates'!$I$5:$I$1004,$T1498)="","",INDEX('AFA Rates'!$I$5:$I$1004,$T1498))))</f>
        <v/>
      </c>
      <c r="L1498" s="50">
        <f>IF($T1498="","",IF($S1498="S",IF(INDEX(Firms!$K$5:$K$1004,$T1498)="","",INDEX(Firms!$K$5:$K$1004,$T1498)),IF(INDEX('AFA Rates'!$J$5:$J$1004,$T1498)="","",INDEX('AFA Rates'!$J$5:$J$1004,$T1498))))</f>
        <v/>
      </c>
      <c r="M1498" s="50">
        <f>IF($T1498="","",IF($S1498="S",IF(INDEX(Firms!$L$5:$L$1004,$T1498)="","",INDEX(Firms!$L$5:$L$1004,$T1498)),IF(INDEX('AFA Rates'!$K$5:$K$1004,$T1498)="","",INDEX('AFA Rates'!$K$5:$K$1004,$T1498))))</f>
        <v/>
      </c>
      <c r="N1498" s="50">
        <f>IF($T1498="","",IF($S1498="S",IF(INDEX(Firms!$M$5:$M$1004,$T1498)="","",INDEX(Firms!$M$5:$M$1004,$T1498)),IF(INDEX('AFA Rates'!$L$5:$L$1004,$T1498)="","",INDEX('AFA Rates'!$L$5:$L$1004,$T1498))))</f>
        <v/>
      </c>
      <c r="O1498" s="78">
        <f>IF(OR($T1498="",$U1498=""),"",IF(INDEX(Firms!$C$5:$C$1004,$U1498)="","",INDEX(Firms!$C$5:$C$1004,$U1498)))</f>
        <v/>
      </c>
      <c r="P1498" s="79">
        <f>IF(OR($T1498="",$U1498=""),"",IF(INDEX(Firms!$N$5:$N$1004,$U1498)="","",INDEX(Firms!$N$5:$N$1004,$U1498)))</f>
        <v/>
      </c>
      <c r="Q1498" s="78">
        <f>IF($T1498="","",IF($S1498="S",IF(INDEX(Firms!$T$5:$T$1004,$T1498)="","",INDEX(Firms!$T$5:$T$1004,$T1498)),IF(INDEX('AFA Rates'!$M$5:$M$1004,$T1498)="","",INDEX('AFA Rates'!$M$5:$M$1004,$T1498))))</f>
        <v/>
      </c>
      <c r="S1498">
        <f>IF(1494&lt;=$S$2,"S",IF(1494&lt;=$S$2+$T$2,"A",""))</f>
        <v/>
      </c>
      <c r="T1498">
        <f>IF(S1498="S",MATCH(1494,Firms!$W$5:$W$1004,0),IF(S1498="A",IFERROR(MATCH(1494-$S$2,'AFA Rates'!$R$5:$R$1004,0),""),""))</f>
        <v/>
      </c>
      <c r="U1498">
        <f>IF(S1498="S",T1498,IF(AND(S1498="A",T1498&lt;&gt;""),IFERROR(MATCH(INDEX('AFA Rates'!$A$5:$A$1004,T1498),Firms!$A$5:$A$1004,0),""),""))</f>
        <v/>
      </c>
    </row>
    <row r="1499">
      <c r="A1499" s="78">
        <f>IF($T1499="","",IF($S1499="S",IF(INDEX(Firms!$A$5:$A$1004,$T1499)="","",INDEX(Firms!$A$5:$A$1004,$T1499)),IF(INDEX('AFA Rates'!$A$5:$A$1004,$T1499)="","",INDEX('AFA Rates'!$A$5:$A$1004,$T1499))))</f>
        <v/>
      </c>
      <c r="B1499" s="79">
        <f>IF(OR($T1499="",$U1499=""),IF($T1499="","","Not on Firms tab"),INDEX(Firms!$B$5:$B$1004,$U1499)&amp;"")</f>
        <v/>
      </c>
      <c r="C1499" s="78">
        <f>IF($T1499="","",IF($S1499="S","Standard",INDEX('AFA Rates'!$B$5:$B$1004,$T1499)&amp;""))</f>
        <v/>
      </c>
      <c r="D1499" s="88">
        <f>IF($T1499="","",IF($S1499="S",IF(INDEX(Firms!$E$5:$E$1004,$T1499)="","",INDEX(Firms!$E$5:$E$1004,$T1499)),IF(INDEX('AFA Rates'!$C$5:$C$1004,$T1499)="","",INDEX('AFA Rates'!$C$5:$C$1004,$T1499))))</f>
        <v/>
      </c>
      <c r="E1499" s="88">
        <f>IF($T1499="","",IF($S1499="S",IF(""="","",""),IF(INDEX('AFA Rates'!$D$5:$D$1004,$T1499)="","",INDEX('AFA Rates'!$D$5:$D$1004,$T1499))))</f>
        <v/>
      </c>
      <c r="F1499" s="79">
        <f>IF($T1499="","",IF($S1499="S",IF(INDEX(Firms!$O$5:$O$1004,$T1499)="","",INDEX(Firms!$O$5:$O$1004,$T1499)),IF(INDEX('AFA Rates'!$O$5:$O$1004,$T1499)="","",INDEX('AFA Rates'!$O$5:$O$1004,$T1499))))</f>
        <v/>
      </c>
      <c r="G1499" s="50">
        <f>IF($T1499="","",IF($S1499="S",IF(INDEX(Firms!$F$5:$F$1004,$T1499)="","",INDEX(Firms!$F$5:$F$1004,$T1499)),IF(INDEX('AFA Rates'!$E$5:$E$1004,$T1499)="","",INDEX('AFA Rates'!$E$5:$E$1004,$T1499))))</f>
        <v/>
      </c>
      <c r="H1499" s="50">
        <f>IF($T1499="","",IF($S1499="S",IF(INDEX(Firms!$G$5:$G$1004,$T1499)="","",INDEX(Firms!$G$5:$G$1004,$T1499)),IF(INDEX('AFA Rates'!$F$5:$F$1004,$T1499)="","",INDEX('AFA Rates'!$F$5:$F$1004,$T1499))))</f>
        <v/>
      </c>
      <c r="I1499" s="50">
        <f>IF($T1499="","",IF($S1499="S",IF(INDEX(Firms!$H$5:$H$1004,$T1499)="","",INDEX(Firms!$H$5:$H$1004,$T1499)),IF(INDEX('AFA Rates'!$G$5:$G$1004,$T1499)="","",INDEX('AFA Rates'!$G$5:$G$1004,$T1499))))</f>
        <v/>
      </c>
      <c r="J1499" s="50">
        <f>IF($T1499="","",IF($S1499="S",IF(INDEX(Firms!$I$5:$I$1004,$T1499)="","",INDEX(Firms!$I$5:$I$1004,$T1499)),IF(INDEX('AFA Rates'!$H$5:$H$1004,$T1499)="","",INDEX('AFA Rates'!$H$5:$H$1004,$T1499))))</f>
        <v/>
      </c>
      <c r="K1499" s="50">
        <f>IF($T1499="","",IF($S1499="S",IF(INDEX(Firms!$J$5:$J$1004,$T1499)="","",INDEX(Firms!$J$5:$J$1004,$T1499)),IF(INDEX('AFA Rates'!$I$5:$I$1004,$T1499)="","",INDEX('AFA Rates'!$I$5:$I$1004,$T1499))))</f>
        <v/>
      </c>
      <c r="L1499" s="50">
        <f>IF($T1499="","",IF($S1499="S",IF(INDEX(Firms!$K$5:$K$1004,$T1499)="","",INDEX(Firms!$K$5:$K$1004,$T1499)),IF(INDEX('AFA Rates'!$J$5:$J$1004,$T1499)="","",INDEX('AFA Rates'!$J$5:$J$1004,$T1499))))</f>
        <v/>
      </c>
      <c r="M1499" s="50">
        <f>IF($T1499="","",IF($S1499="S",IF(INDEX(Firms!$L$5:$L$1004,$T1499)="","",INDEX(Firms!$L$5:$L$1004,$T1499)),IF(INDEX('AFA Rates'!$K$5:$K$1004,$T1499)="","",INDEX('AFA Rates'!$K$5:$K$1004,$T1499))))</f>
        <v/>
      </c>
      <c r="N1499" s="50">
        <f>IF($T1499="","",IF($S1499="S",IF(INDEX(Firms!$M$5:$M$1004,$T1499)="","",INDEX(Firms!$M$5:$M$1004,$T1499)),IF(INDEX('AFA Rates'!$L$5:$L$1004,$T1499)="","",INDEX('AFA Rates'!$L$5:$L$1004,$T1499))))</f>
        <v/>
      </c>
      <c r="O1499" s="78">
        <f>IF(OR($T1499="",$U1499=""),"",IF(INDEX(Firms!$C$5:$C$1004,$U1499)="","",INDEX(Firms!$C$5:$C$1004,$U1499)))</f>
        <v/>
      </c>
      <c r="P1499" s="79">
        <f>IF(OR($T1499="",$U1499=""),"",IF(INDEX(Firms!$N$5:$N$1004,$U1499)="","",INDEX(Firms!$N$5:$N$1004,$U1499)))</f>
        <v/>
      </c>
      <c r="Q1499" s="78">
        <f>IF($T1499="","",IF($S1499="S",IF(INDEX(Firms!$T$5:$T$1004,$T1499)="","",INDEX(Firms!$T$5:$T$1004,$T1499)),IF(INDEX('AFA Rates'!$M$5:$M$1004,$T1499)="","",INDEX('AFA Rates'!$M$5:$M$1004,$T1499))))</f>
        <v/>
      </c>
      <c r="S1499">
        <f>IF(1495&lt;=$S$2,"S",IF(1495&lt;=$S$2+$T$2,"A",""))</f>
        <v/>
      </c>
      <c r="T1499">
        <f>IF(S1499="S",MATCH(1495,Firms!$W$5:$W$1004,0),IF(S1499="A",IFERROR(MATCH(1495-$S$2,'AFA Rates'!$R$5:$R$1004,0),""),""))</f>
        <v/>
      </c>
      <c r="U1499">
        <f>IF(S1499="S",T1499,IF(AND(S1499="A",T1499&lt;&gt;""),IFERROR(MATCH(INDEX('AFA Rates'!$A$5:$A$1004,T1499),Firms!$A$5:$A$1004,0),""),""))</f>
        <v/>
      </c>
    </row>
    <row r="1500">
      <c r="A1500" s="78">
        <f>IF($T1500="","",IF($S1500="S",IF(INDEX(Firms!$A$5:$A$1004,$T1500)="","",INDEX(Firms!$A$5:$A$1004,$T1500)),IF(INDEX('AFA Rates'!$A$5:$A$1004,$T1500)="","",INDEX('AFA Rates'!$A$5:$A$1004,$T1500))))</f>
        <v/>
      </c>
      <c r="B1500" s="79">
        <f>IF(OR($T1500="",$U1500=""),IF($T1500="","","Not on Firms tab"),INDEX(Firms!$B$5:$B$1004,$U1500)&amp;"")</f>
        <v/>
      </c>
      <c r="C1500" s="78">
        <f>IF($T1500="","",IF($S1500="S","Standard",INDEX('AFA Rates'!$B$5:$B$1004,$T1500)&amp;""))</f>
        <v/>
      </c>
      <c r="D1500" s="88">
        <f>IF($T1500="","",IF($S1500="S",IF(INDEX(Firms!$E$5:$E$1004,$T1500)="","",INDEX(Firms!$E$5:$E$1004,$T1500)),IF(INDEX('AFA Rates'!$C$5:$C$1004,$T1500)="","",INDEX('AFA Rates'!$C$5:$C$1004,$T1500))))</f>
        <v/>
      </c>
      <c r="E1500" s="88">
        <f>IF($T1500="","",IF($S1500="S",IF(""="","",""),IF(INDEX('AFA Rates'!$D$5:$D$1004,$T1500)="","",INDEX('AFA Rates'!$D$5:$D$1004,$T1500))))</f>
        <v/>
      </c>
      <c r="F1500" s="79">
        <f>IF($T1500="","",IF($S1500="S",IF(INDEX(Firms!$O$5:$O$1004,$T1500)="","",INDEX(Firms!$O$5:$O$1004,$T1500)),IF(INDEX('AFA Rates'!$O$5:$O$1004,$T1500)="","",INDEX('AFA Rates'!$O$5:$O$1004,$T1500))))</f>
        <v/>
      </c>
      <c r="G1500" s="50">
        <f>IF($T1500="","",IF($S1500="S",IF(INDEX(Firms!$F$5:$F$1004,$T1500)="","",INDEX(Firms!$F$5:$F$1004,$T1500)),IF(INDEX('AFA Rates'!$E$5:$E$1004,$T1500)="","",INDEX('AFA Rates'!$E$5:$E$1004,$T1500))))</f>
        <v/>
      </c>
      <c r="H1500" s="50">
        <f>IF($T1500="","",IF($S1500="S",IF(INDEX(Firms!$G$5:$G$1004,$T1500)="","",INDEX(Firms!$G$5:$G$1004,$T1500)),IF(INDEX('AFA Rates'!$F$5:$F$1004,$T1500)="","",INDEX('AFA Rates'!$F$5:$F$1004,$T1500))))</f>
        <v/>
      </c>
      <c r="I1500" s="50">
        <f>IF($T1500="","",IF($S1500="S",IF(INDEX(Firms!$H$5:$H$1004,$T1500)="","",INDEX(Firms!$H$5:$H$1004,$T1500)),IF(INDEX('AFA Rates'!$G$5:$G$1004,$T1500)="","",INDEX('AFA Rates'!$G$5:$G$1004,$T1500))))</f>
        <v/>
      </c>
      <c r="J1500" s="50">
        <f>IF($T1500="","",IF($S1500="S",IF(INDEX(Firms!$I$5:$I$1004,$T1500)="","",INDEX(Firms!$I$5:$I$1004,$T1500)),IF(INDEX('AFA Rates'!$H$5:$H$1004,$T1500)="","",INDEX('AFA Rates'!$H$5:$H$1004,$T1500))))</f>
        <v/>
      </c>
      <c r="K1500" s="50">
        <f>IF($T1500="","",IF($S1500="S",IF(INDEX(Firms!$J$5:$J$1004,$T1500)="","",INDEX(Firms!$J$5:$J$1004,$T1500)),IF(INDEX('AFA Rates'!$I$5:$I$1004,$T1500)="","",INDEX('AFA Rates'!$I$5:$I$1004,$T1500))))</f>
        <v/>
      </c>
      <c r="L1500" s="50">
        <f>IF($T1500="","",IF($S1500="S",IF(INDEX(Firms!$K$5:$K$1004,$T1500)="","",INDEX(Firms!$K$5:$K$1004,$T1500)),IF(INDEX('AFA Rates'!$J$5:$J$1004,$T1500)="","",INDEX('AFA Rates'!$J$5:$J$1004,$T1500))))</f>
        <v/>
      </c>
      <c r="M1500" s="50">
        <f>IF($T1500="","",IF($S1500="S",IF(INDEX(Firms!$L$5:$L$1004,$T1500)="","",INDEX(Firms!$L$5:$L$1004,$T1500)),IF(INDEX('AFA Rates'!$K$5:$K$1004,$T1500)="","",INDEX('AFA Rates'!$K$5:$K$1004,$T1500))))</f>
        <v/>
      </c>
      <c r="N1500" s="50">
        <f>IF($T1500="","",IF($S1500="S",IF(INDEX(Firms!$M$5:$M$1004,$T1500)="","",INDEX(Firms!$M$5:$M$1004,$T1500)),IF(INDEX('AFA Rates'!$L$5:$L$1004,$T1500)="","",INDEX('AFA Rates'!$L$5:$L$1004,$T1500))))</f>
        <v/>
      </c>
      <c r="O1500" s="78">
        <f>IF(OR($T1500="",$U1500=""),"",IF(INDEX(Firms!$C$5:$C$1004,$U1500)="","",INDEX(Firms!$C$5:$C$1004,$U1500)))</f>
        <v/>
      </c>
      <c r="P1500" s="79">
        <f>IF(OR($T1500="",$U1500=""),"",IF(INDEX(Firms!$N$5:$N$1004,$U1500)="","",INDEX(Firms!$N$5:$N$1004,$U1500)))</f>
        <v/>
      </c>
      <c r="Q1500" s="78">
        <f>IF($T1500="","",IF($S1500="S",IF(INDEX(Firms!$T$5:$T$1004,$T1500)="","",INDEX(Firms!$T$5:$T$1004,$T1500)),IF(INDEX('AFA Rates'!$M$5:$M$1004,$T1500)="","",INDEX('AFA Rates'!$M$5:$M$1004,$T1500))))</f>
        <v/>
      </c>
      <c r="S1500">
        <f>IF(1496&lt;=$S$2,"S",IF(1496&lt;=$S$2+$T$2,"A",""))</f>
        <v/>
      </c>
      <c r="T1500">
        <f>IF(S1500="S",MATCH(1496,Firms!$W$5:$W$1004,0),IF(S1500="A",IFERROR(MATCH(1496-$S$2,'AFA Rates'!$R$5:$R$1004,0),""),""))</f>
        <v/>
      </c>
      <c r="U1500">
        <f>IF(S1500="S",T1500,IF(AND(S1500="A",T1500&lt;&gt;""),IFERROR(MATCH(INDEX('AFA Rates'!$A$5:$A$1004,T1500),Firms!$A$5:$A$1004,0),""),""))</f>
        <v/>
      </c>
    </row>
    <row r="1501">
      <c r="A1501" s="78">
        <f>IF($T1501="","",IF($S1501="S",IF(INDEX(Firms!$A$5:$A$1004,$T1501)="","",INDEX(Firms!$A$5:$A$1004,$T1501)),IF(INDEX('AFA Rates'!$A$5:$A$1004,$T1501)="","",INDEX('AFA Rates'!$A$5:$A$1004,$T1501))))</f>
        <v/>
      </c>
      <c r="B1501" s="79">
        <f>IF(OR($T1501="",$U1501=""),IF($T1501="","","Not on Firms tab"),INDEX(Firms!$B$5:$B$1004,$U1501)&amp;"")</f>
        <v/>
      </c>
      <c r="C1501" s="78">
        <f>IF($T1501="","",IF($S1501="S","Standard",INDEX('AFA Rates'!$B$5:$B$1004,$T1501)&amp;""))</f>
        <v/>
      </c>
      <c r="D1501" s="88">
        <f>IF($T1501="","",IF($S1501="S",IF(INDEX(Firms!$E$5:$E$1004,$T1501)="","",INDEX(Firms!$E$5:$E$1004,$T1501)),IF(INDEX('AFA Rates'!$C$5:$C$1004,$T1501)="","",INDEX('AFA Rates'!$C$5:$C$1004,$T1501))))</f>
        <v/>
      </c>
      <c r="E1501" s="88">
        <f>IF($T1501="","",IF($S1501="S",IF(""="","",""),IF(INDEX('AFA Rates'!$D$5:$D$1004,$T1501)="","",INDEX('AFA Rates'!$D$5:$D$1004,$T1501))))</f>
        <v/>
      </c>
      <c r="F1501" s="79">
        <f>IF($T1501="","",IF($S1501="S",IF(INDEX(Firms!$O$5:$O$1004,$T1501)="","",INDEX(Firms!$O$5:$O$1004,$T1501)),IF(INDEX('AFA Rates'!$O$5:$O$1004,$T1501)="","",INDEX('AFA Rates'!$O$5:$O$1004,$T1501))))</f>
        <v/>
      </c>
      <c r="G1501" s="50">
        <f>IF($T1501="","",IF($S1501="S",IF(INDEX(Firms!$F$5:$F$1004,$T1501)="","",INDEX(Firms!$F$5:$F$1004,$T1501)),IF(INDEX('AFA Rates'!$E$5:$E$1004,$T1501)="","",INDEX('AFA Rates'!$E$5:$E$1004,$T1501))))</f>
        <v/>
      </c>
      <c r="H1501" s="50">
        <f>IF($T1501="","",IF($S1501="S",IF(INDEX(Firms!$G$5:$G$1004,$T1501)="","",INDEX(Firms!$G$5:$G$1004,$T1501)),IF(INDEX('AFA Rates'!$F$5:$F$1004,$T1501)="","",INDEX('AFA Rates'!$F$5:$F$1004,$T1501))))</f>
        <v/>
      </c>
      <c r="I1501" s="50">
        <f>IF($T1501="","",IF($S1501="S",IF(INDEX(Firms!$H$5:$H$1004,$T1501)="","",INDEX(Firms!$H$5:$H$1004,$T1501)),IF(INDEX('AFA Rates'!$G$5:$G$1004,$T1501)="","",INDEX('AFA Rates'!$G$5:$G$1004,$T1501))))</f>
        <v/>
      </c>
      <c r="J1501" s="50">
        <f>IF($T1501="","",IF($S1501="S",IF(INDEX(Firms!$I$5:$I$1004,$T1501)="","",INDEX(Firms!$I$5:$I$1004,$T1501)),IF(INDEX('AFA Rates'!$H$5:$H$1004,$T1501)="","",INDEX('AFA Rates'!$H$5:$H$1004,$T1501))))</f>
        <v/>
      </c>
      <c r="K1501" s="50">
        <f>IF($T1501="","",IF($S1501="S",IF(INDEX(Firms!$J$5:$J$1004,$T1501)="","",INDEX(Firms!$J$5:$J$1004,$T1501)),IF(INDEX('AFA Rates'!$I$5:$I$1004,$T1501)="","",INDEX('AFA Rates'!$I$5:$I$1004,$T1501))))</f>
        <v/>
      </c>
      <c r="L1501" s="50">
        <f>IF($T1501="","",IF($S1501="S",IF(INDEX(Firms!$K$5:$K$1004,$T1501)="","",INDEX(Firms!$K$5:$K$1004,$T1501)),IF(INDEX('AFA Rates'!$J$5:$J$1004,$T1501)="","",INDEX('AFA Rates'!$J$5:$J$1004,$T1501))))</f>
        <v/>
      </c>
      <c r="M1501" s="50">
        <f>IF($T1501="","",IF($S1501="S",IF(INDEX(Firms!$L$5:$L$1004,$T1501)="","",INDEX(Firms!$L$5:$L$1004,$T1501)),IF(INDEX('AFA Rates'!$K$5:$K$1004,$T1501)="","",INDEX('AFA Rates'!$K$5:$K$1004,$T1501))))</f>
        <v/>
      </c>
      <c r="N1501" s="50">
        <f>IF($T1501="","",IF($S1501="S",IF(INDEX(Firms!$M$5:$M$1004,$T1501)="","",INDEX(Firms!$M$5:$M$1004,$T1501)),IF(INDEX('AFA Rates'!$L$5:$L$1004,$T1501)="","",INDEX('AFA Rates'!$L$5:$L$1004,$T1501))))</f>
        <v/>
      </c>
      <c r="O1501" s="78">
        <f>IF(OR($T1501="",$U1501=""),"",IF(INDEX(Firms!$C$5:$C$1004,$U1501)="","",INDEX(Firms!$C$5:$C$1004,$U1501)))</f>
        <v/>
      </c>
      <c r="P1501" s="79">
        <f>IF(OR($T1501="",$U1501=""),"",IF(INDEX(Firms!$N$5:$N$1004,$U1501)="","",INDEX(Firms!$N$5:$N$1004,$U1501)))</f>
        <v/>
      </c>
      <c r="Q1501" s="78">
        <f>IF($T1501="","",IF($S1501="S",IF(INDEX(Firms!$T$5:$T$1004,$T1501)="","",INDEX(Firms!$T$5:$T$1004,$T1501)),IF(INDEX('AFA Rates'!$M$5:$M$1004,$T1501)="","",INDEX('AFA Rates'!$M$5:$M$1004,$T1501))))</f>
        <v/>
      </c>
      <c r="S1501">
        <f>IF(1497&lt;=$S$2,"S",IF(1497&lt;=$S$2+$T$2,"A",""))</f>
        <v/>
      </c>
      <c r="T1501">
        <f>IF(S1501="S",MATCH(1497,Firms!$W$5:$W$1004,0),IF(S1501="A",IFERROR(MATCH(1497-$S$2,'AFA Rates'!$R$5:$R$1004,0),""),""))</f>
        <v/>
      </c>
      <c r="U1501">
        <f>IF(S1501="S",T1501,IF(AND(S1501="A",T1501&lt;&gt;""),IFERROR(MATCH(INDEX('AFA Rates'!$A$5:$A$1004,T1501),Firms!$A$5:$A$1004,0),""),""))</f>
        <v/>
      </c>
    </row>
    <row r="1502">
      <c r="A1502" s="78">
        <f>IF($T1502="","",IF($S1502="S",IF(INDEX(Firms!$A$5:$A$1004,$T1502)="","",INDEX(Firms!$A$5:$A$1004,$T1502)),IF(INDEX('AFA Rates'!$A$5:$A$1004,$T1502)="","",INDEX('AFA Rates'!$A$5:$A$1004,$T1502))))</f>
        <v/>
      </c>
      <c r="B1502" s="79">
        <f>IF(OR($T1502="",$U1502=""),IF($T1502="","","Not on Firms tab"),INDEX(Firms!$B$5:$B$1004,$U1502)&amp;"")</f>
        <v/>
      </c>
      <c r="C1502" s="78">
        <f>IF($T1502="","",IF($S1502="S","Standard",INDEX('AFA Rates'!$B$5:$B$1004,$T1502)&amp;""))</f>
        <v/>
      </c>
      <c r="D1502" s="88">
        <f>IF($T1502="","",IF($S1502="S",IF(INDEX(Firms!$E$5:$E$1004,$T1502)="","",INDEX(Firms!$E$5:$E$1004,$T1502)),IF(INDEX('AFA Rates'!$C$5:$C$1004,$T1502)="","",INDEX('AFA Rates'!$C$5:$C$1004,$T1502))))</f>
        <v/>
      </c>
      <c r="E1502" s="88">
        <f>IF($T1502="","",IF($S1502="S",IF(""="","",""),IF(INDEX('AFA Rates'!$D$5:$D$1004,$T1502)="","",INDEX('AFA Rates'!$D$5:$D$1004,$T1502))))</f>
        <v/>
      </c>
      <c r="F1502" s="79">
        <f>IF($T1502="","",IF($S1502="S",IF(INDEX(Firms!$O$5:$O$1004,$T1502)="","",INDEX(Firms!$O$5:$O$1004,$T1502)),IF(INDEX('AFA Rates'!$O$5:$O$1004,$T1502)="","",INDEX('AFA Rates'!$O$5:$O$1004,$T1502))))</f>
        <v/>
      </c>
      <c r="G1502" s="50">
        <f>IF($T1502="","",IF($S1502="S",IF(INDEX(Firms!$F$5:$F$1004,$T1502)="","",INDEX(Firms!$F$5:$F$1004,$T1502)),IF(INDEX('AFA Rates'!$E$5:$E$1004,$T1502)="","",INDEX('AFA Rates'!$E$5:$E$1004,$T1502))))</f>
        <v/>
      </c>
      <c r="H1502" s="50">
        <f>IF($T1502="","",IF($S1502="S",IF(INDEX(Firms!$G$5:$G$1004,$T1502)="","",INDEX(Firms!$G$5:$G$1004,$T1502)),IF(INDEX('AFA Rates'!$F$5:$F$1004,$T1502)="","",INDEX('AFA Rates'!$F$5:$F$1004,$T1502))))</f>
        <v/>
      </c>
      <c r="I1502" s="50">
        <f>IF($T1502="","",IF($S1502="S",IF(INDEX(Firms!$H$5:$H$1004,$T1502)="","",INDEX(Firms!$H$5:$H$1004,$T1502)),IF(INDEX('AFA Rates'!$G$5:$G$1004,$T1502)="","",INDEX('AFA Rates'!$G$5:$G$1004,$T1502))))</f>
        <v/>
      </c>
      <c r="J1502" s="50">
        <f>IF($T1502="","",IF($S1502="S",IF(INDEX(Firms!$I$5:$I$1004,$T1502)="","",INDEX(Firms!$I$5:$I$1004,$T1502)),IF(INDEX('AFA Rates'!$H$5:$H$1004,$T1502)="","",INDEX('AFA Rates'!$H$5:$H$1004,$T1502))))</f>
        <v/>
      </c>
      <c r="K1502" s="50">
        <f>IF($T1502="","",IF($S1502="S",IF(INDEX(Firms!$J$5:$J$1004,$T1502)="","",INDEX(Firms!$J$5:$J$1004,$T1502)),IF(INDEX('AFA Rates'!$I$5:$I$1004,$T1502)="","",INDEX('AFA Rates'!$I$5:$I$1004,$T1502))))</f>
        <v/>
      </c>
      <c r="L1502" s="50">
        <f>IF($T1502="","",IF($S1502="S",IF(INDEX(Firms!$K$5:$K$1004,$T1502)="","",INDEX(Firms!$K$5:$K$1004,$T1502)),IF(INDEX('AFA Rates'!$J$5:$J$1004,$T1502)="","",INDEX('AFA Rates'!$J$5:$J$1004,$T1502))))</f>
        <v/>
      </c>
      <c r="M1502" s="50">
        <f>IF($T1502="","",IF($S1502="S",IF(INDEX(Firms!$L$5:$L$1004,$T1502)="","",INDEX(Firms!$L$5:$L$1004,$T1502)),IF(INDEX('AFA Rates'!$K$5:$K$1004,$T1502)="","",INDEX('AFA Rates'!$K$5:$K$1004,$T1502))))</f>
        <v/>
      </c>
      <c r="N1502" s="50">
        <f>IF($T1502="","",IF($S1502="S",IF(INDEX(Firms!$M$5:$M$1004,$T1502)="","",INDEX(Firms!$M$5:$M$1004,$T1502)),IF(INDEX('AFA Rates'!$L$5:$L$1004,$T1502)="","",INDEX('AFA Rates'!$L$5:$L$1004,$T1502))))</f>
        <v/>
      </c>
      <c r="O1502" s="78">
        <f>IF(OR($T1502="",$U1502=""),"",IF(INDEX(Firms!$C$5:$C$1004,$U1502)="","",INDEX(Firms!$C$5:$C$1004,$U1502)))</f>
        <v/>
      </c>
      <c r="P1502" s="79">
        <f>IF(OR($T1502="",$U1502=""),"",IF(INDEX(Firms!$N$5:$N$1004,$U1502)="","",INDEX(Firms!$N$5:$N$1004,$U1502)))</f>
        <v/>
      </c>
      <c r="Q1502" s="78">
        <f>IF($T1502="","",IF($S1502="S",IF(INDEX(Firms!$T$5:$T$1004,$T1502)="","",INDEX(Firms!$T$5:$T$1004,$T1502)),IF(INDEX('AFA Rates'!$M$5:$M$1004,$T1502)="","",INDEX('AFA Rates'!$M$5:$M$1004,$T1502))))</f>
        <v/>
      </c>
      <c r="S1502">
        <f>IF(1498&lt;=$S$2,"S",IF(1498&lt;=$S$2+$T$2,"A",""))</f>
        <v/>
      </c>
      <c r="T1502">
        <f>IF(S1502="S",MATCH(1498,Firms!$W$5:$W$1004,0),IF(S1502="A",IFERROR(MATCH(1498-$S$2,'AFA Rates'!$R$5:$R$1004,0),""),""))</f>
        <v/>
      </c>
      <c r="U1502">
        <f>IF(S1502="S",T1502,IF(AND(S1502="A",T1502&lt;&gt;""),IFERROR(MATCH(INDEX('AFA Rates'!$A$5:$A$1004,T1502),Firms!$A$5:$A$1004,0),""),""))</f>
        <v/>
      </c>
    </row>
    <row r="1503">
      <c r="A1503" s="78">
        <f>IF($T1503="","",IF($S1503="S",IF(INDEX(Firms!$A$5:$A$1004,$T1503)="","",INDEX(Firms!$A$5:$A$1004,$T1503)),IF(INDEX('AFA Rates'!$A$5:$A$1004,$T1503)="","",INDEX('AFA Rates'!$A$5:$A$1004,$T1503))))</f>
        <v/>
      </c>
      <c r="B1503" s="79">
        <f>IF(OR($T1503="",$U1503=""),IF($T1503="","","Not on Firms tab"),INDEX(Firms!$B$5:$B$1004,$U1503)&amp;"")</f>
        <v/>
      </c>
      <c r="C1503" s="78">
        <f>IF($T1503="","",IF($S1503="S","Standard",INDEX('AFA Rates'!$B$5:$B$1004,$T1503)&amp;""))</f>
        <v/>
      </c>
      <c r="D1503" s="88">
        <f>IF($T1503="","",IF($S1503="S",IF(INDEX(Firms!$E$5:$E$1004,$T1503)="","",INDEX(Firms!$E$5:$E$1004,$T1503)),IF(INDEX('AFA Rates'!$C$5:$C$1004,$T1503)="","",INDEX('AFA Rates'!$C$5:$C$1004,$T1503))))</f>
        <v/>
      </c>
      <c r="E1503" s="88">
        <f>IF($T1503="","",IF($S1503="S",IF(""="","",""),IF(INDEX('AFA Rates'!$D$5:$D$1004,$T1503)="","",INDEX('AFA Rates'!$D$5:$D$1004,$T1503))))</f>
        <v/>
      </c>
      <c r="F1503" s="79">
        <f>IF($T1503="","",IF($S1503="S",IF(INDEX(Firms!$O$5:$O$1004,$T1503)="","",INDEX(Firms!$O$5:$O$1004,$T1503)),IF(INDEX('AFA Rates'!$O$5:$O$1004,$T1503)="","",INDEX('AFA Rates'!$O$5:$O$1004,$T1503))))</f>
        <v/>
      </c>
      <c r="G1503" s="50">
        <f>IF($T1503="","",IF($S1503="S",IF(INDEX(Firms!$F$5:$F$1004,$T1503)="","",INDEX(Firms!$F$5:$F$1004,$T1503)),IF(INDEX('AFA Rates'!$E$5:$E$1004,$T1503)="","",INDEX('AFA Rates'!$E$5:$E$1004,$T1503))))</f>
        <v/>
      </c>
      <c r="H1503" s="50">
        <f>IF($T1503="","",IF($S1503="S",IF(INDEX(Firms!$G$5:$G$1004,$T1503)="","",INDEX(Firms!$G$5:$G$1004,$T1503)),IF(INDEX('AFA Rates'!$F$5:$F$1004,$T1503)="","",INDEX('AFA Rates'!$F$5:$F$1004,$T1503))))</f>
        <v/>
      </c>
      <c r="I1503" s="50">
        <f>IF($T1503="","",IF($S1503="S",IF(INDEX(Firms!$H$5:$H$1004,$T1503)="","",INDEX(Firms!$H$5:$H$1004,$T1503)),IF(INDEX('AFA Rates'!$G$5:$G$1004,$T1503)="","",INDEX('AFA Rates'!$G$5:$G$1004,$T1503))))</f>
        <v/>
      </c>
      <c r="J1503" s="50">
        <f>IF($T1503="","",IF($S1503="S",IF(INDEX(Firms!$I$5:$I$1004,$T1503)="","",INDEX(Firms!$I$5:$I$1004,$T1503)),IF(INDEX('AFA Rates'!$H$5:$H$1004,$T1503)="","",INDEX('AFA Rates'!$H$5:$H$1004,$T1503))))</f>
        <v/>
      </c>
      <c r="K1503" s="50">
        <f>IF($T1503="","",IF($S1503="S",IF(INDEX(Firms!$J$5:$J$1004,$T1503)="","",INDEX(Firms!$J$5:$J$1004,$T1503)),IF(INDEX('AFA Rates'!$I$5:$I$1004,$T1503)="","",INDEX('AFA Rates'!$I$5:$I$1004,$T1503))))</f>
        <v/>
      </c>
      <c r="L1503" s="50">
        <f>IF($T1503="","",IF($S1503="S",IF(INDEX(Firms!$K$5:$K$1004,$T1503)="","",INDEX(Firms!$K$5:$K$1004,$T1503)),IF(INDEX('AFA Rates'!$J$5:$J$1004,$T1503)="","",INDEX('AFA Rates'!$J$5:$J$1004,$T1503))))</f>
        <v/>
      </c>
      <c r="M1503" s="50">
        <f>IF($T1503="","",IF($S1503="S",IF(INDEX(Firms!$L$5:$L$1004,$T1503)="","",INDEX(Firms!$L$5:$L$1004,$T1503)),IF(INDEX('AFA Rates'!$K$5:$K$1004,$T1503)="","",INDEX('AFA Rates'!$K$5:$K$1004,$T1503))))</f>
        <v/>
      </c>
      <c r="N1503" s="50">
        <f>IF($T1503="","",IF($S1503="S",IF(INDEX(Firms!$M$5:$M$1004,$T1503)="","",INDEX(Firms!$M$5:$M$1004,$T1503)),IF(INDEX('AFA Rates'!$L$5:$L$1004,$T1503)="","",INDEX('AFA Rates'!$L$5:$L$1004,$T1503))))</f>
        <v/>
      </c>
      <c r="O1503" s="78">
        <f>IF(OR($T1503="",$U1503=""),"",IF(INDEX(Firms!$C$5:$C$1004,$U1503)="","",INDEX(Firms!$C$5:$C$1004,$U1503)))</f>
        <v/>
      </c>
      <c r="P1503" s="79">
        <f>IF(OR($T1503="",$U1503=""),"",IF(INDEX(Firms!$N$5:$N$1004,$U1503)="","",INDEX(Firms!$N$5:$N$1004,$U1503)))</f>
        <v/>
      </c>
      <c r="Q1503" s="78">
        <f>IF($T1503="","",IF($S1503="S",IF(INDEX(Firms!$T$5:$T$1004,$T1503)="","",INDEX(Firms!$T$5:$T$1004,$T1503)),IF(INDEX('AFA Rates'!$M$5:$M$1004,$T1503)="","",INDEX('AFA Rates'!$M$5:$M$1004,$T1503))))</f>
        <v/>
      </c>
      <c r="S1503">
        <f>IF(1499&lt;=$S$2,"S",IF(1499&lt;=$S$2+$T$2,"A",""))</f>
        <v/>
      </c>
      <c r="T1503">
        <f>IF(S1503="S",MATCH(1499,Firms!$W$5:$W$1004,0),IF(S1503="A",IFERROR(MATCH(1499-$S$2,'AFA Rates'!$R$5:$R$1004,0),""),""))</f>
        <v/>
      </c>
      <c r="U1503">
        <f>IF(S1503="S",T1503,IF(AND(S1503="A",T1503&lt;&gt;""),IFERROR(MATCH(INDEX('AFA Rates'!$A$5:$A$1004,T1503),Firms!$A$5:$A$1004,0),""),""))</f>
        <v/>
      </c>
    </row>
    <row r="1504">
      <c r="A1504" s="78">
        <f>IF($T1504="","",IF($S1504="S",IF(INDEX(Firms!$A$5:$A$1004,$T1504)="","",INDEX(Firms!$A$5:$A$1004,$T1504)),IF(INDEX('AFA Rates'!$A$5:$A$1004,$T1504)="","",INDEX('AFA Rates'!$A$5:$A$1004,$T1504))))</f>
        <v/>
      </c>
      <c r="B1504" s="79">
        <f>IF(OR($T1504="",$U1504=""),IF($T1504="","","Not on Firms tab"),INDEX(Firms!$B$5:$B$1004,$U1504)&amp;"")</f>
        <v/>
      </c>
      <c r="C1504" s="78">
        <f>IF($T1504="","",IF($S1504="S","Standard",INDEX('AFA Rates'!$B$5:$B$1004,$T1504)&amp;""))</f>
        <v/>
      </c>
      <c r="D1504" s="88">
        <f>IF($T1504="","",IF($S1504="S",IF(INDEX(Firms!$E$5:$E$1004,$T1504)="","",INDEX(Firms!$E$5:$E$1004,$T1504)),IF(INDEX('AFA Rates'!$C$5:$C$1004,$T1504)="","",INDEX('AFA Rates'!$C$5:$C$1004,$T1504))))</f>
        <v/>
      </c>
      <c r="E1504" s="88">
        <f>IF($T1504="","",IF($S1504="S",IF(""="","",""),IF(INDEX('AFA Rates'!$D$5:$D$1004,$T1504)="","",INDEX('AFA Rates'!$D$5:$D$1004,$T1504))))</f>
        <v/>
      </c>
      <c r="F1504" s="79">
        <f>IF($T1504="","",IF($S1504="S",IF(INDEX(Firms!$O$5:$O$1004,$T1504)="","",INDEX(Firms!$O$5:$O$1004,$T1504)),IF(INDEX('AFA Rates'!$O$5:$O$1004,$T1504)="","",INDEX('AFA Rates'!$O$5:$O$1004,$T1504))))</f>
        <v/>
      </c>
      <c r="G1504" s="50">
        <f>IF($T1504="","",IF($S1504="S",IF(INDEX(Firms!$F$5:$F$1004,$T1504)="","",INDEX(Firms!$F$5:$F$1004,$T1504)),IF(INDEX('AFA Rates'!$E$5:$E$1004,$T1504)="","",INDEX('AFA Rates'!$E$5:$E$1004,$T1504))))</f>
        <v/>
      </c>
      <c r="H1504" s="50">
        <f>IF($T1504="","",IF($S1504="S",IF(INDEX(Firms!$G$5:$G$1004,$T1504)="","",INDEX(Firms!$G$5:$G$1004,$T1504)),IF(INDEX('AFA Rates'!$F$5:$F$1004,$T1504)="","",INDEX('AFA Rates'!$F$5:$F$1004,$T1504))))</f>
        <v/>
      </c>
      <c r="I1504" s="50">
        <f>IF($T1504="","",IF($S1504="S",IF(INDEX(Firms!$H$5:$H$1004,$T1504)="","",INDEX(Firms!$H$5:$H$1004,$T1504)),IF(INDEX('AFA Rates'!$G$5:$G$1004,$T1504)="","",INDEX('AFA Rates'!$G$5:$G$1004,$T1504))))</f>
        <v/>
      </c>
      <c r="J1504" s="50">
        <f>IF($T1504="","",IF($S1504="S",IF(INDEX(Firms!$I$5:$I$1004,$T1504)="","",INDEX(Firms!$I$5:$I$1004,$T1504)),IF(INDEX('AFA Rates'!$H$5:$H$1004,$T1504)="","",INDEX('AFA Rates'!$H$5:$H$1004,$T1504))))</f>
        <v/>
      </c>
      <c r="K1504" s="50">
        <f>IF($T1504="","",IF($S1504="S",IF(INDEX(Firms!$J$5:$J$1004,$T1504)="","",INDEX(Firms!$J$5:$J$1004,$T1504)),IF(INDEX('AFA Rates'!$I$5:$I$1004,$T1504)="","",INDEX('AFA Rates'!$I$5:$I$1004,$T1504))))</f>
        <v/>
      </c>
      <c r="L1504" s="50">
        <f>IF($T1504="","",IF($S1504="S",IF(INDEX(Firms!$K$5:$K$1004,$T1504)="","",INDEX(Firms!$K$5:$K$1004,$T1504)),IF(INDEX('AFA Rates'!$J$5:$J$1004,$T1504)="","",INDEX('AFA Rates'!$J$5:$J$1004,$T1504))))</f>
        <v/>
      </c>
      <c r="M1504" s="50">
        <f>IF($T1504="","",IF($S1504="S",IF(INDEX(Firms!$L$5:$L$1004,$T1504)="","",INDEX(Firms!$L$5:$L$1004,$T1504)),IF(INDEX('AFA Rates'!$K$5:$K$1004,$T1504)="","",INDEX('AFA Rates'!$K$5:$K$1004,$T1504))))</f>
        <v/>
      </c>
      <c r="N1504" s="50">
        <f>IF($T1504="","",IF($S1504="S",IF(INDEX(Firms!$M$5:$M$1004,$T1504)="","",INDEX(Firms!$M$5:$M$1004,$T1504)),IF(INDEX('AFA Rates'!$L$5:$L$1004,$T1504)="","",INDEX('AFA Rates'!$L$5:$L$1004,$T1504))))</f>
        <v/>
      </c>
      <c r="O1504" s="78">
        <f>IF(OR($T1504="",$U1504=""),"",IF(INDEX(Firms!$C$5:$C$1004,$U1504)="","",INDEX(Firms!$C$5:$C$1004,$U1504)))</f>
        <v/>
      </c>
      <c r="P1504" s="79">
        <f>IF(OR($T1504="",$U1504=""),"",IF(INDEX(Firms!$N$5:$N$1004,$U1504)="","",INDEX(Firms!$N$5:$N$1004,$U1504)))</f>
        <v/>
      </c>
      <c r="Q1504" s="78">
        <f>IF($T1504="","",IF($S1504="S",IF(INDEX(Firms!$T$5:$T$1004,$T1504)="","",INDEX(Firms!$T$5:$T$1004,$T1504)),IF(INDEX('AFA Rates'!$M$5:$M$1004,$T1504)="","",INDEX('AFA Rates'!$M$5:$M$1004,$T1504))))</f>
        <v/>
      </c>
      <c r="S1504">
        <f>IF(1500&lt;=$S$2,"S",IF(1500&lt;=$S$2+$T$2,"A",""))</f>
        <v/>
      </c>
      <c r="T1504">
        <f>IF(S1504="S",MATCH(1500,Firms!$W$5:$W$1004,0),IF(S1504="A",IFERROR(MATCH(1500-$S$2,'AFA Rates'!$R$5:$R$1004,0),""),""))</f>
        <v/>
      </c>
      <c r="U1504">
        <f>IF(S1504="S",T1504,IF(AND(S1504="A",T1504&lt;&gt;""),IFERROR(MATCH(INDEX('AFA Rates'!$A$5:$A$1004,T1504),Firms!$A$5:$A$1004,0),""),""))</f>
        <v/>
      </c>
    </row>
    <row r="1505">
      <c r="A1505" s="78">
        <f>IF($T1505="","",IF($S1505="S",IF(INDEX(Firms!$A$5:$A$1004,$T1505)="","",INDEX(Firms!$A$5:$A$1004,$T1505)),IF(INDEX('AFA Rates'!$A$5:$A$1004,$T1505)="","",INDEX('AFA Rates'!$A$5:$A$1004,$T1505))))</f>
        <v/>
      </c>
      <c r="B1505" s="79">
        <f>IF(OR($T1505="",$U1505=""),IF($T1505="","","Not on Firms tab"),INDEX(Firms!$B$5:$B$1004,$U1505)&amp;"")</f>
        <v/>
      </c>
      <c r="C1505" s="78">
        <f>IF($T1505="","",IF($S1505="S","Standard",INDEX('AFA Rates'!$B$5:$B$1004,$T1505)&amp;""))</f>
        <v/>
      </c>
      <c r="D1505" s="88">
        <f>IF($T1505="","",IF($S1505="S",IF(INDEX(Firms!$E$5:$E$1004,$T1505)="","",INDEX(Firms!$E$5:$E$1004,$T1505)),IF(INDEX('AFA Rates'!$C$5:$C$1004,$T1505)="","",INDEX('AFA Rates'!$C$5:$C$1004,$T1505))))</f>
        <v/>
      </c>
      <c r="E1505" s="88">
        <f>IF($T1505="","",IF($S1505="S",IF(""="","",""),IF(INDEX('AFA Rates'!$D$5:$D$1004,$T1505)="","",INDEX('AFA Rates'!$D$5:$D$1004,$T1505))))</f>
        <v/>
      </c>
      <c r="F1505" s="79">
        <f>IF($T1505="","",IF($S1505="S",IF(INDEX(Firms!$O$5:$O$1004,$T1505)="","",INDEX(Firms!$O$5:$O$1004,$T1505)),IF(INDEX('AFA Rates'!$O$5:$O$1004,$T1505)="","",INDEX('AFA Rates'!$O$5:$O$1004,$T1505))))</f>
        <v/>
      </c>
      <c r="G1505" s="50">
        <f>IF($T1505="","",IF($S1505="S",IF(INDEX(Firms!$F$5:$F$1004,$T1505)="","",INDEX(Firms!$F$5:$F$1004,$T1505)),IF(INDEX('AFA Rates'!$E$5:$E$1004,$T1505)="","",INDEX('AFA Rates'!$E$5:$E$1004,$T1505))))</f>
        <v/>
      </c>
      <c r="H1505" s="50">
        <f>IF($T1505="","",IF($S1505="S",IF(INDEX(Firms!$G$5:$G$1004,$T1505)="","",INDEX(Firms!$G$5:$G$1004,$T1505)),IF(INDEX('AFA Rates'!$F$5:$F$1004,$T1505)="","",INDEX('AFA Rates'!$F$5:$F$1004,$T1505))))</f>
        <v/>
      </c>
      <c r="I1505" s="50">
        <f>IF($T1505="","",IF($S1505="S",IF(INDEX(Firms!$H$5:$H$1004,$T1505)="","",INDEX(Firms!$H$5:$H$1004,$T1505)),IF(INDEX('AFA Rates'!$G$5:$G$1004,$T1505)="","",INDEX('AFA Rates'!$G$5:$G$1004,$T1505))))</f>
        <v/>
      </c>
      <c r="J1505" s="50">
        <f>IF($T1505="","",IF($S1505="S",IF(INDEX(Firms!$I$5:$I$1004,$T1505)="","",INDEX(Firms!$I$5:$I$1004,$T1505)),IF(INDEX('AFA Rates'!$H$5:$H$1004,$T1505)="","",INDEX('AFA Rates'!$H$5:$H$1004,$T1505))))</f>
        <v/>
      </c>
      <c r="K1505" s="50">
        <f>IF($T1505="","",IF($S1505="S",IF(INDEX(Firms!$J$5:$J$1004,$T1505)="","",INDEX(Firms!$J$5:$J$1004,$T1505)),IF(INDEX('AFA Rates'!$I$5:$I$1004,$T1505)="","",INDEX('AFA Rates'!$I$5:$I$1004,$T1505))))</f>
        <v/>
      </c>
      <c r="L1505" s="50">
        <f>IF($T1505="","",IF($S1505="S",IF(INDEX(Firms!$K$5:$K$1004,$T1505)="","",INDEX(Firms!$K$5:$K$1004,$T1505)),IF(INDEX('AFA Rates'!$J$5:$J$1004,$T1505)="","",INDEX('AFA Rates'!$J$5:$J$1004,$T1505))))</f>
        <v/>
      </c>
      <c r="M1505" s="50">
        <f>IF($T1505="","",IF($S1505="S",IF(INDEX(Firms!$L$5:$L$1004,$T1505)="","",INDEX(Firms!$L$5:$L$1004,$T1505)),IF(INDEX('AFA Rates'!$K$5:$K$1004,$T1505)="","",INDEX('AFA Rates'!$K$5:$K$1004,$T1505))))</f>
        <v/>
      </c>
      <c r="N1505" s="50">
        <f>IF($T1505="","",IF($S1505="S",IF(INDEX(Firms!$M$5:$M$1004,$T1505)="","",INDEX(Firms!$M$5:$M$1004,$T1505)),IF(INDEX('AFA Rates'!$L$5:$L$1004,$T1505)="","",INDEX('AFA Rates'!$L$5:$L$1004,$T1505))))</f>
        <v/>
      </c>
      <c r="O1505" s="78">
        <f>IF(OR($T1505="",$U1505=""),"",IF(INDEX(Firms!$C$5:$C$1004,$U1505)="","",INDEX(Firms!$C$5:$C$1004,$U1505)))</f>
        <v/>
      </c>
      <c r="P1505" s="79">
        <f>IF(OR($T1505="",$U1505=""),"",IF(INDEX(Firms!$N$5:$N$1004,$U1505)="","",INDEX(Firms!$N$5:$N$1004,$U1505)))</f>
        <v/>
      </c>
      <c r="Q1505" s="78">
        <f>IF($T1505="","",IF($S1505="S",IF(INDEX(Firms!$T$5:$T$1004,$T1505)="","",INDEX(Firms!$T$5:$T$1004,$T1505)),IF(INDEX('AFA Rates'!$M$5:$M$1004,$T1505)="","",INDEX('AFA Rates'!$M$5:$M$1004,$T1505))))</f>
        <v/>
      </c>
      <c r="S1505">
        <f>IF(1501&lt;=$S$2,"S",IF(1501&lt;=$S$2+$T$2,"A",""))</f>
        <v/>
      </c>
      <c r="T1505">
        <f>IF(S1505="S",MATCH(1501,Firms!$W$5:$W$1004,0),IF(S1505="A",IFERROR(MATCH(1501-$S$2,'AFA Rates'!$R$5:$R$1004,0),""),""))</f>
        <v/>
      </c>
      <c r="U1505">
        <f>IF(S1505="S",T1505,IF(AND(S1505="A",T1505&lt;&gt;""),IFERROR(MATCH(INDEX('AFA Rates'!$A$5:$A$1004,T1505),Firms!$A$5:$A$1004,0),""),""))</f>
        <v/>
      </c>
    </row>
    <row r="1506">
      <c r="A1506" s="78">
        <f>IF($T1506="","",IF($S1506="S",IF(INDEX(Firms!$A$5:$A$1004,$T1506)="","",INDEX(Firms!$A$5:$A$1004,$T1506)),IF(INDEX('AFA Rates'!$A$5:$A$1004,$T1506)="","",INDEX('AFA Rates'!$A$5:$A$1004,$T1506))))</f>
        <v/>
      </c>
      <c r="B1506" s="79">
        <f>IF(OR($T1506="",$U1506=""),IF($T1506="","","Not on Firms tab"),INDEX(Firms!$B$5:$B$1004,$U1506)&amp;"")</f>
        <v/>
      </c>
      <c r="C1506" s="78">
        <f>IF($T1506="","",IF($S1506="S","Standard",INDEX('AFA Rates'!$B$5:$B$1004,$T1506)&amp;""))</f>
        <v/>
      </c>
      <c r="D1506" s="88">
        <f>IF($T1506="","",IF($S1506="S",IF(INDEX(Firms!$E$5:$E$1004,$T1506)="","",INDEX(Firms!$E$5:$E$1004,$T1506)),IF(INDEX('AFA Rates'!$C$5:$C$1004,$T1506)="","",INDEX('AFA Rates'!$C$5:$C$1004,$T1506))))</f>
        <v/>
      </c>
      <c r="E1506" s="88">
        <f>IF($T1506="","",IF($S1506="S",IF(""="","",""),IF(INDEX('AFA Rates'!$D$5:$D$1004,$T1506)="","",INDEX('AFA Rates'!$D$5:$D$1004,$T1506))))</f>
        <v/>
      </c>
      <c r="F1506" s="79">
        <f>IF($T1506="","",IF($S1506="S",IF(INDEX(Firms!$O$5:$O$1004,$T1506)="","",INDEX(Firms!$O$5:$O$1004,$T1506)),IF(INDEX('AFA Rates'!$O$5:$O$1004,$T1506)="","",INDEX('AFA Rates'!$O$5:$O$1004,$T1506))))</f>
        <v/>
      </c>
      <c r="G1506" s="50">
        <f>IF($T1506="","",IF($S1506="S",IF(INDEX(Firms!$F$5:$F$1004,$T1506)="","",INDEX(Firms!$F$5:$F$1004,$T1506)),IF(INDEX('AFA Rates'!$E$5:$E$1004,$T1506)="","",INDEX('AFA Rates'!$E$5:$E$1004,$T1506))))</f>
        <v/>
      </c>
      <c r="H1506" s="50">
        <f>IF($T1506="","",IF($S1506="S",IF(INDEX(Firms!$G$5:$G$1004,$T1506)="","",INDEX(Firms!$G$5:$G$1004,$T1506)),IF(INDEX('AFA Rates'!$F$5:$F$1004,$T1506)="","",INDEX('AFA Rates'!$F$5:$F$1004,$T1506))))</f>
        <v/>
      </c>
      <c r="I1506" s="50">
        <f>IF($T1506="","",IF($S1506="S",IF(INDEX(Firms!$H$5:$H$1004,$T1506)="","",INDEX(Firms!$H$5:$H$1004,$T1506)),IF(INDEX('AFA Rates'!$G$5:$G$1004,$T1506)="","",INDEX('AFA Rates'!$G$5:$G$1004,$T1506))))</f>
        <v/>
      </c>
      <c r="J1506" s="50">
        <f>IF($T1506="","",IF($S1506="S",IF(INDEX(Firms!$I$5:$I$1004,$T1506)="","",INDEX(Firms!$I$5:$I$1004,$T1506)),IF(INDEX('AFA Rates'!$H$5:$H$1004,$T1506)="","",INDEX('AFA Rates'!$H$5:$H$1004,$T1506))))</f>
        <v/>
      </c>
      <c r="K1506" s="50">
        <f>IF($T1506="","",IF($S1506="S",IF(INDEX(Firms!$J$5:$J$1004,$T1506)="","",INDEX(Firms!$J$5:$J$1004,$T1506)),IF(INDEX('AFA Rates'!$I$5:$I$1004,$T1506)="","",INDEX('AFA Rates'!$I$5:$I$1004,$T1506))))</f>
        <v/>
      </c>
      <c r="L1506" s="50">
        <f>IF($T1506="","",IF($S1506="S",IF(INDEX(Firms!$K$5:$K$1004,$T1506)="","",INDEX(Firms!$K$5:$K$1004,$T1506)),IF(INDEX('AFA Rates'!$J$5:$J$1004,$T1506)="","",INDEX('AFA Rates'!$J$5:$J$1004,$T1506))))</f>
        <v/>
      </c>
      <c r="M1506" s="50">
        <f>IF($T1506="","",IF($S1506="S",IF(INDEX(Firms!$L$5:$L$1004,$T1506)="","",INDEX(Firms!$L$5:$L$1004,$T1506)),IF(INDEX('AFA Rates'!$K$5:$K$1004,$T1506)="","",INDEX('AFA Rates'!$K$5:$K$1004,$T1506))))</f>
        <v/>
      </c>
      <c r="N1506" s="50">
        <f>IF($T1506="","",IF($S1506="S",IF(INDEX(Firms!$M$5:$M$1004,$T1506)="","",INDEX(Firms!$M$5:$M$1004,$T1506)),IF(INDEX('AFA Rates'!$L$5:$L$1004,$T1506)="","",INDEX('AFA Rates'!$L$5:$L$1004,$T1506))))</f>
        <v/>
      </c>
      <c r="O1506" s="78">
        <f>IF(OR($T1506="",$U1506=""),"",IF(INDEX(Firms!$C$5:$C$1004,$U1506)="","",INDEX(Firms!$C$5:$C$1004,$U1506)))</f>
        <v/>
      </c>
      <c r="P1506" s="79">
        <f>IF(OR($T1506="",$U1506=""),"",IF(INDEX(Firms!$N$5:$N$1004,$U1506)="","",INDEX(Firms!$N$5:$N$1004,$U1506)))</f>
        <v/>
      </c>
      <c r="Q1506" s="78">
        <f>IF($T1506="","",IF($S1506="S",IF(INDEX(Firms!$T$5:$T$1004,$T1506)="","",INDEX(Firms!$T$5:$T$1004,$T1506)),IF(INDEX('AFA Rates'!$M$5:$M$1004,$T1506)="","",INDEX('AFA Rates'!$M$5:$M$1004,$T1506))))</f>
        <v/>
      </c>
      <c r="S1506">
        <f>IF(1502&lt;=$S$2,"S",IF(1502&lt;=$S$2+$T$2,"A",""))</f>
        <v/>
      </c>
      <c r="T1506">
        <f>IF(S1506="S",MATCH(1502,Firms!$W$5:$W$1004,0),IF(S1506="A",IFERROR(MATCH(1502-$S$2,'AFA Rates'!$R$5:$R$1004,0),""),""))</f>
        <v/>
      </c>
      <c r="U1506">
        <f>IF(S1506="S",T1506,IF(AND(S1506="A",T1506&lt;&gt;""),IFERROR(MATCH(INDEX('AFA Rates'!$A$5:$A$1004,T1506),Firms!$A$5:$A$1004,0),""),""))</f>
        <v/>
      </c>
    </row>
    <row r="1507">
      <c r="A1507" s="78">
        <f>IF($T1507="","",IF($S1507="S",IF(INDEX(Firms!$A$5:$A$1004,$T1507)="","",INDEX(Firms!$A$5:$A$1004,$T1507)),IF(INDEX('AFA Rates'!$A$5:$A$1004,$T1507)="","",INDEX('AFA Rates'!$A$5:$A$1004,$T1507))))</f>
        <v/>
      </c>
      <c r="B1507" s="79">
        <f>IF(OR($T1507="",$U1507=""),IF($T1507="","","Not on Firms tab"),INDEX(Firms!$B$5:$B$1004,$U1507)&amp;"")</f>
        <v/>
      </c>
      <c r="C1507" s="78">
        <f>IF($T1507="","",IF($S1507="S","Standard",INDEX('AFA Rates'!$B$5:$B$1004,$T1507)&amp;""))</f>
        <v/>
      </c>
      <c r="D1507" s="88">
        <f>IF($T1507="","",IF($S1507="S",IF(INDEX(Firms!$E$5:$E$1004,$T1507)="","",INDEX(Firms!$E$5:$E$1004,$T1507)),IF(INDEX('AFA Rates'!$C$5:$C$1004,$T1507)="","",INDEX('AFA Rates'!$C$5:$C$1004,$T1507))))</f>
        <v/>
      </c>
      <c r="E1507" s="88">
        <f>IF($T1507="","",IF($S1507="S",IF(""="","",""),IF(INDEX('AFA Rates'!$D$5:$D$1004,$T1507)="","",INDEX('AFA Rates'!$D$5:$D$1004,$T1507))))</f>
        <v/>
      </c>
      <c r="F1507" s="79">
        <f>IF($T1507="","",IF($S1507="S",IF(INDEX(Firms!$O$5:$O$1004,$T1507)="","",INDEX(Firms!$O$5:$O$1004,$T1507)),IF(INDEX('AFA Rates'!$O$5:$O$1004,$T1507)="","",INDEX('AFA Rates'!$O$5:$O$1004,$T1507))))</f>
        <v/>
      </c>
      <c r="G1507" s="50">
        <f>IF($T1507="","",IF($S1507="S",IF(INDEX(Firms!$F$5:$F$1004,$T1507)="","",INDEX(Firms!$F$5:$F$1004,$T1507)),IF(INDEX('AFA Rates'!$E$5:$E$1004,$T1507)="","",INDEX('AFA Rates'!$E$5:$E$1004,$T1507))))</f>
        <v/>
      </c>
      <c r="H1507" s="50">
        <f>IF($T1507="","",IF($S1507="S",IF(INDEX(Firms!$G$5:$G$1004,$T1507)="","",INDEX(Firms!$G$5:$G$1004,$T1507)),IF(INDEX('AFA Rates'!$F$5:$F$1004,$T1507)="","",INDEX('AFA Rates'!$F$5:$F$1004,$T1507))))</f>
        <v/>
      </c>
      <c r="I1507" s="50">
        <f>IF($T1507="","",IF($S1507="S",IF(INDEX(Firms!$H$5:$H$1004,$T1507)="","",INDEX(Firms!$H$5:$H$1004,$T1507)),IF(INDEX('AFA Rates'!$G$5:$G$1004,$T1507)="","",INDEX('AFA Rates'!$G$5:$G$1004,$T1507))))</f>
        <v/>
      </c>
      <c r="J1507" s="50">
        <f>IF($T1507="","",IF($S1507="S",IF(INDEX(Firms!$I$5:$I$1004,$T1507)="","",INDEX(Firms!$I$5:$I$1004,$T1507)),IF(INDEX('AFA Rates'!$H$5:$H$1004,$T1507)="","",INDEX('AFA Rates'!$H$5:$H$1004,$T1507))))</f>
        <v/>
      </c>
      <c r="K1507" s="50">
        <f>IF($T1507="","",IF($S1507="S",IF(INDEX(Firms!$J$5:$J$1004,$T1507)="","",INDEX(Firms!$J$5:$J$1004,$T1507)),IF(INDEX('AFA Rates'!$I$5:$I$1004,$T1507)="","",INDEX('AFA Rates'!$I$5:$I$1004,$T1507))))</f>
        <v/>
      </c>
      <c r="L1507" s="50">
        <f>IF($T1507="","",IF($S1507="S",IF(INDEX(Firms!$K$5:$K$1004,$T1507)="","",INDEX(Firms!$K$5:$K$1004,$T1507)),IF(INDEX('AFA Rates'!$J$5:$J$1004,$T1507)="","",INDEX('AFA Rates'!$J$5:$J$1004,$T1507))))</f>
        <v/>
      </c>
      <c r="M1507" s="50">
        <f>IF($T1507="","",IF($S1507="S",IF(INDEX(Firms!$L$5:$L$1004,$T1507)="","",INDEX(Firms!$L$5:$L$1004,$T1507)),IF(INDEX('AFA Rates'!$K$5:$K$1004,$T1507)="","",INDEX('AFA Rates'!$K$5:$K$1004,$T1507))))</f>
        <v/>
      </c>
      <c r="N1507" s="50">
        <f>IF($T1507="","",IF($S1507="S",IF(INDEX(Firms!$M$5:$M$1004,$T1507)="","",INDEX(Firms!$M$5:$M$1004,$T1507)),IF(INDEX('AFA Rates'!$L$5:$L$1004,$T1507)="","",INDEX('AFA Rates'!$L$5:$L$1004,$T1507))))</f>
        <v/>
      </c>
      <c r="O1507" s="78">
        <f>IF(OR($T1507="",$U1507=""),"",IF(INDEX(Firms!$C$5:$C$1004,$U1507)="","",INDEX(Firms!$C$5:$C$1004,$U1507)))</f>
        <v/>
      </c>
      <c r="P1507" s="79">
        <f>IF(OR($T1507="",$U1507=""),"",IF(INDEX(Firms!$N$5:$N$1004,$U1507)="","",INDEX(Firms!$N$5:$N$1004,$U1507)))</f>
        <v/>
      </c>
      <c r="Q1507" s="78">
        <f>IF($T1507="","",IF($S1507="S",IF(INDEX(Firms!$T$5:$T$1004,$T1507)="","",INDEX(Firms!$T$5:$T$1004,$T1507)),IF(INDEX('AFA Rates'!$M$5:$M$1004,$T1507)="","",INDEX('AFA Rates'!$M$5:$M$1004,$T1507))))</f>
        <v/>
      </c>
      <c r="S1507">
        <f>IF(1503&lt;=$S$2,"S",IF(1503&lt;=$S$2+$T$2,"A",""))</f>
        <v/>
      </c>
      <c r="T1507">
        <f>IF(S1507="S",MATCH(1503,Firms!$W$5:$W$1004,0),IF(S1507="A",IFERROR(MATCH(1503-$S$2,'AFA Rates'!$R$5:$R$1004,0),""),""))</f>
        <v/>
      </c>
      <c r="U1507">
        <f>IF(S1507="S",T1507,IF(AND(S1507="A",T1507&lt;&gt;""),IFERROR(MATCH(INDEX('AFA Rates'!$A$5:$A$1004,T1507),Firms!$A$5:$A$1004,0),""),""))</f>
        <v/>
      </c>
    </row>
    <row r="1508">
      <c r="A1508" s="78">
        <f>IF($T1508="","",IF($S1508="S",IF(INDEX(Firms!$A$5:$A$1004,$T1508)="","",INDEX(Firms!$A$5:$A$1004,$T1508)),IF(INDEX('AFA Rates'!$A$5:$A$1004,$T1508)="","",INDEX('AFA Rates'!$A$5:$A$1004,$T1508))))</f>
        <v/>
      </c>
      <c r="B1508" s="79">
        <f>IF(OR($T1508="",$U1508=""),IF($T1508="","","Not on Firms tab"),INDEX(Firms!$B$5:$B$1004,$U1508)&amp;"")</f>
        <v/>
      </c>
      <c r="C1508" s="78">
        <f>IF($T1508="","",IF($S1508="S","Standard",INDEX('AFA Rates'!$B$5:$B$1004,$T1508)&amp;""))</f>
        <v/>
      </c>
      <c r="D1508" s="88">
        <f>IF($T1508="","",IF($S1508="S",IF(INDEX(Firms!$E$5:$E$1004,$T1508)="","",INDEX(Firms!$E$5:$E$1004,$T1508)),IF(INDEX('AFA Rates'!$C$5:$C$1004,$T1508)="","",INDEX('AFA Rates'!$C$5:$C$1004,$T1508))))</f>
        <v/>
      </c>
      <c r="E1508" s="88">
        <f>IF($T1508="","",IF($S1508="S",IF(""="","",""),IF(INDEX('AFA Rates'!$D$5:$D$1004,$T1508)="","",INDEX('AFA Rates'!$D$5:$D$1004,$T1508))))</f>
        <v/>
      </c>
      <c r="F1508" s="79">
        <f>IF($T1508="","",IF($S1508="S",IF(INDEX(Firms!$O$5:$O$1004,$T1508)="","",INDEX(Firms!$O$5:$O$1004,$T1508)),IF(INDEX('AFA Rates'!$O$5:$O$1004,$T1508)="","",INDEX('AFA Rates'!$O$5:$O$1004,$T1508))))</f>
        <v/>
      </c>
      <c r="G1508" s="50">
        <f>IF($T1508="","",IF($S1508="S",IF(INDEX(Firms!$F$5:$F$1004,$T1508)="","",INDEX(Firms!$F$5:$F$1004,$T1508)),IF(INDEX('AFA Rates'!$E$5:$E$1004,$T1508)="","",INDEX('AFA Rates'!$E$5:$E$1004,$T1508))))</f>
        <v/>
      </c>
      <c r="H1508" s="50">
        <f>IF($T1508="","",IF($S1508="S",IF(INDEX(Firms!$G$5:$G$1004,$T1508)="","",INDEX(Firms!$G$5:$G$1004,$T1508)),IF(INDEX('AFA Rates'!$F$5:$F$1004,$T1508)="","",INDEX('AFA Rates'!$F$5:$F$1004,$T1508))))</f>
        <v/>
      </c>
      <c r="I1508" s="50">
        <f>IF($T1508="","",IF($S1508="S",IF(INDEX(Firms!$H$5:$H$1004,$T1508)="","",INDEX(Firms!$H$5:$H$1004,$T1508)),IF(INDEX('AFA Rates'!$G$5:$G$1004,$T1508)="","",INDEX('AFA Rates'!$G$5:$G$1004,$T1508))))</f>
        <v/>
      </c>
      <c r="J1508" s="50">
        <f>IF($T1508="","",IF($S1508="S",IF(INDEX(Firms!$I$5:$I$1004,$T1508)="","",INDEX(Firms!$I$5:$I$1004,$T1508)),IF(INDEX('AFA Rates'!$H$5:$H$1004,$T1508)="","",INDEX('AFA Rates'!$H$5:$H$1004,$T1508))))</f>
        <v/>
      </c>
      <c r="K1508" s="50">
        <f>IF($T1508="","",IF($S1508="S",IF(INDEX(Firms!$J$5:$J$1004,$T1508)="","",INDEX(Firms!$J$5:$J$1004,$T1508)),IF(INDEX('AFA Rates'!$I$5:$I$1004,$T1508)="","",INDEX('AFA Rates'!$I$5:$I$1004,$T1508))))</f>
        <v/>
      </c>
      <c r="L1508" s="50">
        <f>IF($T1508="","",IF($S1508="S",IF(INDEX(Firms!$K$5:$K$1004,$T1508)="","",INDEX(Firms!$K$5:$K$1004,$T1508)),IF(INDEX('AFA Rates'!$J$5:$J$1004,$T1508)="","",INDEX('AFA Rates'!$J$5:$J$1004,$T1508))))</f>
        <v/>
      </c>
      <c r="M1508" s="50">
        <f>IF($T1508="","",IF($S1508="S",IF(INDEX(Firms!$L$5:$L$1004,$T1508)="","",INDEX(Firms!$L$5:$L$1004,$T1508)),IF(INDEX('AFA Rates'!$K$5:$K$1004,$T1508)="","",INDEX('AFA Rates'!$K$5:$K$1004,$T1508))))</f>
        <v/>
      </c>
      <c r="N1508" s="50">
        <f>IF($T1508="","",IF($S1508="S",IF(INDEX(Firms!$M$5:$M$1004,$T1508)="","",INDEX(Firms!$M$5:$M$1004,$T1508)),IF(INDEX('AFA Rates'!$L$5:$L$1004,$T1508)="","",INDEX('AFA Rates'!$L$5:$L$1004,$T1508))))</f>
        <v/>
      </c>
      <c r="O1508" s="78">
        <f>IF(OR($T1508="",$U1508=""),"",IF(INDEX(Firms!$C$5:$C$1004,$U1508)="","",INDEX(Firms!$C$5:$C$1004,$U1508)))</f>
        <v/>
      </c>
      <c r="P1508" s="79">
        <f>IF(OR($T1508="",$U1508=""),"",IF(INDEX(Firms!$N$5:$N$1004,$U1508)="","",INDEX(Firms!$N$5:$N$1004,$U1508)))</f>
        <v/>
      </c>
      <c r="Q1508" s="78">
        <f>IF($T1508="","",IF($S1508="S",IF(INDEX(Firms!$T$5:$T$1004,$T1508)="","",INDEX(Firms!$T$5:$T$1004,$T1508)),IF(INDEX('AFA Rates'!$M$5:$M$1004,$T1508)="","",INDEX('AFA Rates'!$M$5:$M$1004,$T1508))))</f>
        <v/>
      </c>
      <c r="S1508">
        <f>IF(1504&lt;=$S$2,"S",IF(1504&lt;=$S$2+$T$2,"A",""))</f>
        <v/>
      </c>
      <c r="T1508">
        <f>IF(S1508="S",MATCH(1504,Firms!$W$5:$W$1004,0),IF(S1508="A",IFERROR(MATCH(1504-$S$2,'AFA Rates'!$R$5:$R$1004,0),""),""))</f>
        <v/>
      </c>
      <c r="U1508">
        <f>IF(S1508="S",T1508,IF(AND(S1508="A",T1508&lt;&gt;""),IFERROR(MATCH(INDEX('AFA Rates'!$A$5:$A$1004,T1508),Firms!$A$5:$A$1004,0),""),""))</f>
        <v/>
      </c>
    </row>
    <row r="1509">
      <c r="A1509" s="78">
        <f>IF($T1509="","",IF($S1509="S",IF(INDEX(Firms!$A$5:$A$1004,$T1509)="","",INDEX(Firms!$A$5:$A$1004,$T1509)),IF(INDEX('AFA Rates'!$A$5:$A$1004,$T1509)="","",INDEX('AFA Rates'!$A$5:$A$1004,$T1509))))</f>
        <v/>
      </c>
      <c r="B1509" s="79">
        <f>IF(OR($T1509="",$U1509=""),IF($T1509="","","Not on Firms tab"),INDEX(Firms!$B$5:$B$1004,$U1509)&amp;"")</f>
        <v/>
      </c>
      <c r="C1509" s="78">
        <f>IF($T1509="","",IF($S1509="S","Standard",INDEX('AFA Rates'!$B$5:$B$1004,$T1509)&amp;""))</f>
        <v/>
      </c>
      <c r="D1509" s="88">
        <f>IF($T1509="","",IF($S1509="S",IF(INDEX(Firms!$E$5:$E$1004,$T1509)="","",INDEX(Firms!$E$5:$E$1004,$T1509)),IF(INDEX('AFA Rates'!$C$5:$C$1004,$T1509)="","",INDEX('AFA Rates'!$C$5:$C$1004,$T1509))))</f>
        <v/>
      </c>
      <c r="E1509" s="88">
        <f>IF($T1509="","",IF($S1509="S",IF(""="","",""),IF(INDEX('AFA Rates'!$D$5:$D$1004,$T1509)="","",INDEX('AFA Rates'!$D$5:$D$1004,$T1509))))</f>
        <v/>
      </c>
      <c r="F1509" s="79">
        <f>IF($T1509="","",IF($S1509="S",IF(INDEX(Firms!$O$5:$O$1004,$T1509)="","",INDEX(Firms!$O$5:$O$1004,$T1509)),IF(INDEX('AFA Rates'!$O$5:$O$1004,$T1509)="","",INDEX('AFA Rates'!$O$5:$O$1004,$T1509))))</f>
        <v/>
      </c>
      <c r="G1509" s="50">
        <f>IF($T1509="","",IF($S1509="S",IF(INDEX(Firms!$F$5:$F$1004,$T1509)="","",INDEX(Firms!$F$5:$F$1004,$T1509)),IF(INDEX('AFA Rates'!$E$5:$E$1004,$T1509)="","",INDEX('AFA Rates'!$E$5:$E$1004,$T1509))))</f>
        <v/>
      </c>
      <c r="H1509" s="50">
        <f>IF($T1509="","",IF($S1509="S",IF(INDEX(Firms!$G$5:$G$1004,$T1509)="","",INDEX(Firms!$G$5:$G$1004,$T1509)),IF(INDEX('AFA Rates'!$F$5:$F$1004,$T1509)="","",INDEX('AFA Rates'!$F$5:$F$1004,$T1509))))</f>
        <v/>
      </c>
      <c r="I1509" s="50">
        <f>IF($T1509="","",IF($S1509="S",IF(INDEX(Firms!$H$5:$H$1004,$T1509)="","",INDEX(Firms!$H$5:$H$1004,$T1509)),IF(INDEX('AFA Rates'!$G$5:$G$1004,$T1509)="","",INDEX('AFA Rates'!$G$5:$G$1004,$T1509))))</f>
        <v/>
      </c>
      <c r="J1509" s="50">
        <f>IF($T1509="","",IF($S1509="S",IF(INDEX(Firms!$I$5:$I$1004,$T1509)="","",INDEX(Firms!$I$5:$I$1004,$T1509)),IF(INDEX('AFA Rates'!$H$5:$H$1004,$T1509)="","",INDEX('AFA Rates'!$H$5:$H$1004,$T1509))))</f>
        <v/>
      </c>
      <c r="K1509" s="50">
        <f>IF($T1509="","",IF($S1509="S",IF(INDEX(Firms!$J$5:$J$1004,$T1509)="","",INDEX(Firms!$J$5:$J$1004,$T1509)),IF(INDEX('AFA Rates'!$I$5:$I$1004,$T1509)="","",INDEX('AFA Rates'!$I$5:$I$1004,$T1509))))</f>
        <v/>
      </c>
      <c r="L1509" s="50">
        <f>IF($T1509="","",IF($S1509="S",IF(INDEX(Firms!$K$5:$K$1004,$T1509)="","",INDEX(Firms!$K$5:$K$1004,$T1509)),IF(INDEX('AFA Rates'!$J$5:$J$1004,$T1509)="","",INDEX('AFA Rates'!$J$5:$J$1004,$T1509))))</f>
        <v/>
      </c>
      <c r="M1509" s="50">
        <f>IF($T1509="","",IF($S1509="S",IF(INDEX(Firms!$L$5:$L$1004,$T1509)="","",INDEX(Firms!$L$5:$L$1004,$T1509)),IF(INDEX('AFA Rates'!$K$5:$K$1004,$T1509)="","",INDEX('AFA Rates'!$K$5:$K$1004,$T1509))))</f>
        <v/>
      </c>
      <c r="N1509" s="50">
        <f>IF($T1509="","",IF($S1509="S",IF(INDEX(Firms!$M$5:$M$1004,$T1509)="","",INDEX(Firms!$M$5:$M$1004,$T1509)),IF(INDEX('AFA Rates'!$L$5:$L$1004,$T1509)="","",INDEX('AFA Rates'!$L$5:$L$1004,$T1509))))</f>
        <v/>
      </c>
      <c r="O1509" s="78">
        <f>IF(OR($T1509="",$U1509=""),"",IF(INDEX(Firms!$C$5:$C$1004,$U1509)="","",INDEX(Firms!$C$5:$C$1004,$U1509)))</f>
        <v/>
      </c>
      <c r="P1509" s="79">
        <f>IF(OR($T1509="",$U1509=""),"",IF(INDEX(Firms!$N$5:$N$1004,$U1509)="","",INDEX(Firms!$N$5:$N$1004,$U1509)))</f>
        <v/>
      </c>
      <c r="Q1509" s="78">
        <f>IF($T1509="","",IF($S1509="S",IF(INDEX(Firms!$T$5:$T$1004,$T1509)="","",INDEX(Firms!$T$5:$T$1004,$T1509)),IF(INDEX('AFA Rates'!$M$5:$M$1004,$T1509)="","",INDEX('AFA Rates'!$M$5:$M$1004,$T1509))))</f>
        <v/>
      </c>
      <c r="S1509">
        <f>IF(1505&lt;=$S$2,"S",IF(1505&lt;=$S$2+$T$2,"A",""))</f>
        <v/>
      </c>
      <c r="T1509">
        <f>IF(S1509="S",MATCH(1505,Firms!$W$5:$W$1004,0),IF(S1509="A",IFERROR(MATCH(1505-$S$2,'AFA Rates'!$R$5:$R$1004,0),""),""))</f>
        <v/>
      </c>
      <c r="U1509">
        <f>IF(S1509="S",T1509,IF(AND(S1509="A",T1509&lt;&gt;""),IFERROR(MATCH(INDEX('AFA Rates'!$A$5:$A$1004,T1509),Firms!$A$5:$A$1004,0),""),""))</f>
        <v/>
      </c>
    </row>
    <row r="1510">
      <c r="A1510" s="78">
        <f>IF($T1510="","",IF($S1510="S",IF(INDEX(Firms!$A$5:$A$1004,$T1510)="","",INDEX(Firms!$A$5:$A$1004,$T1510)),IF(INDEX('AFA Rates'!$A$5:$A$1004,$T1510)="","",INDEX('AFA Rates'!$A$5:$A$1004,$T1510))))</f>
        <v/>
      </c>
      <c r="B1510" s="79">
        <f>IF(OR($T1510="",$U1510=""),IF($T1510="","","Not on Firms tab"),INDEX(Firms!$B$5:$B$1004,$U1510)&amp;"")</f>
        <v/>
      </c>
      <c r="C1510" s="78">
        <f>IF($T1510="","",IF($S1510="S","Standard",INDEX('AFA Rates'!$B$5:$B$1004,$T1510)&amp;""))</f>
        <v/>
      </c>
      <c r="D1510" s="88">
        <f>IF($T1510="","",IF($S1510="S",IF(INDEX(Firms!$E$5:$E$1004,$T1510)="","",INDEX(Firms!$E$5:$E$1004,$T1510)),IF(INDEX('AFA Rates'!$C$5:$C$1004,$T1510)="","",INDEX('AFA Rates'!$C$5:$C$1004,$T1510))))</f>
        <v/>
      </c>
      <c r="E1510" s="88">
        <f>IF($T1510="","",IF($S1510="S",IF(""="","",""),IF(INDEX('AFA Rates'!$D$5:$D$1004,$T1510)="","",INDEX('AFA Rates'!$D$5:$D$1004,$T1510))))</f>
        <v/>
      </c>
      <c r="F1510" s="79">
        <f>IF($T1510="","",IF($S1510="S",IF(INDEX(Firms!$O$5:$O$1004,$T1510)="","",INDEX(Firms!$O$5:$O$1004,$T1510)),IF(INDEX('AFA Rates'!$O$5:$O$1004,$T1510)="","",INDEX('AFA Rates'!$O$5:$O$1004,$T1510))))</f>
        <v/>
      </c>
      <c r="G1510" s="50">
        <f>IF($T1510="","",IF($S1510="S",IF(INDEX(Firms!$F$5:$F$1004,$T1510)="","",INDEX(Firms!$F$5:$F$1004,$T1510)),IF(INDEX('AFA Rates'!$E$5:$E$1004,$T1510)="","",INDEX('AFA Rates'!$E$5:$E$1004,$T1510))))</f>
        <v/>
      </c>
      <c r="H1510" s="50">
        <f>IF($T1510="","",IF($S1510="S",IF(INDEX(Firms!$G$5:$G$1004,$T1510)="","",INDEX(Firms!$G$5:$G$1004,$T1510)),IF(INDEX('AFA Rates'!$F$5:$F$1004,$T1510)="","",INDEX('AFA Rates'!$F$5:$F$1004,$T1510))))</f>
        <v/>
      </c>
      <c r="I1510" s="50">
        <f>IF($T1510="","",IF($S1510="S",IF(INDEX(Firms!$H$5:$H$1004,$T1510)="","",INDEX(Firms!$H$5:$H$1004,$T1510)),IF(INDEX('AFA Rates'!$G$5:$G$1004,$T1510)="","",INDEX('AFA Rates'!$G$5:$G$1004,$T1510))))</f>
        <v/>
      </c>
      <c r="J1510" s="50">
        <f>IF($T1510="","",IF($S1510="S",IF(INDEX(Firms!$I$5:$I$1004,$T1510)="","",INDEX(Firms!$I$5:$I$1004,$T1510)),IF(INDEX('AFA Rates'!$H$5:$H$1004,$T1510)="","",INDEX('AFA Rates'!$H$5:$H$1004,$T1510))))</f>
        <v/>
      </c>
      <c r="K1510" s="50">
        <f>IF($T1510="","",IF($S1510="S",IF(INDEX(Firms!$J$5:$J$1004,$T1510)="","",INDEX(Firms!$J$5:$J$1004,$T1510)),IF(INDEX('AFA Rates'!$I$5:$I$1004,$T1510)="","",INDEX('AFA Rates'!$I$5:$I$1004,$T1510))))</f>
        <v/>
      </c>
      <c r="L1510" s="50">
        <f>IF($T1510="","",IF($S1510="S",IF(INDEX(Firms!$K$5:$K$1004,$T1510)="","",INDEX(Firms!$K$5:$K$1004,$T1510)),IF(INDEX('AFA Rates'!$J$5:$J$1004,$T1510)="","",INDEX('AFA Rates'!$J$5:$J$1004,$T1510))))</f>
        <v/>
      </c>
      <c r="M1510" s="50">
        <f>IF($T1510="","",IF($S1510="S",IF(INDEX(Firms!$L$5:$L$1004,$T1510)="","",INDEX(Firms!$L$5:$L$1004,$T1510)),IF(INDEX('AFA Rates'!$K$5:$K$1004,$T1510)="","",INDEX('AFA Rates'!$K$5:$K$1004,$T1510))))</f>
        <v/>
      </c>
      <c r="N1510" s="50">
        <f>IF($T1510="","",IF($S1510="S",IF(INDEX(Firms!$M$5:$M$1004,$T1510)="","",INDEX(Firms!$M$5:$M$1004,$T1510)),IF(INDEX('AFA Rates'!$L$5:$L$1004,$T1510)="","",INDEX('AFA Rates'!$L$5:$L$1004,$T1510))))</f>
        <v/>
      </c>
      <c r="O1510" s="78">
        <f>IF(OR($T1510="",$U1510=""),"",IF(INDEX(Firms!$C$5:$C$1004,$U1510)="","",INDEX(Firms!$C$5:$C$1004,$U1510)))</f>
        <v/>
      </c>
      <c r="P1510" s="79">
        <f>IF(OR($T1510="",$U1510=""),"",IF(INDEX(Firms!$N$5:$N$1004,$U1510)="","",INDEX(Firms!$N$5:$N$1004,$U1510)))</f>
        <v/>
      </c>
      <c r="Q1510" s="78">
        <f>IF($T1510="","",IF($S1510="S",IF(INDEX(Firms!$T$5:$T$1004,$T1510)="","",INDEX(Firms!$T$5:$T$1004,$T1510)),IF(INDEX('AFA Rates'!$M$5:$M$1004,$T1510)="","",INDEX('AFA Rates'!$M$5:$M$1004,$T1510))))</f>
        <v/>
      </c>
      <c r="S1510">
        <f>IF(1506&lt;=$S$2,"S",IF(1506&lt;=$S$2+$T$2,"A",""))</f>
        <v/>
      </c>
      <c r="T1510">
        <f>IF(S1510="S",MATCH(1506,Firms!$W$5:$W$1004,0),IF(S1510="A",IFERROR(MATCH(1506-$S$2,'AFA Rates'!$R$5:$R$1004,0),""),""))</f>
        <v/>
      </c>
      <c r="U1510">
        <f>IF(S1510="S",T1510,IF(AND(S1510="A",T1510&lt;&gt;""),IFERROR(MATCH(INDEX('AFA Rates'!$A$5:$A$1004,T1510),Firms!$A$5:$A$1004,0),""),""))</f>
        <v/>
      </c>
    </row>
    <row r="1511">
      <c r="A1511" s="78">
        <f>IF($T1511="","",IF($S1511="S",IF(INDEX(Firms!$A$5:$A$1004,$T1511)="","",INDEX(Firms!$A$5:$A$1004,$T1511)),IF(INDEX('AFA Rates'!$A$5:$A$1004,$T1511)="","",INDEX('AFA Rates'!$A$5:$A$1004,$T1511))))</f>
        <v/>
      </c>
      <c r="B1511" s="79">
        <f>IF(OR($T1511="",$U1511=""),IF($T1511="","","Not on Firms tab"),INDEX(Firms!$B$5:$B$1004,$U1511)&amp;"")</f>
        <v/>
      </c>
      <c r="C1511" s="78">
        <f>IF($T1511="","",IF($S1511="S","Standard",INDEX('AFA Rates'!$B$5:$B$1004,$T1511)&amp;""))</f>
        <v/>
      </c>
      <c r="D1511" s="88">
        <f>IF($T1511="","",IF($S1511="S",IF(INDEX(Firms!$E$5:$E$1004,$T1511)="","",INDEX(Firms!$E$5:$E$1004,$T1511)),IF(INDEX('AFA Rates'!$C$5:$C$1004,$T1511)="","",INDEX('AFA Rates'!$C$5:$C$1004,$T1511))))</f>
        <v/>
      </c>
      <c r="E1511" s="88">
        <f>IF($T1511="","",IF($S1511="S",IF(""="","",""),IF(INDEX('AFA Rates'!$D$5:$D$1004,$T1511)="","",INDEX('AFA Rates'!$D$5:$D$1004,$T1511))))</f>
        <v/>
      </c>
      <c r="F1511" s="79">
        <f>IF($T1511="","",IF($S1511="S",IF(INDEX(Firms!$O$5:$O$1004,$T1511)="","",INDEX(Firms!$O$5:$O$1004,$T1511)),IF(INDEX('AFA Rates'!$O$5:$O$1004,$T1511)="","",INDEX('AFA Rates'!$O$5:$O$1004,$T1511))))</f>
        <v/>
      </c>
      <c r="G1511" s="50">
        <f>IF($T1511="","",IF($S1511="S",IF(INDEX(Firms!$F$5:$F$1004,$T1511)="","",INDEX(Firms!$F$5:$F$1004,$T1511)),IF(INDEX('AFA Rates'!$E$5:$E$1004,$T1511)="","",INDEX('AFA Rates'!$E$5:$E$1004,$T1511))))</f>
        <v/>
      </c>
      <c r="H1511" s="50">
        <f>IF($T1511="","",IF($S1511="S",IF(INDEX(Firms!$G$5:$G$1004,$T1511)="","",INDEX(Firms!$G$5:$G$1004,$T1511)),IF(INDEX('AFA Rates'!$F$5:$F$1004,$T1511)="","",INDEX('AFA Rates'!$F$5:$F$1004,$T1511))))</f>
        <v/>
      </c>
      <c r="I1511" s="50">
        <f>IF($T1511="","",IF($S1511="S",IF(INDEX(Firms!$H$5:$H$1004,$T1511)="","",INDEX(Firms!$H$5:$H$1004,$T1511)),IF(INDEX('AFA Rates'!$G$5:$G$1004,$T1511)="","",INDEX('AFA Rates'!$G$5:$G$1004,$T1511))))</f>
        <v/>
      </c>
      <c r="J1511" s="50">
        <f>IF($T1511="","",IF($S1511="S",IF(INDEX(Firms!$I$5:$I$1004,$T1511)="","",INDEX(Firms!$I$5:$I$1004,$T1511)),IF(INDEX('AFA Rates'!$H$5:$H$1004,$T1511)="","",INDEX('AFA Rates'!$H$5:$H$1004,$T1511))))</f>
        <v/>
      </c>
      <c r="K1511" s="50">
        <f>IF($T1511="","",IF($S1511="S",IF(INDEX(Firms!$J$5:$J$1004,$T1511)="","",INDEX(Firms!$J$5:$J$1004,$T1511)),IF(INDEX('AFA Rates'!$I$5:$I$1004,$T1511)="","",INDEX('AFA Rates'!$I$5:$I$1004,$T1511))))</f>
        <v/>
      </c>
      <c r="L1511" s="50">
        <f>IF($T1511="","",IF($S1511="S",IF(INDEX(Firms!$K$5:$K$1004,$T1511)="","",INDEX(Firms!$K$5:$K$1004,$T1511)),IF(INDEX('AFA Rates'!$J$5:$J$1004,$T1511)="","",INDEX('AFA Rates'!$J$5:$J$1004,$T1511))))</f>
        <v/>
      </c>
      <c r="M1511" s="50">
        <f>IF($T1511="","",IF($S1511="S",IF(INDEX(Firms!$L$5:$L$1004,$T1511)="","",INDEX(Firms!$L$5:$L$1004,$T1511)),IF(INDEX('AFA Rates'!$K$5:$K$1004,$T1511)="","",INDEX('AFA Rates'!$K$5:$K$1004,$T1511))))</f>
        <v/>
      </c>
      <c r="N1511" s="50">
        <f>IF($T1511="","",IF($S1511="S",IF(INDEX(Firms!$M$5:$M$1004,$T1511)="","",INDEX(Firms!$M$5:$M$1004,$T1511)),IF(INDEX('AFA Rates'!$L$5:$L$1004,$T1511)="","",INDEX('AFA Rates'!$L$5:$L$1004,$T1511))))</f>
        <v/>
      </c>
      <c r="O1511" s="78">
        <f>IF(OR($T1511="",$U1511=""),"",IF(INDEX(Firms!$C$5:$C$1004,$U1511)="","",INDEX(Firms!$C$5:$C$1004,$U1511)))</f>
        <v/>
      </c>
      <c r="P1511" s="79">
        <f>IF(OR($T1511="",$U1511=""),"",IF(INDEX(Firms!$N$5:$N$1004,$U1511)="","",INDEX(Firms!$N$5:$N$1004,$U1511)))</f>
        <v/>
      </c>
      <c r="Q1511" s="78">
        <f>IF($T1511="","",IF($S1511="S",IF(INDEX(Firms!$T$5:$T$1004,$T1511)="","",INDEX(Firms!$T$5:$T$1004,$T1511)),IF(INDEX('AFA Rates'!$M$5:$M$1004,$T1511)="","",INDEX('AFA Rates'!$M$5:$M$1004,$T1511))))</f>
        <v/>
      </c>
      <c r="S1511">
        <f>IF(1507&lt;=$S$2,"S",IF(1507&lt;=$S$2+$T$2,"A",""))</f>
        <v/>
      </c>
      <c r="T1511">
        <f>IF(S1511="S",MATCH(1507,Firms!$W$5:$W$1004,0),IF(S1511="A",IFERROR(MATCH(1507-$S$2,'AFA Rates'!$R$5:$R$1004,0),""),""))</f>
        <v/>
      </c>
      <c r="U1511">
        <f>IF(S1511="S",T1511,IF(AND(S1511="A",T1511&lt;&gt;""),IFERROR(MATCH(INDEX('AFA Rates'!$A$5:$A$1004,T1511),Firms!$A$5:$A$1004,0),""),""))</f>
        <v/>
      </c>
    </row>
    <row r="1512">
      <c r="A1512" s="78">
        <f>IF($T1512="","",IF($S1512="S",IF(INDEX(Firms!$A$5:$A$1004,$T1512)="","",INDEX(Firms!$A$5:$A$1004,$T1512)),IF(INDEX('AFA Rates'!$A$5:$A$1004,$T1512)="","",INDEX('AFA Rates'!$A$5:$A$1004,$T1512))))</f>
        <v/>
      </c>
      <c r="B1512" s="79">
        <f>IF(OR($T1512="",$U1512=""),IF($T1512="","","Not on Firms tab"),INDEX(Firms!$B$5:$B$1004,$U1512)&amp;"")</f>
        <v/>
      </c>
      <c r="C1512" s="78">
        <f>IF($T1512="","",IF($S1512="S","Standard",INDEX('AFA Rates'!$B$5:$B$1004,$T1512)&amp;""))</f>
        <v/>
      </c>
      <c r="D1512" s="88">
        <f>IF($T1512="","",IF($S1512="S",IF(INDEX(Firms!$E$5:$E$1004,$T1512)="","",INDEX(Firms!$E$5:$E$1004,$T1512)),IF(INDEX('AFA Rates'!$C$5:$C$1004,$T1512)="","",INDEX('AFA Rates'!$C$5:$C$1004,$T1512))))</f>
        <v/>
      </c>
      <c r="E1512" s="88">
        <f>IF($T1512="","",IF($S1512="S",IF(""="","",""),IF(INDEX('AFA Rates'!$D$5:$D$1004,$T1512)="","",INDEX('AFA Rates'!$D$5:$D$1004,$T1512))))</f>
        <v/>
      </c>
      <c r="F1512" s="79">
        <f>IF($T1512="","",IF($S1512="S",IF(INDEX(Firms!$O$5:$O$1004,$T1512)="","",INDEX(Firms!$O$5:$O$1004,$T1512)),IF(INDEX('AFA Rates'!$O$5:$O$1004,$T1512)="","",INDEX('AFA Rates'!$O$5:$O$1004,$T1512))))</f>
        <v/>
      </c>
      <c r="G1512" s="50">
        <f>IF($T1512="","",IF($S1512="S",IF(INDEX(Firms!$F$5:$F$1004,$T1512)="","",INDEX(Firms!$F$5:$F$1004,$T1512)),IF(INDEX('AFA Rates'!$E$5:$E$1004,$T1512)="","",INDEX('AFA Rates'!$E$5:$E$1004,$T1512))))</f>
        <v/>
      </c>
      <c r="H1512" s="50">
        <f>IF($T1512="","",IF($S1512="S",IF(INDEX(Firms!$G$5:$G$1004,$T1512)="","",INDEX(Firms!$G$5:$G$1004,$T1512)),IF(INDEX('AFA Rates'!$F$5:$F$1004,$T1512)="","",INDEX('AFA Rates'!$F$5:$F$1004,$T1512))))</f>
        <v/>
      </c>
      <c r="I1512" s="50">
        <f>IF($T1512="","",IF($S1512="S",IF(INDEX(Firms!$H$5:$H$1004,$T1512)="","",INDEX(Firms!$H$5:$H$1004,$T1512)),IF(INDEX('AFA Rates'!$G$5:$G$1004,$T1512)="","",INDEX('AFA Rates'!$G$5:$G$1004,$T1512))))</f>
        <v/>
      </c>
      <c r="J1512" s="50">
        <f>IF($T1512="","",IF($S1512="S",IF(INDEX(Firms!$I$5:$I$1004,$T1512)="","",INDEX(Firms!$I$5:$I$1004,$T1512)),IF(INDEX('AFA Rates'!$H$5:$H$1004,$T1512)="","",INDEX('AFA Rates'!$H$5:$H$1004,$T1512))))</f>
        <v/>
      </c>
      <c r="K1512" s="50">
        <f>IF($T1512="","",IF($S1512="S",IF(INDEX(Firms!$J$5:$J$1004,$T1512)="","",INDEX(Firms!$J$5:$J$1004,$T1512)),IF(INDEX('AFA Rates'!$I$5:$I$1004,$T1512)="","",INDEX('AFA Rates'!$I$5:$I$1004,$T1512))))</f>
        <v/>
      </c>
      <c r="L1512" s="50">
        <f>IF($T1512="","",IF($S1512="S",IF(INDEX(Firms!$K$5:$K$1004,$T1512)="","",INDEX(Firms!$K$5:$K$1004,$T1512)),IF(INDEX('AFA Rates'!$J$5:$J$1004,$T1512)="","",INDEX('AFA Rates'!$J$5:$J$1004,$T1512))))</f>
        <v/>
      </c>
      <c r="M1512" s="50">
        <f>IF($T1512="","",IF($S1512="S",IF(INDEX(Firms!$L$5:$L$1004,$T1512)="","",INDEX(Firms!$L$5:$L$1004,$T1512)),IF(INDEX('AFA Rates'!$K$5:$K$1004,$T1512)="","",INDEX('AFA Rates'!$K$5:$K$1004,$T1512))))</f>
        <v/>
      </c>
      <c r="N1512" s="50">
        <f>IF($T1512="","",IF($S1512="S",IF(INDEX(Firms!$M$5:$M$1004,$T1512)="","",INDEX(Firms!$M$5:$M$1004,$T1512)),IF(INDEX('AFA Rates'!$L$5:$L$1004,$T1512)="","",INDEX('AFA Rates'!$L$5:$L$1004,$T1512))))</f>
        <v/>
      </c>
      <c r="O1512" s="78">
        <f>IF(OR($T1512="",$U1512=""),"",IF(INDEX(Firms!$C$5:$C$1004,$U1512)="","",INDEX(Firms!$C$5:$C$1004,$U1512)))</f>
        <v/>
      </c>
      <c r="P1512" s="79">
        <f>IF(OR($T1512="",$U1512=""),"",IF(INDEX(Firms!$N$5:$N$1004,$U1512)="","",INDEX(Firms!$N$5:$N$1004,$U1512)))</f>
        <v/>
      </c>
      <c r="Q1512" s="78">
        <f>IF($T1512="","",IF($S1512="S",IF(INDEX(Firms!$T$5:$T$1004,$T1512)="","",INDEX(Firms!$T$5:$T$1004,$T1512)),IF(INDEX('AFA Rates'!$M$5:$M$1004,$T1512)="","",INDEX('AFA Rates'!$M$5:$M$1004,$T1512))))</f>
        <v/>
      </c>
      <c r="S1512">
        <f>IF(1508&lt;=$S$2,"S",IF(1508&lt;=$S$2+$T$2,"A",""))</f>
        <v/>
      </c>
      <c r="T1512">
        <f>IF(S1512="S",MATCH(1508,Firms!$W$5:$W$1004,0),IF(S1512="A",IFERROR(MATCH(1508-$S$2,'AFA Rates'!$R$5:$R$1004,0),""),""))</f>
        <v/>
      </c>
      <c r="U1512">
        <f>IF(S1512="S",T1512,IF(AND(S1512="A",T1512&lt;&gt;""),IFERROR(MATCH(INDEX('AFA Rates'!$A$5:$A$1004,T1512),Firms!$A$5:$A$1004,0),""),""))</f>
        <v/>
      </c>
    </row>
    <row r="1513">
      <c r="A1513" s="78">
        <f>IF($T1513="","",IF($S1513="S",IF(INDEX(Firms!$A$5:$A$1004,$T1513)="","",INDEX(Firms!$A$5:$A$1004,$T1513)),IF(INDEX('AFA Rates'!$A$5:$A$1004,$T1513)="","",INDEX('AFA Rates'!$A$5:$A$1004,$T1513))))</f>
        <v/>
      </c>
      <c r="B1513" s="79">
        <f>IF(OR($T1513="",$U1513=""),IF($T1513="","","Not on Firms tab"),INDEX(Firms!$B$5:$B$1004,$U1513)&amp;"")</f>
        <v/>
      </c>
      <c r="C1513" s="78">
        <f>IF($T1513="","",IF($S1513="S","Standard",INDEX('AFA Rates'!$B$5:$B$1004,$T1513)&amp;""))</f>
        <v/>
      </c>
      <c r="D1513" s="88">
        <f>IF($T1513="","",IF($S1513="S",IF(INDEX(Firms!$E$5:$E$1004,$T1513)="","",INDEX(Firms!$E$5:$E$1004,$T1513)),IF(INDEX('AFA Rates'!$C$5:$C$1004,$T1513)="","",INDEX('AFA Rates'!$C$5:$C$1004,$T1513))))</f>
        <v/>
      </c>
      <c r="E1513" s="88">
        <f>IF($T1513="","",IF($S1513="S",IF(""="","",""),IF(INDEX('AFA Rates'!$D$5:$D$1004,$T1513)="","",INDEX('AFA Rates'!$D$5:$D$1004,$T1513))))</f>
        <v/>
      </c>
      <c r="F1513" s="79">
        <f>IF($T1513="","",IF($S1513="S",IF(INDEX(Firms!$O$5:$O$1004,$T1513)="","",INDEX(Firms!$O$5:$O$1004,$T1513)),IF(INDEX('AFA Rates'!$O$5:$O$1004,$T1513)="","",INDEX('AFA Rates'!$O$5:$O$1004,$T1513))))</f>
        <v/>
      </c>
      <c r="G1513" s="50">
        <f>IF($T1513="","",IF($S1513="S",IF(INDEX(Firms!$F$5:$F$1004,$T1513)="","",INDEX(Firms!$F$5:$F$1004,$T1513)),IF(INDEX('AFA Rates'!$E$5:$E$1004,$T1513)="","",INDEX('AFA Rates'!$E$5:$E$1004,$T1513))))</f>
        <v/>
      </c>
      <c r="H1513" s="50">
        <f>IF($T1513="","",IF($S1513="S",IF(INDEX(Firms!$G$5:$G$1004,$T1513)="","",INDEX(Firms!$G$5:$G$1004,$T1513)),IF(INDEX('AFA Rates'!$F$5:$F$1004,$T1513)="","",INDEX('AFA Rates'!$F$5:$F$1004,$T1513))))</f>
        <v/>
      </c>
      <c r="I1513" s="50">
        <f>IF($T1513="","",IF($S1513="S",IF(INDEX(Firms!$H$5:$H$1004,$T1513)="","",INDEX(Firms!$H$5:$H$1004,$T1513)),IF(INDEX('AFA Rates'!$G$5:$G$1004,$T1513)="","",INDEX('AFA Rates'!$G$5:$G$1004,$T1513))))</f>
        <v/>
      </c>
      <c r="J1513" s="50">
        <f>IF($T1513="","",IF($S1513="S",IF(INDEX(Firms!$I$5:$I$1004,$T1513)="","",INDEX(Firms!$I$5:$I$1004,$T1513)),IF(INDEX('AFA Rates'!$H$5:$H$1004,$T1513)="","",INDEX('AFA Rates'!$H$5:$H$1004,$T1513))))</f>
        <v/>
      </c>
      <c r="K1513" s="50">
        <f>IF($T1513="","",IF($S1513="S",IF(INDEX(Firms!$J$5:$J$1004,$T1513)="","",INDEX(Firms!$J$5:$J$1004,$T1513)),IF(INDEX('AFA Rates'!$I$5:$I$1004,$T1513)="","",INDEX('AFA Rates'!$I$5:$I$1004,$T1513))))</f>
        <v/>
      </c>
      <c r="L1513" s="50">
        <f>IF($T1513="","",IF($S1513="S",IF(INDEX(Firms!$K$5:$K$1004,$T1513)="","",INDEX(Firms!$K$5:$K$1004,$T1513)),IF(INDEX('AFA Rates'!$J$5:$J$1004,$T1513)="","",INDEX('AFA Rates'!$J$5:$J$1004,$T1513))))</f>
        <v/>
      </c>
      <c r="M1513" s="50">
        <f>IF($T1513="","",IF($S1513="S",IF(INDEX(Firms!$L$5:$L$1004,$T1513)="","",INDEX(Firms!$L$5:$L$1004,$T1513)),IF(INDEX('AFA Rates'!$K$5:$K$1004,$T1513)="","",INDEX('AFA Rates'!$K$5:$K$1004,$T1513))))</f>
        <v/>
      </c>
      <c r="N1513" s="50">
        <f>IF($T1513="","",IF($S1513="S",IF(INDEX(Firms!$M$5:$M$1004,$T1513)="","",INDEX(Firms!$M$5:$M$1004,$T1513)),IF(INDEX('AFA Rates'!$L$5:$L$1004,$T1513)="","",INDEX('AFA Rates'!$L$5:$L$1004,$T1513))))</f>
        <v/>
      </c>
      <c r="O1513" s="78">
        <f>IF(OR($T1513="",$U1513=""),"",IF(INDEX(Firms!$C$5:$C$1004,$U1513)="","",INDEX(Firms!$C$5:$C$1004,$U1513)))</f>
        <v/>
      </c>
      <c r="P1513" s="79">
        <f>IF(OR($T1513="",$U1513=""),"",IF(INDEX(Firms!$N$5:$N$1004,$U1513)="","",INDEX(Firms!$N$5:$N$1004,$U1513)))</f>
        <v/>
      </c>
      <c r="Q1513" s="78">
        <f>IF($T1513="","",IF($S1513="S",IF(INDEX(Firms!$T$5:$T$1004,$T1513)="","",INDEX(Firms!$T$5:$T$1004,$T1513)),IF(INDEX('AFA Rates'!$M$5:$M$1004,$T1513)="","",INDEX('AFA Rates'!$M$5:$M$1004,$T1513))))</f>
        <v/>
      </c>
      <c r="S1513">
        <f>IF(1509&lt;=$S$2,"S",IF(1509&lt;=$S$2+$T$2,"A",""))</f>
        <v/>
      </c>
      <c r="T1513">
        <f>IF(S1513="S",MATCH(1509,Firms!$W$5:$W$1004,0),IF(S1513="A",IFERROR(MATCH(1509-$S$2,'AFA Rates'!$R$5:$R$1004,0),""),""))</f>
        <v/>
      </c>
      <c r="U1513">
        <f>IF(S1513="S",T1513,IF(AND(S1513="A",T1513&lt;&gt;""),IFERROR(MATCH(INDEX('AFA Rates'!$A$5:$A$1004,T1513),Firms!$A$5:$A$1004,0),""),""))</f>
        <v/>
      </c>
    </row>
    <row r="1514">
      <c r="A1514" s="78">
        <f>IF($T1514="","",IF($S1514="S",IF(INDEX(Firms!$A$5:$A$1004,$T1514)="","",INDEX(Firms!$A$5:$A$1004,$T1514)),IF(INDEX('AFA Rates'!$A$5:$A$1004,$T1514)="","",INDEX('AFA Rates'!$A$5:$A$1004,$T1514))))</f>
        <v/>
      </c>
      <c r="B1514" s="79">
        <f>IF(OR($T1514="",$U1514=""),IF($T1514="","","Not on Firms tab"),INDEX(Firms!$B$5:$B$1004,$U1514)&amp;"")</f>
        <v/>
      </c>
      <c r="C1514" s="78">
        <f>IF($T1514="","",IF($S1514="S","Standard",INDEX('AFA Rates'!$B$5:$B$1004,$T1514)&amp;""))</f>
        <v/>
      </c>
      <c r="D1514" s="88">
        <f>IF($T1514="","",IF($S1514="S",IF(INDEX(Firms!$E$5:$E$1004,$T1514)="","",INDEX(Firms!$E$5:$E$1004,$T1514)),IF(INDEX('AFA Rates'!$C$5:$C$1004,$T1514)="","",INDEX('AFA Rates'!$C$5:$C$1004,$T1514))))</f>
        <v/>
      </c>
      <c r="E1514" s="88">
        <f>IF($T1514="","",IF($S1514="S",IF(""="","",""),IF(INDEX('AFA Rates'!$D$5:$D$1004,$T1514)="","",INDEX('AFA Rates'!$D$5:$D$1004,$T1514))))</f>
        <v/>
      </c>
      <c r="F1514" s="79">
        <f>IF($T1514="","",IF($S1514="S",IF(INDEX(Firms!$O$5:$O$1004,$T1514)="","",INDEX(Firms!$O$5:$O$1004,$T1514)),IF(INDEX('AFA Rates'!$O$5:$O$1004,$T1514)="","",INDEX('AFA Rates'!$O$5:$O$1004,$T1514))))</f>
        <v/>
      </c>
      <c r="G1514" s="50">
        <f>IF($T1514="","",IF($S1514="S",IF(INDEX(Firms!$F$5:$F$1004,$T1514)="","",INDEX(Firms!$F$5:$F$1004,$T1514)),IF(INDEX('AFA Rates'!$E$5:$E$1004,$T1514)="","",INDEX('AFA Rates'!$E$5:$E$1004,$T1514))))</f>
        <v/>
      </c>
      <c r="H1514" s="50">
        <f>IF($T1514="","",IF($S1514="S",IF(INDEX(Firms!$G$5:$G$1004,$T1514)="","",INDEX(Firms!$G$5:$G$1004,$T1514)),IF(INDEX('AFA Rates'!$F$5:$F$1004,$T1514)="","",INDEX('AFA Rates'!$F$5:$F$1004,$T1514))))</f>
        <v/>
      </c>
      <c r="I1514" s="50">
        <f>IF($T1514="","",IF($S1514="S",IF(INDEX(Firms!$H$5:$H$1004,$T1514)="","",INDEX(Firms!$H$5:$H$1004,$T1514)),IF(INDEX('AFA Rates'!$G$5:$G$1004,$T1514)="","",INDEX('AFA Rates'!$G$5:$G$1004,$T1514))))</f>
        <v/>
      </c>
      <c r="J1514" s="50">
        <f>IF($T1514="","",IF($S1514="S",IF(INDEX(Firms!$I$5:$I$1004,$T1514)="","",INDEX(Firms!$I$5:$I$1004,$T1514)),IF(INDEX('AFA Rates'!$H$5:$H$1004,$T1514)="","",INDEX('AFA Rates'!$H$5:$H$1004,$T1514))))</f>
        <v/>
      </c>
      <c r="K1514" s="50">
        <f>IF($T1514="","",IF($S1514="S",IF(INDEX(Firms!$J$5:$J$1004,$T1514)="","",INDEX(Firms!$J$5:$J$1004,$T1514)),IF(INDEX('AFA Rates'!$I$5:$I$1004,$T1514)="","",INDEX('AFA Rates'!$I$5:$I$1004,$T1514))))</f>
        <v/>
      </c>
      <c r="L1514" s="50">
        <f>IF($T1514="","",IF($S1514="S",IF(INDEX(Firms!$K$5:$K$1004,$T1514)="","",INDEX(Firms!$K$5:$K$1004,$T1514)),IF(INDEX('AFA Rates'!$J$5:$J$1004,$T1514)="","",INDEX('AFA Rates'!$J$5:$J$1004,$T1514))))</f>
        <v/>
      </c>
      <c r="M1514" s="50">
        <f>IF($T1514="","",IF($S1514="S",IF(INDEX(Firms!$L$5:$L$1004,$T1514)="","",INDEX(Firms!$L$5:$L$1004,$T1514)),IF(INDEX('AFA Rates'!$K$5:$K$1004,$T1514)="","",INDEX('AFA Rates'!$K$5:$K$1004,$T1514))))</f>
        <v/>
      </c>
      <c r="N1514" s="50">
        <f>IF($T1514="","",IF($S1514="S",IF(INDEX(Firms!$M$5:$M$1004,$T1514)="","",INDEX(Firms!$M$5:$M$1004,$T1514)),IF(INDEX('AFA Rates'!$L$5:$L$1004,$T1514)="","",INDEX('AFA Rates'!$L$5:$L$1004,$T1514))))</f>
        <v/>
      </c>
      <c r="O1514" s="78">
        <f>IF(OR($T1514="",$U1514=""),"",IF(INDEX(Firms!$C$5:$C$1004,$U1514)="","",INDEX(Firms!$C$5:$C$1004,$U1514)))</f>
        <v/>
      </c>
      <c r="P1514" s="79">
        <f>IF(OR($T1514="",$U1514=""),"",IF(INDEX(Firms!$N$5:$N$1004,$U1514)="","",INDEX(Firms!$N$5:$N$1004,$U1514)))</f>
        <v/>
      </c>
      <c r="Q1514" s="78">
        <f>IF($T1514="","",IF($S1514="S",IF(INDEX(Firms!$T$5:$T$1004,$T1514)="","",INDEX(Firms!$T$5:$T$1004,$T1514)),IF(INDEX('AFA Rates'!$M$5:$M$1004,$T1514)="","",INDEX('AFA Rates'!$M$5:$M$1004,$T1514))))</f>
        <v/>
      </c>
      <c r="S1514">
        <f>IF(1510&lt;=$S$2,"S",IF(1510&lt;=$S$2+$T$2,"A",""))</f>
        <v/>
      </c>
      <c r="T1514">
        <f>IF(S1514="S",MATCH(1510,Firms!$W$5:$W$1004,0),IF(S1514="A",IFERROR(MATCH(1510-$S$2,'AFA Rates'!$R$5:$R$1004,0),""),""))</f>
        <v/>
      </c>
      <c r="U1514">
        <f>IF(S1514="S",T1514,IF(AND(S1514="A",T1514&lt;&gt;""),IFERROR(MATCH(INDEX('AFA Rates'!$A$5:$A$1004,T1514),Firms!$A$5:$A$1004,0),""),""))</f>
        <v/>
      </c>
    </row>
    <row r="1515">
      <c r="A1515" s="78">
        <f>IF($T1515="","",IF($S1515="S",IF(INDEX(Firms!$A$5:$A$1004,$T1515)="","",INDEX(Firms!$A$5:$A$1004,$T1515)),IF(INDEX('AFA Rates'!$A$5:$A$1004,$T1515)="","",INDEX('AFA Rates'!$A$5:$A$1004,$T1515))))</f>
        <v/>
      </c>
      <c r="B1515" s="79">
        <f>IF(OR($T1515="",$U1515=""),IF($T1515="","","Not on Firms tab"),INDEX(Firms!$B$5:$B$1004,$U1515)&amp;"")</f>
        <v/>
      </c>
      <c r="C1515" s="78">
        <f>IF($T1515="","",IF($S1515="S","Standard",INDEX('AFA Rates'!$B$5:$B$1004,$T1515)&amp;""))</f>
        <v/>
      </c>
      <c r="D1515" s="88">
        <f>IF($T1515="","",IF($S1515="S",IF(INDEX(Firms!$E$5:$E$1004,$T1515)="","",INDEX(Firms!$E$5:$E$1004,$T1515)),IF(INDEX('AFA Rates'!$C$5:$C$1004,$T1515)="","",INDEX('AFA Rates'!$C$5:$C$1004,$T1515))))</f>
        <v/>
      </c>
      <c r="E1515" s="88">
        <f>IF($T1515="","",IF($S1515="S",IF(""="","",""),IF(INDEX('AFA Rates'!$D$5:$D$1004,$T1515)="","",INDEX('AFA Rates'!$D$5:$D$1004,$T1515))))</f>
        <v/>
      </c>
      <c r="F1515" s="79">
        <f>IF($T1515="","",IF($S1515="S",IF(INDEX(Firms!$O$5:$O$1004,$T1515)="","",INDEX(Firms!$O$5:$O$1004,$T1515)),IF(INDEX('AFA Rates'!$O$5:$O$1004,$T1515)="","",INDEX('AFA Rates'!$O$5:$O$1004,$T1515))))</f>
        <v/>
      </c>
      <c r="G1515" s="50">
        <f>IF($T1515="","",IF($S1515="S",IF(INDEX(Firms!$F$5:$F$1004,$T1515)="","",INDEX(Firms!$F$5:$F$1004,$T1515)),IF(INDEX('AFA Rates'!$E$5:$E$1004,$T1515)="","",INDEX('AFA Rates'!$E$5:$E$1004,$T1515))))</f>
        <v/>
      </c>
      <c r="H1515" s="50">
        <f>IF($T1515="","",IF($S1515="S",IF(INDEX(Firms!$G$5:$G$1004,$T1515)="","",INDEX(Firms!$G$5:$G$1004,$T1515)),IF(INDEX('AFA Rates'!$F$5:$F$1004,$T1515)="","",INDEX('AFA Rates'!$F$5:$F$1004,$T1515))))</f>
        <v/>
      </c>
      <c r="I1515" s="50">
        <f>IF($T1515="","",IF($S1515="S",IF(INDEX(Firms!$H$5:$H$1004,$T1515)="","",INDEX(Firms!$H$5:$H$1004,$T1515)),IF(INDEX('AFA Rates'!$G$5:$G$1004,$T1515)="","",INDEX('AFA Rates'!$G$5:$G$1004,$T1515))))</f>
        <v/>
      </c>
      <c r="J1515" s="50">
        <f>IF($T1515="","",IF($S1515="S",IF(INDEX(Firms!$I$5:$I$1004,$T1515)="","",INDEX(Firms!$I$5:$I$1004,$T1515)),IF(INDEX('AFA Rates'!$H$5:$H$1004,$T1515)="","",INDEX('AFA Rates'!$H$5:$H$1004,$T1515))))</f>
        <v/>
      </c>
      <c r="K1515" s="50">
        <f>IF($T1515="","",IF($S1515="S",IF(INDEX(Firms!$J$5:$J$1004,$T1515)="","",INDEX(Firms!$J$5:$J$1004,$T1515)),IF(INDEX('AFA Rates'!$I$5:$I$1004,$T1515)="","",INDEX('AFA Rates'!$I$5:$I$1004,$T1515))))</f>
        <v/>
      </c>
      <c r="L1515" s="50">
        <f>IF($T1515="","",IF($S1515="S",IF(INDEX(Firms!$K$5:$K$1004,$T1515)="","",INDEX(Firms!$K$5:$K$1004,$T1515)),IF(INDEX('AFA Rates'!$J$5:$J$1004,$T1515)="","",INDEX('AFA Rates'!$J$5:$J$1004,$T1515))))</f>
        <v/>
      </c>
      <c r="M1515" s="50">
        <f>IF($T1515="","",IF($S1515="S",IF(INDEX(Firms!$L$5:$L$1004,$T1515)="","",INDEX(Firms!$L$5:$L$1004,$T1515)),IF(INDEX('AFA Rates'!$K$5:$K$1004,$T1515)="","",INDEX('AFA Rates'!$K$5:$K$1004,$T1515))))</f>
        <v/>
      </c>
      <c r="N1515" s="50">
        <f>IF($T1515="","",IF($S1515="S",IF(INDEX(Firms!$M$5:$M$1004,$T1515)="","",INDEX(Firms!$M$5:$M$1004,$T1515)),IF(INDEX('AFA Rates'!$L$5:$L$1004,$T1515)="","",INDEX('AFA Rates'!$L$5:$L$1004,$T1515))))</f>
        <v/>
      </c>
      <c r="O1515" s="78">
        <f>IF(OR($T1515="",$U1515=""),"",IF(INDEX(Firms!$C$5:$C$1004,$U1515)="","",INDEX(Firms!$C$5:$C$1004,$U1515)))</f>
        <v/>
      </c>
      <c r="P1515" s="79">
        <f>IF(OR($T1515="",$U1515=""),"",IF(INDEX(Firms!$N$5:$N$1004,$U1515)="","",INDEX(Firms!$N$5:$N$1004,$U1515)))</f>
        <v/>
      </c>
      <c r="Q1515" s="78">
        <f>IF($T1515="","",IF($S1515="S",IF(INDEX(Firms!$T$5:$T$1004,$T1515)="","",INDEX(Firms!$T$5:$T$1004,$T1515)),IF(INDEX('AFA Rates'!$M$5:$M$1004,$T1515)="","",INDEX('AFA Rates'!$M$5:$M$1004,$T1515))))</f>
        <v/>
      </c>
      <c r="S1515">
        <f>IF(1511&lt;=$S$2,"S",IF(1511&lt;=$S$2+$T$2,"A",""))</f>
        <v/>
      </c>
      <c r="T1515">
        <f>IF(S1515="S",MATCH(1511,Firms!$W$5:$W$1004,0),IF(S1515="A",IFERROR(MATCH(1511-$S$2,'AFA Rates'!$R$5:$R$1004,0),""),""))</f>
        <v/>
      </c>
      <c r="U1515">
        <f>IF(S1515="S",T1515,IF(AND(S1515="A",T1515&lt;&gt;""),IFERROR(MATCH(INDEX('AFA Rates'!$A$5:$A$1004,T1515),Firms!$A$5:$A$1004,0),""),""))</f>
        <v/>
      </c>
    </row>
    <row r="1516">
      <c r="A1516" s="78">
        <f>IF($T1516="","",IF($S1516="S",IF(INDEX(Firms!$A$5:$A$1004,$T1516)="","",INDEX(Firms!$A$5:$A$1004,$T1516)),IF(INDEX('AFA Rates'!$A$5:$A$1004,$T1516)="","",INDEX('AFA Rates'!$A$5:$A$1004,$T1516))))</f>
        <v/>
      </c>
      <c r="B1516" s="79">
        <f>IF(OR($T1516="",$U1516=""),IF($T1516="","","Not on Firms tab"),INDEX(Firms!$B$5:$B$1004,$U1516)&amp;"")</f>
        <v/>
      </c>
      <c r="C1516" s="78">
        <f>IF($T1516="","",IF($S1516="S","Standard",INDEX('AFA Rates'!$B$5:$B$1004,$T1516)&amp;""))</f>
        <v/>
      </c>
      <c r="D1516" s="88">
        <f>IF($T1516="","",IF($S1516="S",IF(INDEX(Firms!$E$5:$E$1004,$T1516)="","",INDEX(Firms!$E$5:$E$1004,$T1516)),IF(INDEX('AFA Rates'!$C$5:$C$1004,$T1516)="","",INDEX('AFA Rates'!$C$5:$C$1004,$T1516))))</f>
        <v/>
      </c>
      <c r="E1516" s="88">
        <f>IF($T1516="","",IF($S1516="S",IF(""="","",""),IF(INDEX('AFA Rates'!$D$5:$D$1004,$T1516)="","",INDEX('AFA Rates'!$D$5:$D$1004,$T1516))))</f>
        <v/>
      </c>
      <c r="F1516" s="79">
        <f>IF($T1516="","",IF($S1516="S",IF(INDEX(Firms!$O$5:$O$1004,$T1516)="","",INDEX(Firms!$O$5:$O$1004,$T1516)),IF(INDEX('AFA Rates'!$O$5:$O$1004,$T1516)="","",INDEX('AFA Rates'!$O$5:$O$1004,$T1516))))</f>
        <v/>
      </c>
      <c r="G1516" s="50">
        <f>IF($T1516="","",IF($S1516="S",IF(INDEX(Firms!$F$5:$F$1004,$T1516)="","",INDEX(Firms!$F$5:$F$1004,$T1516)),IF(INDEX('AFA Rates'!$E$5:$E$1004,$T1516)="","",INDEX('AFA Rates'!$E$5:$E$1004,$T1516))))</f>
        <v/>
      </c>
      <c r="H1516" s="50">
        <f>IF($T1516="","",IF($S1516="S",IF(INDEX(Firms!$G$5:$G$1004,$T1516)="","",INDEX(Firms!$G$5:$G$1004,$T1516)),IF(INDEX('AFA Rates'!$F$5:$F$1004,$T1516)="","",INDEX('AFA Rates'!$F$5:$F$1004,$T1516))))</f>
        <v/>
      </c>
      <c r="I1516" s="50">
        <f>IF($T1516="","",IF($S1516="S",IF(INDEX(Firms!$H$5:$H$1004,$T1516)="","",INDEX(Firms!$H$5:$H$1004,$T1516)),IF(INDEX('AFA Rates'!$G$5:$G$1004,$T1516)="","",INDEX('AFA Rates'!$G$5:$G$1004,$T1516))))</f>
        <v/>
      </c>
      <c r="J1516" s="50">
        <f>IF($T1516="","",IF($S1516="S",IF(INDEX(Firms!$I$5:$I$1004,$T1516)="","",INDEX(Firms!$I$5:$I$1004,$T1516)),IF(INDEX('AFA Rates'!$H$5:$H$1004,$T1516)="","",INDEX('AFA Rates'!$H$5:$H$1004,$T1516))))</f>
        <v/>
      </c>
      <c r="K1516" s="50">
        <f>IF($T1516="","",IF($S1516="S",IF(INDEX(Firms!$J$5:$J$1004,$T1516)="","",INDEX(Firms!$J$5:$J$1004,$T1516)),IF(INDEX('AFA Rates'!$I$5:$I$1004,$T1516)="","",INDEX('AFA Rates'!$I$5:$I$1004,$T1516))))</f>
        <v/>
      </c>
      <c r="L1516" s="50">
        <f>IF($T1516="","",IF($S1516="S",IF(INDEX(Firms!$K$5:$K$1004,$T1516)="","",INDEX(Firms!$K$5:$K$1004,$T1516)),IF(INDEX('AFA Rates'!$J$5:$J$1004,$T1516)="","",INDEX('AFA Rates'!$J$5:$J$1004,$T1516))))</f>
        <v/>
      </c>
      <c r="M1516" s="50">
        <f>IF($T1516="","",IF($S1516="S",IF(INDEX(Firms!$L$5:$L$1004,$T1516)="","",INDEX(Firms!$L$5:$L$1004,$T1516)),IF(INDEX('AFA Rates'!$K$5:$K$1004,$T1516)="","",INDEX('AFA Rates'!$K$5:$K$1004,$T1516))))</f>
        <v/>
      </c>
      <c r="N1516" s="50">
        <f>IF($T1516="","",IF($S1516="S",IF(INDEX(Firms!$M$5:$M$1004,$T1516)="","",INDEX(Firms!$M$5:$M$1004,$T1516)),IF(INDEX('AFA Rates'!$L$5:$L$1004,$T1516)="","",INDEX('AFA Rates'!$L$5:$L$1004,$T1516))))</f>
        <v/>
      </c>
      <c r="O1516" s="78">
        <f>IF(OR($T1516="",$U1516=""),"",IF(INDEX(Firms!$C$5:$C$1004,$U1516)="","",INDEX(Firms!$C$5:$C$1004,$U1516)))</f>
        <v/>
      </c>
      <c r="P1516" s="79">
        <f>IF(OR($T1516="",$U1516=""),"",IF(INDEX(Firms!$N$5:$N$1004,$U1516)="","",INDEX(Firms!$N$5:$N$1004,$U1516)))</f>
        <v/>
      </c>
      <c r="Q1516" s="78">
        <f>IF($T1516="","",IF($S1516="S",IF(INDEX(Firms!$T$5:$T$1004,$T1516)="","",INDEX(Firms!$T$5:$T$1004,$T1516)),IF(INDEX('AFA Rates'!$M$5:$M$1004,$T1516)="","",INDEX('AFA Rates'!$M$5:$M$1004,$T1516))))</f>
        <v/>
      </c>
      <c r="S1516">
        <f>IF(1512&lt;=$S$2,"S",IF(1512&lt;=$S$2+$T$2,"A",""))</f>
        <v/>
      </c>
      <c r="T1516">
        <f>IF(S1516="S",MATCH(1512,Firms!$W$5:$W$1004,0),IF(S1516="A",IFERROR(MATCH(1512-$S$2,'AFA Rates'!$R$5:$R$1004,0),""),""))</f>
        <v/>
      </c>
      <c r="U1516">
        <f>IF(S1516="S",T1516,IF(AND(S1516="A",T1516&lt;&gt;""),IFERROR(MATCH(INDEX('AFA Rates'!$A$5:$A$1004,T1516),Firms!$A$5:$A$1004,0),""),""))</f>
        <v/>
      </c>
    </row>
    <row r="1517">
      <c r="A1517" s="78">
        <f>IF($T1517="","",IF($S1517="S",IF(INDEX(Firms!$A$5:$A$1004,$T1517)="","",INDEX(Firms!$A$5:$A$1004,$T1517)),IF(INDEX('AFA Rates'!$A$5:$A$1004,$T1517)="","",INDEX('AFA Rates'!$A$5:$A$1004,$T1517))))</f>
        <v/>
      </c>
      <c r="B1517" s="79">
        <f>IF(OR($T1517="",$U1517=""),IF($T1517="","","Not on Firms tab"),INDEX(Firms!$B$5:$B$1004,$U1517)&amp;"")</f>
        <v/>
      </c>
      <c r="C1517" s="78">
        <f>IF($T1517="","",IF($S1517="S","Standard",INDEX('AFA Rates'!$B$5:$B$1004,$T1517)&amp;""))</f>
        <v/>
      </c>
      <c r="D1517" s="88">
        <f>IF($T1517="","",IF($S1517="S",IF(INDEX(Firms!$E$5:$E$1004,$T1517)="","",INDEX(Firms!$E$5:$E$1004,$T1517)),IF(INDEX('AFA Rates'!$C$5:$C$1004,$T1517)="","",INDEX('AFA Rates'!$C$5:$C$1004,$T1517))))</f>
        <v/>
      </c>
      <c r="E1517" s="88">
        <f>IF($T1517="","",IF($S1517="S",IF(""="","",""),IF(INDEX('AFA Rates'!$D$5:$D$1004,$T1517)="","",INDEX('AFA Rates'!$D$5:$D$1004,$T1517))))</f>
        <v/>
      </c>
      <c r="F1517" s="79">
        <f>IF($T1517="","",IF($S1517="S",IF(INDEX(Firms!$O$5:$O$1004,$T1517)="","",INDEX(Firms!$O$5:$O$1004,$T1517)),IF(INDEX('AFA Rates'!$O$5:$O$1004,$T1517)="","",INDEX('AFA Rates'!$O$5:$O$1004,$T1517))))</f>
        <v/>
      </c>
      <c r="G1517" s="50">
        <f>IF($T1517="","",IF($S1517="S",IF(INDEX(Firms!$F$5:$F$1004,$T1517)="","",INDEX(Firms!$F$5:$F$1004,$T1517)),IF(INDEX('AFA Rates'!$E$5:$E$1004,$T1517)="","",INDEX('AFA Rates'!$E$5:$E$1004,$T1517))))</f>
        <v/>
      </c>
      <c r="H1517" s="50">
        <f>IF($T1517="","",IF($S1517="S",IF(INDEX(Firms!$G$5:$G$1004,$T1517)="","",INDEX(Firms!$G$5:$G$1004,$T1517)),IF(INDEX('AFA Rates'!$F$5:$F$1004,$T1517)="","",INDEX('AFA Rates'!$F$5:$F$1004,$T1517))))</f>
        <v/>
      </c>
      <c r="I1517" s="50">
        <f>IF($T1517="","",IF($S1517="S",IF(INDEX(Firms!$H$5:$H$1004,$T1517)="","",INDEX(Firms!$H$5:$H$1004,$T1517)),IF(INDEX('AFA Rates'!$G$5:$G$1004,$T1517)="","",INDEX('AFA Rates'!$G$5:$G$1004,$T1517))))</f>
        <v/>
      </c>
      <c r="J1517" s="50">
        <f>IF($T1517="","",IF($S1517="S",IF(INDEX(Firms!$I$5:$I$1004,$T1517)="","",INDEX(Firms!$I$5:$I$1004,$T1517)),IF(INDEX('AFA Rates'!$H$5:$H$1004,$T1517)="","",INDEX('AFA Rates'!$H$5:$H$1004,$T1517))))</f>
        <v/>
      </c>
      <c r="K1517" s="50">
        <f>IF($T1517="","",IF($S1517="S",IF(INDEX(Firms!$J$5:$J$1004,$T1517)="","",INDEX(Firms!$J$5:$J$1004,$T1517)),IF(INDEX('AFA Rates'!$I$5:$I$1004,$T1517)="","",INDEX('AFA Rates'!$I$5:$I$1004,$T1517))))</f>
        <v/>
      </c>
      <c r="L1517" s="50">
        <f>IF($T1517="","",IF($S1517="S",IF(INDEX(Firms!$K$5:$K$1004,$T1517)="","",INDEX(Firms!$K$5:$K$1004,$T1517)),IF(INDEX('AFA Rates'!$J$5:$J$1004,$T1517)="","",INDEX('AFA Rates'!$J$5:$J$1004,$T1517))))</f>
        <v/>
      </c>
      <c r="M1517" s="50">
        <f>IF($T1517="","",IF($S1517="S",IF(INDEX(Firms!$L$5:$L$1004,$T1517)="","",INDEX(Firms!$L$5:$L$1004,$T1517)),IF(INDEX('AFA Rates'!$K$5:$K$1004,$T1517)="","",INDEX('AFA Rates'!$K$5:$K$1004,$T1517))))</f>
        <v/>
      </c>
      <c r="N1517" s="50">
        <f>IF($T1517="","",IF($S1517="S",IF(INDEX(Firms!$M$5:$M$1004,$T1517)="","",INDEX(Firms!$M$5:$M$1004,$T1517)),IF(INDEX('AFA Rates'!$L$5:$L$1004,$T1517)="","",INDEX('AFA Rates'!$L$5:$L$1004,$T1517))))</f>
        <v/>
      </c>
      <c r="O1517" s="78">
        <f>IF(OR($T1517="",$U1517=""),"",IF(INDEX(Firms!$C$5:$C$1004,$U1517)="","",INDEX(Firms!$C$5:$C$1004,$U1517)))</f>
        <v/>
      </c>
      <c r="P1517" s="79">
        <f>IF(OR($T1517="",$U1517=""),"",IF(INDEX(Firms!$N$5:$N$1004,$U1517)="","",INDEX(Firms!$N$5:$N$1004,$U1517)))</f>
        <v/>
      </c>
      <c r="Q1517" s="78">
        <f>IF($T1517="","",IF($S1517="S",IF(INDEX(Firms!$T$5:$T$1004,$T1517)="","",INDEX(Firms!$T$5:$T$1004,$T1517)),IF(INDEX('AFA Rates'!$M$5:$M$1004,$T1517)="","",INDEX('AFA Rates'!$M$5:$M$1004,$T1517))))</f>
        <v/>
      </c>
      <c r="S1517">
        <f>IF(1513&lt;=$S$2,"S",IF(1513&lt;=$S$2+$T$2,"A",""))</f>
        <v/>
      </c>
      <c r="T1517">
        <f>IF(S1517="S",MATCH(1513,Firms!$W$5:$W$1004,0),IF(S1517="A",IFERROR(MATCH(1513-$S$2,'AFA Rates'!$R$5:$R$1004,0),""),""))</f>
        <v/>
      </c>
      <c r="U1517">
        <f>IF(S1517="S",T1517,IF(AND(S1517="A",T1517&lt;&gt;""),IFERROR(MATCH(INDEX('AFA Rates'!$A$5:$A$1004,T1517),Firms!$A$5:$A$1004,0),""),""))</f>
        <v/>
      </c>
    </row>
    <row r="1518">
      <c r="A1518" s="78">
        <f>IF($T1518="","",IF($S1518="S",IF(INDEX(Firms!$A$5:$A$1004,$T1518)="","",INDEX(Firms!$A$5:$A$1004,$T1518)),IF(INDEX('AFA Rates'!$A$5:$A$1004,$T1518)="","",INDEX('AFA Rates'!$A$5:$A$1004,$T1518))))</f>
        <v/>
      </c>
      <c r="B1518" s="79">
        <f>IF(OR($T1518="",$U1518=""),IF($T1518="","","Not on Firms tab"),INDEX(Firms!$B$5:$B$1004,$U1518)&amp;"")</f>
        <v/>
      </c>
      <c r="C1518" s="78">
        <f>IF($T1518="","",IF($S1518="S","Standard",INDEX('AFA Rates'!$B$5:$B$1004,$T1518)&amp;""))</f>
        <v/>
      </c>
      <c r="D1518" s="88">
        <f>IF($T1518="","",IF($S1518="S",IF(INDEX(Firms!$E$5:$E$1004,$T1518)="","",INDEX(Firms!$E$5:$E$1004,$T1518)),IF(INDEX('AFA Rates'!$C$5:$C$1004,$T1518)="","",INDEX('AFA Rates'!$C$5:$C$1004,$T1518))))</f>
        <v/>
      </c>
      <c r="E1518" s="88">
        <f>IF($T1518="","",IF($S1518="S",IF(""="","",""),IF(INDEX('AFA Rates'!$D$5:$D$1004,$T1518)="","",INDEX('AFA Rates'!$D$5:$D$1004,$T1518))))</f>
        <v/>
      </c>
      <c r="F1518" s="79">
        <f>IF($T1518="","",IF($S1518="S",IF(INDEX(Firms!$O$5:$O$1004,$T1518)="","",INDEX(Firms!$O$5:$O$1004,$T1518)),IF(INDEX('AFA Rates'!$O$5:$O$1004,$T1518)="","",INDEX('AFA Rates'!$O$5:$O$1004,$T1518))))</f>
        <v/>
      </c>
      <c r="G1518" s="50">
        <f>IF($T1518="","",IF($S1518="S",IF(INDEX(Firms!$F$5:$F$1004,$T1518)="","",INDEX(Firms!$F$5:$F$1004,$T1518)),IF(INDEX('AFA Rates'!$E$5:$E$1004,$T1518)="","",INDEX('AFA Rates'!$E$5:$E$1004,$T1518))))</f>
        <v/>
      </c>
      <c r="H1518" s="50">
        <f>IF($T1518="","",IF($S1518="S",IF(INDEX(Firms!$G$5:$G$1004,$T1518)="","",INDEX(Firms!$G$5:$G$1004,$T1518)),IF(INDEX('AFA Rates'!$F$5:$F$1004,$T1518)="","",INDEX('AFA Rates'!$F$5:$F$1004,$T1518))))</f>
        <v/>
      </c>
      <c r="I1518" s="50">
        <f>IF($T1518="","",IF($S1518="S",IF(INDEX(Firms!$H$5:$H$1004,$T1518)="","",INDEX(Firms!$H$5:$H$1004,$T1518)),IF(INDEX('AFA Rates'!$G$5:$G$1004,$T1518)="","",INDEX('AFA Rates'!$G$5:$G$1004,$T1518))))</f>
        <v/>
      </c>
      <c r="J1518" s="50">
        <f>IF($T1518="","",IF($S1518="S",IF(INDEX(Firms!$I$5:$I$1004,$T1518)="","",INDEX(Firms!$I$5:$I$1004,$T1518)),IF(INDEX('AFA Rates'!$H$5:$H$1004,$T1518)="","",INDEX('AFA Rates'!$H$5:$H$1004,$T1518))))</f>
        <v/>
      </c>
      <c r="K1518" s="50">
        <f>IF($T1518="","",IF($S1518="S",IF(INDEX(Firms!$J$5:$J$1004,$T1518)="","",INDEX(Firms!$J$5:$J$1004,$T1518)),IF(INDEX('AFA Rates'!$I$5:$I$1004,$T1518)="","",INDEX('AFA Rates'!$I$5:$I$1004,$T1518))))</f>
        <v/>
      </c>
      <c r="L1518" s="50">
        <f>IF($T1518="","",IF($S1518="S",IF(INDEX(Firms!$K$5:$K$1004,$T1518)="","",INDEX(Firms!$K$5:$K$1004,$T1518)),IF(INDEX('AFA Rates'!$J$5:$J$1004,$T1518)="","",INDEX('AFA Rates'!$J$5:$J$1004,$T1518))))</f>
        <v/>
      </c>
      <c r="M1518" s="50">
        <f>IF($T1518="","",IF($S1518="S",IF(INDEX(Firms!$L$5:$L$1004,$T1518)="","",INDEX(Firms!$L$5:$L$1004,$T1518)),IF(INDEX('AFA Rates'!$K$5:$K$1004,$T1518)="","",INDEX('AFA Rates'!$K$5:$K$1004,$T1518))))</f>
        <v/>
      </c>
      <c r="N1518" s="50">
        <f>IF($T1518="","",IF($S1518="S",IF(INDEX(Firms!$M$5:$M$1004,$T1518)="","",INDEX(Firms!$M$5:$M$1004,$T1518)),IF(INDEX('AFA Rates'!$L$5:$L$1004,$T1518)="","",INDEX('AFA Rates'!$L$5:$L$1004,$T1518))))</f>
        <v/>
      </c>
      <c r="O1518" s="78">
        <f>IF(OR($T1518="",$U1518=""),"",IF(INDEX(Firms!$C$5:$C$1004,$U1518)="","",INDEX(Firms!$C$5:$C$1004,$U1518)))</f>
        <v/>
      </c>
      <c r="P1518" s="79">
        <f>IF(OR($T1518="",$U1518=""),"",IF(INDEX(Firms!$N$5:$N$1004,$U1518)="","",INDEX(Firms!$N$5:$N$1004,$U1518)))</f>
        <v/>
      </c>
      <c r="Q1518" s="78">
        <f>IF($T1518="","",IF($S1518="S",IF(INDEX(Firms!$T$5:$T$1004,$T1518)="","",INDEX(Firms!$T$5:$T$1004,$T1518)),IF(INDEX('AFA Rates'!$M$5:$M$1004,$T1518)="","",INDEX('AFA Rates'!$M$5:$M$1004,$T1518))))</f>
        <v/>
      </c>
      <c r="S1518">
        <f>IF(1514&lt;=$S$2,"S",IF(1514&lt;=$S$2+$T$2,"A",""))</f>
        <v/>
      </c>
      <c r="T1518">
        <f>IF(S1518="S",MATCH(1514,Firms!$W$5:$W$1004,0),IF(S1518="A",IFERROR(MATCH(1514-$S$2,'AFA Rates'!$R$5:$R$1004,0),""),""))</f>
        <v/>
      </c>
      <c r="U1518">
        <f>IF(S1518="S",T1518,IF(AND(S1518="A",T1518&lt;&gt;""),IFERROR(MATCH(INDEX('AFA Rates'!$A$5:$A$1004,T1518),Firms!$A$5:$A$1004,0),""),""))</f>
        <v/>
      </c>
    </row>
    <row r="1519">
      <c r="A1519" s="78">
        <f>IF($T1519="","",IF($S1519="S",IF(INDEX(Firms!$A$5:$A$1004,$T1519)="","",INDEX(Firms!$A$5:$A$1004,$T1519)),IF(INDEX('AFA Rates'!$A$5:$A$1004,$T1519)="","",INDEX('AFA Rates'!$A$5:$A$1004,$T1519))))</f>
        <v/>
      </c>
      <c r="B1519" s="79">
        <f>IF(OR($T1519="",$U1519=""),IF($T1519="","","Not on Firms tab"),INDEX(Firms!$B$5:$B$1004,$U1519)&amp;"")</f>
        <v/>
      </c>
      <c r="C1519" s="78">
        <f>IF($T1519="","",IF($S1519="S","Standard",INDEX('AFA Rates'!$B$5:$B$1004,$T1519)&amp;""))</f>
        <v/>
      </c>
      <c r="D1519" s="88">
        <f>IF($T1519="","",IF($S1519="S",IF(INDEX(Firms!$E$5:$E$1004,$T1519)="","",INDEX(Firms!$E$5:$E$1004,$T1519)),IF(INDEX('AFA Rates'!$C$5:$C$1004,$T1519)="","",INDEX('AFA Rates'!$C$5:$C$1004,$T1519))))</f>
        <v/>
      </c>
      <c r="E1519" s="88">
        <f>IF($T1519="","",IF($S1519="S",IF(""="","",""),IF(INDEX('AFA Rates'!$D$5:$D$1004,$T1519)="","",INDEX('AFA Rates'!$D$5:$D$1004,$T1519))))</f>
        <v/>
      </c>
      <c r="F1519" s="79">
        <f>IF($T1519="","",IF($S1519="S",IF(INDEX(Firms!$O$5:$O$1004,$T1519)="","",INDEX(Firms!$O$5:$O$1004,$T1519)),IF(INDEX('AFA Rates'!$O$5:$O$1004,$T1519)="","",INDEX('AFA Rates'!$O$5:$O$1004,$T1519))))</f>
        <v/>
      </c>
      <c r="G1519" s="50">
        <f>IF($T1519="","",IF($S1519="S",IF(INDEX(Firms!$F$5:$F$1004,$T1519)="","",INDEX(Firms!$F$5:$F$1004,$T1519)),IF(INDEX('AFA Rates'!$E$5:$E$1004,$T1519)="","",INDEX('AFA Rates'!$E$5:$E$1004,$T1519))))</f>
        <v/>
      </c>
      <c r="H1519" s="50">
        <f>IF($T1519="","",IF($S1519="S",IF(INDEX(Firms!$G$5:$G$1004,$T1519)="","",INDEX(Firms!$G$5:$G$1004,$T1519)),IF(INDEX('AFA Rates'!$F$5:$F$1004,$T1519)="","",INDEX('AFA Rates'!$F$5:$F$1004,$T1519))))</f>
        <v/>
      </c>
      <c r="I1519" s="50">
        <f>IF($T1519="","",IF($S1519="S",IF(INDEX(Firms!$H$5:$H$1004,$T1519)="","",INDEX(Firms!$H$5:$H$1004,$T1519)),IF(INDEX('AFA Rates'!$G$5:$G$1004,$T1519)="","",INDEX('AFA Rates'!$G$5:$G$1004,$T1519))))</f>
        <v/>
      </c>
      <c r="J1519" s="50">
        <f>IF($T1519="","",IF($S1519="S",IF(INDEX(Firms!$I$5:$I$1004,$T1519)="","",INDEX(Firms!$I$5:$I$1004,$T1519)),IF(INDEX('AFA Rates'!$H$5:$H$1004,$T1519)="","",INDEX('AFA Rates'!$H$5:$H$1004,$T1519))))</f>
        <v/>
      </c>
      <c r="K1519" s="50">
        <f>IF($T1519="","",IF($S1519="S",IF(INDEX(Firms!$J$5:$J$1004,$T1519)="","",INDEX(Firms!$J$5:$J$1004,$T1519)),IF(INDEX('AFA Rates'!$I$5:$I$1004,$T1519)="","",INDEX('AFA Rates'!$I$5:$I$1004,$T1519))))</f>
        <v/>
      </c>
      <c r="L1519" s="50">
        <f>IF($T1519="","",IF($S1519="S",IF(INDEX(Firms!$K$5:$K$1004,$T1519)="","",INDEX(Firms!$K$5:$K$1004,$T1519)),IF(INDEX('AFA Rates'!$J$5:$J$1004,$T1519)="","",INDEX('AFA Rates'!$J$5:$J$1004,$T1519))))</f>
        <v/>
      </c>
      <c r="M1519" s="50">
        <f>IF($T1519="","",IF($S1519="S",IF(INDEX(Firms!$L$5:$L$1004,$T1519)="","",INDEX(Firms!$L$5:$L$1004,$T1519)),IF(INDEX('AFA Rates'!$K$5:$K$1004,$T1519)="","",INDEX('AFA Rates'!$K$5:$K$1004,$T1519))))</f>
        <v/>
      </c>
      <c r="N1519" s="50">
        <f>IF($T1519="","",IF($S1519="S",IF(INDEX(Firms!$M$5:$M$1004,$T1519)="","",INDEX(Firms!$M$5:$M$1004,$T1519)),IF(INDEX('AFA Rates'!$L$5:$L$1004,$T1519)="","",INDEX('AFA Rates'!$L$5:$L$1004,$T1519))))</f>
        <v/>
      </c>
      <c r="O1519" s="78">
        <f>IF(OR($T1519="",$U1519=""),"",IF(INDEX(Firms!$C$5:$C$1004,$U1519)="","",INDEX(Firms!$C$5:$C$1004,$U1519)))</f>
        <v/>
      </c>
      <c r="P1519" s="79">
        <f>IF(OR($T1519="",$U1519=""),"",IF(INDEX(Firms!$N$5:$N$1004,$U1519)="","",INDEX(Firms!$N$5:$N$1004,$U1519)))</f>
        <v/>
      </c>
      <c r="Q1519" s="78">
        <f>IF($T1519="","",IF($S1519="S",IF(INDEX(Firms!$T$5:$T$1004,$T1519)="","",INDEX(Firms!$T$5:$T$1004,$T1519)),IF(INDEX('AFA Rates'!$M$5:$M$1004,$T1519)="","",INDEX('AFA Rates'!$M$5:$M$1004,$T1519))))</f>
        <v/>
      </c>
      <c r="S1519">
        <f>IF(1515&lt;=$S$2,"S",IF(1515&lt;=$S$2+$T$2,"A",""))</f>
        <v/>
      </c>
      <c r="T1519">
        <f>IF(S1519="S",MATCH(1515,Firms!$W$5:$W$1004,0),IF(S1519="A",IFERROR(MATCH(1515-$S$2,'AFA Rates'!$R$5:$R$1004,0),""),""))</f>
        <v/>
      </c>
      <c r="U1519">
        <f>IF(S1519="S",T1519,IF(AND(S1519="A",T1519&lt;&gt;""),IFERROR(MATCH(INDEX('AFA Rates'!$A$5:$A$1004,T1519),Firms!$A$5:$A$1004,0),""),""))</f>
        <v/>
      </c>
    </row>
    <row r="1520">
      <c r="A1520" s="78">
        <f>IF($T1520="","",IF($S1520="S",IF(INDEX(Firms!$A$5:$A$1004,$T1520)="","",INDEX(Firms!$A$5:$A$1004,$T1520)),IF(INDEX('AFA Rates'!$A$5:$A$1004,$T1520)="","",INDEX('AFA Rates'!$A$5:$A$1004,$T1520))))</f>
        <v/>
      </c>
      <c r="B1520" s="79">
        <f>IF(OR($T1520="",$U1520=""),IF($T1520="","","Not on Firms tab"),INDEX(Firms!$B$5:$B$1004,$U1520)&amp;"")</f>
        <v/>
      </c>
      <c r="C1520" s="78">
        <f>IF($T1520="","",IF($S1520="S","Standard",INDEX('AFA Rates'!$B$5:$B$1004,$T1520)&amp;""))</f>
        <v/>
      </c>
      <c r="D1520" s="88">
        <f>IF($T1520="","",IF($S1520="S",IF(INDEX(Firms!$E$5:$E$1004,$T1520)="","",INDEX(Firms!$E$5:$E$1004,$T1520)),IF(INDEX('AFA Rates'!$C$5:$C$1004,$T1520)="","",INDEX('AFA Rates'!$C$5:$C$1004,$T1520))))</f>
        <v/>
      </c>
      <c r="E1520" s="88">
        <f>IF($T1520="","",IF($S1520="S",IF(""="","",""),IF(INDEX('AFA Rates'!$D$5:$D$1004,$T1520)="","",INDEX('AFA Rates'!$D$5:$D$1004,$T1520))))</f>
        <v/>
      </c>
      <c r="F1520" s="79">
        <f>IF($T1520="","",IF($S1520="S",IF(INDEX(Firms!$O$5:$O$1004,$T1520)="","",INDEX(Firms!$O$5:$O$1004,$T1520)),IF(INDEX('AFA Rates'!$O$5:$O$1004,$T1520)="","",INDEX('AFA Rates'!$O$5:$O$1004,$T1520))))</f>
        <v/>
      </c>
      <c r="G1520" s="50">
        <f>IF($T1520="","",IF($S1520="S",IF(INDEX(Firms!$F$5:$F$1004,$T1520)="","",INDEX(Firms!$F$5:$F$1004,$T1520)),IF(INDEX('AFA Rates'!$E$5:$E$1004,$T1520)="","",INDEX('AFA Rates'!$E$5:$E$1004,$T1520))))</f>
        <v/>
      </c>
      <c r="H1520" s="50">
        <f>IF($T1520="","",IF($S1520="S",IF(INDEX(Firms!$G$5:$G$1004,$T1520)="","",INDEX(Firms!$G$5:$G$1004,$T1520)),IF(INDEX('AFA Rates'!$F$5:$F$1004,$T1520)="","",INDEX('AFA Rates'!$F$5:$F$1004,$T1520))))</f>
        <v/>
      </c>
      <c r="I1520" s="50">
        <f>IF($T1520="","",IF($S1520="S",IF(INDEX(Firms!$H$5:$H$1004,$T1520)="","",INDEX(Firms!$H$5:$H$1004,$T1520)),IF(INDEX('AFA Rates'!$G$5:$G$1004,$T1520)="","",INDEX('AFA Rates'!$G$5:$G$1004,$T1520))))</f>
        <v/>
      </c>
      <c r="J1520" s="50">
        <f>IF($T1520="","",IF($S1520="S",IF(INDEX(Firms!$I$5:$I$1004,$T1520)="","",INDEX(Firms!$I$5:$I$1004,$T1520)),IF(INDEX('AFA Rates'!$H$5:$H$1004,$T1520)="","",INDEX('AFA Rates'!$H$5:$H$1004,$T1520))))</f>
        <v/>
      </c>
      <c r="K1520" s="50">
        <f>IF($T1520="","",IF($S1520="S",IF(INDEX(Firms!$J$5:$J$1004,$T1520)="","",INDEX(Firms!$J$5:$J$1004,$T1520)),IF(INDEX('AFA Rates'!$I$5:$I$1004,$T1520)="","",INDEX('AFA Rates'!$I$5:$I$1004,$T1520))))</f>
        <v/>
      </c>
      <c r="L1520" s="50">
        <f>IF($T1520="","",IF($S1520="S",IF(INDEX(Firms!$K$5:$K$1004,$T1520)="","",INDEX(Firms!$K$5:$K$1004,$T1520)),IF(INDEX('AFA Rates'!$J$5:$J$1004,$T1520)="","",INDEX('AFA Rates'!$J$5:$J$1004,$T1520))))</f>
        <v/>
      </c>
      <c r="M1520" s="50">
        <f>IF($T1520="","",IF($S1520="S",IF(INDEX(Firms!$L$5:$L$1004,$T1520)="","",INDEX(Firms!$L$5:$L$1004,$T1520)),IF(INDEX('AFA Rates'!$K$5:$K$1004,$T1520)="","",INDEX('AFA Rates'!$K$5:$K$1004,$T1520))))</f>
        <v/>
      </c>
      <c r="N1520" s="50">
        <f>IF($T1520="","",IF($S1520="S",IF(INDEX(Firms!$M$5:$M$1004,$T1520)="","",INDEX(Firms!$M$5:$M$1004,$T1520)),IF(INDEX('AFA Rates'!$L$5:$L$1004,$T1520)="","",INDEX('AFA Rates'!$L$5:$L$1004,$T1520))))</f>
        <v/>
      </c>
      <c r="O1520" s="78">
        <f>IF(OR($T1520="",$U1520=""),"",IF(INDEX(Firms!$C$5:$C$1004,$U1520)="","",INDEX(Firms!$C$5:$C$1004,$U1520)))</f>
        <v/>
      </c>
      <c r="P1520" s="79">
        <f>IF(OR($T1520="",$U1520=""),"",IF(INDEX(Firms!$N$5:$N$1004,$U1520)="","",INDEX(Firms!$N$5:$N$1004,$U1520)))</f>
        <v/>
      </c>
      <c r="Q1520" s="78">
        <f>IF($T1520="","",IF($S1520="S",IF(INDEX(Firms!$T$5:$T$1004,$T1520)="","",INDEX(Firms!$T$5:$T$1004,$T1520)),IF(INDEX('AFA Rates'!$M$5:$M$1004,$T1520)="","",INDEX('AFA Rates'!$M$5:$M$1004,$T1520))))</f>
        <v/>
      </c>
      <c r="S1520">
        <f>IF(1516&lt;=$S$2,"S",IF(1516&lt;=$S$2+$T$2,"A",""))</f>
        <v/>
      </c>
      <c r="T1520">
        <f>IF(S1520="S",MATCH(1516,Firms!$W$5:$W$1004,0),IF(S1520="A",IFERROR(MATCH(1516-$S$2,'AFA Rates'!$R$5:$R$1004,0),""),""))</f>
        <v/>
      </c>
      <c r="U1520">
        <f>IF(S1520="S",T1520,IF(AND(S1520="A",T1520&lt;&gt;""),IFERROR(MATCH(INDEX('AFA Rates'!$A$5:$A$1004,T1520),Firms!$A$5:$A$1004,0),""),""))</f>
        <v/>
      </c>
    </row>
    <row r="1521">
      <c r="A1521" s="78">
        <f>IF($T1521="","",IF($S1521="S",IF(INDEX(Firms!$A$5:$A$1004,$T1521)="","",INDEX(Firms!$A$5:$A$1004,$T1521)),IF(INDEX('AFA Rates'!$A$5:$A$1004,$T1521)="","",INDEX('AFA Rates'!$A$5:$A$1004,$T1521))))</f>
        <v/>
      </c>
      <c r="B1521" s="79">
        <f>IF(OR($T1521="",$U1521=""),IF($T1521="","","Not on Firms tab"),INDEX(Firms!$B$5:$B$1004,$U1521)&amp;"")</f>
        <v/>
      </c>
      <c r="C1521" s="78">
        <f>IF($T1521="","",IF($S1521="S","Standard",INDEX('AFA Rates'!$B$5:$B$1004,$T1521)&amp;""))</f>
        <v/>
      </c>
      <c r="D1521" s="88">
        <f>IF($T1521="","",IF($S1521="S",IF(INDEX(Firms!$E$5:$E$1004,$T1521)="","",INDEX(Firms!$E$5:$E$1004,$T1521)),IF(INDEX('AFA Rates'!$C$5:$C$1004,$T1521)="","",INDEX('AFA Rates'!$C$5:$C$1004,$T1521))))</f>
        <v/>
      </c>
      <c r="E1521" s="88">
        <f>IF($T1521="","",IF($S1521="S",IF(""="","",""),IF(INDEX('AFA Rates'!$D$5:$D$1004,$T1521)="","",INDEX('AFA Rates'!$D$5:$D$1004,$T1521))))</f>
        <v/>
      </c>
      <c r="F1521" s="79">
        <f>IF($T1521="","",IF($S1521="S",IF(INDEX(Firms!$O$5:$O$1004,$T1521)="","",INDEX(Firms!$O$5:$O$1004,$T1521)),IF(INDEX('AFA Rates'!$O$5:$O$1004,$T1521)="","",INDEX('AFA Rates'!$O$5:$O$1004,$T1521))))</f>
        <v/>
      </c>
      <c r="G1521" s="50">
        <f>IF($T1521="","",IF($S1521="S",IF(INDEX(Firms!$F$5:$F$1004,$T1521)="","",INDEX(Firms!$F$5:$F$1004,$T1521)),IF(INDEX('AFA Rates'!$E$5:$E$1004,$T1521)="","",INDEX('AFA Rates'!$E$5:$E$1004,$T1521))))</f>
        <v/>
      </c>
      <c r="H1521" s="50">
        <f>IF($T1521="","",IF($S1521="S",IF(INDEX(Firms!$G$5:$G$1004,$T1521)="","",INDEX(Firms!$G$5:$G$1004,$T1521)),IF(INDEX('AFA Rates'!$F$5:$F$1004,$T1521)="","",INDEX('AFA Rates'!$F$5:$F$1004,$T1521))))</f>
        <v/>
      </c>
      <c r="I1521" s="50">
        <f>IF($T1521="","",IF($S1521="S",IF(INDEX(Firms!$H$5:$H$1004,$T1521)="","",INDEX(Firms!$H$5:$H$1004,$T1521)),IF(INDEX('AFA Rates'!$G$5:$G$1004,$T1521)="","",INDEX('AFA Rates'!$G$5:$G$1004,$T1521))))</f>
        <v/>
      </c>
      <c r="J1521" s="50">
        <f>IF($T1521="","",IF($S1521="S",IF(INDEX(Firms!$I$5:$I$1004,$T1521)="","",INDEX(Firms!$I$5:$I$1004,$T1521)),IF(INDEX('AFA Rates'!$H$5:$H$1004,$T1521)="","",INDEX('AFA Rates'!$H$5:$H$1004,$T1521))))</f>
        <v/>
      </c>
      <c r="K1521" s="50">
        <f>IF($T1521="","",IF($S1521="S",IF(INDEX(Firms!$J$5:$J$1004,$T1521)="","",INDEX(Firms!$J$5:$J$1004,$T1521)),IF(INDEX('AFA Rates'!$I$5:$I$1004,$T1521)="","",INDEX('AFA Rates'!$I$5:$I$1004,$T1521))))</f>
        <v/>
      </c>
      <c r="L1521" s="50">
        <f>IF($T1521="","",IF($S1521="S",IF(INDEX(Firms!$K$5:$K$1004,$T1521)="","",INDEX(Firms!$K$5:$K$1004,$T1521)),IF(INDEX('AFA Rates'!$J$5:$J$1004,$T1521)="","",INDEX('AFA Rates'!$J$5:$J$1004,$T1521))))</f>
        <v/>
      </c>
      <c r="M1521" s="50">
        <f>IF($T1521="","",IF($S1521="S",IF(INDEX(Firms!$L$5:$L$1004,$T1521)="","",INDEX(Firms!$L$5:$L$1004,$T1521)),IF(INDEX('AFA Rates'!$K$5:$K$1004,$T1521)="","",INDEX('AFA Rates'!$K$5:$K$1004,$T1521))))</f>
        <v/>
      </c>
      <c r="N1521" s="50">
        <f>IF($T1521="","",IF($S1521="S",IF(INDEX(Firms!$M$5:$M$1004,$T1521)="","",INDEX(Firms!$M$5:$M$1004,$T1521)),IF(INDEX('AFA Rates'!$L$5:$L$1004,$T1521)="","",INDEX('AFA Rates'!$L$5:$L$1004,$T1521))))</f>
        <v/>
      </c>
      <c r="O1521" s="78">
        <f>IF(OR($T1521="",$U1521=""),"",IF(INDEX(Firms!$C$5:$C$1004,$U1521)="","",INDEX(Firms!$C$5:$C$1004,$U1521)))</f>
        <v/>
      </c>
      <c r="P1521" s="79">
        <f>IF(OR($T1521="",$U1521=""),"",IF(INDEX(Firms!$N$5:$N$1004,$U1521)="","",INDEX(Firms!$N$5:$N$1004,$U1521)))</f>
        <v/>
      </c>
      <c r="Q1521" s="78">
        <f>IF($T1521="","",IF($S1521="S",IF(INDEX(Firms!$T$5:$T$1004,$T1521)="","",INDEX(Firms!$T$5:$T$1004,$T1521)),IF(INDEX('AFA Rates'!$M$5:$M$1004,$T1521)="","",INDEX('AFA Rates'!$M$5:$M$1004,$T1521))))</f>
        <v/>
      </c>
      <c r="S1521">
        <f>IF(1517&lt;=$S$2,"S",IF(1517&lt;=$S$2+$T$2,"A",""))</f>
        <v/>
      </c>
      <c r="T1521">
        <f>IF(S1521="S",MATCH(1517,Firms!$W$5:$W$1004,0),IF(S1521="A",IFERROR(MATCH(1517-$S$2,'AFA Rates'!$R$5:$R$1004,0),""),""))</f>
        <v/>
      </c>
      <c r="U1521">
        <f>IF(S1521="S",T1521,IF(AND(S1521="A",T1521&lt;&gt;""),IFERROR(MATCH(INDEX('AFA Rates'!$A$5:$A$1004,T1521),Firms!$A$5:$A$1004,0),""),""))</f>
        <v/>
      </c>
    </row>
    <row r="1522">
      <c r="A1522" s="78">
        <f>IF($T1522="","",IF($S1522="S",IF(INDEX(Firms!$A$5:$A$1004,$T1522)="","",INDEX(Firms!$A$5:$A$1004,$T1522)),IF(INDEX('AFA Rates'!$A$5:$A$1004,$T1522)="","",INDEX('AFA Rates'!$A$5:$A$1004,$T1522))))</f>
        <v/>
      </c>
      <c r="B1522" s="79">
        <f>IF(OR($T1522="",$U1522=""),IF($T1522="","","Not on Firms tab"),INDEX(Firms!$B$5:$B$1004,$U1522)&amp;"")</f>
        <v/>
      </c>
      <c r="C1522" s="78">
        <f>IF($T1522="","",IF($S1522="S","Standard",INDEX('AFA Rates'!$B$5:$B$1004,$T1522)&amp;""))</f>
        <v/>
      </c>
      <c r="D1522" s="88">
        <f>IF($T1522="","",IF($S1522="S",IF(INDEX(Firms!$E$5:$E$1004,$T1522)="","",INDEX(Firms!$E$5:$E$1004,$T1522)),IF(INDEX('AFA Rates'!$C$5:$C$1004,$T1522)="","",INDEX('AFA Rates'!$C$5:$C$1004,$T1522))))</f>
        <v/>
      </c>
      <c r="E1522" s="88">
        <f>IF($T1522="","",IF($S1522="S",IF(""="","",""),IF(INDEX('AFA Rates'!$D$5:$D$1004,$T1522)="","",INDEX('AFA Rates'!$D$5:$D$1004,$T1522))))</f>
        <v/>
      </c>
      <c r="F1522" s="79">
        <f>IF($T1522="","",IF($S1522="S",IF(INDEX(Firms!$O$5:$O$1004,$T1522)="","",INDEX(Firms!$O$5:$O$1004,$T1522)),IF(INDEX('AFA Rates'!$O$5:$O$1004,$T1522)="","",INDEX('AFA Rates'!$O$5:$O$1004,$T1522))))</f>
        <v/>
      </c>
      <c r="G1522" s="50">
        <f>IF($T1522="","",IF($S1522="S",IF(INDEX(Firms!$F$5:$F$1004,$T1522)="","",INDEX(Firms!$F$5:$F$1004,$T1522)),IF(INDEX('AFA Rates'!$E$5:$E$1004,$T1522)="","",INDEX('AFA Rates'!$E$5:$E$1004,$T1522))))</f>
        <v/>
      </c>
      <c r="H1522" s="50">
        <f>IF($T1522="","",IF($S1522="S",IF(INDEX(Firms!$G$5:$G$1004,$T1522)="","",INDEX(Firms!$G$5:$G$1004,$T1522)),IF(INDEX('AFA Rates'!$F$5:$F$1004,$T1522)="","",INDEX('AFA Rates'!$F$5:$F$1004,$T1522))))</f>
        <v/>
      </c>
      <c r="I1522" s="50">
        <f>IF($T1522="","",IF($S1522="S",IF(INDEX(Firms!$H$5:$H$1004,$T1522)="","",INDEX(Firms!$H$5:$H$1004,$T1522)),IF(INDEX('AFA Rates'!$G$5:$G$1004,$T1522)="","",INDEX('AFA Rates'!$G$5:$G$1004,$T1522))))</f>
        <v/>
      </c>
      <c r="J1522" s="50">
        <f>IF($T1522="","",IF($S1522="S",IF(INDEX(Firms!$I$5:$I$1004,$T1522)="","",INDEX(Firms!$I$5:$I$1004,$T1522)),IF(INDEX('AFA Rates'!$H$5:$H$1004,$T1522)="","",INDEX('AFA Rates'!$H$5:$H$1004,$T1522))))</f>
        <v/>
      </c>
      <c r="K1522" s="50">
        <f>IF($T1522="","",IF($S1522="S",IF(INDEX(Firms!$J$5:$J$1004,$T1522)="","",INDEX(Firms!$J$5:$J$1004,$T1522)),IF(INDEX('AFA Rates'!$I$5:$I$1004,$T1522)="","",INDEX('AFA Rates'!$I$5:$I$1004,$T1522))))</f>
        <v/>
      </c>
      <c r="L1522" s="50">
        <f>IF($T1522="","",IF($S1522="S",IF(INDEX(Firms!$K$5:$K$1004,$T1522)="","",INDEX(Firms!$K$5:$K$1004,$T1522)),IF(INDEX('AFA Rates'!$J$5:$J$1004,$T1522)="","",INDEX('AFA Rates'!$J$5:$J$1004,$T1522))))</f>
        <v/>
      </c>
      <c r="M1522" s="50">
        <f>IF($T1522="","",IF($S1522="S",IF(INDEX(Firms!$L$5:$L$1004,$T1522)="","",INDEX(Firms!$L$5:$L$1004,$T1522)),IF(INDEX('AFA Rates'!$K$5:$K$1004,$T1522)="","",INDEX('AFA Rates'!$K$5:$K$1004,$T1522))))</f>
        <v/>
      </c>
      <c r="N1522" s="50">
        <f>IF($T1522="","",IF($S1522="S",IF(INDEX(Firms!$M$5:$M$1004,$T1522)="","",INDEX(Firms!$M$5:$M$1004,$T1522)),IF(INDEX('AFA Rates'!$L$5:$L$1004,$T1522)="","",INDEX('AFA Rates'!$L$5:$L$1004,$T1522))))</f>
        <v/>
      </c>
      <c r="O1522" s="78">
        <f>IF(OR($T1522="",$U1522=""),"",IF(INDEX(Firms!$C$5:$C$1004,$U1522)="","",INDEX(Firms!$C$5:$C$1004,$U1522)))</f>
        <v/>
      </c>
      <c r="P1522" s="79">
        <f>IF(OR($T1522="",$U1522=""),"",IF(INDEX(Firms!$N$5:$N$1004,$U1522)="","",INDEX(Firms!$N$5:$N$1004,$U1522)))</f>
        <v/>
      </c>
      <c r="Q1522" s="78">
        <f>IF($T1522="","",IF($S1522="S",IF(INDEX(Firms!$T$5:$T$1004,$T1522)="","",INDEX(Firms!$T$5:$T$1004,$T1522)),IF(INDEX('AFA Rates'!$M$5:$M$1004,$T1522)="","",INDEX('AFA Rates'!$M$5:$M$1004,$T1522))))</f>
        <v/>
      </c>
      <c r="S1522">
        <f>IF(1518&lt;=$S$2,"S",IF(1518&lt;=$S$2+$T$2,"A",""))</f>
        <v/>
      </c>
      <c r="T1522">
        <f>IF(S1522="S",MATCH(1518,Firms!$W$5:$W$1004,0),IF(S1522="A",IFERROR(MATCH(1518-$S$2,'AFA Rates'!$R$5:$R$1004,0),""),""))</f>
        <v/>
      </c>
      <c r="U1522">
        <f>IF(S1522="S",T1522,IF(AND(S1522="A",T1522&lt;&gt;""),IFERROR(MATCH(INDEX('AFA Rates'!$A$5:$A$1004,T1522),Firms!$A$5:$A$1004,0),""),""))</f>
        <v/>
      </c>
    </row>
    <row r="1523">
      <c r="A1523" s="78">
        <f>IF($T1523="","",IF($S1523="S",IF(INDEX(Firms!$A$5:$A$1004,$T1523)="","",INDEX(Firms!$A$5:$A$1004,$T1523)),IF(INDEX('AFA Rates'!$A$5:$A$1004,$T1523)="","",INDEX('AFA Rates'!$A$5:$A$1004,$T1523))))</f>
        <v/>
      </c>
      <c r="B1523" s="79">
        <f>IF(OR($T1523="",$U1523=""),IF($T1523="","","Not on Firms tab"),INDEX(Firms!$B$5:$B$1004,$U1523)&amp;"")</f>
        <v/>
      </c>
      <c r="C1523" s="78">
        <f>IF($T1523="","",IF($S1523="S","Standard",INDEX('AFA Rates'!$B$5:$B$1004,$T1523)&amp;""))</f>
        <v/>
      </c>
      <c r="D1523" s="88">
        <f>IF($T1523="","",IF($S1523="S",IF(INDEX(Firms!$E$5:$E$1004,$T1523)="","",INDEX(Firms!$E$5:$E$1004,$T1523)),IF(INDEX('AFA Rates'!$C$5:$C$1004,$T1523)="","",INDEX('AFA Rates'!$C$5:$C$1004,$T1523))))</f>
        <v/>
      </c>
      <c r="E1523" s="88">
        <f>IF($T1523="","",IF($S1523="S",IF(""="","",""),IF(INDEX('AFA Rates'!$D$5:$D$1004,$T1523)="","",INDEX('AFA Rates'!$D$5:$D$1004,$T1523))))</f>
        <v/>
      </c>
      <c r="F1523" s="79">
        <f>IF($T1523="","",IF($S1523="S",IF(INDEX(Firms!$O$5:$O$1004,$T1523)="","",INDEX(Firms!$O$5:$O$1004,$T1523)),IF(INDEX('AFA Rates'!$O$5:$O$1004,$T1523)="","",INDEX('AFA Rates'!$O$5:$O$1004,$T1523))))</f>
        <v/>
      </c>
      <c r="G1523" s="50">
        <f>IF($T1523="","",IF($S1523="S",IF(INDEX(Firms!$F$5:$F$1004,$T1523)="","",INDEX(Firms!$F$5:$F$1004,$T1523)),IF(INDEX('AFA Rates'!$E$5:$E$1004,$T1523)="","",INDEX('AFA Rates'!$E$5:$E$1004,$T1523))))</f>
        <v/>
      </c>
      <c r="H1523" s="50">
        <f>IF($T1523="","",IF($S1523="S",IF(INDEX(Firms!$G$5:$G$1004,$T1523)="","",INDEX(Firms!$G$5:$G$1004,$T1523)),IF(INDEX('AFA Rates'!$F$5:$F$1004,$T1523)="","",INDEX('AFA Rates'!$F$5:$F$1004,$T1523))))</f>
        <v/>
      </c>
      <c r="I1523" s="50">
        <f>IF($T1523="","",IF($S1523="S",IF(INDEX(Firms!$H$5:$H$1004,$T1523)="","",INDEX(Firms!$H$5:$H$1004,$T1523)),IF(INDEX('AFA Rates'!$G$5:$G$1004,$T1523)="","",INDEX('AFA Rates'!$G$5:$G$1004,$T1523))))</f>
        <v/>
      </c>
      <c r="J1523" s="50">
        <f>IF($T1523="","",IF($S1523="S",IF(INDEX(Firms!$I$5:$I$1004,$T1523)="","",INDEX(Firms!$I$5:$I$1004,$T1523)),IF(INDEX('AFA Rates'!$H$5:$H$1004,$T1523)="","",INDEX('AFA Rates'!$H$5:$H$1004,$T1523))))</f>
        <v/>
      </c>
      <c r="K1523" s="50">
        <f>IF($T1523="","",IF($S1523="S",IF(INDEX(Firms!$J$5:$J$1004,$T1523)="","",INDEX(Firms!$J$5:$J$1004,$T1523)),IF(INDEX('AFA Rates'!$I$5:$I$1004,$T1523)="","",INDEX('AFA Rates'!$I$5:$I$1004,$T1523))))</f>
        <v/>
      </c>
      <c r="L1523" s="50">
        <f>IF($T1523="","",IF($S1523="S",IF(INDEX(Firms!$K$5:$K$1004,$T1523)="","",INDEX(Firms!$K$5:$K$1004,$T1523)),IF(INDEX('AFA Rates'!$J$5:$J$1004,$T1523)="","",INDEX('AFA Rates'!$J$5:$J$1004,$T1523))))</f>
        <v/>
      </c>
      <c r="M1523" s="50">
        <f>IF($T1523="","",IF($S1523="S",IF(INDEX(Firms!$L$5:$L$1004,$T1523)="","",INDEX(Firms!$L$5:$L$1004,$T1523)),IF(INDEX('AFA Rates'!$K$5:$K$1004,$T1523)="","",INDEX('AFA Rates'!$K$5:$K$1004,$T1523))))</f>
        <v/>
      </c>
      <c r="N1523" s="50">
        <f>IF($T1523="","",IF($S1523="S",IF(INDEX(Firms!$M$5:$M$1004,$T1523)="","",INDEX(Firms!$M$5:$M$1004,$T1523)),IF(INDEX('AFA Rates'!$L$5:$L$1004,$T1523)="","",INDEX('AFA Rates'!$L$5:$L$1004,$T1523))))</f>
        <v/>
      </c>
      <c r="O1523" s="78">
        <f>IF(OR($T1523="",$U1523=""),"",IF(INDEX(Firms!$C$5:$C$1004,$U1523)="","",INDEX(Firms!$C$5:$C$1004,$U1523)))</f>
        <v/>
      </c>
      <c r="P1523" s="79">
        <f>IF(OR($T1523="",$U1523=""),"",IF(INDEX(Firms!$N$5:$N$1004,$U1523)="","",INDEX(Firms!$N$5:$N$1004,$U1523)))</f>
        <v/>
      </c>
      <c r="Q1523" s="78">
        <f>IF($T1523="","",IF($S1523="S",IF(INDEX(Firms!$T$5:$T$1004,$T1523)="","",INDEX(Firms!$T$5:$T$1004,$T1523)),IF(INDEX('AFA Rates'!$M$5:$M$1004,$T1523)="","",INDEX('AFA Rates'!$M$5:$M$1004,$T1523))))</f>
        <v/>
      </c>
      <c r="S1523">
        <f>IF(1519&lt;=$S$2,"S",IF(1519&lt;=$S$2+$T$2,"A",""))</f>
        <v/>
      </c>
      <c r="T1523">
        <f>IF(S1523="S",MATCH(1519,Firms!$W$5:$W$1004,0),IF(S1523="A",IFERROR(MATCH(1519-$S$2,'AFA Rates'!$R$5:$R$1004,0),""),""))</f>
        <v/>
      </c>
      <c r="U1523">
        <f>IF(S1523="S",T1523,IF(AND(S1523="A",T1523&lt;&gt;""),IFERROR(MATCH(INDEX('AFA Rates'!$A$5:$A$1004,T1523),Firms!$A$5:$A$1004,0),""),""))</f>
        <v/>
      </c>
    </row>
    <row r="1524">
      <c r="A1524" s="78">
        <f>IF($T1524="","",IF($S1524="S",IF(INDEX(Firms!$A$5:$A$1004,$T1524)="","",INDEX(Firms!$A$5:$A$1004,$T1524)),IF(INDEX('AFA Rates'!$A$5:$A$1004,$T1524)="","",INDEX('AFA Rates'!$A$5:$A$1004,$T1524))))</f>
        <v/>
      </c>
      <c r="B1524" s="79">
        <f>IF(OR($T1524="",$U1524=""),IF($T1524="","","Not on Firms tab"),INDEX(Firms!$B$5:$B$1004,$U1524)&amp;"")</f>
        <v/>
      </c>
      <c r="C1524" s="78">
        <f>IF($T1524="","",IF($S1524="S","Standard",INDEX('AFA Rates'!$B$5:$B$1004,$T1524)&amp;""))</f>
        <v/>
      </c>
      <c r="D1524" s="88">
        <f>IF($T1524="","",IF($S1524="S",IF(INDEX(Firms!$E$5:$E$1004,$T1524)="","",INDEX(Firms!$E$5:$E$1004,$T1524)),IF(INDEX('AFA Rates'!$C$5:$C$1004,$T1524)="","",INDEX('AFA Rates'!$C$5:$C$1004,$T1524))))</f>
        <v/>
      </c>
      <c r="E1524" s="88">
        <f>IF($T1524="","",IF($S1524="S",IF(""="","",""),IF(INDEX('AFA Rates'!$D$5:$D$1004,$T1524)="","",INDEX('AFA Rates'!$D$5:$D$1004,$T1524))))</f>
        <v/>
      </c>
      <c r="F1524" s="79">
        <f>IF($T1524="","",IF($S1524="S",IF(INDEX(Firms!$O$5:$O$1004,$T1524)="","",INDEX(Firms!$O$5:$O$1004,$T1524)),IF(INDEX('AFA Rates'!$O$5:$O$1004,$T1524)="","",INDEX('AFA Rates'!$O$5:$O$1004,$T1524))))</f>
        <v/>
      </c>
      <c r="G1524" s="50">
        <f>IF($T1524="","",IF($S1524="S",IF(INDEX(Firms!$F$5:$F$1004,$T1524)="","",INDEX(Firms!$F$5:$F$1004,$T1524)),IF(INDEX('AFA Rates'!$E$5:$E$1004,$T1524)="","",INDEX('AFA Rates'!$E$5:$E$1004,$T1524))))</f>
        <v/>
      </c>
      <c r="H1524" s="50">
        <f>IF($T1524="","",IF($S1524="S",IF(INDEX(Firms!$G$5:$G$1004,$T1524)="","",INDEX(Firms!$G$5:$G$1004,$T1524)),IF(INDEX('AFA Rates'!$F$5:$F$1004,$T1524)="","",INDEX('AFA Rates'!$F$5:$F$1004,$T1524))))</f>
        <v/>
      </c>
      <c r="I1524" s="50">
        <f>IF($T1524="","",IF($S1524="S",IF(INDEX(Firms!$H$5:$H$1004,$T1524)="","",INDEX(Firms!$H$5:$H$1004,$T1524)),IF(INDEX('AFA Rates'!$G$5:$G$1004,$T1524)="","",INDEX('AFA Rates'!$G$5:$G$1004,$T1524))))</f>
        <v/>
      </c>
      <c r="J1524" s="50">
        <f>IF($T1524="","",IF($S1524="S",IF(INDEX(Firms!$I$5:$I$1004,$T1524)="","",INDEX(Firms!$I$5:$I$1004,$T1524)),IF(INDEX('AFA Rates'!$H$5:$H$1004,$T1524)="","",INDEX('AFA Rates'!$H$5:$H$1004,$T1524))))</f>
        <v/>
      </c>
      <c r="K1524" s="50">
        <f>IF($T1524="","",IF($S1524="S",IF(INDEX(Firms!$J$5:$J$1004,$T1524)="","",INDEX(Firms!$J$5:$J$1004,$T1524)),IF(INDEX('AFA Rates'!$I$5:$I$1004,$T1524)="","",INDEX('AFA Rates'!$I$5:$I$1004,$T1524))))</f>
        <v/>
      </c>
      <c r="L1524" s="50">
        <f>IF($T1524="","",IF($S1524="S",IF(INDEX(Firms!$K$5:$K$1004,$T1524)="","",INDEX(Firms!$K$5:$K$1004,$T1524)),IF(INDEX('AFA Rates'!$J$5:$J$1004,$T1524)="","",INDEX('AFA Rates'!$J$5:$J$1004,$T1524))))</f>
        <v/>
      </c>
      <c r="M1524" s="50">
        <f>IF($T1524="","",IF($S1524="S",IF(INDEX(Firms!$L$5:$L$1004,$T1524)="","",INDEX(Firms!$L$5:$L$1004,$T1524)),IF(INDEX('AFA Rates'!$K$5:$K$1004,$T1524)="","",INDEX('AFA Rates'!$K$5:$K$1004,$T1524))))</f>
        <v/>
      </c>
      <c r="N1524" s="50">
        <f>IF($T1524="","",IF($S1524="S",IF(INDEX(Firms!$M$5:$M$1004,$T1524)="","",INDEX(Firms!$M$5:$M$1004,$T1524)),IF(INDEX('AFA Rates'!$L$5:$L$1004,$T1524)="","",INDEX('AFA Rates'!$L$5:$L$1004,$T1524))))</f>
        <v/>
      </c>
      <c r="O1524" s="78">
        <f>IF(OR($T1524="",$U1524=""),"",IF(INDEX(Firms!$C$5:$C$1004,$U1524)="","",INDEX(Firms!$C$5:$C$1004,$U1524)))</f>
        <v/>
      </c>
      <c r="P1524" s="79">
        <f>IF(OR($T1524="",$U1524=""),"",IF(INDEX(Firms!$N$5:$N$1004,$U1524)="","",INDEX(Firms!$N$5:$N$1004,$U1524)))</f>
        <v/>
      </c>
      <c r="Q1524" s="78">
        <f>IF($T1524="","",IF($S1524="S",IF(INDEX(Firms!$T$5:$T$1004,$T1524)="","",INDEX(Firms!$T$5:$T$1004,$T1524)),IF(INDEX('AFA Rates'!$M$5:$M$1004,$T1524)="","",INDEX('AFA Rates'!$M$5:$M$1004,$T1524))))</f>
        <v/>
      </c>
      <c r="S1524">
        <f>IF(1520&lt;=$S$2,"S",IF(1520&lt;=$S$2+$T$2,"A",""))</f>
        <v/>
      </c>
      <c r="T1524">
        <f>IF(S1524="S",MATCH(1520,Firms!$W$5:$W$1004,0),IF(S1524="A",IFERROR(MATCH(1520-$S$2,'AFA Rates'!$R$5:$R$1004,0),""),""))</f>
        <v/>
      </c>
      <c r="U1524">
        <f>IF(S1524="S",T1524,IF(AND(S1524="A",T1524&lt;&gt;""),IFERROR(MATCH(INDEX('AFA Rates'!$A$5:$A$1004,T1524),Firms!$A$5:$A$1004,0),""),""))</f>
        <v/>
      </c>
    </row>
    <row r="1525">
      <c r="A1525" s="78">
        <f>IF($T1525="","",IF($S1525="S",IF(INDEX(Firms!$A$5:$A$1004,$T1525)="","",INDEX(Firms!$A$5:$A$1004,$T1525)),IF(INDEX('AFA Rates'!$A$5:$A$1004,$T1525)="","",INDEX('AFA Rates'!$A$5:$A$1004,$T1525))))</f>
        <v/>
      </c>
      <c r="B1525" s="79">
        <f>IF(OR($T1525="",$U1525=""),IF($T1525="","","Not on Firms tab"),INDEX(Firms!$B$5:$B$1004,$U1525)&amp;"")</f>
        <v/>
      </c>
      <c r="C1525" s="78">
        <f>IF($T1525="","",IF($S1525="S","Standard",INDEX('AFA Rates'!$B$5:$B$1004,$T1525)&amp;""))</f>
        <v/>
      </c>
      <c r="D1525" s="88">
        <f>IF($T1525="","",IF($S1525="S",IF(INDEX(Firms!$E$5:$E$1004,$T1525)="","",INDEX(Firms!$E$5:$E$1004,$T1525)),IF(INDEX('AFA Rates'!$C$5:$C$1004,$T1525)="","",INDEX('AFA Rates'!$C$5:$C$1004,$T1525))))</f>
        <v/>
      </c>
      <c r="E1525" s="88">
        <f>IF($T1525="","",IF($S1525="S",IF(""="","",""),IF(INDEX('AFA Rates'!$D$5:$D$1004,$T1525)="","",INDEX('AFA Rates'!$D$5:$D$1004,$T1525))))</f>
        <v/>
      </c>
      <c r="F1525" s="79">
        <f>IF($T1525="","",IF($S1525="S",IF(INDEX(Firms!$O$5:$O$1004,$T1525)="","",INDEX(Firms!$O$5:$O$1004,$T1525)),IF(INDEX('AFA Rates'!$O$5:$O$1004,$T1525)="","",INDEX('AFA Rates'!$O$5:$O$1004,$T1525))))</f>
        <v/>
      </c>
      <c r="G1525" s="50">
        <f>IF($T1525="","",IF($S1525="S",IF(INDEX(Firms!$F$5:$F$1004,$T1525)="","",INDEX(Firms!$F$5:$F$1004,$T1525)),IF(INDEX('AFA Rates'!$E$5:$E$1004,$T1525)="","",INDEX('AFA Rates'!$E$5:$E$1004,$T1525))))</f>
        <v/>
      </c>
      <c r="H1525" s="50">
        <f>IF($T1525="","",IF($S1525="S",IF(INDEX(Firms!$G$5:$G$1004,$T1525)="","",INDEX(Firms!$G$5:$G$1004,$T1525)),IF(INDEX('AFA Rates'!$F$5:$F$1004,$T1525)="","",INDEX('AFA Rates'!$F$5:$F$1004,$T1525))))</f>
        <v/>
      </c>
      <c r="I1525" s="50">
        <f>IF($T1525="","",IF($S1525="S",IF(INDEX(Firms!$H$5:$H$1004,$T1525)="","",INDEX(Firms!$H$5:$H$1004,$T1525)),IF(INDEX('AFA Rates'!$G$5:$G$1004,$T1525)="","",INDEX('AFA Rates'!$G$5:$G$1004,$T1525))))</f>
        <v/>
      </c>
      <c r="J1525" s="50">
        <f>IF($T1525="","",IF($S1525="S",IF(INDEX(Firms!$I$5:$I$1004,$T1525)="","",INDEX(Firms!$I$5:$I$1004,$T1525)),IF(INDEX('AFA Rates'!$H$5:$H$1004,$T1525)="","",INDEX('AFA Rates'!$H$5:$H$1004,$T1525))))</f>
        <v/>
      </c>
      <c r="K1525" s="50">
        <f>IF($T1525="","",IF($S1525="S",IF(INDEX(Firms!$J$5:$J$1004,$T1525)="","",INDEX(Firms!$J$5:$J$1004,$T1525)),IF(INDEX('AFA Rates'!$I$5:$I$1004,$T1525)="","",INDEX('AFA Rates'!$I$5:$I$1004,$T1525))))</f>
        <v/>
      </c>
      <c r="L1525" s="50">
        <f>IF($T1525="","",IF($S1525="S",IF(INDEX(Firms!$K$5:$K$1004,$T1525)="","",INDEX(Firms!$K$5:$K$1004,$T1525)),IF(INDEX('AFA Rates'!$J$5:$J$1004,$T1525)="","",INDEX('AFA Rates'!$J$5:$J$1004,$T1525))))</f>
        <v/>
      </c>
      <c r="M1525" s="50">
        <f>IF($T1525="","",IF($S1525="S",IF(INDEX(Firms!$L$5:$L$1004,$T1525)="","",INDEX(Firms!$L$5:$L$1004,$T1525)),IF(INDEX('AFA Rates'!$K$5:$K$1004,$T1525)="","",INDEX('AFA Rates'!$K$5:$K$1004,$T1525))))</f>
        <v/>
      </c>
      <c r="N1525" s="50">
        <f>IF($T1525="","",IF($S1525="S",IF(INDEX(Firms!$M$5:$M$1004,$T1525)="","",INDEX(Firms!$M$5:$M$1004,$T1525)),IF(INDEX('AFA Rates'!$L$5:$L$1004,$T1525)="","",INDEX('AFA Rates'!$L$5:$L$1004,$T1525))))</f>
        <v/>
      </c>
      <c r="O1525" s="78">
        <f>IF(OR($T1525="",$U1525=""),"",IF(INDEX(Firms!$C$5:$C$1004,$U1525)="","",INDEX(Firms!$C$5:$C$1004,$U1525)))</f>
        <v/>
      </c>
      <c r="P1525" s="79">
        <f>IF(OR($T1525="",$U1525=""),"",IF(INDEX(Firms!$N$5:$N$1004,$U1525)="","",INDEX(Firms!$N$5:$N$1004,$U1525)))</f>
        <v/>
      </c>
      <c r="Q1525" s="78">
        <f>IF($T1525="","",IF($S1525="S",IF(INDEX(Firms!$T$5:$T$1004,$T1525)="","",INDEX(Firms!$T$5:$T$1004,$T1525)),IF(INDEX('AFA Rates'!$M$5:$M$1004,$T1525)="","",INDEX('AFA Rates'!$M$5:$M$1004,$T1525))))</f>
        <v/>
      </c>
      <c r="S1525">
        <f>IF(1521&lt;=$S$2,"S",IF(1521&lt;=$S$2+$T$2,"A",""))</f>
        <v/>
      </c>
      <c r="T1525">
        <f>IF(S1525="S",MATCH(1521,Firms!$W$5:$W$1004,0),IF(S1525="A",IFERROR(MATCH(1521-$S$2,'AFA Rates'!$R$5:$R$1004,0),""),""))</f>
        <v/>
      </c>
      <c r="U1525">
        <f>IF(S1525="S",T1525,IF(AND(S1525="A",T1525&lt;&gt;""),IFERROR(MATCH(INDEX('AFA Rates'!$A$5:$A$1004,T1525),Firms!$A$5:$A$1004,0),""),""))</f>
        <v/>
      </c>
    </row>
    <row r="1526">
      <c r="A1526" s="78">
        <f>IF($T1526="","",IF($S1526="S",IF(INDEX(Firms!$A$5:$A$1004,$T1526)="","",INDEX(Firms!$A$5:$A$1004,$T1526)),IF(INDEX('AFA Rates'!$A$5:$A$1004,$T1526)="","",INDEX('AFA Rates'!$A$5:$A$1004,$T1526))))</f>
        <v/>
      </c>
      <c r="B1526" s="79">
        <f>IF(OR($T1526="",$U1526=""),IF($T1526="","","Not on Firms tab"),INDEX(Firms!$B$5:$B$1004,$U1526)&amp;"")</f>
        <v/>
      </c>
      <c r="C1526" s="78">
        <f>IF($T1526="","",IF($S1526="S","Standard",INDEX('AFA Rates'!$B$5:$B$1004,$T1526)&amp;""))</f>
        <v/>
      </c>
      <c r="D1526" s="88">
        <f>IF($T1526="","",IF($S1526="S",IF(INDEX(Firms!$E$5:$E$1004,$T1526)="","",INDEX(Firms!$E$5:$E$1004,$T1526)),IF(INDEX('AFA Rates'!$C$5:$C$1004,$T1526)="","",INDEX('AFA Rates'!$C$5:$C$1004,$T1526))))</f>
        <v/>
      </c>
      <c r="E1526" s="88">
        <f>IF($T1526="","",IF($S1526="S",IF(""="","",""),IF(INDEX('AFA Rates'!$D$5:$D$1004,$T1526)="","",INDEX('AFA Rates'!$D$5:$D$1004,$T1526))))</f>
        <v/>
      </c>
      <c r="F1526" s="79">
        <f>IF($T1526="","",IF($S1526="S",IF(INDEX(Firms!$O$5:$O$1004,$T1526)="","",INDEX(Firms!$O$5:$O$1004,$T1526)),IF(INDEX('AFA Rates'!$O$5:$O$1004,$T1526)="","",INDEX('AFA Rates'!$O$5:$O$1004,$T1526))))</f>
        <v/>
      </c>
      <c r="G1526" s="50">
        <f>IF($T1526="","",IF($S1526="S",IF(INDEX(Firms!$F$5:$F$1004,$T1526)="","",INDEX(Firms!$F$5:$F$1004,$T1526)),IF(INDEX('AFA Rates'!$E$5:$E$1004,$T1526)="","",INDEX('AFA Rates'!$E$5:$E$1004,$T1526))))</f>
        <v/>
      </c>
      <c r="H1526" s="50">
        <f>IF($T1526="","",IF($S1526="S",IF(INDEX(Firms!$G$5:$G$1004,$T1526)="","",INDEX(Firms!$G$5:$G$1004,$T1526)),IF(INDEX('AFA Rates'!$F$5:$F$1004,$T1526)="","",INDEX('AFA Rates'!$F$5:$F$1004,$T1526))))</f>
        <v/>
      </c>
      <c r="I1526" s="50">
        <f>IF($T1526="","",IF($S1526="S",IF(INDEX(Firms!$H$5:$H$1004,$T1526)="","",INDEX(Firms!$H$5:$H$1004,$T1526)),IF(INDEX('AFA Rates'!$G$5:$G$1004,$T1526)="","",INDEX('AFA Rates'!$G$5:$G$1004,$T1526))))</f>
        <v/>
      </c>
      <c r="J1526" s="50">
        <f>IF($T1526="","",IF($S1526="S",IF(INDEX(Firms!$I$5:$I$1004,$T1526)="","",INDEX(Firms!$I$5:$I$1004,$T1526)),IF(INDEX('AFA Rates'!$H$5:$H$1004,$T1526)="","",INDEX('AFA Rates'!$H$5:$H$1004,$T1526))))</f>
        <v/>
      </c>
      <c r="K1526" s="50">
        <f>IF($T1526="","",IF($S1526="S",IF(INDEX(Firms!$J$5:$J$1004,$T1526)="","",INDEX(Firms!$J$5:$J$1004,$T1526)),IF(INDEX('AFA Rates'!$I$5:$I$1004,$T1526)="","",INDEX('AFA Rates'!$I$5:$I$1004,$T1526))))</f>
        <v/>
      </c>
      <c r="L1526" s="50">
        <f>IF($T1526="","",IF($S1526="S",IF(INDEX(Firms!$K$5:$K$1004,$T1526)="","",INDEX(Firms!$K$5:$K$1004,$T1526)),IF(INDEX('AFA Rates'!$J$5:$J$1004,$T1526)="","",INDEX('AFA Rates'!$J$5:$J$1004,$T1526))))</f>
        <v/>
      </c>
      <c r="M1526" s="50">
        <f>IF($T1526="","",IF($S1526="S",IF(INDEX(Firms!$L$5:$L$1004,$T1526)="","",INDEX(Firms!$L$5:$L$1004,$T1526)),IF(INDEX('AFA Rates'!$K$5:$K$1004,$T1526)="","",INDEX('AFA Rates'!$K$5:$K$1004,$T1526))))</f>
        <v/>
      </c>
      <c r="N1526" s="50">
        <f>IF($T1526="","",IF($S1526="S",IF(INDEX(Firms!$M$5:$M$1004,$T1526)="","",INDEX(Firms!$M$5:$M$1004,$T1526)),IF(INDEX('AFA Rates'!$L$5:$L$1004,$T1526)="","",INDEX('AFA Rates'!$L$5:$L$1004,$T1526))))</f>
        <v/>
      </c>
      <c r="O1526" s="78">
        <f>IF(OR($T1526="",$U1526=""),"",IF(INDEX(Firms!$C$5:$C$1004,$U1526)="","",INDEX(Firms!$C$5:$C$1004,$U1526)))</f>
        <v/>
      </c>
      <c r="P1526" s="79">
        <f>IF(OR($T1526="",$U1526=""),"",IF(INDEX(Firms!$N$5:$N$1004,$U1526)="","",INDEX(Firms!$N$5:$N$1004,$U1526)))</f>
        <v/>
      </c>
      <c r="Q1526" s="78">
        <f>IF($T1526="","",IF($S1526="S",IF(INDEX(Firms!$T$5:$T$1004,$T1526)="","",INDEX(Firms!$T$5:$T$1004,$T1526)),IF(INDEX('AFA Rates'!$M$5:$M$1004,$T1526)="","",INDEX('AFA Rates'!$M$5:$M$1004,$T1526))))</f>
        <v/>
      </c>
      <c r="S1526">
        <f>IF(1522&lt;=$S$2,"S",IF(1522&lt;=$S$2+$T$2,"A",""))</f>
        <v/>
      </c>
      <c r="T1526">
        <f>IF(S1526="S",MATCH(1522,Firms!$W$5:$W$1004,0),IF(S1526="A",IFERROR(MATCH(1522-$S$2,'AFA Rates'!$R$5:$R$1004,0),""),""))</f>
        <v/>
      </c>
      <c r="U1526">
        <f>IF(S1526="S",T1526,IF(AND(S1526="A",T1526&lt;&gt;""),IFERROR(MATCH(INDEX('AFA Rates'!$A$5:$A$1004,T1526),Firms!$A$5:$A$1004,0),""),""))</f>
        <v/>
      </c>
    </row>
    <row r="1527">
      <c r="A1527" s="78">
        <f>IF($T1527="","",IF($S1527="S",IF(INDEX(Firms!$A$5:$A$1004,$T1527)="","",INDEX(Firms!$A$5:$A$1004,$T1527)),IF(INDEX('AFA Rates'!$A$5:$A$1004,$T1527)="","",INDEX('AFA Rates'!$A$5:$A$1004,$T1527))))</f>
        <v/>
      </c>
      <c r="B1527" s="79">
        <f>IF(OR($T1527="",$U1527=""),IF($T1527="","","Not on Firms tab"),INDEX(Firms!$B$5:$B$1004,$U1527)&amp;"")</f>
        <v/>
      </c>
      <c r="C1527" s="78">
        <f>IF($T1527="","",IF($S1527="S","Standard",INDEX('AFA Rates'!$B$5:$B$1004,$T1527)&amp;""))</f>
        <v/>
      </c>
      <c r="D1527" s="88">
        <f>IF($T1527="","",IF($S1527="S",IF(INDEX(Firms!$E$5:$E$1004,$T1527)="","",INDEX(Firms!$E$5:$E$1004,$T1527)),IF(INDEX('AFA Rates'!$C$5:$C$1004,$T1527)="","",INDEX('AFA Rates'!$C$5:$C$1004,$T1527))))</f>
        <v/>
      </c>
      <c r="E1527" s="88">
        <f>IF($T1527="","",IF($S1527="S",IF(""="","",""),IF(INDEX('AFA Rates'!$D$5:$D$1004,$T1527)="","",INDEX('AFA Rates'!$D$5:$D$1004,$T1527))))</f>
        <v/>
      </c>
      <c r="F1527" s="79">
        <f>IF($T1527="","",IF($S1527="S",IF(INDEX(Firms!$O$5:$O$1004,$T1527)="","",INDEX(Firms!$O$5:$O$1004,$T1527)),IF(INDEX('AFA Rates'!$O$5:$O$1004,$T1527)="","",INDEX('AFA Rates'!$O$5:$O$1004,$T1527))))</f>
        <v/>
      </c>
      <c r="G1527" s="50">
        <f>IF($T1527="","",IF($S1527="S",IF(INDEX(Firms!$F$5:$F$1004,$T1527)="","",INDEX(Firms!$F$5:$F$1004,$T1527)),IF(INDEX('AFA Rates'!$E$5:$E$1004,$T1527)="","",INDEX('AFA Rates'!$E$5:$E$1004,$T1527))))</f>
        <v/>
      </c>
      <c r="H1527" s="50">
        <f>IF($T1527="","",IF($S1527="S",IF(INDEX(Firms!$G$5:$G$1004,$T1527)="","",INDEX(Firms!$G$5:$G$1004,$T1527)),IF(INDEX('AFA Rates'!$F$5:$F$1004,$T1527)="","",INDEX('AFA Rates'!$F$5:$F$1004,$T1527))))</f>
        <v/>
      </c>
      <c r="I1527" s="50">
        <f>IF($T1527="","",IF($S1527="S",IF(INDEX(Firms!$H$5:$H$1004,$T1527)="","",INDEX(Firms!$H$5:$H$1004,$T1527)),IF(INDEX('AFA Rates'!$G$5:$G$1004,$T1527)="","",INDEX('AFA Rates'!$G$5:$G$1004,$T1527))))</f>
        <v/>
      </c>
      <c r="J1527" s="50">
        <f>IF($T1527="","",IF($S1527="S",IF(INDEX(Firms!$I$5:$I$1004,$T1527)="","",INDEX(Firms!$I$5:$I$1004,$T1527)),IF(INDEX('AFA Rates'!$H$5:$H$1004,$T1527)="","",INDEX('AFA Rates'!$H$5:$H$1004,$T1527))))</f>
        <v/>
      </c>
      <c r="K1527" s="50">
        <f>IF($T1527="","",IF($S1527="S",IF(INDEX(Firms!$J$5:$J$1004,$T1527)="","",INDEX(Firms!$J$5:$J$1004,$T1527)),IF(INDEX('AFA Rates'!$I$5:$I$1004,$T1527)="","",INDEX('AFA Rates'!$I$5:$I$1004,$T1527))))</f>
        <v/>
      </c>
      <c r="L1527" s="50">
        <f>IF($T1527="","",IF($S1527="S",IF(INDEX(Firms!$K$5:$K$1004,$T1527)="","",INDEX(Firms!$K$5:$K$1004,$T1527)),IF(INDEX('AFA Rates'!$J$5:$J$1004,$T1527)="","",INDEX('AFA Rates'!$J$5:$J$1004,$T1527))))</f>
        <v/>
      </c>
      <c r="M1527" s="50">
        <f>IF($T1527="","",IF($S1527="S",IF(INDEX(Firms!$L$5:$L$1004,$T1527)="","",INDEX(Firms!$L$5:$L$1004,$T1527)),IF(INDEX('AFA Rates'!$K$5:$K$1004,$T1527)="","",INDEX('AFA Rates'!$K$5:$K$1004,$T1527))))</f>
        <v/>
      </c>
      <c r="N1527" s="50">
        <f>IF($T1527="","",IF($S1527="S",IF(INDEX(Firms!$M$5:$M$1004,$T1527)="","",INDEX(Firms!$M$5:$M$1004,$T1527)),IF(INDEX('AFA Rates'!$L$5:$L$1004,$T1527)="","",INDEX('AFA Rates'!$L$5:$L$1004,$T1527))))</f>
        <v/>
      </c>
      <c r="O1527" s="78">
        <f>IF(OR($T1527="",$U1527=""),"",IF(INDEX(Firms!$C$5:$C$1004,$U1527)="","",INDEX(Firms!$C$5:$C$1004,$U1527)))</f>
        <v/>
      </c>
      <c r="P1527" s="79">
        <f>IF(OR($T1527="",$U1527=""),"",IF(INDEX(Firms!$N$5:$N$1004,$U1527)="","",INDEX(Firms!$N$5:$N$1004,$U1527)))</f>
        <v/>
      </c>
      <c r="Q1527" s="78">
        <f>IF($T1527="","",IF($S1527="S",IF(INDEX(Firms!$T$5:$T$1004,$T1527)="","",INDEX(Firms!$T$5:$T$1004,$T1527)),IF(INDEX('AFA Rates'!$M$5:$M$1004,$T1527)="","",INDEX('AFA Rates'!$M$5:$M$1004,$T1527))))</f>
        <v/>
      </c>
      <c r="S1527">
        <f>IF(1523&lt;=$S$2,"S",IF(1523&lt;=$S$2+$T$2,"A",""))</f>
        <v/>
      </c>
      <c r="T1527">
        <f>IF(S1527="S",MATCH(1523,Firms!$W$5:$W$1004,0),IF(S1527="A",IFERROR(MATCH(1523-$S$2,'AFA Rates'!$R$5:$R$1004,0),""),""))</f>
        <v/>
      </c>
      <c r="U1527">
        <f>IF(S1527="S",T1527,IF(AND(S1527="A",T1527&lt;&gt;""),IFERROR(MATCH(INDEX('AFA Rates'!$A$5:$A$1004,T1527),Firms!$A$5:$A$1004,0),""),""))</f>
        <v/>
      </c>
    </row>
    <row r="1528">
      <c r="A1528" s="78">
        <f>IF($T1528="","",IF($S1528="S",IF(INDEX(Firms!$A$5:$A$1004,$T1528)="","",INDEX(Firms!$A$5:$A$1004,$T1528)),IF(INDEX('AFA Rates'!$A$5:$A$1004,$T1528)="","",INDEX('AFA Rates'!$A$5:$A$1004,$T1528))))</f>
        <v/>
      </c>
      <c r="B1528" s="79">
        <f>IF(OR($T1528="",$U1528=""),IF($T1528="","","Not on Firms tab"),INDEX(Firms!$B$5:$B$1004,$U1528)&amp;"")</f>
        <v/>
      </c>
      <c r="C1528" s="78">
        <f>IF($T1528="","",IF($S1528="S","Standard",INDEX('AFA Rates'!$B$5:$B$1004,$T1528)&amp;""))</f>
        <v/>
      </c>
      <c r="D1528" s="88">
        <f>IF($T1528="","",IF($S1528="S",IF(INDEX(Firms!$E$5:$E$1004,$T1528)="","",INDEX(Firms!$E$5:$E$1004,$T1528)),IF(INDEX('AFA Rates'!$C$5:$C$1004,$T1528)="","",INDEX('AFA Rates'!$C$5:$C$1004,$T1528))))</f>
        <v/>
      </c>
      <c r="E1528" s="88">
        <f>IF($T1528="","",IF($S1528="S",IF(""="","",""),IF(INDEX('AFA Rates'!$D$5:$D$1004,$T1528)="","",INDEX('AFA Rates'!$D$5:$D$1004,$T1528))))</f>
        <v/>
      </c>
      <c r="F1528" s="79">
        <f>IF($T1528="","",IF($S1528="S",IF(INDEX(Firms!$O$5:$O$1004,$T1528)="","",INDEX(Firms!$O$5:$O$1004,$T1528)),IF(INDEX('AFA Rates'!$O$5:$O$1004,$T1528)="","",INDEX('AFA Rates'!$O$5:$O$1004,$T1528))))</f>
        <v/>
      </c>
      <c r="G1528" s="50">
        <f>IF($T1528="","",IF($S1528="S",IF(INDEX(Firms!$F$5:$F$1004,$T1528)="","",INDEX(Firms!$F$5:$F$1004,$T1528)),IF(INDEX('AFA Rates'!$E$5:$E$1004,$T1528)="","",INDEX('AFA Rates'!$E$5:$E$1004,$T1528))))</f>
        <v/>
      </c>
      <c r="H1528" s="50">
        <f>IF($T1528="","",IF($S1528="S",IF(INDEX(Firms!$G$5:$G$1004,$T1528)="","",INDEX(Firms!$G$5:$G$1004,$T1528)),IF(INDEX('AFA Rates'!$F$5:$F$1004,$T1528)="","",INDEX('AFA Rates'!$F$5:$F$1004,$T1528))))</f>
        <v/>
      </c>
      <c r="I1528" s="50">
        <f>IF($T1528="","",IF($S1528="S",IF(INDEX(Firms!$H$5:$H$1004,$T1528)="","",INDEX(Firms!$H$5:$H$1004,$T1528)),IF(INDEX('AFA Rates'!$G$5:$G$1004,$T1528)="","",INDEX('AFA Rates'!$G$5:$G$1004,$T1528))))</f>
        <v/>
      </c>
      <c r="J1528" s="50">
        <f>IF($T1528="","",IF($S1528="S",IF(INDEX(Firms!$I$5:$I$1004,$T1528)="","",INDEX(Firms!$I$5:$I$1004,$T1528)),IF(INDEX('AFA Rates'!$H$5:$H$1004,$T1528)="","",INDEX('AFA Rates'!$H$5:$H$1004,$T1528))))</f>
        <v/>
      </c>
      <c r="K1528" s="50">
        <f>IF($T1528="","",IF($S1528="S",IF(INDEX(Firms!$J$5:$J$1004,$T1528)="","",INDEX(Firms!$J$5:$J$1004,$T1528)),IF(INDEX('AFA Rates'!$I$5:$I$1004,$T1528)="","",INDEX('AFA Rates'!$I$5:$I$1004,$T1528))))</f>
        <v/>
      </c>
      <c r="L1528" s="50">
        <f>IF($T1528="","",IF($S1528="S",IF(INDEX(Firms!$K$5:$K$1004,$T1528)="","",INDEX(Firms!$K$5:$K$1004,$T1528)),IF(INDEX('AFA Rates'!$J$5:$J$1004,$T1528)="","",INDEX('AFA Rates'!$J$5:$J$1004,$T1528))))</f>
        <v/>
      </c>
      <c r="M1528" s="50">
        <f>IF($T1528="","",IF($S1528="S",IF(INDEX(Firms!$L$5:$L$1004,$T1528)="","",INDEX(Firms!$L$5:$L$1004,$T1528)),IF(INDEX('AFA Rates'!$K$5:$K$1004,$T1528)="","",INDEX('AFA Rates'!$K$5:$K$1004,$T1528))))</f>
        <v/>
      </c>
      <c r="N1528" s="50">
        <f>IF($T1528="","",IF($S1528="S",IF(INDEX(Firms!$M$5:$M$1004,$T1528)="","",INDEX(Firms!$M$5:$M$1004,$T1528)),IF(INDEX('AFA Rates'!$L$5:$L$1004,$T1528)="","",INDEX('AFA Rates'!$L$5:$L$1004,$T1528))))</f>
        <v/>
      </c>
      <c r="O1528" s="78">
        <f>IF(OR($T1528="",$U1528=""),"",IF(INDEX(Firms!$C$5:$C$1004,$U1528)="","",INDEX(Firms!$C$5:$C$1004,$U1528)))</f>
        <v/>
      </c>
      <c r="P1528" s="79">
        <f>IF(OR($T1528="",$U1528=""),"",IF(INDEX(Firms!$N$5:$N$1004,$U1528)="","",INDEX(Firms!$N$5:$N$1004,$U1528)))</f>
        <v/>
      </c>
      <c r="Q1528" s="78">
        <f>IF($T1528="","",IF($S1528="S",IF(INDEX(Firms!$T$5:$T$1004,$T1528)="","",INDEX(Firms!$T$5:$T$1004,$T1528)),IF(INDEX('AFA Rates'!$M$5:$M$1004,$T1528)="","",INDEX('AFA Rates'!$M$5:$M$1004,$T1528))))</f>
        <v/>
      </c>
      <c r="S1528">
        <f>IF(1524&lt;=$S$2,"S",IF(1524&lt;=$S$2+$T$2,"A",""))</f>
        <v/>
      </c>
      <c r="T1528">
        <f>IF(S1528="S",MATCH(1524,Firms!$W$5:$W$1004,0),IF(S1528="A",IFERROR(MATCH(1524-$S$2,'AFA Rates'!$R$5:$R$1004,0),""),""))</f>
        <v/>
      </c>
      <c r="U1528">
        <f>IF(S1528="S",T1528,IF(AND(S1528="A",T1528&lt;&gt;""),IFERROR(MATCH(INDEX('AFA Rates'!$A$5:$A$1004,T1528),Firms!$A$5:$A$1004,0),""),""))</f>
        <v/>
      </c>
    </row>
    <row r="1529">
      <c r="A1529" s="78">
        <f>IF($T1529="","",IF($S1529="S",IF(INDEX(Firms!$A$5:$A$1004,$T1529)="","",INDEX(Firms!$A$5:$A$1004,$T1529)),IF(INDEX('AFA Rates'!$A$5:$A$1004,$T1529)="","",INDEX('AFA Rates'!$A$5:$A$1004,$T1529))))</f>
        <v/>
      </c>
      <c r="B1529" s="79">
        <f>IF(OR($T1529="",$U1529=""),IF($T1529="","","Not on Firms tab"),INDEX(Firms!$B$5:$B$1004,$U1529)&amp;"")</f>
        <v/>
      </c>
      <c r="C1529" s="78">
        <f>IF($T1529="","",IF($S1529="S","Standard",INDEX('AFA Rates'!$B$5:$B$1004,$T1529)&amp;""))</f>
        <v/>
      </c>
      <c r="D1529" s="88">
        <f>IF($T1529="","",IF($S1529="S",IF(INDEX(Firms!$E$5:$E$1004,$T1529)="","",INDEX(Firms!$E$5:$E$1004,$T1529)),IF(INDEX('AFA Rates'!$C$5:$C$1004,$T1529)="","",INDEX('AFA Rates'!$C$5:$C$1004,$T1529))))</f>
        <v/>
      </c>
      <c r="E1529" s="88">
        <f>IF($T1529="","",IF($S1529="S",IF(""="","",""),IF(INDEX('AFA Rates'!$D$5:$D$1004,$T1529)="","",INDEX('AFA Rates'!$D$5:$D$1004,$T1529))))</f>
        <v/>
      </c>
      <c r="F1529" s="79">
        <f>IF($T1529="","",IF($S1529="S",IF(INDEX(Firms!$O$5:$O$1004,$T1529)="","",INDEX(Firms!$O$5:$O$1004,$T1529)),IF(INDEX('AFA Rates'!$O$5:$O$1004,$T1529)="","",INDEX('AFA Rates'!$O$5:$O$1004,$T1529))))</f>
        <v/>
      </c>
      <c r="G1529" s="50">
        <f>IF($T1529="","",IF($S1529="S",IF(INDEX(Firms!$F$5:$F$1004,$T1529)="","",INDEX(Firms!$F$5:$F$1004,$T1529)),IF(INDEX('AFA Rates'!$E$5:$E$1004,$T1529)="","",INDEX('AFA Rates'!$E$5:$E$1004,$T1529))))</f>
        <v/>
      </c>
      <c r="H1529" s="50">
        <f>IF($T1529="","",IF($S1529="S",IF(INDEX(Firms!$G$5:$G$1004,$T1529)="","",INDEX(Firms!$G$5:$G$1004,$T1529)),IF(INDEX('AFA Rates'!$F$5:$F$1004,$T1529)="","",INDEX('AFA Rates'!$F$5:$F$1004,$T1529))))</f>
        <v/>
      </c>
      <c r="I1529" s="50">
        <f>IF($T1529="","",IF($S1529="S",IF(INDEX(Firms!$H$5:$H$1004,$T1529)="","",INDEX(Firms!$H$5:$H$1004,$T1529)),IF(INDEX('AFA Rates'!$G$5:$G$1004,$T1529)="","",INDEX('AFA Rates'!$G$5:$G$1004,$T1529))))</f>
        <v/>
      </c>
      <c r="J1529" s="50">
        <f>IF($T1529="","",IF($S1529="S",IF(INDEX(Firms!$I$5:$I$1004,$T1529)="","",INDEX(Firms!$I$5:$I$1004,$T1529)),IF(INDEX('AFA Rates'!$H$5:$H$1004,$T1529)="","",INDEX('AFA Rates'!$H$5:$H$1004,$T1529))))</f>
        <v/>
      </c>
      <c r="K1529" s="50">
        <f>IF($T1529="","",IF($S1529="S",IF(INDEX(Firms!$J$5:$J$1004,$T1529)="","",INDEX(Firms!$J$5:$J$1004,$T1529)),IF(INDEX('AFA Rates'!$I$5:$I$1004,$T1529)="","",INDEX('AFA Rates'!$I$5:$I$1004,$T1529))))</f>
        <v/>
      </c>
      <c r="L1529" s="50">
        <f>IF($T1529="","",IF($S1529="S",IF(INDEX(Firms!$K$5:$K$1004,$T1529)="","",INDEX(Firms!$K$5:$K$1004,$T1529)),IF(INDEX('AFA Rates'!$J$5:$J$1004,$T1529)="","",INDEX('AFA Rates'!$J$5:$J$1004,$T1529))))</f>
        <v/>
      </c>
      <c r="M1529" s="50">
        <f>IF($T1529="","",IF($S1529="S",IF(INDEX(Firms!$L$5:$L$1004,$T1529)="","",INDEX(Firms!$L$5:$L$1004,$T1529)),IF(INDEX('AFA Rates'!$K$5:$K$1004,$T1529)="","",INDEX('AFA Rates'!$K$5:$K$1004,$T1529))))</f>
        <v/>
      </c>
      <c r="N1529" s="50">
        <f>IF($T1529="","",IF($S1529="S",IF(INDEX(Firms!$M$5:$M$1004,$T1529)="","",INDEX(Firms!$M$5:$M$1004,$T1529)),IF(INDEX('AFA Rates'!$L$5:$L$1004,$T1529)="","",INDEX('AFA Rates'!$L$5:$L$1004,$T1529))))</f>
        <v/>
      </c>
      <c r="O1529" s="78">
        <f>IF(OR($T1529="",$U1529=""),"",IF(INDEX(Firms!$C$5:$C$1004,$U1529)="","",INDEX(Firms!$C$5:$C$1004,$U1529)))</f>
        <v/>
      </c>
      <c r="P1529" s="79">
        <f>IF(OR($T1529="",$U1529=""),"",IF(INDEX(Firms!$N$5:$N$1004,$U1529)="","",INDEX(Firms!$N$5:$N$1004,$U1529)))</f>
        <v/>
      </c>
      <c r="Q1529" s="78">
        <f>IF($T1529="","",IF($S1529="S",IF(INDEX(Firms!$T$5:$T$1004,$T1529)="","",INDEX(Firms!$T$5:$T$1004,$T1529)),IF(INDEX('AFA Rates'!$M$5:$M$1004,$T1529)="","",INDEX('AFA Rates'!$M$5:$M$1004,$T1529))))</f>
        <v/>
      </c>
      <c r="S1529">
        <f>IF(1525&lt;=$S$2,"S",IF(1525&lt;=$S$2+$T$2,"A",""))</f>
        <v/>
      </c>
      <c r="T1529">
        <f>IF(S1529="S",MATCH(1525,Firms!$W$5:$W$1004,0),IF(S1529="A",IFERROR(MATCH(1525-$S$2,'AFA Rates'!$R$5:$R$1004,0),""),""))</f>
        <v/>
      </c>
      <c r="U1529">
        <f>IF(S1529="S",T1529,IF(AND(S1529="A",T1529&lt;&gt;""),IFERROR(MATCH(INDEX('AFA Rates'!$A$5:$A$1004,T1529),Firms!$A$5:$A$1004,0),""),""))</f>
        <v/>
      </c>
    </row>
    <row r="1530">
      <c r="A1530" s="78">
        <f>IF($T1530="","",IF($S1530="S",IF(INDEX(Firms!$A$5:$A$1004,$T1530)="","",INDEX(Firms!$A$5:$A$1004,$T1530)),IF(INDEX('AFA Rates'!$A$5:$A$1004,$T1530)="","",INDEX('AFA Rates'!$A$5:$A$1004,$T1530))))</f>
        <v/>
      </c>
      <c r="B1530" s="79">
        <f>IF(OR($T1530="",$U1530=""),IF($T1530="","","Not on Firms tab"),INDEX(Firms!$B$5:$B$1004,$U1530)&amp;"")</f>
        <v/>
      </c>
      <c r="C1530" s="78">
        <f>IF($T1530="","",IF($S1530="S","Standard",INDEX('AFA Rates'!$B$5:$B$1004,$T1530)&amp;""))</f>
        <v/>
      </c>
      <c r="D1530" s="88">
        <f>IF($T1530="","",IF($S1530="S",IF(INDEX(Firms!$E$5:$E$1004,$T1530)="","",INDEX(Firms!$E$5:$E$1004,$T1530)),IF(INDEX('AFA Rates'!$C$5:$C$1004,$T1530)="","",INDEX('AFA Rates'!$C$5:$C$1004,$T1530))))</f>
        <v/>
      </c>
      <c r="E1530" s="88">
        <f>IF($T1530="","",IF($S1530="S",IF(""="","",""),IF(INDEX('AFA Rates'!$D$5:$D$1004,$T1530)="","",INDEX('AFA Rates'!$D$5:$D$1004,$T1530))))</f>
        <v/>
      </c>
      <c r="F1530" s="79">
        <f>IF($T1530="","",IF($S1530="S",IF(INDEX(Firms!$O$5:$O$1004,$T1530)="","",INDEX(Firms!$O$5:$O$1004,$T1530)),IF(INDEX('AFA Rates'!$O$5:$O$1004,$T1530)="","",INDEX('AFA Rates'!$O$5:$O$1004,$T1530))))</f>
        <v/>
      </c>
      <c r="G1530" s="50">
        <f>IF($T1530="","",IF($S1530="S",IF(INDEX(Firms!$F$5:$F$1004,$T1530)="","",INDEX(Firms!$F$5:$F$1004,$T1530)),IF(INDEX('AFA Rates'!$E$5:$E$1004,$T1530)="","",INDEX('AFA Rates'!$E$5:$E$1004,$T1530))))</f>
        <v/>
      </c>
      <c r="H1530" s="50">
        <f>IF($T1530="","",IF($S1530="S",IF(INDEX(Firms!$G$5:$G$1004,$T1530)="","",INDEX(Firms!$G$5:$G$1004,$T1530)),IF(INDEX('AFA Rates'!$F$5:$F$1004,$T1530)="","",INDEX('AFA Rates'!$F$5:$F$1004,$T1530))))</f>
        <v/>
      </c>
      <c r="I1530" s="50">
        <f>IF($T1530="","",IF($S1530="S",IF(INDEX(Firms!$H$5:$H$1004,$T1530)="","",INDEX(Firms!$H$5:$H$1004,$T1530)),IF(INDEX('AFA Rates'!$G$5:$G$1004,$T1530)="","",INDEX('AFA Rates'!$G$5:$G$1004,$T1530))))</f>
        <v/>
      </c>
      <c r="J1530" s="50">
        <f>IF($T1530="","",IF($S1530="S",IF(INDEX(Firms!$I$5:$I$1004,$T1530)="","",INDEX(Firms!$I$5:$I$1004,$T1530)),IF(INDEX('AFA Rates'!$H$5:$H$1004,$T1530)="","",INDEX('AFA Rates'!$H$5:$H$1004,$T1530))))</f>
        <v/>
      </c>
      <c r="K1530" s="50">
        <f>IF($T1530="","",IF($S1530="S",IF(INDEX(Firms!$J$5:$J$1004,$T1530)="","",INDEX(Firms!$J$5:$J$1004,$T1530)),IF(INDEX('AFA Rates'!$I$5:$I$1004,$T1530)="","",INDEX('AFA Rates'!$I$5:$I$1004,$T1530))))</f>
        <v/>
      </c>
      <c r="L1530" s="50">
        <f>IF($T1530="","",IF($S1530="S",IF(INDEX(Firms!$K$5:$K$1004,$T1530)="","",INDEX(Firms!$K$5:$K$1004,$T1530)),IF(INDEX('AFA Rates'!$J$5:$J$1004,$T1530)="","",INDEX('AFA Rates'!$J$5:$J$1004,$T1530))))</f>
        <v/>
      </c>
      <c r="M1530" s="50">
        <f>IF($T1530="","",IF($S1530="S",IF(INDEX(Firms!$L$5:$L$1004,$T1530)="","",INDEX(Firms!$L$5:$L$1004,$T1530)),IF(INDEX('AFA Rates'!$K$5:$K$1004,$T1530)="","",INDEX('AFA Rates'!$K$5:$K$1004,$T1530))))</f>
        <v/>
      </c>
      <c r="N1530" s="50">
        <f>IF($T1530="","",IF($S1530="S",IF(INDEX(Firms!$M$5:$M$1004,$T1530)="","",INDEX(Firms!$M$5:$M$1004,$T1530)),IF(INDEX('AFA Rates'!$L$5:$L$1004,$T1530)="","",INDEX('AFA Rates'!$L$5:$L$1004,$T1530))))</f>
        <v/>
      </c>
      <c r="O1530" s="78">
        <f>IF(OR($T1530="",$U1530=""),"",IF(INDEX(Firms!$C$5:$C$1004,$U1530)="","",INDEX(Firms!$C$5:$C$1004,$U1530)))</f>
        <v/>
      </c>
      <c r="P1530" s="79">
        <f>IF(OR($T1530="",$U1530=""),"",IF(INDEX(Firms!$N$5:$N$1004,$U1530)="","",INDEX(Firms!$N$5:$N$1004,$U1530)))</f>
        <v/>
      </c>
      <c r="Q1530" s="78">
        <f>IF($T1530="","",IF($S1530="S",IF(INDEX(Firms!$T$5:$T$1004,$T1530)="","",INDEX(Firms!$T$5:$T$1004,$T1530)),IF(INDEX('AFA Rates'!$M$5:$M$1004,$T1530)="","",INDEX('AFA Rates'!$M$5:$M$1004,$T1530))))</f>
        <v/>
      </c>
      <c r="S1530">
        <f>IF(1526&lt;=$S$2,"S",IF(1526&lt;=$S$2+$T$2,"A",""))</f>
        <v/>
      </c>
      <c r="T1530">
        <f>IF(S1530="S",MATCH(1526,Firms!$W$5:$W$1004,0),IF(S1530="A",IFERROR(MATCH(1526-$S$2,'AFA Rates'!$R$5:$R$1004,0),""),""))</f>
        <v/>
      </c>
      <c r="U1530">
        <f>IF(S1530="S",T1530,IF(AND(S1530="A",T1530&lt;&gt;""),IFERROR(MATCH(INDEX('AFA Rates'!$A$5:$A$1004,T1530),Firms!$A$5:$A$1004,0),""),""))</f>
        <v/>
      </c>
    </row>
    <row r="1531">
      <c r="A1531" s="78">
        <f>IF($T1531="","",IF($S1531="S",IF(INDEX(Firms!$A$5:$A$1004,$T1531)="","",INDEX(Firms!$A$5:$A$1004,$T1531)),IF(INDEX('AFA Rates'!$A$5:$A$1004,$T1531)="","",INDEX('AFA Rates'!$A$5:$A$1004,$T1531))))</f>
        <v/>
      </c>
      <c r="B1531" s="79">
        <f>IF(OR($T1531="",$U1531=""),IF($T1531="","","Not on Firms tab"),INDEX(Firms!$B$5:$B$1004,$U1531)&amp;"")</f>
        <v/>
      </c>
      <c r="C1531" s="78">
        <f>IF($T1531="","",IF($S1531="S","Standard",INDEX('AFA Rates'!$B$5:$B$1004,$T1531)&amp;""))</f>
        <v/>
      </c>
      <c r="D1531" s="88">
        <f>IF($T1531="","",IF($S1531="S",IF(INDEX(Firms!$E$5:$E$1004,$T1531)="","",INDEX(Firms!$E$5:$E$1004,$T1531)),IF(INDEX('AFA Rates'!$C$5:$C$1004,$T1531)="","",INDEX('AFA Rates'!$C$5:$C$1004,$T1531))))</f>
        <v/>
      </c>
      <c r="E1531" s="88">
        <f>IF($T1531="","",IF($S1531="S",IF(""="","",""),IF(INDEX('AFA Rates'!$D$5:$D$1004,$T1531)="","",INDEX('AFA Rates'!$D$5:$D$1004,$T1531))))</f>
        <v/>
      </c>
      <c r="F1531" s="79">
        <f>IF($T1531="","",IF($S1531="S",IF(INDEX(Firms!$O$5:$O$1004,$T1531)="","",INDEX(Firms!$O$5:$O$1004,$T1531)),IF(INDEX('AFA Rates'!$O$5:$O$1004,$T1531)="","",INDEX('AFA Rates'!$O$5:$O$1004,$T1531))))</f>
        <v/>
      </c>
      <c r="G1531" s="50">
        <f>IF($T1531="","",IF($S1531="S",IF(INDEX(Firms!$F$5:$F$1004,$T1531)="","",INDEX(Firms!$F$5:$F$1004,$T1531)),IF(INDEX('AFA Rates'!$E$5:$E$1004,$T1531)="","",INDEX('AFA Rates'!$E$5:$E$1004,$T1531))))</f>
        <v/>
      </c>
      <c r="H1531" s="50">
        <f>IF($T1531="","",IF($S1531="S",IF(INDEX(Firms!$G$5:$G$1004,$T1531)="","",INDEX(Firms!$G$5:$G$1004,$T1531)),IF(INDEX('AFA Rates'!$F$5:$F$1004,$T1531)="","",INDEX('AFA Rates'!$F$5:$F$1004,$T1531))))</f>
        <v/>
      </c>
      <c r="I1531" s="50">
        <f>IF($T1531="","",IF($S1531="S",IF(INDEX(Firms!$H$5:$H$1004,$T1531)="","",INDEX(Firms!$H$5:$H$1004,$T1531)),IF(INDEX('AFA Rates'!$G$5:$G$1004,$T1531)="","",INDEX('AFA Rates'!$G$5:$G$1004,$T1531))))</f>
        <v/>
      </c>
      <c r="J1531" s="50">
        <f>IF($T1531="","",IF($S1531="S",IF(INDEX(Firms!$I$5:$I$1004,$T1531)="","",INDEX(Firms!$I$5:$I$1004,$T1531)),IF(INDEX('AFA Rates'!$H$5:$H$1004,$T1531)="","",INDEX('AFA Rates'!$H$5:$H$1004,$T1531))))</f>
        <v/>
      </c>
      <c r="K1531" s="50">
        <f>IF($T1531="","",IF($S1531="S",IF(INDEX(Firms!$J$5:$J$1004,$T1531)="","",INDEX(Firms!$J$5:$J$1004,$T1531)),IF(INDEX('AFA Rates'!$I$5:$I$1004,$T1531)="","",INDEX('AFA Rates'!$I$5:$I$1004,$T1531))))</f>
        <v/>
      </c>
      <c r="L1531" s="50">
        <f>IF($T1531="","",IF($S1531="S",IF(INDEX(Firms!$K$5:$K$1004,$T1531)="","",INDEX(Firms!$K$5:$K$1004,$T1531)),IF(INDEX('AFA Rates'!$J$5:$J$1004,$T1531)="","",INDEX('AFA Rates'!$J$5:$J$1004,$T1531))))</f>
        <v/>
      </c>
      <c r="M1531" s="50">
        <f>IF($T1531="","",IF($S1531="S",IF(INDEX(Firms!$L$5:$L$1004,$T1531)="","",INDEX(Firms!$L$5:$L$1004,$T1531)),IF(INDEX('AFA Rates'!$K$5:$K$1004,$T1531)="","",INDEX('AFA Rates'!$K$5:$K$1004,$T1531))))</f>
        <v/>
      </c>
      <c r="N1531" s="50">
        <f>IF($T1531="","",IF($S1531="S",IF(INDEX(Firms!$M$5:$M$1004,$T1531)="","",INDEX(Firms!$M$5:$M$1004,$T1531)),IF(INDEX('AFA Rates'!$L$5:$L$1004,$T1531)="","",INDEX('AFA Rates'!$L$5:$L$1004,$T1531))))</f>
        <v/>
      </c>
      <c r="O1531" s="78">
        <f>IF(OR($T1531="",$U1531=""),"",IF(INDEX(Firms!$C$5:$C$1004,$U1531)="","",INDEX(Firms!$C$5:$C$1004,$U1531)))</f>
        <v/>
      </c>
      <c r="P1531" s="79">
        <f>IF(OR($T1531="",$U1531=""),"",IF(INDEX(Firms!$N$5:$N$1004,$U1531)="","",INDEX(Firms!$N$5:$N$1004,$U1531)))</f>
        <v/>
      </c>
      <c r="Q1531" s="78">
        <f>IF($T1531="","",IF($S1531="S",IF(INDEX(Firms!$T$5:$T$1004,$T1531)="","",INDEX(Firms!$T$5:$T$1004,$T1531)),IF(INDEX('AFA Rates'!$M$5:$M$1004,$T1531)="","",INDEX('AFA Rates'!$M$5:$M$1004,$T1531))))</f>
        <v/>
      </c>
      <c r="S1531">
        <f>IF(1527&lt;=$S$2,"S",IF(1527&lt;=$S$2+$T$2,"A",""))</f>
        <v/>
      </c>
      <c r="T1531">
        <f>IF(S1531="S",MATCH(1527,Firms!$W$5:$W$1004,0),IF(S1531="A",IFERROR(MATCH(1527-$S$2,'AFA Rates'!$R$5:$R$1004,0),""),""))</f>
        <v/>
      </c>
      <c r="U1531">
        <f>IF(S1531="S",T1531,IF(AND(S1531="A",T1531&lt;&gt;""),IFERROR(MATCH(INDEX('AFA Rates'!$A$5:$A$1004,T1531),Firms!$A$5:$A$1004,0),""),""))</f>
        <v/>
      </c>
    </row>
    <row r="1532">
      <c r="A1532" s="78">
        <f>IF($T1532="","",IF($S1532="S",IF(INDEX(Firms!$A$5:$A$1004,$T1532)="","",INDEX(Firms!$A$5:$A$1004,$T1532)),IF(INDEX('AFA Rates'!$A$5:$A$1004,$T1532)="","",INDEX('AFA Rates'!$A$5:$A$1004,$T1532))))</f>
        <v/>
      </c>
      <c r="B1532" s="79">
        <f>IF(OR($T1532="",$U1532=""),IF($T1532="","","Not on Firms tab"),INDEX(Firms!$B$5:$B$1004,$U1532)&amp;"")</f>
        <v/>
      </c>
      <c r="C1532" s="78">
        <f>IF($T1532="","",IF($S1532="S","Standard",INDEX('AFA Rates'!$B$5:$B$1004,$T1532)&amp;""))</f>
        <v/>
      </c>
      <c r="D1532" s="88">
        <f>IF($T1532="","",IF($S1532="S",IF(INDEX(Firms!$E$5:$E$1004,$T1532)="","",INDEX(Firms!$E$5:$E$1004,$T1532)),IF(INDEX('AFA Rates'!$C$5:$C$1004,$T1532)="","",INDEX('AFA Rates'!$C$5:$C$1004,$T1532))))</f>
        <v/>
      </c>
      <c r="E1532" s="88">
        <f>IF($T1532="","",IF($S1532="S",IF(""="","",""),IF(INDEX('AFA Rates'!$D$5:$D$1004,$T1532)="","",INDEX('AFA Rates'!$D$5:$D$1004,$T1532))))</f>
        <v/>
      </c>
      <c r="F1532" s="79">
        <f>IF($T1532="","",IF($S1532="S",IF(INDEX(Firms!$O$5:$O$1004,$T1532)="","",INDEX(Firms!$O$5:$O$1004,$T1532)),IF(INDEX('AFA Rates'!$O$5:$O$1004,$T1532)="","",INDEX('AFA Rates'!$O$5:$O$1004,$T1532))))</f>
        <v/>
      </c>
      <c r="G1532" s="50">
        <f>IF($T1532="","",IF($S1532="S",IF(INDEX(Firms!$F$5:$F$1004,$T1532)="","",INDEX(Firms!$F$5:$F$1004,$T1532)),IF(INDEX('AFA Rates'!$E$5:$E$1004,$T1532)="","",INDEX('AFA Rates'!$E$5:$E$1004,$T1532))))</f>
        <v/>
      </c>
      <c r="H1532" s="50">
        <f>IF($T1532="","",IF($S1532="S",IF(INDEX(Firms!$G$5:$G$1004,$T1532)="","",INDEX(Firms!$G$5:$G$1004,$T1532)),IF(INDEX('AFA Rates'!$F$5:$F$1004,$T1532)="","",INDEX('AFA Rates'!$F$5:$F$1004,$T1532))))</f>
        <v/>
      </c>
      <c r="I1532" s="50">
        <f>IF($T1532="","",IF($S1532="S",IF(INDEX(Firms!$H$5:$H$1004,$T1532)="","",INDEX(Firms!$H$5:$H$1004,$T1532)),IF(INDEX('AFA Rates'!$G$5:$G$1004,$T1532)="","",INDEX('AFA Rates'!$G$5:$G$1004,$T1532))))</f>
        <v/>
      </c>
      <c r="J1532" s="50">
        <f>IF($T1532="","",IF($S1532="S",IF(INDEX(Firms!$I$5:$I$1004,$T1532)="","",INDEX(Firms!$I$5:$I$1004,$T1532)),IF(INDEX('AFA Rates'!$H$5:$H$1004,$T1532)="","",INDEX('AFA Rates'!$H$5:$H$1004,$T1532))))</f>
        <v/>
      </c>
      <c r="K1532" s="50">
        <f>IF($T1532="","",IF($S1532="S",IF(INDEX(Firms!$J$5:$J$1004,$T1532)="","",INDEX(Firms!$J$5:$J$1004,$T1532)),IF(INDEX('AFA Rates'!$I$5:$I$1004,$T1532)="","",INDEX('AFA Rates'!$I$5:$I$1004,$T1532))))</f>
        <v/>
      </c>
      <c r="L1532" s="50">
        <f>IF($T1532="","",IF($S1532="S",IF(INDEX(Firms!$K$5:$K$1004,$T1532)="","",INDEX(Firms!$K$5:$K$1004,$T1532)),IF(INDEX('AFA Rates'!$J$5:$J$1004,$T1532)="","",INDEX('AFA Rates'!$J$5:$J$1004,$T1532))))</f>
        <v/>
      </c>
      <c r="M1532" s="50">
        <f>IF($T1532="","",IF($S1532="S",IF(INDEX(Firms!$L$5:$L$1004,$T1532)="","",INDEX(Firms!$L$5:$L$1004,$T1532)),IF(INDEX('AFA Rates'!$K$5:$K$1004,$T1532)="","",INDEX('AFA Rates'!$K$5:$K$1004,$T1532))))</f>
        <v/>
      </c>
      <c r="N1532" s="50">
        <f>IF($T1532="","",IF($S1532="S",IF(INDEX(Firms!$M$5:$M$1004,$T1532)="","",INDEX(Firms!$M$5:$M$1004,$T1532)),IF(INDEX('AFA Rates'!$L$5:$L$1004,$T1532)="","",INDEX('AFA Rates'!$L$5:$L$1004,$T1532))))</f>
        <v/>
      </c>
      <c r="O1532" s="78">
        <f>IF(OR($T1532="",$U1532=""),"",IF(INDEX(Firms!$C$5:$C$1004,$U1532)="","",INDEX(Firms!$C$5:$C$1004,$U1532)))</f>
        <v/>
      </c>
      <c r="P1532" s="79">
        <f>IF(OR($T1532="",$U1532=""),"",IF(INDEX(Firms!$N$5:$N$1004,$U1532)="","",INDEX(Firms!$N$5:$N$1004,$U1532)))</f>
        <v/>
      </c>
      <c r="Q1532" s="78">
        <f>IF($T1532="","",IF($S1532="S",IF(INDEX(Firms!$T$5:$T$1004,$T1532)="","",INDEX(Firms!$T$5:$T$1004,$T1532)),IF(INDEX('AFA Rates'!$M$5:$M$1004,$T1532)="","",INDEX('AFA Rates'!$M$5:$M$1004,$T1532))))</f>
        <v/>
      </c>
      <c r="S1532">
        <f>IF(1528&lt;=$S$2,"S",IF(1528&lt;=$S$2+$T$2,"A",""))</f>
        <v/>
      </c>
      <c r="T1532">
        <f>IF(S1532="S",MATCH(1528,Firms!$W$5:$W$1004,0),IF(S1532="A",IFERROR(MATCH(1528-$S$2,'AFA Rates'!$R$5:$R$1004,0),""),""))</f>
        <v/>
      </c>
      <c r="U1532">
        <f>IF(S1532="S",T1532,IF(AND(S1532="A",T1532&lt;&gt;""),IFERROR(MATCH(INDEX('AFA Rates'!$A$5:$A$1004,T1532),Firms!$A$5:$A$1004,0),""),""))</f>
        <v/>
      </c>
    </row>
    <row r="1533">
      <c r="A1533" s="78">
        <f>IF($T1533="","",IF($S1533="S",IF(INDEX(Firms!$A$5:$A$1004,$T1533)="","",INDEX(Firms!$A$5:$A$1004,$T1533)),IF(INDEX('AFA Rates'!$A$5:$A$1004,$T1533)="","",INDEX('AFA Rates'!$A$5:$A$1004,$T1533))))</f>
        <v/>
      </c>
      <c r="B1533" s="79">
        <f>IF(OR($T1533="",$U1533=""),IF($T1533="","","Not on Firms tab"),INDEX(Firms!$B$5:$B$1004,$U1533)&amp;"")</f>
        <v/>
      </c>
      <c r="C1533" s="78">
        <f>IF($T1533="","",IF($S1533="S","Standard",INDEX('AFA Rates'!$B$5:$B$1004,$T1533)&amp;""))</f>
        <v/>
      </c>
      <c r="D1533" s="88">
        <f>IF($T1533="","",IF($S1533="S",IF(INDEX(Firms!$E$5:$E$1004,$T1533)="","",INDEX(Firms!$E$5:$E$1004,$T1533)),IF(INDEX('AFA Rates'!$C$5:$C$1004,$T1533)="","",INDEX('AFA Rates'!$C$5:$C$1004,$T1533))))</f>
        <v/>
      </c>
      <c r="E1533" s="88">
        <f>IF($T1533="","",IF($S1533="S",IF(""="","",""),IF(INDEX('AFA Rates'!$D$5:$D$1004,$T1533)="","",INDEX('AFA Rates'!$D$5:$D$1004,$T1533))))</f>
        <v/>
      </c>
      <c r="F1533" s="79">
        <f>IF($T1533="","",IF($S1533="S",IF(INDEX(Firms!$O$5:$O$1004,$T1533)="","",INDEX(Firms!$O$5:$O$1004,$T1533)),IF(INDEX('AFA Rates'!$O$5:$O$1004,$T1533)="","",INDEX('AFA Rates'!$O$5:$O$1004,$T1533))))</f>
        <v/>
      </c>
      <c r="G1533" s="50">
        <f>IF($T1533="","",IF($S1533="S",IF(INDEX(Firms!$F$5:$F$1004,$T1533)="","",INDEX(Firms!$F$5:$F$1004,$T1533)),IF(INDEX('AFA Rates'!$E$5:$E$1004,$T1533)="","",INDEX('AFA Rates'!$E$5:$E$1004,$T1533))))</f>
        <v/>
      </c>
      <c r="H1533" s="50">
        <f>IF($T1533="","",IF($S1533="S",IF(INDEX(Firms!$G$5:$G$1004,$T1533)="","",INDEX(Firms!$G$5:$G$1004,$T1533)),IF(INDEX('AFA Rates'!$F$5:$F$1004,$T1533)="","",INDEX('AFA Rates'!$F$5:$F$1004,$T1533))))</f>
        <v/>
      </c>
      <c r="I1533" s="50">
        <f>IF($T1533="","",IF($S1533="S",IF(INDEX(Firms!$H$5:$H$1004,$T1533)="","",INDEX(Firms!$H$5:$H$1004,$T1533)),IF(INDEX('AFA Rates'!$G$5:$G$1004,$T1533)="","",INDEX('AFA Rates'!$G$5:$G$1004,$T1533))))</f>
        <v/>
      </c>
      <c r="J1533" s="50">
        <f>IF($T1533="","",IF($S1533="S",IF(INDEX(Firms!$I$5:$I$1004,$T1533)="","",INDEX(Firms!$I$5:$I$1004,$T1533)),IF(INDEX('AFA Rates'!$H$5:$H$1004,$T1533)="","",INDEX('AFA Rates'!$H$5:$H$1004,$T1533))))</f>
        <v/>
      </c>
      <c r="K1533" s="50">
        <f>IF($T1533="","",IF($S1533="S",IF(INDEX(Firms!$J$5:$J$1004,$T1533)="","",INDEX(Firms!$J$5:$J$1004,$T1533)),IF(INDEX('AFA Rates'!$I$5:$I$1004,$T1533)="","",INDEX('AFA Rates'!$I$5:$I$1004,$T1533))))</f>
        <v/>
      </c>
      <c r="L1533" s="50">
        <f>IF($T1533="","",IF($S1533="S",IF(INDEX(Firms!$K$5:$K$1004,$T1533)="","",INDEX(Firms!$K$5:$K$1004,$T1533)),IF(INDEX('AFA Rates'!$J$5:$J$1004,$T1533)="","",INDEX('AFA Rates'!$J$5:$J$1004,$T1533))))</f>
        <v/>
      </c>
      <c r="M1533" s="50">
        <f>IF($T1533="","",IF($S1533="S",IF(INDEX(Firms!$L$5:$L$1004,$T1533)="","",INDEX(Firms!$L$5:$L$1004,$T1533)),IF(INDEX('AFA Rates'!$K$5:$K$1004,$T1533)="","",INDEX('AFA Rates'!$K$5:$K$1004,$T1533))))</f>
        <v/>
      </c>
      <c r="N1533" s="50">
        <f>IF($T1533="","",IF($S1533="S",IF(INDEX(Firms!$M$5:$M$1004,$T1533)="","",INDEX(Firms!$M$5:$M$1004,$T1533)),IF(INDEX('AFA Rates'!$L$5:$L$1004,$T1533)="","",INDEX('AFA Rates'!$L$5:$L$1004,$T1533))))</f>
        <v/>
      </c>
      <c r="O1533" s="78">
        <f>IF(OR($T1533="",$U1533=""),"",IF(INDEX(Firms!$C$5:$C$1004,$U1533)="","",INDEX(Firms!$C$5:$C$1004,$U1533)))</f>
        <v/>
      </c>
      <c r="P1533" s="79">
        <f>IF(OR($T1533="",$U1533=""),"",IF(INDEX(Firms!$N$5:$N$1004,$U1533)="","",INDEX(Firms!$N$5:$N$1004,$U1533)))</f>
        <v/>
      </c>
      <c r="Q1533" s="78">
        <f>IF($T1533="","",IF($S1533="S",IF(INDEX(Firms!$T$5:$T$1004,$T1533)="","",INDEX(Firms!$T$5:$T$1004,$T1533)),IF(INDEX('AFA Rates'!$M$5:$M$1004,$T1533)="","",INDEX('AFA Rates'!$M$5:$M$1004,$T1533))))</f>
        <v/>
      </c>
      <c r="S1533">
        <f>IF(1529&lt;=$S$2,"S",IF(1529&lt;=$S$2+$T$2,"A",""))</f>
        <v/>
      </c>
      <c r="T1533">
        <f>IF(S1533="S",MATCH(1529,Firms!$W$5:$W$1004,0),IF(S1533="A",IFERROR(MATCH(1529-$S$2,'AFA Rates'!$R$5:$R$1004,0),""),""))</f>
        <v/>
      </c>
      <c r="U1533">
        <f>IF(S1533="S",T1533,IF(AND(S1533="A",T1533&lt;&gt;""),IFERROR(MATCH(INDEX('AFA Rates'!$A$5:$A$1004,T1533),Firms!$A$5:$A$1004,0),""),""))</f>
        <v/>
      </c>
    </row>
    <row r="1534">
      <c r="A1534" s="78">
        <f>IF($T1534="","",IF($S1534="S",IF(INDEX(Firms!$A$5:$A$1004,$T1534)="","",INDEX(Firms!$A$5:$A$1004,$T1534)),IF(INDEX('AFA Rates'!$A$5:$A$1004,$T1534)="","",INDEX('AFA Rates'!$A$5:$A$1004,$T1534))))</f>
        <v/>
      </c>
      <c r="B1534" s="79">
        <f>IF(OR($T1534="",$U1534=""),IF($T1534="","","Not on Firms tab"),INDEX(Firms!$B$5:$B$1004,$U1534)&amp;"")</f>
        <v/>
      </c>
      <c r="C1534" s="78">
        <f>IF($T1534="","",IF($S1534="S","Standard",INDEX('AFA Rates'!$B$5:$B$1004,$T1534)&amp;""))</f>
        <v/>
      </c>
      <c r="D1534" s="88">
        <f>IF($T1534="","",IF($S1534="S",IF(INDEX(Firms!$E$5:$E$1004,$T1534)="","",INDEX(Firms!$E$5:$E$1004,$T1534)),IF(INDEX('AFA Rates'!$C$5:$C$1004,$T1534)="","",INDEX('AFA Rates'!$C$5:$C$1004,$T1534))))</f>
        <v/>
      </c>
      <c r="E1534" s="88">
        <f>IF($T1534="","",IF($S1534="S",IF(""="","",""),IF(INDEX('AFA Rates'!$D$5:$D$1004,$T1534)="","",INDEX('AFA Rates'!$D$5:$D$1004,$T1534))))</f>
        <v/>
      </c>
      <c r="F1534" s="79">
        <f>IF($T1534="","",IF($S1534="S",IF(INDEX(Firms!$O$5:$O$1004,$T1534)="","",INDEX(Firms!$O$5:$O$1004,$T1534)),IF(INDEX('AFA Rates'!$O$5:$O$1004,$T1534)="","",INDEX('AFA Rates'!$O$5:$O$1004,$T1534))))</f>
        <v/>
      </c>
      <c r="G1534" s="50">
        <f>IF($T1534="","",IF($S1534="S",IF(INDEX(Firms!$F$5:$F$1004,$T1534)="","",INDEX(Firms!$F$5:$F$1004,$T1534)),IF(INDEX('AFA Rates'!$E$5:$E$1004,$T1534)="","",INDEX('AFA Rates'!$E$5:$E$1004,$T1534))))</f>
        <v/>
      </c>
      <c r="H1534" s="50">
        <f>IF($T1534="","",IF($S1534="S",IF(INDEX(Firms!$G$5:$G$1004,$T1534)="","",INDEX(Firms!$G$5:$G$1004,$T1534)),IF(INDEX('AFA Rates'!$F$5:$F$1004,$T1534)="","",INDEX('AFA Rates'!$F$5:$F$1004,$T1534))))</f>
        <v/>
      </c>
      <c r="I1534" s="50">
        <f>IF($T1534="","",IF($S1534="S",IF(INDEX(Firms!$H$5:$H$1004,$T1534)="","",INDEX(Firms!$H$5:$H$1004,$T1534)),IF(INDEX('AFA Rates'!$G$5:$G$1004,$T1534)="","",INDEX('AFA Rates'!$G$5:$G$1004,$T1534))))</f>
        <v/>
      </c>
      <c r="J1534" s="50">
        <f>IF($T1534="","",IF($S1534="S",IF(INDEX(Firms!$I$5:$I$1004,$T1534)="","",INDEX(Firms!$I$5:$I$1004,$T1534)),IF(INDEX('AFA Rates'!$H$5:$H$1004,$T1534)="","",INDEX('AFA Rates'!$H$5:$H$1004,$T1534))))</f>
        <v/>
      </c>
      <c r="K1534" s="50">
        <f>IF($T1534="","",IF($S1534="S",IF(INDEX(Firms!$J$5:$J$1004,$T1534)="","",INDEX(Firms!$J$5:$J$1004,$T1534)),IF(INDEX('AFA Rates'!$I$5:$I$1004,$T1534)="","",INDEX('AFA Rates'!$I$5:$I$1004,$T1534))))</f>
        <v/>
      </c>
      <c r="L1534" s="50">
        <f>IF($T1534="","",IF($S1534="S",IF(INDEX(Firms!$K$5:$K$1004,$T1534)="","",INDEX(Firms!$K$5:$K$1004,$T1534)),IF(INDEX('AFA Rates'!$J$5:$J$1004,$T1534)="","",INDEX('AFA Rates'!$J$5:$J$1004,$T1534))))</f>
        <v/>
      </c>
      <c r="M1534" s="50">
        <f>IF($T1534="","",IF($S1534="S",IF(INDEX(Firms!$L$5:$L$1004,$T1534)="","",INDEX(Firms!$L$5:$L$1004,$T1534)),IF(INDEX('AFA Rates'!$K$5:$K$1004,$T1534)="","",INDEX('AFA Rates'!$K$5:$K$1004,$T1534))))</f>
        <v/>
      </c>
      <c r="N1534" s="50">
        <f>IF($T1534="","",IF($S1534="S",IF(INDEX(Firms!$M$5:$M$1004,$T1534)="","",INDEX(Firms!$M$5:$M$1004,$T1534)),IF(INDEX('AFA Rates'!$L$5:$L$1004,$T1534)="","",INDEX('AFA Rates'!$L$5:$L$1004,$T1534))))</f>
        <v/>
      </c>
      <c r="O1534" s="78">
        <f>IF(OR($T1534="",$U1534=""),"",IF(INDEX(Firms!$C$5:$C$1004,$U1534)="","",INDEX(Firms!$C$5:$C$1004,$U1534)))</f>
        <v/>
      </c>
      <c r="P1534" s="79">
        <f>IF(OR($T1534="",$U1534=""),"",IF(INDEX(Firms!$N$5:$N$1004,$U1534)="","",INDEX(Firms!$N$5:$N$1004,$U1534)))</f>
        <v/>
      </c>
      <c r="Q1534" s="78">
        <f>IF($T1534="","",IF($S1534="S",IF(INDEX(Firms!$T$5:$T$1004,$T1534)="","",INDEX(Firms!$T$5:$T$1004,$T1534)),IF(INDEX('AFA Rates'!$M$5:$M$1004,$T1534)="","",INDEX('AFA Rates'!$M$5:$M$1004,$T1534))))</f>
        <v/>
      </c>
      <c r="S1534">
        <f>IF(1530&lt;=$S$2,"S",IF(1530&lt;=$S$2+$T$2,"A",""))</f>
        <v/>
      </c>
      <c r="T1534">
        <f>IF(S1534="S",MATCH(1530,Firms!$W$5:$W$1004,0),IF(S1534="A",IFERROR(MATCH(1530-$S$2,'AFA Rates'!$R$5:$R$1004,0),""),""))</f>
        <v/>
      </c>
      <c r="U1534">
        <f>IF(S1534="S",T1534,IF(AND(S1534="A",T1534&lt;&gt;""),IFERROR(MATCH(INDEX('AFA Rates'!$A$5:$A$1004,T1534),Firms!$A$5:$A$1004,0),""),""))</f>
        <v/>
      </c>
    </row>
    <row r="1535">
      <c r="A1535" s="78">
        <f>IF($T1535="","",IF($S1535="S",IF(INDEX(Firms!$A$5:$A$1004,$T1535)="","",INDEX(Firms!$A$5:$A$1004,$T1535)),IF(INDEX('AFA Rates'!$A$5:$A$1004,$T1535)="","",INDEX('AFA Rates'!$A$5:$A$1004,$T1535))))</f>
        <v/>
      </c>
      <c r="B1535" s="79">
        <f>IF(OR($T1535="",$U1535=""),IF($T1535="","","Not on Firms tab"),INDEX(Firms!$B$5:$B$1004,$U1535)&amp;"")</f>
        <v/>
      </c>
      <c r="C1535" s="78">
        <f>IF($T1535="","",IF($S1535="S","Standard",INDEX('AFA Rates'!$B$5:$B$1004,$T1535)&amp;""))</f>
        <v/>
      </c>
      <c r="D1535" s="88">
        <f>IF($T1535="","",IF($S1535="S",IF(INDEX(Firms!$E$5:$E$1004,$T1535)="","",INDEX(Firms!$E$5:$E$1004,$T1535)),IF(INDEX('AFA Rates'!$C$5:$C$1004,$T1535)="","",INDEX('AFA Rates'!$C$5:$C$1004,$T1535))))</f>
        <v/>
      </c>
      <c r="E1535" s="88">
        <f>IF($T1535="","",IF($S1535="S",IF(""="","",""),IF(INDEX('AFA Rates'!$D$5:$D$1004,$T1535)="","",INDEX('AFA Rates'!$D$5:$D$1004,$T1535))))</f>
        <v/>
      </c>
      <c r="F1535" s="79">
        <f>IF($T1535="","",IF($S1535="S",IF(INDEX(Firms!$O$5:$O$1004,$T1535)="","",INDEX(Firms!$O$5:$O$1004,$T1535)),IF(INDEX('AFA Rates'!$O$5:$O$1004,$T1535)="","",INDEX('AFA Rates'!$O$5:$O$1004,$T1535))))</f>
        <v/>
      </c>
      <c r="G1535" s="50">
        <f>IF($T1535="","",IF($S1535="S",IF(INDEX(Firms!$F$5:$F$1004,$T1535)="","",INDEX(Firms!$F$5:$F$1004,$T1535)),IF(INDEX('AFA Rates'!$E$5:$E$1004,$T1535)="","",INDEX('AFA Rates'!$E$5:$E$1004,$T1535))))</f>
        <v/>
      </c>
      <c r="H1535" s="50">
        <f>IF($T1535="","",IF($S1535="S",IF(INDEX(Firms!$G$5:$G$1004,$T1535)="","",INDEX(Firms!$G$5:$G$1004,$T1535)),IF(INDEX('AFA Rates'!$F$5:$F$1004,$T1535)="","",INDEX('AFA Rates'!$F$5:$F$1004,$T1535))))</f>
        <v/>
      </c>
      <c r="I1535" s="50">
        <f>IF($T1535="","",IF($S1535="S",IF(INDEX(Firms!$H$5:$H$1004,$T1535)="","",INDEX(Firms!$H$5:$H$1004,$T1535)),IF(INDEX('AFA Rates'!$G$5:$G$1004,$T1535)="","",INDEX('AFA Rates'!$G$5:$G$1004,$T1535))))</f>
        <v/>
      </c>
      <c r="J1535" s="50">
        <f>IF($T1535="","",IF($S1535="S",IF(INDEX(Firms!$I$5:$I$1004,$T1535)="","",INDEX(Firms!$I$5:$I$1004,$T1535)),IF(INDEX('AFA Rates'!$H$5:$H$1004,$T1535)="","",INDEX('AFA Rates'!$H$5:$H$1004,$T1535))))</f>
        <v/>
      </c>
      <c r="K1535" s="50">
        <f>IF($T1535="","",IF($S1535="S",IF(INDEX(Firms!$J$5:$J$1004,$T1535)="","",INDEX(Firms!$J$5:$J$1004,$T1535)),IF(INDEX('AFA Rates'!$I$5:$I$1004,$T1535)="","",INDEX('AFA Rates'!$I$5:$I$1004,$T1535))))</f>
        <v/>
      </c>
      <c r="L1535" s="50">
        <f>IF($T1535="","",IF($S1535="S",IF(INDEX(Firms!$K$5:$K$1004,$T1535)="","",INDEX(Firms!$K$5:$K$1004,$T1535)),IF(INDEX('AFA Rates'!$J$5:$J$1004,$T1535)="","",INDEX('AFA Rates'!$J$5:$J$1004,$T1535))))</f>
        <v/>
      </c>
      <c r="M1535" s="50">
        <f>IF($T1535="","",IF($S1535="S",IF(INDEX(Firms!$L$5:$L$1004,$T1535)="","",INDEX(Firms!$L$5:$L$1004,$T1535)),IF(INDEX('AFA Rates'!$K$5:$K$1004,$T1535)="","",INDEX('AFA Rates'!$K$5:$K$1004,$T1535))))</f>
        <v/>
      </c>
      <c r="N1535" s="50">
        <f>IF($T1535="","",IF($S1535="S",IF(INDEX(Firms!$M$5:$M$1004,$T1535)="","",INDEX(Firms!$M$5:$M$1004,$T1535)),IF(INDEX('AFA Rates'!$L$5:$L$1004,$T1535)="","",INDEX('AFA Rates'!$L$5:$L$1004,$T1535))))</f>
        <v/>
      </c>
      <c r="O1535" s="78">
        <f>IF(OR($T1535="",$U1535=""),"",IF(INDEX(Firms!$C$5:$C$1004,$U1535)="","",INDEX(Firms!$C$5:$C$1004,$U1535)))</f>
        <v/>
      </c>
      <c r="P1535" s="79">
        <f>IF(OR($T1535="",$U1535=""),"",IF(INDEX(Firms!$N$5:$N$1004,$U1535)="","",INDEX(Firms!$N$5:$N$1004,$U1535)))</f>
        <v/>
      </c>
      <c r="Q1535" s="78">
        <f>IF($T1535="","",IF($S1535="S",IF(INDEX(Firms!$T$5:$T$1004,$T1535)="","",INDEX(Firms!$T$5:$T$1004,$T1535)),IF(INDEX('AFA Rates'!$M$5:$M$1004,$T1535)="","",INDEX('AFA Rates'!$M$5:$M$1004,$T1535))))</f>
        <v/>
      </c>
      <c r="S1535">
        <f>IF(1531&lt;=$S$2,"S",IF(1531&lt;=$S$2+$T$2,"A",""))</f>
        <v/>
      </c>
      <c r="T1535">
        <f>IF(S1535="S",MATCH(1531,Firms!$W$5:$W$1004,0),IF(S1535="A",IFERROR(MATCH(1531-$S$2,'AFA Rates'!$R$5:$R$1004,0),""),""))</f>
        <v/>
      </c>
      <c r="U1535">
        <f>IF(S1535="S",T1535,IF(AND(S1535="A",T1535&lt;&gt;""),IFERROR(MATCH(INDEX('AFA Rates'!$A$5:$A$1004,T1535),Firms!$A$5:$A$1004,0),""),""))</f>
        <v/>
      </c>
    </row>
    <row r="1536">
      <c r="A1536" s="78">
        <f>IF($T1536="","",IF($S1536="S",IF(INDEX(Firms!$A$5:$A$1004,$T1536)="","",INDEX(Firms!$A$5:$A$1004,$T1536)),IF(INDEX('AFA Rates'!$A$5:$A$1004,$T1536)="","",INDEX('AFA Rates'!$A$5:$A$1004,$T1536))))</f>
        <v/>
      </c>
      <c r="B1536" s="79">
        <f>IF(OR($T1536="",$U1536=""),IF($T1536="","","Not on Firms tab"),INDEX(Firms!$B$5:$B$1004,$U1536)&amp;"")</f>
        <v/>
      </c>
      <c r="C1536" s="78">
        <f>IF($T1536="","",IF($S1536="S","Standard",INDEX('AFA Rates'!$B$5:$B$1004,$T1536)&amp;""))</f>
        <v/>
      </c>
      <c r="D1536" s="88">
        <f>IF($T1536="","",IF($S1536="S",IF(INDEX(Firms!$E$5:$E$1004,$T1536)="","",INDEX(Firms!$E$5:$E$1004,$T1536)),IF(INDEX('AFA Rates'!$C$5:$C$1004,$T1536)="","",INDEX('AFA Rates'!$C$5:$C$1004,$T1536))))</f>
        <v/>
      </c>
      <c r="E1536" s="88">
        <f>IF($T1536="","",IF($S1536="S",IF(""="","",""),IF(INDEX('AFA Rates'!$D$5:$D$1004,$T1536)="","",INDEX('AFA Rates'!$D$5:$D$1004,$T1536))))</f>
        <v/>
      </c>
      <c r="F1536" s="79">
        <f>IF($T1536="","",IF($S1536="S",IF(INDEX(Firms!$O$5:$O$1004,$T1536)="","",INDEX(Firms!$O$5:$O$1004,$T1536)),IF(INDEX('AFA Rates'!$O$5:$O$1004,$T1536)="","",INDEX('AFA Rates'!$O$5:$O$1004,$T1536))))</f>
        <v/>
      </c>
      <c r="G1536" s="50">
        <f>IF($T1536="","",IF($S1536="S",IF(INDEX(Firms!$F$5:$F$1004,$T1536)="","",INDEX(Firms!$F$5:$F$1004,$T1536)),IF(INDEX('AFA Rates'!$E$5:$E$1004,$T1536)="","",INDEX('AFA Rates'!$E$5:$E$1004,$T1536))))</f>
        <v/>
      </c>
      <c r="H1536" s="50">
        <f>IF($T1536="","",IF($S1536="S",IF(INDEX(Firms!$G$5:$G$1004,$T1536)="","",INDEX(Firms!$G$5:$G$1004,$T1536)),IF(INDEX('AFA Rates'!$F$5:$F$1004,$T1536)="","",INDEX('AFA Rates'!$F$5:$F$1004,$T1536))))</f>
        <v/>
      </c>
      <c r="I1536" s="50">
        <f>IF($T1536="","",IF($S1536="S",IF(INDEX(Firms!$H$5:$H$1004,$T1536)="","",INDEX(Firms!$H$5:$H$1004,$T1536)),IF(INDEX('AFA Rates'!$G$5:$G$1004,$T1536)="","",INDEX('AFA Rates'!$G$5:$G$1004,$T1536))))</f>
        <v/>
      </c>
      <c r="J1536" s="50">
        <f>IF($T1536="","",IF($S1536="S",IF(INDEX(Firms!$I$5:$I$1004,$T1536)="","",INDEX(Firms!$I$5:$I$1004,$T1536)),IF(INDEX('AFA Rates'!$H$5:$H$1004,$T1536)="","",INDEX('AFA Rates'!$H$5:$H$1004,$T1536))))</f>
        <v/>
      </c>
      <c r="K1536" s="50">
        <f>IF($T1536="","",IF($S1536="S",IF(INDEX(Firms!$J$5:$J$1004,$T1536)="","",INDEX(Firms!$J$5:$J$1004,$T1536)),IF(INDEX('AFA Rates'!$I$5:$I$1004,$T1536)="","",INDEX('AFA Rates'!$I$5:$I$1004,$T1536))))</f>
        <v/>
      </c>
      <c r="L1536" s="50">
        <f>IF($T1536="","",IF($S1536="S",IF(INDEX(Firms!$K$5:$K$1004,$T1536)="","",INDEX(Firms!$K$5:$K$1004,$T1536)),IF(INDEX('AFA Rates'!$J$5:$J$1004,$T1536)="","",INDEX('AFA Rates'!$J$5:$J$1004,$T1536))))</f>
        <v/>
      </c>
      <c r="M1536" s="50">
        <f>IF($T1536="","",IF($S1536="S",IF(INDEX(Firms!$L$5:$L$1004,$T1536)="","",INDEX(Firms!$L$5:$L$1004,$T1536)),IF(INDEX('AFA Rates'!$K$5:$K$1004,$T1536)="","",INDEX('AFA Rates'!$K$5:$K$1004,$T1536))))</f>
        <v/>
      </c>
      <c r="N1536" s="50">
        <f>IF($T1536="","",IF($S1536="S",IF(INDEX(Firms!$M$5:$M$1004,$T1536)="","",INDEX(Firms!$M$5:$M$1004,$T1536)),IF(INDEX('AFA Rates'!$L$5:$L$1004,$T1536)="","",INDEX('AFA Rates'!$L$5:$L$1004,$T1536))))</f>
        <v/>
      </c>
      <c r="O1536" s="78">
        <f>IF(OR($T1536="",$U1536=""),"",IF(INDEX(Firms!$C$5:$C$1004,$U1536)="","",INDEX(Firms!$C$5:$C$1004,$U1536)))</f>
        <v/>
      </c>
      <c r="P1536" s="79">
        <f>IF(OR($T1536="",$U1536=""),"",IF(INDEX(Firms!$N$5:$N$1004,$U1536)="","",INDEX(Firms!$N$5:$N$1004,$U1536)))</f>
        <v/>
      </c>
      <c r="Q1536" s="78">
        <f>IF($T1536="","",IF($S1536="S",IF(INDEX(Firms!$T$5:$T$1004,$T1536)="","",INDEX(Firms!$T$5:$T$1004,$T1536)),IF(INDEX('AFA Rates'!$M$5:$M$1004,$T1536)="","",INDEX('AFA Rates'!$M$5:$M$1004,$T1536))))</f>
        <v/>
      </c>
      <c r="S1536">
        <f>IF(1532&lt;=$S$2,"S",IF(1532&lt;=$S$2+$T$2,"A",""))</f>
        <v/>
      </c>
      <c r="T1536">
        <f>IF(S1536="S",MATCH(1532,Firms!$W$5:$W$1004,0),IF(S1536="A",IFERROR(MATCH(1532-$S$2,'AFA Rates'!$R$5:$R$1004,0),""),""))</f>
        <v/>
      </c>
      <c r="U1536">
        <f>IF(S1536="S",T1536,IF(AND(S1536="A",T1536&lt;&gt;""),IFERROR(MATCH(INDEX('AFA Rates'!$A$5:$A$1004,T1536),Firms!$A$5:$A$1004,0),""),""))</f>
        <v/>
      </c>
    </row>
    <row r="1537">
      <c r="A1537" s="78">
        <f>IF($T1537="","",IF($S1537="S",IF(INDEX(Firms!$A$5:$A$1004,$T1537)="","",INDEX(Firms!$A$5:$A$1004,$T1537)),IF(INDEX('AFA Rates'!$A$5:$A$1004,$T1537)="","",INDEX('AFA Rates'!$A$5:$A$1004,$T1537))))</f>
        <v/>
      </c>
      <c r="B1537" s="79">
        <f>IF(OR($T1537="",$U1537=""),IF($T1537="","","Not on Firms tab"),INDEX(Firms!$B$5:$B$1004,$U1537)&amp;"")</f>
        <v/>
      </c>
      <c r="C1537" s="78">
        <f>IF($T1537="","",IF($S1537="S","Standard",INDEX('AFA Rates'!$B$5:$B$1004,$T1537)&amp;""))</f>
        <v/>
      </c>
      <c r="D1537" s="88">
        <f>IF($T1537="","",IF($S1537="S",IF(INDEX(Firms!$E$5:$E$1004,$T1537)="","",INDEX(Firms!$E$5:$E$1004,$T1537)),IF(INDEX('AFA Rates'!$C$5:$C$1004,$T1537)="","",INDEX('AFA Rates'!$C$5:$C$1004,$T1537))))</f>
        <v/>
      </c>
      <c r="E1537" s="88">
        <f>IF($T1537="","",IF($S1537="S",IF(""="","",""),IF(INDEX('AFA Rates'!$D$5:$D$1004,$T1537)="","",INDEX('AFA Rates'!$D$5:$D$1004,$T1537))))</f>
        <v/>
      </c>
      <c r="F1537" s="79">
        <f>IF($T1537="","",IF($S1537="S",IF(INDEX(Firms!$O$5:$O$1004,$T1537)="","",INDEX(Firms!$O$5:$O$1004,$T1537)),IF(INDEX('AFA Rates'!$O$5:$O$1004,$T1537)="","",INDEX('AFA Rates'!$O$5:$O$1004,$T1537))))</f>
        <v/>
      </c>
      <c r="G1537" s="50">
        <f>IF($T1537="","",IF($S1537="S",IF(INDEX(Firms!$F$5:$F$1004,$T1537)="","",INDEX(Firms!$F$5:$F$1004,$T1537)),IF(INDEX('AFA Rates'!$E$5:$E$1004,$T1537)="","",INDEX('AFA Rates'!$E$5:$E$1004,$T1537))))</f>
        <v/>
      </c>
      <c r="H1537" s="50">
        <f>IF($T1537="","",IF($S1537="S",IF(INDEX(Firms!$G$5:$G$1004,$T1537)="","",INDEX(Firms!$G$5:$G$1004,$T1537)),IF(INDEX('AFA Rates'!$F$5:$F$1004,$T1537)="","",INDEX('AFA Rates'!$F$5:$F$1004,$T1537))))</f>
        <v/>
      </c>
      <c r="I1537" s="50">
        <f>IF($T1537="","",IF($S1537="S",IF(INDEX(Firms!$H$5:$H$1004,$T1537)="","",INDEX(Firms!$H$5:$H$1004,$T1537)),IF(INDEX('AFA Rates'!$G$5:$G$1004,$T1537)="","",INDEX('AFA Rates'!$G$5:$G$1004,$T1537))))</f>
        <v/>
      </c>
      <c r="J1537" s="50">
        <f>IF($T1537="","",IF($S1537="S",IF(INDEX(Firms!$I$5:$I$1004,$T1537)="","",INDEX(Firms!$I$5:$I$1004,$T1537)),IF(INDEX('AFA Rates'!$H$5:$H$1004,$T1537)="","",INDEX('AFA Rates'!$H$5:$H$1004,$T1537))))</f>
        <v/>
      </c>
      <c r="K1537" s="50">
        <f>IF($T1537="","",IF($S1537="S",IF(INDEX(Firms!$J$5:$J$1004,$T1537)="","",INDEX(Firms!$J$5:$J$1004,$T1537)),IF(INDEX('AFA Rates'!$I$5:$I$1004,$T1537)="","",INDEX('AFA Rates'!$I$5:$I$1004,$T1537))))</f>
        <v/>
      </c>
      <c r="L1537" s="50">
        <f>IF($T1537="","",IF($S1537="S",IF(INDEX(Firms!$K$5:$K$1004,$T1537)="","",INDEX(Firms!$K$5:$K$1004,$T1537)),IF(INDEX('AFA Rates'!$J$5:$J$1004,$T1537)="","",INDEX('AFA Rates'!$J$5:$J$1004,$T1537))))</f>
        <v/>
      </c>
      <c r="M1537" s="50">
        <f>IF($T1537="","",IF($S1537="S",IF(INDEX(Firms!$L$5:$L$1004,$T1537)="","",INDEX(Firms!$L$5:$L$1004,$T1537)),IF(INDEX('AFA Rates'!$K$5:$K$1004,$T1537)="","",INDEX('AFA Rates'!$K$5:$K$1004,$T1537))))</f>
        <v/>
      </c>
      <c r="N1537" s="50">
        <f>IF($T1537="","",IF($S1537="S",IF(INDEX(Firms!$M$5:$M$1004,$T1537)="","",INDEX(Firms!$M$5:$M$1004,$T1537)),IF(INDEX('AFA Rates'!$L$5:$L$1004,$T1537)="","",INDEX('AFA Rates'!$L$5:$L$1004,$T1537))))</f>
        <v/>
      </c>
      <c r="O1537" s="78">
        <f>IF(OR($T1537="",$U1537=""),"",IF(INDEX(Firms!$C$5:$C$1004,$U1537)="","",INDEX(Firms!$C$5:$C$1004,$U1537)))</f>
        <v/>
      </c>
      <c r="P1537" s="79">
        <f>IF(OR($T1537="",$U1537=""),"",IF(INDEX(Firms!$N$5:$N$1004,$U1537)="","",INDEX(Firms!$N$5:$N$1004,$U1537)))</f>
        <v/>
      </c>
      <c r="Q1537" s="78">
        <f>IF($T1537="","",IF($S1537="S",IF(INDEX(Firms!$T$5:$T$1004,$T1537)="","",INDEX(Firms!$T$5:$T$1004,$T1537)),IF(INDEX('AFA Rates'!$M$5:$M$1004,$T1537)="","",INDEX('AFA Rates'!$M$5:$M$1004,$T1537))))</f>
        <v/>
      </c>
      <c r="S1537">
        <f>IF(1533&lt;=$S$2,"S",IF(1533&lt;=$S$2+$T$2,"A",""))</f>
        <v/>
      </c>
      <c r="T1537">
        <f>IF(S1537="S",MATCH(1533,Firms!$W$5:$W$1004,0),IF(S1537="A",IFERROR(MATCH(1533-$S$2,'AFA Rates'!$R$5:$R$1004,0),""),""))</f>
        <v/>
      </c>
      <c r="U1537">
        <f>IF(S1537="S",T1537,IF(AND(S1537="A",T1537&lt;&gt;""),IFERROR(MATCH(INDEX('AFA Rates'!$A$5:$A$1004,T1537),Firms!$A$5:$A$1004,0),""),""))</f>
        <v/>
      </c>
    </row>
    <row r="1538">
      <c r="A1538" s="78">
        <f>IF($T1538="","",IF($S1538="S",IF(INDEX(Firms!$A$5:$A$1004,$T1538)="","",INDEX(Firms!$A$5:$A$1004,$T1538)),IF(INDEX('AFA Rates'!$A$5:$A$1004,$T1538)="","",INDEX('AFA Rates'!$A$5:$A$1004,$T1538))))</f>
        <v/>
      </c>
      <c r="B1538" s="79">
        <f>IF(OR($T1538="",$U1538=""),IF($T1538="","","Not on Firms tab"),INDEX(Firms!$B$5:$B$1004,$U1538)&amp;"")</f>
        <v/>
      </c>
      <c r="C1538" s="78">
        <f>IF($T1538="","",IF($S1538="S","Standard",INDEX('AFA Rates'!$B$5:$B$1004,$T1538)&amp;""))</f>
        <v/>
      </c>
      <c r="D1538" s="88">
        <f>IF($T1538="","",IF($S1538="S",IF(INDEX(Firms!$E$5:$E$1004,$T1538)="","",INDEX(Firms!$E$5:$E$1004,$T1538)),IF(INDEX('AFA Rates'!$C$5:$C$1004,$T1538)="","",INDEX('AFA Rates'!$C$5:$C$1004,$T1538))))</f>
        <v/>
      </c>
      <c r="E1538" s="88">
        <f>IF($T1538="","",IF($S1538="S",IF(""="","",""),IF(INDEX('AFA Rates'!$D$5:$D$1004,$T1538)="","",INDEX('AFA Rates'!$D$5:$D$1004,$T1538))))</f>
        <v/>
      </c>
      <c r="F1538" s="79">
        <f>IF($T1538="","",IF($S1538="S",IF(INDEX(Firms!$O$5:$O$1004,$T1538)="","",INDEX(Firms!$O$5:$O$1004,$T1538)),IF(INDEX('AFA Rates'!$O$5:$O$1004,$T1538)="","",INDEX('AFA Rates'!$O$5:$O$1004,$T1538))))</f>
        <v/>
      </c>
      <c r="G1538" s="50">
        <f>IF($T1538="","",IF($S1538="S",IF(INDEX(Firms!$F$5:$F$1004,$T1538)="","",INDEX(Firms!$F$5:$F$1004,$T1538)),IF(INDEX('AFA Rates'!$E$5:$E$1004,$T1538)="","",INDEX('AFA Rates'!$E$5:$E$1004,$T1538))))</f>
        <v/>
      </c>
      <c r="H1538" s="50">
        <f>IF($T1538="","",IF($S1538="S",IF(INDEX(Firms!$G$5:$G$1004,$T1538)="","",INDEX(Firms!$G$5:$G$1004,$T1538)),IF(INDEX('AFA Rates'!$F$5:$F$1004,$T1538)="","",INDEX('AFA Rates'!$F$5:$F$1004,$T1538))))</f>
        <v/>
      </c>
      <c r="I1538" s="50">
        <f>IF($T1538="","",IF($S1538="S",IF(INDEX(Firms!$H$5:$H$1004,$T1538)="","",INDEX(Firms!$H$5:$H$1004,$T1538)),IF(INDEX('AFA Rates'!$G$5:$G$1004,$T1538)="","",INDEX('AFA Rates'!$G$5:$G$1004,$T1538))))</f>
        <v/>
      </c>
      <c r="J1538" s="50">
        <f>IF($T1538="","",IF($S1538="S",IF(INDEX(Firms!$I$5:$I$1004,$T1538)="","",INDEX(Firms!$I$5:$I$1004,$T1538)),IF(INDEX('AFA Rates'!$H$5:$H$1004,$T1538)="","",INDEX('AFA Rates'!$H$5:$H$1004,$T1538))))</f>
        <v/>
      </c>
      <c r="K1538" s="50">
        <f>IF($T1538="","",IF($S1538="S",IF(INDEX(Firms!$J$5:$J$1004,$T1538)="","",INDEX(Firms!$J$5:$J$1004,$T1538)),IF(INDEX('AFA Rates'!$I$5:$I$1004,$T1538)="","",INDEX('AFA Rates'!$I$5:$I$1004,$T1538))))</f>
        <v/>
      </c>
      <c r="L1538" s="50">
        <f>IF($T1538="","",IF($S1538="S",IF(INDEX(Firms!$K$5:$K$1004,$T1538)="","",INDEX(Firms!$K$5:$K$1004,$T1538)),IF(INDEX('AFA Rates'!$J$5:$J$1004,$T1538)="","",INDEX('AFA Rates'!$J$5:$J$1004,$T1538))))</f>
        <v/>
      </c>
      <c r="M1538" s="50">
        <f>IF($T1538="","",IF($S1538="S",IF(INDEX(Firms!$L$5:$L$1004,$T1538)="","",INDEX(Firms!$L$5:$L$1004,$T1538)),IF(INDEX('AFA Rates'!$K$5:$K$1004,$T1538)="","",INDEX('AFA Rates'!$K$5:$K$1004,$T1538))))</f>
        <v/>
      </c>
      <c r="N1538" s="50">
        <f>IF($T1538="","",IF($S1538="S",IF(INDEX(Firms!$M$5:$M$1004,$T1538)="","",INDEX(Firms!$M$5:$M$1004,$T1538)),IF(INDEX('AFA Rates'!$L$5:$L$1004,$T1538)="","",INDEX('AFA Rates'!$L$5:$L$1004,$T1538))))</f>
        <v/>
      </c>
      <c r="O1538" s="78">
        <f>IF(OR($T1538="",$U1538=""),"",IF(INDEX(Firms!$C$5:$C$1004,$U1538)="","",INDEX(Firms!$C$5:$C$1004,$U1538)))</f>
        <v/>
      </c>
      <c r="P1538" s="79">
        <f>IF(OR($T1538="",$U1538=""),"",IF(INDEX(Firms!$N$5:$N$1004,$U1538)="","",INDEX(Firms!$N$5:$N$1004,$U1538)))</f>
        <v/>
      </c>
      <c r="Q1538" s="78">
        <f>IF($T1538="","",IF($S1538="S",IF(INDEX(Firms!$T$5:$T$1004,$T1538)="","",INDEX(Firms!$T$5:$T$1004,$T1538)),IF(INDEX('AFA Rates'!$M$5:$M$1004,$T1538)="","",INDEX('AFA Rates'!$M$5:$M$1004,$T1538))))</f>
        <v/>
      </c>
      <c r="S1538">
        <f>IF(1534&lt;=$S$2,"S",IF(1534&lt;=$S$2+$T$2,"A",""))</f>
        <v/>
      </c>
      <c r="T1538">
        <f>IF(S1538="S",MATCH(1534,Firms!$W$5:$W$1004,0),IF(S1538="A",IFERROR(MATCH(1534-$S$2,'AFA Rates'!$R$5:$R$1004,0),""),""))</f>
        <v/>
      </c>
      <c r="U1538">
        <f>IF(S1538="S",T1538,IF(AND(S1538="A",T1538&lt;&gt;""),IFERROR(MATCH(INDEX('AFA Rates'!$A$5:$A$1004,T1538),Firms!$A$5:$A$1004,0),""),""))</f>
        <v/>
      </c>
    </row>
    <row r="1539">
      <c r="A1539" s="78">
        <f>IF($T1539="","",IF($S1539="S",IF(INDEX(Firms!$A$5:$A$1004,$T1539)="","",INDEX(Firms!$A$5:$A$1004,$T1539)),IF(INDEX('AFA Rates'!$A$5:$A$1004,$T1539)="","",INDEX('AFA Rates'!$A$5:$A$1004,$T1539))))</f>
        <v/>
      </c>
      <c r="B1539" s="79">
        <f>IF(OR($T1539="",$U1539=""),IF($T1539="","","Not on Firms tab"),INDEX(Firms!$B$5:$B$1004,$U1539)&amp;"")</f>
        <v/>
      </c>
      <c r="C1539" s="78">
        <f>IF($T1539="","",IF($S1539="S","Standard",INDEX('AFA Rates'!$B$5:$B$1004,$T1539)&amp;""))</f>
        <v/>
      </c>
      <c r="D1539" s="88">
        <f>IF($T1539="","",IF($S1539="S",IF(INDEX(Firms!$E$5:$E$1004,$T1539)="","",INDEX(Firms!$E$5:$E$1004,$T1539)),IF(INDEX('AFA Rates'!$C$5:$C$1004,$T1539)="","",INDEX('AFA Rates'!$C$5:$C$1004,$T1539))))</f>
        <v/>
      </c>
      <c r="E1539" s="88">
        <f>IF($T1539="","",IF($S1539="S",IF(""="","",""),IF(INDEX('AFA Rates'!$D$5:$D$1004,$T1539)="","",INDEX('AFA Rates'!$D$5:$D$1004,$T1539))))</f>
        <v/>
      </c>
      <c r="F1539" s="79">
        <f>IF($T1539="","",IF($S1539="S",IF(INDEX(Firms!$O$5:$O$1004,$T1539)="","",INDEX(Firms!$O$5:$O$1004,$T1539)),IF(INDEX('AFA Rates'!$O$5:$O$1004,$T1539)="","",INDEX('AFA Rates'!$O$5:$O$1004,$T1539))))</f>
        <v/>
      </c>
      <c r="G1539" s="50">
        <f>IF($T1539="","",IF($S1539="S",IF(INDEX(Firms!$F$5:$F$1004,$T1539)="","",INDEX(Firms!$F$5:$F$1004,$T1539)),IF(INDEX('AFA Rates'!$E$5:$E$1004,$T1539)="","",INDEX('AFA Rates'!$E$5:$E$1004,$T1539))))</f>
        <v/>
      </c>
      <c r="H1539" s="50">
        <f>IF($T1539="","",IF($S1539="S",IF(INDEX(Firms!$G$5:$G$1004,$T1539)="","",INDEX(Firms!$G$5:$G$1004,$T1539)),IF(INDEX('AFA Rates'!$F$5:$F$1004,$T1539)="","",INDEX('AFA Rates'!$F$5:$F$1004,$T1539))))</f>
        <v/>
      </c>
      <c r="I1539" s="50">
        <f>IF($T1539="","",IF($S1539="S",IF(INDEX(Firms!$H$5:$H$1004,$T1539)="","",INDEX(Firms!$H$5:$H$1004,$T1539)),IF(INDEX('AFA Rates'!$G$5:$G$1004,$T1539)="","",INDEX('AFA Rates'!$G$5:$G$1004,$T1539))))</f>
        <v/>
      </c>
      <c r="J1539" s="50">
        <f>IF($T1539="","",IF($S1539="S",IF(INDEX(Firms!$I$5:$I$1004,$T1539)="","",INDEX(Firms!$I$5:$I$1004,$T1539)),IF(INDEX('AFA Rates'!$H$5:$H$1004,$T1539)="","",INDEX('AFA Rates'!$H$5:$H$1004,$T1539))))</f>
        <v/>
      </c>
      <c r="K1539" s="50">
        <f>IF($T1539="","",IF($S1539="S",IF(INDEX(Firms!$J$5:$J$1004,$T1539)="","",INDEX(Firms!$J$5:$J$1004,$T1539)),IF(INDEX('AFA Rates'!$I$5:$I$1004,$T1539)="","",INDEX('AFA Rates'!$I$5:$I$1004,$T1539))))</f>
        <v/>
      </c>
      <c r="L1539" s="50">
        <f>IF($T1539="","",IF($S1539="S",IF(INDEX(Firms!$K$5:$K$1004,$T1539)="","",INDEX(Firms!$K$5:$K$1004,$T1539)),IF(INDEX('AFA Rates'!$J$5:$J$1004,$T1539)="","",INDEX('AFA Rates'!$J$5:$J$1004,$T1539))))</f>
        <v/>
      </c>
      <c r="M1539" s="50">
        <f>IF($T1539="","",IF($S1539="S",IF(INDEX(Firms!$L$5:$L$1004,$T1539)="","",INDEX(Firms!$L$5:$L$1004,$T1539)),IF(INDEX('AFA Rates'!$K$5:$K$1004,$T1539)="","",INDEX('AFA Rates'!$K$5:$K$1004,$T1539))))</f>
        <v/>
      </c>
      <c r="N1539" s="50">
        <f>IF($T1539="","",IF($S1539="S",IF(INDEX(Firms!$M$5:$M$1004,$T1539)="","",INDEX(Firms!$M$5:$M$1004,$T1539)),IF(INDEX('AFA Rates'!$L$5:$L$1004,$T1539)="","",INDEX('AFA Rates'!$L$5:$L$1004,$T1539))))</f>
        <v/>
      </c>
      <c r="O1539" s="78">
        <f>IF(OR($T1539="",$U1539=""),"",IF(INDEX(Firms!$C$5:$C$1004,$U1539)="","",INDEX(Firms!$C$5:$C$1004,$U1539)))</f>
        <v/>
      </c>
      <c r="P1539" s="79">
        <f>IF(OR($T1539="",$U1539=""),"",IF(INDEX(Firms!$N$5:$N$1004,$U1539)="","",INDEX(Firms!$N$5:$N$1004,$U1539)))</f>
        <v/>
      </c>
      <c r="Q1539" s="78">
        <f>IF($T1539="","",IF($S1539="S",IF(INDEX(Firms!$T$5:$T$1004,$T1539)="","",INDEX(Firms!$T$5:$T$1004,$T1539)),IF(INDEX('AFA Rates'!$M$5:$M$1004,$T1539)="","",INDEX('AFA Rates'!$M$5:$M$1004,$T1539))))</f>
        <v/>
      </c>
      <c r="S1539">
        <f>IF(1535&lt;=$S$2,"S",IF(1535&lt;=$S$2+$T$2,"A",""))</f>
        <v/>
      </c>
      <c r="T1539">
        <f>IF(S1539="S",MATCH(1535,Firms!$W$5:$W$1004,0),IF(S1539="A",IFERROR(MATCH(1535-$S$2,'AFA Rates'!$R$5:$R$1004,0),""),""))</f>
        <v/>
      </c>
      <c r="U1539">
        <f>IF(S1539="S",T1539,IF(AND(S1539="A",T1539&lt;&gt;""),IFERROR(MATCH(INDEX('AFA Rates'!$A$5:$A$1004,T1539),Firms!$A$5:$A$1004,0),""),""))</f>
        <v/>
      </c>
    </row>
    <row r="1540">
      <c r="A1540" s="78">
        <f>IF($T1540="","",IF($S1540="S",IF(INDEX(Firms!$A$5:$A$1004,$T1540)="","",INDEX(Firms!$A$5:$A$1004,$T1540)),IF(INDEX('AFA Rates'!$A$5:$A$1004,$T1540)="","",INDEX('AFA Rates'!$A$5:$A$1004,$T1540))))</f>
        <v/>
      </c>
      <c r="B1540" s="79">
        <f>IF(OR($T1540="",$U1540=""),IF($T1540="","","Not on Firms tab"),INDEX(Firms!$B$5:$B$1004,$U1540)&amp;"")</f>
        <v/>
      </c>
      <c r="C1540" s="78">
        <f>IF($T1540="","",IF($S1540="S","Standard",INDEX('AFA Rates'!$B$5:$B$1004,$T1540)&amp;""))</f>
        <v/>
      </c>
      <c r="D1540" s="88">
        <f>IF($T1540="","",IF($S1540="S",IF(INDEX(Firms!$E$5:$E$1004,$T1540)="","",INDEX(Firms!$E$5:$E$1004,$T1540)),IF(INDEX('AFA Rates'!$C$5:$C$1004,$T1540)="","",INDEX('AFA Rates'!$C$5:$C$1004,$T1540))))</f>
        <v/>
      </c>
      <c r="E1540" s="88">
        <f>IF($T1540="","",IF($S1540="S",IF(""="","",""),IF(INDEX('AFA Rates'!$D$5:$D$1004,$T1540)="","",INDEX('AFA Rates'!$D$5:$D$1004,$T1540))))</f>
        <v/>
      </c>
      <c r="F1540" s="79">
        <f>IF($T1540="","",IF($S1540="S",IF(INDEX(Firms!$O$5:$O$1004,$T1540)="","",INDEX(Firms!$O$5:$O$1004,$T1540)),IF(INDEX('AFA Rates'!$O$5:$O$1004,$T1540)="","",INDEX('AFA Rates'!$O$5:$O$1004,$T1540))))</f>
        <v/>
      </c>
      <c r="G1540" s="50">
        <f>IF($T1540="","",IF($S1540="S",IF(INDEX(Firms!$F$5:$F$1004,$T1540)="","",INDEX(Firms!$F$5:$F$1004,$T1540)),IF(INDEX('AFA Rates'!$E$5:$E$1004,$T1540)="","",INDEX('AFA Rates'!$E$5:$E$1004,$T1540))))</f>
        <v/>
      </c>
      <c r="H1540" s="50">
        <f>IF($T1540="","",IF($S1540="S",IF(INDEX(Firms!$G$5:$G$1004,$T1540)="","",INDEX(Firms!$G$5:$G$1004,$T1540)),IF(INDEX('AFA Rates'!$F$5:$F$1004,$T1540)="","",INDEX('AFA Rates'!$F$5:$F$1004,$T1540))))</f>
        <v/>
      </c>
      <c r="I1540" s="50">
        <f>IF($T1540="","",IF($S1540="S",IF(INDEX(Firms!$H$5:$H$1004,$T1540)="","",INDEX(Firms!$H$5:$H$1004,$T1540)),IF(INDEX('AFA Rates'!$G$5:$G$1004,$T1540)="","",INDEX('AFA Rates'!$G$5:$G$1004,$T1540))))</f>
        <v/>
      </c>
      <c r="J1540" s="50">
        <f>IF($T1540="","",IF($S1540="S",IF(INDEX(Firms!$I$5:$I$1004,$T1540)="","",INDEX(Firms!$I$5:$I$1004,$T1540)),IF(INDEX('AFA Rates'!$H$5:$H$1004,$T1540)="","",INDEX('AFA Rates'!$H$5:$H$1004,$T1540))))</f>
        <v/>
      </c>
      <c r="K1540" s="50">
        <f>IF($T1540="","",IF($S1540="S",IF(INDEX(Firms!$J$5:$J$1004,$T1540)="","",INDEX(Firms!$J$5:$J$1004,$T1540)),IF(INDEX('AFA Rates'!$I$5:$I$1004,$T1540)="","",INDEX('AFA Rates'!$I$5:$I$1004,$T1540))))</f>
        <v/>
      </c>
      <c r="L1540" s="50">
        <f>IF($T1540="","",IF($S1540="S",IF(INDEX(Firms!$K$5:$K$1004,$T1540)="","",INDEX(Firms!$K$5:$K$1004,$T1540)),IF(INDEX('AFA Rates'!$J$5:$J$1004,$T1540)="","",INDEX('AFA Rates'!$J$5:$J$1004,$T1540))))</f>
        <v/>
      </c>
      <c r="M1540" s="50">
        <f>IF($T1540="","",IF($S1540="S",IF(INDEX(Firms!$L$5:$L$1004,$T1540)="","",INDEX(Firms!$L$5:$L$1004,$T1540)),IF(INDEX('AFA Rates'!$K$5:$K$1004,$T1540)="","",INDEX('AFA Rates'!$K$5:$K$1004,$T1540))))</f>
        <v/>
      </c>
      <c r="N1540" s="50">
        <f>IF($T1540="","",IF($S1540="S",IF(INDEX(Firms!$M$5:$M$1004,$T1540)="","",INDEX(Firms!$M$5:$M$1004,$T1540)),IF(INDEX('AFA Rates'!$L$5:$L$1004,$T1540)="","",INDEX('AFA Rates'!$L$5:$L$1004,$T1540))))</f>
        <v/>
      </c>
      <c r="O1540" s="78">
        <f>IF(OR($T1540="",$U1540=""),"",IF(INDEX(Firms!$C$5:$C$1004,$U1540)="","",INDEX(Firms!$C$5:$C$1004,$U1540)))</f>
        <v/>
      </c>
      <c r="P1540" s="79">
        <f>IF(OR($T1540="",$U1540=""),"",IF(INDEX(Firms!$N$5:$N$1004,$U1540)="","",INDEX(Firms!$N$5:$N$1004,$U1540)))</f>
        <v/>
      </c>
      <c r="Q1540" s="78">
        <f>IF($T1540="","",IF($S1540="S",IF(INDEX(Firms!$T$5:$T$1004,$T1540)="","",INDEX(Firms!$T$5:$T$1004,$T1540)),IF(INDEX('AFA Rates'!$M$5:$M$1004,$T1540)="","",INDEX('AFA Rates'!$M$5:$M$1004,$T1540))))</f>
        <v/>
      </c>
      <c r="S1540">
        <f>IF(1536&lt;=$S$2,"S",IF(1536&lt;=$S$2+$T$2,"A",""))</f>
        <v/>
      </c>
      <c r="T1540">
        <f>IF(S1540="S",MATCH(1536,Firms!$W$5:$W$1004,0),IF(S1540="A",IFERROR(MATCH(1536-$S$2,'AFA Rates'!$R$5:$R$1004,0),""),""))</f>
        <v/>
      </c>
      <c r="U1540">
        <f>IF(S1540="S",T1540,IF(AND(S1540="A",T1540&lt;&gt;""),IFERROR(MATCH(INDEX('AFA Rates'!$A$5:$A$1004,T1540),Firms!$A$5:$A$1004,0),""),""))</f>
        <v/>
      </c>
    </row>
    <row r="1541">
      <c r="A1541" s="78">
        <f>IF($T1541="","",IF($S1541="S",IF(INDEX(Firms!$A$5:$A$1004,$T1541)="","",INDEX(Firms!$A$5:$A$1004,$T1541)),IF(INDEX('AFA Rates'!$A$5:$A$1004,$T1541)="","",INDEX('AFA Rates'!$A$5:$A$1004,$T1541))))</f>
        <v/>
      </c>
      <c r="B1541" s="79">
        <f>IF(OR($T1541="",$U1541=""),IF($T1541="","","Not on Firms tab"),INDEX(Firms!$B$5:$B$1004,$U1541)&amp;"")</f>
        <v/>
      </c>
      <c r="C1541" s="78">
        <f>IF($T1541="","",IF($S1541="S","Standard",INDEX('AFA Rates'!$B$5:$B$1004,$T1541)&amp;""))</f>
        <v/>
      </c>
      <c r="D1541" s="88">
        <f>IF($T1541="","",IF($S1541="S",IF(INDEX(Firms!$E$5:$E$1004,$T1541)="","",INDEX(Firms!$E$5:$E$1004,$T1541)),IF(INDEX('AFA Rates'!$C$5:$C$1004,$T1541)="","",INDEX('AFA Rates'!$C$5:$C$1004,$T1541))))</f>
        <v/>
      </c>
      <c r="E1541" s="88">
        <f>IF($T1541="","",IF($S1541="S",IF(""="","",""),IF(INDEX('AFA Rates'!$D$5:$D$1004,$T1541)="","",INDEX('AFA Rates'!$D$5:$D$1004,$T1541))))</f>
        <v/>
      </c>
      <c r="F1541" s="79">
        <f>IF($T1541="","",IF($S1541="S",IF(INDEX(Firms!$O$5:$O$1004,$T1541)="","",INDEX(Firms!$O$5:$O$1004,$T1541)),IF(INDEX('AFA Rates'!$O$5:$O$1004,$T1541)="","",INDEX('AFA Rates'!$O$5:$O$1004,$T1541))))</f>
        <v/>
      </c>
      <c r="G1541" s="50">
        <f>IF($T1541="","",IF($S1541="S",IF(INDEX(Firms!$F$5:$F$1004,$T1541)="","",INDEX(Firms!$F$5:$F$1004,$T1541)),IF(INDEX('AFA Rates'!$E$5:$E$1004,$T1541)="","",INDEX('AFA Rates'!$E$5:$E$1004,$T1541))))</f>
        <v/>
      </c>
      <c r="H1541" s="50">
        <f>IF($T1541="","",IF($S1541="S",IF(INDEX(Firms!$G$5:$G$1004,$T1541)="","",INDEX(Firms!$G$5:$G$1004,$T1541)),IF(INDEX('AFA Rates'!$F$5:$F$1004,$T1541)="","",INDEX('AFA Rates'!$F$5:$F$1004,$T1541))))</f>
        <v/>
      </c>
      <c r="I1541" s="50">
        <f>IF($T1541="","",IF($S1541="S",IF(INDEX(Firms!$H$5:$H$1004,$T1541)="","",INDEX(Firms!$H$5:$H$1004,$T1541)),IF(INDEX('AFA Rates'!$G$5:$G$1004,$T1541)="","",INDEX('AFA Rates'!$G$5:$G$1004,$T1541))))</f>
        <v/>
      </c>
      <c r="J1541" s="50">
        <f>IF($T1541="","",IF($S1541="S",IF(INDEX(Firms!$I$5:$I$1004,$T1541)="","",INDEX(Firms!$I$5:$I$1004,$T1541)),IF(INDEX('AFA Rates'!$H$5:$H$1004,$T1541)="","",INDEX('AFA Rates'!$H$5:$H$1004,$T1541))))</f>
        <v/>
      </c>
      <c r="K1541" s="50">
        <f>IF($T1541="","",IF($S1541="S",IF(INDEX(Firms!$J$5:$J$1004,$T1541)="","",INDEX(Firms!$J$5:$J$1004,$T1541)),IF(INDEX('AFA Rates'!$I$5:$I$1004,$T1541)="","",INDEX('AFA Rates'!$I$5:$I$1004,$T1541))))</f>
        <v/>
      </c>
      <c r="L1541" s="50">
        <f>IF($T1541="","",IF($S1541="S",IF(INDEX(Firms!$K$5:$K$1004,$T1541)="","",INDEX(Firms!$K$5:$K$1004,$T1541)),IF(INDEX('AFA Rates'!$J$5:$J$1004,$T1541)="","",INDEX('AFA Rates'!$J$5:$J$1004,$T1541))))</f>
        <v/>
      </c>
      <c r="M1541" s="50">
        <f>IF($T1541="","",IF($S1541="S",IF(INDEX(Firms!$L$5:$L$1004,$T1541)="","",INDEX(Firms!$L$5:$L$1004,$T1541)),IF(INDEX('AFA Rates'!$K$5:$K$1004,$T1541)="","",INDEX('AFA Rates'!$K$5:$K$1004,$T1541))))</f>
        <v/>
      </c>
      <c r="N1541" s="50">
        <f>IF($T1541="","",IF($S1541="S",IF(INDEX(Firms!$M$5:$M$1004,$T1541)="","",INDEX(Firms!$M$5:$M$1004,$T1541)),IF(INDEX('AFA Rates'!$L$5:$L$1004,$T1541)="","",INDEX('AFA Rates'!$L$5:$L$1004,$T1541))))</f>
        <v/>
      </c>
      <c r="O1541" s="78">
        <f>IF(OR($T1541="",$U1541=""),"",IF(INDEX(Firms!$C$5:$C$1004,$U1541)="","",INDEX(Firms!$C$5:$C$1004,$U1541)))</f>
        <v/>
      </c>
      <c r="P1541" s="79">
        <f>IF(OR($T1541="",$U1541=""),"",IF(INDEX(Firms!$N$5:$N$1004,$U1541)="","",INDEX(Firms!$N$5:$N$1004,$U1541)))</f>
        <v/>
      </c>
      <c r="Q1541" s="78">
        <f>IF($T1541="","",IF($S1541="S",IF(INDEX(Firms!$T$5:$T$1004,$T1541)="","",INDEX(Firms!$T$5:$T$1004,$T1541)),IF(INDEX('AFA Rates'!$M$5:$M$1004,$T1541)="","",INDEX('AFA Rates'!$M$5:$M$1004,$T1541))))</f>
        <v/>
      </c>
      <c r="S1541">
        <f>IF(1537&lt;=$S$2,"S",IF(1537&lt;=$S$2+$T$2,"A",""))</f>
        <v/>
      </c>
      <c r="T1541">
        <f>IF(S1541="S",MATCH(1537,Firms!$W$5:$W$1004,0),IF(S1541="A",IFERROR(MATCH(1537-$S$2,'AFA Rates'!$R$5:$R$1004,0),""),""))</f>
        <v/>
      </c>
      <c r="U1541">
        <f>IF(S1541="S",T1541,IF(AND(S1541="A",T1541&lt;&gt;""),IFERROR(MATCH(INDEX('AFA Rates'!$A$5:$A$1004,T1541),Firms!$A$5:$A$1004,0),""),""))</f>
        <v/>
      </c>
    </row>
    <row r="1542">
      <c r="A1542" s="78">
        <f>IF($T1542="","",IF($S1542="S",IF(INDEX(Firms!$A$5:$A$1004,$T1542)="","",INDEX(Firms!$A$5:$A$1004,$T1542)),IF(INDEX('AFA Rates'!$A$5:$A$1004,$T1542)="","",INDEX('AFA Rates'!$A$5:$A$1004,$T1542))))</f>
        <v/>
      </c>
      <c r="B1542" s="79">
        <f>IF(OR($T1542="",$U1542=""),IF($T1542="","","Not on Firms tab"),INDEX(Firms!$B$5:$B$1004,$U1542)&amp;"")</f>
        <v/>
      </c>
      <c r="C1542" s="78">
        <f>IF($T1542="","",IF($S1542="S","Standard",INDEX('AFA Rates'!$B$5:$B$1004,$T1542)&amp;""))</f>
        <v/>
      </c>
      <c r="D1542" s="88">
        <f>IF($T1542="","",IF($S1542="S",IF(INDEX(Firms!$E$5:$E$1004,$T1542)="","",INDEX(Firms!$E$5:$E$1004,$T1542)),IF(INDEX('AFA Rates'!$C$5:$C$1004,$T1542)="","",INDEX('AFA Rates'!$C$5:$C$1004,$T1542))))</f>
        <v/>
      </c>
      <c r="E1542" s="88">
        <f>IF($T1542="","",IF($S1542="S",IF(""="","",""),IF(INDEX('AFA Rates'!$D$5:$D$1004,$T1542)="","",INDEX('AFA Rates'!$D$5:$D$1004,$T1542))))</f>
        <v/>
      </c>
      <c r="F1542" s="79">
        <f>IF($T1542="","",IF($S1542="S",IF(INDEX(Firms!$O$5:$O$1004,$T1542)="","",INDEX(Firms!$O$5:$O$1004,$T1542)),IF(INDEX('AFA Rates'!$O$5:$O$1004,$T1542)="","",INDEX('AFA Rates'!$O$5:$O$1004,$T1542))))</f>
        <v/>
      </c>
      <c r="G1542" s="50">
        <f>IF($T1542="","",IF($S1542="S",IF(INDEX(Firms!$F$5:$F$1004,$T1542)="","",INDEX(Firms!$F$5:$F$1004,$T1542)),IF(INDEX('AFA Rates'!$E$5:$E$1004,$T1542)="","",INDEX('AFA Rates'!$E$5:$E$1004,$T1542))))</f>
        <v/>
      </c>
      <c r="H1542" s="50">
        <f>IF($T1542="","",IF($S1542="S",IF(INDEX(Firms!$G$5:$G$1004,$T1542)="","",INDEX(Firms!$G$5:$G$1004,$T1542)),IF(INDEX('AFA Rates'!$F$5:$F$1004,$T1542)="","",INDEX('AFA Rates'!$F$5:$F$1004,$T1542))))</f>
        <v/>
      </c>
      <c r="I1542" s="50">
        <f>IF($T1542="","",IF($S1542="S",IF(INDEX(Firms!$H$5:$H$1004,$T1542)="","",INDEX(Firms!$H$5:$H$1004,$T1542)),IF(INDEX('AFA Rates'!$G$5:$G$1004,$T1542)="","",INDEX('AFA Rates'!$G$5:$G$1004,$T1542))))</f>
        <v/>
      </c>
      <c r="J1542" s="50">
        <f>IF($T1542="","",IF($S1542="S",IF(INDEX(Firms!$I$5:$I$1004,$T1542)="","",INDEX(Firms!$I$5:$I$1004,$T1542)),IF(INDEX('AFA Rates'!$H$5:$H$1004,$T1542)="","",INDEX('AFA Rates'!$H$5:$H$1004,$T1542))))</f>
        <v/>
      </c>
      <c r="K1542" s="50">
        <f>IF($T1542="","",IF($S1542="S",IF(INDEX(Firms!$J$5:$J$1004,$T1542)="","",INDEX(Firms!$J$5:$J$1004,$T1542)),IF(INDEX('AFA Rates'!$I$5:$I$1004,$T1542)="","",INDEX('AFA Rates'!$I$5:$I$1004,$T1542))))</f>
        <v/>
      </c>
      <c r="L1542" s="50">
        <f>IF($T1542="","",IF($S1542="S",IF(INDEX(Firms!$K$5:$K$1004,$T1542)="","",INDEX(Firms!$K$5:$K$1004,$T1542)),IF(INDEX('AFA Rates'!$J$5:$J$1004,$T1542)="","",INDEX('AFA Rates'!$J$5:$J$1004,$T1542))))</f>
        <v/>
      </c>
      <c r="M1542" s="50">
        <f>IF($T1542="","",IF($S1542="S",IF(INDEX(Firms!$L$5:$L$1004,$T1542)="","",INDEX(Firms!$L$5:$L$1004,$T1542)),IF(INDEX('AFA Rates'!$K$5:$K$1004,$T1542)="","",INDEX('AFA Rates'!$K$5:$K$1004,$T1542))))</f>
        <v/>
      </c>
      <c r="N1542" s="50">
        <f>IF($T1542="","",IF($S1542="S",IF(INDEX(Firms!$M$5:$M$1004,$T1542)="","",INDEX(Firms!$M$5:$M$1004,$T1542)),IF(INDEX('AFA Rates'!$L$5:$L$1004,$T1542)="","",INDEX('AFA Rates'!$L$5:$L$1004,$T1542))))</f>
        <v/>
      </c>
      <c r="O1542" s="78">
        <f>IF(OR($T1542="",$U1542=""),"",IF(INDEX(Firms!$C$5:$C$1004,$U1542)="","",INDEX(Firms!$C$5:$C$1004,$U1542)))</f>
        <v/>
      </c>
      <c r="P1542" s="79">
        <f>IF(OR($T1542="",$U1542=""),"",IF(INDEX(Firms!$N$5:$N$1004,$U1542)="","",INDEX(Firms!$N$5:$N$1004,$U1542)))</f>
        <v/>
      </c>
      <c r="Q1542" s="78">
        <f>IF($T1542="","",IF($S1542="S",IF(INDEX(Firms!$T$5:$T$1004,$T1542)="","",INDEX(Firms!$T$5:$T$1004,$T1542)),IF(INDEX('AFA Rates'!$M$5:$M$1004,$T1542)="","",INDEX('AFA Rates'!$M$5:$M$1004,$T1542))))</f>
        <v/>
      </c>
      <c r="S1542">
        <f>IF(1538&lt;=$S$2,"S",IF(1538&lt;=$S$2+$T$2,"A",""))</f>
        <v/>
      </c>
      <c r="T1542">
        <f>IF(S1542="S",MATCH(1538,Firms!$W$5:$W$1004,0),IF(S1542="A",IFERROR(MATCH(1538-$S$2,'AFA Rates'!$R$5:$R$1004,0),""),""))</f>
        <v/>
      </c>
      <c r="U1542">
        <f>IF(S1542="S",T1542,IF(AND(S1542="A",T1542&lt;&gt;""),IFERROR(MATCH(INDEX('AFA Rates'!$A$5:$A$1004,T1542),Firms!$A$5:$A$1004,0),""),""))</f>
        <v/>
      </c>
    </row>
    <row r="1543">
      <c r="A1543" s="78">
        <f>IF($T1543="","",IF($S1543="S",IF(INDEX(Firms!$A$5:$A$1004,$T1543)="","",INDEX(Firms!$A$5:$A$1004,$T1543)),IF(INDEX('AFA Rates'!$A$5:$A$1004,$T1543)="","",INDEX('AFA Rates'!$A$5:$A$1004,$T1543))))</f>
        <v/>
      </c>
      <c r="B1543" s="79">
        <f>IF(OR($T1543="",$U1543=""),IF($T1543="","","Not on Firms tab"),INDEX(Firms!$B$5:$B$1004,$U1543)&amp;"")</f>
        <v/>
      </c>
      <c r="C1543" s="78">
        <f>IF($T1543="","",IF($S1543="S","Standard",INDEX('AFA Rates'!$B$5:$B$1004,$T1543)&amp;""))</f>
        <v/>
      </c>
      <c r="D1543" s="88">
        <f>IF($T1543="","",IF($S1543="S",IF(INDEX(Firms!$E$5:$E$1004,$T1543)="","",INDEX(Firms!$E$5:$E$1004,$T1543)),IF(INDEX('AFA Rates'!$C$5:$C$1004,$T1543)="","",INDEX('AFA Rates'!$C$5:$C$1004,$T1543))))</f>
        <v/>
      </c>
      <c r="E1543" s="88">
        <f>IF($T1543="","",IF($S1543="S",IF(""="","",""),IF(INDEX('AFA Rates'!$D$5:$D$1004,$T1543)="","",INDEX('AFA Rates'!$D$5:$D$1004,$T1543))))</f>
        <v/>
      </c>
      <c r="F1543" s="79">
        <f>IF($T1543="","",IF($S1543="S",IF(INDEX(Firms!$O$5:$O$1004,$T1543)="","",INDEX(Firms!$O$5:$O$1004,$T1543)),IF(INDEX('AFA Rates'!$O$5:$O$1004,$T1543)="","",INDEX('AFA Rates'!$O$5:$O$1004,$T1543))))</f>
        <v/>
      </c>
      <c r="G1543" s="50">
        <f>IF($T1543="","",IF($S1543="S",IF(INDEX(Firms!$F$5:$F$1004,$T1543)="","",INDEX(Firms!$F$5:$F$1004,$T1543)),IF(INDEX('AFA Rates'!$E$5:$E$1004,$T1543)="","",INDEX('AFA Rates'!$E$5:$E$1004,$T1543))))</f>
        <v/>
      </c>
      <c r="H1543" s="50">
        <f>IF($T1543="","",IF($S1543="S",IF(INDEX(Firms!$G$5:$G$1004,$T1543)="","",INDEX(Firms!$G$5:$G$1004,$T1543)),IF(INDEX('AFA Rates'!$F$5:$F$1004,$T1543)="","",INDEX('AFA Rates'!$F$5:$F$1004,$T1543))))</f>
        <v/>
      </c>
      <c r="I1543" s="50">
        <f>IF($T1543="","",IF($S1543="S",IF(INDEX(Firms!$H$5:$H$1004,$T1543)="","",INDEX(Firms!$H$5:$H$1004,$T1543)),IF(INDEX('AFA Rates'!$G$5:$G$1004,$T1543)="","",INDEX('AFA Rates'!$G$5:$G$1004,$T1543))))</f>
        <v/>
      </c>
      <c r="J1543" s="50">
        <f>IF($T1543="","",IF($S1543="S",IF(INDEX(Firms!$I$5:$I$1004,$T1543)="","",INDEX(Firms!$I$5:$I$1004,$T1543)),IF(INDEX('AFA Rates'!$H$5:$H$1004,$T1543)="","",INDEX('AFA Rates'!$H$5:$H$1004,$T1543))))</f>
        <v/>
      </c>
      <c r="K1543" s="50">
        <f>IF($T1543="","",IF($S1543="S",IF(INDEX(Firms!$J$5:$J$1004,$T1543)="","",INDEX(Firms!$J$5:$J$1004,$T1543)),IF(INDEX('AFA Rates'!$I$5:$I$1004,$T1543)="","",INDEX('AFA Rates'!$I$5:$I$1004,$T1543))))</f>
        <v/>
      </c>
      <c r="L1543" s="50">
        <f>IF($T1543="","",IF($S1543="S",IF(INDEX(Firms!$K$5:$K$1004,$T1543)="","",INDEX(Firms!$K$5:$K$1004,$T1543)),IF(INDEX('AFA Rates'!$J$5:$J$1004,$T1543)="","",INDEX('AFA Rates'!$J$5:$J$1004,$T1543))))</f>
        <v/>
      </c>
      <c r="M1543" s="50">
        <f>IF($T1543="","",IF($S1543="S",IF(INDEX(Firms!$L$5:$L$1004,$T1543)="","",INDEX(Firms!$L$5:$L$1004,$T1543)),IF(INDEX('AFA Rates'!$K$5:$K$1004,$T1543)="","",INDEX('AFA Rates'!$K$5:$K$1004,$T1543))))</f>
        <v/>
      </c>
      <c r="N1543" s="50">
        <f>IF($T1543="","",IF($S1543="S",IF(INDEX(Firms!$M$5:$M$1004,$T1543)="","",INDEX(Firms!$M$5:$M$1004,$T1543)),IF(INDEX('AFA Rates'!$L$5:$L$1004,$T1543)="","",INDEX('AFA Rates'!$L$5:$L$1004,$T1543))))</f>
        <v/>
      </c>
      <c r="O1543" s="78">
        <f>IF(OR($T1543="",$U1543=""),"",IF(INDEX(Firms!$C$5:$C$1004,$U1543)="","",INDEX(Firms!$C$5:$C$1004,$U1543)))</f>
        <v/>
      </c>
      <c r="P1543" s="79">
        <f>IF(OR($T1543="",$U1543=""),"",IF(INDEX(Firms!$N$5:$N$1004,$U1543)="","",INDEX(Firms!$N$5:$N$1004,$U1543)))</f>
        <v/>
      </c>
      <c r="Q1543" s="78">
        <f>IF($T1543="","",IF($S1543="S",IF(INDEX(Firms!$T$5:$T$1004,$T1543)="","",INDEX(Firms!$T$5:$T$1004,$T1543)),IF(INDEX('AFA Rates'!$M$5:$M$1004,$T1543)="","",INDEX('AFA Rates'!$M$5:$M$1004,$T1543))))</f>
        <v/>
      </c>
      <c r="S1543">
        <f>IF(1539&lt;=$S$2,"S",IF(1539&lt;=$S$2+$T$2,"A",""))</f>
        <v/>
      </c>
      <c r="T1543">
        <f>IF(S1543="S",MATCH(1539,Firms!$W$5:$W$1004,0),IF(S1543="A",IFERROR(MATCH(1539-$S$2,'AFA Rates'!$R$5:$R$1004,0),""),""))</f>
        <v/>
      </c>
      <c r="U1543">
        <f>IF(S1543="S",T1543,IF(AND(S1543="A",T1543&lt;&gt;""),IFERROR(MATCH(INDEX('AFA Rates'!$A$5:$A$1004,T1543),Firms!$A$5:$A$1004,0),""),""))</f>
        <v/>
      </c>
    </row>
    <row r="1544">
      <c r="A1544" s="78">
        <f>IF($T1544="","",IF($S1544="S",IF(INDEX(Firms!$A$5:$A$1004,$T1544)="","",INDEX(Firms!$A$5:$A$1004,$T1544)),IF(INDEX('AFA Rates'!$A$5:$A$1004,$T1544)="","",INDEX('AFA Rates'!$A$5:$A$1004,$T1544))))</f>
        <v/>
      </c>
      <c r="B1544" s="79">
        <f>IF(OR($T1544="",$U1544=""),IF($T1544="","","Not on Firms tab"),INDEX(Firms!$B$5:$B$1004,$U1544)&amp;"")</f>
        <v/>
      </c>
      <c r="C1544" s="78">
        <f>IF($T1544="","",IF($S1544="S","Standard",INDEX('AFA Rates'!$B$5:$B$1004,$T1544)&amp;""))</f>
        <v/>
      </c>
      <c r="D1544" s="88">
        <f>IF($T1544="","",IF($S1544="S",IF(INDEX(Firms!$E$5:$E$1004,$T1544)="","",INDEX(Firms!$E$5:$E$1004,$T1544)),IF(INDEX('AFA Rates'!$C$5:$C$1004,$T1544)="","",INDEX('AFA Rates'!$C$5:$C$1004,$T1544))))</f>
        <v/>
      </c>
      <c r="E1544" s="88">
        <f>IF($T1544="","",IF($S1544="S",IF(""="","",""),IF(INDEX('AFA Rates'!$D$5:$D$1004,$T1544)="","",INDEX('AFA Rates'!$D$5:$D$1004,$T1544))))</f>
        <v/>
      </c>
      <c r="F1544" s="79">
        <f>IF($T1544="","",IF($S1544="S",IF(INDEX(Firms!$O$5:$O$1004,$T1544)="","",INDEX(Firms!$O$5:$O$1004,$T1544)),IF(INDEX('AFA Rates'!$O$5:$O$1004,$T1544)="","",INDEX('AFA Rates'!$O$5:$O$1004,$T1544))))</f>
        <v/>
      </c>
      <c r="G1544" s="50">
        <f>IF($T1544="","",IF($S1544="S",IF(INDEX(Firms!$F$5:$F$1004,$T1544)="","",INDEX(Firms!$F$5:$F$1004,$T1544)),IF(INDEX('AFA Rates'!$E$5:$E$1004,$T1544)="","",INDEX('AFA Rates'!$E$5:$E$1004,$T1544))))</f>
        <v/>
      </c>
      <c r="H1544" s="50">
        <f>IF($T1544="","",IF($S1544="S",IF(INDEX(Firms!$G$5:$G$1004,$T1544)="","",INDEX(Firms!$G$5:$G$1004,$T1544)),IF(INDEX('AFA Rates'!$F$5:$F$1004,$T1544)="","",INDEX('AFA Rates'!$F$5:$F$1004,$T1544))))</f>
        <v/>
      </c>
      <c r="I1544" s="50">
        <f>IF($T1544="","",IF($S1544="S",IF(INDEX(Firms!$H$5:$H$1004,$T1544)="","",INDEX(Firms!$H$5:$H$1004,$T1544)),IF(INDEX('AFA Rates'!$G$5:$G$1004,$T1544)="","",INDEX('AFA Rates'!$G$5:$G$1004,$T1544))))</f>
        <v/>
      </c>
      <c r="J1544" s="50">
        <f>IF($T1544="","",IF($S1544="S",IF(INDEX(Firms!$I$5:$I$1004,$T1544)="","",INDEX(Firms!$I$5:$I$1004,$T1544)),IF(INDEX('AFA Rates'!$H$5:$H$1004,$T1544)="","",INDEX('AFA Rates'!$H$5:$H$1004,$T1544))))</f>
        <v/>
      </c>
      <c r="K1544" s="50">
        <f>IF($T1544="","",IF($S1544="S",IF(INDEX(Firms!$J$5:$J$1004,$T1544)="","",INDEX(Firms!$J$5:$J$1004,$T1544)),IF(INDEX('AFA Rates'!$I$5:$I$1004,$T1544)="","",INDEX('AFA Rates'!$I$5:$I$1004,$T1544))))</f>
        <v/>
      </c>
      <c r="L1544" s="50">
        <f>IF($T1544="","",IF($S1544="S",IF(INDEX(Firms!$K$5:$K$1004,$T1544)="","",INDEX(Firms!$K$5:$K$1004,$T1544)),IF(INDEX('AFA Rates'!$J$5:$J$1004,$T1544)="","",INDEX('AFA Rates'!$J$5:$J$1004,$T1544))))</f>
        <v/>
      </c>
      <c r="M1544" s="50">
        <f>IF($T1544="","",IF($S1544="S",IF(INDEX(Firms!$L$5:$L$1004,$T1544)="","",INDEX(Firms!$L$5:$L$1004,$T1544)),IF(INDEX('AFA Rates'!$K$5:$K$1004,$T1544)="","",INDEX('AFA Rates'!$K$5:$K$1004,$T1544))))</f>
        <v/>
      </c>
      <c r="N1544" s="50">
        <f>IF($T1544="","",IF($S1544="S",IF(INDEX(Firms!$M$5:$M$1004,$T1544)="","",INDEX(Firms!$M$5:$M$1004,$T1544)),IF(INDEX('AFA Rates'!$L$5:$L$1004,$T1544)="","",INDEX('AFA Rates'!$L$5:$L$1004,$T1544))))</f>
        <v/>
      </c>
      <c r="O1544" s="78">
        <f>IF(OR($T1544="",$U1544=""),"",IF(INDEX(Firms!$C$5:$C$1004,$U1544)="","",INDEX(Firms!$C$5:$C$1004,$U1544)))</f>
        <v/>
      </c>
      <c r="P1544" s="79">
        <f>IF(OR($T1544="",$U1544=""),"",IF(INDEX(Firms!$N$5:$N$1004,$U1544)="","",INDEX(Firms!$N$5:$N$1004,$U1544)))</f>
        <v/>
      </c>
      <c r="Q1544" s="78">
        <f>IF($T1544="","",IF($S1544="S",IF(INDEX(Firms!$T$5:$T$1004,$T1544)="","",INDEX(Firms!$T$5:$T$1004,$T1544)),IF(INDEX('AFA Rates'!$M$5:$M$1004,$T1544)="","",INDEX('AFA Rates'!$M$5:$M$1004,$T1544))))</f>
        <v/>
      </c>
      <c r="S1544">
        <f>IF(1540&lt;=$S$2,"S",IF(1540&lt;=$S$2+$T$2,"A",""))</f>
        <v/>
      </c>
      <c r="T1544">
        <f>IF(S1544="S",MATCH(1540,Firms!$W$5:$W$1004,0),IF(S1544="A",IFERROR(MATCH(1540-$S$2,'AFA Rates'!$R$5:$R$1004,0),""),""))</f>
        <v/>
      </c>
      <c r="U1544">
        <f>IF(S1544="S",T1544,IF(AND(S1544="A",T1544&lt;&gt;""),IFERROR(MATCH(INDEX('AFA Rates'!$A$5:$A$1004,T1544),Firms!$A$5:$A$1004,0),""),""))</f>
        <v/>
      </c>
    </row>
    <row r="1545">
      <c r="A1545" s="78">
        <f>IF($T1545="","",IF($S1545="S",IF(INDEX(Firms!$A$5:$A$1004,$T1545)="","",INDEX(Firms!$A$5:$A$1004,$T1545)),IF(INDEX('AFA Rates'!$A$5:$A$1004,$T1545)="","",INDEX('AFA Rates'!$A$5:$A$1004,$T1545))))</f>
        <v/>
      </c>
      <c r="B1545" s="79">
        <f>IF(OR($T1545="",$U1545=""),IF($T1545="","","Not on Firms tab"),INDEX(Firms!$B$5:$B$1004,$U1545)&amp;"")</f>
        <v/>
      </c>
      <c r="C1545" s="78">
        <f>IF($T1545="","",IF($S1545="S","Standard",INDEX('AFA Rates'!$B$5:$B$1004,$T1545)&amp;""))</f>
        <v/>
      </c>
      <c r="D1545" s="88">
        <f>IF($T1545="","",IF($S1545="S",IF(INDEX(Firms!$E$5:$E$1004,$T1545)="","",INDEX(Firms!$E$5:$E$1004,$T1545)),IF(INDEX('AFA Rates'!$C$5:$C$1004,$T1545)="","",INDEX('AFA Rates'!$C$5:$C$1004,$T1545))))</f>
        <v/>
      </c>
      <c r="E1545" s="88">
        <f>IF($T1545="","",IF($S1545="S",IF(""="","",""),IF(INDEX('AFA Rates'!$D$5:$D$1004,$T1545)="","",INDEX('AFA Rates'!$D$5:$D$1004,$T1545))))</f>
        <v/>
      </c>
      <c r="F1545" s="79">
        <f>IF($T1545="","",IF($S1545="S",IF(INDEX(Firms!$O$5:$O$1004,$T1545)="","",INDEX(Firms!$O$5:$O$1004,$T1545)),IF(INDEX('AFA Rates'!$O$5:$O$1004,$T1545)="","",INDEX('AFA Rates'!$O$5:$O$1004,$T1545))))</f>
        <v/>
      </c>
      <c r="G1545" s="50">
        <f>IF($T1545="","",IF($S1545="S",IF(INDEX(Firms!$F$5:$F$1004,$T1545)="","",INDEX(Firms!$F$5:$F$1004,$T1545)),IF(INDEX('AFA Rates'!$E$5:$E$1004,$T1545)="","",INDEX('AFA Rates'!$E$5:$E$1004,$T1545))))</f>
        <v/>
      </c>
      <c r="H1545" s="50">
        <f>IF($T1545="","",IF($S1545="S",IF(INDEX(Firms!$G$5:$G$1004,$T1545)="","",INDEX(Firms!$G$5:$G$1004,$T1545)),IF(INDEX('AFA Rates'!$F$5:$F$1004,$T1545)="","",INDEX('AFA Rates'!$F$5:$F$1004,$T1545))))</f>
        <v/>
      </c>
      <c r="I1545" s="50">
        <f>IF($T1545="","",IF($S1545="S",IF(INDEX(Firms!$H$5:$H$1004,$T1545)="","",INDEX(Firms!$H$5:$H$1004,$T1545)),IF(INDEX('AFA Rates'!$G$5:$G$1004,$T1545)="","",INDEX('AFA Rates'!$G$5:$G$1004,$T1545))))</f>
        <v/>
      </c>
      <c r="J1545" s="50">
        <f>IF($T1545="","",IF($S1545="S",IF(INDEX(Firms!$I$5:$I$1004,$T1545)="","",INDEX(Firms!$I$5:$I$1004,$T1545)),IF(INDEX('AFA Rates'!$H$5:$H$1004,$T1545)="","",INDEX('AFA Rates'!$H$5:$H$1004,$T1545))))</f>
        <v/>
      </c>
      <c r="K1545" s="50">
        <f>IF($T1545="","",IF($S1545="S",IF(INDEX(Firms!$J$5:$J$1004,$T1545)="","",INDEX(Firms!$J$5:$J$1004,$T1545)),IF(INDEX('AFA Rates'!$I$5:$I$1004,$T1545)="","",INDEX('AFA Rates'!$I$5:$I$1004,$T1545))))</f>
        <v/>
      </c>
      <c r="L1545" s="50">
        <f>IF($T1545="","",IF($S1545="S",IF(INDEX(Firms!$K$5:$K$1004,$T1545)="","",INDEX(Firms!$K$5:$K$1004,$T1545)),IF(INDEX('AFA Rates'!$J$5:$J$1004,$T1545)="","",INDEX('AFA Rates'!$J$5:$J$1004,$T1545))))</f>
        <v/>
      </c>
      <c r="M1545" s="50">
        <f>IF($T1545="","",IF($S1545="S",IF(INDEX(Firms!$L$5:$L$1004,$T1545)="","",INDEX(Firms!$L$5:$L$1004,$T1545)),IF(INDEX('AFA Rates'!$K$5:$K$1004,$T1545)="","",INDEX('AFA Rates'!$K$5:$K$1004,$T1545))))</f>
        <v/>
      </c>
      <c r="N1545" s="50">
        <f>IF($T1545="","",IF($S1545="S",IF(INDEX(Firms!$M$5:$M$1004,$T1545)="","",INDEX(Firms!$M$5:$M$1004,$T1545)),IF(INDEX('AFA Rates'!$L$5:$L$1004,$T1545)="","",INDEX('AFA Rates'!$L$5:$L$1004,$T1545))))</f>
        <v/>
      </c>
      <c r="O1545" s="78">
        <f>IF(OR($T1545="",$U1545=""),"",IF(INDEX(Firms!$C$5:$C$1004,$U1545)="","",INDEX(Firms!$C$5:$C$1004,$U1545)))</f>
        <v/>
      </c>
      <c r="P1545" s="79">
        <f>IF(OR($T1545="",$U1545=""),"",IF(INDEX(Firms!$N$5:$N$1004,$U1545)="","",INDEX(Firms!$N$5:$N$1004,$U1545)))</f>
        <v/>
      </c>
      <c r="Q1545" s="78">
        <f>IF($T1545="","",IF($S1545="S",IF(INDEX(Firms!$T$5:$T$1004,$T1545)="","",INDEX(Firms!$T$5:$T$1004,$T1545)),IF(INDEX('AFA Rates'!$M$5:$M$1004,$T1545)="","",INDEX('AFA Rates'!$M$5:$M$1004,$T1545))))</f>
        <v/>
      </c>
      <c r="S1545">
        <f>IF(1541&lt;=$S$2,"S",IF(1541&lt;=$S$2+$T$2,"A",""))</f>
        <v/>
      </c>
      <c r="T1545">
        <f>IF(S1545="S",MATCH(1541,Firms!$W$5:$W$1004,0),IF(S1545="A",IFERROR(MATCH(1541-$S$2,'AFA Rates'!$R$5:$R$1004,0),""),""))</f>
        <v/>
      </c>
      <c r="U1545">
        <f>IF(S1545="S",T1545,IF(AND(S1545="A",T1545&lt;&gt;""),IFERROR(MATCH(INDEX('AFA Rates'!$A$5:$A$1004,T1545),Firms!$A$5:$A$1004,0),""),""))</f>
        <v/>
      </c>
    </row>
    <row r="1546">
      <c r="A1546" s="78">
        <f>IF($T1546="","",IF($S1546="S",IF(INDEX(Firms!$A$5:$A$1004,$T1546)="","",INDEX(Firms!$A$5:$A$1004,$T1546)),IF(INDEX('AFA Rates'!$A$5:$A$1004,$T1546)="","",INDEX('AFA Rates'!$A$5:$A$1004,$T1546))))</f>
        <v/>
      </c>
      <c r="B1546" s="79">
        <f>IF(OR($T1546="",$U1546=""),IF($T1546="","","Not on Firms tab"),INDEX(Firms!$B$5:$B$1004,$U1546)&amp;"")</f>
        <v/>
      </c>
      <c r="C1546" s="78">
        <f>IF($T1546="","",IF($S1546="S","Standard",INDEX('AFA Rates'!$B$5:$B$1004,$T1546)&amp;""))</f>
        <v/>
      </c>
      <c r="D1546" s="88">
        <f>IF($T1546="","",IF($S1546="S",IF(INDEX(Firms!$E$5:$E$1004,$T1546)="","",INDEX(Firms!$E$5:$E$1004,$T1546)),IF(INDEX('AFA Rates'!$C$5:$C$1004,$T1546)="","",INDEX('AFA Rates'!$C$5:$C$1004,$T1546))))</f>
        <v/>
      </c>
      <c r="E1546" s="88">
        <f>IF($T1546="","",IF($S1546="S",IF(""="","",""),IF(INDEX('AFA Rates'!$D$5:$D$1004,$T1546)="","",INDEX('AFA Rates'!$D$5:$D$1004,$T1546))))</f>
        <v/>
      </c>
      <c r="F1546" s="79">
        <f>IF($T1546="","",IF($S1546="S",IF(INDEX(Firms!$O$5:$O$1004,$T1546)="","",INDEX(Firms!$O$5:$O$1004,$T1546)),IF(INDEX('AFA Rates'!$O$5:$O$1004,$T1546)="","",INDEX('AFA Rates'!$O$5:$O$1004,$T1546))))</f>
        <v/>
      </c>
      <c r="G1546" s="50">
        <f>IF($T1546="","",IF($S1546="S",IF(INDEX(Firms!$F$5:$F$1004,$T1546)="","",INDEX(Firms!$F$5:$F$1004,$T1546)),IF(INDEX('AFA Rates'!$E$5:$E$1004,$T1546)="","",INDEX('AFA Rates'!$E$5:$E$1004,$T1546))))</f>
        <v/>
      </c>
      <c r="H1546" s="50">
        <f>IF($T1546="","",IF($S1546="S",IF(INDEX(Firms!$G$5:$G$1004,$T1546)="","",INDEX(Firms!$G$5:$G$1004,$T1546)),IF(INDEX('AFA Rates'!$F$5:$F$1004,$T1546)="","",INDEX('AFA Rates'!$F$5:$F$1004,$T1546))))</f>
        <v/>
      </c>
      <c r="I1546" s="50">
        <f>IF($T1546="","",IF($S1546="S",IF(INDEX(Firms!$H$5:$H$1004,$T1546)="","",INDEX(Firms!$H$5:$H$1004,$T1546)),IF(INDEX('AFA Rates'!$G$5:$G$1004,$T1546)="","",INDEX('AFA Rates'!$G$5:$G$1004,$T1546))))</f>
        <v/>
      </c>
      <c r="J1546" s="50">
        <f>IF($T1546="","",IF($S1546="S",IF(INDEX(Firms!$I$5:$I$1004,$T1546)="","",INDEX(Firms!$I$5:$I$1004,$T1546)),IF(INDEX('AFA Rates'!$H$5:$H$1004,$T1546)="","",INDEX('AFA Rates'!$H$5:$H$1004,$T1546))))</f>
        <v/>
      </c>
      <c r="K1546" s="50">
        <f>IF($T1546="","",IF($S1546="S",IF(INDEX(Firms!$J$5:$J$1004,$T1546)="","",INDEX(Firms!$J$5:$J$1004,$T1546)),IF(INDEX('AFA Rates'!$I$5:$I$1004,$T1546)="","",INDEX('AFA Rates'!$I$5:$I$1004,$T1546))))</f>
        <v/>
      </c>
      <c r="L1546" s="50">
        <f>IF($T1546="","",IF($S1546="S",IF(INDEX(Firms!$K$5:$K$1004,$T1546)="","",INDEX(Firms!$K$5:$K$1004,$T1546)),IF(INDEX('AFA Rates'!$J$5:$J$1004,$T1546)="","",INDEX('AFA Rates'!$J$5:$J$1004,$T1546))))</f>
        <v/>
      </c>
      <c r="M1546" s="50">
        <f>IF($T1546="","",IF($S1546="S",IF(INDEX(Firms!$L$5:$L$1004,$T1546)="","",INDEX(Firms!$L$5:$L$1004,$T1546)),IF(INDEX('AFA Rates'!$K$5:$K$1004,$T1546)="","",INDEX('AFA Rates'!$K$5:$K$1004,$T1546))))</f>
        <v/>
      </c>
      <c r="N1546" s="50">
        <f>IF($T1546="","",IF($S1546="S",IF(INDEX(Firms!$M$5:$M$1004,$T1546)="","",INDEX(Firms!$M$5:$M$1004,$T1546)),IF(INDEX('AFA Rates'!$L$5:$L$1004,$T1546)="","",INDEX('AFA Rates'!$L$5:$L$1004,$T1546))))</f>
        <v/>
      </c>
      <c r="O1546" s="78">
        <f>IF(OR($T1546="",$U1546=""),"",IF(INDEX(Firms!$C$5:$C$1004,$U1546)="","",INDEX(Firms!$C$5:$C$1004,$U1546)))</f>
        <v/>
      </c>
      <c r="P1546" s="79">
        <f>IF(OR($T1546="",$U1546=""),"",IF(INDEX(Firms!$N$5:$N$1004,$U1546)="","",INDEX(Firms!$N$5:$N$1004,$U1546)))</f>
        <v/>
      </c>
      <c r="Q1546" s="78">
        <f>IF($T1546="","",IF($S1546="S",IF(INDEX(Firms!$T$5:$T$1004,$T1546)="","",INDEX(Firms!$T$5:$T$1004,$T1546)),IF(INDEX('AFA Rates'!$M$5:$M$1004,$T1546)="","",INDEX('AFA Rates'!$M$5:$M$1004,$T1546))))</f>
        <v/>
      </c>
      <c r="S1546">
        <f>IF(1542&lt;=$S$2,"S",IF(1542&lt;=$S$2+$T$2,"A",""))</f>
        <v/>
      </c>
      <c r="T1546">
        <f>IF(S1546="S",MATCH(1542,Firms!$W$5:$W$1004,0),IF(S1546="A",IFERROR(MATCH(1542-$S$2,'AFA Rates'!$R$5:$R$1004,0),""),""))</f>
        <v/>
      </c>
      <c r="U1546">
        <f>IF(S1546="S",T1546,IF(AND(S1546="A",T1546&lt;&gt;""),IFERROR(MATCH(INDEX('AFA Rates'!$A$5:$A$1004,T1546),Firms!$A$5:$A$1004,0),""),""))</f>
        <v/>
      </c>
    </row>
    <row r="1547">
      <c r="A1547" s="78">
        <f>IF($T1547="","",IF($S1547="S",IF(INDEX(Firms!$A$5:$A$1004,$T1547)="","",INDEX(Firms!$A$5:$A$1004,$T1547)),IF(INDEX('AFA Rates'!$A$5:$A$1004,$T1547)="","",INDEX('AFA Rates'!$A$5:$A$1004,$T1547))))</f>
        <v/>
      </c>
      <c r="B1547" s="79">
        <f>IF(OR($T1547="",$U1547=""),IF($T1547="","","Not on Firms tab"),INDEX(Firms!$B$5:$B$1004,$U1547)&amp;"")</f>
        <v/>
      </c>
      <c r="C1547" s="78">
        <f>IF($T1547="","",IF($S1547="S","Standard",INDEX('AFA Rates'!$B$5:$B$1004,$T1547)&amp;""))</f>
        <v/>
      </c>
      <c r="D1547" s="88">
        <f>IF($T1547="","",IF($S1547="S",IF(INDEX(Firms!$E$5:$E$1004,$T1547)="","",INDEX(Firms!$E$5:$E$1004,$T1547)),IF(INDEX('AFA Rates'!$C$5:$C$1004,$T1547)="","",INDEX('AFA Rates'!$C$5:$C$1004,$T1547))))</f>
        <v/>
      </c>
      <c r="E1547" s="88">
        <f>IF($T1547="","",IF($S1547="S",IF(""="","",""),IF(INDEX('AFA Rates'!$D$5:$D$1004,$T1547)="","",INDEX('AFA Rates'!$D$5:$D$1004,$T1547))))</f>
        <v/>
      </c>
      <c r="F1547" s="79">
        <f>IF($T1547="","",IF($S1547="S",IF(INDEX(Firms!$O$5:$O$1004,$T1547)="","",INDEX(Firms!$O$5:$O$1004,$T1547)),IF(INDEX('AFA Rates'!$O$5:$O$1004,$T1547)="","",INDEX('AFA Rates'!$O$5:$O$1004,$T1547))))</f>
        <v/>
      </c>
      <c r="G1547" s="50">
        <f>IF($T1547="","",IF($S1547="S",IF(INDEX(Firms!$F$5:$F$1004,$T1547)="","",INDEX(Firms!$F$5:$F$1004,$T1547)),IF(INDEX('AFA Rates'!$E$5:$E$1004,$T1547)="","",INDEX('AFA Rates'!$E$5:$E$1004,$T1547))))</f>
        <v/>
      </c>
      <c r="H1547" s="50">
        <f>IF($T1547="","",IF($S1547="S",IF(INDEX(Firms!$G$5:$G$1004,$T1547)="","",INDEX(Firms!$G$5:$G$1004,$T1547)),IF(INDEX('AFA Rates'!$F$5:$F$1004,$T1547)="","",INDEX('AFA Rates'!$F$5:$F$1004,$T1547))))</f>
        <v/>
      </c>
      <c r="I1547" s="50">
        <f>IF($T1547="","",IF($S1547="S",IF(INDEX(Firms!$H$5:$H$1004,$T1547)="","",INDEX(Firms!$H$5:$H$1004,$T1547)),IF(INDEX('AFA Rates'!$G$5:$G$1004,$T1547)="","",INDEX('AFA Rates'!$G$5:$G$1004,$T1547))))</f>
        <v/>
      </c>
      <c r="J1547" s="50">
        <f>IF($T1547="","",IF($S1547="S",IF(INDEX(Firms!$I$5:$I$1004,$T1547)="","",INDEX(Firms!$I$5:$I$1004,$T1547)),IF(INDEX('AFA Rates'!$H$5:$H$1004,$T1547)="","",INDEX('AFA Rates'!$H$5:$H$1004,$T1547))))</f>
        <v/>
      </c>
      <c r="K1547" s="50">
        <f>IF($T1547="","",IF($S1547="S",IF(INDEX(Firms!$J$5:$J$1004,$T1547)="","",INDEX(Firms!$J$5:$J$1004,$T1547)),IF(INDEX('AFA Rates'!$I$5:$I$1004,$T1547)="","",INDEX('AFA Rates'!$I$5:$I$1004,$T1547))))</f>
        <v/>
      </c>
      <c r="L1547" s="50">
        <f>IF($T1547="","",IF($S1547="S",IF(INDEX(Firms!$K$5:$K$1004,$T1547)="","",INDEX(Firms!$K$5:$K$1004,$T1547)),IF(INDEX('AFA Rates'!$J$5:$J$1004,$T1547)="","",INDEX('AFA Rates'!$J$5:$J$1004,$T1547))))</f>
        <v/>
      </c>
      <c r="M1547" s="50">
        <f>IF($T1547="","",IF($S1547="S",IF(INDEX(Firms!$L$5:$L$1004,$T1547)="","",INDEX(Firms!$L$5:$L$1004,$T1547)),IF(INDEX('AFA Rates'!$K$5:$K$1004,$T1547)="","",INDEX('AFA Rates'!$K$5:$K$1004,$T1547))))</f>
        <v/>
      </c>
      <c r="N1547" s="50">
        <f>IF($T1547="","",IF($S1547="S",IF(INDEX(Firms!$M$5:$M$1004,$T1547)="","",INDEX(Firms!$M$5:$M$1004,$T1547)),IF(INDEX('AFA Rates'!$L$5:$L$1004,$T1547)="","",INDEX('AFA Rates'!$L$5:$L$1004,$T1547))))</f>
        <v/>
      </c>
      <c r="O1547" s="78">
        <f>IF(OR($T1547="",$U1547=""),"",IF(INDEX(Firms!$C$5:$C$1004,$U1547)="","",INDEX(Firms!$C$5:$C$1004,$U1547)))</f>
        <v/>
      </c>
      <c r="P1547" s="79">
        <f>IF(OR($T1547="",$U1547=""),"",IF(INDEX(Firms!$N$5:$N$1004,$U1547)="","",INDEX(Firms!$N$5:$N$1004,$U1547)))</f>
        <v/>
      </c>
      <c r="Q1547" s="78">
        <f>IF($T1547="","",IF($S1547="S",IF(INDEX(Firms!$T$5:$T$1004,$T1547)="","",INDEX(Firms!$T$5:$T$1004,$T1547)),IF(INDEX('AFA Rates'!$M$5:$M$1004,$T1547)="","",INDEX('AFA Rates'!$M$5:$M$1004,$T1547))))</f>
        <v/>
      </c>
      <c r="S1547">
        <f>IF(1543&lt;=$S$2,"S",IF(1543&lt;=$S$2+$T$2,"A",""))</f>
        <v/>
      </c>
      <c r="T1547">
        <f>IF(S1547="S",MATCH(1543,Firms!$W$5:$W$1004,0),IF(S1547="A",IFERROR(MATCH(1543-$S$2,'AFA Rates'!$R$5:$R$1004,0),""),""))</f>
        <v/>
      </c>
      <c r="U1547">
        <f>IF(S1547="S",T1547,IF(AND(S1547="A",T1547&lt;&gt;""),IFERROR(MATCH(INDEX('AFA Rates'!$A$5:$A$1004,T1547),Firms!$A$5:$A$1004,0),""),""))</f>
        <v/>
      </c>
    </row>
    <row r="1548">
      <c r="A1548" s="78">
        <f>IF($T1548="","",IF($S1548="S",IF(INDEX(Firms!$A$5:$A$1004,$T1548)="","",INDEX(Firms!$A$5:$A$1004,$T1548)),IF(INDEX('AFA Rates'!$A$5:$A$1004,$T1548)="","",INDEX('AFA Rates'!$A$5:$A$1004,$T1548))))</f>
        <v/>
      </c>
      <c r="B1548" s="79">
        <f>IF(OR($T1548="",$U1548=""),IF($T1548="","","Not on Firms tab"),INDEX(Firms!$B$5:$B$1004,$U1548)&amp;"")</f>
        <v/>
      </c>
      <c r="C1548" s="78">
        <f>IF($T1548="","",IF($S1548="S","Standard",INDEX('AFA Rates'!$B$5:$B$1004,$T1548)&amp;""))</f>
        <v/>
      </c>
      <c r="D1548" s="88">
        <f>IF($T1548="","",IF($S1548="S",IF(INDEX(Firms!$E$5:$E$1004,$T1548)="","",INDEX(Firms!$E$5:$E$1004,$T1548)),IF(INDEX('AFA Rates'!$C$5:$C$1004,$T1548)="","",INDEX('AFA Rates'!$C$5:$C$1004,$T1548))))</f>
        <v/>
      </c>
      <c r="E1548" s="88">
        <f>IF($T1548="","",IF($S1548="S",IF(""="","",""),IF(INDEX('AFA Rates'!$D$5:$D$1004,$T1548)="","",INDEX('AFA Rates'!$D$5:$D$1004,$T1548))))</f>
        <v/>
      </c>
      <c r="F1548" s="79">
        <f>IF($T1548="","",IF($S1548="S",IF(INDEX(Firms!$O$5:$O$1004,$T1548)="","",INDEX(Firms!$O$5:$O$1004,$T1548)),IF(INDEX('AFA Rates'!$O$5:$O$1004,$T1548)="","",INDEX('AFA Rates'!$O$5:$O$1004,$T1548))))</f>
        <v/>
      </c>
      <c r="G1548" s="50">
        <f>IF($T1548="","",IF($S1548="S",IF(INDEX(Firms!$F$5:$F$1004,$T1548)="","",INDEX(Firms!$F$5:$F$1004,$T1548)),IF(INDEX('AFA Rates'!$E$5:$E$1004,$T1548)="","",INDEX('AFA Rates'!$E$5:$E$1004,$T1548))))</f>
        <v/>
      </c>
      <c r="H1548" s="50">
        <f>IF($T1548="","",IF($S1548="S",IF(INDEX(Firms!$G$5:$G$1004,$T1548)="","",INDEX(Firms!$G$5:$G$1004,$T1548)),IF(INDEX('AFA Rates'!$F$5:$F$1004,$T1548)="","",INDEX('AFA Rates'!$F$5:$F$1004,$T1548))))</f>
        <v/>
      </c>
      <c r="I1548" s="50">
        <f>IF($T1548="","",IF($S1548="S",IF(INDEX(Firms!$H$5:$H$1004,$T1548)="","",INDEX(Firms!$H$5:$H$1004,$T1548)),IF(INDEX('AFA Rates'!$G$5:$G$1004,$T1548)="","",INDEX('AFA Rates'!$G$5:$G$1004,$T1548))))</f>
        <v/>
      </c>
      <c r="J1548" s="50">
        <f>IF($T1548="","",IF($S1548="S",IF(INDEX(Firms!$I$5:$I$1004,$T1548)="","",INDEX(Firms!$I$5:$I$1004,$T1548)),IF(INDEX('AFA Rates'!$H$5:$H$1004,$T1548)="","",INDEX('AFA Rates'!$H$5:$H$1004,$T1548))))</f>
        <v/>
      </c>
      <c r="K1548" s="50">
        <f>IF($T1548="","",IF($S1548="S",IF(INDEX(Firms!$J$5:$J$1004,$T1548)="","",INDEX(Firms!$J$5:$J$1004,$T1548)),IF(INDEX('AFA Rates'!$I$5:$I$1004,$T1548)="","",INDEX('AFA Rates'!$I$5:$I$1004,$T1548))))</f>
        <v/>
      </c>
      <c r="L1548" s="50">
        <f>IF($T1548="","",IF($S1548="S",IF(INDEX(Firms!$K$5:$K$1004,$T1548)="","",INDEX(Firms!$K$5:$K$1004,$T1548)),IF(INDEX('AFA Rates'!$J$5:$J$1004,$T1548)="","",INDEX('AFA Rates'!$J$5:$J$1004,$T1548))))</f>
        <v/>
      </c>
      <c r="M1548" s="50">
        <f>IF($T1548="","",IF($S1548="S",IF(INDEX(Firms!$L$5:$L$1004,$T1548)="","",INDEX(Firms!$L$5:$L$1004,$T1548)),IF(INDEX('AFA Rates'!$K$5:$K$1004,$T1548)="","",INDEX('AFA Rates'!$K$5:$K$1004,$T1548))))</f>
        <v/>
      </c>
      <c r="N1548" s="50">
        <f>IF($T1548="","",IF($S1548="S",IF(INDEX(Firms!$M$5:$M$1004,$T1548)="","",INDEX(Firms!$M$5:$M$1004,$T1548)),IF(INDEX('AFA Rates'!$L$5:$L$1004,$T1548)="","",INDEX('AFA Rates'!$L$5:$L$1004,$T1548))))</f>
        <v/>
      </c>
      <c r="O1548" s="78">
        <f>IF(OR($T1548="",$U1548=""),"",IF(INDEX(Firms!$C$5:$C$1004,$U1548)="","",INDEX(Firms!$C$5:$C$1004,$U1548)))</f>
        <v/>
      </c>
      <c r="P1548" s="79">
        <f>IF(OR($T1548="",$U1548=""),"",IF(INDEX(Firms!$N$5:$N$1004,$U1548)="","",INDEX(Firms!$N$5:$N$1004,$U1548)))</f>
        <v/>
      </c>
      <c r="Q1548" s="78">
        <f>IF($T1548="","",IF($S1548="S",IF(INDEX(Firms!$T$5:$T$1004,$T1548)="","",INDEX(Firms!$T$5:$T$1004,$T1548)),IF(INDEX('AFA Rates'!$M$5:$M$1004,$T1548)="","",INDEX('AFA Rates'!$M$5:$M$1004,$T1548))))</f>
        <v/>
      </c>
      <c r="S1548">
        <f>IF(1544&lt;=$S$2,"S",IF(1544&lt;=$S$2+$T$2,"A",""))</f>
        <v/>
      </c>
      <c r="T1548">
        <f>IF(S1548="S",MATCH(1544,Firms!$W$5:$W$1004,0),IF(S1548="A",IFERROR(MATCH(1544-$S$2,'AFA Rates'!$R$5:$R$1004,0),""),""))</f>
        <v/>
      </c>
      <c r="U1548">
        <f>IF(S1548="S",T1548,IF(AND(S1548="A",T1548&lt;&gt;""),IFERROR(MATCH(INDEX('AFA Rates'!$A$5:$A$1004,T1548),Firms!$A$5:$A$1004,0),""),""))</f>
        <v/>
      </c>
    </row>
    <row r="1549">
      <c r="A1549" s="78">
        <f>IF($T1549="","",IF($S1549="S",IF(INDEX(Firms!$A$5:$A$1004,$T1549)="","",INDEX(Firms!$A$5:$A$1004,$T1549)),IF(INDEX('AFA Rates'!$A$5:$A$1004,$T1549)="","",INDEX('AFA Rates'!$A$5:$A$1004,$T1549))))</f>
        <v/>
      </c>
      <c r="B1549" s="79">
        <f>IF(OR($T1549="",$U1549=""),IF($T1549="","","Not on Firms tab"),INDEX(Firms!$B$5:$B$1004,$U1549)&amp;"")</f>
        <v/>
      </c>
      <c r="C1549" s="78">
        <f>IF($T1549="","",IF($S1549="S","Standard",INDEX('AFA Rates'!$B$5:$B$1004,$T1549)&amp;""))</f>
        <v/>
      </c>
      <c r="D1549" s="88">
        <f>IF($T1549="","",IF($S1549="S",IF(INDEX(Firms!$E$5:$E$1004,$T1549)="","",INDEX(Firms!$E$5:$E$1004,$T1549)),IF(INDEX('AFA Rates'!$C$5:$C$1004,$T1549)="","",INDEX('AFA Rates'!$C$5:$C$1004,$T1549))))</f>
        <v/>
      </c>
      <c r="E1549" s="88">
        <f>IF($T1549="","",IF($S1549="S",IF(""="","",""),IF(INDEX('AFA Rates'!$D$5:$D$1004,$T1549)="","",INDEX('AFA Rates'!$D$5:$D$1004,$T1549))))</f>
        <v/>
      </c>
      <c r="F1549" s="79">
        <f>IF($T1549="","",IF($S1549="S",IF(INDEX(Firms!$O$5:$O$1004,$T1549)="","",INDEX(Firms!$O$5:$O$1004,$T1549)),IF(INDEX('AFA Rates'!$O$5:$O$1004,$T1549)="","",INDEX('AFA Rates'!$O$5:$O$1004,$T1549))))</f>
        <v/>
      </c>
      <c r="G1549" s="50">
        <f>IF($T1549="","",IF($S1549="S",IF(INDEX(Firms!$F$5:$F$1004,$T1549)="","",INDEX(Firms!$F$5:$F$1004,$T1549)),IF(INDEX('AFA Rates'!$E$5:$E$1004,$T1549)="","",INDEX('AFA Rates'!$E$5:$E$1004,$T1549))))</f>
        <v/>
      </c>
      <c r="H1549" s="50">
        <f>IF($T1549="","",IF($S1549="S",IF(INDEX(Firms!$G$5:$G$1004,$T1549)="","",INDEX(Firms!$G$5:$G$1004,$T1549)),IF(INDEX('AFA Rates'!$F$5:$F$1004,$T1549)="","",INDEX('AFA Rates'!$F$5:$F$1004,$T1549))))</f>
        <v/>
      </c>
      <c r="I1549" s="50">
        <f>IF($T1549="","",IF($S1549="S",IF(INDEX(Firms!$H$5:$H$1004,$T1549)="","",INDEX(Firms!$H$5:$H$1004,$T1549)),IF(INDEX('AFA Rates'!$G$5:$G$1004,$T1549)="","",INDEX('AFA Rates'!$G$5:$G$1004,$T1549))))</f>
        <v/>
      </c>
      <c r="J1549" s="50">
        <f>IF($T1549="","",IF($S1549="S",IF(INDEX(Firms!$I$5:$I$1004,$T1549)="","",INDEX(Firms!$I$5:$I$1004,$T1549)),IF(INDEX('AFA Rates'!$H$5:$H$1004,$T1549)="","",INDEX('AFA Rates'!$H$5:$H$1004,$T1549))))</f>
        <v/>
      </c>
      <c r="K1549" s="50">
        <f>IF($T1549="","",IF($S1549="S",IF(INDEX(Firms!$J$5:$J$1004,$T1549)="","",INDEX(Firms!$J$5:$J$1004,$T1549)),IF(INDEX('AFA Rates'!$I$5:$I$1004,$T1549)="","",INDEX('AFA Rates'!$I$5:$I$1004,$T1549))))</f>
        <v/>
      </c>
      <c r="L1549" s="50">
        <f>IF($T1549="","",IF($S1549="S",IF(INDEX(Firms!$K$5:$K$1004,$T1549)="","",INDEX(Firms!$K$5:$K$1004,$T1549)),IF(INDEX('AFA Rates'!$J$5:$J$1004,$T1549)="","",INDEX('AFA Rates'!$J$5:$J$1004,$T1549))))</f>
        <v/>
      </c>
      <c r="M1549" s="50">
        <f>IF($T1549="","",IF($S1549="S",IF(INDEX(Firms!$L$5:$L$1004,$T1549)="","",INDEX(Firms!$L$5:$L$1004,$T1549)),IF(INDEX('AFA Rates'!$K$5:$K$1004,$T1549)="","",INDEX('AFA Rates'!$K$5:$K$1004,$T1549))))</f>
        <v/>
      </c>
      <c r="N1549" s="50">
        <f>IF($T1549="","",IF($S1549="S",IF(INDEX(Firms!$M$5:$M$1004,$T1549)="","",INDEX(Firms!$M$5:$M$1004,$T1549)),IF(INDEX('AFA Rates'!$L$5:$L$1004,$T1549)="","",INDEX('AFA Rates'!$L$5:$L$1004,$T1549))))</f>
        <v/>
      </c>
      <c r="O1549" s="78">
        <f>IF(OR($T1549="",$U1549=""),"",IF(INDEX(Firms!$C$5:$C$1004,$U1549)="","",INDEX(Firms!$C$5:$C$1004,$U1549)))</f>
        <v/>
      </c>
      <c r="P1549" s="79">
        <f>IF(OR($T1549="",$U1549=""),"",IF(INDEX(Firms!$N$5:$N$1004,$U1549)="","",INDEX(Firms!$N$5:$N$1004,$U1549)))</f>
        <v/>
      </c>
      <c r="Q1549" s="78">
        <f>IF($T1549="","",IF($S1549="S",IF(INDEX(Firms!$T$5:$T$1004,$T1549)="","",INDEX(Firms!$T$5:$T$1004,$T1549)),IF(INDEX('AFA Rates'!$M$5:$M$1004,$T1549)="","",INDEX('AFA Rates'!$M$5:$M$1004,$T1549))))</f>
        <v/>
      </c>
      <c r="S1549">
        <f>IF(1545&lt;=$S$2,"S",IF(1545&lt;=$S$2+$T$2,"A",""))</f>
        <v/>
      </c>
      <c r="T1549">
        <f>IF(S1549="S",MATCH(1545,Firms!$W$5:$W$1004,0),IF(S1549="A",IFERROR(MATCH(1545-$S$2,'AFA Rates'!$R$5:$R$1004,0),""),""))</f>
        <v/>
      </c>
      <c r="U1549">
        <f>IF(S1549="S",T1549,IF(AND(S1549="A",T1549&lt;&gt;""),IFERROR(MATCH(INDEX('AFA Rates'!$A$5:$A$1004,T1549),Firms!$A$5:$A$1004,0),""),""))</f>
        <v/>
      </c>
    </row>
    <row r="1550">
      <c r="A1550" s="78">
        <f>IF($T1550="","",IF($S1550="S",IF(INDEX(Firms!$A$5:$A$1004,$T1550)="","",INDEX(Firms!$A$5:$A$1004,$T1550)),IF(INDEX('AFA Rates'!$A$5:$A$1004,$T1550)="","",INDEX('AFA Rates'!$A$5:$A$1004,$T1550))))</f>
        <v/>
      </c>
      <c r="B1550" s="79">
        <f>IF(OR($T1550="",$U1550=""),IF($T1550="","","Not on Firms tab"),INDEX(Firms!$B$5:$B$1004,$U1550)&amp;"")</f>
        <v/>
      </c>
      <c r="C1550" s="78">
        <f>IF($T1550="","",IF($S1550="S","Standard",INDEX('AFA Rates'!$B$5:$B$1004,$T1550)&amp;""))</f>
        <v/>
      </c>
      <c r="D1550" s="88">
        <f>IF($T1550="","",IF($S1550="S",IF(INDEX(Firms!$E$5:$E$1004,$T1550)="","",INDEX(Firms!$E$5:$E$1004,$T1550)),IF(INDEX('AFA Rates'!$C$5:$C$1004,$T1550)="","",INDEX('AFA Rates'!$C$5:$C$1004,$T1550))))</f>
        <v/>
      </c>
      <c r="E1550" s="88">
        <f>IF($T1550="","",IF($S1550="S",IF(""="","",""),IF(INDEX('AFA Rates'!$D$5:$D$1004,$T1550)="","",INDEX('AFA Rates'!$D$5:$D$1004,$T1550))))</f>
        <v/>
      </c>
      <c r="F1550" s="79">
        <f>IF($T1550="","",IF($S1550="S",IF(INDEX(Firms!$O$5:$O$1004,$T1550)="","",INDEX(Firms!$O$5:$O$1004,$T1550)),IF(INDEX('AFA Rates'!$O$5:$O$1004,$T1550)="","",INDEX('AFA Rates'!$O$5:$O$1004,$T1550))))</f>
        <v/>
      </c>
      <c r="G1550" s="50">
        <f>IF($T1550="","",IF($S1550="S",IF(INDEX(Firms!$F$5:$F$1004,$T1550)="","",INDEX(Firms!$F$5:$F$1004,$T1550)),IF(INDEX('AFA Rates'!$E$5:$E$1004,$T1550)="","",INDEX('AFA Rates'!$E$5:$E$1004,$T1550))))</f>
        <v/>
      </c>
      <c r="H1550" s="50">
        <f>IF($T1550="","",IF($S1550="S",IF(INDEX(Firms!$G$5:$G$1004,$T1550)="","",INDEX(Firms!$G$5:$G$1004,$T1550)),IF(INDEX('AFA Rates'!$F$5:$F$1004,$T1550)="","",INDEX('AFA Rates'!$F$5:$F$1004,$T1550))))</f>
        <v/>
      </c>
      <c r="I1550" s="50">
        <f>IF($T1550="","",IF($S1550="S",IF(INDEX(Firms!$H$5:$H$1004,$T1550)="","",INDEX(Firms!$H$5:$H$1004,$T1550)),IF(INDEX('AFA Rates'!$G$5:$G$1004,$T1550)="","",INDEX('AFA Rates'!$G$5:$G$1004,$T1550))))</f>
        <v/>
      </c>
      <c r="J1550" s="50">
        <f>IF($T1550="","",IF($S1550="S",IF(INDEX(Firms!$I$5:$I$1004,$T1550)="","",INDEX(Firms!$I$5:$I$1004,$T1550)),IF(INDEX('AFA Rates'!$H$5:$H$1004,$T1550)="","",INDEX('AFA Rates'!$H$5:$H$1004,$T1550))))</f>
        <v/>
      </c>
      <c r="K1550" s="50">
        <f>IF($T1550="","",IF($S1550="S",IF(INDEX(Firms!$J$5:$J$1004,$T1550)="","",INDEX(Firms!$J$5:$J$1004,$T1550)),IF(INDEX('AFA Rates'!$I$5:$I$1004,$T1550)="","",INDEX('AFA Rates'!$I$5:$I$1004,$T1550))))</f>
        <v/>
      </c>
      <c r="L1550" s="50">
        <f>IF($T1550="","",IF($S1550="S",IF(INDEX(Firms!$K$5:$K$1004,$T1550)="","",INDEX(Firms!$K$5:$K$1004,$T1550)),IF(INDEX('AFA Rates'!$J$5:$J$1004,$T1550)="","",INDEX('AFA Rates'!$J$5:$J$1004,$T1550))))</f>
        <v/>
      </c>
      <c r="M1550" s="50">
        <f>IF($T1550="","",IF($S1550="S",IF(INDEX(Firms!$L$5:$L$1004,$T1550)="","",INDEX(Firms!$L$5:$L$1004,$T1550)),IF(INDEX('AFA Rates'!$K$5:$K$1004,$T1550)="","",INDEX('AFA Rates'!$K$5:$K$1004,$T1550))))</f>
        <v/>
      </c>
      <c r="N1550" s="50">
        <f>IF($T1550="","",IF($S1550="S",IF(INDEX(Firms!$M$5:$M$1004,$T1550)="","",INDEX(Firms!$M$5:$M$1004,$T1550)),IF(INDEX('AFA Rates'!$L$5:$L$1004,$T1550)="","",INDEX('AFA Rates'!$L$5:$L$1004,$T1550))))</f>
        <v/>
      </c>
      <c r="O1550" s="78">
        <f>IF(OR($T1550="",$U1550=""),"",IF(INDEX(Firms!$C$5:$C$1004,$U1550)="","",INDEX(Firms!$C$5:$C$1004,$U1550)))</f>
        <v/>
      </c>
      <c r="P1550" s="79">
        <f>IF(OR($T1550="",$U1550=""),"",IF(INDEX(Firms!$N$5:$N$1004,$U1550)="","",INDEX(Firms!$N$5:$N$1004,$U1550)))</f>
        <v/>
      </c>
      <c r="Q1550" s="78">
        <f>IF($T1550="","",IF($S1550="S",IF(INDEX(Firms!$T$5:$T$1004,$T1550)="","",INDEX(Firms!$T$5:$T$1004,$T1550)),IF(INDEX('AFA Rates'!$M$5:$M$1004,$T1550)="","",INDEX('AFA Rates'!$M$5:$M$1004,$T1550))))</f>
        <v/>
      </c>
      <c r="S1550">
        <f>IF(1546&lt;=$S$2,"S",IF(1546&lt;=$S$2+$T$2,"A",""))</f>
        <v/>
      </c>
      <c r="T1550">
        <f>IF(S1550="S",MATCH(1546,Firms!$W$5:$W$1004,0),IF(S1550="A",IFERROR(MATCH(1546-$S$2,'AFA Rates'!$R$5:$R$1004,0),""),""))</f>
        <v/>
      </c>
      <c r="U1550">
        <f>IF(S1550="S",T1550,IF(AND(S1550="A",T1550&lt;&gt;""),IFERROR(MATCH(INDEX('AFA Rates'!$A$5:$A$1004,T1550),Firms!$A$5:$A$1004,0),""),""))</f>
        <v/>
      </c>
    </row>
    <row r="1551">
      <c r="A1551" s="78">
        <f>IF($T1551="","",IF($S1551="S",IF(INDEX(Firms!$A$5:$A$1004,$T1551)="","",INDEX(Firms!$A$5:$A$1004,$T1551)),IF(INDEX('AFA Rates'!$A$5:$A$1004,$T1551)="","",INDEX('AFA Rates'!$A$5:$A$1004,$T1551))))</f>
        <v/>
      </c>
      <c r="B1551" s="79">
        <f>IF(OR($T1551="",$U1551=""),IF($T1551="","","Not on Firms tab"),INDEX(Firms!$B$5:$B$1004,$U1551)&amp;"")</f>
        <v/>
      </c>
      <c r="C1551" s="78">
        <f>IF($T1551="","",IF($S1551="S","Standard",INDEX('AFA Rates'!$B$5:$B$1004,$T1551)&amp;""))</f>
        <v/>
      </c>
      <c r="D1551" s="88">
        <f>IF($T1551="","",IF($S1551="S",IF(INDEX(Firms!$E$5:$E$1004,$T1551)="","",INDEX(Firms!$E$5:$E$1004,$T1551)),IF(INDEX('AFA Rates'!$C$5:$C$1004,$T1551)="","",INDEX('AFA Rates'!$C$5:$C$1004,$T1551))))</f>
        <v/>
      </c>
      <c r="E1551" s="88">
        <f>IF($T1551="","",IF($S1551="S",IF(""="","",""),IF(INDEX('AFA Rates'!$D$5:$D$1004,$T1551)="","",INDEX('AFA Rates'!$D$5:$D$1004,$T1551))))</f>
        <v/>
      </c>
      <c r="F1551" s="79">
        <f>IF($T1551="","",IF($S1551="S",IF(INDEX(Firms!$O$5:$O$1004,$T1551)="","",INDEX(Firms!$O$5:$O$1004,$T1551)),IF(INDEX('AFA Rates'!$O$5:$O$1004,$T1551)="","",INDEX('AFA Rates'!$O$5:$O$1004,$T1551))))</f>
        <v/>
      </c>
      <c r="G1551" s="50">
        <f>IF($T1551="","",IF($S1551="S",IF(INDEX(Firms!$F$5:$F$1004,$T1551)="","",INDEX(Firms!$F$5:$F$1004,$T1551)),IF(INDEX('AFA Rates'!$E$5:$E$1004,$T1551)="","",INDEX('AFA Rates'!$E$5:$E$1004,$T1551))))</f>
        <v/>
      </c>
      <c r="H1551" s="50">
        <f>IF($T1551="","",IF($S1551="S",IF(INDEX(Firms!$G$5:$G$1004,$T1551)="","",INDEX(Firms!$G$5:$G$1004,$T1551)),IF(INDEX('AFA Rates'!$F$5:$F$1004,$T1551)="","",INDEX('AFA Rates'!$F$5:$F$1004,$T1551))))</f>
        <v/>
      </c>
      <c r="I1551" s="50">
        <f>IF($T1551="","",IF($S1551="S",IF(INDEX(Firms!$H$5:$H$1004,$T1551)="","",INDEX(Firms!$H$5:$H$1004,$T1551)),IF(INDEX('AFA Rates'!$G$5:$G$1004,$T1551)="","",INDEX('AFA Rates'!$G$5:$G$1004,$T1551))))</f>
        <v/>
      </c>
      <c r="J1551" s="50">
        <f>IF($T1551="","",IF($S1551="S",IF(INDEX(Firms!$I$5:$I$1004,$T1551)="","",INDEX(Firms!$I$5:$I$1004,$T1551)),IF(INDEX('AFA Rates'!$H$5:$H$1004,$T1551)="","",INDEX('AFA Rates'!$H$5:$H$1004,$T1551))))</f>
        <v/>
      </c>
      <c r="K1551" s="50">
        <f>IF($T1551="","",IF($S1551="S",IF(INDEX(Firms!$J$5:$J$1004,$T1551)="","",INDEX(Firms!$J$5:$J$1004,$T1551)),IF(INDEX('AFA Rates'!$I$5:$I$1004,$T1551)="","",INDEX('AFA Rates'!$I$5:$I$1004,$T1551))))</f>
        <v/>
      </c>
      <c r="L1551" s="50">
        <f>IF($T1551="","",IF($S1551="S",IF(INDEX(Firms!$K$5:$K$1004,$T1551)="","",INDEX(Firms!$K$5:$K$1004,$T1551)),IF(INDEX('AFA Rates'!$J$5:$J$1004,$T1551)="","",INDEX('AFA Rates'!$J$5:$J$1004,$T1551))))</f>
        <v/>
      </c>
      <c r="M1551" s="50">
        <f>IF($T1551="","",IF($S1551="S",IF(INDEX(Firms!$L$5:$L$1004,$T1551)="","",INDEX(Firms!$L$5:$L$1004,$T1551)),IF(INDEX('AFA Rates'!$K$5:$K$1004,$T1551)="","",INDEX('AFA Rates'!$K$5:$K$1004,$T1551))))</f>
        <v/>
      </c>
      <c r="N1551" s="50">
        <f>IF($T1551="","",IF($S1551="S",IF(INDEX(Firms!$M$5:$M$1004,$T1551)="","",INDEX(Firms!$M$5:$M$1004,$T1551)),IF(INDEX('AFA Rates'!$L$5:$L$1004,$T1551)="","",INDEX('AFA Rates'!$L$5:$L$1004,$T1551))))</f>
        <v/>
      </c>
      <c r="O1551" s="78">
        <f>IF(OR($T1551="",$U1551=""),"",IF(INDEX(Firms!$C$5:$C$1004,$U1551)="","",INDEX(Firms!$C$5:$C$1004,$U1551)))</f>
        <v/>
      </c>
      <c r="P1551" s="79">
        <f>IF(OR($T1551="",$U1551=""),"",IF(INDEX(Firms!$N$5:$N$1004,$U1551)="","",INDEX(Firms!$N$5:$N$1004,$U1551)))</f>
        <v/>
      </c>
      <c r="Q1551" s="78">
        <f>IF($T1551="","",IF($S1551="S",IF(INDEX(Firms!$T$5:$T$1004,$T1551)="","",INDEX(Firms!$T$5:$T$1004,$T1551)),IF(INDEX('AFA Rates'!$M$5:$M$1004,$T1551)="","",INDEX('AFA Rates'!$M$5:$M$1004,$T1551))))</f>
        <v/>
      </c>
      <c r="S1551">
        <f>IF(1547&lt;=$S$2,"S",IF(1547&lt;=$S$2+$T$2,"A",""))</f>
        <v/>
      </c>
      <c r="T1551">
        <f>IF(S1551="S",MATCH(1547,Firms!$W$5:$W$1004,0),IF(S1551="A",IFERROR(MATCH(1547-$S$2,'AFA Rates'!$R$5:$R$1004,0),""),""))</f>
        <v/>
      </c>
      <c r="U1551">
        <f>IF(S1551="S",T1551,IF(AND(S1551="A",T1551&lt;&gt;""),IFERROR(MATCH(INDEX('AFA Rates'!$A$5:$A$1004,T1551),Firms!$A$5:$A$1004,0),""),""))</f>
        <v/>
      </c>
    </row>
    <row r="1552">
      <c r="A1552" s="78">
        <f>IF($T1552="","",IF($S1552="S",IF(INDEX(Firms!$A$5:$A$1004,$T1552)="","",INDEX(Firms!$A$5:$A$1004,$T1552)),IF(INDEX('AFA Rates'!$A$5:$A$1004,$T1552)="","",INDEX('AFA Rates'!$A$5:$A$1004,$T1552))))</f>
        <v/>
      </c>
      <c r="B1552" s="79">
        <f>IF(OR($T1552="",$U1552=""),IF($T1552="","","Not on Firms tab"),INDEX(Firms!$B$5:$B$1004,$U1552)&amp;"")</f>
        <v/>
      </c>
      <c r="C1552" s="78">
        <f>IF($T1552="","",IF($S1552="S","Standard",INDEX('AFA Rates'!$B$5:$B$1004,$T1552)&amp;""))</f>
        <v/>
      </c>
      <c r="D1552" s="88">
        <f>IF($T1552="","",IF($S1552="S",IF(INDEX(Firms!$E$5:$E$1004,$T1552)="","",INDEX(Firms!$E$5:$E$1004,$T1552)),IF(INDEX('AFA Rates'!$C$5:$C$1004,$T1552)="","",INDEX('AFA Rates'!$C$5:$C$1004,$T1552))))</f>
        <v/>
      </c>
      <c r="E1552" s="88">
        <f>IF($T1552="","",IF($S1552="S",IF(""="","",""),IF(INDEX('AFA Rates'!$D$5:$D$1004,$T1552)="","",INDEX('AFA Rates'!$D$5:$D$1004,$T1552))))</f>
        <v/>
      </c>
      <c r="F1552" s="79">
        <f>IF($T1552="","",IF($S1552="S",IF(INDEX(Firms!$O$5:$O$1004,$T1552)="","",INDEX(Firms!$O$5:$O$1004,$T1552)),IF(INDEX('AFA Rates'!$O$5:$O$1004,$T1552)="","",INDEX('AFA Rates'!$O$5:$O$1004,$T1552))))</f>
        <v/>
      </c>
      <c r="G1552" s="50">
        <f>IF($T1552="","",IF($S1552="S",IF(INDEX(Firms!$F$5:$F$1004,$T1552)="","",INDEX(Firms!$F$5:$F$1004,$T1552)),IF(INDEX('AFA Rates'!$E$5:$E$1004,$T1552)="","",INDEX('AFA Rates'!$E$5:$E$1004,$T1552))))</f>
        <v/>
      </c>
      <c r="H1552" s="50">
        <f>IF($T1552="","",IF($S1552="S",IF(INDEX(Firms!$G$5:$G$1004,$T1552)="","",INDEX(Firms!$G$5:$G$1004,$T1552)),IF(INDEX('AFA Rates'!$F$5:$F$1004,$T1552)="","",INDEX('AFA Rates'!$F$5:$F$1004,$T1552))))</f>
        <v/>
      </c>
      <c r="I1552" s="50">
        <f>IF($T1552="","",IF($S1552="S",IF(INDEX(Firms!$H$5:$H$1004,$T1552)="","",INDEX(Firms!$H$5:$H$1004,$T1552)),IF(INDEX('AFA Rates'!$G$5:$G$1004,$T1552)="","",INDEX('AFA Rates'!$G$5:$G$1004,$T1552))))</f>
        <v/>
      </c>
      <c r="J1552" s="50">
        <f>IF($T1552="","",IF($S1552="S",IF(INDEX(Firms!$I$5:$I$1004,$T1552)="","",INDEX(Firms!$I$5:$I$1004,$T1552)),IF(INDEX('AFA Rates'!$H$5:$H$1004,$T1552)="","",INDEX('AFA Rates'!$H$5:$H$1004,$T1552))))</f>
        <v/>
      </c>
      <c r="K1552" s="50">
        <f>IF($T1552="","",IF($S1552="S",IF(INDEX(Firms!$J$5:$J$1004,$T1552)="","",INDEX(Firms!$J$5:$J$1004,$T1552)),IF(INDEX('AFA Rates'!$I$5:$I$1004,$T1552)="","",INDEX('AFA Rates'!$I$5:$I$1004,$T1552))))</f>
        <v/>
      </c>
      <c r="L1552" s="50">
        <f>IF($T1552="","",IF($S1552="S",IF(INDEX(Firms!$K$5:$K$1004,$T1552)="","",INDEX(Firms!$K$5:$K$1004,$T1552)),IF(INDEX('AFA Rates'!$J$5:$J$1004,$T1552)="","",INDEX('AFA Rates'!$J$5:$J$1004,$T1552))))</f>
        <v/>
      </c>
      <c r="M1552" s="50">
        <f>IF($T1552="","",IF($S1552="S",IF(INDEX(Firms!$L$5:$L$1004,$T1552)="","",INDEX(Firms!$L$5:$L$1004,$T1552)),IF(INDEX('AFA Rates'!$K$5:$K$1004,$T1552)="","",INDEX('AFA Rates'!$K$5:$K$1004,$T1552))))</f>
        <v/>
      </c>
      <c r="N1552" s="50">
        <f>IF($T1552="","",IF($S1552="S",IF(INDEX(Firms!$M$5:$M$1004,$T1552)="","",INDEX(Firms!$M$5:$M$1004,$T1552)),IF(INDEX('AFA Rates'!$L$5:$L$1004,$T1552)="","",INDEX('AFA Rates'!$L$5:$L$1004,$T1552))))</f>
        <v/>
      </c>
      <c r="O1552" s="78">
        <f>IF(OR($T1552="",$U1552=""),"",IF(INDEX(Firms!$C$5:$C$1004,$U1552)="","",INDEX(Firms!$C$5:$C$1004,$U1552)))</f>
        <v/>
      </c>
      <c r="P1552" s="79">
        <f>IF(OR($T1552="",$U1552=""),"",IF(INDEX(Firms!$N$5:$N$1004,$U1552)="","",INDEX(Firms!$N$5:$N$1004,$U1552)))</f>
        <v/>
      </c>
      <c r="Q1552" s="78">
        <f>IF($T1552="","",IF($S1552="S",IF(INDEX(Firms!$T$5:$T$1004,$T1552)="","",INDEX(Firms!$T$5:$T$1004,$T1552)),IF(INDEX('AFA Rates'!$M$5:$M$1004,$T1552)="","",INDEX('AFA Rates'!$M$5:$M$1004,$T1552))))</f>
        <v/>
      </c>
      <c r="S1552">
        <f>IF(1548&lt;=$S$2,"S",IF(1548&lt;=$S$2+$T$2,"A",""))</f>
        <v/>
      </c>
      <c r="T1552">
        <f>IF(S1552="S",MATCH(1548,Firms!$W$5:$W$1004,0),IF(S1552="A",IFERROR(MATCH(1548-$S$2,'AFA Rates'!$R$5:$R$1004,0),""),""))</f>
        <v/>
      </c>
      <c r="U1552">
        <f>IF(S1552="S",T1552,IF(AND(S1552="A",T1552&lt;&gt;""),IFERROR(MATCH(INDEX('AFA Rates'!$A$5:$A$1004,T1552),Firms!$A$5:$A$1004,0),""),""))</f>
        <v/>
      </c>
    </row>
    <row r="1553">
      <c r="A1553" s="78">
        <f>IF($T1553="","",IF($S1553="S",IF(INDEX(Firms!$A$5:$A$1004,$T1553)="","",INDEX(Firms!$A$5:$A$1004,$T1553)),IF(INDEX('AFA Rates'!$A$5:$A$1004,$T1553)="","",INDEX('AFA Rates'!$A$5:$A$1004,$T1553))))</f>
        <v/>
      </c>
      <c r="B1553" s="79">
        <f>IF(OR($T1553="",$U1553=""),IF($T1553="","","Not on Firms tab"),INDEX(Firms!$B$5:$B$1004,$U1553)&amp;"")</f>
        <v/>
      </c>
      <c r="C1553" s="78">
        <f>IF($T1553="","",IF($S1553="S","Standard",INDEX('AFA Rates'!$B$5:$B$1004,$T1553)&amp;""))</f>
        <v/>
      </c>
      <c r="D1553" s="88">
        <f>IF($T1553="","",IF($S1553="S",IF(INDEX(Firms!$E$5:$E$1004,$T1553)="","",INDEX(Firms!$E$5:$E$1004,$T1553)),IF(INDEX('AFA Rates'!$C$5:$C$1004,$T1553)="","",INDEX('AFA Rates'!$C$5:$C$1004,$T1553))))</f>
        <v/>
      </c>
      <c r="E1553" s="88">
        <f>IF($T1553="","",IF($S1553="S",IF(""="","",""),IF(INDEX('AFA Rates'!$D$5:$D$1004,$T1553)="","",INDEX('AFA Rates'!$D$5:$D$1004,$T1553))))</f>
        <v/>
      </c>
      <c r="F1553" s="79">
        <f>IF($T1553="","",IF($S1553="S",IF(INDEX(Firms!$O$5:$O$1004,$T1553)="","",INDEX(Firms!$O$5:$O$1004,$T1553)),IF(INDEX('AFA Rates'!$O$5:$O$1004,$T1553)="","",INDEX('AFA Rates'!$O$5:$O$1004,$T1553))))</f>
        <v/>
      </c>
      <c r="G1553" s="50">
        <f>IF($T1553="","",IF($S1553="S",IF(INDEX(Firms!$F$5:$F$1004,$T1553)="","",INDEX(Firms!$F$5:$F$1004,$T1553)),IF(INDEX('AFA Rates'!$E$5:$E$1004,$T1553)="","",INDEX('AFA Rates'!$E$5:$E$1004,$T1553))))</f>
        <v/>
      </c>
      <c r="H1553" s="50">
        <f>IF($T1553="","",IF($S1553="S",IF(INDEX(Firms!$G$5:$G$1004,$T1553)="","",INDEX(Firms!$G$5:$G$1004,$T1553)),IF(INDEX('AFA Rates'!$F$5:$F$1004,$T1553)="","",INDEX('AFA Rates'!$F$5:$F$1004,$T1553))))</f>
        <v/>
      </c>
      <c r="I1553" s="50">
        <f>IF($T1553="","",IF($S1553="S",IF(INDEX(Firms!$H$5:$H$1004,$T1553)="","",INDEX(Firms!$H$5:$H$1004,$T1553)),IF(INDEX('AFA Rates'!$G$5:$G$1004,$T1553)="","",INDEX('AFA Rates'!$G$5:$G$1004,$T1553))))</f>
        <v/>
      </c>
      <c r="J1553" s="50">
        <f>IF($T1553="","",IF($S1553="S",IF(INDEX(Firms!$I$5:$I$1004,$T1553)="","",INDEX(Firms!$I$5:$I$1004,$T1553)),IF(INDEX('AFA Rates'!$H$5:$H$1004,$T1553)="","",INDEX('AFA Rates'!$H$5:$H$1004,$T1553))))</f>
        <v/>
      </c>
      <c r="K1553" s="50">
        <f>IF($T1553="","",IF($S1553="S",IF(INDEX(Firms!$J$5:$J$1004,$T1553)="","",INDEX(Firms!$J$5:$J$1004,$T1553)),IF(INDEX('AFA Rates'!$I$5:$I$1004,$T1553)="","",INDEX('AFA Rates'!$I$5:$I$1004,$T1553))))</f>
        <v/>
      </c>
      <c r="L1553" s="50">
        <f>IF($T1553="","",IF($S1553="S",IF(INDEX(Firms!$K$5:$K$1004,$T1553)="","",INDEX(Firms!$K$5:$K$1004,$T1553)),IF(INDEX('AFA Rates'!$J$5:$J$1004,$T1553)="","",INDEX('AFA Rates'!$J$5:$J$1004,$T1553))))</f>
        <v/>
      </c>
      <c r="M1553" s="50">
        <f>IF($T1553="","",IF($S1553="S",IF(INDEX(Firms!$L$5:$L$1004,$T1553)="","",INDEX(Firms!$L$5:$L$1004,$T1553)),IF(INDEX('AFA Rates'!$K$5:$K$1004,$T1553)="","",INDEX('AFA Rates'!$K$5:$K$1004,$T1553))))</f>
        <v/>
      </c>
      <c r="N1553" s="50">
        <f>IF($T1553="","",IF($S1553="S",IF(INDEX(Firms!$M$5:$M$1004,$T1553)="","",INDEX(Firms!$M$5:$M$1004,$T1553)),IF(INDEX('AFA Rates'!$L$5:$L$1004,$T1553)="","",INDEX('AFA Rates'!$L$5:$L$1004,$T1553))))</f>
        <v/>
      </c>
      <c r="O1553" s="78">
        <f>IF(OR($T1553="",$U1553=""),"",IF(INDEX(Firms!$C$5:$C$1004,$U1553)="","",INDEX(Firms!$C$5:$C$1004,$U1553)))</f>
        <v/>
      </c>
      <c r="P1553" s="79">
        <f>IF(OR($T1553="",$U1553=""),"",IF(INDEX(Firms!$N$5:$N$1004,$U1553)="","",INDEX(Firms!$N$5:$N$1004,$U1553)))</f>
        <v/>
      </c>
      <c r="Q1553" s="78">
        <f>IF($T1553="","",IF($S1553="S",IF(INDEX(Firms!$T$5:$T$1004,$T1553)="","",INDEX(Firms!$T$5:$T$1004,$T1553)),IF(INDEX('AFA Rates'!$M$5:$M$1004,$T1553)="","",INDEX('AFA Rates'!$M$5:$M$1004,$T1553))))</f>
        <v/>
      </c>
      <c r="S1553">
        <f>IF(1549&lt;=$S$2,"S",IF(1549&lt;=$S$2+$T$2,"A",""))</f>
        <v/>
      </c>
      <c r="T1553">
        <f>IF(S1553="S",MATCH(1549,Firms!$W$5:$W$1004,0),IF(S1553="A",IFERROR(MATCH(1549-$S$2,'AFA Rates'!$R$5:$R$1004,0),""),""))</f>
        <v/>
      </c>
      <c r="U1553">
        <f>IF(S1553="S",T1553,IF(AND(S1553="A",T1553&lt;&gt;""),IFERROR(MATCH(INDEX('AFA Rates'!$A$5:$A$1004,T1553),Firms!$A$5:$A$1004,0),""),""))</f>
        <v/>
      </c>
    </row>
    <row r="1554">
      <c r="A1554" s="78">
        <f>IF($T1554="","",IF($S1554="S",IF(INDEX(Firms!$A$5:$A$1004,$T1554)="","",INDEX(Firms!$A$5:$A$1004,$T1554)),IF(INDEX('AFA Rates'!$A$5:$A$1004,$T1554)="","",INDEX('AFA Rates'!$A$5:$A$1004,$T1554))))</f>
        <v/>
      </c>
      <c r="B1554" s="79">
        <f>IF(OR($T1554="",$U1554=""),IF($T1554="","","Not on Firms tab"),INDEX(Firms!$B$5:$B$1004,$U1554)&amp;"")</f>
        <v/>
      </c>
      <c r="C1554" s="78">
        <f>IF($T1554="","",IF($S1554="S","Standard",INDEX('AFA Rates'!$B$5:$B$1004,$T1554)&amp;""))</f>
        <v/>
      </c>
      <c r="D1554" s="88">
        <f>IF($T1554="","",IF($S1554="S",IF(INDEX(Firms!$E$5:$E$1004,$T1554)="","",INDEX(Firms!$E$5:$E$1004,$T1554)),IF(INDEX('AFA Rates'!$C$5:$C$1004,$T1554)="","",INDEX('AFA Rates'!$C$5:$C$1004,$T1554))))</f>
        <v/>
      </c>
      <c r="E1554" s="88">
        <f>IF($T1554="","",IF($S1554="S",IF(""="","",""),IF(INDEX('AFA Rates'!$D$5:$D$1004,$T1554)="","",INDEX('AFA Rates'!$D$5:$D$1004,$T1554))))</f>
        <v/>
      </c>
      <c r="F1554" s="79">
        <f>IF($T1554="","",IF($S1554="S",IF(INDEX(Firms!$O$5:$O$1004,$T1554)="","",INDEX(Firms!$O$5:$O$1004,$T1554)),IF(INDEX('AFA Rates'!$O$5:$O$1004,$T1554)="","",INDEX('AFA Rates'!$O$5:$O$1004,$T1554))))</f>
        <v/>
      </c>
      <c r="G1554" s="50">
        <f>IF($T1554="","",IF($S1554="S",IF(INDEX(Firms!$F$5:$F$1004,$T1554)="","",INDEX(Firms!$F$5:$F$1004,$T1554)),IF(INDEX('AFA Rates'!$E$5:$E$1004,$T1554)="","",INDEX('AFA Rates'!$E$5:$E$1004,$T1554))))</f>
        <v/>
      </c>
      <c r="H1554" s="50">
        <f>IF($T1554="","",IF($S1554="S",IF(INDEX(Firms!$G$5:$G$1004,$T1554)="","",INDEX(Firms!$G$5:$G$1004,$T1554)),IF(INDEX('AFA Rates'!$F$5:$F$1004,$T1554)="","",INDEX('AFA Rates'!$F$5:$F$1004,$T1554))))</f>
        <v/>
      </c>
      <c r="I1554" s="50">
        <f>IF($T1554="","",IF($S1554="S",IF(INDEX(Firms!$H$5:$H$1004,$T1554)="","",INDEX(Firms!$H$5:$H$1004,$T1554)),IF(INDEX('AFA Rates'!$G$5:$G$1004,$T1554)="","",INDEX('AFA Rates'!$G$5:$G$1004,$T1554))))</f>
        <v/>
      </c>
      <c r="J1554" s="50">
        <f>IF($T1554="","",IF($S1554="S",IF(INDEX(Firms!$I$5:$I$1004,$T1554)="","",INDEX(Firms!$I$5:$I$1004,$T1554)),IF(INDEX('AFA Rates'!$H$5:$H$1004,$T1554)="","",INDEX('AFA Rates'!$H$5:$H$1004,$T1554))))</f>
        <v/>
      </c>
      <c r="K1554" s="50">
        <f>IF($T1554="","",IF($S1554="S",IF(INDEX(Firms!$J$5:$J$1004,$T1554)="","",INDEX(Firms!$J$5:$J$1004,$T1554)),IF(INDEX('AFA Rates'!$I$5:$I$1004,$T1554)="","",INDEX('AFA Rates'!$I$5:$I$1004,$T1554))))</f>
        <v/>
      </c>
      <c r="L1554" s="50">
        <f>IF($T1554="","",IF($S1554="S",IF(INDEX(Firms!$K$5:$K$1004,$T1554)="","",INDEX(Firms!$K$5:$K$1004,$T1554)),IF(INDEX('AFA Rates'!$J$5:$J$1004,$T1554)="","",INDEX('AFA Rates'!$J$5:$J$1004,$T1554))))</f>
        <v/>
      </c>
      <c r="M1554" s="50">
        <f>IF($T1554="","",IF($S1554="S",IF(INDEX(Firms!$L$5:$L$1004,$T1554)="","",INDEX(Firms!$L$5:$L$1004,$T1554)),IF(INDEX('AFA Rates'!$K$5:$K$1004,$T1554)="","",INDEX('AFA Rates'!$K$5:$K$1004,$T1554))))</f>
        <v/>
      </c>
      <c r="N1554" s="50">
        <f>IF($T1554="","",IF($S1554="S",IF(INDEX(Firms!$M$5:$M$1004,$T1554)="","",INDEX(Firms!$M$5:$M$1004,$T1554)),IF(INDEX('AFA Rates'!$L$5:$L$1004,$T1554)="","",INDEX('AFA Rates'!$L$5:$L$1004,$T1554))))</f>
        <v/>
      </c>
      <c r="O1554" s="78">
        <f>IF(OR($T1554="",$U1554=""),"",IF(INDEX(Firms!$C$5:$C$1004,$U1554)="","",INDEX(Firms!$C$5:$C$1004,$U1554)))</f>
        <v/>
      </c>
      <c r="P1554" s="79">
        <f>IF(OR($T1554="",$U1554=""),"",IF(INDEX(Firms!$N$5:$N$1004,$U1554)="","",INDEX(Firms!$N$5:$N$1004,$U1554)))</f>
        <v/>
      </c>
      <c r="Q1554" s="78">
        <f>IF($T1554="","",IF($S1554="S",IF(INDEX(Firms!$T$5:$T$1004,$T1554)="","",INDEX(Firms!$T$5:$T$1004,$T1554)),IF(INDEX('AFA Rates'!$M$5:$M$1004,$T1554)="","",INDEX('AFA Rates'!$M$5:$M$1004,$T1554))))</f>
        <v/>
      </c>
      <c r="S1554">
        <f>IF(1550&lt;=$S$2,"S",IF(1550&lt;=$S$2+$T$2,"A",""))</f>
        <v/>
      </c>
      <c r="T1554">
        <f>IF(S1554="S",MATCH(1550,Firms!$W$5:$W$1004,0),IF(S1554="A",IFERROR(MATCH(1550-$S$2,'AFA Rates'!$R$5:$R$1004,0),""),""))</f>
        <v/>
      </c>
      <c r="U1554">
        <f>IF(S1554="S",T1554,IF(AND(S1554="A",T1554&lt;&gt;""),IFERROR(MATCH(INDEX('AFA Rates'!$A$5:$A$1004,T1554),Firms!$A$5:$A$1004,0),""),""))</f>
        <v/>
      </c>
    </row>
    <row r="1555">
      <c r="A1555" s="78">
        <f>IF($T1555="","",IF($S1555="S",IF(INDEX(Firms!$A$5:$A$1004,$T1555)="","",INDEX(Firms!$A$5:$A$1004,$T1555)),IF(INDEX('AFA Rates'!$A$5:$A$1004,$T1555)="","",INDEX('AFA Rates'!$A$5:$A$1004,$T1555))))</f>
        <v/>
      </c>
      <c r="B1555" s="79">
        <f>IF(OR($T1555="",$U1555=""),IF($T1555="","","Not on Firms tab"),INDEX(Firms!$B$5:$B$1004,$U1555)&amp;"")</f>
        <v/>
      </c>
      <c r="C1555" s="78">
        <f>IF($T1555="","",IF($S1555="S","Standard",INDEX('AFA Rates'!$B$5:$B$1004,$T1555)&amp;""))</f>
        <v/>
      </c>
      <c r="D1555" s="88">
        <f>IF($T1555="","",IF($S1555="S",IF(INDEX(Firms!$E$5:$E$1004,$T1555)="","",INDEX(Firms!$E$5:$E$1004,$T1555)),IF(INDEX('AFA Rates'!$C$5:$C$1004,$T1555)="","",INDEX('AFA Rates'!$C$5:$C$1004,$T1555))))</f>
        <v/>
      </c>
      <c r="E1555" s="88">
        <f>IF($T1555="","",IF($S1555="S",IF(""="","",""),IF(INDEX('AFA Rates'!$D$5:$D$1004,$T1555)="","",INDEX('AFA Rates'!$D$5:$D$1004,$T1555))))</f>
        <v/>
      </c>
      <c r="F1555" s="79">
        <f>IF($T1555="","",IF($S1555="S",IF(INDEX(Firms!$O$5:$O$1004,$T1555)="","",INDEX(Firms!$O$5:$O$1004,$T1555)),IF(INDEX('AFA Rates'!$O$5:$O$1004,$T1555)="","",INDEX('AFA Rates'!$O$5:$O$1004,$T1555))))</f>
        <v/>
      </c>
      <c r="G1555" s="50">
        <f>IF($T1555="","",IF($S1555="S",IF(INDEX(Firms!$F$5:$F$1004,$T1555)="","",INDEX(Firms!$F$5:$F$1004,$T1555)),IF(INDEX('AFA Rates'!$E$5:$E$1004,$T1555)="","",INDEX('AFA Rates'!$E$5:$E$1004,$T1555))))</f>
        <v/>
      </c>
      <c r="H1555" s="50">
        <f>IF($T1555="","",IF($S1555="S",IF(INDEX(Firms!$G$5:$G$1004,$T1555)="","",INDEX(Firms!$G$5:$G$1004,$T1555)),IF(INDEX('AFA Rates'!$F$5:$F$1004,$T1555)="","",INDEX('AFA Rates'!$F$5:$F$1004,$T1555))))</f>
        <v/>
      </c>
      <c r="I1555" s="50">
        <f>IF($T1555="","",IF($S1555="S",IF(INDEX(Firms!$H$5:$H$1004,$T1555)="","",INDEX(Firms!$H$5:$H$1004,$T1555)),IF(INDEX('AFA Rates'!$G$5:$G$1004,$T1555)="","",INDEX('AFA Rates'!$G$5:$G$1004,$T1555))))</f>
        <v/>
      </c>
      <c r="J1555" s="50">
        <f>IF($T1555="","",IF($S1555="S",IF(INDEX(Firms!$I$5:$I$1004,$T1555)="","",INDEX(Firms!$I$5:$I$1004,$T1555)),IF(INDEX('AFA Rates'!$H$5:$H$1004,$T1555)="","",INDEX('AFA Rates'!$H$5:$H$1004,$T1555))))</f>
        <v/>
      </c>
      <c r="K1555" s="50">
        <f>IF($T1555="","",IF($S1555="S",IF(INDEX(Firms!$J$5:$J$1004,$T1555)="","",INDEX(Firms!$J$5:$J$1004,$T1555)),IF(INDEX('AFA Rates'!$I$5:$I$1004,$T1555)="","",INDEX('AFA Rates'!$I$5:$I$1004,$T1555))))</f>
        <v/>
      </c>
      <c r="L1555" s="50">
        <f>IF($T1555="","",IF($S1555="S",IF(INDEX(Firms!$K$5:$K$1004,$T1555)="","",INDEX(Firms!$K$5:$K$1004,$T1555)),IF(INDEX('AFA Rates'!$J$5:$J$1004,$T1555)="","",INDEX('AFA Rates'!$J$5:$J$1004,$T1555))))</f>
        <v/>
      </c>
      <c r="M1555" s="50">
        <f>IF($T1555="","",IF($S1555="S",IF(INDEX(Firms!$L$5:$L$1004,$T1555)="","",INDEX(Firms!$L$5:$L$1004,$T1555)),IF(INDEX('AFA Rates'!$K$5:$K$1004,$T1555)="","",INDEX('AFA Rates'!$K$5:$K$1004,$T1555))))</f>
        <v/>
      </c>
      <c r="N1555" s="50">
        <f>IF($T1555="","",IF($S1555="S",IF(INDEX(Firms!$M$5:$M$1004,$T1555)="","",INDEX(Firms!$M$5:$M$1004,$T1555)),IF(INDEX('AFA Rates'!$L$5:$L$1004,$T1555)="","",INDEX('AFA Rates'!$L$5:$L$1004,$T1555))))</f>
        <v/>
      </c>
      <c r="O1555" s="78">
        <f>IF(OR($T1555="",$U1555=""),"",IF(INDEX(Firms!$C$5:$C$1004,$U1555)="","",INDEX(Firms!$C$5:$C$1004,$U1555)))</f>
        <v/>
      </c>
      <c r="P1555" s="79">
        <f>IF(OR($T1555="",$U1555=""),"",IF(INDEX(Firms!$N$5:$N$1004,$U1555)="","",INDEX(Firms!$N$5:$N$1004,$U1555)))</f>
        <v/>
      </c>
      <c r="Q1555" s="78">
        <f>IF($T1555="","",IF($S1555="S",IF(INDEX(Firms!$T$5:$T$1004,$T1555)="","",INDEX(Firms!$T$5:$T$1004,$T1555)),IF(INDEX('AFA Rates'!$M$5:$M$1004,$T1555)="","",INDEX('AFA Rates'!$M$5:$M$1004,$T1555))))</f>
        <v/>
      </c>
      <c r="S1555">
        <f>IF(1551&lt;=$S$2,"S",IF(1551&lt;=$S$2+$T$2,"A",""))</f>
        <v/>
      </c>
      <c r="T1555">
        <f>IF(S1555="S",MATCH(1551,Firms!$W$5:$W$1004,0),IF(S1555="A",IFERROR(MATCH(1551-$S$2,'AFA Rates'!$R$5:$R$1004,0),""),""))</f>
        <v/>
      </c>
      <c r="U1555">
        <f>IF(S1555="S",T1555,IF(AND(S1555="A",T1555&lt;&gt;""),IFERROR(MATCH(INDEX('AFA Rates'!$A$5:$A$1004,T1555),Firms!$A$5:$A$1004,0),""),""))</f>
        <v/>
      </c>
    </row>
    <row r="1556">
      <c r="A1556" s="78">
        <f>IF($T1556="","",IF($S1556="S",IF(INDEX(Firms!$A$5:$A$1004,$T1556)="","",INDEX(Firms!$A$5:$A$1004,$T1556)),IF(INDEX('AFA Rates'!$A$5:$A$1004,$T1556)="","",INDEX('AFA Rates'!$A$5:$A$1004,$T1556))))</f>
        <v/>
      </c>
      <c r="B1556" s="79">
        <f>IF(OR($T1556="",$U1556=""),IF($T1556="","","Not on Firms tab"),INDEX(Firms!$B$5:$B$1004,$U1556)&amp;"")</f>
        <v/>
      </c>
      <c r="C1556" s="78">
        <f>IF($T1556="","",IF($S1556="S","Standard",INDEX('AFA Rates'!$B$5:$B$1004,$T1556)&amp;""))</f>
        <v/>
      </c>
      <c r="D1556" s="88">
        <f>IF($T1556="","",IF($S1556="S",IF(INDEX(Firms!$E$5:$E$1004,$T1556)="","",INDEX(Firms!$E$5:$E$1004,$T1556)),IF(INDEX('AFA Rates'!$C$5:$C$1004,$T1556)="","",INDEX('AFA Rates'!$C$5:$C$1004,$T1556))))</f>
        <v/>
      </c>
      <c r="E1556" s="88">
        <f>IF($T1556="","",IF($S1556="S",IF(""="","",""),IF(INDEX('AFA Rates'!$D$5:$D$1004,$T1556)="","",INDEX('AFA Rates'!$D$5:$D$1004,$T1556))))</f>
        <v/>
      </c>
      <c r="F1556" s="79">
        <f>IF($T1556="","",IF($S1556="S",IF(INDEX(Firms!$O$5:$O$1004,$T1556)="","",INDEX(Firms!$O$5:$O$1004,$T1556)),IF(INDEX('AFA Rates'!$O$5:$O$1004,$T1556)="","",INDEX('AFA Rates'!$O$5:$O$1004,$T1556))))</f>
        <v/>
      </c>
      <c r="G1556" s="50">
        <f>IF($T1556="","",IF($S1556="S",IF(INDEX(Firms!$F$5:$F$1004,$T1556)="","",INDEX(Firms!$F$5:$F$1004,$T1556)),IF(INDEX('AFA Rates'!$E$5:$E$1004,$T1556)="","",INDEX('AFA Rates'!$E$5:$E$1004,$T1556))))</f>
        <v/>
      </c>
      <c r="H1556" s="50">
        <f>IF($T1556="","",IF($S1556="S",IF(INDEX(Firms!$G$5:$G$1004,$T1556)="","",INDEX(Firms!$G$5:$G$1004,$T1556)),IF(INDEX('AFA Rates'!$F$5:$F$1004,$T1556)="","",INDEX('AFA Rates'!$F$5:$F$1004,$T1556))))</f>
        <v/>
      </c>
      <c r="I1556" s="50">
        <f>IF($T1556="","",IF($S1556="S",IF(INDEX(Firms!$H$5:$H$1004,$T1556)="","",INDEX(Firms!$H$5:$H$1004,$T1556)),IF(INDEX('AFA Rates'!$G$5:$G$1004,$T1556)="","",INDEX('AFA Rates'!$G$5:$G$1004,$T1556))))</f>
        <v/>
      </c>
      <c r="J1556" s="50">
        <f>IF($T1556="","",IF($S1556="S",IF(INDEX(Firms!$I$5:$I$1004,$T1556)="","",INDEX(Firms!$I$5:$I$1004,$T1556)),IF(INDEX('AFA Rates'!$H$5:$H$1004,$T1556)="","",INDEX('AFA Rates'!$H$5:$H$1004,$T1556))))</f>
        <v/>
      </c>
      <c r="K1556" s="50">
        <f>IF($T1556="","",IF($S1556="S",IF(INDEX(Firms!$J$5:$J$1004,$T1556)="","",INDEX(Firms!$J$5:$J$1004,$T1556)),IF(INDEX('AFA Rates'!$I$5:$I$1004,$T1556)="","",INDEX('AFA Rates'!$I$5:$I$1004,$T1556))))</f>
        <v/>
      </c>
      <c r="L1556" s="50">
        <f>IF($T1556="","",IF($S1556="S",IF(INDEX(Firms!$K$5:$K$1004,$T1556)="","",INDEX(Firms!$K$5:$K$1004,$T1556)),IF(INDEX('AFA Rates'!$J$5:$J$1004,$T1556)="","",INDEX('AFA Rates'!$J$5:$J$1004,$T1556))))</f>
        <v/>
      </c>
      <c r="M1556" s="50">
        <f>IF($T1556="","",IF($S1556="S",IF(INDEX(Firms!$L$5:$L$1004,$T1556)="","",INDEX(Firms!$L$5:$L$1004,$T1556)),IF(INDEX('AFA Rates'!$K$5:$K$1004,$T1556)="","",INDEX('AFA Rates'!$K$5:$K$1004,$T1556))))</f>
        <v/>
      </c>
      <c r="N1556" s="50">
        <f>IF($T1556="","",IF($S1556="S",IF(INDEX(Firms!$M$5:$M$1004,$T1556)="","",INDEX(Firms!$M$5:$M$1004,$T1556)),IF(INDEX('AFA Rates'!$L$5:$L$1004,$T1556)="","",INDEX('AFA Rates'!$L$5:$L$1004,$T1556))))</f>
        <v/>
      </c>
      <c r="O1556" s="78">
        <f>IF(OR($T1556="",$U1556=""),"",IF(INDEX(Firms!$C$5:$C$1004,$U1556)="","",INDEX(Firms!$C$5:$C$1004,$U1556)))</f>
        <v/>
      </c>
      <c r="P1556" s="79">
        <f>IF(OR($T1556="",$U1556=""),"",IF(INDEX(Firms!$N$5:$N$1004,$U1556)="","",INDEX(Firms!$N$5:$N$1004,$U1556)))</f>
        <v/>
      </c>
      <c r="Q1556" s="78">
        <f>IF($T1556="","",IF($S1556="S",IF(INDEX(Firms!$T$5:$T$1004,$T1556)="","",INDEX(Firms!$T$5:$T$1004,$T1556)),IF(INDEX('AFA Rates'!$M$5:$M$1004,$T1556)="","",INDEX('AFA Rates'!$M$5:$M$1004,$T1556))))</f>
        <v/>
      </c>
      <c r="S1556">
        <f>IF(1552&lt;=$S$2,"S",IF(1552&lt;=$S$2+$T$2,"A",""))</f>
        <v/>
      </c>
      <c r="T1556">
        <f>IF(S1556="S",MATCH(1552,Firms!$W$5:$W$1004,0),IF(S1556="A",IFERROR(MATCH(1552-$S$2,'AFA Rates'!$R$5:$R$1004,0),""),""))</f>
        <v/>
      </c>
      <c r="U1556">
        <f>IF(S1556="S",T1556,IF(AND(S1556="A",T1556&lt;&gt;""),IFERROR(MATCH(INDEX('AFA Rates'!$A$5:$A$1004,T1556),Firms!$A$5:$A$1004,0),""),""))</f>
        <v/>
      </c>
    </row>
    <row r="1557">
      <c r="A1557" s="78">
        <f>IF($T1557="","",IF($S1557="S",IF(INDEX(Firms!$A$5:$A$1004,$T1557)="","",INDEX(Firms!$A$5:$A$1004,$T1557)),IF(INDEX('AFA Rates'!$A$5:$A$1004,$T1557)="","",INDEX('AFA Rates'!$A$5:$A$1004,$T1557))))</f>
        <v/>
      </c>
      <c r="B1557" s="79">
        <f>IF(OR($T1557="",$U1557=""),IF($T1557="","","Not on Firms tab"),INDEX(Firms!$B$5:$B$1004,$U1557)&amp;"")</f>
        <v/>
      </c>
      <c r="C1557" s="78">
        <f>IF($T1557="","",IF($S1557="S","Standard",INDEX('AFA Rates'!$B$5:$B$1004,$T1557)&amp;""))</f>
        <v/>
      </c>
      <c r="D1557" s="88">
        <f>IF($T1557="","",IF($S1557="S",IF(INDEX(Firms!$E$5:$E$1004,$T1557)="","",INDEX(Firms!$E$5:$E$1004,$T1557)),IF(INDEX('AFA Rates'!$C$5:$C$1004,$T1557)="","",INDEX('AFA Rates'!$C$5:$C$1004,$T1557))))</f>
        <v/>
      </c>
      <c r="E1557" s="88">
        <f>IF($T1557="","",IF($S1557="S",IF(""="","",""),IF(INDEX('AFA Rates'!$D$5:$D$1004,$T1557)="","",INDEX('AFA Rates'!$D$5:$D$1004,$T1557))))</f>
        <v/>
      </c>
      <c r="F1557" s="79">
        <f>IF($T1557="","",IF($S1557="S",IF(INDEX(Firms!$O$5:$O$1004,$T1557)="","",INDEX(Firms!$O$5:$O$1004,$T1557)),IF(INDEX('AFA Rates'!$O$5:$O$1004,$T1557)="","",INDEX('AFA Rates'!$O$5:$O$1004,$T1557))))</f>
        <v/>
      </c>
      <c r="G1557" s="50">
        <f>IF($T1557="","",IF($S1557="S",IF(INDEX(Firms!$F$5:$F$1004,$T1557)="","",INDEX(Firms!$F$5:$F$1004,$T1557)),IF(INDEX('AFA Rates'!$E$5:$E$1004,$T1557)="","",INDEX('AFA Rates'!$E$5:$E$1004,$T1557))))</f>
        <v/>
      </c>
      <c r="H1557" s="50">
        <f>IF($T1557="","",IF($S1557="S",IF(INDEX(Firms!$G$5:$G$1004,$T1557)="","",INDEX(Firms!$G$5:$G$1004,$T1557)),IF(INDEX('AFA Rates'!$F$5:$F$1004,$T1557)="","",INDEX('AFA Rates'!$F$5:$F$1004,$T1557))))</f>
        <v/>
      </c>
      <c r="I1557" s="50">
        <f>IF($T1557="","",IF($S1557="S",IF(INDEX(Firms!$H$5:$H$1004,$T1557)="","",INDEX(Firms!$H$5:$H$1004,$T1557)),IF(INDEX('AFA Rates'!$G$5:$G$1004,$T1557)="","",INDEX('AFA Rates'!$G$5:$G$1004,$T1557))))</f>
        <v/>
      </c>
      <c r="J1557" s="50">
        <f>IF($T1557="","",IF($S1557="S",IF(INDEX(Firms!$I$5:$I$1004,$T1557)="","",INDEX(Firms!$I$5:$I$1004,$T1557)),IF(INDEX('AFA Rates'!$H$5:$H$1004,$T1557)="","",INDEX('AFA Rates'!$H$5:$H$1004,$T1557))))</f>
        <v/>
      </c>
      <c r="K1557" s="50">
        <f>IF($T1557="","",IF($S1557="S",IF(INDEX(Firms!$J$5:$J$1004,$T1557)="","",INDEX(Firms!$J$5:$J$1004,$T1557)),IF(INDEX('AFA Rates'!$I$5:$I$1004,$T1557)="","",INDEX('AFA Rates'!$I$5:$I$1004,$T1557))))</f>
        <v/>
      </c>
      <c r="L1557" s="50">
        <f>IF($T1557="","",IF($S1557="S",IF(INDEX(Firms!$K$5:$K$1004,$T1557)="","",INDEX(Firms!$K$5:$K$1004,$T1557)),IF(INDEX('AFA Rates'!$J$5:$J$1004,$T1557)="","",INDEX('AFA Rates'!$J$5:$J$1004,$T1557))))</f>
        <v/>
      </c>
      <c r="M1557" s="50">
        <f>IF($T1557="","",IF($S1557="S",IF(INDEX(Firms!$L$5:$L$1004,$T1557)="","",INDEX(Firms!$L$5:$L$1004,$T1557)),IF(INDEX('AFA Rates'!$K$5:$K$1004,$T1557)="","",INDEX('AFA Rates'!$K$5:$K$1004,$T1557))))</f>
        <v/>
      </c>
      <c r="N1557" s="50">
        <f>IF($T1557="","",IF($S1557="S",IF(INDEX(Firms!$M$5:$M$1004,$T1557)="","",INDEX(Firms!$M$5:$M$1004,$T1557)),IF(INDEX('AFA Rates'!$L$5:$L$1004,$T1557)="","",INDEX('AFA Rates'!$L$5:$L$1004,$T1557))))</f>
        <v/>
      </c>
      <c r="O1557" s="78">
        <f>IF(OR($T1557="",$U1557=""),"",IF(INDEX(Firms!$C$5:$C$1004,$U1557)="","",INDEX(Firms!$C$5:$C$1004,$U1557)))</f>
        <v/>
      </c>
      <c r="P1557" s="79">
        <f>IF(OR($T1557="",$U1557=""),"",IF(INDEX(Firms!$N$5:$N$1004,$U1557)="","",INDEX(Firms!$N$5:$N$1004,$U1557)))</f>
        <v/>
      </c>
      <c r="Q1557" s="78">
        <f>IF($T1557="","",IF($S1557="S",IF(INDEX(Firms!$T$5:$T$1004,$T1557)="","",INDEX(Firms!$T$5:$T$1004,$T1557)),IF(INDEX('AFA Rates'!$M$5:$M$1004,$T1557)="","",INDEX('AFA Rates'!$M$5:$M$1004,$T1557))))</f>
        <v/>
      </c>
      <c r="S1557">
        <f>IF(1553&lt;=$S$2,"S",IF(1553&lt;=$S$2+$T$2,"A",""))</f>
        <v/>
      </c>
      <c r="T1557">
        <f>IF(S1557="S",MATCH(1553,Firms!$W$5:$W$1004,0),IF(S1557="A",IFERROR(MATCH(1553-$S$2,'AFA Rates'!$R$5:$R$1004,0),""),""))</f>
        <v/>
      </c>
      <c r="U1557">
        <f>IF(S1557="S",T1557,IF(AND(S1557="A",T1557&lt;&gt;""),IFERROR(MATCH(INDEX('AFA Rates'!$A$5:$A$1004,T1557),Firms!$A$5:$A$1004,0),""),""))</f>
        <v/>
      </c>
    </row>
    <row r="1558">
      <c r="A1558" s="78">
        <f>IF($T1558="","",IF($S1558="S",IF(INDEX(Firms!$A$5:$A$1004,$T1558)="","",INDEX(Firms!$A$5:$A$1004,$T1558)),IF(INDEX('AFA Rates'!$A$5:$A$1004,$T1558)="","",INDEX('AFA Rates'!$A$5:$A$1004,$T1558))))</f>
        <v/>
      </c>
      <c r="B1558" s="79">
        <f>IF(OR($T1558="",$U1558=""),IF($T1558="","","Not on Firms tab"),INDEX(Firms!$B$5:$B$1004,$U1558)&amp;"")</f>
        <v/>
      </c>
      <c r="C1558" s="78">
        <f>IF($T1558="","",IF($S1558="S","Standard",INDEX('AFA Rates'!$B$5:$B$1004,$T1558)&amp;""))</f>
        <v/>
      </c>
      <c r="D1558" s="88">
        <f>IF($T1558="","",IF($S1558="S",IF(INDEX(Firms!$E$5:$E$1004,$T1558)="","",INDEX(Firms!$E$5:$E$1004,$T1558)),IF(INDEX('AFA Rates'!$C$5:$C$1004,$T1558)="","",INDEX('AFA Rates'!$C$5:$C$1004,$T1558))))</f>
        <v/>
      </c>
      <c r="E1558" s="88">
        <f>IF($T1558="","",IF($S1558="S",IF(""="","",""),IF(INDEX('AFA Rates'!$D$5:$D$1004,$T1558)="","",INDEX('AFA Rates'!$D$5:$D$1004,$T1558))))</f>
        <v/>
      </c>
      <c r="F1558" s="79">
        <f>IF($T1558="","",IF($S1558="S",IF(INDEX(Firms!$O$5:$O$1004,$T1558)="","",INDEX(Firms!$O$5:$O$1004,$T1558)),IF(INDEX('AFA Rates'!$O$5:$O$1004,$T1558)="","",INDEX('AFA Rates'!$O$5:$O$1004,$T1558))))</f>
        <v/>
      </c>
      <c r="G1558" s="50">
        <f>IF($T1558="","",IF($S1558="S",IF(INDEX(Firms!$F$5:$F$1004,$T1558)="","",INDEX(Firms!$F$5:$F$1004,$T1558)),IF(INDEX('AFA Rates'!$E$5:$E$1004,$T1558)="","",INDEX('AFA Rates'!$E$5:$E$1004,$T1558))))</f>
        <v/>
      </c>
      <c r="H1558" s="50">
        <f>IF($T1558="","",IF($S1558="S",IF(INDEX(Firms!$G$5:$G$1004,$T1558)="","",INDEX(Firms!$G$5:$G$1004,$T1558)),IF(INDEX('AFA Rates'!$F$5:$F$1004,$T1558)="","",INDEX('AFA Rates'!$F$5:$F$1004,$T1558))))</f>
        <v/>
      </c>
      <c r="I1558" s="50">
        <f>IF($T1558="","",IF($S1558="S",IF(INDEX(Firms!$H$5:$H$1004,$T1558)="","",INDEX(Firms!$H$5:$H$1004,$T1558)),IF(INDEX('AFA Rates'!$G$5:$G$1004,$T1558)="","",INDEX('AFA Rates'!$G$5:$G$1004,$T1558))))</f>
        <v/>
      </c>
      <c r="J1558" s="50">
        <f>IF($T1558="","",IF($S1558="S",IF(INDEX(Firms!$I$5:$I$1004,$T1558)="","",INDEX(Firms!$I$5:$I$1004,$T1558)),IF(INDEX('AFA Rates'!$H$5:$H$1004,$T1558)="","",INDEX('AFA Rates'!$H$5:$H$1004,$T1558))))</f>
        <v/>
      </c>
      <c r="K1558" s="50">
        <f>IF($T1558="","",IF($S1558="S",IF(INDEX(Firms!$J$5:$J$1004,$T1558)="","",INDEX(Firms!$J$5:$J$1004,$T1558)),IF(INDEX('AFA Rates'!$I$5:$I$1004,$T1558)="","",INDEX('AFA Rates'!$I$5:$I$1004,$T1558))))</f>
        <v/>
      </c>
      <c r="L1558" s="50">
        <f>IF($T1558="","",IF($S1558="S",IF(INDEX(Firms!$K$5:$K$1004,$T1558)="","",INDEX(Firms!$K$5:$K$1004,$T1558)),IF(INDEX('AFA Rates'!$J$5:$J$1004,$T1558)="","",INDEX('AFA Rates'!$J$5:$J$1004,$T1558))))</f>
        <v/>
      </c>
      <c r="M1558" s="50">
        <f>IF($T1558="","",IF($S1558="S",IF(INDEX(Firms!$L$5:$L$1004,$T1558)="","",INDEX(Firms!$L$5:$L$1004,$T1558)),IF(INDEX('AFA Rates'!$K$5:$K$1004,$T1558)="","",INDEX('AFA Rates'!$K$5:$K$1004,$T1558))))</f>
        <v/>
      </c>
      <c r="N1558" s="50">
        <f>IF($T1558="","",IF($S1558="S",IF(INDEX(Firms!$M$5:$M$1004,$T1558)="","",INDEX(Firms!$M$5:$M$1004,$T1558)),IF(INDEX('AFA Rates'!$L$5:$L$1004,$T1558)="","",INDEX('AFA Rates'!$L$5:$L$1004,$T1558))))</f>
        <v/>
      </c>
      <c r="O1558" s="78">
        <f>IF(OR($T1558="",$U1558=""),"",IF(INDEX(Firms!$C$5:$C$1004,$U1558)="","",INDEX(Firms!$C$5:$C$1004,$U1558)))</f>
        <v/>
      </c>
      <c r="P1558" s="79">
        <f>IF(OR($T1558="",$U1558=""),"",IF(INDEX(Firms!$N$5:$N$1004,$U1558)="","",INDEX(Firms!$N$5:$N$1004,$U1558)))</f>
        <v/>
      </c>
      <c r="Q1558" s="78">
        <f>IF($T1558="","",IF($S1558="S",IF(INDEX(Firms!$T$5:$T$1004,$T1558)="","",INDEX(Firms!$T$5:$T$1004,$T1558)),IF(INDEX('AFA Rates'!$M$5:$M$1004,$T1558)="","",INDEX('AFA Rates'!$M$5:$M$1004,$T1558))))</f>
        <v/>
      </c>
      <c r="S1558">
        <f>IF(1554&lt;=$S$2,"S",IF(1554&lt;=$S$2+$T$2,"A",""))</f>
        <v/>
      </c>
      <c r="T1558">
        <f>IF(S1558="S",MATCH(1554,Firms!$W$5:$W$1004,0),IF(S1558="A",IFERROR(MATCH(1554-$S$2,'AFA Rates'!$R$5:$R$1004,0),""),""))</f>
        <v/>
      </c>
      <c r="U1558">
        <f>IF(S1558="S",T1558,IF(AND(S1558="A",T1558&lt;&gt;""),IFERROR(MATCH(INDEX('AFA Rates'!$A$5:$A$1004,T1558),Firms!$A$5:$A$1004,0),""),""))</f>
        <v/>
      </c>
    </row>
    <row r="1559">
      <c r="A1559" s="78">
        <f>IF($T1559="","",IF($S1559="S",IF(INDEX(Firms!$A$5:$A$1004,$T1559)="","",INDEX(Firms!$A$5:$A$1004,$T1559)),IF(INDEX('AFA Rates'!$A$5:$A$1004,$T1559)="","",INDEX('AFA Rates'!$A$5:$A$1004,$T1559))))</f>
        <v/>
      </c>
      <c r="B1559" s="79">
        <f>IF(OR($T1559="",$U1559=""),IF($T1559="","","Not on Firms tab"),INDEX(Firms!$B$5:$B$1004,$U1559)&amp;"")</f>
        <v/>
      </c>
      <c r="C1559" s="78">
        <f>IF($T1559="","",IF($S1559="S","Standard",INDEX('AFA Rates'!$B$5:$B$1004,$T1559)&amp;""))</f>
        <v/>
      </c>
      <c r="D1559" s="88">
        <f>IF($T1559="","",IF($S1559="S",IF(INDEX(Firms!$E$5:$E$1004,$T1559)="","",INDEX(Firms!$E$5:$E$1004,$T1559)),IF(INDEX('AFA Rates'!$C$5:$C$1004,$T1559)="","",INDEX('AFA Rates'!$C$5:$C$1004,$T1559))))</f>
        <v/>
      </c>
      <c r="E1559" s="88">
        <f>IF($T1559="","",IF($S1559="S",IF(""="","",""),IF(INDEX('AFA Rates'!$D$5:$D$1004,$T1559)="","",INDEX('AFA Rates'!$D$5:$D$1004,$T1559))))</f>
        <v/>
      </c>
      <c r="F1559" s="79">
        <f>IF($T1559="","",IF($S1559="S",IF(INDEX(Firms!$O$5:$O$1004,$T1559)="","",INDEX(Firms!$O$5:$O$1004,$T1559)),IF(INDEX('AFA Rates'!$O$5:$O$1004,$T1559)="","",INDEX('AFA Rates'!$O$5:$O$1004,$T1559))))</f>
        <v/>
      </c>
      <c r="G1559" s="50">
        <f>IF($T1559="","",IF($S1559="S",IF(INDEX(Firms!$F$5:$F$1004,$T1559)="","",INDEX(Firms!$F$5:$F$1004,$T1559)),IF(INDEX('AFA Rates'!$E$5:$E$1004,$T1559)="","",INDEX('AFA Rates'!$E$5:$E$1004,$T1559))))</f>
        <v/>
      </c>
      <c r="H1559" s="50">
        <f>IF($T1559="","",IF($S1559="S",IF(INDEX(Firms!$G$5:$G$1004,$T1559)="","",INDEX(Firms!$G$5:$G$1004,$T1559)),IF(INDEX('AFA Rates'!$F$5:$F$1004,$T1559)="","",INDEX('AFA Rates'!$F$5:$F$1004,$T1559))))</f>
        <v/>
      </c>
      <c r="I1559" s="50">
        <f>IF($T1559="","",IF($S1559="S",IF(INDEX(Firms!$H$5:$H$1004,$T1559)="","",INDEX(Firms!$H$5:$H$1004,$T1559)),IF(INDEX('AFA Rates'!$G$5:$G$1004,$T1559)="","",INDEX('AFA Rates'!$G$5:$G$1004,$T1559))))</f>
        <v/>
      </c>
      <c r="J1559" s="50">
        <f>IF($T1559="","",IF($S1559="S",IF(INDEX(Firms!$I$5:$I$1004,$T1559)="","",INDEX(Firms!$I$5:$I$1004,$T1559)),IF(INDEX('AFA Rates'!$H$5:$H$1004,$T1559)="","",INDEX('AFA Rates'!$H$5:$H$1004,$T1559))))</f>
        <v/>
      </c>
      <c r="K1559" s="50">
        <f>IF($T1559="","",IF($S1559="S",IF(INDEX(Firms!$J$5:$J$1004,$T1559)="","",INDEX(Firms!$J$5:$J$1004,$T1559)),IF(INDEX('AFA Rates'!$I$5:$I$1004,$T1559)="","",INDEX('AFA Rates'!$I$5:$I$1004,$T1559))))</f>
        <v/>
      </c>
      <c r="L1559" s="50">
        <f>IF($T1559="","",IF($S1559="S",IF(INDEX(Firms!$K$5:$K$1004,$T1559)="","",INDEX(Firms!$K$5:$K$1004,$T1559)),IF(INDEX('AFA Rates'!$J$5:$J$1004,$T1559)="","",INDEX('AFA Rates'!$J$5:$J$1004,$T1559))))</f>
        <v/>
      </c>
      <c r="M1559" s="50">
        <f>IF($T1559="","",IF($S1559="S",IF(INDEX(Firms!$L$5:$L$1004,$T1559)="","",INDEX(Firms!$L$5:$L$1004,$T1559)),IF(INDEX('AFA Rates'!$K$5:$K$1004,$T1559)="","",INDEX('AFA Rates'!$K$5:$K$1004,$T1559))))</f>
        <v/>
      </c>
      <c r="N1559" s="50">
        <f>IF($T1559="","",IF($S1559="S",IF(INDEX(Firms!$M$5:$M$1004,$T1559)="","",INDEX(Firms!$M$5:$M$1004,$T1559)),IF(INDEX('AFA Rates'!$L$5:$L$1004,$T1559)="","",INDEX('AFA Rates'!$L$5:$L$1004,$T1559))))</f>
        <v/>
      </c>
      <c r="O1559" s="78">
        <f>IF(OR($T1559="",$U1559=""),"",IF(INDEX(Firms!$C$5:$C$1004,$U1559)="","",INDEX(Firms!$C$5:$C$1004,$U1559)))</f>
        <v/>
      </c>
      <c r="P1559" s="79">
        <f>IF(OR($T1559="",$U1559=""),"",IF(INDEX(Firms!$N$5:$N$1004,$U1559)="","",INDEX(Firms!$N$5:$N$1004,$U1559)))</f>
        <v/>
      </c>
      <c r="Q1559" s="78">
        <f>IF($T1559="","",IF($S1559="S",IF(INDEX(Firms!$T$5:$T$1004,$T1559)="","",INDEX(Firms!$T$5:$T$1004,$T1559)),IF(INDEX('AFA Rates'!$M$5:$M$1004,$T1559)="","",INDEX('AFA Rates'!$M$5:$M$1004,$T1559))))</f>
        <v/>
      </c>
      <c r="S1559">
        <f>IF(1555&lt;=$S$2,"S",IF(1555&lt;=$S$2+$T$2,"A",""))</f>
        <v/>
      </c>
      <c r="T1559">
        <f>IF(S1559="S",MATCH(1555,Firms!$W$5:$W$1004,0),IF(S1559="A",IFERROR(MATCH(1555-$S$2,'AFA Rates'!$R$5:$R$1004,0),""),""))</f>
        <v/>
      </c>
      <c r="U1559">
        <f>IF(S1559="S",T1559,IF(AND(S1559="A",T1559&lt;&gt;""),IFERROR(MATCH(INDEX('AFA Rates'!$A$5:$A$1004,T1559),Firms!$A$5:$A$1004,0),""),""))</f>
        <v/>
      </c>
    </row>
    <row r="1560">
      <c r="A1560" s="78">
        <f>IF($T1560="","",IF($S1560="S",IF(INDEX(Firms!$A$5:$A$1004,$T1560)="","",INDEX(Firms!$A$5:$A$1004,$T1560)),IF(INDEX('AFA Rates'!$A$5:$A$1004,$T1560)="","",INDEX('AFA Rates'!$A$5:$A$1004,$T1560))))</f>
        <v/>
      </c>
      <c r="B1560" s="79">
        <f>IF(OR($T1560="",$U1560=""),IF($T1560="","","Not on Firms tab"),INDEX(Firms!$B$5:$B$1004,$U1560)&amp;"")</f>
        <v/>
      </c>
      <c r="C1560" s="78">
        <f>IF($T1560="","",IF($S1560="S","Standard",INDEX('AFA Rates'!$B$5:$B$1004,$T1560)&amp;""))</f>
        <v/>
      </c>
      <c r="D1560" s="88">
        <f>IF($T1560="","",IF($S1560="S",IF(INDEX(Firms!$E$5:$E$1004,$T1560)="","",INDEX(Firms!$E$5:$E$1004,$T1560)),IF(INDEX('AFA Rates'!$C$5:$C$1004,$T1560)="","",INDEX('AFA Rates'!$C$5:$C$1004,$T1560))))</f>
        <v/>
      </c>
      <c r="E1560" s="88">
        <f>IF($T1560="","",IF($S1560="S",IF(""="","",""),IF(INDEX('AFA Rates'!$D$5:$D$1004,$T1560)="","",INDEX('AFA Rates'!$D$5:$D$1004,$T1560))))</f>
        <v/>
      </c>
      <c r="F1560" s="79">
        <f>IF($T1560="","",IF($S1560="S",IF(INDEX(Firms!$O$5:$O$1004,$T1560)="","",INDEX(Firms!$O$5:$O$1004,$T1560)),IF(INDEX('AFA Rates'!$O$5:$O$1004,$T1560)="","",INDEX('AFA Rates'!$O$5:$O$1004,$T1560))))</f>
        <v/>
      </c>
      <c r="G1560" s="50">
        <f>IF($T1560="","",IF($S1560="S",IF(INDEX(Firms!$F$5:$F$1004,$T1560)="","",INDEX(Firms!$F$5:$F$1004,$T1560)),IF(INDEX('AFA Rates'!$E$5:$E$1004,$T1560)="","",INDEX('AFA Rates'!$E$5:$E$1004,$T1560))))</f>
        <v/>
      </c>
      <c r="H1560" s="50">
        <f>IF($T1560="","",IF($S1560="S",IF(INDEX(Firms!$G$5:$G$1004,$T1560)="","",INDEX(Firms!$G$5:$G$1004,$T1560)),IF(INDEX('AFA Rates'!$F$5:$F$1004,$T1560)="","",INDEX('AFA Rates'!$F$5:$F$1004,$T1560))))</f>
        <v/>
      </c>
      <c r="I1560" s="50">
        <f>IF($T1560="","",IF($S1560="S",IF(INDEX(Firms!$H$5:$H$1004,$T1560)="","",INDEX(Firms!$H$5:$H$1004,$T1560)),IF(INDEX('AFA Rates'!$G$5:$G$1004,$T1560)="","",INDEX('AFA Rates'!$G$5:$G$1004,$T1560))))</f>
        <v/>
      </c>
      <c r="J1560" s="50">
        <f>IF($T1560="","",IF($S1560="S",IF(INDEX(Firms!$I$5:$I$1004,$T1560)="","",INDEX(Firms!$I$5:$I$1004,$T1560)),IF(INDEX('AFA Rates'!$H$5:$H$1004,$T1560)="","",INDEX('AFA Rates'!$H$5:$H$1004,$T1560))))</f>
        <v/>
      </c>
      <c r="K1560" s="50">
        <f>IF($T1560="","",IF($S1560="S",IF(INDEX(Firms!$J$5:$J$1004,$T1560)="","",INDEX(Firms!$J$5:$J$1004,$T1560)),IF(INDEX('AFA Rates'!$I$5:$I$1004,$T1560)="","",INDEX('AFA Rates'!$I$5:$I$1004,$T1560))))</f>
        <v/>
      </c>
      <c r="L1560" s="50">
        <f>IF($T1560="","",IF($S1560="S",IF(INDEX(Firms!$K$5:$K$1004,$T1560)="","",INDEX(Firms!$K$5:$K$1004,$T1560)),IF(INDEX('AFA Rates'!$J$5:$J$1004,$T1560)="","",INDEX('AFA Rates'!$J$5:$J$1004,$T1560))))</f>
        <v/>
      </c>
      <c r="M1560" s="50">
        <f>IF($T1560="","",IF($S1560="S",IF(INDEX(Firms!$L$5:$L$1004,$T1560)="","",INDEX(Firms!$L$5:$L$1004,$T1560)),IF(INDEX('AFA Rates'!$K$5:$K$1004,$T1560)="","",INDEX('AFA Rates'!$K$5:$K$1004,$T1560))))</f>
        <v/>
      </c>
      <c r="N1560" s="50">
        <f>IF($T1560="","",IF($S1560="S",IF(INDEX(Firms!$M$5:$M$1004,$T1560)="","",INDEX(Firms!$M$5:$M$1004,$T1560)),IF(INDEX('AFA Rates'!$L$5:$L$1004,$T1560)="","",INDEX('AFA Rates'!$L$5:$L$1004,$T1560))))</f>
        <v/>
      </c>
      <c r="O1560" s="78">
        <f>IF(OR($T1560="",$U1560=""),"",IF(INDEX(Firms!$C$5:$C$1004,$U1560)="","",INDEX(Firms!$C$5:$C$1004,$U1560)))</f>
        <v/>
      </c>
      <c r="P1560" s="79">
        <f>IF(OR($T1560="",$U1560=""),"",IF(INDEX(Firms!$N$5:$N$1004,$U1560)="","",INDEX(Firms!$N$5:$N$1004,$U1560)))</f>
        <v/>
      </c>
      <c r="Q1560" s="78">
        <f>IF($T1560="","",IF($S1560="S",IF(INDEX(Firms!$T$5:$T$1004,$T1560)="","",INDEX(Firms!$T$5:$T$1004,$T1560)),IF(INDEX('AFA Rates'!$M$5:$M$1004,$T1560)="","",INDEX('AFA Rates'!$M$5:$M$1004,$T1560))))</f>
        <v/>
      </c>
      <c r="S1560">
        <f>IF(1556&lt;=$S$2,"S",IF(1556&lt;=$S$2+$T$2,"A",""))</f>
        <v/>
      </c>
      <c r="T1560">
        <f>IF(S1560="S",MATCH(1556,Firms!$W$5:$W$1004,0),IF(S1560="A",IFERROR(MATCH(1556-$S$2,'AFA Rates'!$R$5:$R$1004,0),""),""))</f>
        <v/>
      </c>
      <c r="U1560">
        <f>IF(S1560="S",T1560,IF(AND(S1560="A",T1560&lt;&gt;""),IFERROR(MATCH(INDEX('AFA Rates'!$A$5:$A$1004,T1560),Firms!$A$5:$A$1004,0),""),""))</f>
        <v/>
      </c>
    </row>
    <row r="1561">
      <c r="A1561" s="78">
        <f>IF($T1561="","",IF($S1561="S",IF(INDEX(Firms!$A$5:$A$1004,$T1561)="","",INDEX(Firms!$A$5:$A$1004,$T1561)),IF(INDEX('AFA Rates'!$A$5:$A$1004,$T1561)="","",INDEX('AFA Rates'!$A$5:$A$1004,$T1561))))</f>
        <v/>
      </c>
      <c r="B1561" s="79">
        <f>IF(OR($T1561="",$U1561=""),IF($T1561="","","Not on Firms tab"),INDEX(Firms!$B$5:$B$1004,$U1561)&amp;"")</f>
        <v/>
      </c>
      <c r="C1561" s="78">
        <f>IF($T1561="","",IF($S1561="S","Standard",INDEX('AFA Rates'!$B$5:$B$1004,$T1561)&amp;""))</f>
        <v/>
      </c>
      <c r="D1561" s="88">
        <f>IF($T1561="","",IF($S1561="S",IF(INDEX(Firms!$E$5:$E$1004,$T1561)="","",INDEX(Firms!$E$5:$E$1004,$T1561)),IF(INDEX('AFA Rates'!$C$5:$C$1004,$T1561)="","",INDEX('AFA Rates'!$C$5:$C$1004,$T1561))))</f>
        <v/>
      </c>
      <c r="E1561" s="88">
        <f>IF($T1561="","",IF($S1561="S",IF(""="","",""),IF(INDEX('AFA Rates'!$D$5:$D$1004,$T1561)="","",INDEX('AFA Rates'!$D$5:$D$1004,$T1561))))</f>
        <v/>
      </c>
      <c r="F1561" s="79">
        <f>IF($T1561="","",IF($S1561="S",IF(INDEX(Firms!$O$5:$O$1004,$T1561)="","",INDEX(Firms!$O$5:$O$1004,$T1561)),IF(INDEX('AFA Rates'!$O$5:$O$1004,$T1561)="","",INDEX('AFA Rates'!$O$5:$O$1004,$T1561))))</f>
        <v/>
      </c>
      <c r="G1561" s="50">
        <f>IF($T1561="","",IF($S1561="S",IF(INDEX(Firms!$F$5:$F$1004,$T1561)="","",INDEX(Firms!$F$5:$F$1004,$T1561)),IF(INDEX('AFA Rates'!$E$5:$E$1004,$T1561)="","",INDEX('AFA Rates'!$E$5:$E$1004,$T1561))))</f>
        <v/>
      </c>
      <c r="H1561" s="50">
        <f>IF($T1561="","",IF($S1561="S",IF(INDEX(Firms!$G$5:$G$1004,$T1561)="","",INDEX(Firms!$G$5:$G$1004,$T1561)),IF(INDEX('AFA Rates'!$F$5:$F$1004,$T1561)="","",INDEX('AFA Rates'!$F$5:$F$1004,$T1561))))</f>
        <v/>
      </c>
      <c r="I1561" s="50">
        <f>IF($T1561="","",IF($S1561="S",IF(INDEX(Firms!$H$5:$H$1004,$T1561)="","",INDEX(Firms!$H$5:$H$1004,$T1561)),IF(INDEX('AFA Rates'!$G$5:$G$1004,$T1561)="","",INDEX('AFA Rates'!$G$5:$G$1004,$T1561))))</f>
        <v/>
      </c>
      <c r="J1561" s="50">
        <f>IF($T1561="","",IF($S1561="S",IF(INDEX(Firms!$I$5:$I$1004,$T1561)="","",INDEX(Firms!$I$5:$I$1004,$T1561)),IF(INDEX('AFA Rates'!$H$5:$H$1004,$T1561)="","",INDEX('AFA Rates'!$H$5:$H$1004,$T1561))))</f>
        <v/>
      </c>
      <c r="K1561" s="50">
        <f>IF($T1561="","",IF($S1561="S",IF(INDEX(Firms!$J$5:$J$1004,$T1561)="","",INDEX(Firms!$J$5:$J$1004,$T1561)),IF(INDEX('AFA Rates'!$I$5:$I$1004,$T1561)="","",INDEX('AFA Rates'!$I$5:$I$1004,$T1561))))</f>
        <v/>
      </c>
      <c r="L1561" s="50">
        <f>IF($T1561="","",IF($S1561="S",IF(INDEX(Firms!$K$5:$K$1004,$T1561)="","",INDEX(Firms!$K$5:$K$1004,$T1561)),IF(INDEX('AFA Rates'!$J$5:$J$1004,$T1561)="","",INDEX('AFA Rates'!$J$5:$J$1004,$T1561))))</f>
        <v/>
      </c>
      <c r="M1561" s="50">
        <f>IF($T1561="","",IF($S1561="S",IF(INDEX(Firms!$L$5:$L$1004,$T1561)="","",INDEX(Firms!$L$5:$L$1004,$T1561)),IF(INDEX('AFA Rates'!$K$5:$K$1004,$T1561)="","",INDEX('AFA Rates'!$K$5:$K$1004,$T1561))))</f>
        <v/>
      </c>
      <c r="N1561" s="50">
        <f>IF($T1561="","",IF($S1561="S",IF(INDEX(Firms!$M$5:$M$1004,$T1561)="","",INDEX(Firms!$M$5:$M$1004,$T1561)),IF(INDEX('AFA Rates'!$L$5:$L$1004,$T1561)="","",INDEX('AFA Rates'!$L$5:$L$1004,$T1561))))</f>
        <v/>
      </c>
      <c r="O1561" s="78">
        <f>IF(OR($T1561="",$U1561=""),"",IF(INDEX(Firms!$C$5:$C$1004,$U1561)="","",INDEX(Firms!$C$5:$C$1004,$U1561)))</f>
        <v/>
      </c>
      <c r="P1561" s="79">
        <f>IF(OR($T1561="",$U1561=""),"",IF(INDEX(Firms!$N$5:$N$1004,$U1561)="","",INDEX(Firms!$N$5:$N$1004,$U1561)))</f>
        <v/>
      </c>
      <c r="Q1561" s="78">
        <f>IF($T1561="","",IF($S1561="S",IF(INDEX(Firms!$T$5:$T$1004,$T1561)="","",INDEX(Firms!$T$5:$T$1004,$T1561)),IF(INDEX('AFA Rates'!$M$5:$M$1004,$T1561)="","",INDEX('AFA Rates'!$M$5:$M$1004,$T1561))))</f>
        <v/>
      </c>
      <c r="S1561">
        <f>IF(1557&lt;=$S$2,"S",IF(1557&lt;=$S$2+$T$2,"A",""))</f>
        <v/>
      </c>
      <c r="T1561">
        <f>IF(S1561="S",MATCH(1557,Firms!$W$5:$W$1004,0),IF(S1561="A",IFERROR(MATCH(1557-$S$2,'AFA Rates'!$R$5:$R$1004,0),""),""))</f>
        <v/>
      </c>
      <c r="U1561">
        <f>IF(S1561="S",T1561,IF(AND(S1561="A",T1561&lt;&gt;""),IFERROR(MATCH(INDEX('AFA Rates'!$A$5:$A$1004,T1561),Firms!$A$5:$A$1004,0),""),""))</f>
        <v/>
      </c>
    </row>
    <row r="1562">
      <c r="A1562" s="78">
        <f>IF($T1562="","",IF($S1562="S",IF(INDEX(Firms!$A$5:$A$1004,$T1562)="","",INDEX(Firms!$A$5:$A$1004,$T1562)),IF(INDEX('AFA Rates'!$A$5:$A$1004,$T1562)="","",INDEX('AFA Rates'!$A$5:$A$1004,$T1562))))</f>
        <v/>
      </c>
      <c r="B1562" s="79">
        <f>IF(OR($T1562="",$U1562=""),IF($T1562="","","Not on Firms tab"),INDEX(Firms!$B$5:$B$1004,$U1562)&amp;"")</f>
        <v/>
      </c>
      <c r="C1562" s="78">
        <f>IF($T1562="","",IF($S1562="S","Standard",INDEX('AFA Rates'!$B$5:$B$1004,$T1562)&amp;""))</f>
        <v/>
      </c>
      <c r="D1562" s="88">
        <f>IF($T1562="","",IF($S1562="S",IF(INDEX(Firms!$E$5:$E$1004,$T1562)="","",INDEX(Firms!$E$5:$E$1004,$T1562)),IF(INDEX('AFA Rates'!$C$5:$C$1004,$T1562)="","",INDEX('AFA Rates'!$C$5:$C$1004,$T1562))))</f>
        <v/>
      </c>
      <c r="E1562" s="88">
        <f>IF($T1562="","",IF($S1562="S",IF(""="","",""),IF(INDEX('AFA Rates'!$D$5:$D$1004,$T1562)="","",INDEX('AFA Rates'!$D$5:$D$1004,$T1562))))</f>
        <v/>
      </c>
      <c r="F1562" s="79">
        <f>IF($T1562="","",IF($S1562="S",IF(INDEX(Firms!$O$5:$O$1004,$T1562)="","",INDEX(Firms!$O$5:$O$1004,$T1562)),IF(INDEX('AFA Rates'!$O$5:$O$1004,$T1562)="","",INDEX('AFA Rates'!$O$5:$O$1004,$T1562))))</f>
        <v/>
      </c>
      <c r="G1562" s="50">
        <f>IF($T1562="","",IF($S1562="S",IF(INDEX(Firms!$F$5:$F$1004,$T1562)="","",INDEX(Firms!$F$5:$F$1004,$T1562)),IF(INDEX('AFA Rates'!$E$5:$E$1004,$T1562)="","",INDEX('AFA Rates'!$E$5:$E$1004,$T1562))))</f>
        <v/>
      </c>
      <c r="H1562" s="50">
        <f>IF($T1562="","",IF($S1562="S",IF(INDEX(Firms!$G$5:$G$1004,$T1562)="","",INDEX(Firms!$G$5:$G$1004,$T1562)),IF(INDEX('AFA Rates'!$F$5:$F$1004,$T1562)="","",INDEX('AFA Rates'!$F$5:$F$1004,$T1562))))</f>
        <v/>
      </c>
      <c r="I1562" s="50">
        <f>IF($T1562="","",IF($S1562="S",IF(INDEX(Firms!$H$5:$H$1004,$T1562)="","",INDEX(Firms!$H$5:$H$1004,$T1562)),IF(INDEX('AFA Rates'!$G$5:$G$1004,$T1562)="","",INDEX('AFA Rates'!$G$5:$G$1004,$T1562))))</f>
        <v/>
      </c>
      <c r="J1562" s="50">
        <f>IF($T1562="","",IF($S1562="S",IF(INDEX(Firms!$I$5:$I$1004,$T1562)="","",INDEX(Firms!$I$5:$I$1004,$T1562)),IF(INDEX('AFA Rates'!$H$5:$H$1004,$T1562)="","",INDEX('AFA Rates'!$H$5:$H$1004,$T1562))))</f>
        <v/>
      </c>
      <c r="K1562" s="50">
        <f>IF($T1562="","",IF($S1562="S",IF(INDEX(Firms!$J$5:$J$1004,$T1562)="","",INDEX(Firms!$J$5:$J$1004,$T1562)),IF(INDEX('AFA Rates'!$I$5:$I$1004,$T1562)="","",INDEX('AFA Rates'!$I$5:$I$1004,$T1562))))</f>
        <v/>
      </c>
      <c r="L1562" s="50">
        <f>IF($T1562="","",IF($S1562="S",IF(INDEX(Firms!$K$5:$K$1004,$T1562)="","",INDEX(Firms!$K$5:$K$1004,$T1562)),IF(INDEX('AFA Rates'!$J$5:$J$1004,$T1562)="","",INDEX('AFA Rates'!$J$5:$J$1004,$T1562))))</f>
        <v/>
      </c>
      <c r="M1562" s="50">
        <f>IF($T1562="","",IF($S1562="S",IF(INDEX(Firms!$L$5:$L$1004,$T1562)="","",INDEX(Firms!$L$5:$L$1004,$T1562)),IF(INDEX('AFA Rates'!$K$5:$K$1004,$T1562)="","",INDEX('AFA Rates'!$K$5:$K$1004,$T1562))))</f>
        <v/>
      </c>
      <c r="N1562" s="50">
        <f>IF($T1562="","",IF($S1562="S",IF(INDEX(Firms!$M$5:$M$1004,$T1562)="","",INDEX(Firms!$M$5:$M$1004,$T1562)),IF(INDEX('AFA Rates'!$L$5:$L$1004,$T1562)="","",INDEX('AFA Rates'!$L$5:$L$1004,$T1562))))</f>
        <v/>
      </c>
      <c r="O1562" s="78">
        <f>IF(OR($T1562="",$U1562=""),"",IF(INDEX(Firms!$C$5:$C$1004,$U1562)="","",INDEX(Firms!$C$5:$C$1004,$U1562)))</f>
        <v/>
      </c>
      <c r="P1562" s="79">
        <f>IF(OR($T1562="",$U1562=""),"",IF(INDEX(Firms!$N$5:$N$1004,$U1562)="","",INDEX(Firms!$N$5:$N$1004,$U1562)))</f>
        <v/>
      </c>
      <c r="Q1562" s="78">
        <f>IF($T1562="","",IF($S1562="S",IF(INDEX(Firms!$T$5:$T$1004,$T1562)="","",INDEX(Firms!$T$5:$T$1004,$T1562)),IF(INDEX('AFA Rates'!$M$5:$M$1004,$T1562)="","",INDEX('AFA Rates'!$M$5:$M$1004,$T1562))))</f>
        <v/>
      </c>
      <c r="S1562">
        <f>IF(1558&lt;=$S$2,"S",IF(1558&lt;=$S$2+$T$2,"A",""))</f>
        <v/>
      </c>
      <c r="T1562">
        <f>IF(S1562="S",MATCH(1558,Firms!$W$5:$W$1004,0),IF(S1562="A",IFERROR(MATCH(1558-$S$2,'AFA Rates'!$R$5:$R$1004,0),""),""))</f>
        <v/>
      </c>
      <c r="U1562">
        <f>IF(S1562="S",T1562,IF(AND(S1562="A",T1562&lt;&gt;""),IFERROR(MATCH(INDEX('AFA Rates'!$A$5:$A$1004,T1562),Firms!$A$5:$A$1004,0),""),""))</f>
        <v/>
      </c>
    </row>
    <row r="1563">
      <c r="A1563" s="78">
        <f>IF($T1563="","",IF($S1563="S",IF(INDEX(Firms!$A$5:$A$1004,$T1563)="","",INDEX(Firms!$A$5:$A$1004,$T1563)),IF(INDEX('AFA Rates'!$A$5:$A$1004,$T1563)="","",INDEX('AFA Rates'!$A$5:$A$1004,$T1563))))</f>
        <v/>
      </c>
      <c r="B1563" s="79">
        <f>IF(OR($T1563="",$U1563=""),IF($T1563="","","Not on Firms tab"),INDEX(Firms!$B$5:$B$1004,$U1563)&amp;"")</f>
        <v/>
      </c>
      <c r="C1563" s="78">
        <f>IF($T1563="","",IF($S1563="S","Standard",INDEX('AFA Rates'!$B$5:$B$1004,$T1563)&amp;""))</f>
        <v/>
      </c>
      <c r="D1563" s="88">
        <f>IF($T1563="","",IF($S1563="S",IF(INDEX(Firms!$E$5:$E$1004,$T1563)="","",INDEX(Firms!$E$5:$E$1004,$T1563)),IF(INDEX('AFA Rates'!$C$5:$C$1004,$T1563)="","",INDEX('AFA Rates'!$C$5:$C$1004,$T1563))))</f>
        <v/>
      </c>
      <c r="E1563" s="88">
        <f>IF($T1563="","",IF($S1563="S",IF(""="","",""),IF(INDEX('AFA Rates'!$D$5:$D$1004,$T1563)="","",INDEX('AFA Rates'!$D$5:$D$1004,$T1563))))</f>
        <v/>
      </c>
      <c r="F1563" s="79">
        <f>IF($T1563="","",IF($S1563="S",IF(INDEX(Firms!$O$5:$O$1004,$T1563)="","",INDEX(Firms!$O$5:$O$1004,$T1563)),IF(INDEX('AFA Rates'!$O$5:$O$1004,$T1563)="","",INDEX('AFA Rates'!$O$5:$O$1004,$T1563))))</f>
        <v/>
      </c>
      <c r="G1563" s="50">
        <f>IF($T1563="","",IF($S1563="S",IF(INDEX(Firms!$F$5:$F$1004,$T1563)="","",INDEX(Firms!$F$5:$F$1004,$T1563)),IF(INDEX('AFA Rates'!$E$5:$E$1004,$T1563)="","",INDEX('AFA Rates'!$E$5:$E$1004,$T1563))))</f>
        <v/>
      </c>
      <c r="H1563" s="50">
        <f>IF($T1563="","",IF($S1563="S",IF(INDEX(Firms!$G$5:$G$1004,$T1563)="","",INDEX(Firms!$G$5:$G$1004,$T1563)),IF(INDEX('AFA Rates'!$F$5:$F$1004,$T1563)="","",INDEX('AFA Rates'!$F$5:$F$1004,$T1563))))</f>
        <v/>
      </c>
      <c r="I1563" s="50">
        <f>IF($T1563="","",IF($S1563="S",IF(INDEX(Firms!$H$5:$H$1004,$T1563)="","",INDEX(Firms!$H$5:$H$1004,$T1563)),IF(INDEX('AFA Rates'!$G$5:$G$1004,$T1563)="","",INDEX('AFA Rates'!$G$5:$G$1004,$T1563))))</f>
        <v/>
      </c>
      <c r="J1563" s="50">
        <f>IF($T1563="","",IF($S1563="S",IF(INDEX(Firms!$I$5:$I$1004,$T1563)="","",INDEX(Firms!$I$5:$I$1004,$T1563)),IF(INDEX('AFA Rates'!$H$5:$H$1004,$T1563)="","",INDEX('AFA Rates'!$H$5:$H$1004,$T1563))))</f>
        <v/>
      </c>
      <c r="K1563" s="50">
        <f>IF($T1563="","",IF($S1563="S",IF(INDEX(Firms!$J$5:$J$1004,$T1563)="","",INDEX(Firms!$J$5:$J$1004,$T1563)),IF(INDEX('AFA Rates'!$I$5:$I$1004,$T1563)="","",INDEX('AFA Rates'!$I$5:$I$1004,$T1563))))</f>
        <v/>
      </c>
      <c r="L1563" s="50">
        <f>IF($T1563="","",IF($S1563="S",IF(INDEX(Firms!$K$5:$K$1004,$T1563)="","",INDEX(Firms!$K$5:$K$1004,$T1563)),IF(INDEX('AFA Rates'!$J$5:$J$1004,$T1563)="","",INDEX('AFA Rates'!$J$5:$J$1004,$T1563))))</f>
        <v/>
      </c>
      <c r="M1563" s="50">
        <f>IF($T1563="","",IF($S1563="S",IF(INDEX(Firms!$L$5:$L$1004,$T1563)="","",INDEX(Firms!$L$5:$L$1004,$T1563)),IF(INDEX('AFA Rates'!$K$5:$K$1004,$T1563)="","",INDEX('AFA Rates'!$K$5:$K$1004,$T1563))))</f>
        <v/>
      </c>
      <c r="N1563" s="50">
        <f>IF($T1563="","",IF($S1563="S",IF(INDEX(Firms!$M$5:$M$1004,$T1563)="","",INDEX(Firms!$M$5:$M$1004,$T1563)),IF(INDEX('AFA Rates'!$L$5:$L$1004,$T1563)="","",INDEX('AFA Rates'!$L$5:$L$1004,$T1563))))</f>
        <v/>
      </c>
      <c r="O1563" s="78">
        <f>IF(OR($T1563="",$U1563=""),"",IF(INDEX(Firms!$C$5:$C$1004,$U1563)="","",INDEX(Firms!$C$5:$C$1004,$U1563)))</f>
        <v/>
      </c>
      <c r="P1563" s="79">
        <f>IF(OR($T1563="",$U1563=""),"",IF(INDEX(Firms!$N$5:$N$1004,$U1563)="","",INDEX(Firms!$N$5:$N$1004,$U1563)))</f>
        <v/>
      </c>
      <c r="Q1563" s="78">
        <f>IF($T1563="","",IF($S1563="S",IF(INDEX(Firms!$T$5:$T$1004,$T1563)="","",INDEX(Firms!$T$5:$T$1004,$T1563)),IF(INDEX('AFA Rates'!$M$5:$M$1004,$T1563)="","",INDEX('AFA Rates'!$M$5:$M$1004,$T1563))))</f>
        <v/>
      </c>
      <c r="S1563">
        <f>IF(1559&lt;=$S$2,"S",IF(1559&lt;=$S$2+$T$2,"A",""))</f>
        <v/>
      </c>
      <c r="T1563">
        <f>IF(S1563="S",MATCH(1559,Firms!$W$5:$W$1004,0),IF(S1563="A",IFERROR(MATCH(1559-$S$2,'AFA Rates'!$R$5:$R$1004,0),""),""))</f>
        <v/>
      </c>
      <c r="U1563">
        <f>IF(S1563="S",T1563,IF(AND(S1563="A",T1563&lt;&gt;""),IFERROR(MATCH(INDEX('AFA Rates'!$A$5:$A$1004,T1563),Firms!$A$5:$A$1004,0),""),""))</f>
        <v/>
      </c>
    </row>
    <row r="1564">
      <c r="A1564" s="78">
        <f>IF($T1564="","",IF($S1564="S",IF(INDEX(Firms!$A$5:$A$1004,$T1564)="","",INDEX(Firms!$A$5:$A$1004,$T1564)),IF(INDEX('AFA Rates'!$A$5:$A$1004,$T1564)="","",INDEX('AFA Rates'!$A$5:$A$1004,$T1564))))</f>
        <v/>
      </c>
      <c r="B1564" s="79">
        <f>IF(OR($T1564="",$U1564=""),IF($T1564="","","Not on Firms tab"),INDEX(Firms!$B$5:$B$1004,$U1564)&amp;"")</f>
        <v/>
      </c>
      <c r="C1564" s="78">
        <f>IF($T1564="","",IF($S1564="S","Standard",INDEX('AFA Rates'!$B$5:$B$1004,$T1564)&amp;""))</f>
        <v/>
      </c>
      <c r="D1564" s="88">
        <f>IF($T1564="","",IF($S1564="S",IF(INDEX(Firms!$E$5:$E$1004,$T1564)="","",INDEX(Firms!$E$5:$E$1004,$T1564)),IF(INDEX('AFA Rates'!$C$5:$C$1004,$T1564)="","",INDEX('AFA Rates'!$C$5:$C$1004,$T1564))))</f>
        <v/>
      </c>
      <c r="E1564" s="88">
        <f>IF($T1564="","",IF($S1564="S",IF(""="","",""),IF(INDEX('AFA Rates'!$D$5:$D$1004,$T1564)="","",INDEX('AFA Rates'!$D$5:$D$1004,$T1564))))</f>
        <v/>
      </c>
      <c r="F1564" s="79">
        <f>IF($T1564="","",IF($S1564="S",IF(INDEX(Firms!$O$5:$O$1004,$T1564)="","",INDEX(Firms!$O$5:$O$1004,$T1564)),IF(INDEX('AFA Rates'!$O$5:$O$1004,$T1564)="","",INDEX('AFA Rates'!$O$5:$O$1004,$T1564))))</f>
        <v/>
      </c>
      <c r="G1564" s="50">
        <f>IF($T1564="","",IF($S1564="S",IF(INDEX(Firms!$F$5:$F$1004,$T1564)="","",INDEX(Firms!$F$5:$F$1004,$T1564)),IF(INDEX('AFA Rates'!$E$5:$E$1004,$T1564)="","",INDEX('AFA Rates'!$E$5:$E$1004,$T1564))))</f>
        <v/>
      </c>
      <c r="H1564" s="50">
        <f>IF($T1564="","",IF($S1564="S",IF(INDEX(Firms!$G$5:$G$1004,$T1564)="","",INDEX(Firms!$G$5:$G$1004,$T1564)),IF(INDEX('AFA Rates'!$F$5:$F$1004,$T1564)="","",INDEX('AFA Rates'!$F$5:$F$1004,$T1564))))</f>
        <v/>
      </c>
      <c r="I1564" s="50">
        <f>IF($T1564="","",IF($S1564="S",IF(INDEX(Firms!$H$5:$H$1004,$T1564)="","",INDEX(Firms!$H$5:$H$1004,$T1564)),IF(INDEX('AFA Rates'!$G$5:$G$1004,$T1564)="","",INDEX('AFA Rates'!$G$5:$G$1004,$T1564))))</f>
        <v/>
      </c>
      <c r="J1564" s="50">
        <f>IF($T1564="","",IF($S1564="S",IF(INDEX(Firms!$I$5:$I$1004,$T1564)="","",INDEX(Firms!$I$5:$I$1004,$T1564)),IF(INDEX('AFA Rates'!$H$5:$H$1004,$T1564)="","",INDEX('AFA Rates'!$H$5:$H$1004,$T1564))))</f>
        <v/>
      </c>
      <c r="K1564" s="50">
        <f>IF($T1564="","",IF($S1564="S",IF(INDEX(Firms!$J$5:$J$1004,$T1564)="","",INDEX(Firms!$J$5:$J$1004,$T1564)),IF(INDEX('AFA Rates'!$I$5:$I$1004,$T1564)="","",INDEX('AFA Rates'!$I$5:$I$1004,$T1564))))</f>
        <v/>
      </c>
      <c r="L1564" s="50">
        <f>IF($T1564="","",IF($S1564="S",IF(INDEX(Firms!$K$5:$K$1004,$T1564)="","",INDEX(Firms!$K$5:$K$1004,$T1564)),IF(INDEX('AFA Rates'!$J$5:$J$1004,$T1564)="","",INDEX('AFA Rates'!$J$5:$J$1004,$T1564))))</f>
        <v/>
      </c>
      <c r="M1564" s="50">
        <f>IF($T1564="","",IF($S1564="S",IF(INDEX(Firms!$L$5:$L$1004,$T1564)="","",INDEX(Firms!$L$5:$L$1004,$T1564)),IF(INDEX('AFA Rates'!$K$5:$K$1004,$T1564)="","",INDEX('AFA Rates'!$K$5:$K$1004,$T1564))))</f>
        <v/>
      </c>
      <c r="N1564" s="50">
        <f>IF($T1564="","",IF($S1564="S",IF(INDEX(Firms!$M$5:$M$1004,$T1564)="","",INDEX(Firms!$M$5:$M$1004,$T1564)),IF(INDEX('AFA Rates'!$L$5:$L$1004,$T1564)="","",INDEX('AFA Rates'!$L$5:$L$1004,$T1564))))</f>
        <v/>
      </c>
      <c r="O1564" s="78">
        <f>IF(OR($T1564="",$U1564=""),"",IF(INDEX(Firms!$C$5:$C$1004,$U1564)="","",INDEX(Firms!$C$5:$C$1004,$U1564)))</f>
        <v/>
      </c>
      <c r="P1564" s="79">
        <f>IF(OR($T1564="",$U1564=""),"",IF(INDEX(Firms!$N$5:$N$1004,$U1564)="","",INDEX(Firms!$N$5:$N$1004,$U1564)))</f>
        <v/>
      </c>
      <c r="Q1564" s="78">
        <f>IF($T1564="","",IF($S1564="S",IF(INDEX(Firms!$T$5:$T$1004,$T1564)="","",INDEX(Firms!$T$5:$T$1004,$T1564)),IF(INDEX('AFA Rates'!$M$5:$M$1004,$T1564)="","",INDEX('AFA Rates'!$M$5:$M$1004,$T1564))))</f>
        <v/>
      </c>
      <c r="S1564">
        <f>IF(1560&lt;=$S$2,"S",IF(1560&lt;=$S$2+$T$2,"A",""))</f>
        <v/>
      </c>
      <c r="T1564">
        <f>IF(S1564="S",MATCH(1560,Firms!$W$5:$W$1004,0),IF(S1564="A",IFERROR(MATCH(1560-$S$2,'AFA Rates'!$R$5:$R$1004,0),""),""))</f>
        <v/>
      </c>
      <c r="U1564">
        <f>IF(S1564="S",T1564,IF(AND(S1564="A",T1564&lt;&gt;""),IFERROR(MATCH(INDEX('AFA Rates'!$A$5:$A$1004,T1564),Firms!$A$5:$A$1004,0),""),""))</f>
        <v/>
      </c>
    </row>
    <row r="1565">
      <c r="A1565" s="78">
        <f>IF($T1565="","",IF($S1565="S",IF(INDEX(Firms!$A$5:$A$1004,$T1565)="","",INDEX(Firms!$A$5:$A$1004,$T1565)),IF(INDEX('AFA Rates'!$A$5:$A$1004,$T1565)="","",INDEX('AFA Rates'!$A$5:$A$1004,$T1565))))</f>
        <v/>
      </c>
      <c r="B1565" s="79">
        <f>IF(OR($T1565="",$U1565=""),IF($T1565="","","Not on Firms tab"),INDEX(Firms!$B$5:$B$1004,$U1565)&amp;"")</f>
        <v/>
      </c>
      <c r="C1565" s="78">
        <f>IF($T1565="","",IF($S1565="S","Standard",INDEX('AFA Rates'!$B$5:$B$1004,$T1565)&amp;""))</f>
        <v/>
      </c>
      <c r="D1565" s="88">
        <f>IF($T1565="","",IF($S1565="S",IF(INDEX(Firms!$E$5:$E$1004,$T1565)="","",INDEX(Firms!$E$5:$E$1004,$T1565)),IF(INDEX('AFA Rates'!$C$5:$C$1004,$T1565)="","",INDEX('AFA Rates'!$C$5:$C$1004,$T1565))))</f>
        <v/>
      </c>
      <c r="E1565" s="88">
        <f>IF($T1565="","",IF($S1565="S",IF(""="","",""),IF(INDEX('AFA Rates'!$D$5:$D$1004,$T1565)="","",INDEX('AFA Rates'!$D$5:$D$1004,$T1565))))</f>
        <v/>
      </c>
      <c r="F1565" s="79">
        <f>IF($T1565="","",IF($S1565="S",IF(INDEX(Firms!$O$5:$O$1004,$T1565)="","",INDEX(Firms!$O$5:$O$1004,$T1565)),IF(INDEX('AFA Rates'!$O$5:$O$1004,$T1565)="","",INDEX('AFA Rates'!$O$5:$O$1004,$T1565))))</f>
        <v/>
      </c>
      <c r="G1565" s="50">
        <f>IF($T1565="","",IF($S1565="S",IF(INDEX(Firms!$F$5:$F$1004,$T1565)="","",INDEX(Firms!$F$5:$F$1004,$T1565)),IF(INDEX('AFA Rates'!$E$5:$E$1004,$T1565)="","",INDEX('AFA Rates'!$E$5:$E$1004,$T1565))))</f>
        <v/>
      </c>
      <c r="H1565" s="50">
        <f>IF($T1565="","",IF($S1565="S",IF(INDEX(Firms!$G$5:$G$1004,$T1565)="","",INDEX(Firms!$G$5:$G$1004,$T1565)),IF(INDEX('AFA Rates'!$F$5:$F$1004,$T1565)="","",INDEX('AFA Rates'!$F$5:$F$1004,$T1565))))</f>
        <v/>
      </c>
      <c r="I1565" s="50">
        <f>IF($T1565="","",IF($S1565="S",IF(INDEX(Firms!$H$5:$H$1004,$T1565)="","",INDEX(Firms!$H$5:$H$1004,$T1565)),IF(INDEX('AFA Rates'!$G$5:$G$1004,$T1565)="","",INDEX('AFA Rates'!$G$5:$G$1004,$T1565))))</f>
        <v/>
      </c>
      <c r="J1565" s="50">
        <f>IF($T1565="","",IF($S1565="S",IF(INDEX(Firms!$I$5:$I$1004,$T1565)="","",INDEX(Firms!$I$5:$I$1004,$T1565)),IF(INDEX('AFA Rates'!$H$5:$H$1004,$T1565)="","",INDEX('AFA Rates'!$H$5:$H$1004,$T1565))))</f>
        <v/>
      </c>
      <c r="K1565" s="50">
        <f>IF($T1565="","",IF($S1565="S",IF(INDEX(Firms!$J$5:$J$1004,$T1565)="","",INDEX(Firms!$J$5:$J$1004,$T1565)),IF(INDEX('AFA Rates'!$I$5:$I$1004,$T1565)="","",INDEX('AFA Rates'!$I$5:$I$1004,$T1565))))</f>
        <v/>
      </c>
      <c r="L1565" s="50">
        <f>IF($T1565="","",IF($S1565="S",IF(INDEX(Firms!$K$5:$K$1004,$T1565)="","",INDEX(Firms!$K$5:$K$1004,$T1565)),IF(INDEX('AFA Rates'!$J$5:$J$1004,$T1565)="","",INDEX('AFA Rates'!$J$5:$J$1004,$T1565))))</f>
        <v/>
      </c>
      <c r="M1565" s="50">
        <f>IF($T1565="","",IF($S1565="S",IF(INDEX(Firms!$L$5:$L$1004,$T1565)="","",INDEX(Firms!$L$5:$L$1004,$T1565)),IF(INDEX('AFA Rates'!$K$5:$K$1004,$T1565)="","",INDEX('AFA Rates'!$K$5:$K$1004,$T1565))))</f>
        <v/>
      </c>
      <c r="N1565" s="50">
        <f>IF($T1565="","",IF($S1565="S",IF(INDEX(Firms!$M$5:$M$1004,$T1565)="","",INDEX(Firms!$M$5:$M$1004,$T1565)),IF(INDEX('AFA Rates'!$L$5:$L$1004,$T1565)="","",INDEX('AFA Rates'!$L$5:$L$1004,$T1565))))</f>
        <v/>
      </c>
      <c r="O1565" s="78">
        <f>IF(OR($T1565="",$U1565=""),"",IF(INDEX(Firms!$C$5:$C$1004,$U1565)="","",INDEX(Firms!$C$5:$C$1004,$U1565)))</f>
        <v/>
      </c>
      <c r="P1565" s="79">
        <f>IF(OR($T1565="",$U1565=""),"",IF(INDEX(Firms!$N$5:$N$1004,$U1565)="","",INDEX(Firms!$N$5:$N$1004,$U1565)))</f>
        <v/>
      </c>
      <c r="Q1565" s="78">
        <f>IF($T1565="","",IF($S1565="S",IF(INDEX(Firms!$T$5:$T$1004,$T1565)="","",INDEX(Firms!$T$5:$T$1004,$T1565)),IF(INDEX('AFA Rates'!$M$5:$M$1004,$T1565)="","",INDEX('AFA Rates'!$M$5:$M$1004,$T1565))))</f>
        <v/>
      </c>
      <c r="S1565">
        <f>IF(1561&lt;=$S$2,"S",IF(1561&lt;=$S$2+$T$2,"A",""))</f>
        <v/>
      </c>
      <c r="T1565">
        <f>IF(S1565="S",MATCH(1561,Firms!$W$5:$W$1004,0),IF(S1565="A",IFERROR(MATCH(1561-$S$2,'AFA Rates'!$R$5:$R$1004,0),""),""))</f>
        <v/>
      </c>
      <c r="U1565">
        <f>IF(S1565="S",T1565,IF(AND(S1565="A",T1565&lt;&gt;""),IFERROR(MATCH(INDEX('AFA Rates'!$A$5:$A$1004,T1565),Firms!$A$5:$A$1004,0),""),""))</f>
        <v/>
      </c>
    </row>
    <row r="1566">
      <c r="A1566" s="78">
        <f>IF($T1566="","",IF($S1566="S",IF(INDEX(Firms!$A$5:$A$1004,$T1566)="","",INDEX(Firms!$A$5:$A$1004,$T1566)),IF(INDEX('AFA Rates'!$A$5:$A$1004,$T1566)="","",INDEX('AFA Rates'!$A$5:$A$1004,$T1566))))</f>
        <v/>
      </c>
      <c r="B1566" s="79">
        <f>IF(OR($T1566="",$U1566=""),IF($T1566="","","Not on Firms tab"),INDEX(Firms!$B$5:$B$1004,$U1566)&amp;"")</f>
        <v/>
      </c>
      <c r="C1566" s="78">
        <f>IF($T1566="","",IF($S1566="S","Standard",INDEX('AFA Rates'!$B$5:$B$1004,$T1566)&amp;""))</f>
        <v/>
      </c>
      <c r="D1566" s="88">
        <f>IF($T1566="","",IF($S1566="S",IF(INDEX(Firms!$E$5:$E$1004,$T1566)="","",INDEX(Firms!$E$5:$E$1004,$T1566)),IF(INDEX('AFA Rates'!$C$5:$C$1004,$T1566)="","",INDEX('AFA Rates'!$C$5:$C$1004,$T1566))))</f>
        <v/>
      </c>
      <c r="E1566" s="88">
        <f>IF($T1566="","",IF($S1566="S",IF(""="","",""),IF(INDEX('AFA Rates'!$D$5:$D$1004,$T1566)="","",INDEX('AFA Rates'!$D$5:$D$1004,$T1566))))</f>
        <v/>
      </c>
      <c r="F1566" s="79">
        <f>IF($T1566="","",IF($S1566="S",IF(INDEX(Firms!$O$5:$O$1004,$T1566)="","",INDEX(Firms!$O$5:$O$1004,$T1566)),IF(INDEX('AFA Rates'!$O$5:$O$1004,$T1566)="","",INDEX('AFA Rates'!$O$5:$O$1004,$T1566))))</f>
        <v/>
      </c>
      <c r="G1566" s="50">
        <f>IF($T1566="","",IF($S1566="S",IF(INDEX(Firms!$F$5:$F$1004,$T1566)="","",INDEX(Firms!$F$5:$F$1004,$T1566)),IF(INDEX('AFA Rates'!$E$5:$E$1004,$T1566)="","",INDEX('AFA Rates'!$E$5:$E$1004,$T1566))))</f>
        <v/>
      </c>
      <c r="H1566" s="50">
        <f>IF($T1566="","",IF($S1566="S",IF(INDEX(Firms!$G$5:$G$1004,$T1566)="","",INDEX(Firms!$G$5:$G$1004,$T1566)),IF(INDEX('AFA Rates'!$F$5:$F$1004,$T1566)="","",INDEX('AFA Rates'!$F$5:$F$1004,$T1566))))</f>
        <v/>
      </c>
      <c r="I1566" s="50">
        <f>IF($T1566="","",IF($S1566="S",IF(INDEX(Firms!$H$5:$H$1004,$T1566)="","",INDEX(Firms!$H$5:$H$1004,$T1566)),IF(INDEX('AFA Rates'!$G$5:$G$1004,$T1566)="","",INDEX('AFA Rates'!$G$5:$G$1004,$T1566))))</f>
        <v/>
      </c>
      <c r="J1566" s="50">
        <f>IF($T1566="","",IF($S1566="S",IF(INDEX(Firms!$I$5:$I$1004,$T1566)="","",INDEX(Firms!$I$5:$I$1004,$T1566)),IF(INDEX('AFA Rates'!$H$5:$H$1004,$T1566)="","",INDEX('AFA Rates'!$H$5:$H$1004,$T1566))))</f>
        <v/>
      </c>
      <c r="K1566" s="50">
        <f>IF($T1566="","",IF($S1566="S",IF(INDEX(Firms!$J$5:$J$1004,$T1566)="","",INDEX(Firms!$J$5:$J$1004,$T1566)),IF(INDEX('AFA Rates'!$I$5:$I$1004,$T1566)="","",INDEX('AFA Rates'!$I$5:$I$1004,$T1566))))</f>
        <v/>
      </c>
      <c r="L1566" s="50">
        <f>IF($T1566="","",IF($S1566="S",IF(INDEX(Firms!$K$5:$K$1004,$T1566)="","",INDEX(Firms!$K$5:$K$1004,$T1566)),IF(INDEX('AFA Rates'!$J$5:$J$1004,$T1566)="","",INDEX('AFA Rates'!$J$5:$J$1004,$T1566))))</f>
        <v/>
      </c>
      <c r="M1566" s="50">
        <f>IF($T1566="","",IF($S1566="S",IF(INDEX(Firms!$L$5:$L$1004,$T1566)="","",INDEX(Firms!$L$5:$L$1004,$T1566)),IF(INDEX('AFA Rates'!$K$5:$K$1004,$T1566)="","",INDEX('AFA Rates'!$K$5:$K$1004,$T1566))))</f>
        <v/>
      </c>
      <c r="N1566" s="50">
        <f>IF($T1566="","",IF($S1566="S",IF(INDEX(Firms!$M$5:$M$1004,$T1566)="","",INDEX(Firms!$M$5:$M$1004,$T1566)),IF(INDEX('AFA Rates'!$L$5:$L$1004,$T1566)="","",INDEX('AFA Rates'!$L$5:$L$1004,$T1566))))</f>
        <v/>
      </c>
      <c r="O1566" s="78">
        <f>IF(OR($T1566="",$U1566=""),"",IF(INDEX(Firms!$C$5:$C$1004,$U1566)="","",INDEX(Firms!$C$5:$C$1004,$U1566)))</f>
        <v/>
      </c>
      <c r="P1566" s="79">
        <f>IF(OR($T1566="",$U1566=""),"",IF(INDEX(Firms!$N$5:$N$1004,$U1566)="","",INDEX(Firms!$N$5:$N$1004,$U1566)))</f>
        <v/>
      </c>
      <c r="Q1566" s="78">
        <f>IF($T1566="","",IF($S1566="S",IF(INDEX(Firms!$T$5:$T$1004,$T1566)="","",INDEX(Firms!$T$5:$T$1004,$T1566)),IF(INDEX('AFA Rates'!$M$5:$M$1004,$T1566)="","",INDEX('AFA Rates'!$M$5:$M$1004,$T1566))))</f>
        <v/>
      </c>
      <c r="S1566">
        <f>IF(1562&lt;=$S$2,"S",IF(1562&lt;=$S$2+$T$2,"A",""))</f>
        <v/>
      </c>
      <c r="T1566">
        <f>IF(S1566="S",MATCH(1562,Firms!$W$5:$W$1004,0),IF(S1566="A",IFERROR(MATCH(1562-$S$2,'AFA Rates'!$R$5:$R$1004,0),""),""))</f>
        <v/>
      </c>
      <c r="U1566">
        <f>IF(S1566="S",T1566,IF(AND(S1566="A",T1566&lt;&gt;""),IFERROR(MATCH(INDEX('AFA Rates'!$A$5:$A$1004,T1566),Firms!$A$5:$A$1004,0),""),""))</f>
        <v/>
      </c>
    </row>
    <row r="1567">
      <c r="A1567" s="78">
        <f>IF($T1567="","",IF($S1567="S",IF(INDEX(Firms!$A$5:$A$1004,$T1567)="","",INDEX(Firms!$A$5:$A$1004,$T1567)),IF(INDEX('AFA Rates'!$A$5:$A$1004,$T1567)="","",INDEX('AFA Rates'!$A$5:$A$1004,$T1567))))</f>
        <v/>
      </c>
      <c r="B1567" s="79">
        <f>IF(OR($T1567="",$U1567=""),IF($T1567="","","Not on Firms tab"),INDEX(Firms!$B$5:$B$1004,$U1567)&amp;"")</f>
        <v/>
      </c>
      <c r="C1567" s="78">
        <f>IF($T1567="","",IF($S1567="S","Standard",INDEX('AFA Rates'!$B$5:$B$1004,$T1567)&amp;""))</f>
        <v/>
      </c>
      <c r="D1567" s="88">
        <f>IF($T1567="","",IF($S1567="S",IF(INDEX(Firms!$E$5:$E$1004,$T1567)="","",INDEX(Firms!$E$5:$E$1004,$T1567)),IF(INDEX('AFA Rates'!$C$5:$C$1004,$T1567)="","",INDEX('AFA Rates'!$C$5:$C$1004,$T1567))))</f>
        <v/>
      </c>
      <c r="E1567" s="88">
        <f>IF($T1567="","",IF($S1567="S",IF(""="","",""),IF(INDEX('AFA Rates'!$D$5:$D$1004,$T1567)="","",INDEX('AFA Rates'!$D$5:$D$1004,$T1567))))</f>
        <v/>
      </c>
      <c r="F1567" s="79">
        <f>IF($T1567="","",IF($S1567="S",IF(INDEX(Firms!$O$5:$O$1004,$T1567)="","",INDEX(Firms!$O$5:$O$1004,$T1567)),IF(INDEX('AFA Rates'!$O$5:$O$1004,$T1567)="","",INDEX('AFA Rates'!$O$5:$O$1004,$T1567))))</f>
        <v/>
      </c>
      <c r="G1567" s="50">
        <f>IF($T1567="","",IF($S1567="S",IF(INDEX(Firms!$F$5:$F$1004,$T1567)="","",INDEX(Firms!$F$5:$F$1004,$T1567)),IF(INDEX('AFA Rates'!$E$5:$E$1004,$T1567)="","",INDEX('AFA Rates'!$E$5:$E$1004,$T1567))))</f>
        <v/>
      </c>
      <c r="H1567" s="50">
        <f>IF($T1567="","",IF($S1567="S",IF(INDEX(Firms!$G$5:$G$1004,$T1567)="","",INDEX(Firms!$G$5:$G$1004,$T1567)),IF(INDEX('AFA Rates'!$F$5:$F$1004,$T1567)="","",INDEX('AFA Rates'!$F$5:$F$1004,$T1567))))</f>
        <v/>
      </c>
      <c r="I1567" s="50">
        <f>IF($T1567="","",IF($S1567="S",IF(INDEX(Firms!$H$5:$H$1004,$T1567)="","",INDEX(Firms!$H$5:$H$1004,$T1567)),IF(INDEX('AFA Rates'!$G$5:$G$1004,$T1567)="","",INDEX('AFA Rates'!$G$5:$G$1004,$T1567))))</f>
        <v/>
      </c>
      <c r="J1567" s="50">
        <f>IF($T1567="","",IF($S1567="S",IF(INDEX(Firms!$I$5:$I$1004,$T1567)="","",INDEX(Firms!$I$5:$I$1004,$T1567)),IF(INDEX('AFA Rates'!$H$5:$H$1004,$T1567)="","",INDEX('AFA Rates'!$H$5:$H$1004,$T1567))))</f>
        <v/>
      </c>
      <c r="K1567" s="50">
        <f>IF($T1567="","",IF($S1567="S",IF(INDEX(Firms!$J$5:$J$1004,$T1567)="","",INDEX(Firms!$J$5:$J$1004,$T1567)),IF(INDEX('AFA Rates'!$I$5:$I$1004,$T1567)="","",INDEX('AFA Rates'!$I$5:$I$1004,$T1567))))</f>
        <v/>
      </c>
      <c r="L1567" s="50">
        <f>IF($T1567="","",IF($S1567="S",IF(INDEX(Firms!$K$5:$K$1004,$T1567)="","",INDEX(Firms!$K$5:$K$1004,$T1567)),IF(INDEX('AFA Rates'!$J$5:$J$1004,$T1567)="","",INDEX('AFA Rates'!$J$5:$J$1004,$T1567))))</f>
        <v/>
      </c>
      <c r="M1567" s="50">
        <f>IF($T1567="","",IF($S1567="S",IF(INDEX(Firms!$L$5:$L$1004,$T1567)="","",INDEX(Firms!$L$5:$L$1004,$T1567)),IF(INDEX('AFA Rates'!$K$5:$K$1004,$T1567)="","",INDEX('AFA Rates'!$K$5:$K$1004,$T1567))))</f>
        <v/>
      </c>
      <c r="N1567" s="50">
        <f>IF($T1567="","",IF($S1567="S",IF(INDEX(Firms!$M$5:$M$1004,$T1567)="","",INDEX(Firms!$M$5:$M$1004,$T1567)),IF(INDEX('AFA Rates'!$L$5:$L$1004,$T1567)="","",INDEX('AFA Rates'!$L$5:$L$1004,$T1567))))</f>
        <v/>
      </c>
      <c r="O1567" s="78">
        <f>IF(OR($T1567="",$U1567=""),"",IF(INDEX(Firms!$C$5:$C$1004,$U1567)="","",INDEX(Firms!$C$5:$C$1004,$U1567)))</f>
        <v/>
      </c>
      <c r="P1567" s="79">
        <f>IF(OR($T1567="",$U1567=""),"",IF(INDEX(Firms!$N$5:$N$1004,$U1567)="","",INDEX(Firms!$N$5:$N$1004,$U1567)))</f>
        <v/>
      </c>
      <c r="Q1567" s="78">
        <f>IF($T1567="","",IF($S1567="S",IF(INDEX(Firms!$T$5:$T$1004,$T1567)="","",INDEX(Firms!$T$5:$T$1004,$T1567)),IF(INDEX('AFA Rates'!$M$5:$M$1004,$T1567)="","",INDEX('AFA Rates'!$M$5:$M$1004,$T1567))))</f>
        <v/>
      </c>
      <c r="S1567">
        <f>IF(1563&lt;=$S$2,"S",IF(1563&lt;=$S$2+$T$2,"A",""))</f>
        <v/>
      </c>
      <c r="T1567">
        <f>IF(S1567="S",MATCH(1563,Firms!$W$5:$W$1004,0),IF(S1567="A",IFERROR(MATCH(1563-$S$2,'AFA Rates'!$R$5:$R$1004,0),""),""))</f>
        <v/>
      </c>
      <c r="U1567">
        <f>IF(S1567="S",T1567,IF(AND(S1567="A",T1567&lt;&gt;""),IFERROR(MATCH(INDEX('AFA Rates'!$A$5:$A$1004,T1567),Firms!$A$5:$A$1004,0),""),""))</f>
        <v/>
      </c>
    </row>
    <row r="1568">
      <c r="A1568" s="78">
        <f>IF($T1568="","",IF($S1568="S",IF(INDEX(Firms!$A$5:$A$1004,$T1568)="","",INDEX(Firms!$A$5:$A$1004,$T1568)),IF(INDEX('AFA Rates'!$A$5:$A$1004,$T1568)="","",INDEX('AFA Rates'!$A$5:$A$1004,$T1568))))</f>
        <v/>
      </c>
      <c r="B1568" s="79">
        <f>IF(OR($T1568="",$U1568=""),IF($T1568="","","Not on Firms tab"),INDEX(Firms!$B$5:$B$1004,$U1568)&amp;"")</f>
        <v/>
      </c>
      <c r="C1568" s="78">
        <f>IF($T1568="","",IF($S1568="S","Standard",INDEX('AFA Rates'!$B$5:$B$1004,$T1568)&amp;""))</f>
        <v/>
      </c>
      <c r="D1568" s="88">
        <f>IF($T1568="","",IF($S1568="S",IF(INDEX(Firms!$E$5:$E$1004,$T1568)="","",INDEX(Firms!$E$5:$E$1004,$T1568)),IF(INDEX('AFA Rates'!$C$5:$C$1004,$T1568)="","",INDEX('AFA Rates'!$C$5:$C$1004,$T1568))))</f>
        <v/>
      </c>
      <c r="E1568" s="88">
        <f>IF($T1568="","",IF($S1568="S",IF(""="","",""),IF(INDEX('AFA Rates'!$D$5:$D$1004,$T1568)="","",INDEX('AFA Rates'!$D$5:$D$1004,$T1568))))</f>
        <v/>
      </c>
      <c r="F1568" s="79">
        <f>IF($T1568="","",IF($S1568="S",IF(INDEX(Firms!$O$5:$O$1004,$T1568)="","",INDEX(Firms!$O$5:$O$1004,$T1568)),IF(INDEX('AFA Rates'!$O$5:$O$1004,$T1568)="","",INDEX('AFA Rates'!$O$5:$O$1004,$T1568))))</f>
        <v/>
      </c>
      <c r="G1568" s="50">
        <f>IF($T1568="","",IF($S1568="S",IF(INDEX(Firms!$F$5:$F$1004,$T1568)="","",INDEX(Firms!$F$5:$F$1004,$T1568)),IF(INDEX('AFA Rates'!$E$5:$E$1004,$T1568)="","",INDEX('AFA Rates'!$E$5:$E$1004,$T1568))))</f>
        <v/>
      </c>
      <c r="H1568" s="50">
        <f>IF($T1568="","",IF($S1568="S",IF(INDEX(Firms!$G$5:$G$1004,$T1568)="","",INDEX(Firms!$G$5:$G$1004,$T1568)),IF(INDEX('AFA Rates'!$F$5:$F$1004,$T1568)="","",INDEX('AFA Rates'!$F$5:$F$1004,$T1568))))</f>
        <v/>
      </c>
      <c r="I1568" s="50">
        <f>IF($T1568="","",IF($S1568="S",IF(INDEX(Firms!$H$5:$H$1004,$T1568)="","",INDEX(Firms!$H$5:$H$1004,$T1568)),IF(INDEX('AFA Rates'!$G$5:$G$1004,$T1568)="","",INDEX('AFA Rates'!$G$5:$G$1004,$T1568))))</f>
        <v/>
      </c>
      <c r="J1568" s="50">
        <f>IF($T1568="","",IF($S1568="S",IF(INDEX(Firms!$I$5:$I$1004,$T1568)="","",INDEX(Firms!$I$5:$I$1004,$T1568)),IF(INDEX('AFA Rates'!$H$5:$H$1004,$T1568)="","",INDEX('AFA Rates'!$H$5:$H$1004,$T1568))))</f>
        <v/>
      </c>
      <c r="K1568" s="50">
        <f>IF($T1568="","",IF($S1568="S",IF(INDEX(Firms!$J$5:$J$1004,$T1568)="","",INDEX(Firms!$J$5:$J$1004,$T1568)),IF(INDEX('AFA Rates'!$I$5:$I$1004,$T1568)="","",INDEX('AFA Rates'!$I$5:$I$1004,$T1568))))</f>
        <v/>
      </c>
      <c r="L1568" s="50">
        <f>IF($T1568="","",IF($S1568="S",IF(INDEX(Firms!$K$5:$K$1004,$T1568)="","",INDEX(Firms!$K$5:$K$1004,$T1568)),IF(INDEX('AFA Rates'!$J$5:$J$1004,$T1568)="","",INDEX('AFA Rates'!$J$5:$J$1004,$T1568))))</f>
        <v/>
      </c>
      <c r="M1568" s="50">
        <f>IF($T1568="","",IF($S1568="S",IF(INDEX(Firms!$L$5:$L$1004,$T1568)="","",INDEX(Firms!$L$5:$L$1004,$T1568)),IF(INDEX('AFA Rates'!$K$5:$K$1004,$T1568)="","",INDEX('AFA Rates'!$K$5:$K$1004,$T1568))))</f>
        <v/>
      </c>
      <c r="N1568" s="50">
        <f>IF($T1568="","",IF($S1568="S",IF(INDEX(Firms!$M$5:$M$1004,$T1568)="","",INDEX(Firms!$M$5:$M$1004,$T1568)),IF(INDEX('AFA Rates'!$L$5:$L$1004,$T1568)="","",INDEX('AFA Rates'!$L$5:$L$1004,$T1568))))</f>
        <v/>
      </c>
      <c r="O1568" s="78">
        <f>IF(OR($T1568="",$U1568=""),"",IF(INDEX(Firms!$C$5:$C$1004,$U1568)="","",INDEX(Firms!$C$5:$C$1004,$U1568)))</f>
        <v/>
      </c>
      <c r="P1568" s="79">
        <f>IF(OR($T1568="",$U1568=""),"",IF(INDEX(Firms!$N$5:$N$1004,$U1568)="","",INDEX(Firms!$N$5:$N$1004,$U1568)))</f>
        <v/>
      </c>
      <c r="Q1568" s="78">
        <f>IF($T1568="","",IF($S1568="S",IF(INDEX(Firms!$T$5:$T$1004,$T1568)="","",INDEX(Firms!$T$5:$T$1004,$T1568)),IF(INDEX('AFA Rates'!$M$5:$M$1004,$T1568)="","",INDEX('AFA Rates'!$M$5:$M$1004,$T1568))))</f>
        <v/>
      </c>
      <c r="S1568">
        <f>IF(1564&lt;=$S$2,"S",IF(1564&lt;=$S$2+$T$2,"A",""))</f>
        <v/>
      </c>
      <c r="T1568">
        <f>IF(S1568="S",MATCH(1564,Firms!$W$5:$W$1004,0),IF(S1568="A",IFERROR(MATCH(1564-$S$2,'AFA Rates'!$R$5:$R$1004,0),""),""))</f>
        <v/>
      </c>
      <c r="U1568">
        <f>IF(S1568="S",T1568,IF(AND(S1568="A",T1568&lt;&gt;""),IFERROR(MATCH(INDEX('AFA Rates'!$A$5:$A$1004,T1568),Firms!$A$5:$A$1004,0),""),""))</f>
        <v/>
      </c>
    </row>
    <row r="1569">
      <c r="A1569" s="78">
        <f>IF($T1569="","",IF($S1569="S",IF(INDEX(Firms!$A$5:$A$1004,$T1569)="","",INDEX(Firms!$A$5:$A$1004,$T1569)),IF(INDEX('AFA Rates'!$A$5:$A$1004,$T1569)="","",INDEX('AFA Rates'!$A$5:$A$1004,$T1569))))</f>
        <v/>
      </c>
      <c r="B1569" s="79">
        <f>IF(OR($T1569="",$U1569=""),IF($T1569="","","Not on Firms tab"),INDEX(Firms!$B$5:$B$1004,$U1569)&amp;"")</f>
        <v/>
      </c>
      <c r="C1569" s="78">
        <f>IF($T1569="","",IF($S1569="S","Standard",INDEX('AFA Rates'!$B$5:$B$1004,$T1569)&amp;""))</f>
        <v/>
      </c>
      <c r="D1569" s="88">
        <f>IF($T1569="","",IF($S1569="S",IF(INDEX(Firms!$E$5:$E$1004,$T1569)="","",INDEX(Firms!$E$5:$E$1004,$T1569)),IF(INDEX('AFA Rates'!$C$5:$C$1004,$T1569)="","",INDEX('AFA Rates'!$C$5:$C$1004,$T1569))))</f>
        <v/>
      </c>
      <c r="E1569" s="88">
        <f>IF($T1569="","",IF($S1569="S",IF(""="","",""),IF(INDEX('AFA Rates'!$D$5:$D$1004,$T1569)="","",INDEX('AFA Rates'!$D$5:$D$1004,$T1569))))</f>
        <v/>
      </c>
      <c r="F1569" s="79">
        <f>IF($T1569="","",IF($S1569="S",IF(INDEX(Firms!$O$5:$O$1004,$T1569)="","",INDEX(Firms!$O$5:$O$1004,$T1569)),IF(INDEX('AFA Rates'!$O$5:$O$1004,$T1569)="","",INDEX('AFA Rates'!$O$5:$O$1004,$T1569))))</f>
        <v/>
      </c>
      <c r="G1569" s="50">
        <f>IF($T1569="","",IF($S1569="S",IF(INDEX(Firms!$F$5:$F$1004,$T1569)="","",INDEX(Firms!$F$5:$F$1004,$T1569)),IF(INDEX('AFA Rates'!$E$5:$E$1004,$T1569)="","",INDEX('AFA Rates'!$E$5:$E$1004,$T1569))))</f>
        <v/>
      </c>
      <c r="H1569" s="50">
        <f>IF($T1569="","",IF($S1569="S",IF(INDEX(Firms!$G$5:$G$1004,$T1569)="","",INDEX(Firms!$G$5:$G$1004,$T1569)),IF(INDEX('AFA Rates'!$F$5:$F$1004,$T1569)="","",INDEX('AFA Rates'!$F$5:$F$1004,$T1569))))</f>
        <v/>
      </c>
      <c r="I1569" s="50">
        <f>IF($T1569="","",IF($S1569="S",IF(INDEX(Firms!$H$5:$H$1004,$T1569)="","",INDEX(Firms!$H$5:$H$1004,$T1569)),IF(INDEX('AFA Rates'!$G$5:$G$1004,$T1569)="","",INDEX('AFA Rates'!$G$5:$G$1004,$T1569))))</f>
        <v/>
      </c>
      <c r="J1569" s="50">
        <f>IF($T1569="","",IF($S1569="S",IF(INDEX(Firms!$I$5:$I$1004,$T1569)="","",INDEX(Firms!$I$5:$I$1004,$T1569)),IF(INDEX('AFA Rates'!$H$5:$H$1004,$T1569)="","",INDEX('AFA Rates'!$H$5:$H$1004,$T1569))))</f>
        <v/>
      </c>
      <c r="K1569" s="50">
        <f>IF($T1569="","",IF($S1569="S",IF(INDEX(Firms!$J$5:$J$1004,$T1569)="","",INDEX(Firms!$J$5:$J$1004,$T1569)),IF(INDEX('AFA Rates'!$I$5:$I$1004,$T1569)="","",INDEX('AFA Rates'!$I$5:$I$1004,$T1569))))</f>
        <v/>
      </c>
      <c r="L1569" s="50">
        <f>IF($T1569="","",IF($S1569="S",IF(INDEX(Firms!$K$5:$K$1004,$T1569)="","",INDEX(Firms!$K$5:$K$1004,$T1569)),IF(INDEX('AFA Rates'!$J$5:$J$1004,$T1569)="","",INDEX('AFA Rates'!$J$5:$J$1004,$T1569))))</f>
        <v/>
      </c>
      <c r="M1569" s="50">
        <f>IF($T1569="","",IF($S1569="S",IF(INDEX(Firms!$L$5:$L$1004,$T1569)="","",INDEX(Firms!$L$5:$L$1004,$T1569)),IF(INDEX('AFA Rates'!$K$5:$K$1004,$T1569)="","",INDEX('AFA Rates'!$K$5:$K$1004,$T1569))))</f>
        <v/>
      </c>
      <c r="N1569" s="50">
        <f>IF($T1569="","",IF($S1569="S",IF(INDEX(Firms!$M$5:$M$1004,$T1569)="","",INDEX(Firms!$M$5:$M$1004,$T1569)),IF(INDEX('AFA Rates'!$L$5:$L$1004,$T1569)="","",INDEX('AFA Rates'!$L$5:$L$1004,$T1569))))</f>
        <v/>
      </c>
      <c r="O1569" s="78">
        <f>IF(OR($T1569="",$U1569=""),"",IF(INDEX(Firms!$C$5:$C$1004,$U1569)="","",INDEX(Firms!$C$5:$C$1004,$U1569)))</f>
        <v/>
      </c>
      <c r="P1569" s="79">
        <f>IF(OR($T1569="",$U1569=""),"",IF(INDEX(Firms!$N$5:$N$1004,$U1569)="","",INDEX(Firms!$N$5:$N$1004,$U1569)))</f>
        <v/>
      </c>
      <c r="Q1569" s="78">
        <f>IF($T1569="","",IF($S1569="S",IF(INDEX(Firms!$T$5:$T$1004,$T1569)="","",INDEX(Firms!$T$5:$T$1004,$T1569)),IF(INDEX('AFA Rates'!$M$5:$M$1004,$T1569)="","",INDEX('AFA Rates'!$M$5:$M$1004,$T1569))))</f>
        <v/>
      </c>
      <c r="S1569">
        <f>IF(1565&lt;=$S$2,"S",IF(1565&lt;=$S$2+$T$2,"A",""))</f>
        <v/>
      </c>
      <c r="T1569">
        <f>IF(S1569="S",MATCH(1565,Firms!$W$5:$W$1004,0),IF(S1569="A",IFERROR(MATCH(1565-$S$2,'AFA Rates'!$R$5:$R$1004,0),""),""))</f>
        <v/>
      </c>
      <c r="U1569">
        <f>IF(S1569="S",T1569,IF(AND(S1569="A",T1569&lt;&gt;""),IFERROR(MATCH(INDEX('AFA Rates'!$A$5:$A$1004,T1569),Firms!$A$5:$A$1004,0),""),""))</f>
        <v/>
      </c>
    </row>
    <row r="1570">
      <c r="A1570" s="78">
        <f>IF($T1570="","",IF($S1570="S",IF(INDEX(Firms!$A$5:$A$1004,$T1570)="","",INDEX(Firms!$A$5:$A$1004,$T1570)),IF(INDEX('AFA Rates'!$A$5:$A$1004,$T1570)="","",INDEX('AFA Rates'!$A$5:$A$1004,$T1570))))</f>
        <v/>
      </c>
      <c r="B1570" s="79">
        <f>IF(OR($T1570="",$U1570=""),IF($T1570="","","Not on Firms tab"),INDEX(Firms!$B$5:$B$1004,$U1570)&amp;"")</f>
        <v/>
      </c>
      <c r="C1570" s="78">
        <f>IF($T1570="","",IF($S1570="S","Standard",INDEX('AFA Rates'!$B$5:$B$1004,$T1570)&amp;""))</f>
        <v/>
      </c>
      <c r="D1570" s="88">
        <f>IF($T1570="","",IF($S1570="S",IF(INDEX(Firms!$E$5:$E$1004,$T1570)="","",INDEX(Firms!$E$5:$E$1004,$T1570)),IF(INDEX('AFA Rates'!$C$5:$C$1004,$T1570)="","",INDEX('AFA Rates'!$C$5:$C$1004,$T1570))))</f>
        <v/>
      </c>
      <c r="E1570" s="88">
        <f>IF($T1570="","",IF($S1570="S",IF(""="","",""),IF(INDEX('AFA Rates'!$D$5:$D$1004,$T1570)="","",INDEX('AFA Rates'!$D$5:$D$1004,$T1570))))</f>
        <v/>
      </c>
      <c r="F1570" s="79">
        <f>IF($T1570="","",IF($S1570="S",IF(INDEX(Firms!$O$5:$O$1004,$T1570)="","",INDEX(Firms!$O$5:$O$1004,$T1570)),IF(INDEX('AFA Rates'!$O$5:$O$1004,$T1570)="","",INDEX('AFA Rates'!$O$5:$O$1004,$T1570))))</f>
        <v/>
      </c>
      <c r="G1570" s="50">
        <f>IF($T1570="","",IF($S1570="S",IF(INDEX(Firms!$F$5:$F$1004,$T1570)="","",INDEX(Firms!$F$5:$F$1004,$T1570)),IF(INDEX('AFA Rates'!$E$5:$E$1004,$T1570)="","",INDEX('AFA Rates'!$E$5:$E$1004,$T1570))))</f>
        <v/>
      </c>
      <c r="H1570" s="50">
        <f>IF($T1570="","",IF($S1570="S",IF(INDEX(Firms!$G$5:$G$1004,$T1570)="","",INDEX(Firms!$G$5:$G$1004,$T1570)),IF(INDEX('AFA Rates'!$F$5:$F$1004,$T1570)="","",INDEX('AFA Rates'!$F$5:$F$1004,$T1570))))</f>
        <v/>
      </c>
      <c r="I1570" s="50">
        <f>IF($T1570="","",IF($S1570="S",IF(INDEX(Firms!$H$5:$H$1004,$T1570)="","",INDEX(Firms!$H$5:$H$1004,$T1570)),IF(INDEX('AFA Rates'!$G$5:$G$1004,$T1570)="","",INDEX('AFA Rates'!$G$5:$G$1004,$T1570))))</f>
        <v/>
      </c>
      <c r="J1570" s="50">
        <f>IF($T1570="","",IF($S1570="S",IF(INDEX(Firms!$I$5:$I$1004,$T1570)="","",INDEX(Firms!$I$5:$I$1004,$T1570)),IF(INDEX('AFA Rates'!$H$5:$H$1004,$T1570)="","",INDEX('AFA Rates'!$H$5:$H$1004,$T1570))))</f>
        <v/>
      </c>
      <c r="K1570" s="50">
        <f>IF($T1570="","",IF($S1570="S",IF(INDEX(Firms!$J$5:$J$1004,$T1570)="","",INDEX(Firms!$J$5:$J$1004,$T1570)),IF(INDEX('AFA Rates'!$I$5:$I$1004,$T1570)="","",INDEX('AFA Rates'!$I$5:$I$1004,$T1570))))</f>
        <v/>
      </c>
      <c r="L1570" s="50">
        <f>IF($T1570="","",IF($S1570="S",IF(INDEX(Firms!$K$5:$K$1004,$T1570)="","",INDEX(Firms!$K$5:$K$1004,$T1570)),IF(INDEX('AFA Rates'!$J$5:$J$1004,$T1570)="","",INDEX('AFA Rates'!$J$5:$J$1004,$T1570))))</f>
        <v/>
      </c>
      <c r="M1570" s="50">
        <f>IF($T1570="","",IF($S1570="S",IF(INDEX(Firms!$L$5:$L$1004,$T1570)="","",INDEX(Firms!$L$5:$L$1004,$T1570)),IF(INDEX('AFA Rates'!$K$5:$K$1004,$T1570)="","",INDEX('AFA Rates'!$K$5:$K$1004,$T1570))))</f>
        <v/>
      </c>
      <c r="N1570" s="50">
        <f>IF($T1570="","",IF($S1570="S",IF(INDEX(Firms!$M$5:$M$1004,$T1570)="","",INDEX(Firms!$M$5:$M$1004,$T1570)),IF(INDEX('AFA Rates'!$L$5:$L$1004,$T1570)="","",INDEX('AFA Rates'!$L$5:$L$1004,$T1570))))</f>
        <v/>
      </c>
      <c r="O1570" s="78">
        <f>IF(OR($T1570="",$U1570=""),"",IF(INDEX(Firms!$C$5:$C$1004,$U1570)="","",INDEX(Firms!$C$5:$C$1004,$U1570)))</f>
        <v/>
      </c>
      <c r="P1570" s="79">
        <f>IF(OR($T1570="",$U1570=""),"",IF(INDEX(Firms!$N$5:$N$1004,$U1570)="","",INDEX(Firms!$N$5:$N$1004,$U1570)))</f>
        <v/>
      </c>
      <c r="Q1570" s="78">
        <f>IF($T1570="","",IF($S1570="S",IF(INDEX(Firms!$T$5:$T$1004,$T1570)="","",INDEX(Firms!$T$5:$T$1004,$T1570)),IF(INDEX('AFA Rates'!$M$5:$M$1004,$T1570)="","",INDEX('AFA Rates'!$M$5:$M$1004,$T1570))))</f>
        <v/>
      </c>
      <c r="S1570">
        <f>IF(1566&lt;=$S$2,"S",IF(1566&lt;=$S$2+$T$2,"A",""))</f>
        <v/>
      </c>
      <c r="T1570">
        <f>IF(S1570="S",MATCH(1566,Firms!$W$5:$W$1004,0),IF(S1570="A",IFERROR(MATCH(1566-$S$2,'AFA Rates'!$R$5:$R$1004,0),""),""))</f>
        <v/>
      </c>
      <c r="U1570">
        <f>IF(S1570="S",T1570,IF(AND(S1570="A",T1570&lt;&gt;""),IFERROR(MATCH(INDEX('AFA Rates'!$A$5:$A$1004,T1570),Firms!$A$5:$A$1004,0),""),""))</f>
        <v/>
      </c>
    </row>
    <row r="1571">
      <c r="A1571" s="78">
        <f>IF($T1571="","",IF($S1571="S",IF(INDEX(Firms!$A$5:$A$1004,$T1571)="","",INDEX(Firms!$A$5:$A$1004,$T1571)),IF(INDEX('AFA Rates'!$A$5:$A$1004,$T1571)="","",INDEX('AFA Rates'!$A$5:$A$1004,$T1571))))</f>
        <v/>
      </c>
      <c r="B1571" s="79">
        <f>IF(OR($T1571="",$U1571=""),IF($T1571="","","Not on Firms tab"),INDEX(Firms!$B$5:$B$1004,$U1571)&amp;"")</f>
        <v/>
      </c>
      <c r="C1571" s="78">
        <f>IF($T1571="","",IF($S1571="S","Standard",INDEX('AFA Rates'!$B$5:$B$1004,$T1571)&amp;""))</f>
        <v/>
      </c>
      <c r="D1571" s="88">
        <f>IF($T1571="","",IF($S1571="S",IF(INDEX(Firms!$E$5:$E$1004,$T1571)="","",INDEX(Firms!$E$5:$E$1004,$T1571)),IF(INDEX('AFA Rates'!$C$5:$C$1004,$T1571)="","",INDEX('AFA Rates'!$C$5:$C$1004,$T1571))))</f>
        <v/>
      </c>
      <c r="E1571" s="88">
        <f>IF($T1571="","",IF($S1571="S",IF(""="","",""),IF(INDEX('AFA Rates'!$D$5:$D$1004,$T1571)="","",INDEX('AFA Rates'!$D$5:$D$1004,$T1571))))</f>
        <v/>
      </c>
      <c r="F1571" s="79">
        <f>IF($T1571="","",IF($S1571="S",IF(INDEX(Firms!$O$5:$O$1004,$T1571)="","",INDEX(Firms!$O$5:$O$1004,$T1571)),IF(INDEX('AFA Rates'!$O$5:$O$1004,$T1571)="","",INDEX('AFA Rates'!$O$5:$O$1004,$T1571))))</f>
        <v/>
      </c>
      <c r="G1571" s="50">
        <f>IF($T1571="","",IF($S1571="S",IF(INDEX(Firms!$F$5:$F$1004,$T1571)="","",INDEX(Firms!$F$5:$F$1004,$T1571)),IF(INDEX('AFA Rates'!$E$5:$E$1004,$T1571)="","",INDEX('AFA Rates'!$E$5:$E$1004,$T1571))))</f>
        <v/>
      </c>
      <c r="H1571" s="50">
        <f>IF($T1571="","",IF($S1571="S",IF(INDEX(Firms!$G$5:$G$1004,$T1571)="","",INDEX(Firms!$G$5:$G$1004,$T1571)),IF(INDEX('AFA Rates'!$F$5:$F$1004,$T1571)="","",INDEX('AFA Rates'!$F$5:$F$1004,$T1571))))</f>
        <v/>
      </c>
      <c r="I1571" s="50">
        <f>IF($T1571="","",IF($S1571="S",IF(INDEX(Firms!$H$5:$H$1004,$T1571)="","",INDEX(Firms!$H$5:$H$1004,$T1571)),IF(INDEX('AFA Rates'!$G$5:$G$1004,$T1571)="","",INDEX('AFA Rates'!$G$5:$G$1004,$T1571))))</f>
        <v/>
      </c>
      <c r="J1571" s="50">
        <f>IF($T1571="","",IF($S1571="S",IF(INDEX(Firms!$I$5:$I$1004,$T1571)="","",INDEX(Firms!$I$5:$I$1004,$T1571)),IF(INDEX('AFA Rates'!$H$5:$H$1004,$T1571)="","",INDEX('AFA Rates'!$H$5:$H$1004,$T1571))))</f>
        <v/>
      </c>
      <c r="K1571" s="50">
        <f>IF($T1571="","",IF($S1571="S",IF(INDEX(Firms!$J$5:$J$1004,$T1571)="","",INDEX(Firms!$J$5:$J$1004,$T1571)),IF(INDEX('AFA Rates'!$I$5:$I$1004,$T1571)="","",INDEX('AFA Rates'!$I$5:$I$1004,$T1571))))</f>
        <v/>
      </c>
      <c r="L1571" s="50">
        <f>IF($T1571="","",IF($S1571="S",IF(INDEX(Firms!$K$5:$K$1004,$T1571)="","",INDEX(Firms!$K$5:$K$1004,$T1571)),IF(INDEX('AFA Rates'!$J$5:$J$1004,$T1571)="","",INDEX('AFA Rates'!$J$5:$J$1004,$T1571))))</f>
        <v/>
      </c>
      <c r="M1571" s="50">
        <f>IF($T1571="","",IF($S1571="S",IF(INDEX(Firms!$L$5:$L$1004,$T1571)="","",INDEX(Firms!$L$5:$L$1004,$T1571)),IF(INDEX('AFA Rates'!$K$5:$K$1004,$T1571)="","",INDEX('AFA Rates'!$K$5:$K$1004,$T1571))))</f>
        <v/>
      </c>
      <c r="N1571" s="50">
        <f>IF($T1571="","",IF($S1571="S",IF(INDEX(Firms!$M$5:$M$1004,$T1571)="","",INDEX(Firms!$M$5:$M$1004,$T1571)),IF(INDEX('AFA Rates'!$L$5:$L$1004,$T1571)="","",INDEX('AFA Rates'!$L$5:$L$1004,$T1571))))</f>
        <v/>
      </c>
      <c r="O1571" s="78">
        <f>IF(OR($T1571="",$U1571=""),"",IF(INDEX(Firms!$C$5:$C$1004,$U1571)="","",INDEX(Firms!$C$5:$C$1004,$U1571)))</f>
        <v/>
      </c>
      <c r="P1571" s="79">
        <f>IF(OR($T1571="",$U1571=""),"",IF(INDEX(Firms!$N$5:$N$1004,$U1571)="","",INDEX(Firms!$N$5:$N$1004,$U1571)))</f>
        <v/>
      </c>
      <c r="Q1571" s="78">
        <f>IF($T1571="","",IF($S1571="S",IF(INDEX(Firms!$T$5:$T$1004,$T1571)="","",INDEX(Firms!$T$5:$T$1004,$T1571)),IF(INDEX('AFA Rates'!$M$5:$M$1004,$T1571)="","",INDEX('AFA Rates'!$M$5:$M$1004,$T1571))))</f>
        <v/>
      </c>
      <c r="S1571">
        <f>IF(1567&lt;=$S$2,"S",IF(1567&lt;=$S$2+$T$2,"A",""))</f>
        <v/>
      </c>
      <c r="T1571">
        <f>IF(S1571="S",MATCH(1567,Firms!$W$5:$W$1004,0),IF(S1571="A",IFERROR(MATCH(1567-$S$2,'AFA Rates'!$R$5:$R$1004,0),""),""))</f>
        <v/>
      </c>
      <c r="U1571">
        <f>IF(S1571="S",T1571,IF(AND(S1571="A",T1571&lt;&gt;""),IFERROR(MATCH(INDEX('AFA Rates'!$A$5:$A$1004,T1571),Firms!$A$5:$A$1004,0),""),""))</f>
        <v/>
      </c>
    </row>
    <row r="1572">
      <c r="A1572" s="78">
        <f>IF($T1572="","",IF($S1572="S",IF(INDEX(Firms!$A$5:$A$1004,$T1572)="","",INDEX(Firms!$A$5:$A$1004,$T1572)),IF(INDEX('AFA Rates'!$A$5:$A$1004,$T1572)="","",INDEX('AFA Rates'!$A$5:$A$1004,$T1572))))</f>
        <v/>
      </c>
      <c r="B1572" s="79">
        <f>IF(OR($T1572="",$U1572=""),IF($T1572="","","Not on Firms tab"),INDEX(Firms!$B$5:$B$1004,$U1572)&amp;"")</f>
        <v/>
      </c>
      <c r="C1572" s="78">
        <f>IF($T1572="","",IF($S1572="S","Standard",INDEX('AFA Rates'!$B$5:$B$1004,$T1572)&amp;""))</f>
        <v/>
      </c>
      <c r="D1572" s="88">
        <f>IF($T1572="","",IF($S1572="S",IF(INDEX(Firms!$E$5:$E$1004,$T1572)="","",INDEX(Firms!$E$5:$E$1004,$T1572)),IF(INDEX('AFA Rates'!$C$5:$C$1004,$T1572)="","",INDEX('AFA Rates'!$C$5:$C$1004,$T1572))))</f>
        <v/>
      </c>
      <c r="E1572" s="88">
        <f>IF($T1572="","",IF($S1572="S",IF(""="","",""),IF(INDEX('AFA Rates'!$D$5:$D$1004,$T1572)="","",INDEX('AFA Rates'!$D$5:$D$1004,$T1572))))</f>
        <v/>
      </c>
      <c r="F1572" s="79">
        <f>IF($T1572="","",IF($S1572="S",IF(INDEX(Firms!$O$5:$O$1004,$T1572)="","",INDEX(Firms!$O$5:$O$1004,$T1572)),IF(INDEX('AFA Rates'!$O$5:$O$1004,$T1572)="","",INDEX('AFA Rates'!$O$5:$O$1004,$T1572))))</f>
        <v/>
      </c>
      <c r="G1572" s="50">
        <f>IF($T1572="","",IF($S1572="S",IF(INDEX(Firms!$F$5:$F$1004,$T1572)="","",INDEX(Firms!$F$5:$F$1004,$T1572)),IF(INDEX('AFA Rates'!$E$5:$E$1004,$T1572)="","",INDEX('AFA Rates'!$E$5:$E$1004,$T1572))))</f>
        <v/>
      </c>
      <c r="H1572" s="50">
        <f>IF($T1572="","",IF($S1572="S",IF(INDEX(Firms!$G$5:$G$1004,$T1572)="","",INDEX(Firms!$G$5:$G$1004,$T1572)),IF(INDEX('AFA Rates'!$F$5:$F$1004,$T1572)="","",INDEX('AFA Rates'!$F$5:$F$1004,$T1572))))</f>
        <v/>
      </c>
      <c r="I1572" s="50">
        <f>IF($T1572="","",IF($S1572="S",IF(INDEX(Firms!$H$5:$H$1004,$T1572)="","",INDEX(Firms!$H$5:$H$1004,$T1572)),IF(INDEX('AFA Rates'!$G$5:$G$1004,$T1572)="","",INDEX('AFA Rates'!$G$5:$G$1004,$T1572))))</f>
        <v/>
      </c>
      <c r="J1572" s="50">
        <f>IF($T1572="","",IF($S1572="S",IF(INDEX(Firms!$I$5:$I$1004,$T1572)="","",INDEX(Firms!$I$5:$I$1004,$T1572)),IF(INDEX('AFA Rates'!$H$5:$H$1004,$T1572)="","",INDEX('AFA Rates'!$H$5:$H$1004,$T1572))))</f>
        <v/>
      </c>
      <c r="K1572" s="50">
        <f>IF($T1572="","",IF($S1572="S",IF(INDEX(Firms!$J$5:$J$1004,$T1572)="","",INDEX(Firms!$J$5:$J$1004,$T1572)),IF(INDEX('AFA Rates'!$I$5:$I$1004,$T1572)="","",INDEX('AFA Rates'!$I$5:$I$1004,$T1572))))</f>
        <v/>
      </c>
      <c r="L1572" s="50">
        <f>IF($T1572="","",IF($S1572="S",IF(INDEX(Firms!$K$5:$K$1004,$T1572)="","",INDEX(Firms!$K$5:$K$1004,$T1572)),IF(INDEX('AFA Rates'!$J$5:$J$1004,$T1572)="","",INDEX('AFA Rates'!$J$5:$J$1004,$T1572))))</f>
        <v/>
      </c>
      <c r="M1572" s="50">
        <f>IF($T1572="","",IF($S1572="S",IF(INDEX(Firms!$L$5:$L$1004,$T1572)="","",INDEX(Firms!$L$5:$L$1004,$T1572)),IF(INDEX('AFA Rates'!$K$5:$K$1004,$T1572)="","",INDEX('AFA Rates'!$K$5:$K$1004,$T1572))))</f>
        <v/>
      </c>
      <c r="N1572" s="50">
        <f>IF($T1572="","",IF($S1572="S",IF(INDEX(Firms!$M$5:$M$1004,$T1572)="","",INDEX(Firms!$M$5:$M$1004,$T1572)),IF(INDEX('AFA Rates'!$L$5:$L$1004,$T1572)="","",INDEX('AFA Rates'!$L$5:$L$1004,$T1572))))</f>
        <v/>
      </c>
      <c r="O1572" s="78">
        <f>IF(OR($T1572="",$U1572=""),"",IF(INDEX(Firms!$C$5:$C$1004,$U1572)="","",INDEX(Firms!$C$5:$C$1004,$U1572)))</f>
        <v/>
      </c>
      <c r="P1572" s="79">
        <f>IF(OR($T1572="",$U1572=""),"",IF(INDEX(Firms!$N$5:$N$1004,$U1572)="","",INDEX(Firms!$N$5:$N$1004,$U1572)))</f>
        <v/>
      </c>
      <c r="Q1572" s="78">
        <f>IF($T1572="","",IF($S1572="S",IF(INDEX(Firms!$T$5:$T$1004,$T1572)="","",INDEX(Firms!$T$5:$T$1004,$T1572)),IF(INDEX('AFA Rates'!$M$5:$M$1004,$T1572)="","",INDEX('AFA Rates'!$M$5:$M$1004,$T1572))))</f>
        <v/>
      </c>
      <c r="S1572">
        <f>IF(1568&lt;=$S$2,"S",IF(1568&lt;=$S$2+$T$2,"A",""))</f>
        <v/>
      </c>
      <c r="T1572">
        <f>IF(S1572="S",MATCH(1568,Firms!$W$5:$W$1004,0),IF(S1572="A",IFERROR(MATCH(1568-$S$2,'AFA Rates'!$R$5:$R$1004,0),""),""))</f>
        <v/>
      </c>
      <c r="U1572">
        <f>IF(S1572="S",T1572,IF(AND(S1572="A",T1572&lt;&gt;""),IFERROR(MATCH(INDEX('AFA Rates'!$A$5:$A$1004,T1572),Firms!$A$5:$A$1004,0),""),""))</f>
        <v/>
      </c>
    </row>
    <row r="1573">
      <c r="A1573" s="78">
        <f>IF($T1573="","",IF($S1573="S",IF(INDEX(Firms!$A$5:$A$1004,$T1573)="","",INDEX(Firms!$A$5:$A$1004,$T1573)),IF(INDEX('AFA Rates'!$A$5:$A$1004,$T1573)="","",INDEX('AFA Rates'!$A$5:$A$1004,$T1573))))</f>
        <v/>
      </c>
      <c r="B1573" s="79">
        <f>IF(OR($T1573="",$U1573=""),IF($T1573="","","Not on Firms tab"),INDEX(Firms!$B$5:$B$1004,$U1573)&amp;"")</f>
        <v/>
      </c>
      <c r="C1573" s="78">
        <f>IF($T1573="","",IF($S1573="S","Standard",INDEX('AFA Rates'!$B$5:$B$1004,$T1573)&amp;""))</f>
        <v/>
      </c>
      <c r="D1573" s="88">
        <f>IF($T1573="","",IF($S1573="S",IF(INDEX(Firms!$E$5:$E$1004,$T1573)="","",INDEX(Firms!$E$5:$E$1004,$T1573)),IF(INDEX('AFA Rates'!$C$5:$C$1004,$T1573)="","",INDEX('AFA Rates'!$C$5:$C$1004,$T1573))))</f>
        <v/>
      </c>
      <c r="E1573" s="88">
        <f>IF($T1573="","",IF($S1573="S",IF(""="","",""),IF(INDEX('AFA Rates'!$D$5:$D$1004,$T1573)="","",INDEX('AFA Rates'!$D$5:$D$1004,$T1573))))</f>
        <v/>
      </c>
      <c r="F1573" s="79">
        <f>IF($T1573="","",IF($S1573="S",IF(INDEX(Firms!$O$5:$O$1004,$T1573)="","",INDEX(Firms!$O$5:$O$1004,$T1573)),IF(INDEX('AFA Rates'!$O$5:$O$1004,$T1573)="","",INDEX('AFA Rates'!$O$5:$O$1004,$T1573))))</f>
        <v/>
      </c>
      <c r="G1573" s="50">
        <f>IF($T1573="","",IF($S1573="S",IF(INDEX(Firms!$F$5:$F$1004,$T1573)="","",INDEX(Firms!$F$5:$F$1004,$T1573)),IF(INDEX('AFA Rates'!$E$5:$E$1004,$T1573)="","",INDEX('AFA Rates'!$E$5:$E$1004,$T1573))))</f>
        <v/>
      </c>
      <c r="H1573" s="50">
        <f>IF($T1573="","",IF($S1573="S",IF(INDEX(Firms!$G$5:$G$1004,$T1573)="","",INDEX(Firms!$G$5:$G$1004,$T1573)),IF(INDEX('AFA Rates'!$F$5:$F$1004,$T1573)="","",INDEX('AFA Rates'!$F$5:$F$1004,$T1573))))</f>
        <v/>
      </c>
      <c r="I1573" s="50">
        <f>IF($T1573="","",IF($S1573="S",IF(INDEX(Firms!$H$5:$H$1004,$T1573)="","",INDEX(Firms!$H$5:$H$1004,$T1573)),IF(INDEX('AFA Rates'!$G$5:$G$1004,$T1573)="","",INDEX('AFA Rates'!$G$5:$G$1004,$T1573))))</f>
        <v/>
      </c>
      <c r="J1573" s="50">
        <f>IF($T1573="","",IF($S1573="S",IF(INDEX(Firms!$I$5:$I$1004,$T1573)="","",INDEX(Firms!$I$5:$I$1004,$T1573)),IF(INDEX('AFA Rates'!$H$5:$H$1004,$T1573)="","",INDEX('AFA Rates'!$H$5:$H$1004,$T1573))))</f>
        <v/>
      </c>
      <c r="K1573" s="50">
        <f>IF($T1573="","",IF($S1573="S",IF(INDEX(Firms!$J$5:$J$1004,$T1573)="","",INDEX(Firms!$J$5:$J$1004,$T1573)),IF(INDEX('AFA Rates'!$I$5:$I$1004,$T1573)="","",INDEX('AFA Rates'!$I$5:$I$1004,$T1573))))</f>
        <v/>
      </c>
      <c r="L1573" s="50">
        <f>IF($T1573="","",IF($S1573="S",IF(INDEX(Firms!$K$5:$K$1004,$T1573)="","",INDEX(Firms!$K$5:$K$1004,$T1573)),IF(INDEX('AFA Rates'!$J$5:$J$1004,$T1573)="","",INDEX('AFA Rates'!$J$5:$J$1004,$T1573))))</f>
        <v/>
      </c>
      <c r="M1573" s="50">
        <f>IF($T1573="","",IF($S1573="S",IF(INDEX(Firms!$L$5:$L$1004,$T1573)="","",INDEX(Firms!$L$5:$L$1004,$T1573)),IF(INDEX('AFA Rates'!$K$5:$K$1004,$T1573)="","",INDEX('AFA Rates'!$K$5:$K$1004,$T1573))))</f>
        <v/>
      </c>
      <c r="N1573" s="50">
        <f>IF($T1573="","",IF($S1573="S",IF(INDEX(Firms!$M$5:$M$1004,$T1573)="","",INDEX(Firms!$M$5:$M$1004,$T1573)),IF(INDEX('AFA Rates'!$L$5:$L$1004,$T1573)="","",INDEX('AFA Rates'!$L$5:$L$1004,$T1573))))</f>
        <v/>
      </c>
      <c r="O1573" s="78">
        <f>IF(OR($T1573="",$U1573=""),"",IF(INDEX(Firms!$C$5:$C$1004,$U1573)="","",INDEX(Firms!$C$5:$C$1004,$U1573)))</f>
        <v/>
      </c>
      <c r="P1573" s="79">
        <f>IF(OR($T1573="",$U1573=""),"",IF(INDEX(Firms!$N$5:$N$1004,$U1573)="","",INDEX(Firms!$N$5:$N$1004,$U1573)))</f>
        <v/>
      </c>
      <c r="Q1573" s="78">
        <f>IF($T1573="","",IF($S1573="S",IF(INDEX(Firms!$T$5:$T$1004,$T1573)="","",INDEX(Firms!$T$5:$T$1004,$T1573)),IF(INDEX('AFA Rates'!$M$5:$M$1004,$T1573)="","",INDEX('AFA Rates'!$M$5:$M$1004,$T1573))))</f>
        <v/>
      </c>
      <c r="S1573">
        <f>IF(1569&lt;=$S$2,"S",IF(1569&lt;=$S$2+$T$2,"A",""))</f>
        <v/>
      </c>
      <c r="T1573">
        <f>IF(S1573="S",MATCH(1569,Firms!$W$5:$W$1004,0),IF(S1573="A",IFERROR(MATCH(1569-$S$2,'AFA Rates'!$R$5:$R$1004,0),""),""))</f>
        <v/>
      </c>
      <c r="U1573">
        <f>IF(S1573="S",T1573,IF(AND(S1573="A",T1573&lt;&gt;""),IFERROR(MATCH(INDEX('AFA Rates'!$A$5:$A$1004,T1573),Firms!$A$5:$A$1004,0),""),""))</f>
        <v/>
      </c>
    </row>
    <row r="1574">
      <c r="A1574" s="78">
        <f>IF($T1574="","",IF($S1574="S",IF(INDEX(Firms!$A$5:$A$1004,$T1574)="","",INDEX(Firms!$A$5:$A$1004,$T1574)),IF(INDEX('AFA Rates'!$A$5:$A$1004,$T1574)="","",INDEX('AFA Rates'!$A$5:$A$1004,$T1574))))</f>
        <v/>
      </c>
      <c r="B1574" s="79">
        <f>IF(OR($T1574="",$U1574=""),IF($T1574="","","Not on Firms tab"),INDEX(Firms!$B$5:$B$1004,$U1574)&amp;"")</f>
        <v/>
      </c>
      <c r="C1574" s="78">
        <f>IF($T1574="","",IF($S1574="S","Standard",INDEX('AFA Rates'!$B$5:$B$1004,$T1574)&amp;""))</f>
        <v/>
      </c>
      <c r="D1574" s="88">
        <f>IF($T1574="","",IF($S1574="S",IF(INDEX(Firms!$E$5:$E$1004,$T1574)="","",INDEX(Firms!$E$5:$E$1004,$T1574)),IF(INDEX('AFA Rates'!$C$5:$C$1004,$T1574)="","",INDEX('AFA Rates'!$C$5:$C$1004,$T1574))))</f>
        <v/>
      </c>
      <c r="E1574" s="88">
        <f>IF($T1574="","",IF($S1574="S",IF(""="","",""),IF(INDEX('AFA Rates'!$D$5:$D$1004,$T1574)="","",INDEX('AFA Rates'!$D$5:$D$1004,$T1574))))</f>
        <v/>
      </c>
      <c r="F1574" s="79">
        <f>IF($T1574="","",IF($S1574="S",IF(INDEX(Firms!$O$5:$O$1004,$T1574)="","",INDEX(Firms!$O$5:$O$1004,$T1574)),IF(INDEX('AFA Rates'!$O$5:$O$1004,$T1574)="","",INDEX('AFA Rates'!$O$5:$O$1004,$T1574))))</f>
        <v/>
      </c>
      <c r="G1574" s="50">
        <f>IF($T1574="","",IF($S1574="S",IF(INDEX(Firms!$F$5:$F$1004,$T1574)="","",INDEX(Firms!$F$5:$F$1004,$T1574)),IF(INDEX('AFA Rates'!$E$5:$E$1004,$T1574)="","",INDEX('AFA Rates'!$E$5:$E$1004,$T1574))))</f>
        <v/>
      </c>
      <c r="H1574" s="50">
        <f>IF($T1574="","",IF($S1574="S",IF(INDEX(Firms!$G$5:$G$1004,$T1574)="","",INDEX(Firms!$G$5:$G$1004,$T1574)),IF(INDEX('AFA Rates'!$F$5:$F$1004,$T1574)="","",INDEX('AFA Rates'!$F$5:$F$1004,$T1574))))</f>
        <v/>
      </c>
      <c r="I1574" s="50">
        <f>IF($T1574="","",IF($S1574="S",IF(INDEX(Firms!$H$5:$H$1004,$T1574)="","",INDEX(Firms!$H$5:$H$1004,$T1574)),IF(INDEX('AFA Rates'!$G$5:$G$1004,$T1574)="","",INDEX('AFA Rates'!$G$5:$G$1004,$T1574))))</f>
        <v/>
      </c>
      <c r="J1574" s="50">
        <f>IF($T1574="","",IF($S1574="S",IF(INDEX(Firms!$I$5:$I$1004,$T1574)="","",INDEX(Firms!$I$5:$I$1004,$T1574)),IF(INDEX('AFA Rates'!$H$5:$H$1004,$T1574)="","",INDEX('AFA Rates'!$H$5:$H$1004,$T1574))))</f>
        <v/>
      </c>
      <c r="K1574" s="50">
        <f>IF($T1574="","",IF($S1574="S",IF(INDEX(Firms!$J$5:$J$1004,$T1574)="","",INDEX(Firms!$J$5:$J$1004,$T1574)),IF(INDEX('AFA Rates'!$I$5:$I$1004,$T1574)="","",INDEX('AFA Rates'!$I$5:$I$1004,$T1574))))</f>
        <v/>
      </c>
      <c r="L1574" s="50">
        <f>IF($T1574="","",IF($S1574="S",IF(INDEX(Firms!$K$5:$K$1004,$T1574)="","",INDEX(Firms!$K$5:$K$1004,$T1574)),IF(INDEX('AFA Rates'!$J$5:$J$1004,$T1574)="","",INDEX('AFA Rates'!$J$5:$J$1004,$T1574))))</f>
        <v/>
      </c>
      <c r="M1574" s="50">
        <f>IF($T1574="","",IF($S1574="S",IF(INDEX(Firms!$L$5:$L$1004,$T1574)="","",INDEX(Firms!$L$5:$L$1004,$T1574)),IF(INDEX('AFA Rates'!$K$5:$K$1004,$T1574)="","",INDEX('AFA Rates'!$K$5:$K$1004,$T1574))))</f>
        <v/>
      </c>
      <c r="N1574" s="50">
        <f>IF($T1574="","",IF($S1574="S",IF(INDEX(Firms!$M$5:$M$1004,$T1574)="","",INDEX(Firms!$M$5:$M$1004,$T1574)),IF(INDEX('AFA Rates'!$L$5:$L$1004,$T1574)="","",INDEX('AFA Rates'!$L$5:$L$1004,$T1574))))</f>
        <v/>
      </c>
      <c r="O1574" s="78">
        <f>IF(OR($T1574="",$U1574=""),"",IF(INDEX(Firms!$C$5:$C$1004,$U1574)="","",INDEX(Firms!$C$5:$C$1004,$U1574)))</f>
        <v/>
      </c>
      <c r="P1574" s="79">
        <f>IF(OR($T1574="",$U1574=""),"",IF(INDEX(Firms!$N$5:$N$1004,$U1574)="","",INDEX(Firms!$N$5:$N$1004,$U1574)))</f>
        <v/>
      </c>
      <c r="Q1574" s="78">
        <f>IF($T1574="","",IF($S1574="S",IF(INDEX(Firms!$T$5:$T$1004,$T1574)="","",INDEX(Firms!$T$5:$T$1004,$T1574)),IF(INDEX('AFA Rates'!$M$5:$M$1004,$T1574)="","",INDEX('AFA Rates'!$M$5:$M$1004,$T1574))))</f>
        <v/>
      </c>
      <c r="S1574">
        <f>IF(1570&lt;=$S$2,"S",IF(1570&lt;=$S$2+$T$2,"A",""))</f>
        <v/>
      </c>
      <c r="T1574">
        <f>IF(S1574="S",MATCH(1570,Firms!$W$5:$W$1004,0),IF(S1574="A",IFERROR(MATCH(1570-$S$2,'AFA Rates'!$R$5:$R$1004,0),""),""))</f>
        <v/>
      </c>
      <c r="U1574">
        <f>IF(S1574="S",T1574,IF(AND(S1574="A",T1574&lt;&gt;""),IFERROR(MATCH(INDEX('AFA Rates'!$A$5:$A$1004,T1574),Firms!$A$5:$A$1004,0),""),""))</f>
        <v/>
      </c>
    </row>
    <row r="1575">
      <c r="A1575" s="78">
        <f>IF($T1575="","",IF($S1575="S",IF(INDEX(Firms!$A$5:$A$1004,$T1575)="","",INDEX(Firms!$A$5:$A$1004,$T1575)),IF(INDEX('AFA Rates'!$A$5:$A$1004,$T1575)="","",INDEX('AFA Rates'!$A$5:$A$1004,$T1575))))</f>
        <v/>
      </c>
      <c r="B1575" s="79">
        <f>IF(OR($T1575="",$U1575=""),IF($T1575="","","Not on Firms tab"),INDEX(Firms!$B$5:$B$1004,$U1575)&amp;"")</f>
        <v/>
      </c>
      <c r="C1575" s="78">
        <f>IF($T1575="","",IF($S1575="S","Standard",INDEX('AFA Rates'!$B$5:$B$1004,$T1575)&amp;""))</f>
        <v/>
      </c>
      <c r="D1575" s="88">
        <f>IF($T1575="","",IF($S1575="S",IF(INDEX(Firms!$E$5:$E$1004,$T1575)="","",INDEX(Firms!$E$5:$E$1004,$T1575)),IF(INDEX('AFA Rates'!$C$5:$C$1004,$T1575)="","",INDEX('AFA Rates'!$C$5:$C$1004,$T1575))))</f>
        <v/>
      </c>
      <c r="E1575" s="88">
        <f>IF($T1575="","",IF($S1575="S",IF(""="","",""),IF(INDEX('AFA Rates'!$D$5:$D$1004,$T1575)="","",INDEX('AFA Rates'!$D$5:$D$1004,$T1575))))</f>
        <v/>
      </c>
      <c r="F1575" s="79">
        <f>IF($T1575="","",IF($S1575="S",IF(INDEX(Firms!$O$5:$O$1004,$T1575)="","",INDEX(Firms!$O$5:$O$1004,$T1575)),IF(INDEX('AFA Rates'!$O$5:$O$1004,$T1575)="","",INDEX('AFA Rates'!$O$5:$O$1004,$T1575))))</f>
        <v/>
      </c>
      <c r="G1575" s="50">
        <f>IF($T1575="","",IF($S1575="S",IF(INDEX(Firms!$F$5:$F$1004,$T1575)="","",INDEX(Firms!$F$5:$F$1004,$T1575)),IF(INDEX('AFA Rates'!$E$5:$E$1004,$T1575)="","",INDEX('AFA Rates'!$E$5:$E$1004,$T1575))))</f>
        <v/>
      </c>
      <c r="H1575" s="50">
        <f>IF($T1575="","",IF($S1575="S",IF(INDEX(Firms!$G$5:$G$1004,$T1575)="","",INDEX(Firms!$G$5:$G$1004,$T1575)),IF(INDEX('AFA Rates'!$F$5:$F$1004,$T1575)="","",INDEX('AFA Rates'!$F$5:$F$1004,$T1575))))</f>
        <v/>
      </c>
      <c r="I1575" s="50">
        <f>IF($T1575="","",IF($S1575="S",IF(INDEX(Firms!$H$5:$H$1004,$T1575)="","",INDEX(Firms!$H$5:$H$1004,$T1575)),IF(INDEX('AFA Rates'!$G$5:$G$1004,$T1575)="","",INDEX('AFA Rates'!$G$5:$G$1004,$T1575))))</f>
        <v/>
      </c>
      <c r="J1575" s="50">
        <f>IF($T1575="","",IF($S1575="S",IF(INDEX(Firms!$I$5:$I$1004,$T1575)="","",INDEX(Firms!$I$5:$I$1004,$T1575)),IF(INDEX('AFA Rates'!$H$5:$H$1004,$T1575)="","",INDEX('AFA Rates'!$H$5:$H$1004,$T1575))))</f>
        <v/>
      </c>
      <c r="K1575" s="50">
        <f>IF($T1575="","",IF($S1575="S",IF(INDEX(Firms!$J$5:$J$1004,$T1575)="","",INDEX(Firms!$J$5:$J$1004,$T1575)),IF(INDEX('AFA Rates'!$I$5:$I$1004,$T1575)="","",INDEX('AFA Rates'!$I$5:$I$1004,$T1575))))</f>
        <v/>
      </c>
      <c r="L1575" s="50">
        <f>IF($T1575="","",IF($S1575="S",IF(INDEX(Firms!$K$5:$K$1004,$T1575)="","",INDEX(Firms!$K$5:$K$1004,$T1575)),IF(INDEX('AFA Rates'!$J$5:$J$1004,$T1575)="","",INDEX('AFA Rates'!$J$5:$J$1004,$T1575))))</f>
        <v/>
      </c>
      <c r="M1575" s="50">
        <f>IF($T1575="","",IF($S1575="S",IF(INDEX(Firms!$L$5:$L$1004,$T1575)="","",INDEX(Firms!$L$5:$L$1004,$T1575)),IF(INDEX('AFA Rates'!$K$5:$K$1004,$T1575)="","",INDEX('AFA Rates'!$K$5:$K$1004,$T1575))))</f>
        <v/>
      </c>
      <c r="N1575" s="50">
        <f>IF($T1575="","",IF($S1575="S",IF(INDEX(Firms!$M$5:$M$1004,$T1575)="","",INDEX(Firms!$M$5:$M$1004,$T1575)),IF(INDEX('AFA Rates'!$L$5:$L$1004,$T1575)="","",INDEX('AFA Rates'!$L$5:$L$1004,$T1575))))</f>
        <v/>
      </c>
      <c r="O1575" s="78">
        <f>IF(OR($T1575="",$U1575=""),"",IF(INDEX(Firms!$C$5:$C$1004,$U1575)="","",INDEX(Firms!$C$5:$C$1004,$U1575)))</f>
        <v/>
      </c>
      <c r="P1575" s="79">
        <f>IF(OR($T1575="",$U1575=""),"",IF(INDEX(Firms!$N$5:$N$1004,$U1575)="","",INDEX(Firms!$N$5:$N$1004,$U1575)))</f>
        <v/>
      </c>
      <c r="Q1575" s="78">
        <f>IF($T1575="","",IF($S1575="S",IF(INDEX(Firms!$T$5:$T$1004,$T1575)="","",INDEX(Firms!$T$5:$T$1004,$T1575)),IF(INDEX('AFA Rates'!$M$5:$M$1004,$T1575)="","",INDEX('AFA Rates'!$M$5:$M$1004,$T1575))))</f>
        <v/>
      </c>
      <c r="S1575">
        <f>IF(1571&lt;=$S$2,"S",IF(1571&lt;=$S$2+$T$2,"A",""))</f>
        <v/>
      </c>
      <c r="T1575">
        <f>IF(S1575="S",MATCH(1571,Firms!$W$5:$W$1004,0),IF(S1575="A",IFERROR(MATCH(1571-$S$2,'AFA Rates'!$R$5:$R$1004,0),""),""))</f>
        <v/>
      </c>
      <c r="U1575">
        <f>IF(S1575="S",T1575,IF(AND(S1575="A",T1575&lt;&gt;""),IFERROR(MATCH(INDEX('AFA Rates'!$A$5:$A$1004,T1575),Firms!$A$5:$A$1004,0),""),""))</f>
        <v/>
      </c>
    </row>
    <row r="1576">
      <c r="A1576" s="78">
        <f>IF($T1576="","",IF($S1576="S",IF(INDEX(Firms!$A$5:$A$1004,$T1576)="","",INDEX(Firms!$A$5:$A$1004,$T1576)),IF(INDEX('AFA Rates'!$A$5:$A$1004,$T1576)="","",INDEX('AFA Rates'!$A$5:$A$1004,$T1576))))</f>
        <v/>
      </c>
      <c r="B1576" s="79">
        <f>IF(OR($T1576="",$U1576=""),IF($T1576="","","Not on Firms tab"),INDEX(Firms!$B$5:$B$1004,$U1576)&amp;"")</f>
        <v/>
      </c>
      <c r="C1576" s="78">
        <f>IF($T1576="","",IF($S1576="S","Standard",INDEX('AFA Rates'!$B$5:$B$1004,$T1576)&amp;""))</f>
        <v/>
      </c>
      <c r="D1576" s="88">
        <f>IF($T1576="","",IF($S1576="S",IF(INDEX(Firms!$E$5:$E$1004,$T1576)="","",INDEX(Firms!$E$5:$E$1004,$T1576)),IF(INDEX('AFA Rates'!$C$5:$C$1004,$T1576)="","",INDEX('AFA Rates'!$C$5:$C$1004,$T1576))))</f>
        <v/>
      </c>
      <c r="E1576" s="88">
        <f>IF($T1576="","",IF($S1576="S",IF(""="","",""),IF(INDEX('AFA Rates'!$D$5:$D$1004,$T1576)="","",INDEX('AFA Rates'!$D$5:$D$1004,$T1576))))</f>
        <v/>
      </c>
      <c r="F1576" s="79">
        <f>IF($T1576="","",IF($S1576="S",IF(INDEX(Firms!$O$5:$O$1004,$T1576)="","",INDEX(Firms!$O$5:$O$1004,$T1576)),IF(INDEX('AFA Rates'!$O$5:$O$1004,$T1576)="","",INDEX('AFA Rates'!$O$5:$O$1004,$T1576))))</f>
        <v/>
      </c>
      <c r="G1576" s="50">
        <f>IF($T1576="","",IF($S1576="S",IF(INDEX(Firms!$F$5:$F$1004,$T1576)="","",INDEX(Firms!$F$5:$F$1004,$T1576)),IF(INDEX('AFA Rates'!$E$5:$E$1004,$T1576)="","",INDEX('AFA Rates'!$E$5:$E$1004,$T1576))))</f>
        <v/>
      </c>
      <c r="H1576" s="50">
        <f>IF($T1576="","",IF($S1576="S",IF(INDEX(Firms!$G$5:$G$1004,$T1576)="","",INDEX(Firms!$G$5:$G$1004,$T1576)),IF(INDEX('AFA Rates'!$F$5:$F$1004,$T1576)="","",INDEX('AFA Rates'!$F$5:$F$1004,$T1576))))</f>
        <v/>
      </c>
      <c r="I1576" s="50">
        <f>IF($T1576="","",IF($S1576="S",IF(INDEX(Firms!$H$5:$H$1004,$T1576)="","",INDEX(Firms!$H$5:$H$1004,$T1576)),IF(INDEX('AFA Rates'!$G$5:$G$1004,$T1576)="","",INDEX('AFA Rates'!$G$5:$G$1004,$T1576))))</f>
        <v/>
      </c>
      <c r="J1576" s="50">
        <f>IF($T1576="","",IF($S1576="S",IF(INDEX(Firms!$I$5:$I$1004,$T1576)="","",INDEX(Firms!$I$5:$I$1004,$T1576)),IF(INDEX('AFA Rates'!$H$5:$H$1004,$T1576)="","",INDEX('AFA Rates'!$H$5:$H$1004,$T1576))))</f>
        <v/>
      </c>
      <c r="K1576" s="50">
        <f>IF($T1576="","",IF($S1576="S",IF(INDEX(Firms!$J$5:$J$1004,$T1576)="","",INDEX(Firms!$J$5:$J$1004,$T1576)),IF(INDEX('AFA Rates'!$I$5:$I$1004,$T1576)="","",INDEX('AFA Rates'!$I$5:$I$1004,$T1576))))</f>
        <v/>
      </c>
      <c r="L1576" s="50">
        <f>IF($T1576="","",IF($S1576="S",IF(INDEX(Firms!$K$5:$K$1004,$T1576)="","",INDEX(Firms!$K$5:$K$1004,$T1576)),IF(INDEX('AFA Rates'!$J$5:$J$1004,$T1576)="","",INDEX('AFA Rates'!$J$5:$J$1004,$T1576))))</f>
        <v/>
      </c>
      <c r="M1576" s="50">
        <f>IF($T1576="","",IF($S1576="S",IF(INDEX(Firms!$L$5:$L$1004,$T1576)="","",INDEX(Firms!$L$5:$L$1004,$T1576)),IF(INDEX('AFA Rates'!$K$5:$K$1004,$T1576)="","",INDEX('AFA Rates'!$K$5:$K$1004,$T1576))))</f>
        <v/>
      </c>
      <c r="N1576" s="50">
        <f>IF($T1576="","",IF($S1576="S",IF(INDEX(Firms!$M$5:$M$1004,$T1576)="","",INDEX(Firms!$M$5:$M$1004,$T1576)),IF(INDEX('AFA Rates'!$L$5:$L$1004,$T1576)="","",INDEX('AFA Rates'!$L$5:$L$1004,$T1576))))</f>
        <v/>
      </c>
      <c r="O1576" s="78">
        <f>IF(OR($T1576="",$U1576=""),"",IF(INDEX(Firms!$C$5:$C$1004,$U1576)="","",INDEX(Firms!$C$5:$C$1004,$U1576)))</f>
        <v/>
      </c>
      <c r="P1576" s="79">
        <f>IF(OR($T1576="",$U1576=""),"",IF(INDEX(Firms!$N$5:$N$1004,$U1576)="","",INDEX(Firms!$N$5:$N$1004,$U1576)))</f>
        <v/>
      </c>
      <c r="Q1576" s="78">
        <f>IF($T1576="","",IF($S1576="S",IF(INDEX(Firms!$T$5:$T$1004,$T1576)="","",INDEX(Firms!$T$5:$T$1004,$T1576)),IF(INDEX('AFA Rates'!$M$5:$M$1004,$T1576)="","",INDEX('AFA Rates'!$M$5:$M$1004,$T1576))))</f>
        <v/>
      </c>
      <c r="S1576">
        <f>IF(1572&lt;=$S$2,"S",IF(1572&lt;=$S$2+$T$2,"A",""))</f>
        <v/>
      </c>
      <c r="T1576">
        <f>IF(S1576="S",MATCH(1572,Firms!$W$5:$W$1004,0),IF(S1576="A",IFERROR(MATCH(1572-$S$2,'AFA Rates'!$R$5:$R$1004,0),""),""))</f>
        <v/>
      </c>
      <c r="U1576">
        <f>IF(S1576="S",T1576,IF(AND(S1576="A",T1576&lt;&gt;""),IFERROR(MATCH(INDEX('AFA Rates'!$A$5:$A$1004,T1576),Firms!$A$5:$A$1004,0),""),""))</f>
        <v/>
      </c>
    </row>
    <row r="1577">
      <c r="A1577" s="78">
        <f>IF($T1577="","",IF($S1577="S",IF(INDEX(Firms!$A$5:$A$1004,$T1577)="","",INDEX(Firms!$A$5:$A$1004,$T1577)),IF(INDEX('AFA Rates'!$A$5:$A$1004,$T1577)="","",INDEX('AFA Rates'!$A$5:$A$1004,$T1577))))</f>
        <v/>
      </c>
      <c r="B1577" s="79">
        <f>IF(OR($T1577="",$U1577=""),IF($T1577="","","Not on Firms tab"),INDEX(Firms!$B$5:$B$1004,$U1577)&amp;"")</f>
        <v/>
      </c>
      <c r="C1577" s="78">
        <f>IF($T1577="","",IF($S1577="S","Standard",INDEX('AFA Rates'!$B$5:$B$1004,$T1577)&amp;""))</f>
        <v/>
      </c>
      <c r="D1577" s="88">
        <f>IF($T1577="","",IF($S1577="S",IF(INDEX(Firms!$E$5:$E$1004,$T1577)="","",INDEX(Firms!$E$5:$E$1004,$T1577)),IF(INDEX('AFA Rates'!$C$5:$C$1004,$T1577)="","",INDEX('AFA Rates'!$C$5:$C$1004,$T1577))))</f>
        <v/>
      </c>
      <c r="E1577" s="88">
        <f>IF($T1577="","",IF($S1577="S",IF(""="","",""),IF(INDEX('AFA Rates'!$D$5:$D$1004,$T1577)="","",INDEX('AFA Rates'!$D$5:$D$1004,$T1577))))</f>
        <v/>
      </c>
      <c r="F1577" s="79">
        <f>IF($T1577="","",IF($S1577="S",IF(INDEX(Firms!$O$5:$O$1004,$T1577)="","",INDEX(Firms!$O$5:$O$1004,$T1577)),IF(INDEX('AFA Rates'!$O$5:$O$1004,$T1577)="","",INDEX('AFA Rates'!$O$5:$O$1004,$T1577))))</f>
        <v/>
      </c>
      <c r="G1577" s="50">
        <f>IF($T1577="","",IF($S1577="S",IF(INDEX(Firms!$F$5:$F$1004,$T1577)="","",INDEX(Firms!$F$5:$F$1004,$T1577)),IF(INDEX('AFA Rates'!$E$5:$E$1004,$T1577)="","",INDEX('AFA Rates'!$E$5:$E$1004,$T1577))))</f>
        <v/>
      </c>
      <c r="H1577" s="50">
        <f>IF($T1577="","",IF($S1577="S",IF(INDEX(Firms!$G$5:$G$1004,$T1577)="","",INDEX(Firms!$G$5:$G$1004,$T1577)),IF(INDEX('AFA Rates'!$F$5:$F$1004,$T1577)="","",INDEX('AFA Rates'!$F$5:$F$1004,$T1577))))</f>
        <v/>
      </c>
      <c r="I1577" s="50">
        <f>IF($T1577="","",IF($S1577="S",IF(INDEX(Firms!$H$5:$H$1004,$T1577)="","",INDEX(Firms!$H$5:$H$1004,$T1577)),IF(INDEX('AFA Rates'!$G$5:$G$1004,$T1577)="","",INDEX('AFA Rates'!$G$5:$G$1004,$T1577))))</f>
        <v/>
      </c>
      <c r="J1577" s="50">
        <f>IF($T1577="","",IF($S1577="S",IF(INDEX(Firms!$I$5:$I$1004,$T1577)="","",INDEX(Firms!$I$5:$I$1004,$T1577)),IF(INDEX('AFA Rates'!$H$5:$H$1004,$T1577)="","",INDEX('AFA Rates'!$H$5:$H$1004,$T1577))))</f>
        <v/>
      </c>
      <c r="K1577" s="50">
        <f>IF($T1577="","",IF($S1577="S",IF(INDEX(Firms!$J$5:$J$1004,$T1577)="","",INDEX(Firms!$J$5:$J$1004,$T1577)),IF(INDEX('AFA Rates'!$I$5:$I$1004,$T1577)="","",INDEX('AFA Rates'!$I$5:$I$1004,$T1577))))</f>
        <v/>
      </c>
      <c r="L1577" s="50">
        <f>IF($T1577="","",IF($S1577="S",IF(INDEX(Firms!$K$5:$K$1004,$T1577)="","",INDEX(Firms!$K$5:$K$1004,$T1577)),IF(INDEX('AFA Rates'!$J$5:$J$1004,$T1577)="","",INDEX('AFA Rates'!$J$5:$J$1004,$T1577))))</f>
        <v/>
      </c>
      <c r="M1577" s="50">
        <f>IF($T1577="","",IF($S1577="S",IF(INDEX(Firms!$L$5:$L$1004,$T1577)="","",INDEX(Firms!$L$5:$L$1004,$T1577)),IF(INDEX('AFA Rates'!$K$5:$K$1004,$T1577)="","",INDEX('AFA Rates'!$K$5:$K$1004,$T1577))))</f>
        <v/>
      </c>
      <c r="N1577" s="50">
        <f>IF($T1577="","",IF($S1577="S",IF(INDEX(Firms!$M$5:$M$1004,$T1577)="","",INDEX(Firms!$M$5:$M$1004,$T1577)),IF(INDEX('AFA Rates'!$L$5:$L$1004,$T1577)="","",INDEX('AFA Rates'!$L$5:$L$1004,$T1577))))</f>
        <v/>
      </c>
      <c r="O1577" s="78">
        <f>IF(OR($T1577="",$U1577=""),"",IF(INDEX(Firms!$C$5:$C$1004,$U1577)="","",INDEX(Firms!$C$5:$C$1004,$U1577)))</f>
        <v/>
      </c>
      <c r="P1577" s="79">
        <f>IF(OR($T1577="",$U1577=""),"",IF(INDEX(Firms!$N$5:$N$1004,$U1577)="","",INDEX(Firms!$N$5:$N$1004,$U1577)))</f>
        <v/>
      </c>
      <c r="Q1577" s="78">
        <f>IF($T1577="","",IF($S1577="S",IF(INDEX(Firms!$T$5:$T$1004,$T1577)="","",INDEX(Firms!$T$5:$T$1004,$T1577)),IF(INDEX('AFA Rates'!$M$5:$M$1004,$T1577)="","",INDEX('AFA Rates'!$M$5:$M$1004,$T1577))))</f>
        <v/>
      </c>
      <c r="S1577">
        <f>IF(1573&lt;=$S$2,"S",IF(1573&lt;=$S$2+$T$2,"A",""))</f>
        <v/>
      </c>
      <c r="T1577">
        <f>IF(S1577="S",MATCH(1573,Firms!$W$5:$W$1004,0),IF(S1577="A",IFERROR(MATCH(1573-$S$2,'AFA Rates'!$R$5:$R$1004,0),""),""))</f>
        <v/>
      </c>
      <c r="U1577">
        <f>IF(S1577="S",T1577,IF(AND(S1577="A",T1577&lt;&gt;""),IFERROR(MATCH(INDEX('AFA Rates'!$A$5:$A$1004,T1577),Firms!$A$5:$A$1004,0),""),""))</f>
        <v/>
      </c>
    </row>
    <row r="1578">
      <c r="A1578" s="78">
        <f>IF($T1578="","",IF($S1578="S",IF(INDEX(Firms!$A$5:$A$1004,$T1578)="","",INDEX(Firms!$A$5:$A$1004,$T1578)),IF(INDEX('AFA Rates'!$A$5:$A$1004,$T1578)="","",INDEX('AFA Rates'!$A$5:$A$1004,$T1578))))</f>
        <v/>
      </c>
      <c r="B1578" s="79">
        <f>IF(OR($T1578="",$U1578=""),IF($T1578="","","Not on Firms tab"),INDEX(Firms!$B$5:$B$1004,$U1578)&amp;"")</f>
        <v/>
      </c>
      <c r="C1578" s="78">
        <f>IF($T1578="","",IF($S1578="S","Standard",INDEX('AFA Rates'!$B$5:$B$1004,$T1578)&amp;""))</f>
        <v/>
      </c>
      <c r="D1578" s="88">
        <f>IF($T1578="","",IF($S1578="S",IF(INDEX(Firms!$E$5:$E$1004,$T1578)="","",INDEX(Firms!$E$5:$E$1004,$T1578)),IF(INDEX('AFA Rates'!$C$5:$C$1004,$T1578)="","",INDEX('AFA Rates'!$C$5:$C$1004,$T1578))))</f>
        <v/>
      </c>
      <c r="E1578" s="88">
        <f>IF($T1578="","",IF($S1578="S",IF(""="","",""),IF(INDEX('AFA Rates'!$D$5:$D$1004,$T1578)="","",INDEX('AFA Rates'!$D$5:$D$1004,$T1578))))</f>
        <v/>
      </c>
      <c r="F1578" s="79">
        <f>IF($T1578="","",IF($S1578="S",IF(INDEX(Firms!$O$5:$O$1004,$T1578)="","",INDEX(Firms!$O$5:$O$1004,$T1578)),IF(INDEX('AFA Rates'!$O$5:$O$1004,$T1578)="","",INDEX('AFA Rates'!$O$5:$O$1004,$T1578))))</f>
        <v/>
      </c>
      <c r="G1578" s="50">
        <f>IF($T1578="","",IF($S1578="S",IF(INDEX(Firms!$F$5:$F$1004,$T1578)="","",INDEX(Firms!$F$5:$F$1004,$T1578)),IF(INDEX('AFA Rates'!$E$5:$E$1004,$T1578)="","",INDEX('AFA Rates'!$E$5:$E$1004,$T1578))))</f>
        <v/>
      </c>
      <c r="H1578" s="50">
        <f>IF($T1578="","",IF($S1578="S",IF(INDEX(Firms!$G$5:$G$1004,$T1578)="","",INDEX(Firms!$G$5:$G$1004,$T1578)),IF(INDEX('AFA Rates'!$F$5:$F$1004,$T1578)="","",INDEX('AFA Rates'!$F$5:$F$1004,$T1578))))</f>
        <v/>
      </c>
      <c r="I1578" s="50">
        <f>IF($T1578="","",IF($S1578="S",IF(INDEX(Firms!$H$5:$H$1004,$T1578)="","",INDEX(Firms!$H$5:$H$1004,$T1578)),IF(INDEX('AFA Rates'!$G$5:$G$1004,$T1578)="","",INDEX('AFA Rates'!$G$5:$G$1004,$T1578))))</f>
        <v/>
      </c>
      <c r="J1578" s="50">
        <f>IF($T1578="","",IF($S1578="S",IF(INDEX(Firms!$I$5:$I$1004,$T1578)="","",INDEX(Firms!$I$5:$I$1004,$T1578)),IF(INDEX('AFA Rates'!$H$5:$H$1004,$T1578)="","",INDEX('AFA Rates'!$H$5:$H$1004,$T1578))))</f>
        <v/>
      </c>
      <c r="K1578" s="50">
        <f>IF($T1578="","",IF($S1578="S",IF(INDEX(Firms!$J$5:$J$1004,$T1578)="","",INDEX(Firms!$J$5:$J$1004,$T1578)),IF(INDEX('AFA Rates'!$I$5:$I$1004,$T1578)="","",INDEX('AFA Rates'!$I$5:$I$1004,$T1578))))</f>
        <v/>
      </c>
      <c r="L1578" s="50">
        <f>IF($T1578="","",IF($S1578="S",IF(INDEX(Firms!$K$5:$K$1004,$T1578)="","",INDEX(Firms!$K$5:$K$1004,$T1578)),IF(INDEX('AFA Rates'!$J$5:$J$1004,$T1578)="","",INDEX('AFA Rates'!$J$5:$J$1004,$T1578))))</f>
        <v/>
      </c>
      <c r="M1578" s="50">
        <f>IF($T1578="","",IF($S1578="S",IF(INDEX(Firms!$L$5:$L$1004,$T1578)="","",INDEX(Firms!$L$5:$L$1004,$T1578)),IF(INDEX('AFA Rates'!$K$5:$K$1004,$T1578)="","",INDEX('AFA Rates'!$K$5:$K$1004,$T1578))))</f>
        <v/>
      </c>
      <c r="N1578" s="50">
        <f>IF($T1578="","",IF($S1578="S",IF(INDEX(Firms!$M$5:$M$1004,$T1578)="","",INDEX(Firms!$M$5:$M$1004,$T1578)),IF(INDEX('AFA Rates'!$L$5:$L$1004,$T1578)="","",INDEX('AFA Rates'!$L$5:$L$1004,$T1578))))</f>
        <v/>
      </c>
      <c r="O1578" s="78">
        <f>IF(OR($T1578="",$U1578=""),"",IF(INDEX(Firms!$C$5:$C$1004,$U1578)="","",INDEX(Firms!$C$5:$C$1004,$U1578)))</f>
        <v/>
      </c>
      <c r="P1578" s="79">
        <f>IF(OR($T1578="",$U1578=""),"",IF(INDEX(Firms!$N$5:$N$1004,$U1578)="","",INDEX(Firms!$N$5:$N$1004,$U1578)))</f>
        <v/>
      </c>
      <c r="Q1578" s="78">
        <f>IF($T1578="","",IF($S1578="S",IF(INDEX(Firms!$T$5:$T$1004,$T1578)="","",INDEX(Firms!$T$5:$T$1004,$T1578)),IF(INDEX('AFA Rates'!$M$5:$M$1004,$T1578)="","",INDEX('AFA Rates'!$M$5:$M$1004,$T1578))))</f>
        <v/>
      </c>
      <c r="S1578">
        <f>IF(1574&lt;=$S$2,"S",IF(1574&lt;=$S$2+$T$2,"A",""))</f>
        <v/>
      </c>
      <c r="T1578">
        <f>IF(S1578="S",MATCH(1574,Firms!$W$5:$W$1004,0),IF(S1578="A",IFERROR(MATCH(1574-$S$2,'AFA Rates'!$R$5:$R$1004,0),""),""))</f>
        <v/>
      </c>
      <c r="U1578">
        <f>IF(S1578="S",T1578,IF(AND(S1578="A",T1578&lt;&gt;""),IFERROR(MATCH(INDEX('AFA Rates'!$A$5:$A$1004,T1578),Firms!$A$5:$A$1004,0),""),""))</f>
        <v/>
      </c>
    </row>
    <row r="1579">
      <c r="A1579" s="78">
        <f>IF($T1579="","",IF($S1579="S",IF(INDEX(Firms!$A$5:$A$1004,$T1579)="","",INDEX(Firms!$A$5:$A$1004,$T1579)),IF(INDEX('AFA Rates'!$A$5:$A$1004,$T1579)="","",INDEX('AFA Rates'!$A$5:$A$1004,$T1579))))</f>
        <v/>
      </c>
      <c r="B1579" s="79">
        <f>IF(OR($T1579="",$U1579=""),IF($T1579="","","Not on Firms tab"),INDEX(Firms!$B$5:$B$1004,$U1579)&amp;"")</f>
        <v/>
      </c>
      <c r="C1579" s="78">
        <f>IF($T1579="","",IF($S1579="S","Standard",INDEX('AFA Rates'!$B$5:$B$1004,$T1579)&amp;""))</f>
        <v/>
      </c>
      <c r="D1579" s="88">
        <f>IF($T1579="","",IF($S1579="S",IF(INDEX(Firms!$E$5:$E$1004,$T1579)="","",INDEX(Firms!$E$5:$E$1004,$T1579)),IF(INDEX('AFA Rates'!$C$5:$C$1004,$T1579)="","",INDEX('AFA Rates'!$C$5:$C$1004,$T1579))))</f>
        <v/>
      </c>
      <c r="E1579" s="88">
        <f>IF($T1579="","",IF($S1579="S",IF(""="","",""),IF(INDEX('AFA Rates'!$D$5:$D$1004,$T1579)="","",INDEX('AFA Rates'!$D$5:$D$1004,$T1579))))</f>
        <v/>
      </c>
      <c r="F1579" s="79">
        <f>IF($T1579="","",IF($S1579="S",IF(INDEX(Firms!$O$5:$O$1004,$T1579)="","",INDEX(Firms!$O$5:$O$1004,$T1579)),IF(INDEX('AFA Rates'!$O$5:$O$1004,$T1579)="","",INDEX('AFA Rates'!$O$5:$O$1004,$T1579))))</f>
        <v/>
      </c>
      <c r="G1579" s="50">
        <f>IF($T1579="","",IF($S1579="S",IF(INDEX(Firms!$F$5:$F$1004,$T1579)="","",INDEX(Firms!$F$5:$F$1004,$T1579)),IF(INDEX('AFA Rates'!$E$5:$E$1004,$T1579)="","",INDEX('AFA Rates'!$E$5:$E$1004,$T1579))))</f>
        <v/>
      </c>
      <c r="H1579" s="50">
        <f>IF($T1579="","",IF($S1579="S",IF(INDEX(Firms!$G$5:$G$1004,$T1579)="","",INDEX(Firms!$G$5:$G$1004,$T1579)),IF(INDEX('AFA Rates'!$F$5:$F$1004,$T1579)="","",INDEX('AFA Rates'!$F$5:$F$1004,$T1579))))</f>
        <v/>
      </c>
      <c r="I1579" s="50">
        <f>IF($T1579="","",IF($S1579="S",IF(INDEX(Firms!$H$5:$H$1004,$T1579)="","",INDEX(Firms!$H$5:$H$1004,$T1579)),IF(INDEX('AFA Rates'!$G$5:$G$1004,$T1579)="","",INDEX('AFA Rates'!$G$5:$G$1004,$T1579))))</f>
        <v/>
      </c>
      <c r="J1579" s="50">
        <f>IF($T1579="","",IF($S1579="S",IF(INDEX(Firms!$I$5:$I$1004,$T1579)="","",INDEX(Firms!$I$5:$I$1004,$T1579)),IF(INDEX('AFA Rates'!$H$5:$H$1004,$T1579)="","",INDEX('AFA Rates'!$H$5:$H$1004,$T1579))))</f>
        <v/>
      </c>
      <c r="K1579" s="50">
        <f>IF($T1579="","",IF($S1579="S",IF(INDEX(Firms!$J$5:$J$1004,$T1579)="","",INDEX(Firms!$J$5:$J$1004,$T1579)),IF(INDEX('AFA Rates'!$I$5:$I$1004,$T1579)="","",INDEX('AFA Rates'!$I$5:$I$1004,$T1579))))</f>
        <v/>
      </c>
      <c r="L1579" s="50">
        <f>IF($T1579="","",IF($S1579="S",IF(INDEX(Firms!$K$5:$K$1004,$T1579)="","",INDEX(Firms!$K$5:$K$1004,$T1579)),IF(INDEX('AFA Rates'!$J$5:$J$1004,$T1579)="","",INDEX('AFA Rates'!$J$5:$J$1004,$T1579))))</f>
        <v/>
      </c>
      <c r="M1579" s="50">
        <f>IF($T1579="","",IF($S1579="S",IF(INDEX(Firms!$L$5:$L$1004,$T1579)="","",INDEX(Firms!$L$5:$L$1004,$T1579)),IF(INDEX('AFA Rates'!$K$5:$K$1004,$T1579)="","",INDEX('AFA Rates'!$K$5:$K$1004,$T1579))))</f>
        <v/>
      </c>
      <c r="N1579" s="50">
        <f>IF($T1579="","",IF($S1579="S",IF(INDEX(Firms!$M$5:$M$1004,$T1579)="","",INDEX(Firms!$M$5:$M$1004,$T1579)),IF(INDEX('AFA Rates'!$L$5:$L$1004,$T1579)="","",INDEX('AFA Rates'!$L$5:$L$1004,$T1579))))</f>
        <v/>
      </c>
      <c r="O1579" s="78">
        <f>IF(OR($T1579="",$U1579=""),"",IF(INDEX(Firms!$C$5:$C$1004,$U1579)="","",INDEX(Firms!$C$5:$C$1004,$U1579)))</f>
        <v/>
      </c>
      <c r="P1579" s="79">
        <f>IF(OR($T1579="",$U1579=""),"",IF(INDEX(Firms!$N$5:$N$1004,$U1579)="","",INDEX(Firms!$N$5:$N$1004,$U1579)))</f>
        <v/>
      </c>
      <c r="Q1579" s="78">
        <f>IF($T1579="","",IF($S1579="S",IF(INDEX(Firms!$T$5:$T$1004,$T1579)="","",INDEX(Firms!$T$5:$T$1004,$T1579)),IF(INDEX('AFA Rates'!$M$5:$M$1004,$T1579)="","",INDEX('AFA Rates'!$M$5:$M$1004,$T1579))))</f>
        <v/>
      </c>
      <c r="S1579">
        <f>IF(1575&lt;=$S$2,"S",IF(1575&lt;=$S$2+$T$2,"A",""))</f>
        <v/>
      </c>
      <c r="T1579">
        <f>IF(S1579="S",MATCH(1575,Firms!$W$5:$W$1004,0),IF(S1579="A",IFERROR(MATCH(1575-$S$2,'AFA Rates'!$R$5:$R$1004,0),""),""))</f>
        <v/>
      </c>
      <c r="U1579">
        <f>IF(S1579="S",T1579,IF(AND(S1579="A",T1579&lt;&gt;""),IFERROR(MATCH(INDEX('AFA Rates'!$A$5:$A$1004,T1579),Firms!$A$5:$A$1004,0),""),""))</f>
        <v/>
      </c>
    </row>
    <row r="1580">
      <c r="A1580" s="78">
        <f>IF($T1580="","",IF($S1580="S",IF(INDEX(Firms!$A$5:$A$1004,$T1580)="","",INDEX(Firms!$A$5:$A$1004,$T1580)),IF(INDEX('AFA Rates'!$A$5:$A$1004,$T1580)="","",INDEX('AFA Rates'!$A$5:$A$1004,$T1580))))</f>
        <v/>
      </c>
      <c r="B1580" s="79">
        <f>IF(OR($T1580="",$U1580=""),IF($T1580="","","Not on Firms tab"),INDEX(Firms!$B$5:$B$1004,$U1580)&amp;"")</f>
        <v/>
      </c>
      <c r="C1580" s="78">
        <f>IF($T1580="","",IF($S1580="S","Standard",INDEX('AFA Rates'!$B$5:$B$1004,$T1580)&amp;""))</f>
        <v/>
      </c>
      <c r="D1580" s="88">
        <f>IF($T1580="","",IF($S1580="S",IF(INDEX(Firms!$E$5:$E$1004,$T1580)="","",INDEX(Firms!$E$5:$E$1004,$T1580)),IF(INDEX('AFA Rates'!$C$5:$C$1004,$T1580)="","",INDEX('AFA Rates'!$C$5:$C$1004,$T1580))))</f>
        <v/>
      </c>
      <c r="E1580" s="88">
        <f>IF($T1580="","",IF($S1580="S",IF(""="","",""),IF(INDEX('AFA Rates'!$D$5:$D$1004,$T1580)="","",INDEX('AFA Rates'!$D$5:$D$1004,$T1580))))</f>
        <v/>
      </c>
      <c r="F1580" s="79">
        <f>IF($T1580="","",IF($S1580="S",IF(INDEX(Firms!$O$5:$O$1004,$T1580)="","",INDEX(Firms!$O$5:$O$1004,$T1580)),IF(INDEX('AFA Rates'!$O$5:$O$1004,$T1580)="","",INDEX('AFA Rates'!$O$5:$O$1004,$T1580))))</f>
        <v/>
      </c>
      <c r="G1580" s="50">
        <f>IF($T1580="","",IF($S1580="S",IF(INDEX(Firms!$F$5:$F$1004,$T1580)="","",INDEX(Firms!$F$5:$F$1004,$T1580)),IF(INDEX('AFA Rates'!$E$5:$E$1004,$T1580)="","",INDEX('AFA Rates'!$E$5:$E$1004,$T1580))))</f>
        <v/>
      </c>
      <c r="H1580" s="50">
        <f>IF($T1580="","",IF($S1580="S",IF(INDEX(Firms!$G$5:$G$1004,$T1580)="","",INDEX(Firms!$G$5:$G$1004,$T1580)),IF(INDEX('AFA Rates'!$F$5:$F$1004,$T1580)="","",INDEX('AFA Rates'!$F$5:$F$1004,$T1580))))</f>
        <v/>
      </c>
      <c r="I1580" s="50">
        <f>IF($T1580="","",IF($S1580="S",IF(INDEX(Firms!$H$5:$H$1004,$T1580)="","",INDEX(Firms!$H$5:$H$1004,$T1580)),IF(INDEX('AFA Rates'!$G$5:$G$1004,$T1580)="","",INDEX('AFA Rates'!$G$5:$G$1004,$T1580))))</f>
        <v/>
      </c>
      <c r="J1580" s="50">
        <f>IF($T1580="","",IF($S1580="S",IF(INDEX(Firms!$I$5:$I$1004,$T1580)="","",INDEX(Firms!$I$5:$I$1004,$T1580)),IF(INDEX('AFA Rates'!$H$5:$H$1004,$T1580)="","",INDEX('AFA Rates'!$H$5:$H$1004,$T1580))))</f>
        <v/>
      </c>
      <c r="K1580" s="50">
        <f>IF($T1580="","",IF($S1580="S",IF(INDEX(Firms!$J$5:$J$1004,$T1580)="","",INDEX(Firms!$J$5:$J$1004,$T1580)),IF(INDEX('AFA Rates'!$I$5:$I$1004,$T1580)="","",INDEX('AFA Rates'!$I$5:$I$1004,$T1580))))</f>
        <v/>
      </c>
      <c r="L1580" s="50">
        <f>IF($T1580="","",IF($S1580="S",IF(INDEX(Firms!$K$5:$K$1004,$T1580)="","",INDEX(Firms!$K$5:$K$1004,$T1580)),IF(INDEX('AFA Rates'!$J$5:$J$1004,$T1580)="","",INDEX('AFA Rates'!$J$5:$J$1004,$T1580))))</f>
        <v/>
      </c>
      <c r="M1580" s="50">
        <f>IF($T1580="","",IF($S1580="S",IF(INDEX(Firms!$L$5:$L$1004,$T1580)="","",INDEX(Firms!$L$5:$L$1004,$T1580)),IF(INDEX('AFA Rates'!$K$5:$K$1004,$T1580)="","",INDEX('AFA Rates'!$K$5:$K$1004,$T1580))))</f>
        <v/>
      </c>
      <c r="N1580" s="50">
        <f>IF($T1580="","",IF($S1580="S",IF(INDEX(Firms!$M$5:$M$1004,$T1580)="","",INDEX(Firms!$M$5:$M$1004,$T1580)),IF(INDEX('AFA Rates'!$L$5:$L$1004,$T1580)="","",INDEX('AFA Rates'!$L$5:$L$1004,$T1580))))</f>
        <v/>
      </c>
      <c r="O1580" s="78">
        <f>IF(OR($T1580="",$U1580=""),"",IF(INDEX(Firms!$C$5:$C$1004,$U1580)="","",INDEX(Firms!$C$5:$C$1004,$U1580)))</f>
        <v/>
      </c>
      <c r="P1580" s="79">
        <f>IF(OR($T1580="",$U1580=""),"",IF(INDEX(Firms!$N$5:$N$1004,$U1580)="","",INDEX(Firms!$N$5:$N$1004,$U1580)))</f>
        <v/>
      </c>
      <c r="Q1580" s="78">
        <f>IF($T1580="","",IF($S1580="S",IF(INDEX(Firms!$T$5:$T$1004,$T1580)="","",INDEX(Firms!$T$5:$T$1004,$T1580)),IF(INDEX('AFA Rates'!$M$5:$M$1004,$T1580)="","",INDEX('AFA Rates'!$M$5:$M$1004,$T1580))))</f>
        <v/>
      </c>
      <c r="S1580">
        <f>IF(1576&lt;=$S$2,"S",IF(1576&lt;=$S$2+$T$2,"A",""))</f>
        <v/>
      </c>
      <c r="T1580">
        <f>IF(S1580="S",MATCH(1576,Firms!$W$5:$W$1004,0),IF(S1580="A",IFERROR(MATCH(1576-$S$2,'AFA Rates'!$R$5:$R$1004,0),""),""))</f>
        <v/>
      </c>
      <c r="U1580">
        <f>IF(S1580="S",T1580,IF(AND(S1580="A",T1580&lt;&gt;""),IFERROR(MATCH(INDEX('AFA Rates'!$A$5:$A$1004,T1580),Firms!$A$5:$A$1004,0),""),""))</f>
        <v/>
      </c>
    </row>
    <row r="1581">
      <c r="A1581" s="78">
        <f>IF($T1581="","",IF($S1581="S",IF(INDEX(Firms!$A$5:$A$1004,$T1581)="","",INDEX(Firms!$A$5:$A$1004,$T1581)),IF(INDEX('AFA Rates'!$A$5:$A$1004,$T1581)="","",INDEX('AFA Rates'!$A$5:$A$1004,$T1581))))</f>
        <v/>
      </c>
      <c r="B1581" s="79">
        <f>IF(OR($T1581="",$U1581=""),IF($T1581="","","Not on Firms tab"),INDEX(Firms!$B$5:$B$1004,$U1581)&amp;"")</f>
        <v/>
      </c>
      <c r="C1581" s="78">
        <f>IF($T1581="","",IF($S1581="S","Standard",INDEX('AFA Rates'!$B$5:$B$1004,$T1581)&amp;""))</f>
        <v/>
      </c>
      <c r="D1581" s="88">
        <f>IF($T1581="","",IF($S1581="S",IF(INDEX(Firms!$E$5:$E$1004,$T1581)="","",INDEX(Firms!$E$5:$E$1004,$T1581)),IF(INDEX('AFA Rates'!$C$5:$C$1004,$T1581)="","",INDEX('AFA Rates'!$C$5:$C$1004,$T1581))))</f>
        <v/>
      </c>
      <c r="E1581" s="88">
        <f>IF($T1581="","",IF($S1581="S",IF(""="","",""),IF(INDEX('AFA Rates'!$D$5:$D$1004,$T1581)="","",INDEX('AFA Rates'!$D$5:$D$1004,$T1581))))</f>
        <v/>
      </c>
      <c r="F1581" s="79">
        <f>IF($T1581="","",IF($S1581="S",IF(INDEX(Firms!$O$5:$O$1004,$T1581)="","",INDEX(Firms!$O$5:$O$1004,$T1581)),IF(INDEX('AFA Rates'!$O$5:$O$1004,$T1581)="","",INDEX('AFA Rates'!$O$5:$O$1004,$T1581))))</f>
        <v/>
      </c>
      <c r="G1581" s="50">
        <f>IF($T1581="","",IF($S1581="S",IF(INDEX(Firms!$F$5:$F$1004,$T1581)="","",INDEX(Firms!$F$5:$F$1004,$T1581)),IF(INDEX('AFA Rates'!$E$5:$E$1004,$T1581)="","",INDEX('AFA Rates'!$E$5:$E$1004,$T1581))))</f>
        <v/>
      </c>
      <c r="H1581" s="50">
        <f>IF($T1581="","",IF($S1581="S",IF(INDEX(Firms!$G$5:$G$1004,$T1581)="","",INDEX(Firms!$G$5:$G$1004,$T1581)),IF(INDEX('AFA Rates'!$F$5:$F$1004,$T1581)="","",INDEX('AFA Rates'!$F$5:$F$1004,$T1581))))</f>
        <v/>
      </c>
      <c r="I1581" s="50">
        <f>IF($T1581="","",IF($S1581="S",IF(INDEX(Firms!$H$5:$H$1004,$T1581)="","",INDEX(Firms!$H$5:$H$1004,$T1581)),IF(INDEX('AFA Rates'!$G$5:$G$1004,$T1581)="","",INDEX('AFA Rates'!$G$5:$G$1004,$T1581))))</f>
        <v/>
      </c>
      <c r="J1581" s="50">
        <f>IF($T1581="","",IF($S1581="S",IF(INDEX(Firms!$I$5:$I$1004,$T1581)="","",INDEX(Firms!$I$5:$I$1004,$T1581)),IF(INDEX('AFA Rates'!$H$5:$H$1004,$T1581)="","",INDEX('AFA Rates'!$H$5:$H$1004,$T1581))))</f>
        <v/>
      </c>
      <c r="K1581" s="50">
        <f>IF($T1581="","",IF($S1581="S",IF(INDEX(Firms!$J$5:$J$1004,$T1581)="","",INDEX(Firms!$J$5:$J$1004,$T1581)),IF(INDEX('AFA Rates'!$I$5:$I$1004,$T1581)="","",INDEX('AFA Rates'!$I$5:$I$1004,$T1581))))</f>
        <v/>
      </c>
      <c r="L1581" s="50">
        <f>IF($T1581="","",IF($S1581="S",IF(INDEX(Firms!$K$5:$K$1004,$T1581)="","",INDEX(Firms!$K$5:$K$1004,$T1581)),IF(INDEX('AFA Rates'!$J$5:$J$1004,$T1581)="","",INDEX('AFA Rates'!$J$5:$J$1004,$T1581))))</f>
        <v/>
      </c>
      <c r="M1581" s="50">
        <f>IF($T1581="","",IF($S1581="S",IF(INDEX(Firms!$L$5:$L$1004,$T1581)="","",INDEX(Firms!$L$5:$L$1004,$T1581)),IF(INDEX('AFA Rates'!$K$5:$K$1004,$T1581)="","",INDEX('AFA Rates'!$K$5:$K$1004,$T1581))))</f>
        <v/>
      </c>
      <c r="N1581" s="50">
        <f>IF($T1581="","",IF($S1581="S",IF(INDEX(Firms!$M$5:$M$1004,$T1581)="","",INDEX(Firms!$M$5:$M$1004,$T1581)),IF(INDEX('AFA Rates'!$L$5:$L$1004,$T1581)="","",INDEX('AFA Rates'!$L$5:$L$1004,$T1581))))</f>
        <v/>
      </c>
      <c r="O1581" s="78">
        <f>IF(OR($T1581="",$U1581=""),"",IF(INDEX(Firms!$C$5:$C$1004,$U1581)="","",INDEX(Firms!$C$5:$C$1004,$U1581)))</f>
        <v/>
      </c>
      <c r="P1581" s="79">
        <f>IF(OR($T1581="",$U1581=""),"",IF(INDEX(Firms!$N$5:$N$1004,$U1581)="","",INDEX(Firms!$N$5:$N$1004,$U1581)))</f>
        <v/>
      </c>
      <c r="Q1581" s="78">
        <f>IF($T1581="","",IF($S1581="S",IF(INDEX(Firms!$T$5:$T$1004,$T1581)="","",INDEX(Firms!$T$5:$T$1004,$T1581)),IF(INDEX('AFA Rates'!$M$5:$M$1004,$T1581)="","",INDEX('AFA Rates'!$M$5:$M$1004,$T1581))))</f>
        <v/>
      </c>
      <c r="S1581">
        <f>IF(1577&lt;=$S$2,"S",IF(1577&lt;=$S$2+$T$2,"A",""))</f>
        <v/>
      </c>
      <c r="T1581">
        <f>IF(S1581="S",MATCH(1577,Firms!$W$5:$W$1004,0),IF(S1581="A",IFERROR(MATCH(1577-$S$2,'AFA Rates'!$R$5:$R$1004,0),""),""))</f>
        <v/>
      </c>
      <c r="U1581">
        <f>IF(S1581="S",T1581,IF(AND(S1581="A",T1581&lt;&gt;""),IFERROR(MATCH(INDEX('AFA Rates'!$A$5:$A$1004,T1581),Firms!$A$5:$A$1004,0),""),""))</f>
        <v/>
      </c>
    </row>
    <row r="1582">
      <c r="A1582" s="78">
        <f>IF($T1582="","",IF($S1582="S",IF(INDEX(Firms!$A$5:$A$1004,$T1582)="","",INDEX(Firms!$A$5:$A$1004,$T1582)),IF(INDEX('AFA Rates'!$A$5:$A$1004,$T1582)="","",INDEX('AFA Rates'!$A$5:$A$1004,$T1582))))</f>
        <v/>
      </c>
      <c r="B1582" s="79">
        <f>IF(OR($T1582="",$U1582=""),IF($T1582="","","Not on Firms tab"),INDEX(Firms!$B$5:$B$1004,$U1582)&amp;"")</f>
        <v/>
      </c>
      <c r="C1582" s="78">
        <f>IF($T1582="","",IF($S1582="S","Standard",INDEX('AFA Rates'!$B$5:$B$1004,$T1582)&amp;""))</f>
        <v/>
      </c>
      <c r="D1582" s="88">
        <f>IF($T1582="","",IF($S1582="S",IF(INDEX(Firms!$E$5:$E$1004,$T1582)="","",INDEX(Firms!$E$5:$E$1004,$T1582)),IF(INDEX('AFA Rates'!$C$5:$C$1004,$T1582)="","",INDEX('AFA Rates'!$C$5:$C$1004,$T1582))))</f>
        <v/>
      </c>
      <c r="E1582" s="88">
        <f>IF($T1582="","",IF($S1582="S",IF(""="","",""),IF(INDEX('AFA Rates'!$D$5:$D$1004,$T1582)="","",INDEX('AFA Rates'!$D$5:$D$1004,$T1582))))</f>
        <v/>
      </c>
      <c r="F1582" s="79">
        <f>IF($T1582="","",IF($S1582="S",IF(INDEX(Firms!$O$5:$O$1004,$T1582)="","",INDEX(Firms!$O$5:$O$1004,$T1582)),IF(INDEX('AFA Rates'!$O$5:$O$1004,$T1582)="","",INDEX('AFA Rates'!$O$5:$O$1004,$T1582))))</f>
        <v/>
      </c>
      <c r="G1582" s="50">
        <f>IF($T1582="","",IF($S1582="S",IF(INDEX(Firms!$F$5:$F$1004,$T1582)="","",INDEX(Firms!$F$5:$F$1004,$T1582)),IF(INDEX('AFA Rates'!$E$5:$E$1004,$T1582)="","",INDEX('AFA Rates'!$E$5:$E$1004,$T1582))))</f>
        <v/>
      </c>
      <c r="H1582" s="50">
        <f>IF($T1582="","",IF($S1582="S",IF(INDEX(Firms!$G$5:$G$1004,$T1582)="","",INDEX(Firms!$G$5:$G$1004,$T1582)),IF(INDEX('AFA Rates'!$F$5:$F$1004,$T1582)="","",INDEX('AFA Rates'!$F$5:$F$1004,$T1582))))</f>
        <v/>
      </c>
      <c r="I1582" s="50">
        <f>IF($T1582="","",IF($S1582="S",IF(INDEX(Firms!$H$5:$H$1004,$T1582)="","",INDEX(Firms!$H$5:$H$1004,$T1582)),IF(INDEX('AFA Rates'!$G$5:$G$1004,$T1582)="","",INDEX('AFA Rates'!$G$5:$G$1004,$T1582))))</f>
        <v/>
      </c>
      <c r="J1582" s="50">
        <f>IF($T1582="","",IF($S1582="S",IF(INDEX(Firms!$I$5:$I$1004,$T1582)="","",INDEX(Firms!$I$5:$I$1004,$T1582)),IF(INDEX('AFA Rates'!$H$5:$H$1004,$T1582)="","",INDEX('AFA Rates'!$H$5:$H$1004,$T1582))))</f>
        <v/>
      </c>
      <c r="K1582" s="50">
        <f>IF($T1582="","",IF($S1582="S",IF(INDEX(Firms!$J$5:$J$1004,$T1582)="","",INDEX(Firms!$J$5:$J$1004,$T1582)),IF(INDEX('AFA Rates'!$I$5:$I$1004,$T1582)="","",INDEX('AFA Rates'!$I$5:$I$1004,$T1582))))</f>
        <v/>
      </c>
      <c r="L1582" s="50">
        <f>IF($T1582="","",IF($S1582="S",IF(INDEX(Firms!$K$5:$K$1004,$T1582)="","",INDEX(Firms!$K$5:$K$1004,$T1582)),IF(INDEX('AFA Rates'!$J$5:$J$1004,$T1582)="","",INDEX('AFA Rates'!$J$5:$J$1004,$T1582))))</f>
        <v/>
      </c>
      <c r="M1582" s="50">
        <f>IF($T1582="","",IF($S1582="S",IF(INDEX(Firms!$L$5:$L$1004,$T1582)="","",INDEX(Firms!$L$5:$L$1004,$T1582)),IF(INDEX('AFA Rates'!$K$5:$K$1004,$T1582)="","",INDEX('AFA Rates'!$K$5:$K$1004,$T1582))))</f>
        <v/>
      </c>
      <c r="N1582" s="50">
        <f>IF($T1582="","",IF($S1582="S",IF(INDEX(Firms!$M$5:$M$1004,$T1582)="","",INDEX(Firms!$M$5:$M$1004,$T1582)),IF(INDEX('AFA Rates'!$L$5:$L$1004,$T1582)="","",INDEX('AFA Rates'!$L$5:$L$1004,$T1582))))</f>
        <v/>
      </c>
      <c r="O1582" s="78">
        <f>IF(OR($T1582="",$U1582=""),"",IF(INDEX(Firms!$C$5:$C$1004,$U1582)="","",INDEX(Firms!$C$5:$C$1004,$U1582)))</f>
        <v/>
      </c>
      <c r="P1582" s="79">
        <f>IF(OR($T1582="",$U1582=""),"",IF(INDEX(Firms!$N$5:$N$1004,$U1582)="","",INDEX(Firms!$N$5:$N$1004,$U1582)))</f>
        <v/>
      </c>
      <c r="Q1582" s="78">
        <f>IF($T1582="","",IF($S1582="S",IF(INDEX(Firms!$T$5:$T$1004,$T1582)="","",INDEX(Firms!$T$5:$T$1004,$T1582)),IF(INDEX('AFA Rates'!$M$5:$M$1004,$T1582)="","",INDEX('AFA Rates'!$M$5:$M$1004,$T1582))))</f>
        <v/>
      </c>
      <c r="S1582">
        <f>IF(1578&lt;=$S$2,"S",IF(1578&lt;=$S$2+$T$2,"A",""))</f>
        <v/>
      </c>
      <c r="T1582">
        <f>IF(S1582="S",MATCH(1578,Firms!$W$5:$W$1004,0),IF(S1582="A",IFERROR(MATCH(1578-$S$2,'AFA Rates'!$R$5:$R$1004,0),""),""))</f>
        <v/>
      </c>
      <c r="U1582">
        <f>IF(S1582="S",T1582,IF(AND(S1582="A",T1582&lt;&gt;""),IFERROR(MATCH(INDEX('AFA Rates'!$A$5:$A$1004,T1582),Firms!$A$5:$A$1004,0),""),""))</f>
        <v/>
      </c>
    </row>
    <row r="1583">
      <c r="A1583" s="78">
        <f>IF($T1583="","",IF($S1583="S",IF(INDEX(Firms!$A$5:$A$1004,$T1583)="","",INDEX(Firms!$A$5:$A$1004,$T1583)),IF(INDEX('AFA Rates'!$A$5:$A$1004,$T1583)="","",INDEX('AFA Rates'!$A$5:$A$1004,$T1583))))</f>
        <v/>
      </c>
      <c r="B1583" s="79">
        <f>IF(OR($T1583="",$U1583=""),IF($T1583="","","Not on Firms tab"),INDEX(Firms!$B$5:$B$1004,$U1583)&amp;"")</f>
        <v/>
      </c>
      <c r="C1583" s="78">
        <f>IF($T1583="","",IF($S1583="S","Standard",INDEX('AFA Rates'!$B$5:$B$1004,$T1583)&amp;""))</f>
        <v/>
      </c>
      <c r="D1583" s="88">
        <f>IF($T1583="","",IF($S1583="S",IF(INDEX(Firms!$E$5:$E$1004,$T1583)="","",INDEX(Firms!$E$5:$E$1004,$T1583)),IF(INDEX('AFA Rates'!$C$5:$C$1004,$T1583)="","",INDEX('AFA Rates'!$C$5:$C$1004,$T1583))))</f>
        <v/>
      </c>
      <c r="E1583" s="88">
        <f>IF($T1583="","",IF($S1583="S",IF(""="","",""),IF(INDEX('AFA Rates'!$D$5:$D$1004,$T1583)="","",INDEX('AFA Rates'!$D$5:$D$1004,$T1583))))</f>
        <v/>
      </c>
      <c r="F1583" s="79">
        <f>IF($T1583="","",IF($S1583="S",IF(INDEX(Firms!$O$5:$O$1004,$T1583)="","",INDEX(Firms!$O$5:$O$1004,$T1583)),IF(INDEX('AFA Rates'!$O$5:$O$1004,$T1583)="","",INDEX('AFA Rates'!$O$5:$O$1004,$T1583))))</f>
        <v/>
      </c>
      <c r="G1583" s="50">
        <f>IF($T1583="","",IF($S1583="S",IF(INDEX(Firms!$F$5:$F$1004,$T1583)="","",INDEX(Firms!$F$5:$F$1004,$T1583)),IF(INDEX('AFA Rates'!$E$5:$E$1004,$T1583)="","",INDEX('AFA Rates'!$E$5:$E$1004,$T1583))))</f>
        <v/>
      </c>
      <c r="H1583" s="50">
        <f>IF($T1583="","",IF($S1583="S",IF(INDEX(Firms!$G$5:$G$1004,$T1583)="","",INDEX(Firms!$G$5:$G$1004,$T1583)),IF(INDEX('AFA Rates'!$F$5:$F$1004,$T1583)="","",INDEX('AFA Rates'!$F$5:$F$1004,$T1583))))</f>
        <v/>
      </c>
      <c r="I1583" s="50">
        <f>IF($T1583="","",IF($S1583="S",IF(INDEX(Firms!$H$5:$H$1004,$T1583)="","",INDEX(Firms!$H$5:$H$1004,$T1583)),IF(INDEX('AFA Rates'!$G$5:$G$1004,$T1583)="","",INDEX('AFA Rates'!$G$5:$G$1004,$T1583))))</f>
        <v/>
      </c>
      <c r="J1583" s="50">
        <f>IF($T1583="","",IF($S1583="S",IF(INDEX(Firms!$I$5:$I$1004,$T1583)="","",INDEX(Firms!$I$5:$I$1004,$T1583)),IF(INDEX('AFA Rates'!$H$5:$H$1004,$T1583)="","",INDEX('AFA Rates'!$H$5:$H$1004,$T1583))))</f>
        <v/>
      </c>
      <c r="K1583" s="50">
        <f>IF($T1583="","",IF($S1583="S",IF(INDEX(Firms!$J$5:$J$1004,$T1583)="","",INDEX(Firms!$J$5:$J$1004,$T1583)),IF(INDEX('AFA Rates'!$I$5:$I$1004,$T1583)="","",INDEX('AFA Rates'!$I$5:$I$1004,$T1583))))</f>
        <v/>
      </c>
      <c r="L1583" s="50">
        <f>IF($T1583="","",IF($S1583="S",IF(INDEX(Firms!$K$5:$K$1004,$T1583)="","",INDEX(Firms!$K$5:$K$1004,$T1583)),IF(INDEX('AFA Rates'!$J$5:$J$1004,$T1583)="","",INDEX('AFA Rates'!$J$5:$J$1004,$T1583))))</f>
        <v/>
      </c>
      <c r="M1583" s="50">
        <f>IF($T1583="","",IF($S1583="S",IF(INDEX(Firms!$L$5:$L$1004,$T1583)="","",INDEX(Firms!$L$5:$L$1004,$T1583)),IF(INDEX('AFA Rates'!$K$5:$K$1004,$T1583)="","",INDEX('AFA Rates'!$K$5:$K$1004,$T1583))))</f>
        <v/>
      </c>
      <c r="N1583" s="50">
        <f>IF($T1583="","",IF($S1583="S",IF(INDEX(Firms!$M$5:$M$1004,$T1583)="","",INDEX(Firms!$M$5:$M$1004,$T1583)),IF(INDEX('AFA Rates'!$L$5:$L$1004,$T1583)="","",INDEX('AFA Rates'!$L$5:$L$1004,$T1583))))</f>
        <v/>
      </c>
      <c r="O1583" s="78">
        <f>IF(OR($T1583="",$U1583=""),"",IF(INDEX(Firms!$C$5:$C$1004,$U1583)="","",INDEX(Firms!$C$5:$C$1004,$U1583)))</f>
        <v/>
      </c>
      <c r="P1583" s="79">
        <f>IF(OR($T1583="",$U1583=""),"",IF(INDEX(Firms!$N$5:$N$1004,$U1583)="","",INDEX(Firms!$N$5:$N$1004,$U1583)))</f>
        <v/>
      </c>
      <c r="Q1583" s="78">
        <f>IF($T1583="","",IF($S1583="S",IF(INDEX(Firms!$T$5:$T$1004,$T1583)="","",INDEX(Firms!$T$5:$T$1004,$T1583)),IF(INDEX('AFA Rates'!$M$5:$M$1004,$T1583)="","",INDEX('AFA Rates'!$M$5:$M$1004,$T1583))))</f>
        <v/>
      </c>
      <c r="S1583">
        <f>IF(1579&lt;=$S$2,"S",IF(1579&lt;=$S$2+$T$2,"A",""))</f>
        <v/>
      </c>
      <c r="T1583">
        <f>IF(S1583="S",MATCH(1579,Firms!$W$5:$W$1004,0),IF(S1583="A",IFERROR(MATCH(1579-$S$2,'AFA Rates'!$R$5:$R$1004,0),""),""))</f>
        <v/>
      </c>
      <c r="U1583">
        <f>IF(S1583="S",T1583,IF(AND(S1583="A",T1583&lt;&gt;""),IFERROR(MATCH(INDEX('AFA Rates'!$A$5:$A$1004,T1583),Firms!$A$5:$A$1004,0),""),""))</f>
        <v/>
      </c>
    </row>
    <row r="1584">
      <c r="A1584" s="78">
        <f>IF($T1584="","",IF($S1584="S",IF(INDEX(Firms!$A$5:$A$1004,$T1584)="","",INDEX(Firms!$A$5:$A$1004,$T1584)),IF(INDEX('AFA Rates'!$A$5:$A$1004,$T1584)="","",INDEX('AFA Rates'!$A$5:$A$1004,$T1584))))</f>
        <v/>
      </c>
      <c r="B1584" s="79">
        <f>IF(OR($T1584="",$U1584=""),IF($T1584="","","Not on Firms tab"),INDEX(Firms!$B$5:$B$1004,$U1584)&amp;"")</f>
        <v/>
      </c>
      <c r="C1584" s="78">
        <f>IF($T1584="","",IF($S1584="S","Standard",INDEX('AFA Rates'!$B$5:$B$1004,$T1584)&amp;""))</f>
        <v/>
      </c>
      <c r="D1584" s="88">
        <f>IF($T1584="","",IF($S1584="S",IF(INDEX(Firms!$E$5:$E$1004,$T1584)="","",INDEX(Firms!$E$5:$E$1004,$T1584)),IF(INDEX('AFA Rates'!$C$5:$C$1004,$T1584)="","",INDEX('AFA Rates'!$C$5:$C$1004,$T1584))))</f>
        <v/>
      </c>
      <c r="E1584" s="88">
        <f>IF($T1584="","",IF($S1584="S",IF(""="","",""),IF(INDEX('AFA Rates'!$D$5:$D$1004,$T1584)="","",INDEX('AFA Rates'!$D$5:$D$1004,$T1584))))</f>
        <v/>
      </c>
      <c r="F1584" s="79">
        <f>IF($T1584="","",IF($S1584="S",IF(INDEX(Firms!$O$5:$O$1004,$T1584)="","",INDEX(Firms!$O$5:$O$1004,$T1584)),IF(INDEX('AFA Rates'!$O$5:$O$1004,$T1584)="","",INDEX('AFA Rates'!$O$5:$O$1004,$T1584))))</f>
        <v/>
      </c>
      <c r="G1584" s="50">
        <f>IF($T1584="","",IF($S1584="S",IF(INDEX(Firms!$F$5:$F$1004,$T1584)="","",INDEX(Firms!$F$5:$F$1004,$T1584)),IF(INDEX('AFA Rates'!$E$5:$E$1004,$T1584)="","",INDEX('AFA Rates'!$E$5:$E$1004,$T1584))))</f>
        <v/>
      </c>
      <c r="H1584" s="50">
        <f>IF($T1584="","",IF($S1584="S",IF(INDEX(Firms!$G$5:$G$1004,$T1584)="","",INDEX(Firms!$G$5:$G$1004,$T1584)),IF(INDEX('AFA Rates'!$F$5:$F$1004,$T1584)="","",INDEX('AFA Rates'!$F$5:$F$1004,$T1584))))</f>
        <v/>
      </c>
      <c r="I1584" s="50">
        <f>IF($T1584="","",IF($S1584="S",IF(INDEX(Firms!$H$5:$H$1004,$T1584)="","",INDEX(Firms!$H$5:$H$1004,$T1584)),IF(INDEX('AFA Rates'!$G$5:$G$1004,$T1584)="","",INDEX('AFA Rates'!$G$5:$G$1004,$T1584))))</f>
        <v/>
      </c>
      <c r="J1584" s="50">
        <f>IF($T1584="","",IF($S1584="S",IF(INDEX(Firms!$I$5:$I$1004,$T1584)="","",INDEX(Firms!$I$5:$I$1004,$T1584)),IF(INDEX('AFA Rates'!$H$5:$H$1004,$T1584)="","",INDEX('AFA Rates'!$H$5:$H$1004,$T1584))))</f>
        <v/>
      </c>
      <c r="K1584" s="50">
        <f>IF($T1584="","",IF($S1584="S",IF(INDEX(Firms!$J$5:$J$1004,$T1584)="","",INDEX(Firms!$J$5:$J$1004,$T1584)),IF(INDEX('AFA Rates'!$I$5:$I$1004,$T1584)="","",INDEX('AFA Rates'!$I$5:$I$1004,$T1584))))</f>
        <v/>
      </c>
      <c r="L1584" s="50">
        <f>IF($T1584="","",IF($S1584="S",IF(INDEX(Firms!$K$5:$K$1004,$T1584)="","",INDEX(Firms!$K$5:$K$1004,$T1584)),IF(INDEX('AFA Rates'!$J$5:$J$1004,$T1584)="","",INDEX('AFA Rates'!$J$5:$J$1004,$T1584))))</f>
        <v/>
      </c>
      <c r="M1584" s="50">
        <f>IF($T1584="","",IF($S1584="S",IF(INDEX(Firms!$L$5:$L$1004,$T1584)="","",INDEX(Firms!$L$5:$L$1004,$T1584)),IF(INDEX('AFA Rates'!$K$5:$K$1004,$T1584)="","",INDEX('AFA Rates'!$K$5:$K$1004,$T1584))))</f>
        <v/>
      </c>
      <c r="N1584" s="50">
        <f>IF($T1584="","",IF($S1584="S",IF(INDEX(Firms!$M$5:$M$1004,$T1584)="","",INDEX(Firms!$M$5:$M$1004,$T1584)),IF(INDEX('AFA Rates'!$L$5:$L$1004,$T1584)="","",INDEX('AFA Rates'!$L$5:$L$1004,$T1584))))</f>
        <v/>
      </c>
      <c r="O1584" s="78">
        <f>IF(OR($T1584="",$U1584=""),"",IF(INDEX(Firms!$C$5:$C$1004,$U1584)="","",INDEX(Firms!$C$5:$C$1004,$U1584)))</f>
        <v/>
      </c>
      <c r="P1584" s="79">
        <f>IF(OR($T1584="",$U1584=""),"",IF(INDEX(Firms!$N$5:$N$1004,$U1584)="","",INDEX(Firms!$N$5:$N$1004,$U1584)))</f>
        <v/>
      </c>
      <c r="Q1584" s="78">
        <f>IF($T1584="","",IF($S1584="S",IF(INDEX(Firms!$T$5:$T$1004,$T1584)="","",INDEX(Firms!$T$5:$T$1004,$T1584)),IF(INDEX('AFA Rates'!$M$5:$M$1004,$T1584)="","",INDEX('AFA Rates'!$M$5:$M$1004,$T1584))))</f>
        <v/>
      </c>
      <c r="S1584">
        <f>IF(1580&lt;=$S$2,"S",IF(1580&lt;=$S$2+$T$2,"A",""))</f>
        <v/>
      </c>
      <c r="T1584">
        <f>IF(S1584="S",MATCH(1580,Firms!$W$5:$W$1004,0),IF(S1584="A",IFERROR(MATCH(1580-$S$2,'AFA Rates'!$R$5:$R$1004,0),""),""))</f>
        <v/>
      </c>
      <c r="U1584">
        <f>IF(S1584="S",T1584,IF(AND(S1584="A",T1584&lt;&gt;""),IFERROR(MATCH(INDEX('AFA Rates'!$A$5:$A$1004,T1584),Firms!$A$5:$A$1004,0),""),""))</f>
        <v/>
      </c>
    </row>
    <row r="1585">
      <c r="A1585" s="78">
        <f>IF($T1585="","",IF($S1585="S",IF(INDEX(Firms!$A$5:$A$1004,$T1585)="","",INDEX(Firms!$A$5:$A$1004,$T1585)),IF(INDEX('AFA Rates'!$A$5:$A$1004,$T1585)="","",INDEX('AFA Rates'!$A$5:$A$1004,$T1585))))</f>
        <v/>
      </c>
      <c r="B1585" s="79">
        <f>IF(OR($T1585="",$U1585=""),IF($T1585="","","Not on Firms tab"),INDEX(Firms!$B$5:$B$1004,$U1585)&amp;"")</f>
        <v/>
      </c>
      <c r="C1585" s="78">
        <f>IF($T1585="","",IF($S1585="S","Standard",INDEX('AFA Rates'!$B$5:$B$1004,$T1585)&amp;""))</f>
        <v/>
      </c>
      <c r="D1585" s="88">
        <f>IF($T1585="","",IF($S1585="S",IF(INDEX(Firms!$E$5:$E$1004,$T1585)="","",INDEX(Firms!$E$5:$E$1004,$T1585)),IF(INDEX('AFA Rates'!$C$5:$C$1004,$T1585)="","",INDEX('AFA Rates'!$C$5:$C$1004,$T1585))))</f>
        <v/>
      </c>
      <c r="E1585" s="88">
        <f>IF($T1585="","",IF($S1585="S",IF(""="","",""),IF(INDEX('AFA Rates'!$D$5:$D$1004,$T1585)="","",INDEX('AFA Rates'!$D$5:$D$1004,$T1585))))</f>
        <v/>
      </c>
      <c r="F1585" s="79">
        <f>IF($T1585="","",IF($S1585="S",IF(INDEX(Firms!$O$5:$O$1004,$T1585)="","",INDEX(Firms!$O$5:$O$1004,$T1585)),IF(INDEX('AFA Rates'!$O$5:$O$1004,$T1585)="","",INDEX('AFA Rates'!$O$5:$O$1004,$T1585))))</f>
        <v/>
      </c>
      <c r="G1585" s="50">
        <f>IF($T1585="","",IF($S1585="S",IF(INDEX(Firms!$F$5:$F$1004,$T1585)="","",INDEX(Firms!$F$5:$F$1004,$T1585)),IF(INDEX('AFA Rates'!$E$5:$E$1004,$T1585)="","",INDEX('AFA Rates'!$E$5:$E$1004,$T1585))))</f>
        <v/>
      </c>
      <c r="H1585" s="50">
        <f>IF($T1585="","",IF($S1585="S",IF(INDEX(Firms!$G$5:$G$1004,$T1585)="","",INDEX(Firms!$G$5:$G$1004,$T1585)),IF(INDEX('AFA Rates'!$F$5:$F$1004,$T1585)="","",INDEX('AFA Rates'!$F$5:$F$1004,$T1585))))</f>
        <v/>
      </c>
      <c r="I1585" s="50">
        <f>IF($T1585="","",IF($S1585="S",IF(INDEX(Firms!$H$5:$H$1004,$T1585)="","",INDEX(Firms!$H$5:$H$1004,$T1585)),IF(INDEX('AFA Rates'!$G$5:$G$1004,$T1585)="","",INDEX('AFA Rates'!$G$5:$G$1004,$T1585))))</f>
        <v/>
      </c>
      <c r="J1585" s="50">
        <f>IF($T1585="","",IF($S1585="S",IF(INDEX(Firms!$I$5:$I$1004,$T1585)="","",INDEX(Firms!$I$5:$I$1004,$T1585)),IF(INDEX('AFA Rates'!$H$5:$H$1004,$T1585)="","",INDEX('AFA Rates'!$H$5:$H$1004,$T1585))))</f>
        <v/>
      </c>
      <c r="K1585" s="50">
        <f>IF($T1585="","",IF($S1585="S",IF(INDEX(Firms!$J$5:$J$1004,$T1585)="","",INDEX(Firms!$J$5:$J$1004,$T1585)),IF(INDEX('AFA Rates'!$I$5:$I$1004,$T1585)="","",INDEX('AFA Rates'!$I$5:$I$1004,$T1585))))</f>
        <v/>
      </c>
      <c r="L1585" s="50">
        <f>IF($T1585="","",IF($S1585="S",IF(INDEX(Firms!$K$5:$K$1004,$T1585)="","",INDEX(Firms!$K$5:$K$1004,$T1585)),IF(INDEX('AFA Rates'!$J$5:$J$1004,$T1585)="","",INDEX('AFA Rates'!$J$5:$J$1004,$T1585))))</f>
        <v/>
      </c>
      <c r="M1585" s="50">
        <f>IF($T1585="","",IF($S1585="S",IF(INDEX(Firms!$L$5:$L$1004,$T1585)="","",INDEX(Firms!$L$5:$L$1004,$T1585)),IF(INDEX('AFA Rates'!$K$5:$K$1004,$T1585)="","",INDEX('AFA Rates'!$K$5:$K$1004,$T1585))))</f>
        <v/>
      </c>
      <c r="N1585" s="50">
        <f>IF($T1585="","",IF($S1585="S",IF(INDEX(Firms!$M$5:$M$1004,$T1585)="","",INDEX(Firms!$M$5:$M$1004,$T1585)),IF(INDEX('AFA Rates'!$L$5:$L$1004,$T1585)="","",INDEX('AFA Rates'!$L$5:$L$1004,$T1585))))</f>
        <v/>
      </c>
      <c r="O1585" s="78">
        <f>IF(OR($T1585="",$U1585=""),"",IF(INDEX(Firms!$C$5:$C$1004,$U1585)="","",INDEX(Firms!$C$5:$C$1004,$U1585)))</f>
        <v/>
      </c>
      <c r="P1585" s="79">
        <f>IF(OR($T1585="",$U1585=""),"",IF(INDEX(Firms!$N$5:$N$1004,$U1585)="","",INDEX(Firms!$N$5:$N$1004,$U1585)))</f>
        <v/>
      </c>
      <c r="Q1585" s="78">
        <f>IF($T1585="","",IF($S1585="S",IF(INDEX(Firms!$T$5:$T$1004,$T1585)="","",INDEX(Firms!$T$5:$T$1004,$T1585)),IF(INDEX('AFA Rates'!$M$5:$M$1004,$T1585)="","",INDEX('AFA Rates'!$M$5:$M$1004,$T1585))))</f>
        <v/>
      </c>
      <c r="S1585">
        <f>IF(1581&lt;=$S$2,"S",IF(1581&lt;=$S$2+$T$2,"A",""))</f>
        <v/>
      </c>
      <c r="T1585">
        <f>IF(S1585="S",MATCH(1581,Firms!$W$5:$W$1004,0),IF(S1585="A",IFERROR(MATCH(1581-$S$2,'AFA Rates'!$R$5:$R$1004,0),""),""))</f>
        <v/>
      </c>
      <c r="U1585">
        <f>IF(S1585="S",T1585,IF(AND(S1585="A",T1585&lt;&gt;""),IFERROR(MATCH(INDEX('AFA Rates'!$A$5:$A$1004,T1585),Firms!$A$5:$A$1004,0),""),""))</f>
        <v/>
      </c>
    </row>
    <row r="1586">
      <c r="A1586" s="78">
        <f>IF($T1586="","",IF($S1586="S",IF(INDEX(Firms!$A$5:$A$1004,$T1586)="","",INDEX(Firms!$A$5:$A$1004,$T1586)),IF(INDEX('AFA Rates'!$A$5:$A$1004,$T1586)="","",INDEX('AFA Rates'!$A$5:$A$1004,$T1586))))</f>
        <v/>
      </c>
      <c r="B1586" s="79">
        <f>IF(OR($T1586="",$U1586=""),IF($T1586="","","Not on Firms tab"),INDEX(Firms!$B$5:$B$1004,$U1586)&amp;"")</f>
        <v/>
      </c>
      <c r="C1586" s="78">
        <f>IF($T1586="","",IF($S1586="S","Standard",INDEX('AFA Rates'!$B$5:$B$1004,$T1586)&amp;""))</f>
        <v/>
      </c>
      <c r="D1586" s="88">
        <f>IF($T1586="","",IF($S1586="S",IF(INDEX(Firms!$E$5:$E$1004,$T1586)="","",INDEX(Firms!$E$5:$E$1004,$T1586)),IF(INDEX('AFA Rates'!$C$5:$C$1004,$T1586)="","",INDEX('AFA Rates'!$C$5:$C$1004,$T1586))))</f>
        <v/>
      </c>
      <c r="E1586" s="88">
        <f>IF($T1586="","",IF($S1586="S",IF(""="","",""),IF(INDEX('AFA Rates'!$D$5:$D$1004,$T1586)="","",INDEX('AFA Rates'!$D$5:$D$1004,$T1586))))</f>
        <v/>
      </c>
      <c r="F1586" s="79">
        <f>IF($T1586="","",IF($S1586="S",IF(INDEX(Firms!$O$5:$O$1004,$T1586)="","",INDEX(Firms!$O$5:$O$1004,$T1586)),IF(INDEX('AFA Rates'!$O$5:$O$1004,$T1586)="","",INDEX('AFA Rates'!$O$5:$O$1004,$T1586))))</f>
        <v/>
      </c>
      <c r="G1586" s="50">
        <f>IF($T1586="","",IF($S1586="S",IF(INDEX(Firms!$F$5:$F$1004,$T1586)="","",INDEX(Firms!$F$5:$F$1004,$T1586)),IF(INDEX('AFA Rates'!$E$5:$E$1004,$T1586)="","",INDEX('AFA Rates'!$E$5:$E$1004,$T1586))))</f>
        <v/>
      </c>
      <c r="H1586" s="50">
        <f>IF($T1586="","",IF($S1586="S",IF(INDEX(Firms!$G$5:$G$1004,$T1586)="","",INDEX(Firms!$G$5:$G$1004,$T1586)),IF(INDEX('AFA Rates'!$F$5:$F$1004,$T1586)="","",INDEX('AFA Rates'!$F$5:$F$1004,$T1586))))</f>
        <v/>
      </c>
      <c r="I1586" s="50">
        <f>IF($T1586="","",IF($S1586="S",IF(INDEX(Firms!$H$5:$H$1004,$T1586)="","",INDEX(Firms!$H$5:$H$1004,$T1586)),IF(INDEX('AFA Rates'!$G$5:$G$1004,$T1586)="","",INDEX('AFA Rates'!$G$5:$G$1004,$T1586))))</f>
        <v/>
      </c>
      <c r="J1586" s="50">
        <f>IF($T1586="","",IF($S1586="S",IF(INDEX(Firms!$I$5:$I$1004,$T1586)="","",INDEX(Firms!$I$5:$I$1004,$T1586)),IF(INDEX('AFA Rates'!$H$5:$H$1004,$T1586)="","",INDEX('AFA Rates'!$H$5:$H$1004,$T1586))))</f>
        <v/>
      </c>
      <c r="K1586" s="50">
        <f>IF($T1586="","",IF($S1586="S",IF(INDEX(Firms!$J$5:$J$1004,$T1586)="","",INDEX(Firms!$J$5:$J$1004,$T1586)),IF(INDEX('AFA Rates'!$I$5:$I$1004,$T1586)="","",INDEX('AFA Rates'!$I$5:$I$1004,$T1586))))</f>
        <v/>
      </c>
      <c r="L1586" s="50">
        <f>IF($T1586="","",IF($S1586="S",IF(INDEX(Firms!$K$5:$K$1004,$T1586)="","",INDEX(Firms!$K$5:$K$1004,$T1586)),IF(INDEX('AFA Rates'!$J$5:$J$1004,$T1586)="","",INDEX('AFA Rates'!$J$5:$J$1004,$T1586))))</f>
        <v/>
      </c>
      <c r="M1586" s="50">
        <f>IF($T1586="","",IF($S1586="S",IF(INDEX(Firms!$L$5:$L$1004,$T1586)="","",INDEX(Firms!$L$5:$L$1004,$T1586)),IF(INDEX('AFA Rates'!$K$5:$K$1004,$T1586)="","",INDEX('AFA Rates'!$K$5:$K$1004,$T1586))))</f>
        <v/>
      </c>
      <c r="N1586" s="50">
        <f>IF($T1586="","",IF($S1586="S",IF(INDEX(Firms!$M$5:$M$1004,$T1586)="","",INDEX(Firms!$M$5:$M$1004,$T1586)),IF(INDEX('AFA Rates'!$L$5:$L$1004,$T1586)="","",INDEX('AFA Rates'!$L$5:$L$1004,$T1586))))</f>
        <v/>
      </c>
      <c r="O1586" s="78">
        <f>IF(OR($T1586="",$U1586=""),"",IF(INDEX(Firms!$C$5:$C$1004,$U1586)="","",INDEX(Firms!$C$5:$C$1004,$U1586)))</f>
        <v/>
      </c>
      <c r="P1586" s="79">
        <f>IF(OR($T1586="",$U1586=""),"",IF(INDEX(Firms!$N$5:$N$1004,$U1586)="","",INDEX(Firms!$N$5:$N$1004,$U1586)))</f>
        <v/>
      </c>
      <c r="Q1586" s="78">
        <f>IF($T1586="","",IF($S1586="S",IF(INDEX(Firms!$T$5:$T$1004,$T1586)="","",INDEX(Firms!$T$5:$T$1004,$T1586)),IF(INDEX('AFA Rates'!$M$5:$M$1004,$T1586)="","",INDEX('AFA Rates'!$M$5:$M$1004,$T1586))))</f>
        <v/>
      </c>
      <c r="S1586">
        <f>IF(1582&lt;=$S$2,"S",IF(1582&lt;=$S$2+$T$2,"A",""))</f>
        <v/>
      </c>
      <c r="T1586">
        <f>IF(S1586="S",MATCH(1582,Firms!$W$5:$W$1004,0),IF(S1586="A",IFERROR(MATCH(1582-$S$2,'AFA Rates'!$R$5:$R$1004,0),""),""))</f>
        <v/>
      </c>
      <c r="U1586">
        <f>IF(S1586="S",T1586,IF(AND(S1586="A",T1586&lt;&gt;""),IFERROR(MATCH(INDEX('AFA Rates'!$A$5:$A$1004,T1586),Firms!$A$5:$A$1004,0),""),""))</f>
        <v/>
      </c>
    </row>
    <row r="1587">
      <c r="A1587" s="78">
        <f>IF($T1587="","",IF($S1587="S",IF(INDEX(Firms!$A$5:$A$1004,$T1587)="","",INDEX(Firms!$A$5:$A$1004,$T1587)),IF(INDEX('AFA Rates'!$A$5:$A$1004,$T1587)="","",INDEX('AFA Rates'!$A$5:$A$1004,$T1587))))</f>
        <v/>
      </c>
      <c r="B1587" s="79">
        <f>IF(OR($T1587="",$U1587=""),IF($T1587="","","Not on Firms tab"),INDEX(Firms!$B$5:$B$1004,$U1587)&amp;"")</f>
        <v/>
      </c>
      <c r="C1587" s="78">
        <f>IF($T1587="","",IF($S1587="S","Standard",INDEX('AFA Rates'!$B$5:$B$1004,$T1587)&amp;""))</f>
        <v/>
      </c>
      <c r="D1587" s="88">
        <f>IF($T1587="","",IF($S1587="S",IF(INDEX(Firms!$E$5:$E$1004,$T1587)="","",INDEX(Firms!$E$5:$E$1004,$T1587)),IF(INDEX('AFA Rates'!$C$5:$C$1004,$T1587)="","",INDEX('AFA Rates'!$C$5:$C$1004,$T1587))))</f>
        <v/>
      </c>
      <c r="E1587" s="88">
        <f>IF($T1587="","",IF($S1587="S",IF(""="","",""),IF(INDEX('AFA Rates'!$D$5:$D$1004,$T1587)="","",INDEX('AFA Rates'!$D$5:$D$1004,$T1587))))</f>
        <v/>
      </c>
      <c r="F1587" s="79">
        <f>IF($T1587="","",IF($S1587="S",IF(INDEX(Firms!$O$5:$O$1004,$T1587)="","",INDEX(Firms!$O$5:$O$1004,$T1587)),IF(INDEX('AFA Rates'!$O$5:$O$1004,$T1587)="","",INDEX('AFA Rates'!$O$5:$O$1004,$T1587))))</f>
        <v/>
      </c>
      <c r="G1587" s="50">
        <f>IF($T1587="","",IF($S1587="S",IF(INDEX(Firms!$F$5:$F$1004,$T1587)="","",INDEX(Firms!$F$5:$F$1004,$T1587)),IF(INDEX('AFA Rates'!$E$5:$E$1004,$T1587)="","",INDEX('AFA Rates'!$E$5:$E$1004,$T1587))))</f>
        <v/>
      </c>
      <c r="H1587" s="50">
        <f>IF($T1587="","",IF($S1587="S",IF(INDEX(Firms!$G$5:$G$1004,$T1587)="","",INDEX(Firms!$G$5:$G$1004,$T1587)),IF(INDEX('AFA Rates'!$F$5:$F$1004,$T1587)="","",INDEX('AFA Rates'!$F$5:$F$1004,$T1587))))</f>
        <v/>
      </c>
      <c r="I1587" s="50">
        <f>IF($T1587="","",IF($S1587="S",IF(INDEX(Firms!$H$5:$H$1004,$T1587)="","",INDEX(Firms!$H$5:$H$1004,$T1587)),IF(INDEX('AFA Rates'!$G$5:$G$1004,$T1587)="","",INDEX('AFA Rates'!$G$5:$G$1004,$T1587))))</f>
        <v/>
      </c>
      <c r="J1587" s="50">
        <f>IF($T1587="","",IF($S1587="S",IF(INDEX(Firms!$I$5:$I$1004,$T1587)="","",INDEX(Firms!$I$5:$I$1004,$T1587)),IF(INDEX('AFA Rates'!$H$5:$H$1004,$T1587)="","",INDEX('AFA Rates'!$H$5:$H$1004,$T1587))))</f>
        <v/>
      </c>
      <c r="K1587" s="50">
        <f>IF($T1587="","",IF($S1587="S",IF(INDEX(Firms!$J$5:$J$1004,$T1587)="","",INDEX(Firms!$J$5:$J$1004,$T1587)),IF(INDEX('AFA Rates'!$I$5:$I$1004,$T1587)="","",INDEX('AFA Rates'!$I$5:$I$1004,$T1587))))</f>
        <v/>
      </c>
      <c r="L1587" s="50">
        <f>IF($T1587="","",IF($S1587="S",IF(INDEX(Firms!$K$5:$K$1004,$T1587)="","",INDEX(Firms!$K$5:$K$1004,$T1587)),IF(INDEX('AFA Rates'!$J$5:$J$1004,$T1587)="","",INDEX('AFA Rates'!$J$5:$J$1004,$T1587))))</f>
        <v/>
      </c>
      <c r="M1587" s="50">
        <f>IF($T1587="","",IF($S1587="S",IF(INDEX(Firms!$L$5:$L$1004,$T1587)="","",INDEX(Firms!$L$5:$L$1004,$T1587)),IF(INDEX('AFA Rates'!$K$5:$K$1004,$T1587)="","",INDEX('AFA Rates'!$K$5:$K$1004,$T1587))))</f>
        <v/>
      </c>
      <c r="N1587" s="50">
        <f>IF($T1587="","",IF($S1587="S",IF(INDEX(Firms!$M$5:$M$1004,$T1587)="","",INDEX(Firms!$M$5:$M$1004,$T1587)),IF(INDEX('AFA Rates'!$L$5:$L$1004,$T1587)="","",INDEX('AFA Rates'!$L$5:$L$1004,$T1587))))</f>
        <v/>
      </c>
      <c r="O1587" s="78">
        <f>IF(OR($T1587="",$U1587=""),"",IF(INDEX(Firms!$C$5:$C$1004,$U1587)="","",INDEX(Firms!$C$5:$C$1004,$U1587)))</f>
        <v/>
      </c>
      <c r="P1587" s="79">
        <f>IF(OR($T1587="",$U1587=""),"",IF(INDEX(Firms!$N$5:$N$1004,$U1587)="","",INDEX(Firms!$N$5:$N$1004,$U1587)))</f>
        <v/>
      </c>
      <c r="Q1587" s="78">
        <f>IF($T1587="","",IF($S1587="S",IF(INDEX(Firms!$T$5:$T$1004,$T1587)="","",INDEX(Firms!$T$5:$T$1004,$T1587)),IF(INDEX('AFA Rates'!$M$5:$M$1004,$T1587)="","",INDEX('AFA Rates'!$M$5:$M$1004,$T1587))))</f>
        <v/>
      </c>
      <c r="S1587">
        <f>IF(1583&lt;=$S$2,"S",IF(1583&lt;=$S$2+$T$2,"A",""))</f>
        <v/>
      </c>
      <c r="T1587">
        <f>IF(S1587="S",MATCH(1583,Firms!$W$5:$W$1004,0),IF(S1587="A",IFERROR(MATCH(1583-$S$2,'AFA Rates'!$R$5:$R$1004,0),""),""))</f>
        <v/>
      </c>
      <c r="U1587">
        <f>IF(S1587="S",T1587,IF(AND(S1587="A",T1587&lt;&gt;""),IFERROR(MATCH(INDEX('AFA Rates'!$A$5:$A$1004,T1587),Firms!$A$5:$A$1004,0),""),""))</f>
        <v/>
      </c>
    </row>
    <row r="1588">
      <c r="A1588" s="78">
        <f>IF($T1588="","",IF($S1588="S",IF(INDEX(Firms!$A$5:$A$1004,$T1588)="","",INDEX(Firms!$A$5:$A$1004,$T1588)),IF(INDEX('AFA Rates'!$A$5:$A$1004,$T1588)="","",INDEX('AFA Rates'!$A$5:$A$1004,$T1588))))</f>
        <v/>
      </c>
      <c r="B1588" s="79">
        <f>IF(OR($T1588="",$U1588=""),IF($T1588="","","Not on Firms tab"),INDEX(Firms!$B$5:$B$1004,$U1588)&amp;"")</f>
        <v/>
      </c>
      <c r="C1588" s="78">
        <f>IF($T1588="","",IF($S1588="S","Standard",INDEX('AFA Rates'!$B$5:$B$1004,$T1588)&amp;""))</f>
        <v/>
      </c>
      <c r="D1588" s="88">
        <f>IF($T1588="","",IF($S1588="S",IF(INDEX(Firms!$E$5:$E$1004,$T1588)="","",INDEX(Firms!$E$5:$E$1004,$T1588)),IF(INDEX('AFA Rates'!$C$5:$C$1004,$T1588)="","",INDEX('AFA Rates'!$C$5:$C$1004,$T1588))))</f>
        <v/>
      </c>
      <c r="E1588" s="88">
        <f>IF($T1588="","",IF($S1588="S",IF(""="","",""),IF(INDEX('AFA Rates'!$D$5:$D$1004,$T1588)="","",INDEX('AFA Rates'!$D$5:$D$1004,$T1588))))</f>
        <v/>
      </c>
      <c r="F1588" s="79">
        <f>IF($T1588="","",IF($S1588="S",IF(INDEX(Firms!$O$5:$O$1004,$T1588)="","",INDEX(Firms!$O$5:$O$1004,$T1588)),IF(INDEX('AFA Rates'!$O$5:$O$1004,$T1588)="","",INDEX('AFA Rates'!$O$5:$O$1004,$T1588))))</f>
        <v/>
      </c>
      <c r="G1588" s="50">
        <f>IF($T1588="","",IF($S1588="S",IF(INDEX(Firms!$F$5:$F$1004,$T1588)="","",INDEX(Firms!$F$5:$F$1004,$T1588)),IF(INDEX('AFA Rates'!$E$5:$E$1004,$T1588)="","",INDEX('AFA Rates'!$E$5:$E$1004,$T1588))))</f>
        <v/>
      </c>
      <c r="H1588" s="50">
        <f>IF($T1588="","",IF($S1588="S",IF(INDEX(Firms!$G$5:$G$1004,$T1588)="","",INDEX(Firms!$G$5:$G$1004,$T1588)),IF(INDEX('AFA Rates'!$F$5:$F$1004,$T1588)="","",INDEX('AFA Rates'!$F$5:$F$1004,$T1588))))</f>
        <v/>
      </c>
      <c r="I1588" s="50">
        <f>IF($T1588="","",IF($S1588="S",IF(INDEX(Firms!$H$5:$H$1004,$T1588)="","",INDEX(Firms!$H$5:$H$1004,$T1588)),IF(INDEX('AFA Rates'!$G$5:$G$1004,$T1588)="","",INDEX('AFA Rates'!$G$5:$G$1004,$T1588))))</f>
        <v/>
      </c>
      <c r="J1588" s="50">
        <f>IF($T1588="","",IF($S1588="S",IF(INDEX(Firms!$I$5:$I$1004,$T1588)="","",INDEX(Firms!$I$5:$I$1004,$T1588)),IF(INDEX('AFA Rates'!$H$5:$H$1004,$T1588)="","",INDEX('AFA Rates'!$H$5:$H$1004,$T1588))))</f>
        <v/>
      </c>
      <c r="K1588" s="50">
        <f>IF($T1588="","",IF($S1588="S",IF(INDEX(Firms!$J$5:$J$1004,$T1588)="","",INDEX(Firms!$J$5:$J$1004,$T1588)),IF(INDEX('AFA Rates'!$I$5:$I$1004,$T1588)="","",INDEX('AFA Rates'!$I$5:$I$1004,$T1588))))</f>
        <v/>
      </c>
      <c r="L1588" s="50">
        <f>IF($T1588="","",IF($S1588="S",IF(INDEX(Firms!$K$5:$K$1004,$T1588)="","",INDEX(Firms!$K$5:$K$1004,$T1588)),IF(INDEX('AFA Rates'!$J$5:$J$1004,$T1588)="","",INDEX('AFA Rates'!$J$5:$J$1004,$T1588))))</f>
        <v/>
      </c>
      <c r="M1588" s="50">
        <f>IF($T1588="","",IF($S1588="S",IF(INDEX(Firms!$L$5:$L$1004,$T1588)="","",INDEX(Firms!$L$5:$L$1004,$T1588)),IF(INDEX('AFA Rates'!$K$5:$K$1004,$T1588)="","",INDEX('AFA Rates'!$K$5:$K$1004,$T1588))))</f>
        <v/>
      </c>
      <c r="N1588" s="50">
        <f>IF($T1588="","",IF($S1588="S",IF(INDEX(Firms!$M$5:$M$1004,$T1588)="","",INDEX(Firms!$M$5:$M$1004,$T1588)),IF(INDEX('AFA Rates'!$L$5:$L$1004,$T1588)="","",INDEX('AFA Rates'!$L$5:$L$1004,$T1588))))</f>
        <v/>
      </c>
      <c r="O1588" s="78">
        <f>IF(OR($T1588="",$U1588=""),"",IF(INDEX(Firms!$C$5:$C$1004,$U1588)="","",INDEX(Firms!$C$5:$C$1004,$U1588)))</f>
        <v/>
      </c>
      <c r="P1588" s="79">
        <f>IF(OR($T1588="",$U1588=""),"",IF(INDEX(Firms!$N$5:$N$1004,$U1588)="","",INDEX(Firms!$N$5:$N$1004,$U1588)))</f>
        <v/>
      </c>
      <c r="Q1588" s="78">
        <f>IF($T1588="","",IF($S1588="S",IF(INDEX(Firms!$T$5:$T$1004,$T1588)="","",INDEX(Firms!$T$5:$T$1004,$T1588)),IF(INDEX('AFA Rates'!$M$5:$M$1004,$T1588)="","",INDEX('AFA Rates'!$M$5:$M$1004,$T1588))))</f>
        <v/>
      </c>
      <c r="S1588">
        <f>IF(1584&lt;=$S$2,"S",IF(1584&lt;=$S$2+$T$2,"A",""))</f>
        <v/>
      </c>
      <c r="T1588">
        <f>IF(S1588="S",MATCH(1584,Firms!$W$5:$W$1004,0),IF(S1588="A",IFERROR(MATCH(1584-$S$2,'AFA Rates'!$R$5:$R$1004,0),""),""))</f>
        <v/>
      </c>
      <c r="U1588">
        <f>IF(S1588="S",T1588,IF(AND(S1588="A",T1588&lt;&gt;""),IFERROR(MATCH(INDEX('AFA Rates'!$A$5:$A$1004,T1588),Firms!$A$5:$A$1004,0),""),""))</f>
        <v/>
      </c>
    </row>
    <row r="1589">
      <c r="A1589" s="78">
        <f>IF($T1589="","",IF($S1589="S",IF(INDEX(Firms!$A$5:$A$1004,$T1589)="","",INDEX(Firms!$A$5:$A$1004,$T1589)),IF(INDEX('AFA Rates'!$A$5:$A$1004,$T1589)="","",INDEX('AFA Rates'!$A$5:$A$1004,$T1589))))</f>
        <v/>
      </c>
      <c r="B1589" s="79">
        <f>IF(OR($T1589="",$U1589=""),IF($T1589="","","Not on Firms tab"),INDEX(Firms!$B$5:$B$1004,$U1589)&amp;"")</f>
        <v/>
      </c>
      <c r="C1589" s="78">
        <f>IF($T1589="","",IF($S1589="S","Standard",INDEX('AFA Rates'!$B$5:$B$1004,$T1589)&amp;""))</f>
        <v/>
      </c>
      <c r="D1589" s="88">
        <f>IF($T1589="","",IF($S1589="S",IF(INDEX(Firms!$E$5:$E$1004,$T1589)="","",INDEX(Firms!$E$5:$E$1004,$T1589)),IF(INDEX('AFA Rates'!$C$5:$C$1004,$T1589)="","",INDEX('AFA Rates'!$C$5:$C$1004,$T1589))))</f>
        <v/>
      </c>
      <c r="E1589" s="88">
        <f>IF($T1589="","",IF($S1589="S",IF(""="","",""),IF(INDEX('AFA Rates'!$D$5:$D$1004,$T1589)="","",INDEX('AFA Rates'!$D$5:$D$1004,$T1589))))</f>
        <v/>
      </c>
      <c r="F1589" s="79">
        <f>IF($T1589="","",IF($S1589="S",IF(INDEX(Firms!$O$5:$O$1004,$T1589)="","",INDEX(Firms!$O$5:$O$1004,$T1589)),IF(INDEX('AFA Rates'!$O$5:$O$1004,$T1589)="","",INDEX('AFA Rates'!$O$5:$O$1004,$T1589))))</f>
        <v/>
      </c>
      <c r="G1589" s="50">
        <f>IF($T1589="","",IF($S1589="S",IF(INDEX(Firms!$F$5:$F$1004,$T1589)="","",INDEX(Firms!$F$5:$F$1004,$T1589)),IF(INDEX('AFA Rates'!$E$5:$E$1004,$T1589)="","",INDEX('AFA Rates'!$E$5:$E$1004,$T1589))))</f>
        <v/>
      </c>
      <c r="H1589" s="50">
        <f>IF($T1589="","",IF($S1589="S",IF(INDEX(Firms!$G$5:$G$1004,$T1589)="","",INDEX(Firms!$G$5:$G$1004,$T1589)),IF(INDEX('AFA Rates'!$F$5:$F$1004,$T1589)="","",INDEX('AFA Rates'!$F$5:$F$1004,$T1589))))</f>
        <v/>
      </c>
      <c r="I1589" s="50">
        <f>IF($T1589="","",IF($S1589="S",IF(INDEX(Firms!$H$5:$H$1004,$T1589)="","",INDEX(Firms!$H$5:$H$1004,$T1589)),IF(INDEX('AFA Rates'!$G$5:$G$1004,$T1589)="","",INDEX('AFA Rates'!$G$5:$G$1004,$T1589))))</f>
        <v/>
      </c>
      <c r="J1589" s="50">
        <f>IF($T1589="","",IF($S1589="S",IF(INDEX(Firms!$I$5:$I$1004,$T1589)="","",INDEX(Firms!$I$5:$I$1004,$T1589)),IF(INDEX('AFA Rates'!$H$5:$H$1004,$T1589)="","",INDEX('AFA Rates'!$H$5:$H$1004,$T1589))))</f>
        <v/>
      </c>
      <c r="K1589" s="50">
        <f>IF($T1589="","",IF($S1589="S",IF(INDEX(Firms!$J$5:$J$1004,$T1589)="","",INDEX(Firms!$J$5:$J$1004,$T1589)),IF(INDEX('AFA Rates'!$I$5:$I$1004,$T1589)="","",INDEX('AFA Rates'!$I$5:$I$1004,$T1589))))</f>
        <v/>
      </c>
      <c r="L1589" s="50">
        <f>IF($T1589="","",IF($S1589="S",IF(INDEX(Firms!$K$5:$K$1004,$T1589)="","",INDEX(Firms!$K$5:$K$1004,$T1589)),IF(INDEX('AFA Rates'!$J$5:$J$1004,$T1589)="","",INDEX('AFA Rates'!$J$5:$J$1004,$T1589))))</f>
        <v/>
      </c>
      <c r="M1589" s="50">
        <f>IF($T1589="","",IF($S1589="S",IF(INDEX(Firms!$L$5:$L$1004,$T1589)="","",INDEX(Firms!$L$5:$L$1004,$T1589)),IF(INDEX('AFA Rates'!$K$5:$K$1004,$T1589)="","",INDEX('AFA Rates'!$K$5:$K$1004,$T1589))))</f>
        <v/>
      </c>
      <c r="N1589" s="50">
        <f>IF($T1589="","",IF($S1589="S",IF(INDEX(Firms!$M$5:$M$1004,$T1589)="","",INDEX(Firms!$M$5:$M$1004,$T1589)),IF(INDEX('AFA Rates'!$L$5:$L$1004,$T1589)="","",INDEX('AFA Rates'!$L$5:$L$1004,$T1589))))</f>
        <v/>
      </c>
      <c r="O1589" s="78">
        <f>IF(OR($T1589="",$U1589=""),"",IF(INDEX(Firms!$C$5:$C$1004,$U1589)="","",INDEX(Firms!$C$5:$C$1004,$U1589)))</f>
        <v/>
      </c>
      <c r="P1589" s="79">
        <f>IF(OR($T1589="",$U1589=""),"",IF(INDEX(Firms!$N$5:$N$1004,$U1589)="","",INDEX(Firms!$N$5:$N$1004,$U1589)))</f>
        <v/>
      </c>
      <c r="Q1589" s="78">
        <f>IF($T1589="","",IF($S1589="S",IF(INDEX(Firms!$T$5:$T$1004,$T1589)="","",INDEX(Firms!$T$5:$T$1004,$T1589)),IF(INDEX('AFA Rates'!$M$5:$M$1004,$T1589)="","",INDEX('AFA Rates'!$M$5:$M$1004,$T1589))))</f>
        <v/>
      </c>
      <c r="S1589">
        <f>IF(1585&lt;=$S$2,"S",IF(1585&lt;=$S$2+$T$2,"A",""))</f>
        <v/>
      </c>
      <c r="T1589">
        <f>IF(S1589="S",MATCH(1585,Firms!$W$5:$W$1004,0),IF(S1589="A",IFERROR(MATCH(1585-$S$2,'AFA Rates'!$R$5:$R$1004,0),""),""))</f>
        <v/>
      </c>
      <c r="U1589">
        <f>IF(S1589="S",T1589,IF(AND(S1589="A",T1589&lt;&gt;""),IFERROR(MATCH(INDEX('AFA Rates'!$A$5:$A$1004,T1589),Firms!$A$5:$A$1004,0),""),""))</f>
        <v/>
      </c>
    </row>
    <row r="1590">
      <c r="A1590" s="78">
        <f>IF($T1590="","",IF($S1590="S",IF(INDEX(Firms!$A$5:$A$1004,$T1590)="","",INDEX(Firms!$A$5:$A$1004,$T1590)),IF(INDEX('AFA Rates'!$A$5:$A$1004,$T1590)="","",INDEX('AFA Rates'!$A$5:$A$1004,$T1590))))</f>
        <v/>
      </c>
      <c r="B1590" s="79">
        <f>IF(OR($T1590="",$U1590=""),IF($T1590="","","Not on Firms tab"),INDEX(Firms!$B$5:$B$1004,$U1590)&amp;"")</f>
        <v/>
      </c>
      <c r="C1590" s="78">
        <f>IF($T1590="","",IF($S1590="S","Standard",INDEX('AFA Rates'!$B$5:$B$1004,$T1590)&amp;""))</f>
        <v/>
      </c>
      <c r="D1590" s="88">
        <f>IF($T1590="","",IF($S1590="S",IF(INDEX(Firms!$E$5:$E$1004,$T1590)="","",INDEX(Firms!$E$5:$E$1004,$T1590)),IF(INDEX('AFA Rates'!$C$5:$C$1004,$T1590)="","",INDEX('AFA Rates'!$C$5:$C$1004,$T1590))))</f>
        <v/>
      </c>
      <c r="E1590" s="88">
        <f>IF($T1590="","",IF($S1590="S",IF(""="","",""),IF(INDEX('AFA Rates'!$D$5:$D$1004,$T1590)="","",INDEX('AFA Rates'!$D$5:$D$1004,$T1590))))</f>
        <v/>
      </c>
      <c r="F1590" s="79">
        <f>IF($T1590="","",IF($S1590="S",IF(INDEX(Firms!$O$5:$O$1004,$T1590)="","",INDEX(Firms!$O$5:$O$1004,$T1590)),IF(INDEX('AFA Rates'!$O$5:$O$1004,$T1590)="","",INDEX('AFA Rates'!$O$5:$O$1004,$T1590))))</f>
        <v/>
      </c>
      <c r="G1590" s="50">
        <f>IF($T1590="","",IF($S1590="S",IF(INDEX(Firms!$F$5:$F$1004,$T1590)="","",INDEX(Firms!$F$5:$F$1004,$T1590)),IF(INDEX('AFA Rates'!$E$5:$E$1004,$T1590)="","",INDEX('AFA Rates'!$E$5:$E$1004,$T1590))))</f>
        <v/>
      </c>
      <c r="H1590" s="50">
        <f>IF($T1590="","",IF($S1590="S",IF(INDEX(Firms!$G$5:$G$1004,$T1590)="","",INDEX(Firms!$G$5:$G$1004,$T1590)),IF(INDEX('AFA Rates'!$F$5:$F$1004,$T1590)="","",INDEX('AFA Rates'!$F$5:$F$1004,$T1590))))</f>
        <v/>
      </c>
      <c r="I1590" s="50">
        <f>IF($T1590="","",IF($S1590="S",IF(INDEX(Firms!$H$5:$H$1004,$T1590)="","",INDEX(Firms!$H$5:$H$1004,$T1590)),IF(INDEX('AFA Rates'!$G$5:$G$1004,$T1590)="","",INDEX('AFA Rates'!$G$5:$G$1004,$T1590))))</f>
        <v/>
      </c>
      <c r="J1590" s="50">
        <f>IF($T1590="","",IF($S1590="S",IF(INDEX(Firms!$I$5:$I$1004,$T1590)="","",INDEX(Firms!$I$5:$I$1004,$T1590)),IF(INDEX('AFA Rates'!$H$5:$H$1004,$T1590)="","",INDEX('AFA Rates'!$H$5:$H$1004,$T1590))))</f>
        <v/>
      </c>
      <c r="K1590" s="50">
        <f>IF($T1590="","",IF($S1590="S",IF(INDEX(Firms!$J$5:$J$1004,$T1590)="","",INDEX(Firms!$J$5:$J$1004,$T1590)),IF(INDEX('AFA Rates'!$I$5:$I$1004,$T1590)="","",INDEX('AFA Rates'!$I$5:$I$1004,$T1590))))</f>
        <v/>
      </c>
      <c r="L1590" s="50">
        <f>IF($T1590="","",IF($S1590="S",IF(INDEX(Firms!$K$5:$K$1004,$T1590)="","",INDEX(Firms!$K$5:$K$1004,$T1590)),IF(INDEX('AFA Rates'!$J$5:$J$1004,$T1590)="","",INDEX('AFA Rates'!$J$5:$J$1004,$T1590))))</f>
        <v/>
      </c>
      <c r="M1590" s="50">
        <f>IF($T1590="","",IF($S1590="S",IF(INDEX(Firms!$L$5:$L$1004,$T1590)="","",INDEX(Firms!$L$5:$L$1004,$T1590)),IF(INDEX('AFA Rates'!$K$5:$K$1004,$T1590)="","",INDEX('AFA Rates'!$K$5:$K$1004,$T1590))))</f>
        <v/>
      </c>
      <c r="N1590" s="50">
        <f>IF($T1590="","",IF($S1590="S",IF(INDEX(Firms!$M$5:$M$1004,$T1590)="","",INDEX(Firms!$M$5:$M$1004,$T1590)),IF(INDEX('AFA Rates'!$L$5:$L$1004,$T1590)="","",INDEX('AFA Rates'!$L$5:$L$1004,$T1590))))</f>
        <v/>
      </c>
      <c r="O1590" s="78">
        <f>IF(OR($T1590="",$U1590=""),"",IF(INDEX(Firms!$C$5:$C$1004,$U1590)="","",INDEX(Firms!$C$5:$C$1004,$U1590)))</f>
        <v/>
      </c>
      <c r="P1590" s="79">
        <f>IF(OR($T1590="",$U1590=""),"",IF(INDEX(Firms!$N$5:$N$1004,$U1590)="","",INDEX(Firms!$N$5:$N$1004,$U1590)))</f>
        <v/>
      </c>
      <c r="Q1590" s="78">
        <f>IF($T1590="","",IF($S1590="S",IF(INDEX(Firms!$T$5:$T$1004,$T1590)="","",INDEX(Firms!$T$5:$T$1004,$T1590)),IF(INDEX('AFA Rates'!$M$5:$M$1004,$T1590)="","",INDEX('AFA Rates'!$M$5:$M$1004,$T1590))))</f>
        <v/>
      </c>
      <c r="S1590">
        <f>IF(1586&lt;=$S$2,"S",IF(1586&lt;=$S$2+$T$2,"A",""))</f>
        <v/>
      </c>
      <c r="T1590">
        <f>IF(S1590="S",MATCH(1586,Firms!$W$5:$W$1004,0),IF(S1590="A",IFERROR(MATCH(1586-$S$2,'AFA Rates'!$R$5:$R$1004,0),""),""))</f>
        <v/>
      </c>
      <c r="U1590">
        <f>IF(S1590="S",T1590,IF(AND(S1590="A",T1590&lt;&gt;""),IFERROR(MATCH(INDEX('AFA Rates'!$A$5:$A$1004,T1590),Firms!$A$5:$A$1004,0),""),""))</f>
        <v/>
      </c>
    </row>
    <row r="1591">
      <c r="A1591" s="78">
        <f>IF($T1591="","",IF($S1591="S",IF(INDEX(Firms!$A$5:$A$1004,$T1591)="","",INDEX(Firms!$A$5:$A$1004,$T1591)),IF(INDEX('AFA Rates'!$A$5:$A$1004,$T1591)="","",INDEX('AFA Rates'!$A$5:$A$1004,$T1591))))</f>
        <v/>
      </c>
      <c r="B1591" s="79">
        <f>IF(OR($T1591="",$U1591=""),IF($T1591="","","Not on Firms tab"),INDEX(Firms!$B$5:$B$1004,$U1591)&amp;"")</f>
        <v/>
      </c>
      <c r="C1591" s="78">
        <f>IF($T1591="","",IF($S1591="S","Standard",INDEX('AFA Rates'!$B$5:$B$1004,$T1591)&amp;""))</f>
        <v/>
      </c>
      <c r="D1591" s="88">
        <f>IF($T1591="","",IF($S1591="S",IF(INDEX(Firms!$E$5:$E$1004,$T1591)="","",INDEX(Firms!$E$5:$E$1004,$T1591)),IF(INDEX('AFA Rates'!$C$5:$C$1004,$T1591)="","",INDEX('AFA Rates'!$C$5:$C$1004,$T1591))))</f>
        <v/>
      </c>
      <c r="E1591" s="88">
        <f>IF($T1591="","",IF($S1591="S",IF(""="","",""),IF(INDEX('AFA Rates'!$D$5:$D$1004,$T1591)="","",INDEX('AFA Rates'!$D$5:$D$1004,$T1591))))</f>
        <v/>
      </c>
      <c r="F1591" s="79">
        <f>IF($T1591="","",IF($S1591="S",IF(INDEX(Firms!$O$5:$O$1004,$T1591)="","",INDEX(Firms!$O$5:$O$1004,$T1591)),IF(INDEX('AFA Rates'!$O$5:$O$1004,$T1591)="","",INDEX('AFA Rates'!$O$5:$O$1004,$T1591))))</f>
        <v/>
      </c>
      <c r="G1591" s="50">
        <f>IF($T1591="","",IF($S1591="S",IF(INDEX(Firms!$F$5:$F$1004,$T1591)="","",INDEX(Firms!$F$5:$F$1004,$T1591)),IF(INDEX('AFA Rates'!$E$5:$E$1004,$T1591)="","",INDEX('AFA Rates'!$E$5:$E$1004,$T1591))))</f>
        <v/>
      </c>
      <c r="H1591" s="50">
        <f>IF($T1591="","",IF($S1591="S",IF(INDEX(Firms!$G$5:$G$1004,$T1591)="","",INDEX(Firms!$G$5:$G$1004,$T1591)),IF(INDEX('AFA Rates'!$F$5:$F$1004,$T1591)="","",INDEX('AFA Rates'!$F$5:$F$1004,$T1591))))</f>
        <v/>
      </c>
      <c r="I1591" s="50">
        <f>IF($T1591="","",IF($S1591="S",IF(INDEX(Firms!$H$5:$H$1004,$T1591)="","",INDEX(Firms!$H$5:$H$1004,$T1591)),IF(INDEX('AFA Rates'!$G$5:$G$1004,$T1591)="","",INDEX('AFA Rates'!$G$5:$G$1004,$T1591))))</f>
        <v/>
      </c>
      <c r="J1591" s="50">
        <f>IF($T1591="","",IF($S1591="S",IF(INDEX(Firms!$I$5:$I$1004,$T1591)="","",INDEX(Firms!$I$5:$I$1004,$T1591)),IF(INDEX('AFA Rates'!$H$5:$H$1004,$T1591)="","",INDEX('AFA Rates'!$H$5:$H$1004,$T1591))))</f>
        <v/>
      </c>
      <c r="K1591" s="50">
        <f>IF($T1591="","",IF($S1591="S",IF(INDEX(Firms!$J$5:$J$1004,$T1591)="","",INDEX(Firms!$J$5:$J$1004,$T1591)),IF(INDEX('AFA Rates'!$I$5:$I$1004,$T1591)="","",INDEX('AFA Rates'!$I$5:$I$1004,$T1591))))</f>
        <v/>
      </c>
      <c r="L1591" s="50">
        <f>IF($T1591="","",IF($S1591="S",IF(INDEX(Firms!$K$5:$K$1004,$T1591)="","",INDEX(Firms!$K$5:$K$1004,$T1591)),IF(INDEX('AFA Rates'!$J$5:$J$1004,$T1591)="","",INDEX('AFA Rates'!$J$5:$J$1004,$T1591))))</f>
        <v/>
      </c>
      <c r="M1591" s="50">
        <f>IF($T1591="","",IF($S1591="S",IF(INDEX(Firms!$L$5:$L$1004,$T1591)="","",INDEX(Firms!$L$5:$L$1004,$T1591)),IF(INDEX('AFA Rates'!$K$5:$K$1004,$T1591)="","",INDEX('AFA Rates'!$K$5:$K$1004,$T1591))))</f>
        <v/>
      </c>
      <c r="N1591" s="50">
        <f>IF($T1591="","",IF($S1591="S",IF(INDEX(Firms!$M$5:$M$1004,$T1591)="","",INDEX(Firms!$M$5:$M$1004,$T1591)),IF(INDEX('AFA Rates'!$L$5:$L$1004,$T1591)="","",INDEX('AFA Rates'!$L$5:$L$1004,$T1591))))</f>
        <v/>
      </c>
      <c r="O1591" s="78">
        <f>IF(OR($T1591="",$U1591=""),"",IF(INDEX(Firms!$C$5:$C$1004,$U1591)="","",INDEX(Firms!$C$5:$C$1004,$U1591)))</f>
        <v/>
      </c>
      <c r="P1591" s="79">
        <f>IF(OR($T1591="",$U1591=""),"",IF(INDEX(Firms!$N$5:$N$1004,$U1591)="","",INDEX(Firms!$N$5:$N$1004,$U1591)))</f>
        <v/>
      </c>
      <c r="Q1591" s="78">
        <f>IF($T1591="","",IF($S1591="S",IF(INDEX(Firms!$T$5:$T$1004,$T1591)="","",INDEX(Firms!$T$5:$T$1004,$T1591)),IF(INDEX('AFA Rates'!$M$5:$M$1004,$T1591)="","",INDEX('AFA Rates'!$M$5:$M$1004,$T1591))))</f>
        <v/>
      </c>
      <c r="S1591">
        <f>IF(1587&lt;=$S$2,"S",IF(1587&lt;=$S$2+$T$2,"A",""))</f>
        <v/>
      </c>
      <c r="T1591">
        <f>IF(S1591="S",MATCH(1587,Firms!$W$5:$W$1004,0),IF(S1591="A",IFERROR(MATCH(1587-$S$2,'AFA Rates'!$R$5:$R$1004,0),""),""))</f>
        <v/>
      </c>
      <c r="U1591">
        <f>IF(S1591="S",T1591,IF(AND(S1591="A",T1591&lt;&gt;""),IFERROR(MATCH(INDEX('AFA Rates'!$A$5:$A$1004,T1591),Firms!$A$5:$A$1004,0),""),""))</f>
        <v/>
      </c>
    </row>
    <row r="1592">
      <c r="A1592" s="78">
        <f>IF($T1592="","",IF($S1592="S",IF(INDEX(Firms!$A$5:$A$1004,$T1592)="","",INDEX(Firms!$A$5:$A$1004,$T1592)),IF(INDEX('AFA Rates'!$A$5:$A$1004,$T1592)="","",INDEX('AFA Rates'!$A$5:$A$1004,$T1592))))</f>
        <v/>
      </c>
      <c r="B1592" s="79">
        <f>IF(OR($T1592="",$U1592=""),IF($T1592="","","Not on Firms tab"),INDEX(Firms!$B$5:$B$1004,$U1592)&amp;"")</f>
        <v/>
      </c>
      <c r="C1592" s="78">
        <f>IF($T1592="","",IF($S1592="S","Standard",INDEX('AFA Rates'!$B$5:$B$1004,$T1592)&amp;""))</f>
        <v/>
      </c>
      <c r="D1592" s="88">
        <f>IF($T1592="","",IF($S1592="S",IF(INDEX(Firms!$E$5:$E$1004,$T1592)="","",INDEX(Firms!$E$5:$E$1004,$T1592)),IF(INDEX('AFA Rates'!$C$5:$C$1004,$T1592)="","",INDEX('AFA Rates'!$C$5:$C$1004,$T1592))))</f>
        <v/>
      </c>
      <c r="E1592" s="88">
        <f>IF($T1592="","",IF($S1592="S",IF(""="","",""),IF(INDEX('AFA Rates'!$D$5:$D$1004,$T1592)="","",INDEX('AFA Rates'!$D$5:$D$1004,$T1592))))</f>
        <v/>
      </c>
      <c r="F1592" s="79">
        <f>IF($T1592="","",IF($S1592="S",IF(INDEX(Firms!$O$5:$O$1004,$T1592)="","",INDEX(Firms!$O$5:$O$1004,$T1592)),IF(INDEX('AFA Rates'!$O$5:$O$1004,$T1592)="","",INDEX('AFA Rates'!$O$5:$O$1004,$T1592))))</f>
        <v/>
      </c>
      <c r="G1592" s="50">
        <f>IF($T1592="","",IF($S1592="S",IF(INDEX(Firms!$F$5:$F$1004,$T1592)="","",INDEX(Firms!$F$5:$F$1004,$T1592)),IF(INDEX('AFA Rates'!$E$5:$E$1004,$T1592)="","",INDEX('AFA Rates'!$E$5:$E$1004,$T1592))))</f>
        <v/>
      </c>
      <c r="H1592" s="50">
        <f>IF($T1592="","",IF($S1592="S",IF(INDEX(Firms!$G$5:$G$1004,$T1592)="","",INDEX(Firms!$G$5:$G$1004,$T1592)),IF(INDEX('AFA Rates'!$F$5:$F$1004,$T1592)="","",INDEX('AFA Rates'!$F$5:$F$1004,$T1592))))</f>
        <v/>
      </c>
      <c r="I1592" s="50">
        <f>IF($T1592="","",IF($S1592="S",IF(INDEX(Firms!$H$5:$H$1004,$T1592)="","",INDEX(Firms!$H$5:$H$1004,$T1592)),IF(INDEX('AFA Rates'!$G$5:$G$1004,$T1592)="","",INDEX('AFA Rates'!$G$5:$G$1004,$T1592))))</f>
        <v/>
      </c>
      <c r="J1592" s="50">
        <f>IF($T1592="","",IF($S1592="S",IF(INDEX(Firms!$I$5:$I$1004,$T1592)="","",INDEX(Firms!$I$5:$I$1004,$T1592)),IF(INDEX('AFA Rates'!$H$5:$H$1004,$T1592)="","",INDEX('AFA Rates'!$H$5:$H$1004,$T1592))))</f>
        <v/>
      </c>
      <c r="K1592" s="50">
        <f>IF($T1592="","",IF($S1592="S",IF(INDEX(Firms!$J$5:$J$1004,$T1592)="","",INDEX(Firms!$J$5:$J$1004,$T1592)),IF(INDEX('AFA Rates'!$I$5:$I$1004,$T1592)="","",INDEX('AFA Rates'!$I$5:$I$1004,$T1592))))</f>
        <v/>
      </c>
      <c r="L1592" s="50">
        <f>IF($T1592="","",IF($S1592="S",IF(INDEX(Firms!$K$5:$K$1004,$T1592)="","",INDEX(Firms!$K$5:$K$1004,$T1592)),IF(INDEX('AFA Rates'!$J$5:$J$1004,$T1592)="","",INDEX('AFA Rates'!$J$5:$J$1004,$T1592))))</f>
        <v/>
      </c>
      <c r="M1592" s="50">
        <f>IF($T1592="","",IF($S1592="S",IF(INDEX(Firms!$L$5:$L$1004,$T1592)="","",INDEX(Firms!$L$5:$L$1004,$T1592)),IF(INDEX('AFA Rates'!$K$5:$K$1004,$T1592)="","",INDEX('AFA Rates'!$K$5:$K$1004,$T1592))))</f>
        <v/>
      </c>
      <c r="N1592" s="50">
        <f>IF($T1592="","",IF($S1592="S",IF(INDEX(Firms!$M$5:$M$1004,$T1592)="","",INDEX(Firms!$M$5:$M$1004,$T1592)),IF(INDEX('AFA Rates'!$L$5:$L$1004,$T1592)="","",INDEX('AFA Rates'!$L$5:$L$1004,$T1592))))</f>
        <v/>
      </c>
      <c r="O1592" s="78">
        <f>IF(OR($T1592="",$U1592=""),"",IF(INDEX(Firms!$C$5:$C$1004,$U1592)="","",INDEX(Firms!$C$5:$C$1004,$U1592)))</f>
        <v/>
      </c>
      <c r="P1592" s="79">
        <f>IF(OR($T1592="",$U1592=""),"",IF(INDEX(Firms!$N$5:$N$1004,$U1592)="","",INDEX(Firms!$N$5:$N$1004,$U1592)))</f>
        <v/>
      </c>
      <c r="Q1592" s="78">
        <f>IF($T1592="","",IF($S1592="S",IF(INDEX(Firms!$T$5:$T$1004,$T1592)="","",INDEX(Firms!$T$5:$T$1004,$T1592)),IF(INDEX('AFA Rates'!$M$5:$M$1004,$T1592)="","",INDEX('AFA Rates'!$M$5:$M$1004,$T1592))))</f>
        <v/>
      </c>
      <c r="S1592">
        <f>IF(1588&lt;=$S$2,"S",IF(1588&lt;=$S$2+$T$2,"A",""))</f>
        <v/>
      </c>
      <c r="T1592">
        <f>IF(S1592="S",MATCH(1588,Firms!$W$5:$W$1004,0),IF(S1592="A",IFERROR(MATCH(1588-$S$2,'AFA Rates'!$R$5:$R$1004,0),""),""))</f>
        <v/>
      </c>
      <c r="U1592">
        <f>IF(S1592="S",T1592,IF(AND(S1592="A",T1592&lt;&gt;""),IFERROR(MATCH(INDEX('AFA Rates'!$A$5:$A$1004,T1592),Firms!$A$5:$A$1004,0),""),""))</f>
        <v/>
      </c>
    </row>
    <row r="1593">
      <c r="A1593" s="78">
        <f>IF($T1593="","",IF($S1593="S",IF(INDEX(Firms!$A$5:$A$1004,$T1593)="","",INDEX(Firms!$A$5:$A$1004,$T1593)),IF(INDEX('AFA Rates'!$A$5:$A$1004,$T1593)="","",INDEX('AFA Rates'!$A$5:$A$1004,$T1593))))</f>
        <v/>
      </c>
      <c r="B1593" s="79">
        <f>IF(OR($T1593="",$U1593=""),IF($T1593="","","Not on Firms tab"),INDEX(Firms!$B$5:$B$1004,$U1593)&amp;"")</f>
        <v/>
      </c>
      <c r="C1593" s="78">
        <f>IF($T1593="","",IF($S1593="S","Standard",INDEX('AFA Rates'!$B$5:$B$1004,$T1593)&amp;""))</f>
        <v/>
      </c>
      <c r="D1593" s="88">
        <f>IF($T1593="","",IF($S1593="S",IF(INDEX(Firms!$E$5:$E$1004,$T1593)="","",INDEX(Firms!$E$5:$E$1004,$T1593)),IF(INDEX('AFA Rates'!$C$5:$C$1004,$T1593)="","",INDEX('AFA Rates'!$C$5:$C$1004,$T1593))))</f>
        <v/>
      </c>
      <c r="E1593" s="88">
        <f>IF($T1593="","",IF($S1593="S",IF(""="","",""),IF(INDEX('AFA Rates'!$D$5:$D$1004,$T1593)="","",INDEX('AFA Rates'!$D$5:$D$1004,$T1593))))</f>
        <v/>
      </c>
      <c r="F1593" s="79">
        <f>IF($T1593="","",IF($S1593="S",IF(INDEX(Firms!$O$5:$O$1004,$T1593)="","",INDEX(Firms!$O$5:$O$1004,$T1593)),IF(INDEX('AFA Rates'!$O$5:$O$1004,$T1593)="","",INDEX('AFA Rates'!$O$5:$O$1004,$T1593))))</f>
        <v/>
      </c>
      <c r="G1593" s="50">
        <f>IF($T1593="","",IF($S1593="S",IF(INDEX(Firms!$F$5:$F$1004,$T1593)="","",INDEX(Firms!$F$5:$F$1004,$T1593)),IF(INDEX('AFA Rates'!$E$5:$E$1004,$T1593)="","",INDEX('AFA Rates'!$E$5:$E$1004,$T1593))))</f>
        <v/>
      </c>
      <c r="H1593" s="50">
        <f>IF($T1593="","",IF($S1593="S",IF(INDEX(Firms!$G$5:$G$1004,$T1593)="","",INDEX(Firms!$G$5:$G$1004,$T1593)),IF(INDEX('AFA Rates'!$F$5:$F$1004,$T1593)="","",INDEX('AFA Rates'!$F$5:$F$1004,$T1593))))</f>
        <v/>
      </c>
      <c r="I1593" s="50">
        <f>IF($T1593="","",IF($S1593="S",IF(INDEX(Firms!$H$5:$H$1004,$T1593)="","",INDEX(Firms!$H$5:$H$1004,$T1593)),IF(INDEX('AFA Rates'!$G$5:$G$1004,$T1593)="","",INDEX('AFA Rates'!$G$5:$G$1004,$T1593))))</f>
        <v/>
      </c>
      <c r="J1593" s="50">
        <f>IF($T1593="","",IF($S1593="S",IF(INDEX(Firms!$I$5:$I$1004,$T1593)="","",INDEX(Firms!$I$5:$I$1004,$T1593)),IF(INDEX('AFA Rates'!$H$5:$H$1004,$T1593)="","",INDEX('AFA Rates'!$H$5:$H$1004,$T1593))))</f>
        <v/>
      </c>
      <c r="K1593" s="50">
        <f>IF($T1593="","",IF($S1593="S",IF(INDEX(Firms!$J$5:$J$1004,$T1593)="","",INDEX(Firms!$J$5:$J$1004,$T1593)),IF(INDEX('AFA Rates'!$I$5:$I$1004,$T1593)="","",INDEX('AFA Rates'!$I$5:$I$1004,$T1593))))</f>
        <v/>
      </c>
      <c r="L1593" s="50">
        <f>IF($T1593="","",IF($S1593="S",IF(INDEX(Firms!$K$5:$K$1004,$T1593)="","",INDEX(Firms!$K$5:$K$1004,$T1593)),IF(INDEX('AFA Rates'!$J$5:$J$1004,$T1593)="","",INDEX('AFA Rates'!$J$5:$J$1004,$T1593))))</f>
        <v/>
      </c>
      <c r="M1593" s="50">
        <f>IF($T1593="","",IF($S1593="S",IF(INDEX(Firms!$L$5:$L$1004,$T1593)="","",INDEX(Firms!$L$5:$L$1004,$T1593)),IF(INDEX('AFA Rates'!$K$5:$K$1004,$T1593)="","",INDEX('AFA Rates'!$K$5:$K$1004,$T1593))))</f>
        <v/>
      </c>
      <c r="N1593" s="50">
        <f>IF($T1593="","",IF($S1593="S",IF(INDEX(Firms!$M$5:$M$1004,$T1593)="","",INDEX(Firms!$M$5:$M$1004,$T1593)),IF(INDEX('AFA Rates'!$L$5:$L$1004,$T1593)="","",INDEX('AFA Rates'!$L$5:$L$1004,$T1593))))</f>
        <v/>
      </c>
      <c r="O1593" s="78">
        <f>IF(OR($T1593="",$U1593=""),"",IF(INDEX(Firms!$C$5:$C$1004,$U1593)="","",INDEX(Firms!$C$5:$C$1004,$U1593)))</f>
        <v/>
      </c>
      <c r="P1593" s="79">
        <f>IF(OR($T1593="",$U1593=""),"",IF(INDEX(Firms!$N$5:$N$1004,$U1593)="","",INDEX(Firms!$N$5:$N$1004,$U1593)))</f>
        <v/>
      </c>
      <c r="Q1593" s="78">
        <f>IF($T1593="","",IF($S1593="S",IF(INDEX(Firms!$T$5:$T$1004,$T1593)="","",INDEX(Firms!$T$5:$T$1004,$T1593)),IF(INDEX('AFA Rates'!$M$5:$M$1004,$T1593)="","",INDEX('AFA Rates'!$M$5:$M$1004,$T1593))))</f>
        <v/>
      </c>
      <c r="S1593">
        <f>IF(1589&lt;=$S$2,"S",IF(1589&lt;=$S$2+$T$2,"A",""))</f>
        <v/>
      </c>
      <c r="T1593">
        <f>IF(S1593="S",MATCH(1589,Firms!$W$5:$W$1004,0),IF(S1593="A",IFERROR(MATCH(1589-$S$2,'AFA Rates'!$R$5:$R$1004,0),""),""))</f>
        <v/>
      </c>
      <c r="U1593">
        <f>IF(S1593="S",T1593,IF(AND(S1593="A",T1593&lt;&gt;""),IFERROR(MATCH(INDEX('AFA Rates'!$A$5:$A$1004,T1593),Firms!$A$5:$A$1004,0),""),""))</f>
        <v/>
      </c>
    </row>
    <row r="1594">
      <c r="A1594" s="78">
        <f>IF($T1594="","",IF($S1594="S",IF(INDEX(Firms!$A$5:$A$1004,$T1594)="","",INDEX(Firms!$A$5:$A$1004,$T1594)),IF(INDEX('AFA Rates'!$A$5:$A$1004,$T1594)="","",INDEX('AFA Rates'!$A$5:$A$1004,$T1594))))</f>
        <v/>
      </c>
      <c r="B1594" s="79">
        <f>IF(OR($T1594="",$U1594=""),IF($T1594="","","Not on Firms tab"),INDEX(Firms!$B$5:$B$1004,$U1594)&amp;"")</f>
        <v/>
      </c>
      <c r="C1594" s="78">
        <f>IF($T1594="","",IF($S1594="S","Standard",INDEX('AFA Rates'!$B$5:$B$1004,$T1594)&amp;""))</f>
        <v/>
      </c>
      <c r="D1594" s="88">
        <f>IF($T1594="","",IF($S1594="S",IF(INDEX(Firms!$E$5:$E$1004,$T1594)="","",INDEX(Firms!$E$5:$E$1004,$T1594)),IF(INDEX('AFA Rates'!$C$5:$C$1004,$T1594)="","",INDEX('AFA Rates'!$C$5:$C$1004,$T1594))))</f>
        <v/>
      </c>
      <c r="E1594" s="88">
        <f>IF($T1594="","",IF($S1594="S",IF(""="","",""),IF(INDEX('AFA Rates'!$D$5:$D$1004,$T1594)="","",INDEX('AFA Rates'!$D$5:$D$1004,$T1594))))</f>
        <v/>
      </c>
      <c r="F1594" s="79">
        <f>IF($T1594="","",IF($S1594="S",IF(INDEX(Firms!$O$5:$O$1004,$T1594)="","",INDEX(Firms!$O$5:$O$1004,$T1594)),IF(INDEX('AFA Rates'!$O$5:$O$1004,$T1594)="","",INDEX('AFA Rates'!$O$5:$O$1004,$T1594))))</f>
        <v/>
      </c>
      <c r="G1594" s="50">
        <f>IF($T1594="","",IF($S1594="S",IF(INDEX(Firms!$F$5:$F$1004,$T1594)="","",INDEX(Firms!$F$5:$F$1004,$T1594)),IF(INDEX('AFA Rates'!$E$5:$E$1004,$T1594)="","",INDEX('AFA Rates'!$E$5:$E$1004,$T1594))))</f>
        <v/>
      </c>
      <c r="H1594" s="50">
        <f>IF($T1594="","",IF($S1594="S",IF(INDEX(Firms!$G$5:$G$1004,$T1594)="","",INDEX(Firms!$G$5:$G$1004,$T1594)),IF(INDEX('AFA Rates'!$F$5:$F$1004,$T1594)="","",INDEX('AFA Rates'!$F$5:$F$1004,$T1594))))</f>
        <v/>
      </c>
      <c r="I1594" s="50">
        <f>IF($T1594="","",IF($S1594="S",IF(INDEX(Firms!$H$5:$H$1004,$T1594)="","",INDEX(Firms!$H$5:$H$1004,$T1594)),IF(INDEX('AFA Rates'!$G$5:$G$1004,$T1594)="","",INDEX('AFA Rates'!$G$5:$G$1004,$T1594))))</f>
        <v/>
      </c>
      <c r="J1594" s="50">
        <f>IF($T1594="","",IF($S1594="S",IF(INDEX(Firms!$I$5:$I$1004,$T1594)="","",INDEX(Firms!$I$5:$I$1004,$T1594)),IF(INDEX('AFA Rates'!$H$5:$H$1004,$T1594)="","",INDEX('AFA Rates'!$H$5:$H$1004,$T1594))))</f>
        <v/>
      </c>
      <c r="K1594" s="50">
        <f>IF($T1594="","",IF($S1594="S",IF(INDEX(Firms!$J$5:$J$1004,$T1594)="","",INDEX(Firms!$J$5:$J$1004,$T1594)),IF(INDEX('AFA Rates'!$I$5:$I$1004,$T1594)="","",INDEX('AFA Rates'!$I$5:$I$1004,$T1594))))</f>
        <v/>
      </c>
      <c r="L1594" s="50">
        <f>IF($T1594="","",IF($S1594="S",IF(INDEX(Firms!$K$5:$K$1004,$T1594)="","",INDEX(Firms!$K$5:$K$1004,$T1594)),IF(INDEX('AFA Rates'!$J$5:$J$1004,$T1594)="","",INDEX('AFA Rates'!$J$5:$J$1004,$T1594))))</f>
        <v/>
      </c>
      <c r="M1594" s="50">
        <f>IF($T1594="","",IF($S1594="S",IF(INDEX(Firms!$L$5:$L$1004,$T1594)="","",INDEX(Firms!$L$5:$L$1004,$T1594)),IF(INDEX('AFA Rates'!$K$5:$K$1004,$T1594)="","",INDEX('AFA Rates'!$K$5:$K$1004,$T1594))))</f>
        <v/>
      </c>
      <c r="N1594" s="50">
        <f>IF($T1594="","",IF($S1594="S",IF(INDEX(Firms!$M$5:$M$1004,$T1594)="","",INDEX(Firms!$M$5:$M$1004,$T1594)),IF(INDEX('AFA Rates'!$L$5:$L$1004,$T1594)="","",INDEX('AFA Rates'!$L$5:$L$1004,$T1594))))</f>
        <v/>
      </c>
      <c r="O1594" s="78">
        <f>IF(OR($T1594="",$U1594=""),"",IF(INDEX(Firms!$C$5:$C$1004,$U1594)="","",INDEX(Firms!$C$5:$C$1004,$U1594)))</f>
        <v/>
      </c>
      <c r="P1594" s="79">
        <f>IF(OR($T1594="",$U1594=""),"",IF(INDEX(Firms!$N$5:$N$1004,$U1594)="","",INDEX(Firms!$N$5:$N$1004,$U1594)))</f>
        <v/>
      </c>
      <c r="Q1594" s="78">
        <f>IF($T1594="","",IF($S1594="S",IF(INDEX(Firms!$T$5:$T$1004,$T1594)="","",INDEX(Firms!$T$5:$T$1004,$T1594)),IF(INDEX('AFA Rates'!$M$5:$M$1004,$T1594)="","",INDEX('AFA Rates'!$M$5:$M$1004,$T1594))))</f>
        <v/>
      </c>
      <c r="S1594">
        <f>IF(1590&lt;=$S$2,"S",IF(1590&lt;=$S$2+$T$2,"A",""))</f>
        <v/>
      </c>
      <c r="T1594">
        <f>IF(S1594="S",MATCH(1590,Firms!$W$5:$W$1004,0),IF(S1594="A",IFERROR(MATCH(1590-$S$2,'AFA Rates'!$R$5:$R$1004,0),""),""))</f>
        <v/>
      </c>
      <c r="U1594">
        <f>IF(S1594="S",T1594,IF(AND(S1594="A",T1594&lt;&gt;""),IFERROR(MATCH(INDEX('AFA Rates'!$A$5:$A$1004,T1594),Firms!$A$5:$A$1004,0),""),""))</f>
        <v/>
      </c>
    </row>
    <row r="1595">
      <c r="A1595" s="78">
        <f>IF($T1595="","",IF($S1595="S",IF(INDEX(Firms!$A$5:$A$1004,$T1595)="","",INDEX(Firms!$A$5:$A$1004,$T1595)),IF(INDEX('AFA Rates'!$A$5:$A$1004,$T1595)="","",INDEX('AFA Rates'!$A$5:$A$1004,$T1595))))</f>
        <v/>
      </c>
      <c r="B1595" s="79">
        <f>IF(OR($T1595="",$U1595=""),IF($T1595="","","Not on Firms tab"),INDEX(Firms!$B$5:$B$1004,$U1595)&amp;"")</f>
        <v/>
      </c>
      <c r="C1595" s="78">
        <f>IF($T1595="","",IF($S1595="S","Standard",INDEX('AFA Rates'!$B$5:$B$1004,$T1595)&amp;""))</f>
        <v/>
      </c>
      <c r="D1595" s="88">
        <f>IF($T1595="","",IF($S1595="S",IF(INDEX(Firms!$E$5:$E$1004,$T1595)="","",INDEX(Firms!$E$5:$E$1004,$T1595)),IF(INDEX('AFA Rates'!$C$5:$C$1004,$T1595)="","",INDEX('AFA Rates'!$C$5:$C$1004,$T1595))))</f>
        <v/>
      </c>
      <c r="E1595" s="88">
        <f>IF($T1595="","",IF($S1595="S",IF(""="","",""),IF(INDEX('AFA Rates'!$D$5:$D$1004,$T1595)="","",INDEX('AFA Rates'!$D$5:$D$1004,$T1595))))</f>
        <v/>
      </c>
      <c r="F1595" s="79">
        <f>IF($T1595="","",IF($S1595="S",IF(INDEX(Firms!$O$5:$O$1004,$T1595)="","",INDEX(Firms!$O$5:$O$1004,$T1595)),IF(INDEX('AFA Rates'!$O$5:$O$1004,$T1595)="","",INDEX('AFA Rates'!$O$5:$O$1004,$T1595))))</f>
        <v/>
      </c>
      <c r="G1595" s="50">
        <f>IF($T1595="","",IF($S1595="S",IF(INDEX(Firms!$F$5:$F$1004,$T1595)="","",INDEX(Firms!$F$5:$F$1004,$T1595)),IF(INDEX('AFA Rates'!$E$5:$E$1004,$T1595)="","",INDEX('AFA Rates'!$E$5:$E$1004,$T1595))))</f>
        <v/>
      </c>
      <c r="H1595" s="50">
        <f>IF($T1595="","",IF($S1595="S",IF(INDEX(Firms!$G$5:$G$1004,$T1595)="","",INDEX(Firms!$G$5:$G$1004,$T1595)),IF(INDEX('AFA Rates'!$F$5:$F$1004,$T1595)="","",INDEX('AFA Rates'!$F$5:$F$1004,$T1595))))</f>
        <v/>
      </c>
      <c r="I1595" s="50">
        <f>IF($T1595="","",IF($S1595="S",IF(INDEX(Firms!$H$5:$H$1004,$T1595)="","",INDEX(Firms!$H$5:$H$1004,$T1595)),IF(INDEX('AFA Rates'!$G$5:$G$1004,$T1595)="","",INDEX('AFA Rates'!$G$5:$G$1004,$T1595))))</f>
        <v/>
      </c>
      <c r="J1595" s="50">
        <f>IF($T1595="","",IF($S1595="S",IF(INDEX(Firms!$I$5:$I$1004,$T1595)="","",INDEX(Firms!$I$5:$I$1004,$T1595)),IF(INDEX('AFA Rates'!$H$5:$H$1004,$T1595)="","",INDEX('AFA Rates'!$H$5:$H$1004,$T1595))))</f>
        <v/>
      </c>
      <c r="K1595" s="50">
        <f>IF($T1595="","",IF($S1595="S",IF(INDEX(Firms!$J$5:$J$1004,$T1595)="","",INDEX(Firms!$J$5:$J$1004,$T1595)),IF(INDEX('AFA Rates'!$I$5:$I$1004,$T1595)="","",INDEX('AFA Rates'!$I$5:$I$1004,$T1595))))</f>
        <v/>
      </c>
      <c r="L1595" s="50">
        <f>IF($T1595="","",IF($S1595="S",IF(INDEX(Firms!$K$5:$K$1004,$T1595)="","",INDEX(Firms!$K$5:$K$1004,$T1595)),IF(INDEX('AFA Rates'!$J$5:$J$1004,$T1595)="","",INDEX('AFA Rates'!$J$5:$J$1004,$T1595))))</f>
        <v/>
      </c>
      <c r="M1595" s="50">
        <f>IF($T1595="","",IF($S1595="S",IF(INDEX(Firms!$L$5:$L$1004,$T1595)="","",INDEX(Firms!$L$5:$L$1004,$T1595)),IF(INDEX('AFA Rates'!$K$5:$K$1004,$T1595)="","",INDEX('AFA Rates'!$K$5:$K$1004,$T1595))))</f>
        <v/>
      </c>
      <c r="N1595" s="50">
        <f>IF($T1595="","",IF($S1595="S",IF(INDEX(Firms!$M$5:$M$1004,$T1595)="","",INDEX(Firms!$M$5:$M$1004,$T1595)),IF(INDEX('AFA Rates'!$L$5:$L$1004,$T1595)="","",INDEX('AFA Rates'!$L$5:$L$1004,$T1595))))</f>
        <v/>
      </c>
      <c r="O1595" s="78">
        <f>IF(OR($T1595="",$U1595=""),"",IF(INDEX(Firms!$C$5:$C$1004,$U1595)="","",INDEX(Firms!$C$5:$C$1004,$U1595)))</f>
        <v/>
      </c>
      <c r="P1595" s="79">
        <f>IF(OR($T1595="",$U1595=""),"",IF(INDEX(Firms!$N$5:$N$1004,$U1595)="","",INDEX(Firms!$N$5:$N$1004,$U1595)))</f>
        <v/>
      </c>
      <c r="Q1595" s="78">
        <f>IF($T1595="","",IF($S1595="S",IF(INDEX(Firms!$T$5:$T$1004,$T1595)="","",INDEX(Firms!$T$5:$T$1004,$T1595)),IF(INDEX('AFA Rates'!$M$5:$M$1004,$T1595)="","",INDEX('AFA Rates'!$M$5:$M$1004,$T1595))))</f>
        <v/>
      </c>
      <c r="S1595">
        <f>IF(1591&lt;=$S$2,"S",IF(1591&lt;=$S$2+$T$2,"A",""))</f>
        <v/>
      </c>
      <c r="T1595">
        <f>IF(S1595="S",MATCH(1591,Firms!$W$5:$W$1004,0),IF(S1595="A",IFERROR(MATCH(1591-$S$2,'AFA Rates'!$R$5:$R$1004,0),""),""))</f>
        <v/>
      </c>
      <c r="U1595">
        <f>IF(S1595="S",T1595,IF(AND(S1595="A",T1595&lt;&gt;""),IFERROR(MATCH(INDEX('AFA Rates'!$A$5:$A$1004,T1595),Firms!$A$5:$A$1004,0),""),""))</f>
        <v/>
      </c>
    </row>
    <row r="1596">
      <c r="A1596" s="78">
        <f>IF($T1596="","",IF($S1596="S",IF(INDEX(Firms!$A$5:$A$1004,$T1596)="","",INDEX(Firms!$A$5:$A$1004,$T1596)),IF(INDEX('AFA Rates'!$A$5:$A$1004,$T1596)="","",INDEX('AFA Rates'!$A$5:$A$1004,$T1596))))</f>
        <v/>
      </c>
      <c r="B1596" s="79">
        <f>IF(OR($T1596="",$U1596=""),IF($T1596="","","Not on Firms tab"),INDEX(Firms!$B$5:$B$1004,$U1596)&amp;"")</f>
        <v/>
      </c>
      <c r="C1596" s="78">
        <f>IF($T1596="","",IF($S1596="S","Standard",INDEX('AFA Rates'!$B$5:$B$1004,$T1596)&amp;""))</f>
        <v/>
      </c>
      <c r="D1596" s="88">
        <f>IF($T1596="","",IF($S1596="S",IF(INDEX(Firms!$E$5:$E$1004,$T1596)="","",INDEX(Firms!$E$5:$E$1004,$T1596)),IF(INDEX('AFA Rates'!$C$5:$C$1004,$T1596)="","",INDEX('AFA Rates'!$C$5:$C$1004,$T1596))))</f>
        <v/>
      </c>
      <c r="E1596" s="88">
        <f>IF($T1596="","",IF($S1596="S",IF(""="","",""),IF(INDEX('AFA Rates'!$D$5:$D$1004,$T1596)="","",INDEX('AFA Rates'!$D$5:$D$1004,$T1596))))</f>
        <v/>
      </c>
      <c r="F1596" s="79">
        <f>IF($T1596="","",IF($S1596="S",IF(INDEX(Firms!$O$5:$O$1004,$T1596)="","",INDEX(Firms!$O$5:$O$1004,$T1596)),IF(INDEX('AFA Rates'!$O$5:$O$1004,$T1596)="","",INDEX('AFA Rates'!$O$5:$O$1004,$T1596))))</f>
        <v/>
      </c>
      <c r="G1596" s="50">
        <f>IF($T1596="","",IF($S1596="S",IF(INDEX(Firms!$F$5:$F$1004,$T1596)="","",INDEX(Firms!$F$5:$F$1004,$T1596)),IF(INDEX('AFA Rates'!$E$5:$E$1004,$T1596)="","",INDEX('AFA Rates'!$E$5:$E$1004,$T1596))))</f>
        <v/>
      </c>
      <c r="H1596" s="50">
        <f>IF($T1596="","",IF($S1596="S",IF(INDEX(Firms!$G$5:$G$1004,$T1596)="","",INDEX(Firms!$G$5:$G$1004,$T1596)),IF(INDEX('AFA Rates'!$F$5:$F$1004,$T1596)="","",INDEX('AFA Rates'!$F$5:$F$1004,$T1596))))</f>
        <v/>
      </c>
      <c r="I1596" s="50">
        <f>IF($T1596="","",IF($S1596="S",IF(INDEX(Firms!$H$5:$H$1004,$T1596)="","",INDEX(Firms!$H$5:$H$1004,$T1596)),IF(INDEX('AFA Rates'!$G$5:$G$1004,$T1596)="","",INDEX('AFA Rates'!$G$5:$G$1004,$T1596))))</f>
        <v/>
      </c>
      <c r="J1596" s="50">
        <f>IF($T1596="","",IF($S1596="S",IF(INDEX(Firms!$I$5:$I$1004,$T1596)="","",INDEX(Firms!$I$5:$I$1004,$T1596)),IF(INDEX('AFA Rates'!$H$5:$H$1004,$T1596)="","",INDEX('AFA Rates'!$H$5:$H$1004,$T1596))))</f>
        <v/>
      </c>
      <c r="K1596" s="50">
        <f>IF($T1596="","",IF($S1596="S",IF(INDEX(Firms!$J$5:$J$1004,$T1596)="","",INDEX(Firms!$J$5:$J$1004,$T1596)),IF(INDEX('AFA Rates'!$I$5:$I$1004,$T1596)="","",INDEX('AFA Rates'!$I$5:$I$1004,$T1596))))</f>
        <v/>
      </c>
      <c r="L1596" s="50">
        <f>IF($T1596="","",IF($S1596="S",IF(INDEX(Firms!$K$5:$K$1004,$T1596)="","",INDEX(Firms!$K$5:$K$1004,$T1596)),IF(INDEX('AFA Rates'!$J$5:$J$1004,$T1596)="","",INDEX('AFA Rates'!$J$5:$J$1004,$T1596))))</f>
        <v/>
      </c>
      <c r="M1596" s="50">
        <f>IF($T1596="","",IF($S1596="S",IF(INDEX(Firms!$L$5:$L$1004,$T1596)="","",INDEX(Firms!$L$5:$L$1004,$T1596)),IF(INDEX('AFA Rates'!$K$5:$K$1004,$T1596)="","",INDEX('AFA Rates'!$K$5:$K$1004,$T1596))))</f>
        <v/>
      </c>
      <c r="N1596" s="50">
        <f>IF($T1596="","",IF($S1596="S",IF(INDEX(Firms!$M$5:$M$1004,$T1596)="","",INDEX(Firms!$M$5:$M$1004,$T1596)),IF(INDEX('AFA Rates'!$L$5:$L$1004,$T1596)="","",INDEX('AFA Rates'!$L$5:$L$1004,$T1596))))</f>
        <v/>
      </c>
      <c r="O1596" s="78">
        <f>IF(OR($T1596="",$U1596=""),"",IF(INDEX(Firms!$C$5:$C$1004,$U1596)="","",INDEX(Firms!$C$5:$C$1004,$U1596)))</f>
        <v/>
      </c>
      <c r="P1596" s="79">
        <f>IF(OR($T1596="",$U1596=""),"",IF(INDEX(Firms!$N$5:$N$1004,$U1596)="","",INDEX(Firms!$N$5:$N$1004,$U1596)))</f>
        <v/>
      </c>
      <c r="Q1596" s="78">
        <f>IF($T1596="","",IF($S1596="S",IF(INDEX(Firms!$T$5:$T$1004,$T1596)="","",INDEX(Firms!$T$5:$T$1004,$T1596)),IF(INDEX('AFA Rates'!$M$5:$M$1004,$T1596)="","",INDEX('AFA Rates'!$M$5:$M$1004,$T1596))))</f>
        <v/>
      </c>
      <c r="S1596">
        <f>IF(1592&lt;=$S$2,"S",IF(1592&lt;=$S$2+$T$2,"A",""))</f>
        <v/>
      </c>
      <c r="T1596">
        <f>IF(S1596="S",MATCH(1592,Firms!$W$5:$W$1004,0),IF(S1596="A",IFERROR(MATCH(1592-$S$2,'AFA Rates'!$R$5:$R$1004,0),""),""))</f>
        <v/>
      </c>
      <c r="U1596">
        <f>IF(S1596="S",T1596,IF(AND(S1596="A",T1596&lt;&gt;""),IFERROR(MATCH(INDEX('AFA Rates'!$A$5:$A$1004,T1596),Firms!$A$5:$A$1004,0),""),""))</f>
        <v/>
      </c>
    </row>
    <row r="1597">
      <c r="A1597" s="78">
        <f>IF($T1597="","",IF($S1597="S",IF(INDEX(Firms!$A$5:$A$1004,$T1597)="","",INDEX(Firms!$A$5:$A$1004,$T1597)),IF(INDEX('AFA Rates'!$A$5:$A$1004,$T1597)="","",INDEX('AFA Rates'!$A$5:$A$1004,$T1597))))</f>
        <v/>
      </c>
      <c r="B1597" s="79">
        <f>IF(OR($T1597="",$U1597=""),IF($T1597="","","Not on Firms tab"),INDEX(Firms!$B$5:$B$1004,$U1597)&amp;"")</f>
        <v/>
      </c>
      <c r="C1597" s="78">
        <f>IF($T1597="","",IF($S1597="S","Standard",INDEX('AFA Rates'!$B$5:$B$1004,$T1597)&amp;""))</f>
        <v/>
      </c>
      <c r="D1597" s="88">
        <f>IF($T1597="","",IF($S1597="S",IF(INDEX(Firms!$E$5:$E$1004,$T1597)="","",INDEX(Firms!$E$5:$E$1004,$T1597)),IF(INDEX('AFA Rates'!$C$5:$C$1004,$T1597)="","",INDEX('AFA Rates'!$C$5:$C$1004,$T1597))))</f>
        <v/>
      </c>
      <c r="E1597" s="88">
        <f>IF($T1597="","",IF($S1597="S",IF(""="","",""),IF(INDEX('AFA Rates'!$D$5:$D$1004,$T1597)="","",INDEX('AFA Rates'!$D$5:$D$1004,$T1597))))</f>
        <v/>
      </c>
      <c r="F1597" s="79">
        <f>IF($T1597="","",IF($S1597="S",IF(INDEX(Firms!$O$5:$O$1004,$T1597)="","",INDEX(Firms!$O$5:$O$1004,$T1597)),IF(INDEX('AFA Rates'!$O$5:$O$1004,$T1597)="","",INDEX('AFA Rates'!$O$5:$O$1004,$T1597))))</f>
        <v/>
      </c>
      <c r="G1597" s="50">
        <f>IF($T1597="","",IF($S1597="S",IF(INDEX(Firms!$F$5:$F$1004,$T1597)="","",INDEX(Firms!$F$5:$F$1004,$T1597)),IF(INDEX('AFA Rates'!$E$5:$E$1004,$T1597)="","",INDEX('AFA Rates'!$E$5:$E$1004,$T1597))))</f>
        <v/>
      </c>
      <c r="H1597" s="50">
        <f>IF($T1597="","",IF($S1597="S",IF(INDEX(Firms!$G$5:$G$1004,$T1597)="","",INDEX(Firms!$G$5:$G$1004,$T1597)),IF(INDEX('AFA Rates'!$F$5:$F$1004,$T1597)="","",INDEX('AFA Rates'!$F$5:$F$1004,$T1597))))</f>
        <v/>
      </c>
      <c r="I1597" s="50">
        <f>IF($T1597="","",IF($S1597="S",IF(INDEX(Firms!$H$5:$H$1004,$T1597)="","",INDEX(Firms!$H$5:$H$1004,$T1597)),IF(INDEX('AFA Rates'!$G$5:$G$1004,$T1597)="","",INDEX('AFA Rates'!$G$5:$G$1004,$T1597))))</f>
        <v/>
      </c>
      <c r="J1597" s="50">
        <f>IF($T1597="","",IF($S1597="S",IF(INDEX(Firms!$I$5:$I$1004,$T1597)="","",INDEX(Firms!$I$5:$I$1004,$T1597)),IF(INDEX('AFA Rates'!$H$5:$H$1004,$T1597)="","",INDEX('AFA Rates'!$H$5:$H$1004,$T1597))))</f>
        <v/>
      </c>
      <c r="K1597" s="50">
        <f>IF($T1597="","",IF($S1597="S",IF(INDEX(Firms!$J$5:$J$1004,$T1597)="","",INDEX(Firms!$J$5:$J$1004,$T1597)),IF(INDEX('AFA Rates'!$I$5:$I$1004,$T1597)="","",INDEX('AFA Rates'!$I$5:$I$1004,$T1597))))</f>
        <v/>
      </c>
      <c r="L1597" s="50">
        <f>IF($T1597="","",IF($S1597="S",IF(INDEX(Firms!$K$5:$K$1004,$T1597)="","",INDEX(Firms!$K$5:$K$1004,$T1597)),IF(INDEX('AFA Rates'!$J$5:$J$1004,$T1597)="","",INDEX('AFA Rates'!$J$5:$J$1004,$T1597))))</f>
        <v/>
      </c>
      <c r="M1597" s="50">
        <f>IF($T1597="","",IF($S1597="S",IF(INDEX(Firms!$L$5:$L$1004,$T1597)="","",INDEX(Firms!$L$5:$L$1004,$T1597)),IF(INDEX('AFA Rates'!$K$5:$K$1004,$T1597)="","",INDEX('AFA Rates'!$K$5:$K$1004,$T1597))))</f>
        <v/>
      </c>
      <c r="N1597" s="50">
        <f>IF($T1597="","",IF($S1597="S",IF(INDEX(Firms!$M$5:$M$1004,$T1597)="","",INDEX(Firms!$M$5:$M$1004,$T1597)),IF(INDEX('AFA Rates'!$L$5:$L$1004,$T1597)="","",INDEX('AFA Rates'!$L$5:$L$1004,$T1597))))</f>
        <v/>
      </c>
      <c r="O1597" s="78">
        <f>IF(OR($T1597="",$U1597=""),"",IF(INDEX(Firms!$C$5:$C$1004,$U1597)="","",INDEX(Firms!$C$5:$C$1004,$U1597)))</f>
        <v/>
      </c>
      <c r="P1597" s="79">
        <f>IF(OR($T1597="",$U1597=""),"",IF(INDEX(Firms!$N$5:$N$1004,$U1597)="","",INDEX(Firms!$N$5:$N$1004,$U1597)))</f>
        <v/>
      </c>
      <c r="Q1597" s="78">
        <f>IF($T1597="","",IF($S1597="S",IF(INDEX(Firms!$T$5:$T$1004,$T1597)="","",INDEX(Firms!$T$5:$T$1004,$T1597)),IF(INDEX('AFA Rates'!$M$5:$M$1004,$T1597)="","",INDEX('AFA Rates'!$M$5:$M$1004,$T1597))))</f>
        <v/>
      </c>
      <c r="S1597">
        <f>IF(1593&lt;=$S$2,"S",IF(1593&lt;=$S$2+$T$2,"A",""))</f>
        <v/>
      </c>
      <c r="T1597">
        <f>IF(S1597="S",MATCH(1593,Firms!$W$5:$W$1004,0),IF(S1597="A",IFERROR(MATCH(1593-$S$2,'AFA Rates'!$R$5:$R$1004,0),""),""))</f>
        <v/>
      </c>
      <c r="U1597">
        <f>IF(S1597="S",T1597,IF(AND(S1597="A",T1597&lt;&gt;""),IFERROR(MATCH(INDEX('AFA Rates'!$A$5:$A$1004,T1597),Firms!$A$5:$A$1004,0),""),""))</f>
        <v/>
      </c>
    </row>
    <row r="1598">
      <c r="A1598" s="78">
        <f>IF($T1598="","",IF($S1598="S",IF(INDEX(Firms!$A$5:$A$1004,$T1598)="","",INDEX(Firms!$A$5:$A$1004,$T1598)),IF(INDEX('AFA Rates'!$A$5:$A$1004,$T1598)="","",INDEX('AFA Rates'!$A$5:$A$1004,$T1598))))</f>
        <v/>
      </c>
      <c r="B1598" s="79">
        <f>IF(OR($T1598="",$U1598=""),IF($T1598="","","Not on Firms tab"),INDEX(Firms!$B$5:$B$1004,$U1598)&amp;"")</f>
        <v/>
      </c>
      <c r="C1598" s="78">
        <f>IF($T1598="","",IF($S1598="S","Standard",INDEX('AFA Rates'!$B$5:$B$1004,$T1598)&amp;""))</f>
        <v/>
      </c>
      <c r="D1598" s="88">
        <f>IF($T1598="","",IF($S1598="S",IF(INDEX(Firms!$E$5:$E$1004,$T1598)="","",INDEX(Firms!$E$5:$E$1004,$T1598)),IF(INDEX('AFA Rates'!$C$5:$C$1004,$T1598)="","",INDEX('AFA Rates'!$C$5:$C$1004,$T1598))))</f>
        <v/>
      </c>
      <c r="E1598" s="88">
        <f>IF($T1598="","",IF($S1598="S",IF(""="","",""),IF(INDEX('AFA Rates'!$D$5:$D$1004,$T1598)="","",INDEX('AFA Rates'!$D$5:$D$1004,$T1598))))</f>
        <v/>
      </c>
      <c r="F1598" s="79">
        <f>IF($T1598="","",IF($S1598="S",IF(INDEX(Firms!$O$5:$O$1004,$T1598)="","",INDEX(Firms!$O$5:$O$1004,$T1598)),IF(INDEX('AFA Rates'!$O$5:$O$1004,$T1598)="","",INDEX('AFA Rates'!$O$5:$O$1004,$T1598))))</f>
        <v/>
      </c>
      <c r="G1598" s="50">
        <f>IF($T1598="","",IF($S1598="S",IF(INDEX(Firms!$F$5:$F$1004,$T1598)="","",INDEX(Firms!$F$5:$F$1004,$T1598)),IF(INDEX('AFA Rates'!$E$5:$E$1004,$T1598)="","",INDEX('AFA Rates'!$E$5:$E$1004,$T1598))))</f>
        <v/>
      </c>
      <c r="H1598" s="50">
        <f>IF($T1598="","",IF($S1598="S",IF(INDEX(Firms!$G$5:$G$1004,$T1598)="","",INDEX(Firms!$G$5:$G$1004,$T1598)),IF(INDEX('AFA Rates'!$F$5:$F$1004,$T1598)="","",INDEX('AFA Rates'!$F$5:$F$1004,$T1598))))</f>
        <v/>
      </c>
      <c r="I1598" s="50">
        <f>IF($T1598="","",IF($S1598="S",IF(INDEX(Firms!$H$5:$H$1004,$T1598)="","",INDEX(Firms!$H$5:$H$1004,$T1598)),IF(INDEX('AFA Rates'!$G$5:$G$1004,$T1598)="","",INDEX('AFA Rates'!$G$5:$G$1004,$T1598))))</f>
        <v/>
      </c>
      <c r="J1598" s="50">
        <f>IF($T1598="","",IF($S1598="S",IF(INDEX(Firms!$I$5:$I$1004,$T1598)="","",INDEX(Firms!$I$5:$I$1004,$T1598)),IF(INDEX('AFA Rates'!$H$5:$H$1004,$T1598)="","",INDEX('AFA Rates'!$H$5:$H$1004,$T1598))))</f>
        <v/>
      </c>
      <c r="K1598" s="50">
        <f>IF($T1598="","",IF($S1598="S",IF(INDEX(Firms!$J$5:$J$1004,$T1598)="","",INDEX(Firms!$J$5:$J$1004,$T1598)),IF(INDEX('AFA Rates'!$I$5:$I$1004,$T1598)="","",INDEX('AFA Rates'!$I$5:$I$1004,$T1598))))</f>
        <v/>
      </c>
      <c r="L1598" s="50">
        <f>IF($T1598="","",IF($S1598="S",IF(INDEX(Firms!$K$5:$K$1004,$T1598)="","",INDEX(Firms!$K$5:$K$1004,$T1598)),IF(INDEX('AFA Rates'!$J$5:$J$1004,$T1598)="","",INDEX('AFA Rates'!$J$5:$J$1004,$T1598))))</f>
        <v/>
      </c>
      <c r="M1598" s="50">
        <f>IF($T1598="","",IF($S1598="S",IF(INDEX(Firms!$L$5:$L$1004,$T1598)="","",INDEX(Firms!$L$5:$L$1004,$T1598)),IF(INDEX('AFA Rates'!$K$5:$K$1004,$T1598)="","",INDEX('AFA Rates'!$K$5:$K$1004,$T1598))))</f>
        <v/>
      </c>
      <c r="N1598" s="50">
        <f>IF($T1598="","",IF($S1598="S",IF(INDEX(Firms!$M$5:$M$1004,$T1598)="","",INDEX(Firms!$M$5:$M$1004,$T1598)),IF(INDEX('AFA Rates'!$L$5:$L$1004,$T1598)="","",INDEX('AFA Rates'!$L$5:$L$1004,$T1598))))</f>
        <v/>
      </c>
      <c r="O1598" s="78">
        <f>IF(OR($T1598="",$U1598=""),"",IF(INDEX(Firms!$C$5:$C$1004,$U1598)="","",INDEX(Firms!$C$5:$C$1004,$U1598)))</f>
        <v/>
      </c>
      <c r="P1598" s="79">
        <f>IF(OR($T1598="",$U1598=""),"",IF(INDEX(Firms!$N$5:$N$1004,$U1598)="","",INDEX(Firms!$N$5:$N$1004,$U1598)))</f>
        <v/>
      </c>
      <c r="Q1598" s="78">
        <f>IF($T1598="","",IF($S1598="S",IF(INDEX(Firms!$T$5:$T$1004,$T1598)="","",INDEX(Firms!$T$5:$T$1004,$T1598)),IF(INDEX('AFA Rates'!$M$5:$M$1004,$T1598)="","",INDEX('AFA Rates'!$M$5:$M$1004,$T1598))))</f>
        <v/>
      </c>
      <c r="S1598">
        <f>IF(1594&lt;=$S$2,"S",IF(1594&lt;=$S$2+$T$2,"A",""))</f>
        <v/>
      </c>
      <c r="T1598">
        <f>IF(S1598="S",MATCH(1594,Firms!$W$5:$W$1004,0),IF(S1598="A",IFERROR(MATCH(1594-$S$2,'AFA Rates'!$R$5:$R$1004,0),""),""))</f>
        <v/>
      </c>
      <c r="U1598">
        <f>IF(S1598="S",T1598,IF(AND(S1598="A",T1598&lt;&gt;""),IFERROR(MATCH(INDEX('AFA Rates'!$A$5:$A$1004,T1598),Firms!$A$5:$A$1004,0),""),""))</f>
        <v/>
      </c>
    </row>
    <row r="1599">
      <c r="A1599" s="78">
        <f>IF($T1599="","",IF($S1599="S",IF(INDEX(Firms!$A$5:$A$1004,$T1599)="","",INDEX(Firms!$A$5:$A$1004,$T1599)),IF(INDEX('AFA Rates'!$A$5:$A$1004,$T1599)="","",INDEX('AFA Rates'!$A$5:$A$1004,$T1599))))</f>
        <v/>
      </c>
      <c r="B1599" s="79">
        <f>IF(OR($T1599="",$U1599=""),IF($T1599="","","Not on Firms tab"),INDEX(Firms!$B$5:$B$1004,$U1599)&amp;"")</f>
        <v/>
      </c>
      <c r="C1599" s="78">
        <f>IF($T1599="","",IF($S1599="S","Standard",INDEX('AFA Rates'!$B$5:$B$1004,$T1599)&amp;""))</f>
        <v/>
      </c>
      <c r="D1599" s="88">
        <f>IF($T1599="","",IF($S1599="S",IF(INDEX(Firms!$E$5:$E$1004,$T1599)="","",INDEX(Firms!$E$5:$E$1004,$T1599)),IF(INDEX('AFA Rates'!$C$5:$C$1004,$T1599)="","",INDEX('AFA Rates'!$C$5:$C$1004,$T1599))))</f>
        <v/>
      </c>
      <c r="E1599" s="88">
        <f>IF($T1599="","",IF($S1599="S",IF(""="","",""),IF(INDEX('AFA Rates'!$D$5:$D$1004,$T1599)="","",INDEX('AFA Rates'!$D$5:$D$1004,$T1599))))</f>
        <v/>
      </c>
      <c r="F1599" s="79">
        <f>IF($T1599="","",IF($S1599="S",IF(INDEX(Firms!$O$5:$O$1004,$T1599)="","",INDEX(Firms!$O$5:$O$1004,$T1599)),IF(INDEX('AFA Rates'!$O$5:$O$1004,$T1599)="","",INDEX('AFA Rates'!$O$5:$O$1004,$T1599))))</f>
        <v/>
      </c>
      <c r="G1599" s="50">
        <f>IF($T1599="","",IF($S1599="S",IF(INDEX(Firms!$F$5:$F$1004,$T1599)="","",INDEX(Firms!$F$5:$F$1004,$T1599)),IF(INDEX('AFA Rates'!$E$5:$E$1004,$T1599)="","",INDEX('AFA Rates'!$E$5:$E$1004,$T1599))))</f>
        <v/>
      </c>
      <c r="H1599" s="50">
        <f>IF($T1599="","",IF($S1599="S",IF(INDEX(Firms!$G$5:$G$1004,$T1599)="","",INDEX(Firms!$G$5:$G$1004,$T1599)),IF(INDEX('AFA Rates'!$F$5:$F$1004,$T1599)="","",INDEX('AFA Rates'!$F$5:$F$1004,$T1599))))</f>
        <v/>
      </c>
      <c r="I1599" s="50">
        <f>IF($T1599="","",IF($S1599="S",IF(INDEX(Firms!$H$5:$H$1004,$T1599)="","",INDEX(Firms!$H$5:$H$1004,$T1599)),IF(INDEX('AFA Rates'!$G$5:$G$1004,$T1599)="","",INDEX('AFA Rates'!$G$5:$G$1004,$T1599))))</f>
        <v/>
      </c>
      <c r="J1599" s="50">
        <f>IF($T1599="","",IF($S1599="S",IF(INDEX(Firms!$I$5:$I$1004,$T1599)="","",INDEX(Firms!$I$5:$I$1004,$T1599)),IF(INDEX('AFA Rates'!$H$5:$H$1004,$T1599)="","",INDEX('AFA Rates'!$H$5:$H$1004,$T1599))))</f>
        <v/>
      </c>
      <c r="K1599" s="50">
        <f>IF($T1599="","",IF($S1599="S",IF(INDEX(Firms!$J$5:$J$1004,$T1599)="","",INDEX(Firms!$J$5:$J$1004,$T1599)),IF(INDEX('AFA Rates'!$I$5:$I$1004,$T1599)="","",INDEX('AFA Rates'!$I$5:$I$1004,$T1599))))</f>
        <v/>
      </c>
      <c r="L1599" s="50">
        <f>IF($T1599="","",IF($S1599="S",IF(INDEX(Firms!$K$5:$K$1004,$T1599)="","",INDEX(Firms!$K$5:$K$1004,$T1599)),IF(INDEX('AFA Rates'!$J$5:$J$1004,$T1599)="","",INDEX('AFA Rates'!$J$5:$J$1004,$T1599))))</f>
        <v/>
      </c>
      <c r="M1599" s="50">
        <f>IF($T1599="","",IF($S1599="S",IF(INDEX(Firms!$L$5:$L$1004,$T1599)="","",INDEX(Firms!$L$5:$L$1004,$T1599)),IF(INDEX('AFA Rates'!$K$5:$K$1004,$T1599)="","",INDEX('AFA Rates'!$K$5:$K$1004,$T1599))))</f>
        <v/>
      </c>
      <c r="N1599" s="50">
        <f>IF($T1599="","",IF($S1599="S",IF(INDEX(Firms!$M$5:$M$1004,$T1599)="","",INDEX(Firms!$M$5:$M$1004,$T1599)),IF(INDEX('AFA Rates'!$L$5:$L$1004,$T1599)="","",INDEX('AFA Rates'!$L$5:$L$1004,$T1599))))</f>
        <v/>
      </c>
      <c r="O1599" s="78">
        <f>IF(OR($T1599="",$U1599=""),"",IF(INDEX(Firms!$C$5:$C$1004,$U1599)="","",INDEX(Firms!$C$5:$C$1004,$U1599)))</f>
        <v/>
      </c>
      <c r="P1599" s="79">
        <f>IF(OR($T1599="",$U1599=""),"",IF(INDEX(Firms!$N$5:$N$1004,$U1599)="","",INDEX(Firms!$N$5:$N$1004,$U1599)))</f>
        <v/>
      </c>
      <c r="Q1599" s="78">
        <f>IF($T1599="","",IF($S1599="S",IF(INDEX(Firms!$T$5:$T$1004,$T1599)="","",INDEX(Firms!$T$5:$T$1004,$T1599)),IF(INDEX('AFA Rates'!$M$5:$M$1004,$T1599)="","",INDEX('AFA Rates'!$M$5:$M$1004,$T1599))))</f>
        <v/>
      </c>
      <c r="S1599">
        <f>IF(1595&lt;=$S$2,"S",IF(1595&lt;=$S$2+$T$2,"A",""))</f>
        <v/>
      </c>
      <c r="T1599">
        <f>IF(S1599="S",MATCH(1595,Firms!$W$5:$W$1004,0),IF(S1599="A",IFERROR(MATCH(1595-$S$2,'AFA Rates'!$R$5:$R$1004,0),""),""))</f>
        <v/>
      </c>
      <c r="U1599">
        <f>IF(S1599="S",T1599,IF(AND(S1599="A",T1599&lt;&gt;""),IFERROR(MATCH(INDEX('AFA Rates'!$A$5:$A$1004,T1599),Firms!$A$5:$A$1004,0),""),""))</f>
        <v/>
      </c>
    </row>
    <row r="1600">
      <c r="A1600" s="78">
        <f>IF($T1600="","",IF($S1600="S",IF(INDEX(Firms!$A$5:$A$1004,$T1600)="","",INDEX(Firms!$A$5:$A$1004,$T1600)),IF(INDEX('AFA Rates'!$A$5:$A$1004,$T1600)="","",INDEX('AFA Rates'!$A$5:$A$1004,$T1600))))</f>
        <v/>
      </c>
      <c r="B1600" s="79">
        <f>IF(OR($T1600="",$U1600=""),IF($T1600="","","Not on Firms tab"),INDEX(Firms!$B$5:$B$1004,$U1600)&amp;"")</f>
        <v/>
      </c>
      <c r="C1600" s="78">
        <f>IF($T1600="","",IF($S1600="S","Standard",INDEX('AFA Rates'!$B$5:$B$1004,$T1600)&amp;""))</f>
        <v/>
      </c>
      <c r="D1600" s="88">
        <f>IF($T1600="","",IF($S1600="S",IF(INDEX(Firms!$E$5:$E$1004,$T1600)="","",INDEX(Firms!$E$5:$E$1004,$T1600)),IF(INDEX('AFA Rates'!$C$5:$C$1004,$T1600)="","",INDEX('AFA Rates'!$C$5:$C$1004,$T1600))))</f>
        <v/>
      </c>
      <c r="E1600" s="88">
        <f>IF($T1600="","",IF($S1600="S",IF(""="","",""),IF(INDEX('AFA Rates'!$D$5:$D$1004,$T1600)="","",INDEX('AFA Rates'!$D$5:$D$1004,$T1600))))</f>
        <v/>
      </c>
      <c r="F1600" s="79">
        <f>IF($T1600="","",IF($S1600="S",IF(INDEX(Firms!$O$5:$O$1004,$T1600)="","",INDEX(Firms!$O$5:$O$1004,$T1600)),IF(INDEX('AFA Rates'!$O$5:$O$1004,$T1600)="","",INDEX('AFA Rates'!$O$5:$O$1004,$T1600))))</f>
        <v/>
      </c>
      <c r="G1600" s="50">
        <f>IF($T1600="","",IF($S1600="S",IF(INDEX(Firms!$F$5:$F$1004,$T1600)="","",INDEX(Firms!$F$5:$F$1004,$T1600)),IF(INDEX('AFA Rates'!$E$5:$E$1004,$T1600)="","",INDEX('AFA Rates'!$E$5:$E$1004,$T1600))))</f>
        <v/>
      </c>
      <c r="H1600" s="50">
        <f>IF($T1600="","",IF($S1600="S",IF(INDEX(Firms!$G$5:$G$1004,$T1600)="","",INDEX(Firms!$G$5:$G$1004,$T1600)),IF(INDEX('AFA Rates'!$F$5:$F$1004,$T1600)="","",INDEX('AFA Rates'!$F$5:$F$1004,$T1600))))</f>
        <v/>
      </c>
      <c r="I1600" s="50">
        <f>IF($T1600="","",IF($S1600="S",IF(INDEX(Firms!$H$5:$H$1004,$T1600)="","",INDEX(Firms!$H$5:$H$1004,$T1600)),IF(INDEX('AFA Rates'!$G$5:$G$1004,$T1600)="","",INDEX('AFA Rates'!$G$5:$G$1004,$T1600))))</f>
        <v/>
      </c>
      <c r="J1600" s="50">
        <f>IF($T1600="","",IF($S1600="S",IF(INDEX(Firms!$I$5:$I$1004,$T1600)="","",INDEX(Firms!$I$5:$I$1004,$T1600)),IF(INDEX('AFA Rates'!$H$5:$H$1004,$T1600)="","",INDEX('AFA Rates'!$H$5:$H$1004,$T1600))))</f>
        <v/>
      </c>
      <c r="K1600" s="50">
        <f>IF($T1600="","",IF($S1600="S",IF(INDEX(Firms!$J$5:$J$1004,$T1600)="","",INDEX(Firms!$J$5:$J$1004,$T1600)),IF(INDEX('AFA Rates'!$I$5:$I$1004,$T1600)="","",INDEX('AFA Rates'!$I$5:$I$1004,$T1600))))</f>
        <v/>
      </c>
      <c r="L1600" s="50">
        <f>IF($T1600="","",IF($S1600="S",IF(INDEX(Firms!$K$5:$K$1004,$T1600)="","",INDEX(Firms!$K$5:$K$1004,$T1600)),IF(INDEX('AFA Rates'!$J$5:$J$1004,$T1600)="","",INDEX('AFA Rates'!$J$5:$J$1004,$T1600))))</f>
        <v/>
      </c>
      <c r="M1600" s="50">
        <f>IF($T1600="","",IF($S1600="S",IF(INDEX(Firms!$L$5:$L$1004,$T1600)="","",INDEX(Firms!$L$5:$L$1004,$T1600)),IF(INDEX('AFA Rates'!$K$5:$K$1004,$T1600)="","",INDEX('AFA Rates'!$K$5:$K$1004,$T1600))))</f>
        <v/>
      </c>
      <c r="N1600" s="50">
        <f>IF($T1600="","",IF($S1600="S",IF(INDEX(Firms!$M$5:$M$1004,$T1600)="","",INDEX(Firms!$M$5:$M$1004,$T1600)),IF(INDEX('AFA Rates'!$L$5:$L$1004,$T1600)="","",INDEX('AFA Rates'!$L$5:$L$1004,$T1600))))</f>
        <v/>
      </c>
      <c r="O1600" s="78">
        <f>IF(OR($T1600="",$U1600=""),"",IF(INDEX(Firms!$C$5:$C$1004,$U1600)="","",INDEX(Firms!$C$5:$C$1004,$U1600)))</f>
        <v/>
      </c>
      <c r="P1600" s="79">
        <f>IF(OR($T1600="",$U1600=""),"",IF(INDEX(Firms!$N$5:$N$1004,$U1600)="","",INDEX(Firms!$N$5:$N$1004,$U1600)))</f>
        <v/>
      </c>
      <c r="Q1600" s="78">
        <f>IF($T1600="","",IF($S1600="S",IF(INDEX(Firms!$T$5:$T$1004,$T1600)="","",INDEX(Firms!$T$5:$T$1004,$T1600)),IF(INDEX('AFA Rates'!$M$5:$M$1004,$T1600)="","",INDEX('AFA Rates'!$M$5:$M$1004,$T1600))))</f>
        <v/>
      </c>
      <c r="S1600">
        <f>IF(1596&lt;=$S$2,"S",IF(1596&lt;=$S$2+$T$2,"A",""))</f>
        <v/>
      </c>
      <c r="T1600">
        <f>IF(S1600="S",MATCH(1596,Firms!$W$5:$W$1004,0),IF(S1600="A",IFERROR(MATCH(1596-$S$2,'AFA Rates'!$R$5:$R$1004,0),""),""))</f>
        <v/>
      </c>
      <c r="U1600">
        <f>IF(S1600="S",T1600,IF(AND(S1600="A",T1600&lt;&gt;""),IFERROR(MATCH(INDEX('AFA Rates'!$A$5:$A$1004,T1600),Firms!$A$5:$A$1004,0),""),""))</f>
        <v/>
      </c>
    </row>
    <row r="1601">
      <c r="A1601" s="78">
        <f>IF($T1601="","",IF($S1601="S",IF(INDEX(Firms!$A$5:$A$1004,$T1601)="","",INDEX(Firms!$A$5:$A$1004,$T1601)),IF(INDEX('AFA Rates'!$A$5:$A$1004,$T1601)="","",INDEX('AFA Rates'!$A$5:$A$1004,$T1601))))</f>
        <v/>
      </c>
      <c r="B1601" s="79">
        <f>IF(OR($T1601="",$U1601=""),IF($T1601="","","Not on Firms tab"),INDEX(Firms!$B$5:$B$1004,$U1601)&amp;"")</f>
        <v/>
      </c>
      <c r="C1601" s="78">
        <f>IF($T1601="","",IF($S1601="S","Standard",INDEX('AFA Rates'!$B$5:$B$1004,$T1601)&amp;""))</f>
        <v/>
      </c>
      <c r="D1601" s="88">
        <f>IF($T1601="","",IF($S1601="S",IF(INDEX(Firms!$E$5:$E$1004,$T1601)="","",INDEX(Firms!$E$5:$E$1004,$T1601)),IF(INDEX('AFA Rates'!$C$5:$C$1004,$T1601)="","",INDEX('AFA Rates'!$C$5:$C$1004,$T1601))))</f>
        <v/>
      </c>
      <c r="E1601" s="88">
        <f>IF($T1601="","",IF($S1601="S",IF(""="","",""),IF(INDEX('AFA Rates'!$D$5:$D$1004,$T1601)="","",INDEX('AFA Rates'!$D$5:$D$1004,$T1601))))</f>
        <v/>
      </c>
      <c r="F1601" s="79">
        <f>IF($T1601="","",IF($S1601="S",IF(INDEX(Firms!$O$5:$O$1004,$T1601)="","",INDEX(Firms!$O$5:$O$1004,$T1601)),IF(INDEX('AFA Rates'!$O$5:$O$1004,$T1601)="","",INDEX('AFA Rates'!$O$5:$O$1004,$T1601))))</f>
        <v/>
      </c>
      <c r="G1601" s="50">
        <f>IF($T1601="","",IF($S1601="S",IF(INDEX(Firms!$F$5:$F$1004,$T1601)="","",INDEX(Firms!$F$5:$F$1004,$T1601)),IF(INDEX('AFA Rates'!$E$5:$E$1004,$T1601)="","",INDEX('AFA Rates'!$E$5:$E$1004,$T1601))))</f>
        <v/>
      </c>
      <c r="H1601" s="50">
        <f>IF($T1601="","",IF($S1601="S",IF(INDEX(Firms!$G$5:$G$1004,$T1601)="","",INDEX(Firms!$G$5:$G$1004,$T1601)),IF(INDEX('AFA Rates'!$F$5:$F$1004,$T1601)="","",INDEX('AFA Rates'!$F$5:$F$1004,$T1601))))</f>
        <v/>
      </c>
      <c r="I1601" s="50">
        <f>IF($T1601="","",IF($S1601="S",IF(INDEX(Firms!$H$5:$H$1004,$T1601)="","",INDEX(Firms!$H$5:$H$1004,$T1601)),IF(INDEX('AFA Rates'!$G$5:$G$1004,$T1601)="","",INDEX('AFA Rates'!$G$5:$G$1004,$T1601))))</f>
        <v/>
      </c>
      <c r="J1601" s="50">
        <f>IF($T1601="","",IF($S1601="S",IF(INDEX(Firms!$I$5:$I$1004,$T1601)="","",INDEX(Firms!$I$5:$I$1004,$T1601)),IF(INDEX('AFA Rates'!$H$5:$H$1004,$T1601)="","",INDEX('AFA Rates'!$H$5:$H$1004,$T1601))))</f>
        <v/>
      </c>
      <c r="K1601" s="50">
        <f>IF($T1601="","",IF($S1601="S",IF(INDEX(Firms!$J$5:$J$1004,$T1601)="","",INDEX(Firms!$J$5:$J$1004,$T1601)),IF(INDEX('AFA Rates'!$I$5:$I$1004,$T1601)="","",INDEX('AFA Rates'!$I$5:$I$1004,$T1601))))</f>
        <v/>
      </c>
      <c r="L1601" s="50">
        <f>IF($T1601="","",IF($S1601="S",IF(INDEX(Firms!$K$5:$K$1004,$T1601)="","",INDEX(Firms!$K$5:$K$1004,$T1601)),IF(INDEX('AFA Rates'!$J$5:$J$1004,$T1601)="","",INDEX('AFA Rates'!$J$5:$J$1004,$T1601))))</f>
        <v/>
      </c>
      <c r="M1601" s="50">
        <f>IF($T1601="","",IF($S1601="S",IF(INDEX(Firms!$L$5:$L$1004,$T1601)="","",INDEX(Firms!$L$5:$L$1004,$T1601)),IF(INDEX('AFA Rates'!$K$5:$K$1004,$T1601)="","",INDEX('AFA Rates'!$K$5:$K$1004,$T1601))))</f>
        <v/>
      </c>
      <c r="N1601" s="50">
        <f>IF($T1601="","",IF($S1601="S",IF(INDEX(Firms!$M$5:$M$1004,$T1601)="","",INDEX(Firms!$M$5:$M$1004,$T1601)),IF(INDEX('AFA Rates'!$L$5:$L$1004,$T1601)="","",INDEX('AFA Rates'!$L$5:$L$1004,$T1601))))</f>
        <v/>
      </c>
      <c r="O1601" s="78">
        <f>IF(OR($T1601="",$U1601=""),"",IF(INDEX(Firms!$C$5:$C$1004,$U1601)="","",INDEX(Firms!$C$5:$C$1004,$U1601)))</f>
        <v/>
      </c>
      <c r="P1601" s="79">
        <f>IF(OR($T1601="",$U1601=""),"",IF(INDEX(Firms!$N$5:$N$1004,$U1601)="","",INDEX(Firms!$N$5:$N$1004,$U1601)))</f>
        <v/>
      </c>
      <c r="Q1601" s="78">
        <f>IF($T1601="","",IF($S1601="S",IF(INDEX(Firms!$T$5:$T$1004,$T1601)="","",INDEX(Firms!$T$5:$T$1004,$T1601)),IF(INDEX('AFA Rates'!$M$5:$M$1004,$T1601)="","",INDEX('AFA Rates'!$M$5:$M$1004,$T1601))))</f>
        <v/>
      </c>
      <c r="S1601">
        <f>IF(1597&lt;=$S$2,"S",IF(1597&lt;=$S$2+$T$2,"A",""))</f>
        <v/>
      </c>
      <c r="T1601">
        <f>IF(S1601="S",MATCH(1597,Firms!$W$5:$W$1004,0),IF(S1601="A",IFERROR(MATCH(1597-$S$2,'AFA Rates'!$R$5:$R$1004,0),""),""))</f>
        <v/>
      </c>
      <c r="U1601">
        <f>IF(S1601="S",T1601,IF(AND(S1601="A",T1601&lt;&gt;""),IFERROR(MATCH(INDEX('AFA Rates'!$A$5:$A$1004,T1601),Firms!$A$5:$A$1004,0),""),""))</f>
        <v/>
      </c>
    </row>
    <row r="1602">
      <c r="A1602" s="78">
        <f>IF($T1602="","",IF($S1602="S",IF(INDEX(Firms!$A$5:$A$1004,$T1602)="","",INDEX(Firms!$A$5:$A$1004,$T1602)),IF(INDEX('AFA Rates'!$A$5:$A$1004,$T1602)="","",INDEX('AFA Rates'!$A$5:$A$1004,$T1602))))</f>
        <v/>
      </c>
      <c r="B1602" s="79">
        <f>IF(OR($T1602="",$U1602=""),IF($T1602="","","Not on Firms tab"),INDEX(Firms!$B$5:$B$1004,$U1602)&amp;"")</f>
        <v/>
      </c>
      <c r="C1602" s="78">
        <f>IF($T1602="","",IF($S1602="S","Standard",INDEX('AFA Rates'!$B$5:$B$1004,$T1602)&amp;""))</f>
        <v/>
      </c>
      <c r="D1602" s="88">
        <f>IF($T1602="","",IF($S1602="S",IF(INDEX(Firms!$E$5:$E$1004,$T1602)="","",INDEX(Firms!$E$5:$E$1004,$T1602)),IF(INDEX('AFA Rates'!$C$5:$C$1004,$T1602)="","",INDEX('AFA Rates'!$C$5:$C$1004,$T1602))))</f>
        <v/>
      </c>
      <c r="E1602" s="88">
        <f>IF($T1602="","",IF($S1602="S",IF(""="","",""),IF(INDEX('AFA Rates'!$D$5:$D$1004,$T1602)="","",INDEX('AFA Rates'!$D$5:$D$1004,$T1602))))</f>
        <v/>
      </c>
      <c r="F1602" s="79">
        <f>IF($T1602="","",IF($S1602="S",IF(INDEX(Firms!$O$5:$O$1004,$T1602)="","",INDEX(Firms!$O$5:$O$1004,$T1602)),IF(INDEX('AFA Rates'!$O$5:$O$1004,$T1602)="","",INDEX('AFA Rates'!$O$5:$O$1004,$T1602))))</f>
        <v/>
      </c>
      <c r="G1602" s="50">
        <f>IF($T1602="","",IF($S1602="S",IF(INDEX(Firms!$F$5:$F$1004,$T1602)="","",INDEX(Firms!$F$5:$F$1004,$T1602)),IF(INDEX('AFA Rates'!$E$5:$E$1004,$T1602)="","",INDEX('AFA Rates'!$E$5:$E$1004,$T1602))))</f>
        <v/>
      </c>
      <c r="H1602" s="50">
        <f>IF($T1602="","",IF($S1602="S",IF(INDEX(Firms!$G$5:$G$1004,$T1602)="","",INDEX(Firms!$G$5:$G$1004,$T1602)),IF(INDEX('AFA Rates'!$F$5:$F$1004,$T1602)="","",INDEX('AFA Rates'!$F$5:$F$1004,$T1602))))</f>
        <v/>
      </c>
      <c r="I1602" s="50">
        <f>IF($T1602="","",IF($S1602="S",IF(INDEX(Firms!$H$5:$H$1004,$T1602)="","",INDEX(Firms!$H$5:$H$1004,$T1602)),IF(INDEX('AFA Rates'!$G$5:$G$1004,$T1602)="","",INDEX('AFA Rates'!$G$5:$G$1004,$T1602))))</f>
        <v/>
      </c>
      <c r="J1602" s="50">
        <f>IF($T1602="","",IF($S1602="S",IF(INDEX(Firms!$I$5:$I$1004,$T1602)="","",INDEX(Firms!$I$5:$I$1004,$T1602)),IF(INDEX('AFA Rates'!$H$5:$H$1004,$T1602)="","",INDEX('AFA Rates'!$H$5:$H$1004,$T1602))))</f>
        <v/>
      </c>
      <c r="K1602" s="50">
        <f>IF($T1602="","",IF($S1602="S",IF(INDEX(Firms!$J$5:$J$1004,$T1602)="","",INDEX(Firms!$J$5:$J$1004,$T1602)),IF(INDEX('AFA Rates'!$I$5:$I$1004,$T1602)="","",INDEX('AFA Rates'!$I$5:$I$1004,$T1602))))</f>
        <v/>
      </c>
      <c r="L1602" s="50">
        <f>IF($T1602="","",IF($S1602="S",IF(INDEX(Firms!$K$5:$K$1004,$T1602)="","",INDEX(Firms!$K$5:$K$1004,$T1602)),IF(INDEX('AFA Rates'!$J$5:$J$1004,$T1602)="","",INDEX('AFA Rates'!$J$5:$J$1004,$T1602))))</f>
        <v/>
      </c>
      <c r="M1602" s="50">
        <f>IF($T1602="","",IF($S1602="S",IF(INDEX(Firms!$L$5:$L$1004,$T1602)="","",INDEX(Firms!$L$5:$L$1004,$T1602)),IF(INDEX('AFA Rates'!$K$5:$K$1004,$T1602)="","",INDEX('AFA Rates'!$K$5:$K$1004,$T1602))))</f>
        <v/>
      </c>
      <c r="N1602" s="50">
        <f>IF($T1602="","",IF($S1602="S",IF(INDEX(Firms!$M$5:$M$1004,$T1602)="","",INDEX(Firms!$M$5:$M$1004,$T1602)),IF(INDEX('AFA Rates'!$L$5:$L$1004,$T1602)="","",INDEX('AFA Rates'!$L$5:$L$1004,$T1602))))</f>
        <v/>
      </c>
      <c r="O1602" s="78">
        <f>IF(OR($T1602="",$U1602=""),"",IF(INDEX(Firms!$C$5:$C$1004,$U1602)="","",INDEX(Firms!$C$5:$C$1004,$U1602)))</f>
        <v/>
      </c>
      <c r="P1602" s="79">
        <f>IF(OR($T1602="",$U1602=""),"",IF(INDEX(Firms!$N$5:$N$1004,$U1602)="","",INDEX(Firms!$N$5:$N$1004,$U1602)))</f>
        <v/>
      </c>
      <c r="Q1602" s="78">
        <f>IF($T1602="","",IF($S1602="S",IF(INDEX(Firms!$T$5:$T$1004,$T1602)="","",INDEX(Firms!$T$5:$T$1004,$T1602)),IF(INDEX('AFA Rates'!$M$5:$M$1004,$T1602)="","",INDEX('AFA Rates'!$M$5:$M$1004,$T1602))))</f>
        <v/>
      </c>
      <c r="S1602">
        <f>IF(1598&lt;=$S$2,"S",IF(1598&lt;=$S$2+$T$2,"A",""))</f>
        <v/>
      </c>
      <c r="T1602">
        <f>IF(S1602="S",MATCH(1598,Firms!$W$5:$W$1004,0),IF(S1602="A",IFERROR(MATCH(1598-$S$2,'AFA Rates'!$R$5:$R$1004,0),""),""))</f>
        <v/>
      </c>
      <c r="U1602">
        <f>IF(S1602="S",T1602,IF(AND(S1602="A",T1602&lt;&gt;""),IFERROR(MATCH(INDEX('AFA Rates'!$A$5:$A$1004,T1602),Firms!$A$5:$A$1004,0),""),""))</f>
        <v/>
      </c>
    </row>
    <row r="1603">
      <c r="A1603" s="78">
        <f>IF($T1603="","",IF($S1603="S",IF(INDEX(Firms!$A$5:$A$1004,$T1603)="","",INDEX(Firms!$A$5:$A$1004,$T1603)),IF(INDEX('AFA Rates'!$A$5:$A$1004,$T1603)="","",INDEX('AFA Rates'!$A$5:$A$1004,$T1603))))</f>
        <v/>
      </c>
      <c r="B1603" s="79">
        <f>IF(OR($T1603="",$U1603=""),IF($T1603="","","Not on Firms tab"),INDEX(Firms!$B$5:$B$1004,$U1603)&amp;"")</f>
        <v/>
      </c>
      <c r="C1603" s="78">
        <f>IF($T1603="","",IF($S1603="S","Standard",INDEX('AFA Rates'!$B$5:$B$1004,$T1603)&amp;""))</f>
        <v/>
      </c>
      <c r="D1603" s="88">
        <f>IF($T1603="","",IF($S1603="S",IF(INDEX(Firms!$E$5:$E$1004,$T1603)="","",INDEX(Firms!$E$5:$E$1004,$T1603)),IF(INDEX('AFA Rates'!$C$5:$C$1004,$T1603)="","",INDEX('AFA Rates'!$C$5:$C$1004,$T1603))))</f>
        <v/>
      </c>
      <c r="E1603" s="88">
        <f>IF($T1603="","",IF($S1603="S",IF(""="","",""),IF(INDEX('AFA Rates'!$D$5:$D$1004,$T1603)="","",INDEX('AFA Rates'!$D$5:$D$1004,$T1603))))</f>
        <v/>
      </c>
      <c r="F1603" s="79">
        <f>IF($T1603="","",IF($S1603="S",IF(INDEX(Firms!$O$5:$O$1004,$T1603)="","",INDEX(Firms!$O$5:$O$1004,$T1603)),IF(INDEX('AFA Rates'!$O$5:$O$1004,$T1603)="","",INDEX('AFA Rates'!$O$5:$O$1004,$T1603))))</f>
        <v/>
      </c>
      <c r="G1603" s="50">
        <f>IF($T1603="","",IF($S1603="S",IF(INDEX(Firms!$F$5:$F$1004,$T1603)="","",INDEX(Firms!$F$5:$F$1004,$T1603)),IF(INDEX('AFA Rates'!$E$5:$E$1004,$T1603)="","",INDEX('AFA Rates'!$E$5:$E$1004,$T1603))))</f>
        <v/>
      </c>
      <c r="H1603" s="50">
        <f>IF($T1603="","",IF($S1603="S",IF(INDEX(Firms!$G$5:$G$1004,$T1603)="","",INDEX(Firms!$G$5:$G$1004,$T1603)),IF(INDEX('AFA Rates'!$F$5:$F$1004,$T1603)="","",INDEX('AFA Rates'!$F$5:$F$1004,$T1603))))</f>
        <v/>
      </c>
      <c r="I1603" s="50">
        <f>IF($T1603="","",IF($S1603="S",IF(INDEX(Firms!$H$5:$H$1004,$T1603)="","",INDEX(Firms!$H$5:$H$1004,$T1603)),IF(INDEX('AFA Rates'!$G$5:$G$1004,$T1603)="","",INDEX('AFA Rates'!$G$5:$G$1004,$T1603))))</f>
        <v/>
      </c>
      <c r="J1603" s="50">
        <f>IF($T1603="","",IF($S1603="S",IF(INDEX(Firms!$I$5:$I$1004,$T1603)="","",INDEX(Firms!$I$5:$I$1004,$T1603)),IF(INDEX('AFA Rates'!$H$5:$H$1004,$T1603)="","",INDEX('AFA Rates'!$H$5:$H$1004,$T1603))))</f>
        <v/>
      </c>
      <c r="K1603" s="50">
        <f>IF($T1603="","",IF($S1603="S",IF(INDEX(Firms!$J$5:$J$1004,$T1603)="","",INDEX(Firms!$J$5:$J$1004,$T1603)),IF(INDEX('AFA Rates'!$I$5:$I$1004,$T1603)="","",INDEX('AFA Rates'!$I$5:$I$1004,$T1603))))</f>
        <v/>
      </c>
      <c r="L1603" s="50">
        <f>IF($T1603="","",IF($S1603="S",IF(INDEX(Firms!$K$5:$K$1004,$T1603)="","",INDEX(Firms!$K$5:$K$1004,$T1603)),IF(INDEX('AFA Rates'!$J$5:$J$1004,$T1603)="","",INDEX('AFA Rates'!$J$5:$J$1004,$T1603))))</f>
        <v/>
      </c>
      <c r="M1603" s="50">
        <f>IF($T1603="","",IF($S1603="S",IF(INDEX(Firms!$L$5:$L$1004,$T1603)="","",INDEX(Firms!$L$5:$L$1004,$T1603)),IF(INDEX('AFA Rates'!$K$5:$K$1004,$T1603)="","",INDEX('AFA Rates'!$K$5:$K$1004,$T1603))))</f>
        <v/>
      </c>
      <c r="N1603" s="50">
        <f>IF($T1603="","",IF($S1603="S",IF(INDEX(Firms!$M$5:$M$1004,$T1603)="","",INDEX(Firms!$M$5:$M$1004,$T1603)),IF(INDEX('AFA Rates'!$L$5:$L$1004,$T1603)="","",INDEX('AFA Rates'!$L$5:$L$1004,$T1603))))</f>
        <v/>
      </c>
      <c r="O1603" s="78">
        <f>IF(OR($T1603="",$U1603=""),"",IF(INDEX(Firms!$C$5:$C$1004,$U1603)="","",INDEX(Firms!$C$5:$C$1004,$U1603)))</f>
        <v/>
      </c>
      <c r="P1603" s="79">
        <f>IF(OR($T1603="",$U1603=""),"",IF(INDEX(Firms!$N$5:$N$1004,$U1603)="","",INDEX(Firms!$N$5:$N$1004,$U1603)))</f>
        <v/>
      </c>
      <c r="Q1603" s="78">
        <f>IF($T1603="","",IF($S1603="S",IF(INDEX(Firms!$T$5:$T$1004,$T1603)="","",INDEX(Firms!$T$5:$T$1004,$T1603)),IF(INDEX('AFA Rates'!$M$5:$M$1004,$T1603)="","",INDEX('AFA Rates'!$M$5:$M$1004,$T1603))))</f>
        <v/>
      </c>
      <c r="S1603">
        <f>IF(1599&lt;=$S$2,"S",IF(1599&lt;=$S$2+$T$2,"A",""))</f>
        <v/>
      </c>
      <c r="T1603">
        <f>IF(S1603="S",MATCH(1599,Firms!$W$5:$W$1004,0),IF(S1603="A",IFERROR(MATCH(1599-$S$2,'AFA Rates'!$R$5:$R$1004,0),""),""))</f>
        <v/>
      </c>
      <c r="U1603">
        <f>IF(S1603="S",T1603,IF(AND(S1603="A",T1603&lt;&gt;""),IFERROR(MATCH(INDEX('AFA Rates'!$A$5:$A$1004,T1603),Firms!$A$5:$A$1004,0),""),""))</f>
        <v/>
      </c>
    </row>
    <row r="1604">
      <c r="A1604" s="78">
        <f>IF($T1604="","",IF($S1604="S",IF(INDEX(Firms!$A$5:$A$1004,$T1604)="","",INDEX(Firms!$A$5:$A$1004,$T1604)),IF(INDEX('AFA Rates'!$A$5:$A$1004,$T1604)="","",INDEX('AFA Rates'!$A$5:$A$1004,$T1604))))</f>
        <v/>
      </c>
      <c r="B1604" s="79">
        <f>IF(OR($T1604="",$U1604=""),IF($T1604="","","Not on Firms tab"),INDEX(Firms!$B$5:$B$1004,$U1604)&amp;"")</f>
        <v/>
      </c>
      <c r="C1604" s="78">
        <f>IF($T1604="","",IF($S1604="S","Standard",INDEX('AFA Rates'!$B$5:$B$1004,$T1604)&amp;""))</f>
        <v/>
      </c>
      <c r="D1604" s="88">
        <f>IF($T1604="","",IF($S1604="S",IF(INDEX(Firms!$E$5:$E$1004,$T1604)="","",INDEX(Firms!$E$5:$E$1004,$T1604)),IF(INDEX('AFA Rates'!$C$5:$C$1004,$T1604)="","",INDEX('AFA Rates'!$C$5:$C$1004,$T1604))))</f>
        <v/>
      </c>
      <c r="E1604" s="88">
        <f>IF($T1604="","",IF($S1604="S",IF(""="","",""),IF(INDEX('AFA Rates'!$D$5:$D$1004,$T1604)="","",INDEX('AFA Rates'!$D$5:$D$1004,$T1604))))</f>
        <v/>
      </c>
      <c r="F1604" s="79">
        <f>IF($T1604="","",IF($S1604="S",IF(INDEX(Firms!$O$5:$O$1004,$T1604)="","",INDEX(Firms!$O$5:$O$1004,$T1604)),IF(INDEX('AFA Rates'!$O$5:$O$1004,$T1604)="","",INDEX('AFA Rates'!$O$5:$O$1004,$T1604))))</f>
        <v/>
      </c>
      <c r="G1604" s="50">
        <f>IF($T1604="","",IF($S1604="S",IF(INDEX(Firms!$F$5:$F$1004,$T1604)="","",INDEX(Firms!$F$5:$F$1004,$T1604)),IF(INDEX('AFA Rates'!$E$5:$E$1004,$T1604)="","",INDEX('AFA Rates'!$E$5:$E$1004,$T1604))))</f>
        <v/>
      </c>
      <c r="H1604" s="50">
        <f>IF($T1604="","",IF($S1604="S",IF(INDEX(Firms!$G$5:$G$1004,$T1604)="","",INDEX(Firms!$G$5:$G$1004,$T1604)),IF(INDEX('AFA Rates'!$F$5:$F$1004,$T1604)="","",INDEX('AFA Rates'!$F$5:$F$1004,$T1604))))</f>
        <v/>
      </c>
      <c r="I1604" s="50">
        <f>IF($T1604="","",IF($S1604="S",IF(INDEX(Firms!$H$5:$H$1004,$T1604)="","",INDEX(Firms!$H$5:$H$1004,$T1604)),IF(INDEX('AFA Rates'!$G$5:$G$1004,$T1604)="","",INDEX('AFA Rates'!$G$5:$G$1004,$T1604))))</f>
        <v/>
      </c>
      <c r="J1604" s="50">
        <f>IF($T1604="","",IF($S1604="S",IF(INDEX(Firms!$I$5:$I$1004,$T1604)="","",INDEX(Firms!$I$5:$I$1004,$T1604)),IF(INDEX('AFA Rates'!$H$5:$H$1004,$T1604)="","",INDEX('AFA Rates'!$H$5:$H$1004,$T1604))))</f>
        <v/>
      </c>
      <c r="K1604" s="50">
        <f>IF($T1604="","",IF($S1604="S",IF(INDEX(Firms!$J$5:$J$1004,$T1604)="","",INDEX(Firms!$J$5:$J$1004,$T1604)),IF(INDEX('AFA Rates'!$I$5:$I$1004,$T1604)="","",INDEX('AFA Rates'!$I$5:$I$1004,$T1604))))</f>
        <v/>
      </c>
      <c r="L1604" s="50">
        <f>IF($T1604="","",IF($S1604="S",IF(INDEX(Firms!$K$5:$K$1004,$T1604)="","",INDEX(Firms!$K$5:$K$1004,$T1604)),IF(INDEX('AFA Rates'!$J$5:$J$1004,$T1604)="","",INDEX('AFA Rates'!$J$5:$J$1004,$T1604))))</f>
        <v/>
      </c>
      <c r="M1604" s="50">
        <f>IF($T1604="","",IF($S1604="S",IF(INDEX(Firms!$L$5:$L$1004,$T1604)="","",INDEX(Firms!$L$5:$L$1004,$T1604)),IF(INDEX('AFA Rates'!$K$5:$K$1004,$T1604)="","",INDEX('AFA Rates'!$K$5:$K$1004,$T1604))))</f>
        <v/>
      </c>
      <c r="N1604" s="50">
        <f>IF($T1604="","",IF($S1604="S",IF(INDEX(Firms!$M$5:$M$1004,$T1604)="","",INDEX(Firms!$M$5:$M$1004,$T1604)),IF(INDEX('AFA Rates'!$L$5:$L$1004,$T1604)="","",INDEX('AFA Rates'!$L$5:$L$1004,$T1604))))</f>
        <v/>
      </c>
      <c r="O1604" s="78">
        <f>IF(OR($T1604="",$U1604=""),"",IF(INDEX(Firms!$C$5:$C$1004,$U1604)="","",INDEX(Firms!$C$5:$C$1004,$U1604)))</f>
        <v/>
      </c>
      <c r="P1604" s="79">
        <f>IF(OR($T1604="",$U1604=""),"",IF(INDEX(Firms!$N$5:$N$1004,$U1604)="","",INDEX(Firms!$N$5:$N$1004,$U1604)))</f>
        <v/>
      </c>
      <c r="Q1604" s="78">
        <f>IF($T1604="","",IF($S1604="S",IF(INDEX(Firms!$T$5:$T$1004,$T1604)="","",INDEX(Firms!$T$5:$T$1004,$T1604)),IF(INDEX('AFA Rates'!$M$5:$M$1004,$T1604)="","",INDEX('AFA Rates'!$M$5:$M$1004,$T1604))))</f>
        <v/>
      </c>
      <c r="S1604">
        <f>IF(1600&lt;=$S$2,"S",IF(1600&lt;=$S$2+$T$2,"A",""))</f>
        <v/>
      </c>
      <c r="T1604">
        <f>IF(S1604="S",MATCH(1600,Firms!$W$5:$W$1004,0),IF(S1604="A",IFERROR(MATCH(1600-$S$2,'AFA Rates'!$R$5:$R$1004,0),""),""))</f>
        <v/>
      </c>
      <c r="U1604">
        <f>IF(S1604="S",T1604,IF(AND(S1604="A",T1604&lt;&gt;""),IFERROR(MATCH(INDEX('AFA Rates'!$A$5:$A$1004,T1604),Firms!$A$5:$A$1004,0),""),""))</f>
        <v/>
      </c>
    </row>
    <row r="1605">
      <c r="A1605" s="78">
        <f>IF($T1605="","",IF($S1605="S",IF(INDEX(Firms!$A$5:$A$1004,$T1605)="","",INDEX(Firms!$A$5:$A$1004,$T1605)),IF(INDEX('AFA Rates'!$A$5:$A$1004,$T1605)="","",INDEX('AFA Rates'!$A$5:$A$1004,$T1605))))</f>
        <v/>
      </c>
      <c r="B1605" s="79">
        <f>IF(OR($T1605="",$U1605=""),IF($T1605="","","Not on Firms tab"),INDEX(Firms!$B$5:$B$1004,$U1605)&amp;"")</f>
        <v/>
      </c>
      <c r="C1605" s="78">
        <f>IF($T1605="","",IF($S1605="S","Standard",INDEX('AFA Rates'!$B$5:$B$1004,$T1605)&amp;""))</f>
        <v/>
      </c>
      <c r="D1605" s="88">
        <f>IF($T1605="","",IF($S1605="S",IF(INDEX(Firms!$E$5:$E$1004,$T1605)="","",INDEX(Firms!$E$5:$E$1004,$T1605)),IF(INDEX('AFA Rates'!$C$5:$C$1004,$T1605)="","",INDEX('AFA Rates'!$C$5:$C$1004,$T1605))))</f>
        <v/>
      </c>
      <c r="E1605" s="88">
        <f>IF($T1605="","",IF($S1605="S",IF(""="","",""),IF(INDEX('AFA Rates'!$D$5:$D$1004,$T1605)="","",INDEX('AFA Rates'!$D$5:$D$1004,$T1605))))</f>
        <v/>
      </c>
      <c r="F1605" s="79">
        <f>IF($T1605="","",IF($S1605="S",IF(INDEX(Firms!$O$5:$O$1004,$T1605)="","",INDEX(Firms!$O$5:$O$1004,$T1605)),IF(INDEX('AFA Rates'!$O$5:$O$1004,$T1605)="","",INDEX('AFA Rates'!$O$5:$O$1004,$T1605))))</f>
        <v/>
      </c>
      <c r="G1605" s="50">
        <f>IF($T1605="","",IF($S1605="S",IF(INDEX(Firms!$F$5:$F$1004,$T1605)="","",INDEX(Firms!$F$5:$F$1004,$T1605)),IF(INDEX('AFA Rates'!$E$5:$E$1004,$T1605)="","",INDEX('AFA Rates'!$E$5:$E$1004,$T1605))))</f>
        <v/>
      </c>
      <c r="H1605" s="50">
        <f>IF($T1605="","",IF($S1605="S",IF(INDEX(Firms!$G$5:$G$1004,$T1605)="","",INDEX(Firms!$G$5:$G$1004,$T1605)),IF(INDEX('AFA Rates'!$F$5:$F$1004,$T1605)="","",INDEX('AFA Rates'!$F$5:$F$1004,$T1605))))</f>
        <v/>
      </c>
      <c r="I1605" s="50">
        <f>IF($T1605="","",IF($S1605="S",IF(INDEX(Firms!$H$5:$H$1004,$T1605)="","",INDEX(Firms!$H$5:$H$1004,$T1605)),IF(INDEX('AFA Rates'!$G$5:$G$1004,$T1605)="","",INDEX('AFA Rates'!$G$5:$G$1004,$T1605))))</f>
        <v/>
      </c>
      <c r="J1605" s="50">
        <f>IF($T1605="","",IF($S1605="S",IF(INDEX(Firms!$I$5:$I$1004,$T1605)="","",INDEX(Firms!$I$5:$I$1004,$T1605)),IF(INDEX('AFA Rates'!$H$5:$H$1004,$T1605)="","",INDEX('AFA Rates'!$H$5:$H$1004,$T1605))))</f>
        <v/>
      </c>
      <c r="K1605" s="50">
        <f>IF($T1605="","",IF($S1605="S",IF(INDEX(Firms!$J$5:$J$1004,$T1605)="","",INDEX(Firms!$J$5:$J$1004,$T1605)),IF(INDEX('AFA Rates'!$I$5:$I$1004,$T1605)="","",INDEX('AFA Rates'!$I$5:$I$1004,$T1605))))</f>
        <v/>
      </c>
      <c r="L1605" s="50">
        <f>IF($T1605="","",IF($S1605="S",IF(INDEX(Firms!$K$5:$K$1004,$T1605)="","",INDEX(Firms!$K$5:$K$1004,$T1605)),IF(INDEX('AFA Rates'!$J$5:$J$1004,$T1605)="","",INDEX('AFA Rates'!$J$5:$J$1004,$T1605))))</f>
        <v/>
      </c>
      <c r="M1605" s="50">
        <f>IF($T1605="","",IF($S1605="S",IF(INDEX(Firms!$L$5:$L$1004,$T1605)="","",INDEX(Firms!$L$5:$L$1004,$T1605)),IF(INDEX('AFA Rates'!$K$5:$K$1004,$T1605)="","",INDEX('AFA Rates'!$K$5:$K$1004,$T1605))))</f>
        <v/>
      </c>
      <c r="N1605" s="50">
        <f>IF($T1605="","",IF($S1605="S",IF(INDEX(Firms!$M$5:$M$1004,$T1605)="","",INDEX(Firms!$M$5:$M$1004,$T1605)),IF(INDEX('AFA Rates'!$L$5:$L$1004,$T1605)="","",INDEX('AFA Rates'!$L$5:$L$1004,$T1605))))</f>
        <v/>
      </c>
      <c r="O1605" s="78">
        <f>IF(OR($T1605="",$U1605=""),"",IF(INDEX(Firms!$C$5:$C$1004,$U1605)="","",INDEX(Firms!$C$5:$C$1004,$U1605)))</f>
        <v/>
      </c>
      <c r="P1605" s="79">
        <f>IF(OR($T1605="",$U1605=""),"",IF(INDEX(Firms!$N$5:$N$1004,$U1605)="","",INDEX(Firms!$N$5:$N$1004,$U1605)))</f>
        <v/>
      </c>
      <c r="Q1605" s="78">
        <f>IF($T1605="","",IF($S1605="S",IF(INDEX(Firms!$T$5:$T$1004,$T1605)="","",INDEX(Firms!$T$5:$T$1004,$T1605)),IF(INDEX('AFA Rates'!$M$5:$M$1004,$T1605)="","",INDEX('AFA Rates'!$M$5:$M$1004,$T1605))))</f>
        <v/>
      </c>
      <c r="S1605">
        <f>IF(1601&lt;=$S$2,"S",IF(1601&lt;=$S$2+$T$2,"A",""))</f>
        <v/>
      </c>
      <c r="T1605">
        <f>IF(S1605="S",MATCH(1601,Firms!$W$5:$W$1004,0),IF(S1605="A",IFERROR(MATCH(1601-$S$2,'AFA Rates'!$R$5:$R$1004,0),""),""))</f>
        <v/>
      </c>
      <c r="U1605">
        <f>IF(S1605="S",T1605,IF(AND(S1605="A",T1605&lt;&gt;""),IFERROR(MATCH(INDEX('AFA Rates'!$A$5:$A$1004,T1605),Firms!$A$5:$A$1004,0),""),""))</f>
        <v/>
      </c>
    </row>
    <row r="1606">
      <c r="A1606" s="78">
        <f>IF($T1606="","",IF($S1606="S",IF(INDEX(Firms!$A$5:$A$1004,$T1606)="","",INDEX(Firms!$A$5:$A$1004,$T1606)),IF(INDEX('AFA Rates'!$A$5:$A$1004,$T1606)="","",INDEX('AFA Rates'!$A$5:$A$1004,$T1606))))</f>
        <v/>
      </c>
      <c r="B1606" s="79">
        <f>IF(OR($T1606="",$U1606=""),IF($T1606="","","Not on Firms tab"),INDEX(Firms!$B$5:$B$1004,$U1606)&amp;"")</f>
        <v/>
      </c>
      <c r="C1606" s="78">
        <f>IF($T1606="","",IF($S1606="S","Standard",INDEX('AFA Rates'!$B$5:$B$1004,$T1606)&amp;""))</f>
        <v/>
      </c>
      <c r="D1606" s="88">
        <f>IF($T1606="","",IF($S1606="S",IF(INDEX(Firms!$E$5:$E$1004,$T1606)="","",INDEX(Firms!$E$5:$E$1004,$T1606)),IF(INDEX('AFA Rates'!$C$5:$C$1004,$T1606)="","",INDEX('AFA Rates'!$C$5:$C$1004,$T1606))))</f>
        <v/>
      </c>
      <c r="E1606" s="88">
        <f>IF($T1606="","",IF($S1606="S",IF(""="","",""),IF(INDEX('AFA Rates'!$D$5:$D$1004,$T1606)="","",INDEX('AFA Rates'!$D$5:$D$1004,$T1606))))</f>
        <v/>
      </c>
      <c r="F1606" s="79">
        <f>IF($T1606="","",IF($S1606="S",IF(INDEX(Firms!$O$5:$O$1004,$T1606)="","",INDEX(Firms!$O$5:$O$1004,$T1606)),IF(INDEX('AFA Rates'!$O$5:$O$1004,$T1606)="","",INDEX('AFA Rates'!$O$5:$O$1004,$T1606))))</f>
        <v/>
      </c>
      <c r="G1606" s="50">
        <f>IF($T1606="","",IF($S1606="S",IF(INDEX(Firms!$F$5:$F$1004,$T1606)="","",INDEX(Firms!$F$5:$F$1004,$T1606)),IF(INDEX('AFA Rates'!$E$5:$E$1004,$T1606)="","",INDEX('AFA Rates'!$E$5:$E$1004,$T1606))))</f>
        <v/>
      </c>
      <c r="H1606" s="50">
        <f>IF($T1606="","",IF($S1606="S",IF(INDEX(Firms!$G$5:$G$1004,$T1606)="","",INDEX(Firms!$G$5:$G$1004,$T1606)),IF(INDEX('AFA Rates'!$F$5:$F$1004,$T1606)="","",INDEX('AFA Rates'!$F$5:$F$1004,$T1606))))</f>
        <v/>
      </c>
      <c r="I1606" s="50">
        <f>IF($T1606="","",IF($S1606="S",IF(INDEX(Firms!$H$5:$H$1004,$T1606)="","",INDEX(Firms!$H$5:$H$1004,$T1606)),IF(INDEX('AFA Rates'!$G$5:$G$1004,$T1606)="","",INDEX('AFA Rates'!$G$5:$G$1004,$T1606))))</f>
        <v/>
      </c>
      <c r="J1606" s="50">
        <f>IF($T1606="","",IF($S1606="S",IF(INDEX(Firms!$I$5:$I$1004,$T1606)="","",INDEX(Firms!$I$5:$I$1004,$T1606)),IF(INDEX('AFA Rates'!$H$5:$H$1004,$T1606)="","",INDEX('AFA Rates'!$H$5:$H$1004,$T1606))))</f>
        <v/>
      </c>
      <c r="K1606" s="50">
        <f>IF($T1606="","",IF($S1606="S",IF(INDEX(Firms!$J$5:$J$1004,$T1606)="","",INDEX(Firms!$J$5:$J$1004,$T1606)),IF(INDEX('AFA Rates'!$I$5:$I$1004,$T1606)="","",INDEX('AFA Rates'!$I$5:$I$1004,$T1606))))</f>
        <v/>
      </c>
      <c r="L1606" s="50">
        <f>IF($T1606="","",IF($S1606="S",IF(INDEX(Firms!$K$5:$K$1004,$T1606)="","",INDEX(Firms!$K$5:$K$1004,$T1606)),IF(INDEX('AFA Rates'!$J$5:$J$1004,$T1606)="","",INDEX('AFA Rates'!$J$5:$J$1004,$T1606))))</f>
        <v/>
      </c>
      <c r="M1606" s="50">
        <f>IF($T1606="","",IF($S1606="S",IF(INDEX(Firms!$L$5:$L$1004,$T1606)="","",INDEX(Firms!$L$5:$L$1004,$T1606)),IF(INDEX('AFA Rates'!$K$5:$K$1004,$T1606)="","",INDEX('AFA Rates'!$K$5:$K$1004,$T1606))))</f>
        <v/>
      </c>
      <c r="N1606" s="50">
        <f>IF($T1606="","",IF($S1606="S",IF(INDEX(Firms!$M$5:$M$1004,$T1606)="","",INDEX(Firms!$M$5:$M$1004,$T1606)),IF(INDEX('AFA Rates'!$L$5:$L$1004,$T1606)="","",INDEX('AFA Rates'!$L$5:$L$1004,$T1606))))</f>
        <v/>
      </c>
      <c r="O1606" s="78">
        <f>IF(OR($T1606="",$U1606=""),"",IF(INDEX(Firms!$C$5:$C$1004,$U1606)="","",INDEX(Firms!$C$5:$C$1004,$U1606)))</f>
        <v/>
      </c>
      <c r="P1606" s="79">
        <f>IF(OR($T1606="",$U1606=""),"",IF(INDEX(Firms!$N$5:$N$1004,$U1606)="","",INDEX(Firms!$N$5:$N$1004,$U1606)))</f>
        <v/>
      </c>
      <c r="Q1606" s="78">
        <f>IF($T1606="","",IF($S1606="S",IF(INDEX(Firms!$T$5:$T$1004,$T1606)="","",INDEX(Firms!$T$5:$T$1004,$T1606)),IF(INDEX('AFA Rates'!$M$5:$M$1004,$T1606)="","",INDEX('AFA Rates'!$M$5:$M$1004,$T1606))))</f>
        <v/>
      </c>
      <c r="S1606">
        <f>IF(1602&lt;=$S$2,"S",IF(1602&lt;=$S$2+$T$2,"A",""))</f>
        <v/>
      </c>
      <c r="T1606">
        <f>IF(S1606="S",MATCH(1602,Firms!$W$5:$W$1004,0),IF(S1606="A",IFERROR(MATCH(1602-$S$2,'AFA Rates'!$R$5:$R$1004,0),""),""))</f>
        <v/>
      </c>
      <c r="U1606">
        <f>IF(S1606="S",T1606,IF(AND(S1606="A",T1606&lt;&gt;""),IFERROR(MATCH(INDEX('AFA Rates'!$A$5:$A$1004,T1606),Firms!$A$5:$A$1004,0),""),""))</f>
        <v/>
      </c>
    </row>
    <row r="1607">
      <c r="A1607" s="78">
        <f>IF($T1607="","",IF($S1607="S",IF(INDEX(Firms!$A$5:$A$1004,$T1607)="","",INDEX(Firms!$A$5:$A$1004,$T1607)),IF(INDEX('AFA Rates'!$A$5:$A$1004,$T1607)="","",INDEX('AFA Rates'!$A$5:$A$1004,$T1607))))</f>
        <v/>
      </c>
      <c r="B1607" s="79">
        <f>IF(OR($T1607="",$U1607=""),IF($T1607="","","Not on Firms tab"),INDEX(Firms!$B$5:$B$1004,$U1607)&amp;"")</f>
        <v/>
      </c>
      <c r="C1607" s="78">
        <f>IF($T1607="","",IF($S1607="S","Standard",INDEX('AFA Rates'!$B$5:$B$1004,$T1607)&amp;""))</f>
        <v/>
      </c>
      <c r="D1607" s="88">
        <f>IF($T1607="","",IF($S1607="S",IF(INDEX(Firms!$E$5:$E$1004,$T1607)="","",INDEX(Firms!$E$5:$E$1004,$T1607)),IF(INDEX('AFA Rates'!$C$5:$C$1004,$T1607)="","",INDEX('AFA Rates'!$C$5:$C$1004,$T1607))))</f>
        <v/>
      </c>
      <c r="E1607" s="88">
        <f>IF($T1607="","",IF($S1607="S",IF(""="","",""),IF(INDEX('AFA Rates'!$D$5:$D$1004,$T1607)="","",INDEX('AFA Rates'!$D$5:$D$1004,$T1607))))</f>
        <v/>
      </c>
      <c r="F1607" s="79">
        <f>IF($T1607="","",IF($S1607="S",IF(INDEX(Firms!$O$5:$O$1004,$T1607)="","",INDEX(Firms!$O$5:$O$1004,$T1607)),IF(INDEX('AFA Rates'!$O$5:$O$1004,$T1607)="","",INDEX('AFA Rates'!$O$5:$O$1004,$T1607))))</f>
        <v/>
      </c>
      <c r="G1607" s="50">
        <f>IF($T1607="","",IF($S1607="S",IF(INDEX(Firms!$F$5:$F$1004,$T1607)="","",INDEX(Firms!$F$5:$F$1004,$T1607)),IF(INDEX('AFA Rates'!$E$5:$E$1004,$T1607)="","",INDEX('AFA Rates'!$E$5:$E$1004,$T1607))))</f>
        <v/>
      </c>
      <c r="H1607" s="50">
        <f>IF($T1607="","",IF($S1607="S",IF(INDEX(Firms!$G$5:$G$1004,$T1607)="","",INDEX(Firms!$G$5:$G$1004,$T1607)),IF(INDEX('AFA Rates'!$F$5:$F$1004,$T1607)="","",INDEX('AFA Rates'!$F$5:$F$1004,$T1607))))</f>
        <v/>
      </c>
      <c r="I1607" s="50">
        <f>IF($T1607="","",IF($S1607="S",IF(INDEX(Firms!$H$5:$H$1004,$T1607)="","",INDEX(Firms!$H$5:$H$1004,$T1607)),IF(INDEX('AFA Rates'!$G$5:$G$1004,$T1607)="","",INDEX('AFA Rates'!$G$5:$G$1004,$T1607))))</f>
        <v/>
      </c>
      <c r="J1607" s="50">
        <f>IF($T1607="","",IF($S1607="S",IF(INDEX(Firms!$I$5:$I$1004,$T1607)="","",INDEX(Firms!$I$5:$I$1004,$T1607)),IF(INDEX('AFA Rates'!$H$5:$H$1004,$T1607)="","",INDEX('AFA Rates'!$H$5:$H$1004,$T1607))))</f>
        <v/>
      </c>
      <c r="K1607" s="50">
        <f>IF($T1607="","",IF($S1607="S",IF(INDEX(Firms!$J$5:$J$1004,$T1607)="","",INDEX(Firms!$J$5:$J$1004,$T1607)),IF(INDEX('AFA Rates'!$I$5:$I$1004,$T1607)="","",INDEX('AFA Rates'!$I$5:$I$1004,$T1607))))</f>
        <v/>
      </c>
      <c r="L1607" s="50">
        <f>IF($T1607="","",IF($S1607="S",IF(INDEX(Firms!$K$5:$K$1004,$T1607)="","",INDEX(Firms!$K$5:$K$1004,$T1607)),IF(INDEX('AFA Rates'!$J$5:$J$1004,$T1607)="","",INDEX('AFA Rates'!$J$5:$J$1004,$T1607))))</f>
        <v/>
      </c>
      <c r="M1607" s="50">
        <f>IF($T1607="","",IF($S1607="S",IF(INDEX(Firms!$L$5:$L$1004,$T1607)="","",INDEX(Firms!$L$5:$L$1004,$T1607)),IF(INDEX('AFA Rates'!$K$5:$K$1004,$T1607)="","",INDEX('AFA Rates'!$K$5:$K$1004,$T1607))))</f>
        <v/>
      </c>
      <c r="N1607" s="50">
        <f>IF($T1607="","",IF($S1607="S",IF(INDEX(Firms!$M$5:$M$1004,$T1607)="","",INDEX(Firms!$M$5:$M$1004,$T1607)),IF(INDEX('AFA Rates'!$L$5:$L$1004,$T1607)="","",INDEX('AFA Rates'!$L$5:$L$1004,$T1607))))</f>
        <v/>
      </c>
      <c r="O1607" s="78">
        <f>IF(OR($T1607="",$U1607=""),"",IF(INDEX(Firms!$C$5:$C$1004,$U1607)="","",INDEX(Firms!$C$5:$C$1004,$U1607)))</f>
        <v/>
      </c>
      <c r="P1607" s="79">
        <f>IF(OR($T1607="",$U1607=""),"",IF(INDEX(Firms!$N$5:$N$1004,$U1607)="","",INDEX(Firms!$N$5:$N$1004,$U1607)))</f>
        <v/>
      </c>
      <c r="Q1607" s="78">
        <f>IF($T1607="","",IF($S1607="S",IF(INDEX(Firms!$T$5:$T$1004,$T1607)="","",INDEX(Firms!$T$5:$T$1004,$T1607)),IF(INDEX('AFA Rates'!$M$5:$M$1004,$T1607)="","",INDEX('AFA Rates'!$M$5:$M$1004,$T1607))))</f>
        <v/>
      </c>
      <c r="S1607">
        <f>IF(1603&lt;=$S$2,"S",IF(1603&lt;=$S$2+$T$2,"A",""))</f>
        <v/>
      </c>
      <c r="T1607">
        <f>IF(S1607="S",MATCH(1603,Firms!$W$5:$W$1004,0),IF(S1607="A",IFERROR(MATCH(1603-$S$2,'AFA Rates'!$R$5:$R$1004,0),""),""))</f>
        <v/>
      </c>
      <c r="U1607">
        <f>IF(S1607="S",T1607,IF(AND(S1607="A",T1607&lt;&gt;""),IFERROR(MATCH(INDEX('AFA Rates'!$A$5:$A$1004,T1607),Firms!$A$5:$A$1004,0),""),""))</f>
        <v/>
      </c>
    </row>
    <row r="1608">
      <c r="A1608" s="78">
        <f>IF($T1608="","",IF($S1608="S",IF(INDEX(Firms!$A$5:$A$1004,$T1608)="","",INDEX(Firms!$A$5:$A$1004,$T1608)),IF(INDEX('AFA Rates'!$A$5:$A$1004,$T1608)="","",INDEX('AFA Rates'!$A$5:$A$1004,$T1608))))</f>
        <v/>
      </c>
      <c r="B1608" s="79">
        <f>IF(OR($T1608="",$U1608=""),IF($T1608="","","Not on Firms tab"),INDEX(Firms!$B$5:$B$1004,$U1608)&amp;"")</f>
        <v/>
      </c>
      <c r="C1608" s="78">
        <f>IF($T1608="","",IF($S1608="S","Standard",INDEX('AFA Rates'!$B$5:$B$1004,$T1608)&amp;""))</f>
        <v/>
      </c>
      <c r="D1608" s="88">
        <f>IF($T1608="","",IF($S1608="S",IF(INDEX(Firms!$E$5:$E$1004,$T1608)="","",INDEX(Firms!$E$5:$E$1004,$T1608)),IF(INDEX('AFA Rates'!$C$5:$C$1004,$T1608)="","",INDEX('AFA Rates'!$C$5:$C$1004,$T1608))))</f>
        <v/>
      </c>
      <c r="E1608" s="88">
        <f>IF($T1608="","",IF($S1608="S",IF(""="","",""),IF(INDEX('AFA Rates'!$D$5:$D$1004,$T1608)="","",INDEX('AFA Rates'!$D$5:$D$1004,$T1608))))</f>
        <v/>
      </c>
      <c r="F1608" s="79">
        <f>IF($T1608="","",IF($S1608="S",IF(INDEX(Firms!$O$5:$O$1004,$T1608)="","",INDEX(Firms!$O$5:$O$1004,$T1608)),IF(INDEX('AFA Rates'!$O$5:$O$1004,$T1608)="","",INDEX('AFA Rates'!$O$5:$O$1004,$T1608))))</f>
        <v/>
      </c>
      <c r="G1608" s="50">
        <f>IF($T1608="","",IF($S1608="S",IF(INDEX(Firms!$F$5:$F$1004,$T1608)="","",INDEX(Firms!$F$5:$F$1004,$T1608)),IF(INDEX('AFA Rates'!$E$5:$E$1004,$T1608)="","",INDEX('AFA Rates'!$E$5:$E$1004,$T1608))))</f>
        <v/>
      </c>
      <c r="H1608" s="50">
        <f>IF($T1608="","",IF($S1608="S",IF(INDEX(Firms!$G$5:$G$1004,$T1608)="","",INDEX(Firms!$G$5:$G$1004,$T1608)),IF(INDEX('AFA Rates'!$F$5:$F$1004,$T1608)="","",INDEX('AFA Rates'!$F$5:$F$1004,$T1608))))</f>
        <v/>
      </c>
      <c r="I1608" s="50">
        <f>IF($T1608="","",IF($S1608="S",IF(INDEX(Firms!$H$5:$H$1004,$T1608)="","",INDEX(Firms!$H$5:$H$1004,$T1608)),IF(INDEX('AFA Rates'!$G$5:$G$1004,$T1608)="","",INDEX('AFA Rates'!$G$5:$G$1004,$T1608))))</f>
        <v/>
      </c>
      <c r="J1608" s="50">
        <f>IF($T1608="","",IF($S1608="S",IF(INDEX(Firms!$I$5:$I$1004,$T1608)="","",INDEX(Firms!$I$5:$I$1004,$T1608)),IF(INDEX('AFA Rates'!$H$5:$H$1004,$T1608)="","",INDEX('AFA Rates'!$H$5:$H$1004,$T1608))))</f>
        <v/>
      </c>
      <c r="K1608" s="50">
        <f>IF($T1608="","",IF($S1608="S",IF(INDEX(Firms!$J$5:$J$1004,$T1608)="","",INDEX(Firms!$J$5:$J$1004,$T1608)),IF(INDEX('AFA Rates'!$I$5:$I$1004,$T1608)="","",INDEX('AFA Rates'!$I$5:$I$1004,$T1608))))</f>
        <v/>
      </c>
      <c r="L1608" s="50">
        <f>IF($T1608="","",IF($S1608="S",IF(INDEX(Firms!$K$5:$K$1004,$T1608)="","",INDEX(Firms!$K$5:$K$1004,$T1608)),IF(INDEX('AFA Rates'!$J$5:$J$1004,$T1608)="","",INDEX('AFA Rates'!$J$5:$J$1004,$T1608))))</f>
        <v/>
      </c>
      <c r="M1608" s="50">
        <f>IF($T1608="","",IF($S1608="S",IF(INDEX(Firms!$L$5:$L$1004,$T1608)="","",INDEX(Firms!$L$5:$L$1004,$T1608)),IF(INDEX('AFA Rates'!$K$5:$K$1004,$T1608)="","",INDEX('AFA Rates'!$K$5:$K$1004,$T1608))))</f>
        <v/>
      </c>
      <c r="N1608" s="50">
        <f>IF($T1608="","",IF($S1608="S",IF(INDEX(Firms!$M$5:$M$1004,$T1608)="","",INDEX(Firms!$M$5:$M$1004,$T1608)),IF(INDEX('AFA Rates'!$L$5:$L$1004,$T1608)="","",INDEX('AFA Rates'!$L$5:$L$1004,$T1608))))</f>
        <v/>
      </c>
      <c r="O1608" s="78">
        <f>IF(OR($T1608="",$U1608=""),"",IF(INDEX(Firms!$C$5:$C$1004,$U1608)="","",INDEX(Firms!$C$5:$C$1004,$U1608)))</f>
        <v/>
      </c>
      <c r="P1608" s="79">
        <f>IF(OR($T1608="",$U1608=""),"",IF(INDEX(Firms!$N$5:$N$1004,$U1608)="","",INDEX(Firms!$N$5:$N$1004,$U1608)))</f>
        <v/>
      </c>
      <c r="Q1608" s="78">
        <f>IF($T1608="","",IF($S1608="S",IF(INDEX(Firms!$T$5:$T$1004,$T1608)="","",INDEX(Firms!$T$5:$T$1004,$T1608)),IF(INDEX('AFA Rates'!$M$5:$M$1004,$T1608)="","",INDEX('AFA Rates'!$M$5:$M$1004,$T1608))))</f>
        <v/>
      </c>
      <c r="S1608">
        <f>IF(1604&lt;=$S$2,"S",IF(1604&lt;=$S$2+$T$2,"A",""))</f>
        <v/>
      </c>
      <c r="T1608">
        <f>IF(S1608="S",MATCH(1604,Firms!$W$5:$W$1004,0),IF(S1608="A",IFERROR(MATCH(1604-$S$2,'AFA Rates'!$R$5:$R$1004,0),""),""))</f>
        <v/>
      </c>
      <c r="U1608">
        <f>IF(S1608="S",T1608,IF(AND(S1608="A",T1608&lt;&gt;""),IFERROR(MATCH(INDEX('AFA Rates'!$A$5:$A$1004,T1608),Firms!$A$5:$A$1004,0),""),""))</f>
        <v/>
      </c>
    </row>
    <row r="1609">
      <c r="A1609" s="78">
        <f>IF($T1609="","",IF($S1609="S",IF(INDEX(Firms!$A$5:$A$1004,$T1609)="","",INDEX(Firms!$A$5:$A$1004,$T1609)),IF(INDEX('AFA Rates'!$A$5:$A$1004,$T1609)="","",INDEX('AFA Rates'!$A$5:$A$1004,$T1609))))</f>
        <v/>
      </c>
      <c r="B1609" s="79">
        <f>IF(OR($T1609="",$U1609=""),IF($T1609="","","Not on Firms tab"),INDEX(Firms!$B$5:$B$1004,$U1609)&amp;"")</f>
        <v/>
      </c>
      <c r="C1609" s="78">
        <f>IF($T1609="","",IF($S1609="S","Standard",INDEX('AFA Rates'!$B$5:$B$1004,$T1609)&amp;""))</f>
        <v/>
      </c>
      <c r="D1609" s="88">
        <f>IF($T1609="","",IF($S1609="S",IF(INDEX(Firms!$E$5:$E$1004,$T1609)="","",INDEX(Firms!$E$5:$E$1004,$T1609)),IF(INDEX('AFA Rates'!$C$5:$C$1004,$T1609)="","",INDEX('AFA Rates'!$C$5:$C$1004,$T1609))))</f>
        <v/>
      </c>
      <c r="E1609" s="88">
        <f>IF($T1609="","",IF($S1609="S",IF(""="","",""),IF(INDEX('AFA Rates'!$D$5:$D$1004,$T1609)="","",INDEX('AFA Rates'!$D$5:$D$1004,$T1609))))</f>
        <v/>
      </c>
      <c r="F1609" s="79">
        <f>IF($T1609="","",IF($S1609="S",IF(INDEX(Firms!$O$5:$O$1004,$T1609)="","",INDEX(Firms!$O$5:$O$1004,$T1609)),IF(INDEX('AFA Rates'!$O$5:$O$1004,$T1609)="","",INDEX('AFA Rates'!$O$5:$O$1004,$T1609))))</f>
        <v/>
      </c>
      <c r="G1609" s="50">
        <f>IF($T1609="","",IF($S1609="S",IF(INDEX(Firms!$F$5:$F$1004,$T1609)="","",INDEX(Firms!$F$5:$F$1004,$T1609)),IF(INDEX('AFA Rates'!$E$5:$E$1004,$T1609)="","",INDEX('AFA Rates'!$E$5:$E$1004,$T1609))))</f>
        <v/>
      </c>
      <c r="H1609" s="50">
        <f>IF($T1609="","",IF($S1609="S",IF(INDEX(Firms!$G$5:$G$1004,$T1609)="","",INDEX(Firms!$G$5:$G$1004,$T1609)),IF(INDEX('AFA Rates'!$F$5:$F$1004,$T1609)="","",INDEX('AFA Rates'!$F$5:$F$1004,$T1609))))</f>
        <v/>
      </c>
      <c r="I1609" s="50">
        <f>IF($T1609="","",IF($S1609="S",IF(INDEX(Firms!$H$5:$H$1004,$T1609)="","",INDEX(Firms!$H$5:$H$1004,$T1609)),IF(INDEX('AFA Rates'!$G$5:$G$1004,$T1609)="","",INDEX('AFA Rates'!$G$5:$G$1004,$T1609))))</f>
        <v/>
      </c>
      <c r="J1609" s="50">
        <f>IF($T1609="","",IF($S1609="S",IF(INDEX(Firms!$I$5:$I$1004,$T1609)="","",INDEX(Firms!$I$5:$I$1004,$T1609)),IF(INDEX('AFA Rates'!$H$5:$H$1004,$T1609)="","",INDEX('AFA Rates'!$H$5:$H$1004,$T1609))))</f>
        <v/>
      </c>
      <c r="K1609" s="50">
        <f>IF($T1609="","",IF($S1609="S",IF(INDEX(Firms!$J$5:$J$1004,$T1609)="","",INDEX(Firms!$J$5:$J$1004,$T1609)),IF(INDEX('AFA Rates'!$I$5:$I$1004,$T1609)="","",INDEX('AFA Rates'!$I$5:$I$1004,$T1609))))</f>
        <v/>
      </c>
      <c r="L1609" s="50">
        <f>IF($T1609="","",IF($S1609="S",IF(INDEX(Firms!$K$5:$K$1004,$T1609)="","",INDEX(Firms!$K$5:$K$1004,$T1609)),IF(INDEX('AFA Rates'!$J$5:$J$1004,$T1609)="","",INDEX('AFA Rates'!$J$5:$J$1004,$T1609))))</f>
        <v/>
      </c>
      <c r="M1609" s="50">
        <f>IF($T1609="","",IF($S1609="S",IF(INDEX(Firms!$L$5:$L$1004,$T1609)="","",INDEX(Firms!$L$5:$L$1004,$T1609)),IF(INDEX('AFA Rates'!$K$5:$K$1004,$T1609)="","",INDEX('AFA Rates'!$K$5:$K$1004,$T1609))))</f>
        <v/>
      </c>
      <c r="N1609" s="50">
        <f>IF($T1609="","",IF($S1609="S",IF(INDEX(Firms!$M$5:$M$1004,$T1609)="","",INDEX(Firms!$M$5:$M$1004,$T1609)),IF(INDEX('AFA Rates'!$L$5:$L$1004,$T1609)="","",INDEX('AFA Rates'!$L$5:$L$1004,$T1609))))</f>
        <v/>
      </c>
      <c r="O1609" s="78">
        <f>IF(OR($T1609="",$U1609=""),"",IF(INDEX(Firms!$C$5:$C$1004,$U1609)="","",INDEX(Firms!$C$5:$C$1004,$U1609)))</f>
        <v/>
      </c>
      <c r="P1609" s="79">
        <f>IF(OR($T1609="",$U1609=""),"",IF(INDEX(Firms!$N$5:$N$1004,$U1609)="","",INDEX(Firms!$N$5:$N$1004,$U1609)))</f>
        <v/>
      </c>
      <c r="Q1609" s="78">
        <f>IF($T1609="","",IF($S1609="S",IF(INDEX(Firms!$T$5:$T$1004,$T1609)="","",INDEX(Firms!$T$5:$T$1004,$T1609)),IF(INDEX('AFA Rates'!$M$5:$M$1004,$T1609)="","",INDEX('AFA Rates'!$M$5:$M$1004,$T1609))))</f>
        <v/>
      </c>
      <c r="S1609">
        <f>IF(1605&lt;=$S$2,"S",IF(1605&lt;=$S$2+$T$2,"A",""))</f>
        <v/>
      </c>
      <c r="T1609">
        <f>IF(S1609="S",MATCH(1605,Firms!$W$5:$W$1004,0),IF(S1609="A",IFERROR(MATCH(1605-$S$2,'AFA Rates'!$R$5:$R$1004,0),""),""))</f>
        <v/>
      </c>
      <c r="U1609">
        <f>IF(S1609="S",T1609,IF(AND(S1609="A",T1609&lt;&gt;""),IFERROR(MATCH(INDEX('AFA Rates'!$A$5:$A$1004,T1609),Firms!$A$5:$A$1004,0),""),""))</f>
        <v/>
      </c>
    </row>
    <row r="1610">
      <c r="A1610" s="78">
        <f>IF($T1610="","",IF($S1610="S",IF(INDEX(Firms!$A$5:$A$1004,$T1610)="","",INDEX(Firms!$A$5:$A$1004,$T1610)),IF(INDEX('AFA Rates'!$A$5:$A$1004,$T1610)="","",INDEX('AFA Rates'!$A$5:$A$1004,$T1610))))</f>
        <v/>
      </c>
      <c r="B1610" s="79">
        <f>IF(OR($T1610="",$U1610=""),IF($T1610="","","Not on Firms tab"),INDEX(Firms!$B$5:$B$1004,$U1610)&amp;"")</f>
        <v/>
      </c>
      <c r="C1610" s="78">
        <f>IF($T1610="","",IF($S1610="S","Standard",INDEX('AFA Rates'!$B$5:$B$1004,$T1610)&amp;""))</f>
        <v/>
      </c>
      <c r="D1610" s="88">
        <f>IF($T1610="","",IF($S1610="S",IF(INDEX(Firms!$E$5:$E$1004,$T1610)="","",INDEX(Firms!$E$5:$E$1004,$T1610)),IF(INDEX('AFA Rates'!$C$5:$C$1004,$T1610)="","",INDEX('AFA Rates'!$C$5:$C$1004,$T1610))))</f>
        <v/>
      </c>
      <c r="E1610" s="88">
        <f>IF($T1610="","",IF($S1610="S",IF(""="","",""),IF(INDEX('AFA Rates'!$D$5:$D$1004,$T1610)="","",INDEX('AFA Rates'!$D$5:$D$1004,$T1610))))</f>
        <v/>
      </c>
      <c r="F1610" s="79">
        <f>IF($T1610="","",IF($S1610="S",IF(INDEX(Firms!$O$5:$O$1004,$T1610)="","",INDEX(Firms!$O$5:$O$1004,$T1610)),IF(INDEX('AFA Rates'!$O$5:$O$1004,$T1610)="","",INDEX('AFA Rates'!$O$5:$O$1004,$T1610))))</f>
        <v/>
      </c>
      <c r="G1610" s="50">
        <f>IF($T1610="","",IF($S1610="S",IF(INDEX(Firms!$F$5:$F$1004,$T1610)="","",INDEX(Firms!$F$5:$F$1004,$T1610)),IF(INDEX('AFA Rates'!$E$5:$E$1004,$T1610)="","",INDEX('AFA Rates'!$E$5:$E$1004,$T1610))))</f>
        <v/>
      </c>
      <c r="H1610" s="50">
        <f>IF($T1610="","",IF($S1610="S",IF(INDEX(Firms!$G$5:$G$1004,$T1610)="","",INDEX(Firms!$G$5:$G$1004,$T1610)),IF(INDEX('AFA Rates'!$F$5:$F$1004,$T1610)="","",INDEX('AFA Rates'!$F$5:$F$1004,$T1610))))</f>
        <v/>
      </c>
      <c r="I1610" s="50">
        <f>IF($T1610="","",IF($S1610="S",IF(INDEX(Firms!$H$5:$H$1004,$T1610)="","",INDEX(Firms!$H$5:$H$1004,$T1610)),IF(INDEX('AFA Rates'!$G$5:$G$1004,$T1610)="","",INDEX('AFA Rates'!$G$5:$G$1004,$T1610))))</f>
        <v/>
      </c>
      <c r="J1610" s="50">
        <f>IF($T1610="","",IF($S1610="S",IF(INDEX(Firms!$I$5:$I$1004,$T1610)="","",INDEX(Firms!$I$5:$I$1004,$T1610)),IF(INDEX('AFA Rates'!$H$5:$H$1004,$T1610)="","",INDEX('AFA Rates'!$H$5:$H$1004,$T1610))))</f>
        <v/>
      </c>
      <c r="K1610" s="50">
        <f>IF($T1610="","",IF($S1610="S",IF(INDEX(Firms!$J$5:$J$1004,$T1610)="","",INDEX(Firms!$J$5:$J$1004,$T1610)),IF(INDEX('AFA Rates'!$I$5:$I$1004,$T1610)="","",INDEX('AFA Rates'!$I$5:$I$1004,$T1610))))</f>
        <v/>
      </c>
      <c r="L1610" s="50">
        <f>IF($T1610="","",IF($S1610="S",IF(INDEX(Firms!$K$5:$K$1004,$T1610)="","",INDEX(Firms!$K$5:$K$1004,$T1610)),IF(INDEX('AFA Rates'!$J$5:$J$1004,$T1610)="","",INDEX('AFA Rates'!$J$5:$J$1004,$T1610))))</f>
        <v/>
      </c>
      <c r="M1610" s="50">
        <f>IF($T1610="","",IF($S1610="S",IF(INDEX(Firms!$L$5:$L$1004,$T1610)="","",INDEX(Firms!$L$5:$L$1004,$T1610)),IF(INDEX('AFA Rates'!$K$5:$K$1004,$T1610)="","",INDEX('AFA Rates'!$K$5:$K$1004,$T1610))))</f>
        <v/>
      </c>
      <c r="N1610" s="50">
        <f>IF($T1610="","",IF($S1610="S",IF(INDEX(Firms!$M$5:$M$1004,$T1610)="","",INDEX(Firms!$M$5:$M$1004,$T1610)),IF(INDEX('AFA Rates'!$L$5:$L$1004,$T1610)="","",INDEX('AFA Rates'!$L$5:$L$1004,$T1610))))</f>
        <v/>
      </c>
      <c r="O1610" s="78">
        <f>IF(OR($T1610="",$U1610=""),"",IF(INDEX(Firms!$C$5:$C$1004,$U1610)="","",INDEX(Firms!$C$5:$C$1004,$U1610)))</f>
        <v/>
      </c>
      <c r="P1610" s="79">
        <f>IF(OR($T1610="",$U1610=""),"",IF(INDEX(Firms!$N$5:$N$1004,$U1610)="","",INDEX(Firms!$N$5:$N$1004,$U1610)))</f>
        <v/>
      </c>
      <c r="Q1610" s="78">
        <f>IF($T1610="","",IF($S1610="S",IF(INDEX(Firms!$T$5:$T$1004,$T1610)="","",INDEX(Firms!$T$5:$T$1004,$T1610)),IF(INDEX('AFA Rates'!$M$5:$M$1004,$T1610)="","",INDEX('AFA Rates'!$M$5:$M$1004,$T1610))))</f>
        <v/>
      </c>
      <c r="S1610">
        <f>IF(1606&lt;=$S$2,"S",IF(1606&lt;=$S$2+$T$2,"A",""))</f>
        <v/>
      </c>
      <c r="T1610">
        <f>IF(S1610="S",MATCH(1606,Firms!$W$5:$W$1004,0),IF(S1610="A",IFERROR(MATCH(1606-$S$2,'AFA Rates'!$R$5:$R$1004,0),""),""))</f>
        <v/>
      </c>
      <c r="U1610">
        <f>IF(S1610="S",T1610,IF(AND(S1610="A",T1610&lt;&gt;""),IFERROR(MATCH(INDEX('AFA Rates'!$A$5:$A$1004,T1610),Firms!$A$5:$A$1004,0),""),""))</f>
        <v/>
      </c>
    </row>
    <row r="1611">
      <c r="A1611" s="78">
        <f>IF($T1611="","",IF($S1611="S",IF(INDEX(Firms!$A$5:$A$1004,$T1611)="","",INDEX(Firms!$A$5:$A$1004,$T1611)),IF(INDEX('AFA Rates'!$A$5:$A$1004,$T1611)="","",INDEX('AFA Rates'!$A$5:$A$1004,$T1611))))</f>
        <v/>
      </c>
      <c r="B1611" s="79">
        <f>IF(OR($T1611="",$U1611=""),IF($T1611="","","Not on Firms tab"),INDEX(Firms!$B$5:$B$1004,$U1611)&amp;"")</f>
        <v/>
      </c>
      <c r="C1611" s="78">
        <f>IF($T1611="","",IF($S1611="S","Standard",INDEX('AFA Rates'!$B$5:$B$1004,$T1611)&amp;""))</f>
        <v/>
      </c>
      <c r="D1611" s="88">
        <f>IF($T1611="","",IF($S1611="S",IF(INDEX(Firms!$E$5:$E$1004,$T1611)="","",INDEX(Firms!$E$5:$E$1004,$T1611)),IF(INDEX('AFA Rates'!$C$5:$C$1004,$T1611)="","",INDEX('AFA Rates'!$C$5:$C$1004,$T1611))))</f>
        <v/>
      </c>
      <c r="E1611" s="88">
        <f>IF($T1611="","",IF($S1611="S",IF(""="","",""),IF(INDEX('AFA Rates'!$D$5:$D$1004,$T1611)="","",INDEX('AFA Rates'!$D$5:$D$1004,$T1611))))</f>
        <v/>
      </c>
      <c r="F1611" s="79">
        <f>IF($T1611="","",IF($S1611="S",IF(INDEX(Firms!$O$5:$O$1004,$T1611)="","",INDEX(Firms!$O$5:$O$1004,$T1611)),IF(INDEX('AFA Rates'!$O$5:$O$1004,$T1611)="","",INDEX('AFA Rates'!$O$5:$O$1004,$T1611))))</f>
        <v/>
      </c>
      <c r="G1611" s="50">
        <f>IF($T1611="","",IF($S1611="S",IF(INDEX(Firms!$F$5:$F$1004,$T1611)="","",INDEX(Firms!$F$5:$F$1004,$T1611)),IF(INDEX('AFA Rates'!$E$5:$E$1004,$T1611)="","",INDEX('AFA Rates'!$E$5:$E$1004,$T1611))))</f>
        <v/>
      </c>
      <c r="H1611" s="50">
        <f>IF($T1611="","",IF($S1611="S",IF(INDEX(Firms!$G$5:$G$1004,$T1611)="","",INDEX(Firms!$G$5:$G$1004,$T1611)),IF(INDEX('AFA Rates'!$F$5:$F$1004,$T1611)="","",INDEX('AFA Rates'!$F$5:$F$1004,$T1611))))</f>
        <v/>
      </c>
      <c r="I1611" s="50">
        <f>IF($T1611="","",IF($S1611="S",IF(INDEX(Firms!$H$5:$H$1004,$T1611)="","",INDEX(Firms!$H$5:$H$1004,$T1611)),IF(INDEX('AFA Rates'!$G$5:$G$1004,$T1611)="","",INDEX('AFA Rates'!$G$5:$G$1004,$T1611))))</f>
        <v/>
      </c>
      <c r="J1611" s="50">
        <f>IF($T1611="","",IF($S1611="S",IF(INDEX(Firms!$I$5:$I$1004,$T1611)="","",INDEX(Firms!$I$5:$I$1004,$T1611)),IF(INDEX('AFA Rates'!$H$5:$H$1004,$T1611)="","",INDEX('AFA Rates'!$H$5:$H$1004,$T1611))))</f>
        <v/>
      </c>
      <c r="K1611" s="50">
        <f>IF($T1611="","",IF($S1611="S",IF(INDEX(Firms!$J$5:$J$1004,$T1611)="","",INDEX(Firms!$J$5:$J$1004,$T1611)),IF(INDEX('AFA Rates'!$I$5:$I$1004,$T1611)="","",INDEX('AFA Rates'!$I$5:$I$1004,$T1611))))</f>
        <v/>
      </c>
      <c r="L1611" s="50">
        <f>IF($T1611="","",IF($S1611="S",IF(INDEX(Firms!$K$5:$K$1004,$T1611)="","",INDEX(Firms!$K$5:$K$1004,$T1611)),IF(INDEX('AFA Rates'!$J$5:$J$1004,$T1611)="","",INDEX('AFA Rates'!$J$5:$J$1004,$T1611))))</f>
        <v/>
      </c>
      <c r="M1611" s="50">
        <f>IF($T1611="","",IF($S1611="S",IF(INDEX(Firms!$L$5:$L$1004,$T1611)="","",INDEX(Firms!$L$5:$L$1004,$T1611)),IF(INDEX('AFA Rates'!$K$5:$K$1004,$T1611)="","",INDEX('AFA Rates'!$K$5:$K$1004,$T1611))))</f>
        <v/>
      </c>
      <c r="N1611" s="50">
        <f>IF($T1611="","",IF($S1611="S",IF(INDEX(Firms!$M$5:$M$1004,$T1611)="","",INDEX(Firms!$M$5:$M$1004,$T1611)),IF(INDEX('AFA Rates'!$L$5:$L$1004,$T1611)="","",INDEX('AFA Rates'!$L$5:$L$1004,$T1611))))</f>
        <v/>
      </c>
      <c r="O1611" s="78">
        <f>IF(OR($T1611="",$U1611=""),"",IF(INDEX(Firms!$C$5:$C$1004,$U1611)="","",INDEX(Firms!$C$5:$C$1004,$U1611)))</f>
        <v/>
      </c>
      <c r="P1611" s="79">
        <f>IF(OR($T1611="",$U1611=""),"",IF(INDEX(Firms!$N$5:$N$1004,$U1611)="","",INDEX(Firms!$N$5:$N$1004,$U1611)))</f>
        <v/>
      </c>
      <c r="Q1611" s="78">
        <f>IF($T1611="","",IF($S1611="S",IF(INDEX(Firms!$T$5:$T$1004,$T1611)="","",INDEX(Firms!$T$5:$T$1004,$T1611)),IF(INDEX('AFA Rates'!$M$5:$M$1004,$T1611)="","",INDEX('AFA Rates'!$M$5:$M$1004,$T1611))))</f>
        <v/>
      </c>
      <c r="S1611">
        <f>IF(1607&lt;=$S$2,"S",IF(1607&lt;=$S$2+$T$2,"A",""))</f>
        <v/>
      </c>
      <c r="T1611">
        <f>IF(S1611="S",MATCH(1607,Firms!$W$5:$W$1004,0),IF(S1611="A",IFERROR(MATCH(1607-$S$2,'AFA Rates'!$R$5:$R$1004,0),""),""))</f>
        <v/>
      </c>
      <c r="U1611">
        <f>IF(S1611="S",T1611,IF(AND(S1611="A",T1611&lt;&gt;""),IFERROR(MATCH(INDEX('AFA Rates'!$A$5:$A$1004,T1611),Firms!$A$5:$A$1004,0),""),""))</f>
        <v/>
      </c>
    </row>
    <row r="1612">
      <c r="A1612" s="78">
        <f>IF($T1612="","",IF($S1612="S",IF(INDEX(Firms!$A$5:$A$1004,$T1612)="","",INDEX(Firms!$A$5:$A$1004,$T1612)),IF(INDEX('AFA Rates'!$A$5:$A$1004,$T1612)="","",INDEX('AFA Rates'!$A$5:$A$1004,$T1612))))</f>
        <v/>
      </c>
      <c r="B1612" s="79">
        <f>IF(OR($T1612="",$U1612=""),IF($T1612="","","Not on Firms tab"),INDEX(Firms!$B$5:$B$1004,$U1612)&amp;"")</f>
        <v/>
      </c>
      <c r="C1612" s="78">
        <f>IF($T1612="","",IF($S1612="S","Standard",INDEX('AFA Rates'!$B$5:$B$1004,$T1612)&amp;""))</f>
        <v/>
      </c>
      <c r="D1612" s="88">
        <f>IF($T1612="","",IF($S1612="S",IF(INDEX(Firms!$E$5:$E$1004,$T1612)="","",INDEX(Firms!$E$5:$E$1004,$T1612)),IF(INDEX('AFA Rates'!$C$5:$C$1004,$T1612)="","",INDEX('AFA Rates'!$C$5:$C$1004,$T1612))))</f>
        <v/>
      </c>
      <c r="E1612" s="88">
        <f>IF($T1612="","",IF($S1612="S",IF(""="","",""),IF(INDEX('AFA Rates'!$D$5:$D$1004,$T1612)="","",INDEX('AFA Rates'!$D$5:$D$1004,$T1612))))</f>
        <v/>
      </c>
      <c r="F1612" s="79">
        <f>IF($T1612="","",IF($S1612="S",IF(INDEX(Firms!$O$5:$O$1004,$T1612)="","",INDEX(Firms!$O$5:$O$1004,$T1612)),IF(INDEX('AFA Rates'!$O$5:$O$1004,$T1612)="","",INDEX('AFA Rates'!$O$5:$O$1004,$T1612))))</f>
        <v/>
      </c>
      <c r="G1612" s="50">
        <f>IF($T1612="","",IF($S1612="S",IF(INDEX(Firms!$F$5:$F$1004,$T1612)="","",INDEX(Firms!$F$5:$F$1004,$T1612)),IF(INDEX('AFA Rates'!$E$5:$E$1004,$T1612)="","",INDEX('AFA Rates'!$E$5:$E$1004,$T1612))))</f>
        <v/>
      </c>
      <c r="H1612" s="50">
        <f>IF($T1612="","",IF($S1612="S",IF(INDEX(Firms!$G$5:$G$1004,$T1612)="","",INDEX(Firms!$G$5:$G$1004,$T1612)),IF(INDEX('AFA Rates'!$F$5:$F$1004,$T1612)="","",INDEX('AFA Rates'!$F$5:$F$1004,$T1612))))</f>
        <v/>
      </c>
      <c r="I1612" s="50">
        <f>IF($T1612="","",IF($S1612="S",IF(INDEX(Firms!$H$5:$H$1004,$T1612)="","",INDEX(Firms!$H$5:$H$1004,$T1612)),IF(INDEX('AFA Rates'!$G$5:$G$1004,$T1612)="","",INDEX('AFA Rates'!$G$5:$G$1004,$T1612))))</f>
        <v/>
      </c>
      <c r="J1612" s="50">
        <f>IF($T1612="","",IF($S1612="S",IF(INDEX(Firms!$I$5:$I$1004,$T1612)="","",INDEX(Firms!$I$5:$I$1004,$T1612)),IF(INDEX('AFA Rates'!$H$5:$H$1004,$T1612)="","",INDEX('AFA Rates'!$H$5:$H$1004,$T1612))))</f>
        <v/>
      </c>
      <c r="K1612" s="50">
        <f>IF($T1612="","",IF($S1612="S",IF(INDEX(Firms!$J$5:$J$1004,$T1612)="","",INDEX(Firms!$J$5:$J$1004,$T1612)),IF(INDEX('AFA Rates'!$I$5:$I$1004,$T1612)="","",INDEX('AFA Rates'!$I$5:$I$1004,$T1612))))</f>
        <v/>
      </c>
      <c r="L1612" s="50">
        <f>IF($T1612="","",IF($S1612="S",IF(INDEX(Firms!$K$5:$K$1004,$T1612)="","",INDEX(Firms!$K$5:$K$1004,$T1612)),IF(INDEX('AFA Rates'!$J$5:$J$1004,$T1612)="","",INDEX('AFA Rates'!$J$5:$J$1004,$T1612))))</f>
        <v/>
      </c>
      <c r="M1612" s="50">
        <f>IF($T1612="","",IF($S1612="S",IF(INDEX(Firms!$L$5:$L$1004,$T1612)="","",INDEX(Firms!$L$5:$L$1004,$T1612)),IF(INDEX('AFA Rates'!$K$5:$K$1004,$T1612)="","",INDEX('AFA Rates'!$K$5:$K$1004,$T1612))))</f>
        <v/>
      </c>
      <c r="N1612" s="50">
        <f>IF($T1612="","",IF($S1612="S",IF(INDEX(Firms!$M$5:$M$1004,$T1612)="","",INDEX(Firms!$M$5:$M$1004,$T1612)),IF(INDEX('AFA Rates'!$L$5:$L$1004,$T1612)="","",INDEX('AFA Rates'!$L$5:$L$1004,$T1612))))</f>
        <v/>
      </c>
      <c r="O1612" s="78">
        <f>IF(OR($T1612="",$U1612=""),"",IF(INDEX(Firms!$C$5:$C$1004,$U1612)="","",INDEX(Firms!$C$5:$C$1004,$U1612)))</f>
        <v/>
      </c>
      <c r="P1612" s="79">
        <f>IF(OR($T1612="",$U1612=""),"",IF(INDEX(Firms!$N$5:$N$1004,$U1612)="","",INDEX(Firms!$N$5:$N$1004,$U1612)))</f>
        <v/>
      </c>
      <c r="Q1612" s="78">
        <f>IF($T1612="","",IF($S1612="S",IF(INDEX(Firms!$T$5:$T$1004,$T1612)="","",INDEX(Firms!$T$5:$T$1004,$T1612)),IF(INDEX('AFA Rates'!$M$5:$M$1004,$T1612)="","",INDEX('AFA Rates'!$M$5:$M$1004,$T1612))))</f>
        <v/>
      </c>
      <c r="S1612">
        <f>IF(1608&lt;=$S$2,"S",IF(1608&lt;=$S$2+$T$2,"A",""))</f>
        <v/>
      </c>
      <c r="T1612">
        <f>IF(S1612="S",MATCH(1608,Firms!$W$5:$W$1004,0),IF(S1612="A",IFERROR(MATCH(1608-$S$2,'AFA Rates'!$R$5:$R$1004,0),""),""))</f>
        <v/>
      </c>
      <c r="U1612">
        <f>IF(S1612="S",T1612,IF(AND(S1612="A",T1612&lt;&gt;""),IFERROR(MATCH(INDEX('AFA Rates'!$A$5:$A$1004,T1612),Firms!$A$5:$A$1004,0),""),""))</f>
        <v/>
      </c>
    </row>
    <row r="1613">
      <c r="A1613" s="78">
        <f>IF($T1613="","",IF($S1613="S",IF(INDEX(Firms!$A$5:$A$1004,$T1613)="","",INDEX(Firms!$A$5:$A$1004,$T1613)),IF(INDEX('AFA Rates'!$A$5:$A$1004,$T1613)="","",INDEX('AFA Rates'!$A$5:$A$1004,$T1613))))</f>
        <v/>
      </c>
      <c r="B1613" s="79">
        <f>IF(OR($T1613="",$U1613=""),IF($T1613="","","Not on Firms tab"),INDEX(Firms!$B$5:$B$1004,$U1613)&amp;"")</f>
        <v/>
      </c>
      <c r="C1613" s="78">
        <f>IF($T1613="","",IF($S1613="S","Standard",INDEX('AFA Rates'!$B$5:$B$1004,$T1613)&amp;""))</f>
        <v/>
      </c>
      <c r="D1613" s="88">
        <f>IF($T1613="","",IF($S1613="S",IF(INDEX(Firms!$E$5:$E$1004,$T1613)="","",INDEX(Firms!$E$5:$E$1004,$T1613)),IF(INDEX('AFA Rates'!$C$5:$C$1004,$T1613)="","",INDEX('AFA Rates'!$C$5:$C$1004,$T1613))))</f>
        <v/>
      </c>
      <c r="E1613" s="88">
        <f>IF($T1613="","",IF($S1613="S",IF(""="","",""),IF(INDEX('AFA Rates'!$D$5:$D$1004,$T1613)="","",INDEX('AFA Rates'!$D$5:$D$1004,$T1613))))</f>
        <v/>
      </c>
      <c r="F1613" s="79">
        <f>IF($T1613="","",IF($S1613="S",IF(INDEX(Firms!$O$5:$O$1004,$T1613)="","",INDEX(Firms!$O$5:$O$1004,$T1613)),IF(INDEX('AFA Rates'!$O$5:$O$1004,$T1613)="","",INDEX('AFA Rates'!$O$5:$O$1004,$T1613))))</f>
        <v/>
      </c>
      <c r="G1613" s="50">
        <f>IF($T1613="","",IF($S1613="S",IF(INDEX(Firms!$F$5:$F$1004,$T1613)="","",INDEX(Firms!$F$5:$F$1004,$T1613)),IF(INDEX('AFA Rates'!$E$5:$E$1004,$T1613)="","",INDEX('AFA Rates'!$E$5:$E$1004,$T1613))))</f>
        <v/>
      </c>
      <c r="H1613" s="50">
        <f>IF($T1613="","",IF($S1613="S",IF(INDEX(Firms!$G$5:$G$1004,$T1613)="","",INDEX(Firms!$G$5:$G$1004,$T1613)),IF(INDEX('AFA Rates'!$F$5:$F$1004,$T1613)="","",INDEX('AFA Rates'!$F$5:$F$1004,$T1613))))</f>
        <v/>
      </c>
      <c r="I1613" s="50">
        <f>IF($T1613="","",IF($S1613="S",IF(INDEX(Firms!$H$5:$H$1004,$T1613)="","",INDEX(Firms!$H$5:$H$1004,$T1613)),IF(INDEX('AFA Rates'!$G$5:$G$1004,$T1613)="","",INDEX('AFA Rates'!$G$5:$G$1004,$T1613))))</f>
        <v/>
      </c>
      <c r="J1613" s="50">
        <f>IF($T1613="","",IF($S1613="S",IF(INDEX(Firms!$I$5:$I$1004,$T1613)="","",INDEX(Firms!$I$5:$I$1004,$T1613)),IF(INDEX('AFA Rates'!$H$5:$H$1004,$T1613)="","",INDEX('AFA Rates'!$H$5:$H$1004,$T1613))))</f>
        <v/>
      </c>
      <c r="K1613" s="50">
        <f>IF($T1613="","",IF($S1613="S",IF(INDEX(Firms!$J$5:$J$1004,$T1613)="","",INDEX(Firms!$J$5:$J$1004,$T1613)),IF(INDEX('AFA Rates'!$I$5:$I$1004,$T1613)="","",INDEX('AFA Rates'!$I$5:$I$1004,$T1613))))</f>
        <v/>
      </c>
      <c r="L1613" s="50">
        <f>IF($T1613="","",IF($S1613="S",IF(INDEX(Firms!$K$5:$K$1004,$T1613)="","",INDEX(Firms!$K$5:$K$1004,$T1613)),IF(INDEX('AFA Rates'!$J$5:$J$1004,$T1613)="","",INDEX('AFA Rates'!$J$5:$J$1004,$T1613))))</f>
        <v/>
      </c>
      <c r="M1613" s="50">
        <f>IF($T1613="","",IF($S1613="S",IF(INDEX(Firms!$L$5:$L$1004,$T1613)="","",INDEX(Firms!$L$5:$L$1004,$T1613)),IF(INDEX('AFA Rates'!$K$5:$K$1004,$T1613)="","",INDEX('AFA Rates'!$K$5:$K$1004,$T1613))))</f>
        <v/>
      </c>
      <c r="N1613" s="50">
        <f>IF($T1613="","",IF($S1613="S",IF(INDEX(Firms!$M$5:$M$1004,$T1613)="","",INDEX(Firms!$M$5:$M$1004,$T1613)),IF(INDEX('AFA Rates'!$L$5:$L$1004,$T1613)="","",INDEX('AFA Rates'!$L$5:$L$1004,$T1613))))</f>
        <v/>
      </c>
      <c r="O1613" s="78">
        <f>IF(OR($T1613="",$U1613=""),"",IF(INDEX(Firms!$C$5:$C$1004,$U1613)="","",INDEX(Firms!$C$5:$C$1004,$U1613)))</f>
        <v/>
      </c>
      <c r="P1613" s="79">
        <f>IF(OR($T1613="",$U1613=""),"",IF(INDEX(Firms!$N$5:$N$1004,$U1613)="","",INDEX(Firms!$N$5:$N$1004,$U1613)))</f>
        <v/>
      </c>
      <c r="Q1613" s="78">
        <f>IF($T1613="","",IF($S1613="S",IF(INDEX(Firms!$T$5:$T$1004,$T1613)="","",INDEX(Firms!$T$5:$T$1004,$T1613)),IF(INDEX('AFA Rates'!$M$5:$M$1004,$T1613)="","",INDEX('AFA Rates'!$M$5:$M$1004,$T1613))))</f>
        <v/>
      </c>
      <c r="S1613">
        <f>IF(1609&lt;=$S$2,"S",IF(1609&lt;=$S$2+$T$2,"A",""))</f>
        <v/>
      </c>
      <c r="T1613">
        <f>IF(S1613="S",MATCH(1609,Firms!$W$5:$W$1004,0),IF(S1613="A",IFERROR(MATCH(1609-$S$2,'AFA Rates'!$R$5:$R$1004,0),""),""))</f>
        <v/>
      </c>
      <c r="U1613">
        <f>IF(S1613="S",T1613,IF(AND(S1613="A",T1613&lt;&gt;""),IFERROR(MATCH(INDEX('AFA Rates'!$A$5:$A$1004,T1613),Firms!$A$5:$A$1004,0),""),""))</f>
        <v/>
      </c>
    </row>
    <row r="1614">
      <c r="A1614" s="78">
        <f>IF($T1614="","",IF($S1614="S",IF(INDEX(Firms!$A$5:$A$1004,$T1614)="","",INDEX(Firms!$A$5:$A$1004,$T1614)),IF(INDEX('AFA Rates'!$A$5:$A$1004,$T1614)="","",INDEX('AFA Rates'!$A$5:$A$1004,$T1614))))</f>
        <v/>
      </c>
      <c r="B1614" s="79">
        <f>IF(OR($T1614="",$U1614=""),IF($T1614="","","Not on Firms tab"),INDEX(Firms!$B$5:$B$1004,$U1614)&amp;"")</f>
        <v/>
      </c>
      <c r="C1614" s="78">
        <f>IF($T1614="","",IF($S1614="S","Standard",INDEX('AFA Rates'!$B$5:$B$1004,$T1614)&amp;""))</f>
        <v/>
      </c>
      <c r="D1614" s="88">
        <f>IF($T1614="","",IF($S1614="S",IF(INDEX(Firms!$E$5:$E$1004,$T1614)="","",INDEX(Firms!$E$5:$E$1004,$T1614)),IF(INDEX('AFA Rates'!$C$5:$C$1004,$T1614)="","",INDEX('AFA Rates'!$C$5:$C$1004,$T1614))))</f>
        <v/>
      </c>
      <c r="E1614" s="88">
        <f>IF($T1614="","",IF($S1614="S",IF(""="","",""),IF(INDEX('AFA Rates'!$D$5:$D$1004,$T1614)="","",INDEX('AFA Rates'!$D$5:$D$1004,$T1614))))</f>
        <v/>
      </c>
      <c r="F1614" s="79">
        <f>IF($T1614="","",IF($S1614="S",IF(INDEX(Firms!$O$5:$O$1004,$T1614)="","",INDEX(Firms!$O$5:$O$1004,$T1614)),IF(INDEX('AFA Rates'!$O$5:$O$1004,$T1614)="","",INDEX('AFA Rates'!$O$5:$O$1004,$T1614))))</f>
        <v/>
      </c>
      <c r="G1614" s="50">
        <f>IF($T1614="","",IF($S1614="S",IF(INDEX(Firms!$F$5:$F$1004,$T1614)="","",INDEX(Firms!$F$5:$F$1004,$T1614)),IF(INDEX('AFA Rates'!$E$5:$E$1004,$T1614)="","",INDEX('AFA Rates'!$E$5:$E$1004,$T1614))))</f>
        <v/>
      </c>
      <c r="H1614" s="50">
        <f>IF($T1614="","",IF($S1614="S",IF(INDEX(Firms!$G$5:$G$1004,$T1614)="","",INDEX(Firms!$G$5:$G$1004,$T1614)),IF(INDEX('AFA Rates'!$F$5:$F$1004,$T1614)="","",INDEX('AFA Rates'!$F$5:$F$1004,$T1614))))</f>
        <v/>
      </c>
      <c r="I1614" s="50">
        <f>IF($T1614="","",IF($S1614="S",IF(INDEX(Firms!$H$5:$H$1004,$T1614)="","",INDEX(Firms!$H$5:$H$1004,$T1614)),IF(INDEX('AFA Rates'!$G$5:$G$1004,$T1614)="","",INDEX('AFA Rates'!$G$5:$G$1004,$T1614))))</f>
        <v/>
      </c>
      <c r="J1614" s="50">
        <f>IF($T1614="","",IF($S1614="S",IF(INDEX(Firms!$I$5:$I$1004,$T1614)="","",INDEX(Firms!$I$5:$I$1004,$T1614)),IF(INDEX('AFA Rates'!$H$5:$H$1004,$T1614)="","",INDEX('AFA Rates'!$H$5:$H$1004,$T1614))))</f>
        <v/>
      </c>
      <c r="K1614" s="50">
        <f>IF($T1614="","",IF($S1614="S",IF(INDEX(Firms!$J$5:$J$1004,$T1614)="","",INDEX(Firms!$J$5:$J$1004,$T1614)),IF(INDEX('AFA Rates'!$I$5:$I$1004,$T1614)="","",INDEX('AFA Rates'!$I$5:$I$1004,$T1614))))</f>
        <v/>
      </c>
      <c r="L1614" s="50">
        <f>IF($T1614="","",IF($S1614="S",IF(INDEX(Firms!$K$5:$K$1004,$T1614)="","",INDEX(Firms!$K$5:$K$1004,$T1614)),IF(INDEX('AFA Rates'!$J$5:$J$1004,$T1614)="","",INDEX('AFA Rates'!$J$5:$J$1004,$T1614))))</f>
        <v/>
      </c>
      <c r="M1614" s="50">
        <f>IF($T1614="","",IF($S1614="S",IF(INDEX(Firms!$L$5:$L$1004,$T1614)="","",INDEX(Firms!$L$5:$L$1004,$T1614)),IF(INDEX('AFA Rates'!$K$5:$K$1004,$T1614)="","",INDEX('AFA Rates'!$K$5:$K$1004,$T1614))))</f>
        <v/>
      </c>
      <c r="N1614" s="50">
        <f>IF($T1614="","",IF($S1614="S",IF(INDEX(Firms!$M$5:$M$1004,$T1614)="","",INDEX(Firms!$M$5:$M$1004,$T1614)),IF(INDEX('AFA Rates'!$L$5:$L$1004,$T1614)="","",INDEX('AFA Rates'!$L$5:$L$1004,$T1614))))</f>
        <v/>
      </c>
      <c r="O1614" s="78">
        <f>IF(OR($T1614="",$U1614=""),"",IF(INDEX(Firms!$C$5:$C$1004,$U1614)="","",INDEX(Firms!$C$5:$C$1004,$U1614)))</f>
        <v/>
      </c>
      <c r="P1614" s="79">
        <f>IF(OR($T1614="",$U1614=""),"",IF(INDEX(Firms!$N$5:$N$1004,$U1614)="","",INDEX(Firms!$N$5:$N$1004,$U1614)))</f>
        <v/>
      </c>
      <c r="Q1614" s="78">
        <f>IF($T1614="","",IF($S1614="S",IF(INDEX(Firms!$T$5:$T$1004,$T1614)="","",INDEX(Firms!$T$5:$T$1004,$T1614)),IF(INDEX('AFA Rates'!$M$5:$M$1004,$T1614)="","",INDEX('AFA Rates'!$M$5:$M$1004,$T1614))))</f>
        <v/>
      </c>
      <c r="S1614">
        <f>IF(1610&lt;=$S$2,"S",IF(1610&lt;=$S$2+$T$2,"A",""))</f>
        <v/>
      </c>
      <c r="T1614">
        <f>IF(S1614="S",MATCH(1610,Firms!$W$5:$W$1004,0),IF(S1614="A",IFERROR(MATCH(1610-$S$2,'AFA Rates'!$R$5:$R$1004,0),""),""))</f>
        <v/>
      </c>
      <c r="U1614">
        <f>IF(S1614="S",T1614,IF(AND(S1614="A",T1614&lt;&gt;""),IFERROR(MATCH(INDEX('AFA Rates'!$A$5:$A$1004,T1614),Firms!$A$5:$A$1004,0),""),""))</f>
        <v/>
      </c>
    </row>
    <row r="1615">
      <c r="A1615" s="78">
        <f>IF($T1615="","",IF($S1615="S",IF(INDEX(Firms!$A$5:$A$1004,$T1615)="","",INDEX(Firms!$A$5:$A$1004,$T1615)),IF(INDEX('AFA Rates'!$A$5:$A$1004,$T1615)="","",INDEX('AFA Rates'!$A$5:$A$1004,$T1615))))</f>
        <v/>
      </c>
      <c r="B1615" s="79">
        <f>IF(OR($T1615="",$U1615=""),IF($T1615="","","Not on Firms tab"),INDEX(Firms!$B$5:$B$1004,$U1615)&amp;"")</f>
        <v/>
      </c>
      <c r="C1615" s="78">
        <f>IF($T1615="","",IF($S1615="S","Standard",INDEX('AFA Rates'!$B$5:$B$1004,$T1615)&amp;""))</f>
        <v/>
      </c>
      <c r="D1615" s="88">
        <f>IF($T1615="","",IF($S1615="S",IF(INDEX(Firms!$E$5:$E$1004,$T1615)="","",INDEX(Firms!$E$5:$E$1004,$T1615)),IF(INDEX('AFA Rates'!$C$5:$C$1004,$T1615)="","",INDEX('AFA Rates'!$C$5:$C$1004,$T1615))))</f>
        <v/>
      </c>
      <c r="E1615" s="88">
        <f>IF($T1615="","",IF($S1615="S",IF(""="","",""),IF(INDEX('AFA Rates'!$D$5:$D$1004,$T1615)="","",INDEX('AFA Rates'!$D$5:$D$1004,$T1615))))</f>
        <v/>
      </c>
      <c r="F1615" s="79">
        <f>IF($T1615="","",IF($S1615="S",IF(INDEX(Firms!$O$5:$O$1004,$T1615)="","",INDEX(Firms!$O$5:$O$1004,$T1615)),IF(INDEX('AFA Rates'!$O$5:$O$1004,$T1615)="","",INDEX('AFA Rates'!$O$5:$O$1004,$T1615))))</f>
        <v/>
      </c>
      <c r="G1615" s="50">
        <f>IF($T1615="","",IF($S1615="S",IF(INDEX(Firms!$F$5:$F$1004,$T1615)="","",INDEX(Firms!$F$5:$F$1004,$T1615)),IF(INDEX('AFA Rates'!$E$5:$E$1004,$T1615)="","",INDEX('AFA Rates'!$E$5:$E$1004,$T1615))))</f>
        <v/>
      </c>
      <c r="H1615" s="50">
        <f>IF($T1615="","",IF($S1615="S",IF(INDEX(Firms!$G$5:$G$1004,$T1615)="","",INDEX(Firms!$G$5:$G$1004,$T1615)),IF(INDEX('AFA Rates'!$F$5:$F$1004,$T1615)="","",INDEX('AFA Rates'!$F$5:$F$1004,$T1615))))</f>
        <v/>
      </c>
      <c r="I1615" s="50">
        <f>IF($T1615="","",IF($S1615="S",IF(INDEX(Firms!$H$5:$H$1004,$T1615)="","",INDEX(Firms!$H$5:$H$1004,$T1615)),IF(INDEX('AFA Rates'!$G$5:$G$1004,$T1615)="","",INDEX('AFA Rates'!$G$5:$G$1004,$T1615))))</f>
        <v/>
      </c>
      <c r="J1615" s="50">
        <f>IF($T1615="","",IF($S1615="S",IF(INDEX(Firms!$I$5:$I$1004,$T1615)="","",INDEX(Firms!$I$5:$I$1004,$T1615)),IF(INDEX('AFA Rates'!$H$5:$H$1004,$T1615)="","",INDEX('AFA Rates'!$H$5:$H$1004,$T1615))))</f>
        <v/>
      </c>
      <c r="K1615" s="50">
        <f>IF($T1615="","",IF($S1615="S",IF(INDEX(Firms!$J$5:$J$1004,$T1615)="","",INDEX(Firms!$J$5:$J$1004,$T1615)),IF(INDEX('AFA Rates'!$I$5:$I$1004,$T1615)="","",INDEX('AFA Rates'!$I$5:$I$1004,$T1615))))</f>
        <v/>
      </c>
      <c r="L1615" s="50">
        <f>IF($T1615="","",IF($S1615="S",IF(INDEX(Firms!$K$5:$K$1004,$T1615)="","",INDEX(Firms!$K$5:$K$1004,$T1615)),IF(INDEX('AFA Rates'!$J$5:$J$1004,$T1615)="","",INDEX('AFA Rates'!$J$5:$J$1004,$T1615))))</f>
        <v/>
      </c>
      <c r="M1615" s="50">
        <f>IF($T1615="","",IF($S1615="S",IF(INDEX(Firms!$L$5:$L$1004,$T1615)="","",INDEX(Firms!$L$5:$L$1004,$T1615)),IF(INDEX('AFA Rates'!$K$5:$K$1004,$T1615)="","",INDEX('AFA Rates'!$K$5:$K$1004,$T1615))))</f>
        <v/>
      </c>
      <c r="N1615" s="50">
        <f>IF($T1615="","",IF($S1615="S",IF(INDEX(Firms!$M$5:$M$1004,$T1615)="","",INDEX(Firms!$M$5:$M$1004,$T1615)),IF(INDEX('AFA Rates'!$L$5:$L$1004,$T1615)="","",INDEX('AFA Rates'!$L$5:$L$1004,$T1615))))</f>
        <v/>
      </c>
      <c r="O1615" s="78">
        <f>IF(OR($T1615="",$U1615=""),"",IF(INDEX(Firms!$C$5:$C$1004,$U1615)="","",INDEX(Firms!$C$5:$C$1004,$U1615)))</f>
        <v/>
      </c>
      <c r="P1615" s="79">
        <f>IF(OR($T1615="",$U1615=""),"",IF(INDEX(Firms!$N$5:$N$1004,$U1615)="","",INDEX(Firms!$N$5:$N$1004,$U1615)))</f>
        <v/>
      </c>
      <c r="Q1615" s="78">
        <f>IF($T1615="","",IF($S1615="S",IF(INDEX(Firms!$T$5:$T$1004,$T1615)="","",INDEX(Firms!$T$5:$T$1004,$T1615)),IF(INDEX('AFA Rates'!$M$5:$M$1004,$T1615)="","",INDEX('AFA Rates'!$M$5:$M$1004,$T1615))))</f>
        <v/>
      </c>
      <c r="S1615">
        <f>IF(1611&lt;=$S$2,"S",IF(1611&lt;=$S$2+$T$2,"A",""))</f>
        <v/>
      </c>
      <c r="T1615">
        <f>IF(S1615="S",MATCH(1611,Firms!$W$5:$W$1004,0),IF(S1615="A",IFERROR(MATCH(1611-$S$2,'AFA Rates'!$R$5:$R$1004,0),""),""))</f>
        <v/>
      </c>
      <c r="U1615">
        <f>IF(S1615="S",T1615,IF(AND(S1615="A",T1615&lt;&gt;""),IFERROR(MATCH(INDEX('AFA Rates'!$A$5:$A$1004,T1615),Firms!$A$5:$A$1004,0),""),""))</f>
        <v/>
      </c>
    </row>
    <row r="1616">
      <c r="A1616" s="78">
        <f>IF($T1616="","",IF($S1616="S",IF(INDEX(Firms!$A$5:$A$1004,$T1616)="","",INDEX(Firms!$A$5:$A$1004,$T1616)),IF(INDEX('AFA Rates'!$A$5:$A$1004,$T1616)="","",INDEX('AFA Rates'!$A$5:$A$1004,$T1616))))</f>
        <v/>
      </c>
      <c r="B1616" s="79">
        <f>IF(OR($T1616="",$U1616=""),IF($T1616="","","Not on Firms tab"),INDEX(Firms!$B$5:$B$1004,$U1616)&amp;"")</f>
        <v/>
      </c>
      <c r="C1616" s="78">
        <f>IF($T1616="","",IF($S1616="S","Standard",INDEX('AFA Rates'!$B$5:$B$1004,$T1616)&amp;""))</f>
        <v/>
      </c>
      <c r="D1616" s="88">
        <f>IF($T1616="","",IF($S1616="S",IF(INDEX(Firms!$E$5:$E$1004,$T1616)="","",INDEX(Firms!$E$5:$E$1004,$T1616)),IF(INDEX('AFA Rates'!$C$5:$C$1004,$T1616)="","",INDEX('AFA Rates'!$C$5:$C$1004,$T1616))))</f>
        <v/>
      </c>
      <c r="E1616" s="88">
        <f>IF($T1616="","",IF($S1616="S",IF(""="","",""),IF(INDEX('AFA Rates'!$D$5:$D$1004,$T1616)="","",INDEX('AFA Rates'!$D$5:$D$1004,$T1616))))</f>
        <v/>
      </c>
      <c r="F1616" s="79">
        <f>IF($T1616="","",IF($S1616="S",IF(INDEX(Firms!$O$5:$O$1004,$T1616)="","",INDEX(Firms!$O$5:$O$1004,$T1616)),IF(INDEX('AFA Rates'!$O$5:$O$1004,$T1616)="","",INDEX('AFA Rates'!$O$5:$O$1004,$T1616))))</f>
        <v/>
      </c>
      <c r="G1616" s="50">
        <f>IF($T1616="","",IF($S1616="S",IF(INDEX(Firms!$F$5:$F$1004,$T1616)="","",INDEX(Firms!$F$5:$F$1004,$T1616)),IF(INDEX('AFA Rates'!$E$5:$E$1004,$T1616)="","",INDEX('AFA Rates'!$E$5:$E$1004,$T1616))))</f>
        <v/>
      </c>
      <c r="H1616" s="50">
        <f>IF($T1616="","",IF($S1616="S",IF(INDEX(Firms!$G$5:$G$1004,$T1616)="","",INDEX(Firms!$G$5:$G$1004,$T1616)),IF(INDEX('AFA Rates'!$F$5:$F$1004,$T1616)="","",INDEX('AFA Rates'!$F$5:$F$1004,$T1616))))</f>
        <v/>
      </c>
      <c r="I1616" s="50">
        <f>IF($T1616="","",IF($S1616="S",IF(INDEX(Firms!$H$5:$H$1004,$T1616)="","",INDEX(Firms!$H$5:$H$1004,$T1616)),IF(INDEX('AFA Rates'!$G$5:$G$1004,$T1616)="","",INDEX('AFA Rates'!$G$5:$G$1004,$T1616))))</f>
        <v/>
      </c>
      <c r="J1616" s="50">
        <f>IF($T1616="","",IF($S1616="S",IF(INDEX(Firms!$I$5:$I$1004,$T1616)="","",INDEX(Firms!$I$5:$I$1004,$T1616)),IF(INDEX('AFA Rates'!$H$5:$H$1004,$T1616)="","",INDEX('AFA Rates'!$H$5:$H$1004,$T1616))))</f>
        <v/>
      </c>
      <c r="K1616" s="50">
        <f>IF($T1616="","",IF($S1616="S",IF(INDEX(Firms!$J$5:$J$1004,$T1616)="","",INDEX(Firms!$J$5:$J$1004,$T1616)),IF(INDEX('AFA Rates'!$I$5:$I$1004,$T1616)="","",INDEX('AFA Rates'!$I$5:$I$1004,$T1616))))</f>
        <v/>
      </c>
      <c r="L1616" s="50">
        <f>IF($T1616="","",IF($S1616="S",IF(INDEX(Firms!$K$5:$K$1004,$T1616)="","",INDEX(Firms!$K$5:$K$1004,$T1616)),IF(INDEX('AFA Rates'!$J$5:$J$1004,$T1616)="","",INDEX('AFA Rates'!$J$5:$J$1004,$T1616))))</f>
        <v/>
      </c>
      <c r="M1616" s="50">
        <f>IF($T1616="","",IF($S1616="S",IF(INDEX(Firms!$L$5:$L$1004,$T1616)="","",INDEX(Firms!$L$5:$L$1004,$T1616)),IF(INDEX('AFA Rates'!$K$5:$K$1004,$T1616)="","",INDEX('AFA Rates'!$K$5:$K$1004,$T1616))))</f>
        <v/>
      </c>
      <c r="N1616" s="50">
        <f>IF($T1616="","",IF($S1616="S",IF(INDEX(Firms!$M$5:$M$1004,$T1616)="","",INDEX(Firms!$M$5:$M$1004,$T1616)),IF(INDEX('AFA Rates'!$L$5:$L$1004,$T1616)="","",INDEX('AFA Rates'!$L$5:$L$1004,$T1616))))</f>
        <v/>
      </c>
      <c r="O1616" s="78">
        <f>IF(OR($T1616="",$U1616=""),"",IF(INDEX(Firms!$C$5:$C$1004,$U1616)="","",INDEX(Firms!$C$5:$C$1004,$U1616)))</f>
        <v/>
      </c>
      <c r="P1616" s="79">
        <f>IF(OR($T1616="",$U1616=""),"",IF(INDEX(Firms!$N$5:$N$1004,$U1616)="","",INDEX(Firms!$N$5:$N$1004,$U1616)))</f>
        <v/>
      </c>
      <c r="Q1616" s="78">
        <f>IF($T1616="","",IF($S1616="S",IF(INDEX(Firms!$T$5:$T$1004,$T1616)="","",INDEX(Firms!$T$5:$T$1004,$T1616)),IF(INDEX('AFA Rates'!$M$5:$M$1004,$T1616)="","",INDEX('AFA Rates'!$M$5:$M$1004,$T1616))))</f>
        <v/>
      </c>
      <c r="S1616">
        <f>IF(1612&lt;=$S$2,"S",IF(1612&lt;=$S$2+$T$2,"A",""))</f>
        <v/>
      </c>
      <c r="T1616">
        <f>IF(S1616="S",MATCH(1612,Firms!$W$5:$W$1004,0),IF(S1616="A",IFERROR(MATCH(1612-$S$2,'AFA Rates'!$R$5:$R$1004,0),""),""))</f>
        <v/>
      </c>
      <c r="U1616">
        <f>IF(S1616="S",T1616,IF(AND(S1616="A",T1616&lt;&gt;""),IFERROR(MATCH(INDEX('AFA Rates'!$A$5:$A$1004,T1616),Firms!$A$5:$A$1004,0),""),""))</f>
        <v/>
      </c>
    </row>
    <row r="1617">
      <c r="A1617" s="78">
        <f>IF($T1617="","",IF($S1617="S",IF(INDEX(Firms!$A$5:$A$1004,$T1617)="","",INDEX(Firms!$A$5:$A$1004,$T1617)),IF(INDEX('AFA Rates'!$A$5:$A$1004,$T1617)="","",INDEX('AFA Rates'!$A$5:$A$1004,$T1617))))</f>
        <v/>
      </c>
      <c r="B1617" s="79">
        <f>IF(OR($T1617="",$U1617=""),IF($T1617="","","Not on Firms tab"),INDEX(Firms!$B$5:$B$1004,$U1617)&amp;"")</f>
        <v/>
      </c>
      <c r="C1617" s="78">
        <f>IF($T1617="","",IF($S1617="S","Standard",INDEX('AFA Rates'!$B$5:$B$1004,$T1617)&amp;""))</f>
        <v/>
      </c>
      <c r="D1617" s="88">
        <f>IF($T1617="","",IF($S1617="S",IF(INDEX(Firms!$E$5:$E$1004,$T1617)="","",INDEX(Firms!$E$5:$E$1004,$T1617)),IF(INDEX('AFA Rates'!$C$5:$C$1004,$T1617)="","",INDEX('AFA Rates'!$C$5:$C$1004,$T1617))))</f>
        <v/>
      </c>
      <c r="E1617" s="88">
        <f>IF($T1617="","",IF($S1617="S",IF(""="","",""),IF(INDEX('AFA Rates'!$D$5:$D$1004,$T1617)="","",INDEX('AFA Rates'!$D$5:$D$1004,$T1617))))</f>
        <v/>
      </c>
      <c r="F1617" s="79">
        <f>IF($T1617="","",IF($S1617="S",IF(INDEX(Firms!$O$5:$O$1004,$T1617)="","",INDEX(Firms!$O$5:$O$1004,$T1617)),IF(INDEX('AFA Rates'!$O$5:$O$1004,$T1617)="","",INDEX('AFA Rates'!$O$5:$O$1004,$T1617))))</f>
        <v/>
      </c>
      <c r="G1617" s="50">
        <f>IF($T1617="","",IF($S1617="S",IF(INDEX(Firms!$F$5:$F$1004,$T1617)="","",INDEX(Firms!$F$5:$F$1004,$T1617)),IF(INDEX('AFA Rates'!$E$5:$E$1004,$T1617)="","",INDEX('AFA Rates'!$E$5:$E$1004,$T1617))))</f>
        <v/>
      </c>
      <c r="H1617" s="50">
        <f>IF($T1617="","",IF($S1617="S",IF(INDEX(Firms!$G$5:$G$1004,$T1617)="","",INDEX(Firms!$G$5:$G$1004,$T1617)),IF(INDEX('AFA Rates'!$F$5:$F$1004,$T1617)="","",INDEX('AFA Rates'!$F$5:$F$1004,$T1617))))</f>
        <v/>
      </c>
      <c r="I1617" s="50">
        <f>IF($T1617="","",IF($S1617="S",IF(INDEX(Firms!$H$5:$H$1004,$T1617)="","",INDEX(Firms!$H$5:$H$1004,$T1617)),IF(INDEX('AFA Rates'!$G$5:$G$1004,$T1617)="","",INDEX('AFA Rates'!$G$5:$G$1004,$T1617))))</f>
        <v/>
      </c>
      <c r="J1617" s="50">
        <f>IF($T1617="","",IF($S1617="S",IF(INDEX(Firms!$I$5:$I$1004,$T1617)="","",INDEX(Firms!$I$5:$I$1004,$T1617)),IF(INDEX('AFA Rates'!$H$5:$H$1004,$T1617)="","",INDEX('AFA Rates'!$H$5:$H$1004,$T1617))))</f>
        <v/>
      </c>
      <c r="K1617" s="50">
        <f>IF($T1617="","",IF($S1617="S",IF(INDEX(Firms!$J$5:$J$1004,$T1617)="","",INDEX(Firms!$J$5:$J$1004,$T1617)),IF(INDEX('AFA Rates'!$I$5:$I$1004,$T1617)="","",INDEX('AFA Rates'!$I$5:$I$1004,$T1617))))</f>
        <v/>
      </c>
      <c r="L1617" s="50">
        <f>IF($T1617="","",IF($S1617="S",IF(INDEX(Firms!$K$5:$K$1004,$T1617)="","",INDEX(Firms!$K$5:$K$1004,$T1617)),IF(INDEX('AFA Rates'!$J$5:$J$1004,$T1617)="","",INDEX('AFA Rates'!$J$5:$J$1004,$T1617))))</f>
        <v/>
      </c>
      <c r="M1617" s="50">
        <f>IF($T1617="","",IF($S1617="S",IF(INDEX(Firms!$L$5:$L$1004,$T1617)="","",INDEX(Firms!$L$5:$L$1004,$T1617)),IF(INDEX('AFA Rates'!$K$5:$K$1004,$T1617)="","",INDEX('AFA Rates'!$K$5:$K$1004,$T1617))))</f>
        <v/>
      </c>
      <c r="N1617" s="50">
        <f>IF($T1617="","",IF($S1617="S",IF(INDEX(Firms!$M$5:$M$1004,$T1617)="","",INDEX(Firms!$M$5:$M$1004,$T1617)),IF(INDEX('AFA Rates'!$L$5:$L$1004,$T1617)="","",INDEX('AFA Rates'!$L$5:$L$1004,$T1617))))</f>
        <v/>
      </c>
      <c r="O1617" s="78">
        <f>IF(OR($T1617="",$U1617=""),"",IF(INDEX(Firms!$C$5:$C$1004,$U1617)="","",INDEX(Firms!$C$5:$C$1004,$U1617)))</f>
        <v/>
      </c>
      <c r="P1617" s="79">
        <f>IF(OR($T1617="",$U1617=""),"",IF(INDEX(Firms!$N$5:$N$1004,$U1617)="","",INDEX(Firms!$N$5:$N$1004,$U1617)))</f>
        <v/>
      </c>
      <c r="Q1617" s="78">
        <f>IF($T1617="","",IF($S1617="S",IF(INDEX(Firms!$T$5:$T$1004,$T1617)="","",INDEX(Firms!$T$5:$T$1004,$T1617)),IF(INDEX('AFA Rates'!$M$5:$M$1004,$T1617)="","",INDEX('AFA Rates'!$M$5:$M$1004,$T1617))))</f>
        <v/>
      </c>
      <c r="S1617">
        <f>IF(1613&lt;=$S$2,"S",IF(1613&lt;=$S$2+$T$2,"A",""))</f>
        <v/>
      </c>
      <c r="T1617">
        <f>IF(S1617="S",MATCH(1613,Firms!$W$5:$W$1004,0),IF(S1617="A",IFERROR(MATCH(1613-$S$2,'AFA Rates'!$R$5:$R$1004,0),""),""))</f>
        <v/>
      </c>
      <c r="U1617">
        <f>IF(S1617="S",T1617,IF(AND(S1617="A",T1617&lt;&gt;""),IFERROR(MATCH(INDEX('AFA Rates'!$A$5:$A$1004,T1617),Firms!$A$5:$A$1004,0),""),""))</f>
        <v/>
      </c>
    </row>
    <row r="1618">
      <c r="A1618" s="78">
        <f>IF($T1618="","",IF($S1618="S",IF(INDEX(Firms!$A$5:$A$1004,$T1618)="","",INDEX(Firms!$A$5:$A$1004,$T1618)),IF(INDEX('AFA Rates'!$A$5:$A$1004,$T1618)="","",INDEX('AFA Rates'!$A$5:$A$1004,$T1618))))</f>
        <v/>
      </c>
      <c r="B1618" s="79">
        <f>IF(OR($T1618="",$U1618=""),IF($T1618="","","Not on Firms tab"),INDEX(Firms!$B$5:$B$1004,$U1618)&amp;"")</f>
        <v/>
      </c>
      <c r="C1618" s="78">
        <f>IF($T1618="","",IF($S1618="S","Standard",INDEX('AFA Rates'!$B$5:$B$1004,$T1618)&amp;""))</f>
        <v/>
      </c>
      <c r="D1618" s="88">
        <f>IF($T1618="","",IF($S1618="S",IF(INDEX(Firms!$E$5:$E$1004,$T1618)="","",INDEX(Firms!$E$5:$E$1004,$T1618)),IF(INDEX('AFA Rates'!$C$5:$C$1004,$T1618)="","",INDEX('AFA Rates'!$C$5:$C$1004,$T1618))))</f>
        <v/>
      </c>
      <c r="E1618" s="88">
        <f>IF($T1618="","",IF($S1618="S",IF(""="","",""),IF(INDEX('AFA Rates'!$D$5:$D$1004,$T1618)="","",INDEX('AFA Rates'!$D$5:$D$1004,$T1618))))</f>
        <v/>
      </c>
      <c r="F1618" s="79">
        <f>IF($T1618="","",IF($S1618="S",IF(INDEX(Firms!$O$5:$O$1004,$T1618)="","",INDEX(Firms!$O$5:$O$1004,$T1618)),IF(INDEX('AFA Rates'!$O$5:$O$1004,$T1618)="","",INDEX('AFA Rates'!$O$5:$O$1004,$T1618))))</f>
        <v/>
      </c>
      <c r="G1618" s="50">
        <f>IF($T1618="","",IF($S1618="S",IF(INDEX(Firms!$F$5:$F$1004,$T1618)="","",INDEX(Firms!$F$5:$F$1004,$T1618)),IF(INDEX('AFA Rates'!$E$5:$E$1004,$T1618)="","",INDEX('AFA Rates'!$E$5:$E$1004,$T1618))))</f>
        <v/>
      </c>
      <c r="H1618" s="50">
        <f>IF($T1618="","",IF($S1618="S",IF(INDEX(Firms!$G$5:$G$1004,$T1618)="","",INDEX(Firms!$G$5:$G$1004,$T1618)),IF(INDEX('AFA Rates'!$F$5:$F$1004,$T1618)="","",INDEX('AFA Rates'!$F$5:$F$1004,$T1618))))</f>
        <v/>
      </c>
      <c r="I1618" s="50">
        <f>IF($T1618="","",IF($S1618="S",IF(INDEX(Firms!$H$5:$H$1004,$T1618)="","",INDEX(Firms!$H$5:$H$1004,$T1618)),IF(INDEX('AFA Rates'!$G$5:$G$1004,$T1618)="","",INDEX('AFA Rates'!$G$5:$G$1004,$T1618))))</f>
        <v/>
      </c>
      <c r="J1618" s="50">
        <f>IF($T1618="","",IF($S1618="S",IF(INDEX(Firms!$I$5:$I$1004,$T1618)="","",INDEX(Firms!$I$5:$I$1004,$T1618)),IF(INDEX('AFA Rates'!$H$5:$H$1004,$T1618)="","",INDEX('AFA Rates'!$H$5:$H$1004,$T1618))))</f>
        <v/>
      </c>
      <c r="K1618" s="50">
        <f>IF($T1618="","",IF($S1618="S",IF(INDEX(Firms!$J$5:$J$1004,$T1618)="","",INDEX(Firms!$J$5:$J$1004,$T1618)),IF(INDEX('AFA Rates'!$I$5:$I$1004,$T1618)="","",INDEX('AFA Rates'!$I$5:$I$1004,$T1618))))</f>
        <v/>
      </c>
      <c r="L1618" s="50">
        <f>IF($T1618="","",IF($S1618="S",IF(INDEX(Firms!$K$5:$K$1004,$T1618)="","",INDEX(Firms!$K$5:$K$1004,$T1618)),IF(INDEX('AFA Rates'!$J$5:$J$1004,$T1618)="","",INDEX('AFA Rates'!$J$5:$J$1004,$T1618))))</f>
        <v/>
      </c>
      <c r="M1618" s="50">
        <f>IF($T1618="","",IF($S1618="S",IF(INDEX(Firms!$L$5:$L$1004,$T1618)="","",INDEX(Firms!$L$5:$L$1004,$T1618)),IF(INDEX('AFA Rates'!$K$5:$K$1004,$T1618)="","",INDEX('AFA Rates'!$K$5:$K$1004,$T1618))))</f>
        <v/>
      </c>
      <c r="N1618" s="50">
        <f>IF($T1618="","",IF($S1618="S",IF(INDEX(Firms!$M$5:$M$1004,$T1618)="","",INDEX(Firms!$M$5:$M$1004,$T1618)),IF(INDEX('AFA Rates'!$L$5:$L$1004,$T1618)="","",INDEX('AFA Rates'!$L$5:$L$1004,$T1618))))</f>
        <v/>
      </c>
      <c r="O1618" s="78">
        <f>IF(OR($T1618="",$U1618=""),"",IF(INDEX(Firms!$C$5:$C$1004,$U1618)="","",INDEX(Firms!$C$5:$C$1004,$U1618)))</f>
        <v/>
      </c>
      <c r="P1618" s="79">
        <f>IF(OR($T1618="",$U1618=""),"",IF(INDEX(Firms!$N$5:$N$1004,$U1618)="","",INDEX(Firms!$N$5:$N$1004,$U1618)))</f>
        <v/>
      </c>
      <c r="Q1618" s="78">
        <f>IF($T1618="","",IF($S1618="S",IF(INDEX(Firms!$T$5:$T$1004,$T1618)="","",INDEX(Firms!$T$5:$T$1004,$T1618)),IF(INDEX('AFA Rates'!$M$5:$M$1004,$T1618)="","",INDEX('AFA Rates'!$M$5:$M$1004,$T1618))))</f>
        <v/>
      </c>
      <c r="S1618">
        <f>IF(1614&lt;=$S$2,"S",IF(1614&lt;=$S$2+$T$2,"A",""))</f>
        <v/>
      </c>
      <c r="T1618">
        <f>IF(S1618="S",MATCH(1614,Firms!$W$5:$W$1004,0),IF(S1618="A",IFERROR(MATCH(1614-$S$2,'AFA Rates'!$R$5:$R$1004,0),""),""))</f>
        <v/>
      </c>
      <c r="U1618">
        <f>IF(S1618="S",T1618,IF(AND(S1618="A",T1618&lt;&gt;""),IFERROR(MATCH(INDEX('AFA Rates'!$A$5:$A$1004,T1618),Firms!$A$5:$A$1004,0),""),""))</f>
        <v/>
      </c>
    </row>
    <row r="1619">
      <c r="A1619" s="78">
        <f>IF($T1619="","",IF($S1619="S",IF(INDEX(Firms!$A$5:$A$1004,$T1619)="","",INDEX(Firms!$A$5:$A$1004,$T1619)),IF(INDEX('AFA Rates'!$A$5:$A$1004,$T1619)="","",INDEX('AFA Rates'!$A$5:$A$1004,$T1619))))</f>
        <v/>
      </c>
      <c r="B1619" s="79">
        <f>IF(OR($T1619="",$U1619=""),IF($T1619="","","Not on Firms tab"),INDEX(Firms!$B$5:$B$1004,$U1619)&amp;"")</f>
        <v/>
      </c>
      <c r="C1619" s="78">
        <f>IF($T1619="","",IF($S1619="S","Standard",INDEX('AFA Rates'!$B$5:$B$1004,$T1619)&amp;""))</f>
        <v/>
      </c>
      <c r="D1619" s="88">
        <f>IF($T1619="","",IF($S1619="S",IF(INDEX(Firms!$E$5:$E$1004,$T1619)="","",INDEX(Firms!$E$5:$E$1004,$T1619)),IF(INDEX('AFA Rates'!$C$5:$C$1004,$T1619)="","",INDEX('AFA Rates'!$C$5:$C$1004,$T1619))))</f>
        <v/>
      </c>
      <c r="E1619" s="88">
        <f>IF($T1619="","",IF($S1619="S",IF(""="","",""),IF(INDEX('AFA Rates'!$D$5:$D$1004,$T1619)="","",INDEX('AFA Rates'!$D$5:$D$1004,$T1619))))</f>
        <v/>
      </c>
      <c r="F1619" s="79">
        <f>IF($T1619="","",IF($S1619="S",IF(INDEX(Firms!$O$5:$O$1004,$T1619)="","",INDEX(Firms!$O$5:$O$1004,$T1619)),IF(INDEX('AFA Rates'!$O$5:$O$1004,$T1619)="","",INDEX('AFA Rates'!$O$5:$O$1004,$T1619))))</f>
        <v/>
      </c>
      <c r="G1619" s="50">
        <f>IF($T1619="","",IF($S1619="S",IF(INDEX(Firms!$F$5:$F$1004,$T1619)="","",INDEX(Firms!$F$5:$F$1004,$T1619)),IF(INDEX('AFA Rates'!$E$5:$E$1004,$T1619)="","",INDEX('AFA Rates'!$E$5:$E$1004,$T1619))))</f>
        <v/>
      </c>
      <c r="H1619" s="50">
        <f>IF($T1619="","",IF($S1619="S",IF(INDEX(Firms!$G$5:$G$1004,$T1619)="","",INDEX(Firms!$G$5:$G$1004,$T1619)),IF(INDEX('AFA Rates'!$F$5:$F$1004,$T1619)="","",INDEX('AFA Rates'!$F$5:$F$1004,$T1619))))</f>
        <v/>
      </c>
      <c r="I1619" s="50">
        <f>IF($T1619="","",IF($S1619="S",IF(INDEX(Firms!$H$5:$H$1004,$T1619)="","",INDEX(Firms!$H$5:$H$1004,$T1619)),IF(INDEX('AFA Rates'!$G$5:$G$1004,$T1619)="","",INDEX('AFA Rates'!$G$5:$G$1004,$T1619))))</f>
        <v/>
      </c>
      <c r="J1619" s="50">
        <f>IF($T1619="","",IF($S1619="S",IF(INDEX(Firms!$I$5:$I$1004,$T1619)="","",INDEX(Firms!$I$5:$I$1004,$T1619)),IF(INDEX('AFA Rates'!$H$5:$H$1004,$T1619)="","",INDEX('AFA Rates'!$H$5:$H$1004,$T1619))))</f>
        <v/>
      </c>
      <c r="K1619" s="50">
        <f>IF($T1619="","",IF($S1619="S",IF(INDEX(Firms!$J$5:$J$1004,$T1619)="","",INDEX(Firms!$J$5:$J$1004,$T1619)),IF(INDEX('AFA Rates'!$I$5:$I$1004,$T1619)="","",INDEX('AFA Rates'!$I$5:$I$1004,$T1619))))</f>
        <v/>
      </c>
      <c r="L1619" s="50">
        <f>IF($T1619="","",IF($S1619="S",IF(INDEX(Firms!$K$5:$K$1004,$T1619)="","",INDEX(Firms!$K$5:$K$1004,$T1619)),IF(INDEX('AFA Rates'!$J$5:$J$1004,$T1619)="","",INDEX('AFA Rates'!$J$5:$J$1004,$T1619))))</f>
        <v/>
      </c>
      <c r="M1619" s="50">
        <f>IF($T1619="","",IF($S1619="S",IF(INDEX(Firms!$L$5:$L$1004,$T1619)="","",INDEX(Firms!$L$5:$L$1004,$T1619)),IF(INDEX('AFA Rates'!$K$5:$K$1004,$T1619)="","",INDEX('AFA Rates'!$K$5:$K$1004,$T1619))))</f>
        <v/>
      </c>
      <c r="N1619" s="50">
        <f>IF($T1619="","",IF($S1619="S",IF(INDEX(Firms!$M$5:$M$1004,$T1619)="","",INDEX(Firms!$M$5:$M$1004,$T1619)),IF(INDEX('AFA Rates'!$L$5:$L$1004,$T1619)="","",INDEX('AFA Rates'!$L$5:$L$1004,$T1619))))</f>
        <v/>
      </c>
      <c r="O1619" s="78">
        <f>IF(OR($T1619="",$U1619=""),"",IF(INDEX(Firms!$C$5:$C$1004,$U1619)="","",INDEX(Firms!$C$5:$C$1004,$U1619)))</f>
        <v/>
      </c>
      <c r="P1619" s="79">
        <f>IF(OR($T1619="",$U1619=""),"",IF(INDEX(Firms!$N$5:$N$1004,$U1619)="","",INDEX(Firms!$N$5:$N$1004,$U1619)))</f>
        <v/>
      </c>
      <c r="Q1619" s="78">
        <f>IF($T1619="","",IF($S1619="S",IF(INDEX(Firms!$T$5:$T$1004,$T1619)="","",INDEX(Firms!$T$5:$T$1004,$T1619)),IF(INDEX('AFA Rates'!$M$5:$M$1004,$T1619)="","",INDEX('AFA Rates'!$M$5:$M$1004,$T1619))))</f>
        <v/>
      </c>
      <c r="S1619">
        <f>IF(1615&lt;=$S$2,"S",IF(1615&lt;=$S$2+$T$2,"A",""))</f>
        <v/>
      </c>
      <c r="T1619">
        <f>IF(S1619="S",MATCH(1615,Firms!$W$5:$W$1004,0),IF(S1619="A",IFERROR(MATCH(1615-$S$2,'AFA Rates'!$R$5:$R$1004,0),""),""))</f>
        <v/>
      </c>
      <c r="U1619">
        <f>IF(S1619="S",T1619,IF(AND(S1619="A",T1619&lt;&gt;""),IFERROR(MATCH(INDEX('AFA Rates'!$A$5:$A$1004,T1619),Firms!$A$5:$A$1004,0),""),""))</f>
        <v/>
      </c>
    </row>
    <row r="1620">
      <c r="A1620" s="78">
        <f>IF($T1620="","",IF($S1620="S",IF(INDEX(Firms!$A$5:$A$1004,$T1620)="","",INDEX(Firms!$A$5:$A$1004,$T1620)),IF(INDEX('AFA Rates'!$A$5:$A$1004,$T1620)="","",INDEX('AFA Rates'!$A$5:$A$1004,$T1620))))</f>
        <v/>
      </c>
      <c r="B1620" s="79">
        <f>IF(OR($T1620="",$U1620=""),IF($T1620="","","Not on Firms tab"),INDEX(Firms!$B$5:$B$1004,$U1620)&amp;"")</f>
        <v/>
      </c>
      <c r="C1620" s="78">
        <f>IF($T1620="","",IF($S1620="S","Standard",INDEX('AFA Rates'!$B$5:$B$1004,$T1620)&amp;""))</f>
        <v/>
      </c>
      <c r="D1620" s="88">
        <f>IF($T1620="","",IF($S1620="S",IF(INDEX(Firms!$E$5:$E$1004,$T1620)="","",INDEX(Firms!$E$5:$E$1004,$T1620)),IF(INDEX('AFA Rates'!$C$5:$C$1004,$T1620)="","",INDEX('AFA Rates'!$C$5:$C$1004,$T1620))))</f>
        <v/>
      </c>
      <c r="E1620" s="88">
        <f>IF($T1620="","",IF($S1620="S",IF(""="","",""),IF(INDEX('AFA Rates'!$D$5:$D$1004,$T1620)="","",INDEX('AFA Rates'!$D$5:$D$1004,$T1620))))</f>
        <v/>
      </c>
      <c r="F1620" s="79">
        <f>IF($T1620="","",IF($S1620="S",IF(INDEX(Firms!$O$5:$O$1004,$T1620)="","",INDEX(Firms!$O$5:$O$1004,$T1620)),IF(INDEX('AFA Rates'!$O$5:$O$1004,$T1620)="","",INDEX('AFA Rates'!$O$5:$O$1004,$T1620))))</f>
        <v/>
      </c>
      <c r="G1620" s="50">
        <f>IF($T1620="","",IF($S1620="S",IF(INDEX(Firms!$F$5:$F$1004,$T1620)="","",INDEX(Firms!$F$5:$F$1004,$T1620)),IF(INDEX('AFA Rates'!$E$5:$E$1004,$T1620)="","",INDEX('AFA Rates'!$E$5:$E$1004,$T1620))))</f>
        <v/>
      </c>
      <c r="H1620" s="50">
        <f>IF($T1620="","",IF($S1620="S",IF(INDEX(Firms!$G$5:$G$1004,$T1620)="","",INDEX(Firms!$G$5:$G$1004,$T1620)),IF(INDEX('AFA Rates'!$F$5:$F$1004,$T1620)="","",INDEX('AFA Rates'!$F$5:$F$1004,$T1620))))</f>
        <v/>
      </c>
      <c r="I1620" s="50">
        <f>IF($T1620="","",IF($S1620="S",IF(INDEX(Firms!$H$5:$H$1004,$T1620)="","",INDEX(Firms!$H$5:$H$1004,$T1620)),IF(INDEX('AFA Rates'!$G$5:$G$1004,$T1620)="","",INDEX('AFA Rates'!$G$5:$G$1004,$T1620))))</f>
        <v/>
      </c>
      <c r="J1620" s="50">
        <f>IF($T1620="","",IF($S1620="S",IF(INDEX(Firms!$I$5:$I$1004,$T1620)="","",INDEX(Firms!$I$5:$I$1004,$T1620)),IF(INDEX('AFA Rates'!$H$5:$H$1004,$T1620)="","",INDEX('AFA Rates'!$H$5:$H$1004,$T1620))))</f>
        <v/>
      </c>
      <c r="K1620" s="50">
        <f>IF($T1620="","",IF($S1620="S",IF(INDEX(Firms!$J$5:$J$1004,$T1620)="","",INDEX(Firms!$J$5:$J$1004,$T1620)),IF(INDEX('AFA Rates'!$I$5:$I$1004,$T1620)="","",INDEX('AFA Rates'!$I$5:$I$1004,$T1620))))</f>
        <v/>
      </c>
      <c r="L1620" s="50">
        <f>IF($T1620="","",IF($S1620="S",IF(INDEX(Firms!$K$5:$K$1004,$T1620)="","",INDEX(Firms!$K$5:$K$1004,$T1620)),IF(INDEX('AFA Rates'!$J$5:$J$1004,$T1620)="","",INDEX('AFA Rates'!$J$5:$J$1004,$T1620))))</f>
        <v/>
      </c>
      <c r="M1620" s="50">
        <f>IF($T1620="","",IF($S1620="S",IF(INDEX(Firms!$L$5:$L$1004,$T1620)="","",INDEX(Firms!$L$5:$L$1004,$T1620)),IF(INDEX('AFA Rates'!$K$5:$K$1004,$T1620)="","",INDEX('AFA Rates'!$K$5:$K$1004,$T1620))))</f>
        <v/>
      </c>
      <c r="N1620" s="50">
        <f>IF($T1620="","",IF($S1620="S",IF(INDEX(Firms!$M$5:$M$1004,$T1620)="","",INDEX(Firms!$M$5:$M$1004,$T1620)),IF(INDEX('AFA Rates'!$L$5:$L$1004,$T1620)="","",INDEX('AFA Rates'!$L$5:$L$1004,$T1620))))</f>
        <v/>
      </c>
      <c r="O1620" s="78">
        <f>IF(OR($T1620="",$U1620=""),"",IF(INDEX(Firms!$C$5:$C$1004,$U1620)="","",INDEX(Firms!$C$5:$C$1004,$U1620)))</f>
        <v/>
      </c>
      <c r="P1620" s="79">
        <f>IF(OR($T1620="",$U1620=""),"",IF(INDEX(Firms!$N$5:$N$1004,$U1620)="","",INDEX(Firms!$N$5:$N$1004,$U1620)))</f>
        <v/>
      </c>
      <c r="Q1620" s="78">
        <f>IF($T1620="","",IF($S1620="S",IF(INDEX(Firms!$T$5:$T$1004,$T1620)="","",INDEX(Firms!$T$5:$T$1004,$T1620)),IF(INDEX('AFA Rates'!$M$5:$M$1004,$T1620)="","",INDEX('AFA Rates'!$M$5:$M$1004,$T1620))))</f>
        <v/>
      </c>
      <c r="S1620">
        <f>IF(1616&lt;=$S$2,"S",IF(1616&lt;=$S$2+$T$2,"A",""))</f>
        <v/>
      </c>
      <c r="T1620">
        <f>IF(S1620="S",MATCH(1616,Firms!$W$5:$W$1004,0),IF(S1620="A",IFERROR(MATCH(1616-$S$2,'AFA Rates'!$R$5:$R$1004,0),""),""))</f>
        <v/>
      </c>
      <c r="U1620">
        <f>IF(S1620="S",T1620,IF(AND(S1620="A",T1620&lt;&gt;""),IFERROR(MATCH(INDEX('AFA Rates'!$A$5:$A$1004,T1620),Firms!$A$5:$A$1004,0),""),""))</f>
        <v/>
      </c>
    </row>
    <row r="1621">
      <c r="A1621" s="78">
        <f>IF($T1621="","",IF($S1621="S",IF(INDEX(Firms!$A$5:$A$1004,$T1621)="","",INDEX(Firms!$A$5:$A$1004,$T1621)),IF(INDEX('AFA Rates'!$A$5:$A$1004,$T1621)="","",INDEX('AFA Rates'!$A$5:$A$1004,$T1621))))</f>
        <v/>
      </c>
      <c r="B1621" s="79">
        <f>IF(OR($T1621="",$U1621=""),IF($T1621="","","Not on Firms tab"),INDEX(Firms!$B$5:$B$1004,$U1621)&amp;"")</f>
        <v/>
      </c>
      <c r="C1621" s="78">
        <f>IF($T1621="","",IF($S1621="S","Standard",INDEX('AFA Rates'!$B$5:$B$1004,$T1621)&amp;""))</f>
        <v/>
      </c>
      <c r="D1621" s="88">
        <f>IF($T1621="","",IF($S1621="S",IF(INDEX(Firms!$E$5:$E$1004,$T1621)="","",INDEX(Firms!$E$5:$E$1004,$T1621)),IF(INDEX('AFA Rates'!$C$5:$C$1004,$T1621)="","",INDEX('AFA Rates'!$C$5:$C$1004,$T1621))))</f>
        <v/>
      </c>
      <c r="E1621" s="88">
        <f>IF($T1621="","",IF($S1621="S",IF(""="","",""),IF(INDEX('AFA Rates'!$D$5:$D$1004,$T1621)="","",INDEX('AFA Rates'!$D$5:$D$1004,$T1621))))</f>
        <v/>
      </c>
      <c r="F1621" s="79">
        <f>IF($T1621="","",IF($S1621="S",IF(INDEX(Firms!$O$5:$O$1004,$T1621)="","",INDEX(Firms!$O$5:$O$1004,$T1621)),IF(INDEX('AFA Rates'!$O$5:$O$1004,$T1621)="","",INDEX('AFA Rates'!$O$5:$O$1004,$T1621))))</f>
        <v/>
      </c>
      <c r="G1621" s="50">
        <f>IF($T1621="","",IF($S1621="S",IF(INDEX(Firms!$F$5:$F$1004,$T1621)="","",INDEX(Firms!$F$5:$F$1004,$T1621)),IF(INDEX('AFA Rates'!$E$5:$E$1004,$T1621)="","",INDEX('AFA Rates'!$E$5:$E$1004,$T1621))))</f>
        <v/>
      </c>
      <c r="H1621" s="50">
        <f>IF($T1621="","",IF($S1621="S",IF(INDEX(Firms!$G$5:$G$1004,$T1621)="","",INDEX(Firms!$G$5:$G$1004,$T1621)),IF(INDEX('AFA Rates'!$F$5:$F$1004,$T1621)="","",INDEX('AFA Rates'!$F$5:$F$1004,$T1621))))</f>
        <v/>
      </c>
      <c r="I1621" s="50">
        <f>IF($T1621="","",IF($S1621="S",IF(INDEX(Firms!$H$5:$H$1004,$T1621)="","",INDEX(Firms!$H$5:$H$1004,$T1621)),IF(INDEX('AFA Rates'!$G$5:$G$1004,$T1621)="","",INDEX('AFA Rates'!$G$5:$G$1004,$T1621))))</f>
        <v/>
      </c>
      <c r="J1621" s="50">
        <f>IF($T1621="","",IF($S1621="S",IF(INDEX(Firms!$I$5:$I$1004,$T1621)="","",INDEX(Firms!$I$5:$I$1004,$T1621)),IF(INDEX('AFA Rates'!$H$5:$H$1004,$T1621)="","",INDEX('AFA Rates'!$H$5:$H$1004,$T1621))))</f>
        <v/>
      </c>
      <c r="K1621" s="50">
        <f>IF($T1621="","",IF($S1621="S",IF(INDEX(Firms!$J$5:$J$1004,$T1621)="","",INDEX(Firms!$J$5:$J$1004,$T1621)),IF(INDEX('AFA Rates'!$I$5:$I$1004,$T1621)="","",INDEX('AFA Rates'!$I$5:$I$1004,$T1621))))</f>
        <v/>
      </c>
      <c r="L1621" s="50">
        <f>IF($T1621="","",IF($S1621="S",IF(INDEX(Firms!$K$5:$K$1004,$T1621)="","",INDEX(Firms!$K$5:$K$1004,$T1621)),IF(INDEX('AFA Rates'!$J$5:$J$1004,$T1621)="","",INDEX('AFA Rates'!$J$5:$J$1004,$T1621))))</f>
        <v/>
      </c>
      <c r="M1621" s="50">
        <f>IF($T1621="","",IF($S1621="S",IF(INDEX(Firms!$L$5:$L$1004,$T1621)="","",INDEX(Firms!$L$5:$L$1004,$T1621)),IF(INDEX('AFA Rates'!$K$5:$K$1004,$T1621)="","",INDEX('AFA Rates'!$K$5:$K$1004,$T1621))))</f>
        <v/>
      </c>
      <c r="N1621" s="50">
        <f>IF($T1621="","",IF($S1621="S",IF(INDEX(Firms!$M$5:$M$1004,$T1621)="","",INDEX(Firms!$M$5:$M$1004,$T1621)),IF(INDEX('AFA Rates'!$L$5:$L$1004,$T1621)="","",INDEX('AFA Rates'!$L$5:$L$1004,$T1621))))</f>
        <v/>
      </c>
      <c r="O1621" s="78">
        <f>IF(OR($T1621="",$U1621=""),"",IF(INDEX(Firms!$C$5:$C$1004,$U1621)="","",INDEX(Firms!$C$5:$C$1004,$U1621)))</f>
        <v/>
      </c>
      <c r="P1621" s="79">
        <f>IF(OR($T1621="",$U1621=""),"",IF(INDEX(Firms!$N$5:$N$1004,$U1621)="","",INDEX(Firms!$N$5:$N$1004,$U1621)))</f>
        <v/>
      </c>
      <c r="Q1621" s="78">
        <f>IF($T1621="","",IF($S1621="S",IF(INDEX(Firms!$T$5:$T$1004,$T1621)="","",INDEX(Firms!$T$5:$T$1004,$T1621)),IF(INDEX('AFA Rates'!$M$5:$M$1004,$T1621)="","",INDEX('AFA Rates'!$M$5:$M$1004,$T1621))))</f>
        <v/>
      </c>
      <c r="S1621">
        <f>IF(1617&lt;=$S$2,"S",IF(1617&lt;=$S$2+$T$2,"A",""))</f>
        <v/>
      </c>
      <c r="T1621">
        <f>IF(S1621="S",MATCH(1617,Firms!$W$5:$W$1004,0),IF(S1621="A",IFERROR(MATCH(1617-$S$2,'AFA Rates'!$R$5:$R$1004,0),""),""))</f>
        <v/>
      </c>
      <c r="U1621">
        <f>IF(S1621="S",T1621,IF(AND(S1621="A",T1621&lt;&gt;""),IFERROR(MATCH(INDEX('AFA Rates'!$A$5:$A$1004,T1621),Firms!$A$5:$A$1004,0),""),""))</f>
        <v/>
      </c>
    </row>
    <row r="1622">
      <c r="A1622" s="78">
        <f>IF($T1622="","",IF($S1622="S",IF(INDEX(Firms!$A$5:$A$1004,$T1622)="","",INDEX(Firms!$A$5:$A$1004,$T1622)),IF(INDEX('AFA Rates'!$A$5:$A$1004,$T1622)="","",INDEX('AFA Rates'!$A$5:$A$1004,$T1622))))</f>
        <v/>
      </c>
      <c r="B1622" s="79">
        <f>IF(OR($T1622="",$U1622=""),IF($T1622="","","Not on Firms tab"),INDEX(Firms!$B$5:$B$1004,$U1622)&amp;"")</f>
        <v/>
      </c>
      <c r="C1622" s="78">
        <f>IF($T1622="","",IF($S1622="S","Standard",INDEX('AFA Rates'!$B$5:$B$1004,$T1622)&amp;""))</f>
        <v/>
      </c>
      <c r="D1622" s="88">
        <f>IF($T1622="","",IF($S1622="S",IF(INDEX(Firms!$E$5:$E$1004,$T1622)="","",INDEX(Firms!$E$5:$E$1004,$T1622)),IF(INDEX('AFA Rates'!$C$5:$C$1004,$T1622)="","",INDEX('AFA Rates'!$C$5:$C$1004,$T1622))))</f>
        <v/>
      </c>
      <c r="E1622" s="88">
        <f>IF($T1622="","",IF($S1622="S",IF(""="","",""),IF(INDEX('AFA Rates'!$D$5:$D$1004,$T1622)="","",INDEX('AFA Rates'!$D$5:$D$1004,$T1622))))</f>
        <v/>
      </c>
      <c r="F1622" s="79">
        <f>IF($T1622="","",IF($S1622="S",IF(INDEX(Firms!$O$5:$O$1004,$T1622)="","",INDEX(Firms!$O$5:$O$1004,$T1622)),IF(INDEX('AFA Rates'!$O$5:$O$1004,$T1622)="","",INDEX('AFA Rates'!$O$5:$O$1004,$T1622))))</f>
        <v/>
      </c>
      <c r="G1622" s="50">
        <f>IF($T1622="","",IF($S1622="S",IF(INDEX(Firms!$F$5:$F$1004,$T1622)="","",INDEX(Firms!$F$5:$F$1004,$T1622)),IF(INDEX('AFA Rates'!$E$5:$E$1004,$T1622)="","",INDEX('AFA Rates'!$E$5:$E$1004,$T1622))))</f>
        <v/>
      </c>
      <c r="H1622" s="50">
        <f>IF($T1622="","",IF($S1622="S",IF(INDEX(Firms!$G$5:$G$1004,$T1622)="","",INDEX(Firms!$G$5:$G$1004,$T1622)),IF(INDEX('AFA Rates'!$F$5:$F$1004,$T1622)="","",INDEX('AFA Rates'!$F$5:$F$1004,$T1622))))</f>
        <v/>
      </c>
      <c r="I1622" s="50">
        <f>IF($T1622="","",IF($S1622="S",IF(INDEX(Firms!$H$5:$H$1004,$T1622)="","",INDEX(Firms!$H$5:$H$1004,$T1622)),IF(INDEX('AFA Rates'!$G$5:$G$1004,$T1622)="","",INDEX('AFA Rates'!$G$5:$G$1004,$T1622))))</f>
        <v/>
      </c>
      <c r="J1622" s="50">
        <f>IF($T1622="","",IF($S1622="S",IF(INDEX(Firms!$I$5:$I$1004,$T1622)="","",INDEX(Firms!$I$5:$I$1004,$T1622)),IF(INDEX('AFA Rates'!$H$5:$H$1004,$T1622)="","",INDEX('AFA Rates'!$H$5:$H$1004,$T1622))))</f>
        <v/>
      </c>
      <c r="K1622" s="50">
        <f>IF($T1622="","",IF($S1622="S",IF(INDEX(Firms!$J$5:$J$1004,$T1622)="","",INDEX(Firms!$J$5:$J$1004,$T1622)),IF(INDEX('AFA Rates'!$I$5:$I$1004,$T1622)="","",INDEX('AFA Rates'!$I$5:$I$1004,$T1622))))</f>
        <v/>
      </c>
      <c r="L1622" s="50">
        <f>IF($T1622="","",IF($S1622="S",IF(INDEX(Firms!$K$5:$K$1004,$T1622)="","",INDEX(Firms!$K$5:$K$1004,$T1622)),IF(INDEX('AFA Rates'!$J$5:$J$1004,$T1622)="","",INDEX('AFA Rates'!$J$5:$J$1004,$T1622))))</f>
        <v/>
      </c>
      <c r="M1622" s="50">
        <f>IF($T1622="","",IF($S1622="S",IF(INDEX(Firms!$L$5:$L$1004,$T1622)="","",INDEX(Firms!$L$5:$L$1004,$T1622)),IF(INDEX('AFA Rates'!$K$5:$K$1004,$T1622)="","",INDEX('AFA Rates'!$K$5:$K$1004,$T1622))))</f>
        <v/>
      </c>
      <c r="N1622" s="50">
        <f>IF($T1622="","",IF($S1622="S",IF(INDEX(Firms!$M$5:$M$1004,$T1622)="","",INDEX(Firms!$M$5:$M$1004,$T1622)),IF(INDEX('AFA Rates'!$L$5:$L$1004,$T1622)="","",INDEX('AFA Rates'!$L$5:$L$1004,$T1622))))</f>
        <v/>
      </c>
      <c r="O1622" s="78">
        <f>IF(OR($T1622="",$U1622=""),"",IF(INDEX(Firms!$C$5:$C$1004,$U1622)="","",INDEX(Firms!$C$5:$C$1004,$U1622)))</f>
        <v/>
      </c>
      <c r="P1622" s="79">
        <f>IF(OR($T1622="",$U1622=""),"",IF(INDEX(Firms!$N$5:$N$1004,$U1622)="","",INDEX(Firms!$N$5:$N$1004,$U1622)))</f>
        <v/>
      </c>
      <c r="Q1622" s="78">
        <f>IF($T1622="","",IF($S1622="S",IF(INDEX(Firms!$T$5:$T$1004,$T1622)="","",INDEX(Firms!$T$5:$T$1004,$T1622)),IF(INDEX('AFA Rates'!$M$5:$M$1004,$T1622)="","",INDEX('AFA Rates'!$M$5:$M$1004,$T1622))))</f>
        <v/>
      </c>
      <c r="S1622">
        <f>IF(1618&lt;=$S$2,"S",IF(1618&lt;=$S$2+$T$2,"A",""))</f>
        <v/>
      </c>
      <c r="T1622">
        <f>IF(S1622="S",MATCH(1618,Firms!$W$5:$W$1004,0),IF(S1622="A",IFERROR(MATCH(1618-$S$2,'AFA Rates'!$R$5:$R$1004,0),""),""))</f>
        <v/>
      </c>
      <c r="U1622">
        <f>IF(S1622="S",T1622,IF(AND(S1622="A",T1622&lt;&gt;""),IFERROR(MATCH(INDEX('AFA Rates'!$A$5:$A$1004,T1622),Firms!$A$5:$A$1004,0),""),""))</f>
        <v/>
      </c>
    </row>
    <row r="1623">
      <c r="A1623" s="78">
        <f>IF($T1623="","",IF($S1623="S",IF(INDEX(Firms!$A$5:$A$1004,$T1623)="","",INDEX(Firms!$A$5:$A$1004,$T1623)),IF(INDEX('AFA Rates'!$A$5:$A$1004,$T1623)="","",INDEX('AFA Rates'!$A$5:$A$1004,$T1623))))</f>
        <v/>
      </c>
      <c r="B1623" s="79">
        <f>IF(OR($T1623="",$U1623=""),IF($T1623="","","Not on Firms tab"),INDEX(Firms!$B$5:$B$1004,$U1623)&amp;"")</f>
        <v/>
      </c>
      <c r="C1623" s="78">
        <f>IF($T1623="","",IF($S1623="S","Standard",INDEX('AFA Rates'!$B$5:$B$1004,$T1623)&amp;""))</f>
        <v/>
      </c>
      <c r="D1623" s="88">
        <f>IF($T1623="","",IF($S1623="S",IF(INDEX(Firms!$E$5:$E$1004,$T1623)="","",INDEX(Firms!$E$5:$E$1004,$T1623)),IF(INDEX('AFA Rates'!$C$5:$C$1004,$T1623)="","",INDEX('AFA Rates'!$C$5:$C$1004,$T1623))))</f>
        <v/>
      </c>
      <c r="E1623" s="88">
        <f>IF($T1623="","",IF($S1623="S",IF(""="","",""),IF(INDEX('AFA Rates'!$D$5:$D$1004,$T1623)="","",INDEX('AFA Rates'!$D$5:$D$1004,$T1623))))</f>
        <v/>
      </c>
      <c r="F1623" s="79">
        <f>IF($T1623="","",IF($S1623="S",IF(INDEX(Firms!$O$5:$O$1004,$T1623)="","",INDEX(Firms!$O$5:$O$1004,$T1623)),IF(INDEX('AFA Rates'!$O$5:$O$1004,$T1623)="","",INDEX('AFA Rates'!$O$5:$O$1004,$T1623))))</f>
        <v/>
      </c>
      <c r="G1623" s="50">
        <f>IF($T1623="","",IF($S1623="S",IF(INDEX(Firms!$F$5:$F$1004,$T1623)="","",INDEX(Firms!$F$5:$F$1004,$T1623)),IF(INDEX('AFA Rates'!$E$5:$E$1004,$T1623)="","",INDEX('AFA Rates'!$E$5:$E$1004,$T1623))))</f>
        <v/>
      </c>
      <c r="H1623" s="50">
        <f>IF($T1623="","",IF($S1623="S",IF(INDEX(Firms!$G$5:$G$1004,$T1623)="","",INDEX(Firms!$G$5:$G$1004,$T1623)),IF(INDEX('AFA Rates'!$F$5:$F$1004,$T1623)="","",INDEX('AFA Rates'!$F$5:$F$1004,$T1623))))</f>
        <v/>
      </c>
      <c r="I1623" s="50">
        <f>IF($T1623="","",IF($S1623="S",IF(INDEX(Firms!$H$5:$H$1004,$T1623)="","",INDEX(Firms!$H$5:$H$1004,$T1623)),IF(INDEX('AFA Rates'!$G$5:$G$1004,$T1623)="","",INDEX('AFA Rates'!$G$5:$G$1004,$T1623))))</f>
        <v/>
      </c>
      <c r="J1623" s="50">
        <f>IF($T1623="","",IF($S1623="S",IF(INDEX(Firms!$I$5:$I$1004,$T1623)="","",INDEX(Firms!$I$5:$I$1004,$T1623)),IF(INDEX('AFA Rates'!$H$5:$H$1004,$T1623)="","",INDEX('AFA Rates'!$H$5:$H$1004,$T1623))))</f>
        <v/>
      </c>
      <c r="K1623" s="50">
        <f>IF($T1623="","",IF($S1623="S",IF(INDEX(Firms!$J$5:$J$1004,$T1623)="","",INDEX(Firms!$J$5:$J$1004,$T1623)),IF(INDEX('AFA Rates'!$I$5:$I$1004,$T1623)="","",INDEX('AFA Rates'!$I$5:$I$1004,$T1623))))</f>
        <v/>
      </c>
      <c r="L1623" s="50">
        <f>IF($T1623="","",IF($S1623="S",IF(INDEX(Firms!$K$5:$K$1004,$T1623)="","",INDEX(Firms!$K$5:$K$1004,$T1623)),IF(INDEX('AFA Rates'!$J$5:$J$1004,$T1623)="","",INDEX('AFA Rates'!$J$5:$J$1004,$T1623))))</f>
        <v/>
      </c>
      <c r="M1623" s="50">
        <f>IF($T1623="","",IF($S1623="S",IF(INDEX(Firms!$L$5:$L$1004,$T1623)="","",INDEX(Firms!$L$5:$L$1004,$T1623)),IF(INDEX('AFA Rates'!$K$5:$K$1004,$T1623)="","",INDEX('AFA Rates'!$K$5:$K$1004,$T1623))))</f>
        <v/>
      </c>
      <c r="N1623" s="50">
        <f>IF($T1623="","",IF($S1623="S",IF(INDEX(Firms!$M$5:$M$1004,$T1623)="","",INDEX(Firms!$M$5:$M$1004,$T1623)),IF(INDEX('AFA Rates'!$L$5:$L$1004,$T1623)="","",INDEX('AFA Rates'!$L$5:$L$1004,$T1623))))</f>
        <v/>
      </c>
      <c r="O1623" s="78">
        <f>IF(OR($T1623="",$U1623=""),"",IF(INDEX(Firms!$C$5:$C$1004,$U1623)="","",INDEX(Firms!$C$5:$C$1004,$U1623)))</f>
        <v/>
      </c>
      <c r="P1623" s="79">
        <f>IF(OR($T1623="",$U1623=""),"",IF(INDEX(Firms!$N$5:$N$1004,$U1623)="","",INDEX(Firms!$N$5:$N$1004,$U1623)))</f>
        <v/>
      </c>
      <c r="Q1623" s="78">
        <f>IF($T1623="","",IF($S1623="S",IF(INDEX(Firms!$T$5:$T$1004,$T1623)="","",INDEX(Firms!$T$5:$T$1004,$T1623)),IF(INDEX('AFA Rates'!$M$5:$M$1004,$T1623)="","",INDEX('AFA Rates'!$M$5:$M$1004,$T1623))))</f>
        <v/>
      </c>
      <c r="S1623">
        <f>IF(1619&lt;=$S$2,"S",IF(1619&lt;=$S$2+$T$2,"A",""))</f>
        <v/>
      </c>
      <c r="T1623">
        <f>IF(S1623="S",MATCH(1619,Firms!$W$5:$W$1004,0),IF(S1623="A",IFERROR(MATCH(1619-$S$2,'AFA Rates'!$R$5:$R$1004,0),""),""))</f>
        <v/>
      </c>
      <c r="U1623">
        <f>IF(S1623="S",T1623,IF(AND(S1623="A",T1623&lt;&gt;""),IFERROR(MATCH(INDEX('AFA Rates'!$A$5:$A$1004,T1623),Firms!$A$5:$A$1004,0),""),""))</f>
        <v/>
      </c>
    </row>
    <row r="1624">
      <c r="A1624" s="78">
        <f>IF($T1624="","",IF($S1624="S",IF(INDEX(Firms!$A$5:$A$1004,$T1624)="","",INDEX(Firms!$A$5:$A$1004,$T1624)),IF(INDEX('AFA Rates'!$A$5:$A$1004,$T1624)="","",INDEX('AFA Rates'!$A$5:$A$1004,$T1624))))</f>
        <v/>
      </c>
      <c r="B1624" s="79">
        <f>IF(OR($T1624="",$U1624=""),IF($T1624="","","Not on Firms tab"),INDEX(Firms!$B$5:$B$1004,$U1624)&amp;"")</f>
        <v/>
      </c>
      <c r="C1624" s="78">
        <f>IF($T1624="","",IF($S1624="S","Standard",INDEX('AFA Rates'!$B$5:$B$1004,$T1624)&amp;""))</f>
        <v/>
      </c>
      <c r="D1624" s="88">
        <f>IF($T1624="","",IF($S1624="S",IF(INDEX(Firms!$E$5:$E$1004,$T1624)="","",INDEX(Firms!$E$5:$E$1004,$T1624)),IF(INDEX('AFA Rates'!$C$5:$C$1004,$T1624)="","",INDEX('AFA Rates'!$C$5:$C$1004,$T1624))))</f>
        <v/>
      </c>
      <c r="E1624" s="88">
        <f>IF($T1624="","",IF($S1624="S",IF(""="","",""),IF(INDEX('AFA Rates'!$D$5:$D$1004,$T1624)="","",INDEX('AFA Rates'!$D$5:$D$1004,$T1624))))</f>
        <v/>
      </c>
      <c r="F1624" s="79">
        <f>IF($T1624="","",IF($S1624="S",IF(INDEX(Firms!$O$5:$O$1004,$T1624)="","",INDEX(Firms!$O$5:$O$1004,$T1624)),IF(INDEX('AFA Rates'!$O$5:$O$1004,$T1624)="","",INDEX('AFA Rates'!$O$5:$O$1004,$T1624))))</f>
        <v/>
      </c>
      <c r="G1624" s="50">
        <f>IF($T1624="","",IF($S1624="S",IF(INDEX(Firms!$F$5:$F$1004,$T1624)="","",INDEX(Firms!$F$5:$F$1004,$T1624)),IF(INDEX('AFA Rates'!$E$5:$E$1004,$T1624)="","",INDEX('AFA Rates'!$E$5:$E$1004,$T1624))))</f>
        <v/>
      </c>
      <c r="H1624" s="50">
        <f>IF($T1624="","",IF($S1624="S",IF(INDEX(Firms!$G$5:$G$1004,$T1624)="","",INDEX(Firms!$G$5:$G$1004,$T1624)),IF(INDEX('AFA Rates'!$F$5:$F$1004,$T1624)="","",INDEX('AFA Rates'!$F$5:$F$1004,$T1624))))</f>
        <v/>
      </c>
      <c r="I1624" s="50">
        <f>IF($T1624="","",IF($S1624="S",IF(INDEX(Firms!$H$5:$H$1004,$T1624)="","",INDEX(Firms!$H$5:$H$1004,$T1624)),IF(INDEX('AFA Rates'!$G$5:$G$1004,$T1624)="","",INDEX('AFA Rates'!$G$5:$G$1004,$T1624))))</f>
        <v/>
      </c>
      <c r="J1624" s="50">
        <f>IF($T1624="","",IF($S1624="S",IF(INDEX(Firms!$I$5:$I$1004,$T1624)="","",INDEX(Firms!$I$5:$I$1004,$T1624)),IF(INDEX('AFA Rates'!$H$5:$H$1004,$T1624)="","",INDEX('AFA Rates'!$H$5:$H$1004,$T1624))))</f>
        <v/>
      </c>
      <c r="K1624" s="50">
        <f>IF($T1624="","",IF($S1624="S",IF(INDEX(Firms!$J$5:$J$1004,$T1624)="","",INDEX(Firms!$J$5:$J$1004,$T1624)),IF(INDEX('AFA Rates'!$I$5:$I$1004,$T1624)="","",INDEX('AFA Rates'!$I$5:$I$1004,$T1624))))</f>
        <v/>
      </c>
      <c r="L1624" s="50">
        <f>IF($T1624="","",IF($S1624="S",IF(INDEX(Firms!$K$5:$K$1004,$T1624)="","",INDEX(Firms!$K$5:$K$1004,$T1624)),IF(INDEX('AFA Rates'!$J$5:$J$1004,$T1624)="","",INDEX('AFA Rates'!$J$5:$J$1004,$T1624))))</f>
        <v/>
      </c>
      <c r="M1624" s="50">
        <f>IF($T1624="","",IF($S1624="S",IF(INDEX(Firms!$L$5:$L$1004,$T1624)="","",INDEX(Firms!$L$5:$L$1004,$T1624)),IF(INDEX('AFA Rates'!$K$5:$K$1004,$T1624)="","",INDEX('AFA Rates'!$K$5:$K$1004,$T1624))))</f>
        <v/>
      </c>
      <c r="N1624" s="50">
        <f>IF($T1624="","",IF($S1624="S",IF(INDEX(Firms!$M$5:$M$1004,$T1624)="","",INDEX(Firms!$M$5:$M$1004,$T1624)),IF(INDEX('AFA Rates'!$L$5:$L$1004,$T1624)="","",INDEX('AFA Rates'!$L$5:$L$1004,$T1624))))</f>
        <v/>
      </c>
      <c r="O1624" s="78">
        <f>IF(OR($T1624="",$U1624=""),"",IF(INDEX(Firms!$C$5:$C$1004,$U1624)="","",INDEX(Firms!$C$5:$C$1004,$U1624)))</f>
        <v/>
      </c>
      <c r="P1624" s="79">
        <f>IF(OR($T1624="",$U1624=""),"",IF(INDEX(Firms!$N$5:$N$1004,$U1624)="","",INDEX(Firms!$N$5:$N$1004,$U1624)))</f>
        <v/>
      </c>
      <c r="Q1624" s="78">
        <f>IF($T1624="","",IF($S1624="S",IF(INDEX(Firms!$T$5:$T$1004,$T1624)="","",INDEX(Firms!$T$5:$T$1004,$T1624)),IF(INDEX('AFA Rates'!$M$5:$M$1004,$T1624)="","",INDEX('AFA Rates'!$M$5:$M$1004,$T1624))))</f>
        <v/>
      </c>
      <c r="S1624">
        <f>IF(1620&lt;=$S$2,"S",IF(1620&lt;=$S$2+$T$2,"A",""))</f>
        <v/>
      </c>
      <c r="T1624">
        <f>IF(S1624="S",MATCH(1620,Firms!$W$5:$W$1004,0),IF(S1624="A",IFERROR(MATCH(1620-$S$2,'AFA Rates'!$R$5:$R$1004,0),""),""))</f>
        <v/>
      </c>
      <c r="U1624">
        <f>IF(S1624="S",T1624,IF(AND(S1624="A",T1624&lt;&gt;""),IFERROR(MATCH(INDEX('AFA Rates'!$A$5:$A$1004,T1624),Firms!$A$5:$A$1004,0),""),""))</f>
        <v/>
      </c>
    </row>
    <row r="1625">
      <c r="A1625" s="78">
        <f>IF($T1625="","",IF($S1625="S",IF(INDEX(Firms!$A$5:$A$1004,$T1625)="","",INDEX(Firms!$A$5:$A$1004,$T1625)),IF(INDEX('AFA Rates'!$A$5:$A$1004,$T1625)="","",INDEX('AFA Rates'!$A$5:$A$1004,$T1625))))</f>
        <v/>
      </c>
      <c r="B1625" s="79">
        <f>IF(OR($T1625="",$U1625=""),IF($T1625="","","Not on Firms tab"),INDEX(Firms!$B$5:$B$1004,$U1625)&amp;"")</f>
        <v/>
      </c>
      <c r="C1625" s="78">
        <f>IF($T1625="","",IF($S1625="S","Standard",INDEX('AFA Rates'!$B$5:$B$1004,$T1625)&amp;""))</f>
        <v/>
      </c>
      <c r="D1625" s="88">
        <f>IF($T1625="","",IF($S1625="S",IF(INDEX(Firms!$E$5:$E$1004,$T1625)="","",INDEX(Firms!$E$5:$E$1004,$T1625)),IF(INDEX('AFA Rates'!$C$5:$C$1004,$T1625)="","",INDEX('AFA Rates'!$C$5:$C$1004,$T1625))))</f>
        <v/>
      </c>
      <c r="E1625" s="88">
        <f>IF($T1625="","",IF($S1625="S",IF(""="","",""),IF(INDEX('AFA Rates'!$D$5:$D$1004,$T1625)="","",INDEX('AFA Rates'!$D$5:$D$1004,$T1625))))</f>
        <v/>
      </c>
      <c r="F1625" s="79">
        <f>IF($T1625="","",IF($S1625="S",IF(INDEX(Firms!$O$5:$O$1004,$T1625)="","",INDEX(Firms!$O$5:$O$1004,$T1625)),IF(INDEX('AFA Rates'!$O$5:$O$1004,$T1625)="","",INDEX('AFA Rates'!$O$5:$O$1004,$T1625))))</f>
        <v/>
      </c>
      <c r="G1625" s="50">
        <f>IF($T1625="","",IF($S1625="S",IF(INDEX(Firms!$F$5:$F$1004,$T1625)="","",INDEX(Firms!$F$5:$F$1004,$T1625)),IF(INDEX('AFA Rates'!$E$5:$E$1004,$T1625)="","",INDEX('AFA Rates'!$E$5:$E$1004,$T1625))))</f>
        <v/>
      </c>
      <c r="H1625" s="50">
        <f>IF($T1625="","",IF($S1625="S",IF(INDEX(Firms!$G$5:$G$1004,$T1625)="","",INDEX(Firms!$G$5:$G$1004,$T1625)),IF(INDEX('AFA Rates'!$F$5:$F$1004,$T1625)="","",INDEX('AFA Rates'!$F$5:$F$1004,$T1625))))</f>
        <v/>
      </c>
      <c r="I1625" s="50">
        <f>IF($T1625="","",IF($S1625="S",IF(INDEX(Firms!$H$5:$H$1004,$T1625)="","",INDEX(Firms!$H$5:$H$1004,$T1625)),IF(INDEX('AFA Rates'!$G$5:$G$1004,$T1625)="","",INDEX('AFA Rates'!$G$5:$G$1004,$T1625))))</f>
        <v/>
      </c>
      <c r="J1625" s="50">
        <f>IF($T1625="","",IF($S1625="S",IF(INDEX(Firms!$I$5:$I$1004,$T1625)="","",INDEX(Firms!$I$5:$I$1004,$T1625)),IF(INDEX('AFA Rates'!$H$5:$H$1004,$T1625)="","",INDEX('AFA Rates'!$H$5:$H$1004,$T1625))))</f>
        <v/>
      </c>
      <c r="K1625" s="50">
        <f>IF($T1625="","",IF($S1625="S",IF(INDEX(Firms!$J$5:$J$1004,$T1625)="","",INDEX(Firms!$J$5:$J$1004,$T1625)),IF(INDEX('AFA Rates'!$I$5:$I$1004,$T1625)="","",INDEX('AFA Rates'!$I$5:$I$1004,$T1625))))</f>
        <v/>
      </c>
      <c r="L1625" s="50">
        <f>IF($T1625="","",IF($S1625="S",IF(INDEX(Firms!$K$5:$K$1004,$T1625)="","",INDEX(Firms!$K$5:$K$1004,$T1625)),IF(INDEX('AFA Rates'!$J$5:$J$1004,$T1625)="","",INDEX('AFA Rates'!$J$5:$J$1004,$T1625))))</f>
        <v/>
      </c>
      <c r="M1625" s="50">
        <f>IF($T1625="","",IF($S1625="S",IF(INDEX(Firms!$L$5:$L$1004,$T1625)="","",INDEX(Firms!$L$5:$L$1004,$T1625)),IF(INDEX('AFA Rates'!$K$5:$K$1004,$T1625)="","",INDEX('AFA Rates'!$K$5:$K$1004,$T1625))))</f>
        <v/>
      </c>
      <c r="N1625" s="50">
        <f>IF($T1625="","",IF($S1625="S",IF(INDEX(Firms!$M$5:$M$1004,$T1625)="","",INDEX(Firms!$M$5:$M$1004,$T1625)),IF(INDEX('AFA Rates'!$L$5:$L$1004,$T1625)="","",INDEX('AFA Rates'!$L$5:$L$1004,$T1625))))</f>
        <v/>
      </c>
      <c r="O1625" s="78">
        <f>IF(OR($T1625="",$U1625=""),"",IF(INDEX(Firms!$C$5:$C$1004,$U1625)="","",INDEX(Firms!$C$5:$C$1004,$U1625)))</f>
        <v/>
      </c>
      <c r="P1625" s="79">
        <f>IF(OR($T1625="",$U1625=""),"",IF(INDEX(Firms!$N$5:$N$1004,$U1625)="","",INDEX(Firms!$N$5:$N$1004,$U1625)))</f>
        <v/>
      </c>
      <c r="Q1625" s="78">
        <f>IF($T1625="","",IF($S1625="S",IF(INDEX(Firms!$T$5:$T$1004,$T1625)="","",INDEX(Firms!$T$5:$T$1004,$T1625)),IF(INDEX('AFA Rates'!$M$5:$M$1004,$T1625)="","",INDEX('AFA Rates'!$M$5:$M$1004,$T1625))))</f>
        <v/>
      </c>
      <c r="S1625">
        <f>IF(1621&lt;=$S$2,"S",IF(1621&lt;=$S$2+$T$2,"A",""))</f>
        <v/>
      </c>
      <c r="T1625">
        <f>IF(S1625="S",MATCH(1621,Firms!$W$5:$W$1004,0),IF(S1625="A",IFERROR(MATCH(1621-$S$2,'AFA Rates'!$R$5:$R$1004,0),""),""))</f>
        <v/>
      </c>
      <c r="U1625">
        <f>IF(S1625="S",T1625,IF(AND(S1625="A",T1625&lt;&gt;""),IFERROR(MATCH(INDEX('AFA Rates'!$A$5:$A$1004,T1625),Firms!$A$5:$A$1004,0),""),""))</f>
        <v/>
      </c>
    </row>
    <row r="1626">
      <c r="A1626" s="78">
        <f>IF($T1626="","",IF($S1626="S",IF(INDEX(Firms!$A$5:$A$1004,$T1626)="","",INDEX(Firms!$A$5:$A$1004,$T1626)),IF(INDEX('AFA Rates'!$A$5:$A$1004,$T1626)="","",INDEX('AFA Rates'!$A$5:$A$1004,$T1626))))</f>
        <v/>
      </c>
      <c r="B1626" s="79">
        <f>IF(OR($T1626="",$U1626=""),IF($T1626="","","Not on Firms tab"),INDEX(Firms!$B$5:$B$1004,$U1626)&amp;"")</f>
        <v/>
      </c>
      <c r="C1626" s="78">
        <f>IF($T1626="","",IF($S1626="S","Standard",INDEX('AFA Rates'!$B$5:$B$1004,$T1626)&amp;""))</f>
        <v/>
      </c>
      <c r="D1626" s="88">
        <f>IF($T1626="","",IF($S1626="S",IF(INDEX(Firms!$E$5:$E$1004,$T1626)="","",INDEX(Firms!$E$5:$E$1004,$T1626)),IF(INDEX('AFA Rates'!$C$5:$C$1004,$T1626)="","",INDEX('AFA Rates'!$C$5:$C$1004,$T1626))))</f>
        <v/>
      </c>
      <c r="E1626" s="88">
        <f>IF($T1626="","",IF($S1626="S",IF(""="","",""),IF(INDEX('AFA Rates'!$D$5:$D$1004,$T1626)="","",INDEX('AFA Rates'!$D$5:$D$1004,$T1626))))</f>
        <v/>
      </c>
      <c r="F1626" s="79">
        <f>IF($T1626="","",IF($S1626="S",IF(INDEX(Firms!$O$5:$O$1004,$T1626)="","",INDEX(Firms!$O$5:$O$1004,$T1626)),IF(INDEX('AFA Rates'!$O$5:$O$1004,$T1626)="","",INDEX('AFA Rates'!$O$5:$O$1004,$T1626))))</f>
        <v/>
      </c>
      <c r="G1626" s="50">
        <f>IF($T1626="","",IF($S1626="S",IF(INDEX(Firms!$F$5:$F$1004,$T1626)="","",INDEX(Firms!$F$5:$F$1004,$T1626)),IF(INDEX('AFA Rates'!$E$5:$E$1004,$T1626)="","",INDEX('AFA Rates'!$E$5:$E$1004,$T1626))))</f>
        <v/>
      </c>
      <c r="H1626" s="50">
        <f>IF($T1626="","",IF($S1626="S",IF(INDEX(Firms!$G$5:$G$1004,$T1626)="","",INDEX(Firms!$G$5:$G$1004,$T1626)),IF(INDEX('AFA Rates'!$F$5:$F$1004,$T1626)="","",INDEX('AFA Rates'!$F$5:$F$1004,$T1626))))</f>
        <v/>
      </c>
      <c r="I1626" s="50">
        <f>IF($T1626="","",IF($S1626="S",IF(INDEX(Firms!$H$5:$H$1004,$T1626)="","",INDEX(Firms!$H$5:$H$1004,$T1626)),IF(INDEX('AFA Rates'!$G$5:$G$1004,$T1626)="","",INDEX('AFA Rates'!$G$5:$G$1004,$T1626))))</f>
        <v/>
      </c>
      <c r="J1626" s="50">
        <f>IF($T1626="","",IF($S1626="S",IF(INDEX(Firms!$I$5:$I$1004,$T1626)="","",INDEX(Firms!$I$5:$I$1004,$T1626)),IF(INDEX('AFA Rates'!$H$5:$H$1004,$T1626)="","",INDEX('AFA Rates'!$H$5:$H$1004,$T1626))))</f>
        <v/>
      </c>
      <c r="K1626" s="50">
        <f>IF($T1626="","",IF($S1626="S",IF(INDEX(Firms!$J$5:$J$1004,$T1626)="","",INDEX(Firms!$J$5:$J$1004,$T1626)),IF(INDEX('AFA Rates'!$I$5:$I$1004,$T1626)="","",INDEX('AFA Rates'!$I$5:$I$1004,$T1626))))</f>
        <v/>
      </c>
      <c r="L1626" s="50">
        <f>IF($T1626="","",IF($S1626="S",IF(INDEX(Firms!$K$5:$K$1004,$T1626)="","",INDEX(Firms!$K$5:$K$1004,$T1626)),IF(INDEX('AFA Rates'!$J$5:$J$1004,$T1626)="","",INDEX('AFA Rates'!$J$5:$J$1004,$T1626))))</f>
        <v/>
      </c>
      <c r="M1626" s="50">
        <f>IF($T1626="","",IF($S1626="S",IF(INDEX(Firms!$L$5:$L$1004,$T1626)="","",INDEX(Firms!$L$5:$L$1004,$T1626)),IF(INDEX('AFA Rates'!$K$5:$K$1004,$T1626)="","",INDEX('AFA Rates'!$K$5:$K$1004,$T1626))))</f>
        <v/>
      </c>
      <c r="N1626" s="50">
        <f>IF($T1626="","",IF($S1626="S",IF(INDEX(Firms!$M$5:$M$1004,$T1626)="","",INDEX(Firms!$M$5:$M$1004,$T1626)),IF(INDEX('AFA Rates'!$L$5:$L$1004,$T1626)="","",INDEX('AFA Rates'!$L$5:$L$1004,$T1626))))</f>
        <v/>
      </c>
      <c r="O1626" s="78">
        <f>IF(OR($T1626="",$U1626=""),"",IF(INDEX(Firms!$C$5:$C$1004,$U1626)="","",INDEX(Firms!$C$5:$C$1004,$U1626)))</f>
        <v/>
      </c>
      <c r="P1626" s="79">
        <f>IF(OR($T1626="",$U1626=""),"",IF(INDEX(Firms!$N$5:$N$1004,$U1626)="","",INDEX(Firms!$N$5:$N$1004,$U1626)))</f>
        <v/>
      </c>
      <c r="Q1626" s="78">
        <f>IF($T1626="","",IF($S1626="S",IF(INDEX(Firms!$T$5:$T$1004,$T1626)="","",INDEX(Firms!$T$5:$T$1004,$T1626)),IF(INDEX('AFA Rates'!$M$5:$M$1004,$T1626)="","",INDEX('AFA Rates'!$M$5:$M$1004,$T1626))))</f>
        <v/>
      </c>
      <c r="S1626">
        <f>IF(1622&lt;=$S$2,"S",IF(1622&lt;=$S$2+$T$2,"A",""))</f>
        <v/>
      </c>
      <c r="T1626">
        <f>IF(S1626="S",MATCH(1622,Firms!$W$5:$W$1004,0),IF(S1626="A",IFERROR(MATCH(1622-$S$2,'AFA Rates'!$R$5:$R$1004,0),""),""))</f>
        <v/>
      </c>
      <c r="U1626">
        <f>IF(S1626="S",T1626,IF(AND(S1626="A",T1626&lt;&gt;""),IFERROR(MATCH(INDEX('AFA Rates'!$A$5:$A$1004,T1626),Firms!$A$5:$A$1004,0),""),""))</f>
        <v/>
      </c>
    </row>
    <row r="1627">
      <c r="A1627" s="78">
        <f>IF($T1627="","",IF($S1627="S",IF(INDEX(Firms!$A$5:$A$1004,$T1627)="","",INDEX(Firms!$A$5:$A$1004,$T1627)),IF(INDEX('AFA Rates'!$A$5:$A$1004,$T1627)="","",INDEX('AFA Rates'!$A$5:$A$1004,$T1627))))</f>
        <v/>
      </c>
      <c r="B1627" s="79">
        <f>IF(OR($T1627="",$U1627=""),IF($T1627="","","Not on Firms tab"),INDEX(Firms!$B$5:$B$1004,$U1627)&amp;"")</f>
        <v/>
      </c>
      <c r="C1627" s="78">
        <f>IF($T1627="","",IF($S1627="S","Standard",INDEX('AFA Rates'!$B$5:$B$1004,$T1627)&amp;""))</f>
        <v/>
      </c>
      <c r="D1627" s="88">
        <f>IF($T1627="","",IF($S1627="S",IF(INDEX(Firms!$E$5:$E$1004,$T1627)="","",INDEX(Firms!$E$5:$E$1004,$T1627)),IF(INDEX('AFA Rates'!$C$5:$C$1004,$T1627)="","",INDEX('AFA Rates'!$C$5:$C$1004,$T1627))))</f>
        <v/>
      </c>
      <c r="E1627" s="88">
        <f>IF($T1627="","",IF($S1627="S",IF(""="","",""),IF(INDEX('AFA Rates'!$D$5:$D$1004,$T1627)="","",INDEX('AFA Rates'!$D$5:$D$1004,$T1627))))</f>
        <v/>
      </c>
      <c r="F1627" s="79">
        <f>IF($T1627="","",IF($S1627="S",IF(INDEX(Firms!$O$5:$O$1004,$T1627)="","",INDEX(Firms!$O$5:$O$1004,$T1627)),IF(INDEX('AFA Rates'!$O$5:$O$1004,$T1627)="","",INDEX('AFA Rates'!$O$5:$O$1004,$T1627))))</f>
        <v/>
      </c>
      <c r="G1627" s="50">
        <f>IF($T1627="","",IF($S1627="S",IF(INDEX(Firms!$F$5:$F$1004,$T1627)="","",INDEX(Firms!$F$5:$F$1004,$T1627)),IF(INDEX('AFA Rates'!$E$5:$E$1004,$T1627)="","",INDEX('AFA Rates'!$E$5:$E$1004,$T1627))))</f>
        <v/>
      </c>
      <c r="H1627" s="50">
        <f>IF($T1627="","",IF($S1627="S",IF(INDEX(Firms!$G$5:$G$1004,$T1627)="","",INDEX(Firms!$G$5:$G$1004,$T1627)),IF(INDEX('AFA Rates'!$F$5:$F$1004,$T1627)="","",INDEX('AFA Rates'!$F$5:$F$1004,$T1627))))</f>
        <v/>
      </c>
      <c r="I1627" s="50">
        <f>IF($T1627="","",IF($S1627="S",IF(INDEX(Firms!$H$5:$H$1004,$T1627)="","",INDEX(Firms!$H$5:$H$1004,$T1627)),IF(INDEX('AFA Rates'!$G$5:$G$1004,$T1627)="","",INDEX('AFA Rates'!$G$5:$G$1004,$T1627))))</f>
        <v/>
      </c>
      <c r="J1627" s="50">
        <f>IF($T1627="","",IF($S1627="S",IF(INDEX(Firms!$I$5:$I$1004,$T1627)="","",INDEX(Firms!$I$5:$I$1004,$T1627)),IF(INDEX('AFA Rates'!$H$5:$H$1004,$T1627)="","",INDEX('AFA Rates'!$H$5:$H$1004,$T1627))))</f>
        <v/>
      </c>
      <c r="K1627" s="50">
        <f>IF($T1627="","",IF($S1627="S",IF(INDEX(Firms!$J$5:$J$1004,$T1627)="","",INDEX(Firms!$J$5:$J$1004,$T1627)),IF(INDEX('AFA Rates'!$I$5:$I$1004,$T1627)="","",INDEX('AFA Rates'!$I$5:$I$1004,$T1627))))</f>
        <v/>
      </c>
      <c r="L1627" s="50">
        <f>IF($T1627="","",IF($S1627="S",IF(INDEX(Firms!$K$5:$K$1004,$T1627)="","",INDEX(Firms!$K$5:$K$1004,$T1627)),IF(INDEX('AFA Rates'!$J$5:$J$1004,$T1627)="","",INDEX('AFA Rates'!$J$5:$J$1004,$T1627))))</f>
        <v/>
      </c>
      <c r="M1627" s="50">
        <f>IF($T1627="","",IF($S1627="S",IF(INDEX(Firms!$L$5:$L$1004,$T1627)="","",INDEX(Firms!$L$5:$L$1004,$T1627)),IF(INDEX('AFA Rates'!$K$5:$K$1004,$T1627)="","",INDEX('AFA Rates'!$K$5:$K$1004,$T1627))))</f>
        <v/>
      </c>
      <c r="N1627" s="50">
        <f>IF($T1627="","",IF($S1627="S",IF(INDEX(Firms!$M$5:$M$1004,$T1627)="","",INDEX(Firms!$M$5:$M$1004,$T1627)),IF(INDEX('AFA Rates'!$L$5:$L$1004,$T1627)="","",INDEX('AFA Rates'!$L$5:$L$1004,$T1627))))</f>
        <v/>
      </c>
      <c r="O1627" s="78">
        <f>IF(OR($T1627="",$U1627=""),"",IF(INDEX(Firms!$C$5:$C$1004,$U1627)="","",INDEX(Firms!$C$5:$C$1004,$U1627)))</f>
        <v/>
      </c>
      <c r="P1627" s="79">
        <f>IF(OR($T1627="",$U1627=""),"",IF(INDEX(Firms!$N$5:$N$1004,$U1627)="","",INDEX(Firms!$N$5:$N$1004,$U1627)))</f>
        <v/>
      </c>
      <c r="Q1627" s="78">
        <f>IF($T1627="","",IF($S1627="S",IF(INDEX(Firms!$T$5:$T$1004,$T1627)="","",INDEX(Firms!$T$5:$T$1004,$T1627)),IF(INDEX('AFA Rates'!$M$5:$M$1004,$T1627)="","",INDEX('AFA Rates'!$M$5:$M$1004,$T1627))))</f>
        <v/>
      </c>
      <c r="S1627">
        <f>IF(1623&lt;=$S$2,"S",IF(1623&lt;=$S$2+$T$2,"A",""))</f>
        <v/>
      </c>
      <c r="T1627">
        <f>IF(S1627="S",MATCH(1623,Firms!$W$5:$W$1004,0),IF(S1627="A",IFERROR(MATCH(1623-$S$2,'AFA Rates'!$R$5:$R$1004,0),""),""))</f>
        <v/>
      </c>
      <c r="U1627">
        <f>IF(S1627="S",T1627,IF(AND(S1627="A",T1627&lt;&gt;""),IFERROR(MATCH(INDEX('AFA Rates'!$A$5:$A$1004,T1627),Firms!$A$5:$A$1004,0),""),""))</f>
        <v/>
      </c>
    </row>
    <row r="1628">
      <c r="A1628" s="78">
        <f>IF($T1628="","",IF($S1628="S",IF(INDEX(Firms!$A$5:$A$1004,$T1628)="","",INDEX(Firms!$A$5:$A$1004,$T1628)),IF(INDEX('AFA Rates'!$A$5:$A$1004,$T1628)="","",INDEX('AFA Rates'!$A$5:$A$1004,$T1628))))</f>
        <v/>
      </c>
      <c r="B1628" s="79">
        <f>IF(OR($T1628="",$U1628=""),IF($T1628="","","Not on Firms tab"),INDEX(Firms!$B$5:$B$1004,$U1628)&amp;"")</f>
        <v/>
      </c>
      <c r="C1628" s="78">
        <f>IF($T1628="","",IF($S1628="S","Standard",INDEX('AFA Rates'!$B$5:$B$1004,$T1628)&amp;""))</f>
        <v/>
      </c>
      <c r="D1628" s="88">
        <f>IF($T1628="","",IF($S1628="S",IF(INDEX(Firms!$E$5:$E$1004,$T1628)="","",INDEX(Firms!$E$5:$E$1004,$T1628)),IF(INDEX('AFA Rates'!$C$5:$C$1004,$T1628)="","",INDEX('AFA Rates'!$C$5:$C$1004,$T1628))))</f>
        <v/>
      </c>
      <c r="E1628" s="88">
        <f>IF($T1628="","",IF($S1628="S",IF(""="","",""),IF(INDEX('AFA Rates'!$D$5:$D$1004,$T1628)="","",INDEX('AFA Rates'!$D$5:$D$1004,$T1628))))</f>
        <v/>
      </c>
      <c r="F1628" s="79">
        <f>IF($T1628="","",IF($S1628="S",IF(INDEX(Firms!$O$5:$O$1004,$T1628)="","",INDEX(Firms!$O$5:$O$1004,$T1628)),IF(INDEX('AFA Rates'!$O$5:$O$1004,$T1628)="","",INDEX('AFA Rates'!$O$5:$O$1004,$T1628))))</f>
        <v/>
      </c>
      <c r="G1628" s="50">
        <f>IF($T1628="","",IF($S1628="S",IF(INDEX(Firms!$F$5:$F$1004,$T1628)="","",INDEX(Firms!$F$5:$F$1004,$T1628)),IF(INDEX('AFA Rates'!$E$5:$E$1004,$T1628)="","",INDEX('AFA Rates'!$E$5:$E$1004,$T1628))))</f>
        <v/>
      </c>
      <c r="H1628" s="50">
        <f>IF($T1628="","",IF($S1628="S",IF(INDEX(Firms!$G$5:$G$1004,$T1628)="","",INDEX(Firms!$G$5:$G$1004,$T1628)),IF(INDEX('AFA Rates'!$F$5:$F$1004,$T1628)="","",INDEX('AFA Rates'!$F$5:$F$1004,$T1628))))</f>
        <v/>
      </c>
      <c r="I1628" s="50">
        <f>IF($T1628="","",IF($S1628="S",IF(INDEX(Firms!$H$5:$H$1004,$T1628)="","",INDEX(Firms!$H$5:$H$1004,$T1628)),IF(INDEX('AFA Rates'!$G$5:$G$1004,$T1628)="","",INDEX('AFA Rates'!$G$5:$G$1004,$T1628))))</f>
        <v/>
      </c>
      <c r="J1628" s="50">
        <f>IF($T1628="","",IF($S1628="S",IF(INDEX(Firms!$I$5:$I$1004,$T1628)="","",INDEX(Firms!$I$5:$I$1004,$T1628)),IF(INDEX('AFA Rates'!$H$5:$H$1004,$T1628)="","",INDEX('AFA Rates'!$H$5:$H$1004,$T1628))))</f>
        <v/>
      </c>
      <c r="K1628" s="50">
        <f>IF($T1628="","",IF($S1628="S",IF(INDEX(Firms!$J$5:$J$1004,$T1628)="","",INDEX(Firms!$J$5:$J$1004,$T1628)),IF(INDEX('AFA Rates'!$I$5:$I$1004,$T1628)="","",INDEX('AFA Rates'!$I$5:$I$1004,$T1628))))</f>
        <v/>
      </c>
      <c r="L1628" s="50">
        <f>IF($T1628="","",IF($S1628="S",IF(INDEX(Firms!$K$5:$K$1004,$T1628)="","",INDEX(Firms!$K$5:$K$1004,$T1628)),IF(INDEX('AFA Rates'!$J$5:$J$1004,$T1628)="","",INDEX('AFA Rates'!$J$5:$J$1004,$T1628))))</f>
        <v/>
      </c>
      <c r="M1628" s="50">
        <f>IF($T1628="","",IF($S1628="S",IF(INDEX(Firms!$L$5:$L$1004,$T1628)="","",INDEX(Firms!$L$5:$L$1004,$T1628)),IF(INDEX('AFA Rates'!$K$5:$K$1004,$T1628)="","",INDEX('AFA Rates'!$K$5:$K$1004,$T1628))))</f>
        <v/>
      </c>
      <c r="N1628" s="50">
        <f>IF($T1628="","",IF($S1628="S",IF(INDEX(Firms!$M$5:$M$1004,$T1628)="","",INDEX(Firms!$M$5:$M$1004,$T1628)),IF(INDEX('AFA Rates'!$L$5:$L$1004,$T1628)="","",INDEX('AFA Rates'!$L$5:$L$1004,$T1628))))</f>
        <v/>
      </c>
      <c r="O1628" s="78">
        <f>IF(OR($T1628="",$U1628=""),"",IF(INDEX(Firms!$C$5:$C$1004,$U1628)="","",INDEX(Firms!$C$5:$C$1004,$U1628)))</f>
        <v/>
      </c>
      <c r="P1628" s="79">
        <f>IF(OR($T1628="",$U1628=""),"",IF(INDEX(Firms!$N$5:$N$1004,$U1628)="","",INDEX(Firms!$N$5:$N$1004,$U1628)))</f>
        <v/>
      </c>
      <c r="Q1628" s="78">
        <f>IF($T1628="","",IF($S1628="S",IF(INDEX(Firms!$T$5:$T$1004,$T1628)="","",INDEX(Firms!$T$5:$T$1004,$T1628)),IF(INDEX('AFA Rates'!$M$5:$M$1004,$T1628)="","",INDEX('AFA Rates'!$M$5:$M$1004,$T1628))))</f>
        <v/>
      </c>
      <c r="S1628">
        <f>IF(1624&lt;=$S$2,"S",IF(1624&lt;=$S$2+$T$2,"A",""))</f>
        <v/>
      </c>
      <c r="T1628">
        <f>IF(S1628="S",MATCH(1624,Firms!$W$5:$W$1004,0),IF(S1628="A",IFERROR(MATCH(1624-$S$2,'AFA Rates'!$R$5:$R$1004,0),""),""))</f>
        <v/>
      </c>
      <c r="U1628">
        <f>IF(S1628="S",T1628,IF(AND(S1628="A",T1628&lt;&gt;""),IFERROR(MATCH(INDEX('AFA Rates'!$A$5:$A$1004,T1628),Firms!$A$5:$A$1004,0),""),""))</f>
        <v/>
      </c>
    </row>
    <row r="1629">
      <c r="A1629" s="78">
        <f>IF($T1629="","",IF($S1629="S",IF(INDEX(Firms!$A$5:$A$1004,$T1629)="","",INDEX(Firms!$A$5:$A$1004,$T1629)),IF(INDEX('AFA Rates'!$A$5:$A$1004,$T1629)="","",INDEX('AFA Rates'!$A$5:$A$1004,$T1629))))</f>
        <v/>
      </c>
      <c r="B1629" s="79">
        <f>IF(OR($T1629="",$U1629=""),IF($T1629="","","Not on Firms tab"),INDEX(Firms!$B$5:$B$1004,$U1629)&amp;"")</f>
        <v/>
      </c>
      <c r="C1629" s="78">
        <f>IF($T1629="","",IF($S1629="S","Standard",INDEX('AFA Rates'!$B$5:$B$1004,$T1629)&amp;""))</f>
        <v/>
      </c>
      <c r="D1629" s="88">
        <f>IF($T1629="","",IF($S1629="S",IF(INDEX(Firms!$E$5:$E$1004,$T1629)="","",INDEX(Firms!$E$5:$E$1004,$T1629)),IF(INDEX('AFA Rates'!$C$5:$C$1004,$T1629)="","",INDEX('AFA Rates'!$C$5:$C$1004,$T1629))))</f>
        <v/>
      </c>
      <c r="E1629" s="88">
        <f>IF($T1629="","",IF($S1629="S",IF(""="","",""),IF(INDEX('AFA Rates'!$D$5:$D$1004,$T1629)="","",INDEX('AFA Rates'!$D$5:$D$1004,$T1629))))</f>
        <v/>
      </c>
      <c r="F1629" s="79">
        <f>IF($T1629="","",IF($S1629="S",IF(INDEX(Firms!$O$5:$O$1004,$T1629)="","",INDEX(Firms!$O$5:$O$1004,$T1629)),IF(INDEX('AFA Rates'!$O$5:$O$1004,$T1629)="","",INDEX('AFA Rates'!$O$5:$O$1004,$T1629))))</f>
        <v/>
      </c>
      <c r="G1629" s="50">
        <f>IF($T1629="","",IF($S1629="S",IF(INDEX(Firms!$F$5:$F$1004,$T1629)="","",INDEX(Firms!$F$5:$F$1004,$T1629)),IF(INDEX('AFA Rates'!$E$5:$E$1004,$T1629)="","",INDEX('AFA Rates'!$E$5:$E$1004,$T1629))))</f>
        <v/>
      </c>
      <c r="H1629" s="50">
        <f>IF($T1629="","",IF($S1629="S",IF(INDEX(Firms!$G$5:$G$1004,$T1629)="","",INDEX(Firms!$G$5:$G$1004,$T1629)),IF(INDEX('AFA Rates'!$F$5:$F$1004,$T1629)="","",INDEX('AFA Rates'!$F$5:$F$1004,$T1629))))</f>
        <v/>
      </c>
      <c r="I1629" s="50">
        <f>IF($T1629="","",IF($S1629="S",IF(INDEX(Firms!$H$5:$H$1004,$T1629)="","",INDEX(Firms!$H$5:$H$1004,$T1629)),IF(INDEX('AFA Rates'!$G$5:$G$1004,$T1629)="","",INDEX('AFA Rates'!$G$5:$G$1004,$T1629))))</f>
        <v/>
      </c>
      <c r="J1629" s="50">
        <f>IF($T1629="","",IF($S1629="S",IF(INDEX(Firms!$I$5:$I$1004,$T1629)="","",INDEX(Firms!$I$5:$I$1004,$T1629)),IF(INDEX('AFA Rates'!$H$5:$H$1004,$T1629)="","",INDEX('AFA Rates'!$H$5:$H$1004,$T1629))))</f>
        <v/>
      </c>
      <c r="K1629" s="50">
        <f>IF($T1629="","",IF($S1629="S",IF(INDEX(Firms!$J$5:$J$1004,$T1629)="","",INDEX(Firms!$J$5:$J$1004,$T1629)),IF(INDEX('AFA Rates'!$I$5:$I$1004,$T1629)="","",INDEX('AFA Rates'!$I$5:$I$1004,$T1629))))</f>
        <v/>
      </c>
      <c r="L1629" s="50">
        <f>IF($T1629="","",IF($S1629="S",IF(INDEX(Firms!$K$5:$K$1004,$T1629)="","",INDEX(Firms!$K$5:$K$1004,$T1629)),IF(INDEX('AFA Rates'!$J$5:$J$1004,$T1629)="","",INDEX('AFA Rates'!$J$5:$J$1004,$T1629))))</f>
        <v/>
      </c>
      <c r="M1629" s="50">
        <f>IF($T1629="","",IF($S1629="S",IF(INDEX(Firms!$L$5:$L$1004,$T1629)="","",INDEX(Firms!$L$5:$L$1004,$T1629)),IF(INDEX('AFA Rates'!$K$5:$K$1004,$T1629)="","",INDEX('AFA Rates'!$K$5:$K$1004,$T1629))))</f>
        <v/>
      </c>
      <c r="N1629" s="50">
        <f>IF($T1629="","",IF($S1629="S",IF(INDEX(Firms!$M$5:$M$1004,$T1629)="","",INDEX(Firms!$M$5:$M$1004,$T1629)),IF(INDEX('AFA Rates'!$L$5:$L$1004,$T1629)="","",INDEX('AFA Rates'!$L$5:$L$1004,$T1629))))</f>
        <v/>
      </c>
      <c r="O1629" s="78">
        <f>IF(OR($T1629="",$U1629=""),"",IF(INDEX(Firms!$C$5:$C$1004,$U1629)="","",INDEX(Firms!$C$5:$C$1004,$U1629)))</f>
        <v/>
      </c>
      <c r="P1629" s="79">
        <f>IF(OR($T1629="",$U1629=""),"",IF(INDEX(Firms!$N$5:$N$1004,$U1629)="","",INDEX(Firms!$N$5:$N$1004,$U1629)))</f>
        <v/>
      </c>
      <c r="Q1629" s="78">
        <f>IF($T1629="","",IF($S1629="S",IF(INDEX(Firms!$T$5:$T$1004,$T1629)="","",INDEX(Firms!$T$5:$T$1004,$T1629)),IF(INDEX('AFA Rates'!$M$5:$M$1004,$T1629)="","",INDEX('AFA Rates'!$M$5:$M$1004,$T1629))))</f>
        <v/>
      </c>
      <c r="S1629">
        <f>IF(1625&lt;=$S$2,"S",IF(1625&lt;=$S$2+$T$2,"A",""))</f>
        <v/>
      </c>
      <c r="T1629">
        <f>IF(S1629="S",MATCH(1625,Firms!$W$5:$W$1004,0),IF(S1629="A",IFERROR(MATCH(1625-$S$2,'AFA Rates'!$R$5:$R$1004,0),""),""))</f>
        <v/>
      </c>
      <c r="U1629">
        <f>IF(S1629="S",T1629,IF(AND(S1629="A",T1629&lt;&gt;""),IFERROR(MATCH(INDEX('AFA Rates'!$A$5:$A$1004,T1629),Firms!$A$5:$A$1004,0),""),""))</f>
        <v/>
      </c>
    </row>
    <row r="1630">
      <c r="A1630" s="78">
        <f>IF($T1630="","",IF($S1630="S",IF(INDEX(Firms!$A$5:$A$1004,$T1630)="","",INDEX(Firms!$A$5:$A$1004,$T1630)),IF(INDEX('AFA Rates'!$A$5:$A$1004,$T1630)="","",INDEX('AFA Rates'!$A$5:$A$1004,$T1630))))</f>
        <v/>
      </c>
      <c r="B1630" s="79">
        <f>IF(OR($T1630="",$U1630=""),IF($T1630="","","Not on Firms tab"),INDEX(Firms!$B$5:$B$1004,$U1630)&amp;"")</f>
        <v/>
      </c>
      <c r="C1630" s="78">
        <f>IF($T1630="","",IF($S1630="S","Standard",INDEX('AFA Rates'!$B$5:$B$1004,$T1630)&amp;""))</f>
        <v/>
      </c>
      <c r="D1630" s="88">
        <f>IF($T1630="","",IF($S1630="S",IF(INDEX(Firms!$E$5:$E$1004,$T1630)="","",INDEX(Firms!$E$5:$E$1004,$T1630)),IF(INDEX('AFA Rates'!$C$5:$C$1004,$T1630)="","",INDEX('AFA Rates'!$C$5:$C$1004,$T1630))))</f>
        <v/>
      </c>
      <c r="E1630" s="88">
        <f>IF($T1630="","",IF($S1630="S",IF(""="","",""),IF(INDEX('AFA Rates'!$D$5:$D$1004,$T1630)="","",INDEX('AFA Rates'!$D$5:$D$1004,$T1630))))</f>
        <v/>
      </c>
      <c r="F1630" s="79">
        <f>IF($T1630="","",IF($S1630="S",IF(INDEX(Firms!$O$5:$O$1004,$T1630)="","",INDEX(Firms!$O$5:$O$1004,$T1630)),IF(INDEX('AFA Rates'!$O$5:$O$1004,$T1630)="","",INDEX('AFA Rates'!$O$5:$O$1004,$T1630))))</f>
        <v/>
      </c>
      <c r="G1630" s="50">
        <f>IF($T1630="","",IF($S1630="S",IF(INDEX(Firms!$F$5:$F$1004,$T1630)="","",INDEX(Firms!$F$5:$F$1004,$T1630)),IF(INDEX('AFA Rates'!$E$5:$E$1004,$T1630)="","",INDEX('AFA Rates'!$E$5:$E$1004,$T1630))))</f>
        <v/>
      </c>
      <c r="H1630" s="50">
        <f>IF($T1630="","",IF($S1630="S",IF(INDEX(Firms!$G$5:$G$1004,$T1630)="","",INDEX(Firms!$G$5:$G$1004,$T1630)),IF(INDEX('AFA Rates'!$F$5:$F$1004,$T1630)="","",INDEX('AFA Rates'!$F$5:$F$1004,$T1630))))</f>
        <v/>
      </c>
      <c r="I1630" s="50">
        <f>IF($T1630="","",IF($S1630="S",IF(INDEX(Firms!$H$5:$H$1004,$T1630)="","",INDEX(Firms!$H$5:$H$1004,$T1630)),IF(INDEX('AFA Rates'!$G$5:$G$1004,$T1630)="","",INDEX('AFA Rates'!$G$5:$G$1004,$T1630))))</f>
        <v/>
      </c>
      <c r="J1630" s="50">
        <f>IF($T1630="","",IF($S1630="S",IF(INDEX(Firms!$I$5:$I$1004,$T1630)="","",INDEX(Firms!$I$5:$I$1004,$T1630)),IF(INDEX('AFA Rates'!$H$5:$H$1004,$T1630)="","",INDEX('AFA Rates'!$H$5:$H$1004,$T1630))))</f>
        <v/>
      </c>
      <c r="K1630" s="50">
        <f>IF($T1630="","",IF($S1630="S",IF(INDEX(Firms!$J$5:$J$1004,$T1630)="","",INDEX(Firms!$J$5:$J$1004,$T1630)),IF(INDEX('AFA Rates'!$I$5:$I$1004,$T1630)="","",INDEX('AFA Rates'!$I$5:$I$1004,$T1630))))</f>
        <v/>
      </c>
      <c r="L1630" s="50">
        <f>IF($T1630="","",IF($S1630="S",IF(INDEX(Firms!$K$5:$K$1004,$T1630)="","",INDEX(Firms!$K$5:$K$1004,$T1630)),IF(INDEX('AFA Rates'!$J$5:$J$1004,$T1630)="","",INDEX('AFA Rates'!$J$5:$J$1004,$T1630))))</f>
        <v/>
      </c>
      <c r="M1630" s="50">
        <f>IF($T1630="","",IF($S1630="S",IF(INDEX(Firms!$L$5:$L$1004,$T1630)="","",INDEX(Firms!$L$5:$L$1004,$T1630)),IF(INDEX('AFA Rates'!$K$5:$K$1004,$T1630)="","",INDEX('AFA Rates'!$K$5:$K$1004,$T1630))))</f>
        <v/>
      </c>
      <c r="N1630" s="50">
        <f>IF($T1630="","",IF($S1630="S",IF(INDEX(Firms!$M$5:$M$1004,$T1630)="","",INDEX(Firms!$M$5:$M$1004,$T1630)),IF(INDEX('AFA Rates'!$L$5:$L$1004,$T1630)="","",INDEX('AFA Rates'!$L$5:$L$1004,$T1630))))</f>
        <v/>
      </c>
      <c r="O1630" s="78">
        <f>IF(OR($T1630="",$U1630=""),"",IF(INDEX(Firms!$C$5:$C$1004,$U1630)="","",INDEX(Firms!$C$5:$C$1004,$U1630)))</f>
        <v/>
      </c>
      <c r="P1630" s="79">
        <f>IF(OR($T1630="",$U1630=""),"",IF(INDEX(Firms!$N$5:$N$1004,$U1630)="","",INDEX(Firms!$N$5:$N$1004,$U1630)))</f>
        <v/>
      </c>
      <c r="Q1630" s="78">
        <f>IF($T1630="","",IF($S1630="S",IF(INDEX(Firms!$T$5:$T$1004,$T1630)="","",INDEX(Firms!$T$5:$T$1004,$T1630)),IF(INDEX('AFA Rates'!$M$5:$M$1004,$T1630)="","",INDEX('AFA Rates'!$M$5:$M$1004,$T1630))))</f>
        <v/>
      </c>
      <c r="S1630">
        <f>IF(1626&lt;=$S$2,"S",IF(1626&lt;=$S$2+$T$2,"A",""))</f>
        <v/>
      </c>
      <c r="T1630">
        <f>IF(S1630="S",MATCH(1626,Firms!$W$5:$W$1004,0),IF(S1630="A",IFERROR(MATCH(1626-$S$2,'AFA Rates'!$R$5:$R$1004,0),""),""))</f>
        <v/>
      </c>
      <c r="U1630">
        <f>IF(S1630="S",T1630,IF(AND(S1630="A",T1630&lt;&gt;""),IFERROR(MATCH(INDEX('AFA Rates'!$A$5:$A$1004,T1630),Firms!$A$5:$A$1004,0),""),""))</f>
        <v/>
      </c>
    </row>
    <row r="1631">
      <c r="A1631" s="78">
        <f>IF($T1631="","",IF($S1631="S",IF(INDEX(Firms!$A$5:$A$1004,$T1631)="","",INDEX(Firms!$A$5:$A$1004,$T1631)),IF(INDEX('AFA Rates'!$A$5:$A$1004,$T1631)="","",INDEX('AFA Rates'!$A$5:$A$1004,$T1631))))</f>
        <v/>
      </c>
      <c r="B1631" s="79">
        <f>IF(OR($T1631="",$U1631=""),IF($T1631="","","Not on Firms tab"),INDEX(Firms!$B$5:$B$1004,$U1631)&amp;"")</f>
        <v/>
      </c>
      <c r="C1631" s="78">
        <f>IF($T1631="","",IF($S1631="S","Standard",INDEX('AFA Rates'!$B$5:$B$1004,$T1631)&amp;""))</f>
        <v/>
      </c>
      <c r="D1631" s="88">
        <f>IF($T1631="","",IF($S1631="S",IF(INDEX(Firms!$E$5:$E$1004,$T1631)="","",INDEX(Firms!$E$5:$E$1004,$T1631)),IF(INDEX('AFA Rates'!$C$5:$C$1004,$T1631)="","",INDEX('AFA Rates'!$C$5:$C$1004,$T1631))))</f>
        <v/>
      </c>
      <c r="E1631" s="88">
        <f>IF($T1631="","",IF($S1631="S",IF(""="","",""),IF(INDEX('AFA Rates'!$D$5:$D$1004,$T1631)="","",INDEX('AFA Rates'!$D$5:$D$1004,$T1631))))</f>
        <v/>
      </c>
      <c r="F1631" s="79">
        <f>IF($T1631="","",IF($S1631="S",IF(INDEX(Firms!$O$5:$O$1004,$T1631)="","",INDEX(Firms!$O$5:$O$1004,$T1631)),IF(INDEX('AFA Rates'!$O$5:$O$1004,$T1631)="","",INDEX('AFA Rates'!$O$5:$O$1004,$T1631))))</f>
        <v/>
      </c>
      <c r="G1631" s="50">
        <f>IF($T1631="","",IF($S1631="S",IF(INDEX(Firms!$F$5:$F$1004,$T1631)="","",INDEX(Firms!$F$5:$F$1004,$T1631)),IF(INDEX('AFA Rates'!$E$5:$E$1004,$T1631)="","",INDEX('AFA Rates'!$E$5:$E$1004,$T1631))))</f>
        <v/>
      </c>
      <c r="H1631" s="50">
        <f>IF($T1631="","",IF($S1631="S",IF(INDEX(Firms!$G$5:$G$1004,$T1631)="","",INDEX(Firms!$G$5:$G$1004,$T1631)),IF(INDEX('AFA Rates'!$F$5:$F$1004,$T1631)="","",INDEX('AFA Rates'!$F$5:$F$1004,$T1631))))</f>
        <v/>
      </c>
      <c r="I1631" s="50">
        <f>IF($T1631="","",IF($S1631="S",IF(INDEX(Firms!$H$5:$H$1004,$T1631)="","",INDEX(Firms!$H$5:$H$1004,$T1631)),IF(INDEX('AFA Rates'!$G$5:$G$1004,$T1631)="","",INDEX('AFA Rates'!$G$5:$G$1004,$T1631))))</f>
        <v/>
      </c>
      <c r="J1631" s="50">
        <f>IF($T1631="","",IF($S1631="S",IF(INDEX(Firms!$I$5:$I$1004,$T1631)="","",INDEX(Firms!$I$5:$I$1004,$T1631)),IF(INDEX('AFA Rates'!$H$5:$H$1004,$T1631)="","",INDEX('AFA Rates'!$H$5:$H$1004,$T1631))))</f>
        <v/>
      </c>
      <c r="K1631" s="50">
        <f>IF($T1631="","",IF($S1631="S",IF(INDEX(Firms!$J$5:$J$1004,$T1631)="","",INDEX(Firms!$J$5:$J$1004,$T1631)),IF(INDEX('AFA Rates'!$I$5:$I$1004,$T1631)="","",INDEX('AFA Rates'!$I$5:$I$1004,$T1631))))</f>
        <v/>
      </c>
      <c r="L1631" s="50">
        <f>IF($T1631="","",IF($S1631="S",IF(INDEX(Firms!$K$5:$K$1004,$T1631)="","",INDEX(Firms!$K$5:$K$1004,$T1631)),IF(INDEX('AFA Rates'!$J$5:$J$1004,$T1631)="","",INDEX('AFA Rates'!$J$5:$J$1004,$T1631))))</f>
        <v/>
      </c>
      <c r="M1631" s="50">
        <f>IF($T1631="","",IF($S1631="S",IF(INDEX(Firms!$L$5:$L$1004,$T1631)="","",INDEX(Firms!$L$5:$L$1004,$T1631)),IF(INDEX('AFA Rates'!$K$5:$K$1004,$T1631)="","",INDEX('AFA Rates'!$K$5:$K$1004,$T1631))))</f>
        <v/>
      </c>
      <c r="N1631" s="50">
        <f>IF($T1631="","",IF($S1631="S",IF(INDEX(Firms!$M$5:$M$1004,$T1631)="","",INDEX(Firms!$M$5:$M$1004,$T1631)),IF(INDEX('AFA Rates'!$L$5:$L$1004,$T1631)="","",INDEX('AFA Rates'!$L$5:$L$1004,$T1631))))</f>
        <v/>
      </c>
      <c r="O1631" s="78">
        <f>IF(OR($T1631="",$U1631=""),"",IF(INDEX(Firms!$C$5:$C$1004,$U1631)="","",INDEX(Firms!$C$5:$C$1004,$U1631)))</f>
        <v/>
      </c>
      <c r="P1631" s="79">
        <f>IF(OR($T1631="",$U1631=""),"",IF(INDEX(Firms!$N$5:$N$1004,$U1631)="","",INDEX(Firms!$N$5:$N$1004,$U1631)))</f>
        <v/>
      </c>
      <c r="Q1631" s="78">
        <f>IF($T1631="","",IF($S1631="S",IF(INDEX(Firms!$T$5:$T$1004,$T1631)="","",INDEX(Firms!$T$5:$T$1004,$T1631)),IF(INDEX('AFA Rates'!$M$5:$M$1004,$T1631)="","",INDEX('AFA Rates'!$M$5:$M$1004,$T1631))))</f>
        <v/>
      </c>
      <c r="S1631">
        <f>IF(1627&lt;=$S$2,"S",IF(1627&lt;=$S$2+$T$2,"A",""))</f>
        <v/>
      </c>
      <c r="T1631">
        <f>IF(S1631="S",MATCH(1627,Firms!$W$5:$W$1004,0),IF(S1631="A",IFERROR(MATCH(1627-$S$2,'AFA Rates'!$R$5:$R$1004,0),""),""))</f>
        <v/>
      </c>
      <c r="U1631">
        <f>IF(S1631="S",T1631,IF(AND(S1631="A",T1631&lt;&gt;""),IFERROR(MATCH(INDEX('AFA Rates'!$A$5:$A$1004,T1631),Firms!$A$5:$A$1004,0),""),""))</f>
        <v/>
      </c>
    </row>
    <row r="1632">
      <c r="A1632" s="78">
        <f>IF($T1632="","",IF($S1632="S",IF(INDEX(Firms!$A$5:$A$1004,$T1632)="","",INDEX(Firms!$A$5:$A$1004,$T1632)),IF(INDEX('AFA Rates'!$A$5:$A$1004,$T1632)="","",INDEX('AFA Rates'!$A$5:$A$1004,$T1632))))</f>
        <v/>
      </c>
      <c r="B1632" s="79">
        <f>IF(OR($T1632="",$U1632=""),IF($T1632="","","Not on Firms tab"),INDEX(Firms!$B$5:$B$1004,$U1632)&amp;"")</f>
        <v/>
      </c>
      <c r="C1632" s="78">
        <f>IF($T1632="","",IF($S1632="S","Standard",INDEX('AFA Rates'!$B$5:$B$1004,$T1632)&amp;""))</f>
        <v/>
      </c>
      <c r="D1632" s="88">
        <f>IF($T1632="","",IF($S1632="S",IF(INDEX(Firms!$E$5:$E$1004,$T1632)="","",INDEX(Firms!$E$5:$E$1004,$T1632)),IF(INDEX('AFA Rates'!$C$5:$C$1004,$T1632)="","",INDEX('AFA Rates'!$C$5:$C$1004,$T1632))))</f>
        <v/>
      </c>
      <c r="E1632" s="88">
        <f>IF($T1632="","",IF($S1632="S",IF(""="","",""),IF(INDEX('AFA Rates'!$D$5:$D$1004,$T1632)="","",INDEX('AFA Rates'!$D$5:$D$1004,$T1632))))</f>
        <v/>
      </c>
      <c r="F1632" s="79">
        <f>IF($T1632="","",IF($S1632="S",IF(INDEX(Firms!$O$5:$O$1004,$T1632)="","",INDEX(Firms!$O$5:$O$1004,$T1632)),IF(INDEX('AFA Rates'!$O$5:$O$1004,$T1632)="","",INDEX('AFA Rates'!$O$5:$O$1004,$T1632))))</f>
        <v/>
      </c>
      <c r="G1632" s="50">
        <f>IF($T1632="","",IF($S1632="S",IF(INDEX(Firms!$F$5:$F$1004,$T1632)="","",INDEX(Firms!$F$5:$F$1004,$T1632)),IF(INDEX('AFA Rates'!$E$5:$E$1004,$T1632)="","",INDEX('AFA Rates'!$E$5:$E$1004,$T1632))))</f>
        <v/>
      </c>
      <c r="H1632" s="50">
        <f>IF($T1632="","",IF($S1632="S",IF(INDEX(Firms!$G$5:$G$1004,$T1632)="","",INDEX(Firms!$G$5:$G$1004,$T1632)),IF(INDEX('AFA Rates'!$F$5:$F$1004,$T1632)="","",INDEX('AFA Rates'!$F$5:$F$1004,$T1632))))</f>
        <v/>
      </c>
      <c r="I1632" s="50">
        <f>IF($T1632="","",IF($S1632="S",IF(INDEX(Firms!$H$5:$H$1004,$T1632)="","",INDEX(Firms!$H$5:$H$1004,$T1632)),IF(INDEX('AFA Rates'!$G$5:$G$1004,$T1632)="","",INDEX('AFA Rates'!$G$5:$G$1004,$T1632))))</f>
        <v/>
      </c>
      <c r="J1632" s="50">
        <f>IF($T1632="","",IF($S1632="S",IF(INDEX(Firms!$I$5:$I$1004,$T1632)="","",INDEX(Firms!$I$5:$I$1004,$T1632)),IF(INDEX('AFA Rates'!$H$5:$H$1004,$T1632)="","",INDEX('AFA Rates'!$H$5:$H$1004,$T1632))))</f>
        <v/>
      </c>
      <c r="K1632" s="50">
        <f>IF($T1632="","",IF($S1632="S",IF(INDEX(Firms!$J$5:$J$1004,$T1632)="","",INDEX(Firms!$J$5:$J$1004,$T1632)),IF(INDEX('AFA Rates'!$I$5:$I$1004,$T1632)="","",INDEX('AFA Rates'!$I$5:$I$1004,$T1632))))</f>
        <v/>
      </c>
      <c r="L1632" s="50">
        <f>IF($T1632="","",IF($S1632="S",IF(INDEX(Firms!$K$5:$K$1004,$T1632)="","",INDEX(Firms!$K$5:$K$1004,$T1632)),IF(INDEX('AFA Rates'!$J$5:$J$1004,$T1632)="","",INDEX('AFA Rates'!$J$5:$J$1004,$T1632))))</f>
        <v/>
      </c>
      <c r="M1632" s="50">
        <f>IF($T1632="","",IF($S1632="S",IF(INDEX(Firms!$L$5:$L$1004,$T1632)="","",INDEX(Firms!$L$5:$L$1004,$T1632)),IF(INDEX('AFA Rates'!$K$5:$K$1004,$T1632)="","",INDEX('AFA Rates'!$K$5:$K$1004,$T1632))))</f>
        <v/>
      </c>
      <c r="N1632" s="50">
        <f>IF($T1632="","",IF($S1632="S",IF(INDEX(Firms!$M$5:$M$1004,$T1632)="","",INDEX(Firms!$M$5:$M$1004,$T1632)),IF(INDEX('AFA Rates'!$L$5:$L$1004,$T1632)="","",INDEX('AFA Rates'!$L$5:$L$1004,$T1632))))</f>
        <v/>
      </c>
      <c r="O1632" s="78">
        <f>IF(OR($T1632="",$U1632=""),"",IF(INDEX(Firms!$C$5:$C$1004,$U1632)="","",INDEX(Firms!$C$5:$C$1004,$U1632)))</f>
        <v/>
      </c>
      <c r="P1632" s="79">
        <f>IF(OR($T1632="",$U1632=""),"",IF(INDEX(Firms!$N$5:$N$1004,$U1632)="","",INDEX(Firms!$N$5:$N$1004,$U1632)))</f>
        <v/>
      </c>
      <c r="Q1632" s="78">
        <f>IF($T1632="","",IF($S1632="S",IF(INDEX(Firms!$T$5:$T$1004,$T1632)="","",INDEX(Firms!$T$5:$T$1004,$T1632)),IF(INDEX('AFA Rates'!$M$5:$M$1004,$T1632)="","",INDEX('AFA Rates'!$M$5:$M$1004,$T1632))))</f>
        <v/>
      </c>
      <c r="S1632">
        <f>IF(1628&lt;=$S$2,"S",IF(1628&lt;=$S$2+$T$2,"A",""))</f>
        <v/>
      </c>
      <c r="T1632">
        <f>IF(S1632="S",MATCH(1628,Firms!$W$5:$W$1004,0),IF(S1632="A",IFERROR(MATCH(1628-$S$2,'AFA Rates'!$R$5:$R$1004,0),""),""))</f>
        <v/>
      </c>
      <c r="U1632">
        <f>IF(S1632="S",T1632,IF(AND(S1632="A",T1632&lt;&gt;""),IFERROR(MATCH(INDEX('AFA Rates'!$A$5:$A$1004,T1632),Firms!$A$5:$A$1004,0),""),""))</f>
        <v/>
      </c>
    </row>
    <row r="1633">
      <c r="A1633" s="78">
        <f>IF($T1633="","",IF($S1633="S",IF(INDEX(Firms!$A$5:$A$1004,$T1633)="","",INDEX(Firms!$A$5:$A$1004,$T1633)),IF(INDEX('AFA Rates'!$A$5:$A$1004,$T1633)="","",INDEX('AFA Rates'!$A$5:$A$1004,$T1633))))</f>
        <v/>
      </c>
      <c r="B1633" s="79">
        <f>IF(OR($T1633="",$U1633=""),IF($T1633="","","Not on Firms tab"),INDEX(Firms!$B$5:$B$1004,$U1633)&amp;"")</f>
        <v/>
      </c>
      <c r="C1633" s="78">
        <f>IF($T1633="","",IF($S1633="S","Standard",INDEX('AFA Rates'!$B$5:$B$1004,$T1633)&amp;""))</f>
        <v/>
      </c>
      <c r="D1633" s="88">
        <f>IF($T1633="","",IF($S1633="S",IF(INDEX(Firms!$E$5:$E$1004,$T1633)="","",INDEX(Firms!$E$5:$E$1004,$T1633)),IF(INDEX('AFA Rates'!$C$5:$C$1004,$T1633)="","",INDEX('AFA Rates'!$C$5:$C$1004,$T1633))))</f>
        <v/>
      </c>
      <c r="E1633" s="88">
        <f>IF($T1633="","",IF($S1633="S",IF(""="","",""),IF(INDEX('AFA Rates'!$D$5:$D$1004,$T1633)="","",INDEX('AFA Rates'!$D$5:$D$1004,$T1633))))</f>
        <v/>
      </c>
      <c r="F1633" s="79">
        <f>IF($T1633="","",IF($S1633="S",IF(INDEX(Firms!$O$5:$O$1004,$T1633)="","",INDEX(Firms!$O$5:$O$1004,$T1633)),IF(INDEX('AFA Rates'!$O$5:$O$1004,$T1633)="","",INDEX('AFA Rates'!$O$5:$O$1004,$T1633))))</f>
        <v/>
      </c>
      <c r="G1633" s="50">
        <f>IF($T1633="","",IF($S1633="S",IF(INDEX(Firms!$F$5:$F$1004,$T1633)="","",INDEX(Firms!$F$5:$F$1004,$T1633)),IF(INDEX('AFA Rates'!$E$5:$E$1004,$T1633)="","",INDEX('AFA Rates'!$E$5:$E$1004,$T1633))))</f>
        <v/>
      </c>
      <c r="H1633" s="50">
        <f>IF($T1633="","",IF($S1633="S",IF(INDEX(Firms!$G$5:$G$1004,$T1633)="","",INDEX(Firms!$G$5:$G$1004,$T1633)),IF(INDEX('AFA Rates'!$F$5:$F$1004,$T1633)="","",INDEX('AFA Rates'!$F$5:$F$1004,$T1633))))</f>
        <v/>
      </c>
      <c r="I1633" s="50">
        <f>IF($T1633="","",IF($S1633="S",IF(INDEX(Firms!$H$5:$H$1004,$T1633)="","",INDEX(Firms!$H$5:$H$1004,$T1633)),IF(INDEX('AFA Rates'!$G$5:$G$1004,$T1633)="","",INDEX('AFA Rates'!$G$5:$G$1004,$T1633))))</f>
        <v/>
      </c>
      <c r="J1633" s="50">
        <f>IF($T1633="","",IF($S1633="S",IF(INDEX(Firms!$I$5:$I$1004,$T1633)="","",INDEX(Firms!$I$5:$I$1004,$T1633)),IF(INDEX('AFA Rates'!$H$5:$H$1004,$T1633)="","",INDEX('AFA Rates'!$H$5:$H$1004,$T1633))))</f>
        <v/>
      </c>
      <c r="K1633" s="50">
        <f>IF($T1633="","",IF($S1633="S",IF(INDEX(Firms!$J$5:$J$1004,$T1633)="","",INDEX(Firms!$J$5:$J$1004,$T1633)),IF(INDEX('AFA Rates'!$I$5:$I$1004,$T1633)="","",INDEX('AFA Rates'!$I$5:$I$1004,$T1633))))</f>
        <v/>
      </c>
      <c r="L1633" s="50">
        <f>IF($T1633="","",IF($S1633="S",IF(INDEX(Firms!$K$5:$K$1004,$T1633)="","",INDEX(Firms!$K$5:$K$1004,$T1633)),IF(INDEX('AFA Rates'!$J$5:$J$1004,$T1633)="","",INDEX('AFA Rates'!$J$5:$J$1004,$T1633))))</f>
        <v/>
      </c>
      <c r="M1633" s="50">
        <f>IF($T1633="","",IF($S1633="S",IF(INDEX(Firms!$L$5:$L$1004,$T1633)="","",INDEX(Firms!$L$5:$L$1004,$T1633)),IF(INDEX('AFA Rates'!$K$5:$K$1004,$T1633)="","",INDEX('AFA Rates'!$K$5:$K$1004,$T1633))))</f>
        <v/>
      </c>
      <c r="N1633" s="50">
        <f>IF($T1633="","",IF($S1633="S",IF(INDEX(Firms!$M$5:$M$1004,$T1633)="","",INDEX(Firms!$M$5:$M$1004,$T1633)),IF(INDEX('AFA Rates'!$L$5:$L$1004,$T1633)="","",INDEX('AFA Rates'!$L$5:$L$1004,$T1633))))</f>
        <v/>
      </c>
      <c r="O1633" s="78">
        <f>IF(OR($T1633="",$U1633=""),"",IF(INDEX(Firms!$C$5:$C$1004,$U1633)="","",INDEX(Firms!$C$5:$C$1004,$U1633)))</f>
        <v/>
      </c>
      <c r="P1633" s="79">
        <f>IF(OR($T1633="",$U1633=""),"",IF(INDEX(Firms!$N$5:$N$1004,$U1633)="","",INDEX(Firms!$N$5:$N$1004,$U1633)))</f>
        <v/>
      </c>
      <c r="Q1633" s="78">
        <f>IF($T1633="","",IF($S1633="S",IF(INDEX(Firms!$T$5:$T$1004,$T1633)="","",INDEX(Firms!$T$5:$T$1004,$T1633)),IF(INDEX('AFA Rates'!$M$5:$M$1004,$T1633)="","",INDEX('AFA Rates'!$M$5:$M$1004,$T1633))))</f>
        <v/>
      </c>
      <c r="S1633">
        <f>IF(1629&lt;=$S$2,"S",IF(1629&lt;=$S$2+$T$2,"A",""))</f>
        <v/>
      </c>
      <c r="T1633">
        <f>IF(S1633="S",MATCH(1629,Firms!$W$5:$W$1004,0),IF(S1633="A",IFERROR(MATCH(1629-$S$2,'AFA Rates'!$R$5:$R$1004,0),""),""))</f>
        <v/>
      </c>
      <c r="U1633">
        <f>IF(S1633="S",T1633,IF(AND(S1633="A",T1633&lt;&gt;""),IFERROR(MATCH(INDEX('AFA Rates'!$A$5:$A$1004,T1633),Firms!$A$5:$A$1004,0),""),""))</f>
        <v/>
      </c>
    </row>
    <row r="1634">
      <c r="A1634" s="78">
        <f>IF($T1634="","",IF($S1634="S",IF(INDEX(Firms!$A$5:$A$1004,$T1634)="","",INDEX(Firms!$A$5:$A$1004,$T1634)),IF(INDEX('AFA Rates'!$A$5:$A$1004,$T1634)="","",INDEX('AFA Rates'!$A$5:$A$1004,$T1634))))</f>
        <v/>
      </c>
      <c r="B1634" s="79">
        <f>IF(OR($T1634="",$U1634=""),IF($T1634="","","Not on Firms tab"),INDEX(Firms!$B$5:$B$1004,$U1634)&amp;"")</f>
        <v/>
      </c>
      <c r="C1634" s="78">
        <f>IF($T1634="","",IF($S1634="S","Standard",INDEX('AFA Rates'!$B$5:$B$1004,$T1634)&amp;""))</f>
        <v/>
      </c>
      <c r="D1634" s="88">
        <f>IF($T1634="","",IF($S1634="S",IF(INDEX(Firms!$E$5:$E$1004,$T1634)="","",INDEX(Firms!$E$5:$E$1004,$T1634)),IF(INDEX('AFA Rates'!$C$5:$C$1004,$T1634)="","",INDEX('AFA Rates'!$C$5:$C$1004,$T1634))))</f>
        <v/>
      </c>
      <c r="E1634" s="88">
        <f>IF($T1634="","",IF($S1634="S",IF(""="","",""),IF(INDEX('AFA Rates'!$D$5:$D$1004,$T1634)="","",INDEX('AFA Rates'!$D$5:$D$1004,$T1634))))</f>
        <v/>
      </c>
      <c r="F1634" s="79">
        <f>IF($T1634="","",IF($S1634="S",IF(INDEX(Firms!$O$5:$O$1004,$T1634)="","",INDEX(Firms!$O$5:$O$1004,$T1634)),IF(INDEX('AFA Rates'!$O$5:$O$1004,$T1634)="","",INDEX('AFA Rates'!$O$5:$O$1004,$T1634))))</f>
        <v/>
      </c>
      <c r="G1634" s="50">
        <f>IF($T1634="","",IF($S1634="S",IF(INDEX(Firms!$F$5:$F$1004,$T1634)="","",INDEX(Firms!$F$5:$F$1004,$T1634)),IF(INDEX('AFA Rates'!$E$5:$E$1004,$T1634)="","",INDEX('AFA Rates'!$E$5:$E$1004,$T1634))))</f>
        <v/>
      </c>
      <c r="H1634" s="50">
        <f>IF($T1634="","",IF($S1634="S",IF(INDEX(Firms!$G$5:$G$1004,$T1634)="","",INDEX(Firms!$G$5:$G$1004,$T1634)),IF(INDEX('AFA Rates'!$F$5:$F$1004,$T1634)="","",INDEX('AFA Rates'!$F$5:$F$1004,$T1634))))</f>
        <v/>
      </c>
      <c r="I1634" s="50">
        <f>IF($T1634="","",IF($S1634="S",IF(INDEX(Firms!$H$5:$H$1004,$T1634)="","",INDEX(Firms!$H$5:$H$1004,$T1634)),IF(INDEX('AFA Rates'!$G$5:$G$1004,$T1634)="","",INDEX('AFA Rates'!$G$5:$G$1004,$T1634))))</f>
        <v/>
      </c>
      <c r="J1634" s="50">
        <f>IF($T1634="","",IF($S1634="S",IF(INDEX(Firms!$I$5:$I$1004,$T1634)="","",INDEX(Firms!$I$5:$I$1004,$T1634)),IF(INDEX('AFA Rates'!$H$5:$H$1004,$T1634)="","",INDEX('AFA Rates'!$H$5:$H$1004,$T1634))))</f>
        <v/>
      </c>
      <c r="K1634" s="50">
        <f>IF($T1634="","",IF($S1634="S",IF(INDEX(Firms!$J$5:$J$1004,$T1634)="","",INDEX(Firms!$J$5:$J$1004,$T1634)),IF(INDEX('AFA Rates'!$I$5:$I$1004,$T1634)="","",INDEX('AFA Rates'!$I$5:$I$1004,$T1634))))</f>
        <v/>
      </c>
      <c r="L1634" s="50">
        <f>IF($T1634="","",IF($S1634="S",IF(INDEX(Firms!$K$5:$K$1004,$T1634)="","",INDEX(Firms!$K$5:$K$1004,$T1634)),IF(INDEX('AFA Rates'!$J$5:$J$1004,$T1634)="","",INDEX('AFA Rates'!$J$5:$J$1004,$T1634))))</f>
        <v/>
      </c>
      <c r="M1634" s="50">
        <f>IF($T1634="","",IF($S1634="S",IF(INDEX(Firms!$L$5:$L$1004,$T1634)="","",INDEX(Firms!$L$5:$L$1004,$T1634)),IF(INDEX('AFA Rates'!$K$5:$K$1004,$T1634)="","",INDEX('AFA Rates'!$K$5:$K$1004,$T1634))))</f>
        <v/>
      </c>
      <c r="N1634" s="50">
        <f>IF($T1634="","",IF($S1634="S",IF(INDEX(Firms!$M$5:$M$1004,$T1634)="","",INDEX(Firms!$M$5:$M$1004,$T1634)),IF(INDEX('AFA Rates'!$L$5:$L$1004,$T1634)="","",INDEX('AFA Rates'!$L$5:$L$1004,$T1634))))</f>
        <v/>
      </c>
      <c r="O1634" s="78">
        <f>IF(OR($T1634="",$U1634=""),"",IF(INDEX(Firms!$C$5:$C$1004,$U1634)="","",INDEX(Firms!$C$5:$C$1004,$U1634)))</f>
        <v/>
      </c>
      <c r="P1634" s="79">
        <f>IF(OR($T1634="",$U1634=""),"",IF(INDEX(Firms!$N$5:$N$1004,$U1634)="","",INDEX(Firms!$N$5:$N$1004,$U1634)))</f>
        <v/>
      </c>
      <c r="Q1634" s="78">
        <f>IF($T1634="","",IF($S1634="S",IF(INDEX(Firms!$T$5:$T$1004,$T1634)="","",INDEX(Firms!$T$5:$T$1004,$T1634)),IF(INDEX('AFA Rates'!$M$5:$M$1004,$T1634)="","",INDEX('AFA Rates'!$M$5:$M$1004,$T1634))))</f>
        <v/>
      </c>
      <c r="S1634">
        <f>IF(1630&lt;=$S$2,"S",IF(1630&lt;=$S$2+$T$2,"A",""))</f>
        <v/>
      </c>
      <c r="T1634">
        <f>IF(S1634="S",MATCH(1630,Firms!$W$5:$W$1004,0),IF(S1634="A",IFERROR(MATCH(1630-$S$2,'AFA Rates'!$R$5:$R$1004,0),""),""))</f>
        <v/>
      </c>
      <c r="U1634">
        <f>IF(S1634="S",T1634,IF(AND(S1634="A",T1634&lt;&gt;""),IFERROR(MATCH(INDEX('AFA Rates'!$A$5:$A$1004,T1634),Firms!$A$5:$A$1004,0),""),""))</f>
        <v/>
      </c>
    </row>
    <row r="1635">
      <c r="A1635" s="78">
        <f>IF($T1635="","",IF($S1635="S",IF(INDEX(Firms!$A$5:$A$1004,$T1635)="","",INDEX(Firms!$A$5:$A$1004,$T1635)),IF(INDEX('AFA Rates'!$A$5:$A$1004,$T1635)="","",INDEX('AFA Rates'!$A$5:$A$1004,$T1635))))</f>
        <v/>
      </c>
      <c r="B1635" s="79">
        <f>IF(OR($T1635="",$U1635=""),IF($T1635="","","Not on Firms tab"),INDEX(Firms!$B$5:$B$1004,$U1635)&amp;"")</f>
        <v/>
      </c>
      <c r="C1635" s="78">
        <f>IF($T1635="","",IF($S1635="S","Standard",INDEX('AFA Rates'!$B$5:$B$1004,$T1635)&amp;""))</f>
        <v/>
      </c>
      <c r="D1635" s="88">
        <f>IF($T1635="","",IF($S1635="S",IF(INDEX(Firms!$E$5:$E$1004,$T1635)="","",INDEX(Firms!$E$5:$E$1004,$T1635)),IF(INDEX('AFA Rates'!$C$5:$C$1004,$T1635)="","",INDEX('AFA Rates'!$C$5:$C$1004,$T1635))))</f>
        <v/>
      </c>
      <c r="E1635" s="88">
        <f>IF($T1635="","",IF($S1635="S",IF(""="","",""),IF(INDEX('AFA Rates'!$D$5:$D$1004,$T1635)="","",INDEX('AFA Rates'!$D$5:$D$1004,$T1635))))</f>
        <v/>
      </c>
      <c r="F1635" s="79">
        <f>IF($T1635="","",IF($S1635="S",IF(INDEX(Firms!$O$5:$O$1004,$T1635)="","",INDEX(Firms!$O$5:$O$1004,$T1635)),IF(INDEX('AFA Rates'!$O$5:$O$1004,$T1635)="","",INDEX('AFA Rates'!$O$5:$O$1004,$T1635))))</f>
        <v/>
      </c>
      <c r="G1635" s="50">
        <f>IF($T1635="","",IF($S1635="S",IF(INDEX(Firms!$F$5:$F$1004,$T1635)="","",INDEX(Firms!$F$5:$F$1004,$T1635)),IF(INDEX('AFA Rates'!$E$5:$E$1004,$T1635)="","",INDEX('AFA Rates'!$E$5:$E$1004,$T1635))))</f>
        <v/>
      </c>
      <c r="H1635" s="50">
        <f>IF($T1635="","",IF($S1635="S",IF(INDEX(Firms!$G$5:$G$1004,$T1635)="","",INDEX(Firms!$G$5:$G$1004,$T1635)),IF(INDEX('AFA Rates'!$F$5:$F$1004,$T1635)="","",INDEX('AFA Rates'!$F$5:$F$1004,$T1635))))</f>
        <v/>
      </c>
      <c r="I1635" s="50">
        <f>IF($T1635="","",IF($S1635="S",IF(INDEX(Firms!$H$5:$H$1004,$T1635)="","",INDEX(Firms!$H$5:$H$1004,$T1635)),IF(INDEX('AFA Rates'!$G$5:$G$1004,$T1635)="","",INDEX('AFA Rates'!$G$5:$G$1004,$T1635))))</f>
        <v/>
      </c>
      <c r="J1635" s="50">
        <f>IF($T1635="","",IF($S1635="S",IF(INDEX(Firms!$I$5:$I$1004,$T1635)="","",INDEX(Firms!$I$5:$I$1004,$T1635)),IF(INDEX('AFA Rates'!$H$5:$H$1004,$T1635)="","",INDEX('AFA Rates'!$H$5:$H$1004,$T1635))))</f>
        <v/>
      </c>
      <c r="K1635" s="50">
        <f>IF($T1635="","",IF($S1635="S",IF(INDEX(Firms!$J$5:$J$1004,$T1635)="","",INDEX(Firms!$J$5:$J$1004,$T1635)),IF(INDEX('AFA Rates'!$I$5:$I$1004,$T1635)="","",INDEX('AFA Rates'!$I$5:$I$1004,$T1635))))</f>
        <v/>
      </c>
      <c r="L1635" s="50">
        <f>IF($T1635="","",IF($S1635="S",IF(INDEX(Firms!$K$5:$K$1004,$T1635)="","",INDEX(Firms!$K$5:$K$1004,$T1635)),IF(INDEX('AFA Rates'!$J$5:$J$1004,$T1635)="","",INDEX('AFA Rates'!$J$5:$J$1004,$T1635))))</f>
        <v/>
      </c>
      <c r="M1635" s="50">
        <f>IF($T1635="","",IF($S1635="S",IF(INDEX(Firms!$L$5:$L$1004,$T1635)="","",INDEX(Firms!$L$5:$L$1004,$T1635)),IF(INDEX('AFA Rates'!$K$5:$K$1004,$T1635)="","",INDEX('AFA Rates'!$K$5:$K$1004,$T1635))))</f>
        <v/>
      </c>
      <c r="N1635" s="50">
        <f>IF($T1635="","",IF($S1635="S",IF(INDEX(Firms!$M$5:$M$1004,$T1635)="","",INDEX(Firms!$M$5:$M$1004,$T1635)),IF(INDEX('AFA Rates'!$L$5:$L$1004,$T1635)="","",INDEX('AFA Rates'!$L$5:$L$1004,$T1635))))</f>
        <v/>
      </c>
      <c r="O1635" s="78">
        <f>IF(OR($T1635="",$U1635=""),"",IF(INDEX(Firms!$C$5:$C$1004,$U1635)="","",INDEX(Firms!$C$5:$C$1004,$U1635)))</f>
        <v/>
      </c>
      <c r="P1635" s="79">
        <f>IF(OR($T1635="",$U1635=""),"",IF(INDEX(Firms!$N$5:$N$1004,$U1635)="","",INDEX(Firms!$N$5:$N$1004,$U1635)))</f>
        <v/>
      </c>
      <c r="Q1635" s="78">
        <f>IF($T1635="","",IF($S1635="S",IF(INDEX(Firms!$T$5:$T$1004,$T1635)="","",INDEX(Firms!$T$5:$T$1004,$T1635)),IF(INDEX('AFA Rates'!$M$5:$M$1004,$T1635)="","",INDEX('AFA Rates'!$M$5:$M$1004,$T1635))))</f>
        <v/>
      </c>
      <c r="S1635">
        <f>IF(1631&lt;=$S$2,"S",IF(1631&lt;=$S$2+$T$2,"A",""))</f>
        <v/>
      </c>
      <c r="T1635">
        <f>IF(S1635="S",MATCH(1631,Firms!$W$5:$W$1004,0),IF(S1635="A",IFERROR(MATCH(1631-$S$2,'AFA Rates'!$R$5:$R$1004,0),""),""))</f>
        <v/>
      </c>
      <c r="U1635">
        <f>IF(S1635="S",T1635,IF(AND(S1635="A",T1635&lt;&gt;""),IFERROR(MATCH(INDEX('AFA Rates'!$A$5:$A$1004,T1635),Firms!$A$5:$A$1004,0),""),""))</f>
        <v/>
      </c>
    </row>
    <row r="1636">
      <c r="A1636" s="78">
        <f>IF($T1636="","",IF($S1636="S",IF(INDEX(Firms!$A$5:$A$1004,$T1636)="","",INDEX(Firms!$A$5:$A$1004,$T1636)),IF(INDEX('AFA Rates'!$A$5:$A$1004,$T1636)="","",INDEX('AFA Rates'!$A$5:$A$1004,$T1636))))</f>
        <v/>
      </c>
      <c r="B1636" s="79">
        <f>IF(OR($T1636="",$U1636=""),IF($T1636="","","Not on Firms tab"),INDEX(Firms!$B$5:$B$1004,$U1636)&amp;"")</f>
        <v/>
      </c>
      <c r="C1636" s="78">
        <f>IF($T1636="","",IF($S1636="S","Standard",INDEX('AFA Rates'!$B$5:$B$1004,$T1636)&amp;""))</f>
        <v/>
      </c>
      <c r="D1636" s="88">
        <f>IF($T1636="","",IF($S1636="S",IF(INDEX(Firms!$E$5:$E$1004,$T1636)="","",INDEX(Firms!$E$5:$E$1004,$T1636)),IF(INDEX('AFA Rates'!$C$5:$C$1004,$T1636)="","",INDEX('AFA Rates'!$C$5:$C$1004,$T1636))))</f>
        <v/>
      </c>
      <c r="E1636" s="88">
        <f>IF($T1636="","",IF($S1636="S",IF(""="","",""),IF(INDEX('AFA Rates'!$D$5:$D$1004,$T1636)="","",INDEX('AFA Rates'!$D$5:$D$1004,$T1636))))</f>
        <v/>
      </c>
      <c r="F1636" s="79">
        <f>IF($T1636="","",IF($S1636="S",IF(INDEX(Firms!$O$5:$O$1004,$T1636)="","",INDEX(Firms!$O$5:$O$1004,$T1636)),IF(INDEX('AFA Rates'!$O$5:$O$1004,$T1636)="","",INDEX('AFA Rates'!$O$5:$O$1004,$T1636))))</f>
        <v/>
      </c>
      <c r="G1636" s="50">
        <f>IF($T1636="","",IF($S1636="S",IF(INDEX(Firms!$F$5:$F$1004,$T1636)="","",INDEX(Firms!$F$5:$F$1004,$T1636)),IF(INDEX('AFA Rates'!$E$5:$E$1004,$T1636)="","",INDEX('AFA Rates'!$E$5:$E$1004,$T1636))))</f>
        <v/>
      </c>
      <c r="H1636" s="50">
        <f>IF($T1636="","",IF($S1636="S",IF(INDEX(Firms!$G$5:$G$1004,$T1636)="","",INDEX(Firms!$G$5:$G$1004,$T1636)),IF(INDEX('AFA Rates'!$F$5:$F$1004,$T1636)="","",INDEX('AFA Rates'!$F$5:$F$1004,$T1636))))</f>
        <v/>
      </c>
      <c r="I1636" s="50">
        <f>IF($T1636="","",IF($S1636="S",IF(INDEX(Firms!$H$5:$H$1004,$T1636)="","",INDEX(Firms!$H$5:$H$1004,$T1636)),IF(INDEX('AFA Rates'!$G$5:$G$1004,$T1636)="","",INDEX('AFA Rates'!$G$5:$G$1004,$T1636))))</f>
        <v/>
      </c>
      <c r="J1636" s="50">
        <f>IF($T1636="","",IF($S1636="S",IF(INDEX(Firms!$I$5:$I$1004,$T1636)="","",INDEX(Firms!$I$5:$I$1004,$T1636)),IF(INDEX('AFA Rates'!$H$5:$H$1004,$T1636)="","",INDEX('AFA Rates'!$H$5:$H$1004,$T1636))))</f>
        <v/>
      </c>
      <c r="K1636" s="50">
        <f>IF($T1636="","",IF($S1636="S",IF(INDEX(Firms!$J$5:$J$1004,$T1636)="","",INDEX(Firms!$J$5:$J$1004,$T1636)),IF(INDEX('AFA Rates'!$I$5:$I$1004,$T1636)="","",INDEX('AFA Rates'!$I$5:$I$1004,$T1636))))</f>
        <v/>
      </c>
      <c r="L1636" s="50">
        <f>IF($T1636="","",IF($S1636="S",IF(INDEX(Firms!$K$5:$K$1004,$T1636)="","",INDEX(Firms!$K$5:$K$1004,$T1636)),IF(INDEX('AFA Rates'!$J$5:$J$1004,$T1636)="","",INDEX('AFA Rates'!$J$5:$J$1004,$T1636))))</f>
        <v/>
      </c>
      <c r="M1636" s="50">
        <f>IF($T1636="","",IF($S1636="S",IF(INDEX(Firms!$L$5:$L$1004,$T1636)="","",INDEX(Firms!$L$5:$L$1004,$T1636)),IF(INDEX('AFA Rates'!$K$5:$K$1004,$T1636)="","",INDEX('AFA Rates'!$K$5:$K$1004,$T1636))))</f>
        <v/>
      </c>
      <c r="N1636" s="50">
        <f>IF($T1636="","",IF($S1636="S",IF(INDEX(Firms!$M$5:$M$1004,$T1636)="","",INDEX(Firms!$M$5:$M$1004,$T1636)),IF(INDEX('AFA Rates'!$L$5:$L$1004,$T1636)="","",INDEX('AFA Rates'!$L$5:$L$1004,$T1636))))</f>
        <v/>
      </c>
      <c r="O1636" s="78">
        <f>IF(OR($T1636="",$U1636=""),"",IF(INDEX(Firms!$C$5:$C$1004,$U1636)="","",INDEX(Firms!$C$5:$C$1004,$U1636)))</f>
        <v/>
      </c>
      <c r="P1636" s="79">
        <f>IF(OR($T1636="",$U1636=""),"",IF(INDEX(Firms!$N$5:$N$1004,$U1636)="","",INDEX(Firms!$N$5:$N$1004,$U1636)))</f>
        <v/>
      </c>
      <c r="Q1636" s="78">
        <f>IF($T1636="","",IF($S1636="S",IF(INDEX(Firms!$T$5:$T$1004,$T1636)="","",INDEX(Firms!$T$5:$T$1004,$T1636)),IF(INDEX('AFA Rates'!$M$5:$M$1004,$T1636)="","",INDEX('AFA Rates'!$M$5:$M$1004,$T1636))))</f>
        <v/>
      </c>
      <c r="S1636">
        <f>IF(1632&lt;=$S$2,"S",IF(1632&lt;=$S$2+$T$2,"A",""))</f>
        <v/>
      </c>
      <c r="T1636">
        <f>IF(S1636="S",MATCH(1632,Firms!$W$5:$W$1004,0),IF(S1636="A",IFERROR(MATCH(1632-$S$2,'AFA Rates'!$R$5:$R$1004,0),""),""))</f>
        <v/>
      </c>
      <c r="U1636">
        <f>IF(S1636="S",T1636,IF(AND(S1636="A",T1636&lt;&gt;""),IFERROR(MATCH(INDEX('AFA Rates'!$A$5:$A$1004,T1636),Firms!$A$5:$A$1004,0),""),""))</f>
        <v/>
      </c>
    </row>
    <row r="1637">
      <c r="A1637" s="78">
        <f>IF($T1637="","",IF($S1637="S",IF(INDEX(Firms!$A$5:$A$1004,$T1637)="","",INDEX(Firms!$A$5:$A$1004,$T1637)),IF(INDEX('AFA Rates'!$A$5:$A$1004,$T1637)="","",INDEX('AFA Rates'!$A$5:$A$1004,$T1637))))</f>
        <v/>
      </c>
      <c r="B1637" s="79">
        <f>IF(OR($T1637="",$U1637=""),IF($T1637="","","Not on Firms tab"),INDEX(Firms!$B$5:$B$1004,$U1637)&amp;"")</f>
        <v/>
      </c>
      <c r="C1637" s="78">
        <f>IF($T1637="","",IF($S1637="S","Standard",INDEX('AFA Rates'!$B$5:$B$1004,$T1637)&amp;""))</f>
        <v/>
      </c>
      <c r="D1637" s="88">
        <f>IF($T1637="","",IF($S1637="S",IF(INDEX(Firms!$E$5:$E$1004,$T1637)="","",INDEX(Firms!$E$5:$E$1004,$T1637)),IF(INDEX('AFA Rates'!$C$5:$C$1004,$T1637)="","",INDEX('AFA Rates'!$C$5:$C$1004,$T1637))))</f>
        <v/>
      </c>
      <c r="E1637" s="88">
        <f>IF($T1637="","",IF($S1637="S",IF(""="","",""),IF(INDEX('AFA Rates'!$D$5:$D$1004,$T1637)="","",INDEX('AFA Rates'!$D$5:$D$1004,$T1637))))</f>
        <v/>
      </c>
      <c r="F1637" s="79">
        <f>IF($T1637="","",IF($S1637="S",IF(INDEX(Firms!$O$5:$O$1004,$T1637)="","",INDEX(Firms!$O$5:$O$1004,$T1637)),IF(INDEX('AFA Rates'!$O$5:$O$1004,$T1637)="","",INDEX('AFA Rates'!$O$5:$O$1004,$T1637))))</f>
        <v/>
      </c>
      <c r="G1637" s="50">
        <f>IF($T1637="","",IF($S1637="S",IF(INDEX(Firms!$F$5:$F$1004,$T1637)="","",INDEX(Firms!$F$5:$F$1004,$T1637)),IF(INDEX('AFA Rates'!$E$5:$E$1004,$T1637)="","",INDEX('AFA Rates'!$E$5:$E$1004,$T1637))))</f>
        <v/>
      </c>
      <c r="H1637" s="50">
        <f>IF($T1637="","",IF($S1637="S",IF(INDEX(Firms!$G$5:$G$1004,$T1637)="","",INDEX(Firms!$G$5:$G$1004,$T1637)),IF(INDEX('AFA Rates'!$F$5:$F$1004,$T1637)="","",INDEX('AFA Rates'!$F$5:$F$1004,$T1637))))</f>
        <v/>
      </c>
      <c r="I1637" s="50">
        <f>IF($T1637="","",IF($S1637="S",IF(INDEX(Firms!$H$5:$H$1004,$T1637)="","",INDEX(Firms!$H$5:$H$1004,$T1637)),IF(INDEX('AFA Rates'!$G$5:$G$1004,$T1637)="","",INDEX('AFA Rates'!$G$5:$G$1004,$T1637))))</f>
        <v/>
      </c>
      <c r="J1637" s="50">
        <f>IF($T1637="","",IF($S1637="S",IF(INDEX(Firms!$I$5:$I$1004,$T1637)="","",INDEX(Firms!$I$5:$I$1004,$T1637)),IF(INDEX('AFA Rates'!$H$5:$H$1004,$T1637)="","",INDEX('AFA Rates'!$H$5:$H$1004,$T1637))))</f>
        <v/>
      </c>
      <c r="K1637" s="50">
        <f>IF($T1637="","",IF($S1637="S",IF(INDEX(Firms!$J$5:$J$1004,$T1637)="","",INDEX(Firms!$J$5:$J$1004,$T1637)),IF(INDEX('AFA Rates'!$I$5:$I$1004,$T1637)="","",INDEX('AFA Rates'!$I$5:$I$1004,$T1637))))</f>
        <v/>
      </c>
      <c r="L1637" s="50">
        <f>IF($T1637="","",IF($S1637="S",IF(INDEX(Firms!$K$5:$K$1004,$T1637)="","",INDEX(Firms!$K$5:$K$1004,$T1637)),IF(INDEX('AFA Rates'!$J$5:$J$1004,$T1637)="","",INDEX('AFA Rates'!$J$5:$J$1004,$T1637))))</f>
        <v/>
      </c>
      <c r="M1637" s="50">
        <f>IF($T1637="","",IF($S1637="S",IF(INDEX(Firms!$L$5:$L$1004,$T1637)="","",INDEX(Firms!$L$5:$L$1004,$T1637)),IF(INDEX('AFA Rates'!$K$5:$K$1004,$T1637)="","",INDEX('AFA Rates'!$K$5:$K$1004,$T1637))))</f>
        <v/>
      </c>
      <c r="N1637" s="50">
        <f>IF($T1637="","",IF($S1637="S",IF(INDEX(Firms!$M$5:$M$1004,$T1637)="","",INDEX(Firms!$M$5:$M$1004,$T1637)),IF(INDEX('AFA Rates'!$L$5:$L$1004,$T1637)="","",INDEX('AFA Rates'!$L$5:$L$1004,$T1637))))</f>
        <v/>
      </c>
      <c r="O1637" s="78">
        <f>IF(OR($T1637="",$U1637=""),"",IF(INDEX(Firms!$C$5:$C$1004,$U1637)="","",INDEX(Firms!$C$5:$C$1004,$U1637)))</f>
        <v/>
      </c>
      <c r="P1637" s="79">
        <f>IF(OR($T1637="",$U1637=""),"",IF(INDEX(Firms!$N$5:$N$1004,$U1637)="","",INDEX(Firms!$N$5:$N$1004,$U1637)))</f>
        <v/>
      </c>
      <c r="Q1637" s="78">
        <f>IF($T1637="","",IF($S1637="S",IF(INDEX(Firms!$T$5:$T$1004,$T1637)="","",INDEX(Firms!$T$5:$T$1004,$T1637)),IF(INDEX('AFA Rates'!$M$5:$M$1004,$T1637)="","",INDEX('AFA Rates'!$M$5:$M$1004,$T1637))))</f>
        <v/>
      </c>
      <c r="S1637">
        <f>IF(1633&lt;=$S$2,"S",IF(1633&lt;=$S$2+$T$2,"A",""))</f>
        <v/>
      </c>
      <c r="T1637">
        <f>IF(S1637="S",MATCH(1633,Firms!$W$5:$W$1004,0),IF(S1637="A",IFERROR(MATCH(1633-$S$2,'AFA Rates'!$R$5:$R$1004,0),""),""))</f>
        <v/>
      </c>
      <c r="U1637">
        <f>IF(S1637="S",T1637,IF(AND(S1637="A",T1637&lt;&gt;""),IFERROR(MATCH(INDEX('AFA Rates'!$A$5:$A$1004,T1637),Firms!$A$5:$A$1004,0),""),""))</f>
        <v/>
      </c>
    </row>
    <row r="1638">
      <c r="A1638" s="78">
        <f>IF($T1638="","",IF($S1638="S",IF(INDEX(Firms!$A$5:$A$1004,$T1638)="","",INDEX(Firms!$A$5:$A$1004,$T1638)),IF(INDEX('AFA Rates'!$A$5:$A$1004,$T1638)="","",INDEX('AFA Rates'!$A$5:$A$1004,$T1638))))</f>
        <v/>
      </c>
      <c r="B1638" s="79">
        <f>IF(OR($T1638="",$U1638=""),IF($T1638="","","Not on Firms tab"),INDEX(Firms!$B$5:$B$1004,$U1638)&amp;"")</f>
        <v/>
      </c>
      <c r="C1638" s="78">
        <f>IF($T1638="","",IF($S1638="S","Standard",INDEX('AFA Rates'!$B$5:$B$1004,$T1638)&amp;""))</f>
        <v/>
      </c>
      <c r="D1638" s="88">
        <f>IF($T1638="","",IF($S1638="S",IF(INDEX(Firms!$E$5:$E$1004,$T1638)="","",INDEX(Firms!$E$5:$E$1004,$T1638)),IF(INDEX('AFA Rates'!$C$5:$C$1004,$T1638)="","",INDEX('AFA Rates'!$C$5:$C$1004,$T1638))))</f>
        <v/>
      </c>
      <c r="E1638" s="88">
        <f>IF($T1638="","",IF($S1638="S",IF(""="","",""),IF(INDEX('AFA Rates'!$D$5:$D$1004,$T1638)="","",INDEX('AFA Rates'!$D$5:$D$1004,$T1638))))</f>
        <v/>
      </c>
      <c r="F1638" s="79">
        <f>IF($T1638="","",IF($S1638="S",IF(INDEX(Firms!$O$5:$O$1004,$T1638)="","",INDEX(Firms!$O$5:$O$1004,$T1638)),IF(INDEX('AFA Rates'!$O$5:$O$1004,$T1638)="","",INDEX('AFA Rates'!$O$5:$O$1004,$T1638))))</f>
        <v/>
      </c>
      <c r="G1638" s="50">
        <f>IF($T1638="","",IF($S1638="S",IF(INDEX(Firms!$F$5:$F$1004,$T1638)="","",INDEX(Firms!$F$5:$F$1004,$T1638)),IF(INDEX('AFA Rates'!$E$5:$E$1004,$T1638)="","",INDEX('AFA Rates'!$E$5:$E$1004,$T1638))))</f>
        <v/>
      </c>
      <c r="H1638" s="50">
        <f>IF($T1638="","",IF($S1638="S",IF(INDEX(Firms!$G$5:$G$1004,$T1638)="","",INDEX(Firms!$G$5:$G$1004,$T1638)),IF(INDEX('AFA Rates'!$F$5:$F$1004,$T1638)="","",INDEX('AFA Rates'!$F$5:$F$1004,$T1638))))</f>
        <v/>
      </c>
      <c r="I1638" s="50">
        <f>IF($T1638="","",IF($S1638="S",IF(INDEX(Firms!$H$5:$H$1004,$T1638)="","",INDEX(Firms!$H$5:$H$1004,$T1638)),IF(INDEX('AFA Rates'!$G$5:$G$1004,$T1638)="","",INDEX('AFA Rates'!$G$5:$G$1004,$T1638))))</f>
        <v/>
      </c>
      <c r="J1638" s="50">
        <f>IF($T1638="","",IF($S1638="S",IF(INDEX(Firms!$I$5:$I$1004,$T1638)="","",INDEX(Firms!$I$5:$I$1004,$T1638)),IF(INDEX('AFA Rates'!$H$5:$H$1004,$T1638)="","",INDEX('AFA Rates'!$H$5:$H$1004,$T1638))))</f>
        <v/>
      </c>
      <c r="K1638" s="50">
        <f>IF($T1638="","",IF($S1638="S",IF(INDEX(Firms!$J$5:$J$1004,$T1638)="","",INDEX(Firms!$J$5:$J$1004,$T1638)),IF(INDEX('AFA Rates'!$I$5:$I$1004,$T1638)="","",INDEX('AFA Rates'!$I$5:$I$1004,$T1638))))</f>
        <v/>
      </c>
      <c r="L1638" s="50">
        <f>IF($T1638="","",IF($S1638="S",IF(INDEX(Firms!$K$5:$K$1004,$T1638)="","",INDEX(Firms!$K$5:$K$1004,$T1638)),IF(INDEX('AFA Rates'!$J$5:$J$1004,$T1638)="","",INDEX('AFA Rates'!$J$5:$J$1004,$T1638))))</f>
        <v/>
      </c>
      <c r="M1638" s="50">
        <f>IF($T1638="","",IF($S1638="S",IF(INDEX(Firms!$L$5:$L$1004,$T1638)="","",INDEX(Firms!$L$5:$L$1004,$T1638)),IF(INDEX('AFA Rates'!$K$5:$K$1004,$T1638)="","",INDEX('AFA Rates'!$K$5:$K$1004,$T1638))))</f>
        <v/>
      </c>
      <c r="N1638" s="50">
        <f>IF($T1638="","",IF($S1638="S",IF(INDEX(Firms!$M$5:$M$1004,$T1638)="","",INDEX(Firms!$M$5:$M$1004,$T1638)),IF(INDEX('AFA Rates'!$L$5:$L$1004,$T1638)="","",INDEX('AFA Rates'!$L$5:$L$1004,$T1638))))</f>
        <v/>
      </c>
      <c r="O1638" s="78">
        <f>IF(OR($T1638="",$U1638=""),"",IF(INDEX(Firms!$C$5:$C$1004,$U1638)="","",INDEX(Firms!$C$5:$C$1004,$U1638)))</f>
        <v/>
      </c>
      <c r="P1638" s="79">
        <f>IF(OR($T1638="",$U1638=""),"",IF(INDEX(Firms!$N$5:$N$1004,$U1638)="","",INDEX(Firms!$N$5:$N$1004,$U1638)))</f>
        <v/>
      </c>
      <c r="Q1638" s="78">
        <f>IF($T1638="","",IF($S1638="S",IF(INDEX(Firms!$T$5:$T$1004,$T1638)="","",INDEX(Firms!$T$5:$T$1004,$T1638)),IF(INDEX('AFA Rates'!$M$5:$M$1004,$T1638)="","",INDEX('AFA Rates'!$M$5:$M$1004,$T1638))))</f>
        <v/>
      </c>
      <c r="S1638">
        <f>IF(1634&lt;=$S$2,"S",IF(1634&lt;=$S$2+$T$2,"A",""))</f>
        <v/>
      </c>
      <c r="T1638">
        <f>IF(S1638="S",MATCH(1634,Firms!$W$5:$W$1004,0),IF(S1638="A",IFERROR(MATCH(1634-$S$2,'AFA Rates'!$R$5:$R$1004,0),""),""))</f>
        <v/>
      </c>
      <c r="U1638">
        <f>IF(S1638="S",T1638,IF(AND(S1638="A",T1638&lt;&gt;""),IFERROR(MATCH(INDEX('AFA Rates'!$A$5:$A$1004,T1638),Firms!$A$5:$A$1004,0),""),""))</f>
        <v/>
      </c>
    </row>
    <row r="1639">
      <c r="A1639" s="78">
        <f>IF($T1639="","",IF($S1639="S",IF(INDEX(Firms!$A$5:$A$1004,$T1639)="","",INDEX(Firms!$A$5:$A$1004,$T1639)),IF(INDEX('AFA Rates'!$A$5:$A$1004,$T1639)="","",INDEX('AFA Rates'!$A$5:$A$1004,$T1639))))</f>
        <v/>
      </c>
      <c r="B1639" s="79">
        <f>IF(OR($T1639="",$U1639=""),IF($T1639="","","Not on Firms tab"),INDEX(Firms!$B$5:$B$1004,$U1639)&amp;"")</f>
        <v/>
      </c>
      <c r="C1639" s="78">
        <f>IF($T1639="","",IF($S1639="S","Standard",INDEX('AFA Rates'!$B$5:$B$1004,$T1639)&amp;""))</f>
        <v/>
      </c>
      <c r="D1639" s="88">
        <f>IF($T1639="","",IF($S1639="S",IF(INDEX(Firms!$E$5:$E$1004,$T1639)="","",INDEX(Firms!$E$5:$E$1004,$T1639)),IF(INDEX('AFA Rates'!$C$5:$C$1004,$T1639)="","",INDEX('AFA Rates'!$C$5:$C$1004,$T1639))))</f>
        <v/>
      </c>
      <c r="E1639" s="88">
        <f>IF($T1639="","",IF($S1639="S",IF(""="","",""),IF(INDEX('AFA Rates'!$D$5:$D$1004,$T1639)="","",INDEX('AFA Rates'!$D$5:$D$1004,$T1639))))</f>
        <v/>
      </c>
      <c r="F1639" s="79">
        <f>IF($T1639="","",IF($S1639="S",IF(INDEX(Firms!$O$5:$O$1004,$T1639)="","",INDEX(Firms!$O$5:$O$1004,$T1639)),IF(INDEX('AFA Rates'!$O$5:$O$1004,$T1639)="","",INDEX('AFA Rates'!$O$5:$O$1004,$T1639))))</f>
        <v/>
      </c>
      <c r="G1639" s="50">
        <f>IF($T1639="","",IF($S1639="S",IF(INDEX(Firms!$F$5:$F$1004,$T1639)="","",INDEX(Firms!$F$5:$F$1004,$T1639)),IF(INDEX('AFA Rates'!$E$5:$E$1004,$T1639)="","",INDEX('AFA Rates'!$E$5:$E$1004,$T1639))))</f>
        <v/>
      </c>
      <c r="H1639" s="50">
        <f>IF($T1639="","",IF($S1639="S",IF(INDEX(Firms!$G$5:$G$1004,$T1639)="","",INDEX(Firms!$G$5:$G$1004,$T1639)),IF(INDEX('AFA Rates'!$F$5:$F$1004,$T1639)="","",INDEX('AFA Rates'!$F$5:$F$1004,$T1639))))</f>
        <v/>
      </c>
      <c r="I1639" s="50">
        <f>IF($T1639="","",IF($S1639="S",IF(INDEX(Firms!$H$5:$H$1004,$T1639)="","",INDEX(Firms!$H$5:$H$1004,$T1639)),IF(INDEX('AFA Rates'!$G$5:$G$1004,$T1639)="","",INDEX('AFA Rates'!$G$5:$G$1004,$T1639))))</f>
        <v/>
      </c>
      <c r="J1639" s="50">
        <f>IF($T1639="","",IF($S1639="S",IF(INDEX(Firms!$I$5:$I$1004,$T1639)="","",INDEX(Firms!$I$5:$I$1004,$T1639)),IF(INDEX('AFA Rates'!$H$5:$H$1004,$T1639)="","",INDEX('AFA Rates'!$H$5:$H$1004,$T1639))))</f>
        <v/>
      </c>
      <c r="K1639" s="50">
        <f>IF($T1639="","",IF($S1639="S",IF(INDEX(Firms!$J$5:$J$1004,$T1639)="","",INDEX(Firms!$J$5:$J$1004,$T1639)),IF(INDEX('AFA Rates'!$I$5:$I$1004,$T1639)="","",INDEX('AFA Rates'!$I$5:$I$1004,$T1639))))</f>
        <v/>
      </c>
      <c r="L1639" s="50">
        <f>IF($T1639="","",IF($S1639="S",IF(INDEX(Firms!$K$5:$K$1004,$T1639)="","",INDEX(Firms!$K$5:$K$1004,$T1639)),IF(INDEX('AFA Rates'!$J$5:$J$1004,$T1639)="","",INDEX('AFA Rates'!$J$5:$J$1004,$T1639))))</f>
        <v/>
      </c>
      <c r="M1639" s="50">
        <f>IF($T1639="","",IF($S1639="S",IF(INDEX(Firms!$L$5:$L$1004,$T1639)="","",INDEX(Firms!$L$5:$L$1004,$T1639)),IF(INDEX('AFA Rates'!$K$5:$K$1004,$T1639)="","",INDEX('AFA Rates'!$K$5:$K$1004,$T1639))))</f>
        <v/>
      </c>
      <c r="N1639" s="50">
        <f>IF($T1639="","",IF($S1639="S",IF(INDEX(Firms!$M$5:$M$1004,$T1639)="","",INDEX(Firms!$M$5:$M$1004,$T1639)),IF(INDEX('AFA Rates'!$L$5:$L$1004,$T1639)="","",INDEX('AFA Rates'!$L$5:$L$1004,$T1639))))</f>
        <v/>
      </c>
      <c r="O1639" s="78">
        <f>IF(OR($T1639="",$U1639=""),"",IF(INDEX(Firms!$C$5:$C$1004,$U1639)="","",INDEX(Firms!$C$5:$C$1004,$U1639)))</f>
        <v/>
      </c>
      <c r="P1639" s="79">
        <f>IF(OR($T1639="",$U1639=""),"",IF(INDEX(Firms!$N$5:$N$1004,$U1639)="","",INDEX(Firms!$N$5:$N$1004,$U1639)))</f>
        <v/>
      </c>
      <c r="Q1639" s="78">
        <f>IF($T1639="","",IF($S1639="S",IF(INDEX(Firms!$T$5:$T$1004,$T1639)="","",INDEX(Firms!$T$5:$T$1004,$T1639)),IF(INDEX('AFA Rates'!$M$5:$M$1004,$T1639)="","",INDEX('AFA Rates'!$M$5:$M$1004,$T1639))))</f>
        <v/>
      </c>
      <c r="S1639">
        <f>IF(1635&lt;=$S$2,"S",IF(1635&lt;=$S$2+$T$2,"A",""))</f>
        <v/>
      </c>
      <c r="T1639">
        <f>IF(S1639="S",MATCH(1635,Firms!$W$5:$W$1004,0),IF(S1639="A",IFERROR(MATCH(1635-$S$2,'AFA Rates'!$R$5:$R$1004,0),""),""))</f>
        <v/>
      </c>
      <c r="U1639">
        <f>IF(S1639="S",T1639,IF(AND(S1639="A",T1639&lt;&gt;""),IFERROR(MATCH(INDEX('AFA Rates'!$A$5:$A$1004,T1639),Firms!$A$5:$A$1004,0),""),""))</f>
        <v/>
      </c>
    </row>
    <row r="1640">
      <c r="A1640" s="78">
        <f>IF($T1640="","",IF($S1640="S",IF(INDEX(Firms!$A$5:$A$1004,$T1640)="","",INDEX(Firms!$A$5:$A$1004,$T1640)),IF(INDEX('AFA Rates'!$A$5:$A$1004,$T1640)="","",INDEX('AFA Rates'!$A$5:$A$1004,$T1640))))</f>
        <v/>
      </c>
      <c r="B1640" s="79">
        <f>IF(OR($T1640="",$U1640=""),IF($T1640="","","Not on Firms tab"),INDEX(Firms!$B$5:$B$1004,$U1640)&amp;"")</f>
        <v/>
      </c>
      <c r="C1640" s="78">
        <f>IF($T1640="","",IF($S1640="S","Standard",INDEX('AFA Rates'!$B$5:$B$1004,$T1640)&amp;""))</f>
        <v/>
      </c>
      <c r="D1640" s="88">
        <f>IF($T1640="","",IF($S1640="S",IF(INDEX(Firms!$E$5:$E$1004,$T1640)="","",INDEX(Firms!$E$5:$E$1004,$T1640)),IF(INDEX('AFA Rates'!$C$5:$C$1004,$T1640)="","",INDEX('AFA Rates'!$C$5:$C$1004,$T1640))))</f>
        <v/>
      </c>
      <c r="E1640" s="88">
        <f>IF($T1640="","",IF($S1640="S",IF(""="","",""),IF(INDEX('AFA Rates'!$D$5:$D$1004,$T1640)="","",INDEX('AFA Rates'!$D$5:$D$1004,$T1640))))</f>
        <v/>
      </c>
      <c r="F1640" s="79">
        <f>IF($T1640="","",IF($S1640="S",IF(INDEX(Firms!$O$5:$O$1004,$T1640)="","",INDEX(Firms!$O$5:$O$1004,$T1640)),IF(INDEX('AFA Rates'!$O$5:$O$1004,$T1640)="","",INDEX('AFA Rates'!$O$5:$O$1004,$T1640))))</f>
        <v/>
      </c>
      <c r="G1640" s="50">
        <f>IF($T1640="","",IF($S1640="S",IF(INDEX(Firms!$F$5:$F$1004,$T1640)="","",INDEX(Firms!$F$5:$F$1004,$T1640)),IF(INDEX('AFA Rates'!$E$5:$E$1004,$T1640)="","",INDEX('AFA Rates'!$E$5:$E$1004,$T1640))))</f>
        <v/>
      </c>
      <c r="H1640" s="50">
        <f>IF($T1640="","",IF($S1640="S",IF(INDEX(Firms!$G$5:$G$1004,$T1640)="","",INDEX(Firms!$G$5:$G$1004,$T1640)),IF(INDEX('AFA Rates'!$F$5:$F$1004,$T1640)="","",INDEX('AFA Rates'!$F$5:$F$1004,$T1640))))</f>
        <v/>
      </c>
      <c r="I1640" s="50">
        <f>IF($T1640="","",IF($S1640="S",IF(INDEX(Firms!$H$5:$H$1004,$T1640)="","",INDEX(Firms!$H$5:$H$1004,$T1640)),IF(INDEX('AFA Rates'!$G$5:$G$1004,$T1640)="","",INDEX('AFA Rates'!$G$5:$G$1004,$T1640))))</f>
        <v/>
      </c>
      <c r="J1640" s="50">
        <f>IF($T1640="","",IF($S1640="S",IF(INDEX(Firms!$I$5:$I$1004,$T1640)="","",INDEX(Firms!$I$5:$I$1004,$T1640)),IF(INDEX('AFA Rates'!$H$5:$H$1004,$T1640)="","",INDEX('AFA Rates'!$H$5:$H$1004,$T1640))))</f>
        <v/>
      </c>
      <c r="K1640" s="50">
        <f>IF($T1640="","",IF($S1640="S",IF(INDEX(Firms!$J$5:$J$1004,$T1640)="","",INDEX(Firms!$J$5:$J$1004,$T1640)),IF(INDEX('AFA Rates'!$I$5:$I$1004,$T1640)="","",INDEX('AFA Rates'!$I$5:$I$1004,$T1640))))</f>
        <v/>
      </c>
      <c r="L1640" s="50">
        <f>IF($T1640="","",IF($S1640="S",IF(INDEX(Firms!$K$5:$K$1004,$T1640)="","",INDEX(Firms!$K$5:$K$1004,$T1640)),IF(INDEX('AFA Rates'!$J$5:$J$1004,$T1640)="","",INDEX('AFA Rates'!$J$5:$J$1004,$T1640))))</f>
        <v/>
      </c>
      <c r="M1640" s="50">
        <f>IF($T1640="","",IF($S1640="S",IF(INDEX(Firms!$L$5:$L$1004,$T1640)="","",INDEX(Firms!$L$5:$L$1004,$T1640)),IF(INDEX('AFA Rates'!$K$5:$K$1004,$T1640)="","",INDEX('AFA Rates'!$K$5:$K$1004,$T1640))))</f>
        <v/>
      </c>
      <c r="N1640" s="50">
        <f>IF($T1640="","",IF($S1640="S",IF(INDEX(Firms!$M$5:$M$1004,$T1640)="","",INDEX(Firms!$M$5:$M$1004,$T1640)),IF(INDEX('AFA Rates'!$L$5:$L$1004,$T1640)="","",INDEX('AFA Rates'!$L$5:$L$1004,$T1640))))</f>
        <v/>
      </c>
      <c r="O1640" s="78">
        <f>IF(OR($T1640="",$U1640=""),"",IF(INDEX(Firms!$C$5:$C$1004,$U1640)="","",INDEX(Firms!$C$5:$C$1004,$U1640)))</f>
        <v/>
      </c>
      <c r="P1640" s="79">
        <f>IF(OR($T1640="",$U1640=""),"",IF(INDEX(Firms!$N$5:$N$1004,$U1640)="","",INDEX(Firms!$N$5:$N$1004,$U1640)))</f>
        <v/>
      </c>
      <c r="Q1640" s="78">
        <f>IF($T1640="","",IF($S1640="S",IF(INDEX(Firms!$T$5:$T$1004,$T1640)="","",INDEX(Firms!$T$5:$T$1004,$T1640)),IF(INDEX('AFA Rates'!$M$5:$M$1004,$T1640)="","",INDEX('AFA Rates'!$M$5:$M$1004,$T1640))))</f>
        <v/>
      </c>
      <c r="S1640">
        <f>IF(1636&lt;=$S$2,"S",IF(1636&lt;=$S$2+$T$2,"A",""))</f>
        <v/>
      </c>
      <c r="T1640">
        <f>IF(S1640="S",MATCH(1636,Firms!$W$5:$W$1004,0),IF(S1640="A",IFERROR(MATCH(1636-$S$2,'AFA Rates'!$R$5:$R$1004,0),""),""))</f>
        <v/>
      </c>
      <c r="U1640">
        <f>IF(S1640="S",T1640,IF(AND(S1640="A",T1640&lt;&gt;""),IFERROR(MATCH(INDEX('AFA Rates'!$A$5:$A$1004,T1640),Firms!$A$5:$A$1004,0),""),""))</f>
        <v/>
      </c>
    </row>
    <row r="1641">
      <c r="A1641" s="78">
        <f>IF($T1641="","",IF($S1641="S",IF(INDEX(Firms!$A$5:$A$1004,$T1641)="","",INDEX(Firms!$A$5:$A$1004,$T1641)),IF(INDEX('AFA Rates'!$A$5:$A$1004,$T1641)="","",INDEX('AFA Rates'!$A$5:$A$1004,$T1641))))</f>
        <v/>
      </c>
      <c r="B1641" s="79">
        <f>IF(OR($T1641="",$U1641=""),IF($T1641="","","Not on Firms tab"),INDEX(Firms!$B$5:$B$1004,$U1641)&amp;"")</f>
        <v/>
      </c>
      <c r="C1641" s="78">
        <f>IF($T1641="","",IF($S1641="S","Standard",INDEX('AFA Rates'!$B$5:$B$1004,$T1641)&amp;""))</f>
        <v/>
      </c>
      <c r="D1641" s="88">
        <f>IF($T1641="","",IF($S1641="S",IF(INDEX(Firms!$E$5:$E$1004,$T1641)="","",INDEX(Firms!$E$5:$E$1004,$T1641)),IF(INDEX('AFA Rates'!$C$5:$C$1004,$T1641)="","",INDEX('AFA Rates'!$C$5:$C$1004,$T1641))))</f>
        <v/>
      </c>
      <c r="E1641" s="88">
        <f>IF($T1641="","",IF($S1641="S",IF(""="","",""),IF(INDEX('AFA Rates'!$D$5:$D$1004,$T1641)="","",INDEX('AFA Rates'!$D$5:$D$1004,$T1641))))</f>
        <v/>
      </c>
      <c r="F1641" s="79">
        <f>IF($T1641="","",IF($S1641="S",IF(INDEX(Firms!$O$5:$O$1004,$T1641)="","",INDEX(Firms!$O$5:$O$1004,$T1641)),IF(INDEX('AFA Rates'!$O$5:$O$1004,$T1641)="","",INDEX('AFA Rates'!$O$5:$O$1004,$T1641))))</f>
        <v/>
      </c>
      <c r="G1641" s="50">
        <f>IF($T1641="","",IF($S1641="S",IF(INDEX(Firms!$F$5:$F$1004,$T1641)="","",INDEX(Firms!$F$5:$F$1004,$T1641)),IF(INDEX('AFA Rates'!$E$5:$E$1004,$T1641)="","",INDEX('AFA Rates'!$E$5:$E$1004,$T1641))))</f>
        <v/>
      </c>
      <c r="H1641" s="50">
        <f>IF($T1641="","",IF($S1641="S",IF(INDEX(Firms!$G$5:$G$1004,$T1641)="","",INDEX(Firms!$G$5:$G$1004,$T1641)),IF(INDEX('AFA Rates'!$F$5:$F$1004,$T1641)="","",INDEX('AFA Rates'!$F$5:$F$1004,$T1641))))</f>
        <v/>
      </c>
      <c r="I1641" s="50">
        <f>IF($T1641="","",IF($S1641="S",IF(INDEX(Firms!$H$5:$H$1004,$T1641)="","",INDEX(Firms!$H$5:$H$1004,$T1641)),IF(INDEX('AFA Rates'!$G$5:$G$1004,$T1641)="","",INDEX('AFA Rates'!$G$5:$G$1004,$T1641))))</f>
        <v/>
      </c>
      <c r="J1641" s="50">
        <f>IF($T1641="","",IF($S1641="S",IF(INDEX(Firms!$I$5:$I$1004,$T1641)="","",INDEX(Firms!$I$5:$I$1004,$T1641)),IF(INDEX('AFA Rates'!$H$5:$H$1004,$T1641)="","",INDEX('AFA Rates'!$H$5:$H$1004,$T1641))))</f>
        <v/>
      </c>
      <c r="K1641" s="50">
        <f>IF($T1641="","",IF($S1641="S",IF(INDEX(Firms!$J$5:$J$1004,$T1641)="","",INDEX(Firms!$J$5:$J$1004,$T1641)),IF(INDEX('AFA Rates'!$I$5:$I$1004,$T1641)="","",INDEX('AFA Rates'!$I$5:$I$1004,$T1641))))</f>
        <v/>
      </c>
      <c r="L1641" s="50">
        <f>IF($T1641="","",IF($S1641="S",IF(INDEX(Firms!$K$5:$K$1004,$T1641)="","",INDEX(Firms!$K$5:$K$1004,$T1641)),IF(INDEX('AFA Rates'!$J$5:$J$1004,$T1641)="","",INDEX('AFA Rates'!$J$5:$J$1004,$T1641))))</f>
        <v/>
      </c>
      <c r="M1641" s="50">
        <f>IF($T1641="","",IF($S1641="S",IF(INDEX(Firms!$L$5:$L$1004,$T1641)="","",INDEX(Firms!$L$5:$L$1004,$T1641)),IF(INDEX('AFA Rates'!$K$5:$K$1004,$T1641)="","",INDEX('AFA Rates'!$K$5:$K$1004,$T1641))))</f>
        <v/>
      </c>
      <c r="N1641" s="50">
        <f>IF($T1641="","",IF($S1641="S",IF(INDEX(Firms!$M$5:$M$1004,$T1641)="","",INDEX(Firms!$M$5:$M$1004,$T1641)),IF(INDEX('AFA Rates'!$L$5:$L$1004,$T1641)="","",INDEX('AFA Rates'!$L$5:$L$1004,$T1641))))</f>
        <v/>
      </c>
      <c r="O1641" s="78">
        <f>IF(OR($T1641="",$U1641=""),"",IF(INDEX(Firms!$C$5:$C$1004,$U1641)="","",INDEX(Firms!$C$5:$C$1004,$U1641)))</f>
        <v/>
      </c>
      <c r="P1641" s="79">
        <f>IF(OR($T1641="",$U1641=""),"",IF(INDEX(Firms!$N$5:$N$1004,$U1641)="","",INDEX(Firms!$N$5:$N$1004,$U1641)))</f>
        <v/>
      </c>
      <c r="Q1641" s="78">
        <f>IF($T1641="","",IF($S1641="S",IF(INDEX(Firms!$T$5:$T$1004,$T1641)="","",INDEX(Firms!$T$5:$T$1004,$T1641)),IF(INDEX('AFA Rates'!$M$5:$M$1004,$T1641)="","",INDEX('AFA Rates'!$M$5:$M$1004,$T1641))))</f>
        <v/>
      </c>
      <c r="S1641">
        <f>IF(1637&lt;=$S$2,"S",IF(1637&lt;=$S$2+$T$2,"A",""))</f>
        <v/>
      </c>
      <c r="T1641">
        <f>IF(S1641="S",MATCH(1637,Firms!$W$5:$W$1004,0),IF(S1641="A",IFERROR(MATCH(1637-$S$2,'AFA Rates'!$R$5:$R$1004,0),""),""))</f>
        <v/>
      </c>
      <c r="U1641">
        <f>IF(S1641="S",T1641,IF(AND(S1641="A",T1641&lt;&gt;""),IFERROR(MATCH(INDEX('AFA Rates'!$A$5:$A$1004,T1641),Firms!$A$5:$A$1004,0),""),""))</f>
        <v/>
      </c>
    </row>
    <row r="1642">
      <c r="A1642" s="78">
        <f>IF($T1642="","",IF($S1642="S",IF(INDEX(Firms!$A$5:$A$1004,$T1642)="","",INDEX(Firms!$A$5:$A$1004,$T1642)),IF(INDEX('AFA Rates'!$A$5:$A$1004,$T1642)="","",INDEX('AFA Rates'!$A$5:$A$1004,$T1642))))</f>
        <v/>
      </c>
      <c r="B1642" s="79">
        <f>IF(OR($T1642="",$U1642=""),IF($T1642="","","Not on Firms tab"),INDEX(Firms!$B$5:$B$1004,$U1642)&amp;"")</f>
        <v/>
      </c>
      <c r="C1642" s="78">
        <f>IF($T1642="","",IF($S1642="S","Standard",INDEX('AFA Rates'!$B$5:$B$1004,$T1642)&amp;""))</f>
        <v/>
      </c>
      <c r="D1642" s="88">
        <f>IF($T1642="","",IF($S1642="S",IF(INDEX(Firms!$E$5:$E$1004,$T1642)="","",INDEX(Firms!$E$5:$E$1004,$T1642)),IF(INDEX('AFA Rates'!$C$5:$C$1004,$T1642)="","",INDEX('AFA Rates'!$C$5:$C$1004,$T1642))))</f>
        <v/>
      </c>
      <c r="E1642" s="88">
        <f>IF($T1642="","",IF($S1642="S",IF(""="","",""),IF(INDEX('AFA Rates'!$D$5:$D$1004,$T1642)="","",INDEX('AFA Rates'!$D$5:$D$1004,$T1642))))</f>
        <v/>
      </c>
      <c r="F1642" s="79">
        <f>IF($T1642="","",IF($S1642="S",IF(INDEX(Firms!$O$5:$O$1004,$T1642)="","",INDEX(Firms!$O$5:$O$1004,$T1642)),IF(INDEX('AFA Rates'!$O$5:$O$1004,$T1642)="","",INDEX('AFA Rates'!$O$5:$O$1004,$T1642))))</f>
        <v/>
      </c>
      <c r="G1642" s="50">
        <f>IF($T1642="","",IF($S1642="S",IF(INDEX(Firms!$F$5:$F$1004,$T1642)="","",INDEX(Firms!$F$5:$F$1004,$T1642)),IF(INDEX('AFA Rates'!$E$5:$E$1004,$T1642)="","",INDEX('AFA Rates'!$E$5:$E$1004,$T1642))))</f>
        <v/>
      </c>
      <c r="H1642" s="50">
        <f>IF($T1642="","",IF($S1642="S",IF(INDEX(Firms!$G$5:$G$1004,$T1642)="","",INDEX(Firms!$G$5:$G$1004,$T1642)),IF(INDEX('AFA Rates'!$F$5:$F$1004,$T1642)="","",INDEX('AFA Rates'!$F$5:$F$1004,$T1642))))</f>
        <v/>
      </c>
      <c r="I1642" s="50">
        <f>IF($T1642="","",IF($S1642="S",IF(INDEX(Firms!$H$5:$H$1004,$T1642)="","",INDEX(Firms!$H$5:$H$1004,$T1642)),IF(INDEX('AFA Rates'!$G$5:$G$1004,$T1642)="","",INDEX('AFA Rates'!$G$5:$G$1004,$T1642))))</f>
        <v/>
      </c>
      <c r="J1642" s="50">
        <f>IF($T1642="","",IF($S1642="S",IF(INDEX(Firms!$I$5:$I$1004,$T1642)="","",INDEX(Firms!$I$5:$I$1004,$T1642)),IF(INDEX('AFA Rates'!$H$5:$H$1004,$T1642)="","",INDEX('AFA Rates'!$H$5:$H$1004,$T1642))))</f>
        <v/>
      </c>
      <c r="K1642" s="50">
        <f>IF($T1642="","",IF($S1642="S",IF(INDEX(Firms!$J$5:$J$1004,$T1642)="","",INDEX(Firms!$J$5:$J$1004,$T1642)),IF(INDEX('AFA Rates'!$I$5:$I$1004,$T1642)="","",INDEX('AFA Rates'!$I$5:$I$1004,$T1642))))</f>
        <v/>
      </c>
      <c r="L1642" s="50">
        <f>IF($T1642="","",IF($S1642="S",IF(INDEX(Firms!$K$5:$K$1004,$T1642)="","",INDEX(Firms!$K$5:$K$1004,$T1642)),IF(INDEX('AFA Rates'!$J$5:$J$1004,$T1642)="","",INDEX('AFA Rates'!$J$5:$J$1004,$T1642))))</f>
        <v/>
      </c>
      <c r="M1642" s="50">
        <f>IF($T1642="","",IF($S1642="S",IF(INDEX(Firms!$L$5:$L$1004,$T1642)="","",INDEX(Firms!$L$5:$L$1004,$T1642)),IF(INDEX('AFA Rates'!$K$5:$K$1004,$T1642)="","",INDEX('AFA Rates'!$K$5:$K$1004,$T1642))))</f>
        <v/>
      </c>
      <c r="N1642" s="50">
        <f>IF($T1642="","",IF($S1642="S",IF(INDEX(Firms!$M$5:$M$1004,$T1642)="","",INDEX(Firms!$M$5:$M$1004,$T1642)),IF(INDEX('AFA Rates'!$L$5:$L$1004,$T1642)="","",INDEX('AFA Rates'!$L$5:$L$1004,$T1642))))</f>
        <v/>
      </c>
      <c r="O1642" s="78">
        <f>IF(OR($T1642="",$U1642=""),"",IF(INDEX(Firms!$C$5:$C$1004,$U1642)="","",INDEX(Firms!$C$5:$C$1004,$U1642)))</f>
        <v/>
      </c>
      <c r="P1642" s="79">
        <f>IF(OR($T1642="",$U1642=""),"",IF(INDEX(Firms!$N$5:$N$1004,$U1642)="","",INDEX(Firms!$N$5:$N$1004,$U1642)))</f>
        <v/>
      </c>
      <c r="Q1642" s="78">
        <f>IF($T1642="","",IF($S1642="S",IF(INDEX(Firms!$T$5:$T$1004,$T1642)="","",INDEX(Firms!$T$5:$T$1004,$T1642)),IF(INDEX('AFA Rates'!$M$5:$M$1004,$T1642)="","",INDEX('AFA Rates'!$M$5:$M$1004,$T1642))))</f>
        <v/>
      </c>
      <c r="S1642">
        <f>IF(1638&lt;=$S$2,"S",IF(1638&lt;=$S$2+$T$2,"A",""))</f>
        <v/>
      </c>
      <c r="T1642">
        <f>IF(S1642="S",MATCH(1638,Firms!$W$5:$W$1004,0),IF(S1642="A",IFERROR(MATCH(1638-$S$2,'AFA Rates'!$R$5:$R$1004,0),""),""))</f>
        <v/>
      </c>
      <c r="U1642">
        <f>IF(S1642="S",T1642,IF(AND(S1642="A",T1642&lt;&gt;""),IFERROR(MATCH(INDEX('AFA Rates'!$A$5:$A$1004,T1642),Firms!$A$5:$A$1004,0),""),""))</f>
        <v/>
      </c>
    </row>
    <row r="1643">
      <c r="A1643" s="78">
        <f>IF($T1643="","",IF($S1643="S",IF(INDEX(Firms!$A$5:$A$1004,$T1643)="","",INDEX(Firms!$A$5:$A$1004,$T1643)),IF(INDEX('AFA Rates'!$A$5:$A$1004,$T1643)="","",INDEX('AFA Rates'!$A$5:$A$1004,$T1643))))</f>
        <v/>
      </c>
      <c r="B1643" s="79">
        <f>IF(OR($T1643="",$U1643=""),IF($T1643="","","Not on Firms tab"),INDEX(Firms!$B$5:$B$1004,$U1643)&amp;"")</f>
        <v/>
      </c>
      <c r="C1643" s="78">
        <f>IF($T1643="","",IF($S1643="S","Standard",INDEX('AFA Rates'!$B$5:$B$1004,$T1643)&amp;""))</f>
        <v/>
      </c>
      <c r="D1643" s="88">
        <f>IF($T1643="","",IF($S1643="S",IF(INDEX(Firms!$E$5:$E$1004,$T1643)="","",INDEX(Firms!$E$5:$E$1004,$T1643)),IF(INDEX('AFA Rates'!$C$5:$C$1004,$T1643)="","",INDEX('AFA Rates'!$C$5:$C$1004,$T1643))))</f>
        <v/>
      </c>
      <c r="E1643" s="88">
        <f>IF($T1643="","",IF($S1643="S",IF(""="","",""),IF(INDEX('AFA Rates'!$D$5:$D$1004,$T1643)="","",INDEX('AFA Rates'!$D$5:$D$1004,$T1643))))</f>
        <v/>
      </c>
      <c r="F1643" s="79">
        <f>IF($T1643="","",IF($S1643="S",IF(INDEX(Firms!$O$5:$O$1004,$T1643)="","",INDEX(Firms!$O$5:$O$1004,$T1643)),IF(INDEX('AFA Rates'!$O$5:$O$1004,$T1643)="","",INDEX('AFA Rates'!$O$5:$O$1004,$T1643))))</f>
        <v/>
      </c>
      <c r="G1643" s="50">
        <f>IF($T1643="","",IF($S1643="S",IF(INDEX(Firms!$F$5:$F$1004,$T1643)="","",INDEX(Firms!$F$5:$F$1004,$T1643)),IF(INDEX('AFA Rates'!$E$5:$E$1004,$T1643)="","",INDEX('AFA Rates'!$E$5:$E$1004,$T1643))))</f>
        <v/>
      </c>
      <c r="H1643" s="50">
        <f>IF($T1643="","",IF($S1643="S",IF(INDEX(Firms!$G$5:$G$1004,$T1643)="","",INDEX(Firms!$G$5:$G$1004,$T1643)),IF(INDEX('AFA Rates'!$F$5:$F$1004,$T1643)="","",INDEX('AFA Rates'!$F$5:$F$1004,$T1643))))</f>
        <v/>
      </c>
      <c r="I1643" s="50">
        <f>IF($T1643="","",IF($S1643="S",IF(INDEX(Firms!$H$5:$H$1004,$T1643)="","",INDEX(Firms!$H$5:$H$1004,$T1643)),IF(INDEX('AFA Rates'!$G$5:$G$1004,$T1643)="","",INDEX('AFA Rates'!$G$5:$G$1004,$T1643))))</f>
        <v/>
      </c>
      <c r="J1643" s="50">
        <f>IF($T1643="","",IF($S1643="S",IF(INDEX(Firms!$I$5:$I$1004,$T1643)="","",INDEX(Firms!$I$5:$I$1004,$T1643)),IF(INDEX('AFA Rates'!$H$5:$H$1004,$T1643)="","",INDEX('AFA Rates'!$H$5:$H$1004,$T1643))))</f>
        <v/>
      </c>
      <c r="K1643" s="50">
        <f>IF($T1643="","",IF($S1643="S",IF(INDEX(Firms!$J$5:$J$1004,$T1643)="","",INDEX(Firms!$J$5:$J$1004,$T1643)),IF(INDEX('AFA Rates'!$I$5:$I$1004,$T1643)="","",INDEX('AFA Rates'!$I$5:$I$1004,$T1643))))</f>
        <v/>
      </c>
      <c r="L1643" s="50">
        <f>IF($T1643="","",IF($S1643="S",IF(INDEX(Firms!$K$5:$K$1004,$T1643)="","",INDEX(Firms!$K$5:$K$1004,$T1643)),IF(INDEX('AFA Rates'!$J$5:$J$1004,$T1643)="","",INDEX('AFA Rates'!$J$5:$J$1004,$T1643))))</f>
        <v/>
      </c>
      <c r="M1643" s="50">
        <f>IF($T1643="","",IF($S1643="S",IF(INDEX(Firms!$L$5:$L$1004,$T1643)="","",INDEX(Firms!$L$5:$L$1004,$T1643)),IF(INDEX('AFA Rates'!$K$5:$K$1004,$T1643)="","",INDEX('AFA Rates'!$K$5:$K$1004,$T1643))))</f>
        <v/>
      </c>
      <c r="N1643" s="50">
        <f>IF($T1643="","",IF($S1643="S",IF(INDEX(Firms!$M$5:$M$1004,$T1643)="","",INDEX(Firms!$M$5:$M$1004,$T1643)),IF(INDEX('AFA Rates'!$L$5:$L$1004,$T1643)="","",INDEX('AFA Rates'!$L$5:$L$1004,$T1643))))</f>
        <v/>
      </c>
      <c r="O1643" s="78">
        <f>IF(OR($T1643="",$U1643=""),"",IF(INDEX(Firms!$C$5:$C$1004,$U1643)="","",INDEX(Firms!$C$5:$C$1004,$U1643)))</f>
        <v/>
      </c>
      <c r="P1643" s="79">
        <f>IF(OR($T1643="",$U1643=""),"",IF(INDEX(Firms!$N$5:$N$1004,$U1643)="","",INDEX(Firms!$N$5:$N$1004,$U1643)))</f>
        <v/>
      </c>
      <c r="Q1643" s="78">
        <f>IF($T1643="","",IF($S1643="S",IF(INDEX(Firms!$T$5:$T$1004,$T1643)="","",INDEX(Firms!$T$5:$T$1004,$T1643)),IF(INDEX('AFA Rates'!$M$5:$M$1004,$T1643)="","",INDEX('AFA Rates'!$M$5:$M$1004,$T1643))))</f>
        <v/>
      </c>
      <c r="S1643">
        <f>IF(1639&lt;=$S$2,"S",IF(1639&lt;=$S$2+$T$2,"A",""))</f>
        <v/>
      </c>
      <c r="T1643">
        <f>IF(S1643="S",MATCH(1639,Firms!$W$5:$W$1004,0),IF(S1643="A",IFERROR(MATCH(1639-$S$2,'AFA Rates'!$R$5:$R$1004,0),""),""))</f>
        <v/>
      </c>
      <c r="U1643">
        <f>IF(S1643="S",T1643,IF(AND(S1643="A",T1643&lt;&gt;""),IFERROR(MATCH(INDEX('AFA Rates'!$A$5:$A$1004,T1643),Firms!$A$5:$A$1004,0),""),""))</f>
        <v/>
      </c>
    </row>
    <row r="1644">
      <c r="A1644" s="78">
        <f>IF($T1644="","",IF($S1644="S",IF(INDEX(Firms!$A$5:$A$1004,$T1644)="","",INDEX(Firms!$A$5:$A$1004,$T1644)),IF(INDEX('AFA Rates'!$A$5:$A$1004,$T1644)="","",INDEX('AFA Rates'!$A$5:$A$1004,$T1644))))</f>
        <v/>
      </c>
      <c r="B1644" s="79">
        <f>IF(OR($T1644="",$U1644=""),IF($T1644="","","Not on Firms tab"),INDEX(Firms!$B$5:$B$1004,$U1644)&amp;"")</f>
        <v/>
      </c>
      <c r="C1644" s="78">
        <f>IF($T1644="","",IF($S1644="S","Standard",INDEX('AFA Rates'!$B$5:$B$1004,$T1644)&amp;""))</f>
        <v/>
      </c>
      <c r="D1644" s="88">
        <f>IF($T1644="","",IF($S1644="S",IF(INDEX(Firms!$E$5:$E$1004,$T1644)="","",INDEX(Firms!$E$5:$E$1004,$T1644)),IF(INDEX('AFA Rates'!$C$5:$C$1004,$T1644)="","",INDEX('AFA Rates'!$C$5:$C$1004,$T1644))))</f>
        <v/>
      </c>
      <c r="E1644" s="88">
        <f>IF($T1644="","",IF($S1644="S",IF(""="","",""),IF(INDEX('AFA Rates'!$D$5:$D$1004,$T1644)="","",INDEX('AFA Rates'!$D$5:$D$1004,$T1644))))</f>
        <v/>
      </c>
      <c r="F1644" s="79">
        <f>IF($T1644="","",IF($S1644="S",IF(INDEX(Firms!$O$5:$O$1004,$T1644)="","",INDEX(Firms!$O$5:$O$1004,$T1644)),IF(INDEX('AFA Rates'!$O$5:$O$1004,$T1644)="","",INDEX('AFA Rates'!$O$5:$O$1004,$T1644))))</f>
        <v/>
      </c>
      <c r="G1644" s="50">
        <f>IF($T1644="","",IF($S1644="S",IF(INDEX(Firms!$F$5:$F$1004,$T1644)="","",INDEX(Firms!$F$5:$F$1004,$T1644)),IF(INDEX('AFA Rates'!$E$5:$E$1004,$T1644)="","",INDEX('AFA Rates'!$E$5:$E$1004,$T1644))))</f>
        <v/>
      </c>
      <c r="H1644" s="50">
        <f>IF($T1644="","",IF($S1644="S",IF(INDEX(Firms!$G$5:$G$1004,$T1644)="","",INDEX(Firms!$G$5:$G$1004,$T1644)),IF(INDEX('AFA Rates'!$F$5:$F$1004,$T1644)="","",INDEX('AFA Rates'!$F$5:$F$1004,$T1644))))</f>
        <v/>
      </c>
      <c r="I1644" s="50">
        <f>IF($T1644="","",IF($S1644="S",IF(INDEX(Firms!$H$5:$H$1004,$T1644)="","",INDEX(Firms!$H$5:$H$1004,$T1644)),IF(INDEX('AFA Rates'!$G$5:$G$1004,$T1644)="","",INDEX('AFA Rates'!$G$5:$G$1004,$T1644))))</f>
        <v/>
      </c>
      <c r="J1644" s="50">
        <f>IF($T1644="","",IF($S1644="S",IF(INDEX(Firms!$I$5:$I$1004,$T1644)="","",INDEX(Firms!$I$5:$I$1004,$T1644)),IF(INDEX('AFA Rates'!$H$5:$H$1004,$T1644)="","",INDEX('AFA Rates'!$H$5:$H$1004,$T1644))))</f>
        <v/>
      </c>
      <c r="K1644" s="50">
        <f>IF($T1644="","",IF($S1644="S",IF(INDEX(Firms!$J$5:$J$1004,$T1644)="","",INDEX(Firms!$J$5:$J$1004,$T1644)),IF(INDEX('AFA Rates'!$I$5:$I$1004,$T1644)="","",INDEX('AFA Rates'!$I$5:$I$1004,$T1644))))</f>
        <v/>
      </c>
      <c r="L1644" s="50">
        <f>IF($T1644="","",IF($S1644="S",IF(INDEX(Firms!$K$5:$K$1004,$T1644)="","",INDEX(Firms!$K$5:$K$1004,$T1644)),IF(INDEX('AFA Rates'!$J$5:$J$1004,$T1644)="","",INDEX('AFA Rates'!$J$5:$J$1004,$T1644))))</f>
        <v/>
      </c>
      <c r="M1644" s="50">
        <f>IF($T1644="","",IF($S1644="S",IF(INDEX(Firms!$L$5:$L$1004,$T1644)="","",INDEX(Firms!$L$5:$L$1004,$T1644)),IF(INDEX('AFA Rates'!$K$5:$K$1004,$T1644)="","",INDEX('AFA Rates'!$K$5:$K$1004,$T1644))))</f>
        <v/>
      </c>
      <c r="N1644" s="50">
        <f>IF($T1644="","",IF($S1644="S",IF(INDEX(Firms!$M$5:$M$1004,$T1644)="","",INDEX(Firms!$M$5:$M$1004,$T1644)),IF(INDEX('AFA Rates'!$L$5:$L$1004,$T1644)="","",INDEX('AFA Rates'!$L$5:$L$1004,$T1644))))</f>
        <v/>
      </c>
      <c r="O1644" s="78">
        <f>IF(OR($T1644="",$U1644=""),"",IF(INDEX(Firms!$C$5:$C$1004,$U1644)="","",INDEX(Firms!$C$5:$C$1004,$U1644)))</f>
        <v/>
      </c>
      <c r="P1644" s="79">
        <f>IF(OR($T1644="",$U1644=""),"",IF(INDEX(Firms!$N$5:$N$1004,$U1644)="","",INDEX(Firms!$N$5:$N$1004,$U1644)))</f>
        <v/>
      </c>
      <c r="Q1644" s="78">
        <f>IF($T1644="","",IF($S1644="S",IF(INDEX(Firms!$T$5:$T$1004,$T1644)="","",INDEX(Firms!$T$5:$T$1004,$T1644)),IF(INDEX('AFA Rates'!$M$5:$M$1004,$T1644)="","",INDEX('AFA Rates'!$M$5:$M$1004,$T1644))))</f>
        <v/>
      </c>
      <c r="S1644">
        <f>IF(1640&lt;=$S$2,"S",IF(1640&lt;=$S$2+$T$2,"A",""))</f>
        <v/>
      </c>
      <c r="T1644">
        <f>IF(S1644="S",MATCH(1640,Firms!$W$5:$W$1004,0),IF(S1644="A",IFERROR(MATCH(1640-$S$2,'AFA Rates'!$R$5:$R$1004,0),""),""))</f>
        <v/>
      </c>
      <c r="U1644">
        <f>IF(S1644="S",T1644,IF(AND(S1644="A",T1644&lt;&gt;""),IFERROR(MATCH(INDEX('AFA Rates'!$A$5:$A$1004,T1644),Firms!$A$5:$A$1004,0),""),""))</f>
        <v/>
      </c>
    </row>
    <row r="1645">
      <c r="A1645" s="78">
        <f>IF($T1645="","",IF($S1645="S",IF(INDEX(Firms!$A$5:$A$1004,$T1645)="","",INDEX(Firms!$A$5:$A$1004,$T1645)),IF(INDEX('AFA Rates'!$A$5:$A$1004,$T1645)="","",INDEX('AFA Rates'!$A$5:$A$1004,$T1645))))</f>
        <v/>
      </c>
      <c r="B1645" s="79">
        <f>IF(OR($T1645="",$U1645=""),IF($T1645="","","Not on Firms tab"),INDEX(Firms!$B$5:$B$1004,$U1645)&amp;"")</f>
        <v/>
      </c>
      <c r="C1645" s="78">
        <f>IF($T1645="","",IF($S1645="S","Standard",INDEX('AFA Rates'!$B$5:$B$1004,$T1645)&amp;""))</f>
        <v/>
      </c>
      <c r="D1645" s="88">
        <f>IF($T1645="","",IF($S1645="S",IF(INDEX(Firms!$E$5:$E$1004,$T1645)="","",INDEX(Firms!$E$5:$E$1004,$T1645)),IF(INDEX('AFA Rates'!$C$5:$C$1004,$T1645)="","",INDEX('AFA Rates'!$C$5:$C$1004,$T1645))))</f>
        <v/>
      </c>
      <c r="E1645" s="88">
        <f>IF($T1645="","",IF($S1645="S",IF(""="","",""),IF(INDEX('AFA Rates'!$D$5:$D$1004,$T1645)="","",INDEX('AFA Rates'!$D$5:$D$1004,$T1645))))</f>
        <v/>
      </c>
      <c r="F1645" s="79">
        <f>IF($T1645="","",IF($S1645="S",IF(INDEX(Firms!$O$5:$O$1004,$T1645)="","",INDEX(Firms!$O$5:$O$1004,$T1645)),IF(INDEX('AFA Rates'!$O$5:$O$1004,$T1645)="","",INDEX('AFA Rates'!$O$5:$O$1004,$T1645))))</f>
        <v/>
      </c>
      <c r="G1645" s="50">
        <f>IF($T1645="","",IF($S1645="S",IF(INDEX(Firms!$F$5:$F$1004,$T1645)="","",INDEX(Firms!$F$5:$F$1004,$T1645)),IF(INDEX('AFA Rates'!$E$5:$E$1004,$T1645)="","",INDEX('AFA Rates'!$E$5:$E$1004,$T1645))))</f>
        <v/>
      </c>
      <c r="H1645" s="50">
        <f>IF($T1645="","",IF($S1645="S",IF(INDEX(Firms!$G$5:$G$1004,$T1645)="","",INDEX(Firms!$G$5:$G$1004,$T1645)),IF(INDEX('AFA Rates'!$F$5:$F$1004,$T1645)="","",INDEX('AFA Rates'!$F$5:$F$1004,$T1645))))</f>
        <v/>
      </c>
      <c r="I1645" s="50">
        <f>IF($T1645="","",IF($S1645="S",IF(INDEX(Firms!$H$5:$H$1004,$T1645)="","",INDEX(Firms!$H$5:$H$1004,$T1645)),IF(INDEX('AFA Rates'!$G$5:$G$1004,$T1645)="","",INDEX('AFA Rates'!$G$5:$G$1004,$T1645))))</f>
        <v/>
      </c>
      <c r="J1645" s="50">
        <f>IF($T1645="","",IF($S1645="S",IF(INDEX(Firms!$I$5:$I$1004,$T1645)="","",INDEX(Firms!$I$5:$I$1004,$T1645)),IF(INDEX('AFA Rates'!$H$5:$H$1004,$T1645)="","",INDEX('AFA Rates'!$H$5:$H$1004,$T1645))))</f>
        <v/>
      </c>
      <c r="K1645" s="50">
        <f>IF($T1645="","",IF($S1645="S",IF(INDEX(Firms!$J$5:$J$1004,$T1645)="","",INDEX(Firms!$J$5:$J$1004,$T1645)),IF(INDEX('AFA Rates'!$I$5:$I$1004,$T1645)="","",INDEX('AFA Rates'!$I$5:$I$1004,$T1645))))</f>
        <v/>
      </c>
      <c r="L1645" s="50">
        <f>IF($T1645="","",IF($S1645="S",IF(INDEX(Firms!$K$5:$K$1004,$T1645)="","",INDEX(Firms!$K$5:$K$1004,$T1645)),IF(INDEX('AFA Rates'!$J$5:$J$1004,$T1645)="","",INDEX('AFA Rates'!$J$5:$J$1004,$T1645))))</f>
        <v/>
      </c>
      <c r="M1645" s="50">
        <f>IF($T1645="","",IF($S1645="S",IF(INDEX(Firms!$L$5:$L$1004,$T1645)="","",INDEX(Firms!$L$5:$L$1004,$T1645)),IF(INDEX('AFA Rates'!$K$5:$K$1004,$T1645)="","",INDEX('AFA Rates'!$K$5:$K$1004,$T1645))))</f>
        <v/>
      </c>
      <c r="N1645" s="50">
        <f>IF($T1645="","",IF($S1645="S",IF(INDEX(Firms!$M$5:$M$1004,$T1645)="","",INDEX(Firms!$M$5:$M$1004,$T1645)),IF(INDEX('AFA Rates'!$L$5:$L$1004,$T1645)="","",INDEX('AFA Rates'!$L$5:$L$1004,$T1645))))</f>
        <v/>
      </c>
      <c r="O1645" s="78">
        <f>IF(OR($T1645="",$U1645=""),"",IF(INDEX(Firms!$C$5:$C$1004,$U1645)="","",INDEX(Firms!$C$5:$C$1004,$U1645)))</f>
        <v/>
      </c>
      <c r="P1645" s="79">
        <f>IF(OR($T1645="",$U1645=""),"",IF(INDEX(Firms!$N$5:$N$1004,$U1645)="","",INDEX(Firms!$N$5:$N$1004,$U1645)))</f>
        <v/>
      </c>
      <c r="Q1645" s="78">
        <f>IF($T1645="","",IF($S1645="S",IF(INDEX(Firms!$T$5:$T$1004,$T1645)="","",INDEX(Firms!$T$5:$T$1004,$T1645)),IF(INDEX('AFA Rates'!$M$5:$M$1004,$T1645)="","",INDEX('AFA Rates'!$M$5:$M$1004,$T1645))))</f>
        <v/>
      </c>
      <c r="S1645">
        <f>IF(1641&lt;=$S$2,"S",IF(1641&lt;=$S$2+$T$2,"A",""))</f>
        <v/>
      </c>
      <c r="T1645">
        <f>IF(S1645="S",MATCH(1641,Firms!$W$5:$W$1004,0),IF(S1645="A",IFERROR(MATCH(1641-$S$2,'AFA Rates'!$R$5:$R$1004,0),""),""))</f>
        <v/>
      </c>
      <c r="U1645">
        <f>IF(S1645="S",T1645,IF(AND(S1645="A",T1645&lt;&gt;""),IFERROR(MATCH(INDEX('AFA Rates'!$A$5:$A$1004,T1645),Firms!$A$5:$A$1004,0),""),""))</f>
        <v/>
      </c>
    </row>
    <row r="1646">
      <c r="A1646" s="78">
        <f>IF($T1646="","",IF($S1646="S",IF(INDEX(Firms!$A$5:$A$1004,$T1646)="","",INDEX(Firms!$A$5:$A$1004,$T1646)),IF(INDEX('AFA Rates'!$A$5:$A$1004,$T1646)="","",INDEX('AFA Rates'!$A$5:$A$1004,$T1646))))</f>
        <v/>
      </c>
      <c r="B1646" s="79">
        <f>IF(OR($T1646="",$U1646=""),IF($T1646="","","Not on Firms tab"),INDEX(Firms!$B$5:$B$1004,$U1646)&amp;"")</f>
        <v/>
      </c>
      <c r="C1646" s="78">
        <f>IF($T1646="","",IF($S1646="S","Standard",INDEX('AFA Rates'!$B$5:$B$1004,$T1646)&amp;""))</f>
        <v/>
      </c>
      <c r="D1646" s="88">
        <f>IF($T1646="","",IF($S1646="S",IF(INDEX(Firms!$E$5:$E$1004,$T1646)="","",INDEX(Firms!$E$5:$E$1004,$T1646)),IF(INDEX('AFA Rates'!$C$5:$C$1004,$T1646)="","",INDEX('AFA Rates'!$C$5:$C$1004,$T1646))))</f>
        <v/>
      </c>
      <c r="E1646" s="88">
        <f>IF($T1646="","",IF($S1646="S",IF(""="","",""),IF(INDEX('AFA Rates'!$D$5:$D$1004,$T1646)="","",INDEX('AFA Rates'!$D$5:$D$1004,$T1646))))</f>
        <v/>
      </c>
      <c r="F1646" s="79">
        <f>IF($T1646="","",IF($S1646="S",IF(INDEX(Firms!$O$5:$O$1004,$T1646)="","",INDEX(Firms!$O$5:$O$1004,$T1646)),IF(INDEX('AFA Rates'!$O$5:$O$1004,$T1646)="","",INDEX('AFA Rates'!$O$5:$O$1004,$T1646))))</f>
        <v/>
      </c>
      <c r="G1646" s="50">
        <f>IF($T1646="","",IF($S1646="S",IF(INDEX(Firms!$F$5:$F$1004,$T1646)="","",INDEX(Firms!$F$5:$F$1004,$T1646)),IF(INDEX('AFA Rates'!$E$5:$E$1004,$T1646)="","",INDEX('AFA Rates'!$E$5:$E$1004,$T1646))))</f>
        <v/>
      </c>
      <c r="H1646" s="50">
        <f>IF($T1646="","",IF($S1646="S",IF(INDEX(Firms!$G$5:$G$1004,$T1646)="","",INDEX(Firms!$G$5:$G$1004,$T1646)),IF(INDEX('AFA Rates'!$F$5:$F$1004,$T1646)="","",INDEX('AFA Rates'!$F$5:$F$1004,$T1646))))</f>
        <v/>
      </c>
      <c r="I1646" s="50">
        <f>IF($T1646="","",IF($S1646="S",IF(INDEX(Firms!$H$5:$H$1004,$T1646)="","",INDEX(Firms!$H$5:$H$1004,$T1646)),IF(INDEX('AFA Rates'!$G$5:$G$1004,$T1646)="","",INDEX('AFA Rates'!$G$5:$G$1004,$T1646))))</f>
        <v/>
      </c>
      <c r="J1646" s="50">
        <f>IF($T1646="","",IF($S1646="S",IF(INDEX(Firms!$I$5:$I$1004,$T1646)="","",INDEX(Firms!$I$5:$I$1004,$T1646)),IF(INDEX('AFA Rates'!$H$5:$H$1004,$T1646)="","",INDEX('AFA Rates'!$H$5:$H$1004,$T1646))))</f>
        <v/>
      </c>
      <c r="K1646" s="50">
        <f>IF($T1646="","",IF($S1646="S",IF(INDEX(Firms!$J$5:$J$1004,$T1646)="","",INDEX(Firms!$J$5:$J$1004,$T1646)),IF(INDEX('AFA Rates'!$I$5:$I$1004,$T1646)="","",INDEX('AFA Rates'!$I$5:$I$1004,$T1646))))</f>
        <v/>
      </c>
      <c r="L1646" s="50">
        <f>IF($T1646="","",IF($S1646="S",IF(INDEX(Firms!$K$5:$K$1004,$T1646)="","",INDEX(Firms!$K$5:$K$1004,$T1646)),IF(INDEX('AFA Rates'!$J$5:$J$1004,$T1646)="","",INDEX('AFA Rates'!$J$5:$J$1004,$T1646))))</f>
        <v/>
      </c>
      <c r="M1646" s="50">
        <f>IF($T1646="","",IF($S1646="S",IF(INDEX(Firms!$L$5:$L$1004,$T1646)="","",INDEX(Firms!$L$5:$L$1004,$T1646)),IF(INDEX('AFA Rates'!$K$5:$K$1004,$T1646)="","",INDEX('AFA Rates'!$K$5:$K$1004,$T1646))))</f>
        <v/>
      </c>
      <c r="N1646" s="50">
        <f>IF($T1646="","",IF($S1646="S",IF(INDEX(Firms!$M$5:$M$1004,$T1646)="","",INDEX(Firms!$M$5:$M$1004,$T1646)),IF(INDEX('AFA Rates'!$L$5:$L$1004,$T1646)="","",INDEX('AFA Rates'!$L$5:$L$1004,$T1646))))</f>
        <v/>
      </c>
      <c r="O1646" s="78">
        <f>IF(OR($T1646="",$U1646=""),"",IF(INDEX(Firms!$C$5:$C$1004,$U1646)="","",INDEX(Firms!$C$5:$C$1004,$U1646)))</f>
        <v/>
      </c>
      <c r="P1646" s="79">
        <f>IF(OR($T1646="",$U1646=""),"",IF(INDEX(Firms!$N$5:$N$1004,$U1646)="","",INDEX(Firms!$N$5:$N$1004,$U1646)))</f>
        <v/>
      </c>
      <c r="Q1646" s="78">
        <f>IF($T1646="","",IF($S1646="S",IF(INDEX(Firms!$T$5:$T$1004,$T1646)="","",INDEX(Firms!$T$5:$T$1004,$T1646)),IF(INDEX('AFA Rates'!$M$5:$M$1004,$T1646)="","",INDEX('AFA Rates'!$M$5:$M$1004,$T1646))))</f>
        <v/>
      </c>
      <c r="S1646">
        <f>IF(1642&lt;=$S$2,"S",IF(1642&lt;=$S$2+$T$2,"A",""))</f>
        <v/>
      </c>
      <c r="T1646">
        <f>IF(S1646="S",MATCH(1642,Firms!$W$5:$W$1004,0),IF(S1646="A",IFERROR(MATCH(1642-$S$2,'AFA Rates'!$R$5:$R$1004,0),""),""))</f>
        <v/>
      </c>
      <c r="U1646">
        <f>IF(S1646="S",T1646,IF(AND(S1646="A",T1646&lt;&gt;""),IFERROR(MATCH(INDEX('AFA Rates'!$A$5:$A$1004,T1646),Firms!$A$5:$A$1004,0),""),""))</f>
        <v/>
      </c>
    </row>
    <row r="1647">
      <c r="A1647" s="78">
        <f>IF($T1647="","",IF($S1647="S",IF(INDEX(Firms!$A$5:$A$1004,$T1647)="","",INDEX(Firms!$A$5:$A$1004,$T1647)),IF(INDEX('AFA Rates'!$A$5:$A$1004,$T1647)="","",INDEX('AFA Rates'!$A$5:$A$1004,$T1647))))</f>
        <v/>
      </c>
      <c r="B1647" s="79">
        <f>IF(OR($T1647="",$U1647=""),IF($T1647="","","Not on Firms tab"),INDEX(Firms!$B$5:$B$1004,$U1647)&amp;"")</f>
        <v/>
      </c>
      <c r="C1647" s="78">
        <f>IF($T1647="","",IF($S1647="S","Standard",INDEX('AFA Rates'!$B$5:$B$1004,$T1647)&amp;""))</f>
        <v/>
      </c>
      <c r="D1647" s="88">
        <f>IF($T1647="","",IF($S1647="S",IF(INDEX(Firms!$E$5:$E$1004,$T1647)="","",INDEX(Firms!$E$5:$E$1004,$T1647)),IF(INDEX('AFA Rates'!$C$5:$C$1004,$T1647)="","",INDEX('AFA Rates'!$C$5:$C$1004,$T1647))))</f>
        <v/>
      </c>
      <c r="E1647" s="88">
        <f>IF($T1647="","",IF($S1647="S",IF(""="","",""),IF(INDEX('AFA Rates'!$D$5:$D$1004,$T1647)="","",INDEX('AFA Rates'!$D$5:$D$1004,$T1647))))</f>
        <v/>
      </c>
      <c r="F1647" s="79">
        <f>IF($T1647="","",IF($S1647="S",IF(INDEX(Firms!$O$5:$O$1004,$T1647)="","",INDEX(Firms!$O$5:$O$1004,$T1647)),IF(INDEX('AFA Rates'!$O$5:$O$1004,$T1647)="","",INDEX('AFA Rates'!$O$5:$O$1004,$T1647))))</f>
        <v/>
      </c>
      <c r="G1647" s="50">
        <f>IF($T1647="","",IF($S1647="S",IF(INDEX(Firms!$F$5:$F$1004,$T1647)="","",INDEX(Firms!$F$5:$F$1004,$T1647)),IF(INDEX('AFA Rates'!$E$5:$E$1004,$T1647)="","",INDEX('AFA Rates'!$E$5:$E$1004,$T1647))))</f>
        <v/>
      </c>
      <c r="H1647" s="50">
        <f>IF($T1647="","",IF($S1647="S",IF(INDEX(Firms!$G$5:$G$1004,$T1647)="","",INDEX(Firms!$G$5:$G$1004,$T1647)),IF(INDEX('AFA Rates'!$F$5:$F$1004,$T1647)="","",INDEX('AFA Rates'!$F$5:$F$1004,$T1647))))</f>
        <v/>
      </c>
      <c r="I1647" s="50">
        <f>IF($T1647="","",IF($S1647="S",IF(INDEX(Firms!$H$5:$H$1004,$T1647)="","",INDEX(Firms!$H$5:$H$1004,$T1647)),IF(INDEX('AFA Rates'!$G$5:$G$1004,$T1647)="","",INDEX('AFA Rates'!$G$5:$G$1004,$T1647))))</f>
        <v/>
      </c>
      <c r="J1647" s="50">
        <f>IF($T1647="","",IF($S1647="S",IF(INDEX(Firms!$I$5:$I$1004,$T1647)="","",INDEX(Firms!$I$5:$I$1004,$T1647)),IF(INDEX('AFA Rates'!$H$5:$H$1004,$T1647)="","",INDEX('AFA Rates'!$H$5:$H$1004,$T1647))))</f>
        <v/>
      </c>
      <c r="K1647" s="50">
        <f>IF($T1647="","",IF($S1647="S",IF(INDEX(Firms!$J$5:$J$1004,$T1647)="","",INDEX(Firms!$J$5:$J$1004,$T1647)),IF(INDEX('AFA Rates'!$I$5:$I$1004,$T1647)="","",INDEX('AFA Rates'!$I$5:$I$1004,$T1647))))</f>
        <v/>
      </c>
      <c r="L1647" s="50">
        <f>IF($T1647="","",IF($S1647="S",IF(INDEX(Firms!$K$5:$K$1004,$T1647)="","",INDEX(Firms!$K$5:$K$1004,$T1647)),IF(INDEX('AFA Rates'!$J$5:$J$1004,$T1647)="","",INDEX('AFA Rates'!$J$5:$J$1004,$T1647))))</f>
        <v/>
      </c>
      <c r="M1647" s="50">
        <f>IF($T1647="","",IF($S1647="S",IF(INDEX(Firms!$L$5:$L$1004,$T1647)="","",INDEX(Firms!$L$5:$L$1004,$T1647)),IF(INDEX('AFA Rates'!$K$5:$K$1004,$T1647)="","",INDEX('AFA Rates'!$K$5:$K$1004,$T1647))))</f>
        <v/>
      </c>
      <c r="N1647" s="50">
        <f>IF($T1647="","",IF($S1647="S",IF(INDEX(Firms!$M$5:$M$1004,$T1647)="","",INDEX(Firms!$M$5:$M$1004,$T1647)),IF(INDEX('AFA Rates'!$L$5:$L$1004,$T1647)="","",INDEX('AFA Rates'!$L$5:$L$1004,$T1647))))</f>
        <v/>
      </c>
      <c r="O1647" s="78">
        <f>IF(OR($T1647="",$U1647=""),"",IF(INDEX(Firms!$C$5:$C$1004,$U1647)="","",INDEX(Firms!$C$5:$C$1004,$U1647)))</f>
        <v/>
      </c>
      <c r="P1647" s="79">
        <f>IF(OR($T1647="",$U1647=""),"",IF(INDEX(Firms!$N$5:$N$1004,$U1647)="","",INDEX(Firms!$N$5:$N$1004,$U1647)))</f>
        <v/>
      </c>
      <c r="Q1647" s="78">
        <f>IF($T1647="","",IF($S1647="S",IF(INDEX(Firms!$T$5:$T$1004,$T1647)="","",INDEX(Firms!$T$5:$T$1004,$T1647)),IF(INDEX('AFA Rates'!$M$5:$M$1004,$T1647)="","",INDEX('AFA Rates'!$M$5:$M$1004,$T1647))))</f>
        <v/>
      </c>
      <c r="S1647">
        <f>IF(1643&lt;=$S$2,"S",IF(1643&lt;=$S$2+$T$2,"A",""))</f>
        <v/>
      </c>
      <c r="T1647">
        <f>IF(S1647="S",MATCH(1643,Firms!$W$5:$W$1004,0),IF(S1647="A",IFERROR(MATCH(1643-$S$2,'AFA Rates'!$R$5:$R$1004,0),""),""))</f>
        <v/>
      </c>
      <c r="U1647">
        <f>IF(S1647="S",T1647,IF(AND(S1647="A",T1647&lt;&gt;""),IFERROR(MATCH(INDEX('AFA Rates'!$A$5:$A$1004,T1647),Firms!$A$5:$A$1004,0),""),""))</f>
        <v/>
      </c>
    </row>
    <row r="1648">
      <c r="A1648" s="78">
        <f>IF($T1648="","",IF($S1648="S",IF(INDEX(Firms!$A$5:$A$1004,$T1648)="","",INDEX(Firms!$A$5:$A$1004,$T1648)),IF(INDEX('AFA Rates'!$A$5:$A$1004,$T1648)="","",INDEX('AFA Rates'!$A$5:$A$1004,$T1648))))</f>
        <v/>
      </c>
      <c r="B1648" s="79">
        <f>IF(OR($T1648="",$U1648=""),IF($T1648="","","Not on Firms tab"),INDEX(Firms!$B$5:$B$1004,$U1648)&amp;"")</f>
        <v/>
      </c>
      <c r="C1648" s="78">
        <f>IF($T1648="","",IF($S1648="S","Standard",INDEX('AFA Rates'!$B$5:$B$1004,$T1648)&amp;""))</f>
        <v/>
      </c>
      <c r="D1648" s="88">
        <f>IF($T1648="","",IF($S1648="S",IF(INDEX(Firms!$E$5:$E$1004,$T1648)="","",INDEX(Firms!$E$5:$E$1004,$T1648)),IF(INDEX('AFA Rates'!$C$5:$C$1004,$T1648)="","",INDEX('AFA Rates'!$C$5:$C$1004,$T1648))))</f>
        <v/>
      </c>
      <c r="E1648" s="88">
        <f>IF($T1648="","",IF($S1648="S",IF(""="","",""),IF(INDEX('AFA Rates'!$D$5:$D$1004,$T1648)="","",INDEX('AFA Rates'!$D$5:$D$1004,$T1648))))</f>
        <v/>
      </c>
      <c r="F1648" s="79">
        <f>IF($T1648="","",IF($S1648="S",IF(INDEX(Firms!$O$5:$O$1004,$T1648)="","",INDEX(Firms!$O$5:$O$1004,$T1648)),IF(INDEX('AFA Rates'!$O$5:$O$1004,$T1648)="","",INDEX('AFA Rates'!$O$5:$O$1004,$T1648))))</f>
        <v/>
      </c>
      <c r="G1648" s="50">
        <f>IF($T1648="","",IF($S1648="S",IF(INDEX(Firms!$F$5:$F$1004,$T1648)="","",INDEX(Firms!$F$5:$F$1004,$T1648)),IF(INDEX('AFA Rates'!$E$5:$E$1004,$T1648)="","",INDEX('AFA Rates'!$E$5:$E$1004,$T1648))))</f>
        <v/>
      </c>
      <c r="H1648" s="50">
        <f>IF($T1648="","",IF($S1648="S",IF(INDEX(Firms!$G$5:$G$1004,$T1648)="","",INDEX(Firms!$G$5:$G$1004,$T1648)),IF(INDEX('AFA Rates'!$F$5:$F$1004,$T1648)="","",INDEX('AFA Rates'!$F$5:$F$1004,$T1648))))</f>
        <v/>
      </c>
      <c r="I1648" s="50">
        <f>IF($T1648="","",IF($S1648="S",IF(INDEX(Firms!$H$5:$H$1004,$T1648)="","",INDEX(Firms!$H$5:$H$1004,$T1648)),IF(INDEX('AFA Rates'!$G$5:$G$1004,$T1648)="","",INDEX('AFA Rates'!$G$5:$G$1004,$T1648))))</f>
        <v/>
      </c>
      <c r="J1648" s="50">
        <f>IF($T1648="","",IF($S1648="S",IF(INDEX(Firms!$I$5:$I$1004,$T1648)="","",INDEX(Firms!$I$5:$I$1004,$T1648)),IF(INDEX('AFA Rates'!$H$5:$H$1004,$T1648)="","",INDEX('AFA Rates'!$H$5:$H$1004,$T1648))))</f>
        <v/>
      </c>
      <c r="K1648" s="50">
        <f>IF($T1648="","",IF($S1648="S",IF(INDEX(Firms!$J$5:$J$1004,$T1648)="","",INDEX(Firms!$J$5:$J$1004,$T1648)),IF(INDEX('AFA Rates'!$I$5:$I$1004,$T1648)="","",INDEX('AFA Rates'!$I$5:$I$1004,$T1648))))</f>
        <v/>
      </c>
      <c r="L1648" s="50">
        <f>IF($T1648="","",IF($S1648="S",IF(INDEX(Firms!$K$5:$K$1004,$T1648)="","",INDEX(Firms!$K$5:$K$1004,$T1648)),IF(INDEX('AFA Rates'!$J$5:$J$1004,$T1648)="","",INDEX('AFA Rates'!$J$5:$J$1004,$T1648))))</f>
        <v/>
      </c>
      <c r="M1648" s="50">
        <f>IF($T1648="","",IF($S1648="S",IF(INDEX(Firms!$L$5:$L$1004,$T1648)="","",INDEX(Firms!$L$5:$L$1004,$T1648)),IF(INDEX('AFA Rates'!$K$5:$K$1004,$T1648)="","",INDEX('AFA Rates'!$K$5:$K$1004,$T1648))))</f>
        <v/>
      </c>
      <c r="N1648" s="50">
        <f>IF($T1648="","",IF($S1648="S",IF(INDEX(Firms!$M$5:$M$1004,$T1648)="","",INDEX(Firms!$M$5:$M$1004,$T1648)),IF(INDEX('AFA Rates'!$L$5:$L$1004,$T1648)="","",INDEX('AFA Rates'!$L$5:$L$1004,$T1648))))</f>
        <v/>
      </c>
      <c r="O1648" s="78">
        <f>IF(OR($T1648="",$U1648=""),"",IF(INDEX(Firms!$C$5:$C$1004,$U1648)="","",INDEX(Firms!$C$5:$C$1004,$U1648)))</f>
        <v/>
      </c>
      <c r="P1648" s="79">
        <f>IF(OR($T1648="",$U1648=""),"",IF(INDEX(Firms!$N$5:$N$1004,$U1648)="","",INDEX(Firms!$N$5:$N$1004,$U1648)))</f>
        <v/>
      </c>
      <c r="Q1648" s="78">
        <f>IF($T1648="","",IF($S1648="S",IF(INDEX(Firms!$T$5:$T$1004,$T1648)="","",INDEX(Firms!$T$5:$T$1004,$T1648)),IF(INDEX('AFA Rates'!$M$5:$M$1004,$T1648)="","",INDEX('AFA Rates'!$M$5:$M$1004,$T1648))))</f>
        <v/>
      </c>
      <c r="S1648">
        <f>IF(1644&lt;=$S$2,"S",IF(1644&lt;=$S$2+$T$2,"A",""))</f>
        <v/>
      </c>
      <c r="T1648">
        <f>IF(S1648="S",MATCH(1644,Firms!$W$5:$W$1004,0),IF(S1648="A",IFERROR(MATCH(1644-$S$2,'AFA Rates'!$R$5:$R$1004,0),""),""))</f>
        <v/>
      </c>
      <c r="U1648">
        <f>IF(S1648="S",T1648,IF(AND(S1648="A",T1648&lt;&gt;""),IFERROR(MATCH(INDEX('AFA Rates'!$A$5:$A$1004,T1648),Firms!$A$5:$A$1004,0),""),""))</f>
        <v/>
      </c>
    </row>
    <row r="1649">
      <c r="A1649" s="78">
        <f>IF($T1649="","",IF($S1649="S",IF(INDEX(Firms!$A$5:$A$1004,$T1649)="","",INDEX(Firms!$A$5:$A$1004,$T1649)),IF(INDEX('AFA Rates'!$A$5:$A$1004,$T1649)="","",INDEX('AFA Rates'!$A$5:$A$1004,$T1649))))</f>
        <v/>
      </c>
      <c r="B1649" s="79">
        <f>IF(OR($T1649="",$U1649=""),IF($T1649="","","Not on Firms tab"),INDEX(Firms!$B$5:$B$1004,$U1649)&amp;"")</f>
        <v/>
      </c>
      <c r="C1649" s="78">
        <f>IF($T1649="","",IF($S1649="S","Standard",INDEX('AFA Rates'!$B$5:$B$1004,$T1649)&amp;""))</f>
        <v/>
      </c>
      <c r="D1649" s="88">
        <f>IF($T1649="","",IF($S1649="S",IF(INDEX(Firms!$E$5:$E$1004,$T1649)="","",INDEX(Firms!$E$5:$E$1004,$T1649)),IF(INDEX('AFA Rates'!$C$5:$C$1004,$T1649)="","",INDEX('AFA Rates'!$C$5:$C$1004,$T1649))))</f>
        <v/>
      </c>
      <c r="E1649" s="88">
        <f>IF($T1649="","",IF($S1649="S",IF(""="","",""),IF(INDEX('AFA Rates'!$D$5:$D$1004,$T1649)="","",INDEX('AFA Rates'!$D$5:$D$1004,$T1649))))</f>
        <v/>
      </c>
      <c r="F1649" s="79">
        <f>IF($T1649="","",IF($S1649="S",IF(INDEX(Firms!$O$5:$O$1004,$T1649)="","",INDEX(Firms!$O$5:$O$1004,$T1649)),IF(INDEX('AFA Rates'!$O$5:$O$1004,$T1649)="","",INDEX('AFA Rates'!$O$5:$O$1004,$T1649))))</f>
        <v/>
      </c>
      <c r="G1649" s="50">
        <f>IF($T1649="","",IF($S1649="S",IF(INDEX(Firms!$F$5:$F$1004,$T1649)="","",INDEX(Firms!$F$5:$F$1004,$T1649)),IF(INDEX('AFA Rates'!$E$5:$E$1004,$T1649)="","",INDEX('AFA Rates'!$E$5:$E$1004,$T1649))))</f>
        <v/>
      </c>
      <c r="H1649" s="50">
        <f>IF($T1649="","",IF($S1649="S",IF(INDEX(Firms!$G$5:$G$1004,$T1649)="","",INDEX(Firms!$G$5:$G$1004,$T1649)),IF(INDEX('AFA Rates'!$F$5:$F$1004,$T1649)="","",INDEX('AFA Rates'!$F$5:$F$1004,$T1649))))</f>
        <v/>
      </c>
      <c r="I1649" s="50">
        <f>IF($T1649="","",IF($S1649="S",IF(INDEX(Firms!$H$5:$H$1004,$T1649)="","",INDEX(Firms!$H$5:$H$1004,$T1649)),IF(INDEX('AFA Rates'!$G$5:$G$1004,$T1649)="","",INDEX('AFA Rates'!$G$5:$G$1004,$T1649))))</f>
        <v/>
      </c>
      <c r="J1649" s="50">
        <f>IF($T1649="","",IF($S1649="S",IF(INDEX(Firms!$I$5:$I$1004,$T1649)="","",INDEX(Firms!$I$5:$I$1004,$T1649)),IF(INDEX('AFA Rates'!$H$5:$H$1004,$T1649)="","",INDEX('AFA Rates'!$H$5:$H$1004,$T1649))))</f>
        <v/>
      </c>
      <c r="K1649" s="50">
        <f>IF($T1649="","",IF($S1649="S",IF(INDEX(Firms!$J$5:$J$1004,$T1649)="","",INDEX(Firms!$J$5:$J$1004,$T1649)),IF(INDEX('AFA Rates'!$I$5:$I$1004,$T1649)="","",INDEX('AFA Rates'!$I$5:$I$1004,$T1649))))</f>
        <v/>
      </c>
      <c r="L1649" s="50">
        <f>IF($T1649="","",IF($S1649="S",IF(INDEX(Firms!$K$5:$K$1004,$T1649)="","",INDEX(Firms!$K$5:$K$1004,$T1649)),IF(INDEX('AFA Rates'!$J$5:$J$1004,$T1649)="","",INDEX('AFA Rates'!$J$5:$J$1004,$T1649))))</f>
        <v/>
      </c>
      <c r="M1649" s="50">
        <f>IF($T1649="","",IF($S1649="S",IF(INDEX(Firms!$L$5:$L$1004,$T1649)="","",INDEX(Firms!$L$5:$L$1004,$T1649)),IF(INDEX('AFA Rates'!$K$5:$K$1004,$T1649)="","",INDEX('AFA Rates'!$K$5:$K$1004,$T1649))))</f>
        <v/>
      </c>
      <c r="N1649" s="50">
        <f>IF($T1649="","",IF($S1649="S",IF(INDEX(Firms!$M$5:$M$1004,$T1649)="","",INDEX(Firms!$M$5:$M$1004,$T1649)),IF(INDEX('AFA Rates'!$L$5:$L$1004,$T1649)="","",INDEX('AFA Rates'!$L$5:$L$1004,$T1649))))</f>
        <v/>
      </c>
      <c r="O1649" s="78">
        <f>IF(OR($T1649="",$U1649=""),"",IF(INDEX(Firms!$C$5:$C$1004,$U1649)="","",INDEX(Firms!$C$5:$C$1004,$U1649)))</f>
        <v/>
      </c>
      <c r="P1649" s="79">
        <f>IF(OR($T1649="",$U1649=""),"",IF(INDEX(Firms!$N$5:$N$1004,$U1649)="","",INDEX(Firms!$N$5:$N$1004,$U1649)))</f>
        <v/>
      </c>
      <c r="Q1649" s="78">
        <f>IF($T1649="","",IF($S1649="S",IF(INDEX(Firms!$T$5:$T$1004,$T1649)="","",INDEX(Firms!$T$5:$T$1004,$T1649)),IF(INDEX('AFA Rates'!$M$5:$M$1004,$T1649)="","",INDEX('AFA Rates'!$M$5:$M$1004,$T1649))))</f>
        <v/>
      </c>
      <c r="S1649">
        <f>IF(1645&lt;=$S$2,"S",IF(1645&lt;=$S$2+$T$2,"A",""))</f>
        <v/>
      </c>
      <c r="T1649">
        <f>IF(S1649="S",MATCH(1645,Firms!$W$5:$W$1004,0),IF(S1649="A",IFERROR(MATCH(1645-$S$2,'AFA Rates'!$R$5:$R$1004,0),""),""))</f>
        <v/>
      </c>
      <c r="U1649">
        <f>IF(S1649="S",T1649,IF(AND(S1649="A",T1649&lt;&gt;""),IFERROR(MATCH(INDEX('AFA Rates'!$A$5:$A$1004,T1649),Firms!$A$5:$A$1004,0),""),""))</f>
        <v/>
      </c>
    </row>
    <row r="1650">
      <c r="A1650" s="78">
        <f>IF($T1650="","",IF($S1650="S",IF(INDEX(Firms!$A$5:$A$1004,$T1650)="","",INDEX(Firms!$A$5:$A$1004,$T1650)),IF(INDEX('AFA Rates'!$A$5:$A$1004,$T1650)="","",INDEX('AFA Rates'!$A$5:$A$1004,$T1650))))</f>
        <v/>
      </c>
      <c r="B1650" s="79">
        <f>IF(OR($T1650="",$U1650=""),IF($T1650="","","Not on Firms tab"),INDEX(Firms!$B$5:$B$1004,$U1650)&amp;"")</f>
        <v/>
      </c>
      <c r="C1650" s="78">
        <f>IF($T1650="","",IF($S1650="S","Standard",INDEX('AFA Rates'!$B$5:$B$1004,$T1650)&amp;""))</f>
        <v/>
      </c>
      <c r="D1650" s="88">
        <f>IF($T1650="","",IF($S1650="S",IF(INDEX(Firms!$E$5:$E$1004,$T1650)="","",INDEX(Firms!$E$5:$E$1004,$T1650)),IF(INDEX('AFA Rates'!$C$5:$C$1004,$T1650)="","",INDEX('AFA Rates'!$C$5:$C$1004,$T1650))))</f>
        <v/>
      </c>
      <c r="E1650" s="88">
        <f>IF($T1650="","",IF($S1650="S",IF(""="","",""),IF(INDEX('AFA Rates'!$D$5:$D$1004,$T1650)="","",INDEX('AFA Rates'!$D$5:$D$1004,$T1650))))</f>
        <v/>
      </c>
      <c r="F1650" s="79">
        <f>IF($T1650="","",IF($S1650="S",IF(INDEX(Firms!$O$5:$O$1004,$T1650)="","",INDEX(Firms!$O$5:$O$1004,$T1650)),IF(INDEX('AFA Rates'!$O$5:$O$1004,$T1650)="","",INDEX('AFA Rates'!$O$5:$O$1004,$T1650))))</f>
        <v/>
      </c>
      <c r="G1650" s="50">
        <f>IF($T1650="","",IF($S1650="S",IF(INDEX(Firms!$F$5:$F$1004,$T1650)="","",INDEX(Firms!$F$5:$F$1004,$T1650)),IF(INDEX('AFA Rates'!$E$5:$E$1004,$T1650)="","",INDEX('AFA Rates'!$E$5:$E$1004,$T1650))))</f>
        <v/>
      </c>
      <c r="H1650" s="50">
        <f>IF($T1650="","",IF($S1650="S",IF(INDEX(Firms!$G$5:$G$1004,$T1650)="","",INDEX(Firms!$G$5:$G$1004,$T1650)),IF(INDEX('AFA Rates'!$F$5:$F$1004,$T1650)="","",INDEX('AFA Rates'!$F$5:$F$1004,$T1650))))</f>
        <v/>
      </c>
      <c r="I1650" s="50">
        <f>IF($T1650="","",IF($S1650="S",IF(INDEX(Firms!$H$5:$H$1004,$T1650)="","",INDEX(Firms!$H$5:$H$1004,$T1650)),IF(INDEX('AFA Rates'!$G$5:$G$1004,$T1650)="","",INDEX('AFA Rates'!$G$5:$G$1004,$T1650))))</f>
        <v/>
      </c>
      <c r="J1650" s="50">
        <f>IF($T1650="","",IF($S1650="S",IF(INDEX(Firms!$I$5:$I$1004,$T1650)="","",INDEX(Firms!$I$5:$I$1004,$T1650)),IF(INDEX('AFA Rates'!$H$5:$H$1004,$T1650)="","",INDEX('AFA Rates'!$H$5:$H$1004,$T1650))))</f>
        <v/>
      </c>
      <c r="K1650" s="50">
        <f>IF($T1650="","",IF($S1650="S",IF(INDEX(Firms!$J$5:$J$1004,$T1650)="","",INDEX(Firms!$J$5:$J$1004,$T1650)),IF(INDEX('AFA Rates'!$I$5:$I$1004,$T1650)="","",INDEX('AFA Rates'!$I$5:$I$1004,$T1650))))</f>
        <v/>
      </c>
      <c r="L1650" s="50">
        <f>IF($T1650="","",IF($S1650="S",IF(INDEX(Firms!$K$5:$K$1004,$T1650)="","",INDEX(Firms!$K$5:$K$1004,$T1650)),IF(INDEX('AFA Rates'!$J$5:$J$1004,$T1650)="","",INDEX('AFA Rates'!$J$5:$J$1004,$T1650))))</f>
        <v/>
      </c>
      <c r="M1650" s="50">
        <f>IF($T1650="","",IF($S1650="S",IF(INDEX(Firms!$L$5:$L$1004,$T1650)="","",INDEX(Firms!$L$5:$L$1004,$T1650)),IF(INDEX('AFA Rates'!$K$5:$K$1004,$T1650)="","",INDEX('AFA Rates'!$K$5:$K$1004,$T1650))))</f>
        <v/>
      </c>
      <c r="N1650" s="50">
        <f>IF($T1650="","",IF($S1650="S",IF(INDEX(Firms!$M$5:$M$1004,$T1650)="","",INDEX(Firms!$M$5:$M$1004,$T1650)),IF(INDEX('AFA Rates'!$L$5:$L$1004,$T1650)="","",INDEX('AFA Rates'!$L$5:$L$1004,$T1650))))</f>
        <v/>
      </c>
      <c r="O1650" s="78">
        <f>IF(OR($T1650="",$U1650=""),"",IF(INDEX(Firms!$C$5:$C$1004,$U1650)="","",INDEX(Firms!$C$5:$C$1004,$U1650)))</f>
        <v/>
      </c>
      <c r="P1650" s="79">
        <f>IF(OR($T1650="",$U1650=""),"",IF(INDEX(Firms!$N$5:$N$1004,$U1650)="","",INDEX(Firms!$N$5:$N$1004,$U1650)))</f>
        <v/>
      </c>
      <c r="Q1650" s="78">
        <f>IF($T1650="","",IF($S1650="S",IF(INDEX(Firms!$T$5:$T$1004,$T1650)="","",INDEX(Firms!$T$5:$T$1004,$T1650)),IF(INDEX('AFA Rates'!$M$5:$M$1004,$T1650)="","",INDEX('AFA Rates'!$M$5:$M$1004,$T1650))))</f>
        <v/>
      </c>
      <c r="S1650">
        <f>IF(1646&lt;=$S$2,"S",IF(1646&lt;=$S$2+$T$2,"A",""))</f>
        <v/>
      </c>
      <c r="T1650">
        <f>IF(S1650="S",MATCH(1646,Firms!$W$5:$W$1004,0),IF(S1650="A",IFERROR(MATCH(1646-$S$2,'AFA Rates'!$R$5:$R$1004,0),""),""))</f>
        <v/>
      </c>
      <c r="U1650">
        <f>IF(S1650="S",T1650,IF(AND(S1650="A",T1650&lt;&gt;""),IFERROR(MATCH(INDEX('AFA Rates'!$A$5:$A$1004,T1650),Firms!$A$5:$A$1004,0),""),""))</f>
        <v/>
      </c>
    </row>
    <row r="1651">
      <c r="A1651" s="78">
        <f>IF($T1651="","",IF($S1651="S",IF(INDEX(Firms!$A$5:$A$1004,$T1651)="","",INDEX(Firms!$A$5:$A$1004,$T1651)),IF(INDEX('AFA Rates'!$A$5:$A$1004,$T1651)="","",INDEX('AFA Rates'!$A$5:$A$1004,$T1651))))</f>
        <v/>
      </c>
      <c r="B1651" s="79">
        <f>IF(OR($T1651="",$U1651=""),IF($T1651="","","Not on Firms tab"),INDEX(Firms!$B$5:$B$1004,$U1651)&amp;"")</f>
        <v/>
      </c>
      <c r="C1651" s="78">
        <f>IF($T1651="","",IF($S1651="S","Standard",INDEX('AFA Rates'!$B$5:$B$1004,$T1651)&amp;""))</f>
        <v/>
      </c>
      <c r="D1651" s="88">
        <f>IF($T1651="","",IF($S1651="S",IF(INDEX(Firms!$E$5:$E$1004,$T1651)="","",INDEX(Firms!$E$5:$E$1004,$T1651)),IF(INDEX('AFA Rates'!$C$5:$C$1004,$T1651)="","",INDEX('AFA Rates'!$C$5:$C$1004,$T1651))))</f>
        <v/>
      </c>
      <c r="E1651" s="88">
        <f>IF($T1651="","",IF($S1651="S",IF(""="","",""),IF(INDEX('AFA Rates'!$D$5:$D$1004,$T1651)="","",INDEX('AFA Rates'!$D$5:$D$1004,$T1651))))</f>
        <v/>
      </c>
      <c r="F1651" s="79">
        <f>IF($T1651="","",IF($S1651="S",IF(INDEX(Firms!$O$5:$O$1004,$T1651)="","",INDEX(Firms!$O$5:$O$1004,$T1651)),IF(INDEX('AFA Rates'!$O$5:$O$1004,$T1651)="","",INDEX('AFA Rates'!$O$5:$O$1004,$T1651))))</f>
        <v/>
      </c>
      <c r="G1651" s="50">
        <f>IF($T1651="","",IF($S1651="S",IF(INDEX(Firms!$F$5:$F$1004,$T1651)="","",INDEX(Firms!$F$5:$F$1004,$T1651)),IF(INDEX('AFA Rates'!$E$5:$E$1004,$T1651)="","",INDEX('AFA Rates'!$E$5:$E$1004,$T1651))))</f>
        <v/>
      </c>
      <c r="H1651" s="50">
        <f>IF($T1651="","",IF($S1651="S",IF(INDEX(Firms!$G$5:$G$1004,$T1651)="","",INDEX(Firms!$G$5:$G$1004,$T1651)),IF(INDEX('AFA Rates'!$F$5:$F$1004,$T1651)="","",INDEX('AFA Rates'!$F$5:$F$1004,$T1651))))</f>
        <v/>
      </c>
      <c r="I1651" s="50">
        <f>IF($T1651="","",IF($S1651="S",IF(INDEX(Firms!$H$5:$H$1004,$T1651)="","",INDEX(Firms!$H$5:$H$1004,$T1651)),IF(INDEX('AFA Rates'!$G$5:$G$1004,$T1651)="","",INDEX('AFA Rates'!$G$5:$G$1004,$T1651))))</f>
        <v/>
      </c>
      <c r="J1651" s="50">
        <f>IF($T1651="","",IF($S1651="S",IF(INDEX(Firms!$I$5:$I$1004,$T1651)="","",INDEX(Firms!$I$5:$I$1004,$T1651)),IF(INDEX('AFA Rates'!$H$5:$H$1004,$T1651)="","",INDEX('AFA Rates'!$H$5:$H$1004,$T1651))))</f>
        <v/>
      </c>
      <c r="K1651" s="50">
        <f>IF($T1651="","",IF($S1651="S",IF(INDEX(Firms!$J$5:$J$1004,$T1651)="","",INDEX(Firms!$J$5:$J$1004,$T1651)),IF(INDEX('AFA Rates'!$I$5:$I$1004,$T1651)="","",INDEX('AFA Rates'!$I$5:$I$1004,$T1651))))</f>
        <v/>
      </c>
      <c r="L1651" s="50">
        <f>IF($T1651="","",IF($S1651="S",IF(INDEX(Firms!$K$5:$K$1004,$T1651)="","",INDEX(Firms!$K$5:$K$1004,$T1651)),IF(INDEX('AFA Rates'!$J$5:$J$1004,$T1651)="","",INDEX('AFA Rates'!$J$5:$J$1004,$T1651))))</f>
        <v/>
      </c>
      <c r="M1651" s="50">
        <f>IF($T1651="","",IF($S1651="S",IF(INDEX(Firms!$L$5:$L$1004,$T1651)="","",INDEX(Firms!$L$5:$L$1004,$T1651)),IF(INDEX('AFA Rates'!$K$5:$K$1004,$T1651)="","",INDEX('AFA Rates'!$K$5:$K$1004,$T1651))))</f>
        <v/>
      </c>
      <c r="N1651" s="50">
        <f>IF($T1651="","",IF($S1651="S",IF(INDEX(Firms!$M$5:$M$1004,$T1651)="","",INDEX(Firms!$M$5:$M$1004,$T1651)),IF(INDEX('AFA Rates'!$L$5:$L$1004,$T1651)="","",INDEX('AFA Rates'!$L$5:$L$1004,$T1651))))</f>
        <v/>
      </c>
      <c r="O1651" s="78">
        <f>IF(OR($T1651="",$U1651=""),"",IF(INDEX(Firms!$C$5:$C$1004,$U1651)="","",INDEX(Firms!$C$5:$C$1004,$U1651)))</f>
        <v/>
      </c>
      <c r="P1651" s="79">
        <f>IF(OR($T1651="",$U1651=""),"",IF(INDEX(Firms!$N$5:$N$1004,$U1651)="","",INDEX(Firms!$N$5:$N$1004,$U1651)))</f>
        <v/>
      </c>
      <c r="Q1651" s="78">
        <f>IF($T1651="","",IF($S1651="S",IF(INDEX(Firms!$T$5:$T$1004,$T1651)="","",INDEX(Firms!$T$5:$T$1004,$T1651)),IF(INDEX('AFA Rates'!$M$5:$M$1004,$T1651)="","",INDEX('AFA Rates'!$M$5:$M$1004,$T1651))))</f>
        <v/>
      </c>
      <c r="S1651">
        <f>IF(1647&lt;=$S$2,"S",IF(1647&lt;=$S$2+$T$2,"A",""))</f>
        <v/>
      </c>
      <c r="T1651">
        <f>IF(S1651="S",MATCH(1647,Firms!$W$5:$W$1004,0),IF(S1651="A",IFERROR(MATCH(1647-$S$2,'AFA Rates'!$R$5:$R$1004,0),""),""))</f>
        <v/>
      </c>
      <c r="U1651">
        <f>IF(S1651="S",T1651,IF(AND(S1651="A",T1651&lt;&gt;""),IFERROR(MATCH(INDEX('AFA Rates'!$A$5:$A$1004,T1651),Firms!$A$5:$A$1004,0),""),""))</f>
        <v/>
      </c>
    </row>
    <row r="1652">
      <c r="A1652" s="78">
        <f>IF($T1652="","",IF($S1652="S",IF(INDEX(Firms!$A$5:$A$1004,$T1652)="","",INDEX(Firms!$A$5:$A$1004,$T1652)),IF(INDEX('AFA Rates'!$A$5:$A$1004,$T1652)="","",INDEX('AFA Rates'!$A$5:$A$1004,$T1652))))</f>
        <v/>
      </c>
      <c r="B1652" s="79">
        <f>IF(OR($T1652="",$U1652=""),IF($T1652="","","Not on Firms tab"),INDEX(Firms!$B$5:$B$1004,$U1652)&amp;"")</f>
        <v/>
      </c>
      <c r="C1652" s="78">
        <f>IF($T1652="","",IF($S1652="S","Standard",INDEX('AFA Rates'!$B$5:$B$1004,$T1652)&amp;""))</f>
        <v/>
      </c>
      <c r="D1652" s="88">
        <f>IF($T1652="","",IF($S1652="S",IF(INDEX(Firms!$E$5:$E$1004,$T1652)="","",INDEX(Firms!$E$5:$E$1004,$T1652)),IF(INDEX('AFA Rates'!$C$5:$C$1004,$T1652)="","",INDEX('AFA Rates'!$C$5:$C$1004,$T1652))))</f>
        <v/>
      </c>
      <c r="E1652" s="88">
        <f>IF($T1652="","",IF($S1652="S",IF(""="","",""),IF(INDEX('AFA Rates'!$D$5:$D$1004,$T1652)="","",INDEX('AFA Rates'!$D$5:$D$1004,$T1652))))</f>
        <v/>
      </c>
      <c r="F1652" s="79">
        <f>IF($T1652="","",IF($S1652="S",IF(INDEX(Firms!$O$5:$O$1004,$T1652)="","",INDEX(Firms!$O$5:$O$1004,$T1652)),IF(INDEX('AFA Rates'!$O$5:$O$1004,$T1652)="","",INDEX('AFA Rates'!$O$5:$O$1004,$T1652))))</f>
        <v/>
      </c>
      <c r="G1652" s="50">
        <f>IF($T1652="","",IF($S1652="S",IF(INDEX(Firms!$F$5:$F$1004,$T1652)="","",INDEX(Firms!$F$5:$F$1004,$T1652)),IF(INDEX('AFA Rates'!$E$5:$E$1004,$T1652)="","",INDEX('AFA Rates'!$E$5:$E$1004,$T1652))))</f>
        <v/>
      </c>
      <c r="H1652" s="50">
        <f>IF($T1652="","",IF($S1652="S",IF(INDEX(Firms!$G$5:$G$1004,$T1652)="","",INDEX(Firms!$G$5:$G$1004,$T1652)),IF(INDEX('AFA Rates'!$F$5:$F$1004,$T1652)="","",INDEX('AFA Rates'!$F$5:$F$1004,$T1652))))</f>
        <v/>
      </c>
      <c r="I1652" s="50">
        <f>IF($T1652="","",IF($S1652="S",IF(INDEX(Firms!$H$5:$H$1004,$T1652)="","",INDEX(Firms!$H$5:$H$1004,$T1652)),IF(INDEX('AFA Rates'!$G$5:$G$1004,$T1652)="","",INDEX('AFA Rates'!$G$5:$G$1004,$T1652))))</f>
        <v/>
      </c>
      <c r="J1652" s="50">
        <f>IF($T1652="","",IF($S1652="S",IF(INDEX(Firms!$I$5:$I$1004,$T1652)="","",INDEX(Firms!$I$5:$I$1004,$T1652)),IF(INDEX('AFA Rates'!$H$5:$H$1004,$T1652)="","",INDEX('AFA Rates'!$H$5:$H$1004,$T1652))))</f>
        <v/>
      </c>
      <c r="K1652" s="50">
        <f>IF($T1652="","",IF($S1652="S",IF(INDEX(Firms!$J$5:$J$1004,$T1652)="","",INDEX(Firms!$J$5:$J$1004,$T1652)),IF(INDEX('AFA Rates'!$I$5:$I$1004,$T1652)="","",INDEX('AFA Rates'!$I$5:$I$1004,$T1652))))</f>
        <v/>
      </c>
      <c r="L1652" s="50">
        <f>IF($T1652="","",IF($S1652="S",IF(INDEX(Firms!$K$5:$K$1004,$T1652)="","",INDEX(Firms!$K$5:$K$1004,$T1652)),IF(INDEX('AFA Rates'!$J$5:$J$1004,$T1652)="","",INDEX('AFA Rates'!$J$5:$J$1004,$T1652))))</f>
        <v/>
      </c>
      <c r="M1652" s="50">
        <f>IF($T1652="","",IF($S1652="S",IF(INDEX(Firms!$L$5:$L$1004,$T1652)="","",INDEX(Firms!$L$5:$L$1004,$T1652)),IF(INDEX('AFA Rates'!$K$5:$K$1004,$T1652)="","",INDEX('AFA Rates'!$K$5:$K$1004,$T1652))))</f>
        <v/>
      </c>
      <c r="N1652" s="50">
        <f>IF($T1652="","",IF($S1652="S",IF(INDEX(Firms!$M$5:$M$1004,$T1652)="","",INDEX(Firms!$M$5:$M$1004,$T1652)),IF(INDEX('AFA Rates'!$L$5:$L$1004,$T1652)="","",INDEX('AFA Rates'!$L$5:$L$1004,$T1652))))</f>
        <v/>
      </c>
      <c r="O1652" s="78">
        <f>IF(OR($T1652="",$U1652=""),"",IF(INDEX(Firms!$C$5:$C$1004,$U1652)="","",INDEX(Firms!$C$5:$C$1004,$U1652)))</f>
        <v/>
      </c>
      <c r="P1652" s="79">
        <f>IF(OR($T1652="",$U1652=""),"",IF(INDEX(Firms!$N$5:$N$1004,$U1652)="","",INDEX(Firms!$N$5:$N$1004,$U1652)))</f>
        <v/>
      </c>
      <c r="Q1652" s="78">
        <f>IF($T1652="","",IF($S1652="S",IF(INDEX(Firms!$T$5:$T$1004,$T1652)="","",INDEX(Firms!$T$5:$T$1004,$T1652)),IF(INDEX('AFA Rates'!$M$5:$M$1004,$T1652)="","",INDEX('AFA Rates'!$M$5:$M$1004,$T1652))))</f>
        <v/>
      </c>
      <c r="S1652">
        <f>IF(1648&lt;=$S$2,"S",IF(1648&lt;=$S$2+$T$2,"A",""))</f>
        <v/>
      </c>
      <c r="T1652">
        <f>IF(S1652="S",MATCH(1648,Firms!$W$5:$W$1004,0),IF(S1652="A",IFERROR(MATCH(1648-$S$2,'AFA Rates'!$R$5:$R$1004,0),""),""))</f>
        <v/>
      </c>
      <c r="U1652">
        <f>IF(S1652="S",T1652,IF(AND(S1652="A",T1652&lt;&gt;""),IFERROR(MATCH(INDEX('AFA Rates'!$A$5:$A$1004,T1652),Firms!$A$5:$A$1004,0),""),""))</f>
        <v/>
      </c>
    </row>
    <row r="1653">
      <c r="A1653" s="78">
        <f>IF($T1653="","",IF($S1653="S",IF(INDEX(Firms!$A$5:$A$1004,$T1653)="","",INDEX(Firms!$A$5:$A$1004,$T1653)),IF(INDEX('AFA Rates'!$A$5:$A$1004,$T1653)="","",INDEX('AFA Rates'!$A$5:$A$1004,$T1653))))</f>
        <v/>
      </c>
      <c r="B1653" s="79">
        <f>IF(OR($T1653="",$U1653=""),IF($T1653="","","Not on Firms tab"),INDEX(Firms!$B$5:$B$1004,$U1653)&amp;"")</f>
        <v/>
      </c>
      <c r="C1653" s="78">
        <f>IF($T1653="","",IF($S1653="S","Standard",INDEX('AFA Rates'!$B$5:$B$1004,$T1653)&amp;""))</f>
        <v/>
      </c>
      <c r="D1653" s="88">
        <f>IF($T1653="","",IF($S1653="S",IF(INDEX(Firms!$E$5:$E$1004,$T1653)="","",INDEX(Firms!$E$5:$E$1004,$T1653)),IF(INDEX('AFA Rates'!$C$5:$C$1004,$T1653)="","",INDEX('AFA Rates'!$C$5:$C$1004,$T1653))))</f>
        <v/>
      </c>
      <c r="E1653" s="88">
        <f>IF($T1653="","",IF($S1653="S",IF(""="","",""),IF(INDEX('AFA Rates'!$D$5:$D$1004,$T1653)="","",INDEX('AFA Rates'!$D$5:$D$1004,$T1653))))</f>
        <v/>
      </c>
      <c r="F1653" s="79">
        <f>IF($T1653="","",IF($S1653="S",IF(INDEX(Firms!$O$5:$O$1004,$T1653)="","",INDEX(Firms!$O$5:$O$1004,$T1653)),IF(INDEX('AFA Rates'!$O$5:$O$1004,$T1653)="","",INDEX('AFA Rates'!$O$5:$O$1004,$T1653))))</f>
        <v/>
      </c>
      <c r="G1653" s="50">
        <f>IF($T1653="","",IF($S1653="S",IF(INDEX(Firms!$F$5:$F$1004,$T1653)="","",INDEX(Firms!$F$5:$F$1004,$T1653)),IF(INDEX('AFA Rates'!$E$5:$E$1004,$T1653)="","",INDEX('AFA Rates'!$E$5:$E$1004,$T1653))))</f>
        <v/>
      </c>
      <c r="H1653" s="50">
        <f>IF($T1653="","",IF($S1653="S",IF(INDEX(Firms!$G$5:$G$1004,$T1653)="","",INDEX(Firms!$G$5:$G$1004,$T1653)),IF(INDEX('AFA Rates'!$F$5:$F$1004,$T1653)="","",INDEX('AFA Rates'!$F$5:$F$1004,$T1653))))</f>
        <v/>
      </c>
      <c r="I1653" s="50">
        <f>IF($T1653="","",IF($S1653="S",IF(INDEX(Firms!$H$5:$H$1004,$T1653)="","",INDEX(Firms!$H$5:$H$1004,$T1653)),IF(INDEX('AFA Rates'!$G$5:$G$1004,$T1653)="","",INDEX('AFA Rates'!$G$5:$G$1004,$T1653))))</f>
        <v/>
      </c>
      <c r="J1653" s="50">
        <f>IF($T1653="","",IF($S1653="S",IF(INDEX(Firms!$I$5:$I$1004,$T1653)="","",INDEX(Firms!$I$5:$I$1004,$T1653)),IF(INDEX('AFA Rates'!$H$5:$H$1004,$T1653)="","",INDEX('AFA Rates'!$H$5:$H$1004,$T1653))))</f>
        <v/>
      </c>
      <c r="K1653" s="50">
        <f>IF($T1653="","",IF($S1653="S",IF(INDEX(Firms!$J$5:$J$1004,$T1653)="","",INDEX(Firms!$J$5:$J$1004,$T1653)),IF(INDEX('AFA Rates'!$I$5:$I$1004,$T1653)="","",INDEX('AFA Rates'!$I$5:$I$1004,$T1653))))</f>
        <v/>
      </c>
      <c r="L1653" s="50">
        <f>IF($T1653="","",IF($S1653="S",IF(INDEX(Firms!$K$5:$K$1004,$T1653)="","",INDEX(Firms!$K$5:$K$1004,$T1653)),IF(INDEX('AFA Rates'!$J$5:$J$1004,$T1653)="","",INDEX('AFA Rates'!$J$5:$J$1004,$T1653))))</f>
        <v/>
      </c>
      <c r="M1653" s="50">
        <f>IF($T1653="","",IF($S1653="S",IF(INDEX(Firms!$L$5:$L$1004,$T1653)="","",INDEX(Firms!$L$5:$L$1004,$T1653)),IF(INDEX('AFA Rates'!$K$5:$K$1004,$T1653)="","",INDEX('AFA Rates'!$K$5:$K$1004,$T1653))))</f>
        <v/>
      </c>
      <c r="N1653" s="50">
        <f>IF($T1653="","",IF($S1653="S",IF(INDEX(Firms!$M$5:$M$1004,$T1653)="","",INDEX(Firms!$M$5:$M$1004,$T1653)),IF(INDEX('AFA Rates'!$L$5:$L$1004,$T1653)="","",INDEX('AFA Rates'!$L$5:$L$1004,$T1653))))</f>
        <v/>
      </c>
      <c r="O1653" s="78">
        <f>IF(OR($T1653="",$U1653=""),"",IF(INDEX(Firms!$C$5:$C$1004,$U1653)="","",INDEX(Firms!$C$5:$C$1004,$U1653)))</f>
        <v/>
      </c>
      <c r="P1653" s="79">
        <f>IF(OR($T1653="",$U1653=""),"",IF(INDEX(Firms!$N$5:$N$1004,$U1653)="","",INDEX(Firms!$N$5:$N$1004,$U1653)))</f>
        <v/>
      </c>
      <c r="Q1653" s="78">
        <f>IF($T1653="","",IF($S1653="S",IF(INDEX(Firms!$T$5:$T$1004,$T1653)="","",INDEX(Firms!$T$5:$T$1004,$T1653)),IF(INDEX('AFA Rates'!$M$5:$M$1004,$T1653)="","",INDEX('AFA Rates'!$M$5:$M$1004,$T1653))))</f>
        <v/>
      </c>
      <c r="S1653">
        <f>IF(1649&lt;=$S$2,"S",IF(1649&lt;=$S$2+$T$2,"A",""))</f>
        <v/>
      </c>
      <c r="T1653">
        <f>IF(S1653="S",MATCH(1649,Firms!$W$5:$W$1004,0),IF(S1653="A",IFERROR(MATCH(1649-$S$2,'AFA Rates'!$R$5:$R$1004,0),""),""))</f>
        <v/>
      </c>
      <c r="U1653">
        <f>IF(S1653="S",T1653,IF(AND(S1653="A",T1653&lt;&gt;""),IFERROR(MATCH(INDEX('AFA Rates'!$A$5:$A$1004,T1653),Firms!$A$5:$A$1004,0),""),""))</f>
        <v/>
      </c>
    </row>
    <row r="1654">
      <c r="A1654" s="78">
        <f>IF($T1654="","",IF($S1654="S",IF(INDEX(Firms!$A$5:$A$1004,$T1654)="","",INDEX(Firms!$A$5:$A$1004,$T1654)),IF(INDEX('AFA Rates'!$A$5:$A$1004,$T1654)="","",INDEX('AFA Rates'!$A$5:$A$1004,$T1654))))</f>
        <v/>
      </c>
      <c r="B1654" s="79">
        <f>IF(OR($T1654="",$U1654=""),IF($T1654="","","Not on Firms tab"),INDEX(Firms!$B$5:$B$1004,$U1654)&amp;"")</f>
        <v/>
      </c>
      <c r="C1654" s="78">
        <f>IF($T1654="","",IF($S1654="S","Standard",INDEX('AFA Rates'!$B$5:$B$1004,$T1654)&amp;""))</f>
        <v/>
      </c>
      <c r="D1654" s="88">
        <f>IF($T1654="","",IF($S1654="S",IF(INDEX(Firms!$E$5:$E$1004,$T1654)="","",INDEX(Firms!$E$5:$E$1004,$T1654)),IF(INDEX('AFA Rates'!$C$5:$C$1004,$T1654)="","",INDEX('AFA Rates'!$C$5:$C$1004,$T1654))))</f>
        <v/>
      </c>
      <c r="E1654" s="88">
        <f>IF($T1654="","",IF($S1654="S",IF(""="","",""),IF(INDEX('AFA Rates'!$D$5:$D$1004,$T1654)="","",INDEX('AFA Rates'!$D$5:$D$1004,$T1654))))</f>
        <v/>
      </c>
      <c r="F1654" s="79">
        <f>IF($T1654="","",IF($S1654="S",IF(INDEX(Firms!$O$5:$O$1004,$T1654)="","",INDEX(Firms!$O$5:$O$1004,$T1654)),IF(INDEX('AFA Rates'!$O$5:$O$1004,$T1654)="","",INDEX('AFA Rates'!$O$5:$O$1004,$T1654))))</f>
        <v/>
      </c>
      <c r="G1654" s="50">
        <f>IF($T1654="","",IF($S1654="S",IF(INDEX(Firms!$F$5:$F$1004,$T1654)="","",INDEX(Firms!$F$5:$F$1004,$T1654)),IF(INDEX('AFA Rates'!$E$5:$E$1004,$T1654)="","",INDEX('AFA Rates'!$E$5:$E$1004,$T1654))))</f>
        <v/>
      </c>
      <c r="H1654" s="50">
        <f>IF($T1654="","",IF($S1654="S",IF(INDEX(Firms!$G$5:$G$1004,$T1654)="","",INDEX(Firms!$G$5:$G$1004,$T1654)),IF(INDEX('AFA Rates'!$F$5:$F$1004,$T1654)="","",INDEX('AFA Rates'!$F$5:$F$1004,$T1654))))</f>
        <v/>
      </c>
      <c r="I1654" s="50">
        <f>IF($T1654="","",IF($S1654="S",IF(INDEX(Firms!$H$5:$H$1004,$T1654)="","",INDEX(Firms!$H$5:$H$1004,$T1654)),IF(INDEX('AFA Rates'!$G$5:$G$1004,$T1654)="","",INDEX('AFA Rates'!$G$5:$G$1004,$T1654))))</f>
        <v/>
      </c>
      <c r="J1654" s="50">
        <f>IF($T1654="","",IF($S1654="S",IF(INDEX(Firms!$I$5:$I$1004,$T1654)="","",INDEX(Firms!$I$5:$I$1004,$T1654)),IF(INDEX('AFA Rates'!$H$5:$H$1004,$T1654)="","",INDEX('AFA Rates'!$H$5:$H$1004,$T1654))))</f>
        <v/>
      </c>
      <c r="K1654" s="50">
        <f>IF($T1654="","",IF($S1654="S",IF(INDEX(Firms!$J$5:$J$1004,$T1654)="","",INDEX(Firms!$J$5:$J$1004,$T1654)),IF(INDEX('AFA Rates'!$I$5:$I$1004,$T1654)="","",INDEX('AFA Rates'!$I$5:$I$1004,$T1654))))</f>
        <v/>
      </c>
      <c r="L1654" s="50">
        <f>IF($T1654="","",IF($S1654="S",IF(INDEX(Firms!$K$5:$K$1004,$T1654)="","",INDEX(Firms!$K$5:$K$1004,$T1654)),IF(INDEX('AFA Rates'!$J$5:$J$1004,$T1654)="","",INDEX('AFA Rates'!$J$5:$J$1004,$T1654))))</f>
        <v/>
      </c>
      <c r="M1654" s="50">
        <f>IF($T1654="","",IF($S1654="S",IF(INDEX(Firms!$L$5:$L$1004,$T1654)="","",INDEX(Firms!$L$5:$L$1004,$T1654)),IF(INDEX('AFA Rates'!$K$5:$K$1004,$T1654)="","",INDEX('AFA Rates'!$K$5:$K$1004,$T1654))))</f>
        <v/>
      </c>
      <c r="N1654" s="50">
        <f>IF($T1654="","",IF($S1654="S",IF(INDEX(Firms!$M$5:$M$1004,$T1654)="","",INDEX(Firms!$M$5:$M$1004,$T1654)),IF(INDEX('AFA Rates'!$L$5:$L$1004,$T1654)="","",INDEX('AFA Rates'!$L$5:$L$1004,$T1654))))</f>
        <v/>
      </c>
      <c r="O1654" s="78">
        <f>IF(OR($T1654="",$U1654=""),"",IF(INDEX(Firms!$C$5:$C$1004,$U1654)="","",INDEX(Firms!$C$5:$C$1004,$U1654)))</f>
        <v/>
      </c>
      <c r="P1654" s="79">
        <f>IF(OR($T1654="",$U1654=""),"",IF(INDEX(Firms!$N$5:$N$1004,$U1654)="","",INDEX(Firms!$N$5:$N$1004,$U1654)))</f>
        <v/>
      </c>
      <c r="Q1654" s="78">
        <f>IF($T1654="","",IF($S1654="S",IF(INDEX(Firms!$T$5:$T$1004,$T1654)="","",INDEX(Firms!$T$5:$T$1004,$T1654)),IF(INDEX('AFA Rates'!$M$5:$M$1004,$T1654)="","",INDEX('AFA Rates'!$M$5:$M$1004,$T1654))))</f>
        <v/>
      </c>
      <c r="S1654">
        <f>IF(1650&lt;=$S$2,"S",IF(1650&lt;=$S$2+$T$2,"A",""))</f>
        <v/>
      </c>
      <c r="T1654">
        <f>IF(S1654="S",MATCH(1650,Firms!$W$5:$W$1004,0),IF(S1654="A",IFERROR(MATCH(1650-$S$2,'AFA Rates'!$R$5:$R$1004,0),""),""))</f>
        <v/>
      </c>
      <c r="U1654">
        <f>IF(S1654="S",T1654,IF(AND(S1654="A",T1654&lt;&gt;""),IFERROR(MATCH(INDEX('AFA Rates'!$A$5:$A$1004,T1654),Firms!$A$5:$A$1004,0),""),""))</f>
        <v/>
      </c>
    </row>
    <row r="1655">
      <c r="A1655" s="78">
        <f>IF($T1655="","",IF($S1655="S",IF(INDEX(Firms!$A$5:$A$1004,$T1655)="","",INDEX(Firms!$A$5:$A$1004,$T1655)),IF(INDEX('AFA Rates'!$A$5:$A$1004,$T1655)="","",INDEX('AFA Rates'!$A$5:$A$1004,$T1655))))</f>
        <v/>
      </c>
      <c r="B1655" s="79">
        <f>IF(OR($T1655="",$U1655=""),IF($T1655="","","Not on Firms tab"),INDEX(Firms!$B$5:$B$1004,$U1655)&amp;"")</f>
        <v/>
      </c>
      <c r="C1655" s="78">
        <f>IF($T1655="","",IF($S1655="S","Standard",INDEX('AFA Rates'!$B$5:$B$1004,$T1655)&amp;""))</f>
        <v/>
      </c>
      <c r="D1655" s="88">
        <f>IF($T1655="","",IF($S1655="S",IF(INDEX(Firms!$E$5:$E$1004,$T1655)="","",INDEX(Firms!$E$5:$E$1004,$T1655)),IF(INDEX('AFA Rates'!$C$5:$C$1004,$T1655)="","",INDEX('AFA Rates'!$C$5:$C$1004,$T1655))))</f>
        <v/>
      </c>
      <c r="E1655" s="88">
        <f>IF($T1655="","",IF($S1655="S",IF(""="","",""),IF(INDEX('AFA Rates'!$D$5:$D$1004,$T1655)="","",INDEX('AFA Rates'!$D$5:$D$1004,$T1655))))</f>
        <v/>
      </c>
      <c r="F1655" s="79">
        <f>IF($T1655="","",IF($S1655="S",IF(INDEX(Firms!$O$5:$O$1004,$T1655)="","",INDEX(Firms!$O$5:$O$1004,$T1655)),IF(INDEX('AFA Rates'!$O$5:$O$1004,$T1655)="","",INDEX('AFA Rates'!$O$5:$O$1004,$T1655))))</f>
        <v/>
      </c>
      <c r="G1655" s="50">
        <f>IF($T1655="","",IF($S1655="S",IF(INDEX(Firms!$F$5:$F$1004,$T1655)="","",INDEX(Firms!$F$5:$F$1004,$T1655)),IF(INDEX('AFA Rates'!$E$5:$E$1004,$T1655)="","",INDEX('AFA Rates'!$E$5:$E$1004,$T1655))))</f>
        <v/>
      </c>
      <c r="H1655" s="50">
        <f>IF($T1655="","",IF($S1655="S",IF(INDEX(Firms!$G$5:$G$1004,$T1655)="","",INDEX(Firms!$G$5:$G$1004,$T1655)),IF(INDEX('AFA Rates'!$F$5:$F$1004,$T1655)="","",INDEX('AFA Rates'!$F$5:$F$1004,$T1655))))</f>
        <v/>
      </c>
      <c r="I1655" s="50">
        <f>IF($T1655="","",IF($S1655="S",IF(INDEX(Firms!$H$5:$H$1004,$T1655)="","",INDEX(Firms!$H$5:$H$1004,$T1655)),IF(INDEX('AFA Rates'!$G$5:$G$1004,$T1655)="","",INDEX('AFA Rates'!$G$5:$G$1004,$T1655))))</f>
        <v/>
      </c>
      <c r="J1655" s="50">
        <f>IF($T1655="","",IF($S1655="S",IF(INDEX(Firms!$I$5:$I$1004,$T1655)="","",INDEX(Firms!$I$5:$I$1004,$T1655)),IF(INDEX('AFA Rates'!$H$5:$H$1004,$T1655)="","",INDEX('AFA Rates'!$H$5:$H$1004,$T1655))))</f>
        <v/>
      </c>
      <c r="K1655" s="50">
        <f>IF($T1655="","",IF($S1655="S",IF(INDEX(Firms!$J$5:$J$1004,$T1655)="","",INDEX(Firms!$J$5:$J$1004,$T1655)),IF(INDEX('AFA Rates'!$I$5:$I$1004,$T1655)="","",INDEX('AFA Rates'!$I$5:$I$1004,$T1655))))</f>
        <v/>
      </c>
      <c r="L1655" s="50">
        <f>IF($T1655="","",IF($S1655="S",IF(INDEX(Firms!$K$5:$K$1004,$T1655)="","",INDEX(Firms!$K$5:$K$1004,$T1655)),IF(INDEX('AFA Rates'!$J$5:$J$1004,$T1655)="","",INDEX('AFA Rates'!$J$5:$J$1004,$T1655))))</f>
        <v/>
      </c>
      <c r="M1655" s="50">
        <f>IF($T1655="","",IF($S1655="S",IF(INDEX(Firms!$L$5:$L$1004,$T1655)="","",INDEX(Firms!$L$5:$L$1004,$T1655)),IF(INDEX('AFA Rates'!$K$5:$K$1004,$T1655)="","",INDEX('AFA Rates'!$K$5:$K$1004,$T1655))))</f>
        <v/>
      </c>
      <c r="N1655" s="50">
        <f>IF($T1655="","",IF($S1655="S",IF(INDEX(Firms!$M$5:$M$1004,$T1655)="","",INDEX(Firms!$M$5:$M$1004,$T1655)),IF(INDEX('AFA Rates'!$L$5:$L$1004,$T1655)="","",INDEX('AFA Rates'!$L$5:$L$1004,$T1655))))</f>
        <v/>
      </c>
      <c r="O1655" s="78">
        <f>IF(OR($T1655="",$U1655=""),"",IF(INDEX(Firms!$C$5:$C$1004,$U1655)="","",INDEX(Firms!$C$5:$C$1004,$U1655)))</f>
        <v/>
      </c>
      <c r="P1655" s="79">
        <f>IF(OR($T1655="",$U1655=""),"",IF(INDEX(Firms!$N$5:$N$1004,$U1655)="","",INDEX(Firms!$N$5:$N$1004,$U1655)))</f>
        <v/>
      </c>
      <c r="Q1655" s="78">
        <f>IF($T1655="","",IF($S1655="S",IF(INDEX(Firms!$T$5:$T$1004,$T1655)="","",INDEX(Firms!$T$5:$T$1004,$T1655)),IF(INDEX('AFA Rates'!$M$5:$M$1004,$T1655)="","",INDEX('AFA Rates'!$M$5:$M$1004,$T1655))))</f>
        <v/>
      </c>
      <c r="S1655">
        <f>IF(1651&lt;=$S$2,"S",IF(1651&lt;=$S$2+$T$2,"A",""))</f>
        <v/>
      </c>
      <c r="T1655">
        <f>IF(S1655="S",MATCH(1651,Firms!$W$5:$W$1004,0),IF(S1655="A",IFERROR(MATCH(1651-$S$2,'AFA Rates'!$R$5:$R$1004,0),""),""))</f>
        <v/>
      </c>
      <c r="U1655">
        <f>IF(S1655="S",T1655,IF(AND(S1655="A",T1655&lt;&gt;""),IFERROR(MATCH(INDEX('AFA Rates'!$A$5:$A$1004,T1655),Firms!$A$5:$A$1004,0),""),""))</f>
        <v/>
      </c>
    </row>
    <row r="1656">
      <c r="A1656" s="78">
        <f>IF($T1656="","",IF($S1656="S",IF(INDEX(Firms!$A$5:$A$1004,$T1656)="","",INDEX(Firms!$A$5:$A$1004,$T1656)),IF(INDEX('AFA Rates'!$A$5:$A$1004,$T1656)="","",INDEX('AFA Rates'!$A$5:$A$1004,$T1656))))</f>
        <v/>
      </c>
      <c r="B1656" s="79">
        <f>IF(OR($T1656="",$U1656=""),IF($T1656="","","Not on Firms tab"),INDEX(Firms!$B$5:$B$1004,$U1656)&amp;"")</f>
        <v/>
      </c>
      <c r="C1656" s="78">
        <f>IF($T1656="","",IF($S1656="S","Standard",INDEX('AFA Rates'!$B$5:$B$1004,$T1656)&amp;""))</f>
        <v/>
      </c>
      <c r="D1656" s="88">
        <f>IF($T1656="","",IF($S1656="S",IF(INDEX(Firms!$E$5:$E$1004,$T1656)="","",INDEX(Firms!$E$5:$E$1004,$T1656)),IF(INDEX('AFA Rates'!$C$5:$C$1004,$T1656)="","",INDEX('AFA Rates'!$C$5:$C$1004,$T1656))))</f>
        <v/>
      </c>
      <c r="E1656" s="88">
        <f>IF($T1656="","",IF($S1656="S",IF(""="","",""),IF(INDEX('AFA Rates'!$D$5:$D$1004,$T1656)="","",INDEX('AFA Rates'!$D$5:$D$1004,$T1656))))</f>
        <v/>
      </c>
      <c r="F1656" s="79">
        <f>IF($T1656="","",IF($S1656="S",IF(INDEX(Firms!$O$5:$O$1004,$T1656)="","",INDEX(Firms!$O$5:$O$1004,$T1656)),IF(INDEX('AFA Rates'!$O$5:$O$1004,$T1656)="","",INDEX('AFA Rates'!$O$5:$O$1004,$T1656))))</f>
        <v/>
      </c>
      <c r="G1656" s="50">
        <f>IF($T1656="","",IF($S1656="S",IF(INDEX(Firms!$F$5:$F$1004,$T1656)="","",INDEX(Firms!$F$5:$F$1004,$T1656)),IF(INDEX('AFA Rates'!$E$5:$E$1004,$T1656)="","",INDEX('AFA Rates'!$E$5:$E$1004,$T1656))))</f>
        <v/>
      </c>
      <c r="H1656" s="50">
        <f>IF($T1656="","",IF($S1656="S",IF(INDEX(Firms!$G$5:$G$1004,$T1656)="","",INDEX(Firms!$G$5:$G$1004,$T1656)),IF(INDEX('AFA Rates'!$F$5:$F$1004,$T1656)="","",INDEX('AFA Rates'!$F$5:$F$1004,$T1656))))</f>
        <v/>
      </c>
      <c r="I1656" s="50">
        <f>IF($T1656="","",IF($S1656="S",IF(INDEX(Firms!$H$5:$H$1004,$T1656)="","",INDEX(Firms!$H$5:$H$1004,$T1656)),IF(INDEX('AFA Rates'!$G$5:$G$1004,$T1656)="","",INDEX('AFA Rates'!$G$5:$G$1004,$T1656))))</f>
        <v/>
      </c>
      <c r="J1656" s="50">
        <f>IF($T1656="","",IF($S1656="S",IF(INDEX(Firms!$I$5:$I$1004,$T1656)="","",INDEX(Firms!$I$5:$I$1004,$T1656)),IF(INDEX('AFA Rates'!$H$5:$H$1004,$T1656)="","",INDEX('AFA Rates'!$H$5:$H$1004,$T1656))))</f>
        <v/>
      </c>
      <c r="K1656" s="50">
        <f>IF($T1656="","",IF($S1656="S",IF(INDEX(Firms!$J$5:$J$1004,$T1656)="","",INDEX(Firms!$J$5:$J$1004,$T1656)),IF(INDEX('AFA Rates'!$I$5:$I$1004,$T1656)="","",INDEX('AFA Rates'!$I$5:$I$1004,$T1656))))</f>
        <v/>
      </c>
      <c r="L1656" s="50">
        <f>IF($T1656="","",IF($S1656="S",IF(INDEX(Firms!$K$5:$K$1004,$T1656)="","",INDEX(Firms!$K$5:$K$1004,$T1656)),IF(INDEX('AFA Rates'!$J$5:$J$1004,$T1656)="","",INDEX('AFA Rates'!$J$5:$J$1004,$T1656))))</f>
        <v/>
      </c>
      <c r="M1656" s="50">
        <f>IF($T1656="","",IF($S1656="S",IF(INDEX(Firms!$L$5:$L$1004,$T1656)="","",INDEX(Firms!$L$5:$L$1004,$T1656)),IF(INDEX('AFA Rates'!$K$5:$K$1004,$T1656)="","",INDEX('AFA Rates'!$K$5:$K$1004,$T1656))))</f>
        <v/>
      </c>
      <c r="N1656" s="50">
        <f>IF($T1656="","",IF($S1656="S",IF(INDEX(Firms!$M$5:$M$1004,$T1656)="","",INDEX(Firms!$M$5:$M$1004,$T1656)),IF(INDEX('AFA Rates'!$L$5:$L$1004,$T1656)="","",INDEX('AFA Rates'!$L$5:$L$1004,$T1656))))</f>
        <v/>
      </c>
      <c r="O1656" s="78">
        <f>IF(OR($T1656="",$U1656=""),"",IF(INDEX(Firms!$C$5:$C$1004,$U1656)="","",INDEX(Firms!$C$5:$C$1004,$U1656)))</f>
        <v/>
      </c>
      <c r="P1656" s="79">
        <f>IF(OR($T1656="",$U1656=""),"",IF(INDEX(Firms!$N$5:$N$1004,$U1656)="","",INDEX(Firms!$N$5:$N$1004,$U1656)))</f>
        <v/>
      </c>
      <c r="Q1656" s="78">
        <f>IF($T1656="","",IF($S1656="S",IF(INDEX(Firms!$T$5:$T$1004,$T1656)="","",INDEX(Firms!$T$5:$T$1004,$T1656)),IF(INDEX('AFA Rates'!$M$5:$M$1004,$T1656)="","",INDEX('AFA Rates'!$M$5:$M$1004,$T1656))))</f>
        <v/>
      </c>
      <c r="S1656">
        <f>IF(1652&lt;=$S$2,"S",IF(1652&lt;=$S$2+$T$2,"A",""))</f>
        <v/>
      </c>
      <c r="T1656">
        <f>IF(S1656="S",MATCH(1652,Firms!$W$5:$W$1004,0),IF(S1656="A",IFERROR(MATCH(1652-$S$2,'AFA Rates'!$R$5:$R$1004,0),""),""))</f>
        <v/>
      </c>
      <c r="U1656">
        <f>IF(S1656="S",T1656,IF(AND(S1656="A",T1656&lt;&gt;""),IFERROR(MATCH(INDEX('AFA Rates'!$A$5:$A$1004,T1656),Firms!$A$5:$A$1004,0),""),""))</f>
        <v/>
      </c>
    </row>
    <row r="1657">
      <c r="A1657" s="78">
        <f>IF($T1657="","",IF($S1657="S",IF(INDEX(Firms!$A$5:$A$1004,$T1657)="","",INDEX(Firms!$A$5:$A$1004,$T1657)),IF(INDEX('AFA Rates'!$A$5:$A$1004,$T1657)="","",INDEX('AFA Rates'!$A$5:$A$1004,$T1657))))</f>
        <v/>
      </c>
      <c r="B1657" s="79">
        <f>IF(OR($T1657="",$U1657=""),IF($T1657="","","Not on Firms tab"),INDEX(Firms!$B$5:$B$1004,$U1657)&amp;"")</f>
        <v/>
      </c>
      <c r="C1657" s="78">
        <f>IF($T1657="","",IF($S1657="S","Standard",INDEX('AFA Rates'!$B$5:$B$1004,$T1657)&amp;""))</f>
        <v/>
      </c>
      <c r="D1657" s="88">
        <f>IF($T1657="","",IF($S1657="S",IF(INDEX(Firms!$E$5:$E$1004,$T1657)="","",INDEX(Firms!$E$5:$E$1004,$T1657)),IF(INDEX('AFA Rates'!$C$5:$C$1004,$T1657)="","",INDEX('AFA Rates'!$C$5:$C$1004,$T1657))))</f>
        <v/>
      </c>
      <c r="E1657" s="88">
        <f>IF($T1657="","",IF($S1657="S",IF(""="","",""),IF(INDEX('AFA Rates'!$D$5:$D$1004,$T1657)="","",INDEX('AFA Rates'!$D$5:$D$1004,$T1657))))</f>
        <v/>
      </c>
      <c r="F1657" s="79">
        <f>IF($T1657="","",IF($S1657="S",IF(INDEX(Firms!$O$5:$O$1004,$T1657)="","",INDEX(Firms!$O$5:$O$1004,$T1657)),IF(INDEX('AFA Rates'!$O$5:$O$1004,$T1657)="","",INDEX('AFA Rates'!$O$5:$O$1004,$T1657))))</f>
        <v/>
      </c>
      <c r="G1657" s="50">
        <f>IF($T1657="","",IF($S1657="S",IF(INDEX(Firms!$F$5:$F$1004,$T1657)="","",INDEX(Firms!$F$5:$F$1004,$T1657)),IF(INDEX('AFA Rates'!$E$5:$E$1004,$T1657)="","",INDEX('AFA Rates'!$E$5:$E$1004,$T1657))))</f>
        <v/>
      </c>
      <c r="H1657" s="50">
        <f>IF($T1657="","",IF($S1657="S",IF(INDEX(Firms!$G$5:$G$1004,$T1657)="","",INDEX(Firms!$G$5:$G$1004,$T1657)),IF(INDEX('AFA Rates'!$F$5:$F$1004,$T1657)="","",INDEX('AFA Rates'!$F$5:$F$1004,$T1657))))</f>
        <v/>
      </c>
      <c r="I1657" s="50">
        <f>IF($T1657="","",IF($S1657="S",IF(INDEX(Firms!$H$5:$H$1004,$T1657)="","",INDEX(Firms!$H$5:$H$1004,$T1657)),IF(INDEX('AFA Rates'!$G$5:$G$1004,$T1657)="","",INDEX('AFA Rates'!$G$5:$G$1004,$T1657))))</f>
        <v/>
      </c>
      <c r="J1657" s="50">
        <f>IF($T1657="","",IF($S1657="S",IF(INDEX(Firms!$I$5:$I$1004,$T1657)="","",INDEX(Firms!$I$5:$I$1004,$T1657)),IF(INDEX('AFA Rates'!$H$5:$H$1004,$T1657)="","",INDEX('AFA Rates'!$H$5:$H$1004,$T1657))))</f>
        <v/>
      </c>
      <c r="K1657" s="50">
        <f>IF($T1657="","",IF($S1657="S",IF(INDEX(Firms!$J$5:$J$1004,$T1657)="","",INDEX(Firms!$J$5:$J$1004,$T1657)),IF(INDEX('AFA Rates'!$I$5:$I$1004,$T1657)="","",INDEX('AFA Rates'!$I$5:$I$1004,$T1657))))</f>
        <v/>
      </c>
      <c r="L1657" s="50">
        <f>IF($T1657="","",IF($S1657="S",IF(INDEX(Firms!$K$5:$K$1004,$T1657)="","",INDEX(Firms!$K$5:$K$1004,$T1657)),IF(INDEX('AFA Rates'!$J$5:$J$1004,$T1657)="","",INDEX('AFA Rates'!$J$5:$J$1004,$T1657))))</f>
        <v/>
      </c>
      <c r="M1657" s="50">
        <f>IF($T1657="","",IF($S1657="S",IF(INDEX(Firms!$L$5:$L$1004,$T1657)="","",INDEX(Firms!$L$5:$L$1004,$T1657)),IF(INDEX('AFA Rates'!$K$5:$K$1004,$T1657)="","",INDEX('AFA Rates'!$K$5:$K$1004,$T1657))))</f>
        <v/>
      </c>
      <c r="N1657" s="50">
        <f>IF($T1657="","",IF($S1657="S",IF(INDEX(Firms!$M$5:$M$1004,$T1657)="","",INDEX(Firms!$M$5:$M$1004,$T1657)),IF(INDEX('AFA Rates'!$L$5:$L$1004,$T1657)="","",INDEX('AFA Rates'!$L$5:$L$1004,$T1657))))</f>
        <v/>
      </c>
      <c r="O1657" s="78">
        <f>IF(OR($T1657="",$U1657=""),"",IF(INDEX(Firms!$C$5:$C$1004,$U1657)="","",INDEX(Firms!$C$5:$C$1004,$U1657)))</f>
        <v/>
      </c>
      <c r="P1657" s="79">
        <f>IF(OR($T1657="",$U1657=""),"",IF(INDEX(Firms!$N$5:$N$1004,$U1657)="","",INDEX(Firms!$N$5:$N$1004,$U1657)))</f>
        <v/>
      </c>
      <c r="Q1657" s="78">
        <f>IF($T1657="","",IF($S1657="S",IF(INDEX(Firms!$T$5:$T$1004,$T1657)="","",INDEX(Firms!$T$5:$T$1004,$T1657)),IF(INDEX('AFA Rates'!$M$5:$M$1004,$T1657)="","",INDEX('AFA Rates'!$M$5:$M$1004,$T1657))))</f>
        <v/>
      </c>
      <c r="S1657">
        <f>IF(1653&lt;=$S$2,"S",IF(1653&lt;=$S$2+$T$2,"A",""))</f>
        <v/>
      </c>
      <c r="T1657">
        <f>IF(S1657="S",MATCH(1653,Firms!$W$5:$W$1004,0),IF(S1657="A",IFERROR(MATCH(1653-$S$2,'AFA Rates'!$R$5:$R$1004,0),""),""))</f>
        <v/>
      </c>
      <c r="U1657">
        <f>IF(S1657="S",T1657,IF(AND(S1657="A",T1657&lt;&gt;""),IFERROR(MATCH(INDEX('AFA Rates'!$A$5:$A$1004,T1657),Firms!$A$5:$A$1004,0),""),""))</f>
        <v/>
      </c>
    </row>
    <row r="1658">
      <c r="A1658" s="78">
        <f>IF($T1658="","",IF($S1658="S",IF(INDEX(Firms!$A$5:$A$1004,$T1658)="","",INDEX(Firms!$A$5:$A$1004,$T1658)),IF(INDEX('AFA Rates'!$A$5:$A$1004,$T1658)="","",INDEX('AFA Rates'!$A$5:$A$1004,$T1658))))</f>
        <v/>
      </c>
      <c r="B1658" s="79">
        <f>IF(OR($T1658="",$U1658=""),IF($T1658="","","Not on Firms tab"),INDEX(Firms!$B$5:$B$1004,$U1658)&amp;"")</f>
        <v/>
      </c>
      <c r="C1658" s="78">
        <f>IF($T1658="","",IF($S1658="S","Standard",INDEX('AFA Rates'!$B$5:$B$1004,$T1658)&amp;""))</f>
        <v/>
      </c>
      <c r="D1658" s="88">
        <f>IF($T1658="","",IF($S1658="S",IF(INDEX(Firms!$E$5:$E$1004,$T1658)="","",INDEX(Firms!$E$5:$E$1004,$T1658)),IF(INDEX('AFA Rates'!$C$5:$C$1004,$T1658)="","",INDEX('AFA Rates'!$C$5:$C$1004,$T1658))))</f>
        <v/>
      </c>
      <c r="E1658" s="88">
        <f>IF($T1658="","",IF($S1658="S",IF(""="","",""),IF(INDEX('AFA Rates'!$D$5:$D$1004,$T1658)="","",INDEX('AFA Rates'!$D$5:$D$1004,$T1658))))</f>
        <v/>
      </c>
      <c r="F1658" s="79">
        <f>IF($T1658="","",IF($S1658="S",IF(INDEX(Firms!$O$5:$O$1004,$T1658)="","",INDEX(Firms!$O$5:$O$1004,$T1658)),IF(INDEX('AFA Rates'!$O$5:$O$1004,$T1658)="","",INDEX('AFA Rates'!$O$5:$O$1004,$T1658))))</f>
        <v/>
      </c>
      <c r="G1658" s="50">
        <f>IF($T1658="","",IF($S1658="S",IF(INDEX(Firms!$F$5:$F$1004,$T1658)="","",INDEX(Firms!$F$5:$F$1004,$T1658)),IF(INDEX('AFA Rates'!$E$5:$E$1004,$T1658)="","",INDEX('AFA Rates'!$E$5:$E$1004,$T1658))))</f>
        <v/>
      </c>
      <c r="H1658" s="50">
        <f>IF($T1658="","",IF($S1658="S",IF(INDEX(Firms!$G$5:$G$1004,$T1658)="","",INDEX(Firms!$G$5:$G$1004,$T1658)),IF(INDEX('AFA Rates'!$F$5:$F$1004,$T1658)="","",INDEX('AFA Rates'!$F$5:$F$1004,$T1658))))</f>
        <v/>
      </c>
      <c r="I1658" s="50">
        <f>IF($T1658="","",IF($S1658="S",IF(INDEX(Firms!$H$5:$H$1004,$T1658)="","",INDEX(Firms!$H$5:$H$1004,$T1658)),IF(INDEX('AFA Rates'!$G$5:$G$1004,$T1658)="","",INDEX('AFA Rates'!$G$5:$G$1004,$T1658))))</f>
        <v/>
      </c>
      <c r="J1658" s="50">
        <f>IF($T1658="","",IF($S1658="S",IF(INDEX(Firms!$I$5:$I$1004,$T1658)="","",INDEX(Firms!$I$5:$I$1004,$T1658)),IF(INDEX('AFA Rates'!$H$5:$H$1004,$T1658)="","",INDEX('AFA Rates'!$H$5:$H$1004,$T1658))))</f>
        <v/>
      </c>
      <c r="K1658" s="50">
        <f>IF($T1658="","",IF($S1658="S",IF(INDEX(Firms!$J$5:$J$1004,$T1658)="","",INDEX(Firms!$J$5:$J$1004,$T1658)),IF(INDEX('AFA Rates'!$I$5:$I$1004,$T1658)="","",INDEX('AFA Rates'!$I$5:$I$1004,$T1658))))</f>
        <v/>
      </c>
      <c r="L1658" s="50">
        <f>IF($T1658="","",IF($S1658="S",IF(INDEX(Firms!$K$5:$K$1004,$T1658)="","",INDEX(Firms!$K$5:$K$1004,$T1658)),IF(INDEX('AFA Rates'!$J$5:$J$1004,$T1658)="","",INDEX('AFA Rates'!$J$5:$J$1004,$T1658))))</f>
        <v/>
      </c>
      <c r="M1658" s="50">
        <f>IF($T1658="","",IF($S1658="S",IF(INDEX(Firms!$L$5:$L$1004,$T1658)="","",INDEX(Firms!$L$5:$L$1004,$T1658)),IF(INDEX('AFA Rates'!$K$5:$K$1004,$T1658)="","",INDEX('AFA Rates'!$K$5:$K$1004,$T1658))))</f>
        <v/>
      </c>
      <c r="N1658" s="50">
        <f>IF($T1658="","",IF($S1658="S",IF(INDEX(Firms!$M$5:$M$1004,$T1658)="","",INDEX(Firms!$M$5:$M$1004,$T1658)),IF(INDEX('AFA Rates'!$L$5:$L$1004,$T1658)="","",INDEX('AFA Rates'!$L$5:$L$1004,$T1658))))</f>
        <v/>
      </c>
      <c r="O1658" s="78">
        <f>IF(OR($T1658="",$U1658=""),"",IF(INDEX(Firms!$C$5:$C$1004,$U1658)="","",INDEX(Firms!$C$5:$C$1004,$U1658)))</f>
        <v/>
      </c>
      <c r="P1658" s="79">
        <f>IF(OR($T1658="",$U1658=""),"",IF(INDEX(Firms!$N$5:$N$1004,$U1658)="","",INDEX(Firms!$N$5:$N$1004,$U1658)))</f>
        <v/>
      </c>
      <c r="Q1658" s="78">
        <f>IF($T1658="","",IF($S1658="S",IF(INDEX(Firms!$T$5:$T$1004,$T1658)="","",INDEX(Firms!$T$5:$T$1004,$T1658)),IF(INDEX('AFA Rates'!$M$5:$M$1004,$T1658)="","",INDEX('AFA Rates'!$M$5:$M$1004,$T1658))))</f>
        <v/>
      </c>
      <c r="S1658">
        <f>IF(1654&lt;=$S$2,"S",IF(1654&lt;=$S$2+$T$2,"A",""))</f>
        <v/>
      </c>
      <c r="T1658">
        <f>IF(S1658="S",MATCH(1654,Firms!$W$5:$W$1004,0),IF(S1658="A",IFERROR(MATCH(1654-$S$2,'AFA Rates'!$R$5:$R$1004,0),""),""))</f>
        <v/>
      </c>
      <c r="U1658">
        <f>IF(S1658="S",T1658,IF(AND(S1658="A",T1658&lt;&gt;""),IFERROR(MATCH(INDEX('AFA Rates'!$A$5:$A$1004,T1658),Firms!$A$5:$A$1004,0),""),""))</f>
        <v/>
      </c>
    </row>
    <row r="1659">
      <c r="A1659" s="78">
        <f>IF($T1659="","",IF($S1659="S",IF(INDEX(Firms!$A$5:$A$1004,$T1659)="","",INDEX(Firms!$A$5:$A$1004,$T1659)),IF(INDEX('AFA Rates'!$A$5:$A$1004,$T1659)="","",INDEX('AFA Rates'!$A$5:$A$1004,$T1659))))</f>
        <v/>
      </c>
      <c r="B1659" s="79">
        <f>IF(OR($T1659="",$U1659=""),IF($T1659="","","Not on Firms tab"),INDEX(Firms!$B$5:$B$1004,$U1659)&amp;"")</f>
        <v/>
      </c>
      <c r="C1659" s="78">
        <f>IF($T1659="","",IF($S1659="S","Standard",INDEX('AFA Rates'!$B$5:$B$1004,$T1659)&amp;""))</f>
        <v/>
      </c>
      <c r="D1659" s="88">
        <f>IF($T1659="","",IF($S1659="S",IF(INDEX(Firms!$E$5:$E$1004,$T1659)="","",INDEX(Firms!$E$5:$E$1004,$T1659)),IF(INDEX('AFA Rates'!$C$5:$C$1004,$T1659)="","",INDEX('AFA Rates'!$C$5:$C$1004,$T1659))))</f>
        <v/>
      </c>
      <c r="E1659" s="88">
        <f>IF($T1659="","",IF($S1659="S",IF(""="","",""),IF(INDEX('AFA Rates'!$D$5:$D$1004,$T1659)="","",INDEX('AFA Rates'!$D$5:$D$1004,$T1659))))</f>
        <v/>
      </c>
      <c r="F1659" s="79">
        <f>IF($T1659="","",IF($S1659="S",IF(INDEX(Firms!$O$5:$O$1004,$T1659)="","",INDEX(Firms!$O$5:$O$1004,$T1659)),IF(INDEX('AFA Rates'!$O$5:$O$1004,$T1659)="","",INDEX('AFA Rates'!$O$5:$O$1004,$T1659))))</f>
        <v/>
      </c>
      <c r="G1659" s="50">
        <f>IF($T1659="","",IF($S1659="S",IF(INDEX(Firms!$F$5:$F$1004,$T1659)="","",INDEX(Firms!$F$5:$F$1004,$T1659)),IF(INDEX('AFA Rates'!$E$5:$E$1004,$T1659)="","",INDEX('AFA Rates'!$E$5:$E$1004,$T1659))))</f>
        <v/>
      </c>
      <c r="H1659" s="50">
        <f>IF($T1659="","",IF($S1659="S",IF(INDEX(Firms!$G$5:$G$1004,$T1659)="","",INDEX(Firms!$G$5:$G$1004,$T1659)),IF(INDEX('AFA Rates'!$F$5:$F$1004,$T1659)="","",INDEX('AFA Rates'!$F$5:$F$1004,$T1659))))</f>
        <v/>
      </c>
      <c r="I1659" s="50">
        <f>IF($T1659="","",IF($S1659="S",IF(INDEX(Firms!$H$5:$H$1004,$T1659)="","",INDEX(Firms!$H$5:$H$1004,$T1659)),IF(INDEX('AFA Rates'!$G$5:$G$1004,$T1659)="","",INDEX('AFA Rates'!$G$5:$G$1004,$T1659))))</f>
        <v/>
      </c>
      <c r="J1659" s="50">
        <f>IF($T1659="","",IF($S1659="S",IF(INDEX(Firms!$I$5:$I$1004,$T1659)="","",INDEX(Firms!$I$5:$I$1004,$T1659)),IF(INDEX('AFA Rates'!$H$5:$H$1004,$T1659)="","",INDEX('AFA Rates'!$H$5:$H$1004,$T1659))))</f>
        <v/>
      </c>
      <c r="K1659" s="50">
        <f>IF($T1659="","",IF($S1659="S",IF(INDEX(Firms!$J$5:$J$1004,$T1659)="","",INDEX(Firms!$J$5:$J$1004,$T1659)),IF(INDEX('AFA Rates'!$I$5:$I$1004,$T1659)="","",INDEX('AFA Rates'!$I$5:$I$1004,$T1659))))</f>
        <v/>
      </c>
      <c r="L1659" s="50">
        <f>IF($T1659="","",IF($S1659="S",IF(INDEX(Firms!$K$5:$K$1004,$T1659)="","",INDEX(Firms!$K$5:$K$1004,$T1659)),IF(INDEX('AFA Rates'!$J$5:$J$1004,$T1659)="","",INDEX('AFA Rates'!$J$5:$J$1004,$T1659))))</f>
        <v/>
      </c>
      <c r="M1659" s="50">
        <f>IF($T1659="","",IF($S1659="S",IF(INDEX(Firms!$L$5:$L$1004,$T1659)="","",INDEX(Firms!$L$5:$L$1004,$T1659)),IF(INDEX('AFA Rates'!$K$5:$K$1004,$T1659)="","",INDEX('AFA Rates'!$K$5:$K$1004,$T1659))))</f>
        <v/>
      </c>
      <c r="N1659" s="50">
        <f>IF($T1659="","",IF($S1659="S",IF(INDEX(Firms!$M$5:$M$1004,$T1659)="","",INDEX(Firms!$M$5:$M$1004,$T1659)),IF(INDEX('AFA Rates'!$L$5:$L$1004,$T1659)="","",INDEX('AFA Rates'!$L$5:$L$1004,$T1659))))</f>
        <v/>
      </c>
      <c r="O1659" s="78">
        <f>IF(OR($T1659="",$U1659=""),"",IF(INDEX(Firms!$C$5:$C$1004,$U1659)="","",INDEX(Firms!$C$5:$C$1004,$U1659)))</f>
        <v/>
      </c>
      <c r="P1659" s="79">
        <f>IF(OR($T1659="",$U1659=""),"",IF(INDEX(Firms!$N$5:$N$1004,$U1659)="","",INDEX(Firms!$N$5:$N$1004,$U1659)))</f>
        <v/>
      </c>
      <c r="Q1659" s="78">
        <f>IF($T1659="","",IF($S1659="S",IF(INDEX(Firms!$T$5:$T$1004,$T1659)="","",INDEX(Firms!$T$5:$T$1004,$T1659)),IF(INDEX('AFA Rates'!$M$5:$M$1004,$T1659)="","",INDEX('AFA Rates'!$M$5:$M$1004,$T1659))))</f>
        <v/>
      </c>
      <c r="S1659">
        <f>IF(1655&lt;=$S$2,"S",IF(1655&lt;=$S$2+$T$2,"A",""))</f>
        <v/>
      </c>
      <c r="T1659">
        <f>IF(S1659="S",MATCH(1655,Firms!$W$5:$W$1004,0),IF(S1659="A",IFERROR(MATCH(1655-$S$2,'AFA Rates'!$R$5:$R$1004,0),""),""))</f>
        <v/>
      </c>
      <c r="U1659">
        <f>IF(S1659="S",T1659,IF(AND(S1659="A",T1659&lt;&gt;""),IFERROR(MATCH(INDEX('AFA Rates'!$A$5:$A$1004,T1659),Firms!$A$5:$A$1004,0),""),""))</f>
        <v/>
      </c>
    </row>
    <row r="1660">
      <c r="A1660" s="78">
        <f>IF($T1660="","",IF($S1660="S",IF(INDEX(Firms!$A$5:$A$1004,$T1660)="","",INDEX(Firms!$A$5:$A$1004,$T1660)),IF(INDEX('AFA Rates'!$A$5:$A$1004,$T1660)="","",INDEX('AFA Rates'!$A$5:$A$1004,$T1660))))</f>
        <v/>
      </c>
      <c r="B1660" s="79">
        <f>IF(OR($T1660="",$U1660=""),IF($T1660="","","Not on Firms tab"),INDEX(Firms!$B$5:$B$1004,$U1660)&amp;"")</f>
        <v/>
      </c>
      <c r="C1660" s="78">
        <f>IF($T1660="","",IF($S1660="S","Standard",INDEX('AFA Rates'!$B$5:$B$1004,$T1660)&amp;""))</f>
        <v/>
      </c>
      <c r="D1660" s="88">
        <f>IF($T1660="","",IF($S1660="S",IF(INDEX(Firms!$E$5:$E$1004,$T1660)="","",INDEX(Firms!$E$5:$E$1004,$T1660)),IF(INDEX('AFA Rates'!$C$5:$C$1004,$T1660)="","",INDEX('AFA Rates'!$C$5:$C$1004,$T1660))))</f>
        <v/>
      </c>
      <c r="E1660" s="88">
        <f>IF($T1660="","",IF($S1660="S",IF(""="","",""),IF(INDEX('AFA Rates'!$D$5:$D$1004,$T1660)="","",INDEX('AFA Rates'!$D$5:$D$1004,$T1660))))</f>
        <v/>
      </c>
      <c r="F1660" s="79">
        <f>IF($T1660="","",IF($S1660="S",IF(INDEX(Firms!$O$5:$O$1004,$T1660)="","",INDEX(Firms!$O$5:$O$1004,$T1660)),IF(INDEX('AFA Rates'!$O$5:$O$1004,$T1660)="","",INDEX('AFA Rates'!$O$5:$O$1004,$T1660))))</f>
        <v/>
      </c>
      <c r="G1660" s="50">
        <f>IF($T1660="","",IF($S1660="S",IF(INDEX(Firms!$F$5:$F$1004,$T1660)="","",INDEX(Firms!$F$5:$F$1004,$T1660)),IF(INDEX('AFA Rates'!$E$5:$E$1004,$T1660)="","",INDEX('AFA Rates'!$E$5:$E$1004,$T1660))))</f>
        <v/>
      </c>
      <c r="H1660" s="50">
        <f>IF($T1660="","",IF($S1660="S",IF(INDEX(Firms!$G$5:$G$1004,$T1660)="","",INDEX(Firms!$G$5:$G$1004,$T1660)),IF(INDEX('AFA Rates'!$F$5:$F$1004,$T1660)="","",INDEX('AFA Rates'!$F$5:$F$1004,$T1660))))</f>
        <v/>
      </c>
      <c r="I1660" s="50">
        <f>IF($T1660="","",IF($S1660="S",IF(INDEX(Firms!$H$5:$H$1004,$T1660)="","",INDEX(Firms!$H$5:$H$1004,$T1660)),IF(INDEX('AFA Rates'!$G$5:$G$1004,$T1660)="","",INDEX('AFA Rates'!$G$5:$G$1004,$T1660))))</f>
        <v/>
      </c>
      <c r="J1660" s="50">
        <f>IF($T1660="","",IF($S1660="S",IF(INDEX(Firms!$I$5:$I$1004,$T1660)="","",INDEX(Firms!$I$5:$I$1004,$T1660)),IF(INDEX('AFA Rates'!$H$5:$H$1004,$T1660)="","",INDEX('AFA Rates'!$H$5:$H$1004,$T1660))))</f>
        <v/>
      </c>
      <c r="K1660" s="50">
        <f>IF($T1660="","",IF($S1660="S",IF(INDEX(Firms!$J$5:$J$1004,$T1660)="","",INDEX(Firms!$J$5:$J$1004,$T1660)),IF(INDEX('AFA Rates'!$I$5:$I$1004,$T1660)="","",INDEX('AFA Rates'!$I$5:$I$1004,$T1660))))</f>
        <v/>
      </c>
      <c r="L1660" s="50">
        <f>IF($T1660="","",IF($S1660="S",IF(INDEX(Firms!$K$5:$K$1004,$T1660)="","",INDEX(Firms!$K$5:$K$1004,$T1660)),IF(INDEX('AFA Rates'!$J$5:$J$1004,$T1660)="","",INDEX('AFA Rates'!$J$5:$J$1004,$T1660))))</f>
        <v/>
      </c>
      <c r="M1660" s="50">
        <f>IF($T1660="","",IF($S1660="S",IF(INDEX(Firms!$L$5:$L$1004,$T1660)="","",INDEX(Firms!$L$5:$L$1004,$T1660)),IF(INDEX('AFA Rates'!$K$5:$K$1004,$T1660)="","",INDEX('AFA Rates'!$K$5:$K$1004,$T1660))))</f>
        <v/>
      </c>
      <c r="N1660" s="50">
        <f>IF($T1660="","",IF($S1660="S",IF(INDEX(Firms!$M$5:$M$1004,$T1660)="","",INDEX(Firms!$M$5:$M$1004,$T1660)),IF(INDEX('AFA Rates'!$L$5:$L$1004,$T1660)="","",INDEX('AFA Rates'!$L$5:$L$1004,$T1660))))</f>
        <v/>
      </c>
      <c r="O1660" s="78">
        <f>IF(OR($T1660="",$U1660=""),"",IF(INDEX(Firms!$C$5:$C$1004,$U1660)="","",INDEX(Firms!$C$5:$C$1004,$U1660)))</f>
        <v/>
      </c>
      <c r="P1660" s="79">
        <f>IF(OR($T1660="",$U1660=""),"",IF(INDEX(Firms!$N$5:$N$1004,$U1660)="","",INDEX(Firms!$N$5:$N$1004,$U1660)))</f>
        <v/>
      </c>
      <c r="Q1660" s="78">
        <f>IF($T1660="","",IF($S1660="S",IF(INDEX(Firms!$T$5:$T$1004,$T1660)="","",INDEX(Firms!$T$5:$T$1004,$T1660)),IF(INDEX('AFA Rates'!$M$5:$M$1004,$T1660)="","",INDEX('AFA Rates'!$M$5:$M$1004,$T1660))))</f>
        <v/>
      </c>
      <c r="S1660">
        <f>IF(1656&lt;=$S$2,"S",IF(1656&lt;=$S$2+$T$2,"A",""))</f>
        <v/>
      </c>
      <c r="T1660">
        <f>IF(S1660="S",MATCH(1656,Firms!$W$5:$W$1004,0),IF(S1660="A",IFERROR(MATCH(1656-$S$2,'AFA Rates'!$R$5:$R$1004,0),""),""))</f>
        <v/>
      </c>
      <c r="U1660">
        <f>IF(S1660="S",T1660,IF(AND(S1660="A",T1660&lt;&gt;""),IFERROR(MATCH(INDEX('AFA Rates'!$A$5:$A$1004,T1660),Firms!$A$5:$A$1004,0),""),""))</f>
        <v/>
      </c>
    </row>
    <row r="1661">
      <c r="A1661" s="78">
        <f>IF($T1661="","",IF($S1661="S",IF(INDEX(Firms!$A$5:$A$1004,$T1661)="","",INDEX(Firms!$A$5:$A$1004,$T1661)),IF(INDEX('AFA Rates'!$A$5:$A$1004,$T1661)="","",INDEX('AFA Rates'!$A$5:$A$1004,$T1661))))</f>
        <v/>
      </c>
      <c r="B1661" s="79">
        <f>IF(OR($T1661="",$U1661=""),IF($T1661="","","Not on Firms tab"),INDEX(Firms!$B$5:$B$1004,$U1661)&amp;"")</f>
        <v/>
      </c>
      <c r="C1661" s="78">
        <f>IF($T1661="","",IF($S1661="S","Standard",INDEX('AFA Rates'!$B$5:$B$1004,$T1661)&amp;""))</f>
        <v/>
      </c>
      <c r="D1661" s="88">
        <f>IF($T1661="","",IF($S1661="S",IF(INDEX(Firms!$E$5:$E$1004,$T1661)="","",INDEX(Firms!$E$5:$E$1004,$T1661)),IF(INDEX('AFA Rates'!$C$5:$C$1004,$T1661)="","",INDEX('AFA Rates'!$C$5:$C$1004,$T1661))))</f>
        <v/>
      </c>
      <c r="E1661" s="88">
        <f>IF($T1661="","",IF($S1661="S",IF(""="","",""),IF(INDEX('AFA Rates'!$D$5:$D$1004,$T1661)="","",INDEX('AFA Rates'!$D$5:$D$1004,$T1661))))</f>
        <v/>
      </c>
      <c r="F1661" s="79">
        <f>IF($T1661="","",IF($S1661="S",IF(INDEX(Firms!$O$5:$O$1004,$T1661)="","",INDEX(Firms!$O$5:$O$1004,$T1661)),IF(INDEX('AFA Rates'!$O$5:$O$1004,$T1661)="","",INDEX('AFA Rates'!$O$5:$O$1004,$T1661))))</f>
        <v/>
      </c>
      <c r="G1661" s="50">
        <f>IF($T1661="","",IF($S1661="S",IF(INDEX(Firms!$F$5:$F$1004,$T1661)="","",INDEX(Firms!$F$5:$F$1004,$T1661)),IF(INDEX('AFA Rates'!$E$5:$E$1004,$T1661)="","",INDEX('AFA Rates'!$E$5:$E$1004,$T1661))))</f>
        <v/>
      </c>
      <c r="H1661" s="50">
        <f>IF($T1661="","",IF($S1661="S",IF(INDEX(Firms!$G$5:$G$1004,$T1661)="","",INDEX(Firms!$G$5:$G$1004,$T1661)),IF(INDEX('AFA Rates'!$F$5:$F$1004,$T1661)="","",INDEX('AFA Rates'!$F$5:$F$1004,$T1661))))</f>
        <v/>
      </c>
      <c r="I1661" s="50">
        <f>IF($T1661="","",IF($S1661="S",IF(INDEX(Firms!$H$5:$H$1004,$T1661)="","",INDEX(Firms!$H$5:$H$1004,$T1661)),IF(INDEX('AFA Rates'!$G$5:$G$1004,$T1661)="","",INDEX('AFA Rates'!$G$5:$G$1004,$T1661))))</f>
        <v/>
      </c>
      <c r="J1661" s="50">
        <f>IF($T1661="","",IF($S1661="S",IF(INDEX(Firms!$I$5:$I$1004,$T1661)="","",INDEX(Firms!$I$5:$I$1004,$T1661)),IF(INDEX('AFA Rates'!$H$5:$H$1004,$T1661)="","",INDEX('AFA Rates'!$H$5:$H$1004,$T1661))))</f>
        <v/>
      </c>
      <c r="K1661" s="50">
        <f>IF($T1661="","",IF($S1661="S",IF(INDEX(Firms!$J$5:$J$1004,$T1661)="","",INDEX(Firms!$J$5:$J$1004,$T1661)),IF(INDEX('AFA Rates'!$I$5:$I$1004,$T1661)="","",INDEX('AFA Rates'!$I$5:$I$1004,$T1661))))</f>
        <v/>
      </c>
      <c r="L1661" s="50">
        <f>IF($T1661="","",IF($S1661="S",IF(INDEX(Firms!$K$5:$K$1004,$T1661)="","",INDEX(Firms!$K$5:$K$1004,$T1661)),IF(INDEX('AFA Rates'!$J$5:$J$1004,$T1661)="","",INDEX('AFA Rates'!$J$5:$J$1004,$T1661))))</f>
        <v/>
      </c>
      <c r="M1661" s="50">
        <f>IF($T1661="","",IF($S1661="S",IF(INDEX(Firms!$L$5:$L$1004,$T1661)="","",INDEX(Firms!$L$5:$L$1004,$T1661)),IF(INDEX('AFA Rates'!$K$5:$K$1004,$T1661)="","",INDEX('AFA Rates'!$K$5:$K$1004,$T1661))))</f>
        <v/>
      </c>
      <c r="N1661" s="50">
        <f>IF($T1661="","",IF($S1661="S",IF(INDEX(Firms!$M$5:$M$1004,$T1661)="","",INDEX(Firms!$M$5:$M$1004,$T1661)),IF(INDEX('AFA Rates'!$L$5:$L$1004,$T1661)="","",INDEX('AFA Rates'!$L$5:$L$1004,$T1661))))</f>
        <v/>
      </c>
      <c r="O1661" s="78">
        <f>IF(OR($T1661="",$U1661=""),"",IF(INDEX(Firms!$C$5:$C$1004,$U1661)="","",INDEX(Firms!$C$5:$C$1004,$U1661)))</f>
        <v/>
      </c>
      <c r="P1661" s="79">
        <f>IF(OR($T1661="",$U1661=""),"",IF(INDEX(Firms!$N$5:$N$1004,$U1661)="","",INDEX(Firms!$N$5:$N$1004,$U1661)))</f>
        <v/>
      </c>
      <c r="Q1661" s="78">
        <f>IF($T1661="","",IF($S1661="S",IF(INDEX(Firms!$T$5:$T$1004,$T1661)="","",INDEX(Firms!$T$5:$T$1004,$T1661)),IF(INDEX('AFA Rates'!$M$5:$M$1004,$T1661)="","",INDEX('AFA Rates'!$M$5:$M$1004,$T1661))))</f>
        <v/>
      </c>
      <c r="S1661">
        <f>IF(1657&lt;=$S$2,"S",IF(1657&lt;=$S$2+$T$2,"A",""))</f>
        <v/>
      </c>
      <c r="T1661">
        <f>IF(S1661="S",MATCH(1657,Firms!$W$5:$W$1004,0),IF(S1661="A",IFERROR(MATCH(1657-$S$2,'AFA Rates'!$R$5:$R$1004,0),""),""))</f>
        <v/>
      </c>
      <c r="U1661">
        <f>IF(S1661="S",T1661,IF(AND(S1661="A",T1661&lt;&gt;""),IFERROR(MATCH(INDEX('AFA Rates'!$A$5:$A$1004,T1661),Firms!$A$5:$A$1004,0),""),""))</f>
        <v/>
      </c>
    </row>
    <row r="1662">
      <c r="A1662" s="78">
        <f>IF($T1662="","",IF($S1662="S",IF(INDEX(Firms!$A$5:$A$1004,$T1662)="","",INDEX(Firms!$A$5:$A$1004,$T1662)),IF(INDEX('AFA Rates'!$A$5:$A$1004,$T1662)="","",INDEX('AFA Rates'!$A$5:$A$1004,$T1662))))</f>
        <v/>
      </c>
      <c r="B1662" s="79">
        <f>IF(OR($T1662="",$U1662=""),IF($T1662="","","Not on Firms tab"),INDEX(Firms!$B$5:$B$1004,$U1662)&amp;"")</f>
        <v/>
      </c>
      <c r="C1662" s="78">
        <f>IF($T1662="","",IF($S1662="S","Standard",INDEX('AFA Rates'!$B$5:$B$1004,$T1662)&amp;""))</f>
        <v/>
      </c>
      <c r="D1662" s="88">
        <f>IF($T1662="","",IF($S1662="S",IF(INDEX(Firms!$E$5:$E$1004,$T1662)="","",INDEX(Firms!$E$5:$E$1004,$T1662)),IF(INDEX('AFA Rates'!$C$5:$C$1004,$T1662)="","",INDEX('AFA Rates'!$C$5:$C$1004,$T1662))))</f>
        <v/>
      </c>
      <c r="E1662" s="88">
        <f>IF($T1662="","",IF($S1662="S",IF(""="","",""),IF(INDEX('AFA Rates'!$D$5:$D$1004,$T1662)="","",INDEX('AFA Rates'!$D$5:$D$1004,$T1662))))</f>
        <v/>
      </c>
      <c r="F1662" s="79">
        <f>IF($T1662="","",IF($S1662="S",IF(INDEX(Firms!$O$5:$O$1004,$T1662)="","",INDEX(Firms!$O$5:$O$1004,$T1662)),IF(INDEX('AFA Rates'!$O$5:$O$1004,$T1662)="","",INDEX('AFA Rates'!$O$5:$O$1004,$T1662))))</f>
        <v/>
      </c>
      <c r="G1662" s="50">
        <f>IF($T1662="","",IF($S1662="S",IF(INDEX(Firms!$F$5:$F$1004,$T1662)="","",INDEX(Firms!$F$5:$F$1004,$T1662)),IF(INDEX('AFA Rates'!$E$5:$E$1004,$T1662)="","",INDEX('AFA Rates'!$E$5:$E$1004,$T1662))))</f>
        <v/>
      </c>
      <c r="H1662" s="50">
        <f>IF($T1662="","",IF($S1662="S",IF(INDEX(Firms!$G$5:$G$1004,$T1662)="","",INDEX(Firms!$G$5:$G$1004,$T1662)),IF(INDEX('AFA Rates'!$F$5:$F$1004,$T1662)="","",INDEX('AFA Rates'!$F$5:$F$1004,$T1662))))</f>
        <v/>
      </c>
      <c r="I1662" s="50">
        <f>IF($T1662="","",IF($S1662="S",IF(INDEX(Firms!$H$5:$H$1004,$T1662)="","",INDEX(Firms!$H$5:$H$1004,$T1662)),IF(INDEX('AFA Rates'!$G$5:$G$1004,$T1662)="","",INDEX('AFA Rates'!$G$5:$G$1004,$T1662))))</f>
        <v/>
      </c>
      <c r="J1662" s="50">
        <f>IF($T1662="","",IF($S1662="S",IF(INDEX(Firms!$I$5:$I$1004,$T1662)="","",INDEX(Firms!$I$5:$I$1004,$T1662)),IF(INDEX('AFA Rates'!$H$5:$H$1004,$T1662)="","",INDEX('AFA Rates'!$H$5:$H$1004,$T1662))))</f>
        <v/>
      </c>
      <c r="K1662" s="50">
        <f>IF($T1662="","",IF($S1662="S",IF(INDEX(Firms!$J$5:$J$1004,$T1662)="","",INDEX(Firms!$J$5:$J$1004,$T1662)),IF(INDEX('AFA Rates'!$I$5:$I$1004,$T1662)="","",INDEX('AFA Rates'!$I$5:$I$1004,$T1662))))</f>
        <v/>
      </c>
      <c r="L1662" s="50">
        <f>IF($T1662="","",IF($S1662="S",IF(INDEX(Firms!$K$5:$K$1004,$T1662)="","",INDEX(Firms!$K$5:$K$1004,$T1662)),IF(INDEX('AFA Rates'!$J$5:$J$1004,$T1662)="","",INDEX('AFA Rates'!$J$5:$J$1004,$T1662))))</f>
        <v/>
      </c>
      <c r="M1662" s="50">
        <f>IF($T1662="","",IF($S1662="S",IF(INDEX(Firms!$L$5:$L$1004,$T1662)="","",INDEX(Firms!$L$5:$L$1004,$T1662)),IF(INDEX('AFA Rates'!$K$5:$K$1004,$T1662)="","",INDEX('AFA Rates'!$K$5:$K$1004,$T1662))))</f>
        <v/>
      </c>
      <c r="N1662" s="50">
        <f>IF($T1662="","",IF($S1662="S",IF(INDEX(Firms!$M$5:$M$1004,$T1662)="","",INDEX(Firms!$M$5:$M$1004,$T1662)),IF(INDEX('AFA Rates'!$L$5:$L$1004,$T1662)="","",INDEX('AFA Rates'!$L$5:$L$1004,$T1662))))</f>
        <v/>
      </c>
      <c r="O1662" s="78">
        <f>IF(OR($T1662="",$U1662=""),"",IF(INDEX(Firms!$C$5:$C$1004,$U1662)="","",INDEX(Firms!$C$5:$C$1004,$U1662)))</f>
        <v/>
      </c>
      <c r="P1662" s="79">
        <f>IF(OR($T1662="",$U1662=""),"",IF(INDEX(Firms!$N$5:$N$1004,$U1662)="","",INDEX(Firms!$N$5:$N$1004,$U1662)))</f>
        <v/>
      </c>
      <c r="Q1662" s="78">
        <f>IF($T1662="","",IF($S1662="S",IF(INDEX(Firms!$T$5:$T$1004,$T1662)="","",INDEX(Firms!$T$5:$T$1004,$T1662)),IF(INDEX('AFA Rates'!$M$5:$M$1004,$T1662)="","",INDEX('AFA Rates'!$M$5:$M$1004,$T1662))))</f>
        <v/>
      </c>
      <c r="S1662">
        <f>IF(1658&lt;=$S$2,"S",IF(1658&lt;=$S$2+$T$2,"A",""))</f>
        <v/>
      </c>
      <c r="T1662">
        <f>IF(S1662="S",MATCH(1658,Firms!$W$5:$W$1004,0),IF(S1662="A",IFERROR(MATCH(1658-$S$2,'AFA Rates'!$R$5:$R$1004,0),""),""))</f>
        <v/>
      </c>
      <c r="U1662">
        <f>IF(S1662="S",T1662,IF(AND(S1662="A",T1662&lt;&gt;""),IFERROR(MATCH(INDEX('AFA Rates'!$A$5:$A$1004,T1662),Firms!$A$5:$A$1004,0),""),""))</f>
        <v/>
      </c>
    </row>
    <row r="1663">
      <c r="A1663" s="78">
        <f>IF($T1663="","",IF($S1663="S",IF(INDEX(Firms!$A$5:$A$1004,$T1663)="","",INDEX(Firms!$A$5:$A$1004,$T1663)),IF(INDEX('AFA Rates'!$A$5:$A$1004,$T1663)="","",INDEX('AFA Rates'!$A$5:$A$1004,$T1663))))</f>
        <v/>
      </c>
      <c r="B1663" s="79">
        <f>IF(OR($T1663="",$U1663=""),IF($T1663="","","Not on Firms tab"),INDEX(Firms!$B$5:$B$1004,$U1663)&amp;"")</f>
        <v/>
      </c>
      <c r="C1663" s="78">
        <f>IF($T1663="","",IF($S1663="S","Standard",INDEX('AFA Rates'!$B$5:$B$1004,$T1663)&amp;""))</f>
        <v/>
      </c>
      <c r="D1663" s="88">
        <f>IF($T1663="","",IF($S1663="S",IF(INDEX(Firms!$E$5:$E$1004,$T1663)="","",INDEX(Firms!$E$5:$E$1004,$T1663)),IF(INDEX('AFA Rates'!$C$5:$C$1004,$T1663)="","",INDEX('AFA Rates'!$C$5:$C$1004,$T1663))))</f>
        <v/>
      </c>
      <c r="E1663" s="88">
        <f>IF($T1663="","",IF($S1663="S",IF(""="","",""),IF(INDEX('AFA Rates'!$D$5:$D$1004,$T1663)="","",INDEX('AFA Rates'!$D$5:$D$1004,$T1663))))</f>
        <v/>
      </c>
      <c r="F1663" s="79">
        <f>IF($T1663="","",IF($S1663="S",IF(INDEX(Firms!$O$5:$O$1004,$T1663)="","",INDEX(Firms!$O$5:$O$1004,$T1663)),IF(INDEX('AFA Rates'!$O$5:$O$1004,$T1663)="","",INDEX('AFA Rates'!$O$5:$O$1004,$T1663))))</f>
        <v/>
      </c>
      <c r="G1663" s="50">
        <f>IF($T1663="","",IF($S1663="S",IF(INDEX(Firms!$F$5:$F$1004,$T1663)="","",INDEX(Firms!$F$5:$F$1004,$T1663)),IF(INDEX('AFA Rates'!$E$5:$E$1004,$T1663)="","",INDEX('AFA Rates'!$E$5:$E$1004,$T1663))))</f>
        <v/>
      </c>
      <c r="H1663" s="50">
        <f>IF($T1663="","",IF($S1663="S",IF(INDEX(Firms!$G$5:$G$1004,$T1663)="","",INDEX(Firms!$G$5:$G$1004,$T1663)),IF(INDEX('AFA Rates'!$F$5:$F$1004,$T1663)="","",INDEX('AFA Rates'!$F$5:$F$1004,$T1663))))</f>
        <v/>
      </c>
      <c r="I1663" s="50">
        <f>IF($T1663="","",IF($S1663="S",IF(INDEX(Firms!$H$5:$H$1004,$T1663)="","",INDEX(Firms!$H$5:$H$1004,$T1663)),IF(INDEX('AFA Rates'!$G$5:$G$1004,$T1663)="","",INDEX('AFA Rates'!$G$5:$G$1004,$T1663))))</f>
        <v/>
      </c>
      <c r="J1663" s="50">
        <f>IF($T1663="","",IF($S1663="S",IF(INDEX(Firms!$I$5:$I$1004,$T1663)="","",INDEX(Firms!$I$5:$I$1004,$T1663)),IF(INDEX('AFA Rates'!$H$5:$H$1004,$T1663)="","",INDEX('AFA Rates'!$H$5:$H$1004,$T1663))))</f>
        <v/>
      </c>
      <c r="K1663" s="50">
        <f>IF($T1663="","",IF($S1663="S",IF(INDEX(Firms!$J$5:$J$1004,$T1663)="","",INDEX(Firms!$J$5:$J$1004,$T1663)),IF(INDEX('AFA Rates'!$I$5:$I$1004,$T1663)="","",INDEX('AFA Rates'!$I$5:$I$1004,$T1663))))</f>
        <v/>
      </c>
      <c r="L1663" s="50">
        <f>IF($T1663="","",IF($S1663="S",IF(INDEX(Firms!$K$5:$K$1004,$T1663)="","",INDEX(Firms!$K$5:$K$1004,$T1663)),IF(INDEX('AFA Rates'!$J$5:$J$1004,$T1663)="","",INDEX('AFA Rates'!$J$5:$J$1004,$T1663))))</f>
        <v/>
      </c>
      <c r="M1663" s="50">
        <f>IF($T1663="","",IF($S1663="S",IF(INDEX(Firms!$L$5:$L$1004,$T1663)="","",INDEX(Firms!$L$5:$L$1004,$T1663)),IF(INDEX('AFA Rates'!$K$5:$K$1004,$T1663)="","",INDEX('AFA Rates'!$K$5:$K$1004,$T1663))))</f>
        <v/>
      </c>
      <c r="N1663" s="50">
        <f>IF($T1663="","",IF($S1663="S",IF(INDEX(Firms!$M$5:$M$1004,$T1663)="","",INDEX(Firms!$M$5:$M$1004,$T1663)),IF(INDEX('AFA Rates'!$L$5:$L$1004,$T1663)="","",INDEX('AFA Rates'!$L$5:$L$1004,$T1663))))</f>
        <v/>
      </c>
      <c r="O1663" s="78">
        <f>IF(OR($T1663="",$U1663=""),"",IF(INDEX(Firms!$C$5:$C$1004,$U1663)="","",INDEX(Firms!$C$5:$C$1004,$U1663)))</f>
        <v/>
      </c>
      <c r="P1663" s="79">
        <f>IF(OR($T1663="",$U1663=""),"",IF(INDEX(Firms!$N$5:$N$1004,$U1663)="","",INDEX(Firms!$N$5:$N$1004,$U1663)))</f>
        <v/>
      </c>
      <c r="Q1663" s="78">
        <f>IF($T1663="","",IF($S1663="S",IF(INDEX(Firms!$T$5:$T$1004,$T1663)="","",INDEX(Firms!$T$5:$T$1004,$T1663)),IF(INDEX('AFA Rates'!$M$5:$M$1004,$T1663)="","",INDEX('AFA Rates'!$M$5:$M$1004,$T1663))))</f>
        <v/>
      </c>
      <c r="S1663">
        <f>IF(1659&lt;=$S$2,"S",IF(1659&lt;=$S$2+$T$2,"A",""))</f>
        <v/>
      </c>
      <c r="T1663">
        <f>IF(S1663="S",MATCH(1659,Firms!$W$5:$W$1004,0),IF(S1663="A",IFERROR(MATCH(1659-$S$2,'AFA Rates'!$R$5:$R$1004,0),""),""))</f>
        <v/>
      </c>
      <c r="U1663">
        <f>IF(S1663="S",T1663,IF(AND(S1663="A",T1663&lt;&gt;""),IFERROR(MATCH(INDEX('AFA Rates'!$A$5:$A$1004,T1663),Firms!$A$5:$A$1004,0),""),""))</f>
        <v/>
      </c>
    </row>
    <row r="1664">
      <c r="A1664" s="78">
        <f>IF($T1664="","",IF($S1664="S",IF(INDEX(Firms!$A$5:$A$1004,$T1664)="","",INDEX(Firms!$A$5:$A$1004,$T1664)),IF(INDEX('AFA Rates'!$A$5:$A$1004,$T1664)="","",INDEX('AFA Rates'!$A$5:$A$1004,$T1664))))</f>
        <v/>
      </c>
      <c r="B1664" s="79">
        <f>IF(OR($T1664="",$U1664=""),IF($T1664="","","Not on Firms tab"),INDEX(Firms!$B$5:$B$1004,$U1664)&amp;"")</f>
        <v/>
      </c>
      <c r="C1664" s="78">
        <f>IF($T1664="","",IF($S1664="S","Standard",INDEX('AFA Rates'!$B$5:$B$1004,$T1664)&amp;""))</f>
        <v/>
      </c>
      <c r="D1664" s="88">
        <f>IF($T1664="","",IF($S1664="S",IF(INDEX(Firms!$E$5:$E$1004,$T1664)="","",INDEX(Firms!$E$5:$E$1004,$T1664)),IF(INDEX('AFA Rates'!$C$5:$C$1004,$T1664)="","",INDEX('AFA Rates'!$C$5:$C$1004,$T1664))))</f>
        <v/>
      </c>
      <c r="E1664" s="88">
        <f>IF($T1664="","",IF($S1664="S",IF(""="","",""),IF(INDEX('AFA Rates'!$D$5:$D$1004,$T1664)="","",INDEX('AFA Rates'!$D$5:$D$1004,$T1664))))</f>
        <v/>
      </c>
      <c r="F1664" s="79">
        <f>IF($T1664="","",IF($S1664="S",IF(INDEX(Firms!$O$5:$O$1004,$T1664)="","",INDEX(Firms!$O$5:$O$1004,$T1664)),IF(INDEX('AFA Rates'!$O$5:$O$1004,$T1664)="","",INDEX('AFA Rates'!$O$5:$O$1004,$T1664))))</f>
        <v/>
      </c>
      <c r="G1664" s="50">
        <f>IF($T1664="","",IF($S1664="S",IF(INDEX(Firms!$F$5:$F$1004,$T1664)="","",INDEX(Firms!$F$5:$F$1004,$T1664)),IF(INDEX('AFA Rates'!$E$5:$E$1004,$T1664)="","",INDEX('AFA Rates'!$E$5:$E$1004,$T1664))))</f>
        <v/>
      </c>
      <c r="H1664" s="50">
        <f>IF($T1664="","",IF($S1664="S",IF(INDEX(Firms!$G$5:$G$1004,$T1664)="","",INDEX(Firms!$G$5:$G$1004,$T1664)),IF(INDEX('AFA Rates'!$F$5:$F$1004,$T1664)="","",INDEX('AFA Rates'!$F$5:$F$1004,$T1664))))</f>
        <v/>
      </c>
      <c r="I1664" s="50">
        <f>IF($T1664="","",IF($S1664="S",IF(INDEX(Firms!$H$5:$H$1004,$T1664)="","",INDEX(Firms!$H$5:$H$1004,$T1664)),IF(INDEX('AFA Rates'!$G$5:$G$1004,$T1664)="","",INDEX('AFA Rates'!$G$5:$G$1004,$T1664))))</f>
        <v/>
      </c>
      <c r="J1664" s="50">
        <f>IF($T1664="","",IF($S1664="S",IF(INDEX(Firms!$I$5:$I$1004,$T1664)="","",INDEX(Firms!$I$5:$I$1004,$T1664)),IF(INDEX('AFA Rates'!$H$5:$H$1004,$T1664)="","",INDEX('AFA Rates'!$H$5:$H$1004,$T1664))))</f>
        <v/>
      </c>
      <c r="K1664" s="50">
        <f>IF($T1664="","",IF($S1664="S",IF(INDEX(Firms!$J$5:$J$1004,$T1664)="","",INDEX(Firms!$J$5:$J$1004,$T1664)),IF(INDEX('AFA Rates'!$I$5:$I$1004,$T1664)="","",INDEX('AFA Rates'!$I$5:$I$1004,$T1664))))</f>
        <v/>
      </c>
      <c r="L1664" s="50">
        <f>IF($T1664="","",IF($S1664="S",IF(INDEX(Firms!$K$5:$K$1004,$T1664)="","",INDEX(Firms!$K$5:$K$1004,$T1664)),IF(INDEX('AFA Rates'!$J$5:$J$1004,$T1664)="","",INDEX('AFA Rates'!$J$5:$J$1004,$T1664))))</f>
        <v/>
      </c>
      <c r="M1664" s="50">
        <f>IF($T1664="","",IF($S1664="S",IF(INDEX(Firms!$L$5:$L$1004,$T1664)="","",INDEX(Firms!$L$5:$L$1004,$T1664)),IF(INDEX('AFA Rates'!$K$5:$K$1004,$T1664)="","",INDEX('AFA Rates'!$K$5:$K$1004,$T1664))))</f>
        <v/>
      </c>
      <c r="N1664" s="50">
        <f>IF($T1664="","",IF($S1664="S",IF(INDEX(Firms!$M$5:$M$1004,$T1664)="","",INDEX(Firms!$M$5:$M$1004,$T1664)),IF(INDEX('AFA Rates'!$L$5:$L$1004,$T1664)="","",INDEX('AFA Rates'!$L$5:$L$1004,$T1664))))</f>
        <v/>
      </c>
      <c r="O1664" s="78">
        <f>IF(OR($T1664="",$U1664=""),"",IF(INDEX(Firms!$C$5:$C$1004,$U1664)="","",INDEX(Firms!$C$5:$C$1004,$U1664)))</f>
        <v/>
      </c>
      <c r="P1664" s="79">
        <f>IF(OR($T1664="",$U1664=""),"",IF(INDEX(Firms!$N$5:$N$1004,$U1664)="","",INDEX(Firms!$N$5:$N$1004,$U1664)))</f>
        <v/>
      </c>
      <c r="Q1664" s="78">
        <f>IF($T1664="","",IF($S1664="S",IF(INDEX(Firms!$T$5:$T$1004,$T1664)="","",INDEX(Firms!$T$5:$T$1004,$T1664)),IF(INDEX('AFA Rates'!$M$5:$M$1004,$T1664)="","",INDEX('AFA Rates'!$M$5:$M$1004,$T1664))))</f>
        <v/>
      </c>
      <c r="S1664">
        <f>IF(1660&lt;=$S$2,"S",IF(1660&lt;=$S$2+$T$2,"A",""))</f>
        <v/>
      </c>
      <c r="T1664">
        <f>IF(S1664="S",MATCH(1660,Firms!$W$5:$W$1004,0),IF(S1664="A",IFERROR(MATCH(1660-$S$2,'AFA Rates'!$R$5:$R$1004,0),""),""))</f>
        <v/>
      </c>
      <c r="U1664">
        <f>IF(S1664="S",T1664,IF(AND(S1664="A",T1664&lt;&gt;""),IFERROR(MATCH(INDEX('AFA Rates'!$A$5:$A$1004,T1664),Firms!$A$5:$A$1004,0),""),""))</f>
        <v/>
      </c>
    </row>
    <row r="1665">
      <c r="A1665" s="78">
        <f>IF($T1665="","",IF($S1665="S",IF(INDEX(Firms!$A$5:$A$1004,$T1665)="","",INDEX(Firms!$A$5:$A$1004,$T1665)),IF(INDEX('AFA Rates'!$A$5:$A$1004,$T1665)="","",INDEX('AFA Rates'!$A$5:$A$1004,$T1665))))</f>
        <v/>
      </c>
      <c r="B1665" s="79">
        <f>IF(OR($T1665="",$U1665=""),IF($T1665="","","Not on Firms tab"),INDEX(Firms!$B$5:$B$1004,$U1665)&amp;"")</f>
        <v/>
      </c>
      <c r="C1665" s="78">
        <f>IF($T1665="","",IF($S1665="S","Standard",INDEX('AFA Rates'!$B$5:$B$1004,$T1665)&amp;""))</f>
        <v/>
      </c>
      <c r="D1665" s="88">
        <f>IF($T1665="","",IF($S1665="S",IF(INDEX(Firms!$E$5:$E$1004,$T1665)="","",INDEX(Firms!$E$5:$E$1004,$T1665)),IF(INDEX('AFA Rates'!$C$5:$C$1004,$T1665)="","",INDEX('AFA Rates'!$C$5:$C$1004,$T1665))))</f>
        <v/>
      </c>
      <c r="E1665" s="88">
        <f>IF($T1665="","",IF($S1665="S",IF(""="","",""),IF(INDEX('AFA Rates'!$D$5:$D$1004,$T1665)="","",INDEX('AFA Rates'!$D$5:$D$1004,$T1665))))</f>
        <v/>
      </c>
      <c r="F1665" s="79">
        <f>IF($T1665="","",IF($S1665="S",IF(INDEX(Firms!$O$5:$O$1004,$T1665)="","",INDEX(Firms!$O$5:$O$1004,$T1665)),IF(INDEX('AFA Rates'!$O$5:$O$1004,$T1665)="","",INDEX('AFA Rates'!$O$5:$O$1004,$T1665))))</f>
        <v/>
      </c>
      <c r="G1665" s="50">
        <f>IF($T1665="","",IF($S1665="S",IF(INDEX(Firms!$F$5:$F$1004,$T1665)="","",INDEX(Firms!$F$5:$F$1004,$T1665)),IF(INDEX('AFA Rates'!$E$5:$E$1004,$T1665)="","",INDEX('AFA Rates'!$E$5:$E$1004,$T1665))))</f>
        <v/>
      </c>
      <c r="H1665" s="50">
        <f>IF($T1665="","",IF($S1665="S",IF(INDEX(Firms!$G$5:$G$1004,$T1665)="","",INDEX(Firms!$G$5:$G$1004,$T1665)),IF(INDEX('AFA Rates'!$F$5:$F$1004,$T1665)="","",INDEX('AFA Rates'!$F$5:$F$1004,$T1665))))</f>
        <v/>
      </c>
      <c r="I1665" s="50">
        <f>IF($T1665="","",IF($S1665="S",IF(INDEX(Firms!$H$5:$H$1004,$T1665)="","",INDEX(Firms!$H$5:$H$1004,$T1665)),IF(INDEX('AFA Rates'!$G$5:$G$1004,$T1665)="","",INDEX('AFA Rates'!$G$5:$G$1004,$T1665))))</f>
        <v/>
      </c>
      <c r="J1665" s="50">
        <f>IF($T1665="","",IF($S1665="S",IF(INDEX(Firms!$I$5:$I$1004,$T1665)="","",INDEX(Firms!$I$5:$I$1004,$T1665)),IF(INDEX('AFA Rates'!$H$5:$H$1004,$T1665)="","",INDEX('AFA Rates'!$H$5:$H$1004,$T1665))))</f>
        <v/>
      </c>
      <c r="K1665" s="50">
        <f>IF($T1665="","",IF($S1665="S",IF(INDEX(Firms!$J$5:$J$1004,$T1665)="","",INDEX(Firms!$J$5:$J$1004,$T1665)),IF(INDEX('AFA Rates'!$I$5:$I$1004,$T1665)="","",INDEX('AFA Rates'!$I$5:$I$1004,$T1665))))</f>
        <v/>
      </c>
      <c r="L1665" s="50">
        <f>IF($T1665="","",IF($S1665="S",IF(INDEX(Firms!$K$5:$K$1004,$T1665)="","",INDEX(Firms!$K$5:$K$1004,$T1665)),IF(INDEX('AFA Rates'!$J$5:$J$1004,$T1665)="","",INDEX('AFA Rates'!$J$5:$J$1004,$T1665))))</f>
        <v/>
      </c>
      <c r="M1665" s="50">
        <f>IF($T1665="","",IF($S1665="S",IF(INDEX(Firms!$L$5:$L$1004,$T1665)="","",INDEX(Firms!$L$5:$L$1004,$T1665)),IF(INDEX('AFA Rates'!$K$5:$K$1004,$T1665)="","",INDEX('AFA Rates'!$K$5:$K$1004,$T1665))))</f>
        <v/>
      </c>
      <c r="N1665" s="50">
        <f>IF($T1665="","",IF($S1665="S",IF(INDEX(Firms!$M$5:$M$1004,$T1665)="","",INDEX(Firms!$M$5:$M$1004,$T1665)),IF(INDEX('AFA Rates'!$L$5:$L$1004,$T1665)="","",INDEX('AFA Rates'!$L$5:$L$1004,$T1665))))</f>
        <v/>
      </c>
      <c r="O1665" s="78">
        <f>IF(OR($T1665="",$U1665=""),"",IF(INDEX(Firms!$C$5:$C$1004,$U1665)="","",INDEX(Firms!$C$5:$C$1004,$U1665)))</f>
        <v/>
      </c>
      <c r="P1665" s="79">
        <f>IF(OR($T1665="",$U1665=""),"",IF(INDEX(Firms!$N$5:$N$1004,$U1665)="","",INDEX(Firms!$N$5:$N$1004,$U1665)))</f>
        <v/>
      </c>
      <c r="Q1665" s="78">
        <f>IF($T1665="","",IF($S1665="S",IF(INDEX(Firms!$T$5:$T$1004,$T1665)="","",INDEX(Firms!$T$5:$T$1004,$T1665)),IF(INDEX('AFA Rates'!$M$5:$M$1004,$T1665)="","",INDEX('AFA Rates'!$M$5:$M$1004,$T1665))))</f>
        <v/>
      </c>
      <c r="S1665">
        <f>IF(1661&lt;=$S$2,"S",IF(1661&lt;=$S$2+$T$2,"A",""))</f>
        <v/>
      </c>
      <c r="T1665">
        <f>IF(S1665="S",MATCH(1661,Firms!$W$5:$W$1004,0),IF(S1665="A",IFERROR(MATCH(1661-$S$2,'AFA Rates'!$R$5:$R$1004,0),""),""))</f>
        <v/>
      </c>
      <c r="U1665">
        <f>IF(S1665="S",T1665,IF(AND(S1665="A",T1665&lt;&gt;""),IFERROR(MATCH(INDEX('AFA Rates'!$A$5:$A$1004,T1665),Firms!$A$5:$A$1004,0),""),""))</f>
        <v/>
      </c>
    </row>
    <row r="1666">
      <c r="A1666" s="78">
        <f>IF($T1666="","",IF($S1666="S",IF(INDEX(Firms!$A$5:$A$1004,$T1666)="","",INDEX(Firms!$A$5:$A$1004,$T1666)),IF(INDEX('AFA Rates'!$A$5:$A$1004,$T1666)="","",INDEX('AFA Rates'!$A$5:$A$1004,$T1666))))</f>
        <v/>
      </c>
      <c r="B1666" s="79">
        <f>IF(OR($T1666="",$U1666=""),IF($T1666="","","Not on Firms tab"),INDEX(Firms!$B$5:$B$1004,$U1666)&amp;"")</f>
        <v/>
      </c>
      <c r="C1666" s="78">
        <f>IF($T1666="","",IF($S1666="S","Standard",INDEX('AFA Rates'!$B$5:$B$1004,$T1666)&amp;""))</f>
        <v/>
      </c>
      <c r="D1666" s="88">
        <f>IF($T1666="","",IF($S1666="S",IF(INDEX(Firms!$E$5:$E$1004,$T1666)="","",INDEX(Firms!$E$5:$E$1004,$T1666)),IF(INDEX('AFA Rates'!$C$5:$C$1004,$T1666)="","",INDEX('AFA Rates'!$C$5:$C$1004,$T1666))))</f>
        <v/>
      </c>
      <c r="E1666" s="88">
        <f>IF($T1666="","",IF($S1666="S",IF(""="","",""),IF(INDEX('AFA Rates'!$D$5:$D$1004,$T1666)="","",INDEX('AFA Rates'!$D$5:$D$1004,$T1666))))</f>
        <v/>
      </c>
      <c r="F1666" s="79">
        <f>IF($T1666="","",IF($S1666="S",IF(INDEX(Firms!$O$5:$O$1004,$T1666)="","",INDEX(Firms!$O$5:$O$1004,$T1666)),IF(INDEX('AFA Rates'!$O$5:$O$1004,$T1666)="","",INDEX('AFA Rates'!$O$5:$O$1004,$T1666))))</f>
        <v/>
      </c>
      <c r="G1666" s="50">
        <f>IF($T1666="","",IF($S1666="S",IF(INDEX(Firms!$F$5:$F$1004,$T1666)="","",INDEX(Firms!$F$5:$F$1004,$T1666)),IF(INDEX('AFA Rates'!$E$5:$E$1004,$T1666)="","",INDEX('AFA Rates'!$E$5:$E$1004,$T1666))))</f>
        <v/>
      </c>
      <c r="H1666" s="50">
        <f>IF($T1666="","",IF($S1666="S",IF(INDEX(Firms!$G$5:$G$1004,$T1666)="","",INDEX(Firms!$G$5:$G$1004,$T1666)),IF(INDEX('AFA Rates'!$F$5:$F$1004,$T1666)="","",INDEX('AFA Rates'!$F$5:$F$1004,$T1666))))</f>
        <v/>
      </c>
      <c r="I1666" s="50">
        <f>IF($T1666="","",IF($S1666="S",IF(INDEX(Firms!$H$5:$H$1004,$T1666)="","",INDEX(Firms!$H$5:$H$1004,$T1666)),IF(INDEX('AFA Rates'!$G$5:$G$1004,$T1666)="","",INDEX('AFA Rates'!$G$5:$G$1004,$T1666))))</f>
        <v/>
      </c>
      <c r="J1666" s="50">
        <f>IF($T1666="","",IF($S1666="S",IF(INDEX(Firms!$I$5:$I$1004,$T1666)="","",INDEX(Firms!$I$5:$I$1004,$T1666)),IF(INDEX('AFA Rates'!$H$5:$H$1004,$T1666)="","",INDEX('AFA Rates'!$H$5:$H$1004,$T1666))))</f>
        <v/>
      </c>
      <c r="K1666" s="50">
        <f>IF($T1666="","",IF($S1666="S",IF(INDEX(Firms!$J$5:$J$1004,$T1666)="","",INDEX(Firms!$J$5:$J$1004,$T1666)),IF(INDEX('AFA Rates'!$I$5:$I$1004,$T1666)="","",INDEX('AFA Rates'!$I$5:$I$1004,$T1666))))</f>
        <v/>
      </c>
      <c r="L1666" s="50">
        <f>IF($T1666="","",IF($S1666="S",IF(INDEX(Firms!$K$5:$K$1004,$T1666)="","",INDEX(Firms!$K$5:$K$1004,$T1666)),IF(INDEX('AFA Rates'!$J$5:$J$1004,$T1666)="","",INDEX('AFA Rates'!$J$5:$J$1004,$T1666))))</f>
        <v/>
      </c>
      <c r="M1666" s="50">
        <f>IF($T1666="","",IF($S1666="S",IF(INDEX(Firms!$L$5:$L$1004,$T1666)="","",INDEX(Firms!$L$5:$L$1004,$T1666)),IF(INDEX('AFA Rates'!$K$5:$K$1004,$T1666)="","",INDEX('AFA Rates'!$K$5:$K$1004,$T1666))))</f>
        <v/>
      </c>
      <c r="N1666" s="50">
        <f>IF($T1666="","",IF($S1666="S",IF(INDEX(Firms!$M$5:$M$1004,$T1666)="","",INDEX(Firms!$M$5:$M$1004,$T1666)),IF(INDEX('AFA Rates'!$L$5:$L$1004,$T1666)="","",INDEX('AFA Rates'!$L$5:$L$1004,$T1666))))</f>
        <v/>
      </c>
      <c r="O1666" s="78">
        <f>IF(OR($T1666="",$U1666=""),"",IF(INDEX(Firms!$C$5:$C$1004,$U1666)="","",INDEX(Firms!$C$5:$C$1004,$U1666)))</f>
        <v/>
      </c>
      <c r="P1666" s="79">
        <f>IF(OR($T1666="",$U1666=""),"",IF(INDEX(Firms!$N$5:$N$1004,$U1666)="","",INDEX(Firms!$N$5:$N$1004,$U1666)))</f>
        <v/>
      </c>
      <c r="Q1666" s="78">
        <f>IF($T1666="","",IF($S1666="S",IF(INDEX(Firms!$T$5:$T$1004,$T1666)="","",INDEX(Firms!$T$5:$T$1004,$T1666)),IF(INDEX('AFA Rates'!$M$5:$M$1004,$T1666)="","",INDEX('AFA Rates'!$M$5:$M$1004,$T1666))))</f>
        <v/>
      </c>
      <c r="S1666">
        <f>IF(1662&lt;=$S$2,"S",IF(1662&lt;=$S$2+$T$2,"A",""))</f>
        <v/>
      </c>
      <c r="T1666">
        <f>IF(S1666="S",MATCH(1662,Firms!$W$5:$W$1004,0),IF(S1666="A",IFERROR(MATCH(1662-$S$2,'AFA Rates'!$R$5:$R$1004,0),""),""))</f>
        <v/>
      </c>
      <c r="U1666">
        <f>IF(S1666="S",T1666,IF(AND(S1666="A",T1666&lt;&gt;""),IFERROR(MATCH(INDEX('AFA Rates'!$A$5:$A$1004,T1666),Firms!$A$5:$A$1004,0),""),""))</f>
        <v/>
      </c>
    </row>
    <row r="1667">
      <c r="A1667" s="78">
        <f>IF($T1667="","",IF($S1667="S",IF(INDEX(Firms!$A$5:$A$1004,$T1667)="","",INDEX(Firms!$A$5:$A$1004,$T1667)),IF(INDEX('AFA Rates'!$A$5:$A$1004,$T1667)="","",INDEX('AFA Rates'!$A$5:$A$1004,$T1667))))</f>
        <v/>
      </c>
      <c r="B1667" s="79">
        <f>IF(OR($T1667="",$U1667=""),IF($T1667="","","Not on Firms tab"),INDEX(Firms!$B$5:$B$1004,$U1667)&amp;"")</f>
        <v/>
      </c>
      <c r="C1667" s="78">
        <f>IF($T1667="","",IF($S1667="S","Standard",INDEX('AFA Rates'!$B$5:$B$1004,$T1667)&amp;""))</f>
        <v/>
      </c>
      <c r="D1667" s="88">
        <f>IF($T1667="","",IF($S1667="S",IF(INDEX(Firms!$E$5:$E$1004,$T1667)="","",INDEX(Firms!$E$5:$E$1004,$T1667)),IF(INDEX('AFA Rates'!$C$5:$C$1004,$T1667)="","",INDEX('AFA Rates'!$C$5:$C$1004,$T1667))))</f>
        <v/>
      </c>
      <c r="E1667" s="88">
        <f>IF($T1667="","",IF($S1667="S",IF(""="","",""),IF(INDEX('AFA Rates'!$D$5:$D$1004,$T1667)="","",INDEX('AFA Rates'!$D$5:$D$1004,$T1667))))</f>
        <v/>
      </c>
      <c r="F1667" s="79">
        <f>IF($T1667="","",IF($S1667="S",IF(INDEX(Firms!$O$5:$O$1004,$T1667)="","",INDEX(Firms!$O$5:$O$1004,$T1667)),IF(INDEX('AFA Rates'!$O$5:$O$1004,$T1667)="","",INDEX('AFA Rates'!$O$5:$O$1004,$T1667))))</f>
        <v/>
      </c>
      <c r="G1667" s="50">
        <f>IF($T1667="","",IF($S1667="S",IF(INDEX(Firms!$F$5:$F$1004,$T1667)="","",INDEX(Firms!$F$5:$F$1004,$T1667)),IF(INDEX('AFA Rates'!$E$5:$E$1004,$T1667)="","",INDEX('AFA Rates'!$E$5:$E$1004,$T1667))))</f>
        <v/>
      </c>
      <c r="H1667" s="50">
        <f>IF($T1667="","",IF($S1667="S",IF(INDEX(Firms!$G$5:$G$1004,$T1667)="","",INDEX(Firms!$G$5:$G$1004,$T1667)),IF(INDEX('AFA Rates'!$F$5:$F$1004,$T1667)="","",INDEX('AFA Rates'!$F$5:$F$1004,$T1667))))</f>
        <v/>
      </c>
      <c r="I1667" s="50">
        <f>IF($T1667="","",IF($S1667="S",IF(INDEX(Firms!$H$5:$H$1004,$T1667)="","",INDEX(Firms!$H$5:$H$1004,$T1667)),IF(INDEX('AFA Rates'!$G$5:$G$1004,$T1667)="","",INDEX('AFA Rates'!$G$5:$G$1004,$T1667))))</f>
        <v/>
      </c>
      <c r="J1667" s="50">
        <f>IF($T1667="","",IF($S1667="S",IF(INDEX(Firms!$I$5:$I$1004,$T1667)="","",INDEX(Firms!$I$5:$I$1004,$T1667)),IF(INDEX('AFA Rates'!$H$5:$H$1004,$T1667)="","",INDEX('AFA Rates'!$H$5:$H$1004,$T1667))))</f>
        <v/>
      </c>
      <c r="K1667" s="50">
        <f>IF($T1667="","",IF($S1667="S",IF(INDEX(Firms!$J$5:$J$1004,$T1667)="","",INDEX(Firms!$J$5:$J$1004,$T1667)),IF(INDEX('AFA Rates'!$I$5:$I$1004,$T1667)="","",INDEX('AFA Rates'!$I$5:$I$1004,$T1667))))</f>
        <v/>
      </c>
      <c r="L1667" s="50">
        <f>IF($T1667="","",IF($S1667="S",IF(INDEX(Firms!$K$5:$K$1004,$T1667)="","",INDEX(Firms!$K$5:$K$1004,$T1667)),IF(INDEX('AFA Rates'!$J$5:$J$1004,$T1667)="","",INDEX('AFA Rates'!$J$5:$J$1004,$T1667))))</f>
        <v/>
      </c>
      <c r="M1667" s="50">
        <f>IF($T1667="","",IF($S1667="S",IF(INDEX(Firms!$L$5:$L$1004,$T1667)="","",INDEX(Firms!$L$5:$L$1004,$T1667)),IF(INDEX('AFA Rates'!$K$5:$K$1004,$T1667)="","",INDEX('AFA Rates'!$K$5:$K$1004,$T1667))))</f>
        <v/>
      </c>
      <c r="N1667" s="50">
        <f>IF($T1667="","",IF($S1667="S",IF(INDEX(Firms!$M$5:$M$1004,$T1667)="","",INDEX(Firms!$M$5:$M$1004,$T1667)),IF(INDEX('AFA Rates'!$L$5:$L$1004,$T1667)="","",INDEX('AFA Rates'!$L$5:$L$1004,$T1667))))</f>
        <v/>
      </c>
      <c r="O1667" s="78">
        <f>IF(OR($T1667="",$U1667=""),"",IF(INDEX(Firms!$C$5:$C$1004,$U1667)="","",INDEX(Firms!$C$5:$C$1004,$U1667)))</f>
        <v/>
      </c>
      <c r="P1667" s="79">
        <f>IF(OR($T1667="",$U1667=""),"",IF(INDEX(Firms!$N$5:$N$1004,$U1667)="","",INDEX(Firms!$N$5:$N$1004,$U1667)))</f>
        <v/>
      </c>
      <c r="Q1667" s="78">
        <f>IF($T1667="","",IF($S1667="S",IF(INDEX(Firms!$T$5:$T$1004,$T1667)="","",INDEX(Firms!$T$5:$T$1004,$T1667)),IF(INDEX('AFA Rates'!$M$5:$M$1004,$T1667)="","",INDEX('AFA Rates'!$M$5:$M$1004,$T1667))))</f>
        <v/>
      </c>
      <c r="S1667">
        <f>IF(1663&lt;=$S$2,"S",IF(1663&lt;=$S$2+$T$2,"A",""))</f>
        <v/>
      </c>
      <c r="T1667">
        <f>IF(S1667="S",MATCH(1663,Firms!$W$5:$W$1004,0),IF(S1667="A",IFERROR(MATCH(1663-$S$2,'AFA Rates'!$R$5:$R$1004,0),""),""))</f>
        <v/>
      </c>
      <c r="U1667">
        <f>IF(S1667="S",T1667,IF(AND(S1667="A",T1667&lt;&gt;""),IFERROR(MATCH(INDEX('AFA Rates'!$A$5:$A$1004,T1667),Firms!$A$5:$A$1004,0),""),""))</f>
        <v/>
      </c>
    </row>
    <row r="1668">
      <c r="A1668" s="78">
        <f>IF($T1668="","",IF($S1668="S",IF(INDEX(Firms!$A$5:$A$1004,$T1668)="","",INDEX(Firms!$A$5:$A$1004,$T1668)),IF(INDEX('AFA Rates'!$A$5:$A$1004,$T1668)="","",INDEX('AFA Rates'!$A$5:$A$1004,$T1668))))</f>
        <v/>
      </c>
      <c r="B1668" s="79">
        <f>IF(OR($T1668="",$U1668=""),IF($T1668="","","Not on Firms tab"),INDEX(Firms!$B$5:$B$1004,$U1668)&amp;"")</f>
        <v/>
      </c>
      <c r="C1668" s="78">
        <f>IF($T1668="","",IF($S1668="S","Standard",INDEX('AFA Rates'!$B$5:$B$1004,$T1668)&amp;""))</f>
        <v/>
      </c>
      <c r="D1668" s="88">
        <f>IF($T1668="","",IF($S1668="S",IF(INDEX(Firms!$E$5:$E$1004,$T1668)="","",INDEX(Firms!$E$5:$E$1004,$T1668)),IF(INDEX('AFA Rates'!$C$5:$C$1004,$T1668)="","",INDEX('AFA Rates'!$C$5:$C$1004,$T1668))))</f>
        <v/>
      </c>
      <c r="E1668" s="88">
        <f>IF($T1668="","",IF($S1668="S",IF(""="","",""),IF(INDEX('AFA Rates'!$D$5:$D$1004,$T1668)="","",INDEX('AFA Rates'!$D$5:$D$1004,$T1668))))</f>
        <v/>
      </c>
      <c r="F1668" s="79">
        <f>IF($T1668="","",IF($S1668="S",IF(INDEX(Firms!$O$5:$O$1004,$T1668)="","",INDEX(Firms!$O$5:$O$1004,$T1668)),IF(INDEX('AFA Rates'!$O$5:$O$1004,$T1668)="","",INDEX('AFA Rates'!$O$5:$O$1004,$T1668))))</f>
        <v/>
      </c>
      <c r="G1668" s="50">
        <f>IF($T1668="","",IF($S1668="S",IF(INDEX(Firms!$F$5:$F$1004,$T1668)="","",INDEX(Firms!$F$5:$F$1004,$T1668)),IF(INDEX('AFA Rates'!$E$5:$E$1004,$T1668)="","",INDEX('AFA Rates'!$E$5:$E$1004,$T1668))))</f>
        <v/>
      </c>
      <c r="H1668" s="50">
        <f>IF($T1668="","",IF($S1668="S",IF(INDEX(Firms!$G$5:$G$1004,$T1668)="","",INDEX(Firms!$G$5:$G$1004,$T1668)),IF(INDEX('AFA Rates'!$F$5:$F$1004,$T1668)="","",INDEX('AFA Rates'!$F$5:$F$1004,$T1668))))</f>
        <v/>
      </c>
      <c r="I1668" s="50">
        <f>IF($T1668="","",IF($S1668="S",IF(INDEX(Firms!$H$5:$H$1004,$T1668)="","",INDEX(Firms!$H$5:$H$1004,$T1668)),IF(INDEX('AFA Rates'!$G$5:$G$1004,$T1668)="","",INDEX('AFA Rates'!$G$5:$G$1004,$T1668))))</f>
        <v/>
      </c>
      <c r="J1668" s="50">
        <f>IF($T1668="","",IF($S1668="S",IF(INDEX(Firms!$I$5:$I$1004,$T1668)="","",INDEX(Firms!$I$5:$I$1004,$T1668)),IF(INDEX('AFA Rates'!$H$5:$H$1004,$T1668)="","",INDEX('AFA Rates'!$H$5:$H$1004,$T1668))))</f>
        <v/>
      </c>
      <c r="K1668" s="50">
        <f>IF($T1668="","",IF($S1668="S",IF(INDEX(Firms!$J$5:$J$1004,$T1668)="","",INDEX(Firms!$J$5:$J$1004,$T1668)),IF(INDEX('AFA Rates'!$I$5:$I$1004,$T1668)="","",INDEX('AFA Rates'!$I$5:$I$1004,$T1668))))</f>
        <v/>
      </c>
      <c r="L1668" s="50">
        <f>IF($T1668="","",IF($S1668="S",IF(INDEX(Firms!$K$5:$K$1004,$T1668)="","",INDEX(Firms!$K$5:$K$1004,$T1668)),IF(INDEX('AFA Rates'!$J$5:$J$1004,$T1668)="","",INDEX('AFA Rates'!$J$5:$J$1004,$T1668))))</f>
        <v/>
      </c>
      <c r="M1668" s="50">
        <f>IF($T1668="","",IF($S1668="S",IF(INDEX(Firms!$L$5:$L$1004,$T1668)="","",INDEX(Firms!$L$5:$L$1004,$T1668)),IF(INDEX('AFA Rates'!$K$5:$K$1004,$T1668)="","",INDEX('AFA Rates'!$K$5:$K$1004,$T1668))))</f>
        <v/>
      </c>
      <c r="N1668" s="50">
        <f>IF($T1668="","",IF($S1668="S",IF(INDEX(Firms!$M$5:$M$1004,$T1668)="","",INDEX(Firms!$M$5:$M$1004,$T1668)),IF(INDEX('AFA Rates'!$L$5:$L$1004,$T1668)="","",INDEX('AFA Rates'!$L$5:$L$1004,$T1668))))</f>
        <v/>
      </c>
      <c r="O1668" s="78">
        <f>IF(OR($T1668="",$U1668=""),"",IF(INDEX(Firms!$C$5:$C$1004,$U1668)="","",INDEX(Firms!$C$5:$C$1004,$U1668)))</f>
        <v/>
      </c>
      <c r="P1668" s="79">
        <f>IF(OR($T1668="",$U1668=""),"",IF(INDEX(Firms!$N$5:$N$1004,$U1668)="","",INDEX(Firms!$N$5:$N$1004,$U1668)))</f>
        <v/>
      </c>
      <c r="Q1668" s="78">
        <f>IF($T1668="","",IF($S1668="S",IF(INDEX(Firms!$T$5:$T$1004,$T1668)="","",INDEX(Firms!$T$5:$T$1004,$T1668)),IF(INDEX('AFA Rates'!$M$5:$M$1004,$T1668)="","",INDEX('AFA Rates'!$M$5:$M$1004,$T1668))))</f>
        <v/>
      </c>
      <c r="S1668">
        <f>IF(1664&lt;=$S$2,"S",IF(1664&lt;=$S$2+$T$2,"A",""))</f>
        <v/>
      </c>
      <c r="T1668">
        <f>IF(S1668="S",MATCH(1664,Firms!$W$5:$W$1004,0),IF(S1668="A",IFERROR(MATCH(1664-$S$2,'AFA Rates'!$R$5:$R$1004,0),""),""))</f>
        <v/>
      </c>
      <c r="U1668">
        <f>IF(S1668="S",T1668,IF(AND(S1668="A",T1668&lt;&gt;""),IFERROR(MATCH(INDEX('AFA Rates'!$A$5:$A$1004,T1668),Firms!$A$5:$A$1004,0),""),""))</f>
        <v/>
      </c>
    </row>
    <row r="1669">
      <c r="A1669" s="78">
        <f>IF($T1669="","",IF($S1669="S",IF(INDEX(Firms!$A$5:$A$1004,$T1669)="","",INDEX(Firms!$A$5:$A$1004,$T1669)),IF(INDEX('AFA Rates'!$A$5:$A$1004,$T1669)="","",INDEX('AFA Rates'!$A$5:$A$1004,$T1669))))</f>
        <v/>
      </c>
      <c r="B1669" s="79">
        <f>IF(OR($T1669="",$U1669=""),IF($T1669="","","Not on Firms tab"),INDEX(Firms!$B$5:$B$1004,$U1669)&amp;"")</f>
        <v/>
      </c>
      <c r="C1669" s="78">
        <f>IF($T1669="","",IF($S1669="S","Standard",INDEX('AFA Rates'!$B$5:$B$1004,$T1669)&amp;""))</f>
        <v/>
      </c>
      <c r="D1669" s="88">
        <f>IF($T1669="","",IF($S1669="S",IF(INDEX(Firms!$E$5:$E$1004,$T1669)="","",INDEX(Firms!$E$5:$E$1004,$T1669)),IF(INDEX('AFA Rates'!$C$5:$C$1004,$T1669)="","",INDEX('AFA Rates'!$C$5:$C$1004,$T1669))))</f>
        <v/>
      </c>
      <c r="E1669" s="88">
        <f>IF($T1669="","",IF($S1669="S",IF(""="","",""),IF(INDEX('AFA Rates'!$D$5:$D$1004,$T1669)="","",INDEX('AFA Rates'!$D$5:$D$1004,$T1669))))</f>
        <v/>
      </c>
      <c r="F1669" s="79">
        <f>IF($T1669="","",IF($S1669="S",IF(INDEX(Firms!$O$5:$O$1004,$T1669)="","",INDEX(Firms!$O$5:$O$1004,$T1669)),IF(INDEX('AFA Rates'!$O$5:$O$1004,$T1669)="","",INDEX('AFA Rates'!$O$5:$O$1004,$T1669))))</f>
        <v/>
      </c>
      <c r="G1669" s="50">
        <f>IF($T1669="","",IF($S1669="S",IF(INDEX(Firms!$F$5:$F$1004,$T1669)="","",INDEX(Firms!$F$5:$F$1004,$T1669)),IF(INDEX('AFA Rates'!$E$5:$E$1004,$T1669)="","",INDEX('AFA Rates'!$E$5:$E$1004,$T1669))))</f>
        <v/>
      </c>
      <c r="H1669" s="50">
        <f>IF($T1669="","",IF($S1669="S",IF(INDEX(Firms!$G$5:$G$1004,$T1669)="","",INDEX(Firms!$G$5:$G$1004,$T1669)),IF(INDEX('AFA Rates'!$F$5:$F$1004,$T1669)="","",INDEX('AFA Rates'!$F$5:$F$1004,$T1669))))</f>
        <v/>
      </c>
      <c r="I1669" s="50">
        <f>IF($T1669="","",IF($S1669="S",IF(INDEX(Firms!$H$5:$H$1004,$T1669)="","",INDEX(Firms!$H$5:$H$1004,$T1669)),IF(INDEX('AFA Rates'!$G$5:$G$1004,$T1669)="","",INDEX('AFA Rates'!$G$5:$G$1004,$T1669))))</f>
        <v/>
      </c>
      <c r="J1669" s="50">
        <f>IF($T1669="","",IF($S1669="S",IF(INDEX(Firms!$I$5:$I$1004,$T1669)="","",INDEX(Firms!$I$5:$I$1004,$T1669)),IF(INDEX('AFA Rates'!$H$5:$H$1004,$T1669)="","",INDEX('AFA Rates'!$H$5:$H$1004,$T1669))))</f>
        <v/>
      </c>
      <c r="K1669" s="50">
        <f>IF($T1669="","",IF($S1669="S",IF(INDEX(Firms!$J$5:$J$1004,$T1669)="","",INDEX(Firms!$J$5:$J$1004,$T1669)),IF(INDEX('AFA Rates'!$I$5:$I$1004,$T1669)="","",INDEX('AFA Rates'!$I$5:$I$1004,$T1669))))</f>
        <v/>
      </c>
      <c r="L1669" s="50">
        <f>IF($T1669="","",IF($S1669="S",IF(INDEX(Firms!$K$5:$K$1004,$T1669)="","",INDEX(Firms!$K$5:$K$1004,$T1669)),IF(INDEX('AFA Rates'!$J$5:$J$1004,$T1669)="","",INDEX('AFA Rates'!$J$5:$J$1004,$T1669))))</f>
        <v/>
      </c>
      <c r="M1669" s="50">
        <f>IF($T1669="","",IF($S1669="S",IF(INDEX(Firms!$L$5:$L$1004,$T1669)="","",INDEX(Firms!$L$5:$L$1004,$T1669)),IF(INDEX('AFA Rates'!$K$5:$K$1004,$T1669)="","",INDEX('AFA Rates'!$K$5:$K$1004,$T1669))))</f>
        <v/>
      </c>
      <c r="N1669" s="50">
        <f>IF($T1669="","",IF($S1669="S",IF(INDEX(Firms!$M$5:$M$1004,$T1669)="","",INDEX(Firms!$M$5:$M$1004,$T1669)),IF(INDEX('AFA Rates'!$L$5:$L$1004,$T1669)="","",INDEX('AFA Rates'!$L$5:$L$1004,$T1669))))</f>
        <v/>
      </c>
      <c r="O1669" s="78">
        <f>IF(OR($T1669="",$U1669=""),"",IF(INDEX(Firms!$C$5:$C$1004,$U1669)="","",INDEX(Firms!$C$5:$C$1004,$U1669)))</f>
        <v/>
      </c>
      <c r="P1669" s="79">
        <f>IF(OR($T1669="",$U1669=""),"",IF(INDEX(Firms!$N$5:$N$1004,$U1669)="","",INDEX(Firms!$N$5:$N$1004,$U1669)))</f>
        <v/>
      </c>
      <c r="Q1669" s="78">
        <f>IF($T1669="","",IF($S1669="S",IF(INDEX(Firms!$T$5:$T$1004,$T1669)="","",INDEX(Firms!$T$5:$T$1004,$T1669)),IF(INDEX('AFA Rates'!$M$5:$M$1004,$T1669)="","",INDEX('AFA Rates'!$M$5:$M$1004,$T1669))))</f>
        <v/>
      </c>
      <c r="S1669">
        <f>IF(1665&lt;=$S$2,"S",IF(1665&lt;=$S$2+$T$2,"A",""))</f>
        <v/>
      </c>
      <c r="T1669">
        <f>IF(S1669="S",MATCH(1665,Firms!$W$5:$W$1004,0),IF(S1669="A",IFERROR(MATCH(1665-$S$2,'AFA Rates'!$R$5:$R$1004,0),""),""))</f>
        <v/>
      </c>
      <c r="U1669">
        <f>IF(S1669="S",T1669,IF(AND(S1669="A",T1669&lt;&gt;""),IFERROR(MATCH(INDEX('AFA Rates'!$A$5:$A$1004,T1669),Firms!$A$5:$A$1004,0),""),""))</f>
        <v/>
      </c>
    </row>
    <row r="1670">
      <c r="A1670" s="78">
        <f>IF($T1670="","",IF($S1670="S",IF(INDEX(Firms!$A$5:$A$1004,$T1670)="","",INDEX(Firms!$A$5:$A$1004,$T1670)),IF(INDEX('AFA Rates'!$A$5:$A$1004,$T1670)="","",INDEX('AFA Rates'!$A$5:$A$1004,$T1670))))</f>
        <v/>
      </c>
      <c r="B1670" s="79">
        <f>IF(OR($T1670="",$U1670=""),IF($T1670="","","Not on Firms tab"),INDEX(Firms!$B$5:$B$1004,$U1670)&amp;"")</f>
        <v/>
      </c>
      <c r="C1670" s="78">
        <f>IF($T1670="","",IF($S1670="S","Standard",INDEX('AFA Rates'!$B$5:$B$1004,$T1670)&amp;""))</f>
        <v/>
      </c>
      <c r="D1670" s="88">
        <f>IF($T1670="","",IF($S1670="S",IF(INDEX(Firms!$E$5:$E$1004,$T1670)="","",INDEX(Firms!$E$5:$E$1004,$T1670)),IF(INDEX('AFA Rates'!$C$5:$C$1004,$T1670)="","",INDEX('AFA Rates'!$C$5:$C$1004,$T1670))))</f>
        <v/>
      </c>
      <c r="E1670" s="88">
        <f>IF($T1670="","",IF($S1670="S",IF(""="","",""),IF(INDEX('AFA Rates'!$D$5:$D$1004,$T1670)="","",INDEX('AFA Rates'!$D$5:$D$1004,$T1670))))</f>
        <v/>
      </c>
      <c r="F1670" s="79">
        <f>IF($T1670="","",IF($S1670="S",IF(INDEX(Firms!$O$5:$O$1004,$T1670)="","",INDEX(Firms!$O$5:$O$1004,$T1670)),IF(INDEX('AFA Rates'!$O$5:$O$1004,$T1670)="","",INDEX('AFA Rates'!$O$5:$O$1004,$T1670))))</f>
        <v/>
      </c>
      <c r="G1670" s="50">
        <f>IF($T1670="","",IF($S1670="S",IF(INDEX(Firms!$F$5:$F$1004,$T1670)="","",INDEX(Firms!$F$5:$F$1004,$T1670)),IF(INDEX('AFA Rates'!$E$5:$E$1004,$T1670)="","",INDEX('AFA Rates'!$E$5:$E$1004,$T1670))))</f>
        <v/>
      </c>
      <c r="H1670" s="50">
        <f>IF($T1670="","",IF($S1670="S",IF(INDEX(Firms!$G$5:$G$1004,$T1670)="","",INDEX(Firms!$G$5:$G$1004,$T1670)),IF(INDEX('AFA Rates'!$F$5:$F$1004,$T1670)="","",INDEX('AFA Rates'!$F$5:$F$1004,$T1670))))</f>
        <v/>
      </c>
      <c r="I1670" s="50">
        <f>IF($T1670="","",IF($S1670="S",IF(INDEX(Firms!$H$5:$H$1004,$T1670)="","",INDEX(Firms!$H$5:$H$1004,$T1670)),IF(INDEX('AFA Rates'!$G$5:$G$1004,$T1670)="","",INDEX('AFA Rates'!$G$5:$G$1004,$T1670))))</f>
        <v/>
      </c>
      <c r="J1670" s="50">
        <f>IF($T1670="","",IF($S1670="S",IF(INDEX(Firms!$I$5:$I$1004,$T1670)="","",INDEX(Firms!$I$5:$I$1004,$T1670)),IF(INDEX('AFA Rates'!$H$5:$H$1004,$T1670)="","",INDEX('AFA Rates'!$H$5:$H$1004,$T1670))))</f>
        <v/>
      </c>
      <c r="K1670" s="50">
        <f>IF($T1670="","",IF($S1670="S",IF(INDEX(Firms!$J$5:$J$1004,$T1670)="","",INDEX(Firms!$J$5:$J$1004,$T1670)),IF(INDEX('AFA Rates'!$I$5:$I$1004,$T1670)="","",INDEX('AFA Rates'!$I$5:$I$1004,$T1670))))</f>
        <v/>
      </c>
      <c r="L1670" s="50">
        <f>IF($T1670="","",IF($S1670="S",IF(INDEX(Firms!$K$5:$K$1004,$T1670)="","",INDEX(Firms!$K$5:$K$1004,$T1670)),IF(INDEX('AFA Rates'!$J$5:$J$1004,$T1670)="","",INDEX('AFA Rates'!$J$5:$J$1004,$T1670))))</f>
        <v/>
      </c>
      <c r="M1670" s="50">
        <f>IF($T1670="","",IF($S1670="S",IF(INDEX(Firms!$L$5:$L$1004,$T1670)="","",INDEX(Firms!$L$5:$L$1004,$T1670)),IF(INDEX('AFA Rates'!$K$5:$K$1004,$T1670)="","",INDEX('AFA Rates'!$K$5:$K$1004,$T1670))))</f>
        <v/>
      </c>
      <c r="N1670" s="50">
        <f>IF($T1670="","",IF($S1670="S",IF(INDEX(Firms!$M$5:$M$1004,$T1670)="","",INDEX(Firms!$M$5:$M$1004,$T1670)),IF(INDEX('AFA Rates'!$L$5:$L$1004,$T1670)="","",INDEX('AFA Rates'!$L$5:$L$1004,$T1670))))</f>
        <v/>
      </c>
      <c r="O1670" s="78">
        <f>IF(OR($T1670="",$U1670=""),"",IF(INDEX(Firms!$C$5:$C$1004,$U1670)="","",INDEX(Firms!$C$5:$C$1004,$U1670)))</f>
        <v/>
      </c>
      <c r="P1670" s="79">
        <f>IF(OR($T1670="",$U1670=""),"",IF(INDEX(Firms!$N$5:$N$1004,$U1670)="","",INDEX(Firms!$N$5:$N$1004,$U1670)))</f>
        <v/>
      </c>
      <c r="Q1670" s="78">
        <f>IF($T1670="","",IF($S1670="S",IF(INDEX(Firms!$T$5:$T$1004,$T1670)="","",INDEX(Firms!$T$5:$T$1004,$T1670)),IF(INDEX('AFA Rates'!$M$5:$M$1004,$T1670)="","",INDEX('AFA Rates'!$M$5:$M$1004,$T1670))))</f>
        <v/>
      </c>
      <c r="S1670">
        <f>IF(1666&lt;=$S$2,"S",IF(1666&lt;=$S$2+$T$2,"A",""))</f>
        <v/>
      </c>
      <c r="T1670">
        <f>IF(S1670="S",MATCH(1666,Firms!$W$5:$W$1004,0),IF(S1670="A",IFERROR(MATCH(1666-$S$2,'AFA Rates'!$R$5:$R$1004,0),""),""))</f>
        <v/>
      </c>
      <c r="U1670">
        <f>IF(S1670="S",T1670,IF(AND(S1670="A",T1670&lt;&gt;""),IFERROR(MATCH(INDEX('AFA Rates'!$A$5:$A$1004,T1670),Firms!$A$5:$A$1004,0),""),""))</f>
        <v/>
      </c>
    </row>
    <row r="1671">
      <c r="A1671" s="78">
        <f>IF($T1671="","",IF($S1671="S",IF(INDEX(Firms!$A$5:$A$1004,$T1671)="","",INDEX(Firms!$A$5:$A$1004,$T1671)),IF(INDEX('AFA Rates'!$A$5:$A$1004,$T1671)="","",INDEX('AFA Rates'!$A$5:$A$1004,$T1671))))</f>
        <v/>
      </c>
      <c r="B1671" s="79">
        <f>IF(OR($T1671="",$U1671=""),IF($T1671="","","Not on Firms tab"),INDEX(Firms!$B$5:$B$1004,$U1671)&amp;"")</f>
        <v/>
      </c>
      <c r="C1671" s="78">
        <f>IF($T1671="","",IF($S1671="S","Standard",INDEX('AFA Rates'!$B$5:$B$1004,$T1671)&amp;""))</f>
        <v/>
      </c>
      <c r="D1671" s="88">
        <f>IF($T1671="","",IF($S1671="S",IF(INDEX(Firms!$E$5:$E$1004,$T1671)="","",INDEX(Firms!$E$5:$E$1004,$T1671)),IF(INDEX('AFA Rates'!$C$5:$C$1004,$T1671)="","",INDEX('AFA Rates'!$C$5:$C$1004,$T1671))))</f>
        <v/>
      </c>
      <c r="E1671" s="88">
        <f>IF($T1671="","",IF($S1671="S",IF(""="","",""),IF(INDEX('AFA Rates'!$D$5:$D$1004,$T1671)="","",INDEX('AFA Rates'!$D$5:$D$1004,$T1671))))</f>
        <v/>
      </c>
      <c r="F1671" s="79">
        <f>IF($T1671="","",IF($S1671="S",IF(INDEX(Firms!$O$5:$O$1004,$T1671)="","",INDEX(Firms!$O$5:$O$1004,$T1671)),IF(INDEX('AFA Rates'!$O$5:$O$1004,$T1671)="","",INDEX('AFA Rates'!$O$5:$O$1004,$T1671))))</f>
        <v/>
      </c>
      <c r="G1671" s="50">
        <f>IF($T1671="","",IF($S1671="S",IF(INDEX(Firms!$F$5:$F$1004,$T1671)="","",INDEX(Firms!$F$5:$F$1004,$T1671)),IF(INDEX('AFA Rates'!$E$5:$E$1004,$T1671)="","",INDEX('AFA Rates'!$E$5:$E$1004,$T1671))))</f>
        <v/>
      </c>
      <c r="H1671" s="50">
        <f>IF($T1671="","",IF($S1671="S",IF(INDEX(Firms!$G$5:$G$1004,$T1671)="","",INDEX(Firms!$G$5:$G$1004,$T1671)),IF(INDEX('AFA Rates'!$F$5:$F$1004,$T1671)="","",INDEX('AFA Rates'!$F$5:$F$1004,$T1671))))</f>
        <v/>
      </c>
      <c r="I1671" s="50">
        <f>IF($T1671="","",IF($S1671="S",IF(INDEX(Firms!$H$5:$H$1004,$T1671)="","",INDEX(Firms!$H$5:$H$1004,$T1671)),IF(INDEX('AFA Rates'!$G$5:$G$1004,$T1671)="","",INDEX('AFA Rates'!$G$5:$G$1004,$T1671))))</f>
        <v/>
      </c>
      <c r="J1671" s="50">
        <f>IF($T1671="","",IF($S1671="S",IF(INDEX(Firms!$I$5:$I$1004,$T1671)="","",INDEX(Firms!$I$5:$I$1004,$T1671)),IF(INDEX('AFA Rates'!$H$5:$H$1004,$T1671)="","",INDEX('AFA Rates'!$H$5:$H$1004,$T1671))))</f>
        <v/>
      </c>
      <c r="K1671" s="50">
        <f>IF($T1671="","",IF($S1671="S",IF(INDEX(Firms!$J$5:$J$1004,$T1671)="","",INDEX(Firms!$J$5:$J$1004,$T1671)),IF(INDEX('AFA Rates'!$I$5:$I$1004,$T1671)="","",INDEX('AFA Rates'!$I$5:$I$1004,$T1671))))</f>
        <v/>
      </c>
      <c r="L1671" s="50">
        <f>IF($T1671="","",IF($S1671="S",IF(INDEX(Firms!$K$5:$K$1004,$T1671)="","",INDEX(Firms!$K$5:$K$1004,$T1671)),IF(INDEX('AFA Rates'!$J$5:$J$1004,$T1671)="","",INDEX('AFA Rates'!$J$5:$J$1004,$T1671))))</f>
        <v/>
      </c>
      <c r="M1671" s="50">
        <f>IF($T1671="","",IF($S1671="S",IF(INDEX(Firms!$L$5:$L$1004,$T1671)="","",INDEX(Firms!$L$5:$L$1004,$T1671)),IF(INDEX('AFA Rates'!$K$5:$K$1004,$T1671)="","",INDEX('AFA Rates'!$K$5:$K$1004,$T1671))))</f>
        <v/>
      </c>
      <c r="N1671" s="50">
        <f>IF($T1671="","",IF($S1671="S",IF(INDEX(Firms!$M$5:$M$1004,$T1671)="","",INDEX(Firms!$M$5:$M$1004,$T1671)),IF(INDEX('AFA Rates'!$L$5:$L$1004,$T1671)="","",INDEX('AFA Rates'!$L$5:$L$1004,$T1671))))</f>
        <v/>
      </c>
      <c r="O1671" s="78">
        <f>IF(OR($T1671="",$U1671=""),"",IF(INDEX(Firms!$C$5:$C$1004,$U1671)="","",INDEX(Firms!$C$5:$C$1004,$U1671)))</f>
        <v/>
      </c>
      <c r="P1671" s="79">
        <f>IF(OR($T1671="",$U1671=""),"",IF(INDEX(Firms!$N$5:$N$1004,$U1671)="","",INDEX(Firms!$N$5:$N$1004,$U1671)))</f>
        <v/>
      </c>
      <c r="Q1671" s="78">
        <f>IF($T1671="","",IF($S1671="S",IF(INDEX(Firms!$T$5:$T$1004,$T1671)="","",INDEX(Firms!$T$5:$T$1004,$T1671)),IF(INDEX('AFA Rates'!$M$5:$M$1004,$T1671)="","",INDEX('AFA Rates'!$M$5:$M$1004,$T1671))))</f>
        <v/>
      </c>
      <c r="S1671">
        <f>IF(1667&lt;=$S$2,"S",IF(1667&lt;=$S$2+$T$2,"A",""))</f>
        <v/>
      </c>
      <c r="T1671">
        <f>IF(S1671="S",MATCH(1667,Firms!$W$5:$W$1004,0),IF(S1671="A",IFERROR(MATCH(1667-$S$2,'AFA Rates'!$R$5:$R$1004,0),""),""))</f>
        <v/>
      </c>
      <c r="U1671">
        <f>IF(S1671="S",T1671,IF(AND(S1671="A",T1671&lt;&gt;""),IFERROR(MATCH(INDEX('AFA Rates'!$A$5:$A$1004,T1671),Firms!$A$5:$A$1004,0),""),""))</f>
        <v/>
      </c>
    </row>
    <row r="1672">
      <c r="A1672" s="78">
        <f>IF($T1672="","",IF($S1672="S",IF(INDEX(Firms!$A$5:$A$1004,$T1672)="","",INDEX(Firms!$A$5:$A$1004,$T1672)),IF(INDEX('AFA Rates'!$A$5:$A$1004,$T1672)="","",INDEX('AFA Rates'!$A$5:$A$1004,$T1672))))</f>
        <v/>
      </c>
      <c r="B1672" s="79">
        <f>IF(OR($T1672="",$U1672=""),IF($T1672="","","Not on Firms tab"),INDEX(Firms!$B$5:$B$1004,$U1672)&amp;"")</f>
        <v/>
      </c>
      <c r="C1672" s="78">
        <f>IF($T1672="","",IF($S1672="S","Standard",INDEX('AFA Rates'!$B$5:$B$1004,$T1672)&amp;""))</f>
        <v/>
      </c>
      <c r="D1672" s="88">
        <f>IF($T1672="","",IF($S1672="S",IF(INDEX(Firms!$E$5:$E$1004,$T1672)="","",INDEX(Firms!$E$5:$E$1004,$T1672)),IF(INDEX('AFA Rates'!$C$5:$C$1004,$T1672)="","",INDEX('AFA Rates'!$C$5:$C$1004,$T1672))))</f>
        <v/>
      </c>
      <c r="E1672" s="88">
        <f>IF($T1672="","",IF($S1672="S",IF(""="","",""),IF(INDEX('AFA Rates'!$D$5:$D$1004,$T1672)="","",INDEX('AFA Rates'!$D$5:$D$1004,$T1672))))</f>
        <v/>
      </c>
      <c r="F1672" s="79">
        <f>IF($T1672="","",IF($S1672="S",IF(INDEX(Firms!$O$5:$O$1004,$T1672)="","",INDEX(Firms!$O$5:$O$1004,$T1672)),IF(INDEX('AFA Rates'!$O$5:$O$1004,$T1672)="","",INDEX('AFA Rates'!$O$5:$O$1004,$T1672))))</f>
        <v/>
      </c>
      <c r="G1672" s="50">
        <f>IF($T1672="","",IF($S1672="S",IF(INDEX(Firms!$F$5:$F$1004,$T1672)="","",INDEX(Firms!$F$5:$F$1004,$T1672)),IF(INDEX('AFA Rates'!$E$5:$E$1004,$T1672)="","",INDEX('AFA Rates'!$E$5:$E$1004,$T1672))))</f>
        <v/>
      </c>
      <c r="H1672" s="50">
        <f>IF($T1672="","",IF($S1672="S",IF(INDEX(Firms!$G$5:$G$1004,$T1672)="","",INDEX(Firms!$G$5:$G$1004,$T1672)),IF(INDEX('AFA Rates'!$F$5:$F$1004,$T1672)="","",INDEX('AFA Rates'!$F$5:$F$1004,$T1672))))</f>
        <v/>
      </c>
      <c r="I1672" s="50">
        <f>IF($T1672="","",IF($S1672="S",IF(INDEX(Firms!$H$5:$H$1004,$T1672)="","",INDEX(Firms!$H$5:$H$1004,$T1672)),IF(INDEX('AFA Rates'!$G$5:$G$1004,$T1672)="","",INDEX('AFA Rates'!$G$5:$G$1004,$T1672))))</f>
        <v/>
      </c>
      <c r="J1672" s="50">
        <f>IF($T1672="","",IF($S1672="S",IF(INDEX(Firms!$I$5:$I$1004,$T1672)="","",INDEX(Firms!$I$5:$I$1004,$T1672)),IF(INDEX('AFA Rates'!$H$5:$H$1004,$T1672)="","",INDEX('AFA Rates'!$H$5:$H$1004,$T1672))))</f>
        <v/>
      </c>
      <c r="K1672" s="50">
        <f>IF($T1672="","",IF($S1672="S",IF(INDEX(Firms!$J$5:$J$1004,$T1672)="","",INDEX(Firms!$J$5:$J$1004,$T1672)),IF(INDEX('AFA Rates'!$I$5:$I$1004,$T1672)="","",INDEX('AFA Rates'!$I$5:$I$1004,$T1672))))</f>
        <v/>
      </c>
      <c r="L1672" s="50">
        <f>IF($T1672="","",IF($S1672="S",IF(INDEX(Firms!$K$5:$K$1004,$T1672)="","",INDEX(Firms!$K$5:$K$1004,$T1672)),IF(INDEX('AFA Rates'!$J$5:$J$1004,$T1672)="","",INDEX('AFA Rates'!$J$5:$J$1004,$T1672))))</f>
        <v/>
      </c>
      <c r="M1672" s="50">
        <f>IF($T1672="","",IF($S1672="S",IF(INDEX(Firms!$L$5:$L$1004,$T1672)="","",INDEX(Firms!$L$5:$L$1004,$T1672)),IF(INDEX('AFA Rates'!$K$5:$K$1004,$T1672)="","",INDEX('AFA Rates'!$K$5:$K$1004,$T1672))))</f>
        <v/>
      </c>
      <c r="N1672" s="50">
        <f>IF($T1672="","",IF($S1672="S",IF(INDEX(Firms!$M$5:$M$1004,$T1672)="","",INDEX(Firms!$M$5:$M$1004,$T1672)),IF(INDEX('AFA Rates'!$L$5:$L$1004,$T1672)="","",INDEX('AFA Rates'!$L$5:$L$1004,$T1672))))</f>
        <v/>
      </c>
      <c r="O1672" s="78">
        <f>IF(OR($T1672="",$U1672=""),"",IF(INDEX(Firms!$C$5:$C$1004,$U1672)="","",INDEX(Firms!$C$5:$C$1004,$U1672)))</f>
        <v/>
      </c>
      <c r="P1672" s="79">
        <f>IF(OR($T1672="",$U1672=""),"",IF(INDEX(Firms!$N$5:$N$1004,$U1672)="","",INDEX(Firms!$N$5:$N$1004,$U1672)))</f>
        <v/>
      </c>
      <c r="Q1672" s="78">
        <f>IF($T1672="","",IF($S1672="S",IF(INDEX(Firms!$T$5:$T$1004,$T1672)="","",INDEX(Firms!$T$5:$T$1004,$T1672)),IF(INDEX('AFA Rates'!$M$5:$M$1004,$T1672)="","",INDEX('AFA Rates'!$M$5:$M$1004,$T1672))))</f>
        <v/>
      </c>
      <c r="S1672">
        <f>IF(1668&lt;=$S$2,"S",IF(1668&lt;=$S$2+$T$2,"A",""))</f>
        <v/>
      </c>
      <c r="T1672">
        <f>IF(S1672="S",MATCH(1668,Firms!$W$5:$W$1004,0),IF(S1672="A",IFERROR(MATCH(1668-$S$2,'AFA Rates'!$R$5:$R$1004,0),""),""))</f>
        <v/>
      </c>
      <c r="U1672">
        <f>IF(S1672="S",T1672,IF(AND(S1672="A",T1672&lt;&gt;""),IFERROR(MATCH(INDEX('AFA Rates'!$A$5:$A$1004,T1672),Firms!$A$5:$A$1004,0),""),""))</f>
        <v/>
      </c>
    </row>
    <row r="1673">
      <c r="A1673" s="78">
        <f>IF($T1673="","",IF($S1673="S",IF(INDEX(Firms!$A$5:$A$1004,$T1673)="","",INDEX(Firms!$A$5:$A$1004,$T1673)),IF(INDEX('AFA Rates'!$A$5:$A$1004,$T1673)="","",INDEX('AFA Rates'!$A$5:$A$1004,$T1673))))</f>
        <v/>
      </c>
      <c r="B1673" s="79">
        <f>IF(OR($T1673="",$U1673=""),IF($T1673="","","Not on Firms tab"),INDEX(Firms!$B$5:$B$1004,$U1673)&amp;"")</f>
        <v/>
      </c>
      <c r="C1673" s="78">
        <f>IF($T1673="","",IF($S1673="S","Standard",INDEX('AFA Rates'!$B$5:$B$1004,$T1673)&amp;""))</f>
        <v/>
      </c>
      <c r="D1673" s="88">
        <f>IF($T1673="","",IF($S1673="S",IF(INDEX(Firms!$E$5:$E$1004,$T1673)="","",INDEX(Firms!$E$5:$E$1004,$T1673)),IF(INDEX('AFA Rates'!$C$5:$C$1004,$T1673)="","",INDEX('AFA Rates'!$C$5:$C$1004,$T1673))))</f>
        <v/>
      </c>
      <c r="E1673" s="88">
        <f>IF($T1673="","",IF($S1673="S",IF(""="","",""),IF(INDEX('AFA Rates'!$D$5:$D$1004,$T1673)="","",INDEX('AFA Rates'!$D$5:$D$1004,$T1673))))</f>
        <v/>
      </c>
      <c r="F1673" s="79">
        <f>IF($T1673="","",IF($S1673="S",IF(INDEX(Firms!$O$5:$O$1004,$T1673)="","",INDEX(Firms!$O$5:$O$1004,$T1673)),IF(INDEX('AFA Rates'!$O$5:$O$1004,$T1673)="","",INDEX('AFA Rates'!$O$5:$O$1004,$T1673))))</f>
        <v/>
      </c>
      <c r="G1673" s="50">
        <f>IF($T1673="","",IF($S1673="S",IF(INDEX(Firms!$F$5:$F$1004,$T1673)="","",INDEX(Firms!$F$5:$F$1004,$T1673)),IF(INDEX('AFA Rates'!$E$5:$E$1004,$T1673)="","",INDEX('AFA Rates'!$E$5:$E$1004,$T1673))))</f>
        <v/>
      </c>
      <c r="H1673" s="50">
        <f>IF($T1673="","",IF($S1673="S",IF(INDEX(Firms!$G$5:$G$1004,$T1673)="","",INDEX(Firms!$G$5:$G$1004,$T1673)),IF(INDEX('AFA Rates'!$F$5:$F$1004,$T1673)="","",INDEX('AFA Rates'!$F$5:$F$1004,$T1673))))</f>
        <v/>
      </c>
      <c r="I1673" s="50">
        <f>IF($T1673="","",IF($S1673="S",IF(INDEX(Firms!$H$5:$H$1004,$T1673)="","",INDEX(Firms!$H$5:$H$1004,$T1673)),IF(INDEX('AFA Rates'!$G$5:$G$1004,$T1673)="","",INDEX('AFA Rates'!$G$5:$G$1004,$T1673))))</f>
        <v/>
      </c>
      <c r="J1673" s="50">
        <f>IF($T1673="","",IF($S1673="S",IF(INDEX(Firms!$I$5:$I$1004,$T1673)="","",INDEX(Firms!$I$5:$I$1004,$T1673)),IF(INDEX('AFA Rates'!$H$5:$H$1004,$T1673)="","",INDEX('AFA Rates'!$H$5:$H$1004,$T1673))))</f>
        <v/>
      </c>
      <c r="K1673" s="50">
        <f>IF($T1673="","",IF($S1673="S",IF(INDEX(Firms!$J$5:$J$1004,$T1673)="","",INDEX(Firms!$J$5:$J$1004,$T1673)),IF(INDEX('AFA Rates'!$I$5:$I$1004,$T1673)="","",INDEX('AFA Rates'!$I$5:$I$1004,$T1673))))</f>
        <v/>
      </c>
      <c r="L1673" s="50">
        <f>IF($T1673="","",IF($S1673="S",IF(INDEX(Firms!$K$5:$K$1004,$T1673)="","",INDEX(Firms!$K$5:$K$1004,$T1673)),IF(INDEX('AFA Rates'!$J$5:$J$1004,$T1673)="","",INDEX('AFA Rates'!$J$5:$J$1004,$T1673))))</f>
        <v/>
      </c>
      <c r="M1673" s="50">
        <f>IF($T1673="","",IF($S1673="S",IF(INDEX(Firms!$L$5:$L$1004,$T1673)="","",INDEX(Firms!$L$5:$L$1004,$T1673)),IF(INDEX('AFA Rates'!$K$5:$K$1004,$T1673)="","",INDEX('AFA Rates'!$K$5:$K$1004,$T1673))))</f>
        <v/>
      </c>
      <c r="N1673" s="50">
        <f>IF($T1673="","",IF($S1673="S",IF(INDEX(Firms!$M$5:$M$1004,$T1673)="","",INDEX(Firms!$M$5:$M$1004,$T1673)),IF(INDEX('AFA Rates'!$L$5:$L$1004,$T1673)="","",INDEX('AFA Rates'!$L$5:$L$1004,$T1673))))</f>
        <v/>
      </c>
      <c r="O1673" s="78">
        <f>IF(OR($T1673="",$U1673=""),"",IF(INDEX(Firms!$C$5:$C$1004,$U1673)="","",INDEX(Firms!$C$5:$C$1004,$U1673)))</f>
        <v/>
      </c>
      <c r="P1673" s="79">
        <f>IF(OR($T1673="",$U1673=""),"",IF(INDEX(Firms!$N$5:$N$1004,$U1673)="","",INDEX(Firms!$N$5:$N$1004,$U1673)))</f>
        <v/>
      </c>
      <c r="Q1673" s="78">
        <f>IF($T1673="","",IF($S1673="S",IF(INDEX(Firms!$T$5:$T$1004,$T1673)="","",INDEX(Firms!$T$5:$T$1004,$T1673)),IF(INDEX('AFA Rates'!$M$5:$M$1004,$T1673)="","",INDEX('AFA Rates'!$M$5:$M$1004,$T1673))))</f>
        <v/>
      </c>
      <c r="S1673">
        <f>IF(1669&lt;=$S$2,"S",IF(1669&lt;=$S$2+$T$2,"A",""))</f>
        <v/>
      </c>
      <c r="T1673">
        <f>IF(S1673="S",MATCH(1669,Firms!$W$5:$W$1004,0),IF(S1673="A",IFERROR(MATCH(1669-$S$2,'AFA Rates'!$R$5:$R$1004,0),""),""))</f>
        <v/>
      </c>
      <c r="U1673">
        <f>IF(S1673="S",T1673,IF(AND(S1673="A",T1673&lt;&gt;""),IFERROR(MATCH(INDEX('AFA Rates'!$A$5:$A$1004,T1673),Firms!$A$5:$A$1004,0),""),""))</f>
        <v/>
      </c>
    </row>
    <row r="1674">
      <c r="A1674" s="78">
        <f>IF($T1674="","",IF($S1674="S",IF(INDEX(Firms!$A$5:$A$1004,$T1674)="","",INDEX(Firms!$A$5:$A$1004,$T1674)),IF(INDEX('AFA Rates'!$A$5:$A$1004,$T1674)="","",INDEX('AFA Rates'!$A$5:$A$1004,$T1674))))</f>
        <v/>
      </c>
      <c r="B1674" s="79">
        <f>IF(OR($T1674="",$U1674=""),IF($T1674="","","Not on Firms tab"),INDEX(Firms!$B$5:$B$1004,$U1674)&amp;"")</f>
        <v/>
      </c>
      <c r="C1674" s="78">
        <f>IF($T1674="","",IF($S1674="S","Standard",INDEX('AFA Rates'!$B$5:$B$1004,$T1674)&amp;""))</f>
        <v/>
      </c>
      <c r="D1674" s="88">
        <f>IF($T1674="","",IF($S1674="S",IF(INDEX(Firms!$E$5:$E$1004,$T1674)="","",INDEX(Firms!$E$5:$E$1004,$T1674)),IF(INDEX('AFA Rates'!$C$5:$C$1004,$T1674)="","",INDEX('AFA Rates'!$C$5:$C$1004,$T1674))))</f>
        <v/>
      </c>
      <c r="E1674" s="88">
        <f>IF($T1674="","",IF($S1674="S",IF(""="","",""),IF(INDEX('AFA Rates'!$D$5:$D$1004,$T1674)="","",INDEX('AFA Rates'!$D$5:$D$1004,$T1674))))</f>
        <v/>
      </c>
      <c r="F1674" s="79">
        <f>IF($T1674="","",IF($S1674="S",IF(INDEX(Firms!$O$5:$O$1004,$T1674)="","",INDEX(Firms!$O$5:$O$1004,$T1674)),IF(INDEX('AFA Rates'!$O$5:$O$1004,$T1674)="","",INDEX('AFA Rates'!$O$5:$O$1004,$T1674))))</f>
        <v/>
      </c>
      <c r="G1674" s="50">
        <f>IF($T1674="","",IF($S1674="S",IF(INDEX(Firms!$F$5:$F$1004,$T1674)="","",INDEX(Firms!$F$5:$F$1004,$T1674)),IF(INDEX('AFA Rates'!$E$5:$E$1004,$T1674)="","",INDEX('AFA Rates'!$E$5:$E$1004,$T1674))))</f>
        <v/>
      </c>
      <c r="H1674" s="50">
        <f>IF($T1674="","",IF($S1674="S",IF(INDEX(Firms!$G$5:$G$1004,$T1674)="","",INDEX(Firms!$G$5:$G$1004,$T1674)),IF(INDEX('AFA Rates'!$F$5:$F$1004,$T1674)="","",INDEX('AFA Rates'!$F$5:$F$1004,$T1674))))</f>
        <v/>
      </c>
      <c r="I1674" s="50">
        <f>IF($T1674="","",IF($S1674="S",IF(INDEX(Firms!$H$5:$H$1004,$T1674)="","",INDEX(Firms!$H$5:$H$1004,$T1674)),IF(INDEX('AFA Rates'!$G$5:$G$1004,$T1674)="","",INDEX('AFA Rates'!$G$5:$G$1004,$T1674))))</f>
        <v/>
      </c>
      <c r="J1674" s="50">
        <f>IF($T1674="","",IF($S1674="S",IF(INDEX(Firms!$I$5:$I$1004,$T1674)="","",INDEX(Firms!$I$5:$I$1004,$T1674)),IF(INDEX('AFA Rates'!$H$5:$H$1004,$T1674)="","",INDEX('AFA Rates'!$H$5:$H$1004,$T1674))))</f>
        <v/>
      </c>
      <c r="K1674" s="50">
        <f>IF($T1674="","",IF($S1674="S",IF(INDEX(Firms!$J$5:$J$1004,$T1674)="","",INDEX(Firms!$J$5:$J$1004,$T1674)),IF(INDEX('AFA Rates'!$I$5:$I$1004,$T1674)="","",INDEX('AFA Rates'!$I$5:$I$1004,$T1674))))</f>
        <v/>
      </c>
      <c r="L1674" s="50">
        <f>IF($T1674="","",IF($S1674="S",IF(INDEX(Firms!$K$5:$K$1004,$T1674)="","",INDEX(Firms!$K$5:$K$1004,$T1674)),IF(INDEX('AFA Rates'!$J$5:$J$1004,$T1674)="","",INDEX('AFA Rates'!$J$5:$J$1004,$T1674))))</f>
        <v/>
      </c>
      <c r="M1674" s="50">
        <f>IF($T1674="","",IF($S1674="S",IF(INDEX(Firms!$L$5:$L$1004,$T1674)="","",INDEX(Firms!$L$5:$L$1004,$T1674)),IF(INDEX('AFA Rates'!$K$5:$K$1004,$T1674)="","",INDEX('AFA Rates'!$K$5:$K$1004,$T1674))))</f>
        <v/>
      </c>
      <c r="N1674" s="50">
        <f>IF($T1674="","",IF($S1674="S",IF(INDEX(Firms!$M$5:$M$1004,$T1674)="","",INDEX(Firms!$M$5:$M$1004,$T1674)),IF(INDEX('AFA Rates'!$L$5:$L$1004,$T1674)="","",INDEX('AFA Rates'!$L$5:$L$1004,$T1674))))</f>
        <v/>
      </c>
      <c r="O1674" s="78">
        <f>IF(OR($T1674="",$U1674=""),"",IF(INDEX(Firms!$C$5:$C$1004,$U1674)="","",INDEX(Firms!$C$5:$C$1004,$U1674)))</f>
        <v/>
      </c>
      <c r="P1674" s="79">
        <f>IF(OR($T1674="",$U1674=""),"",IF(INDEX(Firms!$N$5:$N$1004,$U1674)="","",INDEX(Firms!$N$5:$N$1004,$U1674)))</f>
        <v/>
      </c>
      <c r="Q1674" s="78">
        <f>IF($T1674="","",IF($S1674="S",IF(INDEX(Firms!$T$5:$T$1004,$T1674)="","",INDEX(Firms!$T$5:$T$1004,$T1674)),IF(INDEX('AFA Rates'!$M$5:$M$1004,$T1674)="","",INDEX('AFA Rates'!$M$5:$M$1004,$T1674))))</f>
        <v/>
      </c>
      <c r="S1674">
        <f>IF(1670&lt;=$S$2,"S",IF(1670&lt;=$S$2+$T$2,"A",""))</f>
        <v/>
      </c>
      <c r="T1674">
        <f>IF(S1674="S",MATCH(1670,Firms!$W$5:$W$1004,0),IF(S1674="A",IFERROR(MATCH(1670-$S$2,'AFA Rates'!$R$5:$R$1004,0),""),""))</f>
        <v/>
      </c>
      <c r="U1674">
        <f>IF(S1674="S",T1674,IF(AND(S1674="A",T1674&lt;&gt;""),IFERROR(MATCH(INDEX('AFA Rates'!$A$5:$A$1004,T1674),Firms!$A$5:$A$1004,0),""),""))</f>
        <v/>
      </c>
    </row>
    <row r="1675">
      <c r="A1675" s="78">
        <f>IF($T1675="","",IF($S1675="S",IF(INDEX(Firms!$A$5:$A$1004,$T1675)="","",INDEX(Firms!$A$5:$A$1004,$T1675)),IF(INDEX('AFA Rates'!$A$5:$A$1004,$T1675)="","",INDEX('AFA Rates'!$A$5:$A$1004,$T1675))))</f>
        <v/>
      </c>
      <c r="B1675" s="79">
        <f>IF(OR($T1675="",$U1675=""),IF($T1675="","","Not on Firms tab"),INDEX(Firms!$B$5:$B$1004,$U1675)&amp;"")</f>
        <v/>
      </c>
      <c r="C1675" s="78">
        <f>IF($T1675="","",IF($S1675="S","Standard",INDEX('AFA Rates'!$B$5:$B$1004,$T1675)&amp;""))</f>
        <v/>
      </c>
      <c r="D1675" s="88">
        <f>IF($T1675="","",IF($S1675="S",IF(INDEX(Firms!$E$5:$E$1004,$T1675)="","",INDEX(Firms!$E$5:$E$1004,$T1675)),IF(INDEX('AFA Rates'!$C$5:$C$1004,$T1675)="","",INDEX('AFA Rates'!$C$5:$C$1004,$T1675))))</f>
        <v/>
      </c>
      <c r="E1675" s="88">
        <f>IF($T1675="","",IF($S1675="S",IF(""="","",""),IF(INDEX('AFA Rates'!$D$5:$D$1004,$T1675)="","",INDEX('AFA Rates'!$D$5:$D$1004,$T1675))))</f>
        <v/>
      </c>
      <c r="F1675" s="79">
        <f>IF($T1675="","",IF($S1675="S",IF(INDEX(Firms!$O$5:$O$1004,$T1675)="","",INDEX(Firms!$O$5:$O$1004,$T1675)),IF(INDEX('AFA Rates'!$O$5:$O$1004,$T1675)="","",INDEX('AFA Rates'!$O$5:$O$1004,$T1675))))</f>
        <v/>
      </c>
      <c r="G1675" s="50">
        <f>IF($T1675="","",IF($S1675="S",IF(INDEX(Firms!$F$5:$F$1004,$T1675)="","",INDEX(Firms!$F$5:$F$1004,$T1675)),IF(INDEX('AFA Rates'!$E$5:$E$1004,$T1675)="","",INDEX('AFA Rates'!$E$5:$E$1004,$T1675))))</f>
        <v/>
      </c>
      <c r="H1675" s="50">
        <f>IF($T1675="","",IF($S1675="S",IF(INDEX(Firms!$G$5:$G$1004,$T1675)="","",INDEX(Firms!$G$5:$G$1004,$T1675)),IF(INDEX('AFA Rates'!$F$5:$F$1004,$T1675)="","",INDEX('AFA Rates'!$F$5:$F$1004,$T1675))))</f>
        <v/>
      </c>
      <c r="I1675" s="50">
        <f>IF($T1675="","",IF($S1675="S",IF(INDEX(Firms!$H$5:$H$1004,$T1675)="","",INDEX(Firms!$H$5:$H$1004,$T1675)),IF(INDEX('AFA Rates'!$G$5:$G$1004,$T1675)="","",INDEX('AFA Rates'!$G$5:$G$1004,$T1675))))</f>
        <v/>
      </c>
      <c r="J1675" s="50">
        <f>IF($T1675="","",IF($S1675="S",IF(INDEX(Firms!$I$5:$I$1004,$T1675)="","",INDEX(Firms!$I$5:$I$1004,$T1675)),IF(INDEX('AFA Rates'!$H$5:$H$1004,$T1675)="","",INDEX('AFA Rates'!$H$5:$H$1004,$T1675))))</f>
        <v/>
      </c>
      <c r="K1675" s="50">
        <f>IF($T1675="","",IF($S1675="S",IF(INDEX(Firms!$J$5:$J$1004,$T1675)="","",INDEX(Firms!$J$5:$J$1004,$T1675)),IF(INDEX('AFA Rates'!$I$5:$I$1004,$T1675)="","",INDEX('AFA Rates'!$I$5:$I$1004,$T1675))))</f>
        <v/>
      </c>
      <c r="L1675" s="50">
        <f>IF($T1675="","",IF($S1675="S",IF(INDEX(Firms!$K$5:$K$1004,$T1675)="","",INDEX(Firms!$K$5:$K$1004,$T1675)),IF(INDEX('AFA Rates'!$J$5:$J$1004,$T1675)="","",INDEX('AFA Rates'!$J$5:$J$1004,$T1675))))</f>
        <v/>
      </c>
      <c r="M1675" s="50">
        <f>IF($T1675="","",IF($S1675="S",IF(INDEX(Firms!$L$5:$L$1004,$T1675)="","",INDEX(Firms!$L$5:$L$1004,$T1675)),IF(INDEX('AFA Rates'!$K$5:$K$1004,$T1675)="","",INDEX('AFA Rates'!$K$5:$K$1004,$T1675))))</f>
        <v/>
      </c>
      <c r="N1675" s="50">
        <f>IF($T1675="","",IF($S1675="S",IF(INDEX(Firms!$M$5:$M$1004,$T1675)="","",INDEX(Firms!$M$5:$M$1004,$T1675)),IF(INDEX('AFA Rates'!$L$5:$L$1004,$T1675)="","",INDEX('AFA Rates'!$L$5:$L$1004,$T1675))))</f>
        <v/>
      </c>
      <c r="O1675" s="78">
        <f>IF(OR($T1675="",$U1675=""),"",IF(INDEX(Firms!$C$5:$C$1004,$U1675)="","",INDEX(Firms!$C$5:$C$1004,$U1675)))</f>
        <v/>
      </c>
      <c r="P1675" s="79">
        <f>IF(OR($T1675="",$U1675=""),"",IF(INDEX(Firms!$N$5:$N$1004,$U1675)="","",INDEX(Firms!$N$5:$N$1004,$U1675)))</f>
        <v/>
      </c>
      <c r="Q1675" s="78">
        <f>IF($T1675="","",IF($S1675="S",IF(INDEX(Firms!$T$5:$T$1004,$T1675)="","",INDEX(Firms!$T$5:$T$1004,$T1675)),IF(INDEX('AFA Rates'!$M$5:$M$1004,$T1675)="","",INDEX('AFA Rates'!$M$5:$M$1004,$T1675))))</f>
        <v/>
      </c>
      <c r="S1675">
        <f>IF(1671&lt;=$S$2,"S",IF(1671&lt;=$S$2+$T$2,"A",""))</f>
        <v/>
      </c>
      <c r="T1675">
        <f>IF(S1675="S",MATCH(1671,Firms!$W$5:$W$1004,0),IF(S1675="A",IFERROR(MATCH(1671-$S$2,'AFA Rates'!$R$5:$R$1004,0),""),""))</f>
        <v/>
      </c>
      <c r="U1675">
        <f>IF(S1675="S",T1675,IF(AND(S1675="A",T1675&lt;&gt;""),IFERROR(MATCH(INDEX('AFA Rates'!$A$5:$A$1004,T1675),Firms!$A$5:$A$1004,0),""),""))</f>
        <v/>
      </c>
    </row>
    <row r="1676">
      <c r="A1676" s="78">
        <f>IF($T1676="","",IF($S1676="S",IF(INDEX(Firms!$A$5:$A$1004,$T1676)="","",INDEX(Firms!$A$5:$A$1004,$T1676)),IF(INDEX('AFA Rates'!$A$5:$A$1004,$T1676)="","",INDEX('AFA Rates'!$A$5:$A$1004,$T1676))))</f>
        <v/>
      </c>
      <c r="B1676" s="79">
        <f>IF(OR($T1676="",$U1676=""),IF($T1676="","","Not on Firms tab"),INDEX(Firms!$B$5:$B$1004,$U1676)&amp;"")</f>
        <v/>
      </c>
      <c r="C1676" s="78">
        <f>IF($T1676="","",IF($S1676="S","Standard",INDEX('AFA Rates'!$B$5:$B$1004,$T1676)&amp;""))</f>
        <v/>
      </c>
      <c r="D1676" s="88">
        <f>IF($T1676="","",IF($S1676="S",IF(INDEX(Firms!$E$5:$E$1004,$T1676)="","",INDEX(Firms!$E$5:$E$1004,$T1676)),IF(INDEX('AFA Rates'!$C$5:$C$1004,$T1676)="","",INDEX('AFA Rates'!$C$5:$C$1004,$T1676))))</f>
        <v/>
      </c>
      <c r="E1676" s="88">
        <f>IF($T1676="","",IF($S1676="S",IF(""="","",""),IF(INDEX('AFA Rates'!$D$5:$D$1004,$T1676)="","",INDEX('AFA Rates'!$D$5:$D$1004,$T1676))))</f>
        <v/>
      </c>
      <c r="F1676" s="79">
        <f>IF($T1676="","",IF($S1676="S",IF(INDEX(Firms!$O$5:$O$1004,$T1676)="","",INDEX(Firms!$O$5:$O$1004,$T1676)),IF(INDEX('AFA Rates'!$O$5:$O$1004,$T1676)="","",INDEX('AFA Rates'!$O$5:$O$1004,$T1676))))</f>
        <v/>
      </c>
      <c r="G1676" s="50">
        <f>IF($T1676="","",IF($S1676="S",IF(INDEX(Firms!$F$5:$F$1004,$T1676)="","",INDEX(Firms!$F$5:$F$1004,$T1676)),IF(INDEX('AFA Rates'!$E$5:$E$1004,$T1676)="","",INDEX('AFA Rates'!$E$5:$E$1004,$T1676))))</f>
        <v/>
      </c>
      <c r="H1676" s="50">
        <f>IF($T1676="","",IF($S1676="S",IF(INDEX(Firms!$G$5:$G$1004,$T1676)="","",INDEX(Firms!$G$5:$G$1004,$T1676)),IF(INDEX('AFA Rates'!$F$5:$F$1004,$T1676)="","",INDEX('AFA Rates'!$F$5:$F$1004,$T1676))))</f>
        <v/>
      </c>
      <c r="I1676" s="50">
        <f>IF($T1676="","",IF($S1676="S",IF(INDEX(Firms!$H$5:$H$1004,$T1676)="","",INDEX(Firms!$H$5:$H$1004,$T1676)),IF(INDEX('AFA Rates'!$G$5:$G$1004,$T1676)="","",INDEX('AFA Rates'!$G$5:$G$1004,$T1676))))</f>
        <v/>
      </c>
      <c r="J1676" s="50">
        <f>IF($T1676="","",IF($S1676="S",IF(INDEX(Firms!$I$5:$I$1004,$T1676)="","",INDEX(Firms!$I$5:$I$1004,$T1676)),IF(INDEX('AFA Rates'!$H$5:$H$1004,$T1676)="","",INDEX('AFA Rates'!$H$5:$H$1004,$T1676))))</f>
        <v/>
      </c>
      <c r="K1676" s="50">
        <f>IF($T1676="","",IF($S1676="S",IF(INDEX(Firms!$J$5:$J$1004,$T1676)="","",INDEX(Firms!$J$5:$J$1004,$T1676)),IF(INDEX('AFA Rates'!$I$5:$I$1004,$T1676)="","",INDEX('AFA Rates'!$I$5:$I$1004,$T1676))))</f>
        <v/>
      </c>
      <c r="L1676" s="50">
        <f>IF($T1676="","",IF($S1676="S",IF(INDEX(Firms!$K$5:$K$1004,$T1676)="","",INDEX(Firms!$K$5:$K$1004,$T1676)),IF(INDEX('AFA Rates'!$J$5:$J$1004,$T1676)="","",INDEX('AFA Rates'!$J$5:$J$1004,$T1676))))</f>
        <v/>
      </c>
      <c r="M1676" s="50">
        <f>IF($T1676="","",IF($S1676="S",IF(INDEX(Firms!$L$5:$L$1004,$T1676)="","",INDEX(Firms!$L$5:$L$1004,$T1676)),IF(INDEX('AFA Rates'!$K$5:$K$1004,$T1676)="","",INDEX('AFA Rates'!$K$5:$K$1004,$T1676))))</f>
        <v/>
      </c>
      <c r="N1676" s="50">
        <f>IF($T1676="","",IF($S1676="S",IF(INDEX(Firms!$M$5:$M$1004,$T1676)="","",INDEX(Firms!$M$5:$M$1004,$T1676)),IF(INDEX('AFA Rates'!$L$5:$L$1004,$T1676)="","",INDEX('AFA Rates'!$L$5:$L$1004,$T1676))))</f>
        <v/>
      </c>
      <c r="O1676" s="78">
        <f>IF(OR($T1676="",$U1676=""),"",IF(INDEX(Firms!$C$5:$C$1004,$U1676)="","",INDEX(Firms!$C$5:$C$1004,$U1676)))</f>
        <v/>
      </c>
      <c r="P1676" s="79">
        <f>IF(OR($T1676="",$U1676=""),"",IF(INDEX(Firms!$N$5:$N$1004,$U1676)="","",INDEX(Firms!$N$5:$N$1004,$U1676)))</f>
        <v/>
      </c>
      <c r="Q1676" s="78">
        <f>IF($T1676="","",IF($S1676="S",IF(INDEX(Firms!$T$5:$T$1004,$T1676)="","",INDEX(Firms!$T$5:$T$1004,$T1676)),IF(INDEX('AFA Rates'!$M$5:$M$1004,$T1676)="","",INDEX('AFA Rates'!$M$5:$M$1004,$T1676))))</f>
        <v/>
      </c>
      <c r="S1676">
        <f>IF(1672&lt;=$S$2,"S",IF(1672&lt;=$S$2+$T$2,"A",""))</f>
        <v/>
      </c>
      <c r="T1676">
        <f>IF(S1676="S",MATCH(1672,Firms!$W$5:$W$1004,0),IF(S1676="A",IFERROR(MATCH(1672-$S$2,'AFA Rates'!$R$5:$R$1004,0),""),""))</f>
        <v/>
      </c>
      <c r="U1676">
        <f>IF(S1676="S",T1676,IF(AND(S1676="A",T1676&lt;&gt;""),IFERROR(MATCH(INDEX('AFA Rates'!$A$5:$A$1004,T1676),Firms!$A$5:$A$1004,0),""),""))</f>
        <v/>
      </c>
    </row>
    <row r="1677">
      <c r="A1677" s="78">
        <f>IF($T1677="","",IF($S1677="S",IF(INDEX(Firms!$A$5:$A$1004,$T1677)="","",INDEX(Firms!$A$5:$A$1004,$T1677)),IF(INDEX('AFA Rates'!$A$5:$A$1004,$T1677)="","",INDEX('AFA Rates'!$A$5:$A$1004,$T1677))))</f>
        <v/>
      </c>
      <c r="B1677" s="79">
        <f>IF(OR($T1677="",$U1677=""),IF($T1677="","","Not on Firms tab"),INDEX(Firms!$B$5:$B$1004,$U1677)&amp;"")</f>
        <v/>
      </c>
      <c r="C1677" s="78">
        <f>IF($T1677="","",IF($S1677="S","Standard",INDEX('AFA Rates'!$B$5:$B$1004,$T1677)&amp;""))</f>
        <v/>
      </c>
      <c r="D1677" s="88">
        <f>IF($T1677="","",IF($S1677="S",IF(INDEX(Firms!$E$5:$E$1004,$T1677)="","",INDEX(Firms!$E$5:$E$1004,$T1677)),IF(INDEX('AFA Rates'!$C$5:$C$1004,$T1677)="","",INDEX('AFA Rates'!$C$5:$C$1004,$T1677))))</f>
        <v/>
      </c>
      <c r="E1677" s="88">
        <f>IF($T1677="","",IF($S1677="S",IF(""="","",""),IF(INDEX('AFA Rates'!$D$5:$D$1004,$T1677)="","",INDEX('AFA Rates'!$D$5:$D$1004,$T1677))))</f>
        <v/>
      </c>
      <c r="F1677" s="79">
        <f>IF($T1677="","",IF($S1677="S",IF(INDEX(Firms!$O$5:$O$1004,$T1677)="","",INDEX(Firms!$O$5:$O$1004,$T1677)),IF(INDEX('AFA Rates'!$O$5:$O$1004,$T1677)="","",INDEX('AFA Rates'!$O$5:$O$1004,$T1677))))</f>
        <v/>
      </c>
      <c r="G1677" s="50">
        <f>IF($T1677="","",IF($S1677="S",IF(INDEX(Firms!$F$5:$F$1004,$T1677)="","",INDEX(Firms!$F$5:$F$1004,$T1677)),IF(INDEX('AFA Rates'!$E$5:$E$1004,$T1677)="","",INDEX('AFA Rates'!$E$5:$E$1004,$T1677))))</f>
        <v/>
      </c>
      <c r="H1677" s="50">
        <f>IF($T1677="","",IF($S1677="S",IF(INDEX(Firms!$G$5:$G$1004,$T1677)="","",INDEX(Firms!$G$5:$G$1004,$T1677)),IF(INDEX('AFA Rates'!$F$5:$F$1004,$T1677)="","",INDEX('AFA Rates'!$F$5:$F$1004,$T1677))))</f>
        <v/>
      </c>
      <c r="I1677" s="50">
        <f>IF($T1677="","",IF($S1677="S",IF(INDEX(Firms!$H$5:$H$1004,$T1677)="","",INDEX(Firms!$H$5:$H$1004,$T1677)),IF(INDEX('AFA Rates'!$G$5:$G$1004,$T1677)="","",INDEX('AFA Rates'!$G$5:$G$1004,$T1677))))</f>
        <v/>
      </c>
      <c r="J1677" s="50">
        <f>IF($T1677="","",IF($S1677="S",IF(INDEX(Firms!$I$5:$I$1004,$T1677)="","",INDEX(Firms!$I$5:$I$1004,$T1677)),IF(INDEX('AFA Rates'!$H$5:$H$1004,$T1677)="","",INDEX('AFA Rates'!$H$5:$H$1004,$T1677))))</f>
        <v/>
      </c>
      <c r="K1677" s="50">
        <f>IF($T1677="","",IF($S1677="S",IF(INDEX(Firms!$J$5:$J$1004,$T1677)="","",INDEX(Firms!$J$5:$J$1004,$T1677)),IF(INDEX('AFA Rates'!$I$5:$I$1004,$T1677)="","",INDEX('AFA Rates'!$I$5:$I$1004,$T1677))))</f>
        <v/>
      </c>
      <c r="L1677" s="50">
        <f>IF($T1677="","",IF($S1677="S",IF(INDEX(Firms!$K$5:$K$1004,$T1677)="","",INDEX(Firms!$K$5:$K$1004,$T1677)),IF(INDEX('AFA Rates'!$J$5:$J$1004,$T1677)="","",INDEX('AFA Rates'!$J$5:$J$1004,$T1677))))</f>
        <v/>
      </c>
      <c r="M1677" s="50">
        <f>IF($T1677="","",IF($S1677="S",IF(INDEX(Firms!$L$5:$L$1004,$T1677)="","",INDEX(Firms!$L$5:$L$1004,$T1677)),IF(INDEX('AFA Rates'!$K$5:$K$1004,$T1677)="","",INDEX('AFA Rates'!$K$5:$K$1004,$T1677))))</f>
        <v/>
      </c>
      <c r="N1677" s="50">
        <f>IF($T1677="","",IF($S1677="S",IF(INDEX(Firms!$M$5:$M$1004,$T1677)="","",INDEX(Firms!$M$5:$M$1004,$T1677)),IF(INDEX('AFA Rates'!$L$5:$L$1004,$T1677)="","",INDEX('AFA Rates'!$L$5:$L$1004,$T1677))))</f>
        <v/>
      </c>
      <c r="O1677" s="78">
        <f>IF(OR($T1677="",$U1677=""),"",IF(INDEX(Firms!$C$5:$C$1004,$U1677)="","",INDEX(Firms!$C$5:$C$1004,$U1677)))</f>
        <v/>
      </c>
      <c r="P1677" s="79">
        <f>IF(OR($T1677="",$U1677=""),"",IF(INDEX(Firms!$N$5:$N$1004,$U1677)="","",INDEX(Firms!$N$5:$N$1004,$U1677)))</f>
        <v/>
      </c>
      <c r="Q1677" s="78">
        <f>IF($T1677="","",IF($S1677="S",IF(INDEX(Firms!$T$5:$T$1004,$T1677)="","",INDEX(Firms!$T$5:$T$1004,$T1677)),IF(INDEX('AFA Rates'!$M$5:$M$1004,$T1677)="","",INDEX('AFA Rates'!$M$5:$M$1004,$T1677))))</f>
        <v/>
      </c>
      <c r="S1677">
        <f>IF(1673&lt;=$S$2,"S",IF(1673&lt;=$S$2+$T$2,"A",""))</f>
        <v/>
      </c>
      <c r="T1677">
        <f>IF(S1677="S",MATCH(1673,Firms!$W$5:$W$1004,0),IF(S1677="A",IFERROR(MATCH(1673-$S$2,'AFA Rates'!$R$5:$R$1004,0),""),""))</f>
        <v/>
      </c>
      <c r="U1677">
        <f>IF(S1677="S",T1677,IF(AND(S1677="A",T1677&lt;&gt;""),IFERROR(MATCH(INDEX('AFA Rates'!$A$5:$A$1004,T1677),Firms!$A$5:$A$1004,0),""),""))</f>
        <v/>
      </c>
    </row>
    <row r="1678">
      <c r="A1678" s="78">
        <f>IF($T1678="","",IF($S1678="S",IF(INDEX(Firms!$A$5:$A$1004,$T1678)="","",INDEX(Firms!$A$5:$A$1004,$T1678)),IF(INDEX('AFA Rates'!$A$5:$A$1004,$T1678)="","",INDEX('AFA Rates'!$A$5:$A$1004,$T1678))))</f>
        <v/>
      </c>
      <c r="B1678" s="79">
        <f>IF(OR($T1678="",$U1678=""),IF($T1678="","","Not on Firms tab"),INDEX(Firms!$B$5:$B$1004,$U1678)&amp;"")</f>
        <v/>
      </c>
      <c r="C1678" s="78">
        <f>IF($T1678="","",IF($S1678="S","Standard",INDEX('AFA Rates'!$B$5:$B$1004,$T1678)&amp;""))</f>
        <v/>
      </c>
      <c r="D1678" s="88">
        <f>IF($T1678="","",IF($S1678="S",IF(INDEX(Firms!$E$5:$E$1004,$T1678)="","",INDEX(Firms!$E$5:$E$1004,$T1678)),IF(INDEX('AFA Rates'!$C$5:$C$1004,$T1678)="","",INDEX('AFA Rates'!$C$5:$C$1004,$T1678))))</f>
        <v/>
      </c>
      <c r="E1678" s="88">
        <f>IF($T1678="","",IF($S1678="S",IF(""="","",""),IF(INDEX('AFA Rates'!$D$5:$D$1004,$T1678)="","",INDEX('AFA Rates'!$D$5:$D$1004,$T1678))))</f>
        <v/>
      </c>
      <c r="F1678" s="79">
        <f>IF($T1678="","",IF($S1678="S",IF(INDEX(Firms!$O$5:$O$1004,$T1678)="","",INDEX(Firms!$O$5:$O$1004,$T1678)),IF(INDEX('AFA Rates'!$O$5:$O$1004,$T1678)="","",INDEX('AFA Rates'!$O$5:$O$1004,$T1678))))</f>
        <v/>
      </c>
      <c r="G1678" s="50">
        <f>IF($T1678="","",IF($S1678="S",IF(INDEX(Firms!$F$5:$F$1004,$T1678)="","",INDEX(Firms!$F$5:$F$1004,$T1678)),IF(INDEX('AFA Rates'!$E$5:$E$1004,$T1678)="","",INDEX('AFA Rates'!$E$5:$E$1004,$T1678))))</f>
        <v/>
      </c>
      <c r="H1678" s="50">
        <f>IF($T1678="","",IF($S1678="S",IF(INDEX(Firms!$G$5:$G$1004,$T1678)="","",INDEX(Firms!$G$5:$G$1004,$T1678)),IF(INDEX('AFA Rates'!$F$5:$F$1004,$T1678)="","",INDEX('AFA Rates'!$F$5:$F$1004,$T1678))))</f>
        <v/>
      </c>
      <c r="I1678" s="50">
        <f>IF($T1678="","",IF($S1678="S",IF(INDEX(Firms!$H$5:$H$1004,$T1678)="","",INDEX(Firms!$H$5:$H$1004,$T1678)),IF(INDEX('AFA Rates'!$G$5:$G$1004,$T1678)="","",INDEX('AFA Rates'!$G$5:$G$1004,$T1678))))</f>
        <v/>
      </c>
      <c r="J1678" s="50">
        <f>IF($T1678="","",IF($S1678="S",IF(INDEX(Firms!$I$5:$I$1004,$T1678)="","",INDEX(Firms!$I$5:$I$1004,$T1678)),IF(INDEX('AFA Rates'!$H$5:$H$1004,$T1678)="","",INDEX('AFA Rates'!$H$5:$H$1004,$T1678))))</f>
        <v/>
      </c>
      <c r="K1678" s="50">
        <f>IF($T1678="","",IF($S1678="S",IF(INDEX(Firms!$J$5:$J$1004,$T1678)="","",INDEX(Firms!$J$5:$J$1004,$T1678)),IF(INDEX('AFA Rates'!$I$5:$I$1004,$T1678)="","",INDEX('AFA Rates'!$I$5:$I$1004,$T1678))))</f>
        <v/>
      </c>
      <c r="L1678" s="50">
        <f>IF($T1678="","",IF($S1678="S",IF(INDEX(Firms!$K$5:$K$1004,$T1678)="","",INDEX(Firms!$K$5:$K$1004,$T1678)),IF(INDEX('AFA Rates'!$J$5:$J$1004,$T1678)="","",INDEX('AFA Rates'!$J$5:$J$1004,$T1678))))</f>
        <v/>
      </c>
      <c r="M1678" s="50">
        <f>IF($T1678="","",IF($S1678="S",IF(INDEX(Firms!$L$5:$L$1004,$T1678)="","",INDEX(Firms!$L$5:$L$1004,$T1678)),IF(INDEX('AFA Rates'!$K$5:$K$1004,$T1678)="","",INDEX('AFA Rates'!$K$5:$K$1004,$T1678))))</f>
        <v/>
      </c>
      <c r="N1678" s="50">
        <f>IF($T1678="","",IF($S1678="S",IF(INDEX(Firms!$M$5:$M$1004,$T1678)="","",INDEX(Firms!$M$5:$M$1004,$T1678)),IF(INDEX('AFA Rates'!$L$5:$L$1004,$T1678)="","",INDEX('AFA Rates'!$L$5:$L$1004,$T1678))))</f>
        <v/>
      </c>
      <c r="O1678" s="78">
        <f>IF(OR($T1678="",$U1678=""),"",IF(INDEX(Firms!$C$5:$C$1004,$U1678)="","",INDEX(Firms!$C$5:$C$1004,$U1678)))</f>
        <v/>
      </c>
      <c r="P1678" s="79">
        <f>IF(OR($T1678="",$U1678=""),"",IF(INDEX(Firms!$N$5:$N$1004,$U1678)="","",INDEX(Firms!$N$5:$N$1004,$U1678)))</f>
        <v/>
      </c>
      <c r="Q1678" s="78">
        <f>IF($T1678="","",IF($S1678="S",IF(INDEX(Firms!$T$5:$T$1004,$T1678)="","",INDEX(Firms!$T$5:$T$1004,$T1678)),IF(INDEX('AFA Rates'!$M$5:$M$1004,$T1678)="","",INDEX('AFA Rates'!$M$5:$M$1004,$T1678))))</f>
        <v/>
      </c>
      <c r="S1678">
        <f>IF(1674&lt;=$S$2,"S",IF(1674&lt;=$S$2+$T$2,"A",""))</f>
        <v/>
      </c>
      <c r="T1678">
        <f>IF(S1678="S",MATCH(1674,Firms!$W$5:$W$1004,0),IF(S1678="A",IFERROR(MATCH(1674-$S$2,'AFA Rates'!$R$5:$R$1004,0),""),""))</f>
        <v/>
      </c>
      <c r="U1678">
        <f>IF(S1678="S",T1678,IF(AND(S1678="A",T1678&lt;&gt;""),IFERROR(MATCH(INDEX('AFA Rates'!$A$5:$A$1004,T1678),Firms!$A$5:$A$1004,0),""),""))</f>
        <v/>
      </c>
    </row>
    <row r="1679">
      <c r="A1679" s="78">
        <f>IF($T1679="","",IF($S1679="S",IF(INDEX(Firms!$A$5:$A$1004,$T1679)="","",INDEX(Firms!$A$5:$A$1004,$T1679)),IF(INDEX('AFA Rates'!$A$5:$A$1004,$T1679)="","",INDEX('AFA Rates'!$A$5:$A$1004,$T1679))))</f>
        <v/>
      </c>
      <c r="B1679" s="79">
        <f>IF(OR($T1679="",$U1679=""),IF($T1679="","","Not on Firms tab"),INDEX(Firms!$B$5:$B$1004,$U1679)&amp;"")</f>
        <v/>
      </c>
      <c r="C1679" s="78">
        <f>IF($T1679="","",IF($S1679="S","Standard",INDEX('AFA Rates'!$B$5:$B$1004,$T1679)&amp;""))</f>
        <v/>
      </c>
      <c r="D1679" s="88">
        <f>IF($T1679="","",IF($S1679="S",IF(INDEX(Firms!$E$5:$E$1004,$T1679)="","",INDEX(Firms!$E$5:$E$1004,$T1679)),IF(INDEX('AFA Rates'!$C$5:$C$1004,$T1679)="","",INDEX('AFA Rates'!$C$5:$C$1004,$T1679))))</f>
        <v/>
      </c>
      <c r="E1679" s="88">
        <f>IF($T1679="","",IF($S1679="S",IF(""="","",""),IF(INDEX('AFA Rates'!$D$5:$D$1004,$T1679)="","",INDEX('AFA Rates'!$D$5:$D$1004,$T1679))))</f>
        <v/>
      </c>
      <c r="F1679" s="79">
        <f>IF($T1679="","",IF($S1679="S",IF(INDEX(Firms!$O$5:$O$1004,$T1679)="","",INDEX(Firms!$O$5:$O$1004,$T1679)),IF(INDEX('AFA Rates'!$O$5:$O$1004,$T1679)="","",INDEX('AFA Rates'!$O$5:$O$1004,$T1679))))</f>
        <v/>
      </c>
      <c r="G1679" s="50">
        <f>IF($T1679="","",IF($S1679="S",IF(INDEX(Firms!$F$5:$F$1004,$T1679)="","",INDEX(Firms!$F$5:$F$1004,$T1679)),IF(INDEX('AFA Rates'!$E$5:$E$1004,$T1679)="","",INDEX('AFA Rates'!$E$5:$E$1004,$T1679))))</f>
        <v/>
      </c>
      <c r="H1679" s="50">
        <f>IF($T1679="","",IF($S1679="S",IF(INDEX(Firms!$G$5:$G$1004,$T1679)="","",INDEX(Firms!$G$5:$G$1004,$T1679)),IF(INDEX('AFA Rates'!$F$5:$F$1004,$T1679)="","",INDEX('AFA Rates'!$F$5:$F$1004,$T1679))))</f>
        <v/>
      </c>
      <c r="I1679" s="50">
        <f>IF($T1679="","",IF($S1679="S",IF(INDEX(Firms!$H$5:$H$1004,$T1679)="","",INDEX(Firms!$H$5:$H$1004,$T1679)),IF(INDEX('AFA Rates'!$G$5:$G$1004,$T1679)="","",INDEX('AFA Rates'!$G$5:$G$1004,$T1679))))</f>
        <v/>
      </c>
      <c r="J1679" s="50">
        <f>IF($T1679="","",IF($S1679="S",IF(INDEX(Firms!$I$5:$I$1004,$T1679)="","",INDEX(Firms!$I$5:$I$1004,$T1679)),IF(INDEX('AFA Rates'!$H$5:$H$1004,$T1679)="","",INDEX('AFA Rates'!$H$5:$H$1004,$T1679))))</f>
        <v/>
      </c>
      <c r="K1679" s="50">
        <f>IF($T1679="","",IF($S1679="S",IF(INDEX(Firms!$J$5:$J$1004,$T1679)="","",INDEX(Firms!$J$5:$J$1004,$T1679)),IF(INDEX('AFA Rates'!$I$5:$I$1004,$T1679)="","",INDEX('AFA Rates'!$I$5:$I$1004,$T1679))))</f>
        <v/>
      </c>
      <c r="L1679" s="50">
        <f>IF($T1679="","",IF($S1679="S",IF(INDEX(Firms!$K$5:$K$1004,$T1679)="","",INDEX(Firms!$K$5:$K$1004,$T1679)),IF(INDEX('AFA Rates'!$J$5:$J$1004,$T1679)="","",INDEX('AFA Rates'!$J$5:$J$1004,$T1679))))</f>
        <v/>
      </c>
      <c r="M1679" s="50">
        <f>IF($T1679="","",IF($S1679="S",IF(INDEX(Firms!$L$5:$L$1004,$T1679)="","",INDEX(Firms!$L$5:$L$1004,$T1679)),IF(INDEX('AFA Rates'!$K$5:$K$1004,$T1679)="","",INDEX('AFA Rates'!$K$5:$K$1004,$T1679))))</f>
        <v/>
      </c>
      <c r="N1679" s="50">
        <f>IF($T1679="","",IF($S1679="S",IF(INDEX(Firms!$M$5:$M$1004,$T1679)="","",INDEX(Firms!$M$5:$M$1004,$T1679)),IF(INDEX('AFA Rates'!$L$5:$L$1004,$T1679)="","",INDEX('AFA Rates'!$L$5:$L$1004,$T1679))))</f>
        <v/>
      </c>
      <c r="O1679" s="78">
        <f>IF(OR($T1679="",$U1679=""),"",IF(INDEX(Firms!$C$5:$C$1004,$U1679)="","",INDEX(Firms!$C$5:$C$1004,$U1679)))</f>
        <v/>
      </c>
      <c r="P1679" s="79">
        <f>IF(OR($T1679="",$U1679=""),"",IF(INDEX(Firms!$N$5:$N$1004,$U1679)="","",INDEX(Firms!$N$5:$N$1004,$U1679)))</f>
        <v/>
      </c>
      <c r="Q1679" s="78">
        <f>IF($T1679="","",IF($S1679="S",IF(INDEX(Firms!$T$5:$T$1004,$T1679)="","",INDEX(Firms!$T$5:$T$1004,$T1679)),IF(INDEX('AFA Rates'!$M$5:$M$1004,$T1679)="","",INDEX('AFA Rates'!$M$5:$M$1004,$T1679))))</f>
        <v/>
      </c>
      <c r="S1679">
        <f>IF(1675&lt;=$S$2,"S",IF(1675&lt;=$S$2+$T$2,"A",""))</f>
        <v/>
      </c>
      <c r="T1679">
        <f>IF(S1679="S",MATCH(1675,Firms!$W$5:$W$1004,0),IF(S1679="A",IFERROR(MATCH(1675-$S$2,'AFA Rates'!$R$5:$R$1004,0),""),""))</f>
        <v/>
      </c>
      <c r="U1679">
        <f>IF(S1679="S",T1679,IF(AND(S1679="A",T1679&lt;&gt;""),IFERROR(MATCH(INDEX('AFA Rates'!$A$5:$A$1004,T1679),Firms!$A$5:$A$1004,0),""),""))</f>
        <v/>
      </c>
    </row>
    <row r="1680">
      <c r="A1680" s="78">
        <f>IF($T1680="","",IF($S1680="S",IF(INDEX(Firms!$A$5:$A$1004,$T1680)="","",INDEX(Firms!$A$5:$A$1004,$T1680)),IF(INDEX('AFA Rates'!$A$5:$A$1004,$T1680)="","",INDEX('AFA Rates'!$A$5:$A$1004,$T1680))))</f>
        <v/>
      </c>
      <c r="B1680" s="79">
        <f>IF(OR($T1680="",$U1680=""),IF($T1680="","","Not on Firms tab"),INDEX(Firms!$B$5:$B$1004,$U1680)&amp;"")</f>
        <v/>
      </c>
      <c r="C1680" s="78">
        <f>IF($T1680="","",IF($S1680="S","Standard",INDEX('AFA Rates'!$B$5:$B$1004,$T1680)&amp;""))</f>
        <v/>
      </c>
      <c r="D1680" s="88">
        <f>IF($T1680="","",IF($S1680="S",IF(INDEX(Firms!$E$5:$E$1004,$T1680)="","",INDEX(Firms!$E$5:$E$1004,$T1680)),IF(INDEX('AFA Rates'!$C$5:$C$1004,$T1680)="","",INDEX('AFA Rates'!$C$5:$C$1004,$T1680))))</f>
        <v/>
      </c>
      <c r="E1680" s="88">
        <f>IF($T1680="","",IF($S1680="S",IF(""="","",""),IF(INDEX('AFA Rates'!$D$5:$D$1004,$T1680)="","",INDEX('AFA Rates'!$D$5:$D$1004,$T1680))))</f>
        <v/>
      </c>
      <c r="F1680" s="79">
        <f>IF($T1680="","",IF($S1680="S",IF(INDEX(Firms!$O$5:$O$1004,$T1680)="","",INDEX(Firms!$O$5:$O$1004,$T1680)),IF(INDEX('AFA Rates'!$O$5:$O$1004,$T1680)="","",INDEX('AFA Rates'!$O$5:$O$1004,$T1680))))</f>
        <v/>
      </c>
      <c r="G1680" s="50">
        <f>IF($T1680="","",IF($S1680="S",IF(INDEX(Firms!$F$5:$F$1004,$T1680)="","",INDEX(Firms!$F$5:$F$1004,$T1680)),IF(INDEX('AFA Rates'!$E$5:$E$1004,$T1680)="","",INDEX('AFA Rates'!$E$5:$E$1004,$T1680))))</f>
        <v/>
      </c>
      <c r="H1680" s="50">
        <f>IF($T1680="","",IF($S1680="S",IF(INDEX(Firms!$G$5:$G$1004,$T1680)="","",INDEX(Firms!$G$5:$G$1004,$T1680)),IF(INDEX('AFA Rates'!$F$5:$F$1004,$T1680)="","",INDEX('AFA Rates'!$F$5:$F$1004,$T1680))))</f>
        <v/>
      </c>
      <c r="I1680" s="50">
        <f>IF($T1680="","",IF($S1680="S",IF(INDEX(Firms!$H$5:$H$1004,$T1680)="","",INDEX(Firms!$H$5:$H$1004,$T1680)),IF(INDEX('AFA Rates'!$G$5:$G$1004,$T1680)="","",INDEX('AFA Rates'!$G$5:$G$1004,$T1680))))</f>
        <v/>
      </c>
      <c r="J1680" s="50">
        <f>IF($T1680="","",IF($S1680="S",IF(INDEX(Firms!$I$5:$I$1004,$T1680)="","",INDEX(Firms!$I$5:$I$1004,$T1680)),IF(INDEX('AFA Rates'!$H$5:$H$1004,$T1680)="","",INDEX('AFA Rates'!$H$5:$H$1004,$T1680))))</f>
        <v/>
      </c>
      <c r="K1680" s="50">
        <f>IF($T1680="","",IF($S1680="S",IF(INDEX(Firms!$J$5:$J$1004,$T1680)="","",INDEX(Firms!$J$5:$J$1004,$T1680)),IF(INDEX('AFA Rates'!$I$5:$I$1004,$T1680)="","",INDEX('AFA Rates'!$I$5:$I$1004,$T1680))))</f>
        <v/>
      </c>
      <c r="L1680" s="50">
        <f>IF($T1680="","",IF($S1680="S",IF(INDEX(Firms!$K$5:$K$1004,$T1680)="","",INDEX(Firms!$K$5:$K$1004,$T1680)),IF(INDEX('AFA Rates'!$J$5:$J$1004,$T1680)="","",INDEX('AFA Rates'!$J$5:$J$1004,$T1680))))</f>
        <v/>
      </c>
      <c r="M1680" s="50">
        <f>IF($T1680="","",IF($S1680="S",IF(INDEX(Firms!$L$5:$L$1004,$T1680)="","",INDEX(Firms!$L$5:$L$1004,$T1680)),IF(INDEX('AFA Rates'!$K$5:$K$1004,$T1680)="","",INDEX('AFA Rates'!$K$5:$K$1004,$T1680))))</f>
        <v/>
      </c>
      <c r="N1680" s="50">
        <f>IF($T1680="","",IF($S1680="S",IF(INDEX(Firms!$M$5:$M$1004,$T1680)="","",INDEX(Firms!$M$5:$M$1004,$T1680)),IF(INDEX('AFA Rates'!$L$5:$L$1004,$T1680)="","",INDEX('AFA Rates'!$L$5:$L$1004,$T1680))))</f>
        <v/>
      </c>
      <c r="O1680" s="78">
        <f>IF(OR($T1680="",$U1680=""),"",IF(INDEX(Firms!$C$5:$C$1004,$U1680)="","",INDEX(Firms!$C$5:$C$1004,$U1680)))</f>
        <v/>
      </c>
      <c r="P1680" s="79">
        <f>IF(OR($T1680="",$U1680=""),"",IF(INDEX(Firms!$N$5:$N$1004,$U1680)="","",INDEX(Firms!$N$5:$N$1004,$U1680)))</f>
        <v/>
      </c>
      <c r="Q1680" s="78">
        <f>IF($T1680="","",IF($S1680="S",IF(INDEX(Firms!$T$5:$T$1004,$T1680)="","",INDEX(Firms!$T$5:$T$1004,$T1680)),IF(INDEX('AFA Rates'!$M$5:$M$1004,$T1680)="","",INDEX('AFA Rates'!$M$5:$M$1004,$T1680))))</f>
        <v/>
      </c>
      <c r="S1680">
        <f>IF(1676&lt;=$S$2,"S",IF(1676&lt;=$S$2+$T$2,"A",""))</f>
        <v/>
      </c>
      <c r="T1680">
        <f>IF(S1680="S",MATCH(1676,Firms!$W$5:$W$1004,0),IF(S1680="A",IFERROR(MATCH(1676-$S$2,'AFA Rates'!$R$5:$R$1004,0),""),""))</f>
        <v/>
      </c>
      <c r="U1680">
        <f>IF(S1680="S",T1680,IF(AND(S1680="A",T1680&lt;&gt;""),IFERROR(MATCH(INDEX('AFA Rates'!$A$5:$A$1004,T1680),Firms!$A$5:$A$1004,0),""),""))</f>
        <v/>
      </c>
    </row>
    <row r="1681">
      <c r="A1681" s="78">
        <f>IF($T1681="","",IF($S1681="S",IF(INDEX(Firms!$A$5:$A$1004,$T1681)="","",INDEX(Firms!$A$5:$A$1004,$T1681)),IF(INDEX('AFA Rates'!$A$5:$A$1004,$T1681)="","",INDEX('AFA Rates'!$A$5:$A$1004,$T1681))))</f>
        <v/>
      </c>
      <c r="B1681" s="79">
        <f>IF(OR($T1681="",$U1681=""),IF($T1681="","","Not on Firms tab"),INDEX(Firms!$B$5:$B$1004,$U1681)&amp;"")</f>
        <v/>
      </c>
      <c r="C1681" s="78">
        <f>IF($T1681="","",IF($S1681="S","Standard",INDEX('AFA Rates'!$B$5:$B$1004,$T1681)&amp;""))</f>
        <v/>
      </c>
      <c r="D1681" s="88">
        <f>IF($T1681="","",IF($S1681="S",IF(INDEX(Firms!$E$5:$E$1004,$T1681)="","",INDEX(Firms!$E$5:$E$1004,$T1681)),IF(INDEX('AFA Rates'!$C$5:$C$1004,$T1681)="","",INDEX('AFA Rates'!$C$5:$C$1004,$T1681))))</f>
        <v/>
      </c>
      <c r="E1681" s="88">
        <f>IF($T1681="","",IF($S1681="S",IF(""="","",""),IF(INDEX('AFA Rates'!$D$5:$D$1004,$T1681)="","",INDEX('AFA Rates'!$D$5:$D$1004,$T1681))))</f>
        <v/>
      </c>
      <c r="F1681" s="79">
        <f>IF($T1681="","",IF($S1681="S",IF(INDEX(Firms!$O$5:$O$1004,$T1681)="","",INDEX(Firms!$O$5:$O$1004,$T1681)),IF(INDEX('AFA Rates'!$O$5:$O$1004,$T1681)="","",INDEX('AFA Rates'!$O$5:$O$1004,$T1681))))</f>
        <v/>
      </c>
      <c r="G1681" s="50">
        <f>IF($T1681="","",IF($S1681="S",IF(INDEX(Firms!$F$5:$F$1004,$T1681)="","",INDEX(Firms!$F$5:$F$1004,$T1681)),IF(INDEX('AFA Rates'!$E$5:$E$1004,$T1681)="","",INDEX('AFA Rates'!$E$5:$E$1004,$T1681))))</f>
        <v/>
      </c>
      <c r="H1681" s="50">
        <f>IF($T1681="","",IF($S1681="S",IF(INDEX(Firms!$G$5:$G$1004,$T1681)="","",INDEX(Firms!$G$5:$G$1004,$T1681)),IF(INDEX('AFA Rates'!$F$5:$F$1004,$T1681)="","",INDEX('AFA Rates'!$F$5:$F$1004,$T1681))))</f>
        <v/>
      </c>
      <c r="I1681" s="50">
        <f>IF($T1681="","",IF($S1681="S",IF(INDEX(Firms!$H$5:$H$1004,$T1681)="","",INDEX(Firms!$H$5:$H$1004,$T1681)),IF(INDEX('AFA Rates'!$G$5:$G$1004,$T1681)="","",INDEX('AFA Rates'!$G$5:$G$1004,$T1681))))</f>
        <v/>
      </c>
      <c r="J1681" s="50">
        <f>IF($T1681="","",IF($S1681="S",IF(INDEX(Firms!$I$5:$I$1004,$T1681)="","",INDEX(Firms!$I$5:$I$1004,$T1681)),IF(INDEX('AFA Rates'!$H$5:$H$1004,$T1681)="","",INDEX('AFA Rates'!$H$5:$H$1004,$T1681))))</f>
        <v/>
      </c>
      <c r="K1681" s="50">
        <f>IF($T1681="","",IF($S1681="S",IF(INDEX(Firms!$J$5:$J$1004,$T1681)="","",INDEX(Firms!$J$5:$J$1004,$T1681)),IF(INDEX('AFA Rates'!$I$5:$I$1004,$T1681)="","",INDEX('AFA Rates'!$I$5:$I$1004,$T1681))))</f>
        <v/>
      </c>
      <c r="L1681" s="50">
        <f>IF($T1681="","",IF($S1681="S",IF(INDEX(Firms!$K$5:$K$1004,$T1681)="","",INDEX(Firms!$K$5:$K$1004,$T1681)),IF(INDEX('AFA Rates'!$J$5:$J$1004,$T1681)="","",INDEX('AFA Rates'!$J$5:$J$1004,$T1681))))</f>
        <v/>
      </c>
      <c r="M1681" s="50">
        <f>IF($T1681="","",IF($S1681="S",IF(INDEX(Firms!$L$5:$L$1004,$T1681)="","",INDEX(Firms!$L$5:$L$1004,$T1681)),IF(INDEX('AFA Rates'!$K$5:$K$1004,$T1681)="","",INDEX('AFA Rates'!$K$5:$K$1004,$T1681))))</f>
        <v/>
      </c>
      <c r="N1681" s="50">
        <f>IF($T1681="","",IF($S1681="S",IF(INDEX(Firms!$M$5:$M$1004,$T1681)="","",INDEX(Firms!$M$5:$M$1004,$T1681)),IF(INDEX('AFA Rates'!$L$5:$L$1004,$T1681)="","",INDEX('AFA Rates'!$L$5:$L$1004,$T1681))))</f>
        <v/>
      </c>
      <c r="O1681" s="78">
        <f>IF(OR($T1681="",$U1681=""),"",IF(INDEX(Firms!$C$5:$C$1004,$U1681)="","",INDEX(Firms!$C$5:$C$1004,$U1681)))</f>
        <v/>
      </c>
      <c r="P1681" s="79">
        <f>IF(OR($T1681="",$U1681=""),"",IF(INDEX(Firms!$N$5:$N$1004,$U1681)="","",INDEX(Firms!$N$5:$N$1004,$U1681)))</f>
        <v/>
      </c>
      <c r="Q1681" s="78">
        <f>IF($T1681="","",IF($S1681="S",IF(INDEX(Firms!$T$5:$T$1004,$T1681)="","",INDEX(Firms!$T$5:$T$1004,$T1681)),IF(INDEX('AFA Rates'!$M$5:$M$1004,$T1681)="","",INDEX('AFA Rates'!$M$5:$M$1004,$T1681))))</f>
        <v/>
      </c>
      <c r="S1681">
        <f>IF(1677&lt;=$S$2,"S",IF(1677&lt;=$S$2+$T$2,"A",""))</f>
        <v/>
      </c>
      <c r="T1681">
        <f>IF(S1681="S",MATCH(1677,Firms!$W$5:$W$1004,0),IF(S1681="A",IFERROR(MATCH(1677-$S$2,'AFA Rates'!$R$5:$R$1004,0),""),""))</f>
        <v/>
      </c>
      <c r="U1681">
        <f>IF(S1681="S",T1681,IF(AND(S1681="A",T1681&lt;&gt;""),IFERROR(MATCH(INDEX('AFA Rates'!$A$5:$A$1004,T1681),Firms!$A$5:$A$1004,0),""),""))</f>
        <v/>
      </c>
    </row>
    <row r="1682">
      <c r="A1682" s="78">
        <f>IF($T1682="","",IF($S1682="S",IF(INDEX(Firms!$A$5:$A$1004,$T1682)="","",INDEX(Firms!$A$5:$A$1004,$T1682)),IF(INDEX('AFA Rates'!$A$5:$A$1004,$T1682)="","",INDEX('AFA Rates'!$A$5:$A$1004,$T1682))))</f>
        <v/>
      </c>
      <c r="B1682" s="79">
        <f>IF(OR($T1682="",$U1682=""),IF($T1682="","","Not on Firms tab"),INDEX(Firms!$B$5:$B$1004,$U1682)&amp;"")</f>
        <v/>
      </c>
      <c r="C1682" s="78">
        <f>IF($T1682="","",IF($S1682="S","Standard",INDEX('AFA Rates'!$B$5:$B$1004,$T1682)&amp;""))</f>
        <v/>
      </c>
      <c r="D1682" s="88">
        <f>IF($T1682="","",IF($S1682="S",IF(INDEX(Firms!$E$5:$E$1004,$T1682)="","",INDEX(Firms!$E$5:$E$1004,$T1682)),IF(INDEX('AFA Rates'!$C$5:$C$1004,$T1682)="","",INDEX('AFA Rates'!$C$5:$C$1004,$T1682))))</f>
        <v/>
      </c>
      <c r="E1682" s="88">
        <f>IF($T1682="","",IF($S1682="S",IF(""="","",""),IF(INDEX('AFA Rates'!$D$5:$D$1004,$T1682)="","",INDEX('AFA Rates'!$D$5:$D$1004,$T1682))))</f>
        <v/>
      </c>
      <c r="F1682" s="79">
        <f>IF($T1682="","",IF($S1682="S",IF(INDEX(Firms!$O$5:$O$1004,$T1682)="","",INDEX(Firms!$O$5:$O$1004,$T1682)),IF(INDEX('AFA Rates'!$O$5:$O$1004,$T1682)="","",INDEX('AFA Rates'!$O$5:$O$1004,$T1682))))</f>
        <v/>
      </c>
      <c r="G1682" s="50">
        <f>IF($T1682="","",IF($S1682="S",IF(INDEX(Firms!$F$5:$F$1004,$T1682)="","",INDEX(Firms!$F$5:$F$1004,$T1682)),IF(INDEX('AFA Rates'!$E$5:$E$1004,$T1682)="","",INDEX('AFA Rates'!$E$5:$E$1004,$T1682))))</f>
        <v/>
      </c>
      <c r="H1682" s="50">
        <f>IF($T1682="","",IF($S1682="S",IF(INDEX(Firms!$G$5:$G$1004,$T1682)="","",INDEX(Firms!$G$5:$G$1004,$T1682)),IF(INDEX('AFA Rates'!$F$5:$F$1004,$T1682)="","",INDEX('AFA Rates'!$F$5:$F$1004,$T1682))))</f>
        <v/>
      </c>
      <c r="I1682" s="50">
        <f>IF($T1682="","",IF($S1682="S",IF(INDEX(Firms!$H$5:$H$1004,$T1682)="","",INDEX(Firms!$H$5:$H$1004,$T1682)),IF(INDEX('AFA Rates'!$G$5:$G$1004,$T1682)="","",INDEX('AFA Rates'!$G$5:$G$1004,$T1682))))</f>
        <v/>
      </c>
      <c r="J1682" s="50">
        <f>IF($T1682="","",IF($S1682="S",IF(INDEX(Firms!$I$5:$I$1004,$T1682)="","",INDEX(Firms!$I$5:$I$1004,$T1682)),IF(INDEX('AFA Rates'!$H$5:$H$1004,$T1682)="","",INDEX('AFA Rates'!$H$5:$H$1004,$T1682))))</f>
        <v/>
      </c>
      <c r="K1682" s="50">
        <f>IF($T1682="","",IF($S1682="S",IF(INDEX(Firms!$J$5:$J$1004,$T1682)="","",INDEX(Firms!$J$5:$J$1004,$T1682)),IF(INDEX('AFA Rates'!$I$5:$I$1004,$T1682)="","",INDEX('AFA Rates'!$I$5:$I$1004,$T1682))))</f>
        <v/>
      </c>
      <c r="L1682" s="50">
        <f>IF($T1682="","",IF($S1682="S",IF(INDEX(Firms!$K$5:$K$1004,$T1682)="","",INDEX(Firms!$K$5:$K$1004,$T1682)),IF(INDEX('AFA Rates'!$J$5:$J$1004,$T1682)="","",INDEX('AFA Rates'!$J$5:$J$1004,$T1682))))</f>
        <v/>
      </c>
      <c r="M1682" s="50">
        <f>IF($T1682="","",IF($S1682="S",IF(INDEX(Firms!$L$5:$L$1004,$T1682)="","",INDEX(Firms!$L$5:$L$1004,$T1682)),IF(INDEX('AFA Rates'!$K$5:$K$1004,$T1682)="","",INDEX('AFA Rates'!$K$5:$K$1004,$T1682))))</f>
        <v/>
      </c>
      <c r="N1682" s="50">
        <f>IF($T1682="","",IF($S1682="S",IF(INDEX(Firms!$M$5:$M$1004,$T1682)="","",INDEX(Firms!$M$5:$M$1004,$T1682)),IF(INDEX('AFA Rates'!$L$5:$L$1004,$T1682)="","",INDEX('AFA Rates'!$L$5:$L$1004,$T1682))))</f>
        <v/>
      </c>
      <c r="O1682" s="78">
        <f>IF(OR($T1682="",$U1682=""),"",IF(INDEX(Firms!$C$5:$C$1004,$U1682)="","",INDEX(Firms!$C$5:$C$1004,$U1682)))</f>
        <v/>
      </c>
      <c r="P1682" s="79">
        <f>IF(OR($T1682="",$U1682=""),"",IF(INDEX(Firms!$N$5:$N$1004,$U1682)="","",INDEX(Firms!$N$5:$N$1004,$U1682)))</f>
        <v/>
      </c>
      <c r="Q1682" s="78">
        <f>IF($T1682="","",IF($S1682="S",IF(INDEX(Firms!$T$5:$T$1004,$T1682)="","",INDEX(Firms!$T$5:$T$1004,$T1682)),IF(INDEX('AFA Rates'!$M$5:$M$1004,$T1682)="","",INDEX('AFA Rates'!$M$5:$M$1004,$T1682))))</f>
        <v/>
      </c>
      <c r="S1682">
        <f>IF(1678&lt;=$S$2,"S",IF(1678&lt;=$S$2+$T$2,"A",""))</f>
        <v/>
      </c>
      <c r="T1682">
        <f>IF(S1682="S",MATCH(1678,Firms!$W$5:$W$1004,0),IF(S1682="A",IFERROR(MATCH(1678-$S$2,'AFA Rates'!$R$5:$R$1004,0),""),""))</f>
        <v/>
      </c>
      <c r="U1682">
        <f>IF(S1682="S",T1682,IF(AND(S1682="A",T1682&lt;&gt;""),IFERROR(MATCH(INDEX('AFA Rates'!$A$5:$A$1004,T1682),Firms!$A$5:$A$1004,0),""),""))</f>
        <v/>
      </c>
    </row>
    <row r="1683">
      <c r="A1683" s="78">
        <f>IF($T1683="","",IF($S1683="S",IF(INDEX(Firms!$A$5:$A$1004,$T1683)="","",INDEX(Firms!$A$5:$A$1004,$T1683)),IF(INDEX('AFA Rates'!$A$5:$A$1004,$T1683)="","",INDEX('AFA Rates'!$A$5:$A$1004,$T1683))))</f>
        <v/>
      </c>
      <c r="B1683" s="79">
        <f>IF(OR($T1683="",$U1683=""),IF($T1683="","","Not on Firms tab"),INDEX(Firms!$B$5:$B$1004,$U1683)&amp;"")</f>
        <v/>
      </c>
      <c r="C1683" s="78">
        <f>IF($T1683="","",IF($S1683="S","Standard",INDEX('AFA Rates'!$B$5:$B$1004,$T1683)&amp;""))</f>
        <v/>
      </c>
      <c r="D1683" s="88">
        <f>IF($T1683="","",IF($S1683="S",IF(INDEX(Firms!$E$5:$E$1004,$T1683)="","",INDEX(Firms!$E$5:$E$1004,$T1683)),IF(INDEX('AFA Rates'!$C$5:$C$1004,$T1683)="","",INDEX('AFA Rates'!$C$5:$C$1004,$T1683))))</f>
        <v/>
      </c>
      <c r="E1683" s="88">
        <f>IF($T1683="","",IF($S1683="S",IF(""="","",""),IF(INDEX('AFA Rates'!$D$5:$D$1004,$T1683)="","",INDEX('AFA Rates'!$D$5:$D$1004,$T1683))))</f>
        <v/>
      </c>
      <c r="F1683" s="79">
        <f>IF($T1683="","",IF($S1683="S",IF(INDEX(Firms!$O$5:$O$1004,$T1683)="","",INDEX(Firms!$O$5:$O$1004,$T1683)),IF(INDEX('AFA Rates'!$O$5:$O$1004,$T1683)="","",INDEX('AFA Rates'!$O$5:$O$1004,$T1683))))</f>
        <v/>
      </c>
      <c r="G1683" s="50">
        <f>IF($T1683="","",IF($S1683="S",IF(INDEX(Firms!$F$5:$F$1004,$T1683)="","",INDEX(Firms!$F$5:$F$1004,$T1683)),IF(INDEX('AFA Rates'!$E$5:$E$1004,$T1683)="","",INDEX('AFA Rates'!$E$5:$E$1004,$T1683))))</f>
        <v/>
      </c>
      <c r="H1683" s="50">
        <f>IF($T1683="","",IF($S1683="S",IF(INDEX(Firms!$G$5:$G$1004,$T1683)="","",INDEX(Firms!$G$5:$G$1004,$T1683)),IF(INDEX('AFA Rates'!$F$5:$F$1004,$T1683)="","",INDEX('AFA Rates'!$F$5:$F$1004,$T1683))))</f>
        <v/>
      </c>
      <c r="I1683" s="50">
        <f>IF($T1683="","",IF($S1683="S",IF(INDEX(Firms!$H$5:$H$1004,$T1683)="","",INDEX(Firms!$H$5:$H$1004,$T1683)),IF(INDEX('AFA Rates'!$G$5:$G$1004,$T1683)="","",INDEX('AFA Rates'!$G$5:$G$1004,$T1683))))</f>
        <v/>
      </c>
      <c r="J1683" s="50">
        <f>IF($T1683="","",IF($S1683="S",IF(INDEX(Firms!$I$5:$I$1004,$T1683)="","",INDEX(Firms!$I$5:$I$1004,$T1683)),IF(INDEX('AFA Rates'!$H$5:$H$1004,$T1683)="","",INDEX('AFA Rates'!$H$5:$H$1004,$T1683))))</f>
        <v/>
      </c>
      <c r="K1683" s="50">
        <f>IF($T1683="","",IF($S1683="S",IF(INDEX(Firms!$J$5:$J$1004,$T1683)="","",INDEX(Firms!$J$5:$J$1004,$T1683)),IF(INDEX('AFA Rates'!$I$5:$I$1004,$T1683)="","",INDEX('AFA Rates'!$I$5:$I$1004,$T1683))))</f>
        <v/>
      </c>
      <c r="L1683" s="50">
        <f>IF($T1683="","",IF($S1683="S",IF(INDEX(Firms!$K$5:$K$1004,$T1683)="","",INDEX(Firms!$K$5:$K$1004,$T1683)),IF(INDEX('AFA Rates'!$J$5:$J$1004,$T1683)="","",INDEX('AFA Rates'!$J$5:$J$1004,$T1683))))</f>
        <v/>
      </c>
      <c r="M1683" s="50">
        <f>IF($T1683="","",IF($S1683="S",IF(INDEX(Firms!$L$5:$L$1004,$T1683)="","",INDEX(Firms!$L$5:$L$1004,$T1683)),IF(INDEX('AFA Rates'!$K$5:$K$1004,$T1683)="","",INDEX('AFA Rates'!$K$5:$K$1004,$T1683))))</f>
        <v/>
      </c>
      <c r="N1683" s="50">
        <f>IF($T1683="","",IF($S1683="S",IF(INDEX(Firms!$M$5:$M$1004,$T1683)="","",INDEX(Firms!$M$5:$M$1004,$T1683)),IF(INDEX('AFA Rates'!$L$5:$L$1004,$T1683)="","",INDEX('AFA Rates'!$L$5:$L$1004,$T1683))))</f>
        <v/>
      </c>
      <c r="O1683" s="78">
        <f>IF(OR($T1683="",$U1683=""),"",IF(INDEX(Firms!$C$5:$C$1004,$U1683)="","",INDEX(Firms!$C$5:$C$1004,$U1683)))</f>
        <v/>
      </c>
      <c r="P1683" s="79">
        <f>IF(OR($T1683="",$U1683=""),"",IF(INDEX(Firms!$N$5:$N$1004,$U1683)="","",INDEX(Firms!$N$5:$N$1004,$U1683)))</f>
        <v/>
      </c>
      <c r="Q1683" s="78">
        <f>IF($T1683="","",IF($S1683="S",IF(INDEX(Firms!$T$5:$T$1004,$T1683)="","",INDEX(Firms!$T$5:$T$1004,$T1683)),IF(INDEX('AFA Rates'!$M$5:$M$1004,$T1683)="","",INDEX('AFA Rates'!$M$5:$M$1004,$T1683))))</f>
        <v/>
      </c>
      <c r="S1683">
        <f>IF(1679&lt;=$S$2,"S",IF(1679&lt;=$S$2+$T$2,"A",""))</f>
        <v/>
      </c>
      <c r="T1683">
        <f>IF(S1683="S",MATCH(1679,Firms!$W$5:$W$1004,0),IF(S1683="A",IFERROR(MATCH(1679-$S$2,'AFA Rates'!$R$5:$R$1004,0),""),""))</f>
        <v/>
      </c>
      <c r="U1683">
        <f>IF(S1683="S",T1683,IF(AND(S1683="A",T1683&lt;&gt;""),IFERROR(MATCH(INDEX('AFA Rates'!$A$5:$A$1004,T1683),Firms!$A$5:$A$1004,0),""),""))</f>
        <v/>
      </c>
    </row>
    <row r="1684">
      <c r="A1684" s="78">
        <f>IF($T1684="","",IF($S1684="S",IF(INDEX(Firms!$A$5:$A$1004,$T1684)="","",INDEX(Firms!$A$5:$A$1004,$T1684)),IF(INDEX('AFA Rates'!$A$5:$A$1004,$T1684)="","",INDEX('AFA Rates'!$A$5:$A$1004,$T1684))))</f>
        <v/>
      </c>
      <c r="B1684" s="79">
        <f>IF(OR($T1684="",$U1684=""),IF($T1684="","","Not on Firms tab"),INDEX(Firms!$B$5:$B$1004,$U1684)&amp;"")</f>
        <v/>
      </c>
      <c r="C1684" s="78">
        <f>IF($T1684="","",IF($S1684="S","Standard",INDEX('AFA Rates'!$B$5:$B$1004,$T1684)&amp;""))</f>
        <v/>
      </c>
      <c r="D1684" s="88">
        <f>IF($T1684="","",IF($S1684="S",IF(INDEX(Firms!$E$5:$E$1004,$T1684)="","",INDEX(Firms!$E$5:$E$1004,$T1684)),IF(INDEX('AFA Rates'!$C$5:$C$1004,$T1684)="","",INDEX('AFA Rates'!$C$5:$C$1004,$T1684))))</f>
        <v/>
      </c>
      <c r="E1684" s="88">
        <f>IF($T1684="","",IF($S1684="S",IF(""="","",""),IF(INDEX('AFA Rates'!$D$5:$D$1004,$T1684)="","",INDEX('AFA Rates'!$D$5:$D$1004,$T1684))))</f>
        <v/>
      </c>
      <c r="F1684" s="79">
        <f>IF($T1684="","",IF($S1684="S",IF(INDEX(Firms!$O$5:$O$1004,$T1684)="","",INDEX(Firms!$O$5:$O$1004,$T1684)),IF(INDEX('AFA Rates'!$O$5:$O$1004,$T1684)="","",INDEX('AFA Rates'!$O$5:$O$1004,$T1684))))</f>
        <v/>
      </c>
      <c r="G1684" s="50">
        <f>IF($T1684="","",IF($S1684="S",IF(INDEX(Firms!$F$5:$F$1004,$T1684)="","",INDEX(Firms!$F$5:$F$1004,$T1684)),IF(INDEX('AFA Rates'!$E$5:$E$1004,$T1684)="","",INDEX('AFA Rates'!$E$5:$E$1004,$T1684))))</f>
        <v/>
      </c>
      <c r="H1684" s="50">
        <f>IF($T1684="","",IF($S1684="S",IF(INDEX(Firms!$G$5:$G$1004,$T1684)="","",INDEX(Firms!$G$5:$G$1004,$T1684)),IF(INDEX('AFA Rates'!$F$5:$F$1004,$T1684)="","",INDEX('AFA Rates'!$F$5:$F$1004,$T1684))))</f>
        <v/>
      </c>
      <c r="I1684" s="50">
        <f>IF($T1684="","",IF($S1684="S",IF(INDEX(Firms!$H$5:$H$1004,$T1684)="","",INDEX(Firms!$H$5:$H$1004,$T1684)),IF(INDEX('AFA Rates'!$G$5:$G$1004,$T1684)="","",INDEX('AFA Rates'!$G$5:$G$1004,$T1684))))</f>
        <v/>
      </c>
      <c r="J1684" s="50">
        <f>IF($T1684="","",IF($S1684="S",IF(INDEX(Firms!$I$5:$I$1004,$T1684)="","",INDEX(Firms!$I$5:$I$1004,$T1684)),IF(INDEX('AFA Rates'!$H$5:$H$1004,$T1684)="","",INDEX('AFA Rates'!$H$5:$H$1004,$T1684))))</f>
        <v/>
      </c>
      <c r="K1684" s="50">
        <f>IF($T1684="","",IF($S1684="S",IF(INDEX(Firms!$J$5:$J$1004,$T1684)="","",INDEX(Firms!$J$5:$J$1004,$T1684)),IF(INDEX('AFA Rates'!$I$5:$I$1004,$T1684)="","",INDEX('AFA Rates'!$I$5:$I$1004,$T1684))))</f>
        <v/>
      </c>
      <c r="L1684" s="50">
        <f>IF($T1684="","",IF($S1684="S",IF(INDEX(Firms!$K$5:$K$1004,$T1684)="","",INDEX(Firms!$K$5:$K$1004,$T1684)),IF(INDEX('AFA Rates'!$J$5:$J$1004,$T1684)="","",INDEX('AFA Rates'!$J$5:$J$1004,$T1684))))</f>
        <v/>
      </c>
      <c r="M1684" s="50">
        <f>IF($T1684="","",IF($S1684="S",IF(INDEX(Firms!$L$5:$L$1004,$T1684)="","",INDEX(Firms!$L$5:$L$1004,$T1684)),IF(INDEX('AFA Rates'!$K$5:$K$1004,$T1684)="","",INDEX('AFA Rates'!$K$5:$K$1004,$T1684))))</f>
        <v/>
      </c>
      <c r="N1684" s="50">
        <f>IF($T1684="","",IF($S1684="S",IF(INDEX(Firms!$M$5:$M$1004,$T1684)="","",INDEX(Firms!$M$5:$M$1004,$T1684)),IF(INDEX('AFA Rates'!$L$5:$L$1004,$T1684)="","",INDEX('AFA Rates'!$L$5:$L$1004,$T1684))))</f>
        <v/>
      </c>
      <c r="O1684" s="78">
        <f>IF(OR($T1684="",$U1684=""),"",IF(INDEX(Firms!$C$5:$C$1004,$U1684)="","",INDEX(Firms!$C$5:$C$1004,$U1684)))</f>
        <v/>
      </c>
      <c r="P1684" s="79">
        <f>IF(OR($T1684="",$U1684=""),"",IF(INDEX(Firms!$N$5:$N$1004,$U1684)="","",INDEX(Firms!$N$5:$N$1004,$U1684)))</f>
        <v/>
      </c>
      <c r="Q1684" s="78">
        <f>IF($T1684="","",IF($S1684="S",IF(INDEX(Firms!$T$5:$T$1004,$T1684)="","",INDEX(Firms!$T$5:$T$1004,$T1684)),IF(INDEX('AFA Rates'!$M$5:$M$1004,$T1684)="","",INDEX('AFA Rates'!$M$5:$M$1004,$T1684))))</f>
        <v/>
      </c>
      <c r="S1684">
        <f>IF(1680&lt;=$S$2,"S",IF(1680&lt;=$S$2+$T$2,"A",""))</f>
        <v/>
      </c>
      <c r="T1684">
        <f>IF(S1684="S",MATCH(1680,Firms!$W$5:$W$1004,0),IF(S1684="A",IFERROR(MATCH(1680-$S$2,'AFA Rates'!$R$5:$R$1004,0),""),""))</f>
        <v/>
      </c>
      <c r="U1684">
        <f>IF(S1684="S",T1684,IF(AND(S1684="A",T1684&lt;&gt;""),IFERROR(MATCH(INDEX('AFA Rates'!$A$5:$A$1004,T1684),Firms!$A$5:$A$1004,0),""),""))</f>
        <v/>
      </c>
    </row>
    <row r="1685">
      <c r="A1685" s="78">
        <f>IF($T1685="","",IF($S1685="S",IF(INDEX(Firms!$A$5:$A$1004,$T1685)="","",INDEX(Firms!$A$5:$A$1004,$T1685)),IF(INDEX('AFA Rates'!$A$5:$A$1004,$T1685)="","",INDEX('AFA Rates'!$A$5:$A$1004,$T1685))))</f>
        <v/>
      </c>
      <c r="B1685" s="79">
        <f>IF(OR($T1685="",$U1685=""),IF($T1685="","","Not on Firms tab"),INDEX(Firms!$B$5:$B$1004,$U1685)&amp;"")</f>
        <v/>
      </c>
      <c r="C1685" s="78">
        <f>IF($T1685="","",IF($S1685="S","Standard",INDEX('AFA Rates'!$B$5:$B$1004,$T1685)&amp;""))</f>
        <v/>
      </c>
      <c r="D1685" s="88">
        <f>IF($T1685="","",IF($S1685="S",IF(INDEX(Firms!$E$5:$E$1004,$T1685)="","",INDEX(Firms!$E$5:$E$1004,$T1685)),IF(INDEX('AFA Rates'!$C$5:$C$1004,$T1685)="","",INDEX('AFA Rates'!$C$5:$C$1004,$T1685))))</f>
        <v/>
      </c>
      <c r="E1685" s="88">
        <f>IF($T1685="","",IF($S1685="S",IF(""="","",""),IF(INDEX('AFA Rates'!$D$5:$D$1004,$T1685)="","",INDEX('AFA Rates'!$D$5:$D$1004,$T1685))))</f>
        <v/>
      </c>
      <c r="F1685" s="79">
        <f>IF($T1685="","",IF($S1685="S",IF(INDEX(Firms!$O$5:$O$1004,$T1685)="","",INDEX(Firms!$O$5:$O$1004,$T1685)),IF(INDEX('AFA Rates'!$O$5:$O$1004,$T1685)="","",INDEX('AFA Rates'!$O$5:$O$1004,$T1685))))</f>
        <v/>
      </c>
      <c r="G1685" s="50">
        <f>IF($T1685="","",IF($S1685="S",IF(INDEX(Firms!$F$5:$F$1004,$T1685)="","",INDEX(Firms!$F$5:$F$1004,$T1685)),IF(INDEX('AFA Rates'!$E$5:$E$1004,$T1685)="","",INDEX('AFA Rates'!$E$5:$E$1004,$T1685))))</f>
        <v/>
      </c>
      <c r="H1685" s="50">
        <f>IF($T1685="","",IF($S1685="S",IF(INDEX(Firms!$G$5:$G$1004,$T1685)="","",INDEX(Firms!$G$5:$G$1004,$T1685)),IF(INDEX('AFA Rates'!$F$5:$F$1004,$T1685)="","",INDEX('AFA Rates'!$F$5:$F$1004,$T1685))))</f>
        <v/>
      </c>
      <c r="I1685" s="50">
        <f>IF($T1685="","",IF($S1685="S",IF(INDEX(Firms!$H$5:$H$1004,$T1685)="","",INDEX(Firms!$H$5:$H$1004,$T1685)),IF(INDEX('AFA Rates'!$G$5:$G$1004,$T1685)="","",INDEX('AFA Rates'!$G$5:$G$1004,$T1685))))</f>
        <v/>
      </c>
      <c r="J1685" s="50">
        <f>IF($T1685="","",IF($S1685="S",IF(INDEX(Firms!$I$5:$I$1004,$T1685)="","",INDEX(Firms!$I$5:$I$1004,$T1685)),IF(INDEX('AFA Rates'!$H$5:$H$1004,$T1685)="","",INDEX('AFA Rates'!$H$5:$H$1004,$T1685))))</f>
        <v/>
      </c>
      <c r="K1685" s="50">
        <f>IF($T1685="","",IF($S1685="S",IF(INDEX(Firms!$J$5:$J$1004,$T1685)="","",INDEX(Firms!$J$5:$J$1004,$T1685)),IF(INDEX('AFA Rates'!$I$5:$I$1004,$T1685)="","",INDEX('AFA Rates'!$I$5:$I$1004,$T1685))))</f>
        <v/>
      </c>
      <c r="L1685" s="50">
        <f>IF($T1685="","",IF($S1685="S",IF(INDEX(Firms!$K$5:$K$1004,$T1685)="","",INDEX(Firms!$K$5:$K$1004,$T1685)),IF(INDEX('AFA Rates'!$J$5:$J$1004,$T1685)="","",INDEX('AFA Rates'!$J$5:$J$1004,$T1685))))</f>
        <v/>
      </c>
      <c r="M1685" s="50">
        <f>IF($T1685="","",IF($S1685="S",IF(INDEX(Firms!$L$5:$L$1004,$T1685)="","",INDEX(Firms!$L$5:$L$1004,$T1685)),IF(INDEX('AFA Rates'!$K$5:$K$1004,$T1685)="","",INDEX('AFA Rates'!$K$5:$K$1004,$T1685))))</f>
        <v/>
      </c>
      <c r="N1685" s="50">
        <f>IF($T1685="","",IF($S1685="S",IF(INDEX(Firms!$M$5:$M$1004,$T1685)="","",INDEX(Firms!$M$5:$M$1004,$T1685)),IF(INDEX('AFA Rates'!$L$5:$L$1004,$T1685)="","",INDEX('AFA Rates'!$L$5:$L$1004,$T1685))))</f>
        <v/>
      </c>
      <c r="O1685" s="78">
        <f>IF(OR($T1685="",$U1685=""),"",IF(INDEX(Firms!$C$5:$C$1004,$U1685)="","",INDEX(Firms!$C$5:$C$1004,$U1685)))</f>
        <v/>
      </c>
      <c r="P1685" s="79">
        <f>IF(OR($T1685="",$U1685=""),"",IF(INDEX(Firms!$N$5:$N$1004,$U1685)="","",INDEX(Firms!$N$5:$N$1004,$U1685)))</f>
        <v/>
      </c>
      <c r="Q1685" s="78">
        <f>IF($T1685="","",IF($S1685="S",IF(INDEX(Firms!$T$5:$T$1004,$T1685)="","",INDEX(Firms!$T$5:$T$1004,$T1685)),IF(INDEX('AFA Rates'!$M$5:$M$1004,$T1685)="","",INDEX('AFA Rates'!$M$5:$M$1004,$T1685))))</f>
        <v/>
      </c>
      <c r="S1685">
        <f>IF(1681&lt;=$S$2,"S",IF(1681&lt;=$S$2+$T$2,"A",""))</f>
        <v/>
      </c>
      <c r="T1685">
        <f>IF(S1685="S",MATCH(1681,Firms!$W$5:$W$1004,0),IF(S1685="A",IFERROR(MATCH(1681-$S$2,'AFA Rates'!$R$5:$R$1004,0),""),""))</f>
        <v/>
      </c>
      <c r="U1685">
        <f>IF(S1685="S",T1685,IF(AND(S1685="A",T1685&lt;&gt;""),IFERROR(MATCH(INDEX('AFA Rates'!$A$5:$A$1004,T1685),Firms!$A$5:$A$1004,0),""),""))</f>
        <v/>
      </c>
    </row>
    <row r="1686">
      <c r="A1686" s="78">
        <f>IF($T1686="","",IF($S1686="S",IF(INDEX(Firms!$A$5:$A$1004,$T1686)="","",INDEX(Firms!$A$5:$A$1004,$T1686)),IF(INDEX('AFA Rates'!$A$5:$A$1004,$T1686)="","",INDEX('AFA Rates'!$A$5:$A$1004,$T1686))))</f>
        <v/>
      </c>
      <c r="B1686" s="79">
        <f>IF(OR($T1686="",$U1686=""),IF($T1686="","","Not on Firms tab"),INDEX(Firms!$B$5:$B$1004,$U1686)&amp;"")</f>
        <v/>
      </c>
      <c r="C1686" s="78">
        <f>IF($T1686="","",IF($S1686="S","Standard",INDEX('AFA Rates'!$B$5:$B$1004,$T1686)&amp;""))</f>
        <v/>
      </c>
      <c r="D1686" s="88">
        <f>IF($T1686="","",IF($S1686="S",IF(INDEX(Firms!$E$5:$E$1004,$T1686)="","",INDEX(Firms!$E$5:$E$1004,$T1686)),IF(INDEX('AFA Rates'!$C$5:$C$1004,$T1686)="","",INDEX('AFA Rates'!$C$5:$C$1004,$T1686))))</f>
        <v/>
      </c>
      <c r="E1686" s="88">
        <f>IF($T1686="","",IF($S1686="S",IF(""="","",""),IF(INDEX('AFA Rates'!$D$5:$D$1004,$T1686)="","",INDEX('AFA Rates'!$D$5:$D$1004,$T1686))))</f>
        <v/>
      </c>
      <c r="F1686" s="79">
        <f>IF($T1686="","",IF($S1686="S",IF(INDEX(Firms!$O$5:$O$1004,$T1686)="","",INDEX(Firms!$O$5:$O$1004,$T1686)),IF(INDEX('AFA Rates'!$O$5:$O$1004,$T1686)="","",INDEX('AFA Rates'!$O$5:$O$1004,$T1686))))</f>
        <v/>
      </c>
      <c r="G1686" s="50">
        <f>IF($T1686="","",IF($S1686="S",IF(INDEX(Firms!$F$5:$F$1004,$T1686)="","",INDEX(Firms!$F$5:$F$1004,$T1686)),IF(INDEX('AFA Rates'!$E$5:$E$1004,$T1686)="","",INDEX('AFA Rates'!$E$5:$E$1004,$T1686))))</f>
        <v/>
      </c>
      <c r="H1686" s="50">
        <f>IF($T1686="","",IF($S1686="S",IF(INDEX(Firms!$G$5:$G$1004,$T1686)="","",INDEX(Firms!$G$5:$G$1004,$T1686)),IF(INDEX('AFA Rates'!$F$5:$F$1004,$T1686)="","",INDEX('AFA Rates'!$F$5:$F$1004,$T1686))))</f>
        <v/>
      </c>
      <c r="I1686" s="50">
        <f>IF($T1686="","",IF($S1686="S",IF(INDEX(Firms!$H$5:$H$1004,$T1686)="","",INDEX(Firms!$H$5:$H$1004,$T1686)),IF(INDEX('AFA Rates'!$G$5:$G$1004,$T1686)="","",INDEX('AFA Rates'!$G$5:$G$1004,$T1686))))</f>
        <v/>
      </c>
      <c r="J1686" s="50">
        <f>IF($T1686="","",IF($S1686="S",IF(INDEX(Firms!$I$5:$I$1004,$T1686)="","",INDEX(Firms!$I$5:$I$1004,$T1686)),IF(INDEX('AFA Rates'!$H$5:$H$1004,$T1686)="","",INDEX('AFA Rates'!$H$5:$H$1004,$T1686))))</f>
        <v/>
      </c>
      <c r="K1686" s="50">
        <f>IF($T1686="","",IF($S1686="S",IF(INDEX(Firms!$J$5:$J$1004,$T1686)="","",INDEX(Firms!$J$5:$J$1004,$T1686)),IF(INDEX('AFA Rates'!$I$5:$I$1004,$T1686)="","",INDEX('AFA Rates'!$I$5:$I$1004,$T1686))))</f>
        <v/>
      </c>
      <c r="L1686" s="50">
        <f>IF($T1686="","",IF($S1686="S",IF(INDEX(Firms!$K$5:$K$1004,$T1686)="","",INDEX(Firms!$K$5:$K$1004,$T1686)),IF(INDEX('AFA Rates'!$J$5:$J$1004,$T1686)="","",INDEX('AFA Rates'!$J$5:$J$1004,$T1686))))</f>
        <v/>
      </c>
      <c r="M1686" s="50">
        <f>IF($T1686="","",IF($S1686="S",IF(INDEX(Firms!$L$5:$L$1004,$T1686)="","",INDEX(Firms!$L$5:$L$1004,$T1686)),IF(INDEX('AFA Rates'!$K$5:$K$1004,$T1686)="","",INDEX('AFA Rates'!$K$5:$K$1004,$T1686))))</f>
        <v/>
      </c>
      <c r="N1686" s="50">
        <f>IF($T1686="","",IF($S1686="S",IF(INDEX(Firms!$M$5:$M$1004,$T1686)="","",INDEX(Firms!$M$5:$M$1004,$T1686)),IF(INDEX('AFA Rates'!$L$5:$L$1004,$T1686)="","",INDEX('AFA Rates'!$L$5:$L$1004,$T1686))))</f>
        <v/>
      </c>
      <c r="O1686" s="78">
        <f>IF(OR($T1686="",$U1686=""),"",IF(INDEX(Firms!$C$5:$C$1004,$U1686)="","",INDEX(Firms!$C$5:$C$1004,$U1686)))</f>
        <v/>
      </c>
      <c r="P1686" s="79">
        <f>IF(OR($T1686="",$U1686=""),"",IF(INDEX(Firms!$N$5:$N$1004,$U1686)="","",INDEX(Firms!$N$5:$N$1004,$U1686)))</f>
        <v/>
      </c>
      <c r="Q1686" s="78">
        <f>IF($T1686="","",IF($S1686="S",IF(INDEX(Firms!$T$5:$T$1004,$T1686)="","",INDEX(Firms!$T$5:$T$1004,$T1686)),IF(INDEX('AFA Rates'!$M$5:$M$1004,$T1686)="","",INDEX('AFA Rates'!$M$5:$M$1004,$T1686))))</f>
        <v/>
      </c>
      <c r="S1686">
        <f>IF(1682&lt;=$S$2,"S",IF(1682&lt;=$S$2+$T$2,"A",""))</f>
        <v/>
      </c>
      <c r="T1686">
        <f>IF(S1686="S",MATCH(1682,Firms!$W$5:$W$1004,0),IF(S1686="A",IFERROR(MATCH(1682-$S$2,'AFA Rates'!$R$5:$R$1004,0),""),""))</f>
        <v/>
      </c>
      <c r="U1686">
        <f>IF(S1686="S",T1686,IF(AND(S1686="A",T1686&lt;&gt;""),IFERROR(MATCH(INDEX('AFA Rates'!$A$5:$A$1004,T1686),Firms!$A$5:$A$1004,0),""),""))</f>
        <v/>
      </c>
    </row>
    <row r="1687">
      <c r="A1687" s="78">
        <f>IF($T1687="","",IF($S1687="S",IF(INDEX(Firms!$A$5:$A$1004,$T1687)="","",INDEX(Firms!$A$5:$A$1004,$T1687)),IF(INDEX('AFA Rates'!$A$5:$A$1004,$T1687)="","",INDEX('AFA Rates'!$A$5:$A$1004,$T1687))))</f>
        <v/>
      </c>
      <c r="B1687" s="79">
        <f>IF(OR($T1687="",$U1687=""),IF($T1687="","","Not on Firms tab"),INDEX(Firms!$B$5:$B$1004,$U1687)&amp;"")</f>
        <v/>
      </c>
      <c r="C1687" s="78">
        <f>IF($T1687="","",IF($S1687="S","Standard",INDEX('AFA Rates'!$B$5:$B$1004,$T1687)&amp;""))</f>
        <v/>
      </c>
      <c r="D1687" s="88">
        <f>IF($T1687="","",IF($S1687="S",IF(INDEX(Firms!$E$5:$E$1004,$T1687)="","",INDEX(Firms!$E$5:$E$1004,$T1687)),IF(INDEX('AFA Rates'!$C$5:$C$1004,$T1687)="","",INDEX('AFA Rates'!$C$5:$C$1004,$T1687))))</f>
        <v/>
      </c>
      <c r="E1687" s="88">
        <f>IF($T1687="","",IF($S1687="S",IF(""="","",""),IF(INDEX('AFA Rates'!$D$5:$D$1004,$T1687)="","",INDEX('AFA Rates'!$D$5:$D$1004,$T1687))))</f>
        <v/>
      </c>
      <c r="F1687" s="79">
        <f>IF($T1687="","",IF($S1687="S",IF(INDEX(Firms!$O$5:$O$1004,$T1687)="","",INDEX(Firms!$O$5:$O$1004,$T1687)),IF(INDEX('AFA Rates'!$O$5:$O$1004,$T1687)="","",INDEX('AFA Rates'!$O$5:$O$1004,$T1687))))</f>
        <v/>
      </c>
      <c r="G1687" s="50">
        <f>IF($T1687="","",IF($S1687="S",IF(INDEX(Firms!$F$5:$F$1004,$T1687)="","",INDEX(Firms!$F$5:$F$1004,$T1687)),IF(INDEX('AFA Rates'!$E$5:$E$1004,$T1687)="","",INDEX('AFA Rates'!$E$5:$E$1004,$T1687))))</f>
        <v/>
      </c>
      <c r="H1687" s="50">
        <f>IF($T1687="","",IF($S1687="S",IF(INDEX(Firms!$G$5:$G$1004,$T1687)="","",INDEX(Firms!$G$5:$G$1004,$T1687)),IF(INDEX('AFA Rates'!$F$5:$F$1004,$T1687)="","",INDEX('AFA Rates'!$F$5:$F$1004,$T1687))))</f>
        <v/>
      </c>
      <c r="I1687" s="50">
        <f>IF($T1687="","",IF($S1687="S",IF(INDEX(Firms!$H$5:$H$1004,$T1687)="","",INDEX(Firms!$H$5:$H$1004,$T1687)),IF(INDEX('AFA Rates'!$G$5:$G$1004,$T1687)="","",INDEX('AFA Rates'!$G$5:$G$1004,$T1687))))</f>
        <v/>
      </c>
      <c r="J1687" s="50">
        <f>IF($T1687="","",IF($S1687="S",IF(INDEX(Firms!$I$5:$I$1004,$T1687)="","",INDEX(Firms!$I$5:$I$1004,$T1687)),IF(INDEX('AFA Rates'!$H$5:$H$1004,$T1687)="","",INDEX('AFA Rates'!$H$5:$H$1004,$T1687))))</f>
        <v/>
      </c>
      <c r="K1687" s="50">
        <f>IF($T1687="","",IF($S1687="S",IF(INDEX(Firms!$J$5:$J$1004,$T1687)="","",INDEX(Firms!$J$5:$J$1004,$T1687)),IF(INDEX('AFA Rates'!$I$5:$I$1004,$T1687)="","",INDEX('AFA Rates'!$I$5:$I$1004,$T1687))))</f>
        <v/>
      </c>
      <c r="L1687" s="50">
        <f>IF($T1687="","",IF($S1687="S",IF(INDEX(Firms!$K$5:$K$1004,$T1687)="","",INDEX(Firms!$K$5:$K$1004,$T1687)),IF(INDEX('AFA Rates'!$J$5:$J$1004,$T1687)="","",INDEX('AFA Rates'!$J$5:$J$1004,$T1687))))</f>
        <v/>
      </c>
      <c r="M1687" s="50">
        <f>IF($T1687="","",IF($S1687="S",IF(INDEX(Firms!$L$5:$L$1004,$T1687)="","",INDEX(Firms!$L$5:$L$1004,$T1687)),IF(INDEX('AFA Rates'!$K$5:$K$1004,$T1687)="","",INDEX('AFA Rates'!$K$5:$K$1004,$T1687))))</f>
        <v/>
      </c>
      <c r="N1687" s="50">
        <f>IF($T1687="","",IF($S1687="S",IF(INDEX(Firms!$M$5:$M$1004,$T1687)="","",INDEX(Firms!$M$5:$M$1004,$T1687)),IF(INDEX('AFA Rates'!$L$5:$L$1004,$T1687)="","",INDEX('AFA Rates'!$L$5:$L$1004,$T1687))))</f>
        <v/>
      </c>
      <c r="O1687" s="78">
        <f>IF(OR($T1687="",$U1687=""),"",IF(INDEX(Firms!$C$5:$C$1004,$U1687)="","",INDEX(Firms!$C$5:$C$1004,$U1687)))</f>
        <v/>
      </c>
      <c r="P1687" s="79">
        <f>IF(OR($T1687="",$U1687=""),"",IF(INDEX(Firms!$N$5:$N$1004,$U1687)="","",INDEX(Firms!$N$5:$N$1004,$U1687)))</f>
        <v/>
      </c>
      <c r="Q1687" s="78">
        <f>IF($T1687="","",IF($S1687="S",IF(INDEX(Firms!$T$5:$T$1004,$T1687)="","",INDEX(Firms!$T$5:$T$1004,$T1687)),IF(INDEX('AFA Rates'!$M$5:$M$1004,$T1687)="","",INDEX('AFA Rates'!$M$5:$M$1004,$T1687))))</f>
        <v/>
      </c>
      <c r="S1687">
        <f>IF(1683&lt;=$S$2,"S",IF(1683&lt;=$S$2+$T$2,"A",""))</f>
        <v/>
      </c>
      <c r="T1687">
        <f>IF(S1687="S",MATCH(1683,Firms!$W$5:$W$1004,0),IF(S1687="A",IFERROR(MATCH(1683-$S$2,'AFA Rates'!$R$5:$R$1004,0),""),""))</f>
        <v/>
      </c>
      <c r="U1687">
        <f>IF(S1687="S",T1687,IF(AND(S1687="A",T1687&lt;&gt;""),IFERROR(MATCH(INDEX('AFA Rates'!$A$5:$A$1004,T1687),Firms!$A$5:$A$1004,0),""),""))</f>
        <v/>
      </c>
    </row>
    <row r="1688">
      <c r="A1688" s="78">
        <f>IF($T1688="","",IF($S1688="S",IF(INDEX(Firms!$A$5:$A$1004,$T1688)="","",INDEX(Firms!$A$5:$A$1004,$T1688)),IF(INDEX('AFA Rates'!$A$5:$A$1004,$T1688)="","",INDEX('AFA Rates'!$A$5:$A$1004,$T1688))))</f>
        <v/>
      </c>
      <c r="B1688" s="79">
        <f>IF(OR($T1688="",$U1688=""),IF($T1688="","","Not on Firms tab"),INDEX(Firms!$B$5:$B$1004,$U1688)&amp;"")</f>
        <v/>
      </c>
      <c r="C1688" s="78">
        <f>IF($T1688="","",IF($S1688="S","Standard",INDEX('AFA Rates'!$B$5:$B$1004,$T1688)&amp;""))</f>
        <v/>
      </c>
      <c r="D1688" s="88">
        <f>IF($T1688="","",IF($S1688="S",IF(INDEX(Firms!$E$5:$E$1004,$T1688)="","",INDEX(Firms!$E$5:$E$1004,$T1688)),IF(INDEX('AFA Rates'!$C$5:$C$1004,$T1688)="","",INDEX('AFA Rates'!$C$5:$C$1004,$T1688))))</f>
        <v/>
      </c>
      <c r="E1688" s="88">
        <f>IF($T1688="","",IF($S1688="S",IF(""="","",""),IF(INDEX('AFA Rates'!$D$5:$D$1004,$T1688)="","",INDEX('AFA Rates'!$D$5:$D$1004,$T1688))))</f>
        <v/>
      </c>
      <c r="F1688" s="79">
        <f>IF($T1688="","",IF($S1688="S",IF(INDEX(Firms!$O$5:$O$1004,$T1688)="","",INDEX(Firms!$O$5:$O$1004,$T1688)),IF(INDEX('AFA Rates'!$O$5:$O$1004,$T1688)="","",INDEX('AFA Rates'!$O$5:$O$1004,$T1688))))</f>
        <v/>
      </c>
      <c r="G1688" s="50">
        <f>IF($T1688="","",IF($S1688="S",IF(INDEX(Firms!$F$5:$F$1004,$T1688)="","",INDEX(Firms!$F$5:$F$1004,$T1688)),IF(INDEX('AFA Rates'!$E$5:$E$1004,$T1688)="","",INDEX('AFA Rates'!$E$5:$E$1004,$T1688))))</f>
        <v/>
      </c>
      <c r="H1688" s="50">
        <f>IF($T1688="","",IF($S1688="S",IF(INDEX(Firms!$G$5:$G$1004,$T1688)="","",INDEX(Firms!$G$5:$G$1004,$T1688)),IF(INDEX('AFA Rates'!$F$5:$F$1004,$T1688)="","",INDEX('AFA Rates'!$F$5:$F$1004,$T1688))))</f>
        <v/>
      </c>
      <c r="I1688" s="50">
        <f>IF($T1688="","",IF($S1688="S",IF(INDEX(Firms!$H$5:$H$1004,$T1688)="","",INDEX(Firms!$H$5:$H$1004,$T1688)),IF(INDEX('AFA Rates'!$G$5:$G$1004,$T1688)="","",INDEX('AFA Rates'!$G$5:$G$1004,$T1688))))</f>
        <v/>
      </c>
      <c r="J1688" s="50">
        <f>IF($T1688="","",IF($S1688="S",IF(INDEX(Firms!$I$5:$I$1004,$T1688)="","",INDEX(Firms!$I$5:$I$1004,$T1688)),IF(INDEX('AFA Rates'!$H$5:$H$1004,$T1688)="","",INDEX('AFA Rates'!$H$5:$H$1004,$T1688))))</f>
        <v/>
      </c>
      <c r="K1688" s="50">
        <f>IF($T1688="","",IF($S1688="S",IF(INDEX(Firms!$J$5:$J$1004,$T1688)="","",INDEX(Firms!$J$5:$J$1004,$T1688)),IF(INDEX('AFA Rates'!$I$5:$I$1004,$T1688)="","",INDEX('AFA Rates'!$I$5:$I$1004,$T1688))))</f>
        <v/>
      </c>
      <c r="L1688" s="50">
        <f>IF($T1688="","",IF($S1688="S",IF(INDEX(Firms!$K$5:$K$1004,$T1688)="","",INDEX(Firms!$K$5:$K$1004,$T1688)),IF(INDEX('AFA Rates'!$J$5:$J$1004,$T1688)="","",INDEX('AFA Rates'!$J$5:$J$1004,$T1688))))</f>
        <v/>
      </c>
      <c r="M1688" s="50">
        <f>IF($T1688="","",IF($S1688="S",IF(INDEX(Firms!$L$5:$L$1004,$T1688)="","",INDEX(Firms!$L$5:$L$1004,$T1688)),IF(INDEX('AFA Rates'!$K$5:$K$1004,$T1688)="","",INDEX('AFA Rates'!$K$5:$K$1004,$T1688))))</f>
        <v/>
      </c>
      <c r="N1688" s="50">
        <f>IF($T1688="","",IF($S1688="S",IF(INDEX(Firms!$M$5:$M$1004,$T1688)="","",INDEX(Firms!$M$5:$M$1004,$T1688)),IF(INDEX('AFA Rates'!$L$5:$L$1004,$T1688)="","",INDEX('AFA Rates'!$L$5:$L$1004,$T1688))))</f>
        <v/>
      </c>
      <c r="O1688" s="78">
        <f>IF(OR($T1688="",$U1688=""),"",IF(INDEX(Firms!$C$5:$C$1004,$U1688)="","",INDEX(Firms!$C$5:$C$1004,$U1688)))</f>
        <v/>
      </c>
      <c r="P1688" s="79">
        <f>IF(OR($T1688="",$U1688=""),"",IF(INDEX(Firms!$N$5:$N$1004,$U1688)="","",INDEX(Firms!$N$5:$N$1004,$U1688)))</f>
        <v/>
      </c>
      <c r="Q1688" s="78">
        <f>IF($T1688="","",IF($S1688="S",IF(INDEX(Firms!$T$5:$T$1004,$T1688)="","",INDEX(Firms!$T$5:$T$1004,$T1688)),IF(INDEX('AFA Rates'!$M$5:$M$1004,$T1688)="","",INDEX('AFA Rates'!$M$5:$M$1004,$T1688))))</f>
        <v/>
      </c>
      <c r="S1688">
        <f>IF(1684&lt;=$S$2,"S",IF(1684&lt;=$S$2+$T$2,"A",""))</f>
        <v/>
      </c>
      <c r="T1688">
        <f>IF(S1688="S",MATCH(1684,Firms!$W$5:$W$1004,0),IF(S1688="A",IFERROR(MATCH(1684-$S$2,'AFA Rates'!$R$5:$R$1004,0),""),""))</f>
        <v/>
      </c>
      <c r="U1688">
        <f>IF(S1688="S",T1688,IF(AND(S1688="A",T1688&lt;&gt;""),IFERROR(MATCH(INDEX('AFA Rates'!$A$5:$A$1004,T1688),Firms!$A$5:$A$1004,0),""),""))</f>
        <v/>
      </c>
    </row>
    <row r="1689">
      <c r="A1689" s="78">
        <f>IF($T1689="","",IF($S1689="S",IF(INDEX(Firms!$A$5:$A$1004,$T1689)="","",INDEX(Firms!$A$5:$A$1004,$T1689)),IF(INDEX('AFA Rates'!$A$5:$A$1004,$T1689)="","",INDEX('AFA Rates'!$A$5:$A$1004,$T1689))))</f>
        <v/>
      </c>
      <c r="B1689" s="79">
        <f>IF(OR($T1689="",$U1689=""),IF($T1689="","","Not on Firms tab"),INDEX(Firms!$B$5:$B$1004,$U1689)&amp;"")</f>
        <v/>
      </c>
      <c r="C1689" s="78">
        <f>IF($T1689="","",IF($S1689="S","Standard",INDEX('AFA Rates'!$B$5:$B$1004,$T1689)&amp;""))</f>
        <v/>
      </c>
      <c r="D1689" s="88">
        <f>IF($T1689="","",IF($S1689="S",IF(INDEX(Firms!$E$5:$E$1004,$T1689)="","",INDEX(Firms!$E$5:$E$1004,$T1689)),IF(INDEX('AFA Rates'!$C$5:$C$1004,$T1689)="","",INDEX('AFA Rates'!$C$5:$C$1004,$T1689))))</f>
        <v/>
      </c>
      <c r="E1689" s="88">
        <f>IF($T1689="","",IF($S1689="S",IF(""="","",""),IF(INDEX('AFA Rates'!$D$5:$D$1004,$T1689)="","",INDEX('AFA Rates'!$D$5:$D$1004,$T1689))))</f>
        <v/>
      </c>
      <c r="F1689" s="79">
        <f>IF($T1689="","",IF($S1689="S",IF(INDEX(Firms!$O$5:$O$1004,$T1689)="","",INDEX(Firms!$O$5:$O$1004,$T1689)),IF(INDEX('AFA Rates'!$O$5:$O$1004,$T1689)="","",INDEX('AFA Rates'!$O$5:$O$1004,$T1689))))</f>
        <v/>
      </c>
      <c r="G1689" s="50">
        <f>IF($T1689="","",IF($S1689="S",IF(INDEX(Firms!$F$5:$F$1004,$T1689)="","",INDEX(Firms!$F$5:$F$1004,$T1689)),IF(INDEX('AFA Rates'!$E$5:$E$1004,$T1689)="","",INDEX('AFA Rates'!$E$5:$E$1004,$T1689))))</f>
        <v/>
      </c>
      <c r="H1689" s="50">
        <f>IF($T1689="","",IF($S1689="S",IF(INDEX(Firms!$G$5:$G$1004,$T1689)="","",INDEX(Firms!$G$5:$G$1004,$T1689)),IF(INDEX('AFA Rates'!$F$5:$F$1004,$T1689)="","",INDEX('AFA Rates'!$F$5:$F$1004,$T1689))))</f>
        <v/>
      </c>
      <c r="I1689" s="50">
        <f>IF($T1689="","",IF($S1689="S",IF(INDEX(Firms!$H$5:$H$1004,$T1689)="","",INDEX(Firms!$H$5:$H$1004,$T1689)),IF(INDEX('AFA Rates'!$G$5:$G$1004,$T1689)="","",INDEX('AFA Rates'!$G$5:$G$1004,$T1689))))</f>
        <v/>
      </c>
      <c r="J1689" s="50">
        <f>IF($T1689="","",IF($S1689="S",IF(INDEX(Firms!$I$5:$I$1004,$T1689)="","",INDEX(Firms!$I$5:$I$1004,$T1689)),IF(INDEX('AFA Rates'!$H$5:$H$1004,$T1689)="","",INDEX('AFA Rates'!$H$5:$H$1004,$T1689))))</f>
        <v/>
      </c>
      <c r="K1689" s="50">
        <f>IF($T1689="","",IF($S1689="S",IF(INDEX(Firms!$J$5:$J$1004,$T1689)="","",INDEX(Firms!$J$5:$J$1004,$T1689)),IF(INDEX('AFA Rates'!$I$5:$I$1004,$T1689)="","",INDEX('AFA Rates'!$I$5:$I$1004,$T1689))))</f>
        <v/>
      </c>
      <c r="L1689" s="50">
        <f>IF($T1689="","",IF($S1689="S",IF(INDEX(Firms!$K$5:$K$1004,$T1689)="","",INDEX(Firms!$K$5:$K$1004,$T1689)),IF(INDEX('AFA Rates'!$J$5:$J$1004,$T1689)="","",INDEX('AFA Rates'!$J$5:$J$1004,$T1689))))</f>
        <v/>
      </c>
      <c r="M1689" s="50">
        <f>IF($T1689="","",IF($S1689="S",IF(INDEX(Firms!$L$5:$L$1004,$T1689)="","",INDEX(Firms!$L$5:$L$1004,$T1689)),IF(INDEX('AFA Rates'!$K$5:$K$1004,$T1689)="","",INDEX('AFA Rates'!$K$5:$K$1004,$T1689))))</f>
        <v/>
      </c>
      <c r="N1689" s="50">
        <f>IF($T1689="","",IF($S1689="S",IF(INDEX(Firms!$M$5:$M$1004,$T1689)="","",INDEX(Firms!$M$5:$M$1004,$T1689)),IF(INDEX('AFA Rates'!$L$5:$L$1004,$T1689)="","",INDEX('AFA Rates'!$L$5:$L$1004,$T1689))))</f>
        <v/>
      </c>
      <c r="O1689" s="78">
        <f>IF(OR($T1689="",$U1689=""),"",IF(INDEX(Firms!$C$5:$C$1004,$U1689)="","",INDEX(Firms!$C$5:$C$1004,$U1689)))</f>
        <v/>
      </c>
      <c r="P1689" s="79">
        <f>IF(OR($T1689="",$U1689=""),"",IF(INDEX(Firms!$N$5:$N$1004,$U1689)="","",INDEX(Firms!$N$5:$N$1004,$U1689)))</f>
        <v/>
      </c>
      <c r="Q1689" s="78">
        <f>IF($T1689="","",IF($S1689="S",IF(INDEX(Firms!$T$5:$T$1004,$T1689)="","",INDEX(Firms!$T$5:$T$1004,$T1689)),IF(INDEX('AFA Rates'!$M$5:$M$1004,$T1689)="","",INDEX('AFA Rates'!$M$5:$M$1004,$T1689))))</f>
        <v/>
      </c>
      <c r="S1689">
        <f>IF(1685&lt;=$S$2,"S",IF(1685&lt;=$S$2+$T$2,"A",""))</f>
        <v/>
      </c>
      <c r="T1689">
        <f>IF(S1689="S",MATCH(1685,Firms!$W$5:$W$1004,0),IF(S1689="A",IFERROR(MATCH(1685-$S$2,'AFA Rates'!$R$5:$R$1004,0),""),""))</f>
        <v/>
      </c>
      <c r="U1689">
        <f>IF(S1689="S",T1689,IF(AND(S1689="A",T1689&lt;&gt;""),IFERROR(MATCH(INDEX('AFA Rates'!$A$5:$A$1004,T1689),Firms!$A$5:$A$1004,0),""),""))</f>
        <v/>
      </c>
    </row>
    <row r="1690">
      <c r="A1690" s="78">
        <f>IF($T1690="","",IF($S1690="S",IF(INDEX(Firms!$A$5:$A$1004,$T1690)="","",INDEX(Firms!$A$5:$A$1004,$T1690)),IF(INDEX('AFA Rates'!$A$5:$A$1004,$T1690)="","",INDEX('AFA Rates'!$A$5:$A$1004,$T1690))))</f>
        <v/>
      </c>
      <c r="B1690" s="79">
        <f>IF(OR($T1690="",$U1690=""),IF($T1690="","","Not on Firms tab"),INDEX(Firms!$B$5:$B$1004,$U1690)&amp;"")</f>
        <v/>
      </c>
      <c r="C1690" s="78">
        <f>IF($T1690="","",IF($S1690="S","Standard",INDEX('AFA Rates'!$B$5:$B$1004,$T1690)&amp;""))</f>
        <v/>
      </c>
      <c r="D1690" s="88">
        <f>IF($T1690="","",IF($S1690="S",IF(INDEX(Firms!$E$5:$E$1004,$T1690)="","",INDEX(Firms!$E$5:$E$1004,$T1690)),IF(INDEX('AFA Rates'!$C$5:$C$1004,$T1690)="","",INDEX('AFA Rates'!$C$5:$C$1004,$T1690))))</f>
        <v/>
      </c>
      <c r="E1690" s="88">
        <f>IF($T1690="","",IF($S1690="S",IF(""="","",""),IF(INDEX('AFA Rates'!$D$5:$D$1004,$T1690)="","",INDEX('AFA Rates'!$D$5:$D$1004,$T1690))))</f>
        <v/>
      </c>
      <c r="F1690" s="79">
        <f>IF($T1690="","",IF($S1690="S",IF(INDEX(Firms!$O$5:$O$1004,$T1690)="","",INDEX(Firms!$O$5:$O$1004,$T1690)),IF(INDEX('AFA Rates'!$O$5:$O$1004,$T1690)="","",INDEX('AFA Rates'!$O$5:$O$1004,$T1690))))</f>
        <v/>
      </c>
      <c r="G1690" s="50">
        <f>IF($T1690="","",IF($S1690="S",IF(INDEX(Firms!$F$5:$F$1004,$T1690)="","",INDEX(Firms!$F$5:$F$1004,$T1690)),IF(INDEX('AFA Rates'!$E$5:$E$1004,$T1690)="","",INDEX('AFA Rates'!$E$5:$E$1004,$T1690))))</f>
        <v/>
      </c>
      <c r="H1690" s="50">
        <f>IF($T1690="","",IF($S1690="S",IF(INDEX(Firms!$G$5:$G$1004,$T1690)="","",INDEX(Firms!$G$5:$G$1004,$T1690)),IF(INDEX('AFA Rates'!$F$5:$F$1004,$T1690)="","",INDEX('AFA Rates'!$F$5:$F$1004,$T1690))))</f>
        <v/>
      </c>
      <c r="I1690" s="50">
        <f>IF($T1690="","",IF($S1690="S",IF(INDEX(Firms!$H$5:$H$1004,$T1690)="","",INDEX(Firms!$H$5:$H$1004,$T1690)),IF(INDEX('AFA Rates'!$G$5:$G$1004,$T1690)="","",INDEX('AFA Rates'!$G$5:$G$1004,$T1690))))</f>
        <v/>
      </c>
      <c r="J1690" s="50">
        <f>IF($T1690="","",IF($S1690="S",IF(INDEX(Firms!$I$5:$I$1004,$T1690)="","",INDEX(Firms!$I$5:$I$1004,$T1690)),IF(INDEX('AFA Rates'!$H$5:$H$1004,$T1690)="","",INDEX('AFA Rates'!$H$5:$H$1004,$T1690))))</f>
        <v/>
      </c>
      <c r="K1690" s="50">
        <f>IF($T1690="","",IF($S1690="S",IF(INDEX(Firms!$J$5:$J$1004,$T1690)="","",INDEX(Firms!$J$5:$J$1004,$T1690)),IF(INDEX('AFA Rates'!$I$5:$I$1004,$T1690)="","",INDEX('AFA Rates'!$I$5:$I$1004,$T1690))))</f>
        <v/>
      </c>
      <c r="L1690" s="50">
        <f>IF($T1690="","",IF($S1690="S",IF(INDEX(Firms!$K$5:$K$1004,$T1690)="","",INDEX(Firms!$K$5:$K$1004,$T1690)),IF(INDEX('AFA Rates'!$J$5:$J$1004,$T1690)="","",INDEX('AFA Rates'!$J$5:$J$1004,$T1690))))</f>
        <v/>
      </c>
      <c r="M1690" s="50">
        <f>IF($T1690="","",IF($S1690="S",IF(INDEX(Firms!$L$5:$L$1004,$T1690)="","",INDEX(Firms!$L$5:$L$1004,$T1690)),IF(INDEX('AFA Rates'!$K$5:$K$1004,$T1690)="","",INDEX('AFA Rates'!$K$5:$K$1004,$T1690))))</f>
        <v/>
      </c>
      <c r="N1690" s="50">
        <f>IF($T1690="","",IF($S1690="S",IF(INDEX(Firms!$M$5:$M$1004,$T1690)="","",INDEX(Firms!$M$5:$M$1004,$T1690)),IF(INDEX('AFA Rates'!$L$5:$L$1004,$T1690)="","",INDEX('AFA Rates'!$L$5:$L$1004,$T1690))))</f>
        <v/>
      </c>
      <c r="O1690" s="78">
        <f>IF(OR($T1690="",$U1690=""),"",IF(INDEX(Firms!$C$5:$C$1004,$U1690)="","",INDEX(Firms!$C$5:$C$1004,$U1690)))</f>
        <v/>
      </c>
      <c r="P1690" s="79">
        <f>IF(OR($T1690="",$U1690=""),"",IF(INDEX(Firms!$N$5:$N$1004,$U1690)="","",INDEX(Firms!$N$5:$N$1004,$U1690)))</f>
        <v/>
      </c>
      <c r="Q1690" s="78">
        <f>IF($T1690="","",IF($S1690="S",IF(INDEX(Firms!$T$5:$T$1004,$T1690)="","",INDEX(Firms!$T$5:$T$1004,$T1690)),IF(INDEX('AFA Rates'!$M$5:$M$1004,$T1690)="","",INDEX('AFA Rates'!$M$5:$M$1004,$T1690))))</f>
        <v/>
      </c>
      <c r="S1690">
        <f>IF(1686&lt;=$S$2,"S",IF(1686&lt;=$S$2+$T$2,"A",""))</f>
        <v/>
      </c>
      <c r="T1690">
        <f>IF(S1690="S",MATCH(1686,Firms!$W$5:$W$1004,0),IF(S1690="A",IFERROR(MATCH(1686-$S$2,'AFA Rates'!$R$5:$R$1004,0),""),""))</f>
        <v/>
      </c>
      <c r="U1690">
        <f>IF(S1690="S",T1690,IF(AND(S1690="A",T1690&lt;&gt;""),IFERROR(MATCH(INDEX('AFA Rates'!$A$5:$A$1004,T1690),Firms!$A$5:$A$1004,0),""),""))</f>
        <v/>
      </c>
    </row>
    <row r="1691">
      <c r="A1691" s="78">
        <f>IF($T1691="","",IF($S1691="S",IF(INDEX(Firms!$A$5:$A$1004,$T1691)="","",INDEX(Firms!$A$5:$A$1004,$T1691)),IF(INDEX('AFA Rates'!$A$5:$A$1004,$T1691)="","",INDEX('AFA Rates'!$A$5:$A$1004,$T1691))))</f>
        <v/>
      </c>
      <c r="B1691" s="79">
        <f>IF(OR($T1691="",$U1691=""),IF($T1691="","","Not on Firms tab"),INDEX(Firms!$B$5:$B$1004,$U1691)&amp;"")</f>
        <v/>
      </c>
      <c r="C1691" s="78">
        <f>IF($T1691="","",IF($S1691="S","Standard",INDEX('AFA Rates'!$B$5:$B$1004,$T1691)&amp;""))</f>
        <v/>
      </c>
      <c r="D1691" s="88">
        <f>IF($T1691="","",IF($S1691="S",IF(INDEX(Firms!$E$5:$E$1004,$T1691)="","",INDEX(Firms!$E$5:$E$1004,$T1691)),IF(INDEX('AFA Rates'!$C$5:$C$1004,$T1691)="","",INDEX('AFA Rates'!$C$5:$C$1004,$T1691))))</f>
        <v/>
      </c>
      <c r="E1691" s="88">
        <f>IF($T1691="","",IF($S1691="S",IF(""="","",""),IF(INDEX('AFA Rates'!$D$5:$D$1004,$T1691)="","",INDEX('AFA Rates'!$D$5:$D$1004,$T1691))))</f>
        <v/>
      </c>
      <c r="F1691" s="79">
        <f>IF($T1691="","",IF($S1691="S",IF(INDEX(Firms!$O$5:$O$1004,$T1691)="","",INDEX(Firms!$O$5:$O$1004,$T1691)),IF(INDEX('AFA Rates'!$O$5:$O$1004,$T1691)="","",INDEX('AFA Rates'!$O$5:$O$1004,$T1691))))</f>
        <v/>
      </c>
      <c r="G1691" s="50">
        <f>IF($T1691="","",IF($S1691="S",IF(INDEX(Firms!$F$5:$F$1004,$T1691)="","",INDEX(Firms!$F$5:$F$1004,$T1691)),IF(INDEX('AFA Rates'!$E$5:$E$1004,$T1691)="","",INDEX('AFA Rates'!$E$5:$E$1004,$T1691))))</f>
        <v/>
      </c>
      <c r="H1691" s="50">
        <f>IF($T1691="","",IF($S1691="S",IF(INDEX(Firms!$G$5:$G$1004,$T1691)="","",INDEX(Firms!$G$5:$G$1004,$T1691)),IF(INDEX('AFA Rates'!$F$5:$F$1004,$T1691)="","",INDEX('AFA Rates'!$F$5:$F$1004,$T1691))))</f>
        <v/>
      </c>
      <c r="I1691" s="50">
        <f>IF($T1691="","",IF($S1691="S",IF(INDEX(Firms!$H$5:$H$1004,$T1691)="","",INDEX(Firms!$H$5:$H$1004,$T1691)),IF(INDEX('AFA Rates'!$G$5:$G$1004,$T1691)="","",INDEX('AFA Rates'!$G$5:$G$1004,$T1691))))</f>
        <v/>
      </c>
      <c r="J1691" s="50">
        <f>IF($T1691="","",IF($S1691="S",IF(INDEX(Firms!$I$5:$I$1004,$T1691)="","",INDEX(Firms!$I$5:$I$1004,$T1691)),IF(INDEX('AFA Rates'!$H$5:$H$1004,$T1691)="","",INDEX('AFA Rates'!$H$5:$H$1004,$T1691))))</f>
        <v/>
      </c>
      <c r="K1691" s="50">
        <f>IF($T1691="","",IF($S1691="S",IF(INDEX(Firms!$J$5:$J$1004,$T1691)="","",INDEX(Firms!$J$5:$J$1004,$T1691)),IF(INDEX('AFA Rates'!$I$5:$I$1004,$T1691)="","",INDEX('AFA Rates'!$I$5:$I$1004,$T1691))))</f>
        <v/>
      </c>
      <c r="L1691" s="50">
        <f>IF($T1691="","",IF($S1691="S",IF(INDEX(Firms!$K$5:$K$1004,$T1691)="","",INDEX(Firms!$K$5:$K$1004,$T1691)),IF(INDEX('AFA Rates'!$J$5:$J$1004,$T1691)="","",INDEX('AFA Rates'!$J$5:$J$1004,$T1691))))</f>
        <v/>
      </c>
      <c r="M1691" s="50">
        <f>IF($T1691="","",IF($S1691="S",IF(INDEX(Firms!$L$5:$L$1004,$T1691)="","",INDEX(Firms!$L$5:$L$1004,$T1691)),IF(INDEX('AFA Rates'!$K$5:$K$1004,$T1691)="","",INDEX('AFA Rates'!$K$5:$K$1004,$T1691))))</f>
        <v/>
      </c>
      <c r="N1691" s="50">
        <f>IF($T1691="","",IF($S1691="S",IF(INDEX(Firms!$M$5:$M$1004,$T1691)="","",INDEX(Firms!$M$5:$M$1004,$T1691)),IF(INDEX('AFA Rates'!$L$5:$L$1004,$T1691)="","",INDEX('AFA Rates'!$L$5:$L$1004,$T1691))))</f>
        <v/>
      </c>
      <c r="O1691" s="78">
        <f>IF(OR($T1691="",$U1691=""),"",IF(INDEX(Firms!$C$5:$C$1004,$U1691)="","",INDEX(Firms!$C$5:$C$1004,$U1691)))</f>
        <v/>
      </c>
      <c r="P1691" s="79">
        <f>IF(OR($T1691="",$U1691=""),"",IF(INDEX(Firms!$N$5:$N$1004,$U1691)="","",INDEX(Firms!$N$5:$N$1004,$U1691)))</f>
        <v/>
      </c>
      <c r="Q1691" s="78">
        <f>IF($T1691="","",IF($S1691="S",IF(INDEX(Firms!$T$5:$T$1004,$T1691)="","",INDEX(Firms!$T$5:$T$1004,$T1691)),IF(INDEX('AFA Rates'!$M$5:$M$1004,$T1691)="","",INDEX('AFA Rates'!$M$5:$M$1004,$T1691))))</f>
        <v/>
      </c>
      <c r="S1691">
        <f>IF(1687&lt;=$S$2,"S",IF(1687&lt;=$S$2+$T$2,"A",""))</f>
        <v/>
      </c>
      <c r="T1691">
        <f>IF(S1691="S",MATCH(1687,Firms!$W$5:$W$1004,0),IF(S1691="A",IFERROR(MATCH(1687-$S$2,'AFA Rates'!$R$5:$R$1004,0),""),""))</f>
        <v/>
      </c>
      <c r="U1691">
        <f>IF(S1691="S",T1691,IF(AND(S1691="A",T1691&lt;&gt;""),IFERROR(MATCH(INDEX('AFA Rates'!$A$5:$A$1004,T1691),Firms!$A$5:$A$1004,0),""),""))</f>
        <v/>
      </c>
    </row>
    <row r="1692">
      <c r="A1692" s="78">
        <f>IF($T1692="","",IF($S1692="S",IF(INDEX(Firms!$A$5:$A$1004,$T1692)="","",INDEX(Firms!$A$5:$A$1004,$T1692)),IF(INDEX('AFA Rates'!$A$5:$A$1004,$T1692)="","",INDEX('AFA Rates'!$A$5:$A$1004,$T1692))))</f>
        <v/>
      </c>
      <c r="B1692" s="79">
        <f>IF(OR($T1692="",$U1692=""),IF($T1692="","","Not on Firms tab"),INDEX(Firms!$B$5:$B$1004,$U1692)&amp;"")</f>
        <v/>
      </c>
      <c r="C1692" s="78">
        <f>IF($T1692="","",IF($S1692="S","Standard",INDEX('AFA Rates'!$B$5:$B$1004,$T1692)&amp;""))</f>
        <v/>
      </c>
      <c r="D1692" s="88">
        <f>IF($T1692="","",IF($S1692="S",IF(INDEX(Firms!$E$5:$E$1004,$T1692)="","",INDEX(Firms!$E$5:$E$1004,$T1692)),IF(INDEX('AFA Rates'!$C$5:$C$1004,$T1692)="","",INDEX('AFA Rates'!$C$5:$C$1004,$T1692))))</f>
        <v/>
      </c>
      <c r="E1692" s="88">
        <f>IF($T1692="","",IF($S1692="S",IF(""="","",""),IF(INDEX('AFA Rates'!$D$5:$D$1004,$T1692)="","",INDEX('AFA Rates'!$D$5:$D$1004,$T1692))))</f>
        <v/>
      </c>
      <c r="F1692" s="79">
        <f>IF($T1692="","",IF($S1692="S",IF(INDEX(Firms!$O$5:$O$1004,$T1692)="","",INDEX(Firms!$O$5:$O$1004,$T1692)),IF(INDEX('AFA Rates'!$O$5:$O$1004,$T1692)="","",INDEX('AFA Rates'!$O$5:$O$1004,$T1692))))</f>
        <v/>
      </c>
      <c r="G1692" s="50">
        <f>IF($T1692="","",IF($S1692="S",IF(INDEX(Firms!$F$5:$F$1004,$T1692)="","",INDEX(Firms!$F$5:$F$1004,$T1692)),IF(INDEX('AFA Rates'!$E$5:$E$1004,$T1692)="","",INDEX('AFA Rates'!$E$5:$E$1004,$T1692))))</f>
        <v/>
      </c>
      <c r="H1692" s="50">
        <f>IF($T1692="","",IF($S1692="S",IF(INDEX(Firms!$G$5:$G$1004,$T1692)="","",INDEX(Firms!$G$5:$G$1004,$T1692)),IF(INDEX('AFA Rates'!$F$5:$F$1004,$T1692)="","",INDEX('AFA Rates'!$F$5:$F$1004,$T1692))))</f>
        <v/>
      </c>
      <c r="I1692" s="50">
        <f>IF($T1692="","",IF($S1692="S",IF(INDEX(Firms!$H$5:$H$1004,$T1692)="","",INDEX(Firms!$H$5:$H$1004,$T1692)),IF(INDEX('AFA Rates'!$G$5:$G$1004,$T1692)="","",INDEX('AFA Rates'!$G$5:$G$1004,$T1692))))</f>
        <v/>
      </c>
      <c r="J1692" s="50">
        <f>IF($T1692="","",IF($S1692="S",IF(INDEX(Firms!$I$5:$I$1004,$T1692)="","",INDEX(Firms!$I$5:$I$1004,$T1692)),IF(INDEX('AFA Rates'!$H$5:$H$1004,$T1692)="","",INDEX('AFA Rates'!$H$5:$H$1004,$T1692))))</f>
        <v/>
      </c>
      <c r="K1692" s="50">
        <f>IF($T1692="","",IF($S1692="S",IF(INDEX(Firms!$J$5:$J$1004,$T1692)="","",INDEX(Firms!$J$5:$J$1004,$T1692)),IF(INDEX('AFA Rates'!$I$5:$I$1004,$T1692)="","",INDEX('AFA Rates'!$I$5:$I$1004,$T1692))))</f>
        <v/>
      </c>
      <c r="L1692" s="50">
        <f>IF($T1692="","",IF($S1692="S",IF(INDEX(Firms!$K$5:$K$1004,$T1692)="","",INDEX(Firms!$K$5:$K$1004,$T1692)),IF(INDEX('AFA Rates'!$J$5:$J$1004,$T1692)="","",INDEX('AFA Rates'!$J$5:$J$1004,$T1692))))</f>
        <v/>
      </c>
      <c r="M1692" s="50">
        <f>IF($T1692="","",IF($S1692="S",IF(INDEX(Firms!$L$5:$L$1004,$T1692)="","",INDEX(Firms!$L$5:$L$1004,$T1692)),IF(INDEX('AFA Rates'!$K$5:$K$1004,$T1692)="","",INDEX('AFA Rates'!$K$5:$K$1004,$T1692))))</f>
        <v/>
      </c>
      <c r="N1692" s="50">
        <f>IF($T1692="","",IF($S1692="S",IF(INDEX(Firms!$M$5:$M$1004,$T1692)="","",INDEX(Firms!$M$5:$M$1004,$T1692)),IF(INDEX('AFA Rates'!$L$5:$L$1004,$T1692)="","",INDEX('AFA Rates'!$L$5:$L$1004,$T1692))))</f>
        <v/>
      </c>
      <c r="O1692" s="78">
        <f>IF(OR($T1692="",$U1692=""),"",IF(INDEX(Firms!$C$5:$C$1004,$U1692)="","",INDEX(Firms!$C$5:$C$1004,$U1692)))</f>
        <v/>
      </c>
      <c r="P1692" s="79">
        <f>IF(OR($T1692="",$U1692=""),"",IF(INDEX(Firms!$N$5:$N$1004,$U1692)="","",INDEX(Firms!$N$5:$N$1004,$U1692)))</f>
        <v/>
      </c>
      <c r="Q1692" s="78">
        <f>IF($T1692="","",IF($S1692="S",IF(INDEX(Firms!$T$5:$T$1004,$T1692)="","",INDEX(Firms!$T$5:$T$1004,$T1692)),IF(INDEX('AFA Rates'!$M$5:$M$1004,$T1692)="","",INDEX('AFA Rates'!$M$5:$M$1004,$T1692))))</f>
        <v/>
      </c>
      <c r="S1692">
        <f>IF(1688&lt;=$S$2,"S",IF(1688&lt;=$S$2+$T$2,"A",""))</f>
        <v/>
      </c>
      <c r="T1692">
        <f>IF(S1692="S",MATCH(1688,Firms!$W$5:$W$1004,0),IF(S1692="A",IFERROR(MATCH(1688-$S$2,'AFA Rates'!$R$5:$R$1004,0),""),""))</f>
        <v/>
      </c>
      <c r="U1692">
        <f>IF(S1692="S",T1692,IF(AND(S1692="A",T1692&lt;&gt;""),IFERROR(MATCH(INDEX('AFA Rates'!$A$5:$A$1004,T1692),Firms!$A$5:$A$1004,0),""),""))</f>
        <v/>
      </c>
    </row>
    <row r="1693">
      <c r="A1693" s="78">
        <f>IF($T1693="","",IF($S1693="S",IF(INDEX(Firms!$A$5:$A$1004,$T1693)="","",INDEX(Firms!$A$5:$A$1004,$T1693)),IF(INDEX('AFA Rates'!$A$5:$A$1004,$T1693)="","",INDEX('AFA Rates'!$A$5:$A$1004,$T1693))))</f>
        <v/>
      </c>
      <c r="B1693" s="79">
        <f>IF(OR($T1693="",$U1693=""),IF($T1693="","","Not on Firms tab"),INDEX(Firms!$B$5:$B$1004,$U1693)&amp;"")</f>
        <v/>
      </c>
      <c r="C1693" s="78">
        <f>IF($T1693="","",IF($S1693="S","Standard",INDEX('AFA Rates'!$B$5:$B$1004,$T1693)&amp;""))</f>
        <v/>
      </c>
      <c r="D1693" s="88">
        <f>IF($T1693="","",IF($S1693="S",IF(INDEX(Firms!$E$5:$E$1004,$T1693)="","",INDEX(Firms!$E$5:$E$1004,$T1693)),IF(INDEX('AFA Rates'!$C$5:$C$1004,$T1693)="","",INDEX('AFA Rates'!$C$5:$C$1004,$T1693))))</f>
        <v/>
      </c>
      <c r="E1693" s="88">
        <f>IF($T1693="","",IF($S1693="S",IF(""="","",""),IF(INDEX('AFA Rates'!$D$5:$D$1004,$T1693)="","",INDEX('AFA Rates'!$D$5:$D$1004,$T1693))))</f>
        <v/>
      </c>
      <c r="F1693" s="79">
        <f>IF($T1693="","",IF($S1693="S",IF(INDEX(Firms!$O$5:$O$1004,$T1693)="","",INDEX(Firms!$O$5:$O$1004,$T1693)),IF(INDEX('AFA Rates'!$O$5:$O$1004,$T1693)="","",INDEX('AFA Rates'!$O$5:$O$1004,$T1693))))</f>
        <v/>
      </c>
      <c r="G1693" s="50">
        <f>IF($T1693="","",IF($S1693="S",IF(INDEX(Firms!$F$5:$F$1004,$T1693)="","",INDEX(Firms!$F$5:$F$1004,$T1693)),IF(INDEX('AFA Rates'!$E$5:$E$1004,$T1693)="","",INDEX('AFA Rates'!$E$5:$E$1004,$T1693))))</f>
        <v/>
      </c>
      <c r="H1693" s="50">
        <f>IF($T1693="","",IF($S1693="S",IF(INDEX(Firms!$G$5:$G$1004,$T1693)="","",INDEX(Firms!$G$5:$G$1004,$T1693)),IF(INDEX('AFA Rates'!$F$5:$F$1004,$T1693)="","",INDEX('AFA Rates'!$F$5:$F$1004,$T1693))))</f>
        <v/>
      </c>
      <c r="I1693" s="50">
        <f>IF($T1693="","",IF($S1693="S",IF(INDEX(Firms!$H$5:$H$1004,$T1693)="","",INDEX(Firms!$H$5:$H$1004,$T1693)),IF(INDEX('AFA Rates'!$G$5:$G$1004,$T1693)="","",INDEX('AFA Rates'!$G$5:$G$1004,$T1693))))</f>
        <v/>
      </c>
      <c r="J1693" s="50">
        <f>IF($T1693="","",IF($S1693="S",IF(INDEX(Firms!$I$5:$I$1004,$T1693)="","",INDEX(Firms!$I$5:$I$1004,$T1693)),IF(INDEX('AFA Rates'!$H$5:$H$1004,$T1693)="","",INDEX('AFA Rates'!$H$5:$H$1004,$T1693))))</f>
        <v/>
      </c>
      <c r="K1693" s="50">
        <f>IF($T1693="","",IF($S1693="S",IF(INDEX(Firms!$J$5:$J$1004,$T1693)="","",INDEX(Firms!$J$5:$J$1004,$T1693)),IF(INDEX('AFA Rates'!$I$5:$I$1004,$T1693)="","",INDEX('AFA Rates'!$I$5:$I$1004,$T1693))))</f>
        <v/>
      </c>
      <c r="L1693" s="50">
        <f>IF($T1693="","",IF($S1693="S",IF(INDEX(Firms!$K$5:$K$1004,$T1693)="","",INDEX(Firms!$K$5:$K$1004,$T1693)),IF(INDEX('AFA Rates'!$J$5:$J$1004,$T1693)="","",INDEX('AFA Rates'!$J$5:$J$1004,$T1693))))</f>
        <v/>
      </c>
      <c r="M1693" s="50">
        <f>IF($T1693="","",IF($S1693="S",IF(INDEX(Firms!$L$5:$L$1004,$T1693)="","",INDEX(Firms!$L$5:$L$1004,$T1693)),IF(INDEX('AFA Rates'!$K$5:$K$1004,$T1693)="","",INDEX('AFA Rates'!$K$5:$K$1004,$T1693))))</f>
        <v/>
      </c>
      <c r="N1693" s="50">
        <f>IF($T1693="","",IF($S1693="S",IF(INDEX(Firms!$M$5:$M$1004,$T1693)="","",INDEX(Firms!$M$5:$M$1004,$T1693)),IF(INDEX('AFA Rates'!$L$5:$L$1004,$T1693)="","",INDEX('AFA Rates'!$L$5:$L$1004,$T1693))))</f>
        <v/>
      </c>
      <c r="O1693" s="78">
        <f>IF(OR($T1693="",$U1693=""),"",IF(INDEX(Firms!$C$5:$C$1004,$U1693)="","",INDEX(Firms!$C$5:$C$1004,$U1693)))</f>
        <v/>
      </c>
      <c r="P1693" s="79">
        <f>IF(OR($T1693="",$U1693=""),"",IF(INDEX(Firms!$N$5:$N$1004,$U1693)="","",INDEX(Firms!$N$5:$N$1004,$U1693)))</f>
        <v/>
      </c>
      <c r="Q1693" s="78">
        <f>IF($T1693="","",IF($S1693="S",IF(INDEX(Firms!$T$5:$T$1004,$T1693)="","",INDEX(Firms!$T$5:$T$1004,$T1693)),IF(INDEX('AFA Rates'!$M$5:$M$1004,$T1693)="","",INDEX('AFA Rates'!$M$5:$M$1004,$T1693))))</f>
        <v/>
      </c>
      <c r="S1693">
        <f>IF(1689&lt;=$S$2,"S",IF(1689&lt;=$S$2+$T$2,"A",""))</f>
        <v/>
      </c>
      <c r="T1693">
        <f>IF(S1693="S",MATCH(1689,Firms!$W$5:$W$1004,0),IF(S1693="A",IFERROR(MATCH(1689-$S$2,'AFA Rates'!$R$5:$R$1004,0),""),""))</f>
        <v/>
      </c>
      <c r="U1693">
        <f>IF(S1693="S",T1693,IF(AND(S1693="A",T1693&lt;&gt;""),IFERROR(MATCH(INDEX('AFA Rates'!$A$5:$A$1004,T1693),Firms!$A$5:$A$1004,0),""),""))</f>
        <v/>
      </c>
    </row>
    <row r="1694">
      <c r="A1694" s="78">
        <f>IF($T1694="","",IF($S1694="S",IF(INDEX(Firms!$A$5:$A$1004,$T1694)="","",INDEX(Firms!$A$5:$A$1004,$T1694)),IF(INDEX('AFA Rates'!$A$5:$A$1004,$T1694)="","",INDEX('AFA Rates'!$A$5:$A$1004,$T1694))))</f>
        <v/>
      </c>
      <c r="B1694" s="79">
        <f>IF(OR($T1694="",$U1694=""),IF($T1694="","","Not on Firms tab"),INDEX(Firms!$B$5:$B$1004,$U1694)&amp;"")</f>
        <v/>
      </c>
      <c r="C1694" s="78">
        <f>IF($T1694="","",IF($S1694="S","Standard",INDEX('AFA Rates'!$B$5:$B$1004,$T1694)&amp;""))</f>
        <v/>
      </c>
      <c r="D1694" s="88">
        <f>IF($T1694="","",IF($S1694="S",IF(INDEX(Firms!$E$5:$E$1004,$T1694)="","",INDEX(Firms!$E$5:$E$1004,$T1694)),IF(INDEX('AFA Rates'!$C$5:$C$1004,$T1694)="","",INDEX('AFA Rates'!$C$5:$C$1004,$T1694))))</f>
        <v/>
      </c>
      <c r="E1694" s="88">
        <f>IF($T1694="","",IF($S1694="S",IF(""="","",""),IF(INDEX('AFA Rates'!$D$5:$D$1004,$T1694)="","",INDEX('AFA Rates'!$D$5:$D$1004,$T1694))))</f>
        <v/>
      </c>
      <c r="F1694" s="79">
        <f>IF($T1694="","",IF($S1694="S",IF(INDEX(Firms!$O$5:$O$1004,$T1694)="","",INDEX(Firms!$O$5:$O$1004,$T1694)),IF(INDEX('AFA Rates'!$O$5:$O$1004,$T1694)="","",INDEX('AFA Rates'!$O$5:$O$1004,$T1694))))</f>
        <v/>
      </c>
      <c r="G1694" s="50">
        <f>IF($T1694="","",IF($S1694="S",IF(INDEX(Firms!$F$5:$F$1004,$T1694)="","",INDEX(Firms!$F$5:$F$1004,$T1694)),IF(INDEX('AFA Rates'!$E$5:$E$1004,$T1694)="","",INDEX('AFA Rates'!$E$5:$E$1004,$T1694))))</f>
        <v/>
      </c>
      <c r="H1694" s="50">
        <f>IF($T1694="","",IF($S1694="S",IF(INDEX(Firms!$G$5:$G$1004,$T1694)="","",INDEX(Firms!$G$5:$G$1004,$T1694)),IF(INDEX('AFA Rates'!$F$5:$F$1004,$T1694)="","",INDEX('AFA Rates'!$F$5:$F$1004,$T1694))))</f>
        <v/>
      </c>
      <c r="I1694" s="50">
        <f>IF($T1694="","",IF($S1694="S",IF(INDEX(Firms!$H$5:$H$1004,$T1694)="","",INDEX(Firms!$H$5:$H$1004,$T1694)),IF(INDEX('AFA Rates'!$G$5:$G$1004,$T1694)="","",INDEX('AFA Rates'!$G$5:$G$1004,$T1694))))</f>
        <v/>
      </c>
      <c r="J1694" s="50">
        <f>IF($T1694="","",IF($S1694="S",IF(INDEX(Firms!$I$5:$I$1004,$T1694)="","",INDEX(Firms!$I$5:$I$1004,$T1694)),IF(INDEX('AFA Rates'!$H$5:$H$1004,$T1694)="","",INDEX('AFA Rates'!$H$5:$H$1004,$T1694))))</f>
        <v/>
      </c>
      <c r="K1694" s="50">
        <f>IF($T1694="","",IF($S1694="S",IF(INDEX(Firms!$J$5:$J$1004,$T1694)="","",INDEX(Firms!$J$5:$J$1004,$T1694)),IF(INDEX('AFA Rates'!$I$5:$I$1004,$T1694)="","",INDEX('AFA Rates'!$I$5:$I$1004,$T1694))))</f>
        <v/>
      </c>
      <c r="L1694" s="50">
        <f>IF($T1694="","",IF($S1694="S",IF(INDEX(Firms!$K$5:$K$1004,$T1694)="","",INDEX(Firms!$K$5:$K$1004,$T1694)),IF(INDEX('AFA Rates'!$J$5:$J$1004,$T1694)="","",INDEX('AFA Rates'!$J$5:$J$1004,$T1694))))</f>
        <v/>
      </c>
      <c r="M1694" s="50">
        <f>IF($T1694="","",IF($S1694="S",IF(INDEX(Firms!$L$5:$L$1004,$T1694)="","",INDEX(Firms!$L$5:$L$1004,$T1694)),IF(INDEX('AFA Rates'!$K$5:$K$1004,$T1694)="","",INDEX('AFA Rates'!$K$5:$K$1004,$T1694))))</f>
        <v/>
      </c>
      <c r="N1694" s="50">
        <f>IF($T1694="","",IF($S1694="S",IF(INDEX(Firms!$M$5:$M$1004,$T1694)="","",INDEX(Firms!$M$5:$M$1004,$T1694)),IF(INDEX('AFA Rates'!$L$5:$L$1004,$T1694)="","",INDEX('AFA Rates'!$L$5:$L$1004,$T1694))))</f>
        <v/>
      </c>
      <c r="O1694" s="78">
        <f>IF(OR($T1694="",$U1694=""),"",IF(INDEX(Firms!$C$5:$C$1004,$U1694)="","",INDEX(Firms!$C$5:$C$1004,$U1694)))</f>
        <v/>
      </c>
      <c r="P1694" s="79">
        <f>IF(OR($T1694="",$U1694=""),"",IF(INDEX(Firms!$N$5:$N$1004,$U1694)="","",INDEX(Firms!$N$5:$N$1004,$U1694)))</f>
        <v/>
      </c>
      <c r="Q1694" s="78">
        <f>IF($T1694="","",IF($S1694="S",IF(INDEX(Firms!$T$5:$T$1004,$T1694)="","",INDEX(Firms!$T$5:$T$1004,$T1694)),IF(INDEX('AFA Rates'!$M$5:$M$1004,$T1694)="","",INDEX('AFA Rates'!$M$5:$M$1004,$T1694))))</f>
        <v/>
      </c>
      <c r="S1694">
        <f>IF(1690&lt;=$S$2,"S",IF(1690&lt;=$S$2+$T$2,"A",""))</f>
        <v/>
      </c>
      <c r="T1694">
        <f>IF(S1694="S",MATCH(1690,Firms!$W$5:$W$1004,0),IF(S1694="A",IFERROR(MATCH(1690-$S$2,'AFA Rates'!$R$5:$R$1004,0),""),""))</f>
        <v/>
      </c>
      <c r="U1694">
        <f>IF(S1694="S",T1694,IF(AND(S1694="A",T1694&lt;&gt;""),IFERROR(MATCH(INDEX('AFA Rates'!$A$5:$A$1004,T1694),Firms!$A$5:$A$1004,0),""),""))</f>
        <v/>
      </c>
    </row>
    <row r="1695">
      <c r="A1695" s="78">
        <f>IF($T1695="","",IF($S1695="S",IF(INDEX(Firms!$A$5:$A$1004,$T1695)="","",INDEX(Firms!$A$5:$A$1004,$T1695)),IF(INDEX('AFA Rates'!$A$5:$A$1004,$T1695)="","",INDEX('AFA Rates'!$A$5:$A$1004,$T1695))))</f>
        <v/>
      </c>
      <c r="B1695" s="79">
        <f>IF(OR($T1695="",$U1695=""),IF($T1695="","","Not on Firms tab"),INDEX(Firms!$B$5:$B$1004,$U1695)&amp;"")</f>
        <v/>
      </c>
      <c r="C1695" s="78">
        <f>IF($T1695="","",IF($S1695="S","Standard",INDEX('AFA Rates'!$B$5:$B$1004,$T1695)&amp;""))</f>
        <v/>
      </c>
      <c r="D1695" s="88">
        <f>IF($T1695="","",IF($S1695="S",IF(INDEX(Firms!$E$5:$E$1004,$T1695)="","",INDEX(Firms!$E$5:$E$1004,$T1695)),IF(INDEX('AFA Rates'!$C$5:$C$1004,$T1695)="","",INDEX('AFA Rates'!$C$5:$C$1004,$T1695))))</f>
        <v/>
      </c>
      <c r="E1695" s="88">
        <f>IF($T1695="","",IF($S1695="S",IF(""="","",""),IF(INDEX('AFA Rates'!$D$5:$D$1004,$T1695)="","",INDEX('AFA Rates'!$D$5:$D$1004,$T1695))))</f>
        <v/>
      </c>
      <c r="F1695" s="79">
        <f>IF($T1695="","",IF($S1695="S",IF(INDEX(Firms!$O$5:$O$1004,$T1695)="","",INDEX(Firms!$O$5:$O$1004,$T1695)),IF(INDEX('AFA Rates'!$O$5:$O$1004,$T1695)="","",INDEX('AFA Rates'!$O$5:$O$1004,$T1695))))</f>
        <v/>
      </c>
      <c r="G1695" s="50">
        <f>IF($T1695="","",IF($S1695="S",IF(INDEX(Firms!$F$5:$F$1004,$T1695)="","",INDEX(Firms!$F$5:$F$1004,$T1695)),IF(INDEX('AFA Rates'!$E$5:$E$1004,$T1695)="","",INDEX('AFA Rates'!$E$5:$E$1004,$T1695))))</f>
        <v/>
      </c>
      <c r="H1695" s="50">
        <f>IF($T1695="","",IF($S1695="S",IF(INDEX(Firms!$G$5:$G$1004,$T1695)="","",INDEX(Firms!$G$5:$G$1004,$T1695)),IF(INDEX('AFA Rates'!$F$5:$F$1004,$T1695)="","",INDEX('AFA Rates'!$F$5:$F$1004,$T1695))))</f>
        <v/>
      </c>
      <c r="I1695" s="50">
        <f>IF($T1695="","",IF($S1695="S",IF(INDEX(Firms!$H$5:$H$1004,$T1695)="","",INDEX(Firms!$H$5:$H$1004,$T1695)),IF(INDEX('AFA Rates'!$G$5:$G$1004,$T1695)="","",INDEX('AFA Rates'!$G$5:$G$1004,$T1695))))</f>
        <v/>
      </c>
      <c r="J1695" s="50">
        <f>IF($T1695="","",IF($S1695="S",IF(INDEX(Firms!$I$5:$I$1004,$T1695)="","",INDEX(Firms!$I$5:$I$1004,$T1695)),IF(INDEX('AFA Rates'!$H$5:$H$1004,$T1695)="","",INDEX('AFA Rates'!$H$5:$H$1004,$T1695))))</f>
        <v/>
      </c>
      <c r="K1695" s="50">
        <f>IF($T1695="","",IF($S1695="S",IF(INDEX(Firms!$J$5:$J$1004,$T1695)="","",INDEX(Firms!$J$5:$J$1004,$T1695)),IF(INDEX('AFA Rates'!$I$5:$I$1004,$T1695)="","",INDEX('AFA Rates'!$I$5:$I$1004,$T1695))))</f>
        <v/>
      </c>
      <c r="L1695" s="50">
        <f>IF($T1695="","",IF($S1695="S",IF(INDEX(Firms!$K$5:$K$1004,$T1695)="","",INDEX(Firms!$K$5:$K$1004,$T1695)),IF(INDEX('AFA Rates'!$J$5:$J$1004,$T1695)="","",INDEX('AFA Rates'!$J$5:$J$1004,$T1695))))</f>
        <v/>
      </c>
      <c r="M1695" s="50">
        <f>IF($T1695="","",IF($S1695="S",IF(INDEX(Firms!$L$5:$L$1004,$T1695)="","",INDEX(Firms!$L$5:$L$1004,$T1695)),IF(INDEX('AFA Rates'!$K$5:$K$1004,$T1695)="","",INDEX('AFA Rates'!$K$5:$K$1004,$T1695))))</f>
        <v/>
      </c>
      <c r="N1695" s="50">
        <f>IF($T1695="","",IF($S1695="S",IF(INDEX(Firms!$M$5:$M$1004,$T1695)="","",INDEX(Firms!$M$5:$M$1004,$T1695)),IF(INDEX('AFA Rates'!$L$5:$L$1004,$T1695)="","",INDEX('AFA Rates'!$L$5:$L$1004,$T1695))))</f>
        <v/>
      </c>
      <c r="O1695" s="78">
        <f>IF(OR($T1695="",$U1695=""),"",IF(INDEX(Firms!$C$5:$C$1004,$U1695)="","",INDEX(Firms!$C$5:$C$1004,$U1695)))</f>
        <v/>
      </c>
      <c r="P1695" s="79">
        <f>IF(OR($T1695="",$U1695=""),"",IF(INDEX(Firms!$N$5:$N$1004,$U1695)="","",INDEX(Firms!$N$5:$N$1004,$U1695)))</f>
        <v/>
      </c>
      <c r="Q1695" s="78">
        <f>IF($T1695="","",IF($S1695="S",IF(INDEX(Firms!$T$5:$T$1004,$T1695)="","",INDEX(Firms!$T$5:$T$1004,$T1695)),IF(INDEX('AFA Rates'!$M$5:$M$1004,$T1695)="","",INDEX('AFA Rates'!$M$5:$M$1004,$T1695))))</f>
        <v/>
      </c>
      <c r="S1695">
        <f>IF(1691&lt;=$S$2,"S",IF(1691&lt;=$S$2+$T$2,"A",""))</f>
        <v/>
      </c>
      <c r="T1695">
        <f>IF(S1695="S",MATCH(1691,Firms!$W$5:$W$1004,0),IF(S1695="A",IFERROR(MATCH(1691-$S$2,'AFA Rates'!$R$5:$R$1004,0),""),""))</f>
        <v/>
      </c>
      <c r="U1695">
        <f>IF(S1695="S",T1695,IF(AND(S1695="A",T1695&lt;&gt;""),IFERROR(MATCH(INDEX('AFA Rates'!$A$5:$A$1004,T1695),Firms!$A$5:$A$1004,0),""),""))</f>
        <v/>
      </c>
    </row>
    <row r="1696">
      <c r="A1696" s="78">
        <f>IF($T1696="","",IF($S1696="S",IF(INDEX(Firms!$A$5:$A$1004,$T1696)="","",INDEX(Firms!$A$5:$A$1004,$T1696)),IF(INDEX('AFA Rates'!$A$5:$A$1004,$T1696)="","",INDEX('AFA Rates'!$A$5:$A$1004,$T1696))))</f>
        <v/>
      </c>
      <c r="B1696" s="79">
        <f>IF(OR($T1696="",$U1696=""),IF($T1696="","","Not on Firms tab"),INDEX(Firms!$B$5:$B$1004,$U1696)&amp;"")</f>
        <v/>
      </c>
      <c r="C1696" s="78">
        <f>IF($T1696="","",IF($S1696="S","Standard",INDEX('AFA Rates'!$B$5:$B$1004,$T1696)&amp;""))</f>
        <v/>
      </c>
      <c r="D1696" s="88">
        <f>IF($T1696="","",IF($S1696="S",IF(INDEX(Firms!$E$5:$E$1004,$T1696)="","",INDEX(Firms!$E$5:$E$1004,$T1696)),IF(INDEX('AFA Rates'!$C$5:$C$1004,$T1696)="","",INDEX('AFA Rates'!$C$5:$C$1004,$T1696))))</f>
        <v/>
      </c>
      <c r="E1696" s="88">
        <f>IF($T1696="","",IF($S1696="S",IF(""="","",""),IF(INDEX('AFA Rates'!$D$5:$D$1004,$T1696)="","",INDEX('AFA Rates'!$D$5:$D$1004,$T1696))))</f>
        <v/>
      </c>
      <c r="F1696" s="79">
        <f>IF($T1696="","",IF($S1696="S",IF(INDEX(Firms!$O$5:$O$1004,$T1696)="","",INDEX(Firms!$O$5:$O$1004,$T1696)),IF(INDEX('AFA Rates'!$O$5:$O$1004,$T1696)="","",INDEX('AFA Rates'!$O$5:$O$1004,$T1696))))</f>
        <v/>
      </c>
      <c r="G1696" s="50">
        <f>IF($T1696="","",IF($S1696="S",IF(INDEX(Firms!$F$5:$F$1004,$T1696)="","",INDEX(Firms!$F$5:$F$1004,$T1696)),IF(INDEX('AFA Rates'!$E$5:$E$1004,$T1696)="","",INDEX('AFA Rates'!$E$5:$E$1004,$T1696))))</f>
        <v/>
      </c>
      <c r="H1696" s="50">
        <f>IF($T1696="","",IF($S1696="S",IF(INDEX(Firms!$G$5:$G$1004,$T1696)="","",INDEX(Firms!$G$5:$G$1004,$T1696)),IF(INDEX('AFA Rates'!$F$5:$F$1004,$T1696)="","",INDEX('AFA Rates'!$F$5:$F$1004,$T1696))))</f>
        <v/>
      </c>
      <c r="I1696" s="50">
        <f>IF($T1696="","",IF($S1696="S",IF(INDEX(Firms!$H$5:$H$1004,$T1696)="","",INDEX(Firms!$H$5:$H$1004,$T1696)),IF(INDEX('AFA Rates'!$G$5:$G$1004,$T1696)="","",INDEX('AFA Rates'!$G$5:$G$1004,$T1696))))</f>
        <v/>
      </c>
      <c r="J1696" s="50">
        <f>IF($T1696="","",IF($S1696="S",IF(INDEX(Firms!$I$5:$I$1004,$T1696)="","",INDEX(Firms!$I$5:$I$1004,$T1696)),IF(INDEX('AFA Rates'!$H$5:$H$1004,$T1696)="","",INDEX('AFA Rates'!$H$5:$H$1004,$T1696))))</f>
        <v/>
      </c>
      <c r="K1696" s="50">
        <f>IF($T1696="","",IF($S1696="S",IF(INDEX(Firms!$J$5:$J$1004,$T1696)="","",INDEX(Firms!$J$5:$J$1004,$T1696)),IF(INDEX('AFA Rates'!$I$5:$I$1004,$T1696)="","",INDEX('AFA Rates'!$I$5:$I$1004,$T1696))))</f>
        <v/>
      </c>
      <c r="L1696" s="50">
        <f>IF($T1696="","",IF($S1696="S",IF(INDEX(Firms!$K$5:$K$1004,$T1696)="","",INDEX(Firms!$K$5:$K$1004,$T1696)),IF(INDEX('AFA Rates'!$J$5:$J$1004,$T1696)="","",INDEX('AFA Rates'!$J$5:$J$1004,$T1696))))</f>
        <v/>
      </c>
      <c r="M1696" s="50">
        <f>IF($T1696="","",IF($S1696="S",IF(INDEX(Firms!$L$5:$L$1004,$T1696)="","",INDEX(Firms!$L$5:$L$1004,$T1696)),IF(INDEX('AFA Rates'!$K$5:$K$1004,$T1696)="","",INDEX('AFA Rates'!$K$5:$K$1004,$T1696))))</f>
        <v/>
      </c>
      <c r="N1696" s="50">
        <f>IF($T1696="","",IF($S1696="S",IF(INDEX(Firms!$M$5:$M$1004,$T1696)="","",INDEX(Firms!$M$5:$M$1004,$T1696)),IF(INDEX('AFA Rates'!$L$5:$L$1004,$T1696)="","",INDEX('AFA Rates'!$L$5:$L$1004,$T1696))))</f>
        <v/>
      </c>
      <c r="O1696" s="78">
        <f>IF(OR($T1696="",$U1696=""),"",IF(INDEX(Firms!$C$5:$C$1004,$U1696)="","",INDEX(Firms!$C$5:$C$1004,$U1696)))</f>
        <v/>
      </c>
      <c r="P1696" s="79">
        <f>IF(OR($T1696="",$U1696=""),"",IF(INDEX(Firms!$N$5:$N$1004,$U1696)="","",INDEX(Firms!$N$5:$N$1004,$U1696)))</f>
        <v/>
      </c>
      <c r="Q1696" s="78">
        <f>IF($T1696="","",IF($S1696="S",IF(INDEX(Firms!$T$5:$T$1004,$T1696)="","",INDEX(Firms!$T$5:$T$1004,$T1696)),IF(INDEX('AFA Rates'!$M$5:$M$1004,$T1696)="","",INDEX('AFA Rates'!$M$5:$M$1004,$T1696))))</f>
        <v/>
      </c>
      <c r="S1696">
        <f>IF(1692&lt;=$S$2,"S",IF(1692&lt;=$S$2+$T$2,"A",""))</f>
        <v/>
      </c>
      <c r="T1696">
        <f>IF(S1696="S",MATCH(1692,Firms!$W$5:$W$1004,0),IF(S1696="A",IFERROR(MATCH(1692-$S$2,'AFA Rates'!$R$5:$R$1004,0),""),""))</f>
        <v/>
      </c>
      <c r="U1696">
        <f>IF(S1696="S",T1696,IF(AND(S1696="A",T1696&lt;&gt;""),IFERROR(MATCH(INDEX('AFA Rates'!$A$5:$A$1004,T1696),Firms!$A$5:$A$1004,0),""),""))</f>
        <v/>
      </c>
    </row>
    <row r="1697">
      <c r="A1697" s="78">
        <f>IF($T1697="","",IF($S1697="S",IF(INDEX(Firms!$A$5:$A$1004,$T1697)="","",INDEX(Firms!$A$5:$A$1004,$T1697)),IF(INDEX('AFA Rates'!$A$5:$A$1004,$T1697)="","",INDEX('AFA Rates'!$A$5:$A$1004,$T1697))))</f>
        <v/>
      </c>
      <c r="B1697" s="79">
        <f>IF(OR($T1697="",$U1697=""),IF($T1697="","","Not on Firms tab"),INDEX(Firms!$B$5:$B$1004,$U1697)&amp;"")</f>
        <v/>
      </c>
      <c r="C1697" s="78">
        <f>IF($T1697="","",IF($S1697="S","Standard",INDEX('AFA Rates'!$B$5:$B$1004,$T1697)&amp;""))</f>
        <v/>
      </c>
      <c r="D1697" s="88">
        <f>IF($T1697="","",IF($S1697="S",IF(INDEX(Firms!$E$5:$E$1004,$T1697)="","",INDEX(Firms!$E$5:$E$1004,$T1697)),IF(INDEX('AFA Rates'!$C$5:$C$1004,$T1697)="","",INDEX('AFA Rates'!$C$5:$C$1004,$T1697))))</f>
        <v/>
      </c>
      <c r="E1697" s="88">
        <f>IF($T1697="","",IF($S1697="S",IF(""="","",""),IF(INDEX('AFA Rates'!$D$5:$D$1004,$T1697)="","",INDEX('AFA Rates'!$D$5:$D$1004,$T1697))))</f>
        <v/>
      </c>
      <c r="F1697" s="79">
        <f>IF($T1697="","",IF($S1697="S",IF(INDEX(Firms!$O$5:$O$1004,$T1697)="","",INDEX(Firms!$O$5:$O$1004,$T1697)),IF(INDEX('AFA Rates'!$O$5:$O$1004,$T1697)="","",INDEX('AFA Rates'!$O$5:$O$1004,$T1697))))</f>
        <v/>
      </c>
      <c r="G1697" s="50">
        <f>IF($T1697="","",IF($S1697="S",IF(INDEX(Firms!$F$5:$F$1004,$T1697)="","",INDEX(Firms!$F$5:$F$1004,$T1697)),IF(INDEX('AFA Rates'!$E$5:$E$1004,$T1697)="","",INDEX('AFA Rates'!$E$5:$E$1004,$T1697))))</f>
        <v/>
      </c>
      <c r="H1697" s="50">
        <f>IF($T1697="","",IF($S1697="S",IF(INDEX(Firms!$G$5:$G$1004,$T1697)="","",INDEX(Firms!$G$5:$G$1004,$T1697)),IF(INDEX('AFA Rates'!$F$5:$F$1004,$T1697)="","",INDEX('AFA Rates'!$F$5:$F$1004,$T1697))))</f>
        <v/>
      </c>
      <c r="I1697" s="50">
        <f>IF($T1697="","",IF($S1697="S",IF(INDEX(Firms!$H$5:$H$1004,$T1697)="","",INDEX(Firms!$H$5:$H$1004,$T1697)),IF(INDEX('AFA Rates'!$G$5:$G$1004,$T1697)="","",INDEX('AFA Rates'!$G$5:$G$1004,$T1697))))</f>
        <v/>
      </c>
      <c r="J1697" s="50">
        <f>IF($T1697="","",IF($S1697="S",IF(INDEX(Firms!$I$5:$I$1004,$T1697)="","",INDEX(Firms!$I$5:$I$1004,$T1697)),IF(INDEX('AFA Rates'!$H$5:$H$1004,$T1697)="","",INDEX('AFA Rates'!$H$5:$H$1004,$T1697))))</f>
        <v/>
      </c>
      <c r="K1697" s="50">
        <f>IF($T1697="","",IF($S1697="S",IF(INDEX(Firms!$J$5:$J$1004,$T1697)="","",INDEX(Firms!$J$5:$J$1004,$T1697)),IF(INDEX('AFA Rates'!$I$5:$I$1004,$T1697)="","",INDEX('AFA Rates'!$I$5:$I$1004,$T1697))))</f>
        <v/>
      </c>
      <c r="L1697" s="50">
        <f>IF($T1697="","",IF($S1697="S",IF(INDEX(Firms!$K$5:$K$1004,$T1697)="","",INDEX(Firms!$K$5:$K$1004,$T1697)),IF(INDEX('AFA Rates'!$J$5:$J$1004,$T1697)="","",INDEX('AFA Rates'!$J$5:$J$1004,$T1697))))</f>
        <v/>
      </c>
      <c r="M1697" s="50">
        <f>IF($T1697="","",IF($S1697="S",IF(INDEX(Firms!$L$5:$L$1004,$T1697)="","",INDEX(Firms!$L$5:$L$1004,$T1697)),IF(INDEX('AFA Rates'!$K$5:$K$1004,$T1697)="","",INDEX('AFA Rates'!$K$5:$K$1004,$T1697))))</f>
        <v/>
      </c>
      <c r="N1697" s="50">
        <f>IF($T1697="","",IF($S1697="S",IF(INDEX(Firms!$M$5:$M$1004,$T1697)="","",INDEX(Firms!$M$5:$M$1004,$T1697)),IF(INDEX('AFA Rates'!$L$5:$L$1004,$T1697)="","",INDEX('AFA Rates'!$L$5:$L$1004,$T1697))))</f>
        <v/>
      </c>
      <c r="O1697" s="78">
        <f>IF(OR($T1697="",$U1697=""),"",IF(INDEX(Firms!$C$5:$C$1004,$U1697)="","",INDEX(Firms!$C$5:$C$1004,$U1697)))</f>
        <v/>
      </c>
      <c r="P1697" s="79">
        <f>IF(OR($T1697="",$U1697=""),"",IF(INDEX(Firms!$N$5:$N$1004,$U1697)="","",INDEX(Firms!$N$5:$N$1004,$U1697)))</f>
        <v/>
      </c>
      <c r="Q1697" s="78">
        <f>IF($T1697="","",IF($S1697="S",IF(INDEX(Firms!$T$5:$T$1004,$T1697)="","",INDEX(Firms!$T$5:$T$1004,$T1697)),IF(INDEX('AFA Rates'!$M$5:$M$1004,$T1697)="","",INDEX('AFA Rates'!$M$5:$M$1004,$T1697))))</f>
        <v/>
      </c>
      <c r="S1697">
        <f>IF(1693&lt;=$S$2,"S",IF(1693&lt;=$S$2+$T$2,"A",""))</f>
        <v/>
      </c>
      <c r="T1697">
        <f>IF(S1697="S",MATCH(1693,Firms!$W$5:$W$1004,0),IF(S1697="A",IFERROR(MATCH(1693-$S$2,'AFA Rates'!$R$5:$R$1004,0),""),""))</f>
        <v/>
      </c>
      <c r="U1697">
        <f>IF(S1697="S",T1697,IF(AND(S1697="A",T1697&lt;&gt;""),IFERROR(MATCH(INDEX('AFA Rates'!$A$5:$A$1004,T1697),Firms!$A$5:$A$1004,0),""),""))</f>
        <v/>
      </c>
    </row>
    <row r="1698">
      <c r="A1698" s="78">
        <f>IF($T1698="","",IF($S1698="S",IF(INDEX(Firms!$A$5:$A$1004,$T1698)="","",INDEX(Firms!$A$5:$A$1004,$T1698)),IF(INDEX('AFA Rates'!$A$5:$A$1004,$T1698)="","",INDEX('AFA Rates'!$A$5:$A$1004,$T1698))))</f>
        <v/>
      </c>
      <c r="B1698" s="79">
        <f>IF(OR($T1698="",$U1698=""),IF($T1698="","","Not on Firms tab"),INDEX(Firms!$B$5:$B$1004,$U1698)&amp;"")</f>
        <v/>
      </c>
      <c r="C1698" s="78">
        <f>IF($T1698="","",IF($S1698="S","Standard",INDEX('AFA Rates'!$B$5:$B$1004,$T1698)&amp;""))</f>
        <v/>
      </c>
      <c r="D1698" s="88">
        <f>IF($T1698="","",IF($S1698="S",IF(INDEX(Firms!$E$5:$E$1004,$T1698)="","",INDEX(Firms!$E$5:$E$1004,$T1698)),IF(INDEX('AFA Rates'!$C$5:$C$1004,$T1698)="","",INDEX('AFA Rates'!$C$5:$C$1004,$T1698))))</f>
        <v/>
      </c>
      <c r="E1698" s="88">
        <f>IF($T1698="","",IF($S1698="S",IF(""="","",""),IF(INDEX('AFA Rates'!$D$5:$D$1004,$T1698)="","",INDEX('AFA Rates'!$D$5:$D$1004,$T1698))))</f>
        <v/>
      </c>
      <c r="F1698" s="79">
        <f>IF($T1698="","",IF($S1698="S",IF(INDEX(Firms!$O$5:$O$1004,$T1698)="","",INDEX(Firms!$O$5:$O$1004,$T1698)),IF(INDEX('AFA Rates'!$O$5:$O$1004,$T1698)="","",INDEX('AFA Rates'!$O$5:$O$1004,$T1698))))</f>
        <v/>
      </c>
      <c r="G1698" s="50">
        <f>IF($T1698="","",IF($S1698="S",IF(INDEX(Firms!$F$5:$F$1004,$T1698)="","",INDEX(Firms!$F$5:$F$1004,$T1698)),IF(INDEX('AFA Rates'!$E$5:$E$1004,$T1698)="","",INDEX('AFA Rates'!$E$5:$E$1004,$T1698))))</f>
        <v/>
      </c>
      <c r="H1698" s="50">
        <f>IF($T1698="","",IF($S1698="S",IF(INDEX(Firms!$G$5:$G$1004,$T1698)="","",INDEX(Firms!$G$5:$G$1004,$T1698)),IF(INDEX('AFA Rates'!$F$5:$F$1004,$T1698)="","",INDEX('AFA Rates'!$F$5:$F$1004,$T1698))))</f>
        <v/>
      </c>
      <c r="I1698" s="50">
        <f>IF($T1698="","",IF($S1698="S",IF(INDEX(Firms!$H$5:$H$1004,$T1698)="","",INDEX(Firms!$H$5:$H$1004,$T1698)),IF(INDEX('AFA Rates'!$G$5:$G$1004,$T1698)="","",INDEX('AFA Rates'!$G$5:$G$1004,$T1698))))</f>
        <v/>
      </c>
      <c r="J1698" s="50">
        <f>IF($T1698="","",IF($S1698="S",IF(INDEX(Firms!$I$5:$I$1004,$T1698)="","",INDEX(Firms!$I$5:$I$1004,$T1698)),IF(INDEX('AFA Rates'!$H$5:$H$1004,$T1698)="","",INDEX('AFA Rates'!$H$5:$H$1004,$T1698))))</f>
        <v/>
      </c>
      <c r="K1698" s="50">
        <f>IF($T1698="","",IF($S1698="S",IF(INDEX(Firms!$J$5:$J$1004,$T1698)="","",INDEX(Firms!$J$5:$J$1004,$T1698)),IF(INDEX('AFA Rates'!$I$5:$I$1004,$T1698)="","",INDEX('AFA Rates'!$I$5:$I$1004,$T1698))))</f>
        <v/>
      </c>
      <c r="L1698" s="50">
        <f>IF($T1698="","",IF($S1698="S",IF(INDEX(Firms!$K$5:$K$1004,$T1698)="","",INDEX(Firms!$K$5:$K$1004,$T1698)),IF(INDEX('AFA Rates'!$J$5:$J$1004,$T1698)="","",INDEX('AFA Rates'!$J$5:$J$1004,$T1698))))</f>
        <v/>
      </c>
      <c r="M1698" s="50">
        <f>IF($T1698="","",IF($S1698="S",IF(INDEX(Firms!$L$5:$L$1004,$T1698)="","",INDEX(Firms!$L$5:$L$1004,$T1698)),IF(INDEX('AFA Rates'!$K$5:$K$1004,$T1698)="","",INDEX('AFA Rates'!$K$5:$K$1004,$T1698))))</f>
        <v/>
      </c>
      <c r="N1698" s="50">
        <f>IF($T1698="","",IF($S1698="S",IF(INDEX(Firms!$M$5:$M$1004,$T1698)="","",INDEX(Firms!$M$5:$M$1004,$T1698)),IF(INDEX('AFA Rates'!$L$5:$L$1004,$T1698)="","",INDEX('AFA Rates'!$L$5:$L$1004,$T1698))))</f>
        <v/>
      </c>
      <c r="O1698" s="78">
        <f>IF(OR($T1698="",$U1698=""),"",IF(INDEX(Firms!$C$5:$C$1004,$U1698)="","",INDEX(Firms!$C$5:$C$1004,$U1698)))</f>
        <v/>
      </c>
      <c r="P1698" s="79">
        <f>IF(OR($T1698="",$U1698=""),"",IF(INDEX(Firms!$N$5:$N$1004,$U1698)="","",INDEX(Firms!$N$5:$N$1004,$U1698)))</f>
        <v/>
      </c>
      <c r="Q1698" s="78">
        <f>IF($T1698="","",IF($S1698="S",IF(INDEX(Firms!$T$5:$T$1004,$T1698)="","",INDEX(Firms!$T$5:$T$1004,$T1698)),IF(INDEX('AFA Rates'!$M$5:$M$1004,$T1698)="","",INDEX('AFA Rates'!$M$5:$M$1004,$T1698))))</f>
        <v/>
      </c>
      <c r="S1698">
        <f>IF(1694&lt;=$S$2,"S",IF(1694&lt;=$S$2+$T$2,"A",""))</f>
        <v/>
      </c>
      <c r="T1698">
        <f>IF(S1698="S",MATCH(1694,Firms!$W$5:$W$1004,0),IF(S1698="A",IFERROR(MATCH(1694-$S$2,'AFA Rates'!$R$5:$R$1004,0),""),""))</f>
        <v/>
      </c>
      <c r="U1698">
        <f>IF(S1698="S",T1698,IF(AND(S1698="A",T1698&lt;&gt;""),IFERROR(MATCH(INDEX('AFA Rates'!$A$5:$A$1004,T1698),Firms!$A$5:$A$1004,0),""),""))</f>
        <v/>
      </c>
    </row>
    <row r="1699">
      <c r="A1699" s="78">
        <f>IF($T1699="","",IF($S1699="S",IF(INDEX(Firms!$A$5:$A$1004,$T1699)="","",INDEX(Firms!$A$5:$A$1004,$T1699)),IF(INDEX('AFA Rates'!$A$5:$A$1004,$T1699)="","",INDEX('AFA Rates'!$A$5:$A$1004,$T1699))))</f>
        <v/>
      </c>
      <c r="B1699" s="79">
        <f>IF(OR($T1699="",$U1699=""),IF($T1699="","","Not on Firms tab"),INDEX(Firms!$B$5:$B$1004,$U1699)&amp;"")</f>
        <v/>
      </c>
      <c r="C1699" s="78">
        <f>IF($T1699="","",IF($S1699="S","Standard",INDEX('AFA Rates'!$B$5:$B$1004,$T1699)&amp;""))</f>
        <v/>
      </c>
      <c r="D1699" s="88">
        <f>IF($T1699="","",IF($S1699="S",IF(INDEX(Firms!$E$5:$E$1004,$T1699)="","",INDEX(Firms!$E$5:$E$1004,$T1699)),IF(INDEX('AFA Rates'!$C$5:$C$1004,$T1699)="","",INDEX('AFA Rates'!$C$5:$C$1004,$T1699))))</f>
        <v/>
      </c>
      <c r="E1699" s="88">
        <f>IF($T1699="","",IF($S1699="S",IF(""="","",""),IF(INDEX('AFA Rates'!$D$5:$D$1004,$T1699)="","",INDEX('AFA Rates'!$D$5:$D$1004,$T1699))))</f>
        <v/>
      </c>
      <c r="F1699" s="79">
        <f>IF($T1699="","",IF($S1699="S",IF(INDEX(Firms!$O$5:$O$1004,$T1699)="","",INDEX(Firms!$O$5:$O$1004,$T1699)),IF(INDEX('AFA Rates'!$O$5:$O$1004,$T1699)="","",INDEX('AFA Rates'!$O$5:$O$1004,$T1699))))</f>
        <v/>
      </c>
      <c r="G1699" s="50">
        <f>IF($T1699="","",IF($S1699="S",IF(INDEX(Firms!$F$5:$F$1004,$T1699)="","",INDEX(Firms!$F$5:$F$1004,$T1699)),IF(INDEX('AFA Rates'!$E$5:$E$1004,$T1699)="","",INDEX('AFA Rates'!$E$5:$E$1004,$T1699))))</f>
        <v/>
      </c>
      <c r="H1699" s="50">
        <f>IF($T1699="","",IF($S1699="S",IF(INDEX(Firms!$G$5:$G$1004,$T1699)="","",INDEX(Firms!$G$5:$G$1004,$T1699)),IF(INDEX('AFA Rates'!$F$5:$F$1004,$T1699)="","",INDEX('AFA Rates'!$F$5:$F$1004,$T1699))))</f>
        <v/>
      </c>
      <c r="I1699" s="50">
        <f>IF($T1699="","",IF($S1699="S",IF(INDEX(Firms!$H$5:$H$1004,$T1699)="","",INDEX(Firms!$H$5:$H$1004,$T1699)),IF(INDEX('AFA Rates'!$G$5:$G$1004,$T1699)="","",INDEX('AFA Rates'!$G$5:$G$1004,$T1699))))</f>
        <v/>
      </c>
      <c r="J1699" s="50">
        <f>IF($T1699="","",IF($S1699="S",IF(INDEX(Firms!$I$5:$I$1004,$T1699)="","",INDEX(Firms!$I$5:$I$1004,$T1699)),IF(INDEX('AFA Rates'!$H$5:$H$1004,$T1699)="","",INDEX('AFA Rates'!$H$5:$H$1004,$T1699))))</f>
        <v/>
      </c>
      <c r="K1699" s="50">
        <f>IF($T1699="","",IF($S1699="S",IF(INDEX(Firms!$J$5:$J$1004,$T1699)="","",INDEX(Firms!$J$5:$J$1004,$T1699)),IF(INDEX('AFA Rates'!$I$5:$I$1004,$T1699)="","",INDEX('AFA Rates'!$I$5:$I$1004,$T1699))))</f>
        <v/>
      </c>
      <c r="L1699" s="50">
        <f>IF($T1699="","",IF($S1699="S",IF(INDEX(Firms!$K$5:$K$1004,$T1699)="","",INDEX(Firms!$K$5:$K$1004,$T1699)),IF(INDEX('AFA Rates'!$J$5:$J$1004,$T1699)="","",INDEX('AFA Rates'!$J$5:$J$1004,$T1699))))</f>
        <v/>
      </c>
      <c r="M1699" s="50">
        <f>IF($T1699="","",IF($S1699="S",IF(INDEX(Firms!$L$5:$L$1004,$T1699)="","",INDEX(Firms!$L$5:$L$1004,$T1699)),IF(INDEX('AFA Rates'!$K$5:$K$1004,$T1699)="","",INDEX('AFA Rates'!$K$5:$K$1004,$T1699))))</f>
        <v/>
      </c>
      <c r="N1699" s="50">
        <f>IF($T1699="","",IF($S1699="S",IF(INDEX(Firms!$M$5:$M$1004,$T1699)="","",INDEX(Firms!$M$5:$M$1004,$T1699)),IF(INDEX('AFA Rates'!$L$5:$L$1004,$T1699)="","",INDEX('AFA Rates'!$L$5:$L$1004,$T1699))))</f>
        <v/>
      </c>
      <c r="O1699" s="78">
        <f>IF(OR($T1699="",$U1699=""),"",IF(INDEX(Firms!$C$5:$C$1004,$U1699)="","",INDEX(Firms!$C$5:$C$1004,$U1699)))</f>
        <v/>
      </c>
      <c r="P1699" s="79">
        <f>IF(OR($T1699="",$U1699=""),"",IF(INDEX(Firms!$N$5:$N$1004,$U1699)="","",INDEX(Firms!$N$5:$N$1004,$U1699)))</f>
        <v/>
      </c>
      <c r="Q1699" s="78">
        <f>IF($T1699="","",IF($S1699="S",IF(INDEX(Firms!$T$5:$T$1004,$T1699)="","",INDEX(Firms!$T$5:$T$1004,$T1699)),IF(INDEX('AFA Rates'!$M$5:$M$1004,$T1699)="","",INDEX('AFA Rates'!$M$5:$M$1004,$T1699))))</f>
        <v/>
      </c>
      <c r="S1699">
        <f>IF(1695&lt;=$S$2,"S",IF(1695&lt;=$S$2+$T$2,"A",""))</f>
        <v/>
      </c>
      <c r="T1699">
        <f>IF(S1699="S",MATCH(1695,Firms!$W$5:$W$1004,0),IF(S1699="A",IFERROR(MATCH(1695-$S$2,'AFA Rates'!$R$5:$R$1004,0),""),""))</f>
        <v/>
      </c>
      <c r="U1699">
        <f>IF(S1699="S",T1699,IF(AND(S1699="A",T1699&lt;&gt;""),IFERROR(MATCH(INDEX('AFA Rates'!$A$5:$A$1004,T1699),Firms!$A$5:$A$1004,0),""),""))</f>
        <v/>
      </c>
    </row>
    <row r="1700">
      <c r="A1700" s="78">
        <f>IF($T1700="","",IF($S1700="S",IF(INDEX(Firms!$A$5:$A$1004,$T1700)="","",INDEX(Firms!$A$5:$A$1004,$T1700)),IF(INDEX('AFA Rates'!$A$5:$A$1004,$T1700)="","",INDEX('AFA Rates'!$A$5:$A$1004,$T1700))))</f>
        <v/>
      </c>
      <c r="B1700" s="79">
        <f>IF(OR($T1700="",$U1700=""),IF($T1700="","","Not on Firms tab"),INDEX(Firms!$B$5:$B$1004,$U1700)&amp;"")</f>
        <v/>
      </c>
      <c r="C1700" s="78">
        <f>IF($T1700="","",IF($S1700="S","Standard",INDEX('AFA Rates'!$B$5:$B$1004,$T1700)&amp;""))</f>
        <v/>
      </c>
      <c r="D1700" s="88">
        <f>IF($T1700="","",IF($S1700="S",IF(INDEX(Firms!$E$5:$E$1004,$T1700)="","",INDEX(Firms!$E$5:$E$1004,$T1700)),IF(INDEX('AFA Rates'!$C$5:$C$1004,$T1700)="","",INDEX('AFA Rates'!$C$5:$C$1004,$T1700))))</f>
        <v/>
      </c>
      <c r="E1700" s="88">
        <f>IF($T1700="","",IF($S1700="S",IF(""="","",""),IF(INDEX('AFA Rates'!$D$5:$D$1004,$T1700)="","",INDEX('AFA Rates'!$D$5:$D$1004,$T1700))))</f>
        <v/>
      </c>
      <c r="F1700" s="79">
        <f>IF($T1700="","",IF($S1700="S",IF(INDEX(Firms!$O$5:$O$1004,$T1700)="","",INDEX(Firms!$O$5:$O$1004,$T1700)),IF(INDEX('AFA Rates'!$O$5:$O$1004,$T1700)="","",INDEX('AFA Rates'!$O$5:$O$1004,$T1700))))</f>
        <v/>
      </c>
      <c r="G1700" s="50">
        <f>IF($T1700="","",IF($S1700="S",IF(INDEX(Firms!$F$5:$F$1004,$T1700)="","",INDEX(Firms!$F$5:$F$1004,$T1700)),IF(INDEX('AFA Rates'!$E$5:$E$1004,$T1700)="","",INDEX('AFA Rates'!$E$5:$E$1004,$T1700))))</f>
        <v/>
      </c>
      <c r="H1700" s="50">
        <f>IF($T1700="","",IF($S1700="S",IF(INDEX(Firms!$G$5:$G$1004,$T1700)="","",INDEX(Firms!$G$5:$G$1004,$T1700)),IF(INDEX('AFA Rates'!$F$5:$F$1004,$T1700)="","",INDEX('AFA Rates'!$F$5:$F$1004,$T1700))))</f>
        <v/>
      </c>
      <c r="I1700" s="50">
        <f>IF($T1700="","",IF($S1700="S",IF(INDEX(Firms!$H$5:$H$1004,$T1700)="","",INDEX(Firms!$H$5:$H$1004,$T1700)),IF(INDEX('AFA Rates'!$G$5:$G$1004,$T1700)="","",INDEX('AFA Rates'!$G$5:$G$1004,$T1700))))</f>
        <v/>
      </c>
      <c r="J1700" s="50">
        <f>IF($T1700="","",IF($S1700="S",IF(INDEX(Firms!$I$5:$I$1004,$T1700)="","",INDEX(Firms!$I$5:$I$1004,$T1700)),IF(INDEX('AFA Rates'!$H$5:$H$1004,$T1700)="","",INDEX('AFA Rates'!$H$5:$H$1004,$T1700))))</f>
        <v/>
      </c>
      <c r="K1700" s="50">
        <f>IF($T1700="","",IF($S1700="S",IF(INDEX(Firms!$J$5:$J$1004,$T1700)="","",INDEX(Firms!$J$5:$J$1004,$T1700)),IF(INDEX('AFA Rates'!$I$5:$I$1004,$T1700)="","",INDEX('AFA Rates'!$I$5:$I$1004,$T1700))))</f>
        <v/>
      </c>
      <c r="L1700" s="50">
        <f>IF($T1700="","",IF($S1700="S",IF(INDEX(Firms!$K$5:$K$1004,$T1700)="","",INDEX(Firms!$K$5:$K$1004,$T1700)),IF(INDEX('AFA Rates'!$J$5:$J$1004,$T1700)="","",INDEX('AFA Rates'!$J$5:$J$1004,$T1700))))</f>
        <v/>
      </c>
      <c r="M1700" s="50">
        <f>IF($T1700="","",IF($S1700="S",IF(INDEX(Firms!$L$5:$L$1004,$T1700)="","",INDEX(Firms!$L$5:$L$1004,$T1700)),IF(INDEX('AFA Rates'!$K$5:$K$1004,$T1700)="","",INDEX('AFA Rates'!$K$5:$K$1004,$T1700))))</f>
        <v/>
      </c>
      <c r="N1700" s="50">
        <f>IF($T1700="","",IF($S1700="S",IF(INDEX(Firms!$M$5:$M$1004,$T1700)="","",INDEX(Firms!$M$5:$M$1004,$T1700)),IF(INDEX('AFA Rates'!$L$5:$L$1004,$T1700)="","",INDEX('AFA Rates'!$L$5:$L$1004,$T1700))))</f>
        <v/>
      </c>
      <c r="O1700" s="78">
        <f>IF(OR($T1700="",$U1700=""),"",IF(INDEX(Firms!$C$5:$C$1004,$U1700)="","",INDEX(Firms!$C$5:$C$1004,$U1700)))</f>
        <v/>
      </c>
      <c r="P1700" s="79">
        <f>IF(OR($T1700="",$U1700=""),"",IF(INDEX(Firms!$N$5:$N$1004,$U1700)="","",INDEX(Firms!$N$5:$N$1004,$U1700)))</f>
        <v/>
      </c>
      <c r="Q1700" s="78">
        <f>IF($T1700="","",IF($S1700="S",IF(INDEX(Firms!$T$5:$T$1004,$T1700)="","",INDEX(Firms!$T$5:$T$1004,$T1700)),IF(INDEX('AFA Rates'!$M$5:$M$1004,$T1700)="","",INDEX('AFA Rates'!$M$5:$M$1004,$T1700))))</f>
        <v/>
      </c>
      <c r="S1700">
        <f>IF(1696&lt;=$S$2,"S",IF(1696&lt;=$S$2+$T$2,"A",""))</f>
        <v/>
      </c>
      <c r="T1700">
        <f>IF(S1700="S",MATCH(1696,Firms!$W$5:$W$1004,0),IF(S1700="A",IFERROR(MATCH(1696-$S$2,'AFA Rates'!$R$5:$R$1004,0),""),""))</f>
        <v/>
      </c>
      <c r="U1700">
        <f>IF(S1700="S",T1700,IF(AND(S1700="A",T1700&lt;&gt;""),IFERROR(MATCH(INDEX('AFA Rates'!$A$5:$A$1004,T1700),Firms!$A$5:$A$1004,0),""),""))</f>
        <v/>
      </c>
    </row>
    <row r="1701">
      <c r="A1701" s="78">
        <f>IF($T1701="","",IF($S1701="S",IF(INDEX(Firms!$A$5:$A$1004,$T1701)="","",INDEX(Firms!$A$5:$A$1004,$T1701)),IF(INDEX('AFA Rates'!$A$5:$A$1004,$T1701)="","",INDEX('AFA Rates'!$A$5:$A$1004,$T1701))))</f>
        <v/>
      </c>
      <c r="B1701" s="79">
        <f>IF(OR($T1701="",$U1701=""),IF($T1701="","","Not on Firms tab"),INDEX(Firms!$B$5:$B$1004,$U1701)&amp;"")</f>
        <v/>
      </c>
      <c r="C1701" s="78">
        <f>IF($T1701="","",IF($S1701="S","Standard",INDEX('AFA Rates'!$B$5:$B$1004,$T1701)&amp;""))</f>
        <v/>
      </c>
      <c r="D1701" s="88">
        <f>IF($T1701="","",IF($S1701="S",IF(INDEX(Firms!$E$5:$E$1004,$T1701)="","",INDEX(Firms!$E$5:$E$1004,$T1701)),IF(INDEX('AFA Rates'!$C$5:$C$1004,$T1701)="","",INDEX('AFA Rates'!$C$5:$C$1004,$T1701))))</f>
        <v/>
      </c>
      <c r="E1701" s="88">
        <f>IF($T1701="","",IF($S1701="S",IF(""="","",""),IF(INDEX('AFA Rates'!$D$5:$D$1004,$T1701)="","",INDEX('AFA Rates'!$D$5:$D$1004,$T1701))))</f>
        <v/>
      </c>
      <c r="F1701" s="79">
        <f>IF($T1701="","",IF($S1701="S",IF(INDEX(Firms!$O$5:$O$1004,$T1701)="","",INDEX(Firms!$O$5:$O$1004,$T1701)),IF(INDEX('AFA Rates'!$O$5:$O$1004,$T1701)="","",INDEX('AFA Rates'!$O$5:$O$1004,$T1701))))</f>
        <v/>
      </c>
      <c r="G1701" s="50">
        <f>IF($T1701="","",IF($S1701="S",IF(INDEX(Firms!$F$5:$F$1004,$T1701)="","",INDEX(Firms!$F$5:$F$1004,$T1701)),IF(INDEX('AFA Rates'!$E$5:$E$1004,$T1701)="","",INDEX('AFA Rates'!$E$5:$E$1004,$T1701))))</f>
        <v/>
      </c>
      <c r="H1701" s="50">
        <f>IF($T1701="","",IF($S1701="S",IF(INDEX(Firms!$G$5:$G$1004,$T1701)="","",INDEX(Firms!$G$5:$G$1004,$T1701)),IF(INDEX('AFA Rates'!$F$5:$F$1004,$T1701)="","",INDEX('AFA Rates'!$F$5:$F$1004,$T1701))))</f>
        <v/>
      </c>
      <c r="I1701" s="50">
        <f>IF($T1701="","",IF($S1701="S",IF(INDEX(Firms!$H$5:$H$1004,$T1701)="","",INDEX(Firms!$H$5:$H$1004,$T1701)),IF(INDEX('AFA Rates'!$G$5:$G$1004,$T1701)="","",INDEX('AFA Rates'!$G$5:$G$1004,$T1701))))</f>
        <v/>
      </c>
      <c r="J1701" s="50">
        <f>IF($T1701="","",IF($S1701="S",IF(INDEX(Firms!$I$5:$I$1004,$T1701)="","",INDEX(Firms!$I$5:$I$1004,$T1701)),IF(INDEX('AFA Rates'!$H$5:$H$1004,$T1701)="","",INDEX('AFA Rates'!$H$5:$H$1004,$T1701))))</f>
        <v/>
      </c>
      <c r="K1701" s="50">
        <f>IF($T1701="","",IF($S1701="S",IF(INDEX(Firms!$J$5:$J$1004,$T1701)="","",INDEX(Firms!$J$5:$J$1004,$T1701)),IF(INDEX('AFA Rates'!$I$5:$I$1004,$T1701)="","",INDEX('AFA Rates'!$I$5:$I$1004,$T1701))))</f>
        <v/>
      </c>
      <c r="L1701" s="50">
        <f>IF($T1701="","",IF($S1701="S",IF(INDEX(Firms!$K$5:$K$1004,$T1701)="","",INDEX(Firms!$K$5:$K$1004,$T1701)),IF(INDEX('AFA Rates'!$J$5:$J$1004,$T1701)="","",INDEX('AFA Rates'!$J$5:$J$1004,$T1701))))</f>
        <v/>
      </c>
      <c r="M1701" s="50">
        <f>IF($T1701="","",IF($S1701="S",IF(INDEX(Firms!$L$5:$L$1004,$T1701)="","",INDEX(Firms!$L$5:$L$1004,$T1701)),IF(INDEX('AFA Rates'!$K$5:$K$1004,$T1701)="","",INDEX('AFA Rates'!$K$5:$K$1004,$T1701))))</f>
        <v/>
      </c>
      <c r="N1701" s="50">
        <f>IF($T1701="","",IF($S1701="S",IF(INDEX(Firms!$M$5:$M$1004,$T1701)="","",INDEX(Firms!$M$5:$M$1004,$T1701)),IF(INDEX('AFA Rates'!$L$5:$L$1004,$T1701)="","",INDEX('AFA Rates'!$L$5:$L$1004,$T1701))))</f>
        <v/>
      </c>
      <c r="O1701" s="78">
        <f>IF(OR($T1701="",$U1701=""),"",IF(INDEX(Firms!$C$5:$C$1004,$U1701)="","",INDEX(Firms!$C$5:$C$1004,$U1701)))</f>
        <v/>
      </c>
      <c r="P1701" s="79">
        <f>IF(OR($T1701="",$U1701=""),"",IF(INDEX(Firms!$N$5:$N$1004,$U1701)="","",INDEX(Firms!$N$5:$N$1004,$U1701)))</f>
        <v/>
      </c>
      <c r="Q1701" s="78">
        <f>IF($T1701="","",IF($S1701="S",IF(INDEX(Firms!$T$5:$T$1004,$T1701)="","",INDEX(Firms!$T$5:$T$1004,$T1701)),IF(INDEX('AFA Rates'!$M$5:$M$1004,$T1701)="","",INDEX('AFA Rates'!$M$5:$M$1004,$T1701))))</f>
        <v/>
      </c>
      <c r="S1701">
        <f>IF(1697&lt;=$S$2,"S",IF(1697&lt;=$S$2+$T$2,"A",""))</f>
        <v/>
      </c>
      <c r="T1701">
        <f>IF(S1701="S",MATCH(1697,Firms!$W$5:$W$1004,0),IF(S1701="A",IFERROR(MATCH(1697-$S$2,'AFA Rates'!$R$5:$R$1004,0),""),""))</f>
        <v/>
      </c>
      <c r="U1701">
        <f>IF(S1701="S",T1701,IF(AND(S1701="A",T1701&lt;&gt;""),IFERROR(MATCH(INDEX('AFA Rates'!$A$5:$A$1004,T1701),Firms!$A$5:$A$1004,0),""),""))</f>
        <v/>
      </c>
    </row>
    <row r="1702">
      <c r="A1702" s="78">
        <f>IF($T1702="","",IF($S1702="S",IF(INDEX(Firms!$A$5:$A$1004,$T1702)="","",INDEX(Firms!$A$5:$A$1004,$T1702)),IF(INDEX('AFA Rates'!$A$5:$A$1004,$T1702)="","",INDEX('AFA Rates'!$A$5:$A$1004,$T1702))))</f>
        <v/>
      </c>
      <c r="B1702" s="79">
        <f>IF(OR($T1702="",$U1702=""),IF($T1702="","","Not on Firms tab"),INDEX(Firms!$B$5:$B$1004,$U1702)&amp;"")</f>
        <v/>
      </c>
      <c r="C1702" s="78">
        <f>IF($T1702="","",IF($S1702="S","Standard",INDEX('AFA Rates'!$B$5:$B$1004,$T1702)&amp;""))</f>
        <v/>
      </c>
      <c r="D1702" s="88">
        <f>IF($T1702="","",IF($S1702="S",IF(INDEX(Firms!$E$5:$E$1004,$T1702)="","",INDEX(Firms!$E$5:$E$1004,$T1702)),IF(INDEX('AFA Rates'!$C$5:$C$1004,$T1702)="","",INDEX('AFA Rates'!$C$5:$C$1004,$T1702))))</f>
        <v/>
      </c>
      <c r="E1702" s="88">
        <f>IF($T1702="","",IF($S1702="S",IF(""="","",""),IF(INDEX('AFA Rates'!$D$5:$D$1004,$T1702)="","",INDEX('AFA Rates'!$D$5:$D$1004,$T1702))))</f>
        <v/>
      </c>
      <c r="F1702" s="79">
        <f>IF($T1702="","",IF($S1702="S",IF(INDEX(Firms!$O$5:$O$1004,$T1702)="","",INDEX(Firms!$O$5:$O$1004,$T1702)),IF(INDEX('AFA Rates'!$O$5:$O$1004,$T1702)="","",INDEX('AFA Rates'!$O$5:$O$1004,$T1702))))</f>
        <v/>
      </c>
      <c r="G1702" s="50">
        <f>IF($T1702="","",IF($S1702="S",IF(INDEX(Firms!$F$5:$F$1004,$T1702)="","",INDEX(Firms!$F$5:$F$1004,$T1702)),IF(INDEX('AFA Rates'!$E$5:$E$1004,$T1702)="","",INDEX('AFA Rates'!$E$5:$E$1004,$T1702))))</f>
        <v/>
      </c>
      <c r="H1702" s="50">
        <f>IF($T1702="","",IF($S1702="S",IF(INDEX(Firms!$G$5:$G$1004,$T1702)="","",INDEX(Firms!$G$5:$G$1004,$T1702)),IF(INDEX('AFA Rates'!$F$5:$F$1004,$T1702)="","",INDEX('AFA Rates'!$F$5:$F$1004,$T1702))))</f>
        <v/>
      </c>
      <c r="I1702" s="50">
        <f>IF($T1702="","",IF($S1702="S",IF(INDEX(Firms!$H$5:$H$1004,$T1702)="","",INDEX(Firms!$H$5:$H$1004,$T1702)),IF(INDEX('AFA Rates'!$G$5:$G$1004,$T1702)="","",INDEX('AFA Rates'!$G$5:$G$1004,$T1702))))</f>
        <v/>
      </c>
      <c r="J1702" s="50">
        <f>IF($T1702="","",IF($S1702="S",IF(INDEX(Firms!$I$5:$I$1004,$T1702)="","",INDEX(Firms!$I$5:$I$1004,$T1702)),IF(INDEX('AFA Rates'!$H$5:$H$1004,$T1702)="","",INDEX('AFA Rates'!$H$5:$H$1004,$T1702))))</f>
        <v/>
      </c>
      <c r="K1702" s="50">
        <f>IF($T1702="","",IF($S1702="S",IF(INDEX(Firms!$J$5:$J$1004,$T1702)="","",INDEX(Firms!$J$5:$J$1004,$T1702)),IF(INDEX('AFA Rates'!$I$5:$I$1004,$T1702)="","",INDEX('AFA Rates'!$I$5:$I$1004,$T1702))))</f>
        <v/>
      </c>
      <c r="L1702" s="50">
        <f>IF($T1702="","",IF($S1702="S",IF(INDEX(Firms!$K$5:$K$1004,$T1702)="","",INDEX(Firms!$K$5:$K$1004,$T1702)),IF(INDEX('AFA Rates'!$J$5:$J$1004,$T1702)="","",INDEX('AFA Rates'!$J$5:$J$1004,$T1702))))</f>
        <v/>
      </c>
      <c r="M1702" s="50">
        <f>IF($T1702="","",IF($S1702="S",IF(INDEX(Firms!$L$5:$L$1004,$T1702)="","",INDEX(Firms!$L$5:$L$1004,$T1702)),IF(INDEX('AFA Rates'!$K$5:$K$1004,$T1702)="","",INDEX('AFA Rates'!$K$5:$K$1004,$T1702))))</f>
        <v/>
      </c>
      <c r="N1702" s="50">
        <f>IF($T1702="","",IF($S1702="S",IF(INDEX(Firms!$M$5:$M$1004,$T1702)="","",INDEX(Firms!$M$5:$M$1004,$T1702)),IF(INDEX('AFA Rates'!$L$5:$L$1004,$T1702)="","",INDEX('AFA Rates'!$L$5:$L$1004,$T1702))))</f>
        <v/>
      </c>
      <c r="O1702" s="78">
        <f>IF(OR($T1702="",$U1702=""),"",IF(INDEX(Firms!$C$5:$C$1004,$U1702)="","",INDEX(Firms!$C$5:$C$1004,$U1702)))</f>
        <v/>
      </c>
      <c r="P1702" s="79">
        <f>IF(OR($T1702="",$U1702=""),"",IF(INDEX(Firms!$N$5:$N$1004,$U1702)="","",INDEX(Firms!$N$5:$N$1004,$U1702)))</f>
        <v/>
      </c>
      <c r="Q1702" s="78">
        <f>IF($T1702="","",IF($S1702="S",IF(INDEX(Firms!$T$5:$T$1004,$T1702)="","",INDEX(Firms!$T$5:$T$1004,$T1702)),IF(INDEX('AFA Rates'!$M$5:$M$1004,$T1702)="","",INDEX('AFA Rates'!$M$5:$M$1004,$T1702))))</f>
        <v/>
      </c>
      <c r="S1702">
        <f>IF(1698&lt;=$S$2,"S",IF(1698&lt;=$S$2+$T$2,"A",""))</f>
        <v/>
      </c>
      <c r="T1702">
        <f>IF(S1702="S",MATCH(1698,Firms!$W$5:$W$1004,0),IF(S1702="A",IFERROR(MATCH(1698-$S$2,'AFA Rates'!$R$5:$R$1004,0),""),""))</f>
        <v/>
      </c>
      <c r="U1702">
        <f>IF(S1702="S",T1702,IF(AND(S1702="A",T1702&lt;&gt;""),IFERROR(MATCH(INDEX('AFA Rates'!$A$5:$A$1004,T1702),Firms!$A$5:$A$1004,0),""),""))</f>
        <v/>
      </c>
    </row>
    <row r="1703">
      <c r="A1703" s="78">
        <f>IF($T1703="","",IF($S1703="S",IF(INDEX(Firms!$A$5:$A$1004,$T1703)="","",INDEX(Firms!$A$5:$A$1004,$T1703)),IF(INDEX('AFA Rates'!$A$5:$A$1004,$T1703)="","",INDEX('AFA Rates'!$A$5:$A$1004,$T1703))))</f>
        <v/>
      </c>
      <c r="B1703" s="79">
        <f>IF(OR($T1703="",$U1703=""),IF($T1703="","","Not on Firms tab"),INDEX(Firms!$B$5:$B$1004,$U1703)&amp;"")</f>
        <v/>
      </c>
      <c r="C1703" s="78">
        <f>IF($T1703="","",IF($S1703="S","Standard",INDEX('AFA Rates'!$B$5:$B$1004,$T1703)&amp;""))</f>
        <v/>
      </c>
      <c r="D1703" s="88">
        <f>IF($T1703="","",IF($S1703="S",IF(INDEX(Firms!$E$5:$E$1004,$T1703)="","",INDEX(Firms!$E$5:$E$1004,$T1703)),IF(INDEX('AFA Rates'!$C$5:$C$1004,$T1703)="","",INDEX('AFA Rates'!$C$5:$C$1004,$T1703))))</f>
        <v/>
      </c>
      <c r="E1703" s="88">
        <f>IF($T1703="","",IF($S1703="S",IF(""="","",""),IF(INDEX('AFA Rates'!$D$5:$D$1004,$T1703)="","",INDEX('AFA Rates'!$D$5:$D$1004,$T1703))))</f>
        <v/>
      </c>
      <c r="F1703" s="79">
        <f>IF($T1703="","",IF($S1703="S",IF(INDEX(Firms!$O$5:$O$1004,$T1703)="","",INDEX(Firms!$O$5:$O$1004,$T1703)),IF(INDEX('AFA Rates'!$O$5:$O$1004,$T1703)="","",INDEX('AFA Rates'!$O$5:$O$1004,$T1703))))</f>
        <v/>
      </c>
      <c r="G1703" s="50">
        <f>IF($T1703="","",IF($S1703="S",IF(INDEX(Firms!$F$5:$F$1004,$T1703)="","",INDEX(Firms!$F$5:$F$1004,$T1703)),IF(INDEX('AFA Rates'!$E$5:$E$1004,$T1703)="","",INDEX('AFA Rates'!$E$5:$E$1004,$T1703))))</f>
        <v/>
      </c>
      <c r="H1703" s="50">
        <f>IF($T1703="","",IF($S1703="S",IF(INDEX(Firms!$G$5:$G$1004,$T1703)="","",INDEX(Firms!$G$5:$G$1004,$T1703)),IF(INDEX('AFA Rates'!$F$5:$F$1004,$T1703)="","",INDEX('AFA Rates'!$F$5:$F$1004,$T1703))))</f>
        <v/>
      </c>
      <c r="I1703" s="50">
        <f>IF($T1703="","",IF($S1703="S",IF(INDEX(Firms!$H$5:$H$1004,$T1703)="","",INDEX(Firms!$H$5:$H$1004,$T1703)),IF(INDEX('AFA Rates'!$G$5:$G$1004,$T1703)="","",INDEX('AFA Rates'!$G$5:$G$1004,$T1703))))</f>
        <v/>
      </c>
      <c r="J1703" s="50">
        <f>IF($T1703="","",IF($S1703="S",IF(INDEX(Firms!$I$5:$I$1004,$T1703)="","",INDEX(Firms!$I$5:$I$1004,$T1703)),IF(INDEX('AFA Rates'!$H$5:$H$1004,$T1703)="","",INDEX('AFA Rates'!$H$5:$H$1004,$T1703))))</f>
        <v/>
      </c>
      <c r="K1703" s="50">
        <f>IF($T1703="","",IF($S1703="S",IF(INDEX(Firms!$J$5:$J$1004,$T1703)="","",INDEX(Firms!$J$5:$J$1004,$T1703)),IF(INDEX('AFA Rates'!$I$5:$I$1004,$T1703)="","",INDEX('AFA Rates'!$I$5:$I$1004,$T1703))))</f>
        <v/>
      </c>
      <c r="L1703" s="50">
        <f>IF($T1703="","",IF($S1703="S",IF(INDEX(Firms!$K$5:$K$1004,$T1703)="","",INDEX(Firms!$K$5:$K$1004,$T1703)),IF(INDEX('AFA Rates'!$J$5:$J$1004,$T1703)="","",INDEX('AFA Rates'!$J$5:$J$1004,$T1703))))</f>
        <v/>
      </c>
      <c r="M1703" s="50">
        <f>IF($T1703="","",IF($S1703="S",IF(INDEX(Firms!$L$5:$L$1004,$T1703)="","",INDEX(Firms!$L$5:$L$1004,$T1703)),IF(INDEX('AFA Rates'!$K$5:$K$1004,$T1703)="","",INDEX('AFA Rates'!$K$5:$K$1004,$T1703))))</f>
        <v/>
      </c>
      <c r="N1703" s="50">
        <f>IF($T1703="","",IF($S1703="S",IF(INDEX(Firms!$M$5:$M$1004,$T1703)="","",INDEX(Firms!$M$5:$M$1004,$T1703)),IF(INDEX('AFA Rates'!$L$5:$L$1004,$T1703)="","",INDEX('AFA Rates'!$L$5:$L$1004,$T1703))))</f>
        <v/>
      </c>
      <c r="O1703" s="78">
        <f>IF(OR($T1703="",$U1703=""),"",IF(INDEX(Firms!$C$5:$C$1004,$U1703)="","",INDEX(Firms!$C$5:$C$1004,$U1703)))</f>
        <v/>
      </c>
      <c r="P1703" s="79">
        <f>IF(OR($T1703="",$U1703=""),"",IF(INDEX(Firms!$N$5:$N$1004,$U1703)="","",INDEX(Firms!$N$5:$N$1004,$U1703)))</f>
        <v/>
      </c>
      <c r="Q1703" s="78">
        <f>IF($T1703="","",IF($S1703="S",IF(INDEX(Firms!$T$5:$T$1004,$T1703)="","",INDEX(Firms!$T$5:$T$1004,$T1703)),IF(INDEX('AFA Rates'!$M$5:$M$1004,$T1703)="","",INDEX('AFA Rates'!$M$5:$M$1004,$T1703))))</f>
        <v/>
      </c>
      <c r="S1703">
        <f>IF(1699&lt;=$S$2,"S",IF(1699&lt;=$S$2+$T$2,"A",""))</f>
        <v/>
      </c>
      <c r="T1703">
        <f>IF(S1703="S",MATCH(1699,Firms!$W$5:$W$1004,0),IF(S1703="A",IFERROR(MATCH(1699-$S$2,'AFA Rates'!$R$5:$R$1004,0),""),""))</f>
        <v/>
      </c>
      <c r="U1703">
        <f>IF(S1703="S",T1703,IF(AND(S1703="A",T1703&lt;&gt;""),IFERROR(MATCH(INDEX('AFA Rates'!$A$5:$A$1004,T1703),Firms!$A$5:$A$1004,0),""),""))</f>
        <v/>
      </c>
    </row>
    <row r="1704">
      <c r="A1704" s="78">
        <f>IF($T1704="","",IF($S1704="S",IF(INDEX(Firms!$A$5:$A$1004,$T1704)="","",INDEX(Firms!$A$5:$A$1004,$T1704)),IF(INDEX('AFA Rates'!$A$5:$A$1004,$T1704)="","",INDEX('AFA Rates'!$A$5:$A$1004,$T1704))))</f>
        <v/>
      </c>
      <c r="B1704" s="79">
        <f>IF(OR($T1704="",$U1704=""),IF($T1704="","","Not on Firms tab"),INDEX(Firms!$B$5:$B$1004,$U1704)&amp;"")</f>
        <v/>
      </c>
      <c r="C1704" s="78">
        <f>IF($T1704="","",IF($S1704="S","Standard",INDEX('AFA Rates'!$B$5:$B$1004,$T1704)&amp;""))</f>
        <v/>
      </c>
      <c r="D1704" s="88">
        <f>IF($T1704="","",IF($S1704="S",IF(INDEX(Firms!$E$5:$E$1004,$T1704)="","",INDEX(Firms!$E$5:$E$1004,$T1704)),IF(INDEX('AFA Rates'!$C$5:$C$1004,$T1704)="","",INDEX('AFA Rates'!$C$5:$C$1004,$T1704))))</f>
        <v/>
      </c>
      <c r="E1704" s="88">
        <f>IF($T1704="","",IF($S1704="S",IF(""="","",""),IF(INDEX('AFA Rates'!$D$5:$D$1004,$T1704)="","",INDEX('AFA Rates'!$D$5:$D$1004,$T1704))))</f>
        <v/>
      </c>
      <c r="F1704" s="79">
        <f>IF($T1704="","",IF($S1704="S",IF(INDEX(Firms!$O$5:$O$1004,$T1704)="","",INDEX(Firms!$O$5:$O$1004,$T1704)),IF(INDEX('AFA Rates'!$O$5:$O$1004,$T1704)="","",INDEX('AFA Rates'!$O$5:$O$1004,$T1704))))</f>
        <v/>
      </c>
      <c r="G1704" s="50">
        <f>IF($T1704="","",IF($S1704="S",IF(INDEX(Firms!$F$5:$F$1004,$T1704)="","",INDEX(Firms!$F$5:$F$1004,$T1704)),IF(INDEX('AFA Rates'!$E$5:$E$1004,$T1704)="","",INDEX('AFA Rates'!$E$5:$E$1004,$T1704))))</f>
        <v/>
      </c>
      <c r="H1704" s="50">
        <f>IF($T1704="","",IF($S1704="S",IF(INDEX(Firms!$G$5:$G$1004,$T1704)="","",INDEX(Firms!$G$5:$G$1004,$T1704)),IF(INDEX('AFA Rates'!$F$5:$F$1004,$T1704)="","",INDEX('AFA Rates'!$F$5:$F$1004,$T1704))))</f>
        <v/>
      </c>
      <c r="I1704" s="50">
        <f>IF($T1704="","",IF($S1704="S",IF(INDEX(Firms!$H$5:$H$1004,$T1704)="","",INDEX(Firms!$H$5:$H$1004,$T1704)),IF(INDEX('AFA Rates'!$G$5:$G$1004,$T1704)="","",INDEX('AFA Rates'!$G$5:$G$1004,$T1704))))</f>
        <v/>
      </c>
      <c r="J1704" s="50">
        <f>IF($T1704="","",IF($S1704="S",IF(INDEX(Firms!$I$5:$I$1004,$T1704)="","",INDEX(Firms!$I$5:$I$1004,$T1704)),IF(INDEX('AFA Rates'!$H$5:$H$1004,$T1704)="","",INDEX('AFA Rates'!$H$5:$H$1004,$T1704))))</f>
        <v/>
      </c>
      <c r="K1704" s="50">
        <f>IF($T1704="","",IF($S1704="S",IF(INDEX(Firms!$J$5:$J$1004,$T1704)="","",INDEX(Firms!$J$5:$J$1004,$T1704)),IF(INDEX('AFA Rates'!$I$5:$I$1004,$T1704)="","",INDEX('AFA Rates'!$I$5:$I$1004,$T1704))))</f>
        <v/>
      </c>
      <c r="L1704" s="50">
        <f>IF($T1704="","",IF($S1704="S",IF(INDEX(Firms!$K$5:$K$1004,$T1704)="","",INDEX(Firms!$K$5:$K$1004,$T1704)),IF(INDEX('AFA Rates'!$J$5:$J$1004,$T1704)="","",INDEX('AFA Rates'!$J$5:$J$1004,$T1704))))</f>
        <v/>
      </c>
      <c r="M1704" s="50">
        <f>IF($T1704="","",IF($S1704="S",IF(INDEX(Firms!$L$5:$L$1004,$T1704)="","",INDEX(Firms!$L$5:$L$1004,$T1704)),IF(INDEX('AFA Rates'!$K$5:$K$1004,$T1704)="","",INDEX('AFA Rates'!$K$5:$K$1004,$T1704))))</f>
        <v/>
      </c>
      <c r="N1704" s="50">
        <f>IF($T1704="","",IF($S1704="S",IF(INDEX(Firms!$M$5:$M$1004,$T1704)="","",INDEX(Firms!$M$5:$M$1004,$T1704)),IF(INDEX('AFA Rates'!$L$5:$L$1004,$T1704)="","",INDEX('AFA Rates'!$L$5:$L$1004,$T1704))))</f>
        <v/>
      </c>
      <c r="O1704" s="78">
        <f>IF(OR($T1704="",$U1704=""),"",IF(INDEX(Firms!$C$5:$C$1004,$U1704)="","",INDEX(Firms!$C$5:$C$1004,$U1704)))</f>
        <v/>
      </c>
      <c r="P1704" s="79">
        <f>IF(OR($T1704="",$U1704=""),"",IF(INDEX(Firms!$N$5:$N$1004,$U1704)="","",INDEX(Firms!$N$5:$N$1004,$U1704)))</f>
        <v/>
      </c>
      <c r="Q1704" s="78">
        <f>IF($T1704="","",IF($S1704="S",IF(INDEX(Firms!$T$5:$T$1004,$T1704)="","",INDEX(Firms!$T$5:$T$1004,$T1704)),IF(INDEX('AFA Rates'!$M$5:$M$1004,$T1704)="","",INDEX('AFA Rates'!$M$5:$M$1004,$T1704))))</f>
        <v/>
      </c>
      <c r="S1704">
        <f>IF(1700&lt;=$S$2,"S",IF(1700&lt;=$S$2+$T$2,"A",""))</f>
        <v/>
      </c>
      <c r="T1704">
        <f>IF(S1704="S",MATCH(1700,Firms!$W$5:$W$1004,0),IF(S1704="A",IFERROR(MATCH(1700-$S$2,'AFA Rates'!$R$5:$R$1004,0),""),""))</f>
        <v/>
      </c>
      <c r="U1704">
        <f>IF(S1704="S",T1704,IF(AND(S1704="A",T1704&lt;&gt;""),IFERROR(MATCH(INDEX('AFA Rates'!$A$5:$A$1004,T1704),Firms!$A$5:$A$1004,0),""),""))</f>
        <v/>
      </c>
    </row>
    <row r="1705">
      <c r="A1705" s="78">
        <f>IF($T1705="","",IF($S1705="S",IF(INDEX(Firms!$A$5:$A$1004,$T1705)="","",INDEX(Firms!$A$5:$A$1004,$T1705)),IF(INDEX('AFA Rates'!$A$5:$A$1004,$T1705)="","",INDEX('AFA Rates'!$A$5:$A$1004,$T1705))))</f>
        <v/>
      </c>
      <c r="B1705" s="79">
        <f>IF(OR($T1705="",$U1705=""),IF($T1705="","","Not on Firms tab"),INDEX(Firms!$B$5:$B$1004,$U1705)&amp;"")</f>
        <v/>
      </c>
      <c r="C1705" s="78">
        <f>IF($T1705="","",IF($S1705="S","Standard",INDEX('AFA Rates'!$B$5:$B$1004,$T1705)&amp;""))</f>
        <v/>
      </c>
      <c r="D1705" s="88">
        <f>IF($T1705="","",IF($S1705="S",IF(INDEX(Firms!$E$5:$E$1004,$T1705)="","",INDEX(Firms!$E$5:$E$1004,$T1705)),IF(INDEX('AFA Rates'!$C$5:$C$1004,$T1705)="","",INDEX('AFA Rates'!$C$5:$C$1004,$T1705))))</f>
        <v/>
      </c>
      <c r="E1705" s="88">
        <f>IF($T1705="","",IF($S1705="S",IF(""="","",""),IF(INDEX('AFA Rates'!$D$5:$D$1004,$T1705)="","",INDEX('AFA Rates'!$D$5:$D$1004,$T1705))))</f>
        <v/>
      </c>
      <c r="F1705" s="79">
        <f>IF($T1705="","",IF($S1705="S",IF(INDEX(Firms!$O$5:$O$1004,$T1705)="","",INDEX(Firms!$O$5:$O$1004,$T1705)),IF(INDEX('AFA Rates'!$O$5:$O$1004,$T1705)="","",INDEX('AFA Rates'!$O$5:$O$1004,$T1705))))</f>
        <v/>
      </c>
      <c r="G1705" s="50">
        <f>IF($T1705="","",IF($S1705="S",IF(INDEX(Firms!$F$5:$F$1004,$T1705)="","",INDEX(Firms!$F$5:$F$1004,$T1705)),IF(INDEX('AFA Rates'!$E$5:$E$1004,$T1705)="","",INDEX('AFA Rates'!$E$5:$E$1004,$T1705))))</f>
        <v/>
      </c>
      <c r="H1705" s="50">
        <f>IF($T1705="","",IF($S1705="S",IF(INDEX(Firms!$G$5:$G$1004,$T1705)="","",INDEX(Firms!$G$5:$G$1004,$T1705)),IF(INDEX('AFA Rates'!$F$5:$F$1004,$T1705)="","",INDEX('AFA Rates'!$F$5:$F$1004,$T1705))))</f>
        <v/>
      </c>
      <c r="I1705" s="50">
        <f>IF($T1705="","",IF($S1705="S",IF(INDEX(Firms!$H$5:$H$1004,$T1705)="","",INDEX(Firms!$H$5:$H$1004,$T1705)),IF(INDEX('AFA Rates'!$G$5:$G$1004,$T1705)="","",INDEX('AFA Rates'!$G$5:$G$1004,$T1705))))</f>
        <v/>
      </c>
      <c r="J1705" s="50">
        <f>IF($T1705="","",IF($S1705="S",IF(INDEX(Firms!$I$5:$I$1004,$T1705)="","",INDEX(Firms!$I$5:$I$1004,$T1705)),IF(INDEX('AFA Rates'!$H$5:$H$1004,$T1705)="","",INDEX('AFA Rates'!$H$5:$H$1004,$T1705))))</f>
        <v/>
      </c>
      <c r="K1705" s="50">
        <f>IF($T1705="","",IF($S1705="S",IF(INDEX(Firms!$J$5:$J$1004,$T1705)="","",INDEX(Firms!$J$5:$J$1004,$T1705)),IF(INDEX('AFA Rates'!$I$5:$I$1004,$T1705)="","",INDEX('AFA Rates'!$I$5:$I$1004,$T1705))))</f>
        <v/>
      </c>
      <c r="L1705" s="50">
        <f>IF($T1705="","",IF($S1705="S",IF(INDEX(Firms!$K$5:$K$1004,$T1705)="","",INDEX(Firms!$K$5:$K$1004,$T1705)),IF(INDEX('AFA Rates'!$J$5:$J$1004,$T1705)="","",INDEX('AFA Rates'!$J$5:$J$1004,$T1705))))</f>
        <v/>
      </c>
      <c r="M1705" s="50">
        <f>IF($T1705="","",IF($S1705="S",IF(INDEX(Firms!$L$5:$L$1004,$T1705)="","",INDEX(Firms!$L$5:$L$1004,$T1705)),IF(INDEX('AFA Rates'!$K$5:$K$1004,$T1705)="","",INDEX('AFA Rates'!$K$5:$K$1004,$T1705))))</f>
        <v/>
      </c>
      <c r="N1705" s="50">
        <f>IF($T1705="","",IF($S1705="S",IF(INDEX(Firms!$M$5:$M$1004,$T1705)="","",INDEX(Firms!$M$5:$M$1004,$T1705)),IF(INDEX('AFA Rates'!$L$5:$L$1004,$T1705)="","",INDEX('AFA Rates'!$L$5:$L$1004,$T1705))))</f>
        <v/>
      </c>
      <c r="O1705" s="78">
        <f>IF(OR($T1705="",$U1705=""),"",IF(INDEX(Firms!$C$5:$C$1004,$U1705)="","",INDEX(Firms!$C$5:$C$1004,$U1705)))</f>
        <v/>
      </c>
      <c r="P1705" s="79">
        <f>IF(OR($T1705="",$U1705=""),"",IF(INDEX(Firms!$N$5:$N$1004,$U1705)="","",INDEX(Firms!$N$5:$N$1004,$U1705)))</f>
        <v/>
      </c>
      <c r="Q1705" s="78">
        <f>IF($T1705="","",IF($S1705="S",IF(INDEX(Firms!$T$5:$T$1004,$T1705)="","",INDEX(Firms!$T$5:$T$1004,$T1705)),IF(INDEX('AFA Rates'!$M$5:$M$1004,$T1705)="","",INDEX('AFA Rates'!$M$5:$M$1004,$T1705))))</f>
        <v/>
      </c>
      <c r="S1705">
        <f>IF(1701&lt;=$S$2,"S",IF(1701&lt;=$S$2+$T$2,"A",""))</f>
        <v/>
      </c>
      <c r="T1705">
        <f>IF(S1705="S",MATCH(1701,Firms!$W$5:$W$1004,0),IF(S1705="A",IFERROR(MATCH(1701-$S$2,'AFA Rates'!$R$5:$R$1004,0),""),""))</f>
        <v/>
      </c>
      <c r="U1705">
        <f>IF(S1705="S",T1705,IF(AND(S1705="A",T1705&lt;&gt;""),IFERROR(MATCH(INDEX('AFA Rates'!$A$5:$A$1004,T1705),Firms!$A$5:$A$1004,0),""),""))</f>
        <v/>
      </c>
    </row>
    <row r="1706">
      <c r="A1706" s="78">
        <f>IF($T1706="","",IF($S1706="S",IF(INDEX(Firms!$A$5:$A$1004,$T1706)="","",INDEX(Firms!$A$5:$A$1004,$T1706)),IF(INDEX('AFA Rates'!$A$5:$A$1004,$T1706)="","",INDEX('AFA Rates'!$A$5:$A$1004,$T1706))))</f>
        <v/>
      </c>
      <c r="B1706" s="79">
        <f>IF(OR($T1706="",$U1706=""),IF($T1706="","","Not on Firms tab"),INDEX(Firms!$B$5:$B$1004,$U1706)&amp;"")</f>
        <v/>
      </c>
      <c r="C1706" s="78">
        <f>IF($T1706="","",IF($S1706="S","Standard",INDEX('AFA Rates'!$B$5:$B$1004,$T1706)&amp;""))</f>
        <v/>
      </c>
      <c r="D1706" s="88">
        <f>IF($T1706="","",IF($S1706="S",IF(INDEX(Firms!$E$5:$E$1004,$T1706)="","",INDEX(Firms!$E$5:$E$1004,$T1706)),IF(INDEX('AFA Rates'!$C$5:$C$1004,$T1706)="","",INDEX('AFA Rates'!$C$5:$C$1004,$T1706))))</f>
        <v/>
      </c>
      <c r="E1706" s="88">
        <f>IF($T1706="","",IF($S1706="S",IF(""="","",""),IF(INDEX('AFA Rates'!$D$5:$D$1004,$T1706)="","",INDEX('AFA Rates'!$D$5:$D$1004,$T1706))))</f>
        <v/>
      </c>
      <c r="F1706" s="79">
        <f>IF($T1706="","",IF($S1706="S",IF(INDEX(Firms!$O$5:$O$1004,$T1706)="","",INDEX(Firms!$O$5:$O$1004,$T1706)),IF(INDEX('AFA Rates'!$O$5:$O$1004,$T1706)="","",INDEX('AFA Rates'!$O$5:$O$1004,$T1706))))</f>
        <v/>
      </c>
      <c r="G1706" s="50">
        <f>IF($T1706="","",IF($S1706="S",IF(INDEX(Firms!$F$5:$F$1004,$T1706)="","",INDEX(Firms!$F$5:$F$1004,$T1706)),IF(INDEX('AFA Rates'!$E$5:$E$1004,$T1706)="","",INDEX('AFA Rates'!$E$5:$E$1004,$T1706))))</f>
        <v/>
      </c>
      <c r="H1706" s="50">
        <f>IF($T1706="","",IF($S1706="S",IF(INDEX(Firms!$G$5:$G$1004,$T1706)="","",INDEX(Firms!$G$5:$G$1004,$T1706)),IF(INDEX('AFA Rates'!$F$5:$F$1004,$T1706)="","",INDEX('AFA Rates'!$F$5:$F$1004,$T1706))))</f>
        <v/>
      </c>
      <c r="I1706" s="50">
        <f>IF($T1706="","",IF($S1706="S",IF(INDEX(Firms!$H$5:$H$1004,$T1706)="","",INDEX(Firms!$H$5:$H$1004,$T1706)),IF(INDEX('AFA Rates'!$G$5:$G$1004,$T1706)="","",INDEX('AFA Rates'!$G$5:$G$1004,$T1706))))</f>
        <v/>
      </c>
      <c r="J1706" s="50">
        <f>IF($T1706="","",IF($S1706="S",IF(INDEX(Firms!$I$5:$I$1004,$T1706)="","",INDEX(Firms!$I$5:$I$1004,$T1706)),IF(INDEX('AFA Rates'!$H$5:$H$1004,$T1706)="","",INDEX('AFA Rates'!$H$5:$H$1004,$T1706))))</f>
        <v/>
      </c>
      <c r="K1706" s="50">
        <f>IF($T1706="","",IF($S1706="S",IF(INDEX(Firms!$J$5:$J$1004,$T1706)="","",INDEX(Firms!$J$5:$J$1004,$T1706)),IF(INDEX('AFA Rates'!$I$5:$I$1004,$T1706)="","",INDEX('AFA Rates'!$I$5:$I$1004,$T1706))))</f>
        <v/>
      </c>
      <c r="L1706" s="50">
        <f>IF($T1706="","",IF($S1706="S",IF(INDEX(Firms!$K$5:$K$1004,$T1706)="","",INDEX(Firms!$K$5:$K$1004,$T1706)),IF(INDEX('AFA Rates'!$J$5:$J$1004,$T1706)="","",INDEX('AFA Rates'!$J$5:$J$1004,$T1706))))</f>
        <v/>
      </c>
      <c r="M1706" s="50">
        <f>IF($T1706="","",IF($S1706="S",IF(INDEX(Firms!$L$5:$L$1004,$T1706)="","",INDEX(Firms!$L$5:$L$1004,$T1706)),IF(INDEX('AFA Rates'!$K$5:$K$1004,$T1706)="","",INDEX('AFA Rates'!$K$5:$K$1004,$T1706))))</f>
        <v/>
      </c>
      <c r="N1706" s="50">
        <f>IF($T1706="","",IF($S1706="S",IF(INDEX(Firms!$M$5:$M$1004,$T1706)="","",INDEX(Firms!$M$5:$M$1004,$T1706)),IF(INDEX('AFA Rates'!$L$5:$L$1004,$T1706)="","",INDEX('AFA Rates'!$L$5:$L$1004,$T1706))))</f>
        <v/>
      </c>
      <c r="O1706" s="78">
        <f>IF(OR($T1706="",$U1706=""),"",IF(INDEX(Firms!$C$5:$C$1004,$U1706)="","",INDEX(Firms!$C$5:$C$1004,$U1706)))</f>
        <v/>
      </c>
      <c r="P1706" s="79">
        <f>IF(OR($T1706="",$U1706=""),"",IF(INDEX(Firms!$N$5:$N$1004,$U1706)="","",INDEX(Firms!$N$5:$N$1004,$U1706)))</f>
        <v/>
      </c>
      <c r="Q1706" s="78">
        <f>IF($T1706="","",IF($S1706="S",IF(INDEX(Firms!$T$5:$T$1004,$T1706)="","",INDEX(Firms!$T$5:$T$1004,$T1706)),IF(INDEX('AFA Rates'!$M$5:$M$1004,$T1706)="","",INDEX('AFA Rates'!$M$5:$M$1004,$T1706))))</f>
        <v/>
      </c>
      <c r="S1706">
        <f>IF(1702&lt;=$S$2,"S",IF(1702&lt;=$S$2+$T$2,"A",""))</f>
        <v/>
      </c>
      <c r="T1706">
        <f>IF(S1706="S",MATCH(1702,Firms!$W$5:$W$1004,0),IF(S1706="A",IFERROR(MATCH(1702-$S$2,'AFA Rates'!$R$5:$R$1004,0),""),""))</f>
        <v/>
      </c>
      <c r="U1706">
        <f>IF(S1706="S",T1706,IF(AND(S1706="A",T1706&lt;&gt;""),IFERROR(MATCH(INDEX('AFA Rates'!$A$5:$A$1004,T1706),Firms!$A$5:$A$1004,0),""),""))</f>
        <v/>
      </c>
    </row>
    <row r="1707">
      <c r="A1707" s="78">
        <f>IF($T1707="","",IF($S1707="S",IF(INDEX(Firms!$A$5:$A$1004,$T1707)="","",INDEX(Firms!$A$5:$A$1004,$T1707)),IF(INDEX('AFA Rates'!$A$5:$A$1004,$T1707)="","",INDEX('AFA Rates'!$A$5:$A$1004,$T1707))))</f>
        <v/>
      </c>
      <c r="B1707" s="79">
        <f>IF(OR($T1707="",$U1707=""),IF($T1707="","","Not on Firms tab"),INDEX(Firms!$B$5:$B$1004,$U1707)&amp;"")</f>
        <v/>
      </c>
      <c r="C1707" s="78">
        <f>IF($T1707="","",IF($S1707="S","Standard",INDEX('AFA Rates'!$B$5:$B$1004,$T1707)&amp;""))</f>
        <v/>
      </c>
      <c r="D1707" s="88">
        <f>IF($T1707="","",IF($S1707="S",IF(INDEX(Firms!$E$5:$E$1004,$T1707)="","",INDEX(Firms!$E$5:$E$1004,$T1707)),IF(INDEX('AFA Rates'!$C$5:$C$1004,$T1707)="","",INDEX('AFA Rates'!$C$5:$C$1004,$T1707))))</f>
        <v/>
      </c>
      <c r="E1707" s="88">
        <f>IF($T1707="","",IF($S1707="S",IF(""="","",""),IF(INDEX('AFA Rates'!$D$5:$D$1004,$T1707)="","",INDEX('AFA Rates'!$D$5:$D$1004,$T1707))))</f>
        <v/>
      </c>
      <c r="F1707" s="79">
        <f>IF($T1707="","",IF($S1707="S",IF(INDEX(Firms!$O$5:$O$1004,$T1707)="","",INDEX(Firms!$O$5:$O$1004,$T1707)),IF(INDEX('AFA Rates'!$O$5:$O$1004,$T1707)="","",INDEX('AFA Rates'!$O$5:$O$1004,$T1707))))</f>
        <v/>
      </c>
      <c r="G1707" s="50">
        <f>IF($T1707="","",IF($S1707="S",IF(INDEX(Firms!$F$5:$F$1004,$T1707)="","",INDEX(Firms!$F$5:$F$1004,$T1707)),IF(INDEX('AFA Rates'!$E$5:$E$1004,$T1707)="","",INDEX('AFA Rates'!$E$5:$E$1004,$T1707))))</f>
        <v/>
      </c>
      <c r="H1707" s="50">
        <f>IF($T1707="","",IF($S1707="S",IF(INDEX(Firms!$G$5:$G$1004,$T1707)="","",INDEX(Firms!$G$5:$G$1004,$T1707)),IF(INDEX('AFA Rates'!$F$5:$F$1004,$T1707)="","",INDEX('AFA Rates'!$F$5:$F$1004,$T1707))))</f>
        <v/>
      </c>
      <c r="I1707" s="50">
        <f>IF($T1707="","",IF($S1707="S",IF(INDEX(Firms!$H$5:$H$1004,$T1707)="","",INDEX(Firms!$H$5:$H$1004,$T1707)),IF(INDEX('AFA Rates'!$G$5:$G$1004,$T1707)="","",INDEX('AFA Rates'!$G$5:$G$1004,$T1707))))</f>
        <v/>
      </c>
      <c r="J1707" s="50">
        <f>IF($T1707="","",IF($S1707="S",IF(INDEX(Firms!$I$5:$I$1004,$T1707)="","",INDEX(Firms!$I$5:$I$1004,$T1707)),IF(INDEX('AFA Rates'!$H$5:$H$1004,$T1707)="","",INDEX('AFA Rates'!$H$5:$H$1004,$T1707))))</f>
        <v/>
      </c>
      <c r="K1707" s="50">
        <f>IF($T1707="","",IF($S1707="S",IF(INDEX(Firms!$J$5:$J$1004,$T1707)="","",INDEX(Firms!$J$5:$J$1004,$T1707)),IF(INDEX('AFA Rates'!$I$5:$I$1004,$T1707)="","",INDEX('AFA Rates'!$I$5:$I$1004,$T1707))))</f>
        <v/>
      </c>
      <c r="L1707" s="50">
        <f>IF($T1707="","",IF($S1707="S",IF(INDEX(Firms!$K$5:$K$1004,$T1707)="","",INDEX(Firms!$K$5:$K$1004,$T1707)),IF(INDEX('AFA Rates'!$J$5:$J$1004,$T1707)="","",INDEX('AFA Rates'!$J$5:$J$1004,$T1707))))</f>
        <v/>
      </c>
      <c r="M1707" s="50">
        <f>IF($T1707="","",IF($S1707="S",IF(INDEX(Firms!$L$5:$L$1004,$T1707)="","",INDEX(Firms!$L$5:$L$1004,$T1707)),IF(INDEX('AFA Rates'!$K$5:$K$1004,$T1707)="","",INDEX('AFA Rates'!$K$5:$K$1004,$T1707))))</f>
        <v/>
      </c>
      <c r="N1707" s="50">
        <f>IF($T1707="","",IF($S1707="S",IF(INDEX(Firms!$M$5:$M$1004,$T1707)="","",INDEX(Firms!$M$5:$M$1004,$T1707)),IF(INDEX('AFA Rates'!$L$5:$L$1004,$T1707)="","",INDEX('AFA Rates'!$L$5:$L$1004,$T1707))))</f>
        <v/>
      </c>
      <c r="O1707" s="78">
        <f>IF(OR($T1707="",$U1707=""),"",IF(INDEX(Firms!$C$5:$C$1004,$U1707)="","",INDEX(Firms!$C$5:$C$1004,$U1707)))</f>
        <v/>
      </c>
      <c r="P1707" s="79">
        <f>IF(OR($T1707="",$U1707=""),"",IF(INDEX(Firms!$N$5:$N$1004,$U1707)="","",INDEX(Firms!$N$5:$N$1004,$U1707)))</f>
        <v/>
      </c>
      <c r="Q1707" s="78">
        <f>IF($T1707="","",IF($S1707="S",IF(INDEX(Firms!$T$5:$T$1004,$T1707)="","",INDEX(Firms!$T$5:$T$1004,$T1707)),IF(INDEX('AFA Rates'!$M$5:$M$1004,$T1707)="","",INDEX('AFA Rates'!$M$5:$M$1004,$T1707))))</f>
        <v/>
      </c>
      <c r="S1707">
        <f>IF(1703&lt;=$S$2,"S",IF(1703&lt;=$S$2+$T$2,"A",""))</f>
        <v/>
      </c>
      <c r="T1707">
        <f>IF(S1707="S",MATCH(1703,Firms!$W$5:$W$1004,0),IF(S1707="A",IFERROR(MATCH(1703-$S$2,'AFA Rates'!$R$5:$R$1004,0),""),""))</f>
        <v/>
      </c>
      <c r="U1707">
        <f>IF(S1707="S",T1707,IF(AND(S1707="A",T1707&lt;&gt;""),IFERROR(MATCH(INDEX('AFA Rates'!$A$5:$A$1004,T1707),Firms!$A$5:$A$1004,0),""),""))</f>
        <v/>
      </c>
    </row>
    <row r="1708">
      <c r="A1708" s="78">
        <f>IF($T1708="","",IF($S1708="S",IF(INDEX(Firms!$A$5:$A$1004,$T1708)="","",INDEX(Firms!$A$5:$A$1004,$T1708)),IF(INDEX('AFA Rates'!$A$5:$A$1004,$T1708)="","",INDEX('AFA Rates'!$A$5:$A$1004,$T1708))))</f>
        <v/>
      </c>
      <c r="B1708" s="79">
        <f>IF(OR($T1708="",$U1708=""),IF($T1708="","","Not on Firms tab"),INDEX(Firms!$B$5:$B$1004,$U1708)&amp;"")</f>
        <v/>
      </c>
      <c r="C1708" s="78">
        <f>IF($T1708="","",IF($S1708="S","Standard",INDEX('AFA Rates'!$B$5:$B$1004,$T1708)&amp;""))</f>
        <v/>
      </c>
      <c r="D1708" s="88">
        <f>IF($T1708="","",IF($S1708="S",IF(INDEX(Firms!$E$5:$E$1004,$T1708)="","",INDEX(Firms!$E$5:$E$1004,$T1708)),IF(INDEX('AFA Rates'!$C$5:$C$1004,$T1708)="","",INDEX('AFA Rates'!$C$5:$C$1004,$T1708))))</f>
        <v/>
      </c>
      <c r="E1708" s="88">
        <f>IF($T1708="","",IF($S1708="S",IF(""="","",""),IF(INDEX('AFA Rates'!$D$5:$D$1004,$T1708)="","",INDEX('AFA Rates'!$D$5:$D$1004,$T1708))))</f>
        <v/>
      </c>
      <c r="F1708" s="79">
        <f>IF($T1708="","",IF($S1708="S",IF(INDEX(Firms!$O$5:$O$1004,$T1708)="","",INDEX(Firms!$O$5:$O$1004,$T1708)),IF(INDEX('AFA Rates'!$O$5:$O$1004,$T1708)="","",INDEX('AFA Rates'!$O$5:$O$1004,$T1708))))</f>
        <v/>
      </c>
      <c r="G1708" s="50">
        <f>IF($T1708="","",IF($S1708="S",IF(INDEX(Firms!$F$5:$F$1004,$T1708)="","",INDEX(Firms!$F$5:$F$1004,$T1708)),IF(INDEX('AFA Rates'!$E$5:$E$1004,$T1708)="","",INDEX('AFA Rates'!$E$5:$E$1004,$T1708))))</f>
        <v/>
      </c>
      <c r="H1708" s="50">
        <f>IF($T1708="","",IF($S1708="S",IF(INDEX(Firms!$G$5:$G$1004,$T1708)="","",INDEX(Firms!$G$5:$G$1004,$T1708)),IF(INDEX('AFA Rates'!$F$5:$F$1004,$T1708)="","",INDEX('AFA Rates'!$F$5:$F$1004,$T1708))))</f>
        <v/>
      </c>
      <c r="I1708" s="50">
        <f>IF($T1708="","",IF($S1708="S",IF(INDEX(Firms!$H$5:$H$1004,$T1708)="","",INDEX(Firms!$H$5:$H$1004,$T1708)),IF(INDEX('AFA Rates'!$G$5:$G$1004,$T1708)="","",INDEX('AFA Rates'!$G$5:$G$1004,$T1708))))</f>
        <v/>
      </c>
      <c r="J1708" s="50">
        <f>IF($T1708="","",IF($S1708="S",IF(INDEX(Firms!$I$5:$I$1004,$T1708)="","",INDEX(Firms!$I$5:$I$1004,$T1708)),IF(INDEX('AFA Rates'!$H$5:$H$1004,$T1708)="","",INDEX('AFA Rates'!$H$5:$H$1004,$T1708))))</f>
        <v/>
      </c>
      <c r="K1708" s="50">
        <f>IF($T1708="","",IF($S1708="S",IF(INDEX(Firms!$J$5:$J$1004,$T1708)="","",INDEX(Firms!$J$5:$J$1004,$T1708)),IF(INDEX('AFA Rates'!$I$5:$I$1004,$T1708)="","",INDEX('AFA Rates'!$I$5:$I$1004,$T1708))))</f>
        <v/>
      </c>
      <c r="L1708" s="50">
        <f>IF($T1708="","",IF($S1708="S",IF(INDEX(Firms!$K$5:$K$1004,$T1708)="","",INDEX(Firms!$K$5:$K$1004,$T1708)),IF(INDEX('AFA Rates'!$J$5:$J$1004,$T1708)="","",INDEX('AFA Rates'!$J$5:$J$1004,$T1708))))</f>
        <v/>
      </c>
      <c r="M1708" s="50">
        <f>IF($T1708="","",IF($S1708="S",IF(INDEX(Firms!$L$5:$L$1004,$T1708)="","",INDEX(Firms!$L$5:$L$1004,$T1708)),IF(INDEX('AFA Rates'!$K$5:$K$1004,$T1708)="","",INDEX('AFA Rates'!$K$5:$K$1004,$T1708))))</f>
        <v/>
      </c>
      <c r="N1708" s="50">
        <f>IF($T1708="","",IF($S1708="S",IF(INDEX(Firms!$M$5:$M$1004,$T1708)="","",INDEX(Firms!$M$5:$M$1004,$T1708)),IF(INDEX('AFA Rates'!$L$5:$L$1004,$T1708)="","",INDEX('AFA Rates'!$L$5:$L$1004,$T1708))))</f>
        <v/>
      </c>
      <c r="O1708" s="78">
        <f>IF(OR($T1708="",$U1708=""),"",IF(INDEX(Firms!$C$5:$C$1004,$U1708)="","",INDEX(Firms!$C$5:$C$1004,$U1708)))</f>
        <v/>
      </c>
      <c r="P1708" s="79">
        <f>IF(OR($T1708="",$U1708=""),"",IF(INDEX(Firms!$N$5:$N$1004,$U1708)="","",INDEX(Firms!$N$5:$N$1004,$U1708)))</f>
        <v/>
      </c>
      <c r="Q1708" s="78">
        <f>IF($T1708="","",IF($S1708="S",IF(INDEX(Firms!$T$5:$T$1004,$T1708)="","",INDEX(Firms!$T$5:$T$1004,$T1708)),IF(INDEX('AFA Rates'!$M$5:$M$1004,$T1708)="","",INDEX('AFA Rates'!$M$5:$M$1004,$T1708))))</f>
        <v/>
      </c>
      <c r="S1708">
        <f>IF(1704&lt;=$S$2,"S",IF(1704&lt;=$S$2+$T$2,"A",""))</f>
        <v/>
      </c>
      <c r="T1708">
        <f>IF(S1708="S",MATCH(1704,Firms!$W$5:$W$1004,0),IF(S1708="A",IFERROR(MATCH(1704-$S$2,'AFA Rates'!$R$5:$R$1004,0),""),""))</f>
        <v/>
      </c>
      <c r="U1708">
        <f>IF(S1708="S",T1708,IF(AND(S1708="A",T1708&lt;&gt;""),IFERROR(MATCH(INDEX('AFA Rates'!$A$5:$A$1004,T1708),Firms!$A$5:$A$1004,0),""),""))</f>
        <v/>
      </c>
    </row>
    <row r="1709">
      <c r="A1709" s="78">
        <f>IF($T1709="","",IF($S1709="S",IF(INDEX(Firms!$A$5:$A$1004,$T1709)="","",INDEX(Firms!$A$5:$A$1004,$T1709)),IF(INDEX('AFA Rates'!$A$5:$A$1004,$T1709)="","",INDEX('AFA Rates'!$A$5:$A$1004,$T1709))))</f>
        <v/>
      </c>
      <c r="B1709" s="79">
        <f>IF(OR($T1709="",$U1709=""),IF($T1709="","","Not on Firms tab"),INDEX(Firms!$B$5:$B$1004,$U1709)&amp;"")</f>
        <v/>
      </c>
      <c r="C1709" s="78">
        <f>IF($T1709="","",IF($S1709="S","Standard",INDEX('AFA Rates'!$B$5:$B$1004,$T1709)&amp;""))</f>
        <v/>
      </c>
      <c r="D1709" s="88">
        <f>IF($T1709="","",IF($S1709="S",IF(INDEX(Firms!$E$5:$E$1004,$T1709)="","",INDEX(Firms!$E$5:$E$1004,$T1709)),IF(INDEX('AFA Rates'!$C$5:$C$1004,$T1709)="","",INDEX('AFA Rates'!$C$5:$C$1004,$T1709))))</f>
        <v/>
      </c>
      <c r="E1709" s="88">
        <f>IF($T1709="","",IF($S1709="S",IF(""="","",""),IF(INDEX('AFA Rates'!$D$5:$D$1004,$T1709)="","",INDEX('AFA Rates'!$D$5:$D$1004,$T1709))))</f>
        <v/>
      </c>
      <c r="F1709" s="79">
        <f>IF($T1709="","",IF($S1709="S",IF(INDEX(Firms!$O$5:$O$1004,$T1709)="","",INDEX(Firms!$O$5:$O$1004,$T1709)),IF(INDEX('AFA Rates'!$O$5:$O$1004,$T1709)="","",INDEX('AFA Rates'!$O$5:$O$1004,$T1709))))</f>
        <v/>
      </c>
      <c r="G1709" s="50">
        <f>IF($T1709="","",IF($S1709="S",IF(INDEX(Firms!$F$5:$F$1004,$T1709)="","",INDEX(Firms!$F$5:$F$1004,$T1709)),IF(INDEX('AFA Rates'!$E$5:$E$1004,$T1709)="","",INDEX('AFA Rates'!$E$5:$E$1004,$T1709))))</f>
        <v/>
      </c>
      <c r="H1709" s="50">
        <f>IF($T1709="","",IF($S1709="S",IF(INDEX(Firms!$G$5:$G$1004,$T1709)="","",INDEX(Firms!$G$5:$G$1004,$T1709)),IF(INDEX('AFA Rates'!$F$5:$F$1004,$T1709)="","",INDEX('AFA Rates'!$F$5:$F$1004,$T1709))))</f>
        <v/>
      </c>
      <c r="I1709" s="50">
        <f>IF($T1709="","",IF($S1709="S",IF(INDEX(Firms!$H$5:$H$1004,$T1709)="","",INDEX(Firms!$H$5:$H$1004,$T1709)),IF(INDEX('AFA Rates'!$G$5:$G$1004,$T1709)="","",INDEX('AFA Rates'!$G$5:$G$1004,$T1709))))</f>
        <v/>
      </c>
      <c r="J1709" s="50">
        <f>IF($T1709="","",IF($S1709="S",IF(INDEX(Firms!$I$5:$I$1004,$T1709)="","",INDEX(Firms!$I$5:$I$1004,$T1709)),IF(INDEX('AFA Rates'!$H$5:$H$1004,$T1709)="","",INDEX('AFA Rates'!$H$5:$H$1004,$T1709))))</f>
        <v/>
      </c>
      <c r="K1709" s="50">
        <f>IF($T1709="","",IF($S1709="S",IF(INDEX(Firms!$J$5:$J$1004,$T1709)="","",INDEX(Firms!$J$5:$J$1004,$T1709)),IF(INDEX('AFA Rates'!$I$5:$I$1004,$T1709)="","",INDEX('AFA Rates'!$I$5:$I$1004,$T1709))))</f>
        <v/>
      </c>
      <c r="L1709" s="50">
        <f>IF($T1709="","",IF($S1709="S",IF(INDEX(Firms!$K$5:$K$1004,$T1709)="","",INDEX(Firms!$K$5:$K$1004,$T1709)),IF(INDEX('AFA Rates'!$J$5:$J$1004,$T1709)="","",INDEX('AFA Rates'!$J$5:$J$1004,$T1709))))</f>
        <v/>
      </c>
      <c r="M1709" s="50">
        <f>IF($T1709="","",IF($S1709="S",IF(INDEX(Firms!$L$5:$L$1004,$T1709)="","",INDEX(Firms!$L$5:$L$1004,$T1709)),IF(INDEX('AFA Rates'!$K$5:$K$1004,$T1709)="","",INDEX('AFA Rates'!$K$5:$K$1004,$T1709))))</f>
        <v/>
      </c>
      <c r="N1709" s="50">
        <f>IF($T1709="","",IF($S1709="S",IF(INDEX(Firms!$M$5:$M$1004,$T1709)="","",INDEX(Firms!$M$5:$M$1004,$T1709)),IF(INDEX('AFA Rates'!$L$5:$L$1004,$T1709)="","",INDEX('AFA Rates'!$L$5:$L$1004,$T1709))))</f>
        <v/>
      </c>
      <c r="O1709" s="78">
        <f>IF(OR($T1709="",$U1709=""),"",IF(INDEX(Firms!$C$5:$C$1004,$U1709)="","",INDEX(Firms!$C$5:$C$1004,$U1709)))</f>
        <v/>
      </c>
      <c r="P1709" s="79">
        <f>IF(OR($T1709="",$U1709=""),"",IF(INDEX(Firms!$N$5:$N$1004,$U1709)="","",INDEX(Firms!$N$5:$N$1004,$U1709)))</f>
        <v/>
      </c>
      <c r="Q1709" s="78">
        <f>IF($T1709="","",IF($S1709="S",IF(INDEX(Firms!$T$5:$T$1004,$T1709)="","",INDEX(Firms!$T$5:$T$1004,$T1709)),IF(INDEX('AFA Rates'!$M$5:$M$1004,$T1709)="","",INDEX('AFA Rates'!$M$5:$M$1004,$T1709))))</f>
        <v/>
      </c>
      <c r="S1709">
        <f>IF(1705&lt;=$S$2,"S",IF(1705&lt;=$S$2+$T$2,"A",""))</f>
        <v/>
      </c>
      <c r="T1709">
        <f>IF(S1709="S",MATCH(1705,Firms!$W$5:$W$1004,0),IF(S1709="A",IFERROR(MATCH(1705-$S$2,'AFA Rates'!$R$5:$R$1004,0),""),""))</f>
        <v/>
      </c>
      <c r="U1709">
        <f>IF(S1709="S",T1709,IF(AND(S1709="A",T1709&lt;&gt;""),IFERROR(MATCH(INDEX('AFA Rates'!$A$5:$A$1004,T1709),Firms!$A$5:$A$1004,0),""),""))</f>
        <v/>
      </c>
    </row>
    <row r="1710">
      <c r="A1710" s="78">
        <f>IF($T1710="","",IF($S1710="S",IF(INDEX(Firms!$A$5:$A$1004,$T1710)="","",INDEX(Firms!$A$5:$A$1004,$T1710)),IF(INDEX('AFA Rates'!$A$5:$A$1004,$T1710)="","",INDEX('AFA Rates'!$A$5:$A$1004,$T1710))))</f>
        <v/>
      </c>
      <c r="B1710" s="79">
        <f>IF(OR($T1710="",$U1710=""),IF($T1710="","","Not on Firms tab"),INDEX(Firms!$B$5:$B$1004,$U1710)&amp;"")</f>
        <v/>
      </c>
      <c r="C1710" s="78">
        <f>IF($T1710="","",IF($S1710="S","Standard",INDEX('AFA Rates'!$B$5:$B$1004,$T1710)&amp;""))</f>
        <v/>
      </c>
      <c r="D1710" s="88">
        <f>IF($T1710="","",IF($S1710="S",IF(INDEX(Firms!$E$5:$E$1004,$T1710)="","",INDEX(Firms!$E$5:$E$1004,$T1710)),IF(INDEX('AFA Rates'!$C$5:$C$1004,$T1710)="","",INDEX('AFA Rates'!$C$5:$C$1004,$T1710))))</f>
        <v/>
      </c>
      <c r="E1710" s="88">
        <f>IF($T1710="","",IF($S1710="S",IF(""="","",""),IF(INDEX('AFA Rates'!$D$5:$D$1004,$T1710)="","",INDEX('AFA Rates'!$D$5:$D$1004,$T1710))))</f>
        <v/>
      </c>
      <c r="F1710" s="79">
        <f>IF($T1710="","",IF($S1710="S",IF(INDEX(Firms!$O$5:$O$1004,$T1710)="","",INDEX(Firms!$O$5:$O$1004,$T1710)),IF(INDEX('AFA Rates'!$O$5:$O$1004,$T1710)="","",INDEX('AFA Rates'!$O$5:$O$1004,$T1710))))</f>
        <v/>
      </c>
      <c r="G1710" s="50">
        <f>IF($T1710="","",IF($S1710="S",IF(INDEX(Firms!$F$5:$F$1004,$T1710)="","",INDEX(Firms!$F$5:$F$1004,$T1710)),IF(INDEX('AFA Rates'!$E$5:$E$1004,$T1710)="","",INDEX('AFA Rates'!$E$5:$E$1004,$T1710))))</f>
        <v/>
      </c>
      <c r="H1710" s="50">
        <f>IF($T1710="","",IF($S1710="S",IF(INDEX(Firms!$G$5:$G$1004,$T1710)="","",INDEX(Firms!$G$5:$G$1004,$T1710)),IF(INDEX('AFA Rates'!$F$5:$F$1004,$T1710)="","",INDEX('AFA Rates'!$F$5:$F$1004,$T1710))))</f>
        <v/>
      </c>
      <c r="I1710" s="50">
        <f>IF($T1710="","",IF($S1710="S",IF(INDEX(Firms!$H$5:$H$1004,$T1710)="","",INDEX(Firms!$H$5:$H$1004,$T1710)),IF(INDEX('AFA Rates'!$G$5:$G$1004,$T1710)="","",INDEX('AFA Rates'!$G$5:$G$1004,$T1710))))</f>
        <v/>
      </c>
      <c r="J1710" s="50">
        <f>IF($T1710="","",IF($S1710="S",IF(INDEX(Firms!$I$5:$I$1004,$T1710)="","",INDEX(Firms!$I$5:$I$1004,$T1710)),IF(INDEX('AFA Rates'!$H$5:$H$1004,$T1710)="","",INDEX('AFA Rates'!$H$5:$H$1004,$T1710))))</f>
        <v/>
      </c>
      <c r="K1710" s="50">
        <f>IF($T1710="","",IF($S1710="S",IF(INDEX(Firms!$J$5:$J$1004,$T1710)="","",INDEX(Firms!$J$5:$J$1004,$T1710)),IF(INDEX('AFA Rates'!$I$5:$I$1004,$T1710)="","",INDEX('AFA Rates'!$I$5:$I$1004,$T1710))))</f>
        <v/>
      </c>
      <c r="L1710" s="50">
        <f>IF($T1710="","",IF($S1710="S",IF(INDEX(Firms!$K$5:$K$1004,$T1710)="","",INDEX(Firms!$K$5:$K$1004,$T1710)),IF(INDEX('AFA Rates'!$J$5:$J$1004,$T1710)="","",INDEX('AFA Rates'!$J$5:$J$1004,$T1710))))</f>
        <v/>
      </c>
      <c r="M1710" s="50">
        <f>IF($T1710="","",IF($S1710="S",IF(INDEX(Firms!$L$5:$L$1004,$T1710)="","",INDEX(Firms!$L$5:$L$1004,$T1710)),IF(INDEX('AFA Rates'!$K$5:$K$1004,$T1710)="","",INDEX('AFA Rates'!$K$5:$K$1004,$T1710))))</f>
        <v/>
      </c>
      <c r="N1710" s="50">
        <f>IF($T1710="","",IF($S1710="S",IF(INDEX(Firms!$M$5:$M$1004,$T1710)="","",INDEX(Firms!$M$5:$M$1004,$T1710)),IF(INDEX('AFA Rates'!$L$5:$L$1004,$T1710)="","",INDEX('AFA Rates'!$L$5:$L$1004,$T1710))))</f>
        <v/>
      </c>
      <c r="O1710" s="78">
        <f>IF(OR($T1710="",$U1710=""),"",IF(INDEX(Firms!$C$5:$C$1004,$U1710)="","",INDEX(Firms!$C$5:$C$1004,$U1710)))</f>
        <v/>
      </c>
      <c r="P1710" s="79">
        <f>IF(OR($T1710="",$U1710=""),"",IF(INDEX(Firms!$N$5:$N$1004,$U1710)="","",INDEX(Firms!$N$5:$N$1004,$U1710)))</f>
        <v/>
      </c>
      <c r="Q1710" s="78">
        <f>IF($T1710="","",IF($S1710="S",IF(INDEX(Firms!$T$5:$T$1004,$T1710)="","",INDEX(Firms!$T$5:$T$1004,$T1710)),IF(INDEX('AFA Rates'!$M$5:$M$1004,$T1710)="","",INDEX('AFA Rates'!$M$5:$M$1004,$T1710))))</f>
        <v/>
      </c>
      <c r="S1710">
        <f>IF(1706&lt;=$S$2,"S",IF(1706&lt;=$S$2+$T$2,"A",""))</f>
        <v/>
      </c>
      <c r="T1710">
        <f>IF(S1710="S",MATCH(1706,Firms!$W$5:$W$1004,0),IF(S1710="A",IFERROR(MATCH(1706-$S$2,'AFA Rates'!$R$5:$R$1004,0),""),""))</f>
        <v/>
      </c>
      <c r="U1710">
        <f>IF(S1710="S",T1710,IF(AND(S1710="A",T1710&lt;&gt;""),IFERROR(MATCH(INDEX('AFA Rates'!$A$5:$A$1004,T1710),Firms!$A$5:$A$1004,0),""),""))</f>
        <v/>
      </c>
    </row>
    <row r="1711">
      <c r="A1711" s="78">
        <f>IF($T1711="","",IF($S1711="S",IF(INDEX(Firms!$A$5:$A$1004,$T1711)="","",INDEX(Firms!$A$5:$A$1004,$T1711)),IF(INDEX('AFA Rates'!$A$5:$A$1004,$T1711)="","",INDEX('AFA Rates'!$A$5:$A$1004,$T1711))))</f>
        <v/>
      </c>
      <c r="B1711" s="79">
        <f>IF(OR($T1711="",$U1711=""),IF($T1711="","","Not on Firms tab"),INDEX(Firms!$B$5:$B$1004,$U1711)&amp;"")</f>
        <v/>
      </c>
      <c r="C1711" s="78">
        <f>IF($T1711="","",IF($S1711="S","Standard",INDEX('AFA Rates'!$B$5:$B$1004,$T1711)&amp;""))</f>
        <v/>
      </c>
      <c r="D1711" s="88">
        <f>IF($T1711="","",IF($S1711="S",IF(INDEX(Firms!$E$5:$E$1004,$T1711)="","",INDEX(Firms!$E$5:$E$1004,$T1711)),IF(INDEX('AFA Rates'!$C$5:$C$1004,$T1711)="","",INDEX('AFA Rates'!$C$5:$C$1004,$T1711))))</f>
        <v/>
      </c>
      <c r="E1711" s="88">
        <f>IF($T1711="","",IF($S1711="S",IF(""="","",""),IF(INDEX('AFA Rates'!$D$5:$D$1004,$T1711)="","",INDEX('AFA Rates'!$D$5:$D$1004,$T1711))))</f>
        <v/>
      </c>
      <c r="F1711" s="79">
        <f>IF($T1711="","",IF($S1711="S",IF(INDEX(Firms!$O$5:$O$1004,$T1711)="","",INDEX(Firms!$O$5:$O$1004,$T1711)),IF(INDEX('AFA Rates'!$O$5:$O$1004,$T1711)="","",INDEX('AFA Rates'!$O$5:$O$1004,$T1711))))</f>
        <v/>
      </c>
      <c r="G1711" s="50">
        <f>IF($T1711="","",IF($S1711="S",IF(INDEX(Firms!$F$5:$F$1004,$T1711)="","",INDEX(Firms!$F$5:$F$1004,$T1711)),IF(INDEX('AFA Rates'!$E$5:$E$1004,$T1711)="","",INDEX('AFA Rates'!$E$5:$E$1004,$T1711))))</f>
        <v/>
      </c>
      <c r="H1711" s="50">
        <f>IF($T1711="","",IF($S1711="S",IF(INDEX(Firms!$G$5:$G$1004,$T1711)="","",INDEX(Firms!$G$5:$G$1004,$T1711)),IF(INDEX('AFA Rates'!$F$5:$F$1004,$T1711)="","",INDEX('AFA Rates'!$F$5:$F$1004,$T1711))))</f>
        <v/>
      </c>
      <c r="I1711" s="50">
        <f>IF($T1711="","",IF($S1711="S",IF(INDEX(Firms!$H$5:$H$1004,$T1711)="","",INDEX(Firms!$H$5:$H$1004,$T1711)),IF(INDEX('AFA Rates'!$G$5:$G$1004,$T1711)="","",INDEX('AFA Rates'!$G$5:$G$1004,$T1711))))</f>
        <v/>
      </c>
      <c r="J1711" s="50">
        <f>IF($T1711="","",IF($S1711="S",IF(INDEX(Firms!$I$5:$I$1004,$T1711)="","",INDEX(Firms!$I$5:$I$1004,$T1711)),IF(INDEX('AFA Rates'!$H$5:$H$1004,$T1711)="","",INDEX('AFA Rates'!$H$5:$H$1004,$T1711))))</f>
        <v/>
      </c>
      <c r="K1711" s="50">
        <f>IF($T1711="","",IF($S1711="S",IF(INDEX(Firms!$J$5:$J$1004,$T1711)="","",INDEX(Firms!$J$5:$J$1004,$T1711)),IF(INDEX('AFA Rates'!$I$5:$I$1004,$T1711)="","",INDEX('AFA Rates'!$I$5:$I$1004,$T1711))))</f>
        <v/>
      </c>
      <c r="L1711" s="50">
        <f>IF($T1711="","",IF($S1711="S",IF(INDEX(Firms!$K$5:$K$1004,$T1711)="","",INDEX(Firms!$K$5:$K$1004,$T1711)),IF(INDEX('AFA Rates'!$J$5:$J$1004,$T1711)="","",INDEX('AFA Rates'!$J$5:$J$1004,$T1711))))</f>
        <v/>
      </c>
      <c r="M1711" s="50">
        <f>IF($T1711="","",IF($S1711="S",IF(INDEX(Firms!$L$5:$L$1004,$T1711)="","",INDEX(Firms!$L$5:$L$1004,$T1711)),IF(INDEX('AFA Rates'!$K$5:$K$1004,$T1711)="","",INDEX('AFA Rates'!$K$5:$K$1004,$T1711))))</f>
        <v/>
      </c>
      <c r="N1711" s="50">
        <f>IF($T1711="","",IF($S1711="S",IF(INDEX(Firms!$M$5:$M$1004,$T1711)="","",INDEX(Firms!$M$5:$M$1004,$T1711)),IF(INDEX('AFA Rates'!$L$5:$L$1004,$T1711)="","",INDEX('AFA Rates'!$L$5:$L$1004,$T1711))))</f>
        <v/>
      </c>
      <c r="O1711" s="78">
        <f>IF(OR($T1711="",$U1711=""),"",IF(INDEX(Firms!$C$5:$C$1004,$U1711)="","",INDEX(Firms!$C$5:$C$1004,$U1711)))</f>
        <v/>
      </c>
      <c r="P1711" s="79">
        <f>IF(OR($T1711="",$U1711=""),"",IF(INDEX(Firms!$N$5:$N$1004,$U1711)="","",INDEX(Firms!$N$5:$N$1004,$U1711)))</f>
        <v/>
      </c>
      <c r="Q1711" s="78">
        <f>IF($T1711="","",IF($S1711="S",IF(INDEX(Firms!$T$5:$T$1004,$T1711)="","",INDEX(Firms!$T$5:$T$1004,$T1711)),IF(INDEX('AFA Rates'!$M$5:$M$1004,$T1711)="","",INDEX('AFA Rates'!$M$5:$M$1004,$T1711))))</f>
        <v/>
      </c>
      <c r="S1711">
        <f>IF(1707&lt;=$S$2,"S",IF(1707&lt;=$S$2+$T$2,"A",""))</f>
        <v/>
      </c>
      <c r="T1711">
        <f>IF(S1711="S",MATCH(1707,Firms!$W$5:$W$1004,0),IF(S1711="A",IFERROR(MATCH(1707-$S$2,'AFA Rates'!$R$5:$R$1004,0),""),""))</f>
        <v/>
      </c>
      <c r="U1711">
        <f>IF(S1711="S",T1711,IF(AND(S1711="A",T1711&lt;&gt;""),IFERROR(MATCH(INDEX('AFA Rates'!$A$5:$A$1004,T1711),Firms!$A$5:$A$1004,0),""),""))</f>
        <v/>
      </c>
    </row>
    <row r="1712">
      <c r="A1712" s="78">
        <f>IF($T1712="","",IF($S1712="S",IF(INDEX(Firms!$A$5:$A$1004,$T1712)="","",INDEX(Firms!$A$5:$A$1004,$T1712)),IF(INDEX('AFA Rates'!$A$5:$A$1004,$T1712)="","",INDEX('AFA Rates'!$A$5:$A$1004,$T1712))))</f>
        <v/>
      </c>
      <c r="B1712" s="79">
        <f>IF(OR($T1712="",$U1712=""),IF($T1712="","","Not on Firms tab"),INDEX(Firms!$B$5:$B$1004,$U1712)&amp;"")</f>
        <v/>
      </c>
      <c r="C1712" s="78">
        <f>IF($T1712="","",IF($S1712="S","Standard",INDEX('AFA Rates'!$B$5:$B$1004,$T1712)&amp;""))</f>
        <v/>
      </c>
      <c r="D1712" s="88">
        <f>IF($T1712="","",IF($S1712="S",IF(INDEX(Firms!$E$5:$E$1004,$T1712)="","",INDEX(Firms!$E$5:$E$1004,$T1712)),IF(INDEX('AFA Rates'!$C$5:$C$1004,$T1712)="","",INDEX('AFA Rates'!$C$5:$C$1004,$T1712))))</f>
        <v/>
      </c>
      <c r="E1712" s="88">
        <f>IF($T1712="","",IF($S1712="S",IF(""="","",""),IF(INDEX('AFA Rates'!$D$5:$D$1004,$T1712)="","",INDEX('AFA Rates'!$D$5:$D$1004,$T1712))))</f>
        <v/>
      </c>
      <c r="F1712" s="79">
        <f>IF($T1712="","",IF($S1712="S",IF(INDEX(Firms!$O$5:$O$1004,$T1712)="","",INDEX(Firms!$O$5:$O$1004,$T1712)),IF(INDEX('AFA Rates'!$O$5:$O$1004,$T1712)="","",INDEX('AFA Rates'!$O$5:$O$1004,$T1712))))</f>
        <v/>
      </c>
      <c r="G1712" s="50">
        <f>IF($T1712="","",IF($S1712="S",IF(INDEX(Firms!$F$5:$F$1004,$T1712)="","",INDEX(Firms!$F$5:$F$1004,$T1712)),IF(INDEX('AFA Rates'!$E$5:$E$1004,$T1712)="","",INDEX('AFA Rates'!$E$5:$E$1004,$T1712))))</f>
        <v/>
      </c>
      <c r="H1712" s="50">
        <f>IF($T1712="","",IF($S1712="S",IF(INDEX(Firms!$G$5:$G$1004,$T1712)="","",INDEX(Firms!$G$5:$G$1004,$T1712)),IF(INDEX('AFA Rates'!$F$5:$F$1004,$T1712)="","",INDEX('AFA Rates'!$F$5:$F$1004,$T1712))))</f>
        <v/>
      </c>
      <c r="I1712" s="50">
        <f>IF($T1712="","",IF($S1712="S",IF(INDEX(Firms!$H$5:$H$1004,$T1712)="","",INDEX(Firms!$H$5:$H$1004,$T1712)),IF(INDEX('AFA Rates'!$G$5:$G$1004,$T1712)="","",INDEX('AFA Rates'!$G$5:$G$1004,$T1712))))</f>
        <v/>
      </c>
      <c r="J1712" s="50">
        <f>IF($T1712="","",IF($S1712="S",IF(INDEX(Firms!$I$5:$I$1004,$T1712)="","",INDEX(Firms!$I$5:$I$1004,$T1712)),IF(INDEX('AFA Rates'!$H$5:$H$1004,$T1712)="","",INDEX('AFA Rates'!$H$5:$H$1004,$T1712))))</f>
        <v/>
      </c>
      <c r="K1712" s="50">
        <f>IF($T1712="","",IF($S1712="S",IF(INDEX(Firms!$J$5:$J$1004,$T1712)="","",INDEX(Firms!$J$5:$J$1004,$T1712)),IF(INDEX('AFA Rates'!$I$5:$I$1004,$T1712)="","",INDEX('AFA Rates'!$I$5:$I$1004,$T1712))))</f>
        <v/>
      </c>
      <c r="L1712" s="50">
        <f>IF($T1712="","",IF($S1712="S",IF(INDEX(Firms!$K$5:$K$1004,$T1712)="","",INDEX(Firms!$K$5:$K$1004,$T1712)),IF(INDEX('AFA Rates'!$J$5:$J$1004,$T1712)="","",INDEX('AFA Rates'!$J$5:$J$1004,$T1712))))</f>
        <v/>
      </c>
      <c r="M1712" s="50">
        <f>IF($T1712="","",IF($S1712="S",IF(INDEX(Firms!$L$5:$L$1004,$T1712)="","",INDEX(Firms!$L$5:$L$1004,$T1712)),IF(INDEX('AFA Rates'!$K$5:$K$1004,$T1712)="","",INDEX('AFA Rates'!$K$5:$K$1004,$T1712))))</f>
        <v/>
      </c>
      <c r="N1712" s="50">
        <f>IF($T1712="","",IF($S1712="S",IF(INDEX(Firms!$M$5:$M$1004,$T1712)="","",INDEX(Firms!$M$5:$M$1004,$T1712)),IF(INDEX('AFA Rates'!$L$5:$L$1004,$T1712)="","",INDEX('AFA Rates'!$L$5:$L$1004,$T1712))))</f>
        <v/>
      </c>
      <c r="O1712" s="78">
        <f>IF(OR($T1712="",$U1712=""),"",IF(INDEX(Firms!$C$5:$C$1004,$U1712)="","",INDEX(Firms!$C$5:$C$1004,$U1712)))</f>
        <v/>
      </c>
      <c r="P1712" s="79">
        <f>IF(OR($T1712="",$U1712=""),"",IF(INDEX(Firms!$N$5:$N$1004,$U1712)="","",INDEX(Firms!$N$5:$N$1004,$U1712)))</f>
        <v/>
      </c>
      <c r="Q1712" s="78">
        <f>IF($T1712="","",IF($S1712="S",IF(INDEX(Firms!$T$5:$T$1004,$T1712)="","",INDEX(Firms!$T$5:$T$1004,$T1712)),IF(INDEX('AFA Rates'!$M$5:$M$1004,$T1712)="","",INDEX('AFA Rates'!$M$5:$M$1004,$T1712))))</f>
        <v/>
      </c>
      <c r="S1712">
        <f>IF(1708&lt;=$S$2,"S",IF(1708&lt;=$S$2+$T$2,"A",""))</f>
        <v/>
      </c>
      <c r="T1712">
        <f>IF(S1712="S",MATCH(1708,Firms!$W$5:$W$1004,0),IF(S1712="A",IFERROR(MATCH(1708-$S$2,'AFA Rates'!$R$5:$R$1004,0),""),""))</f>
        <v/>
      </c>
      <c r="U1712">
        <f>IF(S1712="S",T1712,IF(AND(S1712="A",T1712&lt;&gt;""),IFERROR(MATCH(INDEX('AFA Rates'!$A$5:$A$1004,T1712),Firms!$A$5:$A$1004,0),""),""))</f>
        <v/>
      </c>
    </row>
    <row r="1713">
      <c r="A1713" s="78">
        <f>IF($T1713="","",IF($S1713="S",IF(INDEX(Firms!$A$5:$A$1004,$T1713)="","",INDEX(Firms!$A$5:$A$1004,$T1713)),IF(INDEX('AFA Rates'!$A$5:$A$1004,$T1713)="","",INDEX('AFA Rates'!$A$5:$A$1004,$T1713))))</f>
        <v/>
      </c>
      <c r="B1713" s="79">
        <f>IF(OR($T1713="",$U1713=""),IF($T1713="","","Not on Firms tab"),INDEX(Firms!$B$5:$B$1004,$U1713)&amp;"")</f>
        <v/>
      </c>
      <c r="C1713" s="78">
        <f>IF($T1713="","",IF($S1713="S","Standard",INDEX('AFA Rates'!$B$5:$B$1004,$T1713)&amp;""))</f>
        <v/>
      </c>
      <c r="D1713" s="88">
        <f>IF($T1713="","",IF($S1713="S",IF(INDEX(Firms!$E$5:$E$1004,$T1713)="","",INDEX(Firms!$E$5:$E$1004,$T1713)),IF(INDEX('AFA Rates'!$C$5:$C$1004,$T1713)="","",INDEX('AFA Rates'!$C$5:$C$1004,$T1713))))</f>
        <v/>
      </c>
      <c r="E1713" s="88">
        <f>IF($T1713="","",IF($S1713="S",IF(""="","",""),IF(INDEX('AFA Rates'!$D$5:$D$1004,$T1713)="","",INDEX('AFA Rates'!$D$5:$D$1004,$T1713))))</f>
        <v/>
      </c>
      <c r="F1713" s="79">
        <f>IF($T1713="","",IF($S1713="S",IF(INDEX(Firms!$O$5:$O$1004,$T1713)="","",INDEX(Firms!$O$5:$O$1004,$T1713)),IF(INDEX('AFA Rates'!$O$5:$O$1004,$T1713)="","",INDEX('AFA Rates'!$O$5:$O$1004,$T1713))))</f>
        <v/>
      </c>
      <c r="G1713" s="50">
        <f>IF($T1713="","",IF($S1713="S",IF(INDEX(Firms!$F$5:$F$1004,$T1713)="","",INDEX(Firms!$F$5:$F$1004,$T1713)),IF(INDEX('AFA Rates'!$E$5:$E$1004,$T1713)="","",INDEX('AFA Rates'!$E$5:$E$1004,$T1713))))</f>
        <v/>
      </c>
      <c r="H1713" s="50">
        <f>IF($T1713="","",IF($S1713="S",IF(INDEX(Firms!$G$5:$G$1004,$T1713)="","",INDEX(Firms!$G$5:$G$1004,$T1713)),IF(INDEX('AFA Rates'!$F$5:$F$1004,$T1713)="","",INDEX('AFA Rates'!$F$5:$F$1004,$T1713))))</f>
        <v/>
      </c>
      <c r="I1713" s="50">
        <f>IF($T1713="","",IF($S1713="S",IF(INDEX(Firms!$H$5:$H$1004,$T1713)="","",INDEX(Firms!$H$5:$H$1004,$T1713)),IF(INDEX('AFA Rates'!$G$5:$G$1004,$T1713)="","",INDEX('AFA Rates'!$G$5:$G$1004,$T1713))))</f>
        <v/>
      </c>
      <c r="J1713" s="50">
        <f>IF($T1713="","",IF($S1713="S",IF(INDEX(Firms!$I$5:$I$1004,$T1713)="","",INDEX(Firms!$I$5:$I$1004,$T1713)),IF(INDEX('AFA Rates'!$H$5:$H$1004,$T1713)="","",INDEX('AFA Rates'!$H$5:$H$1004,$T1713))))</f>
        <v/>
      </c>
      <c r="K1713" s="50">
        <f>IF($T1713="","",IF($S1713="S",IF(INDEX(Firms!$J$5:$J$1004,$T1713)="","",INDEX(Firms!$J$5:$J$1004,$T1713)),IF(INDEX('AFA Rates'!$I$5:$I$1004,$T1713)="","",INDEX('AFA Rates'!$I$5:$I$1004,$T1713))))</f>
        <v/>
      </c>
      <c r="L1713" s="50">
        <f>IF($T1713="","",IF($S1713="S",IF(INDEX(Firms!$K$5:$K$1004,$T1713)="","",INDEX(Firms!$K$5:$K$1004,$T1713)),IF(INDEX('AFA Rates'!$J$5:$J$1004,$T1713)="","",INDEX('AFA Rates'!$J$5:$J$1004,$T1713))))</f>
        <v/>
      </c>
      <c r="M1713" s="50">
        <f>IF($T1713="","",IF($S1713="S",IF(INDEX(Firms!$L$5:$L$1004,$T1713)="","",INDEX(Firms!$L$5:$L$1004,$T1713)),IF(INDEX('AFA Rates'!$K$5:$K$1004,$T1713)="","",INDEX('AFA Rates'!$K$5:$K$1004,$T1713))))</f>
        <v/>
      </c>
      <c r="N1713" s="50">
        <f>IF($T1713="","",IF($S1713="S",IF(INDEX(Firms!$M$5:$M$1004,$T1713)="","",INDEX(Firms!$M$5:$M$1004,$T1713)),IF(INDEX('AFA Rates'!$L$5:$L$1004,$T1713)="","",INDEX('AFA Rates'!$L$5:$L$1004,$T1713))))</f>
        <v/>
      </c>
      <c r="O1713" s="78">
        <f>IF(OR($T1713="",$U1713=""),"",IF(INDEX(Firms!$C$5:$C$1004,$U1713)="","",INDEX(Firms!$C$5:$C$1004,$U1713)))</f>
        <v/>
      </c>
      <c r="P1713" s="79">
        <f>IF(OR($T1713="",$U1713=""),"",IF(INDEX(Firms!$N$5:$N$1004,$U1713)="","",INDEX(Firms!$N$5:$N$1004,$U1713)))</f>
        <v/>
      </c>
      <c r="Q1713" s="78">
        <f>IF($T1713="","",IF($S1713="S",IF(INDEX(Firms!$T$5:$T$1004,$T1713)="","",INDEX(Firms!$T$5:$T$1004,$T1713)),IF(INDEX('AFA Rates'!$M$5:$M$1004,$T1713)="","",INDEX('AFA Rates'!$M$5:$M$1004,$T1713))))</f>
        <v/>
      </c>
      <c r="S1713">
        <f>IF(1709&lt;=$S$2,"S",IF(1709&lt;=$S$2+$T$2,"A",""))</f>
        <v/>
      </c>
      <c r="T1713">
        <f>IF(S1713="S",MATCH(1709,Firms!$W$5:$W$1004,0),IF(S1713="A",IFERROR(MATCH(1709-$S$2,'AFA Rates'!$R$5:$R$1004,0),""),""))</f>
        <v/>
      </c>
      <c r="U1713">
        <f>IF(S1713="S",T1713,IF(AND(S1713="A",T1713&lt;&gt;""),IFERROR(MATCH(INDEX('AFA Rates'!$A$5:$A$1004,T1713),Firms!$A$5:$A$1004,0),""),""))</f>
        <v/>
      </c>
    </row>
    <row r="1714">
      <c r="A1714" s="78">
        <f>IF($T1714="","",IF($S1714="S",IF(INDEX(Firms!$A$5:$A$1004,$T1714)="","",INDEX(Firms!$A$5:$A$1004,$T1714)),IF(INDEX('AFA Rates'!$A$5:$A$1004,$T1714)="","",INDEX('AFA Rates'!$A$5:$A$1004,$T1714))))</f>
        <v/>
      </c>
      <c r="B1714" s="79">
        <f>IF(OR($T1714="",$U1714=""),IF($T1714="","","Not on Firms tab"),INDEX(Firms!$B$5:$B$1004,$U1714)&amp;"")</f>
        <v/>
      </c>
      <c r="C1714" s="78">
        <f>IF($T1714="","",IF($S1714="S","Standard",INDEX('AFA Rates'!$B$5:$B$1004,$T1714)&amp;""))</f>
        <v/>
      </c>
      <c r="D1714" s="88">
        <f>IF($T1714="","",IF($S1714="S",IF(INDEX(Firms!$E$5:$E$1004,$T1714)="","",INDEX(Firms!$E$5:$E$1004,$T1714)),IF(INDEX('AFA Rates'!$C$5:$C$1004,$T1714)="","",INDEX('AFA Rates'!$C$5:$C$1004,$T1714))))</f>
        <v/>
      </c>
      <c r="E1714" s="88">
        <f>IF($T1714="","",IF($S1714="S",IF(""="","",""),IF(INDEX('AFA Rates'!$D$5:$D$1004,$T1714)="","",INDEX('AFA Rates'!$D$5:$D$1004,$T1714))))</f>
        <v/>
      </c>
      <c r="F1714" s="79">
        <f>IF($T1714="","",IF($S1714="S",IF(INDEX(Firms!$O$5:$O$1004,$T1714)="","",INDEX(Firms!$O$5:$O$1004,$T1714)),IF(INDEX('AFA Rates'!$O$5:$O$1004,$T1714)="","",INDEX('AFA Rates'!$O$5:$O$1004,$T1714))))</f>
        <v/>
      </c>
      <c r="G1714" s="50">
        <f>IF($T1714="","",IF($S1714="S",IF(INDEX(Firms!$F$5:$F$1004,$T1714)="","",INDEX(Firms!$F$5:$F$1004,$T1714)),IF(INDEX('AFA Rates'!$E$5:$E$1004,$T1714)="","",INDEX('AFA Rates'!$E$5:$E$1004,$T1714))))</f>
        <v/>
      </c>
      <c r="H1714" s="50">
        <f>IF($T1714="","",IF($S1714="S",IF(INDEX(Firms!$G$5:$G$1004,$T1714)="","",INDEX(Firms!$G$5:$G$1004,$T1714)),IF(INDEX('AFA Rates'!$F$5:$F$1004,$T1714)="","",INDEX('AFA Rates'!$F$5:$F$1004,$T1714))))</f>
        <v/>
      </c>
      <c r="I1714" s="50">
        <f>IF($T1714="","",IF($S1714="S",IF(INDEX(Firms!$H$5:$H$1004,$T1714)="","",INDEX(Firms!$H$5:$H$1004,$T1714)),IF(INDEX('AFA Rates'!$G$5:$G$1004,$T1714)="","",INDEX('AFA Rates'!$G$5:$G$1004,$T1714))))</f>
        <v/>
      </c>
      <c r="J1714" s="50">
        <f>IF($T1714="","",IF($S1714="S",IF(INDEX(Firms!$I$5:$I$1004,$T1714)="","",INDEX(Firms!$I$5:$I$1004,$T1714)),IF(INDEX('AFA Rates'!$H$5:$H$1004,$T1714)="","",INDEX('AFA Rates'!$H$5:$H$1004,$T1714))))</f>
        <v/>
      </c>
      <c r="K1714" s="50">
        <f>IF($T1714="","",IF($S1714="S",IF(INDEX(Firms!$J$5:$J$1004,$T1714)="","",INDEX(Firms!$J$5:$J$1004,$T1714)),IF(INDEX('AFA Rates'!$I$5:$I$1004,$T1714)="","",INDEX('AFA Rates'!$I$5:$I$1004,$T1714))))</f>
        <v/>
      </c>
      <c r="L1714" s="50">
        <f>IF($T1714="","",IF($S1714="S",IF(INDEX(Firms!$K$5:$K$1004,$T1714)="","",INDEX(Firms!$K$5:$K$1004,$T1714)),IF(INDEX('AFA Rates'!$J$5:$J$1004,$T1714)="","",INDEX('AFA Rates'!$J$5:$J$1004,$T1714))))</f>
        <v/>
      </c>
      <c r="M1714" s="50">
        <f>IF($T1714="","",IF($S1714="S",IF(INDEX(Firms!$L$5:$L$1004,$T1714)="","",INDEX(Firms!$L$5:$L$1004,$T1714)),IF(INDEX('AFA Rates'!$K$5:$K$1004,$T1714)="","",INDEX('AFA Rates'!$K$5:$K$1004,$T1714))))</f>
        <v/>
      </c>
      <c r="N1714" s="50">
        <f>IF($T1714="","",IF($S1714="S",IF(INDEX(Firms!$M$5:$M$1004,$T1714)="","",INDEX(Firms!$M$5:$M$1004,$T1714)),IF(INDEX('AFA Rates'!$L$5:$L$1004,$T1714)="","",INDEX('AFA Rates'!$L$5:$L$1004,$T1714))))</f>
        <v/>
      </c>
      <c r="O1714" s="78">
        <f>IF(OR($T1714="",$U1714=""),"",IF(INDEX(Firms!$C$5:$C$1004,$U1714)="","",INDEX(Firms!$C$5:$C$1004,$U1714)))</f>
        <v/>
      </c>
      <c r="P1714" s="79">
        <f>IF(OR($T1714="",$U1714=""),"",IF(INDEX(Firms!$N$5:$N$1004,$U1714)="","",INDEX(Firms!$N$5:$N$1004,$U1714)))</f>
        <v/>
      </c>
      <c r="Q1714" s="78">
        <f>IF($T1714="","",IF($S1714="S",IF(INDEX(Firms!$T$5:$T$1004,$T1714)="","",INDEX(Firms!$T$5:$T$1004,$T1714)),IF(INDEX('AFA Rates'!$M$5:$M$1004,$T1714)="","",INDEX('AFA Rates'!$M$5:$M$1004,$T1714))))</f>
        <v/>
      </c>
      <c r="S1714">
        <f>IF(1710&lt;=$S$2,"S",IF(1710&lt;=$S$2+$T$2,"A",""))</f>
        <v/>
      </c>
      <c r="T1714">
        <f>IF(S1714="S",MATCH(1710,Firms!$W$5:$W$1004,0),IF(S1714="A",IFERROR(MATCH(1710-$S$2,'AFA Rates'!$R$5:$R$1004,0),""),""))</f>
        <v/>
      </c>
      <c r="U1714">
        <f>IF(S1714="S",T1714,IF(AND(S1714="A",T1714&lt;&gt;""),IFERROR(MATCH(INDEX('AFA Rates'!$A$5:$A$1004,T1714),Firms!$A$5:$A$1004,0),""),""))</f>
        <v/>
      </c>
    </row>
    <row r="1715">
      <c r="A1715" s="78">
        <f>IF($T1715="","",IF($S1715="S",IF(INDEX(Firms!$A$5:$A$1004,$T1715)="","",INDEX(Firms!$A$5:$A$1004,$T1715)),IF(INDEX('AFA Rates'!$A$5:$A$1004,$T1715)="","",INDEX('AFA Rates'!$A$5:$A$1004,$T1715))))</f>
        <v/>
      </c>
      <c r="B1715" s="79">
        <f>IF(OR($T1715="",$U1715=""),IF($T1715="","","Not on Firms tab"),INDEX(Firms!$B$5:$B$1004,$U1715)&amp;"")</f>
        <v/>
      </c>
      <c r="C1715" s="78">
        <f>IF($T1715="","",IF($S1715="S","Standard",INDEX('AFA Rates'!$B$5:$B$1004,$T1715)&amp;""))</f>
        <v/>
      </c>
      <c r="D1715" s="88">
        <f>IF($T1715="","",IF($S1715="S",IF(INDEX(Firms!$E$5:$E$1004,$T1715)="","",INDEX(Firms!$E$5:$E$1004,$T1715)),IF(INDEX('AFA Rates'!$C$5:$C$1004,$T1715)="","",INDEX('AFA Rates'!$C$5:$C$1004,$T1715))))</f>
        <v/>
      </c>
      <c r="E1715" s="88">
        <f>IF($T1715="","",IF($S1715="S",IF(""="","",""),IF(INDEX('AFA Rates'!$D$5:$D$1004,$T1715)="","",INDEX('AFA Rates'!$D$5:$D$1004,$T1715))))</f>
        <v/>
      </c>
      <c r="F1715" s="79">
        <f>IF($T1715="","",IF($S1715="S",IF(INDEX(Firms!$O$5:$O$1004,$T1715)="","",INDEX(Firms!$O$5:$O$1004,$T1715)),IF(INDEX('AFA Rates'!$O$5:$O$1004,$T1715)="","",INDEX('AFA Rates'!$O$5:$O$1004,$T1715))))</f>
        <v/>
      </c>
      <c r="G1715" s="50">
        <f>IF($T1715="","",IF($S1715="S",IF(INDEX(Firms!$F$5:$F$1004,$T1715)="","",INDEX(Firms!$F$5:$F$1004,$T1715)),IF(INDEX('AFA Rates'!$E$5:$E$1004,$T1715)="","",INDEX('AFA Rates'!$E$5:$E$1004,$T1715))))</f>
        <v/>
      </c>
      <c r="H1715" s="50">
        <f>IF($T1715="","",IF($S1715="S",IF(INDEX(Firms!$G$5:$G$1004,$T1715)="","",INDEX(Firms!$G$5:$G$1004,$T1715)),IF(INDEX('AFA Rates'!$F$5:$F$1004,$T1715)="","",INDEX('AFA Rates'!$F$5:$F$1004,$T1715))))</f>
        <v/>
      </c>
      <c r="I1715" s="50">
        <f>IF($T1715="","",IF($S1715="S",IF(INDEX(Firms!$H$5:$H$1004,$T1715)="","",INDEX(Firms!$H$5:$H$1004,$T1715)),IF(INDEX('AFA Rates'!$G$5:$G$1004,$T1715)="","",INDEX('AFA Rates'!$G$5:$G$1004,$T1715))))</f>
        <v/>
      </c>
      <c r="J1715" s="50">
        <f>IF($T1715="","",IF($S1715="S",IF(INDEX(Firms!$I$5:$I$1004,$T1715)="","",INDEX(Firms!$I$5:$I$1004,$T1715)),IF(INDEX('AFA Rates'!$H$5:$H$1004,$T1715)="","",INDEX('AFA Rates'!$H$5:$H$1004,$T1715))))</f>
        <v/>
      </c>
      <c r="K1715" s="50">
        <f>IF($T1715="","",IF($S1715="S",IF(INDEX(Firms!$J$5:$J$1004,$T1715)="","",INDEX(Firms!$J$5:$J$1004,$T1715)),IF(INDEX('AFA Rates'!$I$5:$I$1004,$T1715)="","",INDEX('AFA Rates'!$I$5:$I$1004,$T1715))))</f>
        <v/>
      </c>
      <c r="L1715" s="50">
        <f>IF($T1715="","",IF($S1715="S",IF(INDEX(Firms!$K$5:$K$1004,$T1715)="","",INDEX(Firms!$K$5:$K$1004,$T1715)),IF(INDEX('AFA Rates'!$J$5:$J$1004,$T1715)="","",INDEX('AFA Rates'!$J$5:$J$1004,$T1715))))</f>
        <v/>
      </c>
      <c r="M1715" s="50">
        <f>IF($T1715="","",IF($S1715="S",IF(INDEX(Firms!$L$5:$L$1004,$T1715)="","",INDEX(Firms!$L$5:$L$1004,$T1715)),IF(INDEX('AFA Rates'!$K$5:$K$1004,$T1715)="","",INDEX('AFA Rates'!$K$5:$K$1004,$T1715))))</f>
        <v/>
      </c>
      <c r="N1715" s="50">
        <f>IF($T1715="","",IF($S1715="S",IF(INDEX(Firms!$M$5:$M$1004,$T1715)="","",INDEX(Firms!$M$5:$M$1004,$T1715)),IF(INDEX('AFA Rates'!$L$5:$L$1004,$T1715)="","",INDEX('AFA Rates'!$L$5:$L$1004,$T1715))))</f>
        <v/>
      </c>
      <c r="O1715" s="78">
        <f>IF(OR($T1715="",$U1715=""),"",IF(INDEX(Firms!$C$5:$C$1004,$U1715)="","",INDEX(Firms!$C$5:$C$1004,$U1715)))</f>
        <v/>
      </c>
      <c r="P1715" s="79">
        <f>IF(OR($T1715="",$U1715=""),"",IF(INDEX(Firms!$N$5:$N$1004,$U1715)="","",INDEX(Firms!$N$5:$N$1004,$U1715)))</f>
        <v/>
      </c>
      <c r="Q1715" s="78">
        <f>IF($T1715="","",IF($S1715="S",IF(INDEX(Firms!$T$5:$T$1004,$T1715)="","",INDEX(Firms!$T$5:$T$1004,$T1715)),IF(INDEX('AFA Rates'!$M$5:$M$1004,$T1715)="","",INDEX('AFA Rates'!$M$5:$M$1004,$T1715))))</f>
        <v/>
      </c>
      <c r="S1715">
        <f>IF(1711&lt;=$S$2,"S",IF(1711&lt;=$S$2+$T$2,"A",""))</f>
        <v/>
      </c>
      <c r="T1715">
        <f>IF(S1715="S",MATCH(1711,Firms!$W$5:$W$1004,0),IF(S1715="A",IFERROR(MATCH(1711-$S$2,'AFA Rates'!$R$5:$R$1004,0),""),""))</f>
        <v/>
      </c>
      <c r="U1715">
        <f>IF(S1715="S",T1715,IF(AND(S1715="A",T1715&lt;&gt;""),IFERROR(MATCH(INDEX('AFA Rates'!$A$5:$A$1004,T1715),Firms!$A$5:$A$1004,0),""),""))</f>
        <v/>
      </c>
    </row>
    <row r="1716">
      <c r="A1716" s="78">
        <f>IF($T1716="","",IF($S1716="S",IF(INDEX(Firms!$A$5:$A$1004,$T1716)="","",INDEX(Firms!$A$5:$A$1004,$T1716)),IF(INDEX('AFA Rates'!$A$5:$A$1004,$T1716)="","",INDEX('AFA Rates'!$A$5:$A$1004,$T1716))))</f>
        <v/>
      </c>
      <c r="B1716" s="79">
        <f>IF(OR($T1716="",$U1716=""),IF($T1716="","","Not on Firms tab"),INDEX(Firms!$B$5:$B$1004,$U1716)&amp;"")</f>
        <v/>
      </c>
      <c r="C1716" s="78">
        <f>IF($T1716="","",IF($S1716="S","Standard",INDEX('AFA Rates'!$B$5:$B$1004,$T1716)&amp;""))</f>
        <v/>
      </c>
      <c r="D1716" s="88">
        <f>IF($T1716="","",IF($S1716="S",IF(INDEX(Firms!$E$5:$E$1004,$T1716)="","",INDEX(Firms!$E$5:$E$1004,$T1716)),IF(INDEX('AFA Rates'!$C$5:$C$1004,$T1716)="","",INDEX('AFA Rates'!$C$5:$C$1004,$T1716))))</f>
        <v/>
      </c>
      <c r="E1716" s="88">
        <f>IF($T1716="","",IF($S1716="S",IF(""="","",""),IF(INDEX('AFA Rates'!$D$5:$D$1004,$T1716)="","",INDEX('AFA Rates'!$D$5:$D$1004,$T1716))))</f>
        <v/>
      </c>
      <c r="F1716" s="79">
        <f>IF($T1716="","",IF($S1716="S",IF(INDEX(Firms!$O$5:$O$1004,$T1716)="","",INDEX(Firms!$O$5:$O$1004,$T1716)),IF(INDEX('AFA Rates'!$O$5:$O$1004,$T1716)="","",INDEX('AFA Rates'!$O$5:$O$1004,$T1716))))</f>
        <v/>
      </c>
      <c r="G1716" s="50">
        <f>IF($T1716="","",IF($S1716="S",IF(INDEX(Firms!$F$5:$F$1004,$T1716)="","",INDEX(Firms!$F$5:$F$1004,$T1716)),IF(INDEX('AFA Rates'!$E$5:$E$1004,$T1716)="","",INDEX('AFA Rates'!$E$5:$E$1004,$T1716))))</f>
        <v/>
      </c>
      <c r="H1716" s="50">
        <f>IF($T1716="","",IF($S1716="S",IF(INDEX(Firms!$G$5:$G$1004,$T1716)="","",INDEX(Firms!$G$5:$G$1004,$T1716)),IF(INDEX('AFA Rates'!$F$5:$F$1004,$T1716)="","",INDEX('AFA Rates'!$F$5:$F$1004,$T1716))))</f>
        <v/>
      </c>
      <c r="I1716" s="50">
        <f>IF($T1716="","",IF($S1716="S",IF(INDEX(Firms!$H$5:$H$1004,$T1716)="","",INDEX(Firms!$H$5:$H$1004,$T1716)),IF(INDEX('AFA Rates'!$G$5:$G$1004,$T1716)="","",INDEX('AFA Rates'!$G$5:$G$1004,$T1716))))</f>
        <v/>
      </c>
      <c r="J1716" s="50">
        <f>IF($T1716="","",IF($S1716="S",IF(INDEX(Firms!$I$5:$I$1004,$T1716)="","",INDEX(Firms!$I$5:$I$1004,$T1716)),IF(INDEX('AFA Rates'!$H$5:$H$1004,$T1716)="","",INDEX('AFA Rates'!$H$5:$H$1004,$T1716))))</f>
        <v/>
      </c>
      <c r="K1716" s="50">
        <f>IF($T1716="","",IF($S1716="S",IF(INDEX(Firms!$J$5:$J$1004,$T1716)="","",INDEX(Firms!$J$5:$J$1004,$T1716)),IF(INDEX('AFA Rates'!$I$5:$I$1004,$T1716)="","",INDEX('AFA Rates'!$I$5:$I$1004,$T1716))))</f>
        <v/>
      </c>
      <c r="L1716" s="50">
        <f>IF($T1716="","",IF($S1716="S",IF(INDEX(Firms!$K$5:$K$1004,$T1716)="","",INDEX(Firms!$K$5:$K$1004,$T1716)),IF(INDEX('AFA Rates'!$J$5:$J$1004,$T1716)="","",INDEX('AFA Rates'!$J$5:$J$1004,$T1716))))</f>
        <v/>
      </c>
      <c r="M1716" s="50">
        <f>IF($T1716="","",IF($S1716="S",IF(INDEX(Firms!$L$5:$L$1004,$T1716)="","",INDEX(Firms!$L$5:$L$1004,$T1716)),IF(INDEX('AFA Rates'!$K$5:$K$1004,$T1716)="","",INDEX('AFA Rates'!$K$5:$K$1004,$T1716))))</f>
        <v/>
      </c>
      <c r="N1716" s="50">
        <f>IF($T1716="","",IF($S1716="S",IF(INDEX(Firms!$M$5:$M$1004,$T1716)="","",INDEX(Firms!$M$5:$M$1004,$T1716)),IF(INDEX('AFA Rates'!$L$5:$L$1004,$T1716)="","",INDEX('AFA Rates'!$L$5:$L$1004,$T1716))))</f>
        <v/>
      </c>
      <c r="O1716" s="78">
        <f>IF(OR($T1716="",$U1716=""),"",IF(INDEX(Firms!$C$5:$C$1004,$U1716)="","",INDEX(Firms!$C$5:$C$1004,$U1716)))</f>
        <v/>
      </c>
      <c r="P1716" s="79">
        <f>IF(OR($T1716="",$U1716=""),"",IF(INDEX(Firms!$N$5:$N$1004,$U1716)="","",INDEX(Firms!$N$5:$N$1004,$U1716)))</f>
        <v/>
      </c>
      <c r="Q1716" s="78">
        <f>IF($T1716="","",IF($S1716="S",IF(INDEX(Firms!$T$5:$T$1004,$T1716)="","",INDEX(Firms!$T$5:$T$1004,$T1716)),IF(INDEX('AFA Rates'!$M$5:$M$1004,$T1716)="","",INDEX('AFA Rates'!$M$5:$M$1004,$T1716))))</f>
        <v/>
      </c>
      <c r="S1716">
        <f>IF(1712&lt;=$S$2,"S",IF(1712&lt;=$S$2+$T$2,"A",""))</f>
        <v/>
      </c>
      <c r="T1716">
        <f>IF(S1716="S",MATCH(1712,Firms!$W$5:$W$1004,0),IF(S1716="A",IFERROR(MATCH(1712-$S$2,'AFA Rates'!$R$5:$R$1004,0),""),""))</f>
        <v/>
      </c>
      <c r="U1716">
        <f>IF(S1716="S",T1716,IF(AND(S1716="A",T1716&lt;&gt;""),IFERROR(MATCH(INDEX('AFA Rates'!$A$5:$A$1004,T1716),Firms!$A$5:$A$1004,0),""),""))</f>
        <v/>
      </c>
    </row>
    <row r="1717">
      <c r="A1717" s="78">
        <f>IF($T1717="","",IF($S1717="S",IF(INDEX(Firms!$A$5:$A$1004,$T1717)="","",INDEX(Firms!$A$5:$A$1004,$T1717)),IF(INDEX('AFA Rates'!$A$5:$A$1004,$T1717)="","",INDEX('AFA Rates'!$A$5:$A$1004,$T1717))))</f>
        <v/>
      </c>
      <c r="B1717" s="79">
        <f>IF(OR($T1717="",$U1717=""),IF($T1717="","","Not on Firms tab"),INDEX(Firms!$B$5:$B$1004,$U1717)&amp;"")</f>
        <v/>
      </c>
      <c r="C1717" s="78">
        <f>IF($T1717="","",IF($S1717="S","Standard",INDEX('AFA Rates'!$B$5:$B$1004,$T1717)&amp;""))</f>
        <v/>
      </c>
      <c r="D1717" s="88">
        <f>IF($T1717="","",IF($S1717="S",IF(INDEX(Firms!$E$5:$E$1004,$T1717)="","",INDEX(Firms!$E$5:$E$1004,$T1717)),IF(INDEX('AFA Rates'!$C$5:$C$1004,$T1717)="","",INDEX('AFA Rates'!$C$5:$C$1004,$T1717))))</f>
        <v/>
      </c>
      <c r="E1717" s="88">
        <f>IF($T1717="","",IF($S1717="S",IF(""="","",""),IF(INDEX('AFA Rates'!$D$5:$D$1004,$T1717)="","",INDEX('AFA Rates'!$D$5:$D$1004,$T1717))))</f>
        <v/>
      </c>
      <c r="F1717" s="79">
        <f>IF($T1717="","",IF($S1717="S",IF(INDEX(Firms!$O$5:$O$1004,$T1717)="","",INDEX(Firms!$O$5:$O$1004,$T1717)),IF(INDEX('AFA Rates'!$O$5:$O$1004,$T1717)="","",INDEX('AFA Rates'!$O$5:$O$1004,$T1717))))</f>
        <v/>
      </c>
      <c r="G1717" s="50">
        <f>IF($T1717="","",IF($S1717="S",IF(INDEX(Firms!$F$5:$F$1004,$T1717)="","",INDEX(Firms!$F$5:$F$1004,$T1717)),IF(INDEX('AFA Rates'!$E$5:$E$1004,$T1717)="","",INDEX('AFA Rates'!$E$5:$E$1004,$T1717))))</f>
        <v/>
      </c>
      <c r="H1717" s="50">
        <f>IF($T1717="","",IF($S1717="S",IF(INDEX(Firms!$G$5:$G$1004,$T1717)="","",INDEX(Firms!$G$5:$G$1004,$T1717)),IF(INDEX('AFA Rates'!$F$5:$F$1004,$T1717)="","",INDEX('AFA Rates'!$F$5:$F$1004,$T1717))))</f>
        <v/>
      </c>
      <c r="I1717" s="50">
        <f>IF($T1717="","",IF($S1717="S",IF(INDEX(Firms!$H$5:$H$1004,$T1717)="","",INDEX(Firms!$H$5:$H$1004,$T1717)),IF(INDEX('AFA Rates'!$G$5:$G$1004,$T1717)="","",INDEX('AFA Rates'!$G$5:$G$1004,$T1717))))</f>
        <v/>
      </c>
      <c r="J1717" s="50">
        <f>IF($T1717="","",IF($S1717="S",IF(INDEX(Firms!$I$5:$I$1004,$T1717)="","",INDEX(Firms!$I$5:$I$1004,$T1717)),IF(INDEX('AFA Rates'!$H$5:$H$1004,$T1717)="","",INDEX('AFA Rates'!$H$5:$H$1004,$T1717))))</f>
        <v/>
      </c>
      <c r="K1717" s="50">
        <f>IF($T1717="","",IF($S1717="S",IF(INDEX(Firms!$J$5:$J$1004,$T1717)="","",INDEX(Firms!$J$5:$J$1004,$T1717)),IF(INDEX('AFA Rates'!$I$5:$I$1004,$T1717)="","",INDEX('AFA Rates'!$I$5:$I$1004,$T1717))))</f>
        <v/>
      </c>
      <c r="L1717" s="50">
        <f>IF($T1717="","",IF($S1717="S",IF(INDEX(Firms!$K$5:$K$1004,$T1717)="","",INDEX(Firms!$K$5:$K$1004,$T1717)),IF(INDEX('AFA Rates'!$J$5:$J$1004,$T1717)="","",INDEX('AFA Rates'!$J$5:$J$1004,$T1717))))</f>
        <v/>
      </c>
      <c r="M1717" s="50">
        <f>IF($T1717="","",IF($S1717="S",IF(INDEX(Firms!$L$5:$L$1004,$T1717)="","",INDEX(Firms!$L$5:$L$1004,$T1717)),IF(INDEX('AFA Rates'!$K$5:$K$1004,$T1717)="","",INDEX('AFA Rates'!$K$5:$K$1004,$T1717))))</f>
        <v/>
      </c>
      <c r="N1717" s="50">
        <f>IF($T1717="","",IF($S1717="S",IF(INDEX(Firms!$M$5:$M$1004,$T1717)="","",INDEX(Firms!$M$5:$M$1004,$T1717)),IF(INDEX('AFA Rates'!$L$5:$L$1004,$T1717)="","",INDEX('AFA Rates'!$L$5:$L$1004,$T1717))))</f>
        <v/>
      </c>
      <c r="O1717" s="78">
        <f>IF(OR($T1717="",$U1717=""),"",IF(INDEX(Firms!$C$5:$C$1004,$U1717)="","",INDEX(Firms!$C$5:$C$1004,$U1717)))</f>
        <v/>
      </c>
      <c r="P1717" s="79">
        <f>IF(OR($T1717="",$U1717=""),"",IF(INDEX(Firms!$N$5:$N$1004,$U1717)="","",INDEX(Firms!$N$5:$N$1004,$U1717)))</f>
        <v/>
      </c>
      <c r="Q1717" s="78">
        <f>IF($T1717="","",IF($S1717="S",IF(INDEX(Firms!$T$5:$T$1004,$T1717)="","",INDEX(Firms!$T$5:$T$1004,$T1717)),IF(INDEX('AFA Rates'!$M$5:$M$1004,$T1717)="","",INDEX('AFA Rates'!$M$5:$M$1004,$T1717))))</f>
        <v/>
      </c>
      <c r="S1717">
        <f>IF(1713&lt;=$S$2,"S",IF(1713&lt;=$S$2+$T$2,"A",""))</f>
        <v/>
      </c>
      <c r="T1717">
        <f>IF(S1717="S",MATCH(1713,Firms!$W$5:$W$1004,0),IF(S1717="A",IFERROR(MATCH(1713-$S$2,'AFA Rates'!$R$5:$R$1004,0),""),""))</f>
        <v/>
      </c>
      <c r="U1717">
        <f>IF(S1717="S",T1717,IF(AND(S1717="A",T1717&lt;&gt;""),IFERROR(MATCH(INDEX('AFA Rates'!$A$5:$A$1004,T1717),Firms!$A$5:$A$1004,0),""),""))</f>
        <v/>
      </c>
    </row>
    <row r="1718">
      <c r="A1718" s="78">
        <f>IF($T1718="","",IF($S1718="S",IF(INDEX(Firms!$A$5:$A$1004,$T1718)="","",INDEX(Firms!$A$5:$A$1004,$T1718)),IF(INDEX('AFA Rates'!$A$5:$A$1004,$T1718)="","",INDEX('AFA Rates'!$A$5:$A$1004,$T1718))))</f>
        <v/>
      </c>
      <c r="B1718" s="79">
        <f>IF(OR($T1718="",$U1718=""),IF($T1718="","","Not on Firms tab"),INDEX(Firms!$B$5:$B$1004,$U1718)&amp;"")</f>
        <v/>
      </c>
      <c r="C1718" s="78">
        <f>IF($T1718="","",IF($S1718="S","Standard",INDEX('AFA Rates'!$B$5:$B$1004,$T1718)&amp;""))</f>
        <v/>
      </c>
      <c r="D1718" s="88">
        <f>IF($T1718="","",IF($S1718="S",IF(INDEX(Firms!$E$5:$E$1004,$T1718)="","",INDEX(Firms!$E$5:$E$1004,$T1718)),IF(INDEX('AFA Rates'!$C$5:$C$1004,$T1718)="","",INDEX('AFA Rates'!$C$5:$C$1004,$T1718))))</f>
        <v/>
      </c>
      <c r="E1718" s="88">
        <f>IF($T1718="","",IF($S1718="S",IF(""="","",""),IF(INDEX('AFA Rates'!$D$5:$D$1004,$T1718)="","",INDEX('AFA Rates'!$D$5:$D$1004,$T1718))))</f>
        <v/>
      </c>
      <c r="F1718" s="79">
        <f>IF($T1718="","",IF($S1718="S",IF(INDEX(Firms!$O$5:$O$1004,$T1718)="","",INDEX(Firms!$O$5:$O$1004,$T1718)),IF(INDEX('AFA Rates'!$O$5:$O$1004,$T1718)="","",INDEX('AFA Rates'!$O$5:$O$1004,$T1718))))</f>
        <v/>
      </c>
      <c r="G1718" s="50">
        <f>IF($T1718="","",IF($S1718="S",IF(INDEX(Firms!$F$5:$F$1004,$T1718)="","",INDEX(Firms!$F$5:$F$1004,$T1718)),IF(INDEX('AFA Rates'!$E$5:$E$1004,$T1718)="","",INDEX('AFA Rates'!$E$5:$E$1004,$T1718))))</f>
        <v/>
      </c>
      <c r="H1718" s="50">
        <f>IF($T1718="","",IF($S1718="S",IF(INDEX(Firms!$G$5:$G$1004,$T1718)="","",INDEX(Firms!$G$5:$G$1004,$T1718)),IF(INDEX('AFA Rates'!$F$5:$F$1004,$T1718)="","",INDEX('AFA Rates'!$F$5:$F$1004,$T1718))))</f>
        <v/>
      </c>
      <c r="I1718" s="50">
        <f>IF($T1718="","",IF($S1718="S",IF(INDEX(Firms!$H$5:$H$1004,$T1718)="","",INDEX(Firms!$H$5:$H$1004,$T1718)),IF(INDEX('AFA Rates'!$G$5:$G$1004,$T1718)="","",INDEX('AFA Rates'!$G$5:$G$1004,$T1718))))</f>
        <v/>
      </c>
      <c r="J1718" s="50">
        <f>IF($T1718="","",IF($S1718="S",IF(INDEX(Firms!$I$5:$I$1004,$T1718)="","",INDEX(Firms!$I$5:$I$1004,$T1718)),IF(INDEX('AFA Rates'!$H$5:$H$1004,$T1718)="","",INDEX('AFA Rates'!$H$5:$H$1004,$T1718))))</f>
        <v/>
      </c>
      <c r="K1718" s="50">
        <f>IF($T1718="","",IF($S1718="S",IF(INDEX(Firms!$J$5:$J$1004,$T1718)="","",INDEX(Firms!$J$5:$J$1004,$T1718)),IF(INDEX('AFA Rates'!$I$5:$I$1004,$T1718)="","",INDEX('AFA Rates'!$I$5:$I$1004,$T1718))))</f>
        <v/>
      </c>
      <c r="L1718" s="50">
        <f>IF($T1718="","",IF($S1718="S",IF(INDEX(Firms!$K$5:$K$1004,$T1718)="","",INDEX(Firms!$K$5:$K$1004,$T1718)),IF(INDEX('AFA Rates'!$J$5:$J$1004,$T1718)="","",INDEX('AFA Rates'!$J$5:$J$1004,$T1718))))</f>
        <v/>
      </c>
      <c r="M1718" s="50">
        <f>IF($T1718="","",IF($S1718="S",IF(INDEX(Firms!$L$5:$L$1004,$T1718)="","",INDEX(Firms!$L$5:$L$1004,$T1718)),IF(INDEX('AFA Rates'!$K$5:$K$1004,$T1718)="","",INDEX('AFA Rates'!$K$5:$K$1004,$T1718))))</f>
        <v/>
      </c>
      <c r="N1718" s="50">
        <f>IF($T1718="","",IF($S1718="S",IF(INDEX(Firms!$M$5:$M$1004,$T1718)="","",INDEX(Firms!$M$5:$M$1004,$T1718)),IF(INDEX('AFA Rates'!$L$5:$L$1004,$T1718)="","",INDEX('AFA Rates'!$L$5:$L$1004,$T1718))))</f>
        <v/>
      </c>
      <c r="O1718" s="78">
        <f>IF(OR($T1718="",$U1718=""),"",IF(INDEX(Firms!$C$5:$C$1004,$U1718)="","",INDEX(Firms!$C$5:$C$1004,$U1718)))</f>
        <v/>
      </c>
      <c r="P1718" s="79">
        <f>IF(OR($T1718="",$U1718=""),"",IF(INDEX(Firms!$N$5:$N$1004,$U1718)="","",INDEX(Firms!$N$5:$N$1004,$U1718)))</f>
        <v/>
      </c>
      <c r="Q1718" s="78">
        <f>IF($T1718="","",IF($S1718="S",IF(INDEX(Firms!$T$5:$T$1004,$T1718)="","",INDEX(Firms!$T$5:$T$1004,$T1718)),IF(INDEX('AFA Rates'!$M$5:$M$1004,$T1718)="","",INDEX('AFA Rates'!$M$5:$M$1004,$T1718))))</f>
        <v/>
      </c>
      <c r="S1718">
        <f>IF(1714&lt;=$S$2,"S",IF(1714&lt;=$S$2+$T$2,"A",""))</f>
        <v/>
      </c>
      <c r="T1718">
        <f>IF(S1718="S",MATCH(1714,Firms!$W$5:$W$1004,0),IF(S1718="A",IFERROR(MATCH(1714-$S$2,'AFA Rates'!$R$5:$R$1004,0),""),""))</f>
        <v/>
      </c>
      <c r="U1718">
        <f>IF(S1718="S",T1718,IF(AND(S1718="A",T1718&lt;&gt;""),IFERROR(MATCH(INDEX('AFA Rates'!$A$5:$A$1004,T1718),Firms!$A$5:$A$1004,0),""),""))</f>
        <v/>
      </c>
    </row>
    <row r="1719">
      <c r="A1719" s="78">
        <f>IF($T1719="","",IF($S1719="S",IF(INDEX(Firms!$A$5:$A$1004,$T1719)="","",INDEX(Firms!$A$5:$A$1004,$T1719)),IF(INDEX('AFA Rates'!$A$5:$A$1004,$T1719)="","",INDEX('AFA Rates'!$A$5:$A$1004,$T1719))))</f>
        <v/>
      </c>
      <c r="B1719" s="79">
        <f>IF(OR($T1719="",$U1719=""),IF($T1719="","","Not on Firms tab"),INDEX(Firms!$B$5:$B$1004,$U1719)&amp;"")</f>
        <v/>
      </c>
      <c r="C1719" s="78">
        <f>IF($T1719="","",IF($S1719="S","Standard",INDEX('AFA Rates'!$B$5:$B$1004,$T1719)&amp;""))</f>
        <v/>
      </c>
      <c r="D1719" s="88">
        <f>IF($T1719="","",IF($S1719="S",IF(INDEX(Firms!$E$5:$E$1004,$T1719)="","",INDEX(Firms!$E$5:$E$1004,$T1719)),IF(INDEX('AFA Rates'!$C$5:$C$1004,$T1719)="","",INDEX('AFA Rates'!$C$5:$C$1004,$T1719))))</f>
        <v/>
      </c>
      <c r="E1719" s="88">
        <f>IF($T1719="","",IF($S1719="S",IF(""="","",""),IF(INDEX('AFA Rates'!$D$5:$D$1004,$T1719)="","",INDEX('AFA Rates'!$D$5:$D$1004,$T1719))))</f>
        <v/>
      </c>
      <c r="F1719" s="79">
        <f>IF($T1719="","",IF($S1719="S",IF(INDEX(Firms!$O$5:$O$1004,$T1719)="","",INDEX(Firms!$O$5:$O$1004,$T1719)),IF(INDEX('AFA Rates'!$O$5:$O$1004,$T1719)="","",INDEX('AFA Rates'!$O$5:$O$1004,$T1719))))</f>
        <v/>
      </c>
      <c r="G1719" s="50">
        <f>IF($T1719="","",IF($S1719="S",IF(INDEX(Firms!$F$5:$F$1004,$T1719)="","",INDEX(Firms!$F$5:$F$1004,$T1719)),IF(INDEX('AFA Rates'!$E$5:$E$1004,$T1719)="","",INDEX('AFA Rates'!$E$5:$E$1004,$T1719))))</f>
        <v/>
      </c>
      <c r="H1719" s="50">
        <f>IF($T1719="","",IF($S1719="S",IF(INDEX(Firms!$G$5:$G$1004,$T1719)="","",INDEX(Firms!$G$5:$G$1004,$T1719)),IF(INDEX('AFA Rates'!$F$5:$F$1004,$T1719)="","",INDEX('AFA Rates'!$F$5:$F$1004,$T1719))))</f>
        <v/>
      </c>
      <c r="I1719" s="50">
        <f>IF($T1719="","",IF($S1719="S",IF(INDEX(Firms!$H$5:$H$1004,$T1719)="","",INDEX(Firms!$H$5:$H$1004,$T1719)),IF(INDEX('AFA Rates'!$G$5:$G$1004,$T1719)="","",INDEX('AFA Rates'!$G$5:$G$1004,$T1719))))</f>
        <v/>
      </c>
      <c r="J1719" s="50">
        <f>IF($T1719="","",IF($S1719="S",IF(INDEX(Firms!$I$5:$I$1004,$T1719)="","",INDEX(Firms!$I$5:$I$1004,$T1719)),IF(INDEX('AFA Rates'!$H$5:$H$1004,$T1719)="","",INDEX('AFA Rates'!$H$5:$H$1004,$T1719))))</f>
        <v/>
      </c>
      <c r="K1719" s="50">
        <f>IF($T1719="","",IF($S1719="S",IF(INDEX(Firms!$J$5:$J$1004,$T1719)="","",INDEX(Firms!$J$5:$J$1004,$T1719)),IF(INDEX('AFA Rates'!$I$5:$I$1004,$T1719)="","",INDEX('AFA Rates'!$I$5:$I$1004,$T1719))))</f>
        <v/>
      </c>
      <c r="L1719" s="50">
        <f>IF($T1719="","",IF($S1719="S",IF(INDEX(Firms!$K$5:$K$1004,$T1719)="","",INDEX(Firms!$K$5:$K$1004,$T1719)),IF(INDEX('AFA Rates'!$J$5:$J$1004,$T1719)="","",INDEX('AFA Rates'!$J$5:$J$1004,$T1719))))</f>
        <v/>
      </c>
      <c r="M1719" s="50">
        <f>IF($T1719="","",IF($S1719="S",IF(INDEX(Firms!$L$5:$L$1004,$T1719)="","",INDEX(Firms!$L$5:$L$1004,$T1719)),IF(INDEX('AFA Rates'!$K$5:$K$1004,$T1719)="","",INDEX('AFA Rates'!$K$5:$K$1004,$T1719))))</f>
        <v/>
      </c>
      <c r="N1719" s="50">
        <f>IF($T1719="","",IF($S1719="S",IF(INDEX(Firms!$M$5:$M$1004,$T1719)="","",INDEX(Firms!$M$5:$M$1004,$T1719)),IF(INDEX('AFA Rates'!$L$5:$L$1004,$T1719)="","",INDEX('AFA Rates'!$L$5:$L$1004,$T1719))))</f>
        <v/>
      </c>
      <c r="O1719" s="78">
        <f>IF(OR($T1719="",$U1719=""),"",IF(INDEX(Firms!$C$5:$C$1004,$U1719)="","",INDEX(Firms!$C$5:$C$1004,$U1719)))</f>
        <v/>
      </c>
      <c r="P1719" s="79">
        <f>IF(OR($T1719="",$U1719=""),"",IF(INDEX(Firms!$N$5:$N$1004,$U1719)="","",INDEX(Firms!$N$5:$N$1004,$U1719)))</f>
        <v/>
      </c>
      <c r="Q1719" s="78">
        <f>IF($T1719="","",IF($S1719="S",IF(INDEX(Firms!$T$5:$T$1004,$T1719)="","",INDEX(Firms!$T$5:$T$1004,$T1719)),IF(INDEX('AFA Rates'!$M$5:$M$1004,$T1719)="","",INDEX('AFA Rates'!$M$5:$M$1004,$T1719))))</f>
        <v/>
      </c>
      <c r="S1719">
        <f>IF(1715&lt;=$S$2,"S",IF(1715&lt;=$S$2+$T$2,"A",""))</f>
        <v/>
      </c>
      <c r="T1719">
        <f>IF(S1719="S",MATCH(1715,Firms!$W$5:$W$1004,0),IF(S1719="A",IFERROR(MATCH(1715-$S$2,'AFA Rates'!$R$5:$R$1004,0),""),""))</f>
        <v/>
      </c>
      <c r="U1719">
        <f>IF(S1719="S",T1719,IF(AND(S1719="A",T1719&lt;&gt;""),IFERROR(MATCH(INDEX('AFA Rates'!$A$5:$A$1004,T1719),Firms!$A$5:$A$1004,0),""),""))</f>
        <v/>
      </c>
    </row>
    <row r="1720">
      <c r="A1720" s="78">
        <f>IF($T1720="","",IF($S1720="S",IF(INDEX(Firms!$A$5:$A$1004,$T1720)="","",INDEX(Firms!$A$5:$A$1004,$T1720)),IF(INDEX('AFA Rates'!$A$5:$A$1004,$T1720)="","",INDEX('AFA Rates'!$A$5:$A$1004,$T1720))))</f>
        <v/>
      </c>
      <c r="B1720" s="79">
        <f>IF(OR($T1720="",$U1720=""),IF($T1720="","","Not on Firms tab"),INDEX(Firms!$B$5:$B$1004,$U1720)&amp;"")</f>
        <v/>
      </c>
      <c r="C1720" s="78">
        <f>IF($T1720="","",IF($S1720="S","Standard",INDEX('AFA Rates'!$B$5:$B$1004,$T1720)&amp;""))</f>
        <v/>
      </c>
      <c r="D1720" s="88">
        <f>IF($T1720="","",IF($S1720="S",IF(INDEX(Firms!$E$5:$E$1004,$T1720)="","",INDEX(Firms!$E$5:$E$1004,$T1720)),IF(INDEX('AFA Rates'!$C$5:$C$1004,$T1720)="","",INDEX('AFA Rates'!$C$5:$C$1004,$T1720))))</f>
        <v/>
      </c>
      <c r="E1720" s="88">
        <f>IF($T1720="","",IF($S1720="S",IF(""="","",""),IF(INDEX('AFA Rates'!$D$5:$D$1004,$T1720)="","",INDEX('AFA Rates'!$D$5:$D$1004,$T1720))))</f>
        <v/>
      </c>
      <c r="F1720" s="79">
        <f>IF($T1720="","",IF($S1720="S",IF(INDEX(Firms!$O$5:$O$1004,$T1720)="","",INDEX(Firms!$O$5:$O$1004,$T1720)),IF(INDEX('AFA Rates'!$O$5:$O$1004,$T1720)="","",INDEX('AFA Rates'!$O$5:$O$1004,$T1720))))</f>
        <v/>
      </c>
      <c r="G1720" s="50">
        <f>IF($T1720="","",IF($S1720="S",IF(INDEX(Firms!$F$5:$F$1004,$T1720)="","",INDEX(Firms!$F$5:$F$1004,$T1720)),IF(INDEX('AFA Rates'!$E$5:$E$1004,$T1720)="","",INDEX('AFA Rates'!$E$5:$E$1004,$T1720))))</f>
        <v/>
      </c>
      <c r="H1720" s="50">
        <f>IF($T1720="","",IF($S1720="S",IF(INDEX(Firms!$G$5:$G$1004,$T1720)="","",INDEX(Firms!$G$5:$G$1004,$T1720)),IF(INDEX('AFA Rates'!$F$5:$F$1004,$T1720)="","",INDEX('AFA Rates'!$F$5:$F$1004,$T1720))))</f>
        <v/>
      </c>
      <c r="I1720" s="50">
        <f>IF($T1720="","",IF($S1720="S",IF(INDEX(Firms!$H$5:$H$1004,$T1720)="","",INDEX(Firms!$H$5:$H$1004,$T1720)),IF(INDEX('AFA Rates'!$G$5:$G$1004,$T1720)="","",INDEX('AFA Rates'!$G$5:$G$1004,$T1720))))</f>
        <v/>
      </c>
      <c r="J1720" s="50">
        <f>IF($T1720="","",IF($S1720="S",IF(INDEX(Firms!$I$5:$I$1004,$T1720)="","",INDEX(Firms!$I$5:$I$1004,$T1720)),IF(INDEX('AFA Rates'!$H$5:$H$1004,$T1720)="","",INDEX('AFA Rates'!$H$5:$H$1004,$T1720))))</f>
        <v/>
      </c>
      <c r="K1720" s="50">
        <f>IF($T1720="","",IF($S1720="S",IF(INDEX(Firms!$J$5:$J$1004,$T1720)="","",INDEX(Firms!$J$5:$J$1004,$T1720)),IF(INDEX('AFA Rates'!$I$5:$I$1004,$T1720)="","",INDEX('AFA Rates'!$I$5:$I$1004,$T1720))))</f>
        <v/>
      </c>
      <c r="L1720" s="50">
        <f>IF($T1720="","",IF($S1720="S",IF(INDEX(Firms!$K$5:$K$1004,$T1720)="","",INDEX(Firms!$K$5:$K$1004,$T1720)),IF(INDEX('AFA Rates'!$J$5:$J$1004,$T1720)="","",INDEX('AFA Rates'!$J$5:$J$1004,$T1720))))</f>
        <v/>
      </c>
      <c r="M1720" s="50">
        <f>IF($T1720="","",IF($S1720="S",IF(INDEX(Firms!$L$5:$L$1004,$T1720)="","",INDEX(Firms!$L$5:$L$1004,$T1720)),IF(INDEX('AFA Rates'!$K$5:$K$1004,$T1720)="","",INDEX('AFA Rates'!$K$5:$K$1004,$T1720))))</f>
        <v/>
      </c>
      <c r="N1720" s="50">
        <f>IF($T1720="","",IF($S1720="S",IF(INDEX(Firms!$M$5:$M$1004,$T1720)="","",INDEX(Firms!$M$5:$M$1004,$T1720)),IF(INDEX('AFA Rates'!$L$5:$L$1004,$T1720)="","",INDEX('AFA Rates'!$L$5:$L$1004,$T1720))))</f>
        <v/>
      </c>
      <c r="O1720" s="78">
        <f>IF(OR($T1720="",$U1720=""),"",IF(INDEX(Firms!$C$5:$C$1004,$U1720)="","",INDEX(Firms!$C$5:$C$1004,$U1720)))</f>
        <v/>
      </c>
      <c r="P1720" s="79">
        <f>IF(OR($T1720="",$U1720=""),"",IF(INDEX(Firms!$N$5:$N$1004,$U1720)="","",INDEX(Firms!$N$5:$N$1004,$U1720)))</f>
        <v/>
      </c>
      <c r="Q1720" s="78">
        <f>IF($T1720="","",IF($S1720="S",IF(INDEX(Firms!$T$5:$T$1004,$T1720)="","",INDEX(Firms!$T$5:$T$1004,$T1720)),IF(INDEX('AFA Rates'!$M$5:$M$1004,$T1720)="","",INDEX('AFA Rates'!$M$5:$M$1004,$T1720))))</f>
        <v/>
      </c>
      <c r="S1720">
        <f>IF(1716&lt;=$S$2,"S",IF(1716&lt;=$S$2+$T$2,"A",""))</f>
        <v/>
      </c>
      <c r="T1720">
        <f>IF(S1720="S",MATCH(1716,Firms!$W$5:$W$1004,0),IF(S1720="A",IFERROR(MATCH(1716-$S$2,'AFA Rates'!$R$5:$R$1004,0),""),""))</f>
        <v/>
      </c>
      <c r="U1720">
        <f>IF(S1720="S",T1720,IF(AND(S1720="A",T1720&lt;&gt;""),IFERROR(MATCH(INDEX('AFA Rates'!$A$5:$A$1004,T1720),Firms!$A$5:$A$1004,0),""),""))</f>
        <v/>
      </c>
    </row>
    <row r="1721">
      <c r="A1721" s="78">
        <f>IF($T1721="","",IF($S1721="S",IF(INDEX(Firms!$A$5:$A$1004,$T1721)="","",INDEX(Firms!$A$5:$A$1004,$T1721)),IF(INDEX('AFA Rates'!$A$5:$A$1004,$T1721)="","",INDEX('AFA Rates'!$A$5:$A$1004,$T1721))))</f>
        <v/>
      </c>
      <c r="B1721" s="79">
        <f>IF(OR($T1721="",$U1721=""),IF($T1721="","","Not on Firms tab"),INDEX(Firms!$B$5:$B$1004,$U1721)&amp;"")</f>
        <v/>
      </c>
      <c r="C1721" s="78">
        <f>IF($T1721="","",IF($S1721="S","Standard",INDEX('AFA Rates'!$B$5:$B$1004,$T1721)&amp;""))</f>
        <v/>
      </c>
      <c r="D1721" s="88">
        <f>IF($T1721="","",IF($S1721="S",IF(INDEX(Firms!$E$5:$E$1004,$T1721)="","",INDEX(Firms!$E$5:$E$1004,$T1721)),IF(INDEX('AFA Rates'!$C$5:$C$1004,$T1721)="","",INDEX('AFA Rates'!$C$5:$C$1004,$T1721))))</f>
        <v/>
      </c>
      <c r="E1721" s="88">
        <f>IF($T1721="","",IF($S1721="S",IF(""="","",""),IF(INDEX('AFA Rates'!$D$5:$D$1004,$T1721)="","",INDEX('AFA Rates'!$D$5:$D$1004,$T1721))))</f>
        <v/>
      </c>
      <c r="F1721" s="79">
        <f>IF($T1721="","",IF($S1721="S",IF(INDEX(Firms!$O$5:$O$1004,$T1721)="","",INDEX(Firms!$O$5:$O$1004,$T1721)),IF(INDEX('AFA Rates'!$O$5:$O$1004,$T1721)="","",INDEX('AFA Rates'!$O$5:$O$1004,$T1721))))</f>
        <v/>
      </c>
      <c r="G1721" s="50">
        <f>IF($T1721="","",IF($S1721="S",IF(INDEX(Firms!$F$5:$F$1004,$T1721)="","",INDEX(Firms!$F$5:$F$1004,$T1721)),IF(INDEX('AFA Rates'!$E$5:$E$1004,$T1721)="","",INDEX('AFA Rates'!$E$5:$E$1004,$T1721))))</f>
        <v/>
      </c>
      <c r="H1721" s="50">
        <f>IF($T1721="","",IF($S1721="S",IF(INDEX(Firms!$G$5:$G$1004,$T1721)="","",INDEX(Firms!$G$5:$G$1004,$T1721)),IF(INDEX('AFA Rates'!$F$5:$F$1004,$T1721)="","",INDEX('AFA Rates'!$F$5:$F$1004,$T1721))))</f>
        <v/>
      </c>
      <c r="I1721" s="50">
        <f>IF($T1721="","",IF($S1721="S",IF(INDEX(Firms!$H$5:$H$1004,$T1721)="","",INDEX(Firms!$H$5:$H$1004,$T1721)),IF(INDEX('AFA Rates'!$G$5:$G$1004,$T1721)="","",INDEX('AFA Rates'!$G$5:$G$1004,$T1721))))</f>
        <v/>
      </c>
      <c r="J1721" s="50">
        <f>IF($T1721="","",IF($S1721="S",IF(INDEX(Firms!$I$5:$I$1004,$T1721)="","",INDEX(Firms!$I$5:$I$1004,$T1721)),IF(INDEX('AFA Rates'!$H$5:$H$1004,$T1721)="","",INDEX('AFA Rates'!$H$5:$H$1004,$T1721))))</f>
        <v/>
      </c>
      <c r="K1721" s="50">
        <f>IF($T1721="","",IF($S1721="S",IF(INDEX(Firms!$J$5:$J$1004,$T1721)="","",INDEX(Firms!$J$5:$J$1004,$T1721)),IF(INDEX('AFA Rates'!$I$5:$I$1004,$T1721)="","",INDEX('AFA Rates'!$I$5:$I$1004,$T1721))))</f>
        <v/>
      </c>
      <c r="L1721" s="50">
        <f>IF($T1721="","",IF($S1721="S",IF(INDEX(Firms!$K$5:$K$1004,$T1721)="","",INDEX(Firms!$K$5:$K$1004,$T1721)),IF(INDEX('AFA Rates'!$J$5:$J$1004,$T1721)="","",INDEX('AFA Rates'!$J$5:$J$1004,$T1721))))</f>
        <v/>
      </c>
      <c r="M1721" s="50">
        <f>IF($T1721="","",IF($S1721="S",IF(INDEX(Firms!$L$5:$L$1004,$T1721)="","",INDEX(Firms!$L$5:$L$1004,$T1721)),IF(INDEX('AFA Rates'!$K$5:$K$1004,$T1721)="","",INDEX('AFA Rates'!$K$5:$K$1004,$T1721))))</f>
        <v/>
      </c>
      <c r="N1721" s="50">
        <f>IF($T1721="","",IF($S1721="S",IF(INDEX(Firms!$M$5:$M$1004,$T1721)="","",INDEX(Firms!$M$5:$M$1004,$T1721)),IF(INDEX('AFA Rates'!$L$5:$L$1004,$T1721)="","",INDEX('AFA Rates'!$L$5:$L$1004,$T1721))))</f>
        <v/>
      </c>
      <c r="O1721" s="78">
        <f>IF(OR($T1721="",$U1721=""),"",IF(INDEX(Firms!$C$5:$C$1004,$U1721)="","",INDEX(Firms!$C$5:$C$1004,$U1721)))</f>
        <v/>
      </c>
      <c r="P1721" s="79">
        <f>IF(OR($T1721="",$U1721=""),"",IF(INDEX(Firms!$N$5:$N$1004,$U1721)="","",INDEX(Firms!$N$5:$N$1004,$U1721)))</f>
        <v/>
      </c>
      <c r="Q1721" s="78">
        <f>IF($T1721="","",IF($S1721="S",IF(INDEX(Firms!$T$5:$T$1004,$T1721)="","",INDEX(Firms!$T$5:$T$1004,$T1721)),IF(INDEX('AFA Rates'!$M$5:$M$1004,$T1721)="","",INDEX('AFA Rates'!$M$5:$M$1004,$T1721))))</f>
        <v/>
      </c>
      <c r="S1721">
        <f>IF(1717&lt;=$S$2,"S",IF(1717&lt;=$S$2+$T$2,"A",""))</f>
        <v/>
      </c>
      <c r="T1721">
        <f>IF(S1721="S",MATCH(1717,Firms!$W$5:$W$1004,0),IF(S1721="A",IFERROR(MATCH(1717-$S$2,'AFA Rates'!$R$5:$R$1004,0),""),""))</f>
        <v/>
      </c>
      <c r="U1721">
        <f>IF(S1721="S",T1721,IF(AND(S1721="A",T1721&lt;&gt;""),IFERROR(MATCH(INDEX('AFA Rates'!$A$5:$A$1004,T1721),Firms!$A$5:$A$1004,0),""),""))</f>
        <v/>
      </c>
    </row>
    <row r="1722">
      <c r="A1722" s="78">
        <f>IF($T1722="","",IF($S1722="S",IF(INDEX(Firms!$A$5:$A$1004,$T1722)="","",INDEX(Firms!$A$5:$A$1004,$T1722)),IF(INDEX('AFA Rates'!$A$5:$A$1004,$T1722)="","",INDEX('AFA Rates'!$A$5:$A$1004,$T1722))))</f>
        <v/>
      </c>
      <c r="B1722" s="79">
        <f>IF(OR($T1722="",$U1722=""),IF($T1722="","","Not on Firms tab"),INDEX(Firms!$B$5:$B$1004,$U1722)&amp;"")</f>
        <v/>
      </c>
      <c r="C1722" s="78">
        <f>IF($T1722="","",IF($S1722="S","Standard",INDEX('AFA Rates'!$B$5:$B$1004,$T1722)&amp;""))</f>
        <v/>
      </c>
      <c r="D1722" s="88">
        <f>IF($T1722="","",IF($S1722="S",IF(INDEX(Firms!$E$5:$E$1004,$T1722)="","",INDEX(Firms!$E$5:$E$1004,$T1722)),IF(INDEX('AFA Rates'!$C$5:$C$1004,$T1722)="","",INDEX('AFA Rates'!$C$5:$C$1004,$T1722))))</f>
        <v/>
      </c>
      <c r="E1722" s="88">
        <f>IF($T1722="","",IF($S1722="S",IF(""="","",""),IF(INDEX('AFA Rates'!$D$5:$D$1004,$T1722)="","",INDEX('AFA Rates'!$D$5:$D$1004,$T1722))))</f>
        <v/>
      </c>
      <c r="F1722" s="79">
        <f>IF($T1722="","",IF($S1722="S",IF(INDEX(Firms!$O$5:$O$1004,$T1722)="","",INDEX(Firms!$O$5:$O$1004,$T1722)),IF(INDEX('AFA Rates'!$O$5:$O$1004,$T1722)="","",INDEX('AFA Rates'!$O$5:$O$1004,$T1722))))</f>
        <v/>
      </c>
      <c r="G1722" s="50">
        <f>IF($T1722="","",IF($S1722="S",IF(INDEX(Firms!$F$5:$F$1004,$T1722)="","",INDEX(Firms!$F$5:$F$1004,$T1722)),IF(INDEX('AFA Rates'!$E$5:$E$1004,$T1722)="","",INDEX('AFA Rates'!$E$5:$E$1004,$T1722))))</f>
        <v/>
      </c>
      <c r="H1722" s="50">
        <f>IF($T1722="","",IF($S1722="S",IF(INDEX(Firms!$G$5:$G$1004,$T1722)="","",INDEX(Firms!$G$5:$G$1004,$T1722)),IF(INDEX('AFA Rates'!$F$5:$F$1004,$T1722)="","",INDEX('AFA Rates'!$F$5:$F$1004,$T1722))))</f>
        <v/>
      </c>
      <c r="I1722" s="50">
        <f>IF($T1722="","",IF($S1722="S",IF(INDEX(Firms!$H$5:$H$1004,$T1722)="","",INDEX(Firms!$H$5:$H$1004,$T1722)),IF(INDEX('AFA Rates'!$G$5:$G$1004,$T1722)="","",INDEX('AFA Rates'!$G$5:$G$1004,$T1722))))</f>
        <v/>
      </c>
      <c r="J1722" s="50">
        <f>IF($T1722="","",IF($S1722="S",IF(INDEX(Firms!$I$5:$I$1004,$T1722)="","",INDEX(Firms!$I$5:$I$1004,$T1722)),IF(INDEX('AFA Rates'!$H$5:$H$1004,$T1722)="","",INDEX('AFA Rates'!$H$5:$H$1004,$T1722))))</f>
        <v/>
      </c>
      <c r="K1722" s="50">
        <f>IF($T1722="","",IF($S1722="S",IF(INDEX(Firms!$J$5:$J$1004,$T1722)="","",INDEX(Firms!$J$5:$J$1004,$T1722)),IF(INDEX('AFA Rates'!$I$5:$I$1004,$T1722)="","",INDEX('AFA Rates'!$I$5:$I$1004,$T1722))))</f>
        <v/>
      </c>
      <c r="L1722" s="50">
        <f>IF($T1722="","",IF($S1722="S",IF(INDEX(Firms!$K$5:$K$1004,$T1722)="","",INDEX(Firms!$K$5:$K$1004,$T1722)),IF(INDEX('AFA Rates'!$J$5:$J$1004,$T1722)="","",INDEX('AFA Rates'!$J$5:$J$1004,$T1722))))</f>
        <v/>
      </c>
      <c r="M1722" s="50">
        <f>IF($T1722="","",IF($S1722="S",IF(INDEX(Firms!$L$5:$L$1004,$T1722)="","",INDEX(Firms!$L$5:$L$1004,$T1722)),IF(INDEX('AFA Rates'!$K$5:$K$1004,$T1722)="","",INDEX('AFA Rates'!$K$5:$K$1004,$T1722))))</f>
        <v/>
      </c>
      <c r="N1722" s="50">
        <f>IF($T1722="","",IF($S1722="S",IF(INDEX(Firms!$M$5:$M$1004,$T1722)="","",INDEX(Firms!$M$5:$M$1004,$T1722)),IF(INDEX('AFA Rates'!$L$5:$L$1004,$T1722)="","",INDEX('AFA Rates'!$L$5:$L$1004,$T1722))))</f>
        <v/>
      </c>
      <c r="O1722" s="78">
        <f>IF(OR($T1722="",$U1722=""),"",IF(INDEX(Firms!$C$5:$C$1004,$U1722)="","",INDEX(Firms!$C$5:$C$1004,$U1722)))</f>
        <v/>
      </c>
      <c r="P1722" s="79">
        <f>IF(OR($T1722="",$U1722=""),"",IF(INDEX(Firms!$N$5:$N$1004,$U1722)="","",INDEX(Firms!$N$5:$N$1004,$U1722)))</f>
        <v/>
      </c>
      <c r="Q1722" s="78">
        <f>IF($T1722="","",IF($S1722="S",IF(INDEX(Firms!$T$5:$T$1004,$T1722)="","",INDEX(Firms!$T$5:$T$1004,$T1722)),IF(INDEX('AFA Rates'!$M$5:$M$1004,$T1722)="","",INDEX('AFA Rates'!$M$5:$M$1004,$T1722))))</f>
        <v/>
      </c>
      <c r="S1722">
        <f>IF(1718&lt;=$S$2,"S",IF(1718&lt;=$S$2+$T$2,"A",""))</f>
        <v/>
      </c>
      <c r="T1722">
        <f>IF(S1722="S",MATCH(1718,Firms!$W$5:$W$1004,0),IF(S1722="A",IFERROR(MATCH(1718-$S$2,'AFA Rates'!$R$5:$R$1004,0),""),""))</f>
        <v/>
      </c>
      <c r="U1722">
        <f>IF(S1722="S",T1722,IF(AND(S1722="A",T1722&lt;&gt;""),IFERROR(MATCH(INDEX('AFA Rates'!$A$5:$A$1004,T1722),Firms!$A$5:$A$1004,0),""),""))</f>
        <v/>
      </c>
    </row>
    <row r="1723">
      <c r="A1723" s="78">
        <f>IF($T1723="","",IF($S1723="S",IF(INDEX(Firms!$A$5:$A$1004,$T1723)="","",INDEX(Firms!$A$5:$A$1004,$T1723)),IF(INDEX('AFA Rates'!$A$5:$A$1004,$T1723)="","",INDEX('AFA Rates'!$A$5:$A$1004,$T1723))))</f>
        <v/>
      </c>
      <c r="B1723" s="79">
        <f>IF(OR($T1723="",$U1723=""),IF($T1723="","","Not on Firms tab"),INDEX(Firms!$B$5:$B$1004,$U1723)&amp;"")</f>
        <v/>
      </c>
      <c r="C1723" s="78">
        <f>IF($T1723="","",IF($S1723="S","Standard",INDEX('AFA Rates'!$B$5:$B$1004,$T1723)&amp;""))</f>
        <v/>
      </c>
      <c r="D1723" s="88">
        <f>IF($T1723="","",IF($S1723="S",IF(INDEX(Firms!$E$5:$E$1004,$T1723)="","",INDEX(Firms!$E$5:$E$1004,$T1723)),IF(INDEX('AFA Rates'!$C$5:$C$1004,$T1723)="","",INDEX('AFA Rates'!$C$5:$C$1004,$T1723))))</f>
        <v/>
      </c>
      <c r="E1723" s="88">
        <f>IF($T1723="","",IF($S1723="S",IF(""="","",""),IF(INDEX('AFA Rates'!$D$5:$D$1004,$T1723)="","",INDEX('AFA Rates'!$D$5:$D$1004,$T1723))))</f>
        <v/>
      </c>
      <c r="F1723" s="79">
        <f>IF($T1723="","",IF($S1723="S",IF(INDEX(Firms!$O$5:$O$1004,$T1723)="","",INDEX(Firms!$O$5:$O$1004,$T1723)),IF(INDEX('AFA Rates'!$O$5:$O$1004,$T1723)="","",INDEX('AFA Rates'!$O$5:$O$1004,$T1723))))</f>
        <v/>
      </c>
      <c r="G1723" s="50">
        <f>IF($T1723="","",IF($S1723="S",IF(INDEX(Firms!$F$5:$F$1004,$T1723)="","",INDEX(Firms!$F$5:$F$1004,$T1723)),IF(INDEX('AFA Rates'!$E$5:$E$1004,$T1723)="","",INDEX('AFA Rates'!$E$5:$E$1004,$T1723))))</f>
        <v/>
      </c>
      <c r="H1723" s="50">
        <f>IF($T1723="","",IF($S1723="S",IF(INDEX(Firms!$G$5:$G$1004,$T1723)="","",INDEX(Firms!$G$5:$G$1004,$T1723)),IF(INDEX('AFA Rates'!$F$5:$F$1004,$T1723)="","",INDEX('AFA Rates'!$F$5:$F$1004,$T1723))))</f>
        <v/>
      </c>
      <c r="I1723" s="50">
        <f>IF($T1723="","",IF($S1723="S",IF(INDEX(Firms!$H$5:$H$1004,$T1723)="","",INDEX(Firms!$H$5:$H$1004,$T1723)),IF(INDEX('AFA Rates'!$G$5:$G$1004,$T1723)="","",INDEX('AFA Rates'!$G$5:$G$1004,$T1723))))</f>
        <v/>
      </c>
      <c r="J1723" s="50">
        <f>IF($T1723="","",IF($S1723="S",IF(INDEX(Firms!$I$5:$I$1004,$T1723)="","",INDEX(Firms!$I$5:$I$1004,$T1723)),IF(INDEX('AFA Rates'!$H$5:$H$1004,$T1723)="","",INDEX('AFA Rates'!$H$5:$H$1004,$T1723))))</f>
        <v/>
      </c>
      <c r="K1723" s="50">
        <f>IF($T1723="","",IF($S1723="S",IF(INDEX(Firms!$J$5:$J$1004,$T1723)="","",INDEX(Firms!$J$5:$J$1004,$T1723)),IF(INDEX('AFA Rates'!$I$5:$I$1004,$T1723)="","",INDEX('AFA Rates'!$I$5:$I$1004,$T1723))))</f>
        <v/>
      </c>
      <c r="L1723" s="50">
        <f>IF($T1723="","",IF($S1723="S",IF(INDEX(Firms!$K$5:$K$1004,$T1723)="","",INDEX(Firms!$K$5:$K$1004,$T1723)),IF(INDEX('AFA Rates'!$J$5:$J$1004,$T1723)="","",INDEX('AFA Rates'!$J$5:$J$1004,$T1723))))</f>
        <v/>
      </c>
      <c r="M1723" s="50">
        <f>IF($T1723="","",IF($S1723="S",IF(INDEX(Firms!$L$5:$L$1004,$T1723)="","",INDEX(Firms!$L$5:$L$1004,$T1723)),IF(INDEX('AFA Rates'!$K$5:$K$1004,$T1723)="","",INDEX('AFA Rates'!$K$5:$K$1004,$T1723))))</f>
        <v/>
      </c>
      <c r="N1723" s="50">
        <f>IF($T1723="","",IF($S1723="S",IF(INDEX(Firms!$M$5:$M$1004,$T1723)="","",INDEX(Firms!$M$5:$M$1004,$T1723)),IF(INDEX('AFA Rates'!$L$5:$L$1004,$T1723)="","",INDEX('AFA Rates'!$L$5:$L$1004,$T1723))))</f>
        <v/>
      </c>
      <c r="O1723" s="78">
        <f>IF(OR($T1723="",$U1723=""),"",IF(INDEX(Firms!$C$5:$C$1004,$U1723)="","",INDEX(Firms!$C$5:$C$1004,$U1723)))</f>
        <v/>
      </c>
      <c r="P1723" s="79">
        <f>IF(OR($T1723="",$U1723=""),"",IF(INDEX(Firms!$N$5:$N$1004,$U1723)="","",INDEX(Firms!$N$5:$N$1004,$U1723)))</f>
        <v/>
      </c>
      <c r="Q1723" s="78">
        <f>IF($T1723="","",IF($S1723="S",IF(INDEX(Firms!$T$5:$T$1004,$T1723)="","",INDEX(Firms!$T$5:$T$1004,$T1723)),IF(INDEX('AFA Rates'!$M$5:$M$1004,$T1723)="","",INDEX('AFA Rates'!$M$5:$M$1004,$T1723))))</f>
        <v/>
      </c>
      <c r="S1723">
        <f>IF(1719&lt;=$S$2,"S",IF(1719&lt;=$S$2+$T$2,"A",""))</f>
        <v/>
      </c>
      <c r="T1723">
        <f>IF(S1723="S",MATCH(1719,Firms!$W$5:$W$1004,0),IF(S1723="A",IFERROR(MATCH(1719-$S$2,'AFA Rates'!$R$5:$R$1004,0),""),""))</f>
        <v/>
      </c>
      <c r="U1723">
        <f>IF(S1723="S",T1723,IF(AND(S1723="A",T1723&lt;&gt;""),IFERROR(MATCH(INDEX('AFA Rates'!$A$5:$A$1004,T1723),Firms!$A$5:$A$1004,0),""),""))</f>
        <v/>
      </c>
    </row>
    <row r="1724">
      <c r="A1724" s="78">
        <f>IF($T1724="","",IF($S1724="S",IF(INDEX(Firms!$A$5:$A$1004,$T1724)="","",INDEX(Firms!$A$5:$A$1004,$T1724)),IF(INDEX('AFA Rates'!$A$5:$A$1004,$T1724)="","",INDEX('AFA Rates'!$A$5:$A$1004,$T1724))))</f>
        <v/>
      </c>
      <c r="B1724" s="79">
        <f>IF(OR($T1724="",$U1724=""),IF($T1724="","","Not on Firms tab"),INDEX(Firms!$B$5:$B$1004,$U1724)&amp;"")</f>
        <v/>
      </c>
      <c r="C1724" s="78">
        <f>IF($T1724="","",IF($S1724="S","Standard",INDEX('AFA Rates'!$B$5:$B$1004,$T1724)&amp;""))</f>
        <v/>
      </c>
      <c r="D1724" s="88">
        <f>IF($T1724="","",IF($S1724="S",IF(INDEX(Firms!$E$5:$E$1004,$T1724)="","",INDEX(Firms!$E$5:$E$1004,$T1724)),IF(INDEX('AFA Rates'!$C$5:$C$1004,$T1724)="","",INDEX('AFA Rates'!$C$5:$C$1004,$T1724))))</f>
        <v/>
      </c>
      <c r="E1724" s="88">
        <f>IF($T1724="","",IF($S1724="S",IF(""="","",""),IF(INDEX('AFA Rates'!$D$5:$D$1004,$T1724)="","",INDEX('AFA Rates'!$D$5:$D$1004,$T1724))))</f>
        <v/>
      </c>
      <c r="F1724" s="79">
        <f>IF($T1724="","",IF($S1724="S",IF(INDEX(Firms!$O$5:$O$1004,$T1724)="","",INDEX(Firms!$O$5:$O$1004,$T1724)),IF(INDEX('AFA Rates'!$O$5:$O$1004,$T1724)="","",INDEX('AFA Rates'!$O$5:$O$1004,$T1724))))</f>
        <v/>
      </c>
      <c r="G1724" s="50">
        <f>IF($T1724="","",IF($S1724="S",IF(INDEX(Firms!$F$5:$F$1004,$T1724)="","",INDEX(Firms!$F$5:$F$1004,$T1724)),IF(INDEX('AFA Rates'!$E$5:$E$1004,$T1724)="","",INDEX('AFA Rates'!$E$5:$E$1004,$T1724))))</f>
        <v/>
      </c>
      <c r="H1724" s="50">
        <f>IF($T1724="","",IF($S1724="S",IF(INDEX(Firms!$G$5:$G$1004,$T1724)="","",INDEX(Firms!$G$5:$G$1004,$T1724)),IF(INDEX('AFA Rates'!$F$5:$F$1004,$T1724)="","",INDEX('AFA Rates'!$F$5:$F$1004,$T1724))))</f>
        <v/>
      </c>
      <c r="I1724" s="50">
        <f>IF($T1724="","",IF($S1724="S",IF(INDEX(Firms!$H$5:$H$1004,$T1724)="","",INDEX(Firms!$H$5:$H$1004,$T1724)),IF(INDEX('AFA Rates'!$G$5:$G$1004,$T1724)="","",INDEX('AFA Rates'!$G$5:$G$1004,$T1724))))</f>
        <v/>
      </c>
      <c r="J1724" s="50">
        <f>IF($T1724="","",IF($S1724="S",IF(INDEX(Firms!$I$5:$I$1004,$T1724)="","",INDEX(Firms!$I$5:$I$1004,$T1724)),IF(INDEX('AFA Rates'!$H$5:$H$1004,$T1724)="","",INDEX('AFA Rates'!$H$5:$H$1004,$T1724))))</f>
        <v/>
      </c>
      <c r="K1724" s="50">
        <f>IF($T1724="","",IF($S1724="S",IF(INDEX(Firms!$J$5:$J$1004,$T1724)="","",INDEX(Firms!$J$5:$J$1004,$T1724)),IF(INDEX('AFA Rates'!$I$5:$I$1004,$T1724)="","",INDEX('AFA Rates'!$I$5:$I$1004,$T1724))))</f>
        <v/>
      </c>
      <c r="L1724" s="50">
        <f>IF($T1724="","",IF($S1724="S",IF(INDEX(Firms!$K$5:$K$1004,$T1724)="","",INDEX(Firms!$K$5:$K$1004,$T1724)),IF(INDEX('AFA Rates'!$J$5:$J$1004,$T1724)="","",INDEX('AFA Rates'!$J$5:$J$1004,$T1724))))</f>
        <v/>
      </c>
      <c r="M1724" s="50">
        <f>IF($T1724="","",IF($S1724="S",IF(INDEX(Firms!$L$5:$L$1004,$T1724)="","",INDEX(Firms!$L$5:$L$1004,$T1724)),IF(INDEX('AFA Rates'!$K$5:$K$1004,$T1724)="","",INDEX('AFA Rates'!$K$5:$K$1004,$T1724))))</f>
        <v/>
      </c>
      <c r="N1724" s="50">
        <f>IF($T1724="","",IF($S1724="S",IF(INDEX(Firms!$M$5:$M$1004,$T1724)="","",INDEX(Firms!$M$5:$M$1004,$T1724)),IF(INDEX('AFA Rates'!$L$5:$L$1004,$T1724)="","",INDEX('AFA Rates'!$L$5:$L$1004,$T1724))))</f>
        <v/>
      </c>
      <c r="O1724" s="78">
        <f>IF(OR($T1724="",$U1724=""),"",IF(INDEX(Firms!$C$5:$C$1004,$U1724)="","",INDEX(Firms!$C$5:$C$1004,$U1724)))</f>
        <v/>
      </c>
      <c r="P1724" s="79">
        <f>IF(OR($T1724="",$U1724=""),"",IF(INDEX(Firms!$N$5:$N$1004,$U1724)="","",INDEX(Firms!$N$5:$N$1004,$U1724)))</f>
        <v/>
      </c>
      <c r="Q1724" s="78">
        <f>IF($T1724="","",IF($S1724="S",IF(INDEX(Firms!$T$5:$T$1004,$T1724)="","",INDEX(Firms!$T$5:$T$1004,$T1724)),IF(INDEX('AFA Rates'!$M$5:$M$1004,$T1724)="","",INDEX('AFA Rates'!$M$5:$M$1004,$T1724))))</f>
        <v/>
      </c>
      <c r="S1724">
        <f>IF(1720&lt;=$S$2,"S",IF(1720&lt;=$S$2+$T$2,"A",""))</f>
        <v/>
      </c>
      <c r="T1724">
        <f>IF(S1724="S",MATCH(1720,Firms!$W$5:$W$1004,0),IF(S1724="A",IFERROR(MATCH(1720-$S$2,'AFA Rates'!$R$5:$R$1004,0),""),""))</f>
        <v/>
      </c>
      <c r="U1724">
        <f>IF(S1724="S",T1724,IF(AND(S1724="A",T1724&lt;&gt;""),IFERROR(MATCH(INDEX('AFA Rates'!$A$5:$A$1004,T1724),Firms!$A$5:$A$1004,0),""),""))</f>
        <v/>
      </c>
    </row>
    <row r="1725">
      <c r="A1725" s="78">
        <f>IF($T1725="","",IF($S1725="S",IF(INDEX(Firms!$A$5:$A$1004,$T1725)="","",INDEX(Firms!$A$5:$A$1004,$T1725)),IF(INDEX('AFA Rates'!$A$5:$A$1004,$T1725)="","",INDEX('AFA Rates'!$A$5:$A$1004,$T1725))))</f>
        <v/>
      </c>
      <c r="B1725" s="79">
        <f>IF(OR($T1725="",$U1725=""),IF($T1725="","","Not on Firms tab"),INDEX(Firms!$B$5:$B$1004,$U1725)&amp;"")</f>
        <v/>
      </c>
      <c r="C1725" s="78">
        <f>IF($T1725="","",IF($S1725="S","Standard",INDEX('AFA Rates'!$B$5:$B$1004,$T1725)&amp;""))</f>
        <v/>
      </c>
      <c r="D1725" s="88">
        <f>IF($T1725="","",IF($S1725="S",IF(INDEX(Firms!$E$5:$E$1004,$T1725)="","",INDEX(Firms!$E$5:$E$1004,$T1725)),IF(INDEX('AFA Rates'!$C$5:$C$1004,$T1725)="","",INDEX('AFA Rates'!$C$5:$C$1004,$T1725))))</f>
        <v/>
      </c>
      <c r="E1725" s="88">
        <f>IF($T1725="","",IF($S1725="S",IF(""="","",""),IF(INDEX('AFA Rates'!$D$5:$D$1004,$T1725)="","",INDEX('AFA Rates'!$D$5:$D$1004,$T1725))))</f>
        <v/>
      </c>
      <c r="F1725" s="79">
        <f>IF($T1725="","",IF($S1725="S",IF(INDEX(Firms!$O$5:$O$1004,$T1725)="","",INDEX(Firms!$O$5:$O$1004,$T1725)),IF(INDEX('AFA Rates'!$O$5:$O$1004,$T1725)="","",INDEX('AFA Rates'!$O$5:$O$1004,$T1725))))</f>
        <v/>
      </c>
      <c r="G1725" s="50">
        <f>IF($T1725="","",IF($S1725="S",IF(INDEX(Firms!$F$5:$F$1004,$T1725)="","",INDEX(Firms!$F$5:$F$1004,$T1725)),IF(INDEX('AFA Rates'!$E$5:$E$1004,$T1725)="","",INDEX('AFA Rates'!$E$5:$E$1004,$T1725))))</f>
        <v/>
      </c>
      <c r="H1725" s="50">
        <f>IF($T1725="","",IF($S1725="S",IF(INDEX(Firms!$G$5:$G$1004,$T1725)="","",INDEX(Firms!$G$5:$G$1004,$T1725)),IF(INDEX('AFA Rates'!$F$5:$F$1004,$T1725)="","",INDEX('AFA Rates'!$F$5:$F$1004,$T1725))))</f>
        <v/>
      </c>
      <c r="I1725" s="50">
        <f>IF($T1725="","",IF($S1725="S",IF(INDEX(Firms!$H$5:$H$1004,$T1725)="","",INDEX(Firms!$H$5:$H$1004,$T1725)),IF(INDEX('AFA Rates'!$G$5:$G$1004,$T1725)="","",INDEX('AFA Rates'!$G$5:$G$1004,$T1725))))</f>
        <v/>
      </c>
      <c r="J1725" s="50">
        <f>IF($T1725="","",IF($S1725="S",IF(INDEX(Firms!$I$5:$I$1004,$T1725)="","",INDEX(Firms!$I$5:$I$1004,$T1725)),IF(INDEX('AFA Rates'!$H$5:$H$1004,$T1725)="","",INDEX('AFA Rates'!$H$5:$H$1004,$T1725))))</f>
        <v/>
      </c>
      <c r="K1725" s="50">
        <f>IF($T1725="","",IF($S1725="S",IF(INDEX(Firms!$J$5:$J$1004,$T1725)="","",INDEX(Firms!$J$5:$J$1004,$T1725)),IF(INDEX('AFA Rates'!$I$5:$I$1004,$T1725)="","",INDEX('AFA Rates'!$I$5:$I$1004,$T1725))))</f>
        <v/>
      </c>
      <c r="L1725" s="50">
        <f>IF($T1725="","",IF($S1725="S",IF(INDEX(Firms!$K$5:$K$1004,$T1725)="","",INDEX(Firms!$K$5:$K$1004,$T1725)),IF(INDEX('AFA Rates'!$J$5:$J$1004,$T1725)="","",INDEX('AFA Rates'!$J$5:$J$1004,$T1725))))</f>
        <v/>
      </c>
      <c r="M1725" s="50">
        <f>IF($T1725="","",IF($S1725="S",IF(INDEX(Firms!$L$5:$L$1004,$T1725)="","",INDEX(Firms!$L$5:$L$1004,$T1725)),IF(INDEX('AFA Rates'!$K$5:$K$1004,$T1725)="","",INDEX('AFA Rates'!$K$5:$K$1004,$T1725))))</f>
        <v/>
      </c>
      <c r="N1725" s="50">
        <f>IF($T1725="","",IF($S1725="S",IF(INDEX(Firms!$M$5:$M$1004,$T1725)="","",INDEX(Firms!$M$5:$M$1004,$T1725)),IF(INDEX('AFA Rates'!$L$5:$L$1004,$T1725)="","",INDEX('AFA Rates'!$L$5:$L$1004,$T1725))))</f>
        <v/>
      </c>
      <c r="O1725" s="78">
        <f>IF(OR($T1725="",$U1725=""),"",IF(INDEX(Firms!$C$5:$C$1004,$U1725)="","",INDEX(Firms!$C$5:$C$1004,$U1725)))</f>
        <v/>
      </c>
      <c r="P1725" s="79">
        <f>IF(OR($T1725="",$U1725=""),"",IF(INDEX(Firms!$N$5:$N$1004,$U1725)="","",INDEX(Firms!$N$5:$N$1004,$U1725)))</f>
        <v/>
      </c>
      <c r="Q1725" s="78">
        <f>IF($T1725="","",IF($S1725="S",IF(INDEX(Firms!$T$5:$T$1004,$T1725)="","",INDEX(Firms!$T$5:$T$1004,$T1725)),IF(INDEX('AFA Rates'!$M$5:$M$1004,$T1725)="","",INDEX('AFA Rates'!$M$5:$M$1004,$T1725))))</f>
        <v/>
      </c>
      <c r="S1725">
        <f>IF(1721&lt;=$S$2,"S",IF(1721&lt;=$S$2+$T$2,"A",""))</f>
        <v/>
      </c>
      <c r="T1725">
        <f>IF(S1725="S",MATCH(1721,Firms!$W$5:$W$1004,0),IF(S1725="A",IFERROR(MATCH(1721-$S$2,'AFA Rates'!$R$5:$R$1004,0),""),""))</f>
        <v/>
      </c>
      <c r="U1725">
        <f>IF(S1725="S",T1725,IF(AND(S1725="A",T1725&lt;&gt;""),IFERROR(MATCH(INDEX('AFA Rates'!$A$5:$A$1004,T1725),Firms!$A$5:$A$1004,0),""),""))</f>
        <v/>
      </c>
    </row>
    <row r="1726">
      <c r="A1726" s="78">
        <f>IF($T1726="","",IF($S1726="S",IF(INDEX(Firms!$A$5:$A$1004,$T1726)="","",INDEX(Firms!$A$5:$A$1004,$T1726)),IF(INDEX('AFA Rates'!$A$5:$A$1004,$T1726)="","",INDEX('AFA Rates'!$A$5:$A$1004,$T1726))))</f>
        <v/>
      </c>
      <c r="B1726" s="79">
        <f>IF(OR($T1726="",$U1726=""),IF($T1726="","","Not on Firms tab"),INDEX(Firms!$B$5:$B$1004,$U1726)&amp;"")</f>
        <v/>
      </c>
      <c r="C1726" s="78">
        <f>IF($T1726="","",IF($S1726="S","Standard",INDEX('AFA Rates'!$B$5:$B$1004,$T1726)&amp;""))</f>
        <v/>
      </c>
      <c r="D1726" s="88">
        <f>IF($T1726="","",IF($S1726="S",IF(INDEX(Firms!$E$5:$E$1004,$T1726)="","",INDEX(Firms!$E$5:$E$1004,$T1726)),IF(INDEX('AFA Rates'!$C$5:$C$1004,$T1726)="","",INDEX('AFA Rates'!$C$5:$C$1004,$T1726))))</f>
        <v/>
      </c>
      <c r="E1726" s="88">
        <f>IF($T1726="","",IF($S1726="S",IF(""="","",""),IF(INDEX('AFA Rates'!$D$5:$D$1004,$T1726)="","",INDEX('AFA Rates'!$D$5:$D$1004,$T1726))))</f>
        <v/>
      </c>
      <c r="F1726" s="79">
        <f>IF($T1726="","",IF($S1726="S",IF(INDEX(Firms!$O$5:$O$1004,$T1726)="","",INDEX(Firms!$O$5:$O$1004,$T1726)),IF(INDEX('AFA Rates'!$O$5:$O$1004,$T1726)="","",INDEX('AFA Rates'!$O$5:$O$1004,$T1726))))</f>
        <v/>
      </c>
      <c r="G1726" s="50">
        <f>IF($T1726="","",IF($S1726="S",IF(INDEX(Firms!$F$5:$F$1004,$T1726)="","",INDEX(Firms!$F$5:$F$1004,$T1726)),IF(INDEX('AFA Rates'!$E$5:$E$1004,$T1726)="","",INDEX('AFA Rates'!$E$5:$E$1004,$T1726))))</f>
        <v/>
      </c>
      <c r="H1726" s="50">
        <f>IF($T1726="","",IF($S1726="S",IF(INDEX(Firms!$G$5:$G$1004,$T1726)="","",INDEX(Firms!$G$5:$G$1004,$T1726)),IF(INDEX('AFA Rates'!$F$5:$F$1004,$T1726)="","",INDEX('AFA Rates'!$F$5:$F$1004,$T1726))))</f>
        <v/>
      </c>
      <c r="I1726" s="50">
        <f>IF($T1726="","",IF($S1726="S",IF(INDEX(Firms!$H$5:$H$1004,$T1726)="","",INDEX(Firms!$H$5:$H$1004,$T1726)),IF(INDEX('AFA Rates'!$G$5:$G$1004,$T1726)="","",INDEX('AFA Rates'!$G$5:$G$1004,$T1726))))</f>
        <v/>
      </c>
      <c r="J1726" s="50">
        <f>IF($T1726="","",IF($S1726="S",IF(INDEX(Firms!$I$5:$I$1004,$T1726)="","",INDEX(Firms!$I$5:$I$1004,$T1726)),IF(INDEX('AFA Rates'!$H$5:$H$1004,$T1726)="","",INDEX('AFA Rates'!$H$5:$H$1004,$T1726))))</f>
        <v/>
      </c>
      <c r="K1726" s="50">
        <f>IF($T1726="","",IF($S1726="S",IF(INDEX(Firms!$J$5:$J$1004,$T1726)="","",INDEX(Firms!$J$5:$J$1004,$T1726)),IF(INDEX('AFA Rates'!$I$5:$I$1004,$T1726)="","",INDEX('AFA Rates'!$I$5:$I$1004,$T1726))))</f>
        <v/>
      </c>
      <c r="L1726" s="50">
        <f>IF($T1726="","",IF($S1726="S",IF(INDEX(Firms!$K$5:$K$1004,$T1726)="","",INDEX(Firms!$K$5:$K$1004,$T1726)),IF(INDEX('AFA Rates'!$J$5:$J$1004,$T1726)="","",INDEX('AFA Rates'!$J$5:$J$1004,$T1726))))</f>
        <v/>
      </c>
      <c r="M1726" s="50">
        <f>IF($T1726="","",IF($S1726="S",IF(INDEX(Firms!$L$5:$L$1004,$T1726)="","",INDEX(Firms!$L$5:$L$1004,$T1726)),IF(INDEX('AFA Rates'!$K$5:$K$1004,$T1726)="","",INDEX('AFA Rates'!$K$5:$K$1004,$T1726))))</f>
        <v/>
      </c>
      <c r="N1726" s="50">
        <f>IF($T1726="","",IF($S1726="S",IF(INDEX(Firms!$M$5:$M$1004,$T1726)="","",INDEX(Firms!$M$5:$M$1004,$T1726)),IF(INDEX('AFA Rates'!$L$5:$L$1004,$T1726)="","",INDEX('AFA Rates'!$L$5:$L$1004,$T1726))))</f>
        <v/>
      </c>
      <c r="O1726" s="78">
        <f>IF(OR($T1726="",$U1726=""),"",IF(INDEX(Firms!$C$5:$C$1004,$U1726)="","",INDEX(Firms!$C$5:$C$1004,$U1726)))</f>
        <v/>
      </c>
      <c r="P1726" s="79">
        <f>IF(OR($T1726="",$U1726=""),"",IF(INDEX(Firms!$N$5:$N$1004,$U1726)="","",INDEX(Firms!$N$5:$N$1004,$U1726)))</f>
        <v/>
      </c>
      <c r="Q1726" s="78">
        <f>IF($T1726="","",IF($S1726="S",IF(INDEX(Firms!$T$5:$T$1004,$T1726)="","",INDEX(Firms!$T$5:$T$1004,$T1726)),IF(INDEX('AFA Rates'!$M$5:$M$1004,$T1726)="","",INDEX('AFA Rates'!$M$5:$M$1004,$T1726))))</f>
        <v/>
      </c>
      <c r="S1726">
        <f>IF(1722&lt;=$S$2,"S",IF(1722&lt;=$S$2+$T$2,"A",""))</f>
        <v/>
      </c>
      <c r="T1726">
        <f>IF(S1726="S",MATCH(1722,Firms!$W$5:$W$1004,0),IF(S1726="A",IFERROR(MATCH(1722-$S$2,'AFA Rates'!$R$5:$R$1004,0),""),""))</f>
        <v/>
      </c>
      <c r="U1726">
        <f>IF(S1726="S",T1726,IF(AND(S1726="A",T1726&lt;&gt;""),IFERROR(MATCH(INDEX('AFA Rates'!$A$5:$A$1004,T1726),Firms!$A$5:$A$1004,0),""),""))</f>
        <v/>
      </c>
    </row>
    <row r="1727">
      <c r="A1727" s="78">
        <f>IF($T1727="","",IF($S1727="S",IF(INDEX(Firms!$A$5:$A$1004,$T1727)="","",INDEX(Firms!$A$5:$A$1004,$T1727)),IF(INDEX('AFA Rates'!$A$5:$A$1004,$T1727)="","",INDEX('AFA Rates'!$A$5:$A$1004,$T1727))))</f>
        <v/>
      </c>
      <c r="B1727" s="79">
        <f>IF(OR($T1727="",$U1727=""),IF($T1727="","","Not on Firms tab"),INDEX(Firms!$B$5:$B$1004,$U1727)&amp;"")</f>
        <v/>
      </c>
      <c r="C1727" s="78">
        <f>IF($T1727="","",IF($S1727="S","Standard",INDEX('AFA Rates'!$B$5:$B$1004,$T1727)&amp;""))</f>
        <v/>
      </c>
      <c r="D1727" s="88">
        <f>IF($T1727="","",IF($S1727="S",IF(INDEX(Firms!$E$5:$E$1004,$T1727)="","",INDEX(Firms!$E$5:$E$1004,$T1727)),IF(INDEX('AFA Rates'!$C$5:$C$1004,$T1727)="","",INDEX('AFA Rates'!$C$5:$C$1004,$T1727))))</f>
        <v/>
      </c>
      <c r="E1727" s="88">
        <f>IF($T1727="","",IF($S1727="S",IF(""="","",""),IF(INDEX('AFA Rates'!$D$5:$D$1004,$T1727)="","",INDEX('AFA Rates'!$D$5:$D$1004,$T1727))))</f>
        <v/>
      </c>
      <c r="F1727" s="79">
        <f>IF($T1727="","",IF($S1727="S",IF(INDEX(Firms!$O$5:$O$1004,$T1727)="","",INDEX(Firms!$O$5:$O$1004,$T1727)),IF(INDEX('AFA Rates'!$O$5:$O$1004,$T1727)="","",INDEX('AFA Rates'!$O$5:$O$1004,$T1727))))</f>
        <v/>
      </c>
      <c r="G1727" s="50">
        <f>IF($T1727="","",IF($S1727="S",IF(INDEX(Firms!$F$5:$F$1004,$T1727)="","",INDEX(Firms!$F$5:$F$1004,$T1727)),IF(INDEX('AFA Rates'!$E$5:$E$1004,$T1727)="","",INDEX('AFA Rates'!$E$5:$E$1004,$T1727))))</f>
        <v/>
      </c>
      <c r="H1727" s="50">
        <f>IF($T1727="","",IF($S1727="S",IF(INDEX(Firms!$G$5:$G$1004,$T1727)="","",INDEX(Firms!$G$5:$G$1004,$T1727)),IF(INDEX('AFA Rates'!$F$5:$F$1004,$T1727)="","",INDEX('AFA Rates'!$F$5:$F$1004,$T1727))))</f>
        <v/>
      </c>
      <c r="I1727" s="50">
        <f>IF($T1727="","",IF($S1727="S",IF(INDEX(Firms!$H$5:$H$1004,$T1727)="","",INDEX(Firms!$H$5:$H$1004,$T1727)),IF(INDEX('AFA Rates'!$G$5:$G$1004,$T1727)="","",INDEX('AFA Rates'!$G$5:$G$1004,$T1727))))</f>
        <v/>
      </c>
      <c r="J1727" s="50">
        <f>IF($T1727="","",IF($S1727="S",IF(INDEX(Firms!$I$5:$I$1004,$T1727)="","",INDEX(Firms!$I$5:$I$1004,$T1727)),IF(INDEX('AFA Rates'!$H$5:$H$1004,$T1727)="","",INDEX('AFA Rates'!$H$5:$H$1004,$T1727))))</f>
        <v/>
      </c>
      <c r="K1727" s="50">
        <f>IF($T1727="","",IF($S1727="S",IF(INDEX(Firms!$J$5:$J$1004,$T1727)="","",INDEX(Firms!$J$5:$J$1004,$T1727)),IF(INDEX('AFA Rates'!$I$5:$I$1004,$T1727)="","",INDEX('AFA Rates'!$I$5:$I$1004,$T1727))))</f>
        <v/>
      </c>
      <c r="L1727" s="50">
        <f>IF($T1727="","",IF($S1727="S",IF(INDEX(Firms!$K$5:$K$1004,$T1727)="","",INDEX(Firms!$K$5:$K$1004,$T1727)),IF(INDEX('AFA Rates'!$J$5:$J$1004,$T1727)="","",INDEX('AFA Rates'!$J$5:$J$1004,$T1727))))</f>
        <v/>
      </c>
      <c r="M1727" s="50">
        <f>IF($T1727="","",IF($S1727="S",IF(INDEX(Firms!$L$5:$L$1004,$T1727)="","",INDEX(Firms!$L$5:$L$1004,$T1727)),IF(INDEX('AFA Rates'!$K$5:$K$1004,$T1727)="","",INDEX('AFA Rates'!$K$5:$K$1004,$T1727))))</f>
        <v/>
      </c>
      <c r="N1727" s="50">
        <f>IF($T1727="","",IF($S1727="S",IF(INDEX(Firms!$M$5:$M$1004,$T1727)="","",INDEX(Firms!$M$5:$M$1004,$T1727)),IF(INDEX('AFA Rates'!$L$5:$L$1004,$T1727)="","",INDEX('AFA Rates'!$L$5:$L$1004,$T1727))))</f>
        <v/>
      </c>
      <c r="O1727" s="78">
        <f>IF(OR($T1727="",$U1727=""),"",IF(INDEX(Firms!$C$5:$C$1004,$U1727)="","",INDEX(Firms!$C$5:$C$1004,$U1727)))</f>
        <v/>
      </c>
      <c r="P1727" s="79">
        <f>IF(OR($T1727="",$U1727=""),"",IF(INDEX(Firms!$N$5:$N$1004,$U1727)="","",INDEX(Firms!$N$5:$N$1004,$U1727)))</f>
        <v/>
      </c>
      <c r="Q1727" s="78">
        <f>IF($T1727="","",IF($S1727="S",IF(INDEX(Firms!$T$5:$T$1004,$T1727)="","",INDEX(Firms!$T$5:$T$1004,$T1727)),IF(INDEX('AFA Rates'!$M$5:$M$1004,$T1727)="","",INDEX('AFA Rates'!$M$5:$M$1004,$T1727))))</f>
        <v/>
      </c>
      <c r="S1727">
        <f>IF(1723&lt;=$S$2,"S",IF(1723&lt;=$S$2+$T$2,"A",""))</f>
        <v/>
      </c>
      <c r="T1727">
        <f>IF(S1727="S",MATCH(1723,Firms!$W$5:$W$1004,0),IF(S1727="A",IFERROR(MATCH(1723-$S$2,'AFA Rates'!$R$5:$R$1004,0),""),""))</f>
        <v/>
      </c>
      <c r="U1727">
        <f>IF(S1727="S",T1727,IF(AND(S1727="A",T1727&lt;&gt;""),IFERROR(MATCH(INDEX('AFA Rates'!$A$5:$A$1004,T1727),Firms!$A$5:$A$1004,0),""),""))</f>
        <v/>
      </c>
    </row>
    <row r="1728">
      <c r="A1728" s="78">
        <f>IF($T1728="","",IF($S1728="S",IF(INDEX(Firms!$A$5:$A$1004,$T1728)="","",INDEX(Firms!$A$5:$A$1004,$T1728)),IF(INDEX('AFA Rates'!$A$5:$A$1004,$T1728)="","",INDEX('AFA Rates'!$A$5:$A$1004,$T1728))))</f>
        <v/>
      </c>
      <c r="B1728" s="79">
        <f>IF(OR($T1728="",$U1728=""),IF($T1728="","","Not on Firms tab"),INDEX(Firms!$B$5:$B$1004,$U1728)&amp;"")</f>
        <v/>
      </c>
      <c r="C1728" s="78">
        <f>IF($T1728="","",IF($S1728="S","Standard",INDEX('AFA Rates'!$B$5:$B$1004,$T1728)&amp;""))</f>
        <v/>
      </c>
      <c r="D1728" s="88">
        <f>IF($T1728="","",IF($S1728="S",IF(INDEX(Firms!$E$5:$E$1004,$T1728)="","",INDEX(Firms!$E$5:$E$1004,$T1728)),IF(INDEX('AFA Rates'!$C$5:$C$1004,$T1728)="","",INDEX('AFA Rates'!$C$5:$C$1004,$T1728))))</f>
        <v/>
      </c>
      <c r="E1728" s="88">
        <f>IF($T1728="","",IF($S1728="S",IF(""="","",""),IF(INDEX('AFA Rates'!$D$5:$D$1004,$T1728)="","",INDEX('AFA Rates'!$D$5:$D$1004,$T1728))))</f>
        <v/>
      </c>
      <c r="F1728" s="79">
        <f>IF($T1728="","",IF($S1728="S",IF(INDEX(Firms!$O$5:$O$1004,$T1728)="","",INDEX(Firms!$O$5:$O$1004,$T1728)),IF(INDEX('AFA Rates'!$O$5:$O$1004,$T1728)="","",INDEX('AFA Rates'!$O$5:$O$1004,$T1728))))</f>
        <v/>
      </c>
      <c r="G1728" s="50">
        <f>IF($T1728="","",IF($S1728="S",IF(INDEX(Firms!$F$5:$F$1004,$T1728)="","",INDEX(Firms!$F$5:$F$1004,$T1728)),IF(INDEX('AFA Rates'!$E$5:$E$1004,$T1728)="","",INDEX('AFA Rates'!$E$5:$E$1004,$T1728))))</f>
        <v/>
      </c>
      <c r="H1728" s="50">
        <f>IF($T1728="","",IF($S1728="S",IF(INDEX(Firms!$G$5:$G$1004,$T1728)="","",INDEX(Firms!$G$5:$G$1004,$T1728)),IF(INDEX('AFA Rates'!$F$5:$F$1004,$T1728)="","",INDEX('AFA Rates'!$F$5:$F$1004,$T1728))))</f>
        <v/>
      </c>
      <c r="I1728" s="50">
        <f>IF($T1728="","",IF($S1728="S",IF(INDEX(Firms!$H$5:$H$1004,$T1728)="","",INDEX(Firms!$H$5:$H$1004,$T1728)),IF(INDEX('AFA Rates'!$G$5:$G$1004,$T1728)="","",INDEX('AFA Rates'!$G$5:$G$1004,$T1728))))</f>
        <v/>
      </c>
      <c r="J1728" s="50">
        <f>IF($T1728="","",IF($S1728="S",IF(INDEX(Firms!$I$5:$I$1004,$T1728)="","",INDEX(Firms!$I$5:$I$1004,$T1728)),IF(INDEX('AFA Rates'!$H$5:$H$1004,$T1728)="","",INDEX('AFA Rates'!$H$5:$H$1004,$T1728))))</f>
        <v/>
      </c>
      <c r="K1728" s="50">
        <f>IF($T1728="","",IF($S1728="S",IF(INDEX(Firms!$J$5:$J$1004,$T1728)="","",INDEX(Firms!$J$5:$J$1004,$T1728)),IF(INDEX('AFA Rates'!$I$5:$I$1004,$T1728)="","",INDEX('AFA Rates'!$I$5:$I$1004,$T1728))))</f>
        <v/>
      </c>
      <c r="L1728" s="50">
        <f>IF($T1728="","",IF($S1728="S",IF(INDEX(Firms!$K$5:$K$1004,$T1728)="","",INDEX(Firms!$K$5:$K$1004,$T1728)),IF(INDEX('AFA Rates'!$J$5:$J$1004,$T1728)="","",INDEX('AFA Rates'!$J$5:$J$1004,$T1728))))</f>
        <v/>
      </c>
      <c r="M1728" s="50">
        <f>IF($T1728="","",IF($S1728="S",IF(INDEX(Firms!$L$5:$L$1004,$T1728)="","",INDEX(Firms!$L$5:$L$1004,$T1728)),IF(INDEX('AFA Rates'!$K$5:$K$1004,$T1728)="","",INDEX('AFA Rates'!$K$5:$K$1004,$T1728))))</f>
        <v/>
      </c>
      <c r="N1728" s="50">
        <f>IF($T1728="","",IF($S1728="S",IF(INDEX(Firms!$M$5:$M$1004,$T1728)="","",INDEX(Firms!$M$5:$M$1004,$T1728)),IF(INDEX('AFA Rates'!$L$5:$L$1004,$T1728)="","",INDEX('AFA Rates'!$L$5:$L$1004,$T1728))))</f>
        <v/>
      </c>
      <c r="O1728" s="78">
        <f>IF(OR($T1728="",$U1728=""),"",IF(INDEX(Firms!$C$5:$C$1004,$U1728)="","",INDEX(Firms!$C$5:$C$1004,$U1728)))</f>
        <v/>
      </c>
      <c r="P1728" s="79">
        <f>IF(OR($T1728="",$U1728=""),"",IF(INDEX(Firms!$N$5:$N$1004,$U1728)="","",INDEX(Firms!$N$5:$N$1004,$U1728)))</f>
        <v/>
      </c>
      <c r="Q1728" s="78">
        <f>IF($T1728="","",IF($S1728="S",IF(INDEX(Firms!$T$5:$T$1004,$T1728)="","",INDEX(Firms!$T$5:$T$1004,$T1728)),IF(INDEX('AFA Rates'!$M$5:$M$1004,$T1728)="","",INDEX('AFA Rates'!$M$5:$M$1004,$T1728))))</f>
        <v/>
      </c>
      <c r="S1728">
        <f>IF(1724&lt;=$S$2,"S",IF(1724&lt;=$S$2+$T$2,"A",""))</f>
        <v/>
      </c>
      <c r="T1728">
        <f>IF(S1728="S",MATCH(1724,Firms!$W$5:$W$1004,0),IF(S1728="A",IFERROR(MATCH(1724-$S$2,'AFA Rates'!$R$5:$R$1004,0),""),""))</f>
        <v/>
      </c>
      <c r="U1728">
        <f>IF(S1728="S",T1728,IF(AND(S1728="A",T1728&lt;&gt;""),IFERROR(MATCH(INDEX('AFA Rates'!$A$5:$A$1004,T1728),Firms!$A$5:$A$1004,0),""),""))</f>
        <v/>
      </c>
    </row>
    <row r="1729">
      <c r="A1729" s="78">
        <f>IF($T1729="","",IF($S1729="S",IF(INDEX(Firms!$A$5:$A$1004,$T1729)="","",INDEX(Firms!$A$5:$A$1004,$T1729)),IF(INDEX('AFA Rates'!$A$5:$A$1004,$T1729)="","",INDEX('AFA Rates'!$A$5:$A$1004,$T1729))))</f>
        <v/>
      </c>
      <c r="B1729" s="79">
        <f>IF(OR($T1729="",$U1729=""),IF($T1729="","","Not on Firms tab"),INDEX(Firms!$B$5:$B$1004,$U1729)&amp;"")</f>
        <v/>
      </c>
      <c r="C1729" s="78">
        <f>IF($T1729="","",IF($S1729="S","Standard",INDEX('AFA Rates'!$B$5:$B$1004,$T1729)&amp;""))</f>
        <v/>
      </c>
      <c r="D1729" s="88">
        <f>IF($T1729="","",IF($S1729="S",IF(INDEX(Firms!$E$5:$E$1004,$T1729)="","",INDEX(Firms!$E$5:$E$1004,$T1729)),IF(INDEX('AFA Rates'!$C$5:$C$1004,$T1729)="","",INDEX('AFA Rates'!$C$5:$C$1004,$T1729))))</f>
        <v/>
      </c>
      <c r="E1729" s="88">
        <f>IF($T1729="","",IF($S1729="S",IF(""="","",""),IF(INDEX('AFA Rates'!$D$5:$D$1004,$T1729)="","",INDEX('AFA Rates'!$D$5:$D$1004,$T1729))))</f>
        <v/>
      </c>
      <c r="F1729" s="79">
        <f>IF($T1729="","",IF($S1729="S",IF(INDEX(Firms!$O$5:$O$1004,$T1729)="","",INDEX(Firms!$O$5:$O$1004,$T1729)),IF(INDEX('AFA Rates'!$O$5:$O$1004,$T1729)="","",INDEX('AFA Rates'!$O$5:$O$1004,$T1729))))</f>
        <v/>
      </c>
      <c r="G1729" s="50">
        <f>IF($T1729="","",IF($S1729="S",IF(INDEX(Firms!$F$5:$F$1004,$T1729)="","",INDEX(Firms!$F$5:$F$1004,$T1729)),IF(INDEX('AFA Rates'!$E$5:$E$1004,$T1729)="","",INDEX('AFA Rates'!$E$5:$E$1004,$T1729))))</f>
        <v/>
      </c>
      <c r="H1729" s="50">
        <f>IF($T1729="","",IF($S1729="S",IF(INDEX(Firms!$G$5:$G$1004,$T1729)="","",INDEX(Firms!$G$5:$G$1004,$T1729)),IF(INDEX('AFA Rates'!$F$5:$F$1004,$T1729)="","",INDEX('AFA Rates'!$F$5:$F$1004,$T1729))))</f>
        <v/>
      </c>
      <c r="I1729" s="50">
        <f>IF($T1729="","",IF($S1729="S",IF(INDEX(Firms!$H$5:$H$1004,$T1729)="","",INDEX(Firms!$H$5:$H$1004,$T1729)),IF(INDEX('AFA Rates'!$G$5:$G$1004,$T1729)="","",INDEX('AFA Rates'!$G$5:$G$1004,$T1729))))</f>
        <v/>
      </c>
      <c r="J1729" s="50">
        <f>IF($T1729="","",IF($S1729="S",IF(INDEX(Firms!$I$5:$I$1004,$T1729)="","",INDEX(Firms!$I$5:$I$1004,$T1729)),IF(INDEX('AFA Rates'!$H$5:$H$1004,$T1729)="","",INDEX('AFA Rates'!$H$5:$H$1004,$T1729))))</f>
        <v/>
      </c>
      <c r="K1729" s="50">
        <f>IF($T1729="","",IF($S1729="S",IF(INDEX(Firms!$J$5:$J$1004,$T1729)="","",INDEX(Firms!$J$5:$J$1004,$T1729)),IF(INDEX('AFA Rates'!$I$5:$I$1004,$T1729)="","",INDEX('AFA Rates'!$I$5:$I$1004,$T1729))))</f>
        <v/>
      </c>
      <c r="L1729" s="50">
        <f>IF($T1729="","",IF($S1729="S",IF(INDEX(Firms!$K$5:$K$1004,$T1729)="","",INDEX(Firms!$K$5:$K$1004,$T1729)),IF(INDEX('AFA Rates'!$J$5:$J$1004,$T1729)="","",INDEX('AFA Rates'!$J$5:$J$1004,$T1729))))</f>
        <v/>
      </c>
      <c r="M1729" s="50">
        <f>IF($T1729="","",IF($S1729="S",IF(INDEX(Firms!$L$5:$L$1004,$T1729)="","",INDEX(Firms!$L$5:$L$1004,$T1729)),IF(INDEX('AFA Rates'!$K$5:$K$1004,$T1729)="","",INDEX('AFA Rates'!$K$5:$K$1004,$T1729))))</f>
        <v/>
      </c>
      <c r="N1729" s="50">
        <f>IF($T1729="","",IF($S1729="S",IF(INDEX(Firms!$M$5:$M$1004,$T1729)="","",INDEX(Firms!$M$5:$M$1004,$T1729)),IF(INDEX('AFA Rates'!$L$5:$L$1004,$T1729)="","",INDEX('AFA Rates'!$L$5:$L$1004,$T1729))))</f>
        <v/>
      </c>
      <c r="O1729" s="78">
        <f>IF(OR($T1729="",$U1729=""),"",IF(INDEX(Firms!$C$5:$C$1004,$U1729)="","",INDEX(Firms!$C$5:$C$1004,$U1729)))</f>
        <v/>
      </c>
      <c r="P1729" s="79">
        <f>IF(OR($T1729="",$U1729=""),"",IF(INDEX(Firms!$N$5:$N$1004,$U1729)="","",INDEX(Firms!$N$5:$N$1004,$U1729)))</f>
        <v/>
      </c>
      <c r="Q1729" s="78">
        <f>IF($T1729="","",IF($S1729="S",IF(INDEX(Firms!$T$5:$T$1004,$T1729)="","",INDEX(Firms!$T$5:$T$1004,$T1729)),IF(INDEX('AFA Rates'!$M$5:$M$1004,$T1729)="","",INDEX('AFA Rates'!$M$5:$M$1004,$T1729))))</f>
        <v/>
      </c>
      <c r="S1729">
        <f>IF(1725&lt;=$S$2,"S",IF(1725&lt;=$S$2+$T$2,"A",""))</f>
        <v/>
      </c>
      <c r="T1729">
        <f>IF(S1729="S",MATCH(1725,Firms!$W$5:$W$1004,0),IF(S1729="A",IFERROR(MATCH(1725-$S$2,'AFA Rates'!$R$5:$R$1004,0),""),""))</f>
        <v/>
      </c>
      <c r="U1729">
        <f>IF(S1729="S",T1729,IF(AND(S1729="A",T1729&lt;&gt;""),IFERROR(MATCH(INDEX('AFA Rates'!$A$5:$A$1004,T1729),Firms!$A$5:$A$1004,0),""),""))</f>
        <v/>
      </c>
    </row>
    <row r="1730">
      <c r="A1730" s="78">
        <f>IF($T1730="","",IF($S1730="S",IF(INDEX(Firms!$A$5:$A$1004,$T1730)="","",INDEX(Firms!$A$5:$A$1004,$T1730)),IF(INDEX('AFA Rates'!$A$5:$A$1004,$T1730)="","",INDEX('AFA Rates'!$A$5:$A$1004,$T1730))))</f>
        <v/>
      </c>
      <c r="B1730" s="79">
        <f>IF(OR($T1730="",$U1730=""),IF($T1730="","","Not on Firms tab"),INDEX(Firms!$B$5:$B$1004,$U1730)&amp;"")</f>
        <v/>
      </c>
      <c r="C1730" s="78">
        <f>IF($T1730="","",IF($S1730="S","Standard",INDEX('AFA Rates'!$B$5:$B$1004,$T1730)&amp;""))</f>
        <v/>
      </c>
      <c r="D1730" s="88">
        <f>IF($T1730="","",IF($S1730="S",IF(INDEX(Firms!$E$5:$E$1004,$T1730)="","",INDEX(Firms!$E$5:$E$1004,$T1730)),IF(INDEX('AFA Rates'!$C$5:$C$1004,$T1730)="","",INDEX('AFA Rates'!$C$5:$C$1004,$T1730))))</f>
        <v/>
      </c>
      <c r="E1730" s="88">
        <f>IF($T1730="","",IF($S1730="S",IF(""="","",""),IF(INDEX('AFA Rates'!$D$5:$D$1004,$T1730)="","",INDEX('AFA Rates'!$D$5:$D$1004,$T1730))))</f>
        <v/>
      </c>
      <c r="F1730" s="79">
        <f>IF($T1730="","",IF($S1730="S",IF(INDEX(Firms!$O$5:$O$1004,$T1730)="","",INDEX(Firms!$O$5:$O$1004,$T1730)),IF(INDEX('AFA Rates'!$O$5:$O$1004,$T1730)="","",INDEX('AFA Rates'!$O$5:$O$1004,$T1730))))</f>
        <v/>
      </c>
      <c r="G1730" s="50">
        <f>IF($T1730="","",IF($S1730="S",IF(INDEX(Firms!$F$5:$F$1004,$T1730)="","",INDEX(Firms!$F$5:$F$1004,$T1730)),IF(INDEX('AFA Rates'!$E$5:$E$1004,$T1730)="","",INDEX('AFA Rates'!$E$5:$E$1004,$T1730))))</f>
        <v/>
      </c>
      <c r="H1730" s="50">
        <f>IF($T1730="","",IF($S1730="S",IF(INDEX(Firms!$G$5:$G$1004,$T1730)="","",INDEX(Firms!$G$5:$G$1004,$T1730)),IF(INDEX('AFA Rates'!$F$5:$F$1004,$T1730)="","",INDEX('AFA Rates'!$F$5:$F$1004,$T1730))))</f>
        <v/>
      </c>
      <c r="I1730" s="50">
        <f>IF($T1730="","",IF($S1730="S",IF(INDEX(Firms!$H$5:$H$1004,$T1730)="","",INDEX(Firms!$H$5:$H$1004,$T1730)),IF(INDEX('AFA Rates'!$G$5:$G$1004,$T1730)="","",INDEX('AFA Rates'!$G$5:$G$1004,$T1730))))</f>
        <v/>
      </c>
      <c r="J1730" s="50">
        <f>IF($T1730="","",IF($S1730="S",IF(INDEX(Firms!$I$5:$I$1004,$T1730)="","",INDEX(Firms!$I$5:$I$1004,$T1730)),IF(INDEX('AFA Rates'!$H$5:$H$1004,$T1730)="","",INDEX('AFA Rates'!$H$5:$H$1004,$T1730))))</f>
        <v/>
      </c>
      <c r="K1730" s="50">
        <f>IF($T1730="","",IF($S1730="S",IF(INDEX(Firms!$J$5:$J$1004,$T1730)="","",INDEX(Firms!$J$5:$J$1004,$T1730)),IF(INDEX('AFA Rates'!$I$5:$I$1004,$T1730)="","",INDEX('AFA Rates'!$I$5:$I$1004,$T1730))))</f>
        <v/>
      </c>
      <c r="L1730" s="50">
        <f>IF($T1730="","",IF($S1730="S",IF(INDEX(Firms!$K$5:$K$1004,$T1730)="","",INDEX(Firms!$K$5:$K$1004,$T1730)),IF(INDEX('AFA Rates'!$J$5:$J$1004,$T1730)="","",INDEX('AFA Rates'!$J$5:$J$1004,$T1730))))</f>
        <v/>
      </c>
      <c r="M1730" s="50">
        <f>IF($T1730="","",IF($S1730="S",IF(INDEX(Firms!$L$5:$L$1004,$T1730)="","",INDEX(Firms!$L$5:$L$1004,$T1730)),IF(INDEX('AFA Rates'!$K$5:$K$1004,$T1730)="","",INDEX('AFA Rates'!$K$5:$K$1004,$T1730))))</f>
        <v/>
      </c>
      <c r="N1730" s="50">
        <f>IF($T1730="","",IF($S1730="S",IF(INDEX(Firms!$M$5:$M$1004,$T1730)="","",INDEX(Firms!$M$5:$M$1004,$T1730)),IF(INDEX('AFA Rates'!$L$5:$L$1004,$T1730)="","",INDEX('AFA Rates'!$L$5:$L$1004,$T1730))))</f>
        <v/>
      </c>
      <c r="O1730" s="78">
        <f>IF(OR($T1730="",$U1730=""),"",IF(INDEX(Firms!$C$5:$C$1004,$U1730)="","",INDEX(Firms!$C$5:$C$1004,$U1730)))</f>
        <v/>
      </c>
      <c r="P1730" s="79">
        <f>IF(OR($T1730="",$U1730=""),"",IF(INDEX(Firms!$N$5:$N$1004,$U1730)="","",INDEX(Firms!$N$5:$N$1004,$U1730)))</f>
        <v/>
      </c>
      <c r="Q1730" s="78">
        <f>IF($T1730="","",IF($S1730="S",IF(INDEX(Firms!$T$5:$T$1004,$T1730)="","",INDEX(Firms!$T$5:$T$1004,$T1730)),IF(INDEX('AFA Rates'!$M$5:$M$1004,$T1730)="","",INDEX('AFA Rates'!$M$5:$M$1004,$T1730))))</f>
        <v/>
      </c>
      <c r="S1730">
        <f>IF(1726&lt;=$S$2,"S",IF(1726&lt;=$S$2+$T$2,"A",""))</f>
        <v/>
      </c>
      <c r="T1730">
        <f>IF(S1730="S",MATCH(1726,Firms!$W$5:$W$1004,0),IF(S1730="A",IFERROR(MATCH(1726-$S$2,'AFA Rates'!$R$5:$R$1004,0),""),""))</f>
        <v/>
      </c>
      <c r="U1730">
        <f>IF(S1730="S",T1730,IF(AND(S1730="A",T1730&lt;&gt;""),IFERROR(MATCH(INDEX('AFA Rates'!$A$5:$A$1004,T1730),Firms!$A$5:$A$1004,0),""),""))</f>
        <v/>
      </c>
    </row>
    <row r="1731">
      <c r="A1731" s="78">
        <f>IF($T1731="","",IF($S1731="S",IF(INDEX(Firms!$A$5:$A$1004,$T1731)="","",INDEX(Firms!$A$5:$A$1004,$T1731)),IF(INDEX('AFA Rates'!$A$5:$A$1004,$T1731)="","",INDEX('AFA Rates'!$A$5:$A$1004,$T1731))))</f>
        <v/>
      </c>
      <c r="B1731" s="79">
        <f>IF(OR($T1731="",$U1731=""),IF($T1731="","","Not on Firms tab"),INDEX(Firms!$B$5:$B$1004,$U1731)&amp;"")</f>
        <v/>
      </c>
      <c r="C1731" s="78">
        <f>IF($T1731="","",IF($S1731="S","Standard",INDEX('AFA Rates'!$B$5:$B$1004,$T1731)&amp;""))</f>
        <v/>
      </c>
      <c r="D1731" s="88">
        <f>IF($T1731="","",IF($S1731="S",IF(INDEX(Firms!$E$5:$E$1004,$T1731)="","",INDEX(Firms!$E$5:$E$1004,$T1731)),IF(INDEX('AFA Rates'!$C$5:$C$1004,$T1731)="","",INDEX('AFA Rates'!$C$5:$C$1004,$T1731))))</f>
        <v/>
      </c>
      <c r="E1731" s="88">
        <f>IF($T1731="","",IF($S1731="S",IF(""="","",""),IF(INDEX('AFA Rates'!$D$5:$D$1004,$T1731)="","",INDEX('AFA Rates'!$D$5:$D$1004,$T1731))))</f>
        <v/>
      </c>
      <c r="F1731" s="79">
        <f>IF($T1731="","",IF($S1731="S",IF(INDEX(Firms!$O$5:$O$1004,$T1731)="","",INDEX(Firms!$O$5:$O$1004,$T1731)),IF(INDEX('AFA Rates'!$O$5:$O$1004,$T1731)="","",INDEX('AFA Rates'!$O$5:$O$1004,$T1731))))</f>
        <v/>
      </c>
      <c r="G1731" s="50">
        <f>IF($T1731="","",IF($S1731="S",IF(INDEX(Firms!$F$5:$F$1004,$T1731)="","",INDEX(Firms!$F$5:$F$1004,$T1731)),IF(INDEX('AFA Rates'!$E$5:$E$1004,$T1731)="","",INDEX('AFA Rates'!$E$5:$E$1004,$T1731))))</f>
        <v/>
      </c>
      <c r="H1731" s="50">
        <f>IF($T1731="","",IF($S1731="S",IF(INDEX(Firms!$G$5:$G$1004,$T1731)="","",INDEX(Firms!$G$5:$G$1004,$T1731)),IF(INDEX('AFA Rates'!$F$5:$F$1004,$T1731)="","",INDEX('AFA Rates'!$F$5:$F$1004,$T1731))))</f>
        <v/>
      </c>
      <c r="I1731" s="50">
        <f>IF($T1731="","",IF($S1731="S",IF(INDEX(Firms!$H$5:$H$1004,$T1731)="","",INDEX(Firms!$H$5:$H$1004,$T1731)),IF(INDEX('AFA Rates'!$G$5:$G$1004,$T1731)="","",INDEX('AFA Rates'!$G$5:$G$1004,$T1731))))</f>
        <v/>
      </c>
      <c r="J1731" s="50">
        <f>IF($T1731="","",IF($S1731="S",IF(INDEX(Firms!$I$5:$I$1004,$T1731)="","",INDEX(Firms!$I$5:$I$1004,$T1731)),IF(INDEX('AFA Rates'!$H$5:$H$1004,$T1731)="","",INDEX('AFA Rates'!$H$5:$H$1004,$T1731))))</f>
        <v/>
      </c>
      <c r="K1731" s="50">
        <f>IF($T1731="","",IF($S1731="S",IF(INDEX(Firms!$J$5:$J$1004,$T1731)="","",INDEX(Firms!$J$5:$J$1004,$T1731)),IF(INDEX('AFA Rates'!$I$5:$I$1004,$T1731)="","",INDEX('AFA Rates'!$I$5:$I$1004,$T1731))))</f>
        <v/>
      </c>
      <c r="L1731" s="50">
        <f>IF($T1731="","",IF($S1731="S",IF(INDEX(Firms!$K$5:$K$1004,$T1731)="","",INDEX(Firms!$K$5:$K$1004,$T1731)),IF(INDEX('AFA Rates'!$J$5:$J$1004,$T1731)="","",INDEX('AFA Rates'!$J$5:$J$1004,$T1731))))</f>
        <v/>
      </c>
      <c r="M1731" s="50">
        <f>IF($T1731="","",IF($S1731="S",IF(INDEX(Firms!$L$5:$L$1004,$T1731)="","",INDEX(Firms!$L$5:$L$1004,$T1731)),IF(INDEX('AFA Rates'!$K$5:$K$1004,$T1731)="","",INDEX('AFA Rates'!$K$5:$K$1004,$T1731))))</f>
        <v/>
      </c>
      <c r="N1731" s="50">
        <f>IF($T1731="","",IF($S1731="S",IF(INDEX(Firms!$M$5:$M$1004,$T1731)="","",INDEX(Firms!$M$5:$M$1004,$T1731)),IF(INDEX('AFA Rates'!$L$5:$L$1004,$T1731)="","",INDEX('AFA Rates'!$L$5:$L$1004,$T1731))))</f>
        <v/>
      </c>
      <c r="O1731" s="78">
        <f>IF(OR($T1731="",$U1731=""),"",IF(INDEX(Firms!$C$5:$C$1004,$U1731)="","",INDEX(Firms!$C$5:$C$1004,$U1731)))</f>
        <v/>
      </c>
      <c r="P1731" s="79">
        <f>IF(OR($T1731="",$U1731=""),"",IF(INDEX(Firms!$N$5:$N$1004,$U1731)="","",INDEX(Firms!$N$5:$N$1004,$U1731)))</f>
        <v/>
      </c>
      <c r="Q1731" s="78">
        <f>IF($T1731="","",IF($S1731="S",IF(INDEX(Firms!$T$5:$T$1004,$T1731)="","",INDEX(Firms!$T$5:$T$1004,$T1731)),IF(INDEX('AFA Rates'!$M$5:$M$1004,$T1731)="","",INDEX('AFA Rates'!$M$5:$M$1004,$T1731))))</f>
        <v/>
      </c>
      <c r="S1731">
        <f>IF(1727&lt;=$S$2,"S",IF(1727&lt;=$S$2+$T$2,"A",""))</f>
        <v/>
      </c>
      <c r="T1731">
        <f>IF(S1731="S",MATCH(1727,Firms!$W$5:$W$1004,0),IF(S1731="A",IFERROR(MATCH(1727-$S$2,'AFA Rates'!$R$5:$R$1004,0),""),""))</f>
        <v/>
      </c>
      <c r="U1731">
        <f>IF(S1731="S",T1731,IF(AND(S1731="A",T1731&lt;&gt;""),IFERROR(MATCH(INDEX('AFA Rates'!$A$5:$A$1004,T1731),Firms!$A$5:$A$1004,0),""),""))</f>
        <v/>
      </c>
    </row>
    <row r="1732">
      <c r="A1732" s="78">
        <f>IF($T1732="","",IF($S1732="S",IF(INDEX(Firms!$A$5:$A$1004,$T1732)="","",INDEX(Firms!$A$5:$A$1004,$T1732)),IF(INDEX('AFA Rates'!$A$5:$A$1004,$T1732)="","",INDEX('AFA Rates'!$A$5:$A$1004,$T1732))))</f>
        <v/>
      </c>
      <c r="B1732" s="79">
        <f>IF(OR($T1732="",$U1732=""),IF($T1732="","","Not on Firms tab"),INDEX(Firms!$B$5:$B$1004,$U1732)&amp;"")</f>
        <v/>
      </c>
      <c r="C1732" s="78">
        <f>IF($T1732="","",IF($S1732="S","Standard",INDEX('AFA Rates'!$B$5:$B$1004,$T1732)&amp;""))</f>
        <v/>
      </c>
      <c r="D1732" s="88">
        <f>IF($T1732="","",IF($S1732="S",IF(INDEX(Firms!$E$5:$E$1004,$T1732)="","",INDEX(Firms!$E$5:$E$1004,$T1732)),IF(INDEX('AFA Rates'!$C$5:$C$1004,$T1732)="","",INDEX('AFA Rates'!$C$5:$C$1004,$T1732))))</f>
        <v/>
      </c>
      <c r="E1732" s="88">
        <f>IF($T1732="","",IF($S1732="S",IF(""="","",""),IF(INDEX('AFA Rates'!$D$5:$D$1004,$T1732)="","",INDEX('AFA Rates'!$D$5:$D$1004,$T1732))))</f>
        <v/>
      </c>
      <c r="F1732" s="79">
        <f>IF($T1732="","",IF($S1732="S",IF(INDEX(Firms!$O$5:$O$1004,$T1732)="","",INDEX(Firms!$O$5:$O$1004,$T1732)),IF(INDEX('AFA Rates'!$O$5:$O$1004,$T1732)="","",INDEX('AFA Rates'!$O$5:$O$1004,$T1732))))</f>
        <v/>
      </c>
      <c r="G1732" s="50">
        <f>IF($T1732="","",IF($S1732="S",IF(INDEX(Firms!$F$5:$F$1004,$T1732)="","",INDEX(Firms!$F$5:$F$1004,$T1732)),IF(INDEX('AFA Rates'!$E$5:$E$1004,$T1732)="","",INDEX('AFA Rates'!$E$5:$E$1004,$T1732))))</f>
        <v/>
      </c>
      <c r="H1732" s="50">
        <f>IF($T1732="","",IF($S1732="S",IF(INDEX(Firms!$G$5:$G$1004,$T1732)="","",INDEX(Firms!$G$5:$G$1004,$T1732)),IF(INDEX('AFA Rates'!$F$5:$F$1004,$T1732)="","",INDEX('AFA Rates'!$F$5:$F$1004,$T1732))))</f>
        <v/>
      </c>
      <c r="I1732" s="50">
        <f>IF($T1732="","",IF($S1732="S",IF(INDEX(Firms!$H$5:$H$1004,$T1732)="","",INDEX(Firms!$H$5:$H$1004,$T1732)),IF(INDEX('AFA Rates'!$G$5:$G$1004,$T1732)="","",INDEX('AFA Rates'!$G$5:$G$1004,$T1732))))</f>
        <v/>
      </c>
      <c r="J1732" s="50">
        <f>IF($T1732="","",IF($S1732="S",IF(INDEX(Firms!$I$5:$I$1004,$T1732)="","",INDEX(Firms!$I$5:$I$1004,$T1732)),IF(INDEX('AFA Rates'!$H$5:$H$1004,$T1732)="","",INDEX('AFA Rates'!$H$5:$H$1004,$T1732))))</f>
        <v/>
      </c>
      <c r="K1732" s="50">
        <f>IF($T1732="","",IF($S1732="S",IF(INDEX(Firms!$J$5:$J$1004,$T1732)="","",INDEX(Firms!$J$5:$J$1004,$T1732)),IF(INDEX('AFA Rates'!$I$5:$I$1004,$T1732)="","",INDEX('AFA Rates'!$I$5:$I$1004,$T1732))))</f>
        <v/>
      </c>
      <c r="L1732" s="50">
        <f>IF($T1732="","",IF($S1732="S",IF(INDEX(Firms!$K$5:$K$1004,$T1732)="","",INDEX(Firms!$K$5:$K$1004,$T1732)),IF(INDEX('AFA Rates'!$J$5:$J$1004,$T1732)="","",INDEX('AFA Rates'!$J$5:$J$1004,$T1732))))</f>
        <v/>
      </c>
      <c r="M1732" s="50">
        <f>IF($T1732="","",IF($S1732="S",IF(INDEX(Firms!$L$5:$L$1004,$T1732)="","",INDEX(Firms!$L$5:$L$1004,$T1732)),IF(INDEX('AFA Rates'!$K$5:$K$1004,$T1732)="","",INDEX('AFA Rates'!$K$5:$K$1004,$T1732))))</f>
        <v/>
      </c>
      <c r="N1732" s="50">
        <f>IF($T1732="","",IF($S1732="S",IF(INDEX(Firms!$M$5:$M$1004,$T1732)="","",INDEX(Firms!$M$5:$M$1004,$T1732)),IF(INDEX('AFA Rates'!$L$5:$L$1004,$T1732)="","",INDEX('AFA Rates'!$L$5:$L$1004,$T1732))))</f>
        <v/>
      </c>
      <c r="O1732" s="78">
        <f>IF(OR($T1732="",$U1732=""),"",IF(INDEX(Firms!$C$5:$C$1004,$U1732)="","",INDEX(Firms!$C$5:$C$1004,$U1732)))</f>
        <v/>
      </c>
      <c r="P1732" s="79">
        <f>IF(OR($T1732="",$U1732=""),"",IF(INDEX(Firms!$N$5:$N$1004,$U1732)="","",INDEX(Firms!$N$5:$N$1004,$U1732)))</f>
        <v/>
      </c>
      <c r="Q1732" s="78">
        <f>IF($T1732="","",IF($S1732="S",IF(INDEX(Firms!$T$5:$T$1004,$T1732)="","",INDEX(Firms!$T$5:$T$1004,$T1732)),IF(INDEX('AFA Rates'!$M$5:$M$1004,$T1732)="","",INDEX('AFA Rates'!$M$5:$M$1004,$T1732))))</f>
        <v/>
      </c>
      <c r="S1732">
        <f>IF(1728&lt;=$S$2,"S",IF(1728&lt;=$S$2+$T$2,"A",""))</f>
        <v/>
      </c>
      <c r="T1732">
        <f>IF(S1732="S",MATCH(1728,Firms!$W$5:$W$1004,0),IF(S1732="A",IFERROR(MATCH(1728-$S$2,'AFA Rates'!$R$5:$R$1004,0),""),""))</f>
        <v/>
      </c>
      <c r="U1732">
        <f>IF(S1732="S",T1732,IF(AND(S1732="A",T1732&lt;&gt;""),IFERROR(MATCH(INDEX('AFA Rates'!$A$5:$A$1004,T1732),Firms!$A$5:$A$1004,0),""),""))</f>
        <v/>
      </c>
    </row>
    <row r="1733">
      <c r="A1733" s="78">
        <f>IF($T1733="","",IF($S1733="S",IF(INDEX(Firms!$A$5:$A$1004,$T1733)="","",INDEX(Firms!$A$5:$A$1004,$T1733)),IF(INDEX('AFA Rates'!$A$5:$A$1004,$T1733)="","",INDEX('AFA Rates'!$A$5:$A$1004,$T1733))))</f>
        <v/>
      </c>
      <c r="B1733" s="79">
        <f>IF(OR($T1733="",$U1733=""),IF($T1733="","","Not on Firms tab"),INDEX(Firms!$B$5:$B$1004,$U1733)&amp;"")</f>
        <v/>
      </c>
      <c r="C1733" s="78">
        <f>IF($T1733="","",IF($S1733="S","Standard",INDEX('AFA Rates'!$B$5:$B$1004,$T1733)&amp;""))</f>
        <v/>
      </c>
      <c r="D1733" s="88">
        <f>IF($T1733="","",IF($S1733="S",IF(INDEX(Firms!$E$5:$E$1004,$T1733)="","",INDEX(Firms!$E$5:$E$1004,$T1733)),IF(INDEX('AFA Rates'!$C$5:$C$1004,$T1733)="","",INDEX('AFA Rates'!$C$5:$C$1004,$T1733))))</f>
        <v/>
      </c>
      <c r="E1733" s="88">
        <f>IF($T1733="","",IF($S1733="S",IF(""="","",""),IF(INDEX('AFA Rates'!$D$5:$D$1004,$T1733)="","",INDEX('AFA Rates'!$D$5:$D$1004,$T1733))))</f>
        <v/>
      </c>
      <c r="F1733" s="79">
        <f>IF($T1733="","",IF($S1733="S",IF(INDEX(Firms!$O$5:$O$1004,$T1733)="","",INDEX(Firms!$O$5:$O$1004,$T1733)),IF(INDEX('AFA Rates'!$O$5:$O$1004,$T1733)="","",INDEX('AFA Rates'!$O$5:$O$1004,$T1733))))</f>
        <v/>
      </c>
      <c r="G1733" s="50">
        <f>IF($T1733="","",IF($S1733="S",IF(INDEX(Firms!$F$5:$F$1004,$T1733)="","",INDEX(Firms!$F$5:$F$1004,$T1733)),IF(INDEX('AFA Rates'!$E$5:$E$1004,$T1733)="","",INDEX('AFA Rates'!$E$5:$E$1004,$T1733))))</f>
        <v/>
      </c>
      <c r="H1733" s="50">
        <f>IF($T1733="","",IF($S1733="S",IF(INDEX(Firms!$G$5:$G$1004,$T1733)="","",INDEX(Firms!$G$5:$G$1004,$T1733)),IF(INDEX('AFA Rates'!$F$5:$F$1004,$T1733)="","",INDEX('AFA Rates'!$F$5:$F$1004,$T1733))))</f>
        <v/>
      </c>
      <c r="I1733" s="50">
        <f>IF($T1733="","",IF($S1733="S",IF(INDEX(Firms!$H$5:$H$1004,$T1733)="","",INDEX(Firms!$H$5:$H$1004,$T1733)),IF(INDEX('AFA Rates'!$G$5:$G$1004,$T1733)="","",INDEX('AFA Rates'!$G$5:$G$1004,$T1733))))</f>
        <v/>
      </c>
      <c r="J1733" s="50">
        <f>IF($T1733="","",IF($S1733="S",IF(INDEX(Firms!$I$5:$I$1004,$T1733)="","",INDEX(Firms!$I$5:$I$1004,$T1733)),IF(INDEX('AFA Rates'!$H$5:$H$1004,$T1733)="","",INDEX('AFA Rates'!$H$5:$H$1004,$T1733))))</f>
        <v/>
      </c>
      <c r="K1733" s="50">
        <f>IF($T1733="","",IF($S1733="S",IF(INDEX(Firms!$J$5:$J$1004,$T1733)="","",INDEX(Firms!$J$5:$J$1004,$T1733)),IF(INDEX('AFA Rates'!$I$5:$I$1004,$T1733)="","",INDEX('AFA Rates'!$I$5:$I$1004,$T1733))))</f>
        <v/>
      </c>
      <c r="L1733" s="50">
        <f>IF($T1733="","",IF($S1733="S",IF(INDEX(Firms!$K$5:$K$1004,$T1733)="","",INDEX(Firms!$K$5:$K$1004,$T1733)),IF(INDEX('AFA Rates'!$J$5:$J$1004,$T1733)="","",INDEX('AFA Rates'!$J$5:$J$1004,$T1733))))</f>
        <v/>
      </c>
      <c r="M1733" s="50">
        <f>IF($T1733="","",IF($S1733="S",IF(INDEX(Firms!$L$5:$L$1004,$T1733)="","",INDEX(Firms!$L$5:$L$1004,$T1733)),IF(INDEX('AFA Rates'!$K$5:$K$1004,$T1733)="","",INDEX('AFA Rates'!$K$5:$K$1004,$T1733))))</f>
        <v/>
      </c>
      <c r="N1733" s="50">
        <f>IF($T1733="","",IF($S1733="S",IF(INDEX(Firms!$M$5:$M$1004,$T1733)="","",INDEX(Firms!$M$5:$M$1004,$T1733)),IF(INDEX('AFA Rates'!$L$5:$L$1004,$T1733)="","",INDEX('AFA Rates'!$L$5:$L$1004,$T1733))))</f>
        <v/>
      </c>
      <c r="O1733" s="78">
        <f>IF(OR($T1733="",$U1733=""),"",IF(INDEX(Firms!$C$5:$C$1004,$U1733)="","",INDEX(Firms!$C$5:$C$1004,$U1733)))</f>
        <v/>
      </c>
      <c r="P1733" s="79">
        <f>IF(OR($T1733="",$U1733=""),"",IF(INDEX(Firms!$N$5:$N$1004,$U1733)="","",INDEX(Firms!$N$5:$N$1004,$U1733)))</f>
        <v/>
      </c>
      <c r="Q1733" s="78">
        <f>IF($T1733="","",IF($S1733="S",IF(INDEX(Firms!$T$5:$T$1004,$T1733)="","",INDEX(Firms!$T$5:$T$1004,$T1733)),IF(INDEX('AFA Rates'!$M$5:$M$1004,$T1733)="","",INDEX('AFA Rates'!$M$5:$M$1004,$T1733))))</f>
        <v/>
      </c>
      <c r="S1733">
        <f>IF(1729&lt;=$S$2,"S",IF(1729&lt;=$S$2+$T$2,"A",""))</f>
        <v/>
      </c>
      <c r="T1733">
        <f>IF(S1733="S",MATCH(1729,Firms!$W$5:$W$1004,0),IF(S1733="A",IFERROR(MATCH(1729-$S$2,'AFA Rates'!$R$5:$R$1004,0),""),""))</f>
        <v/>
      </c>
      <c r="U1733">
        <f>IF(S1733="S",T1733,IF(AND(S1733="A",T1733&lt;&gt;""),IFERROR(MATCH(INDEX('AFA Rates'!$A$5:$A$1004,T1733),Firms!$A$5:$A$1004,0),""),""))</f>
        <v/>
      </c>
    </row>
    <row r="1734">
      <c r="A1734" s="78">
        <f>IF($T1734="","",IF($S1734="S",IF(INDEX(Firms!$A$5:$A$1004,$T1734)="","",INDEX(Firms!$A$5:$A$1004,$T1734)),IF(INDEX('AFA Rates'!$A$5:$A$1004,$T1734)="","",INDEX('AFA Rates'!$A$5:$A$1004,$T1734))))</f>
        <v/>
      </c>
      <c r="B1734" s="79">
        <f>IF(OR($T1734="",$U1734=""),IF($T1734="","","Not on Firms tab"),INDEX(Firms!$B$5:$B$1004,$U1734)&amp;"")</f>
        <v/>
      </c>
      <c r="C1734" s="78">
        <f>IF($T1734="","",IF($S1734="S","Standard",INDEX('AFA Rates'!$B$5:$B$1004,$T1734)&amp;""))</f>
        <v/>
      </c>
      <c r="D1734" s="88">
        <f>IF($T1734="","",IF($S1734="S",IF(INDEX(Firms!$E$5:$E$1004,$T1734)="","",INDEX(Firms!$E$5:$E$1004,$T1734)),IF(INDEX('AFA Rates'!$C$5:$C$1004,$T1734)="","",INDEX('AFA Rates'!$C$5:$C$1004,$T1734))))</f>
        <v/>
      </c>
      <c r="E1734" s="88">
        <f>IF($T1734="","",IF($S1734="S",IF(""="","",""),IF(INDEX('AFA Rates'!$D$5:$D$1004,$T1734)="","",INDEX('AFA Rates'!$D$5:$D$1004,$T1734))))</f>
        <v/>
      </c>
      <c r="F1734" s="79">
        <f>IF($T1734="","",IF($S1734="S",IF(INDEX(Firms!$O$5:$O$1004,$T1734)="","",INDEX(Firms!$O$5:$O$1004,$T1734)),IF(INDEX('AFA Rates'!$O$5:$O$1004,$T1734)="","",INDEX('AFA Rates'!$O$5:$O$1004,$T1734))))</f>
        <v/>
      </c>
      <c r="G1734" s="50">
        <f>IF($T1734="","",IF($S1734="S",IF(INDEX(Firms!$F$5:$F$1004,$T1734)="","",INDEX(Firms!$F$5:$F$1004,$T1734)),IF(INDEX('AFA Rates'!$E$5:$E$1004,$T1734)="","",INDEX('AFA Rates'!$E$5:$E$1004,$T1734))))</f>
        <v/>
      </c>
      <c r="H1734" s="50">
        <f>IF($T1734="","",IF($S1734="S",IF(INDEX(Firms!$G$5:$G$1004,$T1734)="","",INDEX(Firms!$G$5:$G$1004,$T1734)),IF(INDEX('AFA Rates'!$F$5:$F$1004,$T1734)="","",INDEX('AFA Rates'!$F$5:$F$1004,$T1734))))</f>
        <v/>
      </c>
      <c r="I1734" s="50">
        <f>IF($T1734="","",IF($S1734="S",IF(INDEX(Firms!$H$5:$H$1004,$T1734)="","",INDEX(Firms!$H$5:$H$1004,$T1734)),IF(INDEX('AFA Rates'!$G$5:$G$1004,$T1734)="","",INDEX('AFA Rates'!$G$5:$G$1004,$T1734))))</f>
        <v/>
      </c>
      <c r="J1734" s="50">
        <f>IF($T1734="","",IF($S1734="S",IF(INDEX(Firms!$I$5:$I$1004,$T1734)="","",INDEX(Firms!$I$5:$I$1004,$T1734)),IF(INDEX('AFA Rates'!$H$5:$H$1004,$T1734)="","",INDEX('AFA Rates'!$H$5:$H$1004,$T1734))))</f>
        <v/>
      </c>
      <c r="K1734" s="50">
        <f>IF($T1734="","",IF($S1734="S",IF(INDEX(Firms!$J$5:$J$1004,$T1734)="","",INDEX(Firms!$J$5:$J$1004,$T1734)),IF(INDEX('AFA Rates'!$I$5:$I$1004,$T1734)="","",INDEX('AFA Rates'!$I$5:$I$1004,$T1734))))</f>
        <v/>
      </c>
      <c r="L1734" s="50">
        <f>IF($T1734="","",IF($S1734="S",IF(INDEX(Firms!$K$5:$K$1004,$T1734)="","",INDEX(Firms!$K$5:$K$1004,$T1734)),IF(INDEX('AFA Rates'!$J$5:$J$1004,$T1734)="","",INDEX('AFA Rates'!$J$5:$J$1004,$T1734))))</f>
        <v/>
      </c>
      <c r="M1734" s="50">
        <f>IF($T1734="","",IF($S1734="S",IF(INDEX(Firms!$L$5:$L$1004,$T1734)="","",INDEX(Firms!$L$5:$L$1004,$T1734)),IF(INDEX('AFA Rates'!$K$5:$K$1004,$T1734)="","",INDEX('AFA Rates'!$K$5:$K$1004,$T1734))))</f>
        <v/>
      </c>
      <c r="N1734" s="50">
        <f>IF($T1734="","",IF($S1734="S",IF(INDEX(Firms!$M$5:$M$1004,$T1734)="","",INDEX(Firms!$M$5:$M$1004,$T1734)),IF(INDEX('AFA Rates'!$L$5:$L$1004,$T1734)="","",INDEX('AFA Rates'!$L$5:$L$1004,$T1734))))</f>
        <v/>
      </c>
      <c r="O1734" s="78">
        <f>IF(OR($T1734="",$U1734=""),"",IF(INDEX(Firms!$C$5:$C$1004,$U1734)="","",INDEX(Firms!$C$5:$C$1004,$U1734)))</f>
        <v/>
      </c>
      <c r="P1734" s="79">
        <f>IF(OR($T1734="",$U1734=""),"",IF(INDEX(Firms!$N$5:$N$1004,$U1734)="","",INDEX(Firms!$N$5:$N$1004,$U1734)))</f>
        <v/>
      </c>
      <c r="Q1734" s="78">
        <f>IF($T1734="","",IF($S1734="S",IF(INDEX(Firms!$T$5:$T$1004,$T1734)="","",INDEX(Firms!$T$5:$T$1004,$T1734)),IF(INDEX('AFA Rates'!$M$5:$M$1004,$T1734)="","",INDEX('AFA Rates'!$M$5:$M$1004,$T1734))))</f>
        <v/>
      </c>
      <c r="S1734">
        <f>IF(1730&lt;=$S$2,"S",IF(1730&lt;=$S$2+$T$2,"A",""))</f>
        <v/>
      </c>
      <c r="T1734">
        <f>IF(S1734="S",MATCH(1730,Firms!$W$5:$W$1004,0),IF(S1734="A",IFERROR(MATCH(1730-$S$2,'AFA Rates'!$R$5:$R$1004,0),""),""))</f>
        <v/>
      </c>
      <c r="U1734">
        <f>IF(S1734="S",T1734,IF(AND(S1734="A",T1734&lt;&gt;""),IFERROR(MATCH(INDEX('AFA Rates'!$A$5:$A$1004,T1734),Firms!$A$5:$A$1004,0),""),""))</f>
        <v/>
      </c>
    </row>
    <row r="1735">
      <c r="A1735" s="78">
        <f>IF($T1735="","",IF($S1735="S",IF(INDEX(Firms!$A$5:$A$1004,$T1735)="","",INDEX(Firms!$A$5:$A$1004,$T1735)),IF(INDEX('AFA Rates'!$A$5:$A$1004,$T1735)="","",INDEX('AFA Rates'!$A$5:$A$1004,$T1735))))</f>
        <v/>
      </c>
      <c r="B1735" s="79">
        <f>IF(OR($T1735="",$U1735=""),IF($T1735="","","Not on Firms tab"),INDEX(Firms!$B$5:$B$1004,$U1735)&amp;"")</f>
        <v/>
      </c>
      <c r="C1735" s="78">
        <f>IF($T1735="","",IF($S1735="S","Standard",INDEX('AFA Rates'!$B$5:$B$1004,$T1735)&amp;""))</f>
        <v/>
      </c>
      <c r="D1735" s="88">
        <f>IF($T1735="","",IF($S1735="S",IF(INDEX(Firms!$E$5:$E$1004,$T1735)="","",INDEX(Firms!$E$5:$E$1004,$T1735)),IF(INDEX('AFA Rates'!$C$5:$C$1004,$T1735)="","",INDEX('AFA Rates'!$C$5:$C$1004,$T1735))))</f>
        <v/>
      </c>
      <c r="E1735" s="88">
        <f>IF($T1735="","",IF($S1735="S",IF(""="","",""),IF(INDEX('AFA Rates'!$D$5:$D$1004,$T1735)="","",INDEX('AFA Rates'!$D$5:$D$1004,$T1735))))</f>
        <v/>
      </c>
      <c r="F1735" s="79">
        <f>IF($T1735="","",IF($S1735="S",IF(INDEX(Firms!$O$5:$O$1004,$T1735)="","",INDEX(Firms!$O$5:$O$1004,$T1735)),IF(INDEX('AFA Rates'!$O$5:$O$1004,$T1735)="","",INDEX('AFA Rates'!$O$5:$O$1004,$T1735))))</f>
        <v/>
      </c>
      <c r="G1735" s="50">
        <f>IF($T1735="","",IF($S1735="S",IF(INDEX(Firms!$F$5:$F$1004,$T1735)="","",INDEX(Firms!$F$5:$F$1004,$T1735)),IF(INDEX('AFA Rates'!$E$5:$E$1004,$T1735)="","",INDEX('AFA Rates'!$E$5:$E$1004,$T1735))))</f>
        <v/>
      </c>
      <c r="H1735" s="50">
        <f>IF($T1735="","",IF($S1735="S",IF(INDEX(Firms!$G$5:$G$1004,$T1735)="","",INDEX(Firms!$G$5:$G$1004,$T1735)),IF(INDEX('AFA Rates'!$F$5:$F$1004,$T1735)="","",INDEX('AFA Rates'!$F$5:$F$1004,$T1735))))</f>
        <v/>
      </c>
      <c r="I1735" s="50">
        <f>IF($T1735="","",IF($S1735="S",IF(INDEX(Firms!$H$5:$H$1004,$T1735)="","",INDEX(Firms!$H$5:$H$1004,$T1735)),IF(INDEX('AFA Rates'!$G$5:$G$1004,$T1735)="","",INDEX('AFA Rates'!$G$5:$G$1004,$T1735))))</f>
        <v/>
      </c>
      <c r="J1735" s="50">
        <f>IF($T1735="","",IF($S1735="S",IF(INDEX(Firms!$I$5:$I$1004,$T1735)="","",INDEX(Firms!$I$5:$I$1004,$T1735)),IF(INDEX('AFA Rates'!$H$5:$H$1004,$T1735)="","",INDEX('AFA Rates'!$H$5:$H$1004,$T1735))))</f>
        <v/>
      </c>
      <c r="K1735" s="50">
        <f>IF($T1735="","",IF($S1735="S",IF(INDEX(Firms!$J$5:$J$1004,$T1735)="","",INDEX(Firms!$J$5:$J$1004,$T1735)),IF(INDEX('AFA Rates'!$I$5:$I$1004,$T1735)="","",INDEX('AFA Rates'!$I$5:$I$1004,$T1735))))</f>
        <v/>
      </c>
      <c r="L1735" s="50">
        <f>IF($T1735="","",IF($S1735="S",IF(INDEX(Firms!$K$5:$K$1004,$T1735)="","",INDEX(Firms!$K$5:$K$1004,$T1735)),IF(INDEX('AFA Rates'!$J$5:$J$1004,$T1735)="","",INDEX('AFA Rates'!$J$5:$J$1004,$T1735))))</f>
        <v/>
      </c>
      <c r="M1735" s="50">
        <f>IF($T1735="","",IF($S1735="S",IF(INDEX(Firms!$L$5:$L$1004,$T1735)="","",INDEX(Firms!$L$5:$L$1004,$T1735)),IF(INDEX('AFA Rates'!$K$5:$K$1004,$T1735)="","",INDEX('AFA Rates'!$K$5:$K$1004,$T1735))))</f>
        <v/>
      </c>
      <c r="N1735" s="50">
        <f>IF($T1735="","",IF($S1735="S",IF(INDEX(Firms!$M$5:$M$1004,$T1735)="","",INDEX(Firms!$M$5:$M$1004,$T1735)),IF(INDEX('AFA Rates'!$L$5:$L$1004,$T1735)="","",INDEX('AFA Rates'!$L$5:$L$1004,$T1735))))</f>
        <v/>
      </c>
      <c r="O1735" s="78">
        <f>IF(OR($T1735="",$U1735=""),"",IF(INDEX(Firms!$C$5:$C$1004,$U1735)="","",INDEX(Firms!$C$5:$C$1004,$U1735)))</f>
        <v/>
      </c>
      <c r="P1735" s="79">
        <f>IF(OR($T1735="",$U1735=""),"",IF(INDEX(Firms!$N$5:$N$1004,$U1735)="","",INDEX(Firms!$N$5:$N$1004,$U1735)))</f>
        <v/>
      </c>
      <c r="Q1735" s="78">
        <f>IF($T1735="","",IF($S1735="S",IF(INDEX(Firms!$T$5:$T$1004,$T1735)="","",INDEX(Firms!$T$5:$T$1004,$T1735)),IF(INDEX('AFA Rates'!$M$5:$M$1004,$T1735)="","",INDEX('AFA Rates'!$M$5:$M$1004,$T1735))))</f>
        <v/>
      </c>
      <c r="S1735">
        <f>IF(1731&lt;=$S$2,"S",IF(1731&lt;=$S$2+$T$2,"A",""))</f>
        <v/>
      </c>
      <c r="T1735">
        <f>IF(S1735="S",MATCH(1731,Firms!$W$5:$W$1004,0),IF(S1735="A",IFERROR(MATCH(1731-$S$2,'AFA Rates'!$R$5:$R$1004,0),""),""))</f>
        <v/>
      </c>
      <c r="U1735">
        <f>IF(S1735="S",T1735,IF(AND(S1735="A",T1735&lt;&gt;""),IFERROR(MATCH(INDEX('AFA Rates'!$A$5:$A$1004,T1735),Firms!$A$5:$A$1004,0),""),""))</f>
        <v/>
      </c>
    </row>
    <row r="1736">
      <c r="A1736" s="78">
        <f>IF($T1736="","",IF($S1736="S",IF(INDEX(Firms!$A$5:$A$1004,$T1736)="","",INDEX(Firms!$A$5:$A$1004,$T1736)),IF(INDEX('AFA Rates'!$A$5:$A$1004,$T1736)="","",INDEX('AFA Rates'!$A$5:$A$1004,$T1736))))</f>
        <v/>
      </c>
      <c r="B1736" s="79">
        <f>IF(OR($T1736="",$U1736=""),IF($T1736="","","Not on Firms tab"),INDEX(Firms!$B$5:$B$1004,$U1736)&amp;"")</f>
        <v/>
      </c>
      <c r="C1736" s="78">
        <f>IF($T1736="","",IF($S1736="S","Standard",INDEX('AFA Rates'!$B$5:$B$1004,$T1736)&amp;""))</f>
        <v/>
      </c>
      <c r="D1736" s="88">
        <f>IF($T1736="","",IF($S1736="S",IF(INDEX(Firms!$E$5:$E$1004,$T1736)="","",INDEX(Firms!$E$5:$E$1004,$T1736)),IF(INDEX('AFA Rates'!$C$5:$C$1004,$T1736)="","",INDEX('AFA Rates'!$C$5:$C$1004,$T1736))))</f>
        <v/>
      </c>
      <c r="E1736" s="88">
        <f>IF($T1736="","",IF($S1736="S",IF(""="","",""),IF(INDEX('AFA Rates'!$D$5:$D$1004,$T1736)="","",INDEX('AFA Rates'!$D$5:$D$1004,$T1736))))</f>
        <v/>
      </c>
      <c r="F1736" s="79">
        <f>IF($T1736="","",IF($S1736="S",IF(INDEX(Firms!$O$5:$O$1004,$T1736)="","",INDEX(Firms!$O$5:$O$1004,$T1736)),IF(INDEX('AFA Rates'!$O$5:$O$1004,$T1736)="","",INDEX('AFA Rates'!$O$5:$O$1004,$T1736))))</f>
        <v/>
      </c>
      <c r="G1736" s="50">
        <f>IF($T1736="","",IF($S1736="S",IF(INDEX(Firms!$F$5:$F$1004,$T1736)="","",INDEX(Firms!$F$5:$F$1004,$T1736)),IF(INDEX('AFA Rates'!$E$5:$E$1004,$T1736)="","",INDEX('AFA Rates'!$E$5:$E$1004,$T1736))))</f>
        <v/>
      </c>
      <c r="H1736" s="50">
        <f>IF($T1736="","",IF($S1736="S",IF(INDEX(Firms!$G$5:$G$1004,$T1736)="","",INDEX(Firms!$G$5:$G$1004,$T1736)),IF(INDEX('AFA Rates'!$F$5:$F$1004,$T1736)="","",INDEX('AFA Rates'!$F$5:$F$1004,$T1736))))</f>
        <v/>
      </c>
      <c r="I1736" s="50">
        <f>IF($T1736="","",IF($S1736="S",IF(INDEX(Firms!$H$5:$H$1004,$T1736)="","",INDEX(Firms!$H$5:$H$1004,$T1736)),IF(INDEX('AFA Rates'!$G$5:$G$1004,$T1736)="","",INDEX('AFA Rates'!$G$5:$G$1004,$T1736))))</f>
        <v/>
      </c>
      <c r="J1736" s="50">
        <f>IF($T1736="","",IF($S1736="S",IF(INDEX(Firms!$I$5:$I$1004,$T1736)="","",INDEX(Firms!$I$5:$I$1004,$T1736)),IF(INDEX('AFA Rates'!$H$5:$H$1004,$T1736)="","",INDEX('AFA Rates'!$H$5:$H$1004,$T1736))))</f>
        <v/>
      </c>
      <c r="K1736" s="50">
        <f>IF($T1736="","",IF($S1736="S",IF(INDEX(Firms!$J$5:$J$1004,$T1736)="","",INDEX(Firms!$J$5:$J$1004,$T1736)),IF(INDEX('AFA Rates'!$I$5:$I$1004,$T1736)="","",INDEX('AFA Rates'!$I$5:$I$1004,$T1736))))</f>
        <v/>
      </c>
      <c r="L1736" s="50">
        <f>IF($T1736="","",IF($S1736="S",IF(INDEX(Firms!$K$5:$K$1004,$T1736)="","",INDEX(Firms!$K$5:$K$1004,$T1736)),IF(INDEX('AFA Rates'!$J$5:$J$1004,$T1736)="","",INDEX('AFA Rates'!$J$5:$J$1004,$T1736))))</f>
        <v/>
      </c>
      <c r="M1736" s="50">
        <f>IF($T1736="","",IF($S1736="S",IF(INDEX(Firms!$L$5:$L$1004,$T1736)="","",INDEX(Firms!$L$5:$L$1004,$T1736)),IF(INDEX('AFA Rates'!$K$5:$K$1004,$T1736)="","",INDEX('AFA Rates'!$K$5:$K$1004,$T1736))))</f>
        <v/>
      </c>
      <c r="N1736" s="50">
        <f>IF($T1736="","",IF($S1736="S",IF(INDEX(Firms!$M$5:$M$1004,$T1736)="","",INDEX(Firms!$M$5:$M$1004,$T1736)),IF(INDEX('AFA Rates'!$L$5:$L$1004,$T1736)="","",INDEX('AFA Rates'!$L$5:$L$1004,$T1736))))</f>
        <v/>
      </c>
      <c r="O1736" s="78">
        <f>IF(OR($T1736="",$U1736=""),"",IF(INDEX(Firms!$C$5:$C$1004,$U1736)="","",INDEX(Firms!$C$5:$C$1004,$U1736)))</f>
        <v/>
      </c>
      <c r="P1736" s="79">
        <f>IF(OR($T1736="",$U1736=""),"",IF(INDEX(Firms!$N$5:$N$1004,$U1736)="","",INDEX(Firms!$N$5:$N$1004,$U1736)))</f>
        <v/>
      </c>
      <c r="Q1736" s="78">
        <f>IF($T1736="","",IF($S1736="S",IF(INDEX(Firms!$T$5:$T$1004,$T1736)="","",INDEX(Firms!$T$5:$T$1004,$T1736)),IF(INDEX('AFA Rates'!$M$5:$M$1004,$T1736)="","",INDEX('AFA Rates'!$M$5:$M$1004,$T1736))))</f>
        <v/>
      </c>
      <c r="S1736">
        <f>IF(1732&lt;=$S$2,"S",IF(1732&lt;=$S$2+$T$2,"A",""))</f>
        <v/>
      </c>
      <c r="T1736">
        <f>IF(S1736="S",MATCH(1732,Firms!$W$5:$W$1004,0),IF(S1736="A",IFERROR(MATCH(1732-$S$2,'AFA Rates'!$R$5:$R$1004,0),""),""))</f>
        <v/>
      </c>
      <c r="U1736">
        <f>IF(S1736="S",T1736,IF(AND(S1736="A",T1736&lt;&gt;""),IFERROR(MATCH(INDEX('AFA Rates'!$A$5:$A$1004,T1736),Firms!$A$5:$A$1004,0),""),""))</f>
        <v/>
      </c>
    </row>
    <row r="1737">
      <c r="A1737" s="78">
        <f>IF($T1737="","",IF($S1737="S",IF(INDEX(Firms!$A$5:$A$1004,$T1737)="","",INDEX(Firms!$A$5:$A$1004,$T1737)),IF(INDEX('AFA Rates'!$A$5:$A$1004,$T1737)="","",INDEX('AFA Rates'!$A$5:$A$1004,$T1737))))</f>
        <v/>
      </c>
      <c r="B1737" s="79">
        <f>IF(OR($T1737="",$U1737=""),IF($T1737="","","Not on Firms tab"),INDEX(Firms!$B$5:$B$1004,$U1737)&amp;"")</f>
        <v/>
      </c>
      <c r="C1737" s="78">
        <f>IF($T1737="","",IF($S1737="S","Standard",INDEX('AFA Rates'!$B$5:$B$1004,$T1737)&amp;""))</f>
        <v/>
      </c>
      <c r="D1737" s="88">
        <f>IF($T1737="","",IF($S1737="S",IF(INDEX(Firms!$E$5:$E$1004,$T1737)="","",INDEX(Firms!$E$5:$E$1004,$T1737)),IF(INDEX('AFA Rates'!$C$5:$C$1004,$T1737)="","",INDEX('AFA Rates'!$C$5:$C$1004,$T1737))))</f>
        <v/>
      </c>
      <c r="E1737" s="88">
        <f>IF($T1737="","",IF($S1737="S",IF(""="","",""),IF(INDEX('AFA Rates'!$D$5:$D$1004,$T1737)="","",INDEX('AFA Rates'!$D$5:$D$1004,$T1737))))</f>
        <v/>
      </c>
      <c r="F1737" s="79">
        <f>IF($T1737="","",IF($S1737="S",IF(INDEX(Firms!$O$5:$O$1004,$T1737)="","",INDEX(Firms!$O$5:$O$1004,$T1737)),IF(INDEX('AFA Rates'!$O$5:$O$1004,$T1737)="","",INDEX('AFA Rates'!$O$5:$O$1004,$T1737))))</f>
        <v/>
      </c>
      <c r="G1737" s="50">
        <f>IF($T1737="","",IF($S1737="S",IF(INDEX(Firms!$F$5:$F$1004,$T1737)="","",INDEX(Firms!$F$5:$F$1004,$T1737)),IF(INDEX('AFA Rates'!$E$5:$E$1004,$T1737)="","",INDEX('AFA Rates'!$E$5:$E$1004,$T1737))))</f>
        <v/>
      </c>
      <c r="H1737" s="50">
        <f>IF($T1737="","",IF($S1737="S",IF(INDEX(Firms!$G$5:$G$1004,$T1737)="","",INDEX(Firms!$G$5:$G$1004,$T1737)),IF(INDEX('AFA Rates'!$F$5:$F$1004,$T1737)="","",INDEX('AFA Rates'!$F$5:$F$1004,$T1737))))</f>
        <v/>
      </c>
      <c r="I1737" s="50">
        <f>IF($T1737="","",IF($S1737="S",IF(INDEX(Firms!$H$5:$H$1004,$T1737)="","",INDEX(Firms!$H$5:$H$1004,$T1737)),IF(INDEX('AFA Rates'!$G$5:$G$1004,$T1737)="","",INDEX('AFA Rates'!$G$5:$G$1004,$T1737))))</f>
        <v/>
      </c>
      <c r="J1737" s="50">
        <f>IF($T1737="","",IF($S1737="S",IF(INDEX(Firms!$I$5:$I$1004,$T1737)="","",INDEX(Firms!$I$5:$I$1004,$T1737)),IF(INDEX('AFA Rates'!$H$5:$H$1004,$T1737)="","",INDEX('AFA Rates'!$H$5:$H$1004,$T1737))))</f>
        <v/>
      </c>
      <c r="K1737" s="50">
        <f>IF($T1737="","",IF($S1737="S",IF(INDEX(Firms!$J$5:$J$1004,$T1737)="","",INDEX(Firms!$J$5:$J$1004,$T1737)),IF(INDEX('AFA Rates'!$I$5:$I$1004,$T1737)="","",INDEX('AFA Rates'!$I$5:$I$1004,$T1737))))</f>
        <v/>
      </c>
      <c r="L1737" s="50">
        <f>IF($T1737="","",IF($S1737="S",IF(INDEX(Firms!$K$5:$K$1004,$T1737)="","",INDEX(Firms!$K$5:$K$1004,$T1737)),IF(INDEX('AFA Rates'!$J$5:$J$1004,$T1737)="","",INDEX('AFA Rates'!$J$5:$J$1004,$T1737))))</f>
        <v/>
      </c>
      <c r="M1737" s="50">
        <f>IF($T1737="","",IF($S1737="S",IF(INDEX(Firms!$L$5:$L$1004,$T1737)="","",INDEX(Firms!$L$5:$L$1004,$T1737)),IF(INDEX('AFA Rates'!$K$5:$K$1004,$T1737)="","",INDEX('AFA Rates'!$K$5:$K$1004,$T1737))))</f>
        <v/>
      </c>
      <c r="N1737" s="50">
        <f>IF($T1737="","",IF($S1737="S",IF(INDEX(Firms!$M$5:$M$1004,$T1737)="","",INDEX(Firms!$M$5:$M$1004,$T1737)),IF(INDEX('AFA Rates'!$L$5:$L$1004,$T1737)="","",INDEX('AFA Rates'!$L$5:$L$1004,$T1737))))</f>
        <v/>
      </c>
      <c r="O1737" s="78">
        <f>IF(OR($T1737="",$U1737=""),"",IF(INDEX(Firms!$C$5:$C$1004,$U1737)="","",INDEX(Firms!$C$5:$C$1004,$U1737)))</f>
        <v/>
      </c>
      <c r="P1737" s="79">
        <f>IF(OR($T1737="",$U1737=""),"",IF(INDEX(Firms!$N$5:$N$1004,$U1737)="","",INDEX(Firms!$N$5:$N$1004,$U1737)))</f>
        <v/>
      </c>
      <c r="Q1737" s="78">
        <f>IF($T1737="","",IF($S1737="S",IF(INDEX(Firms!$T$5:$T$1004,$T1737)="","",INDEX(Firms!$T$5:$T$1004,$T1737)),IF(INDEX('AFA Rates'!$M$5:$M$1004,$T1737)="","",INDEX('AFA Rates'!$M$5:$M$1004,$T1737))))</f>
        <v/>
      </c>
      <c r="S1737">
        <f>IF(1733&lt;=$S$2,"S",IF(1733&lt;=$S$2+$T$2,"A",""))</f>
        <v/>
      </c>
      <c r="T1737">
        <f>IF(S1737="S",MATCH(1733,Firms!$W$5:$W$1004,0),IF(S1737="A",IFERROR(MATCH(1733-$S$2,'AFA Rates'!$R$5:$R$1004,0),""),""))</f>
        <v/>
      </c>
      <c r="U1737">
        <f>IF(S1737="S",T1737,IF(AND(S1737="A",T1737&lt;&gt;""),IFERROR(MATCH(INDEX('AFA Rates'!$A$5:$A$1004,T1737),Firms!$A$5:$A$1004,0),""),""))</f>
        <v/>
      </c>
    </row>
    <row r="1738">
      <c r="A1738" s="78">
        <f>IF($T1738="","",IF($S1738="S",IF(INDEX(Firms!$A$5:$A$1004,$T1738)="","",INDEX(Firms!$A$5:$A$1004,$T1738)),IF(INDEX('AFA Rates'!$A$5:$A$1004,$T1738)="","",INDEX('AFA Rates'!$A$5:$A$1004,$T1738))))</f>
        <v/>
      </c>
      <c r="B1738" s="79">
        <f>IF(OR($T1738="",$U1738=""),IF($T1738="","","Not on Firms tab"),INDEX(Firms!$B$5:$B$1004,$U1738)&amp;"")</f>
        <v/>
      </c>
      <c r="C1738" s="78">
        <f>IF($T1738="","",IF($S1738="S","Standard",INDEX('AFA Rates'!$B$5:$B$1004,$T1738)&amp;""))</f>
        <v/>
      </c>
      <c r="D1738" s="88">
        <f>IF($T1738="","",IF($S1738="S",IF(INDEX(Firms!$E$5:$E$1004,$T1738)="","",INDEX(Firms!$E$5:$E$1004,$T1738)),IF(INDEX('AFA Rates'!$C$5:$C$1004,$T1738)="","",INDEX('AFA Rates'!$C$5:$C$1004,$T1738))))</f>
        <v/>
      </c>
      <c r="E1738" s="88">
        <f>IF($T1738="","",IF($S1738="S",IF(""="","",""),IF(INDEX('AFA Rates'!$D$5:$D$1004,$T1738)="","",INDEX('AFA Rates'!$D$5:$D$1004,$T1738))))</f>
        <v/>
      </c>
      <c r="F1738" s="79">
        <f>IF($T1738="","",IF($S1738="S",IF(INDEX(Firms!$O$5:$O$1004,$T1738)="","",INDEX(Firms!$O$5:$O$1004,$T1738)),IF(INDEX('AFA Rates'!$O$5:$O$1004,$T1738)="","",INDEX('AFA Rates'!$O$5:$O$1004,$T1738))))</f>
        <v/>
      </c>
      <c r="G1738" s="50">
        <f>IF($T1738="","",IF($S1738="S",IF(INDEX(Firms!$F$5:$F$1004,$T1738)="","",INDEX(Firms!$F$5:$F$1004,$T1738)),IF(INDEX('AFA Rates'!$E$5:$E$1004,$T1738)="","",INDEX('AFA Rates'!$E$5:$E$1004,$T1738))))</f>
        <v/>
      </c>
      <c r="H1738" s="50">
        <f>IF($T1738="","",IF($S1738="S",IF(INDEX(Firms!$G$5:$G$1004,$T1738)="","",INDEX(Firms!$G$5:$G$1004,$T1738)),IF(INDEX('AFA Rates'!$F$5:$F$1004,$T1738)="","",INDEX('AFA Rates'!$F$5:$F$1004,$T1738))))</f>
        <v/>
      </c>
      <c r="I1738" s="50">
        <f>IF($T1738="","",IF($S1738="S",IF(INDEX(Firms!$H$5:$H$1004,$T1738)="","",INDEX(Firms!$H$5:$H$1004,$T1738)),IF(INDEX('AFA Rates'!$G$5:$G$1004,$T1738)="","",INDEX('AFA Rates'!$G$5:$G$1004,$T1738))))</f>
        <v/>
      </c>
      <c r="J1738" s="50">
        <f>IF($T1738="","",IF($S1738="S",IF(INDEX(Firms!$I$5:$I$1004,$T1738)="","",INDEX(Firms!$I$5:$I$1004,$T1738)),IF(INDEX('AFA Rates'!$H$5:$H$1004,$T1738)="","",INDEX('AFA Rates'!$H$5:$H$1004,$T1738))))</f>
        <v/>
      </c>
      <c r="K1738" s="50">
        <f>IF($T1738="","",IF($S1738="S",IF(INDEX(Firms!$J$5:$J$1004,$T1738)="","",INDEX(Firms!$J$5:$J$1004,$T1738)),IF(INDEX('AFA Rates'!$I$5:$I$1004,$T1738)="","",INDEX('AFA Rates'!$I$5:$I$1004,$T1738))))</f>
        <v/>
      </c>
      <c r="L1738" s="50">
        <f>IF($T1738="","",IF($S1738="S",IF(INDEX(Firms!$K$5:$K$1004,$T1738)="","",INDEX(Firms!$K$5:$K$1004,$T1738)),IF(INDEX('AFA Rates'!$J$5:$J$1004,$T1738)="","",INDEX('AFA Rates'!$J$5:$J$1004,$T1738))))</f>
        <v/>
      </c>
      <c r="M1738" s="50">
        <f>IF($T1738="","",IF($S1738="S",IF(INDEX(Firms!$L$5:$L$1004,$T1738)="","",INDEX(Firms!$L$5:$L$1004,$T1738)),IF(INDEX('AFA Rates'!$K$5:$K$1004,$T1738)="","",INDEX('AFA Rates'!$K$5:$K$1004,$T1738))))</f>
        <v/>
      </c>
      <c r="N1738" s="50">
        <f>IF($T1738="","",IF($S1738="S",IF(INDEX(Firms!$M$5:$M$1004,$T1738)="","",INDEX(Firms!$M$5:$M$1004,$T1738)),IF(INDEX('AFA Rates'!$L$5:$L$1004,$T1738)="","",INDEX('AFA Rates'!$L$5:$L$1004,$T1738))))</f>
        <v/>
      </c>
      <c r="O1738" s="78">
        <f>IF(OR($T1738="",$U1738=""),"",IF(INDEX(Firms!$C$5:$C$1004,$U1738)="","",INDEX(Firms!$C$5:$C$1004,$U1738)))</f>
        <v/>
      </c>
      <c r="P1738" s="79">
        <f>IF(OR($T1738="",$U1738=""),"",IF(INDEX(Firms!$N$5:$N$1004,$U1738)="","",INDEX(Firms!$N$5:$N$1004,$U1738)))</f>
        <v/>
      </c>
      <c r="Q1738" s="78">
        <f>IF($T1738="","",IF($S1738="S",IF(INDEX(Firms!$T$5:$T$1004,$T1738)="","",INDEX(Firms!$T$5:$T$1004,$T1738)),IF(INDEX('AFA Rates'!$M$5:$M$1004,$T1738)="","",INDEX('AFA Rates'!$M$5:$M$1004,$T1738))))</f>
        <v/>
      </c>
      <c r="S1738">
        <f>IF(1734&lt;=$S$2,"S",IF(1734&lt;=$S$2+$T$2,"A",""))</f>
        <v/>
      </c>
      <c r="T1738">
        <f>IF(S1738="S",MATCH(1734,Firms!$W$5:$W$1004,0),IF(S1738="A",IFERROR(MATCH(1734-$S$2,'AFA Rates'!$R$5:$R$1004,0),""),""))</f>
        <v/>
      </c>
      <c r="U1738">
        <f>IF(S1738="S",T1738,IF(AND(S1738="A",T1738&lt;&gt;""),IFERROR(MATCH(INDEX('AFA Rates'!$A$5:$A$1004,T1738),Firms!$A$5:$A$1004,0),""),""))</f>
        <v/>
      </c>
    </row>
    <row r="1739">
      <c r="A1739" s="78">
        <f>IF($T1739="","",IF($S1739="S",IF(INDEX(Firms!$A$5:$A$1004,$T1739)="","",INDEX(Firms!$A$5:$A$1004,$T1739)),IF(INDEX('AFA Rates'!$A$5:$A$1004,$T1739)="","",INDEX('AFA Rates'!$A$5:$A$1004,$T1739))))</f>
        <v/>
      </c>
      <c r="B1739" s="79">
        <f>IF(OR($T1739="",$U1739=""),IF($T1739="","","Not on Firms tab"),INDEX(Firms!$B$5:$B$1004,$U1739)&amp;"")</f>
        <v/>
      </c>
      <c r="C1739" s="78">
        <f>IF($T1739="","",IF($S1739="S","Standard",INDEX('AFA Rates'!$B$5:$B$1004,$T1739)&amp;""))</f>
        <v/>
      </c>
      <c r="D1739" s="88">
        <f>IF($T1739="","",IF($S1739="S",IF(INDEX(Firms!$E$5:$E$1004,$T1739)="","",INDEX(Firms!$E$5:$E$1004,$T1739)),IF(INDEX('AFA Rates'!$C$5:$C$1004,$T1739)="","",INDEX('AFA Rates'!$C$5:$C$1004,$T1739))))</f>
        <v/>
      </c>
      <c r="E1739" s="88">
        <f>IF($T1739="","",IF($S1739="S",IF(""="","",""),IF(INDEX('AFA Rates'!$D$5:$D$1004,$T1739)="","",INDEX('AFA Rates'!$D$5:$D$1004,$T1739))))</f>
        <v/>
      </c>
      <c r="F1739" s="79">
        <f>IF($T1739="","",IF($S1739="S",IF(INDEX(Firms!$O$5:$O$1004,$T1739)="","",INDEX(Firms!$O$5:$O$1004,$T1739)),IF(INDEX('AFA Rates'!$O$5:$O$1004,$T1739)="","",INDEX('AFA Rates'!$O$5:$O$1004,$T1739))))</f>
        <v/>
      </c>
      <c r="G1739" s="50">
        <f>IF($T1739="","",IF($S1739="S",IF(INDEX(Firms!$F$5:$F$1004,$T1739)="","",INDEX(Firms!$F$5:$F$1004,$T1739)),IF(INDEX('AFA Rates'!$E$5:$E$1004,$T1739)="","",INDEX('AFA Rates'!$E$5:$E$1004,$T1739))))</f>
        <v/>
      </c>
      <c r="H1739" s="50">
        <f>IF($T1739="","",IF($S1739="S",IF(INDEX(Firms!$G$5:$G$1004,$T1739)="","",INDEX(Firms!$G$5:$G$1004,$T1739)),IF(INDEX('AFA Rates'!$F$5:$F$1004,$T1739)="","",INDEX('AFA Rates'!$F$5:$F$1004,$T1739))))</f>
        <v/>
      </c>
      <c r="I1739" s="50">
        <f>IF($T1739="","",IF($S1739="S",IF(INDEX(Firms!$H$5:$H$1004,$T1739)="","",INDEX(Firms!$H$5:$H$1004,$T1739)),IF(INDEX('AFA Rates'!$G$5:$G$1004,$T1739)="","",INDEX('AFA Rates'!$G$5:$G$1004,$T1739))))</f>
        <v/>
      </c>
      <c r="J1739" s="50">
        <f>IF($T1739="","",IF($S1739="S",IF(INDEX(Firms!$I$5:$I$1004,$T1739)="","",INDEX(Firms!$I$5:$I$1004,$T1739)),IF(INDEX('AFA Rates'!$H$5:$H$1004,$T1739)="","",INDEX('AFA Rates'!$H$5:$H$1004,$T1739))))</f>
        <v/>
      </c>
      <c r="K1739" s="50">
        <f>IF($T1739="","",IF($S1739="S",IF(INDEX(Firms!$J$5:$J$1004,$T1739)="","",INDEX(Firms!$J$5:$J$1004,$T1739)),IF(INDEX('AFA Rates'!$I$5:$I$1004,$T1739)="","",INDEX('AFA Rates'!$I$5:$I$1004,$T1739))))</f>
        <v/>
      </c>
      <c r="L1739" s="50">
        <f>IF($T1739="","",IF($S1739="S",IF(INDEX(Firms!$K$5:$K$1004,$T1739)="","",INDEX(Firms!$K$5:$K$1004,$T1739)),IF(INDEX('AFA Rates'!$J$5:$J$1004,$T1739)="","",INDEX('AFA Rates'!$J$5:$J$1004,$T1739))))</f>
        <v/>
      </c>
      <c r="M1739" s="50">
        <f>IF($T1739="","",IF($S1739="S",IF(INDEX(Firms!$L$5:$L$1004,$T1739)="","",INDEX(Firms!$L$5:$L$1004,$T1739)),IF(INDEX('AFA Rates'!$K$5:$K$1004,$T1739)="","",INDEX('AFA Rates'!$K$5:$K$1004,$T1739))))</f>
        <v/>
      </c>
      <c r="N1739" s="50">
        <f>IF($T1739="","",IF($S1739="S",IF(INDEX(Firms!$M$5:$M$1004,$T1739)="","",INDEX(Firms!$M$5:$M$1004,$T1739)),IF(INDEX('AFA Rates'!$L$5:$L$1004,$T1739)="","",INDEX('AFA Rates'!$L$5:$L$1004,$T1739))))</f>
        <v/>
      </c>
      <c r="O1739" s="78">
        <f>IF(OR($T1739="",$U1739=""),"",IF(INDEX(Firms!$C$5:$C$1004,$U1739)="","",INDEX(Firms!$C$5:$C$1004,$U1739)))</f>
        <v/>
      </c>
      <c r="P1739" s="79">
        <f>IF(OR($T1739="",$U1739=""),"",IF(INDEX(Firms!$N$5:$N$1004,$U1739)="","",INDEX(Firms!$N$5:$N$1004,$U1739)))</f>
        <v/>
      </c>
      <c r="Q1739" s="78">
        <f>IF($T1739="","",IF($S1739="S",IF(INDEX(Firms!$T$5:$T$1004,$T1739)="","",INDEX(Firms!$T$5:$T$1004,$T1739)),IF(INDEX('AFA Rates'!$M$5:$M$1004,$T1739)="","",INDEX('AFA Rates'!$M$5:$M$1004,$T1739))))</f>
        <v/>
      </c>
      <c r="S1739">
        <f>IF(1735&lt;=$S$2,"S",IF(1735&lt;=$S$2+$T$2,"A",""))</f>
        <v/>
      </c>
      <c r="T1739">
        <f>IF(S1739="S",MATCH(1735,Firms!$W$5:$W$1004,0),IF(S1739="A",IFERROR(MATCH(1735-$S$2,'AFA Rates'!$R$5:$R$1004,0),""),""))</f>
        <v/>
      </c>
      <c r="U1739">
        <f>IF(S1739="S",T1739,IF(AND(S1739="A",T1739&lt;&gt;""),IFERROR(MATCH(INDEX('AFA Rates'!$A$5:$A$1004,T1739),Firms!$A$5:$A$1004,0),""),""))</f>
        <v/>
      </c>
    </row>
    <row r="1740">
      <c r="A1740" s="78">
        <f>IF($T1740="","",IF($S1740="S",IF(INDEX(Firms!$A$5:$A$1004,$T1740)="","",INDEX(Firms!$A$5:$A$1004,$T1740)),IF(INDEX('AFA Rates'!$A$5:$A$1004,$T1740)="","",INDEX('AFA Rates'!$A$5:$A$1004,$T1740))))</f>
        <v/>
      </c>
      <c r="B1740" s="79">
        <f>IF(OR($T1740="",$U1740=""),IF($T1740="","","Not on Firms tab"),INDEX(Firms!$B$5:$B$1004,$U1740)&amp;"")</f>
        <v/>
      </c>
      <c r="C1740" s="78">
        <f>IF($T1740="","",IF($S1740="S","Standard",INDEX('AFA Rates'!$B$5:$B$1004,$T1740)&amp;""))</f>
        <v/>
      </c>
      <c r="D1740" s="88">
        <f>IF($T1740="","",IF($S1740="S",IF(INDEX(Firms!$E$5:$E$1004,$T1740)="","",INDEX(Firms!$E$5:$E$1004,$T1740)),IF(INDEX('AFA Rates'!$C$5:$C$1004,$T1740)="","",INDEX('AFA Rates'!$C$5:$C$1004,$T1740))))</f>
        <v/>
      </c>
      <c r="E1740" s="88">
        <f>IF($T1740="","",IF($S1740="S",IF(""="","",""),IF(INDEX('AFA Rates'!$D$5:$D$1004,$T1740)="","",INDEX('AFA Rates'!$D$5:$D$1004,$T1740))))</f>
        <v/>
      </c>
      <c r="F1740" s="79">
        <f>IF($T1740="","",IF($S1740="S",IF(INDEX(Firms!$O$5:$O$1004,$T1740)="","",INDEX(Firms!$O$5:$O$1004,$T1740)),IF(INDEX('AFA Rates'!$O$5:$O$1004,$T1740)="","",INDEX('AFA Rates'!$O$5:$O$1004,$T1740))))</f>
        <v/>
      </c>
      <c r="G1740" s="50">
        <f>IF($T1740="","",IF($S1740="S",IF(INDEX(Firms!$F$5:$F$1004,$T1740)="","",INDEX(Firms!$F$5:$F$1004,$T1740)),IF(INDEX('AFA Rates'!$E$5:$E$1004,$T1740)="","",INDEX('AFA Rates'!$E$5:$E$1004,$T1740))))</f>
        <v/>
      </c>
      <c r="H1740" s="50">
        <f>IF($T1740="","",IF($S1740="S",IF(INDEX(Firms!$G$5:$G$1004,$T1740)="","",INDEX(Firms!$G$5:$G$1004,$T1740)),IF(INDEX('AFA Rates'!$F$5:$F$1004,$T1740)="","",INDEX('AFA Rates'!$F$5:$F$1004,$T1740))))</f>
        <v/>
      </c>
      <c r="I1740" s="50">
        <f>IF($T1740="","",IF($S1740="S",IF(INDEX(Firms!$H$5:$H$1004,$T1740)="","",INDEX(Firms!$H$5:$H$1004,$T1740)),IF(INDEX('AFA Rates'!$G$5:$G$1004,$T1740)="","",INDEX('AFA Rates'!$G$5:$G$1004,$T1740))))</f>
        <v/>
      </c>
      <c r="J1740" s="50">
        <f>IF($T1740="","",IF($S1740="S",IF(INDEX(Firms!$I$5:$I$1004,$T1740)="","",INDEX(Firms!$I$5:$I$1004,$T1740)),IF(INDEX('AFA Rates'!$H$5:$H$1004,$T1740)="","",INDEX('AFA Rates'!$H$5:$H$1004,$T1740))))</f>
        <v/>
      </c>
      <c r="K1740" s="50">
        <f>IF($T1740="","",IF($S1740="S",IF(INDEX(Firms!$J$5:$J$1004,$T1740)="","",INDEX(Firms!$J$5:$J$1004,$T1740)),IF(INDEX('AFA Rates'!$I$5:$I$1004,$T1740)="","",INDEX('AFA Rates'!$I$5:$I$1004,$T1740))))</f>
        <v/>
      </c>
      <c r="L1740" s="50">
        <f>IF($T1740="","",IF($S1740="S",IF(INDEX(Firms!$K$5:$K$1004,$T1740)="","",INDEX(Firms!$K$5:$K$1004,$T1740)),IF(INDEX('AFA Rates'!$J$5:$J$1004,$T1740)="","",INDEX('AFA Rates'!$J$5:$J$1004,$T1740))))</f>
        <v/>
      </c>
      <c r="M1740" s="50">
        <f>IF($T1740="","",IF($S1740="S",IF(INDEX(Firms!$L$5:$L$1004,$T1740)="","",INDEX(Firms!$L$5:$L$1004,$T1740)),IF(INDEX('AFA Rates'!$K$5:$K$1004,$T1740)="","",INDEX('AFA Rates'!$K$5:$K$1004,$T1740))))</f>
        <v/>
      </c>
      <c r="N1740" s="50">
        <f>IF($T1740="","",IF($S1740="S",IF(INDEX(Firms!$M$5:$M$1004,$T1740)="","",INDEX(Firms!$M$5:$M$1004,$T1740)),IF(INDEX('AFA Rates'!$L$5:$L$1004,$T1740)="","",INDEX('AFA Rates'!$L$5:$L$1004,$T1740))))</f>
        <v/>
      </c>
      <c r="O1740" s="78">
        <f>IF(OR($T1740="",$U1740=""),"",IF(INDEX(Firms!$C$5:$C$1004,$U1740)="","",INDEX(Firms!$C$5:$C$1004,$U1740)))</f>
        <v/>
      </c>
      <c r="P1740" s="79">
        <f>IF(OR($T1740="",$U1740=""),"",IF(INDEX(Firms!$N$5:$N$1004,$U1740)="","",INDEX(Firms!$N$5:$N$1004,$U1740)))</f>
        <v/>
      </c>
      <c r="Q1740" s="78">
        <f>IF($T1740="","",IF($S1740="S",IF(INDEX(Firms!$T$5:$T$1004,$T1740)="","",INDEX(Firms!$T$5:$T$1004,$T1740)),IF(INDEX('AFA Rates'!$M$5:$M$1004,$T1740)="","",INDEX('AFA Rates'!$M$5:$M$1004,$T1740))))</f>
        <v/>
      </c>
      <c r="S1740">
        <f>IF(1736&lt;=$S$2,"S",IF(1736&lt;=$S$2+$T$2,"A",""))</f>
        <v/>
      </c>
      <c r="T1740">
        <f>IF(S1740="S",MATCH(1736,Firms!$W$5:$W$1004,0),IF(S1740="A",IFERROR(MATCH(1736-$S$2,'AFA Rates'!$R$5:$R$1004,0),""),""))</f>
        <v/>
      </c>
      <c r="U1740">
        <f>IF(S1740="S",T1740,IF(AND(S1740="A",T1740&lt;&gt;""),IFERROR(MATCH(INDEX('AFA Rates'!$A$5:$A$1004,T1740),Firms!$A$5:$A$1004,0),""),""))</f>
        <v/>
      </c>
    </row>
    <row r="1741">
      <c r="A1741" s="78">
        <f>IF($T1741="","",IF($S1741="S",IF(INDEX(Firms!$A$5:$A$1004,$T1741)="","",INDEX(Firms!$A$5:$A$1004,$T1741)),IF(INDEX('AFA Rates'!$A$5:$A$1004,$T1741)="","",INDEX('AFA Rates'!$A$5:$A$1004,$T1741))))</f>
        <v/>
      </c>
      <c r="B1741" s="79">
        <f>IF(OR($T1741="",$U1741=""),IF($T1741="","","Not on Firms tab"),INDEX(Firms!$B$5:$B$1004,$U1741)&amp;"")</f>
        <v/>
      </c>
      <c r="C1741" s="78">
        <f>IF($T1741="","",IF($S1741="S","Standard",INDEX('AFA Rates'!$B$5:$B$1004,$T1741)&amp;""))</f>
        <v/>
      </c>
      <c r="D1741" s="88">
        <f>IF($T1741="","",IF($S1741="S",IF(INDEX(Firms!$E$5:$E$1004,$T1741)="","",INDEX(Firms!$E$5:$E$1004,$T1741)),IF(INDEX('AFA Rates'!$C$5:$C$1004,$T1741)="","",INDEX('AFA Rates'!$C$5:$C$1004,$T1741))))</f>
        <v/>
      </c>
      <c r="E1741" s="88">
        <f>IF($T1741="","",IF($S1741="S",IF(""="","",""),IF(INDEX('AFA Rates'!$D$5:$D$1004,$T1741)="","",INDEX('AFA Rates'!$D$5:$D$1004,$T1741))))</f>
        <v/>
      </c>
      <c r="F1741" s="79">
        <f>IF($T1741="","",IF($S1741="S",IF(INDEX(Firms!$O$5:$O$1004,$T1741)="","",INDEX(Firms!$O$5:$O$1004,$T1741)),IF(INDEX('AFA Rates'!$O$5:$O$1004,$T1741)="","",INDEX('AFA Rates'!$O$5:$O$1004,$T1741))))</f>
        <v/>
      </c>
      <c r="G1741" s="50">
        <f>IF($T1741="","",IF($S1741="S",IF(INDEX(Firms!$F$5:$F$1004,$T1741)="","",INDEX(Firms!$F$5:$F$1004,$T1741)),IF(INDEX('AFA Rates'!$E$5:$E$1004,$T1741)="","",INDEX('AFA Rates'!$E$5:$E$1004,$T1741))))</f>
        <v/>
      </c>
      <c r="H1741" s="50">
        <f>IF($T1741="","",IF($S1741="S",IF(INDEX(Firms!$G$5:$G$1004,$T1741)="","",INDEX(Firms!$G$5:$G$1004,$T1741)),IF(INDEX('AFA Rates'!$F$5:$F$1004,$T1741)="","",INDEX('AFA Rates'!$F$5:$F$1004,$T1741))))</f>
        <v/>
      </c>
      <c r="I1741" s="50">
        <f>IF($T1741="","",IF($S1741="S",IF(INDEX(Firms!$H$5:$H$1004,$T1741)="","",INDEX(Firms!$H$5:$H$1004,$T1741)),IF(INDEX('AFA Rates'!$G$5:$G$1004,$T1741)="","",INDEX('AFA Rates'!$G$5:$G$1004,$T1741))))</f>
        <v/>
      </c>
      <c r="J1741" s="50">
        <f>IF($T1741="","",IF($S1741="S",IF(INDEX(Firms!$I$5:$I$1004,$T1741)="","",INDEX(Firms!$I$5:$I$1004,$T1741)),IF(INDEX('AFA Rates'!$H$5:$H$1004,$T1741)="","",INDEX('AFA Rates'!$H$5:$H$1004,$T1741))))</f>
        <v/>
      </c>
      <c r="K1741" s="50">
        <f>IF($T1741="","",IF($S1741="S",IF(INDEX(Firms!$J$5:$J$1004,$T1741)="","",INDEX(Firms!$J$5:$J$1004,$T1741)),IF(INDEX('AFA Rates'!$I$5:$I$1004,$T1741)="","",INDEX('AFA Rates'!$I$5:$I$1004,$T1741))))</f>
        <v/>
      </c>
      <c r="L1741" s="50">
        <f>IF($T1741="","",IF($S1741="S",IF(INDEX(Firms!$K$5:$K$1004,$T1741)="","",INDEX(Firms!$K$5:$K$1004,$T1741)),IF(INDEX('AFA Rates'!$J$5:$J$1004,$T1741)="","",INDEX('AFA Rates'!$J$5:$J$1004,$T1741))))</f>
        <v/>
      </c>
      <c r="M1741" s="50">
        <f>IF($T1741="","",IF($S1741="S",IF(INDEX(Firms!$L$5:$L$1004,$T1741)="","",INDEX(Firms!$L$5:$L$1004,$T1741)),IF(INDEX('AFA Rates'!$K$5:$K$1004,$T1741)="","",INDEX('AFA Rates'!$K$5:$K$1004,$T1741))))</f>
        <v/>
      </c>
      <c r="N1741" s="50">
        <f>IF($T1741="","",IF($S1741="S",IF(INDEX(Firms!$M$5:$M$1004,$T1741)="","",INDEX(Firms!$M$5:$M$1004,$T1741)),IF(INDEX('AFA Rates'!$L$5:$L$1004,$T1741)="","",INDEX('AFA Rates'!$L$5:$L$1004,$T1741))))</f>
        <v/>
      </c>
      <c r="O1741" s="78">
        <f>IF(OR($T1741="",$U1741=""),"",IF(INDEX(Firms!$C$5:$C$1004,$U1741)="","",INDEX(Firms!$C$5:$C$1004,$U1741)))</f>
        <v/>
      </c>
      <c r="P1741" s="79">
        <f>IF(OR($T1741="",$U1741=""),"",IF(INDEX(Firms!$N$5:$N$1004,$U1741)="","",INDEX(Firms!$N$5:$N$1004,$U1741)))</f>
        <v/>
      </c>
      <c r="Q1741" s="78">
        <f>IF($T1741="","",IF($S1741="S",IF(INDEX(Firms!$T$5:$T$1004,$T1741)="","",INDEX(Firms!$T$5:$T$1004,$T1741)),IF(INDEX('AFA Rates'!$M$5:$M$1004,$T1741)="","",INDEX('AFA Rates'!$M$5:$M$1004,$T1741))))</f>
        <v/>
      </c>
      <c r="S1741">
        <f>IF(1737&lt;=$S$2,"S",IF(1737&lt;=$S$2+$T$2,"A",""))</f>
        <v/>
      </c>
      <c r="T1741">
        <f>IF(S1741="S",MATCH(1737,Firms!$W$5:$W$1004,0),IF(S1741="A",IFERROR(MATCH(1737-$S$2,'AFA Rates'!$R$5:$R$1004,0),""),""))</f>
        <v/>
      </c>
      <c r="U1741">
        <f>IF(S1741="S",T1741,IF(AND(S1741="A",T1741&lt;&gt;""),IFERROR(MATCH(INDEX('AFA Rates'!$A$5:$A$1004,T1741),Firms!$A$5:$A$1004,0),""),""))</f>
        <v/>
      </c>
    </row>
    <row r="1742">
      <c r="A1742" s="78">
        <f>IF($T1742="","",IF($S1742="S",IF(INDEX(Firms!$A$5:$A$1004,$T1742)="","",INDEX(Firms!$A$5:$A$1004,$T1742)),IF(INDEX('AFA Rates'!$A$5:$A$1004,$T1742)="","",INDEX('AFA Rates'!$A$5:$A$1004,$T1742))))</f>
        <v/>
      </c>
      <c r="B1742" s="79">
        <f>IF(OR($T1742="",$U1742=""),IF($T1742="","","Not on Firms tab"),INDEX(Firms!$B$5:$B$1004,$U1742)&amp;"")</f>
        <v/>
      </c>
      <c r="C1742" s="78">
        <f>IF($T1742="","",IF($S1742="S","Standard",INDEX('AFA Rates'!$B$5:$B$1004,$T1742)&amp;""))</f>
        <v/>
      </c>
      <c r="D1742" s="88">
        <f>IF($T1742="","",IF($S1742="S",IF(INDEX(Firms!$E$5:$E$1004,$T1742)="","",INDEX(Firms!$E$5:$E$1004,$T1742)),IF(INDEX('AFA Rates'!$C$5:$C$1004,$T1742)="","",INDEX('AFA Rates'!$C$5:$C$1004,$T1742))))</f>
        <v/>
      </c>
      <c r="E1742" s="88">
        <f>IF($T1742="","",IF($S1742="S",IF(""="","",""),IF(INDEX('AFA Rates'!$D$5:$D$1004,$T1742)="","",INDEX('AFA Rates'!$D$5:$D$1004,$T1742))))</f>
        <v/>
      </c>
      <c r="F1742" s="79">
        <f>IF($T1742="","",IF($S1742="S",IF(INDEX(Firms!$O$5:$O$1004,$T1742)="","",INDEX(Firms!$O$5:$O$1004,$T1742)),IF(INDEX('AFA Rates'!$O$5:$O$1004,$T1742)="","",INDEX('AFA Rates'!$O$5:$O$1004,$T1742))))</f>
        <v/>
      </c>
      <c r="G1742" s="50">
        <f>IF($T1742="","",IF($S1742="S",IF(INDEX(Firms!$F$5:$F$1004,$T1742)="","",INDEX(Firms!$F$5:$F$1004,$T1742)),IF(INDEX('AFA Rates'!$E$5:$E$1004,$T1742)="","",INDEX('AFA Rates'!$E$5:$E$1004,$T1742))))</f>
        <v/>
      </c>
      <c r="H1742" s="50">
        <f>IF($T1742="","",IF($S1742="S",IF(INDEX(Firms!$G$5:$G$1004,$T1742)="","",INDEX(Firms!$G$5:$G$1004,$T1742)),IF(INDEX('AFA Rates'!$F$5:$F$1004,$T1742)="","",INDEX('AFA Rates'!$F$5:$F$1004,$T1742))))</f>
        <v/>
      </c>
      <c r="I1742" s="50">
        <f>IF($T1742="","",IF($S1742="S",IF(INDEX(Firms!$H$5:$H$1004,$T1742)="","",INDEX(Firms!$H$5:$H$1004,$T1742)),IF(INDEX('AFA Rates'!$G$5:$G$1004,$T1742)="","",INDEX('AFA Rates'!$G$5:$G$1004,$T1742))))</f>
        <v/>
      </c>
      <c r="J1742" s="50">
        <f>IF($T1742="","",IF($S1742="S",IF(INDEX(Firms!$I$5:$I$1004,$T1742)="","",INDEX(Firms!$I$5:$I$1004,$T1742)),IF(INDEX('AFA Rates'!$H$5:$H$1004,$T1742)="","",INDEX('AFA Rates'!$H$5:$H$1004,$T1742))))</f>
        <v/>
      </c>
      <c r="K1742" s="50">
        <f>IF($T1742="","",IF($S1742="S",IF(INDEX(Firms!$J$5:$J$1004,$T1742)="","",INDEX(Firms!$J$5:$J$1004,$T1742)),IF(INDEX('AFA Rates'!$I$5:$I$1004,$T1742)="","",INDEX('AFA Rates'!$I$5:$I$1004,$T1742))))</f>
        <v/>
      </c>
      <c r="L1742" s="50">
        <f>IF($T1742="","",IF($S1742="S",IF(INDEX(Firms!$K$5:$K$1004,$T1742)="","",INDEX(Firms!$K$5:$K$1004,$T1742)),IF(INDEX('AFA Rates'!$J$5:$J$1004,$T1742)="","",INDEX('AFA Rates'!$J$5:$J$1004,$T1742))))</f>
        <v/>
      </c>
      <c r="M1742" s="50">
        <f>IF($T1742="","",IF($S1742="S",IF(INDEX(Firms!$L$5:$L$1004,$T1742)="","",INDEX(Firms!$L$5:$L$1004,$T1742)),IF(INDEX('AFA Rates'!$K$5:$K$1004,$T1742)="","",INDEX('AFA Rates'!$K$5:$K$1004,$T1742))))</f>
        <v/>
      </c>
      <c r="N1742" s="50">
        <f>IF($T1742="","",IF($S1742="S",IF(INDEX(Firms!$M$5:$M$1004,$T1742)="","",INDEX(Firms!$M$5:$M$1004,$T1742)),IF(INDEX('AFA Rates'!$L$5:$L$1004,$T1742)="","",INDEX('AFA Rates'!$L$5:$L$1004,$T1742))))</f>
        <v/>
      </c>
      <c r="O1742" s="78">
        <f>IF(OR($T1742="",$U1742=""),"",IF(INDEX(Firms!$C$5:$C$1004,$U1742)="","",INDEX(Firms!$C$5:$C$1004,$U1742)))</f>
        <v/>
      </c>
      <c r="P1742" s="79">
        <f>IF(OR($T1742="",$U1742=""),"",IF(INDEX(Firms!$N$5:$N$1004,$U1742)="","",INDEX(Firms!$N$5:$N$1004,$U1742)))</f>
        <v/>
      </c>
      <c r="Q1742" s="78">
        <f>IF($T1742="","",IF($S1742="S",IF(INDEX(Firms!$T$5:$T$1004,$T1742)="","",INDEX(Firms!$T$5:$T$1004,$T1742)),IF(INDEX('AFA Rates'!$M$5:$M$1004,$T1742)="","",INDEX('AFA Rates'!$M$5:$M$1004,$T1742))))</f>
        <v/>
      </c>
      <c r="S1742">
        <f>IF(1738&lt;=$S$2,"S",IF(1738&lt;=$S$2+$T$2,"A",""))</f>
        <v/>
      </c>
      <c r="T1742">
        <f>IF(S1742="S",MATCH(1738,Firms!$W$5:$W$1004,0),IF(S1742="A",IFERROR(MATCH(1738-$S$2,'AFA Rates'!$R$5:$R$1004,0),""),""))</f>
        <v/>
      </c>
      <c r="U1742">
        <f>IF(S1742="S",T1742,IF(AND(S1742="A",T1742&lt;&gt;""),IFERROR(MATCH(INDEX('AFA Rates'!$A$5:$A$1004,T1742),Firms!$A$5:$A$1004,0),""),""))</f>
        <v/>
      </c>
    </row>
    <row r="1743">
      <c r="A1743" s="78">
        <f>IF($T1743="","",IF($S1743="S",IF(INDEX(Firms!$A$5:$A$1004,$T1743)="","",INDEX(Firms!$A$5:$A$1004,$T1743)),IF(INDEX('AFA Rates'!$A$5:$A$1004,$T1743)="","",INDEX('AFA Rates'!$A$5:$A$1004,$T1743))))</f>
        <v/>
      </c>
      <c r="B1743" s="79">
        <f>IF(OR($T1743="",$U1743=""),IF($T1743="","","Not on Firms tab"),INDEX(Firms!$B$5:$B$1004,$U1743)&amp;"")</f>
        <v/>
      </c>
      <c r="C1743" s="78">
        <f>IF($T1743="","",IF($S1743="S","Standard",INDEX('AFA Rates'!$B$5:$B$1004,$T1743)&amp;""))</f>
        <v/>
      </c>
      <c r="D1743" s="88">
        <f>IF($T1743="","",IF($S1743="S",IF(INDEX(Firms!$E$5:$E$1004,$T1743)="","",INDEX(Firms!$E$5:$E$1004,$T1743)),IF(INDEX('AFA Rates'!$C$5:$C$1004,$T1743)="","",INDEX('AFA Rates'!$C$5:$C$1004,$T1743))))</f>
        <v/>
      </c>
      <c r="E1743" s="88">
        <f>IF($T1743="","",IF($S1743="S",IF(""="","",""),IF(INDEX('AFA Rates'!$D$5:$D$1004,$T1743)="","",INDEX('AFA Rates'!$D$5:$D$1004,$T1743))))</f>
        <v/>
      </c>
      <c r="F1743" s="79">
        <f>IF($T1743="","",IF($S1743="S",IF(INDEX(Firms!$O$5:$O$1004,$T1743)="","",INDEX(Firms!$O$5:$O$1004,$T1743)),IF(INDEX('AFA Rates'!$O$5:$O$1004,$T1743)="","",INDEX('AFA Rates'!$O$5:$O$1004,$T1743))))</f>
        <v/>
      </c>
      <c r="G1743" s="50">
        <f>IF($T1743="","",IF($S1743="S",IF(INDEX(Firms!$F$5:$F$1004,$T1743)="","",INDEX(Firms!$F$5:$F$1004,$T1743)),IF(INDEX('AFA Rates'!$E$5:$E$1004,$T1743)="","",INDEX('AFA Rates'!$E$5:$E$1004,$T1743))))</f>
        <v/>
      </c>
      <c r="H1743" s="50">
        <f>IF($T1743="","",IF($S1743="S",IF(INDEX(Firms!$G$5:$G$1004,$T1743)="","",INDEX(Firms!$G$5:$G$1004,$T1743)),IF(INDEX('AFA Rates'!$F$5:$F$1004,$T1743)="","",INDEX('AFA Rates'!$F$5:$F$1004,$T1743))))</f>
        <v/>
      </c>
      <c r="I1743" s="50">
        <f>IF($T1743="","",IF($S1743="S",IF(INDEX(Firms!$H$5:$H$1004,$T1743)="","",INDEX(Firms!$H$5:$H$1004,$T1743)),IF(INDEX('AFA Rates'!$G$5:$G$1004,$T1743)="","",INDEX('AFA Rates'!$G$5:$G$1004,$T1743))))</f>
        <v/>
      </c>
      <c r="J1743" s="50">
        <f>IF($T1743="","",IF($S1743="S",IF(INDEX(Firms!$I$5:$I$1004,$T1743)="","",INDEX(Firms!$I$5:$I$1004,$T1743)),IF(INDEX('AFA Rates'!$H$5:$H$1004,$T1743)="","",INDEX('AFA Rates'!$H$5:$H$1004,$T1743))))</f>
        <v/>
      </c>
      <c r="K1743" s="50">
        <f>IF($T1743="","",IF($S1743="S",IF(INDEX(Firms!$J$5:$J$1004,$T1743)="","",INDEX(Firms!$J$5:$J$1004,$T1743)),IF(INDEX('AFA Rates'!$I$5:$I$1004,$T1743)="","",INDEX('AFA Rates'!$I$5:$I$1004,$T1743))))</f>
        <v/>
      </c>
      <c r="L1743" s="50">
        <f>IF($T1743="","",IF($S1743="S",IF(INDEX(Firms!$K$5:$K$1004,$T1743)="","",INDEX(Firms!$K$5:$K$1004,$T1743)),IF(INDEX('AFA Rates'!$J$5:$J$1004,$T1743)="","",INDEX('AFA Rates'!$J$5:$J$1004,$T1743))))</f>
        <v/>
      </c>
      <c r="M1743" s="50">
        <f>IF($T1743="","",IF($S1743="S",IF(INDEX(Firms!$L$5:$L$1004,$T1743)="","",INDEX(Firms!$L$5:$L$1004,$T1743)),IF(INDEX('AFA Rates'!$K$5:$K$1004,$T1743)="","",INDEX('AFA Rates'!$K$5:$K$1004,$T1743))))</f>
        <v/>
      </c>
      <c r="N1743" s="50">
        <f>IF($T1743="","",IF($S1743="S",IF(INDEX(Firms!$M$5:$M$1004,$T1743)="","",INDEX(Firms!$M$5:$M$1004,$T1743)),IF(INDEX('AFA Rates'!$L$5:$L$1004,$T1743)="","",INDEX('AFA Rates'!$L$5:$L$1004,$T1743))))</f>
        <v/>
      </c>
      <c r="O1743" s="78">
        <f>IF(OR($T1743="",$U1743=""),"",IF(INDEX(Firms!$C$5:$C$1004,$U1743)="","",INDEX(Firms!$C$5:$C$1004,$U1743)))</f>
        <v/>
      </c>
      <c r="P1743" s="79">
        <f>IF(OR($T1743="",$U1743=""),"",IF(INDEX(Firms!$N$5:$N$1004,$U1743)="","",INDEX(Firms!$N$5:$N$1004,$U1743)))</f>
        <v/>
      </c>
      <c r="Q1743" s="78">
        <f>IF($T1743="","",IF($S1743="S",IF(INDEX(Firms!$T$5:$T$1004,$T1743)="","",INDEX(Firms!$T$5:$T$1004,$T1743)),IF(INDEX('AFA Rates'!$M$5:$M$1004,$T1743)="","",INDEX('AFA Rates'!$M$5:$M$1004,$T1743))))</f>
        <v/>
      </c>
      <c r="S1743">
        <f>IF(1739&lt;=$S$2,"S",IF(1739&lt;=$S$2+$T$2,"A",""))</f>
        <v/>
      </c>
      <c r="T1743">
        <f>IF(S1743="S",MATCH(1739,Firms!$W$5:$W$1004,0),IF(S1743="A",IFERROR(MATCH(1739-$S$2,'AFA Rates'!$R$5:$R$1004,0),""),""))</f>
        <v/>
      </c>
      <c r="U1743">
        <f>IF(S1743="S",T1743,IF(AND(S1743="A",T1743&lt;&gt;""),IFERROR(MATCH(INDEX('AFA Rates'!$A$5:$A$1004,T1743),Firms!$A$5:$A$1004,0),""),""))</f>
        <v/>
      </c>
    </row>
    <row r="1744">
      <c r="A1744" s="78">
        <f>IF($T1744="","",IF($S1744="S",IF(INDEX(Firms!$A$5:$A$1004,$T1744)="","",INDEX(Firms!$A$5:$A$1004,$T1744)),IF(INDEX('AFA Rates'!$A$5:$A$1004,$T1744)="","",INDEX('AFA Rates'!$A$5:$A$1004,$T1744))))</f>
        <v/>
      </c>
      <c r="B1744" s="79">
        <f>IF(OR($T1744="",$U1744=""),IF($T1744="","","Not on Firms tab"),INDEX(Firms!$B$5:$B$1004,$U1744)&amp;"")</f>
        <v/>
      </c>
      <c r="C1744" s="78">
        <f>IF($T1744="","",IF($S1744="S","Standard",INDEX('AFA Rates'!$B$5:$B$1004,$T1744)&amp;""))</f>
        <v/>
      </c>
      <c r="D1744" s="88">
        <f>IF($T1744="","",IF($S1744="S",IF(INDEX(Firms!$E$5:$E$1004,$T1744)="","",INDEX(Firms!$E$5:$E$1004,$T1744)),IF(INDEX('AFA Rates'!$C$5:$C$1004,$T1744)="","",INDEX('AFA Rates'!$C$5:$C$1004,$T1744))))</f>
        <v/>
      </c>
      <c r="E1744" s="88">
        <f>IF($T1744="","",IF($S1744="S",IF(""="","",""),IF(INDEX('AFA Rates'!$D$5:$D$1004,$T1744)="","",INDEX('AFA Rates'!$D$5:$D$1004,$T1744))))</f>
        <v/>
      </c>
      <c r="F1744" s="79">
        <f>IF($T1744="","",IF($S1744="S",IF(INDEX(Firms!$O$5:$O$1004,$T1744)="","",INDEX(Firms!$O$5:$O$1004,$T1744)),IF(INDEX('AFA Rates'!$O$5:$O$1004,$T1744)="","",INDEX('AFA Rates'!$O$5:$O$1004,$T1744))))</f>
        <v/>
      </c>
      <c r="G1744" s="50">
        <f>IF($T1744="","",IF($S1744="S",IF(INDEX(Firms!$F$5:$F$1004,$T1744)="","",INDEX(Firms!$F$5:$F$1004,$T1744)),IF(INDEX('AFA Rates'!$E$5:$E$1004,$T1744)="","",INDEX('AFA Rates'!$E$5:$E$1004,$T1744))))</f>
        <v/>
      </c>
      <c r="H1744" s="50">
        <f>IF($T1744="","",IF($S1744="S",IF(INDEX(Firms!$G$5:$G$1004,$T1744)="","",INDEX(Firms!$G$5:$G$1004,$T1744)),IF(INDEX('AFA Rates'!$F$5:$F$1004,$T1744)="","",INDEX('AFA Rates'!$F$5:$F$1004,$T1744))))</f>
        <v/>
      </c>
      <c r="I1744" s="50">
        <f>IF($T1744="","",IF($S1744="S",IF(INDEX(Firms!$H$5:$H$1004,$T1744)="","",INDEX(Firms!$H$5:$H$1004,$T1744)),IF(INDEX('AFA Rates'!$G$5:$G$1004,$T1744)="","",INDEX('AFA Rates'!$G$5:$G$1004,$T1744))))</f>
        <v/>
      </c>
      <c r="J1744" s="50">
        <f>IF($T1744="","",IF($S1744="S",IF(INDEX(Firms!$I$5:$I$1004,$T1744)="","",INDEX(Firms!$I$5:$I$1004,$T1744)),IF(INDEX('AFA Rates'!$H$5:$H$1004,$T1744)="","",INDEX('AFA Rates'!$H$5:$H$1004,$T1744))))</f>
        <v/>
      </c>
      <c r="K1744" s="50">
        <f>IF($T1744="","",IF($S1744="S",IF(INDEX(Firms!$J$5:$J$1004,$T1744)="","",INDEX(Firms!$J$5:$J$1004,$T1744)),IF(INDEX('AFA Rates'!$I$5:$I$1004,$T1744)="","",INDEX('AFA Rates'!$I$5:$I$1004,$T1744))))</f>
        <v/>
      </c>
      <c r="L1744" s="50">
        <f>IF($T1744="","",IF($S1744="S",IF(INDEX(Firms!$K$5:$K$1004,$T1744)="","",INDEX(Firms!$K$5:$K$1004,$T1744)),IF(INDEX('AFA Rates'!$J$5:$J$1004,$T1744)="","",INDEX('AFA Rates'!$J$5:$J$1004,$T1744))))</f>
        <v/>
      </c>
      <c r="M1744" s="50">
        <f>IF($T1744="","",IF($S1744="S",IF(INDEX(Firms!$L$5:$L$1004,$T1744)="","",INDEX(Firms!$L$5:$L$1004,$T1744)),IF(INDEX('AFA Rates'!$K$5:$K$1004,$T1744)="","",INDEX('AFA Rates'!$K$5:$K$1004,$T1744))))</f>
        <v/>
      </c>
      <c r="N1744" s="50">
        <f>IF($T1744="","",IF($S1744="S",IF(INDEX(Firms!$M$5:$M$1004,$T1744)="","",INDEX(Firms!$M$5:$M$1004,$T1744)),IF(INDEX('AFA Rates'!$L$5:$L$1004,$T1744)="","",INDEX('AFA Rates'!$L$5:$L$1004,$T1744))))</f>
        <v/>
      </c>
      <c r="O1744" s="78">
        <f>IF(OR($T1744="",$U1744=""),"",IF(INDEX(Firms!$C$5:$C$1004,$U1744)="","",INDEX(Firms!$C$5:$C$1004,$U1744)))</f>
        <v/>
      </c>
      <c r="P1744" s="79">
        <f>IF(OR($T1744="",$U1744=""),"",IF(INDEX(Firms!$N$5:$N$1004,$U1744)="","",INDEX(Firms!$N$5:$N$1004,$U1744)))</f>
        <v/>
      </c>
      <c r="Q1744" s="78">
        <f>IF($T1744="","",IF($S1744="S",IF(INDEX(Firms!$T$5:$T$1004,$T1744)="","",INDEX(Firms!$T$5:$T$1004,$T1744)),IF(INDEX('AFA Rates'!$M$5:$M$1004,$T1744)="","",INDEX('AFA Rates'!$M$5:$M$1004,$T1744))))</f>
        <v/>
      </c>
      <c r="S1744">
        <f>IF(1740&lt;=$S$2,"S",IF(1740&lt;=$S$2+$T$2,"A",""))</f>
        <v/>
      </c>
      <c r="T1744">
        <f>IF(S1744="S",MATCH(1740,Firms!$W$5:$W$1004,0),IF(S1744="A",IFERROR(MATCH(1740-$S$2,'AFA Rates'!$R$5:$R$1004,0),""),""))</f>
        <v/>
      </c>
      <c r="U1744">
        <f>IF(S1744="S",T1744,IF(AND(S1744="A",T1744&lt;&gt;""),IFERROR(MATCH(INDEX('AFA Rates'!$A$5:$A$1004,T1744),Firms!$A$5:$A$1004,0),""),""))</f>
        <v/>
      </c>
    </row>
    <row r="1745">
      <c r="A1745" s="78">
        <f>IF($T1745="","",IF($S1745="S",IF(INDEX(Firms!$A$5:$A$1004,$T1745)="","",INDEX(Firms!$A$5:$A$1004,$T1745)),IF(INDEX('AFA Rates'!$A$5:$A$1004,$T1745)="","",INDEX('AFA Rates'!$A$5:$A$1004,$T1745))))</f>
        <v/>
      </c>
      <c r="B1745" s="79">
        <f>IF(OR($T1745="",$U1745=""),IF($T1745="","","Not on Firms tab"),INDEX(Firms!$B$5:$B$1004,$U1745)&amp;"")</f>
        <v/>
      </c>
      <c r="C1745" s="78">
        <f>IF($T1745="","",IF($S1745="S","Standard",INDEX('AFA Rates'!$B$5:$B$1004,$T1745)&amp;""))</f>
        <v/>
      </c>
      <c r="D1745" s="88">
        <f>IF($T1745="","",IF($S1745="S",IF(INDEX(Firms!$E$5:$E$1004,$T1745)="","",INDEX(Firms!$E$5:$E$1004,$T1745)),IF(INDEX('AFA Rates'!$C$5:$C$1004,$T1745)="","",INDEX('AFA Rates'!$C$5:$C$1004,$T1745))))</f>
        <v/>
      </c>
      <c r="E1745" s="88">
        <f>IF($T1745="","",IF($S1745="S",IF(""="","",""),IF(INDEX('AFA Rates'!$D$5:$D$1004,$T1745)="","",INDEX('AFA Rates'!$D$5:$D$1004,$T1745))))</f>
        <v/>
      </c>
      <c r="F1745" s="79">
        <f>IF($T1745="","",IF($S1745="S",IF(INDEX(Firms!$O$5:$O$1004,$T1745)="","",INDEX(Firms!$O$5:$O$1004,$T1745)),IF(INDEX('AFA Rates'!$O$5:$O$1004,$T1745)="","",INDEX('AFA Rates'!$O$5:$O$1004,$T1745))))</f>
        <v/>
      </c>
      <c r="G1745" s="50">
        <f>IF($T1745="","",IF($S1745="S",IF(INDEX(Firms!$F$5:$F$1004,$T1745)="","",INDEX(Firms!$F$5:$F$1004,$T1745)),IF(INDEX('AFA Rates'!$E$5:$E$1004,$T1745)="","",INDEX('AFA Rates'!$E$5:$E$1004,$T1745))))</f>
        <v/>
      </c>
      <c r="H1745" s="50">
        <f>IF($T1745="","",IF($S1745="S",IF(INDEX(Firms!$G$5:$G$1004,$T1745)="","",INDEX(Firms!$G$5:$G$1004,$T1745)),IF(INDEX('AFA Rates'!$F$5:$F$1004,$T1745)="","",INDEX('AFA Rates'!$F$5:$F$1004,$T1745))))</f>
        <v/>
      </c>
      <c r="I1745" s="50">
        <f>IF($T1745="","",IF($S1745="S",IF(INDEX(Firms!$H$5:$H$1004,$T1745)="","",INDEX(Firms!$H$5:$H$1004,$T1745)),IF(INDEX('AFA Rates'!$G$5:$G$1004,$T1745)="","",INDEX('AFA Rates'!$G$5:$G$1004,$T1745))))</f>
        <v/>
      </c>
      <c r="J1745" s="50">
        <f>IF($T1745="","",IF($S1745="S",IF(INDEX(Firms!$I$5:$I$1004,$T1745)="","",INDEX(Firms!$I$5:$I$1004,$T1745)),IF(INDEX('AFA Rates'!$H$5:$H$1004,$T1745)="","",INDEX('AFA Rates'!$H$5:$H$1004,$T1745))))</f>
        <v/>
      </c>
      <c r="K1745" s="50">
        <f>IF($T1745="","",IF($S1745="S",IF(INDEX(Firms!$J$5:$J$1004,$T1745)="","",INDEX(Firms!$J$5:$J$1004,$T1745)),IF(INDEX('AFA Rates'!$I$5:$I$1004,$T1745)="","",INDEX('AFA Rates'!$I$5:$I$1004,$T1745))))</f>
        <v/>
      </c>
      <c r="L1745" s="50">
        <f>IF($T1745="","",IF($S1745="S",IF(INDEX(Firms!$K$5:$K$1004,$T1745)="","",INDEX(Firms!$K$5:$K$1004,$T1745)),IF(INDEX('AFA Rates'!$J$5:$J$1004,$T1745)="","",INDEX('AFA Rates'!$J$5:$J$1004,$T1745))))</f>
        <v/>
      </c>
      <c r="M1745" s="50">
        <f>IF($T1745="","",IF($S1745="S",IF(INDEX(Firms!$L$5:$L$1004,$T1745)="","",INDEX(Firms!$L$5:$L$1004,$T1745)),IF(INDEX('AFA Rates'!$K$5:$K$1004,$T1745)="","",INDEX('AFA Rates'!$K$5:$K$1004,$T1745))))</f>
        <v/>
      </c>
      <c r="N1745" s="50">
        <f>IF($T1745="","",IF($S1745="S",IF(INDEX(Firms!$M$5:$M$1004,$T1745)="","",INDEX(Firms!$M$5:$M$1004,$T1745)),IF(INDEX('AFA Rates'!$L$5:$L$1004,$T1745)="","",INDEX('AFA Rates'!$L$5:$L$1004,$T1745))))</f>
        <v/>
      </c>
      <c r="O1745" s="78">
        <f>IF(OR($T1745="",$U1745=""),"",IF(INDEX(Firms!$C$5:$C$1004,$U1745)="","",INDEX(Firms!$C$5:$C$1004,$U1745)))</f>
        <v/>
      </c>
      <c r="P1745" s="79">
        <f>IF(OR($T1745="",$U1745=""),"",IF(INDEX(Firms!$N$5:$N$1004,$U1745)="","",INDEX(Firms!$N$5:$N$1004,$U1745)))</f>
        <v/>
      </c>
      <c r="Q1745" s="78">
        <f>IF($T1745="","",IF($S1745="S",IF(INDEX(Firms!$T$5:$T$1004,$T1745)="","",INDEX(Firms!$T$5:$T$1004,$T1745)),IF(INDEX('AFA Rates'!$M$5:$M$1004,$T1745)="","",INDEX('AFA Rates'!$M$5:$M$1004,$T1745))))</f>
        <v/>
      </c>
      <c r="S1745">
        <f>IF(1741&lt;=$S$2,"S",IF(1741&lt;=$S$2+$T$2,"A",""))</f>
        <v/>
      </c>
      <c r="T1745">
        <f>IF(S1745="S",MATCH(1741,Firms!$W$5:$W$1004,0),IF(S1745="A",IFERROR(MATCH(1741-$S$2,'AFA Rates'!$R$5:$R$1004,0),""),""))</f>
        <v/>
      </c>
      <c r="U1745">
        <f>IF(S1745="S",T1745,IF(AND(S1745="A",T1745&lt;&gt;""),IFERROR(MATCH(INDEX('AFA Rates'!$A$5:$A$1004,T1745),Firms!$A$5:$A$1004,0),""),""))</f>
        <v/>
      </c>
    </row>
    <row r="1746">
      <c r="A1746" s="78">
        <f>IF($T1746="","",IF($S1746="S",IF(INDEX(Firms!$A$5:$A$1004,$T1746)="","",INDEX(Firms!$A$5:$A$1004,$T1746)),IF(INDEX('AFA Rates'!$A$5:$A$1004,$T1746)="","",INDEX('AFA Rates'!$A$5:$A$1004,$T1746))))</f>
        <v/>
      </c>
      <c r="B1746" s="79">
        <f>IF(OR($T1746="",$U1746=""),IF($T1746="","","Not on Firms tab"),INDEX(Firms!$B$5:$B$1004,$U1746)&amp;"")</f>
        <v/>
      </c>
      <c r="C1746" s="78">
        <f>IF($T1746="","",IF($S1746="S","Standard",INDEX('AFA Rates'!$B$5:$B$1004,$T1746)&amp;""))</f>
        <v/>
      </c>
      <c r="D1746" s="88">
        <f>IF($T1746="","",IF($S1746="S",IF(INDEX(Firms!$E$5:$E$1004,$T1746)="","",INDEX(Firms!$E$5:$E$1004,$T1746)),IF(INDEX('AFA Rates'!$C$5:$C$1004,$T1746)="","",INDEX('AFA Rates'!$C$5:$C$1004,$T1746))))</f>
        <v/>
      </c>
      <c r="E1746" s="88">
        <f>IF($T1746="","",IF($S1746="S",IF(""="","",""),IF(INDEX('AFA Rates'!$D$5:$D$1004,$T1746)="","",INDEX('AFA Rates'!$D$5:$D$1004,$T1746))))</f>
        <v/>
      </c>
      <c r="F1746" s="79">
        <f>IF($T1746="","",IF($S1746="S",IF(INDEX(Firms!$O$5:$O$1004,$T1746)="","",INDEX(Firms!$O$5:$O$1004,$T1746)),IF(INDEX('AFA Rates'!$O$5:$O$1004,$T1746)="","",INDEX('AFA Rates'!$O$5:$O$1004,$T1746))))</f>
        <v/>
      </c>
      <c r="G1746" s="50">
        <f>IF($T1746="","",IF($S1746="S",IF(INDEX(Firms!$F$5:$F$1004,$T1746)="","",INDEX(Firms!$F$5:$F$1004,$T1746)),IF(INDEX('AFA Rates'!$E$5:$E$1004,$T1746)="","",INDEX('AFA Rates'!$E$5:$E$1004,$T1746))))</f>
        <v/>
      </c>
      <c r="H1746" s="50">
        <f>IF($T1746="","",IF($S1746="S",IF(INDEX(Firms!$G$5:$G$1004,$T1746)="","",INDEX(Firms!$G$5:$G$1004,$T1746)),IF(INDEX('AFA Rates'!$F$5:$F$1004,$T1746)="","",INDEX('AFA Rates'!$F$5:$F$1004,$T1746))))</f>
        <v/>
      </c>
      <c r="I1746" s="50">
        <f>IF($T1746="","",IF($S1746="S",IF(INDEX(Firms!$H$5:$H$1004,$T1746)="","",INDEX(Firms!$H$5:$H$1004,$T1746)),IF(INDEX('AFA Rates'!$G$5:$G$1004,$T1746)="","",INDEX('AFA Rates'!$G$5:$G$1004,$T1746))))</f>
        <v/>
      </c>
      <c r="J1746" s="50">
        <f>IF($T1746="","",IF($S1746="S",IF(INDEX(Firms!$I$5:$I$1004,$T1746)="","",INDEX(Firms!$I$5:$I$1004,$T1746)),IF(INDEX('AFA Rates'!$H$5:$H$1004,$T1746)="","",INDEX('AFA Rates'!$H$5:$H$1004,$T1746))))</f>
        <v/>
      </c>
      <c r="K1746" s="50">
        <f>IF($T1746="","",IF($S1746="S",IF(INDEX(Firms!$J$5:$J$1004,$T1746)="","",INDEX(Firms!$J$5:$J$1004,$T1746)),IF(INDEX('AFA Rates'!$I$5:$I$1004,$T1746)="","",INDEX('AFA Rates'!$I$5:$I$1004,$T1746))))</f>
        <v/>
      </c>
      <c r="L1746" s="50">
        <f>IF($T1746="","",IF($S1746="S",IF(INDEX(Firms!$K$5:$K$1004,$T1746)="","",INDEX(Firms!$K$5:$K$1004,$T1746)),IF(INDEX('AFA Rates'!$J$5:$J$1004,$T1746)="","",INDEX('AFA Rates'!$J$5:$J$1004,$T1746))))</f>
        <v/>
      </c>
      <c r="M1746" s="50">
        <f>IF($T1746="","",IF($S1746="S",IF(INDEX(Firms!$L$5:$L$1004,$T1746)="","",INDEX(Firms!$L$5:$L$1004,$T1746)),IF(INDEX('AFA Rates'!$K$5:$K$1004,$T1746)="","",INDEX('AFA Rates'!$K$5:$K$1004,$T1746))))</f>
        <v/>
      </c>
      <c r="N1746" s="50">
        <f>IF($T1746="","",IF($S1746="S",IF(INDEX(Firms!$M$5:$M$1004,$T1746)="","",INDEX(Firms!$M$5:$M$1004,$T1746)),IF(INDEX('AFA Rates'!$L$5:$L$1004,$T1746)="","",INDEX('AFA Rates'!$L$5:$L$1004,$T1746))))</f>
        <v/>
      </c>
      <c r="O1746" s="78">
        <f>IF(OR($T1746="",$U1746=""),"",IF(INDEX(Firms!$C$5:$C$1004,$U1746)="","",INDEX(Firms!$C$5:$C$1004,$U1746)))</f>
        <v/>
      </c>
      <c r="P1746" s="79">
        <f>IF(OR($T1746="",$U1746=""),"",IF(INDEX(Firms!$N$5:$N$1004,$U1746)="","",INDEX(Firms!$N$5:$N$1004,$U1746)))</f>
        <v/>
      </c>
      <c r="Q1746" s="78">
        <f>IF($T1746="","",IF($S1746="S",IF(INDEX(Firms!$T$5:$T$1004,$T1746)="","",INDEX(Firms!$T$5:$T$1004,$T1746)),IF(INDEX('AFA Rates'!$M$5:$M$1004,$T1746)="","",INDEX('AFA Rates'!$M$5:$M$1004,$T1746))))</f>
        <v/>
      </c>
      <c r="S1746">
        <f>IF(1742&lt;=$S$2,"S",IF(1742&lt;=$S$2+$T$2,"A",""))</f>
        <v/>
      </c>
      <c r="T1746">
        <f>IF(S1746="S",MATCH(1742,Firms!$W$5:$W$1004,0),IF(S1746="A",IFERROR(MATCH(1742-$S$2,'AFA Rates'!$R$5:$R$1004,0),""),""))</f>
        <v/>
      </c>
      <c r="U1746">
        <f>IF(S1746="S",T1746,IF(AND(S1746="A",T1746&lt;&gt;""),IFERROR(MATCH(INDEX('AFA Rates'!$A$5:$A$1004,T1746),Firms!$A$5:$A$1004,0),""),""))</f>
        <v/>
      </c>
    </row>
    <row r="1747">
      <c r="A1747" s="78">
        <f>IF($T1747="","",IF($S1747="S",IF(INDEX(Firms!$A$5:$A$1004,$T1747)="","",INDEX(Firms!$A$5:$A$1004,$T1747)),IF(INDEX('AFA Rates'!$A$5:$A$1004,$T1747)="","",INDEX('AFA Rates'!$A$5:$A$1004,$T1747))))</f>
        <v/>
      </c>
      <c r="B1747" s="79">
        <f>IF(OR($T1747="",$U1747=""),IF($T1747="","","Not on Firms tab"),INDEX(Firms!$B$5:$B$1004,$U1747)&amp;"")</f>
        <v/>
      </c>
      <c r="C1747" s="78">
        <f>IF($T1747="","",IF($S1747="S","Standard",INDEX('AFA Rates'!$B$5:$B$1004,$T1747)&amp;""))</f>
        <v/>
      </c>
      <c r="D1747" s="88">
        <f>IF($T1747="","",IF($S1747="S",IF(INDEX(Firms!$E$5:$E$1004,$T1747)="","",INDEX(Firms!$E$5:$E$1004,$T1747)),IF(INDEX('AFA Rates'!$C$5:$C$1004,$T1747)="","",INDEX('AFA Rates'!$C$5:$C$1004,$T1747))))</f>
        <v/>
      </c>
      <c r="E1747" s="88">
        <f>IF($T1747="","",IF($S1747="S",IF(""="","",""),IF(INDEX('AFA Rates'!$D$5:$D$1004,$T1747)="","",INDEX('AFA Rates'!$D$5:$D$1004,$T1747))))</f>
        <v/>
      </c>
      <c r="F1747" s="79">
        <f>IF($T1747="","",IF($S1747="S",IF(INDEX(Firms!$O$5:$O$1004,$T1747)="","",INDEX(Firms!$O$5:$O$1004,$T1747)),IF(INDEX('AFA Rates'!$O$5:$O$1004,$T1747)="","",INDEX('AFA Rates'!$O$5:$O$1004,$T1747))))</f>
        <v/>
      </c>
      <c r="G1747" s="50">
        <f>IF($T1747="","",IF($S1747="S",IF(INDEX(Firms!$F$5:$F$1004,$T1747)="","",INDEX(Firms!$F$5:$F$1004,$T1747)),IF(INDEX('AFA Rates'!$E$5:$E$1004,$T1747)="","",INDEX('AFA Rates'!$E$5:$E$1004,$T1747))))</f>
        <v/>
      </c>
      <c r="H1747" s="50">
        <f>IF($T1747="","",IF($S1747="S",IF(INDEX(Firms!$G$5:$G$1004,$T1747)="","",INDEX(Firms!$G$5:$G$1004,$T1747)),IF(INDEX('AFA Rates'!$F$5:$F$1004,$T1747)="","",INDEX('AFA Rates'!$F$5:$F$1004,$T1747))))</f>
        <v/>
      </c>
      <c r="I1747" s="50">
        <f>IF($T1747="","",IF($S1747="S",IF(INDEX(Firms!$H$5:$H$1004,$T1747)="","",INDEX(Firms!$H$5:$H$1004,$T1747)),IF(INDEX('AFA Rates'!$G$5:$G$1004,$T1747)="","",INDEX('AFA Rates'!$G$5:$G$1004,$T1747))))</f>
        <v/>
      </c>
      <c r="J1747" s="50">
        <f>IF($T1747="","",IF($S1747="S",IF(INDEX(Firms!$I$5:$I$1004,$T1747)="","",INDEX(Firms!$I$5:$I$1004,$T1747)),IF(INDEX('AFA Rates'!$H$5:$H$1004,$T1747)="","",INDEX('AFA Rates'!$H$5:$H$1004,$T1747))))</f>
        <v/>
      </c>
      <c r="K1747" s="50">
        <f>IF($T1747="","",IF($S1747="S",IF(INDEX(Firms!$J$5:$J$1004,$T1747)="","",INDEX(Firms!$J$5:$J$1004,$T1747)),IF(INDEX('AFA Rates'!$I$5:$I$1004,$T1747)="","",INDEX('AFA Rates'!$I$5:$I$1004,$T1747))))</f>
        <v/>
      </c>
      <c r="L1747" s="50">
        <f>IF($T1747="","",IF($S1747="S",IF(INDEX(Firms!$K$5:$K$1004,$T1747)="","",INDEX(Firms!$K$5:$K$1004,$T1747)),IF(INDEX('AFA Rates'!$J$5:$J$1004,$T1747)="","",INDEX('AFA Rates'!$J$5:$J$1004,$T1747))))</f>
        <v/>
      </c>
      <c r="M1747" s="50">
        <f>IF($T1747="","",IF($S1747="S",IF(INDEX(Firms!$L$5:$L$1004,$T1747)="","",INDEX(Firms!$L$5:$L$1004,$T1747)),IF(INDEX('AFA Rates'!$K$5:$K$1004,$T1747)="","",INDEX('AFA Rates'!$K$5:$K$1004,$T1747))))</f>
        <v/>
      </c>
      <c r="N1747" s="50">
        <f>IF($T1747="","",IF($S1747="S",IF(INDEX(Firms!$M$5:$M$1004,$T1747)="","",INDEX(Firms!$M$5:$M$1004,$T1747)),IF(INDEX('AFA Rates'!$L$5:$L$1004,$T1747)="","",INDEX('AFA Rates'!$L$5:$L$1004,$T1747))))</f>
        <v/>
      </c>
      <c r="O1747" s="78">
        <f>IF(OR($T1747="",$U1747=""),"",IF(INDEX(Firms!$C$5:$C$1004,$U1747)="","",INDEX(Firms!$C$5:$C$1004,$U1747)))</f>
        <v/>
      </c>
      <c r="P1747" s="79">
        <f>IF(OR($T1747="",$U1747=""),"",IF(INDEX(Firms!$N$5:$N$1004,$U1747)="","",INDEX(Firms!$N$5:$N$1004,$U1747)))</f>
        <v/>
      </c>
      <c r="Q1747" s="78">
        <f>IF($T1747="","",IF($S1747="S",IF(INDEX(Firms!$T$5:$T$1004,$T1747)="","",INDEX(Firms!$T$5:$T$1004,$T1747)),IF(INDEX('AFA Rates'!$M$5:$M$1004,$T1747)="","",INDEX('AFA Rates'!$M$5:$M$1004,$T1747))))</f>
        <v/>
      </c>
      <c r="S1747">
        <f>IF(1743&lt;=$S$2,"S",IF(1743&lt;=$S$2+$T$2,"A",""))</f>
        <v/>
      </c>
      <c r="T1747">
        <f>IF(S1747="S",MATCH(1743,Firms!$W$5:$W$1004,0),IF(S1747="A",IFERROR(MATCH(1743-$S$2,'AFA Rates'!$R$5:$R$1004,0),""),""))</f>
        <v/>
      </c>
      <c r="U1747">
        <f>IF(S1747="S",T1747,IF(AND(S1747="A",T1747&lt;&gt;""),IFERROR(MATCH(INDEX('AFA Rates'!$A$5:$A$1004,T1747),Firms!$A$5:$A$1004,0),""),""))</f>
        <v/>
      </c>
    </row>
    <row r="1748">
      <c r="A1748" s="78">
        <f>IF($T1748="","",IF($S1748="S",IF(INDEX(Firms!$A$5:$A$1004,$T1748)="","",INDEX(Firms!$A$5:$A$1004,$T1748)),IF(INDEX('AFA Rates'!$A$5:$A$1004,$T1748)="","",INDEX('AFA Rates'!$A$5:$A$1004,$T1748))))</f>
        <v/>
      </c>
      <c r="B1748" s="79">
        <f>IF(OR($T1748="",$U1748=""),IF($T1748="","","Not on Firms tab"),INDEX(Firms!$B$5:$B$1004,$U1748)&amp;"")</f>
        <v/>
      </c>
      <c r="C1748" s="78">
        <f>IF($T1748="","",IF($S1748="S","Standard",INDEX('AFA Rates'!$B$5:$B$1004,$T1748)&amp;""))</f>
        <v/>
      </c>
      <c r="D1748" s="88">
        <f>IF($T1748="","",IF($S1748="S",IF(INDEX(Firms!$E$5:$E$1004,$T1748)="","",INDEX(Firms!$E$5:$E$1004,$T1748)),IF(INDEX('AFA Rates'!$C$5:$C$1004,$T1748)="","",INDEX('AFA Rates'!$C$5:$C$1004,$T1748))))</f>
        <v/>
      </c>
      <c r="E1748" s="88">
        <f>IF($T1748="","",IF($S1748="S",IF(""="","",""),IF(INDEX('AFA Rates'!$D$5:$D$1004,$T1748)="","",INDEX('AFA Rates'!$D$5:$D$1004,$T1748))))</f>
        <v/>
      </c>
      <c r="F1748" s="79">
        <f>IF($T1748="","",IF($S1748="S",IF(INDEX(Firms!$O$5:$O$1004,$T1748)="","",INDEX(Firms!$O$5:$O$1004,$T1748)),IF(INDEX('AFA Rates'!$O$5:$O$1004,$T1748)="","",INDEX('AFA Rates'!$O$5:$O$1004,$T1748))))</f>
        <v/>
      </c>
      <c r="G1748" s="50">
        <f>IF($T1748="","",IF($S1748="S",IF(INDEX(Firms!$F$5:$F$1004,$T1748)="","",INDEX(Firms!$F$5:$F$1004,$T1748)),IF(INDEX('AFA Rates'!$E$5:$E$1004,$T1748)="","",INDEX('AFA Rates'!$E$5:$E$1004,$T1748))))</f>
        <v/>
      </c>
      <c r="H1748" s="50">
        <f>IF($T1748="","",IF($S1748="S",IF(INDEX(Firms!$G$5:$G$1004,$T1748)="","",INDEX(Firms!$G$5:$G$1004,$T1748)),IF(INDEX('AFA Rates'!$F$5:$F$1004,$T1748)="","",INDEX('AFA Rates'!$F$5:$F$1004,$T1748))))</f>
        <v/>
      </c>
      <c r="I1748" s="50">
        <f>IF($T1748="","",IF($S1748="S",IF(INDEX(Firms!$H$5:$H$1004,$T1748)="","",INDEX(Firms!$H$5:$H$1004,$T1748)),IF(INDEX('AFA Rates'!$G$5:$G$1004,$T1748)="","",INDEX('AFA Rates'!$G$5:$G$1004,$T1748))))</f>
        <v/>
      </c>
      <c r="J1748" s="50">
        <f>IF($T1748="","",IF($S1748="S",IF(INDEX(Firms!$I$5:$I$1004,$T1748)="","",INDEX(Firms!$I$5:$I$1004,$T1748)),IF(INDEX('AFA Rates'!$H$5:$H$1004,$T1748)="","",INDEX('AFA Rates'!$H$5:$H$1004,$T1748))))</f>
        <v/>
      </c>
      <c r="K1748" s="50">
        <f>IF($T1748="","",IF($S1748="S",IF(INDEX(Firms!$J$5:$J$1004,$T1748)="","",INDEX(Firms!$J$5:$J$1004,$T1748)),IF(INDEX('AFA Rates'!$I$5:$I$1004,$T1748)="","",INDEX('AFA Rates'!$I$5:$I$1004,$T1748))))</f>
        <v/>
      </c>
      <c r="L1748" s="50">
        <f>IF($T1748="","",IF($S1748="S",IF(INDEX(Firms!$K$5:$K$1004,$T1748)="","",INDEX(Firms!$K$5:$K$1004,$T1748)),IF(INDEX('AFA Rates'!$J$5:$J$1004,$T1748)="","",INDEX('AFA Rates'!$J$5:$J$1004,$T1748))))</f>
        <v/>
      </c>
      <c r="M1748" s="50">
        <f>IF($T1748="","",IF($S1748="S",IF(INDEX(Firms!$L$5:$L$1004,$T1748)="","",INDEX(Firms!$L$5:$L$1004,$T1748)),IF(INDEX('AFA Rates'!$K$5:$K$1004,$T1748)="","",INDEX('AFA Rates'!$K$5:$K$1004,$T1748))))</f>
        <v/>
      </c>
      <c r="N1748" s="50">
        <f>IF($T1748="","",IF($S1748="S",IF(INDEX(Firms!$M$5:$M$1004,$T1748)="","",INDEX(Firms!$M$5:$M$1004,$T1748)),IF(INDEX('AFA Rates'!$L$5:$L$1004,$T1748)="","",INDEX('AFA Rates'!$L$5:$L$1004,$T1748))))</f>
        <v/>
      </c>
      <c r="O1748" s="78">
        <f>IF(OR($T1748="",$U1748=""),"",IF(INDEX(Firms!$C$5:$C$1004,$U1748)="","",INDEX(Firms!$C$5:$C$1004,$U1748)))</f>
        <v/>
      </c>
      <c r="P1748" s="79">
        <f>IF(OR($T1748="",$U1748=""),"",IF(INDEX(Firms!$N$5:$N$1004,$U1748)="","",INDEX(Firms!$N$5:$N$1004,$U1748)))</f>
        <v/>
      </c>
      <c r="Q1748" s="78">
        <f>IF($T1748="","",IF($S1748="S",IF(INDEX(Firms!$T$5:$T$1004,$T1748)="","",INDEX(Firms!$T$5:$T$1004,$T1748)),IF(INDEX('AFA Rates'!$M$5:$M$1004,$T1748)="","",INDEX('AFA Rates'!$M$5:$M$1004,$T1748))))</f>
        <v/>
      </c>
      <c r="S1748">
        <f>IF(1744&lt;=$S$2,"S",IF(1744&lt;=$S$2+$T$2,"A",""))</f>
        <v/>
      </c>
      <c r="T1748">
        <f>IF(S1748="S",MATCH(1744,Firms!$W$5:$W$1004,0),IF(S1748="A",IFERROR(MATCH(1744-$S$2,'AFA Rates'!$R$5:$R$1004,0),""),""))</f>
        <v/>
      </c>
      <c r="U1748">
        <f>IF(S1748="S",T1748,IF(AND(S1748="A",T1748&lt;&gt;""),IFERROR(MATCH(INDEX('AFA Rates'!$A$5:$A$1004,T1748),Firms!$A$5:$A$1004,0),""),""))</f>
        <v/>
      </c>
    </row>
    <row r="1749">
      <c r="A1749" s="78">
        <f>IF($T1749="","",IF($S1749="S",IF(INDEX(Firms!$A$5:$A$1004,$T1749)="","",INDEX(Firms!$A$5:$A$1004,$T1749)),IF(INDEX('AFA Rates'!$A$5:$A$1004,$T1749)="","",INDEX('AFA Rates'!$A$5:$A$1004,$T1749))))</f>
        <v/>
      </c>
      <c r="B1749" s="79">
        <f>IF(OR($T1749="",$U1749=""),IF($T1749="","","Not on Firms tab"),INDEX(Firms!$B$5:$B$1004,$U1749)&amp;"")</f>
        <v/>
      </c>
      <c r="C1749" s="78">
        <f>IF($T1749="","",IF($S1749="S","Standard",INDEX('AFA Rates'!$B$5:$B$1004,$T1749)&amp;""))</f>
        <v/>
      </c>
      <c r="D1749" s="88">
        <f>IF($T1749="","",IF($S1749="S",IF(INDEX(Firms!$E$5:$E$1004,$T1749)="","",INDEX(Firms!$E$5:$E$1004,$T1749)),IF(INDEX('AFA Rates'!$C$5:$C$1004,$T1749)="","",INDEX('AFA Rates'!$C$5:$C$1004,$T1749))))</f>
        <v/>
      </c>
      <c r="E1749" s="88">
        <f>IF($T1749="","",IF($S1749="S",IF(""="","",""),IF(INDEX('AFA Rates'!$D$5:$D$1004,$T1749)="","",INDEX('AFA Rates'!$D$5:$D$1004,$T1749))))</f>
        <v/>
      </c>
      <c r="F1749" s="79">
        <f>IF($T1749="","",IF($S1749="S",IF(INDEX(Firms!$O$5:$O$1004,$T1749)="","",INDEX(Firms!$O$5:$O$1004,$T1749)),IF(INDEX('AFA Rates'!$O$5:$O$1004,$T1749)="","",INDEX('AFA Rates'!$O$5:$O$1004,$T1749))))</f>
        <v/>
      </c>
      <c r="G1749" s="50">
        <f>IF($T1749="","",IF($S1749="S",IF(INDEX(Firms!$F$5:$F$1004,$T1749)="","",INDEX(Firms!$F$5:$F$1004,$T1749)),IF(INDEX('AFA Rates'!$E$5:$E$1004,$T1749)="","",INDEX('AFA Rates'!$E$5:$E$1004,$T1749))))</f>
        <v/>
      </c>
      <c r="H1749" s="50">
        <f>IF($T1749="","",IF($S1749="S",IF(INDEX(Firms!$G$5:$G$1004,$T1749)="","",INDEX(Firms!$G$5:$G$1004,$T1749)),IF(INDEX('AFA Rates'!$F$5:$F$1004,$T1749)="","",INDEX('AFA Rates'!$F$5:$F$1004,$T1749))))</f>
        <v/>
      </c>
      <c r="I1749" s="50">
        <f>IF($T1749="","",IF($S1749="S",IF(INDEX(Firms!$H$5:$H$1004,$T1749)="","",INDEX(Firms!$H$5:$H$1004,$T1749)),IF(INDEX('AFA Rates'!$G$5:$G$1004,$T1749)="","",INDEX('AFA Rates'!$G$5:$G$1004,$T1749))))</f>
        <v/>
      </c>
      <c r="J1749" s="50">
        <f>IF($T1749="","",IF($S1749="S",IF(INDEX(Firms!$I$5:$I$1004,$T1749)="","",INDEX(Firms!$I$5:$I$1004,$T1749)),IF(INDEX('AFA Rates'!$H$5:$H$1004,$T1749)="","",INDEX('AFA Rates'!$H$5:$H$1004,$T1749))))</f>
        <v/>
      </c>
      <c r="K1749" s="50">
        <f>IF($T1749="","",IF($S1749="S",IF(INDEX(Firms!$J$5:$J$1004,$T1749)="","",INDEX(Firms!$J$5:$J$1004,$T1749)),IF(INDEX('AFA Rates'!$I$5:$I$1004,$T1749)="","",INDEX('AFA Rates'!$I$5:$I$1004,$T1749))))</f>
        <v/>
      </c>
      <c r="L1749" s="50">
        <f>IF($T1749="","",IF($S1749="S",IF(INDEX(Firms!$K$5:$K$1004,$T1749)="","",INDEX(Firms!$K$5:$K$1004,$T1749)),IF(INDEX('AFA Rates'!$J$5:$J$1004,$T1749)="","",INDEX('AFA Rates'!$J$5:$J$1004,$T1749))))</f>
        <v/>
      </c>
      <c r="M1749" s="50">
        <f>IF($T1749="","",IF($S1749="S",IF(INDEX(Firms!$L$5:$L$1004,$T1749)="","",INDEX(Firms!$L$5:$L$1004,$T1749)),IF(INDEX('AFA Rates'!$K$5:$K$1004,$T1749)="","",INDEX('AFA Rates'!$K$5:$K$1004,$T1749))))</f>
        <v/>
      </c>
      <c r="N1749" s="50">
        <f>IF($T1749="","",IF($S1749="S",IF(INDEX(Firms!$M$5:$M$1004,$T1749)="","",INDEX(Firms!$M$5:$M$1004,$T1749)),IF(INDEX('AFA Rates'!$L$5:$L$1004,$T1749)="","",INDEX('AFA Rates'!$L$5:$L$1004,$T1749))))</f>
        <v/>
      </c>
      <c r="O1749" s="78">
        <f>IF(OR($T1749="",$U1749=""),"",IF(INDEX(Firms!$C$5:$C$1004,$U1749)="","",INDEX(Firms!$C$5:$C$1004,$U1749)))</f>
        <v/>
      </c>
      <c r="P1749" s="79">
        <f>IF(OR($T1749="",$U1749=""),"",IF(INDEX(Firms!$N$5:$N$1004,$U1749)="","",INDEX(Firms!$N$5:$N$1004,$U1749)))</f>
        <v/>
      </c>
      <c r="Q1749" s="78">
        <f>IF($T1749="","",IF($S1749="S",IF(INDEX(Firms!$T$5:$T$1004,$T1749)="","",INDEX(Firms!$T$5:$T$1004,$T1749)),IF(INDEX('AFA Rates'!$M$5:$M$1004,$T1749)="","",INDEX('AFA Rates'!$M$5:$M$1004,$T1749))))</f>
        <v/>
      </c>
      <c r="S1749">
        <f>IF(1745&lt;=$S$2,"S",IF(1745&lt;=$S$2+$T$2,"A",""))</f>
        <v/>
      </c>
      <c r="T1749">
        <f>IF(S1749="S",MATCH(1745,Firms!$W$5:$W$1004,0),IF(S1749="A",IFERROR(MATCH(1745-$S$2,'AFA Rates'!$R$5:$R$1004,0),""),""))</f>
        <v/>
      </c>
      <c r="U1749">
        <f>IF(S1749="S",T1749,IF(AND(S1749="A",T1749&lt;&gt;""),IFERROR(MATCH(INDEX('AFA Rates'!$A$5:$A$1004,T1749),Firms!$A$5:$A$1004,0),""),""))</f>
        <v/>
      </c>
    </row>
    <row r="1750">
      <c r="A1750" s="78">
        <f>IF($T1750="","",IF($S1750="S",IF(INDEX(Firms!$A$5:$A$1004,$T1750)="","",INDEX(Firms!$A$5:$A$1004,$T1750)),IF(INDEX('AFA Rates'!$A$5:$A$1004,$T1750)="","",INDEX('AFA Rates'!$A$5:$A$1004,$T1750))))</f>
        <v/>
      </c>
      <c r="B1750" s="79">
        <f>IF(OR($T1750="",$U1750=""),IF($T1750="","","Not on Firms tab"),INDEX(Firms!$B$5:$B$1004,$U1750)&amp;"")</f>
        <v/>
      </c>
      <c r="C1750" s="78">
        <f>IF($T1750="","",IF($S1750="S","Standard",INDEX('AFA Rates'!$B$5:$B$1004,$T1750)&amp;""))</f>
        <v/>
      </c>
      <c r="D1750" s="88">
        <f>IF($T1750="","",IF($S1750="S",IF(INDEX(Firms!$E$5:$E$1004,$T1750)="","",INDEX(Firms!$E$5:$E$1004,$T1750)),IF(INDEX('AFA Rates'!$C$5:$C$1004,$T1750)="","",INDEX('AFA Rates'!$C$5:$C$1004,$T1750))))</f>
        <v/>
      </c>
      <c r="E1750" s="88">
        <f>IF($T1750="","",IF($S1750="S",IF(""="","",""),IF(INDEX('AFA Rates'!$D$5:$D$1004,$T1750)="","",INDEX('AFA Rates'!$D$5:$D$1004,$T1750))))</f>
        <v/>
      </c>
      <c r="F1750" s="79">
        <f>IF($T1750="","",IF($S1750="S",IF(INDEX(Firms!$O$5:$O$1004,$T1750)="","",INDEX(Firms!$O$5:$O$1004,$T1750)),IF(INDEX('AFA Rates'!$O$5:$O$1004,$T1750)="","",INDEX('AFA Rates'!$O$5:$O$1004,$T1750))))</f>
        <v/>
      </c>
      <c r="G1750" s="50">
        <f>IF($T1750="","",IF($S1750="S",IF(INDEX(Firms!$F$5:$F$1004,$T1750)="","",INDEX(Firms!$F$5:$F$1004,$T1750)),IF(INDEX('AFA Rates'!$E$5:$E$1004,$T1750)="","",INDEX('AFA Rates'!$E$5:$E$1004,$T1750))))</f>
        <v/>
      </c>
      <c r="H1750" s="50">
        <f>IF($T1750="","",IF($S1750="S",IF(INDEX(Firms!$G$5:$G$1004,$T1750)="","",INDEX(Firms!$G$5:$G$1004,$T1750)),IF(INDEX('AFA Rates'!$F$5:$F$1004,$T1750)="","",INDEX('AFA Rates'!$F$5:$F$1004,$T1750))))</f>
        <v/>
      </c>
      <c r="I1750" s="50">
        <f>IF($T1750="","",IF($S1750="S",IF(INDEX(Firms!$H$5:$H$1004,$T1750)="","",INDEX(Firms!$H$5:$H$1004,$T1750)),IF(INDEX('AFA Rates'!$G$5:$G$1004,$T1750)="","",INDEX('AFA Rates'!$G$5:$G$1004,$T1750))))</f>
        <v/>
      </c>
      <c r="J1750" s="50">
        <f>IF($T1750="","",IF($S1750="S",IF(INDEX(Firms!$I$5:$I$1004,$T1750)="","",INDEX(Firms!$I$5:$I$1004,$T1750)),IF(INDEX('AFA Rates'!$H$5:$H$1004,$T1750)="","",INDEX('AFA Rates'!$H$5:$H$1004,$T1750))))</f>
        <v/>
      </c>
      <c r="K1750" s="50">
        <f>IF($T1750="","",IF($S1750="S",IF(INDEX(Firms!$J$5:$J$1004,$T1750)="","",INDEX(Firms!$J$5:$J$1004,$T1750)),IF(INDEX('AFA Rates'!$I$5:$I$1004,$T1750)="","",INDEX('AFA Rates'!$I$5:$I$1004,$T1750))))</f>
        <v/>
      </c>
      <c r="L1750" s="50">
        <f>IF($T1750="","",IF($S1750="S",IF(INDEX(Firms!$K$5:$K$1004,$T1750)="","",INDEX(Firms!$K$5:$K$1004,$T1750)),IF(INDEX('AFA Rates'!$J$5:$J$1004,$T1750)="","",INDEX('AFA Rates'!$J$5:$J$1004,$T1750))))</f>
        <v/>
      </c>
      <c r="M1750" s="50">
        <f>IF($T1750="","",IF($S1750="S",IF(INDEX(Firms!$L$5:$L$1004,$T1750)="","",INDEX(Firms!$L$5:$L$1004,$T1750)),IF(INDEX('AFA Rates'!$K$5:$K$1004,$T1750)="","",INDEX('AFA Rates'!$K$5:$K$1004,$T1750))))</f>
        <v/>
      </c>
      <c r="N1750" s="50">
        <f>IF($T1750="","",IF($S1750="S",IF(INDEX(Firms!$M$5:$M$1004,$T1750)="","",INDEX(Firms!$M$5:$M$1004,$T1750)),IF(INDEX('AFA Rates'!$L$5:$L$1004,$T1750)="","",INDEX('AFA Rates'!$L$5:$L$1004,$T1750))))</f>
        <v/>
      </c>
      <c r="O1750" s="78">
        <f>IF(OR($T1750="",$U1750=""),"",IF(INDEX(Firms!$C$5:$C$1004,$U1750)="","",INDEX(Firms!$C$5:$C$1004,$U1750)))</f>
        <v/>
      </c>
      <c r="P1750" s="79">
        <f>IF(OR($T1750="",$U1750=""),"",IF(INDEX(Firms!$N$5:$N$1004,$U1750)="","",INDEX(Firms!$N$5:$N$1004,$U1750)))</f>
        <v/>
      </c>
      <c r="Q1750" s="78">
        <f>IF($T1750="","",IF($S1750="S",IF(INDEX(Firms!$T$5:$T$1004,$T1750)="","",INDEX(Firms!$T$5:$T$1004,$T1750)),IF(INDEX('AFA Rates'!$M$5:$M$1004,$T1750)="","",INDEX('AFA Rates'!$M$5:$M$1004,$T1750))))</f>
        <v/>
      </c>
      <c r="S1750">
        <f>IF(1746&lt;=$S$2,"S",IF(1746&lt;=$S$2+$T$2,"A",""))</f>
        <v/>
      </c>
      <c r="T1750">
        <f>IF(S1750="S",MATCH(1746,Firms!$W$5:$W$1004,0),IF(S1750="A",IFERROR(MATCH(1746-$S$2,'AFA Rates'!$R$5:$R$1004,0),""),""))</f>
        <v/>
      </c>
      <c r="U1750">
        <f>IF(S1750="S",T1750,IF(AND(S1750="A",T1750&lt;&gt;""),IFERROR(MATCH(INDEX('AFA Rates'!$A$5:$A$1004,T1750),Firms!$A$5:$A$1004,0),""),""))</f>
        <v/>
      </c>
    </row>
    <row r="1751">
      <c r="A1751" s="78">
        <f>IF($T1751="","",IF($S1751="S",IF(INDEX(Firms!$A$5:$A$1004,$T1751)="","",INDEX(Firms!$A$5:$A$1004,$T1751)),IF(INDEX('AFA Rates'!$A$5:$A$1004,$T1751)="","",INDEX('AFA Rates'!$A$5:$A$1004,$T1751))))</f>
        <v/>
      </c>
      <c r="B1751" s="79">
        <f>IF(OR($T1751="",$U1751=""),IF($T1751="","","Not on Firms tab"),INDEX(Firms!$B$5:$B$1004,$U1751)&amp;"")</f>
        <v/>
      </c>
      <c r="C1751" s="78">
        <f>IF($T1751="","",IF($S1751="S","Standard",INDEX('AFA Rates'!$B$5:$B$1004,$T1751)&amp;""))</f>
        <v/>
      </c>
      <c r="D1751" s="88">
        <f>IF($T1751="","",IF($S1751="S",IF(INDEX(Firms!$E$5:$E$1004,$T1751)="","",INDEX(Firms!$E$5:$E$1004,$T1751)),IF(INDEX('AFA Rates'!$C$5:$C$1004,$T1751)="","",INDEX('AFA Rates'!$C$5:$C$1004,$T1751))))</f>
        <v/>
      </c>
      <c r="E1751" s="88">
        <f>IF($T1751="","",IF($S1751="S",IF(""="","",""),IF(INDEX('AFA Rates'!$D$5:$D$1004,$T1751)="","",INDEX('AFA Rates'!$D$5:$D$1004,$T1751))))</f>
        <v/>
      </c>
      <c r="F1751" s="79">
        <f>IF($T1751="","",IF($S1751="S",IF(INDEX(Firms!$O$5:$O$1004,$T1751)="","",INDEX(Firms!$O$5:$O$1004,$T1751)),IF(INDEX('AFA Rates'!$O$5:$O$1004,$T1751)="","",INDEX('AFA Rates'!$O$5:$O$1004,$T1751))))</f>
        <v/>
      </c>
      <c r="G1751" s="50">
        <f>IF($T1751="","",IF($S1751="S",IF(INDEX(Firms!$F$5:$F$1004,$T1751)="","",INDEX(Firms!$F$5:$F$1004,$T1751)),IF(INDEX('AFA Rates'!$E$5:$E$1004,$T1751)="","",INDEX('AFA Rates'!$E$5:$E$1004,$T1751))))</f>
        <v/>
      </c>
      <c r="H1751" s="50">
        <f>IF($T1751="","",IF($S1751="S",IF(INDEX(Firms!$G$5:$G$1004,$T1751)="","",INDEX(Firms!$G$5:$G$1004,$T1751)),IF(INDEX('AFA Rates'!$F$5:$F$1004,$T1751)="","",INDEX('AFA Rates'!$F$5:$F$1004,$T1751))))</f>
        <v/>
      </c>
      <c r="I1751" s="50">
        <f>IF($T1751="","",IF($S1751="S",IF(INDEX(Firms!$H$5:$H$1004,$T1751)="","",INDEX(Firms!$H$5:$H$1004,$T1751)),IF(INDEX('AFA Rates'!$G$5:$G$1004,$T1751)="","",INDEX('AFA Rates'!$G$5:$G$1004,$T1751))))</f>
        <v/>
      </c>
      <c r="J1751" s="50">
        <f>IF($T1751="","",IF($S1751="S",IF(INDEX(Firms!$I$5:$I$1004,$T1751)="","",INDEX(Firms!$I$5:$I$1004,$T1751)),IF(INDEX('AFA Rates'!$H$5:$H$1004,$T1751)="","",INDEX('AFA Rates'!$H$5:$H$1004,$T1751))))</f>
        <v/>
      </c>
      <c r="K1751" s="50">
        <f>IF($T1751="","",IF($S1751="S",IF(INDEX(Firms!$J$5:$J$1004,$T1751)="","",INDEX(Firms!$J$5:$J$1004,$T1751)),IF(INDEX('AFA Rates'!$I$5:$I$1004,$T1751)="","",INDEX('AFA Rates'!$I$5:$I$1004,$T1751))))</f>
        <v/>
      </c>
      <c r="L1751" s="50">
        <f>IF($T1751="","",IF($S1751="S",IF(INDEX(Firms!$K$5:$K$1004,$T1751)="","",INDEX(Firms!$K$5:$K$1004,$T1751)),IF(INDEX('AFA Rates'!$J$5:$J$1004,$T1751)="","",INDEX('AFA Rates'!$J$5:$J$1004,$T1751))))</f>
        <v/>
      </c>
      <c r="M1751" s="50">
        <f>IF($T1751="","",IF($S1751="S",IF(INDEX(Firms!$L$5:$L$1004,$T1751)="","",INDEX(Firms!$L$5:$L$1004,$T1751)),IF(INDEX('AFA Rates'!$K$5:$K$1004,$T1751)="","",INDEX('AFA Rates'!$K$5:$K$1004,$T1751))))</f>
        <v/>
      </c>
      <c r="N1751" s="50">
        <f>IF($T1751="","",IF($S1751="S",IF(INDEX(Firms!$M$5:$M$1004,$T1751)="","",INDEX(Firms!$M$5:$M$1004,$T1751)),IF(INDEX('AFA Rates'!$L$5:$L$1004,$T1751)="","",INDEX('AFA Rates'!$L$5:$L$1004,$T1751))))</f>
        <v/>
      </c>
      <c r="O1751" s="78">
        <f>IF(OR($T1751="",$U1751=""),"",IF(INDEX(Firms!$C$5:$C$1004,$U1751)="","",INDEX(Firms!$C$5:$C$1004,$U1751)))</f>
        <v/>
      </c>
      <c r="P1751" s="79">
        <f>IF(OR($T1751="",$U1751=""),"",IF(INDEX(Firms!$N$5:$N$1004,$U1751)="","",INDEX(Firms!$N$5:$N$1004,$U1751)))</f>
        <v/>
      </c>
      <c r="Q1751" s="78">
        <f>IF($T1751="","",IF($S1751="S",IF(INDEX(Firms!$T$5:$T$1004,$T1751)="","",INDEX(Firms!$T$5:$T$1004,$T1751)),IF(INDEX('AFA Rates'!$M$5:$M$1004,$T1751)="","",INDEX('AFA Rates'!$M$5:$M$1004,$T1751))))</f>
        <v/>
      </c>
      <c r="S1751">
        <f>IF(1747&lt;=$S$2,"S",IF(1747&lt;=$S$2+$T$2,"A",""))</f>
        <v/>
      </c>
      <c r="T1751">
        <f>IF(S1751="S",MATCH(1747,Firms!$W$5:$W$1004,0),IF(S1751="A",IFERROR(MATCH(1747-$S$2,'AFA Rates'!$R$5:$R$1004,0),""),""))</f>
        <v/>
      </c>
      <c r="U1751">
        <f>IF(S1751="S",T1751,IF(AND(S1751="A",T1751&lt;&gt;""),IFERROR(MATCH(INDEX('AFA Rates'!$A$5:$A$1004,T1751),Firms!$A$5:$A$1004,0),""),""))</f>
        <v/>
      </c>
    </row>
    <row r="1752">
      <c r="A1752" s="78">
        <f>IF($T1752="","",IF($S1752="S",IF(INDEX(Firms!$A$5:$A$1004,$T1752)="","",INDEX(Firms!$A$5:$A$1004,$T1752)),IF(INDEX('AFA Rates'!$A$5:$A$1004,$T1752)="","",INDEX('AFA Rates'!$A$5:$A$1004,$T1752))))</f>
        <v/>
      </c>
      <c r="B1752" s="79">
        <f>IF(OR($T1752="",$U1752=""),IF($T1752="","","Not on Firms tab"),INDEX(Firms!$B$5:$B$1004,$U1752)&amp;"")</f>
        <v/>
      </c>
      <c r="C1752" s="78">
        <f>IF($T1752="","",IF($S1752="S","Standard",INDEX('AFA Rates'!$B$5:$B$1004,$T1752)&amp;""))</f>
        <v/>
      </c>
      <c r="D1752" s="88">
        <f>IF($T1752="","",IF($S1752="S",IF(INDEX(Firms!$E$5:$E$1004,$T1752)="","",INDEX(Firms!$E$5:$E$1004,$T1752)),IF(INDEX('AFA Rates'!$C$5:$C$1004,$T1752)="","",INDEX('AFA Rates'!$C$5:$C$1004,$T1752))))</f>
        <v/>
      </c>
      <c r="E1752" s="88">
        <f>IF($T1752="","",IF($S1752="S",IF(""="","",""),IF(INDEX('AFA Rates'!$D$5:$D$1004,$T1752)="","",INDEX('AFA Rates'!$D$5:$D$1004,$T1752))))</f>
        <v/>
      </c>
      <c r="F1752" s="79">
        <f>IF($T1752="","",IF($S1752="S",IF(INDEX(Firms!$O$5:$O$1004,$T1752)="","",INDEX(Firms!$O$5:$O$1004,$T1752)),IF(INDEX('AFA Rates'!$O$5:$O$1004,$T1752)="","",INDEX('AFA Rates'!$O$5:$O$1004,$T1752))))</f>
        <v/>
      </c>
      <c r="G1752" s="50">
        <f>IF($T1752="","",IF($S1752="S",IF(INDEX(Firms!$F$5:$F$1004,$T1752)="","",INDEX(Firms!$F$5:$F$1004,$T1752)),IF(INDEX('AFA Rates'!$E$5:$E$1004,$T1752)="","",INDEX('AFA Rates'!$E$5:$E$1004,$T1752))))</f>
        <v/>
      </c>
      <c r="H1752" s="50">
        <f>IF($T1752="","",IF($S1752="S",IF(INDEX(Firms!$G$5:$G$1004,$T1752)="","",INDEX(Firms!$G$5:$G$1004,$T1752)),IF(INDEX('AFA Rates'!$F$5:$F$1004,$T1752)="","",INDEX('AFA Rates'!$F$5:$F$1004,$T1752))))</f>
        <v/>
      </c>
      <c r="I1752" s="50">
        <f>IF($T1752="","",IF($S1752="S",IF(INDEX(Firms!$H$5:$H$1004,$T1752)="","",INDEX(Firms!$H$5:$H$1004,$T1752)),IF(INDEX('AFA Rates'!$G$5:$G$1004,$T1752)="","",INDEX('AFA Rates'!$G$5:$G$1004,$T1752))))</f>
        <v/>
      </c>
      <c r="J1752" s="50">
        <f>IF($T1752="","",IF($S1752="S",IF(INDEX(Firms!$I$5:$I$1004,$T1752)="","",INDEX(Firms!$I$5:$I$1004,$T1752)),IF(INDEX('AFA Rates'!$H$5:$H$1004,$T1752)="","",INDEX('AFA Rates'!$H$5:$H$1004,$T1752))))</f>
        <v/>
      </c>
      <c r="K1752" s="50">
        <f>IF($T1752="","",IF($S1752="S",IF(INDEX(Firms!$J$5:$J$1004,$T1752)="","",INDEX(Firms!$J$5:$J$1004,$T1752)),IF(INDEX('AFA Rates'!$I$5:$I$1004,$T1752)="","",INDEX('AFA Rates'!$I$5:$I$1004,$T1752))))</f>
        <v/>
      </c>
      <c r="L1752" s="50">
        <f>IF($T1752="","",IF($S1752="S",IF(INDEX(Firms!$K$5:$K$1004,$T1752)="","",INDEX(Firms!$K$5:$K$1004,$T1752)),IF(INDEX('AFA Rates'!$J$5:$J$1004,$T1752)="","",INDEX('AFA Rates'!$J$5:$J$1004,$T1752))))</f>
        <v/>
      </c>
      <c r="M1752" s="50">
        <f>IF($T1752="","",IF($S1752="S",IF(INDEX(Firms!$L$5:$L$1004,$T1752)="","",INDEX(Firms!$L$5:$L$1004,$T1752)),IF(INDEX('AFA Rates'!$K$5:$K$1004,$T1752)="","",INDEX('AFA Rates'!$K$5:$K$1004,$T1752))))</f>
        <v/>
      </c>
      <c r="N1752" s="50">
        <f>IF($T1752="","",IF($S1752="S",IF(INDEX(Firms!$M$5:$M$1004,$T1752)="","",INDEX(Firms!$M$5:$M$1004,$T1752)),IF(INDEX('AFA Rates'!$L$5:$L$1004,$T1752)="","",INDEX('AFA Rates'!$L$5:$L$1004,$T1752))))</f>
        <v/>
      </c>
      <c r="O1752" s="78">
        <f>IF(OR($T1752="",$U1752=""),"",IF(INDEX(Firms!$C$5:$C$1004,$U1752)="","",INDEX(Firms!$C$5:$C$1004,$U1752)))</f>
        <v/>
      </c>
      <c r="P1752" s="79">
        <f>IF(OR($T1752="",$U1752=""),"",IF(INDEX(Firms!$N$5:$N$1004,$U1752)="","",INDEX(Firms!$N$5:$N$1004,$U1752)))</f>
        <v/>
      </c>
      <c r="Q1752" s="78">
        <f>IF($T1752="","",IF($S1752="S",IF(INDEX(Firms!$T$5:$T$1004,$T1752)="","",INDEX(Firms!$T$5:$T$1004,$T1752)),IF(INDEX('AFA Rates'!$M$5:$M$1004,$T1752)="","",INDEX('AFA Rates'!$M$5:$M$1004,$T1752))))</f>
        <v/>
      </c>
      <c r="S1752">
        <f>IF(1748&lt;=$S$2,"S",IF(1748&lt;=$S$2+$T$2,"A",""))</f>
        <v/>
      </c>
      <c r="T1752">
        <f>IF(S1752="S",MATCH(1748,Firms!$W$5:$W$1004,0),IF(S1752="A",IFERROR(MATCH(1748-$S$2,'AFA Rates'!$R$5:$R$1004,0),""),""))</f>
        <v/>
      </c>
      <c r="U1752">
        <f>IF(S1752="S",T1752,IF(AND(S1752="A",T1752&lt;&gt;""),IFERROR(MATCH(INDEX('AFA Rates'!$A$5:$A$1004,T1752),Firms!$A$5:$A$1004,0),""),""))</f>
        <v/>
      </c>
    </row>
    <row r="1753">
      <c r="A1753" s="78">
        <f>IF($T1753="","",IF($S1753="S",IF(INDEX(Firms!$A$5:$A$1004,$T1753)="","",INDEX(Firms!$A$5:$A$1004,$T1753)),IF(INDEX('AFA Rates'!$A$5:$A$1004,$T1753)="","",INDEX('AFA Rates'!$A$5:$A$1004,$T1753))))</f>
        <v/>
      </c>
      <c r="B1753" s="79">
        <f>IF(OR($T1753="",$U1753=""),IF($T1753="","","Not on Firms tab"),INDEX(Firms!$B$5:$B$1004,$U1753)&amp;"")</f>
        <v/>
      </c>
      <c r="C1753" s="78">
        <f>IF($T1753="","",IF($S1753="S","Standard",INDEX('AFA Rates'!$B$5:$B$1004,$T1753)&amp;""))</f>
        <v/>
      </c>
      <c r="D1753" s="88">
        <f>IF($T1753="","",IF($S1753="S",IF(INDEX(Firms!$E$5:$E$1004,$T1753)="","",INDEX(Firms!$E$5:$E$1004,$T1753)),IF(INDEX('AFA Rates'!$C$5:$C$1004,$T1753)="","",INDEX('AFA Rates'!$C$5:$C$1004,$T1753))))</f>
        <v/>
      </c>
      <c r="E1753" s="88">
        <f>IF($T1753="","",IF($S1753="S",IF(""="","",""),IF(INDEX('AFA Rates'!$D$5:$D$1004,$T1753)="","",INDEX('AFA Rates'!$D$5:$D$1004,$T1753))))</f>
        <v/>
      </c>
      <c r="F1753" s="79">
        <f>IF($T1753="","",IF($S1753="S",IF(INDEX(Firms!$O$5:$O$1004,$T1753)="","",INDEX(Firms!$O$5:$O$1004,$T1753)),IF(INDEX('AFA Rates'!$O$5:$O$1004,$T1753)="","",INDEX('AFA Rates'!$O$5:$O$1004,$T1753))))</f>
        <v/>
      </c>
      <c r="G1753" s="50">
        <f>IF($T1753="","",IF($S1753="S",IF(INDEX(Firms!$F$5:$F$1004,$T1753)="","",INDEX(Firms!$F$5:$F$1004,$T1753)),IF(INDEX('AFA Rates'!$E$5:$E$1004,$T1753)="","",INDEX('AFA Rates'!$E$5:$E$1004,$T1753))))</f>
        <v/>
      </c>
      <c r="H1753" s="50">
        <f>IF($T1753="","",IF($S1753="S",IF(INDEX(Firms!$G$5:$G$1004,$T1753)="","",INDEX(Firms!$G$5:$G$1004,$T1753)),IF(INDEX('AFA Rates'!$F$5:$F$1004,$T1753)="","",INDEX('AFA Rates'!$F$5:$F$1004,$T1753))))</f>
        <v/>
      </c>
      <c r="I1753" s="50">
        <f>IF($T1753="","",IF($S1753="S",IF(INDEX(Firms!$H$5:$H$1004,$T1753)="","",INDEX(Firms!$H$5:$H$1004,$T1753)),IF(INDEX('AFA Rates'!$G$5:$G$1004,$T1753)="","",INDEX('AFA Rates'!$G$5:$G$1004,$T1753))))</f>
        <v/>
      </c>
      <c r="J1753" s="50">
        <f>IF($T1753="","",IF($S1753="S",IF(INDEX(Firms!$I$5:$I$1004,$T1753)="","",INDEX(Firms!$I$5:$I$1004,$T1753)),IF(INDEX('AFA Rates'!$H$5:$H$1004,$T1753)="","",INDEX('AFA Rates'!$H$5:$H$1004,$T1753))))</f>
        <v/>
      </c>
      <c r="K1753" s="50">
        <f>IF($T1753="","",IF($S1753="S",IF(INDEX(Firms!$J$5:$J$1004,$T1753)="","",INDEX(Firms!$J$5:$J$1004,$T1753)),IF(INDEX('AFA Rates'!$I$5:$I$1004,$T1753)="","",INDEX('AFA Rates'!$I$5:$I$1004,$T1753))))</f>
        <v/>
      </c>
      <c r="L1753" s="50">
        <f>IF($T1753="","",IF($S1753="S",IF(INDEX(Firms!$K$5:$K$1004,$T1753)="","",INDEX(Firms!$K$5:$K$1004,$T1753)),IF(INDEX('AFA Rates'!$J$5:$J$1004,$T1753)="","",INDEX('AFA Rates'!$J$5:$J$1004,$T1753))))</f>
        <v/>
      </c>
      <c r="M1753" s="50">
        <f>IF($T1753="","",IF($S1753="S",IF(INDEX(Firms!$L$5:$L$1004,$T1753)="","",INDEX(Firms!$L$5:$L$1004,$T1753)),IF(INDEX('AFA Rates'!$K$5:$K$1004,$T1753)="","",INDEX('AFA Rates'!$K$5:$K$1004,$T1753))))</f>
        <v/>
      </c>
      <c r="N1753" s="50">
        <f>IF($T1753="","",IF($S1753="S",IF(INDEX(Firms!$M$5:$M$1004,$T1753)="","",INDEX(Firms!$M$5:$M$1004,$T1753)),IF(INDEX('AFA Rates'!$L$5:$L$1004,$T1753)="","",INDEX('AFA Rates'!$L$5:$L$1004,$T1753))))</f>
        <v/>
      </c>
      <c r="O1753" s="78">
        <f>IF(OR($T1753="",$U1753=""),"",IF(INDEX(Firms!$C$5:$C$1004,$U1753)="","",INDEX(Firms!$C$5:$C$1004,$U1753)))</f>
        <v/>
      </c>
      <c r="P1753" s="79">
        <f>IF(OR($T1753="",$U1753=""),"",IF(INDEX(Firms!$N$5:$N$1004,$U1753)="","",INDEX(Firms!$N$5:$N$1004,$U1753)))</f>
        <v/>
      </c>
      <c r="Q1753" s="78">
        <f>IF($T1753="","",IF($S1753="S",IF(INDEX(Firms!$T$5:$T$1004,$T1753)="","",INDEX(Firms!$T$5:$T$1004,$T1753)),IF(INDEX('AFA Rates'!$M$5:$M$1004,$T1753)="","",INDEX('AFA Rates'!$M$5:$M$1004,$T1753))))</f>
        <v/>
      </c>
      <c r="S1753">
        <f>IF(1749&lt;=$S$2,"S",IF(1749&lt;=$S$2+$T$2,"A",""))</f>
        <v/>
      </c>
      <c r="T1753">
        <f>IF(S1753="S",MATCH(1749,Firms!$W$5:$W$1004,0),IF(S1753="A",IFERROR(MATCH(1749-$S$2,'AFA Rates'!$R$5:$R$1004,0),""),""))</f>
        <v/>
      </c>
      <c r="U1753">
        <f>IF(S1753="S",T1753,IF(AND(S1753="A",T1753&lt;&gt;""),IFERROR(MATCH(INDEX('AFA Rates'!$A$5:$A$1004,T1753),Firms!$A$5:$A$1004,0),""),""))</f>
        <v/>
      </c>
    </row>
    <row r="1754">
      <c r="A1754" s="78">
        <f>IF($T1754="","",IF($S1754="S",IF(INDEX(Firms!$A$5:$A$1004,$T1754)="","",INDEX(Firms!$A$5:$A$1004,$T1754)),IF(INDEX('AFA Rates'!$A$5:$A$1004,$T1754)="","",INDEX('AFA Rates'!$A$5:$A$1004,$T1754))))</f>
        <v/>
      </c>
      <c r="B1754" s="79">
        <f>IF(OR($T1754="",$U1754=""),IF($T1754="","","Not on Firms tab"),INDEX(Firms!$B$5:$B$1004,$U1754)&amp;"")</f>
        <v/>
      </c>
      <c r="C1754" s="78">
        <f>IF($T1754="","",IF($S1754="S","Standard",INDEX('AFA Rates'!$B$5:$B$1004,$T1754)&amp;""))</f>
        <v/>
      </c>
      <c r="D1754" s="88">
        <f>IF($T1754="","",IF($S1754="S",IF(INDEX(Firms!$E$5:$E$1004,$T1754)="","",INDEX(Firms!$E$5:$E$1004,$T1754)),IF(INDEX('AFA Rates'!$C$5:$C$1004,$T1754)="","",INDEX('AFA Rates'!$C$5:$C$1004,$T1754))))</f>
        <v/>
      </c>
      <c r="E1754" s="88">
        <f>IF($T1754="","",IF($S1754="S",IF(""="","",""),IF(INDEX('AFA Rates'!$D$5:$D$1004,$T1754)="","",INDEX('AFA Rates'!$D$5:$D$1004,$T1754))))</f>
        <v/>
      </c>
      <c r="F1754" s="79">
        <f>IF($T1754="","",IF($S1754="S",IF(INDEX(Firms!$O$5:$O$1004,$T1754)="","",INDEX(Firms!$O$5:$O$1004,$T1754)),IF(INDEX('AFA Rates'!$O$5:$O$1004,$T1754)="","",INDEX('AFA Rates'!$O$5:$O$1004,$T1754))))</f>
        <v/>
      </c>
      <c r="G1754" s="50">
        <f>IF($T1754="","",IF($S1754="S",IF(INDEX(Firms!$F$5:$F$1004,$T1754)="","",INDEX(Firms!$F$5:$F$1004,$T1754)),IF(INDEX('AFA Rates'!$E$5:$E$1004,$T1754)="","",INDEX('AFA Rates'!$E$5:$E$1004,$T1754))))</f>
        <v/>
      </c>
      <c r="H1754" s="50">
        <f>IF($T1754="","",IF($S1754="S",IF(INDEX(Firms!$G$5:$G$1004,$T1754)="","",INDEX(Firms!$G$5:$G$1004,$T1754)),IF(INDEX('AFA Rates'!$F$5:$F$1004,$T1754)="","",INDEX('AFA Rates'!$F$5:$F$1004,$T1754))))</f>
        <v/>
      </c>
      <c r="I1754" s="50">
        <f>IF($T1754="","",IF($S1754="S",IF(INDEX(Firms!$H$5:$H$1004,$T1754)="","",INDEX(Firms!$H$5:$H$1004,$T1754)),IF(INDEX('AFA Rates'!$G$5:$G$1004,$T1754)="","",INDEX('AFA Rates'!$G$5:$G$1004,$T1754))))</f>
        <v/>
      </c>
      <c r="J1754" s="50">
        <f>IF($T1754="","",IF($S1754="S",IF(INDEX(Firms!$I$5:$I$1004,$T1754)="","",INDEX(Firms!$I$5:$I$1004,$T1754)),IF(INDEX('AFA Rates'!$H$5:$H$1004,$T1754)="","",INDEX('AFA Rates'!$H$5:$H$1004,$T1754))))</f>
        <v/>
      </c>
      <c r="K1754" s="50">
        <f>IF($T1754="","",IF($S1754="S",IF(INDEX(Firms!$J$5:$J$1004,$T1754)="","",INDEX(Firms!$J$5:$J$1004,$T1754)),IF(INDEX('AFA Rates'!$I$5:$I$1004,$T1754)="","",INDEX('AFA Rates'!$I$5:$I$1004,$T1754))))</f>
        <v/>
      </c>
      <c r="L1754" s="50">
        <f>IF($T1754="","",IF($S1754="S",IF(INDEX(Firms!$K$5:$K$1004,$T1754)="","",INDEX(Firms!$K$5:$K$1004,$T1754)),IF(INDEX('AFA Rates'!$J$5:$J$1004,$T1754)="","",INDEX('AFA Rates'!$J$5:$J$1004,$T1754))))</f>
        <v/>
      </c>
      <c r="M1754" s="50">
        <f>IF($T1754="","",IF($S1754="S",IF(INDEX(Firms!$L$5:$L$1004,$T1754)="","",INDEX(Firms!$L$5:$L$1004,$T1754)),IF(INDEX('AFA Rates'!$K$5:$K$1004,$T1754)="","",INDEX('AFA Rates'!$K$5:$K$1004,$T1754))))</f>
        <v/>
      </c>
      <c r="N1754" s="50">
        <f>IF($T1754="","",IF($S1754="S",IF(INDEX(Firms!$M$5:$M$1004,$T1754)="","",INDEX(Firms!$M$5:$M$1004,$T1754)),IF(INDEX('AFA Rates'!$L$5:$L$1004,$T1754)="","",INDEX('AFA Rates'!$L$5:$L$1004,$T1754))))</f>
        <v/>
      </c>
      <c r="O1754" s="78">
        <f>IF(OR($T1754="",$U1754=""),"",IF(INDEX(Firms!$C$5:$C$1004,$U1754)="","",INDEX(Firms!$C$5:$C$1004,$U1754)))</f>
        <v/>
      </c>
      <c r="P1754" s="79">
        <f>IF(OR($T1754="",$U1754=""),"",IF(INDEX(Firms!$N$5:$N$1004,$U1754)="","",INDEX(Firms!$N$5:$N$1004,$U1754)))</f>
        <v/>
      </c>
      <c r="Q1754" s="78">
        <f>IF($T1754="","",IF($S1754="S",IF(INDEX(Firms!$T$5:$T$1004,$T1754)="","",INDEX(Firms!$T$5:$T$1004,$T1754)),IF(INDEX('AFA Rates'!$M$5:$M$1004,$T1754)="","",INDEX('AFA Rates'!$M$5:$M$1004,$T1754))))</f>
        <v/>
      </c>
      <c r="S1754">
        <f>IF(1750&lt;=$S$2,"S",IF(1750&lt;=$S$2+$T$2,"A",""))</f>
        <v/>
      </c>
      <c r="T1754">
        <f>IF(S1754="S",MATCH(1750,Firms!$W$5:$W$1004,0),IF(S1754="A",IFERROR(MATCH(1750-$S$2,'AFA Rates'!$R$5:$R$1004,0),""),""))</f>
        <v/>
      </c>
      <c r="U1754">
        <f>IF(S1754="S",T1754,IF(AND(S1754="A",T1754&lt;&gt;""),IFERROR(MATCH(INDEX('AFA Rates'!$A$5:$A$1004,T1754),Firms!$A$5:$A$1004,0),""),""))</f>
        <v/>
      </c>
    </row>
    <row r="1755">
      <c r="A1755" s="78">
        <f>IF($T1755="","",IF($S1755="S",IF(INDEX(Firms!$A$5:$A$1004,$T1755)="","",INDEX(Firms!$A$5:$A$1004,$T1755)),IF(INDEX('AFA Rates'!$A$5:$A$1004,$T1755)="","",INDEX('AFA Rates'!$A$5:$A$1004,$T1755))))</f>
        <v/>
      </c>
      <c r="B1755" s="79">
        <f>IF(OR($T1755="",$U1755=""),IF($T1755="","","Not on Firms tab"),INDEX(Firms!$B$5:$B$1004,$U1755)&amp;"")</f>
        <v/>
      </c>
      <c r="C1755" s="78">
        <f>IF($T1755="","",IF($S1755="S","Standard",INDEX('AFA Rates'!$B$5:$B$1004,$T1755)&amp;""))</f>
        <v/>
      </c>
      <c r="D1755" s="88">
        <f>IF($T1755="","",IF($S1755="S",IF(INDEX(Firms!$E$5:$E$1004,$T1755)="","",INDEX(Firms!$E$5:$E$1004,$T1755)),IF(INDEX('AFA Rates'!$C$5:$C$1004,$T1755)="","",INDEX('AFA Rates'!$C$5:$C$1004,$T1755))))</f>
        <v/>
      </c>
      <c r="E1755" s="88">
        <f>IF($T1755="","",IF($S1755="S",IF(""="","",""),IF(INDEX('AFA Rates'!$D$5:$D$1004,$T1755)="","",INDEX('AFA Rates'!$D$5:$D$1004,$T1755))))</f>
        <v/>
      </c>
      <c r="F1755" s="79">
        <f>IF($T1755="","",IF($S1755="S",IF(INDEX(Firms!$O$5:$O$1004,$T1755)="","",INDEX(Firms!$O$5:$O$1004,$T1755)),IF(INDEX('AFA Rates'!$O$5:$O$1004,$T1755)="","",INDEX('AFA Rates'!$O$5:$O$1004,$T1755))))</f>
        <v/>
      </c>
      <c r="G1755" s="50">
        <f>IF($T1755="","",IF($S1755="S",IF(INDEX(Firms!$F$5:$F$1004,$T1755)="","",INDEX(Firms!$F$5:$F$1004,$T1755)),IF(INDEX('AFA Rates'!$E$5:$E$1004,$T1755)="","",INDEX('AFA Rates'!$E$5:$E$1004,$T1755))))</f>
        <v/>
      </c>
      <c r="H1755" s="50">
        <f>IF($T1755="","",IF($S1755="S",IF(INDEX(Firms!$G$5:$G$1004,$T1755)="","",INDEX(Firms!$G$5:$G$1004,$T1755)),IF(INDEX('AFA Rates'!$F$5:$F$1004,$T1755)="","",INDEX('AFA Rates'!$F$5:$F$1004,$T1755))))</f>
        <v/>
      </c>
      <c r="I1755" s="50">
        <f>IF($T1755="","",IF($S1755="S",IF(INDEX(Firms!$H$5:$H$1004,$T1755)="","",INDEX(Firms!$H$5:$H$1004,$T1755)),IF(INDEX('AFA Rates'!$G$5:$G$1004,$T1755)="","",INDEX('AFA Rates'!$G$5:$G$1004,$T1755))))</f>
        <v/>
      </c>
      <c r="J1755" s="50">
        <f>IF($T1755="","",IF($S1755="S",IF(INDEX(Firms!$I$5:$I$1004,$T1755)="","",INDEX(Firms!$I$5:$I$1004,$T1755)),IF(INDEX('AFA Rates'!$H$5:$H$1004,$T1755)="","",INDEX('AFA Rates'!$H$5:$H$1004,$T1755))))</f>
        <v/>
      </c>
      <c r="K1755" s="50">
        <f>IF($T1755="","",IF($S1755="S",IF(INDEX(Firms!$J$5:$J$1004,$T1755)="","",INDEX(Firms!$J$5:$J$1004,$T1755)),IF(INDEX('AFA Rates'!$I$5:$I$1004,$T1755)="","",INDEX('AFA Rates'!$I$5:$I$1004,$T1755))))</f>
        <v/>
      </c>
      <c r="L1755" s="50">
        <f>IF($T1755="","",IF($S1755="S",IF(INDEX(Firms!$K$5:$K$1004,$T1755)="","",INDEX(Firms!$K$5:$K$1004,$T1755)),IF(INDEX('AFA Rates'!$J$5:$J$1004,$T1755)="","",INDEX('AFA Rates'!$J$5:$J$1004,$T1755))))</f>
        <v/>
      </c>
      <c r="M1755" s="50">
        <f>IF($T1755="","",IF($S1755="S",IF(INDEX(Firms!$L$5:$L$1004,$T1755)="","",INDEX(Firms!$L$5:$L$1004,$T1755)),IF(INDEX('AFA Rates'!$K$5:$K$1004,$T1755)="","",INDEX('AFA Rates'!$K$5:$K$1004,$T1755))))</f>
        <v/>
      </c>
      <c r="N1755" s="50">
        <f>IF($T1755="","",IF($S1755="S",IF(INDEX(Firms!$M$5:$M$1004,$T1755)="","",INDEX(Firms!$M$5:$M$1004,$T1755)),IF(INDEX('AFA Rates'!$L$5:$L$1004,$T1755)="","",INDEX('AFA Rates'!$L$5:$L$1004,$T1755))))</f>
        <v/>
      </c>
      <c r="O1755" s="78">
        <f>IF(OR($T1755="",$U1755=""),"",IF(INDEX(Firms!$C$5:$C$1004,$U1755)="","",INDEX(Firms!$C$5:$C$1004,$U1755)))</f>
        <v/>
      </c>
      <c r="P1755" s="79">
        <f>IF(OR($T1755="",$U1755=""),"",IF(INDEX(Firms!$N$5:$N$1004,$U1755)="","",INDEX(Firms!$N$5:$N$1004,$U1755)))</f>
        <v/>
      </c>
      <c r="Q1755" s="78">
        <f>IF($T1755="","",IF($S1755="S",IF(INDEX(Firms!$T$5:$T$1004,$T1755)="","",INDEX(Firms!$T$5:$T$1004,$T1755)),IF(INDEX('AFA Rates'!$M$5:$M$1004,$T1755)="","",INDEX('AFA Rates'!$M$5:$M$1004,$T1755))))</f>
        <v/>
      </c>
      <c r="S1755">
        <f>IF(1751&lt;=$S$2,"S",IF(1751&lt;=$S$2+$T$2,"A",""))</f>
        <v/>
      </c>
      <c r="T1755">
        <f>IF(S1755="S",MATCH(1751,Firms!$W$5:$W$1004,0),IF(S1755="A",IFERROR(MATCH(1751-$S$2,'AFA Rates'!$R$5:$R$1004,0),""),""))</f>
        <v/>
      </c>
      <c r="U1755">
        <f>IF(S1755="S",T1755,IF(AND(S1755="A",T1755&lt;&gt;""),IFERROR(MATCH(INDEX('AFA Rates'!$A$5:$A$1004,T1755),Firms!$A$5:$A$1004,0),""),""))</f>
        <v/>
      </c>
    </row>
    <row r="1756">
      <c r="A1756" s="78">
        <f>IF($T1756="","",IF($S1756="S",IF(INDEX(Firms!$A$5:$A$1004,$T1756)="","",INDEX(Firms!$A$5:$A$1004,$T1756)),IF(INDEX('AFA Rates'!$A$5:$A$1004,$T1756)="","",INDEX('AFA Rates'!$A$5:$A$1004,$T1756))))</f>
        <v/>
      </c>
      <c r="B1756" s="79">
        <f>IF(OR($T1756="",$U1756=""),IF($T1756="","","Not on Firms tab"),INDEX(Firms!$B$5:$B$1004,$U1756)&amp;"")</f>
        <v/>
      </c>
      <c r="C1756" s="78">
        <f>IF($T1756="","",IF($S1756="S","Standard",INDEX('AFA Rates'!$B$5:$B$1004,$T1756)&amp;""))</f>
        <v/>
      </c>
      <c r="D1756" s="88">
        <f>IF($T1756="","",IF($S1756="S",IF(INDEX(Firms!$E$5:$E$1004,$T1756)="","",INDEX(Firms!$E$5:$E$1004,$T1756)),IF(INDEX('AFA Rates'!$C$5:$C$1004,$T1756)="","",INDEX('AFA Rates'!$C$5:$C$1004,$T1756))))</f>
        <v/>
      </c>
      <c r="E1756" s="88">
        <f>IF($T1756="","",IF($S1756="S",IF(""="","",""),IF(INDEX('AFA Rates'!$D$5:$D$1004,$T1756)="","",INDEX('AFA Rates'!$D$5:$D$1004,$T1756))))</f>
        <v/>
      </c>
      <c r="F1756" s="79">
        <f>IF($T1756="","",IF($S1756="S",IF(INDEX(Firms!$O$5:$O$1004,$T1756)="","",INDEX(Firms!$O$5:$O$1004,$T1756)),IF(INDEX('AFA Rates'!$O$5:$O$1004,$T1756)="","",INDEX('AFA Rates'!$O$5:$O$1004,$T1756))))</f>
        <v/>
      </c>
      <c r="G1756" s="50">
        <f>IF($T1756="","",IF($S1756="S",IF(INDEX(Firms!$F$5:$F$1004,$T1756)="","",INDEX(Firms!$F$5:$F$1004,$T1756)),IF(INDEX('AFA Rates'!$E$5:$E$1004,$T1756)="","",INDEX('AFA Rates'!$E$5:$E$1004,$T1756))))</f>
        <v/>
      </c>
      <c r="H1756" s="50">
        <f>IF($T1756="","",IF($S1756="S",IF(INDEX(Firms!$G$5:$G$1004,$T1756)="","",INDEX(Firms!$G$5:$G$1004,$T1756)),IF(INDEX('AFA Rates'!$F$5:$F$1004,$T1756)="","",INDEX('AFA Rates'!$F$5:$F$1004,$T1756))))</f>
        <v/>
      </c>
      <c r="I1756" s="50">
        <f>IF($T1756="","",IF($S1756="S",IF(INDEX(Firms!$H$5:$H$1004,$T1756)="","",INDEX(Firms!$H$5:$H$1004,$T1756)),IF(INDEX('AFA Rates'!$G$5:$G$1004,$T1756)="","",INDEX('AFA Rates'!$G$5:$G$1004,$T1756))))</f>
        <v/>
      </c>
      <c r="J1756" s="50">
        <f>IF($T1756="","",IF($S1756="S",IF(INDEX(Firms!$I$5:$I$1004,$T1756)="","",INDEX(Firms!$I$5:$I$1004,$T1756)),IF(INDEX('AFA Rates'!$H$5:$H$1004,$T1756)="","",INDEX('AFA Rates'!$H$5:$H$1004,$T1756))))</f>
        <v/>
      </c>
      <c r="K1756" s="50">
        <f>IF($T1756="","",IF($S1756="S",IF(INDEX(Firms!$J$5:$J$1004,$T1756)="","",INDEX(Firms!$J$5:$J$1004,$T1756)),IF(INDEX('AFA Rates'!$I$5:$I$1004,$T1756)="","",INDEX('AFA Rates'!$I$5:$I$1004,$T1756))))</f>
        <v/>
      </c>
      <c r="L1756" s="50">
        <f>IF($T1756="","",IF($S1756="S",IF(INDEX(Firms!$K$5:$K$1004,$T1756)="","",INDEX(Firms!$K$5:$K$1004,$T1756)),IF(INDEX('AFA Rates'!$J$5:$J$1004,$T1756)="","",INDEX('AFA Rates'!$J$5:$J$1004,$T1756))))</f>
        <v/>
      </c>
      <c r="M1756" s="50">
        <f>IF($T1756="","",IF($S1756="S",IF(INDEX(Firms!$L$5:$L$1004,$T1756)="","",INDEX(Firms!$L$5:$L$1004,$T1756)),IF(INDEX('AFA Rates'!$K$5:$K$1004,$T1756)="","",INDEX('AFA Rates'!$K$5:$K$1004,$T1756))))</f>
        <v/>
      </c>
      <c r="N1756" s="50">
        <f>IF($T1756="","",IF($S1756="S",IF(INDEX(Firms!$M$5:$M$1004,$T1756)="","",INDEX(Firms!$M$5:$M$1004,$T1756)),IF(INDEX('AFA Rates'!$L$5:$L$1004,$T1756)="","",INDEX('AFA Rates'!$L$5:$L$1004,$T1756))))</f>
        <v/>
      </c>
      <c r="O1756" s="78">
        <f>IF(OR($T1756="",$U1756=""),"",IF(INDEX(Firms!$C$5:$C$1004,$U1756)="","",INDEX(Firms!$C$5:$C$1004,$U1756)))</f>
        <v/>
      </c>
      <c r="P1756" s="79">
        <f>IF(OR($T1756="",$U1756=""),"",IF(INDEX(Firms!$N$5:$N$1004,$U1756)="","",INDEX(Firms!$N$5:$N$1004,$U1756)))</f>
        <v/>
      </c>
      <c r="Q1756" s="78">
        <f>IF($T1756="","",IF($S1756="S",IF(INDEX(Firms!$T$5:$T$1004,$T1756)="","",INDEX(Firms!$T$5:$T$1004,$T1756)),IF(INDEX('AFA Rates'!$M$5:$M$1004,$T1756)="","",INDEX('AFA Rates'!$M$5:$M$1004,$T1756))))</f>
        <v/>
      </c>
      <c r="S1756">
        <f>IF(1752&lt;=$S$2,"S",IF(1752&lt;=$S$2+$T$2,"A",""))</f>
        <v/>
      </c>
      <c r="T1756">
        <f>IF(S1756="S",MATCH(1752,Firms!$W$5:$W$1004,0),IF(S1756="A",IFERROR(MATCH(1752-$S$2,'AFA Rates'!$R$5:$R$1004,0),""),""))</f>
        <v/>
      </c>
      <c r="U1756">
        <f>IF(S1756="S",T1756,IF(AND(S1756="A",T1756&lt;&gt;""),IFERROR(MATCH(INDEX('AFA Rates'!$A$5:$A$1004,T1756),Firms!$A$5:$A$1004,0),""),""))</f>
        <v/>
      </c>
    </row>
    <row r="1757">
      <c r="A1757" s="78">
        <f>IF($T1757="","",IF($S1757="S",IF(INDEX(Firms!$A$5:$A$1004,$T1757)="","",INDEX(Firms!$A$5:$A$1004,$T1757)),IF(INDEX('AFA Rates'!$A$5:$A$1004,$T1757)="","",INDEX('AFA Rates'!$A$5:$A$1004,$T1757))))</f>
        <v/>
      </c>
      <c r="B1757" s="79">
        <f>IF(OR($T1757="",$U1757=""),IF($T1757="","","Not on Firms tab"),INDEX(Firms!$B$5:$B$1004,$U1757)&amp;"")</f>
        <v/>
      </c>
      <c r="C1757" s="78">
        <f>IF($T1757="","",IF($S1757="S","Standard",INDEX('AFA Rates'!$B$5:$B$1004,$T1757)&amp;""))</f>
        <v/>
      </c>
      <c r="D1757" s="88">
        <f>IF($T1757="","",IF($S1757="S",IF(INDEX(Firms!$E$5:$E$1004,$T1757)="","",INDEX(Firms!$E$5:$E$1004,$T1757)),IF(INDEX('AFA Rates'!$C$5:$C$1004,$T1757)="","",INDEX('AFA Rates'!$C$5:$C$1004,$T1757))))</f>
        <v/>
      </c>
      <c r="E1757" s="88">
        <f>IF($T1757="","",IF($S1757="S",IF(""="","",""),IF(INDEX('AFA Rates'!$D$5:$D$1004,$T1757)="","",INDEX('AFA Rates'!$D$5:$D$1004,$T1757))))</f>
        <v/>
      </c>
      <c r="F1757" s="79">
        <f>IF($T1757="","",IF($S1757="S",IF(INDEX(Firms!$O$5:$O$1004,$T1757)="","",INDEX(Firms!$O$5:$O$1004,$T1757)),IF(INDEX('AFA Rates'!$O$5:$O$1004,$T1757)="","",INDEX('AFA Rates'!$O$5:$O$1004,$T1757))))</f>
        <v/>
      </c>
      <c r="G1757" s="50">
        <f>IF($T1757="","",IF($S1757="S",IF(INDEX(Firms!$F$5:$F$1004,$T1757)="","",INDEX(Firms!$F$5:$F$1004,$T1757)),IF(INDEX('AFA Rates'!$E$5:$E$1004,$T1757)="","",INDEX('AFA Rates'!$E$5:$E$1004,$T1757))))</f>
        <v/>
      </c>
      <c r="H1757" s="50">
        <f>IF($T1757="","",IF($S1757="S",IF(INDEX(Firms!$G$5:$G$1004,$T1757)="","",INDEX(Firms!$G$5:$G$1004,$T1757)),IF(INDEX('AFA Rates'!$F$5:$F$1004,$T1757)="","",INDEX('AFA Rates'!$F$5:$F$1004,$T1757))))</f>
        <v/>
      </c>
      <c r="I1757" s="50">
        <f>IF($T1757="","",IF($S1757="S",IF(INDEX(Firms!$H$5:$H$1004,$T1757)="","",INDEX(Firms!$H$5:$H$1004,$T1757)),IF(INDEX('AFA Rates'!$G$5:$G$1004,$T1757)="","",INDEX('AFA Rates'!$G$5:$G$1004,$T1757))))</f>
        <v/>
      </c>
      <c r="J1757" s="50">
        <f>IF($T1757="","",IF($S1757="S",IF(INDEX(Firms!$I$5:$I$1004,$T1757)="","",INDEX(Firms!$I$5:$I$1004,$T1757)),IF(INDEX('AFA Rates'!$H$5:$H$1004,$T1757)="","",INDEX('AFA Rates'!$H$5:$H$1004,$T1757))))</f>
        <v/>
      </c>
      <c r="K1757" s="50">
        <f>IF($T1757="","",IF($S1757="S",IF(INDEX(Firms!$J$5:$J$1004,$T1757)="","",INDEX(Firms!$J$5:$J$1004,$T1757)),IF(INDEX('AFA Rates'!$I$5:$I$1004,$T1757)="","",INDEX('AFA Rates'!$I$5:$I$1004,$T1757))))</f>
        <v/>
      </c>
      <c r="L1757" s="50">
        <f>IF($T1757="","",IF($S1757="S",IF(INDEX(Firms!$K$5:$K$1004,$T1757)="","",INDEX(Firms!$K$5:$K$1004,$T1757)),IF(INDEX('AFA Rates'!$J$5:$J$1004,$T1757)="","",INDEX('AFA Rates'!$J$5:$J$1004,$T1757))))</f>
        <v/>
      </c>
      <c r="M1757" s="50">
        <f>IF($T1757="","",IF($S1757="S",IF(INDEX(Firms!$L$5:$L$1004,$T1757)="","",INDEX(Firms!$L$5:$L$1004,$T1757)),IF(INDEX('AFA Rates'!$K$5:$K$1004,$T1757)="","",INDEX('AFA Rates'!$K$5:$K$1004,$T1757))))</f>
        <v/>
      </c>
      <c r="N1757" s="50">
        <f>IF($T1757="","",IF($S1757="S",IF(INDEX(Firms!$M$5:$M$1004,$T1757)="","",INDEX(Firms!$M$5:$M$1004,$T1757)),IF(INDEX('AFA Rates'!$L$5:$L$1004,$T1757)="","",INDEX('AFA Rates'!$L$5:$L$1004,$T1757))))</f>
        <v/>
      </c>
      <c r="O1757" s="78">
        <f>IF(OR($T1757="",$U1757=""),"",IF(INDEX(Firms!$C$5:$C$1004,$U1757)="","",INDEX(Firms!$C$5:$C$1004,$U1757)))</f>
        <v/>
      </c>
      <c r="P1757" s="79">
        <f>IF(OR($T1757="",$U1757=""),"",IF(INDEX(Firms!$N$5:$N$1004,$U1757)="","",INDEX(Firms!$N$5:$N$1004,$U1757)))</f>
        <v/>
      </c>
      <c r="Q1757" s="78">
        <f>IF($T1757="","",IF($S1757="S",IF(INDEX(Firms!$T$5:$T$1004,$T1757)="","",INDEX(Firms!$T$5:$T$1004,$T1757)),IF(INDEX('AFA Rates'!$M$5:$M$1004,$T1757)="","",INDEX('AFA Rates'!$M$5:$M$1004,$T1757))))</f>
        <v/>
      </c>
      <c r="S1757">
        <f>IF(1753&lt;=$S$2,"S",IF(1753&lt;=$S$2+$T$2,"A",""))</f>
        <v/>
      </c>
      <c r="T1757">
        <f>IF(S1757="S",MATCH(1753,Firms!$W$5:$W$1004,0),IF(S1757="A",IFERROR(MATCH(1753-$S$2,'AFA Rates'!$R$5:$R$1004,0),""),""))</f>
        <v/>
      </c>
      <c r="U1757">
        <f>IF(S1757="S",T1757,IF(AND(S1757="A",T1757&lt;&gt;""),IFERROR(MATCH(INDEX('AFA Rates'!$A$5:$A$1004,T1757),Firms!$A$5:$A$1004,0),""),""))</f>
        <v/>
      </c>
    </row>
    <row r="1758">
      <c r="A1758" s="78">
        <f>IF($T1758="","",IF($S1758="S",IF(INDEX(Firms!$A$5:$A$1004,$T1758)="","",INDEX(Firms!$A$5:$A$1004,$T1758)),IF(INDEX('AFA Rates'!$A$5:$A$1004,$T1758)="","",INDEX('AFA Rates'!$A$5:$A$1004,$T1758))))</f>
        <v/>
      </c>
      <c r="B1758" s="79">
        <f>IF(OR($T1758="",$U1758=""),IF($T1758="","","Not on Firms tab"),INDEX(Firms!$B$5:$B$1004,$U1758)&amp;"")</f>
        <v/>
      </c>
      <c r="C1758" s="78">
        <f>IF($T1758="","",IF($S1758="S","Standard",INDEX('AFA Rates'!$B$5:$B$1004,$T1758)&amp;""))</f>
        <v/>
      </c>
      <c r="D1758" s="88">
        <f>IF($T1758="","",IF($S1758="S",IF(INDEX(Firms!$E$5:$E$1004,$T1758)="","",INDEX(Firms!$E$5:$E$1004,$T1758)),IF(INDEX('AFA Rates'!$C$5:$C$1004,$T1758)="","",INDEX('AFA Rates'!$C$5:$C$1004,$T1758))))</f>
        <v/>
      </c>
      <c r="E1758" s="88">
        <f>IF($T1758="","",IF($S1758="S",IF(""="","",""),IF(INDEX('AFA Rates'!$D$5:$D$1004,$T1758)="","",INDEX('AFA Rates'!$D$5:$D$1004,$T1758))))</f>
        <v/>
      </c>
      <c r="F1758" s="79">
        <f>IF($T1758="","",IF($S1758="S",IF(INDEX(Firms!$O$5:$O$1004,$T1758)="","",INDEX(Firms!$O$5:$O$1004,$T1758)),IF(INDEX('AFA Rates'!$O$5:$O$1004,$T1758)="","",INDEX('AFA Rates'!$O$5:$O$1004,$T1758))))</f>
        <v/>
      </c>
      <c r="G1758" s="50">
        <f>IF($T1758="","",IF($S1758="S",IF(INDEX(Firms!$F$5:$F$1004,$T1758)="","",INDEX(Firms!$F$5:$F$1004,$T1758)),IF(INDEX('AFA Rates'!$E$5:$E$1004,$T1758)="","",INDEX('AFA Rates'!$E$5:$E$1004,$T1758))))</f>
        <v/>
      </c>
      <c r="H1758" s="50">
        <f>IF($T1758="","",IF($S1758="S",IF(INDEX(Firms!$G$5:$G$1004,$T1758)="","",INDEX(Firms!$G$5:$G$1004,$T1758)),IF(INDEX('AFA Rates'!$F$5:$F$1004,$T1758)="","",INDEX('AFA Rates'!$F$5:$F$1004,$T1758))))</f>
        <v/>
      </c>
      <c r="I1758" s="50">
        <f>IF($T1758="","",IF($S1758="S",IF(INDEX(Firms!$H$5:$H$1004,$T1758)="","",INDEX(Firms!$H$5:$H$1004,$T1758)),IF(INDEX('AFA Rates'!$G$5:$G$1004,$T1758)="","",INDEX('AFA Rates'!$G$5:$G$1004,$T1758))))</f>
        <v/>
      </c>
      <c r="J1758" s="50">
        <f>IF($T1758="","",IF($S1758="S",IF(INDEX(Firms!$I$5:$I$1004,$T1758)="","",INDEX(Firms!$I$5:$I$1004,$T1758)),IF(INDEX('AFA Rates'!$H$5:$H$1004,$T1758)="","",INDEX('AFA Rates'!$H$5:$H$1004,$T1758))))</f>
        <v/>
      </c>
      <c r="K1758" s="50">
        <f>IF($T1758="","",IF($S1758="S",IF(INDEX(Firms!$J$5:$J$1004,$T1758)="","",INDEX(Firms!$J$5:$J$1004,$T1758)),IF(INDEX('AFA Rates'!$I$5:$I$1004,$T1758)="","",INDEX('AFA Rates'!$I$5:$I$1004,$T1758))))</f>
        <v/>
      </c>
      <c r="L1758" s="50">
        <f>IF($T1758="","",IF($S1758="S",IF(INDEX(Firms!$K$5:$K$1004,$T1758)="","",INDEX(Firms!$K$5:$K$1004,$T1758)),IF(INDEX('AFA Rates'!$J$5:$J$1004,$T1758)="","",INDEX('AFA Rates'!$J$5:$J$1004,$T1758))))</f>
        <v/>
      </c>
      <c r="M1758" s="50">
        <f>IF($T1758="","",IF($S1758="S",IF(INDEX(Firms!$L$5:$L$1004,$T1758)="","",INDEX(Firms!$L$5:$L$1004,$T1758)),IF(INDEX('AFA Rates'!$K$5:$K$1004,$T1758)="","",INDEX('AFA Rates'!$K$5:$K$1004,$T1758))))</f>
        <v/>
      </c>
      <c r="N1758" s="50">
        <f>IF($T1758="","",IF($S1758="S",IF(INDEX(Firms!$M$5:$M$1004,$T1758)="","",INDEX(Firms!$M$5:$M$1004,$T1758)),IF(INDEX('AFA Rates'!$L$5:$L$1004,$T1758)="","",INDEX('AFA Rates'!$L$5:$L$1004,$T1758))))</f>
        <v/>
      </c>
      <c r="O1758" s="78">
        <f>IF(OR($T1758="",$U1758=""),"",IF(INDEX(Firms!$C$5:$C$1004,$U1758)="","",INDEX(Firms!$C$5:$C$1004,$U1758)))</f>
        <v/>
      </c>
      <c r="P1758" s="79">
        <f>IF(OR($T1758="",$U1758=""),"",IF(INDEX(Firms!$N$5:$N$1004,$U1758)="","",INDEX(Firms!$N$5:$N$1004,$U1758)))</f>
        <v/>
      </c>
      <c r="Q1758" s="78">
        <f>IF($T1758="","",IF($S1758="S",IF(INDEX(Firms!$T$5:$T$1004,$T1758)="","",INDEX(Firms!$T$5:$T$1004,$T1758)),IF(INDEX('AFA Rates'!$M$5:$M$1004,$T1758)="","",INDEX('AFA Rates'!$M$5:$M$1004,$T1758))))</f>
        <v/>
      </c>
      <c r="S1758">
        <f>IF(1754&lt;=$S$2,"S",IF(1754&lt;=$S$2+$T$2,"A",""))</f>
        <v/>
      </c>
      <c r="T1758">
        <f>IF(S1758="S",MATCH(1754,Firms!$W$5:$W$1004,0),IF(S1758="A",IFERROR(MATCH(1754-$S$2,'AFA Rates'!$R$5:$R$1004,0),""),""))</f>
        <v/>
      </c>
      <c r="U1758">
        <f>IF(S1758="S",T1758,IF(AND(S1758="A",T1758&lt;&gt;""),IFERROR(MATCH(INDEX('AFA Rates'!$A$5:$A$1004,T1758),Firms!$A$5:$A$1004,0),""),""))</f>
        <v/>
      </c>
    </row>
    <row r="1759">
      <c r="A1759" s="78">
        <f>IF($T1759="","",IF($S1759="S",IF(INDEX(Firms!$A$5:$A$1004,$T1759)="","",INDEX(Firms!$A$5:$A$1004,$T1759)),IF(INDEX('AFA Rates'!$A$5:$A$1004,$T1759)="","",INDEX('AFA Rates'!$A$5:$A$1004,$T1759))))</f>
        <v/>
      </c>
      <c r="B1759" s="79">
        <f>IF(OR($T1759="",$U1759=""),IF($T1759="","","Not on Firms tab"),INDEX(Firms!$B$5:$B$1004,$U1759)&amp;"")</f>
        <v/>
      </c>
      <c r="C1759" s="78">
        <f>IF($T1759="","",IF($S1759="S","Standard",INDEX('AFA Rates'!$B$5:$B$1004,$T1759)&amp;""))</f>
        <v/>
      </c>
      <c r="D1759" s="88">
        <f>IF($T1759="","",IF($S1759="S",IF(INDEX(Firms!$E$5:$E$1004,$T1759)="","",INDEX(Firms!$E$5:$E$1004,$T1759)),IF(INDEX('AFA Rates'!$C$5:$C$1004,$T1759)="","",INDEX('AFA Rates'!$C$5:$C$1004,$T1759))))</f>
        <v/>
      </c>
      <c r="E1759" s="88">
        <f>IF($T1759="","",IF($S1759="S",IF(""="","",""),IF(INDEX('AFA Rates'!$D$5:$D$1004,$T1759)="","",INDEX('AFA Rates'!$D$5:$D$1004,$T1759))))</f>
        <v/>
      </c>
      <c r="F1759" s="79">
        <f>IF($T1759="","",IF($S1759="S",IF(INDEX(Firms!$O$5:$O$1004,$T1759)="","",INDEX(Firms!$O$5:$O$1004,$T1759)),IF(INDEX('AFA Rates'!$O$5:$O$1004,$T1759)="","",INDEX('AFA Rates'!$O$5:$O$1004,$T1759))))</f>
        <v/>
      </c>
      <c r="G1759" s="50">
        <f>IF($T1759="","",IF($S1759="S",IF(INDEX(Firms!$F$5:$F$1004,$T1759)="","",INDEX(Firms!$F$5:$F$1004,$T1759)),IF(INDEX('AFA Rates'!$E$5:$E$1004,$T1759)="","",INDEX('AFA Rates'!$E$5:$E$1004,$T1759))))</f>
        <v/>
      </c>
      <c r="H1759" s="50">
        <f>IF($T1759="","",IF($S1759="S",IF(INDEX(Firms!$G$5:$G$1004,$T1759)="","",INDEX(Firms!$G$5:$G$1004,$T1759)),IF(INDEX('AFA Rates'!$F$5:$F$1004,$T1759)="","",INDEX('AFA Rates'!$F$5:$F$1004,$T1759))))</f>
        <v/>
      </c>
      <c r="I1759" s="50">
        <f>IF($T1759="","",IF($S1759="S",IF(INDEX(Firms!$H$5:$H$1004,$T1759)="","",INDEX(Firms!$H$5:$H$1004,$T1759)),IF(INDEX('AFA Rates'!$G$5:$G$1004,$T1759)="","",INDEX('AFA Rates'!$G$5:$G$1004,$T1759))))</f>
        <v/>
      </c>
      <c r="J1759" s="50">
        <f>IF($T1759="","",IF($S1759="S",IF(INDEX(Firms!$I$5:$I$1004,$T1759)="","",INDEX(Firms!$I$5:$I$1004,$T1759)),IF(INDEX('AFA Rates'!$H$5:$H$1004,$T1759)="","",INDEX('AFA Rates'!$H$5:$H$1004,$T1759))))</f>
        <v/>
      </c>
      <c r="K1759" s="50">
        <f>IF($T1759="","",IF($S1759="S",IF(INDEX(Firms!$J$5:$J$1004,$T1759)="","",INDEX(Firms!$J$5:$J$1004,$T1759)),IF(INDEX('AFA Rates'!$I$5:$I$1004,$T1759)="","",INDEX('AFA Rates'!$I$5:$I$1004,$T1759))))</f>
        <v/>
      </c>
      <c r="L1759" s="50">
        <f>IF($T1759="","",IF($S1759="S",IF(INDEX(Firms!$K$5:$K$1004,$T1759)="","",INDEX(Firms!$K$5:$K$1004,$T1759)),IF(INDEX('AFA Rates'!$J$5:$J$1004,$T1759)="","",INDEX('AFA Rates'!$J$5:$J$1004,$T1759))))</f>
        <v/>
      </c>
      <c r="M1759" s="50">
        <f>IF($T1759="","",IF($S1759="S",IF(INDEX(Firms!$L$5:$L$1004,$T1759)="","",INDEX(Firms!$L$5:$L$1004,$T1759)),IF(INDEX('AFA Rates'!$K$5:$K$1004,$T1759)="","",INDEX('AFA Rates'!$K$5:$K$1004,$T1759))))</f>
        <v/>
      </c>
      <c r="N1759" s="50">
        <f>IF($T1759="","",IF($S1759="S",IF(INDEX(Firms!$M$5:$M$1004,$T1759)="","",INDEX(Firms!$M$5:$M$1004,$T1759)),IF(INDEX('AFA Rates'!$L$5:$L$1004,$T1759)="","",INDEX('AFA Rates'!$L$5:$L$1004,$T1759))))</f>
        <v/>
      </c>
      <c r="O1759" s="78">
        <f>IF(OR($T1759="",$U1759=""),"",IF(INDEX(Firms!$C$5:$C$1004,$U1759)="","",INDEX(Firms!$C$5:$C$1004,$U1759)))</f>
        <v/>
      </c>
      <c r="P1759" s="79">
        <f>IF(OR($T1759="",$U1759=""),"",IF(INDEX(Firms!$N$5:$N$1004,$U1759)="","",INDEX(Firms!$N$5:$N$1004,$U1759)))</f>
        <v/>
      </c>
      <c r="Q1759" s="78">
        <f>IF($T1759="","",IF($S1759="S",IF(INDEX(Firms!$T$5:$T$1004,$T1759)="","",INDEX(Firms!$T$5:$T$1004,$T1759)),IF(INDEX('AFA Rates'!$M$5:$M$1004,$T1759)="","",INDEX('AFA Rates'!$M$5:$M$1004,$T1759))))</f>
        <v/>
      </c>
      <c r="S1759">
        <f>IF(1755&lt;=$S$2,"S",IF(1755&lt;=$S$2+$T$2,"A",""))</f>
        <v/>
      </c>
      <c r="T1759">
        <f>IF(S1759="S",MATCH(1755,Firms!$W$5:$W$1004,0),IF(S1759="A",IFERROR(MATCH(1755-$S$2,'AFA Rates'!$R$5:$R$1004,0),""),""))</f>
        <v/>
      </c>
      <c r="U1759">
        <f>IF(S1759="S",T1759,IF(AND(S1759="A",T1759&lt;&gt;""),IFERROR(MATCH(INDEX('AFA Rates'!$A$5:$A$1004,T1759),Firms!$A$5:$A$1004,0),""),""))</f>
        <v/>
      </c>
    </row>
    <row r="1760">
      <c r="A1760" s="78">
        <f>IF($T1760="","",IF($S1760="S",IF(INDEX(Firms!$A$5:$A$1004,$T1760)="","",INDEX(Firms!$A$5:$A$1004,$T1760)),IF(INDEX('AFA Rates'!$A$5:$A$1004,$T1760)="","",INDEX('AFA Rates'!$A$5:$A$1004,$T1760))))</f>
        <v/>
      </c>
      <c r="B1760" s="79">
        <f>IF(OR($T1760="",$U1760=""),IF($T1760="","","Not on Firms tab"),INDEX(Firms!$B$5:$B$1004,$U1760)&amp;"")</f>
        <v/>
      </c>
      <c r="C1760" s="78">
        <f>IF($T1760="","",IF($S1760="S","Standard",INDEX('AFA Rates'!$B$5:$B$1004,$T1760)&amp;""))</f>
        <v/>
      </c>
      <c r="D1760" s="88">
        <f>IF($T1760="","",IF($S1760="S",IF(INDEX(Firms!$E$5:$E$1004,$T1760)="","",INDEX(Firms!$E$5:$E$1004,$T1760)),IF(INDEX('AFA Rates'!$C$5:$C$1004,$T1760)="","",INDEX('AFA Rates'!$C$5:$C$1004,$T1760))))</f>
        <v/>
      </c>
      <c r="E1760" s="88">
        <f>IF($T1760="","",IF($S1760="S",IF(""="","",""),IF(INDEX('AFA Rates'!$D$5:$D$1004,$T1760)="","",INDEX('AFA Rates'!$D$5:$D$1004,$T1760))))</f>
        <v/>
      </c>
      <c r="F1760" s="79">
        <f>IF($T1760="","",IF($S1760="S",IF(INDEX(Firms!$O$5:$O$1004,$T1760)="","",INDEX(Firms!$O$5:$O$1004,$T1760)),IF(INDEX('AFA Rates'!$O$5:$O$1004,$T1760)="","",INDEX('AFA Rates'!$O$5:$O$1004,$T1760))))</f>
        <v/>
      </c>
      <c r="G1760" s="50">
        <f>IF($T1760="","",IF($S1760="S",IF(INDEX(Firms!$F$5:$F$1004,$T1760)="","",INDEX(Firms!$F$5:$F$1004,$T1760)),IF(INDEX('AFA Rates'!$E$5:$E$1004,$T1760)="","",INDEX('AFA Rates'!$E$5:$E$1004,$T1760))))</f>
        <v/>
      </c>
      <c r="H1760" s="50">
        <f>IF($T1760="","",IF($S1760="S",IF(INDEX(Firms!$G$5:$G$1004,$T1760)="","",INDEX(Firms!$G$5:$G$1004,$T1760)),IF(INDEX('AFA Rates'!$F$5:$F$1004,$T1760)="","",INDEX('AFA Rates'!$F$5:$F$1004,$T1760))))</f>
        <v/>
      </c>
      <c r="I1760" s="50">
        <f>IF($T1760="","",IF($S1760="S",IF(INDEX(Firms!$H$5:$H$1004,$T1760)="","",INDEX(Firms!$H$5:$H$1004,$T1760)),IF(INDEX('AFA Rates'!$G$5:$G$1004,$T1760)="","",INDEX('AFA Rates'!$G$5:$G$1004,$T1760))))</f>
        <v/>
      </c>
      <c r="J1760" s="50">
        <f>IF($T1760="","",IF($S1760="S",IF(INDEX(Firms!$I$5:$I$1004,$T1760)="","",INDEX(Firms!$I$5:$I$1004,$T1760)),IF(INDEX('AFA Rates'!$H$5:$H$1004,$T1760)="","",INDEX('AFA Rates'!$H$5:$H$1004,$T1760))))</f>
        <v/>
      </c>
      <c r="K1760" s="50">
        <f>IF($T1760="","",IF($S1760="S",IF(INDEX(Firms!$J$5:$J$1004,$T1760)="","",INDEX(Firms!$J$5:$J$1004,$T1760)),IF(INDEX('AFA Rates'!$I$5:$I$1004,$T1760)="","",INDEX('AFA Rates'!$I$5:$I$1004,$T1760))))</f>
        <v/>
      </c>
      <c r="L1760" s="50">
        <f>IF($T1760="","",IF($S1760="S",IF(INDEX(Firms!$K$5:$K$1004,$T1760)="","",INDEX(Firms!$K$5:$K$1004,$T1760)),IF(INDEX('AFA Rates'!$J$5:$J$1004,$T1760)="","",INDEX('AFA Rates'!$J$5:$J$1004,$T1760))))</f>
        <v/>
      </c>
      <c r="M1760" s="50">
        <f>IF($T1760="","",IF($S1760="S",IF(INDEX(Firms!$L$5:$L$1004,$T1760)="","",INDEX(Firms!$L$5:$L$1004,$T1760)),IF(INDEX('AFA Rates'!$K$5:$K$1004,$T1760)="","",INDEX('AFA Rates'!$K$5:$K$1004,$T1760))))</f>
        <v/>
      </c>
      <c r="N1760" s="50">
        <f>IF($T1760="","",IF($S1760="S",IF(INDEX(Firms!$M$5:$M$1004,$T1760)="","",INDEX(Firms!$M$5:$M$1004,$T1760)),IF(INDEX('AFA Rates'!$L$5:$L$1004,$T1760)="","",INDEX('AFA Rates'!$L$5:$L$1004,$T1760))))</f>
        <v/>
      </c>
      <c r="O1760" s="78">
        <f>IF(OR($T1760="",$U1760=""),"",IF(INDEX(Firms!$C$5:$C$1004,$U1760)="","",INDEX(Firms!$C$5:$C$1004,$U1760)))</f>
        <v/>
      </c>
      <c r="P1760" s="79">
        <f>IF(OR($T1760="",$U1760=""),"",IF(INDEX(Firms!$N$5:$N$1004,$U1760)="","",INDEX(Firms!$N$5:$N$1004,$U1760)))</f>
        <v/>
      </c>
      <c r="Q1760" s="78">
        <f>IF($T1760="","",IF($S1760="S",IF(INDEX(Firms!$T$5:$T$1004,$T1760)="","",INDEX(Firms!$T$5:$T$1004,$T1760)),IF(INDEX('AFA Rates'!$M$5:$M$1004,$T1760)="","",INDEX('AFA Rates'!$M$5:$M$1004,$T1760))))</f>
        <v/>
      </c>
      <c r="S1760">
        <f>IF(1756&lt;=$S$2,"S",IF(1756&lt;=$S$2+$T$2,"A",""))</f>
        <v/>
      </c>
      <c r="T1760">
        <f>IF(S1760="S",MATCH(1756,Firms!$W$5:$W$1004,0),IF(S1760="A",IFERROR(MATCH(1756-$S$2,'AFA Rates'!$R$5:$R$1004,0),""),""))</f>
        <v/>
      </c>
      <c r="U1760">
        <f>IF(S1760="S",T1760,IF(AND(S1760="A",T1760&lt;&gt;""),IFERROR(MATCH(INDEX('AFA Rates'!$A$5:$A$1004,T1760),Firms!$A$5:$A$1004,0),""),""))</f>
        <v/>
      </c>
    </row>
    <row r="1761">
      <c r="A1761" s="78">
        <f>IF($T1761="","",IF($S1761="S",IF(INDEX(Firms!$A$5:$A$1004,$T1761)="","",INDEX(Firms!$A$5:$A$1004,$T1761)),IF(INDEX('AFA Rates'!$A$5:$A$1004,$T1761)="","",INDEX('AFA Rates'!$A$5:$A$1004,$T1761))))</f>
        <v/>
      </c>
      <c r="B1761" s="79">
        <f>IF(OR($T1761="",$U1761=""),IF($T1761="","","Not on Firms tab"),INDEX(Firms!$B$5:$B$1004,$U1761)&amp;"")</f>
        <v/>
      </c>
      <c r="C1761" s="78">
        <f>IF($T1761="","",IF($S1761="S","Standard",INDEX('AFA Rates'!$B$5:$B$1004,$T1761)&amp;""))</f>
        <v/>
      </c>
      <c r="D1761" s="88">
        <f>IF($T1761="","",IF($S1761="S",IF(INDEX(Firms!$E$5:$E$1004,$T1761)="","",INDEX(Firms!$E$5:$E$1004,$T1761)),IF(INDEX('AFA Rates'!$C$5:$C$1004,$T1761)="","",INDEX('AFA Rates'!$C$5:$C$1004,$T1761))))</f>
        <v/>
      </c>
      <c r="E1761" s="88">
        <f>IF($T1761="","",IF($S1761="S",IF(""="","",""),IF(INDEX('AFA Rates'!$D$5:$D$1004,$T1761)="","",INDEX('AFA Rates'!$D$5:$D$1004,$T1761))))</f>
        <v/>
      </c>
      <c r="F1761" s="79">
        <f>IF($T1761="","",IF($S1761="S",IF(INDEX(Firms!$O$5:$O$1004,$T1761)="","",INDEX(Firms!$O$5:$O$1004,$T1761)),IF(INDEX('AFA Rates'!$O$5:$O$1004,$T1761)="","",INDEX('AFA Rates'!$O$5:$O$1004,$T1761))))</f>
        <v/>
      </c>
      <c r="G1761" s="50">
        <f>IF($T1761="","",IF($S1761="S",IF(INDEX(Firms!$F$5:$F$1004,$T1761)="","",INDEX(Firms!$F$5:$F$1004,$T1761)),IF(INDEX('AFA Rates'!$E$5:$E$1004,$T1761)="","",INDEX('AFA Rates'!$E$5:$E$1004,$T1761))))</f>
        <v/>
      </c>
      <c r="H1761" s="50">
        <f>IF($T1761="","",IF($S1761="S",IF(INDEX(Firms!$G$5:$G$1004,$T1761)="","",INDEX(Firms!$G$5:$G$1004,$T1761)),IF(INDEX('AFA Rates'!$F$5:$F$1004,$T1761)="","",INDEX('AFA Rates'!$F$5:$F$1004,$T1761))))</f>
        <v/>
      </c>
      <c r="I1761" s="50">
        <f>IF($T1761="","",IF($S1761="S",IF(INDEX(Firms!$H$5:$H$1004,$T1761)="","",INDEX(Firms!$H$5:$H$1004,$T1761)),IF(INDEX('AFA Rates'!$G$5:$G$1004,$T1761)="","",INDEX('AFA Rates'!$G$5:$G$1004,$T1761))))</f>
        <v/>
      </c>
      <c r="J1761" s="50">
        <f>IF($T1761="","",IF($S1761="S",IF(INDEX(Firms!$I$5:$I$1004,$T1761)="","",INDEX(Firms!$I$5:$I$1004,$T1761)),IF(INDEX('AFA Rates'!$H$5:$H$1004,$T1761)="","",INDEX('AFA Rates'!$H$5:$H$1004,$T1761))))</f>
        <v/>
      </c>
      <c r="K1761" s="50">
        <f>IF($T1761="","",IF($S1761="S",IF(INDEX(Firms!$J$5:$J$1004,$T1761)="","",INDEX(Firms!$J$5:$J$1004,$T1761)),IF(INDEX('AFA Rates'!$I$5:$I$1004,$T1761)="","",INDEX('AFA Rates'!$I$5:$I$1004,$T1761))))</f>
        <v/>
      </c>
      <c r="L1761" s="50">
        <f>IF($T1761="","",IF($S1761="S",IF(INDEX(Firms!$K$5:$K$1004,$T1761)="","",INDEX(Firms!$K$5:$K$1004,$T1761)),IF(INDEX('AFA Rates'!$J$5:$J$1004,$T1761)="","",INDEX('AFA Rates'!$J$5:$J$1004,$T1761))))</f>
        <v/>
      </c>
      <c r="M1761" s="50">
        <f>IF($T1761="","",IF($S1761="S",IF(INDEX(Firms!$L$5:$L$1004,$T1761)="","",INDEX(Firms!$L$5:$L$1004,$T1761)),IF(INDEX('AFA Rates'!$K$5:$K$1004,$T1761)="","",INDEX('AFA Rates'!$K$5:$K$1004,$T1761))))</f>
        <v/>
      </c>
      <c r="N1761" s="50">
        <f>IF($T1761="","",IF($S1761="S",IF(INDEX(Firms!$M$5:$M$1004,$T1761)="","",INDEX(Firms!$M$5:$M$1004,$T1761)),IF(INDEX('AFA Rates'!$L$5:$L$1004,$T1761)="","",INDEX('AFA Rates'!$L$5:$L$1004,$T1761))))</f>
        <v/>
      </c>
      <c r="O1761" s="78">
        <f>IF(OR($T1761="",$U1761=""),"",IF(INDEX(Firms!$C$5:$C$1004,$U1761)="","",INDEX(Firms!$C$5:$C$1004,$U1761)))</f>
        <v/>
      </c>
      <c r="P1761" s="79">
        <f>IF(OR($T1761="",$U1761=""),"",IF(INDEX(Firms!$N$5:$N$1004,$U1761)="","",INDEX(Firms!$N$5:$N$1004,$U1761)))</f>
        <v/>
      </c>
      <c r="Q1761" s="78">
        <f>IF($T1761="","",IF($S1761="S",IF(INDEX(Firms!$T$5:$T$1004,$T1761)="","",INDEX(Firms!$T$5:$T$1004,$T1761)),IF(INDEX('AFA Rates'!$M$5:$M$1004,$T1761)="","",INDEX('AFA Rates'!$M$5:$M$1004,$T1761))))</f>
        <v/>
      </c>
      <c r="S1761">
        <f>IF(1757&lt;=$S$2,"S",IF(1757&lt;=$S$2+$T$2,"A",""))</f>
        <v/>
      </c>
      <c r="T1761">
        <f>IF(S1761="S",MATCH(1757,Firms!$W$5:$W$1004,0),IF(S1761="A",IFERROR(MATCH(1757-$S$2,'AFA Rates'!$R$5:$R$1004,0),""),""))</f>
        <v/>
      </c>
      <c r="U1761">
        <f>IF(S1761="S",T1761,IF(AND(S1761="A",T1761&lt;&gt;""),IFERROR(MATCH(INDEX('AFA Rates'!$A$5:$A$1004,T1761),Firms!$A$5:$A$1004,0),""),""))</f>
        <v/>
      </c>
    </row>
    <row r="1762">
      <c r="A1762" s="78">
        <f>IF($T1762="","",IF($S1762="S",IF(INDEX(Firms!$A$5:$A$1004,$T1762)="","",INDEX(Firms!$A$5:$A$1004,$T1762)),IF(INDEX('AFA Rates'!$A$5:$A$1004,$T1762)="","",INDEX('AFA Rates'!$A$5:$A$1004,$T1762))))</f>
        <v/>
      </c>
      <c r="B1762" s="79">
        <f>IF(OR($T1762="",$U1762=""),IF($T1762="","","Not on Firms tab"),INDEX(Firms!$B$5:$B$1004,$U1762)&amp;"")</f>
        <v/>
      </c>
      <c r="C1762" s="78">
        <f>IF($T1762="","",IF($S1762="S","Standard",INDEX('AFA Rates'!$B$5:$B$1004,$T1762)&amp;""))</f>
        <v/>
      </c>
      <c r="D1762" s="88">
        <f>IF($T1762="","",IF($S1762="S",IF(INDEX(Firms!$E$5:$E$1004,$T1762)="","",INDEX(Firms!$E$5:$E$1004,$T1762)),IF(INDEX('AFA Rates'!$C$5:$C$1004,$T1762)="","",INDEX('AFA Rates'!$C$5:$C$1004,$T1762))))</f>
        <v/>
      </c>
      <c r="E1762" s="88">
        <f>IF($T1762="","",IF($S1762="S",IF(""="","",""),IF(INDEX('AFA Rates'!$D$5:$D$1004,$T1762)="","",INDEX('AFA Rates'!$D$5:$D$1004,$T1762))))</f>
        <v/>
      </c>
      <c r="F1762" s="79">
        <f>IF($T1762="","",IF($S1762="S",IF(INDEX(Firms!$O$5:$O$1004,$T1762)="","",INDEX(Firms!$O$5:$O$1004,$T1762)),IF(INDEX('AFA Rates'!$O$5:$O$1004,$T1762)="","",INDEX('AFA Rates'!$O$5:$O$1004,$T1762))))</f>
        <v/>
      </c>
      <c r="G1762" s="50">
        <f>IF($T1762="","",IF($S1762="S",IF(INDEX(Firms!$F$5:$F$1004,$T1762)="","",INDEX(Firms!$F$5:$F$1004,$T1762)),IF(INDEX('AFA Rates'!$E$5:$E$1004,$T1762)="","",INDEX('AFA Rates'!$E$5:$E$1004,$T1762))))</f>
        <v/>
      </c>
      <c r="H1762" s="50">
        <f>IF($T1762="","",IF($S1762="S",IF(INDEX(Firms!$G$5:$G$1004,$T1762)="","",INDEX(Firms!$G$5:$G$1004,$T1762)),IF(INDEX('AFA Rates'!$F$5:$F$1004,$T1762)="","",INDEX('AFA Rates'!$F$5:$F$1004,$T1762))))</f>
        <v/>
      </c>
      <c r="I1762" s="50">
        <f>IF($T1762="","",IF($S1762="S",IF(INDEX(Firms!$H$5:$H$1004,$T1762)="","",INDEX(Firms!$H$5:$H$1004,$T1762)),IF(INDEX('AFA Rates'!$G$5:$G$1004,$T1762)="","",INDEX('AFA Rates'!$G$5:$G$1004,$T1762))))</f>
        <v/>
      </c>
      <c r="J1762" s="50">
        <f>IF($T1762="","",IF($S1762="S",IF(INDEX(Firms!$I$5:$I$1004,$T1762)="","",INDEX(Firms!$I$5:$I$1004,$T1762)),IF(INDEX('AFA Rates'!$H$5:$H$1004,$T1762)="","",INDEX('AFA Rates'!$H$5:$H$1004,$T1762))))</f>
        <v/>
      </c>
      <c r="K1762" s="50">
        <f>IF($T1762="","",IF($S1762="S",IF(INDEX(Firms!$J$5:$J$1004,$T1762)="","",INDEX(Firms!$J$5:$J$1004,$T1762)),IF(INDEX('AFA Rates'!$I$5:$I$1004,$T1762)="","",INDEX('AFA Rates'!$I$5:$I$1004,$T1762))))</f>
        <v/>
      </c>
      <c r="L1762" s="50">
        <f>IF($T1762="","",IF($S1762="S",IF(INDEX(Firms!$K$5:$K$1004,$T1762)="","",INDEX(Firms!$K$5:$K$1004,$T1762)),IF(INDEX('AFA Rates'!$J$5:$J$1004,$T1762)="","",INDEX('AFA Rates'!$J$5:$J$1004,$T1762))))</f>
        <v/>
      </c>
      <c r="M1762" s="50">
        <f>IF($T1762="","",IF($S1762="S",IF(INDEX(Firms!$L$5:$L$1004,$T1762)="","",INDEX(Firms!$L$5:$L$1004,$T1762)),IF(INDEX('AFA Rates'!$K$5:$K$1004,$T1762)="","",INDEX('AFA Rates'!$K$5:$K$1004,$T1762))))</f>
        <v/>
      </c>
      <c r="N1762" s="50">
        <f>IF($T1762="","",IF($S1762="S",IF(INDEX(Firms!$M$5:$M$1004,$T1762)="","",INDEX(Firms!$M$5:$M$1004,$T1762)),IF(INDEX('AFA Rates'!$L$5:$L$1004,$T1762)="","",INDEX('AFA Rates'!$L$5:$L$1004,$T1762))))</f>
        <v/>
      </c>
      <c r="O1762" s="78">
        <f>IF(OR($T1762="",$U1762=""),"",IF(INDEX(Firms!$C$5:$C$1004,$U1762)="","",INDEX(Firms!$C$5:$C$1004,$U1762)))</f>
        <v/>
      </c>
      <c r="P1762" s="79">
        <f>IF(OR($T1762="",$U1762=""),"",IF(INDEX(Firms!$N$5:$N$1004,$U1762)="","",INDEX(Firms!$N$5:$N$1004,$U1762)))</f>
        <v/>
      </c>
      <c r="Q1762" s="78">
        <f>IF($T1762="","",IF($S1762="S",IF(INDEX(Firms!$T$5:$T$1004,$T1762)="","",INDEX(Firms!$T$5:$T$1004,$T1762)),IF(INDEX('AFA Rates'!$M$5:$M$1004,$T1762)="","",INDEX('AFA Rates'!$M$5:$M$1004,$T1762))))</f>
        <v/>
      </c>
      <c r="S1762">
        <f>IF(1758&lt;=$S$2,"S",IF(1758&lt;=$S$2+$T$2,"A",""))</f>
        <v/>
      </c>
      <c r="T1762">
        <f>IF(S1762="S",MATCH(1758,Firms!$W$5:$W$1004,0),IF(S1762="A",IFERROR(MATCH(1758-$S$2,'AFA Rates'!$R$5:$R$1004,0),""),""))</f>
        <v/>
      </c>
      <c r="U1762">
        <f>IF(S1762="S",T1762,IF(AND(S1762="A",T1762&lt;&gt;""),IFERROR(MATCH(INDEX('AFA Rates'!$A$5:$A$1004,T1762),Firms!$A$5:$A$1004,0),""),""))</f>
        <v/>
      </c>
    </row>
    <row r="1763">
      <c r="A1763" s="78">
        <f>IF($T1763="","",IF($S1763="S",IF(INDEX(Firms!$A$5:$A$1004,$T1763)="","",INDEX(Firms!$A$5:$A$1004,$T1763)),IF(INDEX('AFA Rates'!$A$5:$A$1004,$T1763)="","",INDEX('AFA Rates'!$A$5:$A$1004,$T1763))))</f>
        <v/>
      </c>
      <c r="B1763" s="79">
        <f>IF(OR($T1763="",$U1763=""),IF($T1763="","","Not on Firms tab"),INDEX(Firms!$B$5:$B$1004,$U1763)&amp;"")</f>
        <v/>
      </c>
      <c r="C1763" s="78">
        <f>IF($T1763="","",IF($S1763="S","Standard",INDEX('AFA Rates'!$B$5:$B$1004,$T1763)&amp;""))</f>
        <v/>
      </c>
      <c r="D1763" s="88">
        <f>IF($T1763="","",IF($S1763="S",IF(INDEX(Firms!$E$5:$E$1004,$T1763)="","",INDEX(Firms!$E$5:$E$1004,$T1763)),IF(INDEX('AFA Rates'!$C$5:$C$1004,$T1763)="","",INDEX('AFA Rates'!$C$5:$C$1004,$T1763))))</f>
        <v/>
      </c>
      <c r="E1763" s="88">
        <f>IF($T1763="","",IF($S1763="S",IF(""="","",""),IF(INDEX('AFA Rates'!$D$5:$D$1004,$T1763)="","",INDEX('AFA Rates'!$D$5:$D$1004,$T1763))))</f>
        <v/>
      </c>
      <c r="F1763" s="79">
        <f>IF($T1763="","",IF($S1763="S",IF(INDEX(Firms!$O$5:$O$1004,$T1763)="","",INDEX(Firms!$O$5:$O$1004,$T1763)),IF(INDEX('AFA Rates'!$O$5:$O$1004,$T1763)="","",INDEX('AFA Rates'!$O$5:$O$1004,$T1763))))</f>
        <v/>
      </c>
      <c r="G1763" s="50">
        <f>IF($T1763="","",IF($S1763="S",IF(INDEX(Firms!$F$5:$F$1004,$T1763)="","",INDEX(Firms!$F$5:$F$1004,$T1763)),IF(INDEX('AFA Rates'!$E$5:$E$1004,$T1763)="","",INDEX('AFA Rates'!$E$5:$E$1004,$T1763))))</f>
        <v/>
      </c>
      <c r="H1763" s="50">
        <f>IF($T1763="","",IF($S1763="S",IF(INDEX(Firms!$G$5:$G$1004,$T1763)="","",INDEX(Firms!$G$5:$G$1004,$T1763)),IF(INDEX('AFA Rates'!$F$5:$F$1004,$T1763)="","",INDEX('AFA Rates'!$F$5:$F$1004,$T1763))))</f>
        <v/>
      </c>
      <c r="I1763" s="50">
        <f>IF($T1763="","",IF($S1763="S",IF(INDEX(Firms!$H$5:$H$1004,$T1763)="","",INDEX(Firms!$H$5:$H$1004,$T1763)),IF(INDEX('AFA Rates'!$G$5:$G$1004,$T1763)="","",INDEX('AFA Rates'!$G$5:$G$1004,$T1763))))</f>
        <v/>
      </c>
      <c r="J1763" s="50">
        <f>IF($T1763="","",IF($S1763="S",IF(INDEX(Firms!$I$5:$I$1004,$T1763)="","",INDEX(Firms!$I$5:$I$1004,$T1763)),IF(INDEX('AFA Rates'!$H$5:$H$1004,$T1763)="","",INDEX('AFA Rates'!$H$5:$H$1004,$T1763))))</f>
        <v/>
      </c>
      <c r="K1763" s="50">
        <f>IF($T1763="","",IF($S1763="S",IF(INDEX(Firms!$J$5:$J$1004,$T1763)="","",INDEX(Firms!$J$5:$J$1004,$T1763)),IF(INDEX('AFA Rates'!$I$5:$I$1004,$T1763)="","",INDEX('AFA Rates'!$I$5:$I$1004,$T1763))))</f>
        <v/>
      </c>
      <c r="L1763" s="50">
        <f>IF($T1763="","",IF($S1763="S",IF(INDEX(Firms!$K$5:$K$1004,$T1763)="","",INDEX(Firms!$K$5:$K$1004,$T1763)),IF(INDEX('AFA Rates'!$J$5:$J$1004,$T1763)="","",INDEX('AFA Rates'!$J$5:$J$1004,$T1763))))</f>
        <v/>
      </c>
      <c r="M1763" s="50">
        <f>IF($T1763="","",IF($S1763="S",IF(INDEX(Firms!$L$5:$L$1004,$T1763)="","",INDEX(Firms!$L$5:$L$1004,$T1763)),IF(INDEX('AFA Rates'!$K$5:$K$1004,$T1763)="","",INDEX('AFA Rates'!$K$5:$K$1004,$T1763))))</f>
        <v/>
      </c>
      <c r="N1763" s="50">
        <f>IF($T1763="","",IF($S1763="S",IF(INDEX(Firms!$M$5:$M$1004,$T1763)="","",INDEX(Firms!$M$5:$M$1004,$T1763)),IF(INDEX('AFA Rates'!$L$5:$L$1004,$T1763)="","",INDEX('AFA Rates'!$L$5:$L$1004,$T1763))))</f>
        <v/>
      </c>
      <c r="O1763" s="78">
        <f>IF(OR($T1763="",$U1763=""),"",IF(INDEX(Firms!$C$5:$C$1004,$U1763)="","",INDEX(Firms!$C$5:$C$1004,$U1763)))</f>
        <v/>
      </c>
      <c r="P1763" s="79">
        <f>IF(OR($T1763="",$U1763=""),"",IF(INDEX(Firms!$N$5:$N$1004,$U1763)="","",INDEX(Firms!$N$5:$N$1004,$U1763)))</f>
        <v/>
      </c>
      <c r="Q1763" s="78">
        <f>IF($T1763="","",IF($S1763="S",IF(INDEX(Firms!$T$5:$T$1004,$T1763)="","",INDEX(Firms!$T$5:$T$1004,$T1763)),IF(INDEX('AFA Rates'!$M$5:$M$1004,$T1763)="","",INDEX('AFA Rates'!$M$5:$M$1004,$T1763))))</f>
        <v/>
      </c>
      <c r="S1763">
        <f>IF(1759&lt;=$S$2,"S",IF(1759&lt;=$S$2+$T$2,"A",""))</f>
        <v/>
      </c>
      <c r="T1763">
        <f>IF(S1763="S",MATCH(1759,Firms!$W$5:$W$1004,0),IF(S1763="A",IFERROR(MATCH(1759-$S$2,'AFA Rates'!$R$5:$R$1004,0),""),""))</f>
        <v/>
      </c>
      <c r="U1763">
        <f>IF(S1763="S",T1763,IF(AND(S1763="A",T1763&lt;&gt;""),IFERROR(MATCH(INDEX('AFA Rates'!$A$5:$A$1004,T1763),Firms!$A$5:$A$1004,0),""),""))</f>
        <v/>
      </c>
    </row>
    <row r="1764">
      <c r="A1764" s="78">
        <f>IF($T1764="","",IF($S1764="S",IF(INDEX(Firms!$A$5:$A$1004,$T1764)="","",INDEX(Firms!$A$5:$A$1004,$T1764)),IF(INDEX('AFA Rates'!$A$5:$A$1004,$T1764)="","",INDEX('AFA Rates'!$A$5:$A$1004,$T1764))))</f>
        <v/>
      </c>
      <c r="B1764" s="79">
        <f>IF(OR($T1764="",$U1764=""),IF($T1764="","","Not on Firms tab"),INDEX(Firms!$B$5:$B$1004,$U1764)&amp;"")</f>
        <v/>
      </c>
      <c r="C1764" s="78">
        <f>IF($T1764="","",IF($S1764="S","Standard",INDEX('AFA Rates'!$B$5:$B$1004,$T1764)&amp;""))</f>
        <v/>
      </c>
      <c r="D1764" s="88">
        <f>IF($T1764="","",IF($S1764="S",IF(INDEX(Firms!$E$5:$E$1004,$T1764)="","",INDEX(Firms!$E$5:$E$1004,$T1764)),IF(INDEX('AFA Rates'!$C$5:$C$1004,$T1764)="","",INDEX('AFA Rates'!$C$5:$C$1004,$T1764))))</f>
        <v/>
      </c>
      <c r="E1764" s="88">
        <f>IF($T1764="","",IF($S1764="S",IF(""="","",""),IF(INDEX('AFA Rates'!$D$5:$D$1004,$T1764)="","",INDEX('AFA Rates'!$D$5:$D$1004,$T1764))))</f>
        <v/>
      </c>
      <c r="F1764" s="79">
        <f>IF($T1764="","",IF($S1764="S",IF(INDEX(Firms!$O$5:$O$1004,$T1764)="","",INDEX(Firms!$O$5:$O$1004,$T1764)),IF(INDEX('AFA Rates'!$O$5:$O$1004,$T1764)="","",INDEX('AFA Rates'!$O$5:$O$1004,$T1764))))</f>
        <v/>
      </c>
      <c r="G1764" s="50">
        <f>IF($T1764="","",IF($S1764="S",IF(INDEX(Firms!$F$5:$F$1004,$T1764)="","",INDEX(Firms!$F$5:$F$1004,$T1764)),IF(INDEX('AFA Rates'!$E$5:$E$1004,$T1764)="","",INDEX('AFA Rates'!$E$5:$E$1004,$T1764))))</f>
        <v/>
      </c>
      <c r="H1764" s="50">
        <f>IF($T1764="","",IF($S1764="S",IF(INDEX(Firms!$G$5:$G$1004,$T1764)="","",INDEX(Firms!$G$5:$G$1004,$T1764)),IF(INDEX('AFA Rates'!$F$5:$F$1004,$T1764)="","",INDEX('AFA Rates'!$F$5:$F$1004,$T1764))))</f>
        <v/>
      </c>
      <c r="I1764" s="50">
        <f>IF($T1764="","",IF($S1764="S",IF(INDEX(Firms!$H$5:$H$1004,$T1764)="","",INDEX(Firms!$H$5:$H$1004,$T1764)),IF(INDEX('AFA Rates'!$G$5:$G$1004,$T1764)="","",INDEX('AFA Rates'!$G$5:$G$1004,$T1764))))</f>
        <v/>
      </c>
      <c r="J1764" s="50">
        <f>IF($T1764="","",IF($S1764="S",IF(INDEX(Firms!$I$5:$I$1004,$T1764)="","",INDEX(Firms!$I$5:$I$1004,$T1764)),IF(INDEX('AFA Rates'!$H$5:$H$1004,$T1764)="","",INDEX('AFA Rates'!$H$5:$H$1004,$T1764))))</f>
        <v/>
      </c>
      <c r="K1764" s="50">
        <f>IF($T1764="","",IF($S1764="S",IF(INDEX(Firms!$J$5:$J$1004,$T1764)="","",INDEX(Firms!$J$5:$J$1004,$T1764)),IF(INDEX('AFA Rates'!$I$5:$I$1004,$T1764)="","",INDEX('AFA Rates'!$I$5:$I$1004,$T1764))))</f>
        <v/>
      </c>
      <c r="L1764" s="50">
        <f>IF($T1764="","",IF($S1764="S",IF(INDEX(Firms!$K$5:$K$1004,$T1764)="","",INDEX(Firms!$K$5:$K$1004,$T1764)),IF(INDEX('AFA Rates'!$J$5:$J$1004,$T1764)="","",INDEX('AFA Rates'!$J$5:$J$1004,$T1764))))</f>
        <v/>
      </c>
      <c r="M1764" s="50">
        <f>IF($T1764="","",IF($S1764="S",IF(INDEX(Firms!$L$5:$L$1004,$T1764)="","",INDEX(Firms!$L$5:$L$1004,$T1764)),IF(INDEX('AFA Rates'!$K$5:$K$1004,$T1764)="","",INDEX('AFA Rates'!$K$5:$K$1004,$T1764))))</f>
        <v/>
      </c>
      <c r="N1764" s="50">
        <f>IF($T1764="","",IF($S1764="S",IF(INDEX(Firms!$M$5:$M$1004,$T1764)="","",INDEX(Firms!$M$5:$M$1004,$T1764)),IF(INDEX('AFA Rates'!$L$5:$L$1004,$T1764)="","",INDEX('AFA Rates'!$L$5:$L$1004,$T1764))))</f>
        <v/>
      </c>
      <c r="O1764" s="78">
        <f>IF(OR($T1764="",$U1764=""),"",IF(INDEX(Firms!$C$5:$C$1004,$U1764)="","",INDEX(Firms!$C$5:$C$1004,$U1764)))</f>
        <v/>
      </c>
      <c r="P1764" s="79">
        <f>IF(OR($T1764="",$U1764=""),"",IF(INDEX(Firms!$N$5:$N$1004,$U1764)="","",INDEX(Firms!$N$5:$N$1004,$U1764)))</f>
        <v/>
      </c>
      <c r="Q1764" s="78">
        <f>IF($T1764="","",IF($S1764="S",IF(INDEX(Firms!$T$5:$T$1004,$T1764)="","",INDEX(Firms!$T$5:$T$1004,$T1764)),IF(INDEX('AFA Rates'!$M$5:$M$1004,$T1764)="","",INDEX('AFA Rates'!$M$5:$M$1004,$T1764))))</f>
        <v/>
      </c>
      <c r="S1764">
        <f>IF(1760&lt;=$S$2,"S",IF(1760&lt;=$S$2+$T$2,"A",""))</f>
        <v/>
      </c>
      <c r="T1764">
        <f>IF(S1764="S",MATCH(1760,Firms!$W$5:$W$1004,0),IF(S1764="A",IFERROR(MATCH(1760-$S$2,'AFA Rates'!$R$5:$R$1004,0),""),""))</f>
        <v/>
      </c>
      <c r="U1764">
        <f>IF(S1764="S",T1764,IF(AND(S1764="A",T1764&lt;&gt;""),IFERROR(MATCH(INDEX('AFA Rates'!$A$5:$A$1004,T1764),Firms!$A$5:$A$1004,0),""),""))</f>
        <v/>
      </c>
    </row>
    <row r="1765">
      <c r="A1765" s="78">
        <f>IF($T1765="","",IF($S1765="S",IF(INDEX(Firms!$A$5:$A$1004,$T1765)="","",INDEX(Firms!$A$5:$A$1004,$T1765)),IF(INDEX('AFA Rates'!$A$5:$A$1004,$T1765)="","",INDEX('AFA Rates'!$A$5:$A$1004,$T1765))))</f>
        <v/>
      </c>
      <c r="B1765" s="79">
        <f>IF(OR($T1765="",$U1765=""),IF($T1765="","","Not on Firms tab"),INDEX(Firms!$B$5:$B$1004,$U1765)&amp;"")</f>
        <v/>
      </c>
      <c r="C1765" s="78">
        <f>IF($T1765="","",IF($S1765="S","Standard",INDEX('AFA Rates'!$B$5:$B$1004,$T1765)&amp;""))</f>
        <v/>
      </c>
      <c r="D1765" s="88">
        <f>IF($T1765="","",IF($S1765="S",IF(INDEX(Firms!$E$5:$E$1004,$T1765)="","",INDEX(Firms!$E$5:$E$1004,$T1765)),IF(INDEX('AFA Rates'!$C$5:$C$1004,$T1765)="","",INDEX('AFA Rates'!$C$5:$C$1004,$T1765))))</f>
        <v/>
      </c>
      <c r="E1765" s="88">
        <f>IF($T1765="","",IF($S1765="S",IF(""="","",""),IF(INDEX('AFA Rates'!$D$5:$D$1004,$T1765)="","",INDEX('AFA Rates'!$D$5:$D$1004,$T1765))))</f>
        <v/>
      </c>
      <c r="F1765" s="79">
        <f>IF($T1765="","",IF($S1765="S",IF(INDEX(Firms!$O$5:$O$1004,$T1765)="","",INDEX(Firms!$O$5:$O$1004,$T1765)),IF(INDEX('AFA Rates'!$O$5:$O$1004,$T1765)="","",INDEX('AFA Rates'!$O$5:$O$1004,$T1765))))</f>
        <v/>
      </c>
      <c r="G1765" s="50">
        <f>IF($T1765="","",IF($S1765="S",IF(INDEX(Firms!$F$5:$F$1004,$T1765)="","",INDEX(Firms!$F$5:$F$1004,$T1765)),IF(INDEX('AFA Rates'!$E$5:$E$1004,$T1765)="","",INDEX('AFA Rates'!$E$5:$E$1004,$T1765))))</f>
        <v/>
      </c>
      <c r="H1765" s="50">
        <f>IF($T1765="","",IF($S1765="S",IF(INDEX(Firms!$G$5:$G$1004,$T1765)="","",INDEX(Firms!$G$5:$G$1004,$T1765)),IF(INDEX('AFA Rates'!$F$5:$F$1004,$T1765)="","",INDEX('AFA Rates'!$F$5:$F$1004,$T1765))))</f>
        <v/>
      </c>
      <c r="I1765" s="50">
        <f>IF($T1765="","",IF($S1765="S",IF(INDEX(Firms!$H$5:$H$1004,$T1765)="","",INDEX(Firms!$H$5:$H$1004,$T1765)),IF(INDEX('AFA Rates'!$G$5:$G$1004,$T1765)="","",INDEX('AFA Rates'!$G$5:$G$1004,$T1765))))</f>
        <v/>
      </c>
      <c r="J1765" s="50">
        <f>IF($T1765="","",IF($S1765="S",IF(INDEX(Firms!$I$5:$I$1004,$T1765)="","",INDEX(Firms!$I$5:$I$1004,$T1765)),IF(INDEX('AFA Rates'!$H$5:$H$1004,$T1765)="","",INDEX('AFA Rates'!$H$5:$H$1004,$T1765))))</f>
        <v/>
      </c>
      <c r="K1765" s="50">
        <f>IF($T1765="","",IF($S1765="S",IF(INDEX(Firms!$J$5:$J$1004,$T1765)="","",INDEX(Firms!$J$5:$J$1004,$T1765)),IF(INDEX('AFA Rates'!$I$5:$I$1004,$T1765)="","",INDEX('AFA Rates'!$I$5:$I$1004,$T1765))))</f>
        <v/>
      </c>
      <c r="L1765" s="50">
        <f>IF($T1765="","",IF($S1765="S",IF(INDEX(Firms!$K$5:$K$1004,$T1765)="","",INDEX(Firms!$K$5:$K$1004,$T1765)),IF(INDEX('AFA Rates'!$J$5:$J$1004,$T1765)="","",INDEX('AFA Rates'!$J$5:$J$1004,$T1765))))</f>
        <v/>
      </c>
      <c r="M1765" s="50">
        <f>IF($T1765="","",IF($S1765="S",IF(INDEX(Firms!$L$5:$L$1004,$T1765)="","",INDEX(Firms!$L$5:$L$1004,$T1765)),IF(INDEX('AFA Rates'!$K$5:$K$1004,$T1765)="","",INDEX('AFA Rates'!$K$5:$K$1004,$T1765))))</f>
        <v/>
      </c>
      <c r="N1765" s="50">
        <f>IF($T1765="","",IF($S1765="S",IF(INDEX(Firms!$M$5:$M$1004,$T1765)="","",INDEX(Firms!$M$5:$M$1004,$T1765)),IF(INDEX('AFA Rates'!$L$5:$L$1004,$T1765)="","",INDEX('AFA Rates'!$L$5:$L$1004,$T1765))))</f>
        <v/>
      </c>
      <c r="O1765" s="78">
        <f>IF(OR($T1765="",$U1765=""),"",IF(INDEX(Firms!$C$5:$C$1004,$U1765)="","",INDEX(Firms!$C$5:$C$1004,$U1765)))</f>
        <v/>
      </c>
      <c r="P1765" s="79">
        <f>IF(OR($T1765="",$U1765=""),"",IF(INDEX(Firms!$N$5:$N$1004,$U1765)="","",INDEX(Firms!$N$5:$N$1004,$U1765)))</f>
        <v/>
      </c>
      <c r="Q1765" s="78">
        <f>IF($T1765="","",IF($S1765="S",IF(INDEX(Firms!$T$5:$T$1004,$T1765)="","",INDEX(Firms!$T$5:$T$1004,$T1765)),IF(INDEX('AFA Rates'!$M$5:$M$1004,$T1765)="","",INDEX('AFA Rates'!$M$5:$M$1004,$T1765))))</f>
        <v/>
      </c>
      <c r="S1765">
        <f>IF(1761&lt;=$S$2,"S",IF(1761&lt;=$S$2+$T$2,"A",""))</f>
        <v/>
      </c>
      <c r="T1765">
        <f>IF(S1765="S",MATCH(1761,Firms!$W$5:$W$1004,0),IF(S1765="A",IFERROR(MATCH(1761-$S$2,'AFA Rates'!$R$5:$R$1004,0),""),""))</f>
        <v/>
      </c>
      <c r="U1765">
        <f>IF(S1765="S",T1765,IF(AND(S1765="A",T1765&lt;&gt;""),IFERROR(MATCH(INDEX('AFA Rates'!$A$5:$A$1004,T1765),Firms!$A$5:$A$1004,0),""),""))</f>
        <v/>
      </c>
    </row>
    <row r="1766">
      <c r="A1766" s="78">
        <f>IF($T1766="","",IF($S1766="S",IF(INDEX(Firms!$A$5:$A$1004,$T1766)="","",INDEX(Firms!$A$5:$A$1004,$T1766)),IF(INDEX('AFA Rates'!$A$5:$A$1004,$T1766)="","",INDEX('AFA Rates'!$A$5:$A$1004,$T1766))))</f>
        <v/>
      </c>
      <c r="B1766" s="79">
        <f>IF(OR($T1766="",$U1766=""),IF($T1766="","","Not on Firms tab"),INDEX(Firms!$B$5:$B$1004,$U1766)&amp;"")</f>
        <v/>
      </c>
      <c r="C1766" s="78">
        <f>IF($T1766="","",IF($S1766="S","Standard",INDEX('AFA Rates'!$B$5:$B$1004,$T1766)&amp;""))</f>
        <v/>
      </c>
      <c r="D1766" s="88">
        <f>IF($T1766="","",IF($S1766="S",IF(INDEX(Firms!$E$5:$E$1004,$T1766)="","",INDEX(Firms!$E$5:$E$1004,$T1766)),IF(INDEX('AFA Rates'!$C$5:$C$1004,$T1766)="","",INDEX('AFA Rates'!$C$5:$C$1004,$T1766))))</f>
        <v/>
      </c>
      <c r="E1766" s="88">
        <f>IF($T1766="","",IF($S1766="S",IF(""="","",""),IF(INDEX('AFA Rates'!$D$5:$D$1004,$T1766)="","",INDEX('AFA Rates'!$D$5:$D$1004,$T1766))))</f>
        <v/>
      </c>
      <c r="F1766" s="79">
        <f>IF($T1766="","",IF($S1766="S",IF(INDEX(Firms!$O$5:$O$1004,$T1766)="","",INDEX(Firms!$O$5:$O$1004,$T1766)),IF(INDEX('AFA Rates'!$O$5:$O$1004,$T1766)="","",INDEX('AFA Rates'!$O$5:$O$1004,$T1766))))</f>
        <v/>
      </c>
      <c r="G1766" s="50">
        <f>IF($T1766="","",IF($S1766="S",IF(INDEX(Firms!$F$5:$F$1004,$T1766)="","",INDEX(Firms!$F$5:$F$1004,$T1766)),IF(INDEX('AFA Rates'!$E$5:$E$1004,$T1766)="","",INDEX('AFA Rates'!$E$5:$E$1004,$T1766))))</f>
        <v/>
      </c>
      <c r="H1766" s="50">
        <f>IF($T1766="","",IF($S1766="S",IF(INDEX(Firms!$G$5:$G$1004,$T1766)="","",INDEX(Firms!$G$5:$G$1004,$T1766)),IF(INDEX('AFA Rates'!$F$5:$F$1004,$T1766)="","",INDEX('AFA Rates'!$F$5:$F$1004,$T1766))))</f>
        <v/>
      </c>
      <c r="I1766" s="50">
        <f>IF($T1766="","",IF($S1766="S",IF(INDEX(Firms!$H$5:$H$1004,$T1766)="","",INDEX(Firms!$H$5:$H$1004,$T1766)),IF(INDEX('AFA Rates'!$G$5:$G$1004,$T1766)="","",INDEX('AFA Rates'!$G$5:$G$1004,$T1766))))</f>
        <v/>
      </c>
      <c r="J1766" s="50">
        <f>IF($T1766="","",IF($S1766="S",IF(INDEX(Firms!$I$5:$I$1004,$T1766)="","",INDEX(Firms!$I$5:$I$1004,$T1766)),IF(INDEX('AFA Rates'!$H$5:$H$1004,$T1766)="","",INDEX('AFA Rates'!$H$5:$H$1004,$T1766))))</f>
        <v/>
      </c>
      <c r="K1766" s="50">
        <f>IF($T1766="","",IF($S1766="S",IF(INDEX(Firms!$J$5:$J$1004,$T1766)="","",INDEX(Firms!$J$5:$J$1004,$T1766)),IF(INDEX('AFA Rates'!$I$5:$I$1004,$T1766)="","",INDEX('AFA Rates'!$I$5:$I$1004,$T1766))))</f>
        <v/>
      </c>
      <c r="L1766" s="50">
        <f>IF($T1766="","",IF($S1766="S",IF(INDEX(Firms!$K$5:$K$1004,$T1766)="","",INDEX(Firms!$K$5:$K$1004,$T1766)),IF(INDEX('AFA Rates'!$J$5:$J$1004,$T1766)="","",INDEX('AFA Rates'!$J$5:$J$1004,$T1766))))</f>
        <v/>
      </c>
      <c r="M1766" s="50">
        <f>IF($T1766="","",IF($S1766="S",IF(INDEX(Firms!$L$5:$L$1004,$T1766)="","",INDEX(Firms!$L$5:$L$1004,$T1766)),IF(INDEX('AFA Rates'!$K$5:$K$1004,$T1766)="","",INDEX('AFA Rates'!$K$5:$K$1004,$T1766))))</f>
        <v/>
      </c>
      <c r="N1766" s="50">
        <f>IF($T1766="","",IF($S1766="S",IF(INDEX(Firms!$M$5:$M$1004,$T1766)="","",INDEX(Firms!$M$5:$M$1004,$T1766)),IF(INDEX('AFA Rates'!$L$5:$L$1004,$T1766)="","",INDEX('AFA Rates'!$L$5:$L$1004,$T1766))))</f>
        <v/>
      </c>
      <c r="O1766" s="78">
        <f>IF(OR($T1766="",$U1766=""),"",IF(INDEX(Firms!$C$5:$C$1004,$U1766)="","",INDEX(Firms!$C$5:$C$1004,$U1766)))</f>
        <v/>
      </c>
      <c r="P1766" s="79">
        <f>IF(OR($T1766="",$U1766=""),"",IF(INDEX(Firms!$N$5:$N$1004,$U1766)="","",INDEX(Firms!$N$5:$N$1004,$U1766)))</f>
        <v/>
      </c>
      <c r="Q1766" s="78">
        <f>IF($T1766="","",IF($S1766="S",IF(INDEX(Firms!$T$5:$T$1004,$T1766)="","",INDEX(Firms!$T$5:$T$1004,$T1766)),IF(INDEX('AFA Rates'!$M$5:$M$1004,$T1766)="","",INDEX('AFA Rates'!$M$5:$M$1004,$T1766))))</f>
        <v/>
      </c>
      <c r="S1766">
        <f>IF(1762&lt;=$S$2,"S",IF(1762&lt;=$S$2+$T$2,"A",""))</f>
        <v/>
      </c>
      <c r="T1766">
        <f>IF(S1766="S",MATCH(1762,Firms!$W$5:$W$1004,0),IF(S1766="A",IFERROR(MATCH(1762-$S$2,'AFA Rates'!$R$5:$R$1004,0),""),""))</f>
        <v/>
      </c>
      <c r="U1766">
        <f>IF(S1766="S",T1766,IF(AND(S1766="A",T1766&lt;&gt;""),IFERROR(MATCH(INDEX('AFA Rates'!$A$5:$A$1004,T1766),Firms!$A$5:$A$1004,0),""),""))</f>
        <v/>
      </c>
    </row>
    <row r="1767">
      <c r="A1767" s="78">
        <f>IF($T1767="","",IF($S1767="S",IF(INDEX(Firms!$A$5:$A$1004,$T1767)="","",INDEX(Firms!$A$5:$A$1004,$T1767)),IF(INDEX('AFA Rates'!$A$5:$A$1004,$T1767)="","",INDEX('AFA Rates'!$A$5:$A$1004,$T1767))))</f>
        <v/>
      </c>
      <c r="B1767" s="79">
        <f>IF(OR($T1767="",$U1767=""),IF($T1767="","","Not on Firms tab"),INDEX(Firms!$B$5:$B$1004,$U1767)&amp;"")</f>
        <v/>
      </c>
      <c r="C1767" s="78">
        <f>IF($T1767="","",IF($S1767="S","Standard",INDEX('AFA Rates'!$B$5:$B$1004,$T1767)&amp;""))</f>
        <v/>
      </c>
      <c r="D1767" s="88">
        <f>IF($T1767="","",IF($S1767="S",IF(INDEX(Firms!$E$5:$E$1004,$T1767)="","",INDEX(Firms!$E$5:$E$1004,$T1767)),IF(INDEX('AFA Rates'!$C$5:$C$1004,$T1767)="","",INDEX('AFA Rates'!$C$5:$C$1004,$T1767))))</f>
        <v/>
      </c>
      <c r="E1767" s="88">
        <f>IF($T1767="","",IF($S1767="S",IF(""="","",""),IF(INDEX('AFA Rates'!$D$5:$D$1004,$T1767)="","",INDEX('AFA Rates'!$D$5:$D$1004,$T1767))))</f>
        <v/>
      </c>
      <c r="F1767" s="79">
        <f>IF($T1767="","",IF($S1767="S",IF(INDEX(Firms!$O$5:$O$1004,$T1767)="","",INDEX(Firms!$O$5:$O$1004,$T1767)),IF(INDEX('AFA Rates'!$O$5:$O$1004,$T1767)="","",INDEX('AFA Rates'!$O$5:$O$1004,$T1767))))</f>
        <v/>
      </c>
      <c r="G1767" s="50">
        <f>IF($T1767="","",IF($S1767="S",IF(INDEX(Firms!$F$5:$F$1004,$T1767)="","",INDEX(Firms!$F$5:$F$1004,$T1767)),IF(INDEX('AFA Rates'!$E$5:$E$1004,$T1767)="","",INDEX('AFA Rates'!$E$5:$E$1004,$T1767))))</f>
        <v/>
      </c>
      <c r="H1767" s="50">
        <f>IF($T1767="","",IF($S1767="S",IF(INDEX(Firms!$G$5:$G$1004,$T1767)="","",INDEX(Firms!$G$5:$G$1004,$T1767)),IF(INDEX('AFA Rates'!$F$5:$F$1004,$T1767)="","",INDEX('AFA Rates'!$F$5:$F$1004,$T1767))))</f>
        <v/>
      </c>
      <c r="I1767" s="50">
        <f>IF($T1767="","",IF($S1767="S",IF(INDEX(Firms!$H$5:$H$1004,$T1767)="","",INDEX(Firms!$H$5:$H$1004,$T1767)),IF(INDEX('AFA Rates'!$G$5:$G$1004,$T1767)="","",INDEX('AFA Rates'!$G$5:$G$1004,$T1767))))</f>
        <v/>
      </c>
      <c r="J1767" s="50">
        <f>IF($T1767="","",IF($S1767="S",IF(INDEX(Firms!$I$5:$I$1004,$T1767)="","",INDEX(Firms!$I$5:$I$1004,$T1767)),IF(INDEX('AFA Rates'!$H$5:$H$1004,$T1767)="","",INDEX('AFA Rates'!$H$5:$H$1004,$T1767))))</f>
        <v/>
      </c>
      <c r="K1767" s="50">
        <f>IF($T1767="","",IF($S1767="S",IF(INDEX(Firms!$J$5:$J$1004,$T1767)="","",INDEX(Firms!$J$5:$J$1004,$T1767)),IF(INDEX('AFA Rates'!$I$5:$I$1004,$T1767)="","",INDEX('AFA Rates'!$I$5:$I$1004,$T1767))))</f>
        <v/>
      </c>
      <c r="L1767" s="50">
        <f>IF($T1767="","",IF($S1767="S",IF(INDEX(Firms!$K$5:$K$1004,$T1767)="","",INDEX(Firms!$K$5:$K$1004,$T1767)),IF(INDEX('AFA Rates'!$J$5:$J$1004,$T1767)="","",INDEX('AFA Rates'!$J$5:$J$1004,$T1767))))</f>
        <v/>
      </c>
      <c r="M1767" s="50">
        <f>IF($T1767="","",IF($S1767="S",IF(INDEX(Firms!$L$5:$L$1004,$T1767)="","",INDEX(Firms!$L$5:$L$1004,$T1767)),IF(INDEX('AFA Rates'!$K$5:$K$1004,$T1767)="","",INDEX('AFA Rates'!$K$5:$K$1004,$T1767))))</f>
        <v/>
      </c>
      <c r="N1767" s="50">
        <f>IF($T1767="","",IF($S1767="S",IF(INDEX(Firms!$M$5:$M$1004,$T1767)="","",INDEX(Firms!$M$5:$M$1004,$T1767)),IF(INDEX('AFA Rates'!$L$5:$L$1004,$T1767)="","",INDEX('AFA Rates'!$L$5:$L$1004,$T1767))))</f>
        <v/>
      </c>
      <c r="O1767" s="78">
        <f>IF(OR($T1767="",$U1767=""),"",IF(INDEX(Firms!$C$5:$C$1004,$U1767)="","",INDEX(Firms!$C$5:$C$1004,$U1767)))</f>
        <v/>
      </c>
      <c r="P1767" s="79">
        <f>IF(OR($T1767="",$U1767=""),"",IF(INDEX(Firms!$N$5:$N$1004,$U1767)="","",INDEX(Firms!$N$5:$N$1004,$U1767)))</f>
        <v/>
      </c>
      <c r="Q1767" s="78">
        <f>IF($T1767="","",IF($S1767="S",IF(INDEX(Firms!$T$5:$T$1004,$T1767)="","",INDEX(Firms!$T$5:$T$1004,$T1767)),IF(INDEX('AFA Rates'!$M$5:$M$1004,$T1767)="","",INDEX('AFA Rates'!$M$5:$M$1004,$T1767))))</f>
        <v/>
      </c>
      <c r="S1767">
        <f>IF(1763&lt;=$S$2,"S",IF(1763&lt;=$S$2+$T$2,"A",""))</f>
        <v/>
      </c>
      <c r="T1767">
        <f>IF(S1767="S",MATCH(1763,Firms!$W$5:$W$1004,0),IF(S1767="A",IFERROR(MATCH(1763-$S$2,'AFA Rates'!$R$5:$R$1004,0),""),""))</f>
        <v/>
      </c>
      <c r="U1767">
        <f>IF(S1767="S",T1767,IF(AND(S1767="A",T1767&lt;&gt;""),IFERROR(MATCH(INDEX('AFA Rates'!$A$5:$A$1004,T1767),Firms!$A$5:$A$1004,0),""),""))</f>
        <v/>
      </c>
    </row>
    <row r="1768">
      <c r="A1768" s="78">
        <f>IF($T1768="","",IF($S1768="S",IF(INDEX(Firms!$A$5:$A$1004,$T1768)="","",INDEX(Firms!$A$5:$A$1004,$T1768)),IF(INDEX('AFA Rates'!$A$5:$A$1004,$T1768)="","",INDEX('AFA Rates'!$A$5:$A$1004,$T1768))))</f>
        <v/>
      </c>
      <c r="B1768" s="79">
        <f>IF(OR($T1768="",$U1768=""),IF($T1768="","","Not on Firms tab"),INDEX(Firms!$B$5:$B$1004,$U1768)&amp;"")</f>
        <v/>
      </c>
      <c r="C1768" s="78">
        <f>IF($T1768="","",IF($S1768="S","Standard",INDEX('AFA Rates'!$B$5:$B$1004,$T1768)&amp;""))</f>
        <v/>
      </c>
      <c r="D1768" s="88">
        <f>IF($T1768="","",IF($S1768="S",IF(INDEX(Firms!$E$5:$E$1004,$T1768)="","",INDEX(Firms!$E$5:$E$1004,$T1768)),IF(INDEX('AFA Rates'!$C$5:$C$1004,$T1768)="","",INDEX('AFA Rates'!$C$5:$C$1004,$T1768))))</f>
        <v/>
      </c>
      <c r="E1768" s="88">
        <f>IF($T1768="","",IF($S1768="S",IF(""="","",""),IF(INDEX('AFA Rates'!$D$5:$D$1004,$T1768)="","",INDEX('AFA Rates'!$D$5:$D$1004,$T1768))))</f>
        <v/>
      </c>
      <c r="F1768" s="79">
        <f>IF($T1768="","",IF($S1768="S",IF(INDEX(Firms!$O$5:$O$1004,$T1768)="","",INDEX(Firms!$O$5:$O$1004,$T1768)),IF(INDEX('AFA Rates'!$O$5:$O$1004,$T1768)="","",INDEX('AFA Rates'!$O$5:$O$1004,$T1768))))</f>
        <v/>
      </c>
      <c r="G1768" s="50">
        <f>IF($T1768="","",IF($S1768="S",IF(INDEX(Firms!$F$5:$F$1004,$T1768)="","",INDEX(Firms!$F$5:$F$1004,$T1768)),IF(INDEX('AFA Rates'!$E$5:$E$1004,$T1768)="","",INDEX('AFA Rates'!$E$5:$E$1004,$T1768))))</f>
        <v/>
      </c>
      <c r="H1768" s="50">
        <f>IF($T1768="","",IF($S1768="S",IF(INDEX(Firms!$G$5:$G$1004,$T1768)="","",INDEX(Firms!$G$5:$G$1004,$T1768)),IF(INDEX('AFA Rates'!$F$5:$F$1004,$T1768)="","",INDEX('AFA Rates'!$F$5:$F$1004,$T1768))))</f>
        <v/>
      </c>
      <c r="I1768" s="50">
        <f>IF($T1768="","",IF($S1768="S",IF(INDEX(Firms!$H$5:$H$1004,$T1768)="","",INDEX(Firms!$H$5:$H$1004,$T1768)),IF(INDEX('AFA Rates'!$G$5:$G$1004,$T1768)="","",INDEX('AFA Rates'!$G$5:$G$1004,$T1768))))</f>
        <v/>
      </c>
      <c r="J1768" s="50">
        <f>IF($T1768="","",IF($S1768="S",IF(INDEX(Firms!$I$5:$I$1004,$T1768)="","",INDEX(Firms!$I$5:$I$1004,$T1768)),IF(INDEX('AFA Rates'!$H$5:$H$1004,$T1768)="","",INDEX('AFA Rates'!$H$5:$H$1004,$T1768))))</f>
        <v/>
      </c>
      <c r="K1768" s="50">
        <f>IF($T1768="","",IF($S1768="S",IF(INDEX(Firms!$J$5:$J$1004,$T1768)="","",INDEX(Firms!$J$5:$J$1004,$T1768)),IF(INDEX('AFA Rates'!$I$5:$I$1004,$T1768)="","",INDEX('AFA Rates'!$I$5:$I$1004,$T1768))))</f>
        <v/>
      </c>
      <c r="L1768" s="50">
        <f>IF($T1768="","",IF($S1768="S",IF(INDEX(Firms!$K$5:$K$1004,$T1768)="","",INDEX(Firms!$K$5:$K$1004,$T1768)),IF(INDEX('AFA Rates'!$J$5:$J$1004,$T1768)="","",INDEX('AFA Rates'!$J$5:$J$1004,$T1768))))</f>
        <v/>
      </c>
      <c r="M1768" s="50">
        <f>IF($T1768="","",IF($S1768="S",IF(INDEX(Firms!$L$5:$L$1004,$T1768)="","",INDEX(Firms!$L$5:$L$1004,$T1768)),IF(INDEX('AFA Rates'!$K$5:$K$1004,$T1768)="","",INDEX('AFA Rates'!$K$5:$K$1004,$T1768))))</f>
        <v/>
      </c>
      <c r="N1768" s="50">
        <f>IF($T1768="","",IF($S1768="S",IF(INDEX(Firms!$M$5:$M$1004,$T1768)="","",INDEX(Firms!$M$5:$M$1004,$T1768)),IF(INDEX('AFA Rates'!$L$5:$L$1004,$T1768)="","",INDEX('AFA Rates'!$L$5:$L$1004,$T1768))))</f>
        <v/>
      </c>
      <c r="O1768" s="78">
        <f>IF(OR($T1768="",$U1768=""),"",IF(INDEX(Firms!$C$5:$C$1004,$U1768)="","",INDEX(Firms!$C$5:$C$1004,$U1768)))</f>
        <v/>
      </c>
      <c r="P1768" s="79">
        <f>IF(OR($T1768="",$U1768=""),"",IF(INDEX(Firms!$N$5:$N$1004,$U1768)="","",INDEX(Firms!$N$5:$N$1004,$U1768)))</f>
        <v/>
      </c>
      <c r="Q1768" s="78">
        <f>IF($T1768="","",IF($S1768="S",IF(INDEX(Firms!$T$5:$T$1004,$T1768)="","",INDEX(Firms!$T$5:$T$1004,$T1768)),IF(INDEX('AFA Rates'!$M$5:$M$1004,$T1768)="","",INDEX('AFA Rates'!$M$5:$M$1004,$T1768))))</f>
        <v/>
      </c>
      <c r="S1768">
        <f>IF(1764&lt;=$S$2,"S",IF(1764&lt;=$S$2+$T$2,"A",""))</f>
        <v/>
      </c>
      <c r="T1768">
        <f>IF(S1768="S",MATCH(1764,Firms!$W$5:$W$1004,0),IF(S1768="A",IFERROR(MATCH(1764-$S$2,'AFA Rates'!$R$5:$R$1004,0),""),""))</f>
        <v/>
      </c>
      <c r="U1768">
        <f>IF(S1768="S",T1768,IF(AND(S1768="A",T1768&lt;&gt;""),IFERROR(MATCH(INDEX('AFA Rates'!$A$5:$A$1004,T1768),Firms!$A$5:$A$1004,0),""),""))</f>
        <v/>
      </c>
    </row>
    <row r="1769">
      <c r="A1769" s="78">
        <f>IF($T1769="","",IF($S1769="S",IF(INDEX(Firms!$A$5:$A$1004,$T1769)="","",INDEX(Firms!$A$5:$A$1004,$T1769)),IF(INDEX('AFA Rates'!$A$5:$A$1004,$T1769)="","",INDEX('AFA Rates'!$A$5:$A$1004,$T1769))))</f>
        <v/>
      </c>
      <c r="B1769" s="79">
        <f>IF(OR($T1769="",$U1769=""),IF($T1769="","","Not on Firms tab"),INDEX(Firms!$B$5:$B$1004,$U1769)&amp;"")</f>
        <v/>
      </c>
      <c r="C1769" s="78">
        <f>IF($T1769="","",IF($S1769="S","Standard",INDEX('AFA Rates'!$B$5:$B$1004,$T1769)&amp;""))</f>
        <v/>
      </c>
      <c r="D1769" s="88">
        <f>IF($T1769="","",IF($S1769="S",IF(INDEX(Firms!$E$5:$E$1004,$T1769)="","",INDEX(Firms!$E$5:$E$1004,$T1769)),IF(INDEX('AFA Rates'!$C$5:$C$1004,$T1769)="","",INDEX('AFA Rates'!$C$5:$C$1004,$T1769))))</f>
        <v/>
      </c>
      <c r="E1769" s="88">
        <f>IF($T1769="","",IF($S1769="S",IF(""="","",""),IF(INDEX('AFA Rates'!$D$5:$D$1004,$T1769)="","",INDEX('AFA Rates'!$D$5:$D$1004,$T1769))))</f>
        <v/>
      </c>
      <c r="F1769" s="79">
        <f>IF($T1769="","",IF($S1769="S",IF(INDEX(Firms!$O$5:$O$1004,$T1769)="","",INDEX(Firms!$O$5:$O$1004,$T1769)),IF(INDEX('AFA Rates'!$O$5:$O$1004,$T1769)="","",INDEX('AFA Rates'!$O$5:$O$1004,$T1769))))</f>
        <v/>
      </c>
      <c r="G1769" s="50">
        <f>IF($T1769="","",IF($S1769="S",IF(INDEX(Firms!$F$5:$F$1004,$T1769)="","",INDEX(Firms!$F$5:$F$1004,$T1769)),IF(INDEX('AFA Rates'!$E$5:$E$1004,$T1769)="","",INDEX('AFA Rates'!$E$5:$E$1004,$T1769))))</f>
        <v/>
      </c>
      <c r="H1769" s="50">
        <f>IF($T1769="","",IF($S1769="S",IF(INDEX(Firms!$G$5:$G$1004,$T1769)="","",INDEX(Firms!$G$5:$G$1004,$T1769)),IF(INDEX('AFA Rates'!$F$5:$F$1004,$T1769)="","",INDEX('AFA Rates'!$F$5:$F$1004,$T1769))))</f>
        <v/>
      </c>
      <c r="I1769" s="50">
        <f>IF($T1769="","",IF($S1769="S",IF(INDEX(Firms!$H$5:$H$1004,$T1769)="","",INDEX(Firms!$H$5:$H$1004,$T1769)),IF(INDEX('AFA Rates'!$G$5:$G$1004,$T1769)="","",INDEX('AFA Rates'!$G$5:$G$1004,$T1769))))</f>
        <v/>
      </c>
      <c r="J1769" s="50">
        <f>IF($T1769="","",IF($S1769="S",IF(INDEX(Firms!$I$5:$I$1004,$T1769)="","",INDEX(Firms!$I$5:$I$1004,$T1769)),IF(INDEX('AFA Rates'!$H$5:$H$1004,$T1769)="","",INDEX('AFA Rates'!$H$5:$H$1004,$T1769))))</f>
        <v/>
      </c>
      <c r="K1769" s="50">
        <f>IF($T1769="","",IF($S1769="S",IF(INDEX(Firms!$J$5:$J$1004,$T1769)="","",INDEX(Firms!$J$5:$J$1004,$T1769)),IF(INDEX('AFA Rates'!$I$5:$I$1004,$T1769)="","",INDEX('AFA Rates'!$I$5:$I$1004,$T1769))))</f>
        <v/>
      </c>
      <c r="L1769" s="50">
        <f>IF($T1769="","",IF($S1769="S",IF(INDEX(Firms!$K$5:$K$1004,$T1769)="","",INDEX(Firms!$K$5:$K$1004,$T1769)),IF(INDEX('AFA Rates'!$J$5:$J$1004,$T1769)="","",INDEX('AFA Rates'!$J$5:$J$1004,$T1769))))</f>
        <v/>
      </c>
      <c r="M1769" s="50">
        <f>IF($T1769="","",IF($S1769="S",IF(INDEX(Firms!$L$5:$L$1004,$T1769)="","",INDEX(Firms!$L$5:$L$1004,$T1769)),IF(INDEX('AFA Rates'!$K$5:$K$1004,$T1769)="","",INDEX('AFA Rates'!$K$5:$K$1004,$T1769))))</f>
        <v/>
      </c>
      <c r="N1769" s="50">
        <f>IF($T1769="","",IF($S1769="S",IF(INDEX(Firms!$M$5:$M$1004,$T1769)="","",INDEX(Firms!$M$5:$M$1004,$T1769)),IF(INDEX('AFA Rates'!$L$5:$L$1004,$T1769)="","",INDEX('AFA Rates'!$L$5:$L$1004,$T1769))))</f>
        <v/>
      </c>
      <c r="O1769" s="78">
        <f>IF(OR($T1769="",$U1769=""),"",IF(INDEX(Firms!$C$5:$C$1004,$U1769)="","",INDEX(Firms!$C$5:$C$1004,$U1769)))</f>
        <v/>
      </c>
      <c r="P1769" s="79">
        <f>IF(OR($T1769="",$U1769=""),"",IF(INDEX(Firms!$N$5:$N$1004,$U1769)="","",INDEX(Firms!$N$5:$N$1004,$U1769)))</f>
        <v/>
      </c>
      <c r="Q1769" s="78">
        <f>IF($T1769="","",IF($S1769="S",IF(INDEX(Firms!$T$5:$T$1004,$T1769)="","",INDEX(Firms!$T$5:$T$1004,$T1769)),IF(INDEX('AFA Rates'!$M$5:$M$1004,$T1769)="","",INDEX('AFA Rates'!$M$5:$M$1004,$T1769))))</f>
        <v/>
      </c>
      <c r="S1769">
        <f>IF(1765&lt;=$S$2,"S",IF(1765&lt;=$S$2+$T$2,"A",""))</f>
        <v/>
      </c>
      <c r="T1769">
        <f>IF(S1769="S",MATCH(1765,Firms!$W$5:$W$1004,0),IF(S1769="A",IFERROR(MATCH(1765-$S$2,'AFA Rates'!$R$5:$R$1004,0),""),""))</f>
        <v/>
      </c>
      <c r="U1769">
        <f>IF(S1769="S",T1769,IF(AND(S1769="A",T1769&lt;&gt;""),IFERROR(MATCH(INDEX('AFA Rates'!$A$5:$A$1004,T1769),Firms!$A$5:$A$1004,0),""),""))</f>
        <v/>
      </c>
    </row>
    <row r="1770">
      <c r="A1770" s="78">
        <f>IF($T1770="","",IF($S1770="S",IF(INDEX(Firms!$A$5:$A$1004,$T1770)="","",INDEX(Firms!$A$5:$A$1004,$T1770)),IF(INDEX('AFA Rates'!$A$5:$A$1004,$T1770)="","",INDEX('AFA Rates'!$A$5:$A$1004,$T1770))))</f>
        <v/>
      </c>
      <c r="B1770" s="79">
        <f>IF(OR($T1770="",$U1770=""),IF($T1770="","","Not on Firms tab"),INDEX(Firms!$B$5:$B$1004,$U1770)&amp;"")</f>
        <v/>
      </c>
      <c r="C1770" s="78">
        <f>IF($T1770="","",IF($S1770="S","Standard",INDEX('AFA Rates'!$B$5:$B$1004,$T1770)&amp;""))</f>
        <v/>
      </c>
      <c r="D1770" s="88">
        <f>IF($T1770="","",IF($S1770="S",IF(INDEX(Firms!$E$5:$E$1004,$T1770)="","",INDEX(Firms!$E$5:$E$1004,$T1770)),IF(INDEX('AFA Rates'!$C$5:$C$1004,$T1770)="","",INDEX('AFA Rates'!$C$5:$C$1004,$T1770))))</f>
        <v/>
      </c>
      <c r="E1770" s="88">
        <f>IF($T1770="","",IF($S1770="S",IF(""="","",""),IF(INDEX('AFA Rates'!$D$5:$D$1004,$T1770)="","",INDEX('AFA Rates'!$D$5:$D$1004,$T1770))))</f>
        <v/>
      </c>
      <c r="F1770" s="79">
        <f>IF($T1770="","",IF($S1770="S",IF(INDEX(Firms!$O$5:$O$1004,$T1770)="","",INDEX(Firms!$O$5:$O$1004,$T1770)),IF(INDEX('AFA Rates'!$O$5:$O$1004,$T1770)="","",INDEX('AFA Rates'!$O$5:$O$1004,$T1770))))</f>
        <v/>
      </c>
      <c r="G1770" s="50">
        <f>IF($T1770="","",IF($S1770="S",IF(INDEX(Firms!$F$5:$F$1004,$T1770)="","",INDEX(Firms!$F$5:$F$1004,$T1770)),IF(INDEX('AFA Rates'!$E$5:$E$1004,$T1770)="","",INDEX('AFA Rates'!$E$5:$E$1004,$T1770))))</f>
        <v/>
      </c>
      <c r="H1770" s="50">
        <f>IF($T1770="","",IF($S1770="S",IF(INDEX(Firms!$G$5:$G$1004,$T1770)="","",INDEX(Firms!$G$5:$G$1004,$T1770)),IF(INDEX('AFA Rates'!$F$5:$F$1004,$T1770)="","",INDEX('AFA Rates'!$F$5:$F$1004,$T1770))))</f>
        <v/>
      </c>
      <c r="I1770" s="50">
        <f>IF($T1770="","",IF($S1770="S",IF(INDEX(Firms!$H$5:$H$1004,$T1770)="","",INDEX(Firms!$H$5:$H$1004,$T1770)),IF(INDEX('AFA Rates'!$G$5:$G$1004,$T1770)="","",INDEX('AFA Rates'!$G$5:$G$1004,$T1770))))</f>
        <v/>
      </c>
      <c r="J1770" s="50">
        <f>IF($T1770="","",IF($S1770="S",IF(INDEX(Firms!$I$5:$I$1004,$T1770)="","",INDEX(Firms!$I$5:$I$1004,$T1770)),IF(INDEX('AFA Rates'!$H$5:$H$1004,$T1770)="","",INDEX('AFA Rates'!$H$5:$H$1004,$T1770))))</f>
        <v/>
      </c>
      <c r="K1770" s="50">
        <f>IF($T1770="","",IF($S1770="S",IF(INDEX(Firms!$J$5:$J$1004,$T1770)="","",INDEX(Firms!$J$5:$J$1004,$T1770)),IF(INDEX('AFA Rates'!$I$5:$I$1004,$T1770)="","",INDEX('AFA Rates'!$I$5:$I$1004,$T1770))))</f>
        <v/>
      </c>
      <c r="L1770" s="50">
        <f>IF($T1770="","",IF($S1770="S",IF(INDEX(Firms!$K$5:$K$1004,$T1770)="","",INDEX(Firms!$K$5:$K$1004,$T1770)),IF(INDEX('AFA Rates'!$J$5:$J$1004,$T1770)="","",INDEX('AFA Rates'!$J$5:$J$1004,$T1770))))</f>
        <v/>
      </c>
      <c r="M1770" s="50">
        <f>IF($T1770="","",IF($S1770="S",IF(INDEX(Firms!$L$5:$L$1004,$T1770)="","",INDEX(Firms!$L$5:$L$1004,$T1770)),IF(INDEX('AFA Rates'!$K$5:$K$1004,$T1770)="","",INDEX('AFA Rates'!$K$5:$K$1004,$T1770))))</f>
        <v/>
      </c>
      <c r="N1770" s="50">
        <f>IF($T1770="","",IF($S1770="S",IF(INDEX(Firms!$M$5:$M$1004,$T1770)="","",INDEX(Firms!$M$5:$M$1004,$T1770)),IF(INDEX('AFA Rates'!$L$5:$L$1004,$T1770)="","",INDEX('AFA Rates'!$L$5:$L$1004,$T1770))))</f>
        <v/>
      </c>
      <c r="O1770" s="78">
        <f>IF(OR($T1770="",$U1770=""),"",IF(INDEX(Firms!$C$5:$C$1004,$U1770)="","",INDEX(Firms!$C$5:$C$1004,$U1770)))</f>
        <v/>
      </c>
      <c r="P1770" s="79">
        <f>IF(OR($T1770="",$U1770=""),"",IF(INDEX(Firms!$N$5:$N$1004,$U1770)="","",INDEX(Firms!$N$5:$N$1004,$U1770)))</f>
        <v/>
      </c>
      <c r="Q1770" s="78">
        <f>IF($T1770="","",IF($S1770="S",IF(INDEX(Firms!$T$5:$T$1004,$T1770)="","",INDEX(Firms!$T$5:$T$1004,$T1770)),IF(INDEX('AFA Rates'!$M$5:$M$1004,$T1770)="","",INDEX('AFA Rates'!$M$5:$M$1004,$T1770))))</f>
        <v/>
      </c>
      <c r="S1770">
        <f>IF(1766&lt;=$S$2,"S",IF(1766&lt;=$S$2+$T$2,"A",""))</f>
        <v/>
      </c>
      <c r="T1770">
        <f>IF(S1770="S",MATCH(1766,Firms!$W$5:$W$1004,0),IF(S1770="A",IFERROR(MATCH(1766-$S$2,'AFA Rates'!$R$5:$R$1004,0),""),""))</f>
        <v/>
      </c>
      <c r="U1770">
        <f>IF(S1770="S",T1770,IF(AND(S1770="A",T1770&lt;&gt;""),IFERROR(MATCH(INDEX('AFA Rates'!$A$5:$A$1004,T1770),Firms!$A$5:$A$1004,0),""),""))</f>
        <v/>
      </c>
    </row>
    <row r="1771">
      <c r="A1771" s="78">
        <f>IF($T1771="","",IF($S1771="S",IF(INDEX(Firms!$A$5:$A$1004,$T1771)="","",INDEX(Firms!$A$5:$A$1004,$T1771)),IF(INDEX('AFA Rates'!$A$5:$A$1004,$T1771)="","",INDEX('AFA Rates'!$A$5:$A$1004,$T1771))))</f>
        <v/>
      </c>
      <c r="B1771" s="79">
        <f>IF(OR($T1771="",$U1771=""),IF($T1771="","","Not on Firms tab"),INDEX(Firms!$B$5:$B$1004,$U1771)&amp;"")</f>
        <v/>
      </c>
      <c r="C1771" s="78">
        <f>IF($T1771="","",IF($S1771="S","Standard",INDEX('AFA Rates'!$B$5:$B$1004,$T1771)&amp;""))</f>
        <v/>
      </c>
      <c r="D1771" s="88">
        <f>IF($T1771="","",IF($S1771="S",IF(INDEX(Firms!$E$5:$E$1004,$T1771)="","",INDEX(Firms!$E$5:$E$1004,$T1771)),IF(INDEX('AFA Rates'!$C$5:$C$1004,$T1771)="","",INDEX('AFA Rates'!$C$5:$C$1004,$T1771))))</f>
        <v/>
      </c>
      <c r="E1771" s="88">
        <f>IF($T1771="","",IF($S1771="S",IF(""="","",""),IF(INDEX('AFA Rates'!$D$5:$D$1004,$T1771)="","",INDEX('AFA Rates'!$D$5:$D$1004,$T1771))))</f>
        <v/>
      </c>
      <c r="F1771" s="79">
        <f>IF($T1771="","",IF($S1771="S",IF(INDEX(Firms!$O$5:$O$1004,$T1771)="","",INDEX(Firms!$O$5:$O$1004,$T1771)),IF(INDEX('AFA Rates'!$O$5:$O$1004,$T1771)="","",INDEX('AFA Rates'!$O$5:$O$1004,$T1771))))</f>
        <v/>
      </c>
      <c r="G1771" s="50">
        <f>IF($T1771="","",IF($S1771="S",IF(INDEX(Firms!$F$5:$F$1004,$T1771)="","",INDEX(Firms!$F$5:$F$1004,$T1771)),IF(INDEX('AFA Rates'!$E$5:$E$1004,$T1771)="","",INDEX('AFA Rates'!$E$5:$E$1004,$T1771))))</f>
        <v/>
      </c>
      <c r="H1771" s="50">
        <f>IF($T1771="","",IF($S1771="S",IF(INDEX(Firms!$G$5:$G$1004,$T1771)="","",INDEX(Firms!$G$5:$G$1004,$T1771)),IF(INDEX('AFA Rates'!$F$5:$F$1004,$T1771)="","",INDEX('AFA Rates'!$F$5:$F$1004,$T1771))))</f>
        <v/>
      </c>
      <c r="I1771" s="50">
        <f>IF($T1771="","",IF($S1771="S",IF(INDEX(Firms!$H$5:$H$1004,$T1771)="","",INDEX(Firms!$H$5:$H$1004,$T1771)),IF(INDEX('AFA Rates'!$G$5:$G$1004,$T1771)="","",INDEX('AFA Rates'!$G$5:$G$1004,$T1771))))</f>
        <v/>
      </c>
      <c r="J1771" s="50">
        <f>IF($T1771="","",IF($S1771="S",IF(INDEX(Firms!$I$5:$I$1004,$T1771)="","",INDEX(Firms!$I$5:$I$1004,$T1771)),IF(INDEX('AFA Rates'!$H$5:$H$1004,$T1771)="","",INDEX('AFA Rates'!$H$5:$H$1004,$T1771))))</f>
        <v/>
      </c>
      <c r="K1771" s="50">
        <f>IF($T1771="","",IF($S1771="S",IF(INDEX(Firms!$J$5:$J$1004,$T1771)="","",INDEX(Firms!$J$5:$J$1004,$T1771)),IF(INDEX('AFA Rates'!$I$5:$I$1004,$T1771)="","",INDEX('AFA Rates'!$I$5:$I$1004,$T1771))))</f>
        <v/>
      </c>
      <c r="L1771" s="50">
        <f>IF($T1771="","",IF($S1771="S",IF(INDEX(Firms!$K$5:$K$1004,$T1771)="","",INDEX(Firms!$K$5:$K$1004,$T1771)),IF(INDEX('AFA Rates'!$J$5:$J$1004,$T1771)="","",INDEX('AFA Rates'!$J$5:$J$1004,$T1771))))</f>
        <v/>
      </c>
      <c r="M1771" s="50">
        <f>IF($T1771="","",IF($S1771="S",IF(INDEX(Firms!$L$5:$L$1004,$T1771)="","",INDEX(Firms!$L$5:$L$1004,$T1771)),IF(INDEX('AFA Rates'!$K$5:$K$1004,$T1771)="","",INDEX('AFA Rates'!$K$5:$K$1004,$T1771))))</f>
        <v/>
      </c>
      <c r="N1771" s="50">
        <f>IF($T1771="","",IF($S1771="S",IF(INDEX(Firms!$M$5:$M$1004,$T1771)="","",INDEX(Firms!$M$5:$M$1004,$T1771)),IF(INDEX('AFA Rates'!$L$5:$L$1004,$T1771)="","",INDEX('AFA Rates'!$L$5:$L$1004,$T1771))))</f>
        <v/>
      </c>
      <c r="O1771" s="78">
        <f>IF(OR($T1771="",$U1771=""),"",IF(INDEX(Firms!$C$5:$C$1004,$U1771)="","",INDEX(Firms!$C$5:$C$1004,$U1771)))</f>
        <v/>
      </c>
      <c r="P1771" s="79">
        <f>IF(OR($T1771="",$U1771=""),"",IF(INDEX(Firms!$N$5:$N$1004,$U1771)="","",INDEX(Firms!$N$5:$N$1004,$U1771)))</f>
        <v/>
      </c>
      <c r="Q1771" s="78">
        <f>IF($T1771="","",IF($S1771="S",IF(INDEX(Firms!$T$5:$T$1004,$T1771)="","",INDEX(Firms!$T$5:$T$1004,$T1771)),IF(INDEX('AFA Rates'!$M$5:$M$1004,$T1771)="","",INDEX('AFA Rates'!$M$5:$M$1004,$T1771))))</f>
        <v/>
      </c>
      <c r="S1771">
        <f>IF(1767&lt;=$S$2,"S",IF(1767&lt;=$S$2+$T$2,"A",""))</f>
        <v/>
      </c>
      <c r="T1771">
        <f>IF(S1771="S",MATCH(1767,Firms!$W$5:$W$1004,0),IF(S1771="A",IFERROR(MATCH(1767-$S$2,'AFA Rates'!$R$5:$R$1004,0),""),""))</f>
        <v/>
      </c>
      <c r="U1771">
        <f>IF(S1771="S",T1771,IF(AND(S1771="A",T1771&lt;&gt;""),IFERROR(MATCH(INDEX('AFA Rates'!$A$5:$A$1004,T1771),Firms!$A$5:$A$1004,0),""),""))</f>
        <v/>
      </c>
    </row>
    <row r="1772">
      <c r="A1772" s="78">
        <f>IF($T1772="","",IF($S1772="S",IF(INDEX(Firms!$A$5:$A$1004,$T1772)="","",INDEX(Firms!$A$5:$A$1004,$T1772)),IF(INDEX('AFA Rates'!$A$5:$A$1004,$T1772)="","",INDEX('AFA Rates'!$A$5:$A$1004,$T1772))))</f>
        <v/>
      </c>
      <c r="B1772" s="79">
        <f>IF(OR($T1772="",$U1772=""),IF($T1772="","","Not on Firms tab"),INDEX(Firms!$B$5:$B$1004,$U1772)&amp;"")</f>
        <v/>
      </c>
      <c r="C1772" s="78">
        <f>IF($T1772="","",IF($S1772="S","Standard",INDEX('AFA Rates'!$B$5:$B$1004,$T1772)&amp;""))</f>
        <v/>
      </c>
      <c r="D1772" s="88">
        <f>IF($T1772="","",IF($S1772="S",IF(INDEX(Firms!$E$5:$E$1004,$T1772)="","",INDEX(Firms!$E$5:$E$1004,$T1772)),IF(INDEX('AFA Rates'!$C$5:$C$1004,$T1772)="","",INDEX('AFA Rates'!$C$5:$C$1004,$T1772))))</f>
        <v/>
      </c>
      <c r="E1772" s="88">
        <f>IF($T1772="","",IF($S1772="S",IF(""="","",""),IF(INDEX('AFA Rates'!$D$5:$D$1004,$T1772)="","",INDEX('AFA Rates'!$D$5:$D$1004,$T1772))))</f>
        <v/>
      </c>
      <c r="F1772" s="79">
        <f>IF($T1772="","",IF($S1772="S",IF(INDEX(Firms!$O$5:$O$1004,$T1772)="","",INDEX(Firms!$O$5:$O$1004,$T1772)),IF(INDEX('AFA Rates'!$O$5:$O$1004,$T1772)="","",INDEX('AFA Rates'!$O$5:$O$1004,$T1772))))</f>
        <v/>
      </c>
      <c r="G1772" s="50">
        <f>IF($T1772="","",IF($S1772="S",IF(INDEX(Firms!$F$5:$F$1004,$T1772)="","",INDEX(Firms!$F$5:$F$1004,$T1772)),IF(INDEX('AFA Rates'!$E$5:$E$1004,$T1772)="","",INDEX('AFA Rates'!$E$5:$E$1004,$T1772))))</f>
        <v/>
      </c>
      <c r="H1772" s="50">
        <f>IF($T1772="","",IF($S1772="S",IF(INDEX(Firms!$G$5:$G$1004,$T1772)="","",INDEX(Firms!$G$5:$G$1004,$T1772)),IF(INDEX('AFA Rates'!$F$5:$F$1004,$T1772)="","",INDEX('AFA Rates'!$F$5:$F$1004,$T1772))))</f>
        <v/>
      </c>
      <c r="I1772" s="50">
        <f>IF($T1772="","",IF($S1772="S",IF(INDEX(Firms!$H$5:$H$1004,$T1772)="","",INDEX(Firms!$H$5:$H$1004,$T1772)),IF(INDEX('AFA Rates'!$G$5:$G$1004,$T1772)="","",INDEX('AFA Rates'!$G$5:$G$1004,$T1772))))</f>
        <v/>
      </c>
      <c r="J1772" s="50">
        <f>IF($T1772="","",IF($S1772="S",IF(INDEX(Firms!$I$5:$I$1004,$T1772)="","",INDEX(Firms!$I$5:$I$1004,$T1772)),IF(INDEX('AFA Rates'!$H$5:$H$1004,$T1772)="","",INDEX('AFA Rates'!$H$5:$H$1004,$T1772))))</f>
        <v/>
      </c>
      <c r="K1772" s="50">
        <f>IF($T1772="","",IF($S1772="S",IF(INDEX(Firms!$J$5:$J$1004,$T1772)="","",INDEX(Firms!$J$5:$J$1004,$T1772)),IF(INDEX('AFA Rates'!$I$5:$I$1004,$T1772)="","",INDEX('AFA Rates'!$I$5:$I$1004,$T1772))))</f>
        <v/>
      </c>
      <c r="L1772" s="50">
        <f>IF($T1772="","",IF($S1772="S",IF(INDEX(Firms!$K$5:$K$1004,$T1772)="","",INDEX(Firms!$K$5:$K$1004,$T1772)),IF(INDEX('AFA Rates'!$J$5:$J$1004,$T1772)="","",INDEX('AFA Rates'!$J$5:$J$1004,$T1772))))</f>
        <v/>
      </c>
      <c r="M1772" s="50">
        <f>IF($T1772="","",IF($S1772="S",IF(INDEX(Firms!$L$5:$L$1004,$T1772)="","",INDEX(Firms!$L$5:$L$1004,$T1772)),IF(INDEX('AFA Rates'!$K$5:$K$1004,$T1772)="","",INDEX('AFA Rates'!$K$5:$K$1004,$T1772))))</f>
        <v/>
      </c>
      <c r="N1772" s="50">
        <f>IF($T1772="","",IF($S1772="S",IF(INDEX(Firms!$M$5:$M$1004,$T1772)="","",INDEX(Firms!$M$5:$M$1004,$T1772)),IF(INDEX('AFA Rates'!$L$5:$L$1004,$T1772)="","",INDEX('AFA Rates'!$L$5:$L$1004,$T1772))))</f>
        <v/>
      </c>
      <c r="O1772" s="78">
        <f>IF(OR($T1772="",$U1772=""),"",IF(INDEX(Firms!$C$5:$C$1004,$U1772)="","",INDEX(Firms!$C$5:$C$1004,$U1772)))</f>
        <v/>
      </c>
      <c r="P1772" s="79">
        <f>IF(OR($T1772="",$U1772=""),"",IF(INDEX(Firms!$N$5:$N$1004,$U1772)="","",INDEX(Firms!$N$5:$N$1004,$U1772)))</f>
        <v/>
      </c>
      <c r="Q1772" s="78">
        <f>IF($T1772="","",IF($S1772="S",IF(INDEX(Firms!$T$5:$T$1004,$T1772)="","",INDEX(Firms!$T$5:$T$1004,$T1772)),IF(INDEX('AFA Rates'!$M$5:$M$1004,$T1772)="","",INDEX('AFA Rates'!$M$5:$M$1004,$T1772))))</f>
        <v/>
      </c>
      <c r="S1772">
        <f>IF(1768&lt;=$S$2,"S",IF(1768&lt;=$S$2+$T$2,"A",""))</f>
        <v/>
      </c>
      <c r="T1772">
        <f>IF(S1772="S",MATCH(1768,Firms!$W$5:$W$1004,0),IF(S1772="A",IFERROR(MATCH(1768-$S$2,'AFA Rates'!$R$5:$R$1004,0),""),""))</f>
        <v/>
      </c>
      <c r="U1772">
        <f>IF(S1772="S",T1772,IF(AND(S1772="A",T1772&lt;&gt;""),IFERROR(MATCH(INDEX('AFA Rates'!$A$5:$A$1004,T1772),Firms!$A$5:$A$1004,0),""),""))</f>
        <v/>
      </c>
    </row>
    <row r="1773">
      <c r="A1773" s="78">
        <f>IF($T1773="","",IF($S1773="S",IF(INDEX(Firms!$A$5:$A$1004,$T1773)="","",INDEX(Firms!$A$5:$A$1004,$T1773)),IF(INDEX('AFA Rates'!$A$5:$A$1004,$T1773)="","",INDEX('AFA Rates'!$A$5:$A$1004,$T1773))))</f>
        <v/>
      </c>
      <c r="B1773" s="79">
        <f>IF(OR($T1773="",$U1773=""),IF($T1773="","","Not on Firms tab"),INDEX(Firms!$B$5:$B$1004,$U1773)&amp;"")</f>
        <v/>
      </c>
      <c r="C1773" s="78">
        <f>IF($T1773="","",IF($S1773="S","Standard",INDEX('AFA Rates'!$B$5:$B$1004,$T1773)&amp;""))</f>
        <v/>
      </c>
      <c r="D1773" s="88">
        <f>IF($T1773="","",IF($S1773="S",IF(INDEX(Firms!$E$5:$E$1004,$T1773)="","",INDEX(Firms!$E$5:$E$1004,$T1773)),IF(INDEX('AFA Rates'!$C$5:$C$1004,$T1773)="","",INDEX('AFA Rates'!$C$5:$C$1004,$T1773))))</f>
        <v/>
      </c>
      <c r="E1773" s="88">
        <f>IF($T1773="","",IF($S1773="S",IF(""="","",""),IF(INDEX('AFA Rates'!$D$5:$D$1004,$T1773)="","",INDEX('AFA Rates'!$D$5:$D$1004,$T1773))))</f>
        <v/>
      </c>
      <c r="F1773" s="79">
        <f>IF($T1773="","",IF($S1773="S",IF(INDEX(Firms!$O$5:$O$1004,$T1773)="","",INDEX(Firms!$O$5:$O$1004,$T1773)),IF(INDEX('AFA Rates'!$O$5:$O$1004,$T1773)="","",INDEX('AFA Rates'!$O$5:$O$1004,$T1773))))</f>
        <v/>
      </c>
      <c r="G1773" s="50">
        <f>IF($T1773="","",IF($S1773="S",IF(INDEX(Firms!$F$5:$F$1004,$T1773)="","",INDEX(Firms!$F$5:$F$1004,$T1773)),IF(INDEX('AFA Rates'!$E$5:$E$1004,$T1773)="","",INDEX('AFA Rates'!$E$5:$E$1004,$T1773))))</f>
        <v/>
      </c>
      <c r="H1773" s="50">
        <f>IF($T1773="","",IF($S1773="S",IF(INDEX(Firms!$G$5:$G$1004,$T1773)="","",INDEX(Firms!$G$5:$G$1004,$T1773)),IF(INDEX('AFA Rates'!$F$5:$F$1004,$T1773)="","",INDEX('AFA Rates'!$F$5:$F$1004,$T1773))))</f>
        <v/>
      </c>
      <c r="I1773" s="50">
        <f>IF($T1773="","",IF($S1773="S",IF(INDEX(Firms!$H$5:$H$1004,$T1773)="","",INDEX(Firms!$H$5:$H$1004,$T1773)),IF(INDEX('AFA Rates'!$G$5:$G$1004,$T1773)="","",INDEX('AFA Rates'!$G$5:$G$1004,$T1773))))</f>
        <v/>
      </c>
      <c r="J1773" s="50">
        <f>IF($T1773="","",IF($S1773="S",IF(INDEX(Firms!$I$5:$I$1004,$T1773)="","",INDEX(Firms!$I$5:$I$1004,$T1773)),IF(INDEX('AFA Rates'!$H$5:$H$1004,$T1773)="","",INDEX('AFA Rates'!$H$5:$H$1004,$T1773))))</f>
        <v/>
      </c>
      <c r="K1773" s="50">
        <f>IF($T1773="","",IF($S1773="S",IF(INDEX(Firms!$J$5:$J$1004,$T1773)="","",INDEX(Firms!$J$5:$J$1004,$T1773)),IF(INDEX('AFA Rates'!$I$5:$I$1004,$T1773)="","",INDEX('AFA Rates'!$I$5:$I$1004,$T1773))))</f>
        <v/>
      </c>
      <c r="L1773" s="50">
        <f>IF($T1773="","",IF($S1773="S",IF(INDEX(Firms!$K$5:$K$1004,$T1773)="","",INDEX(Firms!$K$5:$K$1004,$T1773)),IF(INDEX('AFA Rates'!$J$5:$J$1004,$T1773)="","",INDEX('AFA Rates'!$J$5:$J$1004,$T1773))))</f>
        <v/>
      </c>
      <c r="M1773" s="50">
        <f>IF($T1773="","",IF($S1773="S",IF(INDEX(Firms!$L$5:$L$1004,$T1773)="","",INDEX(Firms!$L$5:$L$1004,$T1773)),IF(INDEX('AFA Rates'!$K$5:$K$1004,$T1773)="","",INDEX('AFA Rates'!$K$5:$K$1004,$T1773))))</f>
        <v/>
      </c>
      <c r="N1773" s="50">
        <f>IF($T1773="","",IF($S1773="S",IF(INDEX(Firms!$M$5:$M$1004,$T1773)="","",INDEX(Firms!$M$5:$M$1004,$T1773)),IF(INDEX('AFA Rates'!$L$5:$L$1004,$T1773)="","",INDEX('AFA Rates'!$L$5:$L$1004,$T1773))))</f>
        <v/>
      </c>
      <c r="O1773" s="78">
        <f>IF(OR($T1773="",$U1773=""),"",IF(INDEX(Firms!$C$5:$C$1004,$U1773)="","",INDEX(Firms!$C$5:$C$1004,$U1773)))</f>
        <v/>
      </c>
      <c r="P1773" s="79">
        <f>IF(OR($T1773="",$U1773=""),"",IF(INDEX(Firms!$N$5:$N$1004,$U1773)="","",INDEX(Firms!$N$5:$N$1004,$U1773)))</f>
        <v/>
      </c>
      <c r="Q1773" s="78">
        <f>IF($T1773="","",IF($S1773="S",IF(INDEX(Firms!$T$5:$T$1004,$T1773)="","",INDEX(Firms!$T$5:$T$1004,$T1773)),IF(INDEX('AFA Rates'!$M$5:$M$1004,$T1773)="","",INDEX('AFA Rates'!$M$5:$M$1004,$T1773))))</f>
        <v/>
      </c>
      <c r="S1773">
        <f>IF(1769&lt;=$S$2,"S",IF(1769&lt;=$S$2+$T$2,"A",""))</f>
        <v/>
      </c>
      <c r="T1773">
        <f>IF(S1773="S",MATCH(1769,Firms!$W$5:$W$1004,0),IF(S1773="A",IFERROR(MATCH(1769-$S$2,'AFA Rates'!$R$5:$R$1004,0),""),""))</f>
        <v/>
      </c>
      <c r="U1773">
        <f>IF(S1773="S",T1773,IF(AND(S1773="A",T1773&lt;&gt;""),IFERROR(MATCH(INDEX('AFA Rates'!$A$5:$A$1004,T1773),Firms!$A$5:$A$1004,0),""),""))</f>
        <v/>
      </c>
    </row>
    <row r="1774">
      <c r="A1774" s="78">
        <f>IF($T1774="","",IF($S1774="S",IF(INDEX(Firms!$A$5:$A$1004,$T1774)="","",INDEX(Firms!$A$5:$A$1004,$T1774)),IF(INDEX('AFA Rates'!$A$5:$A$1004,$T1774)="","",INDEX('AFA Rates'!$A$5:$A$1004,$T1774))))</f>
        <v/>
      </c>
      <c r="B1774" s="79">
        <f>IF(OR($T1774="",$U1774=""),IF($T1774="","","Not on Firms tab"),INDEX(Firms!$B$5:$B$1004,$U1774)&amp;"")</f>
        <v/>
      </c>
      <c r="C1774" s="78">
        <f>IF($T1774="","",IF($S1774="S","Standard",INDEX('AFA Rates'!$B$5:$B$1004,$T1774)&amp;""))</f>
        <v/>
      </c>
      <c r="D1774" s="88">
        <f>IF($T1774="","",IF($S1774="S",IF(INDEX(Firms!$E$5:$E$1004,$T1774)="","",INDEX(Firms!$E$5:$E$1004,$T1774)),IF(INDEX('AFA Rates'!$C$5:$C$1004,$T1774)="","",INDEX('AFA Rates'!$C$5:$C$1004,$T1774))))</f>
        <v/>
      </c>
      <c r="E1774" s="88">
        <f>IF($T1774="","",IF($S1774="S",IF(""="","",""),IF(INDEX('AFA Rates'!$D$5:$D$1004,$T1774)="","",INDEX('AFA Rates'!$D$5:$D$1004,$T1774))))</f>
        <v/>
      </c>
      <c r="F1774" s="79">
        <f>IF($T1774="","",IF($S1774="S",IF(INDEX(Firms!$O$5:$O$1004,$T1774)="","",INDEX(Firms!$O$5:$O$1004,$T1774)),IF(INDEX('AFA Rates'!$O$5:$O$1004,$T1774)="","",INDEX('AFA Rates'!$O$5:$O$1004,$T1774))))</f>
        <v/>
      </c>
      <c r="G1774" s="50">
        <f>IF($T1774="","",IF($S1774="S",IF(INDEX(Firms!$F$5:$F$1004,$T1774)="","",INDEX(Firms!$F$5:$F$1004,$T1774)),IF(INDEX('AFA Rates'!$E$5:$E$1004,$T1774)="","",INDEX('AFA Rates'!$E$5:$E$1004,$T1774))))</f>
        <v/>
      </c>
      <c r="H1774" s="50">
        <f>IF($T1774="","",IF($S1774="S",IF(INDEX(Firms!$G$5:$G$1004,$T1774)="","",INDEX(Firms!$G$5:$G$1004,$T1774)),IF(INDEX('AFA Rates'!$F$5:$F$1004,$T1774)="","",INDEX('AFA Rates'!$F$5:$F$1004,$T1774))))</f>
        <v/>
      </c>
      <c r="I1774" s="50">
        <f>IF($T1774="","",IF($S1774="S",IF(INDEX(Firms!$H$5:$H$1004,$T1774)="","",INDEX(Firms!$H$5:$H$1004,$T1774)),IF(INDEX('AFA Rates'!$G$5:$G$1004,$T1774)="","",INDEX('AFA Rates'!$G$5:$G$1004,$T1774))))</f>
        <v/>
      </c>
      <c r="J1774" s="50">
        <f>IF($T1774="","",IF($S1774="S",IF(INDEX(Firms!$I$5:$I$1004,$T1774)="","",INDEX(Firms!$I$5:$I$1004,$T1774)),IF(INDEX('AFA Rates'!$H$5:$H$1004,$T1774)="","",INDEX('AFA Rates'!$H$5:$H$1004,$T1774))))</f>
        <v/>
      </c>
      <c r="K1774" s="50">
        <f>IF($T1774="","",IF($S1774="S",IF(INDEX(Firms!$J$5:$J$1004,$T1774)="","",INDEX(Firms!$J$5:$J$1004,$T1774)),IF(INDEX('AFA Rates'!$I$5:$I$1004,$T1774)="","",INDEX('AFA Rates'!$I$5:$I$1004,$T1774))))</f>
        <v/>
      </c>
      <c r="L1774" s="50">
        <f>IF($T1774="","",IF($S1774="S",IF(INDEX(Firms!$K$5:$K$1004,$T1774)="","",INDEX(Firms!$K$5:$K$1004,$T1774)),IF(INDEX('AFA Rates'!$J$5:$J$1004,$T1774)="","",INDEX('AFA Rates'!$J$5:$J$1004,$T1774))))</f>
        <v/>
      </c>
      <c r="M1774" s="50">
        <f>IF($T1774="","",IF($S1774="S",IF(INDEX(Firms!$L$5:$L$1004,$T1774)="","",INDEX(Firms!$L$5:$L$1004,$T1774)),IF(INDEX('AFA Rates'!$K$5:$K$1004,$T1774)="","",INDEX('AFA Rates'!$K$5:$K$1004,$T1774))))</f>
        <v/>
      </c>
      <c r="N1774" s="50">
        <f>IF($T1774="","",IF($S1774="S",IF(INDEX(Firms!$M$5:$M$1004,$T1774)="","",INDEX(Firms!$M$5:$M$1004,$T1774)),IF(INDEX('AFA Rates'!$L$5:$L$1004,$T1774)="","",INDEX('AFA Rates'!$L$5:$L$1004,$T1774))))</f>
        <v/>
      </c>
      <c r="O1774" s="78">
        <f>IF(OR($T1774="",$U1774=""),"",IF(INDEX(Firms!$C$5:$C$1004,$U1774)="","",INDEX(Firms!$C$5:$C$1004,$U1774)))</f>
        <v/>
      </c>
      <c r="P1774" s="79">
        <f>IF(OR($T1774="",$U1774=""),"",IF(INDEX(Firms!$N$5:$N$1004,$U1774)="","",INDEX(Firms!$N$5:$N$1004,$U1774)))</f>
        <v/>
      </c>
      <c r="Q1774" s="78">
        <f>IF($T1774="","",IF($S1774="S",IF(INDEX(Firms!$T$5:$T$1004,$T1774)="","",INDEX(Firms!$T$5:$T$1004,$T1774)),IF(INDEX('AFA Rates'!$M$5:$M$1004,$T1774)="","",INDEX('AFA Rates'!$M$5:$M$1004,$T1774))))</f>
        <v/>
      </c>
      <c r="S1774">
        <f>IF(1770&lt;=$S$2,"S",IF(1770&lt;=$S$2+$T$2,"A",""))</f>
        <v/>
      </c>
      <c r="T1774">
        <f>IF(S1774="S",MATCH(1770,Firms!$W$5:$W$1004,0),IF(S1774="A",IFERROR(MATCH(1770-$S$2,'AFA Rates'!$R$5:$R$1004,0),""),""))</f>
        <v/>
      </c>
      <c r="U1774">
        <f>IF(S1774="S",T1774,IF(AND(S1774="A",T1774&lt;&gt;""),IFERROR(MATCH(INDEX('AFA Rates'!$A$5:$A$1004,T1774),Firms!$A$5:$A$1004,0),""),""))</f>
        <v/>
      </c>
    </row>
    <row r="1775">
      <c r="A1775" s="78">
        <f>IF($T1775="","",IF($S1775="S",IF(INDEX(Firms!$A$5:$A$1004,$T1775)="","",INDEX(Firms!$A$5:$A$1004,$T1775)),IF(INDEX('AFA Rates'!$A$5:$A$1004,$T1775)="","",INDEX('AFA Rates'!$A$5:$A$1004,$T1775))))</f>
        <v/>
      </c>
      <c r="B1775" s="79">
        <f>IF(OR($T1775="",$U1775=""),IF($T1775="","","Not on Firms tab"),INDEX(Firms!$B$5:$B$1004,$U1775)&amp;"")</f>
        <v/>
      </c>
      <c r="C1775" s="78">
        <f>IF($T1775="","",IF($S1775="S","Standard",INDEX('AFA Rates'!$B$5:$B$1004,$T1775)&amp;""))</f>
        <v/>
      </c>
      <c r="D1775" s="88">
        <f>IF($T1775="","",IF($S1775="S",IF(INDEX(Firms!$E$5:$E$1004,$T1775)="","",INDEX(Firms!$E$5:$E$1004,$T1775)),IF(INDEX('AFA Rates'!$C$5:$C$1004,$T1775)="","",INDEX('AFA Rates'!$C$5:$C$1004,$T1775))))</f>
        <v/>
      </c>
      <c r="E1775" s="88">
        <f>IF($T1775="","",IF($S1775="S",IF(""="","",""),IF(INDEX('AFA Rates'!$D$5:$D$1004,$T1775)="","",INDEX('AFA Rates'!$D$5:$D$1004,$T1775))))</f>
        <v/>
      </c>
      <c r="F1775" s="79">
        <f>IF($T1775="","",IF($S1775="S",IF(INDEX(Firms!$O$5:$O$1004,$T1775)="","",INDEX(Firms!$O$5:$O$1004,$T1775)),IF(INDEX('AFA Rates'!$O$5:$O$1004,$T1775)="","",INDEX('AFA Rates'!$O$5:$O$1004,$T1775))))</f>
        <v/>
      </c>
      <c r="G1775" s="50">
        <f>IF($T1775="","",IF($S1775="S",IF(INDEX(Firms!$F$5:$F$1004,$T1775)="","",INDEX(Firms!$F$5:$F$1004,$T1775)),IF(INDEX('AFA Rates'!$E$5:$E$1004,$T1775)="","",INDEX('AFA Rates'!$E$5:$E$1004,$T1775))))</f>
        <v/>
      </c>
      <c r="H1775" s="50">
        <f>IF($T1775="","",IF($S1775="S",IF(INDEX(Firms!$G$5:$G$1004,$T1775)="","",INDEX(Firms!$G$5:$G$1004,$T1775)),IF(INDEX('AFA Rates'!$F$5:$F$1004,$T1775)="","",INDEX('AFA Rates'!$F$5:$F$1004,$T1775))))</f>
        <v/>
      </c>
      <c r="I1775" s="50">
        <f>IF($T1775="","",IF($S1775="S",IF(INDEX(Firms!$H$5:$H$1004,$T1775)="","",INDEX(Firms!$H$5:$H$1004,$T1775)),IF(INDEX('AFA Rates'!$G$5:$G$1004,$T1775)="","",INDEX('AFA Rates'!$G$5:$G$1004,$T1775))))</f>
        <v/>
      </c>
      <c r="J1775" s="50">
        <f>IF($T1775="","",IF($S1775="S",IF(INDEX(Firms!$I$5:$I$1004,$T1775)="","",INDEX(Firms!$I$5:$I$1004,$T1775)),IF(INDEX('AFA Rates'!$H$5:$H$1004,$T1775)="","",INDEX('AFA Rates'!$H$5:$H$1004,$T1775))))</f>
        <v/>
      </c>
      <c r="K1775" s="50">
        <f>IF($T1775="","",IF($S1775="S",IF(INDEX(Firms!$J$5:$J$1004,$T1775)="","",INDEX(Firms!$J$5:$J$1004,$T1775)),IF(INDEX('AFA Rates'!$I$5:$I$1004,$T1775)="","",INDEX('AFA Rates'!$I$5:$I$1004,$T1775))))</f>
        <v/>
      </c>
      <c r="L1775" s="50">
        <f>IF($T1775="","",IF($S1775="S",IF(INDEX(Firms!$K$5:$K$1004,$T1775)="","",INDEX(Firms!$K$5:$K$1004,$T1775)),IF(INDEX('AFA Rates'!$J$5:$J$1004,$T1775)="","",INDEX('AFA Rates'!$J$5:$J$1004,$T1775))))</f>
        <v/>
      </c>
      <c r="M1775" s="50">
        <f>IF($T1775="","",IF($S1775="S",IF(INDEX(Firms!$L$5:$L$1004,$T1775)="","",INDEX(Firms!$L$5:$L$1004,$T1775)),IF(INDEX('AFA Rates'!$K$5:$K$1004,$T1775)="","",INDEX('AFA Rates'!$K$5:$K$1004,$T1775))))</f>
        <v/>
      </c>
      <c r="N1775" s="50">
        <f>IF($T1775="","",IF($S1775="S",IF(INDEX(Firms!$M$5:$M$1004,$T1775)="","",INDEX(Firms!$M$5:$M$1004,$T1775)),IF(INDEX('AFA Rates'!$L$5:$L$1004,$T1775)="","",INDEX('AFA Rates'!$L$5:$L$1004,$T1775))))</f>
        <v/>
      </c>
      <c r="O1775" s="78">
        <f>IF(OR($T1775="",$U1775=""),"",IF(INDEX(Firms!$C$5:$C$1004,$U1775)="","",INDEX(Firms!$C$5:$C$1004,$U1775)))</f>
        <v/>
      </c>
      <c r="P1775" s="79">
        <f>IF(OR($T1775="",$U1775=""),"",IF(INDEX(Firms!$N$5:$N$1004,$U1775)="","",INDEX(Firms!$N$5:$N$1004,$U1775)))</f>
        <v/>
      </c>
      <c r="Q1775" s="78">
        <f>IF($T1775="","",IF($S1775="S",IF(INDEX(Firms!$T$5:$T$1004,$T1775)="","",INDEX(Firms!$T$5:$T$1004,$T1775)),IF(INDEX('AFA Rates'!$M$5:$M$1004,$T1775)="","",INDEX('AFA Rates'!$M$5:$M$1004,$T1775))))</f>
        <v/>
      </c>
      <c r="S1775">
        <f>IF(1771&lt;=$S$2,"S",IF(1771&lt;=$S$2+$T$2,"A",""))</f>
        <v/>
      </c>
      <c r="T1775">
        <f>IF(S1775="S",MATCH(1771,Firms!$W$5:$W$1004,0),IF(S1775="A",IFERROR(MATCH(1771-$S$2,'AFA Rates'!$R$5:$R$1004,0),""),""))</f>
        <v/>
      </c>
      <c r="U1775">
        <f>IF(S1775="S",T1775,IF(AND(S1775="A",T1775&lt;&gt;""),IFERROR(MATCH(INDEX('AFA Rates'!$A$5:$A$1004,T1775),Firms!$A$5:$A$1004,0),""),""))</f>
        <v/>
      </c>
    </row>
    <row r="1776">
      <c r="A1776" s="78">
        <f>IF($T1776="","",IF($S1776="S",IF(INDEX(Firms!$A$5:$A$1004,$T1776)="","",INDEX(Firms!$A$5:$A$1004,$T1776)),IF(INDEX('AFA Rates'!$A$5:$A$1004,$T1776)="","",INDEX('AFA Rates'!$A$5:$A$1004,$T1776))))</f>
        <v/>
      </c>
      <c r="B1776" s="79">
        <f>IF(OR($T1776="",$U1776=""),IF($T1776="","","Not on Firms tab"),INDEX(Firms!$B$5:$B$1004,$U1776)&amp;"")</f>
        <v/>
      </c>
      <c r="C1776" s="78">
        <f>IF($T1776="","",IF($S1776="S","Standard",INDEX('AFA Rates'!$B$5:$B$1004,$T1776)&amp;""))</f>
        <v/>
      </c>
      <c r="D1776" s="88">
        <f>IF($T1776="","",IF($S1776="S",IF(INDEX(Firms!$E$5:$E$1004,$T1776)="","",INDEX(Firms!$E$5:$E$1004,$T1776)),IF(INDEX('AFA Rates'!$C$5:$C$1004,$T1776)="","",INDEX('AFA Rates'!$C$5:$C$1004,$T1776))))</f>
        <v/>
      </c>
      <c r="E1776" s="88">
        <f>IF($T1776="","",IF($S1776="S",IF(""="","",""),IF(INDEX('AFA Rates'!$D$5:$D$1004,$T1776)="","",INDEX('AFA Rates'!$D$5:$D$1004,$T1776))))</f>
        <v/>
      </c>
      <c r="F1776" s="79">
        <f>IF($T1776="","",IF($S1776="S",IF(INDEX(Firms!$O$5:$O$1004,$T1776)="","",INDEX(Firms!$O$5:$O$1004,$T1776)),IF(INDEX('AFA Rates'!$O$5:$O$1004,$T1776)="","",INDEX('AFA Rates'!$O$5:$O$1004,$T1776))))</f>
        <v/>
      </c>
      <c r="G1776" s="50">
        <f>IF($T1776="","",IF($S1776="S",IF(INDEX(Firms!$F$5:$F$1004,$T1776)="","",INDEX(Firms!$F$5:$F$1004,$T1776)),IF(INDEX('AFA Rates'!$E$5:$E$1004,$T1776)="","",INDEX('AFA Rates'!$E$5:$E$1004,$T1776))))</f>
        <v/>
      </c>
      <c r="H1776" s="50">
        <f>IF($T1776="","",IF($S1776="S",IF(INDEX(Firms!$G$5:$G$1004,$T1776)="","",INDEX(Firms!$G$5:$G$1004,$T1776)),IF(INDEX('AFA Rates'!$F$5:$F$1004,$T1776)="","",INDEX('AFA Rates'!$F$5:$F$1004,$T1776))))</f>
        <v/>
      </c>
      <c r="I1776" s="50">
        <f>IF($T1776="","",IF($S1776="S",IF(INDEX(Firms!$H$5:$H$1004,$T1776)="","",INDEX(Firms!$H$5:$H$1004,$T1776)),IF(INDEX('AFA Rates'!$G$5:$G$1004,$T1776)="","",INDEX('AFA Rates'!$G$5:$G$1004,$T1776))))</f>
        <v/>
      </c>
      <c r="J1776" s="50">
        <f>IF($T1776="","",IF($S1776="S",IF(INDEX(Firms!$I$5:$I$1004,$T1776)="","",INDEX(Firms!$I$5:$I$1004,$T1776)),IF(INDEX('AFA Rates'!$H$5:$H$1004,$T1776)="","",INDEX('AFA Rates'!$H$5:$H$1004,$T1776))))</f>
        <v/>
      </c>
      <c r="K1776" s="50">
        <f>IF($T1776="","",IF($S1776="S",IF(INDEX(Firms!$J$5:$J$1004,$T1776)="","",INDEX(Firms!$J$5:$J$1004,$T1776)),IF(INDEX('AFA Rates'!$I$5:$I$1004,$T1776)="","",INDEX('AFA Rates'!$I$5:$I$1004,$T1776))))</f>
        <v/>
      </c>
      <c r="L1776" s="50">
        <f>IF($T1776="","",IF($S1776="S",IF(INDEX(Firms!$K$5:$K$1004,$T1776)="","",INDEX(Firms!$K$5:$K$1004,$T1776)),IF(INDEX('AFA Rates'!$J$5:$J$1004,$T1776)="","",INDEX('AFA Rates'!$J$5:$J$1004,$T1776))))</f>
        <v/>
      </c>
      <c r="M1776" s="50">
        <f>IF($T1776="","",IF($S1776="S",IF(INDEX(Firms!$L$5:$L$1004,$T1776)="","",INDEX(Firms!$L$5:$L$1004,$T1776)),IF(INDEX('AFA Rates'!$K$5:$K$1004,$T1776)="","",INDEX('AFA Rates'!$K$5:$K$1004,$T1776))))</f>
        <v/>
      </c>
      <c r="N1776" s="50">
        <f>IF($T1776="","",IF($S1776="S",IF(INDEX(Firms!$M$5:$M$1004,$T1776)="","",INDEX(Firms!$M$5:$M$1004,$T1776)),IF(INDEX('AFA Rates'!$L$5:$L$1004,$T1776)="","",INDEX('AFA Rates'!$L$5:$L$1004,$T1776))))</f>
        <v/>
      </c>
      <c r="O1776" s="78">
        <f>IF(OR($T1776="",$U1776=""),"",IF(INDEX(Firms!$C$5:$C$1004,$U1776)="","",INDEX(Firms!$C$5:$C$1004,$U1776)))</f>
        <v/>
      </c>
      <c r="P1776" s="79">
        <f>IF(OR($T1776="",$U1776=""),"",IF(INDEX(Firms!$N$5:$N$1004,$U1776)="","",INDEX(Firms!$N$5:$N$1004,$U1776)))</f>
        <v/>
      </c>
      <c r="Q1776" s="78">
        <f>IF($T1776="","",IF($S1776="S",IF(INDEX(Firms!$T$5:$T$1004,$T1776)="","",INDEX(Firms!$T$5:$T$1004,$T1776)),IF(INDEX('AFA Rates'!$M$5:$M$1004,$T1776)="","",INDEX('AFA Rates'!$M$5:$M$1004,$T1776))))</f>
        <v/>
      </c>
      <c r="S1776">
        <f>IF(1772&lt;=$S$2,"S",IF(1772&lt;=$S$2+$T$2,"A",""))</f>
        <v/>
      </c>
      <c r="T1776">
        <f>IF(S1776="S",MATCH(1772,Firms!$W$5:$W$1004,0),IF(S1776="A",IFERROR(MATCH(1772-$S$2,'AFA Rates'!$R$5:$R$1004,0),""),""))</f>
        <v/>
      </c>
      <c r="U1776">
        <f>IF(S1776="S",T1776,IF(AND(S1776="A",T1776&lt;&gt;""),IFERROR(MATCH(INDEX('AFA Rates'!$A$5:$A$1004,T1776),Firms!$A$5:$A$1004,0),""),""))</f>
        <v/>
      </c>
    </row>
    <row r="1777">
      <c r="A1777" s="78">
        <f>IF($T1777="","",IF($S1777="S",IF(INDEX(Firms!$A$5:$A$1004,$T1777)="","",INDEX(Firms!$A$5:$A$1004,$T1777)),IF(INDEX('AFA Rates'!$A$5:$A$1004,$T1777)="","",INDEX('AFA Rates'!$A$5:$A$1004,$T1777))))</f>
        <v/>
      </c>
      <c r="B1777" s="79">
        <f>IF(OR($T1777="",$U1777=""),IF($T1777="","","Not on Firms tab"),INDEX(Firms!$B$5:$B$1004,$U1777)&amp;"")</f>
        <v/>
      </c>
      <c r="C1777" s="78">
        <f>IF($T1777="","",IF($S1777="S","Standard",INDEX('AFA Rates'!$B$5:$B$1004,$T1777)&amp;""))</f>
        <v/>
      </c>
      <c r="D1777" s="88">
        <f>IF($T1777="","",IF($S1777="S",IF(INDEX(Firms!$E$5:$E$1004,$T1777)="","",INDEX(Firms!$E$5:$E$1004,$T1777)),IF(INDEX('AFA Rates'!$C$5:$C$1004,$T1777)="","",INDEX('AFA Rates'!$C$5:$C$1004,$T1777))))</f>
        <v/>
      </c>
      <c r="E1777" s="88">
        <f>IF($T1777="","",IF($S1777="S",IF(""="","",""),IF(INDEX('AFA Rates'!$D$5:$D$1004,$T1777)="","",INDEX('AFA Rates'!$D$5:$D$1004,$T1777))))</f>
        <v/>
      </c>
      <c r="F1777" s="79">
        <f>IF($T1777="","",IF($S1777="S",IF(INDEX(Firms!$O$5:$O$1004,$T1777)="","",INDEX(Firms!$O$5:$O$1004,$T1777)),IF(INDEX('AFA Rates'!$O$5:$O$1004,$T1777)="","",INDEX('AFA Rates'!$O$5:$O$1004,$T1777))))</f>
        <v/>
      </c>
      <c r="G1777" s="50">
        <f>IF($T1777="","",IF($S1777="S",IF(INDEX(Firms!$F$5:$F$1004,$T1777)="","",INDEX(Firms!$F$5:$F$1004,$T1777)),IF(INDEX('AFA Rates'!$E$5:$E$1004,$T1777)="","",INDEX('AFA Rates'!$E$5:$E$1004,$T1777))))</f>
        <v/>
      </c>
      <c r="H1777" s="50">
        <f>IF($T1777="","",IF($S1777="S",IF(INDEX(Firms!$G$5:$G$1004,$T1777)="","",INDEX(Firms!$G$5:$G$1004,$T1777)),IF(INDEX('AFA Rates'!$F$5:$F$1004,$T1777)="","",INDEX('AFA Rates'!$F$5:$F$1004,$T1777))))</f>
        <v/>
      </c>
      <c r="I1777" s="50">
        <f>IF($T1777="","",IF($S1777="S",IF(INDEX(Firms!$H$5:$H$1004,$T1777)="","",INDEX(Firms!$H$5:$H$1004,$T1777)),IF(INDEX('AFA Rates'!$G$5:$G$1004,$T1777)="","",INDEX('AFA Rates'!$G$5:$G$1004,$T1777))))</f>
        <v/>
      </c>
      <c r="J1777" s="50">
        <f>IF($T1777="","",IF($S1777="S",IF(INDEX(Firms!$I$5:$I$1004,$T1777)="","",INDEX(Firms!$I$5:$I$1004,$T1777)),IF(INDEX('AFA Rates'!$H$5:$H$1004,$T1777)="","",INDEX('AFA Rates'!$H$5:$H$1004,$T1777))))</f>
        <v/>
      </c>
      <c r="K1777" s="50">
        <f>IF($T1777="","",IF($S1777="S",IF(INDEX(Firms!$J$5:$J$1004,$T1777)="","",INDEX(Firms!$J$5:$J$1004,$T1777)),IF(INDEX('AFA Rates'!$I$5:$I$1004,$T1777)="","",INDEX('AFA Rates'!$I$5:$I$1004,$T1777))))</f>
        <v/>
      </c>
      <c r="L1777" s="50">
        <f>IF($T1777="","",IF($S1777="S",IF(INDEX(Firms!$K$5:$K$1004,$T1777)="","",INDEX(Firms!$K$5:$K$1004,$T1777)),IF(INDEX('AFA Rates'!$J$5:$J$1004,$T1777)="","",INDEX('AFA Rates'!$J$5:$J$1004,$T1777))))</f>
        <v/>
      </c>
      <c r="M1777" s="50">
        <f>IF($T1777="","",IF($S1777="S",IF(INDEX(Firms!$L$5:$L$1004,$T1777)="","",INDEX(Firms!$L$5:$L$1004,$T1777)),IF(INDEX('AFA Rates'!$K$5:$K$1004,$T1777)="","",INDEX('AFA Rates'!$K$5:$K$1004,$T1777))))</f>
        <v/>
      </c>
      <c r="N1777" s="50">
        <f>IF($T1777="","",IF($S1777="S",IF(INDEX(Firms!$M$5:$M$1004,$T1777)="","",INDEX(Firms!$M$5:$M$1004,$T1777)),IF(INDEX('AFA Rates'!$L$5:$L$1004,$T1777)="","",INDEX('AFA Rates'!$L$5:$L$1004,$T1777))))</f>
        <v/>
      </c>
      <c r="O1777" s="78">
        <f>IF(OR($T1777="",$U1777=""),"",IF(INDEX(Firms!$C$5:$C$1004,$U1777)="","",INDEX(Firms!$C$5:$C$1004,$U1777)))</f>
        <v/>
      </c>
      <c r="P1777" s="79">
        <f>IF(OR($T1777="",$U1777=""),"",IF(INDEX(Firms!$N$5:$N$1004,$U1777)="","",INDEX(Firms!$N$5:$N$1004,$U1777)))</f>
        <v/>
      </c>
      <c r="Q1777" s="78">
        <f>IF($T1777="","",IF($S1777="S",IF(INDEX(Firms!$T$5:$T$1004,$T1777)="","",INDEX(Firms!$T$5:$T$1004,$T1777)),IF(INDEX('AFA Rates'!$M$5:$M$1004,$T1777)="","",INDEX('AFA Rates'!$M$5:$M$1004,$T1777))))</f>
        <v/>
      </c>
      <c r="S1777">
        <f>IF(1773&lt;=$S$2,"S",IF(1773&lt;=$S$2+$T$2,"A",""))</f>
        <v/>
      </c>
      <c r="T1777">
        <f>IF(S1777="S",MATCH(1773,Firms!$W$5:$W$1004,0),IF(S1777="A",IFERROR(MATCH(1773-$S$2,'AFA Rates'!$R$5:$R$1004,0),""),""))</f>
        <v/>
      </c>
      <c r="U1777">
        <f>IF(S1777="S",T1777,IF(AND(S1777="A",T1777&lt;&gt;""),IFERROR(MATCH(INDEX('AFA Rates'!$A$5:$A$1004,T1777),Firms!$A$5:$A$1004,0),""),""))</f>
        <v/>
      </c>
    </row>
    <row r="1778">
      <c r="A1778" s="78">
        <f>IF($T1778="","",IF($S1778="S",IF(INDEX(Firms!$A$5:$A$1004,$T1778)="","",INDEX(Firms!$A$5:$A$1004,$T1778)),IF(INDEX('AFA Rates'!$A$5:$A$1004,$T1778)="","",INDEX('AFA Rates'!$A$5:$A$1004,$T1778))))</f>
        <v/>
      </c>
      <c r="B1778" s="79">
        <f>IF(OR($T1778="",$U1778=""),IF($T1778="","","Not on Firms tab"),INDEX(Firms!$B$5:$B$1004,$U1778)&amp;"")</f>
        <v/>
      </c>
      <c r="C1778" s="78">
        <f>IF($T1778="","",IF($S1778="S","Standard",INDEX('AFA Rates'!$B$5:$B$1004,$T1778)&amp;""))</f>
        <v/>
      </c>
      <c r="D1778" s="88">
        <f>IF($T1778="","",IF($S1778="S",IF(INDEX(Firms!$E$5:$E$1004,$T1778)="","",INDEX(Firms!$E$5:$E$1004,$T1778)),IF(INDEX('AFA Rates'!$C$5:$C$1004,$T1778)="","",INDEX('AFA Rates'!$C$5:$C$1004,$T1778))))</f>
        <v/>
      </c>
      <c r="E1778" s="88">
        <f>IF($T1778="","",IF($S1778="S",IF(""="","",""),IF(INDEX('AFA Rates'!$D$5:$D$1004,$T1778)="","",INDEX('AFA Rates'!$D$5:$D$1004,$T1778))))</f>
        <v/>
      </c>
      <c r="F1778" s="79">
        <f>IF($T1778="","",IF($S1778="S",IF(INDEX(Firms!$O$5:$O$1004,$T1778)="","",INDEX(Firms!$O$5:$O$1004,$T1778)),IF(INDEX('AFA Rates'!$O$5:$O$1004,$T1778)="","",INDEX('AFA Rates'!$O$5:$O$1004,$T1778))))</f>
        <v/>
      </c>
      <c r="G1778" s="50">
        <f>IF($T1778="","",IF($S1778="S",IF(INDEX(Firms!$F$5:$F$1004,$T1778)="","",INDEX(Firms!$F$5:$F$1004,$T1778)),IF(INDEX('AFA Rates'!$E$5:$E$1004,$T1778)="","",INDEX('AFA Rates'!$E$5:$E$1004,$T1778))))</f>
        <v/>
      </c>
      <c r="H1778" s="50">
        <f>IF($T1778="","",IF($S1778="S",IF(INDEX(Firms!$G$5:$G$1004,$T1778)="","",INDEX(Firms!$G$5:$G$1004,$T1778)),IF(INDEX('AFA Rates'!$F$5:$F$1004,$T1778)="","",INDEX('AFA Rates'!$F$5:$F$1004,$T1778))))</f>
        <v/>
      </c>
      <c r="I1778" s="50">
        <f>IF($T1778="","",IF($S1778="S",IF(INDEX(Firms!$H$5:$H$1004,$T1778)="","",INDEX(Firms!$H$5:$H$1004,$T1778)),IF(INDEX('AFA Rates'!$G$5:$G$1004,$T1778)="","",INDEX('AFA Rates'!$G$5:$G$1004,$T1778))))</f>
        <v/>
      </c>
      <c r="J1778" s="50">
        <f>IF($T1778="","",IF($S1778="S",IF(INDEX(Firms!$I$5:$I$1004,$T1778)="","",INDEX(Firms!$I$5:$I$1004,$T1778)),IF(INDEX('AFA Rates'!$H$5:$H$1004,$T1778)="","",INDEX('AFA Rates'!$H$5:$H$1004,$T1778))))</f>
        <v/>
      </c>
      <c r="K1778" s="50">
        <f>IF($T1778="","",IF($S1778="S",IF(INDEX(Firms!$J$5:$J$1004,$T1778)="","",INDEX(Firms!$J$5:$J$1004,$T1778)),IF(INDEX('AFA Rates'!$I$5:$I$1004,$T1778)="","",INDEX('AFA Rates'!$I$5:$I$1004,$T1778))))</f>
        <v/>
      </c>
      <c r="L1778" s="50">
        <f>IF($T1778="","",IF($S1778="S",IF(INDEX(Firms!$K$5:$K$1004,$T1778)="","",INDEX(Firms!$K$5:$K$1004,$T1778)),IF(INDEX('AFA Rates'!$J$5:$J$1004,$T1778)="","",INDEX('AFA Rates'!$J$5:$J$1004,$T1778))))</f>
        <v/>
      </c>
      <c r="M1778" s="50">
        <f>IF($T1778="","",IF($S1778="S",IF(INDEX(Firms!$L$5:$L$1004,$T1778)="","",INDEX(Firms!$L$5:$L$1004,$T1778)),IF(INDEX('AFA Rates'!$K$5:$K$1004,$T1778)="","",INDEX('AFA Rates'!$K$5:$K$1004,$T1778))))</f>
        <v/>
      </c>
      <c r="N1778" s="50">
        <f>IF($T1778="","",IF($S1778="S",IF(INDEX(Firms!$M$5:$M$1004,$T1778)="","",INDEX(Firms!$M$5:$M$1004,$T1778)),IF(INDEX('AFA Rates'!$L$5:$L$1004,$T1778)="","",INDEX('AFA Rates'!$L$5:$L$1004,$T1778))))</f>
        <v/>
      </c>
      <c r="O1778" s="78">
        <f>IF(OR($T1778="",$U1778=""),"",IF(INDEX(Firms!$C$5:$C$1004,$U1778)="","",INDEX(Firms!$C$5:$C$1004,$U1778)))</f>
        <v/>
      </c>
      <c r="P1778" s="79">
        <f>IF(OR($T1778="",$U1778=""),"",IF(INDEX(Firms!$N$5:$N$1004,$U1778)="","",INDEX(Firms!$N$5:$N$1004,$U1778)))</f>
        <v/>
      </c>
      <c r="Q1778" s="78">
        <f>IF($T1778="","",IF($S1778="S",IF(INDEX(Firms!$T$5:$T$1004,$T1778)="","",INDEX(Firms!$T$5:$T$1004,$T1778)),IF(INDEX('AFA Rates'!$M$5:$M$1004,$T1778)="","",INDEX('AFA Rates'!$M$5:$M$1004,$T1778))))</f>
        <v/>
      </c>
      <c r="S1778">
        <f>IF(1774&lt;=$S$2,"S",IF(1774&lt;=$S$2+$T$2,"A",""))</f>
        <v/>
      </c>
      <c r="T1778">
        <f>IF(S1778="S",MATCH(1774,Firms!$W$5:$W$1004,0),IF(S1778="A",IFERROR(MATCH(1774-$S$2,'AFA Rates'!$R$5:$R$1004,0),""),""))</f>
        <v/>
      </c>
      <c r="U1778">
        <f>IF(S1778="S",T1778,IF(AND(S1778="A",T1778&lt;&gt;""),IFERROR(MATCH(INDEX('AFA Rates'!$A$5:$A$1004,T1778),Firms!$A$5:$A$1004,0),""),""))</f>
        <v/>
      </c>
    </row>
    <row r="1779">
      <c r="A1779" s="78">
        <f>IF($T1779="","",IF($S1779="S",IF(INDEX(Firms!$A$5:$A$1004,$T1779)="","",INDEX(Firms!$A$5:$A$1004,$T1779)),IF(INDEX('AFA Rates'!$A$5:$A$1004,$T1779)="","",INDEX('AFA Rates'!$A$5:$A$1004,$T1779))))</f>
        <v/>
      </c>
      <c r="B1779" s="79">
        <f>IF(OR($T1779="",$U1779=""),IF($T1779="","","Not on Firms tab"),INDEX(Firms!$B$5:$B$1004,$U1779)&amp;"")</f>
        <v/>
      </c>
      <c r="C1779" s="78">
        <f>IF($T1779="","",IF($S1779="S","Standard",INDEX('AFA Rates'!$B$5:$B$1004,$T1779)&amp;""))</f>
        <v/>
      </c>
      <c r="D1779" s="88">
        <f>IF($T1779="","",IF($S1779="S",IF(INDEX(Firms!$E$5:$E$1004,$T1779)="","",INDEX(Firms!$E$5:$E$1004,$T1779)),IF(INDEX('AFA Rates'!$C$5:$C$1004,$T1779)="","",INDEX('AFA Rates'!$C$5:$C$1004,$T1779))))</f>
        <v/>
      </c>
      <c r="E1779" s="88">
        <f>IF($T1779="","",IF($S1779="S",IF(""="","",""),IF(INDEX('AFA Rates'!$D$5:$D$1004,$T1779)="","",INDEX('AFA Rates'!$D$5:$D$1004,$T1779))))</f>
        <v/>
      </c>
      <c r="F1779" s="79">
        <f>IF($T1779="","",IF($S1779="S",IF(INDEX(Firms!$O$5:$O$1004,$T1779)="","",INDEX(Firms!$O$5:$O$1004,$T1779)),IF(INDEX('AFA Rates'!$O$5:$O$1004,$T1779)="","",INDEX('AFA Rates'!$O$5:$O$1004,$T1779))))</f>
        <v/>
      </c>
      <c r="G1779" s="50">
        <f>IF($T1779="","",IF($S1779="S",IF(INDEX(Firms!$F$5:$F$1004,$T1779)="","",INDEX(Firms!$F$5:$F$1004,$T1779)),IF(INDEX('AFA Rates'!$E$5:$E$1004,$T1779)="","",INDEX('AFA Rates'!$E$5:$E$1004,$T1779))))</f>
        <v/>
      </c>
      <c r="H1779" s="50">
        <f>IF($T1779="","",IF($S1779="S",IF(INDEX(Firms!$G$5:$G$1004,$T1779)="","",INDEX(Firms!$G$5:$G$1004,$T1779)),IF(INDEX('AFA Rates'!$F$5:$F$1004,$T1779)="","",INDEX('AFA Rates'!$F$5:$F$1004,$T1779))))</f>
        <v/>
      </c>
      <c r="I1779" s="50">
        <f>IF($T1779="","",IF($S1779="S",IF(INDEX(Firms!$H$5:$H$1004,$T1779)="","",INDEX(Firms!$H$5:$H$1004,$T1779)),IF(INDEX('AFA Rates'!$G$5:$G$1004,$T1779)="","",INDEX('AFA Rates'!$G$5:$G$1004,$T1779))))</f>
        <v/>
      </c>
      <c r="J1779" s="50">
        <f>IF($T1779="","",IF($S1779="S",IF(INDEX(Firms!$I$5:$I$1004,$T1779)="","",INDEX(Firms!$I$5:$I$1004,$T1779)),IF(INDEX('AFA Rates'!$H$5:$H$1004,$T1779)="","",INDEX('AFA Rates'!$H$5:$H$1004,$T1779))))</f>
        <v/>
      </c>
      <c r="K1779" s="50">
        <f>IF($T1779="","",IF($S1779="S",IF(INDEX(Firms!$J$5:$J$1004,$T1779)="","",INDEX(Firms!$J$5:$J$1004,$T1779)),IF(INDEX('AFA Rates'!$I$5:$I$1004,$T1779)="","",INDEX('AFA Rates'!$I$5:$I$1004,$T1779))))</f>
        <v/>
      </c>
      <c r="L1779" s="50">
        <f>IF($T1779="","",IF($S1779="S",IF(INDEX(Firms!$K$5:$K$1004,$T1779)="","",INDEX(Firms!$K$5:$K$1004,$T1779)),IF(INDEX('AFA Rates'!$J$5:$J$1004,$T1779)="","",INDEX('AFA Rates'!$J$5:$J$1004,$T1779))))</f>
        <v/>
      </c>
      <c r="M1779" s="50">
        <f>IF($T1779="","",IF($S1779="S",IF(INDEX(Firms!$L$5:$L$1004,$T1779)="","",INDEX(Firms!$L$5:$L$1004,$T1779)),IF(INDEX('AFA Rates'!$K$5:$K$1004,$T1779)="","",INDEX('AFA Rates'!$K$5:$K$1004,$T1779))))</f>
        <v/>
      </c>
      <c r="N1779" s="50">
        <f>IF($T1779="","",IF($S1779="S",IF(INDEX(Firms!$M$5:$M$1004,$T1779)="","",INDEX(Firms!$M$5:$M$1004,$T1779)),IF(INDEX('AFA Rates'!$L$5:$L$1004,$T1779)="","",INDEX('AFA Rates'!$L$5:$L$1004,$T1779))))</f>
        <v/>
      </c>
      <c r="O1779" s="78">
        <f>IF(OR($T1779="",$U1779=""),"",IF(INDEX(Firms!$C$5:$C$1004,$U1779)="","",INDEX(Firms!$C$5:$C$1004,$U1779)))</f>
        <v/>
      </c>
      <c r="P1779" s="79">
        <f>IF(OR($T1779="",$U1779=""),"",IF(INDEX(Firms!$N$5:$N$1004,$U1779)="","",INDEX(Firms!$N$5:$N$1004,$U1779)))</f>
        <v/>
      </c>
      <c r="Q1779" s="78">
        <f>IF($T1779="","",IF($S1779="S",IF(INDEX(Firms!$T$5:$T$1004,$T1779)="","",INDEX(Firms!$T$5:$T$1004,$T1779)),IF(INDEX('AFA Rates'!$M$5:$M$1004,$T1779)="","",INDEX('AFA Rates'!$M$5:$M$1004,$T1779))))</f>
        <v/>
      </c>
      <c r="S1779">
        <f>IF(1775&lt;=$S$2,"S",IF(1775&lt;=$S$2+$T$2,"A",""))</f>
        <v/>
      </c>
      <c r="T1779">
        <f>IF(S1779="S",MATCH(1775,Firms!$W$5:$W$1004,0),IF(S1779="A",IFERROR(MATCH(1775-$S$2,'AFA Rates'!$R$5:$R$1004,0),""),""))</f>
        <v/>
      </c>
      <c r="U1779">
        <f>IF(S1779="S",T1779,IF(AND(S1779="A",T1779&lt;&gt;""),IFERROR(MATCH(INDEX('AFA Rates'!$A$5:$A$1004,T1779),Firms!$A$5:$A$1004,0),""),""))</f>
        <v/>
      </c>
    </row>
    <row r="1780">
      <c r="A1780" s="78">
        <f>IF($T1780="","",IF($S1780="S",IF(INDEX(Firms!$A$5:$A$1004,$T1780)="","",INDEX(Firms!$A$5:$A$1004,$T1780)),IF(INDEX('AFA Rates'!$A$5:$A$1004,$T1780)="","",INDEX('AFA Rates'!$A$5:$A$1004,$T1780))))</f>
        <v/>
      </c>
      <c r="B1780" s="79">
        <f>IF(OR($T1780="",$U1780=""),IF($T1780="","","Not on Firms tab"),INDEX(Firms!$B$5:$B$1004,$U1780)&amp;"")</f>
        <v/>
      </c>
      <c r="C1780" s="78">
        <f>IF($T1780="","",IF($S1780="S","Standard",INDEX('AFA Rates'!$B$5:$B$1004,$T1780)&amp;""))</f>
        <v/>
      </c>
      <c r="D1780" s="88">
        <f>IF($T1780="","",IF($S1780="S",IF(INDEX(Firms!$E$5:$E$1004,$T1780)="","",INDEX(Firms!$E$5:$E$1004,$T1780)),IF(INDEX('AFA Rates'!$C$5:$C$1004,$T1780)="","",INDEX('AFA Rates'!$C$5:$C$1004,$T1780))))</f>
        <v/>
      </c>
      <c r="E1780" s="88">
        <f>IF($T1780="","",IF($S1780="S",IF(""="","",""),IF(INDEX('AFA Rates'!$D$5:$D$1004,$T1780)="","",INDEX('AFA Rates'!$D$5:$D$1004,$T1780))))</f>
        <v/>
      </c>
      <c r="F1780" s="79">
        <f>IF($T1780="","",IF($S1780="S",IF(INDEX(Firms!$O$5:$O$1004,$T1780)="","",INDEX(Firms!$O$5:$O$1004,$T1780)),IF(INDEX('AFA Rates'!$O$5:$O$1004,$T1780)="","",INDEX('AFA Rates'!$O$5:$O$1004,$T1780))))</f>
        <v/>
      </c>
      <c r="G1780" s="50">
        <f>IF($T1780="","",IF($S1780="S",IF(INDEX(Firms!$F$5:$F$1004,$T1780)="","",INDEX(Firms!$F$5:$F$1004,$T1780)),IF(INDEX('AFA Rates'!$E$5:$E$1004,$T1780)="","",INDEX('AFA Rates'!$E$5:$E$1004,$T1780))))</f>
        <v/>
      </c>
      <c r="H1780" s="50">
        <f>IF($T1780="","",IF($S1780="S",IF(INDEX(Firms!$G$5:$G$1004,$T1780)="","",INDEX(Firms!$G$5:$G$1004,$T1780)),IF(INDEX('AFA Rates'!$F$5:$F$1004,$T1780)="","",INDEX('AFA Rates'!$F$5:$F$1004,$T1780))))</f>
        <v/>
      </c>
      <c r="I1780" s="50">
        <f>IF($T1780="","",IF($S1780="S",IF(INDEX(Firms!$H$5:$H$1004,$T1780)="","",INDEX(Firms!$H$5:$H$1004,$T1780)),IF(INDEX('AFA Rates'!$G$5:$G$1004,$T1780)="","",INDEX('AFA Rates'!$G$5:$G$1004,$T1780))))</f>
        <v/>
      </c>
      <c r="J1780" s="50">
        <f>IF($T1780="","",IF($S1780="S",IF(INDEX(Firms!$I$5:$I$1004,$T1780)="","",INDEX(Firms!$I$5:$I$1004,$T1780)),IF(INDEX('AFA Rates'!$H$5:$H$1004,$T1780)="","",INDEX('AFA Rates'!$H$5:$H$1004,$T1780))))</f>
        <v/>
      </c>
      <c r="K1780" s="50">
        <f>IF($T1780="","",IF($S1780="S",IF(INDEX(Firms!$J$5:$J$1004,$T1780)="","",INDEX(Firms!$J$5:$J$1004,$T1780)),IF(INDEX('AFA Rates'!$I$5:$I$1004,$T1780)="","",INDEX('AFA Rates'!$I$5:$I$1004,$T1780))))</f>
        <v/>
      </c>
      <c r="L1780" s="50">
        <f>IF($T1780="","",IF($S1780="S",IF(INDEX(Firms!$K$5:$K$1004,$T1780)="","",INDEX(Firms!$K$5:$K$1004,$T1780)),IF(INDEX('AFA Rates'!$J$5:$J$1004,$T1780)="","",INDEX('AFA Rates'!$J$5:$J$1004,$T1780))))</f>
        <v/>
      </c>
      <c r="M1780" s="50">
        <f>IF($T1780="","",IF($S1780="S",IF(INDEX(Firms!$L$5:$L$1004,$T1780)="","",INDEX(Firms!$L$5:$L$1004,$T1780)),IF(INDEX('AFA Rates'!$K$5:$K$1004,$T1780)="","",INDEX('AFA Rates'!$K$5:$K$1004,$T1780))))</f>
        <v/>
      </c>
      <c r="N1780" s="50">
        <f>IF($T1780="","",IF($S1780="S",IF(INDEX(Firms!$M$5:$M$1004,$T1780)="","",INDEX(Firms!$M$5:$M$1004,$T1780)),IF(INDEX('AFA Rates'!$L$5:$L$1004,$T1780)="","",INDEX('AFA Rates'!$L$5:$L$1004,$T1780))))</f>
        <v/>
      </c>
      <c r="O1780" s="78">
        <f>IF(OR($T1780="",$U1780=""),"",IF(INDEX(Firms!$C$5:$C$1004,$U1780)="","",INDEX(Firms!$C$5:$C$1004,$U1780)))</f>
        <v/>
      </c>
      <c r="P1780" s="79">
        <f>IF(OR($T1780="",$U1780=""),"",IF(INDEX(Firms!$N$5:$N$1004,$U1780)="","",INDEX(Firms!$N$5:$N$1004,$U1780)))</f>
        <v/>
      </c>
      <c r="Q1780" s="78">
        <f>IF($T1780="","",IF($S1780="S",IF(INDEX(Firms!$T$5:$T$1004,$T1780)="","",INDEX(Firms!$T$5:$T$1004,$T1780)),IF(INDEX('AFA Rates'!$M$5:$M$1004,$T1780)="","",INDEX('AFA Rates'!$M$5:$M$1004,$T1780))))</f>
        <v/>
      </c>
      <c r="S1780">
        <f>IF(1776&lt;=$S$2,"S",IF(1776&lt;=$S$2+$T$2,"A",""))</f>
        <v/>
      </c>
      <c r="T1780">
        <f>IF(S1780="S",MATCH(1776,Firms!$W$5:$W$1004,0),IF(S1780="A",IFERROR(MATCH(1776-$S$2,'AFA Rates'!$R$5:$R$1004,0),""),""))</f>
        <v/>
      </c>
      <c r="U1780">
        <f>IF(S1780="S",T1780,IF(AND(S1780="A",T1780&lt;&gt;""),IFERROR(MATCH(INDEX('AFA Rates'!$A$5:$A$1004,T1780),Firms!$A$5:$A$1004,0),""),""))</f>
        <v/>
      </c>
    </row>
    <row r="1781">
      <c r="A1781" s="78">
        <f>IF($T1781="","",IF($S1781="S",IF(INDEX(Firms!$A$5:$A$1004,$T1781)="","",INDEX(Firms!$A$5:$A$1004,$T1781)),IF(INDEX('AFA Rates'!$A$5:$A$1004,$T1781)="","",INDEX('AFA Rates'!$A$5:$A$1004,$T1781))))</f>
        <v/>
      </c>
      <c r="B1781" s="79">
        <f>IF(OR($T1781="",$U1781=""),IF($T1781="","","Not on Firms tab"),INDEX(Firms!$B$5:$B$1004,$U1781)&amp;"")</f>
        <v/>
      </c>
      <c r="C1781" s="78">
        <f>IF($T1781="","",IF($S1781="S","Standard",INDEX('AFA Rates'!$B$5:$B$1004,$T1781)&amp;""))</f>
        <v/>
      </c>
      <c r="D1781" s="88">
        <f>IF($T1781="","",IF($S1781="S",IF(INDEX(Firms!$E$5:$E$1004,$T1781)="","",INDEX(Firms!$E$5:$E$1004,$T1781)),IF(INDEX('AFA Rates'!$C$5:$C$1004,$T1781)="","",INDEX('AFA Rates'!$C$5:$C$1004,$T1781))))</f>
        <v/>
      </c>
      <c r="E1781" s="88">
        <f>IF($T1781="","",IF($S1781="S",IF(""="","",""),IF(INDEX('AFA Rates'!$D$5:$D$1004,$T1781)="","",INDEX('AFA Rates'!$D$5:$D$1004,$T1781))))</f>
        <v/>
      </c>
      <c r="F1781" s="79">
        <f>IF($T1781="","",IF($S1781="S",IF(INDEX(Firms!$O$5:$O$1004,$T1781)="","",INDEX(Firms!$O$5:$O$1004,$T1781)),IF(INDEX('AFA Rates'!$O$5:$O$1004,$T1781)="","",INDEX('AFA Rates'!$O$5:$O$1004,$T1781))))</f>
        <v/>
      </c>
      <c r="G1781" s="50">
        <f>IF($T1781="","",IF($S1781="S",IF(INDEX(Firms!$F$5:$F$1004,$T1781)="","",INDEX(Firms!$F$5:$F$1004,$T1781)),IF(INDEX('AFA Rates'!$E$5:$E$1004,$T1781)="","",INDEX('AFA Rates'!$E$5:$E$1004,$T1781))))</f>
        <v/>
      </c>
      <c r="H1781" s="50">
        <f>IF($T1781="","",IF($S1781="S",IF(INDEX(Firms!$G$5:$G$1004,$T1781)="","",INDEX(Firms!$G$5:$G$1004,$T1781)),IF(INDEX('AFA Rates'!$F$5:$F$1004,$T1781)="","",INDEX('AFA Rates'!$F$5:$F$1004,$T1781))))</f>
        <v/>
      </c>
      <c r="I1781" s="50">
        <f>IF($T1781="","",IF($S1781="S",IF(INDEX(Firms!$H$5:$H$1004,$T1781)="","",INDEX(Firms!$H$5:$H$1004,$T1781)),IF(INDEX('AFA Rates'!$G$5:$G$1004,$T1781)="","",INDEX('AFA Rates'!$G$5:$G$1004,$T1781))))</f>
        <v/>
      </c>
      <c r="J1781" s="50">
        <f>IF($T1781="","",IF($S1781="S",IF(INDEX(Firms!$I$5:$I$1004,$T1781)="","",INDEX(Firms!$I$5:$I$1004,$T1781)),IF(INDEX('AFA Rates'!$H$5:$H$1004,$T1781)="","",INDEX('AFA Rates'!$H$5:$H$1004,$T1781))))</f>
        <v/>
      </c>
      <c r="K1781" s="50">
        <f>IF($T1781="","",IF($S1781="S",IF(INDEX(Firms!$J$5:$J$1004,$T1781)="","",INDEX(Firms!$J$5:$J$1004,$T1781)),IF(INDEX('AFA Rates'!$I$5:$I$1004,$T1781)="","",INDEX('AFA Rates'!$I$5:$I$1004,$T1781))))</f>
        <v/>
      </c>
      <c r="L1781" s="50">
        <f>IF($T1781="","",IF($S1781="S",IF(INDEX(Firms!$K$5:$K$1004,$T1781)="","",INDEX(Firms!$K$5:$K$1004,$T1781)),IF(INDEX('AFA Rates'!$J$5:$J$1004,$T1781)="","",INDEX('AFA Rates'!$J$5:$J$1004,$T1781))))</f>
        <v/>
      </c>
      <c r="M1781" s="50">
        <f>IF($T1781="","",IF($S1781="S",IF(INDEX(Firms!$L$5:$L$1004,$T1781)="","",INDEX(Firms!$L$5:$L$1004,$T1781)),IF(INDEX('AFA Rates'!$K$5:$K$1004,$T1781)="","",INDEX('AFA Rates'!$K$5:$K$1004,$T1781))))</f>
        <v/>
      </c>
      <c r="N1781" s="50">
        <f>IF($T1781="","",IF($S1781="S",IF(INDEX(Firms!$M$5:$M$1004,$T1781)="","",INDEX(Firms!$M$5:$M$1004,$T1781)),IF(INDEX('AFA Rates'!$L$5:$L$1004,$T1781)="","",INDEX('AFA Rates'!$L$5:$L$1004,$T1781))))</f>
        <v/>
      </c>
      <c r="O1781" s="78">
        <f>IF(OR($T1781="",$U1781=""),"",IF(INDEX(Firms!$C$5:$C$1004,$U1781)="","",INDEX(Firms!$C$5:$C$1004,$U1781)))</f>
        <v/>
      </c>
      <c r="P1781" s="79">
        <f>IF(OR($T1781="",$U1781=""),"",IF(INDEX(Firms!$N$5:$N$1004,$U1781)="","",INDEX(Firms!$N$5:$N$1004,$U1781)))</f>
        <v/>
      </c>
      <c r="Q1781" s="78">
        <f>IF($T1781="","",IF($S1781="S",IF(INDEX(Firms!$T$5:$T$1004,$T1781)="","",INDEX(Firms!$T$5:$T$1004,$T1781)),IF(INDEX('AFA Rates'!$M$5:$M$1004,$T1781)="","",INDEX('AFA Rates'!$M$5:$M$1004,$T1781))))</f>
        <v/>
      </c>
      <c r="S1781">
        <f>IF(1777&lt;=$S$2,"S",IF(1777&lt;=$S$2+$T$2,"A",""))</f>
        <v/>
      </c>
      <c r="T1781">
        <f>IF(S1781="S",MATCH(1777,Firms!$W$5:$W$1004,0),IF(S1781="A",IFERROR(MATCH(1777-$S$2,'AFA Rates'!$R$5:$R$1004,0),""),""))</f>
        <v/>
      </c>
      <c r="U1781">
        <f>IF(S1781="S",T1781,IF(AND(S1781="A",T1781&lt;&gt;""),IFERROR(MATCH(INDEX('AFA Rates'!$A$5:$A$1004,T1781),Firms!$A$5:$A$1004,0),""),""))</f>
        <v/>
      </c>
    </row>
    <row r="1782">
      <c r="A1782" s="78">
        <f>IF($T1782="","",IF($S1782="S",IF(INDEX(Firms!$A$5:$A$1004,$T1782)="","",INDEX(Firms!$A$5:$A$1004,$T1782)),IF(INDEX('AFA Rates'!$A$5:$A$1004,$T1782)="","",INDEX('AFA Rates'!$A$5:$A$1004,$T1782))))</f>
        <v/>
      </c>
      <c r="B1782" s="79">
        <f>IF(OR($T1782="",$U1782=""),IF($T1782="","","Not on Firms tab"),INDEX(Firms!$B$5:$B$1004,$U1782)&amp;"")</f>
        <v/>
      </c>
      <c r="C1782" s="78">
        <f>IF($T1782="","",IF($S1782="S","Standard",INDEX('AFA Rates'!$B$5:$B$1004,$T1782)&amp;""))</f>
        <v/>
      </c>
      <c r="D1782" s="88">
        <f>IF($T1782="","",IF($S1782="S",IF(INDEX(Firms!$E$5:$E$1004,$T1782)="","",INDEX(Firms!$E$5:$E$1004,$T1782)),IF(INDEX('AFA Rates'!$C$5:$C$1004,$T1782)="","",INDEX('AFA Rates'!$C$5:$C$1004,$T1782))))</f>
        <v/>
      </c>
      <c r="E1782" s="88">
        <f>IF($T1782="","",IF($S1782="S",IF(""="","",""),IF(INDEX('AFA Rates'!$D$5:$D$1004,$T1782)="","",INDEX('AFA Rates'!$D$5:$D$1004,$T1782))))</f>
        <v/>
      </c>
      <c r="F1782" s="79">
        <f>IF($T1782="","",IF($S1782="S",IF(INDEX(Firms!$O$5:$O$1004,$T1782)="","",INDEX(Firms!$O$5:$O$1004,$T1782)),IF(INDEX('AFA Rates'!$O$5:$O$1004,$T1782)="","",INDEX('AFA Rates'!$O$5:$O$1004,$T1782))))</f>
        <v/>
      </c>
      <c r="G1782" s="50">
        <f>IF($T1782="","",IF($S1782="S",IF(INDEX(Firms!$F$5:$F$1004,$T1782)="","",INDEX(Firms!$F$5:$F$1004,$T1782)),IF(INDEX('AFA Rates'!$E$5:$E$1004,$T1782)="","",INDEX('AFA Rates'!$E$5:$E$1004,$T1782))))</f>
        <v/>
      </c>
      <c r="H1782" s="50">
        <f>IF($T1782="","",IF($S1782="S",IF(INDEX(Firms!$G$5:$G$1004,$T1782)="","",INDEX(Firms!$G$5:$G$1004,$T1782)),IF(INDEX('AFA Rates'!$F$5:$F$1004,$T1782)="","",INDEX('AFA Rates'!$F$5:$F$1004,$T1782))))</f>
        <v/>
      </c>
      <c r="I1782" s="50">
        <f>IF($T1782="","",IF($S1782="S",IF(INDEX(Firms!$H$5:$H$1004,$T1782)="","",INDEX(Firms!$H$5:$H$1004,$T1782)),IF(INDEX('AFA Rates'!$G$5:$G$1004,$T1782)="","",INDEX('AFA Rates'!$G$5:$G$1004,$T1782))))</f>
        <v/>
      </c>
      <c r="J1782" s="50">
        <f>IF($T1782="","",IF($S1782="S",IF(INDEX(Firms!$I$5:$I$1004,$T1782)="","",INDEX(Firms!$I$5:$I$1004,$T1782)),IF(INDEX('AFA Rates'!$H$5:$H$1004,$T1782)="","",INDEX('AFA Rates'!$H$5:$H$1004,$T1782))))</f>
        <v/>
      </c>
      <c r="K1782" s="50">
        <f>IF($T1782="","",IF($S1782="S",IF(INDEX(Firms!$J$5:$J$1004,$T1782)="","",INDEX(Firms!$J$5:$J$1004,$T1782)),IF(INDEX('AFA Rates'!$I$5:$I$1004,$T1782)="","",INDEX('AFA Rates'!$I$5:$I$1004,$T1782))))</f>
        <v/>
      </c>
      <c r="L1782" s="50">
        <f>IF($T1782="","",IF($S1782="S",IF(INDEX(Firms!$K$5:$K$1004,$T1782)="","",INDEX(Firms!$K$5:$K$1004,$T1782)),IF(INDEX('AFA Rates'!$J$5:$J$1004,$T1782)="","",INDEX('AFA Rates'!$J$5:$J$1004,$T1782))))</f>
        <v/>
      </c>
      <c r="M1782" s="50">
        <f>IF($T1782="","",IF($S1782="S",IF(INDEX(Firms!$L$5:$L$1004,$T1782)="","",INDEX(Firms!$L$5:$L$1004,$T1782)),IF(INDEX('AFA Rates'!$K$5:$K$1004,$T1782)="","",INDEX('AFA Rates'!$K$5:$K$1004,$T1782))))</f>
        <v/>
      </c>
      <c r="N1782" s="50">
        <f>IF($T1782="","",IF($S1782="S",IF(INDEX(Firms!$M$5:$M$1004,$T1782)="","",INDEX(Firms!$M$5:$M$1004,$T1782)),IF(INDEX('AFA Rates'!$L$5:$L$1004,$T1782)="","",INDEX('AFA Rates'!$L$5:$L$1004,$T1782))))</f>
        <v/>
      </c>
      <c r="O1782" s="78">
        <f>IF(OR($T1782="",$U1782=""),"",IF(INDEX(Firms!$C$5:$C$1004,$U1782)="","",INDEX(Firms!$C$5:$C$1004,$U1782)))</f>
        <v/>
      </c>
      <c r="P1782" s="79">
        <f>IF(OR($T1782="",$U1782=""),"",IF(INDEX(Firms!$N$5:$N$1004,$U1782)="","",INDEX(Firms!$N$5:$N$1004,$U1782)))</f>
        <v/>
      </c>
      <c r="Q1782" s="78">
        <f>IF($T1782="","",IF($S1782="S",IF(INDEX(Firms!$T$5:$T$1004,$T1782)="","",INDEX(Firms!$T$5:$T$1004,$T1782)),IF(INDEX('AFA Rates'!$M$5:$M$1004,$T1782)="","",INDEX('AFA Rates'!$M$5:$M$1004,$T1782))))</f>
        <v/>
      </c>
      <c r="S1782">
        <f>IF(1778&lt;=$S$2,"S",IF(1778&lt;=$S$2+$T$2,"A",""))</f>
        <v/>
      </c>
      <c r="T1782">
        <f>IF(S1782="S",MATCH(1778,Firms!$W$5:$W$1004,0),IF(S1782="A",IFERROR(MATCH(1778-$S$2,'AFA Rates'!$R$5:$R$1004,0),""),""))</f>
        <v/>
      </c>
      <c r="U1782">
        <f>IF(S1782="S",T1782,IF(AND(S1782="A",T1782&lt;&gt;""),IFERROR(MATCH(INDEX('AFA Rates'!$A$5:$A$1004,T1782),Firms!$A$5:$A$1004,0),""),""))</f>
        <v/>
      </c>
    </row>
    <row r="1783">
      <c r="A1783" s="78">
        <f>IF($T1783="","",IF($S1783="S",IF(INDEX(Firms!$A$5:$A$1004,$T1783)="","",INDEX(Firms!$A$5:$A$1004,$T1783)),IF(INDEX('AFA Rates'!$A$5:$A$1004,$T1783)="","",INDEX('AFA Rates'!$A$5:$A$1004,$T1783))))</f>
        <v/>
      </c>
      <c r="B1783" s="79">
        <f>IF(OR($T1783="",$U1783=""),IF($T1783="","","Not on Firms tab"),INDEX(Firms!$B$5:$B$1004,$U1783)&amp;"")</f>
        <v/>
      </c>
      <c r="C1783" s="78">
        <f>IF($T1783="","",IF($S1783="S","Standard",INDEX('AFA Rates'!$B$5:$B$1004,$T1783)&amp;""))</f>
        <v/>
      </c>
      <c r="D1783" s="88">
        <f>IF($T1783="","",IF($S1783="S",IF(INDEX(Firms!$E$5:$E$1004,$T1783)="","",INDEX(Firms!$E$5:$E$1004,$T1783)),IF(INDEX('AFA Rates'!$C$5:$C$1004,$T1783)="","",INDEX('AFA Rates'!$C$5:$C$1004,$T1783))))</f>
        <v/>
      </c>
      <c r="E1783" s="88">
        <f>IF($T1783="","",IF($S1783="S",IF(""="","",""),IF(INDEX('AFA Rates'!$D$5:$D$1004,$T1783)="","",INDEX('AFA Rates'!$D$5:$D$1004,$T1783))))</f>
        <v/>
      </c>
      <c r="F1783" s="79">
        <f>IF($T1783="","",IF($S1783="S",IF(INDEX(Firms!$O$5:$O$1004,$T1783)="","",INDEX(Firms!$O$5:$O$1004,$T1783)),IF(INDEX('AFA Rates'!$O$5:$O$1004,$T1783)="","",INDEX('AFA Rates'!$O$5:$O$1004,$T1783))))</f>
        <v/>
      </c>
      <c r="G1783" s="50">
        <f>IF($T1783="","",IF($S1783="S",IF(INDEX(Firms!$F$5:$F$1004,$T1783)="","",INDEX(Firms!$F$5:$F$1004,$T1783)),IF(INDEX('AFA Rates'!$E$5:$E$1004,$T1783)="","",INDEX('AFA Rates'!$E$5:$E$1004,$T1783))))</f>
        <v/>
      </c>
      <c r="H1783" s="50">
        <f>IF($T1783="","",IF($S1783="S",IF(INDEX(Firms!$G$5:$G$1004,$T1783)="","",INDEX(Firms!$G$5:$G$1004,$T1783)),IF(INDEX('AFA Rates'!$F$5:$F$1004,$T1783)="","",INDEX('AFA Rates'!$F$5:$F$1004,$T1783))))</f>
        <v/>
      </c>
      <c r="I1783" s="50">
        <f>IF($T1783="","",IF($S1783="S",IF(INDEX(Firms!$H$5:$H$1004,$T1783)="","",INDEX(Firms!$H$5:$H$1004,$T1783)),IF(INDEX('AFA Rates'!$G$5:$G$1004,$T1783)="","",INDEX('AFA Rates'!$G$5:$G$1004,$T1783))))</f>
        <v/>
      </c>
      <c r="J1783" s="50">
        <f>IF($T1783="","",IF($S1783="S",IF(INDEX(Firms!$I$5:$I$1004,$T1783)="","",INDEX(Firms!$I$5:$I$1004,$T1783)),IF(INDEX('AFA Rates'!$H$5:$H$1004,$T1783)="","",INDEX('AFA Rates'!$H$5:$H$1004,$T1783))))</f>
        <v/>
      </c>
      <c r="K1783" s="50">
        <f>IF($T1783="","",IF($S1783="S",IF(INDEX(Firms!$J$5:$J$1004,$T1783)="","",INDEX(Firms!$J$5:$J$1004,$T1783)),IF(INDEX('AFA Rates'!$I$5:$I$1004,$T1783)="","",INDEX('AFA Rates'!$I$5:$I$1004,$T1783))))</f>
        <v/>
      </c>
      <c r="L1783" s="50">
        <f>IF($T1783="","",IF($S1783="S",IF(INDEX(Firms!$K$5:$K$1004,$T1783)="","",INDEX(Firms!$K$5:$K$1004,$T1783)),IF(INDEX('AFA Rates'!$J$5:$J$1004,$T1783)="","",INDEX('AFA Rates'!$J$5:$J$1004,$T1783))))</f>
        <v/>
      </c>
      <c r="M1783" s="50">
        <f>IF($T1783="","",IF($S1783="S",IF(INDEX(Firms!$L$5:$L$1004,$T1783)="","",INDEX(Firms!$L$5:$L$1004,$T1783)),IF(INDEX('AFA Rates'!$K$5:$K$1004,$T1783)="","",INDEX('AFA Rates'!$K$5:$K$1004,$T1783))))</f>
        <v/>
      </c>
      <c r="N1783" s="50">
        <f>IF($T1783="","",IF($S1783="S",IF(INDEX(Firms!$M$5:$M$1004,$T1783)="","",INDEX(Firms!$M$5:$M$1004,$T1783)),IF(INDEX('AFA Rates'!$L$5:$L$1004,$T1783)="","",INDEX('AFA Rates'!$L$5:$L$1004,$T1783))))</f>
        <v/>
      </c>
      <c r="O1783" s="78">
        <f>IF(OR($T1783="",$U1783=""),"",IF(INDEX(Firms!$C$5:$C$1004,$U1783)="","",INDEX(Firms!$C$5:$C$1004,$U1783)))</f>
        <v/>
      </c>
      <c r="P1783" s="79">
        <f>IF(OR($T1783="",$U1783=""),"",IF(INDEX(Firms!$N$5:$N$1004,$U1783)="","",INDEX(Firms!$N$5:$N$1004,$U1783)))</f>
        <v/>
      </c>
      <c r="Q1783" s="78">
        <f>IF($T1783="","",IF($S1783="S",IF(INDEX(Firms!$T$5:$T$1004,$T1783)="","",INDEX(Firms!$T$5:$T$1004,$T1783)),IF(INDEX('AFA Rates'!$M$5:$M$1004,$T1783)="","",INDEX('AFA Rates'!$M$5:$M$1004,$T1783))))</f>
        <v/>
      </c>
      <c r="S1783">
        <f>IF(1779&lt;=$S$2,"S",IF(1779&lt;=$S$2+$T$2,"A",""))</f>
        <v/>
      </c>
      <c r="T1783">
        <f>IF(S1783="S",MATCH(1779,Firms!$W$5:$W$1004,0),IF(S1783="A",IFERROR(MATCH(1779-$S$2,'AFA Rates'!$R$5:$R$1004,0),""),""))</f>
        <v/>
      </c>
      <c r="U1783">
        <f>IF(S1783="S",T1783,IF(AND(S1783="A",T1783&lt;&gt;""),IFERROR(MATCH(INDEX('AFA Rates'!$A$5:$A$1004,T1783),Firms!$A$5:$A$1004,0),""),""))</f>
        <v/>
      </c>
    </row>
    <row r="1784">
      <c r="A1784" s="78">
        <f>IF($T1784="","",IF($S1784="S",IF(INDEX(Firms!$A$5:$A$1004,$T1784)="","",INDEX(Firms!$A$5:$A$1004,$T1784)),IF(INDEX('AFA Rates'!$A$5:$A$1004,$T1784)="","",INDEX('AFA Rates'!$A$5:$A$1004,$T1784))))</f>
        <v/>
      </c>
      <c r="B1784" s="79">
        <f>IF(OR($T1784="",$U1784=""),IF($T1784="","","Not on Firms tab"),INDEX(Firms!$B$5:$B$1004,$U1784)&amp;"")</f>
        <v/>
      </c>
      <c r="C1784" s="78">
        <f>IF($T1784="","",IF($S1784="S","Standard",INDEX('AFA Rates'!$B$5:$B$1004,$T1784)&amp;""))</f>
        <v/>
      </c>
      <c r="D1784" s="88">
        <f>IF($T1784="","",IF($S1784="S",IF(INDEX(Firms!$E$5:$E$1004,$T1784)="","",INDEX(Firms!$E$5:$E$1004,$T1784)),IF(INDEX('AFA Rates'!$C$5:$C$1004,$T1784)="","",INDEX('AFA Rates'!$C$5:$C$1004,$T1784))))</f>
        <v/>
      </c>
      <c r="E1784" s="88">
        <f>IF($T1784="","",IF($S1784="S",IF(""="","",""),IF(INDEX('AFA Rates'!$D$5:$D$1004,$T1784)="","",INDEX('AFA Rates'!$D$5:$D$1004,$T1784))))</f>
        <v/>
      </c>
      <c r="F1784" s="79">
        <f>IF($T1784="","",IF($S1784="S",IF(INDEX(Firms!$O$5:$O$1004,$T1784)="","",INDEX(Firms!$O$5:$O$1004,$T1784)),IF(INDEX('AFA Rates'!$O$5:$O$1004,$T1784)="","",INDEX('AFA Rates'!$O$5:$O$1004,$T1784))))</f>
        <v/>
      </c>
      <c r="G1784" s="50">
        <f>IF($T1784="","",IF($S1784="S",IF(INDEX(Firms!$F$5:$F$1004,$T1784)="","",INDEX(Firms!$F$5:$F$1004,$T1784)),IF(INDEX('AFA Rates'!$E$5:$E$1004,$T1784)="","",INDEX('AFA Rates'!$E$5:$E$1004,$T1784))))</f>
        <v/>
      </c>
      <c r="H1784" s="50">
        <f>IF($T1784="","",IF($S1784="S",IF(INDEX(Firms!$G$5:$G$1004,$T1784)="","",INDEX(Firms!$G$5:$G$1004,$T1784)),IF(INDEX('AFA Rates'!$F$5:$F$1004,$T1784)="","",INDEX('AFA Rates'!$F$5:$F$1004,$T1784))))</f>
        <v/>
      </c>
      <c r="I1784" s="50">
        <f>IF($T1784="","",IF($S1784="S",IF(INDEX(Firms!$H$5:$H$1004,$T1784)="","",INDEX(Firms!$H$5:$H$1004,$T1784)),IF(INDEX('AFA Rates'!$G$5:$G$1004,$T1784)="","",INDEX('AFA Rates'!$G$5:$G$1004,$T1784))))</f>
        <v/>
      </c>
      <c r="J1784" s="50">
        <f>IF($T1784="","",IF($S1784="S",IF(INDEX(Firms!$I$5:$I$1004,$T1784)="","",INDEX(Firms!$I$5:$I$1004,$T1784)),IF(INDEX('AFA Rates'!$H$5:$H$1004,$T1784)="","",INDEX('AFA Rates'!$H$5:$H$1004,$T1784))))</f>
        <v/>
      </c>
      <c r="K1784" s="50">
        <f>IF($T1784="","",IF($S1784="S",IF(INDEX(Firms!$J$5:$J$1004,$T1784)="","",INDEX(Firms!$J$5:$J$1004,$T1784)),IF(INDEX('AFA Rates'!$I$5:$I$1004,$T1784)="","",INDEX('AFA Rates'!$I$5:$I$1004,$T1784))))</f>
        <v/>
      </c>
      <c r="L1784" s="50">
        <f>IF($T1784="","",IF($S1784="S",IF(INDEX(Firms!$K$5:$K$1004,$T1784)="","",INDEX(Firms!$K$5:$K$1004,$T1784)),IF(INDEX('AFA Rates'!$J$5:$J$1004,$T1784)="","",INDEX('AFA Rates'!$J$5:$J$1004,$T1784))))</f>
        <v/>
      </c>
      <c r="M1784" s="50">
        <f>IF($T1784="","",IF($S1784="S",IF(INDEX(Firms!$L$5:$L$1004,$T1784)="","",INDEX(Firms!$L$5:$L$1004,$T1784)),IF(INDEX('AFA Rates'!$K$5:$K$1004,$T1784)="","",INDEX('AFA Rates'!$K$5:$K$1004,$T1784))))</f>
        <v/>
      </c>
      <c r="N1784" s="50">
        <f>IF($T1784="","",IF($S1784="S",IF(INDEX(Firms!$M$5:$M$1004,$T1784)="","",INDEX(Firms!$M$5:$M$1004,$T1784)),IF(INDEX('AFA Rates'!$L$5:$L$1004,$T1784)="","",INDEX('AFA Rates'!$L$5:$L$1004,$T1784))))</f>
        <v/>
      </c>
      <c r="O1784" s="78">
        <f>IF(OR($T1784="",$U1784=""),"",IF(INDEX(Firms!$C$5:$C$1004,$U1784)="","",INDEX(Firms!$C$5:$C$1004,$U1784)))</f>
        <v/>
      </c>
      <c r="P1784" s="79">
        <f>IF(OR($T1784="",$U1784=""),"",IF(INDEX(Firms!$N$5:$N$1004,$U1784)="","",INDEX(Firms!$N$5:$N$1004,$U1784)))</f>
        <v/>
      </c>
      <c r="Q1784" s="78">
        <f>IF($T1784="","",IF($S1784="S",IF(INDEX(Firms!$T$5:$T$1004,$T1784)="","",INDEX(Firms!$T$5:$T$1004,$T1784)),IF(INDEX('AFA Rates'!$M$5:$M$1004,$T1784)="","",INDEX('AFA Rates'!$M$5:$M$1004,$T1784))))</f>
        <v/>
      </c>
      <c r="S1784">
        <f>IF(1780&lt;=$S$2,"S",IF(1780&lt;=$S$2+$T$2,"A",""))</f>
        <v/>
      </c>
      <c r="T1784">
        <f>IF(S1784="S",MATCH(1780,Firms!$W$5:$W$1004,0),IF(S1784="A",IFERROR(MATCH(1780-$S$2,'AFA Rates'!$R$5:$R$1004,0),""),""))</f>
        <v/>
      </c>
      <c r="U1784">
        <f>IF(S1784="S",T1784,IF(AND(S1784="A",T1784&lt;&gt;""),IFERROR(MATCH(INDEX('AFA Rates'!$A$5:$A$1004,T1784),Firms!$A$5:$A$1004,0),""),""))</f>
        <v/>
      </c>
    </row>
    <row r="1785">
      <c r="A1785" s="78">
        <f>IF($T1785="","",IF($S1785="S",IF(INDEX(Firms!$A$5:$A$1004,$T1785)="","",INDEX(Firms!$A$5:$A$1004,$T1785)),IF(INDEX('AFA Rates'!$A$5:$A$1004,$T1785)="","",INDEX('AFA Rates'!$A$5:$A$1004,$T1785))))</f>
        <v/>
      </c>
      <c r="B1785" s="79">
        <f>IF(OR($T1785="",$U1785=""),IF($T1785="","","Not on Firms tab"),INDEX(Firms!$B$5:$B$1004,$U1785)&amp;"")</f>
        <v/>
      </c>
      <c r="C1785" s="78">
        <f>IF($T1785="","",IF($S1785="S","Standard",INDEX('AFA Rates'!$B$5:$B$1004,$T1785)&amp;""))</f>
        <v/>
      </c>
      <c r="D1785" s="88">
        <f>IF($T1785="","",IF($S1785="S",IF(INDEX(Firms!$E$5:$E$1004,$T1785)="","",INDEX(Firms!$E$5:$E$1004,$T1785)),IF(INDEX('AFA Rates'!$C$5:$C$1004,$T1785)="","",INDEX('AFA Rates'!$C$5:$C$1004,$T1785))))</f>
        <v/>
      </c>
      <c r="E1785" s="88">
        <f>IF($T1785="","",IF($S1785="S",IF(""="","",""),IF(INDEX('AFA Rates'!$D$5:$D$1004,$T1785)="","",INDEX('AFA Rates'!$D$5:$D$1004,$T1785))))</f>
        <v/>
      </c>
      <c r="F1785" s="79">
        <f>IF($T1785="","",IF($S1785="S",IF(INDEX(Firms!$O$5:$O$1004,$T1785)="","",INDEX(Firms!$O$5:$O$1004,$T1785)),IF(INDEX('AFA Rates'!$O$5:$O$1004,$T1785)="","",INDEX('AFA Rates'!$O$5:$O$1004,$T1785))))</f>
        <v/>
      </c>
      <c r="G1785" s="50">
        <f>IF($T1785="","",IF($S1785="S",IF(INDEX(Firms!$F$5:$F$1004,$T1785)="","",INDEX(Firms!$F$5:$F$1004,$T1785)),IF(INDEX('AFA Rates'!$E$5:$E$1004,$T1785)="","",INDEX('AFA Rates'!$E$5:$E$1004,$T1785))))</f>
        <v/>
      </c>
      <c r="H1785" s="50">
        <f>IF($T1785="","",IF($S1785="S",IF(INDEX(Firms!$G$5:$G$1004,$T1785)="","",INDEX(Firms!$G$5:$G$1004,$T1785)),IF(INDEX('AFA Rates'!$F$5:$F$1004,$T1785)="","",INDEX('AFA Rates'!$F$5:$F$1004,$T1785))))</f>
        <v/>
      </c>
      <c r="I1785" s="50">
        <f>IF($T1785="","",IF($S1785="S",IF(INDEX(Firms!$H$5:$H$1004,$T1785)="","",INDEX(Firms!$H$5:$H$1004,$T1785)),IF(INDEX('AFA Rates'!$G$5:$G$1004,$T1785)="","",INDEX('AFA Rates'!$G$5:$G$1004,$T1785))))</f>
        <v/>
      </c>
      <c r="J1785" s="50">
        <f>IF($T1785="","",IF($S1785="S",IF(INDEX(Firms!$I$5:$I$1004,$T1785)="","",INDEX(Firms!$I$5:$I$1004,$T1785)),IF(INDEX('AFA Rates'!$H$5:$H$1004,$T1785)="","",INDEX('AFA Rates'!$H$5:$H$1004,$T1785))))</f>
        <v/>
      </c>
      <c r="K1785" s="50">
        <f>IF($T1785="","",IF($S1785="S",IF(INDEX(Firms!$J$5:$J$1004,$T1785)="","",INDEX(Firms!$J$5:$J$1004,$T1785)),IF(INDEX('AFA Rates'!$I$5:$I$1004,$T1785)="","",INDEX('AFA Rates'!$I$5:$I$1004,$T1785))))</f>
        <v/>
      </c>
      <c r="L1785" s="50">
        <f>IF($T1785="","",IF($S1785="S",IF(INDEX(Firms!$K$5:$K$1004,$T1785)="","",INDEX(Firms!$K$5:$K$1004,$T1785)),IF(INDEX('AFA Rates'!$J$5:$J$1004,$T1785)="","",INDEX('AFA Rates'!$J$5:$J$1004,$T1785))))</f>
        <v/>
      </c>
      <c r="M1785" s="50">
        <f>IF($T1785="","",IF($S1785="S",IF(INDEX(Firms!$L$5:$L$1004,$T1785)="","",INDEX(Firms!$L$5:$L$1004,$T1785)),IF(INDEX('AFA Rates'!$K$5:$K$1004,$T1785)="","",INDEX('AFA Rates'!$K$5:$K$1004,$T1785))))</f>
        <v/>
      </c>
      <c r="N1785" s="50">
        <f>IF($T1785="","",IF($S1785="S",IF(INDEX(Firms!$M$5:$M$1004,$T1785)="","",INDEX(Firms!$M$5:$M$1004,$T1785)),IF(INDEX('AFA Rates'!$L$5:$L$1004,$T1785)="","",INDEX('AFA Rates'!$L$5:$L$1004,$T1785))))</f>
        <v/>
      </c>
      <c r="O1785" s="78">
        <f>IF(OR($T1785="",$U1785=""),"",IF(INDEX(Firms!$C$5:$C$1004,$U1785)="","",INDEX(Firms!$C$5:$C$1004,$U1785)))</f>
        <v/>
      </c>
      <c r="P1785" s="79">
        <f>IF(OR($T1785="",$U1785=""),"",IF(INDEX(Firms!$N$5:$N$1004,$U1785)="","",INDEX(Firms!$N$5:$N$1004,$U1785)))</f>
        <v/>
      </c>
      <c r="Q1785" s="78">
        <f>IF($T1785="","",IF($S1785="S",IF(INDEX(Firms!$T$5:$T$1004,$T1785)="","",INDEX(Firms!$T$5:$T$1004,$T1785)),IF(INDEX('AFA Rates'!$M$5:$M$1004,$T1785)="","",INDEX('AFA Rates'!$M$5:$M$1004,$T1785))))</f>
        <v/>
      </c>
      <c r="S1785">
        <f>IF(1781&lt;=$S$2,"S",IF(1781&lt;=$S$2+$T$2,"A",""))</f>
        <v/>
      </c>
      <c r="T1785">
        <f>IF(S1785="S",MATCH(1781,Firms!$W$5:$W$1004,0),IF(S1785="A",IFERROR(MATCH(1781-$S$2,'AFA Rates'!$R$5:$R$1004,0),""),""))</f>
        <v/>
      </c>
      <c r="U1785">
        <f>IF(S1785="S",T1785,IF(AND(S1785="A",T1785&lt;&gt;""),IFERROR(MATCH(INDEX('AFA Rates'!$A$5:$A$1004,T1785),Firms!$A$5:$A$1004,0),""),""))</f>
        <v/>
      </c>
    </row>
    <row r="1786">
      <c r="A1786" s="78">
        <f>IF($T1786="","",IF($S1786="S",IF(INDEX(Firms!$A$5:$A$1004,$T1786)="","",INDEX(Firms!$A$5:$A$1004,$T1786)),IF(INDEX('AFA Rates'!$A$5:$A$1004,$T1786)="","",INDEX('AFA Rates'!$A$5:$A$1004,$T1786))))</f>
        <v/>
      </c>
      <c r="B1786" s="79">
        <f>IF(OR($T1786="",$U1786=""),IF($T1786="","","Not on Firms tab"),INDEX(Firms!$B$5:$B$1004,$U1786)&amp;"")</f>
        <v/>
      </c>
      <c r="C1786" s="78">
        <f>IF($T1786="","",IF($S1786="S","Standard",INDEX('AFA Rates'!$B$5:$B$1004,$T1786)&amp;""))</f>
        <v/>
      </c>
      <c r="D1786" s="88">
        <f>IF($T1786="","",IF($S1786="S",IF(INDEX(Firms!$E$5:$E$1004,$T1786)="","",INDEX(Firms!$E$5:$E$1004,$T1786)),IF(INDEX('AFA Rates'!$C$5:$C$1004,$T1786)="","",INDEX('AFA Rates'!$C$5:$C$1004,$T1786))))</f>
        <v/>
      </c>
      <c r="E1786" s="88">
        <f>IF($T1786="","",IF($S1786="S",IF(""="","",""),IF(INDEX('AFA Rates'!$D$5:$D$1004,$T1786)="","",INDEX('AFA Rates'!$D$5:$D$1004,$T1786))))</f>
        <v/>
      </c>
      <c r="F1786" s="79">
        <f>IF($T1786="","",IF($S1786="S",IF(INDEX(Firms!$O$5:$O$1004,$T1786)="","",INDEX(Firms!$O$5:$O$1004,$T1786)),IF(INDEX('AFA Rates'!$O$5:$O$1004,$T1786)="","",INDEX('AFA Rates'!$O$5:$O$1004,$T1786))))</f>
        <v/>
      </c>
      <c r="G1786" s="50">
        <f>IF($T1786="","",IF($S1786="S",IF(INDEX(Firms!$F$5:$F$1004,$T1786)="","",INDEX(Firms!$F$5:$F$1004,$T1786)),IF(INDEX('AFA Rates'!$E$5:$E$1004,$T1786)="","",INDEX('AFA Rates'!$E$5:$E$1004,$T1786))))</f>
        <v/>
      </c>
      <c r="H1786" s="50">
        <f>IF($T1786="","",IF($S1786="S",IF(INDEX(Firms!$G$5:$G$1004,$T1786)="","",INDEX(Firms!$G$5:$G$1004,$T1786)),IF(INDEX('AFA Rates'!$F$5:$F$1004,$T1786)="","",INDEX('AFA Rates'!$F$5:$F$1004,$T1786))))</f>
        <v/>
      </c>
      <c r="I1786" s="50">
        <f>IF($T1786="","",IF($S1786="S",IF(INDEX(Firms!$H$5:$H$1004,$T1786)="","",INDEX(Firms!$H$5:$H$1004,$T1786)),IF(INDEX('AFA Rates'!$G$5:$G$1004,$T1786)="","",INDEX('AFA Rates'!$G$5:$G$1004,$T1786))))</f>
        <v/>
      </c>
      <c r="J1786" s="50">
        <f>IF($T1786="","",IF($S1786="S",IF(INDEX(Firms!$I$5:$I$1004,$T1786)="","",INDEX(Firms!$I$5:$I$1004,$T1786)),IF(INDEX('AFA Rates'!$H$5:$H$1004,$T1786)="","",INDEX('AFA Rates'!$H$5:$H$1004,$T1786))))</f>
        <v/>
      </c>
      <c r="K1786" s="50">
        <f>IF($T1786="","",IF($S1786="S",IF(INDEX(Firms!$J$5:$J$1004,$T1786)="","",INDEX(Firms!$J$5:$J$1004,$T1786)),IF(INDEX('AFA Rates'!$I$5:$I$1004,$T1786)="","",INDEX('AFA Rates'!$I$5:$I$1004,$T1786))))</f>
        <v/>
      </c>
      <c r="L1786" s="50">
        <f>IF($T1786="","",IF($S1786="S",IF(INDEX(Firms!$K$5:$K$1004,$T1786)="","",INDEX(Firms!$K$5:$K$1004,$T1786)),IF(INDEX('AFA Rates'!$J$5:$J$1004,$T1786)="","",INDEX('AFA Rates'!$J$5:$J$1004,$T1786))))</f>
        <v/>
      </c>
      <c r="M1786" s="50">
        <f>IF($T1786="","",IF($S1786="S",IF(INDEX(Firms!$L$5:$L$1004,$T1786)="","",INDEX(Firms!$L$5:$L$1004,$T1786)),IF(INDEX('AFA Rates'!$K$5:$K$1004,$T1786)="","",INDEX('AFA Rates'!$K$5:$K$1004,$T1786))))</f>
        <v/>
      </c>
      <c r="N1786" s="50">
        <f>IF($T1786="","",IF($S1786="S",IF(INDEX(Firms!$M$5:$M$1004,$T1786)="","",INDEX(Firms!$M$5:$M$1004,$T1786)),IF(INDEX('AFA Rates'!$L$5:$L$1004,$T1786)="","",INDEX('AFA Rates'!$L$5:$L$1004,$T1786))))</f>
        <v/>
      </c>
      <c r="O1786" s="78">
        <f>IF(OR($T1786="",$U1786=""),"",IF(INDEX(Firms!$C$5:$C$1004,$U1786)="","",INDEX(Firms!$C$5:$C$1004,$U1786)))</f>
        <v/>
      </c>
      <c r="P1786" s="79">
        <f>IF(OR($T1786="",$U1786=""),"",IF(INDEX(Firms!$N$5:$N$1004,$U1786)="","",INDEX(Firms!$N$5:$N$1004,$U1786)))</f>
        <v/>
      </c>
      <c r="Q1786" s="78">
        <f>IF($T1786="","",IF($S1786="S",IF(INDEX(Firms!$T$5:$T$1004,$T1786)="","",INDEX(Firms!$T$5:$T$1004,$T1786)),IF(INDEX('AFA Rates'!$M$5:$M$1004,$T1786)="","",INDEX('AFA Rates'!$M$5:$M$1004,$T1786))))</f>
        <v/>
      </c>
      <c r="S1786">
        <f>IF(1782&lt;=$S$2,"S",IF(1782&lt;=$S$2+$T$2,"A",""))</f>
        <v/>
      </c>
      <c r="T1786">
        <f>IF(S1786="S",MATCH(1782,Firms!$W$5:$W$1004,0),IF(S1786="A",IFERROR(MATCH(1782-$S$2,'AFA Rates'!$R$5:$R$1004,0),""),""))</f>
        <v/>
      </c>
      <c r="U1786">
        <f>IF(S1786="S",T1786,IF(AND(S1786="A",T1786&lt;&gt;""),IFERROR(MATCH(INDEX('AFA Rates'!$A$5:$A$1004,T1786),Firms!$A$5:$A$1004,0),""),""))</f>
        <v/>
      </c>
    </row>
    <row r="1787">
      <c r="A1787" s="78">
        <f>IF($T1787="","",IF($S1787="S",IF(INDEX(Firms!$A$5:$A$1004,$T1787)="","",INDEX(Firms!$A$5:$A$1004,$T1787)),IF(INDEX('AFA Rates'!$A$5:$A$1004,$T1787)="","",INDEX('AFA Rates'!$A$5:$A$1004,$T1787))))</f>
        <v/>
      </c>
      <c r="B1787" s="79">
        <f>IF(OR($T1787="",$U1787=""),IF($T1787="","","Not on Firms tab"),INDEX(Firms!$B$5:$B$1004,$U1787)&amp;"")</f>
        <v/>
      </c>
      <c r="C1787" s="78">
        <f>IF($T1787="","",IF($S1787="S","Standard",INDEX('AFA Rates'!$B$5:$B$1004,$T1787)&amp;""))</f>
        <v/>
      </c>
      <c r="D1787" s="88">
        <f>IF($T1787="","",IF($S1787="S",IF(INDEX(Firms!$E$5:$E$1004,$T1787)="","",INDEX(Firms!$E$5:$E$1004,$T1787)),IF(INDEX('AFA Rates'!$C$5:$C$1004,$T1787)="","",INDEX('AFA Rates'!$C$5:$C$1004,$T1787))))</f>
        <v/>
      </c>
      <c r="E1787" s="88">
        <f>IF($T1787="","",IF($S1787="S",IF(""="","",""),IF(INDEX('AFA Rates'!$D$5:$D$1004,$T1787)="","",INDEX('AFA Rates'!$D$5:$D$1004,$T1787))))</f>
        <v/>
      </c>
      <c r="F1787" s="79">
        <f>IF($T1787="","",IF($S1787="S",IF(INDEX(Firms!$O$5:$O$1004,$T1787)="","",INDEX(Firms!$O$5:$O$1004,$T1787)),IF(INDEX('AFA Rates'!$O$5:$O$1004,$T1787)="","",INDEX('AFA Rates'!$O$5:$O$1004,$T1787))))</f>
        <v/>
      </c>
      <c r="G1787" s="50">
        <f>IF($T1787="","",IF($S1787="S",IF(INDEX(Firms!$F$5:$F$1004,$T1787)="","",INDEX(Firms!$F$5:$F$1004,$T1787)),IF(INDEX('AFA Rates'!$E$5:$E$1004,$T1787)="","",INDEX('AFA Rates'!$E$5:$E$1004,$T1787))))</f>
        <v/>
      </c>
      <c r="H1787" s="50">
        <f>IF($T1787="","",IF($S1787="S",IF(INDEX(Firms!$G$5:$G$1004,$T1787)="","",INDEX(Firms!$G$5:$G$1004,$T1787)),IF(INDEX('AFA Rates'!$F$5:$F$1004,$T1787)="","",INDEX('AFA Rates'!$F$5:$F$1004,$T1787))))</f>
        <v/>
      </c>
      <c r="I1787" s="50">
        <f>IF($T1787="","",IF($S1787="S",IF(INDEX(Firms!$H$5:$H$1004,$T1787)="","",INDEX(Firms!$H$5:$H$1004,$T1787)),IF(INDEX('AFA Rates'!$G$5:$G$1004,$T1787)="","",INDEX('AFA Rates'!$G$5:$G$1004,$T1787))))</f>
        <v/>
      </c>
      <c r="J1787" s="50">
        <f>IF($T1787="","",IF($S1787="S",IF(INDEX(Firms!$I$5:$I$1004,$T1787)="","",INDEX(Firms!$I$5:$I$1004,$T1787)),IF(INDEX('AFA Rates'!$H$5:$H$1004,$T1787)="","",INDEX('AFA Rates'!$H$5:$H$1004,$T1787))))</f>
        <v/>
      </c>
      <c r="K1787" s="50">
        <f>IF($T1787="","",IF($S1787="S",IF(INDEX(Firms!$J$5:$J$1004,$T1787)="","",INDEX(Firms!$J$5:$J$1004,$T1787)),IF(INDEX('AFA Rates'!$I$5:$I$1004,$T1787)="","",INDEX('AFA Rates'!$I$5:$I$1004,$T1787))))</f>
        <v/>
      </c>
      <c r="L1787" s="50">
        <f>IF($T1787="","",IF($S1787="S",IF(INDEX(Firms!$K$5:$K$1004,$T1787)="","",INDEX(Firms!$K$5:$K$1004,$T1787)),IF(INDEX('AFA Rates'!$J$5:$J$1004,$T1787)="","",INDEX('AFA Rates'!$J$5:$J$1004,$T1787))))</f>
        <v/>
      </c>
      <c r="M1787" s="50">
        <f>IF($T1787="","",IF($S1787="S",IF(INDEX(Firms!$L$5:$L$1004,$T1787)="","",INDEX(Firms!$L$5:$L$1004,$T1787)),IF(INDEX('AFA Rates'!$K$5:$K$1004,$T1787)="","",INDEX('AFA Rates'!$K$5:$K$1004,$T1787))))</f>
        <v/>
      </c>
      <c r="N1787" s="50">
        <f>IF($T1787="","",IF($S1787="S",IF(INDEX(Firms!$M$5:$M$1004,$T1787)="","",INDEX(Firms!$M$5:$M$1004,$T1787)),IF(INDEX('AFA Rates'!$L$5:$L$1004,$T1787)="","",INDEX('AFA Rates'!$L$5:$L$1004,$T1787))))</f>
        <v/>
      </c>
      <c r="O1787" s="78">
        <f>IF(OR($T1787="",$U1787=""),"",IF(INDEX(Firms!$C$5:$C$1004,$U1787)="","",INDEX(Firms!$C$5:$C$1004,$U1787)))</f>
        <v/>
      </c>
      <c r="P1787" s="79">
        <f>IF(OR($T1787="",$U1787=""),"",IF(INDEX(Firms!$N$5:$N$1004,$U1787)="","",INDEX(Firms!$N$5:$N$1004,$U1787)))</f>
        <v/>
      </c>
      <c r="Q1787" s="78">
        <f>IF($T1787="","",IF($S1787="S",IF(INDEX(Firms!$T$5:$T$1004,$T1787)="","",INDEX(Firms!$T$5:$T$1004,$T1787)),IF(INDEX('AFA Rates'!$M$5:$M$1004,$T1787)="","",INDEX('AFA Rates'!$M$5:$M$1004,$T1787))))</f>
        <v/>
      </c>
      <c r="S1787">
        <f>IF(1783&lt;=$S$2,"S",IF(1783&lt;=$S$2+$T$2,"A",""))</f>
        <v/>
      </c>
      <c r="T1787">
        <f>IF(S1787="S",MATCH(1783,Firms!$W$5:$W$1004,0),IF(S1787="A",IFERROR(MATCH(1783-$S$2,'AFA Rates'!$R$5:$R$1004,0),""),""))</f>
        <v/>
      </c>
      <c r="U1787">
        <f>IF(S1787="S",T1787,IF(AND(S1787="A",T1787&lt;&gt;""),IFERROR(MATCH(INDEX('AFA Rates'!$A$5:$A$1004,T1787),Firms!$A$5:$A$1004,0),""),""))</f>
        <v/>
      </c>
    </row>
    <row r="1788">
      <c r="A1788" s="78">
        <f>IF($T1788="","",IF($S1788="S",IF(INDEX(Firms!$A$5:$A$1004,$T1788)="","",INDEX(Firms!$A$5:$A$1004,$T1788)),IF(INDEX('AFA Rates'!$A$5:$A$1004,$T1788)="","",INDEX('AFA Rates'!$A$5:$A$1004,$T1788))))</f>
        <v/>
      </c>
      <c r="B1788" s="79">
        <f>IF(OR($T1788="",$U1788=""),IF($T1788="","","Not on Firms tab"),INDEX(Firms!$B$5:$B$1004,$U1788)&amp;"")</f>
        <v/>
      </c>
      <c r="C1788" s="78">
        <f>IF($T1788="","",IF($S1788="S","Standard",INDEX('AFA Rates'!$B$5:$B$1004,$T1788)&amp;""))</f>
        <v/>
      </c>
      <c r="D1788" s="88">
        <f>IF($T1788="","",IF($S1788="S",IF(INDEX(Firms!$E$5:$E$1004,$T1788)="","",INDEX(Firms!$E$5:$E$1004,$T1788)),IF(INDEX('AFA Rates'!$C$5:$C$1004,$T1788)="","",INDEX('AFA Rates'!$C$5:$C$1004,$T1788))))</f>
        <v/>
      </c>
      <c r="E1788" s="88">
        <f>IF($T1788="","",IF($S1788="S",IF(""="","",""),IF(INDEX('AFA Rates'!$D$5:$D$1004,$T1788)="","",INDEX('AFA Rates'!$D$5:$D$1004,$T1788))))</f>
        <v/>
      </c>
      <c r="F1788" s="79">
        <f>IF($T1788="","",IF($S1788="S",IF(INDEX(Firms!$O$5:$O$1004,$T1788)="","",INDEX(Firms!$O$5:$O$1004,$T1788)),IF(INDEX('AFA Rates'!$O$5:$O$1004,$T1788)="","",INDEX('AFA Rates'!$O$5:$O$1004,$T1788))))</f>
        <v/>
      </c>
      <c r="G1788" s="50">
        <f>IF($T1788="","",IF($S1788="S",IF(INDEX(Firms!$F$5:$F$1004,$T1788)="","",INDEX(Firms!$F$5:$F$1004,$T1788)),IF(INDEX('AFA Rates'!$E$5:$E$1004,$T1788)="","",INDEX('AFA Rates'!$E$5:$E$1004,$T1788))))</f>
        <v/>
      </c>
      <c r="H1788" s="50">
        <f>IF($T1788="","",IF($S1788="S",IF(INDEX(Firms!$G$5:$G$1004,$T1788)="","",INDEX(Firms!$G$5:$G$1004,$T1788)),IF(INDEX('AFA Rates'!$F$5:$F$1004,$T1788)="","",INDEX('AFA Rates'!$F$5:$F$1004,$T1788))))</f>
        <v/>
      </c>
      <c r="I1788" s="50">
        <f>IF($T1788="","",IF($S1788="S",IF(INDEX(Firms!$H$5:$H$1004,$T1788)="","",INDEX(Firms!$H$5:$H$1004,$T1788)),IF(INDEX('AFA Rates'!$G$5:$G$1004,$T1788)="","",INDEX('AFA Rates'!$G$5:$G$1004,$T1788))))</f>
        <v/>
      </c>
      <c r="J1788" s="50">
        <f>IF($T1788="","",IF($S1788="S",IF(INDEX(Firms!$I$5:$I$1004,$T1788)="","",INDEX(Firms!$I$5:$I$1004,$T1788)),IF(INDEX('AFA Rates'!$H$5:$H$1004,$T1788)="","",INDEX('AFA Rates'!$H$5:$H$1004,$T1788))))</f>
        <v/>
      </c>
      <c r="K1788" s="50">
        <f>IF($T1788="","",IF($S1788="S",IF(INDEX(Firms!$J$5:$J$1004,$T1788)="","",INDEX(Firms!$J$5:$J$1004,$T1788)),IF(INDEX('AFA Rates'!$I$5:$I$1004,$T1788)="","",INDEX('AFA Rates'!$I$5:$I$1004,$T1788))))</f>
        <v/>
      </c>
      <c r="L1788" s="50">
        <f>IF($T1788="","",IF($S1788="S",IF(INDEX(Firms!$K$5:$K$1004,$T1788)="","",INDEX(Firms!$K$5:$K$1004,$T1788)),IF(INDEX('AFA Rates'!$J$5:$J$1004,$T1788)="","",INDEX('AFA Rates'!$J$5:$J$1004,$T1788))))</f>
        <v/>
      </c>
      <c r="M1788" s="50">
        <f>IF($T1788="","",IF($S1788="S",IF(INDEX(Firms!$L$5:$L$1004,$T1788)="","",INDEX(Firms!$L$5:$L$1004,$T1788)),IF(INDEX('AFA Rates'!$K$5:$K$1004,$T1788)="","",INDEX('AFA Rates'!$K$5:$K$1004,$T1788))))</f>
        <v/>
      </c>
      <c r="N1788" s="50">
        <f>IF($T1788="","",IF($S1788="S",IF(INDEX(Firms!$M$5:$M$1004,$T1788)="","",INDEX(Firms!$M$5:$M$1004,$T1788)),IF(INDEX('AFA Rates'!$L$5:$L$1004,$T1788)="","",INDEX('AFA Rates'!$L$5:$L$1004,$T1788))))</f>
        <v/>
      </c>
      <c r="O1788" s="78">
        <f>IF(OR($T1788="",$U1788=""),"",IF(INDEX(Firms!$C$5:$C$1004,$U1788)="","",INDEX(Firms!$C$5:$C$1004,$U1788)))</f>
        <v/>
      </c>
      <c r="P1788" s="79">
        <f>IF(OR($T1788="",$U1788=""),"",IF(INDEX(Firms!$N$5:$N$1004,$U1788)="","",INDEX(Firms!$N$5:$N$1004,$U1788)))</f>
        <v/>
      </c>
      <c r="Q1788" s="78">
        <f>IF($T1788="","",IF($S1788="S",IF(INDEX(Firms!$T$5:$T$1004,$T1788)="","",INDEX(Firms!$T$5:$T$1004,$T1788)),IF(INDEX('AFA Rates'!$M$5:$M$1004,$T1788)="","",INDEX('AFA Rates'!$M$5:$M$1004,$T1788))))</f>
        <v/>
      </c>
      <c r="S1788">
        <f>IF(1784&lt;=$S$2,"S",IF(1784&lt;=$S$2+$T$2,"A",""))</f>
        <v/>
      </c>
      <c r="T1788">
        <f>IF(S1788="S",MATCH(1784,Firms!$W$5:$W$1004,0),IF(S1788="A",IFERROR(MATCH(1784-$S$2,'AFA Rates'!$R$5:$R$1004,0),""),""))</f>
        <v/>
      </c>
      <c r="U1788">
        <f>IF(S1788="S",T1788,IF(AND(S1788="A",T1788&lt;&gt;""),IFERROR(MATCH(INDEX('AFA Rates'!$A$5:$A$1004,T1788),Firms!$A$5:$A$1004,0),""),""))</f>
        <v/>
      </c>
    </row>
    <row r="1789">
      <c r="A1789" s="78">
        <f>IF($T1789="","",IF($S1789="S",IF(INDEX(Firms!$A$5:$A$1004,$T1789)="","",INDEX(Firms!$A$5:$A$1004,$T1789)),IF(INDEX('AFA Rates'!$A$5:$A$1004,$T1789)="","",INDEX('AFA Rates'!$A$5:$A$1004,$T1789))))</f>
        <v/>
      </c>
      <c r="B1789" s="79">
        <f>IF(OR($T1789="",$U1789=""),IF($T1789="","","Not on Firms tab"),INDEX(Firms!$B$5:$B$1004,$U1789)&amp;"")</f>
        <v/>
      </c>
      <c r="C1789" s="78">
        <f>IF($T1789="","",IF($S1789="S","Standard",INDEX('AFA Rates'!$B$5:$B$1004,$T1789)&amp;""))</f>
        <v/>
      </c>
      <c r="D1789" s="88">
        <f>IF($T1789="","",IF($S1789="S",IF(INDEX(Firms!$E$5:$E$1004,$T1789)="","",INDEX(Firms!$E$5:$E$1004,$T1789)),IF(INDEX('AFA Rates'!$C$5:$C$1004,$T1789)="","",INDEX('AFA Rates'!$C$5:$C$1004,$T1789))))</f>
        <v/>
      </c>
      <c r="E1789" s="88">
        <f>IF($T1789="","",IF($S1789="S",IF(""="","",""),IF(INDEX('AFA Rates'!$D$5:$D$1004,$T1789)="","",INDEX('AFA Rates'!$D$5:$D$1004,$T1789))))</f>
        <v/>
      </c>
      <c r="F1789" s="79">
        <f>IF($T1789="","",IF($S1789="S",IF(INDEX(Firms!$O$5:$O$1004,$T1789)="","",INDEX(Firms!$O$5:$O$1004,$T1789)),IF(INDEX('AFA Rates'!$O$5:$O$1004,$T1789)="","",INDEX('AFA Rates'!$O$5:$O$1004,$T1789))))</f>
        <v/>
      </c>
      <c r="G1789" s="50">
        <f>IF($T1789="","",IF($S1789="S",IF(INDEX(Firms!$F$5:$F$1004,$T1789)="","",INDEX(Firms!$F$5:$F$1004,$T1789)),IF(INDEX('AFA Rates'!$E$5:$E$1004,$T1789)="","",INDEX('AFA Rates'!$E$5:$E$1004,$T1789))))</f>
        <v/>
      </c>
      <c r="H1789" s="50">
        <f>IF($T1789="","",IF($S1789="S",IF(INDEX(Firms!$G$5:$G$1004,$T1789)="","",INDEX(Firms!$G$5:$G$1004,$T1789)),IF(INDEX('AFA Rates'!$F$5:$F$1004,$T1789)="","",INDEX('AFA Rates'!$F$5:$F$1004,$T1789))))</f>
        <v/>
      </c>
      <c r="I1789" s="50">
        <f>IF($T1789="","",IF($S1789="S",IF(INDEX(Firms!$H$5:$H$1004,$T1789)="","",INDEX(Firms!$H$5:$H$1004,$T1789)),IF(INDEX('AFA Rates'!$G$5:$G$1004,$T1789)="","",INDEX('AFA Rates'!$G$5:$G$1004,$T1789))))</f>
        <v/>
      </c>
      <c r="J1789" s="50">
        <f>IF($T1789="","",IF($S1789="S",IF(INDEX(Firms!$I$5:$I$1004,$T1789)="","",INDEX(Firms!$I$5:$I$1004,$T1789)),IF(INDEX('AFA Rates'!$H$5:$H$1004,$T1789)="","",INDEX('AFA Rates'!$H$5:$H$1004,$T1789))))</f>
        <v/>
      </c>
      <c r="K1789" s="50">
        <f>IF($T1789="","",IF($S1789="S",IF(INDEX(Firms!$J$5:$J$1004,$T1789)="","",INDEX(Firms!$J$5:$J$1004,$T1789)),IF(INDEX('AFA Rates'!$I$5:$I$1004,$T1789)="","",INDEX('AFA Rates'!$I$5:$I$1004,$T1789))))</f>
        <v/>
      </c>
      <c r="L1789" s="50">
        <f>IF($T1789="","",IF($S1789="S",IF(INDEX(Firms!$K$5:$K$1004,$T1789)="","",INDEX(Firms!$K$5:$K$1004,$T1789)),IF(INDEX('AFA Rates'!$J$5:$J$1004,$T1789)="","",INDEX('AFA Rates'!$J$5:$J$1004,$T1789))))</f>
        <v/>
      </c>
      <c r="M1789" s="50">
        <f>IF($T1789="","",IF($S1789="S",IF(INDEX(Firms!$L$5:$L$1004,$T1789)="","",INDEX(Firms!$L$5:$L$1004,$T1789)),IF(INDEX('AFA Rates'!$K$5:$K$1004,$T1789)="","",INDEX('AFA Rates'!$K$5:$K$1004,$T1789))))</f>
        <v/>
      </c>
      <c r="N1789" s="50">
        <f>IF($T1789="","",IF($S1789="S",IF(INDEX(Firms!$M$5:$M$1004,$T1789)="","",INDEX(Firms!$M$5:$M$1004,$T1789)),IF(INDEX('AFA Rates'!$L$5:$L$1004,$T1789)="","",INDEX('AFA Rates'!$L$5:$L$1004,$T1789))))</f>
        <v/>
      </c>
      <c r="O1789" s="78">
        <f>IF(OR($T1789="",$U1789=""),"",IF(INDEX(Firms!$C$5:$C$1004,$U1789)="","",INDEX(Firms!$C$5:$C$1004,$U1789)))</f>
        <v/>
      </c>
      <c r="P1789" s="79">
        <f>IF(OR($T1789="",$U1789=""),"",IF(INDEX(Firms!$N$5:$N$1004,$U1789)="","",INDEX(Firms!$N$5:$N$1004,$U1789)))</f>
        <v/>
      </c>
      <c r="Q1789" s="78">
        <f>IF($T1789="","",IF($S1789="S",IF(INDEX(Firms!$T$5:$T$1004,$T1789)="","",INDEX(Firms!$T$5:$T$1004,$T1789)),IF(INDEX('AFA Rates'!$M$5:$M$1004,$T1789)="","",INDEX('AFA Rates'!$M$5:$M$1004,$T1789))))</f>
        <v/>
      </c>
      <c r="S1789">
        <f>IF(1785&lt;=$S$2,"S",IF(1785&lt;=$S$2+$T$2,"A",""))</f>
        <v/>
      </c>
      <c r="T1789">
        <f>IF(S1789="S",MATCH(1785,Firms!$W$5:$W$1004,0),IF(S1789="A",IFERROR(MATCH(1785-$S$2,'AFA Rates'!$R$5:$R$1004,0),""),""))</f>
        <v/>
      </c>
      <c r="U1789">
        <f>IF(S1789="S",T1789,IF(AND(S1789="A",T1789&lt;&gt;""),IFERROR(MATCH(INDEX('AFA Rates'!$A$5:$A$1004,T1789),Firms!$A$5:$A$1004,0),""),""))</f>
        <v/>
      </c>
    </row>
    <row r="1790">
      <c r="A1790" s="78">
        <f>IF($T1790="","",IF($S1790="S",IF(INDEX(Firms!$A$5:$A$1004,$T1790)="","",INDEX(Firms!$A$5:$A$1004,$T1790)),IF(INDEX('AFA Rates'!$A$5:$A$1004,$T1790)="","",INDEX('AFA Rates'!$A$5:$A$1004,$T1790))))</f>
        <v/>
      </c>
      <c r="B1790" s="79">
        <f>IF(OR($T1790="",$U1790=""),IF($T1790="","","Not on Firms tab"),INDEX(Firms!$B$5:$B$1004,$U1790)&amp;"")</f>
        <v/>
      </c>
      <c r="C1790" s="78">
        <f>IF($T1790="","",IF($S1790="S","Standard",INDEX('AFA Rates'!$B$5:$B$1004,$T1790)&amp;""))</f>
        <v/>
      </c>
      <c r="D1790" s="88">
        <f>IF($T1790="","",IF($S1790="S",IF(INDEX(Firms!$E$5:$E$1004,$T1790)="","",INDEX(Firms!$E$5:$E$1004,$T1790)),IF(INDEX('AFA Rates'!$C$5:$C$1004,$T1790)="","",INDEX('AFA Rates'!$C$5:$C$1004,$T1790))))</f>
        <v/>
      </c>
      <c r="E1790" s="88">
        <f>IF($T1790="","",IF($S1790="S",IF(""="","",""),IF(INDEX('AFA Rates'!$D$5:$D$1004,$T1790)="","",INDEX('AFA Rates'!$D$5:$D$1004,$T1790))))</f>
        <v/>
      </c>
      <c r="F1790" s="79">
        <f>IF($T1790="","",IF($S1790="S",IF(INDEX(Firms!$O$5:$O$1004,$T1790)="","",INDEX(Firms!$O$5:$O$1004,$T1790)),IF(INDEX('AFA Rates'!$O$5:$O$1004,$T1790)="","",INDEX('AFA Rates'!$O$5:$O$1004,$T1790))))</f>
        <v/>
      </c>
      <c r="G1790" s="50">
        <f>IF($T1790="","",IF($S1790="S",IF(INDEX(Firms!$F$5:$F$1004,$T1790)="","",INDEX(Firms!$F$5:$F$1004,$T1790)),IF(INDEX('AFA Rates'!$E$5:$E$1004,$T1790)="","",INDEX('AFA Rates'!$E$5:$E$1004,$T1790))))</f>
        <v/>
      </c>
      <c r="H1790" s="50">
        <f>IF($T1790="","",IF($S1790="S",IF(INDEX(Firms!$G$5:$G$1004,$T1790)="","",INDEX(Firms!$G$5:$G$1004,$T1790)),IF(INDEX('AFA Rates'!$F$5:$F$1004,$T1790)="","",INDEX('AFA Rates'!$F$5:$F$1004,$T1790))))</f>
        <v/>
      </c>
      <c r="I1790" s="50">
        <f>IF($T1790="","",IF($S1790="S",IF(INDEX(Firms!$H$5:$H$1004,$T1790)="","",INDEX(Firms!$H$5:$H$1004,$T1790)),IF(INDEX('AFA Rates'!$G$5:$G$1004,$T1790)="","",INDEX('AFA Rates'!$G$5:$G$1004,$T1790))))</f>
        <v/>
      </c>
      <c r="J1790" s="50">
        <f>IF($T1790="","",IF($S1790="S",IF(INDEX(Firms!$I$5:$I$1004,$T1790)="","",INDEX(Firms!$I$5:$I$1004,$T1790)),IF(INDEX('AFA Rates'!$H$5:$H$1004,$T1790)="","",INDEX('AFA Rates'!$H$5:$H$1004,$T1790))))</f>
        <v/>
      </c>
      <c r="K1790" s="50">
        <f>IF($T1790="","",IF($S1790="S",IF(INDEX(Firms!$J$5:$J$1004,$T1790)="","",INDEX(Firms!$J$5:$J$1004,$T1790)),IF(INDEX('AFA Rates'!$I$5:$I$1004,$T1790)="","",INDEX('AFA Rates'!$I$5:$I$1004,$T1790))))</f>
        <v/>
      </c>
      <c r="L1790" s="50">
        <f>IF($T1790="","",IF($S1790="S",IF(INDEX(Firms!$K$5:$K$1004,$T1790)="","",INDEX(Firms!$K$5:$K$1004,$T1790)),IF(INDEX('AFA Rates'!$J$5:$J$1004,$T1790)="","",INDEX('AFA Rates'!$J$5:$J$1004,$T1790))))</f>
        <v/>
      </c>
      <c r="M1790" s="50">
        <f>IF($T1790="","",IF($S1790="S",IF(INDEX(Firms!$L$5:$L$1004,$T1790)="","",INDEX(Firms!$L$5:$L$1004,$T1790)),IF(INDEX('AFA Rates'!$K$5:$K$1004,$T1790)="","",INDEX('AFA Rates'!$K$5:$K$1004,$T1790))))</f>
        <v/>
      </c>
      <c r="N1790" s="50">
        <f>IF($T1790="","",IF($S1790="S",IF(INDEX(Firms!$M$5:$M$1004,$T1790)="","",INDEX(Firms!$M$5:$M$1004,$T1790)),IF(INDEX('AFA Rates'!$L$5:$L$1004,$T1790)="","",INDEX('AFA Rates'!$L$5:$L$1004,$T1790))))</f>
        <v/>
      </c>
      <c r="O1790" s="78">
        <f>IF(OR($T1790="",$U1790=""),"",IF(INDEX(Firms!$C$5:$C$1004,$U1790)="","",INDEX(Firms!$C$5:$C$1004,$U1790)))</f>
        <v/>
      </c>
      <c r="P1790" s="79">
        <f>IF(OR($T1790="",$U1790=""),"",IF(INDEX(Firms!$N$5:$N$1004,$U1790)="","",INDEX(Firms!$N$5:$N$1004,$U1790)))</f>
        <v/>
      </c>
      <c r="Q1790" s="78">
        <f>IF($T1790="","",IF($S1790="S",IF(INDEX(Firms!$T$5:$T$1004,$T1790)="","",INDEX(Firms!$T$5:$T$1004,$T1790)),IF(INDEX('AFA Rates'!$M$5:$M$1004,$T1790)="","",INDEX('AFA Rates'!$M$5:$M$1004,$T1790))))</f>
        <v/>
      </c>
      <c r="S1790">
        <f>IF(1786&lt;=$S$2,"S",IF(1786&lt;=$S$2+$T$2,"A",""))</f>
        <v/>
      </c>
      <c r="T1790">
        <f>IF(S1790="S",MATCH(1786,Firms!$W$5:$W$1004,0),IF(S1790="A",IFERROR(MATCH(1786-$S$2,'AFA Rates'!$R$5:$R$1004,0),""),""))</f>
        <v/>
      </c>
      <c r="U1790">
        <f>IF(S1790="S",T1790,IF(AND(S1790="A",T1790&lt;&gt;""),IFERROR(MATCH(INDEX('AFA Rates'!$A$5:$A$1004,T1790),Firms!$A$5:$A$1004,0),""),""))</f>
        <v/>
      </c>
    </row>
    <row r="1791">
      <c r="A1791" s="78">
        <f>IF($T1791="","",IF($S1791="S",IF(INDEX(Firms!$A$5:$A$1004,$T1791)="","",INDEX(Firms!$A$5:$A$1004,$T1791)),IF(INDEX('AFA Rates'!$A$5:$A$1004,$T1791)="","",INDEX('AFA Rates'!$A$5:$A$1004,$T1791))))</f>
        <v/>
      </c>
      <c r="B1791" s="79">
        <f>IF(OR($T1791="",$U1791=""),IF($T1791="","","Not on Firms tab"),INDEX(Firms!$B$5:$B$1004,$U1791)&amp;"")</f>
        <v/>
      </c>
      <c r="C1791" s="78">
        <f>IF($T1791="","",IF($S1791="S","Standard",INDEX('AFA Rates'!$B$5:$B$1004,$T1791)&amp;""))</f>
        <v/>
      </c>
      <c r="D1791" s="88">
        <f>IF($T1791="","",IF($S1791="S",IF(INDEX(Firms!$E$5:$E$1004,$T1791)="","",INDEX(Firms!$E$5:$E$1004,$T1791)),IF(INDEX('AFA Rates'!$C$5:$C$1004,$T1791)="","",INDEX('AFA Rates'!$C$5:$C$1004,$T1791))))</f>
        <v/>
      </c>
      <c r="E1791" s="88">
        <f>IF($T1791="","",IF($S1791="S",IF(""="","",""),IF(INDEX('AFA Rates'!$D$5:$D$1004,$T1791)="","",INDEX('AFA Rates'!$D$5:$D$1004,$T1791))))</f>
        <v/>
      </c>
      <c r="F1791" s="79">
        <f>IF($T1791="","",IF($S1791="S",IF(INDEX(Firms!$O$5:$O$1004,$T1791)="","",INDEX(Firms!$O$5:$O$1004,$T1791)),IF(INDEX('AFA Rates'!$O$5:$O$1004,$T1791)="","",INDEX('AFA Rates'!$O$5:$O$1004,$T1791))))</f>
        <v/>
      </c>
      <c r="G1791" s="50">
        <f>IF($T1791="","",IF($S1791="S",IF(INDEX(Firms!$F$5:$F$1004,$T1791)="","",INDEX(Firms!$F$5:$F$1004,$T1791)),IF(INDEX('AFA Rates'!$E$5:$E$1004,$T1791)="","",INDEX('AFA Rates'!$E$5:$E$1004,$T1791))))</f>
        <v/>
      </c>
      <c r="H1791" s="50">
        <f>IF($T1791="","",IF($S1791="S",IF(INDEX(Firms!$G$5:$G$1004,$T1791)="","",INDEX(Firms!$G$5:$G$1004,$T1791)),IF(INDEX('AFA Rates'!$F$5:$F$1004,$T1791)="","",INDEX('AFA Rates'!$F$5:$F$1004,$T1791))))</f>
        <v/>
      </c>
      <c r="I1791" s="50">
        <f>IF($T1791="","",IF($S1791="S",IF(INDEX(Firms!$H$5:$H$1004,$T1791)="","",INDEX(Firms!$H$5:$H$1004,$T1791)),IF(INDEX('AFA Rates'!$G$5:$G$1004,$T1791)="","",INDEX('AFA Rates'!$G$5:$G$1004,$T1791))))</f>
        <v/>
      </c>
      <c r="J1791" s="50">
        <f>IF($T1791="","",IF($S1791="S",IF(INDEX(Firms!$I$5:$I$1004,$T1791)="","",INDEX(Firms!$I$5:$I$1004,$T1791)),IF(INDEX('AFA Rates'!$H$5:$H$1004,$T1791)="","",INDEX('AFA Rates'!$H$5:$H$1004,$T1791))))</f>
        <v/>
      </c>
      <c r="K1791" s="50">
        <f>IF($T1791="","",IF($S1791="S",IF(INDEX(Firms!$J$5:$J$1004,$T1791)="","",INDEX(Firms!$J$5:$J$1004,$T1791)),IF(INDEX('AFA Rates'!$I$5:$I$1004,$T1791)="","",INDEX('AFA Rates'!$I$5:$I$1004,$T1791))))</f>
        <v/>
      </c>
      <c r="L1791" s="50">
        <f>IF($T1791="","",IF($S1791="S",IF(INDEX(Firms!$K$5:$K$1004,$T1791)="","",INDEX(Firms!$K$5:$K$1004,$T1791)),IF(INDEX('AFA Rates'!$J$5:$J$1004,$T1791)="","",INDEX('AFA Rates'!$J$5:$J$1004,$T1791))))</f>
        <v/>
      </c>
      <c r="M1791" s="50">
        <f>IF($T1791="","",IF($S1791="S",IF(INDEX(Firms!$L$5:$L$1004,$T1791)="","",INDEX(Firms!$L$5:$L$1004,$T1791)),IF(INDEX('AFA Rates'!$K$5:$K$1004,$T1791)="","",INDEX('AFA Rates'!$K$5:$K$1004,$T1791))))</f>
        <v/>
      </c>
      <c r="N1791" s="50">
        <f>IF($T1791="","",IF($S1791="S",IF(INDEX(Firms!$M$5:$M$1004,$T1791)="","",INDEX(Firms!$M$5:$M$1004,$T1791)),IF(INDEX('AFA Rates'!$L$5:$L$1004,$T1791)="","",INDEX('AFA Rates'!$L$5:$L$1004,$T1791))))</f>
        <v/>
      </c>
      <c r="O1791" s="78">
        <f>IF(OR($T1791="",$U1791=""),"",IF(INDEX(Firms!$C$5:$C$1004,$U1791)="","",INDEX(Firms!$C$5:$C$1004,$U1791)))</f>
        <v/>
      </c>
      <c r="P1791" s="79">
        <f>IF(OR($T1791="",$U1791=""),"",IF(INDEX(Firms!$N$5:$N$1004,$U1791)="","",INDEX(Firms!$N$5:$N$1004,$U1791)))</f>
        <v/>
      </c>
      <c r="Q1791" s="78">
        <f>IF($T1791="","",IF($S1791="S",IF(INDEX(Firms!$T$5:$T$1004,$T1791)="","",INDEX(Firms!$T$5:$T$1004,$T1791)),IF(INDEX('AFA Rates'!$M$5:$M$1004,$T1791)="","",INDEX('AFA Rates'!$M$5:$M$1004,$T1791))))</f>
        <v/>
      </c>
      <c r="S1791">
        <f>IF(1787&lt;=$S$2,"S",IF(1787&lt;=$S$2+$T$2,"A",""))</f>
        <v/>
      </c>
      <c r="T1791">
        <f>IF(S1791="S",MATCH(1787,Firms!$W$5:$W$1004,0),IF(S1791="A",IFERROR(MATCH(1787-$S$2,'AFA Rates'!$R$5:$R$1004,0),""),""))</f>
        <v/>
      </c>
      <c r="U1791">
        <f>IF(S1791="S",T1791,IF(AND(S1791="A",T1791&lt;&gt;""),IFERROR(MATCH(INDEX('AFA Rates'!$A$5:$A$1004,T1791),Firms!$A$5:$A$1004,0),""),""))</f>
        <v/>
      </c>
    </row>
    <row r="1792">
      <c r="A1792" s="78">
        <f>IF($T1792="","",IF($S1792="S",IF(INDEX(Firms!$A$5:$A$1004,$T1792)="","",INDEX(Firms!$A$5:$A$1004,$T1792)),IF(INDEX('AFA Rates'!$A$5:$A$1004,$T1792)="","",INDEX('AFA Rates'!$A$5:$A$1004,$T1792))))</f>
        <v/>
      </c>
      <c r="B1792" s="79">
        <f>IF(OR($T1792="",$U1792=""),IF($T1792="","","Not on Firms tab"),INDEX(Firms!$B$5:$B$1004,$U1792)&amp;"")</f>
        <v/>
      </c>
      <c r="C1792" s="78">
        <f>IF($T1792="","",IF($S1792="S","Standard",INDEX('AFA Rates'!$B$5:$B$1004,$T1792)&amp;""))</f>
        <v/>
      </c>
      <c r="D1792" s="88">
        <f>IF($T1792="","",IF($S1792="S",IF(INDEX(Firms!$E$5:$E$1004,$T1792)="","",INDEX(Firms!$E$5:$E$1004,$T1792)),IF(INDEX('AFA Rates'!$C$5:$C$1004,$T1792)="","",INDEX('AFA Rates'!$C$5:$C$1004,$T1792))))</f>
        <v/>
      </c>
      <c r="E1792" s="88">
        <f>IF($T1792="","",IF($S1792="S",IF(""="","",""),IF(INDEX('AFA Rates'!$D$5:$D$1004,$T1792)="","",INDEX('AFA Rates'!$D$5:$D$1004,$T1792))))</f>
        <v/>
      </c>
      <c r="F1792" s="79">
        <f>IF($T1792="","",IF($S1792="S",IF(INDEX(Firms!$O$5:$O$1004,$T1792)="","",INDEX(Firms!$O$5:$O$1004,$T1792)),IF(INDEX('AFA Rates'!$O$5:$O$1004,$T1792)="","",INDEX('AFA Rates'!$O$5:$O$1004,$T1792))))</f>
        <v/>
      </c>
      <c r="G1792" s="50">
        <f>IF($T1792="","",IF($S1792="S",IF(INDEX(Firms!$F$5:$F$1004,$T1792)="","",INDEX(Firms!$F$5:$F$1004,$T1792)),IF(INDEX('AFA Rates'!$E$5:$E$1004,$T1792)="","",INDEX('AFA Rates'!$E$5:$E$1004,$T1792))))</f>
        <v/>
      </c>
      <c r="H1792" s="50">
        <f>IF($T1792="","",IF($S1792="S",IF(INDEX(Firms!$G$5:$G$1004,$T1792)="","",INDEX(Firms!$G$5:$G$1004,$T1792)),IF(INDEX('AFA Rates'!$F$5:$F$1004,$T1792)="","",INDEX('AFA Rates'!$F$5:$F$1004,$T1792))))</f>
        <v/>
      </c>
      <c r="I1792" s="50">
        <f>IF($T1792="","",IF($S1792="S",IF(INDEX(Firms!$H$5:$H$1004,$T1792)="","",INDEX(Firms!$H$5:$H$1004,$T1792)),IF(INDEX('AFA Rates'!$G$5:$G$1004,$T1792)="","",INDEX('AFA Rates'!$G$5:$G$1004,$T1792))))</f>
        <v/>
      </c>
      <c r="J1792" s="50">
        <f>IF($T1792="","",IF($S1792="S",IF(INDEX(Firms!$I$5:$I$1004,$T1792)="","",INDEX(Firms!$I$5:$I$1004,$T1792)),IF(INDEX('AFA Rates'!$H$5:$H$1004,$T1792)="","",INDEX('AFA Rates'!$H$5:$H$1004,$T1792))))</f>
        <v/>
      </c>
      <c r="K1792" s="50">
        <f>IF($T1792="","",IF($S1792="S",IF(INDEX(Firms!$J$5:$J$1004,$T1792)="","",INDEX(Firms!$J$5:$J$1004,$T1792)),IF(INDEX('AFA Rates'!$I$5:$I$1004,$T1792)="","",INDEX('AFA Rates'!$I$5:$I$1004,$T1792))))</f>
        <v/>
      </c>
      <c r="L1792" s="50">
        <f>IF($T1792="","",IF($S1792="S",IF(INDEX(Firms!$K$5:$K$1004,$T1792)="","",INDEX(Firms!$K$5:$K$1004,$T1792)),IF(INDEX('AFA Rates'!$J$5:$J$1004,$T1792)="","",INDEX('AFA Rates'!$J$5:$J$1004,$T1792))))</f>
        <v/>
      </c>
      <c r="M1792" s="50">
        <f>IF($T1792="","",IF($S1792="S",IF(INDEX(Firms!$L$5:$L$1004,$T1792)="","",INDEX(Firms!$L$5:$L$1004,$T1792)),IF(INDEX('AFA Rates'!$K$5:$K$1004,$T1792)="","",INDEX('AFA Rates'!$K$5:$K$1004,$T1792))))</f>
        <v/>
      </c>
      <c r="N1792" s="50">
        <f>IF($T1792="","",IF($S1792="S",IF(INDEX(Firms!$M$5:$M$1004,$T1792)="","",INDEX(Firms!$M$5:$M$1004,$T1792)),IF(INDEX('AFA Rates'!$L$5:$L$1004,$T1792)="","",INDEX('AFA Rates'!$L$5:$L$1004,$T1792))))</f>
        <v/>
      </c>
      <c r="O1792" s="78">
        <f>IF(OR($T1792="",$U1792=""),"",IF(INDEX(Firms!$C$5:$C$1004,$U1792)="","",INDEX(Firms!$C$5:$C$1004,$U1792)))</f>
        <v/>
      </c>
      <c r="P1792" s="79">
        <f>IF(OR($T1792="",$U1792=""),"",IF(INDEX(Firms!$N$5:$N$1004,$U1792)="","",INDEX(Firms!$N$5:$N$1004,$U1792)))</f>
        <v/>
      </c>
      <c r="Q1792" s="78">
        <f>IF($T1792="","",IF($S1792="S",IF(INDEX(Firms!$T$5:$T$1004,$T1792)="","",INDEX(Firms!$T$5:$T$1004,$T1792)),IF(INDEX('AFA Rates'!$M$5:$M$1004,$T1792)="","",INDEX('AFA Rates'!$M$5:$M$1004,$T1792))))</f>
        <v/>
      </c>
      <c r="S1792">
        <f>IF(1788&lt;=$S$2,"S",IF(1788&lt;=$S$2+$T$2,"A",""))</f>
        <v/>
      </c>
      <c r="T1792">
        <f>IF(S1792="S",MATCH(1788,Firms!$W$5:$W$1004,0),IF(S1792="A",IFERROR(MATCH(1788-$S$2,'AFA Rates'!$R$5:$R$1004,0),""),""))</f>
        <v/>
      </c>
      <c r="U1792">
        <f>IF(S1792="S",T1792,IF(AND(S1792="A",T1792&lt;&gt;""),IFERROR(MATCH(INDEX('AFA Rates'!$A$5:$A$1004,T1792),Firms!$A$5:$A$1004,0),""),""))</f>
        <v/>
      </c>
    </row>
    <row r="1793">
      <c r="A1793" s="78">
        <f>IF($T1793="","",IF($S1793="S",IF(INDEX(Firms!$A$5:$A$1004,$T1793)="","",INDEX(Firms!$A$5:$A$1004,$T1793)),IF(INDEX('AFA Rates'!$A$5:$A$1004,$T1793)="","",INDEX('AFA Rates'!$A$5:$A$1004,$T1793))))</f>
        <v/>
      </c>
      <c r="B1793" s="79">
        <f>IF(OR($T1793="",$U1793=""),IF($T1793="","","Not on Firms tab"),INDEX(Firms!$B$5:$B$1004,$U1793)&amp;"")</f>
        <v/>
      </c>
      <c r="C1793" s="78">
        <f>IF($T1793="","",IF($S1793="S","Standard",INDEX('AFA Rates'!$B$5:$B$1004,$T1793)&amp;""))</f>
        <v/>
      </c>
      <c r="D1793" s="88">
        <f>IF($T1793="","",IF($S1793="S",IF(INDEX(Firms!$E$5:$E$1004,$T1793)="","",INDEX(Firms!$E$5:$E$1004,$T1793)),IF(INDEX('AFA Rates'!$C$5:$C$1004,$T1793)="","",INDEX('AFA Rates'!$C$5:$C$1004,$T1793))))</f>
        <v/>
      </c>
      <c r="E1793" s="88">
        <f>IF($T1793="","",IF($S1793="S",IF(""="","",""),IF(INDEX('AFA Rates'!$D$5:$D$1004,$T1793)="","",INDEX('AFA Rates'!$D$5:$D$1004,$T1793))))</f>
        <v/>
      </c>
      <c r="F1793" s="79">
        <f>IF($T1793="","",IF($S1793="S",IF(INDEX(Firms!$O$5:$O$1004,$T1793)="","",INDEX(Firms!$O$5:$O$1004,$T1793)),IF(INDEX('AFA Rates'!$O$5:$O$1004,$T1793)="","",INDEX('AFA Rates'!$O$5:$O$1004,$T1793))))</f>
        <v/>
      </c>
      <c r="G1793" s="50">
        <f>IF($T1793="","",IF($S1793="S",IF(INDEX(Firms!$F$5:$F$1004,$T1793)="","",INDEX(Firms!$F$5:$F$1004,$T1793)),IF(INDEX('AFA Rates'!$E$5:$E$1004,$T1793)="","",INDEX('AFA Rates'!$E$5:$E$1004,$T1793))))</f>
        <v/>
      </c>
      <c r="H1793" s="50">
        <f>IF($T1793="","",IF($S1793="S",IF(INDEX(Firms!$G$5:$G$1004,$T1793)="","",INDEX(Firms!$G$5:$G$1004,$T1793)),IF(INDEX('AFA Rates'!$F$5:$F$1004,$T1793)="","",INDEX('AFA Rates'!$F$5:$F$1004,$T1793))))</f>
        <v/>
      </c>
      <c r="I1793" s="50">
        <f>IF($T1793="","",IF($S1793="S",IF(INDEX(Firms!$H$5:$H$1004,$T1793)="","",INDEX(Firms!$H$5:$H$1004,$T1793)),IF(INDEX('AFA Rates'!$G$5:$G$1004,$T1793)="","",INDEX('AFA Rates'!$G$5:$G$1004,$T1793))))</f>
        <v/>
      </c>
      <c r="J1793" s="50">
        <f>IF($T1793="","",IF($S1793="S",IF(INDEX(Firms!$I$5:$I$1004,$T1793)="","",INDEX(Firms!$I$5:$I$1004,$T1793)),IF(INDEX('AFA Rates'!$H$5:$H$1004,$T1793)="","",INDEX('AFA Rates'!$H$5:$H$1004,$T1793))))</f>
        <v/>
      </c>
      <c r="K1793" s="50">
        <f>IF($T1793="","",IF($S1793="S",IF(INDEX(Firms!$J$5:$J$1004,$T1793)="","",INDEX(Firms!$J$5:$J$1004,$T1793)),IF(INDEX('AFA Rates'!$I$5:$I$1004,$T1793)="","",INDEX('AFA Rates'!$I$5:$I$1004,$T1793))))</f>
        <v/>
      </c>
      <c r="L1793" s="50">
        <f>IF($T1793="","",IF($S1793="S",IF(INDEX(Firms!$K$5:$K$1004,$T1793)="","",INDEX(Firms!$K$5:$K$1004,$T1793)),IF(INDEX('AFA Rates'!$J$5:$J$1004,$T1793)="","",INDEX('AFA Rates'!$J$5:$J$1004,$T1793))))</f>
        <v/>
      </c>
      <c r="M1793" s="50">
        <f>IF($T1793="","",IF($S1793="S",IF(INDEX(Firms!$L$5:$L$1004,$T1793)="","",INDEX(Firms!$L$5:$L$1004,$T1793)),IF(INDEX('AFA Rates'!$K$5:$K$1004,$T1793)="","",INDEX('AFA Rates'!$K$5:$K$1004,$T1793))))</f>
        <v/>
      </c>
      <c r="N1793" s="50">
        <f>IF($T1793="","",IF($S1793="S",IF(INDEX(Firms!$M$5:$M$1004,$T1793)="","",INDEX(Firms!$M$5:$M$1004,$T1793)),IF(INDEX('AFA Rates'!$L$5:$L$1004,$T1793)="","",INDEX('AFA Rates'!$L$5:$L$1004,$T1793))))</f>
        <v/>
      </c>
      <c r="O1793" s="78">
        <f>IF(OR($T1793="",$U1793=""),"",IF(INDEX(Firms!$C$5:$C$1004,$U1793)="","",INDEX(Firms!$C$5:$C$1004,$U1793)))</f>
        <v/>
      </c>
      <c r="P1793" s="79">
        <f>IF(OR($T1793="",$U1793=""),"",IF(INDEX(Firms!$N$5:$N$1004,$U1793)="","",INDEX(Firms!$N$5:$N$1004,$U1793)))</f>
        <v/>
      </c>
      <c r="Q1793" s="78">
        <f>IF($T1793="","",IF($S1793="S",IF(INDEX(Firms!$T$5:$T$1004,$T1793)="","",INDEX(Firms!$T$5:$T$1004,$T1793)),IF(INDEX('AFA Rates'!$M$5:$M$1004,$T1793)="","",INDEX('AFA Rates'!$M$5:$M$1004,$T1793))))</f>
        <v/>
      </c>
      <c r="S1793">
        <f>IF(1789&lt;=$S$2,"S",IF(1789&lt;=$S$2+$T$2,"A",""))</f>
        <v/>
      </c>
      <c r="T1793">
        <f>IF(S1793="S",MATCH(1789,Firms!$W$5:$W$1004,0),IF(S1793="A",IFERROR(MATCH(1789-$S$2,'AFA Rates'!$R$5:$R$1004,0),""),""))</f>
        <v/>
      </c>
      <c r="U1793">
        <f>IF(S1793="S",T1793,IF(AND(S1793="A",T1793&lt;&gt;""),IFERROR(MATCH(INDEX('AFA Rates'!$A$5:$A$1004,T1793),Firms!$A$5:$A$1004,0),""),""))</f>
        <v/>
      </c>
    </row>
    <row r="1794">
      <c r="A1794" s="78">
        <f>IF($T1794="","",IF($S1794="S",IF(INDEX(Firms!$A$5:$A$1004,$T1794)="","",INDEX(Firms!$A$5:$A$1004,$T1794)),IF(INDEX('AFA Rates'!$A$5:$A$1004,$T1794)="","",INDEX('AFA Rates'!$A$5:$A$1004,$T1794))))</f>
        <v/>
      </c>
      <c r="B1794" s="79">
        <f>IF(OR($T1794="",$U1794=""),IF($T1794="","","Not on Firms tab"),INDEX(Firms!$B$5:$B$1004,$U1794)&amp;"")</f>
        <v/>
      </c>
      <c r="C1794" s="78">
        <f>IF($T1794="","",IF($S1794="S","Standard",INDEX('AFA Rates'!$B$5:$B$1004,$T1794)&amp;""))</f>
        <v/>
      </c>
      <c r="D1794" s="88">
        <f>IF($T1794="","",IF($S1794="S",IF(INDEX(Firms!$E$5:$E$1004,$T1794)="","",INDEX(Firms!$E$5:$E$1004,$T1794)),IF(INDEX('AFA Rates'!$C$5:$C$1004,$T1794)="","",INDEX('AFA Rates'!$C$5:$C$1004,$T1794))))</f>
        <v/>
      </c>
      <c r="E1794" s="88">
        <f>IF($T1794="","",IF($S1794="S",IF(""="","",""),IF(INDEX('AFA Rates'!$D$5:$D$1004,$T1794)="","",INDEX('AFA Rates'!$D$5:$D$1004,$T1794))))</f>
        <v/>
      </c>
      <c r="F1794" s="79">
        <f>IF($T1794="","",IF($S1794="S",IF(INDEX(Firms!$O$5:$O$1004,$T1794)="","",INDEX(Firms!$O$5:$O$1004,$T1794)),IF(INDEX('AFA Rates'!$O$5:$O$1004,$T1794)="","",INDEX('AFA Rates'!$O$5:$O$1004,$T1794))))</f>
        <v/>
      </c>
      <c r="G1794" s="50">
        <f>IF($T1794="","",IF($S1794="S",IF(INDEX(Firms!$F$5:$F$1004,$T1794)="","",INDEX(Firms!$F$5:$F$1004,$T1794)),IF(INDEX('AFA Rates'!$E$5:$E$1004,$T1794)="","",INDEX('AFA Rates'!$E$5:$E$1004,$T1794))))</f>
        <v/>
      </c>
      <c r="H1794" s="50">
        <f>IF($T1794="","",IF($S1794="S",IF(INDEX(Firms!$G$5:$G$1004,$T1794)="","",INDEX(Firms!$G$5:$G$1004,$T1794)),IF(INDEX('AFA Rates'!$F$5:$F$1004,$T1794)="","",INDEX('AFA Rates'!$F$5:$F$1004,$T1794))))</f>
        <v/>
      </c>
      <c r="I1794" s="50">
        <f>IF($T1794="","",IF($S1794="S",IF(INDEX(Firms!$H$5:$H$1004,$T1794)="","",INDEX(Firms!$H$5:$H$1004,$T1794)),IF(INDEX('AFA Rates'!$G$5:$G$1004,$T1794)="","",INDEX('AFA Rates'!$G$5:$G$1004,$T1794))))</f>
        <v/>
      </c>
      <c r="J1794" s="50">
        <f>IF($T1794="","",IF($S1794="S",IF(INDEX(Firms!$I$5:$I$1004,$T1794)="","",INDEX(Firms!$I$5:$I$1004,$T1794)),IF(INDEX('AFA Rates'!$H$5:$H$1004,$T1794)="","",INDEX('AFA Rates'!$H$5:$H$1004,$T1794))))</f>
        <v/>
      </c>
      <c r="K1794" s="50">
        <f>IF($T1794="","",IF($S1794="S",IF(INDEX(Firms!$J$5:$J$1004,$T1794)="","",INDEX(Firms!$J$5:$J$1004,$T1794)),IF(INDEX('AFA Rates'!$I$5:$I$1004,$T1794)="","",INDEX('AFA Rates'!$I$5:$I$1004,$T1794))))</f>
        <v/>
      </c>
      <c r="L1794" s="50">
        <f>IF($T1794="","",IF($S1794="S",IF(INDEX(Firms!$K$5:$K$1004,$T1794)="","",INDEX(Firms!$K$5:$K$1004,$T1794)),IF(INDEX('AFA Rates'!$J$5:$J$1004,$T1794)="","",INDEX('AFA Rates'!$J$5:$J$1004,$T1794))))</f>
        <v/>
      </c>
      <c r="M1794" s="50">
        <f>IF($T1794="","",IF($S1794="S",IF(INDEX(Firms!$L$5:$L$1004,$T1794)="","",INDEX(Firms!$L$5:$L$1004,$T1794)),IF(INDEX('AFA Rates'!$K$5:$K$1004,$T1794)="","",INDEX('AFA Rates'!$K$5:$K$1004,$T1794))))</f>
        <v/>
      </c>
      <c r="N1794" s="50">
        <f>IF($T1794="","",IF($S1794="S",IF(INDEX(Firms!$M$5:$M$1004,$T1794)="","",INDEX(Firms!$M$5:$M$1004,$T1794)),IF(INDEX('AFA Rates'!$L$5:$L$1004,$T1794)="","",INDEX('AFA Rates'!$L$5:$L$1004,$T1794))))</f>
        <v/>
      </c>
      <c r="O1794" s="78">
        <f>IF(OR($T1794="",$U1794=""),"",IF(INDEX(Firms!$C$5:$C$1004,$U1794)="","",INDEX(Firms!$C$5:$C$1004,$U1794)))</f>
        <v/>
      </c>
      <c r="P1794" s="79">
        <f>IF(OR($T1794="",$U1794=""),"",IF(INDEX(Firms!$N$5:$N$1004,$U1794)="","",INDEX(Firms!$N$5:$N$1004,$U1794)))</f>
        <v/>
      </c>
      <c r="Q1794" s="78">
        <f>IF($T1794="","",IF($S1794="S",IF(INDEX(Firms!$T$5:$T$1004,$T1794)="","",INDEX(Firms!$T$5:$T$1004,$T1794)),IF(INDEX('AFA Rates'!$M$5:$M$1004,$T1794)="","",INDEX('AFA Rates'!$M$5:$M$1004,$T1794))))</f>
        <v/>
      </c>
      <c r="S1794">
        <f>IF(1790&lt;=$S$2,"S",IF(1790&lt;=$S$2+$T$2,"A",""))</f>
        <v/>
      </c>
      <c r="T1794">
        <f>IF(S1794="S",MATCH(1790,Firms!$W$5:$W$1004,0),IF(S1794="A",IFERROR(MATCH(1790-$S$2,'AFA Rates'!$R$5:$R$1004,0),""),""))</f>
        <v/>
      </c>
      <c r="U1794">
        <f>IF(S1794="S",T1794,IF(AND(S1794="A",T1794&lt;&gt;""),IFERROR(MATCH(INDEX('AFA Rates'!$A$5:$A$1004,T1794),Firms!$A$5:$A$1004,0),""),""))</f>
        <v/>
      </c>
    </row>
    <row r="1795">
      <c r="A1795" s="78">
        <f>IF($T1795="","",IF($S1795="S",IF(INDEX(Firms!$A$5:$A$1004,$T1795)="","",INDEX(Firms!$A$5:$A$1004,$T1795)),IF(INDEX('AFA Rates'!$A$5:$A$1004,$T1795)="","",INDEX('AFA Rates'!$A$5:$A$1004,$T1795))))</f>
        <v/>
      </c>
      <c r="B1795" s="79">
        <f>IF(OR($T1795="",$U1795=""),IF($T1795="","","Not on Firms tab"),INDEX(Firms!$B$5:$B$1004,$U1795)&amp;"")</f>
        <v/>
      </c>
      <c r="C1795" s="78">
        <f>IF($T1795="","",IF($S1795="S","Standard",INDEX('AFA Rates'!$B$5:$B$1004,$T1795)&amp;""))</f>
        <v/>
      </c>
      <c r="D1795" s="88">
        <f>IF($T1795="","",IF($S1795="S",IF(INDEX(Firms!$E$5:$E$1004,$T1795)="","",INDEX(Firms!$E$5:$E$1004,$T1795)),IF(INDEX('AFA Rates'!$C$5:$C$1004,$T1795)="","",INDEX('AFA Rates'!$C$5:$C$1004,$T1795))))</f>
        <v/>
      </c>
      <c r="E1795" s="88">
        <f>IF($T1795="","",IF($S1795="S",IF(""="","",""),IF(INDEX('AFA Rates'!$D$5:$D$1004,$T1795)="","",INDEX('AFA Rates'!$D$5:$D$1004,$T1795))))</f>
        <v/>
      </c>
      <c r="F1795" s="79">
        <f>IF($T1795="","",IF($S1795="S",IF(INDEX(Firms!$O$5:$O$1004,$T1795)="","",INDEX(Firms!$O$5:$O$1004,$T1795)),IF(INDEX('AFA Rates'!$O$5:$O$1004,$T1795)="","",INDEX('AFA Rates'!$O$5:$O$1004,$T1795))))</f>
        <v/>
      </c>
      <c r="G1795" s="50">
        <f>IF($T1795="","",IF($S1795="S",IF(INDEX(Firms!$F$5:$F$1004,$T1795)="","",INDEX(Firms!$F$5:$F$1004,$T1795)),IF(INDEX('AFA Rates'!$E$5:$E$1004,$T1795)="","",INDEX('AFA Rates'!$E$5:$E$1004,$T1795))))</f>
        <v/>
      </c>
      <c r="H1795" s="50">
        <f>IF($T1795="","",IF($S1795="S",IF(INDEX(Firms!$G$5:$G$1004,$T1795)="","",INDEX(Firms!$G$5:$G$1004,$T1795)),IF(INDEX('AFA Rates'!$F$5:$F$1004,$T1795)="","",INDEX('AFA Rates'!$F$5:$F$1004,$T1795))))</f>
        <v/>
      </c>
      <c r="I1795" s="50">
        <f>IF($T1795="","",IF($S1795="S",IF(INDEX(Firms!$H$5:$H$1004,$T1795)="","",INDEX(Firms!$H$5:$H$1004,$T1795)),IF(INDEX('AFA Rates'!$G$5:$G$1004,$T1795)="","",INDEX('AFA Rates'!$G$5:$G$1004,$T1795))))</f>
        <v/>
      </c>
      <c r="J1795" s="50">
        <f>IF($T1795="","",IF($S1795="S",IF(INDEX(Firms!$I$5:$I$1004,$T1795)="","",INDEX(Firms!$I$5:$I$1004,$T1795)),IF(INDEX('AFA Rates'!$H$5:$H$1004,$T1795)="","",INDEX('AFA Rates'!$H$5:$H$1004,$T1795))))</f>
        <v/>
      </c>
      <c r="K1795" s="50">
        <f>IF($T1795="","",IF($S1795="S",IF(INDEX(Firms!$J$5:$J$1004,$T1795)="","",INDEX(Firms!$J$5:$J$1004,$T1795)),IF(INDEX('AFA Rates'!$I$5:$I$1004,$T1795)="","",INDEX('AFA Rates'!$I$5:$I$1004,$T1795))))</f>
        <v/>
      </c>
      <c r="L1795" s="50">
        <f>IF($T1795="","",IF($S1795="S",IF(INDEX(Firms!$K$5:$K$1004,$T1795)="","",INDEX(Firms!$K$5:$K$1004,$T1795)),IF(INDEX('AFA Rates'!$J$5:$J$1004,$T1795)="","",INDEX('AFA Rates'!$J$5:$J$1004,$T1795))))</f>
        <v/>
      </c>
      <c r="M1795" s="50">
        <f>IF($T1795="","",IF($S1795="S",IF(INDEX(Firms!$L$5:$L$1004,$T1795)="","",INDEX(Firms!$L$5:$L$1004,$T1795)),IF(INDEX('AFA Rates'!$K$5:$K$1004,$T1795)="","",INDEX('AFA Rates'!$K$5:$K$1004,$T1795))))</f>
        <v/>
      </c>
      <c r="N1795" s="50">
        <f>IF($T1795="","",IF($S1795="S",IF(INDEX(Firms!$M$5:$M$1004,$T1795)="","",INDEX(Firms!$M$5:$M$1004,$T1795)),IF(INDEX('AFA Rates'!$L$5:$L$1004,$T1795)="","",INDEX('AFA Rates'!$L$5:$L$1004,$T1795))))</f>
        <v/>
      </c>
      <c r="O1795" s="78">
        <f>IF(OR($T1795="",$U1795=""),"",IF(INDEX(Firms!$C$5:$C$1004,$U1795)="","",INDEX(Firms!$C$5:$C$1004,$U1795)))</f>
        <v/>
      </c>
      <c r="P1795" s="79">
        <f>IF(OR($T1795="",$U1795=""),"",IF(INDEX(Firms!$N$5:$N$1004,$U1795)="","",INDEX(Firms!$N$5:$N$1004,$U1795)))</f>
        <v/>
      </c>
      <c r="Q1795" s="78">
        <f>IF($T1795="","",IF($S1795="S",IF(INDEX(Firms!$T$5:$T$1004,$T1795)="","",INDEX(Firms!$T$5:$T$1004,$T1795)),IF(INDEX('AFA Rates'!$M$5:$M$1004,$T1795)="","",INDEX('AFA Rates'!$M$5:$M$1004,$T1795))))</f>
        <v/>
      </c>
      <c r="S1795">
        <f>IF(1791&lt;=$S$2,"S",IF(1791&lt;=$S$2+$T$2,"A",""))</f>
        <v/>
      </c>
      <c r="T1795">
        <f>IF(S1795="S",MATCH(1791,Firms!$W$5:$W$1004,0),IF(S1795="A",IFERROR(MATCH(1791-$S$2,'AFA Rates'!$R$5:$R$1004,0),""),""))</f>
        <v/>
      </c>
      <c r="U1795">
        <f>IF(S1795="S",T1795,IF(AND(S1795="A",T1795&lt;&gt;""),IFERROR(MATCH(INDEX('AFA Rates'!$A$5:$A$1004,T1795),Firms!$A$5:$A$1004,0),""),""))</f>
        <v/>
      </c>
    </row>
    <row r="1796">
      <c r="A1796" s="78">
        <f>IF($T1796="","",IF($S1796="S",IF(INDEX(Firms!$A$5:$A$1004,$T1796)="","",INDEX(Firms!$A$5:$A$1004,$T1796)),IF(INDEX('AFA Rates'!$A$5:$A$1004,$T1796)="","",INDEX('AFA Rates'!$A$5:$A$1004,$T1796))))</f>
        <v/>
      </c>
      <c r="B1796" s="79">
        <f>IF(OR($T1796="",$U1796=""),IF($T1796="","","Not on Firms tab"),INDEX(Firms!$B$5:$B$1004,$U1796)&amp;"")</f>
        <v/>
      </c>
      <c r="C1796" s="78">
        <f>IF($T1796="","",IF($S1796="S","Standard",INDEX('AFA Rates'!$B$5:$B$1004,$T1796)&amp;""))</f>
        <v/>
      </c>
      <c r="D1796" s="88">
        <f>IF($T1796="","",IF($S1796="S",IF(INDEX(Firms!$E$5:$E$1004,$T1796)="","",INDEX(Firms!$E$5:$E$1004,$T1796)),IF(INDEX('AFA Rates'!$C$5:$C$1004,$T1796)="","",INDEX('AFA Rates'!$C$5:$C$1004,$T1796))))</f>
        <v/>
      </c>
      <c r="E1796" s="88">
        <f>IF($T1796="","",IF($S1796="S",IF(""="","",""),IF(INDEX('AFA Rates'!$D$5:$D$1004,$T1796)="","",INDEX('AFA Rates'!$D$5:$D$1004,$T1796))))</f>
        <v/>
      </c>
      <c r="F1796" s="79">
        <f>IF($T1796="","",IF($S1796="S",IF(INDEX(Firms!$O$5:$O$1004,$T1796)="","",INDEX(Firms!$O$5:$O$1004,$T1796)),IF(INDEX('AFA Rates'!$O$5:$O$1004,$T1796)="","",INDEX('AFA Rates'!$O$5:$O$1004,$T1796))))</f>
        <v/>
      </c>
      <c r="G1796" s="50">
        <f>IF($T1796="","",IF($S1796="S",IF(INDEX(Firms!$F$5:$F$1004,$T1796)="","",INDEX(Firms!$F$5:$F$1004,$T1796)),IF(INDEX('AFA Rates'!$E$5:$E$1004,$T1796)="","",INDEX('AFA Rates'!$E$5:$E$1004,$T1796))))</f>
        <v/>
      </c>
      <c r="H1796" s="50">
        <f>IF($T1796="","",IF($S1796="S",IF(INDEX(Firms!$G$5:$G$1004,$T1796)="","",INDEX(Firms!$G$5:$G$1004,$T1796)),IF(INDEX('AFA Rates'!$F$5:$F$1004,$T1796)="","",INDEX('AFA Rates'!$F$5:$F$1004,$T1796))))</f>
        <v/>
      </c>
      <c r="I1796" s="50">
        <f>IF($T1796="","",IF($S1796="S",IF(INDEX(Firms!$H$5:$H$1004,$T1796)="","",INDEX(Firms!$H$5:$H$1004,$T1796)),IF(INDEX('AFA Rates'!$G$5:$G$1004,$T1796)="","",INDEX('AFA Rates'!$G$5:$G$1004,$T1796))))</f>
        <v/>
      </c>
      <c r="J1796" s="50">
        <f>IF($T1796="","",IF($S1796="S",IF(INDEX(Firms!$I$5:$I$1004,$T1796)="","",INDEX(Firms!$I$5:$I$1004,$T1796)),IF(INDEX('AFA Rates'!$H$5:$H$1004,$T1796)="","",INDEX('AFA Rates'!$H$5:$H$1004,$T1796))))</f>
        <v/>
      </c>
      <c r="K1796" s="50">
        <f>IF($T1796="","",IF($S1796="S",IF(INDEX(Firms!$J$5:$J$1004,$T1796)="","",INDEX(Firms!$J$5:$J$1004,$T1796)),IF(INDEX('AFA Rates'!$I$5:$I$1004,$T1796)="","",INDEX('AFA Rates'!$I$5:$I$1004,$T1796))))</f>
        <v/>
      </c>
      <c r="L1796" s="50">
        <f>IF($T1796="","",IF($S1796="S",IF(INDEX(Firms!$K$5:$K$1004,$T1796)="","",INDEX(Firms!$K$5:$K$1004,$T1796)),IF(INDEX('AFA Rates'!$J$5:$J$1004,$T1796)="","",INDEX('AFA Rates'!$J$5:$J$1004,$T1796))))</f>
        <v/>
      </c>
      <c r="M1796" s="50">
        <f>IF($T1796="","",IF($S1796="S",IF(INDEX(Firms!$L$5:$L$1004,$T1796)="","",INDEX(Firms!$L$5:$L$1004,$T1796)),IF(INDEX('AFA Rates'!$K$5:$K$1004,$T1796)="","",INDEX('AFA Rates'!$K$5:$K$1004,$T1796))))</f>
        <v/>
      </c>
      <c r="N1796" s="50">
        <f>IF($T1796="","",IF($S1796="S",IF(INDEX(Firms!$M$5:$M$1004,$T1796)="","",INDEX(Firms!$M$5:$M$1004,$T1796)),IF(INDEX('AFA Rates'!$L$5:$L$1004,$T1796)="","",INDEX('AFA Rates'!$L$5:$L$1004,$T1796))))</f>
        <v/>
      </c>
      <c r="O1796" s="78">
        <f>IF(OR($T1796="",$U1796=""),"",IF(INDEX(Firms!$C$5:$C$1004,$U1796)="","",INDEX(Firms!$C$5:$C$1004,$U1796)))</f>
        <v/>
      </c>
      <c r="P1796" s="79">
        <f>IF(OR($T1796="",$U1796=""),"",IF(INDEX(Firms!$N$5:$N$1004,$U1796)="","",INDEX(Firms!$N$5:$N$1004,$U1796)))</f>
        <v/>
      </c>
      <c r="Q1796" s="78">
        <f>IF($T1796="","",IF($S1796="S",IF(INDEX(Firms!$T$5:$T$1004,$T1796)="","",INDEX(Firms!$T$5:$T$1004,$T1796)),IF(INDEX('AFA Rates'!$M$5:$M$1004,$T1796)="","",INDEX('AFA Rates'!$M$5:$M$1004,$T1796))))</f>
        <v/>
      </c>
      <c r="S1796">
        <f>IF(1792&lt;=$S$2,"S",IF(1792&lt;=$S$2+$T$2,"A",""))</f>
        <v/>
      </c>
      <c r="T1796">
        <f>IF(S1796="S",MATCH(1792,Firms!$W$5:$W$1004,0),IF(S1796="A",IFERROR(MATCH(1792-$S$2,'AFA Rates'!$R$5:$R$1004,0),""),""))</f>
        <v/>
      </c>
      <c r="U1796">
        <f>IF(S1796="S",T1796,IF(AND(S1796="A",T1796&lt;&gt;""),IFERROR(MATCH(INDEX('AFA Rates'!$A$5:$A$1004,T1796),Firms!$A$5:$A$1004,0),""),""))</f>
        <v/>
      </c>
    </row>
    <row r="1797">
      <c r="A1797" s="78">
        <f>IF($T1797="","",IF($S1797="S",IF(INDEX(Firms!$A$5:$A$1004,$T1797)="","",INDEX(Firms!$A$5:$A$1004,$T1797)),IF(INDEX('AFA Rates'!$A$5:$A$1004,$T1797)="","",INDEX('AFA Rates'!$A$5:$A$1004,$T1797))))</f>
        <v/>
      </c>
      <c r="B1797" s="79">
        <f>IF(OR($T1797="",$U1797=""),IF($T1797="","","Not on Firms tab"),INDEX(Firms!$B$5:$B$1004,$U1797)&amp;"")</f>
        <v/>
      </c>
      <c r="C1797" s="78">
        <f>IF($T1797="","",IF($S1797="S","Standard",INDEX('AFA Rates'!$B$5:$B$1004,$T1797)&amp;""))</f>
        <v/>
      </c>
      <c r="D1797" s="88">
        <f>IF($T1797="","",IF($S1797="S",IF(INDEX(Firms!$E$5:$E$1004,$T1797)="","",INDEX(Firms!$E$5:$E$1004,$T1797)),IF(INDEX('AFA Rates'!$C$5:$C$1004,$T1797)="","",INDEX('AFA Rates'!$C$5:$C$1004,$T1797))))</f>
        <v/>
      </c>
      <c r="E1797" s="88">
        <f>IF($T1797="","",IF($S1797="S",IF(""="","",""),IF(INDEX('AFA Rates'!$D$5:$D$1004,$T1797)="","",INDEX('AFA Rates'!$D$5:$D$1004,$T1797))))</f>
        <v/>
      </c>
      <c r="F1797" s="79">
        <f>IF($T1797="","",IF($S1797="S",IF(INDEX(Firms!$O$5:$O$1004,$T1797)="","",INDEX(Firms!$O$5:$O$1004,$T1797)),IF(INDEX('AFA Rates'!$O$5:$O$1004,$T1797)="","",INDEX('AFA Rates'!$O$5:$O$1004,$T1797))))</f>
        <v/>
      </c>
      <c r="G1797" s="50">
        <f>IF($T1797="","",IF($S1797="S",IF(INDEX(Firms!$F$5:$F$1004,$T1797)="","",INDEX(Firms!$F$5:$F$1004,$T1797)),IF(INDEX('AFA Rates'!$E$5:$E$1004,$T1797)="","",INDEX('AFA Rates'!$E$5:$E$1004,$T1797))))</f>
        <v/>
      </c>
      <c r="H1797" s="50">
        <f>IF($T1797="","",IF($S1797="S",IF(INDEX(Firms!$G$5:$G$1004,$T1797)="","",INDEX(Firms!$G$5:$G$1004,$T1797)),IF(INDEX('AFA Rates'!$F$5:$F$1004,$T1797)="","",INDEX('AFA Rates'!$F$5:$F$1004,$T1797))))</f>
        <v/>
      </c>
      <c r="I1797" s="50">
        <f>IF($T1797="","",IF($S1797="S",IF(INDEX(Firms!$H$5:$H$1004,$T1797)="","",INDEX(Firms!$H$5:$H$1004,$T1797)),IF(INDEX('AFA Rates'!$G$5:$G$1004,$T1797)="","",INDEX('AFA Rates'!$G$5:$G$1004,$T1797))))</f>
        <v/>
      </c>
      <c r="J1797" s="50">
        <f>IF($T1797="","",IF($S1797="S",IF(INDEX(Firms!$I$5:$I$1004,$T1797)="","",INDEX(Firms!$I$5:$I$1004,$T1797)),IF(INDEX('AFA Rates'!$H$5:$H$1004,$T1797)="","",INDEX('AFA Rates'!$H$5:$H$1004,$T1797))))</f>
        <v/>
      </c>
      <c r="K1797" s="50">
        <f>IF($T1797="","",IF($S1797="S",IF(INDEX(Firms!$J$5:$J$1004,$T1797)="","",INDEX(Firms!$J$5:$J$1004,$T1797)),IF(INDEX('AFA Rates'!$I$5:$I$1004,$T1797)="","",INDEX('AFA Rates'!$I$5:$I$1004,$T1797))))</f>
        <v/>
      </c>
      <c r="L1797" s="50">
        <f>IF($T1797="","",IF($S1797="S",IF(INDEX(Firms!$K$5:$K$1004,$T1797)="","",INDEX(Firms!$K$5:$K$1004,$T1797)),IF(INDEX('AFA Rates'!$J$5:$J$1004,$T1797)="","",INDEX('AFA Rates'!$J$5:$J$1004,$T1797))))</f>
        <v/>
      </c>
      <c r="M1797" s="50">
        <f>IF($T1797="","",IF($S1797="S",IF(INDEX(Firms!$L$5:$L$1004,$T1797)="","",INDEX(Firms!$L$5:$L$1004,$T1797)),IF(INDEX('AFA Rates'!$K$5:$K$1004,$T1797)="","",INDEX('AFA Rates'!$K$5:$K$1004,$T1797))))</f>
        <v/>
      </c>
      <c r="N1797" s="50">
        <f>IF($T1797="","",IF($S1797="S",IF(INDEX(Firms!$M$5:$M$1004,$T1797)="","",INDEX(Firms!$M$5:$M$1004,$T1797)),IF(INDEX('AFA Rates'!$L$5:$L$1004,$T1797)="","",INDEX('AFA Rates'!$L$5:$L$1004,$T1797))))</f>
        <v/>
      </c>
      <c r="O1797" s="78">
        <f>IF(OR($T1797="",$U1797=""),"",IF(INDEX(Firms!$C$5:$C$1004,$U1797)="","",INDEX(Firms!$C$5:$C$1004,$U1797)))</f>
        <v/>
      </c>
      <c r="P1797" s="79">
        <f>IF(OR($T1797="",$U1797=""),"",IF(INDEX(Firms!$N$5:$N$1004,$U1797)="","",INDEX(Firms!$N$5:$N$1004,$U1797)))</f>
        <v/>
      </c>
      <c r="Q1797" s="78">
        <f>IF($T1797="","",IF($S1797="S",IF(INDEX(Firms!$T$5:$T$1004,$T1797)="","",INDEX(Firms!$T$5:$T$1004,$T1797)),IF(INDEX('AFA Rates'!$M$5:$M$1004,$T1797)="","",INDEX('AFA Rates'!$M$5:$M$1004,$T1797))))</f>
        <v/>
      </c>
      <c r="S1797">
        <f>IF(1793&lt;=$S$2,"S",IF(1793&lt;=$S$2+$T$2,"A",""))</f>
        <v/>
      </c>
      <c r="T1797">
        <f>IF(S1797="S",MATCH(1793,Firms!$W$5:$W$1004,0),IF(S1797="A",IFERROR(MATCH(1793-$S$2,'AFA Rates'!$R$5:$R$1004,0),""),""))</f>
        <v/>
      </c>
      <c r="U1797">
        <f>IF(S1797="S",T1797,IF(AND(S1797="A",T1797&lt;&gt;""),IFERROR(MATCH(INDEX('AFA Rates'!$A$5:$A$1004,T1797),Firms!$A$5:$A$1004,0),""),""))</f>
        <v/>
      </c>
    </row>
    <row r="1798">
      <c r="A1798" s="78">
        <f>IF($T1798="","",IF($S1798="S",IF(INDEX(Firms!$A$5:$A$1004,$T1798)="","",INDEX(Firms!$A$5:$A$1004,$T1798)),IF(INDEX('AFA Rates'!$A$5:$A$1004,$T1798)="","",INDEX('AFA Rates'!$A$5:$A$1004,$T1798))))</f>
        <v/>
      </c>
      <c r="B1798" s="79">
        <f>IF(OR($T1798="",$U1798=""),IF($T1798="","","Not on Firms tab"),INDEX(Firms!$B$5:$B$1004,$U1798)&amp;"")</f>
        <v/>
      </c>
      <c r="C1798" s="78">
        <f>IF($T1798="","",IF($S1798="S","Standard",INDEX('AFA Rates'!$B$5:$B$1004,$T1798)&amp;""))</f>
        <v/>
      </c>
      <c r="D1798" s="88">
        <f>IF($T1798="","",IF($S1798="S",IF(INDEX(Firms!$E$5:$E$1004,$T1798)="","",INDEX(Firms!$E$5:$E$1004,$T1798)),IF(INDEX('AFA Rates'!$C$5:$C$1004,$T1798)="","",INDEX('AFA Rates'!$C$5:$C$1004,$T1798))))</f>
        <v/>
      </c>
      <c r="E1798" s="88">
        <f>IF($T1798="","",IF($S1798="S",IF(""="","",""),IF(INDEX('AFA Rates'!$D$5:$D$1004,$T1798)="","",INDEX('AFA Rates'!$D$5:$D$1004,$T1798))))</f>
        <v/>
      </c>
      <c r="F1798" s="79">
        <f>IF($T1798="","",IF($S1798="S",IF(INDEX(Firms!$O$5:$O$1004,$T1798)="","",INDEX(Firms!$O$5:$O$1004,$T1798)),IF(INDEX('AFA Rates'!$O$5:$O$1004,$T1798)="","",INDEX('AFA Rates'!$O$5:$O$1004,$T1798))))</f>
        <v/>
      </c>
      <c r="G1798" s="50">
        <f>IF($T1798="","",IF($S1798="S",IF(INDEX(Firms!$F$5:$F$1004,$T1798)="","",INDEX(Firms!$F$5:$F$1004,$T1798)),IF(INDEX('AFA Rates'!$E$5:$E$1004,$T1798)="","",INDEX('AFA Rates'!$E$5:$E$1004,$T1798))))</f>
        <v/>
      </c>
      <c r="H1798" s="50">
        <f>IF($T1798="","",IF($S1798="S",IF(INDEX(Firms!$G$5:$G$1004,$T1798)="","",INDEX(Firms!$G$5:$G$1004,$T1798)),IF(INDEX('AFA Rates'!$F$5:$F$1004,$T1798)="","",INDEX('AFA Rates'!$F$5:$F$1004,$T1798))))</f>
        <v/>
      </c>
      <c r="I1798" s="50">
        <f>IF($T1798="","",IF($S1798="S",IF(INDEX(Firms!$H$5:$H$1004,$T1798)="","",INDEX(Firms!$H$5:$H$1004,$T1798)),IF(INDEX('AFA Rates'!$G$5:$G$1004,$T1798)="","",INDEX('AFA Rates'!$G$5:$G$1004,$T1798))))</f>
        <v/>
      </c>
      <c r="J1798" s="50">
        <f>IF($T1798="","",IF($S1798="S",IF(INDEX(Firms!$I$5:$I$1004,$T1798)="","",INDEX(Firms!$I$5:$I$1004,$T1798)),IF(INDEX('AFA Rates'!$H$5:$H$1004,$T1798)="","",INDEX('AFA Rates'!$H$5:$H$1004,$T1798))))</f>
        <v/>
      </c>
      <c r="K1798" s="50">
        <f>IF($T1798="","",IF($S1798="S",IF(INDEX(Firms!$J$5:$J$1004,$T1798)="","",INDEX(Firms!$J$5:$J$1004,$T1798)),IF(INDEX('AFA Rates'!$I$5:$I$1004,$T1798)="","",INDEX('AFA Rates'!$I$5:$I$1004,$T1798))))</f>
        <v/>
      </c>
      <c r="L1798" s="50">
        <f>IF($T1798="","",IF($S1798="S",IF(INDEX(Firms!$K$5:$K$1004,$T1798)="","",INDEX(Firms!$K$5:$K$1004,$T1798)),IF(INDEX('AFA Rates'!$J$5:$J$1004,$T1798)="","",INDEX('AFA Rates'!$J$5:$J$1004,$T1798))))</f>
        <v/>
      </c>
      <c r="M1798" s="50">
        <f>IF($T1798="","",IF($S1798="S",IF(INDEX(Firms!$L$5:$L$1004,$T1798)="","",INDEX(Firms!$L$5:$L$1004,$T1798)),IF(INDEX('AFA Rates'!$K$5:$K$1004,$T1798)="","",INDEX('AFA Rates'!$K$5:$K$1004,$T1798))))</f>
        <v/>
      </c>
      <c r="N1798" s="50">
        <f>IF($T1798="","",IF($S1798="S",IF(INDEX(Firms!$M$5:$M$1004,$T1798)="","",INDEX(Firms!$M$5:$M$1004,$T1798)),IF(INDEX('AFA Rates'!$L$5:$L$1004,$T1798)="","",INDEX('AFA Rates'!$L$5:$L$1004,$T1798))))</f>
        <v/>
      </c>
      <c r="O1798" s="78">
        <f>IF(OR($T1798="",$U1798=""),"",IF(INDEX(Firms!$C$5:$C$1004,$U1798)="","",INDEX(Firms!$C$5:$C$1004,$U1798)))</f>
        <v/>
      </c>
      <c r="P1798" s="79">
        <f>IF(OR($T1798="",$U1798=""),"",IF(INDEX(Firms!$N$5:$N$1004,$U1798)="","",INDEX(Firms!$N$5:$N$1004,$U1798)))</f>
        <v/>
      </c>
      <c r="Q1798" s="78">
        <f>IF($T1798="","",IF($S1798="S",IF(INDEX(Firms!$T$5:$T$1004,$T1798)="","",INDEX(Firms!$T$5:$T$1004,$T1798)),IF(INDEX('AFA Rates'!$M$5:$M$1004,$T1798)="","",INDEX('AFA Rates'!$M$5:$M$1004,$T1798))))</f>
        <v/>
      </c>
      <c r="S1798">
        <f>IF(1794&lt;=$S$2,"S",IF(1794&lt;=$S$2+$T$2,"A",""))</f>
        <v/>
      </c>
      <c r="T1798">
        <f>IF(S1798="S",MATCH(1794,Firms!$W$5:$W$1004,0),IF(S1798="A",IFERROR(MATCH(1794-$S$2,'AFA Rates'!$R$5:$R$1004,0),""),""))</f>
        <v/>
      </c>
      <c r="U1798">
        <f>IF(S1798="S",T1798,IF(AND(S1798="A",T1798&lt;&gt;""),IFERROR(MATCH(INDEX('AFA Rates'!$A$5:$A$1004,T1798),Firms!$A$5:$A$1004,0),""),""))</f>
        <v/>
      </c>
    </row>
    <row r="1799">
      <c r="A1799" s="78">
        <f>IF($T1799="","",IF($S1799="S",IF(INDEX(Firms!$A$5:$A$1004,$T1799)="","",INDEX(Firms!$A$5:$A$1004,$T1799)),IF(INDEX('AFA Rates'!$A$5:$A$1004,$T1799)="","",INDEX('AFA Rates'!$A$5:$A$1004,$T1799))))</f>
        <v/>
      </c>
      <c r="B1799" s="79">
        <f>IF(OR($T1799="",$U1799=""),IF($T1799="","","Not on Firms tab"),INDEX(Firms!$B$5:$B$1004,$U1799)&amp;"")</f>
        <v/>
      </c>
      <c r="C1799" s="78">
        <f>IF($T1799="","",IF($S1799="S","Standard",INDEX('AFA Rates'!$B$5:$B$1004,$T1799)&amp;""))</f>
        <v/>
      </c>
      <c r="D1799" s="88">
        <f>IF($T1799="","",IF($S1799="S",IF(INDEX(Firms!$E$5:$E$1004,$T1799)="","",INDEX(Firms!$E$5:$E$1004,$T1799)),IF(INDEX('AFA Rates'!$C$5:$C$1004,$T1799)="","",INDEX('AFA Rates'!$C$5:$C$1004,$T1799))))</f>
        <v/>
      </c>
      <c r="E1799" s="88">
        <f>IF($T1799="","",IF($S1799="S",IF(""="","",""),IF(INDEX('AFA Rates'!$D$5:$D$1004,$T1799)="","",INDEX('AFA Rates'!$D$5:$D$1004,$T1799))))</f>
        <v/>
      </c>
      <c r="F1799" s="79">
        <f>IF($T1799="","",IF($S1799="S",IF(INDEX(Firms!$O$5:$O$1004,$T1799)="","",INDEX(Firms!$O$5:$O$1004,$T1799)),IF(INDEX('AFA Rates'!$O$5:$O$1004,$T1799)="","",INDEX('AFA Rates'!$O$5:$O$1004,$T1799))))</f>
        <v/>
      </c>
      <c r="G1799" s="50">
        <f>IF($T1799="","",IF($S1799="S",IF(INDEX(Firms!$F$5:$F$1004,$T1799)="","",INDEX(Firms!$F$5:$F$1004,$T1799)),IF(INDEX('AFA Rates'!$E$5:$E$1004,$T1799)="","",INDEX('AFA Rates'!$E$5:$E$1004,$T1799))))</f>
        <v/>
      </c>
      <c r="H1799" s="50">
        <f>IF($T1799="","",IF($S1799="S",IF(INDEX(Firms!$G$5:$G$1004,$T1799)="","",INDEX(Firms!$G$5:$G$1004,$T1799)),IF(INDEX('AFA Rates'!$F$5:$F$1004,$T1799)="","",INDEX('AFA Rates'!$F$5:$F$1004,$T1799))))</f>
        <v/>
      </c>
      <c r="I1799" s="50">
        <f>IF($T1799="","",IF($S1799="S",IF(INDEX(Firms!$H$5:$H$1004,$T1799)="","",INDEX(Firms!$H$5:$H$1004,$T1799)),IF(INDEX('AFA Rates'!$G$5:$G$1004,$T1799)="","",INDEX('AFA Rates'!$G$5:$G$1004,$T1799))))</f>
        <v/>
      </c>
      <c r="J1799" s="50">
        <f>IF($T1799="","",IF($S1799="S",IF(INDEX(Firms!$I$5:$I$1004,$T1799)="","",INDEX(Firms!$I$5:$I$1004,$T1799)),IF(INDEX('AFA Rates'!$H$5:$H$1004,$T1799)="","",INDEX('AFA Rates'!$H$5:$H$1004,$T1799))))</f>
        <v/>
      </c>
      <c r="K1799" s="50">
        <f>IF($T1799="","",IF($S1799="S",IF(INDEX(Firms!$J$5:$J$1004,$T1799)="","",INDEX(Firms!$J$5:$J$1004,$T1799)),IF(INDEX('AFA Rates'!$I$5:$I$1004,$T1799)="","",INDEX('AFA Rates'!$I$5:$I$1004,$T1799))))</f>
        <v/>
      </c>
      <c r="L1799" s="50">
        <f>IF($T1799="","",IF($S1799="S",IF(INDEX(Firms!$K$5:$K$1004,$T1799)="","",INDEX(Firms!$K$5:$K$1004,$T1799)),IF(INDEX('AFA Rates'!$J$5:$J$1004,$T1799)="","",INDEX('AFA Rates'!$J$5:$J$1004,$T1799))))</f>
        <v/>
      </c>
      <c r="M1799" s="50">
        <f>IF($T1799="","",IF($S1799="S",IF(INDEX(Firms!$L$5:$L$1004,$T1799)="","",INDEX(Firms!$L$5:$L$1004,$T1799)),IF(INDEX('AFA Rates'!$K$5:$K$1004,$T1799)="","",INDEX('AFA Rates'!$K$5:$K$1004,$T1799))))</f>
        <v/>
      </c>
      <c r="N1799" s="50">
        <f>IF($T1799="","",IF($S1799="S",IF(INDEX(Firms!$M$5:$M$1004,$T1799)="","",INDEX(Firms!$M$5:$M$1004,$T1799)),IF(INDEX('AFA Rates'!$L$5:$L$1004,$T1799)="","",INDEX('AFA Rates'!$L$5:$L$1004,$T1799))))</f>
        <v/>
      </c>
      <c r="O1799" s="78">
        <f>IF(OR($T1799="",$U1799=""),"",IF(INDEX(Firms!$C$5:$C$1004,$U1799)="","",INDEX(Firms!$C$5:$C$1004,$U1799)))</f>
        <v/>
      </c>
      <c r="P1799" s="79">
        <f>IF(OR($T1799="",$U1799=""),"",IF(INDEX(Firms!$N$5:$N$1004,$U1799)="","",INDEX(Firms!$N$5:$N$1004,$U1799)))</f>
        <v/>
      </c>
      <c r="Q1799" s="78">
        <f>IF($T1799="","",IF($S1799="S",IF(INDEX(Firms!$T$5:$T$1004,$T1799)="","",INDEX(Firms!$T$5:$T$1004,$T1799)),IF(INDEX('AFA Rates'!$M$5:$M$1004,$T1799)="","",INDEX('AFA Rates'!$M$5:$M$1004,$T1799))))</f>
        <v/>
      </c>
      <c r="S1799">
        <f>IF(1795&lt;=$S$2,"S",IF(1795&lt;=$S$2+$T$2,"A",""))</f>
        <v/>
      </c>
      <c r="T1799">
        <f>IF(S1799="S",MATCH(1795,Firms!$W$5:$W$1004,0),IF(S1799="A",IFERROR(MATCH(1795-$S$2,'AFA Rates'!$R$5:$R$1004,0),""),""))</f>
        <v/>
      </c>
      <c r="U1799">
        <f>IF(S1799="S",T1799,IF(AND(S1799="A",T1799&lt;&gt;""),IFERROR(MATCH(INDEX('AFA Rates'!$A$5:$A$1004,T1799),Firms!$A$5:$A$1004,0),""),""))</f>
        <v/>
      </c>
    </row>
    <row r="1800">
      <c r="A1800" s="78">
        <f>IF($T1800="","",IF($S1800="S",IF(INDEX(Firms!$A$5:$A$1004,$T1800)="","",INDEX(Firms!$A$5:$A$1004,$T1800)),IF(INDEX('AFA Rates'!$A$5:$A$1004,$T1800)="","",INDEX('AFA Rates'!$A$5:$A$1004,$T1800))))</f>
        <v/>
      </c>
      <c r="B1800" s="79">
        <f>IF(OR($T1800="",$U1800=""),IF($T1800="","","Not on Firms tab"),INDEX(Firms!$B$5:$B$1004,$U1800)&amp;"")</f>
        <v/>
      </c>
      <c r="C1800" s="78">
        <f>IF($T1800="","",IF($S1800="S","Standard",INDEX('AFA Rates'!$B$5:$B$1004,$T1800)&amp;""))</f>
        <v/>
      </c>
      <c r="D1800" s="88">
        <f>IF($T1800="","",IF($S1800="S",IF(INDEX(Firms!$E$5:$E$1004,$T1800)="","",INDEX(Firms!$E$5:$E$1004,$T1800)),IF(INDEX('AFA Rates'!$C$5:$C$1004,$T1800)="","",INDEX('AFA Rates'!$C$5:$C$1004,$T1800))))</f>
        <v/>
      </c>
      <c r="E1800" s="88">
        <f>IF($T1800="","",IF($S1800="S",IF(""="","",""),IF(INDEX('AFA Rates'!$D$5:$D$1004,$T1800)="","",INDEX('AFA Rates'!$D$5:$D$1004,$T1800))))</f>
        <v/>
      </c>
      <c r="F1800" s="79">
        <f>IF($T1800="","",IF($S1800="S",IF(INDEX(Firms!$O$5:$O$1004,$T1800)="","",INDEX(Firms!$O$5:$O$1004,$T1800)),IF(INDEX('AFA Rates'!$O$5:$O$1004,$T1800)="","",INDEX('AFA Rates'!$O$5:$O$1004,$T1800))))</f>
        <v/>
      </c>
      <c r="G1800" s="50">
        <f>IF($T1800="","",IF($S1800="S",IF(INDEX(Firms!$F$5:$F$1004,$T1800)="","",INDEX(Firms!$F$5:$F$1004,$T1800)),IF(INDEX('AFA Rates'!$E$5:$E$1004,$T1800)="","",INDEX('AFA Rates'!$E$5:$E$1004,$T1800))))</f>
        <v/>
      </c>
      <c r="H1800" s="50">
        <f>IF($T1800="","",IF($S1800="S",IF(INDEX(Firms!$G$5:$G$1004,$T1800)="","",INDEX(Firms!$G$5:$G$1004,$T1800)),IF(INDEX('AFA Rates'!$F$5:$F$1004,$T1800)="","",INDEX('AFA Rates'!$F$5:$F$1004,$T1800))))</f>
        <v/>
      </c>
      <c r="I1800" s="50">
        <f>IF($T1800="","",IF($S1800="S",IF(INDEX(Firms!$H$5:$H$1004,$T1800)="","",INDEX(Firms!$H$5:$H$1004,$T1800)),IF(INDEX('AFA Rates'!$G$5:$G$1004,$T1800)="","",INDEX('AFA Rates'!$G$5:$G$1004,$T1800))))</f>
        <v/>
      </c>
      <c r="J1800" s="50">
        <f>IF($T1800="","",IF($S1800="S",IF(INDEX(Firms!$I$5:$I$1004,$T1800)="","",INDEX(Firms!$I$5:$I$1004,$T1800)),IF(INDEX('AFA Rates'!$H$5:$H$1004,$T1800)="","",INDEX('AFA Rates'!$H$5:$H$1004,$T1800))))</f>
        <v/>
      </c>
      <c r="K1800" s="50">
        <f>IF($T1800="","",IF($S1800="S",IF(INDEX(Firms!$J$5:$J$1004,$T1800)="","",INDEX(Firms!$J$5:$J$1004,$T1800)),IF(INDEX('AFA Rates'!$I$5:$I$1004,$T1800)="","",INDEX('AFA Rates'!$I$5:$I$1004,$T1800))))</f>
        <v/>
      </c>
      <c r="L1800" s="50">
        <f>IF($T1800="","",IF($S1800="S",IF(INDEX(Firms!$K$5:$K$1004,$T1800)="","",INDEX(Firms!$K$5:$K$1004,$T1800)),IF(INDEX('AFA Rates'!$J$5:$J$1004,$T1800)="","",INDEX('AFA Rates'!$J$5:$J$1004,$T1800))))</f>
        <v/>
      </c>
      <c r="M1800" s="50">
        <f>IF($T1800="","",IF($S1800="S",IF(INDEX(Firms!$L$5:$L$1004,$T1800)="","",INDEX(Firms!$L$5:$L$1004,$T1800)),IF(INDEX('AFA Rates'!$K$5:$K$1004,$T1800)="","",INDEX('AFA Rates'!$K$5:$K$1004,$T1800))))</f>
        <v/>
      </c>
      <c r="N1800" s="50">
        <f>IF($T1800="","",IF($S1800="S",IF(INDEX(Firms!$M$5:$M$1004,$T1800)="","",INDEX(Firms!$M$5:$M$1004,$T1800)),IF(INDEX('AFA Rates'!$L$5:$L$1004,$T1800)="","",INDEX('AFA Rates'!$L$5:$L$1004,$T1800))))</f>
        <v/>
      </c>
      <c r="O1800" s="78">
        <f>IF(OR($T1800="",$U1800=""),"",IF(INDEX(Firms!$C$5:$C$1004,$U1800)="","",INDEX(Firms!$C$5:$C$1004,$U1800)))</f>
        <v/>
      </c>
      <c r="P1800" s="79">
        <f>IF(OR($T1800="",$U1800=""),"",IF(INDEX(Firms!$N$5:$N$1004,$U1800)="","",INDEX(Firms!$N$5:$N$1004,$U1800)))</f>
        <v/>
      </c>
      <c r="Q1800" s="78">
        <f>IF($T1800="","",IF($S1800="S",IF(INDEX(Firms!$T$5:$T$1004,$T1800)="","",INDEX(Firms!$T$5:$T$1004,$T1800)),IF(INDEX('AFA Rates'!$M$5:$M$1004,$T1800)="","",INDEX('AFA Rates'!$M$5:$M$1004,$T1800))))</f>
        <v/>
      </c>
      <c r="S1800">
        <f>IF(1796&lt;=$S$2,"S",IF(1796&lt;=$S$2+$T$2,"A",""))</f>
        <v/>
      </c>
      <c r="T1800">
        <f>IF(S1800="S",MATCH(1796,Firms!$W$5:$W$1004,0),IF(S1800="A",IFERROR(MATCH(1796-$S$2,'AFA Rates'!$R$5:$R$1004,0),""),""))</f>
        <v/>
      </c>
      <c r="U1800">
        <f>IF(S1800="S",T1800,IF(AND(S1800="A",T1800&lt;&gt;""),IFERROR(MATCH(INDEX('AFA Rates'!$A$5:$A$1004,T1800),Firms!$A$5:$A$1004,0),""),""))</f>
        <v/>
      </c>
    </row>
    <row r="1801">
      <c r="A1801" s="78">
        <f>IF($T1801="","",IF($S1801="S",IF(INDEX(Firms!$A$5:$A$1004,$T1801)="","",INDEX(Firms!$A$5:$A$1004,$T1801)),IF(INDEX('AFA Rates'!$A$5:$A$1004,$T1801)="","",INDEX('AFA Rates'!$A$5:$A$1004,$T1801))))</f>
        <v/>
      </c>
      <c r="B1801" s="79">
        <f>IF(OR($T1801="",$U1801=""),IF($T1801="","","Not on Firms tab"),INDEX(Firms!$B$5:$B$1004,$U1801)&amp;"")</f>
        <v/>
      </c>
      <c r="C1801" s="78">
        <f>IF($T1801="","",IF($S1801="S","Standard",INDEX('AFA Rates'!$B$5:$B$1004,$T1801)&amp;""))</f>
        <v/>
      </c>
      <c r="D1801" s="88">
        <f>IF($T1801="","",IF($S1801="S",IF(INDEX(Firms!$E$5:$E$1004,$T1801)="","",INDEX(Firms!$E$5:$E$1004,$T1801)),IF(INDEX('AFA Rates'!$C$5:$C$1004,$T1801)="","",INDEX('AFA Rates'!$C$5:$C$1004,$T1801))))</f>
        <v/>
      </c>
      <c r="E1801" s="88">
        <f>IF($T1801="","",IF($S1801="S",IF(""="","",""),IF(INDEX('AFA Rates'!$D$5:$D$1004,$T1801)="","",INDEX('AFA Rates'!$D$5:$D$1004,$T1801))))</f>
        <v/>
      </c>
      <c r="F1801" s="79">
        <f>IF($T1801="","",IF($S1801="S",IF(INDEX(Firms!$O$5:$O$1004,$T1801)="","",INDEX(Firms!$O$5:$O$1004,$T1801)),IF(INDEX('AFA Rates'!$O$5:$O$1004,$T1801)="","",INDEX('AFA Rates'!$O$5:$O$1004,$T1801))))</f>
        <v/>
      </c>
      <c r="G1801" s="50">
        <f>IF($T1801="","",IF($S1801="S",IF(INDEX(Firms!$F$5:$F$1004,$T1801)="","",INDEX(Firms!$F$5:$F$1004,$T1801)),IF(INDEX('AFA Rates'!$E$5:$E$1004,$T1801)="","",INDEX('AFA Rates'!$E$5:$E$1004,$T1801))))</f>
        <v/>
      </c>
      <c r="H1801" s="50">
        <f>IF($T1801="","",IF($S1801="S",IF(INDEX(Firms!$G$5:$G$1004,$T1801)="","",INDEX(Firms!$G$5:$G$1004,$T1801)),IF(INDEX('AFA Rates'!$F$5:$F$1004,$T1801)="","",INDEX('AFA Rates'!$F$5:$F$1004,$T1801))))</f>
        <v/>
      </c>
      <c r="I1801" s="50">
        <f>IF($T1801="","",IF($S1801="S",IF(INDEX(Firms!$H$5:$H$1004,$T1801)="","",INDEX(Firms!$H$5:$H$1004,$T1801)),IF(INDEX('AFA Rates'!$G$5:$G$1004,$T1801)="","",INDEX('AFA Rates'!$G$5:$G$1004,$T1801))))</f>
        <v/>
      </c>
      <c r="J1801" s="50">
        <f>IF($T1801="","",IF($S1801="S",IF(INDEX(Firms!$I$5:$I$1004,$T1801)="","",INDEX(Firms!$I$5:$I$1004,$T1801)),IF(INDEX('AFA Rates'!$H$5:$H$1004,$T1801)="","",INDEX('AFA Rates'!$H$5:$H$1004,$T1801))))</f>
        <v/>
      </c>
      <c r="K1801" s="50">
        <f>IF($T1801="","",IF($S1801="S",IF(INDEX(Firms!$J$5:$J$1004,$T1801)="","",INDEX(Firms!$J$5:$J$1004,$T1801)),IF(INDEX('AFA Rates'!$I$5:$I$1004,$T1801)="","",INDEX('AFA Rates'!$I$5:$I$1004,$T1801))))</f>
        <v/>
      </c>
      <c r="L1801" s="50">
        <f>IF($T1801="","",IF($S1801="S",IF(INDEX(Firms!$K$5:$K$1004,$T1801)="","",INDEX(Firms!$K$5:$K$1004,$T1801)),IF(INDEX('AFA Rates'!$J$5:$J$1004,$T1801)="","",INDEX('AFA Rates'!$J$5:$J$1004,$T1801))))</f>
        <v/>
      </c>
      <c r="M1801" s="50">
        <f>IF($T1801="","",IF($S1801="S",IF(INDEX(Firms!$L$5:$L$1004,$T1801)="","",INDEX(Firms!$L$5:$L$1004,$T1801)),IF(INDEX('AFA Rates'!$K$5:$K$1004,$T1801)="","",INDEX('AFA Rates'!$K$5:$K$1004,$T1801))))</f>
        <v/>
      </c>
      <c r="N1801" s="50">
        <f>IF($T1801="","",IF($S1801="S",IF(INDEX(Firms!$M$5:$M$1004,$T1801)="","",INDEX(Firms!$M$5:$M$1004,$T1801)),IF(INDEX('AFA Rates'!$L$5:$L$1004,$T1801)="","",INDEX('AFA Rates'!$L$5:$L$1004,$T1801))))</f>
        <v/>
      </c>
      <c r="O1801" s="78">
        <f>IF(OR($T1801="",$U1801=""),"",IF(INDEX(Firms!$C$5:$C$1004,$U1801)="","",INDEX(Firms!$C$5:$C$1004,$U1801)))</f>
        <v/>
      </c>
      <c r="P1801" s="79">
        <f>IF(OR($T1801="",$U1801=""),"",IF(INDEX(Firms!$N$5:$N$1004,$U1801)="","",INDEX(Firms!$N$5:$N$1004,$U1801)))</f>
        <v/>
      </c>
      <c r="Q1801" s="78">
        <f>IF($T1801="","",IF($S1801="S",IF(INDEX(Firms!$T$5:$T$1004,$T1801)="","",INDEX(Firms!$T$5:$T$1004,$T1801)),IF(INDEX('AFA Rates'!$M$5:$M$1004,$T1801)="","",INDEX('AFA Rates'!$M$5:$M$1004,$T1801))))</f>
        <v/>
      </c>
      <c r="S1801">
        <f>IF(1797&lt;=$S$2,"S",IF(1797&lt;=$S$2+$T$2,"A",""))</f>
        <v/>
      </c>
      <c r="T1801">
        <f>IF(S1801="S",MATCH(1797,Firms!$W$5:$W$1004,0),IF(S1801="A",IFERROR(MATCH(1797-$S$2,'AFA Rates'!$R$5:$R$1004,0),""),""))</f>
        <v/>
      </c>
      <c r="U1801">
        <f>IF(S1801="S",T1801,IF(AND(S1801="A",T1801&lt;&gt;""),IFERROR(MATCH(INDEX('AFA Rates'!$A$5:$A$1004,T1801),Firms!$A$5:$A$1004,0),""),""))</f>
        <v/>
      </c>
    </row>
    <row r="1802">
      <c r="A1802" s="78">
        <f>IF($T1802="","",IF($S1802="S",IF(INDEX(Firms!$A$5:$A$1004,$T1802)="","",INDEX(Firms!$A$5:$A$1004,$T1802)),IF(INDEX('AFA Rates'!$A$5:$A$1004,$T1802)="","",INDEX('AFA Rates'!$A$5:$A$1004,$T1802))))</f>
        <v/>
      </c>
      <c r="B1802" s="79">
        <f>IF(OR($T1802="",$U1802=""),IF($T1802="","","Not on Firms tab"),INDEX(Firms!$B$5:$B$1004,$U1802)&amp;"")</f>
        <v/>
      </c>
      <c r="C1802" s="78">
        <f>IF($T1802="","",IF($S1802="S","Standard",INDEX('AFA Rates'!$B$5:$B$1004,$T1802)&amp;""))</f>
        <v/>
      </c>
      <c r="D1802" s="88">
        <f>IF($T1802="","",IF($S1802="S",IF(INDEX(Firms!$E$5:$E$1004,$T1802)="","",INDEX(Firms!$E$5:$E$1004,$T1802)),IF(INDEX('AFA Rates'!$C$5:$C$1004,$T1802)="","",INDEX('AFA Rates'!$C$5:$C$1004,$T1802))))</f>
        <v/>
      </c>
      <c r="E1802" s="88">
        <f>IF($T1802="","",IF($S1802="S",IF(""="","",""),IF(INDEX('AFA Rates'!$D$5:$D$1004,$T1802)="","",INDEX('AFA Rates'!$D$5:$D$1004,$T1802))))</f>
        <v/>
      </c>
      <c r="F1802" s="79">
        <f>IF($T1802="","",IF($S1802="S",IF(INDEX(Firms!$O$5:$O$1004,$T1802)="","",INDEX(Firms!$O$5:$O$1004,$T1802)),IF(INDEX('AFA Rates'!$O$5:$O$1004,$T1802)="","",INDEX('AFA Rates'!$O$5:$O$1004,$T1802))))</f>
        <v/>
      </c>
      <c r="G1802" s="50">
        <f>IF($T1802="","",IF($S1802="S",IF(INDEX(Firms!$F$5:$F$1004,$T1802)="","",INDEX(Firms!$F$5:$F$1004,$T1802)),IF(INDEX('AFA Rates'!$E$5:$E$1004,$T1802)="","",INDEX('AFA Rates'!$E$5:$E$1004,$T1802))))</f>
        <v/>
      </c>
      <c r="H1802" s="50">
        <f>IF($T1802="","",IF($S1802="S",IF(INDEX(Firms!$G$5:$G$1004,$T1802)="","",INDEX(Firms!$G$5:$G$1004,$T1802)),IF(INDEX('AFA Rates'!$F$5:$F$1004,$T1802)="","",INDEX('AFA Rates'!$F$5:$F$1004,$T1802))))</f>
        <v/>
      </c>
      <c r="I1802" s="50">
        <f>IF($T1802="","",IF($S1802="S",IF(INDEX(Firms!$H$5:$H$1004,$T1802)="","",INDEX(Firms!$H$5:$H$1004,$T1802)),IF(INDEX('AFA Rates'!$G$5:$G$1004,$T1802)="","",INDEX('AFA Rates'!$G$5:$G$1004,$T1802))))</f>
        <v/>
      </c>
      <c r="J1802" s="50">
        <f>IF($T1802="","",IF($S1802="S",IF(INDEX(Firms!$I$5:$I$1004,$T1802)="","",INDEX(Firms!$I$5:$I$1004,$T1802)),IF(INDEX('AFA Rates'!$H$5:$H$1004,$T1802)="","",INDEX('AFA Rates'!$H$5:$H$1004,$T1802))))</f>
        <v/>
      </c>
      <c r="K1802" s="50">
        <f>IF($T1802="","",IF($S1802="S",IF(INDEX(Firms!$J$5:$J$1004,$T1802)="","",INDEX(Firms!$J$5:$J$1004,$T1802)),IF(INDEX('AFA Rates'!$I$5:$I$1004,$T1802)="","",INDEX('AFA Rates'!$I$5:$I$1004,$T1802))))</f>
        <v/>
      </c>
      <c r="L1802" s="50">
        <f>IF($T1802="","",IF($S1802="S",IF(INDEX(Firms!$K$5:$K$1004,$T1802)="","",INDEX(Firms!$K$5:$K$1004,$T1802)),IF(INDEX('AFA Rates'!$J$5:$J$1004,$T1802)="","",INDEX('AFA Rates'!$J$5:$J$1004,$T1802))))</f>
        <v/>
      </c>
      <c r="M1802" s="50">
        <f>IF($T1802="","",IF($S1802="S",IF(INDEX(Firms!$L$5:$L$1004,$T1802)="","",INDEX(Firms!$L$5:$L$1004,$T1802)),IF(INDEX('AFA Rates'!$K$5:$K$1004,$T1802)="","",INDEX('AFA Rates'!$K$5:$K$1004,$T1802))))</f>
        <v/>
      </c>
      <c r="N1802" s="50">
        <f>IF($T1802="","",IF($S1802="S",IF(INDEX(Firms!$M$5:$M$1004,$T1802)="","",INDEX(Firms!$M$5:$M$1004,$T1802)),IF(INDEX('AFA Rates'!$L$5:$L$1004,$T1802)="","",INDEX('AFA Rates'!$L$5:$L$1004,$T1802))))</f>
        <v/>
      </c>
      <c r="O1802" s="78">
        <f>IF(OR($T1802="",$U1802=""),"",IF(INDEX(Firms!$C$5:$C$1004,$U1802)="","",INDEX(Firms!$C$5:$C$1004,$U1802)))</f>
        <v/>
      </c>
      <c r="P1802" s="79">
        <f>IF(OR($T1802="",$U1802=""),"",IF(INDEX(Firms!$N$5:$N$1004,$U1802)="","",INDEX(Firms!$N$5:$N$1004,$U1802)))</f>
        <v/>
      </c>
      <c r="Q1802" s="78">
        <f>IF($T1802="","",IF($S1802="S",IF(INDEX(Firms!$T$5:$T$1004,$T1802)="","",INDEX(Firms!$T$5:$T$1004,$T1802)),IF(INDEX('AFA Rates'!$M$5:$M$1004,$T1802)="","",INDEX('AFA Rates'!$M$5:$M$1004,$T1802))))</f>
        <v/>
      </c>
      <c r="S1802">
        <f>IF(1798&lt;=$S$2,"S",IF(1798&lt;=$S$2+$T$2,"A",""))</f>
        <v/>
      </c>
      <c r="T1802">
        <f>IF(S1802="S",MATCH(1798,Firms!$W$5:$W$1004,0),IF(S1802="A",IFERROR(MATCH(1798-$S$2,'AFA Rates'!$R$5:$R$1004,0),""),""))</f>
        <v/>
      </c>
      <c r="U1802">
        <f>IF(S1802="S",T1802,IF(AND(S1802="A",T1802&lt;&gt;""),IFERROR(MATCH(INDEX('AFA Rates'!$A$5:$A$1004,T1802),Firms!$A$5:$A$1004,0),""),""))</f>
        <v/>
      </c>
    </row>
    <row r="1803">
      <c r="A1803" s="78">
        <f>IF($T1803="","",IF($S1803="S",IF(INDEX(Firms!$A$5:$A$1004,$T1803)="","",INDEX(Firms!$A$5:$A$1004,$T1803)),IF(INDEX('AFA Rates'!$A$5:$A$1004,$T1803)="","",INDEX('AFA Rates'!$A$5:$A$1004,$T1803))))</f>
        <v/>
      </c>
      <c r="B1803" s="79">
        <f>IF(OR($T1803="",$U1803=""),IF($T1803="","","Not on Firms tab"),INDEX(Firms!$B$5:$B$1004,$U1803)&amp;"")</f>
        <v/>
      </c>
      <c r="C1803" s="78">
        <f>IF($T1803="","",IF($S1803="S","Standard",INDEX('AFA Rates'!$B$5:$B$1004,$T1803)&amp;""))</f>
        <v/>
      </c>
      <c r="D1803" s="88">
        <f>IF($T1803="","",IF($S1803="S",IF(INDEX(Firms!$E$5:$E$1004,$T1803)="","",INDEX(Firms!$E$5:$E$1004,$T1803)),IF(INDEX('AFA Rates'!$C$5:$C$1004,$T1803)="","",INDEX('AFA Rates'!$C$5:$C$1004,$T1803))))</f>
        <v/>
      </c>
      <c r="E1803" s="88">
        <f>IF($T1803="","",IF($S1803="S",IF(""="","",""),IF(INDEX('AFA Rates'!$D$5:$D$1004,$T1803)="","",INDEX('AFA Rates'!$D$5:$D$1004,$T1803))))</f>
        <v/>
      </c>
      <c r="F1803" s="79">
        <f>IF($T1803="","",IF($S1803="S",IF(INDEX(Firms!$O$5:$O$1004,$T1803)="","",INDEX(Firms!$O$5:$O$1004,$T1803)),IF(INDEX('AFA Rates'!$O$5:$O$1004,$T1803)="","",INDEX('AFA Rates'!$O$5:$O$1004,$T1803))))</f>
        <v/>
      </c>
      <c r="G1803" s="50">
        <f>IF($T1803="","",IF($S1803="S",IF(INDEX(Firms!$F$5:$F$1004,$T1803)="","",INDEX(Firms!$F$5:$F$1004,$T1803)),IF(INDEX('AFA Rates'!$E$5:$E$1004,$T1803)="","",INDEX('AFA Rates'!$E$5:$E$1004,$T1803))))</f>
        <v/>
      </c>
      <c r="H1803" s="50">
        <f>IF($T1803="","",IF($S1803="S",IF(INDEX(Firms!$G$5:$G$1004,$T1803)="","",INDEX(Firms!$G$5:$G$1004,$T1803)),IF(INDEX('AFA Rates'!$F$5:$F$1004,$T1803)="","",INDEX('AFA Rates'!$F$5:$F$1004,$T1803))))</f>
        <v/>
      </c>
      <c r="I1803" s="50">
        <f>IF($T1803="","",IF($S1803="S",IF(INDEX(Firms!$H$5:$H$1004,$T1803)="","",INDEX(Firms!$H$5:$H$1004,$T1803)),IF(INDEX('AFA Rates'!$G$5:$G$1004,$T1803)="","",INDEX('AFA Rates'!$G$5:$G$1004,$T1803))))</f>
        <v/>
      </c>
      <c r="J1803" s="50">
        <f>IF($T1803="","",IF($S1803="S",IF(INDEX(Firms!$I$5:$I$1004,$T1803)="","",INDEX(Firms!$I$5:$I$1004,$T1803)),IF(INDEX('AFA Rates'!$H$5:$H$1004,$T1803)="","",INDEX('AFA Rates'!$H$5:$H$1004,$T1803))))</f>
        <v/>
      </c>
      <c r="K1803" s="50">
        <f>IF($T1803="","",IF($S1803="S",IF(INDEX(Firms!$J$5:$J$1004,$T1803)="","",INDEX(Firms!$J$5:$J$1004,$T1803)),IF(INDEX('AFA Rates'!$I$5:$I$1004,$T1803)="","",INDEX('AFA Rates'!$I$5:$I$1004,$T1803))))</f>
        <v/>
      </c>
      <c r="L1803" s="50">
        <f>IF($T1803="","",IF($S1803="S",IF(INDEX(Firms!$K$5:$K$1004,$T1803)="","",INDEX(Firms!$K$5:$K$1004,$T1803)),IF(INDEX('AFA Rates'!$J$5:$J$1004,$T1803)="","",INDEX('AFA Rates'!$J$5:$J$1004,$T1803))))</f>
        <v/>
      </c>
      <c r="M1803" s="50">
        <f>IF($T1803="","",IF($S1803="S",IF(INDEX(Firms!$L$5:$L$1004,$T1803)="","",INDEX(Firms!$L$5:$L$1004,$T1803)),IF(INDEX('AFA Rates'!$K$5:$K$1004,$T1803)="","",INDEX('AFA Rates'!$K$5:$K$1004,$T1803))))</f>
        <v/>
      </c>
      <c r="N1803" s="50">
        <f>IF($T1803="","",IF($S1803="S",IF(INDEX(Firms!$M$5:$M$1004,$T1803)="","",INDEX(Firms!$M$5:$M$1004,$T1803)),IF(INDEX('AFA Rates'!$L$5:$L$1004,$T1803)="","",INDEX('AFA Rates'!$L$5:$L$1004,$T1803))))</f>
        <v/>
      </c>
      <c r="O1803" s="78">
        <f>IF(OR($T1803="",$U1803=""),"",IF(INDEX(Firms!$C$5:$C$1004,$U1803)="","",INDEX(Firms!$C$5:$C$1004,$U1803)))</f>
        <v/>
      </c>
      <c r="P1803" s="79">
        <f>IF(OR($T1803="",$U1803=""),"",IF(INDEX(Firms!$N$5:$N$1004,$U1803)="","",INDEX(Firms!$N$5:$N$1004,$U1803)))</f>
        <v/>
      </c>
      <c r="Q1803" s="78">
        <f>IF($T1803="","",IF($S1803="S",IF(INDEX(Firms!$T$5:$T$1004,$T1803)="","",INDEX(Firms!$T$5:$T$1004,$T1803)),IF(INDEX('AFA Rates'!$M$5:$M$1004,$T1803)="","",INDEX('AFA Rates'!$M$5:$M$1004,$T1803))))</f>
        <v/>
      </c>
      <c r="S1803">
        <f>IF(1799&lt;=$S$2,"S",IF(1799&lt;=$S$2+$T$2,"A",""))</f>
        <v/>
      </c>
      <c r="T1803">
        <f>IF(S1803="S",MATCH(1799,Firms!$W$5:$W$1004,0),IF(S1803="A",IFERROR(MATCH(1799-$S$2,'AFA Rates'!$R$5:$R$1004,0),""),""))</f>
        <v/>
      </c>
      <c r="U1803">
        <f>IF(S1803="S",T1803,IF(AND(S1803="A",T1803&lt;&gt;""),IFERROR(MATCH(INDEX('AFA Rates'!$A$5:$A$1004,T1803),Firms!$A$5:$A$1004,0),""),""))</f>
        <v/>
      </c>
    </row>
    <row r="1804">
      <c r="A1804" s="78">
        <f>IF($T1804="","",IF($S1804="S",IF(INDEX(Firms!$A$5:$A$1004,$T1804)="","",INDEX(Firms!$A$5:$A$1004,$T1804)),IF(INDEX('AFA Rates'!$A$5:$A$1004,$T1804)="","",INDEX('AFA Rates'!$A$5:$A$1004,$T1804))))</f>
        <v/>
      </c>
      <c r="B1804" s="79">
        <f>IF(OR($T1804="",$U1804=""),IF($T1804="","","Not on Firms tab"),INDEX(Firms!$B$5:$B$1004,$U1804)&amp;"")</f>
        <v/>
      </c>
      <c r="C1804" s="78">
        <f>IF($T1804="","",IF($S1804="S","Standard",INDEX('AFA Rates'!$B$5:$B$1004,$T1804)&amp;""))</f>
        <v/>
      </c>
      <c r="D1804" s="88">
        <f>IF($T1804="","",IF($S1804="S",IF(INDEX(Firms!$E$5:$E$1004,$T1804)="","",INDEX(Firms!$E$5:$E$1004,$T1804)),IF(INDEX('AFA Rates'!$C$5:$C$1004,$T1804)="","",INDEX('AFA Rates'!$C$5:$C$1004,$T1804))))</f>
        <v/>
      </c>
      <c r="E1804" s="88">
        <f>IF($T1804="","",IF($S1804="S",IF(""="","",""),IF(INDEX('AFA Rates'!$D$5:$D$1004,$T1804)="","",INDEX('AFA Rates'!$D$5:$D$1004,$T1804))))</f>
        <v/>
      </c>
      <c r="F1804" s="79">
        <f>IF($T1804="","",IF($S1804="S",IF(INDEX(Firms!$O$5:$O$1004,$T1804)="","",INDEX(Firms!$O$5:$O$1004,$T1804)),IF(INDEX('AFA Rates'!$O$5:$O$1004,$T1804)="","",INDEX('AFA Rates'!$O$5:$O$1004,$T1804))))</f>
        <v/>
      </c>
      <c r="G1804" s="50">
        <f>IF($T1804="","",IF($S1804="S",IF(INDEX(Firms!$F$5:$F$1004,$T1804)="","",INDEX(Firms!$F$5:$F$1004,$T1804)),IF(INDEX('AFA Rates'!$E$5:$E$1004,$T1804)="","",INDEX('AFA Rates'!$E$5:$E$1004,$T1804))))</f>
        <v/>
      </c>
      <c r="H1804" s="50">
        <f>IF($T1804="","",IF($S1804="S",IF(INDEX(Firms!$G$5:$G$1004,$T1804)="","",INDEX(Firms!$G$5:$G$1004,$T1804)),IF(INDEX('AFA Rates'!$F$5:$F$1004,$T1804)="","",INDEX('AFA Rates'!$F$5:$F$1004,$T1804))))</f>
        <v/>
      </c>
      <c r="I1804" s="50">
        <f>IF($T1804="","",IF($S1804="S",IF(INDEX(Firms!$H$5:$H$1004,$T1804)="","",INDEX(Firms!$H$5:$H$1004,$T1804)),IF(INDEX('AFA Rates'!$G$5:$G$1004,$T1804)="","",INDEX('AFA Rates'!$G$5:$G$1004,$T1804))))</f>
        <v/>
      </c>
      <c r="J1804" s="50">
        <f>IF($T1804="","",IF($S1804="S",IF(INDEX(Firms!$I$5:$I$1004,$T1804)="","",INDEX(Firms!$I$5:$I$1004,$T1804)),IF(INDEX('AFA Rates'!$H$5:$H$1004,$T1804)="","",INDEX('AFA Rates'!$H$5:$H$1004,$T1804))))</f>
        <v/>
      </c>
      <c r="K1804" s="50">
        <f>IF($T1804="","",IF($S1804="S",IF(INDEX(Firms!$J$5:$J$1004,$T1804)="","",INDEX(Firms!$J$5:$J$1004,$T1804)),IF(INDEX('AFA Rates'!$I$5:$I$1004,$T1804)="","",INDEX('AFA Rates'!$I$5:$I$1004,$T1804))))</f>
        <v/>
      </c>
      <c r="L1804" s="50">
        <f>IF($T1804="","",IF($S1804="S",IF(INDEX(Firms!$K$5:$K$1004,$T1804)="","",INDEX(Firms!$K$5:$K$1004,$T1804)),IF(INDEX('AFA Rates'!$J$5:$J$1004,$T1804)="","",INDEX('AFA Rates'!$J$5:$J$1004,$T1804))))</f>
        <v/>
      </c>
      <c r="M1804" s="50">
        <f>IF($T1804="","",IF($S1804="S",IF(INDEX(Firms!$L$5:$L$1004,$T1804)="","",INDEX(Firms!$L$5:$L$1004,$T1804)),IF(INDEX('AFA Rates'!$K$5:$K$1004,$T1804)="","",INDEX('AFA Rates'!$K$5:$K$1004,$T1804))))</f>
        <v/>
      </c>
      <c r="N1804" s="50">
        <f>IF($T1804="","",IF($S1804="S",IF(INDEX(Firms!$M$5:$M$1004,$T1804)="","",INDEX(Firms!$M$5:$M$1004,$T1804)),IF(INDEX('AFA Rates'!$L$5:$L$1004,$T1804)="","",INDEX('AFA Rates'!$L$5:$L$1004,$T1804))))</f>
        <v/>
      </c>
      <c r="O1804" s="78">
        <f>IF(OR($T1804="",$U1804=""),"",IF(INDEX(Firms!$C$5:$C$1004,$U1804)="","",INDEX(Firms!$C$5:$C$1004,$U1804)))</f>
        <v/>
      </c>
      <c r="P1804" s="79">
        <f>IF(OR($T1804="",$U1804=""),"",IF(INDEX(Firms!$N$5:$N$1004,$U1804)="","",INDEX(Firms!$N$5:$N$1004,$U1804)))</f>
        <v/>
      </c>
      <c r="Q1804" s="78">
        <f>IF($T1804="","",IF($S1804="S",IF(INDEX(Firms!$T$5:$T$1004,$T1804)="","",INDEX(Firms!$T$5:$T$1004,$T1804)),IF(INDEX('AFA Rates'!$M$5:$M$1004,$T1804)="","",INDEX('AFA Rates'!$M$5:$M$1004,$T1804))))</f>
        <v/>
      </c>
      <c r="S1804">
        <f>IF(1800&lt;=$S$2,"S",IF(1800&lt;=$S$2+$T$2,"A",""))</f>
        <v/>
      </c>
      <c r="T1804">
        <f>IF(S1804="S",MATCH(1800,Firms!$W$5:$W$1004,0),IF(S1804="A",IFERROR(MATCH(1800-$S$2,'AFA Rates'!$R$5:$R$1004,0),""),""))</f>
        <v/>
      </c>
      <c r="U1804">
        <f>IF(S1804="S",T1804,IF(AND(S1804="A",T1804&lt;&gt;""),IFERROR(MATCH(INDEX('AFA Rates'!$A$5:$A$1004,T1804),Firms!$A$5:$A$1004,0),""),""))</f>
        <v/>
      </c>
    </row>
    <row r="1805">
      <c r="A1805" s="78">
        <f>IF($T1805="","",IF($S1805="S",IF(INDEX(Firms!$A$5:$A$1004,$T1805)="","",INDEX(Firms!$A$5:$A$1004,$T1805)),IF(INDEX('AFA Rates'!$A$5:$A$1004,$T1805)="","",INDEX('AFA Rates'!$A$5:$A$1004,$T1805))))</f>
        <v/>
      </c>
      <c r="B1805" s="79">
        <f>IF(OR($T1805="",$U1805=""),IF($T1805="","","Not on Firms tab"),INDEX(Firms!$B$5:$B$1004,$U1805)&amp;"")</f>
        <v/>
      </c>
      <c r="C1805" s="78">
        <f>IF($T1805="","",IF($S1805="S","Standard",INDEX('AFA Rates'!$B$5:$B$1004,$T1805)&amp;""))</f>
        <v/>
      </c>
      <c r="D1805" s="88">
        <f>IF($T1805="","",IF($S1805="S",IF(INDEX(Firms!$E$5:$E$1004,$T1805)="","",INDEX(Firms!$E$5:$E$1004,$T1805)),IF(INDEX('AFA Rates'!$C$5:$C$1004,$T1805)="","",INDEX('AFA Rates'!$C$5:$C$1004,$T1805))))</f>
        <v/>
      </c>
      <c r="E1805" s="88">
        <f>IF($T1805="","",IF($S1805="S",IF(""="","",""),IF(INDEX('AFA Rates'!$D$5:$D$1004,$T1805)="","",INDEX('AFA Rates'!$D$5:$D$1004,$T1805))))</f>
        <v/>
      </c>
      <c r="F1805" s="79">
        <f>IF($T1805="","",IF($S1805="S",IF(INDEX(Firms!$O$5:$O$1004,$T1805)="","",INDEX(Firms!$O$5:$O$1004,$T1805)),IF(INDEX('AFA Rates'!$O$5:$O$1004,$T1805)="","",INDEX('AFA Rates'!$O$5:$O$1004,$T1805))))</f>
        <v/>
      </c>
      <c r="G1805" s="50">
        <f>IF($T1805="","",IF($S1805="S",IF(INDEX(Firms!$F$5:$F$1004,$T1805)="","",INDEX(Firms!$F$5:$F$1004,$T1805)),IF(INDEX('AFA Rates'!$E$5:$E$1004,$T1805)="","",INDEX('AFA Rates'!$E$5:$E$1004,$T1805))))</f>
        <v/>
      </c>
      <c r="H1805" s="50">
        <f>IF($T1805="","",IF($S1805="S",IF(INDEX(Firms!$G$5:$G$1004,$T1805)="","",INDEX(Firms!$G$5:$G$1004,$T1805)),IF(INDEX('AFA Rates'!$F$5:$F$1004,$T1805)="","",INDEX('AFA Rates'!$F$5:$F$1004,$T1805))))</f>
        <v/>
      </c>
      <c r="I1805" s="50">
        <f>IF($T1805="","",IF($S1805="S",IF(INDEX(Firms!$H$5:$H$1004,$T1805)="","",INDEX(Firms!$H$5:$H$1004,$T1805)),IF(INDEX('AFA Rates'!$G$5:$G$1004,$T1805)="","",INDEX('AFA Rates'!$G$5:$G$1004,$T1805))))</f>
        <v/>
      </c>
      <c r="J1805" s="50">
        <f>IF($T1805="","",IF($S1805="S",IF(INDEX(Firms!$I$5:$I$1004,$T1805)="","",INDEX(Firms!$I$5:$I$1004,$T1805)),IF(INDEX('AFA Rates'!$H$5:$H$1004,$T1805)="","",INDEX('AFA Rates'!$H$5:$H$1004,$T1805))))</f>
        <v/>
      </c>
      <c r="K1805" s="50">
        <f>IF($T1805="","",IF($S1805="S",IF(INDEX(Firms!$J$5:$J$1004,$T1805)="","",INDEX(Firms!$J$5:$J$1004,$T1805)),IF(INDEX('AFA Rates'!$I$5:$I$1004,$T1805)="","",INDEX('AFA Rates'!$I$5:$I$1004,$T1805))))</f>
        <v/>
      </c>
      <c r="L1805" s="50">
        <f>IF($T1805="","",IF($S1805="S",IF(INDEX(Firms!$K$5:$K$1004,$T1805)="","",INDEX(Firms!$K$5:$K$1004,$T1805)),IF(INDEX('AFA Rates'!$J$5:$J$1004,$T1805)="","",INDEX('AFA Rates'!$J$5:$J$1004,$T1805))))</f>
        <v/>
      </c>
      <c r="M1805" s="50">
        <f>IF($T1805="","",IF($S1805="S",IF(INDEX(Firms!$L$5:$L$1004,$T1805)="","",INDEX(Firms!$L$5:$L$1004,$T1805)),IF(INDEX('AFA Rates'!$K$5:$K$1004,$T1805)="","",INDEX('AFA Rates'!$K$5:$K$1004,$T1805))))</f>
        <v/>
      </c>
      <c r="N1805" s="50">
        <f>IF($T1805="","",IF($S1805="S",IF(INDEX(Firms!$M$5:$M$1004,$T1805)="","",INDEX(Firms!$M$5:$M$1004,$T1805)),IF(INDEX('AFA Rates'!$L$5:$L$1004,$T1805)="","",INDEX('AFA Rates'!$L$5:$L$1004,$T1805))))</f>
        <v/>
      </c>
      <c r="O1805" s="78">
        <f>IF(OR($T1805="",$U1805=""),"",IF(INDEX(Firms!$C$5:$C$1004,$U1805)="","",INDEX(Firms!$C$5:$C$1004,$U1805)))</f>
        <v/>
      </c>
      <c r="P1805" s="79">
        <f>IF(OR($T1805="",$U1805=""),"",IF(INDEX(Firms!$N$5:$N$1004,$U1805)="","",INDEX(Firms!$N$5:$N$1004,$U1805)))</f>
        <v/>
      </c>
      <c r="Q1805" s="78">
        <f>IF($T1805="","",IF($S1805="S",IF(INDEX(Firms!$T$5:$T$1004,$T1805)="","",INDEX(Firms!$T$5:$T$1004,$T1805)),IF(INDEX('AFA Rates'!$M$5:$M$1004,$T1805)="","",INDEX('AFA Rates'!$M$5:$M$1004,$T1805))))</f>
        <v/>
      </c>
      <c r="S1805">
        <f>IF(1801&lt;=$S$2,"S",IF(1801&lt;=$S$2+$T$2,"A",""))</f>
        <v/>
      </c>
      <c r="T1805">
        <f>IF(S1805="S",MATCH(1801,Firms!$W$5:$W$1004,0),IF(S1805="A",IFERROR(MATCH(1801-$S$2,'AFA Rates'!$R$5:$R$1004,0),""),""))</f>
        <v/>
      </c>
      <c r="U1805">
        <f>IF(S1805="S",T1805,IF(AND(S1805="A",T1805&lt;&gt;""),IFERROR(MATCH(INDEX('AFA Rates'!$A$5:$A$1004,T1805),Firms!$A$5:$A$1004,0),""),""))</f>
        <v/>
      </c>
    </row>
    <row r="1806">
      <c r="A1806" s="78">
        <f>IF($T1806="","",IF($S1806="S",IF(INDEX(Firms!$A$5:$A$1004,$T1806)="","",INDEX(Firms!$A$5:$A$1004,$T1806)),IF(INDEX('AFA Rates'!$A$5:$A$1004,$T1806)="","",INDEX('AFA Rates'!$A$5:$A$1004,$T1806))))</f>
        <v/>
      </c>
      <c r="B1806" s="79">
        <f>IF(OR($T1806="",$U1806=""),IF($T1806="","","Not on Firms tab"),INDEX(Firms!$B$5:$B$1004,$U1806)&amp;"")</f>
        <v/>
      </c>
      <c r="C1806" s="78">
        <f>IF($T1806="","",IF($S1806="S","Standard",INDEX('AFA Rates'!$B$5:$B$1004,$T1806)&amp;""))</f>
        <v/>
      </c>
      <c r="D1806" s="88">
        <f>IF($T1806="","",IF($S1806="S",IF(INDEX(Firms!$E$5:$E$1004,$T1806)="","",INDEX(Firms!$E$5:$E$1004,$T1806)),IF(INDEX('AFA Rates'!$C$5:$C$1004,$T1806)="","",INDEX('AFA Rates'!$C$5:$C$1004,$T1806))))</f>
        <v/>
      </c>
      <c r="E1806" s="88">
        <f>IF($T1806="","",IF($S1806="S",IF(""="","",""),IF(INDEX('AFA Rates'!$D$5:$D$1004,$T1806)="","",INDEX('AFA Rates'!$D$5:$D$1004,$T1806))))</f>
        <v/>
      </c>
      <c r="F1806" s="79">
        <f>IF($T1806="","",IF($S1806="S",IF(INDEX(Firms!$O$5:$O$1004,$T1806)="","",INDEX(Firms!$O$5:$O$1004,$T1806)),IF(INDEX('AFA Rates'!$O$5:$O$1004,$T1806)="","",INDEX('AFA Rates'!$O$5:$O$1004,$T1806))))</f>
        <v/>
      </c>
      <c r="G1806" s="50">
        <f>IF($T1806="","",IF($S1806="S",IF(INDEX(Firms!$F$5:$F$1004,$T1806)="","",INDEX(Firms!$F$5:$F$1004,$T1806)),IF(INDEX('AFA Rates'!$E$5:$E$1004,$T1806)="","",INDEX('AFA Rates'!$E$5:$E$1004,$T1806))))</f>
        <v/>
      </c>
      <c r="H1806" s="50">
        <f>IF($T1806="","",IF($S1806="S",IF(INDEX(Firms!$G$5:$G$1004,$T1806)="","",INDEX(Firms!$G$5:$G$1004,$T1806)),IF(INDEX('AFA Rates'!$F$5:$F$1004,$T1806)="","",INDEX('AFA Rates'!$F$5:$F$1004,$T1806))))</f>
        <v/>
      </c>
      <c r="I1806" s="50">
        <f>IF($T1806="","",IF($S1806="S",IF(INDEX(Firms!$H$5:$H$1004,$T1806)="","",INDEX(Firms!$H$5:$H$1004,$T1806)),IF(INDEX('AFA Rates'!$G$5:$G$1004,$T1806)="","",INDEX('AFA Rates'!$G$5:$G$1004,$T1806))))</f>
        <v/>
      </c>
      <c r="J1806" s="50">
        <f>IF($T1806="","",IF($S1806="S",IF(INDEX(Firms!$I$5:$I$1004,$T1806)="","",INDEX(Firms!$I$5:$I$1004,$T1806)),IF(INDEX('AFA Rates'!$H$5:$H$1004,$T1806)="","",INDEX('AFA Rates'!$H$5:$H$1004,$T1806))))</f>
        <v/>
      </c>
      <c r="K1806" s="50">
        <f>IF($T1806="","",IF($S1806="S",IF(INDEX(Firms!$J$5:$J$1004,$T1806)="","",INDEX(Firms!$J$5:$J$1004,$T1806)),IF(INDEX('AFA Rates'!$I$5:$I$1004,$T1806)="","",INDEX('AFA Rates'!$I$5:$I$1004,$T1806))))</f>
        <v/>
      </c>
      <c r="L1806" s="50">
        <f>IF($T1806="","",IF($S1806="S",IF(INDEX(Firms!$K$5:$K$1004,$T1806)="","",INDEX(Firms!$K$5:$K$1004,$T1806)),IF(INDEX('AFA Rates'!$J$5:$J$1004,$T1806)="","",INDEX('AFA Rates'!$J$5:$J$1004,$T1806))))</f>
        <v/>
      </c>
      <c r="M1806" s="50">
        <f>IF($T1806="","",IF($S1806="S",IF(INDEX(Firms!$L$5:$L$1004,$T1806)="","",INDEX(Firms!$L$5:$L$1004,$T1806)),IF(INDEX('AFA Rates'!$K$5:$K$1004,$T1806)="","",INDEX('AFA Rates'!$K$5:$K$1004,$T1806))))</f>
        <v/>
      </c>
      <c r="N1806" s="50">
        <f>IF($T1806="","",IF($S1806="S",IF(INDEX(Firms!$M$5:$M$1004,$T1806)="","",INDEX(Firms!$M$5:$M$1004,$T1806)),IF(INDEX('AFA Rates'!$L$5:$L$1004,$T1806)="","",INDEX('AFA Rates'!$L$5:$L$1004,$T1806))))</f>
        <v/>
      </c>
      <c r="O1806" s="78">
        <f>IF(OR($T1806="",$U1806=""),"",IF(INDEX(Firms!$C$5:$C$1004,$U1806)="","",INDEX(Firms!$C$5:$C$1004,$U1806)))</f>
        <v/>
      </c>
      <c r="P1806" s="79">
        <f>IF(OR($T1806="",$U1806=""),"",IF(INDEX(Firms!$N$5:$N$1004,$U1806)="","",INDEX(Firms!$N$5:$N$1004,$U1806)))</f>
        <v/>
      </c>
      <c r="Q1806" s="78">
        <f>IF($T1806="","",IF($S1806="S",IF(INDEX(Firms!$T$5:$T$1004,$T1806)="","",INDEX(Firms!$T$5:$T$1004,$T1806)),IF(INDEX('AFA Rates'!$M$5:$M$1004,$T1806)="","",INDEX('AFA Rates'!$M$5:$M$1004,$T1806))))</f>
        <v/>
      </c>
      <c r="S1806">
        <f>IF(1802&lt;=$S$2,"S",IF(1802&lt;=$S$2+$T$2,"A",""))</f>
        <v/>
      </c>
      <c r="T1806">
        <f>IF(S1806="S",MATCH(1802,Firms!$W$5:$W$1004,0),IF(S1806="A",IFERROR(MATCH(1802-$S$2,'AFA Rates'!$R$5:$R$1004,0),""),""))</f>
        <v/>
      </c>
      <c r="U1806">
        <f>IF(S1806="S",T1806,IF(AND(S1806="A",T1806&lt;&gt;""),IFERROR(MATCH(INDEX('AFA Rates'!$A$5:$A$1004,T1806),Firms!$A$5:$A$1004,0),""),""))</f>
        <v/>
      </c>
    </row>
    <row r="1807">
      <c r="A1807" s="78">
        <f>IF($T1807="","",IF($S1807="S",IF(INDEX(Firms!$A$5:$A$1004,$T1807)="","",INDEX(Firms!$A$5:$A$1004,$T1807)),IF(INDEX('AFA Rates'!$A$5:$A$1004,$T1807)="","",INDEX('AFA Rates'!$A$5:$A$1004,$T1807))))</f>
        <v/>
      </c>
      <c r="B1807" s="79">
        <f>IF(OR($T1807="",$U1807=""),IF($T1807="","","Not on Firms tab"),INDEX(Firms!$B$5:$B$1004,$U1807)&amp;"")</f>
        <v/>
      </c>
      <c r="C1807" s="78">
        <f>IF($T1807="","",IF($S1807="S","Standard",INDEX('AFA Rates'!$B$5:$B$1004,$T1807)&amp;""))</f>
        <v/>
      </c>
      <c r="D1807" s="88">
        <f>IF($T1807="","",IF($S1807="S",IF(INDEX(Firms!$E$5:$E$1004,$T1807)="","",INDEX(Firms!$E$5:$E$1004,$T1807)),IF(INDEX('AFA Rates'!$C$5:$C$1004,$T1807)="","",INDEX('AFA Rates'!$C$5:$C$1004,$T1807))))</f>
        <v/>
      </c>
      <c r="E1807" s="88">
        <f>IF($T1807="","",IF($S1807="S",IF(""="","",""),IF(INDEX('AFA Rates'!$D$5:$D$1004,$T1807)="","",INDEX('AFA Rates'!$D$5:$D$1004,$T1807))))</f>
        <v/>
      </c>
      <c r="F1807" s="79">
        <f>IF($T1807="","",IF($S1807="S",IF(INDEX(Firms!$O$5:$O$1004,$T1807)="","",INDEX(Firms!$O$5:$O$1004,$T1807)),IF(INDEX('AFA Rates'!$O$5:$O$1004,$T1807)="","",INDEX('AFA Rates'!$O$5:$O$1004,$T1807))))</f>
        <v/>
      </c>
      <c r="G1807" s="50">
        <f>IF($T1807="","",IF($S1807="S",IF(INDEX(Firms!$F$5:$F$1004,$T1807)="","",INDEX(Firms!$F$5:$F$1004,$T1807)),IF(INDEX('AFA Rates'!$E$5:$E$1004,$T1807)="","",INDEX('AFA Rates'!$E$5:$E$1004,$T1807))))</f>
        <v/>
      </c>
      <c r="H1807" s="50">
        <f>IF($T1807="","",IF($S1807="S",IF(INDEX(Firms!$G$5:$G$1004,$T1807)="","",INDEX(Firms!$G$5:$G$1004,$T1807)),IF(INDEX('AFA Rates'!$F$5:$F$1004,$T1807)="","",INDEX('AFA Rates'!$F$5:$F$1004,$T1807))))</f>
        <v/>
      </c>
      <c r="I1807" s="50">
        <f>IF($T1807="","",IF($S1807="S",IF(INDEX(Firms!$H$5:$H$1004,$T1807)="","",INDEX(Firms!$H$5:$H$1004,$T1807)),IF(INDEX('AFA Rates'!$G$5:$G$1004,$T1807)="","",INDEX('AFA Rates'!$G$5:$G$1004,$T1807))))</f>
        <v/>
      </c>
      <c r="J1807" s="50">
        <f>IF($T1807="","",IF($S1807="S",IF(INDEX(Firms!$I$5:$I$1004,$T1807)="","",INDEX(Firms!$I$5:$I$1004,$T1807)),IF(INDEX('AFA Rates'!$H$5:$H$1004,$T1807)="","",INDEX('AFA Rates'!$H$5:$H$1004,$T1807))))</f>
        <v/>
      </c>
      <c r="K1807" s="50">
        <f>IF($T1807="","",IF($S1807="S",IF(INDEX(Firms!$J$5:$J$1004,$T1807)="","",INDEX(Firms!$J$5:$J$1004,$T1807)),IF(INDEX('AFA Rates'!$I$5:$I$1004,$T1807)="","",INDEX('AFA Rates'!$I$5:$I$1004,$T1807))))</f>
        <v/>
      </c>
      <c r="L1807" s="50">
        <f>IF($T1807="","",IF($S1807="S",IF(INDEX(Firms!$K$5:$K$1004,$T1807)="","",INDEX(Firms!$K$5:$K$1004,$T1807)),IF(INDEX('AFA Rates'!$J$5:$J$1004,$T1807)="","",INDEX('AFA Rates'!$J$5:$J$1004,$T1807))))</f>
        <v/>
      </c>
      <c r="M1807" s="50">
        <f>IF($T1807="","",IF($S1807="S",IF(INDEX(Firms!$L$5:$L$1004,$T1807)="","",INDEX(Firms!$L$5:$L$1004,$T1807)),IF(INDEX('AFA Rates'!$K$5:$K$1004,$T1807)="","",INDEX('AFA Rates'!$K$5:$K$1004,$T1807))))</f>
        <v/>
      </c>
      <c r="N1807" s="50">
        <f>IF($T1807="","",IF($S1807="S",IF(INDEX(Firms!$M$5:$M$1004,$T1807)="","",INDEX(Firms!$M$5:$M$1004,$T1807)),IF(INDEX('AFA Rates'!$L$5:$L$1004,$T1807)="","",INDEX('AFA Rates'!$L$5:$L$1004,$T1807))))</f>
        <v/>
      </c>
      <c r="O1807" s="78">
        <f>IF(OR($T1807="",$U1807=""),"",IF(INDEX(Firms!$C$5:$C$1004,$U1807)="","",INDEX(Firms!$C$5:$C$1004,$U1807)))</f>
        <v/>
      </c>
      <c r="P1807" s="79">
        <f>IF(OR($T1807="",$U1807=""),"",IF(INDEX(Firms!$N$5:$N$1004,$U1807)="","",INDEX(Firms!$N$5:$N$1004,$U1807)))</f>
        <v/>
      </c>
      <c r="Q1807" s="78">
        <f>IF($T1807="","",IF($S1807="S",IF(INDEX(Firms!$T$5:$T$1004,$T1807)="","",INDEX(Firms!$T$5:$T$1004,$T1807)),IF(INDEX('AFA Rates'!$M$5:$M$1004,$T1807)="","",INDEX('AFA Rates'!$M$5:$M$1004,$T1807))))</f>
        <v/>
      </c>
      <c r="S1807">
        <f>IF(1803&lt;=$S$2,"S",IF(1803&lt;=$S$2+$T$2,"A",""))</f>
        <v/>
      </c>
      <c r="T1807">
        <f>IF(S1807="S",MATCH(1803,Firms!$W$5:$W$1004,0),IF(S1807="A",IFERROR(MATCH(1803-$S$2,'AFA Rates'!$R$5:$R$1004,0),""),""))</f>
        <v/>
      </c>
      <c r="U1807">
        <f>IF(S1807="S",T1807,IF(AND(S1807="A",T1807&lt;&gt;""),IFERROR(MATCH(INDEX('AFA Rates'!$A$5:$A$1004,T1807),Firms!$A$5:$A$1004,0),""),""))</f>
        <v/>
      </c>
    </row>
    <row r="1808">
      <c r="A1808" s="78">
        <f>IF($T1808="","",IF($S1808="S",IF(INDEX(Firms!$A$5:$A$1004,$T1808)="","",INDEX(Firms!$A$5:$A$1004,$T1808)),IF(INDEX('AFA Rates'!$A$5:$A$1004,$T1808)="","",INDEX('AFA Rates'!$A$5:$A$1004,$T1808))))</f>
        <v/>
      </c>
      <c r="B1808" s="79">
        <f>IF(OR($T1808="",$U1808=""),IF($T1808="","","Not on Firms tab"),INDEX(Firms!$B$5:$B$1004,$U1808)&amp;"")</f>
        <v/>
      </c>
      <c r="C1808" s="78">
        <f>IF($T1808="","",IF($S1808="S","Standard",INDEX('AFA Rates'!$B$5:$B$1004,$T1808)&amp;""))</f>
        <v/>
      </c>
      <c r="D1808" s="88">
        <f>IF($T1808="","",IF($S1808="S",IF(INDEX(Firms!$E$5:$E$1004,$T1808)="","",INDEX(Firms!$E$5:$E$1004,$T1808)),IF(INDEX('AFA Rates'!$C$5:$C$1004,$T1808)="","",INDEX('AFA Rates'!$C$5:$C$1004,$T1808))))</f>
        <v/>
      </c>
      <c r="E1808" s="88">
        <f>IF($T1808="","",IF($S1808="S",IF(""="","",""),IF(INDEX('AFA Rates'!$D$5:$D$1004,$T1808)="","",INDEX('AFA Rates'!$D$5:$D$1004,$T1808))))</f>
        <v/>
      </c>
      <c r="F1808" s="79">
        <f>IF($T1808="","",IF($S1808="S",IF(INDEX(Firms!$O$5:$O$1004,$T1808)="","",INDEX(Firms!$O$5:$O$1004,$T1808)),IF(INDEX('AFA Rates'!$O$5:$O$1004,$T1808)="","",INDEX('AFA Rates'!$O$5:$O$1004,$T1808))))</f>
        <v/>
      </c>
      <c r="G1808" s="50">
        <f>IF($T1808="","",IF($S1808="S",IF(INDEX(Firms!$F$5:$F$1004,$T1808)="","",INDEX(Firms!$F$5:$F$1004,$T1808)),IF(INDEX('AFA Rates'!$E$5:$E$1004,$T1808)="","",INDEX('AFA Rates'!$E$5:$E$1004,$T1808))))</f>
        <v/>
      </c>
      <c r="H1808" s="50">
        <f>IF($T1808="","",IF($S1808="S",IF(INDEX(Firms!$G$5:$G$1004,$T1808)="","",INDEX(Firms!$G$5:$G$1004,$T1808)),IF(INDEX('AFA Rates'!$F$5:$F$1004,$T1808)="","",INDEX('AFA Rates'!$F$5:$F$1004,$T1808))))</f>
        <v/>
      </c>
      <c r="I1808" s="50">
        <f>IF($T1808="","",IF($S1808="S",IF(INDEX(Firms!$H$5:$H$1004,$T1808)="","",INDEX(Firms!$H$5:$H$1004,$T1808)),IF(INDEX('AFA Rates'!$G$5:$G$1004,$T1808)="","",INDEX('AFA Rates'!$G$5:$G$1004,$T1808))))</f>
        <v/>
      </c>
      <c r="J1808" s="50">
        <f>IF($T1808="","",IF($S1808="S",IF(INDEX(Firms!$I$5:$I$1004,$T1808)="","",INDEX(Firms!$I$5:$I$1004,$T1808)),IF(INDEX('AFA Rates'!$H$5:$H$1004,$T1808)="","",INDEX('AFA Rates'!$H$5:$H$1004,$T1808))))</f>
        <v/>
      </c>
      <c r="K1808" s="50">
        <f>IF($T1808="","",IF($S1808="S",IF(INDEX(Firms!$J$5:$J$1004,$T1808)="","",INDEX(Firms!$J$5:$J$1004,$T1808)),IF(INDEX('AFA Rates'!$I$5:$I$1004,$T1808)="","",INDEX('AFA Rates'!$I$5:$I$1004,$T1808))))</f>
        <v/>
      </c>
      <c r="L1808" s="50">
        <f>IF($T1808="","",IF($S1808="S",IF(INDEX(Firms!$K$5:$K$1004,$T1808)="","",INDEX(Firms!$K$5:$K$1004,$T1808)),IF(INDEX('AFA Rates'!$J$5:$J$1004,$T1808)="","",INDEX('AFA Rates'!$J$5:$J$1004,$T1808))))</f>
        <v/>
      </c>
      <c r="M1808" s="50">
        <f>IF($T1808="","",IF($S1808="S",IF(INDEX(Firms!$L$5:$L$1004,$T1808)="","",INDEX(Firms!$L$5:$L$1004,$T1808)),IF(INDEX('AFA Rates'!$K$5:$K$1004,$T1808)="","",INDEX('AFA Rates'!$K$5:$K$1004,$T1808))))</f>
        <v/>
      </c>
      <c r="N1808" s="50">
        <f>IF($T1808="","",IF($S1808="S",IF(INDEX(Firms!$M$5:$M$1004,$T1808)="","",INDEX(Firms!$M$5:$M$1004,$T1808)),IF(INDEX('AFA Rates'!$L$5:$L$1004,$T1808)="","",INDEX('AFA Rates'!$L$5:$L$1004,$T1808))))</f>
        <v/>
      </c>
      <c r="O1808" s="78">
        <f>IF(OR($T1808="",$U1808=""),"",IF(INDEX(Firms!$C$5:$C$1004,$U1808)="","",INDEX(Firms!$C$5:$C$1004,$U1808)))</f>
        <v/>
      </c>
      <c r="P1808" s="79">
        <f>IF(OR($T1808="",$U1808=""),"",IF(INDEX(Firms!$N$5:$N$1004,$U1808)="","",INDEX(Firms!$N$5:$N$1004,$U1808)))</f>
        <v/>
      </c>
      <c r="Q1808" s="78">
        <f>IF($T1808="","",IF($S1808="S",IF(INDEX(Firms!$T$5:$T$1004,$T1808)="","",INDEX(Firms!$T$5:$T$1004,$T1808)),IF(INDEX('AFA Rates'!$M$5:$M$1004,$T1808)="","",INDEX('AFA Rates'!$M$5:$M$1004,$T1808))))</f>
        <v/>
      </c>
      <c r="S1808">
        <f>IF(1804&lt;=$S$2,"S",IF(1804&lt;=$S$2+$T$2,"A",""))</f>
        <v/>
      </c>
      <c r="T1808">
        <f>IF(S1808="S",MATCH(1804,Firms!$W$5:$W$1004,0),IF(S1808="A",IFERROR(MATCH(1804-$S$2,'AFA Rates'!$R$5:$R$1004,0),""),""))</f>
        <v/>
      </c>
      <c r="U1808">
        <f>IF(S1808="S",T1808,IF(AND(S1808="A",T1808&lt;&gt;""),IFERROR(MATCH(INDEX('AFA Rates'!$A$5:$A$1004,T1808),Firms!$A$5:$A$1004,0),""),""))</f>
        <v/>
      </c>
    </row>
    <row r="1809">
      <c r="A1809" s="78">
        <f>IF($T1809="","",IF($S1809="S",IF(INDEX(Firms!$A$5:$A$1004,$T1809)="","",INDEX(Firms!$A$5:$A$1004,$T1809)),IF(INDEX('AFA Rates'!$A$5:$A$1004,$T1809)="","",INDEX('AFA Rates'!$A$5:$A$1004,$T1809))))</f>
        <v/>
      </c>
      <c r="B1809" s="79">
        <f>IF(OR($T1809="",$U1809=""),IF($T1809="","","Not on Firms tab"),INDEX(Firms!$B$5:$B$1004,$U1809)&amp;"")</f>
        <v/>
      </c>
      <c r="C1809" s="78">
        <f>IF($T1809="","",IF($S1809="S","Standard",INDEX('AFA Rates'!$B$5:$B$1004,$T1809)&amp;""))</f>
        <v/>
      </c>
      <c r="D1809" s="88">
        <f>IF($T1809="","",IF($S1809="S",IF(INDEX(Firms!$E$5:$E$1004,$T1809)="","",INDEX(Firms!$E$5:$E$1004,$T1809)),IF(INDEX('AFA Rates'!$C$5:$C$1004,$T1809)="","",INDEX('AFA Rates'!$C$5:$C$1004,$T1809))))</f>
        <v/>
      </c>
      <c r="E1809" s="88">
        <f>IF($T1809="","",IF($S1809="S",IF(""="","",""),IF(INDEX('AFA Rates'!$D$5:$D$1004,$T1809)="","",INDEX('AFA Rates'!$D$5:$D$1004,$T1809))))</f>
        <v/>
      </c>
      <c r="F1809" s="79">
        <f>IF($T1809="","",IF($S1809="S",IF(INDEX(Firms!$O$5:$O$1004,$T1809)="","",INDEX(Firms!$O$5:$O$1004,$T1809)),IF(INDEX('AFA Rates'!$O$5:$O$1004,$T1809)="","",INDEX('AFA Rates'!$O$5:$O$1004,$T1809))))</f>
        <v/>
      </c>
      <c r="G1809" s="50">
        <f>IF($T1809="","",IF($S1809="S",IF(INDEX(Firms!$F$5:$F$1004,$T1809)="","",INDEX(Firms!$F$5:$F$1004,$T1809)),IF(INDEX('AFA Rates'!$E$5:$E$1004,$T1809)="","",INDEX('AFA Rates'!$E$5:$E$1004,$T1809))))</f>
        <v/>
      </c>
      <c r="H1809" s="50">
        <f>IF($T1809="","",IF($S1809="S",IF(INDEX(Firms!$G$5:$G$1004,$T1809)="","",INDEX(Firms!$G$5:$G$1004,$T1809)),IF(INDEX('AFA Rates'!$F$5:$F$1004,$T1809)="","",INDEX('AFA Rates'!$F$5:$F$1004,$T1809))))</f>
        <v/>
      </c>
      <c r="I1809" s="50">
        <f>IF($T1809="","",IF($S1809="S",IF(INDEX(Firms!$H$5:$H$1004,$T1809)="","",INDEX(Firms!$H$5:$H$1004,$T1809)),IF(INDEX('AFA Rates'!$G$5:$G$1004,$T1809)="","",INDEX('AFA Rates'!$G$5:$G$1004,$T1809))))</f>
        <v/>
      </c>
      <c r="J1809" s="50">
        <f>IF($T1809="","",IF($S1809="S",IF(INDEX(Firms!$I$5:$I$1004,$T1809)="","",INDEX(Firms!$I$5:$I$1004,$T1809)),IF(INDEX('AFA Rates'!$H$5:$H$1004,$T1809)="","",INDEX('AFA Rates'!$H$5:$H$1004,$T1809))))</f>
        <v/>
      </c>
      <c r="K1809" s="50">
        <f>IF($T1809="","",IF($S1809="S",IF(INDEX(Firms!$J$5:$J$1004,$T1809)="","",INDEX(Firms!$J$5:$J$1004,$T1809)),IF(INDEX('AFA Rates'!$I$5:$I$1004,$T1809)="","",INDEX('AFA Rates'!$I$5:$I$1004,$T1809))))</f>
        <v/>
      </c>
      <c r="L1809" s="50">
        <f>IF($T1809="","",IF($S1809="S",IF(INDEX(Firms!$K$5:$K$1004,$T1809)="","",INDEX(Firms!$K$5:$K$1004,$T1809)),IF(INDEX('AFA Rates'!$J$5:$J$1004,$T1809)="","",INDEX('AFA Rates'!$J$5:$J$1004,$T1809))))</f>
        <v/>
      </c>
      <c r="M1809" s="50">
        <f>IF($T1809="","",IF($S1809="S",IF(INDEX(Firms!$L$5:$L$1004,$T1809)="","",INDEX(Firms!$L$5:$L$1004,$T1809)),IF(INDEX('AFA Rates'!$K$5:$K$1004,$T1809)="","",INDEX('AFA Rates'!$K$5:$K$1004,$T1809))))</f>
        <v/>
      </c>
      <c r="N1809" s="50">
        <f>IF($T1809="","",IF($S1809="S",IF(INDEX(Firms!$M$5:$M$1004,$T1809)="","",INDEX(Firms!$M$5:$M$1004,$T1809)),IF(INDEX('AFA Rates'!$L$5:$L$1004,$T1809)="","",INDEX('AFA Rates'!$L$5:$L$1004,$T1809))))</f>
        <v/>
      </c>
      <c r="O1809" s="78">
        <f>IF(OR($T1809="",$U1809=""),"",IF(INDEX(Firms!$C$5:$C$1004,$U1809)="","",INDEX(Firms!$C$5:$C$1004,$U1809)))</f>
        <v/>
      </c>
      <c r="P1809" s="79">
        <f>IF(OR($T1809="",$U1809=""),"",IF(INDEX(Firms!$N$5:$N$1004,$U1809)="","",INDEX(Firms!$N$5:$N$1004,$U1809)))</f>
        <v/>
      </c>
      <c r="Q1809" s="78">
        <f>IF($T1809="","",IF($S1809="S",IF(INDEX(Firms!$T$5:$T$1004,$T1809)="","",INDEX(Firms!$T$5:$T$1004,$T1809)),IF(INDEX('AFA Rates'!$M$5:$M$1004,$T1809)="","",INDEX('AFA Rates'!$M$5:$M$1004,$T1809))))</f>
        <v/>
      </c>
      <c r="S1809">
        <f>IF(1805&lt;=$S$2,"S",IF(1805&lt;=$S$2+$T$2,"A",""))</f>
        <v/>
      </c>
      <c r="T1809">
        <f>IF(S1809="S",MATCH(1805,Firms!$W$5:$W$1004,0),IF(S1809="A",IFERROR(MATCH(1805-$S$2,'AFA Rates'!$R$5:$R$1004,0),""),""))</f>
        <v/>
      </c>
      <c r="U1809">
        <f>IF(S1809="S",T1809,IF(AND(S1809="A",T1809&lt;&gt;""),IFERROR(MATCH(INDEX('AFA Rates'!$A$5:$A$1004,T1809),Firms!$A$5:$A$1004,0),""),""))</f>
        <v/>
      </c>
    </row>
    <row r="1810">
      <c r="A1810" s="78">
        <f>IF($T1810="","",IF($S1810="S",IF(INDEX(Firms!$A$5:$A$1004,$T1810)="","",INDEX(Firms!$A$5:$A$1004,$T1810)),IF(INDEX('AFA Rates'!$A$5:$A$1004,$T1810)="","",INDEX('AFA Rates'!$A$5:$A$1004,$T1810))))</f>
        <v/>
      </c>
      <c r="B1810" s="79">
        <f>IF(OR($T1810="",$U1810=""),IF($T1810="","","Not on Firms tab"),INDEX(Firms!$B$5:$B$1004,$U1810)&amp;"")</f>
        <v/>
      </c>
      <c r="C1810" s="78">
        <f>IF($T1810="","",IF($S1810="S","Standard",INDEX('AFA Rates'!$B$5:$B$1004,$T1810)&amp;""))</f>
        <v/>
      </c>
      <c r="D1810" s="88">
        <f>IF($T1810="","",IF($S1810="S",IF(INDEX(Firms!$E$5:$E$1004,$T1810)="","",INDEX(Firms!$E$5:$E$1004,$T1810)),IF(INDEX('AFA Rates'!$C$5:$C$1004,$T1810)="","",INDEX('AFA Rates'!$C$5:$C$1004,$T1810))))</f>
        <v/>
      </c>
      <c r="E1810" s="88">
        <f>IF($T1810="","",IF($S1810="S",IF(""="","",""),IF(INDEX('AFA Rates'!$D$5:$D$1004,$T1810)="","",INDEX('AFA Rates'!$D$5:$D$1004,$T1810))))</f>
        <v/>
      </c>
      <c r="F1810" s="79">
        <f>IF($T1810="","",IF($S1810="S",IF(INDEX(Firms!$O$5:$O$1004,$T1810)="","",INDEX(Firms!$O$5:$O$1004,$T1810)),IF(INDEX('AFA Rates'!$O$5:$O$1004,$T1810)="","",INDEX('AFA Rates'!$O$5:$O$1004,$T1810))))</f>
        <v/>
      </c>
      <c r="G1810" s="50">
        <f>IF($T1810="","",IF($S1810="S",IF(INDEX(Firms!$F$5:$F$1004,$T1810)="","",INDEX(Firms!$F$5:$F$1004,$T1810)),IF(INDEX('AFA Rates'!$E$5:$E$1004,$T1810)="","",INDEX('AFA Rates'!$E$5:$E$1004,$T1810))))</f>
        <v/>
      </c>
      <c r="H1810" s="50">
        <f>IF($T1810="","",IF($S1810="S",IF(INDEX(Firms!$G$5:$G$1004,$T1810)="","",INDEX(Firms!$G$5:$G$1004,$T1810)),IF(INDEX('AFA Rates'!$F$5:$F$1004,$T1810)="","",INDEX('AFA Rates'!$F$5:$F$1004,$T1810))))</f>
        <v/>
      </c>
      <c r="I1810" s="50">
        <f>IF($T1810="","",IF($S1810="S",IF(INDEX(Firms!$H$5:$H$1004,$T1810)="","",INDEX(Firms!$H$5:$H$1004,$T1810)),IF(INDEX('AFA Rates'!$G$5:$G$1004,$T1810)="","",INDEX('AFA Rates'!$G$5:$G$1004,$T1810))))</f>
        <v/>
      </c>
      <c r="J1810" s="50">
        <f>IF($T1810="","",IF($S1810="S",IF(INDEX(Firms!$I$5:$I$1004,$T1810)="","",INDEX(Firms!$I$5:$I$1004,$T1810)),IF(INDEX('AFA Rates'!$H$5:$H$1004,$T1810)="","",INDEX('AFA Rates'!$H$5:$H$1004,$T1810))))</f>
        <v/>
      </c>
      <c r="K1810" s="50">
        <f>IF($T1810="","",IF($S1810="S",IF(INDEX(Firms!$J$5:$J$1004,$T1810)="","",INDEX(Firms!$J$5:$J$1004,$T1810)),IF(INDEX('AFA Rates'!$I$5:$I$1004,$T1810)="","",INDEX('AFA Rates'!$I$5:$I$1004,$T1810))))</f>
        <v/>
      </c>
      <c r="L1810" s="50">
        <f>IF($T1810="","",IF($S1810="S",IF(INDEX(Firms!$K$5:$K$1004,$T1810)="","",INDEX(Firms!$K$5:$K$1004,$T1810)),IF(INDEX('AFA Rates'!$J$5:$J$1004,$T1810)="","",INDEX('AFA Rates'!$J$5:$J$1004,$T1810))))</f>
        <v/>
      </c>
      <c r="M1810" s="50">
        <f>IF($T1810="","",IF($S1810="S",IF(INDEX(Firms!$L$5:$L$1004,$T1810)="","",INDEX(Firms!$L$5:$L$1004,$T1810)),IF(INDEX('AFA Rates'!$K$5:$K$1004,$T1810)="","",INDEX('AFA Rates'!$K$5:$K$1004,$T1810))))</f>
        <v/>
      </c>
      <c r="N1810" s="50">
        <f>IF($T1810="","",IF($S1810="S",IF(INDEX(Firms!$M$5:$M$1004,$T1810)="","",INDEX(Firms!$M$5:$M$1004,$T1810)),IF(INDEX('AFA Rates'!$L$5:$L$1004,$T1810)="","",INDEX('AFA Rates'!$L$5:$L$1004,$T1810))))</f>
        <v/>
      </c>
      <c r="O1810" s="78">
        <f>IF(OR($T1810="",$U1810=""),"",IF(INDEX(Firms!$C$5:$C$1004,$U1810)="","",INDEX(Firms!$C$5:$C$1004,$U1810)))</f>
        <v/>
      </c>
      <c r="P1810" s="79">
        <f>IF(OR($T1810="",$U1810=""),"",IF(INDEX(Firms!$N$5:$N$1004,$U1810)="","",INDEX(Firms!$N$5:$N$1004,$U1810)))</f>
        <v/>
      </c>
      <c r="Q1810" s="78">
        <f>IF($T1810="","",IF($S1810="S",IF(INDEX(Firms!$T$5:$T$1004,$T1810)="","",INDEX(Firms!$T$5:$T$1004,$T1810)),IF(INDEX('AFA Rates'!$M$5:$M$1004,$T1810)="","",INDEX('AFA Rates'!$M$5:$M$1004,$T1810))))</f>
        <v/>
      </c>
      <c r="S1810">
        <f>IF(1806&lt;=$S$2,"S",IF(1806&lt;=$S$2+$T$2,"A",""))</f>
        <v/>
      </c>
      <c r="T1810">
        <f>IF(S1810="S",MATCH(1806,Firms!$W$5:$W$1004,0),IF(S1810="A",IFERROR(MATCH(1806-$S$2,'AFA Rates'!$R$5:$R$1004,0),""),""))</f>
        <v/>
      </c>
      <c r="U1810">
        <f>IF(S1810="S",T1810,IF(AND(S1810="A",T1810&lt;&gt;""),IFERROR(MATCH(INDEX('AFA Rates'!$A$5:$A$1004,T1810),Firms!$A$5:$A$1004,0),""),""))</f>
        <v/>
      </c>
    </row>
    <row r="1811">
      <c r="A1811" s="78">
        <f>IF($T1811="","",IF($S1811="S",IF(INDEX(Firms!$A$5:$A$1004,$T1811)="","",INDEX(Firms!$A$5:$A$1004,$T1811)),IF(INDEX('AFA Rates'!$A$5:$A$1004,$T1811)="","",INDEX('AFA Rates'!$A$5:$A$1004,$T1811))))</f>
        <v/>
      </c>
      <c r="B1811" s="79">
        <f>IF(OR($T1811="",$U1811=""),IF($T1811="","","Not on Firms tab"),INDEX(Firms!$B$5:$B$1004,$U1811)&amp;"")</f>
        <v/>
      </c>
      <c r="C1811" s="78">
        <f>IF($T1811="","",IF($S1811="S","Standard",INDEX('AFA Rates'!$B$5:$B$1004,$T1811)&amp;""))</f>
        <v/>
      </c>
      <c r="D1811" s="88">
        <f>IF($T1811="","",IF($S1811="S",IF(INDEX(Firms!$E$5:$E$1004,$T1811)="","",INDEX(Firms!$E$5:$E$1004,$T1811)),IF(INDEX('AFA Rates'!$C$5:$C$1004,$T1811)="","",INDEX('AFA Rates'!$C$5:$C$1004,$T1811))))</f>
        <v/>
      </c>
      <c r="E1811" s="88">
        <f>IF($T1811="","",IF($S1811="S",IF(""="","",""),IF(INDEX('AFA Rates'!$D$5:$D$1004,$T1811)="","",INDEX('AFA Rates'!$D$5:$D$1004,$T1811))))</f>
        <v/>
      </c>
      <c r="F1811" s="79">
        <f>IF($T1811="","",IF($S1811="S",IF(INDEX(Firms!$O$5:$O$1004,$T1811)="","",INDEX(Firms!$O$5:$O$1004,$T1811)),IF(INDEX('AFA Rates'!$O$5:$O$1004,$T1811)="","",INDEX('AFA Rates'!$O$5:$O$1004,$T1811))))</f>
        <v/>
      </c>
      <c r="G1811" s="50">
        <f>IF($T1811="","",IF($S1811="S",IF(INDEX(Firms!$F$5:$F$1004,$T1811)="","",INDEX(Firms!$F$5:$F$1004,$T1811)),IF(INDEX('AFA Rates'!$E$5:$E$1004,$T1811)="","",INDEX('AFA Rates'!$E$5:$E$1004,$T1811))))</f>
        <v/>
      </c>
      <c r="H1811" s="50">
        <f>IF($T1811="","",IF($S1811="S",IF(INDEX(Firms!$G$5:$G$1004,$T1811)="","",INDEX(Firms!$G$5:$G$1004,$T1811)),IF(INDEX('AFA Rates'!$F$5:$F$1004,$T1811)="","",INDEX('AFA Rates'!$F$5:$F$1004,$T1811))))</f>
        <v/>
      </c>
      <c r="I1811" s="50">
        <f>IF($T1811="","",IF($S1811="S",IF(INDEX(Firms!$H$5:$H$1004,$T1811)="","",INDEX(Firms!$H$5:$H$1004,$T1811)),IF(INDEX('AFA Rates'!$G$5:$G$1004,$T1811)="","",INDEX('AFA Rates'!$G$5:$G$1004,$T1811))))</f>
        <v/>
      </c>
      <c r="J1811" s="50">
        <f>IF($T1811="","",IF($S1811="S",IF(INDEX(Firms!$I$5:$I$1004,$T1811)="","",INDEX(Firms!$I$5:$I$1004,$T1811)),IF(INDEX('AFA Rates'!$H$5:$H$1004,$T1811)="","",INDEX('AFA Rates'!$H$5:$H$1004,$T1811))))</f>
        <v/>
      </c>
      <c r="K1811" s="50">
        <f>IF($T1811="","",IF($S1811="S",IF(INDEX(Firms!$J$5:$J$1004,$T1811)="","",INDEX(Firms!$J$5:$J$1004,$T1811)),IF(INDEX('AFA Rates'!$I$5:$I$1004,$T1811)="","",INDEX('AFA Rates'!$I$5:$I$1004,$T1811))))</f>
        <v/>
      </c>
      <c r="L1811" s="50">
        <f>IF($T1811="","",IF($S1811="S",IF(INDEX(Firms!$K$5:$K$1004,$T1811)="","",INDEX(Firms!$K$5:$K$1004,$T1811)),IF(INDEX('AFA Rates'!$J$5:$J$1004,$T1811)="","",INDEX('AFA Rates'!$J$5:$J$1004,$T1811))))</f>
        <v/>
      </c>
      <c r="M1811" s="50">
        <f>IF($T1811="","",IF($S1811="S",IF(INDEX(Firms!$L$5:$L$1004,$T1811)="","",INDEX(Firms!$L$5:$L$1004,$T1811)),IF(INDEX('AFA Rates'!$K$5:$K$1004,$T1811)="","",INDEX('AFA Rates'!$K$5:$K$1004,$T1811))))</f>
        <v/>
      </c>
      <c r="N1811" s="50">
        <f>IF($T1811="","",IF($S1811="S",IF(INDEX(Firms!$M$5:$M$1004,$T1811)="","",INDEX(Firms!$M$5:$M$1004,$T1811)),IF(INDEX('AFA Rates'!$L$5:$L$1004,$T1811)="","",INDEX('AFA Rates'!$L$5:$L$1004,$T1811))))</f>
        <v/>
      </c>
      <c r="O1811" s="78">
        <f>IF(OR($T1811="",$U1811=""),"",IF(INDEX(Firms!$C$5:$C$1004,$U1811)="","",INDEX(Firms!$C$5:$C$1004,$U1811)))</f>
        <v/>
      </c>
      <c r="P1811" s="79">
        <f>IF(OR($T1811="",$U1811=""),"",IF(INDEX(Firms!$N$5:$N$1004,$U1811)="","",INDEX(Firms!$N$5:$N$1004,$U1811)))</f>
        <v/>
      </c>
      <c r="Q1811" s="78">
        <f>IF($T1811="","",IF($S1811="S",IF(INDEX(Firms!$T$5:$T$1004,$T1811)="","",INDEX(Firms!$T$5:$T$1004,$T1811)),IF(INDEX('AFA Rates'!$M$5:$M$1004,$T1811)="","",INDEX('AFA Rates'!$M$5:$M$1004,$T1811))))</f>
        <v/>
      </c>
      <c r="S1811">
        <f>IF(1807&lt;=$S$2,"S",IF(1807&lt;=$S$2+$T$2,"A",""))</f>
        <v/>
      </c>
      <c r="T1811">
        <f>IF(S1811="S",MATCH(1807,Firms!$W$5:$W$1004,0),IF(S1811="A",IFERROR(MATCH(1807-$S$2,'AFA Rates'!$R$5:$R$1004,0),""),""))</f>
        <v/>
      </c>
      <c r="U1811">
        <f>IF(S1811="S",T1811,IF(AND(S1811="A",T1811&lt;&gt;""),IFERROR(MATCH(INDEX('AFA Rates'!$A$5:$A$1004,T1811),Firms!$A$5:$A$1004,0),""),""))</f>
        <v/>
      </c>
    </row>
    <row r="1812">
      <c r="A1812" s="78">
        <f>IF($T1812="","",IF($S1812="S",IF(INDEX(Firms!$A$5:$A$1004,$T1812)="","",INDEX(Firms!$A$5:$A$1004,$T1812)),IF(INDEX('AFA Rates'!$A$5:$A$1004,$T1812)="","",INDEX('AFA Rates'!$A$5:$A$1004,$T1812))))</f>
        <v/>
      </c>
      <c r="B1812" s="79">
        <f>IF(OR($T1812="",$U1812=""),IF($T1812="","","Not on Firms tab"),INDEX(Firms!$B$5:$B$1004,$U1812)&amp;"")</f>
        <v/>
      </c>
      <c r="C1812" s="78">
        <f>IF($T1812="","",IF($S1812="S","Standard",INDEX('AFA Rates'!$B$5:$B$1004,$T1812)&amp;""))</f>
        <v/>
      </c>
      <c r="D1812" s="88">
        <f>IF($T1812="","",IF($S1812="S",IF(INDEX(Firms!$E$5:$E$1004,$T1812)="","",INDEX(Firms!$E$5:$E$1004,$T1812)),IF(INDEX('AFA Rates'!$C$5:$C$1004,$T1812)="","",INDEX('AFA Rates'!$C$5:$C$1004,$T1812))))</f>
        <v/>
      </c>
      <c r="E1812" s="88">
        <f>IF($T1812="","",IF($S1812="S",IF(""="","",""),IF(INDEX('AFA Rates'!$D$5:$D$1004,$T1812)="","",INDEX('AFA Rates'!$D$5:$D$1004,$T1812))))</f>
        <v/>
      </c>
      <c r="F1812" s="79">
        <f>IF($T1812="","",IF($S1812="S",IF(INDEX(Firms!$O$5:$O$1004,$T1812)="","",INDEX(Firms!$O$5:$O$1004,$T1812)),IF(INDEX('AFA Rates'!$O$5:$O$1004,$T1812)="","",INDEX('AFA Rates'!$O$5:$O$1004,$T1812))))</f>
        <v/>
      </c>
      <c r="G1812" s="50">
        <f>IF($T1812="","",IF($S1812="S",IF(INDEX(Firms!$F$5:$F$1004,$T1812)="","",INDEX(Firms!$F$5:$F$1004,$T1812)),IF(INDEX('AFA Rates'!$E$5:$E$1004,$T1812)="","",INDEX('AFA Rates'!$E$5:$E$1004,$T1812))))</f>
        <v/>
      </c>
      <c r="H1812" s="50">
        <f>IF($T1812="","",IF($S1812="S",IF(INDEX(Firms!$G$5:$G$1004,$T1812)="","",INDEX(Firms!$G$5:$G$1004,$T1812)),IF(INDEX('AFA Rates'!$F$5:$F$1004,$T1812)="","",INDEX('AFA Rates'!$F$5:$F$1004,$T1812))))</f>
        <v/>
      </c>
      <c r="I1812" s="50">
        <f>IF($T1812="","",IF($S1812="S",IF(INDEX(Firms!$H$5:$H$1004,$T1812)="","",INDEX(Firms!$H$5:$H$1004,$T1812)),IF(INDEX('AFA Rates'!$G$5:$G$1004,$T1812)="","",INDEX('AFA Rates'!$G$5:$G$1004,$T1812))))</f>
        <v/>
      </c>
      <c r="J1812" s="50">
        <f>IF($T1812="","",IF($S1812="S",IF(INDEX(Firms!$I$5:$I$1004,$T1812)="","",INDEX(Firms!$I$5:$I$1004,$T1812)),IF(INDEX('AFA Rates'!$H$5:$H$1004,$T1812)="","",INDEX('AFA Rates'!$H$5:$H$1004,$T1812))))</f>
        <v/>
      </c>
      <c r="K1812" s="50">
        <f>IF($T1812="","",IF($S1812="S",IF(INDEX(Firms!$J$5:$J$1004,$T1812)="","",INDEX(Firms!$J$5:$J$1004,$T1812)),IF(INDEX('AFA Rates'!$I$5:$I$1004,$T1812)="","",INDEX('AFA Rates'!$I$5:$I$1004,$T1812))))</f>
        <v/>
      </c>
      <c r="L1812" s="50">
        <f>IF($T1812="","",IF($S1812="S",IF(INDEX(Firms!$K$5:$K$1004,$T1812)="","",INDEX(Firms!$K$5:$K$1004,$T1812)),IF(INDEX('AFA Rates'!$J$5:$J$1004,$T1812)="","",INDEX('AFA Rates'!$J$5:$J$1004,$T1812))))</f>
        <v/>
      </c>
      <c r="M1812" s="50">
        <f>IF($T1812="","",IF($S1812="S",IF(INDEX(Firms!$L$5:$L$1004,$T1812)="","",INDEX(Firms!$L$5:$L$1004,$T1812)),IF(INDEX('AFA Rates'!$K$5:$K$1004,$T1812)="","",INDEX('AFA Rates'!$K$5:$K$1004,$T1812))))</f>
        <v/>
      </c>
      <c r="N1812" s="50">
        <f>IF($T1812="","",IF($S1812="S",IF(INDEX(Firms!$M$5:$M$1004,$T1812)="","",INDEX(Firms!$M$5:$M$1004,$T1812)),IF(INDEX('AFA Rates'!$L$5:$L$1004,$T1812)="","",INDEX('AFA Rates'!$L$5:$L$1004,$T1812))))</f>
        <v/>
      </c>
      <c r="O1812" s="78">
        <f>IF(OR($T1812="",$U1812=""),"",IF(INDEX(Firms!$C$5:$C$1004,$U1812)="","",INDEX(Firms!$C$5:$C$1004,$U1812)))</f>
        <v/>
      </c>
      <c r="P1812" s="79">
        <f>IF(OR($T1812="",$U1812=""),"",IF(INDEX(Firms!$N$5:$N$1004,$U1812)="","",INDEX(Firms!$N$5:$N$1004,$U1812)))</f>
        <v/>
      </c>
      <c r="Q1812" s="78">
        <f>IF($T1812="","",IF($S1812="S",IF(INDEX(Firms!$T$5:$T$1004,$T1812)="","",INDEX(Firms!$T$5:$T$1004,$T1812)),IF(INDEX('AFA Rates'!$M$5:$M$1004,$T1812)="","",INDEX('AFA Rates'!$M$5:$M$1004,$T1812))))</f>
        <v/>
      </c>
      <c r="S1812">
        <f>IF(1808&lt;=$S$2,"S",IF(1808&lt;=$S$2+$T$2,"A",""))</f>
        <v/>
      </c>
      <c r="T1812">
        <f>IF(S1812="S",MATCH(1808,Firms!$W$5:$W$1004,0),IF(S1812="A",IFERROR(MATCH(1808-$S$2,'AFA Rates'!$R$5:$R$1004,0),""),""))</f>
        <v/>
      </c>
      <c r="U1812">
        <f>IF(S1812="S",T1812,IF(AND(S1812="A",T1812&lt;&gt;""),IFERROR(MATCH(INDEX('AFA Rates'!$A$5:$A$1004,T1812),Firms!$A$5:$A$1004,0),""),""))</f>
        <v/>
      </c>
    </row>
    <row r="1813">
      <c r="A1813" s="78">
        <f>IF($T1813="","",IF($S1813="S",IF(INDEX(Firms!$A$5:$A$1004,$T1813)="","",INDEX(Firms!$A$5:$A$1004,$T1813)),IF(INDEX('AFA Rates'!$A$5:$A$1004,$T1813)="","",INDEX('AFA Rates'!$A$5:$A$1004,$T1813))))</f>
        <v/>
      </c>
      <c r="B1813" s="79">
        <f>IF(OR($T1813="",$U1813=""),IF($T1813="","","Not on Firms tab"),INDEX(Firms!$B$5:$B$1004,$U1813)&amp;"")</f>
        <v/>
      </c>
      <c r="C1813" s="78">
        <f>IF($T1813="","",IF($S1813="S","Standard",INDEX('AFA Rates'!$B$5:$B$1004,$T1813)&amp;""))</f>
        <v/>
      </c>
      <c r="D1813" s="88">
        <f>IF($T1813="","",IF($S1813="S",IF(INDEX(Firms!$E$5:$E$1004,$T1813)="","",INDEX(Firms!$E$5:$E$1004,$T1813)),IF(INDEX('AFA Rates'!$C$5:$C$1004,$T1813)="","",INDEX('AFA Rates'!$C$5:$C$1004,$T1813))))</f>
        <v/>
      </c>
      <c r="E1813" s="88">
        <f>IF($T1813="","",IF($S1813="S",IF(""="","",""),IF(INDEX('AFA Rates'!$D$5:$D$1004,$T1813)="","",INDEX('AFA Rates'!$D$5:$D$1004,$T1813))))</f>
        <v/>
      </c>
      <c r="F1813" s="79">
        <f>IF($T1813="","",IF($S1813="S",IF(INDEX(Firms!$O$5:$O$1004,$T1813)="","",INDEX(Firms!$O$5:$O$1004,$T1813)),IF(INDEX('AFA Rates'!$O$5:$O$1004,$T1813)="","",INDEX('AFA Rates'!$O$5:$O$1004,$T1813))))</f>
        <v/>
      </c>
      <c r="G1813" s="50">
        <f>IF($T1813="","",IF($S1813="S",IF(INDEX(Firms!$F$5:$F$1004,$T1813)="","",INDEX(Firms!$F$5:$F$1004,$T1813)),IF(INDEX('AFA Rates'!$E$5:$E$1004,$T1813)="","",INDEX('AFA Rates'!$E$5:$E$1004,$T1813))))</f>
        <v/>
      </c>
      <c r="H1813" s="50">
        <f>IF($T1813="","",IF($S1813="S",IF(INDEX(Firms!$G$5:$G$1004,$T1813)="","",INDEX(Firms!$G$5:$G$1004,$T1813)),IF(INDEX('AFA Rates'!$F$5:$F$1004,$T1813)="","",INDEX('AFA Rates'!$F$5:$F$1004,$T1813))))</f>
        <v/>
      </c>
      <c r="I1813" s="50">
        <f>IF($T1813="","",IF($S1813="S",IF(INDEX(Firms!$H$5:$H$1004,$T1813)="","",INDEX(Firms!$H$5:$H$1004,$T1813)),IF(INDEX('AFA Rates'!$G$5:$G$1004,$T1813)="","",INDEX('AFA Rates'!$G$5:$G$1004,$T1813))))</f>
        <v/>
      </c>
      <c r="J1813" s="50">
        <f>IF($T1813="","",IF($S1813="S",IF(INDEX(Firms!$I$5:$I$1004,$T1813)="","",INDEX(Firms!$I$5:$I$1004,$T1813)),IF(INDEX('AFA Rates'!$H$5:$H$1004,$T1813)="","",INDEX('AFA Rates'!$H$5:$H$1004,$T1813))))</f>
        <v/>
      </c>
      <c r="K1813" s="50">
        <f>IF($T1813="","",IF($S1813="S",IF(INDEX(Firms!$J$5:$J$1004,$T1813)="","",INDEX(Firms!$J$5:$J$1004,$T1813)),IF(INDEX('AFA Rates'!$I$5:$I$1004,$T1813)="","",INDEX('AFA Rates'!$I$5:$I$1004,$T1813))))</f>
        <v/>
      </c>
      <c r="L1813" s="50">
        <f>IF($T1813="","",IF($S1813="S",IF(INDEX(Firms!$K$5:$K$1004,$T1813)="","",INDEX(Firms!$K$5:$K$1004,$T1813)),IF(INDEX('AFA Rates'!$J$5:$J$1004,$T1813)="","",INDEX('AFA Rates'!$J$5:$J$1004,$T1813))))</f>
        <v/>
      </c>
      <c r="M1813" s="50">
        <f>IF($T1813="","",IF($S1813="S",IF(INDEX(Firms!$L$5:$L$1004,$T1813)="","",INDEX(Firms!$L$5:$L$1004,$T1813)),IF(INDEX('AFA Rates'!$K$5:$K$1004,$T1813)="","",INDEX('AFA Rates'!$K$5:$K$1004,$T1813))))</f>
        <v/>
      </c>
      <c r="N1813" s="50">
        <f>IF($T1813="","",IF($S1813="S",IF(INDEX(Firms!$M$5:$M$1004,$T1813)="","",INDEX(Firms!$M$5:$M$1004,$T1813)),IF(INDEX('AFA Rates'!$L$5:$L$1004,$T1813)="","",INDEX('AFA Rates'!$L$5:$L$1004,$T1813))))</f>
        <v/>
      </c>
      <c r="O1813" s="78">
        <f>IF(OR($T1813="",$U1813=""),"",IF(INDEX(Firms!$C$5:$C$1004,$U1813)="","",INDEX(Firms!$C$5:$C$1004,$U1813)))</f>
        <v/>
      </c>
      <c r="P1813" s="79">
        <f>IF(OR($T1813="",$U1813=""),"",IF(INDEX(Firms!$N$5:$N$1004,$U1813)="","",INDEX(Firms!$N$5:$N$1004,$U1813)))</f>
        <v/>
      </c>
      <c r="Q1813" s="78">
        <f>IF($T1813="","",IF($S1813="S",IF(INDEX(Firms!$T$5:$T$1004,$T1813)="","",INDEX(Firms!$T$5:$T$1004,$T1813)),IF(INDEX('AFA Rates'!$M$5:$M$1004,$T1813)="","",INDEX('AFA Rates'!$M$5:$M$1004,$T1813))))</f>
        <v/>
      </c>
      <c r="S1813">
        <f>IF(1809&lt;=$S$2,"S",IF(1809&lt;=$S$2+$T$2,"A",""))</f>
        <v/>
      </c>
      <c r="T1813">
        <f>IF(S1813="S",MATCH(1809,Firms!$W$5:$W$1004,0),IF(S1813="A",IFERROR(MATCH(1809-$S$2,'AFA Rates'!$R$5:$R$1004,0),""),""))</f>
        <v/>
      </c>
      <c r="U1813">
        <f>IF(S1813="S",T1813,IF(AND(S1813="A",T1813&lt;&gt;""),IFERROR(MATCH(INDEX('AFA Rates'!$A$5:$A$1004,T1813),Firms!$A$5:$A$1004,0),""),""))</f>
        <v/>
      </c>
    </row>
    <row r="1814">
      <c r="A1814" s="78">
        <f>IF($T1814="","",IF($S1814="S",IF(INDEX(Firms!$A$5:$A$1004,$T1814)="","",INDEX(Firms!$A$5:$A$1004,$T1814)),IF(INDEX('AFA Rates'!$A$5:$A$1004,$T1814)="","",INDEX('AFA Rates'!$A$5:$A$1004,$T1814))))</f>
        <v/>
      </c>
      <c r="B1814" s="79">
        <f>IF(OR($T1814="",$U1814=""),IF($T1814="","","Not on Firms tab"),INDEX(Firms!$B$5:$B$1004,$U1814)&amp;"")</f>
        <v/>
      </c>
      <c r="C1814" s="78">
        <f>IF($T1814="","",IF($S1814="S","Standard",INDEX('AFA Rates'!$B$5:$B$1004,$T1814)&amp;""))</f>
        <v/>
      </c>
      <c r="D1814" s="88">
        <f>IF($T1814="","",IF($S1814="S",IF(INDEX(Firms!$E$5:$E$1004,$T1814)="","",INDEX(Firms!$E$5:$E$1004,$T1814)),IF(INDEX('AFA Rates'!$C$5:$C$1004,$T1814)="","",INDEX('AFA Rates'!$C$5:$C$1004,$T1814))))</f>
        <v/>
      </c>
      <c r="E1814" s="88">
        <f>IF($T1814="","",IF($S1814="S",IF(""="","",""),IF(INDEX('AFA Rates'!$D$5:$D$1004,$T1814)="","",INDEX('AFA Rates'!$D$5:$D$1004,$T1814))))</f>
        <v/>
      </c>
      <c r="F1814" s="79">
        <f>IF($T1814="","",IF($S1814="S",IF(INDEX(Firms!$O$5:$O$1004,$T1814)="","",INDEX(Firms!$O$5:$O$1004,$T1814)),IF(INDEX('AFA Rates'!$O$5:$O$1004,$T1814)="","",INDEX('AFA Rates'!$O$5:$O$1004,$T1814))))</f>
        <v/>
      </c>
      <c r="G1814" s="50">
        <f>IF($T1814="","",IF($S1814="S",IF(INDEX(Firms!$F$5:$F$1004,$T1814)="","",INDEX(Firms!$F$5:$F$1004,$T1814)),IF(INDEX('AFA Rates'!$E$5:$E$1004,$T1814)="","",INDEX('AFA Rates'!$E$5:$E$1004,$T1814))))</f>
        <v/>
      </c>
      <c r="H1814" s="50">
        <f>IF($T1814="","",IF($S1814="S",IF(INDEX(Firms!$G$5:$G$1004,$T1814)="","",INDEX(Firms!$G$5:$G$1004,$T1814)),IF(INDEX('AFA Rates'!$F$5:$F$1004,$T1814)="","",INDEX('AFA Rates'!$F$5:$F$1004,$T1814))))</f>
        <v/>
      </c>
      <c r="I1814" s="50">
        <f>IF($T1814="","",IF($S1814="S",IF(INDEX(Firms!$H$5:$H$1004,$T1814)="","",INDEX(Firms!$H$5:$H$1004,$T1814)),IF(INDEX('AFA Rates'!$G$5:$G$1004,$T1814)="","",INDEX('AFA Rates'!$G$5:$G$1004,$T1814))))</f>
        <v/>
      </c>
      <c r="J1814" s="50">
        <f>IF($T1814="","",IF($S1814="S",IF(INDEX(Firms!$I$5:$I$1004,$T1814)="","",INDEX(Firms!$I$5:$I$1004,$T1814)),IF(INDEX('AFA Rates'!$H$5:$H$1004,$T1814)="","",INDEX('AFA Rates'!$H$5:$H$1004,$T1814))))</f>
        <v/>
      </c>
      <c r="K1814" s="50">
        <f>IF($T1814="","",IF($S1814="S",IF(INDEX(Firms!$J$5:$J$1004,$T1814)="","",INDEX(Firms!$J$5:$J$1004,$T1814)),IF(INDEX('AFA Rates'!$I$5:$I$1004,$T1814)="","",INDEX('AFA Rates'!$I$5:$I$1004,$T1814))))</f>
        <v/>
      </c>
      <c r="L1814" s="50">
        <f>IF($T1814="","",IF($S1814="S",IF(INDEX(Firms!$K$5:$K$1004,$T1814)="","",INDEX(Firms!$K$5:$K$1004,$T1814)),IF(INDEX('AFA Rates'!$J$5:$J$1004,$T1814)="","",INDEX('AFA Rates'!$J$5:$J$1004,$T1814))))</f>
        <v/>
      </c>
      <c r="M1814" s="50">
        <f>IF($T1814="","",IF($S1814="S",IF(INDEX(Firms!$L$5:$L$1004,$T1814)="","",INDEX(Firms!$L$5:$L$1004,$T1814)),IF(INDEX('AFA Rates'!$K$5:$K$1004,$T1814)="","",INDEX('AFA Rates'!$K$5:$K$1004,$T1814))))</f>
        <v/>
      </c>
      <c r="N1814" s="50">
        <f>IF($T1814="","",IF($S1814="S",IF(INDEX(Firms!$M$5:$M$1004,$T1814)="","",INDEX(Firms!$M$5:$M$1004,$T1814)),IF(INDEX('AFA Rates'!$L$5:$L$1004,$T1814)="","",INDEX('AFA Rates'!$L$5:$L$1004,$T1814))))</f>
        <v/>
      </c>
      <c r="O1814" s="78">
        <f>IF(OR($T1814="",$U1814=""),"",IF(INDEX(Firms!$C$5:$C$1004,$U1814)="","",INDEX(Firms!$C$5:$C$1004,$U1814)))</f>
        <v/>
      </c>
      <c r="P1814" s="79">
        <f>IF(OR($T1814="",$U1814=""),"",IF(INDEX(Firms!$N$5:$N$1004,$U1814)="","",INDEX(Firms!$N$5:$N$1004,$U1814)))</f>
        <v/>
      </c>
      <c r="Q1814" s="78">
        <f>IF($T1814="","",IF($S1814="S",IF(INDEX(Firms!$T$5:$T$1004,$T1814)="","",INDEX(Firms!$T$5:$T$1004,$T1814)),IF(INDEX('AFA Rates'!$M$5:$M$1004,$T1814)="","",INDEX('AFA Rates'!$M$5:$M$1004,$T1814))))</f>
        <v/>
      </c>
      <c r="S1814">
        <f>IF(1810&lt;=$S$2,"S",IF(1810&lt;=$S$2+$T$2,"A",""))</f>
        <v/>
      </c>
      <c r="T1814">
        <f>IF(S1814="S",MATCH(1810,Firms!$W$5:$W$1004,0),IF(S1814="A",IFERROR(MATCH(1810-$S$2,'AFA Rates'!$R$5:$R$1004,0),""),""))</f>
        <v/>
      </c>
      <c r="U1814">
        <f>IF(S1814="S",T1814,IF(AND(S1814="A",T1814&lt;&gt;""),IFERROR(MATCH(INDEX('AFA Rates'!$A$5:$A$1004,T1814),Firms!$A$5:$A$1004,0),""),""))</f>
        <v/>
      </c>
    </row>
    <row r="1815">
      <c r="A1815" s="78">
        <f>IF($T1815="","",IF($S1815="S",IF(INDEX(Firms!$A$5:$A$1004,$T1815)="","",INDEX(Firms!$A$5:$A$1004,$T1815)),IF(INDEX('AFA Rates'!$A$5:$A$1004,$T1815)="","",INDEX('AFA Rates'!$A$5:$A$1004,$T1815))))</f>
        <v/>
      </c>
      <c r="B1815" s="79">
        <f>IF(OR($T1815="",$U1815=""),IF($T1815="","","Not on Firms tab"),INDEX(Firms!$B$5:$B$1004,$U1815)&amp;"")</f>
        <v/>
      </c>
      <c r="C1815" s="78">
        <f>IF($T1815="","",IF($S1815="S","Standard",INDEX('AFA Rates'!$B$5:$B$1004,$T1815)&amp;""))</f>
        <v/>
      </c>
      <c r="D1815" s="88">
        <f>IF($T1815="","",IF($S1815="S",IF(INDEX(Firms!$E$5:$E$1004,$T1815)="","",INDEX(Firms!$E$5:$E$1004,$T1815)),IF(INDEX('AFA Rates'!$C$5:$C$1004,$T1815)="","",INDEX('AFA Rates'!$C$5:$C$1004,$T1815))))</f>
        <v/>
      </c>
      <c r="E1815" s="88">
        <f>IF($T1815="","",IF($S1815="S",IF(""="","",""),IF(INDEX('AFA Rates'!$D$5:$D$1004,$T1815)="","",INDEX('AFA Rates'!$D$5:$D$1004,$T1815))))</f>
        <v/>
      </c>
      <c r="F1815" s="79">
        <f>IF($T1815="","",IF($S1815="S",IF(INDEX(Firms!$O$5:$O$1004,$T1815)="","",INDEX(Firms!$O$5:$O$1004,$T1815)),IF(INDEX('AFA Rates'!$O$5:$O$1004,$T1815)="","",INDEX('AFA Rates'!$O$5:$O$1004,$T1815))))</f>
        <v/>
      </c>
      <c r="G1815" s="50">
        <f>IF($T1815="","",IF($S1815="S",IF(INDEX(Firms!$F$5:$F$1004,$T1815)="","",INDEX(Firms!$F$5:$F$1004,$T1815)),IF(INDEX('AFA Rates'!$E$5:$E$1004,$T1815)="","",INDEX('AFA Rates'!$E$5:$E$1004,$T1815))))</f>
        <v/>
      </c>
      <c r="H1815" s="50">
        <f>IF($T1815="","",IF($S1815="S",IF(INDEX(Firms!$G$5:$G$1004,$T1815)="","",INDEX(Firms!$G$5:$G$1004,$T1815)),IF(INDEX('AFA Rates'!$F$5:$F$1004,$T1815)="","",INDEX('AFA Rates'!$F$5:$F$1004,$T1815))))</f>
        <v/>
      </c>
      <c r="I1815" s="50">
        <f>IF($T1815="","",IF($S1815="S",IF(INDEX(Firms!$H$5:$H$1004,$T1815)="","",INDEX(Firms!$H$5:$H$1004,$T1815)),IF(INDEX('AFA Rates'!$G$5:$G$1004,$T1815)="","",INDEX('AFA Rates'!$G$5:$G$1004,$T1815))))</f>
        <v/>
      </c>
      <c r="J1815" s="50">
        <f>IF($T1815="","",IF($S1815="S",IF(INDEX(Firms!$I$5:$I$1004,$T1815)="","",INDEX(Firms!$I$5:$I$1004,$T1815)),IF(INDEX('AFA Rates'!$H$5:$H$1004,$T1815)="","",INDEX('AFA Rates'!$H$5:$H$1004,$T1815))))</f>
        <v/>
      </c>
      <c r="K1815" s="50">
        <f>IF($T1815="","",IF($S1815="S",IF(INDEX(Firms!$J$5:$J$1004,$T1815)="","",INDEX(Firms!$J$5:$J$1004,$T1815)),IF(INDEX('AFA Rates'!$I$5:$I$1004,$T1815)="","",INDEX('AFA Rates'!$I$5:$I$1004,$T1815))))</f>
        <v/>
      </c>
      <c r="L1815" s="50">
        <f>IF($T1815="","",IF($S1815="S",IF(INDEX(Firms!$K$5:$K$1004,$T1815)="","",INDEX(Firms!$K$5:$K$1004,$T1815)),IF(INDEX('AFA Rates'!$J$5:$J$1004,$T1815)="","",INDEX('AFA Rates'!$J$5:$J$1004,$T1815))))</f>
        <v/>
      </c>
      <c r="M1815" s="50">
        <f>IF($T1815="","",IF($S1815="S",IF(INDEX(Firms!$L$5:$L$1004,$T1815)="","",INDEX(Firms!$L$5:$L$1004,$T1815)),IF(INDEX('AFA Rates'!$K$5:$K$1004,$T1815)="","",INDEX('AFA Rates'!$K$5:$K$1004,$T1815))))</f>
        <v/>
      </c>
      <c r="N1815" s="50">
        <f>IF($T1815="","",IF($S1815="S",IF(INDEX(Firms!$M$5:$M$1004,$T1815)="","",INDEX(Firms!$M$5:$M$1004,$T1815)),IF(INDEX('AFA Rates'!$L$5:$L$1004,$T1815)="","",INDEX('AFA Rates'!$L$5:$L$1004,$T1815))))</f>
        <v/>
      </c>
      <c r="O1815" s="78">
        <f>IF(OR($T1815="",$U1815=""),"",IF(INDEX(Firms!$C$5:$C$1004,$U1815)="","",INDEX(Firms!$C$5:$C$1004,$U1815)))</f>
        <v/>
      </c>
      <c r="P1815" s="79">
        <f>IF(OR($T1815="",$U1815=""),"",IF(INDEX(Firms!$N$5:$N$1004,$U1815)="","",INDEX(Firms!$N$5:$N$1004,$U1815)))</f>
        <v/>
      </c>
      <c r="Q1815" s="78">
        <f>IF($T1815="","",IF($S1815="S",IF(INDEX(Firms!$T$5:$T$1004,$T1815)="","",INDEX(Firms!$T$5:$T$1004,$T1815)),IF(INDEX('AFA Rates'!$M$5:$M$1004,$T1815)="","",INDEX('AFA Rates'!$M$5:$M$1004,$T1815))))</f>
        <v/>
      </c>
      <c r="S1815">
        <f>IF(1811&lt;=$S$2,"S",IF(1811&lt;=$S$2+$T$2,"A",""))</f>
        <v/>
      </c>
      <c r="T1815">
        <f>IF(S1815="S",MATCH(1811,Firms!$W$5:$W$1004,0),IF(S1815="A",IFERROR(MATCH(1811-$S$2,'AFA Rates'!$R$5:$R$1004,0),""),""))</f>
        <v/>
      </c>
      <c r="U1815">
        <f>IF(S1815="S",T1815,IF(AND(S1815="A",T1815&lt;&gt;""),IFERROR(MATCH(INDEX('AFA Rates'!$A$5:$A$1004,T1815),Firms!$A$5:$A$1004,0),""),""))</f>
        <v/>
      </c>
    </row>
    <row r="1816">
      <c r="A1816" s="78">
        <f>IF($T1816="","",IF($S1816="S",IF(INDEX(Firms!$A$5:$A$1004,$T1816)="","",INDEX(Firms!$A$5:$A$1004,$T1816)),IF(INDEX('AFA Rates'!$A$5:$A$1004,$T1816)="","",INDEX('AFA Rates'!$A$5:$A$1004,$T1816))))</f>
        <v/>
      </c>
      <c r="B1816" s="79">
        <f>IF(OR($T1816="",$U1816=""),IF($T1816="","","Not on Firms tab"),INDEX(Firms!$B$5:$B$1004,$U1816)&amp;"")</f>
        <v/>
      </c>
      <c r="C1816" s="78">
        <f>IF($T1816="","",IF($S1816="S","Standard",INDEX('AFA Rates'!$B$5:$B$1004,$T1816)&amp;""))</f>
        <v/>
      </c>
      <c r="D1816" s="88">
        <f>IF($T1816="","",IF($S1816="S",IF(INDEX(Firms!$E$5:$E$1004,$T1816)="","",INDEX(Firms!$E$5:$E$1004,$T1816)),IF(INDEX('AFA Rates'!$C$5:$C$1004,$T1816)="","",INDEX('AFA Rates'!$C$5:$C$1004,$T1816))))</f>
        <v/>
      </c>
      <c r="E1816" s="88">
        <f>IF($T1816="","",IF($S1816="S",IF(""="","",""),IF(INDEX('AFA Rates'!$D$5:$D$1004,$T1816)="","",INDEX('AFA Rates'!$D$5:$D$1004,$T1816))))</f>
        <v/>
      </c>
      <c r="F1816" s="79">
        <f>IF($T1816="","",IF($S1816="S",IF(INDEX(Firms!$O$5:$O$1004,$T1816)="","",INDEX(Firms!$O$5:$O$1004,$T1816)),IF(INDEX('AFA Rates'!$O$5:$O$1004,$T1816)="","",INDEX('AFA Rates'!$O$5:$O$1004,$T1816))))</f>
        <v/>
      </c>
      <c r="G1816" s="50">
        <f>IF($T1816="","",IF($S1816="S",IF(INDEX(Firms!$F$5:$F$1004,$T1816)="","",INDEX(Firms!$F$5:$F$1004,$T1816)),IF(INDEX('AFA Rates'!$E$5:$E$1004,$T1816)="","",INDEX('AFA Rates'!$E$5:$E$1004,$T1816))))</f>
        <v/>
      </c>
      <c r="H1816" s="50">
        <f>IF($T1816="","",IF($S1816="S",IF(INDEX(Firms!$G$5:$G$1004,$T1816)="","",INDEX(Firms!$G$5:$G$1004,$T1816)),IF(INDEX('AFA Rates'!$F$5:$F$1004,$T1816)="","",INDEX('AFA Rates'!$F$5:$F$1004,$T1816))))</f>
        <v/>
      </c>
      <c r="I1816" s="50">
        <f>IF($T1816="","",IF($S1816="S",IF(INDEX(Firms!$H$5:$H$1004,$T1816)="","",INDEX(Firms!$H$5:$H$1004,$T1816)),IF(INDEX('AFA Rates'!$G$5:$G$1004,$T1816)="","",INDEX('AFA Rates'!$G$5:$G$1004,$T1816))))</f>
        <v/>
      </c>
      <c r="J1816" s="50">
        <f>IF($T1816="","",IF($S1816="S",IF(INDEX(Firms!$I$5:$I$1004,$T1816)="","",INDEX(Firms!$I$5:$I$1004,$T1816)),IF(INDEX('AFA Rates'!$H$5:$H$1004,$T1816)="","",INDEX('AFA Rates'!$H$5:$H$1004,$T1816))))</f>
        <v/>
      </c>
      <c r="K1816" s="50">
        <f>IF($T1816="","",IF($S1816="S",IF(INDEX(Firms!$J$5:$J$1004,$T1816)="","",INDEX(Firms!$J$5:$J$1004,$T1816)),IF(INDEX('AFA Rates'!$I$5:$I$1004,$T1816)="","",INDEX('AFA Rates'!$I$5:$I$1004,$T1816))))</f>
        <v/>
      </c>
      <c r="L1816" s="50">
        <f>IF($T1816="","",IF($S1816="S",IF(INDEX(Firms!$K$5:$K$1004,$T1816)="","",INDEX(Firms!$K$5:$K$1004,$T1816)),IF(INDEX('AFA Rates'!$J$5:$J$1004,$T1816)="","",INDEX('AFA Rates'!$J$5:$J$1004,$T1816))))</f>
        <v/>
      </c>
      <c r="M1816" s="50">
        <f>IF($T1816="","",IF($S1816="S",IF(INDEX(Firms!$L$5:$L$1004,$T1816)="","",INDEX(Firms!$L$5:$L$1004,$T1816)),IF(INDEX('AFA Rates'!$K$5:$K$1004,$T1816)="","",INDEX('AFA Rates'!$K$5:$K$1004,$T1816))))</f>
        <v/>
      </c>
      <c r="N1816" s="50">
        <f>IF($T1816="","",IF($S1816="S",IF(INDEX(Firms!$M$5:$M$1004,$T1816)="","",INDEX(Firms!$M$5:$M$1004,$T1816)),IF(INDEX('AFA Rates'!$L$5:$L$1004,$T1816)="","",INDEX('AFA Rates'!$L$5:$L$1004,$T1816))))</f>
        <v/>
      </c>
      <c r="O1816" s="78">
        <f>IF(OR($T1816="",$U1816=""),"",IF(INDEX(Firms!$C$5:$C$1004,$U1816)="","",INDEX(Firms!$C$5:$C$1004,$U1816)))</f>
        <v/>
      </c>
      <c r="P1816" s="79">
        <f>IF(OR($T1816="",$U1816=""),"",IF(INDEX(Firms!$N$5:$N$1004,$U1816)="","",INDEX(Firms!$N$5:$N$1004,$U1816)))</f>
        <v/>
      </c>
      <c r="Q1816" s="78">
        <f>IF($T1816="","",IF($S1816="S",IF(INDEX(Firms!$T$5:$T$1004,$T1816)="","",INDEX(Firms!$T$5:$T$1004,$T1816)),IF(INDEX('AFA Rates'!$M$5:$M$1004,$T1816)="","",INDEX('AFA Rates'!$M$5:$M$1004,$T1816))))</f>
        <v/>
      </c>
      <c r="S1816">
        <f>IF(1812&lt;=$S$2,"S",IF(1812&lt;=$S$2+$T$2,"A",""))</f>
        <v/>
      </c>
      <c r="T1816">
        <f>IF(S1816="S",MATCH(1812,Firms!$W$5:$W$1004,0),IF(S1816="A",IFERROR(MATCH(1812-$S$2,'AFA Rates'!$R$5:$R$1004,0),""),""))</f>
        <v/>
      </c>
      <c r="U1816">
        <f>IF(S1816="S",T1816,IF(AND(S1816="A",T1816&lt;&gt;""),IFERROR(MATCH(INDEX('AFA Rates'!$A$5:$A$1004,T1816),Firms!$A$5:$A$1004,0),""),""))</f>
        <v/>
      </c>
    </row>
    <row r="1817">
      <c r="A1817" s="78">
        <f>IF($T1817="","",IF($S1817="S",IF(INDEX(Firms!$A$5:$A$1004,$T1817)="","",INDEX(Firms!$A$5:$A$1004,$T1817)),IF(INDEX('AFA Rates'!$A$5:$A$1004,$T1817)="","",INDEX('AFA Rates'!$A$5:$A$1004,$T1817))))</f>
        <v/>
      </c>
      <c r="B1817" s="79">
        <f>IF(OR($T1817="",$U1817=""),IF($T1817="","","Not on Firms tab"),INDEX(Firms!$B$5:$B$1004,$U1817)&amp;"")</f>
        <v/>
      </c>
      <c r="C1817" s="78">
        <f>IF($T1817="","",IF($S1817="S","Standard",INDEX('AFA Rates'!$B$5:$B$1004,$T1817)&amp;""))</f>
        <v/>
      </c>
      <c r="D1817" s="88">
        <f>IF($T1817="","",IF($S1817="S",IF(INDEX(Firms!$E$5:$E$1004,$T1817)="","",INDEX(Firms!$E$5:$E$1004,$T1817)),IF(INDEX('AFA Rates'!$C$5:$C$1004,$T1817)="","",INDEX('AFA Rates'!$C$5:$C$1004,$T1817))))</f>
        <v/>
      </c>
      <c r="E1817" s="88">
        <f>IF($T1817="","",IF($S1817="S",IF(""="","",""),IF(INDEX('AFA Rates'!$D$5:$D$1004,$T1817)="","",INDEX('AFA Rates'!$D$5:$D$1004,$T1817))))</f>
        <v/>
      </c>
      <c r="F1817" s="79">
        <f>IF($T1817="","",IF($S1817="S",IF(INDEX(Firms!$O$5:$O$1004,$T1817)="","",INDEX(Firms!$O$5:$O$1004,$T1817)),IF(INDEX('AFA Rates'!$O$5:$O$1004,$T1817)="","",INDEX('AFA Rates'!$O$5:$O$1004,$T1817))))</f>
        <v/>
      </c>
      <c r="G1817" s="50">
        <f>IF($T1817="","",IF($S1817="S",IF(INDEX(Firms!$F$5:$F$1004,$T1817)="","",INDEX(Firms!$F$5:$F$1004,$T1817)),IF(INDEX('AFA Rates'!$E$5:$E$1004,$T1817)="","",INDEX('AFA Rates'!$E$5:$E$1004,$T1817))))</f>
        <v/>
      </c>
      <c r="H1817" s="50">
        <f>IF($T1817="","",IF($S1817="S",IF(INDEX(Firms!$G$5:$G$1004,$T1817)="","",INDEX(Firms!$G$5:$G$1004,$T1817)),IF(INDEX('AFA Rates'!$F$5:$F$1004,$T1817)="","",INDEX('AFA Rates'!$F$5:$F$1004,$T1817))))</f>
        <v/>
      </c>
      <c r="I1817" s="50">
        <f>IF($T1817="","",IF($S1817="S",IF(INDEX(Firms!$H$5:$H$1004,$T1817)="","",INDEX(Firms!$H$5:$H$1004,$T1817)),IF(INDEX('AFA Rates'!$G$5:$G$1004,$T1817)="","",INDEX('AFA Rates'!$G$5:$G$1004,$T1817))))</f>
        <v/>
      </c>
      <c r="J1817" s="50">
        <f>IF($T1817="","",IF($S1817="S",IF(INDEX(Firms!$I$5:$I$1004,$T1817)="","",INDEX(Firms!$I$5:$I$1004,$T1817)),IF(INDEX('AFA Rates'!$H$5:$H$1004,$T1817)="","",INDEX('AFA Rates'!$H$5:$H$1004,$T1817))))</f>
        <v/>
      </c>
      <c r="K1817" s="50">
        <f>IF($T1817="","",IF($S1817="S",IF(INDEX(Firms!$J$5:$J$1004,$T1817)="","",INDEX(Firms!$J$5:$J$1004,$T1817)),IF(INDEX('AFA Rates'!$I$5:$I$1004,$T1817)="","",INDEX('AFA Rates'!$I$5:$I$1004,$T1817))))</f>
        <v/>
      </c>
      <c r="L1817" s="50">
        <f>IF($T1817="","",IF($S1817="S",IF(INDEX(Firms!$K$5:$K$1004,$T1817)="","",INDEX(Firms!$K$5:$K$1004,$T1817)),IF(INDEX('AFA Rates'!$J$5:$J$1004,$T1817)="","",INDEX('AFA Rates'!$J$5:$J$1004,$T1817))))</f>
        <v/>
      </c>
      <c r="M1817" s="50">
        <f>IF($T1817="","",IF($S1817="S",IF(INDEX(Firms!$L$5:$L$1004,$T1817)="","",INDEX(Firms!$L$5:$L$1004,$T1817)),IF(INDEX('AFA Rates'!$K$5:$K$1004,$T1817)="","",INDEX('AFA Rates'!$K$5:$K$1004,$T1817))))</f>
        <v/>
      </c>
      <c r="N1817" s="50">
        <f>IF($T1817="","",IF($S1817="S",IF(INDEX(Firms!$M$5:$M$1004,$T1817)="","",INDEX(Firms!$M$5:$M$1004,$T1817)),IF(INDEX('AFA Rates'!$L$5:$L$1004,$T1817)="","",INDEX('AFA Rates'!$L$5:$L$1004,$T1817))))</f>
        <v/>
      </c>
      <c r="O1817" s="78">
        <f>IF(OR($T1817="",$U1817=""),"",IF(INDEX(Firms!$C$5:$C$1004,$U1817)="","",INDEX(Firms!$C$5:$C$1004,$U1817)))</f>
        <v/>
      </c>
      <c r="P1817" s="79">
        <f>IF(OR($T1817="",$U1817=""),"",IF(INDEX(Firms!$N$5:$N$1004,$U1817)="","",INDEX(Firms!$N$5:$N$1004,$U1817)))</f>
        <v/>
      </c>
      <c r="Q1817" s="78">
        <f>IF($T1817="","",IF($S1817="S",IF(INDEX(Firms!$T$5:$T$1004,$T1817)="","",INDEX(Firms!$T$5:$T$1004,$T1817)),IF(INDEX('AFA Rates'!$M$5:$M$1004,$T1817)="","",INDEX('AFA Rates'!$M$5:$M$1004,$T1817))))</f>
        <v/>
      </c>
      <c r="S1817">
        <f>IF(1813&lt;=$S$2,"S",IF(1813&lt;=$S$2+$T$2,"A",""))</f>
        <v/>
      </c>
      <c r="T1817">
        <f>IF(S1817="S",MATCH(1813,Firms!$W$5:$W$1004,0),IF(S1817="A",IFERROR(MATCH(1813-$S$2,'AFA Rates'!$R$5:$R$1004,0),""),""))</f>
        <v/>
      </c>
      <c r="U1817">
        <f>IF(S1817="S",T1817,IF(AND(S1817="A",T1817&lt;&gt;""),IFERROR(MATCH(INDEX('AFA Rates'!$A$5:$A$1004,T1817),Firms!$A$5:$A$1004,0),""),""))</f>
        <v/>
      </c>
    </row>
    <row r="1818">
      <c r="A1818" s="78">
        <f>IF($T1818="","",IF($S1818="S",IF(INDEX(Firms!$A$5:$A$1004,$T1818)="","",INDEX(Firms!$A$5:$A$1004,$T1818)),IF(INDEX('AFA Rates'!$A$5:$A$1004,$T1818)="","",INDEX('AFA Rates'!$A$5:$A$1004,$T1818))))</f>
        <v/>
      </c>
      <c r="B1818" s="79">
        <f>IF(OR($T1818="",$U1818=""),IF($T1818="","","Not on Firms tab"),INDEX(Firms!$B$5:$B$1004,$U1818)&amp;"")</f>
        <v/>
      </c>
      <c r="C1818" s="78">
        <f>IF($T1818="","",IF($S1818="S","Standard",INDEX('AFA Rates'!$B$5:$B$1004,$T1818)&amp;""))</f>
        <v/>
      </c>
      <c r="D1818" s="88">
        <f>IF($T1818="","",IF($S1818="S",IF(INDEX(Firms!$E$5:$E$1004,$T1818)="","",INDEX(Firms!$E$5:$E$1004,$T1818)),IF(INDEX('AFA Rates'!$C$5:$C$1004,$T1818)="","",INDEX('AFA Rates'!$C$5:$C$1004,$T1818))))</f>
        <v/>
      </c>
      <c r="E1818" s="88">
        <f>IF($T1818="","",IF($S1818="S",IF(""="","",""),IF(INDEX('AFA Rates'!$D$5:$D$1004,$T1818)="","",INDEX('AFA Rates'!$D$5:$D$1004,$T1818))))</f>
        <v/>
      </c>
      <c r="F1818" s="79">
        <f>IF($T1818="","",IF($S1818="S",IF(INDEX(Firms!$O$5:$O$1004,$T1818)="","",INDEX(Firms!$O$5:$O$1004,$T1818)),IF(INDEX('AFA Rates'!$O$5:$O$1004,$T1818)="","",INDEX('AFA Rates'!$O$5:$O$1004,$T1818))))</f>
        <v/>
      </c>
      <c r="G1818" s="50">
        <f>IF($T1818="","",IF($S1818="S",IF(INDEX(Firms!$F$5:$F$1004,$T1818)="","",INDEX(Firms!$F$5:$F$1004,$T1818)),IF(INDEX('AFA Rates'!$E$5:$E$1004,$T1818)="","",INDEX('AFA Rates'!$E$5:$E$1004,$T1818))))</f>
        <v/>
      </c>
      <c r="H1818" s="50">
        <f>IF($T1818="","",IF($S1818="S",IF(INDEX(Firms!$G$5:$G$1004,$T1818)="","",INDEX(Firms!$G$5:$G$1004,$T1818)),IF(INDEX('AFA Rates'!$F$5:$F$1004,$T1818)="","",INDEX('AFA Rates'!$F$5:$F$1004,$T1818))))</f>
        <v/>
      </c>
      <c r="I1818" s="50">
        <f>IF($T1818="","",IF($S1818="S",IF(INDEX(Firms!$H$5:$H$1004,$T1818)="","",INDEX(Firms!$H$5:$H$1004,$T1818)),IF(INDEX('AFA Rates'!$G$5:$G$1004,$T1818)="","",INDEX('AFA Rates'!$G$5:$G$1004,$T1818))))</f>
        <v/>
      </c>
      <c r="J1818" s="50">
        <f>IF($T1818="","",IF($S1818="S",IF(INDEX(Firms!$I$5:$I$1004,$T1818)="","",INDEX(Firms!$I$5:$I$1004,$T1818)),IF(INDEX('AFA Rates'!$H$5:$H$1004,$T1818)="","",INDEX('AFA Rates'!$H$5:$H$1004,$T1818))))</f>
        <v/>
      </c>
      <c r="K1818" s="50">
        <f>IF($T1818="","",IF($S1818="S",IF(INDEX(Firms!$J$5:$J$1004,$T1818)="","",INDEX(Firms!$J$5:$J$1004,$T1818)),IF(INDEX('AFA Rates'!$I$5:$I$1004,$T1818)="","",INDEX('AFA Rates'!$I$5:$I$1004,$T1818))))</f>
        <v/>
      </c>
      <c r="L1818" s="50">
        <f>IF($T1818="","",IF($S1818="S",IF(INDEX(Firms!$K$5:$K$1004,$T1818)="","",INDEX(Firms!$K$5:$K$1004,$T1818)),IF(INDEX('AFA Rates'!$J$5:$J$1004,$T1818)="","",INDEX('AFA Rates'!$J$5:$J$1004,$T1818))))</f>
        <v/>
      </c>
      <c r="M1818" s="50">
        <f>IF($T1818="","",IF($S1818="S",IF(INDEX(Firms!$L$5:$L$1004,$T1818)="","",INDEX(Firms!$L$5:$L$1004,$T1818)),IF(INDEX('AFA Rates'!$K$5:$K$1004,$T1818)="","",INDEX('AFA Rates'!$K$5:$K$1004,$T1818))))</f>
        <v/>
      </c>
      <c r="N1818" s="50">
        <f>IF($T1818="","",IF($S1818="S",IF(INDEX(Firms!$M$5:$M$1004,$T1818)="","",INDEX(Firms!$M$5:$M$1004,$T1818)),IF(INDEX('AFA Rates'!$L$5:$L$1004,$T1818)="","",INDEX('AFA Rates'!$L$5:$L$1004,$T1818))))</f>
        <v/>
      </c>
      <c r="O1818" s="78">
        <f>IF(OR($T1818="",$U1818=""),"",IF(INDEX(Firms!$C$5:$C$1004,$U1818)="","",INDEX(Firms!$C$5:$C$1004,$U1818)))</f>
        <v/>
      </c>
      <c r="P1818" s="79">
        <f>IF(OR($T1818="",$U1818=""),"",IF(INDEX(Firms!$N$5:$N$1004,$U1818)="","",INDEX(Firms!$N$5:$N$1004,$U1818)))</f>
        <v/>
      </c>
      <c r="Q1818" s="78">
        <f>IF($T1818="","",IF($S1818="S",IF(INDEX(Firms!$T$5:$T$1004,$T1818)="","",INDEX(Firms!$T$5:$T$1004,$T1818)),IF(INDEX('AFA Rates'!$M$5:$M$1004,$T1818)="","",INDEX('AFA Rates'!$M$5:$M$1004,$T1818))))</f>
        <v/>
      </c>
      <c r="S1818">
        <f>IF(1814&lt;=$S$2,"S",IF(1814&lt;=$S$2+$T$2,"A",""))</f>
        <v/>
      </c>
      <c r="T1818">
        <f>IF(S1818="S",MATCH(1814,Firms!$W$5:$W$1004,0),IF(S1818="A",IFERROR(MATCH(1814-$S$2,'AFA Rates'!$R$5:$R$1004,0),""),""))</f>
        <v/>
      </c>
      <c r="U1818">
        <f>IF(S1818="S",T1818,IF(AND(S1818="A",T1818&lt;&gt;""),IFERROR(MATCH(INDEX('AFA Rates'!$A$5:$A$1004,T1818),Firms!$A$5:$A$1004,0),""),""))</f>
        <v/>
      </c>
    </row>
    <row r="1819">
      <c r="A1819" s="78">
        <f>IF($T1819="","",IF($S1819="S",IF(INDEX(Firms!$A$5:$A$1004,$T1819)="","",INDEX(Firms!$A$5:$A$1004,$T1819)),IF(INDEX('AFA Rates'!$A$5:$A$1004,$T1819)="","",INDEX('AFA Rates'!$A$5:$A$1004,$T1819))))</f>
        <v/>
      </c>
      <c r="B1819" s="79">
        <f>IF(OR($T1819="",$U1819=""),IF($T1819="","","Not on Firms tab"),INDEX(Firms!$B$5:$B$1004,$U1819)&amp;"")</f>
        <v/>
      </c>
      <c r="C1819" s="78">
        <f>IF($T1819="","",IF($S1819="S","Standard",INDEX('AFA Rates'!$B$5:$B$1004,$T1819)&amp;""))</f>
        <v/>
      </c>
      <c r="D1819" s="88">
        <f>IF($T1819="","",IF($S1819="S",IF(INDEX(Firms!$E$5:$E$1004,$T1819)="","",INDEX(Firms!$E$5:$E$1004,$T1819)),IF(INDEX('AFA Rates'!$C$5:$C$1004,$T1819)="","",INDEX('AFA Rates'!$C$5:$C$1004,$T1819))))</f>
        <v/>
      </c>
      <c r="E1819" s="88">
        <f>IF($T1819="","",IF($S1819="S",IF(""="","",""),IF(INDEX('AFA Rates'!$D$5:$D$1004,$T1819)="","",INDEX('AFA Rates'!$D$5:$D$1004,$T1819))))</f>
        <v/>
      </c>
      <c r="F1819" s="79">
        <f>IF($T1819="","",IF($S1819="S",IF(INDEX(Firms!$O$5:$O$1004,$T1819)="","",INDEX(Firms!$O$5:$O$1004,$T1819)),IF(INDEX('AFA Rates'!$O$5:$O$1004,$T1819)="","",INDEX('AFA Rates'!$O$5:$O$1004,$T1819))))</f>
        <v/>
      </c>
      <c r="G1819" s="50">
        <f>IF($T1819="","",IF($S1819="S",IF(INDEX(Firms!$F$5:$F$1004,$T1819)="","",INDEX(Firms!$F$5:$F$1004,$T1819)),IF(INDEX('AFA Rates'!$E$5:$E$1004,$T1819)="","",INDEX('AFA Rates'!$E$5:$E$1004,$T1819))))</f>
        <v/>
      </c>
      <c r="H1819" s="50">
        <f>IF($T1819="","",IF($S1819="S",IF(INDEX(Firms!$G$5:$G$1004,$T1819)="","",INDEX(Firms!$G$5:$G$1004,$T1819)),IF(INDEX('AFA Rates'!$F$5:$F$1004,$T1819)="","",INDEX('AFA Rates'!$F$5:$F$1004,$T1819))))</f>
        <v/>
      </c>
      <c r="I1819" s="50">
        <f>IF($T1819="","",IF($S1819="S",IF(INDEX(Firms!$H$5:$H$1004,$T1819)="","",INDEX(Firms!$H$5:$H$1004,$T1819)),IF(INDEX('AFA Rates'!$G$5:$G$1004,$T1819)="","",INDEX('AFA Rates'!$G$5:$G$1004,$T1819))))</f>
        <v/>
      </c>
      <c r="J1819" s="50">
        <f>IF($T1819="","",IF($S1819="S",IF(INDEX(Firms!$I$5:$I$1004,$T1819)="","",INDEX(Firms!$I$5:$I$1004,$T1819)),IF(INDEX('AFA Rates'!$H$5:$H$1004,$T1819)="","",INDEX('AFA Rates'!$H$5:$H$1004,$T1819))))</f>
        <v/>
      </c>
      <c r="K1819" s="50">
        <f>IF($T1819="","",IF($S1819="S",IF(INDEX(Firms!$J$5:$J$1004,$T1819)="","",INDEX(Firms!$J$5:$J$1004,$T1819)),IF(INDEX('AFA Rates'!$I$5:$I$1004,$T1819)="","",INDEX('AFA Rates'!$I$5:$I$1004,$T1819))))</f>
        <v/>
      </c>
      <c r="L1819" s="50">
        <f>IF($T1819="","",IF($S1819="S",IF(INDEX(Firms!$K$5:$K$1004,$T1819)="","",INDEX(Firms!$K$5:$K$1004,$T1819)),IF(INDEX('AFA Rates'!$J$5:$J$1004,$T1819)="","",INDEX('AFA Rates'!$J$5:$J$1004,$T1819))))</f>
        <v/>
      </c>
      <c r="M1819" s="50">
        <f>IF($T1819="","",IF($S1819="S",IF(INDEX(Firms!$L$5:$L$1004,$T1819)="","",INDEX(Firms!$L$5:$L$1004,$T1819)),IF(INDEX('AFA Rates'!$K$5:$K$1004,$T1819)="","",INDEX('AFA Rates'!$K$5:$K$1004,$T1819))))</f>
        <v/>
      </c>
      <c r="N1819" s="50">
        <f>IF($T1819="","",IF($S1819="S",IF(INDEX(Firms!$M$5:$M$1004,$T1819)="","",INDEX(Firms!$M$5:$M$1004,$T1819)),IF(INDEX('AFA Rates'!$L$5:$L$1004,$T1819)="","",INDEX('AFA Rates'!$L$5:$L$1004,$T1819))))</f>
        <v/>
      </c>
      <c r="O1819" s="78">
        <f>IF(OR($T1819="",$U1819=""),"",IF(INDEX(Firms!$C$5:$C$1004,$U1819)="","",INDEX(Firms!$C$5:$C$1004,$U1819)))</f>
        <v/>
      </c>
      <c r="P1819" s="79">
        <f>IF(OR($T1819="",$U1819=""),"",IF(INDEX(Firms!$N$5:$N$1004,$U1819)="","",INDEX(Firms!$N$5:$N$1004,$U1819)))</f>
        <v/>
      </c>
      <c r="Q1819" s="78">
        <f>IF($T1819="","",IF($S1819="S",IF(INDEX(Firms!$T$5:$T$1004,$T1819)="","",INDEX(Firms!$T$5:$T$1004,$T1819)),IF(INDEX('AFA Rates'!$M$5:$M$1004,$T1819)="","",INDEX('AFA Rates'!$M$5:$M$1004,$T1819))))</f>
        <v/>
      </c>
      <c r="S1819">
        <f>IF(1815&lt;=$S$2,"S",IF(1815&lt;=$S$2+$T$2,"A",""))</f>
        <v/>
      </c>
      <c r="T1819">
        <f>IF(S1819="S",MATCH(1815,Firms!$W$5:$W$1004,0),IF(S1819="A",IFERROR(MATCH(1815-$S$2,'AFA Rates'!$R$5:$R$1004,0),""),""))</f>
        <v/>
      </c>
      <c r="U1819">
        <f>IF(S1819="S",T1819,IF(AND(S1819="A",T1819&lt;&gt;""),IFERROR(MATCH(INDEX('AFA Rates'!$A$5:$A$1004,T1819),Firms!$A$5:$A$1004,0),""),""))</f>
        <v/>
      </c>
    </row>
    <row r="1820">
      <c r="A1820" s="78">
        <f>IF($T1820="","",IF($S1820="S",IF(INDEX(Firms!$A$5:$A$1004,$T1820)="","",INDEX(Firms!$A$5:$A$1004,$T1820)),IF(INDEX('AFA Rates'!$A$5:$A$1004,$T1820)="","",INDEX('AFA Rates'!$A$5:$A$1004,$T1820))))</f>
        <v/>
      </c>
      <c r="B1820" s="79">
        <f>IF(OR($T1820="",$U1820=""),IF($T1820="","","Not on Firms tab"),INDEX(Firms!$B$5:$B$1004,$U1820)&amp;"")</f>
        <v/>
      </c>
      <c r="C1820" s="78">
        <f>IF($T1820="","",IF($S1820="S","Standard",INDEX('AFA Rates'!$B$5:$B$1004,$T1820)&amp;""))</f>
        <v/>
      </c>
      <c r="D1820" s="88">
        <f>IF($T1820="","",IF($S1820="S",IF(INDEX(Firms!$E$5:$E$1004,$T1820)="","",INDEX(Firms!$E$5:$E$1004,$T1820)),IF(INDEX('AFA Rates'!$C$5:$C$1004,$T1820)="","",INDEX('AFA Rates'!$C$5:$C$1004,$T1820))))</f>
        <v/>
      </c>
      <c r="E1820" s="88">
        <f>IF($T1820="","",IF($S1820="S",IF(""="","",""),IF(INDEX('AFA Rates'!$D$5:$D$1004,$T1820)="","",INDEX('AFA Rates'!$D$5:$D$1004,$T1820))))</f>
        <v/>
      </c>
      <c r="F1820" s="79">
        <f>IF($T1820="","",IF($S1820="S",IF(INDEX(Firms!$O$5:$O$1004,$T1820)="","",INDEX(Firms!$O$5:$O$1004,$T1820)),IF(INDEX('AFA Rates'!$O$5:$O$1004,$T1820)="","",INDEX('AFA Rates'!$O$5:$O$1004,$T1820))))</f>
        <v/>
      </c>
      <c r="G1820" s="50">
        <f>IF($T1820="","",IF($S1820="S",IF(INDEX(Firms!$F$5:$F$1004,$T1820)="","",INDEX(Firms!$F$5:$F$1004,$T1820)),IF(INDEX('AFA Rates'!$E$5:$E$1004,$T1820)="","",INDEX('AFA Rates'!$E$5:$E$1004,$T1820))))</f>
        <v/>
      </c>
      <c r="H1820" s="50">
        <f>IF($T1820="","",IF($S1820="S",IF(INDEX(Firms!$G$5:$G$1004,$T1820)="","",INDEX(Firms!$G$5:$G$1004,$T1820)),IF(INDEX('AFA Rates'!$F$5:$F$1004,$T1820)="","",INDEX('AFA Rates'!$F$5:$F$1004,$T1820))))</f>
        <v/>
      </c>
      <c r="I1820" s="50">
        <f>IF($T1820="","",IF($S1820="S",IF(INDEX(Firms!$H$5:$H$1004,$T1820)="","",INDEX(Firms!$H$5:$H$1004,$T1820)),IF(INDEX('AFA Rates'!$G$5:$G$1004,$T1820)="","",INDEX('AFA Rates'!$G$5:$G$1004,$T1820))))</f>
        <v/>
      </c>
      <c r="J1820" s="50">
        <f>IF($T1820="","",IF($S1820="S",IF(INDEX(Firms!$I$5:$I$1004,$T1820)="","",INDEX(Firms!$I$5:$I$1004,$T1820)),IF(INDEX('AFA Rates'!$H$5:$H$1004,$T1820)="","",INDEX('AFA Rates'!$H$5:$H$1004,$T1820))))</f>
        <v/>
      </c>
      <c r="K1820" s="50">
        <f>IF($T1820="","",IF($S1820="S",IF(INDEX(Firms!$J$5:$J$1004,$T1820)="","",INDEX(Firms!$J$5:$J$1004,$T1820)),IF(INDEX('AFA Rates'!$I$5:$I$1004,$T1820)="","",INDEX('AFA Rates'!$I$5:$I$1004,$T1820))))</f>
        <v/>
      </c>
      <c r="L1820" s="50">
        <f>IF($T1820="","",IF($S1820="S",IF(INDEX(Firms!$K$5:$K$1004,$T1820)="","",INDEX(Firms!$K$5:$K$1004,$T1820)),IF(INDEX('AFA Rates'!$J$5:$J$1004,$T1820)="","",INDEX('AFA Rates'!$J$5:$J$1004,$T1820))))</f>
        <v/>
      </c>
      <c r="M1820" s="50">
        <f>IF($T1820="","",IF($S1820="S",IF(INDEX(Firms!$L$5:$L$1004,$T1820)="","",INDEX(Firms!$L$5:$L$1004,$T1820)),IF(INDEX('AFA Rates'!$K$5:$K$1004,$T1820)="","",INDEX('AFA Rates'!$K$5:$K$1004,$T1820))))</f>
        <v/>
      </c>
      <c r="N1820" s="50">
        <f>IF($T1820="","",IF($S1820="S",IF(INDEX(Firms!$M$5:$M$1004,$T1820)="","",INDEX(Firms!$M$5:$M$1004,$T1820)),IF(INDEX('AFA Rates'!$L$5:$L$1004,$T1820)="","",INDEX('AFA Rates'!$L$5:$L$1004,$T1820))))</f>
        <v/>
      </c>
      <c r="O1820" s="78">
        <f>IF(OR($T1820="",$U1820=""),"",IF(INDEX(Firms!$C$5:$C$1004,$U1820)="","",INDEX(Firms!$C$5:$C$1004,$U1820)))</f>
        <v/>
      </c>
      <c r="P1820" s="79">
        <f>IF(OR($T1820="",$U1820=""),"",IF(INDEX(Firms!$N$5:$N$1004,$U1820)="","",INDEX(Firms!$N$5:$N$1004,$U1820)))</f>
        <v/>
      </c>
      <c r="Q1820" s="78">
        <f>IF($T1820="","",IF($S1820="S",IF(INDEX(Firms!$T$5:$T$1004,$T1820)="","",INDEX(Firms!$T$5:$T$1004,$T1820)),IF(INDEX('AFA Rates'!$M$5:$M$1004,$T1820)="","",INDEX('AFA Rates'!$M$5:$M$1004,$T1820))))</f>
        <v/>
      </c>
      <c r="S1820">
        <f>IF(1816&lt;=$S$2,"S",IF(1816&lt;=$S$2+$T$2,"A",""))</f>
        <v/>
      </c>
      <c r="T1820">
        <f>IF(S1820="S",MATCH(1816,Firms!$W$5:$W$1004,0),IF(S1820="A",IFERROR(MATCH(1816-$S$2,'AFA Rates'!$R$5:$R$1004,0),""),""))</f>
        <v/>
      </c>
      <c r="U1820">
        <f>IF(S1820="S",T1820,IF(AND(S1820="A",T1820&lt;&gt;""),IFERROR(MATCH(INDEX('AFA Rates'!$A$5:$A$1004,T1820),Firms!$A$5:$A$1004,0),""),""))</f>
        <v/>
      </c>
    </row>
    <row r="1821">
      <c r="A1821" s="78">
        <f>IF($T1821="","",IF($S1821="S",IF(INDEX(Firms!$A$5:$A$1004,$T1821)="","",INDEX(Firms!$A$5:$A$1004,$T1821)),IF(INDEX('AFA Rates'!$A$5:$A$1004,$T1821)="","",INDEX('AFA Rates'!$A$5:$A$1004,$T1821))))</f>
        <v/>
      </c>
      <c r="B1821" s="79">
        <f>IF(OR($T1821="",$U1821=""),IF($T1821="","","Not on Firms tab"),INDEX(Firms!$B$5:$B$1004,$U1821)&amp;"")</f>
        <v/>
      </c>
      <c r="C1821" s="78">
        <f>IF($T1821="","",IF($S1821="S","Standard",INDEX('AFA Rates'!$B$5:$B$1004,$T1821)&amp;""))</f>
        <v/>
      </c>
      <c r="D1821" s="88">
        <f>IF($T1821="","",IF($S1821="S",IF(INDEX(Firms!$E$5:$E$1004,$T1821)="","",INDEX(Firms!$E$5:$E$1004,$T1821)),IF(INDEX('AFA Rates'!$C$5:$C$1004,$T1821)="","",INDEX('AFA Rates'!$C$5:$C$1004,$T1821))))</f>
        <v/>
      </c>
      <c r="E1821" s="88">
        <f>IF($T1821="","",IF($S1821="S",IF(""="","",""),IF(INDEX('AFA Rates'!$D$5:$D$1004,$T1821)="","",INDEX('AFA Rates'!$D$5:$D$1004,$T1821))))</f>
        <v/>
      </c>
      <c r="F1821" s="79">
        <f>IF($T1821="","",IF($S1821="S",IF(INDEX(Firms!$O$5:$O$1004,$T1821)="","",INDEX(Firms!$O$5:$O$1004,$T1821)),IF(INDEX('AFA Rates'!$O$5:$O$1004,$T1821)="","",INDEX('AFA Rates'!$O$5:$O$1004,$T1821))))</f>
        <v/>
      </c>
      <c r="G1821" s="50">
        <f>IF($T1821="","",IF($S1821="S",IF(INDEX(Firms!$F$5:$F$1004,$T1821)="","",INDEX(Firms!$F$5:$F$1004,$T1821)),IF(INDEX('AFA Rates'!$E$5:$E$1004,$T1821)="","",INDEX('AFA Rates'!$E$5:$E$1004,$T1821))))</f>
        <v/>
      </c>
      <c r="H1821" s="50">
        <f>IF($T1821="","",IF($S1821="S",IF(INDEX(Firms!$G$5:$G$1004,$T1821)="","",INDEX(Firms!$G$5:$G$1004,$T1821)),IF(INDEX('AFA Rates'!$F$5:$F$1004,$T1821)="","",INDEX('AFA Rates'!$F$5:$F$1004,$T1821))))</f>
        <v/>
      </c>
      <c r="I1821" s="50">
        <f>IF($T1821="","",IF($S1821="S",IF(INDEX(Firms!$H$5:$H$1004,$T1821)="","",INDEX(Firms!$H$5:$H$1004,$T1821)),IF(INDEX('AFA Rates'!$G$5:$G$1004,$T1821)="","",INDEX('AFA Rates'!$G$5:$G$1004,$T1821))))</f>
        <v/>
      </c>
      <c r="J1821" s="50">
        <f>IF($T1821="","",IF($S1821="S",IF(INDEX(Firms!$I$5:$I$1004,$T1821)="","",INDEX(Firms!$I$5:$I$1004,$T1821)),IF(INDEX('AFA Rates'!$H$5:$H$1004,$T1821)="","",INDEX('AFA Rates'!$H$5:$H$1004,$T1821))))</f>
        <v/>
      </c>
      <c r="K1821" s="50">
        <f>IF($T1821="","",IF($S1821="S",IF(INDEX(Firms!$J$5:$J$1004,$T1821)="","",INDEX(Firms!$J$5:$J$1004,$T1821)),IF(INDEX('AFA Rates'!$I$5:$I$1004,$T1821)="","",INDEX('AFA Rates'!$I$5:$I$1004,$T1821))))</f>
        <v/>
      </c>
      <c r="L1821" s="50">
        <f>IF($T1821="","",IF($S1821="S",IF(INDEX(Firms!$K$5:$K$1004,$T1821)="","",INDEX(Firms!$K$5:$K$1004,$T1821)),IF(INDEX('AFA Rates'!$J$5:$J$1004,$T1821)="","",INDEX('AFA Rates'!$J$5:$J$1004,$T1821))))</f>
        <v/>
      </c>
      <c r="M1821" s="50">
        <f>IF($T1821="","",IF($S1821="S",IF(INDEX(Firms!$L$5:$L$1004,$T1821)="","",INDEX(Firms!$L$5:$L$1004,$T1821)),IF(INDEX('AFA Rates'!$K$5:$K$1004,$T1821)="","",INDEX('AFA Rates'!$K$5:$K$1004,$T1821))))</f>
        <v/>
      </c>
      <c r="N1821" s="50">
        <f>IF($T1821="","",IF($S1821="S",IF(INDEX(Firms!$M$5:$M$1004,$T1821)="","",INDEX(Firms!$M$5:$M$1004,$T1821)),IF(INDEX('AFA Rates'!$L$5:$L$1004,$T1821)="","",INDEX('AFA Rates'!$L$5:$L$1004,$T1821))))</f>
        <v/>
      </c>
      <c r="O1821" s="78">
        <f>IF(OR($T1821="",$U1821=""),"",IF(INDEX(Firms!$C$5:$C$1004,$U1821)="","",INDEX(Firms!$C$5:$C$1004,$U1821)))</f>
        <v/>
      </c>
      <c r="P1821" s="79">
        <f>IF(OR($T1821="",$U1821=""),"",IF(INDEX(Firms!$N$5:$N$1004,$U1821)="","",INDEX(Firms!$N$5:$N$1004,$U1821)))</f>
        <v/>
      </c>
      <c r="Q1821" s="78">
        <f>IF($T1821="","",IF($S1821="S",IF(INDEX(Firms!$T$5:$T$1004,$T1821)="","",INDEX(Firms!$T$5:$T$1004,$T1821)),IF(INDEX('AFA Rates'!$M$5:$M$1004,$T1821)="","",INDEX('AFA Rates'!$M$5:$M$1004,$T1821))))</f>
        <v/>
      </c>
      <c r="S1821">
        <f>IF(1817&lt;=$S$2,"S",IF(1817&lt;=$S$2+$T$2,"A",""))</f>
        <v/>
      </c>
      <c r="T1821">
        <f>IF(S1821="S",MATCH(1817,Firms!$W$5:$W$1004,0),IF(S1821="A",IFERROR(MATCH(1817-$S$2,'AFA Rates'!$R$5:$R$1004,0),""),""))</f>
        <v/>
      </c>
      <c r="U1821">
        <f>IF(S1821="S",T1821,IF(AND(S1821="A",T1821&lt;&gt;""),IFERROR(MATCH(INDEX('AFA Rates'!$A$5:$A$1004,T1821),Firms!$A$5:$A$1004,0),""),""))</f>
        <v/>
      </c>
    </row>
    <row r="1822">
      <c r="A1822" s="78">
        <f>IF($T1822="","",IF($S1822="S",IF(INDEX(Firms!$A$5:$A$1004,$T1822)="","",INDEX(Firms!$A$5:$A$1004,$T1822)),IF(INDEX('AFA Rates'!$A$5:$A$1004,$T1822)="","",INDEX('AFA Rates'!$A$5:$A$1004,$T1822))))</f>
        <v/>
      </c>
      <c r="B1822" s="79">
        <f>IF(OR($T1822="",$U1822=""),IF($T1822="","","Not on Firms tab"),INDEX(Firms!$B$5:$B$1004,$U1822)&amp;"")</f>
        <v/>
      </c>
      <c r="C1822" s="78">
        <f>IF($T1822="","",IF($S1822="S","Standard",INDEX('AFA Rates'!$B$5:$B$1004,$T1822)&amp;""))</f>
        <v/>
      </c>
      <c r="D1822" s="88">
        <f>IF($T1822="","",IF($S1822="S",IF(INDEX(Firms!$E$5:$E$1004,$T1822)="","",INDEX(Firms!$E$5:$E$1004,$T1822)),IF(INDEX('AFA Rates'!$C$5:$C$1004,$T1822)="","",INDEX('AFA Rates'!$C$5:$C$1004,$T1822))))</f>
        <v/>
      </c>
      <c r="E1822" s="88">
        <f>IF($T1822="","",IF($S1822="S",IF(""="","",""),IF(INDEX('AFA Rates'!$D$5:$D$1004,$T1822)="","",INDEX('AFA Rates'!$D$5:$D$1004,$T1822))))</f>
        <v/>
      </c>
      <c r="F1822" s="79">
        <f>IF($T1822="","",IF($S1822="S",IF(INDEX(Firms!$O$5:$O$1004,$T1822)="","",INDEX(Firms!$O$5:$O$1004,$T1822)),IF(INDEX('AFA Rates'!$O$5:$O$1004,$T1822)="","",INDEX('AFA Rates'!$O$5:$O$1004,$T1822))))</f>
        <v/>
      </c>
      <c r="G1822" s="50">
        <f>IF($T1822="","",IF($S1822="S",IF(INDEX(Firms!$F$5:$F$1004,$T1822)="","",INDEX(Firms!$F$5:$F$1004,$T1822)),IF(INDEX('AFA Rates'!$E$5:$E$1004,$T1822)="","",INDEX('AFA Rates'!$E$5:$E$1004,$T1822))))</f>
        <v/>
      </c>
      <c r="H1822" s="50">
        <f>IF($T1822="","",IF($S1822="S",IF(INDEX(Firms!$G$5:$G$1004,$T1822)="","",INDEX(Firms!$G$5:$G$1004,$T1822)),IF(INDEX('AFA Rates'!$F$5:$F$1004,$T1822)="","",INDEX('AFA Rates'!$F$5:$F$1004,$T1822))))</f>
        <v/>
      </c>
      <c r="I1822" s="50">
        <f>IF($T1822="","",IF($S1822="S",IF(INDEX(Firms!$H$5:$H$1004,$T1822)="","",INDEX(Firms!$H$5:$H$1004,$T1822)),IF(INDEX('AFA Rates'!$G$5:$G$1004,$T1822)="","",INDEX('AFA Rates'!$G$5:$G$1004,$T1822))))</f>
        <v/>
      </c>
      <c r="J1822" s="50">
        <f>IF($T1822="","",IF($S1822="S",IF(INDEX(Firms!$I$5:$I$1004,$T1822)="","",INDEX(Firms!$I$5:$I$1004,$T1822)),IF(INDEX('AFA Rates'!$H$5:$H$1004,$T1822)="","",INDEX('AFA Rates'!$H$5:$H$1004,$T1822))))</f>
        <v/>
      </c>
      <c r="K1822" s="50">
        <f>IF($T1822="","",IF($S1822="S",IF(INDEX(Firms!$J$5:$J$1004,$T1822)="","",INDEX(Firms!$J$5:$J$1004,$T1822)),IF(INDEX('AFA Rates'!$I$5:$I$1004,$T1822)="","",INDEX('AFA Rates'!$I$5:$I$1004,$T1822))))</f>
        <v/>
      </c>
      <c r="L1822" s="50">
        <f>IF($T1822="","",IF($S1822="S",IF(INDEX(Firms!$K$5:$K$1004,$T1822)="","",INDEX(Firms!$K$5:$K$1004,$T1822)),IF(INDEX('AFA Rates'!$J$5:$J$1004,$T1822)="","",INDEX('AFA Rates'!$J$5:$J$1004,$T1822))))</f>
        <v/>
      </c>
      <c r="M1822" s="50">
        <f>IF($T1822="","",IF($S1822="S",IF(INDEX(Firms!$L$5:$L$1004,$T1822)="","",INDEX(Firms!$L$5:$L$1004,$T1822)),IF(INDEX('AFA Rates'!$K$5:$K$1004,$T1822)="","",INDEX('AFA Rates'!$K$5:$K$1004,$T1822))))</f>
        <v/>
      </c>
      <c r="N1822" s="50">
        <f>IF($T1822="","",IF($S1822="S",IF(INDEX(Firms!$M$5:$M$1004,$T1822)="","",INDEX(Firms!$M$5:$M$1004,$T1822)),IF(INDEX('AFA Rates'!$L$5:$L$1004,$T1822)="","",INDEX('AFA Rates'!$L$5:$L$1004,$T1822))))</f>
        <v/>
      </c>
      <c r="O1822" s="78">
        <f>IF(OR($T1822="",$U1822=""),"",IF(INDEX(Firms!$C$5:$C$1004,$U1822)="","",INDEX(Firms!$C$5:$C$1004,$U1822)))</f>
        <v/>
      </c>
      <c r="P1822" s="79">
        <f>IF(OR($T1822="",$U1822=""),"",IF(INDEX(Firms!$N$5:$N$1004,$U1822)="","",INDEX(Firms!$N$5:$N$1004,$U1822)))</f>
        <v/>
      </c>
      <c r="Q1822" s="78">
        <f>IF($T1822="","",IF($S1822="S",IF(INDEX(Firms!$T$5:$T$1004,$T1822)="","",INDEX(Firms!$T$5:$T$1004,$T1822)),IF(INDEX('AFA Rates'!$M$5:$M$1004,$T1822)="","",INDEX('AFA Rates'!$M$5:$M$1004,$T1822))))</f>
        <v/>
      </c>
      <c r="S1822">
        <f>IF(1818&lt;=$S$2,"S",IF(1818&lt;=$S$2+$T$2,"A",""))</f>
        <v/>
      </c>
      <c r="T1822">
        <f>IF(S1822="S",MATCH(1818,Firms!$W$5:$W$1004,0),IF(S1822="A",IFERROR(MATCH(1818-$S$2,'AFA Rates'!$R$5:$R$1004,0),""),""))</f>
        <v/>
      </c>
      <c r="U1822">
        <f>IF(S1822="S",T1822,IF(AND(S1822="A",T1822&lt;&gt;""),IFERROR(MATCH(INDEX('AFA Rates'!$A$5:$A$1004,T1822),Firms!$A$5:$A$1004,0),""),""))</f>
        <v/>
      </c>
    </row>
    <row r="1823">
      <c r="A1823" s="78">
        <f>IF($T1823="","",IF($S1823="S",IF(INDEX(Firms!$A$5:$A$1004,$T1823)="","",INDEX(Firms!$A$5:$A$1004,$T1823)),IF(INDEX('AFA Rates'!$A$5:$A$1004,$T1823)="","",INDEX('AFA Rates'!$A$5:$A$1004,$T1823))))</f>
        <v/>
      </c>
      <c r="B1823" s="79">
        <f>IF(OR($T1823="",$U1823=""),IF($T1823="","","Not on Firms tab"),INDEX(Firms!$B$5:$B$1004,$U1823)&amp;"")</f>
        <v/>
      </c>
      <c r="C1823" s="78">
        <f>IF($T1823="","",IF($S1823="S","Standard",INDEX('AFA Rates'!$B$5:$B$1004,$T1823)&amp;""))</f>
        <v/>
      </c>
      <c r="D1823" s="88">
        <f>IF($T1823="","",IF($S1823="S",IF(INDEX(Firms!$E$5:$E$1004,$T1823)="","",INDEX(Firms!$E$5:$E$1004,$T1823)),IF(INDEX('AFA Rates'!$C$5:$C$1004,$T1823)="","",INDEX('AFA Rates'!$C$5:$C$1004,$T1823))))</f>
        <v/>
      </c>
      <c r="E1823" s="88">
        <f>IF($T1823="","",IF($S1823="S",IF(""="","",""),IF(INDEX('AFA Rates'!$D$5:$D$1004,$T1823)="","",INDEX('AFA Rates'!$D$5:$D$1004,$T1823))))</f>
        <v/>
      </c>
      <c r="F1823" s="79">
        <f>IF($T1823="","",IF($S1823="S",IF(INDEX(Firms!$O$5:$O$1004,$T1823)="","",INDEX(Firms!$O$5:$O$1004,$T1823)),IF(INDEX('AFA Rates'!$O$5:$O$1004,$T1823)="","",INDEX('AFA Rates'!$O$5:$O$1004,$T1823))))</f>
        <v/>
      </c>
      <c r="G1823" s="50">
        <f>IF($T1823="","",IF($S1823="S",IF(INDEX(Firms!$F$5:$F$1004,$T1823)="","",INDEX(Firms!$F$5:$F$1004,$T1823)),IF(INDEX('AFA Rates'!$E$5:$E$1004,$T1823)="","",INDEX('AFA Rates'!$E$5:$E$1004,$T1823))))</f>
        <v/>
      </c>
      <c r="H1823" s="50">
        <f>IF($T1823="","",IF($S1823="S",IF(INDEX(Firms!$G$5:$G$1004,$T1823)="","",INDEX(Firms!$G$5:$G$1004,$T1823)),IF(INDEX('AFA Rates'!$F$5:$F$1004,$T1823)="","",INDEX('AFA Rates'!$F$5:$F$1004,$T1823))))</f>
        <v/>
      </c>
      <c r="I1823" s="50">
        <f>IF($T1823="","",IF($S1823="S",IF(INDEX(Firms!$H$5:$H$1004,$T1823)="","",INDEX(Firms!$H$5:$H$1004,$T1823)),IF(INDEX('AFA Rates'!$G$5:$G$1004,$T1823)="","",INDEX('AFA Rates'!$G$5:$G$1004,$T1823))))</f>
        <v/>
      </c>
      <c r="J1823" s="50">
        <f>IF($T1823="","",IF($S1823="S",IF(INDEX(Firms!$I$5:$I$1004,$T1823)="","",INDEX(Firms!$I$5:$I$1004,$T1823)),IF(INDEX('AFA Rates'!$H$5:$H$1004,$T1823)="","",INDEX('AFA Rates'!$H$5:$H$1004,$T1823))))</f>
        <v/>
      </c>
      <c r="K1823" s="50">
        <f>IF($T1823="","",IF($S1823="S",IF(INDEX(Firms!$J$5:$J$1004,$T1823)="","",INDEX(Firms!$J$5:$J$1004,$T1823)),IF(INDEX('AFA Rates'!$I$5:$I$1004,$T1823)="","",INDEX('AFA Rates'!$I$5:$I$1004,$T1823))))</f>
        <v/>
      </c>
      <c r="L1823" s="50">
        <f>IF($T1823="","",IF($S1823="S",IF(INDEX(Firms!$K$5:$K$1004,$T1823)="","",INDEX(Firms!$K$5:$K$1004,$T1823)),IF(INDEX('AFA Rates'!$J$5:$J$1004,$T1823)="","",INDEX('AFA Rates'!$J$5:$J$1004,$T1823))))</f>
        <v/>
      </c>
      <c r="M1823" s="50">
        <f>IF($T1823="","",IF($S1823="S",IF(INDEX(Firms!$L$5:$L$1004,$T1823)="","",INDEX(Firms!$L$5:$L$1004,$T1823)),IF(INDEX('AFA Rates'!$K$5:$K$1004,$T1823)="","",INDEX('AFA Rates'!$K$5:$K$1004,$T1823))))</f>
        <v/>
      </c>
      <c r="N1823" s="50">
        <f>IF($T1823="","",IF($S1823="S",IF(INDEX(Firms!$M$5:$M$1004,$T1823)="","",INDEX(Firms!$M$5:$M$1004,$T1823)),IF(INDEX('AFA Rates'!$L$5:$L$1004,$T1823)="","",INDEX('AFA Rates'!$L$5:$L$1004,$T1823))))</f>
        <v/>
      </c>
      <c r="O1823" s="78">
        <f>IF(OR($T1823="",$U1823=""),"",IF(INDEX(Firms!$C$5:$C$1004,$U1823)="","",INDEX(Firms!$C$5:$C$1004,$U1823)))</f>
        <v/>
      </c>
      <c r="P1823" s="79">
        <f>IF(OR($T1823="",$U1823=""),"",IF(INDEX(Firms!$N$5:$N$1004,$U1823)="","",INDEX(Firms!$N$5:$N$1004,$U1823)))</f>
        <v/>
      </c>
      <c r="Q1823" s="78">
        <f>IF($T1823="","",IF($S1823="S",IF(INDEX(Firms!$T$5:$T$1004,$T1823)="","",INDEX(Firms!$T$5:$T$1004,$T1823)),IF(INDEX('AFA Rates'!$M$5:$M$1004,$T1823)="","",INDEX('AFA Rates'!$M$5:$M$1004,$T1823))))</f>
        <v/>
      </c>
      <c r="S1823">
        <f>IF(1819&lt;=$S$2,"S",IF(1819&lt;=$S$2+$T$2,"A",""))</f>
        <v/>
      </c>
      <c r="T1823">
        <f>IF(S1823="S",MATCH(1819,Firms!$W$5:$W$1004,0),IF(S1823="A",IFERROR(MATCH(1819-$S$2,'AFA Rates'!$R$5:$R$1004,0),""),""))</f>
        <v/>
      </c>
      <c r="U1823">
        <f>IF(S1823="S",T1823,IF(AND(S1823="A",T1823&lt;&gt;""),IFERROR(MATCH(INDEX('AFA Rates'!$A$5:$A$1004,T1823),Firms!$A$5:$A$1004,0),""),""))</f>
        <v/>
      </c>
    </row>
    <row r="1824">
      <c r="A1824" s="78">
        <f>IF($T1824="","",IF($S1824="S",IF(INDEX(Firms!$A$5:$A$1004,$T1824)="","",INDEX(Firms!$A$5:$A$1004,$T1824)),IF(INDEX('AFA Rates'!$A$5:$A$1004,$T1824)="","",INDEX('AFA Rates'!$A$5:$A$1004,$T1824))))</f>
        <v/>
      </c>
      <c r="B1824" s="79">
        <f>IF(OR($T1824="",$U1824=""),IF($T1824="","","Not on Firms tab"),INDEX(Firms!$B$5:$B$1004,$U1824)&amp;"")</f>
        <v/>
      </c>
      <c r="C1824" s="78">
        <f>IF($T1824="","",IF($S1824="S","Standard",INDEX('AFA Rates'!$B$5:$B$1004,$T1824)&amp;""))</f>
        <v/>
      </c>
      <c r="D1824" s="88">
        <f>IF($T1824="","",IF($S1824="S",IF(INDEX(Firms!$E$5:$E$1004,$T1824)="","",INDEX(Firms!$E$5:$E$1004,$T1824)),IF(INDEX('AFA Rates'!$C$5:$C$1004,$T1824)="","",INDEX('AFA Rates'!$C$5:$C$1004,$T1824))))</f>
        <v/>
      </c>
      <c r="E1824" s="88">
        <f>IF($T1824="","",IF($S1824="S",IF(""="","",""),IF(INDEX('AFA Rates'!$D$5:$D$1004,$T1824)="","",INDEX('AFA Rates'!$D$5:$D$1004,$T1824))))</f>
        <v/>
      </c>
      <c r="F1824" s="79">
        <f>IF($T1824="","",IF($S1824="S",IF(INDEX(Firms!$O$5:$O$1004,$T1824)="","",INDEX(Firms!$O$5:$O$1004,$T1824)),IF(INDEX('AFA Rates'!$O$5:$O$1004,$T1824)="","",INDEX('AFA Rates'!$O$5:$O$1004,$T1824))))</f>
        <v/>
      </c>
      <c r="G1824" s="50">
        <f>IF($T1824="","",IF($S1824="S",IF(INDEX(Firms!$F$5:$F$1004,$T1824)="","",INDEX(Firms!$F$5:$F$1004,$T1824)),IF(INDEX('AFA Rates'!$E$5:$E$1004,$T1824)="","",INDEX('AFA Rates'!$E$5:$E$1004,$T1824))))</f>
        <v/>
      </c>
      <c r="H1824" s="50">
        <f>IF($T1824="","",IF($S1824="S",IF(INDEX(Firms!$G$5:$G$1004,$T1824)="","",INDEX(Firms!$G$5:$G$1004,$T1824)),IF(INDEX('AFA Rates'!$F$5:$F$1004,$T1824)="","",INDEX('AFA Rates'!$F$5:$F$1004,$T1824))))</f>
        <v/>
      </c>
      <c r="I1824" s="50">
        <f>IF($T1824="","",IF($S1824="S",IF(INDEX(Firms!$H$5:$H$1004,$T1824)="","",INDEX(Firms!$H$5:$H$1004,$T1824)),IF(INDEX('AFA Rates'!$G$5:$G$1004,$T1824)="","",INDEX('AFA Rates'!$G$5:$G$1004,$T1824))))</f>
        <v/>
      </c>
      <c r="J1824" s="50">
        <f>IF($T1824="","",IF($S1824="S",IF(INDEX(Firms!$I$5:$I$1004,$T1824)="","",INDEX(Firms!$I$5:$I$1004,$T1824)),IF(INDEX('AFA Rates'!$H$5:$H$1004,$T1824)="","",INDEX('AFA Rates'!$H$5:$H$1004,$T1824))))</f>
        <v/>
      </c>
      <c r="K1824" s="50">
        <f>IF($T1824="","",IF($S1824="S",IF(INDEX(Firms!$J$5:$J$1004,$T1824)="","",INDEX(Firms!$J$5:$J$1004,$T1824)),IF(INDEX('AFA Rates'!$I$5:$I$1004,$T1824)="","",INDEX('AFA Rates'!$I$5:$I$1004,$T1824))))</f>
        <v/>
      </c>
      <c r="L1824" s="50">
        <f>IF($T1824="","",IF($S1824="S",IF(INDEX(Firms!$K$5:$K$1004,$T1824)="","",INDEX(Firms!$K$5:$K$1004,$T1824)),IF(INDEX('AFA Rates'!$J$5:$J$1004,$T1824)="","",INDEX('AFA Rates'!$J$5:$J$1004,$T1824))))</f>
        <v/>
      </c>
      <c r="M1824" s="50">
        <f>IF($T1824="","",IF($S1824="S",IF(INDEX(Firms!$L$5:$L$1004,$T1824)="","",INDEX(Firms!$L$5:$L$1004,$T1824)),IF(INDEX('AFA Rates'!$K$5:$K$1004,$T1824)="","",INDEX('AFA Rates'!$K$5:$K$1004,$T1824))))</f>
        <v/>
      </c>
      <c r="N1824" s="50">
        <f>IF($T1824="","",IF($S1824="S",IF(INDEX(Firms!$M$5:$M$1004,$T1824)="","",INDEX(Firms!$M$5:$M$1004,$T1824)),IF(INDEX('AFA Rates'!$L$5:$L$1004,$T1824)="","",INDEX('AFA Rates'!$L$5:$L$1004,$T1824))))</f>
        <v/>
      </c>
      <c r="O1824" s="78">
        <f>IF(OR($T1824="",$U1824=""),"",IF(INDEX(Firms!$C$5:$C$1004,$U1824)="","",INDEX(Firms!$C$5:$C$1004,$U1824)))</f>
        <v/>
      </c>
      <c r="P1824" s="79">
        <f>IF(OR($T1824="",$U1824=""),"",IF(INDEX(Firms!$N$5:$N$1004,$U1824)="","",INDEX(Firms!$N$5:$N$1004,$U1824)))</f>
        <v/>
      </c>
      <c r="Q1824" s="78">
        <f>IF($T1824="","",IF($S1824="S",IF(INDEX(Firms!$T$5:$T$1004,$T1824)="","",INDEX(Firms!$T$5:$T$1004,$T1824)),IF(INDEX('AFA Rates'!$M$5:$M$1004,$T1824)="","",INDEX('AFA Rates'!$M$5:$M$1004,$T1824))))</f>
        <v/>
      </c>
      <c r="S1824">
        <f>IF(1820&lt;=$S$2,"S",IF(1820&lt;=$S$2+$T$2,"A",""))</f>
        <v/>
      </c>
      <c r="T1824">
        <f>IF(S1824="S",MATCH(1820,Firms!$W$5:$W$1004,0),IF(S1824="A",IFERROR(MATCH(1820-$S$2,'AFA Rates'!$R$5:$R$1004,0),""),""))</f>
        <v/>
      </c>
      <c r="U1824">
        <f>IF(S1824="S",T1824,IF(AND(S1824="A",T1824&lt;&gt;""),IFERROR(MATCH(INDEX('AFA Rates'!$A$5:$A$1004,T1824),Firms!$A$5:$A$1004,0),""),""))</f>
        <v/>
      </c>
    </row>
    <row r="1825">
      <c r="A1825" s="78">
        <f>IF($T1825="","",IF($S1825="S",IF(INDEX(Firms!$A$5:$A$1004,$T1825)="","",INDEX(Firms!$A$5:$A$1004,$T1825)),IF(INDEX('AFA Rates'!$A$5:$A$1004,$T1825)="","",INDEX('AFA Rates'!$A$5:$A$1004,$T1825))))</f>
        <v/>
      </c>
      <c r="B1825" s="79">
        <f>IF(OR($T1825="",$U1825=""),IF($T1825="","","Not on Firms tab"),INDEX(Firms!$B$5:$B$1004,$U1825)&amp;"")</f>
        <v/>
      </c>
      <c r="C1825" s="78">
        <f>IF($T1825="","",IF($S1825="S","Standard",INDEX('AFA Rates'!$B$5:$B$1004,$T1825)&amp;""))</f>
        <v/>
      </c>
      <c r="D1825" s="88">
        <f>IF($T1825="","",IF($S1825="S",IF(INDEX(Firms!$E$5:$E$1004,$T1825)="","",INDEX(Firms!$E$5:$E$1004,$T1825)),IF(INDEX('AFA Rates'!$C$5:$C$1004,$T1825)="","",INDEX('AFA Rates'!$C$5:$C$1004,$T1825))))</f>
        <v/>
      </c>
      <c r="E1825" s="88">
        <f>IF($T1825="","",IF($S1825="S",IF(""="","",""),IF(INDEX('AFA Rates'!$D$5:$D$1004,$T1825)="","",INDEX('AFA Rates'!$D$5:$D$1004,$T1825))))</f>
        <v/>
      </c>
      <c r="F1825" s="79">
        <f>IF($T1825="","",IF($S1825="S",IF(INDEX(Firms!$O$5:$O$1004,$T1825)="","",INDEX(Firms!$O$5:$O$1004,$T1825)),IF(INDEX('AFA Rates'!$O$5:$O$1004,$T1825)="","",INDEX('AFA Rates'!$O$5:$O$1004,$T1825))))</f>
        <v/>
      </c>
      <c r="G1825" s="50">
        <f>IF($T1825="","",IF($S1825="S",IF(INDEX(Firms!$F$5:$F$1004,$T1825)="","",INDEX(Firms!$F$5:$F$1004,$T1825)),IF(INDEX('AFA Rates'!$E$5:$E$1004,$T1825)="","",INDEX('AFA Rates'!$E$5:$E$1004,$T1825))))</f>
        <v/>
      </c>
      <c r="H1825" s="50">
        <f>IF($T1825="","",IF($S1825="S",IF(INDEX(Firms!$G$5:$G$1004,$T1825)="","",INDEX(Firms!$G$5:$G$1004,$T1825)),IF(INDEX('AFA Rates'!$F$5:$F$1004,$T1825)="","",INDEX('AFA Rates'!$F$5:$F$1004,$T1825))))</f>
        <v/>
      </c>
      <c r="I1825" s="50">
        <f>IF($T1825="","",IF($S1825="S",IF(INDEX(Firms!$H$5:$H$1004,$T1825)="","",INDEX(Firms!$H$5:$H$1004,$T1825)),IF(INDEX('AFA Rates'!$G$5:$G$1004,$T1825)="","",INDEX('AFA Rates'!$G$5:$G$1004,$T1825))))</f>
        <v/>
      </c>
      <c r="J1825" s="50">
        <f>IF($T1825="","",IF($S1825="S",IF(INDEX(Firms!$I$5:$I$1004,$T1825)="","",INDEX(Firms!$I$5:$I$1004,$T1825)),IF(INDEX('AFA Rates'!$H$5:$H$1004,$T1825)="","",INDEX('AFA Rates'!$H$5:$H$1004,$T1825))))</f>
        <v/>
      </c>
      <c r="K1825" s="50">
        <f>IF($T1825="","",IF($S1825="S",IF(INDEX(Firms!$J$5:$J$1004,$T1825)="","",INDEX(Firms!$J$5:$J$1004,$T1825)),IF(INDEX('AFA Rates'!$I$5:$I$1004,$T1825)="","",INDEX('AFA Rates'!$I$5:$I$1004,$T1825))))</f>
        <v/>
      </c>
      <c r="L1825" s="50">
        <f>IF($T1825="","",IF($S1825="S",IF(INDEX(Firms!$K$5:$K$1004,$T1825)="","",INDEX(Firms!$K$5:$K$1004,$T1825)),IF(INDEX('AFA Rates'!$J$5:$J$1004,$T1825)="","",INDEX('AFA Rates'!$J$5:$J$1004,$T1825))))</f>
        <v/>
      </c>
      <c r="M1825" s="50">
        <f>IF($T1825="","",IF($S1825="S",IF(INDEX(Firms!$L$5:$L$1004,$T1825)="","",INDEX(Firms!$L$5:$L$1004,$T1825)),IF(INDEX('AFA Rates'!$K$5:$K$1004,$T1825)="","",INDEX('AFA Rates'!$K$5:$K$1004,$T1825))))</f>
        <v/>
      </c>
      <c r="N1825" s="50">
        <f>IF($T1825="","",IF($S1825="S",IF(INDEX(Firms!$M$5:$M$1004,$T1825)="","",INDEX(Firms!$M$5:$M$1004,$T1825)),IF(INDEX('AFA Rates'!$L$5:$L$1004,$T1825)="","",INDEX('AFA Rates'!$L$5:$L$1004,$T1825))))</f>
        <v/>
      </c>
      <c r="O1825" s="78">
        <f>IF(OR($T1825="",$U1825=""),"",IF(INDEX(Firms!$C$5:$C$1004,$U1825)="","",INDEX(Firms!$C$5:$C$1004,$U1825)))</f>
        <v/>
      </c>
      <c r="P1825" s="79">
        <f>IF(OR($T1825="",$U1825=""),"",IF(INDEX(Firms!$N$5:$N$1004,$U1825)="","",INDEX(Firms!$N$5:$N$1004,$U1825)))</f>
        <v/>
      </c>
      <c r="Q1825" s="78">
        <f>IF($T1825="","",IF($S1825="S",IF(INDEX(Firms!$T$5:$T$1004,$T1825)="","",INDEX(Firms!$T$5:$T$1004,$T1825)),IF(INDEX('AFA Rates'!$M$5:$M$1004,$T1825)="","",INDEX('AFA Rates'!$M$5:$M$1004,$T1825))))</f>
        <v/>
      </c>
      <c r="S1825">
        <f>IF(1821&lt;=$S$2,"S",IF(1821&lt;=$S$2+$T$2,"A",""))</f>
        <v/>
      </c>
      <c r="T1825">
        <f>IF(S1825="S",MATCH(1821,Firms!$W$5:$W$1004,0),IF(S1825="A",IFERROR(MATCH(1821-$S$2,'AFA Rates'!$R$5:$R$1004,0),""),""))</f>
        <v/>
      </c>
      <c r="U1825">
        <f>IF(S1825="S",T1825,IF(AND(S1825="A",T1825&lt;&gt;""),IFERROR(MATCH(INDEX('AFA Rates'!$A$5:$A$1004,T1825),Firms!$A$5:$A$1004,0),""),""))</f>
        <v/>
      </c>
    </row>
    <row r="1826">
      <c r="A1826" s="78">
        <f>IF($T1826="","",IF($S1826="S",IF(INDEX(Firms!$A$5:$A$1004,$T1826)="","",INDEX(Firms!$A$5:$A$1004,$T1826)),IF(INDEX('AFA Rates'!$A$5:$A$1004,$T1826)="","",INDEX('AFA Rates'!$A$5:$A$1004,$T1826))))</f>
        <v/>
      </c>
      <c r="B1826" s="79">
        <f>IF(OR($T1826="",$U1826=""),IF($T1826="","","Not on Firms tab"),INDEX(Firms!$B$5:$B$1004,$U1826)&amp;"")</f>
        <v/>
      </c>
      <c r="C1826" s="78">
        <f>IF($T1826="","",IF($S1826="S","Standard",INDEX('AFA Rates'!$B$5:$B$1004,$T1826)&amp;""))</f>
        <v/>
      </c>
      <c r="D1826" s="88">
        <f>IF($T1826="","",IF($S1826="S",IF(INDEX(Firms!$E$5:$E$1004,$T1826)="","",INDEX(Firms!$E$5:$E$1004,$T1826)),IF(INDEX('AFA Rates'!$C$5:$C$1004,$T1826)="","",INDEX('AFA Rates'!$C$5:$C$1004,$T1826))))</f>
        <v/>
      </c>
      <c r="E1826" s="88">
        <f>IF($T1826="","",IF($S1826="S",IF(""="","",""),IF(INDEX('AFA Rates'!$D$5:$D$1004,$T1826)="","",INDEX('AFA Rates'!$D$5:$D$1004,$T1826))))</f>
        <v/>
      </c>
      <c r="F1826" s="79">
        <f>IF($T1826="","",IF($S1826="S",IF(INDEX(Firms!$O$5:$O$1004,$T1826)="","",INDEX(Firms!$O$5:$O$1004,$T1826)),IF(INDEX('AFA Rates'!$O$5:$O$1004,$T1826)="","",INDEX('AFA Rates'!$O$5:$O$1004,$T1826))))</f>
        <v/>
      </c>
      <c r="G1826" s="50">
        <f>IF($T1826="","",IF($S1826="S",IF(INDEX(Firms!$F$5:$F$1004,$T1826)="","",INDEX(Firms!$F$5:$F$1004,$T1826)),IF(INDEX('AFA Rates'!$E$5:$E$1004,$T1826)="","",INDEX('AFA Rates'!$E$5:$E$1004,$T1826))))</f>
        <v/>
      </c>
      <c r="H1826" s="50">
        <f>IF($T1826="","",IF($S1826="S",IF(INDEX(Firms!$G$5:$G$1004,$T1826)="","",INDEX(Firms!$G$5:$G$1004,$T1826)),IF(INDEX('AFA Rates'!$F$5:$F$1004,$T1826)="","",INDEX('AFA Rates'!$F$5:$F$1004,$T1826))))</f>
        <v/>
      </c>
      <c r="I1826" s="50">
        <f>IF($T1826="","",IF($S1826="S",IF(INDEX(Firms!$H$5:$H$1004,$T1826)="","",INDEX(Firms!$H$5:$H$1004,$T1826)),IF(INDEX('AFA Rates'!$G$5:$G$1004,$T1826)="","",INDEX('AFA Rates'!$G$5:$G$1004,$T1826))))</f>
        <v/>
      </c>
      <c r="J1826" s="50">
        <f>IF($T1826="","",IF($S1826="S",IF(INDEX(Firms!$I$5:$I$1004,$T1826)="","",INDEX(Firms!$I$5:$I$1004,$T1826)),IF(INDEX('AFA Rates'!$H$5:$H$1004,$T1826)="","",INDEX('AFA Rates'!$H$5:$H$1004,$T1826))))</f>
        <v/>
      </c>
      <c r="K1826" s="50">
        <f>IF($T1826="","",IF($S1826="S",IF(INDEX(Firms!$J$5:$J$1004,$T1826)="","",INDEX(Firms!$J$5:$J$1004,$T1826)),IF(INDEX('AFA Rates'!$I$5:$I$1004,$T1826)="","",INDEX('AFA Rates'!$I$5:$I$1004,$T1826))))</f>
        <v/>
      </c>
      <c r="L1826" s="50">
        <f>IF($T1826="","",IF($S1826="S",IF(INDEX(Firms!$K$5:$K$1004,$T1826)="","",INDEX(Firms!$K$5:$K$1004,$T1826)),IF(INDEX('AFA Rates'!$J$5:$J$1004,$T1826)="","",INDEX('AFA Rates'!$J$5:$J$1004,$T1826))))</f>
        <v/>
      </c>
      <c r="M1826" s="50">
        <f>IF($T1826="","",IF($S1826="S",IF(INDEX(Firms!$L$5:$L$1004,$T1826)="","",INDEX(Firms!$L$5:$L$1004,$T1826)),IF(INDEX('AFA Rates'!$K$5:$K$1004,$T1826)="","",INDEX('AFA Rates'!$K$5:$K$1004,$T1826))))</f>
        <v/>
      </c>
      <c r="N1826" s="50">
        <f>IF($T1826="","",IF($S1826="S",IF(INDEX(Firms!$M$5:$M$1004,$T1826)="","",INDEX(Firms!$M$5:$M$1004,$T1826)),IF(INDEX('AFA Rates'!$L$5:$L$1004,$T1826)="","",INDEX('AFA Rates'!$L$5:$L$1004,$T1826))))</f>
        <v/>
      </c>
      <c r="O1826" s="78">
        <f>IF(OR($T1826="",$U1826=""),"",IF(INDEX(Firms!$C$5:$C$1004,$U1826)="","",INDEX(Firms!$C$5:$C$1004,$U1826)))</f>
        <v/>
      </c>
      <c r="P1826" s="79">
        <f>IF(OR($T1826="",$U1826=""),"",IF(INDEX(Firms!$N$5:$N$1004,$U1826)="","",INDEX(Firms!$N$5:$N$1004,$U1826)))</f>
        <v/>
      </c>
      <c r="Q1826" s="78">
        <f>IF($T1826="","",IF($S1826="S",IF(INDEX(Firms!$T$5:$T$1004,$T1826)="","",INDEX(Firms!$T$5:$T$1004,$T1826)),IF(INDEX('AFA Rates'!$M$5:$M$1004,$T1826)="","",INDEX('AFA Rates'!$M$5:$M$1004,$T1826))))</f>
        <v/>
      </c>
      <c r="S1826">
        <f>IF(1822&lt;=$S$2,"S",IF(1822&lt;=$S$2+$T$2,"A",""))</f>
        <v/>
      </c>
      <c r="T1826">
        <f>IF(S1826="S",MATCH(1822,Firms!$W$5:$W$1004,0),IF(S1826="A",IFERROR(MATCH(1822-$S$2,'AFA Rates'!$R$5:$R$1004,0),""),""))</f>
        <v/>
      </c>
      <c r="U1826">
        <f>IF(S1826="S",T1826,IF(AND(S1826="A",T1826&lt;&gt;""),IFERROR(MATCH(INDEX('AFA Rates'!$A$5:$A$1004,T1826),Firms!$A$5:$A$1004,0),""),""))</f>
        <v/>
      </c>
    </row>
    <row r="1827">
      <c r="A1827" s="78">
        <f>IF($T1827="","",IF($S1827="S",IF(INDEX(Firms!$A$5:$A$1004,$T1827)="","",INDEX(Firms!$A$5:$A$1004,$T1827)),IF(INDEX('AFA Rates'!$A$5:$A$1004,$T1827)="","",INDEX('AFA Rates'!$A$5:$A$1004,$T1827))))</f>
        <v/>
      </c>
      <c r="B1827" s="79">
        <f>IF(OR($T1827="",$U1827=""),IF($T1827="","","Not on Firms tab"),INDEX(Firms!$B$5:$B$1004,$U1827)&amp;"")</f>
        <v/>
      </c>
      <c r="C1827" s="78">
        <f>IF($T1827="","",IF($S1827="S","Standard",INDEX('AFA Rates'!$B$5:$B$1004,$T1827)&amp;""))</f>
        <v/>
      </c>
      <c r="D1827" s="88">
        <f>IF($T1827="","",IF($S1827="S",IF(INDEX(Firms!$E$5:$E$1004,$T1827)="","",INDEX(Firms!$E$5:$E$1004,$T1827)),IF(INDEX('AFA Rates'!$C$5:$C$1004,$T1827)="","",INDEX('AFA Rates'!$C$5:$C$1004,$T1827))))</f>
        <v/>
      </c>
      <c r="E1827" s="88">
        <f>IF($T1827="","",IF($S1827="S",IF(""="","",""),IF(INDEX('AFA Rates'!$D$5:$D$1004,$T1827)="","",INDEX('AFA Rates'!$D$5:$D$1004,$T1827))))</f>
        <v/>
      </c>
      <c r="F1827" s="79">
        <f>IF($T1827="","",IF($S1827="S",IF(INDEX(Firms!$O$5:$O$1004,$T1827)="","",INDEX(Firms!$O$5:$O$1004,$T1827)),IF(INDEX('AFA Rates'!$O$5:$O$1004,$T1827)="","",INDEX('AFA Rates'!$O$5:$O$1004,$T1827))))</f>
        <v/>
      </c>
      <c r="G1827" s="50">
        <f>IF($T1827="","",IF($S1827="S",IF(INDEX(Firms!$F$5:$F$1004,$T1827)="","",INDEX(Firms!$F$5:$F$1004,$T1827)),IF(INDEX('AFA Rates'!$E$5:$E$1004,$T1827)="","",INDEX('AFA Rates'!$E$5:$E$1004,$T1827))))</f>
        <v/>
      </c>
      <c r="H1827" s="50">
        <f>IF($T1827="","",IF($S1827="S",IF(INDEX(Firms!$G$5:$G$1004,$T1827)="","",INDEX(Firms!$G$5:$G$1004,$T1827)),IF(INDEX('AFA Rates'!$F$5:$F$1004,$T1827)="","",INDEX('AFA Rates'!$F$5:$F$1004,$T1827))))</f>
        <v/>
      </c>
      <c r="I1827" s="50">
        <f>IF($T1827="","",IF($S1827="S",IF(INDEX(Firms!$H$5:$H$1004,$T1827)="","",INDEX(Firms!$H$5:$H$1004,$T1827)),IF(INDEX('AFA Rates'!$G$5:$G$1004,$T1827)="","",INDEX('AFA Rates'!$G$5:$G$1004,$T1827))))</f>
        <v/>
      </c>
      <c r="J1827" s="50">
        <f>IF($T1827="","",IF($S1827="S",IF(INDEX(Firms!$I$5:$I$1004,$T1827)="","",INDEX(Firms!$I$5:$I$1004,$T1827)),IF(INDEX('AFA Rates'!$H$5:$H$1004,$T1827)="","",INDEX('AFA Rates'!$H$5:$H$1004,$T1827))))</f>
        <v/>
      </c>
      <c r="K1827" s="50">
        <f>IF($T1827="","",IF($S1827="S",IF(INDEX(Firms!$J$5:$J$1004,$T1827)="","",INDEX(Firms!$J$5:$J$1004,$T1827)),IF(INDEX('AFA Rates'!$I$5:$I$1004,$T1827)="","",INDEX('AFA Rates'!$I$5:$I$1004,$T1827))))</f>
        <v/>
      </c>
      <c r="L1827" s="50">
        <f>IF($T1827="","",IF($S1827="S",IF(INDEX(Firms!$K$5:$K$1004,$T1827)="","",INDEX(Firms!$K$5:$K$1004,$T1827)),IF(INDEX('AFA Rates'!$J$5:$J$1004,$T1827)="","",INDEX('AFA Rates'!$J$5:$J$1004,$T1827))))</f>
        <v/>
      </c>
      <c r="M1827" s="50">
        <f>IF($T1827="","",IF($S1827="S",IF(INDEX(Firms!$L$5:$L$1004,$T1827)="","",INDEX(Firms!$L$5:$L$1004,$T1827)),IF(INDEX('AFA Rates'!$K$5:$K$1004,$T1827)="","",INDEX('AFA Rates'!$K$5:$K$1004,$T1827))))</f>
        <v/>
      </c>
      <c r="N1827" s="50">
        <f>IF($T1827="","",IF($S1827="S",IF(INDEX(Firms!$M$5:$M$1004,$T1827)="","",INDEX(Firms!$M$5:$M$1004,$T1827)),IF(INDEX('AFA Rates'!$L$5:$L$1004,$T1827)="","",INDEX('AFA Rates'!$L$5:$L$1004,$T1827))))</f>
        <v/>
      </c>
      <c r="O1827" s="78">
        <f>IF(OR($T1827="",$U1827=""),"",IF(INDEX(Firms!$C$5:$C$1004,$U1827)="","",INDEX(Firms!$C$5:$C$1004,$U1827)))</f>
        <v/>
      </c>
      <c r="P1827" s="79">
        <f>IF(OR($T1827="",$U1827=""),"",IF(INDEX(Firms!$N$5:$N$1004,$U1827)="","",INDEX(Firms!$N$5:$N$1004,$U1827)))</f>
        <v/>
      </c>
      <c r="Q1827" s="78">
        <f>IF($T1827="","",IF($S1827="S",IF(INDEX(Firms!$T$5:$T$1004,$T1827)="","",INDEX(Firms!$T$5:$T$1004,$T1827)),IF(INDEX('AFA Rates'!$M$5:$M$1004,$T1827)="","",INDEX('AFA Rates'!$M$5:$M$1004,$T1827))))</f>
        <v/>
      </c>
      <c r="S1827">
        <f>IF(1823&lt;=$S$2,"S",IF(1823&lt;=$S$2+$T$2,"A",""))</f>
        <v/>
      </c>
      <c r="T1827">
        <f>IF(S1827="S",MATCH(1823,Firms!$W$5:$W$1004,0),IF(S1827="A",IFERROR(MATCH(1823-$S$2,'AFA Rates'!$R$5:$R$1004,0),""),""))</f>
        <v/>
      </c>
      <c r="U1827">
        <f>IF(S1827="S",T1827,IF(AND(S1827="A",T1827&lt;&gt;""),IFERROR(MATCH(INDEX('AFA Rates'!$A$5:$A$1004,T1827),Firms!$A$5:$A$1004,0),""),""))</f>
        <v/>
      </c>
    </row>
    <row r="1828">
      <c r="A1828" s="78">
        <f>IF($T1828="","",IF($S1828="S",IF(INDEX(Firms!$A$5:$A$1004,$T1828)="","",INDEX(Firms!$A$5:$A$1004,$T1828)),IF(INDEX('AFA Rates'!$A$5:$A$1004,$T1828)="","",INDEX('AFA Rates'!$A$5:$A$1004,$T1828))))</f>
        <v/>
      </c>
      <c r="B1828" s="79">
        <f>IF(OR($T1828="",$U1828=""),IF($T1828="","","Not on Firms tab"),INDEX(Firms!$B$5:$B$1004,$U1828)&amp;"")</f>
        <v/>
      </c>
      <c r="C1828" s="78">
        <f>IF($T1828="","",IF($S1828="S","Standard",INDEX('AFA Rates'!$B$5:$B$1004,$T1828)&amp;""))</f>
        <v/>
      </c>
      <c r="D1828" s="88">
        <f>IF($T1828="","",IF($S1828="S",IF(INDEX(Firms!$E$5:$E$1004,$T1828)="","",INDEX(Firms!$E$5:$E$1004,$T1828)),IF(INDEX('AFA Rates'!$C$5:$C$1004,$T1828)="","",INDEX('AFA Rates'!$C$5:$C$1004,$T1828))))</f>
        <v/>
      </c>
      <c r="E1828" s="88">
        <f>IF($T1828="","",IF($S1828="S",IF(""="","",""),IF(INDEX('AFA Rates'!$D$5:$D$1004,$T1828)="","",INDEX('AFA Rates'!$D$5:$D$1004,$T1828))))</f>
        <v/>
      </c>
      <c r="F1828" s="79">
        <f>IF($T1828="","",IF($S1828="S",IF(INDEX(Firms!$O$5:$O$1004,$T1828)="","",INDEX(Firms!$O$5:$O$1004,$T1828)),IF(INDEX('AFA Rates'!$O$5:$O$1004,$T1828)="","",INDEX('AFA Rates'!$O$5:$O$1004,$T1828))))</f>
        <v/>
      </c>
      <c r="G1828" s="50">
        <f>IF($T1828="","",IF($S1828="S",IF(INDEX(Firms!$F$5:$F$1004,$T1828)="","",INDEX(Firms!$F$5:$F$1004,$T1828)),IF(INDEX('AFA Rates'!$E$5:$E$1004,$T1828)="","",INDEX('AFA Rates'!$E$5:$E$1004,$T1828))))</f>
        <v/>
      </c>
      <c r="H1828" s="50">
        <f>IF($T1828="","",IF($S1828="S",IF(INDEX(Firms!$G$5:$G$1004,$T1828)="","",INDEX(Firms!$G$5:$G$1004,$T1828)),IF(INDEX('AFA Rates'!$F$5:$F$1004,$T1828)="","",INDEX('AFA Rates'!$F$5:$F$1004,$T1828))))</f>
        <v/>
      </c>
      <c r="I1828" s="50">
        <f>IF($T1828="","",IF($S1828="S",IF(INDEX(Firms!$H$5:$H$1004,$T1828)="","",INDEX(Firms!$H$5:$H$1004,$T1828)),IF(INDEX('AFA Rates'!$G$5:$G$1004,$T1828)="","",INDEX('AFA Rates'!$G$5:$G$1004,$T1828))))</f>
        <v/>
      </c>
      <c r="J1828" s="50">
        <f>IF($T1828="","",IF($S1828="S",IF(INDEX(Firms!$I$5:$I$1004,$T1828)="","",INDEX(Firms!$I$5:$I$1004,$T1828)),IF(INDEX('AFA Rates'!$H$5:$H$1004,$T1828)="","",INDEX('AFA Rates'!$H$5:$H$1004,$T1828))))</f>
        <v/>
      </c>
      <c r="K1828" s="50">
        <f>IF($T1828="","",IF($S1828="S",IF(INDEX(Firms!$J$5:$J$1004,$T1828)="","",INDEX(Firms!$J$5:$J$1004,$T1828)),IF(INDEX('AFA Rates'!$I$5:$I$1004,$T1828)="","",INDEX('AFA Rates'!$I$5:$I$1004,$T1828))))</f>
        <v/>
      </c>
      <c r="L1828" s="50">
        <f>IF($T1828="","",IF($S1828="S",IF(INDEX(Firms!$K$5:$K$1004,$T1828)="","",INDEX(Firms!$K$5:$K$1004,$T1828)),IF(INDEX('AFA Rates'!$J$5:$J$1004,$T1828)="","",INDEX('AFA Rates'!$J$5:$J$1004,$T1828))))</f>
        <v/>
      </c>
      <c r="M1828" s="50">
        <f>IF($T1828="","",IF($S1828="S",IF(INDEX(Firms!$L$5:$L$1004,$T1828)="","",INDEX(Firms!$L$5:$L$1004,$T1828)),IF(INDEX('AFA Rates'!$K$5:$K$1004,$T1828)="","",INDEX('AFA Rates'!$K$5:$K$1004,$T1828))))</f>
        <v/>
      </c>
      <c r="N1828" s="50">
        <f>IF($T1828="","",IF($S1828="S",IF(INDEX(Firms!$M$5:$M$1004,$T1828)="","",INDEX(Firms!$M$5:$M$1004,$T1828)),IF(INDEX('AFA Rates'!$L$5:$L$1004,$T1828)="","",INDEX('AFA Rates'!$L$5:$L$1004,$T1828))))</f>
        <v/>
      </c>
      <c r="O1828" s="78">
        <f>IF(OR($T1828="",$U1828=""),"",IF(INDEX(Firms!$C$5:$C$1004,$U1828)="","",INDEX(Firms!$C$5:$C$1004,$U1828)))</f>
        <v/>
      </c>
      <c r="P1828" s="79">
        <f>IF(OR($T1828="",$U1828=""),"",IF(INDEX(Firms!$N$5:$N$1004,$U1828)="","",INDEX(Firms!$N$5:$N$1004,$U1828)))</f>
        <v/>
      </c>
      <c r="Q1828" s="78">
        <f>IF($T1828="","",IF($S1828="S",IF(INDEX(Firms!$T$5:$T$1004,$T1828)="","",INDEX(Firms!$T$5:$T$1004,$T1828)),IF(INDEX('AFA Rates'!$M$5:$M$1004,$T1828)="","",INDEX('AFA Rates'!$M$5:$M$1004,$T1828))))</f>
        <v/>
      </c>
      <c r="S1828">
        <f>IF(1824&lt;=$S$2,"S",IF(1824&lt;=$S$2+$T$2,"A",""))</f>
        <v/>
      </c>
      <c r="T1828">
        <f>IF(S1828="S",MATCH(1824,Firms!$W$5:$W$1004,0),IF(S1828="A",IFERROR(MATCH(1824-$S$2,'AFA Rates'!$R$5:$R$1004,0),""),""))</f>
        <v/>
      </c>
      <c r="U1828">
        <f>IF(S1828="S",T1828,IF(AND(S1828="A",T1828&lt;&gt;""),IFERROR(MATCH(INDEX('AFA Rates'!$A$5:$A$1004,T1828),Firms!$A$5:$A$1004,0),""),""))</f>
        <v/>
      </c>
    </row>
    <row r="1829">
      <c r="A1829" s="78">
        <f>IF($T1829="","",IF($S1829="S",IF(INDEX(Firms!$A$5:$A$1004,$T1829)="","",INDEX(Firms!$A$5:$A$1004,$T1829)),IF(INDEX('AFA Rates'!$A$5:$A$1004,$T1829)="","",INDEX('AFA Rates'!$A$5:$A$1004,$T1829))))</f>
        <v/>
      </c>
      <c r="B1829" s="79">
        <f>IF(OR($T1829="",$U1829=""),IF($T1829="","","Not on Firms tab"),INDEX(Firms!$B$5:$B$1004,$U1829)&amp;"")</f>
        <v/>
      </c>
      <c r="C1829" s="78">
        <f>IF($T1829="","",IF($S1829="S","Standard",INDEX('AFA Rates'!$B$5:$B$1004,$T1829)&amp;""))</f>
        <v/>
      </c>
      <c r="D1829" s="88">
        <f>IF($T1829="","",IF($S1829="S",IF(INDEX(Firms!$E$5:$E$1004,$T1829)="","",INDEX(Firms!$E$5:$E$1004,$T1829)),IF(INDEX('AFA Rates'!$C$5:$C$1004,$T1829)="","",INDEX('AFA Rates'!$C$5:$C$1004,$T1829))))</f>
        <v/>
      </c>
      <c r="E1829" s="88">
        <f>IF($T1829="","",IF($S1829="S",IF(""="","",""),IF(INDEX('AFA Rates'!$D$5:$D$1004,$T1829)="","",INDEX('AFA Rates'!$D$5:$D$1004,$T1829))))</f>
        <v/>
      </c>
      <c r="F1829" s="79">
        <f>IF($T1829="","",IF($S1829="S",IF(INDEX(Firms!$O$5:$O$1004,$T1829)="","",INDEX(Firms!$O$5:$O$1004,$T1829)),IF(INDEX('AFA Rates'!$O$5:$O$1004,$T1829)="","",INDEX('AFA Rates'!$O$5:$O$1004,$T1829))))</f>
        <v/>
      </c>
      <c r="G1829" s="50">
        <f>IF($T1829="","",IF($S1829="S",IF(INDEX(Firms!$F$5:$F$1004,$T1829)="","",INDEX(Firms!$F$5:$F$1004,$T1829)),IF(INDEX('AFA Rates'!$E$5:$E$1004,$T1829)="","",INDEX('AFA Rates'!$E$5:$E$1004,$T1829))))</f>
        <v/>
      </c>
      <c r="H1829" s="50">
        <f>IF($T1829="","",IF($S1829="S",IF(INDEX(Firms!$G$5:$G$1004,$T1829)="","",INDEX(Firms!$G$5:$G$1004,$T1829)),IF(INDEX('AFA Rates'!$F$5:$F$1004,$T1829)="","",INDEX('AFA Rates'!$F$5:$F$1004,$T1829))))</f>
        <v/>
      </c>
      <c r="I1829" s="50">
        <f>IF($T1829="","",IF($S1829="S",IF(INDEX(Firms!$H$5:$H$1004,$T1829)="","",INDEX(Firms!$H$5:$H$1004,$T1829)),IF(INDEX('AFA Rates'!$G$5:$G$1004,$T1829)="","",INDEX('AFA Rates'!$G$5:$G$1004,$T1829))))</f>
        <v/>
      </c>
      <c r="J1829" s="50">
        <f>IF($T1829="","",IF($S1829="S",IF(INDEX(Firms!$I$5:$I$1004,$T1829)="","",INDEX(Firms!$I$5:$I$1004,$T1829)),IF(INDEX('AFA Rates'!$H$5:$H$1004,$T1829)="","",INDEX('AFA Rates'!$H$5:$H$1004,$T1829))))</f>
        <v/>
      </c>
      <c r="K1829" s="50">
        <f>IF($T1829="","",IF($S1829="S",IF(INDEX(Firms!$J$5:$J$1004,$T1829)="","",INDEX(Firms!$J$5:$J$1004,$T1829)),IF(INDEX('AFA Rates'!$I$5:$I$1004,$T1829)="","",INDEX('AFA Rates'!$I$5:$I$1004,$T1829))))</f>
        <v/>
      </c>
      <c r="L1829" s="50">
        <f>IF($T1829="","",IF($S1829="S",IF(INDEX(Firms!$K$5:$K$1004,$T1829)="","",INDEX(Firms!$K$5:$K$1004,$T1829)),IF(INDEX('AFA Rates'!$J$5:$J$1004,$T1829)="","",INDEX('AFA Rates'!$J$5:$J$1004,$T1829))))</f>
        <v/>
      </c>
      <c r="M1829" s="50">
        <f>IF($T1829="","",IF($S1829="S",IF(INDEX(Firms!$L$5:$L$1004,$T1829)="","",INDEX(Firms!$L$5:$L$1004,$T1829)),IF(INDEX('AFA Rates'!$K$5:$K$1004,$T1829)="","",INDEX('AFA Rates'!$K$5:$K$1004,$T1829))))</f>
        <v/>
      </c>
      <c r="N1829" s="50">
        <f>IF($T1829="","",IF($S1829="S",IF(INDEX(Firms!$M$5:$M$1004,$T1829)="","",INDEX(Firms!$M$5:$M$1004,$T1829)),IF(INDEX('AFA Rates'!$L$5:$L$1004,$T1829)="","",INDEX('AFA Rates'!$L$5:$L$1004,$T1829))))</f>
        <v/>
      </c>
      <c r="O1829" s="78">
        <f>IF(OR($T1829="",$U1829=""),"",IF(INDEX(Firms!$C$5:$C$1004,$U1829)="","",INDEX(Firms!$C$5:$C$1004,$U1829)))</f>
        <v/>
      </c>
      <c r="P1829" s="79">
        <f>IF(OR($T1829="",$U1829=""),"",IF(INDEX(Firms!$N$5:$N$1004,$U1829)="","",INDEX(Firms!$N$5:$N$1004,$U1829)))</f>
        <v/>
      </c>
      <c r="Q1829" s="78">
        <f>IF($T1829="","",IF($S1829="S",IF(INDEX(Firms!$T$5:$T$1004,$T1829)="","",INDEX(Firms!$T$5:$T$1004,$T1829)),IF(INDEX('AFA Rates'!$M$5:$M$1004,$T1829)="","",INDEX('AFA Rates'!$M$5:$M$1004,$T1829))))</f>
        <v/>
      </c>
      <c r="S1829">
        <f>IF(1825&lt;=$S$2,"S",IF(1825&lt;=$S$2+$T$2,"A",""))</f>
        <v/>
      </c>
      <c r="T1829">
        <f>IF(S1829="S",MATCH(1825,Firms!$W$5:$W$1004,0),IF(S1829="A",IFERROR(MATCH(1825-$S$2,'AFA Rates'!$R$5:$R$1004,0),""),""))</f>
        <v/>
      </c>
      <c r="U1829">
        <f>IF(S1829="S",T1829,IF(AND(S1829="A",T1829&lt;&gt;""),IFERROR(MATCH(INDEX('AFA Rates'!$A$5:$A$1004,T1829),Firms!$A$5:$A$1004,0),""),""))</f>
        <v/>
      </c>
    </row>
    <row r="1830">
      <c r="A1830" s="78">
        <f>IF($T1830="","",IF($S1830="S",IF(INDEX(Firms!$A$5:$A$1004,$T1830)="","",INDEX(Firms!$A$5:$A$1004,$T1830)),IF(INDEX('AFA Rates'!$A$5:$A$1004,$T1830)="","",INDEX('AFA Rates'!$A$5:$A$1004,$T1830))))</f>
        <v/>
      </c>
      <c r="B1830" s="79">
        <f>IF(OR($T1830="",$U1830=""),IF($T1830="","","Not on Firms tab"),INDEX(Firms!$B$5:$B$1004,$U1830)&amp;"")</f>
        <v/>
      </c>
      <c r="C1830" s="78">
        <f>IF($T1830="","",IF($S1830="S","Standard",INDEX('AFA Rates'!$B$5:$B$1004,$T1830)&amp;""))</f>
        <v/>
      </c>
      <c r="D1830" s="88">
        <f>IF($T1830="","",IF($S1830="S",IF(INDEX(Firms!$E$5:$E$1004,$T1830)="","",INDEX(Firms!$E$5:$E$1004,$T1830)),IF(INDEX('AFA Rates'!$C$5:$C$1004,$T1830)="","",INDEX('AFA Rates'!$C$5:$C$1004,$T1830))))</f>
        <v/>
      </c>
      <c r="E1830" s="88">
        <f>IF($T1830="","",IF($S1830="S",IF(""="","",""),IF(INDEX('AFA Rates'!$D$5:$D$1004,$T1830)="","",INDEX('AFA Rates'!$D$5:$D$1004,$T1830))))</f>
        <v/>
      </c>
      <c r="F1830" s="79">
        <f>IF($T1830="","",IF($S1830="S",IF(INDEX(Firms!$O$5:$O$1004,$T1830)="","",INDEX(Firms!$O$5:$O$1004,$T1830)),IF(INDEX('AFA Rates'!$O$5:$O$1004,$T1830)="","",INDEX('AFA Rates'!$O$5:$O$1004,$T1830))))</f>
        <v/>
      </c>
      <c r="G1830" s="50">
        <f>IF($T1830="","",IF($S1830="S",IF(INDEX(Firms!$F$5:$F$1004,$T1830)="","",INDEX(Firms!$F$5:$F$1004,$T1830)),IF(INDEX('AFA Rates'!$E$5:$E$1004,$T1830)="","",INDEX('AFA Rates'!$E$5:$E$1004,$T1830))))</f>
        <v/>
      </c>
      <c r="H1830" s="50">
        <f>IF($T1830="","",IF($S1830="S",IF(INDEX(Firms!$G$5:$G$1004,$T1830)="","",INDEX(Firms!$G$5:$G$1004,$T1830)),IF(INDEX('AFA Rates'!$F$5:$F$1004,$T1830)="","",INDEX('AFA Rates'!$F$5:$F$1004,$T1830))))</f>
        <v/>
      </c>
      <c r="I1830" s="50">
        <f>IF($T1830="","",IF($S1830="S",IF(INDEX(Firms!$H$5:$H$1004,$T1830)="","",INDEX(Firms!$H$5:$H$1004,$T1830)),IF(INDEX('AFA Rates'!$G$5:$G$1004,$T1830)="","",INDEX('AFA Rates'!$G$5:$G$1004,$T1830))))</f>
        <v/>
      </c>
      <c r="J1830" s="50">
        <f>IF($T1830="","",IF($S1830="S",IF(INDEX(Firms!$I$5:$I$1004,$T1830)="","",INDEX(Firms!$I$5:$I$1004,$T1830)),IF(INDEX('AFA Rates'!$H$5:$H$1004,$T1830)="","",INDEX('AFA Rates'!$H$5:$H$1004,$T1830))))</f>
        <v/>
      </c>
      <c r="K1830" s="50">
        <f>IF($T1830="","",IF($S1830="S",IF(INDEX(Firms!$J$5:$J$1004,$T1830)="","",INDEX(Firms!$J$5:$J$1004,$T1830)),IF(INDEX('AFA Rates'!$I$5:$I$1004,$T1830)="","",INDEX('AFA Rates'!$I$5:$I$1004,$T1830))))</f>
        <v/>
      </c>
      <c r="L1830" s="50">
        <f>IF($T1830="","",IF($S1830="S",IF(INDEX(Firms!$K$5:$K$1004,$T1830)="","",INDEX(Firms!$K$5:$K$1004,$T1830)),IF(INDEX('AFA Rates'!$J$5:$J$1004,$T1830)="","",INDEX('AFA Rates'!$J$5:$J$1004,$T1830))))</f>
        <v/>
      </c>
      <c r="M1830" s="50">
        <f>IF($T1830="","",IF($S1830="S",IF(INDEX(Firms!$L$5:$L$1004,$T1830)="","",INDEX(Firms!$L$5:$L$1004,$T1830)),IF(INDEX('AFA Rates'!$K$5:$K$1004,$T1830)="","",INDEX('AFA Rates'!$K$5:$K$1004,$T1830))))</f>
        <v/>
      </c>
      <c r="N1830" s="50">
        <f>IF($T1830="","",IF($S1830="S",IF(INDEX(Firms!$M$5:$M$1004,$T1830)="","",INDEX(Firms!$M$5:$M$1004,$T1830)),IF(INDEX('AFA Rates'!$L$5:$L$1004,$T1830)="","",INDEX('AFA Rates'!$L$5:$L$1004,$T1830))))</f>
        <v/>
      </c>
      <c r="O1830" s="78">
        <f>IF(OR($T1830="",$U1830=""),"",IF(INDEX(Firms!$C$5:$C$1004,$U1830)="","",INDEX(Firms!$C$5:$C$1004,$U1830)))</f>
        <v/>
      </c>
      <c r="P1830" s="79">
        <f>IF(OR($T1830="",$U1830=""),"",IF(INDEX(Firms!$N$5:$N$1004,$U1830)="","",INDEX(Firms!$N$5:$N$1004,$U1830)))</f>
        <v/>
      </c>
      <c r="Q1830" s="78">
        <f>IF($T1830="","",IF($S1830="S",IF(INDEX(Firms!$T$5:$T$1004,$T1830)="","",INDEX(Firms!$T$5:$T$1004,$T1830)),IF(INDEX('AFA Rates'!$M$5:$M$1004,$T1830)="","",INDEX('AFA Rates'!$M$5:$M$1004,$T1830))))</f>
        <v/>
      </c>
      <c r="S1830">
        <f>IF(1826&lt;=$S$2,"S",IF(1826&lt;=$S$2+$T$2,"A",""))</f>
        <v/>
      </c>
      <c r="T1830">
        <f>IF(S1830="S",MATCH(1826,Firms!$W$5:$W$1004,0),IF(S1830="A",IFERROR(MATCH(1826-$S$2,'AFA Rates'!$R$5:$R$1004,0),""),""))</f>
        <v/>
      </c>
      <c r="U1830">
        <f>IF(S1830="S",T1830,IF(AND(S1830="A",T1830&lt;&gt;""),IFERROR(MATCH(INDEX('AFA Rates'!$A$5:$A$1004,T1830),Firms!$A$5:$A$1004,0),""),""))</f>
        <v/>
      </c>
    </row>
    <row r="1831">
      <c r="A1831" s="78">
        <f>IF($T1831="","",IF($S1831="S",IF(INDEX(Firms!$A$5:$A$1004,$T1831)="","",INDEX(Firms!$A$5:$A$1004,$T1831)),IF(INDEX('AFA Rates'!$A$5:$A$1004,$T1831)="","",INDEX('AFA Rates'!$A$5:$A$1004,$T1831))))</f>
        <v/>
      </c>
      <c r="B1831" s="79">
        <f>IF(OR($T1831="",$U1831=""),IF($T1831="","","Not on Firms tab"),INDEX(Firms!$B$5:$B$1004,$U1831)&amp;"")</f>
        <v/>
      </c>
      <c r="C1831" s="78">
        <f>IF($T1831="","",IF($S1831="S","Standard",INDEX('AFA Rates'!$B$5:$B$1004,$T1831)&amp;""))</f>
        <v/>
      </c>
      <c r="D1831" s="88">
        <f>IF($T1831="","",IF($S1831="S",IF(INDEX(Firms!$E$5:$E$1004,$T1831)="","",INDEX(Firms!$E$5:$E$1004,$T1831)),IF(INDEX('AFA Rates'!$C$5:$C$1004,$T1831)="","",INDEX('AFA Rates'!$C$5:$C$1004,$T1831))))</f>
        <v/>
      </c>
      <c r="E1831" s="88">
        <f>IF($T1831="","",IF($S1831="S",IF(""="","",""),IF(INDEX('AFA Rates'!$D$5:$D$1004,$T1831)="","",INDEX('AFA Rates'!$D$5:$D$1004,$T1831))))</f>
        <v/>
      </c>
      <c r="F1831" s="79">
        <f>IF($T1831="","",IF($S1831="S",IF(INDEX(Firms!$O$5:$O$1004,$T1831)="","",INDEX(Firms!$O$5:$O$1004,$T1831)),IF(INDEX('AFA Rates'!$O$5:$O$1004,$T1831)="","",INDEX('AFA Rates'!$O$5:$O$1004,$T1831))))</f>
        <v/>
      </c>
      <c r="G1831" s="50">
        <f>IF($T1831="","",IF($S1831="S",IF(INDEX(Firms!$F$5:$F$1004,$T1831)="","",INDEX(Firms!$F$5:$F$1004,$T1831)),IF(INDEX('AFA Rates'!$E$5:$E$1004,$T1831)="","",INDEX('AFA Rates'!$E$5:$E$1004,$T1831))))</f>
        <v/>
      </c>
      <c r="H1831" s="50">
        <f>IF($T1831="","",IF($S1831="S",IF(INDEX(Firms!$G$5:$G$1004,$T1831)="","",INDEX(Firms!$G$5:$G$1004,$T1831)),IF(INDEX('AFA Rates'!$F$5:$F$1004,$T1831)="","",INDEX('AFA Rates'!$F$5:$F$1004,$T1831))))</f>
        <v/>
      </c>
      <c r="I1831" s="50">
        <f>IF($T1831="","",IF($S1831="S",IF(INDEX(Firms!$H$5:$H$1004,$T1831)="","",INDEX(Firms!$H$5:$H$1004,$T1831)),IF(INDEX('AFA Rates'!$G$5:$G$1004,$T1831)="","",INDEX('AFA Rates'!$G$5:$G$1004,$T1831))))</f>
        <v/>
      </c>
      <c r="J1831" s="50">
        <f>IF($T1831="","",IF($S1831="S",IF(INDEX(Firms!$I$5:$I$1004,$T1831)="","",INDEX(Firms!$I$5:$I$1004,$T1831)),IF(INDEX('AFA Rates'!$H$5:$H$1004,$T1831)="","",INDEX('AFA Rates'!$H$5:$H$1004,$T1831))))</f>
        <v/>
      </c>
      <c r="K1831" s="50">
        <f>IF($T1831="","",IF($S1831="S",IF(INDEX(Firms!$J$5:$J$1004,$T1831)="","",INDEX(Firms!$J$5:$J$1004,$T1831)),IF(INDEX('AFA Rates'!$I$5:$I$1004,$T1831)="","",INDEX('AFA Rates'!$I$5:$I$1004,$T1831))))</f>
        <v/>
      </c>
      <c r="L1831" s="50">
        <f>IF($T1831="","",IF($S1831="S",IF(INDEX(Firms!$K$5:$K$1004,$T1831)="","",INDEX(Firms!$K$5:$K$1004,$T1831)),IF(INDEX('AFA Rates'!$J$5:$J$1004,$T1831)="","",INDEX('AFA Rates'!$J$5:$J$1004,$T1831))))</f>
        <v/>
      </c>
      <c r="M1831" s="50">
        <f>IF($T1831="","",IF($S1831="S",IF(INDEX(Firms!$L$5:$L$1004,$T1831)="","",INDEX(Firms!$L$5:$L$1004,$T1831)),IF(INDEX('AFA Rates'!$K$5:$K$1004,$T1831)="","",INDEX('AFA Rates'!$K$5:$K$1004,$T1831))))</f>
        <v/>
      </c>
      <c r="N1831" s="50">
        <f>IF($T1831="","",IF($S1831="S",IF(INDEX(Firms!$M$5:$M$1004,$T1831)="","",INDEX(Firms!$M$5:$M$1004,$T1831)),IF(INDEX('AFA Rates'!$L$5:$L$1004,$T1831)="","",INDEX('AFA Rates'!$L$5:$L$1004,$T1831))))</f>
        <v/>
      </c>
      <c r="O1831" s="78">
        <f>IF(OR($T1831="",$U1831=""),"",IF(INDEX(Firms!$C$5:$C$1004,$U1831)="","",INDEX(Firms!$C$5:$C$1004,$U1831)))</f>
        <v/>
      </c>
      <c r="P1831" s="79">
        <f>IF(OR($T1831="",$U1831=""),"",IF(INDEX(Firms!$N$5:$N$1004,$U1831)="","",INDEX(Firms!$N$5:$N$1004,$U1831)))</f>
        <v/>
      </c>
      <c r="Q1831" s="78">
        <f>IF($T1831="","",IF($S1831="S",IF(INDEX(Firms!$T$5:$T$1004,$T1831)="","",INDEX(Firms!$T$5:$T$1004,$T1831)),IF(INDEX('AFA Rates'!$M$5:$M$1004,$T1831)="","",INDEX('AFA Rates'!$M$5:$M$1004,$T1831))))</f>
        <v/>
      </c>
      <c r="S1831">
        <f>IF(1827&lt;=$S$2,"S",IF(1827&lt;=$S$2+$T$2,"A",""))</f>
        <v/>
      </c>
      <c r="T1831">
        <f>IF(S1831="S",MATCH(1827,Firms!$W$5:$W$1004,0),IF(S1831="A",IFERROR(MATCH(1827-$S$2,'AFA Rates'!$R$5:$R$1004,0),""),""))</f>
        <v/>
      </c>
      <c r="U1831">
        <f>IF(S1831="S",T1831,IF(AND(S1831="A",T1831&lt;&gt;""),IFERROR(MATCH(INDEX('AFA Rates'!$A$5:$A$1004,T1831),Firms!$A$5:$A$1004,0),""),""))</f>
        <v/>
      </c>
    </row>
    <row r="1832">
      <c r="A1832" s="78">
        <f>IF($T1832="","",IF($S1832="S",IF(INDEX(Firms!$A$5:$A$1004,$T1832)="","",INDEX(Firms!$A$5:$A$1004,$T1832)),IF(INDEX('AFA Rates'!$A$5:$A$1004,$T1832)="","",INDEX('AFA Rates'!$A$5:$A$1004,$T1832))))</f>
        <v/>
      </c>
      <c r="B1832" s="79">
        <f>IF(OR($T1832="",$U1832=""),IF($T1832="","","Not on Firms tab"),INDEX(Firms!$B$5:$B$1004,$U1832)&amp;"")</f>
        <v/>
      </c>
      <c r="C1832" s="78">
        <f>IF($T1832="","",IF($S1832="S","Standard",INDEX('AFA Rates'!$B$5:$B$1004,$T1832)&amp;""))</f>
        <v/>
      </c>
      <c r="D1832" s="88">
        <f>IF($T1832="","",IF($S1832="S",IF(INDEX(Firms!$E$5:$E$1004,$T1832)="","",INDEX(Firms!$E$5:$E$1004,$T1832)),IF(INDEX('AFA Rates'!$C$5:$C$1004,$T1832)="","",INDEX('AFA Rates'!$C$5:$C$1004,$T1832))))</f>
        <v/>
      </c>
      <c r="E1832" s="88">
        <f>IF($T1832="","",IF($S1832="S",IF(""="","",""),IF(INDEX('AFA Rates'!$D$5:$D$1004,$T1832)="","",INDEX('AFA Rates'!$D$5:$D$1004,$T1832))))</f>
        <v/>
      </c>
      <c r="F1832" s="79">
        <f>IF($T1832="","",IF($S1832="S",IF(INDEX(Firms!$O$5:$O$1004,$T1832)="","",INDEX(Firms!$O$5:$O$1004,$T1832)),IF(INDEX('AFA Rates'!$O$5:$O$1004,$T1832)="","",INDEX('AFA Rates'!$O$5:$O$1004,$T1832))))</f>
        <v/>
      </c>
      <c r="G1832" s="50">
        <f>IF($T1832="","",IF($S1832="S",IF(INDEX(Firms!$F$5:$F$1004,$T1832)="","",INDEX(Firms!$F$5:$F$1004,$T1832)),IF(INDEX('AFA Rates'!$E$5:$E$1004,$T1832)="","",INDEX('AFA Rates'!$E$5:$E$1004,$T1832))))</f>
        <v/>
      </c>
      <c r="H1832" s="50">
        <f>IF($T1832="","",IF($S1832="S",IF(INDEX(Firms!$G$5:$G$1004,$T1832)="","",INDEX(Firms!$G$5:$G$1004,$T1832)),IF(INDEX('AFA Rates'!$F$5:$F$1004,$T1832)="","",INDEX('AFA Rates'!$F$5:$F$1004,$T1832))))</f>
        <v/>
      </c>
      <c r="I1832" s="50">
        <f>IF($T1832="","",IF($S1832="S",IF(INDEX(Firms!$H$5:$H$1004,$T1832)="","",INDEX(Firms!$H$5:$H$1004,$T1832)),IF(INDEX('AFA Rates'!$G$5:$G$1004,$T1832)="","",INDEX('AFA Rates'!$G$5:$G$1004,$T1832))))</f>
        <v/>
      </c>
      <c r="J1832" s="50">
        <f>IF($T1832="","",IF($S1832="S",IF(INDEX(Firms!$I$5:$I$1004,$T1832)="","",INDEX(Firms!$I$5:$I$1004,$T1832)),IF(INDEX('AFA Rates'!$H$5:$H$1004,$T1832)="","",INDEX('AFA Rates'!$H$5:$H$1004,$T1832))))</f>
        <v/>
      </c>
      <c r="K1832" s="50">
        <f>IF($T1832="","",IF($S1832="S",IF(INDEX(Firms!$J$5:$J$1004,$T1832)="","",INDEX(Firms!$J$5:$J$1004,$T1832)),IF(INDEX('AFA Rates'!$I$5:$I$1004,$T1832)="","",INDEX('AFA Rates'!$I$5:$I$1004,$T1832))))</f>
        <v/>
      </c>
      <c r="L1832" s="50">
        <f>IF($T1832="","",IF($S1832="S",IF(INDEX(Firms!$K$5:$K$1004,$T1832)="","",INDEX(Firms!$K$5:$K$1004,$T1832)),IF(INDEX('AFA Rates'!$J$5:$J$1004,$T1832)="","",INDEX('AFA Rates'!$J$5:$J$1004,$T1832))))</f>
        <v/>
      </c>
      <c r="M1832" s="50">
        <f>IF($T1832="","",IF($S1832="S",IF(INDEX(Firms!$L$5:$L$1004,$T1832)="","",INDEX(Firms!$L$5:$L$1004,$T1832)),IF(INDEX('AFA Rates'!$K$5:$K$1004,$T1832)="","",INDEX('AFA Rates'!$K$5:$K$1004,$T1832))))</f>
        <v/>
      </c>
      <c r="N1832" s="50">
        <f>IF($T1832="","",IF($S1832="S",IF(INDEX(Firms!$M$5:$M$1004,$T1832)="","",INDEX(Firms!$M$5:$M$1004,$T1832)),IF(INDEX('AFA Rates'!$L$5:$L$1004,$T1832)="","",INDEX('AFA Rates'!$L$5:$L$1004,$T1832))))</f>
        <v/>
      </c>
      <c r="O1832" s="78">
        <f>IF(OR($T1832="",$U1832=""),"",IF(INDEX(Firms!$C$5:$C$1004,$U1832)="","",INDEX(Firms!$C$5:$C$1004,$U1832)))</f>
        <v/>
      </c>
      <c r="P1832" s="79">
        <f>IF(OR($T1832="",$U1832=""),"",IF(INDEX(Firms!$N$5:$N$1004,$U1832)="","",INDEX(Firms!$N$5:$N$1004,$U1832)))</f>
        <v/>
      </c>
      <c r="Q1832" s="78">
        <f>IF($T1832="","",IF($S1832="S",IF(INDEX(Firms!$T$5:$T$1004,$T1832)="","",INDEX(Firms!$T$5:$T$1004,$T1832)),IF(INDEX('AFA Rates'!$M$5:$M$1004,$T1832)="","",INDEX('AFA Rates'!$M$5:$M$1004,$T1832))))</f>
        <v/>
      </c>
      <c r="S1832">
        <f>IF(1828&lt;=$S$2,"S",IF(1828&lt;=$S$2+$T$2,"A",""))</f>
        <v/>
      </c>
      <c r="T1832">
        <f>IF(S1832="S",MATCH(1828,Firms!$W$5:$W$1004,0),IF(S1832="A",IFERROR(MATCH(1828-$S$2,'AFA Rates'!$R$5:$R$1004,0),""),""))</f>
        <v/>
      </c>
      <c r="U1832">
        <f>IF(S1832="S",T1832,IF(AND(S1832="A",T1832&lt;&gt;""),IFERROR(MATCH(INDEX('AFA Rates'!$A$5:$A$1004,T1832),Firms!$A$5:$A$1004,0),""),""))</f>
        <v/>
      </c>
    </row>
    <row r="1833">
      <c r="A1833" s="78">
        <f>IF($T1833="","",IF($S1833="S",IF(INDEX(Firms!$A$5:$A$1004,$T1833)="","",INDEX(Firms!$A$5:$A$1004,$T1833)),IF(INDEX('AFA Rates'!$A$5:$A$1004,$T1833)="","",INDEX('AFA Rates'!$A$5:$A$1004,$T1833))))</f>
        <v/>
      </c>
      <c r="B1833" s="79">
        <f>IF(OR($T1833="",$U1833=""),IF($T1833="","","Not on Firms tab"),INDEX(Firms!$B$5:$B$1004,$U1833)&amp;"")</f>
        <v/>
      </c>
      <c r="C1833" s="78">
        <f>IF($T1833="","",IF($S1833="S","Standard",INDEX('AFA Rates'!$B$5:$B$1004,$T1833)&amp;""))</f>
        <v/>
      </c>
      <c r="D1833" s="88">
        <f>IF($T1833="","",IF($S1833="S",IF(INDEX(Firms!$E$5:$E$1004,$T1833)="","",INDEX(Firms!$E$5:$E$1004,$T1833)),IF(INDEX('AFA Rates'!$C$5:$C$1004,$T1833)="","",INDEX('AFA Rates'!$C$5:$C$1004,$T1833))))</f>
        <v/>
      </c>
      <c r="E1833" s="88">
        <f>IF($T1833="","",IF($S1833="S",IF(""="","",""),IF(INDEX('AFA Rates'!$D$5:$D$1004,$T1833)="","",INDEX('AFA Rates'!$D$5:$D$1004,$T1833))))</f>
        <v/>
      </c>
      <c r="F1833" s="79">
        <f>IF($T1833="","",IF($S1833="S",IF(INDEX(Firms!$O$5:$O$1004,$T1833)="","",INDEX(Firms!$O$5:$O$1004,$T1833)),IF(INDEX('AFA Rates'!$O$5:$O$1004,$T1833)="","",INDEX('AFA Rates'!$O$5:$O$1004,$T1833))))</f>
        <v/>
      </c>
      <c r="G1833" s="50">
        <f>IF($T1833="","",IF($S1833="S",IF(INDEX(Firms!$F$5:$F$1004,$T1833)="","",INDEX(Firms!$F$5:$F$1004,$T1833)),IF(INDEX('AFA Rates'!$E$5:$E$1004,$T1833)="","",INDEX('AFA Rates'!$E$5:$E$1004,$T1833))))</f>
        <v/>
      </c>
      <c r="H1833" s="50">
        <f>IF($T1833="","",IF($S1833="S",IF(INDEX(Firms!$G$5:$G$1004,$T1833)="","",INDEX(Firms!$G$5:$G$1004,$T1833)),IF(INDEX('AFA Rates'!$F$5:$F$1004,$T1833)="","",INDEX('AFA Rates'!$F$5:$F$1004,$T1833))))</f>
        <v/>
      </c>
      <c r="I1833" s="50">
        <f>IF($T1833="","",IF($S1833="S",IF(INDEX(Firms!$H$5:$H$1004,$T1833)="","",INDEX(Firms!$H$5:$H$1004,$T1833)),IF(INDEX('AFA Rates'!$G$5:$G$1004,$T1833)="","",INDEX('AFA Rates'!$G$5:$G$1004,$T1833))))</f>
        <v/>
      </c>
      <c r="J1833" s="50">
        <f>IF($T1833="","",IF($S1833="S",IF(INDEX(Firms!$I$5:$I$1004,$T1833)="","",INDEX(Firms!$I$5:$I$1004,$T1833)),IF(INDEX('AFA Rates'!$H$5:$H$1004,$T1833)="","",INDEX('AFA Rates'!$H$5:$H$1004,$T1833))))</f>
        <v/>
      </c>
      <c r="K1833" s="50">
        <f>IF($T1833="","",IF($S1833="S",IF(INDEX(Firms!$J$5:$J$1004,$T1833)="","",INDEX(Firms!$J$5:$J$1004,$T1833)),IF(INDEX('AFA Rates'!$I$5:$I$1004,$T1833)="","",INDEX('AFA Rates'!$I$5:$I$1004,$T1833))))</f>
        <v/>
      </c>
      <c r="L1833" s="50">
        <f>IF($T1833="","",IF($S1833="S",IF(INDEX(Firms!$K$5:$K$1004,$T1833)="","",INDEX(Firms!$K$5:$K$1004,$T1833)),IF(INDEX('AFA Rates'!$J$5:$J$1004,$T1833)="","",INDEX('AFA Rates'!$J$5:$J$1004,$T1833))))</f>
        <v/>
      </c>
      <c r="M1833" s="50">
        <f>IF($T1833="","",IF($S1833="S",IF(INDEX(Firms!$L$5:$L$1004,$T1833)="","",INDEX(Firms!$L$5:$L$1004,$T1833)),IF(INDEX('AFA Rates'!$K$5:$K$1004,$T1833)="","",INDEX('AFA Rates'!$K$5:$K$1004,$T1833))))</f>
        <v/>
      </c>
      <c r="N1833" s="50">
        <f>IF($T1833="","",IF($S1833="S",IF(INDEX(Firms!$M$5:$M$1004,$T1833)="","",INDEX(Firms!$M$5:$M$1004,$T1833)),IF(INDEX('AFA Rates'!$L$5:$L$1004,$T1833)="","",INDEX('AFA Rates'!$L$5:$L$1004,$T1833))))</f>
        <v/>
      </c>
      <c r="O1833" s="78">
        <f>IF(OR($T1833="",$U1833=""),"",IF(INDEX(Firms!$C$5:$C$1004,$U1833)="","",INDEX(Firms!$C$5:$C$1004,$U1833)))</f>
        <v/>
      </c>
      <c r="P1833" s="79">
        <f>IF(OR($T1833="",$U1833=""),"",IF(INDEX(Firms!$N$5:$N$1004,$U1833)="","",INDEX(Firms!$N$5:$N$1004,$U1833)))</f>
        <v/>
      </c>
      <c r="Q1833" s="78">
        <f>IF($T1833="","",IF($S1833="S",IF(INDEX(Firms!$T$5:$T$1004,$T1833)="","",INDEX(Firms!$T$5:$T$1004,$T1833)),IF(INDEX('AFA Rates'!$M$5:$M$1004,$T1833)="","",INDEX('AFA Rates'!$M$5:$M$1004,$T1833))))</f>
        <v/>
      </c>
      <c r="S1833">
        <f>IF(1829&lt;=$S$2,"S",IF(1829&lt;=$S$2+$T$2,"A",""))</f>
        <v/>
      </c>
      <c r="T1833">
        <f>IF(S1833="S",MATCH(1829,Firms!$W$5:$W$1004,0),IF(S1833="A",IFERROR(MATCH(1829-$S$2,'AFA Rates'!$R$5:$R$1004,0),""),""))</f>
        <v/>
      </c>
      <c r="U1833">
        <f>IF(S1833="S",T1833,IF(AND(S1833="A",T1833&lt;&gt;""),IFERROR(MATCH(INDEX('AFA Rates'!$A$5:$A$1004,T1833),Firms!$A$5:$A$1004,0),""),""))</f>
        <v/>
      </c>
    </row>
    <row r="1834">
      <c r="A1834" s="78">
        <f>IF($T1834="","",IF($S1834="S",IF(INDEX(Firms!$A$5:$A$1004,$T1834)="","",INDEX(Firms!$A$5:$A$1004,$T1834)),IF(INDEX('AFA Rates'!$A$5:$A$1004,$T1834)="","",INDEX('AFA Rates'!$A$5:$A$1004,$T1834))))</f>
        <v/>
      </c>
      <c r="B1834" s="79">
        <f>IF(OR($T1834="",$U1834=""),IF($T1834="","","Not on Firms tab"),INDEX(Firms!$B$5:$B$1004,$U1834)&amp;"")</f>
        <v/>
      </c>
      <c r="C1834" s="78">
        <f>IF($T1834="","",IF($S1834="S","Standard",INDEX('AFA Rates'!$B$5:$B$1004,$T1834)&amp;""))</f>
        <v/>
      </c>
      <c r="D1834" s="88">
        <f>IF($T1834="","",IF($S1834="S",IF(INDEX(Firms!$E$5:$E$1004,$T1834)="","",INDEX(Firms!$E$5:$E$1004,$T1834)),IF(INDEX('AFA Rates'!$C$5:$C$1004,$T1834)="","",INDEX('AFA Rates'!$C$5:$C$1004,$T1834))))</f>
        <v/>
      </c>
      <c r="E1834" s="88">
        <f>IF($T1834="","",IF($S1834="S",IF(""="","",""),IF(INDEX('AFA Rates'!$D$5:$D$1004,$T1834)="","",INDEX('AFA Rates'!$D$5:$D$1004,$T1834))))</f>
        <v/>
      </c>
      <c r="F1834" s="79">
        <f>IF($T1834="","",IF($S1834="S",IF(INDEX(Firms!$O$5:$O$1004,$T1834)="","",INDEX(Firms!$O$5:$O$1004,$T1834)),IF(INDEX('AFA Rates'!$O$5:$O$1004,$T1834)="","",INDEX('AFA Rates'!$O$5:$O$1004,$T1834))))</f>
        <v/>
      </c>
      <c r="G1834" s="50">
        <f>IF($T1834="","",IF($S1834="S",IF(INDEX(Firms!$F$5:$F$1004,$T1834)="","",INDEX(Firms!$F$5:$F$1004,$T1834)),IF(INDEX('AFA Rates'!$E$5:$E$1004,$T1834)="","",INDEX('AFA Rates'!$E$5:$E$1004,$T1834))))</f>
        <v/>
      </c>
      <c r="H1834" s="50">
        <f>IF($T1834="","",IF($S1834="S",IF(INDEX(Firms!$G$5:$G$1004,$T1834)="","",INDEX(Firms!$G$5:$G$1004,$T1834)),IF(INDEX('AFA Rates'!$F$5:$F$1004,$T1834)="","",INDEX('AFA Rates'!$F$5:$F$1004,$T1834))))</f>
        <v/>
      </c>
      <c r="I1834" s="50">
        <f>IF($T1834="","",IF($S1834="S",IF(INDEX(Firms!$H$5:$H$1004,$T1834)="","",INDEX(Firms!$H$5:$H$1004,$T1834)),IF(INDEX('AFA Rates'!$G$5:$G$1004,$T1834)="","",INDEX('AFA Rates'!$G$5:$G$1004,$T1834))))</f>
        <v/>
      </c>
      <c r="J1834" s="50">
        <f>IF($T1834="","",IF($S1834="S",IF(INDEX(Firms!$I$5:$I$1004,$T1834)="","",INDEX(Firms!$I$5:$I$1004,$T1834)),IF(INDEX('AFA Rates'!$H$5:$H$1004,$T1834)="","",INDEX('AFA Rates'!$H$5:$H$1004,$T1834))))</f>
        <v/>
      </c>
      <c r="K1834" s="50">
        <f>IF($T1834="","",IF($S1834="S",IF(INDEX(Firms!$J$5:$J$1004,$T1834)="","",INDEX(Firms!$J$5:$J$1004,$T1834)),IF(INDEX('AFA Rates'!$I$5:$I$1004,$T1834)="","",INDEX('AFA Rates'!$I$5:$I$1004,$T1834))))</f>
        <v/>
      </c>
      <c r="L1834" s="50">
        <f>IF($T1834="","",IF($S1834="S",IF(INDEX(Firms!$K$5:$K$1004,$T1834)="","",INDEX(Firms!$K$5:$K$1004,$T1834)),IF(INDEX('AFA Rates'!$J$5:$J$1004,$T1834)="","",INDEX('AFA Rates'!$J$5:$J$1004,$T1834))))</f>
        <v/>
      </c>
      <c r="M1834" s="50">
        <f>IF($T1834="","",IF($S1834="S",IF(INDEX(Firms!$L$5:$L$1004,$T1834)="","",INDEX(Firms!$L$5:$L$1004,$T1834)),IF(INDEX('AFA Rates'!$K$5:$K$1004,$T1834)="","",INDEX('AFA Rates'!$K$5:$K$1004,$T1834))))</f>
        <v/>
      </c>
      <c r="N1834" s="50">
        <f>IF($T1834="","",IF($S1834="S",IF(INDEX(Firms!$M$5:$M$1004,$T1834)="","",INDEX(Firms!$M$5:$M$1004,$T1834)),IF(INDEX('AFA Rates'!$L$5:$L$1004,$T1834)="","",INDEX('AFA Rates'!$L$5:$L$1004,$T1834))))</f>
        <v/>
      </c>
      <c r="O1834" s="78">
        <f>IF(OR($T1834="",$U1834=""),"",IF(INDEX(Firms!$C$5:$C$1004,$U1834)="","",INDEX(Firms!$C$5:$C$1004,$U1834)))</f>
        <v/>
      </c>
      <c r="P1834" s="79">
        <f>IF(OR($T1834="",$U1834=""),"",IF(INDEX(Firms!$N$5:$N$1004,$U1834)="","",INDEX(Firms!$N$5:$N$1004,$U1834)))</f>
        <v/>
      </c>
      <c r="Q1834" s="78">
        <f>IF($T1834="","",IF($S1834="S",IF(INDEX(Firms!$T$5:$T$1004,$T1834)="","",INDEX(Firms!$T$5:$T$1004,$T1834)),IF(INDEX('AFA Rates'!$M$5:$M$1004,$T1834)="","",INDEX('AFA Rates'!$M$5:$M$1004,$T1834))))</f>
        <v/>
      </c>
      <c r="S1834">
        <f>IF(1830&lt;=$S$2,"S",IF(1830&lt;=$S$2+$T$2,"A",""))</f>
        <v/>
      </c>
      <c r="T1834">
        <f>IF(S1834="S",MATCH(1830,Firms!$W$5:$W$1004,0),IF(S1834="A",IFERROR(MATCH(1830-$S$2,'AFA Rates'!$R$5:$R$1004,0),""),""))</f>
        <v/>
      </c>
      <c r="U1834">
        <f>IF(S1834="S",T1834,IF(AND(S1834="A",T1834&lt;&gt;""),IFERROR(MATCH(INDEX('AFA Rates'!$A$5:$A$1004,T1834),Firms!$A$5:$A$1004,0),""),""))</f>
        <v/>
      </c>
    </row>
    <row r="1835">
      <c r="A1835" s="78">
        <f>IF($T1835="","",IF($S1835="S",IF(INDEX(Firms!$A$5:$A$1004,$T1835)="","",INDEX(Firms!$A$5:$A$1004,$T1835)),IF(INDEX('AFA Rates'!$A$5:$A$1004,$T1835)="","",INDEX('AFA Rates'!$A$5:$A$1004,$T1835))))</f>
        <v/>
      </c>
      <c r="B1835" s="79">
        <f>IF(OR($T1835="",$U1835=""),IF($T1835="","","Not on Firms tab"),INDEX(Firms!$B$5:$B$1004,$U1835)&amp;"")</f>
        <v/>
      </c>
      <c r="C1835" s="78">
        <f>IF($T1835="","",IF($S1835="S","Standard",INDEX('AFA Rates'!$B$5:$B$1004,$T1835)&amp;""))</f>
        <v/>
      </c>
      <c r="D1835" s="88">
        <f>IF($T1835="","",IF($S1835="S",IF(INDEX(Firms!$E$5:$E$1004,$T1835)="","",INDEX(Firms!$E$5:$E$1004,$T1835)),IF(INDEX('AFA Rates'!$C$5:$C$1004,$T1835)="","",INDEX('AFA Rates'!$C$5:$C$1004,$T1835))))</f>
        <v/>
      </c>
      <c r="E1835" s="88">
        <f>IF($T1835="","",IF($S1835="S",IF(""="","",""),IF(INDEX('AFA Rates'!$D$5:$D$1004,$T1835)="","",INDEX('AFA Rates'!$D$5:$D$1004,$T1835))))</f>
        <v/>
      </c>
      <c r="F1835" s="79">
        <f>IF($T1835="","",IF($S1835="S",IF(INDEX(Firms!$O$5:$O$1004,$T1835)="","",INDEX(Firms!$O$5:$O$1004,$T1835)),IF(INDEX('AFA Rates'!$O$5:$O$1004,$T1835)="","",INDEX('AFA Rates'!$O$5:$O$1004,$T1835))))</f>
        <v/>
      </c>
      <c r="G1835" s="50">
        <f>IF($T1835="","",IF($S1835="S",IF(INDEX(Firms!$F$5:$F$1004,$T1835)="","",INDEX(Firms!$F$5:$F$1004,$T1835)),IF(INDEX('AFA Rates'!$E$5:$E$1004,$T1835)="","",INDEX('AFA Rates'!$E$5:$E$1004,$T1835))))</f>
        <v/>
      </c>
      <c r="H1835" s="50">
        <f>IF($T1835="","",IF($S1835="S",IF(INDEX(Firms!$G$5:$G$1004,$T1835)="","",INDEX(Firms!$G$5:$G$1004,$T1835)),IF(INDEX('AFA Rates'!$F$5:$F$1004,$T1835)="","",INDEX('AFA Rates'!$F$5:$F$1004,$T1835))))</f>
        <v/>
      </c>
      <c r="I1835" s="50">
        <f>IF($T1835="","",IF($S1835="S",IF(INDEX(Firms!$H$5:$H$1004,$T1835)="","",INDEX(Firms!$H$5:$H$1004,$T1835)),IF(INDEX('AFA Rates'!$G$5:$G$1004,$T1835)="","",INDEX('AFA Rates'!$G$5:$G$1004,$T1835))))</f>
        <v/>
      </c>
      <c r="J1835" s="50">
        <f>IF($T1835="","",IF($S1835="S",IF(INDEX(Firms!$I$5:$I$1004,$T1835)="","",INDEX(Firms!$I$5:$I$1004,$T1835)),IF(INDEX('AFA Rates'!$H$5:$H$1004,$T1835)="","",INDEX('AFA Rates'!$H$5:$H$1004,$T1835))))</f>
        <v/>
      </c>
      <c r="K1835" s="50">
        <f>IF($T1835="","",IF($S1835="S",IF(INDEX(Firms!$J$5:$J$1004,$T1835)="","",INDEX(Firms!$J$5:$J$1004,$T1835)),IF(INDEX('AFA Rates'!$I$5:$I$1004,$T1835)="","",INDEX('AFA Rates'!$I$5:$I$1004,$T1835))))</f>
        <v/>
      </c>
      <c r="L1835" s="50">
        <f>IF($T1835="","",IF($S1835="S",IF(INDEX(Firms!$K$5:$K$1004,$T1835)="","",INDEX(Firms!$K$5:$K$1004,$T1835)),IF(INDEX('AFA Rates'!$J$5:$J$1004,$T1835)="","",INDEX('AFA Rates'!$J$5:$J$1004,$T1835))))</f>
        <v/>
      </c>
      <c r="M1835" s="50">
        <f>IF($T1835="","",IF($S1835="S",IF(INDEX(Firms!$L$5:$L$1004,$T1835)="","",INDEX(Firms!$L$5:$L$1004,$T1835)),IF(INDEX('AFA Rates'!$K$5:$K$1004,$T1835)="","",INDEX('AFA Rates'!$K$5:$K$1004,$T1835))))</f>
        <v/>
      </c>
      <c r="N1835" s="50">
        <f>IF($T1835="","",IF($S1835="S",IF(INDEX(Firms!$M$5:$M$1004,$T1835)="","",INDEX(Firms!$M$5:$M$1004,$T1835)),IF(INDEX('AFA Rates'!$L$5:$L$1004,$T1835)="","",INDEX('AFA Rates'!$L$5:$L$1004,$T1835))))</f>
        <v/>
      </c>
      <c r="O1835" s="78">
        <f>IF(OR($T1835="",$U1835=""),"",IF(INDEX(Firms!$C$5:$C$1004,$U1835)="","",INDEX(Firms!$C$5:$C$1004,$U1835)))</f>
        <v/>
      </c>
      <c r="P1835" s="79">
        <f>IF(OR($T1835="",$U1835=""),"",IF(INDEX(Firms!$N$5:$N$1004,$U1835)="","",INDEX(Firms!$N$5:$N$1004,$U1835)))</f>
        <v/>
      </c>
      <c r="Q1835" s="78">
        <f>IF($T1835="","",IF($S1835="S",IF(INDEX(Firms!$T$5:$T$1004,$T1835)="","",INDEX(Firms!$T$5:$T$1004,$T1835)),IF(INDEX('AFA Rates'!$M$5:$M$1004,$T1835)="","",INDEX('AFA Rates'!$M$5:$M$1004,$T1835))))</f>
        <v/>
      </c>
      <c r="S1835">
        <f>IF(1831&lt;=$S$2,"S",IF(1831&lt;=$S$2+$T$2,"A",""))</f>
        <v/>
      </c>
      <c r="T1835">
        <f>IF(S1835="S",MATCH(1831,Firms!$W$5:$W$1004,0),IF(S1835="A",IFERROR(MATCH(1831-$S$2,'AFA Rates'!$R$5:$R$1004,0),""),""))</f>
        <v/>
      </c>
      <c r="U1835">
        <f>IF(S1835="S",T1835,IF(AND(S1835="A",T1835&lt;&gt;""),IFERROR(MATCH(INDEX('AFA Rates'!$A$5:$A$1004,T1835),Firms!$A$5:$A$1004,0),""),""))</f>
        <v/>
      </c>
    </row>
    <row r="1836">
      <c r="A1836" s="78">
        <f>IF($T1836="","",IF($S1836="S",IF(INDEX(Firms!$A$5:$A$1004,$T1836)="","",INDEX(Firms!$A$5:$A$1004,$T1836)),IF(INDEX('AFA Rates'!$A$5:$A$1004,$T1836)="","",INDEX('AFA Rates'!$A$5:$A$1004,$T1836))))</f>
        <v/>
      </c>
      <c r="B1836" s="79">
        <f>IF(OR($T1836="",$U1836=""),IF($T1836="","","Not on Firms tab"),INDEX(Firms!$B$5:$B$1004,$U1836)&amp;"")</f>
        <v/>
      </c>
      <c r="C1836" s="78">
        <f>IF($T1836="","",IF($S1836="S","Standard",INDEX('AFA Rates'!$B$5:$B$1004,$T1836)&amp;""))</f>
        <v/>
      </c>
      <c r="D1836" s="88">
        <f>IF($T1836="","",IF($S1836="S",IF(INDEX(Firms!$E$5:$E$1004,$T1836)="","",INDEX(Firms!$E$5:$E$1004,$T1836)),IF(INDEX('AFA Rates'!$C$5:$C$1004,$T1836)="","",INDEX('AFA Rates'!$C$5:$C$1004,$T1836))))</f>
        <v/>
      </c>
      <c r="E1836" s="88">
        <f>IF($T1836="","",IF($S1836="S",IF(""="","",""),IF(INDEX('AFA Rates'!$D$5:$D$1004,$T1836)="","",INDEX('AFA Rates'!$D$5:$D$1004,$T1836))))</f>
        <v/>
      </c>
      <c r="F1836" s="79">
        <f>IF($T1836="","",IF($S1836="S",IF(INDEX(Firms!$O$5:$O$1004,$T1836)="","",INDEX(Firms!$O$5:$O$1004,$T1836)),IF(INDEX('AFA Rates'!$O$5:$O$1004,$T1836)="","",INDEX('AFA Rates'!$O$5:$O$1004,$T1836))))</f>
        <v/>
      </c>
      <c r="G1836" s="50">
        <f>IF($T1836="","",IF($S1836="S",IF(INDEX(Firms!$F$5:$F$1004,$T1836)="","",INDEX(Firms!$F$5:$F$1004,$T1836)),IF(INDEX('AFA Rates'!$E$5:$E$1004,$T1836)="","",INDEX('AFA Rates'!$E$5:$E$1004,$T1836))))</f>
        <v/>
      </c>
      <c r="H1836" s="50">
        <f>IF($T1836="","",IF($S1836="S",IF(INDEX(Firms!$G$5:$G$1004,$T1836)="","",INDEX(Firms!$G$5:$G$1004,$T1836)),IF(INDEX('AFA Rates'!$F$5:$F$1004,$T1836)="","",INDEX('AFA Rates'!$F$5:$F$1004,$T1836))))</f>
        <v/>
      </c>
      <c r="I1836" s="50">
        <f>IF($T1836="","",IF($S1836="S",IF(INDEX(Firms!$H$5:$H$1004,$T1836)="","",INDEX(Firms!$H$5:$H$1004,$T1836)),IF(INDEX('AFA Rates'!$G$5:$G$1004,$T1836)="","",INDEX('AFA Rates'!$G$5:$G$1004,$T1836))))</f>
        <v/>
      </c>
      <c r="J1836" s="50">
        <f>IF($T1836="","",IF($S1836="S",IF(INDEX(Firms!$I$5:$I$1004,$T1836)="","",INDEX(Firms!$I$5:$I$1004,$T1836)),IF(INDEX('AFA Rates'!$H$5:$H$1004,$T1836)="","",INDEX('AFA Rates'!$H$5:$H$1004,$T1836))))</f>
        <v/>
      </c>
      <c r="K1836" s="50">
        <f>IF($T1836="","",IF($S1836="S",IF(INDEX(Firms!$J$5:$J$1004,$T1836)="","",INDEX(Firms!$J$5:$J$1004,$T1836)),IF(INDEX('AFA Rates'!$I$5:$I$1004,$T1836)="","",INDEX('AFA Rates'!$I$5:$I$1004,$T1836))))</f>
        <v/>
      </c>
      <c r="L1836" s="50">
        <f>IF($T1836="","",IF($S1836="S",IF(INDEX(Firms!$K$5:$K$1004,$T1836)="","",INDEX(Firms!$K$5:$K$1004,$T1836)),IF(INDEX('AFA Rates'!$J$5:$J$1004,$T1836)="","",INDEX('AFA Rates'!$J$5:$J$1004,$T1836))))</f>
        <v/>
      </c>
      <c r="M1836" s="50">
        <f>IF($T1836="","",IF($S1836="S",IF(INDEX(Firms!$L$5:$L$1004,$T1836)="","",INDEX(Firms!$L$5:$L$1004,$T1836)),IF(INDEX('AFA Rates'!$K$5:$K$1004,$T1836)="","",INDEX('AFA Rates'!$K$5:$K$1004,$T1836))))</f>
        <v/>
      </c>
      <c r="N1836" s="50">
        <f>IF($T1836="","",IF($S1836="S",IF(INDEX(Firms!$M$5:$M$1004,$T1836)="","",INDEX(Firms!$M$5:$M$1004,$T1836)),IF(INDEX('AFA Rates'!$L$5:$L$1004,$T1836)="","",INDEX('AFA Rates'!$L$5:$L$1004,$T1836))))</f>
        <v/>
      </c>
      <c r="O1836" s="78">
        <f>IF(OR($T1836="",$U1836=""),"",IF(INDEX(Firms!$C$5:$C$1004,$U1836)="","",INDEX(Firms!$C$5:$C$1004,$U1836)))</f>
        <v/>
      </c>
      <c r="P1836" s="79">
        <f>IF(OR($T1836="",$U1836=""),"",IF(INDEX(Firms!$N$5:$N$1004,$U1836)="","",INDEX(Firms!$N$5:$N$1004,$U1836)))</f>
        <v/>
      </c>
      <c r="Q1836" s="78">
        <f>IF($T1836="","",IF($S1836="S",IF(INDEX(Firms!$T$5:$T$1004,$T1836)="","",INDEX(Firms!$T$5:$T$1004,$T1836)),IF(INDEX('AFA Rates'!$M$5:$M$1004,$T1836)="","",INDEX('AFA Rates'!$M$5:$M$1004,$T1836))))</f>
        <v/>
      </c>
      <c r="S1836">
        <f>IF(1832&lt;=$S$2,"S",IF(1832&lt;=$S$2+$T$2,"A",""))</f>
        <v/>
      </c>
      <c r="T1836">
        <f>IF(S1836="S",MATCH(1832,Firms!$W$5:$W$1004,0),IF(S1836="A",IFERROR(MATCH(1832-$S$2,'AFA Rates'!$R$5:$R$1004,0),""),""))</f>
        <v/>
      </c>
      <c r="U1836">
        <f>IF(S1836="S",T1836,IF(AND(S1836="A",T1836&lt;&gt;""),IFERROR(MATCH(INDEX('AFA Rates'!$A$5:$A$1004,T1836),Firms!$A$5:$A$1004,0),""),""))</f>
        <v/>
      </c>
    </row>
    <row r="1837">
      <c r="A1837" s="78">
        <f>IF($T1837="","",IF($S1837="S",IF(INDEX(Firms!$A$5:$A$1004,$T1837)="","",INDEX(Firms!$A$5:$A$1004,$T1837)),IF(INDEX('AFA Rates'!$A$5:$A$1004,$T1837)="","",INDEX('AFA Rates'!$A$5:$A$1004,$T1837))))</f>
        <v/>
      </c>
      <c r="B1837" s="79">
        <f>IF(OR($T1837="",$U1837=""),IF($T1837="","","Not on Firms tab"),INDEX(Firms!$B$5:$B$1004,$U1837)&amp;"")</f>
        <v/>
      </c>
      <c r="C1837" s="78">
        <f>IF($T1837="","",IF($S1837="S","Standard",INDEX('AFA Rates'!$B$5:$B$1004,$T1837)&amp;""))</f>
        <v/>
      </c>
      <c r="D1837" s="88">
        <f>IF($T1837="","",IF($S1837="S",IF(INDEX(Firms!$E$5:$E$1004,$T1837)="","",INDEX(Firms!$E$5:$E$1004,$T1837)),IF(INDEX('AFA Rates'!$C$5:$C$1004,$T1837)="","",INDEX('AFA Rates'!$C$5:$C$1004,$T1837))))</f>
        <v/>
      </c>
      <c r="E1837" s="88">
        <f>IF($T1837="","",IF($S1837="S",IF(""="","",""),IF(INDEX('AFA Rates'!$D$5:$D$1004,$T1837)="","",INDEX('AFA Rates'!$D$5:$D$1004,$T1837))))</f>
        <v/>
      </c>
      <c r="F1837" s="79">
        <f>IF($T1837="","",IF($S1837="S",IF(INDEX(Firms!$O$5:$O$1004,$T1837)="","",INDEX(Firms!$O$5:$O$1004,$T1837)),IF(INDEX('AFA Rates'!$O$5:$O$1004,$T1837)="","",INDEX('AFA Rates'!$O$5:$O$1004,$T1837))))</f>
        <v/>
      </c>
      <c r="G1837" s="50">
        <f>IF($T1837="","",IF($S1837="S",IF(INDEX(Firms!$F$5:$F$1004,$T1837)="","",INDEX(Firms!$F$5:$F$1004,$T1837)),IF(INDEX('AFA Rates'!$E$5:$E$1004,$T1837)="","",INDEX('AFA Rates'!$E$5:$E$1004,$T1837))))</f>
        <v/>
      </c>
      <c r="H1837" s="50">
        <f>IF($T1837="","",IF($S1837="S",IF(INDEX(Firms!$G$5:$G$1004,$T1837)="","",INDEX(Firms!$G$5:$G$1004,$T1837)),IF(INDEX('AFA Rates'!$F$5:$F$1004,$T1837)="","",INDEX('AFA Rates'!$F$5:$F$1004,$T1837))))</f>
        <v/>
      </c>
      <c r="I1837" s="50">
        <f>IF($T1837="","",IF($S1837="S",IF(INDEX(Firms!$H$5:$H$1004,$T1837)="","",INDEX(Firms!$H$5:$H$1004,$T1837)),IF(INDEX('AFA Rates'!$G$5:$G$1004,$T1837)="","",INDEX('AFA Rates'!$G$5:$G$1004,$T1837))))</f>
        <v/>
      </c>
      <c r="J1837" s="50">
        <f>IF($T1837="","",IF($S1837="S",IF(INDEX(Firms!$I$5:$I$1004,$T1837)="","",INDEX(Firms!$I$5:$I$1004,$T1837)),IF(INDEX('AFA Rates'!$H$5:$H$1004,$T1837)="","",INDEX('AFA Rates'!$H$5:$H$1004,$T1837))))</f>
        <v/>
      </c>
      <c r="K1837" s="50">
        <f>IF($T1837="","",IF($S1837="S",IF(INDEX(Firms!$J$5:$J$1004,$T1837)="","",INDEX(Firms!$J$5:$J$1004,$T1837)),IF(INDEX('AFA Rates'!$I$5:$I$1004,$T1837)="","",INDEX('AFA Rates'!$I$5:$I$1004,$T1837))))</f>
        <v/>
      </c>
      <c r="L1837" s="50">
        <f>IF($T1837="","",IF($S1837="S",IF(INDEX(Firms!$K$5:$K$1004,$T1837)="","",INDEX(Firms!$K$5:$K$1004,$T1837)),IF(INDEX('AFA Rates'!$J$5:$J$1004,$T1837)="","",INDEX('AFA Rates'!$J$5:$J$1004,$T1837))))</f>
        <v/>
      </c>
      <c r="M1837" s="50">
        <f>IF($T1837="","",IF($S1837="S",IF(INDEX(Firms!$L$5:$L$1004,$T1837)="","",INDEX(Firms!$L$5:$L$1004,$T1837)),IF(INDEX('AFA Rates'!$K$5:$K$1004,$T1837)="","",INDEX('AFA Rates'!$K$5:$K$1004,$T1837))))</f>
        <v/>
      </c>
      <c r="N1837" s="50">
        <f>IF($T1837="","",IF($S1837="S",IF(INDEX(Firms!$M$5:$M$1004,$T1837)="","",INDEX(Firms!$M$5:$M$1004,$T1837)),IF(INDEX('AFA Rates'!$L$5:$L$1004,$T1837)="","",INDEX('AFA Rates'!$L$5:$L$1004,$T1837))))</f>
        <v/>
      </c>
      <c r="O1837" s="78">
        <f>IF(OR($T1837="",$U1837=""),"",IF(INDEX(Firms!$C$5:$C$1004,$U1837)="","",INDEX(Firms!$C$5:$C$1004,$U1837)))</f>
        <v/>
      </c>
      <c r="P1837" s="79">
        <f>IF(OR($T1837="",$U1837=""),"",IF(INDEX(Firms!$N$5:$N$1004,$U1837)="","",INDEX(Firms!$N$5:$N$1004,$U1837)))</f>
        <v/>
      </c>
      <c r="Q1837" s="78">
        <f>IF($T1837="","",IF($S1837="S",IF(INDEX(Firms!$T$5:$T$1004,$T1837)="","",INDEX(Firms!$T$5:$T$1004,$T1837)),IF(INDEX('AFA Rates'!$M$5:$M$1004,$T1837)="","",INDEX('AFA Rates'!$M$5:$M$1004,$T1837))))</f>
        <v/>
      </c>
      <c r="S1837">
        <f>IF(1833&lt;=$S$2,"S",IF(1833&lt;=$S$2+$T$2,"A",""))</f>
        <v/>
      </c>
      <c r="T1837">
        <f>IF(S1837="S",MATCH(1833,Firms!$W$5:$W$1004,0),IF(S1837="A",IFERROR(MATCH(1833-$S$2,'AFA Rates'!$R$5:$R$1004,0),""),""))</f>
        <v/>
      </c>
      <c r="U1837">
        <f>IF(S1837="S",T1837,IF(AND(S1837="A",T1837&lt;&gt;""),IFERROR(MATCH(INDEX('AFA Rates'!$A$5:$A$1004,T1837),Firms!$A$5:$A$1004,0),""),""))</f>
        <v/>
      </c>
    </row>
    <row r="1838">
      <c r="A1838" s="78">
        <f>IF($T1838="","",IF($S1838="S",IF(INDEX(Firms!$A$5:$A$1004,$T1838)="","",INDEX(Firms!$A$5:$A$1004,$T1838)),IF(INDEX('AFA Rates'!$A$5:$A$1004,$T1838)="","",INDEX('AFA Rates'!$A$5:$A$1004,$T1838))))</f>
        <v/>
      </c>
      <c r="B1838" s="79">
        <f>IF(OR($T1838="",$U1838=""),IF($T1838="","","Not on Firms tab"),INDEX(Firms!$B$5:$B$1004,$U1838)&amp;"")</f>
        <v/>
      </c>
      <c r="C1838" s="78">
        <f>IF($T1838="","",IF($S1838="S","Standard",INDEX('AFA Rates'!$B$5:$B$1004,$T1838)&amp;""))</f>
        <v/>
      </c>
      <c r="D1838" s="88">
        <f>IF($T1838="","",IF($S1838="S",IF(INDEX(Firms!$E$5:$E$1004,$T1838)="","",INDEX(Firms!$E$5:$E$1004,$T1838)),IF(INDEX('AFA Rates'!$C$5:$C$1004,$T1838)="","",INDEX('AFA Rates'!$C$5:$C$1004,$T1838))))</f>
        <v/>
      </c>
      <c r="E1838" s="88">
        <f>IF($T1838="","",IF($S1838="S",IF(""="","",""),IF(INDEX('AFA Rates'!$D$5:$D$1004,$T1838)="","",INDEX('AFA Rates'!$D$5:$D$1004,$T1838))))</f>
        <v/>
      </c>
      <c r="F1838" s="79">
        <f>IF($T1838="","",IF($S1838="S",IF(INDEX(Firms!$O$5:$O$1004,$T1838)="","",INDEX(Firms!$O$5:$O$1004,$T1838)),IF(INDEX('AFA Rates'!$O$5:$O$1004,$T1838)="","",INDEX('AFA Rates'!$O$5:$O$1004,$T1838))))</f>
        <v/>
      </c>
      <c r="G1838" s="50">
        <f>IF($T1838="","",IF($S1838="S",IF(INDEX(Firms!$F$5:$F$1004,$T1838)="","",INDEX(Firms!$F$5:$F$1004,$T1838)),IF(INDEX('AFA Rates'!$E$5:$E$1004,$T1838)="","",INDEX('AFA Rates'!$E$5:$E$1004,$T1838))))</f>
        <v/>
      </c>
      <c r="H1838" s="50">
        <f>IF($T1838="","",IF($S1838="S",IF(INDEX(Firms!$G$5:$G$1004,$T1838)="","",INDEX(Firms!$G$5:$G$1004,$T1838)),IF(INDEX('AFA Rates'!$F$5:$F$1004,$T1838)="","",INDEX('AFA Rates'!$F$5:$F$1004,$T1838))))</f>
        <v/>
      </c>
      <c r="I1838" s="50">
        <f>IF($T1838="","",IF($S1838="S",IF(INDEX(Firms!$H$5:$H$1004,$T1838)="","",INDEX(Firms!$H$5:$H$1004,$T1838)),IF(INDEX('AFA Rates'!$G$5:$G$1004,$T1838)="","",INDEX('AFA Rates'!$G$5:$G$1004,$T1838))))</f>
        <v/>
      </c>
      <c r="J1838" s="50">
        <f>IF($T1838="","",IF($S1838="S",IF(INDEX(Firms!$I$5:$I$1004,$T1838)="","",INDEX(Firms!$I$5:$I$1004,$T1838)),IF(INDEX('AFA Rates'!$H$5:$H$1004,$T1838)="","",INDEX('AFA Rates'!$H$5:$H$1004,$T1838))))</f>
        <v/>
      </c>
      <c r="K1838" s="50">
        <f>IF($T1838="","",IF($S1838="S",IF(INDEX(Firms!$J$5:$J$1004,$T1838)="","",INDEX(Firms!$J$5:$J$1004,$T1838)),IF(INDEX('AFA Rates'!$I$5:$I$1004,$T1838)="","",INDEX('AFA Rates'!$I$5:$I$1004,$T1838))))</f>
        <v/>
      </c>
      <c r="L1838" s="50">
        <f>IF($T1838="","",IF($S1838="S",IF(INDEX(Firms!$K$5:$K$1004,$T1838)="","",INDEX(Firms!$K$5:$K$1004,$T1838)),IF(INDEX('AFA Rates'!$J$5:$J$1004,$T1838)="","",INDEX('AFA Rates'!$J$5:$J$1004,$T1838))))</f>
        <v/>
      </c>
      <c r="M1838" s="50">
        <f>IF($T1838="","",IF($S1838="S",IF(INDEX(Firms!$L$5:$L$1004,$T1838)="","",INDEX(Firms!$L$5:$L$1004,$T1838)),IF(INDEX('AFA Rates'!$K$5:$K$1004,$T1838)="","",INDEX('AFA Rates'!$K$5:$K$1004,$T1838))))</f>
        <v/>
      </c>
      <c r="N1838" s="50">
        <f>IF($T1838="","",IF($S1838="S",IF(INDEX(Firms!$M$5:$M$1004,$T1838)="","",INDEX(Firms!$M$5:$M$1004,$T1838)),IF(INDEX('AFA Rates'!$L$5:$L$1004,$T1838)="","",INDEX('AFA Rates'!$L$5:$L$1004,$T1838))))</f>
        <v/>
      </c>
      <c r="O1838" s="78">
        <f>IF(OR($T1838="",$U1838=""),"",IF(INDEX(Firms!$C$5:$C$1004,$U1838)="","",INDEX(Firms!$C$5:$C$1004,$U1838)))</f>
        <v/>
      </c>
      <c r="P1838" s="79">
        <f>IF(OR($T1838="",$U1838=""),"",IF(INDEX(Firms!$N$5:$N$1004,$U1838)="","",INDEX(Firms!$N$5:$N$1004,$U1838)))</f>
        <v/>
      </c>
      <c r="Q1838" s="78">
        <f>IF($T1838="","",IF($S1838="S",IF(INDEX(Firms!$T$5:$T$1004,$T1838)="","",INDEX(Firms!$T$5:$T$1004,$T1838)),IF(INDEX('AFA Rates'!$M$5:$M$1004,$T1838)="","",INDEX('AFA Rates'!$M$5:$M$1004,$T1838))))</f>
        <v/>
      </c>
      <c r="S1838">
        <f>IF(1834&lt;=$S$2,"S",IF(1834&lt;=$S$2+$T$2,"A",""))</f>
        <v/>
      </c>
      <c r="T1838">
        <f>IF(S1838="S",MATCH(1834,Firms!$W$5:$W$1004,0),IF(S1838="A",IFERROR(MATCH(1834-$S$2,'AFA Rates'!$R$5:$R$1004,0),""),""))</f>
        <v/>
      </c>
      <c r="U1838">
        <f>IF(S1838="S",T1838,IF(AND(S1838="A",T1838&lt;&gt;""),IFERROR(MATCH(INDEX('AFA Rates'!$A$5:$A$1004,T1838),Firms!$A$5:$A$1004,0),""),""))</f>
        <v/>
      </c>
    </row>
    <row r="1839">
      <c r="A1839" s="78">
        <f>IF($T1839="","",IF($S1839="S",IF(INDEX(Firms!$A$5:$A$1004,$T1839)="","",INDEX(Firms!$A$5:$A$1004,$T1839)),IF(INDEX('AFA Rates'!$A$5:$A$1004,$T1839)="","",INDEX('AFA Rates'!$A$5:$A$1004,$T1839))))</f>
        <v/>
      </c>
      <c r="B1839" s="79">
        <f>IF(OR($T1839="",$U1839=""),IF($T1839="","","Not on Firms tab"),INDEX(Firms!$B$5:$B$1004,$U1839)&amp;"")</f>
        <v/>
      </c>
      <c r="C1839" s="78">
        <f>IF($T1839="","",IF($S1839="S","Standard",INDEX('AFA Rates'!$B$5:$B$1004,$T1839)&amp;""))</f>
        <v/>
      </c>
      <c r="D1839" s="88">
        <f>IF($T1839="","",IF($S1839="S",IF(INDEX(Firms!$E$5:$E$1004,$T1839)="","",INDEX(Firms!$E$5:$E$1004,$T1839)),IF(INDEX('AFA Rates'!$C$5:$C$1004,$T1839)="","",INDEX('AFA Rates'!$C$5:$C$1004,$T1839))))</f>
        <v/>
      </c>
      <c r="E1839" s="88">
        <f>IF($T1839="","",IF($S1839="S",IF(""="","",""),IF(INDEX('AFA Rates'!$D$5:$D$1004,$T1839)="","",INDEX('AFA Rates'!$D$5:$D$1004,$T1839))))</f>
        <v/>
      </c>
      <c r="F1839" s="79">
        <f>IF($T1839="","",IF($S1839="S",IF(INDEX(Firms!$O$5:$O$1004,$T1839)="","",INDEX(Firms!$O$5:$O$1004,$T1839)),IF(INDEX('AFA Rates'!$O$5:$O$1004,$T1839)="","",INDEX('AFA Rates'!$O$5:$O$1004,$T1839))))</f>
        <v/>
      </c>
      <c r="G1839" s="50">
        <f>IF($T1839="","",IF($S1839="S",IF(INDEX(Firms!$F$5:$F$1004,$T1839)="","",INDEX(Firms!$F$5:$F$1004,$T1839)),IF(INDEX('AFA Rates'!$E$5:$E$1004,$T1839)="","",INDEX('AFA Rates'!$E$5:$E$1004,$T1839))))</f>
        <v/>
      </c>
      <c r="H1839" s="50">
        <f>IF($T1839="","",IF($S1839="S",IF(INDEX(Firms!$G$5:$G$1004,$T1839)="","",INDEX(Firms!$G$5:$G$1004,$T1839)),IF(INDEX('AFA Rates'!$F$5:$F$1004,$T1839)="","",INDEX('AFA Rates'!$F$5:$F$1004,$T1839))))</f>
        <v/>
      </c>
      <c r="I1839" s="50">
        <f>IF($T1839="","",IF($S1839="S",IF(INDEX(Firms!$H$5:$H$1004,$T1839)="","",INDEX(Firms!$H$5:$H$1004,$T1839)),IF(INDEX('AFA Rates'!$G$5:$G$1004,$T1839)="","",INDEX('AFA Rates'!$G$5:$G$1004,$T1839))))</f>
        <v/>
      </c>
      <c r="J1839" s="50">
        <f>IF($T1839="","",IF($S1839="S",IF(INDEX(Firms!$I$5:$I$1004,$T1839)="","",INDEX(Firms!$I$5:$I$1004,$T1839)),IF(INDEX('AFA Rates'!$H$5:$H$1004,$T1839)="","",INDEX('AFA Rates'!$H$5:$H$1004,$T1839))))</f>
        <v/>
      </c>
      <c r="K1839" s="50">
        <f>IF($T1839="","",IF($S1839="S",IF(INDEX(Firms!$J$5:$J$1004,$T1839)="","",INDEX(Firms!$J$5:$J$1004,$T1839)),IF(INDEX('AFA Rates'!$I$5:$I$1004,$T1839)="","",INDEX('AFA Rates'!$I$5:$I$1004,$T1839))))</f>
        <v/>
      </c>
      <c r="L1839" s="50">
        <f>IF($T1839="","",IF($S1839="S",IF(INDEX(Firms!$K$5:$K$1004,$T1839)="","",INDEX(Firms!$K$5:$K$1004,$T1839)),IF(INDEX('AFA Rates'!$J$5:$J$1004,$T1839)="","",INDEX('AFA Rates'!$J$5:$J$1004,$T1839))))</f>
        <v/>
      </c>
      <c r="M1839" s="50">
        <f>IF($T1839="","",IF($S1839="S",IF(INDEX(Firms!$L$5:$L$1004,$T1839)="","",INDEX(Firms!$L$5:$L$1004,$T1839)),IF(INDEX('AFA Rates'!$K$5:$K$1004,$T1839)="","",INDEX('AFA Rates'!$K$5:$K$1004,$T1839))))</f>
        <v/>
      </c>
      <c r="N1839" s="50">
        <f>IF($T1839="","",IF($S1839="S",IF(INDEX(Firms!$M$5:$M$1004,$T1839)="","",INDEX(Firms!$M$5:$M$1004,$T1839)),IF(INDEX('AFA Rates'!$L$5:$L$1004,$T1839)="","",INDEX('AFA Rates'!$L$5:$L$1004,$T1839))))</f>
        <v/>
      </c>
      <c r="O1839" s="78">
        <f>IF(OR($T1839="",$U1839=""),"",IF(INDEX(Firms!$C$5:$C$1004,$U1839)="","",INDEX(Firms!$C$5:$C$1004,$U1839)))</f>
        <v/>
      </c>
      <c r="P1839" s="79">
        <f>IF(OR($T1839="",$U1839=""),"",IF(INDEX(Firms!$N$5:$N$1004,$U1839)="","",INDEX(Firms!$N$5:$N$1004,$U1839)))</f>
        <v/>
      </c>
      <c r="Q1839" s="78">
        <f>IF($T1839="","",IF($S1839="S",IF(INDEX(Firms!$T$5:$T$1004,$T1839)="","",INDEX(Firms!$T$5:$T$1004,$T1839)),IF(INDEX('AFA Rates'!$M$5:$M$1004,$T1839)="","",INDEX('AFA Rates'!$M$5:$M$1004,$T1839))))</f>
        <v/>
      </c>
      <c r="S1839">
        <f>IF(1835&lt;=$S$2,"S",IF(1835&lt;=$S$2+$T$2,"A",""))</f>
        <v/>
      </c>
      <c r="T1839">
        <f>IF(S1839="S",MATCH(1835,Firms!$W$5:$W$1004,0),IF(S1839="A",IFERROR(MATCH(1835-$S$2,'AFA Rates'!$R$5:$R$1004,0),""),""))</f>
        <v/>
      </c>
      <c r="U1839">
        <f>IF(S1839="S",T1839,IF(AND(S1839="A",T1839&lt;&gt;""),IFERROR(MATCH(INDEX('AFA Rates'!$A$5:$A$1004,T1839),Firms!$A$5:$A$1004,0),""),""))</f>
        <v/>
      </c>
    </row>
    <row r="1840">
      <c r="A1840" s="78">
        <f>IF($T1840="","",IF($S1840="S",IF(INDEX(Firms!$A$5:$A$1004,$T1840)="","",INDEX(Firms!$A$5:$A$1004,$T1840)),IF(INDEX('AFA Rates'!$A$5:$A$1004,$T1840)="","",INDEX('AFA Rates'!$A$5:$A$1004,$T1840))))</f>
        <v/>
      </c>
      <c r="B1840" s="79">
        <f>IF(OR($T1840="",$U1840=""),IF($T1840="","","Not on Firms tab"),INDEX(Firms!$B$5:$B$1004,$U1840)&amp;"")</f>
        <v/>
      </c>
      <c r="C1840" s="78">
        <f>IF($T1840="","",IF($S1840="S","Standard",INDEX('AFA Rates'!$B$5:$B$1004,$T1840)&amp;""))</f>
        <v/>
      </c>
      <c r="D1840" s="88">
        <f>IF($T1840="","",IF($S1840="S",IF(INDEX(Firms!$E$5:$E$1004,$T1840)="","",INDEX(Firms!$E$5:$E$1004,$T1840)),IF(INDEX('AFA Rates'!$C$5:$C$1004,$T1840)="","",INDEX('AFA Rates'!$C$5:$C$1004,$T1840))))</f>
        <v/>
      </c>
      <c r="E1840" s="88">
        <f>IF($T1840="","",IF($S1840="S",IF(""="","",""),IF(INDEX('AFA Rates'!$D$5:$D$1004,$T1840)="","",INDEX('AFA Rates'!$D$5:$D$1004,$T1840))))</f>
        <v/>
      </c>
      <c r="F1840" s="79">
        <f>IF($T1840="","",IF($S1840="S",IF(INDEX(Firms!$O$5:$O$1004,$T1840)="","",INDEX(Firms!$O$5:$O$1004,$T1840)),IF(INDEX('AFA Rates'!$O$5:$O$1004,$T1840)="","",INDEX('AFA Rates'!$O$5:$O$1004,$T1840))))</f>
        <v/>
      </c>
      <c r="G1840" s="50">
        <f>IF($T1840="","",IF($S1840="S",IF(INDEX(Firms!$F$5:$F$1004,$T1840)="","",INDEX(Firms!$F$5:$F$1004,$T1840)),IF(INDEX('AFA Rates'!$E$5:$E$1004,$T1840)="","",INDEX('AFA Rates'!$E$5:$E$1004,$T1840))))</f>
        <v/>
      </c>
      <c r="H1840" s="50">
        <f>IF($T1840="","",IF($S1840="S",IF(INDEX(Firms!$G$5:$G$1004,$T1840)="","",INDEX(Firms!$G$5:$G$1004,$T1840)),IF(INDEX('AFA Rates'!$F$5:$F$1004,$T1840)="","",INDEX('AFA Rates'!$F$5:$F$1004,$T1840))))</f>
        <v/>
      </c>
      <c r="I1840" s="50">
        <f>IF($T1840="","",IF($S1840="S",IF(INDEX(Firms!$H$5:$H$1004,$T1840)="","",INDEX(Firms!$H$5:$H$1004,$T1840)),IF(INDEX('AFA Rates'!$G$5:$G$1004,$T1840)="","",INDEX('AFA Rates'!$G$5:$G$1004,$T1840))))</f>
        <v/>
      </c>
      <c r="J1840" s="50">
        <f>IF($T1840="","",IF($S1840="S",IF(INDEX(Firms!$I$5:$I$1004,$T1840)="","",INDEX(Firms!$I$5:$I$1004,$T1840)),IF(INDEX('AFA Rates'!$H$5:$H$1004,$T1840)="","",INDEX('AFA Rates'!$H$5:$H$1004,$T1840))))</f>
        <v/>
      </c>
      <c r="K1840" s="50">
        <f>IF($T1840="","",IF($S1840="S",IF(INDEX(Firms!$J$5:$J$1004,$T1840)="","",INDEX(Firms!$J$5:$J$1004,$T1840)),IF(INDEX('AFA Rates'!$I$5:$I$1004,$T1840)="","",INDEX('AFA Rates'!$I$5:$I$1004,$T1840))))</f>
        <v/>
      </c>
      <c r="L1840" s="50">
        <f>IF($T1840="","",IF($S1840="S",IF(INDEX(Firms!$K$5:$K$1004,$T1840)="","",INDEX(Firms!$K$5:$K$1004,$T1840)),IF(INDEX('AFA Rates'!$J$5:$J$1004,$T1840)="","",INDEX('AFA Rates'!$J$5:$J$1004,$T1840))))</f>
        <v/>
      </c>
      <c r="M1840" s="50">
        <f>IF($T1840="","",IF($S1840="S",IF(INDEX(Firms!$L$5:$L$1004,$T1840)="","",INDEX(Firms!$L$5:$L$1004,$T1840)),IF(INDEX('AFA Rates'!$K$5:$K$1004,$T1840)="","",INDEX('AFA Rates'!$K$5:$K$1004,$T1840))))</f>
        <v/>
      </c>
      <c r="N1840" s="50">
        <f>IF($T1840="","",IF($S1840="S",IF(INDEX(Firms!$M$5:$M$1004,$T1840)="","",INDEX(Firms!$M$5:$M$1004,$T1840)),IF(INDEX('AFA Rates'!$L$5:$L$1004,$T1840)="","",INDEX('AFA Rates'!$L$5:$L$1004,$T1840))))</f>
        <v/>
      </c>
      <c r="O1840" s="78">
        <f>IF(OR($T1840="",$U1840=""),"",IF(INDEX(Firms!$C$5:$C$1004,$U1840)="","",INDEX(Firms!$C$5:$C$1004,$U1840)))</f>
        <v/>
      </c>
      <c r="P1840" s="79">
        <f>IF(OR($T1840="",$U1840=""),"",IF(INDEX(Firms!$N$5:$N$1004,$U1840)="","",INDEX(Firms!$N$5:$N$1004,$U1840)))</f>
        <v/>
      </c>
      <c r="Q1840" s="78">
        <f>IF($T1840="","",IF($S1840="S",IF(INDEX(Firms!$T$5:$T$1004,$T1840)="","",INDEX(Firms!$T$5:$T$1004,$T1840)),IF(INDEX('AFA Rates'!$M$5:$M$1004,$T1840)="","",INDEX('AFA Rates'!$M$5:$M$1004,$T1840))))</f>
        <v/>
      </c>
      <c r="S1840">
        <f>IF(1836&lt;=$S$2,"S",IF(1836&lt;=$S$2+$T$2,"A",""))</f>
        <v/>
      </c>
      <c r="T1840">
        <f>IF(S1840="S",MATCH(1836,Firms!$W$5:$W$1004,0),IF(S1840="A",IFERROR(MATCH(1836-$S$2,'AFA Rates'!$R$5:$R$1004,0),""),""))</f>
        <v/>
      </c>
      <c r="U1840">
        <f>IF(S1840="S",T1840,IF(AND(S1840="A",T1840&lt;&gt;""),IFERROR(MATCH(INDEX('AFA Rates'!$A$5:$A$1004,T1840),Firms!$A$5:$A$1004,0),""),""))</f>
        <v/>
      </c>
    </row>
    <row r="1841">
      <c r="A1841" s="78">
        <f>IF($T1841="","",IF($S1841="S",IF(INDEX(Firms!$A$5:$A$1004,$T1841)="","",INDEX(Firms!$A$5:$A$1004,$T1841)),IF(INDEX('AFA Rates'!$A$5:$A$1004,$T1841)="","",INDEX('AFA Rates'!$A$5:$A$1004,$T1841))))</f>
        <v/>
      </c>
      <c r="B1841" s="79">
        <f>IF(OR($T1841="",$U1841=""),IF($T1841="","","Not on Firms tab"),INDEX(Firms!$B$5:$B$1004,$U1841)&amp;"")</f>
        <v/>
      </c>
      <c r="C1841" s="78">
        <f>IF($T1841="","",IF($S1841="S","Standard",INDEX('AFA Rates'!$B$5:$B$1004,$T1841)&amp;""))</f>
        <v/>
      </c>
      <c r="D1841" s="88">
        <f>IF($T1841="","",IF($S1841="S",IF(INDEX(Firms!$E$5:$E$1004,$T1841)="","",INDEX(Firms!$E$5:$E$1004,$T1841)),IF(INDEX('AFA Rates'!$C$5:$C$1004,$T1841)="","",INDEX('AFA Rates'!$C$5:$C$1004,$T1841))))</f>
        <v/>
      </c>
      <c r="E1841" s="88">
        <f>IF($T1841="","",IF($S1841="S",IF(""="","",""),IF(INDEX('AFA Rates'!$D$5:$D$1004,$T1841)="","",INDEX('AFA Rates'!$D$5:$D$1004,$T1841))))</f>
        <v/>
      </c>
      <c r="F1841" s="79">
        <f>IF($T1841="","",IF($S1841="S",IF(INDEX(Firms!$O$5:$O$1004,$T1841)="","",INDEX(Firms!$O$5:$O$1004,$T1841)),IF(INDEX('AFA Rates'!$O$5:$O$1004,$T1841)="","",INDEX('AFA Rates'!$O$5:$O$1004,$T1841))))</f>
        <v/>
      </c>
      <c r="G1841" s="50">
        <f>IF($T1841="","",IF($S1841="S",IF(INDEX(Firms!$F$5:$F$1004,$T1841)="","",INDEX(Firms!$F$5:$F$1004,$T1841)),IF(INDEX('AFA Rates'!$E$5:$E$1004,$T1841)="","",INDEX('AFA Rates'!$E$5:$E$1004,$T1841))))</f>
        <v/>
      </c>
      <c r="H1841" s="50">
        <f>IF($T1841="","",IF($S1841="S",IF(INDEX(Firms!$G$5:$G$1004,$T1841)="","",INDEX(Firms!$G$5:$G$1004,$T1841)),IF(INDEX('AFA Rates'!$F$5:$F$1004,$T1841)="","",INDEX('AFA Rates'!$F$5:$F$1004,$T1841))))</f>
        <v/>
      </c>
      <c r="I1841" s="50">
        <f>IF($T1841="","",IF($S1841="S",IF(INDEX(Firms!$H$5:$H$1004,$T1841)="","",INDEX(Firms!$H$5:$H$1004,$T1841)),IF(INDEX('AFA Rates'!$G$5:$G$1004,$T1841)="","",INDEX('AFA Rates'!$G$5:$G$1004,$T1841))))</f>
        <v/>
      </c>
      <c r="J1841" s="50">
        <f>IF($T1841="","",IF($S1841="S",IF(INDEX(Firms!$I$5:$I$1004,$T1841)="","",INDEX(Firms!$I$5:$I$1004,$T1841)),IF(INDEX('AFA Rates'!$H$5:$H$1004,$T1841)="","",INDEX('AFA Rates'!$H$5:$H$1004,$T1841))))</f>
        <v/>
      </c>
      <c r="K1841" s="50">
        <f>IF($T1841="","",IF($S1841="S",IF(INDEX(Firms!$J$5:$J$1004,$T1841)="","",INDEX(Firms!$J$5:$J$1004,$T1841)),IF(INDEX('AFA Rates'!$I$5:$I$1004,$T1841)="","",INDEX('AFA Rates'!$I$5:$I$1004,$T1841))))</f>
        <v/>
      </c>
      <c r="L1841" s="50">
        <f>IF($T1841="","",IF($S1841="S",IF(INDEX(Firms!$K$5:$K$1004,$T1841)="","",INDEX(Firms!$K$5:$K$1004,$T1841)),IF(INDEX('AFA Rates'!$J$5:$J$1004,$T1841)="","",INDEX('AFA Rates'!$J$5:$J$1004,$T1841))))</f>
        <v/>
      </c>
      <c r="M1841" s="50">
        <f>IF($T1841="","",IF($S1841="S",IF(INDEX(Firms!$L$5:$L$1004,$T1841)="","",INDEX(Firms!$L$5:$L$1004,$T1841)),IF(INDEX('AFA Rates'!$K$5:$K$1004,$T1841)="","",INDEX('AFA Rates'!$K$5:$K$1004,$T1841))))</f>
        <v/>
      </c>
      <c r="N1841" s="50">
        <f>IF($T1841="","",IF($S1841="S",IF(INDEX(Firms!$M$5:$M$1004,$T1841)="","",INDEX(Firms!$M$5:$M$1004,$T1841)),IF(INDEX('AFA Rates'!$L$5:$L$1004,$T1841)="","",INDEX('AFA Rates'!$L$5:$L$1004,$T1841))))</f>
        <v/>
      </c>
      <c r="O1841" s="78">
        <f>IF(OR($T1841="",$U1841=""),"",IF(INDEX(Firms!$C$5:$C$1004,$U1841)="","",INDEX(Firms!$C$5:$C$1004,$U1841)))</f>
        <v/>
      </c>
      <c r="P1841" s="79">
        <f>IF(OR($T1841="",$U1841=""),"",IF(INDEX(Firms!$N$5:$N$1004,$U1841)="","",INDEX(Firms!$N$5:$N$1004,$U1841)))</f>
        <v/>
      </c>
      <c r="Q1841" s="78">
        <f>IF($T1841="","",IF($S1841="S",IF(INDEX(Firms!$T$5:$T$1004,$T1841)="","",INDEX(Firms!$T$5:$T$1004,$T1841)),IF(INDEX('AFA Rates'!$M$5:$M$1004,$T1841)="","",INDEX('AFA Rates'!$M$5:$M$1004,$T1841))))</f>
        <v/>
      </c>
      <c r="S1841">
        <f>IF(1837&lt;=$S$2,"S",IF(1837&lt;=$S$2+$T$2,"A",""))</f>
        <v/>
      </c>
      <c r="T1841">
        <f>IF(S1841="S",MATCH(1837,Firms!$W$5:$W$1004,0),IF(S1841="A",IFERROR(MATCH(1837-$S$2,'AFA Rates'!$R$5:$R$1004,0),""),""))</f>
        <v/>
      </c>
      <c r="U1841">
        <f>IF(S1841="S",T1841,IF(AND(S1841="A",T1841&lt;&gt;""),IFERROR(MATCH(INDEX('AFA Rates'!$A$5:$A$1004,T1841),Firms!$A$5:$A$1004,0),""),""))</f>
        <v/>
      </c>
    </row>
    <row r="1842">
      <c r="A1842" s="78">
        <f>IF($T1842="","",IF($S1842="S",IF(INDEX(Firms!$A$5:$A$1004,$T1842)="","",INDEX(Firms!$A$5:$A$1004,$T1842)),IF(INDEX('AFA Rates'!$A$5:$A$1004,$T1842)="","",INDEX('AFA Rates'!$A$5:$A$1004,$T1842))))</f>
        <v/>
      </c>
      <c r="B1842" s="79">
        <f>IF(OR($T1842="",$U1842=""),IF($T1842="","","Not on Firms tab"),INDEX(Firms!$B$5:$B$1004,$U1842)&amp;"")</f>
        <v/>
      </c>
      <c r="C1842" s="78">
        <f>IF($T1842="","",IF($S1842="S","Standard",INDEX('AFA Rates'!$B$5:$B$1004,$T1842)&amp;""))</f>
        <v/>
      </c>
      <c r="D1842" s="88">
        <f>IF($T1842="","",IF($S1842="S",IF(INDEX(Firms!$E$5:$E$1004,$T1842)="","",INDEX(Firms!$E$5:$E$1004,$T1842)),IF(INDEX('AFA Rates'!$C$5:$C$1004,$T1842)="","",INDEX('AFA Rates'!$C$5:$C$1004,$T1842))))</f>
        <v/>
      </c>
      <c r="E1842" s="88">
        <f>IF($T1842="","",IF($S1842="S",IF(""="","",""),IF(INDEX('AFA Rates'!$D$5:$D$1004,$T1842)="","",INDEX('AFA Rates'!$D$5:$D$1004,$T1842))))</f>
        <v/>
      </c>
      <c r="F1842" s="79">
        <f>IF($T1842="","",IF($S1842="S",IF(INDEX(Firms!$O$5:$O$1004,$T1842)="","",INDEX(Firms!$O$5:$O$1004,$T1842)),IF(INDEX('AFA Rates'!$O$5:$O$1004,$T1842)="","",INDEX('AFA Rates'!$O$5:$O$1004,$T1842))))</f>
        <v/>
      </c>
      <c r="G1842" s="50">
        <f>IF($T1842="","",IF($S1842="S",IF(INDEX(Firms!$F$5:$F$1004,$T1842)="","",INDEX(Firms!$F$5:$F$1004,$T1842)),IF(INDEX('AFA Rates'!$E$5:$E$1004,$T1842)="","",INDEX('AFA Rates'!$E$5:$E$1004,$T1842))))</f>
        <v/>
      </c>
      <c r="H1842" s="50">
        <f>IF($T1842="","",IF($S1842="S",IF(INDEX(Firms!$G$5:$G$1004,$T1842)="","",INDEX(Firms!$G$5:$G$1004,$T1842)),IF(INDEX('AFA Rates'!$F$5:$F$1004,$T1842)="","",INDEX('AFA Rates'!$F$5:$F$1004,$T1842))))</f>
        <v/>
      </c>
      <c r="I1842" s="50">
        <f>IF($T1842="","",IF($S1842="S",IF(INDEX(Firms!$H$5:$H$1004,$T1842)="","",INDEX(Firms!$H$5:$H$1004,$T1842)),IF(INDEX('AFA Rates'!$G$5:$G$1004,$T1842)="","",INDEX('AFA Rates'!$G$5:$G$1004,$T1842))))</f>
        <v/>
      </c>
      <c r="J1842" s="50">
        <f>IF($T1842="","",IF($S1842="S",IF(INDEX(Firms!$I$5:$I$1004,$T1842)="","",INDEX(Firms!$I$5:$I$1004,$T1842)),IF(INDEX('AFA Rates'!$H$5:$H$1004,$T1842)="","",INDEX('AFA Rates'!$H$5:$H$1004,$T1842))))</f>
        <v/>
      </c>
      <c r="K1842" s="50">
        <f>IF($T1842="","",IF($S1842="S",IF(INDEX(Firms!$J$5:$J$1004,$T1842)="","",INDEX(Firms!$J$5:$J$1004,$T1842)),IF(INDEX('AFA Rates'!$I$5:$I$1004,$T1842)="","",INDEX('AFA Rates'!$I$5:$I$1004,$T1842))))</f>
        <v/>
      </c>
      <c r="L1842" s="50">
        <f>IF($T1842="","",IF($S1842="S",IF(INDEX(Firms!$K$5:$K$1004,$T1842)="","",INDEX(Firms!$K$5:$K$1004,$T1842)),IF(INDEX('AFA Rates'!$J$5:$J$1004,$T1842)="","",INDEX('AFA Rates'!$J$5:$J$1004,$T1842))))</f>
        <v/>
      </c>
      <c r="M1842" s="50">
        <f>IF($T1842="","",IF($S1842="S",IF(INDEX(Firms!$L$5:$L$1004,$T1842)="","",INDEX(Firms!$L$5:$L$1004,$T1842)),IF(INDEX('AFA Rates'!$K$5:$K$1004,$T1842)="","",INDEX('AFA Rates'!$K$5:$K$1004,$T1842))))</f>
        <v/>
      </c>
      <c r="N1842" s="50">
        <f>IF($T1842="","",IF($S1842="S",IF(INDEX(Firms!$M$5:$M$1004,$T1842)="","",INDEX(Firms!$M$5:$M$1004,$T1842)),IF(INDEX('AFA Rates'!$L$5:$L$1004,$T1842)="","",INDEX('AFA Rates'!$L$5:$L$1004,$T1842))))</f>
        <v/>
      </c>
      <c r="O1842" s="78">
        <f>IF(OR($T1842="",$U1842=""),"",IF(INDEX(Firms!$C$5:$C$1004,$U1842)="","",INDEX(Firms!$C$5:$C$1004,$U1842)))</f>
        <v/>
      </c>
      <c r="P1842" s="79">
        <f>IF(OR($T1842="",$U1842=""),"",IF(INDEX(Firms!$N$5:$N$1004,$U1842)="","",INDEX(Firms!$N$5:$N$1004,$U1842)))</f>
        <v/>
      </c>
      <c r="Q1842" s="78">
        <f>IF($T1842="","",IF($S1842="S",IF(INDEX(Firms!$T$5:$T$1004,$T1842)="","",INDEX(Firms!$T$5:$T$1004,$T1842)),IF(INDEX('AFA Rates'!$M$5:$M$1004,$T1842)="","",INDEX('AFA Rates'!$M$5:$M$1004,$T1842))))</f>
        <v/>
      </c>
      <c r="S1842">
        <f>IF(1838&lt;=$S$2,"S",IF(1838&lt;=$S$2+$T$2,"A",""))</f>
        <v/>
      </c>
      <c r="T1842">
        <f>IF(S1842="S",MATCH(1838,Firms!$W$5:$W$1004,0),IF(S1842="A",IFERROR(MATCH(1838-$S$2,'AFA Rates'!$R$5:$R$1004,0),""),""))</f>
        <v/>
      </c>
      <c r="U1842">
        <f>IF(S1842="S",T1842,IF(AND(S1842="A",T1842&lt;&gt;""),IFERROR(MATCH(INDEX('AFA Rates'!$A$5:$A$1004,T1842),Firms!$A$5:$A$1004,0),""),""))</f>
        <v/>
      </c>
    </row>
    <row r="1843">
      <c r="A1843" s="78">
        <f>IF($T1843="","",IF($S1843="S",IF(INDEX(Firms!$A$5:$A$1004,$T1843)="","",INDEX(Firms!$A$5:$A$1004,$T1843)),IF(INDEX('AFA Rates'!$A$5:$A$1004,$T1843)="","",INDEX('AFA Rates'!$A$5:$A$1004,$T1843))))</f>
        <v/>
      </c>
      <c r="B1843" s="79">
        <f>IF(OR($T1843="",$U1843=""),IF($T1843="","","Not on Firms tab"),INDEX(Firms!$B$5:$B$1004,$U1843)&amp;"")</f>
        <v/>
      </c>
      <c r="C1843" s="78">
        <f>IF($T1843="","",IF($S1843="S","Standard",INDEX('AFA Rates'!$B$5:$B$1004,$T1843)&amp;""))</f>
        <v/>
      </c>
      <c r="D1843" s="88">
        <f>IF($T1843="","",IF($S1843="S",IF(INDEX(Firms!$E$5:$E$1004,$T1843)="","",INDEX(Firms!$E$5:$E$1004,$T1843)),IF(INDEX('AFA Rates'!$C$5:$C$1004,$T1843)="","",INDEX('AFA Rates'!$C$5:$C$1004,$T1843))))</f>
        <v/>
      </c>
      <c r="E1843" s="88">
        <f>IF($T1843="","",IF($S1843="S",IF(""="","",""),IF(INDEX('AFA Rates'!$D$5:$D$1004,$T1843)="","",INDEX('AFA Rates'!$D$5:$D$1004,$T1843))))</f>
        <v/>
      </c>
      <c r="F1843" s="79">
        <f>IF($T1843="","",IF($S1843="S",IF(INDEX(Firms!$O$5:$O$1004,$T1843)="","",INDEX(Firms!$O$5:$O$1004,$T1843)),IF(INDEX('AFA Rates'!$O$5:$O$1004,$T1843)="","",INDEX('AFA Rates'!$O$5:$O$1004,$T1843))))</f>
        <v/>
      </c>
      <c r="G1843" s="50">
        <f>IF($T1843="","",IF($S1843="S",IF(INDEX(Firms!$F$5:$F$1004,$T1843)="","",INDEX(Firms!$F$5:$F$1004,$T1843)),IF(INDEX('AFA Rates'!$E$5:$E$1004,$T1843)="","",INDEX('AFA Rates'!$E$5:$E$1004,$T1843))))</f>
        <v/>
      </c>
      <c r="H1843" s="50">
        <f>IF($T1843="","",IF($S1843="S",IF(INDEX(Firms!$G$5:$G$1004,$T1843)="","",INDEX(Firms!$G$5:$G$1004,$T1843)),IF(INDEX('AFA Rates'!$F$5:$F$1004,$T1843)="","",INDEX('AFA Rates'!$F$5:$F$1004,$T1843))))</f>
        <v/>
      </c>
      <c r="I1843" s="50">
        <f>IF($T1843="","",IF($S1843="S",IF(INDEX(Firms!$H$5:$H$1004,$T1843)="","",INDEX(Firms!$H$5:$H$1004,$T1843)),IF(INDEX('AFA Rates'!$G$5:$G$1004,$T1843)="","",INDEX('AFA Rates'!$G$5:$G$1004,$T1843))))</f>
        <v/>
      </c>
      <c r="J1843" s="50">
        <f>IF($T1843="","",IF($S1843="S",IF(INDEX(Firms!$I$5:$I$1004,$T1843)="","",INDEX(Firms!$I$5:$I$1004,$T1843)),IF(INDEX('AFA Rates'!$H$5:$H$1004,$T1843)="","",INDEX('AFA Rates'!$H$5:$H$1004,$T1843))))</f>
        <v/>
      </c>
      <c r="K1843" s="50">
        <f>IF($T1843="","",IF($S1843="S",IF(INDEX(Firms!$J$5:$J$1004,$T1843)="","",INDEX(Firms!$J$5:$J$1004,$T1843)),IF(INDEX('AFA Rates'!$I$5:$I$1004,$T1843)="","",INDEX('AFA Rates'!$I$5:$I$1004,$T1843))))</f>
        <v/>
      </c>
      <c r="L1843" s="50">
        <f>IF($T1843="","",IF($S1843="S",IF(INDEX(Firms!$K$5:$K$1004,$T1843)="","",INDEX(Firms!$K$5:$K$1004,$T1843)),IF(INDEX('AFA Rates'!$J$5:$J$1004,$T1843)="","",INDEX('AFA Rates'!$J$5:$J$1004,$T1843))))</f>
        <v/>
      </c>
      <c r="M1843" s="50">
        <f>IF($T1843="","",IF($S1843="S",IF(INDEX(Firms!$L$5:$L$1004,$T1843)="","",INDEX(Firms!$L$5:$L$1004,$T1843)),IF(INDEX('AFA Rates'!$K$5:$K$1004,$T1843)="","",INDEX('AFA Rates'!$K$5:$K$1004,$T1843))))</f>
        <v/>
      </c>
      <c r="N1843" s="50">
        <f>IF($T1843="","",IF($S1843="S",IF(INDEX(Firms!$M$5:$M$1004,$T1843)="","",INDEX(Firms!$M$5:$M$1004,$T1843)),IF(INDEX('AFA Rates'!$L$5:$L$1004,$T1843)="","",INDEX('AFA Rates'!$L$5:$L$1004,$T1843))))</f>
        <v/>
      </c>
      <c r="O1843" s="78">
        <f>IF(OR($T1843="",$U1843=""),"",IF(INDEX(Firms!$C$5:$C$1004,$U1843)="","",INDEX(Firms!$C$5:$C$1004,$U1843)))</f>
        <v/>
      </c>
      <c r="P1843" s="79">
        <f>IF(OR($T1843="",$U1843=""),"",IF(INDEX(Firms!$N$5:$N$1004,$U1843)="","",INDEX(Firms!$N$5:$N$1004,$U1843)))</f>
        <v/>
      </c>
      <c r="Q1843" s="78">
        <f>IF($T1843="","",IF($S1843="S",IF(INDEX(Firms!$T$5:$T$1004,$T1843)="","",INDEX(Firms!$T$5:$T$1004,$T1843)),IF(INDEX('AFA Rates'!$M$5:$M$1004,$T1843)="","",INDEX('AFA Rates'!$M$5:$M$1004,$T1843))))</f>
        <v/>
      </c>
      <c r="S1843">
        <f>IF(1839&lt;=$S$2,"S",IF(1839&lt;=$S$2+$T$2,"A",""))</f>
        <v/>
      </c>
      <c r="T1843">
        <f>IF(S1843="S",MATCH(1839,Firms!$W$5:$W$1004,0),IF(S1843="A",IFERROR(MATCH(1839-$S$2,'AFA Rates'!$R$5:$R$1004,0),""),""))</f>
        <v/>
      </c>
      <c r="U1843">
        <f>IF(S1843="S",T1843,IF(AND(S1843="A",T1843&lt;&gt;""),IFERROR(MATCH(INDEX('AFA Rates'!$A$5:$A$1004,T1843),Firms!$A$5:$A$1004,0),""),""))</f>
        <v/>
      </c>
    </row>
    <row r="1844">
      <c r="A1844" s="78">
        <f>IF($T1844="","",IF($S1844="S",IF(INDEX(Firms!$A$5:$A$1004,$T1844)="","",INDEX(Firms!$A$5:$A$1004,$T1844)),IF(INDEX('AFA Rates'!$A$5:$A$1004,$T1844)="","",INDEX('AFA Rates'!$A$5:$A$1004,$T1844))))</f>
        <v/>
      </c>
      <c r="B1844" s="79">
        <f>IF(OR($T1844="",$U1844=""),IF($T1844="","","Not on Firms tab"),INDEX(Firms!$B$5:$B$1004,$U1844)&amp;"")</f>
        <v/>
      </c>
      <c r="C1844" s="78">
        <f>IF($T1844="","",IF($S1844="S","Standard",INDEX('AFA Rates'!$B$5:$B$1004,$T1844)&amp;""))</f>
        <v/>
      </c>
      <c r="D1844" s="88">
        <f>IF($T1844="","",IF($S1844="S",IF(INDEX(Firms!$E$5:$E$1004,$T1844)="","",INDEX(Firms!$E$5:$E$1004,$T1844)),IF(INDEX('AFA Rates'!$C$5:$C$1004,$T1844)="","",INDEX('AFA Rates'!$C$5:$C$1004,$T1844))))</f>
        <v/>
      </c>
      <c r="E1844" s="88">
        <f>IF($T1844="","",IF($S1844="S",IF(""="","",""),IF(INDEX('AFA Rates'!$D$5:$D$1004,$T1844)="","",INDEX('AFA Rates'!$D$5:$D$1004,$T1844))))</f>
        <v/>
      </c>
      <c r="F1844" s="79">
        <f>IF($T1844="","",IF($S1844="S",IF(INDEX(Firms!$O$5:$O$1004,$T1844)="","",INDEX(Firms!$O$5:$O$1004,$T1844)),IF(INDEX('AFA Rates'!$O$5:$O$1004,$T1844)="","",INDEX('AFA Rates'!$O$5:$O$1004,$T1844))))</f>
        <v/>
      </c>
      <c r="G1844" s="50">
        <f>IF($T1844="","",IF($S1844="S",IF(INDEX(Firms!$F$5:$F$1004,$T1844)="","",INDEX(Firms!$F$5:$F$1004,$T1844)),IF(INDEX('AFA Rates'!$E$5:$E$1004,$T1844)="","",INDEX('AFA Rates'!$E$5:$E$1004,$T1844))))</f>
        <v/>
      </c>
      <c r="H1844" s="50">
        <f>IF($T1844="","",IF($S1844="S",IF(INDEX(Firms!$G$5:$G$1004,$T1844)="","",INDEX(Firms!$G$5:$G$1004,$T1844)),IF(INDEX('AFA Rates'!$F$5:$F$1004,$T1844)="","",INDEX('AFA Rates'!$F$5:$F$1004,$T1844))))</f>
        <v/>
      </c>
      <c r="I1844" s="50">
        <f>IF($T1844="","",IF($S1844="S",IF(INDEX(Firms!$H$5:$H$1004,$T1844)="","",INDEX(Firms!$H$5:$H$1004,$T1844)),IF(INDEX('AFA Rates'!$G$5:$G$1004,$T1844)="","",INDEX('AFA Rates'!$G$5:$G$1004,$T1844))))</f>
        <v/>
      </c>
      <c r="J1844" s="50">
        <f>IF($T1844="","",IF($S1844="S",IF(INDEX(Firms!$I$5:$I$1004,$T1844)="","",INDEX(Firms!$I$5:$I$1004,$T1844)),IF(INDEX('AFA Rates'!$H$5:$H$1004,$T1844)="","",INDEX('AFA Rates'!$H$5:$H$1004,$T1844))))</f>
        <v/>
      </c>
      <c r="K1844" s="50">
        <f>IF($T1844="","",IF($S1844="S",IF(INDEX(Firms!$J$5:$J$1004,$T1844)="","",INDEX(Firms!$J$5:$J$1004,$T1844)),IF(INDEX('AFA Rates'!$I$5:$I$1004,$T1844)="","",INDEX('AFA Rates'!$I$5:$I$1004,$T1844))))</f>
        <v/>
      </c>
      <c r="L1844" s="50">
        <f>IF($T1844="","",IF($S1844="S",IF(INDEX(Firms!$K$5:$K$1004,$T1844)="","",INDEX(Firms!$K$5:$K$1004,$T1844)),IF(INDEX('AFA Rates'!$J$5:$J$1004,$T1844)="","",INDEX('AFA Rates'!$J$5:$J$1004,$T1844))))</f>
        <v/>
      </c>
      <c r="M1844" s="50">
        <f>IF($T1844="","",IF($S1844="S",IF(INDEX(Firms!$L$5:$L$1004,$T1844)="","",INDEX(Firms!$L$5:$L$1004,$T1844)),IF(INDEX('AFA Rates'!$K$5:$K$1004,$T1844)="","",INDEX('AFA Rates'!$K$5:$K$1004,$T1844))))</f>
        <v/>
      </c>
      <c r="N1844" s="50">
        <f>IF($T1844="","",IF($S1844="S",IF(INDEX(Firms!$M$5:$M$1004,$T1844)="","",INDEX(Firms!$M$5:$M$1004,$T1844)),IF(INDEX('AFA Rates'!$L$5:$L$1004,$T1844)="","",INDEX('AFA Rates'!$L$5:$L$1004,$T1844))))</f>
        <v/>
      </c>
      <c r="O1844" s="78">
        <f>IF(OR($T1844="",$U1844=""),"",IF(INDEX(Firms!$C$5:$C$1004,$U1844)="","",INDEX(Firms!$C$5:$C$1004,$U1844)))</f>
        <v/>
      </c>
      <c r="P1844" s="79">
        <f>IF(OR($T1844="",$U1844=""),"",IF(INDEX(Firms!$N$5:$N$1004,$U1844)="","",INDEX(Firms!$N$5:$N$1004,$U1844)))</f>
        <v/>
      </c>
      <c r="Q1844" s="78">
        <f>IF($T1844="","",IF($S1844="S",IF(INDEX(Firms!$T$5:$T$1004,$T1844)="","",INDEX(Firms!$T$5:$T$1004,$T1844)),IF(INDEX('AFA Rates'!$M$5:$M$1004,$T1844)="","",INDEX('AFA Rates'!$M$5:$M$1004,$T1844))))</f>
        <v/>
      </c>
      <c r="S1844">
        <f>IF(1840&lt;=$S$2,"S",IF(1840&lt;=$S$2+$T$2,"A",""))</f>
        <v/>
      </c>
      <c r="T1844">
        <f>IF(S1844="S",MATCH(1840,Firms!$W$5:$W$1004,0),IF(S1844="A",IFERROR(MATCH(1840-$S$2,'AFA Rates'!$R$5:$R$1004,0),""),""))</f>
        <v/>
      </c>
      <c r="U1844">
        <f>IF(S1844="S",T1844,IF(AND(S1844="A",T1844&lt;&gt;""),IFERROR(MATCH(INDEX('AFA Rates'!$A$5:$A$1004,T1844),Firms!$A$5:$A$1004,0),""),""))</f>
        <v/>
      </c>
    </row>
    <row r="1845">
      <c r="A1845" s="78">
        <f>IF($T1845="","",IF($S1845="S",IF(INDEX(Firms!$A$5:$A$1004,$T1845)="","",INDEX(Firms!$A$5:$A$1004,$T1845)),IF(INDEX('AFA Rates'!$A$5:$A$1004,$T1845)="","",INDEX('AFA Rates'!$A$5:$A$1004,$T1845))))</f>
        <v/>
      </c>
      <c r="B1845" s="79">
        <f>IF(OR($T1845="",$U1845=""),IF($T1845="","","Not on Firms tab"),INDEX(Firms!$B$5:$B$1004,$U1845)&amp;"")</f>
        <v/>
      </c>
      <c r="C1845" s="78">
        <f>IF($T1845="","",IF($S1845="S","Standard",INDEX('AFA Rates'!$B$5:$B$1004,$T1845)&amp;""))</f>
        <v/>
      </c>
      <c r="D1845" s="88">
        <f>IF($T1845="","",IF($S1845="S",IF(INDEX(Firms!$E$5:$E$1004,$T1845)="","",INDEX(Firms!$E$5:$E$1004,$T1845)),IF(INDEX('AFA Rates'!$C$5:$C$1004,$T1845)="","",INDEX('AFA Rates'!$C$5:$C$1004,$T1845))))</f>
        <v/>
      </c>
      <c r="E1845" s="88">
        <f>IF($T1845="","",IF($S1845="S",IF(""="","",""),IF(INDEX('AFA Rates'!$D$5:$D$1004,$T1845)="","",INDEX('AFA Rates'!$D$5:$D$1004,$T1845))))</f>
        <v/>
      </c>
      <c r="F1845" s="79">
        <f>IF($T1845="","",IF($S1845="S",IF(INDEX(Firms!$O$5:$O$1004,$T1845)="","",INDEX(Firms!$O$5:$O$1004,$T1845)),IF(INDEX('AFA Rates'!$O$5:$O$1004,$T1845)="","",INDEX('AFA Rates'!$O$5:$O$1004,$T1845))))</f>
        <v/>
      </c>
      <c r="G1845" s="50">
        <f>IF($T1845="","",IF($S1845="S",IF(INDEX(Firms!$F$5:$F$1004,$T1845)="","",INDEX(Firms!$F$5:$F$1004,$T1845)),IF(INDEX('AFA Rates'!$E$5:$E$1004,$T1845)="","",INDEX('AFA Rates'!$E$5:$E$1004,$T1845))))</f>
        <v/>
      </c>
      <c r="H1845" s="50">
        <f>IF($T1845="","",IF($S1845="S",IF(INDEX(Firms!$G$5:$G$1004,$T1845)="","",INDEX(Firms!$G$5:$G$1004,$T1845)),IF(INDEX('AFA Rates'!$F$5:$F$1004,$T1845)="","",INDEX('AFA Rates'!$F$5:$F$1004,$T1845))))</f>
        <v/>
      </c>
      <c r="I1845" s="50">
        <f>IF($T1845="","",IF($S1845="S",IF(INDEX(Firms!$H$5:$H$1004,$T1845)="","",INDEX(Firms!$H$5:$H$1004,$T1845)),IF(INDEX('AFA Rates'!$G$5:$G$1004,$T1845)="","",INDEX('AFA Rates'!$G$5:$G$1004,$T1845))))</f>
        <v/>
      </c>
      <c r="J1845" s="50">
        <f>IF($T1845="","",IF($S1845="S",IF(INDEX(Firms!$I$5:$I$1004,$T1845)="","",INDEX(Firms!$I$5:$I$1004,$T1845)),IF(INDEX('AFA Rates'!$H$5:$H$1004,$T1845)="","",INDEX('AFA Rates'!$H$5:$H$1004,$T1845))))</f>
        <v/>
      </c>
      <c r="K1845" s="50">
        <f>IF($T1845="","",IF($S1845="S",IF(INDEX(Firms!$J$5:$J$1004,$T1845)="","",INDEX(Firms!$J$5:$J$1004,$T1845)),IF(INDEX('AFA Rates'!$I$5:$I$1004,$T1845)="","",INDEX('AFA Rates'!$I$5:$I$1004,$T1845))))</f>
        <v/>
      </c>
      <c r="L1845" s="50">
        <f>IF($T1845="","",IF($S1845="S",IF(INDEX(Firms!$K$5:$K$1004,$T1845)="","",INDEX(Firms!$K$5:$K$1004,$T1845)),IF(INDEX('AFA Rates'!$J$5:$J$1004,$T1845)="","",INDEX('AFA Rates'!$J$5:$J$1004,$T1845))))</f>
        <v/>
      </c>
      <c r="M1845" s="50">
        <f>IF($T1845="","",IF($S1845="S",IF(INDEX(Firms!$L$5:$L$1004,$T1845)="","",INDEX(Firms!$L$5:$L$1004,$T1845)),IF(INDEX('AFA Rates'!$K$5:$K$1004,$T1845)="","",INDEX('AFA Rates'!$K$5:$K$1004,$T1845))))</f>
        <v/>
      </c>
      <c r="N1845" s="50">
        <f>IF($T1845="","",IF($S1845="S",IF(INDEX(Firms!$M$5:$M$1004,$T1845)="","",INDEX(Firms!$M$5:$M$1004,$T1845)),IF(INDEX('AFA Rates'!$L$5:$L$1004,$T1845)="","",INDEX('AFA Rates'!$L$5:$L$1004,$T1845))))</f>
        <v/>
      </c>
      <c r="O1845" s="78">
        <f>IF(OR($T1845="",$U1845=""),"",IF(INDEX(Firms!$C$5:$C$1004,$U1845)="","",INDEX(Firms!$C$5:$C$1004,$U1845)))</f>
        <v/>
      </c>
      <c r="P1845" s="79">
        <f>IF(OR($T1845="",$U1845=""),"",IF(INDEX(Firms!$N$5:$N$1004,$U1845)="","",INDEX(Firms!$N$5:$N$1004,$U1845)))</f>
        <v/>
      </c>
      <c r="Q1845" s="78">
        <f>IF($T1845="","",IF($S1845="S",IF(INDEX(Firms!$T$5:$T$1004,$T1845)="","",INDEX(Firms!$T$5:$T$1004,$T1845)),IF(INDEX('AFA Rates'!$M$5:$M$1004,$T1845)="","",INDEX('AFA Rates'!$M$5:$M$1004,$T1845))))</f>
        <v/>
      </c>
      <c r="S1845">
        <f>IF(1841&lt;=$S$2,"S",IF(1841&lt;=$S$2+$T$2,"A",""))</f>
        <v/>
      </c>
      <c r="T1845">
        <f>IF(S1845="S",MATCH(1841,Firms!$W$5:$W$1004,0),IF(S1845="A",IFERROR(MATCH(1841-$S$2,'AFA Rates'!$R$5:$R$1004,0),""),""))</f>
        <v/>
      </c>
      <c r="U1845">
        <f>IF(S1845="S",T1845,IF(AND(S1845="A",T1845&lt;&gt;""),IFERROR(MATCH(INDEX('AFA Rates'!$A$5:$A$1004,T1845),Firms!$A$5:$A$1004,0),""),""))</f>
        <v/>
      </c>
    </row>
    <row r="1846">
      <c r="A1846" s="78">
        <f>IF($T1846="","",IF($S1846="S",IF(INDEX(Firms!$A$5:$A$1004,$T1846)="","",INDEX(Firms!$A$5:$A$1004,$T1846)),IF(INDEX('AFA Rates'!$A$5:$A$1004,$T1846)="","",INDEX('AFA Rates'!$A$5:$A$1004,$T1846))))</f>
        <v/>
      </c>
      <c r="B1846" s="79">
        <f>IF(OR($T1846="",$U1846=""),IF($T1846="","","Not on Firms tab"),INDEX(Firms!$B$5:$B$1004,$U1846)&amp;"")</f>
        <v/>
      </c>
      <c r="C1846" s="78">
        <f>IF($T1846="","",IF($S1846="S","Standard",INDEX('AFA Rates'!$B$5:$B$1004,$T1846)&amp;""))</f>
        <v/>
      </c>
      <c r="D1846" s="88">
        <f>IF($T1846="","",IF($S1846="S",IF(INDEX(Firms!$E$5:$E$1004,$T1846)="","",INDEX(Firms!$E$5:$E$1004,$T1846)),IF(INDEX('AFA Rates'!$C$5:$C$1004,$T1846)="","",INDEX('AFA Rates'!$C$5:$C$1004,$T1846))))</f>
        <v/>
      </c>
      <c r="E1846" s="88">
        <f>IF($T1846="","",IF($S1846="S",IF(""="","",""),IF(INDEX('AFA Rates'!$D$5:$D$1004,$T1846)="","",INDEX('AFA Rates'!$D$5:$D$1004,$T1846))))</f>
        <v/>
      </c>
      <c r="F1846" s="79">
        <f>IF($T1846="","",IF($S1846="S",IF(INDEX(Firms!$O$5:$O$1004,$T1846)="","",INDEX(Firms!$O$5:$O$1004,$T1846)),IF(INDEX('AFA Rates'!$O$5:$O$1004,$T1846)="","",INDEX('AFA Rates'!$O$5:$O$1004,$T1846))))</f>
        <v/>
      </c>
      <c r="G1846" s="50">
        <f>IF($T1846="","",IF($S1846="S",IF(INDEX(Firms!$F$5:$F$1004,$T1846)="","",INDEX(Firms!$F$5:$F$1004,$T1846)),IF(INDEX('AFA Rates'!$E$5:$E$1004,$T1846)="","",INDEX('AFA Rates'!$E$5:$E$1004,$T1846))))</f>
        <v/>
      </c>
      <c r="H1846" s="50">
        <f>IF($T1846="","",IF($S1846="S",IF(INDEX(Firms!$G$5:$G$1004,$T1846)="","",INDEX(Firms!$G$5:$G$1004,$T1846)),IF(INDEX('AFA Rates'!$F$5:$F$1004,$T1846)="","",INDEX('AFA Rates'!$F$5:$F$1004,$T1846))))</f>
        <v/>
      </c>
      <c r="I1846" s="50">
        <f>IF($T1846="","",IF($S1846="S",IF(INDEX(Firms!$H$5:$H$1004,$T1846)="","",INDEX(Firms!$H$5:$H$1004,$T1846)),IF(INDEX('AFA Rates'!$G$5:$G$1004,$T1846)="","",INDEX('AFA Rates'!$G$5:$G$1004,$T1846))))</f>
        <v/>
      </c>
      <c r="J1846" s="50">
        <f>IF($T1846="","",IF($S1846="S",IF(INDEX(Firms!$I$5:$I$1004,$T1846)="","",INDEX(Firms!$I$5:$I$1004,$T1846)),IF(INDEX('AFA Rates'!$H$5:$H$1004,$T1846)="","",INDEX('AFA Rates'!$H$5:$H$1004,$T1846))))</f>
        <v/>
      </c>
      <c r="K1846" s="50">
        <f>IF($T1846="","",IF($S1846="S",IF(INDEX(Firms!$J$5:$J$1004,$T1846)="","",INDEX(Firms!$J$5:$J$1004,$T1846)),IF(INDEX('AFA Rates'!$I$5:$I$1004,$T1846)="","",INDEX('AFA Rates'!$I$5:$I$1004,$T1846))))</f>
        <v/>
      </c>
      <c r="L1846" s="50">
        <f>IF($T1846="","",IF($S1846="S",IF(INDEX(Firms!$K$5:$K$1004,$T1846)="","",INDEX(Firms!$K$5:$K$1004,$T1846)),IF(INDEX('AFA Rates'!$J$5:$J$1004,$T1846)="","",INDEX('AFA Rates'!$J$5:$J$1004,$T1846))))</f>
        <v/>
      </c>
      <c r="M1846" s="50">
        <f>IF($T1846="","",IF($S1846="S",IF(INDEX(Firms!$L$5:$L$1004,$T1846)="","",INDEX(Firms!$L$5:$L$1004,$T1846)),IF(INDEX('AFA Rates'!$K$5:$K$1004,$T1846)="","",INDEX('AFA Rates'!$K$5:$K$1004,$T1846))))</f>
        <v/>
      </c>
      <c r="N1846" s="50">
        <f>IF($T1846="","",IF($S1846="S",IF(INDEX(Firms!$M$5:$M$1004,$T1846)="","",INDEX(Firms!$M$5:$M$1004,$T1846)),IF(INDEX('AFA Rates'!$L$5:$L$1004,$T1846)="","",INDEX('AFA Rates'!$L$5:$L$1004,$T1846))))</f>
        <v/>
      </c>
      <c r="O1846" s="78">
        <f>IF(OR($T1846="",$U1846=""),"",IF(INDEX(Firms!$C$5:$C$1004,$U1846)="","",INDEX(Firms!$C$5:$C$1004,$U1846)))</f>
        <v/>
      </c>
      <c r="P1846" s="79">
        <f>IF(OR($T1846="",$U1846=""),"",IF(INDEX(Firms!$N$5:$N$1004,$U1846)="","",INDEX(Firms!$N$5:$N$1004,$U1846)))</f>
        <v/>
      </c>
      <c r="Q1846" s="78">
        <f>IF($T1846="","",IF($S1846="S",IF(INDEX(Firms!$T$5:$T$1004,$T1846)="","",INDEX(Firms!$T$5:$T$1004,$T1846)),IF(INDEX('AFA Rates'!$M$5:$M$1004,$T1846)="","",INDEX('AFA Rates'!$M$5:$M$1004,$T1846))))</f>
        <v/>
      </c>
      <c r="S1846">
        <f>IF(1842&lt;=$S$2,"S",IF(1842&lt;=$S$2+$T$2,"A",""))</f>
        <v/>
      </c>
      <c r="T1846">
        <f>IF(S1846="S",MATCH(1842,Firms!$W$5:$W$1004,0),IF(S1846="A",IFERROR(MATCH(1842-$S$2,'AFA Rates'!$R$5:$R$1004,0),""),""))</f>
        <v/>
      </c>
      <c r="U1846">
        <f>IF(S1846="S",T1846,IF(AND(S1846="A",T1846&lt;&gt;""),IFERROR(MATCH(INDEX('AFA Rates'!$A$5:$A$1004,T1846),Firms!$A$5:$A$1004,0),""),""))</f>
        <v/>
      </c>
    </row>
    <row r="1847">
      <c r="A1847" s="78">
        <f>IF($T1847="","",IF($S1847="S",IF(INDEX(Firms!$A$5:$A$1004,$T1847)="","",INDEX(Firms!$A$5:$A$1004,$T1847)),IF(INDEX('AFA Rates'!$A$5:$A$1004,$T1847)="","",INDEX('AFA Rates'!$A$5:$A$1004,$T1847))))</f>
        <v/>
      </c>
      <c r="B1847" s="79">
        <f>IF(OR($T1847="",$U1847=""),IF($T1847="","","Not on Firms tab"),INDEX(Firms!$B$5:$B$1004,$U1847)&amp;"")</f>
        <v/>
      </c>
      <c r="C1847" s="78">
        <f>IF($T1847="","",IF($S1847="S","Standard",INDEX('AFA Rates'!$B$5:$B$1004,$T1847)&amp;""))</f>
        <v/>
      </c>
      <c r="D1847" s="88">
        <f>IF($T1847="","",IF($S1847="S",IF(INDEX(Firms!$E$5:$E$1004,$T1847)="","",INDEX(Firms!$E$5:$E$1004,$T1847)),IF(INDEX('AFA Rates'!$C$5:$C$1004,$T1847)="","",INDEX('AFA Rates'!$C$5:$C$1004,$T1847))))</f>
        <v/>
      </c>
      <c r="E1847" s="88">
        <f>IF($T1847="","",IF($S1847="S",IF(""="","",""),IF(INDEX('AFA Rates'!$D$5:$D$1004,$T1847)="","",INDEX('AFA Rates'!$D$5:$D$1004,$T1847))))</f>
        <v/>
      </c>
      <c r="F1847" s="79">
        <f>IF($T1847="","",IF($S1847="S",IF(INDEX(Firms!$O$5:$O$1004,$T1847)="","",INDEX(Firms!$O$5:$O$1004,$T1847)),IF(INDEX('AFA Rates'!$O$5:$O$1004,$T1847)="","",INDEX('AFA Rates'!$O$5:$O$1004,$T1847))))</f>
        <v/>
      </c>
      <c r="G1847" s="50">
        <f>IF($T1847="","",IF($S1847="S",IF(INDEX(Firms!$F$5:$F$1004,$T1847)="","",INDEX(Firms!$F$5:$F$1004,$T1847)),IF(INDEX('AFA Rates'!$E$5:$E$1004,$T1847)="","",INDEX('AFA Rates'!$E$5:$E$1004,$T1847))))</f>
        <v/>
      </c>
      <c r="H1847" s="50">
        <f>IF($T1847="","",IF($S1847="S",IF(INDEX(Firms!$G$5:$G$1004,$T1847)="","",INDEX(Firms!$G$5:$G$1004,$T1847)),IF(INDEX('AFA Rates'!$F$5:$F$1004,$T1847)="","",INDEX('AFA Rates'!$F$5:$F$1004,$T1847))))</f>
        <v/>
      </c>
      <c r="I1847" s="50">
        <f>IF($T1847="","",IF($S1847="S",IF(INDEX(Firms!$H$5:$H$1004,$T1847)="","",INDEX(Firms!$H$5:$H$1004,$T1847)),IF(INDEX('AFA Rates'!$G$5:$G$1004,$T1847)="","",INDEX('AFA Rates'!$G$5:$G$1004,$T1847))))</f>
        <v/>
      </c>
      <c r="J1847" s="50">
        <f>IF($T1847="","",IF($S1847="S",IF(INDEX(Firms!$I$5:$I$1004,$T1847)="","",INDEX(Firms!$I$5:$I$1004,$T1847)),IF(INDEX('AFA Rates'!$H$5:$H$1004,$T1847)="","",INDEX('AFA Rates'!$H$5:$H$1004,$T1847))))</f>
        <v/>
      </c>
      <c r="K1847" s="50">
        <f>IF($T1847="","",IF($S1847="S",IF(INDEX(Firms!$J$5:$J$1004,$T1847)="","",INDEX(Firms!$J$5:$J$1004,$T1847)),IF(INDEX('AFA Rates'!$I$5:$I$1004,$T1847)="","",INDEX('AFA Rates'!$I$5:$I$1004,$T1847))))</f>
        <v/>
      </c>
      <c r="L1847" s="50">
        <f>IF($T1847="","",IF($S1847="S",IF(INDEX(Firms!$K$5:$K$1004,$T1847)="","",INDEX(Firms!$K$5:$K$1004,$T1847)),IF(INDEX('AFA Rates'!$J$5:$J$1004,$T1847)="","",INDEX('AFA Rates'!$J$5:$J$1004,$T1847))))</f>
        <v/>
      </c>
      <c r="M1847" s="50">
        <f>IF($T1847="","",IF($S1847="S",IF(INDEX(Firms!$L$5:$L$1004,$T1847)="","",INDEX(Firms!$L$5:$L$1004,$T1847)),IF(INDEX('AFA Rates'!$K$5:$K$1004,$T1847)="","",INDEX('AFA Rates'!$K$5:$K$1004,$T1847))))</f>
        <v/>
      </c>
      <c r="N1847" s="50">
        <f>IF($T1847="","",IF($S1847="S",IF(INDEX(Firms!$M$5:$M$1004,$T1847)="","",INDEX(Firms!$M$5:$M$1004,$T1847)),IF(INDEX('AFA Rates'!$L$5:$L$1004,$T1847)="","",INDEX('AFA Rates'!$L$5:$L$1004,$T1847))))</f>
        <v/>
      </c>
      <c r="O1847" s="78">
        <f>IF(OR($T1847="",$U1847=""),"",IF(INDEX(Firms!$C$5:$C$1004,$U1847)="","",INDEX(Firms!$C$5:$C$1004,$U1847)))</f>
        <v/>
      </c>
      <c r="P1847" s="79">
        <f>IF(OR($T1847="",$U1847=""),"",IF(INDEX(Firms!$N$5:$N$1004,$U1847)="","",INDEX(Firms!$N$5:$N$1004,$U1847)))</f>
        <v/>
      </c>
      <c r="Q1847" s="78">
        <f>IF($T1847="","",IF($S1847="S",IF(INDEX(Firms!$T$5:$T$1004,$T1847)="","",INDEX(Firms!$T$5:$T$1004,$T1847)),IF(INDEX('AFA Rates'!$M$5:$M$1004,$T1847)="","",INDEX('AFA Rates'!$M$5:$M$1004,$T1847))))</f>
        <v/>
      </c>
      <c r="S1847">
        <f>IF(1843&lt;=$S$2,"S",IF(1843&lt;=$S$2+$T$2,"A",""))</f>
        <v/>
      </c>
      <c r="T1847">
        <f>IF(S1847="S",MATCH(1843,Firms!$W$5:$W$1004,0),IF(S1847="A",IFERROR(MATCH(1843-$S$2,'AFA Rates'!$R$5:$R$1004,0),""),""))</f>
        <v/>
      </c>
      <c r="U1847">
        <f>IF(S1847="S",T1847,IF(AND(S1847="A",T1847&lt;&gt;""),IFERROR(MATCH(INDEX('AFA Rates'!$A$5:$A$1004,T1847),Firms!$A$5:$A$1004,0),""),""))</f>
        <v/>
      </c>
    </row>
    <row r="1848">
      <c r="A1848" s="78">
        <f>IF($T1848="","",IF($S1848="S",IF(INDEX(Firms!$A$5:$A$1004,$T1848)="","",INDEX(Firms!$A$5:$A$1004,$T1848)),IF(INDEX('AFA Rates'!$A$5:$A$1004,$T1848)="","",INDEX('AFA Rates'!$A$5:$A$1004,$T1848))))</f>
        <v/>
      </c>
      <c r="B1848" s="79">
        <f>IF(OR($T1848="",$U1848=""),IF($T1848="","","Not on Firms tab"),INDEX(Firms!$B$5:$B$1004,$U1848)&amp;"")</f>
        <v/>
      </c>
      <c r="C1848" s="78">
        <f>IF($T1848="","",IF($S1848="S","Standard",INDEX('AFA Rates'!$B$5:$B$1004,$T1848)&amp;""))</f>
        <v/>
      </c>
      <c r="D1848" s="88">
        <f>IF($T1848="","",IF($S1848="S",IF(INDEX(Firms!$E$5:$E$1004,$T1848)="","",INDEX(Firms!$E$5:$E$1004,$T1848)),IF(INDEX('AFA Rates'!$C$5:$C$1004,$T1848)="","",INDEX('AFA Rates'!$C$5:$C$1004,$T1848))))</f>
        <v/>
      </c>
      <c r="E1848" s="88">
        <f>IF($T1848="","",IF($S1848="S",IF(""="","",""),IF(INDEX('AFA Rates'!$D$5:$D$1004,$T1848)="","",INDEX('AFA Rates'!$D$5:$D$1004,$T1848))))</f>
        <v/>
      </c>
      <c r="F1848" s="79">
        <f>IF($T1848="","",IF($S1848="S",IF(INDEX(Firms!$O$5:$O$1004,$T1848)="","",INDEX(Firms!$O$5:$O$1004,$T1848)),IF(INDEX('AFA Rates'!$O$5:$O$1004,$T1848)="","",INDEX('AFA Rates'!$O$5:$O$1004,$T1848))))</f>
        <v/>
      </c>
      <c r="G1848" s="50">
        <f>IF($T1848="","",IF($S1848="S",IF(INDEX(Firms!$F$5:$F$1004,$T1848)="","",INDEX(Firms!$F$5:$F$1004,$T1848)),IF(INDEX('AFA Rates'!$E$5:$E$1004,$T1848)="","",INDEX('AFA Rates'!$E$5:$E$1004,$T1848))))</f>
        <v/>
      </c>
      <c r="H1848" s="50">
        <f>IF($T1848="","",IF($S1848="S",IF(INDEX(Firms!$G$5:$G$1004,$T1848)="","",INDEX(Firms!$G$5:$G$1004,$T1848)),IF(INDEX('AFA Rates'!$F$5:$F$1004,$T1848)="","",INDEX('AFA Rates'!$F$5:$F$1004,$T1848))))</f>
        <v/>
      </c>
      <c r="I1848" s="50">
        <f>IF($T1848="","",IF($S1848="S",IF(INDEX(Firms!$H$5:$H$1004,$T1848)="","",INDEX(Firms!$H$5:$H$1004,$T1848)),IF(INDEX('AFA Rates'!$G$5:$G$1004,$T1848)="","",INDEX('AFA Rates'!$G$5:$G$1004,$T1848))))</f>
        <v/>
      </c>
      <c r="J1848" s="50">
        <f>IF($T1848="","",IF($S1848="S",IF(INDEX(Firms!$I$5:$I$1004,$T1848)="","",INDEX(Firms!$I$5:$I$1004,$T1848)),IF(INDEX('AFA Rates'!$H$5:$H$1004,$T1848)="","",INDEX('AFA Rates'!$H$5:$H$1004,$T1848))))</f>
        <v/>
      </c>
      <c r="K1848" s="50">
        <f>IF($T1848="","",IF($S1848="S",IF(INDEX(Firms!$J$5:$J$1004,$T1848)="","",INDEX(Firms!$J$5:$J$1004,$T1848)),IF(INDEX('AFA Rates'!$I$5:$I$1004,$T1848)="","",INDEX('AFA Rates'!$I$5:$I$1004,$T1848))))</f>
        <v/>
      </c>
      <c r="L1848" s="50">
        <f>IF($T1848="","",IF($S1848="S",IF(INDEX(Firms!$K$5:$K$1004,$T1848)="","",INDEX(Firms!$K$5:$K$1004,$T1848)),IF(INDEX('AFA Rates'!$J$5:$J$1004,$T1848)="","",INDEX('AFA Rates'!$J$5:$J$1004,$T1848))))</f>
        <v/>
      </c>
      <c r="M1848" s="50">
        <f>IF($T1848="","",IF($S1848="S",IF(INDEX(Firms!$L$5:$L$1004,$T1848)="","",INDEX(Firms!$L$5:$L$1004,$T1848)),IF(INDEX('AFA Rates'!$K$5:$K$1004,$T1848)="","",INDEX('AFA Rates'!$K$5:$K$1004,$T1848))))</f>
        <v/>
      </c>
      <c r="N1848" s="50">
        <f>IF($T1848="","",IF($S1848="S",IF(INDEX(Firms!$M$5:$M$1004,$T1848)="","",INDEX(Firms!$M$5:$M$1004,$T1848)),IF(INDEX('AFA Rates'!$L$5:$L$1004,$T1848)="","",INDEX('AFA Rates'!$L$5:$L$1004,$T1848))))</f>
        <v/>
      </c>
      <c r="O1848" s="78">
        <f>IF(OR($T1848="",$U1848=""),"",IF(INDEX(Firms!$C$5:$C$1004,$U1848)="","",INDEX(Firms!$C$5:$C$1004,$U1848)))</f>
        <v/>
      </c>
      <c r="P1848" s="79">
        <f>IF(OR($T1848="",$U1848=""),"",IF(INDEX(Firms!$N$5:$N$1004,$U1848)="","",INDEX(Firms!$N$5:$N$1004,$U1848)))</f>
        <v/>
      </c>
      <c r="Q1848" s="78">
        <f>IF($T1848="","",IF($S1848="S",IF(INDEX(Firms!$T$5:$T$1004,$T1848)="","",INDEX(Firms!$T$5:$T$1004,$T1848)),IF(INDEX('AFA Rates'!$M$5:$M$1004,$T1848)="","",INDEX('AFA Rates'!$M$5:$M$1004,$T1848))))</f>
        <v/>
      </c>
      <c r="S1848">
        <f>IF(1844&lt;=$S$2,"S",IF(1844&lt;=$S$2+$T$2,"A",""))</f>
        <v/>
      </c>
      <c r="T1848">
        <f>IF(S1848="S",MATCH(1844,Firms!$W$5:$W$1004,0),IF(S1848="A",IFERROR(MATCH(1844-$S$2,'AFA Rates'!$R$5:$R$1004,0),""),""))</f>
        <v/>
      </c>
      <c r="U1848">
        <f>IF(S1848="S",T1848,IF(AND(S1848="A",T1848&lt;&gt;""),IFERROR(MATCH(INDEX('AFA Rates'!$A$5:$A$1004,T1848),Firms!$A$5:$A$1004,0),""),""))</f>
        <v/>
      </c>
    </row>
    <row r="1849">
      <c r="A1849" s="78">
        <f>IF($T1849="","",IF($S1849="S",IF(INDEX(Firms!$A$5:$A$1004,$T1849)="","",INDEX(Firms!$A$5:$A$1004,$T1849)),IF(INDEX('AFA Rates'!$A$5:$A$1004,$T1849)="","",INDEX('AFA Rates'!$A$5:$A$1004,$T1849))))</f>
        <v/>
      </c>
      <c r="B1849" s="79">
        <f>IF(OR($T1849="",$U1849=""),IF($T1849="","","Not on Firms tab"),INDEX(Firms!$B$5:$B$1004,$U1849)&amp;"")</f>
        <v/>
      </c>
      <c r="C1849" s="78">
        <f>IF($T1849="","",IF($S1849="S","Standard",INDEX('AFA Rates'!$B$5:$B$1004,$T1849)&amp;""))</f>
        <v/>
      </c>
      <c r="D1849" s="88">
        <f>IF($T1849="","",IF($S1849="S",IF(INDEX(Firms!$E$5:$E$1004,$T1849)="","",INDEX(Firms!$E$5:$E$1004,$T1849)),IF(INDEX('AFA Rates'!$C$5:$C$1004,$T1849)="","",INDEX('AFA Rates'!$C$5:$C$1004,$T1849))))</f>
        <v/>
      </c>
      <c r="E1849" s="88">
        <f>IF($T1849="","",IF($S1849="S",IF(""="","",""),IF(INDEX('AFA Rates'!$D$5:$D$1004,$T1849)="","",INDEX('AFA Rates'!$D$5:$D$1004,$T1849))))</f>
        <v/>
      </c>
      <c r="F1849" s="79">
        <f>IF($T1849="","",IF($S1849="S",IF(INDEX(Firms!$O$5:$O$1004,$T1849)="","",INDEX(Firms!$O$5:$O$1004,$T1849)),IF(INDEX('AFA Rates'!$O$5:$O$1004,$T1849)="","",INDEX('AFA Rates'!$O$5:$O$1004,$T1849))))</f>
        <v/>
      </c>
      <c r="G1849" s="50">
        <f>IF($T1849="","",IF($S1849="S",IF(INDEX(Firms!$F$5:$F$1004,$T1849)="","",INDEX(Firms!$F$5:$F$1004,$T1849)),IF(INDEX('AFA Rates'!$E$5:$E$1004,$T1849)="","",INDEX('AFA Rates'!$E$5:$E$1004,$T1849))))</f>
        <v/>
      </c>
      <c r="H1849" s="50">
        <f>IF($T1849="","",IF($S1849="S",IF(INDEX(Firms!$G$5:$G$1004,$T1849)="","",INDEX(Firms!$G$5:$G$1004,$T1849)),IF(INDEX('AFA Rates'!$F$5:$F$1004,$T1849)="","",INDEX('AFA Rates'!$F$5:$F$1004,$T1849))))</f>
        <v/>
      </c>
      <c r="I1849" s="50">
        <f>IF($T1849="","",IF($S1849="S",IF(INDEX(Firms!$H$5:$H$1004,$T1849)="","",INDEX(Firms!$H$5:$H$1004,$T1849)),IF(INDEX('AFA Rates'!$G$5:$G$1004,$T1849)="","",INDEX('AFA Rates'!$G$5:$G$1004,$T1849))))</f>
        <v/>
      </c>
      <c r="J1849" s="50">
        <f>IF($T1849="","",IF($S1849="S",IF(INDEX(Firms!$I$5:$I$1004,$T1849)="","",INDEX(Firms!$I$5:$I$1004,$T1849)),IF(INDEX('AFA Rates'!$H$5:$H$1004,$T1849)="","",INDEX('AFA Rates'!$H$5:$H$1004,$T1849))))</f>
        <v/>
      </c>
      <c r="K1849" s="50">
        <f>IF($T1849="","",IF($S1849="S",IF(INDEX(Firms!$J$5:$J$1004,$T1849)="","",INDEX(Firms!$J$5:$J$1004,$T1849)),IF(INDEX('AFA Rates'!$I$5:$I$1004,$T1849)="","",INDEX('AFA Rates'!$I$5:$I$1004,$T1849))))</f>
        <v/>
      </c>
      <c r="L1849" s="50">
        <f>IF($T1849="","",IF($S1849="S",IF(INDEX(Firms!$K$5:$K$1004,$T1849)="","",INDEX(Firms!$K$5:$K$1004,$T1849)),IF(INDEX('AFA Rates'!$J$5:$J$1004,$T1849)="","",INDEX('AFA Rates'!$J$5:$J$1004,$T1849))))</f>
        <v/>
      </c>
      <c r="M1849" s="50">
        <f>IF($T1849="","",IF($S1849="S",IF(INDEX(Firms!$L$5:$L$1004,$T1849)="","",INDEX(Firms!$L$5:$L$1004,$T1849)),IF(INDEX('AFA Rates'!$K$5:$K$1004,$T1849)="","",INDEX('AFA Rates'!$K$5:$K$1004,$T1849))))</f>
        <v/>
      </c>
      <c r="N1849" s="50">
        <f>IF($T1849="","",IF($S1849="S",IF(INDEX(Firms!$M$5:$M$1004,$T1849)="","",INDEX(Firms!$M$5:$M$1004,$T1849)),IF(INDEX('AFA Rates'!$L$5:$L$1004,$T1849)="","",INDEX('AFA Rates'!$L$5:$L$1004,$T1849))))</f>
        <v/>
      </c>
      <c r="O1849" s="78">
        <f>IF(OR($T1849="",$U1849=""),"",IF(INDEX(Firms!$C$5:$C$1004,$U1849)="","",INDEX(Firms!$C$5:$C$1004,$U1849)))</f>
        <v/>
      </c>
      <c r="P1849" s="79">
        <f>IF(OR($T1849="",$U1849=""),"",IF(INDEX(Firms!$N$5:$N$1004,$U1849)="","",INDEX(Firms!$N$5:$N$1004,$U1849)))</f>
        <v/>
      </c>
      <c r="Q1849" s="78">
        <f>IF($T1849="","",IF($S1849="S",IF(INDEX(Firms!$T$5:$T$1004,$T1849)="","",INDEX(Firms!$T$5:$T$1004,$T1849)),IF(INDEX('AFA Rates'!$M$5:$M$1004,$T1849)="","",INDEX('AFA Rates'!$M$5:$M$1004,$T1849))))</f>
        <v/>
      </c>
      <c r="S1849">
        <f>IF(1845&lt;=$S$2,"S",IF(1845&lt;=$S$2+$T$2,"A",""))</f>
        <v/>
      </c>
      <c r="T1849">
        <f>IF(S1849="S",MATCH(1845,Firms!$W$5:$W$1004,0),IF(S1849="A",IFERROR(MATCH(1845-$S$2,'AFA Rates'!$R$5:$R$1004,0),""),""))</f>
        <v/>
      </c>
      <c r="U1849">
        <f>IF(S1849="S",T1849,IF(AND(S1849="A",T1849&lt;&gt;""),IFERROR(MATCH(INDEX('AFA Rates'!$A$5:$A$1004,T1849),Firms!$A$5:$A$1004,0),""),""))</f>
        <v/>
      </c>
    </row>
    <row r="1850">
      <c r="A1850" s="78">
        <f>IF($T1850="","",IF($S1850="S",IF(INDEX(Firms!$A$5:$A$1004,$T1850)="","",INDEX(Firms!$A$5:$A$1004,$T1850)),IF(INDEX('AFA Rates'!$A$5:$A$1004,$T1850)="","",INDEX('AFA Rates'!$A$5:$A$1004,$T1850))))</f>
        <v/>
      </c>
      <c r="B1850" s="79">
        <f>IF(OR($T1850="",$U1850=""),IF($T1850="","","Not on Firms tab"),INDEX(Firms!$B$5:$B$1004,$U1850)&amp;"")</f>
        <v/>
      </c>
      <c r="C1850" s="78">
        <f>IF($T1850="","",IF($S1850="S","Standard",INDEX('AFA Rates'!$B$5:$B$1004,$T1850)&amp;""))</f>
        <v/>
      </c>
      <c r="D1850" s="88">
        <f>IF($T1850="","",IF($S1850="S",IF(INDEX(Firms!$E$5:$E$1004,$T1850)="","",INDEX(Firms!$E$5:$E$1004,$T1850)),IF(INDEX('AFA Rates'!$C$5:$C$1004,$T1850)="","",INDEX('AFA Rates'!$C$5:$C$1004,$T1850))))</f>
        <v/>
      </c>
      <c r="E1850" s="88">
        <f>IF($T1850="","",IF($S1850="S",IF(""="","",""),IF(INDEX('AFA Rates'!$D$5:$D$1004,$T1850)="","",INDEX('AFA Rates'!$D$5:$D$1004,$T1850))))</f>
        <v/>
      </c>
      <c r="F1850" s="79">
        <f>IF($T1850="","",IF($S1850="S",IF(INDEX(Firms!$O$5:$O$1004,$T1850)="","",INDEX(Firms!$O$5:$O$1004,$T1850)),IF(INDEX('AFA Rates'!$O$5:$O$1004,$T1850)="","",INDEX('AFA Rates'!$O$5:$O$1004,$T1850))))</f>
        <v/>
      </c>
      <c r="G1850" s="50">
        <f>IF($T1850="","",IF($S1850="S",IF(INDEX(Firms!$F$5:$F$1004,$T1850)="","",INDEX(Firms!$F$5:$F$1004,$T1850)),IF(INDEX('AFA Rates'!$E$5:$E$1004,$T1850)="","",INDEX('AFA Rates'!$E$5:$E$1004,$T1850))))</f>
        <v/>
      </c>
      <c r="H1850" s="50">
        <f>IF($T1850="","",IF($S1850="S",IF(INDEX(Firms!$G$5:$G$1004,$T1850)="","",INDEX(Firms!$G$5:$G$1004,$T1850)),IF(INDEX('AFA Rates'!$F$5:$F$1004,$T1850)="","",INDEX('AFA Rates'!$F$5:$F$1004,$T1850))))</f>
        <v/>
      </c>
      <c r="I1850" s="50">
        <f>IF($T1850="","",IF($S1850="S",IF(INDEX(Firms!$H$5:$H$1004,$T1850)="","",INDEX(Firms!$H$5:$H$1004,$T1850)),IF(INDEX('AFA Rates'!$G$5:$G$1004,$T1850)="","",INDEX('AFA Rates'!$G$5:$G$1004,$T1850))))</f>
        <v/>
      </c>
      <c r="J1850" s="50">
        <f>IF($T1850="","",IF($S1850="S",IF(INDEX(Firms!$I$5:$I$1004,$T1850)="","",INDEX(Firms!$I$5:$I$1004,$T1850)),IF(INDEX('AFA Rates'!$H$5:$H$1004,$T1850)="","",INDEX('AFA Rates'!$H$5:$H$1004,$T1850))))</f>
        <v/>
      </c>
      <c r="K1850" s="50">
        <f>IF($T1850="","",IF($S1850="S",IF(INDEX(Firms!$J$5:$J$1004,$T1850)="","",INDEX(Firms!$J$5:$J$1004,$T1850)),IF(INDEX('AFA Rates'!$I$5:$I$1004,$T1850)="","",INDEX('AFA Rates'!$I$5:$I$1004,$T1850))))</f>
        <v/>
      </c>
      <c r="L1850" s="50">
        <f>IF($T1850="","",IF($S1850="S",IF(INDEX(Firms!$K$5:$K$1004,$T1850)="","",INDEX(Firms!$K$5:$K$1004,$T1850)),IF(INDEX('AFA Rates'!$J$5:$J$1004,$T1850)="","",INDEX('AFA Rates'!$J$5:$J$1004,$T1850))))</f>
        <v/>
      </c>
      <c r="M1850" s="50">
        <f>IF($T1850="","",IF($S1850="S",IF(INDEX(Firms!$L$5:$L$1004,$T1850)="","",INDEX(Firms!$L$5:$L$1004,$T1850)),IF(INDEX('AFA Rates'!$K$5:$K$1004,$T1850)="","",INDEX('AFA Rates'!$K$5:$K$1004,$T1850))))</f>
        <v/>
      </c>
      <c r="N1850" s="50">
        <f>IF($T1850="","",IF($S1850="S",IF(INDEX(Firms!$M$5:$M$1004,$T1850)="","",INDEX(Firms!$M$5:$M$1004,$T1850)),IF(INDEX('AFA Rates'!$L$5:$L$1004,$T1850)="","",INDEX('AFA Rates'!$L$5:$L$1004,$T1850))))</f>
        <v/>
      </c>
      <c r="O1850" s="78">
        <f>IF(OR($T1850="",$U1850=""),"",IF(INDEX(Firms!$C$5:$C$1004,$U1850)="","",INDEX(Firms!$C$5:$C$1004,$U1850)))</f>
        <v/>
      </c>
      <c r="P1850" s="79">
        <f>IF(OR($T1850="",$U1850=""),"",IF(INDEX(Firms!$N$5:$N$1004,$U1850)="","",INDEX(Firms!$N$5:$N$1004,$U1850)))</f>
        <v/>
      </c>
      <c r="Q1850" s="78">
        <f>IF($T1850="","",IF($S1850="S",IF(INDEX(Firms!$T$5:$T$1004,$T1850)="","",INDEX(Firms!$T$5:$T$1004,$T1850)),IF(INDEX('AFA Rates'!$M$5:$M$1004,$T1850)="","",INDEX('AFA Rates'!$M$5:$M$1004,$T1850))))</f>
        <v/>
      </c>
      <c r="S1850">
        <f>IF(1846&lt;=$S$2,"S",IF(1846&lt;=$S$2+$T$2,"A",""))</f>
        <v/>
      </c>
      <c r="T1850">
        <f>IF(S1850="S",MATCH(1846,Firms!$W$5:$W$1004,0),IF(S1850="A",IFERROR(MATCH(1846-$S$2,'AFA Rates'!$R$5:$R$1004,0),""),""))</f>
        <v/>
      </c>
      <c r="U1850">
        <f>IF(S1850="S",T1850,IF(AND(S1850="A",T1850&lt;&gt;""),IFERROR(MATCH(INDEX('AFA Rates'!$A$5:$A$1004,T1850),Firms!$A$5:$A$1004,0),""),""))</f>
        <v/>
      </c>
    </row>
    <row r="1851">
      <c r="A1851" s="78">
        <f>IF($T1851="","",IF($S1851="S",IF(INDEX(Firms!$A$5:$A$1004,$T1851)="","",INDEX(Firms!$A$5:$A$1004,$T1851)),IF(INDEX('AFA Rates'!$A$5:$A$1004,$T1851)="","",INDEX('AFA Rates'!$A$5:$A$1004,$T1851))))</f>
        <v/>
      </c>
      <c r="B1851" s="79">
        <f>IF(OR($T1851="",$U1851=""),IF($T1851="","","Not on Firms tab"),INDEX(Firms!$B$5:$B$1004,$U1851)&amp;"")</f>
        <v/>
      </c>
      <c r="C1851" s="78">
        <f>IF($T1851="","",IF($S1851="S","Standard",INDEX('AFA Rates'!$B$5:$B$1004,$T1851)&amp;""))</f>
        <v/>
      </c>
      <c r="D1851" s="88">
        <f>IF($T1851="","",IF($S1851="S",IF(INDEX(Firms!$E$5:$E$1004,$T1851)="","",INDEX(Firms!$E$5:$E$1004,$T1851)),IF(INDEX('AFA Rates'!$C$5:$C$1004,$T1851)="","",INDEX('AFA Rates'!$C$5:$C$1004,$T1851))))</f>
        <v/>
      </c>
      <c r="E1851" s="88">
        <f>IF($T1851="","",IF($S1851="S",IF(""="","",""),IF(INDEX('AFA Rates'!$D$5:$D$1004,$T1851)="","",INDEX('AFA Rates'!$D$5:$D$1004,$T1851))))</f>
        <v/>
      </c>
      <c r="F1851" s="79">
        <f>IF($T1851="","",IF($S1851="S",IF(INDEX(Firms!$O$5:$O$1004,$T1851)="","",INDEX(Firms!$O$5:$O$1004,$T1851)),IF(INDEX('AFA Rates'!$O$5:$O$1004,$T1851)="","",INDEX('AFA Rates'!$O$5:$O$1004,$T1851))))</f>
        <v/>
      </c>
      <c r="G1851" s="50">
        <f>IF($T1851="","",IF($S1851="S",IF(INDEX(Firms!$F$5:$F$1004,$T1851)="","",INDEX(Firms!$F$5:$F$1004,$T1851)),IF(INDEX('AFA Rates'!$E$5:$E$1004,$T1851)="","",INDEX('AFA Rates'!$E$5:$E$1004,$T1851))))</f>
        <v/>
      </c>
      <c r="H1851" s="50">
        <f>IF($T1851="","",IF($S1851="S",IF(INDEX(Firms!$G$5:$G$1004,$T1851)="","",INDEX(Firms!$G$5:$G$1004,$T1851)),IF(INDEX('AFA Rates'!$F$5:$F$1004,$T1851)="","",INDEX('AFA Rates'!$F$5:$F$1004,$T1851))))</f>
        <v/>
      </c>
      <c r="I1851" s="50">
        <f>IF($T1851="","",IF($S1851="S",IF(INDEX(Firms!$H$5:$H$1004,$T1851)="","",INDEX(Firms!$H$5:$H$1004,$T1851)),IF(INDEX('AFA Rates'!$G$5:$G$1004,$T1851)="","",INDEX('AFA Rates'!$G$5:$G$1004,$T1851))))</f>
        <v/>
      </c>
      <c r="J1851" s="50">
        <f>IF($T1851="","",IF($S1851="S",IF(INDEX(Firms!$I$5:$I$1004,$T1851)="","",INDEX(Firms!$I$5:$I$1004,$T1851)),IF(INDEX('AFA Rates'!$H$5:$H$1004,$T1851)="","",INDEX('AFA Rates'!$H$5:$H$1004,$T1851))))</f>
        <v/>
      </c>
      <c r="K1851" s="50">
        <f>IF($T1851="","",IF($S1851="S",IF(INDEX(Firms!$J$5:$J$1004,$T1851)="","",INDEX(Firms!$J$5:$J$1004,$T1851)),IF(INDEX('AFA Rates'!$I$5:$I$1004,$T1851)="","",INDEX('AFA Rates'!$I$5:$I$1004,$T1851))))</f>
        <v/>
      </c>
      <c r="L1851" s="50">
        <f>IF($T1851="","",IF($S1851="S",IF(INDEX(Firms!$K$5:$K$1004,$T1851)="","",INDEX(Firms!$K$5:$K$1004,$T1851)),IF(INDEX('AFA Rates'!$J$5:$J$1004,$T1851)="","",INDEX('AFA Rates'!$J$5:$J$1004,$T1851))))</f>
        <v/>
      </c>
      <c r="M1851" s="50">
        <f>IF($T1851="","",IF($S1851="S",IF(INDEX(Firms!$L$5:$L$1004,$T1851)="","",INDEX(Firms!$L$5:$L$1004,$T1851)),IF(INDEX('AFA Rates'!$K$5:$K$1004,$T1851)="","",INDEX('AFA Rates'!$K$5:$K$1004,$T1851))))</f>
        <v/>
      </c>
      <c r="N1851" s="50">
        <f>IF($T1851="","",IF($S1851="S",IF(INDEX(Firms!$M$5:$M$1004,$T1851)="","",INDEX(Firms!$M$5:$M$1004,$T1851)),IF(INDEX('AFA Rates'!$L$5:$L$1004,$T1851)="","",INDEX('AFA Rates'!$L$5:$L$1004,$T1851))))</f>
        <v/>
      </c>
      <c r="O1851" s="78">
        <f>IF(OR($T1851="",$U1851=""),"",IF(INDEX(Firms!$C$5:$C$1004,$U1851)="","",INDEX(Firms!$C$5:$C$1004,$U1851)))</f>
        <v/>
      </c>
      <c r="P1851" s="79">
        <f>IF(OR($T1851="",$U1851=""),"",IF(INDEX(Firms!$N$5:$N$1004,$U1851)="","",INDEX(Firms!$N$5:$N$1004,$U1851)))</f>
        <v/>
      </c>
      <c r="Q1851" s="78">
        <f>IF($T1851="","",IF($S1851="S",IF(INDEX(Firms!$T$5:$T$1004,$T1851)="","",INDEX(Firms!$T$5:$T$1004,$T1851)),IF(INDEX('AFA Rates'!$M$5:$M$1004,$T1851)="","",INDEX('AFA Rates'!$M$5:$M$1004,$T1851))))</f>
        <v/>
      </c>
      <c r="S1851">
        <f>IF(1847&lt;=$S$2,"S",IF(1847&lt;=$S$2+$T$2,"A",""))</f>
        <v/>
      </c>
      <c r="T1851">
        <f>IF(S1851="S",MATCH(1847,Firms!$W$5:$W$1004,0),IF(S1851="A",IFERROR(MATCH(1847-$S$2,'AFA Rates'!$R$5:$R$1004,0),""),""))</f>
        <v/>
      </c>
      <c r="U1851">
        <f>IF(S1851="S",T1851,IF(AND(S1851="A",T1851&lt;&gt;""),IFERROR(MATCH(INDEX('AFA Rates'!$A$5:$A$1004,T1851),Firms!$A$5:$A$1004,0),""),""))</f>
        <v/>
      </c>
    </row>
    <row r="1852">
      <c r="A1852" s="78">
        <f>IF($T1852="","",IF($S1852="S",IF(INDEX(Firms!$A$5:$A$1004,$T1852)="","",INDEX(Firms!$A$5:$A$1004,$T1852)),IF(INDEX('AFA Rates'!$A$5:$A$1004,$T1852)="","",INDEX('AFA Rates'!$A$5:$A$1004,$T1852))))</f>
        <v/>
      </c>
      <c r="B1852" s="79">
        <f>IF(OR($T1852="",$U1852=""),IF($T1852="","","Not on Firms tab"),INDEX(Firms!$B$5:$B$1004,$U1852)&amp;"")</f>
        <v/>
      </c>
      <c r="C1852" s="78">
        <f>IF($T1852="","",IF($S1852="S","Standard",INDEX('AFA Rates'!$B$5:$B$1004,$T1852)&amp;""))</f>
        <v/>
      </c>
      <c r="D1852" s="88">
        <f>IF($T1852="","",IF($S1852="S",IF(INDEX(Firms!$E$5:$E$1004,$T1852)="","",INDEX(Firms!$E$5:$E$1004,$T1852)),IF(INDEX('AFA Rates'!$C$5:$C$1004,$T1852)="","",INDEX('AFA Rates'!$C$5:$C$1004,$T1852))))</f>
        <v/>
      </c>
      <c r="E1852" s="88">
        <f>IF($T1852="","",IF($S1852="S",IF(""="","",""),IF(INDEX('AFA Rates'!$D$5:$D$1004,$T1852)="","",INDEX('AFA Rates'!$D$5:$D$1004,$T1852))))</f>
        <v/>
      </c>
      <c r="F1852" s="79">
        <f>IF($T1852="","",IF($S1852="S",IF(INDEX(Firms!$O$5:$O$1004,$T1852)="","",INDEX(Firms!$O$5:$O$1004,$T1852)),IF(INDEX('AFA Rates'!$O$5:$O$1004,$T1852)="","",INDEX('AFA Rates'!$O$5:$O$1004,$T1852))))</f>
        <v/>
      </c>
      <c r="G1852" s="50">
        <f>IF($T1852="","",IF($S1852="S",IF(INDEX(Firms!$F$5:$F$1004,$T1852)="","",INDEX(Firms!$F$5:$F$1004,$T1852)),IF(INDEX('AFA Rates'!$E$5:$E$1004,$T1852)="","",INDEX('AFA Rates'!$E$5:$E$1004,$T1852))))</f>
        <v/>
      </c>
      <c r="H1852" s="50">
        <f>IF($T1852="","",IF($S1852="S",IF(INDEX(Firms!$G$5:$G$1004,$T1852)="","",INDEX(Firms!$G$5:$G$1004,$T1852)),IF(INDEX('AFA Rates'!$F$5:$F$1004,$T1852)="","",INDEX('AFA Rates'!$F$5:$F$1004,$T1852))))</f>
        <v/>
      </c>
      <c r="I1852" s="50">
        <f>IF($T1852="","",IF($S1852="S",IF(INDEX(Firms!$H$5:$H$1004,$T1852)="","",INDEX(Firms!$H$5:$H$1004,$T1852)),IF(INDEX('AFA Rates'!$G$5:$G$1004,$T1852)="","",INDEX('AFA Rates'!$G$5:$G$1004,$T1852))))</f>
        <v/>
      </c>
      <c r="J1852" s="50">
        <f>IF($T1852="","",IF($S1852="S",IF(INDEX(Firms!$I$5:$I$1004,$T1852)="","",INDEX(Firms!$I$5:$I$1004,$T1852)),IF(INDEX('AFA Rates'!$H$5:$H$1004,$T1852)="","",INDEX('AFA Rates'!$H$5:$H$1004,$T1852))))</f>
        <v/>
      </c>
      <c r="K1852" s="50">
        <f>IF($T1852="","",IF($S1852="S",IF(INDEX(Firms!$J$5:$J$1004,$T1852)="","",INDEX(Firms!$J$5:$J$1004,$T1852)),IF(INDEX('AFA Rates'!$I$5:$I$1004,$T1852)="","",INDEX('AFA Rates'!$I$5:$I$1004,$T1852))))</f>
        <v/>
      </c>
      <c r="L1852" s="50">
        <f>IF($T1852="","",IF($S1852="S",IF(INDEX(Firms!$K$5:$K$1004,$T1852)="","",INDEX(Firms!$K$5:$K$1004,$T1852)),IF(INDEX('AFA Rates'!$J$5:$J$1004,$T1852)="","",INDEX('AFA Rates'!$J$5:$J$1004,$T1852))))</f>
        <v/>
      </c>
      <c r="M1852" s="50">
        <f>IF($T1852="","",IF($S1852="S",IF(INDEX(Firms!$L$5:$L$1004,$T1852)="","",INDEX(Firms!$L$5:$L$1004,$T1852)),IF(INDEX('AFA Rates'!$K$5:$K$1004,$T1852)="","",INDEX('AFA Rates'!$K$5:$K$1004,$T1852))))</f>
        <v/>
      </c>
      <c r="N1852" s="50">
        <f>IF($T1852="","",IF($S1852="S",IF(INDEX(Firms!$M$5:$M$1004,$T1852)="","",INDEX(Firms!$M$5:$M$1004,$T1852)),IF(INDEX('AFA Rates'!$L$5:$L$1004,$T1852)="","",INDEX('AFA Rates'!$L$5:$L$1004,$T1852))))</f>
        <v/>
      </c>
      <c r="O1852" s="78">
        <f>IF(OR($T1852="",$U1852=""),"",IF(INDEX(Firms!$C$5:$C$1004,$U1852)="","",INDEX(Firms!$C$5:$C$1004,$U1852)))</f>
        <v/>
      </c>
      <c r="P1852" s="79">
        <f>IF(OR($T1852="",$U1852=""),"",IF(INDEX(Firms!$N$5:$N$1004,$U1852)="","",INDEX(Firms!$N$5:$N$1004,$U1852)))</f>
        <v/>
      </c>
      <c r="Q1852" s="78">
        <f>IF($T1852="","",IF($S1852="S",IF(INDEX(Firms!$T$5:$T$1004,$T1852)="","",INDEX(Firms!$T$5:$T$1004,$T1852)),IF(INDEX('AFA Rates'!$M$5:$M$1004,$T1852)="","",INDEX('AFA Rates'!$M$5:$M$1004,$T1852))))</f>
        <v/>
      </c>
      <c r="S1852">
        <f>IF(1848&lt;=$S$2,"S",IF(1848&lt;=$S$2+$T$2,"A",""))</f>
        <v/>
      </c>
      <c r="T1852">
        <f>IF(S1852="S",MATCH(1848,Firms!$W$5:$W$1004,0),IF(S1852="A",IFERROR(MATCH(1848-$S$2,'AFA Rates'!$R$5:$R$1004,0),""),""))</f>
        <v/>
      </c>
      <c r="U1852">
        <f>IF(S1852="S",T1852,IF(AND(S1852="A",T1852&lt;&gt;""),IFERROR(MATCH(INDEX('AFA Rates'!$A$5:$A$1004,T1852),Firms!$A$5:$A$1004,0),""),""))</f>
        <v/>
      </c>
    </row>
    <row r="1853">
      <c r="A1853" s="78">
        <f>IF($T1853="","",IF($S1853="S",IF(INDEX(Firms!$A$5:$A$1004,$T1853)="","",INDEX(Firms!$A$5:$A$1004,$T1853)),IF(INDEX('AFA Rates'!$A$5:$A$1004,$T1853)="","",INDEX('AFA Rates'!$A$5:$A$1004,$T1853))))</f>
        <v/>
      </c>
      <c r="B1853" s="79">
        <f>IF(OR($T1853="",$U1853=""),IF($T1853="","","Not on Firms tab"),INDEX(Firms!$B$5:$B$1004,$U1853)&amp;"")</f>
        <v/>
      </c>
      <c r="C1853" s="78">
        <f>IF($T1853="","",IF($S1853="S","Standard",INDEX('AFA Rates'!$B$5:$B$1004,$T1853)&amp;""))</f>
        <v/>
      </c>
      <c r="D1853" s="88">
        <f>IF($T1853="","",IF($S1853="S",IF(INDEX(Firms!$E$5:$E$1004,$T1853)="","",INDEX(Firms!$E$5:$E$1004,$T1853)),IF(INDEX('AFA Rates'!$C$5:$C$1004,$T1853)="","",INDEX('AFA Rates'!$C$5:$C$1004,$T1853))))</f>
        <v/>
      </c>
      <c r="E1853" s="88">
        <f>IF($T1853="","",IF($S1853="S",IF(""="","",""),IF(INDEX('AFA Rates'!$D$5:$D$1004,$T1853)="","",INDEX('AFA Rates'!$D$5:$D$1004,$T1853))))</f>
        <v/>
      </c>
      <c r="F1853" s="79">
        <f>IF($T1853="","",IF($S1853="S",IF(INDEX(Firms!$O$5:$O$1004,$T1853)="","",INDEX(Firms!$O$5:$O$1004,$T1853)),IF(INDEX('AFA Rates'!$O$5:$O$1004,$T1853)="","",INDEX('AFA Rates'!$O$5:$O$1004,$T1853))))</f>
        <v/>
      </c>
      <c r="G1853" s="50">
        <f>IF($T1853="","",IF($S1853="S",IF(INDEX(Firms!$F$5:$F$1004,$T1853)="","",INDEX(Firms!$F$5:$F$1004,$T1853)),IF(INDEX('AFA Rates'!$E$5:$E$1004,$T1853)="","",INDEX('AFA Rates'!$E$5:$E$1004,$T1853))))</f>
        <v/>
      </c>
      <c r="H1853" s="50">
        <f>IF($T1853="","",IF($S1853="S",IF(INDEX(Firms!$G$5:$G$1004,$T1853)="","",INDEX(Firms!$G$5:$G$1004,$T1853)),IF(INDEX('AFA Rates'!$F$5:$F$1004,$T1853)="","",INDEX('AFA Rates'!$F$5:$F$1004,$T1853))))</f>
        <v/>
      </c>
      <c r="I1853" s="50">
        <f>IF($T1853="","",IF($S1853="S",IF(INDEX(Firms!$H$5:$H$1004,$T1853)="","",INDEX(Firms!$H$5:$H$1004,$T1853)),IF(INDEX('AFA Rates'!$G$5:$G$1004,$T1853)="","",INDEX('AFA Rates'!$G$5:$G$1004,$T1853))))</f>
        <v/>
      </c>
      <c r="J1853" s="50">
        <f>IF($T1853="","",IF($S1853="S",IF(INDEX(Firms!$I$5:$I$1004,$T1853)="","",INDEX(Firms!$I$5:$I$1004,$T1853)),IF(INDEX('AFA Rates'!$H$5:$H$1004,$T1853)="","",INDEX('AFA Rates'!$H$5:$H$1004,$T1853))))</f>
        <v/>
      </c>
      <c r="K1853" s="50">
        <f>IF($T1853="","",IF($S1853="S",IF(INDEX(Firms!$J$5:$J$1004,$T1853)="","",INDEX(Firms!$J$5:$J$1004,$T1853)),IF(INDEX('AFA Rates'!$I$5:$I$1004,$T1853)="","",INDEX('AFA Rates'!$I$5:$I$1004,$T1853))))</f>
        <v/>
      </c>
      <c r="L1853" s="50">
        <f>IF($T1853="","",IF($S1853="S",IF(INDEX(Firms!$K$5:$K$1004,$T1853)="","",INDEX(Firms!$K$5:$K$1004,$T1853)),IF(INDEX('AFA Rates'!$J$5:$J$1004,$T1853)="","",INDEX('AFA Rates'!$J$5:$J$1004,$T1853))))</f>
        <v/>
      </c>
      <c r="M1853" s="50">
        <f>IF($T1853="","",IF($S1853="S",IF(INDEX(Firms!$L$5:$L$1004,$T1853)="","",INDEX(Firms!$L$5:$L$1004,$T1853)),IF(INDEX('AFA Rates'!$K$5:$K$1004,$T1853)="","",INDEX('AFA Rates'!$K$5:$K$1004,$T1853))))</f>
        <v/>
      </c>
      <c r="N1853" s="50">
        <f>IF($T1853="","",IF($S1853="S",IF(INDEX(Firms!$M$5:$M$1004,$T1853)="","",INDEX(Firms!$M$5:$M$1004,$T1853)),IF(INDEX('AFA Rates'!$L$5:$L$1004,$T1853)="","",INDEX('AFA Rates'!$L$5:$L$1004,$T1853))))</f>
        <v/>
      </c>
      <c r="O1853" s="78">
        <f>IF(OR($T1853="",$U1853=""),"",IF(INDEX(Firms!$C$5:$C$1004,$U1853)="","",INDEX(Firms!$C$5:$C$1004,$U1853)))</f>
        <v/>
      </c>
      <c r="P1853" s="79">
        <f>IF(OR($T1853="",$U1853=""),"",IF(INDEX(Firms!$N$5:$N$1004,$U1853)="","",INDEX(Firms!$N$5:$N$1004,$U1853)))</f>
        <v/>
      </c>
      <c r="Q1853" s="78">
        <f>IF($T1853="","",IF($S1853="S",IF(INDEX(Firms!$T$5:$T$1004,$T1853)="","",INDEX(Firms!$T$5:$T$1004,$T1853)),IF(INDEX('AFA Rates'!$M$5:$M$1004,$T1853)="","",INDEX('AFA Rates'!$M$5:$M$1004,$T1853))))</f>
        <v/>
      </c>
      <c r="S1853">
        <f>IF(1849&lt;=$S$2,"S",IF(1849&lt;=$S$2+$T$2,"A",""))</f>
        <v/>
      </c>
      <c r="T1853">
        <f>IF(S1853="S",MATCH(1849,Firms!$W$5:$W$1004,0),IF(S1853="A",IFERROR(MATCH(1849-$S$2,'AFA Rates'!$R$5:$R$1004,0),""),""))</f>
        <v/>
      </c>
      <c r="U1853">
        <f>IF(S1853="S",T1853,IF(AND(S1853="A",T1853&lt;&gt;""),IFERROR(MATCH(INDEX('AFA Rates'!$A$5:$A$1004,T1853),Firms!$A$5:$A$1004,0),""),""))</f>
        <v/>
      </c>
    </row>
    <row r="1854">
      <c r="A1854" s="78">
        <f>IF($T1854="","",IF($S1854="S",IF(INDEX(Firms!$A$5:$A$1004,$T1854)="","",INDEX(Firms!$A$5:$A$1004,$T1854)),IF(INDEX('AFA Rates'!$A$5:$A$1004,$T1854)="","",INDEX('AFA Rates'!$A$5:$A$1004,$T1854))))</f>
        <v/>
      </c>
      <c r="B1854" s="79">
        <f>IF(OR($T1854="",$U1854=""),IF($T1854="","","Not on Firms tab"),INDEX(Firms!$B$5:$B$1004,$U1854)&amp;"")</f>
        <v/>
      </c>
      <c r="C1854" s="78">
        <f>IF($T1854="","",IF($S1854="S","Standard",INDEX('AFA Rates'!$B$5:$B$1004,$T1854)&amp;""))</f>
        <v/>
      </c>
      <c r="D1854" s="88">
        <f>IF($T1854="","",IF($S1854="S",IF(INDEX(Firms!$E$5:$E$1004,$T1854)="","",INDEX(Firms!$E$5:$E$1004,$T1854)),IF(INDEX('AFA Rates'!$C$5:$C$1004,$T1854)="","",INDEX('AFA Rates'!$C$5:$C$1004,$T1854))))</f>
        <v/>
      </c>
      <c r="E1854" s="88">
        <f>IF($T1854="","",IF($S1854="S",IF(""="","",""),IF(INDEX('AFA Rates'!$D$5:$D$1004,$T1854)="","",INDEX('AFA Rates'!$D$5:$D$1004,$T1854))))</f>
        <v/>
      </c>
      <c r="F1854" s="79">
        <f>IF($T1854="","",IF($S1854="S",IF(INDEX(Firms!$O$5:$O$1004,$T1854)="","",INDEX(Firms!$O$5:$O$1004,$T1854)),IF(INDEX('AFA Rates'!$O$5:$O$1004,$T1854)="","",INDEX('AFA Rates'!$O$5:$O$1004,$T1854))))</f>
        <v/>
      </c>
      <c r="G1854" s="50">
        <f>IF($T1854="","",IF($S1854="S",IF(INDEX(Firms!$F$5:$F$1004,$T1854)="","",INDEX(Firms!$F$5:$F$1004,$T1854)),IF(INDEX('AFA Rates'!$E$5:$E$1004,$T1854)="","",INDEX('AFA Rates'!$E$5:$E$1004,$T1854))))</f>
        <v/>
      </c>
      <c r="H1854" s="50">
        <f>IF($T1854="","",IF($S1854="S",IF(INDEX(Firms!$G$5:$G$1004,$T1854)="","",INDEX(Firms!$G$5:$G$1004,$T1854)),IF(INDEX('AFA Rates'!$F$5:$F$1004,$T1854)="","",INDEX('AFA Rates'!$F$5:$F$1004,$T1854))))</f>
        <v/>
      </c>
      <c r="I1854" s="50">
        <f>IF($T1854="","",IF($S1854="S",IF(INDEX(Firms!$H$5:$H$1004,$T1854)="","",INDEX(Firms!$H$5:$H$1004,$T1854)),IF(INDEX('AFA Rates'!$G$5:$G$1004,$T1854)="","",INDEX('AFA Rates'!$G$5:$G$1004,$T1854))))</f>
        <v/>
      </c>
      <c r="J1854" s="50">
        <f>IF($T1854="","",IF($S1854="S",IF(INDEX(Firms!$I$5:$I$1004,$T1854)="","",INDEX(Firms!$I$5:$I$1004,$T1854)),IF(INDEX('AFA Rates'!$H$5:$H$1004,$T1854)="","",INDEX('AFA Rates'!$H$5:$H$1004,$T1854))))</f>
        <v/>
      </c>
      <c r="K1854" s="50">
        <f>IF($T1854="","",IF($S1854="S",IF(INDEX(Firms!$J$5:$J$1004,$T1854)="","",INDEX(Firms!$J$5:$J$1004,$T1854)),IF(INDEX('AFA Rates'!$I$5:$I$1004,$T1854)="","",INDEX('AFA Rates'!$I$5:$I$1004,$T1854))))</f>
        <v/>
      </c>
      <c r="L1854" s="50">
        <f>IF($T1854="","",IF($S1854="S",IF(INDEX(Firms!$K$5:$K$1004,$T1854)="","",INDEX(Firms!$K$5:$K$1004,$T1854)),IF(INDEX('AFA Rates'!$J$5:$J$1004,$T1854)="","",INDEX('AFA Rates'!$J$5:$J$1004,$T1854))))</f>
        <v/>
      </c>
      <c r="M1854" s="50">
        <f>IF($T1854="","",IF($S1854="S",IF(INDEX(Firms!$L$5:$L$1004,$T1854)="","",INDEX(Firms!$L$5:$L$1004,$T1854)),IF(INDEX('AFA Rates'!$K$5:$K$1004,$T1854)="","",INDEX('AFA Rates'!$K$5:$K$1004,$T1854))))</f>
        <v/>
      </c>
      <c r="N1854" s="50">
        <f>IF($T1854="","",IF($S1854="S",IF(INDEX(Firms!$M$5:$M$1004,$T1854)="","",INDEX(Firms!$M$5:$M$1004,$T1854)),IF(INDEX('AFA Rates'!$L$5:$L$1004,$T1854)="","",INDEX('AFA Rates'!$L$5:$L$1004,$T1854))))</f>
        <v/>
      </c>
      <c r="O1854" s="78">
        <f>IF(OR($T1854="",$U1854=""),"",IF(INDEX(Firms!$C$5:$C$1004,$U1854)="","",INDEX(Firms!$C$5:$C$1004,$U1854)))</f>
        <v/>
      </c>
      <c r="P1854" s="79">
        <f>IF(OR($T1854="",$U1854=""),"",IF(INDEX(Firms!$N$5:$N$1004,$U1854)="","",INDEX(Firms!$N$5:$N$1004,$U1854)))</f>
        <v/>
      </c>
      <c r="Q1854" s="78">
        <f>IF($T1854="","",IF($S1854="S",IF(INDEX(Firms!$T$5:$T$1004,$T1854)="","",INDEX(Firms!$T$5:$T$1004,$T1854)),IF(INDEX('AFA Rates'!$M$5:$M$1004,$T1854)="","",INDEX('AFA Rates'!$M$5:$M$1004,$T1854))))</f>
        <v/>
      </c>
      <c r="S1854">
        <f>IF(1850&lt;=$S$2,"S",IF(1850&lt;=$S$2+$T$2,"A",""))</f>
        <v/>
      </c>
      <c r="T1854">
        <f>IF(S1854="S",MATCH(1850,Firms!$W$5:$W$1004,0),IF(S1854="A",IFERROR(MATCH(1850-$S$2,'AFA Rates'!$R$5:$R$1004,0),""),""))</f>
        <v/>
      </c>
      <c r="U1854">
        <f>IF(S1854="S",T1854,IF(AND(S1854="A",T1854&lt;&gt;""),IFERROR(MATCH(INDEX('AFA Rates'!$A$5:$A$1004,T1854),Firms!$A$5:$A$1004,0),""),""))</f>
        <v/>
      </c>
    </row>
    <row r="1855">
      <c r="A1855" s="78">
        <f>IF($T1855="","",IF($S1855="S",IF(INDEX(Firms!$A$5:$A$1004,$T1855)="","",INDEX(Firms!$A$5:$A$1004,$T1855)),IF(INDEX('AFA Rates'!$A$5:$A$1004,$T1855)="","",INDEX('AFA Rates'!$A$5:$A$1004,$T1855))))</f>
        <v/>
      </c>
      <c r="B1855" s="79">
        <f>IF(OR($T1855="",$U1855=""),IF($T1855="","","Not on Firms tab"),INDEX(Firms!$B$5:$B$1004,$U1855)&amp;"")</f>
        <v/>
      </c>
      <c r="C1855" s="78">
        <f>IF($T1855="","",IF($S1855="S","Standard",INDEX('AFA Rates'!$B$5:$B$1004,$T1855)&amp;""))</f>
        <v/>
      </c>
      <c r="D1855" s="88">
        <f>IF($T1855="","",IF($S1855="S",IF(INDEX(Firms!$E$5:$E$1004,$T1855)="","",INDEX(Firms!$E$5:$E$1004,$T1855)),IF(INDEX('AFA Rates'!$C$5:$C$1004,$T1855)="","",INDEX('AFA Rates'!$C$5:$C$1004,$T1855))))</f>
        <v/>
      </c>
      <c r="E1855" s="88">
        <f>IF($T1855="","",IF($S1855="S",IF(""="","",""),IF(INDEX('AFA Rates'!$D$5:$D$1004,$T1855)="","",INDEX('AFA Rates'!$D$5:$D$1004,$T1855))))</f>
        <v/>
      </c>
      <c r="F1855" s="79">
        <f>IF($T1855="","",IF($S1855="S",IF(INDEX(Firms!$O$5:$O$1004,$T1855)="","",INDEX(Firms!$O$5:$O$1004,$T1855)),IF(INDEX('AFA Rates'!$O$5:$O$1004,$T1855)="","",INDEX('AFA Rates'!$O$5:$O$1004,$T1855))))</f>
        <v/>
      </c>
      <c r="G1855" s="50">
        <f>IF($T1855="","",IF($S1855="S",IF(INDEX(Firms!$F$5:$F$1004,$T1855)="","",INDEX(Firms!$F$5:$F$1004,$T1855)),IF(INDEX('AFA Rates'!$E$5:$E$1004,$T1855)="","",INDEX('AFA Rates'!$E$5:$E$1004,$T1855))))</f>
        <v/>
      </c>
      <c r="H1855" s="50">
        <f>IF($T1855="","",IF($S1855="S",IF(INDEX(Firms!$G$5:$G$1004,$T1855)="","",INDEX(Firms!$G$5:$G$1004,$T1855)),IF(INDEX('AFA Rates'!$F$5:$F$1004,$T1855)="","",INDEX('AFA Rates'!$F$5:$F$1004,$T1855))))</f>
        <v/>
      </c>
      <c r="I1855" s="50">
        <f>IF($T1855="","",IF($S1855="S",IF(INDEX(Firms!$H$5:$H$1004,$T1855)="","",INDEX(Firms!$H$5:$H$1004,$T1855)),IF(INDEX('AFA Rates'!$G$5:$G$1004,$T1855)="","",INDEX('AFA Rates'!$G$5:$G$1004,$T1855))))</f>
        <v/>
      </c>
      <c r="J1855" s="50">
        <f>IF($T1855="","",IF($S1855="S",IF(INDEX(Firms!$I$5:$I$1004,$T1855)="","",INDEX(Firms!$I$5:$I$1004,$T1855)),IF(INDEX('AFA Rates'!$H$5:$H$1004,$T1855)="","",INDEX('AFA Rates'!$H$5:$H$1004,$T1855))))</f>
        <v/>
      </c>
      <c r="K1855" s="50">
        <f>IF($T1855="","",IF($S1855="S",IF(INDEX(Firms!$J$5:$J$1004,$T1855)="","",INDEX(Firms!$J$5:$J$1004,$T1855)),IF(INDEX('AFA Rates'!$I$5:$I$1004,$T1855)="","",INDEX('AFA Rates'!$I$5:$I$1004,$T1855))))</f>
        <v/>
      </c>
      <c r="L1855" s="50">
        <f>IF($T1855="","",IF($S1855="S",IF(INDEX(Firms!$K$5:$K$1004,$T1855)="","",INDEX(Firms!$K$5:$K$1004,$T1855)),IF(INDEX('AFA Rates'!$J$5:$J$1004,$T1855)="","",INDEX('AFA Rates'!$J$5:$J$1004,$T1855))))</f>
        <v/>
      </c>
      <c r="M1855" s="50">
        <f>IF($T1855="","",IF($S1855="S",IF(INDEX(Firms!$L$5:$L$1004,$T1855)="","",INDEX(Firms!$L$5:$L$1004,$T1855)),IF(INDEX('AFA Rates'!$K$5:$K$1004,$T1855)="","",INDEX('AFA Rates'!$K$5:$K$1004,$T1855))))</f>
        <v/>
      </c>
      <c r="N1855" s="50">
        <f>IF($T1855="","",IF($S1855="S",IF(INDEX(Firms!$M$5:$M$1004,$T1855)="","",INDEX(Firms!$M$5:$M$1004,$T1855)),IF(INDEX('AFA Rates'!$L$5:$L$1004,$T1855)="","",INDEX('AFA Rates'!$L$5:$L$1004,$T1855))))</f>
        <v/>
      </c>
      <c r="O1855" s="78">
        <f>IF(OR($T1855="",$U1855=""),"",IF(INDEX(Firms!$C$5:$C$1004,$U1855)="","",INDEX(Firms!$C$5:$C$1004,$U1855)))</f>
        <v/>
      </c>
      <c r="P1855" s="79">
        <f>IF(OR($T1855="",$U1855=""),"",IF(INDEX(Firms!$N$5:$N$1004,$U1855)="","",INDEX(Firms!$N$5:$N$1004,$U1855)))</f>
        <v/>
      </c>
      <c r="Q1855" s="78">
        <f>IF($T1855="","",IF($S1855="S",IF(INDEX(Firms!$T$5:$T$1004,$T1855)="","",INDEX(Firms!$T$5:$T$1004,$T1855)),IF(INDEX('AFA Rates'!$M$5:$M$1004,$T1855)="","",INDEX('AFA Rates'!$M$5:$M$1004,$T1855))))</f>
        <v/>
      </c>
      <c r="S1855">
        <f>IF(1851&lt;=$S$2,"S",IF(1851&lt;=$S$2+$T$2,"A",""))</f>
        <v/>
      </c>
      <c r="T1855">
        <f>IF(S1855="S",MATCH(1851,Firms!$W$5:$W$1004,0),IF(S1855="A",IFERROR(MATCH(1851-$S$2,'AFA Rates'!$R$5:$R$1004,0),""),""))</f>
        <v/>
      </c>
      <c r="U1855">
        <f>IF(S1855="S",T1855,IF(AND(S1855="A",T1855&lt;&gt;""),IFERROR(MATCH(INDEX('AFA Rates'!$A$5:$A$1004,T1855),Firms!$A$5:$A$1004,0),""),""))</f>
        <v/>
      </c>
    </row>
    <row r="1856">
      <c r="A1856" s="78">
        <f>IF($T1856="","",IF($S1856="S",IF(INDEX(Firms!$A$5:$A$1004,$T1856)="","",INDEX(Firms!$A$5:$A$1004,$T1856)),IF(INDEX('AFA Rates'!$A$5:$A$1004,$T1856)="","",INDEX('AFA Rates'!$A$5:$A$1004,$T1856))))</f>
        <v/>
      </c>
      <c r="B1856" s="79">
        <f>IF(OR($T1856="",$U1856=""),IF($T1856="","","Not on Firms tab"),INDEX(Firms!$B$5:$B$1004,$U1856)&amp;"")</f>
        <v/>
      </c>
      <c r="C1856" s="78">
        <f>IF($T1856="","",IF($S1856="S","Standard",INDEX('AFA Rates'!$B$5:$B$1004,$T1856)&amp;""))</f>
        <v/>
      </c>
      <c r="D1856" s="88">
        <f>IF($T1856="","",IF($S1856="S",IF(INDEX(Firms!$E$5:$E$1004,$T1856)="","",INDEX(Firms!$E$5:$E$1004,$T1856)),IF(INDEX('AFA Rates'!$C$5:$C$1004,$T1856)="","",INDEX('AFA Rates'!$C$5:$C$1004,$T1856))))</f>
        <v/>
      </c>
      <c r="E1856" s="88">
        <f>IF($T1856="","",IF($S1856="S",IF(""="","",""),IF(INDEX('AFA Rates'!$D$5:$D$1004,$T1856)="","",INDEX('AFA Rates'!$D$5:$D$1004,$T1856))))</f>
        <v/>
      </c>
      <c r="F1856" s="79">
        <f>IF($T1856="","",IF($S1856="S",IF(INDEX(Firms!$O$5:$O$1004,$T1856)="","",INDEX(Firms!$O$5:$O$1004,$T1856)),IF(INDEX('AFA Rates'!$O$5:$O$1004,$T1856)="","",INDEX('AFA Rates'!$O$5:$O$1004,$T1856))))</f>
        <v/>
      </c>
      <c r="G1856" s="50">
        <f>IF($T1856="","",IF($S1856="S",IF(INDEX(Firms!$F$5:$F$1004,$T1856)="","",INDEX(Firms!$F$5:$F$1004,$T1856)),IF(INDEX('AFA Rates'!$E$5:$E$1004,$T1856)="","",INDEX('AFA Rates'!$E$5:$E$1004,$T1856))))</f>
        <v/>
      </c>
      <c r="H1856" s="50">
        <f>IF($T1856="","",IF($S1856="S",IF(INDEX(Firms!$G$5:$G$1004,$T1856)="","",INDEX(Firms!$G$5:$G$1004,$T1856)),IF(INDEX('AFA Rates'!$F$5:$F$1004,$T1856)="","",INDEX('AFA Rates'!$F$5:$F$1004,$T1856))))</f>
        <v/>
      </c>
      <c r="I1856" s="50">
        <f>IF($T1856="","",IF($S1856="S",IF(INDEX(Firms!$H$5:$H$1004,$T1856)="","",INDEX(Firms!$H$5:$H$1004,$T1856)),IF(INDEX('AFA Rates'!$G$5:$G$1004,$T1856)="","",INDEX('AFA Rates'!$G$5:$G$1004,$T1856))))</f>
        <v/>
      </c>
      <c r="J1856" s="50">
        <f>IF($T1856="","",IF($S1856="S",IF(INDEX(Firms!$I$5:$I$1004,$T1856)="","",INDEX(Firms!$I$5:$I$1004,$T1856)),IF(INDEX('AFA Rates'!$H$5:$H$1004,$T1856)="","",INDEX('AFA Rates'!$H$5:$H$1004,$T1856))))</f>
        <v/>
      </c>
      <c r="K1856" s="50">
        <f>IF($T1856="","",IF($S1856="S",IF(INDEX(Firms!$J$5:$J$1004,$T1856)="","",INDEX(Firms!$J$5:$J$1004,$T1856)),IF(INDEX('AFA Rates'!$I$5:$I$1004,$T1856)="","",INDEX('AFA Rates'!$I$5:$I$1004,$T1856))))</f>
        <v/>
      </c>
      <c r="L1856" s="50">
        <f>IF($T1856="","",IF($S1856="S",IF(INDEX(Firms!$K$5:$K$1004,$T1856)="","",INDEX(Firms!$K$5:$K$1004,$T1856)),IF(INDEX('AFA Rates'!$J$5:$J$1004,$T1856)="","",INDEX('AFA Rates'!$J$5:$J$1004,$T1856))))</f>
        <v/>
      </c>
      <c r="M1856" s="50">
        <f>IF($T1856="","",IF($S1856="S",IF(INDEX(Firms!$L$5:$L$1004,$T1856)="","",INDEX(Firms!$L$5:$L$1004,$T1856)),IF(INDEX('AFA Rates'!$K$5:$K$1004,$T1856)="","",INDEX('AFA Rates'!$K$5:$K$1004,$T1856))))</f>
        <v/>
      </c>
      <c r="N1856" s="50">
        <f>IF($T1856="","",IF($S1856="S",IF(INDEX(Firms!$M$5:$M$1004,$T1856)="","",INDEX(Firms!$M$5:$M$1004,$T1856)),IF(INDEX('AFA Rates'!$L$5:$L$1004,$T1856)="","",INDEX('AFA Rates'!$L$5:$L$1004,$T1856))))</f>
        <v/>
      </c>
      <c r="O1856" s="78">
        <f>IF(OR($T1856="",$U1856=""),"",IF(INDEX(Firms!$C$5:$C$1004,$U1856)="","",INDEX(Firms!$C$5:$C$1004,$U1856)))</f>
        <v/>
      </c>
      <c r="P1856" s="79">
        <f>IF(OR($T1856="",$U1856=""),"",IF(INDEX(Firms!$N$5:$N$1004,$U1856)="","",INDEX(Firms!$N$5:$N$1004,$U1856)))</f>
        <v/>
      </c>
      <c r="Q1856" s="78">
        <f>IF($T1856="","",IF($S1856="S",IF(INDEX(Firms!$T$5:$T$1004,$T1856)="","",INDEX(Firms!$T$5:$T$1004,$T1856)),IF(INDEX('AFA Rates'!$M$5:$M$1004,$T1856)="","",INDEX('AFA Rates'!$M$5:$M$1004,$T1856))))</f>
        <v/>
      </c>
      <c r="S1856">
        <f>IF(1852&lt;=$S$2,"S",IF(1852&lt;=$S$2+$T$2,"A",""))</f>
        <v/>
      </c>
      <c r="T1856">
        <f>IF(S1856="S",MATCH(1852,Firms!$W$5:$W$1004,0),IF(S1856="A",IFERROR(MATCH(1852-$S$2,'AFA Rates'!$R$5:$R$1004,0),""),""))</f>
        <v/>
      </c>
      <c r="U1856">
        <f>IF(S1856="S",T1856,IF(AND(S1856="A",T1856&lt;&gt;""),IFERROR(MATCH(INDEX('AFA Rates'!$A$5:$A$1004,T1856),Firms!$A$5:$A$1004,0),""),""))</f>
        <v/>
      </c>
    </row>
    <row r="1857">
      <c r="A1857" s="78">
        <f>IF($T1857="","",IF($S1857="S",IF(INDEX(Firms!$A$5:$A$1004,$T1857)="","",INDEX(Firms!$A$5:$A$1004,$T1857)),IF(INDEX('AFA Rates'!$A$5:$A$1004,$T1857)="","",INDEX('AFA Rates'!$A$5:$A$1004,$T1857))))</f>
        <v/>
      </c>
      <c r="B1857" s="79">
        <f>IF(OR($T1857="",$U1857=""),IF($T1857="","","Not on Firms tab"),INDEX(Firms!$B$5:$B$1004,$U1857)&amp;"")</f>
        <v/>
      </c>
      <c r="C1857" s="78">
        <f>IF($T1857="","",IF($S1857="S","Standard",INDEX('AFA Rates'!$B$5:$B$1004,$T1857)&amp;""))</f>
        <v/>
      </c>
      <c r="D1857" s="88">
        <f>IF($T1857="","",IF($S1857="S",IF(INDEX(Firms!$E$5:$E$1004,$T1857)="","",INDEX(Firms!$E$5:$E$1004,$T1857)),IF(INDEX('AFA Rates'!$C$5:$C$1004,$T1857)="","",INDEX('AFA Rates'!$C$5:$C$1004,$T1857))))</f>
        <v/>
      </c>
      <c r="E1857" s="88">
        <f>IF($T1857="","",IF($S1857="S",IF(""="","",""),IF(INDEX('AFA Rates'!$D$5:$D$1004,$T1857)="","",INDEX('AFA Rates'!$D$5:$D$1004,$T1857))))</f>
        <v/>
      </c>
      <c r="F1857" s="79">
        <f>IF($T1857="","",IF($S1857="S",IF(INDEX(Firms!$O$5:$O$1004,$T1857)="","",INDEX(Firms!$O$5:$O$1004,$T1857)),IF(INDEX('AFA Rates'!$O$5:$O$1004,$T1857)="","",INDEX('AFA Rates'!$O$5:$O$1004,$T1857))))</f>
        <v/>
      </c>
      <c r="G1857" s="50">
        <f>IF($T1857="","",IF($S1857="S",IF(INDEX(Firms!$F$5:$F$1004,$T1857)="","",INDEX(Firms!$F$5:$F$1004,$T1857)),IF(INDEX('AFA Rates'!$E$5:$E$1004,$T1857)="","",INDEX('AFA Rates'!$E$5:$E$1004,$T1857))))</f>
        <v/>
      </c>
      <c r="H1857" s="50">
        <f>IF($T1857="","",IF($S1857="S",IF(INDEX(Firms!$G$5:$G$1004,$T1857)="","",INDEX(Firms!$G$5:$G$1004,$T1857)),IF(INDEX('AFA Rates'!$F$5:$F$1004,$T1857)="","",INDEX('AFA Rates'!$F$5:$F$1004,$T1857))))</f>
        <v/>
      </c>
      <c r="I1857" s="50">
        <f>IF($T1857="","",IF($S1857="S",IF(INDEX(Firms!$H$5:$H$1004,$T1857)="","",INDEX(Firms!$H$5:$H$1004,$T1857)),IF(INDEX('AFA Rates'!$G$5:$G$1004,$T1857)="","",INDEX('AFA Rates'!$G$5:$G$1004,$T1857))))</f>
        <v/>
      </c>
      <c r="J1857" s="50">
        <f>IF($T1857="","",IF($S1857="S",IF(INDEX(Firms!$I$5:$I$1004,$T1857)="","",INDEX(Firms!$I$5:$I$1004,$T1857)),IF(INDEX('AFA Rates'!$H$5:$H$1004,$T1857)="","",INDEX('AFA Rates'!$H$5:$H$1004,$T1857))))</f>
        <v/>
      </c>
      <c r="K1857" s="50">
        <f>IF($T1857="","",IF($S1857="S",IF(INDEX(Firms!$J$5:$J$1004,$T1857)="","",INDEX(Firms!$J$5:$J$1004,$T1857)),IF(INDEX('AFA Rates'!$I$5:$I$1004,$T1857)="","",INDEX('AFA Rates'!$I$5:$I$1004,$T1857))))</f>
        <v/>
      </c>
      <c r="L1857" s="50">
        <f>IF($T1857="","",IF($S1857="S",IF(INDEX(Firms!$K$5:$K$1004,$T1857)="","",INDEX(Firms!$K$5:$K$1004,$T1857)),IF(INDEX('AFA Rates'!$J$5:$J$1004,$T1857)="","",INDEX('AFA Rates'!$J$5:$J$1004,$T1857))))</f>
        <v/>
      </c>
      <c r="M1857" s="50">
        <f>IF($T1857="","",IF($S1857="S",IF(INDEX(Firms!$L$5:$L$1004,$T1857)="","",INDEX(Firms!$L$5:$L$1004,$T1857)),IF(INDEX('AFA Rates'!$K$5:$K$1004,$T1857)="","",INDEX('AFA Rates'!$K$5:$K$1004,$T1857))))</f>
        <v/>
      </c>
      <c r="N1857" s="50">
        <f>IF($T1857="","",IF($S1857="S",IF(INDEX(Firms!$M$5:$M$1004,$T1857)="","",INDEX(Firms!$M$5:$M$1004,$T1857)),IF(INDEX('AFA Rates'!$L$5:$L$1004,$T1857)="","",INDEX('AFA Rates'!$L$5:$L$1004,$T1857))))</f>
        <v/>
      </c>
      <c r="O1857" s="78">
        <f>IF(OR($T1857="",$U1857=""),"",IF(INDEX(Firms!$C$5:$C$1004,$U1857)="","",INDEX(Firms!$C$5:$C$1004,$U1857)))</f>
        <v/>
      </c>
      <c r="P1857" s="79">
        <f>IF(OR($T1857="",$U1857=""),"",IF(INDEX(Firms!$N$5:$N$1004,$U1857)="","",INDEX(Firms!$N$5:$N$1004,$U1857)))</f>
        <v/>
      </c>
      <c r="Q1857" s="78">
        <f>IF($T1857="","",IF($S1857="S",IF(INDEX(Firms!$T$5:$T$1004,$T1857)="","",INDEX(Firms!$T$5:$T$1004,$T1857)),IF(INDEX('AFA Rates'!$M$5:$M$1004,$T1857)="","",INDEX('AFA Rates'!$M$5:$M$1004,$T1857))))</f>
        <v/>
      </c>
      <c r="S1857">
        <f>IF(1853&lt;=$S$2,"S",IF(1853&lt;=$S$2+$T$2,"A",""))</f>
        <v/>
      </c>
      <c r="T1857">
        <f>IF(S1857="S",MATCH(1853,Firms!$W$5:$W$1004,0),IF(S1857="A",IFERROR(MATCH(1853-$S$2,'AFA Rates'!$R$5:$R$1004,0),""),""))</f>
        <v/>
      </c>
      <c r="U1857">
        <f>IF(S1857="S",T1857,IF(AND(S1857="A",T1857&lt;&gt;""),IFERROR(MATCH(INDEX('AFA Rates'!$A$5:$A$1004,T1857),Firms!$A$5:$A$1004,0),""),""))</f>
        <v/>
      </c>
    </row>
    <row r="1858">
      <c r="A1858" s="78">
        <f>IF($T1858="","",IF($S1858="S",IF(INDEX(Firms!$A$5:$A$1004,$T1858)="","",INDEX(Firms!$A$5:$A$1004,$T1858)),IF(INDEX('AFA Rates'!$A$5:$A$1004,$T1858)="","",INDEX('AFA Rates'!$A$5:$A$1004,$T1858))))</f>
        <v/>
      </c>
      <c r="B1858" s="79">
        <f>IF(OR($T1858="",$U1858=""),IF($T1858="","","Not on Firms tab"),INDEX(Firms!$B$5:$B$1004,$U1858)&amp;"")</f>
        <v/>
      </c>
      <c r="C1858" s="78">
        <f>IF($T1858="","",IF($S1858="S","Standard",INDEX('AFA Rates'!$B$5:$B$1004,$T1858)&amp;""))</f>
        <v/>
      </c>
      <c r="D1858" s="88">
        <f>IF($T1858="","",IF($S1858="S",IF(INDEX(Firms!$E$5:$E$1004,$T1858)="","",INDEX(Firms!$E$5:$E$1004,$T1858)),IF(INDEX('AFA Rates'!$C$5:$C$1004,$T1858)="","",INDEX('AFA Rates'!$C$5:$C$1004,$T1858))))</f>
        <v/>
      </c>
      <c r="E1858" s="88">
        <f>IF($T1858="","",IF($S1858="S",IF(""="","",""),IF(INDEX('AFA Rates'!$D$5:$D$1004,$T1858)="","",INDEX('AFA Rates'!$D$5:$D$1004,$T1858))))</f>
        <v/>
      </c>
      <c r="F1858" s="79">
        <f>IF($T1858="","",IF($S1858="S",IF(INDEX(Firms!$O$5:$O$1004,$T1858)="","",INDEX(Firms!$O$5:$O$1004,$T1858)),IF(INDEX('AFA Rates'!$O$5:$O$1004,$T1858)="","",INDEX('AFA Rates'!$O$5:$O$1004,$T1858))))</f>
        <v/>
      </c>
      <c r="G1858" s="50">
        <f>IF($T1858="","",IF($S1858="S",IF(INDEX(Firms!$F$5:$F$1004,$T1858)="","",INDEX(Firms!$F$5:$F$1004,$T1858)),IF(INDEX('AFA Rates'!$E$5:$E$1004,$T1858)="","",INDEX('AFA Rates'!$E$5:$E$1004,$T1858))))</f>
        <v/>
      </c>
      <c r="H1858" s="50">
        <f>IF($T1858="","",IF($S1858="S",IF(INDEX(Firms!$G$5:$G$1004,$T1858)="","",INDEX(Firms!$G$5:$G$1004,$T1858)),IF(INDEX('AFA Rates'!$F$5:$F$1004,$T1858)="","",INDEX('AFA Rates'!$F$5:$F$1004,$T1858))))</f>
        <v/>
      </c>
      <c r="I1858" s="50">
        <f>IF($T1858="","",IF($S1858="S",IF(INDEX(Firms!$H$5:$H$1004,$T1858)="","",INDEX(Firms!$H$5:$H$1004,$T1858)),IF(INDEX('AFA Rates'!$G$5:$G$1004,$T1858)="","",INDEX('AFA Rates'!$G$5:$G$1004,$T1858))))</f>
        <v/>
      </c>
      <c r="J1858" s="50">
        <f>IF($T1858="","",IF($S1858="S",IF(INDEX(Firms!$I$5:$I$1004,$T1858)="","",INDEX(Firms!$I$5:$I$1004,$T1858)),IF(INDEX('AFA Rates'!$H$5:$H$1004,$T1858)="","",INDEX('AFA Rates'!$H$5:$H$1004,$T1858))))</f>
        <v/>
      </c>
      <c r="K1858" s="50">
        <f>IF($T1858="","",IF($S1858="S",IF(INDEX(Firms!$J$5:$J$1004,$T1858)="","",INDEX(Firms!$J$5:$J$1004,$T1858)),IF(INDEX('AFA Rates'!$I$5:$I$1004,$T1858)="","",INDEX('AFA Rates'!$I$5:$I$1004,$T1858))))</f>
        <v/>
      </c>
      <c r="L1858" s="50">
        <f>IF($T1858="","",IF($S1858="S",IF(INDEX(Firms!$K$5:$K$1004,$T1858)="","",INDEX(Firms!$K$5:$K$1004,$T1858)),IF(INDEX('AFA Rates'!$J$5:$J$1004,$T1858)="","",INDEX('AFA Rates'!$J$5:$J$1004,$T1858))))</f>
        <v/>
      </c>
      <c r="M1858" s="50">
        <f>IF($T1858="","",IF($S1858="S",IF(INDEX(Firms!$L$5:$L$1004,$T1858)="","",INDEX(Firms!$L$5:$L$1004,$T1858)),IF(INDEX('AFA Rates'!$K$5:$K$1004,$T1858)="","",INDEX('AFA Rates'!$K$5:$K$1004,$T1858))))</f>
        <v/>
      </c>
      <c r="N1858" s="50">
        <f>IF($T1858="","",IF($S1858="S",IF(INDEX(Firms!$M$5:$M$1004,$T1858)="","",INDEX(Firms!$M$5:$M$1004,$T1858)),IF(INDEX('AFA Rates'!$L$5:$L$1004,$T1858)="","",INDEX('AFA Rates'!$L$5:$L$1004,$T1858))))</f>
        <v/>
      </c>
      <c r="O1858" s="78">
        <f>IF(OR($T1858="",$U1858=""),"",IF(INDEX(Firms!$C$5:$C$1004,$U1858)="","",INDEX(Firms!$C$5:$C$1004,$U1858)))</f>
        <v/>
      </c>
      <c r="P1858" s="79">
        <f>IF(OR($T1858="",$U1858=""),"",IF(INDEX(Firms!$N$5:$N$1004,$U1858)="","",INDEX(Firms!$N$5:$N$1004,$U1858)))</f>
        <v/>
      </c>
      <c r="Q1858" s="78">
        <f>IF($T1858="","",IF($S1858="S",IF(INDEX(Firms!$T$5:$T$1004,$T1858)="","",INDEX(Firms!$T$5:$T$1004,$T1858)),IF(INDEX('AFA Rates'!$M$5:$M$1004,$T1858)="","",INDEX('AFA Rates'!$M$5:$M$1004,$T1858))))</f>
        <v/>
      </c>
      <c r="S1858">
        <f>IF(1854&lt;=$S$2,"S",IF(1854&lt;=$S$2+$T$2,"A",""))</f>
        <v/>
      </c>
      <c r="T1858">
        <f>IF(S1858="S",MATCH(1854,Firms!$W$5:$W$1004,0),IF(S1858="A",IFERROR(MATCH(1854-$S$2,'AFA Rates'!$R$5:$R$1004,0),""),""))</f>
        <v/>
      </c>
      <c r="U1858">
        <f>IF(S1858="S",T1858,IF(AND(S1858="A",T1858&lt;&gt;""),IFERROR(MATCH(INDEX('AFA Rates'!$A$5:$A$1004,T1858),Firms!$A$5:$A$1004,0),""),""))</f>
        <v/>
      </c>
    </row>
    <row r="1859">
      <c r="A1859" s="78">
        <f>IF($T1859="","",IF($S1859="S",IF(INDEX(Firms!$A$5:$A$1004,$T1859)="","",INDEX(Firms!$A$5:$A$1004,$T1859)),IF(INDEX('AFA Rates'!$A$5:$A$1004,$T1859)="","",INDEX('AFA Rates'!$A$5:$A$1004,$T1859))))</f>
        <v/>
      </c>
      <c r="B1859" s="79">
        <f>IF(OR($T1859="",$U1859=""),IF($T1859="","","Not on Firms tab"),INDEX(Firms!$B$5:$B$1004,$U1859)&amp;"")</f>
        <v/>
      </c>
      <c r="C1859" s="78">
        <f>IF($T1859="","",IF($S1859="S","Standard",INDEX('AFA Rates'!$B$5:$B$1004,$T1859)&amp;""))</f>
        <v/>
      </c>
      <c r="D1859" s="88">
        <f>IF($T1859="","",IF($S1859="S",IF(INDEX(Firms!$E$5:$E$1004,$T1859)="","",INDEX(Firms!$E$5:$E$1004,$T1859)),IF(INDEX('AFA Rates'!$C$5:$C$1004,$T1859)="","",INDEX('AFA Rates'!$C$5:$C$1004,$T1859))))</f>
        <v/>
      </c>
      <c r="E1859" s="88">
        <f>IF($T1859="","",IF($S1859="S",IF(""="","",""),IF(INDEX('AFA Rates'!$D$5:$D$1004,$T1859)="","",INDEX('AFA Rates'!$D$5:$D$1004,$T1859))))</f>
        <v/>
      </c>
      <c r="F1859" s="79">
        <f>IF($T1859="","",IF($S1859="S",IF(INDEX(Firms!$O$5:$O$1004,$T1859)="","",INDEX(Firms!$O$5:$O$1004,$T1859)),IF(INDEX('AFA Rates'!$O$5:$O$1004,$T1859)="","",INDEX('AFA Rates'!$O$5:$O$1004,$T1859))))</f>
        <v/>
      </c>
      <c r="G1859" s="50">
        <f>IF($T1859="","",IF($S1859="S",IF(INDEX(Firms!$F$5:$F$1004,$T1859)="","",INDEX(Firms!$F$5:$F$1004,$T1859)),IF(INDEX('AFA Rates'!$E$5:$E$1004,$T1859)="","",INDEX('AFA Rates'!$E$5:$E$1004,$T1859))))</f>
        <v/>
      </c>
      <c r="H1859" s="50">
        <f>IF($T1859="","",IF($S1859="S",IF(INDEX(Firms!$G$5:$G$1004,$T1859)="","",INDEX(Firms!$G$5:$G$1004,$T1859)),IF(INDEX('AFA Rates'!$F$5:$F$1004,$T1859)="","",INDEX('AFA Rates'!$F$5:$F$1004,$T1859))))</f>
        <v/>
      </c>
      <c r="I1859" s="50">
        <f>IF($T1859="","",IF($S1859="S",IF(INDEX(Firms!$H$5:$H$1004,$T1859)="","",INDEX(Firms!$H$5:$H$1004,$T1859)),IF(INDEX('AFA Rates'!$G$5:$G$1004,$T1859)="","",INDEX('AFA Rates'!$G$5:$G$1004,$T1859))))</f>
        <v/>
      </c>
      <c r="J1859" s="50">
        <f>IF($T1859="","",IF($S1859="S",IF(INDEX(Firms!$I$5:$I$1004,$T1859)="","",INDEX(Firms!$I$5:$I$1004,$T1859)),IF(INDEX('AFA Rates'!$H$5:$H$1004,$T1859)="","",INDEX('AFA Rates'!$H$5:$H$1004,$T1859))))</f>
        <v/>
      </c>
      <c r="K1859" s="50">
        <f>IF($T1859="","",IF($S1859="S",IF(INDEX(Firms!$J$5:$J$1004,$T1859)="","",INDEX(Firms!$J$5:$J$1004,$T1859)),IF(INDEX('AFA Rates'!$I$5:$I$1004,$T1859)="","",INDEX('AFA Rates'!$I$5:$I$1004,$T1859))))</f>
        <v/>
      </c>
      <c r="L1859" s="50">
        <f>IF($T1859="","",IF($S1859="S",IF(INDEX(Firms!$K$5:$K$1004,$T1859)="","",INDEX(Firms!$K$5:$K$1004,$T1859)),IF(INDEX('AFA Rates'!$J$5:$J$1004,$T1859)="","",INDEX('AFA Rates'!$J$5:$J$1004,$T1859))))</f>
        <v/>
      </c>
      <c r="M1859" s="50">
        <f>IF($T1859="","",IF($S1859="S",IF(INDEX(Firms!$L$5:$L$1004,$T1859)="","",INDEX(Firms!$L$5:$L$1004,$T1859)),IF(INDEX('AFA Rates'!$K$5:$K$1004,$T1859)="","",INDEX('AFA Rates'!$K$5:$K$1004,$T1859))))</f>
        <v/>
      </c>
      <c r="N1859" s="50">
        <f>IF($T1859="","",IF($S1859="S",IF(INDEX(Firms!$M$5:$M$1004,$T1859)="","",INDEX(Firms!$M$5:$M$1004,$T1859)),IF(INDEX('AFA Rates'!$L$5:$L$1004,$T1859)="","",INDEX('AFA Rates'!$L$5:$L$1004,$T1859))))</f>
        <v/>
      </c>
      <c r="O1859" s="78">
        <f>IF(OR($T1859="",$U1859=""),"",IF(INDEX(Firms!$C$5:$C$1004,$U1859)="","",INDEX(Firms!$C$5:$C$1004,$U1859)))</f>
        <v/>
      </c>
      <c r="P1859" s="79">
        <f>IF(OR($T1859="",$U1859=""),"",IF(INDEX(Firms!$N$5:$N$1004,$U1859)="","",INDEX(Firms!$N$5:$N$1004,$U1859)))</f>
        <v/>
      </c>
      <c r="Q1859" s="78">
        <f>IF($T1859="","",IF($S1859="S",IF(INDEX(Firms!$T$5:$T$1004,$T1859)="","",INDEX(Firms!$T$5:$T$1004,$T1859)),IF(INDEX('AFA Rates'!$M$5:$M$1004,$T1859)="","",INDEX('AFA Rates'!$M$5:$M$1004,$T1859))))</f>
        <v/>
      </c>
      <c r="S1859">
        <f>IF(1855&lt;=$S$2,"S",IF(1855&lt;=$S$2+$T$2,"A",""))</f>
        <v/>
      </c>
      <c r="T1859">
        <f>IF(S1859="S",MATCH(1855,Firms!$W$5:$W$1004,0),IF(S1859="A",IFERROR(MATCH(1855-$S$2,'AFA Rates'!$R$5:$R$1004,0),""),""))</f>
        <v/>
      </c>
      <c r="U1859">
        <f>IF(S1859="S",T1859,IF(AND(S1859="A",T1859&lt;&gt;""),IFERROR(MATCH(INDEX('AFA Rates'!$A$5:$A$1004,T1859),Firms!$A$5:$A$1004,0),""),""))</f>
        <v/>
      </c>
    </row>
    <row r="1860">
      <c r="A1860" s="78">
        <f>IF($T1860="","",IF($S1860="S",IF(INDEX(Firms!$A$5:$A$1004,$T1860)="","",INDEX(Firms!$A$5:$A$1004,$T1860)),IF(INDEX('AFA Rates'!$A$5:$A$1004,$T1860)="","",INDEX('AFA Rates'!$A$5:$A$1004,$T1860))))</f>
        <v/>
      </c>
      <c r="B1860" s="79">
        <f>IF(OR($T1860="",$U1860=""),IF($T1860="","","Not on Firms tab"),INDEX(Firms!$B$5:$B$1004,$U1860)&amp;"")</f>
        <v/>
      </c>
      <c r="C1860" s="78">
        <f>IF($T1860="","",IF($S1860="S","Standard",INDEX('AFA Rates'!$B$5:$B$1004,$T1860)&amp;""))</f>
        <v/>
      </c>
      <c r="D1860" s="88">
        <f>IF($T1860="","",IF($S1860="S",IF(INDEX(Firms!$E$5:$E$1004,$T1860)="","",INDEX(Firms!$E$5:$E$1004,$T1860)),IF(INDEX('AFA Rates'!$C$5:$C$1004,$T1860)="","",INDEX('AFA Rates'!$C$5:$C$1004,$T1860))))</f>
        <v/>
      </c>
      <c r="E1860" s="88">
        <f>IF($T1860="","",IF($S1860="S",IF(""="","",""),IF(INDEX('AFA Rates'!$D$5:$D$1004,$T1860)="","",INDEX('AFA Rates'!$D$5:$D$1004,$T1860))))</f>
        <v/>
      </c>
      <c r="F1860" s="79">
        <f>IF($T1860="","",IF($S1860="S",IF(INDEX(Firms!$O$5:$O$1004,$T1860)="","",INDEX(Firms!$O$5:$O$1004,$T1860)),IF(INDEX('AFA Rates'!$O$5:$O$1004,$T1860)="","",INDEX('AFA Rates'!$O$5:$O$1004,$T1860))))</f>
        <v/>
      </c>
      <c r="G1860" s="50">
        <f>IF($T1860="","",IF($S1860="S",IF(INDEX(Firms!$F$5:$F$1004,$T1860)="","",INDEX(Firms!$F$5:$F$1004,$T1860)),IF(INDEX('AFA Rates'!$E$5:$E$1004,$T1860)="","",INDEX('AFA Rates'!$E$5:$E$1004,$T1860))))</f>
        <v/>
      </c>
      <c r="H1860" s="50">
        <f>IF($T1860="","",IF($S1860="S",IF(INDEX(Firms!$G$5:$G$1004,$T1860)="","",INDEX(Firms!$G$5:$G$1004,$T1860)),IF(INDEX('AFA Rates'!$F$5:$F$1004,$T1860)="","",INDEX('AFA Rates'!$F$5:$F$1004,$T1860))))</f>
        <v/>
      </c>
      <c r="I1860" s="50">
        <f>IF($T1860="","",IF($S1860="S",IF(INDEX(Firms!$H$5:$H$1004,$T1860)="","",INDEX(Firms!$H$5:$H$1004,$T1860)),IF(INDEX('AFA Rates'!$G$5:$G$1004,$T1860)="","",INDEX('AFA Rates'!$G$5:$G$1004,$T1860))))</f>
        <v/>
      </c>
      <c r="J1860" s="50">
        <f>IF($T1860="","",IF($S1860="S",IF(INDEX(Firms!$I$5:$I$1004,$T1860)="","",INDEX(Firms!$I$5:$I$1004,$T1860)),IF(INDEX('AFA Rates'!$H$5:$H$1004,$T1860)="","",INDEX('AFA Rates'!$H$5:$H$1004,$T1860))))</f>
        <v/>
      </c>
      <c r="K1860" s="50">
        <f>IF($T1860="","",IF($S1860="S",IF(INDEX(Firms!$J$5:$J$1004,$T1860)="","",INDEX(Firms!$J$5:$J$1004,$T1860)),IF(INDEX('AFA Rates'!$I$5:$I$1004,$T1860)="","",INDEX('AFA Rates'!$I$5:$I$1004,$T1860))))</f>
        <v/>
      </c>
      <c r="L1860" s="50">
        <f>IF($T1860="","",IF($S1860="S",IF(INDEX(Firms!$K$5:$K$1004,$T1860)="","",INDEX(Firms!$K$5:$K$1004,$T1860)),IF(INDEX('AFA Rates'!$J$5:$J$1004,$T1860)="","",INDEX('AFA Rates'!$J$5:$J$1004,$T1860))))</f>
        <v/>
      </c>
      <c r="M1860" s="50">
        <f>IF($T1860="","",IF($S1860="S",IF(INDEX(Firms!$L$5:$L$1004,$T1860)="","",INDEX(Firms!$L$5:$L$1004,$T1860)),IF(INDEX('AFA Rates'!$K$5:$K$1004,$T1860)="","",INDEX('AFA Rates'!$K$5:$K$1004,$T1860))))</f>
        <v/>
      </c>
      <c r="N1860" s="50">
        <f>IF($T1860="","",IF($S1860="S",IF(INDEX(Firms!$M$5:$M$1004,$T1860)="","",INDEX(Firms!$M$5:$M$1004,$T1860)),IF(INDEX('AFA Rates'!$L$5:$L$1004,$T1860)="","",INDEX('AFA Rates'!$L$5:$L$1004,$T1860))))</f>
        <v/>
      </c>
      <c r="O1860" s="78">
        <f>IF(OR($T1860="",$U1860=""),"",IF(INDEX(Firms!$C$5:$C$1004,$U1860)="","",INDEX(Firms!$C$5:$C$1004,$U1860)))</f>
        <v/>
      </c>
      <c r="P1860" s="79">
        <f>IF(OR($T1860="",$U1860=""),"",IF(INDEX(Firms!$N$5:$N$1004,$U1860)="","",INDEX(Firms!$N$5:$N$1004,$U1860)))</f>
        <v/>
      </c>
      <c r="Q1860" s="78">
        <f>IF($T1860="","",IF($S1860="S",IF(INDEX(Firms!$T$5:$T$1004,$T1860)="","",INDEX(Firms!$T$5:$T$1004,$T1860)),IF(INDEX('AFA Rates'!$M$5:$M$1004,$T1860)="","",INDEX('AFA Rates'!$M$5:$M$1004,$T1860))))</f>
        <v/>
      </c>
      <c r="S1860">
        <f>IF(1856&lt;=$S$2,"S",IF(1856&lt;=$S$2+$T$2,"A",""))</f>
        <v/>
      </c>
      <c r="T1860">
        <f>IF(S1860="S",MATCH(1856,Firms!$W$5:$W$1004,0),IF(S1860="A",IFERROR(MATCH(1856-$S$2,'AFA Rates'!$R$5:$R$1004,0),""),""))</f>
        <v/>
      </c>
      <c r="U1860">
        <f>IF(S1860="S",T1860,IF(AND(S1860="A",T1860&lt;&gt;""),IFERROR(MATCH(INDEX('AFA Rates'!$A$5:$A$1004,T1860),Firms!$A$5:$A$1004,0),""),""))</f>
        <v/>
      </c>
    </row>
    <row r="1861">
      <c r="A1861" s="78">
        <f>IF($T1861="","",IF($S1861="S",IF(INDEX(Firms!$A$5:$A$1004,$T1861)="","",INDEX(Firms!$A$5:$A$1004,$T1861)),IF(INDEX('AFA Rates'!$A$5:$A$1004,$T1861)="","",INDEX('AFA Rates'!$A$5:$A$1004,$T1861))))</f>
        <v/>
      </c>
      <c r="B1861" s="79">
        <f>IF(OR($T1861="",$U1861=""),IF($T1861="","","Not on Firms tab"),INDEX(Firms!$B$5:$B$1004,$U1861)&amp;"")</f>
        <v/>
      </c>
      <c r="C1861" s="78">
        <f>IF($T1861="","",IF($S1861="S","Standard",INDEX('AFA Rates'!$B$5:$B$1004,$T1861)&amp;""))</f>
        <v/>
      </c>
      <c r="D1861" s="88">
        <f>IF($T1861="","",IF($S1861="S",IF(INDEX(Firms!$E$5:$E$1004,$T1861)="","",INDEX(Firms!$E$5:$E$1004,$T1861)),IF(INDEX('AFA Rates'!$C$5:$C$1004,$T1861)="","",INDEX('AFA Rates'!$C$5:$C$1004,$T1861))))</f>
        <v/>
      </c>
      <c r="E1861" s="88">
        <f>IF($T1861="","",IF($S1861="S",IF(""="","",""),IF(INDEX('AFA Rates'!$D$5:$D$1004,$T1861)="","",INDEX('AFA Rates'!$D$5:$D$1004,$T1861))))</f>
        <v/>
      </c>
      <c r="F1861" s="79">
        <f>IF($T1861="","",IF($S1861="S",IF(INDEX(Firms!$O$5:$O$1004,$T1861)="","",INDEX(Firms!$O$5:$O$1004,$T1861)),IF(INDEX('AFA Rates'!$O$5:$O$1004,$T1861)="","",INDEX('AFA Rates'!$O$5:$O$1004,$T1861))))</f>
        <v/>
      </c>
      <c r="G1861" s="50">
        <f>IF($T1861="","",IF($S1861="S",IF(INDEX(Firms!$F$5:$F$1004,$T1861)="","",INDEX(Firms!$F$5:$F$1004,$T1861)),IF(INDEX('AFA Rates'!$E$5:$E$1004,$T1861)="","",INDEX('AFA Rates'!$E$5:$E$1004,$T1861))))</f>
        <v/>
      </c>
      <c r="H1861" s="50">
        <f>IF($T1861="","",IF($S1861="S",IF(INDEX(Firms!$G$5:$G$1004,$T1861)="","",INDEX(Firms!$G$5:$G$1004,$T1861)),IF(INDEX('AFA Rates'!$F$5:$F$1004,$T1861)="","",INDEX('AFA Rates'!$F$5:$F$1004,$T1861))))</f>
        <v/>
      </c>
      <c r="I1861" s="50">
        <f>IF($T1861="","",IF($S1861="S",IF(INDEX(Firms!$H$5:$H$1004,$T1861)="","",INDEX(Firms!$H$5:$H$1004,$T1861)),IF(INDEX('AFA Rates'!$G$5:$G$1004,$T1861)="","",INDEX('AFA Rates'!$G$5:$G$1004,$T1861))))</f>
        <v/>
      </c>
      <c r="J1861" s="50">
        <f>IF($T1861="","",IF($S1861="S",IF(INDEX(Firms!$I$5:$I$1004,$T1861)="","",INDEX(Firms!$I$5:$I$1004,$T1861)),IF(INDEX('AFA Rates'!$H$5:$H$1004,$T1861)="","",INDEX('AFA Rates'!$H$5:$H$1004,$T1861))))</f>
        <v/>
      </c>
      <c r="K1861" s="50">
        <f>IF($T1861="","",IF($S1861="S",IF(INDEX(Firms!$J$5:$J$1004,$T1861)="","",INDEX(Firms!$J$5:$J$1004,$T1861)),IF(INDEX('AFA Rates'!$I$5:$I$1004,$T1861)="","",INDEX('AFA Rates'!$I$5:$I$1004,$T1861))))</f>
        <v/>
      </c>
      <c r="L1861" s="50">
        <f>IF($T1861="","",IF($S1861="S",IF(INDEX(Firms!$K$5:$K$1004,$T1861)="","",INDEX(Firms!$K$5:$K$1004,$T1861)),IF(INDEX('AFA Rates'!$J$5:$J$1004,$T1861)="","",INDEX('AFA Rates'!$J$5:$J$1004,$T1861))))</f>
        <v/>
      </c>
      <c r="M1861" s="50">
        <f>IF($T1861="","",IF($S1861="S",IF(INDEX(Firms!$L$5:$L$1004,$T1861)="","",INDEX(Firms!$L$5:$L$1004,$T1861)),IF(INDEX('AFA Rates'!$K$5:$K$1004,$T1861)="","",INDEX('AFA Rates'!$K$5:$K$1004,$T1861))))</f>
        <v/>
      </c>
      <c r="N1861" s="50">
        <f>IF($T1861="","",IF($S1861="S",IF(INDEX(Firms!$M$5:$M$1004,$T1861)="","",INDEX(Firms!$M$5:$M$1004,$T1861)),IF(INDEX('AFA Rates'!$L$5:$L$1004,$T1861)="","",INDEX('AFA Rates'!$L$5:$L$1004,$T1861))))</f>
        <v/>
      </c>
      <c r="O1861" s="78">
        <f>IF(OR($T1861="",$U1861=""),"",IF(INDEX(Firms!$C$5:$C$1004,$U1861)="","",INDEX(Firms!$C$5:$C$1004,$U1861)))</f>
        <v/>
      </c>
      <c r="P1861" s="79">
        <f>IF(OR($T1861="",$U1861=""),"",IF(INDEX(Firms!$N$5:$N$1004,$U1861)="","",INDEX(Firms!$N$5:$N$1004,$U1861)))</f>
        <v/>
      </c>
      <c r="Q1861" s="78">
        <f>IF($T1861="","",IF($S1861="S",IF(INDEX(Firms!$T$5:$T$1004,$T1861)="","",INDEX(Firms!$T$5:$T$1004,$T1861)),IF(INDEX('AFA Rates'!$M$5:$M$1004,$T1861)="","",INDEX('AFA Rates'!$M$5:$M$1004,$T1861))))</f>
        <v/>
      </c>
      <c r="S1861">
        <f>IF(1857&lt;=$S$2,"S",IF(1857&lt;=$S$2+$T$2,"A",""))</f>
        <v/>
      </c>
      <c r="T1861">
        <f>IF(S1861="S",MATCH(1857,Firms!$W$5:$W$1004,0),IF(S1861="A",IFERROR(MATCH(1857-$S$2,'AFA Rates'!$R$5:$R$1004,0),""),""))</f>
        <v/>
      </c>
      <c r="U1861">
        <f>IF(S1861="S",T1861,IF(AND(S1861="A",T1861&lt;&gt;""),IFERROR(MATCH(INDEX('AFA Rates'!$A$5:$A$1004,T1861),Firms!$A$5:$A$1004,0),""),""))</f>
        <v/>
      </c>
    </row>
    <row r="1862">
      <c r="A1862" s="78">
        <f>IF($T1862="","",IF($S1862="S",IF(INDEX(Firms!$A$5:$A$1004,$T1862)="","",INDEX(Firms!$A$5:$A$1004,$T1862)),IF(INDEX('AFA Rates'!$A$5:$A$1004,$T1862)="","",INDEX('AFA Rates'!$A$5:$A$1004,$T1862))))</f>
        <v/>
      </c>
      <c r="B1862" s="79">
        <f>IF(OR($T1862="",$U1862=""),IF($T1862="","","Not on Firms tab"),INDEX(Firms!$B$5:$B$1004,$U1862)&amp;"")</f>
        <v/>
      </c>
      <c r="C1862" s="78">
        <f>IF($T1862="","",IF($S1862="S","Standard",INDEX('AFA Rates'!$B$5:$B$1004,$T1862)&amp;""))</f>
        <v/>
      </c>
      <c r="D1862" s="88">
        <f>IF($T1862="","",IF($S1862="S",IF(INDEX(Firms!$E$5:$E$1004,$T1862)="","",INDEX(Firms!$E$5:$E$1004,$T1862)),IF(INDEX('AFA Rates'!$C$5:$C$1004,$T1862)="","",INDEX('AFA Rates'!$C$5:$C$1004,$T1862))))</f>
        <v/>
      </c>
      <c r="E1862" s="88">
        <f>IF($T1862="","",IF($S1862="S",IF(""="","",""),IF(INDEX('AFA Rates'!$D$5:$D$1004,$T1862)="","",INDEX('AFA Rates'!$D$5:$D$1004,$T1862))))</f>
        <v/>
      </c>
      <c r="F1862" s="79">
        <f>IF($T1862="","",IF($S1862="S",IF(INDEX(Firms!$O$5:$O$1004,$T1862)="","",INDEX(Firms!$O$5:$O$1004,$T1862)),IF(INDEX('AFA Rates'!$O$5:$O$1004,$T1862)="","",INDEX('AFA Rates'!$O$5:$O$1004,$T1862))))</f>
        <v/>
      </c>
      <c r="G1862" s="50">
        <f>IF($T1862="","",IF($S1862="S",IF(INDEX(Firms!$F$5:$F$1004,$T1862)="","",INDEX(Firms!$F$5:$F$1004,$T1862)),IF(INDEX('AFA Rates'!$E$5:$E$1004,$T1862)="","",INDEX('AFA Rates'!$E$5:$E$1004,$T1862))))</f>
        <v/>
      </c>
      <c r="H1862" s="50">
        <f>IF($T1862="","",IF($S1862="S",IF(INDEX(Firms!$G$5:$G$1004,$T1862)="","",INDEX(Firms!$G$5:$G$1004,$T1862)),IF(INDEX('AFA Rates'!$F$5:$F$1004,$T1862)="","",INDEX('AFA Rates'!$F$5:$F$1004,$T1862))))</f>
        <v/>
      </c>
      <c r="I1862" s="50">
        <f>IF($T1862="","",IF($S1862="S",IF(INDEX(Firms!$H$5:$H$1004,$T1862)="","",INDEX(Firms!$H$5:$H$1004,$T1862)),IF(INDEX('AFA Rates'!$G$5:$G$1004,$T1862)="","",INDEX('AFA Rates'!$G$5:$G$1004,$T1862))))</f>
        <v/>
      </c>
      <c r="J1862" s="50">
        <f>IF($T1862="","",IF($S1862="S",IF(INDEX(Firms!$I$5:$I$1004,$T1862)="","",INDEX(Firms!$I$5:$I$1004,$T1862)),IF(INDEX('AFA Rates'!$H$5:$H$1004,$T1862)="","",INDEX('AFA Rates'!$H$5:$H$1004,$T1862))))</f>
        <v/>
      </c>
      <c r="K1862" s="50">
        <f>IF($T1862="","",IF($S1862="S",IF(INDEX(Firms!$J$5:$J$1004,$T1862)="","",INDEX(Firms!$J$5:$J$1004,$T1862)),IF(INDEX('AFA Rates'!$I$5:$I$1004,$T1862)="","",INDEX('AFA Rates'!$I$5:$I$1004,$T1862))))</f>
        <v/>
      </c>
      <c r="L1862" s="50">
        <f>IF($T1862="","",IF($S1862="S",IF(INDEX(Firms!$K$5:$K$1004,$T1862)="","",INDEX(Firms!$K$5:$K$1004,$T1862)),IF(INDEX('AFA Rates'!$J$5:$J$1004,$T1862)="","",INDEX('AFA Rates'!$J$5:$J$1004,$T1862))))</f>
        <v/>
      </c>
      <c r="M1862" s="50">
        <f>IF($T1862="","",IF($S1862="S",IF(INDEX(Firms!$L$5:$L$1004,$T1862)="","",INDEX(Firms!$L$5:$L$1004,$T1862)),IF(INDEX('AFA Rates'!$K$5:$K$1004,$T1862)="","",INDEX('AFA Rates'!$K$5:$K$1004,$T1862))))</f>
        <v/>
      </c>
      <c r="N1862" s="50">
        <f>IF($T1862="","",IF($S1862="S",IF(INDEX(Firms!$M$5:$M$1004,$T1862)="","",INDEX(Firms!$M$5:$M$1004,$T1862)),IF(INDEX('AFA Rates'!$L$5:$L$1004,$T1862)="","",INDEX('AFA Rates'!$L$5:$L$1004,$T1862))))</f>
        <v/>
      </c>
      <c r="O1862" s="78">
        <f>IF(OR($T1862="",$U1862=""),"",IF(INDEX(Firms!$C$5:$C$1004,$U1862)="","",INDEX(Firms!$C$5:$C$1004,$U1862)))</f>
        <v/>
      </c>
      <c r="P1862" s="79">
        <f>IF(OR($T1862="",$U1862=""),"",IF(INDEX(Firms!$N$5:$N$1004,$U1862)="","",INDEX(Firms!$N$5:$N$1004,$U1862)))</f>
        <v/>
      </c>
      <c r="Q1862" s="78">
        <f>IF($T1862="","",IF($S1862="S",IF(INDEX(Firms!$T$5:$T$1004,$T1862)="","",INDEX(Firms!$T$5:$T$1004,$T1862)),IF(INDEX('AFA Rates'!$M$5:$M$1004,$T1862)="","",INDEX('AFA Rates'!$M$5:$M$1004,$T1862))))</f>
        <v/>
      </c>
      <c r="S1862">
        <f>IF(1858&lt;=$S$2,"S",IF(1858&lt;=$S$2+$T$2,"A",""))</f>
        <v/>
      </c>
      <c r="T1862">
        <f>IF(S1862="S",MATCH(1858,Firms!$W$5:$W$1004,0),IF(S1862="A",IFERROR(MATCH(1858-$S$2,'AFA Rates'!$R$5:$R$1004,0),""),""))</f>
        <v/>
      </c>
      <c r="U1862">
        <f>IF(S1862="S",T1862,IF(AND(S1862="A",T1862&lt;&gt;""),IFERROR(MATCH(INDEX('AFA Rates'!$A$5:$A$1004,T1862),Firms!$A$5:$A$1004,0),""),""))</f>
        <v/>
      </c>
    </row>
    <row r="1863">
      <c r="A1863" s="78">
        <f>IF($T1863="","",IF($S1863="S",IF(INDEX(Firms!$A$5:$A$1004,$T1863)="","",INDEX(Firms!$A$5:$A$1004,$T1863)),IF(INDEX('AFA Rates'!$A$5:$A$1004,$T1863)="","",INDEX('AFA Rates'!$A$5:$A$1004,$T1863))))</f>
        <v/>
      </c>
      <c r="B1863" s="79">
        <f>IF(OR($T1863="",$U1863=""),IF($T1863="","","Not on Firms tab"),INDEX(Firms!$B$5:$B$1004,$U1863)&amp;"")</f>
        <v/>
      </c>
      <c r="C1863" s="78">
        <f>IF($T1863="","",IF($S1863="S","Standard",INDEX('AFA Rates'!$B$5:$B$1004,$T1863)&amp;""))</f>
        <v/>
      </c>
      <c r="D1863" s="88">
        <f>IF($T1863="","",IF($S1863="S",IF(INDEX(Firms!$E$5:$E$1004,$T1863)="","",INDEX(Firms!$E$5:$E$1004,$T1863)),IF(INDEX('AFA Rates'!$C$5:$C$1004,$T1863)="","",INDEX('AFA Rates'!$C$5:$C$1004,$T1863))))</f>
        <v/>
      </c>
      <c r="E1863" s="88">
        <f>IF($T1863="","",IF($S1863="S",IF(""="","",""),IF(INDEX('AFA Rates'!$D$5:$D$1004,$T1863)="","",INDEX('AFA Rates'!$D$5:$D$1004,$T1863))))</f>
        <v/>
      </c>
      <c r="F1863" s="79">
        <f>IF($T1863="","",IF($S1863="S",IF(INDEX(Firms!$O$5:$O$1004,$T1863)="","",INDEX(Firms!$O$5:$O$1004,$T1863)),IF(INDEX('AFA Rates'!$O$5:$O$1004,$T1863)="","",INDEX('AFA Rates'!$O$5:$O$1004,$T1863))))</f>
        <v/>
      </c>
      <c r="G1863" s="50">
        <f>IF($T1863="","",IF($S1863="S",IF(INDEX(Firms!$F$5:$F$1004,$T1863)="","",INDEX(Firms!$F$5:$F$1004,$T1863)),IF(INDEX('AFA Rates'!$E$5:$E$1004,$T1863)="","",INDEX('AFA Rates'!$E$5:$E$1004,$T1863))))</f>
        <v/>
      </c>
      <c r="H1863" s="50">
        <f>IF($T1863="","",IF($S1863="S",IF(INDEX(Firms!$G$5:$G$1004,$T1863)="","",INDEX(Firms!$G$5:$G$1004,$T1863)),IF(INDEX('AFA Rates'!$F$5:$F$1004,$T1863)="","",INDEX('AFA Rates'!$F$5:$F$1004,$T1863))))</f>
        <v/>
      </c>
      <c r="I1863" s="50">
        <f>IF($T1863="","",IF($S1863="S",IF(INDEX(Firms!$H$5:$H$1004,$T1863)="","",INDEX(Firms!$H$5:$H$1004,$T1863)),IF(INDEX('AFA Rates'!$G$5:$G$1004,$T1863)="","",INDEX('AFA Rates'!$G$5:$G$1004,$T1863))))</f>
        <v/>
      </c>
      <c r="J1863" s="50">
        <f>IF($T1863="","",IF($S1863="S",IF(INDEX(Firms!$I$5:$I$1004,$T1863)="","",INDEX(Firms!$I$5:$I$1004,$T1863)),IF(INDEX('AFA Rates'!$H$5:$H$1004,$T1863)="","",INDEX('AFA Rates'!$H$5:$H$1004,$T1863))))</f>
        <v/>
      </c>
      <c r="K1863" s="50">
        <f>IF($T1863="","",IF($S1863="S",IF(INDEX(Firms!$J$5:$J$1004,$T1863)="","",INDEX(Firms!$J$5:$J$1004,$T1863)),IF(INDEX('AFA Rates'!$I$5:$I$1004,$T1863)="","",INDEX('AFA Rates'!$I$5:$I$1004,$T1863))))</f>
        <v/>
      </c>
      <c r="L1863" s="50">
        <f>IF($T1863="","",IF($S1863="S",IF(INDEX(Firms!$K$5:$K$1004,$T1863)="","",INDEX(Firms!$K$5:$K$1004,$T1863)),IF(INDEX('AFA Rates'!$J$5:$J$1004,$T1863)="","",INDEX('AFA Rates'!$J$5:$J$1004,$T1863))))</f>
        <v/>
      </c>
      <c r="M1863" s="50">
        <f>IF($T1863="","",IF($S1863="S",IF(INDEX(Firms!$L$5:$L$1004,$T1863)="","",INDEX(Firms!$L$5:$L$1004,$T1863)),IF(INDEX('AFA Rates'!$K$5:$K$1004,$T1863)="","",INDEX('AFA Rates'!$K$5:$K$1004,$T1863))))</f>
        <v/>
      </c>
      <c r="N1863" s="50">
        <f>IF($T1863="","",IF($S1863="S",IF(INDEX(Firms!$M$5:$M$1004,$T1863)="","",INDEX(Firms!$M$5:$M$1004,$T1863)),IF(INDEX('AFA Rates'!$L$5:$L$1004,$T1863)="","",INDEX('AFA Rates'!$L$5:$L$1004,$T1863))))</f>
        <v/>
      </c>
      <c r="O1863" s="78">
        <f>IF(OR($T1863="",$U1863=""),"",IF(INDEX(Firms!$C$5:$C$1004,$U1863)="","",INDEX(Firms!$C$5:$C$1004,$U1863)))</f>
        <v/>
      </c>
      <c r="P1863" s="79">
        <f>IF(OR($T1863="",$U1863=""),"",IF(INDEX(Firms!$N$5:$N$1004,$U1863)="","",INDEX(Firms!$N$5:$N$1004,$U1863)))</f>
        <v/>
      </c>
      <c r="Q1863" s="78">
        <f>IF($T1863="","",IF($S1863="S",IF(INDEX(Firms!$T$5:$T$1004,$T1863)="","",INDEX(Firms!$T$5:$T$1004,$T1863)),IF(INDEX('AFA Rates'!$M$5:$M$1004,$T1863)="","",INDEX('AFA Rates'!$M$5:$M$1004,$T1863))))</f>
        <v/>
      </c>
      <c r="S1863">
        <f>IF(1859&lt;=$S$2,"S",IF(1859&lt;=$S$2+$T$2,"A",""))</f>
        <v/>
      </c>
      <c r="T1863">
        <f>IF(S1863="S",MATCH(1859,Firms!$W$5:$W$1004,0),IF(S1863="A",IFERROR(MATCH(1859-$S$2,'AFA Rates'!$R$5:$R$1004,0),""),""))</f>
        <v/>
      </c>
      <c r="U1863">
        <f>IF(S1863="S",T1863,IF(AND(S1863="A",T1863&lt;&gt;""),IFERROR(MATCH(INDEX('AFA Rates'!$A$5:$A$1004,T1863),Firms!$A$5:$A$1004,0),""),""))</f>
        <v/>
      </c>
    </row>
    <row r="1864">
      <c r="A1864" s="78">
        <f>IF($T1864="","",IF($S1864="S",IF(INDEX(Firms!$A$5:$A$1004,$T1864)="","",INDEX(Firms!$A$5:$A$1004,$T1864)),IF(INDEX('AFA Rates'!$A$5:$A$1004,$T1864)="","",INDEX('AFA Rates'!$A$5:$A$1004,$T1864))))</f>
        <v/>
      </c>
      <c r="B1864" s="79">
        <f>IF(OR($T1864="",$U1864=""),IF($T1864="","","Not on Firms tab"),INDEX(Firms!$B$5:$B$1004,$U1864)&amp;"")</f>
        <v/>
      </c>
      <c r="C1864" s="78">
        <f>IF($T1864="","",IF($S1864="S","Standard",INDEX('AFA Rates'!$B$5:$B$1004,$T1864)&amp;""))</f>
        <v/>
      </c>
      <c r="D1864" s="88">
        <f>IF($T1864="","",IF($S1864="S",IF(INDEX(Firms!$E$5:$E$1004,$T1864)="","",INDEX(Firms!$E$5:$E$1004,$T1864)),IF(INDEX('AFA Rates'!$C$5:$C$1004,$T1864)="","",INDEX('AFA Rates'!$C$5:$C$1004,$T1864))))</f>
        <v/>
      </c>
      <c r="E1864" s="88">
        <f>IF($T1864="","",IF($S1864="S",IF(""="","",""),IF(INDEX('AFA Rates'!$D$5:$D$1004,$T1864)="","",INDEX('AFA Rates'!$D$5:$D$1004,$T1864))))</f>
        <v/>
      </c>
      <c r="F1864" s="79">
        <f>IF($T1864="","",IF($S1864="S",IF(INDEX(Firms!$O$5:$O$1004,$T1864)="","",INDEX(Firms!$O$5:$O$1004,$T1864)),IF(INDEX('AFA Rates'!$O$5:$O$1004,$T1864)="","",INDEX('AFA Rates'!$O$5:$O$1004,$T1864))))</f>
        <v/>
      </c>
      <c r="G1864" s="50">
        <f>IF($T1864="","",IF($S1864="S",IF(INDEX(Firms!$F$5:$F$1004,$T1864)="","",INDEX(Firms!$F$5:$F$1004,$T1864)),IF(INDEX('AFA Rates'!$E$5:$E$1004,$T1864)="","",INDEX('AFA Rates'!$E$5:$E$1004,$T1864))))</f>
        <v/>
      </c>
      <c r="H1864" s="50">
        <f>IF($T1864="","",IF($S1864="S",IF(INDEX(Firms!$G$5:$G$1004,$T1864)="","",INDEX(Firms!$G$5:$G$1004,$T1864)),IF(INDEX('AFA Rates'!$F$5:$F$1004,$T1864)="","",INDEX('AFA Rates'!$F$5:$F$1004,$T1864))))</f>
        <v/>
      </c>
      <c r="I1864" s="50">
        <f>IF($T1864="","",IF($S1864="S",IF(INDEX(Firms!$H$5:$H$1004,$T1864)="","",INDEX(Firms!$H$5:$H$1004,$T1864)),IF(INDEX('AFA Rates'!$G$5:$G$1004,$T1864)="","",INDEX('AFA Rates'!$G$5:$G$1004,$T1864))))</f>
        <v/>
      </c>
      <c r="J1864" s="50">
        <f>IF($T1864="","",IF($S1864="S",IF(INDEX(Firms!$I$5:$I$1004,$T1864)="","",INDEX(Firms!$I$5:$I$1004,$T1864)),IF(INDEX('AFA Rates'!$H$5:$H$1004,$T1864)="","",INDEX('AFA Rates'!$H$5:$H$1004,$T1864))))</f>
        <v/>
      </c>
      <c r="K1864" s="50">
        <f>IF($T1864="","",IF($S1864="S",IF(INDEX(Firms!$J$5:$J$1004,$T1864)="","",INDEX(Firms!$J$5:$J$1004,$T1864)),IF(INDEX('AFA Rates'!$I$5:$I$1004,$T1864)="","",INDEX('AFA Rates'!$I$5:$I$1004,$T1864))))</f>
        <v/>
      </c>
      <c r="L1864" s="50">
        <f>IF($T1864="","",IF($S1864="S",IF(INDEX(Firms!$K$5:$K$1004,$T1864)="","",INDEX(Firms!$K$5:$K$1004,$T1864)),IF(INDEX('AFA Rates'!$J$5:$J$1004,$T1864)="","",INDEX('AFA Rates'!$J$5:$J$1004,$T1864))))</f>
        <v/>
      </c>
      <c r="M1864" s="50">
        <f>IF($T1864="","",IF($S1864="S",IF(INDEX(Firms!$L$5:$L$1004,$T1864)="","",INDEX(Firms!$L$5:$L$1004,$T1864)),IF(INDEX('AFA Rates'!$K$5:$K$1004,$T1864)="","",INDEX('AFA Rates'!$K$5:$K$1004,$T1864))))</f>
        <v/>
      </c>
      <c r="N1864" s="50">
        <f>IF($T1864="","",IF($S1864="S",IF(INDEX(Firms!$M$5:$M$1004,$T1864)="","",INDEX(Firms!$M$5:$M$1004,$T1864)),IF(INDEX('AFA Rates'!$L$5:$L$1004,$T1864)="","",INDEX('AFA Rates'!$L$5:$L$1004,$T1864))))</f>
        <v/>
      </c>
      <c r="O1864" s="78">
        <f>IF(OR($T1864="",$U1864=""),"",IF(INDEX(Firms!$C$5:$C$1004,$U1864)="","",INDEX(Firms!$C$5:$C$1004,$U1864)))</f>
        <v/>
      </c>
      <c r="P1864" s="79">
        <f>IF(OR($T1864="",$U1864=""),"",IF(INDEX(Firms!$N$5:$N$1004,$U1864)="","",INDEX(Firms!$N$5:$N$1004,$U1864)))</f>
        <v/>
      </c>
      <c r="Q1864" s="78">
        <f>IF($T1864="","",IF($S1864="S",IF(INDEX(Firms!$T$5:$T$1004,$T1864)="","",INDEX(Firms!$T$5:$T$1004,$T1864)),IF(INDEX('AFA Rates'!$M$5:$M$1004,$T1864)="","",INDEX('AFA Rates'!$M$5:$M$1004,$T1864))))</f>
        <v/>
      </c>
      <c r="S1864">
        <f>IF(1860&lt;=$S$2,"S",IF(1860&lt;=$S$2+$T$2,"A",""))</f>
        <v/>
      </c>
      <c r="T1864">
        <f>IF(S1864="S",MATCH(1860,Firms!$W$5:$W$1004,0),IF(S1864="A",IFERROR(MATCH(1860-$S$2,'AFA Rates'!$R$5:$R$1004,0),""),""))</f>
        <v/>
      </c>
      <c r="U1864">
        <f>IF(S1864="S",T1864,IF(AND(S1864="A",T1864&lt;&gt;""),IFERROR(MATCH(INDEX('AFA Rates'!$A$5:$A$1004,T1864),Firms!$A$5:$A$1004,0),""),""))</f>
        <v/>
      </c>
    </row>
    <row r="1865">
      <c r="A1865" s="78">
        <f>IF($T1865="","",IF($S1865="S",IF(INDEX(Firms!$A$5:$A$1004,$T1865)="","",INDEX(Firms!$A$5:$A$1004,$T1865)),IF(INDEX('AFA Rates'!$A$5:$A$1004,$T1865)="","",INDEX('AFA Rates'!$A$5:$A$1004,$T1865))))</f>
        <v/>
      </c>
      <c r="B1865" s="79">
        <f>IF(OR($T1865="",$U1865=""),IF($T1865="","","Not on Firms tab"),INDEX(Firms!$B$5:$B$1004,$U1865)&amp;"")</f>
        <v/>
      </c>
      <c r="C1865" s="78">
        <f>IF($T1865="","",IF($S1865="S","Standard",INDEX('AFA Rates'!$B$5:$B$1004,$T1865)&amp;""))</f>
        <v/>
      </c>
      <c r="D1865" s="88">
        <f>IF($T1865="","",IF($S1865="S",IF(INDEX(Firms!$E$5:$E$1004,$T1865)="","",INDEX(Firms!$E$5:$E$1004,$T1865)),IF(INDEX('AFA Rates'!$C$5:$C$1004,$T1865)="","",INDEX('AFA Rates'!$C$5:$C$1004,$T1865))))</f>
        <v/>
      </c>
      <c r="E1865" s="88">
        <f>IF($T1865="","",IF($S1865="S",IF(""="","",""),IF(INDEX('AFA Rates'!$D$5:$D$1004,$T1865)="","",INDEX('AFA Rates'!$D$5:$D$1004,$T1865))))</f>
        <v/>
      </c>
      <c r="F1865" s="79">
        <f>IF($T1865="","",IF($S1865="S",IF(INDEX(Firms!$O$5:$O$1004,$T1865)="","",INDEX(Firms!$O$5:$O$1004,$T1865)),IF(INDEX('AFA Rates'!$O$5:$O$1004,$T1865)="","",INDEX('AFA Rates'!$O$5:$O$1004,$T1865))))</f>
        <v/>
      </c>
      <c r="G1865" s="50">
        <f>IF($T1865="","",IF($S1865="S",IF(INDEX(Firms!$F$5:$F$1004,$T1865)="","",INDEX(Firms!$F$5:$F$1004,$T1865)),IF(INDEX('AFA Rates'!$E$5:$E$1004,$T1865)="","",INDEX('AFA Rates'!$E$5:$E$1004,$T1865))))</f>
        <v/>
      </c>
      <c r="H1865" s="50">
        <f>IF($T1865="","",IF($S1865="S",IF(INDEX(Firms!$G$5:$G$1004,$T1865)="","",INDEX(Firms!$G$5:$G$1004,$T1865)),IF(INDEX('AFA Rates'!$F$5:$F$1004,$T1865)="","",INDEX('AFA Rates'!$F$5:$F$1004,$T1865))))</f>
        <v/>
      </c>
      <c r="I1865" s="50">
        <f>IF($T1865="","",IF($S1865="S",IF(INDEX(Firms!$H$5:$H$1004,$T1865)="","",INDEX(Firms!$H$5:$H$1004,$T1865)),IF(INDEX('AFA Rates'!$G$5:$G$1004,$T1865)="","",INDEX('AFA Rates'!$G$5:$G$1004,$T1865))))</f>
        <v/>
      </c>
      <c r="J1865" s="50">
        <f>IF($T1865="","",IF($S1865="S",IF(INDEX(Firms!$I$5:$I$1004,$T1865)="","",INDEX(Firms!$I$5:$I$1004,$T1865)),IF(INDEX('AFA Rates'!$H$5:$H$1004,$T1865)="","",INDEX('AFA Rates'!$H$5:$H$1004,$T1865))))</f>
        <v/>
      </c>
      <c r="K1865" s="50">
        <f>IF($T1865="","",IF($S1865="S",IF(INDEX(Firms!$J$5:$J$1004,$T1865)="","",INDEX(Firms!$J$5:$J$1004,$T1865)),IF(INDEX('AFA Rates'!$I$5:$I$1004,$T1865)="","",INDEX('AFA Rates'!$I$5:$I$1004,$T1865))))</f>
        <v/>
      </c>
      <c r="L1865" s="50">
        <f>IF($T1865="","",IF($S1865="S",IF(INDEX(Firms!$K$5:$K$1004,$T1865)="","",INDEX(Firms!$K$5:$K$1004,$T1865)),IF(INDEX('AFA Rates'!$J$5:$J$1004,$T1865)="","",INDEX('AFA Rates'!$J$5:$J$1004,$T1865))))</f>
        <v/>
      </c>
      <c r="M1865" s="50">
        <f>IF($T1865="","",IF($S1865="S",IF(INDEX(Firms!$L$5:$L$1004,$T1865)="","",INDEX(Firms!$L$5:$L$1004,$T1865)),IF(INDEX('AFA Rates'!$K$5:$K$1004,$T1865)="","",INDEX('AFA Rates'!$K$5:$K$1004,$T1865))))</f>
        <v/>
      </c>
      <c r="N1865" s="50">
        <f>IF($T1865="","",IF($S1865="S",IF(INDEX(Firms!$M$5:$M$1004,$T1865)="","",INDEX(Firms!$M$5:$M$1004,$T1865)),IF(INDEX('AFA Rates'!$L$5:$L$1004,$T1865)="","",INDEX('AFA Rates'!$L$5:$L$1004,$T1865))))</f>
        <v/>
      </c>
      <c r="O1865" s="78">
        <f>IF(OR($T1865="",$U1865=""),"",IF(INDEX(Firms!$C$5:$C$1004,$U1865)="","",INDEX(Firms!$C$5:$C$1004,$U1865)))</f>
        <v/>
      </c>
      <c r="P1865" s="79">
        <f>IF(OR($T1865="",$U1865=""),"",IF(INDEX(Firms!$N$5:$N$1004,$U1865)="","",INDEX(Firms!$N$5:$N$1004,$U1865)))</f>
        <v/>
      </c>
      <c r="Q1865" s="78">
        <f>IF($T1865="","",IF($S1865="S",IF(INDEX(Firms!$T$5:$T$1004,$T1865)="","",INDEX(Firms!$T$5:$T$1004,$T1865)),IF(INDEX('AFA Rates'!$M$5:$M$1004,$T1865)="","",INDEX('AFA Rates'!$M$5:$M$1004,$T1865))))</f>
        <v/>
      </c>
      <c r="S1865">
        <f>IF(1861&lt;=$S$2,"S",IF(1861&lt;=$S$2+$T$2,"A",""))</f>
        <v/>
      </c>
      <c r="T1865">
        <f>IF(S1865="S",MATCH(1861,Firms!$W$5:$W$1004,0),IF(S1865="A",IFERROR(MATCH(1861-$S$2,'AFA Rates'!$R$5:$R$1004,0),""),""))</f>
        <v/>
      </c>
      <c r="U1865">
        <f>IF(S1865="S",T1865,IF(AND(S1865="A",T1865&lt;&gt;""),IFERROR(MATCH(INDEX('AFA Rates'!$A$5:$A$1004,T1865),Firms!$A$5:$A$1004,0),""),""))</f>
        <v/>
      </c>
    </row>
    <row r="1866">
      <c r="A1866" s="78">
        <f>IF($T1866="","",IF($S1866="S",IF(INDEX(Firms!$A$5:$A$1004,$T1866)="","",INDEX(Firms!$A$5:$A$1004,$T1866)),IF(INDEX('AFA Rates'!$A$5:$A$1004,$T1866)="","",INDEX('AFA Rates'!$A$5:$A$1004,$T1866))))</f>
        <v/>
      </c>
      <c r="B1866" s="79">
        <f>IF(OR($T1866="",$U1866=""),IF($T1866="","","Not on Firms tab"),INDEX(Firms!$B$5:$B$1004,$U1866)&amp;"")</f>
        <v/>
      </c>
      <c r="C1866" s="78">
        <f>IF($T1866="","",IF($S1866="S","Standard",INDEX('AFA Rates'!$B$5:$B$1004,$T1866)&amp;""))</f>
        <v/>
      </c>
      <c r="D1866" s="88">
        <f>IF($T1866="","",IF($S1866="S",IF(INDEX(Firms!$E$5:$E$1004,$T1866)="","",INDEX(Firms!$E$5:$E$1004,$T1866)),IF(INDEX('AFA Rates'!$C$5:$C$1004,$T1866)="","",INDEX('AFA Rates'!$C$5:$C$1004,$T1866))))</f>
        <v/>
      </c>
      <c r="E1866" s="88">
        <f>IF($T1866="","",IF($S1866="S",IF(""="","",""),IF(INDEX('AFA Rates'!$D$5:$D$1004,$T1866)="","",INDEX('AFA Rates'!$D$5:$D$1004,$T1866))))</f>
        <v/>
      </c>
      <c r="F1866" s="79">
        <f>IF($T1866="","",IF($S1866="S",IF(INDEX(Firms!$O$5:$O$1004,$T1866)="","",INDEX(Firms!$O$5:$O$1004,$T1866)),IF(INDEX('AFA Rates'!$O$5:$O$1004,$T1866)="","",INDEX('AFA Rates'!$O$5:$O$1004,$T1866))))</f>
        <v/>
      </c>
      <c r="G1866" s="50">
        <f>IF($T1866="","",IF($S1866="S",IF(INDEX(Firms!$F$5:$F$1004,$T1866)="","",INDEX(Firms!$F$5:$F$1004,$T1866)),IF(INDEX('AFA Rates'!$E$5:$E$1004,$T1866)="","",INDEX('AFA Rates'!$E$5:$E$1004,$T1866))))</f>
        <v/>
      </c>
      <c r="H1866" s="50">
        <f>IF($T1866="","",IF($S1866="S",IF(INDEX(Firms!$G$5:$G$1004,$T1866)="","",INDEX(Firms!$G$5:$G$1004,$T1866)),IF(INDEX('AFA Rates'!$F$5:$F$1004,$T1866)="","",INDEX('AFA Rates'!$F$5:$F$1004,$T1866))))</f>
        <v/>
      </c>
      <c r="I1866" s="50">
        <f>IF($T1866="","",IF($S1866="S",IF(INDEX(Firms!$H$5:$H$1004,$T1866)="","",INDEX(Firms!$H$5:$H$1004,$T1866)),IF(INDEX('AFA Rates'!$G$5:$G$1004,$T1866)="","",INDEX('AFA Rates'!$G$5:$G$1004,$T1866))))</f>
        <v/>
      </c>
      <c r="J1866" s="50">
        <f>IF($T1866="","",IF($S1866="S",IF(INDEX(Firms!$I$5:$I$1004,$T1866)="","",INDEX(Firms!$I$5:$I$1004,$T1866)),IF(INDEX('AFA Rates'!$H$5:$H$1004,$T1866)="","",INDEX('AFA Rates'!$H$5:$H$1004,$T1866))))</f>
        <v/>
      </c>
      <c r="K1866" s="50">
        <f>IF($T1866="","",IF($S1866="S",IF(INDEX(Firms!$J$5:$J$1004,$T1866)="","",INDEX(Firms!$J$5:$J$1004,$T1866)),IF(INDEX('AFA Rates'!$I$5:$I$1004,$T1866)="","",INDEX('AFA Rates'!$I$5:$I$1004,$T1866))))</f>
        <v/>
      </c>
      <c r="L1866" s="50">
        <f>IF($T1866="","",IF($S1866="S",IF(INDEX(Firms!$K$5:$K$1004,$T1866)="","",INDEX(Firms!$K$5:$K$1004,$T1866)),IF(INDEX('AFA Rates'!$J$5:$J$1004,$T1866)="","",INDEX('AFA Rates'!$J$5:$J$1004,$T1866))))</f>
        <v/>
      </c>
      <c r="M1866" s="50">
        <f>IF($T1866="","",IF($S1866="S",IF(INDEX(Firms!$L$5:$L$1004,$T1866)="","",INDEX(Firms!$L$5:$L$1004,$T1866)),IF(INDEX('AFA Rates'!$K$5:$K$1004,$T1866)="","",INDEX('AFA Rates'!$K$5:$K$1004,$T1866))))</f>
        <v/>
      </c>
      <c r="N1866" s="50">
        <f>IF($T1866="","",IF($S1866="S",IF(INDEX(Firms!$M$5:$M$1004,$T1866)="","",INDEX(Firms!$M$5:$M$1004,$T1866)),IF(INDEX('AFA Rates'!$L$5:$L$1004,$T1866)="","",INDEX('AFA Rates'!$L$5:$L$1004,$T1866))))</f>
        <v/>
      </c>
      <c r="O1866" s="78">
        <f>IF(OR($T1866="",$U1866=""),"",IF(INDEX(Firms!$C$5:$C$1004,$U1866)="","",INDEX(Firms!$C$5:$C$1004,$U1866)))</f>
        <v/>
      </c>
      <c r="P1866" s="79">
        <f>IF(OR($T1866="",$U1866=""),"",IF(INDEX(Firms!$N$5:$N$1004,$U1866)="","",INDEX(Firms!$N$5:$N$1004,$U1866)))</f>
        <v/>
      </c>
      <c r="Q1866" s="78">
        <f>IF($T1866="","",IF($S1866="S",IF(INDEX(Firms!$T$5:$T$1004,$T1866)="","",INDEX(Firms!$T$5:$T$1004,$T1866)),IF(INDEX('AFA Rates'!$M$5:$M$1004,$T1866)="","",INDEX('AFA Rates'!$M$5:$M$1004,$T1866))))</f>
        <v/>
      </c>
      <c r="S1866">
        <f>IF(1862&lt;=$S$2,"S",IF(1862&lt;=$S$2+$T$2,"A",""))</f>
        <v/>
      </c>
      <c r="T1866">
        <f>IF(S1866="S",MATCH(1862,Firms!$W$5:$W$1004,0),IF(S1866="A",IFERROR(MATCH(1862-$S$2,'AFA Rates'!$R$5:$R$1004,0),""),""))</f>
        <v/>
      </c>
      <c r="U1866">
        <f>IF(S1866="S",T1866,IF(AND(S1866="A",T1866&lt;&gt;""),IFERROR(MATCH(INDEX('AFA Rates'!$A$5:$A$1004,T1866),Firms!$A$5:$A$1004,0),""),""))</f>
        <v/>
      </c>
    </row>
    <row r="1867">
      <c r="A1867" s="78">
        <f>IF($T1867="","",IF($S1867="S",IF(INDEX(Firms!$A$5:$A$1004,$T1867)="","",INDEX(Firms!$A$5:$A$1004,$T1867)),IF(INDEX('AFA Rates'!$A$5:$A$1004,$T1867)="","",INDEX('AFA Rates'!$A$5:$A$1004,$T1867))))</f>
        <v/>
      </c>
      <c r="B1867" s="79">
        <f>IF(OR($T1867="",$U1867=""),IF($T1867="","","Not on Firms tab"),INDEX(Firms!$B$5:$B$1004,$U1867)&amp;"")</f>
        <v/>
      </c>
      <c r="C1867" s="78">
        <f>IF($T1867="","",IF($S1867="S","Standard",INDEX('AFA Rates'!$B$5:$B$1004,$T1867)&amp;""))</f>
        <v/>
      </c>
      <c r="D1867" s="88">
        <f>IF($T1867="","",IF($S1867="S",IF(INDEX(Firms!$E$5:$E$1004,$T1867)="","",INDEX(Firms!$E$5:$E$1004,$T1867)),IF(INDEX('AFA Rates'!$C$5:$C$1004,$T1867)="","",INDEX('AFA Rates'!$C$5:$C$1004,$T1867))))</f>
        <v/>
      </c>
      <c r="E1867" s="88">
        <f>IF($T1867="","",IF($S1867="S",IF(""="","",""),IF(INDEX('AFA Rates'!$D$5:$D$1004,$T1867)="","",INDEX('AFA Rates'!$D$5:$D$1004,$T1867))))</f>
        <v/>
      </c>
      <c r="F1867" s="79">
        <f>IF($T1867="","",IF($S1867="S",IF(INDEX(Firms!$O$5:$O$1004,$T1867)="","",INDEX(Firms!$O$5:$O$1004,$T1867)),IF(INDEX('AFA Rates'!$O$5:$O$1004,$T1867)="","",INDEX('AFA Rates'!$O$5:$O$1004,$T1867))))</f>
        <v/>
      </c>
      <c r="G1867" s="50">
        <f>IF($T1867="","",IF($S1867="S",IF(INDEX(Firms!$F$5:$F$1004,$T1867)="","",INDEX(Firms!$F$5:$F$1004,$T1867)),IF(INDEX('AFA Rates'!$E$5:$E$1004,$T1867)="","",INDEX('AFA Rates'!$E$5:$E$1004,$T1867))))</f>
        <v/>
      </c>
      <c r="H1867" s="50">
        <f>IF($T1867="","",IF($S1867="S",IF(INDEX(Firms!$G$5:$G$1004,$T1867)="","",INDEX(Firms!$G$5:$G$1004,$T1867)),IF(INDEX('AFA Rates'!$F$5:$F$1004,$T1867)="","",INDEX('AFA Rates'!$F$5:$F$1004,$T1867))))</f>
        <v/>
      </c>
      <c r="I1867" s="50">
        <f>IF($T1867="","",IF($S1867="S",IF(INDEX(Firms!$H$5:$H$1004,$T1867)="","",INDEX(Firms!$H$5:$H$1004,$T1867)),IF(INDEX('AFA Rates'!$G$5:$G$1004,$T1867)="","",INDEX('AFA Rates'!$G$5:$G$1004,$T1867))))</f>
        <v/>
      </c>
      <c r="J1867" s="50">
        <f>IF($T1867="","",IF($S1867="S",IF(INDEX(Firms!$I$5:$I$1004,$T1867)="","",INDEX(Firms!$I$5:$I$1004,$T1867)),IF(INDEX('AFA Rates'!$H$5:$H$1004,$T1867)="","",INDEX('AFA Rates'!$H$5:$H$1004,$T1867))))</f>
        <v/>
      </c>
      <c r="K1867" s="50">
        <f>IF($T1867="","",IF($S1867="S",IF(INDEX(Firms!$J$5:$J$1004,$T1867)="","",INDEX(Firms!$J$5:$J$1004,$T1867)),IF(INDEX('AFA Rates'!$I$5:$I$1004,$T1867)="","",INDEX('AFA Rates'!$I$5:$I$1004,$T1867))))</f>
        <v/>
      </c>
      <c r="L1867" s="50">
        <f>IF($T1867="","",IF($S1867="S",IF(INDEX(Firms!$K$5:$K$1004,$T1867)="","",INDEX(Firms!$K$5:$K$1004,$T1867)),IF(INDEX('AFA Rates'!$J$5:$J$1004,$T1867)="","",INDEX('AFA Rates'!$J$5:$J$1004,$T1867))))</f>
        <v/>
      </c>
      <c r="M1867" s="50">
        <f>IF($T1867="","",IF($S1867="S",IF(INDEX(Firms!$L$5:$L$1004,$T1867)="","",INDEX(Firms!$L$5:$L$1004,$T1867)),IF(INDEX('AFA Rates'!$K$5:$K$1004,$T1867)="","",INDEX('AFA Rates'!$K$5:$K$1004,$T1867))))</f>
        <v/>
      </c>
      <c r="N1867" s="50">
        <f>IF($T1867="","",IF($S1867="S",IF(INDEX(Firms!$M$5:$M$1004,$T1867)="","",INDEX(Firms!$M$5:$M$1004,$T1867)),IF(INDEX('AFA Rates'!$L$5:$L$1004,$T1867)="","",INDEX('AFA Rates'!$L$5:$L$1004,$T1867))))</f>
        <v/>
      </c>
      <c r="O1867" s="78">
        <f>IF(OR($T1867="",$U1867=""),"",IF(INDEX(Firms!$C$5:$C$1004,$U1867)="","",INDEX(Firms!$C$5:$C$1004,$U1867)))</f>
        <v/>
      </c>
      <c r="P1867" s="79">
        <f>IF(OR($T1867="",$U1867=""),"",IF(INDEX(Firms!$N$5:$N$1004,$U1867)="","",INDEX(Firms!$N$5:$N$1004,$U1867)))</f>
        <v/>
      </c>
      <c r="Q1867" s="78">
        <f>IF($T1867="","",IF($S1867="S",IF(INDEX(Firms!$T$5:$T$1004,$T1867)="","",INDEX(Firms!$T$5:$T$1004,$T1867)),IF(INDEX('AFA Rates'!$M$5:$M$1004,$T1867)="","",INDEX('AFA Rates'!$M$5:$M$1004,$T1867))))</f>
        <v/>
      </c>
      <c r="S1867">
        <f>IF(1863&lt;=$S$2,"S",IF(1863&lt;=$S$2+$T$2,"A",""))</f>
        <v/>
      </c>
      <c r="T1867">
        <f>IF(S1867="S",MATCH(1863,Firms!$W$5:$W$1004,0),IF(S1867="A",IFERROR(MATCH(1863-$S$2,'AFA Rates'!$R$5:$R$1004,0),""),""))</f>
        <v/>
      </c>
      <c r="U1867">
        <f>IF(S1867="S",T1867,IF(AND(S1867="A",T1867&lt;&gt;""),IFERROR(MATCH(INDEX('AFA Rates'!$A$5:$A$1004,T1867),Firms!$A$5:$A$1004,0),""),""))</f>
        <v/>
      </c>
    </row>
    <row r="1868">
      <c r="A1868" s="78">
        <f>IF($T1868="","",IF($S1868="S",IF(INDEX(Firms!$A$5:$A$1004,$T1868)="","",INDEX(Firms!$A$5:$A$1004,$T1868)),IF(INDEX('AFA Rates'!$A$5:$A$1004,$T1868)="","",INDEX('AFA Rates'!$A$5:$A$1004,$T1868))))</f>
        <v/>
      </c>
      <c r="B1868" s="79">
        <f>IF(OR($T1868="",$U1868=""),IF($T1868="","","Not on Firms tab"),INDEX(Firms!$B$5:$B$1004,$U1868)&amp;"")</f>
        <v/>
      </c>
      <c r="C1868" s="78">
        <f>IF($T1868="","",IF($S1868="S","Standard",INDEX('AFA Rates'!$B$5:$B$1004,$T1868)&amp;""))</f>
        <v/>
      </c>
      <c r="D1868" s="88">
        <f>IF($T1868="","",IF($S1868="S",IF(INDEX(Firms!$E$5:$E$1004,$T1868)="","",INDEX(Firms!$E$5:$E$1004,$T1868)),IF(INDEX('AFA Rates'!$C$5:$C$1004,$T1868)="","",INDEX('AFA Rates'!$C$5:$C$1004,$T1868))))</f>
        <v/>
      </c>
      <c r="E1868" s="88">
        <f>IF($T1868="","",IF($S1868="S",IF(""="","",""),IF(INDEX('AFA Rates'!$D$5:$D$1004,$T1868)="","",INDEX('AFA Rates'!$D$5:$D$1004,$T1868))))</f>
        <v/>
      </c>
      <c r="F1868" s="79">
        <f>IF($T1868="","",IF($S1868="S",IF(INDEX(Firms!$O$5:$O$1004,$T1868)="","",INDEX(Firms!$O$5:$O$1004,$T1868)),IF(INDEX('AFA Rates'!$O$5:$O$1004,$T1868)="","",INDEX('AFA Rates'!$O$5:$O$1004,$T1868))))</f>
        <v/>
      </c>
      <c r="G1868" s="50">
        <f>IF($T1868="","",IF($S1868="S",IF(INDEX(Firms!$F$5:$F$1004,$T1868)="","",INDEX(Firms!$F$5:$F$1004,$T1868)),IF(INDEX('AFA Rates'!$E$5:$E$1004,$T1868)="","",INDEX('AFA Rates'!$E$5:$E$1004,$T1868))))</f>
        <v/>
      </c>
      <c r="H1868" s="50">
        <f>IF($T1868="","",IF($S1868="S",IF(INDEX(Firms!$G$5:$G$1004,$T1868)="","",INDEX(Firms!$G$5:$G$1004,$T1868)),IF(INDEX('AFA Rates'!$F$5:$F$1004,$T1868)="","",INDEX('AFA Rates'!$F$5:$F$1004,$T1868))))</f>
        <v/>
      </c>
      <c r="I1868" s="50">
        <f>IF($T1868="","",IF($S1868="S",IF(INDEX(Firms!$H$5:$H$1004,$T1868)="","",INDEX(Firms!$H$5:$H$1004,$T1868)),IF(INDEX('AFA Rates'!$G$5:$G$1004,$T1868)="","",INDEX('AFA Rates'!$G$5:$G$1004,$T1868))))</f>
        <v/>
      </c>
      <c r="J1868" s="50">
        <f>IF($T1868="","",IF($S1868="S",IF(INDEX(Firms!$I$5:$I$1004,$T1868)="","",INDEX(Firms!$I$5:$I$1004,$T1868)),IF(INDEX('AFA Rates'!$H$5:$H$1004,$T1868)="","",INDEX('AFA Rates'!$H$5:$H$1004,$T1868))))</f>
        <v/>
      </c>
      <c r="K1868" s="50">
        <f>IF($T1868="","",IF($S1868="S",IF(INDEX(Firms!$J$5:$J$1004,$T1868)="","",INDEX(Firms!$J$5:$J$1004,$T1868)),IF(INDEX('AFA Rates'!$I$5:$I$1004,$T1868)="","",INDEX('AFA Rates'!$I$5:$I$1004,$T1868))))</f>
        <v/>
      </c>
      <c r="L1868" s="50">
        <f>IF($T1868="","",IF($S1868="S",IF(INDEX(Firms!$K$5:$K$1004,$T1868)="","",INDEX(Firms!$K$5:$K$1004,$T1868)),IF(INDEX('AFA Rates'!$J$5:$J$1004,$T1868)="","",INDEX('AFA Rates'!$J$5:$J$1004,$T1868))))</f>
        <v/>
      </c>
      <c r="M1868" s="50">
        <f>IF($T1868="","",IF($S1868="S",IF(INDEX(Firms!$L$5:$L$1004,$T1868)="","",INDEX(Firms!$L$5:$L$1004,$T1868)),IF(INDEX('AFA Rates'!$K$5:$K$1004,$T1868)="","",INDEX('AFA Rates'!$K$5:$K$1004,$T1868))))</f>
        <v/>
      </c>
      <c r="N1868" s="50">
        <f>IF($T1868="","",IF($S1868="S",IF(INDEX(Firms!$M$5:$M$1004,$T1868)="","",INDEX(Firms!$M$5:$M$1004,$T1868)),IF(INDEX('AFA Rates'!$L$5:$L$1004,$T1868)="","",INDEX('AFA Rates'!$L$5:$L$1004,$T1868))))</f>
        <v/>
      </c>
      <c r="O1868" s="78">
        <f>IF(OR($T1868="",$U1868=""),"",IF(INDEX(Firms!$C$5:$C$1004,$U1868)="","",INDEX(Firms!$C$5:$C$1004,$U1868)))</f>
        <v/>
      </c>
      <c r="P1868" s="79">
        <f>IF(OR($T1868="",$U1868=""),"",IF(INDEX(Firms!$N$5:$N$1004,$U1868)="","",INDEX(Firms!$N$5:$N$1004,$U1868)))</f>
        <v/>
      </c>
      <c r="Q1868" s="78">
        <f>IF($T1868="","",IF($S1868="S",IF(INDEX(Firms!$T$5:$T$1004,$T1868)="","",INDEX(Firms!$T$5:$T$1004,$T1868)),IF(INDEX('AFA Rates'!$M$5:$M$1004,$T1868)="","",INDEX('AFA Rates'!$M$5:$M$1004,$T1868))))</f>
        <v/>
      </c>
      <c r="S1868">
        <f>IF(1864&lt;=$S$2,"S",IF(1864&lt;=$S$2+$T$2,"A",""))</f>
        <v/>
      </c>
      <c r="T1868">
        <f>IF(S1868="S",MATCH(1864,Firms!$W$5:$W$1004,0),IF(S1868="A",IFERROR(MATCH(1864-$S$2,'AFA Rates'!$R$5:$R$1004,0),""),""))</f>
        <v/>
      </c>
      <c r="U1868">
        <f>IF(S1868="S",T1868,IF(AND(S1868="A",T1868&lt;&gt;""),IFERROR(MATCH(INDEX('AFA Rates'!$A$5:$A$1004,T1868),Firms!$A$5:$A$1004,0),""),""))</f>
        <v/>
      </c>
    </row>
    <row r="1869">
      <c r="A1869" s="78">
        <f>IF($T1869="","",IF($S1869="S",IF(INDEX(Firms!$A$5:$A$1004,$T1869)="","",INDEX(Firms!$A$5:$A$1004,$T1869)),IF(INDEX('AFA Rates'!$A$5:$A$1004,$T1869)="","",INDEX('AFA Rates'!$A$5:$A$1004,$T1869))))</f>
        <v/>
      </c>
      <c r="B1869" s="79">
        <f>IF(OR($T1869="",$U1869=""),IF($T1869="","","Not on Firms tab"),INDEX(Firms!$B$5:$B$1004,$U1869)&amp;"")</f>
        <v/>
      </c>
      <c r="C1869" s="78">
        <f>IF($T1869="","",IF($S1869="S","Standard",INDEX('AFA Rates'!$B$5:$B$1004,$T1869)&amp;""))</f>
        <v/>
      </c>
      <c r="D1869" s="88">
        <f>IF($T1869="","",IF($S1869="S",IF(INDEX(Firms!$E$5:$E$1004,$T1869)="","",INDEX(Firms!$E$5:$E$1004,$T1869)),IF(INDEX('AFA Rates'!$C$5:$C$1004,$T1869)="","",INDEX('AFA Rates'!$C$5:$C$1004,$T1869))))</f>
        <v/>
      </c>
      <c r="E1869" s="88">
        <f>IF($T1869="","",IF($S1869="S",IF(""="","",""),IF(INDEX('AFA Rates'!$D$5:$D$1004,$T1869)="","",INDEX('AFA Rates'!$D$5:$D$1004,$T1869))))</f>
        <v/>
      </c>
      <c r="F1869" s="79">
        <f>IF($T1869="","",IF($S1869="S",IF(INDEX(Firms!$O$5:$O$1004,$T1869)="","",INDEX(Firms!$O$5:$O$1004,$T1869)),IF(INDEX('AFA Rates'!$O$5:$O$1004,$T1869)="","",INDEX('AFA Rates'!$O$5:$O$1004,$T1869))))</f>
        <v/>
      </c>
      <c r="G1869" s="50">
        <f>IF($T1869="","",IF($S1869="S",IF(INDEX(Firms!$F$5:$F$1004,$T1869)="","",INDEX(Firms!$F$5:$F$1004,$T1869)),IF(INDEX('AFA Rates'!$E$5:$E$1004,$T1869)="","",INDEX('AFA Rates'!$E$5:$E$1004,$T1869))))</f>
        <v/>
      </c>
      <c r="H1869" s="50">
        <f>IF($T1869="","",IF($S1869="S",IF(INDEX(Firms!$G$5:$G$1004,$T1869)="","",INDEX(Firms!$G$5:$G$1004,$T1869)),IF(INDEX('AFA Rates'!$F$5:$F$1004,$T1869)="","",INDEX('AFA Rates'!$F$5:$F$1004,$T1869))))</f>
        <v/>
      </c>
      <c r="I1869" s="50">
        <f>IF($T1869="","",IF($S1869="S",IF(INDEX(Firms!$H$5:$H$1004,$T1869)="","",INDEX(Firms!$H$5:$H$1004,$T1869)),IF(INDEX('AFA Rates'!$G$5:$G$1004,$T1869)="","",INDEX('AFA Rates'!$G$5:$G$1004,$T1869))))</f>
        <v/>
      </c>
      <c r="J1869" s="50">
        <f>IF($T1869="","",IF($S1869="S",IF(INDEX(Firms!$I$5:$I$1004,$T1869)="","",INDEX(Firms!$I$5:$I$1004,$T1869)),IF(INDEX('AFA Rates'!$H$5:$H$1004,$T1869)="","",INDEX('AFA Rates'!$H$5:$H$1004,$T1869))))</f>
        <v/>
      </c>
      <c r="K1869" s="50">
        <f>IF($T1869="","",IF($S1869="S",IF(INDEX(Firms!$J$5:$J$1004,$T1869)="","",INDEX(Firms!$J$5:$J$1004,$T1869)),IF(INDEX('AFA Rates'!$I$5:$I$1004,$T1869)="","",INDEX('AFA Rates'!$I$5:$I$1004,$T1869))))</f>
        <v/>
      </c>
      <c r="L1869" s="50">
        <f>IF($T1869="","",IF($S1869="S",IF(INDEX(Firms!$K$5:$K$1004,$T1869)="","",INDEX(Firms!$K$5:$K$1004,$T1869)),IF(INDEX('AFA Rates'!$J$5:$J$1004,$T1869)="","",INDEX('AFA Rates'!$J$5:$J$1004,$T1869))))</f>
        <v/>
      </c>
      <c r="M1869" s="50">
        <f>IF($T1869="","",IF($S1869="S",IF(INDEX(Firms!$L$5:$L$1004,$T1869)="","",INDEX(Firms!$L$5:$L$1004,$T1869)),IF(INDEX('AFA Rates'!$K$5:$K$1004,$T1869)="","",INDEX('AFA Rates'!$K$5:$K$1004,$T1869))))</f>
        <v/>
      </c>
      <c r="N1869" s="50">
        <f>IF($T1869="","",IF($S1869="S",IF(INDEX(Firms!$M$5:$M$1004,$T1869)="","",INDEX(Firms!$M$5:$M$1004,$T1869)),IF(INDEX('AFA Rates'!$L$5:$L$1004,$T1869)="","",INDEX('AFA Rates'!$L$5:$L$1004,$T1869))))</f>
        <v/>
      </c>
      <c r="O1869" s="78">
        <f>IF(OR($T1869="",$U1869=""),"",IF(INDEX(Firms!$C$5:$C$1004,$U1869)="","",INDEX(Firms!$C$5:$C$1004,$U1869)))</f>
        <v/>
      </c>
      <c r="P1869" s="79">
        <f>IF(OR($T1869="",$U1869=""),"",IF(INDEX(Firms!$N$5:$N$1004,$U1869)="","",INDEX(Firms!$N$5:$N$1004,$U1869)))</f>
        <v/>
      </c>
      <c r="Q1869" s="78">
        <f>IF($T1869="","",IF($S1869="S",IF(INDEX(Firms!$T$5:$T$1004,$T1869)="","",INDEX(Firms!$T$5:$T$1004,$T1869)),IF(INDEX('AFA Rates'!$M$5:$M$1004,$T1869)="","",INDEX('AFA Rates'!$M$5:$M$1004,$T1869))))</f>
        <v/>
      </c>
      <c r="S1869">
        <f>IF(1865&lt;=$S$2,"S",IF(1865&lt;=$S$2+$T$2,"A",""))</f>
        <v/>
      </c>
      <c r="T1869">
        <f>IF(S1869="S",MATCH(1865,Firms!$W$5:$W$1004,0),IF(S1869="A",IFERROR(MATCH(1865-$S$2,'AFA Rates'!$R$5:$R$1004,0),""),""))</f>
        <v/>
      </c>
      <c r="U1869">
        <f>IF(S1869="S",T1869,IF(AND(S1869="A",T1869&lt;&gt;""),IFERROR(MATCH(INDEX('AFA Rates'!$A$5:$A$1004,T1869),Firms!$A$5:$A$1004,0),""),""))</f>
        <v/>
      </c>
    </row>
    <row r="1870">
      <c r="A1870" s="78">
        <f>IF($T1870="","",IF($S1870="S",IF(INDEX(Firms!$A$5:$A$1004,$T1870)="","",INDEX(Firms!$A$5:$A$1004,$T1870)),IF(INDEX('AFA Rates'!$A$5:$A$1004,$T1870)="","",INDEX('AFA Rates'!$A$5:$A$1004,$T1870))))</f>
        <v/>
      </c>
      <c r="B1870" s="79">
        <f>IF(OR($T1870="",$U1870=""),IF($T1870="","","Not on Firms tab"),INDEX(Firms!$B$5:$B$1004,$U1870)&amp;"")</f>
        <v/>
      </c>
      <c r="C1870" s="78">
        <f>IF($T1870="","",IF($S1870="S","Standard",INDEX('AFA Rates'!$B$5:$B$1004,$T1870)&amp;""))</f>
        <v/>
      </c>
      <c r="D1870" s="88">
        <f>IF($T1870="","",IF($S1870="S",IF(INDEX(Firms!$E$5:$E$1004,$T1870)="","",INDEX(Firms!$E$5:$E$1004,$T1870)),IF(INDEX('AFA Rates'!$C$5:$C$1004,$T1870)="","",INDEX('AFA Rates'!$C$5:$C$1004,$T1870))))</f>
        <v/>
      </c>
      <c r="E1870" s="88">
        <f>IF($T1870="","",IF($S1870="S",IF(""="","",""),IF(INDEX('AFA Rates'!$D$5:$D$1004,$T1870)="","",INDEX('AFA Rates'!$D$5:$D$1004,$T1870))))</f>
        <v/>
      </c>
      <c r="F1870" s="79">
        <f>IF($T1870="","",IF($S1870="S",IF(INDEX(Firms!$O$5:$O$1004,$T1870)="","",INDEX(Firms!$O$5:$O$1004,$T1870)),IF(INDEX('AFA Rates'!$O$5:$O$1004,$T1870)="","",INDEX('AFA Rates'!$O$5:$O$1004,$T1870))))</f>
        <v/>
      </c>
      <c r="G1870" s="50">
        <f>IF($T1870="","",IF($S1870="S",IF(INDEX(Firms!$F$5:$F$1004,$T1870)="","",INDEX(Firms!$F$5:$F$1004,$T1870)),IF(INDEX('AFA Rates'!$E$5:$E$1004,$T1870)="","",INDEX('AFA Rates'!$E$5:$E$1004,$T1870))))</f>
        <v/>
      </c>
      <c r="H1870" s="50">
        <f>IF($T1870="","",IF($S1870="S",IF(INDEX(Firms!$G$5:$G$1004,$T1870)="","",INDEX(Firms!$G$5:$G$1004,$T1870)),IF(INDEX('AFA Rates'!$F$5:$F$1004,$T1870)="","",INDEX('AFA Rates'!$F$5:$F$1004,$T1870))))</f>
        <v/>
      </c>
      <c r="I1870" s="50">
        <f>IF($T1870="","",IF($S1870="S",IF(INDEX(Firms!$H$5:$H$1004,$T1870)="","",INDEX(Firms!$H$5:$H$1004,$T1870)),IF(INDEX('AFA Rates'!$G$5:$G$1004,$T1870)="","",INDEX('AFA Rates'!$G$5:$G$1004,$T1870))))</f>
        <v/>
      </c>
      <c r="J1870" s="50">
        <f>IF($T1870="","",IF($S1870="S",IF(INDEX(Firms!$I$5:$I$1004,$T1870)="","",INDEX(Firms!$I$5:$I$1004,$T1870)),IF(INDEX('AFA Rates'!$H$5:$H$1004,$T1870)="","",INDEX('AFA Rates'!$H$5:$H$1004,$T1870))))</f>
        <v/>
      </c>
      <c r="K1870" s="50">
        <f>IF($T1870="","",IF($S1870="S",IF(INDEX(Firms!$J$5:$J$1004,$T1870)="","",INDEX(Firms!$J$5:$J$1004,$T1870)),IF(INDEX('AFA Rates'!$I$5:$I$1004,$T1870)="","",INDEX('AFA Rates'!$I$5:$I$1004,$T1870))))</f>
        <v/>
      </c>
      <c r="L1870" s="50">
        <f>IF($T1870="","",IF($S1870="S",IF(INDEX(Firms!$K$5:$K$1004,$T1870)="","",INDEX(Firms!$K$5:$K$1004,$T1870)),IF(INDEX('AFA Rates'!$J$5:$J$1004,$T1870)="","",INDEX('AFA Rates'!$J$5:$J$1004,$T1870))))</f>
        <v/>
      </c>
      <c r="M1870" s="50">
        <f>IF($T1870="","",IF($S1870="S",IF(INDEX(Firms!$L$5:$L$1004,$T1870)="","",INDEX(Firms!$L$5:$L$1004,$T1870)),IF(INDEX('AFA Rates'!$K$5:$K$1004,$T1870)="","",INDEX('AFA Rates'!$K$5:$K$1004,$T1870))))</f>
        <v/>
      </c>
      <c r="N1870" s="50">
        <f>IF($T1870="","",IF($S1870="S",IF(INDEX(Firms!$M$5:$M$1004,$T1870)="","",INDEX(Firms!$M$5:$M$1004,$T1870)),IF(INDEX('AFA Rates'!$L$5:$L$1004,$T1870)="","",INDEX('AFA Rates'!$L$5:$L$1004,$T1870))))</f>
        <v/>
      </c>
      <c r="O1870" s="78">
        <f>IF(OR($T1870="",$U1870=""),"",IF(INDEX(Firms!$C$5:$C$1004,$U1870)="","",INDEX(Firms!$C$5:$C$1004,$U1870)))</f>
        <v/>
      </c>
      <c r="P1870" s="79">
        <f>IF(OR($T1870="",$U1870=""),"",IF(INDEX(Firms!$N$5:$N$1004,$U1870)="","",INDEX(Firms!$N$5:$N$1004,$U1870)))</f>
        <v/>
      </c>
      <c r="Q1870" s="78">
        <f>IF($T1870="","",IF($S1870="S",IF(INDEX(Firms!$T$5:$T$1004,$T1870)="","",INDEX(Firms!$T$5:$T$1004,$T1870)),IF(INDEX('AFA Rates'!$M$5:$M$1004,$T1870)="","",INDEX('AFA Rates'!$M$5:$M$1004,$T1870))))</f>
        <v/>
      </c>
      <c r="S1870">
        <f>IF(1866&lt;=$S$2,"S",IF(1866&lt;=$S$2+$T$2,"A",""))</f>
        <v/>
      </c>
      <c r="T1870">
        <f>IF(S1870="S",MATCH(1866,Firms!$W$5:$W$1004,0),IF(S1870="A",IFERROR(MATCH(1866-$S$2,'AFA Rates'!$R$5:$R$1004,0),""),""))</f>
        <v/>
      </c>
      <c r="U1870">
        <f>IF(S1870="S",T1870,IF(AND(S1870="A",T1870&lt;&gt;""),IFERROR(MATCH(INDEX('AFA Rates'!$A$5:$A$1004,T1870),Firms!$A$5:$A$1004,0),""),""))</f>
        <v/>
      </c>
    </row>
    <row r="1871">
      <c r="A1871" s="78">
        <f>IF($T1871="","",IF($S1871="S",IF(INDEX(Firms!$A$5:$A$1004,$T1871)="","",INDEX(Firms!$A$5:$A$1004,$T1871)),IF(INDEX('AFA Rates'!$A$5:$A$1004,$T1871)="","",INDEX('AFA Rates'!$A$5:$A$1004,$T1871))))</f>
        <v/>
      </c>
      <c r="B1871" s="79">
        <f>IF(OR($T1871="",$U1871=""),IF($T1871="","","Not on Firms tab"),INDEX(Firms!$B$5:$B$1004,$U1871)&amp;"")</f>
        <v/>
      </c>
      <c r="C1871" s="78">
        <f>IF($T1871="","",IF($S1871="S","Standard",INDEX('AFA Rates'!$B$5:$B$1004,$T1871)&amp;""))</f>
        <v/>
      </c>
      <c r="D1871" s="88">
        <f>IF($T1871="","",IF($S1871="S",IF(INDEX(Firms!$E$5:$E$1004,$T1871)="","",INDEX(Firms!$E$5:$E$1004,$T1871)),IF(INDEX('AFA Rates'!$C$5:$C$1004,$T1871)="","",INDEX('AFA Rates'!$C$5:$C$1004,$T1871))))</f>
        <v/>
      </c>
      <c r="E1871" s="88">
        <f>IF($T1871="","",IF($S1871="S",IF(""="","",""),IF(INDEX('AFA Rates'!$D$5:$D$1004,$T1871)="","",INDEX('AFA Rates'!$D$5:$D$1004,$T1871))))</f>
        <v/>
      </c>
      <c r="F1871" s="79">
        <f>IF($T1871="","",IF($S1871="S",IF(INDEX(Firms!$O$5:$O$1004,$T1871)="","",INDEX(Firms!$O$5:$O$1004,$T1871)),IF(INDEX('AFA Rates'!$O$5:$O$1004,$T1871)="","",INDEX('AFA Rates'!$O$5:$O$1004,$T1871))))</f>
        <v/>
      </c>
      <c r="G1871" s="50">
        <f>IF($T1871="","",IF($S1871="S",IF(INDEX(Firms!$F$5:$F$1004,$T1871)="","",INDEX(Firms!$F$5:$F$1004,$T1871)),IF(INDEX('AFA Rates'!$E$5:$E$1004,$T1871)="","",INDEX('AFA Rates'!$E$5:$E$1004,$T1871))))</f>
        <v/>
      </c>
      <c r="H1871" s="50">
        <f>IF($T1871="","",IF($S1871="S",IF(INDEX(Firms!$G$5:$G$1004,$T1871)="","",INDEX(Firms!$G$5:$G$1004,$T1871)),IF(INDEX('AFA Rates'!$F$5:$F$1004,$T1871)="","",INDEX('AFA Rates'!$F$5:$F$1004,$T1871))))</f>
        <v/>
      </c>
      <c r="I1871" s="50">
        <f>IF($T1871="","",IF($S1871="S",IF(INDEX(Firms!$H$5:$H$1004,$T1871)="","",INDEX(Firms!$H$5:$H$1004,$T1871)),IF(INDEX('AFA Rates'!$G$5:$G$1004,$T1871)="","",INDEX('AFA Rates'!$G$5:$G$1004,$T1871))))</f>
        <v/>
      </c>
      <c r="J1871" s="50">
        <f>IF($T1871="","",IF($S1871="S",IF(INDEX(Firms!$I$5:$I$1004,$T1871)="","",INDEX(Firms!$I$5:$I$1004,$T1871)),IF(INDEX('AFA Rates'!$H$5:$H$1004,$T1871)="","",INDEX('AFA Rates'!$H$5:$H$1004,$T1871))))</f>
        <v/>
      </c>
      <c r="K1871" s="50">
        <f>IF($T1871="","",IF($S1871="S",IF(INDEX(Firms!$J$5:$J$1004,$T1871)="","",INDEX(Firms!$J$5:$J$1004,$T1871)),IF(INDEX('AFA Rates'!$I$5:$I$1004,$T1871)="","",INDEX('AFA Rates'!$I$5:$I$1004,$T1871))))</f>
        <v/>
      </c>
      <c r="L1871" s="50">
        <f>IF($T1871="","",IF($S1871="S",IF(INDEX(Firms!$K$5:$K$1004,$T1871)="","",INDEX(Firms!$K$5:$K$1004,$T1871)),IF(INDEX('AFA Rates'!$J$5:$J$1004,$T1871)="","",INDEX('AFA Rates'!$J$5:$J$1004,$T1871))))</f>
        <v/>
      </c>
      <c r="M1871" s="50">
        <f>IF($T1871="","",IF($S1871="S",IF(INDEX(Firms!$L$5:$L$1004,$T1871)="","",INDEX(Firms!$L$5:$L$1004,$T1871)),IF(INDEX('AFA Rates'!$K$5:$K$1004,$T1871)="","",INDEX('AFA Rates'!$K$5:$K$1004,$T1871))))</f>
        <v/>
      </c>
      <c r="N1871" s="50">
        <f>IF($T1871="","",IF($S1871="S",IF(INDEX(Firms!$M$5:$M$1004,$T1871)="","",INDEX(Firms!$M$5:$M$1004,$T1871)),IF(INDEX('AFA Rates'!$L$5:$L$1004,$T1871)="","",INDEX('AFA Rates'!$L$5:$L$1004,$T1871))))</f>
        <v/>
      </c>
      <c r="O1871" s="78">
        <f>IF(OR($T1871="",$U1871=""),"",IF(INDEX(Firms!$C$5:$C$1004,$U1871)="","",INDEX(Firms!$C$5:$C$1004,$U1871)))</f>
        <v/>
      </c>
      <c r="P1871" s="79">
        <f>IF(OR($T1871="",$U1871=""),"",IF(INDEX(Firms!$N$5:$N$1004,$U1871)="","",INDEX(Firms!$N$5:$N$1004,$U1871)))</f>
        <v/>
      </c>
      <c r="Q1871" s="78">
        <f>IF($T1871="","",IF($S1871="S",IF(INDEX(Firms!$T$5:$T$1004,$T1871)="","",INDEX(Firms!$T$5:$T$1004,$T1871)),IF(INDEX('AFA Rates'!$M$5:$M$1004,$T1871)="","",INDEX('AFA Rates'!$M$5:$M$1004,$T1871))))</f>
        <v/>
      </c>
      <c r="S1871">
        <f>IF(1867&lt;=$S$2,"S",IF(1867&lt;=$S$2+$T$2,"A",""))</f>
        <v/>
      </c>
      <c r="T1871">
        <f>IF(S1871="S",MATCH(1867,Firms!$W$5:$W$1004,0),IF(S1871="A",IFERROR(MATCH(1867-$S$2,'AFA Rates'!$R$5:$R$1004,0),""),""))</f>
        <v/>
      </c>
      <c r="U1871">
        <f>IF(S1871="S",T1871,IF(AND(S1871="A",T1871&lt;&gt;""),IFERROR(MATCH(INDEX('AFA Rates'!$A$5:$A$1004,T1871),Firms!$A$5:$A$1004,0),""),""))</f>
        <v/>
      </c>
    </row>
    <row r="1872">
      <c r="A1872" s="78">
        <f>IF($T1872="","",IF($S1872="S",IF(INDEX(Firms!$A$5:$A$1004,$T1872)="","",INDEX(Firms!$A$5:$A$1004,$T1872)),IF(INDEX('AFA Rates'!$A$5:$A$1004,$T1872)="","",INDEX('AFA Rates'!$A$5:$A$1004,$T1872))))</f>
        <v/>
      </c>
      <c r="B1872" s="79">
        <f>IF(OR($T1872="",$U1872=""),IF($T1872="","","Not on Firms tab"),INDEX(Firms!$B$5:$B$1004,$U1872)&amp;"")</f>
        <v/>
      </c>
      <c r="C1872" s="78">
        <f>IF($T1872="","",IF($S1872="S","Standard",INDEX('AFA Rates'!$B$5:$B$1004,$T1872)&amp;""))</f>
        <v/>
      </c>
      <c r="D1872" s="88">
        <f>IF($T1872="","",IF($S1872="S",IF(INDEX(Firms!$E$5:$E$1004,$T1872)="","",INDEX(Firms!$E$5:$E$1004,$T1872)),IF(INDEX('AFA Rates'!$C$5:$C$1004,$T1872)="","",INDEX('AFA Rates'!$C$5:$C$1004,$T1872))))</f>
        <v/>
      </c>
      <c r="E1872" s="88">
        <f>IF($T1872="","",IF($S1872="S",IF(""="","",""),IF(INDEX('AFA Rates'!$D$5:$D$1004,$T1872)="","",INDEX('AFA Rates'!$D$5:$D$1004,$T1872))))</f>
        <v/>
      </c>
      <c r="F1872" s="79">
        <f>IF($T1872="","",IF($S1872="S",IF(INDEX(Firms!$O$5:$O$1004,$T1872)="","",INDEX(Firms!$O$5:$O$1004,$T1872)),IF(INDEX('AFA Rates'!$O$5:$O$1004,$T1872)="","",INDEX('AFA Rates'!$O$5:$O$1004,$T1872))))</f>
        <v/>
      </c>
      <c r="G1872" s="50">
        <f>IF($T1872="","",IF($S1872="S",IF(INDEX(Firms!$F$5:$F$1004,$T1872)="","",INDEX(Firms!$F$5:$F$1004,$T1872)),IF(INDEX('AFA Rates'!$E$5:$E$1004,$T1872)="","",INDEX('AFA Rates'!$E$5:$E$1004,$T1872))))</f>
        <v/>
      </c>
      <c r="H1872" s="50">
        <f>IF($T1872="","",IF($S1872="S",IF(INDEX(Firms!$G$5:$G$1004,$T1872)="","",INDEX(Firms!$G$5:$G$1004,$T1872)),IF(INDEX('AFA Rates'!$F$5:$F$1004,$T1872)="","",INDEX('AFA Rates'!$F$5:$F$1004,$T1872))))</f>
        <v/>
      </c>
      <c r="I1872" s="50">
        <f>IF($T1872="","",IF($S1872="S",IF(INDEX(Firms!$H$5:$H$1004,$T1872)="","",INDEX(Firms!$H$5:$H$1004,$T1872)),IF(INDEX('AFA Rates'!$G$5:$G$1004,$T1872)="","",INDEX('AFA Rates'!$G$5:$G$1004,$T1872))))</f>
        <v/>
      </c>
      <c r="J1872" s="50">
        <f>IF($T1872="","",IF($S1872="S",IF(INDEX(Firms!$I$5:$I$1004,$T1872)="","",INDEX(Firms!$I$5:$I$1004,$T1872)),IF(INDEX('AFA Rates'!$H$5:$H$1004,$T1872)="","",INDEX('AFA Rates'!$H$5:$H$1004,$T1872))))</f>
        <v/>
      </c>
      <c r="K1872" s="50">
        <f>IF($T1872="","",IF($S1872="S",IF(INDEX(Firms!$J$5:$J$1004,$T1872)="","",INDEX(Firms!$J$5:$J$1004,$T1872)),IF(INDEX('AFA Rates'!$I$5:$I$1004,$T1872)="","",INDEX('AFA Rates'!$I$5:$I$1004,$T1872))))</f>
        <v/>
      </c>
      <c r="L1872" s="50">
        <f>IF($T1872="","",IF($S1872="S",IF(INDEX(Firms!$K$5:$K$1004,$T1872)="","",INDEX(Firms!$K$5:$K$1004,$T1872)),IF(INDEX('AFA Rates'!$J$5:$J$1004,$T1872)="","",INDEX('AFA Rates'!$J$5:$J$1004,$T1872))))</f>
        <v/>
      </c>
      <c r="M1872" s="50">
        <f>IF($T1872="","",IF($S1872="S",IF(INDEX(Firms!$L$5:$L$1004,$T1872)="","",INDEX(Firms!$L$5:$L$1004,$T1872)),IF(INDEX('AFA Rates'!$K$5:$K$1004,$T1872)="","",INDEX('AFA Rates'!$K$5:$K$1004,$T1872))))</f>
        <v/>
      </c>
      <c r="N1872" s="50">
        <f>IF($T1872="","",IF($S1872="S",IF(INDEX(Firms!$M$5:$M$1004,$T1872)="","",INDEX(Firms!$M$5:$M$1004,$T1872)),IF(INDEX('AFA Rates'!$L$5:$L$1004,$T1872)="","",INDEX('AFA Rates'!$L$5:$L$1004,$T1872))))</f>
        <v/>
      </c>
      <c r="O1872" s="78">
        <f>IF(OR($T1872="",$U1872=""),"",IF(INDEX(Firms!$C$5:$C$1004,$U1872)="","",INDEX(Firms!$C$5:$C$1004,$U1872)))</f>
        <v/>
      </c>
      <c r="P1872" s="79">
        <f>IF(OR($T1872="",$U1872=""),"",IF(INDEX(Firms!$N$5:$N$1004,$U1872)="","",INDEX(Firms!$N$5:$N$1004,$U1872)))</f>
        <v/>
      </c>
      <c r="Q1872" s="78">
        <f>IF($T1872="","",IF($S1872="S",IF(INDEX(Firms!$T$5:$T$1004,$T1872)="","",INDEX(Firms!$T$5:$T$1004,$T1872)),IF(INDEX('AFA Rates'!$M$5:$M$1004,$T1872)="","",INDEX('AFA Rates'!$M$5:$M$1004,$T1872))))</f>
        <v/>
      </c>
      <c r="S1872">
        <f>IF(1868&lt;=$S$2,"S",IF(1868&lt;=$S$2+$T$2,"A",""))</f>
        <v/>
      </c>
      <c r="T1872">
        <f>IF(S1872="S",MATCH(1868,Firms!$W$5:$W$1004,0),IF(S1872="A",IFERROR(MATCH(1868-$S$2,'AFA Rates'!$R$5:$R$1004,0),""),""))</f>
        <v/>
      </c>
      <c r="U1872">
        <f>IF(S1872="S",T1872,IF(AND(S1872="A",T1872&lt;&gt;""),IFERROR(MATCH(INDEX('AFA Rates'!$A$5:$A$1004,T1872),Firms!$A$5:$A$1004,0),""),""))</f>
        <v/>
      </c>
    </row>
    <row r="1873">
      <c r="A1873" s="78">
        <f>IF($T1873="","",IF($S1873="S",IF(INDEX(Firms!$A$5:$A$1004,$T1873)="","",INDEX(Firms!$A$5:$A$1004,$T1873)),IF(INDEX('AFA Rates'!$A$5:$A$1004,$T1873)="","",INDEX('AFA Rates'!$A$5:$A$1004,$T1873))))</f>
        <v/>
      </c>
      <c r="B1873" s="79">
        <f>IF(OR($T1873="",$U1873=""),IF($T1873="","","Not on Firms tab"),INDEX(Firms!$B$5:$B$1004,$U1873)&amp;"")</f>
        <v/>
      </c>
      <c r="C1873" s="78">
        <f>IF($T1873="","",IF($S1873="S","Standard",INDEX('AFA Rates'!$B$5:$B$1004,$T1873)&amp;""))</f>
        <v/>
      </c>
      <c r="D1873" s="88">
        <f>IF($T1873="","",IF($S1873="S",IF(INDEX(Firms!$E$5:$E$1004,$T1873)="","",INDEX(Firms!$E$5:$E$1004,$T1873)),IF(INDEX('AFA Rates'!$C$5:$C$1004,$T1873)="","",INDEX('AFA Rates'!$C$5:$C$1004,$T1873))))</f>
        <v/>
      </c>
      <c r="E1873" s="88">
        <f>IF($T1873="","",IF($S1873="S",IF(""="","",""),IF(INDEX('AFA Rates'!$D$5:$D$1004,$T1873)="","",INDEX('AFA Rates'!$D$5:$D$1004,$T1873))))</f>
        <v/>
      </c>
      <c r="F1873" s="79">
        <f>IF($T1873="","",IF($S1873="S",IF(INDEX(Firms!$O$5:$O$1004,$T1873)="","",INDEX(Firms!$O$5:$O$1004,$T1873)),IF(INDEX('AFA Rates'!$O$5:$O$1004,$T1873)="","",INDEX('AFA Rates'!$O$5:$O$1004,$T1873))))</f>
        <v/>
      </c>
      <c r="G1873" s="50">
        <f>IF($T1873="","",IF($S1873="S",IF(INDEX(Firms!$F$5:$F$1004,$T1873)="","",INDEX(Firms!$F$5:$F$1004,$T1873)),IF(INDEX('AFA Rates'!$E$5:$E$1004,$T1873)="","",INDEX('AFA Rates'!$E$5:$E$1004,$T1873))))</f>
        <v/>
      </c>
      <c r="H1873" s="50">
        <f>IF($T1873="","",IF($S1873="S",IF(INDEX(Firms!$G$5:$G$1004,$T1873)="","",INDEX(Firms!$G$5:$G$1004,$T1873)),IF(INDEX('AFA Rates'!$F$5:$F$1004,$T1873)="","",INDEX('AFA Rates'!$F$5:$F$1004,$T1873))))</f>
        <v/>
      </c>
      <c r="I1873" s="50">
        <f>IF($T1873="","",IF($S1873="S",IF(INDEX(Firms!$H$5:$H$1004,$T1873)="","",INDEX(Firms!$H$5:$H$1004,$T1873)),IF(INDEX('AFA Rates'!$G$5:$G$1004,$T1873)="","",INDEX('AFA Rates'!$G$5:$G$1004,$T1873))))</f>
        <v/>
      </c>
      <c r="J1873" s="50">
        <f>IF($T1873="","",IF($S1873="S",IF(INDEX(Firms!$I$5:$I$1004,$T1873)="","",INDEX(Firms!$I$5:$I$1004,$T1873)),IF(INDEX('AFA Rates'!$H$5:$H$1004,$T1873)="","",INDEX('AFA Rates'!$H$5:$H$1004,$T1873))))</f>
        <v/>
      </c>
      <c r="K1873" s="50">
        <f>IF($T1873="","",IF($S1873="S",IF(INDEX(Firms!$J$5:$J$1004,$T1873)="","",INDEX(Firms!$J$5:$J$1004,$T1873)),IF(INDEX('AFA Rates'!$I$5:$I$1004,$T1873)="","",INDEX('AFA Rates'!$I$5:$I$1004,$T1873))))</f>
        <v/>
      </c>
      <c r="L1873" s="50">
        <f>IF($T1873="","",IF($S1873="S",IF(INDEX(Firms!$K$5:$K$1004,$T1873)="","",INDEX(Firms!$K$5:$K$1004,$T1873)),IF(INDEX('AFA Rates'!$J$5:$J$1004,$T1873)="","",INDEX('AFA Rates'!$J$5:$J$1004,$T1873))))</f>
        <v/>
      </c>
      <c r="M1873" s="50">
        <f>IF($T1873="","",IF($S1873="S",IF(INDEX(Firms!$L$5:$L$1004,$T1873)="","",INDEX(Firms!$L$5:$L$1004,$T1873)),IF(INDEX('AFA Rates'!$K$5:$K$1004,$T1873)="","",INDEX('AFA Rates'!$K$5:$K$1004,$T1873))))</f>
        <v/>
      </c>
      <c r="N1873" s="50">
        <f>IF($T1873="","",IF($S1873="S",IF(INDEX(Firms!$M$5:$M$1004,$T1873)="","",INDEX(Firms!$M$5:$M$1004,$T1873)),IF(INDEX('AFA Rates'!$L$5:$L$1004,$T1873)="","",INDEX('AFA Rates'!$L$5:$L$1004,$T1873))))</f>
        <v/>
      </c>
      <c r="O1873" s="78">
        <f>IF(OR($T1873="",$U1873=""),"",IF(INDEX(Firms!$C$5:$C$1004,$U1873)="","",INDEX(Firms!$C$5:$C$1004,$U1873)))</f>
        <v/>
      </c>
      <c r="P1873" s="79">
        <f>IF(OR($T1873="",$U1873=""),"",IF(INDEX(Firms!$N$5:$N$1004,$U1873)="","",INDEX(Firms!$N$5:$N$1004,$U1873)))</f>
        <v/>
      </c>
      <c r="Q1873" s="78">
        <f>IF($T1873="","",IF($S1873="S",IF(INDEX(Firms!$T$5:$T$1004,$T1873)="","",INDEX(Firms!$T$5:$T$1004,$T1873)),IF(INDEX('AFA Rates'!$M$5:$M$1004,$T1873)="","",INDEX('AFA Rates'!$M$5:$M$1004,$T1873))))</f>
        <v/>
      </c>
      <c r="S1873">
        <f>IF(1869&lt;=$S$2,"S",IF(1869&lt;=$S$2+$T$2,"A",""))</f>
        <v/>
      </c>
      <c r="T1873">
        <f>IF(S1873="S",MATCH(1869,Firms!$W$5:$W$1004,0),IF(S1873="A",IFERROR(MATCH(1869-$S$2,'AFA Rates'!$R$5:$R$1004,0),""),""))</f>
        <v/>
      </c>
      <c r="U1873">
        <f>IF(S1873="S",T1873,IF(AND(S1873="A",T1873&lt;&gt;""),IFERROR(MATCH(INDEX('AFA Rates'!$A$5:$A$1004,T1873),Firms!$A$5:$A$1004,0),""),""))</f>
        <v/>
      </c>
    </row>
    <row r="1874">
      <c r="A1874" s="78">
        <f>IF($T1874="","",IF($S1874="S",IF(INDEX(Firms!$A$5:$A$1004,$T1874)="","",INDEX(Firms!$A$5:$A$1004,$T1874)),IF(INDEX('AFA Rates'!$A$5:$A$1004,$T1874)="","",INDEX('AFA Rates'!$A$5:$A$1004,$T1874))))</f>
        <v/>
      </c>
      <c r="B1874" s="79">
        <f>IF(OR($T1874="",$U1874=""),IF($T1874="","","Not on Firms tab"),INDEX(Firms!$B$5:$B$1004,$U1874)&amp;"")</f>
        <v/>
      </c>
      <c r="C1874" s="78">
        <f>IF($T1874="","",IF($S1874="S","Standard",INDEX('AFA Rates'!$B$5:$B$1004,$T1874)&amp;""))</f>
        <v/>
      </c>
      <c r="D1874" s="88">
        <f>IF($T1874="","",IF($S1874="S",IF(INDEX(Firms!$E$5:$E$1004,$T1874)="","",INDEX(Firms!$E$5:$E$1004,$T1874)),IF(INDEX('AFA Rates'!$C$5:$C$1004,$T1874)="","",INDEX('AFA Rates'!$C$5:$C$1004,$T1874))))</f>
        <v/>
      </c>
      <c r="E1874" s="88">
        <f>IF($T1874="","",IF($S1874="S",IF(""="","",""),IF(INDEX('AFA Rates'!$D$5:$D$1004,$T1874)="","",INDEX('AFA Rates'!$D$5:$D$1004,$T1874))))</f>
        <v/>
      </c>
      <c r="F1874" s="79">
        <f>IF($T1874="","",IF($S1874="S",IF(INDEX(Firms!$O$5:$O$1004,$T1874)="","",INDEX(Firms!$O$5:$O$1004,$T1874)),IF(INDEX('AFA Rates'!$O$5:$O$1004,$T1874)="","",INDEX('AFA Rates'!$O$5:$O$1004,$T1874))))</f>
        <v/>
      </c>
      <c r="G1874" s="50">
        <f>IF($T1874="","",IF($S1874="S",IF(INDEX(Firms!$F$5:$F$1004,$T1874)="","",INDEX(Firms!$F$5:$F$1004,$T1874)),IF(INDEX('AFA Rates'!$E$5:$E$1004,$T1874)="","",INDEX('AFA Rates'!$E$5:$E$1004,$T1874))))</f>
        <v/>
      </c>
      <c r="H1874" s="50">
        <f>IF($T1874="","",IF($S1874="S",IF(INDEX(Firms!$G$5:$G$1004,$T1874)="","",INDEX(Firms!$G$5:$G$1004,$T1874)),IF(INDEX('AFA Rates'!$F$5:$F$1004,$T1874)="","",INDEX('AFA Rates'!$F$5:$F$1004,$T1874))))</f>
        <v/>
      </c>
      <c r="I1874" s="50">
        <f>IF($T1874="","",IF($S1874="S",IF(INDEX(Firms!$H$5:$H$1004,$T1874)="","",INDEX(Firms!$H$5:$H$1004,$T1874)),IF(INDEX('AFA Rates'!$G$5:$G$1004,$T1874)="","",INDEX('AFA Rates'!$G$5:$G$1004,$T1874))))</f>
        <v/>
      </c>
      <c r="J1874" s="50">
        <f>IF($T1874="","",IF($S1874="S",IF(INDEX(Firms!$I$5:$I$1004,$T1874)="","",INDEX(Firms!$I$5:$I$1004,$T1874)),IF(INDEX('AFA Rates'!$H$5:$H$1004,$T1874)="","",INDEX('AFA Rates'!$H$5:$H$1004,$T1874))))</f>
        <v/>
      </c>
      <c r="K1874" s="50">
        <f>IF($T1874="","",IF($S1874="S",IF(INDEX(Firms!$J$5:$J$1004,$T1874)="","",INDEX(Firms!$J$5:$J$1004,$T1874)),IF(INDEX('AFA Rates'!$I$5:$I$1004,$T1874)="","",INDEX('AFA Rates'!$I$5:$I$1004,$T1874))))</f>
        <v/>
      </c>
      <c r="L1874" s="50">
        <f>IF($T1874="","",IF($S1874="S",IF(INDEX(Firms!$K$5:$K$1004,$T1874)="","",INDEX(Firms!$K$5:$K$1004,$T1874)),IF(INDEX('AFA Rates'!$J$5:$J$1004,$T1874)="","",INDEX('AFA Rates'!$J$5:$J$1004,$T1874))))</f>
        <v/>
      </c>
      <c r="M1874" s="50">
        <f>IF($T1874="","",IF($S1874="S",IF(INDEX(Firms!$L$5:$L$1004,$T1874)="","",INDEX(Firms!$L$5:$L$1004,$T1874)),IF(INDEX('AFA Rates'!$K$5:$K$1004,$T1874)="","",INDEX('AFA Rates'!$K$5:$K$1004,$T1874))))</f>
        <v/>
      </c>
      <c r="N1874" s="50">
        <f>IF($T1874="","",IF($S1874="S",IF(INDEX(Firms!$M$5:$M$1004,$T1874)="","",INDEX(Firms!$M$5:$M$1004,$T1874)),IF(INDEX('AFA Rates'!$L$5:$L$1004,$T1874)="","",INDEX('AFA Rates'!$L$5:$L$1004,$T1874))))</f>
        <v/>
      </c>
      <c r="O1874" s="78">
        <f>IF(OR($T1874="",$U1874=""),"",IF(INDEX(Firms!$C$5:$C$1004,$U1874)="","",INDEX(Firms!$C$5:$C$1004,$U1874)))</f>
        <v/>
      </c>
      <c r="P1874" s="79">
        <f>IF(OR($T1874="",$U1874=""),"",IF(INDEX(Firms!$N$5:$N$1004,$U1874)="","",INDEX(Firms!$N$5:$N$1004,$U1874)))</f>
        <v/>
      </c>
      <c r="Q1874" s="78">
        <f>IF($T1874="","",IF($S1874="S",IF(INDEX(Firms!$T$5:$T$1004,$T1874)="","",INDEX(Firms!$T$5:$T$1004,$T1874)),IF(INDEX('AFA Rates'!$M$5:$M$1004,$T1874)="","",INDEX('AFA Rates'!$M$5:$M$1004,$T1874))))</f>
        <v/>
      </c>
      <c r="S1874">
        <f>IF(1870&lt;=$S$2,"S",IF(1870&lt;=$S$2+$T$2,"A",""))</f>
        <v/>
      </c>
      <c r="T1874">
        <f>IF(S1874="S",MATCH(1870,Firms!$W$5:$W$1004,0),IF(S1874="A",IFERROR(MATCH(1870-$S$2,'AFA Rates'!$R$5:$R$1004,0),""),""))</f>
        <v/>
      </c>
      <c r="U1874">
        <f>IF(S1874="S",T1874,IF(AND(S1874="A",T1874&lt;&gt;""),IFERROR(MATCH(INDEX('AFA Rates'!$A$5:$A$1004,T1874),Firms!$A$5:$A$1004,0),""),""))</f>
        <v/>
      </c>
    </row>
    <row r="1875">
      <c r="A1875" s="78">
        <f>IF($T1875="","",IF($S1875="S",IF(INDEX(Firms!$A$5:$A$1004,$T1875)="","",INDEX(Firms!$A$5:$A$1004,$T1875)),IF(INDEX('AFA Rates'!$A$5:$A$1004,$T1875)="","",INDEX('AFA Rates'!$A$5:$A$1004,$T1875))))</f>
        <v/>
      </c>
      <c r="B1875" s="79">
        <f>IF(OR($T1875="",$U1875=""),IF($T1875="","","Not on Firms tab"),INDEX(Firms!$B$5:$B$1004,$U1875)&amp;"")</f>
        <v/>
      </c>
      <c r="C1875" s="78">
        <f>IF($T1875="","",IF($S1875="S","Standard",INDEX('AFA Rates'!$B$5:$B$1004,$T1875)&amp;""))</f>
        <v/>
      </c>
      <c r="D1875" s="88">
        <f>IF($T1875="","",IF($S1875="S",IF(INDEX(Firms!$E$5:$E$1004,$T1875)="","",INDEX(Firms!$E$5:$E$1004,$T1875)),IF(INDEX('AFA Rates'!$C$5:$C$1004,$T1875)="","",INDEX('AFA Rates'!$C$5:$C$1004,$T1875))))</f>
        <v/>
      </c>
      <c r="E1875" s="88">
        <f>IF($T1875="","",IF($S1875="S",IF(""="","",""),IF(INDEX('AFA Rates'!$D$5:$D$1004,$T1875)="","",INDEX('AFA Rates'!$D$5:$D$1004,$T1875))))</f>
        <v/>
      </c>
      <c r="F1875" s="79">
        <f>IF($T1875="","",IF($S1875="S",IF(INDEX(Firms!$O$5:$O$1004,$T1875)="","",INDEX(Firms!$O$5:$O$1004,$T1875)),IF(INDEX('AFA Rates'!$O$5:$O$1004,$T1875)="","",INDEX('AFA Rates'!$O$5:$O$1004,$T1875))))</f>
        <v/>
      </c>
      <c r="G1875" s="50">
        <f>IF($T1875="","",IF($S1875="S",IF(INDEX(Firms!$F$5:$F$1004,$T1875)="","",INDEX(Firms!$F$5:$F$1004,$T1875)),IF(INDEX('AFA Rates'!$E$5:$E$1004,$T1875)="","",INDEX('AFA Rates'!$E$5:$E$1004,$T1875))))</f>
        <v/>
      </c>
      <c r="H1875" s="50">
        <f>IF($T1875="","",IF($S1875="S",IF(INDEX(Firms!$G$5:$G$1004,$T1875)="","",INDEX(Firms!$G$5:$G$1004,$T1875)),IF(INDEX('AFA Rates'!$F$5:$F$1004,$T1875)="","",INDEX('AFA Rates'!$F$5:$F$1004,$T1875))))</f>
        <v/>
      </c>
      <c r="I1875" s="50">
        <f>IF($T1875="","",IF($S1875="S",IF(INDEX(Firms!$H$5:$H$1004,$T1875)="","",INDEX(Firms!$H$5:$H$1004,$T1875)),IF(INDEX('AFA Rates'!$G$5:$G$1004,$T1875)="","",INDEX('AFA Rates'!$G$5:$G$1004,$T1875))))</f>
        <v/>
      </c>
      <c r="J1875" s="50">
        <f>IF($T1875="","",IF($S1875="S",IF(INDEX(Firms!$I$5:$I$1004,$T1875)="","",INDEX(Firms!$I$5:$I$1004,$T1875)),IF(INDEX('AFA Rates'!$H$5:$H$1004,$T1875)="","",INDEX('AFA Rates'!$H$5:$H$1004,$T1875))))</f>
        <v/>
      </c>
      <c r="K1875" s="50">
        <f>IF($T1875="","",IF($S1875="S",IF(INDEX(Firms!$J$5:$J$1004,$T1875)="","",INDEX(Firms!$J$5:$J$1004,$T1875)),IF(INDEX('AFA Rates'!$I$5:$I$1004,$T1875)="","",INDEX('AFA Rates'!$I$5:$I$1004,$T1875))))</f>
        <v/>
      </c>
      <c r="L1875" s="50">
        <f>IF($T1875="","",IF($S1875="S",IF(INDEX(Firms!$K$5:$K$1004,$T1875)="","",INDEX(Firms!$K$5:$K$1004,$T1875)),IF(INDEX('AFA Rates'!$J$5:$J$1004,$T1875)="","",INDEX('AFA Rates'!$J$5:$J$1004,$T1875))))</f>
        <v/>
      </c>
      <c r="M1875" s="50">
        <f>IF($T1875="","",IF($S1875="S",IF(INDEX(Firms!$L$5:$L$1004,$T1875)="","",INDEX(Firms!$L$5:$L$1004,$T1875)),IF(INDEX('AFA Rates'!$K$5:$K$1004,$T1875)="","",INDEX('AFA Rates'!$K$5:$K$1004,$T1875))))</f>
        <v/>
      </c>
      <c r="N1875" s="50">
        <f>IF($T1875="","",IF($S1875="S",IF(INDEX(Firms!$M$5:$M$1004,$T1875)="","",INDEX(Firms!$M$5:$M$1004,$T1875)),IF(INDEX('AFA Rates'!$L$5:$L$1004,$T1875)="","",INDEX('AFA Rates'!$L$5:$L$1004,$T1875))))</f>
        <v/>
      </c>
      <c r="O1875" s="78">
        <f>IF(OR($T1875="",$U1875=""),"",IF(INDEX(Firms!$C$5:$C$1004,$U1875)="","",INDEX(Firms!$C$5:$C$1004,$U1875)))</f>
        <v/>
      </c>
      <c r="P1875" s="79">
        <f>IF(OR($T1875="",$U1875=""),"",IF(INDEX(Firms!$N$5:$N$1004,$U1875)="","",INDEX(Firms!$N$5:$N$1004,$U1875)))</f>
        <v/>
      </c>
      <c r="Q1875" s="78">
        <f>IF($T1875="","",IF($S1875="S",IF(INDEX(Firms!$T$5:$T$1004,$T1875)="","",INDEX(Firms!$T$5:$T$1004,$T1875)),IF(INDEX('AFA Rates'!$M$5:$M$1004,$T1875)="","",INDEX('AFA Rates'!$M$5:$M$1004,$T1875))))</f>
        <v/>
      </c>
      <c r="S1875">
        <f>IF(1871&lt;=$S$2,"S",IF(1871&lt;=$S$2+$T$2,"A",""))</f>
        <v/>
      </c>
      <c r="T1875">
        <f>IF(S1875="S",MATCH(1871,Firms!$W$5:$W$1004,0),IF(S1875="A",IFERROR(MATCH(1871-$S$2,'AFA Rates'!$R$5:$R$1004,0),""),""))</f>
        <v/>
      </c>
      <c r="U1875">
        <f>IF(S1875="S",T1875,IF(AND(S1875="A",T1875&lt;&gt;""),IFERROR(MATCH(INDEX('AFA Rates'!$A$5:$A$1004,T1875),Firms!$A$5:$A$1004,0),""),""))</f>
        <v/>
      </c>
    </row>
    <row r="1876">
      <c r="A1876" s="78">
        <f>IF($T1876="","",IF($S1876="S",IF(INDEX(Firms!$A$5:$A$1004,$T1876)="","",INDEX(Firms!$A$5:$A$1004,$T1876)),IF(INDEX('AFA Rates'!$A$5:$A$1004,$T1876)="","",INDEX('AFA Rates'!$A$5:$A$1004,$T1876))))</f>
        <v/>
      </c>
      <c r="B1876" s="79">
        <f>IF(OR($T1876="",$U1876=""),IF($T1876="","","Not on Firms tab"),INDEX(Firms!$B$5:$B$1004,$U1876)&amp;"")</f>
        <v/>
      </c>
      <c r="C1876" s="78">
        <f>IF($T1876="","",IF($S1876="S","Standard",INDEX('AFA Rates'!$B$5:$B$1004,$T1876)&amp;""))</f>
        <v/>
      </c>
      <c r="D1876" s="88">
        <f>IF($T1876="","",IF($S1876="S",IF(INDEX(Firms!$E$5:$E$1004,$T1876)="","",INDEX(Firms!$E$5:$E$1004,$T1876)),IF(INDEX('AFA Rates'!$C$5:$C$1004,$T1876)="","",INDEX('AFA Rates'!$C$5:$C$1004,$T1876))))</f>
        <v/>
      </c>
      <c r="E1876" s="88">
        <f>IF($T1876="","",IF($S1876="S",IF(""="","",""),IF(INDEX('AFA Rates'!$D$5:$D$1004,$T1876)="","",INDEX('AFA Rates'!$D$5:$D$1004,$T1876))))</f>
        <v/>
      </c>
      <c r="F1876" s="79">
        <f>IF($T1876="","",IF($S1876="S",IF(INDEX(Firms!$O$5:$O$1004,$T1876)="","",INDEX(Firms!$O$5:$O$1004,$T1876)),IF(INDEX('AFA Rates'!$O$5:$O$1004,$T1876)="","",INDEX('AFA Rates'!$O$5:$O$1004,$T1876))))</f>
        <v/>
      </c>
      <c r="G1876" s="50">
        <f>IF($T1876="","",IF($S1876="S",IF(INDEX(Firms!$F$5:$F$1004,$T1876)="","",INDEX(Firms!$F$5:$F$1004,$T1876)),IF(INDEX('AFA Rates'!$E$5:$E$1004,$T1876)="","",INDEX('AFA Rates'!$E$5:$E$1004,$T1876))))</f>
        <v/>
      </c>
      <c r="H1876" s="50">
        <f>IF($T1876="","",IF($S1876="S",IF(INDEX(Firms!$G$5:$G$1004,$T1876)="","",INDEX(Firms!$G$5:$G$1004,$T1876)),IF(INDEX('AFA Rates'!$F$5:$F$1004,$T1876)="","",INDEX('AFA Rates'!$F$5:$F$1004,$T1876))))</f>
        <v/>
      </c>
      <c r="I1876" s="50">
        <f>IF($T1876="","",IF($S1876="S",IF(INDEX(Firms!$H$5:$H$1004,$T1876)="","",INDEX(Firms!$H$5:$H$1004,$T1876)),IF(INDEX('AFA Rates'!$G$5:$G$1004,$T1876)="","",INDEX('AFA Rates'!$G$5:$G$1004,$T1876))))</f>
        <v/>
      </c>
      <c r="J1876" s="50">
        <f>IF($T1876="","",IF($S1876="S",IF(INDEX(Firms!$I$5:$I$1004,$T1876)="","",INDEX(Firms!$I$5:$I$1004,$T1876)),IF(INDEX('AFA Rates'!$H$5:$H$1004,$T1876)="","",INDEX('AFA Rates'!$H$5:$H$1004,$T1876))))</f>
        <v/>
      </c>
      <c r="K1876" s="50">
        <f>IF($T1876="","",IF($S1876="S",IF(INDEX(Firms!$J$5:$J$1004,$T1876)="","",INDEX(Firms!$J$5:$J$1004,$T1876)),IF(INDEX('AFA Rates'!$I$5:$I$1004,$T1876)="","",INDEX('AFA Rates'!$I$5:$I$1004,$T1876))))</f>
        <v/>
      </c>
      <c r="L1876" s="50">
        <f>IF($T1876="","",IF($S1876="S",IF(INDEX(Firms!$K$5:$K$1004,$T1876)="","",INDEX(Firms!$K$5:$K$1004,$T1876)),IF(INDEX('AFA Rates'!$J$5:$J$1004,$T1876)="","",INDEX('AFA Rates'!$J$5:$J$1004,$T1876))))</f>
        <v/>
      </c>
      <c r="M1876" s="50">
        <f>IF($T1876="","",IF($S1876="S",IF(INDEX(Firms!$L$5:$L$1004,$T1876)="","",INDEX(Firms!$L$5:$L$1004,$T1876)),IF(INDEX('AFA Rates'!$K$5:$K$1004,$T1876)="","",INDEX('AFA Rates'!$K$5:$K$1004,$T1876))))</f>
        <v/>
      </c>
      <c r="N1876" s="50">
        <f>IF($T1876="","",IF($S1876="S",IF(INDEX(Firms!$M$5:$M$1004,$T1876)="","",INDEX(Firms!$M$5:$M$1004,$T1876)),IF(INDEX('AFA Rates'!$L$5:$L$1004,$T1876)="","",INDEX('AFA Rates'!$L$5:$L$1004,$T1876))))</f>
        <v/>
      </c>
      <c r="O1876" s="78">
        <f>IF(OR($T1876="",$U1876=""),"",IF(INDEX(Firms!$C$5:$C$1004,$U1876)="","",INDEX(Firms!$C$5:$C$1004,$U1876)))</f>
        <v/>
      </c>
      <c r="P1876" s="79">
        <f>IF(OR($T1876="",$U1876=""),"",IF(INDEX(Firms!$N$5:$N$1004,$U1876)="","",INDEX(Firms!$N$5:$N$1004,$U1876)))</f>
        <v/>
      </c>
      <c r="Q1876" s="78">
        <f>IF($T1876="","",IF($S1876="S",IF(INDEX(Firms!$T$5:$T$1004,$T1876)="","",INDEX(Firms!$T$5:$T$1004,$T1876)),IF(INDEX('AFA Rates'!$M$5:$M$1004,$T1876)="","",INDEX('AFA Rates'!$M$5:$M$1004,$T1876))))</f>
        <v/>
      </c>
      <c r="S1876">
        <f>IF(1872&lt;=$S$2,"S",IF(1872&lt;=$S$2+$T$2,"A",""))</f>
        <v/>
      </c>
      <c r="T1876">
        <f>IF(S1876="S",MATCH(1872,Firms!$W$5:$W$1004,0),IF(S1876="A",IFERROR(MATCH(1872-$S$2,'AFA Rates'!$R$5:$R$1004,0),""),""))</f>
        <v/>
      </c>
      <c r="U1876">
        <f>IF(S1876="S",T1876,IF(AND(S1876="A",T1876&lt;&gt;""),IFERROR(MATCH(INDEX('AFA Rates'!$A$5:$A$1004,T1876),Firms!$A$5:$A$1004,0),""),""))</f>
        <v/>
      </c>
    </row>
    <row r="1877">
      <c r="A1877" s="78">
        <f>IF($T1877="","",IF($S1877="S",IF(INDEX(Firms!$A$5:$A$1004,$T1877)="","",INDEX(Firms!$A$5:$A$1004,$T1877)),IF(INDEX('AFA Rates'!$A$5:$A$1004,$T1877)="","",INDEX('AFA Rates'!$A$5:$A$1004,$T1877))))</f>
        <v/>
      </c>
      <c r="B1877" s="79">
        <f>IF(OR($T1877="",$U1877=""),IF($T1877="","","Not on Firms tab"),INDEX(Firms!$B$5:$B$1004,$U1877)&amp;"")</f>
        <v/>
      </c>
      <c r="C1877" s="78">
        <f>IF($T1877="","",IF($S1877="S","Standard",INDEX('AFA Rates'!$B$5:$B$1004,$T1877)&amp;""))</f>
        <v/>
      </c>
      <c r="D1877" s="88">
        <f>IF($T1877="","",IF($S1877="S",IF(INDEX(Firms!$E$5:$E$1004,$T1877)="","",INDEX(Firms!$E$5:$E$1004,$T1877)),IF(INDEX('AFA Rates'!$C$5:$C$1004,$T1877)="","",INDEX('AFA Rates'!$C$5:$C$1004,$T1877))))</f>
        <v/>
      </c>
      <c r="E1877" s="88">
        <f>IF($T1877="","",IF($S1877="S",IF(""="","",""),IF(INDEX('AFA Rates'!$D$5:$D$1004,$T1877)="","",INDEX('AFA Rates'!$D$5:$D$1004,$T1877))))</f>
        <v/>
      </c>
      <c r="F1877" s="79">
        <f>IF($T1877="","",IF($S1877="S",IF(INDEX(Firms!$O$5:$O$1004,$T1877)="","",INDEX(Firms!$O$5:$O$1004,$T1877)),IF(INDEX('AFA Rates'!$O$5:$O$1004,$T1877)="","",INDEX('AFA Rates'!$O$5:$O$1004,$T1877))))</f>
        <v/>
      </c>
      <c r="G1877" s="50">
        <f>IF($T1877="","",IF($S1877="S",IF(INDEX(Firms!$F$5:$F$1004,$T1877)="","",INDEX(Firms!$F$5:$F$1004,$T1877)),IF(INDEX('AFA Rates'!$E$5:$E$1004,$T1877)="","",INDEX('AFA Rates'!$E$5:$E$1004,$T1877))))</f>
        <v/>
      </c>
      <c r="H1877" s="50">
        <f>IF($T1877="","",IF($S1877="S",IF(INDEX(Firms!$G$5:$G$1004,$T1877)="","",INDEX(Firms!$G$5:$G$1004,$T1877)),IF(INDEX('AFA Rates'!$F$5:$F$1004,$T1877)="","",INDEX('AFA Rates'!$F$5:$F$1004,$T1877))))</f>
        <v/>
      </c>
      <c r="I1877" s="50">
        <f>IF($T1877="","",IF($S1877="S",IF(INDEX(Firms!$H$5:$H$1004,$T1877)="","",INDEX(Firms!$H$5:$H$1004,$T1877)),IF(INDEX('AFA Rates'!$G$5:$G$1004,$T1877)="","",INDEX('AFA Rates'!$G$5:$G$1004,$T1877))))</f>
        <v/>
      </c>
      <c r="J1877" s="50">
        <f>IF($T1877="","",IF($S1877="S",IF(INDEX(Firms!$I$5:$I$1004,$T1877)="","",INDEX(Firms!$I$5:$I$1004,$T1877)),IF(INDEX('AFA Rates'!$H$5:$H$1004,$T1877)="","",INDEX('AFA Rates'!$H$5:$H$1004,$T1877))))</f>
        <v/>
      </c>
      <c r="K1877" s="50">
        <f>IF($T1877="","",IF($S1877="S",IF(INDEX(Firms!$J$5:$J$1004,$T1877)="","",INDEX(Firms!$J$5:$J$1004,$T1877)),IF(INDEX('AFA Rates'!$I$5:$I$1004,$T1877)="","",INDEX('AFA Rates'!$I$5:$I$1004,$T1877))))</f>
        <v/>
      </c>
      <c r="L1877" s="50">
        <f>IF($T1877="","",IF($S1877="S",IF(INDEX(Firms!$K$5:$K$1004,$T1877)="","",INDEX(Firms!$K$5:$K$1004,$T1877)),IF(INDEX('AFA Rates'!$J$5:$J$1004,$T1877)="","",INDEX('AFA Rates'!$J$5:$J$1004,$T1877))))</f>
        <v/>
      </c>
      <c r="M1877" s="50">
        <f>IF($T1877="","",IF($S1877="S",IF(INDEX(Firms!$L$5:$L$1004,$T1877)="","",INDEX(Firms!$L$5:$L$1004,$T1877)),IF(INDEX('AFA Rates'!$K$5:$K$1004,$T1877)="","",INDEX('AFA Rates'!$K$5:$K$1004,$T1877))))</f>
        <v/>
      </c>
      <c r="N1877" s="50">
        <f>IF($T1877="","",IF($S1877="S",IF(INDEX(Firms!$M$5:$M$1004,$T1877)="","",INDEX(Firms!$M$5:$M$1004,$T1877)),IF(INDEX('AFA Rates'!$L$5:$L$1004,$T1877)="","",INDEX('AFA Rates'!$L$5:$L$1004,$T1877))))</f>
        <v/>
      </c>
      <c r="O1877" s="78">
        <f>IF(OR($T1877="",$U1877=""),"",IF(INDEX(Firms!$C$5:$C$1004,$U1877)="","",INDEX(Firms!$C$5:$C$1004,$U1877)))</f>
        <v/>
      </c>
      <c r="P1877" s="79">
        <f>IF(OR($T1877="",$U1877=""),"",IF(INDEX(Firms!$N$5:$N$1004,$U1877)="","",INDEX(Firms!$N$5:$N$1004,$U1877)))</f>
        <v/>
      </c>
      <c r="Q1877" s="78">
        <f>IF($T1877="","",IF($S1877="S",IF(INDEX(Firms!$T$5:$T$1004,$T1877)="","",INDEX(Firms!$T$5:$T$1004,$T1877)),IF(INDEX('AFA Rates'!$M$5:$M$1004,$T1877)="","",INDEX('AFA Rates'!$M$5:$M$1004,$T1877))))</f>
        <v/>
      </c>
      <c r="S1877">
        <f>IF(1873&lt;=$S$2,"S",IF(1873&lt;=$S$2+$T$2,"A",""))</f>
        <v/>
      </c>
      <c r="T1877">
        <f>IF(S1877="S",MATCH(1873,Firms!$W$5:$W$1004,0),IF(S1877="A",IFERROR(MATCH(1873-$S$2,'AFA Rates'!$R$5:$R$1004,0),""),""))</f>
        <v/>
      </c>
      <c r="U1877">
        <f>IF(S1877="S",T1877,IF(AND(S1877="A",T1877&lt;&gt;""),IFERROR(MATCH(INDEX('AFA Rates'!$A$5:$A$1004,T1877),Firms!$A$5:$A$1004,0),""),""))</f>
        <v/>
      </c>
    </row>
    <row r="1878">
      <c r="A1878" s="78">
        <f>IF($T1878="","",IF($S1878="S",IF(INDEX(Firms!$A$5:$A$1004,$T1878)="","",INDEX(Firms!$A$5:$A$1004,$T1878)),IF(INDEX('AFA Rates'!$A$5:$A$1004,$T1878)="","",INDEX('AFA Rates'!$A$5:$A$1004,$T1878))))</f>
        <v/>
      </c>
      <c r="B1878" s="79">
        <f>IF(OR($T1878="",$U1878=""),IF($T1878="","","Not on Firms tab"),INDEX(Firms!$B$5:$B$1004,$U1878)&amp;"")</f>
        <v/>
      </c>
      <c r="C1878" s="78">
        <f>IF($T1878="","",IF($S1878="S","Standard",INDEX('AFA Rates'!$B$5:$B$1004,$T1878)&amp;""))</f>
        <v/>
      </c>
      <c r="D1878" s="88">
        <f>IF($T1878="","",IF($S1878="S",IF(INDEX(Firms!$E$5:$E$1004,$T1878)="","",INDEX(Firms!$E$5:$E$1004,$T1878)),IF(INDEX('AFA Rates'!$C$5:$C$1004,$T1878)="","",INDEX('AFA Rates'!$C$5:$C$1004,$T1878))))</f>
        <v/>
      </c>
      <c r="E1878" s="88">
        <f>IF($T1878="","",IF($S1878="S",IF(""="","",""),IF(INDEX('AFA Rates'!$D$5:$D$1004,$T1878)="","",INDEX('AFA Rates'!$D$5:$D$1004,$T1878))))</f>
        <v/>
      </c>
      <c r="F1878" s="79">
        <f>IF($T1878="","",IF($S1878="S",IF(INDEX(Firms!$O$5:$O$1004,$T1878)="","",INDEX(Firms!$O$5:$O$1004,$T1878)),IF(INDEX('AFA Rates'!$O$5:$O$1004,$T1878)="","",INDEX('AFA Rates'!$O$5:$O$1004,$T1878))))</f>
        <v/>
      </c>
      <c r="G1878" s="50">
        <f>IF($T1878="","",IF($S1878="S",IF(INDEX(Firms!$F$5:$F$1004,$T1878)="","",INDEX(Firms!$F$5:$F$1004,$T1878)),IF(INDEX('AFA Rates'!$E$5:$E$1004,$T1878)="","",INDEX('AFA Rates'!$E$5:$E$1004,$T1878))))</f>
        <v/>
      </c>
      <c r="H1878" s="50">
        <f>IF($T1878="","",IF($S1878="S",IF(INDEX(Firms!$G$5:$G$1004,$T1878)="","",INDEX(Firms!$G$5:$G$1004,$T1878)),IF(INDEX('AFA Rates'!$F$5:$F$1004,$T1878)="","",INDEX('AFA Rates'!$F$5:$F$1004,$T1878))))</f>
        <v/>
      </c>
      <c r="I1878" s="50">
        <f>IF($T1878="","",IF($S1878="S",IF(INDEX(Firms!$H$5:$H$1004,$T1878)="","",INDEX(Firms!$H$5:$H$1004,$T1878)),IF(INDEX('AFA Rates'!$G$5:$G$1004,$T1878)="","",INDEX('AFA Rates'!$G$5:$G$1004,$T1878))))</f>
        <v/>
      </c>
      <c r="J1878" s="50">
        <f>IF($T1878="","",IF($S1878="S",IF(INDEX(Firms!$I$5:$I$1004,$T1878)="","",INDEX(Firms!$I$5:$I$1004,$T1878)),IF(INDEX('AFA Rates'!$H$5:$H$1004,$T1878)="","",INDEX('AFA Rates'!$H$5:$H$1004,$T1878))))</f>
        <v/>
      </c>
      <c r="K1878" s="50">
        <f>IF($T1878="","",IF($S1878="S",IF(INDEX(Firms!$J$5:$J$1004,$T1878)="","",INDEX(Firms!$J$5:$J$1004,$T1878)),IF(INDEX('AFA Rates'!$I$5:$I$1004,$T1878)="","",INDEX('AFA Rates'!$I$5:$I$1004,$T1878))))</f>
        <v/>
      </c>
      <c r="L1878" s="50">
        <f>IF($T1878="","",IF($S1878="S",IF(INDEX(Firms!$K$5:$K$1004,$T1878)="","",INDEX(Firms!$K$5:$K$1004,$T1878)),IF(INDEX('AFA Rates'!$J$5:$J$1004,$T1878)="","",INDEX('AFA Rates'!$J$5:$J$1004,$T1878))))</f>
        <v/>
      </c>
      <c r="M1878" s="50">
        <f>IF($T1878="","",IF($S1878="S",IF(INDEX(Firms!$L$5:$L$1004,$T1878)="","",INDEX(Firms!$L$5:$L$1004,$T1878)),IF(INDEX('AFA Rates'!$K$5:$K$1004,$T1878)="","",INDEX('AFA Rates'!$K$5:$K$1004,$T1878))))</f>
        <v/>
      </c>
      <c r="N1878" s="50">
        <f>IF($T1878="","",IF($S1878="S",IF(INDEX(Firms!$M$5:$M$1004,$T1878)="","",INDEX(Firms!$M$5:$M$1004,$T1878)),IF(INDEX('AFA Rates'!$L$5:$L$1004,$T1878)="","",INDEX('AFA Rates'!$L$5:$L$1004,$T1878))))</f>
        <v/>
      </c>
      <c r="O1878" s="78">
        <f>IF(OR($T1878="",$U1878=""),"",IF(INDEX(Firms!$C$5:$C$1004,$U1878)="","",INDEX(Firms!$C$5:$C$1004,$U1878)))</f>
        <v/>
      </c>
      <c r="P1878" s="79">
        <f>IF(OR($T1878="",$U1878=""),"",IF(INDEX(Firms!$N$5:$N$1004,$U1878)="","",INDEX(Firms!$N$5:$N$1004,$U1878)))</f>
        <v/>
      </c>
      <c r="Q1878" s="78">
        <f>IF($T1878="","",IF($S1878="S",IF(INDEX(Firms!$T$5:$T$1004,$T1878)="","",INDEX(Firms!$T$5:$T$1004,$T1878)),IF(INDEX('AFA Rates'!$M$5:$M$1004,$T1878)="","",INDEX('AFA Rates'!$M$5:$M$1004,$T1878))))</f>
        <v/>
      </c>
      <c r="S1878">
        <f>IF(1874&lt;=$S$2,"S",IF(1874&lt;=$S$2+$T$2,"A",""))</f>
        <v/>
      </c>
      <c r="T1878">
        <f>IF(S1878="S",MATCH(1874,Firms!$W$5:$W$1004,0),IF(S1878="A",IFERROR(MATCH(1874-$S$2,'AFA Rates'!$R$5:$R$1004,0),""),""))</f>
        <v/>
      </c>
      <c r="U1878">
        <f>IF(S1878="S",T1878,IF(AND(S1878="A",T1878&lt;&gt;""),IFERROR(MATCH(INDEX('AFA Rates'!$A$5:$A$1004,T1878),Firms!$A$5:$A$1004,0),""),""))</f>
        <v/>
      </c>
    </row>
    <row r="1879">
      <c r="A1879" s="78">
        <f>IF($T1879="","",IF($S1879="S",IF(INDEX(Firms!$A$5:$A$1004,$T1879)="","",INDEX(Firms!$A$5:$A$1004,$T1879)),IF(INDEX('AFA Rates'!$A$5:$A$1004,$T1879)="","",INDEX('AFA Rates'!$A$5:$A$1004,$T1879))))</f>
        <v/>
      </c>
      <c r="B1879" s="79">
        <f>IF(OR($T1879="",$U1879=""),IF($T1879="","","Not on Firms tab"),INDEX(Firms!$B$5:$B$1004,$U1879)&amp;"")</f>
        <v/>
      </c>
      <c r="C1879" s="78">
        <f>IF($T1879="","",IF($S1879="S","Standard",INDEX('AFA Rates'!$B$5:$B$1004,$T1879)&amp;""))</f>
        <v/>
      </c>
      <c r="D1879" s="88">
        <f>IF($T1879="","",IF($S1879="S",IF(INDEX(Firms!$E$5:$E$1004,$T1879)="","",INDEX(Firms!$E$5:$E$1004,$T1879)),IF(INDEX('AFA Rates'!$C$5:$C$1004,$T1879)="","",INDEX('AFA Rates'!$C$5:$C$1004,$T1879))))</f>
        <v/>
      </c>
      <c r="E1879" s="88">
        <f>IF($T1879="","",IF($S1879="S",IF(""="","",""),IF(INDEX('AFA Rates'!$D$5:$D$1004,$T1879)="","",INDEX('AFA Rates'!$D$5:$D$1004,$T1879))))</f>
        <v/>
      </c>
      <c r="F1879" s="79">
        <f>IF($T1879="","",IF($S1879="S",IF(INDEX(Firms!$O$5:$O$1004,$T1879)="","",INDEX(Firms!$O$5:$O$1004,$T1879)),IF(INDEX('AFA Rates'!$O$5:$O$1004,$T1879)="","",INDEX('AFA Rates'!$O$5:$O$1004,$T1879))))</f>
        <v/>
      </c>
      <c r="G1879" s="50">
        <f>IF($T1879="","",IF($S1879="S",IF(INDEX(Firms!$F$5:$F$1004,$T1879)="","",INDEX(Firms!$F$5:$F$1004,$T1879)),IF(INDEX('AFA Rates'!$E$5:$E$1004,$T1879)="","",INDEX('AFA Rates'!$E$5:$E$1004,$T1879))))</f>
        <v/>
      </c>
      <c r="H1879" s="50">
        <f>IF($T1879="","",IF($S1879="S",IF(INDEX(Firms!$G$5:$G$1004,$T1879)="","",INDEX(Firms!$G$5:$G$1004,$T1879)),IF(INDEX('AFA Rates'!$F$5:$F$1004,$T1879)="","",INDEX('AFA Rates'!$F$5:$F$1004,$T1879))))</f>
        <v/>
      </c>
      <c r="I1879" s="50">
        <f>IF($T1879="","",IF($S1879="S",IF(INDEX(Firms!$H$5:$H$1004,$T1879)="","",INDEX(Firms!$H$5:$H$1004,$T1879)),IF(INDEX('AFA Rates'!$G$5:$G$1004,$T1879)="","",INDEX('AFA Rates'!$G$5:$G$1004,$T1879))))</f>
        <v/>
      </c>
      <c r="J1879" s="50">
        <f>IF($T1879="","",IF($S1879="S",IF(INDEX(Firms!$I$5:$I$1004,$T1879)="","",INDEX(Firms!$I$5:$I$1004,$T1879)),IF(INDEX('AFA Rates'!$H$5:$H$1004,$T1879)="","",INDEX('AFA Rates'!$H$5:$H$1004,$T1879))))</f>
        <v/>
      </c>
      <c r="K1879" s="50">
        <f>IF($T1879="","",IF($S1879="S",IF(INDEX(Firms!$J$5:$J$1004,$T1879)="","",INDEX(Firms!$J$5:$J$1004,$T1879)),IF(INDEX('AFA Rates'!$I$5:$I$1004,$T1879)="","",INDEX('AFA Rates'!$I$5:$I$1004,$T1879))))</f>
        <v/>
      </c>
      <c r="L1879" s="50">
        <f>IF($T1879="","",IF($S1879="S",IF(INDEX(Firms!$K$5:$K$1004,$T1879)="","",INDEX(Firms!$K$5:$K$1004,$T1879)),IF(INDEX('AFA Rates'!$J$5:$J$1004,$T1879)="","",INDEX('AFA Rates'!$J$5:$J$1004,$T1879))))</f>
        <v/>
      </c>
      <c r="M1879" s="50">
        <f>IF($T1879="","",IF($S1879="S",IF(INDEX(Firms!$L$5:$L$1004,$T1879)="","",INDEX(Firms!$L$5:$L$1004,$T1879)),IF(INDEX('AFA Rates'!$K$5:$K$1004,$T1879)="","",INDEX('AFA Rates'!$K$5:$K$1004,$T1879))))</f>
        <v/>
      </c>
      <c r="N1879" s="50">
        <f>IF($T1879="","",IF($S1879="S",IF(INDEX(Firms!$M$5:$M$1004,$T1879)="","",INDEX(Firms!$M$5:$M$1004,$T1879)),IF(INDEX('AFA Rates'!$L$5:$L$1004,$T1879)="","",INDEX('AFA Rates'!$L$5:$L$1004,$T1879))))</f>
        <v/>
      </c>
      <c r="O1879" s="78">
        <f>IF(OR($T1879="",$U1879=""),"",IF(INDEX(Firms!$C$5:$C$1004,$U1879)="","",INDEX(Firms!$C$5:$C$1004,$U1879)))</f>
        <v/>
      </c>
      <c r="P1879" s="79">
        <f>IF(OR($T1879="",$U1879=""),"",IF(INDEX(Firms!$N$5:$N$1004,$U1879)="","",INDEX(Firms!$N$5:$N$1004,$U1879)))</f>
        <v/>
      </c>
      <c r="Q1879" s="78">
        <f>IF($T1879="","",IF($S1879="S",IF(INDEX(Firms!$T$5:$T$1004,$T1879)="","",INDEX(Firms!$T$5:$T$1004,$T1879)),IF(INDEX('AFA Rates'!$M$5:$M$1004,$T1879)="","",INDEX('AFA Rates'!$M$5:$M$1004,$T1879))))</f>
        <v/>
      </c>
      <c r="S1879">
        <f>IF(1875&lt;=$S$2,"S",IF(1875&lt;=$S$2+$T$2,"A",""))</f>
        <v/>
      </c>
      <c r="T1879">
        <f>IF(S1879="S",MATCH(1875,Firms!$W$5:$W$1004,0),IF(S1879="A",IFERROR(MATCH(1875-$S$2,'AFA Rates'!$R$5:$R$1004,0),""),""))</f>
        <v/>
      </c>
      <c r="U1879">
        <f>IF(S1879="S",T1879,IF(AND(S1879="A",T1879&lt;&gt;""),IFERROR(MATCH(INDEX('AFA Rates'!$A$5:$A$1004,T1879),Firms!$A$5:$A$1004,0),""),""))</f>
        <v/>
      </c>
    </row>
    <row r="1880">
      <c r="A1880" s="78">
        <f>IF($T1880="","",IF($S1880="S",IF(INDEX(Firms!$A$5:$A$1004,$T1880)="","",INDEX(Firms!$A$5:$A$1004,$T1880)),IF(INDEX('AFA Rates'!$A$5:$A$1004,$T1880)="","",INDEX('AFA Rates'!$A$5:$A$1004,$T1880))))</f>
        <v/>
      </c>
      <c r="B1880" s="79">
        <f>IF(OR($T1880="",$U1880=""),IF($T1880="","","Not on Firms tab"),INDEX(Firms!$B$5:$B$1004,$U1880)&amp;"")</f>
        <v/>
      </c>
      <c r="C1880" s="78">
        <f>IF($T1880="","",IF($S1880="S","Standard",INDEX('AFA Rates'!$B$5:$B$1004,$T1880)&amp;""))</f>
        <v/>
      </c>
      <c r="D1880" s="88">
        <f>IF($T1880="","",IF($S1880="S",IF(INDEX(Firms!$E$5:$E$1004,$T1880)="","",INDEX(Firms!$E$5:$E$1004,$T1880)),IF(INDEX('AFA Rates'!$C$5:$C$1004,$T1880)="","",INDEX('AFA Rates'!$C$5:$C$1004,$T1880))))</f>
        <v/>
      </c>
      <c r="E1880" s="88">
        <f>IF($T1880="","",IF($S1880="S",IF(""="","",""),IF(INDEX('AFA Rates'!$D$5:$D$1004,$T1880)="","",INDEX('AFA Rates'!$D$5:$D$1004,$T1880))))</f>
        <v/>
      </c>
      <c r="F1880" s="79">
        <f>IF($T1880="","",IF($S1880="S",IF(INDEX(Firms!$O$5:$O$1004,$T1880)="","",INDEX(Firms!$O$5:$O$1004,$T1880)),IF(INDEX('AFA Rates'!$O$5:$O$1004,$T1880)="","",INDEX('AFA Rates'!$O$5:$O$1004,$T1880))))</f>
        <v/>
      </c>
      <c r="G1880" s="50">
        <f>IF($T1880="","",IF($S1880="S",IF(INDEX(Firms!$F$5:$F$1004,$T1880)="","",INDEX(Firms!$F$5:$F$1004,$T1880)),IF(INDEX('AFA Rates'!$E$5:$E$1004,$T1880)="","",INDEX('AFA Rates'!$E$5:$E$1004,$T1880))))</f>
        <v/>
      </c>
      <c r="H1880" s="50">
        <f>IF($T1880="","",IF($S1880="S",IF(INDEX(Firms!$G$5:$G$1004,$T1880)="","",INDEX(Firms!$G$5:$G$1004,$T1880)),IF(INDEX('AFA Rates'!$F$5:$F$1004,$T1880)="","",INDEX('AFA Rates'!$F$5:$F$1004,$T1880))))</f>
        <v/>
      </c>
      <c r="I1880" s="50">
        <f>IF($T1880="","",IF($S1880="S",IF(INDEX(Firms!$H$5:$H$1004,$T1880)="","",INDEX(Firms!$H$5:$H$1004,$T1880)),IF(INDEX('AFA Rates'!$G$5:$G$1004,$T1880)="","",INDEX('AFA Rates'!$G$5:$G$1004,$T1880))))</f>
        <v/>
      </c>
      <c r="J1880" s="50">
        <f>IF($T1880="","",IF($S1880="S",IF(INDEX(Firms!$I$5:$I$1004,$T1880)="","",INDEX(Firms!$I$5:$I$1004,$T1880)),IF(INDEX('AFA Rates'!$H$5:$H$1004,$T1880)="","",INDEX('AFA Rates'!$H$5:$H$1004,$T1880))))</f>
        <v/>
      </c>
      <c r="K1880" s="50">
        <f>IF($T1880="","",IF($S1880="S",IF(INDEX(Firms!$J$5:$J$1004,$T1880)="","",INDEX(Firms!$J$5:$J$1004,$T1880)),IF(INDEX('AFA Rates'!$I$5:$I$1004,$T1880)="","",INDEX('AFA Rates'!$I$5:$I$1004,$T1880))))</f>
        <v/>
      </c>
      <c r="L1880" s="50">
        <f>IF($T1880="","",IF($S1880="S",IF(INDEX(Firms!$K$5:$K$1004,$T1880)="","",INDEX(Firms!$K$5:$K$1004,$T1880)),IF(INDEX('AFA Rates'!$J$5:$J$1004,$T1880)="","",INDEX('AFA Rates'!$J$5:$J$1004,$T1880))))</f>
        <v/>
      </c>
      <c r="M1880" s="50">
        <f>IF($T1880="","",IF($S1880="S",IF(INDEX(Firms!$L$5:$L$1004,$T1880)="","",INDEX(Firms!$L$5:$L$1004,$T1880)),IF(INDEX('AFA Rates'!$K$5:$K$1004,$T1880)="","",INDEX('AFA Rates'!$K$5:$K$1004,$T1880))))</f>
        <v/>
      </c>
      <c r="N1880" s="50">
        <f>IF($T1880="","",IF($S1880="S",IF(INDEX(Firms!$M$5:$M$1004,$T1880)="","",INDEX(Firms!$M$5:$M$1004,$T1880)),IF(INDEX('AFA Rates'!$L$5:$L$1004,$T1880)="","",INDEX('AFA Rates'!$L$5:$L$1004,$T1880))))</f>
        <v/>
      </c>
      <c r="O1880" s="78">
        <f>IF(OR($T1880="",$U1880=""),"",IF(INDEX(Firms!$C$5:$C$1004,$U1880)="","",INDEX(Firms!$C$5:$C$1004,$U1880)))</f>
        <v/>
      </c>
      <c r="P1880" s="79">
        <f>IF(OR($T1880="",$U1880=""),"",IF(INDEX(Firms!$N$5:$N$1004,$U1880)="","",INDEX(Firms!$N$5:$N$1004,$U1880)))</f>
        <v/>
      </c>
      <c r="Q1880" s="78">
        <f>IF($T1880="","",IF($S1880="S",IF(INDEX(Firms!$T$5:$T$1004,$T1880)="","",INDEX(Firms!$T$5:$T$1004,$T1880)),IF(INDEX('AFA Rates'!$M$5:$M$1004,$T1880)="","",INDEX('AFA Rates'!$M$5:$M$1004,$T1880))))</f>
        <v/>
      </c>
      <c r="S1880">
        <f>IF(1876&lt;=$S$2,"S",IF(1876&lt;=$S$2+$T$2,"A",""))</f>
        <v/>
      </c>
      <c r="T1880">
        <f>IF(S1880="S",MATCH(1876,Firms!$W$5:$W$1004,0),IF(S1880="A",IFERROR(MATCH(1876-$S$2,'AFA Rates'!$R$5:$R$1004,0),""),""))</f>
        <v/>
      </c>
      <c r="U1880">
        <f>IF(S1880="S",T1880,IF(AND(S1880="A",T1880&lt;&gt;""),IFERROR(MATCH(INDEX('AFA Rates'!$A$5:$A$1004,T1880),Firms!$A$5:$A$1004,0),""),""))</f>
        <v/>
      </c>
    </row>
    <row r="1881">
      <c r="A1881" s="78">
        <f>IF($T1881="","",IF($S1881="S",IF(INDEX(Firms!$A$5:$A$1004,$T1881)="","",INDEX(Firms!$A$5:$A$1004,$T1881)),IF(INDEX('AFA Rates'!$A$5:$A$1004,$T1881)="","",INDEX('AFA Rates'!$A$5:$A$1004,$T1881))))</f>
        <v/>
      </c>
      <c r="B1881" s="79">
        <f>IF(OR($T1881="",$U1881=""),IF($T1881="","","Not on Firms tab"),INDEX(Firms!$B$5:$B$1004,$U1881)&amp;"")</f>
        <v/>
      </c>
      <c r="C1881" s="78">
        <f>IF($T1881="","",IF($S1881="S","Standard",INDEX('AFA Rates'!$B$5:$B$1004,$T1881)&amp;""))</f>
        <v/>
      </c>
      <c r="D1881" s="88">
        <f>IF($T1881="","",IF($S1881="S",IF(INDEX(Firms!$E$5:$E$1004,$T1881)="","",INDEX(Firms!$E$5:$E$1004,$T1881)),IF(INDEX('AFA Rates'!$C$5:$C$1004,$T1881)="","",INDEX('AFA Rates'!$C$5:$C$1004,$T1881))))</f>
        <v/>
      </c>
      <c r="E1881" s="88">
        <f>IF($T1881="","",IF($S1881="S",IF(""="","",""),IF(INDEX('AFA Rates'!$D$5:$D$1004,$T1881)="","",INDEX('AFA Rates'!$D$5:$D$1004,$T1881))))</f>
        <v/>
      </c>
      <c r="F1881" s="79">
        <f>IF($T1881="","",IF($S1881="S",IF(INDEX(Firms!$O$5:$O$1004,$T1881)="","",INDEX(Firms!$O$5:$O$1004,$T1881)),IF(INDEX('AFA Rates'!$O$5:$O$1004,$T1881)="","",INDEX('AFA Rates'!$O$5:$O$1004,$T1881))))</f>
        <v/>
      </c>
      <c r="G1881" s="50">
        <f>IF($T1881="","",IF($S1881="S",IF(INDEX(Firms!$F$5:$F$1004,$T1881)="","",INDEX(Firms!$F$5:$F$1004,$T1881)),IF(INDEX('AFA Rates'!$E$5:$E$1004,$T1881)="","",INDEX('AFA Rates'!$E$5:$E$1004,$T1881))))</f>
        <v/>
      </c>
      <c r="H1881" s="50">
        <f>IF($T1881="","",IF($S1881="S",IF(INDEX(Firms!$G$5:$G$1004,$T1881)="","",INDEX(Firms!$G$5:$G$1004,$T1881)),IF(INDEX('AFA Rates'!$F$5:$F$1004,$T1881)="","",INDEX('AFA Rates'!$F$5:$F$1004,$T1881))))</f>
        <v/>
      </c>
      <c r="I1881" s="50">
        <f>IF($T1881="","",IF($S1881="S",IF(INDEX(Firms!$H$5:$H$1004,$T1881)="","",INDEX(Firms!$H$5:$H$1004,$T1881)),IF(INDEX('AFA Rates'!$G$5:$G$1004,$T1881)="","",INDEX('AFA Rates'!$G$5:$G$1004,$T1881))))</f>
        <v/>
      </c>
      <c r="J1881" s="50">
        <f>IF($T1881="","",IF($S1881="S",IF(INDEX(Firms!$I$5:$I$1004,$T1881)="","",INDEX(Firms!$I$5:$I$1004,$T1881)),IF(INDEX('AFA Rates'!$H$5:$H$1004,$T1881)="","",INDEX('AFA Rates'!$H$5:$H$1004,$T1881))))</f>
        <v/>
      </c>
      <c r="K1881" s="50">
        <f>IF($T1881="","",IF($S1881="S",IF(INDEX(Firms!$J$5:$J$1004,$T1881)="","",INDEX(Firms!$J$5:$J$1004,$T1881)),IF(INDEX('AFA Rates'!$I$5:$I$1004,$T1881)="","",INDEX('AFA Rates'!$I$5:$I$1004,$T1881))))</f>
        <v/>
      </c>
      <c r="L1881" s="50">
        <f>IF($T1881="","",IF($S1881="S",IF(INDEX(Firms!$K$5:$K$1004,$T1881)="","",INDEX(Firms!$K$5:$K$1004,$T1881)),IF(INDEX('AFA Rates'!$J$5:$J$1004,$T1881)="","",INDEX('AFA Rates'!$J$5:$J$1004,$T1881))))</f>
        <v/>
      </c>
      <c r="M1881" s="50">
        <f>IF($T1881="","",IF($S1881="S",IF(INDEX(Firms!$L$5:$L$1004,$T1881)="","",INDEX(Firms!$L$5:$L$1004,$T1881)),IF(INDEX('AFA Rates'!$K$5:$K$1004,$T1881)="","",INDEX('AFA Rates'!$K$5:$K$1004,$T1881))))</f>
        <v/>
      </c>
      <c r="N1881" s="50">
        <f>IF($T1881="","",IF($S1881="S",IF(INDEX(Firms!$M$5:$M$1004,$T1881)="","",INDEX(Firms!$M$5:$M$1004,$T1881)),IF(INDEX('AFA Rates'!$L$5:$L$1004,$T1881)="","",INDEX('AFA Rates'!$L$5:$L$1004,$T1881))))</f>
        <v/>
      </c>
      <c r="O1881" s="78">
        <f>IF(OR($T1881="",$U1881=""),"",IF(INDEX(Firms!$C$5:$C$1004,$U1881)="","",INDEX(Firms!$C$5:$C$1004,$U1881)))</f>
        <v/>
      </c>
      <c r="P1881" s="79">
        <f>IF(OR($T1881="",$U1881=""),"",IF(INDEX(Firms!$N$5:$N$1004,$U1881)="","",INDEX(Firms!$N$5:$N$1004,$U1881)))</f>
        <v/>
      </c>
      <c r="Q1881" s="78">
        <f>IF($T1881="","",IF($S1881="S",IF(INDEX(Firms!$T$5:$T$1004,$T1881)="","",INDEX(Firms!$T$5:$T$1004,$T1881)),IF(INDEX('AFA Rates'!$M$5:$M$1004,$T1881)="","",INDEX('AFA Rates'!$M$5:$M$1004,$T1881))))</f>
        <v/>
      </c>
      <c r="S1881">
        <f>IF(1877&lt;=$S$2,"S",IF(1877&lt;=$S$2+$T$2,"A",""))</f>
        <v/>
      </c>
      <c r="T1881">
        <f>IF(S1881="S",MATCH(1877,Firms!$W$5:$W$1004,0),IF(S1881="A",IFERROR(MATCH(1877-$S$2,'AFA Rates'!$R$5:$R$1004,0),""),""))</f>
        <v/>
      </c>
      <c r="U1881">
        <f>IF(S1881="S",T1881,IF(AND(S1881="A",T1881&lt;&gt;""),IFERROR(MATCH(INDEX('AFA Rates'!$A$5:$A$1004,T1881),Firms!$A$5:$A$1004,0),""),""))</f>
        <v/>
      </c>
    </row>
    <row r="1882">
      <c r="A1882" s="78">
        <f>IF($T1882="","",IF($S1882="S",IF(INDEX(Firms!$A$5:$A$1004,$T1882)="","",INDEX(Firms!$A$5:$A$1004,$T1882)),IF(INDEX('AFA Rates'!$A$5:$A$1004,$T1882)="","",INDEX('AFA Rates'!$A$5:$A$1004,$T1882))))</f>
        <v/>
      </c>
      <c r="B1882" s="79">
        <f>IF(OR($T1882="",$U1882=""),IF($T1882="","","Not on Firms tab"),INDEX(Firms!$B$5:$B$1004,$U1882)&amp;"")</f>
        <v/>
      </c>
      <c r="C1882" s="78">
        <f>IF($T1882="","",IF($S1882="S","Standard",INDEX('AFA Rates'!$B$5:$B$1004,$T1882)&amp;""))</f>
        <v/>
      </c>
      <c r="D1882" s="88">
        <f>IF($T1882="","",IF($S1882="S",IF(INDEX(Firms!$E$5:$E$1004,$T1882)="","",INDEX(Firms!$E$5:$E$1004,$T1882)),IF(INDEX('AFA Rates'!$C$5:$C$1004,$T1882)="","",INDEX('AFA Rates'!$C$5:$C$1004,$T1882))))</f>
        <v/>
      </c>
      <c r="E1882" s="88">
        <f>IF($T1882="","",IF($S1882="S",IF(""="","",""),IF(INDEX('AFA Rates'!$D$5:$D$1004,$T1882)="","",INDEX('AFA Rates'!$D$5:$D$1004,$T1882))))</f>
        <v/>
      </c>
      <c r="F1882" s="79">
        <f>IF($T1882="","",IF($S1882="S",IF(INDEX(Firms!$O$5:$O$1004,$T1882)="","",INDEX(Firms!$O$5:$O$1004,$T1882)),IF(INDEX('AFA Rates'!$O$5:$O$1004,$T1882)="","",INDEX('AFA Rates'!$O$5:$O$1004,$T1882))))</f>
        <v/>
      </c>
      <c r="G1882" s="50">
        <f>IF($T1882="","",IF($S1882="S",IF(INDEX(Firms!$F$5:$F$1004,$T1882)="","",INDEX(Firms!$F$5:$F$1004,$T1882)),IF(INDEX('AFA Rates'!$E$5:$E$1004,$T1882)="","",INDEX('AFA Rates'!$E$5:$E$1004,$T1882))))</f>
        <v/>
      </c>
      <c r="H1882" s="50">
        <f>IF($T1882="","",IF($S1882="S",IF(INDEX(Firms!$G$5:$G$1004,$T1882)="","",INDEX(Firms!$G$5:$G$1004,$T1882)),IF(INDEX('AFA Rates'!$F$5:$F$1004,$T1882)="","",INDEX('AFA Rates'!$F$5:$F$1004,$T1882))))</f>
        <v/>
      </c>
      <c r="I1882" s="50">
        <f>IF($T1882="","",IF($S1882="S",IF(INDEX(Firms!$H$5:$H$1004,$T1882)="","",INDEX(Firms!$H$5:$H$1004,$T1882)),IF(INDEX('AFA Rates'!$G$5:$G$1004,$T1882)="","",INDEX('AFA Rates'!$G$5:$G$1004,$T1882))))</f>
        <v/>
      </c>
      <c r="J1882" s="50">
        <f>IF($T1882="","",IF($S1882="S",IF(INDEX(Firms!$I$5:$I$1004,$T1882)="","",INDEX(Firms!$I$5:$I$1004,$T1882)),IF(INDEX('AFA Rates'!$H$5:$H$1004,$T1882)="","",INDEX('AFA Rates'!$H$5:$H$1004,$T1882))))</f>
        <v/>
      </c>
      <c r="K1882" s="50">
        <f>IF($T1882="","",IF($S1882="S",IF(INDEX(Firms!$J$5:$J$1004,$T1882)="","",INDEX(Firms!$J$5:$J$1004,$T1882)),IF(INDEX('AFA Rates'!$I$5:$I$1004,$T1882)="","",INDEX('AFA Rates'!$I$5:$I$1004,$T1882))))</f>
        <v/>
      </c>
      <c r="L1882" s="50">
        <f>IF($T1882="","",IF($S1882="S",IF(INDEX(Firms!$K$5:$K$1004,$T1882)="","",INDEX(Firms!$K$5:$K$1004,$T1882)),IF(INDEX('AFA Rates'!$J$5:$J$1004,$T1882)="","",INDEX('AFA Rates'!$J$5:$J$1004,$T1882))))</f>
        <v/>
      </c>
      <c r="M1882" s="50">
        <f>IF($T1882="","",IF($S1882="S",IF(INDEX(Firms!$L$5:$L$1004,$T1882)="","",INDEX(Firms!$L$5:$L$1004,$T1882)),IF(INDEX('AFA Rates'!$K$5:$K$1004,$T1882)="","",INDEX('AFA Rates'!$K$5:$K$1004,$T1882))))</f>
        <v/>
      </c>
      <c r="N1882" s="50">
        <f>IF($T1882="","",IF($S1882="S",IF(INDEX(Firms!$M$5:$M$1004,$T1882)="","",INDEX(Firms!$M$5:$M$1004,$T1882)),IF(INDEX('AFA Rates'!$L$5:$L$1004,$T1882)="","",INDEX('AFA Rates'!$L$5:$L$1004,$T1882))))</f>
        <v/>
      </c>
      <c r="O1882" s="78">
        <f>IF(OR($T1882="",$U1882=""),"",IF(INDEX(Firms!$C$5:$C$1004,$U1882)="","",INDEX(Firms!$C$5:$C$1004,$U1882)))</f>
        <v/>
      </c>
      <c r="P1882" s="79">
        <f>IF(OR($T1882="",$U1882=""),"",IF(INDEX(Firms!$N$5:$N$1004,$U1882)="","",INDEX(Firms!$N$5:$N$1004,$U1882)))</f>
        <v/>
      </c>
      <c r="Q1882" s="78">
        <f>IF($T1882="","",IF($S1882="S",IF(INDEX(Firms!$T$5:$T$1004,$T1882)="","",INDEX(Firms!$T$5:$T$1004,$T1882)),IF(INDEX('AFA Rates'!$M$5:$M$1004,$T1882)="","",INDEX('AFA Rates'!$M$5:$M$1004,$T1882))))</f>
        <v/>
      </c>
      <c r="S1882">
        <f>IF(1878&lt;=$S$2,"S",IF(1878&lt;=$S$2+$T$2,"A",""))</f>
        <v/>
      </c>
      <c r="T1882">
        <f>IF(S1882="S",MATCH(1878,Firms!$W$5:$W$1004,0),IF(S1882="A",IFERROR(MATCH(1878-$S$2,'AFA Rates'!$R$5:$R$1004,0),""),""))</f>
        <v/>
      </c>
      <c r="U1882">
        <f>IF(S1882="S",T1882,IF(AND(S1882="A",T1882&lt;&gt;""),IFERROR(MATCH(INDEX('AFA Rates'!$A$5:$A$1004,T1882),Firms!$A$5:$A$1004,0),""),""))</f>
        <v/>
      </c>
    </row>
    <row r="1883">
      <c r="A1883" s="78">
        <f>IF($T1883="","",IF($S1883="S",IF(INDEX(Firms!$A$5:$A$1004,$T1883)="","",INDEX(Firms!$A$5:$A$1004,$T1883)),IF(INDEX('AFA Rates'!$A$5:$A$1004,$T1883)="","",INDEX('AFA Rates'!$A$5:$A$1004,$T1883))))</f>
        <v/>
      </c>
      <c r="B1883" s="79">
        <f>IF(OR($T1883="",$U1883=""),IF($T1883="","","Not on Firms tab"),INDEX(Firms!$B$5:$B$1004,$U1883)&amp;"")</f>
        <v/>
      </c>
      <c r="C1883" s="78">
        <f>IF($T1883="","",IF($S1883="S","Standard",INDEX('AFA Rates'!$B$5:$B$1004,$T1883)&amp;""))</f>
        <v/>
      </c>
      <c r="D1883" s="88">
        <f>IF($T1883="","",IF($S1883="S",IF(INDEX(Firms!$E$5:$E$1004,$T1883)="","",INDEX(Firms!$E$5:$E$1004,$T1883)),IF(INDEX('AFA Rates'!$C$5:$C$1004,$T1883)="","",INDEX('AFA Rates'!$C$5:$C$1004,$T1883))))</f>
        <v/>
      </c>
      <c r="E1883" s="88">
        <f>IF($T1883="","",IF($S1883="S",IF(""="","",""),IF(INDEX('AFA Rates'!$D$5:$D$1004,$T1883)="","",INDEX('AFA Rates'!$D$5:$D$1004,$T1883))))</f>
        <v/>
      </c>
      <c r="F1883" s="79">
        <f>IF($T1883="","",IF($S1883="S",IF(INDEX(Firms!$O$5:$O$1004,$T1883)="","",INDEX(Firms!$O$5:$O$1004,$T1883)),IF(INDEX('AFA Rates'!$O$5:$O$1004,$T1883)="","",INDEX('AFA Rates'!$O$5:$O$1004,$T1883))))</f>
        <v/>
      </c>
      <c r="G1883" s="50">
        <f>IF($T1883="","",IF($S1883="S",IF(INDEX(Firms!$F$5:$F$1004,$T1883)="","",INDEX(Firms!$F$5:$F$1004,$T1883)),IF(INDEX('AFA Rates'!$E$5:$E$1004,$T1883)="","",INDEX('AFA Rates'!$E$5:$E$1004,$T1883))))</f>
        <v/>
      </c>
      <c r="H1883" s="50">
        <f>IF($T1883="","",IF($S1883="S",IF(INDEX(Firms!$G$5:$G$1004,$T1883)="","",INDEX(Firms!$G$5:$G$1004,$T1883)),IF(INDEX('AFA Rates'!$F$5:$F$1004,$T1883)="","",INDEX('AFA Rates'!$F$5:$F$1004,$T1883))))</f>
        <v/>
      </c>
      <c r="I1883" s="50">
        <f>IF($T1883="","",IF($S1883="S",IF(INDEX(Firms!$H$5:$H$1004,$T1883)="","",INDEX(Firms!$H$5:$H$1004,$T1883)),IF(INDEX('AFA Rates'!$G$5:$G$1004,$T1883)="","",INDEX('AFA Rates'!$G$5:$G$1004,$T1883))))</f>
        <v/>
      </c>
      <c r="J1883" s="50">
        <f>IF($T1883="","",IF($S1883="S",IF(INDEX(Firms!$I$5:$I$1004,$T1883)="","",INDEX(Firms!$I$5:$I$1004,$T1883)),IF(INDEX('AFA Rates'!$H$5:$H$1004,$T1883)="","",INDEX('AFA Rates'!$H$5:$H$1004,$T1883))))</f>
        <v/>
      </c>
      <c r="K1883" s="50">
        <f>IF($T1883="","",IF($S1883="S",IF(INDEX(Firms!$J$5:$J$1004,$T1883)="","",INDEX(Firms!$J$5:$J$1004,$T1883)),IF(INDEX('AFA Rates'!$I$5:$I$1004,$T1883)="","",INDEX('AFA Rates'!$I$5:$I$1004,$T1883))))</f>
        <v/>
      </c>
      <c r="L1883" s="50">
        <f>IF($T1883="","",IF($S1883="S",IF(INDEX(Firms!$K$5:$K$1004,$T1883)="","",INDEX(Firms!$K$5:$K$1004,$T1883)),IF(INDEX('AFA Rates'!$J$5:$J$1004,$T1883)="","",INDEX('AFA Rates'!$J$5:$J$1004,$T1883))))</f>
        <v/>
      </c>
      <c r="M1883" s="50">
        <f>IF($T1883="","",IF($S1883="S",IF(INDEX(Firms!$L$5:$L$1004,$T1883)="","",INDEX(Firms!$L$5:$L$1004,$T1883)),IF(INDEX('AFA Rates'!$K$5:$K$1004,$T1883)="","",INDEX('AFA Rates'!$K$5:$K$1004,$T1883))))</f>
        <v/>
      </c>
      <c r="N1883" s="50">
        <f>IF($T1883="","",IF($S1883="S",IF(INDEX(Firms!$M$5:$M$1004,$T1883)="","",INDEX(Firms!$M$5:$M$1004,$T1883)),IF(INDEX('AFA Rates'!$L$5:$L$1004,$T1883)="","",INDEX('AFA Rates'!$L$5:$L$1004,$T1883))))</f>
        <v/>
      </c>
      <c r="O1883" s="78">
        <f>IF(OR($T1883="",$U1883=""),"",IF(INDEX(Firms!$C$5:$C$1004,$U1883)="","",INDEX(Firms!$C$5:$C$1004,$U1883)))</f>
        <v/>
      </c>
      <c r="P1883" s="79">
        <f>IF(OR($T1883="",$U1883=""),"",IF(INDEX(Firms!$N$5:$N$1004,$U1883)="","",INDEX(Firms!$N$5:$N$1004,$U1883)))</f>
        <v/>
      </c>
      <c r="Q1883" s="78">
        <f>IF($T1883="","",IF($S1883="S",IF(INDEX(Firms!$T$5:$T$1004,$T1883)="","",INDEX(Firms!$T$5:$T$1004,$T1883)),IF(INDEX('AFA Rates'!$M$5:$M$1004,$T1883)="","",INDEX('AFA Rates'!$M$5:$M$1004,$T1883))))</f>
        <v/>
      </c>
      <c r="S1883">
        <f>IF(1879&lt;=$S$2,"S",IF(1879&lt;=$S$2+$T$2,"A",""))</f>
        <v/>
      </c>
      <c r="T1883">
        <f>IF(S1883="S",MATCH(1879,Firms!$W$5:$W$1004,0),IF(S1883="A",IFERROR(MATCH(1879-$S$2,'AFA Rates'!$R$5:$R$1004,0),""),""))</f>
        <v/>
      </c>
      <c r="U1883">
        <f>IF(S1883="S",T1883,IF(AND(S1883="A",T1883&lt;&gt;""),IFERROR(MATCH(INDEX('AFA Rates'!$A$5:$A$1004,T1883),Firms!$A$5:$A$1004,0),""),""))</f>
        <v/>
      </c>
    </row>
    <row r="1884">
      <c r="A1884" s="78">
        <f>IF($T1884="","",IF($S1884="S",IF(INDEX(Firms!$A$5:$A$1004,$T1884)="","",INDEX(Firms!$A$5:$A$1004,$T1884)),IF(INDEX('AFA Rates'!$A$5:$A$1004,$T1884)="","",INDEX('AFA Rates'!$A$5:$A$1004,$T1884))))</f>
        <v/>
      </c>
      <c r="B1884" s="79">
        <f>IF(OR($T1884="",$U1884=""),IF($T1884="","","Not on Firms tab"),INDEX(Firms!$B$5:$B$1004,$U1884)&amp;"")</f>
        <v/>
      </c>
      <c r="C1884" s="78">
        <f>IF($T1884="","",IF($S1884="S","Standard",INDEX('AFA Rates'!$B$5:$B$1004,$T1884)&amp;""))</f>
        <v/>
      </c>
      <c r="D1884" s="88">
        <f>IF($T1884="","",IF($S1884="S",IF(INDEX(Firms!$E$5:$E$1004,$T1884)="","",INDEX(Firms!$E$5:$E$1004,$T1884)),IF(INDEX('AFA Rates'!$C$5:$C$1004,$T1884)="","",INDEX('AFA Rates'!$C$5:$C$1004,$T1884))))</f>
        <v/>
      </c>
      <c r="E1884" s="88">
        <f>IF($T1884="","",IF($S1884="S",IF(""="","",""),IF(INDEX('AFA Rates'!$D$5:$D$1004,$T1884)="","",INDEX('AFA Rates'!$D$5:$D$1004,$T1884))))</f>
        <v/>
      </c>
      <c r="F1884" s="79">
        <f>IF($T1884="","",IF($S1884="S",IF(INDEX(Firms!$O$5:$O$1004,$T1884)="","",INDEX(Firms!$O$5:$O$1004,$T1884)),IF(INDEX('AFA Rates'!$O$5:$O$1004,$T1884)="","",INDEX('AFA Rates'!$O$5:$O$1004,$T1884))))</f>
        <v/>
      </c>
      <c r="G1884" s="50">
        <f>IF($T1884="","",IF($S1884="S",IF(INDEX(Firms!$F$5:$F$1004,$T1884)="","",INDEX(Firms!$F$5:$F$1004,$T1884)),IF(INDEX('AFA Rates'!$E$5:$E$1004,$T1884)="","",INDEX('AFA Rates'!$E$5:$E$1004,$T1884))))</f>
        <v/>
      </c>
      <c r="H1884" s="50">
        <f>IF($T1884="","",IF($S1884="S",IF(INDEX(Firms!$G$5:$G$1004,$T1884)="","",INDEX(Firms!$G$5:$G$1004,$T1884)),IF(INDEX('AFA Rates'!$F$5:$F$1004,$T1884)="","",INDEX('AFA Rates'!$F$5:$F$1004,$T1884))))</f>
        <v/>
      </c>
      <c r="I1884" s="50">
        <f>IF($T1884="","",IF($S1884="S",IF(INDEX(Firms!$H$5:$H$1004,$T1884)="","",INDEX(Firms!$H$5:$H$1004,$T1884)),IF(INDEX('AFA Rates'!$G$5:$G$1004,$T1884)="","",INDEX('AFA Rates'!$G$5:$G$1004,$T1884))))</f>
        <v/>
      </c>
      <c r="J1884" s="50">
        <f>IF($T1884="","",IF($S1884="S",IF(INDEX(Firms!$I$5:$I$1004,$T1884)="","",INDEX(Firms!$I$5:$I$1004,$T1884)),IF(INDEX('AFA Rates'!$H$5:$H$1004,$T1884)="","",INDEX('AFA Rates'!$H$5:$H$1004,$T1884))))</f>
        <v/>
      </c>
      <c r="K1884" s="50">
        <f>IF($T1884="","",IF($S1884="S",IF(INDEX(Firms!$J$5:$J$1004,$T1884)="","",INDEX(Firms!$J$5:$J$1004,$T1884)),IF(INDEX('AFA Rates'!$I$5:$I$1004,$T1884)="","",INDEX('AFA Rates'!$I$5:$I$1004,$T1884))))</f>
        <v/>
      </c>
      <c r="L1884" s="50">
        <f>IF($T1884="","",IF($S1884="S",IF(INDEX(Firms!$K$5:$K$1004,$T1884)="","",INDEX(Firms!$K$5:$K$1004,$T1884)),IF(INDEX('AFA Rates'!$J$5:$J$1004,$T1884)="","",INDEX('AFA Rates'!$J$5:$J$1004,$T1884))))</f>
        <v/>
      </c>
      <c r="M1884" s="50">
        <f>IF($T1884="","",IF($S1884="S",IF(INDEX(Firms!$L$5:$L$1004,$T1884)="","",INDEX(Firms!$L$5:$L$1004,$T1884)),IF(INDEX('AFA Rates'!$K$5:$K$1004,$T1884)="","",INDEX('AFA Rates'!$K$5:$K$1004,$T1884))))</f>
        <v/>
      </c>
      <c r="N1884" s="50">
        <f>IF($T1884="","",IF($S1884="S",IF(INDEX(Firms!$M$5:$M$1004,$T1884)="","",INDEX(Firms!$M$5:$M$1004,$T1884)),IF(INDEX('AFA Rates'!$L$5:$L$1004,$T1884)="","",INDEX('AFA Rates'!$L$5:$L$1004,$T1884))))</f>
        <v/>
      </c>
      <c r="O1884" s="78">
        <f>IF(OR($T1884="",$U1884=""),"",IF(INDEX(Firms!$C$5:$C$1004,$U1884)="","",INDEX(Firms!$C$5:$C$1004,$U1884)))</f>
        <v/>
      </c>
      <c r="P1884" s="79">
        <f>IF(OR($T1884="",$U1884=""),"",IF(INDEX(Firms!$N$5:$N$1004,$U1884)="","",INDEX(Firms!$N$5:$N$1004,$U1884)))</f>
        <v/>
      </c>
      <c r="Q1884" s="78">
        <f>IF($T1884="","",IF($S1884="S",IF(INDEX(Firms!$T$5:$T$1004,$T1884)="","",INDEX(Firms!$T$5:$T$1004,$T1884)),IF(INDEX('AFA Rates'!$M$5:$M$1004,$T1884)="","",INDEX('AFA Rates'!$M$5:$M$1004,$T1884))))</f>
        <v/>
      </c>
      <c r="S1884">
        <f>IF(1880&lt;=$S$2,"S",IF(1880&lt;=$S$2+$T$2,"A",""))</f>
        <v/>
      </c>
      <c r="T1884">
        <f>IF(S1884="S",MATCH(1880,Firms!$W$5:$W$1004,0),IF(S1884="A",IFERROR(MATCH(1880-$S$2,'AFA Rates'!$R$5:$R$1004,0),""),""))</f>
        <v/>
      </c>
      <c r="U1884">
        <f>IF(S1884="S",T1884,IF(AND(S1884="A",T1884&lt;&gt;""),IFERROR(MATCH(INDEX('AFA Rates'!$A$5:$A$1004,T1884),Firms!$A$5:$A$1004,0),""),""))</f>
        <v/>
      </c>
    </row>
    <row r="1885">
      <c r="A1885" s="78">
        <f>IF($T1885="","",IF($S1885="S",IF(INDEX(Firms!$A$5:$A$1004,$T1885)="","",INDEX(Firms!$A$5:$A$1004,$T1885)),IF(INDEX('AFA Rates'!$A$5:$A$1004,$T1885)="","",INDEX('AFA Rates'!$A$5:$A$1004,$T1885))))</f>
        <v/>
      </c>
      <c r="B1885" s="79">
        <f>IF(OR($T1885="",$U1885=""),IF($T1885="","","Not on Firms tab"),INDEX(Firms!$B$5:$B$1004,$U1885)&amp;"")</f>
        <v/>
      </c>
      <c r="C1885" s="78">
        <f>IF($T1885="","",IF($S1885="S","Standard",INDEX('AFA Rates'!$B$5:$B$1004,$T1885)&amp;""))</f>
        <v/>
      </c>
      <c r="D1885" s="88">
        <f>IF($T1885="","",IF($S1885="S",IF(INDEX(Firms!$E$5:$E$1004,$T1885)="","",INDEX(Firms!$E$5:$E$1004,$T1885)),IF(INDEX('AFA Rates'!$C$5:$C$1004,$T1885)="","",INDEX('AFA Rates'!$C$5:$C$1004,$T1885))))</f>
        <v/>
      </c>
      <c r="E1885" s="88">
        <f>IF($T1885="","",IF($S1885="S",IF(""="","",""),IF(INDEX('AFA Rates'!$D$5:$D$1004,$T1885)="","",INDEX('AFA Rates'!$D$5:$D$1004,$T1885))))</f>
        <v/>
      </c>
      <c r="F1885" s="79">
        <f>IF($T1885="","",IF($S1885="S",IF(INDEX(Firms!$O$5:$O$1004,$T1885)="","",INDEX(Firms!$O$5:$O$1004,$T1885)),IF(INDEX('AFA Rates'!$O$5:$O$1004,$T1885)="","",INDEX('AFA Rates'!$O$5:$O$1004,$T1885))))</f>
        <v/>
      </c>
      <c r="G1885" s="50">
        <f>IF($T1885="","",IF($S1885="S",IF(INDEX(Firms!$F$5:$F$1004,$T1885)="","",INDEX(Firms!$F$5:$F$1004,$T1885)),IF(INDEX('AFA Rates'!$E$5:$E$1004,$T1885)="","",INDEX('AFA Rates'!$E$5:$E$1004,$T1885))))</f>
        <v/>
      </c>
      <c r="H1885" s="50">
        <f>IF($T1885="","",IF($S1885="S",IF(INDEX(Firms!$G$5:$G$1004,$T1885)="","",INDEX(Firms!$G$5:$G$1004,$T1885)),IF(INDEX('AFA Rates'!$F$5:$F$1004,$T1885)="","",INDEX('AFA Rates'!$F$5:$F$1004,$T1885))))</f>
        <v/>
      </c>
      <c r="I1885" s="50">
        <f>IF($T1885="","",IF($S1885="S",IF(INDEX(Firms!$H$5:$H$1004,$T1885)="","",INDEX(Firms!$H$5:$H$1004,$T1885)),IF(INDEX('AFA Rates'!$G$5:$G$1004,$T1885)="","",INDEX('AFA Rates'!$G$5:$G$1004,$T1885))))</f>
        <v/>
      </c>
      <c r="J1885" s="50">
        <f>IF($T1885="","",IF($S1885="S",IF(INDEX(Firms!$I$5:$I$1004,$T1885)="","",INDEX(Firms!$I$5:$I$1004,$T1885)),IF(INDEX('AFA Rates'!$H$5:$H$1004,$T1885)="","",INDEX('AFA Rates'!$H$5:$H$1004,$T1885))))</f>
        <v/>
      </c>
      <c r="K1885" s="50">
        <f>IF($T1885="","",IF($S1885="S",IF(INDEX(Firms!$J$5:$J$1004,$T1885)="","",INDEX(Firms!$J$5:$J$1004,$T1885)),IF(INDEX('AFA Rates'!$I$5:$I$1004,$T1885)="","",INDEX('AFA Rates'!$I$5:$I$1004,$T1885))))</f>
        <v/>
      </c>
      <c r="L1885" s="50">
        <f>IF($T1885="","",IF($S1885="S",IF(INDEX(Firms!$K$5:$K$1004,$T1885)="","",INDEX(Firms!$K$5:$K$1004,$T1885)),IF(INDEX('AFA Rates'!$J$5:$J$1004,$T1885)="","",INDEX('AFA Rates'!$J$5:$J$1004,$T1885))))</f>
        <v/>
      </c>
      <c r="M1885" s="50">
        <f>IF($T1885="","",IF($S1885="S",IF(INDEX(Firms!$L$5:$L$1004,$T1885)="","",INDEX(Firms!$L$5:$L$1004,$T1885)),IF(INDEX('AFA Rates'!$K$5:$K$1004,$T1885)="","",INDEX('AFA Rates'!$K$5:$K$1004,$T1885))))</f>
        <v/>
      </c>
      <c r="N1885" s="50">
        <f>IF($T1885="","",IF($S1885="S",IF(INDEX(Firms!$M$5:$M$1004,$T1885)="","",INDEX(Firms!$M$5:$M$1004,$T1885)),IF(INDEX('AFA Rates'!$L$5:$L$1004,$T1885)="","",INDEX('AFA Rates'!$L$5:$L$1004,$T1885))))</f>
        <v/>
      </c>
      <c r="O1885" s="78">
        <f>IF(OR($T1885="",$U1885=""),"",IF(INDEX(Firms!$C$5:$C$1004,$U1885)="","",INDEX(Firms!$C$5:$C$1004,$U1885)))</f>
        <v/>
      </c>
      <c r="P1885" s="79">
        <f>IF(OR($T1885="",$U1885=""),"",IF(INDEX(Firms!$N$5:$N$1004,$U1885)="","",INDEX(Firms!$N$5:$N$1004,$U1885)))</f>
        <v/>
      </c>
      <c r="Q1885" s="78">
        <f>IF($T1885="","",IF($S1885="S",IF(INDEX(Firms!$T$5:$T$1004,$T1885)="","",INDEX(Firms!$T$5:$T$1004,$T1885)),IF(INDEX('AFA Rates'!$M$5:$M$1004,$T1885)="","",INDEX('AFA Rates'!$M$5:$M$1004,$T1885))))</f>
        <v/>
      </c>
      <c r="S1885">
        <f>IF(1881&lt;=$S$2,"S",IF(1881&lt;=$S$2+$T$2,"A",""))</f>
        <v/>
      </c>
      <c r="T1885">
        <f>IF(S1885="S",MATCH(1881,Firms!$W$5:$W$1004,0),IF(S1885="A",IFERROR(MATCH(1881-$S$2,'AFA Rates'!$R$5:$R$1004,0),""),""))</f>
        <v/>
      </c>
      <c r="U1885">
        <f>IF(S1885="S",T1885,IF(AND(S1885="A",T1885&lt;&gt;""),IFERROR(MATCH(INDEX('AFA Rates'!$A$5:$A$1004,T1885),Firms!$A$5:$A$1004,0),""),""))</f>
        <v/>
      </c>
    </row>
    <row r="1886">
      <c r="A1886" s="78">
        <f>IF($T1886="","",IF($S1886="S",IF(INDEX(Firms!$A$5:$A$1004,$T1886)="","",INDEX(Firms!$A$5:$A$1004,$T1886)),IF(INDEX('AFA Rates'!$A$5:$A$1004,$T1886)="","",INDEX('AFA Rates'!$A$5:$A$1004,$T1886))))</f>
        <v/>
      </c>
      <c r="B1886" s="79">
        <f>IF(OR($T1886="",$U1886=""),IF($T1886="","","Not on Firms tab"),INDEX(Firms!$B$5:$B$1004,$U1886)&amp;"")</f>
        <v/>
      </c>
      <c r="C1886" s="78">
        <f>IF($T1886="","",IF($S1886="S","Standard",INDEX('AFA Rates'!$B$5:$B$1004,$T1886)&amp;""))</f>
        <v/>
      </c>
      <c r="D1886" s="88">
        <f>IF($T1886="","",IF($S1886="S",IF(INDEX(Firms!$E$5:$E$1004,$T1886)="","",INDEX(Firms!$E$5:$E$1004,$T1886)),IF(INDEX('AFA Rates'!$C$5:$C$1004,$T1886)="","",INDEX('AFA Rates'!$C$5:$C$1004,$T1886))))</f>
        <v/>
      </c>
      <c r="E1886" s="88">
        <f>IF($T1886="","",IF($S1886="S",IF(""="","",""),IF(INDEX('AFA Rates'!$D$5:$D$1004,$T1886)="","",INDEX('AFA Rates'!$D$5:$D$1004,$T1886))))</f>
        <v/>
      </c>
      <c r="F1886" s="79">
        <f>IF($T1886="","",IF($S1886="S",IF(INDEX(Firms!$O$5:$O$1004,$T1886)="","",INDEX(Firms!$O$5:$O$1004,$T1886)),IF(INDEX('AFA Rates'!$O$5:$O$1004,$T1886)="","",INDEX('AFA Rates'!$O$5:$O$1004,$T1886))))</f>
        <v/>
      </c>
      <c r="G1886" s="50">
        <f>IF($T1886="","",IF($S1886="S",IF(INDEX(Firms!$F$5:$F$1004,$T1886)="","",INDEX(Firms!$F$5:$F$1004,$T1886)),IF(INDEX('AFA Rates'!$E$5:$E$1004,$T1886)="","",INDEX('AFA Rates'!$E$5:$E$1004,$T1886))))</f>
        <v/>
      </c>
      <c r="H1886" s="50">
        <f>IF($T1886="","",IF($S1886="S",IF(INDEX(Firms!$G$5:$G$1004,$T1886)="","",INDEX(Firms!$G$5:$G$1004,$T1886)),IF(INDEX('AFA Rates'!$F$5:$F$1004,$T1886)="","",INDEX('AFA Rates'!$F$5:$F$1004,$T1886))))</f>
        <v/>
      </c>
      <c r="I1886" s="50">
        <f>IF($T1886="","",IF($S1886="S",IF(INDEX(Firms!$H$5:$H$1004,$T1886)="","",INDEX(Firms!$H$5:$H$1004,$T1886)),IF(INDEX('AFA Rates'!$G$5:$G$1004,$T1886)="","",INDEX('AFA Rates'!$G$5:$G$1004,$T1886))))</f>
        <v/>
      </c>
      <c r="J1886" s="50">
        <f>IF($T1886="","",IF($S1886="S",IF(INDEX(Firms!$I$5:$I$1004,$T1886)="","",INDEX(Firms!$I$5:$I$1004,$T1886)),IF(INDEX('AFA Rates'!$H$5:$H$1004,$T1886)="","",INDEX('AFA Rates'!$H$5:$H$1004,$T1886))))</f>
        <v/>
      </c>
      <c r="K1886" s="50">
        <f>IF($T1886="","",IF($S1886="S",IF(INDEX(Firms!$J$5:$J$1004,$T1886)="","",INDEX(Firms!$J$5:$J$1004,$T1886)),IF(INDEX('AFA Rates'!$I$5:$I$1004,$T1886)="","",INDEX('AFA Rates'!$I$5:$I$1004,$T1886))))</f>
        <v/>
      </c>
      <c r="L1886" s="50">
        <f>IF($T1886="","",IF($S1886="S",IF(INDEX(Firms!$K$5:$K$1004,$T1886)="","",INDEX(Firms!$K$5:$K$1004,$T1886)),IF(INDEX('AFA Rates'!$J$5:$J$1004,$T1886)="","",INDEX('AFA Rates'!$J$5:$J$1004,$T1886))))</f>
        <v/>
      </c>
      <c r="M1886" s="50">
        <f>IF($T1886="","",IF($S1886="S",IF(INDEX(Firms!$L$5:$L$1004,$T1886)="","",INDEX(Firms!$L$5:$L$1004,$T1886)),IF(INDEX('AFA Rates'!$K$5:$K$1004,$T1886)="","",INDEX('AFA Rates'!$K$5:$K$1004,$T1886))))</f>
        <v/>
      </c>
      <c r="N1886" s="50">
        <f>IF($T1886="","",IF($S1886="S",IF(INDEX(Firms!$M$5:$M$1004,$T1886)="","",INDEX(Firms!$M$5:$M$1004,$T1886)),IF(INDEX('AFA Rates'!$L$5:$L$1004,$T1886)="","",INDEX('AFA Rates'!$L$5:$L$1004,$T1886))))</f>
        <v/>
      </c>
      <c r="O1886" s="78">
        <f>IF(OR($T1886="",$U1886=""),"",IF(INDEX(Firms!$C$5:$C$1004,$U1886)="","",INDEX(Firms!$C$5:$C$1004,$U1886)))</f>
        <v/>
      </c>
      <c r="P1886" s="79">
        <f>IF(OR($T1886="",$U1886=""),"",IF(INDEX(Firms!$N$5:$N$1004,$U1886)="","",INDEX(Firms!$N$5:$N$1004,$U1886)))</f>
        <v/>
      </c>
      <c r="Q1886" s="78">
        <f>IF($T1886="","",IF($S1886="S",IF(INDEX(Firms!$T$5:$T$1004,$T1886)="","",INDEX(Firms!$T$5:$T$1004,$T1886)),IF(INDEX('AFA Rates'!$M$5:$M$1004,$T1886)="","",INDEX('AFA Rates'!$M$5:$M$1004,$T1886))))</f>
        <v/>
      </c>
      <c r="S1886">
        <f>IF(1882&lt;=$S$2,"S",IF(1882&lt;=$S$2+$T$2,"A",""))</f>
        <v/>
      </c>
      <c r="T1886">
        <f>IF(S1886="S",MATCH(1882,Firms!$W$5:$W$1004,0),IF(S1886="A",IFERROR(MATCH(1882-$S$2,'AFA Rates'!$R$5:$R$1004,0),""),""))</f>
        <v/>
      </c>
      <c r="U1886">
        <f>IF(S1886="S",T1886,IF(AND(S1886="A",T1886&lt;&gt;""),IFERROR(MATCH(INDEX('AFA Rates'!$A$5:$A$1004,T1886),Firms!$A$5:$A$1004,0),""),""))</f>
        <v/>
      </c>
    </row>
    <row r="1887">
      <c r="A1887" s="78">
        <f>IF($T1887="","",IF($S1887="S",IF(INDEX(Firms!$A$5:$A$1004,$T1887)="","",INDEX(Firms!$A$5:$A$1004,$T1887)),IF(INDEX('AFA Rates'!$A$5:$A$1004,$T1887)="","",INDEX('AFA Rates'!$A$5:$A$1004,$T1887))))</f>
        <v/>
      </c>
      <c r="B1887" s="79">
        <f>IF(OR($T1887="",$U1887=""),IF($T1887="","","Not on Firms tab"),INDEX(Firms!$B$5:$B$1004,$U1887)&amp;"")</f>
        <v/>
      </c>
      <c r="C1887" s="78">
        <f>IF($T1887="","",IF($S1887="S","Standard",INDEX('AFA Rates'!$B$5:$B$1004,$T1887)&amp;""))</f>
        <v/>
      </c>
      <c r="D1887" s="88">
        <f>IF($T1887="","",IF($S1887="S",IF(INDEX(Firms!$E$5:$E$1004,$T1887)="","",INDEX(Firms!$E$5:$E$1004,$T1887)),IF(INDEX('AFA Rates'!$C$5:$C$1004,$T1887)="","",INDEX('AFA Rates'!$C$5:$C$1004,$T1887))))</f>
        <v/>
      </c>
      <c r="E1887" s="88">
        <f>IF($T1887="","",IF($S1887="S",IF(""="","",""),IF(INDEX('AFA Rates'!$D$5:$D$1004,$T1887)="","",INDEX('AFA Rates'!$D$5:$D$1004,$T1887))))</f>
        <v/>
      </c>
      <c r="F1887" s="79">
        <f>IF($T1887="","",IF($S1887="S",IF(INDEX(Firms!$O$5:$O$1004,$T1887)="","",INDEX(Firms!$O$5:$O$1004,$T1887)),IF(INDEX('AFA Rates'!$O$5:$O$1004,$T1887)="","",INDEX('AFA Rates'!$O$5:$O$1004,$T1887))))</f>
        <v/>
      </c>
      <c r="G1887" s="50">
        <f>IF($T1887="","",IF($S1887="S",IF(INDEX(Firms!$F$5:$F$1004,$T1887)="","",INDEX(Firms!$F$5:$F$1004,$T1887)),IF(INDEX('AFA Rates'!$E$5:$E$1004,$T1887)="","",INDEX('AFA Rates'!$E$5:$E$1004,$T1887))))</f>
        <v/>
      </c>
      <c r="H1887" s="50">
        <f>IF($T1887="","",IF($S1887="S",IF(INDEX(Firms!$G$5:$G$1004,$T1887)="","",INDEX(Firms!$G$5:$G$1004,$T1887)),IF(INDEX('AFA Rates'!$F$5:$F$1004,$T1887)="","",INDEX('AFA Rates'!$F$5:$F$1004,$T1887))))</f>
        <v/>
      </c>
      <c r="I1887" s="50">
        <f>IF($T1887="","",IF($S1887="S",IF(INDEX(Firms!$H$5:$H$1004,$T1887)="","",INDEX(Firms!$H$5:$H$1004,$T1887)),IF(INDEX('AFA Rates'!$G$5:$G$1004,$T1887)="","",INDEX('AFA Rates'!$G$5:$G$1004,$T1887))))</f>
        <v/>
      </c>
      <c r="J1887" s="50">
        <f>IF($T1887="","",IF($S1887="S",IF(INDEX(Firms!$I$5:$I$1004,$T1887)="","",INDEX(Firms!$I$5:$I$1004,$T1887)),IF(INDEX('AFA Rates'!$H$5:$H$1004,$T1887)="","",INDEX('AFA Rates'!$H$5:$H$1004,$T1887))))</f>
        <v/>
      </c>
      <c r="K1887" s="50">
        <f>IF($T1887="","",IF($S1887="S",IF(INDEX(Firms!$J$5:$J$1004,$T1887)="","",INDEX(Firms!$J$5:$J$1004,$T1887)),IF(INDEX('AFA Rates'!$I$5:$I$1004,$T1887)="","",INDEX('AFA Rates'!$I$5:$I$1004,$T1887))))</f>
        <v/>
      </c>
      <c r="L1887" s="50">
        <f>IF($T1887="","",IF($S1887="S",IF(INDEX(Firms!$K$5:$K$1004,$T1887)="","",INDEX(Firms!$K$5:$K$1004,$T1887)),IF(INDEX('AFA Rates'!$J$5:$J$1004,$T1887)="","",INDEX('AFA Rates'!$J$5:$J$1004,$T1887))))</f>
        <v/>
      </c>
      <c r="M1887" s="50">
        <f>IF($T1887="","",IF($S1887="S",IF(INDEX(Firms!$L$5:$L$1004,$T1887)="","",INDEX(Firms!$L$5:$L$1004,$T1887)),IF(INDEX('AFA Rates'!$K$5:$K$1004,$T1887)="","",INDEX('AFA Rates'!$K$5:$K$1004,$T1887))))</f>
        <v/>
      </c>
      <c r="N1887" s="50">
        <f>IF($T1887="","",IF($S1887="S",IF(INDEX(Firms!$M$5:$M$1004,$T1887)="","",INDEX(Firms!$M$5:$M$1004,$T1887)),IF(INDEX('AFA Rates'!$L$5:$L$1004,$T1887)="","",INDEX('AFA Rates'!$L$5:$L$1004,$T1887))))</f>
        <v/>
      </c>
      <c r="O1887" s="78">
        <f>IF(OR($T1887="",$U1887=""),"",IF(INDEX(Firms!$C$5:$C$1004,$U1887)="","",INDEX(Firms!$C$5:$C$1004,$U1887)))</f>
        <v/>
      </c>
      <c r="P1887" s="79">
        <f>IF(OR($T1887="",$U1887=""),"",IF(INDEX(Firms!$N$5:$N$1004,$U1887)="","",INDEX(Firms!$N$5:$N$1004,$U1887)))</f>
        <v/>
      </c>
      <c r="Q1887" s="78">
        <f>IF($T1887="","",IF($S1887="S",IF(INDEX(Firms!$T$5:$T$1004,$T1887)="","",INDEX(Firms!$T$5:$T$1004,$T1887)),IF(INDEX('AFA Rates'!$M$5:$M$1004,$T1887)="","",INDEX('AFA Rates'!$M$5:$M$1004,$T1887))))</f>
        <v/>
      </c>
      <c r="S1887">
        <f>IF(1883&lt;=$S$2,"S",IF(1883&lt;=$S$2+$T$2,"A",""))</f>
        <v/>
      </c>
      <c r="T1887">
        <f>IF(S1887="S",MATCH(1883,Firms!$W$5:$W$1004,0),IF(S1887="A",IFERROR(MATCH(1883-$S$2,'AFA Rates'!$R$5:$R$1004,0),""),""))</f>
        <v/>
      </c>
      <c r="U1887">
        <f>IF(S1887="S",T1887,IF(AND(S1887="A",T1887&lt;&gt;""),IFERROR(MATCH(INDEX('AFA Rates'!$A$5:$A$1004,T1887),Firms!$A$5:$A$1004,0),""),""))</f>
        <v/>
      </c>
    </row>
    <row r="1888">
      <c r="A1888" s="78">
        <f>IF($T1888="","",IF($S1888="S",IF(INDEX(Firms!$A$5:$A$1004,$T1888)="","",INDEX(Firms!$A$5:$A$1004,$T1888)),IF(INDEX('AFA Rates'!$A$5:$A$1004,$T1888)="","",INDEX('AFA Rates'!$A$5:$A$1004,$T1888))))</f>
        <v/>
      </c>
      <c r="B1888" s="79">
        <f>IF(OR($T1888="",$U1888=""),IF($T1888="","","Not on Firms tab"),INDEX(Firms!$B$5:$B$1004,$U1888)&amp;"")</f>
        <v/>
      </c>
      <c r="C1888" s="78">
        <f>IF($T1888="","",IF($S1888="S","Standard",INDEX('AFA Rates'!$B$5:$B$1004,$T1888)&amp;""))</f>
        <v/>
      </c>
      <c r="D1888" s="88">
        <f>IF($T1888="","",IF($S1888="S",IF(INDEX(Firms!$E$5:$E$1004,$T1888)="","",INDEX(Firms!$E$5:$E$1004,$T1888)),IF(INDEX('AFA Rates'!$C$5:$C$1004,$T1888)="","",INDEX('AFA Rates'!$C$5:$C$1004,$T1888))))</f>
        <v/>
      </c>
      <c r="E1888" s="88">
        <f>IF($T1888="","",IF($S1888="S",IF(""="","",""),IF(INDEX('AFA Rates'!$D$5:$D$1004,$T1888)="","",INDEX('AFA Rates'!$D$5:$D$1004,$T1888))))</f>
        <v/>
      </c>
      <c r="F1888" s="79">
        <f>IF($T1888="","",IF($S1888="S",IF(INDEX(Firms!$O$5:$O$1004,$T1888)="","",INDEX(Firms!$O$5:$O$1004,$T1888)),IF(INDEX('AFA Rates'!$O$5:$O$1004,$T1888)="","",INDEX('AFA Rates'!$O$5:$O$1004,$T1888))))</f>
        <v/>
      </c>
      <c r="G1888" s="50">
        <f>IF($T1888="","",IF($S1888="S",IF(INDEX(Firms!$F$5:$F$1004,$T1888)="","",INDEX(Firms!$F$5:$F$1004,$T1888)),IF(INDEX('AFA Rates'!$E$5:$E$1004,$T1888)="","",INDEX('AFA Rates'!$E$5:$E$1004,$T1888))))</f>
        <v/>
      </c>
      <c r="H1888" s="50">
        <f>IF($T1888="","",IF($S1888="S",IF(INDEX(Firms!$G$5:$G$1004,$T1888)="","",INDEX(Firms!$G$5:$G$1004,$T1888)),IF(INDEX('AFA Rates'!$F$5:$F$1004,$T1888)="","",INDEX('AFA Rates'!$F$5:$F$1004,$T1888))))</f>
        <v/>
      </c>
      <c r="I1888" s="50">
        <f>IF($T1888="","",IF($S1888="S",IF(INDEX(Firms!$H$5:$H$1004,$T1888)="","",INDEX(Firms!$H$5:$H$1004,$T1888)),IF(INDEX('AFA Rates'!$G$5:$G$1004,$T1888)="","",INDEX('AFA Rates'!$G$5:$G$1004,$T1888))))</f>
        <v/>
      </c>
      <c r="J1888" s="50">
        <f>IF($T1888="","",IF($S1888="S",IF(INDEX(Firms!$I$5:$I$1004,$T1888)="","",INDEX(Firms!$I$5:$I$1004,$T1888)),IF(INDEX('AFA Rates'!$H$5:$H$1004,$T1888)="","",INDEX('AFA Rates'!$H$5:$H$1004,$T1888))))</f>
        <v/>
      </c>
      <c r="K1888" s="50">
        <f>IF($T1888="","",IF($S1888="S",IF(INDEX(Firms!$J$5:$J$1004,$T1888)="","",INDEX(Firms!$J$5:$J$1004,$T1888)),IF(INDEX('AFA Rates'!$I$5:$I$1004,$T1888)="","",INDEX('AFA Rates'!$I$5:$I$1004,$T1888))))</f>
        <v/>
      </c>
      <c r="L1888" s="50">
        <f>IF($T1888="","",IF($S1888="S",IF(INDEX(Firms!$K$5:$K$1004,$T1888)="","",INDEX(Firms!$K$5:$K$1004,$T1888)),IF(INDEX('AFA Rates'!$J$5:$J$1004,$T1888)="","",INDEX('AFA Rates'!$J$5:$J$1004,$T1888))))</f>
        <v/>
      </c>
      <c r="M1888" s="50">
        <f>IF($T1888="","",IF($S1888="S",IF(INDEX(Firms!$L$5:$L$1004,$T1888)="","",INDEX(Firms!$L$5:$L$1004,$T1888)),IF(INDEX('AFA Rates'!$K$5:$K$1004,$T1888)="","",INDEX('AFA Rates'!$K$5:$K$1004,$T1888))))</f>
        <v/>
      </c>
      <c r="N1888" s="50">
        <f>IF($T1888="","",IF($S1888="S",IF(INDEX(Firms!$M$5:$M$1004,$T1888)="","",INDEX(Firms!$M$5:$M$1004,$T1888)),IF(INDEX('AFA Rates'!$L$5:$L$1004,$T1888)="","",INDEX('AFA Rates'!$L$5:$L$1004,$T1888))))</f>
        <v/>
      </c>
      <c r="O1888" s="78">
        <f>IF(OR($T1888="",$U1888=""),"",IF(INDEX(Firms!$C$5:$C$1004,$U1888)="","",INDEX(Firms!$C$5:$C$1004,$U1888)))</f>
        <v/>
      </c>
      <c r="P1888" s="79">
        <f>IF(OR($T1888="",$U1888=""),"",IF(INDEX(Firms!$N$5:$N$1004,$U1888)="","",INDEX(Firms!$N$5:$N$1004,$U1888)))</f>
        <v/>
      </c>
      <c r="Q1888" s="78">
        <f>IF($T1888="","",IF($S1888="S",IF(INDEX(Firms!$T$5:$T$1004,$T1888)="","",INDEX(Firms!$T$5:$T$1004,$T1888)),IF(INDEX('AFA Rates'!$M$5:$M$1004,$T1888)="","",INDEX('AFA Rates'!$M$5:$M$1004,$T1888))))</f>
        <v/>
      </c>
      <c r="S1888">
        <f>IF(1884&lt;=$S$2,"S",IF(1884&lt;=$S$2+$T$2,"A",""))</f>
        <v/>
      </c>
      <c r="T1888">
        <f>IF(S1888="S",MATCH(1884,Firms!$W$5:$W$1004,0),IF(S1888="A",IFERROR(MATCH(1884-$S$2,'AFA Rates'!$R$5:$R$1004,0),""),""))</f>
        <v/>
      </c>
      <c r="U1888">
        <f>IF(S1888="S",T1888,IF(AND(S1888="A",T1888&lt;&gt;""),IFERROR(MATCH(INDEX('AFA Rates'!$A$5:$A$1004,T1888),Firms!$A$5:$A$1004,0),""),""))</f>
        <v/>
      </c>
    </row>
    <row r="1889">
      <c r="A1889" s="78">
        <f>IF($T1889="","",IF($S1889="S",IF(INDEX(Firms!$A$5:$A$1004,$T1889)="","",INDEX(Firms!$A$5:$A$1004,$T1889)),IF(INDEX('AFA Rates'!$A$5:$A$1004,$T1889)="","",INDEX('AFA Rates'!$A$5:$A$1004,$T1889))))</f>
        <v/>
      </c>
      <c r="B1889" s="79">
        <f>IF(OR($T1889="",$U1889=""),IF($T1889="","","Not on Firms tab"),INDEX(Firms!$B$5:$B$1004,$U1889)&amp;"")</f>
        <v/>
      </c>
      <c r="C1889" s="78">
        <f>IF($T1889="","",IF($S1889="S","Standard",INDEX('AFA Rates'!$B$5:$B$1004,$T1889)&amp;""))</f>
        <v/>
      </c>
      <c r="D1889" s="88">
        <f>IF($T1889="","",IF($S1889="S",IF(INDEX(Firms!$E$5:$E$1004,$T1889)="","",INDEX(Firms!$E$5:$E$1004,$T1889)),IF(INDEX('AFA Rates'!$C$5:$C$1004,$T1889)="","",INDEX('AFA Rates'!$C$5:$C$1004,$T1889))))</f>
        <v/>
      </c>
      <c r="E1889" s="88">
        <f>IF($T1889="","",IF($S1889="S",IF(""="","",""),IF(INDEX('AFA Rates'!$D$5:$D$1004,$T1889)="","",INDEX('AFA Rates'!$D$5:$D$1004,$T1889))))</f>
        <v/>
      </c>
      <c r="F1889" s="79">
        <f>IF($T1889="","",IF($S1889="S",IF(INDEX(Firms!$O$5:$O$1004,$T1889)="","",INDEX(Firms!$O$5:$O$1004,$T1889)),IF(INDEX('AFA Rates'!$O$5:$O$1004,$T1889)="","",INDEX('AFA Rates'!$O$5:$O$1004,$T1889))))</f>
        <v/>
      </c>
      <c r="G1889" s="50">
        <f>IF($T1889="","",IF($S1889="S",IF(INDEX(Firms!$F$5:$F$1004,$T1889)="","",INDEX(Firms!$F$5:$F$1004,$T1889)),IF(INDEX('AFA Rates'!$E$5:$E$1004,$T1889)="","",INDEX('AFA Rates'!$E$5:$E$1004,$T1889))))</f>
        <v/>
      </c>
      <c r="H1889" s="50">
        <f>IF($T1889="","",IF($S1889="S",IF(INDEX(Firms!$G$5:$G$1004,$T1889)="","",INDEX(Firms!$G$5:$G$1004,$T1889)),IF(INDEX('AFA Rates'!$F$5:$F$1004,$T1889)="","",INDEX('AFA Rates'!$F$5:$F$1004,$T1889))))</f>
        <v/>
      </c>
      <c r="I1889" s="50">
        <f>IF($T1889="","",IF($S1889="S",IF(INDEX(Firms!$H$5:$H$1004,$T1889)="","",INDEX(Firms!$H$5:$H$1004,$T1889)),IF(INDEX('AFA Rates'!$G$5:$G$1004,$T1889)="","",INDEX('AFA Rates'!$G$5:$G$1004,$T1889))))</f>
        <v/>
      </c>
      <c r="J1889" s="50">
        <f>IF($T1889="","",IF($S1889="S",IF(INDEX(Firms!$I$5:$I$1004,$T1889)="","",INDEX(Firms!$I$5:$I$1004,$T1889)),IF(INDEX('AFA Rates'!$H$5:$H$1004,$T1889)="","",INDEX('AFA Rates'!$H$5:$H$1004,$T1889))))</f>
        <v/>
      </c>
      <c r="K1889" s="50">
        <f>IF($T1889="","",IF($S1889="S",IF(INDEX(Firms!$J$5:$J$1004,$T1889)="","",INDEX(Firms!$J$5:$J$1004,$T1889)),IF(INDEX('AFA Rates'!$I$5:$I$1004,$T1889)="","",INDEX('AFA Rates'!$I$5:$I$1004,$T1889))))</f>
        <v/>
      </c>
      <c r="L1889" s="50">
        <f>IF($T1889="","",IF($S1889="S",IF(INDEX(Firms!$K$5:$K$1004,$T1889)="","",INDEX(Firms!$K$5:$K$1004,$T1889)),IF(INDEX('AFA Rates'!$J$5:$J$1004,$T1889)="","",INDEX('AFA Rates'!$J$5:$J$1004,$T1889))))</f>
        <v/>
      </c>
      <c r="M1889" s="50">
        <f>IF($T1889="","",IF($S1889="S",IF(INDEX(Firms!$L$5:$L$1004,$T1889)="","",INDEX(Firms!$L$5:$L$1004,$T1889)),IF(INDEX('AFA Rates'!$K$5:$K$1004,$T1889)="","",INDEX('AFA Rates'!$K$5:$K$1004,$T1889))))</f>
        <v/>
      </c>
      <c r="N1889" s="50">
        <f>IF($T1889="","",IF($S1889="S",IF(INDEX(Firms!$M$5:$M$1004,$T1889)="","",INDEX(Firms!$M$5:$M$1004,$T1889)),IF(INDEX('AFA Rates'!$L$5:$L$1004,$T1889)="","",INDEX('AFA Rates'!$L$5:$L$1004,$T1889))))</f>
        <v/>
      </c>
      <c r="O1889" s="78">
        <f>IF(OR($T1889="",$U1889=""),"",IF(INDEX(Firms!$C$5:$C$1004,$U1889)="","",INDEX(Firms!$C$5:$C$1004,$U1889)))</f>
        <v/>
      </c>
      <c r="P1889" s="79">
        <f>IF(OR($T1889="",$U1889=""),"",IF(INDEX(Firms!$N$5:$N$1004,$U1889)="","",INDEX(Firms!$N$5:$N$1004,$U1889)))</f>
        <v/>
      </c>
      <c r="Q1889" s="78">
        <f>IF($T1889="","",IF($S1889="S",IF(INDEX(Firms!$T$5:$T$1004,$T1889)="","",INDEX(Firms!$T$5:$T$1004,$T1889)),IF(INDEX('AFA Rates'!$M$5:$M$1004,$T1889)="","",INDEX('AFA Rates'!$M$5:$M$1004,$T1889))))</f>
        <v/>
      </c>
      <c r="S1889">
        <f>IF(1885&lt;=$S$2,"S",IF(1885&lt;=$S$2+$T$2,"A",""))</f>
        <v/>
      </c>
      <c r="T1889">
        <f>IF(S1889="S",MATCH(1885,Firms!$W$5:$W$1004,0),IF(S1889="A",IFERROR(MATCH(1885-$S$2,'AFA Rates'!$R$5:$R$1004,0),""),""))</f>
        <v/>
      </c>
      <c r="U1889">
        <f>IF(S1889="S",T1889,IF(AND(S1889="A",T1889&lt;&gt;""),IFERROR(MATCH(INDEX('AFA Rates'!$A$5:$A$1004,T1889),Firms!$A$5:$A$1004,0),""),""))</f>
        <v/>
      </c>
    </row>
    <row r="1890">
      <c r="A1890" s="78">
        <f>IF($T1890="","",IF($S1890="S",IF(INDEX(Firms!$A$5:$A$1004,$T1890)="","",INDEX(Firms!$A$5:$A$1004,$T1890)),IF(INDEX('AFA Rates'!$A$5:$A$1004,$T1890)="","",INDEX('AFA Rates'!$A$5:$A$1004,$T1890))))</f>
        <v/>
      </c>
      <c r="B1890" s="79">
        <f>IF(OR($T1890="",$U1890=""),IF($T1890="","","Not on Firms tab"),INDEX(Firms!$B$5:$B$1004,$U1890)&amp;"")</f>
        <v/>
      </c>
      <c r="C1890" s="78">
        <f>IF($T1890="","",IF($S1890="S","Standard",INDEX('AFA Rates'!$B$5:$B$1004,$T1890)&amp;""))</f>
        <v/>
      </c>
      <c r="D1890" s="88">
        <f>IF($T1890="","",IF($S1890="S",IF(INDEX(Firms!$E$5:$E$1004,$T1890)="","",INDEX(Firms!$E$5:$E$1004,$T1890)),IF(INDEX('AFA Rates'!$C$5:$C$1004,$T1890)="","",INDEX('AFA Rates'!$C$5:$C$1004,$T1890))))</f>
        <v/>
      </c>
      <c r="E1890" s="88">
        <f>IF($T1890="","",IF($S1890="S",IF(""="","",""),IF(INDEX('AFA Rates'!$D$5:$D$1004,$T1890)="","",INDEX('AFA Rates'!$D$5:$D$1004,$T1890))))</f>
        <v/>
      </c>
      <c r="F1890" s="79">
        <f>IF($T1890="","",IF($S1890="S",IF(INDEX(Firms!$O$5:$O$1004,$T1890)="","",INDEX(Firms!$O$5:$O$1004,$T1890)),IF(INDEX('AFA Rates'!$O$5:$O$1004,$T1890)="","",INDEX('AFA Rates'!$O$5:$O$1004,$T1890))))</f>
        <v/>
      </c>
      <c r="G1890" s="50">
        <f>IF($T1890="","",IF($S1890="S",IF(INDEX(Firms!$F$5:$F$1004,$T1890)="","",INDEX(Firms!$F$5:$F$1004,$T1890)),IF(INDEX('AFA Rates'!$E$5:$E$1004,$T1890)="","",INDEX('AFA Rates'!$E$5:$E$1004,$T1890))))</f>
        <v/>
      </c>
      <c r="H1890" s="50">
        <f>IF($T1890="","",IF($S1890="S",IF(INDEX(Firms!$G$5:$G$1004,$T1890)="","",INDEX(Firms!$G$5:$G$1004,$T1890)),IF(INDEX('AFA Rates'!$F$5:$F$1004,$T1890)="","",INDEX('AFA Rates'!$F$5:$F$1004,$T1890))))</f>
        <v/>
      </c>
      <c r="I1890" s="50">
        <f>IF($T1890="","",IF($S1890="S",IF(INDEX(Firms!$H$5:$H$1004,$T1890)="","",INDEX(Firms!$H$5:$H$1004,$T1890)),IF(INDEX('AFA Rates'!$G$5:$G$1004,$T1890)="","",INDEX('AFA Rates'!$G$5:$G$1004,$T1890))))</f>
        <v/>
      </c>
      <c r="J1890" s="50">
        <f>IF($T1890="","",IF($S1890="S",IF(INDEX(Firms!$I$5:$I$1004,$T1890)="","",INDEX(Firms!$I$5:$I$1004,$T1890)),IF(INDEX('AFA Rates'!$H$5:$H$1004,$T1890)="","",INDEX('AFA Rates'!$H$5:$H$1004,$T1890))))</f>
        <v/>
      </c>
      <c r="K1890" s="50">
        <f>IF($T1890="","",IF($S1890="S",IF(INDEX(Firms!$J$5:$J$1004,$T1890)="","",INDEX(Firms!$J$5:$J$1004,$T1890)),IF(INDEX('AFA Rates'!$I$5:$I$1004,$T1890)="","",INDEX('AFA Rates'!$I$5:$I$1004,$T1890))))</f>
        <v/>
      </c>
      <c r="L1890" s="50">
        <f>IF($T1890="","",IF($S1890="S",IF(INDEX(Firms!$K$5:$K$1004,$T1890)="","",INDEX(Firms!$K$5:$K$1004,$T1890)),IF(INDEX('AFA Rates'!$J$5:$J$1004,$T1890)="","",INDEX('AFA Rates'!$J$5:$J$1004,$T1890))))</f>
        <v/>
      </c>
      <c r="M1890" s="50">
        <f>IF($T1890="","",IF($S1890="S",IF(INDEX(Firms!$L$5:$L$1004,$T1890)="","",INDEX(Firms!$L$5:$L$1004,$T1890)),IF(INDEX('AFA Rates'!$K$5:$K$1004,$T1890)="","",INDEX('AFA Rates'!$K$5:$K$1004,$T1890))))</f>
        <v/>
      </c>
      <c r="N1890" s="50">
        <f>IF($T1890="","",IF($S1890="S",IF(INDEX(Firms!$M$5:$M$1004,$T1890)="","",INDEX(Firms!$M$5:$M$1004,$T1890)),IF(INDEX('AFA Rates'!$L$5:$L$1004,$T1890)="","",INDEX('AFA Rates'!$L$5:$L$1004,$T1890))))</f>
        <v/>
      </c>
      <c r="O1890" s="78">
        <f>IF(OR($T1890="",$U1890=""),"",IF(INDEX(Firms!$C$5:$C$1004,$U1890)="","",INDEX(Firms!$C$5:$C$1004,$U1890)))</f>
        <v/>
      </c>
      <c r="P1890" s="79">
        <f>IF(OR($T1890="",$U1890=""),"",IF(INDEX(Firms!$N$5:$N$1004,$U1890)="","",INDEX(Firms!$N$5:$N$1004,$U1890)))</f>
        <v/>
      </c>
      <c r="Q1890" s="78">
        <f>IF($T1890="","",IF($S1890="S",IF(INDEX(Firms!$T$5:$T$1004,$T1890)="","",INDEX(Firms!$T$5:$T$1004,$T1890)),IF(INDEX('AFA Rates'!$M$5:$M$1004,$T1890)="","",INDEX('AFA Rates'!$M$5:$M$1004,$T1890))))</f>
        <v/>
      </c>
      <c r="S1890">
        <f>IF(1886&lt;=$S$2,"S",IF(1886&lt;=$S$2+$T$2,"A",""))</f>
        <v/>
      </c>
      <c r="T1890">
        <f>IF(S1890="S",MATCH(1886,Firms!$W$5:$W$1004,0),IF(S1890="A",IFERROR(MATCH(1886-$S$2,'AFA Rates'!$R$5:$R$1004,0),""),""))</f>
        <v/>
      </c>
      <c r="U1890">
        <f>IF(S1890="S",T1890,IF(AND(S1890="A",T1890&lt;&gt;""),IFERROR(MATCH(INDEX('AFA Rates'!$A$5:$A$1004,T1890),Firms!$A$5:$A$1004,0),""),""))</f>
        <v/>
      </c>
    </row>
    <row r="1891">
      <c r="A1891" s="78">
        <f>IF($T1891="","",IF($S1891="S",IF(INDEX(Firms!$A$5:$A$1004,$T1891)="","",INDEX(Firms!$A$5:$A$1004,$T1891)),IF(INDEX('AFA Rates'!$A$5:$A$1004,$T1891)="","",INDEX('AFA Rates'!$A$5:$A$1004,$T1891))))</f>
        <v/>
      </c>
      <c r="B1891" s="79">
        <f>IF(OR($T1891="",$U1891=""),IF($T1891="","","Not on Firms tab"),INDEX(Firms!$B$5:$B$1004,$U1891)&amp;"")</f>
        <v/>
      </c>
      <c r="C1891" s="78">
        <f>IF($T1891="","",IF($S1891="S","Standard",INDEX('AFA Rates'!$B$5:$B$1004,$T1891)&amp;""))</f>
        <v/>
      </c>
      <c r="D1891" s="88">
        <f>IF($T1891="","",IF($S1891="S",IF(INDEX(Firms!$E$5:$E$1004,$T1891)="","",INDEX(Firms!$E$5:$E$1004,$T1891)),IF(INDEX('AFA Rates'!$C$5:$C$1004,$T1891)="","",INDEX('AFA Rates'!$C$5:$C$1004,$T1891))))</f>
        <v/>
      </c>
      <c r="E1891" s="88">
        <f>IF($T1891="","",IF($S1891="S",IF(""="","",""),IF(INDEX('AFA Rates'!$D$5:$D$1004,$T1891)="","",INDEX('AFA Rates'!$D$5:$D$1004,$T1891))))</f>
        <v/>
      </c>
      <c r="F1891" s="79">
        <f>IF($T1891="","",IF($S1891="S",IF(INDEX(Firms!$O$5:$O$1004,$T1891)="","",INDEX(Firms!$O$5:$O$1004,$T1891)),IF(INDEX('AFA Rates'!$O$5:$O$1004,$T1891)="","",INDEX('AFA Rates'!$O$5:$O$1004,$T1891))))</f>
        <v/>
      </c>
      <c r="G1891" s="50">
        <f>IF($T1891="","",IF($S1891="S",IF(INDEX(Firms!$F$5:$F$1004,$T1891)="","",INDEX(Firms!$F$5:$F$1004,$T1891)),IF(INDEX('AFA Rates'!$E$5:$E$1004,$T1891)="","",INDEX('AFA Rates'!$E$5:$E$1004,$T1891))))</f>
        <v/>
      </c>
      <c r="H1891" s="50">
        <f>IF($T1891="","",IF($S1891="S",IF(INDEX(Firms!$G$5:$G$1004,$T1891)="","",INDEX(Firms!$G$5:$G$1004,$T1891)),IF(INDEX('AFA Rates'!$F$5:$F$1004,$T1891)="","",INDEX('AFA Rates'!$F$5:$F$1004,$T1891))))</f>
        <v/>
      </c>
      <c r="I1891" s="50">
        <f>IF($T1891="","",IF($S1891="S",IF(INDEX(Firms!$H$5:$H$1004,$T1891)="","",INDEX(Firms!$H$5:$H$1004,$T1891)),IF(INDEX('AFA Rates'!$G$5:$G$1004,$T1891)="","",INDEX('AFA Rates'!$G$5:$G$1004,$T1891))))</f>
        <v/>
      </c>
      <c r="J1891" s="50">
        <f>IF($T1891="","",IF($S1891="S",IF(INDEX(Firms!$I$5:$I$1004,$T1891)="","",INDEX(Firms!$I$5:$I$1004,$T1891)),IF(INDEX('AFA Rates'!$H$5:$H$1004,$T1891)="","",INDEX('AFA Rates'!$H$5:$H$1004,$T1891))))</f>
        <v/>
      </c>
      <c r="K1891" s="50">
        <f>IF($T1891="","",IF($S1891="S",IF(INDEX(Firms!$J$5:$J$1004,$T1891)="","",INDEX(Firms!$J$5:$J$1004,$T1891)),IF(INDEX('AFA Rates'!$I$5:$I$1004,$T1891)="","",INDEX('AFA Rates'!$I$5:$I$1004,$T1891))))</f>
        <v/>
      </c>
      <c r="L1891" s="50">
        <f>IF($T1891="","",IF($S1891="S",IF(INDEX(Firms!$K$5:$K$1004,$T1891)="","",INDEX(Firms!$K$5:$K$1004,$T1891)),IF(INDEX('AFA Rates'!$J$5:$J$1004,$T1891)="","",INDEX('AFA Rates'!$J$5:$J$1004,$T1891))))</f>
        <v/>
      </c>
      <c r="M1891" s="50">
        <f>IF($T1891="","",IF($S1891="S",IF(INDEX(Firms!$L$5:$L$1004,$T1891)="","",INDEX(Firms!$L$5:$L$1004,$T1891)),IF(INDEX('AFA Rates'!$K$5:$K$1004,$T1891)="","",INDEX('AFA Rates'!$K$5:$K$1004,$T1891))))</f>
        <v/>
      </c>
      <c r="N1891" s="50">
        <f>IF($T1891="","",IF($S1891="S",IF(INDEX(Firms!$M$5:$M$1004,$T1891)="","",INDEX(Firms!$M$5:$M$1004,$T1891)),IF(INDEX('AFA Rates'!$L$5:$L$1004,$T1891)="","",INDEX('AFA Rates'!$L$5:$L$1004,$T1891))))</f>
        <v/>
      </c>
      <c r="O1891" s="78">
        <f>IF(OR($T1891="",$U1891=""),"",IF(INDEX(Firms!$C$5:$C$1004,$U1891)="","",INDEX(Firms!$C$5:$C$1004,$U1891)))</f>
        <v/>
      </c>
      <c r="P1891" s="79">
        <f>IF(OR($T1891="",$U1891=""),"",IF(INDEX(Firms!$N$5:$N$1004,$U1891)="","",INDEX(Firms!$N$5:$N$1004,$U1891)))</f>
        <v/>
      </c>
      <c r="Q1891" s="78">
        <f>IF($T1891="","",IF($S1891="S",IF(INDEX(Firms!$T$5:$T$1004,$T1891)="","",INDEX(Firms!$T$5:$T$1004,$T1891)),IF(INDEX('AFA Rates'!$M$5:$M$1004,$T1891)="","",INDEX('AFA Rates'!$M$5:$M$1004,$T1891))))</f>
        <v/>
      </c>
      <c r="S1891">
        <f>IF(1887&lt;=$S$2,"S",IF(1887&lt;=$S$2+$T$2,"A",""))</f>
        <v/>
      </c>
      <c r="T1891">
        <f>IF(S1891="S",MATCH(1887,Firms!$W$5:$W$1004,0),IF(S1891="A",IFERROR(MATCH(1887-$S$2,'AFA Rates'!$R$5:$R$1004,0),""),""))</f>
        <v/>
      </c>
      <c r="U1891">
        <f>IF(S1891="S",T1891,IF(AND(S1891="A",T1891&lt;&gt;""),IFERROR(MATCH(INDEX('AFA Rates'!$A$5:$A$1004,T1891),Firms!$A$5:$A$1004,0),""),""))</f>
        <v/>
      </c>
    </row>
    <row r="1892">
      <c r="A1892" s="78">
        <f>IF($T1892="","",IF($S1892="S",IF(INDEX(Firms!$A$5:$A$1004,$T1892)="","",INDEX(Firms!$A$5:$A$1004,$T1892)),IF(INDEX('AFA Rates'!$A$5:$A$1004,$T1892)="","",INDEX('AFA Rates'!$A$5:$A$1004,$T1892))))</f>
        <v/>
      </c>
      <c r="B1892" s="79">
        <f>IF(OR($T1892="",$U1892=""),IF($T1892="","","Not on Firms tab"),INDEX(Firms!$B$5:$B$1004,$U1892)&amp;"")</f>
        <v/>
      </c>
      <c r="C1892" s="78">
        <f>IF($T1892="","",IF($S1892="S","Standard",INDEX('AFA Rates'!$B$5:$B$1004,$T1892)&amp;""))</f>
        <v/>
      </c>
      <c r="D1892" s="88">
        <f>IF($T1892="","",IF($S1892="S",IF(INDEX(Firms!$E$5:$E$1004,$T1892)="","",INDEX(Firms!$E$5:$E$1004,$T1892)),IF(INDEX('AFA Rates'!$C$5:$C$1004,$T1892)="","",INDEX('AFA Rates'!$C$5:$C$1004,$T1892))))</f>
        <v/>
      </c>
      <c r="E1892" s="88">
        <f>IF($T1892="","",IF($S1892="S",IF(""="","",""),IF(INDEX('AFA Rates'!$D$5:$D$1004,$T1892)="","",INDEX('AFA Rates'!$D$5:$D$1004,$T1892))))</f>
        <v/>
      </c>
      <c r="F1892" s="79">
        <f>IF($T1892="","",IF($S1892="S",IF(INDEX(Firms!$O$5:$O$1004,$T1892)="","",INDEX(Firms!$O$5:$O$1004,$T1892)),IF(INDEX('AFA Rates'!$O$5:$O$1004,$T1892)="","",INDEX('AFA Rates'!$O$5:$O$1004,$T1892))))</f>
        <v/>
      </c>
      <c r="G1892" s="50">
        <f>IF($T1892="","",IF($S1892="S",IF(INDEX(Firms!$F$5:$F$1004,$T1892)="","",INDEX(Firms!$F$5:$F$1004,$T1892)),IF(INDEX('AFA Rates'!$E$5:$E$1004,$T1892)="","",INDEX('AFA Rates'!$E$5:$E$1004,$T1892))))</f>
        <v/>
      </c>
      <c r="H1892" s="50">
        <f>IF($T1892="","",IF($S1892="S",IF(INDEX(Firms!$G$5:$G$1004,$T1892)="","",INDEX(Firms!$G$5:$G$1004,$T1892)),IF(INDEX('AFA Rates'!$F$5:$F$1004,$T1892)="","",INDEX('AFA Rates'!$F$5:$F$1004,$T1892))))</f>
        <v/>
      </c>
      <c r="I1892" s="50">
        <f>IF($T1892="","",IF($S1892="S",IF(INDEX(Firms!$H$5:$H$1004,$T1892)="","",INDEX(Firms!$H$5:$H$1004,$T1892)),IF(INDEX('AFA Rates'!$G$5:$G$1004,$T1892)="","",INDEX('AFA Rates'!$G$5:$G$1004,$T1892))))</f>
        <v/>
      </c>
      <c r="J1892" s="50">
        <f>IF($T1892="","",IF($S1892="S",IF(INDEX(Firms!$I$5:$I$1004,$T1892)="","",INDEX(Firms!$I$5:$I$1004,$T1892)),IF(INDEX('AFA Rates'!$H$5:$H$1004,$T1892)="","",INDEX('AFA Rates'!$H$5:$H$1004,$T1892))))</f>
        <v/>
      </c>
      <c r="K1892" s="50">
        <f>IF($T1892="","",IF($S1892="S",IF(INDEX(Firms!$J$5:$J$1004,$T1892)="","",INDEX(Firms!$J$5:$J$1004,$T1892)),IF(INDEX('AFA Rates'!$I$5:$I$1004,$T1892)="","",INDEX('AFA Rates'!$I$5:$I$1004,$T1892))))</f>
        <v/>
      </c>
      <c r="L1892" s="50">
        <f>IF($T1892="","",IF($S1892="S",IF(INDEX(Firms!$K$5:$K$1004,$T1892)="","",INDEX(Firms!$K$5:$K$1004,$T1892)),IF(INDEX('AFA Rates'!$J$5:$J$1004,$T1892)="","",INDEX('AFA Rates'!$J$5:$J$1004,$T1892))))</f>
        <v/>
      </c>
      <c r="M1892" s="50">
        <f>IF($T1892="","",IF($S1892="S",IF(INDEX(Firms!$L$5:$L$1004,$T1892)="","",INDEX(Firms!$L$5:$L$1004,$T1892)),IF(INDEX('AFA Rates'!$K$5:$K$1004,$T1892)="","",INDEX('AFA Rates'!$K$5:$K$1004,$T1892))))</f>
        <v/>
      </c>
      <c r="N1892" s="50">
        <f>IF($T1892="","",IF($S1892="S",IF(INDEX(Firms!$M$5:$M$1004,$T1892)="","",INDEX(Firms!$M$5:$M$1004,$T1892)),IF(INDEX('AFA Rates'!$L$5:$L$1004,$T1892)="","",INDEX('AFA Rates'!$L$5:$L$1004,$T1892))))</f>
        <v/>
      </c>
      <c r="O1892" s="78">
        <f>IF(OR($T1892="",$U1892=""),"",IF(INDEX(Firms!$C$5:$C$1004,$U1892)="","",INDEX(Firms!$C$5:$C$1004,$U1892)))</f>
        <v/>
      </c>
      <c r="P1892" s="79">
        <f>IF(OR($T1892="",$U1892=""),"",IF(INDEX(Firms!$N$5:$N$1004,$U1892)="","",INDEX(Firms!$N$5:$N$1004,$U1892)))</f>
        <v/>
      </c>
      <c r="Q1892" s="78">
        <f>IF($T1892="","",IF($S1892="S",IF(INDEX(Firms!$T$5:$T$1004,$T1892)="","",INDEX(Firms!$T$5:$T$1004,$T1892)),IF(INDEX('AFA Rates'!$M$5:$M$1004,$T1892)="","",INDEX('AFA Rates'!$M$5:$M$1004,$T1892))))</f>
        <v/>
      </c>
      <c r="S1892">
        <f>IF(1888&lt;=$S$2,"S",IF(1888&lt;=$S$2+$T$2,"A",""))</f>
        <v/>
      </c>
      <c r="T1892">
        <f>IF(S1892="S",MATCH(1888,Firms!$W$5:$W$1004,0),IF(S1892="A",IFERROR(MATCH(1888-$S$2,'AFA Rates'!$R$5:$R$1004,0),""),""))</f>
        <v/>
      </c>
      <c r="U1892">
        <f>IF(S1892="S",T1892,IF(AND(S1892="A",T1892&lt;&gt;""),IFERROR(MATCH(INDEX('AFA Rates'!$A$5:$A$1004,T1892),Firms!$A$5:$A$1004,0),""),""))</f>
        <v/>
      </c>
    </row>
    <row r="1893">
      <c r="A1893" s="78">
        <f>IF($T1893="","",IF($S1893="S",IF(INDEX(Firms!$A$5:$A$1004,$T1893)="","",INDEX(Firms!$A$5:$A$1004,$T1893)),IF(INDEX('AFA Rates'!$A$5:$A$1004,$T1893)="","",INDEX('AFA Rates'!$A$5:$A$1004,$T1893))))</f>
        <v/>
      </c>
      <c r="B1893" s="79">
        <f>IF(OR($T1893="",$U1893=""),IF($T1893="","","Not on Firms tab"),INDEX(Firms!$B$5:$B$1004,$U1893)&amp;"")</f>
        <v/>
      </c>
      <c r="C1893" s="78">
        <f>IF($T1893="","",IF($S1893="S","Standard",INDEX('AFA Rates'!$B$5:$B$1004,$T1893)&amp;""))</f>
        <v/>
      </c>
      <c r="D1893" s="88">
        <f>IF($T1893="","",IF($S1893="S",IF(INDEX(Firms!$E$5:$E$1004,$T1893)="","",INDEX(Firms!$E$5:$E$1004,$T1893)),IF(INDEX('AFA Rates'!$C$5:$C$1004,$T1893)="","",INDEX('AFA Rates'!$C$5:$C$1004,$T1893))))</f>
        <v/>
      </c>
      <c r="E1893" s="88">
        <f>IF($T1893="","",IF($S1893="S",IF(""="","",""),IF(INDEX('AFA Rates'!$D$5:$D$1004,$T1893)="","",INDEX('AFA Rates'!$D$5:$D$1004,$T1893))))</f>
        <v/>
      </c>
      <c r="F1893" s="79">
        <f>IF($T1893="","",IF($S1893="S",IF(INDEX(Firms!$O$5:$O$1004,$T1893)="","",INDEX(Firms!$O$5:$O$1004,$T1893)),IF(INDEX('AFA Rates'!$O$5:$O$1004,$T1893)="","",INDEX('AFA Rates'!$O$5:$O$1004,$T1893))))</f>
        <v/>
      </c>
      <c r="G1893" s="50">
        <f>IF($T1893="","",IF($S1893="S",IF(INDEX(Firms!$F$5:$F$1004,$T1893)="","",INDEX(Firms!$F$5:$F$1004,$T1893)),IF(INDEX('AFA Rates'!$E$5:$E$1004,$T1893)="","",INDEX('AFA Rates'!$E$5:$E$1004,$T1893))))</f>
        <v/>
      </c>
      <c r="H1893" s="50">
        <f>IF($T1893="","",IF($S1893="S",IF(INDEX(Firms!$G$5:$G$1004,$T1893)="","",INDEX(Firms!$G$5:$G$1004,$T1893)),IF(INDEX('AFA Rates'!$F$5:$F$1004,$T1893)="","",INDEX('AFA Rates'!$F$5:$F$1004,$T1893))))</f>
        <v/>
      </c>
      <c r="I1893" s="50">
        <f>IF($T1893="","",IF($S1893="S",IF(INDEX(Firms!$H$5:$H$1004,$T1893)="","",INDEX(Firms!$H$5:$H$1004,$T1893)),IF(INDEX('AFA Rates'!$G$5:$G$1004,$T1893)="","",INDEX('AFA Rates'!$G$5:$G$1004,$T1893))))</f>
        <v/>
      </c>
      <c r="J1893" s="50">
        <f>IF($T1893="","",IF($S1893="S",IF(INDEX(Firms!$I$5:$I$1004,$T1893)="","",INDEX(Firms!$I$5:$I$1004,$T1893)),IF(INDEX('AFA Rates'!$H$5:$H$1004,$T1893)="","",INDEX('AFA Rates'!$H$5:$H$1004,$T1893))))</f>
        <v/>
      </c>
      <c r="K1893" s="50">
        <f>IF($T1893="","",IF($S1893="S",IF(INDEX(Firms!$J$5:$J$1004,$T1893)="","",INDEX(Firms!$J$5:$J$1004,$T1893)),IF(INDEX('AFA Rates'!$I$5:$I$1004,$T1893)="","",INDEX('AFA Rates'!$I$5:$I$1004,$T1893))))</f>
        <v/>
      </c>
      <c r="L1893" s="50">
        <f>IF($T1893="","",IF($S1893="S",IF(INDEX(Firms!$K$5:$K$1004,$T1893)="","",INDEX(Firms!$K$5:$K$1004,$T1893)),IF(INDEX('AFA Rates'!$J$5:$J$1004,$T1893)="","",INDEX('AFA Rates'!$J$5:$J$1004,$T1893))))</f>
        <v/>
      </c>
      <c r="M1893" s="50">
        <f>IF($T1893="","",IF($S1893="S",IF(INDEX(Firms!$L$5:$L$1004,$T1893)="","",INDEX(Firms!$L$5:$L$1004,$T1893)),IF(INDEX('AFA Rates'!$K$5:$K$1004,$T1893)="","",INDEX('AFA Rates'!$K$5:$K$1004,$T1893))))</f>
        <v/>
      </c>
      <c r="N1893" s="50">
        <f>IF($T1893="","",IF($S1893="S",IF(INDEX(Firms!$M$5:$M$1004,$T1893)="","",INDEX(Firms!$M$5:$M$1004,$T1893)),IF(INDEX('AFA Rates'!$L$5:$L$1004,$T1893)="","",INDEX('AFA Rates'!$L$5:$L$1004,$T1893))))</f>
        <v/>
      </c>
      <c r="O1893" s="78">
        <f>IF(OR($T1893="",$U1893=""),"",IF(INDEX(Firms!$C$5:$C$1004,$U1893)="","",INDEX(Firms!$C$5:$C$1004,$U1893)))</f>
        <v/>
      </c>
      <c r="P1893" s="79">
        <f>IF(OR($T1893="",$U1893=""),"",IF(INDEX(Firms!$N$5:$N$1004,$U1893)="","",INDEX(Firms!$N$5:$N$1004,$U1893)))</f>
        <v/>
      </c>
      <c r="Q1893" s="78">
        <f>IF($T1893="","",IF($S1893="S",IF(INDEX(Firms!$T$5:$T$1004,$T1893)="","",INDEX(Firms!$T$5:$T$1004,$T1893)),IF(INDEX('AFA Rates'!$M$5:$M$1004,$T1893)="","",INDEX('AFA Rates'!$M$5:$M$1004,$T1893))))</f>
        <v/>
      </c>
      <c r="S1893">
        <f>IF(1889&lt;=$S$2,"S",IF(1889&lt;=$S$2+$T$2,"A",""))</f>
        <v/>
      </c>
      <c r="T1893">
        <f>IF(S1893="S",MATCH(1889,Firms!$W$5:$W$1004,0),IF(S1893="A",IFERROR(MATCH(1889-$S$2,'AFA Rates'!$R$5:$R$1004,0),""),""))</f>
        <v/>
      </c>
      <c r="U1893">
        <f>IF(S1893="S",T1893,IF(AND(S1893="A",T1893&lt;&gt;""),IFERROR(MATCH(INDEX('AFA Rates'!$A$5:$A$1004,T1893),Firms!$A$5:$A$1004,0),""),""))</f>
        <v/>
      </c>
    </row>
    <row r="1894">
      <c r="A1894" s="78">
        <f>IF($T1894="","",IF($S1894="S",IF(INDEX(Firms!$A$5:$A$1004,$T1894)="","",INDEX(Firms!$A$5:$A$1004,$T1894)),IF(INDEX('AFA Rates'!$A$5:$A$1004,$T1894)="","",INDEX('AFA Rates'!$A$5:$A$1004,$T1894))))</f>
        <v/>
      </c>
      <c r="B1894" s="79">
        <f>IF(OR($T1894="",$U1894=""),IF($T1894="","","Not on Firms tab"),INDEX(Firms!$B$5:$B$1004,$U1894)&amp;"")</f>
        <v/>
      </c>
      <c r="C1894" s="78">
        <f>IF($T1894="","",IF($S1894="S","Standard",INDEX('AFA Rates'!$B$5:$B$1004,$T1894)&amp;""))</f>
        <v/>
      </c>
      <c r="D1894" s="88">
        <f>IF($T1894="","",IF($S1894="S",IF(INDEX(Firms!$E$5:$E$1004,$T1894)="","",INDEX(Firms!$E$5:$E$1004,$T1894)),IF(INDEX('AFA Rates'!$C$5:$C$1004,$T1894)="","",INDEX('AFA Rates'!$C$5:$C$1004,$T1894))))</f>
        <v/>
      </c>
      <c r="E1894" s="88">
        <f>IF($T1894="","",IF($S1894="S",IF(""="","",""),IF(INDEX('AFA Rates'!$D$5:$D$1004,$T1894)="","",INDEX('AFA Rates'!$D$5:$D$1004,$T1894))))</f>
        <v/>
      </c>
      <c r="F1894" s="79">
        <f>IF($T1894="","",IF($S1894="S",IF(INDEX(Firms!$O$5:$O$1004,$T1894)="","",INDEX(Firms!$O$5:$O$1004,$T1894)),IF(INDEX('AFA Rates'!$O$5:$O$1004,$T1894)="","",INDEX('AFA Rates'!$O$5:$O$1004,$T1894))))</f>
        <v/>
      </c>
      <c r="G1894" s="50">
        <f>IF($T1894="","",IF($S1894="S",IF(INDEX(Firms!$F$5:$F$1004,$T1894)="","",INDEX(Firms!$F$5:$F$1004,$T1894)),IF(INDEX('AFA Rates'!$E$5:$E$1004,$T1894)="","",INDEX('AFA Rates'!$E$5:$E$1004,$T1894))))</f>
        <v/>
      </c>
      <c r="H1894" s="50">
        <f>IF($T1894="","",IF($S1894="S",IF(INDEX(Firms!$G$5:$G$1004,$T1894)="","",INDEX(Firms!$G$5:$G$1004,$T1894)),IF(INDEX('AFA Rates'!$F$5:$F$1004,$T1894)="","",INDEX('AFA Rates'!$F$5:$F$1004,$T1894))))</f>
        <v/>
      </c>
      <c r="I1894" s="50">
        <f>IF($T1894="","",IF($S1894="S",IF(INDEX(Firms!$H$5:$H$1004,$T1894)="","",INDEX(Firms!$H$5:$H$1004,$T1894)),IF(INDEX('AFA Rates'!$G$5:$G$1004,$T1894)="","",INDEX('AFA Rates'!$G$5:$G$1004,$T1894))))</f>
        <v/>
      </c>
      <c r="J1894" s="50">
        <f>IF($T1894="","",IF($S1894="S",IF(INDEX(Firms!$I$5:$I$1004,$T1894)="","",INDEX(Firms!$I$5:$I$1004,$T1894)),IF(INDEX('AFA Rates'!$H$5:$H$1004,$T1894)="","",INDEX('AFA Rates'!$H$5:$H$1004,$T1894))))</f>
        <v/>
      </c>
      <c r="K1894" s="50">
        <f>IF($T1894="","",IF($S1894="S",IF(INDEX(Firms!$J$5:$J$1004,$T1894)="","",INDEX(Firms!$J$5:$J$1004,$T1894)),IF(INDEX('AFA Rates'!$I$5:$I$1004,$T1894)="","",INDEX('AFA Rates'!$I$5:$I$1004,$T1894))))</f>
        <v/>
      </c>
      <c r="L1894" s="50">
        <f>IF($T1894="","",IF($S1894="S",IF(INDEX(Firms!$K$5:$K$1004,$T1894)="","",INDEX(Firms!$K$5:$K$1004,$T1894)),IF(INDEX('AFA Rates'!$J$5:$J$1004,$T1894)="","",INDEX('AFA Rates'!$J$5:$J$1004,$T1894))))</f>
        <v/>
      </c>
      <c r="M1894" s="50">
        <f>IF($T1894="","",IF($S1894="S",IF(INDEX(Firms!$L$5:$L$1004,$T1894)="","",INDEX(Firms!$L$5:$L$1004,$T1894)),IF(INDEX('AFA Rates'!$K$5:$K$1004,$T1894)="","",INDEX('AFA Rates'!$K$5:$K$1004,$T1894))))</f>
        <v/>
      </c>
      <c r="N1894" s="50">
        <f>IF($T1894="","",IF($S1894="S",IF(INDEX(Firms!$M$5:$M$1004,$T1894)="","",INDEX(Firms!$M$5:$M$1004,$T1894)),IF(INDEX('AFA Rates'!$L$5:$L$1004,$T1894)="","",INDEX('AFA Rates'!$L$5:$L$1004,$T1894))))</f>
        <v/>
      </c>
      <c r="O1894" s="78">
        <f>IF(OR($T1894="",$U1894=""),"",IF(INDEX(Firms!$C$5:$C$1004,$U1894)="","",INDEX(Firms!$C$5:$C$1004,$U1894)))</f>
        <v/>
      </c>
      <c r="P1894" s="79">
        <f>IF(OR($T1894="",$U1894=""),"",IF(INDEX(Firms!$N$5:$N$1004,$U1894)="","",INDEX(Firms!$N$5:$N$1004,$U1894)))</f>
        <v/>
      </c>
      <c r="Q1894" s="78">
        <f>IF($T1894="","",IF($S1894="S",IF(INDEX(Firms!$T$5:$T$1004,$T1894)="","",INDEX(Firms!$T$5:$T$1004,$T1894)),IF(INDEX('AFA Rates'!$M$5:$M$1004,$T1894)="","",INDEX('AFA Rates'!$M$5:$M$1004,$T1894))))</f>
        <v/>
      </c>
      <c r="S1894">
        <f>IF(1890&lt;=$S$2,"S",IF(1890&lt;=$S$2+$T$2,"A",""))</f>
        <v/>
      </c>
      <c r="T1894">
        <f>IF(S1894="S",MATCH(1890,Firms!$W$5:$W$1004,0),IF(S1894="A",IFERROR(MATCH(1890-$S$2,'AFA Rates'!$R$5:$R$1004,0),""),""))</f>
        <v/>
      </c>
      <c r="U1894">
        <f>IF(S1894="S",T1894,IF(AND(S1894="A",T1894&lt;&gt;""),IFERROR(MATCH(INDEX('AFA Rates'!$A$5:$A$1004,T1894),Firms!$A$5:$A$1004,0),""),""))</f>
        <v/>
      </c>
    </row>
    <row r="1895">
      <c r="A1895" s="78">
        <f>IF($T1895="","",IF($S1895="S",IF(INDEX(Firms!$A$5:$A$1004,$T1895)="","",INDEX(Firms!$A$5:$A$1004,$T1895)),IF(INDEX('AFA Rates'!$A$5:$A$1004,$T1895)="","",INDEX('AFA Rates'!$A$5:$A$1004,$T1895))))</f>
        <v/>
      </c>
      <c r="B1895" s="79">
        <f>IF(OR($T1895="",$U1895=""),IF($T1895="","","Not on Firms tab"),INDEX(Firms!$B$5:$B$1004,$U1895)&amp;"")</f>
        <v/>
      </c>
      <c r="C1895" s="78">
        <f>IF($T1895="","",IF($S1895="S","Standard",INDEX('AFA Rates'!$B$5:$B$1004,$T1895)&amp;""))</f>
        <v/>
      </c>
      <c r="D1895" s="88">
        <f>IF($T1895="","",IF($S1895="S",IF(INDEX(Firms!$E$5:$E$1004,$T1895)="","",INDEX(Firms!$E$5:$E$1004,$T1895)),IF(INDEX('AFA Rates'!$C$5:$C$1004,$T1895)="","",INDEX('AFA Rates'!$C$5:$C$1004,$T1895))))</f>
        <v/>
      </c>
      <c r="E1895" s="88">
        <f>IF($T1895="","",IF($S1895="S",IF(""="","",""),IF(INDEX('AFA Rates'!$D$5:$D$1004,$T1895)="","",INDEX('AFA Rates'!$D$5:$D$1004,$T1895))))</f>
        <v/>
      </c>
      <c r="F1895" s="79">
        <f>IF($T1895="","",IF($S1895="S",IF(INDEX(Firms!$O$5:$O$1004,$T1895)="","",INDEX(Firms!$O$5:$O$1004,$T1895)),IF(INDEX('AFA Rates'!$O$5:$O$1004,$T1895)="","",INDEX('AFA Rates'!$O$5:$O$1004,$T1895))))</f>
        <v/>
      </c>
      <c r="G1895" s="50">
        <f>IF($T1895="","",IF($S1895="S",IF(INDEX(Firms!$F$5:$F$1004,$T1895)="","",INDEX(Firms!$F$5:$F$1004,$T1895)),IF(INDEX('AFA Rates'!$E$5:$E$1004,$T1895)="","",INDEX('AFA Rates'!$E$5:$E$1004,$T1895))))</f>
        <v/>
      </c>
      <c r="H1895" s="50">
        <f>IF($T1895="","",IF($S1895="S",IF(INDEX(Firms!$G$5:$G$1004,$T1895)="","",INDEX(Firms!$G$5:$G$1004,$T1895)),IF(INDEX('AFA Rates'!$F$5:$F$1004,$T1895)="","",INDEX('AFA Rates'!$F$5:$F$1004,$T1895))))</f>
        <v/>
      </c>
      <c r="I1895" s="50">
        <f>IF($T1895="","",IF($S1895="S",IF(INDEX(Firms!$H$5:$H$1004,$T1895)="","",INDEX(Firms!$H$5:$H$1004,$T1895)),IF(INDEX('AFA Rates'!$G$5:$G$1004,$T1895)="","",INDEX('AFA Rates'!$G$5:$G$1004,$T1895))))</f>
        <v/>
      </c>
      <c r="J1895" s="50">
        <f>IF($T1895="","",IF($S1895="S",IF(INDEX(Firms!$I$5:$I$1004,$T1895)="","",INDEX(Firms!$I$5:$I$1004,$T1895)),IF(INDEX('AFA Rates'!$H$5:$H$1004,$T1895)="","",INDEX('AFA Rates'!$H$5:$H$1004,$T1895))))</f>
        <v/>
      </c>
      <c r="K1895" s="50">
        <f>IF($T1895="","",IF($S1895="S",IF(INDEX(Firms!$J$5:$J$1004,$T1895)="","",INDEX(Firms!$J$5:$J$1004,$T1895)),IF(INDEX('AFA Rates'!$I$5:$I$1004,$T1895)="","",INDEX('AFA Rates'!$I$5:$I$1004,$T1895))))</f>
        <v/>
      </c>
      <c r="L1895" s="50">
        <f>IF($T1895="","",IF($S1895="S",IF(INDEX(Firms!$K$5:$K$1004,$T1895)="","",INDEX(Firms!$K$5:$K$1004,$T1895)),IF(INDEX('AFA Rates'!$J$5:$J$1004,$T1895)="","",INDEX('AFA Rates'!$J$5:$J$1004,$T1895))))</f>
        <v/>
      </c>
      <c r="M1895" s="50">
        <f>IF($T1895="","",IF($S1895="S",IF(INDEX(Firms!$L$5:$L$1004,$T1895)="","",INDEX(Firms!$L$5:$L$1004,$T1895)),IF(INDEX('AFA Rates'!$K$5:$K$1004,$T1895)="","",INDEX('AFA Rates'!$K$5:$K$1004,$T1895))))</f>
        <v/>
      </c>
      <c r="N1895" s="50">
        <f>IF($T1895="","",IF($S1895="S",IF(INDEX(Firms!$M$5:$M$1004,$T1895)="","",INDEX(Firms!$M$5:$M$1004,$T1895)),IF(INDEX('AFA Rates'!$L$5:$L$1004,$T1895)="","",INDEX('AFA Rates'!$L$5:$L$1004,$T1895))))</f>
        <v/>
      </c>
      <c r="O1895" s="78">
        <f>IF(OR($T1895="",$U1895=""),"",IF(INDEX(Firms!$C$5:$C$1004,$U1895)="","",INDEX(Firms!$C$5:$C$1004,$U1895)))</f>
        <v/>
      </c>
      <c r="P1895" s="79">
        <f>IF(OR($T1895="",$U1895=""),"",IF(INDEX(Firms!$N$5:$N$1004,$U1895)="","",INDEX(Firms!$N$5:$N$1004,$U1895)))</f>
        <v/>
      </c>
      <c r="Q1895" s="78">
        <f>IF($T1895="","",IF($S1895="S",IF(INDEX(Firms!$T$5:$T$1004,$T1895)="","",INDEX(Firms!$T$5:$T$1004,$T1895)),IF(INDEX('AFA Rates'!$M$5:$M$1004,$T1895)="","",INDEX('AFA Rates'!$M$5:$M$1004,$T1895))))</f>
        <v/>
      </c>
      <c r="S1895">
        <f>IF(1891&lt;=$S$2,"S",IF(1891&lt;=$S$2+$T$2,"A",""))</f>
        <v/>
      </c>
      <c r="T1895">
        <f>IF(S1895="S",MATCH(1891,Firms!$W$5:$W$1004,0),IF(S1895="A",IFERROR(MATCH(1891-$S$2,'AFA Rates'!$R$5:$R$1004,0),""),""))</f>
        <v/>
      </c>
      <c r="U1895">
        <f>IF(S1895="S",T1895,IF(AND(S1895="A",T1895&lt;&gt;""),IFERROR(MATCH(INDEX('AFA Rates'!$A$5:$A$1004,T1895),Firms!$A$5:$A$1004,0),""),""))</f>
        <v/>
      </c>
    </row>
    <row r="1896">
      <c r="A1896" s="78">
        <f>IF($T1896="","",IF($S1896="S",IF(INDEX(Firms!$A$5:$A$1004,$T1896)="","",INDEX(Firms!$A$5:$A$1004,$T1896)),IF(INDEX('AFA Rates'!$A$5:$A$1004,$T1896)="","",INDEX('AFA Rates'!$A$5:$A$1004,$T1896))))</f>
        <v/>
      </c>
      <c r="B1896" s="79">
        <f>IF(OR($T1896="",$U1896=""),IF($T1896="","","Not on Firms tab"),INDEX(Firms!$B$5:$B$1004,$U1896)&amp;"")</f>
        <v/>
      </c>
      <c r="C1896" s="78">
        <f>IF($T1896="","",IF($S1896="S","Standard",INDEX('AFA Rates'!$B$5:$B$1004,$T1896)&amp;""))</f>
        <v/>
      </c>
      <c r="D1896" s="88">
        <f>IF($T1896="","",IF($S1896="S",IF(INDEX(Firms!$E$5:$E$1004,$T1896)="","",INDEX(Firms!$E$5:$E$1004,$T1896)),IF(INDEX('AFA Rates'!$C$5:$C$1004,$T1896)="","",INDEX('AFA Rates'!$C$5:$C$1004,$T1896))))</f>
        <v/>
      </c>
      <c r="E1896" s="88">
        <f>IF($T1896="","",IF($S1896="S",IF(""="","",""),IF(INDEX('AFA Rates'!$D$5:$D$1004,$T1896)="","",INDEX('AFA Rates'!$D$5:$D$1004,$T1896))))</f>
        <v/>
      </c>
      <c r="F1896" s="79">
        <f>IF($T1896="","",IF($S1896="S",IF(INDEX(Firms!$O$5:$O$1004,$T1896)="","",INDEX(Firms!$O$5:$O$1004,$T1896)),IF(INDEX('AFA Rates'!$O$5:$O$1004,$T1896)="","",INDEX('AFA Rates'!$O$5:$O$1004,$T1896))))</f>
        <v/>
      </c>
      <c r="G1896" s="50">
        <f>IF($T1896="","",IF($S1896="S",IF(INDEX(Firms!$F$5:$F$1004,$T1896)="","",INDEX(Firms!$F$5:$F$1004,$T1896)),IF(INDEX('AFA Rates'!$E$5:$E$1004,$T1896)="","",INDEX('AFA Rates'!$E$5:$E$1004,$T1896))))</f>
        <v/>
      </c>
      <c r="H1896" s="50">
        <f>IF($T1896="","",IF($S1896="S",IF(INDEX(Firms!$G$5:$G$1004,$T1896)="","",INDEX(Firms!$G$5:$G$1004,$T1896)),IF(INDEX('AFA Rates'!$F$5:$F$1004,$T1896)="","",INDEX('AFA Rates'!$F$5:$F$1004,$T1896))))</f>
        <v/>
      </c>
      <c r="I1896" s="50">
        <f>IF($T1896="","",IF($S1896="S",IF(INDEX(Firms!$H$5:$H$1004,$T1896)="","",INDEX(Firms!$H$5:$H$1004,$T1896)),IF(INDEX('AFA Rates'!$G$5:$G$1004,$T1896)="","",INDEX('AFA Rates'!$G$5:$G$1004,$T1896))))</f>
        <v/>
      </c>
      <c r="J1896" s="50">
        <f>IF($T1896="","",IF($S1896="S",IF(INDEX(Firms!$I$5:$I$1004,$T1896)="","",INDEX(Firms!$I$5:$I$1004,$T1896)),IF(INDEX('AFA Rates'!$H$5:$H$1004,$T1896)="","",INDEX('AFA Rates'!$H$5:$H$1004,$T1896))))</f>
        <v/>
      </c>
      <c r="K1896" s="50">
        <f>IF($T1896="","",IF($S1896="S",IF(INDEX(Firms!$J$5:$J$1004,$T1896)="","",INDEX(Firms!$J$5:$J$1004,$T1896)),IF(INDEX('AFA Rates'!$I$5:$I$1004,$T1896)="","",INDEX('AFA Rates'!$I$5:$I$1004,$T1896))))</f>
        <v/>
      </c>
      <c r="L1896" s="50">
        <f>IF($T1896="","",IF($S1896="S",IF(INDEX(Firms!$K$5:$K$1004,$T1896)="","",INDEX(Firms!$K$5:$K$1004,$T1896)),IF(INDEX('AFA Rates'!$J$5:$J$1004,$T1896)="","",INDEX('AFA Rates'!$J$5:$J$1004,$T1896))))</f>
        <v/>
      </c>
      <c r="M1896" s="50">
        <f>IF($T1896="","",IF($S1896="S",IF(INDEX(Firms!$L$5:$L$1004,$T1896)="","",INDEX(Firms!$L$5:$L$1004,$T1896)),IF(INDEX('AFA Rates'!$K$5:$K$1004,$T1896)="","",INDEX('AFA Rates'!$K$5:$K$1004,$T1896))))</f>
        <v/>
      </c>
      <c r="N1896" s="50">
        <f>IF($T1896="","",IF($S1896="S",IF(INDEX(Firms!$M$5:$M$1004,$T1896)="","",INDEX(Firms!$M$5:$M$1004,$T1896)),IF(INDEX('AFA Rates'!$L$5:$L$1004,$T1896)="","",INDEX('AFA Rates'!$L$5:$L$1004,$T1896))))</f>
        <v/>
      </c>
      <c r="O1896" s="78">
        <f>IF(OR($T1896="",$U1896=""),"",IF(INDEX(Firms!$C$5:$C$1004,$U1896)="","",INDEX(Firms!$C$5:$C$1004,$U1896)))</f>
        <v/>
      </c>
      <c r="P1896" s="79">
        <f>IF(OR($T1896="",$U1896=""),"",IF(INDEX(Firms!$N$5:$N$1004,$U1896)="","",INDEX(Firms!$N$5:$N$1004,$U1896)))</f>
        <v/>
      </c>
      <c r="Q1896" s="78">
        <f>IF($T1896="","",IF($S1896="S",IF(INDEX(Firms!$T$5:$T$1004,$T1896)="","",INDEX(Firms!$T$5:$T$1004,$T1896)),IF(INDEX('AFA Rates'!$M$5:$M$1004,$T1896)="","",INDEX('AFA Rates'!$M$5:$M$1004,$T1896))))</f>
        <v/>
      </c>
      <c r="S1896">
        <f>IF(1892&lt;=$S$2,"S",IF(1892&lt;=$S$2+$T$2,"A",""))</f>
        <v/>
      </c>
      <c r="T1896">
        <f>IF(S1896="S",MATCH(1892,Firms!$W$5:$W$1004,0),IF(S1896="A",IFERROR(MATCH(1892-$S$2,'AFA Rates'!$R$5:$R$1004,0),""),""))</f>
        <v/>
      </c>
      <c r="U1896">
        <f>IF(S1896="S",T1896,IF(AND(S1896="A",T1896&lt;&gt;""),IFERROR(MATCH(INDEX('AFA Rates'!$A$5:$A$1004,T1896),Firms!$A$5:$A$1004,0),""),""))</f>
        <v/>
      </c>
    </row>
    <row r="1897">
      <c r="A1897" s="78">
        <f>IF($T1897="","",IF($S1897="S",IF(INDEX(Firms!$A$5:$A$1004,$T1897)="","",INDEX(Firms!$A$5:$A$1004,$T1897)),IF(INDEX('AFA Rates'!$A$5:$A$1004,$T1897)="","",INDEX('AFA Rates'!$A$5:$A$1004,$T1897))))</f>
        <v/>
      </c>
      <c r="B1897" s="79">
        <f>IF(OR($T1897="",$U1897=""),IF($T1897="","","Not on Firms tab"),INDEX(Firms!$B$5:$B$1004,$U1897)&amp;"")</f>
        <v/>
      </c>
      <c r="C1897" s="78">
        <f>IF($T1897="","",IF($S1897="S","Standard",INDEX('AFA Rates'!$B$5:$B$1004,$T1897)&amp;""))</f>
        <v/>
      </c>
      <c r="D1897" s="88">
        <f>IF($T1897="","",IF($S1897="S",IF(INDEX(Firms!$E$5:$E$1004,$T1897)="","",INDEX(Firms!$E$5:$E$1004,$T1897)),IF(INDEX('AFA Rates'!$C$5:$C$1004,$T1897)="","",INDEX('AFA Rates'!$C$5:$C$1004,$T1897))))</f>
        <v/>
      </c>
      <c r="E1897" s="88">
        <f>IF($T1897="","",IF($S1897="S",IF(""="","",""),IF(INDEX('AFA Rates'!$D$5:$D$1004,$T1897)="","",INDEX('AFA Rates'!$D$5:$D$1004,$T1897))))</f>
        <v/>
      </c>
      <c r="F1897" s="79">
        <f>IF($T1897="","",IF($S1897="S",IF(INDEX(Firms!$O$5:$O$1004,$T1897)="","",INDEX(Firms!$O$5:$O$1004,$T1897)),IF(INDEX('AFA Rates'!$O$5:$O$1004,$T1897)="","",INDEX('AFA Rates'!$O$5:$O$1004,$T1897))))</f>
        <v/>
      </c>
      <c r="G1897" s="50">
        <f>IF($T1897="","",IF($S1897="S",IF(INDEX(Firms!$F$5:$F$1004,$T1897)="","",INDEX(Firms!$F$5:$F$1004,$T1897)),IF(INDEX('AFA Rates'!$E$5:$E$1004,$T1897)="","",INDEX('AFA Rates'!$E$5:$E$1004,$T1897))))</f>
        <v/>
      </c>
      <c r="H1897" s="50">
        <f>IF($T1897="","",IF($S1897="S",IF(INDEX(Firms!$G$5:$G$1004,$T1897)="","",INDEX(Firms!$G$5:$G$1004,$T1897)),IF(INDEX('AFA Rates'!$F$5:$F$1004,$T1897)="","",INDEX('AFA Rates'!$F$5:$F$1004,$T1897))))</f>
        <v/>
      </c>
      <c r="I1897" s="50">
        <f>IF($T1897="","",IF($S1897="S",IF(INDEX(Firms!$H$5:$H$1004,$T1897)="","",INDEX(Firms!$H$5:$H$1004,$T1897)),IF(INDEX('AFA Rates'!$G$5:$G$1004,$T1897)="","",INDEX('AFA Rates'!$G$5:$G$1004,$T1897))))</f>
        <v/>
      </c>
      <c r="J1897" s="50">
        <f>IF($T1897="","",IF($S1897="S",IF(INDEX(Firms!$I$5:$I$1004,$T1897)="","",INDEX(Firms!$I$5:$I$1004,$T1897)),IF(INDEX('AFA Rates'!$H$5:$H$1004,$T1897)="","",INDEX('AFA Rates'!$H$5:$H$1004,$T1897))))</f>
        <v/>
      </c>
      <c r="K1897" s="50">
        <f>IF($T1897="","",IF($S1897="S",IF(INDEX(Firms!$J$5:$J$1004,$T1897)="","",INDEX(Firms!$J$5:$J$1004,$T1897)),IF(INDEX('AFA Rates'!$I$5:$I$1004,$T1897)="","",INDEX('AFA Rates'!$I$5:$I$1004,$T1897))))</f>
        <v/>
      </c>
      <c r="L1897" s="50">
        <f>IF($T1897="","",IF($S1897="S",IF(INDEX(Firms!$K$5:$K$1004,$T1897)="","",INDEX(Firms!$K$5:$K$1004,$T1897)),IF(INDEX('AFA Rates'!$J$5:$J$1004,$T1897)="","",INDEX('AFA Rates'!$J$5:$J$1004,$T1897))))</f>
        <v/>
      </c>
      <c r="M1897" s="50">
        <f>IF($T1897="","",IF($S1897="S",IF(INDEX(Firms!$L$5:$L$1004,$T1897)="","",INDEX(Firms!$L$5:$L$1004,$T1897)),IF(INDEX('AFA Rates'!$K$5:$K$1004,$T1897)="","",INDEX('AFA Rates'!$K$5:$K$1004,$T1897))))</f>
        <v/>
      </c>
      <c r="N1897" s="50">
        <f>IF($T1897="","",IF($S1897="S",IF(INDEX(Firms!$M$5:$M$1004,$T1897)="","",INDEX(Firms!$M$5:$M$1004,$T1897)),IF(INDEX('AFA Rates'!$L$5:$L$1004,$T1897)="","",INDEX('AFA Rates'!$L$5:$L$1004,$T1897))))</f>
        <v/>
      </c>
      <c r="O1897" s="78">
        <f>IF(OR($T1897="",$U1897=""),"",IF(INDEX(Firms!$C$5:$C$1004,$U1897)="","",INDEX(Firms!$C$5:$C$1004,$U1897)))</f>
        <v/>
      </c>
      <c r="P1897" s="79">
        <f>IF(OR($T1897="",$U1897=""),"",IF(INDEX(Firms!$N$5:$N$1004,$U1897)="","",INDEX(Firms!$N$5:$N$1004,$U1897)))</f>
        <v/>
      </c>
      <c r="Q1897" s="78">
        <f>IF($T1897="","",IF($S1897="S",IF(INDEX(Firms!$T$5:$T$1004,$T1897)="","",INDEX(Firms!$T$5:$T$1004,$T1897)),IF(INDEX('AFA Rates'!$M$5:$M$1004,$T1897)="","",INDEX('AFA Rates'!$M$5:$M$1004,$T1897))))</f>
        <v/>
      </c>
      <c r="S1897">
        <f>IF(1893&lt;=$S$2,"S",IF(1893&lt;=$S$2+$T$2,"A",""))</f>
        <v/>
      </c>
      <c r="T1897">
        <f>IF(S1897="S",MATCH(1893,Firms!$W$5:$W$1004,0),IF(S1897="A",IFERROR(MATCH(1893-$S$2,'AFA Rates'!$R$5:$R$1004,0),""),""))</f>
        <v/>
      </c>
      <c r="U1897">
        <f>IF(S1897="S",T1897,IF(AND(S1897="A",T1897&lt;&gt;""),IFERROR(MATCH(INDEX('AFA Rates'!$A$5:$A$1004,T1897),Firms!$A$5:$A$1004,0),""),""))</f>
        <v/>
      </c>
    </row>
    <row r="1898">
      <c r="A1898" s="78">
        <f>IF($T1898="","",IF($S1898="S",IF(INDEX(Firms!$A$5:$A$1004,$T1898)="","",INDEX(Firms!$A$5:$A$1004,$T1898)),IF(INDEX('AFA Rates'!$A$5:$A$1004,$T1898)="","",INDEX('AFA Rates'!$A$5:$A$1004,$T1898))))</f>
        <v/>
      </c>
      <c r="B1898" s="79">
        <f>IF(OR($T1898="",$U1898=""),IF($T1898="","","Not on Firms tab"),INDEX(Firms!$B$5:$B$1004,$U1898)&amp;"")</f>
        <v/>
      </c>
      <c r="C1898" s="78">
        <f>IF($T1898="","",IF($S1898="S","Standard",INDEX('AFA Rates'!$B$5:$B$1004,$T1898)&amp;""))</f>
        <v/>
      </c>
      <c r="D1898" s="88">
        <f>IF($T1898="","",IF($S1898="S",IF(INDEX(Firms!$E$5:$E$1004,$T1898)="","",INDEX(Firms!$E$5:$E$1004,$T1898)),IF(INDEX('AFA Rates'!$C$5:$C$1004,$T1898)="","",INDEX('AFA Rates'!$C$5:$C$1004,$T1898))))</f>
        <v/>
      </c>
      <c r="E1898" s="88">
        <f>IF($T1898="","",IF($S1898="S",IF(""="","",""),IF(INDEX('AFA Rates'!$D$5:$D$1004,$T1898)="","",INDEX('AFA Rates'!$D$5:$D$1004,$T1898))))</f>
        <v/>
      </c>
      <c r="F1898" s="79">
        <f>IF($T1898="","",IF($S1898="S",IF(INDEX(Firms!$O$5:$O$1004,$T1898)="","",INDEX(Firms!$O$5:$O$1004,$T1898)),IF(INDEX('AFA Rates'!$O$5:$O$1004,$T1898)="","",INDEX('AFA Rates'!$O$5:$O$1004,$T1898))))</f>
        <v/>
      </c>
      <c r="G1898" s="50">
        <f>IF($T1898="","",IF($S1898="S",IF(INDEX(Firms!$F$5:$F$1004,$T1898)="","",INDEX(Firms!$F$5:$F$1004,$T1898)),IF(INDEX('AFA Rates'!$E$5:$E$1004,$T1898)="","",INDEX('AFA Rates'!$E$5:$E$1004,$T1898))))</f>
        <v/>
      </c>
      <c r="H1898" s="50">
        <f>IF($T1898="","",IF($S1898="S",IF(INDEX(Firms!$G$5:$G$1004,$T1898)="","",INDEX(Firms!$G$5:$G$1004,$T1898)),IF(INDEX('AFA Rates'!$F$5:$F$1004,$T1898)="","",INDEX('AFA Rates'!$F$5:$F$1004,$T1898))))</f>
        <v/>
      </c>
      <c r="I1898" s="50">
        <f>IF($T1898="","",IF($S1898="S",IF(INDEX(Firms!$H$5:$H$1004,$T1898)="","",INDEX(Firms!$H$5:$H$1004,$T1898)),IF(INDEX('AFA Rates'!$G$5:$G$1004,$T1898)="","",INDEX('AFA Rates'!$G$5:$G$1004,$T1898))))</f>
        <v/>
      </c>
      <c r="J1898" s="50">
        <f>IF($T1898="","",IF($S1898="S",IF(INDEX(Firms!$I$5:$I$1004,$T1898)="","",INDEX(Firms!$I$5:$I$1004,$T1898)),IF(INDEX('AFA Rates'!$H$5:$H$1004,$T1898)="","",INDEX('AFA Rates'!$H$5:$H$1004,$T1898))))</f>
        <v/>
      </c>
      <c r="K1898" s="50">
        <f>IF($T1898="","",IF($S1898="S",IF(INDEX(Firms!$J$5:$J$1004,$T1898)="","",INDEX(Firms!$J$5:$J$1004,$T1898)),IF(INDEX('AFA Rates'!$I$5:$I$1004,$T1898)="","",INDEX('AFA Rates'!$I$5:$I$1004,$T1898))))</f>
        <v/>
      </c>
      <c r="L1898" s="50">
        <f>IF($T1898="","",IF($S1898="S",IF(INDEX(Firms!$K$5:$K$1004,$T1898)="","",INDEX(Firms!$K$5:$K$1004,$T1898)),IF(INDEX('AFA Rates'!$J$5:$J$1004,$T1898)="","",INDEX('AFA Rates'!$J$5:$J$1004,$T1898))))</f>
        <v/>
      </c>
      <c r="M1898" s="50">
        <f>IF($T1898="","",IF($S1898="S",IF(INDEX(Firms!$L$5:$L$1004,$T1898)="","",INDEX(Firms!$L$5:$L$1004,$T1898)),IF(INDEX('AFA Rates'!$K$5:$K$1004,$T1898)="","",INDEX('AFA Rates'!$K$5:$K$1004,$T1898))))</f>
        <v/>
      </c>
      <c r="N1898" s="50">
        <f>IF($T1898="","",IF($S1898="S",IF(INDEX(Firms!$M$5:$M$1004,$T1898)="","",INDEX(Firms!$M$5:$M$1004,$T1898)),IF(INDEX('AFA Rates'!$L$5:$L$1004,$T1898)="","",INDEX('AFA Rates'!$L$5:$L$1004,$T1898))))</f>
        <v/>
      </c>
      <c r="O1898" s="78">
        <f>IF(OR($T1898="",$U1898=""),"",IF(INDEX(Firms!$C$5:$C$1004,$U1898)="","",INDEX(Firms!$C$5:$C$1004,$U1898)))</f>
        <v/>
      </c>
      <c r="P1898" s="79">
        <f>IF(OR($T1898="",$U1898=""),"",IF(INDEX(Firms!$N$5:$N$1004,$U1898)="","",INDEX(Firms!$N$5:$N$1004,$U1898)))</f>
        <v/>
      </c>
      <c r="Q1898" s="78">
        <f>IF($T1898="","",IF($S1898="S",IF(INDEX(Firms!$T$5:$T$1004,$T1898)="","",INDEX(Firms!$T$5:$T$1004,$T1898)),IF(INDEX('AFA Rates'!$M$5:$M$1004,$T1898)="","",INDEX('AFA Rates'!$M$5:$M$1004,$T1898))))</f>
        <v/>
      </c>
      <c r="S1898">
        <f>IF(1894&lt;=$S$2,"S",IF(1894&lt;=$S$2+$T$2,"A",""))</f>
        <v/>
      </c>
      <c r="T1898">
        <f>IF(S1898="S",MATCH(1894,Firms!$W$5:$W$1004,0),IF(S1898="A",IFERROR(MATCH(1894-$S$2,'AFA Rates'!$R$5:$R$1004,0),""),""))</f>
        <v/>
      </c>
      <c r="U1898">
        <f>IF(S1898="S",T1898,IF(AND(S1898="A",T1898&lt;&gt;""),IFERROR(MATCH(INDEX('AFA Rates'!$A$5:$A$1004,T1898),Firms!$A$5:$A$1004,0),""),""))</f>
        <v/>
      </c>
    </row>
    <row r="1899">
      <c r="A1899" s="78">
        <f>IF($T1899="","",IF($S1899="S",IF(INDEX(Firms!$A$5:$A$1004,$T1899)="","",INDEX(Firms!$A$5:$A$1004,$T1899)),IF(INDEX('AFA Rates'!$A$5:$A$1004,$T1899)="","",INDEX('AFA Rates'!$A$5:$A$1004,$T1899))))</f>
        <v/>
      </c>
      <c r="B1899" s="79">
        <f>IF(OR($T1899="",$U1899=""),IF($T1899="","","Not on Firms tab"),INDEX(Firms!$B$5:$B$1004,$U1899)&amp;"")</f>
        <v/>
      </c>
      <c r="C1899" s="78">
        <f>IF($T1899="","",IF($S1899="S","Standard",INDEX('AFA Rates'!$B$5:$B$1004,$T1899)&amp;""))</f>
        <v/>
      </c>
      <c r="D1899" s="88">
        <f>IF($T1899="","",IF($S1899="S",IF(INDEX(Firms!$E$5:$E$1004,$T1899)="","",INDEX(Firms!$E$5:$E$1004,$T1899)),IF(INDEX('AFA Rates'!$C$5:$C$1004,$T1899)="","",INDEX('AFA Rates'!$C$5:$C$1004,$T1899))))</f>
        <v/>
      </c>
      <c r="E1899" s="88">
        <f>IF($T1899="","",IF($S1899="S",IF(""="","",""),IF(INDEX('AFA Rates'!$D$5:$D$1004,$T1899)="","",INDEX('AFA Rates'!$D$5:$D$1004,$T1899))))</f>
        <v/>
      </c>
      <c r="F1899" s="79">
        <f>IF($T1899="","",IF($S1899="S",IF(INDEX(Firms!$O$5:$O$1004,$T1899)="","",INDEX(Firms!$O$5:$O$1004,$T1899)),IF(INDEX('AFA Rates'!$O$5:$O$1004,$T1899)="","",INDEX('AFA Rates'!$O$5:$O$1004,$T1899))))</f>
        <v/>
      </c>
      <c r="G1899" s="50">
        <f>IF($T1899="","",IF($S1899="S",IF(INDEX(Firms!$F$5:$F$1004,$T1899)="","",INDEX(Firms!$F$5:$F$1004,$T1899)),IF(INDEX('AFA Rates'!$E$5:$E$1004,$T1899)="","",INDEX('AFA Rates'!$E$5:$E$1004,$T1899))))</f>
        <v/>
      </c>
      <c r="H1899" s="50">
        <f>IF($T1899="","",IF($S1899="S",IF(INDEX(Firms!$G$5:$G$1004,$T1899)="","",INDEX(Firms!$G$5:$G$1004,$T1899)),IF(INDEX('AFA Rates'!$F$5:$F$1004,$T1899)="","",INDEX('AFA Rates'!$F$5:$F$1004,$T1899))))</f>
        <v/>
      </c>
      <c r="I1899" s="50">
        <f>IF($T1899="","",IF($S1899="S",IF(INDEX(Firms!$H$5:$H$1004,$T1899)="","",INDEX(Firms!$H$5:$H$1004,$T1899)),IF(INDEX('AFA Rates'!$G$5:$G$1004,$T1899)="","",INDEX('AFA Rates'!$G$5:$G$1004,$T1899))))</f>
        <v/>
      </c>
      <c r="J1899" s="50">
        <f>IF($T1899="","",IF($S1899="S",IF(INDEX(Firms!$I$5:$I$1004,$T1899)="","",INDEX(Firms!$I$5:$I$1004,$T1899)),IF(INDEX('AFA Rates'!$H$5:$H$1004,$T1899)="","",INDEX('AFA Rates'!$H$5:$H$1004,$T1899))))</f>
        <v/>
      </c>
      <c r="K1899" s="50">
        <f>IF($T1899="","",IF($S1899="S",IF(INDEX(Firms!$J$5:$J$1004,$T1899)="","",INDEX(Firms!$J$5:$J$1004,$T1899)),IF(INDEX('AFA Rates'!$I$5:$I$1004,$T1899)="","",INDEX('AFA Rates'!$I$5:$I$1004,$T1899))))</f>
        <v/>
      </c>
      <c r="L1899" s="50">
        <f>IF($T1899="","",IF($S1899="S",IF(INDEX(Firms!$K$5:$K$1004,$T1899)="","",INDEX(Firms!$K$5:$K$1004,$T1899)),IF(INDEX('AFA Rates'!$J$5:$J$1004,$T1899)="","",INDEX('AFA Rates'!$J$5:$J$1004,$T1899))))</f>
        <v/>
      </c>
      <c r="M1899" s="50">
        <f>IF($T1899="","",IF($S1899="S",IF(INDEX(Firms!$L$5:$L$1004,$T1899)="","",INDEX(Firms!$L$5:$L$1004,$T1899)),IF(INDEX('AFA Rates'!$K$5:$K$1004,$T1899)="","",INDEX('AFA Rates'!$K$5:$K$1004,$T1899))))</f>
        <v/>
      </c>
      <c r="N1899" s="50">
        <f>IF($T1899="","",IF($S1899="S",IF(INDEX(Firms!$M$5:$M$1004,$T1899)="","",INDEX(Firms!$M$5:$M$1004,$T1899)),IF(INDEX('AFA Rates'!$L$5:$L$1004,$T1899)="","",INDEX('AFA Rates'!$L$5:$L$1004,$T1899))))</f>
        <v/>
      </c>
      <c r="O1899" s="78">
        <f>IF(OR($T1899="",$U1899=""),"",IF(INDEX(Firms!$C$5:$C$1004,$U1899)="","",INDEX(Firms!$C$5:$C$1004,$U1899)))</f>
        <v/>
      </c>
      <c r="P1899" s="79">
        <f>IF(OR($T1899="",$U1899=""),"",IF(INDEX(Firms!$N$5:$N$1004,$U1899)="","",INDEX(Firms!$N$5:$N$1004,$U1899)))</f>
        <v/>
      </c>
      <c r="Q1899" s="78">
        <f>IF($T1899="","",IF($S1899="S",IF(INDEX(Firms!$T$5:$T$1004,$T1899)="","",INDEX(Firms!$T$5:$T$1004,$T1899)),IF(INDEX('AFA Rates'!$M$5:$M$1004,$T1899)="","",INDEX('AFA Rates'!$M$5:$M$1004,$T1899))))</f>
        <v/>
      </c>
      <c r="S1899">
        <f>IF(1895&lt;=$S$2,"S",IF(1895&lt;=$S$2+$T$2,"A",""))</f>
        <v/>
      </c>
      <c r="T1899">
        <f>IF(S1899="S",MATCH(1895,Firms!$W$5:$W$1004,0),IF(S1899="A",IFERROR(MATCH(1895-$S$2,'AFA Rates'!$R$5:$R$1004,0),""),""))</f>
        <v/>
      </c>
      <c r="U1899">
        <f>IF(S1899="S",T1899,IF(AND(S1899="A",T1899&lt;&gt;""),IFERROR(MATCH(INDEX('AFA Rates'!$A$5:$A$1004,T1899),Firms!$A$5:$A$1004,0),""),""))</f>
        <v/>
      </c>
    </row>
    <row r="1900">
      <c r="A1900" s="78">
        <f>IF($T1900="","",IF($S1900="S",IF(INDEX(Firms!$A$5:$A$1004,$T1900)="","",INDEX(Firms!$A$5:$A$1004,$T1900)),IF(INDEX('AFA Rates'!$A$5:$A$1004,$T1900)="","",INDEX('AFA Rates'!$A$5:$A$1004,$T1900))))</f>
        <v/>
      </c>
      <c r="B1900" s="79">
        <f>IF(OR($T1900="",$U1900=""),IF($T1900="","","Not on Firms tab"),INDEX(Firms!$B$5:$B$1004,$U1900)&amp;"")</f>
        <v/>
      </c>
      <c r="C1900" s="78">
        <f>IF($T1900="","",IF($S1900="S","Standard",INDEX('AFA Rates'!$B$5:$B$1004,$T1900)&amp;""))</f>
        <v/>
      </c>
      <c r="D1900" s="88">
        <f>IF($T1900="","",IF($S1900="S",IF(INDEX(Firms!$E$5:$E$1004,$T1900)="","",INDEX(Firms!$E$5:$E$1004,$T1900)),IF(INDEX('AFA Rates'!$C$5:$C$1004,$T1900)="","",INDEX('AFA Rates'!$C$5:$C$1004,$T1900))))</f>
        <v/>
      </c>
      <c r="E1900" s="88">
        <f>IF($T1900="","",IF($S1900="S",IF(""="","",""),IF(INDEX('AFA Rates'!$D$5:$D$1004,$T1900)="","",INDEX('AFA Rates'!$D$5:$D$1004,$T1900))))</f>
        <v/>
      </c>
      <c r="F1900" s="79">
        <f>IF($T1900="","",IF($S1900="S",IF(INDEX(Firms!$O$5:$O$1004,$T1900)="","",INDEX(Firms!$O$5:$O$1004,$T1900)),IF(INDEX('AFA Rates'!$O$5:$O$1004,$T1900)="","",INDEX('AFA Rates'!$O$5:$O$1004,$T1900))))</f>
        <v/>
      </c>
      <c r="G1900" s="50">
        <f>IF($T1900="","",IF($S1900="S",IF(INDEX(Firms!$F$5:$F$1004,$T1900)="","",INDEX(Firms!$F$5:$F$1004,$T1900)),IF(INDEX('AFA Rates'!$E$5:$E$1004,$T1900)="","",INDEX('AFA Rates'!$E$5:$E$1004,$T1900))))</f>
        <v/>
      </c>
      <c r="H1900" s="50">
        <f>IF($T1900="","",IF($S1900="S",IF(INDEX(Firms!$G$5:$G$1004,$T1900)="","",INDEX(Firms!$G$5:$G$1004,$T1900)),IF(INDEX('AFA Rates'!$F$5:$F$1004,$T1900)="","",INDEX('AFA Rates'!$F$5:$F$1004,$T1900))))</f>
        <v/>
      </c>
      <c r="I1900" s="50">
        <f>IF($T1900="","",IF($S1900="S",IF(INDEX(Firms!$H$5:$H$1004,$T1900)="","",INDEX(Firms!$H$5:$H$1004,$T1900)),IF(INDEX('AFA Rates'!$G$5:$G$1004,$T1900)="","",INDEX('AFA Rates'!$G$5:$G$1004,$T1900))))</f>
        <v/>
      </c>
      <c r="J1900" s="50">
        <f>IF($T1900="","",IF($S1900="S",IF(INDEX(Firms!$I$5:$I$1004,$T1900)="","",INDEX(Firms!$I$5:$I$1004,$T1900)),IF(INDEX('AFA Rates'!$H$5:$H$1004,$T1900)="","",INDEX('AFA Rates'!$H$5:$H$1004,$T1900))))</f>
        <v/>
      </c>
      <c r="K1900" s="50">
        <f>IF($T1900="","",IF($S1900="S",IF(INDEX(Firms!$J$5:$J$1004,$T1900)="","",INDEX(Firms!$J$5:$J$1004,$T1900)),IF(INDEX('AFA Rates'!$I$5:$I$1004,$T1900)="","",INDEX('AFA Rates'!$I$5:$I$1004,$T1900))))</f>
        <v/>
      </c>
      <c r="L1900" s="50">
        <f>IF($T1900="","",IF($S1900="S",IF(INDEX(Firms!$K$5:$K$1004,$T1900)="","",INDEX(Firms!$K$5:$K$1004,$T1900)),IF(INDEX('AFA Rates'!$J$5:$J$1004,$T1900)="","",INDEX('AFA Rates'!$J$5:$J$1004,$T1900))))</f>
        <v/>
      </c>
      <c r="M1900" s="50">
        <f>IF($T1900="","",IF($S1900="S",IF(INDEX(Firms!$L$5:$L$1004,$T1900)="","",INDEX(Firms!$L$5:$L$1004,$T1900)),IF(INDEX('AFA Rates'!$K$5:$K$1004,$T1900)="","",INDEX('AFA Rates'!$K$5:$K$1004,$T1900))))</f>
        <v/>
      </c>
      <c r="N1900" s="50">
        <f>IF($T1900="","",IF($S1900="S",IF(INDEX(Firms!$M$5:$M$1004,$T1900)="","",INDEX(Firms!$M$5:$M$1004,$T1900)),IF(INDEX('AFA Rates'!$L$5:$L$1004,$T1900)="","",INDEX('AFA Rates'!$L$5:$L$1004,$T1900))))</f>
        <v/>
      </c>
      <c r="O1900" s="78">
        <f>IF(OR($T1900="",$U1900=""),"",IF(INDEX(Firms!$C$5:$C$1004,$U1900)="","",INDEX(Firms!$C$5:$C$1004,$U1900)))</f>
        <v/>
      </c>
      <c r="P1900" s="79">
        <f>IF(OR($T1900="",$U1900=""),"",IF(INDEX(Firms!$N$5:$N$1004,$U1900)="","",INDEX(Firms!$N$5:$N$1004,$U1900)))</f>
        <v/>
      </c>
      <c r="Q1900" s="78">
        <f>IF($T1900="","",IF($S1900="S",IF(INDEX(Firms!$T$5:$T$1004,$T1900)="","",INDEX(Firms!$T$5:$T$1004,$T1900)),IF(INDEX('AFA Rates'!$M$5:$M$1004,$T1900)="","",INDEX('AFA Rates'!$M$5:$M$1004,$T1900))))</f>
        <v/>
      </c>
      <c r="S1900">
        <f>IF(1896&lt;=$S$2,"S",IF(1896&lt;=$S$2+$T$2,"A",""))</f>
        <v/>
      </c>
      <c r="T1900">
        <f>IF(S1900="S",MATCH(1896,Firms!$W$5:$W$1004,0),IF(S1900="A",IFERROR(MATCH(1896-$S$2,'AFA Rates'!$R$5:$R$1004,0),""),""))</f>
        <v/>
      </c>
      <c r="U1900">
        <f>IF(S1900="S",T1900,IF(AND(S1900="A",T1900&lt;&gt;""),IFERROR(MATCH(INDEX('AFA Rates'!$A$5:$A$1004,T1900),Firms!$A$5:$A$1004,0),""),""))</f>
        <v/>
      </c>
    </row>
    <row r="1901">
      <c r="A1901" s="78">
        <f>IF($T1901="","",IF($S1901="S",IF(INDEX(Firms!$A$5:$A$1004,$T1901)="","",INDEX(Firms!$A$5:$A$1004,$T1901)),IF(INDEX('AFA Rates'!$A$5:$A$1004,$T1901)="","",INDEX('AFA Rates'!$A$5:$A$1004,$T1901))))</f>
        <v/>
      </c>
      <c r="B1901" s="79">
        <f>IF(OR($T1901="",$U1901=""),IF($T1901="","","Not on Firms tab"),INDEX(Firms!$B$5:$B$1004,$U1901)&amp;"")</f>
        <v/>
      </c>
      <c r="C1901" s="78">
        <f>IF($T1901="","",IF($S1901="S","Standard",INDEX('AFA Rates'!$B$5:$B$1004,$T1901)&amp;""))</f>
        <v/>
      </c>
      <c r="D1901" s="88">
        <f>IF($T1901="","",IF($S1901="S",IF(INDEX(Firms!$E$5:$E$1004,$T1901)="","",INDEX(Firms!$E$5:$E$1004,$T1901)),IF(INDEX('AFA Rates'!$C$5:$C$1004,$T1901)="","",INDEX('AFA Rates'!$C$5:$C$1004,$T1901))))</f>
        <v/>
      </c>
      <c r="E1901" s="88">
        <f>IF($T1901="","",IF($S1901="S",IF(""="","",""),IF(INDEX('AFA Rates'!$D$5:$D$1004,$T1901)="","",INDEX('AFA Rates'!$D$5:$D$1004,$T1901))))</f>
        <v/>
      </c>
      <c r="F1901" s="79">
        <f>IF($T1901="","",IF($S1901="S",IF(INDEX(Firms!$O$5:$O$1004,$T1901)="","",INDEX(Firms!$O$5:$O$1004,$T1901)),IF(INDEX('AFA Rates'!$O$5:$O$1004,$T1901)="","",INDEX('AFA Rates'!$O$5:$O$1004,$T1901))))</f>
        <v/>
      </c>
      <c r="G1901" s="50">
        <f>IF($T1901="","",IF($S1901="S",IF(INDEX(Firms!$F$5:$F$1004,$T1901)="","",INDEX(Firms!$F$5:$F$1004,$T1901)),IF(INDEX('AFA Rates'!$E$5:$E$1004,$T1901)="","",INDEX('AFA Rates'!$E$5:$E$1004,$T1901))))</f>
        <v/>
      </c>
      <c r="H1901" s="50">
        <f>IF($T1901="","",IF($S1901="S",IF(INDEX(Firms!$G$5:$G$1004,$T1901)="","",INDEX(Firms!$G$5:$G$1004,$T1901)),IF(INDEX('AFA Rates'!$F$5:$F$1004,$T1901)="","",INDEX('AFA Rates'!$F$5:$F$1004,$T1901))))</f>
        <v/>
      </c>
      <c r="I1901" s="50">
        <f>IF($T1901="","",IF($S1901="S",IF(INDEX(Firms!$H$5:$H$1004,$T1901)="","",INDEX(Firms!$H$5:$H$1004,$T1901)),IF(INDEX('AFA Rates'!$G$5:$G$1004,$T1901)="","",INDEX('AFA Rates'!$G$5:$G$1004,$T1901))))</f>
        <v/>
      </c>
      <c r="J1901" s="50">
        <f>IF($T1901="","",IF($S1901="S",IF(INDEX(Firms!$I$5:$I$1004,$T1901)="","",INDEX(Firms!$I$5:$I$1004,$T1901)),IF(INDEX('AFA Rates'!$H$5:$H$1004,$T1901)="","",INDEX('AFA Rates'!$H$5:$H$1004,$T1901))))</f>
        <v/>
      </c>
      <c r="K1901" s="50">
        <f>IF($T1901="","",IF($S1901="S",IF(INDEX(Firms!$J$5:$J$1004,$T1901)="","",INDEX(Firms!$J$5:$J$1004,$T1901)),IF(INDEX('AFA Rates'!$I$5:$I$1004,$T1901)="","",INDEX('AFA Rates'!$I$5:$I$1004,$T1901))))</f>
        <v/>
      </c>
      <c r="L1901" s="50">
        <f>IF($T1901="","",IF($S1901="S",IF(INDEX(Firms!$K$5:$K$1004,$T1901)="","",INDEX(Firms!$K$5:$K$1004,$T1901)),IF(INDEX('AFA Rates'!$J$5:$J$1004,$T1901)="","",INDEX('AFA Rates'!$J$5:$J$1004,$T1901))))</f>
        <v/>
      </c>
      <c r="M1901" s="50">
        <f>IF($T1901="","",IF($S1901="S",IF(INDEX(Firms!$L$5:$L$1004,$T1901)="","",INDEX(Firms!$L$5:$L$1004,$T1901)),IF(INDEX('AFA Rates'!$K$5:$K$1004,$T1901)="","",INDEX('AFA Rates'!$K$5:$K$1004,$T1901))))</f>
        <v/>
      </c>
      <c r="N1901" s="50">
        <f>IF($T1901="","",IF($S1901="S",IF(INDEX(Firms!$M$5:$M$1004,$T1901)="","",INDEX(Firms!$M$5:$M$1004,$T1901)),IF(INDEX('AFA Rates'!$L$5:$L$1004,$T1901)="","",INDEX('AFA Rates'!$L$5:$L$1004,$T1901))))</f>
        <v/>
      </c>
      <c r="O1901" s="78">
        <f>IF(OR($T1901="",$U1901=""),"",IF(INDEX(Firms!$C$5:$C$1004,$U1901)="","",INDEX(Firms!$C$5:$C$1004,$U1901)))</f>
        <v/>
      </c>
      <c r="P1901" s="79">
        <f>IF(OR($T1901="",$U1901=""),"",IF(INDEX(Firms!$N$5:$N$1004,$U1901)="","",INDEX(Firms!$N$5:$N$1004,$U1901)))</f>
        <v/>
      </c>
      <c r="Q1901" s="78">
        <f>IF($T1901="","",IF($S1901="S",IF(INDEX(Firms!$T$5:$T$1004,$T1901)="","",INDEX(Firms!$T$5:$T$1004,$T1901)),IF(INDEX('AFA Rates'!$M$5:$M$1004,$T1901)="","",INDEX('AFA Rates'!$M$5:$M$1004,$T1901))))</f>
        <v/>
      </c>
      <c r="S1901">
        <f>IF(1897&lt;=$S$2,"S",IF(1897&lt;=$S$2+$T$2,"A",""))</f>
        <v/>
      </c>
      <c r="T1901">
        <f>IF(S1901="S",MATCH(1897,Firms!$W$5:$W$1004,0),IF(S1901="A",IFERROR(MATCH(1897-$S$2,'AFA Rates'!$R$5:$R$1004,0),""),""))</f>
        <v/>
      </c>
      <c r="U1901">
        <f>IF(S1901="S",T1901,IF(AND(S1901="A",T1901&lt;&gt;""),IFERROR(MATCH(INDEX('AFA Rates'!$A$5:$A$1004,T1901),Firms!$A$5:$A$1004,0),""),""))</f>
        <v/>
      </c>
    </row>
    <row r="1902">
      <c r="A1902" s="78">
        <f>IF($T1902="","",IF($S1902="S",IF(INDEX(Firms!$A$5:$A$1004,$T1902)="","",INDEX(Firms!$A$5:$A$1004,$T1902)),IF(INDEX('AFA Rates'!$A$5:$A$1004,$T1902)="","",INDEX('AFA Rates'!$A$5:$A$1004,$T1902))))</f>
        <v/>
      </c>
      <c r="B1902" s="79">
        <f>IF(OR($T1902="",$U1902=""),IF($T1902="","","Not on Firms tab"),INDEX(Firms!$B$5:$B$1004,$U1902)&amp;"")</f>
        <v/>
      </c>
      <c r="C1902" s="78">
        <f>IF($T1902="","",IF($S1902="S","Standard",INDEX('AFA Rates'!$B$5:$B$1004,$T1902)&amp;""))</f>
        <v/>
      </c>
      <c r="D1902" s="88">
        <f>IF($T1902="","",IF($S1902="S",IF(INDEX(Firms!$E$5:$E$1004,$T1902)="","",INDEX(Firms!$E$5:$E$1004,$T1902)),IF(INDEX('AFA Rates'!$C$5:$C$1004,$T1902)="","",INDEX('AFA Rates'!$C$5:$C$1004,$T1902))))</f>
        <v/>
      </c>
      <c r="E1902" s="88">
        <f>IF($T1902="","",IF($S1902="S",IF(""="","",""),IF(INDEX('AFA Rates'!$D$5:$D$1004,$T1902)="","",INDEX('AFA Rates'!$D$5:$D$1004,$T1902))))</f>
        <v/>
      </c>
      <c r="F1902" s="79">
        <f>IF($T1902="","",IF($S1902="S",IF(INDEX(Firms!$O$5:$O$1004,$T1902)="","",INDEX(Firms!$O$5:$O$1004,$T1902)),IF(INDEX('AFA Rates'!$O$5:$O$1004,$T1902)="","",INDEX('AFA Rates'!$O$5:$O$1004,$T1902))))</f>
        <v/>
      </c>
      <c r="G1902" s="50">
        <f>IF($T1902="","",IF($S1902="S",IF(INDEX(Firms!$F$5:$F$1004,$T1902)="","",INDEX(Firms!$F$5:$F$1004,$T1902)),IF(INDEX('AFA Rates'!$E$5:$E$1004,$T1902)="","",INDEX('AFA Rates'!$E$5:$E$1004,$T1902))))</f>
        <v/>
      </c>
      <c r="H1902" s="50">
        <f>IF($T1902="","",IF($S1902="S",IF(INDEX(Firms!$G$5:$G$1004,$T1902)="","",INDEX(Firms!$G$5:$G$1004,$T1902)),IF(INDEX('AFA Rates'!$F$5:$F$1004,$T1902)="","",INDEX('AFA Rates'!$F$5:$F$1004,$T1902))))</f>
        <v/>
      </c>
      <c r="I1902" s="50">
        <f>IF($T1902="","",IF($S1902="S",IF(INDEX(Firms!$H$5:$H$1004,$T1902)="","",INDEX(Firms!$H$5:$H$1004,$T1902)),IF(INDEX('AFA Rates'!$G$5:$G$1004,$T1902)="","",INDEX('AFA Rates'!$G$5:$G$1004,$T1902))))</f>
        <v/>
      </c>
      <c r="J1902" s="50">
        <f>IF($T1902="","",IF($S1902="S",IF(INDEX(Firms!$I$5:$I$1004,$T1902)="","",INDEX(Firms!$I$5:$I$1004,$T1902)),IF(INDEX('AFA Rates'!$H$5:$H$1004,$T1902)="","",INDEX('AFA Rates'!$H$5:$H$1004,$T1902))))</f>
        <v/>
      </c>
      <c r="K1902" s="50">
        <f>IF($T1902="","",IF($S1902="S",IF(INDEX(Firms!$J$5:$J$1004,$T1902)="","",INDEX(Firms!$J$5:$J$1004,$T1902)),IF(INDEX('AFA Rates'!$I$5:$I$1004,$T1902)="","",INDEX('AFA Rates'!$I$5:$I$1004,$T1902))))</f>
        <v/>
      </c>
      <c r="L1902" s="50">
        <f>IF($T1902="","",IF($S1902="S",IF(INDEX(Firms!$K$5:$K$1004,$T1902)="","",INDEX(Firms!$K$5:$K$1004,$T1902)),IF(INDEX('AFA Rates'!$J$5:$J$1004,$T1902)="","",INDEX('AFA Rates'!$J$5:$J$1004,$T1902))))</f>
        <v/>
      </c>
      <c r="M1902" s="50">
        <f>IF($T1902="","",IF($S1902="S",IF(INDEX(Firms!$L$5:$L$1004,$T1902)="","",INDEX(Firms!$L$5:$L$1004,$T1902)),IF(INDEX('AFA Rates'!$K$5:$K$1004,$T1902)="","",INDEX('AFA Rates'!$K$5:$K$1004,$T1902))))</f>
        <v/>
      </c>
      <c r="N1902" s="50">
        <f>IF($T1902="","",IF($S1902="S",IF(INDEX(Firms!$M$5:$M$1004,$T1902)="","",INDEX(Firms!$M$5:$M$1004,$T1902)),IF(INDEX('AFA Rates'!$L$5:$L$1004,$T1902)="","",INDEX('AFA Rates'!$L$5:$L$1004,$T1902))))</f>
        <v/>
      </c>
      <c r="O1902" s="78">
        <f>IF(OR($T1902="",$U1902=""),"",IF(INDEX(Firms!$C$5:$C$1004,$U1902)="","",INDEX(Firms!$C$5:$C$1004,$U1902)))</f>
        <v/>
      </c>
      <c r="P1902" s="79">
        <f>IF(OR($T1902="",$U1902=""),"",IF(INDEX(Firms!$N$5:$N$1004,$U1902)="","",INDEX(Firms!$N$5:$N$1004,$U1902)))</f>
        <v/>
      </c>
      <c r="Q1902" s="78">
        <f>IF($T1902="","",IF($S1902="S",IF(INDEX(Firms!$T$5:$T$1004,$T1902)="","",INDEX(Firms!$T$5:$T$1004,$T1902)),IF(INDEX('AFA Rates'!$M$5:$M$1004,$T1902)="","",INDEX('AFA Rates'!$M$5:$M$1004,$T1902))))</f>
        <v/>
      </c>
      <c r="S1902">
        <f>IF(1898&lt;=$S$2,"S",IF(1898&lt;=$S$2+$T$2,"A",""))</f>
        <v/>
      </c>
      <c r="T1902">
        <f>IF(S1902="S",MATCH(1898,Firms!$W$5:$W$1004,0),IF(S1902="A",IFERROR(MATCH(1898-$S$2,'AFA Rates'!$R$5:$R$1004,0),""),""))</f>
        <v/>
      </c>
      <c r="U1902">
        <f>IF(S1902="S",T1902,IF(AND(S1902="A",T1902&lt;&gt;""),IFERROR(MATCH(INDEX('AFA Rates'!$A$5:$A$1004,T1902),Firms!$A$5:$A$1004,0),""),""))</f>
        <v/>
      </c>
    </row>
    <row r="1903">
      <c r="A1903" s="78">
        <f>IF($T1903="","",IF($S1903="S",IF(INDEX(Firms!$A$5:$A$1004,$T1903)="","",INDEX(Firms!$A$5:$A$1004,$T1903)),IF(INDEX('AFA Rates'!$A$5:$A$1004,$T1903)="","",INDEX('AFA Rates'!$A$5:$A$1004,$T1903))))</f>
        <v/>
      </c>
      <c r="B1903" s="79">
        <f>IF(OR($T1903="",$U1903=""),IF($T1903="","","Not on Firms tab"),INDEX(Firms!$B$5:$B$1004,$U1903)&amp;"")</f>
        <v/>
      </c>
      <c r="C1903" s="78">
        <f>IF($T1903="","",IF($S1903="S","Standard",INDEX('AFA Rates'!$B$5:$B$1004,$T1903)&amp;""))</f>
        <v/>
      </c>
      <c r="D1903" s="88">
        <f>IF($T1903="","",IF($S1903="S",IF(INDEX(Firms!$E$5:$E$1004,$T1903)="","",INDEX(Firms!$E$5:$E$1004,$T1903)),IF(INDEX('AFA Rates'!$C$5:$C$1004,$T1903)="","",INDEX('AFA Rates'!$C$5:$C$1004,$T1903))))</f>
        <v/>
      </c>
      <c r="E1903" s="88">
        <f>IF($T1903="","",IF($S1903="S",IF(""="","",""),IF(INDEX('AFA Rates'!$D$5:$D$1004,$T1903)="","",INDEX('AFA Rates'!$D$5:$D$1004,$T1903))))</f>
        <v/>
      </c>
      <c r="F1903" s="79">
        <f>IF($T1903="","",IF($S1903="S",IF(INDEX(Firms!$O$5:$O$1004,$T1903)="","",INDEX(Firms!$O$5:$O$1004,$T1903)),IF(INDEX('AFA Rates'!$O$5:$O$1004,$T1903)="","",INDEX('AFA Rates'!$O$5:$O$1004,$T1903))))</f>
        <v/>
      </c>
      <c r="G1903" s="50">
        <f>IF($T1903="","",IF($S1903="S",IF(INDEX(Firms!$F$5:$F$1004,$T1903)="","",INDEX(Firms!$F$5:$F$1004,$T1903)),IF(INDEX('AFA Rates'!$E$5:$E$1004,$T1903)="","",INDEX('AFA Rates'!$E$5:$E$1004,$T1903))))</f>
        <v/>
      </c>
      <c r="H1903" s="50">
        <f>IF($T1903="","",IF($S1903="S",IF(INDEX(Firms!$G$5:$G$1004,$T1903)="","",INDEX(Firms!$G$5:$G$1004,$T1903)),IF(INDEX('AFA Rates'!$F$5:$F$1004,$T1903)="","",INDEX('AFA Rates'!$F$5:$F$1004,$T1903))))</f>
        <v/>
      </c>
      <c r="I1903" s="50">
        <f>IF($T1903="","",IF($S1903="S",IF(INDEX(Firms!$H$5:$H$1004,$T1903)="","",INDEX(Firms!$H$5:$H$1004,$T1903)),IF(INDEX('AFA Rates'!$G$5:$G$1004,$T1903)="","",INDEX('AFA Rates'!$G$5:$G$1004,$T1903))))</f>
        <v/>
      </c>
      <c r="J1903" s="50">
        <f>IF($T1903="","",IF($S1903="S",IF(INDEX(Firms!$I$5:$I$1004,$T1903)="","",INDEX(Firms!$I$5:$I$1004,$T1903)),IF(INDEX('AFA Rates'!$H$5:$H$1004,$T1903)="","",INDEX('AFA Rates'!$H$5:$H$1004,$T1903))))</f>
        <v/>
      </c>
      <c r="K1903" s="50">
        <f>IF($T1903="","",IF($S1903="S",IF(INDEX(Firms!$J$5:$J$1004,$T1903)="","",INDEX(Firms!$J$5:$J$1004,$T1903)),IF(INDEX('AFA Rates'!$I$5:$I$1004,$T1903)="","",INDEX('AFA Rates'!$I$5:$I$1004,$T1903))))</f>
        <v/>
      </c>
      <c r="L1903" s="50">
        <f>IF($T1903="","",IF($S1903="S",IF(INDEX(Firms!$K$5:$K$1004,$T1903)="","",INDEX(Firms!$K$5:$K$1004,$T1903)),IF(INDEX('AFA Rates'!$J$5:$J$1004,$T1903)="","",INDEX('AFA Rates'!$J$5:$J$1004,$T1903))))</f>
        <v/>
      </c>
      <c r="M1903" s="50">
        <f>IF($T1903="","",IF($S1903="S",IF(INDEX(Firms!$L$5:$L$1004,$T1903)="","",INDEX(Firms!$L$5:$L$1004,$T1903)),IF(INDEX('AFA Rates'!$K$5:$K$1004,$T1903)="","",INDEX('AFA Rates'!$K$5:$K$1004,$T1903))))</f>
        <v/>
      </c>
      <c r="N1903" s="50">
        <f>IF($T1903="","",IF($S1903="S",IF(INDEX(Firms!$M$5:$M$1004,$T1903)="","",INDEX(Firms!$M$5:$M$1004,$T1903)),IF(INDEX('AFA Rates'!$L$5:$L$1004,$T1903)="","",INDEX('AFA Rates'!$L$5:$L$1004,$T1903))))</f>
        <v/>
      </c>
      <c r="O1903" s="78">
        <f>IF(OR($T1903="",$U1903=""),"",IF(INDEX(Firms!$C$5:$C$1004,$U1903)="","",INDEX(Firms!$C$5:$C$1004,$U1903)))</f>
        <v/>
      </c>
      <c r="P1903" s="79">
        <f>IF(OR($T1903="",$U1903=""),"",IF(INDEX(Firms!$N$5:$N$1004,$U1903)="","",INDEX(Firms!$N$5:$N$1004,$U1903)))</f>
        <v/>
      </c>
      <c r="Q1903" s="78">
        <f>IF($T1903="","",IF($S1903="S",IF(INDEX(Firms!$T$5:$T$1004,$T1903)="","",INDEX(Firms!$T$5:$T$1004,$T1903)),IF(INDEX('AFA Rates'!$M$5:$M$1004,$T1903)="","",INDEX('AFA Rates'!$M$5:$M$1004,$T1903))))</f>
        <v/>
      </c>
      <c r="S1903">
        <f>IF(1899&lt;=$S$2,"S",IF(1899&lt;=$S$2+$T$2,"A",""))</f>
        <v/>
      </c>
      <c r="T1903">
        <f>IF(S1903="S",MATCH(1899,Firms!$W$5:$W$1004,0),IF(S1903="A",IFERROR(MATCH(1899-$S$2,'AFA Rates'!$R$5:$R$1004,0),""),""))</f>
        <v/>
      </c>
      <c r="U1903">
        <f>IF(S1903="S",T1903,IF(AND(S1903="A",T1903&lt;&gt;""),IFERROR(MATCH(INDEX('AFA Rates'!$A$5:$A$1004,T1903),Firms!$A$5:$A$1004,0),""),""))</f>
        <v/>
      </c>
    </row>
    <row r="1904">
      <c r="A1904" s="78">
        <f>IF($T1904="","",IF($S1904="S",IF(INDEX(Firms!$A$5:$A$1004,$T1904)="","",INDEX(Firms!$A$5:$A$1004,$T1904)),IF(INDEX('AFA Rates'!$A$5:$A$1004,$T1904)="","",INDEX('AFA Rates'!$A$5:$A$1004,$T1904))))</f>
        <v/>
      </c>
      <c r="B1904" s="79">
        <f>IF(OR($T1904="",$U1904=""),IF($T1904="","","Not on Firms tab"),INDEX(Firms!$B$5:$B$1004,$U1904)&amp;"")</f>
        <v/>
      </c>
      <c r="C1904" s="78">
        <f>IF($T1904="","",IF($S1904="S","Standard",INDEX('AFA Rates'!$B$5:$B$1004,$T1904)&amp;""))</f>
        <v/>
      </c>
      <c r="D1904" s="88">
        <f>IF($T1904="","",IF($S1904="S",IF(INDEX(Firms!$E$5:$E$1004,$T1904)="","",INDEX(Firms!$E$5:$E$1004,$T1904)),IF(INDEX('AFA Rates'!$C$5:$C$1004,$T1904)="","",INDEX('AFA Rates'!$C$5:$C$1004,$T1904))))</f>
        <v/>
      </c>
      <c r="E1904" s="88">
        <f>IF($T1904="","",IF($S1904="S",IF(""="","",""),IF(INDEX('AFA Rates'!$D$5:$D$1004,$T1904)="","",INDEX('AFA Rates'!$D$5:$D$1004,$T1904))))</f>
        <v/>
      </c>
      <c r="F1904" s="79">
        <f>IF($T1904="","",IF($S1904="S",IF(INDEX(Firms!$O$5:$O$1004,$T1904)="","",INDEX(Firms!$O$5:$O$1004,$T1904)),IF(INDEX('AFA Rates'!$O$5:$O$1004,$T1904)="","",INDEX('AFA Rates'!$O$5:$O$1004,$T1904))))</f>
        <v/>
      </c>
      <c r="G1904" s="50">
        <f>IF($T1904="","",IF($S1904="S",IF(INDEX(Firms!$F$5:$F$1004,$T1904)="","",INDEX(Firms!$F$5:$F$1004,$T1904)),IF(INDEX('AFA Rates'!$E$5:$E$1004,$T1904)="","",INDEX('AFA Rates'!$E$5:$E$1004,$T1904))))</f>
        <v/>
      </c>
      <c r="H1904" s="50">
        <f>IF($T1904="","",IF($S1904="S",IF(INDEX(Firms!$G$5:$G$1004,$T1904)="","",INDEX(Firms!$G$5:$G$1004,$T1904)),IF(INDEX('AFA Rates'!$F$5:$F$1004,$T1904)="","",INDEX('AFA Rates'!$F$5:$F$1004,$T1904))))</f>
        <v/>
      </c>
      <c r="I1904" s="50">
        <f>IF($T1904="","",IF($S1904="S",IF(INDEX(Firms!$H$5:$H$1004,$T1904)="","",INDEX(Firms!$H$5:$H$1004,$T1904)),IF(INDEX('AFA Rates'!$G$5:$G$1004,$T1904)="","",INDEX('AFA Rates'!$G$5:$G$1004,$T1904))))</f>
        <v/>
      </c>
      <c r="J1904" s="50">
        <f>IF($T1904="","",IF($S1904="S",IF(INDEX(Firms!$I$5:$I$1004,$T1904)="","",INDEX(Firms!$I$5:$I$1004,$T1904)),IF(INDEX('AFA Rates'!$H$5:$H$1004,$T1904)="","",INDEX('AFA Rates'!$H$5:$H$1004,$T1904))))</f>
        <v/>
      </c>
      <c r="K1904" s="50">
        <f>IF($T1904="","",IF($S1904="S",IF(INDEX(Firms!$J$5:$J$1004,$T1904)="","",INDEX(Firms!$J$5:$J$1004,$T1904)),IF(INDEX('AFA Rates'!$I$5:$I$1004,$T1904)="","",INDEX('AFA Rates'!$I$5:$I$1004,$T1904))))</f>
        <v/>
      </c>
      <c r="L1904" s="50">
        <f>IF($T1904="","",IF($S1904="S",IF(INDEX(Firms!$K$5:$K$1004,$T1904)="","",INDEX(Firms!$K$5:$K$1004,$T1904)),IF(INDEX('AFA Rates'!$J$5:$J$1004,$T1904)="","",INDEX('AFA Rates'!$J$5:$J$1004,$T1904))))</f>
        <v/>
      </c>
      <c r="M1904" s="50">
        <f>IF($T1904="","",IF($S1904="S",IF(INDEX(Firms!$L$5:$L$1004,$T1904)="","",INDEX(Firms!$L$5:$L$1004,$T1904)),IF(INDEX('AFA Rates'!$K$5:$K$1004,$T1904)="","",INDEX('AFA Rates'!$K$5:$K$1004,$T1904))))</f>
        <v/>
      </c>
      <c r="N1904" s="50">
        <f>IF($T1904="","",IF($S1904="S",IF(INDEX(Firms!$M$5:$M$1004,$T1904)="","",INDEX(Firms!$M$5:$M$1004,$T1904)),IF(INDEX('AFA Rates'!$L$5:$L$1004,$T1904)="","",INDEX('AFA Rates'!$L$5:$L$1004,$T1904))))</f>
        <v/>
      </c>
      <c r="O1904" s="78">
        <f>IF(OR($T1904="",$U1904=""),"",IF(INDEX(Firms!$C$5:$C$1004,$U1904)="","",INDEX(Firms!$C$5:$C$1004,$U1904)))</f>
        <v/>
      </c>
      <c r="P1904" s="79">
        <f>IF(OR($T1904="",$U1904=""),"",IF(INDEX(Firms!$N$5:$N$1004,$U1904)="","",INDEX(Firms!$N$5:$N$1004,$U1904)))</f>
        <v/>
      </c>
      <c r="Q1904" s="78">
        <f>IF($T1904="","",IF($S1904="S",IF(INDEX(Firms!$T$5:$T$1004,$T1904)="","",INDEX(Firms!$T$5:$T$1004,$T1904)),IF(INDEX('AFA Rates'!$M$5:$M$1004,$T1904)="","",INDEX('AFA Rates'!$M$5:$M$1004,$T1904))))</f>
        <v/>
      </c>
      <c r="S1904">
        <f>IF(1900&lt;=$S$2,"S",IF(1900&lt;=$S$2+$T$2,"A",""))</f>
        <v/>
      </c>
      <c r="T1904">
        <f>IF(S1904="S",MATCH(1900,Firms!$W$5:$W$1004,0),IF(S1904="A",IFERROR(MATCH(1900-$S$2,'AFA Rates'!$R$5:$R$1004,0),""),""))</f>
        <v/>
      </c>
      <c r="U1904">
        <f>IF(S1904="S",T1904,IF(AND(S1904="A",T1904&lt;&gt;""),IFERROR(MATCH(INDEX('AFA Rates'!$A$5:$A$1004,T1904),Firms!$A$5:$A$1004,0),""),""))</f>
        <v/>
      </c>
    </row>
    <row r="1905">
      <c r="A1905" s="78">
        <f>IF($T1905="","",IF($S1905="S",IF(INDEX(Firms!$A$5:$A$1004,$T1905)="","",INDEX(Firms!$A$5:$A$1004,$T1905)),IF(INDEX('AFA Rates'!$A$5:$A$1004,$T1905)="","",INDEX('AFA Rates'!$A$5:$A$1004,$T1905))))</f>
        <v/>
      </c>
      <c r="B1905" s="79">
        <f>IF(OR($T1905="",$U1905=""),IF($T1905="","","Not on Firms tab"),INDEX(Firms!$B$5:$B$1004,$U1905)&amp;"")</f>
        <v/>
      </c>
      <c r="C1905" s="78">
        <f>IF($T1905="","",IF($S1905="S","Standard",INDEX('AFA Rates'!$B$5:$B$1004,$T1905)&amp;""))</f>
        <v/>
      </c>
      <c r="D1905" s="88">
        <f>IF($T1905="","",IF($S1905="S",IF(INDEX(Firms!$E$5:$E$1004,$T1905)="","",INDEX(Firms!$E$5:$E$1004,$T1905)),IF(INDEX('AFA Rates'!$C$5:$C$1004,$T1905)="","",INDEX('AFA Rates'!$C$5:$C$1004,$T1905))))</f>
        <v/>
      </c>
      <c r="E1905" s="88">
        <f>IF($T1905="","",IF($S1905="S",IF(""="","",""),IF(INDEX('AFA Rates'!$D$5:$D$1004,$T1905)="","",INDEX('AFA Rates'!$D$5:$D$1004,$T1905))))</f>
        <v/>
      </c>
      <c r="F1905" s="79">
        <f>IF($T1905="","",IF($S1905="S",IF(INDEX(Firms!$O$5:$O$1004,$T1905)="","",INDEX(Firms!$O$5:$O$1004,$T1905)),IF(INDEX('AFA Rates'!$O$5:$O$1004,$T1905)="","",INDEX('AFA Rates'!$O$5:$O$1004,$T1905))))</f>
        <v/>
      </c>
      <c r="G1905" s="50">
        <f>IF($T1905="","",IF($S1905="S",IF(INDEX(Firms!$F$5:$F$1004,$T1905)="","",INDEX(Firms!$F$5:$F$1004,$T1905)),IF(INDEX('AFA Rates'!$E$5:$E$1004,$T1905)="","",INDEX('AFA Rates'!$E$5:$E$1004,$T1905))))</f>
        <v/>
      </c>
      <c r="H1905" s="50">
        <f>IF($T1905="","",IF($S1905="S",IF(INDEX(Firms!$G$5:$G$1004,$T1905)="","",INDEX(Firms!$G$5:$G$1004,$T1905)),IF(INDEX('AFA Rates'!$F$5:$F$1004,$T1905)="","",INDEX('AFA Rates'!$F$5:$F$1004,$T1905))))</f>
        <v/>
      </c>
      <c r="I1905" s="50">
        <f>IF($T1905="","",IF($S1905="S",IF(INDEX(Firms!$H$5:$H$1004,$T1905)="","",INDEX(Firms!$H$5:$H$1004,$T1905)),IF(INDEX('AFA Rates'!$G$5:$G$1004,$T1905)="","",INDEX('AFA Rates'!$G$5:$G$1004,$T1905))))</f>
        <v/>
      </c>
      <c r="J1905" s="50">
        <f>IF($T1905="","",IF($S1905="S",IF(INDEX(Firms!$I$5:$I$1004,$T1905)="","",INDEX(Firms!$I$5:$I$1004,$T1905)),IF(INDEX('AFA Rates'!$H$5:$H$1004,$T1905)="","",INDEX('AFA Rates'!$H$5:$H$1004,$T1905))))</f>
        <v/>
      </c>
      <c r="K1905" s="50">
        <f>IF($T1905="","",IF($S1905="S",IF(INDEX(Firms!$J$5:$J$1004,$T1905)="","",INDEX(Firms!$J$5:$J$1004,$T1905)),IF(INDEX('AFA Rates'!$I$5:$I$1004,$T1905)="","",INDEX('AFA Rates'!$I$5:$I$1004,$T1905))))</f>
        <v/>
      </c>
      <c r="L1905" s="50">
        <f>IF($T1905="","",IF($S1905="S",IF(INDEX(Firms!$K$5:$K$1004,$T1905)="","",INDEX(Firms!$K$5:$K$1004,$T1905)),IF(INDEX('AFA Rates'!$J$5:$J$1004,$T1905)="","",INDEX('AFA Rates'!$J$5:$J$1004,$T1905))))</f>
        <v/>
      </c>
      <c r="M1905" s="50">
        <f>IF($T1905="","",IF($S1905="S",IF(INDEX(Firms!$L$5:$L$1004,$T1905)="","",INDEX(Firms!$L$5:$L$1004,$T1905)),IF(INDEX('AFA Rates'!$K$5:$K$1004,$T1905)="","",INDEX('AFA Rates'!$K$5:$K$1004,$T1905))))</f>
        <v/>
      </c>
      <c r="N1905" s="50">
        <f>IF($T1905="","",IF($S1905="S",IF(INDEX(Firms!$M$5:$M$1004,$T1905)="","",INDEX(Firms!$M$5:$M$1004,$T1905)),IF(INDEX('AFA Rates'!$L$5:$L$1004,$T1905)="","",INDEX('AFA Rates'!$L$5:$L$1004,$T1905))))</f>
        <v/>
      </c>
      <c r="O1905" s="78">
        <f>IF(OR($T1905="",$U1905=""),"",IF(INDEX(Firms!$C$5:$C$1004,$U1905)="","",INDEX(Firms!$C$5:$C$1004,$U1905)))</f>
        <v/>
      </c>
      <c r="P1905" s="79">
        <f>IF(OR($T1905="",$U1905=""),"",IF(INDEX(Firms!$N$5:$N$1004,$U1905)="","",INDEX(Firms!$N$5:$N$1004,$U1905)))</f>
        <v/>
      </c>
      <c r="Q1905" s="78">
        <f>IF($T1905="","",IF($S1905="S",IF(INDEX(Firms!$T$5:$T$1004,$T1905)="","",INDEX(Firms!$T$5:$T$1004,$T1905)),IF(INDEX('AFA Rates'!$M$5:$M$1004,$T1905)="","",INDEX('AFA Rates'!$M$5:$M$1004,$T1905))))</f>
        <v/>
      </c>
      <c r="S1905">
        <f>IF(1901&lt;=$S$2,"S",IF(1901&lt;=$S$2+$T$2,"A",""))</f>
        <v/>
      </c>
      <c r="T1905">
        <f>IF(S1905="S",MATCH(1901,Firms!$W$5:$W$1004,0),IF(S1905="A",IFERROR(MATCH(1901-$S$2,'AFA Rates'!$R$5:$R$1004,0),""),""))</f>
        <v/>
      </c>
      <c r="U1905">
        <f>IF(S1905="S",T1905,IF(AND(S1905="A",T1905&lt;&gt;""),IFERROR(MATCH(INDEX('AFA Rates'!$A$5:$A$1004,T1905),Firms!$A$5:$A$1004,0),""),""))</f>
        <v/>
      </c>
    </row>
    <row r="1906">
      <c r="A1906" s="78">
        <f>IF($T1906="","",IF($S1906="S",IF(INDEX(Firms!$A$5:$A$1004,$T1906)="","",INDEX(Firms!$A$5:$A$1004,$T1906)),IF(INDEX('AFA Rates'!$A$5:$A$1004,$T1906)="","",INDEX('AFA Rates'!$A$5:$A$1004,$T1906))))</f>
        <v/>
      </c>
      <c r="B1906" s="79">
        <f>IF(OR($T1906="",$U1906=""),IF($T1906="","","Not on Firms tab"),INDEX(Firms!$B$5:$B$1004,$U1906)&amp;"")</f>
        <v/>
      </c>
      <c r="C1906" s="78">
        <f>IF($T1906="","",IF($S1906="S","Standard",INDEX('AFA Rates'!$B$5:$B$1004,$T1906)&amp;""))</f>
        <v/>
      </c>
      <c r="D1906" s="88">
        <f>IF($T1906="","",IF($S1906="S",IF(INDEX(Firms!$E$5:$E$1004,$T1906)="","",INDEX(Firms!$E$5:$E$1004,$T1906)),IF(INDEX('AFA Rates'!$C$5:$C$1004,$T1906)="","",INDEX('AFA Rates'!$C$5:$C$1004,$T1906))))</f>
        <v/>
      </c>
      <c r="E1906" s="88">
        <f>IF($T1906="","",IF($S1906="S",IF(""="","",""),IF(INDEX('AFA Rates'!$D$5:$D$1004,$T1906)="","",INDEX('AFA Rates'!$D$5:$D$1004,$T1906))))</f>
        <v/>
      </c>
      <c r="F1906" s="79">
        <f>IF($T1906="","",IF($S1906="S",IF(INDEX(Firms!$O$5:$O$1004,$T1906)="","",INDEX(Firms!$O$5:$O$1004,$T1906)),IF(INDEX('AFA Rates'!$O$5:$O$1004,$T1906)="","",INDEX('AFA Rates'!$O$5:$O$1004,$T1906))))</f>
        <v/>
      </c>
      <c r="G1906" s="50">
        <f>IF($T1906="","",IF($S1906="S",IF(INDEX(Firms!$F$5:$F$1004,$T1906)="","",INDEX(Firms!$F$5:$F$1004,$T1906)),IF(INDEX('AFA Rates'!$E$5:$E$1004,$T1906)="","",INDEX('AFA Rates'!$E$5:$E$1004,$T1906))))</f>
        <v/>
      </c>
      <c r="H1906" s="50">
        <f>IF($T1906="","",IF($S1906="S",IF(INDEX(Firms!$G$5:$G$1004,$T1906)="","",INDEX(Firms!$G$5:$G$1004,$T1906)),IF(INDEX('AFA Rates'!$F$5:$F$1004,$T1906)="","",INDEX('AFA Rates'!$F$5:$F$1004,$T1906))))</f>
        <v/>
      </c>
      <c r="I1906" s="50">
        <f>IF($T1906="","",IF($S1906="S",IF(INDEX(Firms!$H$5:$H$1004,$T1906)="","",INDEX(Firms!$H$5:$H$1004,$T1906)),IF(INDEX('AFA Rates'!$G$5:$G$1004,$T1906)="","",INDEX('AFA Rates'!$G$5:$G$1004,$T1906))))</f>
        <v/>
      </c>
      <c r="J1906" s="50">
        <f>IF($T1906="","",IF($S1906="S",IF(INDEX(Firms!$I$5:$I$1004,$T1906)="","",INDEX(Firms!$I$5:$I$1004,$T1906)),IF(INDEX('AFA Rates'!$H$5:$H$1004,$T1906)="","",INDEX('AFA Rates'!$H$5:$H$1004,$T1906))))</f>
        <v/>
      </c>
      <c r="K1906" s="50">
        <f>IF($T1906="","",IF($S1906="S",IF(INDEX(Firms!$J$5:$J$1004,$T1906)="","",INDEX(Firms!$J$5:$J$1004,$T1906)),IF(INDEX('AFA Rates'!$I$5:$I$1004,$T1906)="","",INDEX('AFA Rates'!$I$5:$I$1004,$T1906))))</f>
        <v/>
      </c>
      <c r="L1906" s="50">
        <f>IF($T1906="","",IF($S1906="S",IF(INDEX(Firms!$K$5:$K$1004,$T1906)="","",INDEX(Firms!$K$5:$K$1004,$T1906)),IF(INDEX('AFA Rates'!$J$5:$J$1004,$T1906)="","",INDEX('AFA Rates'!$J$5:$J$1004,$T1906))))</f>
        <v/>
      </c>
      <c r="M1906" s="50">
        <f>IF($T1906="","",IF($S1906="S",IF(INDEX(Firms!$L$5:$L$1004,$T1906)="","",INDEX(Firms!$L$5:$L$1004,$T1906)),IF(INDEX('AFA Rates'!$K$5:$K$1004,$T1906)="","",INDEX('AFA Rates'!$K$5:$K$1004,$T1906))))</f>
        <v/>
      </c>
      <c r="N1906" s="50">
        <f>IF($T1906="","",IF($S1906="S",IF(INDEX(Firms!$M$5:$M$1004,$T1906)="","",INDEX(Firms!$M$5:$M$1004,$T1906)),IF(INDEX('AFA Rates'!$L$5:$L$1004,$T1906)="","",INDEX('AFA Rates'!$L$5:$L$1004,$T1906))))</f>
        <v/>
      </c>
      <c r="O1906" s="78">
        <f>IF(OR($T1906="",$U1906=""),"",IF(INDEX(Firms!$C$5:$C$1004,$U1906)="","",INDEX(Firms!$C$5:$C$1004,$U1906)))</f>
        <v/>
      </c>
      <c r="P1906" s="79">
        <f>IF(OR($T1906="",$U1906=""),"",IF(INDEX(Firms!$N$5:$N$1004,$U1906)="","",INDEX(Firms!$N$5:$N$1004,$U1906)))</f>
        <v/>
      </c>
      <c r="Q1906" s="78">
        <f>IF($T1906="","",IF($S1906="S",IF(INDEX(Firms!$T$5:$T$1004,$T1906)="","",INDEX(Firms!$T$5:$T$1004,$T1906)),IF(INDEX('AFA Rates'!$M$5:$M$1004,$T1906)="","",INDEX('AFA Rates'!$M$5:$M$1004,$T1906))))</f>
        <v/>
      </c>
      <c r="S1906">
        <f>IF(1902&lt;=$S$2,"S",IF(1902&lt;=$S$2+$T$2,"A",""))</f>
        <v/>
      </c>
      <c r="T1906">
        <f>IF(S1906="S",MATCH(1902,Firms!$W$5:$W$1004,0),IF(S1906="A",IFERROR(MATCH(1902-$S$2,'AFA Rates'!$R$5:$R$1004,0),""),""))</f>
        <v/>
      </c>
      <c r="U1906">
        <f>IF(S1906="S",T1906,IF(AND(S1906="A",T1906&lt;&gt;""),IFERROR(MATCH(INDEX('AFA Rates'!$A$5:$A$1004,T1906),Firms!$A$5:$A$1004,0),""),""))</f>
        <v/>
      </c>
    </row>
    <row r="1907">
      <c r="A1907" s="78">
        <f>IF($T1907="","",IF($S1907="S",IF(INDEX(Firms!$A$5:$A$1004,$T1907)="","",INDEX(Firms!$A$5:$A$1004,$T1907)),IF(INDEX('AFA Rates'!$A$5:$A$1004,$T1907)="","",INDEX('AFA Rates'!$A$5:$A$1004,$T1907))))</f>
        <v/>
      </c>
      <c r="B1907" s="79">
        <f>IF(OR($T1907="",$U1907=""),IF($T1907="","","Not on Firms tab"),INDEX(Firms!$B$5:$B$1004,$U1907)&amp;"")</f>
        <v/>
      </c>
      <c r="C1907" s="78">
        <f>IF($T1907="","",IF($S1907="S","Standard",INDEX('AFA Rates'!$B$5:$B$1004,$T1907)&amp;""))</f>
        <v/>
      </c>
      <c r="D1907" s="88">
        <f>IF($T1907="","",IF($S1907="S",IF(INDEX(Firms!$E$5:$E$1004,$T1907)="","",INDEX(Firms!$E$5:$E$1004,$T1907)),IF(INDEX('AFA Rates'!$C$5:$C$1004,$T1907)="","",INDEX('AFA Rates'!$C$5:$C$1004,$T1907))))</f>
        <v/>
      </c>
      <c r="E1907" s="88">
        <f>IF($T1907="","",IF($S1907="S",IF(""="","",""),IF(INDEX('AFA Rates'!$D$5:$D$1004,$T1907)="","",INDEX('AFA Rates'!$D$5:$D$1004,$T1907))))</f>
        <v/>
      </c>
      <c r="F1907" s="79">
        <f>IF($T1907="","",IF($S1907="S",IF(INDEX(Firms!$O$5:$O$1004,$T1907)="","",INDEX(Firms!$O$5:$O$1004,$T1907)),IF(INDEX('AFA Rates'!$O$5:$O$1004,$T1907)="","",INDEX('AFA Rates'!$O$5:$O$1004,$T1907))))</f>
        <v/>
      </c>
      <c r="G1907" s="50">
        <f>IF($T1907="","",IF($S1907="S",IF(INDEX(Firms!$F$5:$F$1004,$T1907)="","",INDEX(Firms!$F$5:$F$1004,$T1907)),IF(INDEX('AFA Rates'!$E$5:$E$1004,$T1907)="","",INDEX('AFA Rates'!$E$5:$E$1004,$T1907))))</f>
        <v/>
      </c>
      <c r="H1907" s="50">
        <f>IF($T1907="","",IF($S1907="S",IF(INDEX(Firms!$G$5:$G$1004,$T1907)="","",INDEX(Firms!$G$5:$G$1004,$T1907)),IF(INDEX('AFA Rates'!$F$5:$F$1004,$T1907)="","",INDEX('AFA Rates'!$F$5:$F$1004,$T1907))))</f>
        <v/>
      </c>
      <c r="I1907" s="50">
        <f>IF($T1907="","",IF($S1907="S",IF(INDEX(Firms!$H$5:$H$1004,$T1907)="","",INDEX(Firms!$H$5:$H$1004,$T1907)),IF(INDEX('AFA Rates'!$G$5:$G$1004,$T1907)="","",INDEX('AFA Rates'!$G$5:$G$1004,$T1907))))</f>
        <v/>
      </c>
      <c r="J1907" s="50">
        <f>IF($T1907="","",IF($S1907="S",IF(INDEX(Firms!$I$5:$I$1004,$T1907)="","",INDEX(Firms!$I$5:$I$1004,$T1907)),IF(INDEX('AFA Rates'!$H$5:$H$1004,$T1907)="","",INDEX('AFA Rates'!$H$5:$H$1004,$T1907))))</f>
        <v/>
      </c>
      <c r="K1907" s="50">
        <f>IF($T1907="","",IF($S1907="S",IF(INDEX(Firms!$J$5:$J$1004,$T1907)="","",INDEX(Firms!$J$5:$J$1004,$T1907)),IF(INDEX('AFA Rates'!$I$5:$I$1004,$T1907)="","",INDEX('AFA Rates'!$I$5:$I$1004,$T1907))))</f>
        <v/>
      </c>
      <c r="L1907" s="50">
        <f>IF($T1907="","",IF($S1907="S",IF(INDEX(Firms!$K$5:$K$1004,$T1907)="","",INDEX(Firms!$K$5:$K$1004,$T1907)),IF(INDEX('AFA Rates'!$J$5:$J$1004,$T1907)="","",INDEX('AFA Rates'!$J$5:$J$1004,$T1907))))</f>
        <v/>
      </c>
      <c r="M1907" s="50">
        <f>IF($T1907="","",IF($S1907="S",IF(INDEX(Firms!$L$5:$L$1004,$T1907)="","",INDEX(Firms!$L$5:$L$1004,$T1907)),IF(INDEX('AFA Rates'!$K$5:$K$1004,$T1907)="","",INDEX('AFA Rates'!$K$5:$K$1004,$T1907))))</f>
        <v/>
      </c>
      <c r="N1907" s="50">
        <f>IF($T1907="","",IF($S1907="S",IF(INDEX(Firms!$M$5:$M$1004,$T1907)="","",INDEX(Firms!$M$5:$M$1004,$T1907)),IF(INDEX('AFA Rates'!$L$5:$L$1004,$T1907)="","",INDEX('AFA Rates'!$L$5:$L$1004,$T1907))))</f>
        <v/>
      </c>
      <c r="O1907" s="78">
        <f>IF(OR($T1907="",$U1907=""),"",IF(INDEX(Firms!$C$5:$C$1004,$U1907)="","",INDEX(Firms!$C$5:$C$1004,$U1907)))</f>
        <v/>
      </c>
      <c r="P1907" s="79">
        <f>IF(OR($T1907="",$U1907=""),"",IF(INDEX(Firms!$N$5:$N$1004,$U1907)="","",INDEX(Firms!$N$5:$N$1004,$U1907)))</f>
        <v/>
      </c>
      <c r="Q1907" s="78">
        <f>IF($T1907="","",IF($S1907="S",IF(INDEX(Firms!$T$5:$T$1004,$T1907)="","",INDEX(Firms!$T$5:$T$1004,$T1907)),IF(INDEX('AFA Rates'!$M$5:$M$1004,$T1907)="","",INDEX('AFA Rates'!$M$5:$M$1004,$T1907))))</f>
        <v/>
      </c>
      <c r="S1907">
        <f>IF(1903&lt;=$S$2,"S",IF(1903&lt;=$S$2+$T$2,"A",""))</f>
        <v/>
      </c>
      <c r="T1907">
        <f>IF(S1907="S",MATCH(1903,Firms!$W$5:$W$1004,0),IF(S1907="A",IFERROR(MATCH(1903-$S$2,'AFA Rates'!$R$5:$R$1004,0),""),""))</f>
        <v/>
      </c>
      <c r="U1907">
        <f>IF(S1907="S",T1907,IF(AND(S1907="A",T1907&lt;&gt;""),IFERROR(MATCH(INDEX('AFA Rates'!$A$5:$A$1004,T1907),Firms!$A$5:$A$1004,0),""),""))</f>
        <v/>
      </c>
    </row>
    <row r="1908">
      <c r="A1908" s="78">
        <f>IF($T1908="","",IF($S1908="S",IF(INDEX(Firms!$A$5:$A$1004,$T1908)="","",INDEX(Firms!$A$5:$A$1004,$T1908)),IF(INDEX('AFA Rates'!$A$5:$A$1004,$T1908)="","",INDEX('AFA Rates'!$A$5:$A$1004,$T1908))))</f>
        <v/>
      </c>
      <c r="B1908" s="79">
        <f>IF(OR($T1908="",$U1908=""),IF($T1908="","","Not on Firms tab"),INDEX(Firms!$B$5:$B$1004,$U1908)&amp;"")</f>
        <v/>
      </c>
      <c r="C1908" s="78">
        <f>IF($T1908="","",IF($S1908="S","Standard",INDEX('AFA Rates'!$B$5:$B$1004,$T1908)&amp;""))</f>
        <v/>
      </c>
      <c r="D1908" s="88">
        <f>IF($T1908="","",IF($S1908="S",IF(INDEX(Firms!$E$5:$E$1004,$T1908)="","",INDEX(Firms!$E$5:$E$1004,$T1908)),IF(INDEX('AFA Rates'!$C$5:$C$1004,$T1908)="","",INDEX('AFA Rates'!$C$5:$C$1004,$T1908))))</f>
        <v/>
      </c>
      <c r="E1908" s="88">
        <f>IF($T1908="","",IF($S1908="S",IF(""="","",""),IF(INDEX('AFA Rates'!$D$5:$D$1004,$T1908)="","",INDEX('AFA Rates'!$D$5:$D$1004,$T1908))))</f>
        <v/>
      </c>
      <c r="F1908" s="79">
        <f>IF($T1908="","",IF($S1908="S",IF(INDEX(Firms!$O$5:$O$1004,$T1908)="","",INDEX(Firms!$O$5:$O$1004,$T1908)),IF(INDEX('AFA Rates'!$O$5:$O$1004,$T1908)="","",INDEX('AFA Rates'!$O$5:$O$1004,$T1908))))</f>
        <v/>
      </c>
      <c r="G1908" s="50">
        <f>IF($T1908="","",IF($S1908="S",IF(INDEX(Firms!$F$5:$F$1004,$T1908)="","",INDEX(Firms!$F$5:$F$1004,$T1908)),IF(INDEX('AFA Rates'!$E$5:$E$1004,$T1908)="","",INDEX('AFA Rates'!$E$5:$E$1004,$T1908))))</f>
        <v/>
      </c>
      <c r="H1908" s="50">
        <f>IF($T1908="","",IF($S1908="S",IF(INDEX(Firms!$G$5:$G$1004,$T1908)="","",INDEX(Firms!$G$5:$G$1004,$T1908)),IF(INDEX('AFA Rates'!$F$5:$F$1004,$T1908)="","",INDEX('AFA Rates'!$F$5:$F$1004,$T1908))))</f>
        <v/>
      </c>
      <c r="I1908" s="50">
        <f>IF($T1908="","",IF($S1908="S",IF(INDEX(Firms!$H$5:$H$1004,$T1908)="","",INDEX(Firms!$H$5:$H$1004,$T1908)),IF(INDEX('AFA Rates'!$G$5:$G$1004,$T1908)="","",INDEX('AFA Rates'!$G$5:$G$1004,$T1908))))</f>
        <v/>
      </c>
      <c r="J1908" s="50">
        <f>IF($T1908="","",IF($S1908="S",IF(INDEX(Firms!$I$5:$I$1004,$T1908)="","",INDEX(Firms!$I$5:$I$1004,$T1908)),IF(INDEX('AFA Rates'!$H$5:$H$1004,$T1908)="","",INDEX('AFA Rates'!$H$5:$H$1004,$T1908))))</f>
        <v/>
      </c>
      <c r="K1908" s="50">
        <f>IF($T1908="","",IF($S1908="S",IF(INDEX(Firms!$J$5:$J$1004,$T1908)="","",INDEX(Firms!$J$5:$J$1004,$T1908)),IF(INDEX('AFA Rates'!$I$5:$I$1004,$T1908)="","",INDEX('AFA Rates'!$I$5:$I$1004,$T1908))))</f>
        <v/>
      </c>
      <c r="L1908" s="50">
        <f>IF($T1908="","",IF($S1908="S",IF(INDEX(Firms!$K$5:$K$1004,$T1908)="","",INDEX(Firms!$K$5:$K$1004,$T1908)),IF(INDEX('AFA Rates'!$J$5:$J$1004,$T1908)="","",INDEX('AFA Rates'!$J$5:$J$1004,$T1908))))</f>
        <v/>
      </c>
      <c r="M1908" s="50">
        <f>IF($T1908="","",IF($S1908="S",IF(INDEX(Firms!$L$5:$L$1004,$T1908)="","",INDEX(Firms!$L$5:$L$1004,$T1908)),IF(INDEX('AFA Rates'!$K$5:$K$1004,$T1908)="","",INDEX('AFA Rates'!$K$5:$K$1004,$T1908))))</f>
        <v/>
      </c>
      <c r="N1908" s="50">
        <f>IF($T1908="","",IF($S1908="S",IF(INDEX(Firms!$M$5:$M$1004,$T1908)="","",INDEX(Firms!$M$5:$M$1004,$T1908)),IF(INDEX('AFA Rates'!$L$5:$L$1004,$T1908)="","",INDEX('AFA Rates'!$L$5:$L$1004,$T1908))))</f>
        <v/>
      </c>
      <c r="O1908" s="78">
        <f>IF(OR($T1908="",$U1908=""),"",IF(INDEX(Firms!$C$5:$C$1004,$U1908)="","",INDEX(Firms!$C$5:$C$1004,$U1908)))</f>
        <v/>
      </c>
      <c r="P1908" s="79">
        <f>IF(OR($T1908="",$U1908=""),"",IF(INDEX(Firms!$N$5:$N$1004,$U1908)="","",INDEX(Firms!$N$5:$N$1004,$U1908)))</f>
        <v/>
      </c>
      <c r="Q1908" s="78">
        <f>IF($T1908="","",IF($S1908="S",IF(INDEX(Firms!$T$5:$T$1004,$T1908)="","",INDEX(Firms!$T$5:$T$1004,$T1908)),IF(INDEX('AFA Rates'!$M$5:$M$1004,$T1908)="","",INDEX('AFA Rates'!$M$5:$M$1004,$T1908))))</f>
        <v/>
      </c>
      <c r="S1908">
        <f>IF(1904&lt;=$S$2,"S",IF(1904&lt;=$S$2+$T$2,"A",""))</f>
        <v/>
      </c>
      <c r="T1908">
        <f>IF(S1908="S",MATCH(1904,Firms!$W$5:$W$1004,0),IF(S1908="A",IFERROR(MATCH(1904-$S$2,'AFA Rates'!$R$5:$R$1004,0),""),""))</f>
        <v/>
      </c>
      <c r="U1908">
        <f>IF(S1908="S",T1908,IF(AND(S1908="A",T1908&lt;&gt;""),IFERROR(MATCH(INDEX('AFA Rates'!$A$5:$A$1004,T1908),Firms!$A$5:$A$1004,0),""),""))</f>
        <v/>
      </c>
    </row>
    <row r="1909">
      <c r="A1909" s="78">
        <f>IF($T1909="","",IF($S1909="S",IF(INDEX(Firms!$A$5:$A$1004,$T1909)="","",INDEX(Firms!$A$5:$A$1004,$T1909)),IF(INDEX('AFA Rates'!$A$5:$A$1004,$T1909)="","",INDEX('AFA Rates'!$A$5:$A$1004,$T1909))))</f>
        <v/>
      </c>
      <c r="B1909" s="79">
        <f>IF(OR($T1909="",$U1909=""),IF($T1909="","","Not on Firms tab"),INDEX(Firms!$B$5:$B$1004,$U1909)&amp;"")</f>
        <v/>
      </c>
      <c r="C1909" s="78">
        <f>IF($T1909="","",IF($S1909="S","Standard",INDEX('AFA Rates'!$B$5:$B$1004,$T1909)&amp;""))</f>
        <v/>
      </c>
      <c r="D1909" s="88">
        <f>IF($T1909="","",IF($S1909="S",IF(INDEX(Firms!$E$5:$E$1004,$T1909)="","",INDEX(Firms!$E$5:$E$1004,$T1909)),IF(INDEX('AFA Rates'!$C$5:$C$1004,$T1909)="","",INDEX('AFA Rates'!$C$5:$C$1004,$T1909))))</f>
        <v/>
      </c>
      <c r="E1909" s="88">
        <f>IF($T1909="","",IF($S1909="S",IF(""="","",""),IF(INDEX('AFA Rates'!$D$5:$D$1004,$T1909)="","",INDEX('AFA Rates'!$D$5:$D$1004,$T1909))))</f>
        <v/>
      </c>
      <c r="F1909" s="79">
        <f>IF($T1909="","",IF($S1909="S",IF(INDEX(Firms!$O$5:$O$1004,$T1909)="","",INDEX(Firms!$O$5:$O$1004,$T1909)),IF(INDEX('AFA Rates'!$O$5:$O$1004,$T1909)="","",INDEX('AFA Rates'!$O$5:$O$1004,$T1909))))</f>
        <v/>
      </c>
      <c r="G1909" s="50">
        <f>IF($T1909="","",IF($S1909="S",IF(INDEX(Firms!$F$5:$F$1004,$T1909)="","",INDEX(Firms!$F$5:$F$1004,$T1909)),IF(INDEX('AFA Rates'!$E$5:$E$1004,$T1909)="","",INDEX('AFA Rates'!$E$5:$E$1004,$T1909))))</f>
        <v/>
      </c>
      <c r="H1909" s="50">
        <f>IF($T1909="","",IF($S1909="S",IF(INDEX(Firms!$G$5:$G$1004,$T1909)="","",INDEX(Firms!$G$5:$G$1004,$T1909)),IF(INDEX('AFA Rates'!$F$5:$F$1004,$T1909)="","",INDEX('AFA Rates'!$F$5:$F$1004,$T1909))))</f>
        <v/>
      </c>
      <c r="I1909" s="50">
        <f>IF($T1909="","",IF($S1909="S",IF(INDEX(Firms!$H$5:$H$1004,$T1909)="","",INDEX(Firms!$H$5:$H$1004,$T1909)),IF(INDEX('AFA Rates'!$G$5:$G$1004,$T1909)="","",INDEX('AFA Rates'!$G$5:$G$1004,$T1909))))</f>
        <v/>
      </c>
      <c r="J1909" s="50">
        <f>IF($T1909="","",IF($S1909="S",IF(INDEX(Firms!$I$5:$I$1004,$T1909)="","",INDEX(Firms!$I$5:$I$1004,$T1909)),IF(INDEX('AFA Rates'!$H$5:$H$1004,$T1909)="","",INDEX('AFA Rates'!$H$5:$H$1004,$T1909))))</f>
        <v/>
      </c>
      <c r="K1909" s="50">
        <f>IF($T1909="","",IF($S1909="S",IF(INDEX(Firms!$J$5:$J$1004,$T1909)="","",INDEX(Firms!$J$5:$J$1004,$T1909)),IF(INDEX('AFA Rates'!$I$5:$I$1004,$T1909)="","",INDEX('AFA Rates'!$I$5:$I$1004,$T1909))))</f>
        <v/>
      </c>
      <c r="L1909" s="50">
        <f>IF($T1909="","",IF($S1909="S",IF(INDEX(Firms!$K$5:$K$1004,$T1909)="","",INDEX(Firms!$K$5:$K$1004,$T1909)),IF(INDEX('AFA Rates'!$J$5:$J$1004,$T1909)="","",INDEX('AFA Rates'!$J$5:$J$1004,$T1909))))</f>
        <v/>
      </c>
      <c r="M1909" s="50">
        <f>IF($T1909="","",IF($S1909="S",IF(INDEX(Firms!$L$5:$L$1004,$T1909)="","",INDEX(Firms!$L$5:$L$1004,$T1909)),IF(INDEX('AFA Rates'!$K$5:$K$1004,$T1909)="","",INDEX('AFA Rates'!$K$5:$K$1004,$T1909))))</f>
        <v/>
      </c>
      <c r="N1909" s="50">
        <f>IF($T1909="","",IF($S1909="S",IF(INDEX(Firms!$M$5:$M$1004,$T1909)="","",INDEX(Firms!$M$5:$M$1004,$T1909)),IF(INDEX('AFA Rates'!$L$5:$L$1004,$T1909)="","",INDEX('AFA Rates'!$L$5:$L$1004,$T1909))))</f>
        <v/>
      </c>
      <c r="O1909" s="78">
        <f>IF(OR($T1909="",$U1909=""),"",IF(INDEX(Firms!$C$5:$C$1004,$U1909)="","",INDEX(Firms!$C$5:$C$1004,$U1909)))</f>
        <v/>
      </c>
      <c r="P1909" s="79">
        <f>IF(OR($T1909="",$U1909=""),"",IF(INDEX(Firms!$N$5:$N$1004,$U1909)="","",INDEX(Firms!$N$5:$N$1004,$U1909)))</f>
        <v/>
      </c>
      <c r="Q1909" s="78">
        <f>IF($T1909="","",IF($S1909="S",IF(INDEX(Firms!$T$5:$T$1004,$T1909)="","",INDEX(Firms!$T$5:$T$1004,$T1909)),IF(INDEX('AFA Rates'!$M$5:$M$1004,$T1909)="","",INDEX('AFA Rates'!$M$5:$M$1004,$T1909))))</f>
        <v/>
      </c>
      <c r="S1909">
        <f>IF(1905&lt;=$S$2,"S",IF(1905&lt;=$S$2+$T$2,"A",""))</f>
        <v/>
      </c>
      <c r="T1909">
        <f>IF(S1909="S",MATCH(1905,Firms!$W$5:$W$1004,0),IF(S1909="A",IFERROR(MATCH(1905-$S$2,'AFA Rates'!$R$5:$R$1004,0),""),""))</f>
        <v/>
      </c>
      <c r="U1909">
        <f>IF(S1909="S",T1909,IF(AND(S1909="A",T1909&lt;&gt;""),IFERROR(MATCH(INDEX('AFA Rates'!$A$5:$A$1004,T1909),Firms!$A$5:$A$1004,0),""),""))</f>
        <v/>
      </c>
    </row>
    <row r="1910">
      <c r="A1910" s="78">
        <f>IF($T1910="","",IF($S1910="S",IF(INDEX(Firms!$A$5:$A$1004,$T1910)="","",INDEX(Firms!$A$5:$A$1004,$T1910)),IF(INDEX('AFA Rates'!$A$5:$A$1004,$T1910)="","",INDEX('AFA Rates'!$A$5:$A$1004,$T1910))))</f>
        <v/>
      </c>
      <c r="B1910" s="79">
        <f>IF(OR($T1910="",$U1910=""),IF($T1910="","","Not on Firms tab"),INDEX(Firms!$B$5:$B$1004,$U1910)&amp;"")</f>
        <v/>
      </c>
      <c r="C1910" s="78">
        <f>IF($T1910="","",IF($S1910="S","Standard",INDEX('AFA Rates'!$B$5:$B$1004,$T1910)&amp;""))</f>
        <v/>
      </c>
      <c r="D1910" s="88">
        <f>IF($T1910="","",IF($S1910="S",IF(INDEX(Firms!$E$5:$E$1004,$T1910)="","",INDEX(Firms!$E$5:$E$1004,$T1910)),IF(INDEX('AFA Rates'!$C$5:$C$1004,$T1910)="","",INDEX('AFA Rates'!$C$5:$C$1004,$T1910))))</f>
        <v/>
      </c>
      <c r="E1910" s="88">
        <f>IF($T1910="","",IF($S1910="S",IF(""="","",""),IF(INDEX('AFA Rates'!$D$5:$D$1004,$T1910)="","",INDEX('AFA Rates'!$D$5:$D$1004,$T1910))))</f>
        <v/>
      </c>
      <c r="F1910" s="79">
        <f>IF($T1910="","",IF($S1910="S",IF(INDEX(Firms!$O$5:$O$1004,$T1910)="","",INDEX(Firms!$O$5:$O$1004,$T1910)),IF(INDEX('AFA Rates'!$O$5:$O$1004,$T1910)="","",INDEX('AFA Rates'!$O$5:$O$1004,$T1910))))</f>
        <v/>
      </c>
      <c r="G1910" s="50">
        <f>IF($T1910="","",IF($S1910="S",IF(INDEX(Firms!$F$5:$F$1004,$T1910)="","",INDEX(Firms!$F$5:$F$1004,$T1910)),IF(INDEX('AFA Rates'!$E$5:$E$1004,$T1910)="","",INDEX('AFA Rates'!$E$5:$E$1004,$T1910))))</f>
        <v/>
      </c>
      <c r="H1910" s="50">
        <f>IF($T1910="","",IF($S1910="S",IF(INDEX(Firms!$G$5:$G$1004,$T1910)="","",INDEX(Firms!$G$5:$G$1004,$T1910)),IF(INDEX('AFA Rates'!$F$5:$F$1004,$T1910)="","",INDEX('AFA Rates'!$F$5:$F$1004,$T1910))))</f>
        <v/>
      </c>
      <c r="I1910" s="50">
        <f>IF($T1910="","",IF($S1910="S",IF(INDEX(Firms!$H$5:$H$1004,$T1910)="","",INDEX(Firms!$H$5:$H$1004,$T1910)),IF(INDEX('AFA Rates'!$G$5:$G$1004,$T1910)="","",INDEX('AFA Rates'!$G$5:$G$1004,$T1910))))</f>
        <v/>
      </c>
      <c r="J1910" s="50">
        <f>IF($T1910="","",IF($S1910="S",IF(INDEX(Firms!$I$5:$I$1004,$T1910)="","",INDEX(Firms!$I$5:$I$1004,$T1910)),IF(INDEX('AFA Rates'!$H$5:$H$1004,$T1910)="","",INDEX('AFA Rates'!$H$5:$H$1004,$T1910))))</f>
        <v/>
      </c>
      <c r="K1910" s="50">
        <f>IF($T1910="","",IF($S1910="S",IF(INDEX(Firms!$J$5:$J$1004,$T1910)="","",INDEX(Firms!$J$5:$J$1004,$T1910)),IF(INDEX('AFA Rates'!$I$5:$I$1004,$T1910)="","",INDEX('AFA Rates'!$I$5:$I$1004,$T1910))))</f>
        <v/>
      </c>
      <c r="L1910" s="50">
        <f>IF($T1910="","",IF($S1910="S",IF(INDEX(Firms!$K$5:$K$1004,$T1910)="","",INDEX(Firms!$K$5:$K$1004,$T1910)),IF(INDEX('AFA Rates'!$J$5:$J$1004,$T1910)="","",INDEX('AFA Rates'!$J$5:$J$1004,$T1910))))</f>
        <v/>
      </c>
      <c r="M1910" s="50">
        <f>IF($T1910="","",IF($S1910="S",IF(INDEX(Firms!$L$5:$L$1004,$T1910)="","",INDEX(Firms!$L$5:$L$1004,$T1910)),IF(INDEX('AFA Rates'!$K$5:$K$1004,$T1910)="","",INDEX('AFA Rates'!$K$5:$K$1004,$T1910))))</f>
        <v/>
      </c>
      <c r="N1910" s="50">
        <f>IF($T1910="","",IF($S1910="S",IF(INDEX(Firms!$M$5:$M$1004,$T1910)="","",INDEX(Firms!$M$5:$M$1004,$T1910)),IF(INDEX('AFA Rates'!$L$5:$L$1004,$T1910)="","",INDEX('AFA Rates'!$L$5:$L$1004,$T1910))))</f>
        <v/>
      </c>
      <c r="O1910" s="78">
        <f>IF(OR($T1910="",$U1910=""),"",IF(INDEX(Firms!$C$5:$C$1004,$U1910)="","",INDEX(Firms!$C$5:$C$1004,$U1910)))</f>
        <v/>
      </c>
      <c r="P1910" s="79">
        <f>IF(OR($T1910="",$U1910=""),"",IF(INDEX(Firms!$N$5:$N$1004,$U1910)="","",INDEX(Firms!$N$5:$N$1004,$U1910)))</f>
        <v/>
      </c>
      <c r="Q1910" s="78">
        <f>IF($T1910="","",IF($S1910="S",IF(INDEX(Firms!$T$5:$T$1004,$T1910)="","",INDEX(Firms!$T$5:$T$1004,$T1910)),IF(INDEX('AFA Rates'!$M$5:$M$1004,$T1910)="","",INDEX('AFA Rates'!$M$5:$M$1004,$T1910))))</f>
        <v/>
      </c>
      <c r="S1910">
        <f>IF(1906&lt;=$S$2,"S",IF(1906&lt;=$S$2+$T$2,"A",""))</f>
        <v/>
      </c>
      <c r="T1910">
        <f>IF(S1910="S",MATCH(1906,Firms!$W$5:$W$1004,0),IF(S1910="A",IFERROR(MATCH(1906-$S$2,'AFA Rates'!$R$5:$R$1004,0),""),""))</f>
        <v/>
      </c>
      <c r="U1910">
        <f>IF(S1910="S",T1910,IF(AND(S1910="A",T1910&lt;&gt;""),IFERROR(MATCH(INDEX('AFA Rates'!$A$5:$A$1004,T1910),Firms!$A$5:$A$1004,0),""),""))</f>
        <v/>
      </c>
    </row>
    <row r="1911">
      <c r="A1911" s="78">
        <f>IF($T1911="","",IF($S1911="S",IF(INDEX(Firms!$A$5:$A$1004,$T1911)="","",INDEX(Firms!$A$5:$A$1004,$T1911)),IF(INDEX('AFA Rates'!$A$5:$A$1004,$T1911)="","",INDEX('AFA Rates'!$A$5:$A$1004,$T1911))))</f>
        <v/>
      </c>
      <c r="B1911" s="79">
        <f>IF(OR($T1911="",$U1911=""),IF($T1911="","","Not on Firms tab"),INDEX(Firms!$B$5:$B$1004,$U1911)&amp;"")</f>
        <v/>
      </c>
      <c r="C1911" s="78">
        <f>IF($T1911="","",IF($S1911="S","Standard",INDEX('AFA Rates'!$B$5:$B$1004,$T1911)&amp;""))</f>
        <v/>
      </c>
      <c r="D1911" s="88">
        <f>IF($T1911="","",IF($S1911="S",IF(INDEX(Firms!$E$5:$E$1004,$T1911)="","",INDEX(Firms!$E$5:$E$1004,$T1911)),IF(INDEX('AFA Rates'!$C$5:$C$1004,$T1911)="","",INDEX('AFA Rates'!$C$5:$C$1004,$T1911))))</f>
        <v/>
      </c>
      <c r="E1911" s="88">
        <f>IF($T1911="","",IF($S1911="S",IF(""="","",""),IF(INDEX('AFA Rates'!$D$5:$D$1004,$T1911)="","",INDEX('AFA Rates'!$D$5:$D$1004,$T1911))))</f>
        <v/>
      </c>
      <c r="F1911" s="79">
        <f>IF($T1911="","",IF($S1911="S",IF(INDEX(Firms!$O$5:$O$1004,$T1911)="","",INDEX(Firms!$O$5:$O$1004,$T1911)),IF(INDEX('AFA Rates'!$O$5:$O$1004,$T1911)="","",INDEX('AFA Rates'!$O$5:$O$1004,$T1911))))</f>
        <v/>
      </c>
      <c r="G1911" s="50">
        <f>IF($T1911="","",IF($S1911="S",IF(INDEX(Firms!$F$5:$F$1004,$T1911)="","",INDEX(Firms!$F$5:$F$1004,$T1911)),IF(INDEX('AFA Rates'!$E$5:$E$1004,$T1911)="","",INDEX('AFA Rates'!$E$5:$E$1004,$T1911))))</f>
        <v/>
      </c>
      <c r="H1911" s="50">
        <f>IF($T1911="","",IF($S1911="S",IF(INDEX(Firms!$G$5:$G$1004,$T1911)="","",INDEX(Firms!$G$5:$G$1004,$T1911)),IF(INDEX('AFA Rates'!$F$5:$F$1004,$T1911)="","",INDEX('AFA Rates'!$F$5:$F$1004,$T1911))))</f>
        <v/>
      </c>
      <c r="I1911" s="50">
        <f>IF($T1911="","",IF($S1911="S",IF(INDEX(Firms!$H$5:$H$1004,$T1911)="","",INDEX(Firms!$H$5:$H$1004,$T1911)),IF(INDEX('AFA Rates'!$G$5:$G$1004,$T1911)="","",INDEX('AFA Rates'!$G$5:$G$1004,$T1911))))</f>
        <v/>
      </c>
      <c r="J1911" s="50">
        <f>IF($T1911="","",IF($S1911="S",IF(INDEX(Firms!$I$5:$I$1004,$T1911)="","",INDEX(Firms!$I$5:$I$1004,$T1911)),IF(INDEX('AFA Rates'!$H$5:$H$1004,$T1911)="","",INDEX('AFA Rates'!$H$5:$H$1004,$T1911))))</f>
        <v/>
      </c>
      <c r="K1911" s="50">
        <f>IF($T1911="","",IF($S1911="S",IF(INDEX(Firms!$J$5:$J$1004,$T1911)="","",INDEX(Firms!$J$5:$J$1004,$T1911)),IF(INDEX('AFA Rates'!$I$5:$I$1004,$T1911)="","",INDEX('AFA Rates'!$I$5:$I$1004,$T1911))))</f>
        <v/>
      </c>
      <c r="L1911" s="50">
        <f>IF($T1911="","",IF($S1911="S",IF(INDEX(Firms!$K$5:$K$1004,$T1911)="","",INDEX(Firms!$K$5:$K$1004,$T1911)),IF(INDEX('AFA Rates'!$J$5:$J$1004,$T1911)="","",INDEX('AFA Rates'!$J$5:$J$1004,$T1911))))</f>
        <v/>
      </c>
      <c r="M1911" s="50">
        <f>IF($T1911="","",IF($S1911="S",IF(INDEX(Firms!$L$5:$L$1004,$T1911)="","",INDEX(Firms!$L$5:$L$1004,$T1911)),IF(INDEX('AFA Rates'!$K$5:$K$1004,$T1911)="","",INDEX('AFA Rates'!$K$5:$K$1004,$T1911))))</f>
        <v/>
      </c>
      <c r="N1911" s="50">
        <f>IF($T1911="","",IF($S1911="S",IF(INDEX(Firms!$M$5:$M$1004,$T1911)="","",INDEX(Firms!$M$5:$M$1004,$T1911)),IF(INDEX('AFA Rates'!$L$5:$L$1004,$T1911)="","",INDEX('AFA Rates'!$L$5:$L$1004,$T1911))))</f>
        <v/>
      </c>
      <c r="O1911" s="78">
        <f>IF(OR($T1911="",$U1911=""),"",IF(INDEX(Firms!$C$5:$C$1004,$U1911)="","",INDEX(Firms!$C$5:$C$1004,$U1911)))</f>
        <v/>
      </c>
      <c r="P1911" s="79">
        <f>IF(OR($T1911="",$U1911=""),"",IF(INDEX(Firms!$N$5:$N$1004,$U1911)="","",INDEX(Firms!$N$5:$N$1004,$U1911)))</f>
        <v/>
      </c>
      <c r="Q1911" s="78">
        <f>IF($T1911="","",IF($S1911="S",IF(INDEX(Firms!$T$5:$T$1004,$T1911)="","",INDEX(Firms!$T$5:$T$1004,$T1911)),IF(INDEX('AFA Rates'!$M$5:$M$1004,$T1911)="","",INDEX('AFA Rates'!$M$5:$M$1004,$T1911))))</f>
        <v/>
      </c>
      <c r="S1911">
        <f>IF(1907&lt;=$S$2,"S",IF(1907&lt;=$S$2+$T$2,"A",""))</f>
        <v/>
      </c>
      <c r="T1911">
        <f>IF(S1911="S",MATCH(1907,Firms!$W$5:$W$1004,0),IF(S1911="A",IFERROR(MATCH(1907-$S$2,'AFA Rates'!$R$5:$R$1004,0),""),""))</f>
        <v/>
      </c>
      <c r="U1911">
        <f>IF(S1911="S",T1911,IF(AND(S1911="A",T1911&lt;&gt;""),IFERROR(MATCH(INDEX('AFA Rates'!$A$5:$A$1004,T1911),Firms!$A$5:$A$1004,0),""),""))</f>
        <v/>
      </c>
    </row>
    <row r="1912">
      <c r="A1912" s="78">
        <f>IF($T1912="","",IF($S1912="S",IF(INDEX(Firms!$A$5:$A$1004,$T1912)="","",INDEX(Firms!$A$5:$A$1004,$T1912)),IF(INDEX('AFA Rates'!$A$5:$A$1004,$T1912)="","",INDEX('AFA Rates'!$A$5:$A$1004,$T1912))))</f>
        <v/>
      </c>
      <c r="B1912" s="79">
        <f>IF(OR($T1912="",$U1912=""),IF($T1912="","","Not on Firms tab"),INDEX(Firms!$B$5:$B$1004,$U1912)&amp;"")</f>
        <v/>
      </c>
      <c r="C1912" s="78">
        <f>IF($T1912="","",IF($S1912="S","Standard",INDEX('AFA Rates'!$B$5:$B$1004,$T1912)&amp;""))</f>
        <v/>
      </c>
      <c r="D1912" s="88">
        <f>IF($T1912="","",IF($S1912="S",IF(INDEX(Firms!$E$5:$E$1004,$T1912)="","",INDEX(Firms!$E$5:$E$1004,$T1912)),IF(INDEX('AFA Rates'!$C$5:$C$1004,$T1912)="","",INDEX('AFA Rates'!$C$5:$C$1004,$T1912))))</f>
        <v/>
      </c>
      <c r="E1912" s="88">
        <f>IF($T1912="","",IF($S1912="S",IF(""="","",""),IF(INDEX('AFA Rates'!$D$5:$D$1004,$T1912)="","",INDEX('AFA Rates'!$D$5:$D$1004,$T1912))))</f>
        <v/>
      </c>
      <c r="F1912" s="79">
        <f>IF($T1912="","",IF($S1912="S",IF(INDEX(Firms!$O$5:$O$1004,$T1912)="","",INDEX(Firms!$O$5:$O$1004,$T1912)),IF(INDEX('AFA Rates'!$O$5:$O$1004,$T1912)="","",INDEX('AFA Rates'!$O$5:$O$1004,$T1912))))</f>
        <v/>
      </c>
      <c r="G1912" s="50">
        <f>IF($T1912="","",IF($S1912="S",IF(INDEX(Firms!$F$5:$F$1004,$T1912)="","",INDEX(Firms!$F$5:$F$1004,$T1912)),IF(INDEX('AFA Rates'!$E$5:$E$1004,$T1912)="","",INDEX('AFA Rates'!$E$5:$E$1004,$T1912))))</f>
        <v/>
      </c>
      <c r="H1912" s="50">
        <f>IF($T1912="","",IF($S1912="S",IF(INDEX(Firms!$G$5:$G$1004,$T1912)="","",INDEX(Firms!$G$5:$G$1004,$T1912)),IF(INDEX('AFA Rates'!$F$5:$F$1004,$T1912)="","",INDEX('AFA Rates'!$F$5:$F$1004,$T1912))))</f>
        <v/>
      </c>
      <c r="I1912" s="50">
        <f>IF($T1912="","",IF($S1912="S",IF(INDEX(Firms!$H$5:$H$1004,$T1912)="","",INDEX(Firms!$H$5:$H$1004,$T1912)),IF(INDEX('AFA Rates'!$G$5:$G$1004,$T1912)="","",INDEX('AFA Rates'!$G$5:$G$1004,$T1912))))</f>
        <v/>
      </c>
      <c r="J1912" s="50">
        <f>IF($T1912="","",IF($S1912="S",IF(INDEX(Firms!$I$5:$I$1004,$T1912)="","",INDEX(Firms!$I$5:$I$1004,$T1912)),IF(INDEX('AFA Rates'!$H$5:$H$1004,$T1912)="","",INDEX('AFA Rates'!$H$5:$H$1004,$T1912))))</f>
        <v/>
      </c>
      <c r="K1912" s="50">
        <f>IF($T1912="","",IF($S1912="S",IF(INDEX(Firms!$J$5:$J$1004,$T1912)="","",INDEX(Firms!$J$5:$J$1004,$T1912)),IF(INDEX('AFA Rates'!$I$5:$I$1004,$T1912)="","",INDEX('AFA Rates'!$I$5:$I$1004,$T1912))))</f>
        <v/>
      </c>
      <c r="L1912" s="50">
        <f>IF($T1912="","",IF($S1912="S",IF(INDEX(Firms!$K$5:$K$1004,$T1912)="","",INDEX(Firms!$K$5:$K$1004,$T1912)),IF(INDEX('AFA Rates'!$J$5:$J$1004,$T1912)="","",INDEX('AFA Rates'!$J$5:$J$1004,$T1912))))</f>
        <v/>
      </c>
      <c r="M1912" s="50">
        <f>IF($T1912="","",IF($S1912="S",IF(INDEX(Firms!$L$5:$L$1004,$T1912)="","",INDEX(Firms!$L$5:$L$1004,$T1912)),IF(INDEX('AFA Rates'!$K$5:$K$1004,$T1912)="","",INDEX('AFA Rates'!$K$5:$K$1004,$T1912))))</f>
        <v/>
      </c>
      <c r="N1912" s="50">
        <f>IF($T1912="","",IF($S1912="S",IF(INDEX(Firms!$M$5:$M$1004,$T1912)="","",INDEX(Firms!$M$5:$M$1004,$T1912)),IF(INDEX('AFA Rates'!$L$5:$L$1004,$T1912)="","",INDEX('AFA Rates'!$L$5:$L$1004,$T1912))))</f>
        <v/>
      </c>
      <c r="O1912" s="78">
        <f>IF(OR($T1912="",$U1912=""),"",IF(INDEX(Firms!$C$5:$C$1004,$U1912)="","",INDEX(Firms!$C$5:$C$1004,$U1912)))</f>
        <v/>
      </c>
      <c r="P1912" s="79">
        <f>IF(OR($T1912="",$U1912=""),"",IF(INDEX(Firms!$N$5:$N$1004,$U1912)="","",INDEX(Firms!$N$5:$N$1004,$U1912)))</f>
        <v/>
      </c>
      <c r="Q1912" s="78">
        <f>IF($T1912="","",IF($S1912="S",IF(INDEX(Firms!$T$5:$T$1004,$T1912)="","",INDEX(Firms!$T$5:$T$1004,$T1912)),IF(INDEX('AFA Rates'!$M$5:$M$1004,$T1912)="","",INDEX('AFA Rates'!$M$5:$M$1004,$T1912))))</f>
        <v/>
      </c>
      <c r="S1912">
        <f>IF(1908&lt;=$S$2,"S",IF(1908&lt;=$S$2+$T$2,"A",""))</f>
        <v/>
      </c>
      <c r="T1912">
        <f>IF(S1912="S",MATCH(1908,Firms!$W$5:$W$1004,0),IF(S1912="A",IFERROR(MATCH(1908-$S$2,'AFA Rates'!$R$5:$R$1004,0),""),""))</f>
        <v/>
      </c>
      <c r="U1912">
        <f>IF(S1912="S",T1912,IF(AND(S1912="A",T1912&lt;&gt;""),IFERROR(MATCH(INDEX('AFA Rates'!$A$5:$A$1004,T1912),Firms!$A$5:$A$1004,0),""),""))</f>
        <v/>
      </c>
    </row>
    <row r="1913">
      <c r="A1913" s="78">
        <f>IF($T1913="","",IF($S1913="S",IF(INDEX(Firms!$A$5:$A$1004,$T1913)="","",INDEX(Firms!$A$5:$A$1004,$T1913)),IF(INDEX('AFA Rates'!$A$5:$A$1004,$T1913)="","",INDEX('AFA Rates'!$A$5:$A$1004,$T1913))))</f>
        <v/>
      </c>
      <c r="B1913" s="79">
        <f>IF(OR($T1913="",$U1913=""),IF($T1913="","","Not on Firms tab"),INDEX(Firms!$B$5:$B$1004,$U1913)&amp;"")</f>
        <v/>
      </c>
      <c r="C1913" s="78">
        <f>IF($T1913="","",IF($S1913="S","Standard",INDEX('AFA Rates'!$B$5:$B$1004,$T1913)&amp;""))</f>
        <v/>
      </c>
      <c r="D1913" s="88">
        <f>IF($T1913="","",IF($S1913="S",IF(INDEX(Firms!$E$5:$E$1004,$T1913)="","",INDEX(Firms!$E$5:$E$1004,$T1913)),IF(INDEX('AFA Rates'!$C$5:$C$1004,$T1913)="","",INDEX('AFA Rates'!$C$5:$C$1004,$T1913))))</f>
        <v/>
      </c>
      <c r="E1913" s="88">
        <f>IF($T1913="","",IF($S1913="S",IF(""="","",""),IF(INDEX('AFA Rates'!$D$5:$D$1004,$T1913)="","",INDEX('AFA Rates'!$D$5:$D$1004,$T1913))))</f>
        <v/>
      </c>
      <c r="F1913" s="79">
        <f>IF($T1913="","",IF($S1913="S",IF(INDEX(Firms!$O$5:$O$1004,$T1913)="","",INDEX(Firms!$O$5:$O$1004,$T1913)),IF(INDEX('AFA Rates'!$O$5:$O$1004,$T1913)="","",INDEX('AFA Rates'!$O$5:$O$1004,$T1913))))</f>
        <v/>
      </c>
      <c r="G1913" s="50">
        <f>IF($T1913="","",IF($S1913="S",IF(INDEX(Firms!$F$5:$F$1004,$T1913)="","",INDEX(Firms!$F$5:$F$1004,$T1913)),IF(INDEX('AFA Rates'!$E$5:$E$1004,$T1913)="","",INDEX('AFA Rates'!$E$5:$E$1004,$T1913))))</f>
        <v/>
      </c>
      <c r="H1913" s="50">
        <f>IF($T1913="","",IF($S1913="S",IF(INDEX(Firms!$G$5:$G$1004,$T1913)="","",INDEX(Firms!$G$5:$G$1004,$T1913)),IF(INDEX('AFA Rates'!$F$5:$F$1004,$T1913)="","",INDEX('AFA Rates'!$F$5:$F$1004,$T1913))))</f>
        <v/>
      </c>
      <c r="I1913" s="50">
        <f>IF($T1913="","",IF($S1913="S",IF(INDEX(Firms!$H$5:$H$1004,$T1913)="","",INDEX(Firms!$H$5:$H$1004,$T1913)),IF(INDEX('AFA Rates'!$G$5:$G$1004,$T1913)="","",INDEX('AFA Rates'!$G$5:$G$1004,$T1913))))</f>
        <v/>
      </c>
      <c r="J1913" s="50">
        <f>IF($T1913="","",IF($S1913="S",IF(INDEX(Firms!$I$5:$I$1004,$T1913)="","",INDEX(Firms!$I$5:$I$1004,$T1913)),IF(INDEX('AFA Rates'!$H$5:$H$1004,$T1913)="","",INDEX('AFA Rates'!$H$5:$H$1004,$T1913))))</f>
        <v/>
      </c>
      <c r="K1913" s="50">
        <f>IF($T1913="","",IF($S1913="S",IF(INDEX(Firms!$J$5:$J$1004,$T1913)="","",INDEX(Firms!$J$5:$J$1004,$T1913)),IF(INDEX('AFA Rates'!$I$5:$I$1004,$T1913)="","",INDEX('AFA Rates'!$I$5:$I$1004,$T1913))))</f>
        <v/>
      </c>
      <c r="L1913" s="50">
        <f>IF($T1913="","",IF($S1913="S",IF(INDEX(Firms!$K$5:$K$1004,$T1913)="","",INDEX(Firms!$K$5:$K$1004,$T1913)),IF(INDEX('AFA Rates'!$J$5:$J$1004,$T1913)="","",INDEX('AFA Rates'!$J$5:$J$1004,$T1913))))</f>
        <v/>
      </c>
      <c r="M1913" s="50">
        <f>IF($T1913="","",IF($S1913="S",IF(INDEX(Firms!$L$5:$L$1004,$T1913)="","",INDEX(Firms!$L$5:$L$1004,$T1913)),IF(INDEX('AFA Rates'!$K$5:$K$1004,$T1913)="","",INDEX('AFA Rates'!$K$5:$K$1004,$T1913))))</f>
        <v/>
      </c>
      <c r="N1913" s="50">
        <f>IF($T1913="","",IF($S1913="S",IF(INDEX(Firms!$M$5:$M$1004,$T1913)="","",INDEX(Firms!$M$5:$M$1004,$T1913)),IF(INDEX('AFA Rates'!$L$5:$L$1004,$T1913)="","",INDEX('AFA Rates'!$L$5:$L$1004,$T1913))))</f>
        <v/>
      </c>
      <c r="O1913" s="78">
        <f>IF(OR($T1913="",$U1913=""),"",IF(INDEX(Firms!$C$5:$C$1004,$U1913)="","",INDEX(Firms!$C$5:$C$1004,$U1913)))</f>
        <v/>
      </c>
      <c r="P1913" s="79">
        <f>IF(OR($T1913="",$U1913=""),"",IF(INDEX(Firms!$N$5:$N$1004,$U1913)="","",INDEX(Firms!$N$5:$N$1004,$U1913)))</f>
        <v/>
      </c>
      <c r="Q1913" s="78">
        <f>IF($T1913="","",IF($S1913="S",IF(INDEX(Firms!$T$5:$T$1004,$T1913)="","",INDEX(Firms!$T$5:$T$1004,$T1913)),IF(INDEX('AFA Rates'!$M$5:$M$1004,$T1913)="","",INDEX('AFA Rates'!$M$5:$M$1004,$T1913))))</f>
        <v/>
      </c>
      <c r="S1913">
        <f>IF(1909&lt;=$S$2,"S",IF(1909&lt;=$S$2+$T$2,"A",""))</f>
        <v/>
      </c>
      <c r="T1913">
        <f>IF(S1913="S",MATCH(1909,Firms!$W$5:$W$1004,0),IF(S1913="A",IFERROR(MATCH(1909-$S$2,'AFA Rates'!$R$5:$R$1004,0),""),""))</f>
        <v/>
      </c>
      <c r="U1913">
        <f>IF(S1913="S",T1913,IF(AND(S1913="A",T1913&lt;&gt;""),IFERROR(MATCH(INDEX('AFA Rates'!$A$5:$A$1004,T1913),Firms!$A$5:$A$1004,0),""),""))</f>
        <v/>
      </c>
    </row>
    <row r="1914">
      <c r="A1914" s="78">
        <f>IF($T1914="","",IF($S1914="S",IF(INDEX(Firms!$A$5:$A$1004,$T1914)="","",INDEX(Firms!$A$5:$A$1004,$T1914)),IF(INDEX('AFA Rates'!$A$5:$A$1004,$T1914)="","",INDEX('AFA Rates'!$A$5:$A$1004,$T1914))))</f>
        <v/>
      </c>
      <c r="B1914" s="79">
        <f>IF(OR($T1914="",$U1914=""),IF($T1914="","","Not on Firms tab"),INDEX(Firms!$B$5:$B$1004,$U1914)&amp;"")</f>
        <v/>
      </c>
      <c r="C1914" s="78">
        <f>IF($T1914="","",IF($S1914="S","Standard",INDEX('AFA Rates'!$B$5:$B$1004,$T1914)&amp;""))</f>
        <v/>
      </c>
      <c r="D1914" s="88">
        <f>IF($T1914="","",IF($S1914="S",IF(INDEX(Firms!$E$5:$E$1004,$T1914)="","",INDEX(Firms!$E$5:$E$1004,$T1914)),IF(INDEX('AFA Rates'!$C$5:$C$1004,$T1914)="","",INDEX('AFA Rates'!$C$5:$C$1004,$T1914))))</f>
        <v/>
      </c>
      <c r="E1914" s="88">
        <f>IF($T1914="","",IF($S1914="S",IF(""="","",""),IF(INDEX('AFA Rates'!$D$5:$D$1004,$T1914)="","",INDEX('AFA Rates'!$D$5:$D$1004,$T1914))))</f>
        <v/>
      </c>
      <c r="F1914" s="79">
        <f>IF($T1914="","",IF($S1914="S",IF(INDEX(Firms!$O$5:$O$1004,$T1914)="","",INDEX(Firms!$O$5:$O$1004,$T1914)),IF(INDEX('AFA Rates'!$O$5:$O$1004,$T1914)="","",INDEX('AFA Rates'!$O$5:$O$1004,$T1914))))</f>
        <v/>
      </c>
      <c r="G1914" s="50">
        <f>IF($T1914="","",IF($S1914="S",IF(INDEX(Firms!$F$5:$F$1004,$T1914)="","",INDEX(Firms!$F$5:$F$1004,$T1914)),IF(INDEX('AFA Rates'!$E$5:$E$1004,$T1914)="","",INDEX('AFA Rates'!$E$5:$E$1004,$T1914))))</f>
        <v/>
      </c>
      <c r="H1914" s="50">
        <f>IF($T1914="","",IF($S1914="S",IF(INDEX(Firms!$G$5:$G$1004,$T1914)="","",INDEX(Firms!$G$5:$G$1004,$T1914)),IF(INDEX('AFA Rates'!$F$5:$F$1004,$T1914)="","",INDEX('AFA Rates'!$F$5:$F$1004,$T1914))))</f>
        <v/>
      </c>
      <c r="I1914" s="50">
        <f>IF($T1914="","",IF($S1914="S",IF(INDEX(Firms!$H$5:$H$1004,$T1914)="","",INDEX(Firms!$H$5:$H$1004,$T1914)),IF(INDEX('AFA Rates'!$G$5:$G$1004,$T1914)="","",INDEX('AFA Rates'!$G$5:$G$1004,$T1914))))</f>
        <v/>
      </c>
      <c r="J1914" s="50">
        <f>IF($T1914="","",IF($S1914="S",IF(INDEX(Firms!$I$5:$I$1004,$T1914)="","",INDEX(Firms!$I$5:$I$1004,$T1914)),IF(INDEX('AFA Rates'!$H$5:$H$1004,$T1914)="","",INDEX('AFA Rates'!$H$5:$H$1004,$T1914))))</f>
        <v/>
      </c>
      <c r="K1914" s="50">
        <f>IF($T1914="","",IF($S1914="S",IF(INDEX(Firms!$J$5:$J$1004,$T1914)="","",INDEX(Firms!$J$5:$J$1004,$T1914)),IF(INDEX('AFA Rates'!$I$5:$I$1004,$T1914)="","",INDEX('AFA Rates'!$I$5:$I$1004,$T1914))))</f>
        <v/>
      </c>
      <c r="L1914" s="50">
        <f>IF($T1914="","",IF($S1914="S",IF(INDEX(Firms!$K$5:$K$1004,$T1914)="","",INDEX(Firms!$K$5:$K$1004,$T1914)),IF(INDEX('AFA Rates'!$J$5:$J$1004,$T1914)="","",INDEX('AFA Rates'!$J$5:$J$1004,$T1914))))</f>
        <v/>
      </c>
      <c r="M1914" s="50">
        <f>IF($T1914="","",IF($S1914="S",IF(INDEX(Firms!$L$5:$L$1004,$T1914)="","",INDEX(Firms!$L$5:$L$1004,$T1914)),IF(INDEX('AFA Rates'!$K$5:$K$1004,$T1914)="","",INDEX('AFA Rates'!$K$5:$K$1004,$T1914))))</f>
        <v/>
      </c>
      <c r="N1914" s="50">
        <f>IF($T1914="","",IF($S1914="S",IF(INDEX(Firms!$M$5:$M$1004,$T1914)="","",INDEX(Firms!$M$5:$M$1004,$T1914)),IF(INDEX('AFA Rates'!$L$5:$L$1004,$T1914)="","",INDEX('AFA Rates'!$L$5:$L$1004,$T1914))))</f>
        <v/>
      </c>
      <c r="O1914" s="78">
        <f>IF(OR($T1914="",$U1914=""),"",IF(INDEX(Firms!$C$5:$C$1004,$U1914)="","",INDEX(Firms!$C$5:$C$1004,$U1914)))</f>
        <v/>
      </c>
      <c r="P1914" s="79">
        <f>IF(OR($T1914="",$U1914=""),"",IF(INDEX(Firms!$N$5:$N$1004,$U1914)="","",INDEX(Firms!$N$5:$N$1004,$U1914)))</f>
        <v/>
      </c>
      <c r="Q1914" s="78">
        <f>IF($T1914="","",IF($S1914="S",IF(INDEX(Firms!$T$5:$T$1004,$T1914)="","",INDEX(Firms!$T$5:$T$1004,$T1914)),IF(INDEX('AFA Rates'!$M$5:$M$1004,$T1914)="","",INDEX('AFA Rates'!$M$5:$M$1004,$T1914))))</f>
        <v/>
      </c>
      <c r="S1914">
        <f>IF(1910&lt;=$S$2,"S",IF(1910&lt;=$S$2+$T$2,"A",""))</f>
        <v/>
      </c>
      <c r="T1914">
        <f>IF(S1914="S",MATCH(1910,Firms!$W$5:$W$1004,0),IF(S1914="A",IFERROR(MATCH(1910-$S$2,'AFA Rates'!$R$5:$R$1004,0),""),""))</f>
        <v/>
      </c>
      <c r="U1914">
        <f>IF(S1914="S",T1914,IF(AND(S1914="A",T1914&lt;&gt;""),IFERROR(MATCH(INDEX('AFA Rates'!$A$5:$A$1004,T1914),Firms!$A$5:$A$1004,0),""),""))</f>
        <v/>
      </c>
    </row>
    <row r="1915">
      <c r="A1915" s="78">
        <f>IF($T1915="","",IF($S1915="S",IF(INDEX(Firms!$A$5:$A$1004,$T1915)="","",INDEX(Firms!$A$5:$A$1004,$T1915)),IF(INDEX('AFA Rates'!$A$5:$A$1004,$T1915)="","",INDEX('AFA Rates'!$A$5:$A$1004,$T1915))))</f>
        <v/>
      </c>
      <c r="B1915" s="79">
        <f>IF(OR($T1915="",$U1915=""),IF($T1915="","","Not on Firms tab"),INDEX(Firms!$B$5:$B$1004,$U1915)&amp;"")</f>
        <v/>
      </c>
      <c r="C1915" s="78">
        <f>IF($T1915="","",IF($S1915="S","Standard",INDEX('AFA Rates'!$B$5:$B$1004,$T1915)&amp;""))</f>
        <v/>
      </c>
      <c r="D1915" s="88">
        <f>IF($T1915="","",IF($S1915="S",IF(INDEX(Firms!$E$5:$E$1004,$T1915)="","",INDEX(Firms!$E$5:$E$1004,$T1915)),IF(INDEX('AFA Rates'!$C$5:$C$1004,$T1915)="","",INDEX('AFA Rates'!$C$5:$C$1004,$T1915))))</f>
        <v/>
      </c>
      <c r="E1915" s="88">
        <f>IF($T1915="","",IF($S1915="S",IF(""="","",""),IF(INDEX('AFA Rates'!$D$5:$D$1004,$T1915)="","",INDEX('AFA Rates'!$D$5:$D$1004,$T1915))))</f>
        <v/>
      </c>
      <c r="F1915" s="79">
        <f>IF($T1915="","",IF($S1915="S",IF(INDEX(Firms!$O$5:$O$1004,$T1915)="","",INDEX(Firms!$O$5:$O$1004,$T1915)),IF(INDEX('AFA Rates'!$O$5:$O$1004,$T1915)="","",INDEX('AFA Rates'!$O$5:$O$1004,$T1915))))</f>
        <v/>
      </c>
      <c r="G1915" s="50">
        <f>IF($T1915="","",IF($S1915="S",IF(INDEX(Firms!$F$5:$F$1004,$T1915)="","",INDEX(Firms!$F$5:$F$1004,$T1915)),IF(INDEX('AFA Rates'!$E$5:$E$1004,$T1915)="","",INDEX('AFA Rates'!$E$5:$E$1004,$T1915))))</f>
        <v/>
      </c>
      <c r="H1915" s="50">
        <f>IF($T1915="","",IF($S1915="S",IF(INDEX(Firms!$G$5:$G$1004,$T1915)="","",INDEX(Firms!$G$5:$G$1004,$T1915)),IF(INDEX('AFA Rates'!$F$5:$F$1004,$T1915)="","",INDEX('AFA Rates'!$F$5:$F$1004,$T1915))))</f>
        <v/>
      </c>
      <c r="I1915" s="50">
        <f>IF($T1915="","",IF($S1915="S",IF(INDEX(Firms!$H$5:$H$1004,$T1915)="","",INDEX(Firms!$H$5:$H$1004,$T1915)),IF(INDEX('AFA Rates'!$G$5:$G$1004,$T1915)="","",INDEX('AFA Rates'!$G$5:$G$1004,$T1915))))</f>
        <v/>
      </c>
      <c r="J1915" s="50">
        <f>IF($T1915="","",IF($S1915="S",IF(INDEX(Firms!$I$5:$I$1004,$T1915)="","",INDEX(Firms!$I$5:$I$1004,$T1915)),IF(INDEX('AFA Rates'!$H$5:$H$1004,$T1915)="","",INDEX('AFA Rates'!$H$5:$H$1004,$T1915))))</f>
        <v/>
      </c>
      <c r="K1915" s="50">
        <f>IF($T1915="","",IF($S1915="S",IF(INDEX(Firms!$J$5:$J$1004,$T1915)="","",INDEX(Firms!$J$5:$J$1004,$T1915)),IF(INDEX('AFA Rates'!$I$5:$I$1004,$T1915)="","",INDEX('AFA Rates'!$I$5:$I$1004,$T1915))))</f>
        <v/>
      </c>
      <c r="L1915" s="50">
        <f>IF($T1915="","",IF($S1915="S",IF(INDEX(Firms!$K$5:$K$1004,$T1915)="","",INDEX(Firms!$K$5:$K$1004,$T1915)),IF(INDEX('AFA Rates'!$J$5:$J$1004,$T1915)="","",INDEX('AFA Rates'!$J$5:$J$1004,$T1915))))</f>
        <v/>
      </c>
      <c r="M1915" s="50">
        <f>IF($T1915="","",IF($S1915="S",IF(INDEX(Firms!$L$5:$L$1004,$T1915)="","",INDEX(Firms!$L$5:$L$1004,$T1915)),IF(INDEX('AFA Rates'!$K$5:$K$1004,$T1915)="","",INDEX('AFA Rates'!$K$5:$K$1004,$T1915))))</f>
        <v/>
      </c>
      <c r="N1915" s="50">
        <f>IF($T1915="","",IF($S1915="S",IF(INDEX(Firms!$M$5:$M$1004,$T1915)="","",INDEX(Firms!$M$5:$M$1004,$T1915)),IF(INDEX('AFA Rates'!$L$5:$L$1004,$T1915)="","",INDEX('AFA Rates'!$L$5:$L$1004,$T1915))))</f>
        <v/>
      </c>
      <c r="O1915" s="78">
        <f>IF(OR($T1915="",$U1915=""),"",IF(INDEX(Firms!$C$5:$C$1004,$U1915)="","",INDEX(Firms!$C$5:$C$1004,$U1915)))</f>
        <v/>
      </c>
      <c r="P1915" s="79">
        <f>IF(OR($T1915="",$U1915=""),"",IF(INDEX(Firms!$N$5:$N$1004,$U1915)="","",INDEX(Firms!$N$5:$N$1004,$U1915)))</f>
        <v/>
      </c>
      <c r="Q1915" s="78">
        <f>IF($T1915="","",IF($S1915="S",IF(INDEX(Firms!$T$5:$T$1004,$T1915)="","",INDEX(Firms!$T$5:$T$1004,$T1915)),IF(INDEX('AFA Rates'!$M$5:$M$1004,$T1915)="","",INDEX('AFA Rates'!$M$5:$M$1004,$T1915))))</f>
        <v/>
      </c>
      <c r="S1915">
        <f>IF(1911&lt;=$S$2,"S",IF(1911&lt;=$S$2+$T$2,"A",""))</f>
        <v/>
      </c>
      <c r="T1915">
        <f>IF(S1915="S",MATCH(1911,Firms!$W$5:$W$1004,0),IF(S1915="A",IFERROR(MATCH(1911-$S$2,'AFA Rates'!$R$5:$R$1004,0),""),""))</f>
        <v/>
      </c>
      <c r="U1915">
        <f>IF(S1915="S",T1915,IF(AND(S1915="A",T1915&lt;&gt;""),IFERROR(MATCH(INDEX('AFA Rates'!$A$5:$A$1004,T1915),Firms!$A$5:$A$1004,0),""),""))</f>
        <v/>
      </c>
    </row>
    <row r="1916">
      <c r="A1916" s="78">
        <f>IF($T1916="","",IF($S1916="S",IF(INDEX(Firms!$A$5:$A$1004,$T1916)="","",INDEX(Firms!$A$5:$A$1004,$T1916)),IF(INDEX('AFA Rates'!$A$5:$A$1004,$T1916)="","",INDEX('AFA Rates'!$A$5:$A$1004,$T1916))))</f>
        <v/>
      </c>
      <c r="B1916" s="79">
        <f>IF(OR($T1916="",$U1916=""),IF($T1916="","","Not on Firms tab"),INDEX(Firms!$B$5:$B$1004,$U1916)&amp;"")</f>
        <v/>
      </c>
      <c r="C1916" s="78">
        <f>IF($T1916="","",IF($S1916="S","Standard",INDEX('AFA Rates'!$B$5:$B$1004,$T1916)&amp;""))</f>
        <v/>
      </c>
      <c r="D1916" s="88">
        <f>IF($T1916="","",IF($S1916="S",IF(INDEX(Firms!$E$5:$E$1004,$T1916)="","",INDEX(Firms!$E$5:$E$1004,$T1916)),IF(INDEX('AFA Rates'!$C$5:$C$1004,$T1916)="","",INDEX('AFA Rates'!$C$5:$C$1004,$T1916))))</f>
        <v/>
      </c>
      <c r="E1916" s="88">
        <f>IF($T1916="","",IF($S1916="S",IF(""="","",""),IF(INDEX('AFA Rates'!$D$5:$D$1004,$T1916)="","",INDEX('AFA Rates'!$D$5:$D$1004,$T1916))))</f>
        <v/>
      </c>
      <c r="F1916" s="79">
        <f>IF($T1916="","",IF($S1916="S",IF(INDEX(Firms!$O$5:$O$1004,$T1916)="","",INDEX(Firms!$O$5:$O$1004,$T1916)),IF(INDEX('AFA Rates'!$O$5:$O$1004,$T1916)="","",INDEX('AFA Rates'!$O$5:$O$1004,$T1916))))</f>
        <v/>
      </c>
      <c r="G1916" s="50">
        <f>IF($T1916="","",IF($S1916="S",IF(INDEX(Firms!$F$5:$F$1004,$T1916)="","",INDEX(Firms!$F$5:$F$1004,$T1916)),IF(INDEX('AFA Rates'!$E$5:$E$1004,$T1916)="","",INDEX('AFA Rates'!$E$5:$E$1004,$T1916))))</f>
        <v/>
      </c>
      <c r="H1916" s="50">
        <f>IF($T1916="","",IF($S1916="S",IF(INDEX(Firms!$G$5:$G$1004,$T1916)="","",INDEX(Firms!$G$5:$G$1004,$T1916)),IF(INDEX('AFA Rates'!$F$5:$F$1004,$T1916)="","",INDEX('AFA Rates'!$F$5:$F$1004,$T1916))))</f>
        <v/>
      </c>
      <c r="I1916" s="50">
        <f>IF($T1916="","",IF($S1916="S",IF(INDEX(Firms!$H$5:$H$1004,$T1916)="","",INDEX(Firms!$H$5:$H$1004,$T1916)),IF(INDEX('AFA Rates'!$G$5:$G$1004,$T1916)="","",INDEX('AFA Rates'!$G$5:$G$1004,$T1916))))</f>
        <v/>
      </c>
      <c r="J1916" s="50">
        <f>IF($T1916="","",IF($S1916="S",IF(INDEX(Firms!$I$5:$I$1004,$T1916)="","",INDEX(Firms!$I$5:$I$1004,$T1916)),IF(INDEX('AFA Rates'!$H$5:$H$1004,$T1916)="","",INDEX('AFA Rates'!$H$5:$H$1004,$T1916))))</f>
        <v/>
      </c>
      <c r="K1916" s="50">
        <f>IF($T1916="","",IF($S1916="S",IF(INDEX(Firms!$J$5:$J$1004,$T1916)="","",INDEX(Firms!$J$5:$J$1004,$T1916)),IF(INDEX('AFA Rates'!$I$5:$I$1004,$T1916)="","",INDEX('AFA Rates'!$I$5:$I$1004,$T1916))))</f>
        <v/>
      </c>
      <c r="L1916" s="50">
        <f>IF($T1916="","",IF($S1916="S",IF(INDEX(Firms!$K$5:$K$1004,$T1916)="","",INDEX(Firms!$K$5:$K$1004,$T1916)),IF(INDEX('AFA Rates'!$J$5:$J$1004,$T1916)="","",INDEX('AFA Rates'!$J$5:$J$1004,$T1916))))</f>
        <v/>
      </c>
      <c r="M1916" s="50">
        <f>IF($T1916="","",IF($S1916="S",IF(INDEX(Firms!$L$5:$L$1004,$T1916)="","",INDEX(Firms!$L$5:$L$1004,$T1916)),IF(INDEX('AFA Rates'!$K$5:$K$1004,$T1916)="","",INDEX('AFA Rates'!$K$5:$K$1004,$T1916))))</f>
        <v/>
      </c>
      <c r="N1916" s="50">
        <f>IF($T1916="","",IF($S1916="S",IF(INDEX(Firms!$M$5:$M$1004,$T1916)="","",INDEX(Firms!$M$5:$M$1004,$T1916)),IF(INDEX('AFA Rates'!$L$5:$L$1004,$T1916)="","",INDEX('AFA Rates'!$L$5:$L$1004,$T1916))))</f>
        <v/>
      </c>
      <c r="O1916" s="78">
        <f>IF(OR($T1916="",$U1916=""),"",IF(INDEX(Firms!$C$5:$C$1004,$U1916)="","",INDEX(Firms!$C$5:$C$1004,$U1916)))</f>
        <v/>
      </c>
      <c r="P1916" s="79">
        <f>IF(OR($T1916="",$U1916=""),"",IF(INDEX(Firms!$N$5:$N$1004,$U1916)="","",INDEX(Firms!$N$5:$N$1004,$U1916)))</f>
        <v/>
      </c>
      <c r="Q1916" s="78">
        <f>IF($T1916="","",IF($S1916="S",IF(INDEX(Firms!$T$5:$T$1004,$T1916)="","",INDEX(Firms!$T$5:$T$1004,$T1916)),IF(INDEX('AFA Rates'!$M$5:$M$1004,$T1916)="","",INDEX('AFA Rates'!$M$5:$M$1004,$T1916))))</f>
        <v/>
      </c>
      <c r="S1916">
        <f>IF(1912&lt;=$S$2,"S",IF(1912&lt;=$S$2+$T$2,"A",""))</f>
        <v/>
      </c>
      <c r="T1916">
        <f>IF(S1916="S",MATCH(1912,Firms!$W$5:$W$1004,0),IF(S1916="A",IFERROR(MATCH(1912-$S$2,'AFA Rates'!$R$5:$R$1004,0),""),""))</f>
        <v/>
      </c>
      <c r="U1916">
        <f>IF(S1916="S",T1916,IF(AND(S1916="A",T1916&lt;&gt;""),IFERROR(MATCH(INDEX('AFA Rates'!$A$5:$A$1004,T1916),Firms!$A$5:$A$1004,0),""),""))</f>
        <v/>
      </c>
    </row>
    <row r="1917">
      <c r="A1917" s="78">
        <f>IF($T1917="","",IF($S1917="S",IF(INDEX(Firms!$A$5:$A$1004,$T1917)="","",INDEX(Firms!$A$5:$A$1004,$T1917)),IF(INDEX('AFA Rates'!$A$5:$A$1004,$T1917)="","",INDEX('AFA Rates'!$A$5:$A$1004,$T1917))))</f>
        <v/>
      </c>
      <c r="B1917" s="79">
        <f>IF(OR($T1917="",$U1917=""),IF($T1917="","","Not on Firms tab"),INDEX(Firms!$B$5:$B$1004,$U1917)&amp;"")</f>
        <v/>
      </c>
      <c r="C1917" s="78">
        <f>IF($T1917="","",IF($S1917="S","Standard",INDEX('AFA Rates'!$B$5:$B$1004,$T1917)&amp;""))</f>
        <v/>
      </c>
      <c r="D1917" s="88">
        <f>IF($T1917="","",IF($S1917="S",IF(INDEX(Firms!$E$5:$E$1004,$T1917)="","",INDEX(Firms!$E$5:$E$1004,$T1917)),IF(INDEX('AFA Rates'!$C$5:$C$1004,$T1917)="","",INDEX('AFA Rates'!$C$5:$C$1004,$T1917))))</f>
        <v/>
      </c>
      <c r="E1917" s="88">
        <f>IF($T1917="","",IF($S1917="S",IF(""="","",""),IF(INDEX('AFA Rates'!$D$5:$D$1004,$T1917)="","",INDEX('AFA Rates'!$D$5:$D$1004,$T1917))))</f>
        <v/>
      </c>
      <c r="F1917" s="79">
        <f>IF($T1917="","",IF($S1917="S",IF(INDEX(Firms!$O$5:$O$1004,$T1917)="","",INDEX(Firms!$O$5:$O$1004,$T1917)),IF(INDEX('AFA Rates'!$O$5:$O$1004,$T1917)="","",INDEX('AFA Rates'!$O$5:$O$1004,$T1917))))</f>
        <v/>
      </c>
      <c r="G1917" s="50">
        <f>IF($T1917="","",IF($S1917="S",IF(INDEX(Firms!$F$5:$F$1004,$T1917)="","",INDEX(Firms!$F$5:$F$1004,$T1917)),IF(INDEX('AFA Rates'!$E$5:$E$1004,$T1917)="","",INDEX('AFA Rates'!$E$5:$E$1004,$T1917))))</f>
        <v/>
      </c>
      <c r="H1917" s="50">
        <f>IF($T1917="","",IF($S1917="S",IF(INDEX(Firms!$G$5:$G$1004,$T1917)="","",INDEX(Firms!$G$5:$G$1004,$T1917)),IF(INDEX('AFA Rates'!$F$5:$F$1004,$T1917)="","",INDEX('AFA Rates'!$F$5:$F$1004,$T1917))))</f>
        <v/>
      </c>
      <c r="I1917" s="50">
        <f>IF($T1917="","",IF($S1917="S",IF(INDEX(Firms!$H$5:$H$1004,$T1917)="","",INDEX(Firms!$H$5:$H$1004,$T1917)),IF(INDEX('AFA Rates'!$G$5:$G$1004,$T1917)="","",INDEX('AFA Rates'!$G$5:$G$1004,$T1917))))</f>
        <v/>
      </c>
      <c r="J1917" s="50">
        <f>IF($T1917="","",IF($S1917="S",IF(INDEX(Firms!$I$5:$I$1004,$T1917)="","",INDEX(Firms!$I$5:$I$1004,$T1917)),IF(INDEX('AFA Rates'!$H$5:$H$1004,$T1917)="","",INDEX('AFA Rates'!$H$5:$H$1004,$T1917))))</f>
        <v/>
      </c>
      <c r="K1917" s="50">
        <f>IF($T1917="","",IF($S1917="S",IF(INDEX(Firms!$J$5:$J$1004,$T1917)="","",INDEX(Firms!$J$5:$J$1004,$T1917)),IF(INDEX('AFA Rates'!$I$5:$I$1004,$T1917)="","",INDEX('AFA Rates'!$I$5:$I$1004,$T1917))))</f>
        <v/>
      </c>
      <c r="L1917" s="50">
        <f>IF($T1917="","",IF($S1917="S",IF(INDEX(Firms!$K$5:$K$1004,$T1917)="","",INDEX(Firms!$K$5:$K$1004,$T1917)),IF(INDEX('AFA Rates'!$J$5:$J$1004,$T1917)="","",INDEX('AFA Rates'!$J$5:$J$1004,$T1917))))</f>
        <v/>
      </c>
      <c r="M1917" s="50">
        <f>IF($T1917="","",IF($S1917="S",IF(INDEX(Firms!$L$5:$L$1004,$T1917)="","",INDEX(Firms!$L$5:$L$1004,$T1917)),IF(INDEX('AFA Rates'!$K$5:$K$1004,$T1917)="","",INDEX('AFA Rates'!$K$5:$K$1004,$T1917))))</f>
        <v/>
      </c>
      <c r="N1917" s="50">
        <f>IF($T1917="","",IF($S1917="S",IF(INDEX(Firms!$M$5:$M$1004,$T1917)="","",INDEX(Firms!$M$5:$M$1004,$T1917)),IF(INDEX('AFA Rates'!$L$5:$L$1004,$T1917)="","",INDEX('AFA Rates'!$L$5:$L$1004,$T1917))))</f>
        <v/>
      </c>
      <c r="O1917" s="78">
        <f>IF(OR($T1917="",$U1917=""),"",IF(INDEX(Firms!$C$5:$C$1004,$U1917)="","",INDEX(Firms!$C$5:$C$1004,$U1917)))</f>
        <v/>
      </c>
      <c r="P1917" s="79">
        <f>IF(OR($T1917="",$U1917=""),"",IF(INDEX(Firms!$N$5:$N$1004,$U1917)="","",INDEX(Firms!$N$5:$N$1004,$U1917)))</f>
        <v/>
      </c>
      <c r="Q1917" s="78">
        <f>IF($T1917="","",IF($S1917="S",IF(INDEX(Firms!$T$5:$T$1004,$T1917)="","",INDEX(Firms!$T$5:$T$1004,$T1917)),IF(INDEX('AFA Rates'!$M$5:$M$1004,$T1917)="","",INDEX('AFA Rates'!$M$5:$M$1004,$T1917))))</f>
        <v/>
      </c>
      <c r="S1917">
        <f>IF(1913&lt;=$S$2,"S",IF(1913&lt;=$S$2+$T$2,"A",""))</f>
        <v/>
      </c>
      <c r="T1917">
        <f>IF(S1917="S",MATCH(1913,Firms!$W$5:$W$1004,0),IF(S1917="A",IFERROR(MATCH(1913-$S$2,'AFA Rates'!$R$5:$R$1004,0),""),""))</f>
        <v/>
      </c>
      <c r="U1917">
        <f>IF(S1917="S",T1917,IF(AND(S1917="A",T1917&lt;&gt;""),IFERROR(MATCH(INDEX('AFA Rates'!$A$5:$A$1004,T1917),Firms!$A$5:$A$1004,0),""),""))</f>
        <v/>
      </c>
    </row>
    <row r="1918">
      <c r="A1918" s="78">
        <f>IF($T1918="","",IF($S1918="S",IF(INDEX(Firms!$A$5:$A$1004,$T1918)="","",INDEX(Firms!$A$5:$A$1004,$T1918)),IF(INDEX('AFA Rates'!$A$5:$A$1004,$T1918)="","",INDEX('AFA Rates'!$A$5:$A$1004,$T1918))))</f>
        <v/>
      </c>
      <c r="B1918" s="79">
        <f>IF(OR($T1918="",$U1918=""),IF($T1918="","","Not on Firms tab"),INDEX(Firms!$B$5:$B$1004,$U1918)&amp;"")</f>
        <v/>
      </c>
      <c r="C1918" s="78">
        <f>IF($T1918="","",IF($S1918="S","Standard",INDEX('AFA Rates'!$B$5:$B$1004,$T1918)&amp;""))</f>
        <v/>
      </c>
      <c r="D1918" s="88">
        <f>IF($T1918="","",IF($S1918="S",IF(INDEX(Firms!$E$5:$E$1004,$T1918)="","",INDEX(Firms!$E$5:$E$1004,$T1918)),IF(INDEX('AFA Rates'!$C$5:$C$1004,$T1918)="","",INDEX('AFA Rates'!$C$5:$C$1004,$T1918))))</f>
        <v/>
      </c>
      <c r="E1918" s="88">
        <f>IF($T1918="","",IF($S1918="S",IF(""="","",""),IF(INDEX('AFA Rates'!$D$5:$D$1004,$T1918)="","",INDEX('AFA Rates'!$D$5:$D$1004,$T1918))))</f>
        <v/>
      </c>
      <c r="F1918" s="79">
        <f>IF($T1918="","",IF($S1918="S",IF(INDEX(Firms!$O$5:$O$1004,$T1918)="","",INDEX(Firms!$O$5:$O$1004,$T1918)),IF(INDEX('AFA Rates'!$O$5:$O$1004,$T1918)="","",INDEX('AFA Rates'!$O$5:$O$1004,$T1918))))</f>
        <v/>
      </c>
      <c r="G1918" s="50">
        <f>IF($T1918="","",IF($S1918="S",IF(INDEX(Firms!$F$5:$F$1004,$T1918)="","",INDEX(Firms!$F$5:$F$1004,$T1918)),IF(INDEX('AFA Rates'!$E$5:$E$1004,$T1918)="","",INDEX('AFA Rates'!$E$5:$E$1004,$T1918))))</f>
        <v/>
      </c>
      <c r="H1918" s="50">
        <f>IF($T1918="","",IF($S1918="S",IF(INDEX(Firms!$G$5:$G$1004,$T1918)="","",INDEX(Firms!$G$5:$G$1004,$T1918)),IF(INDEX('AFA Rates'!$F$5:$F$1004,$T1918)="","",INDEX('AFA Rates'!$F$5:$F$1004,$T1918))))</f>
        <v/>
      </c>
      <c r="I1918" s="50">
        <f>IF($T1918="","",IF($S1918="S",IF(INDEX(Firms!$H$5:$H$1004,$T1918)="","",INDEX(Firms!$H$5:$H$1004,$T1918)),IF(INDEX('AFA Rates'!$G$5:$G$1004,$T1918)="","",INDEX('AFA Rates'!$G$5:$G$1004,$T1918))))</f>
        <v/>
      </c>
      <c r="J1918" s="50">
        <f>IF($T1918="","",IF($S1918="S",IF(INDEX(Firms!$I$5:$I$1004,$T1918)="","",INDEX(Firms!$I$5:$I$1004,$T1918)),IF(INDEX('AFA Rates'!$H$5:$H$1004,$T1918)="","",INDEX('AFA Rates'!$H$5:$H$1004,$T1918))))</f>
        <v/>
      </c>
      <c r="K1918" s="50">
        <f>IF($T1918="","",IF($S1918="S",IF(INDEX(Firms!$J$5:$J$1004,$T1918)="","",INDEX(Firms!$J$5:$J$1004,$T1918)),IF(INDEX('AFA Rates'!$I$5:$I$1004,$T1918)="","",INDEX('AFA Rates'!$I$5:$I$1004,$T1918))))</f>
        <v/>
      </c>
      <c r="L1918" s="50">
        <f>IF($T1918="","",IF($S1918="S",IF(INDEX(Firms!$K$5:$K$1004,$T1918)="","",INDEX(Firms!$K$5:$K$1004,$T1918)),IF(INDEX('AFA Rates'!$J$5:$J$1004,$T1918)="","",INDEX('AFA Rates'!$J$5:$J$1004,$T1918))))</f>
        <v/>
      </c>
      <c r="M1918" s="50">
        <f>IF($T1918="","",IF($S1918="S",IF(INDEX(Firms!$L$5:$L$1004,$T1918)="","",INDEX(Firms!$L$5:$L$1004,$T1918)),IF(INDEX('AFA Rates'!$K$5:$K$1004,$T1918)="","",INDEX('AFA Rates'!$K$5:$K$1004,$T1918))))</f>
        <v/>
      </c>
      <c r="N1918" s="50">
        <f>IF($T1918="","",IF($S1918="S",IF(INDEX(Firms!$M$5:$M$1004,$T1918)="","",INDEX(Firms!$M$5:$M$1004,$T1918)),IF(INDEX('AFA Rates'!$L$5:$L$1004,$T1918)="","",INDEX('AFA Rates'!$L$5:$L$1004,$T1918))))</f>
        <v/>
      </c>
      <c r="O1918" s="78">
        <f>IF(OR($T1918="",$U1918=""),"",IF(INDEX(Firms!$C$5:$C$1004,$U1918)="","",INDEX(Firms!$C$5:$C$1004,$U1918)))</f>
        <v/>
      </c>
      <c r="P1918" s="79">
        <f>IF(OR($T1918="",$U1918=""),"",IF(INDEX(Firms!$N$5:$N$1004,$U1918)="","",INDEX(Firms!$N$5:$N$1004,$U1918)))</f>
        <v/>
      </c>
      <c r="Q1918" s="78">
        <f>IF($T1918="","",IF($S1918="S",IF(INDEX(Firms!$T$5:$T$1004,$T1918)="","",INDEX(Firms!$T$5:$T$1004,$T1918)),IF(INDEX('AFA Rates'!$M$5:$M$1004,$T1918)="","",INDEX('AFA Rates'!$M$5:$M$1004,$T1918))))</f>
        <v/>
      </c>
      <c r="S1918">
        <f>IF(1914&lt;=$S$2,"S",IF(1914&lt;=$S$2+$T$2,"A",""))</f>
        <v/>
      </c>
      <c r="T1918">
        <f>IF(S1918="S",MATCH(1914,Firms!$W$5:$W$1004,0),IF(S1918="A",IFERROR(MATCH(1914-$S$2,'AFA Rates'!$R$5:$R$1004,0),""),""))</f>
        <v/>
      </c>
      <c r="U1918">
        <f>IF(S1918="S",T1918,IF(AND(S1918="A",T1918&lt;&gt;""),IFERROR(MATCH(INDEX('AFA Rates'!$A$5:$A$1004,T1918),Firms!$A$5:$A$1004,0),""),""))</f>
        <v/>
      </c>
    </row>
    <row r="1919">
      <c r="A1919" s="78">
        <f>IF($T1919="","",IF($S1919="S",IF(INDEX(Firms!$A$5:$A$1004,$T1919)="","",INDEX(Firms!$A$5:$A$1004,$T1919)),IF(INDEX('AFA Rates'!$A$5:$A$1004,$T1919)="","",INDEX('AFA Rates'!$A$5:$A$1004,$T1919))))</f>
        <v/>
      </c>
      <c r="B1919" s="79">
        <f>IF(OR($T1919="",$U1919=""),IF($T1919="","","Not on Firms tab"),INDEX(Firms!$B$5:$B$1004,$U1919)&amp;"")</f>
        <v/>
      </c>
      <c r="C1919" s="78">
        <f>IF($T1919="","",IF($S1919="S","Standard",INDEX('AFA Rates'!$B$5:$B$1004,$T1919)&amp;""))</f>
        <v/>
      </c>
      <c r="D1919" s="88">
        <f>IF($T1919="","",IF($S1919="S",IF(INDEX(Firms!$E$5:$E$1004,$T1919)="","",INDEX(Firms!$E$5:$E$1004,$T1919)),IF(INDEX('AFA Rates'!$C$5:$C$1004,$T1919)="","",INDEX('AFA Rates'!$C$5:$C$1004,$T1919))))</f>
        <v/>
      </c>
      <c r="E1919" s="88">
        <f>IF($T1919="","",IF($S1919="S",IF(""="","",""),IF(INDEX('AFA Rates'!$D$5:$D$1004,$T1919)="","",INDEX('AFA Rates'!$D$5:$D$1004,$T1919))))</f>
        <v/>
      </c>
      <c r="F1919" s="79">
        <f>IF($T1919="","",IF($S1919="S",IF(INDEX(Firms!$O$5:$O$1004,$T1919)="","",INDEX(Firms!$O$5:$O$1004,$T1919)),IF(INDEX('AFA Rates'!$O$5:$O$1004,$T1919)="","",INDEX('AFA Rates'!$O$5:$O$1004,$T1919))))</f>
        <v/>
      </c>
      <c r="G1919" s="50">
        <f>IF($T1919="","",IF($S1919="S",IF(INDEX(Firms!$F$5:$F$1004,$T1919)="","",INDEX(Firms!$F$5:$F$1004,$T1919)),IF(INDEX('AFA Rates'!$E$5:$E$1004,$T1919)="","",INDEX('AFA Rates'!$E$5:$E$1004,$T1919))))</f>
        <v/>
      </c>
      <c r="H1919" s="50">
        <f>IF($T1919="","",IF($S1919="S",IF(INDEX(Firms!$G$5:$G$1004,$T1919)="","",INDEX(Firms!$G$5:$G$1004,$T1919)),IF(INDEX('AFA Rates'!$F$5:$F$1004,$T1919)="","",INDEX('AFA Rates'!$F$5:$F$1004,$T1919))))</f>
        <v/>
      </c>
      <c r="I1919" s="50">
        <f>IF($T1919="","",IF($S1919="S",IF(INDEX(Firms!$H$5:$H$1004,$T1919)="","",INDEX(Firms!$H$5:$H$1004,$T1919)),IF(INDEX('AFA Rates'!$G$5:$G$1004,$T1919)="","",INDEX('AFA Rates'!$G$5:$G$1004,$T1919))))</f>
        <v/>
      </c>
      <c r="J1919" s="50">
        <f>IF($T1919="","",IF($S1919="S",IF(INDEX(Firms!$I$5:$I$1004,$T1919)="","",INDEX(Firms!$I$5:$I$1004,$T1919)),IF(INDEX('AFA Rates'!$H$5:$H$1004,$T1919)="","",INDEX('AFA Rates'!$H$5:$H$1004,$T1919))))</f>
        <v/>
      </c>
      <c r="K1919" s="50">
        <f>IF($T1919="","",IF($S1919="S",IF(INDEX(Firms!$J$5:$J$1004,$T1919)="","",INDEX(Firms!$J$5:$J$1004,$T1919)),IF(INDEX('AFA Rates'!$I$5:$I$1004,$T1919)="","",INDEX('AFA Rates'!$I$5:$I$1004,$T1919))))</f>
        <v/>
      </c>
      <c r="L1919" s="50">
        <f>IF($T1919="","",IF($S1919="S",IF(INDEX(Firms!$K$5:$K$1004,$T1919)="","",INDEX(Firms!$K$5:$K$1004,$T1919)),IF(INDEX('AFA Rates'!$J$5:$J$1004,$T1919)="","",INDEX('AFA Rates'!$J$5:$J$1004,$T1919))))</f>
        <v/>
      </c>
      <c r="M1919" s="50">
        <f>IF($T1919="","",IF($S1919="S",IF(INDEX(Firms!$L$5:$L$1004,$T1919)="","",INDEX(Firms!$L$5:$L$1004,$T1919)),IF(INDEX('AFA Rates'!$K$5:$K$1004,$T1919)="","",INDEX('AFA Rates'!$K$5:$K$1004,$T1919))))</f>
        <v/>
      </c>
      <c r="N1919" s="50">
        <f>IF($T1919="","",IF($S1919="S",IF(INDEX(Firms!$M$5:$M$1004,$T1919)="","",INDEX(Firms!$M$5:$M$1004,$T1919)),IF(INDEX('AFA Rates'!$L$5:$L$1004,$T1919)="","",INDEX('AFA Rates'!$L$5:$L$1004,$T1919))))</f>
        <v/>
      </c>
      <c r="O1919" s="78">
        <f>IF(OR($T1919="",$U1919=""),"",IF(INDEX(Firms!$C$5:$C$1004,$U1919)="","",INDEX(Firms!$C$5:$C$1004,$U1919)))</f>
        <v/>
      </c>
      <c r="P1919" s="79">
        <f>IF(OR($T1919="",$U1919=""),"",IF(INDEX(Firms!$N$5:$N$1004,$U1919)="","",INDEX(Firms!$N$5:$N$1004,$U1919)))</f>
        <v/>
      </c>
      <c r="Q1919" s="78">
        <f>IF($T1919="","",IF($S1919="S",IF(INDEX(Firms!$T$5:$T$1004,$T1919)="","",INDEX(Firms!$T$5:$T$1004,$T1919)),IF(INDEX('AFA Rates'!$M$5:$M$1004,$T1919)="","",INDEX('AFA Rates'!$M$5:$M$1004,$T1919))))</f>
        <v/>
      </c>
      <c r="S1919">
        <f>IF(1915&lt;=$S$2,"S",IF(1915&lt;=$S$2+$T$2,"A",""))</f>
        <v/>
      </c>
      <c r="T1919">
        <f>IF(S1919="S",MATCH(1915,Firms!$W$5:$W$1004,0),IF(S1919="A",IFERROR(MATCH(1915-$S$2,'AFA Rates'!$R$5:$R$1004,0),""),""))</f>
        <v/>
      </c>
      <c r="U1919">
        <f>IF(S1919="S",T1919,IF(AND(S1919="A",T1919&lt;&gt;""),IFERROR(MATCH(INDEX('AFA Rates'!$A$5:$A$1004,T1919),Firms!$A$5:$A$1004,0),""),""))</f>
        <v/>
      </c>
    </row>
    <row r="1920">
      <c r="A1920" s="78">
        <f>IF($T1920="","",IF($S1920="S",IF(INDEX(Firms!$A$5:$A$1004,$T1920)="","",INDEX(Firms!$A$5:$A$1004,$T1920)),IF(INDEX('AFA Rates'!$A$5:$A$1004,$T1920)="","",INDEX('AFA Rates'!$A$5:$A$1004,$T1920))))</f>
        <v/>
      </c>
      <c r="B1920" s="79">
        <f>IF(OR($T1920="",$U1920=""),IF($T1920="","","Not on Firms tab"),INDEX(Firms!$B$5:$B$1004,$U1920)&amp;"")</f>
        <v/>
      </c>
      <c r="C1920" s="78">
        <f>IF($T1920="","",IF($S1920="S","Standard",INDEX('AFA Rates'!$B$5:$B$1004,$T1920)&amp;""))</f>
        <v/>
      </c>
      <c r="D1920" s="88">
        <f>IF($T1920="","",IF($S1920="S",IF(INDEX(Firms!$E$5:$E$1004,$T1920)="","",INDEX(Firms!$E$5:$E$1004,$T1920)),IF(INDEX('AFA Rates'!$C$5:$C$1004,$T1920)="","",INDEX('AFA Rates'!$C$5:$C$1004,$T1920))))</f>
        <v/>
      </c>
      <c r="E1920" s="88">
        <f>IF($T1920="","",IF($S1920="S",IF(""="","",""),IF(INDEX('AFA Rates'!$D$5:$D$1004,$T1920)="","",INDEX('AFA Rates'!$D$5:$D$1004,$T1920))))</f>
        <v/>
      </c>
      <c r="F1920" s="79">
        <f>IF($T1920="","",IF($S1920="S",IF(INDEX(Firms!$O$5:$O$1004,$T1920)="","",INDEX(Firms!$O$5:$O$1004,$T1920)),IF(INDEX('AFA Rates'!$O$5:$O$1004,$T1920)="","",INDEX('AFA Rates'!$O$5:$O$1004,$T1920))))</f>
        <v/>
      </c>
      <c r="G1920" s="50">
        <f>IF($T1920="","",IF($S1920="S",IF(INDEX(Firms!$F$5:$F$1004,$T1920)="","",INDEX(Firms!$F$5:$F$1004,$T1920)),IF(INDEX('AFA Rates'!$E$5:$E$1004,$T1920)="","",INDEX('AFA Rates'!$E$5:$E$1004,$T1920))))</f>
        <v/>
      </c>
      <c r="H1920" s="50">
        <f>IF($T1920="","",IF($S1920="S",IF(INDEX(Firms!$G$5:$G$1004,$T1920)="","",INDEX(Firms!$G$5:$G$1004,$T1920)),IF(INDEX('AFA Rates'!$F$5:$F$1004,$T1920)="","",INDEX('AFA Rates'!$F$5:$F$1004,$T1920))))</f>
        <v/>
      </c>
      <c r="I1920" s="50">
        <f>IF($T1920="","",IF($S1920="S",IF(INDEX(Firms!$H$5:$H$1004,$T1920)="","",INDEX(Firms!$H$5:$H$1004,$T1920)),IF(INDEX('AFA Rates'!$G$5:$G$1004,$T1920)="","",INDEX('AFA Rates'!$G$5:$G$1004,$T1920))))</f>
        <v/>
      </c>
      <c r="J1920" s="50">
        <f>IF($T1920="","",IF($S1920="S",IF(INDEX(Firms!$I$5:$I$1004,$T1920)="","",INDEX(Firms!$I$5:$I$1004,$T1920)),IF(INDEX('AFA Rates'!$H$5:$H$1004,$T1920)="","",INDEX('AFA Rates'!$H$5:$H$1004,$T1920))))</f>
        <v/>
      </c>
      <c r="K1920" s="50">
        <f>IF($T1920="","",IF($S1920="S",IF(INDEX(Firms!$J$5:$J$1004,$T1920)="","",INDEX(Firms!$J$5:$J$1004,$T1920)),IF(INDEX('AFA Rates'!$I$5:$I$1004,$T1920)="","",INDEX('AFA Rates'!$I$5:$I$1004,$T1920))))</f>
        <v/>
      </c>
      <c r="L1920" s="50">
        <f>IF($T1920="","",IF($S1920="S",IF(INDEX(Firms!$K$5:$K$1004,$T1920)="","",INDEX(Firms!$K$5:$K$1004,$T1920)),IF(INDEX('AFA Rates'!$J$5:$J$1004,$T1920)="","",INDEX('AFA Rates'!$J$5:$J$1004,$T1920))))</f>
        <v/>
      </c>
      <c r="M1920" s="50">
        <f>IF($T1920="","",IF($S1920="S",IF(INDEX(Firms!$L$5:$L$1004,$T1920)="","",INDEX(Firms!$L$5:$L$1004,$T1920)),IF(INDEX('AFA Rates'!$K$5:$K$1004,$T1920)="","",INDEX('AFA Rates'!$K$5:$K$1004,$T1920))))</f>
        <v/>
      </c>
      <c r="N1920" s="50">
        <f>IF($T1920="","",IF($S1920="S",IF(INDEX(Firms!$M$5:$M$1004,$T1920)="","",INDEX(Firms!$M$5:$M$1004,$T1920)),IF(INDEX('AFA Rates'!$L$5:$L$1004,$T1920)="","",INDEX('AFA Rates'!$L$5:$L$1004,$T1920))))</f>
        <v/>
      </c>
      <c r="O1920" s="78">
        <f>IF(OR($T1920="",$U1920=""),"",IF(INDEX(Firms!$C$5:$C$1004,$U1920)="","",INDEX(Firms!$C$5:$C$1004,$U1920)))</f>
        <v/>
      </c>
      <c r="P1920" s="79">
        <f>IF(OR($T1920="",$U1920=""),"",IF(INDEX(Firms!$N$5:$N$1004,$U1920)="","",INDEX(Firms!$N$5:$N$1004,$U1920)))</f>
        <v/>
      </c>
      <c r="Q1920" s="78">
        <f>IF($T1920="","",IF($S1920="S",IF(INDEX(Firms!$T$5:$T$1004,$T1920)="","",INDEX(Firms!$T$5:$T$1004,$T1920)),IF(INDEX('AFA Rates'!$M$5:$M$1004,$T1920)="","",INDEX('AFA Rates'!$M$5:$M$1004,$T1920))))</f>
        <v/>
      </c>
      <c r="S1920">
        <f>IF(1916&lt;=$S$2,"S",IF(1916&lt;=$S$2+$T$2,"A",""))</f>
        <v/>
      </c>
      <c r="T1920">
        <f>IF(S1920="S",MATCH(1916,Firms!$W$5:$W$1004,0),IF(S1920="A",IFERROR(MATCH(1916-$S$2,'AFA Rates'!$R$5:$R$1004,0),""),""))</f>
        <v/>
      </c>
      <c r="U1920">
        <f>IF(S1920="S",T1920,IF(AND(S1920="A",T1920&lt;&gt;""),IFERROR(MATCH(INDEX('AFA Rates'!$A$5:$A$1004,T1920),Firms!$A$5:$A$1004,0),""),""))</f>
        <v/>
      </c>
    </row>
    <row r="1921">
      <c r="A1921" s="78">
        <f>IF($T1921="","",IF($S1921="S",IF(INDEX(Firms!$A$5:$A$1004,$T1921)="","",INDEX(Firms!$A$5:$A$1004,$T1921)),IF(INDEX('AFA Rates'!$A$5:$A$1004,$T1921)="","",INDEX('AFA Rates'!$A$5:$A$1004,$T1921))))</f>
        <v/>
      </c>
      <c r="B1921" s="79">
        <f>IF(OR($T1921="",$U1921=""),IF($T1921="","","Not on Firms tab"),INDEX(Firms!$B$5:$B$1004,$U1921)&amp;"")</f>
        <v/>
      </c>
      <c r="C1921" s="78">
        <f>IF($T1921="","",IF($S1921="S","Standard",INDEX('AFA Rates'!$B$5:$B$1004,$T1921)&amp;""))</f>
        <v/>
      </c>
      <c r="D1921" s="88">
        <f>IF($T1921="","",IF($S1921="S",IF(INDEX(Firms!$E$5:$E$1004,$T1921)="","",INDEX(Firms!$E$5:$E$1004,$T1921)),IF(INDEX('AFA Rates'!$C$5:$C$1004,$T1921)="","",INDEX('AFA Rates'!$C$5:$C$1004,$T1921))))</f>
        <v/>
      </c>
      <c r="E1921" s="88">
        <f>IF($T1921="","",IF($S1921="S",IF(""="","",""),IF(INDEX('AFA Rates'!$D$5:$D$1004,$T1921)="","",INDEX('AFA Rates'!$D$5:$D$1004,$T1921))))</f>
        <v/>
      </c>
      <c r="F1921" s="79">
        <f>IF($T1921="","",IF($S1921="S",IF(INDEX(Firms!$O$5:$O$1004,$T1921)="","",INDEX(Firms!$O$5:$O$1004,$T1921)),IF(INDEX('AFA Rates'!$O$5:$O$1004,$T1921)="","",INDEX('AFA Rates'!$O$5:$O$1004,$T1921))))</f>
        <v/>
      </c>
      <c r="G1921" s="50">
        <f>IF($T1921="","",IF($S1921="S",IF(INDEX(Firms!$F$5:$F$1004,$T1921)="","",INDEX(Firms!$F$5:$F$1004,$T1921)),IF(INDEX('AFA Rates'!$E$5:$E$1004,$T1921)="","",INDEX('AFA Rates'!$E$5:$E$1004,$T1921))))</f>
        <v/>
      </c>
      <c r="H1921" s="50">
        <f>IF($T1921="","",IF($S1921="S",IF(INDEX(Firms!$G$5:$G$1004,$T1921)="","",INDEX(Firms!$G$5:$G$1004,$T1921)),IF(INDEX('AFA Rates'!$F$5:$F$1004,$T1921)="","",INDEX('AFA Rates'!$F$5:$F$1004,$T1921))))</f>
        <v/>
      </c>
      <c r="I1921" s="50">
        <f>IF($T1921="","",IF($S1921="S",IF(INDEX(Firms!$H$5:$H$1004,$T1921)="","",INDEX(Firms!$H$5:$H$1004,$T1921)),IF(INDEX('AFA Rates'!$G$5:$G$1004,$T1921)="","",INDEX('AFA Rates'!$G$5:$G$1004,$T1921))))</f>
        <v/>
      </c>
      <c r="J1921" s="50">
        <f>IF($T1921="","",IF($S1921="S",IF(INDEX(Firms!$I$5:$I$1004,$T1921)="","",INDEX(Firms!$I$5:$I$1004,$T1921)),IF(INDEX('AFA Rates'!$H$5:$H$1004,$T1921)="","",INDEX('AFA Rates'!$H$5:$H$1004,$T1921))))</f>
        <v/>
      </c>
      <c r="K1921" s="50">
        <f>IF($T1921="","",IF($S1921="S",IF(INDEX(Firms!$J$5:$J$1004,$T1921)="","",INDEX(Firms!$J$5:$J$1004,$T1921)),IF(INDEX('AFA Rates'!$I$5:$I$1004,$T1921)="","",INDEX('AFA Rates'!$I$5:$I$1004,$T1921))))</f>
        <v/>
      </c>
      <c r="L1921" s="50">
        <f>IF($T1921="","",IF($S1921="S",IF(INDEX(Firms!$K$5:$K$1004,$T1921)="","",INDEX(Firms!$K$5:$K$1004,$T1921)),IF(INDEX('AFA Rates'!$J$5:$J$1004,$T1921)="","",INDEX('AFA Rates'!$J$5:$J$1004,$T1921))))</f>
        <v/>
      </c>
      <c r="M1921" s="50">
        <f>IF($T1921="","",IF($S1921="S",IF(INDEX(Firms!$L$5:$L$1004,$T1921)="","",INDEX(Firms!$L$5:$L$1004,$T1921)),IF(INDEX('AFA Rates'!$K$5:$K$1004,$T1921)="","",INDEX('AFA Rates'!$K$5:$K$1004,$T1921))))</f>
        <v/>
      </c>
      <c r="N1921" s="50">
        <f>IF($T1921="","",IF($S1921="S",IF(INDEX(Firms!$M$5:$M$1004,$T1921)="","",INDEX(Firms!$M$5:$M$1004,$T1921)),IF(INDEX('AFA Rates'!$L$5:$L$1004,$T1921)="","",INDEX('AFA Rates'!$L$5:$L$1004,$T1921))))</f>
        <v/>
      </c>
      <c r="O1921" s="78">
        <f>IF(OR($T1921="",$U1921=""),"",IF(INDEX(Firms!$C$5:$C$1004,$U1921)="","",INDEX(Firms!$C$5:$C$1004,$U1921)))</f>
        <v/>
      </c>
      <c r="P1921" s="79">
        <f>IF(OR($T1921="",$U1921=""),"",IF(INDEX(Firms!$N$5:$N$1004,$U1921)="","",INDEX(Firms!$N$5:$N$1004,$U1921)))</f>
        <v/>
      </c>
      <c r="Q1921" s="78">
        <f>IF($T1921="","",IF($S1921="S",IF(INDEX(Firms!$T$5:$T$1004,$T1921)="","",INDEX(Firms!$T$5:$T$1004,$T1921)),IF(INDEX('AFA Rates'!$M$5:$M$1004,$T1921)="","",INDEX('AFA Rates'!$M$5:$M$1004,$T1921))))</f>
        <v/>
      </c>
      <c r="S1921">
        <f>IF(1917&lt;=$S$2,"S",IF(1917&lt;=$S$2+$T$2,"A",""))</f>
        <v/>
      </c>
      <c r="T1921">
        <f>IF(S1921="S",MATCH(1917,Firms!$W$5:$W$1004,0),IF(S1921="A",IFERROR(MATCH(1917-$S$2,'AFA Rates'!$R$5:$R$1004,0),""),""))</f>
        <v/>
      </c>
      <c r="U1921">
        <f>IF(S1921="S",T1921,IF(AND(S1921="A",T1921&lt;&gt;""),IFERROR(MATCH(INDEX('AFA Rates'!$A$5:$A$1004,T1921),Firms!$A$5:$A$1004,0),""),""))</f>
        <v/>
      </c>
    </row>
    <row r="1922">
      <c r="A1922" s="78">
        <f>IF($T1922="","",IF($S1922="S",IF(INDEX(Firms!$A$5:$A$1004,$T1922)="","",INDEX(Firms!$A$5:$A$1004,$T1922)),IF(INDEX('AFA Rates'!$A$5:$A$1004,$T1922)="","",INDEX('AFA Rates'!$A$5:$A$1004,$T1922))))</f>
        <v/>
      </c>
      <c r="B1922" s="79">
        <f>IF(OR($T1922="",$U1922=""),IF($T1922="","","Not on Firms tab"),INDEX(Firms!$B$5:$B$1004,$U1922)&amp;"")</f>
        <v/>
      </c>
      <c r="C1922" s="78">
        <f>IF($T1922="","",IF($S1922="S","Standard",INDEX('AFA Rates'!$B$5:$B$1004,$T1922)&amp;""))</f>
        <v/>
      </c>
      <c r="D1922" s="88">
        <f>IF($T1922="","",IF($S1922="S",IF(INDEX(Firms!$E$5:$E$1004,$T1922)="","",INDEX(Firms!$E$5:$E$1004,$T1922)),IF(INDEX('AFA Rates'!$C$5:$C$1004,$T1922)="","",INDEX('AFA Rates'!$C$5:$C$1004,$T1922))))</f>
        <v/>
      </c>
      <c r="E1922" s="88">
        <f>IF($T1922="","",IF($S1922="S",IF(""="","",""),IF(INDEX('AFA Rates'!$D$5:$D$1004,$T1922)="","",INDEX('AFA Rates'!$D$5:$D$1004,$T1922))))</f>
        <v/>
      </c>
      <c r="F1922" s="79">
        <f>IF($T1922="","",IF($S1922="S",IF(INDEX(Firms!$O$5:$O$1004,$T1922)="","",INDEX(Firms!$O$5:$O$1004,$T1922)),IF(INDEX('AFA Rates'!$O$5:$O$1004,$T1922)="","",INDEX('AFA Rates'!$O$5:$O$1004,$T1922))))</f>
        <v/>
      </c>
      <c r="G1922" s="50">
        <f>IF($T1922="","",IF($S1922="S",IF(INDEX(Firms!$F$5:$F$1004,$T1922)="","",INDEX(Firms!$F$5:$F$1004,$T1922)),IF(INDEX('AFA Rates'!$E$5:$E$1004,$T1922)="","",INDEX('AFA Rates'!$E$5:$E$1004,$T1922))))</f>
        <v/>
      </c>
      <c r="H1922" s="50">
        <f>IF($T1922="","",IF($S1922="S",IF(INDEX(Firms!$G$5:$G$1004,$T1922)="","",INDEX(Firms!$G$5:$G$1004,$T1922)),IF(INDEX('AFA Rates'!$F$5:$F$1004,$T1922)="","",INDEX('AFA Rates'!$F$5:$F$1004,$T1922))))</f>
        <v/>
      </c>
      <c r="I1922" s="50">
        <f>IF($T1922="","",IF($S1922="S",IF(INDEX(Firms!$H$5:$H$1004,$T1922)="","",INDEX(Firms!$H$5:$H$1004,$T1922)),IF(INDEX('AFA Rates'!$G$5:$G$1004,$T1922)="","",INDEX('AFA Rates'!$G$5:$G$1004,$T1922))))</f>
        <v/>
      </c>
      <c r="J1922" s="50">
        <f>IF($T1922="","",IF($S1922="S",IF(INDEX(Firms!$I$5:$I$1004,$T1922)="","",INDEX(Firms!$I$5:$I$1004,$T1922)),IF(INDEX('AFA Rates'!$H$5:$H$1004,$T1922)="","",INDEX('AFA Rates'!$H$5:$H$1004,$T1922))))</f>
        <v/>
      </c>
      <c r="K1922" s="50">
        <f>IF($T1922="","",IF($S1922="S",IF(INDEX(Firms!$J$5:$J$1004,$T1922)="","",INDEX(Firms!$J$5:$J$1004,$T1922)),IF(INDEX('AFA Rates'!$I$5:$I$1004,$T1922)="","",INDEX('AFA Rates'!$I$5:$I$1004,$T1922))))</f>
        <v/>
      </c>
      <c r="L1922" s="50">
        <f>IF($T1922="","",IF($S1922="S",IF(INDEX(Firms!$K$5:$K$1004,$T1922)="","",INDEX(Firms!$K$5:$K$1004,$T1922)),IF(INDEX('AFA Rates'!$J$5:$J$1004,$T1922)="","",INDEX('AFA Rates'!$J$5:$J$1004,$T1922))))</f>
        <v/>
      </c>
      <c r="M1922" s="50">
        <f>IF($T1922="","",IF($S1922="S",IF(INDEX(Firms!$L$5:$L$1004,$T1922)="","",INDEX(Firms!$L$5:$L$1004,$T1922)),IF(INDEX('AFA Rates'!$K$5:$K$1004,$T1922)="","",INDEX('AFA Rates'!$K$5:$K$1004,$T1922))))</f>
        <v/>
      </c>
      <c r="N1922" s="50">
        <f>IF($T1922="","",IF($S1922="S",IF(INDEX(Firms!$M$5:$M$1004,$T1922)="","",INDEX(Firms!$M$5:$M$1004,$T1922)),IF(INDEX('AFA Rates'!$L$5:$L$1004,$T1922)="","",INDEX('AFA Rates'!$L$5:$L$1004,$T1922))))</f>
        <v/>
      </c>
      <c r="O1922" s="78">
        <f>IF(OR($T1922="",$U1922=""),"",IF(INDEX(Firms!$C$5:$C$1004,$U1922)="","",INDEX(Firms!$C$5:$C$1004,$U1922)))</f>
        <v/>
      </c>
      <c r="P1922" s="79">
        <f>IF(OR($T1922="",$U1922=""),"",IF(INDEX(Firms!$N$5:$N$1004,$U1922)="","",INDEX(Firms!$N$5:$N$1004,$U1922)))</f>
        <v/>
      </c>
      <c r="Q1922" s="78">
        <f>IF($T1922="","",IF($S1922="S",IF(INDEX(Firms!$T$5:$T$1004,$T1922)="","",INDEX(Firms!$T$5:$T$1004,$T1922)),IF(INDEX('AFA Rates'!$M$5:$M$1004,$T1922)="","",INDEX('AFA Rates'!$M$5:$M$1004,$T1922))))</f>
        <v/>
      </c>
      <c r="S1922">
        <f>IF(1918&lt;=$S$2,"S",IF(1918&lt;=$S$2+$T$2,"A",""))</f>
        <v/>
      </c>
      <c r="T1922">
        <f>IF(S1922="S",MATCH(1918,Firms!$W$5:$W$1004,0),IF(S1922="A",IFERROR(MATCH(1918-$S$2,'AFA Rates'!$R$5:$R$1004,0),""),""))</f>
        <v/>
      </c>
      <c r="U1922">
        <f>IF(S1922="S",T1922,IF(AND(S1922="A",T1922&lt;&gt;""),IFERROR(MATCH(INDEX('AFA Rates'!$A$5:$A$1004,T1922),Firms!$A$5:$A$1004,0),""),""))</f>
        <v/>
      </c>
    </row>
    <row r="1923">
      <c r="A1923" s="78">
        <f>IF($T1923="","",IF($S1923="S",IF(INDEX(Firms!$A$5:$A$1004,$T1923)="","",INDEX(Firms!$A$5:$A$1004,$T1923)),IF(INDEX('AFA Rates'!$A$5:$A$1004,$T1923)="","",INDEX('AFA Rates'!$A$5:$A$1004,$T1923))))</f>
        <v/>
      </c>
      <c r="B1923" s="79">
        <f>IF(OR($T1923="",$U1923=""),IF($T1923="","","Not on Firms tab"),INDEX(Firms!$B$5:$B$1004,$U1923)&amp;"")</f>
        <v/>
      </c>
      <c r="C1923" s="78">
        <f>IF($T1923="","",IF($S1923="S","Standard",INDEX('AFA Rates'!$B$5:$B$1004,$T1923)&amp;""))</f>
        <v/>
      </c>
      <c r="D1923" s="88">
        <f>IF($T1923="","",IF($S1923="S",IF(INDEX(Firms!$E$5:$E$1004,$T1923)="","",INDEX(Firms!$E$5:$E$1004,$T1923)),IF(INDEX('AFA Rates'!$C$5:$C$1004,$T1923)="","",INDEX('AFA Rates'!$C$5:$C$1004,$T1923))))</f>
        <v/>
      </c>
      <c r="E1923" s="88">
        <f>IF($T1923="","",IF($S1923="S",IF(""="","",""),IF(INDEX('AFA Rates'!$D$5:$D$1004,$T1923)="","",INDEX('AFA Rates'!$D$5:$D$1004,$T1923))))</f>
        <v/>
      </c>
      <c r="F1923" s="79">
        <f>IF($T1923="","",IF($S1923="S",IF(INDEX(Firms!$O$5:$O$1004,$T1923)="","",INDEX(Firms!$O$5:$O$1004,$T1923)),IF(INDEX('AFA Rates'!$O$5:$O$1004,$T1923)="","",INDEX('AFA Rates'!$O$5:$O$1004,$T1923))))</f>
        <v/>
      </c>
      <c r="G1923" s="50">
        <f>IF($T1923="","",IF($S1923="S",IF(INDEX(Firms!$F$5:$F$1004,$T1923)="","",INDEX(Firms!$F$5:$F$1004,$T1923)),IF(INDEX('AFA Rates'!$E$5:$E$1004,$T1923)="","",INDEX('AFA Rates'!$E$5:$E$1004,$T1923))))</f>
        <v/>
      </c>
      <c r="H1923" s="50">
        <f>IF($T1923="","",IF($S1923="S",IF(INDEX(Firms!$G$5:$G$1004,$T1923)="","",INDEX(Firms!$G$5:$G$1004,$T1923)),IF(INDEX('AFA Rates'!$F$5:$F$1004,$T1923)="","",INDEX('AFA Rates'!$F$5:$F$1004,$T1923))))</f>
        <v/>
      </c>
      <c r="I1923" s="50">
        <f>IF($T1923="","",IF($S1923="S",IF(INDEX(Firms!$H$5:$H$1004,$T1923)="","",INDEX(Firms!$H$5:$H$1004,$T1923)),IF(INDEX('AFA Rates'!$G$5:$G$1004,$T1923)="","",INDEX('AFA Rates'!$G$5:$G$1004,$T1923))))</f>
        <v/>
      </c>
      <c r="J1923" s="50">
        <f>IF($T1923="","",IF($S1923="S",IF(INDEX(Firms!$I$5:$I$1004,$T1923)="","",INDEX(Firms!$I$5:$I$1004,$T1923)),IF(INDEX('AFA Rates'!$H$5:$H$1004,$T1923)="","",INDEX('AFA Rates'!$H$5:$H$1004,$T1923))))</f>
        <v/>
      </c>
      <c r="K1923" s="50">
        <f>IF($T1923="","",IF($S1923="S",IF(INDEX(Firms!$J$5:$J$1004,$T1923)="","",INDEX(Firms!$J$5:$J$1004,$T1923)),IF(INDEX('AFA Rates'!$I$5:$I$1004,$T1923)="","",INDEX('AFA Rates'!$I$5:$I$1004,$T1923))))</f>
        <v/>
      </c>
      <c r="L1923" s="50">
        <f>IF($T1923="","",IF($S1923="S",IF(INDEX(Firms!$K$5:$K$1004,$T1923)="","",INDEX(Firms!$K$5:$K$1004,$T1923)),IF(INDEX('AFA Rates'!$J$5:$J$1004,$T1923)="","",INDEX('AFA Rates'!$J$5:$J$1004,$T1923))))</f>
        <v/>
      </c>
      <c r="M1923" s="50">
        <f>IF($T1923="","",IF($S1923="S",IF(INDEX(Firms!$L$5:$L$1004,$T1923)="","",INDEX(Firms!$L$5:$L$1004,$T1923)),IF(INDEX('AFA Rates'!$K$5:$K$1004,$T1923)="","",INDEX('AFA Rates'!$K$5:$K$1004,$T1923))))</f>
        <v/>
      </c>
      <c r="N1923" s="50">
        <f>IF($T1923="","",IF($S1923="S",IF(INDEX(Firms!$M$5:$M$1004,$T1923)="","",INDEX(Firms!$M$5:$M$1004,$T1923)),IF(INDEX('AFA Rates'!$L$5:$L$1004,$T1923)="","",INDEX('AFA Rates'!$L$5:$L$1004,$T1923))))</f>
        <v/>
      </c>
      <c r="O1923" s="78">
        <f>IF(OR($T1923="",$U1923=""),"",IF(INDEX(Firms!$C$5:$C$1004,$U1923)="","",INDEX(Firms!$C$5:$C$1004,$U1923)))</f>
        <v/>
      </c>
      <c r="P1923" s="79">
        <f>IF(OR($T1923="",$U1923=""),"",IF(INDEX(Firms!$N$5:$N$1004,$U1923)="","",INDEX(Firms!$N$5:$N$1004,$U1923)))</f>
        <v/>
      </c>
      <c r="Q1923" s="78">
        <f>IF($T1923="","",IF($S1923="S",IF(INDEX(Firms!$T$5:$T$1004,$T1923)="","",INDEX(Firms!$T$5:$T$1004,$T1923)),IF(INDEX('AFA Rates'!$M$5:$M$1004,$T1923)="","",INDEX('AFA Rates'!$M$5:$M$1004,$T1923))))</f>
        <v/>
      </c>
      <c r="S1923">
        <f>IF(1919&lt;=$S$2,"S",IF(1919&lt;=$S$2+$T$2,"A",""))</f>
        <v/>
      </c>
      <c r="T1923">
        <f>IF(S1923="S",MATCH(1919,Firms!$W$5:$W$1004,0),IF(S1923="A",IFERROR(MATCH(1919-$S$2,'AFA Rates'!$R$5:$R$1004,0),""),""))</f>
        <v/>
      </c>
      <c r="U1923">
        <f>IF(S1923="S",T1923,IF(AND(S1923="A",T1923&lt;&gt;""),IFERROR(MATCH(INDEX('AFA Rates'!$A$5:$A$1004,T1923),Firms!$A$5:$A$1004,0),""),""))</f>
        <v/>
      </c>
    </row>
    <row r="1924">
      <c r="A1924" s="78">
        <f>IF($T1924="","",IF($S1924="S",IF(INDEX(Firms!$A$5:$A$1004,$T1924)="","",INDEX(Firms!$A$5:$A$1004,$T1924)),IF(INDEX('AFA Rates'!$A$5:$A$1004,$T1924)="","",INDEX('AFA Rates'!$A$5:$A$1004,$T1924))))</f>
        <v/>
      </c>
      <c r="B1924" s="79">
        <f>IF(OR($T1924="",$U1924=""),IF($T1924="","","Not on Firms tab"),INDEX(Firms!$B$5:$B$1004,$U1924)&amp;"")</f>
        <v/>
      </c>
      <c r="C1924" s="78">
        <f>IF($T1924="","",IF($S1924="S","Standard",INDEX('AFA Rates'!$B$5:$B$1004,$T1924)&amp;""))</f>
        <v/>
      </c>
      <c r="D1924" s="88">
        <f>IF($T1924="","",IF($S1924="S",IF(INDEX(Firms!$E$5:$E$1004,$T1924)="","",INDEX(Firms!$E$5:$E$1004,$T1924)),IF(INDEX('AFA Rates'!$C$5:$C$1004,$T1924)="","",INDEX('AFA Rates'!$C$5:$C$1004,$T1924))))</f>
        <v/>
      </c>
      <c r="E1924" s="88">
        <f>IF($T1924="","",IF($S1924="S",IF(""="","",""),IF(INDEX('AFA Rates'!$D$5:$D$1004,$T1924)="","",INDEX('AFA Rates'!$D$5:$D$1004,$T1924))))</f>
        <v/>
      </c>
      <c r="F1924" s="79">
        <f>IF($T1924="","",IF($S1924="S",IF(INDEX(Firms!$O$5:$O$1004,$T1924)="","",INDEX(Firms!$O$5:$O$1004,$T1924)),IF(INDEX('AFA Rates'!$O$5:$O$1004,$T1924)="","",INDEX('AFA Rates'!$O$5:$O$1004,$T1924))))</f>
        <v/>
      </c>
      <c r="G1924" s="50">
        <f>IF($T1924="","",IF($S1924="S",IF(INDEX(Firms!$F$5:$F$1004,$T1924)="","",INDEX(Firms!$F$5:$F$1004,$T1924)),IF(INDEX('AFA Rates'!$E$5:$E$1004,$T1924)="","",INDEX('AFA Rates'!$E$5:$E$1004,$T1924))))</f>
        <v/>
      </c>
      <c r="H1924" s="50">
        <f>IF($T1924="","",IF($S1924="S",IF(INDEX(Firms!$G$5:$G$1004,$T1924)="","",INDEX(Firms!$G$5:$G$1004,$T1924)),IF(INDEX('AFA Rates'!$F$5:$F$1004,$T1924)="","",INDEX('AFA Rates'!$F$5:$F$1004,$T1924))))</f>
        <v/>
      </c>
      <c r="I1924" s="50">
        <f>IF($T1924="","",IF($S1924="S",IF(INDEX(Firms!$H$5:$H$1004,$T1924)="","",INDEX(Firms!$H$5:$H$1004,$T1924)),IF(INDEX('AFA Rates'!$G$5:$G$1004,$T1924)="","",INDEX('AFA Rates'!$G$5:$G$1004,$T1924))))</f>
        <v/>
      </c>
      <c r="J1924" s="50">
        <f>IF($T1924="","",IF($S1924="S",IF(INDEX(Firms!$I$5:$I$1004,$T1924)="","",INDEX(Firms!$I$5:$I$1004,$T1924)),IF(INDEX('AFA Rates'!$H$5:$H$1004,$T1924)="","",INDEX('AFA Rates'!$H$5:$H$1004,$T1924))))</f>
        <v/>
      </c>
      <c r="K1924" s="50">
        <f>IF($T1924="","",IF($S1924="S",IF(INDEX(Firms!$J$5:$J$1004,$T1924)="","",INDEX(Firms!$J$5:$J$1004,$T1924)),IF(INDEX('AFA Rates'!$I$5:$I$1004,$T1924)="","",INDEX('AFA Rates'!$I$5:$I$1004,$T1924))))</f>
        <v/>
      </c>
      <c r="L1924" s="50">
        <f>IF($T1924="","",IF($S1924="S",IF(INDEX(Firms!$K$5:$K$1004,$T1924)="","",INDEX(Firms!$K$5:$K$1004,$T1924)),IF(INDEX('AFA Rates'!$J$5:$J$1004,$T1924)="","",INDEX('AFA Rates'!$J$5:$J$1004,$T1924))))</f>
        <v/>
      </c>
      <c r="M1924" s="50">
        <f>IF($T1924="","",IF($S1924="S",IF(INDEX(Firms!$L$5:$L$1004,$T1924)="","",INDEX(Firms!$L$5:$L$1004,$T1924)),IF(INDEX('AFA Rates'!$K$5:$K$1004,$T1924)="","",INDEX('AFA Rates'!$K$5:$K$1004,$T1924))))</f>
        <v/>
      </c>
      <c r="N1924" s="50">
        <f>IF($T1924="","",IF($S1924="S",IF(INDEX(Firms!$M$5:$M$1004,$T1924)="","",INDEX(Firms!$M$5:$M$1004,$T1924)),IF(INDEX('AFA Rates'!$L$5:$L$1004,$T1924)="","",INDEX('AFA Rates'!$L$5:$L$1004,$T1924))))</f>
        <v/>
      </c>
      <c r="O1924" s="78">
        <f>IF(OR($T1924="",$U1924=""),"",IF(INDEX(Firms!$C$5:$C$1004,$U1924)="","",INDEX(Firms!$C$5:$C$1004,$U1924)))</f>
        <v/>
      </c>
      <c r="P1924" s="79">
        <f>IF(OR($T1924="",$U1924=""),"",IF(INDEX(Firms!$N$5:$N$1004,$U1924)="","",INDEX(Firms!$N$5:$N$1004,$U1924)))</f>
        <v/>
      </c>
      <c r="Q1924" s="78">
        <f>IF($T1924="","",IF($S1924="S",IF(INDEX(Firms!$T$5:$T$1004,$T1924)="","",INDEX(Firms!$T$5:$T$1004,$T1924)),IF(INDEX('AFA Rates'!$M$5:$M$1004,$T1924)="","",INDEX('AFA Rates'!$M$5:$M$1004,$T1924))))</f>
        <v/>
      </c>
      <c r="S1924">
        <f>IF(1920&lt;=$S$2,"S",IF(1920&lt;=$S$2+$T$2,"A",""))</f>
        <v/>
      </c>
      <c r="T1924">
        <f>IF(S1924="S",MATCH(1920,Firms!$W$5:$W$1004,0),IF(S1924="A",IFERROR(MATCH(1920-$S$2,'AFA Rates'!$R$5:$R$1004,0),""),""))</f>
        <v/>
      </c>
      <c r="U1924">
        <f>IF(S1924="S",T1924,IF(AND(S1924="A",T1924&lt;&gt;""),IFERROR(MATCH(INDEX('AFA Rates'!$A$5:$A$1004,T1924),Firms!$A$5:$A$1004,0),""),""))</f>
        <v/>
      </c>
    </row>
    <row r="1925">
      <c r="A1925" s="78">
        <f>IF($T1925="","",IF($S1925="S",IF(INDEX(Firms!$A$5:$A$1004,$T1925)="","",INDEX(Firms!$A$5:$A$1004,$T1925)),IF(INDEX('AFA Rates'!$A$5:$A$1004,$T1925)="","",INDEX('AFA Rates'!$A$5:$A$1004,$T1925))))</f>
        <v/>
      </c>
      <c r="B1925" s="79">
        <f>IF(OR($T1925="",$U1925=""),IF($T1925="","","Not on Firms tab"),INDEX(Firms!$B$5:$B$1004,$U1925)&amp;"")</f>
        <v/>
      </c>
      <c r="C1925" s="78">
        <f>IF($T1925="","",IF($S1925="S","Standard",INDEX('AFA Rates'!$B$5:$B$1004,$T1925)&amp;""))</f>
        <v/>
      </c>
      <c r="D1925" s="88">
        <f>IF($T1925="","",IF($S1925="S",IF(INDEX(Firms!$E$5:$E$1004,$T1925)="","",INDEX(Firms!$E$5:$E$1004,$T1925)),IF(INDEX('AFA Rates'!$C$5:$C$1004,$T1925)="","",INDEX('AFA Rates'!$C$5:$C$1004,$T1925))))</f>
        <v/>
      </c>
      <c r="E1925" s="88">
        <f>IF($T1925="","",IF($S1925="S",IF(""="","",""),IF(INDEX('AFA Rates'!$D$5:$D$1004,$T1925)="","",INDEX('AFA Rates'!$D$5:$D$1004,$T1925))))</f>
        <v/>
      </c>
      <c r="F1925" s="79">
        <f>IF($T1925="","",IF($S1925="S",IF(INDEX(Firms!$O$5:$O$1004,$T1925)="","",INDEX(Firms!$O$5:$O$1004,$T1925)),IF(INDEX('AFA Rates'!$O$5:$O$1004,$T1925)="","",INDEX('AFA Rates'!$O$5:$O$1004,$T1925))))</f>
        <v/>
      </c>
      <c r="G1925" s="50">
        <f>IF($T1925="","",IF($S1925="S",IF(INDEX(Firms!$F$5:$F$1004,$T1925)="","",INDEX(Firms!$F$5:$F$1004,$T1925)),IF(INDEX('AFA Rates'!$E$5:$E$1004,$T1925)="","",INDEX('AFA Rates'!$E$5:$E$1004,$T1925))))</f>
        <v/>
      </c>
      <c r="H1925" s="50">
        <f>IF($T1925="","",IF($S1925="S",IF(INDEX(Firms!$G$5:$G$1004,$T1925)="","",INDEX(Firms!$G$5:$G$1004,$T1925)),IF(INDEX('AFA Rates'!$F$5:$F$1004,$T1925)="","",INDEX('AFA Rates'!$F$5:$F$1004,$T1925))))</f>
        <v/>
      </c>
      <c r="I1925" s="50">
        <f>IF($T1925="","",IF($S1925="S",IF(INDEX(Firms!$H$5:$H$1004,$T1925)="","",INDEX(Firms!$H$5:$H$1004,$T1925)),IF(INDEX('AFA Rates'!$G$5:$G$1004,$T1925)="","",INDEX('AFA Rates'!$G$5:$G$1004,$T1925))))</f>
        <v/>
      </c>
      <c r="J1925" s="50">
        <f>IF($T1925="","",IF($S1925="S",IF(INDEX(Firms!$I$5:$I$1004,$T1925)="","",INDEX(Firms!$I$5:$I$1004,$T1925)),IF(INDEX('AFA Rates'!$H$5:$H$1004,$T1925)="","",INDEX('AFA Rates'!$H$5:$H$1004,$T1925))))</f>
        <v/>
      </c>
      <c r="K1925" s="50">
        <f>IF($T1925="","",IF($S1925="S",IF(INDEX(Firms!$J$5:$J$1004,$T1925)="","",INDEX(Firms!$J$5:$J$1004,$T1925)),IF(INDEX('AFA Rates'!$I$5:$I$1004,$T1925)="","",INDEX('AFA Rates'!$I$5:$I$1004,$T1925))))</f>
        <v/>
      </c>
      <c r="L1925" s="50">
        <f>IF($T1925="","",IF($S1925="S",IF(INDEX(Firms!$K$5:$K$1004,$T1925)="","",INDEX(Firms!$K$5:$K$1004,$T1925)),IF(INDEX('AFA Rates'!$J$5:$J$1004,$T1925)="","",INDEX('AFA Rates'!$J$5:$J$1004,$T1925))))</f>
        <v/>
      </c>
      <c r="M1925" s="50">
        <f>IF($T1925="","",IF($S1925="S",IF(INDEX(Firms!$L$5:$L$1004,$T1925)="","",INDEX(Firms!$L$5:$L$1004,$T1925)),IF(INDEX('AFA Rates'!$K$5:$K$1004,$T1925)="","",INDEX('AFA Rates'!$K$5:$K$1004,$T1925))))</f>
        <v/>
      </c>
      <c r="N1925" s="50">
        <f>IF($T1925="","",IF($S1925="S",IF(INDEX(Firms!$M$5:$M$1004,$T1925)="","",INDEX(Firms!$M$5:$M$1004,$T1925)),IF(INDEX('AFA Rates'!$L$5:$L$1004,$T1925)="","",INDEX('AFA Rates'!$L$5:$L$1004,$T1925))))</f>
        <v/>
      </c>
      <c r="O1925" s="78">
        <f>IF(OR($T1925="",$U1925=""),"",IF(INDEX(Firms!$C$5:$C$1004,$U1925)="","",INDEX(Firms!$C$5:$C$1004,$U1925)))</f>
        <v/>
      </c>
      <c r="P1925" s="79">
        <f>IF(OR($T1925="",$U1925=""),"",IF(INDEX(Firms!$N$5:$N$1004,$U1925)="","",INDEX(Firms!$N$5:$N$1004,$U1925)))</f>
        <v/>
      </c>
      <c r="Q1925" s="78">
        <f>IF($T1925="","",IF($S1925="S",IF(INDEX(Firms!$T$5:$T$1004,$T1925)="","",INDEX(Firms!$T$5:$T$1004,$T1925)),IF(INDEX('AFA Rates'!$M$5:$M$1004,$T1925)="","",INDEX('AFA Rates'!$M$5:$M$1004,$T1925))))</f>
        <v/>
      </c>
      <c r="S1925">
        <f>IF(1921&lt;=$S$2,"S",IF(1921&lt;=$S$2+$T$2,"A",""))</f>
        <v/>
      </c>
      <c r="T1925">
        <f>IF(S1925="S",MATCH(1921,Firms!$W$5:$W$1004,0),IF(S1925="A",IFERROR(MATCH(1921-$S$2,'AFA Rates'!$R$5:$R$1004,0),""),""))</f>
        <v/>
      </c>
      <c r="U1925">
        <f>IF(S1925="S",T1925,IF(AND(S1925="A",T1925&lt;&gt;""),IFERROR(MATCH(INDEX('AFA Rates'!$A$5:$A$1004,T1925),Firms!$A$5:$A$1004,0),""),""))</f>
        <v/>
      </c>
    </row>
    <row r="1926">
      <c r="A1926" s="78">
        <f>IF($T1926="","",IF($S1926="S",IF(INDEX(Firms!$A$5:$A$1004,$T1926)="","",INDEX(Firms!$A$5:$A$1004,$T1926)),IF(INDEX('AFA Rates'!$A$5:$A$1004,$T1926)="","",INDEX('AFA Rates'!$A$5:$A$1004,$T1926))))</f>
        <v/>
      </c>
      <c r="B1926" s="79">
        <f>IF(OR($T1926="",$U1926=""),IF($T1926="","","Not on Firms tab"),INDEX(Firms!$B$5:$B$1004,$U1926)&amp;"")</f>
        <v/>
      </c>
      <c r="C1926" s="78">
        <f>IF($T1926="","",IF($S1926="S","Standard",INDEX('AFA Rates'!$B$5:$B$1004,$T1926)&amp;""))</f>
        <v/>
      </c>
      <c r="D1926" s="88">
        <f>IF($T1926="","",IF($S1926="S",IF(INDEX(Firms!$E$5:$E$1004,$T1926)="","",INDEX(Firms!$E$5:$E$1004,$T1926)),IF(INDEX('AFA Rates'!$C$5:$C$1004,$T1926)="","",INDEX('AFA Rates'!$C$5:$C$1004,$T1926))))</f>
        <v/>
      </c>
      <c r="E1926" s="88">
        <f>IF($T1926="","",IF($S1926="S",IF(""="","",""),IF(INDEX('AFA Rates'!$D$5:$D$1004,$T1926)="","",INDEX('AFA Rates'!$D$5:$D$1004,$T1926))))</f>
        <v/>
      </c>
      <c r="F1926" s="79">
        <f>IF($T1926="","",IF($S1926="S",IF(INDEX(Firms!$O$5:$O$1004,$T1926)="","",INDEX(Firms!$O$5:$O$1004,$T1926)),IF(INDEX('AFA Rates'!$O$5:$O$1004,$T1926)="","",INDEX('AFA Rates'!$O$5:$O$1004,$T1926))))</f>
        <v/>
      </c>
      <c r="G1926" s="50">
        <f>IF($T1926="","",IF($S1926="S",IF(INDEX(Firms!$F$5:$F$1004,$T1926)="","",INDEX(Firms!$F$5:$F$1004,$T1926)),IF(INDEX('AFA Rates'!$E$5:$E$1004,$T1926)="","",INDEX('AFA Rates'!$E$5:$E$1004,$T1926))))</f>
        <v/>
      </c>
      <c r="H1926" s="50">
        <f>IF($T1926="","",IF($S1926="S",IF(INDEX(Firms!$G$5:$G$1004,$T1926)="","",INDEX(Firms!$G$5:$G$1004,$T1926)),IF(INDEX('AFA Rates'!$F$5:$F$1004,$T1926)="","",INDEX('AFA Rates'!$F$5:$F$1004,$T1926))))</f>
        <v/>
      </c>
      <c r="I1926" s="50">
        <f>IF($T1926="","",IF($S1926="S",IF(INDEX(Firms!$H$5:$H$1004,$T1926)="","",INDEX(Firms!$H$5:$H$1004,$T1926)),IF(INDEX('AFA Rates'!$G$5:$G$1004,$T1926)="","",INDEX('AFA Rates'!$G$5:$G$1004,$T1926))))</f>
        <v/>
      </c>
      <c r="J1926" s="50">
        <f>IF($T1926="","",IF($S1926="S",IF(INDEX(Firms!$I$5:$I$1004,$T1926)="","",INDEX(Firms!$I$5:$I$1004,$T1926)),IF(INDEX('AFA Rates'!$H$5:$H$1004,$T1926)="","",INDEX('AFA Rates'!$H$5:$H$1004,$T1926))))</f>
        <v/>
      </c>
      <c r="K1926" s="50">
        <f>IF($T1926="","",IF($S1926="S",IF(INDEX(Firms!$J$5:$J$1004,$T1926)="","",INDEX(Firms!$J$5:$J$1004,$T1926)),IF(INDEX('AFA Rates'!$I$5:$I$1004,$T1926)="","",INDEX('AFA Rates'!$I$5:$I$1004,$T1926))))</f>
        <v/>
      </c>
      <c r="L1926" s="50">
        <f>IF($T1926="","",IF($S1926="S",IF(INDEX(Firms!$K$5:$K$1004,$T1926)="","",INDEX(Firms!$K$5:$K$1004,$T1926)),IF(INDEX('AFA Rates'!$J$5:$J$1004,$T1926)="","",INDEX('AFA Rates'!$J$5:$J$1004,$T1926))))</f>
        <v/>
      </c>
      <c r="M1926" s="50">
        <f>IF($T1926="","",IF($S1926="S",IF(INDEX(Firms!$L$5:$L$1004,$T1926)="","",INDEX(Firms!$L$5:$L$1004,$T1926)),IF(INDEX('AFA Rates'!$K$5:$K$1004,$T1926)="","",INDEX('AFA Rates'!$K$5:$K$1004,$T1926))))</f>
        <v/>
      </c>
      <c r="N1926" s="50">
        <f>IF($T1926="","",IF($S1926="S",IF(INDEX(Firms!$M$5:$M$1004,$T1926)="","",INDEX(Firms!$M$5:$M$1004,$T1926)),IF(INDEX('AFA Rates'!$L$5:$L$1004,$T1926)="","",INDEX('AFA Rates'!$L$5:$L$1004,$T1926))))</f>
        <v/>
      </c>
      <c r="O1926" s="78">
        <f>IF(OR($T1926="",$U1926=""),"",IF(INDEX(Firms!$C$5:$C$1004,$U1926)="","",INDEX(Firms!$C$5:$C$1004,$U1926)))</f>
        <v/>
      </c>
      <c r="P1926" s="79">
        <f>IF(OR($T1926="",$U1926=""),"",IF(INDEX(Firms!$N$5:$N$1004,$U1926)="","",INDEX(Firms!$N$5:$N$1004,$U1926)))</f>
        <v/>
      </c>
      <c r="Q1926" s="78">
        <f>IF($T1926="","",IF($S1926="S",IF(INDEX(Firms!$T$5:$T$1004,$T1926)="","",INDEX(Firms!$T$5:$T$1004,$T1926)),IF(INDEX('AFA Rates'!$M$5:$M$1004,$T1926)="","",INDEX('AFA Rates'!$M$5:$M$1004,$T1926))))</f>
        <v/>
      </c>
      <c r="S1926">
        <f>IF(1922&lt;=$S$2,"S",IF(1922&lt;=$S$2+$T$2,"A",""))</f>
        <v/>
      </c>
      <c r="T1926">
        <f>IF(S1926="S",MATCH(1922,Firms!$W$5:$W$1004,0),IF(S1926="A",IFERROR(MATCH(1922-$S$2,'AFA Rates'!$R$5:$R$1004,0),""),""))</f>
        <v/>
      </c>
      <c r="U1926">
        <f>IF(S1926="S",T1926,IF(AND(S1926="A",T1926&lt;&gt;""),IFERROR(MATCH(INDEX('AFA Rates'!$A$5:$A$1004,T1926),Firms!$A$5:$A$1004,0),""),""))</f>
        <v/>
      </c>
    </row>
    <row r="1927">
      <c r="A1927" s="78">
        <f>IF($T1927="","",IF($S1927="S",IF(INDEX(Firms!$A$5:$A$1004,$T1927)="","",INDEX(Firms!$A$5:$A$1004,$T1927)),IF(INDEX('AFA Rates'!$A$5:$A$1004,$T1927)="","",INDEX('AFA Rates'!$A$5:$A$1004,$T1927))))</f>
        <v/>
      </c>
      <c r="B1927" s="79">
        <f>IF(OR($T1927="",$U1927=""),IF($T1927="","","Not on Firms tab"),INDEX(Firms!$B$5:$B$1004,$U1927)&amp;"")</f>
        <v/>
      </c>
      <c r="C1927" s="78">
        <f>IF($T1927="","",IF($S1927="S","Standard",INDEX('AFA Rates'!$B$5:$B$1004,$T1927)&amp;""))</f>
        <v/>
      </c>
      <c r="D1927" s="88">
        <f>IF($T1927="","",IF($S1927="S",IF(INDEX(Firms!$E$5:$E$1004,$T1927)="","",INDEX(Firms!$E$5:$E$1004,$T1927)),IF(INDEX('AFA Rates'!$C$5:$C$1004,$T1927)="","",INDEX('AFA Rates'!$C$5:$C$1004,$T1927))))</f>
        <v/>
      </c>
      <c r="E1927" s="88">
        <f>IF($T1927="","",IF($S1927="S",IF(""="","",""),IF(INDEX('AFA Rates'!$D$5:$D$1004,$T1927)="","",INDEX('AFA Rates'!$D$5:$D$1004,$T1927))))</f>
        <v/>
      </c>
      <c r="F1927" s="79">
        <f>IF($T1927="","",IF($S1927="S",IF(INDEX(Firms!$O$5:$O$1004,$T1927)="","",INDEX(Firms!$O$5:$O$1004,$T1927)),IF(INDEX('AFA Rates'!$O$5:$O$1004,$T1927)="","",INDEX('AFA Rates'!$O$5:$O$1004,$T1927))))</f>
        <v/>
      </c>
      <c r="G1927" s="50">
        <f>IF($T1927="","",IF($S1927="S",IF(INDEX(Firms!$F$5:$F$1004,$T1927)="","",INDEX(Firms!$F$5:$F$1004,$T1927)),IF(INDEX('AFA Rates'!$E$5:$E$1004,$T1927)="","",INDEX('AFA Rates'!$E$5:$E$1004,$T1927))))</f>
        <v/>
      </c>
      <c r="H1927" s="50">
        <f>IF($T1927="","",IF($S1927="S",IF(INDEX(Firms!$G$5:$G$1004,$T1927)="","",INDEX(Firms!$G$5:$G$1004,$T1927)),IF(INDEX('AFA Rates'!$F$5:$F$1004,$T1927)="","",INDEX('AFA Rates'!$F$5:$F$1004,$T1927))))</f>
        <v/>
      </c>
      <c r="I1927" s="50">
        <f>IF($T1927="","",IF($S1927="S",IF(INDEX(Firms!$H$5:$H$1004,$T1927)="","",INDEX(Firms!$H$5:$H$1004,$T1927)),IF(INDEX('AFA Rates'!$G$5:$G$1004,$T1927)="","",INDEX('AFA Rates'!$G$5:$G$1004,$T1927))))</f>
        <v/>
      </c>
      <c r="J1927" s="50">
        <f>IF($T1927="","",IF($S1927="S",IF(INDEX(Firms!$I$5:$I$1004,$T1927)="","",INDEX(Firms!$I$5:$I$1004,$T1927)),IF(INDEX('AFA Rates'!$H$5:$H$1004,$T1927)="","",INDEX('AFA Rates'!$H$5:$H$1004,$T1927))))</f>
        <v/>
      </c>
      <c r="K1927" s="50">
        <f>IF($T1927="","",IF($S1927="S",IF(INDEX(Firms!$J$5:$J$1004,$T1927)="","",INDEX(Firms!$J$5:$J$1004,$T1927)),IF(INDEX('AFA Rates'!$I$5:$I$1004,$T1927)="","",INDEX('AFA Rates'!$I$5:$I$1004,$T1927))))</f>
        <v/>
      </c>
      <c r="L1927" s="50">
        <f>IF($T1927="","",IF($S1927="S",IF(INDEX(Firms!$K$5:$K$1004,$T1927)="","",INDEX(Firms!$K$5:$K$1004,$T1927)),IF(INDEX('AFA Rates'!$J$5:$J$1004,$T1927)="","",INDEX('AFA Rates'!$J$5:$J$1004,$T1927))))</f>
        <v/>
      </c>
      <c r="M1927" s="50">
        <f>IF($T1927="","",IF($S1927="S",IF(INDEX(Firms!$L$5:$L$1004,$T1927)="","",INDEX(Firms!$L$5:$L$1004,$T1927)),IF(INDEX('AFA Rates'!$K$5:$K$1004,$T1927)="","",INDEX('AFA Rates'!$K$5:$K$1004,$T1927))))</f>
        <v/>
      </c>
      <c r="N1927" s="50">
        <f>IF($T1927="","",IF($S1927="S",IF(INDEX(Firms!$M$5:$M$1004,$T1927)="","",INDEX(Firms!$M$5:$M$1004,$T1927)),IF(INDEX('AFA Rates'!$L$5:$L$1004,$T1927)="","",INDEX('AFA Rates'!$L$5:$L$1004,$T1927))))</f>
        <v/>
      </c>
      <c r="O1927" s="78">
        <f>IF(OR($T1927="",$U1927=""),"",IF(INDEX(Firms!$C$5:$C$1004,$U1927)="","",INDEX(Firms!$C$5:$C$1004,$U1927)))</f>
        <v/>
      </c>
      <c r="P1927" s="79">
        <f>IF(OR($T1927="",$U1927=""),"",IF(INDEX(Firms!$N$5:$N$1004,$U1927)="","",INDEX(Firms!$N$5:$N$1004,$U1927)))</f>
        <v/>
      </c>
      <c r="Q1927" s="78">
        <f>IF($T1927="","",IF($S1927="S",IF(INDEX(Firms!$T$5:$T$1004,$T1927)="","",INDEX(Firms!$T$5:$T$1004,$T1927)),IF(INDEX('AFA Rates'!$M$5:$M$1004,$T1927)="","",INDEX('AFA Rates'!$M$5:$M$1004,$T1927))))</f>
        <v/>
      </c>
      <c r="S1927">
        <f>IF(1923&lt;=$S$2,"S",IF(1923&lt;=$S$2+$T$2,"A",""))</f>
        <v/>
      </c>
      <c r="T1927">
        <f>IF(S1927="S",MATCH(1923,Firms!$W$5:$W$1004,0),IF(S1927="A",IFERROR(MATCH(1923-$S$2,'AFA Rates'!$R$5:$R$1004,0),""),""))</f>
        <v/>
      </c>
      <c r="U1927">
        <f>IF(S1927="S",T1927,IF(AND(S1927="A",T1927&lt;&gt;""),IFERROR(MATCH(INDEX('AFA Rates'!$A$5:$A$1004,T1927),Firms!$A$5:$A$1004,0),""),""))</f>
        <v/>
      </c>
    </row>
    <row r="1928">
      <c r="A1928" s="78">
        <f>IF($T1928="","",IF($S1928="S",IF(INDEX(Firms!$A$5:$A$1004,$T1928)="","",INDEX(Firms!$A$5:$A$1004,$T1928)),IF(INDEX('AFA Rates'!$A$5:$A$1004,$T1928)="","",INDEX('AFA Rates'!$A$5:$A$1004,$T1928))))</f>
        <v/>
      </c>
      <c r="B1928" s="79">
        <f>IF(OR($T1928="",$U1928=""),IF($T1928="","","Not on Firms tab"),INDEX(Firms!$B$5:$B$1004,$U1928)&amp;"")</f>
        <v/>
      </c>
      <c r="C1928" s="78">
        <f>IF($T1928="","",IF($S1928="S","Standard",INDEX('AFA Rates'!$B$5:$B$1004,$T1928)&amp;""))</f>
        <v/>
      </c>
      <c r="D1928" s="88">
        <f>IF($T1928="","",IF($S1928="S",IF(INDEX(Firms!$E$5:$E$1004,$T1928)="","",INDEX(Firms!$E$5:$E$1004,$T1928)),IF(INDEX('AFA Rates'!$C$5:$C$1004,$T1928)="","",INDEX('AFA Rates'!$C$5:$C$1004,$T1928))))</f>
        <v/>
      </c>
      <c r="E1928" s="88">
        <f>IF($T1928="","",IF($S1928="S",IF(""="","",""),IF(INDEX('AFA Rates'!$D$5:$D$1004,$T1928)="","",INDEX('AFA Rates'!$D$5:$D$1004,$T1928))))</f>
        <v/>
      </c>
      <c r="F1928" s="79">
        <f>IF($T1928="","",IF($S1928="S",IF(INDEX(Firms!$O$5:$O$1004,$T1928)="","",INDEX(Firms!$O$5:$O$1004,$T1928)),IF(INDEX('AFA Rates'!$O$5:$O$1004,$T1928)="","",INDEX('AFA Rates'!$O$5:$O$1004,$T1928))))</f>
        <v/>
      </c>
      <c r="G1928" s="50">
        <f>IF($T1928="","",IF($S1928="S",IF(INDEX(Firms!$F$5:$F$1004,$T1928)="","",INDEX(Firms!$F$5:$F$1004,$T1928)),IF(INDEX('AFA Rates'!$E$5:$E$1004,$T1928)="","",INDEX('AFA Rates'!$E$5:$E$1004,$T1928))))</f>
        <v/>
      </c>
      <c r="H1928" s="50">
        <f>IF($T1928="","",IF($S1928="S",IF(INDEX(Firms!$G$5:$G$1004,$T1928)="","",INDEX(Firms!$G$5:$G$1004,$T1928)),IF(INDEX('AFA Rates'!$F$5:$F$1004,$T1928)="","",INDEX('AFA Rates'!$F$5:$F$1004,$T1928))))</f>
        <v/>
      </c>
      <c r="I1928" s="50">
        <f>IF($T1928="","",IF($S1928="S",IF(INDEX(Firms!$H$5:$H$1004,$T1928)="","",INDEX(Firms!$H$5:$H$1004,$T1928)),IF(INDEX('AFA Rates'!$G$5:$G$1004,$T1928)="","",INDEX('AFA Rates'!$G$5:$G$1004,$T1928))))</f>
        <v/>
      </c>
      <c r="J1928" s="50">
        <f>IF($T1928="","",IF($S1928="S",IF(INDEX(Firms!$I$5:$I$1004,$T1928)="","",INDEX(Firms!$I$5:$I$1004,$T1928)),IF(INDEX('AFA Rates'!$H$5:$H$1004,$T1928)="","",INDEX('AFA Rates'!$H$5:$H$1004,$T1928))))</f>
        <v/>
      </c>
      <c r="K1928" s="50">
        <f>IF($T1928="","",IF($S1928="S",IF(INDEX(Firms!$J$5:$J$1004,$T1928)="","",INDEX(Firms!$J$5:$J$1004,$T1928)),IF(INDEX('AFA Rates'!$I$5:$I$1004,$T1928)="","",INDEX('AFA Rates'!$I$5:$I$1004,$T1928))))</f>
        <v/>
      </c>
      <c r="L1928" s="50">
        <f>IF($T1928="","",IF($S1928="S",IF(INDEX(Firms!$K$5:$K$1004,$T1928)="","",INDEX(Firms!$K$5:$K$1004,$T1928)),IF(INDEX('AFA Rates'!$J$5:$J$1004,$T1928)="","",INDEX('AFA Rates'!$J$5:$J$1004,$T1928))))</f>
        <v/>
      </c>
      <c r="M1928" s="50">
        <f>IF($T1928="","",IF($S1928="S",IF(INDEX(Firms!$L$5:$L$1004,$T1928)="","",INDEX(Firms!$L$5:$L$1004,$T1928)),IF(INDEX('AFA Rates'!$K$5:$K$1004,$T1928)="","",INDEX('AFA Rates'!$K$5:$K$1004,$T1928))))</f>
        <v/>
      </c>
      <c r="N1928" s="50">
        <f>IF($T1928="","",IF($S1928="S",IF(INDEX(Firms!$M$5:$M$1004,$T1928)="","",INDEX(Firms!$M$5:$M$1004,$T1928)),IF(INDEX('AFA Rates'!$L$5:$L$1004,$T1928)="","",INDEX('AFA Rates'!$L$5:$L$1004,$T1928))))</f>
        <v/>
      </c>
      <c r="O1928" s="78">
        <f>IF(OR($T1928="",$U1928=""),"",IF(INDEX(Firms!$C$5:$C$1004,$U1928)="","",INDEX(Firms!$C$5:$C$1004,$U1928)))</f>
        <v/>
      </c>
      <c r="P1928" s="79">
        <f>IF(OR($T1928="",$U1928=""),"",IF(INDEX(Firms!$N$5:$N$1004,$U1928)="","",INDEX(Firms!$N$5:$N$1004,$U1928)))</f>
        <v/>
      </c>
      <c r="Q1928" s="78">
        <f>IF($T1928="","",IF($S1928="S",IF(INDEX(Firms!$T$5:$T$1004,$T1928)="","",INDEX(Firms!$T$5:$T$1004,$T1928)),IF(INDEX('AFA Rates'!$M$5:$M$1004,$T1928)="","",INDEX('AFA Rates'!$M$5:$M$1004,$T1928))))</f>
        <v/>
      </c>
      <c r="S1928">
        <f>IF(1924&lt;=$S$2,"S",IF(1924&lt;=$S$2+$T$2,"A",""))</f>
        <v/>
      </c>
      <c r="T1928">
        <f>IF(S1928="S",MATCH(1924,Firms!$W$5:$W$1004,0),IF(S1928="A",IFERROR(MATCH(1924-$S$2,'AFA Rates'!$R$5:$R$1004,0),""),""))</f>
        <v/>
      </c>
      <c r="U1928">
        <f>IF(S1928="S",T1928,IF(AND(S1928="A",T1928&lt;&gt;""),IFERROR(MATCH(INDEX('AFA Rates'!$A$5:$A$1004,T1928),Firms!$A$5:$A$1004,0),""),""))</f>
        <v/>
      </c>
    </row>
    <row r="1929">
      <c r="A1929" s="78">
        <f>IF($T1929="","",IF($S1929="S",IF(INDEX(Firms!$A$5:$A$1004,$T1929)="","",INDEX(Firms!$A$5:$A$1004,$T1929)),IF(INDEX('AFA Rates'!$A$5:$A$1004,$T1929)="","",INDEX('AFA Rates'!$A$5:$A$1004,$T1929))))</f>
        <v/>
      </c>
      <c r="B1929" s="79">
        <f>IF(OR($T1929="",$U1929=""),IF($T1929="","","Not on Firms tab"),INDEX(Firms!$B$5:$B$1004,$U1929)&amp;"")</f>
        <v/>
      </c>
      <c r="C1929" s="78">
        <f>IF($T1929="","",IF($S1929="S","Standard",INDEX('AFA Rates'!$B$5:$B$1004,$T1929)&amp;""))</f>
        <v/>
      </c>
      <c r="D1929" s="88">
        <f>IF($T1929="","",IF($S1929="S",IF(INDEX(Firms!$E$5:$E$1004,$T1929)="","",INDEX(Firms!$E$5:$E$1004,$T1929)),IF(INDEX('AFA Rates'!$C$5:$C$1004,$T1929)="","",INDEX('AFA Rates'!$C$5:$C$1004,$T1929))))</f>
        <v/>
      </c>
      <c r="E1929" s="88">
        <f>IF($T1929="","",IF($S1929="S",IF(""="","",""),IF(INDEX('AFA Rates'!$D$5:$D$1004,$T1929)="","",INDEX('AFA Rates'!$D$5:$D$1004,$T1929))))</f>
        <v/>
      </c>
      <c r="F1929" s="79">
        <f>IF($T1929="","",IF($S1929="S",IF(INDEX(Firms!$O$5:$O$1004,$T1929)="","",INDEX(Firms!$O$5:$O$1004,$T1929)),IF(INDEX('AFA Rates'!$O$5:$O$1004,$T1929)="","",INDEX('AFA Rates'!$O$5:$O$1004,$T1929))))</f>
        <v/>
      </c>
      <c r="G1929" s="50">
        <f>IF($T1929="","",IF($S1929="S",IF(INDEX(Firms!$F$5:$F$1004,$T1929)="","",INDEX(Firms!$F$5:$F$1004,$T1929)),IF(INDEX('AFA Rates'!$E$5:$E$1004,$T1929)="","",INDEX('AFA Rates'!$E$5:$E$1004,$T1929))))</f>
        <v/>
      </c>
      <c r="H1929" s="50">
        <f>IF($T1929="","",IF($S1929="S",IF(INDEX(Firms!$G$5:$G$1004,$T1929)="","",INDEX(Firms!$G$5:$G$1004,$T1929)),IF(INDEX('AFA Rates'!$F$5:$F$1004,$T1929)="","",INDEX('AFA Rates'!$F$5:$F$1004,$T1929))))</f>
        <v/>
      </c>
      <c r="I1929" s="50">
        <f>IF($T1929="","",IF($S1929="S",IF(INDEX(Firms!$H$5:$H$1004,$T1929)="","",INDEX(Firms!$H$5:$H$1004,$T1929)),IF(INDEX('AFA Rates'!$G$5:$G$1004,$T1929)="","",INDEX('AFA Rates'!$G$5:$G$1004,$T1929))))</f>
        <v/>
      </c>
      <c r="J1929" s="50">
        <f>IF($T1929="","",IF($S1929="S",IF(INDEX(Firms!$I$5:$I$1004,$T1929)="","",INDEX(Firms!$I$5:$I$1004,$T1929)),IF(INDEX('AFA Rates'!$H$5:$H$1004,$T1929)="","",INDEX('AFA Rates'!$H$5:$H$1004,$T1929))))</f>
        <v/>
      </c>
      <c r="K1929" s="50">
        <f>IF($T1929="","",IF($S1929="S",IF(INDEX(Firms!$J$5:$J$1004,$T1929)="","",INDEX(Firms!$J$5:$J$1004,$T1929)),IF(INDEX('AFA Rates'!$I$5:$I$1004,$T1929)="","",INDEX('AFA Rates'!$I$5:$I$1004,$T1929))))</f>
        <v/>
      </c>
      <c r="L1929" s="50">
        <f>IF($T1929="","",IF($S1929="S",IF(INDEX(Firms!$K$5:$K$1004,$T1929)="","",INDEX(Firms!$K$5:$K$1004,$T1929)),IF(INDEX('AFA Rates'!$J$5:$J$1004,$T1929)="","",INDEX('AFA Rates'!$J$5:$J$1004,$T1929))))</f>
        <v/>
      </c>
      <c r="M1929" s="50">
        <f>IF($T1929="","",IF($S1929="S",IF(INDEX(Firms!$L$5:$L$1004,$T1929)="","",INDEX(Firms!$L$5:$L$1004,$T1929)),IF(INDEX('AFA Rates'!$K$5:$K$1004,$T1929)="","",INDEX('AFA Rates'!$K$5:$K$1004,$T1929))))</f>
        <v/>
      </c>
      <c r="N1929" s="50">
        <f>IF($T1929="","",IF($S1929="S",IF(INDEX(Firms!$M$5:$M$1004,$T1929)="","",INDEX(Firms!$M$5:$M$1004,$T1929)),IF(INDEX('AFA Rates'!$L$5:$L$1004,$T1929)="","",INDEX('AFA Rates'!$L$5:$L$1004,$T1929))))</f>
        <v/>
      </c>
      <c r="O1929" s="78">
        <f>IF(OR($T1929="",$U1929=""),"",IF(INDEX(Firms!$C$5:$C$1004,$U1929)="","",INDEX(Firms!$C$5:$C$1004,$U1929)))</f>
        <v/>
      </c>
      <c r="P1929" s="79">
        <f>IF(OR($T1929="",$U1929=""),"",IF(INDEX(Firms!$N$5:$N$1004,$U1929)="","",INDEX(Firms!$N$5:$N$1004,$U1929)))</f>
        <v/>
      </c>
      <c r="Q1929" s="78">
        <f>IF($T1929="","",IF($S1929="S",IF(INDEX(Firms!$T$5:$T$1004,$T1929)="","",INDEX(Firms!$T$5:$T$1004,$T1929)),IF(INDEX('AFA Rates'!$M$5:$M$1004,$T1929)="","",INDEX('AFA Rates'!$M$5:$M$1004,$T1929))))</f>
        <v/>
      </c>
      <c r="S1929">
        <f>IF(1925&lt;=$S$2,"S",IF(1925&lt;=$S$2+$T$2,"A",""))</f>
        <v/>
      </c>
      <c r="T1929">
        <f>IF(S1929="S",MATCH(1925,Firms!$W$5:$W$1004,0),IF(S1929="A",IFERROR(MATCH(1925-$S$2,'AFA Rates'!$R$5:$R$1004,0),""),""))</f>
        <v/>
      </c>
      <c r="U1929">
        <f>IF(S1929="S",T1929,IF(AND(S1929="A",T1929&lt;&gt;""),IFERROR(MATCH(INDEX('AFA Rates'!$A$5:$A$1004,T1929),Firms!$A$5:$A$1004,0),""),""))</f>
        <v/>
      </c>
    </row>
    <row r="1930">
      <c r="A1930" s="78">
        <f>IF($T1930="","",IF($S1930="S",IF(INDEX(Firms!$A$5:$A$1004,$T1930)="","",INDEX(Firms!$A$5:$A$1004,$T1930)),IF(INDEX('AFA Rates'!$A$5:$A$1004,$T1930)="","",INDEX('AFA Rates'!$A$5:$A$1004,$T1930))))</f>
        <v/>
      </c>
      <c r="B1930" s="79">
        <f>IF(OR($T1930="",$U1930=""),IF($T1930="","","Not on Firms tab"),INDEX(Firms!$B$5:$B$1004,$U1930)&amp;"")</f>
        <v/>
      </c>
      <c r="C1930" s="78">
        <f>IF($T1930="","",IF($S1930="S","Standard",INDEX('AFA Rates'!$B$5:$B$1004,$T1930)&amp;""))</f>
        <v/>
      </c>
      <c r="D1930" s="88">
        <f>IF($T1930="","",IF($S1930="S",IF(INDEX(Firms!$E$5:$E$1004,$T1930)="","",INDEX(Firms!$E$5:$E$1004,$T1930)),IF(INDEX('AFA Rates'!$C$5:$C$1004,$T1930)="","",INDEX('AFA Rates'!$C$5:$C$1004,$T1930))))</f>
        <v/>
      </c>
      <c r="E1930" s="88">
        <f>IF($T1930="","",IF($S1930="S",IF(""="","",""),IF(INDEX('AFA Rates'!$D$5:$D$1004,$T1930)="","",INDEX('AFA Rates'!$D$5:$D$1004,$T1930))))</f>
        <v/>
      </c>
      <c r="F1930" s="79">
        <f>IF($T1930="","",IF($S1930="S",IF(INDEX(Firms!$O$5:$O$1004,$T1930)="","",INDEX(Firms!$O$5:$O$1004,$T1930)),IF(INDEX('AFA Rates'!$O$5:$O$1004,$T1930)="","",INDEX('AFA Rates'!$O$5:$O$1004,$T1930))))</f>
        <v/>
      </c>
      <c r="G1930" s="50">
        <f>IF($T1930="","",IF($S1930="S",IF(INDEX(Firms!$F$5:$F$1004,$T1930)="","",INDEX(Firms!$F$5:$F$1004,$T1930)),IF(INDEX('AFA Rates'!$E$5:$E$1004,$T1930)="","",INDEX('AFA Rates'!$E$5:$E$1004,$T1930))))</f>
        <v/>
      </c>
      <c r="H1930" s="50">
        <f>IF($T1930="","",IF($S1930="S",IF(INDEX(Firms!$G$5:$G$1004,$T1930)="","",INDEX(Firms!$G$5:$G$1004,$T1930)),IF(INDEX('AFA Rates'!$F$5:$F$1004,$T1930)="","",INDEX('AFA Rates'!$F$5:$F$1004,$T1930))))</f>
        <v/>
      </c>
      <c r="I1930" s="50">
        <f>IF($T1930="","",IF($S1930="S",IF(INDEX(Firms!$H$5:$H$1004,$T1930)="","",INDEX(Firms!$H$5:$H$1004,$T1930)),IF(INDEX('AFA Rates'!$G$5:$G$1004,$T1930)="","",INDEX('AFA Rates'!$G$5:$G$1004,$T1930))))</f>
        <v/>
      </c>
      <c r="J1930" s="50">
        <f>IF($T1930="","",IF($S1930="S",IF(INDEX(Firms!$I$5:$I$1004,$T1930)="","",INDEX(Firms!$I$5:$I$1004,$T1930)),IF(INDEX('AFA Rates'!$H$5:$H$1004,$T1930)="","",INDEX('AFA Rates'!$H$5:$H$1004,$T1930))))</f>
        <v/>
      </c>
      <c r="K1930" s="50">
        <f>IF($T1930="","",IF($S1930="S",IF(INDEX(Firms!$J$5:$J$1004,$T1930)="","",INDEX(Firms!$J$5:$J$1004,$T1930)),IF(INDEX('AFA Rates'!$I$5:$I$1004,$T1930)="","",INDEX('AFA Rates'!$I$5:$I$1004,$T1930))))</f>
        <v/>
      </c>
      <c r="L1930" s="50">
        <f>IF($T1930="","",IF($S1930="S",IF(INDEX(Firms!$K$5:$K$1004,$T1930)="","",INDEX(Firms!$K$5:$K$1004,$T1930)),IF(INDEX('AFA Rates'!$J$5:$J$1004,$T1930)="","",INDEX('AFA Rates'!$J$5:$J$1004,$T1930))))</f>
        <v/>
      </c>
      <c r="M1930" s="50">
        <f>IF($T1930="","",IF($S1930="S",IF(INDEX(Firms!$L$5:$L$1004,$T1930)="","",INDEX(Firms!$L$5:$L$1004,$T1930)),IF(INDEX('AFA Rates'!$K$5:$K$1004,$T1930)="","",INDEX('AFA Rates'!$K$5:$K$1004,$T1930))))</f>
        <v/>
      </c>
      <c r="N1930" s="50">
        <f>IF($T1930="","",IF($S1930="S",IF(INDEX(Firms!$M$5:$M$1004,$T1930)="","",INDEX(Firms!$M$5:$M$1004,$T1930)),IF(INDEX('AFA Rates'!$L$5:$L$1004,$T1930)="","",INDEX('AFA Rates'!$L$5:$L$1004,$T1930))))</f>
        <v/>
      </c>
      <c r="O1930" s="78">
        <f>IF(OR($T1930="",$U1930=""),"",IF(INDEX(Firms!$C$5:$C$1004,$U1930)="","",INDEX(Firms!$C$5:$C$1004,$U1930)))</f>
        <v/>
      </c>
      <c r="P1930" s="79">
        <f>IF(OR($T1930="",$U1930=""),"",IF(INDEX(Firms!$N$5:$N$1004,$U1930)="","",INDEX(Firms!$N$5:$N$1004,$U1930)))</f>
        <v/>
      </c>
      <c r="Q1930" s="78">
        <f>IF($T1930="","",IF($S1930="S",IF(INDEX(Firms!$T$5:$T$1004,$T1930)="","",INDEX(Firms!$T$5:$T$1004,$T1930)),IF(INDEX('AFA Rates'!$M$5:$M$1004,$T1930)="","",INDEX('AFA Rates'!$M$5:$M$1004,$T1930))))</f>
        <v/>
      </c>
      <c r="S1930">
        <f>IF(1926&lt;=$S$2,"S",IF(1926&lt;=$S$2+$T$2,"A",""))</f>
        <v/>
      </c>
      <c r="T1930">
        <f>IF(S1930="S",MATCH(1926,Firms!$W$5:$W$1004,0),IF(S1930="A",IFERROR(MATCH(1926-$S$2,'AFA Rates'!$R$5:$R$1004,0),""),""))</f>
        <v/>
      </c>
      <c r="U1930">
        <f>IF(S1930="S",T1930,IF(AND(S1930="A",T1930&lt;&gt;""),IFERROR(MATCH(INDEX('AFA Rates'!$A$5:$A$1004,T1930),Firms!$A$5:$A$1004,0),""),""))</f>
        <v/>
      </c>
    </row>
    <row r="1931">
      <c r="A1931" s="78">
        <f>IF($T1931="","",IF($S1931="S",IF(INDEX(Firms!$A$5:$A$1004,$T1931)="","",INDEX(Firms!$A$5:$A$1004,$T1931)),IF(INDEX('AFA Rates'!$A$5:$A$1004,$T1931)="","",INDEX('AFA Rates'!$A$5:$A$1004,$T1931))))</f>
        <v/>
      </c>
      <c r="B1931" s="79">
        <f>IF(OR($T1931="",$U1931=""),IF($T1931="","","Not on Firms tab"),INDEX(Firms!$B$5:$B$1004,$U1931)&amp;"")</f>
        <v/>
      </c>
      <c r="C1931" s="78">
        <f>IF($T1931="","",IF($S1931="S","Standard",INDEX('AFA Rates'!$B$5:$B$1004,$T1931)&amp;""))</f>
        <v/>
      </c>
      <c r="D1931" s="88">
        <f>IF($T1931="","",IF($S1931="S",IF(INDEX(Firms!$E$5:$E$1004,$T1931)="","",INDEX(Firms!$E$5:$E$1004,$T1931)),IF(INDEX('AFA Rates'!$C$5:$C$1004,$T1931)="","",INDEX('AFA Rates'!$C$5:$C$1004,$T1931))))</f>
        <v/>
      </c>
      <c r="E1931" s="88">
        <f>IF($T1931="","",IF($S1931="S",IF(""="","",""),IF(INDEX('AFA Rates'!$D$5:$D$1004,$T1931)="","",INDEX('AFA Rates'!$D$5:$D$1004,$T1931))))</f>
        <v/>
      </c>
      <c r="F1931" s="79">
        <f>IF($T1931="","",IF($S1931="S",IF(INDEX(Firms!$O$5:$O$1004,$T1931)="","",INDEX(Firms!$O$5:$O$1004,$T1931)),IF(INDEX('AFA Rates'!$O$5:$O$1004,$T1931)="","",INDEX('AFA Rates'!$O$5:$O$1004,$T1931))))</f>
        <v/>
      </c>
      <c r="G1931" s="50">
        <f>IF($T1931="","",IF($S1931="S",IF(INDEX(Firms!$F$5:$F$1004,$T1931)="","",INDEX(Firms!$F$5:$F$1004,$T1931)),IF(INDEX('AFA Rates'!$E$5:$E$1004,$T1931)="","",INDEX('AFA Rates'!$E$5:$E$1004,$T1931))))</f>
        <v/>
      </c>
      <c r="H1931" s="50">
        <f>IF($T1931="","",IF($S1931="S",IF(INDEX(Firms!$G$5:$G$1004,$T1931)="","",INDEX(Firms!$G$5:$G$1004,$T1931)),IF(INDEX('AFA Rates'!$F$5:$F$1004,$T1931)="","",INDEX('AFA Rates'!$F$5:$F$1004,$T1931))))</f>
        <v/>
      </c>
      <c r="I1931" s="50">
        <f>IF($T1931="","",IF($S1931="S",IF(INDEX(Firms!$H$5:$H$1004,$T1931)="","",INDEX(Firms!$H$5:$H$1004,$T1931)),IF(INDEX('AFA Rates'!$G$5:$G$1004,$T1931)="","",INDEX('AFA Rates'!$G$5:$G$1004,$T1931))))</f>
        <v/>
      </c>
      <c r="J1931" s="50">
        <f>IF($T1931="","",IF($S1931="S",IF(INDEX(Firms!$I$5:$I$1004,$T1931)="","",INDEX(Firms!$I$5:$I$1004,$T1931)),IF(INDEX('AFA Rates'!$H$5:$H$1004,$T1931)="","",INDEX('AFA Rates'!$H$5:$H$1004,$T1931))))</f>
        <v/>
      </c>
      <c r="K1931" s="50">
        <f>IF($T1931="","",IF($S1931="S",IF(INDEX(Firms!$J$5:$J$1004,$T1931)="","",INDEX(Firms!$J$5:$J$1004,$T1931)),IF(INDEX('AFA Rates'!$I$5:$I$1004,$T1931)="","",INDEX('AFA Rates'!$I$5:$I$1004,$T1931))))</f>
        <v/>
      </c>
      <c r="L1931" s="50">
        <f>IF($T1931="","",IF($S1931="S",IF(INDEX(Firms!$K$5:$K$1004,$T1931)="","",INDEX(Firms!$K$5:$K$1004,$T1931)),IF(INDEX('AFA Rates'!$J$5:$J$1004,$T1931)="","",INDEX('AFA Rates'!$J$5:$J$1004,$T1931))))</f>
        <v/>
      </c>
      <c r="M1931" s="50">
        <f>IF($T1931="","",IF($S1931="S",IF(INDEX(Firms!$L$5:$L$1004,$T1931)="","",INDEX(Firms!$L$5:$L$1004,$T1931)),IF(INDEX('AFA Rates'!$K$5:$K$1004,$T1931)="","",INDEX('AFA Rates'!$K$5:$K$1004,$T1931))))</f>
        <v/>
      </c>
      <c r="N1931" s="50">
        <f>IF($T1931="","",IF($S1931="S",IF(INDEX(Firms!$M$5:$M$1004,$T1931)="","",INDEX(Firms!$M$5:$M$1004,$T1931)),IF(INDEX('AFA Rates'!$L$5:$L$1004,$T1931)="","",INDEX('AFA Rates'!$L$5:$L$1004,$T1931))))</f>
        <v/>
      </c>
      <c r="O1931" s="78">
        <f>IF(OR($T1931="",$U1931=""),"",IF(INDEX(Firms!$C$5:$C$1004,$U1931)="","",INDEX(Firms!$C$5:$C$1004,$U1931)))</f>
        <v/>
      </c>
      <c r="P1931" s="79">
        <f>IF(OR($T1931="",$U1931=""),"",IF(INDEX(Firms!$N$5:$N$1004,$U1931)="","",INDEX(Firms!$N$5:$N$1004,$U1931)))</f>
        <v/>
      </c>
      <c r="Q1931" s="78">
        <f>IF($T1931="","",IF($S1931="S",IF(INDEX(Firms!$T$5:$T$1004,$T1931)="","",INDEX(Firms!$T$5:$T$1004,$T1931)),IF(INDEX('AFA Rates'!$M$5:$M$1004,$T1931)="","",INDEX('AFA Rates'!$M$5:$M$1004,$T1931))))</f>
        <v/>
      </c>
      <c r="S1931">
        <f>IF(1927&lt;=$S$2,"S",IF(1927&lt;=$S$2+$T$2,"A",""))</f>
        <v/>
      </c>
      <c r="T1931">
        <f>IF(S1931="S",MATCH(1927,Firms!$W$5:$W$1004,0),IF(S1931="A",IFERROR(MATCH(1927-$S$2,'AFA Rates'!$R$5:$R$1004,0),""),""))</f>
        <v/>
      </c>
      <c r="U1931">
        <f>IF(S1931="S",T1931,IF(AND(S1931="A",T1931&lt;&gt;""),IFERROR(MATCH(INDEX('AFA Rates'!$A$5:$A$1004,T1931),Firms!$A$5:$A$1004,0),""),""))</f>
        <v/>
      </c>
    </row>
    <row r="1932">
      <c r="A1932" s="78">
        <f>IF($T1932="","",IF($S1932="S",IF(INDEX(Firms!$A$5:$A$1004,$T1932)="","",INDEX(Firms!$A$5:$A$1004,$T1932)),IF(INDEX('AFA Rates'!$A$5:$A$1004,$T1932)="","",INDEX('AFA Rates'!$A$5:$A$1004,$T1932))))</f>
        <v/>
      </c>
      <c r="B1932" s="79">
        <f>IF(OR($T1932="",$U1932=""),IF($T1932="","","Not on Firms tab"),INDEX(Firms!$B$5:$B$1004,$U1932)&amp;"")</f>
        <v/>
      </c>
      <c r="C1932" s="78">
        <f>IF($T1932="","",IF($S1932="S","Standard",INDEX('AFA Rates'!$B$5:$B$1004,$T1932)&amp;""))</f>
        <v/>
      </c>
      <c r="D1932" s="88">
        <f>IF($T1932="","",IF($S1932="S",IF(INDEX(Firms!$E$5:$E$1004,$T1932)="","",INDEX(Firms!$E$5:$E$1004,$T1932)),IF(INDEX('AFA Rates'!$C$5:$C$1004,$T1932)="","",INDEX('AFA Rates'!$C$5:$C$1004,$T1932))))</f>
        <v/>
      </c>
      <c r="E1932" s="88">
        <f>IF($T1932="","",IF($S1932="S",IF(""="","",""),IF(INDEX('AFA Rates'!$D$5:$D$1004,$T1932)="","",INDEX('AFA Rates'!$D$5:$D$1004,$T1932))))</f>
        <v/>
      </c>
      <c r="F1932" s="79">
        <f>IF($T1932="","",IF($S1932="S",IF(INDEX(Firms!$O$5:$O$1004,$T1932)="","",INDEX(Firms!$O$5:$O$1004,$T1932)),IF(INDEX('AFA Rates'!$O$5:$O$1004,$T1932)="","",INDEX('AFA Rates'!$O$5:$O$1004,$T1932))))</f>
        <v/>
      </c>
      <c r="G1932" s="50">
        <f>IF($T1932="","",IF($S1932="S",IF(INDEX(Firms!$F$5:$F$1004,$T1932)="","",INDEX(Firms!$F$5:$F$1004,$T1932)),IF(INDEX('AFA Rates'!$E$5:$E$1004,$T1932)="","",INDEX('AFA Rates'!$E$5:$E$1004,$T1932))))</f>
        <v/>
      </c>
      <c r="H1932" s="50">
        <f>IF($T1932="","",IF($S1932="S",IF(INDEX(Firms!$G$5:$G$1004,$T1932)="","",INDEX(Firms!$G$5:$G$1004,$T1932)),IF(INDEX('AFA Rates'!$F$5:$F$1004,$T1932)="","",INDEX('AFA Rates'!$F$5:$F$1004,$T1932))))</f>
        <v/>
      </c>
      <c r="I1932" s="50">
        <f>IF($T1932="","",IF($S1932="S",IF(INDEX(Firms!$H$5:$H$1004,$T1932)="","",INDEX(Firms!$H$5:$H$1004,$T1932)),IF(INDEX('AFA Rates'!$G$5:$G$1004,$T1932)="","",INDEX('AFA Rates'!$G$5:$G$1004,$T1932))))</f>
        <v/>
      </c>
      <c r="J1932" s="50">
        <f>IF($T1932="","",IF($S1932="S",IF(INDEX(Firms!$I$5:$I$1004,$T1932)="","",INDEX(Firms!$I$5:$I$1004,$T1932)),IF(INDEX('AFA Rates'!$H$5:$H$1004,$T1932)="","",INDEX('AFA Rates'!$H$5:$H$1004,$T1932))))</f>
        <v/>
      </c>
      <c r="K1932" s="50">
        <f>IF($T1932="","",IF($S1932="S",IF(INDEX(Firms!$J$5:$J$1004,$T1932)="","",INDEX(Firms!$J$5:$J$1004,$T1932)),IF(INDEX('AFA Rates'!$I$5:$I$1004,$T1932)="","",INDEX('AFA Rates'!$I$5:$I$1004,$T1932))))</f>
        <v/>
      </c>
      <c r="L1932" s="50">
        <f>IF($T1932="","",IF($S1932="S",IF(INDEX(Firms!$K$5:$K$1004,$T1932)="","",INDEX(Firms!$K$5:$K$1004,$T1932)),IF(INDEX('AFA Rates'!$J$5:$J$1004,$T1932)="","",INDEX('AFA Rates'!$J$5:$J$1004,$T1932))))</f>
        <v/>
      </c>
      <c r="M1932" s="50">
        <f>IF($T1932="","",IF($S1932="S",IF(INDEX(Firms!$L$5:$L$1004,$T1932)="","",INDEX(Firms!$L$5:$L$1004,$T1932)),IF(INDEX('AFA Rates'!$K$5:$K$1004,$T1932)="","",INDEX('AFA Rates'!$K$5:$K$1004,$T1932))))</f>
        <v/>
      </c>
      <c r="N1932" s="50">
        <f>IF($T1932="","",IF($S1932="S",IF(INDEX(Firms!$M$5:$M$1004,$T1932)="","",INDEX(Firms!$M$5:$M$1004,$T1932)),IF(INDEX('AFA Rates'!$L$5:$L$1004,$T1932)="","",INDEX('AFA Rates'!$L$5:$L$1004,$T1932))))</f>
        <v/>
      </c>
      <c r="O1932" s="78">
        <f>IF(OR($T1932="",$U1932=""),"",IF(INDEX(Firms!$C$5:$C$1004,$U1932)="","",INDEX(Firms!$C$5:$C$1004,$U1932)))</f>
        <v/>
      </c>
      <c r="P1932" s="79">
        <f>IF(OR($T1932="",$U1932=""),"",IF(INDEX(Firms!$N$5:$N$1004,$U1932)="","",INDEX(Firms!$N$5:$N$1004,$U1932)))</f>
        <v/>
      </c>
      <c r="Q1932" s="78">
        <f>IF($T1932="","",IF($S1932="S",IF(INDEX(Firms!$T$5:$T$1004,$T1932)="","",INDEX(Firms!$T$5:$T$1004,$T1932)),IF(INDEX('AFA Rates'!$M$5:$M$1004,$T1932)="","",INDEX('AFA Rates'!$M$5:$M$1004,$T1932))))</f>
        <v/>
      </c>
      <c r="S1932">
        <f>IF(1928&lt;=$S$2,"S",IF(1928&lt;=$S$2+$T$2,"A",""))</f>
        <v/>
      </c>
      <c r="T1932">
        <f>IF(S1932="S",MATCH(1928,Firms!$W$5:$W$1004,0),IF(S1932="A",IFERROR(MATCH(1928-$S$2,'AFA Rates'!$R$5:$R$1004,0),""),""))</f>
        <v/>
      </c>
      <c r="U1932">
        <f>IF(S1932="S",T1932,IF(AND(S1932="A",T1932&lt;&gt;""),IFERROR(MATCH(INDEX('AFA Rates'!$A$5:$A$1004,T1932),Firms!$A$5:$A$1004,0),""),""))</f>
        <v/>
      </c>
    </row>
    <row r="1933">
      <c r="A1933" s="78">
        <f>IF($T1933="","",IF($S1933="S",IF(INDEX(Firms!$A$5:$A$1004,$T1933)="","",INDEX(Firms!$A$5:$A$1004,$T1933)),IF(INDEX('AFA Rates'!$A$5:$A$1004,$T1933)="","",INDEX('AFA Rates'!$A$5:$A$1004,$T1933))))</f>
        <v/>
      </c>
      <c r="B1933" s="79">
        <f>IF(OR($T1933="",$U1933=""),IF($T1933="","","Not on Firms tab"),INDEX(Firms!$B$5:$B$1004,$U1933)&amp;"")</f>
        <v/>
      </c>
      <c r="C1933" s="78">
        <f>IF($T1933="","",IF($S1933="S","Standard",INDEX('AFA Rates'!$B$5:$B$1004,$T1933)&amp;""))</f>
        <v/>
      </c>
      <c r="D1933" s="88">
        <f>IF($T1933="","",IF($S1933="S",IF(INDEX(Firms!$E$5:$E$1004,$T1933)="","",INDEX(Firms!$E$5:$E$1004,$T1933)),IF(INDEX('AFA Rates'!$C$5:$C$1004,$T1933)="","",INDEX('AFA Rates'!$C$5:$C$1004,$T1933))))</f>
        <v/>
      </c>
      <c r="E1933" s="88">
        <f>IF($T1933="","",IF($S1933="S",IF(""="","",""),IF(INDEX('AFA Rates'!$D$5:$D$1004,$T1933)="","",INDEX('AFA Rates'!$D$5:$D$1004,$T1933))))</f>
        <v/>
      </c>
      <c r="F1933" s="79">
        <f>IF($T1933="","",IF($S1933="S",IF(INDEX(Firms!$O$5:$O$1004,$T1933)="","",INDEX(Firms!$O$5:$O$1004,$T1933)),IF(INDEX('AFA Rates'!$O$5:$O$1004,$T1933)="","",INDEX('AFA Rates'!$O$5:$O$1004,$T1933))))</f>
        <v/>
      </c>
      <c r="G1933" s="50">
        <f>IF($T1933="","",IF($S1933="S",IF(INDEX(Firms!$F$5:$F$1004,$T1933)="","",INDEX(Firms!$F$5:$F$1004,$T1933)),IF(INDEX('AFA Rates'!$E$5:$E$1004,$T1933)="","",INDEX('AFA Rates'!$E$5:$E$1004,$T1933))))</f>
        <v/>
      </c>
      <c r="H1933" s="50">
        <f>IF($T1933="","",IF($S1933="S",IF(INDEX(Firms!$G$5:$G$1004,$T1933)="","",INDEX(Firms!$G$5:$G$1004,$T1933)),IF(INDEX('AFA Rates'!$F$5:$F$1004,$T1933)="","",INDEX('AFA Rates'!$F$5:$F$1004,$T1933))))</f>
        <v/>
      </c>
      <c r="I1933" s="50">
        <f>IF($T1933="","",IF($S1933="S",IF(INDEX(Firms!$H$5:$H$1004,$T1933)="","",INDEX(Firms!$H$5:$H$1004,$T1933)),IF(INDEX('AFA Rates'!$G$5:$G$1004,$T1933)="","",INDEX('AFA Rates'!$G$5:$G$1004,$T1933))))</f>
        <v/>
      </c>
      <c r="J1933" s="50">
        <f>IF($T1933="","",IF($S1933="S",IF(INDEX(Firms!$I$5:$I$1004,$T1933)="","",INDEX(Firms!$I$5:$I$1004,$T1933)),IF(INDEX('AFA Rates'!$H$5:$H$1004,$T1933)="","",INDEX('AFA Rates'!$H$5:$H$1004,$T1933))))</f>
        <v/>
      </c>
      <c r="K1933" s="50">
        <f>IF($T1933="","",IF($S1933="S",IF(INDEX(Firms!$J$5:$J$1004,$T1933)="","",INDEX(Firms!$J$5:$J$1004,$T1933)),IF(INDEX('AFA Rates'!$I$5:$I$1004,$T1933)="","",INDEX('AFA Rates'!$I$5:$I$1004,$T1933))))</f>
        <v/>
      </c>
      <c r="L1933" s="50">
        <f>IF($T1933="","",IF($S1933="S",IF(INDEX(Firms!$K$5:$K$1004,$T1933)="","",INDEX(Firms!$K$5:$K$1004,$T1933)),IF(INDEX('AFA Rates'!$J$5:$J$1004,$T1933)="","",INDEX('AFA Rates'!$J$5:$J$1004,$T1933))))</f>
        <v/>
      </c>
      <c r="M1933" s="50">
        <f>IF($T1933="","",IF($S1933="S",IF(INDEX(Firms!$L$5:$L$1004,$T1933)="","",INDEX(Firms!$L$5:$L$1004,$T1933)),IF(INDEX('AFA Rates'!$K$5:$K$1004,$T1933)="","",INDEX('AFA Rates'!$K$5:$K$1004,$T1933))))</f>
        <v/>
      </c>
      <c r="N1933" s="50">
        <f>IF($T1933="","",IF($S1933="S",IF(INDEX(Firms!$M$5:$M$1004,$T1933)="","",INDEX(Firms!$M$5:$M$1004,$T1933)),IF(INDEX('AFA Rates'!$L$5:$L$1004,$T1933)="","",INDEX('AFA Rates'!$L$5:$L$1004,$T1933))))</f>
        <v/>
      </c>
      <c r="O1933" s="78">
        <f>IF(OR($T1933="",$U1933=""),"",IF(INDEX(Firms!$C$5:$C$1004,$U1933)="","",INDEX(Firms!$C$5:$C$1004,$U1933)))</f>
        <v/>
      </c>
      <c r="P1933" s="79">
        <f>IF(OR($T1933="",$U1933=""),"",IF(INDEX(Firms!$N$5:$N$1004,$U1933)="","",INDEX(Firms!$N$5:$N$1004,$U1933)))</f>
        <v/>
      </c>
      <c r="Q1933" s="78">
        <f>IF($T1933="","",IF($S1933="S",IF(INDEX(Firms!$T$5:$T$1004,$T1933)="","",INDEX(Firms!$T$5:$T$1004,$T1933)),IF(INDEX('AFA Rates'!$M$5:$M$1004,$T1933)="","",INDEX('AFA Rates'!$M$5:$M$1004,$T1933))))</f>
        <v/>
      </c>
      <c r="S1933">
        <f>IF(1929&lt;=$S$2,"S",IF(1929&lt;=$S$2+$T$2,"A",""))</f>
        <v/>
      </c>
      <c r="T1933">
        <f>IF(S1933="S",MATCH(1929,Firms!$W$5:$W$1004,0),IF(S1933="A",IFERROR(MATCH(1929-$S$2,'AFA Rates'!$R$5:$R$1004,0),""),""))</f>
        <v/>
      </c>
      <c r="U1933">
        <f>IF(S1933="S",T1933,IF(AND(S1933="A",T1933&lt;&gt;""),IFERROR(MATCH(INDEX('AFA Rates'!$A$5:$A$1004,T1933),Firms!$A$5:$A$1004,0),""),""))</f>
        <v/>
      </c>
    </row>
    <row r="1934">
      <c r="A1934" s="78">
        <f>IF($T1934="","",IF($S1934="S",IF(INDEX(Firms!$A$5:$A$1004,$T1934)="","",INDEX(Firms!$A$5:$A$1004,$T1934)),IF(INDEX('AFA Rates'!$A$5:$A$1004,$T1934)="","",INDEX('AFA Rates'!$A$5:$A$1004,$T1934))))</f>
        <v/>
      </c>
      <c r="B1934" s="79">
        <f>IF(OR($T1934="",$U1934=""),IF($T1934="","","Not on Firms tab"),INDEX(Firms!$B$5:$B$1004,$U1934)&amp;"")</f>
        <v/>
      </c>
      <c r="C1934" s="78">
        <f>IF($T1934="","",IF($S1934="S","Standard",INDEX('AFA Rates'!$B$5:$B$1004,$T1934)&amp;""))</f>
        <v/>
      </c>
      <c r="D1934" s="88">
        <f>IF($T1934="","",IF($S1934="S",IF(INDEX(Firms!$E$5:$E$1004,$T1934)="","",INDEX(Firms!$E$5:$E$1004,$T1934)),IF(INDEX('AFA Rates'!$C$5:$C$1004,$T1934)="","",INDEX('AFA Rates'!$C$5:$C$1004,$T1934))))</f>
        <v/>
      </c>
      <c r="E1934" s="88">
        <f>IF($T1934="","",IF($S1934="S",IF(""="","",""),IF(INDEX('AFA Rates'!$D$5:$D$1004,$T1934)="","",INDEX('AFA Rates'!$D$5:$D$1004,$T1934))))</f>
        <v/>
      </c>
      <c r="F1934" s="79">
        <f>IF($T1934="","",IF($S1934="S",IF(INDEX(Firms!$O$5:$O$1004,$T1934)="","",INDEX(Firms!$O$5:$O$1004,$T1934)),IF(INDEX('AFA Rates'!$O$5:$O$1004,$T1934)="","",INDEX('AFA Rates'!$O$5:$O$1004,$T1934))))</f>
        <v/>
      </c>
      <c r="G1934" s="50">
        <f>IF($T1934="","",IF($S1934="S",IF(INDEX(Firms!$F$5:$F$1004,$T1934)="","",INDEX(Firms!$F$5:$F$1004,$T1934)),IF(INDEX('AFA Rates'!$E$5:$E$1004,$T1934)="","",INDEX('AFA Rates'!$E$5:$E$1004,$T1934))))</f>
        <v/>
      </c>
      <c r="H1934" s="50">
        <f>IF($T1934="","",IF($S1934="S",IF(INDEX(Firms!$G$5:$G$1004,$T1934)="","",INDEX(Firms!$G$5:$G$1004,$T1934)),IF(INDEX('AFA Rates'!$F$5:$F$1004,$T1934)="","",INDEX('AFA Rates'!$F$5:$F$1004,$T1934))))</f>
        <v/>
      </c>
      <c r="I1934" s="50">
        <f>IF($T1934="","",IF($S1934="S",IF(INDEX(Firms!$H$5:$H$1004,$T1934)="","",INDEX(Firms!$H$5:$H$1004,$T1934)),IF(INDEX('AFA Rates'!$G$5:$G$1004,$T1934)="","",INDEX('AFA Rates'!$G$5:$G$1004,$T1934))))</f>
        <v/>
      </c>
      <c r="J1934" s="50">
        <f>IF($T1934="","",IF($S1934="S",IF(INDEX(Firms!$I$5:$I$1004,$T1934)="","",INDEX(Firms!$I$5:$I$1004,$T1934)),IF(INDEX('AFA Rates'!$H$5:$H$1004,$T1934)="","",INDEX('AFA Rates'!$H$5:$H$1004,$T1934))))</f>
        <v/>
      </c>
      <c r="K1934" s="50">
        <f>IF($T1934="","",IF($S1934="S",IF(INDEX(Firms!$J$5:$J$1004,$T1934)="","",INDEX(Firms!$J$5:$J$1004,$T1934)),IF(INDEX('AFA Rates'!$I$5:$I$1004,$T1934)="","",INDEX('AFA Rates'!$I$5:$I$1004,$T1934))))</f>
        <v/>
      </c>
      <c r="L1934" s="50">
        <f>IF($T1934="","",IF($S1934="S",IF(INDEX(Firms!$K$5:$K$1004,$T1934)="","",INDEX(Firms!$K$5:$K$1004,$T1934)),IF(INDEX('AFA Rates'!$J$5:$J$1004,$T1934)="","",INDEX('AFA Rates'!$J$5:$J$1004,$T1934))))</f>
        <v/>
      </c>
      <c r="M1934" s="50">
        <f>IF($T1934="","",IF($S1934="S",IF(INDEX(Firms!$L$5:$L$1004,$T1934)="","",INDEX(Firms!$L$5:$L$1004,$T1934)),IF(INDEX('AFA Rates'!$K$5:$K$1004,$T1934)="","",INDEX('AFA Rates'!$K$5:$K$1004,$T1934))))</f>
        <v/>
      </c>
      <c r="N1934" s="50">
        <f>IF($T1934="","",IF($S1934="S",IF(INDEX(Firms!$M$5:$M$1004,$T1934)="","",INDEX(Firms!$M$5:$M$1004,$T1934)),IF(INDEX('AFA Rates'!$L$5:$L$1004,$T1934)="","",INDEX('AFA Rates'!$L$5:$L$1004,$T1934))))</f>
        <v/>
      </c>
      <c r="O1934" s="78">
        <f>IF(OR($T1934="",$U1934=""),"",IF(INDEX(Firms!$C$5:$C$1004,$U1934)="","",INDEX(Firms!$C$5:$C$1004,$U1934)))</f>
        <v/>
      </c>
      <c r="P1934" s="79">
        <f>IF(OR($T1934="",$U1934=""),"",IF(INDEX(Firms!$N$5:$N$1004,$U1934)="","",INDEX(Firms!$N$5:$N$1004,$U1934)))</f>
        <v/>
      </c>
      <c r="Q1934" s="78">
        <f>IF($T1934="","",IF($S1934="S",IF(INDEX(Firms!$T$5:$T$1004,$T1934)="","",INDEX(Firms!$T$5:$T$1004,$T1934)),IF(INDEX('AFA Rates'!$M$5:$M$1004,$T1934)="","",INDEX('AFA Rates'!$M$5:$M$1004,$T1934))))</f>
        <v/>
      </c>
      <c r="S1934">
        <f>IF(1930&lt;=$S$2,"S",IF(1930&lt;=$S$2+$T$2,"A",""))</f>
        <v/>
      </c>
      <c r="T1934">
        <f>IF(S1934="S",MATCH(1930,Firms!$W$5:$W$1004,0),IF(S1934="A",IFERROR(MATCH(1930-$S$2,'AFA Rates'!$R$5:$R$1004,0),""),""))</f>
        <v/>
      </c>
      <c r="U1934">
        <f>IF(S1934="S",T1934,IF(AND(S1934="A",T1934&lt;&gt;""),IFERROR(MATCH(INDEX('AFA Rates'!$A$5:$A$1004,T1934),Firms!$A$5:$A$1004,0),""),""))</f>
        <v/>
      </c>
    </row>
    <row r="1935">
      <c r="A1935" s="78">
        <f>IF($T1935="","",IF($S1935="S",IF(INDEX(Firms!$A$5:$A$1004,$T1935)="","",INDEX(Firms!$A$5:$A$1004,$T1935)),IF(INDEX('AFA Rates'!$A$5:$A$1004,$T1935)="","",INDEX('AFA Rates'!$A$5:$A$1004,$T1935))))</f>
        <v/>
      </c>
      <c r="B1935" s="79">
        <f>IF(OR($T1935="",$U1935=""),IF($T1935="","","Not on Firms tab"),INDEX(Firms!$B$5:$B$1004,$U1935)&amp;"")</f>
        <v/>
      </c>
      <c r="C1935" s="78">
        <f>IF($T1935="","",IF($S1935="S","Standard",INDEX('AFA Rates'!$B$5:$B$1004,$T1935)&amp;""))</f>
        <v/>
      </c>
      <c r="D1935" s="88">
        <f>IF($T1935="","",IF($S1935="S",IF(INDEX(Firms!$E$5:$E$1004,$T1935)="","",INDEX(Firms!$E$5:$E$1004,$T1935)),IF(INDEX('AFA Rates'!$C$5:$C$1004,$T1935)="","",INDEX('AFA Rates'!$C$5:$C$1004,$T1935))))</f>
        <v/>
      </c>
      <c r="E1935" s="88">
        <f>IF($T1935="","",IF($S1935="S",IF(""="","",""),IF(INDEX('AFA Rates'!$D$5:$D$1004,$T1935)="","",INDEX('AFA Rates'!$D$5:$D$1004,$T1935))))</f>
        <v/>
      </c>
      <c r="F1935" s="79">
        <f>IF($T1935="","",IF($S1935="S",IF(INDEX(Firms!$O$5:$O$1004,$T1935)="","",INDEX(Firms!$O$5:$O$1004,$T1935)),IF(INDEX('AFA Rates'!$O$5:$O$1004,$T1935)="","",INDEX('AFA Rates'!$O$5:$O$1004,$T1935))))</f>
        <v/>
      </c>
      <c r="G1935" s="50">
        <f>IF($T1935="","",IF($S1935="S",IF(INDEX(Firms!$F$5:$F$1004,$T1935)="","",INDEX(Firms!$F$5:$F$1004,$T1935)),IF(INDEX('AFA Rates'!$E$5:$E$1004,$T1935)="","",INDEX('AFA Rates'!$E$5:$E$1004,$T1935))))</f>
        <v/>
      </c>
      <c r="H1935" s="50">
        <f>IF($T1935="","",IF($S1935="S",IF(INDEX(Firms!$G$5:$G$1004,$T1935)="","",INDEX(Firms!$G$5:$G$1004,$T1935)),IF(INDEX('AFA Rates'!$F$5:$F$1004,$T1935)="","",INDEX('AFA Rates'!$F$5:$F$1004,$T1935))))</f>
        <v/>
      </c>
      <c r="I1935" s="50">
        <f>IF($T1935="","",IF($S1935="S",IF(INDEX(Firms!$H$5:$H$1004,$T1935)="","",INDEX(Firms!$H$5:$H$1004,$T1935)),IF(INDEX('AFA Rates'!$G$5:$G$1004,$T1935)="","",INDEX('AFA Rates'!$G$5:$G$1004,$T1935))))</f>
        <v/>
      </c>
      <c r="J1935" s="50">
        <f>IF($T1935="","",IF($S1935="S",IF(INDEX(Firms!$I$5:$I$1004,$T1935)="","",INDEX(Firms!$I$5:$I$1004,$T1935)),IF(INDEX('AFA Rates'!$H$5:$H$1004,$T1935)="","",INDEX('AFA Rates'!$H$5:$H$1004,$T1935))))</f>
        <v/>
      </c>
      <c r="K1935" s="50">
        <f>IF($T1935="","",IF($S1935="S",IF(INDEX(Firms!$J$5:$J$1004,$T1935)="","",INDEX(Firms!$J$5:$J$1004,$T1935)),IF(INDEX('AFA Rates'!$I$5:$I$1004,$T1935)="","",INDEX('AFA Rates'!$I$5:$I$1004,$T1935))))</f>
        <v/>
      </c>
      <c r="L1935" s="50">
        <f>IF($T1935="","",IF($S1935="S",IF(INDEX(Firms!$K$5:$K$1004,$T1935)="","",INDEX(Firms!$K$5:$K$1004,$T1935)),IF(INDEX('AFA Rates'!$J$5:$J$1004,$T1935)="","",INDEX('AFA Rates'!$J$5:$J$1004,$T1935))))</f>
        <v/>
      </c>
      <c r="M1935" s="50">
        <f>IF($T1935="","",IF($S1935="S",IF(INDEX(Firms!$L$5:$L$1004,$T1935)="","",INDEX(Firms!$L$5:$L$1004,$T1935)),IF(INDEX('AFA Rates'!$K$5:$K$1004,$T1935)="","",INDEX('AFA Rates'!$K$5:$K$1004,$T1935))))</f>
        <v/>
      </c>
      <c r="N1935" s="50">
        <f>IF($T1935="","",IF($S1935="S",IF(INDEX(Firms!$M$5:$M$1004,$T1935)="","",INDEX(Firms!$M$5:$M$1004,$T1935)),IF(INDEX('AFA Rates'!$L$5:$L$1004,$T1935)="","",INDEX('AFA Rates'!$L$5:$L$1004,$T1935))))</f>
        <v/>
      </c>
      <c r="O1935" s="78">
        <f>IF(OR($T1935="",$U1935=""),"",IF(INDEX(Firms!$C$5:$C$1004,$U1935)="","",INDEX(Firms!$C$5:$C$1004,$U1935)))</f>
        <v/>
      </c>
      <c r="P1935" s="79">
        <f>IF(OR($T1935="",$U1935=""),"",IF(INDEX(Firms!$N$5:$N$1004,$U1935)="","",INDEX(Firms!$N$5:$N$1004,$U1935)))</f>
        <v/>
      </c>
      <c r="Q1935" s="78">
        <f>IF($T1935="","",IF($S1935="S",IF(INDEX(Firms!$T$5:$T$1004,$T1935)="","",INDEX(Firms!$T$5:$T$1004,$T1935)),IF(INDEX('AFA Rates'!$M$5:$M$1004,$T1935)="","",INDEX('AFA Rates'!$M$5:$M$1004,$T1935))))</f>
        <v/>
      </c>
      <c r="S1935">
        <f>IF(1931&lt;=$S$2,"S",IF(1931&lt;=$S$2+$T$2,"A",""))</f>
        <v/>
      </c>
      <c r="T1935">
        <f>IF(S1935="S",MATCH(1931,Firms!$W$5:$W$1004,0),IF(S1935="A",IFERROR(MATCH(1931-$S$2,'AFA Rates'!$R$5:$R$1004,0),""),""))</f>
        <v/>
      </c>
      <c r="U1935">
        <f>IF(S1935="S",T1935,IF(AND(S1935="A",T1935&lt;&gt;""),IFERROR(MATCH(INDEX('AFA Rates'!$A$5:$A$1004,T1935),Firms!$A$5:$A$1004,0),""),""))</f>
        <v/>
      </c>
    </row>
    <row r="1936">
      <c r="A1936" s="78">
        <f>IF($T1936="","",IF($S1936="S",IF(INDEX(Firms!$A$5:$A$1004,$T1936)="","",INDEX(Firms!$A$5:$A$1004,$T1936)),IF(INDEX('AFA Rates'!$A$5:$A$1004,$T1936)="","",INDEX('AFA Rates'!$A$5:$A$1004,$T1936))))</f>
        <v/>
      </c>
      <c r="B1936" s="79">
        <f>IF(OR($T1936="",$U1936=""),IF($T1936="","","Not on Firms tab"),INDEX(Firms!$B$5:$B$1004,$U1936)&amp;"")</f>
        <v/>
      </c>
      <c r="C1936" s="78">
        <f>IF($T1936="","",IF($S1936="S","Standard",INDEX('AFA Rates'!$B$5:$B$1004,$T1936)&amp;""))</f>
        <v/>
      </c>
      <c r="D1936" s="88">
        <f>IF($T1936="","",IF($S1936="S",IF(INDEX(Firms!$E$5:$E$1004,$T1936)="","",INDEX(Firms!$E$5:$E$1004,$T1936)),IF(INDEX('AFA Rates'!$C$5:$C$1004,$T1936)="","",INDEX('AFA Rates'!$C$5:$C$1004,$T1936))))</f>
        <v/>
      </c>
      <c r="E1936" s="88">
        <f>IF($T1936="","",IF($S1936="S",IF(""="","",""),IF(INDEX('AFA Rates'!$D$5:$D$1004,$T1936)="","",INDEX('AFA Rates'!$D$5:$D$1004,$T1936))))</f>
        <v/>
      </c>
      <c r="F1936" s="79">
        <f>IF($T1936="","",IF($S1936="S",IF(INDEX(Firms!$O$5:$O$1004,$T1936)="","",INDEX(Firms!$O$5:$O$1004,$T1936)),IF(INDEX('AFA Rates'!$O$5:$O$1004,$T1936)="","",INDEX('AFA Rates'!$O$5:$O$1004,$T1936))))</f>
        <v/>
      </c>
      <c r="G1936" s="50">
        <f>IF($T1936="","",IF($S1936="S",IF(INDEX(Firms!$F$5:$F$1004,$T1936)="","",INDEX(Firms!$F$5:$F$1004,$T1936)),IF(INDEX('AFA Rates'!$E$5:$E$1004,$T1936)="","",INDEX('AFA Rates'!$E$5:$E$1004,$T1936))))</f>
        <v/>
      </c>
      <c r="H1936" s="50">
        <f>IF($T1936="","",IF($S1936="S",IF(INDEX(Firms!$G$5:$G$1004,$T1936)="","",INDEX(Firms!$G$5:$G$1004,$T1936)),IF(INDEX('AFA Rates'!$F$5:$F$1004,$T1936)="","",INDEX('AFA Rates'!$F$5:$F$1004,$T1936))))</f>
        <v/>
      </c>
      <c r="I1936" s="50">
        <f>IF($T1936="","",IF($S1936="S",IF(INDEX(Firms!$H$5:$H$1004,$T1936)="","",INDEX(Firms!$H$5:$H$1004,$T1936)),IF(INDEX('AFA Rates'!$G$5:$G$1004,$T1936)="","",INDEX('AFA Rates'!$G$5:$G$1004,$T1936))))</f>
        <v/>
      </c>
      <c r="J1936" s="50">
        <f>IF($T1936="","",IF($S1936="S",IF(INDEX(Firms!$I$5:$I$1004,$T1936)="","",INDEX(Firms!$I$5:$I$1004,$T1936)),IF(INDEX('AFA Rates'!$H$5:$H$1004,$T1936)="","",INDEX('AFA Rates'!$H$5:$H$1004,$T1936))))</f>
        <v/>
      </c>
      <c r="K1936" s="50">
        <f>IF($T1936="","",IF($S1936="S",IF(INDEX(Firms!$J$5:$J$1004,$T1936)="","",INDEX(Firms!$J$5:$J$1004,$T1936)),IF(INDEX('AFA Rates'!$I$5:$I$1004,$T1936)="","",INDEX('AFA Rates'!$I$5:$I$1004,$T1936))))</f>
        <v/>
      </c>
      <c r="L1936" s="50">
        <f>IF($T1936="","",IF($S1936="S",IF(INDEX(Firms!$K$5:$K$1004,$T1936)="","",INDEX(Firms!$K$5:$K$1004,$T1936)),IF(INDEX('AFA Rates'!$J$5:$J$1004,$T1936)="","",INDEX('AFA Rates'!$J$5:$J$1004,$T1936))))</f>
        <v/>
      </c>
      <c r="M1936" s="50">
        <f>IF($T1936="","",IF($S1936="S",IF(INDEX(Firms!$L$5:$L$1004,$T1936)="","",INDEX(Firms!$L$5:$L$1004,$T1936)),IF(INDEX('AFA Rates'!$K$5:$K$1004,$T1936)="","",INDEX('AFA Rates'!$K$5:$K$1004,$T1936))))</f>
        <v/>
      </c>
      <c r="N1936" s="50">
        <f>IF($T1936="","",IF($S1936="S",IF(INDEX(Firms!$M$5:$M$1004,$T1936)="","",INDEX(Firms!$M$5:$M$1004,$T1936)),IF(INDEX('AFA Rates'!$L$5:$L$1004,$T1936)="","",INDEX('AFA Rates'!$L$5:$L$1004,$T1936))))</f>
        <v/>
      </c>
      <c r="O1936" s="78">
        <f>IF(OR($T1936="",$U1936=""),"",IF(INDEX(Firms!$C$5:$C$1004,$U1936)="","",INDEX(Firms!$C$5:$C$1004,$U1936)))</f>
        <v/>
      </c>
      <c r="P1936" s="79">
        <f>IF(OR($T1936="",$U1936=""),"",IF(INDEX(Firms!$N$5:$N$1004,$U1936)="","",INDEX(Firms!$N$5:$N$1004,$U1936)))</f>
        <v/>
      </c>
      <c r="Q1936" s="78">
        <f>IF($T1936="","",IF($S1936="S",IF(INDEX(Firms!$T$5:$T$1004,$T1936)="","",INDEX(Firms!$T$5:$T$1004,$T1936)),IF(INDEX('AFA Rates'!$M$5:$M$1004,$T1936)="","",INDEX('AFA Rates'!$M$5:$M$1004,$T1936))))</f>
        <v/>
      </c>
      <c r="S1936">
        <f>IF(1932&lt;=$S$2,"S",IF(1932&lt;=$S$2+$T$2,"A",""))</f>
        <v/>
      </c>
      <c r="T1936">
        <f>IF(S1936="S",MATCH(1932,Firms!$W$5:$W$1004,0),IF(S1936="A",IFERROR(MATCH(1932-$S$2,'AFA Rates'!$R$5:$R$1004,0),""),""))</f>
        <v/>
      </c>
      <c r="U1936">
        <f>IF(S1936="S",T1936,IF(AND(S1936="A",T1936&lt;&gt;""),IFERROR(MATCH(INDEX('AFA Rates'!$A$5:$A$1004,T1936),Firms!$A$5:$A$1004,0),""),""))</f>
        <v/>
      </c>
    </row>
    <row r="1937">
      <c r="A1937" s="78">
        <f>IF($T1937="","",IF($S1937="S",IF(INDEX(Firms!$A$5:$A$1004,$T1937)="","",INDEX(Firms!$A$5:$A$1004,$T1937)),IF(INDEX('AFA Rates'!$A$5:$A$1004,$T1937)="","",INDEX('AFA Rates'!$A$5:$A$1004,$T1937))))</f>
        <v/>
      </c>
      <c r="B1937" s="79">
        <f>IF(OR($T1937="",$U1937=""),IF($T1937="","","Not on Firms tab"),INDEX(Firms!$B$5:$B$1004,$U1937)&amp;"")</f>
        <v/>
      </c>
      <c r="C1937" s="78">
        <f>IF($T1937="","",IF($S1937="S","Standard",INDEX('AFA Rates'!$B$5:$B$1004,$T1937)&amp;""))</f>
        <v/>
      </c>
      <c r="D1937" s="88">
        <f>IF($T1937="","",IF($S1937="S",IF(INDEX(Firms!$E$5:$E$1004,$T1937)="","",INDEX(Firms!$E$5:$E$1004,$T1937)),IF(INDEX('AFA Rates'!$C$5:$C$1004,$T1937)="","",INDEX('AFA Rates'!$C$5:$C$1004,$T1937))))</f>
        <v/>
      </c>
      <c r="E1937" s="88">
        <f>IF($T1937="","",IF($S1937="S",IF(""="","",""),IF(INDEX('AFA Rates'!$D$5:$D$1004,$T1937)="","",INDEX('AFA Rates'!$D$5:$D$1004,$T1937))))</f>
        <v/>
      </c>
      <c r="F1937" s="79">
        <f>IF($T1937="","",IF($S1937="S",IF(INDEX(Firms!$O$5:$O$1004,$T1937)="","",INDEX(Firms!$O$5:$O$1004,$T1937)),IF(INDEX('AFA Rates'!$O$5:$O$1004,$T1937)="","",INDEX('AFA Rates'!$O$5:$O$1004,$T1937))))</f>
        <v/>
      </c>
      <c r="G1937" s="50">
        <f>IF($T1937="","",IF($S1937="S",IF(INDEX(Firms!$F$5:$F$1004,$T1937)="","",INDEX(Firms!$F$5:$F$1004,$T1937)),IF(INDEX('AFA Rates'!$E$5:$E$1004,$T1937)="","",INDEX('AFA Rates'!$E$5:$E$1004,$T1937))))</f>
        <v/>
      </c>
      <c r="H1937" s="50">
        <f>IF($T1937="","",IF($S1937="S",IF(INDEX(Firms!$G$5:$G$1004,$T1937)="","",INDEX(Firms!$G$5:$G$1004,$T1937)),IF(INDEX('AFA Rates'!$F$5:$F$1004,$T1937)="","",INDEX('AFA Rates'!$F$5:$F$1004,$T1937))))</f>
        <v/>
      </c>
      <c r="I1937" s="50">
        <f>IF($T1937="","",IF($S1937="S",IF(INDEX(Firms!$H$5:$H$1004,$T1937)="","",INDEX(Firms!$H$5:$H$1004,$T1937)),IF(INDEX('AFA Rates'!$G$5:$G$1004,$T1937)="","",INDEX('AFA Rates'!$G$5:$G$1004,$T1937))))</f>
        <v/>
      </c>
      <c r="J1937" s="50">
        <f>IF($T1937="","",IF($S1937="S",IF(INDEX(Firms!$I$5:$I$1004,$T1937)="","",INDEX(Firms!$I$5:$I$1004,$T1937)),IF(INDEX('AFA Rates'!$H$5:$H$1004,$T1937)="","",INDEX('AFA Rates'!$H$5:$H$1004,$T1937))))</f>
        <v/>
      </c>
      <c r="K1937" s="50">
        <f>IF($T1937="","",IF($S1937="S",IF(INDEX(Firms!$J$5:$J$1004,$T1937)="","",INDEX(Firms!$J$5:$J$1004,$T1937)),IF(INDEX('AFA Rates'!$I$5:$I$1004,$T1937)="","",INDEX('AFA Rates'!$I$5:$I$1004,$T1937))))</f>
        <v/>
      </c>
      <c r="L1937" s="50">
        <f>IF($T1937="","",IF($S1937="S",IF(INDEX(Firms!$K$5:$K$1004,$T1937)="","",INDEX(Firms!$K$5:$K$1004,$T1937)),IF(INDEX('AFA Rates'!$J$5:$J$1004,$T1937)="","",INDEX('AFA Rates'!$J$5:$J$1004,$T1937))))</f>
        <v/>
      </c>
      <c r="M1937" s="50">
        <f>IF($T1937="","",IF($S1937="S",IF(INDEX(Firms!$L$5:$L$1004,$T1937)="","",INDEX(Firms!$L$5:$L$1004,$T1937)),IF(INDEX('AFA Rates'!$K$5:$K$1004,$T1937)="","",INDEX('AFA Rates'!$K$5:$K$1004,$T1937))))</f>
        <v/>
      </c>
      <c r="N1937" s="50">
        <f>IF($T1937="","",IF($S1937="S",IF(INDEX(Firms!$M$5:$M$1004,$T1937)="","",INDEX(Firms!$M$5:$M$1004,$T1937)),IF(INDEX('AFA Rates'!$L$5:$L$1004,$T1937)="","",INDEX('AFA Rates'!$L$5:$L$1004,$T1937))))</f>
        <v/>
      </c>
      <c r="O1937" s="78">
        <f>IF(OR($T1937="",$U1937=""),"",IF(INDEX(Firms!$C$5:$C$1004,$U1937)="","",INDEX(Firms!$C$5:$C$1004,$U1937)))</f>
        <v/>
      </c>
      <c r="P1937" s="79">
        <f>IF(OR($T1937="",$U1937=""),"",IF(INDEX(Firms!$N$5:$N$1004,$U1937)="","",INDEX(Firms!$N$5:$N$1004,$U1937)))</f>
        <v/>
      </c>
      <c r="Q1937" s="78">
        <f>IF($T1937="","",IF($S1937="S",IF(INDEX(Firms!$T$5:$T$1004,$T1937)="","",INDEX(Firms!$T$5:$T$1004,$T1937)),IF(INDEX('AFA Rates'!$M$5:$M$1004,$T1937)="","",INDEX('AFA Rates'!$M$5:$M$1004,$T1937))))</f>
        <v/>
      </c>
      <c r="S1937">
        <f>IF(1933&lt;=$S$2,"S",IF(1933&lt;=$S$2+$T$2,"A",""))</f>
        <v/>
      </c>
      <c r="T1937">
        <f>IF(S1937="S",MATCH(1933,Firms!$W$5:$W$1004,0),IF(S1937="A",IFERROR(MATCH(1933-$S$2,'AFA Rates'!$R$5:$R$1004,0),""),""))</f>
        <v/>
      </c>
      <c r="U1937">
        <f>IF(S1937="S",T1937,IF(AND(S1937="A",T1937&lt;&gt;""),IFERROR(MATCH(INDEX('AFA Rates'!$A$5:$A$1004,T1937),Firms!$A$5:$A$1004,0),""),""))</f>
        <v/>
      </c>
    </row>
    <row r="1938">
      <c r="A1938" s="78">
        <f>IF($T1938="","",IF($S1938="S",IF(INDEX(Firms!$A$5:$A$1004,$T1938)="","",INDEX(Firms!$A$5:$A$1004,$T1938)),IF(INDEX('AFA Rates'!$A$5:$A$1004,$T1938)="","",INDEX('AFA Rates'!$A$5:$A$1004,$T1938))))</f>
        <v/>
      </c>
      <c r="B1938" s="79">
        <f>IF(OR($T1938="",$U1938=""),IF($T1938="","","Not on Firms tab"),INDEX(Firms!$B$5:$B$1004,$U1938)&amp;"")</f>
        <v/>
      </c>
      <c r="C1938" s="78">
        <f>IF($T1938="","",IF($S1938="S","Standard",INDEX('AFA Rates'!$B$5:$B$1004,$T1938)&amp;""))</f>
        <v/>
      </c>
      <c r="D1938" s="88">
        <f>IF($T1938="","",IF($S1938="S",IF(INDEX(Firms!$E$5:$E$1004,$T1938)="","",INDEX(Firms!$E$5:$E$1004,$T1938)),IF(INDEX('AFA Rates'!$C$5:$C$1004,$T1938)="","",INDEX('AFA Rates'!$C$5:$C$1004,$T1938))))</f>
        <v/>
      </c>
      <c r="E1938" s="88">
        <f>IF($T1938="","",IF($S1938="S",IF(""="","",""),IF(INDEX('AFA Rates'!$D$5:$D$1004,$T1938)="","",INDEX('AFA Rates'!$D$5:$D$1004,$T1938))))</f>
        <v/>
      </c>
      <c r="F1938" s="79">
        <f>IF($T1938="","",IF($S1938="S",IF(INDEX(Firms!$O$5:$O$1004,$T1938)="","",INDEX(Firms!$O$5:$O$1004,$T1938)),IF(INDEX('AFA Rates'!$O$5:$O$1004,$T1938)="","",INDEX('AFA Rates'!$O$5:$O$1004,$T1938))))</f>
        <v/>
      </c>
      <c r="G1938" s="50">
        <f>IF($T1938="","",IF($S1938="S",IF(INDEX(Firms!$F$5:$F$1004,$T1938)="","",INDEX(Firms!$F$5:$F$1004,$T1938)),IF(INDEX('AFA Rates'!$E$5:$E$1004,$T1938)="","",INDEX('AFA Rates'!$E$5:$E$1004,$T1938))))</f>
        <v/>
      </c>
      <c r="H1938" s="50">
        <f>IF($T1938="","",IF($S1938="S",IF(INDEX(Firms!$G$5:$G$1004,$T1938)="","",INDEX(Firms!$G$5:$G$1004,$T1938)),IF(INDEX('AFA Rates'!$F$5:$F$1004,$T1938)="","",INDEX('AFA Rates'!$F$5:$F$1004,$T1938))))</f>
        <v/>
      </c>
      <c r="I1938" s="50">
        <f>IF($T1938="","",IF($S1938="S",IF(INDEX(Firms!$H$5:$H$1004,$T1938)="","",INDEX(Firms!$H$5:$H$1004,$T1938)),IF(INDEX('AFA Rates'!$G$5:$G$1004,$T1938)="","",INDEX('AFA Rates'!$G$5:$G$1004,$T1938))))</f>
        <v/>
      </c>
      <c r="J1938" s="50">
        <f>IF($T1938="","",IF($S1938="S",IF(INDEX(Firms!$I$5:$I$1004,$T1938)="","",INDEX(Firms!$I$5:$I$1004,$T1938)),IF(INDEX('AFA Rates'!$H$5:$H$1004,$T1938)="","",INDEX('AFA Rates'!$H$5:$H$1004,$T1938))))</f>
        <v/>
      </c>
      <c r="K1938" s="50">
        <f>IF($T1938="","",IF($S1938="S",IF(INDEX(Firms!$J$5:$J$1004,$T1938)="","",INDEX(Firms!$J$5:$J$1004,$T1938)),IF(INDEX('AFA Rates'!$I$5:$I$1004,$T1938)="","",INDEX('AFA Rates'!$I$5:$I$1004,$T1938))))</f>
        <v/>
      </c>
      <c r="L1938" s="50">
        <f>IF($T1938="","",IF($S1938="S",IF(INDEX(Firms!$K$5:$K$1004,$T1938)="","",INDEX(Firms!$K$5:$K$1004,$T1938)),IF(INDEX('AFA Rates'!$J$5:$J$1004,$T1938)="","",INDEX('AFA Rates'!$J$5:$J$1004,$T1938))))</f>
        <v/>
      </c>
      <c r="M1938" s="50">
        <f>IF($T1938="","",IF($S1938="S",IF(INDEX(Firms!$L$5:$L$1004,$T1938)="","",INDEX(Firms!$L$5:$L$1004,$T1938)),IF(INDEX('AFA Rates'!$K$5:$K$1004,$T1938)="","",INDEX('AFA Rates'!$K$5:$K$1004,$T1938))))</f>
        <v/>
      </c>
      <c r="N1938" s="50">
        <f>IF($T1938="","",IF($S1938="S",IF(INDEX(Firms!$M$5:$M$1004,$T1938)="","",INDEX(Firms!$M$5:$M$1004,$T1938)),IF(INDEX('AFA Rates'!$L$5:$L$1004,$T1938)="","",INDEX('AFA Rates'!$L$5:$L$1004,$T1938))))</f>
        <v/>
      </c>
      <c r="O1938" s="78">
        <f>IF(OR($T1938="",$U1938=""),"",IF(INDEX(Firms!$C$5:$C$1004,$U1938)="","",INDEX(Firms!$C$5:$C$1004,$U1938)))</f>
        <v/>
      </c>
      <c r="P1938" s="79">
        <f>IF(OR($T1938="",$U1938=""),"",IF(INDEX(Firms!$N$5:$N$1004,$U1938)="","",INDEX(Firms!$N$5:$N$1004,$U1938)))</f>
        <v/>
      </c>
      <c r="Q1938" s="78">
        <f>IF($T1938="","",IF($S1938="S",IF(INDEX(Firms!$T$5:$T$1004,$T1938)="","",INDEX(Firms!$T$5:$T$1004,$T1938)),IF(INDEX('AFA Rates'!$M$5:$M$1004,$T1938)="","",INDEX('AFA Rates'!$M$5:$M$1004,$T1938))))</f>
        <v/>
      </c>
      <c r="S1938">
        <f>IF(1934&lt;=$S$2,"S",IF(1934&lt;=$S$2+$T$2,"A",""))</f>
        <v/>
      </c>
      <c r="T1938">
        <f>IF(S1938="S",MATCH(1934,Firms!$W$5:$W$1004,0),IF(S1938="A",IFERROR(MATCH(1934-$S$2,'AFA Rates'!$R$5:$R$1004,0),""),""))</f>
        <v/>
      </c>
      <c r="U1938">
        <f>IF(S1938="S",T1938,IF(AND(S1938="A",T1938&lt;&gt;""),IFERROR(MATCH(INDEX('AFA Rates'!$A$5:$A$1004,T1938),Firms!$A$5:$A$1004,0),""),""))</f>
        <v/>
      </c>
    </row>
    <row r="1939">
      <c r="A1939" s="78">
        <f>IF($T1939="","",IF($S1939="S",IF(INDEX(Firms!$A$5:$A$1004,$T1939)="","",INDEX(Firms!$A$5:$A$1004,$T1939)),IF(INDEX('AFA Rates'!$A$5:$A$1004,$T1939)="","",INDEX('AFA Rates'!$A$5:$A$1004,$T1939))))</f>
        <v/>
      </c>
      <c r="B1939" s="79">
        <f>IF(OR($T1939="",$U1939=""),IF($T1939="","","Not on Firms tab"),INDEX(Firms!$B$5:$B$1004,$U1939)&amp;"")</f>
        <v/>
      </c>
      <c r="C1939" s="78">
        <f>IF($T1939="","",IF($S1939="S","Standard",INDEX('AFA Rates'!$B$5:$B$1004,$T1939)&amp;""))</f>
        <v/>
      </c>
      <c r="D1939" s="88">
        <f>IF($T1939="","",IF($S1939="S",IF(INDEX(Firms!$E$5:$E$1004,$T1939)="","",INDEX(Firms!$E$5:$E$1004,$T1939)),IF(INDEX('AFA Rates'!$C$5:$C$1004,$T1939)="","",INDEX('AFA Rates'!$C$5:$C$1004,$T1939))))</f>
        <v/>
      </c>
      <c r="E1939" s="88">
        <f>IF($T1939="","",IF($S1939="S",IF(""="","",""),IF(INDEX('AFA Rates'!$D$5:$D$1004,$T1939)="","",INDEX('AFA Rates'!$D$5:$D$1004,$T1939))))</f>
        <v/>
      </c>
      <c r="F1939" s="79">
        <f>IF($T1939="","",IF($S1939="S",IF(INDEX(Firms!$O$5:$O$1004,$T1939)="","",INDEX(Firms!$O$5:$O$1004,$T1939)),IF(INDEX('AFA Rates'!$O$5:$O$1004,$T1939)="","",INDEX('AFA Rates'!$O$5:$O$1004,$T1939))))</f>
        <v/>
      </c>
      <c r="G1939" s="50">
        <f>IF($T1939="","",IF($S1939="S",IF(INDEX(Firms!$F$5:$F$1004,$T1939)="","",INDEX(Firms!$F$5:$F$1004,$T1939)),IF(INDEX('AFA Rates'!$E$5:$E$1004,$T1939)="","",INDEX('AFA Rates'!$E$5:$E$1004,$T1939))))</f>
        <v/>
      </c>
      <c r="H1939" s="50">
        <f>IF($T1939="","",IF($S1939="S",IF(INDEX(Firms!$G$5:$G$1004,$T1939)="","",INDEX(Firms!$G$5:$G$1004,$T1939)),IF(INDEX('AFA Rates'!$F$5:$F$1004,$T1939)="","",INDEX('AFA Rates'!$F$5:$F$1004,$T1939))))</f>
        <v/>
      </c>
      <c r="I1939" s="50">
        <f>IF($T1939="","",IF($S1939="S",IF(INDEX(Firms!$H$5:$H$1004,$T1939)="","",INDEX(Firms!$H$5:$H$1004,$T1939)),IF(INDEX('AFA Rates'!$G$5:$G$1004,$T1939)="","",INDEX('AFA Rates'!$G$5:$G$1004,$T1939))))</f>
        <v/>
      </c>
      <c r="J1939" s="50">
        <f>IF($T1939="","",IF($S1939="S",IF(INDEX(Firms!$I$5:$I$1004,$T1939)="","",INDEX(Firms!$I$5:$I$1004,$T1939)),IF(INDEX('AFA Rates'!$H$5:$H$1004,$T1939)="","",INDEX('AFA Rates'!$H$5:$H$1004,$T1939))))</f>
        <v/>
      </c>
      <c r="K1939" s="50">
        <f>IF($T1939="","",IF($S1939="S",IF(INDEX(Firms!$J$5:$J$1004,$T1939)="","",INDEX(Firms!$J$5:$J$1004,$T1939)),IF(INDEX('AFA Rates'!$I$5:$I$1004,$T1939)="","",INDEX('AFA Rates'!$I$5:$I$1004,$T1939))))</f>
        <v/>
      </c>
      <c r="L1939" s="50">
        <f>IF($T1939="","",IF($S1939="S",IF(INDEX(Firms!$K$5:$K$1004,$T1939)="","",INDEX(Firms!$K$5:$K$1004,$T1939)),IF(INDEX('AFA Rates'!$J$5:$J$1004,$T1939)="","",INDEX('AFA Rates'!$J$5:$J$1004,$T1939))))</f>
        <v/>
      </c>
      <c r="M1939" s="50">
        <f>IF($T1939="","",IF($S1939="S",IF(INDEX(Firms!$L$5:$L$1004,$T1939)="","",INDEX(Firms!$L$5:$L$1004,$T1939)),IF(INDEX('AFA Rates'!$K$5:$K$1004,$T1939)="","",INDEX('AFA Rates'!$K$5:$K$1004,$T1939))))</f>
        <v/>
      </c>
      <c r="N1939" s="50">
        <f>IF($T1939="","",IF($S1939="S",IF(INDEX(Firms!$M$5:$M$1004,$T1939)="","",INDEX(Firms!$M$5:$M$1004,$T1939)),IF(INDEX('AFA Rates'!$L$5:$L$1004,$T1939)="","",INDEX('AFA Rates'!$L$5:$L$1004,$T1939))))</f>
        <v/>
      </c>
      <c r="O1939" s="78">
        <f>IF(OR($T1939="",$U1939=""),"",IF(INDEX(Firms!$C$5:$C$1004,$U1939)="","",INDEX(Firms!$C$5:$C$1004,$U1939)))</f>
        <v/>
      </c>
      <c r="P1939" s="79">
        <f>IF(OR($T1939="",$U1939=""),"",IF(INDEX(Firms!$N$5:$N$1004,$U1939)="","",INDEX(Firms!$N$5:$N$1004,$U1939)))</f>
        <v/>
      </c>
      <c r="Q1939" s="78">
        <f>IF($T1939="","",IF($S1939="S",IF(INDEX(Firms!$T$5:$T$1004,$T1939)="","",INDEX(Firms!$T$5:$T$1004,$T1939)),IF(INDEX('AFA Rates'!$M$5:$M$1004,$T1939)="","",INDEX('AFA Rates'!$M$5:$M$1004,$T1939))))</f>
        <v/>
      </c>
      <c r="S1939">
        <f>IF(1935&lt;=$S$2,"S",IF(1935&lt;=$S$2+$T$2,"A",""))</f>
        <v/>
      </c>
      <c r="T1939">
        <f>IF(S1939="S",MATCH(1935,Firms!$W$5:$W$1004,0),IF(S1939="A",IFERROR(MATCH(1935-$S$2,'AFA Rates'!$R$5:$R$1004,0),""),""))</f>
        <v/>
      </c>
      <c r="U1939">
        <f>IF(S1939="S",T1939,IF(AND(S1939="A",T1939&lt;&gt;""),IFERROR(MATCH(INDEX('AFA Rates'!$A$5:$A$1004,T1939),Firms!$A$5:$A$1004,0),""),""))</f>
        <v/>
      </c>
    </row>
    <row r="1940">
      <c r="A1940" s="78">
        <f>IF($T1940="","",IF($S1940="S",IF(INDEX(Firms!$A$5:$A$1004,$T1940)="","",INDEX(Firms!$A$5:$A$1004,$T1940)),IF(INDEX('AFA Rates'!$A$5:$A$1004,$T1940)="","",INDEX('AFA Rates'!$A$5:$A$1004,$T1940))))</f>
        <v/>
      </c>
      <c r="B1940" s="79">
        <f>IF(OR($T1940="",$U1940=""),IF($T1940="","","Not on Firms tab"),INDEX(Firms!$B$5:$B$1004,$U1940)&amp;"")</f>
        <v/>
      </c>
      <c r="C1940" s="78">
        <f>IF($T1940="","",IF($S1940="S","Standard",INDEX('AFA Rates'!$B$5:$B$1004,$T1940)&amp;""))</f>
        <v/>
      </c>
      <c r="D1940" s="88">
        <f>IF($T1940="","",IF($S1940="S",IF(INDEX(Firms!$E$5:$E$1004,$T1940)="","",INDEX(Firms!$E$5:$E$1004,$T1940)),IF(INDEX('AFA Rates'!$C$5:$C$1004,$T1940)="","",INDEX('AFA Rates'!$C$5:$C$1004,$T1940))))</f>
        <v/>
      </c>
      <c r="E1940" s="88">
        <f>IF($T1940="","",IF($S1940="S",IF(""="","",""),IF(INDEX('AFA Rates'!$D$5:$D$1004,$T1940)="","",INDEX('AFA Rates'!$D$5:$D$1004,$T1940))))</f>
        <v/>
      </c>
      <c r="F1940" s="79">
        <f>IF($T1940="","",IF($S1940="S",IF(INDEX(Firms!$O$5:$O$1004,$T1940)="","",INDEX(Firms!$O$5:$O$1004,$T1940)),IF(INDEX('AFA Rates'!$O$5:$O$1004,$T1940)="","",INDEX('AFA Rates'!$O$5:$O$1004,$T1940))))</f>
        <v/>
      </c>
      <c r="G1940" s="50">
        <f>IF($T1940="","",IF($S1940="S",IF(INDEX(Firms!$F$5:$F$1004,$T1940)="","",INDEX(Firms!$F$5:$F$1004,$T1940)),IF(INDEX('AFA Rates'!$E$5:$E$1004,$T1940)="","",INDEX('AFA Rates'!$E$5:$E$1004,$T1940))))</f>
        <v/>
      </c>
      <c r="H1940" s="50">
        <f>IF($T1940="","",IF($S1940="S",IF(INDEX(Firms!$G$5:$G$1004,$T1940)="","",INDEX(Firms!$G$5:$G$1004,$T1940)),IF(INDEX('AFA Rates'!$F$5:$F$1004,$T1940)="","",INDEX('AFA Rates'!$F$5:$F$1004,$T1940))))</f>
        <v/>
      </c>
      <c r="I1940" s="50">
        <f>IF($T1940="","",IF($S1940="S",IF(INDEX(Firms!$H$5:$H$1004,$T1940)="","",INDEX(Firms!$H$5:$H$1004,$T1940)),IF(INDEX('AFA Rates'!$G$5:$G$1004,$T1940)="","",INDEX('AFA Rates'!$G$5:$G$1004,$T1940))))</f>
        <v/>
      </c>
      <c r="J1940" s="50">
        <f>IF($T1940="","",IF($S1940="S",IF(INDEX(Firms!$I$5:$I$1004,$T1940)="","",INDEX(Firms!$I$5:$I$1004,$T1940)),IF(INDEX('AFA Rates'!$H$5:$H$1004,$T1940)="","",INDEX('AFA Rates'!$H$5:$H$1004,$T1940))))</f>
        <v/>
      </c>
      <c r="K1940" s="50">
        <f>IF($T1940="","",IF($S1940="S",IF(INDEX(Firms!$J$5:$J$1004,$T1940)="","",INDEX(Firms!$J$5:$J$1004,$T1940)),IF(INDEX('AFA Rates'!$I$5:$I$1004,$T1940)="","",INDEX('AFA Rates'!$I$5:$I$1004,$T1940))))</f>
        <v/>
      </c>
      <c r="L1940" s="50">
        <f>IF($T1940="","",IF($S1940="S",IF(INDEX(Firms!$K$5:$K$1004,$T1940)="","",INDEX(Firms!$K$5:$K$1004,$T1940)),IF(INDEX('AFA Rates'!$J$5:$J$1004,$T1940)="","",INDEX('AFA Rates'!$J$5:$J$1004,$T1940))))</f>
        <v/>
      </c>
      <c r="M1940" s="50">
        <f>IF($T1940="","",IF($S1940="S",IF(INDEX(Firms!$L$5:$L$1004,$T1940)="","",INDEX(Firms!$L$5:$L$1004,$T1940)),IF(INDEX('AFA Rates'!$K$5:$K$1004,$T1940)="","",INDEX('AFA Rates'!$K$5:$K$1004,$T1940))))</f>
        <v/>
      </c>
      <c r="N1940" s="50">
        <f>IF($T1940="","",IF($S1940="S",IF(INDEX(Firms!$M$5:$M$1004,$T1940)="","",INDEX(Firms!$M$5:$M$1004,$T1940)),IF(INDEX('AFA Rates'!$L$5:$L$1004,$T1940)="","",INDEX('AFA Rates'!$L$5:$L$1004,$T1940))))</f>
        <v/>
      </c>
      <c r="O1940" s="78">
        <f>IF(OR($T1940="",$U1940=""),"",IF(INDEX(Firms!$C$5:$C$1004,$U1940)="","",INDEX(Firms!$C$5:$C$1004,$U1940)))</f>
        <v/>
      </c>
      <c r="P1940" s="79">
        <f>IF(OR($T1940="",$U1940=""),"",IF(INDEX(Firms!$N$5:$N$1004,$U1940)="","",INDEX(Firms!$N$5:$N$1004,$U1940)))</f>
        <v/>
      </c>
      <c r="Q1940" s="78">
        <f>IF($T1940="","",IF($S1940="S",IF(INDEX(Firms!$T$5:$T$1004,$T1940)="","",INDEX(Firms!$T$5:$T$1004,$T1940)),IF(INDEX('AFA Rates'!$M$5:$M$1004,$T1940)="","",INDEX('AFA Rates'!$M$5:$M$1004,$T1940))))</f>
        <v/>
      </c>
      <c r="S1940">
        <f>IF(1936&lt;=$S$2,"S",IF(1936&lt;=$S$2+$T$2,"A",""))</f>
        <v/>
      </c>
      <c r="T1940">
        <f>IF(S1940="S",MATCH(1936,Firms!$W$5:$W$1004,0),IF(S1940="A",IFERROR(MATCH(1936-$S$2,'AFA Rates'!$R$5:$R$1004,0),""),""))</f>
        <v/>
      </c>
      <c r="U1940">
        <f>IF(S1940="S",T1940,IF(AND(S1940="A",T1940&lt;&gt;""),IFERROR(MATCH(INDEX('AFA Rates'!$A$5:$A$1004,T1940),Firms!$A$5:$A$1004,0),""),""))</f>
        <v/>
      </c>
    </row>
    <row r="1941">
      <c r="A1941" s="78">
        <f>IF($T1941="","",IF($S1941="S",IF(INDEX(Firms!$A$5:$A$1004,$T1941)="","",INDEX(Firms!$A$5:$A$1004,$T1941)),IF(INDEX('AFA Rates'!$A$5:$A$1004,$T1941)="","",INDEX('AFA Rates'!$A$5:$A$1004,$T1941))))</f>
        <v/>
      </c>
      <c r="B1941" s="79">
        <f>IF(OR($T1941="",$U1941=""),IF($T1941="","","Not on Firms tab"),INDEX(Firms!$B$5:$B$1004,$U1941)&amp;"")</f>
        <v/>
      </c>
      <c r="C1941" s="78">
        <f>IF($T1941="","",IF($S1941="S","Standard",INDEX('AFA Rates'!$B$5:$B$1004,$T1941)&amp;""))</f>
        <v/>
      </c>
      <c r="D1941" s="88">
        <f>IF($T1941="","",IF($S1941="S",IF(INDEX(Firms!$E$5:$E$1004,$T1941)="","",INDEX(Firms!$E$5:$E$1004,$T1941)),IF(INDEX('AFA Rates'!$C$5:$C$1004,$T1941)="","",INDEX('AFA Rates'!$C$5:$C$1004,$T1941))))</f>
        <v/>
      </c>
      <c r="E1941" s="88">
        <f>IF($T1941="","",IF($S1941="S",IF(""="","",""),IF(INDEX('AFA Rates'!$D$5:$D$1004,$T1941)="","",INDEX('AFA Rates'!$D$5:$D$1004,$T1941))))</f>
        <v/>
      </c>
      <c r="F1941" s="79">
        <f>IF($T1941="","",IF($S1941="S",IF(INDEX(Firms!$O$5:$O$1004,$T1941)="","",INDEX(Firms!$O$5:$O$1004,$T1941)),IF(INDEX('AFA Rates'!$O$5:$O$1004,$T1941)="","",INDEX('AFA Rates'!$O$5:$O$1004,$T1941))))</f>
        <v/>
      </c>
      <c r="G1941" s="50">
        <f>IF($T1941="","",IF($S1941="S",IF(INDEX(Firms!$F$5:$F$1004,$T1941)="","",INDEX(Firms!$F$5:$F$1004,$T1941)),IF(INDEX('AFA Rates'!$E$5:$E$1004,$T1941)="","",INDEX('AFA Rates'!$E$5:$E$1004,$T1941))))</f>
        <v/>
      </c>
      <c r="H1941" s="50">
        <f>IF($T1941="","",IF($S1941="S",IF(INDEX(Firms!$G$5:$G$1004,$T1941)="","",INDEX(Firms!$G$5:$G$1004,$T1941)),IF(INDEX('AFA Rates'!$F$5:$F$1004,$T1941)="","",INDEX('AFA Rates'!$F$5:$F$1004,$T1941))))</f>
        <v/>
      </c>
      <c r="I1941" s="50">
        <f>IF($T1941="","",IF($S1941="S",IF(INDEX(Firms!$H$5:$H$1004,$T1941)="","",INDEX(Firms!$H$5:$H$1004,$T1941)),IF(INDEX('AFA Rates'!$G$5:$G$1004,$T1941)="","",INDEX('AFA Rates'!$G$5:$G$1004,$T1941))))</f>
        <v/>
      </c>
      <c r="J1941" s="50">
        <f>IF($T1941="","",IF($S1941="S",IF(INDEX(Firms!$I$5:$I$1004,$T1941)="","",INDEX(Firms!$I$5:$I$1004,$T1941)),IF(INDEX('AFA Rates'!$H$5:$H$1004,$T1941)="","",INDEX('AFA Rates'!$H$5:$H$1004,$T1941))))</f>
        <v/>
      </c>
      <c r="K1941" s="50">
        <f>IF($T1941="","",IF($S1941="S",IF(INDEX(Firms!$J$5:$J$1004,$T1941)="","",INDEX(Firms!$J$5:$J$1004,$T1941)),IF(INDEX('AFA Rates'!$I$5:$I$1004,$T1941)="","",INDEX('AFA Rates'!$I$5:$I$1004,$T1941))))</f>
        <v/>
      </c>
      <c r="L1941" s="50">
        <f>IF($T1941="","",IF($S1941="S",IF(INDEX(Firms!$K$5:$K$1004,$T1941)="","",INDEX(Firms!$K$5:$K$1004,$T1941)),IF(INDEX('AFA Rates'!$J$5:$J$1004,$T1941)="","",INDEX('AFA Rates'!$J$5:$J$1004,$T1941))))</f>
        <v/>
      </c>
      <c r="M1941" s="50">
        <f>IF($T1941="","",IF($S1941="S",IF(INDEX(Firms!$L$5:$L$1004,$T1941)="","",INDEX(Firms!$L$5:$L$1004,$T1941)),IF(INDEX('AFA Rates'!$K$5:$K$1004,$T1941)="","",INDEX('AFA Rates'!$K$5:$K$1004,$T1941))))</f>
        <v/>
      </c>
      <c r="N1941" s="50">
        <f>IF($T1941="","",IF($S1941="S",IF(INDEX(Firms!$M$5:$M$1004,$T1941)="","",INDEX(Firms!$M$5:$M$1004,$T1941)),IF(INDEX('AFA Rates'!$L$5:$L$1004,$T1941)="","",INDEX('AFA Rates'!$L$5:$L$1004,$T1941))))</f>
        <v/>
      </c>
      <c r="O1941" s="78">
        <f>IF(OR($T1941="",$U1941=""),"",IF(INDEX(Firms!$C$5:$C$1004,$U1941)="","",INDEX(Firms!$C$5:$C$1004,$U1941)))</f>
        <v/>
      </c>
      <c r="P1941" s="79">
        <f>IF(OR($T1941="",$U1941=""),"",IF(INDEX(Firms!$N$5:$N$1004,$U1941)="","",INDEX(Firms!$N$5:$N$1004,$U1941)))</f>
        <v/>
      </c>
      <c r="Q1941" s="78">
        <f>IF($T1941="","",IF($S1941="S",IF(INDEX(Firms!$T$5:$T$1004,$T1941)="","",INDEX(Firms!$T$5:$T$1004,$T1941)),IF(INDEX('AFA Rates'!$M$5:$M$1004,$T1941)="","",INDEX('AFA Rates'!$M$5:$M$1004,$T1941))))</f>
        <v/>
      </c>
      <c r="S1941">
        <f>IF(1937&lt;=$S$2,"S",IF(1937&lt;=$S$2+$T$2,"A",""))</f>
        <v/>
      </c>
      <c r="T1941">
        <f>IF(S1941="S",MATCH(1937,Firms!$W$5:$W$1004,0),IF(S1941="A",IFERROR(MATCH(1937-$S$2,'AFA Rates'!$R$5:$R$1004,0),""),""))</f>
        <v/>
      </c>
      <c r="U1941">
        <f>IF(S1941="S",T1941,IF(AND(S1941="A",T1941&lt;&gt;""),IFERROR(MATCH(INDEX('AFA Rates'!$A$5:$A$1004,T1941),Firms!$A$5:$A$1004,0),""),""))</f>
        <v/>
      </c>
    </row>
    <row r="1942">
      <c r="A1942" s="78">
        <f>IF($T1942="","",IF($S1942="S",IF(INDEX(Firms!$A$5:$A$1004,$T1942)="","",INDEX(Firms!$A$5:$A$1004,$T1942)),IF(INDEX('AFA Rates'!$A$5:$A$1004,$T1942)="","",INDEX('AFA Rates'!$A$5:$A$1004,$T1942))))</f>
        <v/>
      </c>
      <c r="B1942" s="79">
        <f>IF(OR($T1942="",$U1942=""),IF($T1942="","","Not on Firms tab"),INDEX(Firms!$B$5:$B$1004,$U1942)&amp;"")</f>
        <v/>
      </c>
      <c r="C1942" s="78">
        <f>IF($T1942="","",IF($S1942="S","Standard",INDEX('AFA Rates'!$B$5:$B$1004,$T1942)&amp;""))</f>
        <v/>
      </c>
      <c r="D1942" s="88">
        <f>IF($T1942="","",IF($S1942="S",IF(INDEX(Firms!$E$5:$E$1004,$T1942)="","",INDEX(Firms!$E$5:$E$1004,$T1942)),IF(INDEX('AFA Rates'!$C$5:$C$1004,$T1942)="","",INDEX('AFA Rates'!$C$5:$C$1004,$T1942))))</f>
        <v/>
      </c>
      <c r="E1942" s="88">
        <f>IF($T1942="","",IF($S1942="S",IF(""="","",""),IF(INDEX('AFA Rates'!$D$5:$D$1004,$T1942)="","",INDEX('AFA Rates'!$D$5:$D$1004,$T1942))))</f>
        <v/>
      </c>
      <c r="F1942" s="79">
        <f>IF($T1942="","",IF($S1942="S",IF(INDEX(Firms!$O$5:$O$1004,$T1942)="","",INDEX(Firms!$O$5:$O$1004,$T1942)),IF(INDEX('AFA Rates'!$O$5:$O$1004,$T1942)="","",INDEX('AFA Rates'!$O$5:$O$1004,$T1942))))</f>
        <v/>
      </c>
      <c r="G1942" s="50">
        <f>IF($T1942="","",IF($S1942="S",IF(INDEX(Firms!$F$5:$F$1004,$T1942)="","",INDEX(Firms!$F$5:$F$1004,$T1942)),IF(INDEX('AFA Rates'!$E$5:$E$1004,$T1942)="","",INDEX('AFA Rates'!$E$5:$E$1004,$T1942))))</f>
        <v/>
      </c>
      <c r="H1942" s="50">
        <f>IF($T1942="","",IF($S1942="S",IF(INDEX(Firms!$G$5:$G$1004,$T1942)="","",INDEX(Firms!$G$5:$G$1004,$T1942)),IF(INDEX('AFA Rates'!$F$5:$F$1004,$T1942)="","",INDEX('AFA Rates'!$F$5:$F$1004,$T1942))))</f>
        <v/>
      </c>
      <c r="I1942" s="50">
        <f>IF($T1942="","",IF($S1942="S",IF(INDEX(Firms!$H$5:$H$1004,$T1942)="","",INDEX(Firms!$H$5:$H$1004,$T1942)),IF(INDEX('AFA Rates'!$G$5:$G$1004,$T1942)="","",INDEX('AFA Rates'!$G$5:$G$1004,$T1942))))</f>
        <v/>
      </c>
      <c r="J1942" s="50">
        <f>IF($T1942="","",IF($S1942="S",IF(INDEX(Firms!$I$5:$I$1004,$T1942)="","",INDEX(Firms!$I$5:$I$1004,$T1942)),IF(INDEX('AFA Rates'!$H$5:$H$1004,$T1942)="","",INDEX('AFA Rates'!$H$5:$H$1004,$T1942))))</f>
        <v/>
      </c>
      <c r="K1942" s="50">
        <f>IF($T1942="","",IF($S1942="S",IF(INDEX(Firms!$J$5:$J$1004,$T1942)="","",INDEX(Firms!$J$5:$J$1004,$T1942)),IF(INDEX('AFA Rates'!$I$5:$I$1004,$T1942)="","",INDEX('AFA Rates'!$I$5:$I$1004,$T1942))))</f>
        <v/>
      </c>
      <c r="L1942" s="50">
        <f>IF($T1942="","",IF($S1942="S",IF(INDEX(Firms!$K$5:$K$1004,$T1942)="","",INDEX(Firms!$K$5:$K$1004,$T1942)),IF(INDEX('AFA Rates'!$J$5:$J$1004,$T1942)="","",INDEX('AFA Rates'!$J$5:$J$1004,$T1942))))</f>
        <v/>
      </c>
      <c r="M1942" s="50">
        <f>IF($T1942="","",IF($S1942="S",IF(INDEX(Firms!$L$5:$L$1004,$T1942)="","",INDEX(Firms!$L$5:$L$1004,$T1942)),IF(INDEX('AFA Rates'!$K$5:$K$1004,$T1942)="","",INDEX('AFA Rates'!$K$5:$K$1004,$T1942))))</f>
        <v/>
      </c>
      <c r="N1942" s="50">
        <f>IF($T1942="","",IF($S1942="S",IF(INDEX(Firms!$M$5:$M$1004,$T1942)="","",INDEX(Firms!$M$5:$M$1004,$T1942)),IF(INDEX('AFA Rates'!$L$5:$L$1004,$T1942)="","",INDEX('AFA Rates'!$L$5:$L$1004,$T1942))))</f>
        <v/>
      </c>
      <c r="O1942" s="78">
        <f>IF(OR($T1942="",$U1942=""),"",IF(INDEX(Firms!$C$5:$C$1004,$U1942)="","",INDEX(Firms!$C$5:$C$1004,$U1942)))</f>
        <v/>
      </c>
      <c r="P1942" s="79">
        <f>IF(OR($T1942="",$U1942=""),"",IF(INDEX(Firms!$N$5:$N$1004,$U1942)="","",INDEX(Firms!$N$5:$N$1004,$U1942)))</f>
        <v/>
      </c>
      <c r="Q1942" s="78">
        <f>IF($T1942="","",IF($S1942="S",IF(INDEX(Firms!$T$5:$T$1004,$T1942)="","",INDEX(Firms!$T$5:$T$1004,$T1942)),IF(INDEX('AFA Rates'!$M$5:$M$1004,$T1942)="","",INDEX('AFA Rates'!$M$5:$M$1004,$T1942))))</f>
        <v/>
      </c>
      <c r="S1942">
        <f>IF(1938&lt;=$S$2,"S",IF(1938&lt;=$S$2+$T$2,"A",""))</f>
        <v/>
      </c>
      <c r="T1942">
        <f>IF(S1942="S",MATCH(1938,Firms!$W$5:$W$1004,0),IF(S1942="A",IFERROR(MATCH(1938-$S$2,'AFA Rates'!$R$5:$R$1004,0),""),""))</f>
        <v/>
      </c>
      <c r="U1942">
        <f>IF(S1942="S",T1942,IF(AND(S1942="A",T1942&lt;&gt;""),IFERROR(MATCH(INDEX('AFA Rates'!$A$5:$A$1004,T1942),Firms!$A$5:$A$1004,0),""),""))</f>
        <v/>
      </c>
    </row>
    <row r="1943">
      <c r="A1943" s="78">
        <f>IF($T1943="","",IF($S1943="S",IF(INDEX(Firms!$A$5:$A$1004,$T1943)="","",INDEX(Firms!$A$5:$A$1004,$T1943)),IF(INDEX('AFA Rates'!$A$5:$A$1004,$T1943)="","",INDEX('AFA Rates'!$A$5:$A$1004,$T1943))))</f>
        <v/>
      </c>
      <c r="B1943" s="79">
        <f>IF(OR($T1943="",$U1943=""),IF($T1943="","","Not on Firms tab"),INDEX(Firms!$B$5:$B$1004,$U1943)&amp;"")</f>
        <v/>
      </c>
      <c r="C1943" s="78">
        <f>IF($T1943="","",IF($S1943="S","Standard",INDEX('AFA Rates'!$B$5:$B$1004,$T1943)&amp;""))</f>
        <v/>
      </c>
      <c r="D1943" s="88">
        <f>IF($T1943="","",IF($S1943="S",IF(INDEX(Firms!$E$5:$E$1004,$T1943)="","",INDEX(Firms!$E$5:$E$1004,$T1943)),IF(INDEX('AFA Rates'!$C$5:$C$1004,$T1943)="","",INDEX('AFA Rates'!$C$5:$C$1004,$T1943))))</f>
        <v/>
      </c>
      <c r="E1943" s="88">
        <f>IF($T1943="","",IF($S1943="S",IF(""="","",""),IF(INDEX('AFA Rates'!$D$5:$D$1004,$T1943)="","",INDEX('AFA Rates'!$D$5:$D$1004,$T1943))))</f>
        <v/>
      </c>
      <c r="F1943" s="79">
        <f>IF($T1943="","",IF($S1943="S",IF(INDEX(Firms!$O$5:$O$1004,$T1943)="","",INDEX(Firms!$O$5:$O$1004,$T1943)),IF(INDEX('AFA Rates'!$O$5:$O$1004,$T1943)="","",INDEX('AFA Rates'!$O$5:$O$1004,$T1943))))</f>
        <v/>
      </c>
      <c r="G1943" s="50">
        <f>IF($T1943="","",IF($S1943="S",IF(INDEX(Firms!$F$5:$F$1004,$T1943)="","",INDEX(Firms!$F$5:$F$1004,$T1943)),IF(INDEX('AFA Rates'!$E$5:$E$1004,$T1943)="","",INDEX('AFA Rates'!$E$5:$E$1004,$T1943))))</f>
        <v/>
      </c>
      <c r="H1943" s="50">
        <f>IF($T1943="","",IF($S1943="S",IF(INDEX(Firms!$G$5:$G$1004,$T1943)="","",INDEX(Firms!$G$5:$G$1004,$T1943)),IF(INDEX('AFA Rates'!$F$5:$F$1004,$T1943)="","",INDEX('AFA Rates'!$F$5:$F$1004,$T1943))))</f>
        <v/>
      </c>
      <c r="I1943" s="50">
        <f>IF($T1943="","",IF($S1943="S",IF(INDEX(Firms!$H$5:$H$1004,$T1943)="","",INDEX(Firms!$H$5:$H$1004,$T1943)),IF(INDEX('AFA Rates'!$G$5:$G$1004,$T1943)="","",INDEX('AFA Rates'!$G$5:$G$1004,$T1943))))</f>
        <v/>
      </c>
      <c r="J1943" s="50">
        <f>IF($T1943="","",IF($S1943="S",IF(INDEX(Firms!$I$5:$I$1004,$T1943)="","",INDEX(Firms!$I$5:$I$1004,$T1943)),IF(INDEX('AFA Rates'!$H$5:$H$1004,$T1943)="","",INDEX('AFA Rates'!$H$5:$H$1004,$T1943))))</f>
        <v/>
      </c>
      <c r="K1943" s="50">
        <f>IF($T1943="","",IF($S1943="S",IF(INDEX(Firms!$J$5:$J$1004,$T1943)="","",INDEX(Firms!$J$5:$J$1004,$T1943)),IF(INDEX('AFA Rates'!$I$5:$I$1004,$T1943)="","",INDEX('AFA Rates'!$I$5:$I$1004,$T1943))))</f>
        <v/>
      </c>
      <c r="L1943" s="50">
        <f>IF($T1943="","",IF($S1943="S",IF(INDEX(Firms!$K$5:$K$1004,$T1943)="","",INDEX(Firms!$K$5:$K$1004,$T1943)),IF(INDEX('AFA Rates'!$J$5:$J$1004,$T1943)="","",INDEX('AFA Rates'!$J$5:$J$1004,$T1943))))</f>
        <v/>
      </c>
      <c r="M1943" s="50">
        <f>IF($T1943="","",IF($S1943="S",IF(INDEX(Firms!$L$5:$L$1004,$T1943)="","",INDEX(Firms!$L$5:$L$1004,$T1943)),IF(INDEX('AFA Rates'!$K$5:$K$1004,$T1943)="","",INDEX('AFA Rates'!$K$5:$K$1004,$T1943))))</f>
        <v/>
      </c>
      <c r="N1943" s="50">
        <f>IF($T1943="","",IF($S1943="S",IF(INDEX(Firms!$M$5:$M$1004,$T1943)="","",INDEX(Firms!$M$5:$M$1004,$T1943)),IF(INDEX('AFA Rates'!$L$5:$L$1004,$T1943)="","",INDEX('AFA Rates'!$L$5:$L$1004,$T1943))))</f>
        <v/>
      </c>
      <c r="O1943" s="78">
        <f>IF(OR($T1943="",$U1943=""),"",IF(INDEX(Firms!$C$5:$C$1004,$U1943)="","",INDEX(Firms!$C$5:$C$1004,$U1943)))</f>
        <v/>
      </c>
      <c r="P1943" s="79">
        <f>IF(OR($T1943="",$U1943=""),"",IF(INDEX(Firms!$N$5:$N$1004,$U1943)="","",INDEX(Firms!$N$5:$N$1004,$U1943)))</f>
        <v/>
      </c>
      <c r="Q1943" s="78">
        <f>IF($T1943="","",IF($S1943="S",IF(INDEX(Firms!$T$5:$T$1004,$T1943)="","",INDEX(Firms!$T$5:$T$1004,$T1943)),IF(INDEX('AFA Rates'!$M$5:$M$1004,$T1943)="","",INDEX('AFA Rates'!$M$5:$M$1004,$T1943))))</f>
        <v/>
      </c>
      <c r="S1943">
        <f>IF(1939&lt;=$S$2,"S",IF(1939&lt;=$S$2+$T$2,"A",""))</f>
        <v/>
      </c>
      <c r="T1943">
        <f>IF(S1943="S",MATCH(1939,Firms!$W$5:$W$1004,0),IF(S1943="A",IFERROR(MATCH(1939-$S$2,'AFA Rates'!$R$5:$R$1004,0),""),""))</f>
        <v/>
      </c>
      <c r="U1943">
        <f>IF(S1943="S",T1943,IF(AND(S1943="A",T1943&lt;&gt;""),IFERROR(MATCH(INDEX('AFA Rates'!$A$5:$A$1004,T1943),Firms!$A$5:$A$1004,0),""),""))</f>
        <v/>
      </c>
    </row>
    <row r="1944">
      <c r="A1944" s="78">
        <f>IF($T1944="","",IF($S1944="S",IF(INDEX(Firms!$A$5:$A$1004,$T1944)="","",INDEX(Firms!$A$5:$A$1004,$T1944)),IF(INDEX('AFA Rates'!$A$5:$A$1004,$T1944)="","",INDEX('AFA Rates'!$A$5:$A$1004,$T1944))))</f>
        <v/>
      </c>
      <c r="B1944" s="79">
        <f>IF(OR($T1944="",$U1944=""),IF($T1944="","","Not on Firms tab"),INDEX(Firms!$B$5:$B$1004,$U1944)&amp;"")</f>
        <v/>
      </c>
      <c r="C1944" s="78">
        <f>IF($T1944="","",IF($S1944="S","Standard",INDEX('AFA Rates'!$B$5:$B$1004,$T1944)&amp;""))</f>
        <v/>
      </c>
      <c r="D1944" s="88">
        <f>IF($T1944="","",IF($S1944="S",IF(INDEX(Firms!$E$5:$E$1004,$T1944)="","",INDEX(Firms!$E$5:$E$1004,$T1944)),IF(INDEX('AFA Rates'!$C$5:$C$1004,$T1944)="","",INDEX('AFA Rates'!$C$5:$C$1004,$T1944))))</f>
        <v/>
      </c>
      <c r="E1944" s="88">
        <f>IF($T1944="","",IF($S1944="S",IF(""="","",""),IF(INDEX('AFA Rates'!$D$5:$D$1004,$T1944)="","",INDEX('AFA Rates'!$D$5:$D$1004,$T1944))))</f>
        <v/>
      </c>
      <c r="F1944" s="79">
        <f>IF($T1944="","",IF($S1944="S",IF(INDEX(Firms!$O$5:$O$1004,$T1944)="","",INDEX(Firms!$O$5:$O$1004,$T1944)),IF(INDEX('AFA Rates'!$O$5:$O$1004,$T1944)="","",INDEX('AFA Rates'!$O$5:$O$1004,$T1944))))</f>
        <v/>
      </c>
      <c r="G1944" s="50">
        <f>IF($T1944="","",IF($S1944="S",IF(INDEX(Firms!$F$5:$F$1004,$T1944)="","",INDEX(Firms!$F$5:$F$1004,$T1944)),IF(INDEX('AFA Rates'!$E$5:$E$1004,$T1944)="","",INDEX('AFA Rates'!$E$5:$E$1004,$T1944))))</f>
        <v/>
      </c>
      <c r="H1944" s="50">
        <f>IF($T1944="","",IF($S1944="S",IF(INDEX(Firms!$G$5:$G$1004,$T1944)="","",INDEX(Firms!$G$5:$G$1004,$T1944)),IF(INDEX('AFA Rates'!$F$5:$F$1004,$T1944)="","",INDEX('AFA Rates'!$F$5:$F$1004,$T1944))))</f>
        <v/>
      </c>
      <c r="I1944" s="50">
        <f>IF($T1944="","",IF($S1944="S",IF(INDEX(Firms!$H$5:$H$1004,$T1944)="","",INDEX(Firms!$H$5:$H$1004,$T1944)),IF(INDEX('AFA Rates'!$G$5:$G$1004,$T1944)="","",INDEX('AFA Rates'!$G$5:$G$1004,$T1944))))</f>
        <v/>
      </c>
      <c r="J1944" s="50">
        <f>IF($T1944="","",IF($S1944="S",IF(INDEX(Firms!$I$5:$I$1004,$T1944)="","",INDEX(Firms!$I$5:$I$1004,$T1944)),IF(INDEX('AFA Rates'!$H$5:$H$1004,$T1944)="","",INDEX('AFA Rates'!$H$5:$H$1004,$T1944))))</f>
        <v/>
      </c>
      <c r="K1944" s="50">
        <f>IF($T1944="","",IF($S1944="S",IF(INDEX(Firms!$J$5:$J$1004,$T1944)="","",INDEX(Firms!$J$5:$J$1004,$T1944)),IF(INDEX('AFA Rates'!$I$5:$I$1004,$T1944)="","",INDEX('AFA Rates'!$I$5:$I$1004,$T1944))))</f>
        <v/>
      </c>
      <c r="L1944" s="50">
        <f>IF($T1944="","",IF($S1944="S",IF(INDEX(Firms!$K$5:$K$1004,$T1944)="","",INDEX(Firms!$K$5:$K$1004,$T1944)),IF(INDEX('AFA Rates'!$J$5:$J$1004,$T1944)="","",INDEX('AFA Rates'!$J$5:$J$1004,$T1944))))</f>
        <v/>
      </c>
      <c r="M1944" s="50">
        <f>IF($T1944="","",IF($S1944="S",IF(INDEX(Firms!$L$5:$L$1004,$T1944)="","",INDEX(Firms!$L$5:$L$1004,$T1944)),IF(INDEX('AFA Rates'!$K$5:$K$1004,$T1944)="","",INDEX('AFA Rates'!$K$5:$K$1004,$T1944))))</f>
        <v/>
      </c>
      <c r="N1944" s="50">
        <f>IF($T1944="","",IF($S1944="S",IF(INDEX(Firms!$M$5:$M$1004,$T1944)="","",INDEX(Firms!$M$5:$M$1004,$T1944)),IF(INDEX('AFA Rates'!$L$5:$L$1004,$T1944)="","",INDEX('AFA Rates'!$L$5:$L$1004,$T1944))))</f>
        <v/>
      </c>
      <c r="O1944" s="78">
        <f>IF(OR($T1944="",$U1944=""),"",IF(INDEX(Firms!$C$5:$C$1004,$U1944)="","",INDEX(Firms!$C$5:$C$1004,$U1944)))</f>
        <v/>
      </c>
      <c r="P1944" s="79">
        <f>IF(OR($T1944="",$U1944=""),"",IF(INDEX(Firms!$N$5:$N$1004,$U1944)="","",INDEX(Firms!$N$5:$N$1004,$U1944)))</f>
        <v/>
      </c>
      <c r="Q1944" s="78">
        <f>IF($T1944="","",IF($S1944="S",IF(INDEX(Firms!$T$5:$T$1004,$T1944)="","",INDEX(Firms!$T$5:$T$1004,$T1944)),IF(INDEX('AFA Rates'!$M$5:$M$1004,$T1944)="","",INDEX('AFA Rates'!$M$5:$M$1004,$T1944))))</f>
        <v/>
      </c>
      <c r="S1944">
        <f>IF(1940&lt;=$S$2,"S",IF(1940&lt;=$S$2+$T$2,"A",""))</f>
        <v/>
      </c>
      <c r="T1944">
        <f>IF(S1944="S",MATCH(1940,Firms!$W$5:$W$1004,0),IF(S1944="A",IFERROR(MATCH(1940-$S$2,'AFA Rates'!$R$5:$R$1004,0),""),""))</f>
        <v/>
      </c>
      <c r="U1944">
        <f>IF(S1944="S",T1944,IF(AND(S1944="A",T1944&lt;&gt;""),IFERROR(MATCH(INDEX('AFA Rates'!$A$5:$A$1004,T1944),Firms!$A$5:$A$1004,0),""),""))</f>
        <v/>
      </c>
    </row>
    <row r="1945">
      <c r="A1945" s="78">
        <f>IF($T1945="","",IF($S1945="S",IF(INDEX(Firms!$A$5:$A$1004,$T1945)="","",INDEX(Firms!$A$5:$A$1004,$T1945)),IF(INDEX('AFA Rates'!$A$5:$A$1004,$T1945)="","",INDEX('AFA Rates'!$A$5:$A$1004,$T1945))))</f>
        <v/>
      </c>
      <c r="B1945" s="79">
        <f>IF(OR($T1945="",$U1945=""),IF($T1945="","","Not on Firms tab"),INDEX(Firms!$B$5:$B$1004,$U1945)&amp;"")</f>
        <v/>
      </c>
      <c r="C1945" s="78">
        <f>IF($T1945="","",IF($S1945="S","Standard",INDEX('AFA Rates'!$B$5:$B$1004,$T1945)&amp;""))</f>
        <v/>
      </c>
      <c r="D1945" s="88">
        <f>IF($T1945="","",IF($S1945="S",IF(INDEX(Firms!$E$5:$E$1004,$T1945)="","",INDEX(Firms!$E$5:$E$1004,$T1945)),IF(INDEX('AFA Rates'!$C$5:$C$1004,$T1945)="","",INDEX('AFA Rates'!$C$5:$C$1004,$T1945))))</f>
        <v/>
      </c>
      <c r="E1945" s="88">
        <f>IF($T1945="","",IF($S1945="S",IF(""="","",""),IF(INDEX('AFA Rates'!$D$5:$D$1004,$T1945)="","",INDEX('AFA Rates'!$D$5:$D$1004,$T1945))))</f>
        <v/>
      </c>
      <c r="F1945" s="79">
        <f>IF($T1945="","",IF($S1945="S",IF(INDEX(Firms!$O$5:$O$1004,$T1945)="","",INDEX(Firms!$O$5:$O$1004,$T1945)),IF(INDEX('AFA Rates'!$O$5:$O$1004,$T1945)="","",INDEX('AFA Rates'!$O$5:$O$1004,$T1945))))</f>
        <v/>
      </c>
      <c r="G1945" s="50">
        <f>IF($T1945="","",IF($S1945="S",IF(INDEX(Firms!$F$5:$F$1004,$T1945)="","",INDEX(Firms!$F$5:$F$1004,$T1945)),IF(INDEX('AFA Rates'!$E$5:$E$1004,$T1945)="","",INDEX('AFA Rates'!$E$5:$E$1004,$T1945))))</f>
        <v/>
      </c>
      <c r="H1945" s="50">
        <f>IF($T1945="","",IF($S1945="S",IF(INDEX(Firms!$G$5:$G$1004,$T1945)="","",INDEX(Firms!$G$5:$G$1004,$T1945)),IF(INDEX('AFA Rates'!$F$5:$F$1004,$T1945)="","",INDEX('AFA Rates'!$F$5:$F$1004,$T1945))))</f>
        <v/>
      </c>
      <c r="I1945" s="50">
        <f>IF($T1945="","",IF($S1945="S",IF(INDEX(Firms!$H$5:$H$1004,$T1945)="","",INDEX(Firms!$H$5:$H$1004,$T1945)),IF(INDEX('AFA Rates'!$G$5:$G$1004,$T1945)="","",INDEX('AFA Rates'!$G$5:$G$1004,$T1945))))</f>
        <v/>
      </c>
      <c r="J1945" s="50">
        <f>IF($T1945="","",IF($S1945="S",IF(INDEX(Firms!$I$5:$I$1004,$T1945)="","",INDEX(Firms!$I$5:$I$1004,$T1945)),IF(INDEX('AFA Rates'!$H$5:$H$1004,$T1945)="","",INDEX('AFA Rates'!$H$5:$H$1004,$T1945))))</f>
        <v/>
      </c>
      <c r="K1945" s="50">
        <f>IF($T1945="","",IF($S1945="S",IF(INDEX(Firms!$J$5:$J$1004,$T1945)="","",INDEX(Firms!$J$5:$J$1004,$T1945)),IF(INDEX('AFA Rates'!$I$5:$I$1004,$T1945)="","",INDEX('AFA Rates'!$I$5:$I$1004,$T1945))))</f>
        <v/>
      </c>
      <c r="L1945" s="50">
        <f>IF($T1945="","",IF($S1945="S",IF(INDEX(Firms!$K$5:$K$1004,$T1945)="","",INDEX(Firms!$K$5:$K$1004,$T1945)),IF(INDEX('AFA Rates'!$J$5:$J$1004,$T1945)="","",INDEX('AFA Rates'!$J$5:$J$1004,$T1945))))</f>
        <v/>
      </c>
      <c r="M1945" s="50">
        <f>IF($T1945="","",IF($S1945="S",IF(INDEX(Firms!$L$5:$L$1004,$T1945)="","",INDEX(Firms!$L$5:$L$1004,$T1945)),IF(INDEX('AFA Rates'!$K$5:$K$1004,$T1945)="","",INDEX('AFA Rates'!$K$5:$K$1004,$T1945))))</f>
        <v/>
      </c>
      <c r="N1945" s="50">
        <f>IF($T1945="","",IF($S1945="S",IF(INDEX(Firms!$M$5:$M$1004,$T1945)="","",INDEX(Firms!$M$5:$M$1004,$T1945)),IF(INDEX('AFA Rates'!$L$5:$L$1004,$T1945)="","",INDEX('AFA Rates'!$L$5:$L$1004,$T1945))))</f>
        <v/>
      </c>
      <c r="O1945" s="78">
        <f>IF(OR($T1945="",$U1945=""),"",IF(INDEX(Firms!$C$5:$C$1004,$U1945)="","",INDEX(Firms!$C$5:$C$1004,$U1945)))</f>
        <v/>
      </c>
      <c r="P1945" s="79">
        <f>IF(OR($T1945="",$U1945=""),"",IF(INDEX(Firms!$N$5:$N$1004,$U1945)="","",INDEX(Firms!$N$5:$N$1004,$U1945)))</f>
        <v/>
      </c>
      <c r="Q1945" s="78">
        <f>IF($T1945="","",IF($S1945="S",IF(INDEX(Firms!$T$5:$T$1004,$T1945)="","",INDEX(Firms!$T$5:$T$1004,$T1945)),IF(INDEX('AFA Rates'!$M$5:$M$1004,$T1945)="","",INDEX('AFA Rates'!$M$5:$M$1004,$T1945))))</f>
        <v/>
      </c>
      <c r="S1945">
        <f>IF(1941&lt;=$S$2,"S",IF(1941&lt;=$S$2+$T$2,"A",""))</f>
        <v/>
      </c>
      <c r="T1945">
        <f>IF(S1945="S",MATCH(1941,Firms!$W$5:$W$1004,0),IF(S1945="A",IFERROR(MATCH(1941-$S$2,'AFA Rates'!$R$5:$R$1004,0),""),""))</f>
        <v/>
      </c>
      <c r="U1945">
        <f>IF(S1945="S",T1945,IF(AND(S1945="A",T1945&lt;&gt;""),IFERROR(MATCH(INDEX('AFA Rates'!$A$5:$A$1004,T1945),Firms!$A$5:$A$1004,0),""),""))</f>
        <v/>
      </c>
    </row>
    <row r="1946">
      <c r="A1946" s="78">
        <f>IF($T1946="","",IF($S1946="S",IF(INDEX(Firms!$A$5:$A$1004,$T1946)="","",INDEX(Firms!$A$5:$A$1004,$T1946)),IF(INDEX('AFA Rates'!$A$5:$A$1004,$T1946)="","",INDEX('AFA Rates'!$A$5:$A$1004,$T1946))))</f>
        <v/>
      </c>
      <c r="B1946" s="79">
        <f>IF(OR($T1946="",$U1946=""),IF($T1946="","","Not on Firms tab"),INDEX(Firms!$B$5:$B$1004,$U1946)&amp;"")</f>
        <v/>
      </c>
      <c r="C1946" s="78">
        <f>IF($T1946="","",IF($S1946="S","Standard",INDEX('AFA Rates'!$B$5:$B$1004,$T1946)&amp;""))</f>
        <v/>
      </c>
      <c r="D1946" s="88">
        <f>IF($T1946="","",IF($S1946="S",IF(INDEX(Firms!$E$5:$E$1004,$T1946)="","",INDEX(Firms!$E$5:$E$1004,$T1946)),IF(INDEX('AFA Rates'!$C$5:$C$1004,$T1946)="","",INDEX('AFA Rates'!$C$5:$C$1004,$T1946))))</f>
        <v/>
      </c>
      <c r="E1946" s="88">
        <f>IF($T1946="","",IF($S1946="S",IF(""="","",""),IF(INDEX('AFA Rates'!$D$5:$D$1004,$T1946)="","",INDEX('AFA Rates'!$D$5:$D$1004,$T1946))))</f>
        <v/>
      </c>
      <c r="F1946" s="79">
        <f>IF($T1946="","",IF($S1946="S",IF(INDEX(Firms!$O$5:$O$1004,$T1946)="","",INDEX(Firms!$O$5:$O$1004,$T1946)),IF(INDEX('AFA Rates'!$O$5:$O$1004,$T1946)="","",INDEX('AFA Rates'!$O$5:$O$1004,$T1946))))</f>
        <v/>
      </c>
      <c r="G1946" s="50">
        <f>IF($T1946="","",IF($S1946="S",IF(INDEX(Firms!$F$5:$F$1004,$T1946)="","",INDEX(Firms!$F$5:$F$1004,$T1946)),IF(INDEX('AFA Rates'!$E$5:$E$1004,$T1946)="","",INDEX('AFA Rates'!$E$5:$E$1004,$T1946))))</f>
        <v/>
      </c>
      <c r="H1946" s="50">
        <f>IF($T1946="","",IF($S1946="S",IF(INDEX(Firms!$G$5:$G$1004,$T1946)="","",INDEX(Firms!$G$5:$G$1004,$T1946)),IF(INDEX('AFA Rates'!$F$5:$F$1004,$T1946)="","",INDEX('AFA Rates'!$F$5:$F$1004,$T1946))))</f>
        <v/>
      </c>
      <c r="I1946" s="50">
        <f>IF($T1946="","",IF($S1946="S",IF(INDEX(Firms!$H$5:$H$1004,$T1946)="","",INDEX(Firms!$H$5:$H$1004,$T1946)),IF(INDEX('AFA Rates'!$G$5:$G$1004,$T1946)="","",INDEX('AFA Rates'!$G$5:$G$1004,$T1946))))</f>
        <v/>
      </c>
      <c r="J1946" s="50">
        <f>IF($T1946="","",IF($S1946="S",IF(INDEX(Firms!$I$5:$I$1004,$T1946)="","",INDEX(Firms!$I$5:$I$1004,$T1946)),IF(INDEX('AFA Rates'!$H$5:$H$1004,$T1946)="","",INDEX('AFA Rates'!$H$5:$H$1004,$T1946))))</f>
        <v/>
      </c>
      <c r="K1946" s="50">
        <f>IF($T1946="","",IF($S1946="S",IF(INDEX(Firms!$J$5:$J$1004,$T1946)="","",INDEX(Firms!$J$5:$J$1004,$T1946)),IF(INDEX('AFA Rates'!$I$5:$I$1004,$T1946)="","",INDEX('AFA Rates'!$I$5:$I$1004,$T1946))))</f>
        <v/>
      </c>
      <c r="L1946" s="50">
        <f>IF($T1946="","",IF($S1946="S",IF(INDEX(Firms!$K$5:$K$1004,$T1946)="","",INDEX(Firms!$K$5:$K$1004,$T1946)),IF(INDEX('AFA Rates'!$J$5:$J$1004,$T1946)="","",INDEX('AFA Rates'!$J$5:$J$1004,$T1946))))</f>
        <v/>
      </c>
      <c r="M1946" s="50">
        <f>IF($T1946="","",IF($S1946="S",IF(INDEX(Firms!$L$5:$L$1004,$T1946)="","",INDEX(Firms!$L$5:$L$1004,$T1946)),IF(INDEX('AFA Rates'!$K$5:$K$1004,$T1946)="","",INDEX('AFA Rates'!$K$5:$K$1004,$T1946))))</f>
        <v/>
      </c>
      <c r="N1946" s="50">
        <f>IF($T1946="","",IF($S1946="S",IF(INDEX(Firms!$M$5:$M$1004,$T1946)="","",INDEX(Firms!$M$5:$M$1004,$T1946)),IF(INDEX('AFA Rates'!$L$5:$L$1004,$T1946)="","",INDEX('AFA Rates'!$L$5:$L$1004,$T1946))))</f>
        <v/>
      </c>
      <c r="O1946" s="78">
        <f>IF(OR($T1946="",$U1946=""),"",IF(INDEX(Firms!$C$5:$C$1004,$U1946)="","",INDEX(Firms!$C$5:$C$1004,$U1946)))</f>
        <v/>
      </c>
      <c r="P1946" s="79">
        <f>IF(OR($T1946="",$U1946=""),"",IF(INDEX(Firms!$N$5:$N$1004,$U1946)="","",INDEX(Firms!$N$5:$N$1004,$U1946)))</f>
        <v/>
      </c>
      <c r="Q1946" s="78">
        <f>IF($T1946="","",IF($S1946="S",IF(INDEX(Firms!$T$5:$T$1004,$T1946)="","",INDEX(Firms!$T$5:$T$1004,$T1946)),IF(INDEX('AFA Rates'!$M$5:$M$1004,$T1946)="","",INDEX('AFA Rates'!$M$5:$M$1004,$T1946))))</f>
        <v/>
      </c>
      <c r="S1946">
        <f>IF(1942&lt;=$S$2,"S",IF(1942&lt;=$S$2+$T$2,"A",""))</f>
        <v/>
      </c>
      <c r="T1946">
        <f>IF(S1946="S",MATCH(1942,Firms!$W$5:$W$1004,0),IF(S1946="A",IFERROR(MATCH(1942-$S$2,'AFA Rates'!$R$5:$R$1004,0),""),""))</f>
        <v/>
      </c>
      <c r="U1946">
        <f>IF(S1946="S",T1946,IF(AND(S1946="A",T1946&lt;&gt;""),IFERROR(MATCH(INDEX('AFA Rates'!$A$5:$A$1004,T1946),Firms!$A$5:$A$1004,0),""),""))</f>
        <v/>
      </c>
    </row>
    <row r="1947">
      <c r="A1947" s="78">
        <f>IF($T1947="","",IF($S1947="S",IF(INDEX(Firms!$A$5:$A$1004,$T1947)="","",INDEX(Firms!$A$5:$A$1004,$T1947)),IF(INDEX('AFA Rates'!$A$5:$A$1004,$T1947)="","",INDEX('AFA Rates'!$A$5:$A$1004,$T1947))))</f>
        <v/>
      </c>
      <c r="B1947" s="79">
        <f>IF(OR($T1947="",$U1947=""),IF($T1947="","","Not on Firms tab"),INDEX(Firms!$B$5:$B$1004,$U1947)&amp;"")</f>
        <v/>
      </c>
      <c r="C1947" s="78">
        <f>IF($T1947="","",IF($S1947="S","Standard",INDEX('AFA Rates'!$B$5:$B$1004,$T1947)&amp;""))</f>
        <v/>
      </c>
      <c r="D1947" s="88">
        <f>IF($T1947="","",IF($S1947="S",IF(INDEX(Firms!$E$5:$E$1004,$T1947)="","",INDEX(Firms!$E$5:$E$1004,$T1947)),IF(INDEX('AFA Rates'!$C$5:$C$1004,$T1947)="","",INDEX('AFA Rates'!$C$5:$C$1004,$T1947))))</f>
        <v/>
      </c>
      <c r="E1947" s="88">
        <f>IF($T1947="","",IF($S1947="S",IF(""="","",""),IF(INDEX('AFA Rates'!$D$5:$D$1004,$T1947)="","",INDEX('AFA Rates'!$D$5:$D$1004,$T1947))))</f>
        <v/>
      </c>
      <c r="F1947" s="79">
        <f>IF($T1947="","",IF($S1947="S",IF(INDEX(Firms!$O$5:$O$1004,$T1947)="","",INDEX(Firms!$O$5:$O$1004,$T1947)),IF(INDEX('AFA Rates'!$O$5:$O$1004,$T1947)="","",INDEX('AFA Rates'!$O$5:$O$1004,$T1947))))</f>
        <v/>
      </c>
      <c r="G1947" s="50">
        <f>IF($T1947="","",IF($S1947="S",IF(INDEX(Firms!$F$5:$F$1004,$T1947)="","",INDEX(Firms!$F$5:$F$1004,$T1947)),IF(INDEX('AFA Rates'!$E$5:$E$1004,$T1947)="","",INDEX('AFA Rates'!$E$5:$E$1004,$T1947))))</f>
        <v/>
      </c>
      <c r="H1947" s="50">
        <f>IF($T1947="","",IF($S1947="S",IF(INDEX(Firms!$G$5:$G$1004,$T1947)="","",INDEX(Firms!$G$5:$G$1004,$T1947)),IF(INDEX('AFA Rates'!$F$5:$F$1004,$T1947)="","",INDEX('AFA Rates'!$F$5:$F$1004,$T1947))))</f>
        <v/>
      </c>
      <c r="I1947" s="50">
        <f>IF($T1947="","",IF($S1947="S",IF(INDEX(Firms!$H$5:$H$1004,$T1947)="","",INDEX(Firms!$H$5:$H$1004,$T1947)),IF(INDEX('AFA Rates'!$G$5:$G$1004,$T1947)="","",INDEX('AFA Rates'!$G$5:$G$1004,$T1947))))</f>
        <v/>
      </c>
      <c r="J1947" s="50">
        <f>IF($T1947="","",IF($S1947="S",IF(INDEX(Firms!$I$5:$I$1004,$T1947)="","",INDEX(Firms!$I$5:$I$1004,$T1947)),IF(INDEX('AFA Rates'!$H$5:$H$1004,$T1947)="","",INDEX('AFA Rates'!$H$5:$H$1004,$T1947))))</f>
        <v/>
      </c>
      <c r="K1947" s="50">
        <f>IF($T1947="","",IF($S1947="S",IF(INDEX(Firms!$J$5:$J$1004,$T1947)="","",INDEX(Firms!$J$5:$J$1004,$T1947)),IF(INDEX('AFA Rates'!$I$5:$I$1004,$T1947)="","",INDEX('AFA Rates'!$I$5:$I$1004,$T1947))))</f>
        <v/>
      </c>
      <c r="L1947" s="50">
        <f>IF($T1947="","",IF($S1947="S",IF(INDEX(Firms!$K$5:$K$1004,$T1947)="","",INDEX(Firms!$K$5:$K$1004,$T1947)),IF(INDEX('AFA Rates'!$J$5:$J$1004,$T1947)="","",INDEX('AFA Rates'!$J$5:$J$1004,$T1947))))</f>
        <v/>
      </c>
      <c r="M1947" s="50">
        <f>IF($T1947="","",IF($S1947="S",IF(INDEX(Firms!$L$5:$L$1004,$T1947)="","",INDEX(Firms!$L$5:$L$1004,$T1947)),IF(INDEX('AFA Rates'!$K$5:$K$1004,$T1947)="","",INDEX('AFA Rates'!$K$5:$K$1004,$T1947))))</f>
        <v/>
      </c>
      <c r="N1947" s="50">
        <f>IF($T1947="","",IF($S1947="S",IF(INDEX(Firms!$M$5:$M$1004,$T1947)="","",INDEX(Firms!$M$5:$M$1004,$T1947)),IF(INDEX('AFA Rates'!$L$5:$L$1004,$T1947)="","",INDEX('AFA Rates'!$L$5:$L$1004,$T1947))))</f>
        <v/>
      </c>
      <c r="O1947" s="78">
        <f>IF(OR($T1947="",$U1947=""),"",IF(INDEX(Firms!$C$5:$C$1004,$U1947)="","",INDEX(Firms!$C$5:$C$1004,$U1947)))</f>
        <v/>
      </c>
      <c r="P1947" s="79">
        <f>IF(OR($T1947="",$U1947=""),"",IF(INDEX(Firms!$N$5:$N$1004,$U1947)="","",INDEX(Firms!$N$5:$N$1004,$U1947)))</f>
        <v/>
      </c>
      <c r="Q1947" s="78">
        <f>IF($T1947="","",IF($S1947="S",IF(INDEX(Firms!$T$5:$T$1004,$T1947)="","",INDEX(Firms!$T$5:$T$1004,$T1947)),IF(INDEX('AFA Rates'!$M$5:$M$1004,$T1947)="","",INDEX('AFA Rates'!$M$5:$M$1004,$T1947))))</f>
        <v/>
      </c>
      <c r="S1947">
        <f>IF(1943&lt;=$S$2,"S",IF(1943&lt;=$S$2+$T$2,"A",""))</f>
        <v/>
      </c>
      <c r="T1947">
        <f>IF(S1947="S",MATCH(1943,Firms!$W$5:$W$1004,0),IF(S1947="A",IFERROR(MATCH(1943-$S$2,'AFA Rates'!$R$5:$R$1004,0),""),""))</f>
        <v/>
      </c>
      <c r="U1947">
        <f>IF(S1947="S",T1947,IF(AND(S1947="A",T1947&lt;&gt;""),IFERROR(MATCH(INDEX('AFA Rates'!$A$5:$A$1004,T1947),Firms!$A$5:$A$1004,0),""),""))</f>
        <v/>
      </c>
    </row>
    <row r="1948">
      <c r="A1948" s="78">
        <f>IF($T1948="","",IF($S1948="S",IF(INDEX(Firms!$A$5:$A$1004,$T1948)="","",INDEX(Firms!$A$5:$A$1004,$T1948)),IF(INDEX('AFA Rates'!$A$5:$A$1004,$T1948)="","",INDEX('AFA Rates'!$A$5:$A$1004,$T1948))))</f>
        <v/>
      </c>
      <c r="B1948" s="79">
        <f>IF(OR($T1948="",$U1948=""),IF($T1948="","","Not on Firms tab"),INDEX(Firms!$B$5:$B$1004,$U1948)&amp;"")</f>
        <v/>
      </c>
      <c r="C1948" s="78">
        <f>IF($T1948="","",IF($S1948="S","Standard",INDEX('AFA Rates'!$B$5:$B$1004,$T1948)&amp;""))</f>
        <v/>
      </c>
      <c r="D1948" s="88">
        <f>IF($T1948="","",IF($S1948="S",IF(INDEX(Firms!$E$5:$E$1004,$T1948)="","",INDEX(Firms!$E$5:$E$1004,$T1948)),IF(INDEX('AFA Rates'!$C$5:$C$1004,$T1948)="","",INDEX('AFA Rates'!$C$5:$C$1004,$T1948))))</f>
        <v/>
      </c>
      <c r="E1948" s="88">
        <f>IF($T1948="","",IF($S1948="S",IF(""="","",""),IF(INDEX('AFA Rates'!$D$5:$D$1004,$T1948)="","",INDEX('AFA Rates'!$D$5:$D$1004,$T1948))))</f>
        <v/>
      </c>
      <c r="F1948" s="79">
        <f>IF($T1948="","",IF($S1948="S",IF(INDEX(Firms!$O$5:$O$1004,$T1948)="","",INDEX(Firms!$O$5:$O$1004,$T1948)),IF(INDEX('AFA Rates'!$O$5:$O$1004,$T1948)="","",INDEX('AFA Rates'!$O$5:$O$1004,$T1948))))</f>
        <v/>
      </c>
      <c r="G1948" s="50">
        <f>IF($T1948="","",IF($S1948="S",IF(INDEX(Firms!$F$5:$F$1004,$T1948)="","",INDEX(Firms!$F$5:$F$1004,$T1948)),IF(INDEX('AFA Rates'!$E$5:$E$1004,$T1948)="","",INDEX('AFA Rates'!$E$5:$E$1004,$T1948))))</f>
        <v/>
      </c>
      <c r="H1948" s="50">
        <f>IF($T1948="","",IF($S1948="S",IF(INDEX(Firms!$G$5:$G$1004,$T1948)="","",INDEX(Firms!$G$5:$G$1004,$T1948)),IF(INDEX('AFA Rates'!$F$5:$F$1004,$T1948)="","",INDEX('AFA Rates'!$F$5:$F$1004,$T1948))))</f>
        <v/>
      </c>
      <c r="I1948" s="50">
        <f>IF($T1948="","",IF($S1948="S",IF(INDEX(Firms!$H$5:$H$1004,$T1948)="","",INDEX(Firms!$H$5:$H$1004,$T1948)),IF(INDEX('AFA Rates'!$G$5:$G$1004,$T1948)="","",INDEX('AFA Rates'!$G$5:$G$1004,$T1948))))</f>
        <v/>
      </c>
      <c r="J1948" s="50">
        <f>IF($T1948="","",IF($S1948="S",IF(INDEX(Firms!$I$5:$I$1004,$T1948)="","",INDEX(Firms!$I$5:$I$1004,$T1948)),IF(INDEX('AFA Rates'!$H$5:$H$1004,$T1948)="","",INDEX('AFA Rates'!$H$5:$H$1004,$T1948))))</f>
        <v/>
      </c>
      <c r="K1948" s="50">
        <f>IF($T1948="","",IF($S1948="S",IF(INDEX(Firms!$J$5:$J$1004,$T1948)="","",INDEX(Firms!$J$5:$J$1004,$T1948)),IF(INDEX('AFA Rates'!$I$5:$I$1004,$T1948)="","",INDEX('AFA Rates'!$I$5:$I$1004,$T1948))))</f>
        <v/>
      </c>
      <c r="L1948" s="50">
        <f>IF($T1948="","",IF($S1948="S",IF(INDEX(Firms!$K$5:$K$1004,$T1948)="","",INDEX(Firms!$K$5:$K$1004,$T1948)),IF(INDEX('AFA Rates'!$J$5:$J$1004,$T1948)="","",INDEX('AFA Rates'!$J$5:$J$1004,$T1948))))</f>
        <v/>
      </c>
      <c r="M1948" s="50">
        <f>IF($T1948="","",IF($S1948="S",IF(INDEX(Firms!$L$5:$L$1004,$T1948)="","",INDEX(Firms!$L$5:$L$1004,$T1948)),IF(INDEX('AFA Rates'!$K$5:$K$1004,$T1948)="","",INDEX('AFA Rates'!$K$5:$K$1004,$T1948))))</f>
        <v/>
      </c>
      <c r="N1948" s="50">
        <f>IF($T1948="","",IF($S1948="S",IF(INDEX(Firms!$M$5:$M$1004,$T1948)="","",INDEX(Firms!$M$5:$M$1004,$T1948)),IF(INDEX('AFA Rates'!$L$5:$L$1004,$T1948)="","",INDEX('AFA Rates'!$L$5:$L$1004,$T1948))))</f>
        <v/>
      </c>
      <c r="O1948" s="78">
        <f>IF(OR($T1948="",$U1948=""),"",IF(INDEX(Firms!$C$5:$C$1004,$U1948)="","",INDEX(Firms!$C$5:$C$1004,$U1948)))</f>
        <v/>
      </c>
      <c r="P1948" s="79">
        <f>IF(OR($T1948="",$U1948=""),"",IF(INDEX(Firms!$N$5:$N$1004,$U1948)="","",INDEX(Firms!$N$5:$N$1004,$U1948)))</f>
        <v/>
      </c>
      <c r="Q1948" s="78">
        <f>IF($T1948="","",IF($S1948="S",IF(INDEX(Firms!$T$5:$T$1004,$T1948)="","",INDEX(Firms!$T$5:$T$1004,$T1948)),IF(INDEX('AFA Rates'!$M$5:$M$1004,$T1948)="","",INDEX('AFA Rates'!$M$5:$M$1004,$T1948))))</f>
        <v/>
      </c>
      <c r="S1948">
        <f>IF(1944&lt;=$S$2,"S",IF(1944&lt;=$S$2+$T$2,"A",""))</f>
        <v/>
      </c>
      <c r="T1948">
        <f>IF(S1948="S",MATCH(1944,Firms!$W$5:$W$1004,0),IF(S1948="A",IFERROR(MATCH(1944-$S$2,'AFA Rates'!$R$5:$R$1004,0),""),""))</f>
        <v/>
      </c>
      <c r="U1948">
        <f>IF(S1948="S",T1948,IF(AND(S1948="A",T1948&lt;&gt;""),IFERROR(MATCH(INDEX('AFA Rates'!$A$5:$A$1004,T1948),Firms!$A$5:$A$1004,0),""),""))</f>
        <v/>
      </c>
    </row>
    <row r="1949">
      <c r="A1949" s="78">
        <f>IF($T1949="","",IF($S1949="S",IF(INDEX(Firms!$A$5:$A$1004,$T1949)="","",INDEX(Firms!$A$5:$A$1004,$T1949)),IF(INDEX('AFA Rates'!$A$5:$A$1004,$T1949)="","",INDEX('AFA Rates'!$A$5:$A$1004,$T1949))))</f>
        <v/>
      </c>
      <c r="B1949" s="79">
        <f>IF(OR($T1949="",$U1949=""),IF($T1949="","","Not on Firms tab"),INDEX(Firms!$B$5:$B$1004,$U1949)&amp;"")</f>
        <v/>
      </c>
      <c r="C1949" s="78">
        <f>IF($T1949="","",IF($S1949="S","Standard",INDEX('AFA Rates'!$B$5:$B$1004,$T1949)&amp;""))</f>
        <v/>
      </c>
      <c r="D1949" s="88">
        <f>IF($T1949="","",IF($S1949="S",IF(INDEX(Firms!$E$5:$E$1004,$T1949)="","",INDEX(Firms!$E$5:$E$1004,$T1949)),IF(INDEX('AFA Rates'!$C$5:$C$1004,$T1949)="","",INDEX('AFA Rates'!$C$5:$C$1004,$T1949))))</f>
        <v/>
      </c>
      <c r="E1949" s="88">
        <f>IF($T1949="","",IF($S1949="S",IF(""="","",""),IF(INDEX('AFA Rates'!$D$5:$D$1004,$T1949)="","",INDEX('AFA Rates'!$D$5:$D$1004,$T1949))))</f>
        <v/>
      </c>
      <c r="F1949" s="79">
        <f>IF($T1949="","",IF($S1949="S",IF(INDEX(Firms!$O$5:$O$1004,$T1949)="","",INDEX(Firms!$O$5:$O$1004,$T1949)),IF(INDEX('AFA Rates'!$O$5:$O$1004,$T1949)="","",INDEX('AFA Rates'!$O$5:$O$1004,$T1949))))</f>
        <v/>
      </c>
      <c r="G1949" s="50">
        <f>IF($T1949="","",IF($S1949="S",IF(INDEX(Firms!$F$5:$F$1004,$T1949)="","",INDEX(Firms!$F$5:$F$1004,$T1949)),IF(INDEX('AFA Rates'!$E$5:$E$1004,$T1949)="","",INDEX('AFA Rates'!$E$5:$E$1004,$T1949))))</f>
        <v/>
      </c>
      <c r="H1949" s="50">
        <f>IF($T1949="","",IF($S1949="S",IF(INDEX(Firms!$G$5:$G$1004,$T1949)="","",INDEX(Firms!$G$5:$G$1004,$T1949)),IF(INDEX('AFA Rates'!$F$5:$F$1004,$T1949)="","",INDEX('AFA Rates'!$F$5:$F$1004,$T1949))))</f>
        <v/>
      </c>
      <c r="I1949" s="50">
        <f>IF($T1949="","",IF($S1949="S",IF(INDEX(Firms!$H$5:$H$1004,$T1949)="","",INDEX(Firms!$H$5:$H$1004,$T1949)),IF(INDEX('AFA Rates'!$G$5:$G$1004,$T1949)="","",INDEX('AFA Rates'!$G$5:$G$1004,$T1949))))</f>
        <v/>
      </c>
      <c r="J1949" s="50">
        <f>IF($T1949="","",IF($S1949="S",IF(INDEX(Firms!$I$5:$I$1004,$T1949)="","",INDEX(Firms!$I$5:$I$1004,$T1949)),IF(INDEX('AFA Rates'!$H$5:$H$1004,$T1949)="","",INDEX('AFA Rates'!$H$5:$H$1004,$T1949))))</f>
        <v/>
      </c>
      <c r="K1949" s="50">
        <f>IF($T1949="","",IF($S1949="S",IF(INDEX(Firms!$J$5:$J$1004,$T1949)="","",INDEX(Firms!$J$5:$J$1004,$T1949)),IF(INDEX('AFA Rates'!$I$5:$I$1004,$T1949)="","",INDEX('AFA Rates'!$I$5:$I$1004,$T1949))))</f>
        <v/>
      </c>
      <c r="L1949" s="50">
        <f>IF($T1949="","",IF($S1949="S",IF(INDEX(Firms!$K$5:$K$1004,$T1949)="","",INDEX(Firms!$K$5:$K$1004,$T1949)),IF(INDEX('AFA Rates'!$J$5:$J$1004,$T1949)="","",INDEX('AFA Rates'!$J$5:$J$1004,$T1949))))</f>
        <v/>
      </c>
      <c r="M1949" s="50">
        <f>IF($T1949="","",IF($S1949="S",IF(INDEX(Firms!$L$5:$L$1004,$T1949)="","",INDEX(Firms!$L$5:$L$1004,$T1949)),IF(INDEX('AFA Rates'!$K$5:$K$1004,$T1949)="","",INDEX('AFA Rates'!$K$5:$K$1004,$T1949))))</f>
        <v/>
      </c>
      <c r="N1949" s="50">
        <f>IF($T1949="","",IF($S1949="S",IF(INDEX(Firms!$M$5:$M$1004,$T1949)="","",INDEX(Firms!$M$5:$M$1004,$T1949)),IF(INDEX('AFA Rates'!$L$5:$L$1004,$T1949)="","",INDEX('AFA Rates'!$L$5:$L$1004,$T1949))))</f>
        <v/>
      </c>
      <c r="O1949" s="78">
        <f>IF(OR($T1949="",$U1949=""),"",IF(INDEX(Firms!$C$5:$C$1004,$U1949)="","",INDEX(Firms!$C$5:$C$1004,$U1949)))</f>
        <v/>
      </c>
      <c r="P1949" s="79">
        <f>IF(OR($T1949="",$U1949=""),"",IF(INDEX(Firms!$N$5:$N$1004,$U1949)="","",INDEX(Firms!$N$5:$N$1004,$U1949)))</f>
        <v/>
      </c>
      <c r="Q1949" s="78">
        <f>IF($T1949="","",IF($S1949="S",IF(INDEX(Firms!$T$5:$T$1004,$T1949)="","",INDEX(Firms!$T$5:$T$1004,$T1949)),IF(INDEX('AFA Rates'!$M$5:$M$1004,$T1949)="","",INDEX('AFA Rates'!$M$5:$M$1004,$T1949))))</f>
        <v/>
      </c>
      <c r="S1949">
        <f>IF(1945&lt;=$S$2,"S",IF(1945&lt;=$S$2+$T$2,"A",""))</f>
        <v/>
      </c>
      <c r="T1949">
        <f>IF(S1949="S",MATCH(1945,Firms!$W$5:$W$1004,0),IF(S1949="A",IFERROR(MATCH(1945-$S$2,'AFA Rates'!$R$5:$R$1004,0),""),""))</f>
        <v/>
      </c>
      <c r="U1949">
        <f>IF(S1949="S",T1949,IF(AND(S1949="A",T1949&lt;&gt;""),IFERROR(MATCH(INDEX('AFA Rates'!$A$5:$A$1004,T1949),Firms!$A$5:$A$1004,0),""),""))</f>
        <v/>
      </c>
    </row>
    <row r="1950">
      <c r="A1950" s="78">
        <f>IF($T1950="","",IF($S1950="S",IF(INDEX(Firms!$A$5:$A$1004,$T1950)="","",INDEX(Firms!$A$5:$A$1004,$T1950)),IF(INDEX('AFA Rates'!$A$5:$A$1004,$T1950)="","",INDEX('AFA Rates'!$A$5:$A$1004,$T1950))))</f>
        <v/>
      </c>
      <c r="B1950" s="79">
        <f>IF(OR($T1950="",$U1950=""),IF($T1950="","","Not on Firms tab"),INDEX(Firms!$B$5:$B$1004,$U1950)&amp;"")</f>
        <v/>
      </c>
      <c r="C1950" s="78">
        <f>IF($T1950="","",IF($S1950="S","Standard",INDEX('AFA Rates'!$B$5:$B$1004,$T1950)&amp;""))</f>
        <v/>
      </c>
      <c r="D1950" s="88">
        <f>IF($T1950="","",IF($S1950="S",IF(INDEX(Firms!$E$5:$E$1004,$T1950)="","",INDEX(Firms!$E$5:$E$1004,$T1950)),IF(INDEX('AFA Rates'!$C$5:$C$1004,$T1950)="","",INDEX('AFA Rates'!$C$5:$C$1004,$T1950))))</f>
        <v/>
      </c>
      <c r="E1950" s="88">
        <f>IF($T1950="","",IF($S1950="S",IF(""="","",""),IF(INDEX('AFA Rates'!$D$5:$D$1004,$T1950)="","",INDEX('AFA Rates'!$D$5:$D$1004,$T1950))))</f>
        <v/>
      </c>
      <c r="F1950" s="79">
        <f>IF($T1950="","",IF($S1950="S",IF(INDEX(Firms!$O$5:$O$1004,$T1950)="","",INDEX(Firms!$O$5:$O$1004,$T1950)),IF(INDEX('AFA Rates'!$O$5:$O$1004,$T1950)="","",INDEX('AFA Rates'!$O$5:$O$1004,$T1950))))</f>
        <v/>
      </c>
      <c r="G1950" s="50">
        <f>IF($T1950="","",IF($S1950="S",IF(INDEX(Firms!$F$5:$F$1004,$T1950)="","",INDEX(Firms!$F$5:$F$1004,$T1950)),IF(INDEX('AFA Rates'!$E$5:$E$1004,$T1950)="","",INDEX('AFA Rates'!$E$5:$E$1004,$T1950))))</f>
        <v/>
      </c>
      <c r="H1950" s="50">
        <f>IF($T1950="","",IF($S1950="S",IF(INDEX(Firms!$G$5:$G$1004,$T1950)="","",INDEX(Firms!$G$5:$G$1004,$T1950)),IF(INDEX('AFA Rates'!$F$5:$F$1004,$T1950)="","",INDEX('AFA Rates'!$F$5:$F$1004,$T1950))))</f>
        <v/>
      </c>
      <c r="I1950" s="50">
        <f>IF($T1950="","",IF($S1950="S",IF(INDEX(Firms!$H$5:$H$1004,$T1950)="","",INDEX(Firms!$H$5:$H$1004,$T1950)),IF(INDEX('AFA Rates'!$G$5:$G$1004,$T1950)="","",INDEX('AFA Rates'!$G$5:$G$1004,$T1950))))</f>
        <v/>
      </c>
      <c r="J1950" s="50">
        <f>IF($T1950="","",IF($S1950="S",IF(INDEX(Firms!$I$5:$I$1004,$T1950)="","",INDEX(Firms!$I$5:$I$1004,$T1950)),IF(INDEX('AFA Rates'!$H$5:$H$1004,$T1950)="","",INDEX('AFA Rates'!$H$5:$H$1004,$T1950))))</f>
        <v/>
      </c>
      <c r="K1950" s="50">
        <f>IF($T1950="","",IF($S1950="S",IF(INDEX(Firms!$J$5:$J$1004,$T1950)="","",INDEX(Firms!$J$5:$J$1004,$T1950)),IF(INDEX('AFA Rates'!$I$5:$I$1004,$T1950)="","",INDEX('AFA Rates'!$I$5:$I$1004,$T1950))))</f>
        <v/>
      </c>
      <c r="L1950" s="50">
        <f>IF($T1950="","",IF($S1950="S",IF(INDEX(Firms!$K$5:$K$1004,$T1950)="","",INDEX(Firms!$K$5:$K$1004,$T1950)),IF(INDEX('AFA Rates'!$J$5:$J$1004,$T1950)="","",INDEX('AFA Rates'!$J$5:$J$1004,$T1950))))</f>
        <v/>
      </c>
      <c r="M1950" s="50">
        <f>IF($T1950="","",IF($S1950="S",IF(INDEX(Firms!$L$5:$L$1004,$T1950)="","",INDEX(Firms!$L$5:$L$1004,$T1950)),IF(INDEX('AFA Rates'!$K$5:$K$1004,$T1950)="","",INDEX('AFA Rates'!$K$5:$K$1004,$T1950))))</f>
        <v/>
      </c>
      <c r="N1950" s="50">
        <f>IF($T1950="","",IF($S1950="S",IF(INDEX(Firms!$M$5:$M$1004,$T1950)="","",INDEX(Firms!$M$5:$M$1004,$T1950)),IF(INDEX('AFA Rates'!$L$5:$L$1004,$T1950)="","",INDEX('AFA Rates'!$L$5:$L$1004,$T1950))))</f>
        <v/>
      </c>
      <c r="O1950" s="78">
        <f>IF(OR($T1950="",$U1950=""),"",IF(INDEX(Firms!$C$5:$C$1004,$U1950)="","",INDEX(Firms!$C$5:$C$1004,$U1950)))</f>
        <v/>
      </c>
      <c r="P1950" s="79">
        <f>IF(OR($T1950="",$U1950=""),"",IF(INDEX(Firms!$N$5:$N$1004,$U1950)="","",INDEX(Firms!$N$5:$N$1004,$U1950)))</f>
        <v/>
      </c>
      <c r="Q1950" s="78">
        <f>IF($T1950="","",IF($S1950="S",IF(INDEX(Firms!$T$5:$T$1004,$T1950)="","",INDEX(Firms!$T$5:$T$1004,$T1950)),IF(INDEX('AFA Rates'!$M$5:$M$1004,$T1950)="","",INDEX('AFA Rates'!$M$5:$M$1004,$T1950))))</f>
        <v/>
      </c>
      <c r="S1950">
        <f>IF(1946&lt;=$S$2,"S",IF(1946&lt;=$S$2+$T$2,"A",""))</f>
        <v/>
      </c>
      <c r="T1950">
        <f>IF(S1950="S",MATCH(1946,Firms!$W$5:$W$1004,0),IF(S1950="A",IFERROR(MATCH(1946-$S$2,'AFA Rates'!$R$5:$R$1004,0),""),""))</f>
        <v/>
      </c>
      <c r="U1950">
        <f>IF(S1950="S",T1950,IF(AND(S1950="A",T1950&lt;&gt;""),IFERROR(MATCH(INDEX('AFA Rates'!$A$5:$A$1004,T1950),Firms!$A$5:$A$1004,0),""),""))</f>
        <v/>
      </c>
    </row>
    <row r="1951">
      <c r="A1951" s="78">
        <f>IF($T1951="","",IF($S1951="S",IF(INDEX(Firms!$A$5:$A$1004,$T1951)="","",INDEX(Firms!$A$5:$A$1004,$T1951)),IF(INDEX('AFA Rates'!$A$5:$A$1004,$T1951)="","",INDEX('AFA Rates'!$A$5:$A$1004,$T1951))))</f>
        <v/>
      </c>
      <c r="B1951" s="79">
        <f>IF(OR($T1951="",$U1951=""),IF($T1951="","","Not on Firms tab"),INDEX(Firms!$B$5:$B$1004,$U1951)&amp;"")</f>
        <v/>
      </c>
      <c r="C1951" s="78">
        <f>IF($T1951="","",IF($S1951="S","Standard",INDEX('AFA Rates'!$B$5:$B$1004,$T1951)&amp;""))</f>
        <v/>
      </c>
      <c r="D1951" s="88">
        <f>IF($T1951="","",IF($S1951="S",IF(INDEX(Firms!$E$5:$E$1004,$T1951)="","",INDEX(Firms!$E$5:$E$1004,$T1951)),IF(INDEX('AFA Rates'!$C$5:$C$1004,$T1951)="","",INDEX('AFA Rates'!$C$5:$C$1004,$T1951))))</f>
        <v/>
      </c>
      <c r="E1951" s="88">
        <f>IF($T1951="","",IF($S1951="S",IF(""="","",""),IF(INDEX('AFA Rates'!$D$5:$D$1004,$T1951)="","",INDEX('AFA Rates'!$D$5:$D$1004,$T1951))))</f>
        <v/>
      </c>
      <c r="F1951" s="79">
        <f>IF($T1951="","",IF($S1951="S",IF(INDEX(Firms!$O$5:$O$1004,$T1951)="","",INDEX(Firms!$O$5:$O$1004,$T1951)),IF(INDEX('AFA Rates'!$O$5:$O$1004,$T1951)="","",INDEX('AFA Rates'!$O$5:$O$1004,$T1951))))</f>
        <v/>
      </c>
      <c r="G1951" s="50">
        <f>IF($T1951="","",IF($S1951="S",IF(INDEX(Firms!$F$5:$F$1004,$T1951)="","",INDEX(Firms!$F$5:$F$1004,$T1951)),IF(INDEX('AFA Rates'!$E$5:$E$1004,$T1951)="","",INDEX('AFA Rates'!$E$5:$E$1004,$T1951))))</f>
        <v/>
      </c>
      <c r="H1951" s="50">
        <f>IF($T1951="","",IF($S1951="S",IF(INDEX(Firms!$G$5:$G$1004,$T1951)="","",INDEX(Firms!$G$5:$G$1004,$T1951)),IF(INDEX('AFA Rates'!$F$5:$F$1004,$T1951)="","",INDEX('AFA Rates'!$F$5:$F$1004,$T1951))))</f>
        <v/>
      </c>
      <c r="I1951" s="50">
        <f>IF($T1951="","",IF($S1951="S",IF(INDEX(Firms!$H$5:$H$1004,$T1951)="","",INDEX(Firms!$H$5:$H$1004,$T1951)),IF(INDEX('AFA Rates'!$G$5:$G$1004,$T1951)="","",INDEX('AFA Rates'!$G$5:$G$1004,$T1951))))</f>
        <v/>
      </c>
      <c r="J1951" s="50">
        <f>IF($T1951="","",IF($S1951="S",IF(INDEX(Firms!$I$5:$I$1004,$T1951)="","",INDEX(Firms!$I$5:$I$1004,$T1951)),IF(INDEX('AFA Rates'!$H$5:$H$1004,$T1951)="","",INDEX('AFA Rates'!$H$5:$H$1004,$T1951))))</f>
        <v/>
      </c>
      <c r="K1951" s="50">
        <f>IF($T1951="","",IF($S1951="S",IF(INDEX(Firms!$J$5:$J$1004,$T1951)="","",INDEX(Firms!$J$5:$J$1004,$T1951)),IF(INDEX('AFA Rates'!$I$5:$I$1004,$T1951)="","",INDEX('AFA Rates'!$I$5:$I$1004,$T1951))))</f>
        <v/>
      </c>
      <c r="L1951" s="50">
        <f>IF($T1951="","",IF($S1951="S",IF(INDEX(Firms!$K$5:$K$1004,$T1951)="","",INDEX(Firms!$K$5:$K$1004,$T1951)),IF(INDEX('AFA Rates'!$J$5:$J$1004,$T1951)="","",INDEX('AFA Rates'!$J$5:$J$1004,$T1951))))</f>
        <v/>
      </c>
      <c r="M1951" s="50">
        <f>IF($T1951="","",IF($S1951="S",IF(INDEX(Firms!$L$5:$L$1004,$T1951)="","",INDEX(Firms!$L$5:$L$1004,$T1951)),IF(INDEX('AFA Rates'!$K$5:$K$1004,$T1951)="","",INDEX('AFA Rates'!$K$5:$K$1004,$T1951))))</f>
        <v/>
      </c>
      <c r="N1951" s="50">
        <f>IF($T1951="","",IF($S1951="S",IF(INDEX(Firms!$M$5:$M$1004,$T1951)="","",INDEX(Firms!$M$5:$M$1004,$T1951)),IF(INDEX('AFA Rates'!$L$5:$L$1004,$T1951)="","",INDEX('AFA Rates'!$L$5:$L$1004,$T1951))))</f>
        <v/>
      </c>
      <c r="O1951" s="78">
        <f>IF(OR($T1951="",$U1951=""),"",IF(INDEX(Firms!$C$5:$C$1004,$U1951)="","",INDEX(Firms!$C$5:$C$1004,$U1951)))</f>
        <v/>
      </c>
      <c r="P1951" s="79">
        <f>IF(OR($T1951="",$U1951=""),"",IF(INDEX(Firms!$N$5:$N$1004,$U1951)="","",INDEX(Firms!$N$5:$N$1004,$U1951)))</f>
        <v/>
      </c>
      <c r="Q1951" s="78">
        <f>IF($T1951="","",IF($S1951="S",IF(INDEX(Firms!$T$5:$T$1004,$T1951)="","",INDEX(Firms!$T$5:$T$1004,$T1951)),IF(INDEX('AFA Rates'!$M$5:$M$1004,$T1951)="","",INDEX('AFA Rates'!$M$5:$M$1004,$T1951))))</f>
        <v/>
      </c>
      <c r="S1951">
        <f>IF(1947&lt;=$S$2,"S",IF(1947&lt;=$S$2+$T$2,"A",""))</f>
        <v/>
      </c>
      <c r="T1951">
        <f>IF(S1951="S",MATCH(1947,Firms!$W$5:$W$1004,0),IF(S1951="A",IFERROR(MATCH(1947-$S$2,'AFA Rates'!$R$5:$R$1004,0),""),""))</f>
        <v/>
      </c>
      <c r="U1951">
        <f>IF(S1951="S",T1951,IF(AND(S1951="A",T1951&lt;&gt;""),IFERROR(MATCH(INDEX('AFA Rates'!$A$5:$A$1004,T1951),Firms!$A$5:$A$1004,0),""),""))</f>
        <v/>
      </c>
    </row>
    <row r="1952">
      <c r="A1952" s="78">
        <f>IF($T1952="","",IF($S1952="S",IF(INDEX(Firms!$A$5:$A$1004,$T1952)="","",INDEX(Firms!$A$5:$A$1004,$T1952)),IF(INDEX('AFA Rates'!$A$5:$A$1004,$T1952)="","",INDEX('AFA Rates'!$A$5:$A$1004,$T1952))))</f>
        <v/>
      </c>
      <c r="B1952" s="79">
        <f>IF(OR($T1952="",$U1952=""),IF($T1952="","","Not on Firms tab"),INDEX(Firms!$B$5:$B$1004,$U1952)&amp;"")</f>
        <v/>
      </c>
      <c r="C1952" s="78">
        <f>IF($T1952="","",IF($S1952="S","Standard",INDEX('AFA Rates'!$B$5:$B$1004,$T1952)&amp;""))</f>
        <v/>
      </c>
      <c r="D1952" s="88">
        <f>IF($T1952="","",IF($S1952="S",IF(INDEX(Firms!$E$5:$E$1004,$T1952)="","",INDEX(Firms!$E$5:$E$1004,$T1952)),IF(INDEX('AFA Rates'!$C$5:$C$1004,$T1952)="","",INDEX('AFA Rates'!$C$5:$C$1004,$T1952))))</f>
        <v/>
      </c>
      <c r="E1952" s="88">
        <f>IF($T1952="","",IF($S1952="S",IF(""="","",""),IF(INDEX('AFA Rates'!$D$5:$D$1004,$T1952)="","",INDEX('AFA Rates'!$D$5:$D$1004,$T1952))))</f>
        <v/>
      </c>
      <c r="F1952" s="79">
        <f>IF($T1952="","",IF($S1952="S",IF(INDEX(Firms!$O$5:$O$1004,$T1952)="","",INDEX(Firms!$O$5:$O$1004,$T1952)),IF(INDEX('AFA Rates'!$O$5:$O$1004,$T1952)="","",INDEX('AFA Rates'!$O$5:$O$1004,$T1952))))</f>
        <v/>
      </c>
      <c r="G1952" s="50">
        <f>IF($T1952="","",IF($S1952="S",IF(INDEX(Firms!$F$5:$F$1004,$T1952)="","",INDEX(Firms!$F$5:$F$1004,$T1952)),IF(INDEX('AFA Rates'!$E$5:$E$1004,$T1952)="","",INDEX('AFA Rates'!$E$5:$E$1004,$T1952))))</f>
        <v/>
      </c>
      <c r="H1952" s="50">
        <f>IF($T1952="","",IF($S1952="S",IF(INDEX(Firms!$G$5:$G$1004,$T1952)="","",INDEX(Firms!$G$5:$G$1004,$T1952)),IF(INDEX('AFA Rates'!$F$5:$F$1004,$T1952)="","",INDEX('AFA Rates'!$F$5:$F$1004,$T1952))))</f>
        <v/>
      </c>
      <c r="I1952" s="50">
        <f>IF($T1952="","",IF($S1952="S",IF(INDEX(Firms!$H$5:$H$1004,$T1952)="","",INDEX(Firms!$H$5:$H$1004,$T1952)),IF(INDEX('AFA Rates'!$G$5:$G$1004,$T1952)="","",INDEX('AFA Rates'!$G$5:$G$1004,$T1952))))</f>
        <v/>
      </c>
      <c r="J1952" s="50">
        <f>IF($T1952="","",IF($S1952="S",IF(INDEX(Firms!$I$5:$I$1004,$T1952)="","",INDEX(Firms!$I$5:$I$1004,$T1952)),IF(INDEX('AFA Rates'!$H$5:$H$1004,$T1952)="","",INDEX('AFA Rates'!$H$5:$H$1004,$T1952))))</f>
        <v/>
      </c>
      <c r="K1952" s="50">
        <f>IF($T1952="","",IF($S1952="S",IF(INDEX(Firms!$J$5:$J$1004,$T1952)="","",INDEX(Firms!$J$5:$J$1004,$T1952)),IF(INDEX('AFA Rates'!$I$5:$I$1004,$T1952)="","",INDEX('AFA Rates'!$I$5:$I$1004,$T1952))))</f>
        <v/>
      </c>
      <c r="L1952" s="50">
        <f>IF($T1952="","",IF($S1952="S",IF(INDEX(Firms!$K$5:$K$1004,$T1952)="","",INDEX(Firms!$K$5:$K$1004,$T1952)),IF(INDEX('AFA Rates'!$J$5:$J$1004,$T1952)="","",INDEX('AFA Rates'!$J$5:$J$1004,$T1952))))</f>
        <v/>
      </c>
      <c r="M1952" s="50">
        <f>IF($T1952="","",IF($S1952="S",IF(INDEX(Firms!$L$5:$L$1004,$T1952)="","",INDEX(Firms!$L$5:$L$1004,$T1952)),IF(INDEX('AFA Rates'!$K$5:$K$1004,$T1952)="","",INDEX('AFA Rates'!$K$5:$K$1004,$T1952))))</f>
        <v/>
      </c>
      <c r="N1952" s="50">
        <f>IF($T1952="","",IF($S1952="S",IF(INDEX(Firms!$M$5:$M$1004,$T1952)="","",INDEX(Firms!$M$5:$M$1004,$T1952)),IF(INDEX('AFA Rates'!$L$5:$L$1004,$T1952)="","",INDEX('AFA Rates'!$L$5:$L$1004,$T1952))))</f>
        <v/>
      </c>
      <c r="O1952" s="78">
        <f>IF(OR($T1952="",$U1952=""),"",IF(INDEX(Firms!$C$5:$C$1004,$U1952)="","",INDEX(Firms!$C$5:$C$1004,$U1952)))</f>
        <v/>
      </c>
      <c r="P1952" s="79">
        <f>IF(OR($T1952="",$U1952=""),"",IF(INDEX(Firms!$N$5:$N$1004,$U1952)="","",INDEX(Firms!$N$5:$N$1004,$U1952)))</f>
        <v/>
      </c>
      <c r="Q1952" s="78">
        <f>IF($T1952="","",IF($S1952="S",IF(INDEX(Firms!$T$5:$T$1004,$T1952)="","",INDEX(Firms!$T$5:$T$1004,$T1952)),IF(INDEX('AFA Rates'!$M$5:$M$1004,$T1952)="","",INDEX('AFA Rates'!$M$5:$M$1004,$T1952))))</f>
        <v/>
      </c>
      <c r="S1952">
        <f>IF(1948&lt;=$S$2,"S",IF(1948&lt;=$S$2+$T$2,"A",""))</f>
        <v/>
      </c>
      <c r="T1952">
        <f>IF(S1952="S",MATCH(1948,Firms!$W$5:$W$1004,0),IF(S1952="A",IFERROR(MATCH(1948-$S$2,'AFA Rates'!$R$5:$R$1004,0),""),""))</f>
        <v/>
      </c>
      <c r="U1952">
        <f>IF(S1952="S",T1952,IF(AND(S1952="A",T1952&lt;&gt;""),IFERROR(MATCH(INDEX('AFA Rates'!$A$5:$A$1004,T1952),Firms!$A$5:$A$1004,0),""),""))</f>
        <v/>
      </c>
    </row>
    <row r="1953">
      <c r="A1953" s="78">
        <f>IF($T1953="","",IF($S1953="S",IF(INDEX(Firms!$A$5:$A$1004,$T1953)="","",INDEX(Firms!$A$5:$A$1004,$T1953)),IF(INDEX('AFA Rates'!$A$5:$A$1004,$T1953)="","",INDEX('AFA Rates'!$A$5:$A$1004,$T1953))))</f>
        <v/>
      </c>
      <c r="B1953" s="79">
        <f>IF(OR($T1953="",$U1953=""),IF($T1953="","","Not on Firms tab"),INDEX(Firms!$B$5:$B$1004,$U1953)&amp;"")</f>
        <v/>
      </c>
      <c r="C1953" s="78">
        <f>IF($T1953="","",IF($S1953="S","Standard",INDEX('AFA Rates'!$B$5:$B$1004,$T1953)&amp;""))</f>
        <v/>
      </c>
      <c r="D1953" s="88">
        <f>IF($T1953="","",IF($S1953="S",IF(INDEX(Firms!$E$5:$E$1004,$T1953)="","",INDEX(Firms!$E$5:$E$1004,$T1953)),IF(INDEX('AFA Rates'!$C$5:$C$1004,$T1953)="","",INDEX('AFA Rates'!$C$5:$C$1004,$T1953))))</f>
        <v/>
      </c>
      <c r="E1953" s="88">
        <f>IF($T1953="","",IF($S1953="S",IF(""="","",""),IF(INDEX('AFA Rates'!$D$5:$D$1004,$T1953)="","",INDEX('AFA Rates'!$D$5:$D$1004,$T1953))))</f>
        <v/>
      </c>
      <c r="F1953" s="79">
        <f>IF($T1953="","",IF($S1953="S",IF(INDEX(Firms!$O$5:$O$1004,$T1953)="","",INDEX(Firms!$O$5:$O$1004,$T1953)),IF(INDEX('AFA Rates'!$O$5:$O$1004,$T1953)="","",INDEX('AFA Rates'!$O$5:$O$1004,$T1953))))</f>
        <v/>
      </c>
      <c r="G1953" s="50">
        <f>IF($T1953="","",IF($S1953="S",IF(INDEX(Firms!$F$5:$F$1004,$T1953)="","",INDEX(Firms!$F$5:$F$1004,$T1953)),IF(INDEX('AFA Rates'!$E$5:$E$1004,$T1953)="","",INDEX('AFA Rates'!$E$5:$E$1004,$T1953))))</f>
        <v/>
      </c>
      <c r="H1953" s="50">
        <f>IF($T1953="","",IF($S1953="S",IF(INDEX(Firms!$G$5:$G$1004,$T1953)="","",INDEX(Firms!$G$5:$G$1004,$T1953)),IF(INDEX('AFA Rates'!$F$5:$F$1004,$T1953)="","",INDEX('AFA Rates'!$F$5:$F$1004,$T1953))))</f>
        <v/>
      </c>
      <c r="I1953" s="50">
        <f>IF($T1953="","",IF($S1953="S",IF(INDEX(Firms!$H$5:$H$1004,$T1953)="","",INDEX(Firms!$H$5:$H$1004,$T1953)),IF(INDEX('AFA Rates'!$G$5:$G$1004,$T1953)="","",INDEX('AFA Rates'!$G$5:$G$1004,$T1953))))</f>
        <v/>
      </c>
      <c r="J1953" s="50">
        <f>IF($T1953="","",IF($S1953="S",IF(INDEX(Firms!$I$5:$I$1004,$T1953)="","",INDEX(Firms!$I$5:$I$1004,$T1953)),IF(INDEX('AFA Rates'!$H$5:$H$1004,$T1953)="","",INDEX('AFA Rates'!$H$5:$H$1004,$T1953))))</f>
        <v/>
      </c>
      <c r="K1953" s="50">
        <f>IF($T1953="","",IF($S1953="S",IF(INDEX(Firms!$J$5:$J$1004,$T1953)="","",INDEX(Firms!$J$5:$J$1004,$T1953)),IF(INDEX('AFA Rates'!$I$5:$I$1004,$T1953)="","",INDEX('AFA Rates'!$I$5:$I$1004,$T1953))))</f>
        <v/>
      </c>
      <c r="L1953" s="50">
        <f>IF($T1953="","",IF($S1953="S",IF(INDEX(Firms!$K$5:$K$1004,$T1953)="","",INDEX(Firms!$K$5:$K$1004,$T1953)),IF(INDEX('AFA Rates'!$J$5:$J$1004,$T1953)="","",INDEX('AFA Rates'!$J$5:$J$1004,$T1953))))</f>
        <v/>
      </c>
      <c r="M1953" s="50">
        <f>IF($T1953="","",IF($S1953="S",IF(INDEX(Firms!$L$5:$L$1004,$T1953)="","",INDEX(Firms!$L$5:$L$1004,$T1953)),IF(INDEX('AFA Rates'!$K$5:$K$1004,$T1953)="","",INDEX('AFA Rates'!$K$5:$K$1004,$T1953))))</f>
        <v/>
      </c>
      <c r="N1953" s="50">
        <f>IF($T1953="","",IF($S1953="S",IF(INDEX(Firms!$M$5:$M$1004,$T1953)="","",INDEX(Firms!$M$5:$M$1004,$T1953)),IF(INDEX('AFA Rates'!$L$5:$L$1004,$T1953)="","",INDEX('AFA Rates'!$L$5:$L$1004,$T1953))))</f>
        <v/>
      </c>
      <c r="O1953" s="78">
        <f>IF(OR($T1953="",$U1953=""),"",IF(INDEX(Firms!$C$5:$C$1004,$U1953)="","",INDEX(Firms!$C$5:$C$1004,$U1953)))</f>
        <v/>
      </c>
      <c r="P1953" s="79">
        <f>IF(OR($T1953="",$U1953=""),"",IF(INDEX(Firms!$N$5:$N$1004,$U1953)="","",INDEX(Firms!$N$5:$N$1004,$U1953)))</f>
        <v/>
      </c>
      <c r="Q1953" s="78">
        <f>IF($T1953="","",IF($S1953="S",IF(INDEX(Firms!$T$5:$T$1004,$T1953)="","",INDEX(Firms!$T$5:$T$1004,$T1953)),IF(INDEX('AFA Rates'!$M$5:$M$1004,$T1953)="","",INDEX('AFA Rates'!$M$5:$M$1004,$T1953))))</f>
        <v/>
      </c>
      <c r="S1953">
        <f>IF(1949&lt;=$S$2,"S",IF(1949&lt;=$S$2+$T$2,"A",""))</f>
        <v/>
      </c>
      <c r="T1953">
        <f>IF(S1953="S",MATCH(1949,Firms!$W$5:$W$1004,0),IF(S1953="A",IFERROR(MATCH(1949-$S$2,'AFA Rates'!$R$5:$R$1004,0),""),""))</f>
        <v/>
      </c>
      <c r="U1953">
        <f>IF(S1953="S",T1953,IF(AND(S1953="A",T1953&lt;&gt;""),IFERROR(MATCH(INDEX('AFA Rates'!$A$5:$A$1004,T1953),Firms!$A$5:$A$1004,0),""),""))</f>
        <v/>
      </c>
    </row>
    <row r="1954">
      <c r="A1954" s="78">
        <f>IF($T1954="","",IF($S1954="S",IF(INDEX(Firms!$A$5:$A$1004,$T1954)="","",INDEX(Firms!$A$5:$A$1004,$T1954)),IF(INDEX('AFA Rates'!$A$5:$A$1004,$T1954)="","",INDEX('AFA Rates'!$A$5:$A$1004,$T1954))))</f>
        <v/>
      </c>
      <c r="B1954" s="79">
        <f>IF(OR($T1954="",$U1954=""),IF($T1954="","","Not on Firms tab"),INDEX(Firms!$B$5:$B$1004,$U1954)&amp;"")</f>
        <v/>
      </c>
      <c r="C1954" s="78">
        <f>IF($T1954="","",IF($S1954="S","Standard",INDEX('AFA Rates'!$B$5:$B$1004,$T1954)&amp;""))</f>
        <v/>
      </c>
      <c r="D1954" s="88">
        <f>IF($T1954="","",IF($S1954="S",IF(INDEX(Firms!$E$5:$E$1004,$T1954)="","",INDEX(Firms!$E$5:$E$1004,$T1954)),IF(INDEX('AFA Rates'!$C$5:$C$1004,$T1954)="","",INDEX('AFA Rates'!$C$5:$C$1004,$T1954))))</f>
        <v/>
      </c>
      <c r="E1954" s="88">
        <f>IF($T1954="","",IF($S1954="S",IF(""="","",""),IF(INDEX('AFA Rates'!$D$5:$D$1004,$T1954)="","",INDEX('AFA Rates'!$D$5:$D$1004,$T1954))))</f>
        <v/>
      </c>
      <c r="F1954" s="79">
        <f>IF($T1954="","",IF($S1954="S",IF(INDEX(Firms!$O$5:$O$1004,$T1954)="","",INDEX(Firms!$O$5:$O$1004,$T1954)),IF(INDEX('AFA Rates'!$O$5:$O$1004,$T1954)="","",INDEX('AFA Rates'!$O$5:$O$1004,$T1954))))</f>
        <v/>
      </c>
      <c r="G1954" s="50">
        <f>IF($T1954="","",IF($S1954="S",IF(INDEX(Firms!$F$5:$F$1004,$T1954)="","",INDEX(Firms!$F$5:$F$1004,$T1954)),IF(INDEX('AFA Rates'!$E$5:$E$1004,$T1954)="","",INDEX('AFA Rates'!$E$5:$E$1004,$T1954))))</f>
        <v/>
      </c>
      <c r="H1954" s="50">
        <f>IF($T1954="","",IF($S1954="S",IF(INDEX(Firms!$G$5:$G$1004,$T1954)="","",INDEX(Firms!$G$5:$G$1004,$T1954)),IF(INDEX('AFA Rates'!$F$5:$F$1004,$T1954)="","",INDEX('AFA Rates'!$F$5:$F$1004,$T1954))))</f>
        <v/>
      </c>
      <c r="I1954" s="50">
        <f>IF($T1954="","",IF($S1954="S",IF(INDEX(Firms!$H$5:$H$1004,$T1954)="","",INDEX(Firms!$H$5:$H$1004,$T1954)),IF(INDEX('AFA Rates'!$G$5:$G$1004,$T1954)="","",INDEX('AFA Rates'!$G$5:$G$1004,$T1954))))</f>
        <v/>
      </c>
      <c r="J1954" s="50">
        <f>IF($T1954="","",IF($S1954="S",IF(INDEX(Firms!$I$5:$I$1004,$T1954)="","",INDEX(Firms!$I$5:$I$1004,$T1954)),IF(INDEX('AFA Rates'!$H$5:$H$1004,$T1954)="","",INDEX('AFA Rates'!$H$5:$H$1004,$T1954))))</f>
        <v/>
      </c>
      <c r="K1954" s="50">
        <f>IF($T1954="","",IF($S1954="S",IF(INDEX(Firms!$J$5:$J$1004,$T1954)="","",INDEX(Firms!$J$5:$J$1004,$T1954)),IF(INDEX('AFA Rates'!$I$5:$I$1004,$T1954)="","",INDEX('AFA Rates'!$I$5:$I$1004,$T1954))))</f>
        <v/>
      </c>
      <c r="L1954" s="50">
        <f>IF($T1954="","",IF($S1954="S",IF(INDEX(Firms!$K$5:$K$1004,$T1954)="","",INDEX(Firms!$K$5:$K$1004,$T1954)),IF(INDEX('AFA Rates'!$J$5:$J$1004,$T1954)="","",INDEX('AFA Rates'!$J$5:$J$1004,$T1954))))</f>
        <v/>
      </c>
      <c r="M1954" s="50">
        <f>IF($T1954="","",IF($S1954="S",IF(INDEX(Firms!$L$5:$L$1004,$T1954)="","",INDEX(Firms!$L$5:$L$1004,$T1954)),IF(INDEX('AFA Rates'!$K$5:$K$1004,$T1954)="","",INDEX('AFA Rates'!$K$5:$K$1004,$T1954))))</f>
        <v/>
      </c>
      <c r="N1954" s="50">
        <f>IF($T1954="","",IF($S1954="S",IF(INDEX(Firms!$M$5:$M$1004,$T1954)="","",INDEX(Firms!$M$5:$M$1004,$T1954)),IF(INDEX('AFA Rates'!$L$5:$L$1004,$T1954)="","",INDEX('AFA Rates'!$L$5:$L$1004,$T1954))))</f>
        <v/>
      </c>
      <c r="O1954" s="78">
        <f>IF(OR($T1954="",$U1954=""),"",IF(INDEX(Firms!$C$5:$C$1004,$U1954)="","",INDEX(Firms!$C$5:$C$1004,$U1954)))</f>
        <v/>
      </c>
      <c r="P1954" s="79">
        <f>IF(OR($T1954="",$U1954=""),"",IF(INDEX(Firms!$N$5:$N$1004,$U1954)="","",INDEX(Firms!$N$5:$N$1004,$U1954)))</f>
        <v/>
      </c>
      <c r="Q1954" s="78">
        <f>IF($T1954="","",IF($S1954="S",IF(INDEX(Firms!$T$5:$T$1004,$T1954)="","",INDEX(Firms!$T$5:$T$1004,$T1954)),IF(INDEX('AFA Rates'!$M$5:$M$1004,$T1954)="","",INDEX('AFA Rates'!$M$5:$M$1004,$T1954))))</f>
        <v/>
      </c>
      <c r="S1954">
        <f>IF(1950&lt;=$S$2,"S",IF(1950&lt;=$S$2+$T$2,"A",""))</f>
        <v/>
      </c>
      <c r="T1954">
        <f>IF(S1954="S",MATCH(1950,Firms!$W$5:$W$1004,0),IF(S1954="A",IFERROR(MATCH(1950-$S$2,'AFA Rates'!$R$5:$R$1004,0),""),""))</f>
        <v/>
      </c>
      <c r="U1954">
        <f>IF(S1954="S",T1954,IF(AND(S1954="A",T1954&lt;&gt;""),IFERROR(MATCH(INDEX('AFA Rates'!$A$5:$A$1004,T1954),Firms!$A$5:$A$1004,0),""),""))</f>
        <v/>
      </c>
    </row>
    <row r="1955">
      <c r="A1955" s="78">
        <f>IF($T1955="","",IF($S1955="S",IF(INDEX(Firms!$A$5:$A$1004,$T1955)="","",INDEX(Firms!$A$5:$A$1004,$T1955)),IF(INDEX('AFA Rates'!$A$5:$A$1004,$T1955)="","",INDEX('AFA Rates'!$A$5:$A$1004,$T1955))))</f>
        <v/>
      </c>
      <c r="B1955" s="79">
        <f>IF(OR($T1955="",$U1955=""),IF($T1955="","","Not on Firms tab"),INDEX(Firms!$B$5:$B$1004,$U1955)&amp;"")</f>
        <v/>
      </c>
      <c r="C1955" s="78">
        <f>IF($T1955="","",IF($S1955="S","Standard",INDEX('AFA Rates'!$B$5:$B$1004,$T1955)&amp;""))</f>
        <v/>
      </c>
      <c r="D1955" s="88">
        <f>IF($T1955="","",IF($S1955="S",IF(INDEX(Firms!$E$5:$E$1004,$T1955)="","",INDEX(Firms!$E$5:$E$1004,$T1955)),IF(INDEX('AFA Rates'!$C$5:$C$1004,$T1955)="","",INDEX('AFA Rates'!$C$5:$C$1004,$T1955))))</f>
        <v/>
      </c>
      <c r="E1955" s="88">
        <f>IF($T1955="","",IF($S1955="S",IF(""="","",""),IF(INDEX('AFA Rates'!$D$5:$D$1004,$T1955)="","",INDEX('AFA Rates'!$D$5:$D$1004,$T1955))))</f>
        <v/>
      </c>
      <c r="F1955" s="79">
        <f>IF($T1955="","",IF($S1955="S",IF(INDEX(Firms!$O$5:$O$1004,$T1955)="","",INDEX(Firms!$O$5:$O$1004,$T1955)),IF(INDEX('AFA Rates'!$O$5:$O$1004,$T1955)="","",INDEX('AFA Rates'!$O$5:$O$1004,$T1955))))</f>
        <v/>
      </c>
      <c r="G1955" s="50">
        <f>IF($T1955="","",IF($S1955="S",IF(INDEX(Firms!$F$5:$F$1004,$T1955)="","",INDEX(Firms!$F$5:$F$1004,$T1955)),IF(INDEX('AFA Rates'!$E$5:$E$1004,$T1955)="","",INDEX('AFA Rates'!$E$5:$E$1004,$T1955))))</f>
        <v/>
      </c>
      <c r="H1955" s="50">
        <f>IF($T1955="","",IF($S1955="S",IF(INDEX(Firms!$G$5:$G$1004,$T1955)="","",INDEX(Firms!$G$5:$G$1004,$T1955)),IF(INDEX('AFA Rates'!$F$5:$F$1004,$T1955)="","",INDEX('AFA Rates'!$F$5:$F$1004,$T1955))))</f>
        <v/>
      </c>
      <c r="I1955" s="50">
        <f>IF($T1955="","",IF($S1955="S",IF(INDEX(Firms!$H$5:$H$1004,$T1955)="","",INDEX(Firms!$H$5:$H$1004,$T1955)),IF(INDEX('AFA Rates'!$G$5:$G$1004,$T1955)="","",INDEX('AFA Rates'!$G$5:$G$1004,$T1955))))</f>
        <v/>
      </c>
      <c r="J1955" s="50">
        <f>IF($T1955="","",IF($S1955="S",IF(INDEX(Firms!$I$5:$I$1004,$T1955)="","",INDEX(Firms!$I$5:$I$1004,$T1955)),IF(INDEX('AFA Rates'!$H$5:$H$1004,$T1955)="","",INDEX('AFA Rates'!$H$5:$H$1004,$T1955))))</f>
        <v/>
      </c>
      <c r="K1955" s="50">
        <f>IF($T1955="","",IF($S1955="S",IF(INDEX(Firms!$J$5:$J$1004,$T1955)="","",INDEX(Firms!$J$5:$J$1004,$T1955)),IF(INDEX('AFA Rates'!$I$5:$I$1004,$T1955)="","",INDEX('AFA Rates'!$I$5:$I$1004,$T1955))))</f>
        <v/>
      </c>
      <c r="L1955" s="50">
        <f>IF($T1955="","",IF($S1955="S",IF(INDEX(Firms!$K$5:$K$1004,$T1955)="","",INDEX(Firms!$K$5:$K$1004,$T1955)),IF(INDEX('AFA Rates'!$J$5:$J$1004,$T1955)="","",INDEX('AFA Rates'!$J$5:$J$1004,$T1955))))</f>
        <v/>
      </c>
      <c r="M1955" s="50">
        <f>IF($T1955="","",IF($S1955="S",IF(INDEX(Firms!$L$5:$L$1004,$T1955)="","",INDEX(Firms!$L$5:$L$1004,$T1955)),IF(INDEX('AFA Rates'!$K$5:$K$1004,$T1955)="","",INDEX('AFA Rates'!$K$5:$K$1004,$T1955))))</f>
        <v/>
      </c>
      <c r="N1955" s="50">
        <f>IF($T1955="","",IF($S1955="S",IF(INDEX(Firms!$M$5:$M$1004,$T1955)="","",INDEX(Firms!$M$5:$M$1004,$T1955)),IF(INDEX('AFA Rates'!$L$5:$L$1004,$T1955)="","",INDEX('AFA Rates'!$L$5:$L$1004,$T1955))))</f>
        <v/>
      </c>
      <c r="O1955" s="78">
        <f>IF(OR($T1955="",$U1955=""),"",IF(INDEX(Firms!$C$5:$C$1004,$U1955)="","",INDEX(Firms!$C$5:$C$1004,$U1955)))</f>
        <v/>
      </c>
      <c r="P1955" s="79">
        <f>IF(OR($T1955="",$U1955=""),"",IF(INDEX(Firms!$N$5:$N$1004,$U1955)="","",INDEX(Firms!$N$5:$N$1004,$U1955)))</f>
        <v/>
      </c>
      <c r="Q1955" s="78">
        <f>IF($T1955="","",IF($S1955="S",IF(INDEX(Firms!$T$5:$T$1004,$T1955)="","",INDEX(Firms!$T$5:$T$1004,$T1955)),IF(INDEX('AFA Rates'!$M$5:$M$1004,$T1955)="","",INDEX('AFA Rates'!$M$5:$M$1004,$T1955))))</f>
        <v/>
      </c>
      <c r="S1955">
        <f>IF(1951&lt;=$S$2,"S",IF(1951&lt;=$S$2+$T$2,"A",""))</f>
        <v/>
      </c>
      <c r="T1955">
        <f>IF(S1955="S",MATCH(1951,Firms!$W$5:$W$1004,0),IF(S1955="A",IFERROR(MATCH(1951-$S$2,'AFA Rates'!$R$5:$R$1004,0),""),""))</f>
        <v/>
      </c>
      <c r="U1955">
        <f>IF(S1955="S",T1955,IF(AND(S1955="A",T1955&lt;&gt;""),IFERROR(MATCH(INDEX('AFA Rates'!$A$5:$A$1004,T1955),Firms!$A$5:$A$1004,0),""),""))</f>
        <v/>
      </c>
    </row>
    <row r="1956">
      <c r="A1956" s="78">
        <f>IF($T1956="","",IF($S1956="S",IF(INDEX(Firms!$A$5:$A$1004,$T1956)="","",INDEX(Firms!$A$5:$A$1004,$T1956)),IF(INDEX('AFA Rates'!$A$5:$A$1004,$T1956)="","",INDEX('AFA Rates'!$A$5:$A$1004,$T1956))))</f>
        <v/>
      </c>
      <c r="B1956" s="79">
        <f>IF(OR($T1956="",$U1956=""),IF($T1956="","","Not on Firms tab"),INDEX(Firms!$B$5:$B$1004,$U1956)&amp;"")</f>
        <v/>
      </c>
      <c r="C1956" s="78">
        <f>IF($T1956="","",IF($S1956="S","Standard",INDEX('AFA Rates'!$B$5:$B$1004,$T1956)&amp;""))</f>
        <v/>
      </c>
      <c r="D1956" s="88">
        <f>IF($T1956="","",IF($S1956="S",IF(INDEX(Firms!$E$5:$E$1004,$T1956)="","",INDEX(Firms!$E$5:$E$1004,$T1956)),IF(INDEX('AFA Rates'!$C$5:$C$1004,$T1956)="","",INDEX('AFA Rates'!$C$5:$C$1004,$T1956))))</f>
        <v/>
      </c>
      <c r="E1956" s="88">
        <f>IF($T1956="","",IF($S1956="S",IF(""="","",""),IF(INDEX('AFA Rates'!$D$5:$D$1004,$T1956)="","",INDEX('AFA Rates'!$D$5:$D$1004,$T1956))))</f>
        <v/>
      </c>
      <c r="F1956" s="79">
        <f>IF($T1956="","",IF($S1956="S",IF(INDEX(Firms!$O$5:$O$1004,$T1956)="","",INDEX(Firms!$O$5:$O$1004,$T1956)),IF(INDEX('AFA Rates'!$O$5:$O$1004,$T1956)="","",INDEX('AFA Rates'!$O$5:$O$1004,$T1956))))</f>
        <v/>
      </c>
      <c r="G1956" s="50">
        <f>IF($T1956="","",IF($S1956="S",IF(INDEX(Firms!$F$5:$F$1004,$T1956)="","",INDEX(Firms!$F$5:$F$1004,$T1956)),IF(INDEX('AFA Rates'!$E$5:$E$1004,$T1956)="","",INDEX('AFA Rates'!$E$5:$E$1004,$T1956))))</f>
        <v/>
      </c>
      <c r="H1956" s="50">
        <f>IF($T1956="","",IF($S1956="S",IF(INDEX(Firms!$G$5:$G$1004,$T1956)="","",INDEX(Firms!$G$5:$G$1004,$T1956)),IF(INDEX('AFA Rates'!$F$5:$F$1004,$T1956)="","",INDEX('AFA Rates'!$F$5:$F$1004,$T1956))))</f>
        <v/>
      </c>
      <c r="I1956" s="50">
        <f>IF($T1956="","",IF($S1956="S",IF(INDEX(Firms!$H$5:$H$1004,$T1956)="","",INDEX(Firms!$H$5:$H$1004,$T1956)),IF(INDEX('AFA Rates'!$G$5:$G$1004,$T1956)="","",INDEX('AFA Rates'!$G$5:$G$1004,$T1956))))</f>
        <v/>
      </c>
      <c r="J1956" s="50">
        <f>IF($T1956="","",IF($S1956="S",IF(INDEX(Firms!$I$5:$I$1004,$T1956)="","",INDEX(Firms!$I$5:$I$1004,$T1956)),IF(INDEX('AFA Rates'!$H$5:$H$1004,$T1956)="","",INDEX('AFA Rates'!$H$5:$H$1004,$T1956))))</f>
        <v/>
      </c>
      <c r="K1956" s="50">
        <f>IF($T1956="","",IF($S1956="S",IF(INDEX(Firms!$J$5:$J$1004,$T1956)="","",INDEX(Firms!$J$5:$J$1004,$T1956)),IF(INDEX('AFA Rates'!$I$5:$I$1004,$T1956)="","",INDEX('AFA Rates'!$I$5:$I$1004,$T1956))))</f>
        <v/>
      </c>
      <c r="L1956" s="50">
        <f>IF($T1956="","",IF($S1956="S",IF(INDEX(Firms!$K$5:$K$1004,$T1956)="","",INDEX(Firms!$K$5:$K$1004,$T1956)),IF(INDEX('AFA Rates'!$J$5:$J$1004,$T1956)="","",INDEX('AFA Rates'!$J$5:$J$1004,$T1956))))</f>
        <v/>
      </c>
      <c r="M1956" s="50">
        <f>IF($T1956="","",IF($S1956="S",IF(INDEX(Firms!$L$5:$L$1004,$T1956)="","",INDEX(Firms!$L$5:$L$1004,$T1956)),IF(INDEX('AFA Rates'!$K$5:$K$1004,$T1956)="","",INDEX('AFA Rates'!$K$5:$K$1004,$T1956))))</f>
        <v/>
      </c>
      <c r="N1956" s="50">
        <f>IF($T1956="","",IF($S1956="S",IF(INDEX(Firms!$M$5:$M$1004,$T1956)="","",INDEX(Firms!$M$5:$M$1004,$T1956)),IF(INDEX('AFA Rates'!$L$5:$L$1004,$T1956)="","",INDEX('AFA Rates'!$L$5:$L$1004,$T1956))))</f>
        <v/>
      </c>
      <c r="O1956" s="78">
        <f>IF(OR($T1956="",$U1956=""),"",IF(INDEX(Firms!$C$5:$C$1004,$U1956)="","",INDEX(Firms!$C$5:$C$1004,$U1956)))</f>
        <v/>
      </c>
      <c r="P1956" s="79">
        <f>IF(OR($T1956="",$U1956=""),"",IF(INDEX(Firms!$N$5:$N$1004,$U1956)="","",INDEX(Firms!$N$5:$N$1004,$U1956)))</f>
        <v/>
      </c>
      <c r="Q1956" s="78">
        <f>IF($T1956="","",IF($S1956="S",IF(INDEX(Firms!$T$5:$T$1004,$T1956)="","",INDEX(Firms!$T$5:$T$1004,$T1956)),IF(INDEX('AFA Rates'!$M$5:$M$1004,$T1956)="","",INDEX('AFA Rates'!$M$5:$M$1004,$T1956))))</f>
        <v/>
      </c>
      <c r="S1956">
        <f>IF(1952&lt;=$S$2,"S",IF(1952&lt;=$S$2+$T$2,"A",""))</f>
        <v/>
      </c>
      <c r="T1956">
        <f>IF(S1956="S",MATCH(1952,Firms!$W$5:$W$1004,0),IF(S1956="A",IFERROR(MATCH(1952-$S$2,'AFA Rates'!$R$5:$R$1004,0),""),""))</f>
        <v/>
      </c>
      <c r="U1956">
        <f>IF(S1956="S",T1956,IF(AND(S1956="A",T1956&lt;&gt;""),IFERROR(MATCH(INDEX('AFA Rates'!$A$5:$A$1004,T1956),Firms!$A$5:$A$1004,0),""),""))</f>
        <v/>
      </c>
    </row>
    <row r="1957">
      <c r="A1957" s="78">
        <f>IF($T1957="","",IF($S1957="S",IF(INDEX(Firms!$A$5:$A$1004,$T1957)="","",INDEX(Firms!$A$5:$A$1004,$T1957)),IF(INDEX('AFA Rates'!$A$5:$A$1004,$T1957)="","",INDEX('AFA Rates'!$A$5:$A$1004,$T1957))))</f>
        <v/>
      </c>
      <c r="B1957" s="79">
        <f>IF(OR($T1957="",$U1957=""),IF($T1957="","","Not on Firms tab"),INDEX(Firms!$B$5:$B$1004,$U1957)&amp;"")</f>
        <v/>
      </c>
      <c r="C1957" s="78">
        <f>IF($T1957="","",IF($S1957="S","Standard",INDEX('AFA Rates'!$B$5:$B$1004,$T1957)&amp;""))</f>
        <v/>
      </c>
      <c r="D1957" s="88">
        <f>IF($T1957="","",IF($S1957="S",IF(INDEX(Firms!$E$5:$E$1004,$T1957)="","",INDEX(Firms!$E$5:$E$1004,$T1957)),IF(INDEX('AFA Rates'!$C$5:$C$1004,$T1957)="","",INDEX('AFA Rates'!$C$5:$C$1004,$T1957))))</f>
        <v/>
      </c>
      <c r="E1957" s="88">
        <f>IF($T1957="","",IF($S1957="S",IF(""="","",""),IF(INDEX('AFA Rates'!$D$5:$D$1004,$T1957)="","",INDEX('AFA Rates'!$D$5:$D$1004,$T1957))))</f>
        <v/>
      </c>
      <c r="F1957" s="79">
        <f>IF($T1957="","",IF($S1957="S",IF(INDEX(Firms!$O$5:$O$1004,$T1957)="","",INDEX(Firms!$O$5:$O$1004,$T1957)),IF(INDEX('AFA Rates'!$O$5:$O$1004,$T1957)="","",INDEX('AFA Rates'!$O$5:$O$1004,$T1957))))</f>
        <v/>
      </c>
      <c r="G1957" s="50">
        <f>IF($T1957="","",IF($S1957="S",IF(INDEX(Firms!$F$5:$F$1004,$T1957)="","",INDEX(Firms!$F$5:$F$1004,$T1957)),IF(INDEX('AFA Rates'!$E$5:$E$1004,$T1957)="","",INDEX('AFA Rates'!$E$5:$E$1004,$T1957))))</f>
        <v/>
      </c>
      <c r="H1957" s="50">
        <f>IF($T1957="","",IF($S1957="S",IF(INDEX(Firms!$G$5:$G$1004,$T1957)="","",INDEX(Firms!$G$5:$G$1004,$T1957)),IF(INDEX('AFA Rates'!$F$5:$F$1004,$T1957)="","",INDEX('AFA Rates'!$F$5:$F$1004,$T1957))))</f>
        <v/>
      </c>
      <c r="I1957" s="50">
        <f>IF($T1957="","",IF($S1957="S",IF(INDEX(Firms!$H$5:$H$1004,$T1957)="","",INDEX(Firms!$H$5:$H$1004,$T1957)),IF(INDEX('AFA Rates'!$G$5:$G$1004,$T1957)="","",INDEX('AFA Rates'!$G$5:$G$1004,$T1957))))</f>
        <v/>
      </c>
      <c r="J1957" s="50">
        <f>IF($T1957="","",IF($S1957="S",IF(INDEX(Firms!$I$5:$I$1004,$T1957)="","",INDEX(Firms!$I$5:$I$1004,$T1957)),IF(INDEX('AFA Rates'!$H$5:$H$1004,$T1957)="","",INDEX('AFA Rates'!$H$5:$H$1004,$T1957))))</f>
        <v/>
      </c>
      <c r="K1957" s="50">
        <f>IF($T1957="","",IF($S1957="S",IF(INDEX(Firms!$J$5:$J$1004,$T1957)="","",INDEX(Firms!$J$5:$J$1004,$T1957)),IF(INDEX('AFA Rates'!$I$5:$I$1004,$T1957)="","",INDEX('AFA Rates'!$I$5:$I$1004,$T1957))))</f>
        <v/>
      </c>
      <c r="L1957" s="50">
        <f>IF($T1957="","",IF($S1957="S",IF(INDEX(Firms!$K$5:$K$1004,$T1957)="","",INDEX(Firms!$K$5:$K$1004,$T1957)),IF(INDEX('AFA Rates'!$J$5:$J$1004,$T1957)="","",INDEX('AFA Rates'!$J$5:$J$1004,$T1957))))</f>
        <v/>
      </c>
      <c r="M1957" s="50">
        <f>IF($T1957="","",IF($S1957="S",IF(INDEX(Firms!$L$5:$L$1004,$T1957)="","",INDEX(Firms!$L$5:$L$1004,$T1957)),IF(INDEX('AFA Rates'!$K$5:$K$1004,$T1957)="","",INDEX('AFA Rates'!$K$5:$K$1004,$T1957))))</f>
        <v/>
      </c>
      <c r="N1957" s="50">
        <f>IF($T1957="","",IF($S1957="S",IF(INDEX(Firms!$M$5:$M$1004,$T1957)="","",INDEX(Firms!$M$5:$M$1004,$T1957)),IF(INDEX('AFA Rates'!$L$5:$L$1004,$T1957)="","",INDEX('AFA Rates'!$L$5:$L$1004,$T1957))))</f>
        <v/>
      </c>
      <c r="O1957" s="78">
        <f>IF(OR($T1957="",$U1957=""),"",IF(INDEX(Firms!$C$5:$C$1004,$U1957)="","",INDEX(Firms!$C$5:$C$1004,$U1957)))</f>
        <v/>
      </c>
      <c r="P1957" s="79">
        <f>IF(OR($T1957="",$U1957=""),"",IF(INDEX(Firms!$N$5:$N$1004,$U1957)="","",INDEX(Firms!$N$5:$N$1004,$U1957)))</f>
        <v/>
      </c>
      <c r="Q1957" s="78">
        <f>IF($T1957="","",IF($S1957="S",IF(INDEX(Firms!$T$5:$T$1004,$T1957)="","",INDEX(Firms!$T$5:$T$1004,$T1957)),IF(INDEX('AFA Rates'!$M$5:$M$1004,$T1957)="","",INDEX('AFA Rates'!$M$5:$M$1004,$T1957))))</f>
        <v/>
      </c>
      <c r="S1957">
        <f>IF(1953&lt;=$S$2,"S",IF(1953&lt;=$S$2+$T$2,"A",""))</f>
        <v/>
      </c>
      <c r="T1957">
        <f>IF(S1957="S",MATCH(1953,Firms!$W$5:$W$1004,0),IF(S1957="A",IFERROR(MATCH(1953-$S$2,'AFA Rates'!$R$5:$R$1004,0),""),""))</f>
        <v/>
      </c>
      <c r="U1957">
        <f>IF(S1957="S",T1957,IF(AND(S1957="A",T1957&lt;&gt;""),IFERROR(MATCH(INDEX('AFA Rates'!$A$5:$A$1004,T1957),Firms!$A$5:$A$1004,0),""),""))</f>
        <v/>
      </c>
    </row>
    <row r="1958">
      <c r="A1958" s="78">
        <f>IF($T1958="","",IF($S1958="S",IF(INDEX(Firms!$A$5:$A$1004,$T1958)="","",INDEX(Firms!$A$5:$A$1004,$T1958)),IF(INDEX('AFA Rates'!$A$5:$A$1004,$T1958)="","",INDEX('AFA Rates'!$A$5:$A$1004,$T1958))))</f>
        <v/>
      </c>
      <c r="B1958" s="79">
        <f>IF(OR($T1958="",$U1958=""),IF($T1958="","","Not on Firms tab"),INDEX(Firms!$B$5:$B$1004,$U1958)&amp;"")</f>
        <v/>
      </c>
      <c r="C1958" s="78">
        <f>IF($T1958="","",IF($S1958="S","Standard",INDEX('AFA Rates'!$B$5:$B$1004,$T1958)&amp;""))</f>
        <v/>
      </c>
      <c r="D1958" s="88">
        <f>IF($T1958="","",IF($S1958="S",IF(INDEX(Firms!$E$5:$E$1004,$T1958)="","",INDEX(Firms!$E$5:$E$1004,$T1958)),IF(INDEX('AFA Rates'!$C$5:$C$1004,$T1958)="","",INDEX('AFA Rates'!$C$5:$C$1004,$T1958))))</f>
        <v/>
      </c>
      <c r="E1958" s="88">
        <f>IF($T1958="","",IF($S1958="S",IF(""="","",""),IF(INDEX('AFA Rates'!$D$5:$D$1004,$T1958)="","",INDEX('AFA Rates'!$D$5:$D$1004,$T1958))))</f>
        <v/>
      </c>
      <c r="F1958" s="79">
        <f>IF($T1958="","",IF($S1958="S",IF(INDEX(Firms!$O$5:$O$1004,$T1958)="","",INDEX(Firms!$O$5:$O$1004,$T1958)),IF(INDEX('AFA Rates'!$O$5:$O$1004,$T1958)="","",INDEX('AFA Rates'!$O$5:$O$1004,$T1958))))</f>
        <v/>
      </c>
      <c r="G1958" s="50">
        <f>IF($T1958="","",IF($S1958="S",IF(INDEX(Firms!$F$5:$F$1004,$T1958)="","",INDEX(Firms!$F$5:$F$1004,$T1958)),IF(INDEX('AFA Rates'!$E$5:$E$1004,$T1958)="","",INDEX('AFA Rates'!$E$5:$E$1004,$T1958))))</f>
        <v/>
      </c>
      <c r="H1958" s="50">
        <f>IF($T1958="","",IF($S1958="S",IF(INDEX(Firms!$G$5:$G$1004,$T1958)="","",INDEX(Firms!$G$5:$G$1004,$T1958)),IF(INDEX('AFA Rates'!$F$5:$F$1004,$T1958)="","",INDEX('AFA Rates'!$F$5:$F$1004,$T1958))))</f>
        <v/>
      </c>
      <c r="I1958" s="50">
        <f>IF($T1958="","",IF($S1958="S",IF(INDEX(Firms!$H$5:$H$1004,$T1958)="","",INDEX(Firms!$H$5:$H$1004,$T1958)),IF(INDEX('AFA Rates'!$G$5:$G$1004,$T1958)="","",INDEX('AFA Rates'!$G$5:$G$1004,$T1958))))</f>
        <v/>
      </c>
      <c r="J1958" s="50">
        <f>IF($T1958="","",IF($S1958="S",IF(INDEX(Firms!$I$5:$I$1004,$T1958)="","",INDEX(Firms!$I$5:$I$1004,$T1958)),IF(INDEX('AFA Rates'!$H$5:$H$1004,$T1958)="","",INDEX('AFA Rates'!$H$5:$H$1004,$T1958))))</f>
        <v/>
      </c>
      <c r="K1958" s="50">
        <f>IF($T1958="","",IF($S1958="S",IF(INDEX(Firms!$J$5:$J$1004,$T1958)="","",INDEX(Firms!$J$5:$J$1004,$T1958)),IF(INDEX('AFA Rates'!$I$5:$I$1004,$T1958)="","",INDEX('AFA Rates'!$I$5:$I$1004,$T1958))))</f>
        <v/>
      </c>
      <c r="L1958" s="50">
        <f>IF($T1958="","",IF($S1958="S",IF(INDEX(Firms!$K$5:$K$1004,$T1958)="","",INDEX(Firms!$K$5:$K$1004,$T1958)),IF(INDEX('AFA Rates'!$J$5:$J$1004,$T1958)="","",INDEX('AFA Rates'!$J$5:$J$1004,$T1958))))</f>
        <v/>
      </c>
      <c r="M1958" s="50">
        <f>IF($T1958="","",IF($S1958="S",IF(INDEX(Firms!$L$5:$L$1004,$T1958)="","",INDEX(Firms!$L$5:$L$1004,$T1958)),IF(INDEX('AFA Rates'!$K$5:$K$1004,$T1958)="","",INDEX('AFA Rates'!$K$5:$K$1004,$T1958))))</f>
        <v/>
      </c>
      <c r="N1958" s="50">
        <f>IF($T1958="","",IF($S1958="S",IF(INDEX(Firms!$M$5:$M$1004,$T1958)="","",INDEX(Firms!$M$5:$M$1004,$T1958)),IF(INDEX('AFA Rates'!$L$5:$L$1004,$T1958)="","",INDEX('AFA Rates'!$L$5:$L$1004,$T1958))))</f>
        <v/>
      </c>
      <c r="O1958" s="78">
        <f>IF(OR($T1958="",$U1958=""),"",IF(INDEX(Firms!$C$5:$C$1004,$U1958)="","",INDEX(Firms!$C$5:$C$1004,$U1958)))</f>
        <v/>
      </c>
      <c r="P1958" s="79">
        <f>IF(OR($T1958="",$U1958=""),"",IF(INDEX(Firms!$N$5:$N$1004,$U1958)="","",INDEX(Firms!$N$5:$N$1004,$U1958)))</f>
        <v/>
      </c>
      <c r="Q1958" s="78">
        <f>IF($T1958="","",IF($S1958="S",IF(INDEX(Firms!$T$5:$T$1004,$T1958)="","",INDEX(Firms!$T$5:$T$1004,$T1958)),IF(INDEX('AFA Rates'!$M$5:$M$1004,$T1958)="","",INDEX('AFA Rates'!$M$5:$M$1004,$T1958))))</f>
        <v/>
      </c>
      <c r="S1958">
        <f>IF(1954&lt;=$S$2,"S",IF(1954&lt;=$S$2+$T$2,"A",""))</f>
        <v/>
      </c>
      <c r="T1958">
        <f>IF(S1958="S",MATCH(1954,Firms!$W$5:$W$1004,0),IF(S1958="A",IFERROR(MATCH(1954-$S$2,'AFA Rates'!$R$5:$R$1004,0),""),""))</f>
        <v/>
      </c>
      <c r="U1958">
        <f>IF(S1958="S",T1958,IF(AND(S1958="A",T1958&lt;&gt;""),IFERROR(MATCH(INDEX('AFA Rates'!$A$5:$A$1004,T1958),Firms!$A$5:$A$1004,0),""),""))</f>
        <v/>
      </c>
    </row>
    <row r="1959">
      <c r="A1959" s="78">
        <f>IF($T1959="","",IF($S1959="S",IF(INDEX(Firms!$A$5:$A$1004,$T1959)="","",INDEX(Firms!$A$5:$A$1004,$T1959)),IF(INDEX('AFA Rates'!$A$5:$A$1004,$T1959)="","",INDEX('AFA Rates'!$A$5:$A$1004,$T1959))))</f>
        <v/>
      </c>
      <c r="B1959" s="79">
        <f>IF(OR($T1959="",$U1959=""),IF($T1959="","","Not on Firms tab"),INDEX(Firms!$B$5:$B$1004,$U1959)&amp;"")</f>
        <v/>
      </c>
      <c r="C1959" s="78">
        <f>IF($T1959="","",IF($S1959="S","Standard",INDEX('AFA Rates'!$B$5:$B$1004,$T1959)&amp;""))</f>
        <v/>
      </c>
      <c r="D1959" s="88">
        <f>IF($T1959="","",IF($S1959="S",IF(INDEX(Firms!$E$5:$E$1004,$T1959)="","",INDEX(Firms!$E$5:$E$1004,$T1959)),IF(INDEX('AFA Rates'!$C$5:$C$1004,$T1959)="","",INDEX('AFA Rates'!$C$5:$C$1004,$T1959))))</f>
        <v/>
      </c>
      <c r="E1959" s="88">
        <f>IF($T1959="","",IF($S1959="S",IF(""="","",""),IF(INDEX('AFA Rates'!$D$5:$D$1004,$T1959)="","",INDEX('AFA Rates'!$D$5:$D$1004,$T1959))))</f>
        <v/>
      </c>
      <c r="F1959" s="79">
        <f>IF($T1959="","",IF($S1959="S",IF(INDEX(Firms!$O$5:$O$1004,$T1959)="","",INDEX(Firms!$O$5:$O$1004,$T1959)),IF(INDEX('AFA Rates'!$O$5:$O$1004,$T1959)="","",INDEX('AFA Rates'!$O$5:$O$1004,$T1959))))</f>
        <v/>
      </c>
      <c r="G1959" s="50">
        <f>IF($T1959="","",IF($S1959="S",IF(INDEX(Firms!$F$5:$F$1004,$T1959)="","",INDEX(Firms!$F$5:$F$1004,$T1959)),IF(INDEX('AFA Rates'!$E$5:$E$1004,$T1959)="","",INDEX('AFA Rates'!$E$5:$E$1004,$T1959))))</f>
        <v/>
      </c>
      <c r="H1959" s="50">
        <f>IF($T1959="","",IF($S1959="S",IF(INDEX(Firms!$G$5:$G$1004,$T1959)="","",INDEX(Firms!$G$5:$G$1004,$T1959)),IF(INDEX('AFA Rates'!$F$5:$F$1004,$T1959)="","",INDEX('AFA Rates'!$F$5:$F$1004,$T1959))))</f>
        <v/>
      </c>
      <c r="I1959" s="50">
        <f>IF($T1959="","",IF($S1959="S",IF(INDEX(Firms!$H$5:$H$1004,$T1959)="","",INDEX(Firms!$H$5:$H$1004,$T1959)),IF(INDEX('AFA Rates'!$G$5:$G$1004,$T1959)="","",INDEX('AFA Rates'!$G$5:$G$1004,$T1959))))</f>
        <v/>
      </c>
      <c r="J1959" s="50">
        <f>IF($T1959="","",IF($S1959="S",IF(INDEX(Firms!$I$5:$I$1004,$T1959)="","",INDEX(Firms!$I$5:$I$1004,$T1959)),IF(INDEX('AFA Rates'!$H$5:$H$1004,$T1959)="","",INDEX('AFA Rates'!$H$5:$H$1004,$T1959))))</f>
        <v/>
      </c>
      <c r="K1959" s="50">
        <f>IF($T1959="","",IF($S1959="S",IF(INDEX(Firms!$J$5:$J$1004,$T1959)="","",INDEX(Firms!$J$5:$J$1004,$T1959)),IF(INDEX('AFA Rates'!$I$5:$I$1004,$T1959)="","",INDEX('AFA Rates'!$I$5:$I$1004,$T1959))))</f>
        <v/>
      </c>
      <c r="L1959" s="50">
        <f>IF($T1959="","",IF($S1959="S",IF(INDEX(Firms!$K$5:$K$1004,$T1959)="","",INDEX(Firms!$K$5:$K$1004,$T1959)),IF(INDEX('AFA Rates'!$J$5:$J$1004,$T1959)="","",INDEX('AFA Rates'!$J$5:$J$1004,$T1959))))</f>
        <v/>
      </c>
      <c r="M1959" s="50">
        <f>IF($T1959="","",IF($S1959="S",IF(INDEX(Firms!$L$5:$L$1004,$T1959)="","",INDEX(Firms!$L$5:$L$1004,$T1959)),IF(INDEX('AFA Rates'!$K$5:$K$1004,$T1959)="","",INDEX('AFA Rates'!$K$5:$K$1004,$T1959))))</f>
        <v/>
      </c>
      <c r="N1959" s="50">
        <f>IF($T1959="","",IF($S1959="S",IF(INDEX(Firms!$M$5:$M$1004,$T1959)="","",INDEX(Firms!$M$5:$M$1004,$T1959)),IF(INDEX('AFA Rates'!$L$5:$L$1004,$T1959)="","",INDEX('AFA Rates'!$L$5:$L$1004,$T1959))))</f>
        <v/>
      </c>
      <c r="O1959" s="78">
        <f>IF(OR($T1959="",$U1959=""),"",IF(INDEX(Firms!$C$5:$C$1004,$U1959)="","",INDEX(Firms!$C$5:$C$1004,$U1959)))</f>
        <v/>
      </c>
      <c r="P1959" s="79">
        <f>IF(OR($T1959="",$U1959=""),"",IF(INDEX(Firms!$N$5:$N$1004,$U1959)="","",INDEX(Firms!$N$5:$N$1004,$U1959)))</f>
        <v/>
      </c>
      <c r="Q1959" s="78">
        <f>IF($T1959="","",IF($S1959="S",IF(INDEX(Firms!$T$5:$T$1004,$T1959)="","",INDEX(Firms!$T$5:$T$1004,$T1959)),IF(INDEX('AFA Rates'!$M$5:$M$1004,$T1959)="","",INDEX('AFA Rates'!$M$5:$M$1004,$T1959))))</f>
        <v/>
      </c>
      <c r="S1959">
        <f>IF(1955&lt;=$S$2,"S",IF(1955&lt;=$S$2+$T$2,"A",""))</f>
        <v/>
      </c>
      <c r="T1959">
        <f>IF(S1959="S",MATCH(1955,Firms!$W$5:$W$1004,0),IF(S1959="A",IFERROR(MATCH(1955-$S$2,'AFA Rates'!$R$5:$R$1004,0),""),""))</f>
        <v/>
      </c>
      <c r="U1959">
        <f>IF(S1959="S",T1959,IF(AND(S1959="A",T1959&lt;&gt;""),IFERROR(MATCH(INDEX('AFA Rates'!$A$5:$A$1004,T1959),Firms!$A$5:$A$1004,0),""),""))</f>
        <v/>
      </c>
    </row>
    <row r="1960">
      <c r="A1960" s="78">
        <f>IF($T1960="","",IF($S1960="S",IF(INDEX(Firms!$A$5:$A$1004,$T1960)="","",INDEX(Firms!$A$5:$A$1004,$T1960)),IF(INDEX('AFA Rates'!$A$5:$A$1004,$T1960)="","",INDEX('AFA Rates'!$A$5:$A$1004,$T1960))))</f>
        <v/>
      </c>
      <c r="B1960" s="79">
        <f>IF(OR($T1960="",$U1960=""),IF($T1960="","","Not on Firms tab"),INDEX(Firms!$B$5:$B$1004,$U1960)&amp;"")</f>
        <v/>
      </c>
      <c r="C1960" s="78">
        <f>IF($T1960="","",IF($S1960="S","Standard",INDEX('AFA Rates'!$B$5:$B$1004,$T1960)&amp;""))</f>
        <v/>
      </c>
      <c r="D1960" s="88">
        <f>IF($T1960="","",IF($S1960="S",IF(INDEX(Firms!$E$5:$E$1004,$T1960)="","",INDEX(Firms!$E$5:$E$1004,$T1960)),IF(INDEX('AFA Rates'!$C$5:$C$1004,$T1960)="","",INDEX('AFA Rates'!$C$5:$C$1004,$T1960))))</f>
        <v/>
      </c>
      <c r="E1960" s="88">
        <f>IF($T1960="","",IF($S1960="S",IF(""="","",""),IF(INDEX('AFA Rates'!$D$5:$D$1004,$T1960)="","",INDEX('AFA Rates'!$D$5:$D$1004,$T1960))))</f>
        <v/>
      </c>
      <c r="F1960" s="79">
        <f>IF($T1960="","",IF($S1960="S",IF(INDEX(Firms!$O$5:$O$1004,$T1960)="","",INDEX(Firms!$O$5:$O$1004,$T1960)),IF(INDEX('AFA Rates'!$O$5:$O$1004,$T1960)="","",INDEX('AFA Rates'!$O$5:$O$1004,$T1960))))</f>
        <v/>
      </c>
      <c r="G1960" s="50">
        <f>IF($T1960="","",IF($S1960="S",IF(INDEX(Firms!$F$5:$F$1004,$T1960)="","",INDEX(Firms!$F$5:$F$1004,$T1960)),IF(INDEX('AFA Rates'!$E$5:$E$1004,$T1960)="","",INDEX('AFA Rates'!$E$5:$E$1004,$T1960))))</f>
        <v/>
      </c>
      <c r="H1960" s="50">
        <f>IF($T1960="","",IF($S1960="S",IF(INDEX(Firms!$G$5:$G$1004,$T1960)="","",INDEX(Firms!$G$5:$G$1004,$T1960)),IF(INDEX('AFA Rates'!$F$5:$F$1004,$T1960)="","",INDEX('AFA Rates'!$F$5:$F$1004,$T1960))))</f>
        <v/>
      </c>
      <c r="I1960" s="50">
        <f>IF($T1960="","",IF($S1960="S",IF(INDEX(Firms!$H$5:$H$1004,$T1960)="","",INDEX(Firms!$H$5:$H$1004,$T1960)),IF(INDEX('AFA Rates'!$G$5:$G$1004,$T1960)="","",INDEX('AFA Rates'!$G$5:$G$1004,$T1960))))</f>
        <v/>
      </c>
      <c r="J1960" s="50">
        <f>IF($T1960="","",IF($S1960="S",IF(INDEX(Firms!$I$5:$I$1004,$T1960)="","",INDEX(Firms!$I$5:$I$1004,$T1960)),IF(INDEX('AFA Rates'!$H$5:$H$1004,$T1960)="","",INDEX('AFA Rates'!$H$5:$H$1004,$T1960))))</f>
        <v/>
      </c>
      <c r="K1960" s="50">
        <f>IF($T1960="","",IF($S1960="S",IF(INDEX(Firms!$J$5:$J$1004,$T1960)="","",INDEX(Firms!$J$5:$J$1004,$T1960)),IF(INDEX('AFA Rates'!$I$5:$I$1004,$T1960)="","",INDEX('AFA Rates'!$I$5:$I$1004,$T1960))))</f>
        <v/>
      </c>
      <c r="L1960" s="50">
        <f>IF($T1960="","",IF($S1960="S",IF(INDEX(Firms!$K$5:$K$1004,$T1960)="","",INDEX(Firms!$K$5:$K$1004,$T1960)),IF(INDEX('AFA Rates'!$J$5:$J$1004,$T1960)="","",INDEX('AFA Rates'!$J$5:$J$1004,$T1960))))</f>
        <v/>
      </c>
      <c r="M1960" s="50">
        <f>IF($T1960="","",IF($S1960="S",IF(INDEX(Firms!$L$5:$L$1004,$T1960)="","",INDEX(Firms!$L$5:$L$1004,$T1960)),IF(INDEX('AFA Rates'!$K$5:$K$1004,$T1960)="","",INDEX('AFA Rates'!$K$5:$K$1004,$T1960))))</f>
        <v/>
      </c>
      <c r="N1960" s="50">
        <f>IF($T1960="","",IF($S1960="S",IF(INDEX(Firms!$M$5:$M$1004,$T1960)="","",INDEX(Firms!$M$5:$M$1004,$T1960)),IF(INDEX('AFA Rates'!$L$5:$L$1004,$T1960)="","",INDEX('AFA Rates'!$L$5:$L$1004,$T1960))))</f>
        <v/>
      </c>
      <c r="O1960" s="78">
        <f>IF(OR($T1960="",$U1960=""),"",IF(INDEX(Firms!$C$5:$C$1004,$U1960)="","",INDEX(Firms!$C$5:$C$1004,$U1960)))</f>
        <v/>
      </c>
      <c r="P1960" s="79">
        <f>IF(OR($T1960="",$U1960=""),"",IF(INDEX(Firms!$N$5:$N$1004,$U1960)="","",INDEX(Firms!$N$5:$N$1004,$U1960)))</f>
        <v/>
      </c>
      <c r="Q1960" s="78">
        <f>IF($T1960="","",IF($S1960="S",IF(INDEX(Firms!$T$5:$T$1004,$T1960)="","",INDEX(Firms!$T$5:$T$1004,$T1960)),IF(INDEX('AFA Rates'!$M$5:$M$1004,$T1960)="","",INDEX('AFA Rates'!$M$5:$M$1004,$T1960))))</f>
        <v/>
      </c>
      <c r="S1960">
        <f>IF(1956&lt;=$S$2,"S",IF(1956&lt;=$S$2+$T$2,"A",""))</f>
        <v/>
      </c>
      <c r="T1960">
        <f>IF(S1960="S",MATCH(1956,Firms!$W$5:$W$1004,0),IF(S1960="A",IFERROR(MATCH(1956-$S$2,'AFA Rates'!$R$5:$R$1004,0),""),""))</f>
        <v/>
      </c>
      <c r="U1960">
        <f>IF(S1960="S",T1960,IF(AND(S1960="A",T1960&lt;&gt;""),IFERROR(MATCH(INDEX('AFA Rates'!$A$5:$A$1004,T1960),Firms!$A$5:$A$1004,0),""),""))</f>
        <v/>
      </c>
    </row>
    <row r="1961">
      <c r="A1961" s="78">
        <f>IF($T1961="","",IF($S1961="S",IF(INDEX(Firms!$A$5:$A$1004,$T1961)="","",INDEX(Firms!$A$5:$A$1004,$T1961)),IF(INDEX('AFA Rates'!$A$5:$A$1004,$T1961)="","",INDEX('AFA Rates'!$A$5:$A$1004,$T1961))))</f>
        <v/>
      </c>
      <c r="B1961" s="79">
        <f>IF(OR($T1961="",$U1961=""),IF($T1961="","","Not on Firms tab"),INDEX(Firms!$B$5:$B$1004,$U1961)&amp;"")</f>
        <v/>
      </c>
      <c r="C1961" s="78">
        <f>IF($T1961="","",IF($S1961="S","Standard",INDEX('AFA Rates'!$B$5:$B$1004,$T1961)&amp;""))</f>
        <v/>
      </c>
      <c r="D1961" s="88">
        <f>IF($T1961="","",IF($S1961="S",IF(INDEX(Firms!$E$5:$E$1004,$T1961)="","",INDEX(Firms!$E$5:$E$1004,$T1961)),IF(INDEX('AFA Rates'!$C$5:$C$1004,$T1961)="","",INDEX('AFA Rates'!$C$5:$C$1004,$T1961))))</f>
        <v/>
      </c>
      <c r="E1961" s="88">
        <f>IF($T1961="","",IF($S1961="S",IF(""="","",""),IF(INDEX('AFA Rates'!$D$5:$D$1004,$T1961)="","",INDEX('AFA Rates'!$D$5:$D$1004,$T1961))))</f>
        <v/>
      </c>
      <c r="F1961" s="79">
        <f>IF($T1961="","",IF($S1961="S",IF(INDEX(Firms!$O$5:$O$1004,$T1961)="","",INDEX(Firms!$O$5:$O$1004,$T1961)),IF(INDEX('AFA Rates'!$O$5:$O$1004,$T1961)="","",INDEX('AFA Rates'!$O$5:$O$1004,$T1961))))</f>
        <v/>
      </c>
      <c r="G1961" s="50">
        <f>IF($T1961="","",IF($S1961="S",IF(INDEX(Firms!$F$5:$F$1004,$T1961)="","",INDEX(Firms!$F$5:$F$1004,$T1961)),IF(INDEX('AFA Rates'!$E$5:$E$1004,$T1961)="","",INDEX('AFA Rates'!$E$5:$E$1004,$T1961))))</f>
        <v/>
      </c>
      <c r="H1961" s="50">
        <f>IF($T1961="","",IF($S1961="S",IF(INDEX(Firms!$G$5:$G$1004,$T1961)="","",INDEX(Firms!$G$5:$G$1004,$T1961)),IF(INDEX('AFA Rates'!$F$5:$F$1004,$T1961)="","",INDEX('AFA Rates'!$F$5:$F$1004,$T1961))))</f>
        <v/>
      </c>
      <c r="I1961" s="50">
        <f>IF($T1961="","",IF($S1961="S",IF(INDEX(Firms!$H$5:$H$1004,$T1961)="","",INDEX(Firms!$H$5:$H$1004,$T1961)),IF(INDEX('AFA Rates'!$G$5:$G$1004,$T1961)="","",INDEX('AFA Rates'!$G$5:$G$1004,$T1961))))</f>
        <v/>
      </c>
      <c r="J1961" s="50">
        <f>IF($T1961="","",IF($S1961="S",IF(INDEX(Firms!$I$5:$I$1004,$T1961)="","",INDEX(Firms!$I$5:$I$1004,$T1961)),IF(INDEX('AFA Rates'!$H$5:$H$1004,$T1961)="","",INDEX('AFA Rates'!$H$5:$H$1004,$T1961))))</f>
        <v/>
      </c>
      <c r="K1961" s="50">
        <f>IF($T1961="","",IF($S1961="S",IF(INDEX(Firms!$J$5:$J$1004,$T1961)="","",INDEX(Firms!$J$5:$J$1004,$T1961)),IF(INDEX('AFA Rates'!$I$5:$I$1004,$T1961)="","",INDEX('AFA Rates'!$I$5:$I$1004,$T1961))))</f>
        <v/>
      </c>
      <c r="L1961" s="50">
        <f>IF($T1961="","",IF($S1961="S",IF(INDEX(Firms!$K$5:$K$1004,$T1961)="","",INDEX(Firms!$K$5:$K$1004,$T1961)),IF(INDEX('AFA Rates'!$J$5:$J$1004,$T1961)="","",INDEX('AFA Rates'!$J$5:$J$1004,$T1961))))</f>
        <v/>
      </c>
      <c r="M1961" s="50">
        <f>IF($T1961="","",IF($S1961="S",IF(INDEX(Firms!$L$5:$L$1004,$T1961)="","",INDEX(Firms!$L$5:$L$1004,$T1961)),IF(INDEX('AFA Rates'!$K$5:$K$1004,$T1961)="","",INDEX('AFA Rates'!$K$5:$K$1004,$T1961))))</f>
        <v/>
      </c>
      <c r="N1961" s="50">
        <f>IF($T1961="","",IF($S1961="S",IF(INDEX(Firms!$M$5:$M$1004,$T1961)="","",INDEX(Firms!$M$5:$M$1004,$T1961)),IF(INDEX('AFA Rates'!$L$5:$L$1004,$T1961)="","",INDEX('AFA Rates'!$L$5:$L$1004,$T1961))))</f>
        <v/>
      </c>
      <c r="O1961" s="78">
        <f>IF(OR($T1961="",$U1961=""),"",IF(INDEX(Firms!$C$5:$C$1004,$U1961)="","",INDEX(Firms!$C$5:$C$1004,$U1961)))</f>
        <v/>
      </c>
      <c r="P1961" s="79">
        <f>IF(OR($T1961="",$U1961=""),"",IF(INDEX(Firms!$N$5:$N$1004,$U1961)="","",INDEX(Firms!$N$5:$N$1004,$U1961)))</f>
        <v/>
      </c>
      <c r="Q1961" s="78">
        <f>IF($T1961="","",IF($S1961="S",IF(INDEX(Firms!$T$5:$T$1004,$T1961)="","",INDEX(Firms!$T$5:$T$1004,$T1961)),IF(INDEX('AFA Rates'!$M$5:$M$1004,$T1961)="","",INDEX('AFA Rates'!$M$5:$M$1004,$T1961))))</f>
        <v/>
      </c>
      <c r="S1961">
        <f>IF(1957&lt;=$S$2,"S",IF(1957&lt;=$S$2+$T$2,"A",""))</f>
        <v/>
      </c>
      <c r="T1961">
        <f>IF(S1961="S",MATCH(1957,Firms!$W$5:$W$1004,0),IF(S1961="A",IFERROR(MATCH(1957-$S$2,'AFA Rates'!$R$5:$R$1004,0),""),""))</f>
        <v/>
      </c>
      <c r="U1961">
        <f>IF(S1961="S",T1961,IF(AND(S1961="A",T1961&lt;&gt;""),IFERROR(MATCH(INDEX('AFA Rates'!$A$5:$A$1004,T1961),Firms!$A$5:$A$1004,0),""),""))</f>
        <v/>
      </c>
    </row>
    <row r="1962">
      <c r="A1962" s="78">
        <f>IF($T1962="","",IF($S1962="S",IF(INDEX(Firms!$A$5:$A$1004,$T1962)="","",INDEX(Firms!$A$5:$A$1004,$T1962)),IF(INDEX('AFA Rates'!$A$5:$A$1004,$T1962)="","",INDEX('AFA Rates'!$A$5:$A$1004,$T1962))))</f>
        <v/>
      </c>
      <c r="B1962" s="79">
        <f>IF(OR($T1962="",$U1962=""),IF($T1962="","","Not on Firms tab"),INDEX(Firms!$B$5:$B$1004,$U1962)&amp;"")</f>
        <v/>
      </c>
      <c r="C1962" s="78">
        <f>IF($T1962="","",IF($S1962="S","Standard",INDEX('AFA Rates'!$B$5:$B$1004,$T1962)&amp;""))</f>
        <v/>
      </c>
      <c r="D1962" s="88">
        <f>IF($T1962="","",IF($S1962="S",IF(INDEX(Firms!$E$5:$E$1004,$T1962)="","",INDEX(Firms!$E$5:$E$1004,$T1962)),IF(INDEX('AFA Rates'!$C$5:$C$1004,$T1962)="","",INDEX('AFA Rates'!$C$5:$C$1004,$T1962))))</f>
        <v/>
      </c>
      <c r="E1962" s="88">
        <f>IF($T1962="","",IF($S1962="S",IF(""="","",""),IF(INDEX('AFA Rates'!$D$5:$D$1004,$T1962)="","",INDEX('AFA Rates'!$D$5:$D$1004,$T1962))))</f>
        <v/>
      </c>
      <c r="F1962" s="79">
        <f>IF($T1962="","",IF($S1962="S",IF(INDEX(Firms!$O$5:$O$1004,$T1962)="","",INDEX(Firms!$O$5:$O$1004,$T1962)),IF(INDEX('AFA Rates'!$O$5:$O$1004,$T1962)="","",INDEX('AFA Rates'!$O$5:$O$1004,$T1962))))</f>
        <v/>
      </c>
      <c r="G1962" s="50">
        <f>IF($T1962="","",IF($S1962="S",IF(INDEX(Firms!$F$5:$F$1004,$T1962)="","",INDEX(Firms!$F$5:$F$1004,$T1962)),IF(INDEX('AFA Rates'!$E$5:$E$1004,$T1962)="","",INDEX('AFA Rates'!$E$5:$E$1004,$T1962))))</f>
        <v/>
      </c>
      <c r="H1962" s="50">
        <f>IF($T1962="","",IF($S1962="S",IF(INDEX(Firms!$G$5:$G$1004,$T1962)="","",INDEX(Firms!$G$5:$G$1004,$T1962)),IF(INDEX('AFA Rates'!$F$5:$F$1004,$T1962)="","",INDEX('AFA Rates'!$F$5:$F$1004,$T1962))))</f>
        <v/>
      </c>
      <c r="I1962" s="50">
        <f>IF($T1962="","",IF($S1962="S",IF(INDEX(Firms!$H$5:$H$1004,$T1962)="","",INDEX(Firms!$H$5:$H$1004,$T1962)),IF(INDEX('AFA Rates'!$G$5:$G$1004,$T1962)="","",INDEX('AFA Rates'!$G$5:$G$1004,$T1962))))</f>
        <v/>
      </c>
      <c r="J1962" s="50">
        <f>IF($T1962="","",IF($S1962="S",IF(INDEX(Firms!$I$5:$I$1004,$T1962)="","",INDEX(Firms!$I$5:$I$1004,$T1962)),IF(INDEX('AFA Rates'!$H$5:$H$1004,$T1962)="","",INDEX('AFA Rates'!$H$5:$H$1004,$T1962))))</f>
        <v/>
      </c>
      <c r="K1962" s="50">
        <f>IF($T1962="","",IF($S1962="S",IF(INDEX(Firms!$J$5:$J$1004,$T1962)="","",INDEX(Firms!$J$5:$J$1004,$T1962)),IF(INDEX('AFA Rates'!$I$5:$I$1004,$T1962)="","",INDEX('AFA Rates'!$I$5:$I$1004,$T1962))))</f>
        <v/>
      </c>
      <c r="L1962" s="50">
        <f>IF($T1962="","",IF($S1962="S",IF(INDEX(Firms!$K$5:$K$1004,$T1962)="","",INDEX(Firms!$K$5:$K$1004,$T1962)),IF(INDEX('AFA Rates'!$J$5:$J$1004,$T1962)="","",INDEX('AFA Rates'!$J$5:$J$1004,$T1962))))</f>
        <v/>
      </c>
      <c r="M1962" s="50">
        <f>IF($T1962="","",IF($S1962="S",IF(INDEX(Firms!$L$5:$L$1004,$T1962)="","",INDEX(Firms!$L$5:$L$1004,$T1962)),IF(INDEX('AFA Rates'!$K$5:$K$1004,$T1962)="","",INDEX('AFA Rates'!$K$5:$K$1004,$T1962))))</f>
        <v/>
      </c>
      <c r="N1962" s="50">
        <f>IF($T1962="","",IF($S1962="S",IF(INDEX(Firms!$M$5:$M$1004,$T1962)="","",INDEX(Firms!$M$5:$M$1004,$T1962)),IF(INDEX('AFA Rates'!$L$5:$L$1004,$T1962)="","",INDEX('AFA Rates'!$L$5:$L$1004,$T1962))))</f>
        <v/>
      </c>
      <c r="O1962" s="78">
        <f>IF(OR($T1962="",$U1962=""),"",IF(INDEX(Firms!$C$5:$C$1004,$U1962)="","",INDEX(Firms!$C$5:$C$1004,$U1962)))</f>
        <v/>
      </c>
      <c r="P1962" s="79">
        <f>IF(OR($T1962="",$U1962=""),"",IF(INDEX(Firms!$N$5:$N$1004,$U1962)="","",INDEX(Firms!$N$5:$N$1004,$U1962)))</f>
        <v/>
      </c>
      <c r="Q1962" s="78">
        <f>IF($T1962="","",IF($S1962="S",IF(INDEX(Firms!$T$5:$T$1004,$T1962)="","",INDEX(Firms!$T$5:$T$1004,$T1962)),IF(INDEX('AFA Rates'!$M$5:$M$1004,$T1962)="","",INDEX('AFA Rates'!$M$5:$M$1004,$T1962))))</f>
        <v/>
      </c>
      <c r="S1962">
        <f>IF(1958&lt;=$S$2,"S",IF(1958&lt;=$S$2+$T$2,"A",""))</f>
        <v/>
      </c>
      <c r="T1962">
        <f>IF(S1962="S",MATCH(1958,Firms!$W$5:$W$1004,0),IF(S1962="A",IFERROR(MATCH(1958-$S$2,'AFA Rates'!$R$5:$R$1004,0),""),""))</f>
        <v/>
      </c>
      <c r="U1962">
        <f>IF(S1962="S",T1962,IF(AND(S1962="A",T1962&lt;&gt;""),IFERROR(MATCH(INDEX('AFA Rates'!$A$5:$A$1004,T1962),Firms!$A$5:$A$1004,0),""),""))</f>
        <v/>
      </c>
    </row>
    <row r="1963">
      <c r="A1963" s="78">
        <f>IF($T1963="","",IF($S1963="S",IF(INDEX(Firms!$A$5:$A$1004,$T1963)="","",INDEX(Firms!$A$5:$A$1004,$T1963)),IF(INDEX('AFA Rates'!$A$5:$A$1004,$T1963)="","",INDEX('AFA Rates'!$A$5:$A$1004,$T1963))))</f>
        <v/>
      </c>
      <c r="B1963" s="79">
        <f>IF(OR($T1963="",$U1963=""),IF($T1963="","","Not on Firms tab"),INDEX(Firms!$B$5:$B$1004,$U1963)&amp;"")</f>
        <v/>
      </c>
      <c r="C1963" s="78">
        <f>IF($T1963="","",IF($S1963="S","Standard",INDEX('AFA Rates'!$B$5:$B$1004,$T1963)&amp;""))</f>
        <v/>
      </c>
      <c r="D1963" s="88">
        <f>IF($T1963="","",IF($S1963="S",IF(INDEX(Firms!$E$5:$E$1004,$T1963)="","",INDEX(Firms!$E$5:$E$1004,$T1963)),IF(INDEX('AFA Rates'!$C$5:$C$1004,$T1963)="","",INDEX('AFA Rates'!$C$5:$C$1004,$T1963))))</f>
        <v/>
      </c>
      <c r="E1963" s="88">
        <f>IF($T1963="","",IF($S1963="S",IF(""="","",""),IF(INDEX('AFA Rates'!$D$5:$D$1004,$T1963)="","",INDEX('AFA Rates'!$D$5:$D$1004,$T1963))))</f>
        <v/>
      </c>
      <c r="F1963" s="79">
        <f>IF($T1963="","",IF($S1963="S",IF(INDEX(Firms!$O$5:$O$1004,$T1963)="","",INDEX(Firms!$O$5:$O$1004,$T1963)),IF(INDEX('AFA Rates'!$O$5:$O$1004,$T1963)="","",INDEX('AFA Rates'!$O$5:$O$1004,$T1963))))</f>
        <v/>
      </c>
      <c r="G1963" s="50">
        <f>IF($T1963="","",IF($S1963="S",IF(INDEX(Firms!$F$5:$F$1004,$T1963)="","",INDEX(Firms!$F$5:$F$1004,$T1963)),IF(INDEX('AFA Rates'!$E$5:$E$1004,$T1963)="","",INDEX('AFA Rates'!$E$5:$E$1004,$T1963))))</f>
        <v/>
      </c>
      <c r="H1963" s="50">
        <f>IF($T1963="","",IF($S1963="S",IF(INDEX(Firms!$G$5:$G$1004,$T1963)="","",INDEX(Firms!$G$5:$G$1004,$T1963)),IF(INDEX('AFA Rates'!$F$5:$F$1004,$T1963)="","",INDEX('AFA Rates'!$F$5:$F$1004,$T1963))))</f>
        <v/>
      </c>
      <c r="I1963" s="50">
        <f>IF($T1963="","",IF($S1963="S",IF(INDEX(Firms!$H$5:$H$1004,$T1963)="","",INDEX(Firms!$H$5:$H$1004,$T1963)),IF(INDEX('AFA Rates'!$G$5:$G$1004,$T1963)="","",INDEX('AFA Rates'!$G$5:$G$1004,$T1963))))</f>
        <v/>
      </c>
      <c r="J1963" s="50">
        <f>IF($T1963="","",IF($S1963="S",IF(INDEX(Firms!$I$5:$I$1004,$T1963)="","",INDEX(Firms!$I$5:$I$1004,$T1963)),IF(INDEX('AFA Rates'!$H$5:$H$1004,$T1963)="","",INDEX('AFA Rates'!$H$5:$H$1004,$T1963))))</f>
        <v/>
      </c>
      <c r="K1963" s="50">
        <f>IF($T1963="","",IF($S1963="S",IF(INDEX(Firms!$J$5:$J$1004,$T1963)="","",INDEX(Firms!$J$5:$J$1004,$T1963)),IF(INDEX('AFA Rates'!$I$5:$I$1004,$T1963)="","",INDEX('AFA Rates'!$I$5:$I$1004,$T1963))))</f>
        <v/>
      </c>
      <c r="L1963" s="50">
        <f>IF($T1963="","",IF($S1963="S",IF(INDEX(Firms!$K$5:$K$1004,$T1963)="","",INDEX(Firms!$K$5:$K$1004,$T1963)),IF(INDEX('AFA Rates'!$J$5:$J$1004,$T1963)="","",INDEX('AFA Rates'!$J$5:$J$1004,$T1963))))</f>
        <v/>
      </c>
      <c r="M1963" s="50">
        <f>IF($T1963="","",IF($S1963="S",IF(INDEX(Firms!$L$5:$L$1004,$T1963)="","",INDEX(Firms!$L$5:$L$1004,$T1963)),IF(INDEX('AFA Rates'!$K$5:$K$1004,$T1963)="","",INDEX('AFA Rates'!$K$5:$K$1004,$T1963))))</f>
        <v/>
      </c>
      <c r="N1963" s="50">
        <f>IF($T1963="","",IF($S1963="S",IF(INDEX(Firms!$M$5:$M$1004,$T1963)="","",INDEX(Firms!$M$5:$M$1004,$T1963)),IF(INDEX('AFA Rates'!$L$5:$L$1004,$T1963)="","",INDEX('AFA Rates'!$L$5:$L$1004,$T1963))))</f>
        <v/>
      </c>
      <c r="O1963" s="78">
        <f>IF(OR($T1963="",$U1963=""),"",IF(INDEX(Firms!$C$5:$C$1004,$U1963)="","",INDEX(Firms!$C$5:$C$1004,$U1963)))</f>
        <v/>
      </c>
      <c r="P1963" s="79">
        <f>IF(OR($T1963="",$U1963=""),"",IF(INDEX(Firms!$N$5:$N$1004,$U1963)="","",INDEX(Firms!$N$5:$N$1004,$U1963)))</f>
        <v/>
      </c>
      <c r="Q1963" s="78">
        <f>IF($T1963="","",IF($S1963="S",IF(INDEX(Firms!$T$5:$T$1004,$T1963)="","",INDEX(Firms!$T$5:$T$1004,$T1963)),IF(INDEX('AFA Rates'!$M$5:$M$1004,$T1963)="","",INDEX('AFA Rates'!$M$5:$M$1004,$T1963))))</f>
        <v/>
      </c>
      <c r="S1963">
        <f>IF(1959&lt;=$S$2,"S",IF(1959&lt;=$S$2+$T$2,"A",""))</f>
        <v/>
      </c>
      <c r="T1963">
        <f>IF(S1963="S",MATCH(1959,Firms!$W$5:$W$1004,0),IF(S1963="A",IFERROR(MATCH(1959-$S$2,'AFA Rates'!$R$5:$R$1004,0),""),""))</f>
        <v/>
      </c>
      <c r="U1963">
        <f>IF(S1963="S",T1963,IF(AND(S1963="A",T1963&lt;&gt;""),IFERROR(MATCH(INDEX('AFA Rates'!$A$5:$A$1004,T1963),Firms!$A$5:$A$1004,0),""),""))</f>
        <v/>
      </c>
    </row>
    <row r="1964">
      <c r="A1964" s="78">
        <f>IF($T1964="","",IF($S1964="S",IF(INDEX(Firms!$A$5:$A$1004,$T1964)="","",INDEX(Firms!$A$5:$A$1004,$T1964)),IF(INDEX('AFA Rates'!$A$5:$A$1004,$T1964)="","",INDEX('AFA Rates'!$A$5:$A$1004,$T1964))))</f>
        <v/>
      </c>
      <c r="B1964" s="79">
        <f>IF(OR($T1964="",$U1964=""),IF($T1964="","","Not on Firms tab"),INDEX(Firms!$B$5:$B$1004,$U1964)&amp;"")</f>
        <v/>
      </c>
      <c r="C1964" s="78">
        <f>IF($T1964="","",IF($S1964="S","Standard",INDEX('AFA Rates'!$B$5:$B$1004,$T1964)&amp;""))</f>
        <v/>
      </c>
      <c r="D1964" s="88">
        <f>IF($T1964="","",IF($S1964="S",IF(INDEX(Firms!$E$5:$E$1004,$T1964)="","",INDEX(Firms!$E$5:$E$1004,$T1964)),IF(INDEX('AFA Rates'!$C$5:$C$1004,$T1964)="","",INDEX('AFA Rates'!$C$5:$C$1004,$T1964))))</f>
        <v/>
      </c>
      <c r="E1964" s="88">
        <f>IF($T1964="","",IF($S1964="S",IF(""="","",""),IF(INDEX('AFA Rates'!$D$5:$D$1004,$T1964)="","",INDEX('AFA Rates'!$D$5:$D$1004,$T1964))))</f>
        <v/>
      </c>
      <c r="F1964" s="79">
        <f>IF($T1964="","",IF($S1964="S",IF(INDEX(Firms!$O$5:$O$1004,$T1964)="","",INDEX(Firms!$O$5:$O$1004,$T1964)),IF(INDEX('AFA Rates'!$O$5:$O$1004,$T1964)="","",INDEX('AFA Rates'!$O$5:$O$1004,$T1964))))</f>
        <v/>
      </c>
      <c r="G1964" s="50">
        <f>IF($T1964="","",IF($S1964="S",IF(INDEX(Firms!$F$5:$F$1004,$T1964)="","",INDEX(Firms!$F$5:$F$1004,$T1964)),IF(INDEX('AFA Rates'!$E$5:$E$1004,$T1964)="","",INDEX('AFA Rates'!$E$5:$E$1004,$T1964))))</f>
        <v/>
      </c>
      <c r="H1964" s="50">
        <f>IF($T1964="","",IF($S1964="S",IF(INDEX(Firms!$G$5:$G$1004,$T1964)="","",INDEX(Firms!$G$5:$G$1004,$T1964)),IF(INDEX('AFA Rates'!$F$5:$F$1004,$T1964)="","",INDEX('AFA Rates'!$F$5:$F$1004,$T1964))))</f>
        <v/>
      </c>
      <c r="I1964" s="50">
        <f>IF($T1964="","",IF($S1964="S",IF(INDEX(Firms!$H$5:$H$1004,$T1964)="","",INDEX(Firms!$H$5:$H$1004,$T1964)),IF(INDEX('AFA Rates'!$G$5:$G$1004,$T1964)="","",INDEX('AFA Rates'!$G$5:$G$1004,$T1964))))</f>
        <v/>
      </c>
      <c r="J1964" s="50">
        <f>IF($T1964="","",IF($S1964="S",IF(INDEX(Firms!$I$5:$I$1004,$T1964)="","",INDEX(Firms!$I$5:$I$1004,$T1964)),IF(INDEX('AFA Rates'!$H$5:$H$1004,$T1964)="","",INDEX('AFA Rates'!$H$5:$H$1004,$T1964))))</f>
        <v/>
      </c>
      <c r="K1964" s="50">
        <f>IF($T1964="","",IF($S1964="S",IF(INDEX(Firms!$J$5:$J$1004,$T1964)="","",INDEX(Firms!$J$5:$J$1004,$T1964)),IF(INDEX('AFA Rates'!$I$5:$I$1004,$T1964)="","",INDEX('AFA Rates'!$I$5:$I$1004,$T1964))))</f>
        <v/>
      </c>
      <c r="L1964" s="50">
        <f>IF($T1964="","",IF($S1964="S",IF(INDEX(Firms!$K$5:$K$1004,$T1964)="","",INDEX(Firms!$K$5:$K$1004,$T1964)),IF(INDEX('AFA Rates'!$J$5:$J$1004,$T1964)="","",INDEX('AFA Rates'!$J$5:$J$1004,$T1964))))</f>
        <v/>
      </c>
      <c r="M1964" s="50">
        <f>IF($T1964="","",IF($S1964="S",IF(INDEX(Firms!$L$5:$L$1004,$T1964)="","",INDEX(Firms!$L$5:$L$1004,$T1964)),IF(INDEX('AFA Rates'!$K$5:$K$1004,$T1964)="","",INDEX('AFA Rates'!$K$5:$K$1004,$T1964))))</f>
        <v/>
      </c>
      <c r="N1964" s="50">
        <f>IF($T1964="","",IF($S1964="S",IF(INDEX(Firms!$M$5:$M$1004,$T1964)="","",INDEX(Firms!$M$5:$M$1004,$T1964)),IF(INDEX('AFA Rates'!$L$5:$L$1004,$T1964)="","",INDEX('AFA Rates'!$L$5:$L$1004,$T1964))))</f>
        <v/>
      </c>
      <c r="O1964" s="78">
        <f>IF(OR($T1964="",$U1964=""),"",IF(INDEX(Firms!$C$5:$C$1004,$U1964)="","",INDEX(Firms!$C$5:$C$1004,$U1964)))</f>
        <v/>
      </c>
      <c r="P1964" s="79">
        <f>IF(OR($T1964="",$U1964=""),"",IF(INDEX(Firms!$N$5:$N$1004,$U1964)="","",INDEX(Firms!$N$5:$N$1004,$U1964)))</f>
        <v/>
      </c>
      <c r="Q1964" s="78">
        <f>IF($T1964="","",IF($S1964="S",IF(INDEX(Firms!$T$5:$T$1004,$T1964)="","",INDEX(Firms!$T$5:$T$1004,$T1964)),IF(INDEX('AFA Rates'!$M$5:$M$1004,$T1964)="","",INDEX('AFA Rates'!$M$5:$M$1004,$T1964))))</f>
        <v/>
      </c>
      <c r="S1964">
        <f>IF(1960&lt;=$S$2,"S",IF(1960&lt;=$S$2+$T$2,"A",""))</f>
        <v/>
      </c>
      <c r="T1964">
        <f>IF(S1964="S",MATCH(1960,Firms!$W$5:$W$1004,0),IF(S1964="A",IFERROR(MATCH(1960-$S$2,'AFA Rates'!$R$5:$R$1004,0),""),""))</f>
        <v/>
      </c>
      <c r="U1964">
        <f>IF(S1964="S",T1964,IF(AND(S1964="A",T1964&lt;&gt;""),IFERROR(MATCH(INDEX('AFA Rates'!$A$5:$A$1004,T1964),Firms!$A$5:$A$1004,0),""),""))</f>
        <v/>
      </c>
    </row>
    <row r="1965">
      <c r="A1965" s="78">
        <f>IF($T1965="","",IF($S1965="S",IF(INDEX(Firms!$A$5:$A$1004,$T1965)="","",INDEX(Firms!$A$5:$A$1004,$T1965)),IF(INDEX('AFA Rates'!$A$5:$A$1004,$T1965)="","",INDEX('AFA Rates'!$A$5:$A$1004,$T1965))))</f>
        <v/>
      </c>
      <c r="B1965" s="79">
        <f>IF(OR($T1965="",$U1965=""),IF($T1965="","","Not on Firms tab"),INDEX(Firms!$B$5:$B$1004,$U1965)&amp;"")</f>
        <v/>
      </c>
      <c r="C1965" s="78">
        <f>IF($T1965="","",IF($S1965="S","Standard",INDEX('AFA Rates'!$B$5:$B$1004,$T1965)&amp;""))</f>
        <v/>
      </c>
      <c r="D1965" s="88">
        <f>IF($T1965="","",IF($S1965="S",IF(INDEX(Firms!$E$5:$E$1004,$T1965)="","",INDEX(Firms!$E$5:$E$1004,$T1965)),IF(INDEX('AFA Rates'!$C$5:$C$1004,$T1965)="","",INDEX('AFA Rates'!$C$5:$C$1004,$T1965))))</f>
        <v/>
      </c>
      <c r="E1965" s="88">
        <f>IF($T1965="","",IF($S1965="S",IF(""="","",""),IF(INDEX('AFA Rates'!$D$5:$D$1004,$T1965)="","",INDEX('AFA Rates'!$D$5:$D$1004,$T1965))))</f>
        <v/>
      </c>
      <c r="F1965" s="79">
        <f>IF($T1965="","",IF($S1965="S",IF(INDEX(Firms!$O$5:$O$1004,$T1965)="","",INDEX(Firms!$O$5:$O$1004,$T1965)),IF(INDEX('AFA Rates'!$O$5:$O$1004,$T1965)="","",INDEX('AFA Rates'!$O$5:$O$1004,$T1965))))</f>
        <v/>
      </c>
      <c r="G1965" s="50">
        <f>IF($T1965="","",IF($S1965="S",IF(INDEX(Firms!$F$5:$F$1004,$T1965)="","",INDEX(Firms!$F$5:$F$1004,$T1965)),IF(INDEX('AFA Rates'!$E$5:$E$1004,$T1965)="","",INDEX('AFA Rates'!$E$5:$E$1004,$T1965))))</f>
        <v/>
      </c>
      <c r="H1965" s="50">
        <f>IF($T1965="","",IF($S1965="S",IF(INDEX(Firms!$G$5:$G$1004,$T1965)="","",INDEX(Firms!$G$5:$G$1004,$T1965)),IF(INDEX('AFA Rates'!$F$5:$F$1004,$T1965)="","",INDEX('AFA Rates'!$F$5:$F$1004,$T1965))))</f>
        <v/>
      </c>
      <c r="I1965" s="50">
        <f>IF($T1965="","",IF($S1965="S",IF(INDEX(Firms!$H$5:$H$1004,$T1965)="","",INDEX(Firms!$H$5:$H$1004,$T1965)),IF(INDEX('AFA Rates'!$G$5:$G$1004,$T1965)="","",INDEX('AFA Rates'!$G$5:$G$1004,$T1965))))</f>
        <v/>
      </c>
      <c r="J1965" s="50">
        <f>IF($T1965="","",IF($S1965="S",IF(INDEX(Firms!$I$5:$I$1004,$T1965)="","",INDEX(Firms!$I$5:$I$1004,$T1965)),IF(INDEX('AFA Rates'!$H$5:$H$1004,$T1965)="","",INDEX('AFA Rates'!$H$5:$H$1004,$T1965))))</f>
        <v/>
      </c>
      <c r="K1965" s="50">
        <f>IF($T1965="","",IF($S1965="S",IF(INDEX(Firms!$J$5:$J$1004,$T1965)="","",INDEX(Firms!$J$5:$J$1004,$T1965)),IF(INDEX('AFA Rates'!$I$5:$I$1004,$T1965)="","",INDEX('AFA Rates'!$I$5:$I$1004,$T1965))))</f>
        <v/>
      </c>
      <c r="L1965" s="50">
        <f>IF($T1965="","",IF($S1965="S",IF(INDEX(Firms!$K$5:$K$1004,$T1965)="","",INDEX(Firms!$K$5:$K$1004,$T1965)),IF(INDEX('AFA Rates'!$J$5:$J$1004,$T1965)="","",INDEX('AFA Rates'!$J$5:$J$1004,$T1965))))</f>
        <v/>
      </c>
      <c r="M1965" s="50">
        <f>IF($T1965="","",IF($S1965="S",IF(INDEX(Firms!$L$5:$L$1004,$T1965)="","",INDEX(Firms!$L$5:$L$1004,$T1965)),IF(INDEX('AFA Rates'!$K$5:$K$1004,$T1965)="","",INDEX('AFA Rates'!$K$5:$K$1004,$T1965))))</f>
        <v/>
      </c>
      <c r="N1965" s="50">
        <f>IF($T1965="","",IF($S1965="S",IF(INDEX(Firms!$M$5:$M$1004,$T1965)="","",INDEX(Firms!$M$5:$M$1004,$T1965)),IF(INDEX('AFA Rates'!$L$5:$L$1004,$T1965)="","",INDEX('AFA Rates'!$L$5:$L$1004,$T1965))))</f>
        <v/>
      </c>
      <c r="O1965" s="78">
        <f>IF(OR($T1965="",$U1965=""),"",IF(INDEX(Firms!$C$5:$C$1004,$U1965)="","",INDEX(Firms!$C$5:$C$1004,$U1965)))</f>
        <v/>
      </c>
      <c r="P1965" s="79">
        <f>IF(OR($T1965="",$U1965=""),"",IF(INDEX(Firms!$N$5:$N$1004,$U1965)="","",INDEX(Firms!$N$5:$N$1004,$U1965)))</f>
        <v/>
      </c>
      <c r="Q1965" s="78">
        <f>IF($T1965="","",IF($S1965="S",IF(INDEX(Firms!$T$5:$T$1004,$T1965)="","",INDEX(Firms!$T$5:$T$1004,$T1965)),IF(INDEX('AFA Rates'!$M$5:$M$1004,$T1965)="","",INDEX('AFA Rates'!$M$5:$M$1004,$T1965))))</f>
        <v/>
      </c>
      <c r="S1965">
        <f>IF(1961&lt;=$S$2,"S",IF(1961&lt;=$S$2+$T$2,"A",""))</f>
        <v/>
      </c>
      <c r="T1965">
        <f>IF(S1965="S",MATCH(1961,Firms!$W$5:$W$1004,0),IF(S1965="A",IFERROR(MATCH(1961-$S$2,'AFA Rates'!$R$5:$R$1004,0),""),""))</f>
        <v/>
      </c>
      <c r="U1965">
        <f>IF(S1965="S",T1965,IF(AND(S1965="A",T1965&lt;&gt;""),IFERROR(MATCH(INDEX('AFA Rates'!$A$5:$A$1004,T1965),Firms!$A$5:$A$1004,0),""),""))</f>
        <v/>
      </c>
    </row>
    <row r="1966">
      <c r="A1966" s="78">
        <f>IF($T1966="","",IF($S1966="S",IF(INDEX(Firms!$A$5:$A$1004,$T1966)="","",INDEX(Firms!$A$5:$A$1004,$T1966)),IF(INDEX('AFA Rates'!$A$5:$A$1004,$T1966)="","",INDEX('AFA Rates'!$A$5:$A$1004,$T1966))))</f>
        <v/>
      </c>
      <c r="B1966" s="79">
        <f>IF(OR($T1966="",$U1966=""),IF($T1966="","","Not on Firms tab"),INDEX(Firms!$B$5:$B$1004,$U1966)&amp;"")</f>
        <v/>
      </c>
      <c r="C1966" s="78">
        <f>IF($T1966="","",IF($S1966="S","Standard",INDEX('AFA Rates'!$B$5:$B$1004,$T1966)&amp;""))</f>
        <v/>
      </c>
      <c r="D1966" s="88">
        <f>IF($T1966="","",IF($S1966="S",IF(INDEX(Firms!$E$5:$E$1004,$T1966)="","",INDEX(Firms!$E$5:$E$1004,$T1966)),IF(INDEX('AFA Rates'!$C$5:$C$1004,$T1966)="","",INDEX('AFA Rates'!$C$5:$C$1004,$T1966))))</f>
        <v/>
      </c>
      <c r="E1966" s="88">
        <f>IF($T1966="","",IF($S1966="S",IF(""="","",""),IF(INDEX('AFA Rates'!$D$5:$D$1004,$T1966)="","",INDEX('AFA Rates'!$D$5:$D$1004,$T1966))))</f>
        <v/>
      </c>
      <c r="F1966" s="79">
        <f>IF($T1966="","",IF($S1966="S",IF(INDEX(Firms!$O$5:$O$1004,$T1966)="","",INDEX(Firms!$O$5:$O$1004,$T1966)),IF(INDEX('AFA Rates'!$O$5:$O$1004,$T1966)="","",INDEX('AFA Rates'!$O$5:$O$1004,$T1966))))</f>
        <v/>
      </c>
      <c r="G1966" s="50">
        <f>IF($T1966="","",IF($S1966="S",IF(INDEX(Firms!$F$5:$F$1004,$T1966)="","",INDEX(Firms!$F$5:$F$1004,$T1966)),IF(INDEX('AFA Rates'!$E$5:$E$1004,$T1966)="","",INDEX('AFA Rates'!$E$5:$E$1004,$T1966))))</f>
        <v/>
      </c>
      <c r="H1966" s="50">
        <f>IF($T1966="","",IF($S1966="S",IF(INDEX(Firms!$G$5:$G$1004,$T1966)="","",INDEX(Firms!$G$5:$G$1004,$T1966)),IF(INDEX('AFA Rates'!$F$5:$F$1004,$T1966)="","",INDEX('AFA Rates'!$F$5:$F$1004,$T1966))))</f>
        <v/>
      </c>
      <c r="I1966" s="50">
        <f>IF($T1966="","",IF($S1966="S",IF(INDEX(Firms!$H$5:$H$1004,$T1966)="","",INDEX(Firms!$H$5:$H$1004,$T1966)),IF(INDEX('AFA Rates'!$G$5:$G$1004,$T1966)="","",INDEX('AFA Rates'!$G$5:$G$1004,$T1966))))</f>
        <v/>
      </c>
      <c r="J1966" s="50">
        <f>IF($T1966="","",IF($S1966="S",IF(INDEX(Firms!$I$5:$I$1004,$T1966)="","",INDEX(Firms!$I$5:$I$1004,$T1966)),IF(INDEX('AFA Rates'!$H$5:$H$1004,$T1966)="","",INDEX('AFA Rates'!$H$5:$H$1004,$T1966))))</f>
        <v/>
      </c>
      <c r="K1966" s="50">
        <f>IF($T1966="","",IF($S1966="S",IF(INDEX(Firms!$J$5:$J$1004,$T1966)="","",INDEX(Firms!$J$5:$J$1004,$T1966)),IF(INDEX('AFA Rates'!$I$5:$I$1004,$T1966)="","",INDEX('AFA Rates'!$I$5:$I$1004,$T1966))))</f>
        <v/>
      </c>
      <c r="L1966" s="50">
        <f>IF($T1966="","",IF($S1966="S",IF(INDEX(Firms!$K$5:$K$1004,$T1966)="","",INDEX(Firms!$K$5:$K$1004,$T1966)),IF(INDEX('AFA Rates'!$J$5:$J$1004,$T1966)="","",INDEX('AFA Rates'!$J$5:$J$1004,$T1966))))</f>
        <v/>
      </c>
      <c r="M1966" s="50">
        <f>IF($T1966="","",IF($S1966="S",IF(INDEX(Firms!$L$5:$L$1004,$T1966)="","",INDEX(Firms!$L$5:$L$1004,$T1966)),IF(INDEX('AFA Rates'!$K$5:$K$1004,$T1966)="","",INDEX('AFA Rates'!$K$5:$K$1004,$T1966))))</f>
        <v/>
      </c>
      <c r="N1966" s="50">
        <f>IF($T1966="","",IF($S1966="S",IF(INDEX(Firms!$M$5:$M$1004,$T1966)="","",INDEX(Firms!$M$5:$M$1004,$T1966)),IF(INDEX('AFA Rates'!$L$5:$L$1004,$T1966)="","",INDEX('AFA Rates'!$L$5:$L$1004,$T1966))))</f>
        <v/>
      </c>
      <c r="O1966" s="78">
        <f>IF(OR($T1966="",$U1966=""),"",IF(INDEX(Firms!$C$5:$C$1004,$U1966)="","",INDEX(Firms!$C$5:$C$1004,$U1966)))</f>
        <v/>
      </c>
      <c r="P1966" s="79">
        <f>IF(OR($T1966="",$U1966=""),"",IF(INDEX(Firms!$N$5:$N$1004,$U1966)="","",INDEX(Firms!$N$5:$N$1004,$U1966)))</f>
        <v/>
      </c>
      <c r="Q1966" s="78">
        <f>IF($T1966="","",IF($S1966="S",IF(INDEX(Firms!$T$5:$T$1004,$T1966)="","",INDEX(Firms!$T$5:$T$1004,$T1966)),IF(INDEX('AFA Rates'!$M$5:$M$1004,$T1966)="","",INDEX('AFA Rates'!$M$5:$M$1004,$T1966))))</f>
        <v/>
      </c>
      <c r="S1966">
        <f>IF(1962&lt;=$S$2,"S",IF(1962&lt;=$S$2+$T$2,"A",""))</f>
        <v/>
      </c>
      <c r="T1966">
        <f>IF(S1966="S",MATCH(1962,Firms!$W$5:$W$1004,0),IF(S1966="A",IFERROR(MATCH(1962-$S$2,'AFA Rates'!$R$5:$R$1004,0),""),""))</f>
        <v/>
      </c>
      <c r="U1966">
        <f>IF(S1966="S",T1966,IF(AND(S1966="A",T1966&lt;&gt;""),IFERROR(MATCH(INDEX('AFA Rates'!$A$5:$A$1004,T1966),Firms!$A$5:$A$1004,0),""),""))</f>
        <v/>
      </c>
    </row>
    <row r="1967">
      <c r="A1967" s="78">
        <f>IF($T1967="","",IF($S1967="S",IF(INDEX(Firms!$A$5:$A$1004,$T1967)="","",INDEX(Firms!$A$5:$A$1004,$T1967)),IF(INDEX('AFA Rates'!$A$5:$A$1004,$T1967)="","",INDEX('AFA Rates'!$A$5:$A$1004,$T1967))))</f>
        <v/>
      </c>
      <c r="B1967" s="79">
        <f>IF(OR($T1967="",$U1967=""),IF($T1967="","","Not on Firms tab"),INDEX(Firms!$B$5:$B$1004,$U1967)&amp;"")</f>
        <v/>
      </c>
      <c r="C1967" s="78">
        <f>IF($T1967="","",IF($S1967="S","Standard",INDEX('AFA Rates'!$B$5:$B$1004,$T1967)&amp;""))</f>
        <v/>
      </c>
      <c r="D1967" s="88">
        <f>IF($T1967="","",IF($S1967="S",IF(INDEX(Firms!$E$5:$E$1004,$T1967)="","",INDEX(Firms!$E$5:$E$1004,$T1967)),IF(INDEX('AFA Rates'!$C$5:$C$1004,$T1967)="","",INDEX('AFA Rates'!$C$5:$C$1004,$T1967))))</f>
        <v/>
      </c>
      <c r="E1967" s="88">
        <f>IF($T1967="","",IF($S1967="S",IF(""="","",""),IF(INDEX('AFA Rates'!$D$5:$D$1004,$T1967)="","",INDEX('AFA Rates'!$D$5:$D$1004,$T1967))))</f>
        <v/>
      </c>
      <c r="F1967" s="79">
        <f>IF($T1967="","",IF($S1967="S",IF(INDEX(Firms!$O$5:$O$1004,$T1967)="","",INDEX(Firms!$O$5:$O$1004,$T1967)),IF(INDEX('AFA Rates'!$O$5:$O$1004,$T1967)="","",INDEX('AFA Rates'!$O$5:$O$1004,$T1967))))</f>
        <v/>
      </c>
      <c r="G1967" s="50">
        <f>IF($T1967="","",IF($S1967="S",IF(INDEX(Firms!$F$5:$F$1004,$T1967)="","",INDEX(Firms!$F$5:$F$1004,$T1967)),IF(INDEX('AFA Rates'!$E$5:$E$1004,$T1967)="","",INDEX('AFA Rates'!$E$5:$E$1004,$T1967))))</f>
        <v/>
      </c>
      <c r="H1967" s="50">
        <f>IF($T1967="","",IF($S1967="S",IF(INDEX(Firms!$G$5:$G$1004,$T1967)="","",INDEX(Firms!$G$5:$G$1004,$T1967)),IF(INDEX('AFA Rates'!$F$5:$F$1004,$T1967)="","",INDEX('AFA Rates'!$F$5:$F$1004,$T1967))))</f>
        <v/>
      </c>
      <c r="I1967" s="50">
        <f>IF($T1967="","",IF($S1967="S",IF(INDEX(Firms!$H$5:$H$1004,$T1967)="","",INDEX(Firms!$H$5:$H$1004,$T1967)),IF(INDEX('AFA Rates'!$G$5:$G$1004,$T1967)="","",INDEX('AFA Rates'!$G$5:$G$1004,$T1967))))</f>
        <v/>
      </c>
      <c r="J1967" s="50">
        <f>IF($T1967="","",IF($S1967="S",IF(INDEX(Firms!$I$5:$I$1004,$T1967)="","",INDEX(Firms!$I$5:$I$1004,$T1967)),IF(INDEX('AFA Rates'!$H$5:$H$1004,$T1967)="","",INDEX('AFA Rates'!$H$5:$H$1004,$T1967))))</f>
        <v/>
      </c>
      <c r="K1967" s="50">
        <f>IF($T1967="","",IF($S1967="S",IF(INDEX(Firms!$J$5:$J$1004,$T1967)="","",INDEX(Firms!$J$5:$J$1004,$T1967)),IF(INDEX('AFA Rates'!$I$5:$I$1004,$T1967)="","",INDEX('AFA Rates'!$I$5:$I$1004,$T1967))))</f>
        <v/>
      </c>
      <c r="L1967" s="50">
        <f>IF($T1967="","",IF($S1967="S",IF(INDEX(Firms!$K$5:$K$1004,$T1967)="","",INDEX(Firms!$K$5:$K$1004,$T1967)),IF(INDEX('AFA Rates'!$J$5:$J$1004,$T1967)="","",INDEX('AFA Rates'!$J$5:$J$1004,$T1967))))</f>
        <v/>
      </c>
      <c r="M1967" s="50">
        <f>IF($T1967="","",IF($S1967="S",IF(INDEX(Firms!$L$5:$L$1004,$T1967)="","",INDEX(Firms!$L$5:$L$1004,$T1967)),IF(INDEX('AFA Rates'!$K$5:$K$1004,$T1967)="","",INDEX('AFA Rates'!$K$5:$K$1004,$T1967))))</f>
        <v/>
      </c>
      <c r="N1967" s="50">
        <f>IF($T1967="","",IF($S1967="S",IF(INDEX(Firms!$M$5:$M$1004,$T1967)="","",INDEX(Firms!$M$5:$M$1004,$T1967)),IF(INDEX('AFA Rates'!$L$5:$L$1004,$T1967)="","",INDEX('AFA Rates'!$L$5:$L$1004,$T1967))))</f>
        <v/>
      </c>
      <c r="O1967" s="78">
        <f>IF(OR($T1967="",$U1967=""),"",IF(INDEX(Firms!$C$5:$C$1004,$U1967)="","",INDEX(Firms!$C$5:$C$1004,$U1967)))</f>
        <v/>
      </c>
      <c r="P1967" s="79">
        <f>IF(OR($T1967="",$U1967=""),"",IF(INDEX(Firms!$N$5:$N$1004,$U1967)="","",INDEX(Firms!$N$5:$N$1004,$U1967)))</f>
        <v/>
      </c>
      <c r="Q1967" s="78">
        <f>IF($T1967="","",IF($S1967="S",IF(INDEX(Firms!$T$5:$T$1004,$T1967)="","",INDEX(Firms!$T$5:$T$1004,$T1967)),IF(INDEX('AFA Rates'!$M$5:$M$1004,$T1967)="","",INDEX('AFA Rates'!$M$5:$M$1004,$T1967))))</f>
        <v/>
      </c>
      <c r="S1967">
        <f>IF(1963&lt;=$S$2,"S",IF(1963&lt;=$S$2+$T$2,"A",""))</f>
        <v/>
      </c>
      <c r="T1967">
        <f>IF(S1967="S",MATCH(1963,Firms!$W$5:$W$1004,0),IF(S1967="A",IFERROR(MATCH(1963-$S$2,'AFA Rates'!$R$5:$R$1004,0),""),""))</f>
        <v/>
      </c>
      <c r="U1967">
        <f>IF(S1967="S",T1967,IF(AND(S1967="A",T1967&lt;&gt;""),IFERROR(MATCH(INDEX('AFA Rates'!$A$5:$A$1004,T1967),Firms!$A$5:$A$1004,0),""),""))</f>
        <v/>
      </c>
    </row>
    <row r="1968">
      <c r="A1968" s="78">
        <f>IF($T1968="","",IF($S1968="S",IF(INDEX(Firms!$A$5:$A$1004,$T1968)="","",INDEX(Firms!$A$5:$A$1004,$T1968)),IF(INDEX('AFA Rates'!$A$5:$A$1004,$T1968)="","",INDEX('AFA Rates'!$A$5:$A$1004,$T1968))))</f>
        <v/>
      </c>
      <c r="B1968" s="79">
        <f>IF(OR($T1968="",$U1968=""),IF($T1968="","","Not on Firms tab"),INDEX(Firms!$B$5:$B$1004,$U1968)&amp;"")</f>
        <v/>
      </c>
      <c r="C1968" s="78">
        <f>IF($T1968="","",IF($S1968="S","Standard",INDEX('AFA Rates'!$B$5:$B$1004,$T1968)&amp;""))</f>
        <v/>
      </c>
      <c r="D1968" s="88">
        <f>IF($T1968="","",IF($S1968="S",IF(INDEX(Firms!$E$5:$E$1004,$T1968)="","",INDEX(Firms!$E$5:$E$1004,$T1968)),IF(INDEX('AFA Rates'!$C$5:$C$1004,$T1968)="","",INDEX('AFA Rates'!$C$5:$C$1004,$T1968))))</f>
        <v/>
      </c>
      <c r="E1968" s="88">
        <f>IF($T1968="","",IF($S1968="S",IF(""="","",""),IF(INDEX('AFA Rates'!$D$5:$D$1004,$T1968)="","",INDEX('AFA Rates'!$D$5:$D$1004,$T1968))))</f>
        <v/>
      </c>
      <c r="F1968" s="79">
        <f>IF($T1968="","",IF($S1968="S",IF(INDEX(Firms!$O$5:$O$1004,$T1968)="","",INDEX(Firms!$O$5:$O$1004,$T1968)),IF(INDEX('AFA Rates'!$O$5:$O$1004,$T1968)="","",INDEX('AFA Rates'!$O$5:$O$1004,$T1968))))</f>
        <v/>
      </c>
      <c r="G1968" s="50">
        <f>IF($T1968="","",IF($S1968="S",IF(INDEX(Firms!$F$5:$F$1004,$T1968)="","",INDEX(Firms!$F$5:$F$1004,$T1968)),IF(INDEX('AFA Rates'!$E$5:$E$1004,$T1968)="","",INDEX('AFA Rates'!$E$5:$E$1004,$T1968))))</f>
        <v/>
      </c>
      <c r="H1968" s="50">
        <f>IF($T1968="","",IF($S1968="S",IF(INDEX(Firms!$G$5:$G$1004,$T1968)="","",INDEX(Firms!$G$5:$G$1004,$T1968)),IF(INDEX('AFA Rates'!$F$5:$F$1004,$T1968)="","",INDEX('AFA Rates'!$F$5:$F$1004,$T1968))))</f>
        <v/>
      </c>
      <c r="I1968" s="50">
        <f>IF($T1968="","",IF($S1968="S",IF(INDEX(Firms!$H$5:$H$1004,$T1968)="","",INDEX(Firms!$H$5:$H$1004,$T1968)),IF(INDEX('AFA Rates'!$G$5:$G$1004,$T1968)="","",INDEX('AFA Rates'!$G$5:$G$1004,$T1968))))</f>
        <v/>
      </c>
      <c r="J1968" s="50">
        <f>IF($T1968="","",IF($S1968="S",IF(INDEX(Firms!$I$5:$I$1004,$T1968)="","",INDEX(Firms!$I$5:$I$1004,$T1968)),IF(INDEX('AFA Rates'!$H$5:$H$1004,$T1968)="","",INDEX('AFA Rates'!$H$5:$H$1004,$T1968))))</f>
        <v/>
      </c>
      <c r="K1968" s="50">
        <f>IF($T1968="","",IF($S1968="S",IF(INDEX(Firms!$J$5:$J$1004,$T1968)="","",INDEX(Firms!$J$5:$J$1004,$T1968)),IF(INDEX('AFA Rates'!$I$5:$I$1004,$T1968)="","",INDEX('AFA Rates'!$I$5:$I$1004,$T1968))))</f>
        <v/>
      </c>
      <c r="L1968" s="50">
        <f>IF($T1968="","",IF($S1968="S",IF(INDEX(Firms!$K$5:$K$1004,$T1968)="","",INDEX(Firms!$K$5:$K$1004,$T1968)),IF(INDEX('AFA Rates'!$J$5:$J$1004,$T1968)="","",INDEX('AFA Rates'!$J$5:$J$1004,$T1968))))</f>
        <v/>
      </c>
      <c r="M1968" s="50">
        <f>IF($T1968="","",IF($S1968="S",IF(INDEX(Firms!$L$5:$L$1004,$T1968)="","",INDEX(Firms!$L$5:$L$1004,$T1968)),IF(INDEX('AFA Rates'!$K$5:$K$1004,$T1968)="","",INDEX('AFA Rates'!$K$5:$K$1004,$T1968))))</f>
        <v/>
      </c>
      <c r="N1968" s="50">
        <f>IF($T1968="","",IF($S1968="S",IF(INDEX(Firms!$M$5:$M$1004,$T1968)="","",INDEX(Firms!$M$5:$M$1004,$T1968)),IF(INDEX('AFA Rates'!$L$5:$L$1004,$T1968)="","",INDEX('AFA Rates'!$L$5:$L$1004,$T1968))))</f>
        <v/>
      </c>
      <c r="O1968" s="78">
        <f>IF(OR($T1968="",$U1968=""),"",IF(INDEX(Firms!$C$5:$C$1004,$U1968)="","",INDEX(Firms!$C$5:$C$1004,$U1968)))</f>
        <v/>
      </c>
      <c r="P1968" s="79">
        <f>IF(OR($T1968="",$U1968=""),"",IF(INDEX(Firms!$N$5:$N$1004,$U1968)="","",INDEX(Firms!$N$5:$N$1004,$U1968)))</f>
        <v/>
      </c>
      <c r="Q1968" s="78">
        <f>IF($T1968="","",IF($S1968="S",IF(INDEX(Firms!$T$5:$T$1004,$T1968)="","",INDEX(Firms!$T$5:$T$1004,$T1968)),IF(INDEX('AFA Rates'!$M$5:$M$1004,$T1968)="","",INDEX('AFA Rates'!$M$5:$M$1004,$T1968))))</f>
        <v/>
      </c>
      <c r="S1968">
        <f>IF(1964&lt;=$S$2,"S",IF(1964&lt;=$S$2+$T$2,"A",""))</f>
        <v/>
      </c>
      <c r="T1968">
        <f>IF(S1968="S",MATCH(1964,Firms!$W$5:$W$1004,0),IF(S1968="A",IFERROR(MATCH(1964-$S$2,'AFA Rates'!$R$5:$R$1004,0),""),""))</f>
        <v/>
      </c>
      <c r="U1968">
        <f>IF(S1968="S",T1968,IF(AND(S1968="A",T1968&lt;&gt;""),IFERROR(MATCH(INDEX('AFA Rates'!$A$5:$A$1004,T1968),Firms!$A$5:$A$1004,0),""),""))</f>
        <v/>
      </c>
    </row>
    <row r="1969">
      <c r="A1969" s="78">
        <f>IF($T1969="","",IF($S1969="S",IF(INDEX(Firms!$A$5:$A$1004,$T1969)="","",INDEX(Firms!$A$5:$A$1004,$T1969)),IF(INDEX('AFA Rates'!$A$5:$A$1004,$T1969)="","",INDEX('AFA Rates'!$A$5:$A$1004,$T1969))))</f>
        <v/>
      </c>
      <c r="B1969" s="79">
        <f>IF(OR($T1969="",$U1969=""),IF($T1969="","","Not on Firms tab"),INDEX(Firms!$B$5:$B$1004,$U1969)&amp;"")</f>
        <v/>
      </c>
      <c r="C1969" s="78">
        <f>IF($T1969="","",IF($S1969="S","Standard",INDEX('AFA Rates'!$B$5:$B$1004,$T1969)&amp;""))</f>
        <v/>
      </c>
      <c r="D1969" s="88">
        <f>IF($T1969="","",IF($S1969="S",IF(INDEX(Firms!$E$5:$E$1004,$T1969)="","",INDEX(Firms!$E$5:$E$1004,$T1969)),IF(INDEX('AFA Rates'!$C$5:$C$1004,$T1969)="","",INDEX('AFA Rates'!$C$5:$C$1004,$T1969))))</f>
        <v/>
      </c>
      <c r="E1969" s="88">
        <f>IF($T1969="","",IF($S1969="S",IF(""="","",""),IF(INDEX('AFA Rates'!$D$5:$D$1004,$T1969)="","",INDEX('AFA Rates'!$D$5:$D$1004,$T1969))))</f>
        <v/>
      </c>
      <c r="F1969" s="79">
        <f>IF($T1969="","",IF($S1969="S",IF(INDEX(Firms!$O$5:$O$1004,$T1969)="","",INDEX(Firms!$O$5:$O$1004,$T1969)),IF(INDEX('AFA Rates'!$O$5:$O$1004,$T1969)="","",INDEX('AFA Rates'!$O$5:$O$1004,$T1969))))</f>
        <v/>
      </c>
      <c r="G1969" s="50">
        <f>IF($T1969="","",IF($S1969="S",IF(INDEX(Firms!$F$5:$F$1004,$T1969)="","",INDEX(Firms!$F$5:$F$1004,$T1969)),IF(INDEX('AFA Rates'!$E$5:$E$1004,$T1969)="","",INDEX('AFA Rates'!$E$5:$E$1004,$T1969))))</f>
        <v/>
      </c>
      <c r="H1969" s="50">
        <f>IF($T1969="","",IF($S1969="S",IF(INDEX(Firms!$G$5:$G$1004,$T1969)="","",INDEX(Firms!$G$5:$G$1004,$T1969)),IF(INDEX('AFA Rates'!$F$5:$F$1004,$T1969)="","",INDEX('AFA Rates'!$F$5:$F$1004,$T1969))))</f>
        <v/>
      </c>
      <c r="I1969" s="50">
        <f>IF($T1969="","",IF($S1969="S",IF(INDEX(Firms!$H$5:$H$1004,$T1969)="","",INDEX(Firms!$H$5:$H$1004,$T1969)),IF(INDEX('AFA Rates'!$G$5:$G$1004,$T1969)="","",INDEX('AFA Rates'!$G$5:$G$1004,$T1969))))</f>
        <v/>
      </c>
      <c r="J1969" s="50">
        <f>IF($T1969="","",IF($S1969="S",IF(INDEX(Firms!$I$5:$I$1004,$T1969)="","",INDEX(Firms!$I$5:$I$1004,$T1969)),IF(INDEX('AFA Rates'!$H$5:$H$1004,$T1969)="","",INDEX('AFA Rates'!$H$5:$H$1004,$T1969))))</f>
        <v/>
      </c>
      <c r="K1969" s="50">
        <f>IF($T1969="","",IF($S1969="S",IF(INDEX(Firms!$J$5:$J$1004,$T1969)="","",INDEX(Firms!$J$5:$J$1004,$T1969)),IF(INDEX('AFA Rates'!$I$5:$I$1004,$T1969)="","",INDEX('AFA Rates'!$I$5:$I$1004,$T1969))))</f>
        <v/>
      </c>
      <c r="L1969" s="50">
        <f>IF($T1969="","",IF($S1969="S",IF(INDEX(Firms!$K$5:$K$1004,$T1969)="","",INDEX(Firms!$K$5:$K$1004,$T1969)),IF(INDEX('AFA Rates'!$J$5:$J$1004,$T1969)="","",INDEX('AFA Rates'!$J$5:$J$1004,$T1969))))</f>
        <v/>
      </c>
      <c r="M1969" s="50">
        <f>IF($T1969="","",IF($S1969="S",IF(INDEX(Firms!$L$5:$L$1004,$T1969)="","",INDEX(Firms!$L$5:$L$1004,$T1969)),IF(INDEX('AFA Rates'!$K$5:$K$1004,$T1969)="","",INDEX('AFA Rates'!$K$5:$K$1004,$T1969))))</f>
        <v/>
      </c>
      <c r="N1969" s="50">
        <f>IF($T1969="","",IF($S1969="S",IF(INDEX(Firms!$M$5:$M$1004,$T1969)="","",INDEX(Firms!$M$5:$M$1004,$T1969)),IF(INDEX('AFA Rates'!$L$5:$L$1004,$T1969)="","",INDEX('AFA Rates'!$L$5:$L$1004,$T1969))))</f>
        <v/>
      </c>
      <c r="O1969" s="78">
        <f>IF(OR($T1969="",$U1969=""),"",IF(INDEX(Firms!$C$5:$C$1004,$U1969)="","",INDEX(Firms!$C$5:$C$1004,$U1969)))</f>
        <v/>
      </c>
      <c r="P1969" s="79">
        <f>IF(OR($T1969="",$U1969=""),"",IF(INDEX(Firms!$N$5:$N$1004,$U1969)="","",INDEX(Firms!$N$5:$N$1004,$U1969)))</f>
        <v/>
      </c>
      <c r="Q1969" s="78">
        <f>IF($T1969="","",IF($S1969="S",IF(INDEX(Firms!$T$5:$T$1004,$T1969)="","",INDEX(Firms!$T$5:$T$1004,$T1969)),IF(INDEX('AFA Rates'!$M$5:$M$1004,$T1969)="","",INDEX('AFA Rates'!$M$5:$M$1004,$T1969))))</f>
        <v/>
      </c>
      <c r="S1969">
        <f>IF(1965&lt;=$S$2,"S",IF(1965&lt;=$S$2+$T$2,"A",""))</f>
        <v/>
      </c>
      <c r="T1969">
        <f>IF(S1969="S",MATCH(1965,Firms!$W$5:$W$1004,0),IF(S1969="A",IFERROR(MATCH(1965-$S$2,'AFA Rates'!$R$5:$R$1004,0),""),""))</f>
        <v/>
      </c>
      <c r="U1969">
        <f>IF(S1969="S",T1969,IF(AND(S1969="A",T1969&lt;&gt;""),IFERROR(MATCH(INDEX('AFA Rates'!$A$5:$A$1004,T1969),Firms!$A$5:$A$1004,0),""),""))</f>
        <v/>
      </c>
    </row>
    <row r="1970">
      <c r="A1970" s="78">
        <f>IF($T1970="","",IF($S1970="S",IF(INDEX(Firms!$A$5:$A$1004,$T1970)="","",INDEX(Firms!$A$5:$A$1004,$T1970)),IF(INDEX('AFA Rates'!$A$5:$A$1004,$T1970)="","",INDEX('AFA Rates'!$A$5:$A$1004,$T1970))))</f>
        <v/>
      </c>
      <c r="B1970" s="79">
        <f>IF(OR($T1970="",$U1970=""),IF($T1970="","","Not on Firms tab"),INDEX(Firms!$B$5:$B$1004,$U1970)&amp;"")</f>
        <v/>
      </c>
      <c r="C1970" s="78">
        <f>IF($T1970="","",IF($S1970="S","Standard",INDEX('AFA Rates'!$B$5:$B$1004,$T1970)&amp;""))</f>
        <v/>
      </c>
      <c r="D1970" s="88">
        <f>IF($T1970="","",IF($S1970="S",IF(INDEX(Firms!$E$5:$E$1004,$T1970)="","",INDEX(Firms!$E$5:$E$1004,$T1970)),IF(INDEX('AFA Rates'!$C$5:$C$1004,$T1970)="","",INDEX('AFA Rates'!$C$5:$C$1004,$T1970))))</f>
        <v/>
      </c>
      <c r="E1970" s="88">
        <f>IF($T1970="","",IF($S1970="S",IF(""="","",""),IF(INDEX('AFA Rates'!$D$5:$D$1004,$T1970)="","",INDEX('AFA Rates'!$D$5:$D$1004,$T1970))))</f>
        <v/>
      </c>
      <c r="F1970" s="79">
        <f>IF($T1970="","",IF($S1970="S",IF(INDEX(Firms!$O$5:$O$1004,$T1970)="","",INDEX(Firms!$O$5:$O$1004,$T1970)),IF(INDEX('AFA Rates'!$O$5:$O$1004,$T1970)="","",INDEX('AFA Rates'!$O$5:$O$1004,$T1970))))</f>
        <v/>
      </c>
      <c r="G1970" s="50">
        <f>IF($T1970="","",IF($S1970="S",IF(INDEX(Firms!$F$5:$F$1004,$T1970)="","",INDEX(Firms!$F$5:$F$1004,$T1970)),IF(INDEX('AFA Rates'!$E$5:$E$1004,$T1970)="","",INDEX('AFA Rates'!$E$5:$E$1004,$T1970))))</f>
        <v/>
      </c>
      <c r="H1970" s="50">
        <f>IF($T1970="","",IF($S1970="S",IF(INDEX(Firms!$G$5:$G$1004,$T1970)="","",INDEX(Firms!$G$5:$G$1004,$T1970)),IF(INDEX('AFA Rates'!$F$5:$F$1004,$T1970)="","",INDEX('AFA Rates'!$F$5:$F$1004,$T1970))))</f>
        <v/>
      </c>
      <c r="I1970" s="50">
        <f>IF($T1970="","",IF($S1970="S",IF(INDEX(Firms!$H$5:$H$1004,$T1970)="","",INDEX(Firms!$H$5:$H$1004,$T1970)),IF(INDEX('AFA Rates'!$G$5:$G$1004,$T1970)="","",INDEX('AFA Rates'!$G$5:$G$1004,$T1970))))</f>
        <v/>
      </c>
      <c r="J1970" s="50">
        <f>IF($T1970="","",IF($S1970="S",IF(INDEX(Firms!$I$5:$I$1004,$T1970)="","",INDEX(Firms!$I$5:$I$1004,$T1970)),IF(INDEX('AFA Rates'!$H$5:$H$1004,$T1970)="","",INDEX('AFA Rates'!$H$5:$H$1004,$T1970))))</f>
        <v/>
      </c>
      <c r="K1970" s="50">
        <f>IF($T1970="","",IF($S1970="S",IF(INDEX(Firms!$J$5:$J$1004,$T1970)="","",INDEX(Firms!$J$5:$J$1004,$T1970)),IF(INDEX('AFA Rates'!$I$5:$I$1004,$T1970)="","",INDEX('AFA Rates'!$I$5:$I$1004,$T1970))))</f>
        <v/>
      </c>
      <c r="L1970" s="50">
        <f>IF($T1970="","",IF($S1970="S",IF(INDEX(Firms!$K$5:$K$1004,$T1970)="","",INDEX(Firms!$K$5:$K$1004,$T1970)),IF(INDEX('AFA Rates'!$J$5:$J$1004,$T1970)="","",INDEX('AFA Rates'!$J$5:$J$1004,$T1970))))</f>
        <v/>
      </c>
      <c r="M1970" s="50">
        <f>IF($T1970="","",IF($S1970="S",IF(INDEX(Firms!$L$5:$L$1004,$T1970)="","",INDEX(Firms!$L$5:$L$1004,$T1970)),IF(INDEX('AFA Rates'!$K$5:$K$1004,$T1970)="","",INDEX('AFA Rates'!$K$5:$K$1004,$T1970))))</f>
        <v/>
      </c>
      <c r="N1970" s="50">
        <f>IF($T1970="","",IF($S1970="S",IF(INDEX(Firms!$M$5:$M$1004,$T1970)="","",INDEX(Firms!$M$5:$M$1004,$T1970)),IF(INDEX('AFA Rates'!$L$5:$L$1004,$T1970)="","",INDEX('AFA Rates'!$L$5:$L$1004,$T1970))))</f>
        <v/>
      </c>
      <c r="O1970" s="78">
        <f>IF(OR($T1970="",$U1970=""),"",IF(INDEX(Firms!$C$5:$C$1004,$U1970)="","",INDEX(Firms!$C$5:$C$1004,$U1970)))</f>
        <v/>
      </c>
      <c r="P1970" s="79">
        <f>IF(OR($T1970="",$U1970=""),"",IF(INDEX(Firms!$N$5:$N$1004,$U1970)="","",INDEX(Firms!$N$5:$N$1004,$U1970)))</f>
        <v/>
      </c>
      <c r="Q1970" s="78">
        <f>IF($T1970="","",IF($S1970="S",IF(INDEX(Firms!$T$5:$T$1004,$T1970)="","",INDEX(Firms!$T$5:$T$1004,$T1970)),IF(INDEX('AFA Rates'!$M$5:$M$1004,$T1970)="","",INDEX('AFA Rates'!$M$5:$M$1004,$T1970))))</f>
        <v/>
      </c>
      <c r="S1970">
        <f>IF(1966&lt;=$S$2,"S",IF(1966&lt;=$S$2+$T$2,"A",""))</f>
        <v/>
      </c>
      <c r="T1970">
        <f>IF(S1970="S",MATCH(1966,Firms!$W$5:$W$1004,0),IF(S1970="A",IFERROR(MATCH(1966-$S$2,'AFA Rates'!$R$5:$R$1004,0),""),""))</f>
        <v/>
      </c>
      <c r="U1970">
        <f>IF(S1970="S",T1970,IF(AND(S1970="A",T1970&lt;&gt;""),IFERROR(MATCH(INDEX('AFA Rates'!$A$5:$A$1004,T1970),Firms!$A$5:$A$1004,0),""),""))</f>
        <v/>
      </c>
    </row>
    <row r="1971">
      <c r="A1971" s="78">
        <f>IF($T1971="","",IF($S1971="S",IF(INDEX(Firms!$A$5:$A$1004,$T1971)="","",INDEX(Firms!$A$5:$A$1004,$T1971)),IF(INDEX('AFA Rates'!$A$5:$A$1004,$T1971)="","",INDEX('AFA Rates'!$A$5:$A$1004,$T1971))))</f>
        <v/>
      </c>
      <c r="B1971" s="79">
        <f>IF(OR($T1971="",$U1971=""),IF($T1971="","","Not on Firms tab"),INDEX(Firms!$B$5:$B$1004,$U1971)&amp;"")</f>
        <v/>
      </c>
      <c r="C1971" s="78">
        <f>IF($T1971="","",IF($S1971="S","Standard",INDEX('AFA Rates'!$B$5:$B$1004,$T1971)&amp;""))</f>
        <v/>
      </c>
      <c r="D1971" s="88">
        <f>IF($T1971="","",IF($S1971="S",IF(INDEX(Firms!$E$5:$E$1004,$T1971)="","",INDEX(Firms!$E$5:$E$1004,$T1971)),IF(INDEX('AFA Rates'!$C$5:$C$1004,$T1971)="","",INDEX('AFA Rates'!$C$5:$C$1004,$T1971))))</f>
        <v/>
      </c>
      <c r="E1971" s="88">
        <f>IF($T1971="","",IF($S1971="S",IF(""="","",""),IF(INDEX('AFA Rates'!$D$5:$D$1004,$T1971)="","",INDEX('AFA Rates'!$D$5:$D$1004,$T1971))))</f>
        <v/>
      </c>
      <c r="F1971" s="79">
        <f>IF($T1971="","",IF($S1971="S",IF(INDEX(Firms!$O$5:$O$1004,$T1971)="","",INDEX(Firms!$O$5:$O$1004,$T1971)),IF(INDEX('AFA Rates'!$O$5:$O$1004,$T1971)="","",INDEX('AFA Rates'!$O$5:$O$1004,$T1971))))</f>
        <v/>
      </c>
      <c r="G1971" s="50">
        <f>IF($T1971="","",IF($S1971="S",IF(INDEX(Firms!$F$5:$F$1004,$T1971)="","",INDEX(Firms!$F$5:$F$1004,$T1971)),IF(INDEX('AFA Rates'!$E$5:$E$1004,$T1971)="","",INDEX('AFA Rates'!$E$5:$E$1004,$T1971))))</f>
        <v/>
      </c>
      <c r="H1971" s="50">
        <f>IF($T1971="","",IF($S1971="S",IF(INDEX(Firms!$G$5:$G$1004,$T1971)="","",INDEX(Firms!$G$5:$G$1004,$T1971)),IF(INDEX('AFA Rates'!$F$5:$F$1004,$T1971)="","",INDEX('AFA Rates'!$F$5:$F$1004,$T1971))))</f>
        <v/>
      </c>
      <c r="I1971" s="50">
        <f>IF($T1971="","",IF($S1971="S",IF(INDEX(Firms!$H$5:$H$1004,$T1971)="","",INDEX(Firms!$H$5:$H$1004,$T1971)),IF(INDEX('AFA Rates'!$G$5:$G$1004,$T1971)="","",INDEX('AFA Rates'!$G$5:$G$1004,$T1971))))</f>
        <v/>
      </c>
      <c r="J1971" s="50">
        <f>IF($T1971="","",IF($S1971="S",IF(INDEX(Firms!$I$5:$I$1004,$T1971)="","",INDEX(Firms!$I$5:$I$1004,$T1971)),IF(INDEX('AFA Rates'!$H$5:$H$1004,$T1971)="","",INDEX('AFA Rates'!$H$5:$H$1004,$T1971))))</f>
        <v/>
      </c>
      <c r="K1971" s="50">
        <f>IF($T1971="","",IF($S1971="S",IF(INDEX(Firms!$J$5:$J$1004,$T1971)="","",INDEX(Firms!$J$5:$J$1004,$T1971)),IF(INDEX('AFA Rates'!$I$5:$I$1004,$T1971)="","",INDEX('AFA Rates'!$I$5:$I$1004,$T1971))))</f>
        <v/>
      </c>
      <c r="L1971" s="50">
        <f>IF($T1971="","",IF($S1971="S",IF(INDEX(Firms!$K$5:$K$1004,$T1971)="","",INDEX(Firms!$K$5:$K$1004,$T1971)),IF(INDEX('AFA Rates'!$J$5:$J$1004,$T1971)="","",INDEX('AFA Rates'!$J$5:$J$1004,$T1971))))</f>
        <v/>
      </c>
      <c r="M1971" s="50">
        <f>IF($T1971="","",IF($S1971="S",IF(INDEX(Firms!$L$5:$L$1004,$T1971)="","",INDEX(Firms!$L$5:$L$1004,$T1971)),IF(INDEX('AFA Rates'!$K$5:$K$1004,$T1971)="","",INDEX('AFA Rates'!$K$5:$K$1004,$T1971))))</f>
        <v/>
      </c>
      <c r="N1971" s="50">
        <f>IF($T1971="","",IF($S1971="S",IF(INDEX(Firms!$M$5:$M$1004,$T1971)="","",INDEX(Firms!$M$5:$M$1004,$T1971)),IF(INDEX('AFA Rates'!$L$5:$L$1004,$T1971)="","",INDEX('AFA Rates'!$L$5:$L$1004,$T1971))))</f>
        <v/>
      </c>
      <c r="O1971" s="78">
        <f>IF(OR($T1971="",$U1971=""),"",IF(INDEX(Firms!$C$5:$C$1004,$U1971)="","",INDEX(Firms!$C$5:$C$1004,$U1971)))</f>
        <v/>
      </c>
      <c r="P1971" s="79">
        <f>IF(OR($T1971="",$U1971=""),"",IF(INDEX(Firms!$N$5:$N$1004,$U1971)="","",INDEX(Firms!$N$5:$N$1004,$U1971)))</f>
        <v/>
      </c>
      <c r="Q1971" s="78">
        <f>IF($T1971="","",IF($S1971="S",IF(INDEX(Firms!$T$5:$T$1004,$T1971)="","",INDEX(Firms!$T$5:$T$1004,$T1971)),IF(INDEX('AFA Rates'!$M$5:$M$1004,$T1971)="","",INDEX('AFA Rates'!$M$5:$M$1004,$T1971))))</f>
        <v/>
      </c>
      <c r="S1971">
        <f>IF(1967&lt;=$S$2,"S",IF(1967&lt;=$S$2+$T$2,"A",""))</f>
        <v/>
      </c>
      <c r="T1971">
        <f>IF(S1971="S",MATCH(1967,Firms!$W$5:$W$1004,0),IF(S1971="A",IFERROR(MATCH(1967-$S$2,'AFA Rates'!$R$5:$R$1004,0),""),""))</f>
        <v/>
      </c>
      <c r="U1971">
        <f>IF(S1971="S",T1971,IF(AND(S1971="A",T1971&lt;&gt;""),IFERROR(MATCH(INDEX('AFA Rates'!$A$5:$A$1004,T1971),Firms!$A$5:$A$1004,0),""),""))</f>
        <v/>
      </c>
    </row>
    <row r="1972">
      <c r="A1972" s="78">
        <f>IF($T1972="","",IF($S1972="S",IF(INDEX(Firms!$A$5:$A$1004,$T1972)="","",INDEX(Firms!$A$5:$A$1004,$T1972)),IF(INDEX('AFA Rates'!$A$5:$A$1004,$T1972)="","",INDEX('AFA Rates'!$A$5:$A$1004,$T1972))))</f>
        <v/>
      </c>
      <c r="B1972" s="79">
        <f>IF(OR($T1972="",$U1972=""),IF($T1972="","","Not on Firms tab"),INDEX(Firms!$B$5:$B$1004,$U1972)&amp;"")</f>
        <v/>
      </c>
      <c r="C1972" s="78">
        <f>IF($T1972="","",IF($S1972="S","Standard",INDEX('AFA Rates'!$B$5:$B$1004,$T1972)&amp;""))</f>
        <v/>
      </c>
      <c r="D1972" s="88">
        <f>IF($T1972="","",IF($S1972="S",IF(INDEX(Firms!$E$5:$E$1004,$T1972)="","",INDEX(Firms!$E$5:$E$1004,$T1972)),IF(INDEX('AFA Rates'!$C$5:$C$1004,$T1972)="","",INDEX('AFA Rates'!$C$5:$C$1004,$T1972))))</f>
        <v/>
      </c>
      <c r="E1972" s="88">
        <f>IF($T1972="","",IF($S1972="S",IF(""="","",""),IF(INDEX('AFA Rates'!$D$5:$D$1004,$T1972)="","",INDEX('AFA Rates'!$D$5:$D$1004,$T1972))))</f>
        <v/>
      </c>
      <c r="F1972" s="79">
        <f>IF($T1972="","",IF($S1972="S",IF(INDEX(Firms!$O$5:$O$1004,$T1972)="","",INDEX(Firms!$O$5:$O$1004,$T1972)),IF(INDEX('AFA Rates'!$O$5:$O$1004,$T1972)="","",INDEX('AFA Rates'!$O$5:$O$1004,$T1972))))</f>
        <v/>
      </c>
      <c r="G1972" s="50">
        <f>IF($T1972="","",IF($S1972="S",IF(INDEX(Firms!$F$5:$F$1004,$T1972)="","",INDEX(Firms!$F$5:$F$1004,$T1972)),IF(INDEX('AFA Rates'!$E$5:$E$1004,$T1972)="","",INDEX('AFA Rates'!$E$5:$E$1004,$T1972))))</f>
        <v/>
      </c>
      <c r="H1972" s="50">
        <f>IF($T1972="","",IF($S1972="S",IF(INDEX(Firms!$G$5:$G$1004,$T1972)="","",INDEX(Firms!$G$5:$G$1004,$T1972)),IF(INDEX('AFA Rates'!$F$5:$F$1004,$T1972)="","",INDEX('AFA Rates'!$F$5:$F$1004,$T1972))))</f>
        <v/>
      </c>
      <c r="I1972" s="50">
        <f>IF($T1972="","",IF($S1972="S",IF(INDEX(Firms!$H$5:$H$1004,$T1972)="","",INDEX(Firms!$H$5:$H$1004,$T1972)),IF(INDEX('AFA Rates'!$G$5:$G$1004,$T1972)="","",INDEX('AFA Rates'!$G$5:$G$1004,$T1972))))</f>
        <v/>
      </c>
      <c r="J1972" s="50">
        <f>IF($T1972="","",IF($S1972="S",IF(INDEX(Firms!$I$5:$I$1004,$T1972)="","",INDEX(Firms!$I$5:$I$1004,$T1972)),IF(INDEX('AFA Rates'!$H$5:$H$1004,$T1972)="","",INDEX('AFA Rates'!$H$5:$H$1004,$T1972))))</f>
        <v/>
      </c>
      <c r="K1972" s="50">
        <f>IF($T1972="","",IF($S1972="S",IF(INDEX(Firms!$J$5:$J$1004,$T1972)="","",INDEX(Firms!$J$5:$J$1004,$T1972)),IF(INDEX('AFA Rates'!$I$5:$I$1004,$T1972)="","",INDEX('AFA Rates'!$I$5:$I$1004,$T1972))))</f>
        <v/>
      </c>
      <c r="L1972" s="50">
        <f>IF($T1972="","",IF($S1972="S",IF(INDEX(Firms!$K$5:$K$1004,$T1972)="","",INDEX(Firms!$K$5:$K$1004,$T1972)),IF(INDEX('AFA Rates'!$J$5:$J$1004,$T1972)="","",INDEX('AFA Rates'!$J$5:$J$1004,$T1972))))</f>
        <v/>
      </c>
      <c r="M1972" s="50">
        <f>IF($T1972="","",IF($S1972="S",IF(INDEX(Firms!$L$5:$L$1004,$T1972)="","",INDEX(Firms!$L$5:$L$1004,$T1972)),IF(INDEX('AFA Rates'!$K$5:$K$1004,$T1972)="","",INDEX('AFA Rates'!$K$5:$K$1004,$T1972))))</f>
        <v/>
      </c>
      <c r="N1972" s="50">
        <f>IF($T1972="","",IF($S1972="S",IF(INDEX(Firms!$M$5:$M$1004,$T1972)="","",INDEX(Firms!$M$5:$M$1004,$T1972)),IF(INDEX('AFA Rates'!$L$5:$L$1004,$T1972)="","",INDEX('AFA Rates'!$L$5:$L$1004,$T1972))))</f>
        <v/>
      </c>
      <c r="O1972" s="78">
        <f>IF(OR($T1972="",$U1972=""),"",IF(INDEX(Firms!$C$5:$C$1004,$U1972)="","",INDEX(Firms!$C$5:$C$1004,$U1972)))</f>
        <v/>
      </c>
      <c r="P1972" s="79">
        <f>IF(OR($T1972="",$U1972=""),"",IF(INDEX(Firms!$N$5:$N$1004,$U1972)="","",INDEX(Firms!$N$5:$N$1004,$U1972)))</f>
        <v/>
      </c>
      <c r="Q1972" s="78">
        <f>IF($T1972="","",IF($S1972="S",IF(INDEX(Firms!$T$5:$T$1004,$T1972)="","",INDEX(Firms!$T$5:$T$1004,$T1972)),IF(INDEX('AFA Rates'!$M$5:$M$1004,$T1972)="","",INDEX('AFA Rates'!$M$5:$M$1004,$T1972))))</f>
        <v/>
      </c>
      <c r="S1972">
        <f>IF(1968&lt;=$S$2,"S",IF(1968&lt;=$S$2+$T$2,"A",""))</f>
        <v/>
      </c>
      <c r="T1972">
        <f>IF(S1972="S",MATCH(1968,Firms!$W$5:$W$1004,0),IF(S1972="A",IFERROR(MATCH(1968-$S$2,'AFA Rates'!$R$5:$R$1004,0),""),""))</f>
        <v/>
      </c>
      <c r="U1972">
        <f>IF(S1972="S",T1972,IF(AND(S1972="A",T1972&lt;&gt;""),IFERROR(MATCH(INDEX('AFA Rates'!$A$5:$A$1004,T1972),Firms!$A$5:$A$1004,0),""),""))</f>
        <v/>
      </c>
    </row>
    <row r="1973">
      <c r="A1973" s="78">
        <f>IF($T1973="","",IF($S1973="S",IF(INDEX(Firms!$A$5:$A$1004,$T1973)="","",INDEX(Firms!$A$5:$A$1004,$T1973)),IF(INDEX('AFA Rates'!$A$5:$A$1004,$T1973)="","",INDEX('AFA Rates'!$A$5:$A$1004,$T1973))))</f>
        <v/>
      </c>
      <c r="B1973" s="79">
        <f>IF(OR($T1973="",$U1973=""),IF($T1973="","","Not on Firms tab"),INDEX(Firms!$B$5:$B$1004,$U1973)&amp;"")</f>
        <v/>
      </c>
      <c r="C1973" s="78">
        <f>IF($T1973="","",IF($S1973="S","Standard",INDEX('AFA Rates'!$B$5:$B$1004,$T1973)&amp;""))</f>
        <v/>
      </c>
      <c r="D1973" s="88">
        <f>IF($T1973="","",IF($S1973="S",IF(INDEX(Firms!$E$5:$E$1004,$T1973)="","",INDEX(Firms!$E$5:$E$1004,$T1973)),IF(INDEX('AFA Rates'!$C$5:$C$1004,$T1973)="","",INDEX('AFA Rates'!$C$5:$C$1004,$T1973))))</f>
        <v/>
      </c>
      <c r="E1973" s="88">
        <f>IF($T1973="","",IF($S1973="S",IF(""="","",""),IF(INDEX('AFA Rates'!$D$5:$D$1004,$T1973)="","",INDEX('AFA Rates'!$D$5:$D$1004,$T1973))))</f>
        <v/>
      </c>
      <c r="F1973" s="79">
        <f>IF($T1973="","",IF($S1973="S",IF(INDEX(Firms!$O$5:$O$1004,$T1973)="","",INDEX(Firms!$O$5:$O$1004,$T1973)),IF(INDEX('AFA Rates'!$O$5:$O$1004,$T1973)="","",INDEX('AFA Rates'!$O$5:$O$1004,$T1973))))</f>
        <v/>
      </c>
      <c r="G1973" s="50">
        <f>IF($T1973="","",IF($S1973="S",IF(INDEX(Firms!$F$5:$F$1004,$T1973)="","",INDEX(Firms!$F$5:$F$1004,$T1973)),IF(INDEX('AFA Rates'!$E$5:$E$1004,$T1973)="","",INDEX('AFA Rates'!$E$5:$E$1004,$T1973))))</f>
        <v/>
      </c>
      <c r="H1973" s="50">
        <f>IF($T1973="","",IF($S1973="S",IF(INDEX(Firms!$G$5:$G$1004,$T1973)="","",INDEX(Firms!$G$5:$G$1004,$T1973)),IF(INDEX('AFA Rates'!$F$5:$F$1004,$T1973)="","",INDEX('AFA Rates'!$F$5:$F$1004,$T1973))))</f>
        <v/>
      </c>
      <c r="I1973" s="50">
        <f>IF($T1973="","",IF($S1973="S",IF(INDEX(Firms!$H$5:$H$1004,$T1973)="","",INDEX(Firms!$H$5:$H$1004,$T1973)),IF(INDEX('AFA Rates'!$G$5:$G$1004,$T1973)="","",INDEX('AFA Rates'!$G$5:$G$1004,$T1973))))</f>
        <v/>
      </c>
      <c r="J1973" s="50">
        <f>IF($T1973="","",IF($S1973="S",IF(INDEX(Firms!$I$5:$I$1004,$T1973)="","",INDEX(Firms!$I$5:$I$1004,$T1973)),IF(INDEX('AFA Rates'!$H$5:$H$1004,$T1973)="","",INDEX('AFA Rates'!$H$5:$H$1004,$T1973))))</f>
        <v/>
      </c>
      <c r="K1973" s="50">
        <f>IF($T1973="","",IF($S1973="S",IF(INDEX(Firms!$J$5:$J$1004,$T1973)="","",INDEX(Firms!$J$5:$J$1004,$T1973)),IF(INDEX('AFA Rates'!$I$5:$I$1004,$T1973)="","",INDEX('AFA Rates'!$I$5:$I$1004,$T1973))))</f>
        <v/>
      </c>
      <c r="L1973" s="50">
        <f>IF($T1973="","",IF($S1973="S",IF(INDEX(Firms!$K$5:$K$1004,$T1973)="","",INDEX(Firms!$K$5:$K$1004,$T1973)),IF(INDEX('AFA Rates'!$J$5:$J$1004,$T1973)="","",INDEX('AFA Rates'!$J$5:$J$1004,$T1973))))</f>
        <v/>
      </c>
      <c r="M1973" s="50">
        <f>IF($T1973="","",IF($S1973="S",IF(INDEX(Firms!$L$5:$L$1004,$T1973)="","",INDEX(Firms!$L$5:$L$1004,$T1973)),IF(INDEX('AFA Rates'!$K$5:$K$1004,$T1973)="","",INDEX('AFA Rates'!$K$5:$K$1004,$T1973))))</f>
        <v/>
      </c>
      <c r="N1973" s="50">
        <f>IF($T1973="","",IF($S1973="S",IF(INDEX(Firms!$M$5:$M$1004,$T1973)="","",INDEX(Firms!$M$5:$M$1004,$T1973)),IF(INDEX('AFA Rates'!$L$5:$L$1004,$T1973)="","",INDEX('AFA Rates'!$L$5:$L$1004,$T1973))))</f>
        <v/>
      </c>
      <c r="O1973" s="78">
        <f>IF(OR($T1973="",$U1973=""),"",IF(INDEX(Firms!$C$5:$C$1004,$U1973)="","",INDEX(Firms!$C$5:$C$1004,$U1973)))</f>
        <v/>
      </c>
      <c r="P1973" s="79">
        <f>IF(OR($T1973="",$U1973=""),"",IF(INDEX(Firms!$N$5:$N$1004,$U1973)="","",INDEX(Firms!$N$5:$N$1004,$U1973)))</f>
        <v/>
      </c>
      <c r="Q1973" s="78">
        <f>IF($T1973="","",IF($S1973="S",IF(INDEX(Firms!$T$5:$T$1004,$T1973)="","",INDEX(Firms!$T$5:$T$1004,$T1973)),IF(INDEX('AFA Rates'!$M$5:$M$1004,$T1973)="","",INDEX('AFA Rates'!$M$5:$M$1004,$T1973))))</f>
        <v/>
      </c>
      <c r="S1973">
        <f>IF(1969&lt;=$S$2,"S",IF(1969&lt;=$S$2+$T$2,"A",""))</f>
        <v/>
      </c>
      <c r="T1973">
        <f>IF(S1973="S",MATCH(1969,Firms!$W$5:$W$1004,0),IF(S1973="A",IFERROR(MATCH(1969-$S$2,'AFA Rates'!$R$5:$R$1004,0),""),""))</f>
        <v/>
      </c>
      <c r="U1973">
        <f>IF(S1973="S",T1973,IF(AND(S1973="A",T1973&lt;&gt;""),IFERROR(MATCH(INDEX('AFA Rates'!$A$5:$A$1004,T1973),Firms!$A$5:$A$1004,0),""),""))</f>
        <v/>
      </c>
    </row>
    <row r="1974">
      <c r="A1974" s="78">
        <f>IF($T1974="","",IF($S1974="S",IF(INDEX(Firms!$A$5:$A$1004,$T1974)="","",INDEX(Firms!$A$5:$A$1004,$T1974)),IF(INDEX('AFA Rates'!$A$5:$A$1004,$T1974)="","",INDEX('AFA Rates'!$A$5:$A$1004,$T1974))))</f>
        <v/>
      </c>
      <c r="B1974" s="79">
        <f>IF(OR($T1974="",$U1974=""),IF($T1974="","","Not on Firms tab"),INDEX(Firms!$B$5:$B$1004,$U1974)&amp;"")</f>
        <v/>
      </c>
      <c r="C1974" s="78">
        <f>IF($T1974="","",IF($S1974="S","Standard",INDEX('AFA Rates'!$B$5:$B$1004,$T1974)&amp;""))</f>
        <v/>
      </c>
      <c r="D1974" s="88">
        <f>IF($T1974="","",IF($S1974="S",IF(INDEX(Firms!$E$5:$E$1004,$T1974)="","",INDEX(Firms!$E$5:$E$1004,$T1974)),IF(INDEX('AFA Rates'!$C$5:$C$1004,$T1974)="","",INDEX('AFA Rates'!$C$5:$C$1004,$T1974))))</f>
        <v/>
      </c>
      <c r="E1974" s="88">
        <f>IF($T1974="","",IF($S1974="S",IF(""="","",""),IF(INDEX('AFA Rates'!$D$5:$D$1004,$T1974)="","",INDEX('AFA Rates'!$D$5:$D$1004,$T1974))))</f>
        <v/>
      </c>
      <c r="F1974" s="79">
        <f>IF($T1974="","",IF($S1974="S",IF(INDEX(Firms!$O$5:$O$1004,$T1974)="","",INDEX(Firms!$O$5:$O$1004,$T1974)),IF(INDEX('AFA Rates'!$O$5:$O$1004,$T1974)="","",INDEX('AFA Rates'!$O$5:$O$1004,$T1974))))</f>
        <v/>
      </c>
      <c r="G1974" s="50">
        <f>IF($T1974="","",IF($S1974="S",IF(INDEX(Firms!$F$5:$F$1004,$T1974)="","",INDEX(Firms!$F$5:$F$1004,$T1974)),IF(INDEX('AFA Rates'!$E$5:$E$1004,$T1974)="","",INDEX('AFA Rates'!$E$5:$E$1004,$T1974))))</f>
        <v/>
      </c>
      <c r="H1974" s="50">
        <f>IF($T1974="","",IF($S1974="S",IF(INDEX(Firms!$G$5:$G$1004,$T1974)="","",INDEX(Firms!$G$5:$G$1004,$T1974)),IF(INDEX('AFA Rates'!$F$5:$F$1004,$T1974)="","",INDEX('AFA Rates'!$F$5:$F$1004,$T1974))))</f>
        <v/>
      </c>
      <c r="I1974" s="50">
        <f>IF($T1974="","",IF($S1974="S",IF(INDEX(Firms!$H$5:$H$1004,$T1974)="","",INDEX(Firms!$H$5:$H$1004,$T1974)),IF(INDEX('AFA Rates'!$G$5:$G$1004,$T1974)="","",INDEX('AFA Rates'!$G$5:$G$1004,$T1974))))</f>
        <v/>
      </c>
      <c r="J1974" s="50">
        <f>IF($T1974="","",IF($S1974="S",IF(INDEX(Firms!$I$5:$I$1004,$T1974)="","",INDEX(Firms!$I$5:$I$1004,$T1974)),IF(INDEX('AFA Rates'!$H$5:$H$1004,$T1974)="","",INDEX('AFA Rates'!$H$5:$H$1004,$T1974))))</f>
        <v/>
      </c>
      <c r="K1974" s="50">
        <f>IF($T1974="","",IF($S1974="S",IF(INDEX(Firms!$J$5:$J$1004,$T1974)="","",INDEX(Firms!$J$5:$J$1004,$T1974)),IF(INDEX('AFA Rates'!$I$5:$I$1004,$T1974)="","",INDEX('AFA Rates'!$I$5:$I$1004,$T1974))))</f>
        <v/>
      </c>
      <c r="L1974" s="50">
        <f>IF($T1974="","",IF($S1974="S",IF(INDEX(Firms!$K$5:$K$1004,$T1974)="","",INDEX(Firms!$K$5:$K$1004,$T1974)),IF(INDEX('AFA Rates'!$J$5:$J$1004,$T1974)="","",INDEX('AFA Rates'!$J$5:$J$1004,$T1974))))</f>
        <v/>
      </c>
      <c r="M1974" s="50">
        <f>IF($T1974="","",IF($S1974="S",IF(INDEX(Firms!$L$5:$L$1004,$T1974)="","",INDEX(Firms!$L$5:$L$1004,$T1974)),IF(INDEX('AFA Rates'!$K$5:$K$1004,$T1974)="","",INDEX('AFA Rates'!$K$5:$K$1004,$T1974))))</f>
        <v/>
      </c>
      <c r="N1974" s="50">
        <f>IF($T1974="","",IF($S1974="S",IF(INDEX(Firms!$M$5:$M$1004,$T1974)="","",INDEX(Firms!$M$5:$M$1004,$T1974)),IF(INDEX('AFA Rates'!$L$5:$L$1004,$T1974)="","",INDEX('AFA Rates'!$L$5:$L$1004,$T1974))))</f>
        <v/>
      </c>
      <c r="O1974" s="78">
        <f>IF(OR($T1974="",$U1974=""),"",IF(INDEX(Firms!$C$5:$C$1004,$U1974)="","",INDEX(Firms!$C$5:$C$1004,$U1974)))</f>
        <v/>
      </c>
      <c r="P1974" s="79">
        <f>IF(OR($T1974="",$U1974=""),"",IF(INDEX(Firms!$N$5:$N$1004,$U1974)="","",INDEX(Firms!$N$5:$N$1004,$U1974)))</f>
        <v/>
      </c>
      <c r="Q1974" s="78">
        <f>IF($T1974="","",IF($S1974="S",IF(INDEX(Firms!$T$5:$T$1004,$T1974)="","",INDEX(Firms!$T$5:$T$1004,$T1974)),IF(INDEX('AFA Rates'!$M$5:$M$1004,$T1974)="","",INDEX('AFA Rates'!$M$5:$M$1004,$T1974))))</f>
        <v/>
      </c>
      <c r="S1974">
        <f>IF(1970&lt;=$S$2,"S",IF(1970&lt;=$S$2+$T$2,"A",""))</f>
        <v/>
      </c>
      <c r="T1974">
        <f>IF(S1974="S",MATCH(1970,Firms!$W$5:$W$1004,0),IF(S1974="A",IFERROR(MATCH(1970-$S$2,'AFA Rates'!$R$5:$R$1004,0),""),""))</f>
        <v/>
      </c>
      <c r="U1974">
        <f>IF(S1974="S",T1974,IF(AND(S1974="A",T1974&lt;&gt;""),IFERROR(MATCH(INDEX('AFA Rates'!$A$5:$A$1004,T1974),Firms!$A$5:$A$1004,0),""),""))</f>
        <v/>
      </c>
    </row>
    <row r="1975">
      <c r="A1975" s="78">
        <f>IF($T1975="","",IF($S1975="S",IF(INDEX(Firms!$A$5:$A$1004,$T1975)="","",INDEX(Firms!$A$5:$A$1004,$T1975)),IF(INDEX('AFA Rates'!$A$5:$A$1004,$T1975)="","",INDEX('AFA Rates'!$A$5:$A$1004,$T1975))))</f>
        <v/>
      </c>
      <c r="B1975" s="79">
        <f>IF(OR($T1975="",$U1975=""),IF($T1975="","","Not on Firms tab"),INDEX(Firms!$B$5:$B$1004,$U1975)&amp;"")</f>
        <v/>
      </c>
      <c r="C1975" s="78">
        <f>IF($T1975="","",IF($S1975="S","Standard",INDEX('AFA Rates'!$B$5:$B$1004,$T1975)&amp;""))</f>
        <v/>
      </c>
      <c r="D1975" s="88">
        <f>IF($T1975="","",IF($S1975="S",IF(INDEX(Firms!$E$5:$E$1004,$T1975)="","",INDEX(Firms!$E$5:$E$1004,$T1975)),IF(INDEX('AFA Rates'!$C$5:$C$1004,$T1975)="","",INDEX('AFA Rates'!$C$5:$C$1004,$T1975))))</f>
        <v/>
      </c>
      <c r="E1975" s="88">
        <f>IF($T1975="","",IF($S1975="S",IF(""="","",""),IF(INDEX('AFA Rates'!$D$5:$D$1004,$T1975)="","",INDEX('AFA Rates'!$D$5:$D$1004,$T1975))))</f>
        <v/>
      </c>
      <c r="F1975" s="79">
        <f>IF($T1975="","",IF($S1975="S",IF(INDEX(Firms!$O$5:$O$1004,$T1975)="","",INDEX(Firms!$O$5:$O$1004,$T1975)),IF(INDEX('AFA Rates'!$O$5:$O$1004,$T1975)="","",INDEX('AFA Rates'!$O$5:$O$1004,$T1975))))</f>
        <v/>
      </c>
      <c r="G1975" s="50">
        <f>IF($T1975="","",IF($S1975="S",IF(INDEX(Firms!$F$5:$F$1004,$T1975)="","",INDEX(Firms!$F$5:$F$1004,$T1975)),IF(INDEX('AFA Rates'!$E$5:$E$1004,$T1975)="","",INDEX('AFA Rates'!$E$5:$E$1004,$T1975))))</f>
        <v/>
      </c>
      <c r="H1975" s="50">
        <f>IF($T1975="","",IF($S1975="S",IF(INDEX(Firms!$G$5:$G$1004,$T1975)="","",INDEX(Firms!$G$5:$G$1004,$T1975)),IF(INDEX('AFA Rates'!$F$5:$F$1004,$T1975)="","",INDEX('AFA Rates'!$F$5:$F$1004,$T1975))))</f>
        <v/>
      </c>
      <c r="I1975" s="50">
        <f>IF($T1975="","",IF($S1975="S",IF(INDEX(Firms!$H$5:$H$1004,$T1975)="","",INDEX(Firms!$H$5:$H$1004,$T1975)),IF(INDEX('AFA Rates'!$G$5:$G$1004,$T1975)="","",INDEX('AFA Rates'!$G$5:$G$1004,$T1975))))</f>
        <v/>
      </c>
      <c r="J1975" s="50">
        <f>IF($T1975="","",IF($S1975="S",IF(INDEX(Firms!$I$5:$I$1004,$T1975)="","",INDEX(Firms!$I$5:$I$1004,$T1975)),IF(INDEX('AFA Rates'!$H$5:$H$1004,$T1975)="","",INDEX('AFA Rates'!$H$5:$H$1004,$T1975))))</f>
        <v/>
      </c>
      <c r="K1975" s="50">
        <f>IF($T1975="","",IF($S1975="S",IF(INDEX(Firms!$J$5:$J$1004,$T1975)="","",INDEX(Firms!$J$5:$J$1004,$T1975)),IF(INDEX('AFA Rates'!$I$5:$I$1004,$T1975)="","",INDEX('AFA Rates'!$I$5:$I$1004,$T1975))))</f>
        <v/>
      </c>
      <c r="L1975" s="50">
        <f>IF($T1975="","",IF($S1975="S",IF(INDEX(Firms!$K$5:$K$1004,$T1975)="","",INDEX(Firms!$K$5:$K$1004,$T1975)),IF(INDEX('AFA Rates'!$J$5:$J$1004,$T1975)="","",INDEX('AFA Rates'!$J$5:$J$1004,$T1975))))</f>
        <v/>
      </c>
      <c r="M1975" s="50">
        <f>IF($T1975="","",IF($S1975="S",IF(INDEX(Firms!$L$5:$L$1004,$T1975)="","",INDEX(Firms!$L$5:$L$1004,$T1975)),IF(INDEX('AFA Rates'!$K$5:$K$1004,$T1975)="","",INDEX('AFA Rates'!$K$5:$K$1004,$T1975))))</f>
        <v/>
      </c>
      <c r="N1975" s="50">
        <f>IF($T1975="","",IF($S1975="S",IF(INDEX(Firms!$M$5:$M$1004,$T1975)="","",INDEX(Firms!$M$5:$M$1004,$T1975)),IF(INDEX('AFA Rates'!$L$5:$L$1004,$T1975)="","",INDEX('AFA Rates'!$L$5:$L$1004,$T1975))))</f>
        <v/>
      </c>
      <c r="O1975" s="78">
        <f>IF(OR($T1975="",$U1975=""),"",IF(INDEX(Firms!$C$5:$C$1004,$U1975)="","",INDEX(Firms!$C$5:$C$1004,$U1975)))</f>
        <v/>
      </c>
      <c r="P1975" s="79">
        <f>IF(OR($T1975="",$U1975=""),"",IF(INDEX(Firms!$N$5:$N$1004,$U1975)="","",INDEX(Firms!$N$5:$N$1004,$U1975)))</f>
        <v/>
      </c>
      <c r="Q1975" s="78">
        <f>IF($T1975="","",IF($S1975="S",IF(INDEX(Firms!$T$5:$T$1004,$T1975)="","",INDEX(Firms!$T$5:$T$1004,$T1975)),IF(INDEX('AFA Rates'!$M$5:$M$1004,$T1975)="","",INDEX('AFA Rates'!$M$5:$M$1004,$T1975))))</f>
        <v/>
      </c>
      <c r="S1975">
        <f>IF(1971&lt;=$S$2,"S",IF(1971&lt;=$S$2+$T$2,"A",""))</f>
        <v/>
      </c>
      <c r="T1975">
        <f>IF(S1975="S",MATCH(1971,Firms!$W$5:$W$1004,0),IF(S1975="A",IFERROR(MATCH(1971-$S$2,'AFA Rates'!$R$5:$R$1004,0),""),""))</f>
        <v/>
      </c>
      <c r="U1975">
        <f>IF(S1975="S",T1975,IF(AND(S1975="A",T1975&lt;&gt;""),IFERROR(MATCH(INDEX('AFA Rates'!$A$5:$A$1004,T1975),Firms!$A$5:$A$1004,0),""),""))</f>
        <v/>
      </c>
    </row>
    <row r="1976">
      <c r="A1976" s="78">
        <f>IF($T1976="","",IF($S1976="S",IF(INDEX(Firms!$A$5:$A$1004,$T1976)="","",INDEX(Firms!$A$5:$A$1004,$T1976)),IF(INDEX('AFA Rates'!$A$5:$A$1004,$T1976)="","",INDEX('AFA Rates'!$A$5:$A$1004,$T1976))))</f>
        <v/>
      </c>
      <c r="B1976" s="79">
        <f>IF(OR($T1976="",$U1976=""),IF($T1976="","","Not on Firms tab"),INDEX(Firms!$B$5:$B$1004,$U1976)&amp;"")</f>
        <v/>
      </c>
      <c r="C1976" s="78">
        <f>IF($T1976="","",IF($S1976="S","Standard",INDEX('AFA Rates'!$B$5:$B$1004,$T1976)&amp;""))</f>
        <v/>
      </c>
      <c r="D1976" s="88">
        <f>IF($T1976="","",IF($S1976="S",IF(INDEX(Firms!$E$5:$E$1004,$T1976)="","",INDEX(Firms!$E$5:$E$1004,$T1976)),IF(INDEX('AFA Rates'!$C$5:$C$1004,$T1976)="","",INDEX('AFA Rates'!$C$5:$C$1004,$T1976))))</f>
        <v/>
      </c>
      <c r="E1976" s="88">
        <f>IF($T1976="","",IF($S1976="S",IF(""="","",""),IF(INDEX('AFA Rates'!$D$5:$D$1004,$T1976)="","",INDEX('AFA Rates'!$D$5:$D$1004,$T1976))))</f>
        <v/>
      </c>
      <c r="F1976" s="79">
        <f>IF($T1976="","",IF($S1976="S",IF(INDEX(Firms!$O$5:$O$1004,$T1976)="","",INDEX(Firms!$O$5:$O$1004,$T1976)),IF(INDEX('AFA Rates'!$O$5:$O$1004,$T1976)="","",INDEX('AFA Rates'!$O$5:$O$1004,$T1976))))</f>
        <v/>
      </c>
      <c r="G1976" s="50">
        <f>IF($T1976="","",IF($S1976="S",IF(INDEX(Firms!$F$5:$F$1004,$T1976)="","",INDEX(Firms!$F$5:$F$1004,$T1976)),IF(INDEX('AFA Rates'!$E$5:$E$1004,$T1976)="","",INDEX('AFA Rates'!$E$5:$E$1004,$T1976))))</f>
        <v/>
      </c>
      <c r="H1976" s="50">
        <f>IF($T1976="","",IF($S1976="S",IF(INDEX(Firms!$G$5:$G$1004,$T1976)="","",INDEX(Firms!$G$5:$G$1004,$T1976)),IF(INDEX('AFA Rates'!$F$5:$F$1004,$T1976)="","",INDEX('AFA Rates'!$F$5:$F$1004,$T1976))))</f>
        <v/>
      </c>
      <c r="I1976" s="50">
        <f>IF($T1976="","",IF($S1976="S",IF(INDEX(Firms!$H$5:$H$1004,$T1976)="","",INDEX(Firms!$H$5:$H$1004,$T1976)),IF(INDEX('AFA Rates'!$G$5:$G$1004,$T1976)="","",INDEX('AFA Rates'!$G$5:$G$1004,$T1976))))</f>
        <v/>
      </c>
      <c r="J1976" s="50">
        <f>IF($T1976="","",IF($S1976="S",IF(INDEX(Firms!$I$5:$I$1004,$T1976)="","",INDEX(Firms!$I$5:$I$1004,$T1976)),IF(INDEX('AFA Rates'!$H$5:$H$1004,$T1976)="","",INDEX('AFA Rates'!$H$5:$H$1004,$T1976))))</f>
        <v/>
      </c>
      <c r="K1976" s="50">
        <f>IF($T1976="","",IF($S1976="S",IF(INDEX(Firms!$J$5:$J$1004,$T1976)="","",INDEX(Firms!$J$5:$J$1004,$T1976)),IF(INDEX('AFA Rates'!$I$5:$I$1004,$T1976)="","",INDEX('AFA Rates'!$I$5:$I$1004,$T1976))))</f>
        <v/>
      </c>
      <c r="L1976" s="50">
        <f>IF($T1976="","",IF($S1976="S",IF(INDEX(Firms!$K$5:$K$1004,$T1976)="","",INDEX(Firms!$K$5:$K$1004,$T1976)),IF(INDEX('AFA Rates'!$J$5:$J$1004,$T1976)="","",INDEX('AFA Rates'!$J$5:$J$1004,$T1976))))</f>
        <v/>
      </c>
      <c r="M1976" s="50">
        <f>IF($T1976="","",IF($S1976="S",IF(INDEX(Firms!$L$5:$L$1004,$T1976)="","",INDEX(Firms!$L$5:$L$1004,$T1976)),IF(INDEX('AFA Rates'!$K$5:$K$1004,$T1976)="","",INDEX('AFA Rates'!$K$5:$K$1004,$T1976))))</f>
        <v/>
      </c>
      <c r="N1976" s="50">
        <f>IF($T1976="","",IF($S1976="S",IF(INDEX(Firms!$M$5:$M$1004,$T1976)="","",INDEX(Firms!$M$5:$M$1004,$T1976)),IF(INDEX('AFA Rates'!$L$5:$L$1004,$T1976)="","",INDEX('AFA Rates'!$L$5:$L$1004,$T1976))))</f>
        <v/>
      </c>
      <c r="O1976" s="78">
        <f>IF(OR($T1976="",$U1976=""),"",IF(INDEX(Firms!$C$5:$C$1004,$U1976)="","",INDEX(Firms!$C$5:$C$1004,$U1976)))</f>
        <v/>
      </c>
      <c r="P1976" s="79">
        <f>IF(OR($T1976="",$U1976=""),"",IF(INDEX(Firms!$N$5:$N$1004,$U1976)="","",INDEX(Firms!$N$5:$N$1004,$U1976)))</f>
        <v/>
      </c>
      <c r="Q1976" s="78">
        <f>IF($T1976="","",IF($S1976="S",IF(INDEX(Firms!$T$5:$T$1004,$T1976)="","",INDEX(Firms!$T$5:$T$1004,$T1976)),IF(INDEX('AFA Rates'!$M$5:$M$1004,$T1976)="","",INDEX('AFA Rates'!$M$5:$M$1004,$T1976))))</f>
        <v/>
      </c>
      <c r="S1976">
        <f>IF(1972&lt;=$S$2,"S",IF(1972&lt;=$S$2+$T$2,"A",""))</f>
        <v/>
      </c>
      <c r="T1976">
        <f>IF(S1976="S",MATCH(1972,Firms!$W$5:$W$1004,0),IF(S1976="A",IFERROR(MATCH(1972-$S$2,'AFA Rates'!$R$5:$R$1004,0),""),""))</f>
        <v/>
      </c>
      <c r="U1976">
        <f>IF(S1976="S",T1976,IF(AND(S1976="A",T1976&lt;&gt;""),IFERROR(MATCH(INDEX('AFA Rates'!$A$5:$A$1004,T1976),Firms!$A$5:$A$1004,0),""),""))</f>
        <v/>
      </c>
    </row>
    <row r="1977">
      <c r="A1977" s="78">
        <f>IF($T1977="","",IF($S1977="S",IF(INDEX(Firms!$A$5:$A$1004,$T1977)="","",INDEX(Firms!$A$5:$A$1004,$T1977)),IF(INDEX('AFA Rates'!$A$5:$A$1004,$T1977)="","",INDEX('AFA Rates'!$A$5:$A$1004,$T1977))))</f>
        <v/>
      </c>
      <c r="B1977" s="79">
        <f>IF(OR($T1977="",$U1977=""),IF($T1977="","","Not on Firms tab"),INDEX(Firms!$B$5:$B$1004,$U1977)&amp;"")</f>
        <v/>
      </c>
      <c r="C1977" s="78">
        <f>IF($T1977="","",IF($S1977="S","Standard",INDEX('AFA Rates'!$B$5:$B$1004,$T1977)&amp;""))</f>
        <v/>
      </c>
      <c r="D1977" s="88">
        <f>IF($T1977="","",IF($S1977="S",IF(INDEX(Firms!$E$5:$E$1004,$T1977)="","",INDEX(Firms!$E$5:$E$1004,$T1977)),IF(INDEX('AFA Rates'!$C$5:$C$1004,$T1977)="","",INDEX('AFA Rates'!$C$5:$C$1004,$T1977))))</f>
        <v/>
      </c>
      <c r="E1977" s="88">
        <f>IF($T1977="","",IF($S1977="S",IF(""="","",""),IF(INDEX('AFA Rates'!$D$5:$D$1004,$T1977)="","",INDEX('AFA Rates'!$D$5:$D$1004,$T1977))))</f>
        <v/>
      </c>
      <c r="F1977" s="79">
        <f>IF($T1977="","",IF($S1977="S",IF(INDEX(Firms!$O$5:$O$1004,$T1977)="","",INDEX(Firms!$O$5:$O$1004,$T1977)),IF(INDEX('AFA Rates'!$O$5:$O$1004,$T1977)="","",INDEX('AFA Rates'!$O$5:$O$1004,$T1977))))</f>
        <v/>
      </c>
      <c r="G1977" s="50">
        <f>IF($T1977="","",IF($S1977="S",IF(INDEX(Firms!$F$5:$F$1004,$T1977)="","",INDEX(Firms!$F$5:$F$1004,$T1977)),IF(INDEX('AFA Rates'!$E$5:$E$1004,$T1977)="","",INDEX('AFA Rates'!$E$5:$E$1004,$T1977))))</f>
        <v/>
      </c>
      <c r="H1977" s="50">
        <f>IF($T1977="","",IF($S1977="S",IF(INDEX(Firms!$G$5:$G$1004,$T1977)="","",INDEX(Firms!$G$5:$G$1004,$T1977)),IF(INDEX('AFA Rates'!$F$5:$F$1004,$T1977)="","",INDEX('AFA Rates'!$F$5:$F$1004,$T1977))))</f>
        <v/>
      </c>
      <c r="I1977" s="50">
        <f>IF($T1977="","",IF($S1977="S",IF(INDEX(Firms!$H$5:$H$1004,$T1977)="","",INDEX(Firms!$H$5:$H$1004,$T1977)),IF(INDEX('AFA Rates'!$G$5:$G$1004,$T1977)="","",INDEX('AFA Rates'!$G$5:$G$1004,$T1977))))</f>
        <v/>
      </c>
      <c r="J1977" s="50">
        <f>IF($T1977="","",IF($S1977="S",IF(INDEX(Firms!$I$5:$I$1004,$T1977)="","",INDEX(Firms!$I$5:$I$1004,$T1977)),IF(INDEX('AFA Rates'!$H$5:$H$1004,$T1977)="","",INDEX('AFA Rates'!$H$5:$H$1004,$T1977))))</f>
        <v/>
      </c>
      <c r="K1977" s="50">
        <f>IF($T1977="","",IF($S1977="S",IF(INDEX(Firms!$J$5:$J$1004,$T1977)="","",INDEX(Firms!$J$5:$J$1004,$T1977)),IF(INDEX('AFA Rates'!$I$5:$I$1004,$T1977)="","",INDEX('AFA Rates'!$I$5:$I$1004,$T1977))))</f>
        <v/>
      </c>
      <c r="L1977" s="50">
        <f>IF($T1977="","",IF($S1977="S",IF(INDEX(Firms!$K$5:$K$1004,$T1977)="","",INDEX(Firms!$K$5:$K$1004,$T1977)),IF(INDEX('AFA Rates'!$J$5:$J$1004,$T1977)="","",INDEX('AFA Rates'!$J$5:$J$1004,$T1977))))</f>
        <v/>
      </c>
      <c r="M1977" s="50">
        <f>IF($T1977="","",IF($S1977="S",IF(INDEX(Firms!$L$5:$L$1004,$T1977)="","",INDEX(Firms!$L$5:$L$1004,$T1977)),IF(INDEX('AFA Rates'!$K$5:$K$1004,$T1977)="","",INDEX('AFA Rates'!$K$5:$K$1004,$T1977))))</f>
        <v/>
      </c>
      <c r="N1977" s="50">
        <f>IF($T1977="","",IF($S1977="S",IF(INDEX(Firms!$M$5:$M$1004,$T1977)="","",INDEX(Firms!$M$5:$M$1004,$T1977)),IF(INDEX('AFA Rates'!$L$5:$L$1004,$T1977)="","",INDEX('AFA Rates'!$L$5:$L$1004,$T1977))))</f>
        <v/>
      </c>
      <c r="O1977" s="78">
        <f>IF(OR($T1977="",$U1977=""),"",IF(INDEX(Firms!$C$5:$C$1004,$U1977)="","",INDEX(Firms!$C$5:$C$1004,$U1977)))</f>
        <v/>
      </c>
      <c r="P1977" s="79">
        <f>IF(OR($T1977="",$U1977=""),"",IF(INDEX(Firms!$N$5:$N$1004,$U1977)="","",INDEX(Firms!$N$5:$N$1004,$U1977)))</f>
        <v/>
      </c>
      <c r="Q1977" s="78">
        <f>IF($T1977="","",IF($S1977="S",IF(INDEX(Firms!$T$5:$T$1004,$T1977)="","",INDEX(Firms!$T$5:$T$1004,$T1977)),IF(INDEX('AFA Rates'!$M$5:$M$1004,$T1977)="","",INDEX('AFA Rates'!$M$5:$M$1004,$T1977))))</f>
        <v/>
      </c>
      <c r="S1977">
        <f>IF(1973&lt;=$S$2,"S",IF(1973&lt;=$S$2+$T$2,"A",""))</f>
        <v/>
      </c>
      <c r="T1977">
        <f>IF(S1977="S",MATCH(1973,Firms!$W$5:$W$1004,0),IF(S1977="A",IFERROR(MATCH(1973-$S$2,'AFA Rates'!$R$5:$R$1004,0),""),""))</f>
        <v/>
      </c>
      <c r="U1977">
        <f>IF(S1977="S",T1977,IF(AND(S1977="A",T1977&lt;&gt;""),IFERROR(MATCH(INDEX('AFA Rates'!$A$5:$A$1004,T1977),Firms!$A$5:$A$1004,0),""),""))</f>
        <v/>
      </c>
    </row>
    <row r="1978">
      <c r="A1978" s="78">
        <f>IF($T1978="","",IF($S1978="S",IF(INDEX(Firms!$A$5:$A$1004,$T1978)="","",INDEX(Firms!$A$5:$A$1004,$T1978)),IF(INDEX('AFA Rates'!$A$5:$A$1004,$T1978)="","",INDEX('AFA Rates'!$A$5:$A$1004,$T1978))))</f>
        <v/>
      </c>
      <c r="B1978" s="79">
        <f>IF(OR($T1978="",$U1978=""),IF($T1978="","","Not on Firms tab"),INDEX(Firms!$B$5:$B$1004,$U1978)&amp;"")</f>
        <v/>
      </c>
      <c r="C1978" s="78">
        <f>IF($T1978="","",IF($S1978="S","Standard",INDEX('AFA Rates'!$B$5:$B$1004,$T1978)&amp;""))</f>
        <v/>
      </c>
      <c r="D1978" s="88">
        <f>IF($T1978="","",IF($S1978="S",IF(INDEX(Firms!$E$5:$E$1004,$T1978)="","",INDEX(Firms!$E$5:$E$1004,$T1978)),IF(INDEX('AFA Rates'!$C$5:$C$1004,$T1978)="","",INDEX('AFA Rates'!$C$5:$C$1004,$T1978))))</f>
        <v/>
      </c>
      <c r="E1978" s="88">
        <f>IF($T1978="","",IF($S1978="S",IF(""="","",""),IF(INDEX('AFA Rates'!$D$5:$D$1004,$T1978)="","",INDEX('AFA Rates'!$D$5:$D$1004,$T1978))))</f>
        <v/>
      </c>
      <c r="F1978" s="79">
        <f>IF($T1978="","",IF($S1978="S",IF(INDEX(Firms!$O$5:$O$1004,$T1978)="","",INDEX(Firms!$O$5:$O$1004,$T1978)),IF(INDEX('AFA Rates'!$O$5:$O$1004,$T1978)="","",INDEX('AFA Rates'!$O$5:$O$1004,$T1978))))</f>
        <v/>
      </c>
      <c r="G1978" s="50">
        <f>IF($T1978="","",IF($S1978="S",IF(INDEX(Firms!$F$5:$F$1004,$T1978)="","",INDEX(Firms!$F$5:$F$1004,$T1978)),IF(INDEX('AFA Rates'!$E$5:$E$1004,$T1978)="","",INDEX('AFA Rates'!$E$5:$E$1004,$T1978))))</f>
        <v/>
      </c>
      <c r="H1978" s="50">
        <f>IF($T1978="","",IF($S1978="S",IF(INDEX(Firms!$G$5:$G$1004,$T1978)="","",INDEX(Firms!$G$5:$G$1004,$T1978)),IF(INDEX('AFA Rates'!$F$5:$F$1004,$T1978)="","",INDEX('AFA Rates'!$F$5:$F$1004,$T1978))))</f>
        <v/>
      </c>
      <c r="I1978" s="50">
        <f>IF($T1978="","",IF($S1978="S",IF(INDEX(Firms!$H$5:$H$1004,$T1978)="","",INDEX(Firms!$H$5:$H$1004,$T1978)),IF(INDEX('AFA Rates'!$G$5:$G$1004,$T1978)="","",INDEX('AFA Rates'!$G$5:$G$1004,$T1978))))</f>
        <v/>
      </c>
      <c r="J1978" s="50">
        <f>IF($T1978="","",IF($S1978="S",IF(INDEX(Firms!$I$5:$I$1004,$T1978)="","",INDEX(Firms!$I$5:$I$1004,$T1978)),IF(INDEX('AFA Rates'!$H$5:$H$1004,$T1978)="","",INDEX('AFA Rates'!$H$5:$H$1004,$T1978))))</f>
        <v/>
      </c>
      <c r="K1978" s="50">
        <f>IF($T1978="","",IF($S1978="S",IF(INDEX(Firms!$J$5:$J$1004,$T1978)="","",INDEX(Firms!$J$5:$J$1004,$T1978)),IF(INDEX('AFA Rates'!$I$5:$I$1004,$T1978)="","",INDEX('AFA Rates'!$I$5:$I$1004,$T1978))))</f>
        <v/>
      </c>
      <c r="L1978" s="50">
        <f>IF($T1978="","",IF($S1978="S",IF(INDEX(Firms!$K$5:$K$1004,$T1978)="","",INDEX(Firms!$K$5:$K$1004,$T1978)),IF(INDEX('AFA Rates'!$J$5:$J$1004,$T1978)="","",INDEX('AFA Rates'!$J$5:$J$1004,$T1978))))</f>
        <v/>
      </c>
      <c r="M1978" s="50">
        <f>IF($T1978="","",IF($S1978="S",IF(INDEX(Firms!$L$5:$L$1004,$T1978)="","",INDEX(Firms!$L$5:$L$1004,$T1978)),IF(INDEX('AFA Rates'!$K$5:$K$1004,$T1978)="","",INDEX('AFA Rates'!$K$5:$K$1004,$T1978))))</f>
        <v/>
      </c>
      <c r="N1978" s="50">
        <f>IF($T1978="","",IF($S1978="S",IF(INDEX(Firms!$M$5:$M$1004,$T1978)="","",INDEX(Firms!$M$5:$M$1004,$T1978)),IF(INDEX('AFA Rates'!$L$5:$L$1004,$T1978)="","",INDEX('AFA Rates'!$L$5:$L$1004,$T1978))))</f>
        <v/>
      </c>
      <c r="O1978" s="78">
        <f>IF(OR($T1978="",$U1978=""),"",IF(INDEX(Firms!$C$5:$C$1004,$U1978)="","",INDEX(Firms!$C$5:$C$1004,$U1978)))</f>
        <v/>
      </c>
      <c r="P1978" s="79">
        <f>IF(OR($T1978="",$U1978=""),"",IF(INDEX(Firms!$N$5:$N$1004,$U1978)="","",INDEX(Firms!$N$5:$N$1004,$U1978)))</f>
        <v/>
      </c>
      <c r="Q1978" s="78">
        <f>IF($T1978="","",IF($S1978="S",IF(INDEX(Firms!$T$5:$T$1004,$T1978)="","",INDEX(Firms!$T$5:$T$1004,$T1978)),IF(INDEX('AFA Rates'!$M$5:$M$1004,$T1978)="","",INDEX('AFA Rates'!$M$5:$M$1004,$T1978))))</f>
        <v/>
      </c>
      <c r="S1978">
        <f>IF(1974&lt;=$S$2,"S",IF(1974&lt;=$S$2+$T$2,"A",""))</f>
        <v/>
      </c>
      <c r="T1978">
        <f>IF(S1978="S",MATCH(1974,Firms!$W$5:$W$1004,0),IF(S1978="A",IFERROR(MATCH(1974-$S$2,'AFA Rates'!$R$5:$R$1004,0),""),""))</f>
        <v/>
      </c>
      <c r="U1978">
        <f>IF(S1978="S",T1978,IF(AND(S1978="A",T1978&lt;&gt;""),IFERROR(MATCH(INDEX('AFA Rates'!$A$5:$A$1004,T1978),Firms!$A$5:$A$1004,0),""),""))</f>
        <v/>
      </c>
    </row>
    <row r="1979">
      <c r="A1979" s="78">
        <f>IF($T1979="","",IF($S1979="S",IF(INDEX(Firms!$A$5:$A$1004,$T1979)="","",INDEX(Firms!$A$5:$A$1004,$T1979)),IF(INDEX('AFA Rates'!$A$5:$A$1004,$T1979)="","",INDEX('AFA Rates'!$A$5:$A$1004,$T1979))))</f>
        <v/>
      </c>
      <c r="B1979" s="79">
        <f>IF(OR($T1979="",$U1979=""),IF($T1979="","","Not on Firms tab"),INDEX(Firms!$B$5:$B$1004,$U1979)&amp;"")</f>
        <v/>
      </c>
      <c r="C1979" s="78">
        <f>IF($T1979="","",IF($S1979="S","Standard",INDEX('AFA Rates'!$B$5:$B$1004,$T1979)&amp;""))</f>
        <v/>
      </c>
      <c r="D1979" s="88">
        <f>IF($T1979="","",IF($S1979="S",IF(INDEX(Firms!$E$5:$E$1004,$T1979)="","",INDEX(Firms!$E$5:$E$1004,$T1979)),IF(INDEX('AFA Rates'!$C$5:$C$1004,$T1979)="","",INDEX('AFA Rates'!$C$5:$C$1004,$T1979))))</f>
        <v/>
      </c>
      <c r="E1979" s="88">
        <f>IF($T1979="","",IF($S1979="S",IF(""="","",""),IF(INDEX('AFA Rates'!$D$5:$D$1004,$T1979)="","",INDEX('AFA Rates'!$D$5:$D$1004,$T1979))))</f>
        <v/>
      </c>
      <c r="F1979" s="79">
        <f>IF($T1979="","",IF($S1979="S",IF(INDEX(Firms!$O$5:$O$1004,$T1979)="","",INDEX(Firms!$O$5:$O$1004,$T1979)),IF(INDEX('AFA Rates'!$O$5:$O$1004,$T1979)="","",INDEX('AFA Rates'!$O$5:$O$1004,$T1979))))</f>
        <v/>
      </c>
      <c r="G1979" s="50">
        <f>IF($T1979="","",IF($S1979="S",IF(INDEX(Firms!$F$5:$F$1004,$T1979)="","",INDEX(Firms!$F$5:$F$1004,$T1979)),IF(INDEX('AFA Rates'!$E$5:$E$1004,$T1979)="","",INDEX('AFA Rates'!$E$5:$E$1004,$T1979))))</f>
        <v/>
      </c>
      <c r="H1979" s="50">
        <f>IF($T1979="","",IF($S1979="S",IF(INDEX(Firms!$G$5:$G$1004,$T1979)="","",INDEX(Firms!$G$5:$G$1004,$T1979)),IF(INDEX('AFA Rates'!$F$5:$F$1004,$T1979)="","",INDEX('AFA Rates'!$F$5:$F$1004,$T1979))))</f>
        <v/>
      </c>
      <c r="I1979" s="50">
        <f>IF($T1979="","",IF($S1979="S",IF(INDEX(Firms!$H$5:$H$1004,$T1979)="","",INDEX(Firms!$H$5:$H$1004,$T1979)),IF(INDEX('AFA Rates'!$G$5:$G$1004,$T1979)="","",INDEX('AFA Rates'!$G$5:$G$1004,$T1979))))</f>
        <v/>
      </c>
      <c r="J1979" s="50">
        <f>IF($T1979="","",IF($S1979="S",IF(INDEX(Firms!$I$5:$I$1004,$T1979)="","",INDEX(Firms!$I$5:$I$1004,$T1979)),IF(INDEX('AFA Rates'!$H$5:$H$1004,$T1979)="","",INDEX('AFA Rates'!$H$5:$H$1004,$T1979))))</f>
        <v/>
      </c>
      <c r="K1979" s="50">
        <f>IF($T1979="","",IF($S1979="S",IF(INDEX(Firms!$J$5:$J$1004,$T1979)="","",INDEX(Firms!$J$5:$J$1004,$T1979)),IF(INDEX('AFA Rates'!$I$5:$I$1004,$T1979)="","",INDEX('AFA Rates'!$I$5:$I$1004,$T1979))))</f>
        <v/>
      </c>
      <c r="L1979" s="50">
        <f>IF($T1979="","",IF($S1979="S",IF(INDEX(Firms!$K$5:$K$1004,$T1979)="","",INDEX(Firms!$K$5:$K$1004,$T1979)),IF(INDEX('AFA Rates'!$J$5:$J$1004,$T1979)="","",INDEX('AFA Rates'!$J$5:$J$1004,$T1979))))</f>
        <v/>
      </c>
      <c r="M1979" s="50">
        <f>IF($T1979="","",IF($S1979="S",IF(INDEX(Firms!$L$5:$L$1004,$T1979)="","",INDEX(Firms!$L$5:$L$1004,$T1979)),IF(INDEX('AFA Rates'!$K$5:$K$1004,$T1979)="","",INDEX('AFA Rates'!$K$5:$K$1004,$T1979))))</f>
        <v/>
      </c>
      <c r="N1979" s="50">
        <f>IF($T1979="","",IF($S1979="S",IF(INDEX(Firms!$M$5:$M$1004,$T1979)="","",INDEX(Firms!$M$5:$M$1004,$T1979)),IF(INDEX('AFA Rates'!$L$5:$L$1004,$T1979)="","",INDEX('AFA Rates'!$L$5:$L$1004,$T1979))))</f>
        <v/>
      </c>
      <c r="O1979" s="78">
        <f>IF(OR($T1979="",$U1979=""),"",IF(INDEX(Firms!$C$5:$C$1004,$U1979)="","",INDEX(Firms!$C$5:$C$1004,$U1979)))</f>
        <v/>
      </c>
      <c r="P1979" s="79">
        <f>IF(OR($T1979="",$U1979=""),"",IF(INDEX(Firms!$N$5:$N$1004,$U1979)="","",INDEX(Firms!$N$5:$N$1004,$U1979)))</f>
        <v/>
      </c>
      <c r="Q1979" s="78">
        <f>IF($T1979="","",IF($S1979="S",IF(INDEX(Firms!$T$5:$T$1004,$T1979)="","",INDEX(Firms!$T$5:$T$1004,$T1979)),IF(INDEX('AFA Rates'!$M$5:$M$1004,$T1979)="","",INDEX('AFA Rates'!$M$5:$M$1004,$T1979))))</f>
        <v/>
      </c>
      <c r="S1979">
        <f>IF(1975&lt;=$S$2,"S",IF(1975&lt;=$S$2+$T$2,"A",""))</f>
        <v/>
      </c>
      <c r="T1979">
        <f>IF(S1979="S",MATCH(1975,Firms!$W$5:$W$1004,0),IF(S1979="A",IFERROR(MATCH(1975-$S$2,'AFA Rates'!$R$5:$R$1004,0),""),""))</f>
        <v/>
      </c>
      <c r="U1979">
        <f>IF(S1979="S",T1979,IF(AND(S1979="A",T1979&lt;&gt;""),IFERROR(MATCH(INDEX('AFA Rates'!$A$5:$A$1004,T1979),Firms!$A$5:$A$1004,0),""),""))</f>
        <v/>
      </c>
    </row>
    <row r="1980">
      <c r="A1980" s="78">
        <f>IF($T1980="","",IF($S1980="S",IF(INDEX(Firms!$A$5:$A$1004,$T1980)="","",INDEX(Firms!$A$5:$A$1004,$T1980)),IF(INDEX('AFA Rates'!$A$5:$A$1004,$T1980)="","",INDEX('AFA Rates'!$A$5:$A$1004,$T1980))))</f>
        <v/>
      </c>
      <c r="B1980" s="79">
        <f>IF(OR($T1980="",$U1980=""),IF($T1980="","","Not on Firms tab"),INDEX(Firms!$B$5:$B$1004,$U1980)&amp;"")</f>
        <v/>
      </c>
      <c r="C1980" s="78">
        <f>IF($T1980="","",IF($S1980="S","Standard",INDEX('AFA Rates'!$B$5:$B$1004,$T1980)&amp;""))</f>
        <v/>
      </c>
      <c r="D1980" s="88">
        <f>IF($T1980="","",IF($S1980="S",IF(INDEX(Firms!$E$5:$E$1004,$T1980)="","",INDEX(Firms!$E$5:$E$1004,$T1980)),IF(INDEX('AFA Rates'!$C$5:$C$1004,$T1980)="","",INDEX('AFA Rates'!$C$5:$C$1004,$T1980))))</f>
        <v/>
      </c>
      <c r="E1980" s="88">
        <f>IF($T1980="","",IF($S1980="S",IF(""="","",""),IF(INDEX('AFA Rates'!$D$5:$D$1004,$T1980)="","",INDEX('AFA Rates'!$D$5:$D$1004,$T1980))))</f>
        <v/>
      </c>
      <c r="F1980" s="79">
        <f>IF($T1980="","",IF($S1980="S",IF(INDEX(Firms!$O$5:$O$1004,$T1980)="","",INDEX(Firms!$O$5:$O$1004,$T1980)),IF(INDEX('AFA Rates'!$O$5:$O$1004,$T1980)="","",INDEX('AFA Rates'!$O$5:$O$1004,$T1980))))</f>
        <v/>
      </c>
      <c r="G1980" s="50">
        <f>IF($T1980="","",IF($S1980="S",IF(INDEX(Firms!$F$5:$F$1004,$T1980)="","",INDEX(Firms!$F$5:$F$1004,$T1980)),IF(INDEX('AFA Rates'!$E$5:$E$1004,$T1980)="","",INDEX('AFA Rates'!$E$5:$E$1004,$T1980))))</f>
        <v/>
      </c>
      <c r="H1980" s="50">
        <f>IF($T1980="","",IF($S1980="S",IF(INDEX(Firms!$G$5:$G$1004,$T1980)="","",INDEX(Firms!$G$5:$G$1004,$T1980)),IF(INDEX('AFA Rates'!$F$5:$F$1004,$T1980)="","",INDEX('AFA Rates'!$F$5:$F$1004,$T1980))))</f>
        <v/>
      </c>
      <c r="I1980" s="50">
        <f>IF($T1980="","",IF($S1980="S",IF(INDEX(Firms!$H$5:$H$1004,$T1980)="","",INDEX(Firms!$H$5:$H$1004,$T1980)),IF(INDEX('AFA Rates'!$G$5:$G$1004,$T1980)="","",INDEX('AFA Rates'!$G$5:$G$1004,$T1980))))</f>
        <v/>
      </c>
      <c r="J1980" s="50">
        <f>IF($T1980="","",IF($S1980="S",IF(INDEX(Firms!$I$5:$I$1004,$T1980)="","",INDEX(Firms!$I$5:$I$1004,$T1980)),IF(INDEX('AFA Rates'!$H$5:$H$1004,$T1980)="","",INDEX('AFA Rates'!$H$5:$H$1004,$T1980))))</f>
        <v/>
      </c>
      <c r="K1980" s="50">
        <f>IF($T1980="","",IF($S1980="S",IF(INDEX(Firms!$J$5:$J$1004,$T1980)="","",INDEX(Firms!$J$5:$J$1004,$T1980)),IF(INDEX('AFA Rates'!$I$5:$I$1004,$T1980)="","",INDEX('AFA Rates'!$I$5:$I$1004,$T1980))))</f>
        <v/>
      </c>
      <c r="L1980" s="50">
        <f>IF($T1980="","",IF($S1980="S",IF(INDEX(Firms!$K$5:$K$1004,$T1980)="","",INDEX(Firms!$K$5:$K$1004,$T1980)),IF(INDEX('AFA Rates'!$J$5:$J$1004,$T1980)="","",INDEX('AFA Rates'!$J$5:$J$1004,$T1980))))</f>
        <v/>
      </c>
      <c r="M1980" s="50">
        <f>IF($T1980="","",IF($S1980="S",IF(INDEX(Firms!$L$5:$L$1004,$T1980)="","",INDEX(Firms!$L$5:$L$1004,$T1980)),IF(INDEX('AFA Rates'!$K$5:$K$1004,$T1980)="","",INDEX('AFA Rates'!$K$5:$K$1004,$T1980))))</f>
        <v/>
      </c>
      <c r="N1980" s="50">
        <f>IF($T1980="","",IF($S1980="S",IF(INDEX(Firms!$M$5:$M$1004,$T1980)="","",INDEX(Firms!$M$5:$M$1004,$T1980)),IF(INDEX('AFA Rates'!$L$5:$L$1004,$T1980)="","",INDEX('AFA Rates'!$L$5:$L$1004,$T1980))))</f>
        <v/>
      </c>
      <c r="O1980" s="78">
        <f>IF(OR($T1980="",$U1980=""),"",IF(INDEX(Firms!$C$5:$C$1004,$U1980)="","",INDEX(Firms!$C$5:$C$1004,$U1980)))</f>
        <v/>
      </c>
      <c r="P1980" s="79">
        <f>IF(OR($T1980="",$U1980=""),"",IF(INDEX(Firms!$N$5:$N$1004,$U1980)="","",INDEX(Firms!$N$5:$N$1004,$U1980)))</f>
        <v/>
      </c>
      <c r="Q1980" s="78">
        <f>IF($T1980="","",IF($S1980="S",IF(INDEX(Firms!$T$5:$T$1004,$T1980)="","",INDEX(Firms!$T$5:$T$1004,$T1980)),IF(INDEX('AFA Rates'!$M$5:$M$1004,$T1980)="","",INDEX('AFA Rates'!$M$5:$M$1004,$T1980))))</f>
        <v/>
      </c>
      <c r="S1980">
        <f>IF(1976&lt;=$S$2,"S",IF(1976&lt;=$S$2+$T$2,"A",""))</f>
        <v/>
      </c>
      <c r="T1980">
        <f>IF(S1980="S",MATCH(1976,Firms!$W$5:$W$1004,0),IF(S1980="A",IFERROR(MATCH(1976-$S$2,'AFA Rates'!$R$5:$R$1004,0),""),""))</f>
        <v/>
      </c>
      <c r="U1980">
        <f>IF(S1980="S",T1980,IF(AND(S1980="A",T1980&lt;&gt;""),IFERROR(MATCH(INDEX('AFA Rates'!$A$5:$A$1004,T1980),Firms!$A$5:$A$1004,0),""),""))</f>
        <v/>
      </c>
    </row>
    <row r="1981">
      <c r="A1981" s="78">
        <f>IF($T1981="","",IF($S1981="S",IF(INDEX(Firms!$A$5:$A$1004,$T1981)="","",INDEX(Firms!$A$5:$A$1004,$T1981)),IF(INDEX('AFA Rates'!$A$5:$A$1004,$T1981)="","",INDEX('AFA Rates'!$A$5:$A$1004,$T1981))))</f>
        <v/>
      </c>
      <c r="B1981" s="79">
        <f>IF(OR($T1981="",$U1981=""),IF($T1981="","","Not on Firms tab"),INDEX(Firms!$B$5:$B$1004,$U1981)&amp;"")</f>
        <v/>
      </c>
      <c r="C1981" s="78">
        <f>IF($T1981="","",IF($S1981="S","Standard",INDEX('AFA Rates'!$B$5:$B$1004,$T1981)&amp;""))</f>
        <v/>
      </c>
      <c r="D1981" s="88">
        <f>IF($T1981="","",IF($S1981="S",IF(INDEX(Firms!$E$5:$E$1004,$T1981)="","",INDEX(Firms!$E$5:$E$1004,$T1981)),IF(INDEX('AFA Rates'!$C$5:$C$1004,$T1981)="","",INDEX('AFA Rates'!$C$5:$C$1004,$T1981))))</f>
        <v/>
      </c>
      <c r="E1981" s="88">
        <f>IF($T1981="","",IF($S1981="S",IF(""="","",""),IF(INDEX('AFA Rates'!$D$5:$D$1004,$T1981)="","",INDEX('AFA Rates'!$D$5:$D$1004,$T1981))))</f>
        <v/>
      </c>
      <c r="F1981" s="79">
        <f>IF($T1981="","",IF($S1981="S",IF(INDEX(Firms!$O$5:$O$1004,$T1981)="","",INDEX(Firms!$O$5:$O$1004,$T1981)),IF(INDEX('AFA Rates'!$O$5:$O$1004,$T1981)="","",INDEX('AFA Rates'!$O$5:$O$1004,$T1981))))</f>
        <v/>
      </c>
      <c r="G1981" s="50">
        <f>IF($T1981="","",IF($S1981="S",IF(INDEX(Firms!$F$5:$F$1004,$T1981)="","",INDEX(Firms!$F$5:$F$1004,$T1981)),IF(INDEX('AFA Rates'!$E$5:$E$1004,$T1981)="","",INDEX('AFA Rates'!$E$5:$E$1004,$T1981))))</f>
        <v/>
      </c>
      <c r="H1981" s="50">
        <f>IF($T1981="","",IF($S1981="S",IF(INDEX(Firms!$G$5:$G$1004,$T1981)="","",INDEX(Firms!$G$5:$G$1004,$T1981)),IF(INDEX('AFA Rates'!$F$5:$F$1004,$T1981)="","",INDEX('AFA Rates'!$F$5:$F$1004,$T1981))))</f>
        <v/>
      </c>
      <c r="I1981" s="50">
        <f>IF($T1981="","",IF($S1981="S",IF(INDEX(Firms!$H$5:$H$1004,$T1981)="","",INDEX(Firms!$H$5:$H$1004,$T1981)),IF(INDEX('AFA Rates'!$G$5:$G$1004,$T1981)="","",INDEX('AFA Rates'!$G$5:$G$1004,$T1981))))</f>
        <v/>
      </c>
      <c r="J1981" s="50">
        <f>IF($T1981="","",IF($S1981="S",IF(INDEX(Firms!$I$5:$I$1004,$T1981)="","",INDEX(Firms!$I$5:$I$1004,$T1981)),IF(INDEX('AFA Rates'!$H$5:$H$1004,$T1981)="","",INDEX('AFA Rates'!$H$5:$H$1004,$T1981))))</f>
        <v/>
      </c>
      <c r="K1981" s="50">
        <f>IF($T1981="","",IF($S1981="S",IF(INDEX(Firms!$J$5:$J$1004,$T1981)="","",INDEX(Firms!$J$5:$J$1004,$T1981)),IF(INDEX('AFA Rates'!$I$5:$I$1004,$T1981)="","",INDEX('AFA Rates'!$I$5:$I$1004,$T1981))))</f>
        <v/>
      </c>
      <c r="L1981" s="50">
        <f>IF($T1981="","",IF($S1981="S",IF(INDEX(Firms!$K$5:$K$1004,$T1981)="","",INDEX(Firms!$K$5:$K$1004,$T1981)),IF(INDEX('AFA Rates'!$J$5:$J$1004,$T1981)="","",INDEX('AFA Rates'!$J$5:$J$1004,$T1981))))</f>
        <v/>
      </c>
      <c r="M1981" s="50">
        <f>IF($T1981="","",IF($S1981="S",IF(INDEX(Firms!$L$5:$L$1004,$T1981)="","",INDEX(Firms!$L$5:$L$1004,$T1981)),IF(INDEX('AFA Rates'!$K$5:$K$1004,$T1981)="","",INDEX('AFA Rates'!$K$5:$K$1004,$T1981))))</f>
        <v/>
      </c>
      <c r="N1981" s="50">
        <f>IF($T1981="","",IF($S1981="S",IF(INDEX(Firms!$M$5:$M$1004,$T1981)="","",INDEX(Firms!$M$5:$M$1004,$T1981)),IF(INDEX('AFA Rates'!$L$5:$L$1004,$T1981)="","",INDEX('AFA Rates'!$L$5:$L$1004,$T1981))))</f>
        <v/>
      </c>
      <c r="O1981" s="78">
        <f>IF(OR($T1981="",$U1981=""),"",IF(INDEX(Firms!$C$5:$C$1004,$U1981)="","",INDEX(Firms!$C$5:$C$1004,$U1981)))</f>
        <v/>
      </c>
      <c r="P1981" s="79">
        <f>IF(OR($T1981="",$U1981=""),"",IF(INDEX(Firms!$N$5:$N$1004,$U1981)="","",INDEX(Firms!$N$5:$N$1004,$U1981)))</f>
        <v/>
      </c>
      <c r="Q1981" s="78">
        <f>IF($T1981="","",IF($S1981="S",IF(INDEX(Firms!$T$5:$T$1004,$T1981)="","",INDEX(Firms!$T$5:$T$1004,$T1981)),IF(INDEX('AFA Rates'!$M$5:$M$1004,$T1981)="","",INDEX('AFA Rates'!$M$5:$M$1004,$T1981))))</f>
        <v/>
      </c>
      <c r="S1981">
        <f>IF(1977&lt;=$S$2,"S",IF(1977&lt;=$S$2+$T$2,"A",""))</f>
        <v/>
      </c>
      <c r="T1981">
        <f>IF(S1981="S",MATCH(1977,Firms!$W$5:$W$1004,0),IF(S1981="A",IFERROR(MATCH(1977-$S$2,'AFA Rates'!$R$5:$R$1004,0),""),""))</f>
        <v/>
      </c>
      <c r="U1981">
        <f>IF(S1981="S",T1981,IF(AND(S1981="A",T1981&lt;&gt;""),IFERROR(MATCH(INDEX('AFA Rates'!$A$5:$A$1004,T1981),Firms!$A$5:$A$1004,0),""),""))</f>
        <v/>
      </c>
    </row>
    <row r="1982">
      <c r="A1982" s="78">
        <f>IF($T1982="","",IF($S1982="S",IF(INDEX(Firms!$A$5:$A$1004,$T1982)="","",INDEX(Firms!$A$5:$A$1004,$T1982)),IF(INDEX('AFA Rates'!$A$5:$A$1004,$T1982)="","",INDEX('AFA Rates'!$A$5:$A$1004,$T1982))))</f>
        <v/>
      </c>
      <c r="B1982" s="79">
        <f>IF(OR($T1982="",$U1982=""),IF($T1982="","","Not on Firms tab"),INDEX(Firms!$B$5:$B$1004,$U1982)&amp;"")</f>
        <v/>
      </c>
      <c r="C1982" s="78">
        <f>IF($T1982="","",IF($S1982="S","Standard",INDEX('AFA Rates'!$B$5:$B$1004,$T1982)&amp;""))</f>
        <v/>
      </c>
      <c r="D1982" s="88">
        <f>IF($T1982="","",IF($S1982="S",IF(INDEX(Firms!$E$5:$E$1004,$T1982)="","",INDEX(Firms!$E$5:$E$1004,$T1982)),IF(INDEX('AFA Rates'!$C$5:$C$1004,$T1982)="","",INDEX('AFA Rates'!$C$5:$C$1004,$T1982))))</f>
        <v/>
      </c>
      <c r="E1982" s="88">
        <f>IF($T1982="","",IF($S1982="S",IF(""="","",""),IF(INDEX('AFA Rates'!$D$5:$D$1004,$T1982)="","",INDEX('AFA Rates'!$D$5:$D$1004,$T1982))))</f>
        <v/>
      </c>
      <c r="F1982" s="79">
        <f>IF($T1982="","",IF($S1982="S",IF(INDEX(Firms!$O$5:$O$1004,$T1982)="","",INDEX(Firms!$O$5:$O$1004,$T1982)),IF(INDEX('AFA Rates'!$O$5:$O$1004,$T1982)="","",INDEX('AFA Rates'!$O$5:$O$1004,$T1982))))</f>
        <v/>
      </c>
      <c r="G1982" s="50">
        <f>IF($T1982="","",IF($S1982="S",IF(INDEX(Firms!$F$5:$F$1004,$T1982)="","",INDEX(Firms!$F$5:$F$1004,$T1982)),IF(INDEX('AFA Rates'!$E$5:$E$1004,$T1982)="","",INDEX('AFA Rates'!$E$5:$E$1004,$T1982))))</f>
        <v/>
      </c>
      <c r="H1982" s="50">
        <f>IF($T1982="","",IF($S1982="S",IF(INDEX(Firms!$G$5:$G$1004,$T1982)="","",INDEX(Firms!$G$5:$G$1004,$T1982)),IF(INDEX('AFA Rates'!$F$5:$F$1004,$T1982)="","",INDEX('AFA Rates'!$F$5:$F$1004,$T1982))))</f>
        <v/>
      </c>
      <c r="I1982" s="50">
        <f>IF($T1982="","",IF($S1982="S",IF(INDEX(Firms!$H$5:$H$1004,$T1982)="","",INDEX(Firms!$H$5:$H$1004,$T1982)),IF(INDEX('AFA Rates'!$G$5:$G$1004,$T1982)="","",INDEX('AFA Rates'!$G$5:$G$1004,$T1982))))</f>
        <v/>
      </c>
      <c r="J1982" s="50">
        <f>IF($T1982="","",IF($S1982="S",IF(INDEX(Firms!$I$5:$I$1004,$T1982)="","",INDEX(Firms!$I$5:$I$1004,$T1982)),IF(INDEX('AFA Rates'!$H$5:$H$1004,$T1982)="","",INDEX('AFA Rates'!$H$5:$H$1004,$T1982))))</f>
        <v/>
      </c>
      <c r="K1982" s="50">
        <f>IF($T1982="","",IF($S1982="S",IF(INDEX(Firms!$J$5:$J$1004,$T1982)="","",INDEX(Firms!$J$5:$J$1004,$T1982)),IF(INDEX('AFA Rates'!$I$5:$I$1004,$T1982)="","",INDEX('AFA Rates'!$I$5:$I$1004,$T1982))))</f>
        <v/>
      </c>
      <c r="L1982" s="50">
        <f>IF($T1982="","",IF($S1982="S",IF(INDEX(Firms!$K$5:$K$1004,$T1982)="","",INDEX(Firms!$K$5:$K$1004,$T1982)),IF(INDEX('AFA Rates'!$J$5:$J$1004,$T1982)="","",INDEX('AFA Rates'!$J$5:$J$1004,$T1982))))</f>
        <v/>
      </c>
      <c r="M1982" s="50">
        <f>IF($T1982="","",IF($S1982="S",IF(INDEX(Firms!$L$5:$L$1004,$T1982)="","",INDEX(Firms!$L$5:$L$1004,$T1982)),IF(INDEX('AFA Rates'!$K$5:$K$1004,$T1982)="","",INDEX('AFA Rates'!$K$5:$K$1004,$T1982))))</f>
        <v/>
      </c>
      <c r="N1982" s="50">
        <f>IF($T1982="","",IF($S1982="S",IF(INDEX(Firms!$M$5:$M$1004,$T1982)="","",INDEX(Firms!$M$5:$M$1004,$T1982)),IF(INDEX('AFA Rates'!$L$5:$L$1004,$T1982)="","",INDEX('AFA Rates'!$L$5:$L$1004,$T1982))))</f>
        <v/>
      </c>
      <c r="O1982" s="78">
        <f>IF(OR($T1982="",$U1982=""),"",IF(INDEX(Firms!$C$5:$C$1004,$U1982)="","",INDEX(Firms!$C$5:$C$1004,$U1982)))</f>
        <v/>
      </c>
      <c r="P1982" s="79">
        <f>IF(OR($T1982="",$U1982=""),"",IF(INDEX(Firms!$N$5:$N$1004,$U1982)="","",INDEX(Firms!$N$5:$N$1004,$U1982)))</f>
        <v/>
      </c>
      <c r="Q1982" s="78">
        <f>IF($T1982="","",IF($S1982="S",IF(INDEX(Firms!$T$5:$T$1004,$T1982)="","",INDEX(Firms!$T$5:$T$1004,$T1982)),IF(INDEX('AFA Rates'!$M$5:$M$1004,$T1982)="","",INDEX('AFA Rates'!$M$5:$M$1004,$T1982))))</f>
        <v/>
      </c>
      <c r="S1982">
        <f>IF(1978&lt;=$S$2,"S",IF(1978&lt;=$S$2+$T$2,"A",""))</f>
        <v/>
      </c>
      <c r="T1982">
        <f>IF(S1982="S",MATCH(1978,Firms!$W$5:$W$1004,0),IF(S1982="A",IFERROR(MATCH(1978-$S$2,'AFA Rates'!$R$5:$R$1004,0),""),""))</f>
        <v/>
      </c>
      <c r="U1982">
        <f>IF(S1982="S",T1982,IF(AND(S1982="A",T1982&lt;&gt;""),IFERROR(MATCH(INDEX('AFA Rates'!$A$5:$A$1004,T1982),Firms!$A$5:$A$1004,0),""),""))</f>
        <v/>
      </c>
    </row>
    <row r="1983">
      <c r="A1983" s="78">
        <f>IF($T1983="","",IF($S1983="S",IF(INDEX(Firms!$A$5:$A$1004,$T1983)="","",INDEX(Firms!$A$5:$A$1004,$T1983)),IF(INDEX('AFA Rates'!$A$5:$A$1004,$T1983)="","",INDEX('AFA Rates'!$A$5:$A$1004,$T1983))))</f>
        <v/>
      </c>
      <c r="B1983" s="79">
        <f>IF(OR($T1983="",$U1983=""),IF($T1983="","","Not on Firms tab"),INDEX(Firms!$B$5:$B$1004,$U1983)&amp;"")</f>
        <v/>
      </c>
      <c r="C1983" s="78">
        <f>IF($T1983="","",IF($S1983="S","Standard",INDEX('AFA Rates'!$B$5:$B$1004,$T1983)&amp;""))</f>
        <v/>
      </c>
      <c r="D1983" s="88">
        <f>IF($T1983="","",IF($S1983="S",IF(INDEX(Firms!$E$5:$E$1004,$T1983)="","",INDEX(Firms!$E$5:$E$1004,$T1983)),IF(INDEX('AFA Rates'!$C$5:$C$1004,$T1983)="","",INDEX('AFA Rates'!$C$5:$C$1004,$T1983))))</f>
        <v/>
      </c>
      <c r="E1983" s="88">
        <f>IF($T1983="","",IF($S1983="S",IF(""="","",""),IF(INDEX('AFA Rates'!$D$5:$D$1004,$T1983)="","",INDEX('AFA Rates'!$D$5:$D$1004,$T1983))))</f>
        <v/>
      </c>
      <c r="F1983" s="79">
        <f>IF($T1983="","",IF($S1983="S",IF(INDEX(Firms!$O$5:$O$1004,$T1983)="","",INDEX(Firms!$O$5:$O$1004,$T1983)),IF(INDEX('AFA Rates'!$O$5:$O$1004,$T1983)="","",INDEX('AFA Rates'!$O$5:$O$1004,$T1983))))</f>
        <v/>
      </c>
      <c r="G1983" s="50">
        <f>IF($T1983="","",IF($S1983="S",IF(INDEX(Firms!$F$5:$F$1004,$T1983)="","",INDEX(Firms!$F$5:$F$1004,$T1983)),IF(INDEX('AFA Rates'!$E$5:$E$1004,$T1983)="","",INDEX('AFA Rates'!$E$5:$E$1004,$T1983))))</f>
        <v/>
      </c>
      <c r="H1983" s="50">
        <f>IF($T1983="","",IF($S1983="S",IF(INDEX(Firms!$G$5:$G$1004,$T1983)="","",INDEX(Firms!$G$5:$G$1004,$T1983)),IF(INDEX('AFA Rates'!$F$5:$F$1004,$T1983)="","",INDEX('AFA Rates'!$F$5:$F$1004,$T1983))))</f>
        <v/>
      </c>
      <c r="I1983" s="50">
        <f>IF($T1983="","",IF($S1983="S",IF(INDEX(Firms!$H$5:$H$1004,$T1983)="","",INDEX(Firms!$H$5:$H$1004,$T1983)),IF(INDEX('AFA Rates'!$G$5:$G$1004,$T1983)="","",INDEX('AFA Rates'!$G$5:$G$1004,$T1983))))</f>
        <v/>
      </c>
      <c r="J1983" s="50">
        <f>IF($T1983="","",IF($S1983="S",IF(INDEX(Firms!$I$5:$I$1004,$T1983)="","",INDEX(Firms!$I$5:$I$1004,$T1983)),IF(INDEX('AFA Rates'!$H$5:$H$1004,$T1983)="","",INDEX('AFA Rates'!$H$5:$H$1004,$T1983))))</f>
        <v/>
      </c>
      <c r="K1983" s="50">
        <f>IF($T1983="","",IF($S1983="S",IF(INDEX(Firms!$J$5:$J$1004,$T1983)="","",INDEX(Firms!$J$5:$J$1004,$T1983)),IF(INDEX('AFA Rates'!$I$5:$I$1004,$T1983)="","",INDEX('AFA Rates'!$I$5:$I$1004,$T1983))))</f>
        <v/>
      </c>
      <c r="L1983" s="50">
        <f>IF($T1983="","",IF($S1983="S",IF(INDEX(Firms!$K$5:$K$1004,$T1983)="","",INDEX(Firms!$K$5:$K$1004,$T1983)),IF(INDEX('AFA Rates'!$J$5:$J$1004,$T1983)="","",INDEX('AFA Rates'!$J$5:$J$1004,$T1983))))</f>
        <v/>
      </c>
      <c r="M1983" s="50">
        <f>IF($T1983="","",IF($S1983="S",IF(INDEX(Firms!$L$5:$L$1004,$T1983)="","",INDEX(Firms!$L$5:$L$1004,$T1983)),IF(INDEX('AFA Rates'!$K$5:$K$1004,$T1983)="","",INDEX('AFA Rates'!$K$5:$K$1004,$T1983))))</f>
        <v/>
      </c>
      <c r="N1983" s="50">
        <f>IF($T1983="","",IF($S1983="S",IF(INDEX(Firms!$M$5:$M$1004,$T1983)="","",INDEX(Firms!$M$5:$M$1004,$T1983)),IF(INDEX('AFA Rates'!$L$5:$L$1004,$T1983)="","",INDEX('AFA Rates'!$L$5:$L$1004,$T1983))))</f>
        <v/>
      </c>
      <c r="O1983" s="78">
        <f>IF(OR($T1983="",$U1983=""),"",IF(INDEX(Firms!$C$5:$C$1004,$U1983)="","",INDEX(Firms!$C$5:$C$1004,$U1983)))</f>
        <v/>
      </c>
      <c r="P1983" s="79">
        <f>IF(OR($T1983="",$U1983=""),"",IF(INDEX(Firms!$N$5:$N$1004,$U1983)="","",INDEX(Firms!$N$5:$N$1004,$U1983)))</f>
        <v/>
      </c>
      <c r="Q1983" s="78">
        <f>IF($T1983="","",IF($S1983="S",IF(INDEX(Firms!$T$5:$T$1004,$T1983)="","",INDEX(Firms!$T$5:$T$1004,$T1983)),IF(INDEX('AFA Rates'!$M$5:$M$1004,$T1983)="","",INDEX('AFA Rates'!$M$5:$M$1004,$T1983))))</f>
        <v/>
      </c>
      <c r="S1983">
        <f>IF(1979&lt;=$S$2,"S",IF(1979&lt;=$S$2+$T$2,"A",""))</f>
        <v/>
      </c>
      <c r="T1983">
        <f>IF(S1983="S",MATCH(1979,Firms!$W$5:$W$1004,0),IF(S1983="A",IFERROR(MATCH(1979-$S$2,'AFA Rates'!$R$5:$R$1004,0),""),""))</f>
        <v/>
      </c>
      <c r="U1983">
        <f>IF(S1983="S",T1983,IF(AND(S1983="A",T1983&lt;&gt;""),IFERROR(MATCH(INDEX('AFA Rates'!$A$5:$A$1004,T1983),Firms!$A$5:$A$1004,0),""),""))</f>
        <v/>
      </c>
    </row>
    <row r="1984">
      <c r="A1984" s="78">
        <f>IF($T1984="","",IF($S1984="S",IF(INDEX(Firms!$A$5:$A$1004,$T1984)="","",INDEX(Firms!$A$5:$A$1004,$T1984)),IF(INDEX('AFA Rates'!$A$5:$A$1004,$T1984)="","",INDEX('AFA Rates'!$A$5:$A$1004,$T1984))))</f>
        <v/>
      </c>
      <c r="B1984" s="79">
        <f>IF(OR($T1984="",$U1984=""),IF($T1984="","","Not on Firms tab"),INDEX(Firms!$B$5:$B$1004,$U1984)&amp;"")</f>
        <v/>
      </c>
      <c r="C1984" s="78">
        <f>IF($T1984="","",IF($S1984="S","Standard",INDEX('AFA Rates'!$B$5:$B$1004,$T1984)&amp;""))</f>
        <v/>
      </c>
      <c r="D1984" s="88">
        <f>IF($T1984="","",IF($S1984="S",IF(INDEX(Firms!$E$5:$E$1004,$T1984)="","",INDEX(Firms!$E$5:$E$1004,$T1984)),IF(INDEX('AFA Rates'!$C$5:$C$1004,$T1984)="","",INDEX('AFA Rates'!$C$5:$C$1004,$T1984))))</f>
        <v/>
      </c>
      <c r="E1984" s="88">
        <f>IF($T1984="","",IF($S1984="S",IF(""="","",""),IF(INDEX('AFA Rates'!$D$5:$D$1004,$T1984)="","",INDEX('AFA Rates'!$D$5:$D$1004,$T1984))))</f>
        <v/>
      </c>
      <c r="F1984" s="79">
        <f>IF($T1984="","",IF($S1984="S",IF(INDEX(Firms!$O$5:$O$1004,$T1984)="","",INDEX(Firms!$O$5:$O$1004,$T1984)),IF(INDEX('AFA Rates'!$O$5:$O$1004,$T1984)="","",INDEX('AFA Rates'!$O$5:$O$1004,$T1984))))</f>
        <v/>
      </c>
      <c r="G1984" s="50">
        <f>IF($T1984="","",IF($S1984="S",IF(INDEX(Firms!$F$5:$F$1004,$T1984)="","",INDEX(Firms!$F$5:$F$1004,$T1984)),IF(INDEX('AFA Rates'!$E$5:$E$1004,$T1984)="","",INDEX('AFA Rates'!$E$5:$E$1004,$T1984))))</f>
        <v/>
      </c>
      <c r="H1984" s="50">
        <f>IF($T1984="","",IF($S1984="S",IF(INDEX(Firms!$G$5:$G$1004,$T1984)="","",INDEX(Firms!$G$5:$G$1004,$T1984)),IF(INDEX('AFA Rates'!$F$5:$F$1004,$T1984)="","",INDEX('AFA Rates'!$F$5:$F$1004,$T1984))))</f>
        <v/>
      </c>
      <c r="I1984" s="50">
        <f>IF($T1984="","",IF($S1984="S",IF(INDEX(Firms!$H$5:$H$1004,$T1984)="","",INDEX(Firms!$H$5:$H$1004,$T1984)),IF(INDEX('AFA Rates'!$G$5:$G$1004,$T1984)="","",INDEX('AFA Rates'!$G$5:$G$1004,$T1984))))</f>
        <v/>
      </c>
      <c r="J1984" s="50">
        <f>IF($T1984="","",IF($S1984="S",IF(INDEX(Firms!$I$5:$I$1004,$T1984)="","",INDEX(Firms!$I$5:$I$1004,$T1984)),IF(INDEX('AFA Rates'!$H$5:$H$1004,$T1984)="","",INDEX('AFA Rates'!$H$5:$H$1004,$T1984))))</f>
        <v/>
      </c>
      <c r="K1984" s="50">
        <f>IF($T1984="","",IF($S1984="S",IF(INDEX(Firms!$J$5:$J$1004,$T1984)="","",INDEX(Firms!$J$5:$J$1004,$T1984)),IF(INDEX('AFA Rates'!$I$5:$I$1004,$T1984)="","",INDEX('AFA Rates'!$I$5:$I$1004,$T1984))))</f>
        <v/>
      </c>
      <c r="L1984" s="50">
        <f>IF($T1984="","",IF($S1984="S",IF(INDEX(Firms!$K$5:$K$1004,$T1984)="","",INDEX(Firms!$K$5:$K$1004,$T1984)),IF(INDEX('AFA Rates'!$J$5:$J$1004,$T1984)="","",INDEX('AFA Rates'!$J$5:$J$1004,$T1984))))</f>
        <v/>
      </c>
      <c r="M1984" s="50">
        <f>IF($T1984="","",IF($S1984="S",IF(INDEX(Firms!$L$5:$L$1004,$T1984)="","",INDEX(Firms!$L$5:$L$1004,$T1984)),IF(INDEX('AFA Rates'!$K$5:$K$1004,$T1984)="","",INDEX('AFA Rates'!$K$5:$K$1004,$T1984))))</f>
        <v/>
      </c>
      <c r="N1984" s="50">
        <f>IF($T1984="","",IF($S1984="S",IF(INDEX(Firms!$M$5:$M$1004,$T1984)="","",INDEX(Firms!$M$5:$M$1004,$T1984)),IF(INDEX('AFA Rates'!$L$5:$L$1004,$T1984)="","",INDEX('AFA Rates'!$L$5:$L$1004,$T1984))))</f>
        <v/>
      </c>
      <c r="O1984" s="78">
        <f>IF(OR($T1984="",$U1984=""),"",IF(INDEX(Firms!$C$5:$C$1004,$U1984)="","",INDEX(Firms!$C$5:$C$1004,$U1984)))</f>
        <v/>
      </c>
      <c r="P1984" s="79">
        <f>IF(OR($T1984="",$U1984=""),"",IF(INDEX(Firms!$N$5:$N$1004,$U1984)="","",INDEX(Firms!$N$5:$N$1004,$U1984)))</f>
        <v/>
      </c>
      <c r="Q1984" s="78">
        <f>IF($T1984="","",IF($S1984="S",IF(INDEX(Firms!$T$5:$T$1004,$T1984)="","",INDEX(Firms!$T$5:$T$1004,$T1984)),IF(INDEX('AFA Rates'!$M$5:$M$1004,$T1984)="","",INDEX('AFA Rates'!$M$5:$M$1004,$T1984))))</f>
        <v/>
      </c>
      <c r="S1984">
        <f>IF(1980&lt;=$S$2,"S",IF(1980&lt;=$S$2+$T$2,"A",""))</f>
        <v/>
      </c>
      <c r="T1984">
        <f>IF(S1984="S",MATCH(1980,Firms!$W$5:$W$1004,0),IF(S1984="A",IFERROR(MATCH(1980-$S$2,'AFA Rates'!$R$5:$R$1004,0),""),""))</f>
        <v/>
      </c>
      <c r="U1984">
        <f>IF(S1984="S",T1984,IF(AND(S1984="A",T1984&lt;&gt;""),IFERROR(MATCH(INDEX('AFA Rates'!$A$5:$A$1004,T1984),Firms!$A$5:$A$1004,0),""),""))</f>
        <v/>
      </c>
    </row>
    <row r="1985">
      <c r="A1985" s="78">
        <f>IF($T1985="","",IF($S1985="S",IF(INDEX(Firms!$A$5:$A$1004,$T1985)="","",INDEX(Firms!$A$5:$A$1004,$T1985)),IF(INDEX('AFA Rates'!$A$5:$A$1004,$T1985)="","",INDEX('AFA Rates'!$A$5:$A$1004,$T1985))))</f>
        <v/>
      </c>
      <c r="B1985" s="79">
        <f>IF(OR($T1985="",$U1985=""),IF($T1985="","","Not on Firms tab"),INDEX(Firms!$B$5:$B$1004,$U1985)&amp;"")</f>
        <v/>
      </c>
      <c r="C1985" s="78">
        <f>IF($T1985="","",IF($S1985="S","Standard",INDEX('AFA Rates'!$B$5:$B$1004,$T1985)&amp;""))</f>
        <v/>
      </c>
      <c r="D1985" s="88">
        <f>IF($T1985="","",IF($S1985="S",IF(INDEX(Firms!$E$5:$E$1004,$T1985)="","",INDEX(Firms!$E$5:$E$1004,$T1985)),IF(INDEX('AFA Rates'!$C$5:$C$1004,$T1985)="","",INDEX('AFA Rates'!$C$5:$C$1004,$T1985))))</f>
        <v/>
      </c>
      <c r="E1985" s="88">
        <f>IF($T1985="","",IF($S1985="S",IF(""="","",""),IF(INDEX('AFA Rates'!$D$5:$D$1004,$T1985)="","",INDEX('AFA Rates'!$D$5:$D$1004,$T1985))))</f>
        <v/>
      </c>
      <c r="F1985" s="79">
        <f>IF($T1985="","",IF($S1985="S",IF(INDEX(Firms!$O$5:$O$1004,$T1985)="","",INDEX(Firms!$O$5:$O$1004,$T1985)),IF(INDEX('AFA Rates'!$O$5:$O$1004,$T1985)="","",INDEX('AFA Rates'!$O$5:$O$1004,$T1985))))</f>
        <v/>
      </c>
      <c r="G1985" s="50">
        <f>IF($T1985="","",IF($S1985="S",IF(INDEX(Firms!$F$5:$F$1004,$T1985)="","",INDEX(Firms!$F$5:$F$1004,$T1985)),IF(INDEX('AFA Rates'!$E$5:$E$1004,$T1985)="","",INDEX('AFA Rates'!$E$5:$E$1004,$T1985))))</f>
        <v/>
      </c>
      <c r="H1985" s="50">
        <f>IF($T1985="","",IF($S1985="S",IF(INDEX(Firms!$G$5:$G$1004,$T1985)="","",INDEX(Firms!$G$5:$G$1004,$T1985)),IF(INDEX('AFA Rates'!$F$5:$F$1004,$T1985)="","",INDEX('AFA Rates'!$F$5:$F$1004,$T1985))))</f>
        <v/>
      </c>
      <c r="I1985" s="50">
        <f>IF($T1985="","",IF($S1985="S",IF(INDEX(Firms!$H$5:$H$1004,$T1985)="","",INDEX(Firms!$H$5:$H$1004,$T1985)),IF(INDEX('AFA Rates'!$G$5:$G$1004,$T1985)="","",INDEX('AFA Rates'!$G$5:$G$1004,$T1985))))</f>
        <v/>
      </c>
      <c r="J1985" s="50">
        <f>IF($T1985="","",IF($S1985="S",IF(INDEX(Firms!$I$5:$I$1004,$T1985)="","",INDEX(Firms!$I$5:$I$1004,$T1985)),IF(INDEX('AFA Rates'!$H$5:$H$1004,$T1985)="","",INDEX('AFA Rates'!$H$5:$H$1004,$T1985))))</f>
        <v/>
      </c>
      <c r="K1985" s="50">
        <f>IF($T1985="","",IF($S1985="S",IF(INDEX(Firms!$J$5:$J$1004,$T1985)="","",INDEX(Firms!$J$5:$J$1004,$T1985)),IF(INDEX('AFA Rates'!$I$5:$I$1004,$T1985)="","",INDEX('AFA Rates'!$I$5:$I$1004,$T1985))))</f>
        <v/>
      </c>
      <c r="L1985" s="50">
        <f>IF($T1985="","",IF($S1985="S",IF(INDEX(Firms!$K$5:$K$1004,$T1985)="","",INDEX(Firms!$K$5:$K$1004,$T1985)),IF(INDEX('AFA Rates'!$J$5:$J$1004,$T1985)="","",INDEX('AFA Rates'!$J$5:$J$1004,$T1985))))</f>
        <v/>
      </c>
      <c r="M1985" s="50">
        <f>IF($T1985="","",IF($S1985="S",IF(INDEX(Firms!$L$5:$L$1004,$T1985)="","",INDEX(Firms!$L$5:$L$1004,$T1985)),IF(INDEX('AFA Rates'!$K$5:$K$1004,$T1985)="","",INDEX('AFA Rates'!$K$5:$K$1004,$T1985))))</f>
        <v/>
      </c>
      <c r="N1985" s="50">
        <f>IF($T1985="","",IF($S1985="S",IF(INDEX(Firms!$M$5:$M$1004,$T1985)="","",INDEX(Firms!$M$5:$M$1004,$T1985)),IF(INDEX('AFA Rates'!$L$5:$L$1004,$T1985)="","",INDEX('AFA Rates'!$L$5:$L$1004,$T1985))))</f>
        <v/>
      </c>
      <c r="O1985" s="78">
        <f>IF(OR($T1985="",$U1985=""),"",IF(INDEX(Firms!$C$5:$C$1004,$U1985)="","",INDEX(Firms!$C$5:$C$1004,$U1985)))</f>
        <v/>
      </c>
      <c r="P1985" s="79">
        <f>IF(OR($T1985="",$U1985=""),"",IF(INDEX(Firms!$N$5:$N$1004,$U1985)="","",INDEX(Firms!$N$5:$N$1004,$U1985)))</f>
        <v/>
      </c>
      <c r="Q1985" s="78">
        <f>IF($T1985="","",IF($S1985="S",IF(INDEX(Firms!$T$5:$T$1004,$T1985)="","",INDEX(Firms!$T$5:$T$1004,$T1985)),IF(INDEX('AFA Rates'!$M$5:$M$1004,$T1985)="","",INDEX('AFA Rates'!$M$5:$M$1004,$T1985))))</f>
        <v/>
      </c>
      <c r="S1985">
        <f>IF(1981&lt;=$S$2,"S",IF(1981&lt;=$S$2+$T$2,"A",""))</f>
        <v/>
      </c>
      <c r="T1985">
        <f>IF(S1985="S",MATCH(1981,Firms!$W$5:$W$1004,0),IF(S1985="A",IFERROR(MATCH(1981-$S$2,'AFA Rates'!$R$5:$R$1004,0),""),""))</f>
        <v/>
      </c>
      <c r="U1985">
        <f>IF(S1985="S",T1985,IF(AND(S1985="A",T1985&lt;&gt;""),IFERROR(MATCH(INDEX('AFA Rates'!$A$5:$A$1004,T1985),Firms!$A$5:$A$1004,0),""),""))</f>
        <v/>
      </c>
    </row>
    <row r="1986">
      <c r="A1986" s="78">
        <f>IF($T1986="","",IF($S1986="S",IF(INDEX(Firms!$A$5:$A$1004,$T1986)="","",INDEX(Firms!$A$5:$A$1004,$T1986)),IF(INDEX('AFA Rates'!$A$5:$A$1004,$T1986)="","",INDEX('AFA Rates'!$A$5:$A$1004,$T1986))))</f>
        <v/>
      </c>
      <c r="B1986" s="79">
        <f>IF(OR($T1986="",$U1986=""),IF($T1986="","","Not on Firms tab"),INDEX(Firms!$B$5:$B$1004,$U1986)&amp;"")</f>
        <v/>
      </c>
      <c r="C1986" s="78">
        <f>IF($T1986="","",IF($S1986="S","Standard",INDEX('AFA Rates'!$B$5:$B$1004,$T1986)&amp;""))</f>
        <v/>
      </c>
      <c r="D1986" s="88">
        <f>IF($T1986="","",IF($S1986="S",IF(INDEX(Firms!$E$5:$E$1004,$T1986)="","",INDEX(Firms!$E$5:$E$1004,$T1986)),IF(INDEX('AFA Rates'!$C$5:$C$1004,$T1986)="","",INDEX('AFA Rates'!$C$5:$C$1004,$T1986))))</f>
        <v/>
      </c>
      <c r="E1986" s="88">
        <f>IF($T1986="","",IF($S1986="S",IF(""="","",""),IF(INDEX('AFA Rates'!$D$5:$D$1004,$T1986)="","",INDEX('AFA Rates'!$D$5:$D$1004,$T1986))))</f>
        <v/>
      </c>
      <c r="F1986" s="79">
        <f>IF($T1986="","",IF($S1986="S",IF(INDEX(Firms!$O$5:$O$1004,$T1986)="","",INDEX(Firms!$O$5:$O$1004,$T1986)),IF(INDEX('AFA Rates'!$O$5:$O$1004,$T1986)="","",INDEX('AFA Rates'!$O$5:$O$1004,$T1986))))</f>
        <v/>
      </c>
      <c r="G1986" s="50">
        <f>IF($T1986="","",IF($S1986="S",IF(INDEX(Firms!$F$5:$F$1004,$T1986)="","",INDEX(Firms!$F$5:$F$1004,$T1986)),IF(INDEX('AFA Rates'!$E$5:$E$1004,$T1986)="","",INDEX('AFA Rates'!$E$5:$E$1004,$T1986))))</f>
        <v/>
      </c>
      <c r="H1986" s="50">
        <f>IF($T1986="","",IF($S1986="S",IF(INDEX(Firms!$G$5:$G$1004,$T1986)="","",INDEX(Firms!$G$5:$G$1004,$T1986)),IF(INDEX('AFA Rates'!$F$5:$F$1004,$T1986)="","",INDEX('AFA Rates'!$F$5:$F$1004,$T1986))))</f>
        <v/>
      </c>
      <c r="I1986" s="50">
        <f>IF($T1986="","",IF($S1986="S",IF(INDEX(Firms!$H$5:$H$1004,$T1986)="","",INDEX(Firms!$H$5:$H$1004,$T1986)),IF(INDEX('AFA Rates'!$G$5:$G$1004,$T1986)="","",INDEX('AFA Rates'!$G$5:$G$1004,$T1986))))</f>
        <v/>
      </c>
      <c r="J1986" s="50">
        <f>IF($T1986="","",IF($S1986="S",IF(INDEX(Firms!$I$5:$I$1004,$T1986)="","",INDEX(Firms!$I$5:$I$1004,$T1986)),IF(INDEX('AFA Rates'!$H$5:$H$1004,$T1986)="","",INDEX('AFA Rates'!$H$5:$H$1004,$T1986))))</f>
        <v/>
      </c>
      <c r="K1986" s="50">
        <f>IF($T1986="","",IF($S1986="S",IF(INDEX(Firms!$J$5:$J$1004,$T1986)="","",INDEX(Firms!$J$5:$J$1004,$T1986)),IF(INDEX('AFA Rates'!$I$5:$I$1004,$T1986)="","",INDEX('AFA Rates'!$I$5:$I$1004,$T1986))))</f>
        <v/>
      </c>
      <c r="L1986" s="50">
        <f>IF($T1986="","",IF($S1986="S",IF(INDEX(Firms!$K$5:$K$1004,$T1986)="","",INDEX(Firms!$K$5:$K$1004,$T1986)),IF(INDEX('AFA Rates'!$J$5:$J$1004,$T1986)="","",INDEX('AFA Rates'!$J$5:$J$1004,$T1986))))</f>
        <v/>
      </c>
      <c r="M1986" s="50">
        <f>IF($T1986="","",IF($S1986="S",IF(INDEX(Firms!$L$5:$L$1004,$T1986)="","",INDEX(Firms!$L$5:$L$1004,$T1986)),IF(INDEX('AFA Rates'!$K$5:$K$1004,$T1986)="","",INDEX('AFA Rates'!$K$5:$K$1004,$T1986))))</f>
        <v/>
      </c>
      <c r="N1986" s="50">
        <f>IF($T1986="","",IF($S1986="S",IF(INDEX(Firms!$M$5:$M$1004,$T1986)="","",INDEX(Firms!$M$5:$M$1004,$T1986)),IF(INDEX('AFA Rates'!$L$5:$L$1004,$T1986)="","",INDEX('AFA Rates'!$L$5:$L$1004,$T1986))))</f>
        <v/>
      </c>
      <c r="O1986" s="78">
        <f>IF(OR($T1986="",$U1986=""),"",IF(INDEX(Firms!$C$5:$C$1004,$U1986)="","",INDEX(Firms!$C$5:$C$1004,$U1986)))</f>
        <v/>
      </c>
      <c r="P1986" s="79">
        <f>IF(OR($T1986="",$U1986=""),"",IF(INDEX(Firms!$N$5:$N$1004,$U1986)="","",INDEX(Firms!$N$5:$N$1004,$U1986)))</f>
        <v/>
      </c>
      <c r="Q1986" s="78">
        <f>IF($T1986="","",IF($S1986="S",IF(INDEX(Firms!$T$5:$T$1004,$T1986)="","",INDEX(Firms!$T$5:$T$1004,$T1986)),IF(INDEX('AFA Rates'!$M$5:$M$1004,$T1986)="","",INDEX('AFA Rates'!$M$5:$M$1004,$T1986))))</f>
        <v/>
      </c>
      <c r="S1986">
        <f>IF(1982&lt;=$S$2,"S",IF(1982&lt;=$S$2+$T$2,"A",""))</f>
        <v/>
      </c>
      <c r="T1986">
        <f>IF(S1986="S",MATCH(1982,Firms!$W$5:$W$1004,0),IF(S1986="A",IFERROR(MATCH(1982-$S$2,'AFA Rates'!$R$5:$R$1004,0),""),""))</f>
        <v/>
      </c>
      <c r="U1986">
        <f>IF(S1986="S",T1986,IF(AND(S1986="A",T1986&lt;&gt;""),IFERROR(MATCH(INDEX('AFA Rates'!$A$5:$A$1004,T1986),Firms!$A$5:$A$1004,0),""),""))</f>
        <v/>
      </c>
    </row>
    <row r="1987">
      <c r="A1987" s="78">
        <f>IF($T1987="","",IF($S1987="S",IF(INDEX(Firms!$A$5:$A$1004,$T1987)="","",INDEX(Firms!$A$5:$A$1004,$T1987)),IF(INDEX('AFA Rates'!$A$5:$A$1004,$T1987)="","",INDEX('AFA Rates'!$A$5:$A$1004,$T1987))))</f>
        <v/>
      </c>
      <c r="B1987" s="79">
        <f>IF(OR($T1987="",$U1987=""),IF($T1987="","","Not on Firms tab"),INDEX(Firms!$B$5:$B$1004,$U1987)&amp;"")</f>
        <v/>
      </c>
      <c r="C1987" s="78">
        <f>IF($T1987="","",IF($S1987="S","Standard",INDEX('AFA Rates'!$B$5:$B$1004,$T1987)&amp;""))</f>
        <v/>
      </c>
      <c r="D1987" s="88">
        <f>IF($T1987="","",IF($S1987="S",IF(INDEX(Firms!$E$5:$E$1004,$T1987)="","",INDEX(Firms!$E$5:$E$1004,$T1987)),IF(INDEX('AFA Rates'!$C$5:$C$1004,$T1987)="","",INDEX('AFA Rates'!$C$5:$C$1004,$T1987))))</f>
        <v/>
      </c>
      <c r="E1987" s="88">
        <f>IF($T1987="","",IF($S1987="S",IF(""="","",""),IF(INDEX('AFA Rates'!$D$5:$D$1004,$T1987)="","",INDEX('AFA Rates'!$D$5:$D$1004,$T1987))))</f>
        <v/>
      </c>
      <c r="F1987" s="79">
        <f>IF($T1987="","",IF($S1987="S",IF(INDEX(Firms!$O$5:$O$1004,$T1987)="","",INDEX(Firms!$O$5:$O$1004,$T1987)),IF(INDEX('AFA Rates'!$O$5:$O$1004,$T1987)="","",INDEX('AFA Rates'!$O$5:$O$1004,$T1987))))</f>
        <v/>
      </c>
      <c r="G1987" s="50">
        <f>IF($T1987="","",IF($S1987="S",IF(INDEX(Firms!$F$5:$F$1004,$T1987)="","",INDEX(Firms!$F$5:$F$1004,$T1987)),IF(INDEX('AFA Rates'!$E$5:$E$1004,$T1987)="","",INDEX('AFA Rates'!$E$5:$E$1004,$T1987))))</f>
        <v/>
      </c>
      <c r="H1987" s="50">
        <f>IF($T1987="","",IF($S1987="S",IF(INDEX(Firms!$G$5:$G$1004,$T1987)="","",INDEX(Firms!$G$5:$G$1004,$T1987)),IF(INDEX('AFA Rates'!$F$5:$F$1004,$T1987)="","",INDEX('AFA Rates'!$F$5:$F$1004,$T1987))))</f>
        <v/>
      </c>
      <c r="I1987" s="50">
        <f>IF($T1987="","",IF($S1987="S",IF(INDEX(Firms!$H$5:$H$1004,$T1987)="","",INDEX(Firms!$H$5:$H$1004,$T1987)),IF(INDEX('AFA Rates'!$G$5:$G$1004,$T1987)="","",INDEX('AFA Rates'!$G$5:$G$1004,$T1987))))</f>
        <v/>
      </c>
      <c r="J1987" s="50">
        <f>IF($T1987="","",IF($S1987="S",IF(INDEX(Firms!$I$5:$I$1004,$T1987)="","",INDEX(Firms!$I$5:$I$1004,$T1987)),IF(INDEX('AFA Rates'!$H$5:$H$1004,$T1987)="","",INDEX('AFA Rates'!$H$5:$H$1004,$T1987))))</f>
        <v/>
      </c>
      <c r="K1987" s="50">
        <f>IF($T1987="","",IF($S1987="S",IF(INDEX(Firms!$J$5:$J$1004,$T1987)="","",INDEX(Firms!$J$5:$J$1004,$T1987)),IF(INDEX('AFA Rates'!$I$5:$I$1004,$T1987)="","",INDEX('AFA Rates'!$I$5:$I$1004,$T1987))))</f>
        <v/>
      </c>
      <c r="L1987" s="50">
        <f>IF($T1987="","",IF($S1987="S",IF(INDEX(Firms!$K$5:$K$1004,$T1987)="","",INDEX(Firms!$K$5:$K$1004,$T1987)),IF(INDEX('AFA Rates'!$J$5:$J$1004,$T1987)="","",INDEX('AFA Rates'!$J$5:$J$1004,$T1987))))</f>
        <v/>
      </c>
      <c r="M1987" s="50">
        <f>IF($T1987="","",IF($S1987="S",IF(INDEX(Firms!$L$5:$L$1004,$T1987)="","",INDEX(Firms!$L$5:$L$1004,$T1987)),IF(INDEX('AFA Rates'!$K$5:$K$1004,$T1987)="","",INDEX('AFA Rates'!$K$5:$K$1004,$T1987))))</f>
        <v/>
      </c>
      <c r="N1987" s="50">
        <f>IF($T1987="","",IF($S1987="S",IF(INDEX(Firms!$M$5:$M$1004,$T1987)="","",INDEX(Firms!$M$5:$M$1004,$T1987)),IF(INDEX('AFA Rates'!$L$5:$L$1004,$T1987)="","",INDEX('AFA Rates'!$L$5:$L$1004,$T1987))))</f>
        <v/>
      </c>
      <c r="O1987" s="78">
        <f>IF(OR($T1987="",$U1987=""),"",IF(INDEX(Firms!$C$5:$C$1004,$U1987)="","",INDEX(Firms!$C$5:$C$1004,$U1987)))</f>
        <v/>
      </c>
      <c r="P1987" s="79">
        <f>IF(OR($T1987="",$U1987=""),"",IF(INDEX(Firms!$N$5:$N$1004,$U1987)="","",INDEX(Firms!$N$5:$N$1004,$U1987)))</f>
        <v/>
      </c>
      <c r="Q1987" s="78">
        <f>IF($T1987="","",IF($S1987="S",IF(INDEX(Firms!$T$5:$T$1004,$T1987)="","",INDEX(Firms!$T$5:$T$1004,$T1987)),IF(INDEX('AFA Rates'!$M$5:$M$1004,$T1987)="","",INDEX('AFA Rates'!$M$5:$M$1004,$T1987))))</f>
        <v/>
      </c>
      <c r="S1987">
        <f>IF(1983&lt;=$S$2,"S",IF(1983&lt;=$S$2+$T$2,"A",""))</f>
        <v/>
      </c>
      <c r="T1987">
        <f>IF(S1987="S",MATCH(1983,Firms!$W$5:$W$1004,0),IF(S1987="A",IFERROR(MATCH(1983-$S$2,'AFA Rates'!$R$5:$R$1004,0),""),""))</f>
        <v/>
      </c>
      <c r="U1987">
        <f>IF(S1987="S",T1987,IF(AND(S1987="A",T1987&lt;&gt;""),IFERROR(MATCH(INDEX('AFA Rates'!$A$5:$A$1004,T1987),Firms!$A$5:$A$1004,0),""),""))</f>
        <v/>
      </c>
    </row>
    <row r="1988">
      <c r="A1988" s="78">
        <f>IF($T1988="","",IF($S1988="S",IF(INDEX(Firms!$A$5:$A$1004,$T1988)="","",INDEX(Firms!$A$5:$A$1004,$T1988)),IF(INDEX('AFA Rates'!$A$5:$A$1004,$T1988)="","",INDEX('AFA Rates'!$A$5:$A$1004,$T1988))))</f>
        <v/>
      </c>
      <c r="B1988" s="79">
        <f>IF(OR($T1988="",$U1988=""),IF($T1988="","","Not on Firms tab"),INDEX(Firms!$B$5:$B$1004,$U1988)&amp;"")</f>
        <v/>
      </c>
      <c r="C1988" s="78">
        <f>IF($T1988="","",IF($S1988="S","Standard",INDEX('AFA Rates'!$B$5:$B$1004,$T1988)&amp;""))</f>
        <v/>
      </c>
      <c r="D1988" s="88">
        <f>IF($T1988="","",IF($S1988="S",IF(INDEX(Firms!$E$5:$E$1004,$T1988)="","",INDEX(Firms!$E$5:$E$1004,$T1988)),IF(INDEX('AFA Rates'!$C$5:$C$1004,$T1988)="","",INDEX('AFA Rates'!$C$5:$C$1004,$T1988))))</f>
        <v/>
      </c>
      <c r="E1988" s="88">
        <f>IF($T1988="","",IF($S1988="S",IF(""="","",""),IF(INDEX('AFA Rates'!$D$5:$D$1004,$T1988)="","",INDEX('AFA Rates'!$D$5:$D$1004,$T1988))))</f>
        <v/>
      </c>
      <c r="F1988" s="79">
        <f>IF($T1988="","",IF($S1988="S",IF(INDEX(Firms!$O$5:$O$1004,$T1988)="","",INDEX(Firms!$O$5:$O$1004,$T1988)),IF(INDEX('AFA Rates'!$O$5:$O$1004,$T1988)="","",INDEX('AFA Rates'!$O$5:$O$1004,$T1988))))</f>
        <v/>
      </c>
      <c r="G1988" s="50">
        <f>IF($T1988="","",IF($S1988="S",IF(INDEX(Firms!$F$5:$F$1004,$T1988)="","",INDEX(Firms!$F$5:$F$1004,$T1988)),IF(INDEX('AFA Rates'!$E$5:$E$1004,$T1988)="","",INDEX('AFA Rates'!$E$5:$E$1004,$T1988))))</f>
        <v/>
      </c>
      <c r="H1988" s="50">
        <f>IF($T1988="","",IF($S1988="S",IF(INDEX(Firms!$G$5:$G$1004,$T1988)="","",INDEX(Firms!$G$5:$G$1004,$T1988)),IF(INDEX('AFA Rates'!$F$5:$F$1004,$T1988)="","",INDEX('AFA Rates'!$F$5:$F$1004,$T1988))))</f>
        <v/>
      </c>
      <c r="I1988" s="50">
        <f>IF($T1988="","",IF($S1988="S",IF(INDEX(Firms!$H$5:$H$1004,$T1988)="","",INDEX(Firms!$H$5:$H$1004,$T1988)),IF(INDEX('AFA Rates'!$G$5:$G$1004,$T1988)="","",INDEX('AFA Rates'!$G$5:$G$1004,$T1988))))</f>
        <v/>
      </c>
      <c r="J1988" s="50">
        <f>IF($T1988="","",IF($S1988="S",IF(INDEX(Firms!$I$5:$I$1004,$T1988)="","",INDEX(Firms!$I$5:$I$1004,$T1988)),IF(INDEX('AFA Rates'!$H$5:$H$1004,$T1988)="","",INDEX('AFA Rates'!$H$5:$H$1004,$T1988))))</f>
        <v/>
      </c>
      <c r="K1988" s="50">
        <f>IF($T1988="","",IF($S1988="S",IF(INDEX(Firms!$J$5:$J$1004,$T1988)="","",INDEX(Firms!$J$5:$J$1004,$T1988)),IF(INDEX('AFA Rates'!$I$5:$I$1004,$T1988)="","",INDEX('AFA Rates'!$I$5:$I$1004,$T1988))))</f>
        <v/>
      </c>
      <c r="L1988" s="50">
        <f>IF($T1988="","",IF($S1988="S",IF(INDEX(Firms!$K$5:$K$1004,$T1988)="","",INDEX(Firms!$K$5:$K$1004,$T1988)),IF(INDEX('AFA Rates'!$J$5:$J$1004,$T1988)="","",INDEX('AFA Rates'!$J$5:$J$1004,$T1988))))</f>
        <v/>
      </c>
      <c r="M1988" s="50">
        <f>IF($T1988="","",IF($S1988="S",IF(INDEX(Firms!$L$5:$L$1004,$T1988)="","",INDEX(Firms!$L$5:$L$1004,$T1988)),IF(INDEX('AFA Rates'!$K$5:$K$1004,$T1988)="","",INDEX('AFA Rates'!$K$5:$K$1004,$T1988))))</f>
        <v/>
      </c>
      <c r="N1988" s="50">
        <f>IF($T1988="","",IF($S1988="S",IF(INDEX(Firms!$M$5:$M$1004,$T1988)="","",INDEX(Firms!$M$5:$M$1004,$T1988)),IF(INDEX('AFA Rates'!$L$5:$L$1004,$T1988)="","",INDEX('AFA Rates'!$L$5:$L$1004,$T1988))))</f>
        <v/>
      </c>
      <c r="O1988" s="78">
        <f>IF(OR($T1988="",$U1988=""),"",IF(INDEX(Firms!$C$5:$C$1004,$U1988)="","",INDEX(Firms!$C$5:$C$1004,$U1988)))</f>
        <v/>
      </c>
      <c r="P1988" s="79">
        <f>IF(OR($T1988="",$U1988=""),"",IF(INDEX(Firms!$N$5:$N$1004,$U1988)="","",INDEX(Firms!$N$5:$N$1004,$U1988)))</f>
        <v/>
      </c>
      <c r="Q1988" s="78">
        <f>IF($T1988="","",IF($S1988="S",IF(INDEX(Firms!$T$5:$T$1004,$T1988)="","",INDEX(Firms!$T$5:$T$1004,$T1988)),IF(INDEX('AFA Rates'!$M$5:$M$1004,$T1988)="","",INDEX('AFA Rates'!$M$5:$M$1004,$T1988))))</f>
        <v/>
      </c>
      <c r="S1988">
        <f>IF(1984&lt;=$S$2,"S",IF(1984&lt;=$S$2+$T$2,"A",""))</f>
        <v/>
      </c>
      <c r="T1988">
        <f>IF(S1988="S",MATCH(1984,Firms!$W$5:$W$1004,0),IF(S1988="A",IFERROR(MATCH(1984-$S$2,'AFA Rates'!$R$5:$R$1004,0),""),""))</f>
        <v/>
      </c>
      <c r="U1988">
        <f>IF(S1988="S",T1988,IF(AND(S1988="A",T1988&lt;&gt;""),IFERROR(MATCH(INDEX('AFA Rates'!$A$5:$A$1004,T1988),Firms!$A$5:$A$1004,0),""),""))</f>
        <v/>
      </c>
    </row>
    <row r="1989">
      <c r="A1989" s="78">
        <f>IF($T1989="","",IF($S1989="S",IF(INDEX(Firms!$A$5:$A$1004,$T1989)="","",INDEX(Firms!$A$5:$A$1004,$T1989)),IF(INDEX('AFA Rates'!$A$5:$A$1004,$T1989)="","",INDEX('AFA Rates'!$A$5:$A$1004,$T1989))))</f>
        <v/>
      </c>
      <c r="B1989" s="79">
        <f>IF(OR($T1989="",$U1989=""),IF($T1989="","","Not on Firms tab"),INDEX(Firms!$B$5:$B$1004,$U1989)&amp;"")</f>
        <v/>
      </c>
      <c r="C1989" s="78">
        <f>IF($T1989="","",IF($S1989="S","Standard",INDEX('AFA Rates'!$B$5:$B$1004,$T1989)&amp;""))</f>
        <v/>
      </c>
      <c r="D1989" s="88">
        <f>IF($T1989="","",IF($S1989="S",IF(INDEX(Firms!$E$5:$E$1004,$T1989)="","",INDEX(Firms!$E$5:$E$1004,$T1989)),IF(INDEX('AFA Rates'!$C$5:$C$1004,$T1989)="","",INDEX('AFA Rates'!$C$5:$C$1004,$T1989))))</f>
        <v/>
      </c>
      <c r="E1989" s="88">
        <f>IF($T1989="","",IF($S1989="S",IF(""="","",""),IF(INDEX('AFA Rates'!$D$5:$D$1004,$T1989)="","",INDEX('AFA Rates'!$D$5:$D$1004,$T1989))))</f>
        <v/>
      </c>
      <c r="F1989" s="79">
        <f>IF($T1989="","",IF($S1989="S",IF(INDEX(Firms!$O$5:$O$1004,$T1989)="","",INDEX(Firms!$O$5:$O$1004,$T1989)),IF(INDEX('AFA Rates'!$O$5:$O$1004,$T1989)="","",INDEX('AFA Rates'!$O$5:$O$1004,$T1989))))</f>
        <v/>
      </c>
      <c r="G1989" s="50">
        <f>IF($T1989="","",IF($S1989="S",IF(INDEX(Firms!$F$5:$F$1004,$T1989)="","",INDEX(Firms!$F$5:$F$1004,$T1989)),IF(INDEX('AFA Rates'!$E$5:$E$1004,$T1989)="","",INDEX('AFA Rates'!$E$5:$E$1004,$T1989))))</f>
        <v/>
      </c>
      <c r="H1989" s="50">
        <f>IF($T1989="","",IF($S1989="S",IF(INDEX(Firms!$G$5:$G$1004,$T1989)="","",INDEX(Firms!$G$5:$G$1004,$T1989)),IF(INDEX('AFA Rates'!$F$5:$F$1004,$T1989)="","",INDEX('AFA Rates'!$F$5:$F$1004,$T1989))))</f>
        <v/>
      </c>
      <c r="I1989" s="50">
        <f>IF($T1989="","",IF($S1989="S",IF(INDEX(Firms!$H$5:$H$1004,$T1989)="","",INDEX(Firms!$H$5:$H$1004,$T1989)),IF(INDEX('AFA Rates'!$G$5:$G$1004,$T1989)="","",INDEX('AFA Rates'!$G$5:$G$1004,$T1989))))</f>
        <v/>
      </c>
      <c r="J1989" s="50">
        <f>IF($T1989="","",IF($S1989="S",IF(INDEX(Firms!$I$5:$I$1004,$T1989)="","",INDEX(Firms!$I$5:$I$1004,$T1989)),IF(INDEX('AFA Rates'!$H$5:$H$1004,$T1989)="","",INDEX('AFA Rates'!$H$5:$H$1004,$T1989))))</f>
        <v/>
      </c>
      <c r="K1989" s="50">
        <f>IF($T1989="","",IF($S1989="S",IF(INDEX(Firms!$J$5:$J$1004,$T1989)="","",INDEX(Firms!$J$5:$J$1004,$T1989)),IF(INDEX('AFA Rates'!$I$5:$I$1004,$T1989)="","",INDEX('AFA Rates'!$I$5:$I$1004,$T1989))))</f>
        <v/>
      </c>
      <c r="L1989" s="50">
        <f>IF($T1989="","",IF($S1989="S",IF(INDEX(Firms!$K$5:$K$1004,$T1989)="","",INDEX(Firms!$K$5:$K$1004,$T1989)),IF(INDEX('AFA Rates'!$J$5:$J$1004,$T1989)="","",INDEX('AFA Rates'!$J$5:$J$1004,$T1989))))</f>
        <v/>
      </c>
      <c r="M1989" s="50">
        <f>IF($T1989="","",IF($S1989="S",IF(INDEX(Firms!$L$5:$L$1004,$T1989)="","",INDEX(Firms!$L$5:$L$1004,$T1989)),IF(INDEX('AFA Rates'!$K$5:$K$1004,$T1989)="","",INDEX('AFA Rates'!$K$5:$K$1004,$T1989))))</f>
        <v/>
      </c>
      <c r="N1989" s="50">
        <f>IF($T1989="","",IF($S1989="S",IF(INDEX(Firms!$M$5:$M$1004,$T1989)="","",INDEX(Firms!$M$5:$M$1004,$T1989)),IF(INDEX('AFA Rates'!$L$5:$L$1004,$T1989)="","",INDEX('AFA Rates'!$L$5:$L$1004,$T1989))))</f>
        <v/>
      </c>
      <c r="O1989" s="78">
        <f>IF(OR($T1989="",$U1989=""),"",IF(INDEX(Firms!$C$5:$C$1004,$U1989)="","",INDEX(Firms!$C$5:$C$1004,$U1989)))</f>
        <v/>
      </c>
      <c r="P1989" s="79">
        <f>IF(OR($T1989="",$U1989=""),"",IF(INDEX(Firms!$N$5:$N$1004,$U1989)="","",INDEX(Firms!$N$5:$N$1004,$U1989)))</f>
        <v/>
      </c>
      <c r="Q1989" s="78">
        <f>IF($T1989="","",IF($S1989="S",IF(INDEX(Firms!$T$5:$T$1004,$T1989)="","",INDEX(Firms!$T$5:$T$1004,$T1989)),IF(INDEX('AFA Rates'!$M$5:$M$1004,$T1989)="","",INDEX('AFA Rates'!$M$5:$M$1004,$T1989))))</f>
        <v/>
      </c>
      <c r="S1989">
        <f>IF(1985&lt;=$S$2,"S",IF(1985&lt;=$S$2+$T$2,"A",""))</f>
        <v/>
      </c>
      <c r="T1989">
        <f>IF(S1989="S",MATCH(1985,Firms!$W$5:$W$1004,0),IF(S1989="A",IFERROR(MATCH(1985-$S$2,'AFA Rates'!$R$5:$R$1004,0),""),""))</f>
        <v/>
      </c>
      <c r="U1989">
        <f>IF(S1989="S",T1989,IF(AND(S1989="A",T1989&lt;&gt;""),IFERROR(MATCH(INDEX('AFA Rates'!$A$5:$A$1004,T1989),Firms!$A$5:$A$1004,0),""),""))</f>
        <v/>
      </c>
    </row>
    <row r="1990">
      <c r="A1990" s="78">
        <f>IF($T1990="","",IF($S1990="S",IF(INDEX(Firms!$A$5:$A$1004,$T1990)="","",INDEX(Firms!$A$5:$A$1004,$T1990)),IF(INDEX('AFA Rates'!$A$5:$A$1004,$T1990)="","",INDEX('AFA Rates'!$A$5:$A$1004,$T1990))))</f>
        <v/>
      </c>
      <c r="B1990" s="79">
        <f>IF(OR($T1990="",$U1990=""),IF($T1990="","","Not on Firms tab"),INDEX(Firms!$B$5:$B$1004,$U1990)&amp;"")</f>
        <v/>
      </c>
      <c r="C1990" s="78">
        <f>IF($T1990="","",IF($S1990="S","Standard",INDEX('AFA Rates'!$B$5:$B$1004,$T1990)&amp;""))</f>
        <v/>
      </c>
      <c r="D1990" s="88">
        <f>IF($T1990="","",IF($S1990="S",IF(INDEX(Firms!$E$5:$E$1004,$T1990)="","",INDEX(Firms!$E$5:$E$1004,$T1990)),IF(INDEX('AFA Rates'!$C$5:$C$1004,$T1990)="","",INDEX('AFA Rates'!$C$5:$C$1004,$T1990))))</f>
        <v/>
      </c>
      <c r="E1990" s="88">
        <f>IF($T1990="","",IF($S1990="S",IF(""="","",""),IF(INDEX('AFA Rates'!$D$5:$D$1004,$T1990)="","",INDEX('AFA Rates'!$D$5:$D$1004,$T1990))))</f>
        <v/>
      </c>
      <c r="F1990" s="79">
        <f>IF($T1990="","",IF($S1990="S",IF(INDEX(Firms!$O$5:$O$1004,$T1990)="","",INDEX(Firms!$O$5:$O$1004,$T1990)),IF(INDEX('AFA Rates'!$O$5:$O$1004,$T1990)="","",INDEX('AFA Rates'!$O$5:$O$1004,$T1990))))</f>
        <v/>
      </c>
      <c r="G1990" s="50">
        <f>IF($T1990="","",IF($S1990="S",IF(INDEX(Firms!$F$5:$F$1004,$T1990)="","",INDEX(Firms!$F$5:$F$1004,$T1990)),IF(INDEX('AFA Rates'!$E$5:$E$1004,$T1990)="","",INDEX('AFA Rates'!$E$5:$E$1004,$T1990))))</f>
        <v/>
      </c>
      <c r="H1990" s="50">
        <f>IF($T1990="","",IF($S1990="S",IF(INDEX(Firms!$G$5:$G$1004,$T1990)="","",INDEX(Firms!$G$5:$G$1004,$T1990)),IF(INDEX('AFA Rates'!$F$5:$F$1004,$T1990)="","",INDEX('AFA Rates'!$F$5:$F$1004,$T1990))))</f>
        <v/>
      </c>
      <c r="I1990" s="50">
        <f>IF($T1990="","",IF($S1990="S",IF(INDEX(Firms!$H$5:$H$1004,$T1990)="","",INDEX(Firms!$H$5:$H$1004,$T1990)),IF(INDEX('AFA Rates'!$G$5:$G$1004,$T1990)="","",INDEX('AFA Rates'!$G$5:$G$1004,$T1990))))</f>
        <v/>
      </c>
      <c r="J1990" s="50">
        <f>IF($T1990="","",IF($S1990="S",IF(INDEX(Firms!$I$5:$I$1004,$T1990)="","",INDEX(Firms!$I$5:$I$1004,$T1990)),IF(INDEX('AFA Rates'!$H$5:$H$1004,$T1990)="","",INDEX('AFA Rates'!$H$5:$H$1004,$T1990))))</f>
        <v/>
      </c>
      <c r="K1990" s="50">
        <f>IF($T1990="","",IF($S1990="S",IF(INDEX(Firms!$J$5:$J$1004,$T1990)="","",INDEX(Firms!$J$5:$J$1004,$T1990)),IF(INDEX('AFA Rates'!$I$5:$I$1004,$T1990)="","",INDEX('AFA Rates'!$I$5:$I$1004,$T1990))))</f>
        <v/>
      </c>
      <c r="L1990" s="50">
        <f>IF($T1990="","",IF($S1990="S",IF(INDEX(Firms!$K$5:$K$1004,$T1990)="","",INDEX(Firms!$K$5:$K$1004,$T1990)),IF(INDEX('AFA Rates'!$J$5:$J$1004,$T1990)="","",INDEX('AFA Rates'!$J$5:$J$1004,$T1990))))</f>
        <v/>
      </c>
      <c r="M1990" s="50">
        <f>IF($T1990="","",IF($S1990="S",IF(INDEX(Firms!$L$5:$L$1004,$T1990)="","",INDEX(Firms!$L$5:$L$1004,$T1990)),IF(INDEX('AFA Rates'!$K$5:$K$1004,$T1990)="","",INDEX('AFA Rates'!$K$5:$K$1004,$T1990))))</f>
        <v/>
      </c>
      <c r="N1990" s="50">
        <f>IF($T1990="","",IF($S1990="S",IF(INDEX(Firms!$M$5:$M$1004,$T1990)="","",INDEX(Firms!$M$5:$M$1004,$T1990)),IF(INDEX('AFA Rates'!$L$5:$L$1004,$T1990)="","",INDEX('AFA Rates'!$L$5:$L$1004,$T1990))))</f>
        <v/>
      </c>
      <c r="O1990" s="78">
        <f>IF(OR($T1990="",$U1990=""),"",IF(INDEX(Firms!$C$5:$C$1004,$U1990)="","",INDEX(Firms!$C$5:$C$1004,$U1990)))</f>
        <v/>
      </c>
      <c r="P1990" s="79">
        <f>IF(OR($T1990="",$U1990=""),"",IF(INDEX(Firms!$N$5:$N$1004,$U1990)="","",INDEX(Firms!$N$5:$N$1004,$U1990)))</f>
        <v/>
      </c>
      <c r="Q1990" s="78">
        <f>IF($T1990="","",IF($S1990="S",IF(INDEX(Firms!$T$5:$T$1004,$T1990)="","",INDEX(Firms!$T$5:$T$1004,$T1990)),IF(INDEX('AFA Rates'!$M$5:$M$1004,$T1990)="","",INDEX('AFA Rates'!$M$5:$M$1004,$T1990))))</f>
        <v/>
      </c>
      <c r="S1990">
        <f>IF(1986&lt;=$S$2,"S",IF(1986&lt;=$S$2+$T$2,"A",""))</f>
        <v/>
      </c>
      <c r="T1990">
        <f>IF(S1990="S",MATCH(1986,Firms!$W$5:$W$1004,0),IF(S1990="A",IFERROR(MATCH(1986-$S$2,'AFA Rates'!$R$5:$R$1004,0),""),""))</f>
        <v/>
      </c>
      <c r="U1990">
        <f>IF(S1990="S",T1990,IF(AND(S1990="A",T1990&lt;&gt;""),IFERROR(MATCH(INDEX('AFA Rates'!$A$5:$A$1004,T1990),Firms!$A$5:$A$1004,0),""),""))</f>
        <v/>
      </c>
    </row>
    <row r="1991">
      <c r="A1991" s="78">
        <f>IF($T1991="","",IF($S1991="S",IF(INDEX(Firms!$A$5:$A$1004,$T1991)="","",INDEX(Firms!$A$5:$A$1004,$T1991)),IF(INDEX('AFA Rates'!$A$5:$A$1004,$T1991)="","",INDEX('AFA Rates'!$A$5:$A$1004,$T1991))))</f>
        <v/>
      </c>
      <c r="B1991" s="79">
        <f>IF(OR($T1991="",$U1991=""),IF($T1991="","","Not on Firms tab"),INDEX(Firms!$B$5:$B$1004,$U1991)&amp;"")</f>
        <v/>
      </c>
      <c r="C1991" s="78">
        <f>IF($T1991="","",IF($S1991="S","Standard",INDEX('AFA Rates'!$B$5:$B$1004,$T1991)&amp;""))</f>
        <v/>
      </c>
      <c r="D1991" s="88">
        <f>IF($T1991="","",IF($S1991="S",IF(INDEX(Firms!$E$5:$E$1004,$T1991)="","",INDEX(Firms!$E$5:$E$1004,$T1991)),IF(INDEX('AFA Rates'!$C$5:$C$1004,$T1991)="","",INDEX('AFA Rates'!$C$5:$C$1004,$T1991))))</f>
        <v/>
      </c>
      <c r="E1991" s="88">
        <f>IF($T1991="","",IF($S1991="S",IF(""="","",""),IF(INDEX('AFA Rates'!$D$5:$D$1004,$T1991)="","",INDEX('AFA Rates'!$D$5:$D$1004,$T1991))))</f>
        <v/>
      </c>
      <c r="F1991" s="79">
        <f>IF($T1991="","",IF($S1991="S",IF(INDEX(Firms!$O$5:$O$1004,$T1991)="","",INDEX(Firms!$O$5:$O$1004,$T1991)),IF(INDEX('AFA Rates'!$O$5:$O$1004,$T1991)="","",INDEX('AFA Rates'!$O$5:$O$1004,$T1991))))</f>
        <v/>
      </c>
      <c r="G1991" s="50">
        <f>IF($T1991="","",IF($S1991="S",IF(INDEX(Firms!$F$5:$F$1004,$T1991)="","",INDEX(Firms!$F$5:$F$1004,$T1991)),IF(INDEX('AFA Rates'!$E$5:$E$1004,$T1991)="","",INDEX('AFA Rates'!$E$5:$E$1004,$T1991))))</f>
        <v/>
      </c>
      <c r="H1991" s="50">
        <f>IF($T1991="","",IF($S1991="S",IF(INDEX(Firms!$G$5:$G$1004,$T1991)="","",INDEX(Firms!$G$5:$G$1004,$T1991)),IF(INDEX('AFA Rates'!$F$5:$F$1004,$T1991)="","",INDEX('AFA Rates'!$F$5:$F$1004,$T1991))))</f>
        <v/>
      </c>
      <c r="I1991" s="50">
        <f>IF($T1991="","",IF($S1991="S",IF(INDEX(Firms!$H$5:$H$1004,$T1991)="","",INDEX(Firms!$H$5:$H$1004,$T1991)),IF(INDEX('AFA Rates'!$G$5:$G$1004,$T1991)="","",INDEX('AFA Rates'!$G$5:$G$1004,$T1991))))</f>
        <v/>
      </c>
      <c r="J1991" s="50">
        <f>IF($T1991="","",IF($S1991="S",IF(INDEX(Firms!$I$5:$I$1004,$T1991)="","",INDEX(Firms!$I$5:$I$1004,$T1991)),IF(INDEX('AFA Rates'!$H$5:$H$1004,$T1991)="","",INDEX('AFA Rates'!$H$5:$H$1004,$T1991))))</f>
        <v/>
      </c>
      <c r="K1991" s="50">
        <f>IF($T1991="","",IF($S1991="S",IF(INDEX(Firms!$J$5:$J$1004,$T1991)="","",INDEX(Firms!$J$5:$J$1004,$T1991)),IF(INDEX('AFA Rates'!$I$5:$I$1004,$T1991)="","",INDEX('AFA Rates'!$I$5:$I$1004,$T1991))))</f>
        <v/>
      </c>
      <c r="L1991" s="50">
        <f>IF($T1991="","",IF($S1991="S",IF(INDEX(Firms!$K$5:$K$1004,$T1991)="","",INDEX(Firms!$K$5:$K$1004,$T1991)),IF(INDEX('AFA Rates'!$J$5:$J$1004,$T1991)="","",INDEX('AFA Rates'!$J$5:$J$1004,$T1991))))</f>
        <v/>
      </c>
      <c r="M1991" s="50">
        <f>IF($T1991="","",IF($S1991="S",IF(INDEX(Firms!$L$5:$L$1004,$T1991)="","",INDEX(Firms!$L$5:$L$1004,$T1991)),IF(INDEX('AFA Rates'!$K$5:$K$1004,$T1991)="","",INDEX('AFA Rates'!$K$5:$K$1004,$T1991))))</f>
        <v/>
      </c>
      <c r="N1991" s="50">
        <f>IF($T1991="","",IF($S1991="S",IF(INDEX(Firms!$M$5:$M$1004,$T1991)="","",INDEX(Firms!$M$5:$M$1004,$T1991)),IF(INDEX('AFA Rates'!$L$5:$L$1004,$T1991)="","",INDEX('AFA Rates'!$L$5:$L$1004,$T1991))))</f>
        <v/>
      </c>
      <c r="O1991" s="78">
        <f>IF(OR($T1991="",$U1991=""),"",IF(INDEX(Firms!$C$5:$C$1004,$U1991)="","",INDEX(Firms!$C$5:$C$1004,$U1991)))</f>
        <v/>
      </c>
      <c r="P1991" s="79">
        <f>IF(OR($T1991="",$U1991=""),"",IF(INDEX(Firms!$N$5:$N$1004,$U1991)="","",INDEX(Firms!$N$5:$N$1004,$U1991)))</f>
        <v/>
      </c>
      <c r="Q1991" s="78">
        <f>IF($T1991="","",IF($S1991="S",IF(INDEX(Firms!$T$5:$T$1004,$T1991)="","",INDEX(Firms!$T$5:$T$1004,$T1991)),IF(INDEX('AFA Rates'!$M$5:$M$1004,$T1991)="","",INDEX('AFA Rates'!$M$5:$M$1004,$T1991))))</f>
        <v/>
      </c>
      <c r="S1991">
        <f>IF(1987&lt;=$S$2,"S",IF(1987&lt;=$S$2+$T$2,"A",""))</f>
        <v/>
      </c>
      <c r="T1991">
        <f>IF(S1991="S",MATCH(1987,Firms!$W$5:$W$1004,0),IF(S1991="A",IFERROR(MATCH(1987-$S$2,'AFA Rates'!$R$5:$R$1004,0),""),""))</f>
        <v/>
      </c>
      <c r="U1991">
        <f>IF(S1991="S",T1991,IF(AND(S1991="A",T1991&lt;&gt;""),IFERROR(MATCH(INDEX('AFA Rates'!$A$5:$A$1004,T1991),Firms!$A$5:$A$1004,0),""),""))</f>
        <v/>
      </c>
    </row>
    <row r="1992">
      <c r="A1992" s="78">
        <f>IF($T1992="","",IF($S1992="S",IF(INDEX(Firms!$A$5:$A$1004,$T1992)="","",INDEX(Firms!$A$5:$A$1004,$T1992)),IF(INDEX('AFA Rates'!$A$5:$A$1004,$T1992)="","",INDEX('AFA Rates'!$A$5:$A$1004,$T1992))))</f>
        <v/>
      </c>
      <c r="B1992" s="79">
        <f>IF(OR($T1992="",$U1992=""),IF($T1992="","","Not on Firms tab"),INDEX(Firms!$B$5:$B$1004,$U1992)&amp;"")</f>
        <v/>
      </c>
      <c r="C1992" s="78">
        <f>IF($T1992="","",IF($S1992="S","Standard",INDEX('AFA Rates'!$B$5:$B$1004,$T1992)&amp;""))</f>
        <v/>
      </c>
      <c r="D1992" s="88">
        <f>IF($T1992="","",IF($S1992="S",IF(INDEX(Firms!$E$5:$E$1004,$T1992)="","",INDEX(Firms!$E$5:$E$1004,$T1992)),IF(INDEX('AFA Rates'!$C$5:$C$1004,$T1992)="","",INDEX('AFA Rates'!$C$5:$C$1004,$T1992))))</f>
        <v/>
      </c>
      <c r="E1992" s="88">
        <f>IF($T1992="","",IF($S1992="S",IF(""="","",""),IF(INDEX('AFA Rates'!$D$5:$D$1004,$T1992)="","",INDEX('AFA Rates'!$D$5:$D$1004,$T1992))))</f>
        <v/>
      </c>
      <c r="F1992" s="79">
        <f>IF($T1992="","",IF($S1992="S",IF(INDEX(Firms!$O$5:$O$1004,$T1992)="","",INDEX(Firms!$O$5:$O$1004,$T1992)),IF(INDEX('AFA Rates'!$O$5:$O$1004,$T1992)="","",INDEX('AFA Rates'!$O$5:$O$1004,$T1992))))</f>
        <v/>
      </c>
      <c r="G1992" s="50">
        <f>IF($T1992="","",IF($S1992="S",IF(INDEX(Firms!$F$5:$F$1004,$T1992)="","",INDEX(Firms!$F$5:$F$1004,$T1992)),IF(INDEX('AFA Rates'!$E$5:$E$1004,$T1992)="","",INDEX('AFA Rates'!$E$5:$E$1004,$T1992))))</f>
        <v/>
      </c>
      <c r="H1992" s="50">
        <f>IF($T1992="","",IF($S1992="S",IF(INDEX(Firms!$G$5:$G$1004,$T1992)="","",INDEX(Firms!$G$5:$G$1004,$T1992)),IF(INDEX('AFA Rates'!$F$5:$F$1004,$T1992)="","",INDEX('AFA Rates'!$F$5:$F$1004,$T1992))))</f>
        <v/>
      </c>
      <c r="I1992" s="50">
        <f>IF($T1992="","",IF($S1992="S",IF(INDEX(Firms!$H$5:$H$1004,$T1992)="","",INDEX(Firms!$H$5:$H$1004,$T1992)),IF(INDEX('AFA Rates'!$G$5:$G$1004,$T1992)="","",INDEX('AFA Rates'!$G$5:$G$1004,$T1992))))</f>
        <v/>
      </c>
      <c r="J1992" s="50">
        <f>IF($T1992="","",IF($S1992="S",IF(INDEX(Firms!$I$5:$I$1004,$T1992)="","",INDEX(Firms!$I$5:$I$1004,$T1992)),IF(INDEX('AFA Rates'!$H$5:$H$1004,$T1992)="","",INDEX('AFA Rates'!$H$5:$H$1004,$T1992))))</f>
        <v/>
      </c>
      <c r="K1992" s="50">
        <f>IF($T1992="","",IF($S1992="S",IF(INDEX(Firms!$J$5:$J$1004,$T1992)="","",INDEX(Firms!$J$5:$J$1004,$T1992)),IF(INDEX('AFA Rates'!$I$5:$I$1004,$T1992)="","",INDEX('AFA Rates'!$I$5:$I$1004,$T1992))))</f>
        <v/>
      </c>
      <c r="L1992" s="50">
        <f>IF($T1992="","",IF($S1992="S",IF(INDEX(Firms!$K$5:$K$1004,$T1992)="","",INDEX(Firms!$K$5:$K$1004,$T1992)),IF(INDEX('AFA Rates'!$J$5:$J$1004,$T1992)="","",INDEX('AFA Rates'!$J$5:$J$1004,$T1992))))</f>
        <v/>
      </c>
      <c r="M1992" s="50">
        <f>IF($T1992="","",IF($S1992="S",IF(INDEX(Firms!$L$5:$L$1004,$T1992)="","",INDEX(Firms!$L$5:$L$1004,$T1992)),IF(INDEX('AFA Rates'!$K$5:$K$1004,$T1992)="","",INDEX('AFA Rates'!$K$5:$K$1004,$T1992))))</f>
        <v/>
      </c>
      <c r="N1992" s="50">
        <f>IF($T1992="","",IF($S1992="S",IF(INDEX(Firms!$M$5:$M$1004,$T1992)="","",INDEX(Firms!$M$5:$M$1004,$T1992)),IF(INDEX('AFA Rates'!$L$5:$L$1004,$T1992)="","",INDEX('AFA Rates'!$L$5:$L$1004,$T1992))))</f>
        <v/>
      </c>
      <c r="O1992" s="78">
        <f>IF(OR($T1992="",$U1992=""),"",IF(INDEX(Firms!$C$5:$C$1004,$U1992)="","",INDEX(Firms!$C$5:$C$1004,$U1992)))</f>
        <v/>
      </c>
      <c r="P1992" s="79">
        <f>IF(OR($T1992="",$U1992=""),"",IF(INDEX(Firms!$N$5:$N$1004,$U1992)="","",INDEX(Firms!$N$5:$N$1004,$U1992)))</f>
        <v/>
      </c>
      <c r="Q1992" s="78">
        <f>IF($T1992="","",IF($S1992="S",IF(INDEX(Firms!$T$5:$T$1004,$T1992)="","",INDEX(Firms!$T$5:$T$1004,$T1992)),IF(INDEX('AFA Rates'!$M$5:$M$1004,$T1992)="","",INDEX('AFA Rates'!$M$5:$M$1004,$T1992))))</f>
        <v/>
      </c>
      <c r="S1992">
        <f>IF(1988&lt;=$S$2,"S",IF(1988&lt;=$S$2+$T$2,"A",""))</f>
        <v/>
      </c>
      <c r="T1992">
        <f>IF(S1992="S",MATCH(1988,Firms!$W$5:$W$1004,0),IF(S1992="A",IFERROR(MATCH(1988-$S$2,'AFA Rates'!$R$5:$R$1004,0),""),""))</f>
        <v/>
      </c>
      <c r="U1992">
        <f>IF(S1992="S",T1992,IF(AND(S1992="A",T1992&lt;&gt;""),IFERROR(MATCH(INDEX('AFA Rates'!$A$5:$A$1004,T1992),Firms!$A$5:$A$1004,0),""),""))</f>
        <v/>
      </c>
    </row>
    <row r="1993">
      <c r="A1993" s="78">
        <f>IF($T1993="","",IF($S1993="S",IF(INDEX(Firms!$A$5:$A$1004,$T1993)="","",INDEX(Firms!$A$5:$A$1004,$T1993)),IF(INDEX('AFA Rates'!$A$5:$A$1004,$T1993)="","",INDEX('AFA Rates'!$A$5:$A$1004,$T1993))))</f>
        <v/>
      </c>
      <c r="B1993" s="79">
        <f>IF(OR($T1993="",$U1993=""),IF($T1993="","","Not on Firms tab"),INDEX(Firms!$B$5:$B$1004,$U1993)&amp;"")</f>
        <v/>
      </c>
      <c r="C1993" s="78">
        <f>IF($T1993="","",IF($S1993="S","Standard",INDEX('AFA Rates'!$B$5:$B$1004,$T1993)&amp;""))</f>
        <v/>
      </c>
      <c r="D1993" s="88">
        <f>IF($T1993="","",IF($S1993="S",IF(INDEX(Firms!$E$5:$E$1004,$T1993)="","",INDEX(Firms!$E$5:$E$1004,$T1993)),IF(INDEX('AFA Rates'!$C$5:$C$1004,$T1993)="","",INDEX('AFA Rates'!$C$5:$C$1004,$T1993))))</f>
        <v/>
      </c>
      <c r="E1993" s="88">
        <f>IF($T1993="","",IF($S1993="S",IF(""="","",""),IF(INDEX('AFA Rates'!$D$5:$D$1004,$T1993)="","",INDEX('AFA Rates'!$D$5:$D$1004,$T1993))))</f>
        <v/>
      </c>
      <c r="F1993" s="79">
        <f>IF($T1993="","",IF($S1993="S",IF(INDEX(Firms!$O$5:$O$1004,$T1993)="","",INDEX(Firms!$O$5:$O$1004,$T1993)),IF(INDEX('AFA Rates'!$O$5:$O$1004,$T1993)="","",INDEX('AFA Rates'!$O$5:$O$1004,$T1993))))</f>
        <v/>
      </c>
      <c r="G1993" s="50">
        <f>IF($T1993="","",IF($S1993="S",IF(INDEX(Firms!$F$5:$F$1004,$T1993)="","",INDEX(Firms!$F$5:$F$1004,$T1993)),IF(INDEX('AFA Rates'!$E$5:$E$1004,$T1993)="","",INDEX('AFA Rates'!$E$5:$E$1004,$T1993))))</f>
        <v/>
      </c>
      <c r="H1993" s="50">
        <f>IF($T1993="","",IF($S1993="S",IF(INDEX(Firms!$G$5:$G$1004,$T1993)="","",INDEX(Firms!$G$5:$G$1004,$T1993)),IF(INDEX('AFA Rates'!$F$5:$F$1004,$T1993)="","",INDEX('AFA Rates'!$F$5:$F$1004,$T1993))))</f>
        <v/>
      </c>
      <c r="I1993" s="50">
        <f>IF($T1993="","",IF($S1993="S",IF(INDEX(Firms!$H$5:$H$1004,$T1993)="","",INDEX(Firms!$H$5:$H$1004,$T1993)),IF(INDEX('AFA Rates'!$G$5:$G$1004,$T1993)="","",INDEX('AFA Rates'!$G$5:$G$1004,$T1993))))</f>
        <v/>
      </c>
      <c r="J1993" s="50">
        <f>IF($T1993="","",IF($S1993="S",IF(INDEX(Firms!$I$5:$I$1004,$T1993)="","",INDEX(Firms!$I$5:$I$1004,$T1993)),IF(INDEX('AFA Rates'!$H$5:$H$1004,$T1993)="","",INDEX('AFA Rates'!$H$5:$H$1004,$T1993))))</f>
        <v/>
      </c>
      <c r="K1993" s="50">
        <f>IF($T1993="","",IF($S1993="S",IF(INDEX(Firms!$J$5:$J$1004,$T1993)="","",INDEX(Firms!$J$5:$J$1004,$T1993)),IF(INDEX('AFA Rates'!$I$5:$I$1004,$T1993)="","",INDEX('AFA Rates'!$I$5:$I$1004,$T1993))))</f>
        <v/>
      </c>
      <c r="L1993" s="50">
        <f>IF($T1993="","",IF($S1993="S",IF(INDEX(Firms!$K$5:$K$1004,$T1993)="","",INDEX(Firms!$K$5:$K$1004,$T1993)),IF(INDEX('AFA Rates'!$J$5:$J$1004,$T1993)="","",INDEX('AFA Rates'!$J$5:$J$1004,$T1993))))</f>
        <v/>
      </c>
      <c r="M1993" s="50">
        <f>IF($T1993="","",IF($S1993="S",IF(INDEX(Firms!$L$5:$L$1004,$T1993)="","",INDEX(Firms!$L$5:$L$1004,$T1993)),IF(INDEX('AFA Rates'!$K$5:$K$1004,$T1993)="","",INDEX('AFA Rates'!$K$5:$K$1004,$T1993))))</f>
        <v/>
      </c>
      <c r="N1993" s="50">
        <f>IF($T1993="","",IF($S1993="S",IF(INDEX(Firms!$M$5:$M$1004,$T1993)="","",INDEX(Firms!$M$5:$M$1004,$T1993)),IF(INDEX('AFA Rates'!$L$5:$L$1004,$T1993)="","",INDEX('AFA Rates'!$L$5:$L$1004,$T1993))))</f>
        <v/>
      </c>
      <c r="O1993" s="78">
        <f>IF(OR($T1993="",$U1993=""),"",IF(INDEX(Firms!$C$5:$C$1004,$U1993)="","",INDEX(Firms!$C$5:$C$1004,$U1993)))</f>
        <v/>
      </c>
      <c r="P1993" s="79">
        <f>IF(OR($T1993="",$U1993=""),"",IF(INDEX(Firms!$N$5:$N$1004,$U1993)="","",INDEX(Firms!$N$5:$N$1004,$U1993)))</f>
        <v/>
      </c>
      <c r="Q1993" s="78">
        <f>IF($T1993="","",IF($S1993="S",IF(INDEX(Firms!$T$5:$T$1004,$T1993)="","",INDEX(Firms!$T$5:$T$1004,$T1993)),IF(INDEX('AFA Rates'!$M$5:$M$1004,$T1993)="","",INDEX('AFA Rates'!$M$5:$M$1004,$T1993))))</f>
        <v/>
      </c>
      <c r="S1993">
        <f>IF(1989&lt;=$S$2,"S",IF(1989&lt;=$S$2+$T$2,"A",""))</f>
        <v/>
      </c>
      <c r="T1993">
        <f>IF(S1993="S",MATCH(1989,Firms!$W$5:$W$1004,0),IF(S1993="A",IFERROR(MATCH(1989-$S$2,'AFA Rates'!$R$5:$R$1004,0),""),""))</f>
        <v/>
      </c>
      <c r="U1993">
        <f>IF(S1993="S",T1993,IF(AND(S1993="A",T1993&lt;&gt;""),IFERROR(MATCH(INDEX('AFA Rates'!$A$5:$A$1004,T1993),Firms!$A$5:$A$1004,0),""),""))</f>
        <v/>
      </c>
    </row>
    <row r="1994">
      <c r="A1994" s="78">
        <f>IF($T1994="","",IF($S1994="S",IF(INDEX(Firms!$A$5:$A$1004,$T1994)="","",INDEX(Firms!$A$5:$A$1004,$T1994)),IF(INDEX('AFA Rates'!$A$5:$A$1004,$T1994)="","",INDEX('AFA Rates'!$A$5:$A$1004,$T1994))))</f>
        <v/>
      </c>
      <c r="B1994" s="79">
        <f>IF(OR($T1994="",$U1994=""),IF($T1994="","","Not on Firms tab"),INDEX(Firms!$B$5:$B$1004,$U1994)&amp;"")</f>
        <v/>
      </c>
      <c r="C1994" s="78">
        <f>IF($T1994="","",IF($S1994="S","Standard",INDEX('AFA Rates'!$B$5:$B$1004,$T1994)&amp;""))</f>
        <v/>
      </c>
      <c r="D1994" s="88">
        <f>IF($T1994="","",IF($S1994="S",IF(INDEX(Firms!$E$5:$E$1004,$T1994)="","",INDEX(Firms!$E$5:$E$1004,$T1994)),IF(INDEX('AFA Rates'!$C$5:$C$1004,$T1994)="","",INDEX('AFA Rates'!$C$5:$C$1004,$T1994))))</f>
        <v/>
      </c>
      <c r="E1994" s="88">
        <f>IF($T1994="","",IF($S1994="S",IF(""="","",""),IF(INDEX('AFA Rates'!$D$5:$D$1004,$T1994)="","",INDEX('AFA Rates'!$D$5:$D$1004,$T1994))))</f>
        <v/>
      </c>
      <c r="F1994" s="79">
        <f>IF($T1994="","",IF($S1994="S",IF(INDEX(Firms!$O$5:$O$1004,$T1994)="","",INDEX(Firms!$O$5:$O$1004,$T1994)),IF(INDEX('AFA Rates'!$O$5:$O$1004,$T1994)="","",INDEX('AFA Rates'!$O$5:$O$1004,$T1994))))</f>
        <v/>
      </c>
      <c r="G1994" s="50">
        <f>IF($T1994="","",IF($S1994="S",IF(INDEX(Firms!$F$5:$F$1004,$T1994)="","",INDEX(Firms!$F$5:$F$1004,$T1994)),IF(INDEX('AFA Rates'!$E$5:$E$1004,$T1994)="","",INDEX('AFA Rates'!$E$5:$E$1004,$T1994))))</f>
        <v/>
      </c>
      <c r="H1994" s="50">
        <f>IF($T1994="","",IF($S1994="S",IF(INDEX(Firms!$G$5:$G$1004,$T1994)="","",INDEX(Firms!$G$5:$G$1004,$T1994)),IF(INDEX('AFA Rates'!$F$5:$F$1004,$T1994)="","",INDEX('AFA Rates'!$F$5:$F$1004,$T1994))))</f>
        <v/>
      </c>
      <c r="I1994" s="50">
        <f>IF($T1994="","",IF($S1994="S",IF(INDEX(Firms!$H$5:$H$1004,$T1994)="","",INDEX(Firms!$H$5:$H$1004,$T1994)),IF(INDEX('AFA Rates'!$G$5:$G$1004,$T1994)="","",INDEX('AFA Rates'!$G$5:$G$1004,$T1994))))</f>
        <v/>
      </c>
      <c r="J1994" s="50">
        <f>IF($T1994="","",IF($S1994="S",IF(INDEX(Firms!$I$5:$I$1004,$T1994)="","",INDEX(Firms!$I$5:$I$1004,$T1994)),IF(INDEX('AFA Rates'!$H$5:$H$1004,$T1994)="","",INDEX('AFA Rates'!$H$5:$H$1004,$T1994))))</f>
        <v/>
      </c>
      <c r="K1994" s="50">
        <f>IF($T1994="","",IF($S1994="S",IF(INDEX(Firms!$J$5:$J$1004,$T1994)="","",INDEX(Firms!$J$5:$J$1004,$T1994)),IF(INDEX('AFA Rates'!$I$5:$I$1004,$T1994)="","",INDEX('AFA Rates'!$I$5:$I$1004,$T1994))))</f>
        <v/>
      </c>
      <c r="L1994" s="50">
        <f>IF($T1994="","",IF($S1994="S",IF(INDEX(Firms!$K$5:$K$1004,$T1994)="","",INDEX(Firms!$K$5:$K$1004,$T1994)),IF(INDEX('AFA Rates'!$J$5:$J$1004,$T1994)="","",INDEX('AFA Rates'!$J$5:$J$1004,$T1994))))</f>
        <v/>
      </c>
      <c r="M1994" s="50">
        <f>IF($T1994="","",IF($S1994="S",IF(INDEX(Firms!$L$5:$L$1004,$T1994)="","",INDEX(Firms!$L$5:$L$1004,$T1994)),IF(INDEX('AFA Rates'!$K$5:$K$1004,$T1994)="","",INDEX('AFA Rates'!$K$5:$K$1004,$T1994))))</f>
        <v/>
      </c>
      <c r="N1994" s="50">
        <f>IF($T1994="","",IF($S1994="S",IF(INDEX(Firms!$M$5:$M$1004,$T1994)="","",INDEX(Firms!$M$5:$M$1004,$T1994)),IF(INDEX('AFA Rates'!$L$5:$L$1004,$T1994)="","",INDEX('AFA Rates'!$L$5:$L$1004,$T1994))))</f>
        <v/>
      </c>
      <c r="O1994" s="78">
        <f>IF(OR($T1994="",$U1994=""),"",IF(INDEX(Firms!$C$5:$C$1004,$U1994)="","",INDEX(Firms!$C$5:$C$1004,$U1994)))</f>
        <v/>
      </c>
      <c r="P1994" s="79">
        <f>IF(OR($T1994="",$U1994=""),"",IF(INDEX(Firms!$N$5:$N$1004,$U1994)="","",INDEX(Firms!$N$5:$N$1004,$U1994)))</f>
        <v/>
      </c>
      <c r="Q1994" s="78">
        <f>IF($T1994="","",IF($S1994="S",IF(INDEX(Firms!$T$5:$T$1004,$T1994)="","",INDEX(Firms!$T$5:$T$1004,$T1994)),IF(INDEX('AFA Rates'!$M$5:$M$1004,$T1994)="","",INDEX('AFA Rates'!$M$5:$M$1004,$T1994))))</f>
        <v/>
      </c>
      <c r="S1994">
        <f>IF(1990&lt;=$S$2,"S",IF(1990&lt;=$S$2+$T$2,"A",""))</f>
        <v/>
      </c>
      <c r="T1994">
        <f>IF(S1994="S",MATCH(1990,Firms!$W$5:$W$1004,0),IF(S1994="A",IFERROR(MATCH(1990-$S$2,'AFA Rates'!$R$5:$R$1004,0),""),""))</f>
        <v/>
      </c>
      <c r="U1994">
        <f>IF(S1994="S",T1994,IF(AND(S1994="A",T1994&lt;&gt;""),IFERROR(MATCH(INDEX('AFA Rates'!$A$5:$A$1004,T1994),Firms!$A$5:$A$1004,0),""),""))</f>
        <v/>
      </c>
    </row>
    <row r="1995">
      <c r="A1995" s="78">
        <f>IF($T1995="","",IF($S1995="S",IF(INDEX(Firms!$A$5:$A$1004,$T1995)="","",INDEX(Firms!$A$5:$A$1004,$T1995)),IF(INDEX('AFA Rates'!$A$5:$A$1004,$T1995)="","",INDEX('AFA Rates'!$A$5:$A$1004,$T1995))))</f>
        <v/>
      </c>
      <c r="B1995" s="79">
        <f>IF(OR($T1995="",$U1995=""),IF($T1995="","","Not on Firms tab"),INDEX(Firms!$B$5:$B$1004,$U1995)&amp;"")</f>
        <v/>
      </c>
      <c r="C1995" s="78">
        <f>IF($T1995="","",IF($S1995="S","Standard",INDEX('AFA Rates'!$B$5:$B$1004,$T1995)&amp;""))</f>
        <v/>
      </c>
      <c r="D1995" s="88">
        <f>IF($T1995="","",IF($S1995="S",IF(INDEX(Firms!$E$5:$E$1004,$T1995)="","",INDEX(Firms!$E$5:$E$1004,$T1995)),IF(INDEX('AFA Rates'!$C$5:$C$1004,$T1995)="","",INDEX('AFA Rates'!$C$5:$C$1004,$T1995))))</f>
        <v/>
      </c>
      <c r="E1995" s="88">
        <f>IF($T1995="","",IF($S1995="S",IF(""="","",""),IF(INDEX('AFA Rates'!$D$5:$D$1004,$T1995)="","",INDEX('AFA Rates'!$D$5:$D$1004,$T1995))))</f>
        <v/>
      </c>
      <c r="F1995" s="79">
        <f>IF($T1995="","",IF($S1995="S",IF(INDEX(Firms!$O$5:$O$1004,$T1995)="","",INDEX(Firms!$O$5:$O$1004,$T1995)),IF(INDEX('AFA Rates'!$O$5:$O$1004,$T1995)="","",INDEX('AFA Rates'!$O$5:$O$1004,$T1995))))</f>
        <v/>
      </c>
      <c r="G1995" s="50">
        <f>IF($T1995="","",IF($S1995="S",IF(INDEX(Firms!$F$5:$F$1004,$T1995)="","",INDEX(Firms!$F$5:$F$1004,$T1995)),IF(INDEX('AFA Rates'!$E$5:$E$1004,$T1995)="","",INDEX('AFA Rates'!$E$5:$E$1004,$T1995))))</f>
        <v/>
      </c>
      <c r="H1995" s="50">
        <f>IF($T1995="","",IF($S1995="S",IF(INDEX(Firms!$G$5:$G$1004,$T1995)="","",INDEX(Firms!$G$5:$G$1004,$T1995)),IF(INDEX('AFA Rates'!$F$5:$F$1004,$T1995)="","",INDEX('AFA Rates'!$F$5:$F$1004,$T1995))))</f>
        <v/>
      </c>
      <c r="I1995" s="50">
        <f>IF($T1995="","",IF($S1995="S",IF(INDEX(Firms!$H$5:$H$1004,$T1995)="","",INDEX(Firms!$H$5:$H$1004,$T1995)),IF(INDEX('AFA Rates'!$G$5:$G$1004,$T1995)="","",INDEX('AFA Rates'!$G$5:$G$1004,$T1995))))</f>
        <v/>
      </c>
      <c r="J1995" s="50">
        <f>IF($T1995="","",IF($S1995="S",IF(INDEX(Firms!$I$5:$I$1004,$T1995)="","",INDEX(Firms!$I$5:$I$1004,$T1995)),IF(INDEX('AFA Rates'!$H$5:$H$1004,$T1995)="","",INDEX('AFA Rates'!$H$5:$H$1004,$T1995))))</f>
        <v/>
      </c>
      <c r="K1995" s="50">
        <f>IF($T1995="","",IF($S1995="S",IF(INDEX(Firms!$J$5:$J$1004,$T1995)="","",INDEX(Firms!$J$5:$J$1004,$T1995)),IF(INDEX('AFA Rates'!$I$5:$I$1004,$T1995)="","",INDEX('AFA Rates'!$I$5:$I$1004,$T1995))))</f>
        <v/>
      </c>
      <c r="L1995" s="50">
        <f>IF($T1995="","",IF($S1995="S",IF(INDEX(Firms!$K$5:$K$1004,$T1995)="","",INDEX(Firms!$K$5:$K$1004,$T1995)),IF(INDEX('AFA Rates'!$J$5:$J$1004,$T1995)="","",INDEX('AFA Rates'!$J$5:$J$1004,$T1995))))</f>
        <v/>
      </c>
      <c r="M1995" s="50">
        <f>IF($T1995="","",IF($S1995="S",IF(INDEX(Firms!$L$5:$L$1004,$T1995)="","",INDEX(Firms!$L$5:$L$1004,$T1995)),IF(INDEX('AFA Rates'!$K$5:$K$1004,$T1995)="","",INDEX('AFA Rates'!$K$5:$K$1004,$T1995))))</f>
        <v/>
      </c>
      <c r="N1995" s="50">
        <f>IF($T1995="","",IF($S1995="S",IF(INDEX(Firms!$M$5:$M$1004,$T1995)="","",INDEX(Firms!$M$5:$M$1004,$T1995)),IF(INDEX('AFA Rates'!$L$5:$L$1004,$T1995)="","",INDEX('AFA Rates'!$L$5:$L$1004,$T1995))))</f>
        <v/>
      </c>
      <c r="O1995" s="78">
        <f>IF(OR($T1995="",$U1995=""),"",IF(INDEX(Firms!$C$5:$C$1004,$U1995)="","",INDEX(Firms!$C$5:$C$1004,$U1995)))</f>
        <v/>
      </c>
      <c r="P1995" s="79">
        <f>IF(OR($T1995="",$U1995=""),"",IF(INDEX(Firms!$N$5:$N$1004,$U1995)="","",INDEX(Firms!$N$5:$N$1004,$U1995)))</f>
        <v/>
      </c>
      <c r="Q1995" s="78">
        <f>IF($T1995="","",IF($S1995="S",IF(INDEX(Firms!$T$5:$T$1004,$T1995)="","",INDEX(Firms!$T$5:$T$1004,$T1995)),IF(INDEX('AFA Rates'!$M$5:$M$1004,$T1995)="","",INDEX('AFA Rates'!$M$5:$M$1004,$T1995))))</f>
        <v/>
      </c>
      <c r="S1995">
        <f>IF(1991&lt;=$S$2,"S",IF(1991&lt;=$S$2+$T$2,"A",""))</f>
        <v/>
      </c>
      <c r="T1995">
        <f>IF(S1995="S",MATCH(1991,Firms!$W$5:$W$1004,0),IF(S1995="A",IFERROR(MATCH(1991-$S$2,'AFA Rates'!$R$5:$R$1004,0),""),""))</f>
        <v/>
      </c>
      <c r="U1995">
        <f>IF(S1995="S",T1995,IF(AND(S1995="A",T1995&lt;&gt;""),IFERROR(MATCH(INDEX('AFA Rates'!$A$5:$A$1004,T1995),Firms!$A$5:$A$1004,0),""),""))</f>
        <v/>
      </c>
    </row>
    <row r="1996">
      <c r="A1996" s="78">
        <f>IF($T1996="","",IF($S1996="S",IF(INDEX(Firms!$A$5:$A$1004,$T1996)="","",INDEX(Firms!$A$5:$A$1004,$T1996)),IF(INDEX('AFA Rates'!$A$5:$A$1004,$T1996)="","",INDEX('AFA Rates'!$A$5:$A$1004,$T1996))))</f>
        <v/>
      </c>
      <c r="B1996" s="79">
        <f>IF(OR($T1996="",$U1996=""),IF($T1996="","","Not on Firms tab"),INDEX(Firms!$B$5:$B$1004,$U1996)&amp;"")</f>
        <v/>
      </c>
      <c r="C1996" s="78">
        <f>IF($T1996="","",IF($S1996="S","Standard",INDEX('AFA Rates'!$B$5:$B$1004,$T1996)&amp;""))</f>
        <v/>
      </c>
      <c r="D1996" s="88">
        <f>IF($T1996="","",IF($S1996="S",IF(INDEX(Firms!$E$5:$E$1004,$T1996)="","",INDEX(Firms!$E$5:$E$1004,$T1996)),IF(INDEX('AFA Rates'!$C$5:$C$1004,$T1996)="","",INDEX('AFA Rates'!$C$5:$C$1004,$T1996))))</f>
        <v/>
      </c>
      <c r="E1996" s="88">
        <f>IF($T1996="","",IF($S1996="S",IF(""="","",""),IF(INDEX('AFA Rates'!$D$5:$D$1004,$T1996)="","",INDEX('AFA Rates'!$D$5:$D$1004,$T1996))))</f>
        <v/>
      </c>
      <c r="F1996" s="79">
        <f>IF($T1996="","",IF($S1996="S",IF(INDEX(Firms!$O$5:$O$1004,$T1996)="","",INDEX(Firms!$O$5:$O$1004,$T1996)),IF(INDEX('AFA Rates'!$O$5:$O$1004,$T1996)="","",INDEX('AFA Rates'!$O$5:$O$1004,$T1996))))</f>
        <v/>
      </c>
      <c r="G1996" s="50">
        <f>IF($T1996="","",IF($S1996="S",IF(INDEX(Firms!$F$5:$F$1004,$T1996)="","",INDEX(Firms!$F$5:$F$1004,$T1996)),IF(INDEX('AFA Rates'!$E$5:$E$1004,$T1996)="","",INDEX('AFA Rates'!$E$5:$E$1004,$T1996))))</f>
        <v/>
      </c>
      <c r="H1996" s="50">
        <f>IF($T1996="","",IF($S1996="S",IF(INDEX(Firms!$G$5:$G$1004,$T1996)="","",INDEX(Firms!$G$5:$G$1004,$T1996)),IF(INDEX('AFA Rates'!$F$5:$F$1004,$T1996)="","",INDEX('AFA Rates'!$F$5:$F$1004,$T1996))))</f>
        <v/>
      </c>
      <c r="I1996" s="50">
        <f>IF($T1996="","",IF($S1996="S",IF(INDEX(Firms!$H$5:$H$1004,$T1996)="","",INDEX(Firms!$H$5:$H$1004,$T1996)),IF(INDEX('AFA Rates'!$G$5:$G$1004,$T1996)="","",INDEX('AFA Rates'!$G$5:$G$1004,$T1996))))</f>
        <v/>
      </c>
      <c r="J1996" s="50">
        <f>IF($T1996="","",IF($S1996="S",IF(INDEX(Firms!$I$5:$I$1004,$T1996)="","",INDEX(Firms!$I$5:$I$1004,$T1996)),IF(INDEX('AFA Rates'!$H$5:$H$1004,$T1996)="","",INDEX('AFA Rates'!$H$5:$H$1004,$T1996))))</f>
        <v/>
      </c>
      <c r="K1996" s="50">
        <f>IF($T1996="","",IF($S1996="S",IF(INDEX(Firms!$J$5:$J$1004,$T1996)="","",INDEX(Firms!$J$5:$J$1004,$T1996)),IF(INDEX('AFA Rates'!$I$5:$I$1004,$T1996)="","",INDEX('AFA Rates'!$I$5:$I$1004,$T1996))))</f>
        <v/>
      </c>
      <c r="L1996" s="50">
        <f>IF($T1996="","",IF($S1996="S",IF(INDEX(Firms!$K$5:$K$1004,$T1996)="","",INDEX(Firms!$K$5:$K$1004,$T1996)),IF(INDEX('AFA Rates'!$J$5:$J$1004,$T1996)="","",INDEX('AFA Rates'!$J$5:$J$1004,$T1996))))</f>
        <v/>
      </c>
      <c r="M1996" s="50">
        <f>IF($T1996="","",IF($S1996="S",IF(INDEX(Firms!$L$5:$L$1004,$T1996)="","",INDEX(Firms!$L$5:$L$1004,$T1996)),IF(INDEX('AFA Rates'!$K$5:$K$1004,$T1996)="","",INDEX('AFA Rates'!$K$5:$K$1004,$T1996))))</f>
        <v/>
      </c>
      <c r="N1996" s="50">
        <f>IF($T1996="","",IF($S1996="S",IF(INDEX(Firms!$M$5:$M$1004,$T1996)="","",INDEX(Firms!$M$5:$M$1004,$T1996)),IF(INDEX('AFA Rates'!$L$5:$L$1004,$T1996)="","",INDEX('AFA Rates'!$L$5:$L$1004,$T1996))))</f>
        <v/>
      </c>
      <c r="O1996" s="78">
        <f>IF(OR($T1996="",$U1996=""),"",IF(INDEX(Firms!$C$5:$C$1004,$U1996)="","",INDEX(Firms!$C$5:$C$1004,$U1996)))</f>
        <v/>
      </c>
      <c r="P1996" s="79">
        <f>IF(OR($T1996="",$U1996=""),"",IF(INDEX(Firms!$N$5:$N$1004,$U1996)="","",INDEX(Firms!$N$5:$N$1004,$U1996)))</f>
        <v/>
      </c>
      <c r="Q1996" s="78">
        <f>IF($T1996="","",IF($S1996="S",IF(INDEX(Firms!$T$5:$T$1004,$T1996)="","",INDEX(Firms!$T$5:$T$1004,$T1996)),IF(INDEX('AFA Rates'!$M$5:$M$1004,$T1996)="","",INDEX('AFA Rates'!$M$5:$M$1004,$T1996))))</f>
        <v/>
      </c>
      <c r="S1996">
        <f>IF(1992&lt;=$S$2,"S",IF(1992&lt;=$S$2+$T$2,"A",""))</f>
        <v/>
      </c>
      <c r="T1996">
        <f>IF(S1996="S",MATCH(1992,Firms!$W$5:$W$1004,0),IF(S1996="A",IFERROR(MATCH(1992-$S$2,'AFA Rates'!$R$5:$R$1004,0),""),""))</f>
        <v/>
      </c>
      <c r="U1996">
        <f>IF(S1996="S",T1996,IF(AND(S1996="A",T1996&lt;&gt;""),IFERROR(MATCH(INDEX('AFA Rates'!$A$5:$A$1004,T1996),Firms!$A$5:$A$1004,0),""),""))</f>
        <v/>
      </c>
    </row>
    <row r="1997">
      <c r="A1997" s="78">
        <f>IF($T1997="","",IF($S1997="S",IF(INDEX(Firms!$A$5:$A$1004,$T1997)="","",INDEX(Firms!$A$5:$A$1004,$T1997)),IF(INDEX('AFA Rates'!$A$5:$A$1004,$T1997)="","",INDEX('AFA Rates'!$A$5:$A$1004,$T1997))))</f>
        <v/>
      </c>
      <c r="B1997" s="79">
        <f>IF(OR($T1997="",$U1997=""),IF($T1997="","","Not on Firms tab"),INDEX(Firms!$B$5:$B$1004,$U1997)&amp;"")</f>
        <v/>
      </c>
      <c r="C1997" s="78">
        <f>IF($T1997="","",IF($S1997="S","Standard",INDEX('AFA Rates'!$B$5:$B$1004,$T1997)&amp;""))</f>
        <v/>
      </c>
      <c r="D1997" s="88">
        <f>IF($T1997="","",IF($S1997="S",IF(INDEX(Firms!$E$5:$E$1004,$T1997)="","",INDEX(Firms!$E$5:$E$1004,$T1997)),IF(INDEX('AFA Rates'!$C$5:$C$1004,$T1997)="","",INDEX('AFA Rates'!$C$5:$C$1004,$T1997))))</f>
        <v/>
      </c>
      <c r="E1997" s="88">
        <f>IF($T1997="","",IF($S1997="S",IF(""="","",""),IF(INDEX('AFA Rates'!$D$5:$D$1004,$T1997)="","",INDEX('AFA Rates'!$D$5:$D$1004,$T1997))))</f>
        <v/>
      </c>
      <c r="F1997" s="79">
        <f>IF($T1997="","",IF($S1997="S",IF(INDEX(Firms!$O$5:$O$1004,$T1997)="","",INDEX(Firms!$O$5:$O$1004,$T1997)),IF(INDEX('AFA Rates'!$O$5:$O$1004,$T1997)="","",INDEX('AFA Rates'!$O$5:$O$1004,$T1997))))</f>
        <v/>
      </c>
      <c r="G1997" s="50">
        <f>IF($T1997="","",IF($S1997="S",IF(INDEX(Firms!$F$5:$F$1004,$T1997)="","",INDEX(Firms!$F$5:$F$1004,$T1997)),IF(INDEX('AFA Rates'!$E$5:$E$1004,$T1997)="","",INDEX('AFA Rates'!$E$5:$E$1004,$T1997))))</f>
        <v/>
      </c>
      <c r="H1997" s="50">
        <f>IF($T1997="","",IF($S1997="S",IF(INDEX(Firms!$G$5:$G$1004,$T1997)="","",INDEX(Firms!$G$5:$G$1004,$T1997)),IF(INDEX('AFA Rates'!$F$5:$F$1004,$T1997)="","",INDEX('AFA Rates'!$F$5:$F$1004,$T1997))))</f>
        <v/>
      </c>
      <c r="I1997" s="50">
        <f>IF($T1997="","",IF($S1997="S",IF(INDEX(Firms!$H$5:$H$1004,$T1997)="","",INDEX(Firms!$H$5:$H$1004,$T1997)),IF(INDEX('AFA Rates'!$G$5:$G$1004,$T1997)="","",INDEX('AFA Rates'!$G$5:$G$1004,$T1997))))</f>
        <v/>
      </c>
      <c r="J1997" s="50">
        <f>IF($T1997="","",IF($S1997="S",IF(INDEX(Firms!$I$5:$I$1004,$T1997)="","",INDEX(Firms!$I$5:$I$1004,$T1997)),IF(INDEX('AFA Rates'!$H$5:$H$1004,$T1997)="","",INDEX('AFA Rates'!$H$5:$H$1004,$T1997))))</f>
        <v/>
      </c>
      <c r="K1997" s="50">
        <f>IF($T1997="","",IF($S1997="S",IF(INDEX(Firms!$J$5:$J$1004,$T1997)="","",INDEX(Firms!$J$5:$J$1004,$T1997)),IF(INDEX('AFA Rates'!$I$5:$I$1004,$T1997)="","",INDEX('AFA Rates'!$I$5:$I$1004,$T1997))))</f>
        <v/>
      </c>
      <c r="L1997" s="50">
        <f>IF($T1997="","",IF($S1997="S",IF(INDEX(Firms!$K$5:$K$1004,$T1997)="","",INDEX(Firms!$K$5:$K$1004,$T1997)),IF(INDEX('AFA Rates'!$J$5:$J$1004,$T1997)="","",INDEX('AFA Rates'!$J$5:$J$1004,$T1997))))</f>
        <v/>
      </c>
      <c r="M1997" s="50">
        <f>IF($T1997="","",IF($S1997="S",IF(INDEX(Firms!$L$5:$L$1004,$T1997)="","",INDEX(Firms!$L$5:$L$1004,$T1997)),IF(INDEX('AFA Rates'!$K$5:$K$1004,$T1997)="","",INDEX('AFA Rates'!$K$5:$K$1004,$T1997))))</f>
        <v/>
      </c>
      <c r="N1997" s="50">
        <f>IF($T1997="","",IF($S1997="S",IF(INDEX(Firms!$M$5:$M$1004,$T1997)="","",INDEX(Firms!$M$5:$M$1004,$T1997)),IF(INDEX('AFA Rates'!$L$5:$L$1004,$T1997)="","",INDEX('AFA Rates'!$L$5:$L$1004,$T1997))))</f>
        <v/>
      </c>
      <c r="O1997" s="78">
        <f>IF(OR($T1997="",$U1997=""),"",IF(INDEX(Firms!$C$5:$C$1004,$U1997)="","",INDEX(Firms!$C$5:$C$1004,$U1997)))</f>
        <v/>
      </c>
      <c r="P1997" s="79">
        <f>IF(OR($T1997="",$U1997=""),"",IF(INDEX(Firms!$N$5:$N$1004,$U1997)="","",INDEX(Firms!$N$5:$N$1004,$U1997)))</f>
        <v/>
      </c>
      <c r="Q1997" s="78">
        <f>IF($T1997="","",IF($S1997="S",IF(INDEX(Firms!$T$5:$T$1004,$T1997)="","",INDEX(Firms!$T$5:$T$1004,$T1997)),IF(INDEX('AFA Rates'!$M$5:$M$1004,$T1997)="","",INDEX('AFA Rates'!$M$5:$M$1004,$T1997))))</f>
        <v/>
      </c>
      <c r="S1997">
        <f>IF(1993&lt;=$S$2,"S",IF(1993&lt;=$S$2+$T$2,"A",""))</f>
        <v/>
      </c>
      <c r="T1997">
        <f>IF(S1997="S",MATCH(1993,Firms!$W$5:$W$1004,0),IF(S1997="A",IFERROR(MATCH(1993-$S$2,'AFA Rates'!$R$5:$R$1004,0),""),""))</f>
        <v/>
      </c>
      <c r="U1997">
        <f>IF(S1997="S",T1997,IF(AND(S1997="A",T1997&lt;&gt;""),IFERROR(MATCH(INDEX('AFA Rates'!$A$5:$A$1004,T1997),Firms!$A$5:$A$1004,0),""),""))</f>
        <v/>
      </c>
    </row>
    <row r="1998">
      <c r="A1998" s="78">
        <f>IF($T1998="","",IF($S1998="S",IF(INDEX(Firms!$A$5:$A$1004,$T1998)="","",INDEX(Firms!$A$5:$A$1004,$T1998)),IF(INDEX('AFA Rates'!$A$5:$A$1004,$T1998)="","",INDEX('AFA Rates'!$A$5:$A$1004,$T1998))))</f>
        <v/>
      </c>
      <c r="B1998" s="79">
        <f>IF(OR($T1998="",$U1998=""),IF($T1998="","","Not on Firms tab"),INDEX(Firms!$B$5:$B$1004,$U1998)&amp;"")</f>
        <v/>
      </c>
      <c r="C1998" s="78">
        <f>IF($T1998="","",IF($S1998="S","Standard",INDEX('AFA Rates'!$B$5:$B$1004,$T1998)&amp;""))</f>
        <v/>
      </c>
      <c r="D1998" s="88">
        <f>IF($T1998="","",IF($S1998="S",IF(INDEX(Firms!$E$5:$E$1004,$T1998)="","",INDEX(Firms!$E$5:$E$1004,$T1998)),IF(INDEX('AFA Rates'!$C$5:$C$1004,$T1998)="","",INDEX('AFA Rates'!$C$5:$C$1004,$T1998))))</f>
        <v/>
      </c>
      <c r="E1998" s="88">
        <f>IF($T1998="","",IF($S1998="S",IF(""="","",""),IF(INDEX('AFA Rates'!$D$5:$D$1004,$T1998)="","",INDEX('AFA Rates'!$D$5:$D$1004,$T1998))))</f>
        <v/>
      </c>
      <c r="F1998" s="79">
        <f>IF($T1998="","",IF($S1998="S",IF(INDEX(Firms!$O$5:$O$1004,$T1998)="","",INDEX(Firms!$O$5:$O$1004,$T1998)),IF(INDEX('AFA Rates'!$O$5:$O$1004,$T1998)="","",INDEX('AFA Rates'!$O$5:$O$1004,$T1998))))</f>
        <v/>
      </c>
      <c r="G1998" s="50">
        <f>IF($T1998="","",IF($S1998="S",IF(INDEX(Firms!$F$5:$F$1004,$T1998)="","",INDEX(Firms!$F$5:$F$1004,$T1998)),IF(INDEX('AFA Rates'!$E$5:$E$1004,$T1998)="","",INDEX('AFA Rates'!$E$5:$E$1004,$T1998))))</f>
        <v/>
      </c>
      <c r="H1998" s="50">
        <f>IF($T1998="","",IF($S1998="S",IF(INDEX(Firms!$G$5:$G$1004,$T1998)="","",INDEX(Firms!$G$5:$G$1004,$T1998)),IF(INDEX('AFA Rates'!$F$5:$F$1004,$T1998)="","",INDEX('AFA Rates'!$F$5:$F$1004,$T1998))))</f>
        <v/>
      </c>
      <c r="I1998" s="50">
        <f>IF($T1998="","",IF($S1998="S",IF(INDEX(Firms!$H$5:$H$1004,$T1998)="","",INDEX(Firms!$H$5:$H$1004,$T1998)),IF(INDEX('AFA Rates'!$G$5:$G$1004,$T1998)="","",INDEX('AFA Rates'!$G$5:$G$1004,$T1998))))</f>
        <v/>
      </c>
      <c r="J1998" s="50">
        <f>IF($T1998="","",IF($S1998="S",IF(INDEX(Firms!$I$5:$I$1004,$T1998)="","",INDEX(Firms!$I$5:$I$1004,$T1998)),IF(INDEX('AFA Rates'!$H$5:$H$1004,$T1998)="","",INDEX('AFA Rates'!$H$5:$H$1004,$T1998))))</f>
        <v/>
      </c>
      <c r="K1998" s="50">
        <f>IF($T1998="","",IF($S1998="S",IF(INDEX(Firms!$J$5:$J$1004,$T1998)="","",INDEX(Firms!$J$5:$J$1004,$T1998)),IF(INDEX('AFA Rates'!$I$5:$I$1004,$T1998)="","",INDEX('AFA Rates'!$I$5:$I$1004,$T1998))))</f>
        <v/>
      </c>
      <c r="L1998" s="50">
        <f>IF($T1998="","",IF($S1998="S",IF(INDEX(Firms!$K$5:$K$1004,$T1998)="","",INDEX(Firms!$K$5:$K$1004,$T1998)),IF(INDEX('AFA Rates'!$J$5:$J$1004,$T1998)="","",INDEX('AFA Rates'!$J$5:$J$1004,$T1998))))</f>
        <v/>
      </c>
      <c r="M1998" s="50">
        <f>IF($T1998="","",IF($S1998="S",IF(INDEX(Firms!$L$5:$L$1004,$T1998)="","",INDEX(Firms!$L$5:$L$1004,$T1998)),IF(INDEX('AFA Rates'!$K$5:$K$1004,$T1998)="","",INDEX('AFA Rates'!$K$5:$K$1004,$T1998))))</f>
        <v/>
      </c>
      <c r="N1998" s="50">
        <f>IF($T1998="","",IF($S1998="S",IF(INDEX(Firms!$M$5:$M$1004,$T1998)="","",INDEX(Firms!$M$5:$M$1004,$T1998)),IF(INDEX('AFA Rates'!$L$5:$L$1004,$T1998)="","",INDEX('AFA Rates'!$L$5:$L$1004,$T1998))))</f>
        <v/>
      </c>
      <c r="O1998" s="78">
        <f>IF(OR($T1998="",$U1998=""),"",IF(INDEX(Firms!$C$5:$C$1004,$U1998)="","",INDEX(Firms!$C$5:$C$1004,$U1998)))</f>
        <v/>
      </c>
      <c r="P1998" s="79">
        <f>IF(OR($T1998="",$U1998=""),"",IF(INDEX(Firms!$N$5:$N$1004,$U1998)="","",INDEX(Firms!$N$5:$N$1004,$U1998)))</f>
        <v/>
      </c>
      <c r="Q1998" s="78">
        <f>IF($T1998="","",IF($S1998="S",IF(INDEX(Firms!$T$5:$T$1004,$T1998)="","",INDEX(Firms!$T$5:$T$1004,$T1998)),IF(INDEX('AFA Rates'!$M$5:$M$1004,$T1998)="","",INDEX('AFA Rates'!$M$5:$M$1004,$T1998))))</f>
        <v/>
      </c>
      <c r="S1998">
        <f>IF(1994&lt;=$S$2,"S",IF(1994&lt;=$S$2+$T$2,"A",""))</f>
        <v/>
      </c>
      <c r="T1998">
        <f>IF(S1998="S",MATCH(1994,Firms!$W$5:$W$1004,0),IF(S1998="A",IFERROR(MATCH(1994-$S$2,'AFA Rates'!$R$5:$R$1004,0),""),""))</f>
        <v/>
      </c>
      <c r="U1998">
        <f>IF(S1998="S",T1998,IF(AND(S1998="A",T1998&lt;&gt;""),IFERROR(MATCH(INDEX('AFA Rates'!$A$5:$A$1004,T1998),Firms!$A$5:$A$1004,0),""),""))</f>
        <v/>
      </c>
    </row>
    <row r="1999">
      <c r="A1999" s="78">
        <f>IF($T1999="","",IF($S1999="S",IF(INDEX(Firms!$A$5:$A$1004,$T1999)="","",INDEX(Firms!$A$5:$A$1004,$T1999)),IF(INDEX('AFA Rates'!$A$5:$A$1004,$T1999)="","",INDEX('AFA Rates'!$A$5:$A$1004,$T1999))))</f>
        <v/>
      </c>
      <c r="B1999" s="79">
        <f>IF(OR($T1999="",$U1999=""),IF($T1999="","","Not on Firms tab"),INDEX(Firms!$B$5:$B$1004,$U1999)&amp;"")</f>
        <v/>
      </c>
      <c r="C1999" s="78">
        <f>IF($T1999="","",IF($S1999="S","Standard",INDEX('AFA Rates'!$B$5:$B$1004,$T1999)&amp;""))</f>
        <v/>
      </c>
      <c r="D1999" s="88">
        <f>IF($T1999="","",IF($S1999="S",IF(INDEX(Firms!$E$5:$E$1004,$T1999)="","",INDEX(Firms!$E$5:$E$1004,$T1999)),IF(INDEX('AFA Rates'!$C$5:$C$1004,$T1999)="","",INDEX('AFA Rates'!$C$5:$C$1004,$T1999))))</f>
        <v/>
      </c>
      <c r="E1999" s="88">
        <f>IF($T1999="","",IF($S1999="S",IF(""="","",""),IF(INDEX('AFA Rates'!$D$5:$D$1004,$T1999)="","",INDEX('AFA Rates'!$D$5:$D$1004,$T1999))))</f>
        <v/>
      </c>
      <c r="F1999" s="79">
        <f>IF($T1999="","",IF($S1999="S",IF(INDEX(Firms!$O$5:$O$1004,$T1999)="","",INDEX(Firms!$O$5:$O$1004,$T1999)),IF(INDEX('AFA Rates'!$O$5:$O$1004,$T1999)="","",INDEX('AFA Rates'!$O$5:$O$1004,$T1999))))</f>
        <v/>
      </c>
      <c r="G1999" s="50">
        <f>IF($T1999="","",IF($S1999="S",IF(INDEX(Firms!$F$5:$F$1004,$T1999)="","",INDEX(Firms!$F$5:$F$1004,$T1999)),IF(INDEX('AFA Rates'!$E$5:$E$1004,$T1999)="","",INDEX('AFA Rates'!$E$5:$E$1004,$T1999))))</f>
        <v/>
      </c>
      <c r="H1999" s="50">
        <f>IF($T1999="","",IF($S1999="S",IF(INDEX(Firms!$G$5:$G$1004,$T1999)="","",INDEX(Firms!$G$5:$G$1004,$T1999)),IF(INDEX('AFA Rates'!$F$5:$F$1004,$T1999)="","",INDEX('AFA Rates'!$F$5:$F$1004,$T1999))))</f>
        <v/>
      </c>
      <c r="I1999" s="50">
        <f>IF($T1999="","",IF($S1999="S",IF(INDEX(Firms!$H$5:$H$1004,$T1999)="","",INDEX(Firms!$H$5:$H$1004,$T1999)),IF(INDEX('AFA Rates'!$G$5:$G$1004,$T1999)="","",INDEX('AFA Rates'!$G$5:$G$1004,$T1999))))</f>
        <v/>
      </c>
      <c r="J1999" s="50">
        <f>IF($T1999="","",IF($S1999="S",IF(INDEX(Firms!$I$5:$I$1004,$T1999)="","",INDEX(Firms!$I$5:$I$1004,$T1999)),IF(INDEX('AFA Rates'!$H$5:$H$1004,$T1999)="","",INDEX('AFA Rates'!$H$5:$H$1004,$T1999))))</f>
        <v/>
      </c>
      <c r="K1999" s="50">
        <f>IF($T1999="","",IF($S1999="S",IF(INDEX(Firms!$J$5:$J$1004,$T1999)="","",INDEX(Firms!$J$5:$J$1004,$T1999)),IF(INDEX('AFA Rates'!$I$5:$I$1004,$T1999)="","",INDEX('AFA Rates'!$I$5:$I$1004,$T1999))))</f>
        <v/>
      </c>
      <c r="L1999" s="50">
        <f>IF($T1999="","",IF($S1999="S",IF(INDEX(Firms!$K$5:$K$1004,$T1999)="","",INDEX(Firms!$K$5:$K$1004,$T1999)),IF(INDEX('AFA Rates'!$J$5:$J$1004,$T1999)="","",INDEX('AFA Rates'!$J$5:$J$1004,$T1999))))</f>
        <v/>
      </c>
      <c r="M1999" s="50">
        <f>IF($T1999="","",IF($S1999="S",IF(INDEX(Firms!$L$5:$L$1004,$T1999)="","",INDEX(Firms!$L$5:$L$1004,$T1999)),IF(INDEX('AFA Rates'!$K$5:$K$1004,$T1999)="","",INDEX('AFA Rates'!$K$5:$K$1004,$T1999))))</f>
        <v/>
      </c>
      <c r="N1999" s="50">
        <f>IF($T1999="","",IF($S1999="S",IF(INDEX(Firms!$M$5:$M$1004,$T1999)="","",INDEX(Firms!$M$5:$M$1004,$T1999)),IF(INDEX('AFA Rates'!$L$5:$L$1004,$T1999)="","",INDEX('AFA Rates'!$L$5:$L$1004,$T1999))))</f>
        <v/>
      </c>
      <c r="O1999" s="78">
        <f>IF(OR($T1999="",$U1999=""),"",IF(INDEX(Firms!$C$5:$C$1004,$U1999)="","",INDEX(Firms!$C$5:$C$1004,$U1999)))</f>
        <v/>
      </c>
      <c r="P1999" s="79">
        <f>IF(OR($T1999="",$U1999=""),"",IF(INDEX(Firms!$N$5:$N$1004,$U1999)="","",INDEX(Firms!$N$5:$N$1004,$U1999)))</f>
        <v/>
      </c>
      <c r="Q1999" s="78">
        <f>IF($T1999="","",IF($S1999="S",IF(INDEX(Firms!$T$5:$T$1004,$T1999)="","",INDEX(Firms!$T$5:$T$1004,$T1999)),IF(INDEX('AFA Rates'!$M$5:$M$1004,$T1999)="","",INDEX('AFA Rates'!$M$5:$M$1004,$T1999))))</f>
        <v/>
      </c>
      <c r="S1999">
        <f>IF(1995&lt;=$S$2,"S",IF(1995&lt;=$S$2+$T$2,"A",""))</f>
        <v/>
      </c>
      <c r="T1999">
        <f>IF(S1999="S",MATCH(1995,Firms!$W$5:$W$1004,0),IF(S1999="A",IFERROR(MATCH(1995-$S$2,'AFA Rates'!$R$5:$R$1004,0),""),""))</f>
        <v/>
      </c>
      <c r="U1999">
        <f>IF(S1999="S",T1999,IF(AND(S1999="A",T1999&lt;&gt;""),IFERROR(MATCH(INDEX('AFA Rates'!$A$5:$A$1004,T1999),Firms!$A$5:$A$1004,0),""),""))</f>
        <v/>
      </c>
    </row>
    <row r="2000">
      <c r="A2000" s="78">
        <f>IF($T2000="","",IF($S2000="S",IF(INDEX(Firms!$A$5:$A$1004,$T2000)="","",INDEX(Firms!$A$5:$A$1004,$T2000)),IF(INDEX('AFA Rates'!$A$5:$A$1004,$T2000)="","",INDEX('AFA Rates'!$A$5:$A$1004,$T2000))))</f>
        <v/>
      </c>
      <c r="B2000" s="79">
        <f>IF(OR($T2000="",$U2000=""),IF($T2000="","","Not on Firms tab"),INDEX(Firms!$B$5:$B$1004,$U2000)&amp;"")</f>
        <v/>
      </c>
      <c r="C2000" s="78">
        <f>IF($T2000="","",IF($S2000="S","Standard",INDEX('AFA Rates'!$B$5:$B$1004,$T2000)&amp;""))</f>
        <v/>
      </c>
      <c r="D2000" s="88">
        <f>IF($T2000="","",IF($S2000="S",IF(INDEX(Firms!$E$5:$E$1004,$T2000)="","",INDEX(Firms!$E$5:$E$1004,$T2000)),IF(INDEX('AFA Rates'!$C$5:$C$1004,$T2000)="","",INDEX('AFA Rates'!$C$5:$C$1004,$T2000))))</f>
        <v/>
      </c>
      <c r="E2000" s="88">
        <f>IF($T2000="","",IF($S2000="S",IF(""="","",""),IF(INDEX('AFA Rates'!$D$5:$D$1004,$T2000)="","",INDEX('AFA Rates'!$D$5:$D$1004,$T2000))))</f>
        <v/>
      </c>
      <c r="F2000" s="79">
        <f>IF($T2000="","",IF($S2000="S",IF(INDEX(Firms!$O$5:$O$1004,$T2000)="","",INDEX(Firms!$O$5:$O$1004,$T2000)),IF(INDEX('AFA Rates'!$O$5:$O$1004,$T2000)="","",INDEX('AFA Rates'!$O$5:$O$1004,$T2000))))</f>
        <v/>
      </c>
      <c r="G2000" s="50">
        <f>IF($T2000="","",IF($S2000="S",IF(INDEX(Firms!$F$5:$F$1004,$T2000)="","",INDEX(Firms!$F$5:$F$1004,$T2000)),IF(INDEX('AFA Rates'!$E$5:$E$1004,$T2000)="","",INDEX('AFA Rates'!$E$5:$E$1004,$T2000))))</f>
        <v/>
      </c>
      <c r="H2000" s="50">
        <f>IF($T2000="","",IF($S2000="S",IF(INDEX(Firms!$G$5:$G$1004,$T2000)="","",INDEX(Firms!$G$5:$G$1004,$T2000)),IF(INDEX('AFA Rates'!$F$5:$F$1004,$T2000)="","",INDEX('AFA Rates'!$F$5:$F$1004,$T2000))))</f>
        <v/>
      </c>
      <c r="I2000" s="50">
        <f>IF($T2000="","",IF($S2000="S",IF(INDEX(Firms!$H$5:$H$1004,$T2000)="","",INDEX(Firms!$H$5:$H$1004,$T2000)),IF(INDEX('AFA Rates'!$G$5:$G$1004,$T2000)="","",INDEX('AFA Rates'!$G$5:$G$1004,$T2000))))</f>
        <v/>
      </c>
      <c r="J2000" s="50">
        <f>IF($T2000="","",IF($S2000="S",IF(INDEX(Firms!$I$5:$I$1004,$T2000)="","",INDEX(Firms!$I$5:$I$1004,$T2000)),IF(INDEX('AFA Rates'!$H$5:$H$1004,$T2000)="","",INDEX('AFA Rates'!$H$5:$H$1004,$T2000))))</f>
        <v/>
      </c>
      <c r="K2000" s="50">
        <f>IF($T2000="","",IF($S2000="S",IF(INDEX(Firms!$J$5:$J$1004,$T2000)="","",INDEX(Firms!$J$5:$J$1004,$T2000)),IF(INDEX('AFA Rates'!$I$5:$I$1004,$T2000)="","",INDEX('AFA Rates'!$I$5:$I$1004,$T2000))))</f>
        <v/>
      </c>
      <c r="L2000" s="50">
        <f>IF($T2000="","",IF($S2000="S",IF(INDEX(Firms!$K$5:$K$1004,$T2000)="","",INDEX(Firms!$K$5:$K$1004,$T2000)),IF(INDEX('AFA Rates'!$J$5:$J$1004,$T2000)="","",INDEX('AFA Rates'!$J$5:$J$1004,$T2000))))</f>
        <v/>
      </c>
      <c r="M2000" s="50">
        <f>IF($T2000="","",IF($S2000="S",IF(INDEX(Firms!$L$5:$L$1004,$T2000)="","",INDEX(Firms!$L$5:$L$1004,$T2000)),IF(INDEX('AFA Rates'!$K$5:$K$1004,$T2000)="","",INDEX('AFA Rates'!$K$5:$K$1004,$T2000))))</f>
        <v/>
      </c>
      <c r="N2000" s="50">
        <f>IF($T2000="","",IF($S2000="S",IF(INDEX(Firms!$M$5:$M$1004,$T2000)="","",INDEX(Firms!$M$5:$M$1004,$T2000)),IF(INDEX('AFA Rates'!$L$5:$L$1004,$T2000)="","",INDEX('AFA Rates'!$L$5:$L$1004,$T2000))))</f>
        <v/>
      </c>
      <c r="O2000" s="78">
        <f>IF(OR($T2000="",$U2000=""),"",IF(INDEX(Firms!$C$5:$C$1004,$U2000)="","",INDEX(Firms!$C$5:$C$1004,$U2000)))</f>
        <v/>
      </c>
      <c r="P2000" s="79">
        <f>IF(OR($T2000="",$U2000=""),"",IF(INDEX(Firms!$N$5:$N$1004,$U2000)="","",INDEX(Firms!$N$5:$N$1004,$U2000)))</f>
        <v/>
      </c>
      <c r="Q2000" s="78">
        <f>IF($T2000="","",IF($S2000="S",IF(INDEX(Firms!$T$5:$T$1004,$T2000)="","",INDEX(Firms!$T$5:$T$1004,$T2000)),IF(INDEX('AFA Rates'!$M$5:$M$1004,$T2000)="","",INDEX('AFA Rates'!$M$5:$M$1004,$T2000))))</f>
        <v/>
      </c>
      <c r="S2000">
        <f>IF(1996&lt;=$S$2,"S",IF(1996&lt;=$S$2+$T$2,"A",""))</f>
        <v/>
      </c>
      <c r="T2000">
        <f>IF(S2000="S",MATCH(1996,Firms!$W$5:$W$1004,0),IF(S2000="A",IFERROR(MATCH(1996-$S$2,'AFA Rates'!$R$5:$R$1004,0),""),""))</f>
        <v/>
      </c>
      <c r="U2000">
        <f>IF(S2000="S",T2000,IF(AND(S2000="A",T2000&lt;&gt;""),IFERROR(MATCH(INDEX('AFA Rates'!$A$5:$A$1004,T2000),Firms!$A$5:$A$1004,0),""),""))</f>
        <v/>
      </c>
    </row>
    <row r="2001">
      <c r="A2001" s="78">
        <f>IF($T2001="","",IF($S2001="S",IF(INDEX(Firms!$A$5:$A$1004,$T2001)="","",INDEX(Firms!$A$5:$A$1004,$T2001)),IF(INDEX('AFA Rates'!$A$5:$A$1004,$T2001)="","",INDEX('AFA Rates'!$A$5:$A$1004,$T2001))))</f>
        <v/>
      </c>
      <c r="B2001" s="79">
        <f>IF(OR($T2001="",$U2001=""),IF($T2001="","","Not on Firms tab"),INDEX(Firms!$B$5:$B$1004,$U2001)&amp;"")</f>
        <v/>
      </c>
      <c r="C2001" s="78">
        <f>IF($T2001="","",IF($S2001="S","Standard",INDEX('AFA Rates'!$B$5:$B$1004,$T2001)&amp;""))</f>
        <v/>
      </c>
      <c r="D2001" s="88">
        <f>IF($T2001="","",IF($S2001="S",IF(INDEX(Firms!$E$5:$E$1004,$T2001)="","",INDEX(Firms!$E$5:$E$1004,$T2001)),IF(INDEX('AFA Rates'!$C$5:$C$1004,$T2001)="","",INDEX('AFA Rates'!$C$5:$C$1004,$T2001))))</f>
        <v/>
      </c>
      <c r="E2001" s="88">
        <f>IF($T2001="","",IF($S2001="S",IF(""="","",""),IF(INDEX('AFA Rates'!$D$5:$D$1004,$T2001)="","",INDEX('AFA Rates'!$D$5:$D$1004,$T2001))))</f>
        <v/>
      </c>
      <c r="F2001" s="79">
        <f>IF($T2001="","",IF($S2001="S",IF(INDEX(Firms!$O$5:$O$1004,$T2001)="","",INDEX(Firms!$O$5:$O$1004,$T2001)),IF(INDEX('AFA Rates'!$O$5:$O$1004,$T2001)="","",INDEX('AFA Rates'!$O$5:$O$1004,$T2001))))</f>
        <v/>
      </c>
      <c r="G2001" s="50">
        <f>IF($T2001="","",IF($S2001="S",IF(INDEX(Firms!$F$5:$F$1004,$T2001)="","",INDEX(Firms!$F$5:$F$1004,$T2001)),IF(INDEX('AFA Rates'!$E$5:$E$1004,$T2001)="","",INDEX('AFA Rates'!$E$5:$E$1004,$T2001))))</f>
        <v/>
      </c>
      <c r="H2001" s="50">
        <f>IF($T2001="","",IF($S2001="S",IF(INDEX(Firms!$G$5:$G$1004,$T2001)="","",INDEX(Firms!$G$5:$G$1004,$T2001)),IF(INDEX('AFA Rates'!$F$5:$F$1004,$T2001)="","",INDEX('AFA Rates'!$F$5:$F$1004,$T2001))))</f>
        <v/>
      </c>
      <c r="I2001" s="50">
        <f>IF($T2001="","",IF($S2001="S",IF(INDEX(Firms!$H$5:$H$1004,$T2001)="","",INDEX(Firms!$H$5:$H$1004,$T2001)),IF(INDEX('AFA Rates'!$G$5:$G$1004,$T2001)="","",INDEX('AFA Rates'!$G$5:$G$1004,$T2001))))</f>
        <v/>
      </c>
      <c r="J2001" s="50">
        <f>IF($T2001="","",IF($S2001="S",IF(INDEX(Firms!$I$5:$I$1004,$T2001)="","",INDEX(Firms!$I$5:$I$1004,$T2001)),IF(INDEX('AFA Rates'!$H$5:$H$1004,$T2001)="","",INDEX('AFA Rates'!$H$5:$H$1004,$T2001))))</f>
        <v/>
      </c>
      <c r="K2001" s="50">
        <f>IF($T2001="","",IF($S2001="S",IF(INDEX(Firms!$J$5:$J$1004,$T2001)="","",INDEX(Firms!$J$5:$J$1004,$T2001)),IF(INDEX('AFA Rates'!$I$5:$I$1004,$T2001)="","",INDEX('AFA Rates'!$I$5:$I$1004,$T2001))))</f>
        <v/>
      </c>
      <c r="L2001" s="50">
        <f>IF($T2001="","",IF($S2001="S",IF(INDEX(Firms!$K$5:$K$1004,$T2001)="","",INDEX(Firms!$K$5:$K$1004,$T2001)),IF(INDEX('AFA Rates'!$J$5:$J$1004,$T2001)="","",INDEX('AFA Rates'!$J$5:$J$1004,$T2001))))</f>
        <v/>
      </c>
      <c r="M2001" s="50">
        <f>IF($T2001="","",IF($S2001="S",IF(INDEX(Firms!$L$5:$L$1004,$T2001)="","",INDEX(Firms!$L$5:$L$1004,$T2001)),IF(INDEX('AFA Rates'!$K$5:$K$1004,$T2001)="","",INDEX('AFA Rates'!$K$5:$K$1004,$T2001))))</f>
        <v/>
      </c>
      <c r="N2001" s="50">
        <f>IF($T2001="","",IF($S2001="S",IF(INDEX(Firms!$M$5:$M$1004,$T2001)="","",INDEX(Firms!$M$5:$M$1004,$T2001)),IF(INDEX('AFA Rates'!$L$5:$L$1004,$T2001)="","",INDEX('AFA Rates'!$L$5:$L$1004,$T2001))))</f>
        <v/>
      </c>
      <c r="O2001" s="78">
        <f>IF(OR($T2001="",$U2001=""),"",IF(INDEX(Firms!$C$5:$C$1004,$U2001)="","",INDEX(Firms!$C$5:$C$1004,$U2001)))</f>
        <v/>
      </c>
      <c r="P2001" s="79">
        <f>IF(OR($T2001="",$U2001=""),"",IF(INDEX(Firms!$N$5:$N$1004,$U2001)="","",INDEX(Firms!$N$5:$N$1004,$U2001)))</f>
        <v/>
      </c>
      <c r="Q2001" s="78">
        <f>IF($T2001="","",IF($S2001="S",IF(INDEX(Firms!$T$5:$T$1004,$T2001)="","",INDEX(Firms!$T$5:$T$1004,$T2001)),IF(INDEX('AFA Rates'!$M$5:$M$1004,$T2001)="","",INDEX('AFA Rates'!$M$5:$M$1004,$T2001))))</f>
        <v/>
      </c>
      <c r="S2001">
        <f>IF(1997&lt;=$S$2,"S",IF(1997&lt;=$S$2+$T$2,"A",""))</f>
        <v/>
      </c>
      <c r="T2001">
        <f>IF(S2001="S",MATCH(1997,Firms!$W$5:$W$1004,0),IF(S2001="A",IFERROR(MATCH(1997-$S$2,'AFA Rates'!$R$5:$R$1004,0),""),""))</f>
        <v/>
      </c>
      <c r="U2001">
        <f>IF(S2001="S",T2001,IF(AND(S2001="A",T2001&lt;&gt;""),IFERROR(MATCH(INDEX('AFA Rates'!$A$5:$A$1004,T2001),Firms!$A$5:$A$1004,0),""),""))</f>
        <v/>
      </c>
    </row>
    <row r="2002">
      <c r="A2002" s="78">
        <f>IF($T2002="","",IF($S2002="S",IF(INDEX(Firms!$A$5:$A$1004,$T2002)="","",INDEX(Firms!$A$5:$A$1004,$T2002)),IF(INDEX('AFA Rates'!$A$5:$A$1004,$T2002)="","",INDEX('AFA Rates'!$A$5:$A$1004,$T2002))))</f>
        <v/>
      </c>
      <c r="B2002" s="79">
        <f>IF(OR($T2002="",$U2002=""),IF($T2002="","","Not on Firms tab"),INDEX(Firms!$B$5:$B$1004,$U2002)&amp;"")</f>
        <v/>
      </c>
      <c r="C2002" s="78">
        <f>IF($T2002="","",IF($S2002="S","Standard",INDEX('AFA Rates'!$B$5:$B$1004,$T2002)&amp;""))</f>
        <v/>
      </c>
      <c r="D2002" s="88">
        <f>IF($T2002="","",IF($S2002="S",IF(INDEX(Firms!$E$5:$E$1004,$T2002)="","",INDEX(Firms!$E$5:$E$1004,$T2002)),IF(INDEX('AFA Rates'!$C$5:$C$1004,$T2002)="","",INDEX('AFA Rates'!$C$5:$C$1004,$T2002))))</f>
        <v/>
      </c>
      <c r="E2002" s="88">
        <f>IF($T2002="","",IF($S2002="S",IF(""="","",""),IF(INDEX('AFA Rates'!$D$5:$D$1004,$T2002)="","",INDEX('AFA Rates'!$D$5:$D$1004,$T2002))))</f>
        <v/>
      </c>
      <c r="F2002" s="79">
        <f>IF($T2002="","",IF($S2002="S",IF(INDEX(Firms!$O$5:$O$1004,$T2002)="","",INDEX(Firms!$O$5:$O$1004,$T2002)),IF(INDEX('AFA Rates'!$O$5:$O$1004,$T2002)="","",INDEX('AFA Rates'!$O$5:$O$1004,$T2002))))</f>
        <v/>
      </c>
      <c r="G2002" s="50">
        <f>IF($T2002="","",IF($S2002="S",IF(INDEX(Firms!$F$5:$F$1004,$T2002)="","",INDEX(Firms!$F$5:$F$1004,$T2002)),IF(INDEX('AFA Rates'!$E$5:$E$1004,$T2002)="","",INDEX('AFA Rates'!$E$5:$E$1004,$T2002))))</f>
        <v/>
      </c>
      <c r="H2002" s="50">
        <f>IF($T2002="","",IF($S2002="S",IF(INDEX(Firms!$G$5:$G$1004,$T2002)="","",INDEX(Firms!$G$5:$G$1004,$T2002)),IF(INDEX('AFA Rates'!$F$5:$F$1004,$T2002)="","",INDEX('AFA Rates'!$F$5:$F$1004,$T2002))))</f>
        <v/>
      </c>
      <c r="I2002" s="50">
        <f>IF($T2002="","",IF($S2002="S",IF(INDEX(Firms!$H$5:$H$1004,$T2002)="","",INDEX(Firms!$H$5:$H$1004,$T2002)),IF(INDEX('AFA Rates'!$G$5:$G$1004,$T2002)="","",INDEX('AFA Rates'!$G$5:$G$1004,$T2002))))</f>
        <v/>
      </c>
      <c r="J2002" s="50">
        <f>IF($T2002="","",IF($S2002="S",IF(INDEX(Firms!$I$5:$I$1004,$T2002)="","",INDEX(Firms!$I$5:$I$1004,$T2002)),IF(INDEX('AFA Rates'!$H$5:$H$1004,$T2002)="","",INDEX('AFA Rates'!$H$5:$H$1004,$T2002))))</f>
        <v/>
      </c>
      <c r="K2002" s="50">
        <f>IF($T2002="","",IF($S2002="S",IF(INDEX(Firms!$J$5:$J$1004,$T2002)="","",INDEX(Firms!$J$5:$J$1004,$T2002)),IF(INDEX('AFA Rates'!$I$5:$I$1004,$T2002)="","",INDEX('AFA Rates'!$I$5:$I$1004,$T2002))))</f>
        <v/>
      </c>
      <c r="L2002" s="50">
        <f>IF($T2002="","",IF($S2002="S",IF(INDEX(Firms!$K$5:$K$1004,$T2002)="","",INDEX(Firms!$K$5:$K$1004,$T2002)),IF(INDEX('AFA Rates'!$J$5:$J$1004,$T2002)="","",INDEX('AFA Rates'!$J$5:$J$1004,$T2002))))</f>
        <v/>
      </c>
      <c r="M2002" s="50">
        <f>IF($T2002="","",IF($S2002="S",IF(INDEX(Firms!$L$5:$L$1004,$T2002)="","",INDEX(Firms!$L$5:$L$1004,$T2002)),IF(INDEX('AFA Rates'!$K$5:$K$1004,$T2002)="","",INDEX('AFA Rates'!$K$5:$K$1004,$T2002))))</f>
        <v/>
      </c>
      <c r="N2002" s="50">
        <f>IF($T2002="","",IF($S2002="S",IF(INDEX(Firms!$M$5:$M$1004,$T2002)="","",INDEX(Firms!$M$5:$M$1004,$T2002)),IF(INDEX('AFA Rates'!$L$5:$L$1004,$T2002)="","",INDEX('AFA Rates'!$L$5:$L$1004,$T2002))))</f>
        <v/>
      </c>
      <c r="O2002" s="78">
        <f>IF(OR($T2002="",$U2002=""),"",IF(INDEX(Firms!$C$5:$C$1004,$U2002)="","",INDEX(Firms!$C$5:$C$1004,$U2002)))</f>
        <v/>
      </c>
      <c r="P2002" s="79">
        <f>IF(OR($T2002="",$U2002=""),"",IF(INDEX(Firms!$N$5:$N$1004,$U2002)="","",INDEX(Firms!$N$5:$N$1004,$U2002)))</f>
        <v/>
      </c>
      <c r="Q2002" s="78">
        <f>IF($T2002="","",IF($S2002="S",IF(INDEX(Firms!$T$5:$T$1004,$T2002)="","",INDEX(Firms!$T$5:$T$1004,$T2002)),IF(INDEX('AFA Rates'!$M$5:$M$1004,$T2002)="","",INDEX('AFA Rates'!$M$5:$M$1004,$T2002))))</f>
        <v/>
      </c>
      <c r="S2002">
        <f>IF(1998&lt;=$S$2,"S",IF(1998&lt;=$S$2+$T$2,"A",""))</f>
        <v/>
      </c>
      <c r="T2002">
        <f>IF(S2002="S",MATCH(1998,Firms!$W$5:$W$1004,0),IF(S2002="A",IFERROR(MATCH(1998-$S$2,'AFA Rates'!$R$5:$R$1004,0),""),""))</f>
        <v/>
      </c>
      <c r="U2002">
        <f>IF(S2002="S",T2002,IF(AND(S2002="A",T2002&lt;&gt;""),IFERROR(MATCH(INDEX('AFA Rates'!$A$5:$A$1004,T2002),Firms!$A$5:$A$1004,0),""),""))</f>
        <v/>
      </c>
    </row>
    <row r="2003">
      <c r="A2003" s="78">
        <f>IF($T2003="","",IF($S2003="S",IF(INDEX(Firms!$A$5:$A$1004,$T2003)="","",INDEX(Firms!$A$5:$A$1004,$T2003)),IF(INDEX('AFA Rates'!$A$5:$A$1004,$T2003)="","",INDEX('AFA Rates'!$A$5:$A$1004,$T2003))))</f>
        <v/>
      </c>
      <c r="B2003" s="79">
        <f>IF(OR($T2003="",$U2003=""),IF($T2003="","","Not on Firms tab"),INDEX(Firms!$B$5:$B$1004,$U2003)&amp;"")</f>
        <v/>
      </c>
      <c r="C2003" s="78">
        <f>IF($T2003="","",IF($S2003="S","Standard",INDEX('AFA Rates'!$B$5:$B$1004,$T2003)&amp;""))</f>
        <v/>
      </c>
      <c r="D2003" s="88">
        <f>IF($T2003="","",IF($S2003="S",IF(INDEX(Firms!$E$5:$E$1004,$T2003)="","",INDEX(Firms!$E$5:$E$1004,$T2003)),IF(INDEX('AFA Rates'!$C$5:$C$1004,$T2003)="","",INDEX('AFA Rates'!$C$5:$C$1004,$T2003))))</f>
        <v/>
      </c>
      <c r="E2003" s="88">
        <f>IF($T2003="","",IF($S2003="S",IF(""="","",""),IF(INDEX('AFA Rates'!$D$5:$D$1004,$T2003)="","",INDEX('AFA Rates'!$D$5:$D$1004,$T2003))))</f>
        <v/>
      </c>
      <c r="F2003" s="79">
        <f>IF($T2003="","",IF($S2003="S",IF(INDEX(Firms!$O$5:$O$1004,$T2003)="","",INDEX(Firms!$O$5:$O$1004,$T2003)),IF(INDEX('AFA Rates'!$O$5:$O$1004,$T2003)="","",INDEX('AFA Rates'!$O$5:$O$1004,$T2003))))</f>
        <v/>
      </c>
      <c r="G2003" s="50">
        <f>IF($T2003="","",IF($S2003="S",IF(INDEX(Firms!$F$5:$F$1004,$T2003)="","",INDEX(Firms!$F$5:$F$1004,$T2003)),IF(INDEX('AFA Rates'!$E$5:$E$1004,$T2003)="","",INDEX('AFA Rates'!$E$5:$E$1004,$T2003))))</f>
        <v/>
      </c>
      <c r="H2003" s="50">
        <f>IF($T2003="","",IF($S2003="S",IF(INDEX(Firms!$G$5:$G$1004,$T2003)="","",INDEX(Firms!$G$5:$G$1004,$T2003)),IF(INDEX('AFA Rates'!$F$5:$F$1004,$T2003)="","",INDEX('AFA Rates'!$F$5:$F$1004,$T2003))))</f>
        <v/>
      </c>
      <c r="I2003" s="50">
        <f>IF($T2003="","",IF($S2003="S",IF(INDEX(Firms!$H$5:$H$1004,$T2003)="","",INDEX(Firms!$H$5:$H$1004,$T2003)),IF(INDEX('AFA Rates'!$G$5:$G$1004,$T2003)="","",INDEX('AFA Rates'!$G$5:$G$1004,$T2003))))</f>
        <v/>
      </c>
      <c r="J2003" s="50">
        <f>IF($T2003="","",IF($S2003="S",IF(INDEX(Firms!$I$5:$I$1004,$T2003)="","",INDEX(Firms!$I$5:$I$1004,$T2003)),IF(INDEX('AFA Rates'!$H$5:$H$1004,$T2003)="","",INDEX('AFA Rates'!$H$5:$H$1004,$T2003))))</f>
        <v/>
      </c>
      <c r="K2003" s="50">
        <f>IF($T2003="","",IF($S2003="S",IF(INDEX(Firms!$J$5:$J$1004,$T2003)="","",INDEX(Firms!$J$5:$J$1004,$T2003)),IF(INDEX('AFA Rates'!$I$5:$I$1004,$T2003)="","",INDEX('AFA Rates'!$I$5:$I$1004,$T2003))))</f>
        <v/>
      </c>
      <c r="L2003" s="50">
        <f>IF($T2003="","",IF($S2003="S",IF(INDEX(Firms!$K$5:$K$1004,$T2003)="","",INDEX(Firms!$K$5:$K$1004,$T2003)),IF(INDEX('AFA Rates'!$J$5:$J$1004,$T2003)="","",INDEX('AFA Rates'!$J$5:$J$1004,$T2003))))</f>
        <v/>
      </c>
      <c r="M2003" s="50">
        <f>IF($T2003="","",IF($S2003="S",IF(INDEX(Firms!$L$5:$L$1004,$T2003)="","",INDEX(Firms!$L$5:$L$1004,$T2003)),IF(INDEX('AFA Rates'!$K$5:$K$1004,$T2003)="","",INDEX('AFA Rates'!$K$5:$K$1004,$T2003))))</f>
        <v/>
      </c>
      <c r="N2003" s="50">
        <f>IF($T2003="","",IF($S2003="S",IF(INDEX(Firms!$M$5:$M$1004,$T2003)="","",INDEX(Firms!$M$5:$M$1004,$T2003)),IF(INDEX('AFA Rates'!$L$5:$L$1004,$T2003)="","",INDEX('AFA Rates'!$L$5:$L$1004,$T2003))))</f>
        <v/>
      </c>
      <c r="O2003" s="78">
        <f>IF(OR($T2003="",$U2003=""),"",IF(INDEX(Firms!$C$5:$C$1004,$U2003)="","",INDEX(Firms!$C$5:$C$1004,$U2003)))</f>
        <v/>
      </c>
      <c r="P2003" s="79">
        <f>IF(OR($T2003="",$U2003=""),"",IF(INDEX(Firms!$N$5:$N$1004,$U2003)="","",INDEX(Firms!$N$5:$N$1004,$U2003)))</f>
        <v/>
      </c>
      <c r="Q2003" s="78">
        <f>IF($T2003="","",IF($S2003="S",IF(INDEX(Firms!$T$5:$T$1004,$T2003)="","",INDEX(Firms!$T$5:$T$1004,$T2003)),IF(INDEX('AFA Rates'!$M$5:$M$1004,$T2003)="","",INDEX('AFA Rates'!$M$5:$M$1004,$T2003))))</f>
        <v/>
      </c>
      <c r="S2003">
        <f>IF(1999&lt;=$S$2,"S",IF(1999&lt;=$S$2+$T$2,"A",""))</f>
        <v/>
      </c>
      <c r="T2003">
        <f>IF(S2003="S",MATCH(1999,Firms!$W$5:$W$1004,0),IF(S2003="A",IFERROR(MATCH(1999-$S$2,'AFA Rates'!$R$5:$R$1004,0),""),""))</f>
        <v/>
      </c>
      <c r="U2003">
        <f>IF(S2003="S",T2003,IF(AND(S2003="A",T2003&lt;&gt;""),IFERROR(MATCH(INDEX('AFA Rates'!$A$5:$A$1004,T2003),Firms!$A$5:$A$1004,0),""),""))</f>
        <v/>
      </c>
    </row>
    <row r="2004">
      <c r="A2004" s="78">
        <f>IF($T2004="","",IF($S2004="S",IF(INDEX(Firms!$A$5:$A$1004,$T2004)="","",INDEX(Firms!$A$5:$A$1004,$T2004)),IF(INDEX('AFA Rates'!$A$5:$A$1004,$T2004)="","",INDEX('AFA Rates'!$A$5:$A$1004,$T2004))))</f>
        <v/>
      </c>
      <c r="B2004" s="79">
        <f>IF(OR($T2004="",$U2004=""),IF($T2004="","","Not on Firms tab"),INDEX(Firms!$B$5:$B$1004,$U2004)&amp;"")</f>
        <v/>
      </c>
      <c r="C2004" s="78">
        <f>IF($T2004="","",IF($S2004="S","Standard",INDEX('AFA Rates'!$B$5:$B$1004,$T2004)&amp;""))</f>
        <v/>
      </c>
      <c r="D2004" s="88">
        <f>IF($T2004="","",IF($S2004="S",IF(INDEX(Firms!$E$5:$E$1004,$T2004)="","",INDEX(Firms!$E$5:$E$1004,$T2004)),IF(INDEX('AFA Rates'!$C$5:$C$1004,$T2004)="","",INDEX('AFA Rates'!$C$5:$C$1004,$T2004))))</f>
        <v/>
      </c>
      <c r="E2004" s="88">
        <f>IF($T2004="","",IF($S2004="S",IF(""="","",""),IF(INDEX('AFA Rates'!$D$5:$D$1004,$T2004)="","",INDEX('AFA Rates'!$D$5:$D$1004,$T2004))))</f>
        <v/>
      </c>
      <c r="F2004" s="79">
        <f>IF($T2004="","",IF($S2004="S",IF(INDEX(Firms!$O$5:$O$1004,$T2004)="","",INDEX(Firms!$O$5:$O$1004,$T2004)),IF(INDEX('AFA Rates'!$O$5:$O$1004,$T2004)="","",INDEX('AFA Rates'!$O$5:$O$1004,$T2004))))</f>
        <v/>
      </c>
      <c r="G2004" s="50">
        <f>IF($T2004="","",IF($S2004="S",IF(INDEX(Firms!$F$5:$F$1004,$T2004)="","",INDEX(Firms!$F$5:$F$1004,$T2004)),IF(INDEX('AFA Rates'!$E$5:$E$1004,$T2004)="","",INDEX('AFA Rates'!$E$5:$E$1004,$T2004))))</f>
        <v/>
      </c>
      <c r="H2004" s="50">
        <f>IF($T2004="","",IF($S2004="S",IF(INDEX(Firms!$G$5:$G$1004,$T2004)="","",INDEX(Firms!$G$5:$G$1004,$T2004)),IF(INDEX('AFA Rates'!$F$5:$F$1004,$T2004)="","",INDEX('AFA Rates'!$F$5:$F$1004,$T2004))))</f>
        <v/>
      </c>
      <c r="I2004" s="50">
        <f>IF($T2004="","",IF($S2004="S",IF(INDEX(Firms!$H$5:$H$1004,$T2004)="","",INDEX(Firms!$H$5:$H$1004,$T2004)),IF(INDEX('AFA Rates'!$G$5:$G$1004,$T2004)="","",INDEX('AFA Rates'!$G$5:$G$1004,$T2004))))</f>
        <v/>
      </c>
      <c r="J2004" s="50">
        <f>IF($T2004="","",IF($S2004="S",IF(INDEX(Firms!$I$5:$I$1004,$T2004)="","",INDEX(Firms!$I$5:$I$1004,$T2004)),IF(INDEX('AFA Rates'!$H$5:$H$1004,$T2004)="","",INDEX('AFA Rates'!$H$5:$H$1004,$T2004))))</f>
        <v/>
      </c>
      <c r="K2004" s="50">
        <f>IF($T2004="","",IF($S2004="S",IF(INDEX(Firms!$J$5:$J$1004,$T2004)="","",INDEX(Firms!$J$5:$J$1004,$T2004)),IF(INDEX('AFA Rates'!$I$5:$I$1004,$T2004)="","",INDEX('AFA Rates'!$I$5:$I$1004,$T2004))))</f>
        <v/>
      </c>
      <c r="L2004" s="50">
        <f>IF($T2004="","",IF($S2004="S",IF(INDEX(Firms!$K$5:$K$1004,$T2004)="","",INDEX(Firms!$K$5:$K$1004,$T2004)),IF(INDEX('AFA Rates'!$J$5:$J$1004,$T2004)="","",INDEX('AFA Rates'!$J$5:$J$1004,$T2004))))</f>
        <v/>
      </c>
      <c r="M2004" s="50">
        <f>IF($T2004="","",IF($S2004="S",IF(INDEX(Firms!$L$5:$L$1004,$T2004)="","",INDEX(Firms!$L$5:$L$1004,$T2004)),IF(INDEX('AFA Rates'!$K$5:$K$1004,$T2004)="","",INDEX('AFA Rates'!$K$5:$K$1004,$T2004))))</f>
        <v/>
      </c>
      <c r="N2004" s="50">
        <f>IF($T2004="","",IF($S2004="S",IF(INDEX(Firms!$M$5:$M$1004,$T2004)="","",INDEX(Firms!$M$5:$M$1004,$T2004)),IF(INDEX('AFA Rates'!$L$5:$L$1004,$T2004)="","",INDEX('AFA Rates'!$L$5:$L$1004,$T2004))))</f>
        <v/>
      </c>
      <c r="O2004" s="78">
        <f>IF(OR($T2004="",$U2004=""),"",IF(INDEX(Firms!$C$5:$C$1004,$U2004)="","",INDEX(Firms!$C$5:$C$1004,$U2004)))</f>
        <v/>
      </c>
      <c r="P2004" s="79">
        <f>IF(OR($T2004="",$U2004=""),"",IF(INDEX(Firms!$N$5:$N$1004,$U2004)="","",INDEX(Firms!$N$5:$N$1004,$U2004)))</f>
        <v/>
      </c>
      <c r="Q2004" s="78">
        <f>IF($T2004="","",IF($S2004="S",IF(INDEX(Firms!$T$5:$T$1004,$T2004)="","",INDEX(Firms!$T$5:$T$1004,$T2004)),IF(INDEX('AFA Rates'!$M$5:$M$1004,$T2004)="","",INDEX('AFA Rates'!$M$5:$M$1004,$T2004))))</f>
        <v/>
      </c>
      <c r="S2004">
        <f>IF(2000&lt;=$S$2,"S",IF(2000&lt;=$S$2+$T$2,"A",""))</f>
        <v/>
      </c>
      <c r="T2004">
        <f>IF(S2004="S",MATCH(2000,Firms!$W$5:$W$1004,0),IF(S2004="A",IFERROR(MATCH(2000-$S$2,'AFA Rates'!$R$5:$R$1004,0),""),""))</f>
        <v/>
      </c>
      <c r="U2004">
        <f>IF(S2004="S",T2004,IF(AND(S2004="A",T2004&lt;&gt;""),IFERROR(MATCH(INDEX('AFA Rates'!$A$5:$A$1004,T2004),Firms!$A$5:$A$1004,0),""),""))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Q2004"/>
  <conditionalFormatting sqref="A5:Q2004">
    <cfRule type="expression" priority="1" dxfId="15">
      <formula>$A5&lt;&gt;""</formula>
    </cfRule>
    <cfRule type="expression" priority="2" dxfId="16">
      <formula>AND($A5&lt;&gt;"",$C5&lt;&gt;"Standard")</formula>
    </cfRule>
  </conditionalFormatting>
  <conditionalFormatting sqref="B5:B2004">
    <cfRule type="cellIs" priority="3" operator="equal" dxfId="1">
      <formula>"Current"</formula>
    </cfRule>
    <cfRule type="cellIs" priority="4" operator="equal" dxfId="1">
      <formula>"Active"</formula>
    </cfRule>
    <cfRule type="cellIs" priority="5" operator="equal" dxfId="4">
      <formula>"Review Due"</formula>
    </cfRule>
    <cfRule type="cellIs" priority="6" operator="equal" dxfId="0">
      <formula>"Expired"</formula>
    </cfRule>
    <cfRule type="cellIs" priority="7" operator="equal" dxfId="0">
      <formula>"Paused"</formula>
    </cfRule>
    <cfRule type="cellIs" priority="8" operator="equal" dxfId="5">
      <formula>"Not yet effective"</formula>
    </cfRule>
    <cfRule type="cellIs" priority="9" operator="equal" dxfId="6">
      <formula>"No date"</formula>
    </cfRule>
    <cfRule type="cellIs" priority="10" operator="equal" dxfId="7">
      <formula>"Not on Firms tab"</formula>
    </cfRule>
  </conditionalFormatting>
  <conditionalFormatting sqref="F5:F2004">
    <cfRule type="cellIs" priority="11" operator="equal" dxfId="1">
      <formula>"Current"</formula>
    </cfRule>
    <cfRule type="cellIs" priority="12" operator="equal" dxfId="1">
      <formula>"Active"</formula>
    </cfRule>
    <cfRule type="cellIs" priority="13" operator="equal" dxfId="4">
      <formula>"Review Due"</formula>
    </cfRule>
    <cfRule type="cellIs" priority="14" operator="equal" dxfId="0">
      <formula>"Expired"</formula>
    </cfRule>
    <cfRule type="cellIs" priority="15" operator="equal" dxfId="0">
      <formula>"Paused"</formula>
    </cfRule>
    <cfRule type="cellIs" priority="16" operator="equal" dxfId="5">
      <formula>"Not yet effective"</formula>
    </cfRule>
    <cfRule type="cellIs" priority="17" operator="equal" dxfId="6">
      <formula>"No date"</formula>
    </cfRule>
    <cfRule type="cellIs" priority="18" operator="equal" dxfId="7">
      <formula>"Not on Firms tab"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F4A6B4"/>
    <outlinePr summaryBelow="1" summaryRight="1"/>
    <pageSetUpPr fitToPage="1"/>
  </sheetPr>
  <dimension ref="A1:H10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3" customWidth="1" min="3" max="3"/>
    <col width="34" customWidth="1" min="4" max="4"/>
    <col width="22" customWidth="1" min="5" max="5"/>
    <col width="16" customWidth="1" min="6" max="6"/>
    <col width="13" customWidth="1" min="7" max="7"/>
    <col width="44" customWidth="1" min="8" max="8"/>
  </cols>
  <sheetData>
    <row r="1" ht="34" customHeight="1">
      <c r="A1" s="80" t="inlineStr">
        <is>
          <t>⛔  Do Not Use — Paused Firms</t>
        </is>
      </c>
    </row>
    <row r="2" ht="22" customHeight="1">
      <c r="A2" s="81" t="inlineStr">
        <is>
          <t>Automatic. Any firm marked “Paused” on the Firms tab is listed here. To reinstate, change its Status back to “Active” on the Firms tab.</t>
        </is>
      </c>
    </row>
    <row r="3">
      <c r="A3" s="89">
        <f>"Paused firms: "&amp;COUNTIFS(Firms!$A$5:$A$1004,"&lt;&gt;",Firms!$B$5:$B$1004,"Paused")</f>
        <v/>
      </c>
    </row>
    <row r="4" ht="36" customHeight="1">
      <c r="A4" s="90" t="inlineStr">
        <is>
          <t>#</t>
        </is>
      </c>
      <c r="B4" s="90" t="inlineStr">
        <is>
          <t>Firm Name</t>
        </is>
      </c>
      <c r="C4" s="90" t="inlineStr">
        <is>
          <t>Date Paused</t>
        </is>
      </c>
      <c r="D4" s="90" t="inlineStr">
        <is>
          <t>Pause Reason</t>
        </is>
      </c>
      <c r="E4" s="90" t="inlineStr">
        <is>
          <t>Approved States</t>
        </is>
      </c>
      <c r="F4" s="90" t="inlineStr">
        <is>
          <t>Cyber Status</t>
        </is>
      </c>
      <c r="G4" s="90" t="inlineStr">
        <is>
          <t>AFA on File?</t>
        </is>
      </c>
      <c r="H4" s="90" t="inlineStr">
        <is>
          <t>Notes</t>
        </is>
      </c>
    </row>
    <row r="5">
      <c r="A5" s="79">
        <f>IF(B5="","",1)</f>
        <v/>
      </c>
      <c r="B5" s="91">
        <f>IFERROR(INDEX(Firms!$A$5:$A$1004,MATCH(1,Firms!$U$5:$U$1004,0))&amp;"","")</f>
        <v/>
      </c>
      <c r="C5" s="88">
        <f>IFERROR(IF(INDEX(Firms!$R$5:$R$1004,MATCH(1,Firms!$U$5:$U$1004,0))="","",INDEX(Firms!$R$5:$R$1004,MATCH(1,Firms!$U$5:$U$1004,0))),"")</f>
        <v/>
      </c>
      <c r="D5" s="91">
        <f>IFERROR(INDEX(Firms!$S$5:$S$1004,MATCH(1,Firms!$U$5:$U$1004,0))&amp;"","")</f>
        <v/>
      </c>
      <c r="E5" s="91">
        <f>IFERROR(INDEX(Firms!$C$5:$C$1004,MATCH(1,Firms!$U$5:$U$1004,0))&amp;"","")</f>
        <v/>
      </c>
      <c r="F5" s="79">
        <f>IFERROR(INDEX(Firms!$N$5:$N$1004,MATCH(1,Firms!$U$5:$U$1004,0))&amp;"","")</f>
        <v/>
      </c>
      <c r="G5" s="79">
        <f>IFERROR(INDEX(Firms!$P$5:$P$1004,MATCH(1,Firms!$U$5:$U$1004,0))&amp;"","")</f>
        <v/>
      </c>
      <c r="H5" s="91">
        <f>IFERROR(INDEX(Firms!$T$5:$T$1004,MATCH(1,Firms!$U$5:$U$1004,0))&amp;"","")</f>
        <v/>
      </c>
    </row>
    <row r="6">
      <c r="A6" s="79">
        <f>IF(B6="","",2)</f>
        <v/>
      </c>
      <c r="B6" s="91">
        <f>IFERROR(INDEX(Firms!$A$5:$A$1004,MATCH(2,Firms!$U$5:$U$1004,0))&amp;"","")</f>
        <v/>
      </c>
      <c r="C6" s="88">
        <f>IFERROR(IF(INDEX(Firms!$R$5:$R$1004,MATCH(2,Firms!$U$5:$U$1004,0))="","",INDEX(Firms!$R$5:$R$1004,MATCH(2,Firms!$U$5:$U$1004,0))),"")</f>
        <v/>
      </c>
      <c r="D6" s="91">
        <f>IFERROR(INDEX(Firms!$S$5:$S$1004,MATCH(2,Firms!$U$5:$U$1004,0))&amp;"","")</f>
        <v/>
      </c>
      <c r="E6" s="91">
        <f>IFERROR(INDEX(Firms!$C$5:$C$1004,MATCH(2,Firms!$U$5:$U$1004,0))&amp;"","")</f>
        <v/>
      </c>
      <c r="F6" s="79">
        <f>IFERROR(INDEX(Firms!$N$5:$N$1004,MATCH(2,Firms!$U$5:$U$1004,0))&amp;"","")</f>
        <v/>
      </c>
      <c r="G6" s="79">
        <f>IFERROR(INDEX(Firms!$P$5:$P$1004,MATCH(2,Firms!$U$5:$U$1004,0))&amp;"","")</f>
        <v/>
      </c>
      <c r="H6" s="91">
        <f>IFERROR(INDEX(Firms!$T$5:$T$1004,MATCH(2,Firms!$U$5:$U$1004,0))&amp;"","")</f>
        <v/>
      </c>
    </row>
    <row r="7">
      <c r="A7" s="79">
        <f>IF(B7="","",3)</f>
        <v/>
      </c>
      <c r="B7" s="91">
        <f>IFERROR(INDEX(Firms!$A$5:$A$1004,MATCH(3,Firms!$U$5:$U$1004,0))&amp;"","")</f>
        <v/>
      </c>
      <c r="C7" s="88">
        <f>IFERROR(IF(INDEX(Firms!$R$5:$R$1004,MATCH(3,Firms!$U$5:$U$1004,0))="","",INDEX(Firms!$R$5:$R$1004,MATCH(3,Firms!$U$5:$U$1004,0))),"")</f>
        <v/>
      </c>
      <c r="D7" s="91">
        <f>IFERROR(INDEX(Firms!$S$5:$S$1004,MATCH(3,Firms!$U$5:$U$1004,0))&amp;"","")</f>
        <v/>
      </c>
      <c r="E7" s="91">
        <f>IFERROR(INDEX(Firms!$C$5:$C$1004,MATCH(3,Firms!$U$5:$U$1004,0))&amp;"","")</f>
        <v/>
      </c>
      <c r="F7" s="79">
        <f>IFERROR(INDEX(Firms!$N$5:$N$1004,MATCH(3,Firms!$U$5:$U$1004,0))&amp;"","")</f>
        <v/>
      </c>
      <c r="G7" s="79">
        <f>IFERROR(INDEX(Firms!$P$5:$P$1004,MATCH(3,Firms!$U$5:$U$1004,0))&amp;"","")</f>
        <v/>
      </c>
      <c r="H7" s="91">
        <f>IFERROR(INDEX(Firms!$T$5:$T$1004,MATCH(3,Firms!$U$5:$U$1004,0))&amp;"","")</f>
        <v/>
      </c>
    </row>
    <row r="8">
      <c r="A8" s="79">
        <f>IF(B8="","",4)</f>
        <v/>
      </c>
      <c r="B8" s="91">
        <f>IFERROR(INDEX(Firms!$A$5:$A$1004,MATCH(4,Firms!$U$5:$U$1004,0))&amp;"","")</f>
        <v/>
      </c>
      <c r="C8" s="88">
        <f>IFERROR(IF(INDEX(Firms!$R$5:$R$1004,MATCH(4,Firms!$U$5:$U$1004,0))="","",INDEX(Firms!$R$5:$R$1004,MATCH(4,Firms!$U$5:$U$1004,0))),"")</f>
        <v/>
      </c>
      <c r="D8" s="91">
        <f>IFERROR(INDEX(Firms!$S$5:$S$1004,MATCH(4,Firms!$U$5:$U$1004,0))&amp;"","")</f>
        <v/>
      </c>
      <c r="E8" s="91">
        <f>IFERROR(INDEX(Firms!$C$5:$C$1004,MATCH(4,Firms!$U$5:$U$1004,0))&amp;"","")</f>
        <v/>
      </c>
      <c r="F8" s="79">
        <f>IFERROR(INDEX(Firms!$N$5:$N$1004,MATCH(4,Firms!$U$5:$U$1004,0))&amp;"","")</f>
        <v/>
      </c>
      <c r="G8" s="79">
        <f>IFERROR(INDEX(Firms!$P$5:$P$1004,MATCH(4,Firms!$U$5:$U$1004,0))&amp;"","")</f>
        <v/>
      </c>
      <c r="H8" s="91">
        <f>IFERROR(INDEX(Firms!$T$5:$T$1004,MATCH(4,Firms!$U$5:$U$1004,0))&amp;"","")</f>
        <v/>
      </c>
    </row>
    <row r="9">
      <c r="A9" s="79">
        <f>IF(B9="","",5)</f>
        <v/>
      </c>
      <c r="B9" s="91">
        <f>IFERROR(INDEX(Firms!$A$5:$A$1004,MATCH(5,Firms!$U$5:$U$1004,0))&amp;"","")</f>
        <v/>
      </c>
      <c r="C9" s="88">
        <f>IFERROR(IF(INDEX(Firms!$R$5:$R$1004,MATCH(5,Firms!$U$5:$U$1004,0))="","",INDEX(Firms!$R$5:$R$1004,MATCH(5,Firms!$U$5:$U$1004,0))),"")</f>
        <v/>
      </c>
      <c r="D9" s="91">
        <f>IFERROR(INDEX(Firms!$S$5:$S$1004,MATCH(5,Firms!$U$5:$U$1004,0))&amp;"","")</f>
        <v/>
      </c>
      <c r="E9" s="91">
        <f>IFERROR(INDEX(Firms!$C$5:$C$1004,MATCH(5,Firms!$U$5:$U$1004,0))&amp;"","")</f>
        <v/>
      </c>
      <c r="F9" s="79">
        <f>IFERROR(INDEX(Firms!$N$5:$N$1004,MATCH(5,Firms!$U$5:$U$1004,0))&amp;"","")</f>
        <v/>
      </c>
      <c r="G9" s="79">
        <f>IFERROR(INDEX(Firms!$P$5:$P$1004,MATCH(5,Firms!$U$5:$U$1004,0))&amp;"","")</f>
        <v/>
      </c>
      <c r="H9" s="91">
        <f>IFERROR(INDEX(Firms!$T$5:$T$1004,MATCH(5,Firms!$U$5:$U$1004,0))&amp;"","")</f>
        <v/>
      </c>
    </row>
    <row r="10">
      <c r="A10" s="79">
        <f>IF(B10="","",6)</f>
        <v/>
      </c>
      <c r="B10" s="91">
        <f>IFERROR(INDEX(Firms!$A$5:$A$1004,MATCH(6,Firms!$U$5:$U$1004,0))&amp;"","")</f>
        <v/>
      </c>
      <c r="C10" s="88">
        <f>IFERROR(IF(INDEX(Firms!$R$5:$R$1004,MATCH(6,Firms!$U$5:$U$1004,0))="","",INDEX(Firms!$R$5:$R$1004,MATCH(6,Firms!$U$5:$U$1004,0))),"")</f>
        <v/>
      </c>
      <c r="D10" s="91">
        <f>IFERROR(INDEX(Firms!$S$5:$S$1004,MATCH(6,Firms!$U$5:$U$1004,0))&amp;"","")</f>
        <v/>
      </c>
      <c r="E10" s="91">
        <f>IFERROR(INDEX(Firms!$C$5:$C$1004,MATCH(6,Firms!$U$5:$U$1004,0))&amp;"","")</f>
        <v/>
      </c>
      <c r="F10" s="79">
        <f>IFERROR(INDEX(Firms!$N$5:$N$1004,MATCH(6,Firms!$U$5:$U$1004,0))&amp;"","")</f>
        <v/>
      </c>
      <c r="G10" s="79">
        <f>IFERROR(INDEX(Firms!$P$5:$P$1004,MATCH(6,Firms!$U$5:$U$1004,0))&amp;"","")</f>
        <v/>
      </c>
      <c r="H10" s="91">
        <f>IFERROR(INDEX(Firms!$T$5:$T$1004,MATCH(6,Firms!$U$5:$U$1004,0))&amp;"","")</f>
        <v/>
      </c>
    </row>
    <row r="11">
      <c r="A11" s="79">
        <f>IF(B11="","",7)</f>
        <v/>
      </c>
      <c r="B11" s="91">
        <f>IFERROR(INDEX(Firms!$A$5:$A$1004,MATCH(7,Firms!$U$5:$U$1004,0))&amp;"","")</f>
        <v/>
      </c>
      <c r="C11" s="88">
        <f>IFERROR(IF(INDEX(Firms!$R$5:$R$1004,MATCH(7,Firms!$U$5:$U$1004,0))="","",INDEX(Firms!$R$5:$R$1004,MATCH(7,Firms!$U$5:$U$1004,0))),"")</f>
        <v/>
      </c>
      <c r="D11" s="91">
        <f>IFERROR(INDEX(Firms!$S$5:$S$1004,MATCH(7,Firms!$U$5:$U$1004,0))&amp;"","")</f>
        <v/>
      </c>
      <c r="E11" s="91">
        <f>IFERROR(INDEX(Firms!$C$5:$C$1004,MATCH(7,Firms!$U$5:$U$1004,0))&amp;"","")</f>
        <v/>
      </c>
      <c r="F11" s="79">
        <f>IFERROR(INDEX(Firms!$N$5:$N$1004,MATCH(7,Firms!$U$5:$U$1004,0))&amp;"","")</f>
        <v/>
      </c>
      <c r="G11" s="79">
        <f>IFERROR(INDEX(Firms!$P$5:$P$1004,MATCH(7,Firms!$U$5:$U$1004,0))&amp;"","")</f>
        <v/>
      </c>
      <c r="H11" s="91">
        <f>IFERROR(INDEX(Firms!$T$5:$T$1004,MATCH(7,Firms!$U$5:$U$1004,0))&amp;"","")</f>
        <v/>
      </c>
    </row>
    <row r="12">
      <c r="A12" s="79">
        <f>IF(B12="","",8)</f>
        <v/>
      </c>
      <c r="B12" s="91">
        <f>IFERROR(INDEX(Firms!$A$5:$A$1004,MATCH(8,Firms!$U$5:$U$1004,0))&amp;"","")</f>
        <v/>
      </c>
      <c r="C12" s="88">
        <f>IFERROR(IF(INDEX(Firms!$R$5:$R$1004,MATCH(8,Firms!$U$5:$U$1004,0))="","",INDEX(Firms!$R$5:$R$1004,MATCH(8,Firms!$U$5:$U$1004,0))),"")</f>
        <v/>
      </c>
      <c r="D12" s="91">
        <f>IFERROR(INDEX(Firms!$S$5:$S$1004,MATCH(8,Firms!$U$5:$U$1004,0))&amp;"","")</f>
        <v/>
      </c>
      <c r="E12" s="91">
        <f>IFERROR(INDEX(Firms!$C$5:$C$1004,MATCH(8,Firms!$U$5:$U$1004,0))&amp;"","")</f>
        <v/>
      </c>
      <c r="F12" s="79">
        <f>IFERROR(INDEX(Firms!$N$5:$N$1004,MATCH(8,Firms!$U$5:$U$1004,0))&amp;"","")</f>
        <v/>
      </c>
      <c r="G12" s="79">
        <f>IFERROR(INDEX(Firms!$P$5:$P$1004,MATCH(8,Firms!$U$5:$U$1004,0))&amp;"","")</f>
        <v/>
      </c>
      <c r="H12" s="91">
        <f>IFERROR(INDEX(Firms!$T$5:$T$1004,MATCH(8,Firms!$U$5:$U$1004,0))&amp;"","")</f>
        <v/>
      </c>
    </row>
    <row r="13">
      <c r="A13" s="79">
        <f>IF(B13="","",9)</f>
        <v/>
      </c>
      <c r="B13" s="91">
        <f>IFERROR(INDEX(Firms!$A$5:$A$1004,MATCH(9,Firms!$U$5:$U$1004,0))&amp;"","")</f>
        <v/>
      </c>
      <c r="C13" s="88">
        <f>IFERROR(IF(INDEX(Firms!$R$5:$R$1004,MATCH(9,Firms!$U$5:$U$1004,0))="","",INDEX(Firms!$R$5:$R$1004,MATCH(9,Firms!$U$5:$U$1004,0))),"")</f>
        <v/>
      </c>
      <c r="D13" s="91">
        <f>IFERROR(INDEX(Firms!$S$5:$S$1004,MATCH(9,Firms!$U$5:$U$1004,0))&amp;"","")</f>
        <v/>
      </c>
      <c r="E13" s="91">
        <f>IFERROR(INDEX(Firms!$C$5:$C$1004,MATCH(9,Firms!$U$5:$U$1004,0))&amp;"","")</f>
        <v/>
      </c>
      <c r="F13" s="79">
        <f>IFERROR(INDEX(Firms!$N$5:$N$1004,MATCH(9,Firms!$U$5:$U$1004,0))&amp;"","")</f>
        <v/>
      </c>
      <c r="G13" s="79">
        <f>IFERROR(INDEX(Firms!$P$5:$P$1004,MATCH(9,Firms!$U$5:$U$1004,0))&amp;"","")</f>
        <v/>
      </c>
      <c r="H13" s="91">
        <f>IFERROR(INDEX(Firms!$T$5:$T$1004,MATCH(9,Firms!$U$5:$U$1004,0))&amp;"","")</f>
        <v/>
      </c>
    </row>
    <row r="14">
      <c r="A14" s="79">
        <f>IF(B14="","",10)</f>
        <v/>
      </c>
      <c r="B14" s="91">
        <f>IFERROR(INDEX(Firms!$A$5:$A$1004,MATCH(10,Firms!$U$5:$U$1004,0))&amp;"","")</f>
        <v/>
      </c>
      <c r="C14" s="88">
        <f>IFERROR(IF(INDEX(Firms!$R$5:$R$1004,MATCH(10,Firms!$U$5:$U$1004,0))="","",INDEX(Firms!$R$5:$R$1004,MATCH(10,Firms!$U$5:$U$1004,0))),"")</f>
        <v/>
      </c>
      <c r="D14" s="91">
        <f>IFERROR(INDEX(Firms!$S$5:$S$1004,MATCH(10,Firms!$U$5:$U$1004,0))&amp;"","")</f>
        <v/>
      </c>
      <c r="E14" s="91">
        <f>IFERROR(INDEX(Firms!$C$5:$C$1004,MATCH(10,Firms!$U$5:$U$1004,0))&amp;"","")</f>
        <v/>
      </c>
      <c r="F14" s="79">
        <f>IFERROR(INDEX(Firms!$N$5:$N$1004,MATCH(10,Firms!$U$5:$U$1004,0))&amp;"","")</f>
        <v/>
      </c>
      <c r="G14" s="79">
        <f>IFERROR(INDEX(Firms!$P$5:$P$1004,MATCH(10,Firms!$U$5:$U$1004,0))&amp;"","")</f>
        <v/>
      </c>
      <c r="H14" s="91">
        <f>IFERROR(INDEX(Firms!$T$5:$T$1004,MATCH(10,Firms!$U$5:$U$1004,0))&amp;"","")</f>
        <v/>
      </c>
    </row>
    <row r="15">
      <c r="A15" s="79">
        <f>IF(B15="","",11)</f>
        <v/>
      </c>
      <c r="B15" s="91">
        <f>IFERROR(INDEX(Firms!$A$5:$A$1004,MATCH(11,Firms!$U$5:$U$1004,0))&amp;"","")</f>
        <v/>
      </c>
      <c r="C15" s="88">
        <f>IFERROR(IF(INDEX(Firms!$R$5:$R$1004,MATCH(11,Firms!$U$5:$U$1004,0))="","",INDEX(Firms!$R$5:$R$1004,MATCH(11,Firms!$U$5:$U$1004,0))),"")</f>
        <v/>
      </c>
      <c r="D15" s="91">
        <f>IFERROR(INDEX(Firms!$S$5:$S$1004,MATCH(11,Firms!$U$5:$U$1004,0))&amp;"","")</f>
        <v/>
      </c>
      <c r="E15" s="91">
        <f>IFERROR(INDEX(Firms!$C$5:$C$1004,MATCH(11,Firms!$U$5:$U$1004,0))&amp;"","")</f>
        <v/>
      </c>
      <c r="F15" s="79">
        <f>IFERROR(INDEX(Firms!$N$5:$N$1004,MATCH(11,Firms!$U$5:$U$1004,0))&amp;"","")</f>
        <v/>
      </c>
      <c r="G15" s="79">
        <f>IFERROR(INDEX(Firms!$P$5:$P$1004,MATCH(11,Firms!$U$5:$U$1004,0))&amp;"","")</f>
        <v/>
      </c>
      <c r="H15" s="91">
        <f>IFERROR(INDEX(Firms!$T$5:$T$1004,MATCH(11,Firms!$U$5:$U$1004,0))&amp;"","")</f>
        <v/>
      </c>
    </row>
    <row r="16">
      <c r="A16" s="79">
        <f>IF(B16="","",12)</f>
        <v/>
      </c>
      <c r="B16" s="91">
        <f>IFERROR(INDEX(Firms!$A$5:$A$1004,MATCH(12,Firms!$U$5:$U$1004,0))&amp;"","")</f>
        <v/>
      </c>
      <c r="C16" s="88">
        <f>IFERROR(IF(INDEX(Firms!$R$5:$R$1004,MATCH(12,Firms!$U$5:$U$1004,0))="","",INDEX(Firms!$R$5:$R$1004,MATCH(12,Firms!$U$5:$U$1004,0))),"")</f>
        <v/>
      </c>
      <c r="D16" s="91">
        <f>IFERROR(INDEX(Firms!$S$5:$S$1004,MATCH(12,Firms!$U$5:$U$1004,0))&amp;"","")</f>
        <v/>
      </c>
      <c r="E16" s="91">
        <f>IFERROR(INDEX(Firms!$C$5:$C$1004,MATCH(12,Firms!$U$5:$U$1004,0))&amp;"","")</f>
        <v/>
      </c>
      <c r="F16" s="79">
        <f>IFERROR(INDEX(Firms!$N$5:$N$1004,MATCH(12,Firms!$U$5:$U$1004,0))&amp;"","")</f>
        <v/>
      </c>
      <c r="G16" s="79">
        <f>IFERROR(INDEX(Firms!$P$5:$P$1004,MATCH(12,Firms!$U$5:$U$1004,0))&amp;"","")</f>
        <v/>
      </c>
      <c r="H16" s="91">
        <f>IFERROR(INDEX(Firms!$T$5:$T$1004,MATCH(12,Firms!$U$5:$U$1004,0))&amp;"","")</f>
        <v/>
      </c>
    </row>
    <row r="17">
      <c r="A17" s="79">
        <f>IF(B17="","",13)</f>
        <v/>
      </c>
      <c r="B17" s="91">
        <f>IFERROR(INDEX(Firms!$A$5:$A$1004,MATCH(13,Firms!$U$5:$U$1004,0))&amp;"","")</f>
        <v/>
      </c>
      <c r="C17" s="88">
        <f>IFERROR(IF(INDEX(Firms!$R$5:$R$1004,MATCH(13,Firms!$U$5:$U$1004,0))="","",INDEX(Firms!$R$5:$R$1004,MATCH(13,Firms!$U$5:$U$1004,0))),"")</f>
        <v/>
      </c>
      <c r="D17" s="91">
        <f>IFERROR(INDEX(Firms!$S$5:$S$1004,MATCH(13,Firms!$U$5:$U$1004,0))&amp;"","")</f>
        <v/>
      </c>
      <c r="E17" s="91">
        <f>IFERROR(INDEX(Firms!$C$5:$C$1004,MATCH(13,Firms!$U$5:$U$1004,0))&amp;"","")</f>
        <v/>
      </c>
      <c r="F17" s="79">
        <f>IFERROR(INDEX(Firms!$N$5:$N$1004,MATCH(13,Firms!$U$5:$U$1004,0))&amp;"","")</f>
        <v/>
      </c>
      <c r="G17" s="79">
        <f>IFERROR(INDEX(Firms!$P$5:$P$1004,MATCH(13,Firms!$U$5:$U$1004,0))&amp;"","")</f>
        <v/>
      </c>
      <c r="H17" s="91">
        <f>IFERROR(INDEX(Firms!$T$5:$T$1004,MATCH(13,Firms!$U$5:$U$1004,0))&amp;"","")</f>
        <v/>
      </c>
    </row>
    <row r="18">
      <c r="A18" s="79">
        <f>IF(B18="","",14)</f>
        <v/>
      </c>
      <c r="B18" s="91">
        <f>IFERROR(INDEX(Firms!$A$5:$A$1004,MATCH(14,Firms!$U$5:$U$1004,0))&amp;"","")</f>
        <v/>
      </c>
      <c r="C18" s="88">
        <f>IFERROR(IF(INDEX(Firms!$R$5:$R$1004,MATCH(14,Firms!$U$5:$U$1004,0))="","",INDEX(Firms!$R$5:$R$1004,MATCH(14,Firms!$U$5:$U$1004,0))),"")</f>
        <v/>
      </c>
      <c r="D18" s="91">
        <f>IFERROR(INDEX(Firms!$S$5:$S$1004,MATCH(14,Firms!$U$5:$U$1004,0))&amp;"","")</f>
        <v/>
      </c>
      <c r="E18" s="91">
        <f>IFERROR(INDEX(Firms!$C$5:$C$1004,MATCH(14,Firms!$U$5:$U$1004,0))&amp;"","")</f>
        <v/>
      </c>
      <c r="F18" s="79">
        <f>IFERROR(INDEX(Firms!$N$5:$N$1004,MATCH(14,Firms!$U$5:$U$1004,0))&amp;"","")</f>
        <v/>
      </c>
      <c r="G18" s="79">
        <f>IFERROR(INDEX(Firms!$P$5:$P$1004,MATCH(14,Firms!$U$5:$U$1004,0))&amp;"","")</f>
        <v/>
      </c>
      <c r="H18" s="91">
        <f>IFERROR(INDEX(Firms!$T$5:$T$1004,MATCH(14,Firms!$U$5:$U$1004,0))&amp;"","")</f>
        <v/>
      </c>
    </row>
    <row r="19">
      <c r="A19" s="79">
        <f>IF(B19="","",15)</f>
        <v/>
      </c>
      <c r="B19" s="91">
        <f>IFERROR(INDEX(Firms!$A$5:$A$1004,MATCH(15,Firms!$U$5:$U$1004,0))&amp;"","")</f>
        <v/>
      </c>
      <c r="C19" s="88">
        <f>IFERROR(IF(INDEX(Firms!$R$5:$R$1004,MATCH(15,Firms!$U$5:$U$1004,0))="","",INDEX(Firms!$R$5:$R$1004,MATCH(15,Firms!$U$5:$U$1004,0))),"")</f>
        <v/>
      </c>
      <c r="D19" s="91">
        <f>IFERROR(INDEX(Firms!$S$5:$S$1004,MATCH(15,Firms!$U$5:$U$1004,0))&amp;"","")</f>
        <v/>
      </c>
      <c r="E19" s="91">
        <f>IFERROR(INDEX(Firms!$C$5:$C$1004,MATCH(15,Firms!$U$5:$U$1004,0))&amp;"","")</f>
        <v/>
      </c>
      <c r="F19" s="79">
        <f>IFERROR(INDEX(Firms!$N$5:$N$1004,MATCH(15,Firms!$U$5:$U$1004,0))&amp;"","")</f>
        <v/>
      </c>
      <c r="G19" s="79">
        <f>IFERROR(INDEX(Firms!$P$5:$P$1004,MATCH(15,Firms!$U$5:$U$1004,0))&amp;"","")</f>
        <v/>
      </c>
      <c r="H19" s="91">
        <f>IFERROR(INDEX(Firms!$T$5:$T$1004,MATCH(15,Firms!$U$5:$U$1004,0))&amp;"","")</f>
        <v/>
      </c>
    </row>
    <row r="20">
      <c r="A20" s="79">
        <f>IF(B20="","",16)</f>
        <v/>
      </c>
      <c r="B20" s="91">
        <f>IFERROR(INDEX(Firms!$A$5:$A$1004,MATCH(16,Firms!$U$5:$U$1004,0))&amp;"","")</f>
        <v/>
      </c>
      <c r="C20" s="88">
        <f>IFERROR(IF(INDEX(Firms!$R$5:$R$1004,MATCH(16,Firms!$U$5:$U$1004,0))="","",INDEX(Firms!$R$5:$R$1004,MATCH(16,Firms!$U$5:$U$1004,0))),"")</f>
        <v/>
      </c>
      <c r="D20" s="91">
        <f>IFERROR(INDEX(Firms!$S$5:$S$1004,MATCH(16,Firms!$U$5:$U$1004,0))&amp;"","")</f>
        <v/>
      </c>
      <c r="E20" s="91">
        <f>IFERROR(INDEX(Firms!$C$5:$C$1004,MATCH(16,Firms!$U$5:$U$1004,0))&amp;"","")</f>
        <v/>
      </c>
      <c r="F20" s="79">
        <f>IFERROR(INDEX(Firms!$N$5:$N$1004,MATCH(16,Firms!$U$5:$U$1004,0))&amp;"","")</f>
        <v/>
      </c>
      <c r="G20" s="79">
        <f>IFERROR(INDEX(Firms!$P$5:$P$1004,MATCH(16,Firms!$U$5:$U$1004,0))&amp;"","")</f>
        <v/>
      </c>
      <c r="H20" s="91">
        <f>IFERROR(INDEX(Firms!$T$5:$T$1004,MATCH(16,Firms!$U$5:$U$1004,0))&amp;"","")</f>
        <v/>
      </c>
    </row>
    <row r="21">
      <c r="A21" s="79">
        <f>IF(B21="","",17)</f>
        <v/>
      </c>
      <c r="B21" s="91">
        <f>IFERROR(INDEX(Firms!$A$5:$A$1004,MATCH(17,Firms!$U$5:$U$1004,0))&amp;"","")</f>
        <v/>
      </c>
      <c r="C21" s="88">
        <f>IFERROR(IF(INDEX(Firms!$R$5:$R$1004,MATCH(17,Firms!$U$5:$U$1004,0))="","",INDEX(Firms!$R$5:$R$1004,MATCH(17,Firms!$U$5:$U$1004,0))),"")</f>
        <v/>
      </c>
      <c r="D21" s="91">
        <f>IFERROR(INDEX(Firms!$S$5:$S$1004,MATCH(17,Firms!$U$5:$U$1004,0))&amp;"","")</f>
        <v/>
      </c>
      <c r="E21" s="91">
        <f>IFERROR(INDEX(Firms!$C$5:$C$1004,MATCH(17,Firms!$U$5:$U$1004,0))&amp;"","")</f>
        <v/>
      </c>
      <c r="F21" s="79">
        <f>IFERROR(INDEX(Firms!$N$5:$N$1004,MATCH(17,Firms!$U$5:$U$1004,0))&amp;"","")</f>
        <v/>
      </c>
      <c r="G21" s="79">
        <f>IFERROR(INDEX(Firms!$P$5:$P$1004,MATCH(17,Firms!$U$5:$U$1004,0))&amp;"","")</f>
        <v/>
      </c>
      <c r="H21" s="91">
        <f>IFERROR(INDEX(Firms!$T$5:$T$1004,MATCH(17,Firms!$U$5:$U$1004,0))&amp;"","")</f>
        <v/>
      </c>
    </row>
    <row r="22">
      <c r="A22" s="79">
        <f>IF(B22="","",18)</f>
        <v/>
      </c>
      <c r="B22" s="91">
        <f>IFERROR(INDEX(Firms!$A$5:$A$1004,MATCH(18,Firms!$U$5:$U$1004,0))&amp;"","")</f>
        <v/>
      </c>
      <c r="C22" s="88">
        <f>IFERROR(IF(INDEX(Firms!$R$5:$R$1004,MATCH(18,Firms!$U$5:$U$1004,0))="","",INDEX(Firms!$R$5:$R$1004,MATCH(18,Firms!$U$5:$U$1004,0))),"")</f>
        <v/>
      </c>
      <c r="D22" s="91">
        <f>IFERROR(INDEX(Firms!$S$5:$S$1004,MATCH(18,Firms!$U$5:$U$1004,0))&amp;"","")</f>
        <v/>
      </c>
      <c r="E22" s="91">
        <f>IFERROR(INDEX(Firms!$C$5:$C$1004,MATCH(18,Firms!$U$5:$U$1004,0))&amp;"","")</f>
        <v/>
      </c>
      <c r="F22" s="79">
        <f>IFERROR(INDEX(Firms!$N$5:$N$1004,MATCH(18,Firms!$U$5:$U$1004,0))&amp;"","")</f>
        <v/>
      </c>
      <c r="G22" s="79">
        <f>IFERROR(INDEX(Firms!$P$5:$P$1004,MATCH(18,Firms!$U$5:$U$1004,0))&amp;"","")</f>
        <v/>
      </c>
      <c r="H22" s="91">
        <f>IFERROR(INDEX(Firms!$T$5:$T$1004,MATCH(18,Firms!$U$5:$U$1004,0))&amp;"","")</f>
        <v/>
      </c>
    </row>
    <row r="23">
      <c r="A23" s="79">
        <f>IF(B23="","",19)</f>
        <v/>
      </c>
      <c r="B23" s="91">
        <f>IFERROR(INDEX(Firms!$A$5:$A$1004,MATCH(19,Firms!$U$5:$U$1004,0))&amp;"","")</f>
        <v/>
      </c>
      <c r="C23" s="88">
        <f>IFERROR(IF(INDEX(Firms!$R$5:$R$1004,MATCH(19,Firms!$U$5:$U$1004,0))="","",INDEX(Firms!$R$5:$R$1004,MATCH(19,Firms!$U$5:$U$1004,0))),"")</f>
        <v/>
      </c>
      <c r="D23" s="91">
        <f>IFERROR(INDEX(Firms!$S$5:$S$1004,MATCH(19,Firms!$U$5:$U$1004,0))&amp;"","")</f>
        <v/>
      </c>
      <c r="E23" s="91">
        <f>IFERROR(INDEX(Firms!$C$5:$C$1004,MATCH(19,Firms!$U$5:$U$1004,0))&amp;"","")</f>
        <v/>
      </c>
      <c r="F23" s="79">
        <f>IFERROR(INDEX(Firms!$N$5:$N$1004,MATCH(19,Firms!$U$5:$U$1004,0))&amp;"","")</f>
        <v/>
      </c>
      <c r="G23" s="79">
        <f>IFERROR(INDEX(Firms!$P$5:$P$1004,MATCH(19,Firms!$U$5:$U$1004,0))&amp;"","")</f>
        <v/>
      </c>
      <c r="H23" s="91">
        <f>IFERROR(INDEX(Firms!$T$5:$T$1004,MATCH(19,Firms!$U$5:$U$1004,0))&amp;"","")</f>
        <v/>
      </c>
    </row>
    <row r="24">
      <c r="A24" s="79">
        <f>IF(B24="","",20)</f>
        <v/>
      </c>
      <c r="B24" s="91">
        <f>IFERROR(INDEX(Firms!$A$5:$A$1004,MATCH(20,Firms!$U$5:$U$1004,0))&amp;"","")</f>
        <v/>
      </c>
      <c r="C24" s="88">
        <f>IFERROR(IF(INDEX(Firms!$R$5:$R$1004,MATCH(20,Firms!$U$5:$U$1004,0))="","",INDEX(Firms!$R$5:$R$1004,MATCH(20,Firms!$U$5:$U$1004,0))),"")</f>
        <v/>
      </c>
      <c r="D24" s="91">
        <f>IFERROR(INDEX(Firms!$S$5:$S$1004,MATCH(20,Firms!$U$5:$U$1004,0))&amp;"","")</f>
        <v/>
      </c>
      <c r="E24" s="91">
        <f>IFERROR(INDEX(Firms!$C$5:$C$1004,MATCH(20,Firms!$U$5:$U$1004,0))&amp;"","")</f>
        <v/>
      </c>
      <c r="F24" s="79">
        <f>IFERROR(INDEX(Firms!$N$5:$N$1004,MATCH(20,Firms!$U$5:$U$1004,0))&amp;"","")</f>
        <v/>
      </c>
      <c r="G24" s="79">
        <f>IFERROR(INDEX(Firms!$P$5:$P$1004,MATCH(20,Firms!$U$5:$U$1004,0))&amp;"","")</f>
        <v/>
      </c>
      <c r="H24" s="91">
        <f>IFERROR(INDEX(Firms!$T$5:$T$1004,MATCH(20,Firms!$U$5:$U$1004,0))&amp;"","")</f>
        <v/>
      </c>
    </row>
    <row r="25">
      <c r="A25" s="79">
        <f>IF(B25="","",21)</f>
        <v/>
      </c>
      <c r="B25" s="91">
        <f>IFERROR(INDEX(Firms!$A$5:$A$1004,MATCH(21,Firms!$U$5:$U$1004,0))&amp;"","")</f>
        <v/>
      </c>
      <c r="C25" s="88">
        <f>IFERROR(IF(INDEX(Firms!$R$5:$R$1004,MATCH(21,Firms!$U$5:$U$1004,0))="","",INDEX(Firms!$R$5:$R$1004,MATCH(21,Firms!$U$5:$U$1004,0))),"")</f>
        <v/>
      </c>
      <c r="D25" s="91">
        <f>IFERROR(INDEX(Firms!$S$5:$S$1004,MATCH(21,Firms!$U$5:$U$1004,0))&amp;"","")</f>
        <v/>
      </c>
      <c r="E25" s="91">
        <f>IFERROR(INDEX(Firms!$C$5:$C$1004,MATCH(21,Firms!$U$5:$U$1004,0))&amp;"","")</f>
        <v/>
      </c>
      <c r="F25" s="79">
        <f>IFERROR(INDEX(Firms!$N$5:$N$1004,MATCH(21,Firms!$U$5:$U$1004,0))&amp;"","")</f>
        <v/>
      </c>
      <c r="G25" s="79">
        <f>IFERROR(INDEX(Firms!$P$5:$P$1004,MATCH(21,Firms!$U$5:$U$1004,0))&amp;"","")</f>
        <v/>
      </c>
      <c r="H25" s="91">
        <f>IFERROR(INDEX(Firms!$T$5:$T$1004,MATCH(21,Firms!$U$5:$U$1004,0))&amp;"","")</f>
        <v/>
      </c>
    </row>
    <row r="26">
      <c r="A26" s="79">
        <f>IF(B26="","",22)</f>
        <v/>
      </c>
      <c r="B26" s="91">
        <f>IFERROR(INDEX(Firms!$A$5:$A$1004,MATCH(22,Firms!$U$5:$U$1004,0))&amp;"","")</f>
        <v/>
      </c>
      <c r="C26" s="88">
        <f>IFERROR(IF(INDEX(Firms!$R$5:$R$1004,MATCH(22,Firms!$U$5:$U$1004,0))="","",INDEX(Firms!$R$5:$R$1004,MATCH(22,Firms!$U$5:$U$1004,0))),"")</f>
        <v/>
      </c>
      <c r="D26" s="91">
        <f>IFERROR(INDEX(Firms!$S$5:$S$1004,MATCH(22,Firms!$U$5:$U$1004,0))&amp;"","")</f>
        <v/>
      </c>
      <c r="E26" s="91">
        <f>IFERROR(INDEX(Firms!$C$5:$C$1004,MATCH(22,Firms!$U$5:$U$1004,0))&amp;"","")</f>
        <v/>
      </c>
      <c r="F26" s="79">
        <f>IFERROR(INDEX(Firms!$N$5:$N$1004,MATCH(22,Firms!$U$5:$U$1004,0))&amp;"","")</f>
        <v/>
      </c>
      <c r="G26" s="79">
        <f>IFERROR(INDEX(Firms!$P$5:$P$1004,MATCH(22,Firms!$U$5:$U$1004,0))&amp;"","")</f>
        <v/>
      </c>
      <c r="H26" s="91">
        <f>IFERROR(INDEX(Firms!$T$5:$T$1004,MATCH(22,Firms!$U$5:$U$1004,0))&amp;"","")</f>
        <v/>
      </c>
    </row>
    <row r="27">
      <c r="A27" s="79">
        <f>IF(B27="","",23)</f>
        <v/>
      </c>
      <c r="B27" s="91">
        <f>IFERROR(INDEX(Firms!$A$5:$A$1004,MATCH(23,Firms!$U$5:$U$1004,0))&amp;"","")</f>
        <v/>
      </c>
      <c r="C27" s="88">
        <f>IFERROR(IF(INDEX(Firms!$R$5:$R$1004,MATCH(23,Firms!$U$5:$U$1004,0))="","",INDEX(Firms!$R$5:$R$1004,MATCH(23,Firms!$U$5:$U$1004,0))),"")</f>
        <v/>
      </c>
      <c r="D27" s="91">
        <f>IFERROR(INDEX(Firms!$S$5:$S$1004,MATCH(23,Firms!$U$5:$U$1004,0))&amp;"","")</f>
        <v/>
      </c>
      <c r="E27" s="91">
        <f>IFERROR(INDEX(Firms!$C$5:$C$1004,MATCH(23,Firms!$U$5:$U$1004,0))&amp;"","")</f>
        <v/>
      </c>
      <c r="F27" s="79">
        <f>IFERROR(INDEX(Firms!$N$5:$N$1004,MATCH(23,Firms!$U$5:$U$1004,0))&amp;"","")</f>
        <v/>
      </c>
      <c r="G27" s="79">
        <f>IFERROR(INDEX(Firms!$P$5:$P$1004,MATCH(23,Firms!$U$5:$U$1004,0))&amp;"","")</f>
        <v/>
      </c>
      <c r="H27" s="91">
        <f>IFERROR(INDEX(Firms!$T$5:$T$1004,MATCH(23,Firms!$U$5:$U$1004,0))&amp;"","")</f>
        <v/>
      </c>
    </row>
    <row r="28">
      <c r="A28" s="79">
        <f>IF(B28="","",24)</f>
        <v/>
      </c>
      <c r="B28" s="91">
        <f>IFERROR(INDEX(Firms!$A$5:$A$1004,MATCH(24,Firms!$U$5:$U$1004,0))&amp;"","")</f>
        <v/>
      </c>
      <c r="C28" s="88">
        <f>IFERROR(IF(INDEX(Firms!$R$5:$R$1004,MATCH(24,Firms!$U$5:$U$1004,0))="","",INDEX(Firms!$R$5:$R$1004,MATCH(24,Firms!$U$5:$U$1004,0))),"")</f>
        <v/>
      </c>
      <c r="D28" s="91">
        <f>IFERROR(INDEX(Firms!$S$5:$S$1004,MATCH(24,Firms!$U$5:$U$1004,0))&amp;"","")</f>
        <v/>
      </c>
      <c r="E28" s="91">
        <f>IFERROR(INDEX(Firms!$C$5:$C$1004,MATCH(24,Firms!$U$5:$U$1004,0))&amp;"","")</f>
        <v/>
      </c>
      <c r="F28" s="79">
        <f>IFERROR(INDEX(Firms!$N$5:$N$1004,MATCH(24,Firms!$U$5:$U$1004,0))&amp;"","")</f>
        <v/>
      </c>
      <c r="G28" s="79">
        <f>IFERROR(INDEX(Firms!$P$5:$P$1004,MATCH(24,Firms!$U$5:$U$1004,0))&amp;"","")</f>
        <v/>
      </c>
      <c r="H28" s="91">
        <f>IFERROR(INDEX(Firms!$T$5:$T$1004,MATCH(24,Firms!$U$5:$U$1004,0))&amp;"","")</f>
        <v/>
      </c>
    </row>
    <row r="29">
      <c r="A29" s="79">
        <f>IF(B29="","",25)</f>
        <v/>
      </c>
      <c r="B29" s="91">
        <f>IFERROR(INDEX(Firms!$A$5:$A$1004,MATCH(25,Firms!$U$5:$U$1004,0))&amp;"","")</f>
        <v/>
      </c>
      <c r="C29" s="88">
        <f>IFERROR(IF(INDEX(Firms!$R$5:$R$1004,MATCH(25,Firms!$U$5:$U$1004,0))="","",INDEX(Firms!$R$5:$R$1004,MATCH(25,Firms!$U$5:$U$1004,0))),"")</f>
        <v/>
      </c>
      <c r="D29" s="91">
        <f>IFERROR(INDEX(Firms!$S$5:$S$1004,MATCH(25,Firms!$U$5:$U$1004,0))&amp;"","")</f>
        <v/>
      </c>
      <c r="E29" s="91">
        <f>IFERROR(INDEX(Firms!$C$5:$C$1004,MATCH(25,Firms!$U$5:$U$1004,0))&amp;"","")</f>
        <v/>
      </c>
      <c r="F29" s="79">
        <f>IFERROR(INDEX(Firms!$N$5:$N$1004,MATCH(25,Firms!$U$5:$U$1004,0))&amp;"","")</f>
        <v/>
      </c>
      <c r="G29" s="79">
        <f>IFERROR(INDEX(Firms!$P$5:$P$1004,MATCH(25,Firms!$U$5:$U$1004,0))&amp;"","")</f>
        <v/>
      </c>
      <c r="H29" s="91">
        <f>IFERROR(INDEX(Firms!$T$5:$T$1004,MATCH(25,Firms!$U$5:$U$1004,0))&amp;"","")</f>
        <v/>
      </c>
    </row>
    <row r="30">
      <c r="A30" s="79">
        <f>IF(B30="","",26)</f>
        <v/>
      </c>
      <c r="B30" s="91">
        <f>IFERROR(INDEX(Firms!$A$5:$A$1004,MATCH(26,Firms!$U$5:$U$1004,0))&amp;"","")</f>
        <v/>
      </c>
      <c r="C30" s="88">
        <f>IFERROR(IF(INDEX(Firms!$R$5:$R$1004,MATCH(26,Firms!$U$5:$U$1004,0))="","",INDEX(Firms!$R$5:$R$1004,MATCH(26,Firms!$U$5:$U$1004,0))),"")</f>
        <v/>
      </c>
      <c r="D30" s="91">
        <f>IFERROR(INDEX(Firms!$S$5:$S$1004,MATCH(26,Firms!$U$5:$U$1004,0))&amp;"","")</f>
        <v/>
      </c>
      <c r="E30" s="91">
        <f>IFERROR(INDEX(Firms!$C$5:$C$1004,MATCH(26,Firms!$U$5:$U$1004,0))&amp;"","")</f>
        <v/>
      </c>
      <c r="F30" s="79">
        <f>IFERROR(INDEX(Firms!$N$5:$N$1004,MATCH(26,Firms!$U$5:$U$1004,0))&amp;"","")</f>
        <v/>
      </c>
      <c r="G30" s="79">
        <f>IFERROR(INDEX(Firms!$P$5:$P$1004,MATCH(26,Firms!$U$5:$U$1004,0))&amp;"","")</f>
        <v/>
      </c>
      <c r="H30" s="91">
        <f>IFERROR(INDEX(Firms!$T$5:$T$1004,MATCH(26,Firms!$U$5:$U$1004,0))&amp;"","")</f>
        <v/>
      </c>
    </row>
    <row r="31">
      <c r="A31" s="79">
        <f>IF(B31="","",27)</f>
        <v/>
      </c>
      <c r="B31" s="91">
        <f>IFERROR(INDEX(Firms!$A$5:$A$1004,MATCH(27,Firms!$U$5:$U$1004,0))&amp;"","")</f>
        <v/>
      </c>
      <c r="C31" s="88">
        <f>IFERROR(IF(INDEX(Firms!$R$5:$R$1004,MATCH(27,Firms!$U$5:$U$1004,0))="","",INDEX(Firms!$R$5:$R$1004,MATCH(27,Firms!$U$5:$U$1004,0))),"")</f>
        <v/>
      </c>
      <c r="D31" s="91">
        <f>IFERROR(INDEX(Firms!$S$5:$S$1004,MATCH(27,Firms!$U$5:$U$1004,0))&amp;"","")</f>
        <v/>
      </c>
      <c r="E31" s="91">
        <f>IFERROR(INDEX(Firms!$C$5:$C$1004,MATCH(27,Firms!$U$5:$U$1004,0))&amp;"","")</f>
        <v/>
      </c>
      <c r="F31" s="79">
        <f>IFERROR(INDEX(Firms!$N$5:$N$1004,MATCH(27,Firms!$U$5:$U$1004,0))&amp;"","")</f>
        <v/>
      </c>
      <c r="G31" s="79">
        <f>IFERROR(INDEX(Firms!$P$5:$P$1004,MATCH(27,Firms!$U$5:$U$1004,0))&amp;"","")</f>
        <v/>
      </c>
      <c r="H31" s="91">
        <f>IFERROR(INDEX(Firms!$T$5:$T$1004,MATCH(27,Firms!$U$5:$U$1004,0))&amp;"","")</f>
        <v/>
      </c>
    </row>
    <row r="32">
      <c r="A32" s="79">
        <f>IF(B32="","",28)</f>
        <v/>
      </c>
      <c r="B32" s="91">
        <f>IFERROR(INDEX(Firms!$A$5:$A$1004,MATCH(28,Firms!$U$5:$U$1004,0))&amp;"","")</f>
        <v/>
      </c>
      <c r="C32" s="88">
        <f>IFERROR(IF(INDEX(Firms!$R$5:$R$1004,MATCH(28,Firms!$U$5:$U$1004,0))="","",INDEX(Firms!$R$5:$R$1004,MATCH(28,Firms!$U$5:$U$1004,0))),"")</f>
        <v/>
      </c>
      <c r="D32" s="91">
        <f>IFERROR(INDEX(Firms!$S$5:$S$1004,MATCH(28,Firms!$U$5:$U$1004,0))&amp;"","")</f>
        <v/>
      </c>
      <c r="E32" s="91">
        <f>IFERROR(INDEX(Firms!$C$5:$C$1004,MATCH(28,Firms!$U$5:$U$1004,0))&amp;"","")</f>
        <v/>
      </c>
      <c r="F32" s="79">
        <f>IFERROR(INDEX(Firms!$N$5:$N$1004,MATCH(28,Firms!$U$5:$U$1004,0))&amp;"","")</f>
        <v/>
      </c>
      <c r="G32" s="79">
        <f>IFERROR(INDEX(Firms!$P$5:$P$1004,MATCH(28,Firms!$U$5:$U$1004,0))&amp;"","")</f>
        <v/>
      </c>
      <c r="H32" s="91">
        <f>IFERROR(INDEX(Firms!$T$5:$T$1004,MATCH(28,Firms!$U$5:$U$1004,0))&amp;"","")</f>
        <v/>
      </c>
    </row>
    <row r="33">
      <c r="A33" s="79">
        <f>IF(B33="","",29)</f>
        <v/>
      </c>
      <c r="B33" s="91">
        <f>IFERROR(INDEX(Firms!$A$5:$A$1004,MATCH(29,Firms!$U$5:$U$1004,0))&amp;"","")</f>
        <v/>
      </c>
      <c r="C33" s="88">
        <f>IFERROR(IF(INDEX(Firms!$R$5:$R$1004,MATCH(29,Firms!$U$5:$U$1004,0))="","",INDEX(Firms!$R$5:$R$1004,MATCH(29,Firms!$U$5:$U$1004,0))),"")</f>
        <v/>
      </c>
      <c r="D33" s="91">
        <f>IFERROR(INDEX(Firms!$S$5:$S$1004,MATCH(29,Firms!$U$5:$U$1004,0))&amp;"","")</f>
        <v/>
      </c>
      <c r="E33" s="91">
        <f>IFERROR(INDEX(Firms!$C$5:$C$1004,MATCH(29,Firms!$U$5:$U$1004,0))&amp;"","")</f>
        <v/>
      </c>
      <c r="F33" s="79">
        <f>IFERROR(INDEX(Firms!$N$5:$N$1004,MATCH(29,Firms!$U$5:$U$1004,0))&amp;"","")</f>
        <v/>
      </c>
      <c r="G33" s="79">
        <f>IFERROR(INDEX(Firms!$P$5:$P$1004,MATCH(29,Firms!$U$5:$U$1004,0))&amp;"","")</f>
        <v/>
      </c>
      <c r="H33" s="91">
        <f>IFERROR(INDEX(Firms!$T$5:$T$1004,MATCH(29,Firms!$U$5:$U$1004,0))&amp;"","")</f>
        <v/>
      </c>
    </row>
    <row r="34">
      <c r="A34" s="79">
        <f>IF(B34="","",30)</f>
        <v/>
      </c>
      <c r="B34" s="91">
        <f>IFERROR(INDEX(Firms!$A$5:$A$1004,MATCH(30,Firms!$U$5:$U$1004,0))&amp;"","")</f>
        <v/>
      </c>
      <c r="C34" s="88">
        <f>IFERROR(IF(INDEX(Firms!$R$5:$R$1004,MATCH(30,Firms!$U$5:$U$1004,0))="","",INDEX(Firms!$R$5:$R$1004,MATCH(30,Firms!$U$5:$U$1004,0))),"")</f>
        <v/>
      </c>
      <c r="D34" s="91">
        <f>IFERROR(INDEX(Firms!$S$5:$S$1004,MATCH(30,Firms!$U$5:$U$1004,0))&amp;"","")</f>
        <v/>
      </c>
      <c r="E34" s="91">
        <f>IFERROR(INDEX(Firms!$C$5:$C$1004,MATCH(30,Firms!$U$5:$U$1004,0))&amp;"","")</f>
        <v/>
      </c>
      <c r="F34" s="79">
        <f>IFERROR(INDEX(Firms!$N$5:$N$1004,MATCH(30,Firms!$U$5:$U$1004,0))&amp;"","")</f>
        <v/>
      </c>
      <c r="G34" s="79">
        <f>IFERROR(INDEX(Firms!$P$5:$P$1004,MATCH(30,Firms!$U$5:$U$1004,0))&amp;"","")</f>
        <v/>
      </c>
      <c r="H34" s="91">
        <f>IFERROR(INDEX(Firms!$T$5:$T$1004,MATCH(30,Firms!$U$5:$U$1004,0))&amp;"","")</f>
        <v/>
      </c>
    </row>
    <row r="35">
      <c r="A35" s="79">
        <f>IF(B35="","",31)</f>
        <v/>
      </c>
      <c r="B35" s="91">
        <f>IFERROR(INDEX(Firms!$A$5:$A$1004,MATCH(31,Firms!$U$5:$U$1004,0))&amp;"","")</f>
        <v/>
      </c>
      <c r="C35" s="88">
        <f>IFERROR(IF(INDEX(Firms!$R$5:$R$1004,MATCH(31,Firms!$U$5:$U$1004,0))="","",INDEX(Firms!$R$5:$R$1004,MATCH(31,Firms!$U$5:$U$1004,0))),"")</f>
        <v/>
      </c>
      <c r="D35" s="91">
        <f>IFERROR(INDEX(Firms!$S$5:$S$1004,MATCH(31,Firms!$U$5:$U$1004,0))&amp;"","")</f>
        <v/>
      </c>
      <c r="E35" s="91">
        <f>IFERROR(INDEX(Firms!$C$5:$C$1004,MATCH(31,Firms!$U$5:$U$1004,0))&amp;"","")</f>
        <v/>
      </c>
      <c r="F35" s="79">
        <f>IFERROR(INDEX(Firms!$N$5:$N$1004,MATCH(31,Firms!$U$5:$U$1004,0))&amp;"","")</f>
        <v/>
      </c>
      <c r="G35" s="79">
        <f>IFERROR(INDEX(Firms!$P$5:$P$1004,MATCH(31,Firms!$U$5:$U$1004,0))&amp;"","")</f>
        <v/>
      </c>
      <c r="H35" s="91">
        <f>IFERROR(INDEX(Firms!$T$5:$T$1004,MATCH(31,Firms!$U$5:$U$1004,0))&amp;"","")</f>
        <v/>
      </c>
    </row>
    <row r="36">
      <c r="A36" s="79">
        <f>IF(B36="","",32)</f>
        <v/>
      </c>
      <c r="B36" s="91">
        <f>IFERROR(INDEX(Firms!$A$5:$A$1004,MATCH(32,Firms!$U$5:$U$1004,0))&amp;"","")</f>
        <v/>
      </c>
      <c r="C36" s="88">
        <f>IFERROR(IF(INDEX(Firms!$R$5:$R$1004,MATCH(32,Firms!$U$5:$U$1004,0))="","",INDEX(Firms!$R$5:$R$1004,MATCH(32,Firms!$U$5:$U$1004,0))),"")</f>
        <v/>
      </c>
      <c r="D36" s="91">
        <f>IFERROR(INDEX(Firms!$S$5:$S$1004,MATCH(32,Firms!$U$5:$U$1004,0))&amp;"","")</f>
        <v/>
      </c>
      <c r="E36" s="91">
        <f>IFERROR(INDEX(Firms!$C$5:$C$1004,MATCH(32,Firms!$U$5:$U$1004,0))&amp;"","")</f>
        <v/>
      </c>
      <c r="F36" s="79">
        <f>IFERROR(INDEX(Firms!$N$5:$N$1004,MATCH(32,Firms!$U$5:$U$1004,0))&amp;"","")</f>
        <v/>
      </c>
      <c r="G36" s="79">
        <f>IFERROR(INDEX(Firms!$P$5:$P$1004,MATCH(32,Firms!$U$5:$U$1004,0))&amp;"","")</f>
        <v/>
      </c>
      <c r="H36" s="91">
        <f>IFERROR(INDEX(Firms!$T$5:$T$1004,MATCH(32,Firms!$U$5:$U$1004,0))&amp;"","")</f>
        <v/>
      </c>
    </row>
    <row r="37">
      <c r="A37" s="79">
        <f>IF(B37="","",33)</f>
        <v/>
      </c>
      <c r="B37" s="91">
        <f>IFERROR(INDEX(Firms!$A$5:$A$1004,MATCH(33,Firms!$U$5:$U$1004,0))&amp;"","")</f>
        <v/>
      </c>
      <c r="C37" s="88">
        <f>IFERROR(IF(INDEX(Firms!$R$5:$R$1004,MATCH(33,Firms!$U$5:$U$1004,0))="","",INDEX(Firms!$R$5:$R$1004,MATCH(33,Firms!$U$5:$U$1004,0))),"")</f>
        <v/>
      </c>
      <c r="D37" s="91">
        <f>IFERROR(INDEX(Firms!$S$5:$S$1004,MATCH(33,Firms!$U$5:$U$1004,0))&amp;"","")</f>
        <v/>
      </c>
      <c r="E37" s="91">
        <f>IFERROR(INDEX(Firms!$C$5:$C$1004,MATCH(33,Firms!$U$5:$U$1004,0))&amp;"","")</f>
        <v/>
      </c>
      <c r="F37" s="79">
        <f>IFERROR(INDEX(Firms!$N$5:$N$1004,MATCH(33,Firms!$U$5:$U$1004,0))&amp;"","")</f>
        <v/>
      </c>
      <c r="G37" s="79">
        <f>IFERROR(INDEX(Firms!$P$5:$P$1004,MATCH(33,Firms!$U$5:$U$1004,0))&amp;"","")</f>
        <v/>
      </c>
      <c r="H37" s="91">
        <f>IFERROR(INDEX(Firms!$T$5:$T$1004,MATCH(33,Firms!$U$5:$U$1004,0))&amp;"","")</f>
        <v/>
      </c>
    </row>
    <row r="38">
      <c r="A38" s="79">
        <f>IF(B38="","",34)</f>
        <v/>
      </c>
      <c r="B38" s="91">
        <f>IFERROR(INDEX(Firms!$A$5:$A$1004,MATCH(34,Firms!$U$5:$U$1004,0))&amp;"","")</f>
        <v/>
      </c>
      <c r="C38" s="88">
        <f>IFERROR(IF(INDEX(Firms!$R$5:$R$1004,MATCH(34,Firms!$U$5:$U$1004,0))="","",INDEX(Firms!$R$5:$R$1004,MATCH(34,Firms!$U$5:$U$1004,0))),"")</f>
        <v/>
      </c>
      <c r="D38" s="91">
        <f>IFERROR(INDEX(Firms!$S$5:$S$1004,MATCH(34,Firms!$U$5:$U$1004,0))&amp;"","")</f>
        <v/>
      </c>
      <c r="E38" s="91">
        <f>IFERROR(INDEX(Firms!$C$5:$C$1004,MATCH(34,Firms!$U$5:$U$1004,0))&amp;"","")</f>
        <v/>
      </c>
      <c r="F38" s="79">
        <f>IFERROR(INDEX(Firms!$N$5:$N$1004,MATCH(34,Firms!$U$5:$U$1004,0))&amp;"","")</f>
        <v/>
      </c>
      <c r="G38" s="79">
        <f>IFERROR(INDEX(Firms!$P$5:$P$1004,MATCH(34,Firms!$U$5:$U$1004,0))&amp;"","")</f>
        <v/>
      </c>
      <c r="H38" s="91">
        <f>IFERROR(INDEX(Firms!$T$5:$T$1004,MATCH(34,Firms!$U$5:$U$1004,0))&amp;"","")</f>
        <v/>
      </c>
    </row>
    <row r="39">
      <c r="A39" s="79">
        <f>IF(B39="","",35)</f>
        <v/>
      </c>
      <c r="B39" s="91">
        <f>IFERROR(INDEX(Firms!$A$5:$A$1004,MATCH(35,Firms!$U$5:$U$1004,0))&amp;"","")</f>
        <v/>
      </c>
      <c r="C39" s="88">
        <f>IFERROR(IF(INDEX(Firms!$R$5:$R$1004,MATCH(35,Firms!$U$5:$U$1004,0))="","",INDEX(Firms!$R$5:$R$1004,MATCH(35,Firms!$U$5:$U$1004,0))),"")</f>
        <v/>
      </c>
      <c r="D39" s="91">
        <f>IFERROR(INDEX(Firms!$S$5:$S$1004,MATCH(35,Firms!$U$5:$U$1004,0))&amp;"","")</f>
        <v/>
      </c>
      <c r="E39" s="91">
        <f>IFERROR(INDEX(Firms!$C$5:$C$1004,MATCH(35,Firms!$U$5:$U$1004,0))&amp;"","")</f>
        <v/>
      </c>
      <c r="F39" s="79">
        <f>IFERROR(INDEX(Firms!$N$5:$N$1004,MATCH(35,Firms!$U$5:$U$1004,0))&amp;"","")</f>
        <v/>
      </c>
      <c r="G39" s="79">
        <f>IFERROR(INDEX(Firms!$P$5:$P$1004,MATCH(35,Firms!$U$5:$U$1004,0))&amp;"","")</f>
        <v/>
      </c>
      <c r="H39" s="91">
        <f>IFERROR(INDEX(Firms!$T$5:$T$1004,MATCH(35,Firms!$U$5:$U$1004,0))&amp;"","")</f>
        <v/>
      </c>
    </row>
    <row r="40">
      <c r="A40" s="79">
        <f>IF(B40="","",36)</f>
        <v/>
      </c>
      <c r="B40" s="91">
        <f>IFERROR(INDEX(Firms!$A$5:$A$1004,MATCH(36,Firms!$U$5:$U$1004,0))&amp;"","")</f>
        <v/>
      </c>
      <c r="C40" s="88">
        <f>IFERROR(IF(INDEX(Firms!$R$5:$R$1004,MATCH(36,Firms!$U$5:$U$1004,0))="","",INDEX(Firms!$R$5:$R$1004,MATCH(36,Firms!$U$5:$U$1004,0))),"")</f>
        <v/>
      </c>
      <c r="D40" s="91">
        <f>IFERROR(INDEX(Firms!$S$5:$S$1004,MATCH(36,Firms!$U$5:$U$1004,0))&amp;"","")</f>
        <v/>
      </c>
      <c r="E40" s="91">
        <f>IFERROR(INDEX(Firms!$C$5:$C$1004,MATCH(36,Firms!$U$5:$U$1004,0))&amp;"","")</f>
        <v/>
      </c>
      <c r="F40" s="79">
        <f>IFERROR(INDEX(Firms!$N$5:$N$1004,MATCH(36,Firms!$U$5:$U$1004,0))&amp;"","")</f>
        <v/>
      </c>
      <c r="G40" s="79">
        <f>IFERROR(INDEX(Firms!$P$5:$P$1004,MATCH(36,Firms!$U$5:$U$1004,0))&amp;"","")</f>
        <v/>
      </c>
      <c r="H40" s="91">
        <f>IFERROR(INDEX(Firms!$T$5:$T$1004,MATCH(36,Firms!$U$5:$U$1004,0))&amp;"","")</f>
        <v/>
      </c>
    </row>
    <row r="41">
      <c r="A41" s="79">
        <f>IF(B41="","",37)</f>
        <v/>
      </c>
      <c r="B41" s="91">
        <f>IFERROR(INDEX(Firms!$A$5:$A$1004,MATCH(37,Firms!$U$5:$U$1004,0))&amp;"","")</f>
        <v/>
      </c>
      <c r="C41" s="88">
        <f>IFERROR(IF(INDEX(Firms!$R$5:$R$1004,MATCH(37,Firms!$U$5:$U$1004,0))="","",INDEX(Firms!$R$5:$R$1004,MATCH(37,Firms!$U$5:$U$1004,0))),"")</f>
        <v/>
      </c>
      <c r="D41" s="91">
        <f>IFERROR(INDEX(Firms!$S$5:$S$1004,MATCH(37,Firms!$U$5:$U$1004,0))&amp;"","")</f>
        <v/>
      </c>
      <c r="E41" s="91">
        <f>IFERROR(INDEX(Firms!$C$5:$C$1004,MATCH(37,Firms!$U$5:$U$1004,0))&amp;"","")</f>
        <v/>
      </c>
      <c r="F41" s="79">
        <f>IFERROR(INDEX(Firms!$N$5:$N$1004,MATCH(37,Firms!$U$5:$U$1004,0))&amp;"","")</f>
        <v/>
      </c>
      <c r="G41" s="79">
        <f>IFERROR(INDEX(Firms!$P$5:$P$1004,MATCH(37,Firms!$U$5:$U$1004,0))&amp;"","")</f>
        <v/>
      </c>
      <c r="H41" s="91">
        <f>IFERROR(INDEX(Firms!$T$5:$T$1004,MATCH(37,Firms!$U$5:$U$1004,0))&amp;"","")</f>
        <v/>
      </c>
    </row>
    <row r="42">
      <c r="A42" s="79">
        <f>IF(B42="","",38)</f>
        <v/>
      </c>
      <c r="B42" s="91">
        <f>IFERROR(INDEX(Firms!$A$5:$A$1004,MATCH(38,Firms!$U$5:$U$1004,0))&amp;"","")</f>
        <v/>
      </c>
      <c r="C42" s="88">
        <f>IFERROR(IF(INDEX(Firms!$R$5:$R$1004,MATCH(38,Firms!$U$5:$U$1004,0))="","",INDEX(Firms!$R$5:$R$1004,MATCH(38,Firms!$U$5:$U$1004,0))),"")</f>
        <v/>
      </c>
      <c r="D42" s="91">
        <f>IFERROR(INDEX(Firms!$S$5:$S$1004,MATCH(38,Firms!$U$5:$U$1004,0))&amp;"","")</f>
        <v/>
      </c>
      <c r="E42" s="91">
        <f>IFERROR(INDEX(Firms!$C$5:$C$1004,MATCH(38,Firms!$U$5:$U$1004,0))&amp;"","")</f>
        <v/>
      </c>
      <c r="F42" s="79">
        <f>IFERROR(INDEX(Firms!$N$5:$N$1004,MATCH(38,Firms!$U$5:$U$1004,0))&amp;"","")</f>
        <v/>
      </c>
      <c r="G42" s="79">
        <f>IFERROR(INDEX(Firms!$P$5:$P$1004,MATCH(38,Firms!$U$5:$U$1004,0))&amp;"","")</f>
        <v/>
      </c>
      <c r="H42" s="91">
        <f>IFERROR(INDEX(Firms!$T$5:$T$1004,MATCH(38,Firms!$U$5:$U$1004,0))&amp;"","")</f>
        <v/>
      </c>
    </row>
    <row r="43">
      <c r="A43" s="79">
        <f>IF(B43="","",39)</f>
        <v/>
      </c>
      <c r="B43" s="91">
        <f>IFERROR(INDEX(Firms!$A$5:$A$1004,MATCH(39,Firms!$U$5:$U$1004,0))&amp;"","")</f>
        <v/>
      </c>
      <c r="C43" s="88">
        <f>IFERROR(IF(INDEX(Firms!$R$5:$R$1004,MATCH(39,Firms!$U$5:$U$1004,0))="","",INDEX(Firms!$R$5:$R$1004,MATCH(39,Firms!$U$5:$U$1004,0))),"")</f>
        <v/>
      </c>
      <c r="D43" s="91">
        <f>IFERROR(INDEX(Firms!$S$5:$S$1004,MATCH(39,Firms!$U$5:$U$1004,0))&amp;"","")</f>
        <v/>
      </c>
      <c r="E43" s="91">
        <f>IFERROR(INDEX(Firms!$C$5:$C$1004,MATCH(39,Firms!$U$5:$U$1004,0))&amp;"","")</f>
        <v/>
      </c>
      <c r="F43" s="79">
        <f>IFERROR(INDEX(Firms!$N$5:$N$1004,MATCH(39,Firms!$U$5:$U$1004,0))&amp;"","")</f>
        <v/>
      </c>
      <c r="G43" s="79">
        <f>IFERROR(INDEX(Firms!$P$5:$P$1004,MATCH(39,Firms!$U$5:$U$1004,0))&amp;"","")</f>
        <v/>
      </c>
      <c r="H43" s="91">
        <f>IFERROR(INDEX(Firms!$T$5:$T$1004,MATCH(39,Firms!$U$5:$U$1004,0))&amp;"","")</f>
        <v/>
      </c>
    </row>
    <row r="44">
      <c r="A44" s="79">
        <f>IF(B44="","",40)</f>
        <v/>
      </c>
      <c r="B44" s="91">
        <f>IFERROR(INDEX(Firms!$A$5:$A$1004,MATCH(40,Firms!$U$5:$U$1004,0))&amp;"","")</f>
        <v/>
      </c>
      <c r="C44" s="88">
        <f>IFERROR(IF(INDEX(Firms!$R$5:$R$1004,MATCH(40,Firms!$U$5:$U$1004,0))="","",INDEX(Firms!$R$5:$R$1004,MATCH(40,Firms!$U$5:$U$1004,0))),"")</f>
        <v/>
      </c>
      <c r="D44" s="91">
        <f>IFERROR(INDEX(Firms!$S$5:$S$1004,MATCH(40,Firms!$U$5:$U$1004,0))&amp;"","")</f>
        <v/>
      </c>
      <c r="E44" s="91">
        <f>IFERROR(INDEX(Firms!$C$5:$C$1004,MATCH(40,Firms!$U$5:$U$1004,0))&amp;"","")</f>
        <v/>
      </c>
      <c r="F44" s="79">
        <f>IFERROR(INDEX(Firms!$N$5:$N$1004,MATCH(40,Firms!$U$5:$U$1004,0))&amp;"","")</f>
        <v/>
      </c>
      <c r="G44" s="79">
        <f>IFERROR(INDEX(Firms!$P$5:$P$1004,MATCH(40,Firms!$U$5:$U$1004,0))&amp;"","")</f>
        <v/>
      </c>
      <c r="H44" s="91">
        <f>IFERROR(INDEX(Firms!$T$5:$T$1004,MATCH(40,Firms!$U$5:$U$1004,0))&amp;"","")</f>
        <v/>
      </c>
    </row>
    <row r="45">
      <c r="A45" s="79">
        <f>IF(B45="","",41)</f>
        <v/>
      </c>
      <c r="B45" s="91">
        <f>IFERROR(INDEX(Firms!$A$5:$A$1004,MATCH(41,Firms!$U$5:$U$1004,0))&amp;"","")</f>
        <v/>
      </c>
      <c r="C45" s="88">
        <f>IFERROR(IF(INDEX(Firms!$R$5:$R$1004,MATCH(41,Firms!$U$5:$U$1004,0))="","",INDEX(Firms!$R$5:$R$1004,MATCH(41,Firms!$U$5:$U$1004,0))),"")</f>
        <v/>
      </c>
      <c r="D45" s="91">
        <f>IFERROR(INDEX(Firms!$S$5:$S$1004,MATCH(41,Firms!$U$5:$U$1004,0))&amp;"","")</f>
        <v/>
      </c>
      <c r="E45" s="91">
        <f>IFERROR(INDEX(Firms!$C$5:$C$1004,MATCH(41,Firms!$U$5:$U$1004,0))&amp;"","")</f>
        <v/>
      </c>
      <c r="F45" s="79">
        <f>IFERROR(INDEX(Firms!$N$5:$N$1004,MATCH(41,Firms!$U$5:$U$1004,0))&amp;"","")</f>
        <v/>
      </c>
      <c r="G45" s="79">
        <f>IFERROR(INDEX(Firms!$P$5:$P$1004,MATCH(41,Firms!$U$5:$U$1004,0))&amp;"","")</f>
        <v/>
      </c>
      <c r="H45" s="91">
        <f>IFERROR(INDEX(Firms!$T$5:$T$1004,MATCH(41,Firms!$U$5:$U$1004,0))&amp;"","")</f>
        <v/>
      </c>
    </row>
    <row r="46">
      <c r="A46" s="79">
        <f>IF(B46="","",42)</f>
        <v/>
      </c>
      <c r="B46" s="91">
        <f>IFERROR(INDEX(Firms!$A$5:$A$1004,MATCH(42,Firms!$U$5:$U$1004,0))&amp;"","")</f>
        <v/>
      </c>
      <c r="C46" s="88">
        <f>IFERROR(IF(INDEX(Firms!$R$5:$R$1004,MATCH(42,Firms!$U$5:$U$1004,0))="","",INDEX(Firms!$R$5:$R$1004,MATCH(42,Firms!$U$5:$U$1004,0))),"")</f>
        <v/>
      </c>
      <c r="D46" s="91">
        <f>IFERROR(INDEX(Firms!$S$5:$S$1004,MATCH(42,Firms!$U$5:$U$1004,0))&amp;"","")</f>
        <v/>
      </c>
      <c r="E46" s="91">
        <f>IFERROR(INDEX(Firms!$C$5:$C$1004,MATCH(42,Firms!$U$5:$U$1004,0))&amp;"","")</f>
        <v/>
      </c>
      <c r="F46" s="79">
        <f>IFERROR(INDEX(Firms!$N$5:$N$1004,MATCH(42,Firms!$U$5:$U$1004,0))&amp;"","")</f>
        <v/>
      </c>
      <c r="G46" s="79">
        <f>IFERROR(INDEX(Firms!$P$5:$P$1004,MATCH(42,Firms!$U$5:$U$1004,0))&amp;"","")</f>
        <v/>
      </c>
      <c r="H46" s="91">
        <f>IFERROR(INDEX(Firms!$T$5:$T$1004,MATCH(42,Firms!$U$5:$U$1004,0))&amp;"","")</f>
        <v/>
      </c>
    </row>
    <row r="47">
      <c r="A47" s="79">
        <f>IF(B47="","",43)</f>
        <v/>
      </c>
      <c r="B47" s="91">
        <f>IFERROR(INDEX(Firms!$A$5:$A$1004,MATCH(43,Firms!$U$5:$U$1004,0))&amp;"","")</f>
        <v/>
      </c>
      <c r="C47" s="88">
        <f>IFERROR(IF(INDEX(Firms!$R$5:$R$1004,MATCH(43,Firms!$U$5:$U$1004,0))="","",INDEX(Firms!$R$5:$R$1004,MATCH(43,Firms!$U$5:$U$1004,0))),"")</f>
        <v/>
      </c>
      <c r="D47" s="91">
        <f>IFERROR(INDEX(Firms!$S$5:$S$1004,MATCH(43,Firms!$U$5:$U$1004,0))&amp;"","")</f>
        <v/>
      </c>
      <c r="E47" s="91">
        <f>IFERROR(INDEX(Firms!$C$5:$C$1004,MATCH(43,Firms!$U$5:$U$1004,0))&amp;"","")</f>
        <v/>
      </c>
      <c r="F47" s="79">
        <f>IFERROR(INDEX(Firms!$N$5:$N$1004,MATCH(43,Firms!$U$5:$U$1004,0))&amp;"","")</f>
        <v/>
      </c>
      <c r="G47" s="79">
        <f>IFERROR(INDEX(Firms!$P$5:$P$1004,MATCH(43,Firms!$U$5:$U$1004,0))&amp;"","")</f>
        <v/>
      </c>
      <c r="H47" s="91">
        <f>IFERROR(INDEX(Firms!$T$5:$T$1004,MATCH(43,Firms!$U$5:$U$1004,0))&amp;"","")</f>
        <v/>
      </c>
    </row>
    <row r="48">
      <c r="A48" s="79">
        <f>IF(B48="","",44)</f>
        <v/>
      </c>
      <c r="B48" s="91">
        <f>IFERROR(INDEX(Firms!$A$5:$A$1004,MATCH(44,Firms!$U$5:$U$1004,0))&amp;"","")</f>
        <v/>
      </c>
      <c r="C48" s="88">
        <f>IFERROR(IF(INDEX(Firms!$R$5:$R$1004,MATCH(44,Firms!$U$5:$U$1004,0))="","",INDEX(Firms!$R$5:$R$1004,MATCH(44,Firms!$U$5:$U$1004,0))),"")</f>
        <v/>
      </c>
      <c r="D48" s="91">
        <f>IFERROR(INDEX(Firms!$S$5:$S$1004,MATCH(44,Firms!$U$5:$U$1004,0))&amp;"","")</f>
        <v/>
      </c>
      <c r="E48" s="91">
        <f>IFERROR(INDEX(Firms!$C$5:$C$1004,MATCH(44,Firms!$U$5:$U$1004,0))&amp;"","")</f>
        <v/>
      </c>
      <c r="F48" s="79">
        <f>IFERROR(INDEX(Firms!$N$5:$N$1004,MATCH(44,Firms!$U$5:$U$1004,0))&amp;"","")</f>
        <v/>
      </c>
      <c r="G48" s="79">
        <f>IFERROR(INDEX(Firms!$P$5:$P$1004,MATCH(44,Firms!$U$5:$U$1004,0))&amp;"","")</f>
        <v/>
      </c>
      <c r="H48" s="91">
        <f>IFERROR(INDEX(Firms!$T$5:$T$1004,MATCH(44,Firms!$U$5:$U$1004,0))&amp;"","")</f>
        <v/>
      </c>
    </row>
    <row r="49">
      <c r="A49" s="79">
        <f>IF(B49="","",45)</f>
        <v/>
      </c>
      <c r="B49" s="91">
        <f>IFERROR(INDEX(Firms!$A$5:$A$1004,MATCH(45,Firms!$U$5:$U$1004,0))&amp;"","")</f>
        <v/>
      </c>
      <c r="C49" s="88">
        <f>IFERROR(IF(INDEX(Firms!$R$5:$R$1004,MATCH(45,Firms!$U$5:$U$1004,0))="","",INDEX(Firms!$R$5:$R$1004,MATCH(45,Firms!$U$5:$U$1004,0))),"")</f>
        <v/>
      </c>
      <c r="D49" s="91">
        <f>IFERROR(INDEX(Firms!$S$5:$S$1004,MATCH(45,Firms!$U$5:$U$1004,0))&amp;"","")</f>
        <v/>
      </c>
      <c r="E49" s="91">
        <f>IFERROR(INDEX(Firms!$C$5:$C$1004,MATCH(45,Firms!$U$5:$U$1004,0))&amp;"","")</f>
        <v/>
      </c>
      <c r="F49" s="79">
        <f>IFERROR(INDEX(Firms!$N$5:$N$1004,MATCH(45,Firms!$U$5:$U$1004,0))&amp;"","")</f>
        <v/>
      </c>
      <c r="G49" s="79">
        <f>IFERROR(INDEX(Firms!$P$5:$P$1004,MATCH(45,Firms!$U$5:$U$1004,0))&amp;"","")</f>
        <v/>
      </c>
      <c r="H49" s="91">
        <f>IFERROR(INDEX(Firms!$T$5:$T$1004,MATCH(45,Firms!$U$5:$U$1004,0))&amp;"","")</f>
        <v/>
      </c>
    </row>
    <row r="50">
      <c r="A50" s="79">
        <f>IF(B50="","",46)</f>
        <v/>
      </c>
      <c r="B50" s="91">
        <f>IFERROR(INDEX(Firms!$A$5:$A$1004,MATCH(46,Firms!$U$5:$U$1004,0))&amp;"","")</f>
        <v/>
      </c>
      <c r="C50" s="88">
        <f>IFERROR(IF(INDEX(Firms!$R$5:$R$1004,MATCH(46,Firms!$U$5:$U$1004,0))="","",INDEX(Firms!$R$5:$R$1004,MATCH(46,Firms!$U$5:$U$1004,0))),"")</f>
        <v/>
      </c>
      <c r="D50" s="91">
        <f>IFERROR(INDEX(Firms!$S$5:$S$1004,MATCH(46,Firms!$U$5:$U$1004,0))&amp;"","")</f>
        <v/>
      </c>
      <c r="E50" s="91">
        <f>IFERROR(INDEX(Firms!$C$5:$C$1004,MATCH(46,Firms!$U$5:$U$1004,0))&amp;"","")</f>
        <v/>
      </c>
      <c r="F50" s="79">
        <f>IFERROR(INDEX(Firms!$N$5:$N$1004,MATCH(46,Firms!$U$5:$U$1004,0))&amp;"","")</f>
        <v/>
      </c>
      <c r="G50" s="79">
        <f>IFERROR(INDEX(Firms!$P$5:$P$1004,MATCH(46,Firms!$U$5:$U$1004,0))&amp;"","")</f>
        <v/>
      </c>
      <c r="H50" s="91">
        <f>IFERROR(INDEX(Firms!$T$5:$T$1004,MATCH(46,Firms!$U$5:$U$1004,0))&amp;"","")</f>
        <v/>
      </c>
    </row>
    <row r="51">
      <c r="A51" s="79">
        <f>IF(B51="","",47)</f>
        <v/>
      </c>
      <c r="B51" s="91">
        <f>IFERROR(INDEX(Firms!$A$5:$A$1004,MATCH(47,Firms!$U$5:$U$1004,0))&amp;"","")</f>
        <v/>
      </c>
      <c r="C51" s="88">
        <f>IFERROR(IF(INDEX(Firms!$R$5:$R$1004,MATCH(47,Firms!$U$5:$U$1004,0))="","",INDEX(Firms!$R$5:$R$1004,MATCH(47,Firms!$U$5:$U$1004,0))),"")</f>
        <v/>
      </c>
      <c r="D51" s="91">
        <f>IFERROR(INDEX(Firms!$S$5:$S$1004,MATCH(47,Firms!$U$5:$U$1004,0))&amp;"","")</f>
        <v/>
      </c>
      <c r="E51" s="91">
        <f>IFERROR(INDEX(Firms!$C$5:$C$1004,MATCH(47,Firms!$U$5:$U$1004,0))&amp;"","")</f>
        <v/>
      </c>
      <c r="F51" s="79">
        <f>IFERROR(INDEX(Firms!$N$5:$N$1004,MATCH(47,Firms!$U$5:$U$1004,0))&amp;"","")</f>
        <v/>
      </c>
      <c r="G51" s="79">
        <f>IFERROR(INDEX(Firms!$P$5:$P$1004,MATCH(47,Firms!$U$5:$U$1004,0))&amp;"","")</f>
        <v/>
      </c>
      <c r="H51" s="91">
        <f>IFERROR(INDEX(Firms!$T$5:$T$1004,MATCH(47,Firms!$U$5:$U$1004,0))&amp;"","")</f>
        <v/>
      </c>
    </row>
    <row r="52">
      <c r="A52" s="79">
        <f>IF(B52="","",48)</f>
        <v/>
      </c>
      <c r="B52" s="91">
        <f>IFERROR(INDEX(Firms!$A$5:$A$1004,MATCH(48,Firms!$U$5:$U$1004,0))&amp;"","")</f>
        <v/>
      </c>
      <c r="C52" s="88">
        <f>IFERROR(IF(INDEX(Firms!$R$5:$R$1004,MATCH(48,Firms!$U$5:$U$1004,0))="","",INDEX(Firms!$R$5:$R$1004,MATCH(48,Firms!$U$5:$U$1004,0))),"")</f>
        <v/>
      </c>
      <c r="D52" s="91">
        <f>IFERROR(INDEX(Firms!$S$5:$S$1004,MATCH(48,Firms!$U$5:$U$1004,0))&amp;"","")</f>
        <v/>
      </c>
      <c r="E52" s="91">
        <f>IFERROR(INDEX(Firms!$C$5:$C$1004,MATCH(48,Firms!$U$5:$U$1004,0))&amp;"","")</f>
        <v/>
      </c>
      <c r="F52" s="79">
        <f>IFERROR(INDEX(Firms!$N$5:$N$1004,MATCH(48,Firms!$U$5:$U$1004,0))&amp;"","")</f>
        <v/>
      </c>
      <c r="G52" s="79">
        <f>IFERROR(INDEX(Firms!$P$5:$P$1004,MATCH(48,Firms!$U$5:$U$1004,0))&amp;"","")</f>
        <v/>
      </c>
      <c r="H52" s="91">
        <f>IFERROR(INDEX(Firms!$T$5:$T$1004,MATCH(48,Firms!$U$5:$U$1004,0))&amp;"","")</f>
        <v/>
      </c>
    </row>
    <row r="53">
      <c r="A53" s="79">
        <f>IF(B53="","",49)</f>
        <v/>
      </c>
      <c r="B53" s="91">
        <f>IFERROR(INDEX(Firms!$A$5:$A$1004,MATCH(49,Firms!$U$5:$U$1004,0))&amp;"","")</f>
        <v/>
      </c>
      <c r="C53" s="88">
        <f>IFERROR(IF(INDEX(Firms!$R$5:$R$1004,MATCH(49,Firms!$U$5:$U$1004,0))="","",INDEX(Firms!$R$5:$R$1004,MATCH(49,Firms!$U$5:$U$1004,0))),"")</f>
        <v/>
      </c>
      <c r="D53" s="91">
        <f>IFERROR(INDEX(Firms!$S$5:$S$1004,MATCH(49,Firms!$U$5:$U$1004,0))&amp;"","")</f>
        <v/>
      </c>
      <c r="E53" s="91">
        <f>IFERROR(INDEX(Firms!$C$5:$C$1004,MATCH(49,Firms!$U$5:$U$1004,0))&amp;"","")</f>
        <v/>
      </c>
      <c r="F53" s="79">
        <f>IFERROR(INDEX(Firms!$N$5:$N$1004,MATCH(49,Firms!$U$5:$U$1004,0))&amp;"","")</f>
        <v/>
      </c>
      <c r="G53" s="79">
        <f>IFERROR(INDEX(Firms!$P$5:$P$1004,MATCH(49,Firms!$U$5:$U$1004,0))&amp;"","")</f>
        <v/>
      </c>
      <c r="H53" s="91">
        <f>IFERROR(INDEX(Firms!$T$5:$T$1004,MATCH(49,Firms!$U$5:$U$1004,0))&amp;"","")</f>
        <v/>
      </c>
    </row>
    <row r="54">
      <c r="A54" s="79">
        <f>IF(B54="","",50)</f>
        <v/>
      </c>
      <c r="B54" s="91">
        <f>IFERROR(INDEX(Firms!$A$5:$A$1004,MATCH(50,Firms!$U$5:$U$1004,0))&amp;"","")</f>
        <v/>
      </c>
      <c r="C54" s="88">
        <f>IFERROR(IF(INDEX(Firms!$R$5:$R$1004,MATCH(50,Firms!$U$5:$U$1004,0))="","",INDEX(Firms!$R$5:$R$1004,MATCH(50,Firms!$U$5:$U$1004,0))),"")</f>
        <v/>
      </c>
      <c r="D54" s="91">
        <f>IFERROR(INDEX(Firms!$S$5:$S$1004,MATCH(50,Firms!$U$5:$U$1004,0))&amp;"","")</f>
        <v/>
      </c>
      <c r="E54" s="91">
        <f>IFERROR(INDEX(Firms!$C$5:$C$1004,MATCH(50,Firms!$U$5:$U$1004,0))&amp;"","")</f>
        <v/>
      </c>
      <c r="F54" s="79">
        <f>IFERROR(INDEX(Firms!$N$5:$N$1004,MATCH(50,Firms!$U$5:$U$1004,0))&amp;"","")</f>
        <v/>
      </c>
      <c r="G54" s="79">
        <f>IFERROR(INDEX(Firms!$P$5:$P$1004,MATCH(50,Firms!$U$5:$U$1004,0))&amp;"","")</f>
        <v/>
      </c>
      <c r="H54" s="91">
        <f>IFERROR(INDEX(Firms!$T$5:$T$1004,MATCH(50,Firms!$U$5:$U$1004,0))&amp;"","")</f>
        <v/>
      </c>
    </row>
    <row r="55">
      <c r="A55" s="79">
        <f>IF(B55="","",51)</f>
        <v/>
      </c>
      <c r="B55" s="91">
        <f>IFERROR(INDEX(Firms!$A$5:$A$1004,MATCH(51,Firms!$U$5:$U$1004,0))&amp;"","")</f>
        <v/>
      </c>
      <c r="C55" s="88">
        <f>IFERROR(IF(INDEX(Firms!$R$5:$R$1004,MATCH(51,Firms!$U$5:$U$1004,0))="","",INDEX(Firms!$R$5:$R$1004,MATCH(51,Firms!$U$5:$U$1004,0))),"")</f>
        <v/>
      </c>
      <c r="D55" s="91">
        <f>IFERROR(INDEX(Firms!$S$5:$S$1004,MATCH(51,Firms!$U$5:$U$1004,0))&amp;"","")</f>
        <v/>
      </c>
      <c r="E55" s="91">
        <f>IFERROR(INDEX(Firms!$C$5:$C$1004,MATCH(51,Firms!$U$5:$U$1004,0))&amp;"","")</f>
        <v/>
      </c>
      <c r="F55" s="79">
        <f>IFERROR(INDEX(Firms!$N$5:$N$1004,MATCH(51,Firms!$U$5:$U$1004,0))&amp;"","")</f>
        <v/>
      </c>
      <c r="G55" s="79">
        <f>IFERROR(INDEX(Firms!$P$5:$P$1004,MATCH(51,Firms!$U$5:$U$1004,0))&amp;"","")</f>
        <v/>
      </c>
      <c r="H55" s="91">
        <f>IFERROR(INDEX(Firms!$T$5:$T$1004,MATCH(51,Firms!$U$5:$U$1004,0))&amp;"","")</f>
        <v/>
      </c>
    </row>
    <row r="56">
      <c r="A56" s="79">
        <f>IF(B56="","",52)</f>
        <v/>
      </c>
      <c r="B56" s="91">
        <f>IFERROR(INDEX(Firms!$A$5:$A$1004,MATCH(52,Firms!$U$5:$U$1004,0))&amp;"","")</f>
        <v/>
      </c>
      <c r="C56" s="88">
        <f>IFERROR(IF(INDEX(Firms!$R$5:$R$1004,MATCH(52,Firms!$U$5:$U$1004,0))="","",INDEX(Firms!$R$5:$R$1004,MATCH(52,Firms!$U$5:$U$1004,0))),"")</f>
        <v/>
      </c>
      <c r="D56" s="91">
        <f>IFERROR(INDEX(Firms!$S$5:$S$1004,MATCH(52,Firms!$U$5:$U$1004,0))&amp;"","")</f>
        <v/>
      </c>
      <c r="E56" s="91">
        <f>IFERROR(INDEX(Firms!$C$5:$C$1004,MATCH(52,Firms!$U$5:$U$1004,0))&amp;"","")</f>
        <v/>
      </c>
      <c r="F56" s="79">
        <f>IFERROR(INDEX(Firms!$N$5:$N$1004,MATCH(52,Firms!$U$5:$U$1004,0))&amp;"","")</f>
        <v/>
      </c>
      <c r="G56" s="79">
        <f>IFERROR(INDEX(Firms!$P$5:$P$1004,MATCH(52,Firms!$U$5:$U$1004,0))&amp;"","")</f>
        <v/>
      </c>
      <c r="H56" s="91">
        <f>IFERROR(INDEX(Firms!$T$5:$T$1004,MATCH(52,Firms!$U$5:$U$1004,0))&amp;"","")</f>
        <v/>
      </c>
    </row>
    <row r="57">
      <c r="A57" s="79">
        <f>IF(B57="","",53)</f>
        <v/>
      </c>
      <c r="B57" s="91">
        <f>IFERROR(INDEX(Firms!$A$5:$A$1004,MATCH(53,Firms!$U$5:$U$1004,0))&amp;"","")</f>
        <v/>
      </c>
      <c r="C57" s="88">
        <f>IFERROR(IF(INDEX(Firms!$R$5:$R$1004,MATCH(53,Firms!$U$5:$U$1004,0))="","",INDEX(Firms!$R$5:$R$1004,MATCH(53,Firms!$U$5:$U$1004,0))),"")</f>
        <v/>
      </c>
      <c r="D57" s="91">
        <f>IFERROR(INDEX(Firms!$S$5:$S$1004,MATCH(53,Firms!$U$5:$U$1004,0))&amp;"","")</f>
        <v/>
      </c>
      <c r="E57" s="91">
        <f>IFERROR(INDEX(Firms!$C$5:$C$1004,MATCH(53,Firms!$U$5:$U$1004,0))&amp;"","")</f>
        <v/>
      </c>
      <c r="F57" s="79">
        <f>IFERROR(INDEX(Firms!$N$5:$N$1004,MATCH(53,Firms!$U$5:$U$1004,0))&amp;"","")</f>
        <v/>
      </c>
      <c r="G57" s="79">
        <f>IFERROR(INDEX(Firms!$P$5:$P$1004,MATCH(53,Firms!$U$5:$U$1004,0))&amp;"","")</f>
        <v/>
      </c>
      <c r="H57" s="91">
        <f>IFERROR(INDEX(Firms!$T$5:$T$1004,MATCH(53,Firms!$U$5:$U$1004,0))&amp;"","")</f>
        <v/>
      </c>
    </row>
    <row r="58">
      <c r="A58" s="79">
        <f>IF(B58="","",54)</f>
        <v/>
      </c>
      <c r="B58" s="91">
        <f>IFERROR(INDEX(Firms!$A$5:$A$1004,MATCH(54,Firms!$U$5:$U$1004,0))&amp;"","")</f>
        <v/>
      </c>
      <c r="C58" s="88">
        <f>IFERROR(IF(INDEX(Firms!$R$5:$R$1004,MATCH(54,Firms!$U$5:$U$1004,0))="","",INDEX(Firms!$R$5:$R$1004,MATCH(54,Firms!$U$5:$U$1004,0))),"")</f>
        <v/>
      </c>
      <c r="D58" s="91">
        <f>IFERROR(INDEX(Firms!$S$5:$S$1004,MATCH(54,Firms!$U$5:$U$1004,0))&amp;"","")</f>
        <v/>
      </c>
      <c r="E58" s="91">
        <f>IFERROR(INDEX(Firms!$C$5:$C$1004,MATCH(54,Firms!$U$5:$U$1004,0))&amp;"","")</f>
        <v/>
      </c>
      <c r="F58" s="79">
        <f>IFERROR(INDEX(Firms!$N$5:$N$1004,MATCH(54,Firms!$U$5:$U$1004,0))&amp;"","")</f>
        <v/>
      </c>
      <c r="G58" s="79">
        <f>IFERROR(INDEX(Firms!$P$5:$P$1004,MATCH(54,Firms!$U$5:$U$1004,0))&amp;"","")</f>
        <v/>
      </c>
      <c r="H58" s="91">
        <f>IFERROR(INDEX(Firms!$T$5:$T$1004,MATCH(54,Firms!$U$5:$U$1004,0))&amp;"","")</f>
        <v/>
      </c>
    </row>
    <row r="59">
      <c r="A59" s="79">
        <f>IF(B59="","",55)</f>
        <v/>
      </c>
      <c r="B59" s="91">
        <f>IFERROR(INDEX(Firms!$A$5:$A$1004,MATCH(55,Firms!$U$5:$U$1004,0))&amp;"","")</f>
        <v/>
      </c>
      <c r="C59" s="88">
        <f>IFERROR(IF(INDEX(Firms!$R$5:$R$1004,MATCH(55,Firms!$U$5:$U$1004,0))="","",INDEX(Firms!$R$5:$R$1004,MATCH(55,Firms!$U$5:$U$1004,0))),"")</f>
        <v/>
      </c>
      <c r="D59" s="91">
        <f>IFERROR(INDEX(Firms!$S$5:$S$1004,MATCH(55,Firms!$U$5:$U$1004,0))&amp;"","")</f>
        <v/>
      </c>
      <c r="E59" s="91">
        <f>IFERROR(INDEX(Firms!$C$5:$C$1004,MATCH(55,Firms!$U$5:$U$1004,0))&amp;"","")</f>
        <v/>
      </c>
      <c r="F59" s="79">
        <f>IFERROR(INDEX(Firms!$N$5:$N$1004,MATCH(55,Firms!$U$5:$U$1004,0))&amp;"","")</f>
        <v/>
      </c>
      <c r="G59" s="79">
        <f>IFERROR(INDEX(Firms!$P$5:$P$1004,MATCH(55,Firms!$U$5:$U$1004,0))&amp;"","")</f>
        <v/>
      </c>
      <c r="H59" s="91">
        <f>IFERROR(INDEX(Firms!$T$5:$T$1004,MATCH(55,Firms!$U$5:$U$1004,0))&amp;"","")</f>
        <v/>
      </c>
    </row>
    <row r="60">
      <c r="A60" s="79">
        <f>IF(B60="","",56)</f>
        <v/>
      </c>
      <c r="B60" s="91">
        <f>IFERROR(INDEX(Firms!$A$5:$A$1004,MATCH(56,Firms!$U$5:$U$1004,0))&amp;"","")</f>
        <v/>
      </c>
      <c r="C60" s="88">
        <f>IFERROR(IF(INDEX(Firms!$R$5:$R$1004,MATCH(56,Firms!$U$5:$U$1004,0))="","",INDEX(Firms!$R$5:$R$1004,MATCH(56,Firms!$U$5:$U$1004,0))),"")</f>
        <v/>
      </c>
      <c r="D60" s="91">
        <f>IFERROR(INDEX(Firms!$S$5:$S$1004,MATCH(56,Firms!$U$5:$U$1004,0))&amp;"","")</f>
        <v/>
      </c>
      <c r="E60" s="91">
        <f>IFERROR(INDEX(Firms!$C$5:$C$1004,MATCH(56,Firms!$U$5:$U$1004,0))&amp;"","")</f>
        <v/>
      </c>
      <c r="F60" s="79">
        <f>IFERROR(INDEX(Firms!$N$5:$N$1004,MATCH(56,Firms!$U$5:$U$1004,0))&amp;"","")</f>
        <v/>
      </c>
      <c r="G60" s="79">
        <f>IFERROR(INDEX(Firms!$P$5:$P$1004,MATCH(56,Firms!$U$5:$U$1004,0))&amp;"","")</f>
        <v/>
      </c>
      <c r="H60" s="91">
        <f>IFERROR(INDEX(Firms!$T$5:$T$1004,MATCH(56,Firms!$U$5:$U$1004,0))&amp;"","")</f>
        <v/>
      </c>
    </row>
    <row r="61">
      <c r="A61" s="79">
        <f>IF(B61="","",57)</f>
        <v/>
      </c>
      <c r="B61" s="91">
        <f>IFERROR(INDEX(Firms!$A$5:$A$1004,MATCH(57,Firms!$U$5:$U$1004,0))&amp;"","")</f>
        <v/>
      </c>
      <c r="C61" s="88">
        <f>IFERROR(IF(INDEX(Firms!$R$5:$R$1004,MATCH(57,Firms!$U$5:$U$1004,0))="","",INDEX(Firms!$R$5:$R$1004,MATCH(57,Firms!$U$5:$U$1004,0))),"")</f>
        <v/>
      </c>
      <c r="D61" s="91">
        <f>IFERROR(INDEX(Firms!$S$5:$S$1004,MATCH(57,Firms!$U$5:$U$1004,0))&amp;"","")</f>
        <v/>
      </c>
      <c r="E61" s="91">
        <f>IFERROR(INDEX(Firms!$C$5:$C$1004,MATCH(57,Firms!$U$5:$U$1004,0))&amp;"","")</f>
        <v/>
      </c>
      <c r="F61" s="79">
        <f>IFERROR(INDEX(Firms!$N$5:$N$1004,MATCH(57,Firms!$U$5:$U$1004,0))&amp;"","")</f>
        <v/>
      </c>
      <c r="G61" s="79">
        <f>IFERROR(INDEX(Firms!$P$5:$P$1004,MATCH(57,Firms!$U$5:$U$1004,0))&amp;"","")</f>
        <v/>
      </c>
      <c r="H61" s="91">
        <f>IFERROR(INDEX(Firms!$T$5:$T$1004,MATCH(57,Firms!$U$5:$U$1004,0))&amp;"","")</f>
        <v/>
      </c>
    </row>
    <row r="62">
      <c r="A62" s="79">
        <f>IF(B62="","",58)</f>
        <v/>
      </c>
      <c r="B62" s="91">
        <f>IFERROR(INDEX(Firms!$A$5:$A$1004,MATCH(58,Firms!$U$5:$U$1004,0))&amp;"","")</f>
        <v/>
      </c>
      <c r="C62" s="88">
        <f>IFERROR(IF(INDEX(Firms!$R$5:$R$1004,MATCH(58,Firms!$U$5:$U$1004,0))="","",INDEX(Firms!$R$5:$R$1004,MATCH(58,Firms!$U$5:$U$1004,0))),"")</f>
        <v/>
      </c>
      <c r="D62" s="91">
        <f>IFERROR(INDEX(Firms!$S$5:$S$1004,MATCH(58,Firms!$U$5:$U$1004,0))&amp;"","")</f>
        <v/>
      </c>
      <c r="E62" s="91">
        <f>IFERROR(INDEX(Firms!$C$5:$C$1004,MATCH(58,Firms!$U$5:$U$1004,0))&amp;"","")</f>
        <v/>
      </c>
      <c r="F62" s="79">
        <f>IFERROR(INDEX(Firms!$N$5:$N$1004,MATCH(58,Firms!$U$5:$U$1004,0))&amp;"","")</f>
        <v/>
      </c>
      <c r="G62" s="79">
        <f>IFERROR(INDEX(Firms!$P$5:$P$1004,MATCH(58,Firms!$U$5:$U$1004,0))&amp;"","")</f>
        <v/>
      </c>
      <c r="H62" s="91">
        <f>IFERROR(INDEX(Firms!$T$5:$T$1004,MATCH(58,Firms!$U$5:$U$1004,0))&amp;"","")</f>
        <v/>
      </c>
    </row>
    <row r="63">
      <c r="A63" s="79">
        <f>IF(B63="","",59)</f>
        <v/>
      </c>
      <c r="B63" s="91">
        <f>IFERROR(INDEX(Firms!$A$5:$A$1004,MATCH(59,Firms!$U$5:$U$1004,0))&amp;"","")</f>
        <v/>
      </c>
      <c r="C63" s="88">
        <f>IFERROR(IF(INDEX(Firms!$R$5:$R$1004,MATCH(59,Firms!$U$5:$U$1004,0))="","",INDEX(Firms!$R$5:$R$1004,MATCH(59,Firms!$U$5:$U$1004,0))),"")</f>
        <v/>
      </c>
      <c r="D63" s="91">
        <f>IFERROR(INDEX(Firms!$S$5:$S$1004,MATCH(59,Firms!$U$5:$U$1004,0))&amp;"","")</f>
        <v/>
      </c>
      <c r="E63" s="91">
        <f>IFERROR(INDEX(Firms!$C$5:$C$1004,MATCH(59,Firms!$U$5:$U$1004,0))&amp;"","")</f>
        <v/>
      </c>
      <c r="F63" s="79">
        <f>IFERROR(INDEX(Firms!$N$5:$N$1004,MATCH(59,Firms!$U$5:$U$1004,0))&amp;"","")</f>
        <v/>
      </c>
      <c r="G63" s="79">
        <f>IFERROR(INDEX(Firms!$P$5:$P$1004,MATCH(59,Firms!$U$5:$U$1004,0))&amp;"","")</f>
        <v/>
      </c>
      <c r="H63" s="91">
        <f>IFERROR(INDEX(Firms!$T$5:$T$1004,MATCH(59,Firms!$U$5:$U$1004,0))&amp;"","")</f>
        <v/>
      </c>
    </row>
    <row r="64">
      <c r="A64" s="79">
        <f>IF(B64="","",60)</f>
        <v/>
      </c>
      <c r="B64" s="91">
        <f>IFERROR(INDEX(Firms!$A$5:$A$1004,MATCH(60,Firms!$U$5:$U$1004,0))&amp;"","")</f>
        <v/>
      </c>
      <c r="C64" s="88">
        <f>IFERROR(IF(INDEX(Firms!$R$5:$R$1004,MATCH(60,Firms!$U$5:$U$1004,0))="","",INDEX(Firms!$R$5:$R$1004,MATCH(60,Firms!$U$5:$U$1004,0))),"")</f>
        <v/>
      </c>
      <c r="D64" s="91">
        <f>IFERROR(INDEX(Firms!$S$5:$S$1004,MATCH(60,Firms!$U$5:$U$1004,0))&amp;"","")</f>
        <v/>
      </c>
      <c r="E64" s="91">
        <f>IFERROR(INDEX(Firms!$C$5:$C$1004,MATCH(60,Firms!$U$5:$U$1004,0))&amp;"","")</f>
        <v/>
      </c>
      <c r="F64" s="79">
        <f>IFERROR(INDEX(Firms!$N$5:$N$1004,MATCH(60,Firms!$U$5:$U$1004,0))&amp;"","")</f>
        <v/>
      </c>
      <c r="G64" s="79">
        <f>IFERROR(INDEX(Firms!$P$5:$P$1004,MATCH(60,Firms!$U$5:$U$1004,0))&amp;"","")</f>
        <v/>
      </c>
      <c r="H64" s="91">
        <f>IFERROR(INDEX(Firms!$T$5:$T$1004,MATCH(60,Firms!$U$5:$U$1004,0))&amp;"","")</f>
        <v/>
      </c>
    </row>
    <row r="65">
      <c r="A65" s="79">
        <f>IF(B65="","",61)</f>
        <v/>
      </c>
      <c r="B65" s="91">
        <f>IFERROR(INDEX(Firms!$A$5:$A$1004,MATCH(61,Firms!$U$5:$U$1004,0))&amp;"","")</f>
        <v/>
      </c>
      <c r="C65" s="88">
        <f>IFERROR(IF(INDEX(Firms!$R$5:$R$1004,MATCH(61,Firms!$U$5:$U$1004,0))="","",INDEX(Firms!$R$5:$R$1004,MATCH(61,Firms!$U$5:$U$1004,0))),"")</f>
        <v/>
      </c>
      <c r="D65" s="91">
        <f>IFERROR(INDEX(Firms!$S$5:$S$1004,MATCH(61,Firms!$U$5:$U$1004,0))&amp;"","")</f>
        <v/>
      </c>
      <c r="E65" s="91">
        <f>IFERROR(INDEX(Firms!$C$5:$C$1004,MATCH(61,Firms!$U$5:$U$1004,0))&amp;"","")</f>
        <v/>
      </c>
      <c r="F65" s="79">
        <f>IFERROR(INDEX(Firms!$N$5:$N$1004,MATCH(61,Firms!$U$5:$U$1004,0))&amp;"","")</f>
        <v/>
      </c>
      <c r="G65" s="79">
        <f>IFERROR(INDEX(Firms!$P$5:$P$1004,MATCH(61,Firms!$U$5:$U$1004,0))&amp;"","")</f>
        <v/>
      </c>
      <c r="H65" s="91">
        <f>IFERROR(INDEX(Firms!$T$5:$T$1004,MATCH(61,Firms!$U$5:$U$1004,0))&amp;"","")</f>
        <v/>
      </c>
    </row>
    <row r="66">
      <c r="A66" s="79">
        <f>IF(B66="","",62)</f>
        <v/>
      </c>
      <c r="B66" s="91">
        <f>IFERROR(INDEX(Firms!$A$5:$A$1004,MATCH(62,Firms!$U$5:$U$1004,0))&amp;"","")</f>
        <v/>
      </c>
      <c r="C66" s="88">
        <f>IFERROR(IF(INDEX(Firms!$R$5:$R$1004,MATCH(62,Firms!$U$5:$U$1004,0))="","",INDEX(Firms!$R$5:$R$1004,MATCH(62,Firms!$U$5:$U$1004,0))),"")</f>
        <v/>
      </c>
      <c r="D66" s="91">
        <f>IFERROR(INDEX(Firms!$S$5:$S$1004,MATCH(62,Firms!$U$5:$U$1004,0))&amp;"","")</f>
        <v/>
      </c>
      <c r="E66" s="91">
        <f>IFERROR(INDEX(Firms!$C$5:$C$1004,MATCH(62,Firms!$U$5:$U$1004,0))&amp;"","")</f>
        <v/>
      </c>
      <c r="F66" s="79">
        <f>IFERROR(INDEX(Firms!$N$5:$N$1004,MATCH(62,Firms!$U$5:$U$1004,0))&amp;"","")</f>
        <v/>
      </c>
      <c r="G66" s="79">
        <f>IFERROR(INDEX(Firms!$P$5:$P$1004,MATCH(62,Firms!$U$5:$U$1004,0))&amp;"","")</f>
        <v/>
      </c>
      <c r="H66" s="91">
        <f>IFERROR(INDEX(Firms!$T$5:$T$1004,MATCH(62,Firms!$U$5:$U$1004,0))&amp;"","")</f>
        <v/>
      </c>
    </row>
    <row r="67">
      <c r="A67" s="79">
        <f>IF(B67="","",63)</f>
        <v/>
      </c>
      <c r="B67" s="91">
        <f>IFERROR(INDEX(Firms!$A$5:$A$1004,MATCH(63,Firms!$U$5:$U$1004,0))&amp;"","")</f>
        <v/>
      </c>
      <c r="C67" s="88">
        <f>IFERROR(IF(INDEX(Firms!$R$5:$R$1004,MATCH(63,Firms!$U$5:$U$1004,0))="","",INDEX(Firms!$R$5:$R$1004,MATCH(63,Firms!$U$5:$U$1004,0))),"")</f>
        <v/>
      </c>
      <c r="D67" s="91">
        <f>IFERROR(INDEX(Firms!$S$5:$S$1004,MATCH(63,Firms!$U$5:$U$1004,0))&amp;"","")</f>
        <v/>
      </c>
      <c r="E67" s="91">
        <f>IFERROR(INDEX(Firms!$C$5:$C$1004,MATCH(63,Firms!$U$5:$U$1004,0))&amp;"","")</f>
        <v/>
      </c>
      <c r="F67" s="79">
        <f>IFERROR(INDEX(Firms!$N$5:$N$1004,MATCH(63,Firms!$U$5:$U$1004,0))&amp;"","")</f>
        <v/>
      </c>
      <c r="G67" s="79">
        <f>IFERROR(INDEX(Firms!$P$5:$P$1004,MATCH(63,Firms!$U$5:$U$1004,0))&amp;"","")</f>
        <v/>
      </c>
      <c r="H67" s="91">
        <f>IFERROR(INDEX(Firms!$T$5:$T$1004,MATCH(63,Firms!$U$5:$U$1004,0))&amp;"","")</f>
        <v/>
      </c>
    </row>
    <row r="68">
      <c r="A68" s="79">
        <f>IF(B68="","",64)</f>
        <v/>
      </c>
      <c r="B68" s="91">
        <f>IFERROR(INDEX(Firms!$A$5:$A$1004,MATCH(64,Firms!$U$5:$U$1004,0))&amp;"","")</f>
        <v/>
      </c>
      <c r="C68" s="88">
        <f>IFERROR(IF(INDEX(Firms!$R$5:$R$1004,MATCH(64,Firms!$U$5:$U$1004,0))="","",INDEX(Firms!$R$5:$R$1004,MATCH(64,Firms!$U$5:$U$1004,0))),"")</f>
        <v/>
      </c>
      <c r="D68" s="91">
        <f>IFERROR(INDEX(Firms!$S$5:$S$1004,MATCH(64,Firms!$U$5:$U$1004,0))&amp;"","")</f>
        <v/>
      </c>
      <c r="E68" s="91">
        <f>IFERROR(INDEX(Firms!$C$5:$C$1004,MATCH(64,Firms!$U$5:$U$1004,0))&amp;"","")</f>
        <v/>
      </c>
      <c r="F68" s="79">
        <f>IFERROR(INDEX(Firms!$N$5:$N$1004,MATCH(64,Firms!$U$5:$U$1004,0))&amp;"","")</f>
        <v/>
      </c>
      <c r="G68" s="79">
        <f>IFERROR(INDEX(Firms!$P$5:$P$1004,MATCH(64,Firms!$U$5:$U$1004,0))&amp;"","")</f>
        <v/>
      </c>
      <c r="H68" s="91">
        <f>IFERROR(INDEX(Firms!$T$5:$T$1004,MATCH(64,Firms!$U$5:$U$1004,0))&amp;"","")</f>
        <v/>
      </c>
    </row>
    <row r="69">
      <c r="A69" s="79">
        <f>IF(B69="","",65)</f>
        <v/>
      </c>
      <c r="B69" s="91">
        <f>IFERROR(INDEX(Firms!$A$5:$A$1004,MATCH(65,Firms!$U$5:$U$1004,0))&amp;"","")</f>
        <v/>
      </c>
      <c r="C69" s="88">
        <f>IFERROR(IF(INDEX(Firms!$R$5:$R$1004,MATCH(65,Firms!$U$5:$U$1004,0))="","",INDEX(Firms!$R$5:$R$1004,MATCH(65,Firms!$U$5:$U$1004,0))),"")</f>
        <v/>
      </c>
      <c r="D69" s="91">
        <f>IFERROR(INDEX(Firms!$S$5:$S$1004,MATCH(65,Firms!$U$5:$U$1004,0))&amp;"","")</f>
        <v/>
      </c>
      <c r="E69" s="91">
        <f>IFERROR(INDEX(Firms!$C$5:$C$1004,MATCH(65,Firms!$U$5:$U$1004,0))&amp;"","")</f>
        <v/>
      </c>
      <c r="F69" s="79">
        <f>IFERROR(INDEX(Firms!$N$5:$N$1004,MATCH(65,Firms!$U$5:$U$1004,0))&amp;"","")</f>
        <v/>
      </c>
      <c r="G69" s="79">
        <f>IFERROR(INDEX(Firms!$P$5:$P$1004,MATCH(65,Firms!$U$5:$U$1004,0))&amp;"","")</f>
        <v/>
      </c>
      <c r="H69" s="91">
        <f>IFERROR(INDEX(Firms!$T$5:$T$1004,MATCH(65,Firms!$U$5:$U$1004,0))&amp;"","")</f>
        <v/>
      </c>
    </row>
    <row r="70">
      <c r="A70" s="79">
        <f>IF(B70="","",66)</f>
        <v/>
      </c>
      <c r="B70" s="91">
        <f>IFERROR(INDEX(Firms!$A$5:$A$1004,MATCH(66,Firms!$U$5:$U$1004,0))&amp;"","")</f>
        <v/>
      </c>
      <c r="C70" s="88">
        <f>IFERROR(IF(INDEX(Firms!$R$5:$R$1004,MATCH(66,Firms!$U$5:$U$1004,0))="","",INDEX(Firms!$R$5:$R$1004,MATCH(66,Firms!$U$5:$U$1004,0))),"")</f>
        <v/>
      </c>
      <c r="D70" s="91">
        <f>IFERROR(INDEX(Firms!$S$5:$S$1004,MATCH(66,Firms!$U$5:$U$1004,0))&amp;"","")</f>
        <v/>
      </c>
      <c r="E70" s="91">
        <f>IFERROR(INDEX(Firms!$C$5:$C$1004,MATCH(66,Firms!$U$5:$U$1004,0))&amp;"","")</f>
        <v/>
      </c>
      <c r="F70" s="79">
        <f>IFERROR(INDEX(Firms!$N$5:$N$1004,MATCH(66,Firms!$U$5:$U$1004,0))&amp;"","")</f>
        <v/>
      </c>
      <c r="G70" s="79">
        <f>IFERROR(INDEX(Firms!$P$5:$P$1004,MATCH(66,Firms!$U$5:$U$1004,0))&amp;"","")</f>
        <v/>
      </c>
      <c r="H70" s="91">
        <f>IFERROR(INDEX(Firms!$T$5:$T$1004,MATCH(66,Firms!$U$5:$U$1004,0))&amp;"","")</f>
        <v/>
      </c>
    </row>
    <row r="71">
      <c r="A71" s="79">
        <f>IF(B71="","",67)</f>
        <v/>
      </c>
      <c r="B71" s="91">
        <f>IFERROR(INDEX(Firms!$A$5:$A$1004,MATCH(67,Firms!$U$5:$U$1004,0))&amp;"","")</f>
        <v/>
      </c>
      <c r="C71" s="88">
        <f>IFERROR(IF(INDEX(Firms!$R$5:$R$1004,MATCH(67,Firms!$U$5:$U$1004,0))="","",INDEX(Firms!$R$5:$R$1004,MATCH(67,Firms!$U$5:$U$1004,0))),"")</f>
        <v/>
      </c>
      <c r="D71" s="91">
        <f>IFERROR(INDEX(Firms!$S$5:$S$1004,MATCH(67,Firms!$U$5:$U$1004,0))&amp;"","")</f>
        <v/>
      </c>
      <c r="E71" s="91">
        <f>IFERROR(INDEX(Firms!$C$5:$C$1004,MATCH(67,Firms!$U$5:$U$1004,0))&amp;"","")</f>
        <v/>
      </c>
      <c r="F71" s="79">
        <f>IFERROR(INDEX(Firms!$N$5:$N$1004,MATCH(67,Firms!$U$5:$U$1004,0))&amp;"","")</f>
        <v/>
      </c>
      <c r="G71" s="79">
        <f>IFERROR(INDEX(Firms!$P$5:$P$1004,MATCH(67,Firms!$U$5:$U$1004,0))&amp;"","")</f>
        <v/>
      </c>
      <c r="H71" s="91">
        <f>IFERROR(INDEX(Firms!$T$5:$T$1004,MATCH(67,Firms!$U$5:$U$1004,0))&amp;"","")</f>
        <v/>
      </c>
    </row>
    <row r="72">
      <c r="A72" s="79">
        <f>IF(B72="","",68)</f>
        <v/>
      </c>
      <c r="B72" s="91">
        <f>IFERROR(INDEX(Firms!$A$5:$A$1004,MATCH(68,Firms!$U$5:$U$1004,0))&amp;"","")</f>
        <v/>
      </c>
      <c r="C72" s="88">
        <f>IFERROR(IF(INDEX(Firms!$R$5:$R$1004,MATCH(68,Firms!$U$5:$U$1004,0))="","",INDEX(Firms!$R$5:$R$1004,MATCH(68,Firms!$U$5:$U$1004,0))),"")</f>
        <v/>
      </c>
      <c r="D72" s="91">
        <f>IFERROR(INDEX(Firms!$S$5:$S$1004,MATCH(68,Firms!$U$5:$U$1004,0))&amp;"","")</f>
        <v/>
      </c>
      <c r="E72" s="91">
        <f>IFERROR(INDEX(Firms!$C$5:$C$1004,MATCH(68,Firms!$U$5:$U$1004,0))&amp;"","")</f>
        <v/>
      </c>
      <c r="F72" s="79">
        <f>IFERROR(INDEX(Firms!$N$5:$N$1004,MATCH(68,Firms!$U$5:$U$1004,0))&amp;"","")</f>
        <v/>
      </c>
      <c r="G72" s="79">
        <f>IFERROR(INDEX(Firms!$P$5:$P$1004,MATCH(68,Firms!$U$5:$U$1004,0))&amp;"","")</f>
        <v/>
      </c>
      <c r="H72" s="91">
        <f>IFERROR(INDEX(Firms!$T$5:$T$1004,MATCH(68,Firms!$U$5:$U$1004,0))&amp;"","")</f>
        <v/>
      </c>
    </row>
    <row r="73">
      <c r="A73" s="79">
        <f>IF(B73="","",69)</f>
        <v/>
      </c>
      <c r="B73" s="91">
        <f>IFERROR(INDEX(Firms!$A$5:$A$1004,MATCH(69,Firms!$U$5:$U$1004,0))&amp;"","")</f>
        <v/>
      </c>
      <c r="C73" s="88">
        <f>IFERROR(IF(INDEX(Firms!$R$5:$R$1004,MATCH(69,Firms!$U$5:$U$1004,0))="","",INDEX(Firms!$R$5:$R$1004,MATCH(69,Firms!$U$5:$U$1004,0))),"")</f>
        <v/>
      </c>
      <c r="D73" s="91">
        <f>IFERROR(INDEX(Firms!$S$5:$S$1004,MATCH(69,Firms!$U$5:$U$1004,0))&amp;"","")</f>
        <v/>
      </c>
      <c r="E73" s="91">
        <f>IFERROR(INDEX(Firms!$C$5:$C$1004,MATCH(69,Firms!$U$5:$U$1004,0))&amp;"","")</f>
        <v/>
      </c>
      <c r="F73" s="79">
        <f>IFERROR(INDEX(Firms!$N$5:$N$1004,MATCH(69,Firms!$U$5:$U$1004,0))&amp;"","")</f>
        <v/>
      </c>
      <c r="G73" s="79">
        <f>IFERROR(INDEX(Firms!$P$5:$P$1004,MATCH(69,Firms!$U$5:$U$1004,0))&amp;"","")</f>
        <v/>
      </c>
      <c r="H73" s="91">
        <f>IFERROR(INDEX(Firms!$T$5:$T$1004,MATCH(69,Firms!$U$5:$U$1004,0))&amp;"","")</f>
        <v/>
      </c>
    </row>
    <row r="74">
      <c r="A74" s="79">
        <f>IF(B74="","",70)</f>
        <v/>
      </c>
      <c r="B74" s="91">
        <f>IFERROR(INDEX(Firms!$A$5:$A$1004,MATCH(70,Firms!$U$5:$U$1004,0))&amp;"","")</f>
        <v/>
      </c>
      <c r="C74" s="88">
        <f>IFERROR(IF(INDEX(Firms!$R$5:$R$1004,MATCH(70,Firms!$U$5:$U$1004,0))="","",INDEX(Firms!$R$5:$R$1004,MATCH(70,Firms!$U$5:$U$1004,0))),"")</f>
        <v/>
      </c>
      <c r="D74" s="91">
        <f>IFERROR(INDEX(Firms!$S$5:$S$1004,MATCH(70,Firms!$U$5:$U$1004,0))&amp;"","")</f>
        <v/>
      </c>
      <c r="E74" s="91">
        <f>IFERROR(INDEX(Firms!$C$5:$C$1004,MATCH(70,Firms!$U$5:$U$1004,0))&amp;"","")</f>
        <v/>
      </c>
      <c r="F74" s="79">
        <f>IFERROR(INDEX(Firms!$N$5:$N$1004,MATCH(70,Firms!$U$5:$U$1004,0))&amp;"","")</f>
        <v/>
      </c>
      <c r="G74" s="79">
        <f>IFERROR(INDEX(Firms!$P$5:$P$1004,MATCH(70,Firms!$U$5:$U$1004,0))&amp;"","")</f>
        <v/>
      </c>
      <c r="H74" s="91">
        <f>IFERROR(INDEX(Firms!$T$5:$T$1004,MATCH(70,Firms!$U$5:$U$1004,0))&amp;"","")</f>
        <v/>
      </c>
    </row>
    <row r="75">
      <c r="A75" s="79">
        <f>IF(B75="","",71)</f>
        <v/>
      </c>
      <c r="B75" s="91">
        <f>IFERROR(INDEX(Firms!$A$5:$A$1004,MATCH(71,Firms!$U$5:$U$1004,0))&amp;"","")</f>
        <v/>
      </c>
      <c r="C75" s="88">
        <f>IFERROR(IF(INDEX(Firms!$R$5:$R$1004,MATCH(71,Firms!$U$5:$U$1004,0))="","",INDEX(Firms!$R$5:$R$1004,MATCH(71,Firms!$U$5:$U$1004,0))),"")</f>
        <v/>
      </c>
      <c r="D75" s="91">
        <f>IFERROR(INDEX(Firms!$S$5:$S$1004,MATCH(71,Firms!$U$5:$U$1004,0))&amp;"","")</f>
        <v/>
      </c>
      <c r="E75" s="91">
        <f>IFERROR(INDEX(Firms!$C$5:$C$1004,MATCH(71,Firms!$U$5:$U$1004,0))&amp;"","")</f>
        <v/>
      </c>
      <c r="F75" s="79">
        <f>IFERROR(INDEX(Firms!$N$5:$N$1004,MATCH(71,Firms!$U$5:$U$1004,0))&amp;"","")</f>
        <v/>
      </c>
      <c r="G75" s="79">
        <f>IFERROR(INDEX(Firms!$P$5:$P$1004,MATCH(71,Firms!$U$5:$U$1004,0))&amp;"","")</f>
        <v/>
      </c>
      <c r="H75" s="91">
        <f>IFERROR(INDEX(Firms!$T$5:$T$1004,MATCH(71,Firms!$U$5:$U$1004,0))&amp;"","")</f>
        <v/>
      </c>
    </row>
    <row r="76">
      <c r="A76" s="79">
        <f>IF(B76="","",72)</f>
        <v/>
      </c>
      <c r="B76" s="91">
        <f>IFERROR(INDEX(Firms!$A$5:$A$1004,MATCH(72,Firms!$U$5:$U$1004,0))&amp;"","")</f>
        <v/>
      </c>
      <c r="C76" s="88">
        <f>IFERROR(IF(INDEX(Firms!$R$5:$R$1004,MATCH(72,Firms!$U$5:$U$1004,0))="","",INDEX(Firms!$R$5:$R$1004,MATCH(72,Firms!$U$5:$U$1004,0))),"")</f>
        <v/>
      </c>
      <c r="D76" s="91">
        <f>IFERROR(INDEX(Firms!$S$5:$S$1004,MATCH(72,Firms!$U$5:$U$1004,0))&amp;"","")</f>
        <v/>
      </c>
      <c r="E76" s="91">
        <f>IFERROR(INDEX(Firms!$C$5:$C$1004,MATCH(72,Firms!$U$5:$U$1004,0))&amp;"","")</f>
        <v/>
      </c>
      <c r="F76" s="79">
        <f>IFERROR(INDEX(Firms!$N$5:$N$1004,MATCH(72,Firms!$U$5:$U$1004,0))&amp;"","")</f>
        <v/>
      </c>
      <c r="G76" s="79">
        <f>IFERROR(INDEX(Firms!$P$5:$P$1004,MATCH(72,Firms!$U$5:$U$1004,0))&amp;"","")</f>
        <v/>
      </c>
      <c r="H76" s="91">
        <f>IFERROR(INDEX(Firms!$T$5:$T$1004,MATCH(72,Firms!$U$5:$U$1004,0))&amp;"","")</f>
        <v/>
      </c>
    </row>
    <row r="77">
      <c r="A77" s="79">
        <f>IF(B77="","",73)</f>
        <v/>
      </c>
      <c r="B77" s="91">
        <f>IFERROR(INDEX(Firms!$A$5:$A$1004,MATCH(73,Firms!$U$5:$U$1004,0))&amp;"","")</f>
        <v/>
      </c>
      <c r="C77" s="88">
        <f>IFERROR(IF(INDEX(Firms!$R$5:$R$1004,MATCH(73,Firms!$U$5:$U$1004,0))="","",INDEX(Firms!$R$5:$R$1004,MATCH(73,Firms!$U$5:$U$1004,0))),"")</f>
        <v/>
      </c>
      <c r="D77" s="91">
        <f>IFERROR(INDEX(Firms!$S$5:$S$1004,MATCH(73,Firms!$U$5:$U$1004,0))&amp;"","")</f>
        <v/>
      </c>
      <c r="E77" s="91">
        <f>IFERROR(INDEX(Firms!$C$5:$C$1004,MATCH(73,Firms!$U$5:$U$1004,0))&amp;"","")</f>
        <v/>
      </c>
      <c r="F77" s="79">
        <f>IFERROR(INDEX(Firms!$N$5:$N$1004,MATCH(73,Firms!$U$5:$U$1004,0))&amp;"","")</f>
        <v/>
      </c>
      <c r="G77" s="79">
        <f>IFERROR(INDEX(Firms!$P$5:$P$1004,MATCH(73,Firms!$U$5:$U$1004,0))&amp;"","")</f>
        <v/>
      </c>
      <c r="H77" s="91">
        <f>IFERROR(INDEX(Firms!$T$5:$T$1004,MATCH(73,Firms!$U$5:$U$1004,0))&amp;"","")</f>
        <v/>
      </c>
    </row>
    <row r="78">
      <c r="A78" s="79">
        <f>IF(B78="","",74)</f>
        <v/>
      </c>
      <c r="B78" s="91">
        <f>IFERROR(INDEX(Firms!$A$5:$A$1004,MATCH(74,Firms!$U$5:$U$1004,0))&amp;"","")</f>
        <v/>
      </c>
      <c r="C78" s="88">
        <f>IFERROR(IF(INDEX(Firms!$R$5:$R$1004,MATCH(74,Firms!$U$5:$U$1004,0))="","",INDEX(Firms!$R$5:$R$1004,MATCH(74,Firms!$U$5:$U$1004,0))),"")</f>
        <v/>
      </c>
      <c r="D78" s="91">
        <f>IFERROR(INDEX(Firms!$S$5:$S$1004,MATCH(74,Firms!$U$5:$U$1004,0))&amp;"","")</f>
        <v/>
      </c>
      <c r="E78" s="91">
        <f>IFERROR(INDEX(Firms!$C$5:$C$1004,MATCH(74,Firms!$U$5:$U$1004,0))&amp;"","")</f>
        <v/>
      </c>
      <c r="F78" s="79">
        <f>IFERROR(INDEX(Firms!$N$5:$N$1004,MATCH(74,Firms!$U$5:$U$1004,0))&amp;"","")</f>
        <v/>
      </c>
      <c r="G78" s="79">
        <f>IFERROR(INDEX(Firms!$P$5:$P$1004,MATCH(74,Firms!$U$5:$U$1004,0))&amp;"","")</f>
        <v/>
      </c>
      <c r="H78" s="91">
        <f>IFERROR(INDEX(Firms!$T$5:$T$1004,MATCH(74,Firms!$U$5:$U$1004,0))&amp;"","")</f>
        <v/>
      </c>
    </row>
    <row r="79">
      <c r="A79" s="79">
        <f>IF(B79="","",75)</f>
        <v/>
      </c>
      <c r="B79" s="91">
        <f>IFERROR(INDEX(Firms!$A$5:$A$1004,MATCH(75,Firms!$U$5:$U$1004,0))&amp;"","")</f>
        <v/>
      </c>
      <c r="C79" s="88">
        <f>IFERROR(IF(INDEX(Firms!$R$5:$R$1004,MATCH(75,Firms!$U$5:$U$1004,0))="","",INDEX(Firms!$R$5:$R$1004,MATCH(75,Firms!$U$5:$U$1004,0))),"")</f>
        <v/>
      </c>
      <c r="D79" s="91">
        <f>IFERROR(INDEX(Firms!$S$5:$S$1004,MATCH(75,Firms!$U$5:$U$1004,0))&amp;"","")</f>
        <v/>
      </c>
      <c r="E79" s="91">
        <f>IFERROR(INDEX(Firms!$C$5:$C$1004,MATCH(75,Firms!$U$5:$U$1004,0))&amp;"","")</f>
        <v/>
      </c>
      <c r="F79" s="79">
        <f>IFERROR(INDEX(Firms!$N$5:$N$1004,MATCH(75,Firms!$U$5:$U$1004,0))&amp;"","")</f>
        <v/>
      </c>
      <c r="G79" s="79">
        <f>IFERROR(INDEX(Firms!$P$5:$P$1004,MATCH(75,Firms!$U$5:$U$1004,0))&amp;"","")</f>
        <v/>
      </c>
      <c r="H79" s="91">
        <f>IFERROR(INDEX(Firms!$T$5:$T$1004,MATCH(75,Firms!$U$5:$U$1004,0))&amp;"","")</f>
        <v/>
      </c>
    </row>
    <row r="80">
      <c r="A80" s="79">
        <f>IF(B80="","",76)</f>
        <v/>
      </c>
      <c r="B80" s="91">
        <f>IFERROR(INDEX(Firms!$A$5:$A$1004,MATCH(76,Firms!$U$5:$U$1004,0))&amp;"","")</f>
        <v/>
      </c>
      <c r="C80" s="88">
        <f>IFERROR(IF(INDEX(Firms!$R$5:$R$1004,MATCH(76,Firms!$U$5:$U$1004,0))="","",INDEX(Firms!$R$5:$R$1004,MATCH(76,Firms!$U$5:$U$1004,0))),"")</f>
        <v/>
      </c>
      <c r="D80" s="91">
        <f>IFERROR(INDEX(Firms!$S$5:$S$1004,MATCH(76,Firms!$U$5:$U$1004,0))&amp;"","")</f>
        <v/>
      </c>
      <c r="E80" s="91">
        <f>IFERROR(INDEX(Firms!$C$5:$C$1004,MATCH(76,Firms!$U$5:$U$1004,0))&amp;"","")</f>
        <v/>
      </c>
      <c r="F80" s="79">
        <f>IFERROR(INDEX(Firms!$N$5:$N$1004,MATCH(76,Firms!$U$5:$U$1004,0))&amp;"","")</f>
        <v/>
      </c>
      <c r="G80" s="79">
        <f>IFERROR(INDEX(Firms!$P$5:$P$1004,MATCH(76,Firms!$U$5:$U$1004,0))&amp;"","")</f>
        <v/>
      </c>
      <c r="H80" s="91">
        <f>IFERROR(INDEX(Firms!$T$5:$T$1004,MATCH(76,Firms!$U$5:$U$1004,0))&amp;"","")</f>
        <v/>
      </c>
    </row>
    <row r="81">
      <c r="A81" s="79">
        <f>IF(B81="","",77)</f>
        <v/>
      </c>
      <c r="B81" s="91">
        <f>IFERROR(INDEX(Firms!$A$5:$A$1004,MATCH(77,Firms!$U$5:$U$1004,0))&amp;"","")</f>
        <v/>
      </c>
      <c r="C81" s="88">
        <f>IFERROR(IF(INDEX(Firms!$R$5:$R$1004,MATCH(77,Firms!$U$5:$U$1004,0))="","",INDEX(Firms!$R$5:$R$1004,MATCH(77,Firms!$U$5:$U$1004,0))),"")</f>
        <v/>
      </c>
      <c r="D81" s="91">
        <f>IFERROR(INDEX(Firms!$S$5:$S$1004,MATCH(77,Firms!$U$5:$U$1004,0))&amp;"","")</f>
        <v/>
      </c>
      <c r="E81" s="91">
        <f>IFERROR(INDEX(Firms!$C$5:$C$1004,MATCH(77,Firms!$U$5:$U$1004,0))&amp;"","")</f>
        <v/>
      </c>
      <c r="F81" s="79">
        <f>IFERROR(INDEX(Firms!$N$5:$N$1004,MATCH(77,Firms!$U$5:$U$1004,0))&amp;"","")</f>
        <v/>
      </c>
      <c r="G81" s="79">
        <f>IFERROR(INDEX(Firms!$P$5:$P$1004,MATCH(77,Firms!$U$5:$U$1004,0))&amp;"","")</f>
        <v/>
      </c>
      <c r="H81" s="91">
        <f>IFERROR(INDEX(Firms!$T$5:$T$1004,MATCH(77,Firms!$U$5:$U$1004,0))&amp;"","")</f>
        <v/>
      </c>
    </row>
    <row r="82">
      <c r="A82" s="79">
        <f>IF(B82="","",78)</f>
        <v/>
      </c>
      <c r="B82" s="91">
        <f>IFERROR(INDEX(Firms!$A$5:$A$1004,MATCH(78,Firms!$U$5:$U$1004,0))&amp;"","")</f>
        <v/>
      </c>
      <c r="C82" s="88">
        <f>IFERROR(IF(INDEX(Firms!$R$5:$R$1004,MATCH(78,Firms!$U$5:$U$1004,0))="","",INDEX(Firms!$R$5:$R$1004,MATCH(78,Firms!$U$5:$U$1004,0))),"")</f>
        <v/>
      </c>
      <c r="D82" s="91">
        <f>IFERROR(INDEX(Firms!$S$5:$S$1004,MATCH(78,Firms!$U$5:$U$1004,0))&amp;"","")</f>
        <v/>
      </c>
      <c r="E82" s="91">
        <f>IFERROR(INDEX(Firms!$C$5:$C$1004,MATCH(78,Firms!$U$5:$U$1004,0))&amp;"","")</f>
        <v/>
      </c>
      <c r="F82" s="79">
        <f>IFERROR(INDEX(Firms!$N$5:$N$1004,MATCH(78,Firms!$U$5:$U$1004,0))&amp;"","")</f>
        <v/>
      </c>
      <c r="G82" s="79">
        <f>IFERROR(INDEX(Firms!$P$5:$P$1004,MATCH(78,Firms!$U$5:$U$1004,0))&amp;"","")</f>
        <v/>
      </c>
      <c r="H82" s="91">
        <f>IFERROR(INDEX(Firms!$T$5:$T$1004,MATCH(78,Firms!$U$5:$U$1004,0))&amp;"","")</f>
        <v/>
      </c>
    </row>
    <row r="83">
      <c r="A83" s="79">
        <f>IF(B83="","",79)</f>
        <v/>
      </c>
      <c r="B83" s="91">
        <f>IFERROR(INDEX(Firms!$A$5:$A$1004,MATCH(79,Firms!$U$5:$U$1004,0))&amp;"","")</f>
        <v/>
      </c>
      <c r="C83" s="88">
        <f>IFERROR(IF(INDEX(Firms!$R$5:$R$1004,MATCH(79,Firms!$U$5:$U$1004,0))="","",INDEX(Firms!$R$5:$R$1004,MATCH(79,Firms!$U$5:$U$1004,0))),"")</f>
        <v/>
      </c>
      <c r="D83" s="91">
        <f>IFERROR(INDEX(Firms!$S$5:$S$1004,MATCH(79,Firms!$U$5:$U$1004,0))&amp;"","")</f>
        <v/>
      </c>
      <c r="E83" s="91">
        <f>IFERROR(INDEX(Firms!$C$5:$C$1004,MATCH(79,Firms!$U$5:$U$1004,0))&amp;"","")</f>
        <v/>
      </c>
      <c r="F83" s="79">
        <f>IFERROR(INDEX(Firms!$N$5:$N$1004,MATCH(79,Firms!$U$5:$U$1004,0))&amp;"","")</f>
        <v/>
      </c>
      <c r="G83" s="79">
        <f>IFERROR(INDEX(Firms!$P$5:$P$1004,MATCH(79,Firms!$U$5:$U$1004,0))&amp;"","")</f>
        <v/>
      </c>
      <c r="H83" s="91">
        <f>IFERROR(INDEX(Firms!$T$5:$T$1004,MATCH(79,Firms!$U$5:$U$1004,0))&amp;"","")</f>
        <v/>
      </c>
    </row>
    <row r="84">
      <c r="A84" s="79">
        <f>IF(B84="","",80)</f>
        <v/>
      </c>
      <c r="B84" s="91">
        <f>IFERROR(INDEX(Firms!$A$5:$A$1004,MATCH(80,Firms!$U$5:$U$1004,0))&amp;"","")</f>
        <v/>
      </c>
      <c r="C84" s="88">
        <f>IFERROR(IF(INDEX(Firms!$R$5:$R$1004,MATCH(80,Firms!$U$5:$U$1004,0))="","",INDEX(Firms!$R$5:$R$1004,MATCH(80,Firms!$U$5:$U$1004,0))),"")</f>
        <v/>
      </c>
      <c r="D84" s="91">
        <f>IFERROR(INDEX(Firms!$S$5:$S$1004,MATCH(80,Firms!$U$5:$U$1004,0))&amp;"","")</f>
        <v/>
      </c>
      <c r="E84" s="91">
        <f>IFERROR(INDEX(Firms!$C$5:$C$1004,MATCH(80,Firms!$U$5:$U$1004,0))&amp;"","")</f>
        <v/>
      </c>
      <c r="F84" s="79">
        <f>IFERROR(INDEX(Firms!$N$5:$N$1004,MATCH(80,Firms!$U$5:$U$1004,0))&amp;"","")</f>
        <v/>
      </c>
      <c r="G84" s="79">
        <f>IFERROR(INDEX(Firms!$P$5:$P$1004,MATCH(80,Firms!$U$5:$U$1004,0))&amp;"","")</f>
        <v/>
      </c>
      <c r="H84" s="91">
        <f>IFERROR(INDEX(Firms!$T$5:$T$1004,MATCH(80,Firms!$U$5:$U$1004,0))&amp;"","")</f>
        <v/>
      </c>
    </row>
    <row r="85">
      <c r="A85" s="79">
        <f>IF(B85="","",81)</f>
        <v/>
      </c>
      <c r="B85" s="91">
        <f>IFERROR(INDEX(Firms!$A$5:$A$1004,MATCH(81,Firms!$U$5:$U$1004,0))&amp;"","")</f>
        <v/>
      </c>
      <c r="C85" s="88">
        <f>IFERROR(IF(INDEX(Firms!$R$5:$R$1004,MATCH(81,Firms!$U$5:$U$1004,0))="","",INDEX(Firms!$R$5:$R$1004,MATCH(81,Firms!$U$5:$U$1004,0))),"")</f>
        <v/>
      </c>
      <c r="D85" s="91">
        <f>IFERROR(INDEX(Firms!$S$5:$S$1004,MATCH(81,Firms!$U$5:$U$1004,0))&amp;"","")</f>
        <v/>
      </c>
      <c r="E85" s="91">
        <f>IFERROR(INDEX(Firms!$C$5:$C$1004,MATCH(81,Firms!$U$5:$U$1004,0))&amp;"","")</f>
        <v/>
      </c>
      <c r="F85" s="79">
        <f>IFERROR(INDEX(Firms!$N$5:$N$1004,MATCH(81,Firms!$U$5:$U$1004,0))&amp;"","")</f>
        <v/>
      </c>
      <c r="G85" s="79">
        <f>IFERROR(INDEX(Firms!$P$5:$P$1004,MATCH(81,Firms!$U$5:$U$1004,0))&amp;"","")</f>
        <v/>
      </c>
      <c r="H85" s="91">
        <f>IFERROR(INDEX(Firms!$T$5:$T$1004,MATCH(81,Firms!$U$5:$U$1004,0))&amp;"","")</f>
        <v/>
      </c>
    </row>
    <row r="86">
      <c r="A86" s="79">
        <f>IF(B86="","",82)</f>
        <v/>
      </c>
      <c r="B86" s="91">
        <f>IFERROR(INDEX(Firms!$A$5:$A$1004,MATCH(82,Firms!$U$5:$U$1004,0))&amp;"","")</f>
        <v/>
      </c>
      <c r="C86" s="88">
        <f>IFERROR(IF(INDEX(Firms!$R$5:$R$1004,MATCH(82,Firms!$U$5:$U$1004,0))="","",INDEX(Firms!$R$5:$R$1004,MATCH(82,Firms!$U$5:$U$1004,0))),"")</f>
        <v/>
      </c>
      <c r="D86" s="91">
        <f>IFERROR(INDEX(Firms!$S$5:$S$1004,MATCH(82,Firms!$U$5:$U$1004,0))&amp;"","")</f>
        <v/>
      </c>
      <c r="E86" s="91">
        <f>IFERROR(INDEX(Firms!$C$5:$C$1004,MATCH(82,Firms!$U$5:$U$1004,0))&amp;"","")</f>
        <v/>
      </c>
      <c r="F86" s="79">
        <f>IFERROR(INDEX(Firms!$N$5:$N$1004,MATCH(82,Firms!$U$5:$U$1004,0))&amp;"","")</f>
        <v/>
      </c>
      <c r="G86" s="79">
        <f>IFERROR(INDEX(Firms!$P$5:$P$1004,MATCH(82,Firms!$U$5:$U$1004,0))&amp;"","")</f>
        <v/>
      </c>
      <c r="H86" s="91">
        <f>IFERROR(INDEX(Firms!$T$5:$T$1004,MATCH(82,Firms!$U$5:$U$1004,0))&amp;"","")</f>
        <v/>
      </c>
    </row>
    <row r="87">
      <c r="A87" s="79">
        <f>IF(B87="","",83)</f>
        <v/>
      </c>
      <c r="B87" s="91">
        <f>IFERROR(INDEX(Firms!$A$5:$A$1004,MATCH(83,Firms!$U$5:$U$1004,0))&amp;"","")</f>
        <v/>
      </c>
      <c r="C87" s="88">
        <f>IFERROR(IF(INDEX(Firms!$R$5:$R$1004,MATCH(83,Firms!$U$5:$U$1004,0))="","",INDEX(Firms!$R$5:$R$1004,MATCH(83,Firms!$U$5:$U$1004,0))),"")</f>
        <v/>
      </c>
      <c r="D87" s="91">
        <f>IFERROR(INDEX(Firms!$S$5:$S$1004,MATCH(83,Firms!$U$5:$U$1004,0))&amp;"","")</f>
        <v/>
      </c>
      <c r="E87" s="91">
        <f>IFERROR(INDEX(Firms!$C$5:$C$1004,MATCH(83,Firms!$U$5:$U$1004,0))&amp;"","")</f>
        <v/>
      </c>
      <c r="F87" s="79">
        <f>IFERROR(INDEX(Firms!$N$5:$N$1004,MATCH(83,Firms!$U$5:$U$1004,0))&amp;"","")</f>
        <v/>
      </c>
      <c r="G87" s="79">
        <f>IFERROR(INDEX(Firms!$P$5:$P$1004,MATCH(83,Firms!$U$5:$U$1004,0))&amp;"","")</f>
        <v/>
      </c>
      <c r="H87" s="91">
        <f>IFERROR(INDEX(Firms!$T$5:$T$1004,MATCH(83,Firms!$U$5:$U$1004,0))&amp;"","")</f>
        <v/>
      </c>
    </row>
    <row r="88">
      <c r="A88" s="79">
        <f>IF(B88="","",84)</f>
        <v/>
      </c>
      <c r="B88" s="91">
        <f>IFERROR(INDEX(Firms!$A$5:$A$1004,MATCH(84,Firms!$U$5:$U$1004,0))&amp;"","")</f>
        <v/>
      </c>
      <c r="C88" s="88">
        <f>IFERROR(IF(INDEX(Firms!$R$5:$R$1004,MATCH(84,Firms!$U$5:$U$1004,0))="","",INDEX(Firms!$R$5:$R$1004,MATCH(84,Firms!$U$5:$U$1004,0))),"")</f>
        <v/>
      </c>
      <c r="D88" s="91">
        <f>IFERROR(INDEX(Firms!$S$5:$S$1004,MATCH(84,Firms!$U$5:$U$1004,0))&amp;"","")</f>
        <v/>
      </c>
      <c r="E88" s="91">
        <f>IFERROR(INDEX(Firms!$C$5:$C$1004,MATCH(84,Firms!$U$5:$U$1004,0))&amp;"","")</f>
        <v/>
      </c>
      <c r="F88" s="79">
        <f>IFERROR(INDEX(Firms!$N$5:$N$1004,MATCH(84,Firms!$U$5:$U$1004,0))&amp;"","")</f>
        <v/>
      </c>
      <c r="G88" s="79">
        <f>IFERROR(INDEX(Firms!$P$5:$P$1004,MATCH(84,Firms!$U$5:$U$1004,0))&amp;"","")</f>
        <v/>
      </c>
      <c r="H88" s="91">
        <f>IFERROR(INDEX(Firms!$T$5:$T$1004,MATCH(84,Firms!$U$5:$U$1004,0))&amp;"","")</f>
        <v/>
      </c>
    </row>
    <row r="89">
      <c r="A89" s="79">
        <f>IF(B89="","",85)</f>
        <v/>
      </c>
      <c r="B89" s="91">
        <f>IFERROR(INDEX(Firms!$A$5:$A$1004,MATCH(85,Firms!$U$5:$U$1004,0))&amp;"","")</f>
        <v/>
      </c>
      <c r="C89" s="88">
        <f>IFERROR(IF(INDEX(Firms!$R$5:$R$1004,MATCH(85,Firms!$U$5:$U$1004,0))="","",INDEX(Firms!$R$5:$R$1004,MATCH(85,Firms!$U$5:$U$1004,0))),"")</f>
        <v/>
      </c>
      <c r="D89" s="91">
        <f>IFERROR(INDEX(Firms!$S$5:$S$1004,MATCH(85,Firms!$U$5:$U$1004,0))&amp;"","")</f>
        <v/>
      </c>
      <c r="E89" s="91">
        <f>IFERROR(INDEX(Firms!$C$5:$C$1004,MATCH(85,Firms!$U$5:$U$1004,0))&amp;"","")</f>
        <v/>
      </c>
      <c r="F89" s="79">
        <f>IFERROR(INDEX(Firms!$N$5:$N$1004,MATCH(85,Firms!$U$5:$U$1004,0))&amp;"","")</f>
        <v/>
      </c>
      <c r="G89" s="79">
        <f>IFERROR(INDEX(Firms!$P$5:$P$1004,MATCH(85,Firms!$U$5:$U$1004,0))&amp;"","")</f>
        <v/>
      </c>
      <c r="H89" s="91">
        <f>IFERROR(INDEX(Firms!$T$5:$T$1004,MATCH(85,Firms!$U$5:$U$1004,0))&amp;"","")</f>
        <v/>
      </c>
    </row>
    <row r="90">
      <c r="A90" s="79">
        <f>IF(B90="","",86)</f>
        <v/>
      </c>
      <c r="B90" s="91">
        <f>IFERROR(INDEX(Firms!$A$5:$A$1004,MATCH(86,Firms!$U$5:$U$1004,0))&amp;"","")</f>
        <v/>
      </c>
      <c r="C90" s="88">
        <f>IFERROR(IF(INDEX(Firms!$R$5:$R$1004,MATCH(86,Firms!$U$5:$U$1004,0))="","",INDEX(Firms!$R$5:$R$1004,MATCH(86,Firms!$U$5:$U$1004,0))),"")</f>
        <v/>
      </c>
      <c r="D90" s="91">
        <f>IFERROR(INDEX(Firms!$S$5:$S$1004,MATCH(86,Firms!$U$5:$U$1004,0))&amp;"","")</f>
        <v/>
      </c>
      <c r="E90" s="91">
        <f>IFERROR(INDEX(Firms!$C$5:$C$1004,MATCH(86,Firms!$U$5:$U$1004,0))&amp;"","")</f>
        <v/>
      </c>
      <c r="F90" s="79">
        <f>IFERROR(INDEX(Firms!$N$5:$N$1004,MATCH(86,Firms!$U$5:$U$1004,0))&amp;"","")</f>
        <v/>
      </c>
      <c r="G90" s="79">
        <f>IFERROR(INDEX(Firms!$P$5:$P$1004,MATCH(86,Firms!$U$5:$U$1004,0))&amp;"","")</f>
        <v/>
      </c>
      <c r="H90" s="91">
        <f>IFERROR(INDEX(Firms!$T$5:$T$1004,MATCH(86,Firms!$U$5:$U$1004,0))&amp;"","")</f>
        <v/>
      </c>
    </row>
    <row r="91">
      <c r="A91" s="79">
        <f>IF(B91="","",87)</f>
        <v/>
      </c>
      <c r="B91" s="91">
        <f>IFERROR(INDEX(Firms!$A$5:$A$1004,MATCH(87,Firms!$U$5:$U$1004,0))&amp;"","")</f>
        <v/>
      </c>
      <c r="C91" s="88">
        <f>IFERROR(IF(INDEX(Firms!$R$5:$R$1004,MATCH(87,Firms!$U$5:$U$1004,0))="","",INDEX(Firms!$R$5:$R$1004,MATCH(87,Firms!$U$5:$U$1004,0))),"")</f>
        <v/>
      </c>
      <c r="D91" s="91">
        <f>IFERROR(INDEX(Firms!$S$5:$S$1004,MATCH(87,Firms!$U$5:$U$1004,0))&amp;"","")</f>
        <v/>
      </c>
      <c r="E91" s="91">
        <f>IFERROR(INDEX(Firms!$C$5:$C$1004,MATCH(87,Firms!$U$5:$U$1004,0))&amp;"","")</f>
        <v/>
      </c>
      <c r="F91" s="79">
        <f>IFERROR(INDEX(Firms!$N$5:$N$1004,MATCH(87,Firms!$U$5:$U$1004,0))&amp;"","")</f>
        <v/>
      </c>
      <c r="G91" s="79">
        <f>IFERROR(INDEX(Firms!$P$5:$P$1004,MATCH(87,Firms!$U$5:$U$1004,0))&amp;"","")</f>
        <v/>
      </c>
      <c r="H91" s="91">
        <f>IFERROR(INDEX(Firms!$T$5:$T$1004,MATCH(87,Firms!$U$5:$U$1004,0))&amp;"","")</f>
        <v/>
      </c>
    </row>
    <row r="92">
      <c r="A92" s="79">
        <f>IF(B92="","",88)</f>
        <v/>
      </c>
      <c r="B92" s="91">
        <f>IFERROR(INDEX(Firms!$A$5:$A$1004,MATCH(88,Firms!$U$5:$U$1004,0))&amp;"","")</f>
        <v/>
      </c>
      <c r="C92" s="88">
        <f>IFERROR(IF(INDEX(Firms!$R$5:$R$1004,MATCH(88,Firms!$U$5:$U$1004,0))="","",INDEX(Firms!$R$5:$R$1004,MATCH(88,Firms!$U$5:$U$1004,0))),"")</f>
        <v/>
      </c>
      <c r="D92" s="91">
        <f>IFERROR(INDEX(Firms!$S$5:$S$1004,MATCH(88,Firms!$U$5:$U$1004,0))&amp;"","")</f>
        <v/>
      </c>
      <c r="E92" s="91">
        <f>IFERROR(INDEX(Firms!$C$5:$C$1004,MATCH(88,Firms!$U$5:$U$1004,0))&amp;"","")</f>
        <v/>
      </c>
      <c r="F92" s="79">
        <f>IFERROR(INDEX(Firms!$N$5:$N$1004,MATCH(88,Firms!$U$5:$U$1004,0))&amp;"","")</f>
        <v/>
      </c>
      <c r="G92" s="79">
        <f>IFERROR(INDEX(Firms!$P$5:$P$1004,MATCH(88,Firms!$U$5:$U$1004,0))&amp;"","")</f>
        <v/>
      </c>
      <c r="H92" s="91">
        <f>IFERROR(INDEX(Firms!$T$5:$T$1004,MATCH(88,Firms!$U$5:$U$1004,0))&amp;"","")</f>
        <v/>
      </c>
    </row>
    <row r="93">
      <c r="A93" s="79">
        <f>IF(B93="","",89)</f>
        <v/>
      </c>
      <c r="B93" s="91">
        <f>IFERROR(INDEX(Firms!$A$5:$A$1004,MATCH(89,Firms!$U$5:$U$1004,0))&amp;"","")</f>
        <v/>
      </c>
      <c r="C93" s="88">
        <f>IFERROR(IF(INDEX(Firms!$R$5:$R$1004,MATCH(89,Firms!$U$5:$U$1004,0))="","",INDEX(Firms!$R$5:$R$1004,MATCH(89,Firms!$U$5:$U$1004,0))),"")</f>
        <v/>
      </c>
      <c r="D93" s="91">
        <f>IFERROR(INDEX(Firms!$S$5:$S$1004,MATCH(89,Firms!$U$5:$U$1004,0))&amp;"","")</f>
        <v/>
      </c>
      <c r="E93" s="91">
        <f>IFERROR(INDEX(Firms!$C$5:$C$1004,MATCH(89,Firms!$U$5:$U$1004,0))&amp;"","")</f>
        <v/>
      </c>
      <c r="F93" s="79">
        <f>IFERROR(INDEX(Firms!$N$5:$N$1004,MATCH(89,Firms!$U$5:$U$1004,0))&amp;"","")</f>
        <v/>
      </c>
      <c r="G93" s="79">
        <f>IFERROR(INDEX(Firms!$P$5:$P$1004,MATCH(89,Firms!$U$5:$U$1004,0))&amp;"","")</f>
        <v/>
      </c>
      <c r="H93" s="91">
        <f>IFERROR(INDEX(Firms!$T$5:$T$1004,MATCH(89,Firms!$U$5:$U$1004,0))&amp;"","")</f>
        <v/>
      </c>
    </row>
    <row r="94">
      <c r="A94" s="79">
        <f>IF(B94="","",90)</f>
        <v/>
      </c>
      <c r="B94" s="91">
        <f>IFERROR(INDEX(Firms!$A$5:$A$1004,MATCH(90,Firms!$U$5:$U$1004,0))&amp;"","")</f>
        <v/>
      </c>
      <c r="C94" s="88">
        <f>IFERROR(IF(INDEX(Firms!$R$5:$R$1004,MATCH(90,Firms!$U$5:$U$1004,0))="","",INDEX(Firms!$R$5:$R$1004,MATCH(90,Firms!$U$5:$U$1004,0))),"")</f>
        <v/>
      </c>
      <c r="D94" s="91">
        <f>IFERROR(INDEX(Firms!$S$5:$S$1004,MATCH(90,Firms!$U$5:$U$1004,0))&amp;"","")</f>
        <v/>
      </c>
      <c r="E94" s="91">
        <f>IFERROR(INDEX(Firms!$C$5:$C$1004,MATCH(90,Firms!$U$5:$U$1004,0))&amp;"","")</f>
        <v/>
      </c>
      <c r="F94" s="79">
        <f>IFERROR(INDEX(Firms!$N$5:$N$1004,MATCH(90,Firms!$U$5:$U$1004,0))&amp;"","")</f>
        <v/>
      </c>
      <c r="G94" s="79">
        <f>IFERROR(INDEX(Firms!$P$5:$P$1004,MATCH(90,Firms!$U$5:$U$1004,0))&amp;"","")</f>
        <v/>
      </c>
      <c r="H94" s="91">
        <f>IFERROR(INDEX(Firms!$T$5:$T$1004,MATCH(90,Firms!$U$5:$U$1004,0))&amp;"","")</f>
        <v/>
      </c>
    </row>
    <row r="95">
      <c r="A95" s="79">
        <f>IF(B95="","",91)</f>
        <v/>
      </c>
      <c r="B95" s="91">
        <f>IFERROR(INDEX(Firms!$A$5:$A$1004,MATCH(91,Firms!$U$5:$U$1004,0))&amp;"","")</f>
        <v/>
      </c>
      <c r="C95" s="88">
        <f>IFERROR(IF(INDEX(Firms!$R$5:$R$1004,MATCH(91,Firms!$U$5:$U$1004,0))="","",INDEX(Firms!$R$5:$R$1004,MATCH(91,Firms!$U$5:$U$1004,0))),"")</f>
        <v/>
      </c>
      <c r="D95" s="91">
        <f>IFERROR(INDEX(Firms!$S$5:$S$1004,MATCH(91,Firms!$U$5:$U$1004,0))&amp;"","")</f>
        <v/>
      </c>
      <c r="E95" s="91">
        <f>IFERROR(INDEX(Firms!$C$5:$C$1004,MATCH(91,Firms!$U$5:$U$1004,0))&amp;"","")</f>
        <v/>
      </c>
      <c r="F95" s="79">
        <f>IFERROR(INDEX(Firms!$N$5:$N$1004,MATCH(91,Firms!$U$5:$U$1004,0))&amp;"","")</f>
        <v/>
      </c>
      <c r="G95" s="79">
        <f>IFERROR(INDEX(Firms!$P$5:$P$1004,MATCH(91,Firms!$U$5:$U$1004,0))&amp;"","")</f>
        <v/>
      </c>
      <c r="H95" s="91">
        <f>IFERROR(INDEX(Firms!$T$5:$T$1004,MATCH(91,Firms!$U$5:$U$1004,0))&amp;"","")</f>
        <v/>
      </c>
    </row>
    <row r="96">
      <c r="A96" s="79">
        <f>IF(B96="","",92)</f>
        <v/>
      </c>
      <c r="B96" s="91">
        <f>IFERROR(INDEX(Firms!$A$5:$A$1004,MATCH(92,Firms!$U$5:$U$1004,0))&amp;"","")</f>
        <v/>
      </c>
      <c r="C96" s="88">
        <f>IFERROR(IF(INDEX(Firms!$R$5:$R$1004,MATCH(92,Firms!$U$5:$U$1004,0))="","",INDEX(Firms!$R$5:$R$1004,MATCH(92,Firms!$U$5:$U$1004,0))),"")</f>
        <v/>
      </c>
      <c r="D96" s="91">
        <f>IFERROR(INDEX(Firms!$S$5:$S$1004,MATCH(92,Firms!$U$5:$U$1004,0))&amp;"","")</f>
        <v/>
      </c>
      <c r="E96" s="91">
        <f>IFERROR(INDEX(Firms!$C$5:$C$1004,MATCH(92,Firms!$U$5:$U$1004,0))&amp;"","")</f>
        <v/>
      </c>
      <c r="F96" s="79">
        <f>IFERROR(INDEX(Firms!$N$5:$N$1004,MATCH(92,Firms!$U$5:$U$1004,0))&amp;"","")</f>
        <v/>
      </c>
      <c r="G96" s="79">
        <f>IFERROR(INDEX(Firms!$P$5:$P$1004,MATCH(92,Firms!$U$5:$U$1004,0))&amp;"","")</f>
        <v/>
      </c>
      <c r="H96" s="91">
        <f>IFERROR(INDEX(Firms!$T$5:$T$1004,MATCH(92,Firms!$U$5:$U$1004,0))&amp;"","")</f>
        <v/>
      </c>
    </row>
    <row r="97">
      <c r="A97" s="79">
        <f>IF(B97="","",93)</f>
        <v/>
      </c>
      <c r="B97" s="91">
        <f>IFERROR(INDEX(Firms!$A$5:$A$1004,MATCH(93,Firms!$U$5:$U$1004,0))&amp;"","")</f>
        <v/>
      </c>
      <c r="C97" s="88">
        <f>IFERROR(IF(INDEX(Firms!$R$5:$R$1004,MATCH(93,Firms!$U$5:$U$1004,0))="","",INDEX(Firms!$R$5:$R$1004,MATCH(93,Firms!$U$5:$U$1004,0))),"")</f>
        <v/>
      </c>
      <c r="D97" s="91">
        <f>IFERROR(INDEX(Firms!$S$5:$S$1004,MATCH(93,Firms!$U$5:$U$1004,0))&amp;"","")</f>
        <v/>
      </c>
      <c r="E97" s="91">
        <f>IFERROR(INDEX(Firms!$C$5:$C$1004,MATCH(93,Firms!$U$5:$U$1004,0))&amp;"","")</f>
        <v/>
      </c>
      <c r="F97" s="79">
        <f>IFERROR(INDEX(Firms!$N$5:$N$1004,MATCH(93,Firms!$U$5:$U$1004,0))&amp;"","")</f>
        <v/>
      </c>
      <c r="G97" s="79">
        <f>IFERROR(INDEX(Firms!$P$5:$P$1004,MATCH(93,Firms!$U$5:$U$1004,0))&amp;"","")</f>
        <v/>
      </c>
      <c r="H97" s="91">
        <f>IFERROR(INDEX(Firms!$T$5:$T$1004,MATCH(93,Firms!$U$5:$U$1004,0))&amp;"","")</f>
        <v/>
      </c>
    </row>
    <row r="98">
      <c r="A98" s="79">
        <f>IF(B98="","",94)</f>
        <v/>
      </c>
      <c r="B98" s="91">
        <f>IFERROR(INDEX(Firms!$A$5:$A$1004,MATCH(94,Firms!$U$5:$U$1004,0))&amp;"","")</f>
        <v/>
      </c>
      <c r="C98" s="88">
        <f>IFERROR(IF(INDEX(Firms!$R$5:$R$1004,MATCH(94,Firms!$U$5:$U$1004,0))="","",INDEX(Firms!$R$5:$R$1004,MATCH(94,Firms!$U$5:$U$1004,0))),"")</f>
        <v/>
      </c>
      <c r="D98" s="91">
        <f>IFERROR(INDEX(Firms!$S$5:$S$1004,MATCH(94,Firms!$U$5:$U$1004,0))&amp;"","")</f>
        <v/>
      </c>
      <c r="E98" s="91">
        <f>IFERROR(INDEX(Firms!$C$5:$C$1004,MATCH(94,Firms!$U$5:$U$1004,0))&amp;"","")</f>
        <v/>
      </c>
      <c r="F98" s="79">
        <f>IFERROR(INDEX(Firms!$N$5:$N$1004,MATCH(94,Firms!$U$5:$U$1004,0))&amp;"","")</f>
        <v/>
      </c>
      <c r="G98" s="79">
        <f>IFERROR(INDEX(Firms!$P$5:$P$1004,MATCH(94,Firms!$U$5:$U$1004,0))&amp;"","")</f>
        <v/>
      </c>
      <c r="H98" s="91">
        <f>IFERROR(INDEX(Firms!$T$5:$T$1004,MATCH(94,Firms!$U$5:$U$1004,0))&amp;"","")</f>
        <v/>
      </c>
    </row>
    <row r="99">
      <c r="A99" s="79">
        <f>IF(B99="","",95)</f>
        <v/>
      </c>
      <c r="B99" s="91">
        <f>IFERROR(INDEX(Firms!$A$5:$A$1004,MATCH(95,Firms!$U$5:$U$1004,0))&amp;"","")</f>
        <v/>
      </c>
      <c r="C99" s="88">
        <f>IFERROR(IF(INDEX(Firms!$R$5:$R$1004,MATCH(95,Firms!$U$5:$U$1004,0))="","",INDEX(Firms!$R$5:$R$1004,MATCH(95,Firms!$U$5:$U$1004,0))),"")</f>
        <v/>
      </c>
      <c r="D99" s="91">
        <f>IFERROR(INDEX(Firms!$S$5:$S$1004,MATCH(95,Firms!$U$5:$U$1004,0))&amp;"","")</f>
        <v/>
      </c>
      <c r="E99" s="91">
        <f>IFERROR(INDEX(Firms!$C$5:$C$1004,MATCH(95,Firms!$U$5:$U$1004,0))&amp;"","")</f>
        <v/>
      </c>
      <c r="F99" s="79">
        <f>IFERROR(INDEX(Firms!$N$5:$N$1004,MATCH(95,Firms!$U$5:$U$1004,0))&amp;"","")</f>
        <v/>
      </c>
      <c r="G99" s="79">
        <f>IFERROR(INDEX(Firms!$P$5:$P$1004,MATCH(95,Firms!$U$5:$U$1004,0))&amp;"","")</f>
        <v/>
      </c>
      <c r="H99" s="91">
        <f>IFERROR(INDEX(Firms!$T$5:$T$1004,MATCH(95,Firms!$U$5:$U$1004,0))&amp;"","")</f>
        <v/>
      </c>
    </row>
    <row r="100">
      <c r="A100" s="79">
        <f>IF(B100="","",96)</f>
        <v/>
      </c>
      <c r="B100" s="91">
        <f>IFERROR(INDEX(Firms!$A$5:$A$1004,MATCH(96,Firms!$U$5:$U$1004,0))&amp;"","")</f>
        <v/>
      </c>
      <c r="C100" s="88">
        <f>IFERROR(IF(INDEX(Firms!$R$5:$R$1004,MATCH(96,Firms!$U$5:$U$1004,0))="","",INDEX(Firms!$R$5:$R$1004,MATCH(96,Firms!$U$5:$U$1004,0))),"")</f>
        <v/>
      </c>
      <c r="D100" s="91">
        <f>IFERROR(INDEX(Firms!$S$5:$S$1004,MATCH(96,Firms!$U$5:$U$1004,0))&amp;"","")</f>
        <v/>
      </c>
      <c r="E100" s="91">
        <f>IFERROR(INDEX(Firms!$C$5:$C$1004,MATCH(96,Firms!$U$5:$U$1004,0))&amp;"","")</f>
        <v/>
      </c>
      <c r="F100" s="79">
        <f>IFERROR(INDEX(Firms!$N$5:$N$1004,MATCH(96,Firms!$U$5:$U$1004,0))&amp;"","")</f>
        <v/>
      </c>
      <c r="G100" s="79">
        <f>IFERROR(INDEX(Firms!$P$5:$P$1004,MATCH(96,Firms!$U$5:$U$1004,0))&amp;"","")</f>
        <v/>
      </c>
      <c r="H100" s="91">
        <f>IFERROR(INDEX(Firms!$T$5:$T$1004,MATCH(96,Firms!$U$5:$U$1004,0))&amp;"","")</f>
        <v/>
      </c>
    </row>
    <row r="101">
      <c r="A101" s="79">
        <f>IF(B101="","",97)</f>
        <v/>
      </c>
      <c r="B101" s="91">
        <f>IFERROR(INDEX(Firms!$A$5:$A$1004,MATCH(97,Firms!$U$5:$U$1004,0))&amp;"","")</f>
        <v/>
      </c>
      <c r="C101" s="88">
        <f>IFERROR(IF(INDEX(Firms!$R$5:$R$1004,MATCH(97,Firms!$U$5:$U$1004,0))="","",INDEX(Firms!$R$5:$R$1004,MATCH(97,Firms!$U$5:$U$1004,0))),"")</f>
        <v/>
      </c>
      <c r="D101" s="91">
        <f>IFERROR(INDEX(Firms!$S$5:$S$1004,MATCH(97,Firms!$U$5:$U$1004,0))&amp;"","")</f>
        <v/>
      </c>
      <c r="E101" s="91">
        <f>IFERROR(INDEX(Firms!$C$5:$C$1004,MATCH(97,Firms!$U$5:$U$1004,0))&amp;"","")</f>
        <v/>
      </c>
      <c r="F101" s="79">
        <f>IFERROR(INDEX(Firms!$N$5:$N$1004,MATCH(97,Firms!$U$5:$U$1004,0))&amp;"","")</f>
        <v/>
      </c>
      <c r="G101" s="79">
        <f>IFERROR(INDEX(Firms!$P$5:$P$1004,MATCH(97,Firms!$U$5:$U$1004,0))&amp;"","")</f>
        <v/>
      </c>
      <c r="H101" s="91">
        <f>IFERROR(INDEX(Firms!$T$5:$T$1004,MATCH(97,Firms!$U$5:$U$1004,0))&amp;"","")</f>
        <v/>
      </c>
    </row>
    <row r="102">
      <c r="A102" s="79">
        <f>IF(B102="","",98)</f>
        <v/>
      </c>
      <c r="B102" s="91">
        <f>IFERROR(INDEX(Firms!$A$5:$A$1004,MATCH(98,Firms!$U$5:$U$1004,0))&amp;"","")</f>
        <v/>
      </c>
      <c r="C102" s="88">
        <f>IFERROR(IF(INDEX(Firms!$R$5:$R$1004,MATCH(98,Firms!$U$5:$U$1004,0))="","",INDEX(Firms!$R$5:$R$1004,MATCH(98,Firms!$U$5:$U$1004,0))),"")</f>
        <v/>
      </c>
      <c r="D102" s="91">
        <f>IFERROR(INDEX(Firms!$S$5:$S$1004,MATCH(98,Firms!$U$5:$U$1004,0))&amp;"","")</f>
        <v/>
      </c>
      <c r="E102" s="91">
        <f>IFERROR(INDEX(Firms!$C$5:$C$1004,MATCH(98,Firms!$U$5:$U$1004,0))&amp;"","")</f>
        <v/>
      </c>
      <c r="F102" s="79">
        <f>IFERROR(INDEX(Firms!$N$5:$N$1004,MATCH(98,Firms!$U$5:$U$1004,0))&amp;"","")</f>
        <v/>
      </c>
      <c r="G102" s="79">
        <f>IFERROR(INDEX(Firms!$P$5:$P$1004,MATCH(98,Firms!$U$5:$U$1004,0))&amp;"","")</f>
        <v/>
      </c>
      <c r="H102" s="91">
        <f>IFERROR(INDEX(Firms!$T$5:$T$1004,MATCH(98,Firms!$U$5:$U$1004,0))&amp;"","")</f>
        <v/>
      </c>
    </row>
    <row r="103">
      <c r="A103" s="79">
        <f>IF(B103="","",99)</f>
        <v/>
      </c>
      <c r="B103" s="91">
        <f>IFERROR(INDEX(Firms!$A$5:$A$1004,MATCH(99,Firms!$U$5:$U$1004,0))&amp;"","")</f>
        <v/>
      </c>
      <c r="C103" s="88">
        <f>IFERROR(IF(INDEX(Firms!$R$5:$R$1004,MATCH(99,Firms!$U$5:$U$1004,0))="","",INDEX(Firms!$R$5:$R$1004,MATCH(99,Firms!$U$5:$U$1004,0))),"")</f>
        <v/>
      </c>
      <c r="D103" s="91">
        <f>IFERROR(INDEX(Firms!$S$5:$S$1004,MATCH(99,Firms!$U$5:$U$1004,0))&amp;"","")</f>
        <v/>
      </c>
      <c r="E103" s="91">
        <f>IFERROR(INDEX(Firms!$C$5:$C$1004,MATCH(99,Firms!$U$5:$U$1004,0))&amp;"","")</f>
        <v/>
      </c>
      <c r="F103" s="79">
        <f>IFERROR(INDEX(Firms!$N$5:$N$1004,MATCH(99,Firms!$U$5:$U$1004,0))&amp;"","")</f>
        <v/>
      </c>
      <c r="G103" s="79">
        <f>IFERROR(INDEX(Firms!$P$5:$P$1004,MATCH(99,Firms!$U$5:$U$1004,0))&amp;"","")</f>
        <v/>
      </c>
      <c r="H103" s="91">
        <f>IFERROR(INDEX(Firms!$T$5:$T$1004,MATCH(99,Firms!$U$5:$U$1004,0))&amp;"","")</f>
        <v/>
      </c>
    </row>
    <row r="104">
      <c r="A104" s="79">
        <f>IF(B104="","",100)</f>
        <v/>
      </c>
      <c r="B104" s="91">
        <f>IFERROR(INDEX(Firms!$A$5:$A$1004,MATCH(100,Firms!$U$5:$U$1004,0))&amp;"","")</f>
        <v/>
      </c>
      <c r="C104" s="88">
        <f>IFERROR(IF(INDEX(Firms!$R$5:$R$1004,MATCH(100,Firms!$U$5:$U$1004,0))="","",INDEX(Firms!$R$5:$R$1004,MATCH(100,Firms!$U$5:$U$1004,0))),"")</f>
        <v/>
      </c>
      <c r="D104" s="91">
        <f>IFERROR(INDEX(Firms!$S$5:$S$1004,MATCH(100,Firms!$U$5:$U$1004,0))&amp;"","")</f>
        <v/>
      </c>
      <c r="E104" s="91">
        <f>IFERROR(INDEX(Firms!$C$5:$C$1004,MATCH(100,Firms!$U$5:$U$1004,0))&amp;"","")</f>
        <v/>
      </c>
      <c r="F104" s="79">
        <f>IFERROR(INDEX(Firms!$N$5:$N$1004,MATCH(100,Firms!$U$5:$U$1004,0))&amp;"","")</f>
        <v/>
      </c>
      <c r="G104" s="79">
        <f>IFERROR(INDEX(Firms!$P$5:$P$1004,MATCH(100,Firms!$U$5:$U$1004,0))&amp;"","")</f>
        <v/>
      </c>
      <c r="H104" s="91">
        <f>IFERROR(INDEX(Firms!$T$5:$T$1004,MATCH(100,Firms!$U$5:$U$1004,0))&amp;"","")</f>
        <v/>
      </c>
    </row>
    <row r="105">
      <c r="A105" s="79">
        <f>IF(B105="","",101)</f>
        <v/>
      </c>
      <c r="B105" s="91">
        <f>IFERROR(INDEX(Firms!$A$5:$A$1004,MATCH(101,Firms!$U$5:$U$1004,0))&amp;"","")</f>
        <v/>
      </c>
      <c r="C105" s="88">
        <f>IFERROR(IF(INDEX(Firms!$R$5:$R$1004,MATCH(101,Firms!$U$5:$U$1004,0))="","",INDEX(Firms!$R$5:$R$1004,MATCH(101,Firms!$U$5:$U$1004,0))),"")</f>
        <v/>
      </c>
      <c r="D105" s="91">
        <f>IFERROR(INDEX(Firms!$S$5:$S$1004,MATCH(101,Firms!$U$5:$U$1004,0))&amp;"","")</f>
        <v/>
      </c>
      <c r="E105" s="91">
        <f>IFERROR(INDEX(Firms!$C$5:$C$1004,MATCH(101,Firms!$U$5:$U$1004,0))&amp;"","")</f>
        <v/>
      </c>
      <c r="F105" s="79">
        <f>IFERROR(INDEX(Firms!$N$5:$N$1004,MATCH(101,Firms!$U$5:$U$1004,0))&amp;"","")</f>
        <v/>
      </c>
      <c r="G105" s="79">
        <f>IFERROR(INDEX(Firms!$P$5:$P$1004,MATCH(101,Firms!$U$5:$U$1004,0))&amp;"","")</f>
        <v/>
      </c>
      <c r="H105" s="91">
        <f>IFERROR(INDEX(Firms!$T$5:$T$1004,MATCH(101,Firms!$U$5:$U$1004,0))&amp;"","")</f>
        <v/>
      </c>
    </row>
    <row r="106">
      <c r="A106" s="79">
        <f>IF(B106="","",102)</f>
        <v/>
      </c>
      <c r="B106" s="91">
        <f>IFERROR(INDEX(Firms!$A$5:$A$1004,MATCH(102,Firms!$U$5:$U$1004,0))&amp;"","")</f>
        <v/>
      </c>
      <c r="C106" s="88">
        <f>IFERROR(IF(INDEX(Firms!$R$5:$R$1004,MATCH(102,Firms!$U$5:$U$1004,0))="","",INDEX(Firms!$R$5:$R$1004,MATCH(102,Firms!$U$5:$U$1004,0))),"")</f>
        <v/>
      </c>
      <c r="D106" s="91">
        <f>IFERROR(INDEX(Firms!$S$5:$S$1004,MATCH(102,Firms!$U$5:$U$1004,0))&amp;"","")</f>
        <v/>
      </c>
      <c r="E106" s="91">
        <f>IFERROR(INDEX(Firms!$C$5:$C$1004,MATCH(102,Firms!$U$5:$U$1004,0))&amp;"","")</f>
        <v/>
      </c>
      <c r="F106" s="79">
        <f>IFERROR(INDEX(Firms!$N$5:$N$1004,MATCH(102,Firms!$U$5:$U$1004,0))&amp;"","")</f>
        <v/>
      </c>
      <c r="G106" s="79">
        <f>IFERROR(INDEX(Firms!$P$5:$P$1004,MATCH(102,Firms!$U$5:$U$1004,0))&amp;"","")</f>
        <v/>
      </c>
      <c r="H106" s="91">
        <f>IFERROR(INDEX(Firms!$T$5:$T$1004,MATCH(102,Firms!$U$5:$U$1004,0))&amp;"","")</f>
        <v/>
      </c>
    </row>
    <row r="107">
      <c r="A107" s="79">
        <f>IF(B107="","",103)</f>
        <v/>
      </c>
      <c r="B107" s="91">
        <f>IFERROR(INDEX(Firms!$A$5:$A$1004,MATCH(103,Firms!$U$5:$U$1004,0))&amp;"","")</f>
        <v/>
      </c>
      <c r="C107" s="88">
        <f>IFERROR(IF(INDEX(Firms!$R$5:$R$1004,MATCH(103,Firms!$U$5:$U$1004,0))="","",INDEX(Firms!$R$5:$R$1004,MATCH(103,Firms!$U$5:$U$1004,0))),"")</f>
        <v/>
      </c>
      <c r="D107" s="91">
        <f>IFERROR(INDEX(Firms!$S$5:$S$1004,MATCH(103,Firms!$U$5:$U$1004,0))&amp;"","")</f>
        <v/>
      </c>
      <c r="E107" s="91">
        <f>IFERROR(INDEX(Firms!$C$5:$C$1004,MATCH(103,Firms!$U$5:$U$1004,0))&amp;"","")</f>
        <v/>
      </c>
      <c r="F107" s="79">
        <f>IFERROR(INDEX(Firms!$N$5:$N$1004,MATCH(103,Firms!$U$5:$U$1004,0))&amp;"","")</f>
        <v/>
      </c>
      <c r="G107" s="79">
        <f>IFERROR(INDEX(Firms!$P$5:$P$1004,MATCH(103,Firms!$U$5:$U$1004,0))&amp;"","")</f>
        <v/>
      </c>
      <c r="H107" s="91">
        <f>IFERROR(INDEX(Firms!$T$5:$T$1004,MATCH(103,Firms!$U$5:$U$1004,0))&amp;"","")</f>
        <v/>
      </c>
    </row>
    <row r="108">
      <c r="A108" s="79">
        <f>IF(B108="","",104)</f>
        <v/>
      </c>
      <c r="B108" s="91">
        <f>IFERROR(INDEX(Firms!$A$5:$A$1004,MATCH(104,Firms!$U$5:$U$1004,0))&amp;"","")</f>
        <v/>
      </c>
      <c r="C108" s="88">
        <f>IFERROR(IF(INDEX(Firms!$R$5:$R$1004,MATCH(104,Firms!$U$5:$U$1004,0))="","",INDEX(Firms!$R$5:$R$1004,MATCH(104,Firms!$U$5:$U$1004,0))),"")</f>
        <v/>
      </c>
      <c r="D108" s="91">
        <f>IFERROR(INDEX(Firms!$S$5:$S$1004,MATCH(104,Firms!$U$5:$U$1004,0))&amp;"","")</f>
        <v/>
      </c>
      <c r="E108" s="91">
        <f>IFERROR(INDEX(Firms!$C$5:$C$1004,MATCH(104,Firms!$U$5:$U$1004,0))&amp;"","")</f>
        <v/>
      </c>
      <c r="F108" s="79">
        <f>IFERROR(INDEX(Firms!$N$5:$N$1004,MATCH(104,Firms!$U$5:$U$1004,0))&amp;"","")</f>
        <v/>
      </c>
      <c r="G108" s="79">
        <f>IFERROR(INDEX(Firms!$P$5:$P$1004,MATCH(104,Firms!$U$5:$U$1004,0))&amp;"","")</f>
        <v/>
      </c>
      <c r="H108" s="91">
        <f>IFERROR(INDEX(Firms!$T$5:$T$1004,MATCH(104,Firms!$U$5:$U$1004,0))&amp;"","")</f>
        <v/>
      </c>
    </row>
    <row r="109">
      <c r="A109" s="79">
        <f>IF(B109="","",105)</f>
        <v/>
      </c>
      <c r="B109" s="91">
        <f>IFERROR(INDEX(Firms!$A$5:$A$1004,MATCH(105,Firms!$U$5:$U$1004,0))&amp;"","")</f>
        <v/>
      </c>
      <c r="C109" s="88">
        <f>IFERROR(IF(INDEX(Firms!$R$5:$R$1004,MATCH(105,Firms!$U$5:$U$1004,0))="","",INDEX(Firms!$R$5:$R$1004,MATCH(105,Firms!$U$5:$U$1004,0))),"")</f>
        <v/>
      </c>
      <c r="D109" s="91">
        <f>IFERROR(INDEX(Firms!$S$5:$S$1004,MATCH(105,Firms!$U$5:$U$1004,0))&amp;"","")</f>
        <v/>
      </c>
      <c r="E109" s="91">
        <f>IFERROR(INDEX(Firms!$C$5:$C$1004,MATCH(105,Firms!$U$5:$U$1004,0))&amp;"","")</f>
        <v/>
      </c>
      <c r="F109" s="79">
        <f>IFERROR(INDEX(Firms!$N$5:$N$1004,MATCH(105,Firms!$U$5:$U$1004,0))&amp;"","")</f>
        <v/>
      </c>
      <c r="G109" s="79">
        <f>IFERROR(INDEX(Firms!$P$5:$P$1004,MATCH(105,Firms!$U$5:$U$1004,0))&amp;"","")</f>
        <v/>
      </c>
      <c r="H109" s="91">
        <f>IFERROR(INDEX(Firms!$T$5:$T$1004,MATCH(105,Firms!$U$5:$U$1004,0))&amp;"","")</f>
        <v/>
      </c>
    </row>
    <row r="110">
      <c r="A110" s="79">
        <f>IF(B110="","",106)</f>
        <v/>
      </c>
      <c r="B110" s="91">
        <f>IFERROR(INDEX(Firms!$A$5:$A$1004,MATCH(106,Firms!$U$5:$U$1004,0))&amp;"","")</f>
        <v/>
      </c>
      <c r="C110" s="88">
        <f>IFERROR(IF(INDEX(Firms!$R$5:$R$1004,MATCH(106,Firms!$U$5:$U$1004,0))="","",INDEX(Firms!$R$5:$R$1004,MATCH(106,Firms!$U$5:$U$1004,0))),"")</f>
        <v/>
      </c>
      <c r="D110" s="91">
        <f>IFERROR(INDEX(Firms!$S$5:$S$1004,MATCH(106,Firms!$U$5:$U$1004,0))&amp;"","")</f>
        <v/>
      </c>
      <c r="E110" s="91">
        <f>IFERROR(INDEX(Firms!$C$5:$C$1004,MATCH(106,Firms!$U$5:$U$1004,0))&amp;"","")</f>
        <v/>
      </c>
      <c r="F110" s="79">
        <f>IFERROR(INDEX(Firms!$N$5:$N$1004,MATCH(106,Firms!$U$5:$U$1004,0))&amp;"","")</f>
        <v/>
      </c>
      <c r="G110" s="79">
        <f>IFERROR(INDEX(Firms!$P$5:$P$1004,MATCH(106,Firms!$U$5:$U$1004,0))&amp;"","")</f>
        <v/>
      </c>
      <c r="H110" s="91">
        <f>IFERROR(INDEX(Firms!$T$5:$T$1004,MATCH(106,Firms!$U$5:$U$1004,0))&amp;"","")</f>
        <v/>
      </c>
    </row>
    <row r="111">
      <c r="A111" s="79">
        <f>IF(B111="","",107)</f>
        <v/>
      </c>
      <c r="B111" s="91">
        <f>IFERROR(INDEX(Firms!$A$5:$A$1004,MATCH(107,Firms!$U$5:$U$1004,0))&amp;"","")</f>
        <v/>
      </c>
      <c r="C111" s="88">
        <f>IFERROR(IF(INDEX(Firms!$R$5:$R$1004,MATCH(107,Firms!$U$5:$U$1004,0))="","",INDEX(Firms!$R$5:$R$1004,MATCH(107,Firms!$U$5:$U$1004,0))),"")</f>
        <v/>
      </c>
      <c r="D111" s="91">
        <f>IFERROR(INDEX(Firms!$S$5:$S$1004,MATCH(107,Firms!$U$5:$U$1004,0))&amp;"","")</f>
        <v/>
      </c>
      <c r="E111" s="91">
        <f>IFERROR(INDEX(Firms!$C$5:$C$1004,MATCH(107,Firms!$U$5:$U$1004,0))&amp;"","")</f>
        <v/>
      </c>
      <c r="F111" s="79">
        <f>IFERROR(INDEX(Firms!$N$5:$N$1004,MATCH(107,Firms!$U$5:$U$1004,0))&amp;"","")</f>
        <v/>
      </c>
      <c r="G111" s="79">
        <f>IFERROR(INDEX(Firms!$P$5:$P$1004,MATCH(107,Firms!$U$5:$U$1004,0))&amp;"","")</f>
        <v/>
      </c>
      <c r="H111" s="91">
        <f>IFERROR(INDEX(Firms!$T$5:$T$1004,MATCH(107,Firms!$U$5:$U$1004,0))&amp;"","")</f>
        <v/>
      </c>
    </row>
    <row r="112">
      <c r="A112" s="79">
        <f>IF(B112="","",108)</f>
        <v/>
      </c>
      <c r="B112" s="91">
        <f>IFERROR(INDEX(Firms!$A$5:$A$1004,MATCH(108,Firms!$U$5:$U$1004,0))&amp;"","")</f>
        <v/>
      </c>
      <c r="C112" s="88">
        <f>IFERROR(IF(INDEX(Firms!$R$5:$R$1004,MATCH(108,Firms!$U$5:$U$1004,0))="","",INDEX(Firms!$R$5:$R$1004,MATCH(108,Firms!$U$5:$U$1004,0))),"")</f>
        <v/>
      </c>
      <c r="D112" s="91">
        <f>IFERROR(INDEX(Firms!$S$5:$S$1004,MATCH(108,Firms!$U$5:$U$1004,0))&amp;"","")</f>
        <v/>
      </c>
      <c r="E112" s="91">
        <f>IFERROR(INDEX(Firms!$C$5:$C$1004,MATCH(108,Firms!$U$5:$U$1004,0))&amp;"","")</f>
        <v/>
      </c>
      <c r="F112" s="79">
        <f>IFERROR(INDEX(Firms!$N$5:$N$1004,MATCH(108,Firms!$U$5:$U$1004,0))&amp;"","")</f>
        <v/>
      </c>
      <c r="G112" s="79">
        <f>IFERROR(INDEX(Firms!$P$5:$P$1004,MATCH(108,Firms!$U$5:$U$1004,0))&amp;"","")</f>
        <v/>
      </c>
      <c r="H112" s="91">
        <f>IFERROR(INDEX(Firms!$T$5:$T$1004,MATCH(108,Firms!$U$5:$U$1004,0))&amp;"","")</f>
        <v/>
      </c>
    </row>
    <row r="113">
      <c r="A113" s="79">
        <f>IF(B113="","",109)</f>
        <v/>
      </c>
      <c r="B113" s="91">
        <f>IFERROR(INDEX(Firms!$A$5:$A$1004,MATCH(109,Firms!$U$5:$U$1004,0))&amp;"","")</f>
        <v/>
      </c>
      <c r="C113" s="88">
        <f>IFERROR(IF(INDEX(Firms!$R$5:$R$1004,MATCH(109,Firms!$U$5:$U$1004,0))="","",INDEX(Firms!$R$5:$R$1004,MATCH(109,Firms!$U$5:$U$1004,0))),"")</f>
        <v/>
      </c>
      <c r="D113" s="91">
        <f>IFERROR(INDEX(Firms!$S$5:$S$1004,MATCH(109,Firms!$U$5:$U$1004,0))&amp;"","")</f>
        <v/>
      </c>
      <c r="E113" s="91">
        <f>IFERROR(INDEX(Firms!$C$5:$C$1004,MATCH(109,Firms!$U$5:$U$1004,0))&amp;"","")</f>
        <v/>
      </c>
      <c r="F113" s="79">
        <f>IFERROR(INDEX(Firms!$N$5:$N$1004,MATCH(109,Firms!$U$5:$U$1004,0))&amp;"","")</f>
        <v/>
      </c>
      <c r="G113" s="79">
        <f>IFERROR(INDEX(Firms!$P$5:$P$1004,MATCH(109,Firms!$U$5:$U$1004,0))&amp;"","")</f>
        <v/>
      </c>
      <c r="H113" s="91">
        <f>IFERROR(INDEX(Firms!$T$5:$T$1004,MATCH(109,Firms!$U$5:$U$1004,0))&amp;"","")</f>
        <v/>
      </c>
    </row>
    <row r="114">
      <c r="A114" s="79">
        <f>IF(B114="","",110)</f>
        <v/>
      </c>
      <c r="B114" s="91">
        <f>IFERROR(INDEX(Firms!$A$5:$A$1004,MATCH(110,Firms!$U$5:$U$1004,0))&amp;"","")</f>
        <v/>
      </c>
      <c r="C114" s="88">
        <f>IFERROR(IF(INDEX(Firms!$R$5:$R$1004,MATCH(110,Firms!$U$5:$U$1004,0))="","",INDEX(Firms!$R$5:$R$1004,MATCH(110,Firms!$U$5:$U$1004,0))),"")</f>
        <v/>
      </c>
      <c r="D114" s="91">
        <f>IFERROR(INDEX(Firms!$S$5:$S$1004,MATCH(110,Firms!$U$5:$U$1004,0))&amp;"","")</f>
        <v/>
      </c>
      <c r="E114" s="91">
        <f>IFERROR(INDEX(Firms!$C$5:$C$1004,MATCH(110,Firms!$U$5:$U$1004,0))&amp;"","")</f>
        <v/>
      </c>
      <c r="F114" s="79">
        <f>IFERROR(INDEX(Firms!$N$5:$N$1004,MATCH(110,Firms!$U$5:$U$1004,0))&amp;"","")</f>
        <v/>
      </c>
      <c r="G114" s="79">
        <f>IFERROR(INDEX(Firms!$P$5:$P$1004,MATCH(110,Firms!$U$5:$U$1004,0))&amp;"","")</f>
        <v/>
      </c>
      <c r="H114" s="91">
        <f>IFERROR(INDEX(Firms!$T$5:$T$1004,MATCH(110,Firms!$U$5:$U$1004,0))&amp;"","")</f>
        <v/>
      </c>
    </row>
    <row r="115">
      <c r="A115" s="79">
        <f>IF(B115="","",111)</f>
        <v/>
      </c>
      <c r="B115" s="91">
        <f>IFERROR(INDEX(Firms!$A$5:$A$1004,MATCH(111,Firms!$U$5:$U$1004,0))&amp;"","")</f>
        <v/>
      </c>
      <c r="C115" s="88">
        <f>IFERROR(IF(INDEX(Firms!$R$5:$R$1004,MATCH(111,Firms!$U$5:$U$1004,0))="","",INDEX(Firms!$R$5:$R$1004,MATCH(111,Firms!$U$5:$U$1004,0))),"")</f>
        <v/>
      </c>
      <c r="D115" s="91">
        <f>IFERROR(INDEX(Firms!$S$5:$S$1004,MATCH(111,Firms!$U$5:$U$1004,0))&amp;"","")</f>
        <v/>
      </c>
      <c r="E115" s="91">
        <f>IFERROR(INDEX(Firms!$C$5:$C$1004,MATCH(111,Firms!$U$5:$U$1004,0))&amp;"","")</f>
        <v/>
      </c>
      <c r="F115" s="79">
        <f>IFERROR(INDEX(Firms!$N$5:$N$1004,MATCH(111,Firms!$U$5:$U$1004,0))&amp;"","")</f>
        <v/>
      </c>
      <c r="G115" s="79">
        <f>IFERROR(INDEX(Firms!$P$5:$P$1004,MATCH(111,Firms!$U$5:$U$1004,0))&amp;"","")</f>
        <v/>
      </c>
      <c r="H115" s="91">
        <f>IFERROR(INDEX(Firms!$T$5:$T$1004,MATCH(111,Firms!$U$5:$U$1004,0))&amp;"","")</f>
        <v/>
      </c>
    </row>
    <row r="116">
      <c r="A116" s="79">
        <f>IF(B116="","",112)</f>
        <v/>
      </c>
      <c r="B116" s="91">
        <f>IFERROR(INDEX(Firms!$A$5:$A$1004,MATCH(112,Firms!$U$5:$U$1004,0))&amp;"","")</f>
        <v/>
      </c>
      <c r="C116" s="88">
        <f>IFERROR(IF(INDEX(Firms!$R$5:$R$1004,MATCH(112,Firms!$U$5:$U$1004,0))="","",INDEX(Firms!$R$5:$R$1004,MATCH(112,Firms!$U$5:$U$1004,0))),"")</f>
        <v/>
      </c>
      <c r="D116" s="91">
        <f>IFERROR(INDEX(Firms!$S$5:$S$1004,MATCH(112,Firms!$U$5:$U$1004,0))&amp;"","")</f>
        <v/>
      </c>
      <c r="E116" s="91">
        <f>IFERROR(INDEX(Firms!$C$5:$C$1004,MATCH(112,Firms!$U$5:$U$1004,0))&amp;"","")</f>
        <v/>
      </c>
      <c r="F116" s="79">
        <f>IFERROR(INDEX(Firms!$N$5:$N$1004,MATCH(112,Firms!$U$5:$U$1004,0))&amp;"","")</f>
        <v/>
      </c>
      <c r="G116" s="79">
        <f>IFERROR(INDEX(Firms!$P$5:$P$1004,MATCH(112,Firms!$U$5:$U$1004,0))&amp;"","")</f>
        <v/>
      </c>
      <c r="H116" s="91">
        <f>IFERROR(INDEX(Firms!$T$5:$T$1004,MATCH(112,Firms!$U$5:$U$1004,0))&amp;"","")</f>
        <v/>
      </c>
    </row>
    <row r="117">
      <c r="A117" s="79">
        <f>IF(B117="","",113)</f>
        <v/>
      </c>
      <c r="B117" s="91">
        <f>IFERROR(INDEX(Firms!$A$5:$A$1004,MATCH(113,Firms!$U$5:$U$1004,0))&amp;"","")</f>
        <v/>
      </c>
      <c r="C117" s="88">
        <f>IFERROR(IF(INDEX(Firms!$R$5:$R$1004,MATCH(113,Firms!$U$5:$U$1004,0))="","",INDEX(Firms!$R$5:$R$1004,MATCH(113,Firms!$U$5:$U$1004,0))),"")</f>
        <v/>
      </c>
      <c r="D117" s="91">
        <f>IFERROR(INDEX(Firms!$S$5:$S$1004,MATCH(113,Firms!$U$5:$U$1004,0))&amp;"","")</f>
        <v/>
      </c>
      <c r="E117" s="91">
        <f>IFERROR(INDEX(Firms!$C$5:$C$1004,MATCH(113,Firms!$U$5:$U$1004,0))&amp;"","")</f>
        <v/>
      </c>
      <c r="F117" s="79">
        <f>IFERROR(INDEX(Firms!$N$5:$N$1004,MATCH(113,Firms!$U$5:$U$1004,0))&amp;"","")</f>
        <v/>
      </c>
      <c r="G117" s="79">
        <f>IFERROR(INDEX(Firms!$P$5:$P$1004,MATCH(113,Firms!$U$5:$U$1004,0))&amp;"","")</f>
        <v/>
      </c>
      <c r="H117" s="91">
        <f>IFERROR(INDEX(Firms!$T$5:$T$1004,MATCH(113,Firms!$U$5:$U$1004,0))&amp;"","")</f>
        <v/>
      </c>
    </row>
    <row r="118">
      <c r="A118" s="79">
        <f>IF(B118="","",114)</f>
        <v/>
      </c>
      <c r="B118" s="91">
        <f>IFERROR(INDEX(Firms!$A$5:$A$1004,MATCH(114,Firms!$U$5:$U$1004,0))&amp;"","")</f>
        <v/>
      </c>
      <c r="C118" s="88">
        <f>IFERROR(IF(INDEX(Firms!$R$5:$R$1004,MATCH(114,Firms!$U$5:$U$1004,0))="","",INDEX(Firms!$R$5:$R$1004,MATCH(114,Firms!$U$5:$U$1004,0))),"")</f>
        <v/>
      </c>
      <c r="D118" s="91">
        <f>IFERROR(INDEX(Firms!$S$5:$S$1004,MATCH(114,Firms!$U$5:$U$1004,0))&amp;"","")</f>
        <v/>
      </c>
      <c r="E118" s="91">
        <f>IFERROR(INDEX(Firms!$C$5:$C$1004,MATCH(114,Firms!$U$5:$U$1004,0))&amp;"","")</f>
        <v/>
      </c>
      <c r="F118" s="79">
        <f>IFERROR(INDEX(Firms!$N$5:$N$1004,MATCH(114,Firms!$U$5:$U$1004,0))&amp;"","")</f>
        <v/>
      </c>
      <c r="G118" s="79">
        <f>IFERROR(INDEX(Firms!$P$5:$P$1004,MATCH(114,Firms!$U$5:$U$1004,0))&amp;"","")</f>
        <v/>
      </c>
      <c r="H118" s="91">
        <f>IFERROR(INDEX(Firms!$T$5:$T$1004,MATCH(114,Firms!$U$5:$U$1004,0))&amp;"","")</f>
        <v/>
      </c>
    </row>
    <row r="119">
      <c r="A119" s="79">
        <f>IF(B119="","",115)</f>
        <v/>
      </c>
      <c r="B119" s="91">
        <f>IFERROR(INDEX(Firms!$A$5:$A$1004,MATCH(115,Firms!$U$5:$U$1004,0))&amp;"","")</f>
        <v/>
      </c>
      <c r="C119" s="88">
        <f>IFERROR(IF(INDEX(Firms!$R$5:$R$1004,MATCH(115,Firms!$U$5:$U$1004,0))="","",INDEX(Firms!$R$5:$R$1004,MATCH(115,Firms!$U$5:$U$1004,0))),"")</f>
        <v/>
      </c>
      <c r="D119" s="91">
        <f>IFERROR(INDEX(Firms!$S$5:$S$1004,MATCH(115,Firms!$U$5:$U$1004,0))&amp;"","")</f>
        <v/>
      </c>
      <c r="E119" s="91">
        <f>IFERROR(INDEX(Firms!$C$5:$C$1004,MATCH(115,Firms!$U$5:$U$1004,0))&amp;"","")</f>
        <v/>
      </c>
      <c r="F119" s="79">
        <f>IFERROR(INDEX(Firms!$N$5:$N$1004,MATCH(115,Firms!$U$5:$U$1004,0))&amp;"","")</f>
        <v/>
      </c>
      <c r="G119" s="79">
        <f>IFERROR(INDEX(Firms!$P$5:$P$1004,MATCH(115,Firms!$U$5:$U$1004,0))&amp;"","")</f>
        <v/>
      </c>
      <c r="H119" s="91">
        <f>IFERROR(INDEX(Firms!$T$5:$T$1004,MATCH(115,Firms!$U$5:$U$1004,0))&amp;"","")</f>
        <v/>
      </c>
    </row>
    <row r="120">
      <c r="A120" s="79">
        <f>IF(B120="","",116)</f>
        <v/>
      </c>
      <c r="B120" s="91">
        <f>IFERROR(INDEX(Firms!$A$5:$A$1004,MATCH(116,Firms!$U$5:$U$1004,0))&amp;"","")</f>
        <v/>
      </c>
      <c r="C120" s="88">
        <f>IFERROR(IF(INDEX(Firms!$R$5:$R$1004,MATCH(116,Firms!$U$5:$U$1004,0))="","",INDEX(Firms!$R$5:$R$1004,MATCH(116,Firms!$U$5:$U$1004,0))),"")</f>
        <v/>
      </c>
      <c r="D120" s="91">
        <f>IFERROR(INDEX(Firms!$S$5:$S$1004,MATCH(116,Firms!$U$5:$U$1004,0))&amp;"","")</f>
        <v/>
      </c>
      <c r="E120" s="91">
        <f>IFERROR(INDEX(Firms!$C$5:$C$1004,MATCH(116,Firms!$U$5:$U$1004,0))&amp;"","")</f>
        <v/>
      </c>
      <c r="F120" s="79">
        <f>IFERROR(INDEX(Firms!$N$5:$N$1004,MATCH(116,Firms!$U$5:$U$1004,0))&amp;"","")</f>
        <v/>
      </c>
      <c r="G120" s="79">
        <f>IFERROR(INDEX(Firms!$P$5:$P$1004,MATCH(116,Firms!$U$5:$U$1004,0))&amp;"","")</f>
        <v/>
      </c>
      <c r="H120" s="91">
        <f>IFERROR(INDEX(Firms!$T$5:$T$1004,MATCH(116,Firms!$U$5:$U$1004,0))&amp;"","")</f>
        <v/>
      </c>
    </row>
    <row r="121">
      <c r="A121" s="79">
        <f>IF(B121="","",117)</f>
        <v/>
      </c>
      <c r="B121" s="91">
        <f>IFERROR(INDEX(Firms!$A$5:$A$1004,MATCH(117,Firms!$U$5:$U$1004,0))&amp;"","")</f>
        <v/>
      </c>
      <c r="C121" s="88">
        <f>IFERROR(IF(INDEX(Firms!$R$5:$R$1004,MATCH(117,Firms!$U$5:$U$1004,0))="","",INDEX(Firms!$R$5:$R$1004,MATCH(117,Firms!$U$5:$U$1004,0))),"")</f>
        <v/>
      </c>
      <c r="D121" s="91">
        <f>IFERROR(INDEX(Firms!$S$5:$S$1004,MATCH(117,Firms!$U$5:$U$1004,0))&amp;"","")</f>
        <v/>
      </c>
      <c r="E121" s="91">
        <f>IFERROR(INDEX(Firms!$C$5:$C$1004,MATCH(117,Firms!$U$5:$U$1004,0))&amp;"","")</f>
        <v/>
      </c>
      <c r="F121" s="79">
        <f>IFERROR(INDEX(Firms!$N$5:$N$1004,MATCH(117,Firms!$U$5:$U$1004,0))&amp;"","")</f>
        <v/>
      </c>
      <c r="G121" s="79">
        <f>IFERROR(INDEX(Firms!$P$5:$P$1004,MATCH(117,Firms!$U$5:$U$1004,0))&amp;"","")</f>
        <v/>
      </c>
      <c r="H121" s="91">
        <f>IFERROR(INDEX(Firms!$T$5:$T$1004,MATCH(117,Firms!$U$5:$U$1004,0))&amp;"","")</f>
        <v/>
      </c>
    </row>
    <row r="122">
      <c r="A122" s="79">
        <f>IF(B122="","",118)</f>
        <v/>
      </c>
      <c r="B122" s="91">
        <f>IFERROR(INDEX(Firms!$A$5:$A$1004,MATCH(118,Firms!$U$5:$U$1004,0))&amp;"","")</f>
        <v/>
      </c>
      <c r="C122" s="88">
        <f>IFERROR(IF(INDEX(Firms!$R$5:$R$1004,MATCH(118,Firms!$U$5:$U$1004,0))="","",INDEX(Firms!$R$5:$R$1004,MATCH(118,Firms!$U$5:$U$1004,0))),"")</f>
        <v/>
      </c>
      <c r="D122" s="91">
        <f>IFERROR(INDEX(Firms!$S$5:$S$1004,MATCH(118,Firms!$U$5:$U$1004,0))&amp;"","")</f>
        <v/>
      </c>
      <c r="E122" s="91">
        <f>IFERROR(INDEX(Firms!$C$5:$C$1004,MATCH(118,Firms!$U$5:$U$1004,0))&amp;"","")</f>
        <v/>
      </c>
      <c r="F122" s="79">
        <f>IFERROR(INDEX(Firms!$N$5:$N$1004,MATCH(118,Firms!$U$5:$U$1004,0))&amp;"","")</f>
        <v/>
      </c>
      <c r="G122" s="79">
        <f>IFERROR(INDEX(Firms!$P$5:$P$1004,MATCH(118,Firms!$U$5:$U$1004,0))&amp;"","")</f>
        <v/>
      </c>
      <c r="H122" s="91">
        <f>IFERROR(INDEX(Firms!$T$5:$T$1004,MATCH(118,Firms!$U$5:$U$1004,0))&amp;"","")</f>
        <v/>
      </c>
    </row>
    <row r="123">
      <c r="A123" s="79">
        <f>IF(B123="","",119)</f>
        <v/>
      </c>
      <c r="B123" s="91">
        <f>IFERROR(INDEX(Firms!$A$5:$A$1004,MATCH(119,Firms!$U$5:$U$1004,0))&amp;"","")</f>
        <v/>
      </c>
      <c r="C123" s="88">
        <f>IFERROR(IF(INDEX(Firms!$R$5:$R$1004,MATCH(119,Firms!$U$5:$U$1004,0))="","",INDEX(Firms!$R$5:$R$1004,MATCH(119,Firms!$U$5:$U$1004,0))),"")</f>
        <v/>
      </c>
      <c r="D123" s="91">
        <f>IFERROR(INDEX(Firms!$S$5:$S$1004,MATCH(119,Firms!$U$5:$U$1004,0))&amp;"","")</f>
        <v/>
      </c>
      <c r="E123" s="91">
        <f>IFERROR(INDEX(Firms!$C$5:$C$1004,MATCH(119,Firms!$U$5:$U$1004,0))&amp;"","")</f>
        <v/>
      </c>
      <c r="F123" s="79">
        <f>IFERROR(INDEX(Firms!$N$5:$N$1004,MATCH(119,Firms!$U$5:$U$1004,0))&amp;"","")</f>
        <v/>
      </c>
      <c r="G123" s="79">
        <f>IFERROR(INDEX(Firms!$P$5:$P$1004,MATCH(119,Firms!$U$5:$U$1004,0))&amp;"","")</f>
        <v/>
      </c>
      <c r="H123" s="91">
        <f>IFERROR(INDEX(Firms!$T$5:$T$1004,MATCH(119,Firms!$U$5:$U$1004,0))&amp;"","")</f>
        <v/>
      </c>
    </row>
    <row r="124">
      <c r="A124" s="79">
        <f>IF(B124="","",120)</f>
        <v/>
      </c>
      <c r="B124" s="91">
        <f>IFERROR(INDEX(Firms!$A$5:$A$1004,MATCH(120,Firms!$U$5:$U$1004,0))&amp;"","")</f>
        <v/>
      </c>
      <c r="C124" s="88">
        <f>IFERROR(IF(INDEX(Firms!$R$5:$R$1004,MATCH(120,Firms!$U$5:$U$1004,0))="","",INDEX(Firms!$R$5:$R$1004,MATCH(120,Firms!$U$5:$U$1004,0))),"")</f>
        <v/>
      </c>
      <c r="D124" s="91">
        <f>IFERROR(INDEX(Firms!$S$5:$S$1004,MATCH(120,Firms!$U$5:$U$1004,0))&amp;"","")</f>
        <v/>
      </c>
      <c r="E124" s="91">
        <f>IFERROR(INDEX(Firms!$C$5:$C$1004,MATCH(120,Firms!$U$5:$U$1004,0))&amp;"","")</f>
        <v/>
      </c>
      <c r="F124" s="79">
        <f>IFERROR(INDEX(Firms!$N$5:$N$1004,MATCH(120,Firms!$U$5:$U$1004,0))&amp;"","")</f>
        <v/>
      </c>
      <c r="G124" s="79">
        <f>IFERROR(INDEX(Firms!$P$5:$P$1004,MATCH(120,Firms!$U$5:$U$1004,0))&amp;"","")</f>
        <v/>
      </c>
      <c r="H124" s="91">
        <f>IFERROR(INDEX(Firms!$T$5:$T$1004,MATCH(120,Firms!$U$5:$U$1004,0))&amp;"","")</f>
        <v/>
      </c>
    </row>
    <row r="125">
      <c r="A125" s="79">
        <f>IF(B125="","",121)</f>
        <v/>
      </c>
      <c r="B125" s="91">
        <f>IFERROR(INDEX(Firms!$A$5:$A$1004,MATCH(121,Firms!$U$5:$U$1004,0))&amp;"","")</f>
        <v/>
      </c>
      <c r="C125" s="88">
        <f>IFERROR(IF(INDEX(Firms!$R$5:$R$1004,MATCH(121,Firms!$U$5:$U$1004,0))="","",INDEX(Firms!$R$5:$R$1004,MATCH(121,Firms!$U$5:$U$1004,0))),"")</f>
        <v/>
      </c>
      <c r="D125" s="91">
        <f>IFERROR(INDEX(Firms!$S$5:$S$1004,MATCH(121,Firms!$U$5:$U$1004,0))&amp;"","")</f>
        <v/>
      </c>
      <c r="E125" s="91">
        <f>IFERROR(INDEX(Firms!$C$5:$C$1004,MATCH(121,Firms!$U$5:$U$1004,0))&amp;"","")</f>
        <v/>
      </c>
      <c r="F125" s="79">
        <f>IFERROR(INDEX(Firms!$N$5:$N$1004,MATCH(121,Firms!$U$5:$U$1004,0))&amp;"","")</f>
        <v/>
      </c>
      <c r="G125" s="79">
        <f>IFERROR(INDEX(Firms!$P$5:$P$1004,MATCH(121,Firms!$U$5:$U$1004,0))&amp;"","")</f>
        <v/>
      </c>
      <c r="H125" s="91">
        <f>IFERROR(INDEX(Firms!$T$5:$T$1004,MATCH(121,Firms!$U$5:$U$1004,0))&amp;"","")</f>
        <v/>
      </c>
    </row>
    <row r="126">
      <c r="A126" s="79">
        <f>IF(B126="","",122)</f>
        <v/>
      </c>
      <c r="B126" s="91">
        <f>IFERROR(INDEX(Firms!$A$5:$A$1004,MATCH(122,Firms!$U$5:$U$1004,0))&amp;"","")</f>
        <v/>
      </c>
      <c r="C126" s="88">
        <f>IFERROR(IF(INDEX(Firms!$R$5:$R$1004,MATCH(122,Firms!$U$5:$U$1004,0))="","",INDEX(Firms!$R$5:$R$1004,MATCH(122,Firms!$U$5:$U$1004,0))),"")</f>
        <v/>
      </c>
      <c r="D126" s="91">
        <f>IFERROR(INDEX(Firms!$S$5:$S$1004,MATCH(122,Firms!$U$5:$U$1004,0))&amp;"","")</f>
        <v/>
      </c>
      <c r="E126" s="91">
        <f>IFERROR(INDEX(Firms!$C$5:$C$1004,MATCH(122,Firms!$U$5:$U$1004,0))&amp;"","")</f>
        <v/>
      </c>
      <c r="F126" s="79">
        <f>IFERROR(INDEX(Firms!$N$5:$N$1004,MATCH(122,Firms!$U$5:$U$1004,0))&amp;"","")</f>
        <v/>
      </c>
      <c r="G126" s="79">
        <f>IFERROR(INDEX(Firms!$P$5:$P$1004,MATCH(122,Firms!$U$5:$U$1004,0))&amp;"","")</f>
        <v/>
      </c>
      <c r="H126" s="91">
        <f>IFERROR(INDEX(Firms!$T$5:$T$1004,MATCH(122,Firms!$U$5:$U$1004,0))&amp;"","")</f>
        <v/>
      </c>
    </row>
    <row r="127">
      <c r="A127" s="79">
        <f>IF(B127="","",123)</f>
        <v/>
      </c>
      <c r="B127" s="91">
        <f>IFERROR(INDEX(Firms!$A$5:$A$1004,MATCH(123,Firms!$U$5:$U$1004,0))&amp;"","")</f>
        <v/>
      </c>
      <c r="C127" s="88">
        <f>IFERROR(IF(INDEX(Firms!$R$5:$R$1004,MATCH(123,Firms!$U$5:$U$1004,0))="","",INDEX(Firms!$R$5:$R$1004,MATCH(123,Firms!$U$5:$U$1004,0))),"")</f>
        <v/>
      </c>
      <c r="D127" s="91">
        <f>IFERROR(INDEX(Firms!$S$5:$S$1004,MATCH(123,Firms!$U$5:$U$1004,0))&amp;"","")</f>
        <v/>
      </c>
      <c r="E127" s="91">
        <f>IFERROR(INDEX(Firms!$C$5:$C$1004,MATCH(123,Firms!$U$5:$U$1004,0))&amp;"","")</f>
        <v/>
      </c>
      <c r="F127" s="79">
        <f>IFERROR(INDEX(Firms!$N$5:$N$1004,MATCH(123,Firms!$U$5:$U$1004,0))&amp;"","")</f>
        <v/>
      </c>
      <c r="G127" s="79">
        <f>IFERROR(INDEX(Firms!$P$5:$P$1004,MATCH(123,Firms!$U$5:$U$1004,0))&amp;"","")</f>
        <v/>
      </c>
      <c r="H127" s="91">
        <f>IFERROR(INDEX(Firms!$T$5:$T$1004,MATCH(123,Firms!$U$5:$U$1004,0))&amp;"","")</f>
        <v/>
      </c>
    </row>
    <row r="128">
      <c r="A128" s="79">
        <f>IF(B128="","",124)</f>
        <v/>
      </c>
      <c r="B128" s="91">
        <f>IFERROR(INDEX(Firms!$A$5:$A$1004,MATCH(124,Firms!$U$5:$U$1004,0))&amp;"","")</f>
        <v/>
      </c>
      <c r="C128" s="88">
        <f>IFERROR(IF(INDEX(Firms!$R$5:$R$1004,MATCH(124,Firms!$U$5:$U$1004,0))="","",INDEX(Firms!$R$5:$R$1004,MATCH(124,Firms!$U$5:$U$1004,0))),"")</f>
        <v/>
      </c>
      <c r="D128" s="91">
        <f>IFERROR(INDEX(Firms!$S$5:$S$1004,MATCH(124,Firms!$U$5:$U$1004,0))&amp;"","")</f>
        <v/>
      </c>
      <c r="E128" s="91">
        <f>IFERROR(INDEX(Firms!$C$5:$C$1004,MATCH(124,Firms!$U$5:$U$1004,0))&amp;"","")</f>
        <v/>
      </c>
      <c r="F128" s="79">
        <f>IFERROR(INDEX(Firms!$N$5:$N$1004,MATCH(124,Firms!$U$5:$U$1004,0))&amp;"","")</f>
        <v/>
      </c>
      <c r="G128" s="79">
        <f>IFERROR(INDEX(Firms!$P$5:$P$1004,MATCH(124,Firms!$U$5:$U$1004,0))&amp;"","")</f>
        <v/>
      </c>
      <c r="H128" s="91">
        <f>IFERROR(INDEX(Firms!$T$5:$T$1004,MATCH(124,Firms!$U$5:$U$1004,0))&amp;"","")</f>
        <v/>
      </c>
    </row>
    <row r="129">
      <c r="A129" s="79">
        <f>IF(B129="","",125)</f>
        <v/>
      </c>
      <c r="B129" s="91">
        <f>IFERROR(INDEX(Firms!$A$5:$A$1004,MATCH(125,Firms!$U$5:$U$1004,0))&amp;"","")</f>
        <v/>
      </c>
      <c r="C129" s="88">
        <f>IFERROR(IF(INDEX(Firms!$R$5:$R$1004,MATCH(125,Firms!$U$5:$U$1004,0))="","",INDEX(Firms!$R$5:$R$1004,MATCH(125,Firms!$U$5:$U$1004,0))),"")</f>
        <v/>
      </c>
      <c r="D129" s="91">
        <f>IFERROR(INDEX(Firms!$S$5:$S$1004,MATCH(125,Firms!$U$5:$U$1004,0))&amp;"","")</f>
        <v/>
      </c>
      <c r="E129" s="91">
        <f>IFERROR(INDEX(Firms!$C$5:$C$1004,MATCH(125,Firms!$U$5:$U$1004,0))&amp;"","")</f>
        <v/>
      </c>
      <c r="F129" s="79">
        <f>IFERROR(INDEX(Firms!$N$5:$N$1004,MATCH(125,Firms!$U$5:$U$1004,0))&amp;"","")</f>
        <v/>
      </c>
      <c r="G129" s="79">
        <f>IFERROR(INDEX(Firms!$P$5:$P$1004,MATCH(125,Firms!$U$5:$U$1004,0))&amp;"","")</f>
        <v/>
      </c>
      <c r="H129" s="91">
        <f>IFERROR(INDEX(Firms!$T$5:$T$1004,MATCH(125,Firms!$U$5:$U$1004,0))&amp;"","")</f>
        <v/>
      </c>
    </row>
    <row r="130">
      <c r="A130" s="79">
        <f>IF(B130="","",126)</f>
        <v/>
      </c>
      <c r="B130" s="91">
        <f>IFERROR(INDEX(Firms!$A$5:$A$1004,MATCH(126,Firms!$U$5:$U$1004,0))&amp;"","")</f>
        <v/>
      </c>
      <c r="C130" s="88">
        <f>IFERROR(IF(INDEX(Firms!$R$5:$R$1004,MATCH(126,Firms!$U$5:$U$1004,0))="","",INDEX(Firms!$R$5:$R$1004,MATCH(126,Firms!$U$5:$U$1004,0))),"")</f>
        <v/>
      </c>
      <c r="D130" s="91">
        <f>IFERROR(INDEX(Firms!$S$5:$S$1004,MATCH(126,Firms!$U$5:$U$1004,0))&amp;"","")</f>
        <v/>
      </c>
      <c r="E130" s="91">
        <f>IFERROR(INDEX(Firms!$C$5:$C$1004,MATCH(126,Firms!$U$5:$U$1004,0))&amp;"","")</f>
        <v/>
      </c>
      <c r="F130" s="79">
        <f>IFERROR(INDEX(Firms!$N$5:$N$1004,MATCH(126,Firms!$U$5:$U$1004,0))&amp;"","")</f>
        <v/>
      </c>
      <c r="G130" s="79">
        <f>IFERROR(INDEX(Firms!$P$5:$P$1004,MATCH(126,Firms!$U$5:$U$1004,0))&amp;"","")</f>
        <v/>
      </c>
      <c r="H130" s="91">
        <f>IFERROR(INDEX(Firms!$T$5:$T$1004,MATCH(126,Firms!$U$5:$U$1004,0))&amp;"","")</f>
        <v/>
      </c>
    </row>
    <row r="131">
      <c r="A131" s="79">
        <f>IF(B131="","",127)</f>
        <v/>
      </c>
      <c r="B131" s="91">
        <f>IFERROR(INDEX(Firms!$A$5:$A$1004,MATCH(127,Firms!$U$5:$U$1004,0))&amp;"","")</f>
        <v/>
      </c>
      <c r="C131" s="88">
        <f>IFERROR(IF(INDEX(Firms!$R$5:$R$1004,MATCH(127,Firms!$U$5:$U$1004,0))="","",INDEX(Firms!$R$5:$R$1004,MATCH(127,Firms!$U$5:$U$1004,0))),"")</f>
        <v/>
      </c>
      <c r="D131" s="91">
        <f>IFERROR(INDEX(Firms!$S$5:$S$1004,MATCH(127,Firms!$U$5:$U$1004,0))&amp;"","")</f>
        <v/>
      </c>
      <c r="E131" s="91">
        <f>IFERROR(INDEX(Firms!$C$5:$C$1004,MATCH(127,Firms!$U$5:$U$1004,0))&amp;"","")</f>
        <v/>
      </c>
      <c r="F131" s="79">
        <f>IFERROR(INDEX(Firms!$N$5:$N$1004,MATCH(127,Firms!$U$5:$U$1004,0))&amp;"","")</f>
        <v/>
      </c>
      <c r="G131" s="79">
        <f>IFERROR(INDEX(Firms!$P$5:$P$1004,MATCH(127,Firms!$U$5:$U$1004,0))&amp;"","")</f>
        <v/>
      </c>
      <c r="H131" s="91">
        <f>IFERROR(INDEX(Firms!$T$5:$T$1004,MATCH(127,Firms!$U$5:$U$1004,0))&amp;"","")</f>
        <v/>
      </c>
    </row>
    <row r="132">
      <c r="A132" s="79">
        <f>IF(B132="","",128)</f>
        <v/>
      </c>
      <c r="B132" s="91">
        <f>IFERROR(INDEX(Firms!$A$5:$A$1004,MATCH(128,Firms!$U$5:$U$1004,0))&amp;"","")</f>
        <v/>
      </c>
      <c r="C132" s="88">
        <f>IFERROR(IF(INDEX(Firms!$R$5:$R$1004,MATCH(128,Firms!$U$5:$U$1004,0))="","",INDEX(Firms!$R$5:$R$1004,MATCH(128,Firms!$U$5:$U$1004,0))),"")</f>
        <v/>
      </c>
      <c r="D132" s="91">
        <f>IFERROR(INDEX(Firms!$S$5:$S$1004,MATCH(128,Firms!$U$5:$U$1004,0))&amp;"","")</f>
        <v/>
      </c>
      <c r="E132" s="91">
        <f>IFERROR(INDEX(Firms!$C$5:$C$1004,MATCH(128,Firms!$U$5:$U$1004,0))&amp;"","")</f>
        <v/>
      </c>
      <c r="F132" s="79">
        <f>IFERROR(INDEX(Firms!$N$5:$N$1004,MATCH(128,Firms!$U$5:$U$1004,0))&amp;"","")</f>
        <v/>
      </c>
      <c r="G132" s="79">
        <f>IFERROR(INDEX(Firms!$P$5:$P$1004,MATCH(128,Firms!$U$5:$U$1004,0))&amp;"","")</f>
        <v/>
      </c>
      <c r="H132" s="91">
        <f>IFERROR(INDEX(Firms!$T$5:$T$1004,MATCH(128,Firms!$U$5:$U$1004,0))&amp;"","")</f>
        <v/>
      </c>
    </row>
    <row r="133">
      <c r="A133" s="79">
        <f>IF(B133="","",129)</f>
        <v/>
      </c>
      <c r="B133" s="91">
        <f>IFERROR(INDEX(Firms!$A$5:$A$1004,MATCH(129,Firms!$U$5:$U$1004,0))&amp;"","")</f>
        <v/>
      </c>
      <c r="C133" s="88">
        <f>IFERROR(IF(INDEX(Firms!$R$5:$R$1004,MATCH(129,Firms!$U$5:$U$1004,0))="","",INDEX(Firms!$R$5:$R$1004,MATCH(129,Firms!$U$5:$U$1004,0))),"")</f>
        <v/>
      </c>
      <c r="D133" s="91">
        <f>IFERROR(INDEX(Firms!$S$5:$S$1004,MATCH(129,Firms!$U$5:$U$1004,0))&amp;"","")</f>
        <v/>
      </c>
      <c r="E133" s="91">
        <f>IFERROR(INDEX(Firms!$C$5:$C$1004,MATCH(129,Firms!$U$5:$U$1004,0))&amp;"","")</f>
        <v/>
      </c>
      <c r="F133" s="79">
        <f>IFERROR(INDEX(Firms!$N$5:$N$1004,MATCH(129,Firms!$U$5:$U$1004,0))&amp;"","")</f>
        <v/>
      </c>
      <c r="G133" s="79">
        <f>IFERROR(INDEX(Firms!$P$5:$P$1004,MATCH(129,Firms!$U$5:$U$1004,0))&amp;"","")</f>
        <v/>
      </c>
      <c r="H133" s="91">
        <f>IFERROR(INDEX(Firms!$T$5:$T$1004,MATCH(129,Firms!$U$5:$U$1004,0))&amp;"","")</f>
        <v/>
      </c>
    </row>
    <row r="134">
      <c r="A134" s="79">
        <f>IF(B134="","",130)</f>
        <v/>
      </c>
      <c r="B134" s="91">
        <f>IFERROR(INDEX(Firms!$A$5:$A$1004,MATCH(130,Firms!$U$5:$U$1004,0))&amp;"","")</f>
        <v/>
      </c>
      <c r="C134" s="88">
        <f>IFERROR(IF(INDEX(Firms!$R$5:$R$1004,MATCH(130,Firms!$U$5:$U$1004,0))="","",INDEX(Firms!$R$5:$R$1004,MATCH(130,Firms!$U$5:$U$1004,0))),"")</f>
        <v/>
      </c>
      <c r="D134" s="91">
        <f>IFERROR(INDEX(Firms!$S$5:$S$1004,MATCH(130,Firms!$U$5:$U$1004,0))&amp;"","")</f>
        <v/>
      </c>
      <c r="E134" s="91">
        <f>IFERROR(INDEX(Firms!$C$5:$C$1004,MATCH(130,Firms!$U$5:$U$1004,0))&amp;"","")</f>
        <v/>
      </c>
      <c r="F134" s="79">
        <f>IFERROR(INDEX(Firms!$N$5:$N$1004,MATCH(130,Firms!$U$5:$U$1004,0))&amp;"","")</f>
        <v/>
      </c>
      <c r="G134" s="79">
        <f>IFERROR(INDEX(Firms!$P$5:$P$1004,MATCH(130,Firms!$U$5:$U$1004,0))&amp;"","")</f>
        <v/>
      </c>
      <c r="H134" s="91">
        <f>IFERROR(INDEX(Firms!$T$5:$T$1004,MATCH(130,Firms!$U$5:$U$1004,0))&amp;"","")</f>
        <v/>
      </c>
    </row>
    <row r="135">
      <c r="A135" s="79">
        <f>IF(B135="","",131)</f>
        <v/>
      </c>
      <c r="B135" s="91">
        <f>IFERROR(INDEX(Firms!$A$5:$A$1004,MATCH(131,Firms!$U$5:$U$1004,0))&amp;"","")</f>
        <v/>
      </c>
      <c r="C135" s="88">
        <f>IFERROR(IF(INDEX(Firms!$R$5:$R$1004,MATCH(131,Firms!$U$5:$U$1004,0))="","",INDEX(Firms!$R$5:$R$1004,MATCH(131,Firms!$U$5:$U$1004,0))),"")</f>
        <v/>
      </c>
      <c r="D135" s="91">
        <f>IFERROR(INDEX(Firms!$S$5:$S$1004,MATCH(131,Firms!$U$5:$U$1004,0))&amp;"","")</f>
        <v/>
      </c>
      <c r="E135" s="91">
        <f>IFERROR(INDEX(Firms!$C$5:$C$1004,MATCH(131,Firms!$U$5:$U$1004,0))&amp;"","")</f>
        <v/>
      </c>
      <c r="F135" s="79">
        <f>IFERROR(INDEX(Firms!$N$5:$N$1004,MATCH(131,Firms!$U$5:$U$1004,0))&amp;"","")</f>
        <v/>
      </c>
      <c r="G135" s="79">
        <f>IFERROR(INDEX(Firms!$P$5:$P$1004,MATCH(131,Firms!$U$5:$U$1004,0))&amp;"","")</f>
        <v/>
      </c>
      <c r="H135" s="91">
        <f>IFERROR(INDEX(Firms!$T$5:$T$1004,MATCH(131,Firms!$U$5:$U$1004,0))&amp;"","")</f>
        <v/>
      </c>
    </row>
    <row r="136">
      <c r="A136" s="79">
        <f>IF(B136="","",132)</f>
        <v/>
      </c>
      <c r="B136" s="91">
        <f>IFERROR(INDEX(Firms!$A$5:$A$1004,MATCH(132,Firms!$U$5:$U$1004,0))&amp;"","")</f>
        <v/>
      </c>
      <c r="C136" s="88">
        <f>IFERROR(IF(INDEX(Firms!$R$5:$R$1004,MATCH(132,Firms!$U$5:$U$1004,0))="","",INDEX(Firms!$R$5:$R$1004,MATCH(132,Firms!$U$5:$U$1004,0))),"")</f>
        <v/>
      </c>
      <c r="D136" s="91">
        <f>IFERROR(INDEX(Firms!$S$5:$S$1004,MATCH(132,Firms!$U$5:$U$1004,0))&amp;"","")</f>
        <v/>
      </c>
      <c r="E136" s="91">
        <f>IFERROR(INDEX(Firms!$C$5:$C$1004,MATCH(132,Firms!$U$5:$U$1004,0))&amp;"","")</f>
        <v/>
      </c>
      <c r="F136" s="79">
        <f>IFERROR(INDEX(Firms!$N$5:$N$1004,MATCH(132,Firms!$U$5:$U$1004,0))&amp;"","")</f>
        <v/>
      </c>
      <c r="G136" s="79">
        <f>IFERROR(INDEX(Firms!$P$5:$P$1004,MATCH(132,Firms!$U$5:$U$1004,0))&amp;"","")</f>
        <v/>
      </c>
      <c r="H136" s="91">
        <f>IFERROR(INDEX(Firms!$T$5:$T$1004,MATCH(132,Firms!$U$5:$U$1004,0))&amp;"","")</f>
        <v/>
      </c>
    </row>
    <row r="137">
      <c r="A137" s="79">
        <f>IF(B137="","",133)</f>
        <v/>
      </c>
      <c r="B137" s="91">
        <f>IFERROR(INDEX(Firms!$A$5:$A$1004,MATCH(133,Firms!$U$5:$U$1004,0))&amp;"","")</f>
        <v/>
      </c>
      <c r="C137" s="88">
        <f>IFERROR(IF(INDEX(Firms!$R$5:$R$1004,MATCH(133,Firms!$U$5:$U$1004,0))="","",INDEX(Firms!$R$5:$R$1004,MATCH(133,Firms!$U$5:$U$1004,0))),"")</f>
        <v/>
      </c>
      <c r="D137" s="91">
        <f>IFERROR(INDEX(Firms!$S$5:$S$1004,MATCH(133,Firms!$U$5:$U$1004,0))&amp;"","")</f>
        <v/>
      </c>
      <c r="E137" s="91">
        <f>IFERROR(INDEX(Firms!$C$5:$C$1004,MATCH(133,Firms!$U$5:$U$1004,0))&amp;"","")</f>
        <v/>
      </c>
      <c r="F137" s="79">
        <f>IFERROR(INDEX(Firms!$N$5:$N$1004,MATCH(133,Firms!$U$5:$U$1004,0))&amp;"","")</f>
        <v/>
      </c>
      <c r="G137" s="79">
        <f>IFERROR(INDEX(Firms!$P$5:$P$1004,MATCH(133,Firms!$U$5:$U$1004,0))&amp;"","")</f>
        <v/>
      </c>
      <c r="H137" s="91">
        <f>IFERROR(INDEX(Firms!$T$5:$T$1004,MATCH(133,Firms!$U$5:$U$1004,0))&amp;"","")</f>
        <v/>
      </c>
    </row>
    <row r="138">
      <c r="A138" s="79">
        <f>IF(B138="","",134)</f>
        <v/>
      </c>
      <c r="B138" s="91">
        <f>IFERROR(INDEX(Firms!$A$5:$A$1004,MATCH(134,Firms!$U$5:$U$1004,0))&amp;"","")</f>
        <v/>
      </c>
      <c r="C138" s="88">
        <f>IFERROR(IF(INDEX(Firms!$R$5:$R$1004,MATCH(134,Firms!$U$5:$U$1004,0))="","",INDEX(Firms!$R$5:$R$1004,MATCH(134,Firms!$U$5:$U$1004,0))),"")</f>
        <v/>
      </c>
      <c r="D138" s="91">
        <f>IFERROR(INDEX(Firms!$S$5:$S$1004,MATCH(134,Firms!$U$5:$U$1004,0))&amp;"","")</f>
        <v/>
      </c>
      <c r="E138" s="91">
        <f>IFERROR(INDEX(Firms!$C$5:$C$1004,MATCH(134,Firms!$U$5:$U$1004,0))&amp;"","")</f>
        <v/>
      </c>
      <c r="F138" s="79">
        <f>IFERROR(INDEX(Firms!$N$5:$N$1004,MATCH(134,Firms!$U$5:$U$1004,0))&amp;"","")</f>
        <v/>
      </c>
      <c r="G138" s="79">
        <f>IFERROR(INDEX(Firms!$P$5:$P$1004,MATCH(134,Firms!$U$5:$U$1004,0))&amp;"","")</f>
        <v/>
      </c>
      <c r="H138" s="91">
        <f>IFERROR(INDEX(Firms!$T$5:$T$1004,MATCH(134,Firms!$U$5:$U$1004,0))&amp;"","")</f>
        <v/>
      </c>
    </row>
    <row r="139">
      <c r="A139" s="79">
        <f>IF(B139="","",135)</f>
        <v/>
      </c>
      <c r="B139" s="91">
        <f>IFERROR(INDEX(Firms!$A$5:$A$1004,MATCH(135,Firms!$U$5:$U$1004,0))&amp;"","")</f>
        <v/>
      </c>
      <c r="C139" s="88">
        <f>IFERROR(IF(INDEX(Firms!$R$5:$R$1004,MATCH(135,Firms!$U$5:$U$1004,0))="","",INDEX(Firms!$R$5:$R$1004,MATCH(135,Firms!$U$5:$U$1004,0))),"")</f>
        <v/>
      </c>
      <c r="D139" s="91">
        <f>IFERROR(INDEX(Firms!$S$5:$S$1004,MATCH(135,Firms!$U$5:$U$1004,0))&amp;"","")</f>
        <v/>
      </c>
      <c r="E139" s="91">
        <f>IFERROR(INDEX(Firms!$C$5:$C$1004,MATCH(135,Firms!$U$5:$U$1004,0))&amp;"","")</f>
        <v/>
      </c>
      <c r="F139" s="79">
        <f>IFERROR(INDEX(Firms!$N$5:$N$1004,MATCH(135,Firms!$U$5:$U$1004,0))&amp;"","")</f>
        <v/>
      </c>
      <c r="G139" s="79">
        <f>IFERROR(INDEX(Firms!$P$5:$P$1004,MATCH(135,Firms!$U$5:$U$1004,0))&amp;"","")</f>
        <v/>
      </c>
      <c r="H139" s="91">
        <f>IFERROR(INDEX(Firms!$T$5:$T$1004,MATCH(135,Firms!$U$5:$U$1004,0))&amp;"","")</f>
        <v/>
      </c>
    </row>
    <row r="140">
      <c r="A140" s="79">
        <f>IF(B140="","",136)</f>
        <v/>
      </c>
      <c r="B140" s="91">
        <f>IFERROR(INDEX(Firms!$A$5:$A$1004,MATCH(136,Firms!$U$5:$U$1004,0))&amp;"","")</f>
        <v/>
      </c>
      <c r="C140" s="88">
        <f>IFERROR(IF(INDEX(Firms!$R$5:$R$1004,MATCH(136,Firms!$U$5:$U$1004,0))="","",INDEX(Firms!$R$5:$R$1004,MATCH(136,Firms!$U$5:$U$1004,0))),"")</f>
        <v/>
      </c>
      <c r="D140" s="91">
        <f>IFERROR(INDEX(Firms!$S$5:$S$1004,MATCH(136,Firms!$U$5:$U$1004,0))&amp;"","")</f>
        <v/>
      </c>
      <c r="E140" s="91">
        <f>IFERROR(INDEX(Firms!$C$5:$C$1004,MATCH(136,Firms!$U$5:$U$1004,0))&amp;"","")</f>
        <v/>
      </c>
      <c r="F140" s="79">
        <f>IFERROR(INDEX(Firms!$N$5:$N$1004,MATCH(136,Firms!$U$5:$U$1004,0))&amp;"","")</f>
        <v/>
      </c>
      <c r="G140" s="79">
        <f>IFERROR(INDEX(Firms!$P$5:$P$1004,MATCH(136,Firms!$U$5:$U$1004,0))&amp;"","")</f>
        <v/>
      </c>
      <c r="H140" s="91">
        <f>IFERROR(INDEX(Firms!$T$5:$T$1004,MATCH(136,Firms!$U$5:$U$1004,0))&amp;"","")</f>
        <v/>
      </c>
    </row>
    <row r="141">
      <c r="A141" s="79">
        <f>IF(B141="","",137)</f>
        <v/>
      </c>
      <c r="B141" s="91">
        <f>IFERROR(INDEX(Firms!$A$5:$A$1004,MATCH(137,Firms!$U$5:$U$1004,0))&amp;"","")</f>
        <v/>
      </c>
      <c r="C141" s="88">
        <f>IFERROR(IF(INDEX(Firms!$R$5:$R$1004,MATCH(137,Firms!$U$5:$U$1004,0))="","",INDEX(Firms!$R$5:$R$1004,MATCH(137,Firms!$U$5:$U$1004,0))),"")</f>
        <v/>
      </c>
      <c r="D141" s="91">
        <f>IFERROR(INDEX(Firms!$S$5:$S$1004,MATCH(137,Firms!$U$5:$U$1004,0))&amp;"","")</f>
        <v/>
      </c>
      <c r="E141" s="91">
        <f>IFERROR(INDEX(Firms!$C$5:$C$1004,MATCH(137,Firms!$U$5:$U$1004,0))&amp;"","")</f>
        <v/>
      </c>
      <c r="F141" s="79">
        <f>IFERROR(INDEX(Firms!$N$5:$N$1004,MATCH(137,Firms!$U$5:$U$1004,0))&amp;"","")</f>
        <v/>
      </c>
      <c r="G141" s="79">
        <f>IFERROR(INDEX(Firms!$P$5:$P$1004,MATCH(137,Firms!$U$5:$U$1004,0))&amp;"","")</f>
        <v/>
      </c>
      <c r="H141" s="91">
        <f>IFERROR(INDEX(Firms!$T$5:$T$1004,MATCH(137,Firms!$U$5:$U$1004,0))&amp;"","")</f>
        <v/>
      </c>
    </row>
    <row r="142">
      <c r="A142" s="79">
        <f>IF(B142="","",138)</f>
        <v/>
      </c>
      <c r="B142" s="91">
        <f>IFERROR(INDEX(Firms!$A$5:$A$1004,MATCH(138,Firms!$U$5:$U$1004,0))&amp;"","")</f>
        <v/>
      </c>
      <c r="C142" s="88">
        <f>IFERROR(IF(INDEX(Firms!$R$5:$R$1004,MATCH(138,Firms!$U$5:$U$1004,0))="","",INDEX(Firms!$R$5:$R$1004,MATCH(138,Firms!$U$5:$U$1004,0))),"")</f>
        <v/>
      </c>
      <c r="D142" s="91">
        <f>IFERROR(INDEX(Firms!$S$5:$S$1004,MATCH(138,Firms!$U$5:$U$1004,0))&amp;"","")</f>
        <v/>
      </c>
      <c r="E142" s="91">
        <f>IFERROR(INDEX(Firms!$C$5:$C$1004,MATCH(138,Firms!$U$5:$U$1004,0))&amp;"","")</f>
        <v/>
      </c>
      <c r="F142" s="79">
        <f>IFERROR(INDEX(Firms!$N$5:$N$1004,MATCH(138,Firms!$U$5:$U$1004,0))&amp;"","")</f>
        <v/>
      </c>
      <c r="G142" s="79">
        <f>IFERROR(INDEX(Firms!$P$5:$P$1004,MATCH(138,Firms!$U$5:$U$1004,0))&amp;"","")</f>
        <v/>
      </c>
      <c r="H142" s="91">
        <f>IFERROR(INDEX(Firms!$T$5:$T$1004,MATCH(138,Firms!$U$5:$U$1004,0))&amp;"","")</f>
        <v/>
      </c>
    </row>
    <row r="143">
      <c r="A143" s="79">
        <f>IF(B143="","",139)</f>
        <v/>
      </c>
      <c r="B143" s="91">
        <f>IFERROR(INDEX(Firms!$A$5:$A$1004,MATCH(139,Firms!$U$5:$U$1004,0))&amp;"","")</f>
        <v/>
      </c>
      <c r="C143" s="88">
        <f>IFERROR(IF(INDEX(Firms!$R$5:$R$1004,MATCH(139,Firms!$U$5:$U$1004,0))="","",INDEX(Firms!$R$5:$R$1004,MATCH(139,Firms!$U$5:$U$1004,0))),"")</f>
        <v/>
      </c>
      <c r="D143" s="91">
        <f>IFERROR(INDEX(Firms!$S$5:$S$1004,MATCH(139,Firms!$U$5:$U$1004,0))&amp;"","")</f>
        <v/>
      </c>
      <c r="E143" s="91">
        <f>IFERROR(INDEX(Firms!$C$5:$C$1004,MATCH(139,Firms!$U$5:$U$1004,0))&amp;"","")</f>
        <v/>
      </c>
      <c r="F143" s="79">
        <f>IFERROR(INDEX(Firms!$N$5:$N$1004,MATCH(139,Firms!$U$5:$U$1004,0))&amp;"","")</f>
        <v/>
      </c>
      <c r="G143" s="79">
        <f>IFERROR(INDEX(Firms!$P$5:$P$1004,MATCH(139,Firms!$U$5:$U$1004,0))&amp;"","")</f>
        <v/>
      </c>
      <c r="H143" s="91">
        <f>IFERROR(INDEX(Firms!$T$5:$T$1004,MATCH(139,Firms!$U$5:$U$1004,0))&amp;"","")</f>
        <v/>
      </c>
    </row>
    <row r="144">
      <c r="A144" s="79">
        <f>IF(B144="","",140)</f>
        <v/>
      </c>
      <c r="B144" s="91">
        <f>IFERROR(INDEX(Firms!$A$5:$A$1004,MATCH(140,Firms!$U$5:$U$1004,0))&amp;"","")</f>
        <v/>
      </c>
      <c r="C144" s="88">
        <f>IFERROR(IF(INDEX(Firms!$R$5:$R$1004,MATCH(140,Firms!$U$5:$U$1004,0))="","",INDEX(Firms!$R$5:$R$1004,MATCH(140,Firms!$U$5:$U$1004,0))),"")</f>
        <v/>
      </c>
      <c r="D144" s="91">
        <f>IFERROR(INDEX(Firms!$S$5:$S$1004,MATCH(140,Firms!$U$5:$U$1004,0))&amp;"","")</f>
        <v/>
      </c>
      <c r="E144" s="91">
        <f>IFERROR(INDEX(Firms!$C$5:$C$1004,MATCH(140,Firms!$U$5:$U$1004,0))&amp;"","")</f>
        <v/>
      </c>
      <c r="F144" s="79">
        <f>IFERROR(INDEX(Firms!$N$5:$N$1004,MATCH(140,Firms!$U$5:$U$1004,0))&amp;"","")</f>
        <v/>
      </c>
      <c r="G144" s="79">
        <f>IFERROR(INDEX(Firms!$P$5:$P$1004,MATCH(140,Firms!$U$5:$U$1004,0))&amp;"","")</f>
        <v/>
      </c>
      <c r="H144" s="91">
        <f>IFERROR(INDEX(Firms!$T$5:$T$1004,MATCH(140,Firms!$U$5:$U$1004,0))&amp;"","")</f>
        <v/>
      </c>
    </row>
    <row r="145">
      <c r="A145" s="79">
        <f>IF(B145="","",141)</f>
        <v/>
      </c>
      <c r="B145" s="91">
        <f>IFERROR(INDEX(Firms!$A$5:$A$1004,MATCH(141,Firms!$U$5:$U$1004,0))&amp;"","")</f>
        <v/>
      </c>
      <c r="C145" s="88">
        <f>IFERROR(IF(INDEX(Firms!$R$5:$R$1004,MATCH(141,Firms!$U$5:$U$1004,0))="","",INDEX(Firms!$R$5:$R$1004,MATCH(141,Firms!$U$5:$U$1004,0))),"")</f>
        <v/>
      </c>
      <c r="D145" s="91">
        <f>IFERROR(INDEX(Firms!$S$5:$S$1004,MATCH(141,Firms!$U$5:$U$1004,0))&amp;"","")</f>
        <v/>
      </c>
      <c r="E145" s="91">
        <f>IFERROR(INDEX(Firms!$C$5:$C$1004,MATCH(141,Firms!$U$5:$U$1004,0))&amp;"","")</f>
        <v/>
      </c>
      <c r="F145" s="79">
        <f>IFERROR(INDEX(Firms!$N$5:$N$1004,MATCH(141,Firms!$U$5:$U$1004,0))&amp;"","")</f>
        <v/>
      </c>
      <c r="G145" s="79">
        <f>IFERROR(INDEX(Firms!$P$5:$P$1004,MATCH(141,Firms!$U$5:$U$1004,0))&amp;"","")</f>
        <v/>
      </c>
      <c r="H145" s="91">
        <f>IFERROR(INDEX(Firms!$T$5:$T$1004,MATCH(141,Firms!$U$5:$U$1004,0))&amp;"","")</f>
        <v/>
      </c>
    </row>
    <row r="146">
      <c r="A146" s="79">
        <f>IF(B146="","",142)</f>
        <v/>
      </c>
      <c r="B146" s="91">
        <f>IFERROR(INDEX(Firms!$A$5:$A$1004,MATCH(142,Firms!$U$5:$U$1004,0))&amp;"","")</f>
        <v/>
      </c>
      <c r="C146" s="88">
        <f>IFERROR(IF(INDEX(Firms!$R$5:$R$1004,MATCH(142,Firms!$U$5:$U$1004,0))="","",INDEX(Firms!$R$5:$R$1004,MATCH(142,Firms!$U$5:$U$1004,0))),"")</f>
        <v/>
      </c>
      <c r="D146" s="91">
        <f>IFERROR(INDEX(Firms!$S$5:$S$1004,MATCH(142,Firms!$U$5:$U$1004,0))&amp;"","")</f>
        <v/>
      </c>
      <c r="E146" s="91">
        <f>IFERROR(INDEX(Firms!$C$5:$C$1004,MATCH(142,Firms!$U$5:$U$1004,0))&amp;"","")</f>
        <v/>
      </c>
      <c r="F146" s="79">
        <f>IFERROR(INDEX(Firms!$N$5:$N$1004,MATCH(142,Firms!$U$5:$U$1004,0))&amp;"","")</f>
        <v/>
      </c>
      <c r="G146" s="79">
        <f>IFERROR(INDEX(Firms!$P$5:$P$1004,MATCH(142,Firms!$U$5:$U$1004,0))&amp;"","")</f>
        <v/>
      </c>
      <c r="H146" s="91">
        <f>IFERROR(INDEX(Firms!$T$5:$T$1004,MATCH(142,Firms!$U$5:$U$1004,0))&amp;"","")</f>
        <v/>
      </c>
    </row>
    <row r="147">
      <c r="A147" s="79">
        <f>IF(B147="","",143)</f>
        <v/>
      </c>
      <c r="B147" s="91">
        <f>IFERROR(INDEX(Firms!$A$5:$A$1004,MATCH(143,Firms!$U$5:$U$1004,0))&amp;"","")</f>
        <v/>
      </c>
      <c r="C147" s="88">
        <f>IFERROR(IF(INDEX(Firms!$R$5:$R$1004,MATCH(143,Firms!$U$5:$U$1004,0))="","",INDEX(Firms!$R$5:$R$1004,MATCH(143,Firms!$U$5:$U$1004,0))),"")</f>
        <v/>
      </c>
      <c r="D147" s="91">
        <f>IFERROR(INDEX(Firms!$S$5:$S$1004,MATCH(143,Firms!$U$5:$U$1004,0))&amp;"","")</f>
        <v/>
      </c>
      <c r="E147" s="91">
        <f>IFERROR(INDEX(Firms!$C$5:$C$1004,MATCH(143,Firms!$U$5:$U$1004,0))&amp;"","")</f>
        <v/>
      </c>
      <c r="F147" s="79">
        <f>IFERROR(INDEX(Firms!$N$5:$N$1004,MATCH(143,Firms!$U$5:$U$1004,0))&amp;"","")</f>
        <v/>
      </c>
      <c r="G147" s="79">
        <f>IFERROR(INDEX(Firms!$P$5:$P$1004,MATCH(143,Firms!$U$5:$U$1004,0))&amp;"","")</f>
        <v/>
      </c>
      <c r="H147" s="91">
        <f>IFERROR(INDEX(Firms!$T$5:$T$1004,MATCH(143,Firms!$U$5:$U$1004,0))&amp;"","")</f>
        <v/>
      </c>
    </row>
    <row r="148">
      <c r="A148" s="79">
        <f>IF(B148="","",144)</f>
        <v/>
      </c>
      <c r="B148" s="91">
        <f>IFERROR(INDEX(Firms!$A$5:$A$1004,MATCH(144,Firms!$U$5:$U$1004,0))&amp;"","")</f>
        <v/>
      </c>
      <c r="C148" s="88">
        <f>IFERROR(IF(INDEX(Firms!$R$5:$R$1004,MATCH(144,Firms!$U$5:$U$1004,0))="","",INDEX(Firms!$R$5:$R$1004,MATCH(144,Firms!$U$5:$U$1004,0))),"")</f>
        <v/>
      </c>
      <c r="D148" s="91">
        <f>IFERROR(INDEX(Firms!$S$5:$S$1004,MATCH(144,Firms!$U$5:$U$1004,0))&amp;"","")</f>
        <v/>
      </c>
      <c r="E148" s="91">
        <f>IFERROR(INDEX(Firms!$C$5:$C$1004,MATCH(144,Firms!$U$5:$U$1004,0))&amp;"","")</f>
        <v/>
      </c>
      <c r="F148" s="79">
        <f>IFERROR(INDEX(Firms!$N$5:$N$1004,MATCH(144,Firms!$U$5:$U$1004,0))&amp;"","")</f>
        <v/>
      </c>
      <c r="G148" s="79">
        <f>IFERROR(INDEX(Firms!$P$5:$P$1004,MATCH(144,Firms!$U$5:$U$1004,0))&amp;"","")</f>
        <v/>
      </c>
      <c r="H148" s="91">
        <f>IFERROR(INDEX(Firms!$T$5:$T$1004,MATCH(144,Firms!$U$5:$U$1004,0))&amp;"","")</f>
        <v/>
      </c>
    </row>
    <row r="149">
      <c r="A149" s="79">
        <f>IF(B149="","",145)</f>
        <v/>
      </c>
      <c r="B149" s="91">
        <f>IFERROR(INDEX(Firms!$A$5:$A$1004,MATCH(145,Firms!$U$5:$U$1004,0))&amp;"","")</f>
        <v/>
      </c>
      <c r="C149" s="88">
        <f>IFERROR(IF(INDEX(Firms!$R$5:$R$1004,MATCH(145,Firms!$U$5:$U$1004,0))="","",INDEX(Firms!$R$5:$R$1004,MATCH(145,Firms!$U$5:$U$1004,0))),"")</f>
        <v/>
      </c>
      <c r="D149" s="91">
        <f>IFERROR(INDEX(Firms!$S$5:$S$1004,MATCH(145,Firms!$U$5:$U$1004,0))&amp;"","")</f>
        <v/>
      </c>
      <c r="E149" s="91">
        <f>IFERROR(INDEX(Firms!$C$5:$C$1004,MATCH(145,Firms!$U$5:$U$1004,0))&amp;"","")</f>
        <v/>
      </c>
      <c r="F149" s="79">
        <f>IFERROR(INDEX(Firms!$N$5:$N$1004,MATCH(145,Firms!$U$5:$U$1004,0))&amp;"","")</f>
        <v/>
      </c>
      <c r="G149" s="79">
        <f>IFERROR(INDEX(Firms!$P$5:$P$1004,MATCH(145,Firms!$U$5:$U$1004,0))&amp;"","")</f>
        <v/>
      </c>
      <c r="H149" s="91">
        <f>IFERROR(INDEX(Firms!$T$5:$T$1004,MATCH(145,Firms!$U$5:$U$1004,0))&amp;"","")</f>
        <v/>
      </c>
    </row>
    <row r="150">
      <c r="A150" s="79">
        <f>IF(B150="","",146)</f>
        <v/>
      </c>
      <c r="B150" s="91">
        <f>IFERROR(INDEX(Firms!$A$5:$A$1004,MATCH(146,Firms!$U$5:$U$1004,0))&amp;"","")</f>
        <v/>
      </c>
      <c r="C150" s="88">
        <f>IFERROR(IF(INDEX(Firms!$R$5:$R$1004,MATCH(146,Firms!$U$5:$U$1004,0))="","",INDEX(Firms!$R$5:$R$1004,MATCH(146,Firms!$U$5:$U$1004,0))),"")</f>
        <v/>
      </c>
      <c r="D150" s="91">
        <f>IFERROR(INDEX(Firms!$S$5:$S$1004,MATCH(146,Firms!$U$5:$U$1004,0))&amp;"","")</f>
        <v/>
      </c>
      <c r="E150" s="91">
        <f>IFERROR(INDEX(Firms!$C$5:$C$1004,MATCH(146,Firms!$U$5:$U$1004,0))&amp;"","")</f>
        <v/>
      </c>
      <c r="F150" s="79">
        <f>IFERROR(INDEX(Firms!$N$5:$N$1004,MATCH(146,Firms!$U$5:$U$1004,0))&amp;"","")</f>
        <v/>
      </c>
      <c r="G150" s="79">
        <f>IFERROR(INDEX(Firms!$P$5:$P$1004,MATCH(146,Firms!$U$5:$U$1004,0))&amp;"","")</f>
        <v/>
      </c>
      <c r="H150" s="91">
        <f>IFERROR(INDEX(Firms!$T$5:$T$1004,MATCH(146,Firms!$U$5:$U$1004,0))&amp;"","")</f>
        <v/>
      </c>
    </row>
    <row r="151">
      <c r="A151" s="79">
        <f>IF(B151="","",147)</f>
        <v/>
      </c>
      <c r="B151" s="91">
        <f>IFERROR(INDEX(Firms!$A$5:$A$1004,MATCH(147,Firms!$U$5:$U$1004,0))&amp;"","")</f>
        <v/>
      </c>
      <c r="C151" s="88">
        <f>IFERROR(IF(INDEX(Firms!$R$5:$R$1004,MATCH(147,Firms!$U$5:$U$1004,0))="","",INDEX(Firms!$R$5:$R$1004,MATCH(147,Firms!$U$5:$U$1004,0))),"")</f>
        <v/>
      </c>
      <c r="D151" s="91">
        <f>IFERROR(INDEX(Firms!$S$5:$S$1004,MATCH(147,Firms!$U$5:$U$1004,0))&amp;"","")</f>
        <v/>
      </c>
      <c r="E151" s="91">
        <f>IFERROR(INDEX(Firms!$C$5:$C$1004,MATCH(147,Firms!$U$5:$U$1004,0))&amp;"","")</f>
        <v/>
      </c>
      <c r="F151" s="79">
        <f>IFERROR(INDEX(Firms!$N$5:$N$1004,MATCH(147,Firms!$U$5:$U$1004,0))&amp;"","")</f>
        <v/>
      </c>
      <c r="G151" s="79">
        <f>IFERROR(INDEX(Firms!$P$5:$P$1004,MATCH(147,Firms!$U$5:$U$1004,0))&amp;"","")</f>
        <v/>
      </c>
      <c r="H151" s="91">
        <f>IFERROR(INDEX(Firms!$T$5:$T$1004,MATCH(147,Firms!$U$5:$U$1004,0))&amp;"","")</f>
        <v/>
      </c>
    </row>
    <row r="152">
      <c r="A152" s="79">
        <f>IF(B152="","",148)</f>
        <v/>
      </c>
      <c r="B152" s="91">
        <f>IFERROR(INDEX(Firms!$A$5:$A$1004,MATCH(148,Firms!$U$5:$U$1004,0))&amp;"","")</f>
        <v/>
      </c>
      <c r="C152" s="88">
        <f>IFERROR(IF(INDEX(Firms!$R$5:$R$1004,MATCH(148,Firms!$U$5:$U$1004,0))="","",INDEX(Firms!$R$5:$R$1004,MATCH(148,Firms!$U$5:$U$1004,0))),"")</f>
        <v/>
      </c>
      <c r="D152" s="91">
        <f>IFERROR(INDEX(Firms!$S$5:$S$1004,MATCH(148,Firms!$U$5:$U$1004,0))&amp;"","")</f>
        <v/>
      </c>
      <c r="E152" s="91">
        <f>IFERROR(INDEX(Firms!$C$5:$C$1004,MATCH(148,Firms!$U$5:$U$1004,0))&amp;"","")</f>
        <v/>
      </c>
      <c r="F152" s="79">
        <f>IFERROR(INDEX(Firms!$N$5:$N$1004,MATCH(148,Firms!$U$5:$U$1004,0))&amp;"","")</f>
        <v/>
      </c>
      <c r="G152" s="79">
        <f>IFERROR(INDEX(Firms!$P$5:$P$1004,MATCH(148,Firms!$U$5:$U$1004,0))&amp;"","")</f>
        <v/>
      </c>
      <c r="H152" s="91">
        <f>IFERROR(INDEX(Firms!$T$5:$T$1004,MATCH(148,Firms!$U$5:$U$1004,0))&amp;"","")</f>
        <v/>
      </c>
    </row>
    <row r="153">
      <c r="A153" s="79">
        <f>IF(B153="","",149)</f>
        <v/>
      </c>
      <c r="B153" s="91">
        <f>IFERROR(INDEX(Firms!$A$5:$A$1004,MATCH(149,Firms!$U$5:$U$1004,0))&amp;"","")</f>
        <v/>
      </c>
      <c r="C153" s="88">
        <f>IFERROR(IF(INDEX(Firms!$R$5:$R$1004,MATCH(149,Firms!$U$5:$U$1004,0))="","",INDEX(Firms!$R$5:$R$1004,MATCH(149,Firms!$U$5:$U$1004,0))),"")</f>
        <v/>
      </c>
      <c r="D153" s="91">
        <f>IFERROR(INDEX(Firms!$S$5:$S$1004,MATCH(149,Firms!$U$5:$U$1004,0))&amp;"","")</f>
        <v/>
      </c>
      <c r="E153" s="91">
        <f>IFERROR(INDEX(Firms!$C$5:$C$1004,MATCH(149,Firms!$U$5:$U$1004,0))&amp;"","")</f>
        <v/>
      </c>
      <c r="F153" s="79">
        <f>IFERROR(INDEX(Firms!$N$5:$N$1004,MATCH(149,Firms!$U$5:$U$1004,0))&amp;"","")</f>
        <v/>
      </c>
      <c r="G153" s="79">
        <f>IFERROR(INDEX(Firms!$P$5:$P$1004,MATCH(149,Firms!$U$5:$U$1004,0))&amp;"","")</f>
        <v/>
      </c>
      <c r="H153" s="91">
        <f>IFERROR(INDEX(Firms!$T$5:$T$1004,MATCH(149,Firms!$U$5:$U$1004,0))&amp;"","")</f>
        <v/>
      </c>
    </row>
    <row r="154">
      <c r="A154" s="79">
        <f>IF(B154="","",150)</f>
        <v/>
      </c>
      <c r="B154" s="91">
        <f>IFERROR(INDEX(Firms!$A$5:$A$1004,MATCH(150,Firms!$U$5:$U$1004,0))&amp;"","")</f>
        <v/>
      </c>
      <c r="C154" s="88">
        <f>IFERROR(IF(INDEX(Firms!$R$5:$R$1004,MATCH(150,Firms!$U$5:$U$1004,0))="","",INDEX(Firms!$R$5:$R$1004,MATCH(150,Firms!$U$5:$U$1004,0))),"")</f>
        <v/>
      </c>
      <c r="D154" s="91">
        <f>IFERROR(INDEX(Firms!$S$5:$S$1004,MATCH(150,Firms!$U$5:$U$1004,0))&amp;"","")</f>
        <v/>
      </c>
      <c r="E154" s="91">
        <f>IFERROR(INDEX(Firms!$C$5:$C$1004,MATCH(150,Firms!$U$5:$U$1004,0))&amp;"","")</f>
        <v/>
      </c>
      <c r="F154" s="79">
        <f>IFERROR(INDEX(Firms!$N$5:$N$1004,MATCH(150,Firms!$U$5:$U$1004,0))&amp;"","")</f>
        <v/>
      </c>
      <c r="G154" s="79">
        <f>IFERROR(INDEX(Firms!$P$5:$P$1004,MATCH(150,Firms!$U$5:$U$1004,0))&amp;"","")</f>
        <v/>
      </c>
      <c r="H154" s="91">
        <f>IFERROR(INDEX(Firms!$T$5:$T$1004,MATCH(150,Firms!$U$5:$U$1004,0))&amp;"","")</f>
        <v/>
      </c>
    </row>
    <row r="155">
      <c r="A155" s="79">
        <f>IF(B155="","",151)</f>
        <v/>
      </c>
      <c r="B155" s="91">
        <f>IFERROR(INDEX(Firms!$A$5:$A$1004,MATCH(151,Firms!$U$5:$U$1004,0))&amp;"","")</f>
        <v/>
      </c>
      <c r="C155" s="88">
        <f>IFERROR(IF(INDEX(Firms!$R$5:$R$1004,MATCH(151,Firms!$U$5:$U$1004,0))="","",INDEX(Firms!$R$5:$R$1004,MATCH(151,Firms!$U$5:$U$1004,0))),"")</f>
        <v/>
      </c>
      <c r="D155" s="91">
        <f>IFERROR(INDEX(Firms!$S$5:$S$1004,MATCH(151,Firms!$U$5:$U$1004,0))&amp;"","")</f>
        <v/>
      </c>
      <c r="E155" s="91">
        <f>IFERROR(INDEX(Firms!$C$5:$C$1004,MATCH(151,Firms!$U$5:$U$1004,0))&amp;"","")</f>
        <v/>
      </c>
      <c r="F155" s="79">
        <f>IFERROR(INDEX(Firms!$N$5:$N$1004,MATCH(151,Firms!$U$5:$U$1004,0))&amp;"","")</f>
        <v/>
      </c>
      <c r="G155" s="79">
        <f>IFERROR(INDEX(Firms!$P$5:$P$1004,MATCH(151,Firms!$U$5:$U$1004,0))&amp;"","")</f>
        <v/>
      </c>
      <c r="H155" s="91">
        <f>IFERROR(INDEX(Firms!$T$5:$T$1004,MATCH(151,Firms!$U$5:$U$1004,0))&amp;"","")</f>
        <v/>
      </c>
    </row>
    <row r="156">
      <c r="A156" s="79">
        <f>IF(B156="","",152)</f>
        <v/>
      </c>
      <c r="B156" s="91">
        <f>IFERROR(INDEX(Firms!$A$5:$A$1004,MATCH(152,Firms!$U$5:$U$1004,0))&amp;"","")</f>
        <v/>
      </c>
      <c r="C156" s="88">
        <f>IFERROR(IF(INDEX(Firms!$R$5:$R$1004,MATCH(152,Firms!$U$5:$U$1004,0))="","",INDEX(Firms!$R$5:$R$1004,MATCH(152,Firms!$U$5:$U$1004,0))),"")</f>
        <v/>
      </c>
      <c r="D156" s="91">
        <f>IFERROR(INDEX(Firms!$S$5:$S$1004,MATCH(152,Firms!$U$5:$U$1004,0))&amp;"","")</f>
        <v/>
      </c>
      <c r="E156" s="91">
        <f>IFERROR(INDEX(Firms!$C$5:$C$1004,MATCH(152,Firms!$U$5:$U$1004,0))&amp;"","")</f>
        <v/>
      </c>
      <c r="F156" s="79">
        <f>IFERROR(INDEX(Firms!$N$5:$N$1004,MATCH(152,Firms!$U$5:$U$1004,0))&amp;"","")</f>
        <v/>
      </c>
      <c r="G156" s="79">
        <f>IFERROR(INDEX(Firms!$P$5:$P$1004,MATCH(152,Firms!$U$5:$U$1004,0))&amp;"","")</f>
        <v/>
      </c>
      <c r="H156" s="91">
        <f>IFERROR(INDEX(Firms!$T$5:$T$1004,MATCH(152,Firms!$U$5:$U$1004,0))&amp;"","")</f>
        <v/>
      </c>
    </row>
    <row r="157">
      <c r="A157" s="79">
        <f>IF(B157="","",153)</f>
        <v/>
      </c>
      <c r="B157" s="91">
        <f>IFERROR(INDEX(Firms!$A$5:$A$1004,MATCH(153,Firms!$U$5:$U$1004,0))&amp;"","")</f>
        <v/>
      </c>
      <c r="C157" s="88">
        <f>IFERROR(IF(INDEX(Firms!$R$5:$R$1004,MATCH(153,Firms!$U$5:$U$1004,0))="","",INDEX(Firms!$R$5:$R$1004,MATCH(153,Firms!$U$5:$U$1004,0))),"")</f>
        <v/>
      </c>
      <c r="D157" s="91">
        <f>IFERROR(INDEX(Firms!$S$5:$S$1004,MATCH(153,Firms!$U$5:$U$1004,0))&amp;"","")</f>
        <v/>
      </c>
      <c r="E157" s="91">
        <f>IFERROR(INDEX(Firms!$C$5:$C$1004,MATCH(153,Firms!$U$5:$U$1004,0))&amp;"","")</f>
        <v/>
      </c>
      <c r="F157" s="79">
        <f>IFERROR(INDEX(Firms!$N$5:$N$1004,MATCH(153,Firms!$U$5:$U$1004,0))&amp;"","")</f>
        <v/>
      </c>
      <c r="G157" s="79">
        <f>IFERROR(INDEX(Firms!$P$5:$P$1004,MATCH(153,Firms!$U$5:$U$1004,0))&amp;"","")</f>
        <v/>
      </c>
      <c r="H157" s="91">
        <f>IFERROR(INDEX(Firms!$T$5:$T$1004,MATCH(153,Firms!$U$5:$U$1004,0))&amp;"","")</f>
        <v/>
      </c>
    </row>
    <row r="158">
      <c r="A158" s="79">
        <f>IF(B158="","",154)</f>
        <v/>
      </c>
      <c r="B158" s="91">
        <f>IFERROR(INDEX(Firms!$A$5:$A$1004,MATCH(154,Firms!$U$5:$U$1004,0))&amp;"","")</f>
        <v/>
      </c>
      <c r="C158" s="88">
        <f>IFERROR(IF(INDEX(Firms!$R$5:$R$1004,MATCH(154,Firms!$U$5:$U$1004,0))="","",INDEX(Firms!$R$5:$R$1004,MATCH(154,Firms!$U$5:$U$1004,0))),"")</f>
        <v/>
      </c>
      <c r="D158" s="91">
        <f>IFERROR(INDEX(Firms!$S$5:$S$1004,MATCH(154,Firms!$U$5:$U$1004,0))&amp;"","")</f>
        <v/>
      </c>
      <c r="E158" s="91">
        <f>IFERROR(INDEX(Firms!$C$5:$C$1004,MATCH(154,Firms!$U$5:$U$1004,0))&amp;"","")</f>
        <v/>
      </c>
      <c r="F158" s="79">
        <f>IFERROR(INDEX(Firms!$N$5:$N$1004,MATCH(154,Firms!$U$5:$U$1004,0))&amp;"","")</f>
        <v/>
      </c>
      <c r="G158" s="79">
        <f>IFERROR(INDEX(Firms!$P$5:$P$1004,MATCH(154,Firms!$U$5:$U$1004,0))&amp;"","")</f>
        <v/>
      </c>
      <c r="H158" s="91">
        <f>IFERROR(INDEX(Firms!$T$5:$T$1004,MATCH(154,Firms!$U$5:$U$1004,0))&amp;"","")</f>
        <v/>
      </c>
    </row>
    <row r="159">
      <c r="A159" s="79">
        <f>IF(B159="","",155)</f>
        <v/>
      </c>
      <c r="B159" s="91">
        <f>IFERROR(INDEX(Firms!$A$5:$A$1004,MATCH(155,Firms!$U$5:$U$1004,0))&amp;"","")</f>
        <v/>
      </c>
      <c r="C159" s="88">
        <f>IFERROR(IF(INDEX(Firms!$R$5:$R$1004,MATCH(155,Firms!$U$5:$U$1004,0))="","",INDEX(Firms!$R$5:$R$1004,MATCH(155,Firms!$U$5:$U$1004,0))),"")</f>
        <v/>
      </c>
      <c r="D159" s="91">
        <f>IFERROR(INDEX(Firms!$S$5:$S$1004,MATCH(155,Firms!$U$5:$U$1004,0))&amp;"","")</f>
        <v/>
      </c>
      <c r="E159" s="91">
        <f>IFERROR(INDEX(Firms!$C$5:$C$1004,MATCH(155,Firms!$U$5:$U$1004,0))&amp;"","")</f>
        <v/>
      </c>
      <c r="F159" s="79">
        <f>IFERROR(INDEX(Firms!$N$5:$N$1004,MATCH(155,Firms!$U$5:$U$1004,0))&amp;"","")</f>
        <v/>
      </c>
      <c r="G159" s="79">
        <f>IFERROR(INDEX(Firms!$P$5:$P$1004,MATCH(155,Firms!$U$5:$U$1004,0))&amp;"","")</f>
        <v/>
      </c>
      <c r="H159" s="91">
        <f>IFERROR(INDEX(Firms!$T$5:$T$1004,MATCH(155,Firms!$U$5:$U$1004,0))&amp;"","")</f>
        <v/>
      </c>
    </row>
    <row r="160">
      <c r="A160" s="79">
        <f>IF(B160="","",156)</f>
        <v/>
      </c>
      <c r="B160" s="91">
        <f>IFERROR(INDEX(Firms!$A$5:$A$1004,MATCH(156,Firms!$U$5:$U$1004,0))&amp;"","")</f>
        <v/>
      </c>
      <c r="C160" s="88">
        <f>IFERROR(IF(INDEX(Firms!$R$5:$R$1004,MATCH(156,Firms!$U$5:$U$1004,0))="","",INDEX(Firms!$R$5:$R$1004,MATCH(156,Firms!$U$5:$U$1004,0))),"")</f>
        <v/>
      </c>
      <c r="D160" s="91">
        <f>IFERROR(INDEX(Firms!$S$5:$S$1004,MATCH(156,Firms!$U$5:$U$1004,0))&amp;"","")</f>
        <v/>
      </c>
      <c r="E160" s="91">
        <f>IFERROR(INDEX(Firms!$C$5:$C$1004,MATCH(156,Firms!$U$5:$U$1004,0))&amp;"","")</f>
        <v/>
      </c>
      <c r="F160" s="79">
        <f>IFERROR(INDEX(Firms!$N$5:$N$1004,MATCH(156,Firms!$U$5:$U$1004,0))&amp;"","")</f>
        <v/>
      </c>
      <c r="G160" s="79">
        <f>IFERROR(INDEX(Firms!$P$5:$P$1004,MATCH(156,Firms!$U$5:$U$1004,0))&amp;"","")</f>
        <v/>
      </c>
      <c r="H160" s="91">
        <f>IFERROR(INDEX(Firms!$T$5:$T$1004,MATCH(156,Firms!$U$5:$U$1004,0))&amp;"","")</f>
        <v/>
      </c>
    </row>
    <row r="161">
      <c r="A161" s="79">
        <f>IF(B161="","",157)</f>
        <v/>
      </c>
      <c r="B161" s="91">
        <f>IFERROR(INDEX(Firms!$A$5:$A$1004,MATCH(157,Firms!$U$5:$U$1004,0))&amp;"","")</f>
        <v/>
      </c>
      <c r="C161" s="88">
        <f>IFERROR(IF(INDEX(Firms!$R$5:$R$1004,MATCH(157,Firms!$U$5:$U$1004,0))="","",INDEX(Firms!$R$5:$R$1004,MATCH(157,Firms!$U$5:$U$1004,0))),"")</f>
        <v/>
      </c>
      <c r="D161" s="91">
        <f>IFERROR(INDEX(Firms!$S$5:$S$1004,MATCH(157,Firms!$U$5:$U$1004,0))&amp;"","")</f>
        <v/>
      </c>
      <c r="E161" s="91">
        <f>IFERROR(INDEX(Firms!$C$5:$C$1004,MATCH(157,Firms!$U$5:$U$1004,0))&amp;"","")</f>
        <v/>
      </c>
      <c r="F161" s="79">
        <f>IFERROR(INDEX(Firms!$N$5:$N$1004,MATCH(157,Firms!$U$5:$U$1004,0))&amp;"","")</f>
        <v/>
      </c>
      <c r="G161" s="79">
        <f>IFERROR(INDEX(Firms!$P$5:$P$1004,MATCH(157,Firms!$U$5:$U$1004,0))&amp;"","")</f>
        <v/>
      </c>
      <c r="H161" s="91">
        <f>IFERROR(INDEX(Firms!$T$5:$T$1004,MATCH(157,Firms!$U$5:$U$1004,0))&amp;"","")</f>
        <v/>
      </c>
    </row>
    <row r="162">
      <c r="A162" s="79">
        <f>IF(B162="","",158)</f>
        <v/>
      </c>
      <c r="B162" s="91">
        <f>IFERROR(INDEX(Firms!$A$5:$A$1004,MATCH(158,Firms!$U$5:$U$1004,0))&amp;"","")</f>
        <v/>
      </c>
      <c r="C162" s="88">
        <f>IFERROR(IF(INDEX(Firms!$R$5:$R$1004,MATCH(158,Firms!$U$5:$U$1004,0))="","",INDEX(Firms!$R$5:$R$1004,MATCH(158,Firms!$U$5:$U$1004,0))),"")</f>
        <v/>
      </c>
      <c r="D162" s="91">
        <f>IFERROR(INDEX(Firms!$S$5:$S$1004,MATCH(158,Firms!$U$5:$U$1004,0))&amp;"","")</f>
        <v/>
      </c>
      <c r="E162" s="91">
        <f>IFERROR(INDEX(Firms!$C$5:$C$1004,MATCH(158,Firms!$U$5:$U$1004,0))&amp;"","")</f>
        <v/>
      </c>
      <c r="F162" s="79">
        <f>IFERROR(INDEX(Firms!$N$5:$N$1004,MATCH(158,Firms!$U$5:$U$1004,0))&amp;"","")</f>
        <v/>
      </c>
      <c r="G162" s="79">
        <f>IFERROR(INDEX(Firms!$P$5:$P$1004,MATCH(158,Firms!$U$5:$U$1004,0))&amp;"","")</f>
        <v/>
      </c>
      <c r="H162" s="91">
        <f>IFERROR(INDEX(Firms!$T$5:$T$1004,MATCH(158,Firms!$U$5:$U$1004,0))&amp;"","")</f>
        <v/>
      </c>
    </row>
    <row r="163">
      <c r="A163" s="79">
        <f>IF(B163="","",159)</f>
        <v/>
      </c>
      <c r="B163" s="91">
        <f>IFERROR(INDEX(Firms!$A$5:$A$1004,MATCH(159,Firms!$U$5:$U$1004,0))&amp;"","")</f>
        <v/>
      </c>
      <c r="C163" s="88">
        <f>IFERROR(IF(INDEX(Firms!$R$5:$R$1004,MATCH(159,Firms!$U$5:$U$1004,0))="","",INDEX(Firms!$R$5:$R$1004,MATCH(159,Firms!$U$5:$U$1004,0))),"")</f>
        <v/>
      </c>
      <c r="D163" s="91">
        <f>IFERROR(INDEX(Firms!$S$5:$S$1004,MATCH(159,Firms!$U$5:$U$1004,0))&amp;"","")</f>
        <v/>
      </c>
      <c r="E163" s="91">
        <f>IFERROR(INDEX(Firms!$C$5:$C$1004,MATCH(159,Firms!$U$5:$U$1004,0))&amp;"","")</f>
        <v/>
      </c>
      <c r="F163" s="79">
        <f>IFERROR(INDEX(Firms!$N$5:$N$1004,MATCH(159,Firms!$U$5:$U$1004,0))&amp;"","")</f>
        <v/>
      </c>
      <c r="G163" s="79">
        <f>IFERROR(INDEX(Firms!$P$5:$P$1004,MATCH(159,Firms!$U$5:$U$1004,0))&amp;"","")</f>
        <v/>
      </c>
      <c r="H163" s="91">
        <f>IFERROR(INDEX(Firms!$T$5:$T$1004,MATCH(159,Firms!$U$5:$U$1004,0))&amp;"","")</f>
        <v/>
      </c>
    </row>
    <row r="164">
      <c r="A164" s="79">
        <f>IF(B164="","",160)</f>
        <v/>
      </c>
      <c r="B164" s="91">
        <f>IFERROR(INDEX(Firms!$A$5:$A$1004,MATCH(160,Firms!$U$5:$U$1004,0))&amp;"","")</f>
        <v/>
      </c>
      <c r="C164" s="88">
        <f>IFERROR(IF(INDEX(Firms!$R$5:$R$1004,MATCH(160,Firms!$U$5:$U$1004,0))="","",INDEX(Firms!$R$5:$R$1004,MATCH(160,Firms!$U$5:$U$1004,0))),"")</f>
        <v/>
      </c>
      <c r="D164" s="91">
        <f>IFERROR(INDEX(Firms!$S$5:$S$1004,MATCH(160,Firms!$U$5:$U$1004,0))&amp;"","")</f>
        <v/>
      </c>
      <c r="E164" s="91">
        <f>IFERROR(INDEX(Firms!$C$5:$C$1004,MATCH(160,Firms!$U$5:$U$1004,0))&amp;"","")</f>
        <v/>
      </c>
      <c r="F164" s="79">
        <f>IFERROR(INDEX(Firms!$N$5:$N$1004,MATCH(160,Firms!$U$5:$U$1004,0))&amp;"","")</f>
        <v/>
      </c>
      <c r="G164" s="79">
        <f>IFERROR(INDEX(Firms!$P$5:$P$1004,MATCH(160,Firms!$U$5:$U$1004,0))&amp;"","")</f>
        <v/>
      </c>
      <c r="H164" s="91">
        <f>IFERROR(INDEX(Firms!$T$5:$T$1004,MATCH(160,Firms!$U$5:$U$1004,0))&amp;"","")</f>
        <v/>
      </c>
    </row>
    <row r="165">
      <c r="A165" s="79">
        <f>IF(B165="","",161)</f>
        <v/>
      </c>
      <c r="B165" s="91">
        <f>IFERROR(INDEX(Firms!$A$5:$A$1004,MATCH(161,Firms!$U$5:$U$1004,0))&amp;"","")</f>
        <v/>
      </c>
      <c r="C165" s="88">
        <f>IFERROR(IF(INDEX(Firms!$R$5:$R$1004,MATCH(161,Firms!$U$5:$U$1004,0))="","",INDEX(Firms!$R$5:$R$1004,MATCH(161,Firms!$U$5:$U$1004,0))),"")</f>
        <v/>
      </c>
      <c r="D165" s="91">
        <f>IFERROR(INDEX(Firms!$S$5:$S$1004,MATCH(161,Firms!$U$5:$U$1004,0))&amp;"","")</f>
        <v/>
      </c>
      <c r="E165" s="91">
        <f>IFERROR(INDEX(Firms!$C$5:$C$1004,MATCH(161,Firms!$U$5:$U$1004,0))&amp;"","")</f>
        <v/>
      </c>
      <c r="F165" s="79">
        <f>IFERROR(INDEX(Firms!$N$5:$N$1004,MATCH(161,Firms!$U$5:$U$1004,0))&amp;"","")</f>
        <v/>
      </c>
      <c r="G165" s="79">
        <f>IFERROR(INDEX(Firms!$P$5:$P$1004,MATCH(161,Firms!$U$5:$U$1004,0))&amp;"","")</f>
        <v/>
      </c>
      <c r="H165" s="91">
        <f>IFERROR(INDEX(Firms!$T$5:$T$1004,MATCH(161,Firms!$U$5:$U$1004,0))&amp;"","")</f>
        <v/>
      </c>
    </row>
    <row r="166">
      <c r="A166" s="79">
        <f>IF(B166="","",162)</f>
        <v/>
      </c>
      <c r="B166" s="91">
        <f>IFERROR(INDEX(Firms!$A$5:$A$1004,MATCH(162,Firms!$U$5:$U$1004,0))&amp;"","")</f>
        <v/>
      </c>
      <c r="C166" s="88">
        <f>IFERROR(IF(INDEX(Firms!$R$5:$R$1004,MATCH(162,Firms!$U$5:$U$1004,0))="","",INDEX(Firms!$R$5:$R$1004,MATCH(162,Firms!$U$5:$U$1004,0))),"")</f>
        <v/>
      </c>
      <c r="D166" s="91">
        <f>IFERROR(INDEX(Firms!$S$5:$S$1004,MATCH(162,Firms!$U$5:$U$1004,0))&amp;"","")</f>
        <v/>
      </c>
      <c r="E166" s="91">
        <f>IFERROR(INDEX(Firms!$C$5:$C$1004,MATCH(162,Firms!$U$5:$U$1004,0))&amp;"","")</f>
        <v/>
      </c>
      <c r="F166" s="79">
        <f>IFERROR(INDEX(Firms!$N$5:$N$1004,MATCH(162,Firms!$U$5:$U$1004,0))&amp;"","")</f>
        <v/>
      </c>
      <c r="G166" s="79">
        <f>IFERROR(INDEX(Firms!$P$5:$P$1004,MATCH(162,Firms!$U$5:$U$1004,0))&amp;"","")</f>
        <v/>
      </c>
      <c r="H166" s="91">
        <f>IFERROR(INDEX(Firms!$T$5:$T$1004,MATCH(162,Firms!$U$5:$U$1004,0))&amp;"","")</f>
        <v/>
      </c>
    </row>
    <row r="167">
      <c r="A167" s="79">
        <f>IF(B167="","",163)</f>
        <v/>
      </c>
      <c r="B167" s="91">
        <f>IFERROR(INDEX(Firms!$A$5:$A$1004,MATCH(163,Firms!$U$5:$U$1004,0))&amp;"","")</f>
        <v/>
      </c>
      <c r="C167" s="88">
        <f>IFERROR(IF(INDEX(Firms!$R$5:$R$1004,MATCH(163,Firms!$U$5:$U$1004,0))="","",INDEX(Firms!$R$5:$R$1004,MATCH(163,Firms!$U$5:$U$1004,0))),"")</f>
        <v/>
      </c>
      <c r="D167" s="91">
        <f>IFERROR(INDEX(Firms!$S$5:$S$1004,MATCH(163,Firms!$U$5:$U$1004,0))&amp;"","")</f>
        <v/>
      </c>
      <c r="E167" s="91">
        <f>IFERROR(INDEX(Firms!$C$5:$C$1004,MATCH(163,Firms!$U$5:$U$1004,0))&amp;"","")</f>
        <v/>
      </c>
      <c r="F167" s="79">
        <f>IFERROR(INDEX(Firms!$N$5:$N$1004,MATCH(163,Firms!$U$5:$U$1004,0))&amp;"","")</f>
        <v/>
      </c>
      <c r="G167" s="79">
        <f>IFERROR(INDEX(Firms!$P$5:$P$1004,MATCH(163,Firms!$U$5:$U$1004,0))&amp;"","")</f>
        <v/>
      </c>
      <c r="H167" s="91">
        <f>IFERROR(INDEX(Firms!$T$5:$T$1004,MATCH(163,Firms!$U$5:$U$1004,0))&amp;"","")</f>
        <v/>
      </c>
    </row>
    <row r="168">
      <c r="A168" s="79">
        <f>IF(B168="","",164)</f>
        <v/>
      </c>
      <c r="B168" s="91">
        <f>IFERROR(INDEX(Firms!$A$5:$A$1004,MATCH(164,Firms!$U$5:$U$1004,0))&amp;"","")</f>
        <v/>
      </c>
      <c r="C168" s="88">
        <f>IFERROR(IF(INDEX(Firms!$R$5:$R$1004,MATCH(164,Firms!$U$5:$U$1004,0))="","",INDEX(Firms!$R$5:$R$1004,MATCH(164,Firms!$U$5:$U$1004,0))),"")</f>
        <v/>
      </c>
      <c r="D168" s="91">
        <f>IFERROR(INDEX(Firms!$S$5:$S$1004,MATCH(164,Firms!$U$5:$U$1004,0))&amp;"","")</f>
        <v/>
      </c>
      <c r="E168" s="91">
        <f>IFERROR(INDEX(Firms!$C$5:$C$1004,MATCH(164,Firms!$U$5:$U$1004,0))&amp;"","")</f>
        <v/>
      </c>
      <c r="F168" s="79">
        <f>IFERROR(INDEX(Firms!$N$5:$N$1004,MATCH(164,Firms!$U$5:$U$1004,0))&amp;"","")</f>
        <v/>
      </c>
      <c r="G168" s="79">
        <f>IFERROR(INDEX(Firms!$P$5:$P$1004,MATCH(164,Firms!$U$5:$U$1004,0))&amp;"","")</f>
        <v/>
      </c>
      <c r="H168" s="91">
        <f>IFERROR(INDEX(Firms!$T$5:$T$1004,MATCH(164,Firms!$U$5:$U$1004,0))&amp;"","")</f>
        <v/>
      </c>
    </row>
    <row r="169">
      <c r="A169" s="79">
        <f>IF(B169="","",165)</f>
        <v/>
      </c>
      <c r="B169" s="91">
        <f>IFERROR(INDEX(Firms!$A$5:$A$1004,MATCH(165,Firms!$U$5:$U$1004,0))&amp;"","")</f>
        <v/>
      </c>
      <c r="C169" s="88">
        <f>IFERROR(IF(INDEX(Firms!$R$5:$R$1004,MATCH(165,Firms!$U$5:$U$1004,0))="","",INDEX(Firms!$R$5:$R$1004,MATCH(165,Firms!$U$5:$U$1004,0))),"")</f>
        <v/>
      </c>
      <c r="D169" s="91">
        <f>IFERROR(INDEX(Firms!$S$5:$S$1004,MATCH(165,Firms!$U$5:$U$1004,0))&amp;"","")</f>
        <v/>
      </c>
      <c r="E169" s="91">
        <f>IFERROR(INDEX(Firms!$C$5:$C$1004,MATCH(165,Firms!$U$5:$U$1004,0))&amp;"","")</f>
        <v/>
      </c>
      <c r="F169" s="79">
        <f>IFERROR(INDEX(Firms!$N$5:$N$1004,MATCH(165,Firms!$U$5:$U$1004,0))&amp;"","")</f>
        <v/>
      </c>
      <c r="G169" s="79">
        <f>IFERROR(INDEX(Firms!$P$5:$P$1004,MATCH(165,Firms!$U$5:$U$1004,0))&amp;"","")</f>
        <v/>
      </c>
      <c r="H169" s="91">
        <f>IFERROR(INDEX(Firms!$T$5:$T$1004,MATCH(165,Firms!$U$5:$U$1004,0))&amp;"","")</f>
        <v/>
      </c>
    </row>
    <row r="170">
      <c r="A170" s="79">
        <f>IF(B170="","",166)</f>
        <v/>
      </c>
      <c r="B170" s="91">
        <f>IFERROR(INDEX(Firms!$A$5:$A$1004,MATCH(166,Firms!$U$5:$U$1004,0))&amp;"","")</f>
        <v/>
      </c>
      <c r="C170" s="88">
        <f>IFERROR(IF(INDEX(Firms!$R$5:$R$1004,MATCH(166,Firms!$U$5:$U$1004,0))="","",INDEX(Firms!$R$5:$R$1004,MATCH(166,Firms!$U$5:$U$1004,0))),"")</f>
        <v/>
      </c>
      <c r="D170" s="91">
        <f>IFERROR(INDEX(Firms!$S$5:$S$1004,MATCH(166,Firms!$U$5:$U$1004,0))&amp;"","")</f>
        <v/>
      </c>
      <c r="E170" s="91">
        <f>IFERROR(INDEX(Firms!$C$5:$C$1004,MATCH(166,Firms!$U$5:$U$1004,0))&amp;"","")</f>
        <v/>
      </c>
      <c r="F170" s="79">
        <f>IFERROR(INDEX(Firms!$N$5:$N$1004,MATCH(166,Firms!$U$5:$U$1004,0))&amp;"","")</f>
        <v/>
      </c>
      <c r="G170" s="79">
        <f>IFERROR(INDEX(Firms!$P$5:$P$1004,MATCH(166,Firms!$U$5:$U$1004,0))&amp;"","")</f>
        <v/>
      </c>
      <c r="H170" s="91">
        <f>IFERROR(INDEX(Firms!$T$5:$T$1004,MATCH(166,Firms!$U$5:$U$1004,0))&amp;"","")</f>
        <v/>
      </c>
    </row>
    <row r="171">
      <c r="A171" s="79">
        <f>IF(B171="","",167)</f>
        <v/>
      </c>
      <c r="B171" s="91">
        <f>IFERROR(INDEX(Firms!$A$5:$A$1004,MATCH(167,Firms!$U$5:$U$1004,0))&amp;"","")</f>
        <v/>
      </c>
      <c r="C171" s="88">
        <f>IFERROR(IF(INDEX(Firms!$R$5:$R$1004,MATCH(167,Firms!$U$5:$U$1004,0))="","",INDEX(Firms!$R$5:$R$1004,MATCH(167,Firms!$U$5:$U$1004,0))),"")</f>
        <v/>
      </c>
      <c r="D171" s="91">
        <f>IFERROR(INDEX(Firms!$S$5:$S$1004,MATCH(167,Firms!$U$5:$U$1004,0))&amp;"","")</f>
        <v/>
      </c>
      <c r="E171" s="91">
        <f>IFERROR(INDEX(Firms!$C$5:$C$1004,MATCH(167,Firms!$U$5:$U$1004,0))&amp;"","")</f>
        <v/>
      </c>
      <c r="F171" s="79">
        <f>IFERROR(INDEX(Firms!$N$5:$N$1004,MATCH(167,Firms!$U$5:$U$1004,0))&amp;"","")</f>
        <v/>
      </c>
      <c r="G171" s="79">
        <f>IFERROR(INDEX(Firms!$P$5:$P$1004,MATCH(167,Firms!$U$5:$U$1004,0))&amp;"","")</f>
        <v/>
      </c>
      <c r="H171" s="91">
        <f>IFERROR(INDEX(Firms!$T$5:$T$1004,MATCH(167,Firms!$U$5:$U$1004,0))&amp;"","")</f>
        <v/>
      </c>
    </row>
    <row r="172">
      <c r="A172" s="79">
        <f>IF(B172="","",168)</f>
        <v/>
      </c>
      <c r="B172" s="91">
        <f>IFERROR(INDEX(Firms!$A$5:$A$1004,MATCH(168,Firms!$U$5:$U$1004,0))&amp;"","")</f>
        <v/>
      </c>
      <c r="C172" s="88">
        <f>IFERROR(IF(INDEX(Firms!$R$5:$R$1004,MATCH(168,Firms!$U$5:$U$1004,0))="","",INDEX(Firms!$R$5:$R$1004,MATCH(168,Firms!$U$5:$U$1004,0))),"")</f>
        <v/>
      </c>
      <c r="D172" s="91">
        <f>IFERROR(INDEX(Firms!$S$5:$S$1004,MATCH(168,Firms!$U$5:$U$1004,0))&amp;"","")</f>
        <v/>
      </c>
      <c r="E172" s="91">
        <f>IFERROR(INDEX(Firms!$C$5:$C$1004,MATCH(168,Firms!$U$5:$U$1004,0))&amp;"","")</f>
        <v/>
      </c>
      <c r="F172" s="79">
        <f>IFERROR(INDEX(Firms!$N$5:$N$1004,MATCH(168,Firms!$U$5:$U$1004,0))&amp;"","")</f>
        <v/>
      </c>
      <c r="G172" s="79">
        <f>IFERROR(INDEX(Firms!$P$5:$P$1004,MATCH(168,Firms!$U$5:$U$1004,0))&amp;"","")</f>
        <v/>
      </c>
      <c r="H172" s="91">
        <f>IFERROR(INDEX(Firms!$T$5:$T$1004,MATCH(168,Firms!$U$5:$U$1004,0))&amp;"","")</f>
        <v/>
      </c>
    </row>
    <row r="173">
      <c r="A173" s="79">
        <f>IF(B173="","",169)</f>
        <v/>
      </c>
      <c r="B173" s="91">
        <f>IFERROR(INDEX(Firms!$A$5:$A$1004,MATCH(169,Firms!$U$5:$U$1004,0))&amp;"","")</f>
        <v/>
      </c>
      <c r="C173" s="88">
        <f>IFERROR(IF(INDEX(Firms!$R$5:$R$1004,MATCH(169,Firms!$U$5:$U$1004,0))="","",INDEX(Firms!$R$5:$R$1004,MATCH(169,Firms!$U$5:$U$1004,0))),"")</f>
        <v/>
      </c>
      <c r="D173" s="91">
        <f>IFERROR(INDEX(Firms!$S$5:$S$1004,MATCH(169,Firms!$U$5:$U$1004,0))&amp;"","")</f>
        <v/>
      </c>
      <c r="E173" s="91">
        <f>IFERROR(INDEX(Firms!$C$5:$C$1004,MATCH(169,Firms!$U$5:$U$1004,0))&amp;"","")</f>
        <v/>
      </c>
      <c r="F173" s="79">
        <f>IFERROR(INDEX(Firms!$N$5:$N$1004,MATCH(169,Firms!$U$5:$U$1004,0))&amp;"","")</f>
        <v/>
      </c>
      <c r="G173" s="79">
        <f>IFERROR(INDEX(Firms!$P$5:$P$1004,MATCH(169,Firms!$U$5:$U$1004,0))&amp;"","")</f>
        <v/>
      </c>
      <c r="H173" s="91">
        <f>IFERROR(INDEX(Firms!$T$5:$T$1004,MATCH(169,Firms!$U$5:$U$1004,0))&amp;"","")</f>
        <v/>
      </c>
    </row>
    <row r="174">
      <c r="A174" s="79">
        <f>IF(B174="","",170)</f>
        <v/>
      </c>
      <c r="B174" s="91">
        <f>IFERROR(INDEX(Firms!$A$5:$A$1004,MATCH(170,Firms!$U$5:$U$1004,0))&amp;"","")</f>
        <v/>
      </c>
      <c r="C174" s="88">
        <f>IFERROR(IF(INDEX(Firms!$R$5:$R$1004,MATCH(170,Firms!$U$5:$U$1004,0))="","",INDEX(Firms!$R$5:$R$1004,MATCH(170,Firms!$U$5:$U$1004,0))),"")</f>
        <v/>
      </c>
      <c r="D174" s="91">
        <f>IFERROR(INDEX(Firms!$S$5:$S$1004,MATCH(170,Firms!$U$5:$U$1004,0))&amp;"","")</f>
        <v/>
      </c>
      <c r="E174" s="91">
        <f>IFERROR(INDEX(Firms!$C$5:$C$1004,MATCH(170,Firms!$U$5:$U$1004,0))&amp;"","")</f>
        <v/>
      </c>
      <c r="F174" s="79">
        <f>IFERROR(INDEX(Firms!$N$5:$N$1004,MATCH(170,Firms!$U$5:$U$1004,0))&amp;"","")</f>
        <v/>
      </c>
      <c r="G174" s="79">
        <f>IFERROR(INDEX(Firms!$P$5:$P$1004,MATCH(170,Firms!$U$5:$U$1004,0))&amp;"","")</f>
        <v/>
      </c>
      <c r="H174" s="91">
        <f>IFERROR(INDEX(Firms!$T$5:$T$1004,MATCH(170,Firms!$U$5:$U$1004,0))&amp;"","")</f>
        <v/>
      </c>
    </row>
    <row r="175">
      <c r="A175" s="79">
        <f>IF(B175="","",171)</f>
        <v/>
      </c>
      <c r="B175" s="91">
        <f>IFERROR(INDEX(Firms!$A$5:$A$1004,MATCH(171,Firms!$U$5:$U$1004,0))&amp;"","")</f>
        <v/>
      </c>
      <c r="C175" s="88">
        <f>IFERROR(IF(INDEX(Firms!$R$5:$R$1004,MATCH(171,Firms!$U$5:$U$1004,0))="","",INDEX(Firms!$R$5:$R$1004,MATCH(171,Firms!$U$5:$U$1004,0))),"")</f>
        <v/>
      </c>
      <c r="D175" s="91">
        <f>IFERROR(INDEX(Firms!$S$5:$S$1004,MATCH(171,Firms!$U$5:$U$1004,0))&amp;"","")</f>
        <v/>
      </c>
      <c r="E175" s="91">
        <f>IFERROR(INDEX(Firms!$C$5:$C$1004,MATCH(171,Firms!$U$5:$U$1004,0))&amp;"","")</f>
        <v/>
      </c>
      <c r="F175" s="79">
        <f>IFERROR(INDEX(Firms!$N$5:$N$1004,MATCH(171,Firms!$U$5:$U$1004,0))&amp;"","")</f>
        <v/>
      </c>
      <c r="G175" s="79">
        <f>IFERROR(INDEX(Firms!$P$5:$P$1004,MATCH(171,Firms!$U$5:$U$1004,0))&amp;"","")</f>
        <v/>
      </c>
      <c r="H175" s="91">
        <f>IFERROR(INDEX(Firms!$T$5:$T$1004,MATCH(171,Firms!$U$5:$U$1004,0))&amp;"","")</f>
        <v/>
      </c>
    </row>
    <row r="176">
      <c r="A176" s="79">
        <f>IF(B176="","",172)</f>
        <v/>
      </c>
      <c r="B176" s="91">
        <f>IFERROR(INDEX(Firms!$A$5:$A$1004,MATCH(172,Firms!$U$5:$U$1004,0))&amp;"","")</f>
        <v/>
      </c>
      <c r="C176" s="88">
        <f>IFERROR(IF(INDEX(Firms!$R$5:$R$1004,MATCH(172,Firms!$U$5:$U$1004,0))="","",INDEX(Firms!$R$5:$R$1004,MATCH(172,Firms!$U$5:$U$1004,0))),"")</f>
        <v/>
      </c>
      <c r="D176" s="91">
        <f>IFERROR(INDEX(Firms!$S$5:$S$1004,MATCH(172,Firms!$U$5:$U$1004,0))&amp;"","")</f>
        <v/>
      </c>
      <c r="E176" s="91">
        <f>IFERROR(INDEX(Firms!$C$5:$C$1004,MATCH(172,Firms!$U$5:$U$1004,0))&amp;"","")</f>
        <v/>
      </c>
      <c r="F176" s="79">
        <f>IFERROR(INDEX(Firms!$N$5:$N$1004,MATCH(172,Firms!$U$5:$U$1004,0))&amp;"","")</f>
        <v/>
      </c>
      <c r="G176" s="79">
        <f>IFERROR(INDEX(Firms!$P$5:$P$1004,MATCH(172,Firms!$U$5:$U$1004,0))&amp;"","")</f>
        <v/>
      </c>
      <c r="H176" s="91">
        <f>IFERROR(INDEX(Firms!$T$5:$T$1004,MATCH(172,Firms!$U$5:$U$1004,0))&amp;"","")</f>
        <v/>
      </c>
    </row>
    <row r="177">
      <c r="A177" s="79">
        <f>IF(B177="","",173)</f>
        <v/>
      </c>
      <c r="B177" s="91">
        <f>IFERROR(INDEX(Firms!$A$5:$A$1004,MATCH(173,Firms!$U$5:$U$1004,0))&amp;"","")</f>
        <v/>
      </c>
      <c r="C177" s="88">
        <f>IFERROR(IF(INDEX(Firms!$R$5:$R$1004,MATCH(173,Firms!$U$5:$U$1004,0))="","",INDEX(Firms!$R$5:$R$1004,MATCH(173,Firms!$U$5:$U$1004,0))),"")</f>
        <v/>
      </c>
      <c r="D177" s="91">
        <f>IFERROR(INDEX(Firms!$S$5:$S$1004,MATCH(173,Firms!$U$5:$U$1004,0))&amp;"","")</f>
        <v/>
      </c>
      <c r="E177" s="91">
        <f>IFERROR(INDEX(Firms!$C$5:$C$1004,MATCH(173,Firms!$U$5:$U$1004,0))&amp;"","")</f>
        <v/>
      </c>
      <c r="F177" s="79">
        <f>IFERROR(INDEX(Firms!$N$5:$N$1004,MATCH(173,Firms!$U$5:$U$1004,0))&amp;"","")</f>
        <v/>
      </c>
      <c r="G177" s="79">
        <f>IFERROR(INDEX(Firms!$P$5:$P$1004,MATCH(173,Firms!$U$5:$U$1004,0))&amp;"","")</f>
        <v/>
      </c>
      <c r="H177" s="91">
        <f>IFERROR(INDEX(Firms!$T$5:$T$1004,MATCH(173,Firms!$U$5:$U$1004,0))&amp;"","")</f>
        <v/>
      </c>
    </row>
    <row r="178">
      <c r="A178" s="79">
        <f>IF(B178="","",174)</f>
        <v/>
      </c>
      <c r="B178" s="91">
        <f>IFERROR(INDEX(Firms!$A$5:$A$1004,MATCH(174,Firms!$U$5:$U$1004,0))&amp;"","")</f>
        <v/>
      </c>
      <c r="C178" s="88">
        <f>IFERROR(IF(INDEX(Firms!$R$5:$R$1004,MATCH(174,Firms!$U$5:$U$1004,0))="","",INDEX(Firms!$R$5:$R$1004,MATCH(174,Firms!$U$5:$U$1004,0))),"")</f>
        <v/>
      </c>
      <c r="D178" s="91">
        <f>IFERROR(INDEX(Firms!$S$5:$S$1004,MATCH(174,Firms!$U$5:$U$1004,0))&amp;"","")</f>
        <v/>
      </c>
      <c r="E178" s="91">
        <f>IFERROR(INDEX(Firms!$C$5:$C$1004,MATCH(174,Firms!$U$5:$U$1004,0))&amp;"","")</f>
        <v/>
      </c>
      <c r="F178" s="79">
        <f>IFERROR(INDEX(Firms!$N$5:$N$1004,MATCH(174,Firms!$U$5:$U$1004,0))&amp;"","")</f>
        <v/>
      </c>
      <c r="G178" s="79">
        <f>IFERROR(INDEX(Firms!$P$5:$P$1004,MATCH(174,Firms!$U$5:$U$1004,0))&amp;"","")</f>
        <v/>
      </c>
      <c r="H178" s="91">
        <f>IFERROR(INDEX(Firms!$T$5:$T$1004,MATCH(174,Firms!$U$5:$U$1004,0))&amp;"","")</f>
        <v/>
      </c>
    </row>
    <row r="179">
      <c r="A179" s="79">
        <f>IF(B179="","",175)</f>
        <v/>
      </c>
      <c r="B179" s="91">
        <f>IFERROR(INDEX(Firms!$A$5:$A$1004,MATCH(175,Firms!$U$5:$U$1004,0))&amp;"","")</f>
        <v/>
      </c>
      <c r="C179" s="88">
        <f>IFERROR(IF(INDEX(Firms!$R$5:$R$1004,MATCH(175,Firms!$U$5:$U$1004,0))="","",INDEX(Firms!$R$5:$R$1004,MATCH(175,Firms!$U$5:$U$1004,0))),"")</f>
        <v/>
      </c>
      <c r="D179" s="91">
        <f>IFERROR(INDEX(Firms!$S$5:$S$1004,MATCH(175,Firms!$U$5:$U$1004,0))&amp;"","")</f>
        <v/>
      </c>
      <c r="E179" s="91">
        <f>IFERROR(INDEX(Firms!$C$5:$C$1004,MATCH(175,Firms!$U$5:$U$1004,0))&amp;"","")</f>
        <v/>
      </c>
      <c r="F179" s="79">
        <f>IFERROR(INDEX(Firms!$N$5:$N$1004,MATCH(175,Firms!$U$5:$U$1004,0))&amp;"","")</f>
        <v/>
      </c>
      <c r="G179" s="79">
        <f>IFERROR(INDEX(Firms!$P$5:$P$1004,MATCH(175,Firms!$U$5:$U$1004,0))&amp;"","")</f>
        <v/>
      </c>
      <c r="H179" s="91">
        <f>IFERROR(INDEX(Firms!$T$5:$T$1004,MATCH(175,Firms!$U$5:$U$1004,0))&amp;"","")</f>
        <v/>
      </c>
    </row>
    <row r="180">
      <c r="A180" s="79">
        <f>IF(B180="","",176)</f>
        <v/>
      </c>
      <c r="B180" s="91">
        <f>IFERROR(INDEX(Firms!$A$5:$A$1004,MATCH(176,Firms!$U$5:$U$1004,0))&amp;"","")</f>
        <v/>
      </c>
      <c r="C180" s="88">
        <f>IFERROR(IF(INDEX(Firms!$R$5:$R$1004,MATCH(176,Firms!$U$5:$U$1004,0))="","",INDEX(Firms!$R$5:$R$1004,MATCH(176,Firms!$U$5:$U$1004,0))),"")</f>
        <v/>
      </c>
      <c r="D180" s="91">
        <f>IFERROR(INDEX(Firms!$S$5:$S$1004,MATCH(176,Firms!$U$5:$U$1004,0))&amp;"","")</f>
        <v/>
      </c>
      <c r="E180" s="91">
        <f>IFERROR(INDEX(Firms!$C$5:$C$1004,MATCH(176,Firms!$U$5:$U$1004,0))&amp;"","")</f>
        <v/>
      </c>
      <c r="F180" s="79">
        <f>IFERROR(INDEX(Firms!$N$5:$N$1004,MATCH(176,Firms!$U$5:$U$1004,0))&amp;"","")</f>
        <v/>
      </c>
      <c r="G180" s="79">
        <f>IFERROR(INDEX(Firms!$P$5:$P$1004,MATCH(176,Firms!$U$5:$U$1004,0))&amp;"","")</f>
        <v/>
      </c>
      <c r="H180" s="91">
        <f>IFERROR(INDEX(Firms!$T$5:$T$1004,MATCH(176,Firms!$U$5:$U$1004,0))&amp;"","")</f>
        <v/>
      </c>
    </row>
    <row r="181">
      <c r="A181" s="79">
        <f>IF(B181="","",177)</f>
        <v/>
      </c>
      <c r="B181" s="91">
        <f>IFERROR(INDEX(Firms!$A$5:$A$1004,MATCH(177,Firms!$U$5:$U$1004,0))&amp;"","")</f>
        <v/>
      </c>
      <c r="C181" s="88">
        <f>IFERROR(IF(INDEX(Firms!$R$5:$R$1004,MATCH(177,Firms!$U$5:$U$1004,0))="","",INDEX(Firms!$R$5:$R$1004,MATCH(177,Firms!$U$5:$U$1004,0))),"")</f>
        <v/>
      </c>
      <c r="D181" s="91">
        <f>IFERROR(INDEX(Firms!$S$5:$S$1004,MATCH(177,Firms!$U$5:$U$1004,0))&amp;"","")</f>
        <v/>
      </c>
      <c r="E181" s="91">
        <f>IFERROR(INDEX(Firms!$C$5:$C$1004,MATCH(177,Firms!$U$5:$U$1004,0))&amp;"","")</f>
        <v/>
      </c>
      <c r="F181" s="79">
        <f>IFERROR(INDEX(Firms!$N$5:$N$1004,MATCH(177,Firms!$U$5:$U$1004,0))&amp;"","")</f>
        <v/>
      </c>
      <c r="G181" s="79">
        <f>IFERROR(INDEX(Firms!$P$5:$P$1004,MATCH(177,Firms!$U$5:$U$1004,0))&amp;"","")</f>
        <v/>
      </c>
      <c r="H181" s="91">
        <f>IFERROR(INDEX(Firms!$T$5:$T$1004,MATCH(177,Firms!$U$5:$U$1004,0))&amp;"","")</f>
        <v/>
      </c>
    </row>
    <row r="182">
      <c r="A182" s="79">
        <f>IF(B182="","",178)</f>
        <v/>
      </c>
      <c r="B182" s="91">
        <f>IFERROR(INDEX(Firms!$A$5:$A$1004,MATCH(178,Firms!$U$5:$U$1004,0))&amp;"","")</f>
        <v/>
      </c>
      <c r="C182" s="88">
        <f>IFERROR(IF(INDEX(Firms!$R$5:$R$1004,MATCH(178,Firms!$U$5:$U$1004,0))="","",INDEX(Firms!$R$5:$R$1004,MATCH(178,Firms!$U$5:$U$1004,0))),"")</f>
        <v/>
      </c>
      <c r="D182" s="91">
        <f>IFERROR(INDEX(Firms!$S$5:$S$1004,MATCH(178,Firms!$U$5:$U$1004,0))&amp;"","")</f>
        <v/>
      </c>
      <c r="E182" s="91">
        <f>IFERROR(INDEX(Firms!$C$5:$C$1004,MATCH(178,Firms!$U$5:$U$1004,0))&amp;"","")</f>
        <v/>
      </c>
      <c r="F182" s="79">
        <f>IFERROR(INDEX(Firms!$N$5:$N$1004,MATCH(178,Firms!$U$5:$U$1004,0))&amp;"","")</f>
        <v/>
      </c>
      <c r="G182" s="79">
        <f>IFERROR(INDEX(Firms!$P$5:$P$1004,MATCH(178,Firms!$U$5:$U$1004,0))&amp;"","")</f>
        <v/>
      </c>
      <c r="H182" s="91">
        <f>IFERROR(INDEX(Firms!$T$5:$T$1004,MATCH(178,Firms!$U$5:$U$1004,0))&amp;"","")</f>
        <v/>
      </c>
    </row>
    <row r="183">
      <c r="A183" s="79">
        <f>IF(B183="","",179)</f>
        <v/>
      </c>
      <c r="B183" s="91">
        <f>IFERROR(INDEX(Firms!$A$5:$A$1004,MATCH(179,Firms!$U$5:$U$1004,0))&amp;"","")</f>
        <v/>
      </c>
      <c r="C183" s="88">
        <f>IFERROR(IF(INDEX(Firms!$R$5:$R$1004,MATCH(179,Firms!$U$5:$U$1004,0))="","",INDEX(Firms!$R$5:$R$1004,MATCH(179,Firms!$U$5:$U$1004,0))),"")</f>
        <v/>
      </c>
      <c r="D183" s="91">
        <f>IFERROR(INDEX(Firms!$S$5:$S$1004,MATCH(179,Firms!$U$5:$U$1004,0))&amp;"","")</f>
        <v/>
      </c>
      <c r="E183" s="91">
        <f>IFERROR(INDEX(Firms!$C$5:$C$1004,MATCH(179,Firms!$U$5:$U$1004,0))&amp;"","")</f>
        <v/>
      </c>
      <c r="F183" s="79">
        <f>IFERROR(INDEX(Firms!$N$5:$N$1004,MATCH(179,Firms!$U$5:$U$1004,0))&amp;"","")</f>
        <v/>
      </c>
      <c r="G183" s="79">
        <f>IFERROR(INDEX(Firms!$P$5:$P$1004,MATCH(179,Firms!$U$5:$U$1004,0))&amp;"","")</f>
        <v/>
      </c>
      <c r="H183" s="91">
        <f>IFERROR(INDEX(Firms!$T$5:$T$1004,MATCH(179,Firms!$U$5:$U$1004,0))&amp;"","")</f>
        <v/>
      </c>
    </row>
    <row r="184">
      <c r="A184" s="79">
        <f>IF(B184="","",180)</f>
        <v/>
      </c>
      <c r="B184" s="91">
        <f>IFERROR(INDEX(Firms!$A$5:$A$1004,MATCH(180,Firms!$U$5:$U$1004,0))&amp;"","")</f>
        <v/>
      </c>
      <c r="C184" s="88">
        <f>IFERROR(IF(INDEX(Firms!$R$5:$R$1004,MATCH(180,Firms!$U$5:$U$1004,0))="","",INDEX(Firms!$R$5:$R$1004,MATCH(180,Firms!$U$5:$U$1004,0))),"")</f>
        <v/>
      </c>
      <c r="D184" s="91">
        <f>IFERROR(INDEX(Firms!$S$5:$S$1004,MATCH(180,Firms!$U$5:$U$1004,0))&amp;"","")</f>
        <v/>
      </c>
      <c r="E184" s="91">
        <f>IFERROR(INDEX(Firms!$C$5:$C$1004,MATCH(180,Firms!$U$5:$U$1004,0))&amp;"","")</f>
        <v/>
      </c>
      <c r="F184" s="79">
        <f>IFERROR(INDEX(Firms!$N$5:$N$1004,MATCH(180,Firms!$U$5:$U$1004,0))&amp;"","")</f>
        <v/>
      </c>
      <c r="G184" s="79">
        <f>IFERROR(INDEX(Firms!$P$5:$P$1004,MATCH(180,Firms!$U$5:$U$1004,0))&amp;"","")</f>
        <v/>
      </c>
      <c r="H184" s="91">
        <f>IFERROR(INDEX(Firms!$T$5:$T$1004,MATCH(180,Firms!$U$5:$U$1004,0))&amp;"","")</f>
        <v/>
      </c>
    </row>
    <row r="185">
      <c r="A185" s="79">
        <f>IF(B185="","",181)</f>
        <v/>
      </c>
      <c r="B185" s="91">
        <f>IFERROR(INDEX(Firms!$A$5:$A$1004,MATCH(181,Firms!$U$5:$U$1004,0))&amp;"","")</f>
        <v/>
      </c>
      <c r="C185" s="88">
        <f>IFERROR(IF(INDEX(Firms!$R$5:$R$1004,MATCH(181,Firms!$U$5:$U$1004,0))="","",INDEX(Firms!$R$5:$R$1004,MATCH(181,Firms!$U$5:$U$1004,0))),"")</f>
        <v/>
      </c>
      <c r="D185" s="91">
        <f>IFERROR(INDEX(Firms!$S$5:$S$1004,MATCH(181,Firms!$U$5:$U$1004,0))&amp;"","")</f>
        <v/>
      </c>
      <c r="E185" s="91">
        <f>IFERROR(INDEX(Firms!$C$5:$C$1004,MATCH(181,Firms!$U$5:$U$1004,0))&amp;"","")</f>
        <v/>
      </c>
      <c r="F185" s="79">
        <f>IFERROR(INDEX(Firms!$N$5:$N$1004,MATCH(181,Firms!$U$5:$U$1004,0))&amp;"","")</f>
        <v/>
      </c>
      <c r="G185" s="79">
        <f>IFERROR(INDEX(Firms!$P$5:$P$1004,MATCH(181,Firms!$U$5:$U$1004,0))&amp;"","")</f>
        <v/>
      </c>
      <c r="H185" s="91">
        <f>IFERROR(INDEX(Firms!$T$5:$T$1004,MATCH(181,Firms!$U$5:$U$1004,0))&amp;"","")</f>
        <v/>
      </c>
    </row>
    <row r="186">
      <c r="A186" s="79">
        <f>IF(B186="","",182)</f>
        <v/>
      </c>
      <c r="B186" s="91">
        <f>IFERROR(INDEX(Firms!$A$5:$A$1004,MATCH(182,Firms!$U$5:$U$1004,0))&amp;"","")</f>
        <v/>
      </c>
      <c r="C186" s="88">
        <f>IFERROR(IF(INDEX(Firms!$R$5:$R$1004,MATCH(182,Firms!$U$5:$U$1004,0))="","",INDEX(Firms!$R$5:$R$1004,MATCH(182,Firms!$U$5:$U$1004,0))),"")</f>
        <v/>
      </c>
      <c r="D186" s="91">
        <f>IFERROR(INDEX(Firms!$S$5:$S$1004,MATCH(182,Firms!$U$5:$U$1004,0))&amp;"","")</f>
        <v/>
      </c>
      <c r="E186" s="91">
        <f>IFERROR(INDEX(Firms!$C$5:$C$1004,MATCH(182,Firms!$U$5:$U$1004,0))&amp;"","")</f>
        <v/>
      </c>
      <c r="F186" s="79">
        <f>IFERROR(INDEX(Firms!$N$5:$N$1004,MATCH(182,Firms!$U$5:$U$1004,0))&amp;"","")</f>
        <v/>
      </c>
      <c r="G186" s="79">
        <f>IFERROR(INDEX(Firms!$P$5:$P$1004,MATCH(182,Firms!$U$5:$U$1004,0))&amp;"","")</f>
        <v/>
      </c>
      <c r="H186" s="91">
        <f>IFERROR(INDEX(Firms!$T$5:$T$1004,MATCH(182,Firms!$U$5:$U$1004,0))&amp;"","")</f>
        <v/>
      </c>
    </row>
    <row r="187">
      <c r="A187" s="79">
        <f>IF(B187="","",183)</f>
        <v/>
      </c>
      <c r="B187" s="91">
        <f>IFERROR(INDEX(Firms!$A$5:$A$1004,MATCH(183,Firms!$U$5:$U$1004,0))&amp;"","")</f>
        <v/>
      </c>
      <c r="C187" s="88">
        <f>IFERROR(IF(INDEX(Firms!$R$5:$R$1004,MATCH(183,Firms!$U$5:$U$1004,0))="","",INDEX(Firms!$R$5:$R$1004,MATCH(183,Firms!$U$5:$U$1004,0))),"")</f>
        <v/>
      </c>
      <c r="D187" s="91">
        <f>IFERROR(INDEX(Firms!$S$5:$S$1004,MATCH(183,Firms!$U$5:$U$1004,0))&amp;"","")</f>
        <v/>
      </c>
      <c r="E187" s="91">
        <f>IFERROR(INDEX(Firms!$C$5:$C$1004,MATCH(183,Firms!$U$5:$U$1004,0))&amp;"","")</f>
        <v/>
      </c>
      <c r="F187" s="79">
        <f>IFERROR(INDEX(Firms!$N$5:$N$1004,MATCH(183,Firms!$U$5:$U$1004,0))&amp;"","")</f>
        <v/>
      </c>
      <c r="G187" s="79">
        <f>IFERROR(INDEX(Firms!$P$5:$P$1004,MATCH(183,Firms!$U$5:$U$1004,0))&amp;"","")</f>
        <v/>
      </c>
      <c r="H187" s="91">
        <f>IFERROR(INDEX(Firms!$T$5:$T$1004,MATCH(183,Firms!$U$5:$U$1004,0))&amp;"","")</f>
        <v/>
      </c>
    </row>
    <row r="188">
      <c r="A188" s="79">
        <f>IF(B188="","",184)</f>
        <v/>
      </c>
      <c r="B188" s="91">
        <f>IFERROR(INDEX(Firms!$A$5:$A$1004,MATCH(184,Firms!$U$5:$U$1004,0))&amp;"","")</f>
        <v/>
      </c>
      <c r="C188" s="88">
        <f>IFERROR(IF(INDEX(Firms!$R$5:$R$1004,MATCH(184,Firms!$U$5:$U$1004,0))="","",INDEX(Firms!$R$5:$R$1004,MATCH(184,Firms!$U$5:$U$1004,0))),"")</f>
        <v/>
      </c>
      <c r="D188" s="91">
        <f>IFERROR(INDEX(Firms!$S$5:$S$1004,MATCH(184,Firms!$U$5:$U$1004,0))&amp;"","")</f>
        <v/>
      </c>
      <c r="E188" s="91">
        <f>IFERROR(INDEX(Firms!$C$5:$C$1004,MATCH(184,Firms!$U$5:$U$1004,0))&amp;"","")</f>
        <v/>
      </c>
      <c r="F188" s="79">
        <f>IFERROR(INDEX(Firms!$N$5:$N$1004,MATCH(184,Firms!$U$5:$U$1004,0))&amp;"","")</f>
        <v/>
      </c>
      <c r="G188" s="79">
        <f>IFERROR(INDEX(Firms!$P$5:$P$1004,MATCH(184,Firms!$U$5:$U$1004,0))&amp;"","")</f>
        <v/>
      </c>
      <c r="H188" s="91">
        <f>IFERROR(INDEX(Firms!$T$5:$T$1004,MATCH(184,Firms!$U$5:$U$1004,0))&amp;"","")</f>
        <v/>
      </c>
    </row>
    <row r="189">
      <c r="A189" s="79">
        <f>IF(B189="","",185)</f>
        <v/>
      </c>
      <c r="B189" s="91">
        <f>IFERROR(INDEX(Firms!$A$5:$A$1004,MATCH(185,Firms!$U$5:$U$1004,0))&amp;"","")</f>
        <v/>
      </c>
      <c r="C189" s="88">
        <f>IFERROR(IF(INDEX(Firms!$R$5:$R$1004,MATCH(185,Firms!$U$5:$U$1004,0))="","",INDEX(Firms!$R$5:$R$1004,MATCH(185,Firms!$U$5:$U$1004,0))),"")</f>
        <v/>
      </c>
      <c r="D189" s="91">
        <f>IFERROR(INDEX(Firms!$S$5:$S$1004,MATCH(185,Firms!$U$5:$U$1004,0))&amp;"","")</f>
        <v/>
      </c>
      <c r="E189" s="91">
        <f>IFERROR(INDEX(Firms!$C$5:$C$1004,MATCH(185,Firms!$U$5:$U$1004,0))&amp;"","")</f>
        <v/>
      </c>
      <c r="F189" s="79">
        <f>IFERROR(INDEX(Firms!$N$5:$N$1004,MATCH(185,Firms!$U$5:$U$1004,0))&amp;"","")</f>
        <v/>
      </c>
      <c r="G189" s="79">
        <f>IFERROR(INDEX(Firms!$P$5:$P$1004,MATCH(185,Firms!$U$5:$U$1004,0))&amp;"","")</f>
        <v/>
      </c>
      <c r="H189" s="91">
        <f>IFERROR(INDEX(Firms!$T$5:$T$1004,MATCH(185,Firms!$U$5:$U$1004,0))&amp;"","")</f>
        <v/>
      </c>
    </row>
    <row r="190">
      <c r="A190" s="79">
        <f>IF(B190="","",186)</f>
        <v/>
      </c>
      <c r="B190" s="91">
        <f>IFERROR(INDEX(Firms!$A$5:$A$1004,MATCH(186,Firms!$U$5:$U$1004,0))&amp;"","")</f>
        <v/>
      </c>
      <c r="C190" s="88">
        <f>IFERROR(IF(INDEX(Firms!$R$5:$R$1004,MATCH(186,Firms!$U$5:$U$1004,0))="","",INDEX(Firms!$R$5:$R$1004,MATCH(186,Firms!$U$5:$U$1004,0))),"")</f>
        <v/>
      </c>
      <c r="D190" s="91">
        <f>IFERROR(INDEX(Firms!$S$5:$S$1004,MATCH(186,Firms!$U$5:$U$1004,0))&amp;"","")</f>
        <v/>
      </c>
      <c r="E190" s="91">
        <f>IFERROR(INDEX(Firms!$C$5:$C$1004,MATCH(186,Firms!$U$5:$U$1004,0))&amp;"","")</f>
        <v/>
      </c>
      <c r="F190" s="79">
        <f>IFERROR(INDEX(Firms!$N$5:$N$1004,MATCH(186,Firms!$U$5:$U$1004,0))&amp;"","")</f>
        <v/>
      </c>
      <c r="G190" s="79">
        <f>IFERROR(INDEX(Firms!$P$5:$P$1004,MATCH(186,Firms!$U$5:$U$1004,0))&amp;"","")</f>
        <v/>
      </c>
      <c r="H190" s="91">
        <f>IFERROR(INDEX(Firms!$T$5:$T$1004,MATCH(186,Firms!$U$5:$U$1004,0))&amp;"","")</f>
        <v/>
      </c>
    </row>
    <row r="191">
      <c r="A191" s="79">
        <f>IF(B191="","",187)</f>
        <v/>
      </c>
      <c r="B191" s="91">
        <f>IFERROR(INDEX(Firms!$A$5:$A$1004,MATCH(187,Firms!$U$5:$U$1004,0))&amp;"","")</f>
        <v/>
      </c>
      <c r="C191" s="88">
        <f>IFERROR(IF(INDEX(Firms!$R$5:$R$1004,MATCH(187,Firms!$U$5:$U$1004,0))="","",INDEX(Firms!$R$5:$R$1004,MATCH(187,Firms!$U$5:$U$1004,0))),"")</f>
        <v/>
      </c>
      <c r="D191" s="91">
        <f>IFERROR(INDEX(Firms!$S$5:$S$1004,MATCH(187,Firms!$U$5:$U$1004,0))&amp;"","")</f>
        <v/>
      </c>
      <c r="E191" s="91">
        <f>IFERROR(INDEX(Firms!$C$5:$C$1004,MATCH(187,Firms!$U$5:$U$1004,0))&amp;"","")</f>
        <v/>
      </c>
      <c r="F191" s="79">
        <f>IFERROR(INDEX(Firms!$N$5:$N$1004,MATCH(187,Firms!$U$5:$U$1004,0))&amp;"","")</f>
        <v/>
      </c>
      <c r="G191" s="79">
        <f>IFERROR(INDEX(Firms!$P$5:$P$1004,MATCH(187,Firms!$U$5:$U$1004,0))&amp;"","")</f>
        <v/>
      </c>
      <c r="H191" s="91">
        <f>IFERROR(INDEX(Firms!$T$5:$T$1004,MATCH(187,Firms!$U$5:$U$1004,0))&amp;"","")</f>
        <v/>
      </c>
    </row>
    <row r="192">
      <c r="A192" s="79">
        <f>IF(B192="","",188)</f>
        <v/>
      </c>
      <c r="B192" s="91">
        <f>IFERROR(INDEX(Firms!$A$5:$A$1004,MATCH(188,Firms!$U$5:$U$1004,0))&amp;"","")</f>
        <v/>
      </c>
      <c r="C192" s="88">
        <f>IFERROR(IF(INDEX(Firms!$R$5:$R$1004,MATCH(188,Firms!$U$5:$U$1004,0))="","",INDEX(Firms!$R$5:$R$1004,MATCH(188,Firms!$U$5:$U$1004,0))),"")</f>
        <v/>
      </c>
      <c r="D192" s="91">
        <f>IFERROR(INDEX(Firms!$S$5:$S$1004,MATCH(188,Firms!$U$5:$U$1004,0))&amp;"","")</f>
        <v/>
      </c>
      <c r="E192" s="91">
        <f>IFERROR(INDEX(Firms!$C$5:$C$1004,MATCH(188,Firms!$U$5:$U$1004,0))&amp;"","")</f>
        <v/>
      </c>
      <c r="F192" s="79">
        <f>IFERROR(INDEX(Firms!$N$5:$N$1004,MATCH(188,Firms!$U$5:$U$1004,0))&amp;"","")</f>
        <v/>
      </c>
      <c r="G192" s="79">
        <f>IFERROR(INDEX(Firms!$P$5:$P$1004,MATCH(188,Firms!$U$5:$U$1004,0))&amp;"","")</f>
        <v/>
      </c>
      <c r="H192" s="91">
        <f>IFERROR(INDEX(Firms!$T$5:$T$1004,MATCH(188,Firms!$U$5:$U$1004,0))&amp;"","")</f>
        <v/>
      </c>
    </row>
    <row r="193">
      <c r="A193" s="79">
        <f>IF(B193="","",189)</f>
        <v/>
      </c>
      <c r="B193" s="91">
        <f>IFERROR(INDEX(Firms!$A$5:$A$1004,MATCH(189,Firms!$U$5:$U$1004,0))&amp;"","")</f>
        <v/>
      </c>
      <c r="C193" s="88">
        <f>IFERROR(IF(INDEX(Firms!$R$5:$R$1004,MATCH(189,Firms!$U$5:$U$1004,0))="","",INDEX(Firms!$R$5:$R$1004,MATCH(189,Firms!$U$5:$U$1004,0))),"")</f>
        <v/>
      </c>
      <c r="D193" s="91">
        <f>IFERROR(INDEX(Firms!$S$5:$S$1004,MATCH(189,Firms!$U$5:$U$1004,0))&amp;"","")</f>
        <v/>
      </c>
      <c r="E193" s="91">
        <f>IFERROR(INDEX(Firms!$C$5:$C$1004,MATCH(189,Firms!$U$5:$U$1004,0))&amp;"","")</f>
        <v/>
      </c>
      <c r="F193" s="79">
        <f>IFERROR(INDEX(Firms!$N$5:$N$1004,MATCH(189,Firms!$U$5:$U$1004,0))&amp;"","")</f>
        <v/>
      </c>
      <c r="G193" s="79">
        <f>IFERROR(INDEX(Firms!$P$5:$P$1004,MATCH(189,Firms!$U$5:$U$1004,0))&amp;"","")</f>
        <v/>
      </c>
      <c r="H193" s="91">
        <f>IFERROR(INDEX(Firms!$T$5:$T$1004,MATCH(189,Firms!$U$5:$U$1004,0))&amp;"","")</f>
        <v/>
      </c>
    </row>
    <row r="194">
      <c r="A194" s="79">
        <f>IF(B194="","",190)</f>
        <v/>
      </c>
      <c r="B194" s="91">
        <f>IFERROR(INDEX(Firms!$A$5:$A$1004,MATCH(190,Firms!$U$5:$U$1004,0))&amp;"","")</f>
        <v/>
      </c>
      <c r="C194" s="88">
        <f>IFERROR(IF(INDEX(Firms!$R$5:$R$1004,MATCH(190,Firms!$U$5:$U$1004,0))="","",INDEX(Firms!$R$5:$R$1004,MATCH(190,Firms!$U$5:$U$1004,0))),"")</f>
        <v/>
      </c>
      <c r="D194" s="91">
        <f>IFERROR(INDEX(Firms!$S$5:$S$1004,MATCH(190,Firms!$U$5:$U$1004,0))&amp;"","")</f>
        <v/>
      </c>
      <c r="E194" s="91">
        <f>IFERROR(INDEX(Firms!$C$5:$C$1004,MATCH(190,Firms!$U$5:$U$1004,0))&amp;"","")</f>
        <v/>
      </c>
      <c r="F194" s="79">
        <f>IFERROR(INDEX(Firms!$N$5:$N$1004,MATCH(190,Firms!$U$5:$U$1004,0))&amp;"","")</f>
        <v/>
      </c>
      <c r="G194" s="79">
        <f>IFERROR(INDEX(Firms!$P$5:$P$1004,MATCH(190,Firms!$U$5:$U$1004,0))&amp;"","")</f>
        <v/>
      </c>
      <c r="H194" s="91">
        <f>IFERROR(INDEX(Firms!$T$5:$T$1004,MATCH(190,Firms!$U$5:$U$1004,0))&amp;"","")</f>
        <v/>
      </c>
    </row>
    <row r="195">
      <c r="A195" s="79">
        <f>IF(B195="","",191)</f>
        <v/>
      </c>
      <c r="B195" s="91">
        <f>IFERROR(INDEX(Firms!$A$5:$A$1004,MATCH(191,Firms!$U$5:$U$1004,0))&amp;"","")</f>
        <v/>
      </c>
      <c r="C195" s="88">
        <f>IFERROR(IF(INDEX(Firms!$R$5:$R$1004,MATCH(191,Firms!$U$5:$U$1004,0))="","",INDEX(Firms!$R$5:$R$1004,MATCH(191,Firms!$U$5:$U$1004,0))),"")</f>
        <v/>
      </c>
      <c r="D195" s="91">
        <f>IFERROR(INDEX(Firms!$S$5:$S$1004,MATCH(191,Firms!$U$5:$U$1004,0))&amp;"","")</f>
        <v/>
      </c>
      <c r="E195" s="91">
        <f>IFERROR(INDEX(Firms!$C$5:$C$1004,MATCH(191,Firms!$U$5:$U$1004,0))&amp;"","")</f>
        <v/>
      </c>
      <c r="F195" s="79">
        <f>IFERROR(INDEX(Firms!$N$5:$N$1004,MATCH(191,Firms!$U$5:$U$1004,0))&amp;"","")</f>
        <v/>
      </c>
      <c r="G195" s="79">
        <f>IFERROR(INDEX(Firms!$P$5:$P$1004,MATCH(191,Firms!$U$5:$U$1004,0))&amp;"","")</f>
        <v/>
      </c>
      <c r="H195" s="91">
        <f>IFERROR(INDEX(Firms!$T$5:$T$1004,MATCH(191,Firms!$U$5:$U$1004,0))&amp;"","")</f>
        <v/>
      </c>
    </row>
    <row r="196">
      <c r="A196" s="79">
        <f>IF(B196="","",192)</f>
        <v/>
      </c>
      <c r="B196" s="91">
        <f>IFERROR(INDEX(Firms!$A$5:$A$1004,MATCH(192,Firms!$U$5:$U$1004,0))&amp;"","")</f>
        <v/>
      </c>
      <c r="C196" s="88">
        <f>IFERROR(IF(INDEX(Firms!$R$5:$R$1004,MATCH(192,Firms!$U$5:$U$1004,0))="","",INDEX(Firms!$R$5:$R$1004,MATCH(192,Firms!$U$5:$U$1004,0))),"")</f>
        <v/>
      </c>
      <c r="D196" s="91">
        <f>IFERROR(INDEX(Firms!$S$5:$S$1004,MATCH(192,Firms!$U$5:$U$1004,0))&amp;"","")</f>
        <v/>
      </c>
      <c r="E196" s="91">
        <f>IFERROR(INDEX(Firms!$C$5:$C$1004,MATCH(192,Firms!$U$5:$U$1004,0))&amp;"","")</f>
        <v/>
      </c>
      <c r="F196" s="79">
        <f>IFERROR(INDEX(Firms!$N$5:$N$1004,MATCH(192,Firms!$U$5:$U$1004,0))&amp;"","")</f>
        <v/>
      </c>
      <c r="G196" s="79">
        <f>IFERROR(INDEX(Firms!$P$5:$P$1004,MATCH(192,Firms!$U$5:$U$1004,0))&amp;"","")</f>
        <v/>
      </c>
      <c r="H196" s="91">
        <f>IFERROR(INDEX(Firms!$T$5:$T$1004,MATCH(192,Firms!$U$5:$U$1004,0))&amp;"","")</f>
        <v/>
      </c>
    </row>
    <row r="197">
      <c r="A197" s="79">
        <f>IF(B197="","",193)</f>
        <v/>
      </c>
      <c r="B197" s="91">
        <f>IFERROR(INDEX(Firms!$A$5:$A$1004,MATCH(193,Firms!$U$5:$U$1004,0))&amp;"","")</f>
        <v/>
      </c>
      <c r="C197" s="88">
        <f>IFERROR(IF(INDEX(Firms!$R$5:$R$1004,MATCH(193,Firms!$U$5:$U$1004,0))="","",INDEX(Firms!$R$5:$R$1004,MATCH(193,Firms!$U$5:$U$1004,0))),"")</f>
        <v/>
      </c>
      <c r="D197" s="91">
        <f>IFERROR(INDEX(Firms!$S$5:$S$1004,MATCH(193,Firms!$U$5:$U$1004,0))&amp;"","")</f>
        <v/>
      </c>
      <c r="E197" s="91">
        <f>IFERROR(INDEX(Firms!$C$5:$C$1004,MATCH(193,Firms!$U$5:$U$1004,0))&amp;"","")</f>
        <v/>
      </c>
      <c r="F197" s="79">
        <f>IFERROR(INDEX(Firms!$N$5:$N$1004,MATCH(193,Firms!$U$5:$U$1004,0))&amp;"","")</f>
        <v/>
      </c>
      <c r="G197" s="79">
        <f>IFERROR(INDEX(Firms!$P$5:$P$1004,MATCH(193,Firms!$U$5:$U$1004,0))&amp;"","")</f>
        <v/>
      </c>
      <c r="H197" s="91">
        <f>IFERROR(INDEX(Firms!$T$5:$T$1004,MATCH(193,Firms!$U$5:$U$1004,0))&amp;"","")</f>
        <v/>
      </c>
    </row>
    <row r="198">
      <c r="A198" s="79">
        <f>IF(B198="","",194)</f>
        <v/>
      </c>
      <c r="B198" s="91">
        <f>IFERROR(INDEX(Firms!$A$5:$A$1004,MATCH(194,Firms!$U$5:$U$1004,0))&amp;"","")</f>
        <v/>
      </c>
      <c r="C198" s="88">
        <f>IFERROR(IF(INDEX(Firms!$R$5:$R$1004,MATCH(194,Firms!$U$5:$U$1004,0))="","",INDEX(Firms!$R$5:$R$1004,MATCH(194,Firms!$U$5:$U$1004,0))),"")</f>
        <v/>
      </c>
      <c r="D198" s="91">
        <f>IFERROR(INDEX(Firms!$S$5:$S$1004,MATCH(194,Firms!$U$5:$U$1004,0))&amp;"","")</f>
        <v/>
      </c>
      <c r="E198" s="91">
        <f>IFERROR(INDEX(Firms!$C$5:$C$1004,MATCH(194,Firms!$U$5:$U$1004,0))&amp;"","")</f>
        <v/>
      </c>
      <c r="F198" s="79">
        <f>IFERROR(INDEX(Firms!$N$5:$N$1004,MATCH(194,Firms!$U$5:$U$1004,0))&amp;"","")</f>
        <v/>
      </c>
      <c r="G198" s="79">
        <f>IFERROR(INDEX(Firms!$P$5:$P$1004,MATCH(194,Firms!$U$5:$U$1004,0))&amp;"","")</f>
        <v/>
      </c>
      <c r="H198" s="91">
        <f>IFERROR(INDEX(Firms!$T$5:$T$1004,MATCH(194,Firms!$U$5:$U$1004,0))&amp;"","")</f>
        <v/>
      </c>
    </row>
    <row r="199">
      <c r="A199" s="79">
        <f>IF(B199="","",195)</f>
        <v/>
      </c>
      <c r="B199" s="91">
        <f>IFERROR(INDEX(Firms!$A$5:$A$1004,MATCH(195,Firms!$U$5:$U$1004,0))&amp;"","")</f>
        <v/>
      </c>
      <c r="C199" s="88">
        <f>IFERROR(IF(INDEX(Firms!$R$5:$R$1004,MATCH(195,Firms!$U$5:$U$1004,0))="","",INDEX(Firms!$R$5:$R$1004,MATCH(195,Firms!$U$5:$U$1004,0))),"")</f>
        <v/>
      </c>
      <c r="D199" s="91">
        <f>IFERROR(INDEX(Firms!$S$5:$S$1004,MATCH(195,Firms!$U$5:$U$1004,0))&amp;"","")</f>
        <v/>
      </c>
      <c r="E199" s="91">
        <f>IFERROR(INDEX(Firms!$C$5:$C$1004,MATCH(195,Firms!$U$5:$U$1004,0))&amp;"","")</f>
        <v/>
      </c>
      <c r="F199" s="79">
        <f>IFERROR(INDEX(Firms!$N$5:$N$1004,MATCH(195,Firms!$U$5:$U$1004,0))&amp;"","")</f>
        <v/>
      </c>
      <c r="G199" s="79">
        <f>IFERROR(INDEX(Firms!$P$5:$P$1004,MATCH(195,Firms!$U$5:$U$1004,0))&amp;"","")</f>
        <v/>
      </c>
      <c r="H199" s="91">
        <f>IFERROR(INDEX(Firms!$T$5:$T$1004,MATCH(195,Firms!$U$5:$U$1004,0))&amp;"","")</f>
        <v/>
      </c>
    </row>
    <row r="200">
      <c r="A200" s="79">
        <f>IF(B200="","",196)</f>
        <v/>
      </c>
      <c r="B200" s="91">
        <f>IFERROR(INDEX(Firms!$A$5:$A$1004,MATCH(196,Firms!$U$5:$U$1004,0))&amp;"","")</f>
        <v/>
      </c>
      <c r="C200" s="88">
        <f>IFERROR(IF(INDEX(Firms!$R$5:$R$1004,MATCH(196,Firms!$U$5:$U$1004,0))="","",INDEX(Firms!$R$5:$R$1004,MATCH(196,Firms!$U$5:$U$1004,0))),"")</f>
        <v/>
      </c>
      <c r="D200" s="91">
        <f>IFERROR(INDEX(Firms!$S$5:$S$1004,MATCH(196,Firms!$U$5:$U$1004,0))&amp;"","")</f>
        <v/>
      </c>
      <c r="E200" s="91">
        <f>IFERROR(INDEX(Firms!$C$5:$C$1004,MATCH(196,Firms!$U$5:$U$1004,0))&amp;"","")</f>
        <v/>
      </c>
      <c r="F200" s="79">
        <f>IFERROR(INDEX(Firms!$N$5:$N$1004,MATCH(196,Firms!$U$5:$U$1004,0))&amp;"","")</f>
        <v/>
      </c>
      <c r="G200" s="79">
        <f>IFERROR(INDEX(Firms!$P$5:$P$1004,MATCH(196,Firms!$U$5:$U$1004,0))&amp;"","")</f>
        <v/>
      </c>
      <c r="H200" s="91">
        <f>IFERROR(INDEX(Firms!$T$5:$T$1004,MATCH(196,Firms!$U$5:$U$1004,0))&amp;"","")</f>
        <v/>
      </c>
    </row>
    <row r="201">
      <c r="A201" s="79">
        <f>IF(B201="","",197)</f>
        <v/>
      </c>
      <c r="B201" s="91">
        <f>IFERROR(INDEX(Firms!$A$5:$A$1004,MATCH(197,Firms!$U$5:$U$1004,0))&amp;"","")</f>
        <v/>
      </c>
      <c r="C201" s="88">
        <f>IFERROR(IF(INDEX(Firms!$R$5:$R$1004,MATCH(197,Firms!$U$5:$U$1004,0))="","",INDEX(Firms!$R$5:$R$1004,MATCH(197,Firms!$U$5:$U$1004,0))),"")</f>
        <v/>
      </c>
      <c r="D201" s="91">
        <f>IFERROR(INDEX(Firms!$S$5:$S$1004,MATCH(197,Firms!$U$5:$U$1004,0))&amp;"","")</f>
        <v/>
      </c>
      <c r="E201" s="91">
        <f>IFERROR(INDEX(Firms!$C$5:$C$1004,MATCH(197,Firms!$U$5:$U$1004,0))&amp;"","")</f>
        <v/>
      </c>
      <c r="F201" s="79">
        <f>IFERROR(INDEX(Firms!$N$5:$N$1004,MATCH(197,Firms!$U$5:$U$1004,0))&amp;"","")</f>
        <v/>
      </c>
      <c r="G201" s="79">
        <f>IFERROR(INDEX(Firms!$P$5:$P$1004,MATCH(197,Firms!$U$5:$U$1004,0))&amp;"","")</f>
        <v/>
      </c>
      <c r="H201" s="91">
        <f>IFERROR(INDEX(Firms!$T$5:$T$1004,MATCH(197,Firms!$U$5:$U$1004,0))&amp;"","")</f>
        <v/>
      </c>
    </row>
    <row r="202">
      <c r="A202" s="79">
        <f>IF(B202="","",198)</f>
        <v/>
      </c>
      <c r="B202" s="91">
        <f>IFERROR(INDEX(Firms!$A$5:$A$1004,MATCH(198,Firms!$U$5:$U$1004,0))&amp;"","")</f>
        <v/>
      </c>
      <c r="C202" s="88">
        <f>IFERROR(IF(INDEX(Firms!$R$5:$R$1004,MATCH(198,Firms!$U$5:$U$1004,0))="","",INDEX(Firms!$R$5:$R$1004,MATCH(198,Firms!$U$5:$U$1004,0))),"")</f>
        <v/>
      </c>
      <c r="D202" s="91">
        <f>IFERROR(INDEX(Firms!$S$5:$S$1004,MATCH(198,Firms!$U$5:$U$1004,0))&amp;"","")</f>
        <v/>
      </c>
      <c r="E202" s="91">
        <f>IFERROR(INDEX(Firms!$C$5:$C$1004,MATCH(198,Firms!$U$5:$U$1004,0))&amp;"","")</f>
        <v/>
      </c>
      <c r="F202" s="79">
        <f>IFERROR(INDEX(Firms!$N$5:$N$1004,MATCH(198,Firms!$U$5:$U$1004,0))&amp;"","")</f>
        <v/>
      </c>
      <c r="G202" s="79">
        <f>IFERROR(INDEX(Firms!$P$5:$P$1004,MATCH(198,Firms!$U$5:$U$1004,0))&amp;"","")</f>
        <v/>
      </c>
      <c r="H202" s="91">
        <f>IFERROR(INDEX(Firms!$T$5:$T$1004,MATCH(198,Firms!$U$5:$U$1004,0))&amp;"","")</f>
        <v/>
      </c>
    </row>
    <row r="203">
      <c r="A203" s="79">
        <f>IF(B203="","",199)</f>
        <v/>
      </c>
      <c r="B203" s="91">
        <f>IFERROR(INDEX(Firms!$A$5:$A$1004,MATCH(199,Firms!$U$5:$U$1004,0))&amp;"","")</f>
        <v/>
      </c>
      <c r="C203" s="88">
        <f>IFERROR(IF(INDEX(Firms!$R$5:$R$1004,MATCH(199,Firms!$U$5:$U$1004,0))="","",INDEX(Firms!$R$5:$R$1004,MATCH(199,Firms!$U$5:$U$1004,0))),"")</f>
        <v/>
      </c>
      <c r="D203" s="91">
        <f>IFERROR(INDEX(Firms!$S$5:$S$1004,MATCH(199,Firms!$U$5:$U$1004,0))&amp;"","")</f>
        <v/>
      </c>
      <c r="E203" s="91">
        <f>IFERROR(INDEX(Firms!$C$5:$C$1004,MATCH(199,Firms!$U$5:$U$1004,0))&amp;"","")</f>
        <v/>
      </c>
      <c r="F203" s="79">
        <f>IFERROR(INDEX(Firms!$N$5:$N$1004,MATCH(199,Firms!$U$5:$U$1004,0))&amp;"","")</f>
        <v/>
      </c>
      <c r="G203" s="79">
        <f>IFERROR(INDEX(Firms!$P$5:$P$1004,MATCH(199,Firms!$U$5:$U$1004,0))&amp;"","")</f>
        <v/>
      </c>
      <c r="H203" s="91">
        <f>IFERROR(INDEX(Firms!$T$5:$T$1004,MATCH(199,Firms!$U$5:$U$1004,0))&amp;"","")</f>
        <v/>
      </c>
    </row>
    <row r="204">
      <c r="A204" s="79">
        <f>IF(B204="","",200)</f>
        <v/>
      </c>
      <c r="B204" s="91">
        <f>IFERROR(INDEX(Firms!$A$5:$A$1004,MATCH(200,Firms!$U$5:$U$1004,0))&amp;"","")</f>
        <v/>
      </c>
      <c r="C204" s="88">
        <f>IFERROR(IF(INDEX(Firms!$R$5:$R$1004,MATCH(200,Firms!$U$5:$U$1004,0))="","",INDEX(Firms!$R$5:$R$1004,MATCH(200,Firms!$U$5:$U$1004,0))),"")</f>
        <v/>
      </c>
      <c r="D204" s="91">
        <f>IFERROR(INDEX(Firms!$S$5:$S$1004,MATCH(200,Firms!$U$5:$U$1004,0))&amp;"","")</f>
        <v/>
      </c>
      <c r="E204" s="91">
        <f>IFERROR(INDEX(Firms!$C$5:$C$1004,MATCH(200,Firms!$U$5:$U$1004,0))&amp;"","")</f>
        <v/>
      </c>
      <c r="F204" s="79">
        <f>IFERROR(INDEX(Firms!$N$5:$N$1004,MATCH(200,Firms!$U$5:$U$1004,0))&amp;"","")</f>
        <v/>
      </c>
      <c r="G204" s="79">
        <f>IFERROR(INDEX(Firms!$P$5:$P$1004,MATCH(200,Firms!$U$5:$U$1004,0))&amp;"","")</f>
        <v/>
      </c>
      <c r="H204" s="91">
        <f>IFERROR(INDEX(Firms!$T$5:$T$1004,MATCH(200,Firms!$U$5:$U$1004,0))&amp;"","")</f>
        <v/>
      </c>
    </row>
    <row r="205">
      <c r="A205" s="79">
        <f>IF(B205="","",201)</f>
        <v/>
      </c>
      <c r="B205" s="91">
        <f>IFERROR(INDEX(Firms!$A$5:$A$1004,MATCH(201,Firms!$U$5:$U$1004,0))&amp;"","")</f>
        <v/>
      </c>
      <c r="C205" s="88">
        <f>IFERROR(IF(INDEX(Firms!$R$5:$R$1004,MATCH(201,Firms!$U$5:$U$1004,0))="","",INDEX(Firms!$R$5:$R$1004,MATCH(201,Firms!$U$5:$U$1004,0))),"")</f>
        <v/>
      </c>
      <c r="D205" s="91">
        <f>IFERROR(INDEX(Firms!$S$5:$S$1004,MATCH(201,Firms!$U$5:$U$1004,0))&amp;"","")</f>
        <v/>
      </c>
      <c r="E205" s="91">
        <f>IFERROR(INDEX(Firms!$C$5:$C$1004,MATCH(201,Firms!$U$5:$U$1004,0))&amp;"","")</f>
        <v/>
      </c>
      <c r="F205" s="79">
        <f>IFERROR(INDEX(Firms!$N$5:$N$1004,MATCH(201,Firms!$U$5:$U$1004,0))&amp;"","")</f>
        <v/>
      </c>
      <c r="G205" s="79">
        <f>IFERROR(INDEX(Firms!$P$5:$P$1004,MATCH(201,Firms!$U$5:$U$1004,0))&amp;"","")</f>
        <v/>
      </c>
      <c r="H205" s="91">
        <f>IFERROR(INDEX(Firms!$T$5:$T$1004,MATCH(201,Firms!$U$5:$U$1004,0))&amp;"","")</f>
        <v/>
      </c>
    </row>
    <row r="206">
      <c r="A206" s="79">
        <f>IF(B206="","",202)</f>
        <v/>
      </c>
      <c r="B206" s="91">
        <f>IFERROR(INDEX(Firms!$A$5:$A$1004,MATCH(202,Firms!$U$5:$U$1004,0))&amp;"","")</f>
        <v/>
      </c>
      <c r="C206" s="88">
        <f>IFERROR(IF(INDEX(Firms!$R$5:$R$1004,MATCH(202,Firms!$U$5:$U$1004,0))="","",INDEX(Firms!$R$5:$R$1004,MATCH(202,Firms!$U$5:$U$1004,0))),"")</f>
        <v/>
      </c>
      <c r="D206" s="91">
        <f>IFERROR(INDEX(Firms!$S$5:$S$1004,MATCH(202,Firms!$U$5:$U$1004,0))&amp;"","")</f>
        <v/>
      </c>
      <c r="E206" s="91">
        <f>IFERROR(INDEX(Firms!$C$5:$C$1004,MATCH(202,Firms!$U$5:$U$1004,0))&amp;"","")</f>
        <v/>
      </c>
      <c r="F206" s="79">
        <f>IFERROR(INDEX(Firms!$N$5:$N$1004,MATCH(202,Firms!$U$5:$U$1004,0))&amp;"","")</f>
        <v/>
      </c>
      <c r="G206" s="79">
        <f>IFERROR(INDEX(Firms!$P$5:$P$1004,MATCH(202,Firms!$U$5:$U$1004,0))&amp;"","")</f>
        <v/>
      </c>
      <c r="H206" s="91">
        <f>IFERROR(INDEX(Firms!$T$5:$T$1004,MATCH(202,Firms!$U$5:$U$1004,0))&amp;"","")</f>
        <v/>
      </c>
    </row>
    <row r="207">
      <c r="A207" s="79">
        <f>IF(B207="","",203)</f>
        <v/>
      </c>
      <c r="B207" s="91">
        <f>IFERROR(INDEX(Firms!$A$5:$A$1004,MATCH(203,Firms!$U$5:$U$1004,0))&amp;"","")</f>
        <v/>
      </c>
      <c r="C207" s="88">
        <f>IFERROR(IF(INDEX(Firms!$R$5:$R$1004,MATCH(203,Firms!$U$5:$U$1004,0))="","",INDEX(Firms!$R$5:$R$1004,MATCH(203,Firms!$U$5:$U$1004,0))),"")</f>
        <v/>
      </c>
      <c r="D207" s="91">
        <f>IFERROR(INDEX(Firms!$S$5:$S$1004,MATCH(203,Firms!$U$5:$U$1004,0))&amp;"","")</f>
        <v/>
      </c>
      <c r="E207" s="91">
        <f>IFERROR(INDEX(Firms!$C$5:$C$1004,MATCH(203,Firms!$U$5:$U$1004,0))&amp;"","")</f>
        <v/>
      </c>
      <c r="F207" s="79">
        <f>IFERROR(INDEX(Firms!$N$5:$N$1004,MATCH(203,Firms!$U$5:$U$1004,0))&amp;"","")</f>
        <v/>
      </c>
      <c r="G207" s="79">
        <f>IFERROR(INDEX(Firms!$P$5:$P$1004,MATCH(203,Firms!$U$5:$U$1004,0))&amp;"","")</f>
        <v/>
      </c>
      <c r="H207" s="91">
        <f>IFERROR(INDEX(Firms!$T$5:$T$1004,MATCH(203,Firms!$U$5:$U$1004,0))&amp;"","")</f>
        <v/>
      </c>
    </row>
    <row r="208">
      <c r="A208" s="79">
        <f>IF(B208="","",204)</f>
        <v/>
      </c>
      <c r="B208" s="91">
        <f>IFERROR(INDEX(Firms!$A$5:$A$1004,MATCH(204,Firms!$U$5:$U$1004,0))&amp;"","")</f>
        <v/>
      </c>
      <c r="C208" s="88">
        <f>IFERROR(IF(INDEX(Firms!$R$5:$R$1004,MATCH(204,Firms!$U$5:$U$1004,0))="","",INDEX(Firms!$R$5:$R$1004,MATCH(204,Firms!$U$5:$U$1004,0))),"")</f>
        <v/>
      </c>
      <c r="D208" s="91">
        <f>IFERROR(INDEX(Firms!$S$5:$S$1004,MATCH(204,Firms!$U$5:$U$1004,0))&amp;"","")</f>
        <v/>
      </c>
      <c r="E208" s="91">
        <f>IFERROR(INDEX(Firms!$C$5:$C$1004,MATCH(204,Firms!$U$5:$U$1004,0))&amp;"","")</f>
        <v/>
      </c>
      <c r="F208" s="79">
        <f>IFERROR(INDEX(Firms!$N$5:$N$1004,MATCH(204,Firms!$U$5:$U$1004,0))&amp;"","")</f>
        <v/>
      </c>
      <c r="G208" s="79">
        <f>IFERROR(INDEX(Firms!$P$5:$P$1004,MATCH(204,Firms!$U$5:$U$1004,0))&amp;"","")</f>
        <v/>
      </c>
      <c r="H208" s="91">
        <f>IFERROR(INDEX(Firms!$T$5:$T$1004,MATCH(204,Firms!$U$5:$U$1004,0))&amp;"","")</f>
        <v/>
      </c>
    </row>
    <row r="209">
      <c r="A209" s="79">
        <f>IF(B209="","",205)</f>
        <v/>
      </c>
      <c r="B209" s="91">
        <f>IFERROR(INDEX(Firms!$A$5:$A$1004,MATCH(205,Firms!$U$5:$U$1004,0))&amp;"","")</f>
        <v/>
      </c>
      <c r="C209" s="88">
        <f>IFERROR(IF(INDEX(Firms!$R$5:$R$1004,MATCH(205,Firms!$U$5:$U$1004,0))="","",INDEX(Firms!$R$5:$R$1004,MATCH(205,Firms!$U$5:$U$1004,0))),"")</f>
        <v/>
      </c>
      <c r="D209" s="91">
        <f>IFERROR(INDEX(Firms!$S$5:$S$1004,MATCH(205,Firms!$U$5:$U$1004,0))&amp;"","")</f>
        <v/>
      </c>
      <c r="E209" s="91">
        <f>IFERROR(INDEX(Firms!$C$5:$C$1004,MATCH(205,Firms!$U$5:$U$1004,0))&amp;"","")</f>
        <v/>
      </c>
      <c r="F209" s="79">
        <f>IFERROR(INDEX(Firms!$N$5:$N$1004,MATCH(205,Firms!$U$5:$U$1004,0))&amp;"","")</f>
        <v/>
      </c>
      <c r="G209" s="79">
        <f>IFERROR(INDEX(Firms!$P$5:$P$1004,MATCH(205,Firms!$U$5:$U$1004,0))&amp;"","")</f>
        <v/>
      </c>
      <c r="H209" s="91">
        <f>IFERROR(INDEX(Firms!$T$5:$T$1004,MATCH(205,Firms!$U$5:$U$1004,0))&amp;"","")</f>
        <v/>
      </c>
    </row>
    <row r="210">
      <c r="A210" s="79">
        <f>IF(B210="","",206)</f>
        <v/>
      </c>
      <c r="B210" s="91">
        <f>IFERROR(INDEX(Firms!$A$5:$A$1004,MATCH(206,Firms!$U$5:$U$1004,0))&amp;"","")</f>
        <v/>
      </c>
      <c r="C210" s="88">
        <f>IFERROR(IF(INDEX(Firms!$R$5:$R$1004,MATCH(206,Firms!$U$5:$U$1004,0))="","",INDEX(Firms!$R$5:$R$1004,MATCH(206,Firms!$U$5:$U$1004,0))),"")</f>
        <v/>
      </c>
      <c r="D210" s="91">
        <f>IFERROR(INDEX(Firms!$S$5:$S$1004,MATCH(206,Firms!$U$5:$U$1004,0))&amp;"","")</f>
        <v/>
      </c>
      <c r="E210" s="91">
        <f>IFERROR(INDEX(Firms!$C$5:$C$1004,MATCH(206,Firms!$U$5:$U$1004,0))&amp;"","")</f>
        <v/>
      </c>
      <c r="F210" s="79">
        <f>IFERROR(INDEX(Firms!$N$5:$N$1004,MATCH(206,Firms!$U$5:$U$1004,0))&amp;"","")</f>
        <v/>
      </c>
      <c r="G210" s="79">
        <f>IFERROR(INDEX(Firms!$P$5:$P$1004,MATCH(206,Firms!$U$5:$U$1004,0))&amp;"","")</f>
        <v/>
      </c>
      <c r="H210" s="91">
        <f>IFERROR(INDEX(Firms!$T$5:$T$1004,MATCH(206,Firms!$U$5:$U$1004,0))&amp;"","")</f>
        <v/>
      </c>
    </row>
    <row r="211">
      <c r="A211" s="79">
        <f>IF(B211="","",207)</f>
        <v/>
      </c>
      <c r="B211" s="91">
        <f>IFERROR(INDEX(Firms!$A$5:$A$1004,MATCH(207,Firms!$U$5:$U$1004,0))&amp;"","")</f>
        <v/>
      </c>
      <c r="C211" s="88">
        <f>IFERROR(IF(INDEX(Firms!$R$5:$R$1004,MATCH(207,Firms!$U$5:$U$1004,0))="","",INDEX(Firms!$R$5:$R$1004,MATCH(207,Firms!$U$5:$U$1004,0))),"")</f>
        <v/>
      </c>
      <c r="D211" s="91">
        <f>IFERROR(INDEX(Firms!$S$5:$S$1004,MATCH(207,Firms!$U$5:$U$1004,0))&amp;"","")</f>
        <v/>
      </c>
      <c r="E211" s="91">
        <f>IFERROR(INDEX(Firms!$C$5:$C$1004,MATCH(207,Firms!$U$5:$U$1004,0))&amp;"","")</f>
        <v/>
      </c>
      <c r="F211" s="79">
        <f>IFERROR(INDEX(Firms!$N$5:$N$1004,MATCH(207,Firms!$U$5:$U$1004,0))&amp;"","")</f>
        <v/>
      </c>
      <c r="G211" s="79">
        <f>IFERROR(INDEX(Firms!$P$5:$P$1004,MATCH(207,Firms!$U$5:$U$1004,0))&amp;"","")</f>
        <v/>
      </c>
      <c r="H211" s="91">
        <f>IFERROR(INDEX(Firms!$T$5:$T$1004,MATCH(207,Firms!$U$5:$U$1004,0))&amp;"","")</f>
        <v/>
      </c>
    </row>
    <row r="212">
      <c r="A212" s="79">
        <f>IF(B212="","",208)</f>
        <v/>
      </c>
      <c r="B212" s="91">
        <f>IFERROR(INDEX(Firms!$A$5:$A$1004,MATCH(208,Firms!$U$5:$U$1004,0))&amp;"","")</f>
        <v/>
      </c>
      <c r="C212" s="88">
        <f>IFERROR(IF(INDEX(Firms!$R$5:$R$1004,MATCH(208,Firms!$U$5:$U$1004,0))="","",INDEX(Firms!$R$5:$R$1004,MATCH(208,Firms!$U$5:$U$1004,0))),"")</f>
        <v/>
      </c>
      <c r="D212" s="91">
        <f>IFERROR(INDEX(Firms!$S$5:$S$1004,MATCH(208,Firms!$U$5:$U$1004,0))&amp;"","")</f>
        <v/>
      </c>
      <c r="E212" s="91">
        <f>IFERROR(INDEX(Firms!$C$5:$C$1004,MATCH(208,Firms!$U$5:$U$1004,0))&amp;"","")</f>
        <v/>
      </c>
      <c r="F212" s="79">
        <f>IFERROR(INDEX(Firms!$N$5:$N$1004,MATCH(208,Firms!$U$5:$U$1004,0))&amp;"","")</f>
        <v/>
      </c>
      <c r="G212" s="79">
        <f>IFERROR(INDEX(Firms!$P$5:$P$1004,MATCH(208,Firms!$U$5:$U$1004,0))&amp;"","")</f>
        <v/>
      </c>
      <c r="H212" s="91">
        <f>IFERROR(INDEX(Firms!$T$5:$T$1004,MATCH(208,Firms!$U$5:$U$1004,0))&amp;"","")</f>
        <v/>
      </c>
    </row>
    <row r="213">
      <c r="A213" s="79">
        <f>IF(B213="","",209)</f>
        <v/>
      </c>
      <c r="B213" s="91">
        <f>IFERROR(INDEX(Firms!$A$5:$A$1004,MATCH(209,Firms!$U$5:$U$1004,0))&amp;"","")</f>
        <v/>
      </c>
      <c r="C213" s="88">
        <f>IFERROR(IF(INDEX(Firms!$R$5:$R$1004,MATCH(209,Firms!$U$5:$U$1004,0))="","",INDEX(Firms!$R$5:$R$1004,MATCH(209,Firms!$U$5:$U$1004,0))),"")</f>
        <v/>
      </c>
      <c r="D213" s="91">
        <f>IFERROR(INDEX(Firms!$S$5:$S$1004,MATCH(209,Firms!$U$5:$U$1004,0))&amp;"","")</f>
        <v/>
      </c>
      <c r="E213" s="91">
        <f>IFERROR(INDEX(Firms!$C$5:$C$1004,MATCH(209,Firms!$U$5:$U$1004,0))&amp;"","")</f>
        <v/>
      </c>
      <c r="F213" s="79">
        <f>IFERROR(INDEX(Firms!$N$5:$N$1004,MATCH(209,Firms!$U$5:$U$1004,0))&amp;"","")</f>
        <v/>
      </c>
      <c r="G213" s="79">
        <f>IFERROR(INDEX(Firms!$P$5:$P$1004,MATCH(209,Firms!$U$5:$U$1004,0))&amp;"","")</f>
        <v/>
      </c>
      <c r="H213" s="91">
        <f>IFERROR(INDEX(Firms!$T$5:$T$1004,MATCH(209,Firms!$U$5:$U$1004,0))&amp;"","")</f>
        <v/>
      </c>
    </row>
    <row r="214">
      <c r="A214" s="79">
        <f>IF(B214="","",210)</f>
        <v/>
      </c>
      <c r="B214" s="91">
        <f>IFERROR(INDEX(Firms!$A$5:$A$1004,MATCH(210,Firms!$U$5:$U$1004,0))&amp;"","")</f>
        <v/>
      </c>
      <c r="C214" s="88">
        <f>IFERROR(IF(INDEX(Firms!$R$5:$R$1004,MATCH(210,Firms!$U$5:$U$1004,0))="","",INDEX(Firms!$R$5:$R$1004,MATCH(210,Firms!$U$5:$U$1004,0))),"")</f>
        <v/>
      </c>
      <c r="D214" s="91">
        <f>IFERROR(INDEX(Firms!$S$5:$S$1004,MATCH(210,Firms!$U$5:$U$1004,0))&amp;"","")</f>
        <v/>
      </c>
      <c r="E214" s="91">
        <f>IFERROR(INDEX(Firms!$C$5:$C$1004,MATCH(210,Firms!$U$5:$U$1004,0))&amp;"","")</f>
        <v/>
      </c>
      <c r="F214" s="79">
        <f>IFERROR(INDEX(Firms!$N$5:$N$1004,MATCH(210,Firms!$U$5:$U$1004,0))&amp;"","")</f>
        <v/>
      </c>
      <c r="G214" s="79">
        <f>IFERROR(INDEX(Firms!$P$5:$P$1004,MATCH(210,Firms!$U$5:$U$1004,0))&amp;"","")</f>
        <v/>
      </c>
      <c r="H214" s="91">
        <f>IFERROR(INDEX(Firms!$T$5:$T$1004,MATCH(210,Firms!$U$5:$U$1004,0))&amp;"","")</f>
        <v/>
      </c>
    </row>
    <row r="215">
      <c r="A215" s="79">
        <f>IF(B215="","",211)</f>
        <v/>
      </c>
      <c r="B215" s="91">
        <f>IFERROR(INDEX(Firms!$A$5:$A$1004,MATCH(211,Firms!$U$5:$U$1004,0))&amp;"","")</f>
        <v/>
      </c>
      <c r="C215" s="88">
        <f>IFERROR(IF(INDEX(Firms!$R$5:$R$1004,MATCH(211,Firms!$U$5:$U$1004,0))="","",INDEX(Firms!$R$5:$R$1004,MATCH(211,Firms!$U$5:$U$1004,0))),"")</f>
        <v/>
      </c>
      <c r="D215" s="91">
        <f>IFERROR(INDEX(Firms!$S$5:$S$1004,MATCH(211,Firms!$U$5:$U$1004,0))&amp;"","")</f>
        <v/>
      </c>
      <c r="E215" s="91">
        <f>IFERROR(INDEX(Firms!$C$5:$C$1004,MATCH(211,Firms!$U$5:$U$1004,0))&amp;"","")</f>
        <v/>
      </c>
      <c r="F215" s="79">
        <f>IFERROR(INDEX(Firms!$N$5:$N$1004,MATCH(211,Firms!$U$5:$U$1004,0))&amp;"","")</f>
        <v/>
      </c>
      <c r="G215" s="79">
        <f>IFERROR(INDEX(Firms!$P$5:$P$1004,MATCH(211,Firms!$U$5:$U$1004,0))&amp;"","")</f>
        <v/>
      </c>
      <c r="H215" s="91">
        <f>IFERROR(INDEX(Firms!$T$5:$T$1004,MATCH(211,Firms!$U$5:$U$1004,0))&amp;"","")</f>
        <v/>
      </c>
    </row>
    <row r="216">
      <c r="A216" s="79">
        <f>IF(B216="","",212)</f>
        <v/>
      </c>
      <c r="B216" s="91">
        <f>IFERROR(INDEX(Firms!$A$5:$A$1004,MATCH(212,Firms!$U$5:$U$1004,0))&amp;"","")</f>
        <v/>
      </c>
      <c r="C216" s="88">
        <f>IFERROR(IF(INDEX(Firms!$R$5:$R$1004,MATCH(212,Firms!$U$5:$U$1004,0))="","",INDEX(Firms!$R$5:$R$1004,MATCH(212,Firms!$U$5:$U$1004,0))),"")</f>
        <v/>
      </c>
      <c r="D216" s="91">
        <f>IFERROR(INDEX(Firms!$S$5:$S$1004,MATCH(212,Firms!$U$5:$U$1004,0))&amp;"","")</f>
        <v/>
      </c>
      <c r="E216" s="91">
        <f>IFERROR(INDEX(Firms!$C$5:$C$1004,MATCH(212,Firms!$U$5:$U$1004,0))&amp;"","")</f>
        <v/>
      </c>
      <c r="F216" s="79">
        <f>IFERROR(INDEX(Firms!$N$5:$N$1004,MATCH(212,Firms!$U$5:$U$1004,0))&amp;"","")</f>
        <v/>
      </c>
      <c r="G216" s="79">
        <f>IFERROR(INDEX(Firms!$P$5:$P$1004,MATCH(212,Firms!$U$5:$U$1004,0))&amp;"","")</f>
        <v/>
      </c>
      <c r="H216" s="91">
        <f>IFERROR(INDEX(Firms!$T$5:$T$1004,MATCH(212,Firms!$U$5:$U$1004,0))&amp;"","")</f>
        <v/>
      </c>
    </row>
    <row r="217">
      <c r="A217" s="79">
        <f>IF(B217="","",213)</f>
        <v/>
      </c>
      <c r="B217" s="91">
        <f>IFERROR(INDEX(Firms!$A$5:$A$1004,MATCH(213,Firms!$U$5:$U$1004,0))&amp;"","")</f>
        <v/>
      </c>
      <c r="C217" s="88">
        <f>IFERROR(IF(INDEX(Firms!$R$5:$R$1004,MATCH(213,Firms!$U$5:$U$1004,0))="","",INDEX(Firms!$R$5:$R$1004,MATCH(213,Firms!$U$5:$U$1004,0))),"")</f>
        <v/>
      </c>
      <c r="D217" s="91">
        <f>IFERROR(INDEX(Firms!$S$5:$S$1004,MATCH(213,Firms!$U$5:$U$1004,0))&amp;"","")</f>
        <v/>
      </c>
      <c r="E217" s="91">
        <f>IFERROR(INDEX(Firms!$C$5:$C$1004,MATCH(213,Firms!$U$5:$U$1004,0))&amp;"","")</f>
        <v/>
      </c>
      <c r="F217" s="79">
        <f>IFERROR(INDEX(Firms!$N$5:$N$1004,MATCH(213,Firms!$U$5:$U$1004,0))&amp;"","")</f>
        <v/>
      </c>
      <c r="G217" s="79">
        <f>IFERROR(INDEX(Firms!$P$5:$P$1004,MATCH(213,Firms!$U$5:$U$1004,0))&amp;"","")</f>
        <v/>
      </c>
      <c r="H217" s="91">
        <f>IFERROR(INDEX(Firms!$T$5:$T$1004,MATCH(213,Firms!$U$5:$U$1004,0))&amp;"","")</f>
        <v/>
      </c>
    </row>
    <row r="218">
      <c r="A218" s="79">
        <f>IF(B218="","",214)</f>
        <v/>
      </c>
      <c r="B218" s="91">
        <f>IFERROR(INDEX(Firms!$A$5:$A$1004,MATCH(214,Firms!$U$5:$U$1004,0))&amp;"","")</f>
        <v/>
      </c>
      <c r="C218" s="88">
        <f>IFERROR(IF(INDEX(Firms!$R$5:$R$1004,MATCH(214,Firms!$U$5:$U$1004,0))="","",INDEX(Firms!$R$5:$R$1004,MATCH(214,Firms!$U$5:$U$1004,0))),"")</f>
        <v/>
      </c>
      <c r="D218" s="91">
        <f>IFERROR(INDEX(Firms!$S$5:$S$1004,MATCH(214,Firms!$U$5:$U$1004,0))&amp;"","")</f>
        <v/>
      </c>
      <c r="E218" s="91">
        <f>IFERROR(INDEX(Firms!$C$5:$C$1004,MATCH(214,Firms!$U$5:$U$1004,0))&amp;"","")</f>
        <v/>
      </c>
      <c r="F218" s="79">
        <f>IFERROR(INDEX(Firms!$N$5:$N$1004,MATCH(214,Firms!$U$5:$U$1004,0))&amp;"","")</f>
        <v/>
      </c>
      <c r="G218" s="79">
        <f>IFERROR(INDEX(Firms!$P$5:$P$1004,MATCH(214,Firms!$U$5:$U$1004,0))&amp;"","")</f>
        <v/>
      </c>
      <c r="H218" s="91">
        <f>IFERROR(INDEX(Firms!$T$5:$T$1004,MATCH(214,Firms!$U$5:$U$1004,0))&amp;"","")</f>
        <v/>
      </c>
    </row>
    <row r="219">
      <c r="A219" s="79">
        <f>IF(B219="","",215)</f>
        <v/>
      </c>
      <c r="B219" s="91">
        <f>IFERROR(INDEX(Firms!$A$5:$A$1004,MATCH(215,Firms!$U$5:$U$1004,0))&amp;"","")</f>
        <v/>
      </c>
      <c r="C219" s="88">
        <f>IFERROR(IF(INDEX(Firms!$R$5:$R$1004,MATCH(215,Firms!$U$5:$U$1004,0))="","",INDEX(Firms!$R$5:$R$1004,MATCH(215,Firms!$U$5:$U$1004,0))),"")</f>
        <v/>
      </c>
      <c r="D219" s="91">
        <f>IFERROR(INDEX(Firms!$S$5:$S$1004,MATCH(215,Firms!$U$5:$U$1004,0))&amp;"","")</f>
        <v/>
      </c>
      <c r="E219" s="91">
        <f>IFERROR(INDEX(Firms!$C$5:$C$1004,MATCH(215,Firms!$U$5:$U$1004,0))&amp;"","")</f>
        <v/>
      </c>
      <c r="F219" s="79">
        <f>IFERROR(INDEX(Firms!$N$5:$N$1004,MATCH(215,Firms!$U$5:$U$1004,0))&amp;"","")</f>
        <v/>
      </c>
      <c r="G219" s="79">
        <f>IFERROR(INDEX(Firms!$P$5:$P$1004,MATCH(215,Firms!$U$5:$U$1004,0))&amp;"","")</f>
        <v/>
      </c>
      <c r="H219" s="91">
        <f>IFERROR(INDEX(Firms!$T$5:$T$1004,MATCH(215,Firms!$U$5:$U$1004,0))&amp;"","")</f>
        <v/>
      </c>
    </row>
    <row r="220">
      <c r="A220" s="79">
        <f>IF(B220="","",216)</f>
        <v/>
      </c>
      <c r="B220" s="91">
        <f>IFERROR(INDEX(Firms!$A$5:$A$1004,MATCH(216,Firms!$U$5:$U$1004,0))&amp;"","")</f>
        <v/>
      </c>
      <c r="C220" s="88">
        <f>IFERROR(IF(INDEX(Firms!$R$5:$R$1004,MATCH(216,Firms!$U$5:$U$1004,0))="","",INDEX(Firms!$R$5:$R$1004,MATCH(216,Firms!$U$5:$U$1004,0))),"")</f>
        <v/>
      </c>
      <c r="D220" s="91">
        <f>IFERROR(INDEX(Firms!$S$5:$S$1004,MATCH(216,Firms!$U$5:$U$1004,0))&amp;"","")</f>
        <v/>
      </c>
      <c r="E220" s="91">
        <f>IFERROR(INDEX(Firms!$C$5:$C$1004,MATCH(216,Firms!$U$5:$U$1004,0))&amp;"","")</f>
        <v/>
      </c>
      <c r="F220" s="79">
        <f>IFERROR(INDEX(Firms!$N$5:$N$1004,MATCH(216,Firms!$U$5:$U$1004,0))&amp;"","")</f>
        <v/>
      </c>
      <c r="G220" s="79">
        <f>IFERROR(INDEX(Firms!$P$5:$P$1004,MATCH(216,Firms!$U$5:$U$1004,0))&amp;"","")</f>
        <v/>
      </c>
      <c r="H220" s="91">
        <f>IFERROR(INDEX(Firms!$T$5:$T$1004,MATCH(216,Firms!$U$5:$U$1004,0))&amp;"","")</f>
        <v/>
      </c>
    </row>
    <row r="221">
      <c r="A221" s="79">
        <f>IF(B221="","",217)</f>
        <v/>
      </c>
      <c r="B221" s="91">
        <f>IFERROR(INDEX(Firms!$A$5:$A$1004,MATCH(217,Firms!$U$5:$U$1004,0))&amp;"","")</f>
        <v/>
      </c>
      <c r="C221" s="88">
        <f>IFERROR(IF(INDEX(Firms!$R$5:$R$1004,MATCH(217,Firms!$U$5:$U$1004,0))="","",INDEX(Firms!$R$5:$R$1004,MATCH(217,Firms!$U$5:$U$1004,0))),"")</f>
        <v/>
      </c>
      <c r="D221" s="91">
        <f>IFERROR(INDEX(Firms!$S$5:$S$1004,MATCH(217,Firms!$U$5:$U$1004,0))&amp;"","")</f>
        <v/>
      </c>
      <c r="E221" s="91">
        <f>IFERROR(INDEX(Firms!$C$5:$C$1004,MATCH(217,Firms!$U$5:$U$1004,0))&amp;"","")</f>
        <v/>
      </c>
      <c r="F221" s="79">
        <f>IFERROR(INDEX(Firms!$N$5:$N$1004,MATCH(217,Firms!$U$5:$U$1004,0))&amp;"","")</f>
        <v/>
      </c>
      <c r="G221" s="79">
        <f>IFERROR(INDEX(Firms!$P$5:$P$1004,MATCH(217,Firms!$U$5:$U$1004,0))&amp;"","")</f>
        <v/>
      </c>
      <c r="H221" s="91">
        <f>IFERROR(INDEX(Firms!$T$5:$T$1004,MATCH(217,Firms!$U$5:$U$1004,0))&amp;"","")</f>
        <v/>
      </c>
    </row>
    <row r="222">
      <c r="A222" s="79">
        <f>IF(B222="","",218)</f>
        <v/>
      </c>
      <c r="B222" s="91">
        <f>IFERROR(INDEX(Firms!$A$5:$A$1004,MATCH(218,Firms!$U$5:$U$1004,0))&amp;"","")</f>
        <v/>
      </c>
      <c r="C222" s="88">
        <f>IFERROR(IF(INDEX(Firms!$R$5:$R$1004,MATCH(218,Firms!$U$5:$U$1004,0))="","",INDEX(Firms!$R$5:$R$1004,MATCH(218,Firms!$U$5:$U$1004,0))),"")</f>
        <v/>
      </c>
      <c r="D222" s="91">
        <f>IFERROR(INDEX(Firms!$S$5:$S$1004,MATCH(218,Firms!$U$5:$U$1004,0))&amp;"","")</f>
        <v/>
      </c>
      <c r="E222" s="91">
        <f>IFERROR(INDEX(Firms!$C$5:$C$1004,MATCH(218,Firms!$U$5:$U$1004,0))&amp;"","")</f>
        <v/>
      </c>
      <c r="F222" s="79">
        <f>IFERROR(INDEX(Firms!$N$5:$N$1004,MATCH(218,Firms!$U$5:$U$1004,0))&amp;"","")</f>
        <v/>
      </c>
      <c r="G222" s="79">
        <f>IFERROR(INDEX(Firms!$P$5:$P$1004,MATCH(218,Firms!$U$5:$U$1004,0))&amp;"","")</f>
        <v/>
      </c>
      <c r="H222" s="91">
        <f>IFERROR(INDEX(Firms!$T$5:$T$1004,MATCH(218,Firms!$U$5:$U$1004,0))&amp;"","")</f>
        <v/>
      </c>
    </row>
    <row r="223">
      <c r="A223" s="79">
        <f>IF(B223="","",219)</f>
        <v/>
      </c>
      <c r="B223" s="91">
        <f>IFERROR(INDEX(Firms!$A$5:$A$1004,MATCH(219,Firms!$U$5:$U$1004,0))&amp;"","")</f>
        <v/>
      </c>
      <c r="C223" s="88">
        <f>IFERROR(IF(INDEX(Firms!$R$5:$R$1004,MATCH(219,Firms!$U$5:$U$1004,0))="","",INDEX(Firms!$R$5:$R$1004,MATCH(219,Firms!$U$5:$U$1004,0))),"")</f>
        <v/>
      </c>
      <c r="D223" s="91">
        <f>IFERROR(INDEX(Firms!$S$5:$S$1004,MATCH(219,Firms!$U$5:$U$1004,0))&amp;"","")</f>
        <v/>
      </c>
      <c r="E223" s="91">
        <f>IFERROR(INDEX(Firms!$C$5:$C$1004,MATCH(219,Firms!$U$5:$U$1004,0))&amp;"","")</f>
        <v/>
      </c>
      <c r="F223" s="79">
        <f>IFERROR(INDEX(Firms!$N$5:$N$1004,MATCH(219,Firms!$U$5:$U$1004,0))&amp;"","")</f>
        <v/>
      </c>
      <c r="G223" s="79">
        <f>IFERROR(INDEX(Firms!$P$5:$P$1004,MATCH(219,Firms!$U$5:$U$1004,0))&amp;"","")</f>
        <v/>
      </c>
      <c r="H223" s="91">
        <f>IFERROR(INDEX(Firms!$T$5:$T$1004,MATCH(219,Firms!$U$5:$U$1004,0))&amp;"","")</f>
        <v/>
      </c>
    </row>
    <row r="224">
      <c r="A224" s="79">
        <f>IF(B224="","",220)</f>
        <v/>
      </c>
      <c r="B224" s="91">
        <f>IFERROR(INDEX(Firms!$A$5:$A$1004,MATCH(220,Firms!$U$5:$U$1004,0))&amp;"","")</f>
        <v/>
      </c>
      <c r="C224" s="88">
        <f>IFERROR(IF(INDEX(Firms!$R$5:$R$1004,MATCH(220,Firms!$U$5:$U$1004,0))="","",INDEX(Firms!$R$5:$R$1004,MATCH(220,Firms!$U$5:$U$1004,0))),"")</f>
        <v/>
      </c>
      <c r="D224" s="91">
        <f>IFERROR(INDEX(Firms!$S$5:$S$1004,MATCH(220,Firms!$U$5:$U$1004,0))&amp;"","")</f>
        <v/>
      </c>
      <c r="E224" s="91">
        <f>IFERROR(INDEX(Firms!$C$5:$C$1004,MATCH(220,Firms!$U$5:$U$1004,0))&amp;"","")</f>
        <v/>
      </c>
      <c r="F224" s="79">
        <f>IFERROR(INDEX(Firms!$N$5:$N$1004,MATCH(220,Firms!$U$5:$U$1004,0))&amp;"","")</f>
        <v/>
      </c>
      <c r="G224" s="79">
        <f>IFERROR(INDEX(Firms!$P$5:$P$1004,MATCH(220,Firms!$U$5:$U$1004,0))&amp;"","")</f>
        <v/>
      </c>
      <c r="H224" s="91">
        <f>IFERROR(INDEX(Firms!$T$5:$T$1004,MATCH(220,Firms!$U$5:$U$1004,0))&amp;"","")</f>
        <v/>
      </c>
    </row>
    <row r="225">
      <c r="A225" s="79">
        <f>IF(B225="","",221)</f>
        <v/>
      </c>
      <c r="B225" s="91">
        <f>IFERROR(INDEX(Firms!$A$5:$A$1004,MATCH(221,Firms!$U$5:$U$1004,0))&amp;"","")</f>
        <v/>
      </c>
      <c r="C225" s="88">
        <f>IFERROR(IF(INDEX(Firms!$R$5:$R$1004,MATCH(221,Firms!$U$5:$U$1004,0))="","",INDEX(Firms!$R$5:$R$1004,MATCH(221,Firms!$U$5:$U$1004,0))),"")</f>
        <v/>
      </c>
      <c r="D225" s="91">
        <f>IFERROR(INDEX(Firms!$S$5:$S$1004,MATCH(221,Firms!$U$5:$U$1004,0))&amp;"","")</f>
        <v/>
      </c>
      <c r="E225" s="91">
        <f>IFERROR(INDEX(Firms!$C$5:$C$1004,MATCH(221,Firms!$U$5:$U$1004,0))&amp;"","")</f>
        <v/>
      </c>
      <c r="F225" s="79">
        <f>IFERROR(INDEX(Firms!$N$5:$N$1004,MATCH(221,Firms!$U$5:$U$1004,0))&amp;"","")</f>
        <v/>
      </c>
      <c r="G225" s="79">
        <f>IFERROR(INDEX(Firms!$P$5:$P$1004,MATCH(221,Firms!$U$5:$U$1004,0))&amp;"","")</f>
        <v/>
      </c>
      <c r="H225" s="91">
        <f>IFERROR(INDEX(Firms!$T$5:$T$1004,MATCH(221,Firms!$U$5:$U$1004,0))&amp;"","")</f>
        <v/>
      </c>
    </row>
    <row r="226">
      <c r="A226" s="79">
        <f>IF(B226="","",222)</f>
        <v/>
      </c>
      <c r="B226" s="91">
        <f>IFERROR(INDEX(Firms!$A$5:$A$1004,MATCH(222,Firms!$U$5:$U$1004,0))&amp;"","")</f>
        <v/>
      </c>
      <c r="C226" s="88">
        <f>IFERROR(IF(INDEX(Firms!$R$5:$R$1004,MATCH(222,Firms!$U$5:$U$1004,0))="","",INDEX(Firms!$R$5:$R$1004,MATCH(222,Firms!$U$5:$U$1004,0))),"")</f>
        <v/>
      </c>
      <c r="D226" s="91">
        <f>IFERROR(INDEX(Firms!$S$5:$S$1004,MATCH(222,Firms!$U$5:$U$1004,0))&amp;"","")</f>
        <v/>
      </c>
      <c r="E226" s="91">
        <f>IFERROR(INDEX(Firms!$C$5:$C$1004,MATCH(222,Firms!$U$5:$U$1004,0))&amp;"","")</f>
        <v/>
      </c>
      <c r="F226" s="79">
        <f>IFERROR(INDEX(Firms!$N$5:$N$1004,MATCH(222,Firms!$U$5:$U$1004,0))&amp;"","")</f>
        <v/>
      </c>
      <c r="G226" s="79">
        <f>IFERROR(INDEX(Firms!$P$5:$P$1004,MATCH(222,Firms!$U$5:$U$1004,0))&amp;"","")</f>
        <v/>
      </c>
      <c r="H226" s="91">
        <f>IFERROR(INDEX(Firms!$T$5:$T$1004,MATCH(222,Firms!$U$5:$U$1004,0))&amp;"","")</f>
        <v/>
      </c>
    </row>
    <row r="227">
      <c r="A227" s="79">
        <f>IF(B227="","",223)</f>
        <v/>
      </c>
      <c r="B227" s="91">
        <f>IFERROR(INDEX(Firms!$A$5:$A$1004,MATCH(223,Firms!$U$5:$U$1004,0))&amp;"","")</f>
        <v/>
      </c>
      <c r="C227" s="88">
        <f>IFERROR(IF(INDEX(Firms!$R$5:$R$1004,MATCH(223,Firms!$U$5:$U$1004,0))="","",INDEX(Firms!$R$5:$R$1004,MATCH(223,Firms!$U$5:$U$1004,0))),"")</f>
        <v/>
      </c>
      <c r="D227" s="91">
        <f>IFERROR(INDEX(Firms!$S$5:$S$1004,MATCH(223,Firms!$U$5:$U$1004,0))&amp;"","")</f>
        <v/>
      </c>
      <c r="E227" s="91">
        <f>IFERROR(INDEX(Firms!$C$5:$C$1004,MATCH(223,Firms!$U$5:$U$1004,0))&amp;"","")</f>
        <v/>
      </c>
      <c r="F227" s="79">
        <f>IFERROR(INDEX(Firms!$N$5:$N$1004,MATCH(223,Firms!$U$5:$U$1004,0))&amp;"","")</f>
        <v/>
      </c>
      <c r="G227" s="79">
        <f>IFERROR(INDEX(Firms!$P$5:$P$1004,MATCH(223,Firms!$U$5:$U$1004,0))&amp;"","")</f>
        <v/>
      </c>
      <c r="H227" s="91">
        <f>IFERROR(INDEX(Firms!$T$5:$T$1004,MATCH(223,Firms!$U$5:$U$1004,0))&amp;"","")</f>
        <v/>
      </c>
    </row>
    <row r="228">
      <c r="A228" s="79">
        <f>IF(B228="","",224)</f>
        <v/>
      </c>
      <c r="B228" s="91">
        <f>IFERROR(INDEX(Firms!$A$5:$A$1004,MATCH(224,Firms!$U$5:$U$1004,0))&amp;"","")</f>
        <v/>
      </c>
      <c r="C228" s="88">
        <f>IFERROR(IF(INDEX(Firms!$R$5:$R$1004,MATCH(224,Firms!$U$5:$U$1004,0))="","",INDEX(Firms!$R$5:$R$1004,MATCH(224,Firms!$U$5:$U$1004,0))),"")</f>
        <v/>
      </c>
      <c r="D228" s="91">
        <f>IFERROR(INDEX(Firms!$S$5:$S$1004,MATCH(224,Firms!$U$5:$U$1004,0))&amp;"","")</f>
        <v/>
      </c>
      <c r="E228" s="91">
        <f>IFERROR(INDEX(Firms!$C$5:$C$1004,MATCH(224,Firms!$U$5:$U$1004,0))&amp;"","")</f>
        <v/>
      </c>
      <c r="F228" s="79">
        <f>IFERROR(INDEX(Firms!$N$5:$N$1004,MATCH(224,Firms!$U$5:$U$1004,0))&amp;"","")</f>
        <v/>
      </c>
      <c r="G228" s="79">
        <f>IFERROR(INDEX(Firms!$P$5:$P$1004,MATCH(224,Firms!$U$5:$U$1004,0))&amp;"","")</f>
        <v/>
      </c>
      <c r="H228" s="91">
        <f>IFERROR(INDEX(Firms!$T$5:$T$1004,MATCH(224,Firms!$U$5:$U$1004,0))&amp;"","")</f>
        <v/>
      </c>
    </row>
    <row r="229">
      <c r="A229" s="79">
        <f>IF(B229="","",225)</f>
        <v/>
      </c>
      <c r="B229" s="91">
        <f>IFERROR(INDEX(Firms!$A$5:$A$1004,MATCH(225,Firms!$U$5:$U$1004,0))&amp;"","")</f>
        <v/>
      </c>
      <c r="C229" s="88">
        <f>IFERROR(IF(INDEX(Firms!$R$5:$R$1004,MATCH(225,Firms!$U$5:$U$1004,0))="","",INDEX(Firms!$R$5:$R$1004,MATCH(225,Firms!$U$5:$U$1004,0))),"")</f>
        <v/>
      </c>
      <c r="D229" s="91">
        <f>IFERROR(INDEX(Firms!$S$5:$S$1004,MATCH(225,Firms!$U$5:$U$1004,0))&amp;"","")</f>
        <v/>
      </c>
      <c r="E229" s="91">
        <f>IFERROR(INDEX(Firms!$C$5:$C$1004,MATCH(225,Firms!$U$5:$U$1004,0))&amp;"","")</f>
        <v/>
      </c>
      <c r="F229" s="79">
        <f>IFERROR(INDEX(Firms!$N$5:$N$1004,MATCH(225,Firms!$U$5:$U$1004,0))&amp;"","")</f>
        <v/>
      </c>
      <c r="G229" s="79">
        <f>IFERROR(INDEX(Firms!$P$5:$P$1004,MATCH(225,Firms!$U$5:$U$1004,0))&amp;"","")</f>
        <v/>
      </c>
      <c r="H229" s="91">
        <f>IFERROR(INDEX(Firms!$T$5:$T$1004,MATCH(225,Firms!$U$5:$U$1004,0))&amp;"","")</f>
        <v/>
      </c>
    </row>
    <row r="230">
      <c r="A230" s="79">
        <f>IF(B230="","",226)</f>
        <v/>
      </c>
      <c r="B230" s="91">
        <f>IFERROR(INDEX(Firms!$A$5:$A$1004,MATCH(226,Firms!$U$5:$U$1004,0))&amp;"","")</f>
        <v/>
      </c>
      <c r="C230" s="88">
        <f>IFERROR(IF(INDEX(Firms!$R$5:$R$1004,MATCH(226,Firms!$U$5:$U$1004,0))="","",INDEX(Firms!$R$5:$R$1004,MATCH(226,Firms!$U$5:$U$1004,0))),"")</f>
        <v/>
      </c>
      <c r="D230" s="91">
        <f>IFERROR(INDEX(Firms!$S$5:$S$1004,MATCH(226,Firms!$U$5:$U$1004,0))&amp;"","")</f>
        <v/>
      </c>
      <c r="E230" s="91">
        <f>IFERROR(INDEX(Firms!$C$5:$C$1004,MATCH(226,Firms!$U$5:$U$1004,0))&amp;"","")</f>
        <v/>
      </c>
      <c r="F230" s="79">
        <f>IFERROR(INDEX(Firms!$N$5:$N$1004,MATCH(226,Firms!$U$5:$U$1004,0))&amp;"","")</f>
        <v/>
      </c>
      <c r="G230" s="79">
        <f>IFERROR(INDEX(Firms!$P$5:$P$1004,MATCH(226,Firms!$U$5:$U$1004,0))&amp;"","")</f>
        <v/>
      </c>
      <c r="H230" s="91">
        <f>IFERROR(INDEX(Firms!$T$5:$T$1004,MATCH(226,Firms!$U$5:$U$1004,0))&amp;"","")</f>
        <v/>
      </c>
    </row>
    <row r="231">
      <c r="A231" s="79">
        <f>IF(B231="","",227)</f>
        <v/>
      </c>
      <c r="B231" s="91">
        <f>IFERROR(INDEX(Firms!$A$5:$A$1004,MATCH(227,Firms!$U$5:$U$1004,0))&amp;"","")</f>
        <v/>
      </c>
      <c r="C231" s="88">
        <f>IFERROR(IF(INDEX(Firms!$R$5:$R$1004,MATCH(227,Firms!$U$5:$U$1004,0))="","",INDEX(Firms!$R$5:$R$1004,MATCH(227,Firms!$U$5:$U$1004,0))),"")</f>
        <v/>
      </c>
      <c r="D231" s="91">
        <f>IFERROR(INDEX(Firms!$S$5:$S$1004,MATCH(227,Firms!$U$5:$U$1004,0))&amp;"","")</f>
        <v/>
      </c>
      <c r="E231" s="91">
        <f>IFERROR(INDEX(Firms!$C$5:$C$1004,MATCH(227,Firms!$U$5:$U$1004,0))&amp;"","")</f>
        <v/>
      </c>
      <c r="F231" s="79">
        <f>IFERROR(INDEX(Firms!$N$5:$N$1004,MATCH(227,Firms!$U$5:$U$1004,0))&amp;"","")</f>
        <v/>
      </c>
      <c r="G231" s="79">
        <f>IFERROR(INDEX(Firms!$P$5:$P$1004,MATCH(227,Firms!$U$5:$U$1004,0))&amp;"","")</f>
        <v/>
      </c>
      <c r="H231" s="91">
        <f>IFERROR(INDEX(Firms!$T$5:$T$1004,MATCH(227,Firms!$U$5:$U$1004,0))&amp;"","")</f>
        <v/>
      </c>
    </row>
    <row r="232">
      <c r="A232" s="79">
        <f>IF(B232="","",228)</f>
        <v/>
      </c>
      <c r="B232" s="91">
        <f>IFERROR(INDEX(Firms!$A$5:$A$1004,MATCH(228,Firms!$U$5:$U$1004,0))&amp;"","")</f>
        <v/>
      </c>
      <c r="C232" s="88">
        <f>IFERROR(IF(INDEX(Firms!$R$5:$R$1004,MATCH(228,Firms!$U$5:$U$1004,0))="","",INDEX(Firms!$R$5:$R$1004,MATCH(228,Firms!$U$5:$U$1004,0))),"")</f>
        <v/>
      </c>
      <c r="D232" s="91">
        <f>IFERROR(INDEX(Firms!$S$5:$S$1004,MATCH(228,Firms!$U$5:$U$1004,0))&amp;"","")</f>
        <v/>
      </c>
      <c r="E232" s="91">
        <f>IFERROR(INDEX(Firms!$C$5:$C$1004,MATCH(228,Firms!$U$5:$U$1004,0))&amp;"","")</f>
        <v/>
      </c>
      <c r="F232" s="79">
        <f>IFERROR(INDEX(Firms!$N$5:$N$1004,MATCH(228,Firms!$U$5:$U$1004,0))&amp;"","")</f>
        <v/>
      </c>
      <c r="G232" s="79">
        <f>IFERROR(INDEX(Firms!$P$5:$P$1004,MATCH(228,Firms!$U$5:$U$1004,0))&amp;"","")</f>
        <v/>
      </c>
      <c r="H232" s="91">
        <f>IFERROR(INDEX(Firms!$T$5:$T$1004,MATCH(228,Firms!$U$5:$U$1004,0))&amp;"","")</f>
        <v/>
      </c>
    </row>
    <row r="233">
      <c r="A233" s="79">
        <f>IF(B233="","",229)</f>
        <v/>
      </c>
      <c r="B233" s="91">
        <f>IFERROR(INDEX(Firms!$A$5:$A$1004,MATCH(229,Firms!$U$5:$U$1004,0))&amp;"","")</f>
        <v/>
      </c>
      <c r="C233" s="88">
        <f>IFERROR(IF(INDEX(Firms!$R$5:$R$1004,MATCH(229,Firms!$U$5:$U$1004,0))="","",INDEX(Firms!$R$5:$R$1004,MATCH(229,Firms!$U$5:$U$1004,0))),"")</f>
        <v/>
      </c>
      <c r="D233" s="91">
        <f>IFERROR(INDEX(Firms!$S$5:$S$1004,MATCH(229,Firms!$U$5:$U$1004,0))&amp;"","")</f>
        <v/>
      </c>
      <c r="E233" s="91">
        <f>IFERROR(INDEX(Firms!$C$5:$C$1004,MATCH(229,Firms!$U$5:$U$1004,0))&amp;"","")</f>
        <v/>
      </c>
      <c r="F233" s="79">
        <f>IFERROR(INDEX(Firms!$N$5:$N$1004,MATCH(229,Firms!$U$5:$U$1004,0))&amp;"","")</f>
        <v/>
      </c>
      <c r="G233" s="79">
        <f>IFERROR(INDEX(Firms!$P$5:$P$1004,MATCH(229,Firms!$U$5:$U$1004,0))&amp;"","")</f>
        <v/>
      </c>
      <c r="H233" s="91">
        <f>IFERROR(INDEX(Firms!$T$5:$T$1004,MATCH(229,Firms!$U$5:$U$1004,0))&amp;"","")</f>
        <v/>
      </c>
    </row>
    <row r="234">
      <c r="A234" s="79">
        <f>IF(B234="","",230)</f>
        <v/>
      </c>
      <c r="B234" s="91">
        <f>IFERROR(INDEX(Firms!$A$5:$A$1004,MATCH(230,Firms!$U$5:$U$1004,0))&amp;"","")</f>
        <v/>
      </c>
      <c r="C234" s="88">
        <f>IFERROR(IF(INDEX(Firms!$R$5:$R$1004,MATCH(230,Firms!$U$5:$U$1004,0))="","",INDEX(Firms!$R$5:$R$1004,MATCH(230,Firms!$U$5:$U$1004,0))),"")</f>
        <v/>
      </c>
      <c r="D234" s="91">
        <f>IFERROR(INDEX(Firms!$S$5:$S$1004,MATCH(230,Firms!$U$5:$U$1004,0))&amp;"","")</f>
        <v/>
      </c>
      <c r="E234" s="91">
        <f>IFERROR(INDEX(Firms!$C$5:$C$1004,MATCH(230,Firms!$U$5:$U$1004,0))&amp;"","")</f>
        <v/>
      </c>
      <c r="F234" s="79">
        <f>IFERROR(INDEX(Firms!$N$5:$N$1004,MATCH(230,Firms!$U$5:$U$1004,0))&amp;"","")</f>
        <v/>
      </c>
      <c r="G234" s="79">
        <f>IFERROR(INDEX(Firms!$P$5:$P$1004,MATCH(230,Firms!$U$5:$U$1004,0))&amp;"","")</f>
        <v/>
      </c>
      <c r="H234" s="91">
        <f>IFERROR(INDEX(Firms!$T$5:$T$1004,MATCH(230,Firms!$U$5:$U$1004,0))&amp;"","")</f>
        <v/>
      </c>
    </row>
    <row r="235">
      <c r="A235" s="79">
        <f>IF(B235="","",231)</f>
        <v/>
      </c>
      <c r="B235" s="91">
        <f>IFERROR(INDEX(Firms!$A$5:$A$1004,MATCH(231,Firms!$U$5:$U$1004,0))&amp;"","")</f>
        <v/>
      </c>
      <c r="C235" s="88">
        <f>IFERROR(IF(INDEX(Firms!$R$5:$R$1004,MATCH(231,Firms!$U$5:$U$1004,0))="","",INDEX(Firms!$R$5:$R$1004,MATCH(231,Firms!$U$5:$U$1004,0))),"")</f>
        <v/>
      </c>
      <c r="D235" s="91">
        <f>IFERROR(INDEX(Firms!$S$5:$S$1004,MATCH(231,Firms!$U$5:$U$1004,0))&amp;"","")</f>
        <v/>
      </c>
      <c r="E235" s="91">
        <f>IFERROR(INDEX(Firms!$C$5:$C$1004,MATCH(231,Firms!$U$5:$U$1004,0))&amp;"","")</f>
        <v/>
      </c>
      <c r="F235" s="79">
        <f>IFERROR(INDEX(Firms!$N$5:$N$1004,MATCH(231,Firms!$U$5:$U$1004,0))&amp;"","")</f>
        <v/>
      </c>
      <c r="G235" s="79">
        <f>IFERROR(INDEX(Firms!$P$5:$P$1004,MATCH(231,Firms!$U$5:$U$1004,0))&amp;"","")</f>
        <v/>
      </c>
      <c r="H235" s="91">
        <f>IFERROR(INDEX(Firms!$T$5:$T$1004,MATCH(231,Firms!$U$5:$U$1004,0))&amp;"","")</f>
        <v/>
      </c>
    </row>
    <row r="236">
      <c r="A236" s="79">
        <f>IF(B236="","",232)</f>
        <v/>
      </c>
      <c r="B236" s="91">
        <f>IFERROR(INDEX(Firms!$A$5:$A$1004,MATCH(232,Firms!$U$5:$U$1004,0))&amp;"","")</f>
        <v/>
      </c>
      <c r="C236" s="88">
        <f>IFERROR(IF(INDEX(Firms!$R$5:$R$1004,MATCH(232,Firms!$U$5:$U$1004,0))="","",INDEX(Firms!$R$5:$R$1004,MATCH(232,Firms!$U$5:$U$1004,0))),"")</f>
        <v/>
      </c>
      <c r="D236" s="91">
        <f>IFERROR(INDEX(Firms!$S$5:$S$1004,MATCH(232,Firms!$U$5:$U$1004,0))&amp;"","")</f>
        <v/>
      </c>
      <c r="E236" s="91">
        <f>IFERROR(INDEX(Firms!$C$5:$C$1004,MATCH(232,Firms!$U$5:$U$1004,0))&amp;"","")</f>
        <v/>
      </c>
      <c r="F236" s="79">
        <f>IFERROR(INDEX(Firms!$N$5:$N$1004,MATCH(232,Firms!$U$5:$U$1004,0))&amp;"","")</f>
        <v/>
      </c>
      <c r="G236" s="79">
        <f>IFERROR(INDEX(Firms!$P$5:$P$1004,MATCH(232,Firms!$U$5:$U$1004,0))&amp;"","")</f>
        <v/>
      </c>
      <c r="H236" s="91">
        <f>IFERROR(INDEX(Firms!$T$5:$T$1004,MATCH(232,Firms!$U$5:$U$1004,0))&amp;"","")</f>
        <v/>
      </c>
    </row>
    <row r="237">
      <c r="A237" s="79">
        <f>IF(B237="","",233)</f>
        <v/>
      </c>
      <c r="B237" s="91">
        <f>IFERROR(INDEX(Firms!$A$5:$A$1004,MATCH(233,Firms!$U$5:$U$1004,0))&amp;"","")</f>
        <v/>
      </c>
      <c r="C237" s="88">
        <f>IFERROR(IF(INDEX(Firms!$R$5:$R$1004,MATCH(233,Firms!$U$5:$U$1004,0))="","",INDEX(Firms!$R$5:$R$1004,MATCH(233,Firms!$U$5:$U$1004,0))),"")</f>
        <v/>
      </c>
      <c r="D237" s="91">
        <f>IFERROR(INDEX(Firms!$S$5:$S$1004,MATCH(233,Firms!$U$5:$U$1004,0))&amp;"","")</f>
        <v/>
      </c>
      <c r="E237" s="91">
        <f>IFERROR(INDEX(Firms!$C$5:$C$1004,MATCH(233,Firms!$U$5:$U$1004,0))&amp;"","")</f>
        <v/>
      </c>
      <c r="F237" s="79">
        <f>IFERROR(INDEX(Firms!$N$5:$N$1004,MATCH(233,Firms!$U$5:$U$1004,0))&amp;"","")</f>
        <v/>
      </c>
      <c r="G237" s="79">
        <f>IFERROR(INDEX(Firms!$P$5:$P$1004,MATCH(233,Firms!$U$5:$U$1004,0))&amp;"","")</f>
        <v/>
      </c>
      <c r="H237" s="91">
        <f>IFERROR(INDEX(Firms!$T$5:$T$1004,MATCH(233,Firms!$U$5:$U$1004,0))&amp;"","")</f>
        <v/>
      </c>
    </row>
    <row r="238">
      <c r="A238" s="79">
        <f>IF(B238="","",234)</f>
        <v/>
      </c>
      <c r="B238" s="91">
        <f>IFERROR(INDEX(Firms!$A$5:$A$1004,MATCH(234,Firms!$U$5:$U$1004,0))&amp;"","")</f>
        <v/>
      </c>
      <c r="C238" s="88">
        <f>IFERROR(IF(INDEX(Firms!$R$5:$R$1004,MATCH(234,Firms!$U$5:$U$1004,0))="","",INDEX(Firms!$R$5:$R$1004,MATCH(234,Firms!$U$5:$U$1004,0))),"")</f>
        <v/>
      </c>
      <c r="D238" s="91">
        <f>IFERROR(INDEX(Firms!$S$5:$S$1004,MATCH(234,Firms!$U$5:$U$1004,0))&amp;"","")</f>
        <v/>
      </c>
      <c r="E238" s="91">
        <f>IFERROR(INDEX(Firms!$C$5:$C$1004,MATCH(234,Firms!$U$5:$U$1004,0))&amp;"","")</f>
        <v/>
      </c>
      <c r="F238" s="79">
        <f>IFERROR(INDEX(Firms!$N$5:$N$1004,MATCH(234,Firms!$U$5:$U$1004,0))&amp;"","")</f>
        <v/>
      </c>
      <c r="G238" s="79">
        <f>IFERROR(INDEX(Firms!$P$5:$P$1004,MATCH(234,Firms!$U$5:$U$1004,0))&amp;"","")</f>
        <v/>
      </c>
      <c r="H238" s="91">
        <f>IFERROR(INDEX(Firms!$T$5:$T$1004,MATCH(234,Firms!$U$5:$U$1004,0))&amp;"","")</f>
        <v/>
      </c>
    </row>
    <row r="239">
      <c r="A239" s="79">
        <f>IF(B239="","",235)</f>
        <v/>
      </c>
      <c r="B239" s="91">
        <f>IFERROR(INDEX(Firms!$A$5:$A$1004,MATCH(235,Firms!$U$5:$U$1004,0))&amp;"","")</f>
        <v/>
      </c>
      <c r="C239" s="88">
        <f>IFERROR(IF(INDEX(Firms!$R$5:$R$1004,MATCH(235,Firms!$U$5:$U$1004,0))="","",INDEX(Firms!$R$5:$R$1004,MATCH(235,Firms!$U$5:$U$1004,0))),"")</f>
        <v/>
      </c>
      <c r="D239" s="91">
        <f>IFERROR(INDEX(Firms!$S$5:$S$1004,MATCH(235,Firms!$U$5:$U$1004,0))&amp;"","")</f>
        <v/>
      </c>
      <c r="E239" s="91">
        <f>IFERROR(INDEX(Firms!$C$5:$C$1004,MATCH(235,Firms!$U$5:$U$1004,0))&amp;"","")</f>
        <v/>
      </c>
      <c r="F239" s="79">
        <f>IFERROR(INDEX(Firms!$N$5:$N$1004,MATCH(235,Firms!$U$5:$U$1004,0))&amp;"","")</f>
        <v/>
      </c>
      <c r="G239" s="79">
        <f>IFERROR(INDEX(Firms!$P$5:$P$1004,MATCH(235,Firms!$U$5:$U$1004,0))&amp;"","")</f>
        <v/>
      </c>
      <c r="H239" s="91">
        <f>IFERROR(INDEX(Firms!$T$5:$T$1004,MATCH(235,Firms!$U$5:$U$1004,0))&amp;"","")</f>
        <v/>
      </c>
    </row>
    <row r="240">
      <c r="A240" s="79">
        <f>IF(B240="","",236)</f>
        <v/>
      </c>
      <c r="B240" s="91">
        <f>IFERROR(INDEX(Firms!$A$5:$A$1004,MATCH(236,Firms!$U$5:$U$1004,0))&amp;"","")</f>
        <v/>
      </c>
      <c r="C240" s="88">
        <f>IFERROR(IF(INDEX(Firms!$R$5:$R$1004,MATCH(236,Firms!$U$5:$U$1004,0))="","",INDEX(Firms!$R$5:$R$1004,MATCH(236,Firms!$U$5:$U$1004,0))),"")</f>
        <v/>
      </c>
      <c r="D240" s="91">
        <f>IFERROR(INDEX(Firms!$S$5:$S$1004,MATCH(236,Firms!$U$5:$U$1004,0))&amp;"","")</f>
        <v/>
      </c>
      <c r="E240" s="91">
        <f>IFERROR(INDEX(Firms!$C$5:$C$1004,MATCH(236,Firms!$U$5:$U$1004,0))&amp;"","")</f>
        <v/>
      </c>
      <c r="F240" s="79">
        <f>IFERROR(INDEX(Firms!$N$5:$N$1004,MATCH(236,Firms!$U$5:$U$1004,0))&amp;"","")</f>
        <v/>
      </c>
      <c r="G240" s="79">
        <f>IFERROR(INDEX(Firms!$P$5:$P$1004,MATCH(236,Firms!$U$5:$U$1004,0))&amp;"","")</f>
        <v/>
      </c>
      <c r="H240" s="91">
        <f>IFERROR(INDEX(Firms!$T$5:$T$1004,MATCH(236,Firms!$U$5:$U$1004,0))&amp;"","")</f>
        <v/>
      </c>
    </row>
    <row r="241">
      <c r="A241" s="79">
        <f>IF(B241="","",237)</f>
        <v/>
      </c>
      <c r="B241" s="91">
        <f>IFERROR(INDEX(Firms!$A$5:$A$1004,MATCH(237,Firms!$U$5:$U$1004,0))&amp;"","")</f>
        <v/>
      </c>
      <c r="C241" s="88">
        <f>IFERROR(IF(INDEX(Firms!$R$5:$R$1004,MATCH(237,Firms!$U$5:$U$1004,0))="","",INDEX(Firms!$R$5:$R$1004,MATCH(237,Firms!$U$5:$U$1004,0))),"")</f>
        <v/>
      </c>
      <c r="D241" s="91">
        <f>IFERROR(INDEX(Firms!$S$5:$S$1004,MATCH(237,Firms!$U$5:$U$1004,0))&amp;"","")</f>
        <v/>
      </c>
      <c r="E241" s="91">
        <f>IFERROR(INDEX(Firms!$C$5:$C$1004,MATCH(237,Firms!$U$5:$U$1004,0))&amp;"","")</f>
        <v/>
      </c>
      <c r="F241" s="79">
        <f>IFERROR(INDEX(Firms!$N$5:$N$1004,MATCH(237,Firms!$U$5:$U$1004,0))&amp;"","")</f>
        <v/>
      </c>
      <c r="G241" s="79">
        <f>IFERROR(INDEX(Firms!$P$5:$P$1004,MATCH(237,Firms!$U$5:$U$1004,0))&amp;"","")</f>
        <v/>
      </c>
      <c r="H241" s="91">
        <f>IFERROR(INDEX(Firms!$T$5:$T$1004,MATCH(237,Firms!$U$5:$U$1004,0))&amp;"","")</f>
        <v/>
      </c>
    </row>
    <row r="242">
      <c r="A242" s="79">
        <f>IF(B242="","",238)</f>
        <v/>
      </c>
      <c r="B242" s="91">
        <f>IFERROR(INDEX(Firms!$A$5:$A$1004,MATCH(238,Firms!$U$5:$U$1004,0))&amp;"","")</f>
        <v/>
      </c>
      <c r="C242" s="88">
        <f>IFERROR(IF(INDEX(Firms!$R$5:$R$1004,MATCH(238,Firms!$U$5:$U$1004,0))="","",INDEX(Firms!$R$5:$R$1004,MATCH(238,Firms!$U$5:$U$1004,0))),"")</f>
        <v/>
      </c>
      <c r="D242" s="91">
        <f>IFERROR(INDEX(Firms!$S$5:$S$1004,MATCH(238,Firms!$U$5:$U$1004,0))&amp;"","")</f>
        <v/>
      </c>
      <c r="E242" s="91">
        <f>IFERROR(INDEX(Firms!$C$5:$C$1004,MATCH(238,Firms!$U$5:$U$1004,0))&amp;"","")</f>
        <v/>
      </c>
      <c r="F242" s="79">
        <f>IFERROR(INDEX(Firms!$N$5:$N$1004,MATCH(238,Firms!$U$5:$U$1004,0))&amp;"","")</f>
        <v/>
      </c>
      <c r="G242" s="79">
        <f>IFERROR(INDEX(Firms!$P$5:$P$1004,MATCH(238,Firms!$U$5:$U$1004,0))&amp;"","")</f>
        <v/>
      </c>
      <c r="H242" s="91">
        <f>IFERROR(INDEX(Firms!$T$5:$T$1004,MATCH(238,Firms!$U$5:$U$1004,0))&amp;"","")</f>
        <v/>
      </c>
    </row>
    <row r="243">
      <c r="A243" s="79">
        <f>IF(B243="","",239)</f>
        <v/>
      </c>
      <c r="B243" s="91">
        <f>IFERROR(INDEX(Firms!$A$5:$A$1004,MATCH(239,Firms!$U$5:$U$1004,0))&amp;"","")</f>
        <v/>
      </c>
      <c r="C243" s="88">
        <f>IFERROR(IF(INDEX(Firms!$R$5:$R$1004,MATCH(239,Firms!$U$5:$U$1004,0))="","",INDEX(Firms!$R$5:$R$1004,MATCH(239,Firms!$U$5:$U$1004,0))),"")</f>
        <v/>
      </c>
      <c r="D243" s="91">
        <f>IFERROR(INDEX(Firms!$S$5:$S$1004,MATCH(239,Firms!$U$5:$U$1004,0))&amp;"","")</f>
        <v/>
      </c>
      <c r="E243" s="91">
        <f>IFERROR(INDEX(Firms!$C$5:$C$1004,MATCH(239,Firms!$U$5:$U$1004,0))&amp;"","")</f>
        <v/>
      </c>
      <c r="F243" s="79">
        <f>IFERROR(INDEX(Firms!$N$5:$N$1004,MATCH(239,Firms!$U$5:$U$1004,0))&amp;"","")</f>
        <v/>
      </c>
      <c r="G243" s="79">
        <f>IFERROR(INDEX(Firms!$P$5:$P$1004,MATCH(239,Firms!$U$5:$U$1004,0))&amp;"","")</f>
        <v/>
      </c>
      <c r="H243" s="91">
        <f>IFERROR(INDEX(Firms!$T$5:$T$1004,MATCH(239,Firms!$U$5:$U$1004,0))&amp;"","")</f>
        <v/>
      </c>
    </row>
    <row r="244">
      <c r="A244" s="79">
        <f>IF(B244="","",240)</f>
        <v/>
      </c>
      <c r="B244" s="91">
        <f>IFERROR(INDEX(Firms!$A$5:$A$1004,MATCH(240,Firms!$U$5:$U$1004,0))&amp;"","")</f>
        <v/>
      </c>
      <c r="C244" s="88">
        <f>IFERROR(IF(INDEX(Firms!$R$5:$R$1004,MATCH(240,Firms!$U$5:$U$1004,0))="","",INDEX(Firms!$R$5:$R$1004,MATCH(240,Firms!$U$5:$U$1004,0))),"")</f>
        <v/>
      </c>
      <c r="D244" s="91">
        <f>IFERROR(INDEX(Firms!$S$5:$S$1004,MATCH(240,Firms!$U$5:$U$1004,0))&amp;"","")</f>
        <v/>
      </c>
      <c r="E244" s="91">
        <f>IFERROR(INDEX(Firms!$C$5:$C$1004,MATCH(240,Firms!$U$5:$U$1004,0))&amp;"","")</f>
        <v/>
      </c>
      <c r="F244" s="79">
        <f>IFERROR(INDEX(Firms!$N$5:$N$1004,MATCH(240,Firms!$U$5:$U$1004,0))&amp;"","")</f>
        <v/>
      </c>
      <c r="G244" s="79">
        <f>IFERROR(INDEX(Firms!$P$5:$P$1004,MATCH(240,Firms!$U$5:$U$1004,0))&amp;"","")</f>
        <v/>
      </c>
      <c r="H244" s="91">
        <f>IFERROR(INDEX(Firms!$T$5:$T$1004,MATCH(240,Firms!$U$5:$U$1004,0))&amp;"","")</f>
        <v/>
      </c>
    </row>
    <row r="245">
      <c r="A245" s="79">
        <f>IF(B245="","",241)</f>
        <v/>
      </c>
      <c r="B245" s="91">
        <f>IFERROR(INDEX(Firms!$A$5:$A$1004,MATCH(241,Firms!$U$5:$U$1004,0))&amp;"","")</f>
        <v/>
      </c>
      <c r="C245" s="88">
        <f>IFERROR(IF(INDEX(Firms!$R$5:$R$1004,MATCH(241,Firms!$U$5:$U$1004,0))="","",INDEX(Firms!$R$5:$R$1004,MATCH(241,Firms!$U$5:$U$1004,0))),"")</f>
        <v/>
      </c>
      <c r="D245" s="91">
        <f>IFERROR(INDEX(Firms!$S$5:$S$1004,MATCH(241,Firms!$U$5:$U$1004,0))&amp;"","")</f>
        <v/>
      </c>
      <c r="E245" s="91">
        <f>IFERROR(INDEX(Firms!$C$5:$C$1004,MATCH(241,Firms!$U$5:$U$1004,0))&amp;"","")</f>
        <v/>
      </c>
      <c r="F245" s="79">
        <f>IFERROR(INDEX(Firms!$N$5:$N$1004,MATCH(241,Firms!$U$5:$U$1004,0))&amp;"","")</f>
        <v/>
      </c>
      <c r="G245" s="79">
        <f>IFERROR(INDEX(Firms!$P$5:$P$1004,MATCH(241,Firms!$U$5:$U$1004,0))&amp;"","")</f>
        <v/>
      </c>
      <c r="H245" s="91">
        <f>IFERROR(INDEX(Firms!$T$5:$T$1004,MATCH(241,Firms!$U$5:$U$1004,0))&amp;"","")</f>
        <v/>
      </c>
    </row>
    <row r="246">
      <c r="A246" s="79">
        <f>IF(B246="","",242)</f>
        <v/>
      </c>
      <c r="B246" s="91">
        <f>IFERROR(INDEX(Firms!$A$5:$A$1004,MATCH(242,Firms!$U$5:$U$1004,0))&amp;"","")</f>
        <v/>
      </c>
      <c r="C246" s="88">
        <f>IFERROR(IF(INDEX(Firms!$R$5:$R$1004,MATCH(242,Firms!$U$5:$U$1004,0))="","",INDEX(Firms!$R$5:$R$1004,MATCH(242,Firms!$U$5:$U$1004,0))),"")</f>
        <v/>
      </c>
      <c r="D246" s="91">
        <f>IFERROR(INDEX(Firms!$S$5:$S$1004,MATCH(242,Firms!$U$5:$U$1004,0))&amp;"","")</f>
        <v/>
      </c>
      <c r="E246" s="91">
        <f>IFERROR(INDEX(Firms!$C$5:$C$1004,MATCH(242,Firms!$U$5:$U$1004,0))&amp;"","")</f>
        <v/>
      </c>
      <c r="F246" s="79">
        <f>IFERROR(INDEX(Firms!$N$5:$N$1004,MATCH(242,Firms!$U$5:$U$1004,0))&amp;"","")</f>
        <v/>
      </c>
      <c r="G246" s="79">
        <f>IFERROR(INDEX(Firms!$P$5:$P$1004,MATCH(242,Firms!$U$5:$U$1004,0))&amp;"","")</f>
        <v/>
      </c>
      <c r="H246" s="91">
        <f>IFERROR(INDEX(Firms!$T$5:$T$1004,MATCH(242,Firms!$U$5:$U$1004,0))&amp;"","")</f>
        <v/>
      </c>
    </row>
    <row r="247">
      <c r="A247" s="79">
        <f>IF(B247="","",243)</f>
        <v/>
      </c>
      <c r="B247" s="91">
        <f>IFERROR(INDEX(Firms!$A$5:$A$1004,MATCH(243,Firms!$U$5:$U$1004,0))&amp;"","")</f>
        <v/>
      </c>
      <c r="C247" s="88">
        <f>IFERROR(IF(INDEX(Firms!$R$5:$R$1004,MATCH(243,Firms!$U$5:$U$1004,0))="","",INDEX(Firms!$R$5:$R$1004,MATCH(243,Firms!$U$5:$U$1004,0))),"")</f>
        <v/>
      </c>
      <c r="D247" s="91">
        <f>IFERROR(INDEX(Firms!$S$5:$S$1004,MATCH(243,Firms!$U$5:$U$1004,0))&amp;"","")</f>
        <v/>
      </c>
      <c r="E247" s="91">
        <f>IFERROR(INDEX(Firms!$C$5:$C$1004,MATCH(243,Firms!$U$5:$U$1004,0))&amp;"","")</f>
        <v/>
      </c>
      <c r="F247" s="79">
        <f>IFERROR(INDEX(Firms!$N$5:$N$1004,MATCH(243,Firms!$U$5:$U$1004,0))&amp;"","")</f>
        <v/>
      </c>
      <c r="G247" s="79">
        <f>IFERROR(INDEX(Firms!$P$5:$P$1004,MATCH(243,Firms!$U$5:$U$1004,0))&amp;"","")</f>
        <v/>
      </c>
      <c r="H247" s="91">
        <f>IFERROR(INDEX(Firms!$T$5:$T$1004,MATCH(243,Firms!$U$5:$U$1004,0))&amp;"","")</f>
        <v/>
      </c>
    </row>
    <row r="248">
      <c r="A248" s="79">
        <f>IF(B248="","",244)</f>
        <v/>
      </c>
      <c r="B248" s="91">
        <f>IFERROR(INDEX(Firms!$A$5:$A$1004,MATCH(244,Firms!$U$5:$U$1004,0))&amp;"","")</f>
        <v/>
      </c>
      <c r="C248" s="88">
        <f>IFERROR(IF(INDEX(Firms!$R$5:$R$1004,MATCH(244,Firms!$U$5:$U$1004,0))="","",INDEX(Firms!$R$5:$R$1004,MATCH(244,Firms!$U$5:$U$1004,0))),"")</f>
        <v/>
      </c>
      <c r="D248" s="91">
        <f>IFERROR(INDEX(Firms!$S$5:$S$1004,MATCH(244,Firms!$U$5:$U$1004,0))&amp;"","")</f>
        <v/>
      </c>
      <c r="E248" s="91">
        <f>IFERROR(INDEX(Firms!$C$5:$C$1004,MATCH(244,Firms!$U$5:$U$1004,0))&amp;"","")</f>
        <v/>
      </c>
      <c r="F248" s="79">
        <f>IFERROR(INDEX(Firms!$N$5:$N$1004,MATCH(244,Firms!$U$5:$U$1004,0))&amp;"","")</f>
        <v/>
      </c>
      <c r="G248" s="79">
        <f>IFERROR(INDEX(Firms!$P$5:$P$1004,MATCH(244,Firms!$U$5:$U$1004,0))&amp;"","")</f>
        <v/>
      </c>
      <c r="H248" s="91">
        <f>IFERROR(INDEX(Firms!$T$5:$T$1004,MATCH(244,Firms!$U$5:$U$1004,0))&amp;"","")</f>
        <v/>
      </c>
    </row>
    <row r="249">
      <c r="A249" s="79">
        <f>IF(B249="","",245)</f>
        <v/>
      </c>
      <c r="B249" s="91">
        <f>IFERROR(INDEX(Firms!$A$5:$A$1004,MATCH(245,Firms!$U$5:$U$1004,0))&amp;"","")</f>
        <v/>
      </c>
      <c r="C249" s="88">
        <f>IFERROR(IF(INDEX(Firms!$R$5:$R$1004,MATCH(245,Firms!$U$5:$U$1004,0))="","",INDEX(Firms!$R$5:$R$1004,MATCH(245,Firms!$U$5:$U$1004,0))),"")</f>
        <v/>
      </c>
      <c r="D249" s="91">
        <f>IFERROR(INDEX(Firms!$S$5:$S$1004,MATCH(245,Firms!$U$5:$U$1004,0))&amp;"","")</f>
        <v/>
      </c>
      <c r="E249" s="91">
        <f>IFERROR(INDEX(Firms!$C$5:$C$1004,MATCH(245,Firms!$U$5:$U$1004,0))&amp;"","")</f>
        <v/>
      </c>
      <c r="F249" s="79">
        <f>IFERROR(INDEX(Firms!$N$5:$N$1004,MATCH(245,Firms!$U$5:$U$1004,0))&amp;"","")</f>
        <v/>
      </c>
      <c r="G249" s="79">
        <f>IFERROR(INDEX(Firms!$P$5:$P$1004,MATCH(245,Firms!$U$5:$U$1004,0))&amp;"","")</f>
        <v/>
      </c>
      <c r="H249" s="91">
        <f>IFERROR(INDEX(Firms!$T$5:$T$1004,MATCH(245,Firms!$U$5:$U$1004,0))&amp;"","")</f>
        <v/>
      </c>
    </row>
    <row r="250">
      <c r="A250" s="79">
        <f>IF(B250="","",246)</f>
        <v/>
      </c>
      <c r="B250" s="91">
        <f>IFERROR(INDEX(Firms!$A$5:$A$1004,MATCH(246,Firms!$U$5:$U$1004,0))&amp;"","")</f>
        <v/>
      </c>
      <c r="C250" s="88">
        <f>IFERROR(IF(INDEX(Firms!$R$5:$R$1004,MATCH(246,Firms!$U$5:$U$1004,0))="","",INDEX(Firms!$R$5:$R$1004,MATCH(246,Firms!$U$5:$U$1004,0))),"")</f>
        <v/>
      </c>
      <c r="D250" s="91">
        <f>IFERROR(INDEX(Firms!$S$5:$S$1004,MATCH(246,Firms!$U$5:$U$1004,0))&amp;"","")</f>
        <v/>
      </c>
      <c r="E250" s="91">
        <f>IFERROR(INDEX(Firms!$C$5:$C$1004,MATCH(246,Firms!$U$5:$U$1004,0))&amp;"","")</f>
        <v/>
      </c>
      <c r="F250" s="79">
        <f>IFERROR(INDEX(Firms!$N$5:$N$1004,MATCH(246,Firms!$U$5:$U$1004,0))&amp;"","")</f>
        <v/>
      </c>
      <c r="G250" s="79">
        <f>IFERROR(INDEX(Firms!$P$5:$P$1004,MATCH(246,Firms!$U$5:$U$1004,0))&amp;"","")</f>
        <v/>
      </c>
      <c r="H250" s="91">
        <f>IFERROR(INDEX(Firms!$T$5:$T$1004,MATCH(246,Firms!$U$5:$U$1004,0))&amp;"","")</f>
        <v/>
      </c>
    </row>
    <row r="251">
      <c r="A251" s="79">
        <f>IF(B251="","",247)</f>
        <v/>
      </c>
      <c r="B251" s="91">
        <f>IFERROR(INDEX(Firms!$A$5:$A$1004,MATCH(247,Firms!$U$5:$U$1004,0))&amp;"","")</f>
        <v/>
      </c>
      <c r="C251" s="88">
        <f>IFERROR(IF(INDEX(Firms!$R$5:$R$1004,MATCH(247,Firms!$U$5:$U$1004,0))="","",INDEX(Firms!$R$5:$R$1004,MATCH(247,Firms!$U$5:$U$1004,0))),"")</f>
        <v/>
      </c>
      <c r="D251" s="91">
        <f>IFERROR(INDEX(Firms!$S$5:$S$1004,MATCH(247,Firms!$U$5:$U$1004,0))&amp;"","")</f>
        <v/>
      </c>
      <c r="E251" s="91">
        <f>IFERROR(INDEX(Firms!$C$5:$C$1004,MATCH(247,Firms!$U$5:$U$1004,0))&amp;"","")</f>
        <v/>
      </c>
      <c r="F251" s="79">
        <f>IFERROR(INDEX(Firms!$N$5:$N$1004,MATCH(247,Firms!$U$5:$U$1004,0))&amp;"","")</f>
        <v/>
      </c>
      <c r="G251" s="79">
        <f>IFERROR(INDEX(Firms!$P$5:$P$1004,MATCH(247,Firms!$U$5:$U$1004,0))&amp;"","")</f>
        <v/>
      </c>
      <c r="H251" s="91">
        <f>IFERROR(INDEX(Firms!$T$5:$T$1004,MATCH(247,Firms!$U$5:$U$1004,0))&amp;"","")</f>
        <v/>
      </c>
    </row>
    <row r="252">
      <c r="A252" s="79">
        <f>IF(B252="","",248)</f>
        <v/>
      </c>
      <c r="B252" s="91">
        <f>IFERROR(INDEX(Firms!$A$5:$A$1004,MATCH(248,Firms!$U$5:$U$1004,0))&amp;"","")</f>
        <v/>
      </c>
      <c r="C252" s="88">
        <f>IFERROR(IF(INDEX(Firms!$R$5:$R$1004,MATCH(248,Firms!$U$5:$U$1004,0))="","",INDEX(Firms!$R$5:$R$1004,MATCH(248,Firms!$U$5:$U$1004,0))),"")</f>
        <v/>
      </c>
      <c r="D252" s="91">
        <f>IFERROR(INDEX(Firms!$S$5:$S$1004,MATCH(248,Firms!$U$5:$U$1004,0))&amp;"","")</f>
        <v/>
      </c>
      <c r="E252" s="91">
        <f>IFERROR(INDEX(Firms!$C$5:$C$1004,MATCH(248,Firms!$U$5:$U$1004,0))&amp;"","")</f>
        <v/>
      </c>
      <c r="F252" s="79">
        <f>IFERROR(INDEX(Firms!$N$5:$N$1004,MATCH(248,Firms!$U$5:$U$1004,0))&amp;"","")</f>
        <v/>
      </c>
      <c r="G252" s="79">
        <f>IFERROR(INDEX(Firms!$P$5:$P$1004,MATCH(248,Firms!$U$5:$U$1004,0))&amp;"","")</f>
        <v/>
      </c>
      <c r="H252" s="91">
        <f>IFERROR(INDEX(Firms!$T$5:$T$1004,MATCH(248,Firms!$U$5:$U$1004,0))&amp;"","")</f>
        <v/>
      </c>
    </row>
    <row r="253">
      <c r="A253" s="79">
        <f>IF(B253="","",249)</f>
        <v/>
      </c>
      <c r="B253" s="91">
        <f>IFERROR(INDEX(Firms!$A$5:$A$1004,MATCH(249,Firms!$U$5:$U$1004,0))&amp;"","")</f>
        <v/>
      </c>
      <c r="C253" s="88">
        <f>IFERROR(IF(INDEX(Firms!$R$5:$R$1004,MATCH(249,Firms!$U$5:$U$1004,0))="","",INDEX(Firms!$R$5:$R$1004,MATCH(249,Firms!$U$5:$U$1004,0))),"")</f>
        <v/>
      </c>
      <c r="D253" s="91">
        <f>IFERROR(INDEX(Firms!$S$5:$S$1004,MATCH(249,Firms!$U$5:$U$1004,0))&amp;"","")</f>
        <v/>
      </c>
      <c r="E253" s="91">
        <f>IFERROR(INDEX(Firms!$C$5:$C$1004,MATCH(249,Firms!$U$5:$U$1004,0))&amp;"","")</f>
        <v/>
      </c>
      <c r="F253" s="79">
        <f>IFERROR(INDEX(Firms!$N$5:$N$1004,MATCH(249,Firms!$U$5:$U$1004,0))&amp;"","")</f>
        <v/>
      </c>
      <c r="G253" s="79">
        <f>IFERROR(INDEX(Firms!$P$5:$P$1004,MATCH(249,Firms!$U$5:$U$1004,0))&amp;"","")</f>
        <v/>
      </c>
      <c r="H253" s="91">
        <f>IFERROR(INDEX(Firms!$T$5:$T$1004,MATCH(249,Firms!$U$5:$U$1004,0))&amp;"","")</f>
        <v/>
      </c>
    </row>
    <row r="254">
      <c r="A254" s="79">
        <f>IF(B254="","",250)</f>
        <v/>
      </c>
      <c r="B254" s="91">
        <f>IFERROR(INDEX(Firms!$A$5:$A$1004,MATCH(250,Firms!$U$5:$U$1004,0))&amp;"","")</f>
        <v/>
      </c>
      <c r="C254" s="88">
        <f>IFERROR(IF(INDEX(Firms!$R$5:$R$1004,MATCH(250,Firms!$U$5:$U$1004,0))="","",INDEX(Firms!$R$5:$R$1004,MATCH(250,Firms!$U$5:$U$1004,0))),"")</f>
        <v/>
      </c>
      <c r="D254" s="91">
        <f>IFERROR(INDEX(Firms!$S$5:$S$1004,MATCH(250,Firms!$U$5:$U$1004,0))&amp;"","")</f>
        <v/>
      </c>
      <c r="E254" s="91">
        <f>IFERROR(INDEX(Firms!$C$5:$C$1004,MATCH(250,Firms!$U$5:$U$1004,0))&amp;"","")</f>
        <v/>
      </c>
      <c r="F254" s="79">
        <f>IFERROR(INDEX(Firms!$N$5:$N$1004,MATCH(250,Firms!$U$5:$U$1004,0))&amp;"","")</f>
        <v/>
      </c>
      <c r="G254" s="79">
        <f>IFERROR(INDEX(Firms!$P$5:$P$1004,MATCH(250,Firms!$U$5:$U$1004,0))&amp;"","")</f>
        <v/>
      </c>
      <c r="H254" s="91">
        <f>IFERROR(INDEX(Firms!$T$5:$T$1004,MATCH(250,Firms!$U$5:$U$1004,0))&amp;"","")</f>
        <v/>
      </c>
    </row>
    <row r="255">
      <c r="A255" s="79">
        <f>IF(B255="","",251)</f>
        <v/>
      </c>
      <c r="B255" s="91">
        <f>IFERROR(INDEX(Firms!$A$5:$A$1004,MATCH(251,Firms!$U$5:$U$1004,0))&amp;"","")</f>
        <v/>
      </c>
      <c r="C255" s="88">
        <f>IFERROR(IF(INDEX(Firms!$R$5:$R$1004,MATCH(251,Firms!$U$5:$U$1004,0))="","",INDEX(Firms!$R$5:$R$1004,MATCH(251,Firms!$U$5:$U$1004,0))),"")</f>
        <v/>
      </c>
      <c r="D255" s="91">
        <f>IFERROR(INDEX(Firms!$S$5:$S$1004,MATCH(251,Firms!$U$5:$U$1004,0))&amp;"","")</f>
        <v/>
      </c>
      <c r="E255" s="91">
        <f>IFERROR(INDEX(Firms!$C$5:$C$1004,MATCH(251,Firms!$U$5:$U$1004,0))&amp;"","")</f>
        <v/>
      </c>
      <c r="F255" s="79">
        <f>IFERROR(INDEX(Firms!$N$5:$N$1004,MATCH(251,Firms!$U$5:$U$1004,0))&amp;"","")</f>
        <v/>
      </c>
      <c r="G255" s="79">
        <f>IFERROR(INDEX(Firms!$P$5:$P$1004,MATCH(251,Firms!$U$5:$U$1004,0))&amp;"","")</f>
        <v/>
      </c>
      <c r="H255" s="91">
        <f>IFERROR(INDEX(Firms!$T$5:$T$1004,MATCH(251,Firms!$U$5:$U$1004,0))&amp;"","")</f>
        <v/>
      </c>
    </row>
    <row r="256">
      <c r="A256" s="79">
        <f>IF(B256="","",252)</f>
        <v/>
      </c>
      <c r="B256" s="91">
        <f>IFERROR(INDEX(Firms!$A$5:$A$1004,MATCH(252,Firms!$U$5:$U$1004,0))&amp;"","")</f>
        <v/>
      </c>
      <c r="C256" s="88">
        <f>IFERROR(IF(INDEX(Firms!$R$5:$R$1004,MATCH(252,Firms!$U$5:$U$1004,0))="","",INDEX(Firms!$R$5:$R$1004,MATCH(252,Firms!$U$5:$U$1004,0))),"")</f>
        <v/>
      </c>
      <c r="D256" s="91">
        <f>IFERROR(INDEX(Firms!$S$5:$S$1004,MATCH(252,Firms!$U$5:$U$1004,0))&amp;"","")</f>
        <v/>
      </c>
      <c r="E256" s="91">
        <f>IFERROR(INDEX(Firms!$C$5:$C$1004,MATCH(252,Firms!$U$5:$U$1004,0))&amp;"","")</f>
        <v/>
      </c>
      <c r="F256" s="79">
        <f>IFERROR(INDEX(Firms!$N$5:$N$1004,MATCH(252,Firms!$U$5:$U$1004,0))&amp;"","")</f>
        <v/>
      </c>
      <c r="G256" s="79">
        <f>IFERROR(INDEX(Firms!$P$5:$P$1004,MATCH(252,Firms!$U$5:$U$1004,0))&amp;"","")</f>
        <v/>
      </c>
      <c r="H256" s="91">
        <f>IFERROR(INDEX(Firms!$T$5:$T$1004,MATCH(252,Firms!$U$5:$U$1004,0))&amp;"","")</f>
        <v/>
      </c>
    </row>
    <row r="257">
      <c r="A257" s="79">
        <f>IF(B257="","",253)</f>
        <v/>
      </c>
      <c r="B257" s="91">
        <f>IFERROR(INDEX(Firms!$A$5:$A$1004,MATCH(253,Firms!$U$5:$U$1004,0))&amp;"","")</f>
        <v/>
      </c>
      <c r="C257" s="88">
        <f>IFERROR(IF(INDEX(Firms!$R$5:$R$1004,MATCH(253,Firms!$U$5:$U$1004,0))="","",INDEX(Firms!$R$5:$R$1004,MATCH(253,Firms!$U$5:$U$1004,0))),"")</f>
        <v/>
      </c>
      <c r="D257" s="91">
        <f>IFERROR(INDEX(Firms!$S$5:$S$1004,MATCH(253,Firms!$U$5:$U$1004,0))&amp;"","")</f>
        <v/>
      </c>
      <c r="E257" s="91">
        <f>IFERROR(INDEX(Firms!$C$5:$C$1004,MATCH(253,Firms!$U$5:$U$1004,0))&amp;"","")</f>
        <v/>
      </c>
      <c r="F257" s="79">
        <f>IFERROR(INDEX(Firms!$N$5:$N$1004,MATCH(253,Firms!$U$5:$U$1004,0))&amp;"","")</f>
        <v/>
      </c>
      <c r="G257" s="79">
        <f>IFERROR(INDEX(Firms!$P$5:$P$1004,MATCH(253,Firms!$U$5:$U$1004,0))&amp;"","")</f>
        <v/>
      </c>
      <c r="H257" s="91">
        <f>IFERROR(INDEX(Firms!$T$5:$T$1004,MATCH(253,Firms!$U$5:$U$1004,0))&amp;"","")</f>
        <v/>
      </c>
    </row>
    <row r="258">
      <c r="A258" s="79">
        <f>IF(B258="","",254)</f>
        <v/>
      </c>
      <c r="B258" s="91">
        <f>IFERROR(INDEX(Firms!$A$5:$A$1004,MATCH(254,Firms!$U$5:$U$1004,0))&amp;"","")</f>
        <v/>
      </c>
      <c r="C258" s="88">
        <f>IFERROR(IF(INDEX(Firms!$R$5:$R$1004,MATCH(254,Firms!$U$5:$U$1004,0))="","",INDEX(Firms!$R$5:$R$1004,MATCH(254,Firms!$U$5:$U$1004,0))),"")</f>
        <v/>
      </c>
      <c r="D258" s="91">
        <f>IFERROR(INDEX(Firms!$S$5:$S$1004,MATCH(254,Firms!$U$5:$U$1004,0))&amp;"","")</f>
        <v/>
      </c>
      <c r="E258" s="91">
        <f>IFERROR(INDEX(Firms!$C$5:$C$1004,MATCH(254,Firms!$U$5:$U$1004,0))&amp;"","")</f>
        <v/>
      </c>
      <c r="F258" s="79">
        <f>IFERROR(INDEX(Firms!$N$5:$N$1004,MATCH(254,Firms!$U$5:$U$1004,0))&amp;"","")</f>
        <v/>
      </c>
      <c r="G258" s="79">
        <f>IFERROR(INDEX(Firms!$P$5:$P$1004,MATCH(254,Firms!$U$5:$U$1004,0))&amp;"","")</f>
        <v/>
      </c>
      <c r="H258" s="91">
        <f>IFERROR(INDEX(Firms!$T$5:$T$1004,MATCH(254,Firms!$U$5:$U$1004,0))&amp;"","")</f>
        <v/>
      </c>
    </row>
    <row r="259">
      <c r="A259" s="79">
        <f>IF(B259="","",255)</f>
        <v/>
      </c>
      <c r="B259" s="91">
        <f>IFERROR(INDEX(Firms!$A$5:$A$1004,MATCH(255,Firms!$U$5:$U$1004,0))&amp;"","")</f>
        <v/>
      </c>
      <c r="C259" s="88">
        <f>IFERROR(IF(INDEX(Firms!$R$5:$R$1004,MATCH(255,Firms!$U$5:$U$1004,0))="","",INDEX(Firms!$R$5:$R$1004,MATCH(255,Firms!$U$5:$U$1004,0))),"")</f>
        <v/>
      </c>
      <c r="D259" s="91">
        <f>IFERROR(INDEX(Firms!$S$5:$S$1004,MATCH(255,Firms!$U$5:$U$1004,0))&amp;"","")</f>
        <v/>
      </c>
      <c r="E259" s="91">
        <f>IFERROR(INDEX(Firms!$C$5:$C$1004,MATCH(255,Firms!$U$5:$U$1004,0))&amp;"","")</f>
        <v/>
      </c>
      <c r="F259" s="79">
        <f>IFERROR(INDEX(Firms!$N$5:$N$1004,MATCH(255,Firms!$U$5:$U$1004,0))&amp;"","")</f>
        <v/>
      </c>
      <c r="G259" s="79">
        <f>IFERROR(INDEX(Firms!$P$5:$P$1004,MATCH(255,Firms!$U$5:$U$1004,0))&amp;"","")</f>
        <v/>
      </c>
      <c r="H259" s="91">
        <f>IFERROR(INDEX(Firms!$T$5:$T$1004,MATCH(255,Firms!$U$5:$U$1004,0))&amp;"","")</f>
        <v/>
      </c>
    </row>
    <row r="260">
      <c r="A260" s="79">
        <f>IF(B260="","",256)</f>
        <v/>
      </c>
      <c r="B260" s="91">
        <f>IFERROR(INDEX(Firms!$A$5:$A$1004,MATCH(256,Firms!$U$5:$U$1004,0))&amp;"","")</f>
        <v/>
      </c>
      <c r="C260" s="88">
        <f>IFERROR(IF(INDEX(Firms!$R$5:$R$1004,MATCH(256,Firms!$U$5:$U$1004,0))="","",INDEX(Firms!$R$5:$R$1004,MATCH(256,Firms!$U$5:$U$1004,0))),"")</f>
        <v/>
      </c>
      <c r="D260" s="91">
        <f>IFERROR(INDEX(Firms!$S$5:$S$1004,MATCH(256,Firms!$U$5:$U$1004,0))&amp;"","")</f>
        <v/>
      </c>
      <c r="E260" s="91">
        <f>IFERROR(INDEX(Firms!$C$5:$C$1004,MATCH(256,Firms!$U$5:$U$1004,0))&amp;"","")</f>
        <v/>
      </c>
      <c r="F260" s="79">
        <f>IFERROR(INDEX(Firms!$N$5:$N$1004,MATCH(256,Firms!$U$5:$U$1004,0))&amp;"","")</f>
        <v/>
      </c>
      <c r="G260" s="79">
        <f>IFERROR(INDEX(Firms!$P$5:$P$1004,MATCH(256,Firms!$U$5:$U$1004,0))&amp;"","")</f>
        <v/>
      </c>
      <c r="H260" s="91">
        <f>IFERROR(INDEX(Firms!$T$5:$T$1004,MATCH(256,Firms!$U$5:$U$1004,0))&amp;"","")</f>
        <v/>
      </c>
    </row>
    <row r="261">
      <c r="A261" s="79">
        <f>IF(B261="","",257)</f>
        <v/>
      </c>
      <c r="B261" s="91">
        <f>IFERROR(INDEX(Firms!$A$5:$A$1004,MATCH(257,Firms!$U$5:$U$1004,0))&amp;"","")</f>
        <v/>
      </c>
      <c r="C261" s="88">
        <f>IFERROR(IF(INDEX(Firms!$R$5:$R$1004,MATCH(257,Firms!$U$5:$U$1004,0))="","",INDEX(Firms!$R$5:$R$1004,MATCH(257,Firms!$U$5:$U$1004,0))),"")</f>
        <v/>
      </c>
      <c r="D261" s="91">
        <f>IFERROR(INDEX(Firms!$S$5:$S$1004,MATCH(257,Firms!$U$5:$U$1004,0))&amp;"","")</f>
        <v/>
      </c>
      <c r="E261" s="91">
        <f>IFERROR(INDEX(Firms!$C$5:$C$1004,MATCH(257,Firms!$U$5:$U$1004,0))&amp;"","")</f>
        <v/>
      </c>
      <c r="F261" s="79">
        <f>IFERROR(INDEX(Firms!$N$5:$N$1004,MATCH(257,Firms!$U$5:$U$1004,0))&amp;"","")</f>
        <v/>
      </c>
      <c r="G261" s="79">
        <f>IFERROR(INDEX(Firms!$P$5:$P$1004,MATCH(257,Firms!$U$5:$U$1004,0))&amp;"","")</f>
        <v/>
      </c>
      <c r="H261" s="91">
        <f>IFERROR(INDEX(Firms!$T$5:$T$1004,MATCH(257,Firms!$U$5:$U$1004,0))&amp;"","")</f>
        <v/>
      </c>
    </row>
    <row r="262">
      <c r="A262" s="79">
        <f>IF(B262="","",258)</f>
        <v/>
      </c>
      <c r="B262" s="91">
        <f>IFERROR(INDEX(Firms!$A$5:$A$1004,MATCH(258,Firms!$U$5:$U$1004,0))&amp;"","")</f>
        <v/>
      </c>
      <c r="C262" s="88">
        <f>IFERROR(IF(INDEX(Firms!$R$5:$R$1004,MATCH(258,Firms!$U$5:$U$1004,0))="","",INDEX(Firms!$R$5:$R$1004,MATCH(258,Firms!$U$5:$U$1004,0))),"")</f>
        <v/>
      </c>
      <c r="D262" s="91">
        <f>IFERROR(INDEX(Firms!$S$5:$S$1004,MATCH(258,Firms!$U$5:$U$1004,0))&amp;"","")</f>
        <v/>
      </c>
      <c r="E262" s="91">
        <f>IFERROR(INDEX(Firms!$C$5:$C$1004,MATCH(258,Firms!$U$5:$U$1004,0))&amp;"","")</f>
        <v/>
      </c>
      <c r="F262" s="79">
        <f>IFERROR(INDEX(Firms!$N$5:$N$1004,MATCH(258,Firms!$U$5:$U$1004,0))&amp;"","")</f>
        <v/>
      </c>
      <c r="G262" s="79">
        <f>IFERROR(INDEX(Firms!$P$5:$P$1004,MATCH(258,Firms!$U$5:$U$1004,0))&amp;"","")</f>
        <v/>
      </c>
      <c r="H262" s="91">
        <f>IFERROR(INDEX(Firms!$T$5:$T$1004,MATCH(258,Firms!$U$5:$U$1004,0))&amp;"","")</f>
        <v/>
      </c>
    </row>
    <row r="263">
      <c r="A263" s="79">
        <f>IF(B263="","",259)</f>
        <v/>
      </c>
      <c r="B263" s="91">
        <f>IFERROR(INDEX(Firms!$A$5:$A$1004,MATCH(259,Firms!$U$5:$U$1004,0))&amp;"","")</f>
        <v/>
      </c>
      <c r="C263" s="88">
        <f>IFERROR(IF(INDEX(Firms!$R$5:$R$1004,MATCH(259,Firms!$U$5:$U$1004,0))="","",INDEX(Firms!$R$5:$R$1004,MATCH(259,Firms!$U$5:$U$1004,0))),"")</f>
        <v/>
      </c>
      <c r="D263" s="91">
        <f>IFERROR(INDEX(Firms!$S$5:$S$1004,MATCH(259,Firms!$U$5:$U$1004,0))&amp;"","")</f>
        <v/>
      </c>
      <c r="E263" s="91">
        <f>IFERROR(INDEX(Firms!$C$5:$C$1004,MATCH(259,Firms!$U$5:$U$1004,0))&amp;"","")</f>
        <v/>
      </c>
      <c r="F263" s="79">
        <f>IFERROR(INDEX(Firms!$N$5:$N$1004,MATCH(259,Firms!$U$5:$U$1004,0))&amp;"","")</f>
        <v/>
      </c>
      <c r="G263" s="79">
        <f>IFERROR(INDEX(Firms!$P$5:$P$1004,MATCH(259,Firms!$U$5:$U$1004,0))&amp;"","")</f>
        <v/>
      </c>
      <c r="H263" s="91">
        <f>IFERROR(INDEX(Firms!$T$5:$T$1004,MATCH(259,Firms!$U$5:$U$1004,0))&amp;"","")</f>
        <v/>
      </c>
    </row>
    <row r="264">
      <c r="A264" s="79">
        <f>IF(B264="","",260)</f>
        <v/>
      </c>
      <c r="B264" s="91">
        <f>IFERROR(INDEX(Firms!$A$5:$A$1004,MATCH(260,Firms!$U$5:$U$1004,0))&amp;"","")</f>
        <v/>
      </c>
      <c r="C264" s="88">
        <f>IFERROR(IF(INDEX(Firms!$R$5:$R$1004,MATCH(260,Firms!$U$5:$U$1004,0))="","",INDEX(Firms!$R$5:$R$1004,MATCH(260,Firms!$U$5:$U$1004,0))),"")</f>
        <v/>
      </c>
      <c r="D264" s="91">
        <f>IFERROR(INDEX(Firms!$S$5:$S$1004,MATCH(260,Firms!$U$5:$U$1004,0))&amp;"","")</f>
        <v/>
      </c>
      <c r="E264" s="91">
        <f>IFERROR(INDEX(Firms!$C$5:$C$1004,MATCH(260,Firms!$U$5:$U$1004,0))&amp;"","")</f>
        <v/>
      </c>
      <c r="F264" s="79">
        <f>IFERROR(INDEX(Firms!$N$5:$N$1004,MATCH(260,Firms!$U$5:$U$1004,0))&amp;"","")</f>
        <v/>
      </c>
      <c r="G264" s="79">
        <f>IFERROR(INDEX(Firms!$P$5:$P$1004,MATCH(260,Firms!$U$5:$U$1004,0))&amp;"","")</f>
        <v/>
      </c>
      <c r="H264" s="91">
        <f>IFERROR(INDEX(Firms!$T$5:$T$1004,MATCH(260,Firms!$U$5:$U$1004,0))&amp;"","")</f>
        <v/>
      </c>
    </row>
    <row r="265">
      <c r="A265" s="79">
        <f>IF(B265="","",261)</f>
        <v/>
      </c>
      <c r="B265" s="91">
        <f>IFERROR(INDEX(Firms!$A$5:$A$1004,MATCH(261,Firms!$U$5:$U$1004,0))&amp;"","")</f>
        <v/>
      </c>
      <c r="C265" s="88">
        <f>IFERROR(IF(INDEX(Firms!$R$5:$R$1004,MATCH(261,Firms!$U$5:$U$1004,0))="","",INDEX(Firms!$R$5:$R$1004,MATCH(261,Firms!$U$5:$U$1004,0))),"")</f>
        <v/>
      </c>
      <c r="D265" s="91">
        <f>IFERROR(INDEX(Firms!$S$5:$S$1004,MATCH(261,Firms!$U$5:$U$1004,0))&amp;"","")</f>
        <v/>
      </c>
      <c r="E265" s="91">
        <f>IFERROR(INDEX(Firms!$C$5:$C$1004,MATCH(261,Firms!$U$5:$U$1004,0))&amp;"","")</f>
        <v/>
      </c>
      <c r="F265" s="79">
        <f>IFERROR(INDEX(Firms!$N$5:$N$1004,MATCH(261,Firms!$U$5:$U$1004,0))&amp;"","")</f>
        <v/>
      </c>
      <c r="G265" s="79">
        <f>IFERROR(INDEX(Firms!$P$5:$P$1004,MATCH(261,Firms!$U$5:$U$1004,0))&amp;"","")</f>
        <v/>
      </c>
      <c r="H265" s="91">
        <f>IFERROR(INDEX(Firms!$T$5:$T$1004,MATCH(261,Firms!$U$5:$U$1004,0))&amp;"","")</f>
        <v/>
      </c>
    </row>
    <row r="266">
      <c r="A266" s="79">
        <f>IF(B266="","",262)</f>
        <v/>
      </c>
      <c r="B266" s="91">
        <f>IFERROR(INDEX(Firms!$A$5:$A$1004,MATCH(262,Firms!$U$5:$U$1004,0))&amp;"","")</f>
        <v/>
      </c>
      <c r="C266" s="88">
        <f>IFERROR(IF(INDEX(Firms!$R$5:$R$1004,MATCH(262,Firms!$U$5:$U$1004,0))="","",INDEX(Firms!$R$5:$R$1004,MATCH(262,Firms!$U$5:$U$1004,0))),"")</f>
        <v/>
      </c>
      <c r="D266" s="91">
        <f>IFERROR(INDEX(Firms!$S$5:$S$1004,MATCH(262,Firms!$U$5:$U$1004,0))&amp;"","")</f>
        <v/>
      </c>
      <c r="E266" s="91">
        <f>IFERROR(INDEX(Firms!$C$5:$C$1004,MATCH(262,Firms!$U$5:$U$1004,0))&amp;"","")</f>
        <v/>
      </c>
      <c r="F266" s="79">
        <f>IFERROR(INDEX(Firms!$N$5:$N$1004,MATCH(262,Firms!$U$5:$U$1004,0))&amp;"","")</f>
        <v/>
      </c>
      <c r="G266" s="79">
        <f>IFERROR(INDEX(Firms!$P$5:$P$1004,MATCH(262,Firms!$U$5:$U$1004,0))&amp;"","")</f>
        <v/>
      </c>
      <c r="H266" s="91">
        <f>IFERROR(INDEX(Firms!$T$5:$T$1004,MATCH(262,Firms!$U$5:$U$1004,0))&amp;"","")</f>
        <v/>
      </c>
    </row>
    <row r="267">
      <c r="A267" s="79">
        <f>IF(B267="","",263)</f>
        <v/>
      </c>
      <c r="B267" s="91">
        <f>IFERROR(INDEX(Firms!$A$5:$A$1004,MATCH(263,Firms!$U$5:$U$1004,0))&amp;"","")</f>
        <v/>
      </c>
      <c r="C267" s="88">
        <f>IFERROR(IF(INDEX(Firms!$R$5:$R$1004,MATCH(263,Firms!$U$5:$U$1004,0))="","",INDEX(Firms!$R$5:$R$1004,MATCH(263,Firms!$U$5:$U$1004,0))),"")</f>
        <v/>
      </c>
      <c r="D267" s="91">
        <f>IFERROR(INDEX(Firms!$S$5:$S$1004,MATCH(263,Firms!$U$5:$U$1004,0))&amp;"","")</f>
        <v/>
      </c>
      <c r="E267" s="91">
        <f>IFERROR(INDEX(Firms!$C$5:$C$1004,MATCH(263,Firms!$U$5:$U$1004,0))&amp;"","")</f>
        <v/>
      </c>
      <c r="F267" s="79">
        <f>IFERROR(INDEX(Firms!$N$5:$N$1004,MATCH(263,Firms!$U$5:$U$1004,0))&amp;"","")</f>
        <v/>
      </c>
      <c r="G267" s="79">
        <f>IFERROR(INDEX(Firms!$P$5:$P$1004,MATCH(263,Firms!$U$5:$U$1004,0))&amp;"","")</f>
        <v/>
      </c>
      <c r="H267" s="91">
        <f>IFERROR(INDEX(Firms!$T$5:$T$1004,MATCH(263,Firms!$U$5:$U$1004,0))&amp;"","")</f>
        <v/>
      </c>
    </row>
    <row r="268">
      <c r="A268" s="79">
        <f>IF(B268="","",264)</f>
        <v/>
      </c>
      <c r="B268" s="91">
        <f>IFERROR(INDEX(Firms!$A$5:$A$1004,MATCH(264,Firms!$U$5:$U$1004,0))&amp;"","")</f>
        <v/>
      </c>
      <c r="C268" s="88">
        <f>IFERROR(IF(INDEX(Firms!$R$5:$R$1004,MATCH(264,Firms!$U$5:$U$1004,0))="","",INDEX(Firms!$R$5:$R$1004,MATCH(264,Firms!$U$5:$U$1004,0))),"")</f>
        <v/>
      </c>
      <c r="D268" s="91">
        <f>IFERROR(INDEX(Firms!$S$5:$S$1004,MATCH(264,Firms!$U$5:$U$1004,0))&amp;"","")</f>
        <v/>
      </c>
      <c r="E268" s="91">
        <f>IFERROR(INDEX(Firms!$C$5:$C$1004,MATCH(264,Firms!$U$5:$U$1004,0))&amp;"","")</f>
        <v/>
      </c>
      <c r="F268" s="79">
        <f>IFERROR(INDEX(Firms!$N$5:$N$1004,MATCH(264,Firms!$U$5:$U$1004,0))&amp;"","")</f>
        <v/>
      </c>
      <c r="G268" s="79">
        <f>IFERROR(INDEX(Firms!$P$5:$P$1004,MATCH(264,Firms!$U$5:$U$1004,0))&amp;"","")</f>
        <v/>
      </c>
      <c r="H268" s="91">
        <f>IFERROR(INDEX(Firms!$T$5:$T$1004,MATCH(264,Firms!$U$5:$U$1004,0))&amp;"","")</f>
        <v/>
      </c>
    </row>
    <row r="269">
      <c r="A269" s="79">
        <f>IF(B269="","",265)</f>
        <v/>
      </c>
      <c r="B269" s="91">
        <f>IFERROR(INDEX(Firms!$A$5:$A$1004,MATCH(265,Firms!$U$5:$U$1004,0))&amp;"","")</f>
        <v/>
      </c>
      <c r="C269" s="88">
        <f>IFERROR(IF(INDEX(Firms!$R$5:$R$1004,MATCH(265,Firms!$U$5:$U$1004,0))="","",INDEX(Firms!$R$5:$R$1004,MATCH(265,Firms!$U$5:$U$1004,0))),"")</f>
        <v/>
      </c>
      <c r="D269" s="91">
        <f>IFERROR(INDEX(Firms!$S$5:$S$1004,MATCH(265,Firms!$U$5:$U$1004,0))&amp;"","")</f>
        <v/>
      </c>
      <c r="E269" s="91">
        <f>IFERROR(INDEX(Firms!$C$5:$C$1004,MATCH(265,Firms!$U$5:$U$1004,0))&amp;"","")</f>
        <v/>
      </c>
      <c r="F269" s="79">
        <f>IFERROR(INDEX(Firms!$N$5:$N$1004,MATCH(265,Firms!$U$5:$U$1004,0))&amp;"","")</f>
        <v/>
      </c>
      <c r="G269" s="79">
        <f>IFERROR(INDEX(Firms!$P$5:$P$1004,MATCH(265,Firms!$U$5:$U$1004,0))&amp;"","")</f>
        <v/>
      </c>
      <c r="H269" s="91">
        <f>IFERROR(INDEX(Firms!$T$5:$T$1004,MATCH(265,Firms!$U$5:$U$1004,0))&amp;"","")</f>
        <v/>
      </c>
    </row>
    <row r="270">
      <c r="A270" s="79">
        <f>IF(B270="","",266)</f>
        <v/>
      </c>
      <c r="B270" s="91">
        <f>IFERROR(INDEX(Firms!$A$5:$A$1004,MATCH(266,Firms!$U$5:$U$1004,0))&amp;"","")</f>
        <v/>
      </c>
      <c r="C270" s="88">
        <f>IFERROR(IF(INDEX(Firms!$R$5:$R$1004,MATCH(266,Firms!$U$5:$U$1004,0))="","",INDEX(Firms!$R$5:$R$1004,MATCH(266,Firms!$U$5:$U$1004,0))),"")</f>
        <v/>
      </c>
      <c r="D270" s="91">
        <f>IFERROR(INDEX(Firms!$S$5:$S$1004,MATCH(266,Firms!$U$5:$U$1004,0))&amp;"","")</f>
        <v/>
      </c>
      <c r="E270" s="91">
        <f>IFERROR(INDEX(Firms!$C$5:$C$1004,MATCH(266,Firms!$U$5:$U$1004,0))&amp;"","")</f>
        <v/>
      </c>
      <c r="F270" s="79">
        <f>IFERROR(INDEX(Firms!$N$5:$N$1004,MATCH(266,Firms!$U$5:$U$1004,0))&amp;"","")</f>
        <v/>
      </c>
      <c r="G270" s="79">
        <f>IFERROR(INDEX(Firms!$P$5:$P$1004,MATCH(266,Firms!$U$5:$U$1004,0))&amp;"","")</f>
        <v/>
      </c>
      <c r="H270" s="91">
        <f>IFERROR(INDEX(Firms!$T$5:$T$1004,MATCH(266,Firms!$U$5:$U$1004,0))&amp;"","")</f>
        <v/>
      </c>
    </row>
    <row r="271">
      <c r="A271" s="79">
        <f>IF(B271="","",267)</f>
        <v/>
      </c>
      <c r="B271" s="91">
        <f>IFERROR(INDEX(Firms!$A$5:$A$1004,MATCH(267,Firms!$U$5:$U$1004,0))&amp;"","")</f>
        <v/>
      </c>
      <c r="C271" s="88">
        <f>IFERROR(IF(INDEX(Firms!$R$5:$R$1004,MATCH(267,Firms!$U$5:$U$1004,0))="","",INDEX(Firms!$R$5:$R$1004,MATCH(267,Firms!$U$5:$U$1004,0))),"")</f>
        <v/>
      </c>
      <c r="D271" s="91">
        <f>IFERROR(INDEX(Firms!$S$5:$S$1004,MATCH(267,Firms!$U$5:$U$1004,0))&amp;"","")</f>
        <v/>
      </c>
      <c r="E271" s="91">
        <f>IFERROR(INDEX(Firms!$C$5:$C$1004,MATCH(267,Firms!$U$5:$U$1004,0))&amp;"","")</f>
        <v/>
      </c>
      <c r="F271" s="79">
        <f>IFERROR(INDEX(Firms!$N$5:$N$1004,MATCH(267,Firms!$U$5:$U$1004,0))&amp;"","")</f>
        <v/>
      </c>
      <c r="G271" s="79">
        <f>IFERROR(INDEX(Firms!$P$5:$P$1004,MATCH(267,Firms!$U$5:$U$1004,0))&amp;"","")</f>
        <v/>
      </c>
      <c r="H271" s="91">
        <f>IFERROR(INDEX(Firms!$T$5:$T$1004,MATCH(267,Firms!$U$5:$U$1004,0))&amp;"","")</f>
        <v/>
      </c>
    </row>
    <row r="272">
      <c r="A272" s="79">
        <f>IF(B272="","",268)</f>
        <v/>
      </c>
      <c r="B272" s="91">
        <f>IFERROR(INDEX(Firms!$A$5:$A$1004,MATCH(268,Firms!$U$5:$U$1004,0))&amp;"","")</f>
        <v/>
      </c>
      <c r="C272" s="88">
        <f>IFERROR(IF(INDEX(Firms!$R$5:$R$1004,MATCH(268,Firms!$U$5:$U$1004,0))="","",INDEX(Firms!$R$5:$R$1004,MATCH(268,Firms!$U$5:$U$1004,0))),"")</f>
        <v/>
      </c>
      <c r="D272" s="91">
        <f>IFERROR(INDEX(Firms!$S$5:$S$1004,MATCH(268,Firms!$U$5:$U$1004,0))&amp;"","")</f>
        <v/>
      </c>
      <c r="E272" s="91">
        <f>IFERROR(INDEX(Firms!$C$5:$C$1004,MATCH(268,Firms!$U$5:$U$1004,0))&amp;"","")</f>
        <v/>
      </c>
      <c r="F272" s="79">
        <f>IFERROR(INDEX(Firms!$N$5:$N$1004,MATCH(268,Firms!$U$5:$U$1004,0))&amp;"","")</f>
        <v/>
      </c>
      <c r="G272" s="79">
        <f>IFERROR(INDEX(Firms!$P$5:$P$1004,MATCH(268,Firms!$U$5:$U$1004,0))&amp;"","")</f>
        <v/>
      </c>
      <c r="H272" s="91">
        <f>IFERROR(INDEX(Firms!$T$5:$T$1004,MATCH(268,Firms!$U$5:$U$1004,0))&amp;"","")</f>
        <v/>
      </c>
    </row>
    <row r="273">
      <c r="A273" s="79">
        <f>IF(B273="","",269)</f>
        <v/>
      </c>
      <c r="B273" s="91">
        <f>IFERROR(INDEX(Firms!$A$5:$A$1004,MATCH(269,Firms!$U$5:$U$1004,0))&amp;"","")</f>
        <v/>
      </c>
      <c r="C273" s="88">
        <f>IFERROR(IF(INDEX(Firms!$R$5:$R$1004,MATCH(269,Firms!$U$5:$U$1004,0))="","",INDEX(Firms!$R$5:$R$1004,MATCH(269,Firms!$U$5:$U$1004,0))),"")</f>
        <v/>
      </c>
      <c r="D273" s="91">
        <f>IFERROR(INDEX(Firms!$S$5:$S$1004,MATCH(269,Firms!$U$5:$U$1004,0))&amp;"","")</f>
        <v/>
      </c>
      <c r="E273" s="91">
        <f>IFERROR(INDEX(Firms!$C$5:$C$1004,MATCH(269,Firms!$U$5:$U$1004,0))&amp;"","")</f>
        <v/>
      </c>
      <c r="F273" s="79">
        <f>IFERROR(INDEX(Firms!$N$5:$N$1004,MATCH(269,Firms!$U$5:$U$1004,0))&amp;"","")</f>
        <v/>
      </c>
      <c r="G273" s="79">
        <f>IFERROR(INDEX(Firms!$P$5:$P$1004,MATCH(269,Firms!$U$5:$U$1004,0))&amp;"","")</f>
        <v/>
      </c>
      <c r="H273" s="91">
        <f>IFERROR(INDEX(Firms!$T$5:$T$1004,MATCH(269,Firms!$U$5:$U$1004,0))&amp;"","")</f>
        <v/>
      </c>
    </row>
    <row r="274">
      <c r="A274" s="79">
        <f>IF(B274="","",270)</f>
        <v/>
      </c>
      <c r="B274" s="91">
        <f>IFERROR(INDEX(Firms!$A$5:$A$1004,MATCH(270,Firms!$U$5:$U$1004,0))&amp;"","")</f>
        <v/>
      </c>
      <c r="C274" s="88">
        <f>IFERROR(IF(INDEX(Firms!$R$5:$R$1004,MATCH(270,Firms!$U$5:$U$1004,0))="","",INDEX(Firms!$R$5:$R$1004,MATCH(270,Firms!$U$5:$U$1004,0))),"")</f>
        <v/>
      </c>
      <c r="D274" s="91">
        <f>IFERROR(INDEX(Firms!$S$5:$S$1004,MATCH(270,Firms!$U$5:$U$1004,0))&amp;"","")</f>
        <v/>
      </c>
      <c r="E274" s="91">
        <f>IFERROR(INDEX(Firms!$C$5:$C$1004,MATCH(270,Firms!$U$5:$U$1004,0))&amp;"","")</f>
        <v/>
      </c>
      <c r="F274" s="79">
        <f>IFERROR(INDEX(Firms!$N$5:$N$1004,MATCH(270,Firms!$U$5:$U$1004,0))&amp;"","")</f>
        <v/>
      </c>
      <c r="G274" s="79">
        <f>IFERROR(INDEX(Firms!$P$5:$P$1004,MATCH(270,Firms!$U$5:$U$1004,0))&amp;"","")</f>
        <v/>
      </c>
      <c r="H274" s="91">
        <f>IFERROR(INDEX(Firms!$T$5:$T$1004,MATCH(270,Firms!$U$5:$U$1004,0))&amp;"","")</f>
        <v/>
      </c>
    </row>
    <row r="275">
      <c r="A275" s="79">
        <f>IF(B275="","",271)</f>
        <v/>
      </c>
      <c r="B275" s="91">
        <f>IFERROR(INDEX(Firms!$A$5:$A$1004,MATCH(271,Firms!$U$5:$U$1004,0))&amp;"","")</f>
        <v/>
      </c>
      <c r="C275" s="88">
        <f>IFERROR(IF(INDEX(Firms!$R$5:$R$1004,MATCH(271,Firms!$U$5:$U$1004,0))="","",INDEX(Firms!$R$5:$R$1004,MATCH(271,Firms!$U$5:$U$1004,0))),"")</f>
        <v/>
      </c>
      <c r="D275" s="91">
        <f>IFERROR(INDEX(Firms!$S$5:$S$1004,MATCH(271,Firms!$U$5:$U$1004,0))&amp;"","")</f>
        <v/>
      </c>
      <c r="E275" s="91">
        <f>IFERROR(INDEX(Firms!$C$5:$C$1004,MATCH(271,Firms!$U$5:$U$1004,0))&amp;"","")</f>
        <v/>
      </c>
      <c r="F275" s="79">
        <f>IFERROR(INDEX(Firms!$N$5:$N$1004,MATCH(271,Firms!$U$5:$U$1004,0))&amp;"","")</f>
        <v/>
      </c>
      <c r="G275" s="79">
        <f>IFERROR(INDEX(Firms!$P$5:$P$1004,MATCH(271,Firms!$U$5:$U$1004,0))&amp;"","")</f>
        <v/>
      </c>
      <c r="H275" s="91">
        <f>IFERROR(INDEX(Firms!$T$5:$T$1004,MATCH(271,Firms!$U$5:$U$1004,0))&amp;"","")</f>
        <v/>
      </c>
    </row>
    <row r="276">
      <c r="A276" s="79">
        <f>IF(B276="","",272)</f>
        <v/>
      </c>
      <c r="B276" s="91">
        <f>IFERROR(INDEX(Firms!$A$5:$A$1004,MATCH(272,Firms!$U$5:$U$1004,0))&amp;"","")</f>
        <v/>
      </c>
      <c r="C276" s="88">
        <f>IFERROR(IF(INDEX(Firms!$R$5:$R$1004,MATCH(272,Firms!$U$5:$U$1004,0))="","",INDEX(Firms!$R$5:$R$1004,MATCH(272,Firms!$U$5:$U$1004,0))),"")</f>
        <v/>
      </c>
      <c r="D276" s="91">
        <f>IFERROR(INDEX(Firms!$S$5:$S$1004,MATCH(272,Firms!$U$5:$U$1004,0))&amp;"","")</f>
        <v/>
      </c>
      <c r="E276" s="91">
        <f>IFERROR(INDEX(Firms!$C$5:$C$1004,MATCH(272,Firms!$U$5:$U$1004,0))&amp;"","")</f>
        <v/>
      </c>
      <c r="F276" s="79">
        <f>IFERROR(INDEX(Firms!$N$5:$N$1004,MATCH(272,Firms!$U$5:$U$1004,0))&amp;"","")</f>
        <v/>
      </c>
      <c r="G276" s="79">
        <f>IFERROR(INDEX(Firms!$P$5:$P$1004,MATCH(272,Firms!$U$5:$U$1004,0))&amp;"","")</f>
        <v/>
      </c>
      <c r="H276" s="91">
        <f>IFERROR(INDEX(Firms!$T$5:$T$1004,MATCH(272,Firms!$U$5:$U$1004,0))&amp;"","")</f>
        <v/>
      </c>
    </row>
    <row r="277">
      <c r="A277" s="79">
        <f>IF(B277="","",273)</f>
        <v/>
      </c>
      <c r="B277" s="91">
        <f>IFERROR(INDEX(Firms!$A$5:$A$1004,MATCH(273,Firms!$U$5:$U$1004,0))&amp;"","")</f>
        <v/>
      </c>
      <c r="C277" s="88">
        <f>IFERROR(IF(INDEX(Firms!$R$5:$R$1004,MATCH(273,Firms!$U$5:$U$1004,0))="","",INDEX(Firms!$R$5:$R$1004,MATCH(273,Firms!$U$5:$U$1004,0))),"")</f>
        <v/>
      </c>
      <c r="D277" s="91">
        <f>IFERROR(INDEX(Firms!$S$5:$S$1004,MATCH(273,Firms!$U$5:$U$1004,0))&amp;"","")</f>
        <v/>
      </c>
      <c r="E277" s="91">
        <f>IFERROR(INDEX(Firms!$C$5:$C$1004,MATCH(273,Firms!$U$5:$U$1004,0))&amp;"","")</f>
        <v/>
      </c>
      <c r="F277" s="79">
        <f>IFERROR(INDEX(Firms!$N$5:$N$1004,MATCH(273,Firms!$U$5:$U$1004,0))&amp;"","")</f>
        <v/>
      </c>
      <c r="G277" s="79">
        <f>IFERROR(INDEX(Firms!$P$5:$P$1004,MATCH(273,Firms!$U$5:$U$1004,0))&amp;"","")</f>
        <v/>
      </c>
      <c r="H277" s="91">
        <f>IFERROR(INDEX(Firms!$T$5:$T$1004,MATCH(273,Firms!$U$5:$U$1004,0))&amp;"","")</f>
        <v/>
      </c>
    </row>
    <row r="278">
      <c r="A278" s="79">
        <f>IF(B278="","",274)</f>
        <v/>
      </c>
      <c r="B278" s="91">
        <f>IFERROR(INDEX(Firms!$A$5:$A$1004,MATCH(274,Firms!$U$5:$U$1004,0))&amp;"","")</f>
        <v/>
      </c>
      <c r="C278" s="88">
        <f>IFERROR(IF(INDEX(Firms!$R$5:$R$1004,MATCH(274,Firms!$U$5:$U$1004,0))="","",INDEX(Firms!$R$5:$R$1004,MATCH(274,Firms!$U$5:$U$1004,0))),"")</f>
        <v/>
      </c>
      <c r="D278" s="91">
        <f>IFERROR(INDEX(Firms!$S$5:$S$1004,MATCH(274,Firms!$U$5:$U$1004,0))&amp;"","")</f>
        <v/>
      </c>
      <c r="E278" s="91">
        <f>IFERROR(INDEX(Firms!$C$5:$C$1004,MATCH(274,Firms!$U$5:$U$1004,0))&amp;"","")</f>
        <v/>
      </c>
      <c r="F278" s="79">
        <f>IFERROR(INDEX(Firms!$N$5:$N$1004,MATCH(274,Firms!$U$5:$U$1004,0))&amp;"","")</f>
        <v/>
      </c>
      <c r="G278" s="79">
        <f>IFERROR(INDEX(Firms!$P$5:$P$1004,MATCH(274,Firms!$U$5:$U$1004,0))&amp;"","")</f>
        <v/>
      </c>
      <c r="H278" s="91">
        <f>IFERROR(INDEX(Firms!$T$5:$T$1004,MATCH(274,Firms!$U$5:$U$1004,0))&amp;"","")</f>
        <v/>
      </c>
    </row>
    <row r="279">
      <c r="A279" s="79">
        <f>IF(B279="","",275)</f>
        <v/>
      </c>
      <c r="B279" s="91">
        <f>IFERROR(INDEX(Firms!$A$5:$A$1004,MATCH(275,Firms!$U$5:$U$1004,0))&amp;"","")</f>
        <v/>
      </c>
      <c r="C279" s="88">
        <f>IFERROR(IF(INDEX(Firms!$R$5:$R$1004,MATCH(275,Firms!$U$5:$U$1004,0))="","",INDEX(Firms!$R$5:$R$1004,MATCH(275,Firms!$U$5:$U$1004,0))),"")</f>
        <v/>
      </c>
      <c r="D279" s="91">
        <f>IFERROR(INDEX(Firms!$S$5:$S$1004,MATCH(275,Firms!$U$5:$U$1004,0))&amp;"","")</f>
        <v/>
      </c>
      <c r="E279" s="91">
        <f>IFERROR(INDEX(Firms!$C$5:$C$1004,MATCH(275,Firms!$U$5:$U$1004,0))&amp;"","")</f>
        <v/>
      </c>
      <c r="F279" s="79">
        <f>IFERROR(INDEX(Firms!$N$5:$N$1004,MATCH(275,Firms!$U$5:$U$1004,0))&amp;"","")</f>
        <v/>
      </c>
      <c r="G279" s="79">
        <f>IFERROR(INDEX(Firms!$P$5:$P$1004,MATCH(275,Firms!$U$5:$U$1004,0))&amp;"","")</f>
        <v/>
      </c>
      <c r="H279" s="91">
        <f>IFERROR(INDEX(Firms!$T$5:$T$1004,MATCH(275,Firms!$U$5:$U$1004,0))&amp;"","")</f>
        <v/>
      </c>
    </row>
    <row r="280">
      <c r="A280" s="79">
        <f>IF(B280="","",276)</f>
        <v/>
      </c>
      <c r="B280" s="91">
        <f>IFERROR(INDEX(Firms!$A$5:$A$1004,MATCH(276,Firms!$U$5:$U$1004,0))&amp;"","")</f>
        <v/>
      </c>
      <c r="C280" s="88">
        <f>IFERROR(IF(INDEX(Firms!$R$5:$R$1004,MATCH(276,Firms!$U$5:$U$1004,0))="","",INDEX(Firms!$R$5:$R$1004,MATCH(276,Firms!$U$5:$U$1004,0))),"")</f>
        <v/>
      </c>
      <c r="D280" s="91">
        <f>IFERROR(INDEX(Firms!$S$5:$S$1004,MATCH(276,Firms!$U$5:$U$1004,0))&amp;"","")</f>
        <v/>
      </c>
      <c r="E280" s="91">
        <f>IFERROR(INDEX(Firms!$C$5:$C$1004,MATCH(276,Firms!$U$5:$U$1004,0))&amp;"","")</f>
        <v/>
      </c>
      <c r="F280" s="79">
        <f>IFERROR(INDEX(Firms!$N$5:$N$1004,MATCH(276,Firms!$U$5:$U$1004,0))&amp;"","")</f>
        <v/>
      </c>
      <c r="G280" s="79">
        <f>IFERROR(INDEX(Firms!$P$5:$P$1004,MATCH(276,Firms!$U$5:$U$1004,0))&amp;"","")</f>
        <v/>
      </c>
      <c r="H280" s="91">
        <f>IFERROR(INDEX(Firms!$T$5:$T$1004,MATCH(276,Firms!$U$5:$U$1004,0))&amp;"","")</f>
        <v/>
      </c>
    </row>
    <row r="281">
      <c r="A281" s="79">
        <f>IF(B281="","",277)</f>
        <v/>
      </c>
      <c r="B281" s="91">
        <f>IFERROR(INDEX(Firms!$A$5:$A$1004,MATCH(277,Firms!$U$5:$U$1004,0))&amp;"","")</f>
        <v/>
      </c>
      <c r="C281" s="88">
        <f>IFERROR(IF(INDEX(Firms!$R$5:$R$1004,MATCH(277,Firms!$U$5:$U$1004,0))="","",INDEX(Firms!$R$5:$R$1004,MATCH(277,Firms!$U$5:$U$1004,0))),"")</f>
        <v/>
      </c>
      <c r="D281" s="91">
        <f>IFERROR(INDEX(Firms!$S$5:$S$1004,MATCH(277,Firms!$U$5:$U$1004,0))&amp;"","")</f>
        <v/>
      </c>
      <c r="E281" s="91">
        <f>IFERROR(INDEX(Firms!$C$5:$C$1004,MATCH(277,Firms!$U$5:$U$1004,0))&amp;"","")</f>
        <v/>
      </c>
      <c r="F281" s="79">
        <f>IFERROR(INDEX(Firms!$N$5:$N$1004,MATCH(277,Firms!$U$5:$U$1004,0))&amp;"","")</f>
        <v/>
      </c>
      <c r="G281" s="79">
        <f>IFERROR(INDEX(Firms!$P$5:$P$1004,MATCH(277,Firms!$U$5:$U$1004,0))&amp;"","")</f>
        <v/>
      </c>
      <c r="H281" s="91">
        <f>IFERROR(INDEX(Firms!$T$5:$T$1004,MATCH(277,Firms!$U$5:$U$1004,0))&amp;"","")</f>
        <v/>
      </c>
    </row>
    <row r="282">
      <c r="A282" s="79">
        <f>IF(B282="","",278)</f>
        <v/>
      </c>
      <c r="B282" s="91">
        <f>IFERROR(INDEX(Firms!$A$5:$A$1004,MATCH(278,Firms!$U$5:$U$1004,0))&amp;"","")</f>
        <v/>
      </c>
      <c r="C282" s="88">
        <f>IFERROR(IF(INDEX(Firms!$R$5:$R$1004,MATCH(278,Firms!$U$5:$U$1004,0))="","",INDEX(Firms!$R$5:$R$1004,MATCH(278,Firms!$U$5:$U$1004,0))),"")</f>
        <v/>
      </c>
      <c r="D282" s="91">
        <f>IFERROR(INDEX(Firms!$S$5:$S$1004,MATCH(278,Firms!$U$5:$U$1004,0))&amp;"","")</f>
        <v/>
      </c>
      <c r="E282" s="91">
        <f>IFERROR(INDEX(Firms!$C$5:$C$1004,MATCH(278,Firms!$U$5:$U$1004,0))&amp;"","")</f>
        <v/>
      </c>
      <c r="F282" s="79">
        <f>IFERROR(INDEX(Firms!$N$5:$N$1004,MATCH(278,Firms!$U$5:$U$1004,0))&amp;"","")</f>
        <v/>
      </c>
      <c r="G282" s="79">
        <f>IFERROR(INDEX(Firms!$P$5:$P$1004,MATCH(278,Firms!$U$5:$U$1004,0))&amp;"","")</f>
        <v/>
      </c>
      <c r="H282" s="91">
        <f>IFERROR(INDEX(Firms!$T$5:$T$1004,MATCH(278,Firms!$U$5:$U$1004,0))&amp;"","")</f>
        <v/>
      </c>
    </row>
    <row r="283">
      <c r="A283" s="79">
        <f>IF(B283="","",279)</f>
        <v/>
      </c>
      <c r="B283" s="91">
        <f>IFERROR(INDEX(Firms!$A$5:$A$1004,MATCH(279,Firms!$U$5:$U$1004,0))&amp;"","")</f>
        <v/>
      </c>
      <c r="C283" s="88">
        <f>IFERROR(IF(INDEX(Firms!$R$5:$R$1004,MATCH(279,Firms!$U$5:$U$1004,0))="","",INDEX(Firms!$R$5:$R$1004,MATCH(279,Firms!$U$5:$U$1004,0))),"")</f>
        <v/>
      </c>
      <c r="D283" s="91">
        <f>IFERROR(INDEX(Firms!$S$5:$S$1004,MATCH(279,Firms!$U$5:$U$1004,0))&amp;"","")</f>
        <v/>
      </c>
      <c r="E283" s="91">
        <f>IFERROR(INDEX(Firms!$C$5:$C$1004,MATCH(279,Firms!$U$5:$U$1004,0))&amp;"","")</f>
        <v/>
      </c>
      <c r="F283" s="79">
        <f>IFERROR(INDEX(Firms!$N$5:$N$1004,MATCH(279,Firms!$U$5:$U$1004,0))&amp;"","")</f>
        <v/>
      </c>
      <c r="G283" s="79">
        <f>IFERROR(INDEX(Firms!$P$5:$P$1004,MATCH(279,Firms!$U$5:$U$1004,0))&amp;"","")</f>
        <v/>
      </c>
      <c r="H283" s="91">
        <f>IFERROR(INDEX(Firms!$T$5:$T$1004,MATCH(279,Firms!$U$5:$U$1004,0))&amp;"","")</f>
        <v/>
      </c>
    </row>
    <row r="284">
      <c r="A284" s="79">
        <f>IF(B284="","",280)</f>
        <v/>
      </c>
      <c r="B284" s="91">
        <f>IFERROR(INDEX(Firms!$A$5:$A$1004,MATCH(280,Firms!$U$5:$U$1004,0))&amp;"","")</f>
        <v/>
      </c>
      <c r="C284" s="88">
        <f>IFERROR(IF(INDEX(Firms!$R$5:$R$1004,MATCH(280,Firms!$U$5:$U$1004,0))="","",INDEX(Firms!$R$5:$R$1004,MATCH(280,Firms!$U$5:$U$1004,0))),"")</f>
        <v/>
      </c>
      <c r="D284" s="91">
        <f>IFERROR(INDEX(Firms!$S$5:$S$1004,MATCH(280,Firms!$U$5:$U$1004,0))&amp;"","")</f>
        <v/>
      </c>
      <c r="E284" s="91">
        <f>IFERROR(INDEX(Firms!$C$5:$C$1004,MATCH(280,Firms!$U$5:$U$1004,0))&amp;"","")</f>
        <v/>
      </c>
      <c r="F284" s="79">
        <f>IFERROR(INDEX(Firms!$N$5:$N$1004,MATCH(280,Firms!$U$5:$U$1004,0))&amp;"","")</f>
        <v/>
      </c>
      <c r="G284" s="79">
        <f>IFERROR(INDEX(Firms!$P$5:$P$1004,MATCH(280,Firms!$U$5:$U$1004,0))&amp;"","")</f>
        <v/>
      </c>
      <c r="H284" s="91">
        <f>IFERROR(INDEX(Firms!$T$5:$T$1004,MATCH(280,Firms!$U$5:$U$1004,0))&amp;"","")</f>
        <v/>
      </c>
    </row>
    <row r="285">
      <c r="A285" s="79">
        <f>IF(B285="","",281)</f>
        <v/>
      </c>
      <c r="B285" s="91">
        <f>IFERROR(INDEX(Firms!$A$5:$A$1004,MATCH(281,Firms!$U$5:$U$1004,0))&amp;"","")</f>
        <v/>
      </c>
      <c r="C285" s="88">
        <f>IFERROR(IF(INDEX(Firms!$R$5:$R$1004,MATCH(281,Firms!$U$5:$U$1004,0))="","",INDEX(Firms!$R$5:$R$1004,MATCH(281,Firms!$U$5:$U$1004,0))),"")</f>
        <v/>
      </c>
      <c r="D285" s="91">
        <f>IFERROR(INDEX(Firms!$S$5:$S$1004,MATCH(281,Firms!$U$5:$U$1004,0))&amp;"","")</f>
        <v/>
      </c>
      <c r="E285" s="91">
        <f>IFERROR(INDEX(Firms!$C$5:$C$1004,MATCH(281,Firms!$U$5:$U$1004,0))&amp;"","")</f>
        <v/>
      </c>
      <c r="F285" s="79">
        <f>IFERROR(INDEX(Firms!$N$5:$N$1004,MATCH(281,Firms!$U$5:$U$1004,0))&amp;"","")</f>
        <v/>
      </c>
      <c r="G285" s="79">
        <f>IFERROR(INDEX(Firms!$P$5:$P$1004,MATCH(281,Firms!$U$5:$U$1004,0))&amp;"","")</f>
        <v/>
      </c>
      <c r="H285" s="91">
        <f>IFERROR(INDEX(Firms!$T$5:$T$1004,MATCH(281,Firms!$U$5:$U$1004,0))&amp;"","")</f>
        <v/>
      </c>
    </row>
    <row r="286">
      <c r="A286" s="79">
        <f>IF(B286="","",282)</f>
        <v/>
      </c>
      <c r="B286" s="91">
        <f>IFERROR(INDEX(Firms!$A$5:$A$1004,MATCH(282,Firms!$U$5:$U$1004,0))&amp;"","")</f>
        <v/>
      </c>
      <c r="C286" s="88">
        <f>IFERROR(IF(INDEX(Firms!$R$5:$R$1004,MATCH(282,Firms!$U$5:$U$1004,0))="","",INDEX(Firms!$R$5:$R$1004,MATCH(282,Firms!$U$5:$U$1004,0))),"")</f>
        <v/>
      </c>
      <c r="D286" s="91">
        <f>IFERROR(INDEX(Firms!$S$5:$S$1004,MATCH(282,Firms!$U$5:$U$1004,0))&amp;"","")</f>
        <v/>
      </c>
      <c r="E286" s="91">
        <f>IFERROR(INDEX(Firms!$C$5:$C$1004,MATCH(282,Firms!$U$5:$U$1004,0))&amp;"","")</f>
        <v/>
      </c>
      <c r="F286" s="79">
        <f>IFERROR(INDEX(Firms!$N$5:$N$1004,MATCH(282,Firms!$U$5:$U$1004,0))&amp;"","")</f>
        <v/>
      </c>
      <c r="G286" s="79">
        <f>IFERROR(INDEX(Firms!$P$5:$P$1004,MATCH(282,Firms!$U$5:$U$1004,0))&amp;"","")</f>
        <v/>
      </c>
      <c r="H286" s="91">
        <f>IFERROR(INDEX(Firms!$T$5:$T$1004,MATCH(282,Firms!$U$5:$U$1004,0))&amp;"","")</f>
        <v/>
      </c>
    </row>
    <row r="287">
      <c r="A287" s="79">
        <f>IF(B287="","",283)</f>
        <v/>
      </c>
      <c r="B287" s="91">
        <f>IFERROR(INDEX(Firms!$A$5:$A$1004,MATCH(283,Firms!$U$5:$U$1004,0))&amp;"","")</f>
        <v/>
      </c>
      <c r="C287" s="88">
        <f>IFERROR(IF(INDEX(Firms!$R$5:$R$1004,MATCH(283,Firms!$U$5:$U$1004,0))="","",INDEX(Firms!$R$5:$R$1004,MATCH(283,Firms!$U$5:$U$1004,0))),"")</f>
        <v/>
      </c>
      <c r="D287" s="91">
        <f>IFERROR(INDEX(Firms!$S$5:$S$1004,MATCH(283,Firms!$U$5:$U$1004,0))&amp;"","")</f>
        <v/>
      </c>
      <c r="E287" s="91">
        <f>IFERROR(INDEX(Firms!$C$5:$C$1004,MATCH(283,Firms!$U$5:$U$1004,0))&amp;"","")</f>
        <v/>
      </c>
      <c r="F287" s="79">
        <f>IFERROR(INDEX(Firms!$N$5:$N$1004,MATCH(283,Firms!$U$5:$U$1004,0))&amp;"","")</f>
        <v/>
      </c>
      <c r="G287" s="79">
        <f>IFERROR(INDEX(Firms!$P$5:$P$1004,MATCH(283,Firms!$U$5:$U$1004,0))&amp;"","")</f>
        <v/>
      </c>
      <c r="H287" s="91">
        <f>IFERROR(INDEX(Firms!$T$5:$T$1004,MATCH(283,Firms!$U$5:$U$1004,0))&amp;"","")</f>
        <v/>
      </c>
    </row>
    <row r="288">
      <c r="A288" s="79">
        <f>IF(B288="","",284)</f>
        <v/>
      </c>
      <c r="B288" s="91">
        <f>IFERROR(INDEX(Firms!$A$5:$A$1004,MATCH(284,Firms!$U$5:$U$1004,0))&amp;"","")</f>
        <v/>
      </c>
      <c r="C288" s="88">
        <f>IFERROR(IF(INDEX(Firms!$R$5:$R$1004,MATCH(284,Firms!$U$5:$U$1004,0))="","",INDEX(Firms!$R$5:$R$1004,MATCH(284,Firms!$U$5:$U$1004,0))),"")</f>
        <v/>
      </c>
      <c r="D288" s="91">
        <f>IFERROR(INDEX(Firms!$S$5:$S$1004,MATCH(284,Firms!$U$5:$U$1004,0))&amp;"","")</f>
        <v/>
      </c>
      <c r="E288" s="91">
        <f>IFERROR(INDEX(Firms!$C$5:$C$1004,MATCH(284,Firms!$U$5:$U$1004,0))&amp;"","")</f>
        <v/>
      </c>
      <c r="F288" s="79">
        <f>IFERROR(INDEX(Firms!$N$5:$N$1004,MATCH(284,Firms!$U$5:$U$1004,0))&amp;"","")</f>
        <v/>
      </c>
      <c r="G288" s="79">
        <f>IFERROR(INDEX(Firms!$P$5:$P$1004,MATCH(284,Firms!$U$5:$U$1004,0))&amp;"","")</f>
        <v/>
      </c>
      <c r="H288" s="91">
        <f>IFERROR(INDEX(Firms!$T$5:$T$1004,MATCH(284,Firms!$U$5:$U$1004,0))&amp;"","")</f>
        <v/>
      </c>
    </row>
    <row r="289">
      <c r="A289" s="79">
        <f>IF(B289="","",285)</f>
        <v/>
      </c>
      <c r="B289" s="91">
        <f>IFERROR(INDEX(Firms!$A$5:$A$1004,MATCH(285,Firms!$U$5:$U$1004,0))&amp;"","")</f>
        <v/>
      </c>
      <c r="C289" s="88">
        <f>IFERROR(IF(INDEX(Firms!$R$5:$R$1004,MATCH(285,Firms!$U$5:$U$1004,0))="","",INDEX(Firms!$R$5:$R$1004,MATCH(285,Firms!$U$5:$U$1004,0))),"")</f>
        <v/>
      </c>
      <c r="D289" s="91">
        <f>IFERROR(INDEX(Firms!$S$5:$S$1004,MATCH(285,Firms!$U$5:$U$1004,0))&amp;"","")</f>
        <v/>
      </c>
      <c r="E289" s="91">
        <f>IFERROR(INDEX(Firms!$C$5:$C$1004,MATCH(285,Firms!$U$5:$U$1004,0))&amp;"","")</f>
        <v/>
      </c>
      <c r="F289" s="79">
        <f>IFERROR(INDEX(Firms!$N$5:$N$1004,MATCH(285,Firms!$U$5:$U$1004,0))&amp;"","")</f>
        <v/>
      </c>
      <c r="G289" s="79">
        <f>IFERROR(INDEX(Firms!$P$5:$P$1004,MATCH(285,Firms!$U$5:$U$1004,0))&amp;"","")</f>
        <v/>
      </c>
      <c r="H289" s="91">
        <f>IFERROR(INDEX(Firms!$T$5:$T$1004,MATCH(285,Firms!$U$5:$U$1004,0))&amp;"","")</f>
        <v/>
      </c>
    </row>
    <row r="290">
      <c r="A290" s="79">
        <f>IF(B290="","",286)</f>
        <v/>
      </c>
      <c r="B290" s="91">
        <f>IFERROR(INDEX(Firms!$A$5:$A$1004,MATCH(286,Firms!$U$5:$U$1004,0))&amp;"","")</f>
        <v/>
      </c>
      <c r="C290" s="88">
        <f>IFERROR(IF(INDEX(Firms!$R$5:$R$1004,MATCH(286,Firms!$U$5:$U$1004,0))="","",INDEX(Firms!$R$5:$R$1004,MATCH(286,Firms!$U$5:$U$1004,0))),"")</f>
        <v/>
      </c>
      <c r="D290" s="91">
        <f>IFERROR(INDEX(Firms!$S$5:$S$1004,MATCH(286,Firms!$U$5:$U$1004,0))&amp;"","")</f>
        <v/>
      </c>
      <c r="E290" s="91">
        <f>IFERROR(INDEX(Firms!$C$5:$C$1004,MATCH(286,Firms!$U$5:$U$1004,0))&amp;"","")</f>
        <v/>
      </c>
      <c r="F290" s="79">
        <f>IFERROR(INDEX(Firms!$N$5:$N$1004,MATCH(286,Firms!$U$5:$U$1004,0))&amp;"","")</f>
        <v/>
      </c>
      <c r="G290" s="79">
        <f>IFERROR(INDEX(Firms!$P$5:$P$1004,MATCH(286,Firms!$U$5:$U$1004,0))&amp;"","")</f>
        <v/>
      </c>
      <c r="H290" s="91">
        <f>IFERROR(INDEX(Firms!$T$5:$T$1004,MATCH(286,Firms!$U$5:$U$1004,0))&amp;"","")</f>
        <v/>
      </c>
    </row>
    <row r="291">
      <c r="A291" s="79">
        <f>IF(B291="","",287)</f>
        <v/>
      </c>
      <c r="B291" s="91">
        <f>IFERROR(INDEX(Firms!$A$5:$A$1004,MATCH(287,Firms!$U$5:$U$1004,0))&amp;"","")</f>
        <v/>
      </c>
      <c r="C291" s="88">
        <f>IFERROR(IF(INDEX(Firms!$R$5:$R$1004,MATCH(287,Firms!$U$5:$U$1004,0))="","",INDEX(Firms!$R$5:$R$1004,MATCH(287,Firms!$U$5:$U$1004,0))),"")</f>
        <v/>
      </c>
      <c r="D291" s="91">
        <f>IFERROR(INDEX(Firms!$S$5:$S$1004,MATCH(287,Firms!$U$5:$U$1004,0))&amp;"","")</f>
        <v/>
      </c>
      <c r="E291" s="91">
        <f>IFERROR(INDEX(Firms!$C$5:$C$1004,MATCH(287,Firms!$U$5:$U$1004,0))&amp;"","")</f>
        <v/>
      </c>
      <c r="F291" s="79">
        <f>IFERROR(INDEX(Firms!$N$5:$N$1004,MATCH(287,Firms!$U$5:$U$1004,0))&amp;"","")</f>
        <v/>
      </c>
      <c r="G291" s="79">
        <f>IFERROR(INDEX(Firms!$P$5:$P$1004,MATCH(287,Firms!$U$5:$U$1004,0))&amp;"","")</f>
        <v/>
      </c>
      <c r="H291" s="91">
        <f>IFERROR(INDEX(Firms!$T$5:$T$1004,MATCH(287,Firms!$U$5:$U$1004,0))&amp;"","")</f>
        <v/>
      </c>
    </row>
    <row r="292">
      <c r="A292" s="79">
        <f>IF(B292="","",288)</f>
        <v/>
      </c>
      <c r="B292" s="91">
        <f>IFERROR(INDEX(Firms!$A$5:$A$1004,MATCH(288,Firms!$U$5:$U$1004,0))&amp;"","")</f>
        <v/>
      </c>
      <c r="C292" s="88">
        <f>IFERROR(IF(INDEX(Firms!$R$5:$R$1004,MATCH(288,Firms!$U$5:$U$1004,0))="","",INDEX(Firms!$R$5:$R$1004,MATCH(288,Firms!$U$5:$U$1004,0))),"")</f>
        <v/>
      </c>
      <c r="D292" s="91">
        <f>IFERROR(INDEX(Firms!$S$5:$S$1004,MATCH(288,Firms!$U$5:$U$1004,0))&amp;"","")</f>
        <v/>
      </c>
      <c r="E292" s="91">
        <f>IFERROR(INDEX(Firms!$C$5:$C$1004,MATCH(288,Firms!$U$5:$U$1004,0))&amp;"","")</f>
        <v/>
      </c>
      <c r="F292" s="79">
        <f>IFERROR(INDEX(Firms!$N$5:$N$1004,MATCH(288,Firms!$U$5:$U$1004,0))&amp;"","")</f>
        <v/>
      </c>
      <c r="G292" s="79">
        <f>IFERROR(INDEX(Firms!$P$5:$P$1004,MATCH(288,Firms!$U$5:$U$1004,0))&amp;"","")</f>
        <v/>
      </c>
      <c r="H292" s="91">
        <f>IFERROR(INDEX(Firms!$T$5:$T$1004,MATCH(288,Firms!$U$5:$U$1004,0))&amp;"","")</f>
        <v/>
      </c>
    </row>
    <row r="293">
      <c r="A293" s="79">
        <f>IF(B293="","",289)</f>
        <v/>
      </c>
      <c r="B293" s="91">
        <f>IFERROR(INDEX(Firms!$A$5:$A$1004,MATCH(289,Firms!$U$5:$U$1004,0))&amp;"","")</f>
        <v/>
      </c>
      <c r="C293" s="88">
        <f>IFERROR(IF(INDEX(Firms!$R$5:$R$1004,MATCH(289,Firms!$U$5:$U$1004,0))="","",INDEX(Firms!$R$5:$R$1004,MATCH(289,Firms!$U$5:$U$1004,0))),"")</f>
        <v/>
      </c>
      <c r="D293" s="91">
        <f>IFERROR(INDEX(Firms!$S$5:$S$1004,MATCH(289,Firms!$U$5:$U$1004,0))&amp;"","")</f>
        <v/>
      </c>
      <c r="E293" s="91">
        <f>IFERROR(INDEX(Firms!$C$5:$C$1004,MATCH(289,Firms!$U$5:$U$1004,0))&amp;"","")</f>
        <v/>
      </c>
      <c r="F293" s="79">
        <f>IFERROR(INDEX(Firms!$N$5:$N$1004,MATCH(289,Firms!$U$5:$U$1004,0))&amp;"","")</f>
        <v/>
      </c>
      <c r="G293" s="79">
        <f>IFERROR(INDEX(Firms!$P$5:$P$1004,MATCH(289,Firms!$U$5:$U$1004,0))&amp;"","")</f>
        <v/>
      </c>
      <c r="H293" s="91">
        <f>IFERROR(INDEX(Firms!$T$5:$T$1004,MATCH(289,Firms!$U$5:$U$1004,0))&amp;"","")</f>
        <v/>
      </c>
    </row>
    <row r="294">
      <c r="A294" s="79">
        <f>IF(B294="","",290)</f>
        <v/>
      </c>
      <c r="B294" s="91">
        <f>IFERROR(INDEX(Firms!$A$5:$A$1004,MATCH(290,Firms!$U$5:$U$1004,0))&amp;"","")</f>
        <v/>
      </c>
      <c r="C294" s="88">
        <f>IFERROR(IF(INDEX(Firms!$R$5:$R$1004,MATCH(290,Firms!$U$5:$U$1004,0))="","",INDEX(Firms!$R$5:$R$1004,MATCH(290,Firms!$U$5:$U$1004,0))),"")</f>
        <v/>
      </c>
      <c r="D294" s="91">
        <f>IFERROR(INDEX(Firms!$S$5:$S$1004,MATCH(290,Firms!$U$5:$U$1004,0))&amp;"","")</f>
        <v/>
      </c>
      <c r="E294" s="91">
        <f>IFERROR(INDEX(Firms!$C$5:$C$1004,MATCH(290,Firms!$U$5:$U$1004,0))&amp;"","")</f>
        <v/>
      </c>
      <c r="F294" s="79">
        <f>IFERROR(INDEX(Firms!$N$5:$N$1004,MATCH(290,Firms!$U$5:$U$1004,0))&amp;"","")</f>
        <v/>
      </c>
      <c r="G294" s="79">
        <f>IFERROR(INDEX(Firms!$P$5:$P$1004,MATCH(290,Firms!$U$5:$U$1004,0))&amp;"","")</f>
        <v/>
      </c>
      <c r="H294" s="91">
        <f>IFERROR(INDEX(Firms!$T$5:$T$1004,MATCH(290,Firms!$U$5:$U$1004,0))&amp;"","")</f>
        <v/>
      </c>
    </row>
    <row r="295">
      <c r="A295" s="79">
        <f>IF(B295="","",291)</f>
        <v/>
      </c>
      <c r="B295" s="91">
        <f>IFERROR(INDEX(Firms!$A$5:$A$1004,MATCH(291,Firms!$U$5:$U$1004,0))&amp;"","")</f>
        <v/>
      </c>
      <c r="C295" s="88">
        <f>IFERROR(IF(INDEX(Firms!$R$5:$R$1004,MATCH(291,Firms!$U$5:$U$1004,0))="","",INDEX(Firms!$R$5:$R$1004,MATCH(291,Firms!$U$5:$U$1004,0))),"")</f>
        <v/>
      </c>
      <c r="D295" s="91">
        <f>IFERROR(INDEX(Firms!$S$5:$S$1004,MATCH(291,Firms!$U$5:$U$1004,0))&amp;"","")</f>
        <v/>
      </c>
      <c r="E295" s="91">
        <f>IFERROR(INDEX(Firms!$C$5:$C$1004,MATCH(291,Firms!$U$5:$U$1004,0))&amp;"","")</f>
        <v/>
      </c>
      <c r="F295" s="79">
        <f>IFERROR(INDEX(Firms!$N$5:$N$1004,MATCH(291,Firms!$U$5:$U$1004,0))&amp;"","")</f>
        <v/>
      </c>
      <c r="G295" s="79">
        <f>IFERROR(INDEX(Firms!$P$5:$P$1004,MATCH(291,Firms!$U$5:$U$1004,0))&amp;"","")</f>
        <v/>
      </c>
      <c r="H295" s="91">
        <f>IFERROR(INDEX(Firms!$T$5:$T$1004,MATCH(291,Firms!$U$5:$U$1004,0))&amp;"","")</f>
        <v/>
      </c>
    </row>
    <row r="296">
      <c r="A296" s="79">
        <f>IF(B296="","",292)</f>
        <v/>
      </c>
      <c r="B296" s="91">
        <f>IFERROR(INDEX(Firms!$A$5:$A$1004,MATCH(292,Firms!$U$5:$U$1004,0))&amp;"","")</f>
        <v/>
      </c>
      <c r="C296" s="88">
        <f>IFERROR(IF(INDEX(Firms!$R$5:$R$1004,MATCH(292,Firms!$U$5:$U$1004,0))="","",INDEX(Firms!$R$5:$R$1004,MATCH(292,Firms!$U$5:$U$1004,0))),"")</f>
        <v/>
      </c>
      <c r="D296" s="91">
        <f>IFERROR(INDEX(Firms!$S$5:$S$1004,MATCH(292,Firms!$U$5:$U$1004,0))&amp;"","")</f>
        <v/>
      </c>
      <c r="E296" s="91">
        <f>IFERROR(INDEX(Firms!$C$5:$C$1004,MATCH(292,Firms!$U$5:$U$1004,0))&amp;"","")</f>
        <v/>
      </c>
      <c r="F296" s="79">
        <f>IFERROR(INDEX(Firms!$N$5:$N$1004,MATCH(292,Firms!$U$5:$U$1004,0))&amp;"","")</f>
        <v/>
      </c>
      <c r="G296" s="79">
        <f>IFERROR(INDEX(Firms!$P$5:$P$1004,MATCH(292,Firms!$U$5:$U$1004,0))&amp;"","")</f>
        <v/>
      </c>
      <c r="H296" s="91">
        <f>IFERROR(INDEX(Firms!$T$5:$T$1004,MATCH(292,Firms!$U$5:$U$1004,0))&amp;"","")</f>
        <v/>
      </c>
    </row>
    <row r="297">
      <c r="A297" s="79">
        <f>IF(B297="","",293)</f>
        <v/>
      </c>
      <c r="B297" s="91">
        <f>IFERROR(INDEX(Firms!$A$5:$A$1004,MATCH(293,Firms!$U$5:$U$1004,0))&amp;"","")</f>
        <v/>
      </c>
      <c r="C297" s="88">
        <f>IFERROR(IF(INDEX(Firms!$R$5:$R$1004,MATCH(293,Firms!$U$5:$U$1004,0))="","",INDEX(Firms!$R$5:$R$1004,MATCH(293,Firms!$U$5:$U$1004,0))),"")</f>
        <v/>
      </c>
      <c r="D297" s="91">
        <f>IFERROR(INDEX(Firms!$S$5:$S$1004,MATCH(293,Firms!$U$5:$U$1004,0))&amp;"","")</f>
        <v/>
      </c>
      <c r="E297" s="91">
        <f>IFERROR(INDEX(Firms!$C$5:$C$1004,MATCH(293,Firms!$U$5:$U$1004,0))&amp;"","")</f>
        <v/>
      </c>
      <c r="F297" s="79">
        <f>IFERROR(INDEX(Firms!$N$5:$N$1004,MATCH(293,Firms!$U$5:$U$1004,0))&amp;"","")</f>
        <v/>
      </c>
      <c r="G297" s="79">
        <f>IFERROR(INDEX(Firms!$P$5:$P$1004,MATCH(293,Firms!$U$5:$U$1004,0))&amp;"","")</f>
        <v/>
      </c>
      <c r="H297" s="91">
        <f>IFERROR(INDEX(Firms!$T$5:$T$1004,MATCH(293,Firms!$U$5:$U$1004,0))&amp;"","")</f>
        <v/>
      </c>
    </row>
    <row r="298">
      <c r="A298" s="79">
        <f>IF(B298="","",294)</f>
        <v/>
      </c>
      <c r="B298" s="91">
        <f>IFERROR(INDEX(Firms!$A$5:$A$1004,MATCH(294,Firms!$U$5:$U$1004,0))&amp;"","")</f>
        <v/>
      </c>
      <c r="C298" s="88">
        <f>IFERROR(IF(INDEX(Firms!$R$5:$R$1004,MATCH(294,Firms!$U$5:$U$1004,0))="","",INDEX(Firms!$R$5:$R$1004,MATCH(294,Firms!$U$5:$U$1004,0))),"")</f>
        <v/>
      </c>
      <c r="D298" s="91">
        <f>IFERROR(INDEX(Firms!$S$5:$S$1004,MATCH(294,Firms!$U$5:$U$1004,0))&amp;"","")</f>
        <v/>
      </c>
      <c r="E298" s="91">
        <f>IFERROR(INDEX(Firms!$C$5:$C$1004,MATCH(294,Firms!$U$5:$U$1004,0))&amp;"","")</f>
        <v/>
      </c>
      <c r="F298" s="79">
        <f>IFERROR(INDEX(Firms!$N$5:$N$1004,MATCH(294,Firms!$U$5:$U$1004,0))&amp;"","")</f>
        <v/>
      </c>
      <c r="G298" s="79">
        <f>IFERROR(INDEX(Firms!$P$5:$P$1004,MATCH(294,Firms!$U$5:$U$1004,0))&amp;"","")</f>
        <v/>
      </c>
      <c r="H298" s="91">
        <f>IFERROR(INDEX(Firms!$T$5:$T$1004,MATCH(294,Firms!$U$5:$U$1004,0))&amp;"","")</f>
        <v/>
      </c>
    </row>
    <row r="299">
      <c r="A299" s="79">
        <f>IF(B299="","",295)</f>
        <v/>
      </c>
      <c r="B299" s="91">
        <f>IFERROR(INDEX(Firms!$A$5:$A$1004,MATCH(295,Firms!$U$5:$U$1004,0))&amp;"","")</f>
        <v/>
      </c>
      <c r="C299" s="88">
        <f>IFERROR(IF(INDEX(Firms!$R$5:$R$1004,MATCH(295,Firms!$U$5:$U$1004,0))="","",INDEX(Firms!$R$5:$R$1004,MATCH(295,Firms!$U$5:$U$1004,0))),"")</f>
        <v/>
      </c>
      <c r="D299" s="91">
        <f>IFERROR(INDEX(Firms!$S$5:$S$1004,MATCH(295,Firms!$U$5:$U$1004,0))&amp;"","")</f>
        <v/>
      </c>
      <c r="E299" s="91">
        <f>IFERROR(INDEX(Firms!$C$5:$C$1004,MATCH(295,Firms!$U$5:$U$1004,0))&amp;"","")</f>
        <v/>
      </c>
      <c r="F299" s="79">
        <f>IFERROR(INDEX(Firms!$N$5:$N$1004,MATCH(295,Firms!$U$5:$U$1004,0))&amp;"","")</f>
        <v/>
      </c>
      <c r="G299" s="79">
        <f>IFERROR(INDEX(Firms!$P$5:$P$1004,MATCH(295,Firms!$U$5:$U$1004,0))&amp;"","")</f>
        <v/>
      </c>
      <c r="H299" s="91">
        <f>IFERROR(INDEX(Firms!$T$5:$T$1004,MATCH(295,Firms!$U$5:$U$1004,0))&amp;"","")</f>
        <v/>
      </c>
    </row>
    <row r="300">
      <c r="A300" s="79">
        <f>IF(B300="","",296)</f>
        <v/>
      </c>
      <c r="B300" s="91">
        <f>IFERROR(INDEX(Firms!$A$5:$A$1004,MATCH(296,Firms!$U$5:$U$1004,0))&amp;"","")</f>
        <v/>
      </c>
      <c r="C300" s="88">
        <f>IFERROR(IF(INDEX(Firms!$R$5:$R$1004,MATCH(296,Firms!$U$5:$U$1004,0))="","",INDEX(Firms!$R$5:$R$1004,MATCH(296,Firms!$U$5:$U$1004,0))),"")</f>
        <v/>
      </c>
      <c r="D300" s="91">
        <f>IFERROR(INDEX(Firms!$S$5:$S$1004,MATCH(296,Firms!$U$5:$U$1004,0))&amp;"","")</f>
        <v/>
      </c>
      <c r="E300" s="91">
        <f>IFERROR(INDEX(Firms!$C$5:$C$1004,MATCH(296,Firms!$U$5:$U$1004,0))&amp;"","")</f>
        <v/>
      </c>
      <c r="F300" s="79">
        <f>IFERROR(INDEX(Firms!$N$5:$N$1004,MATCH(296,Firms!$U$5:$U$1004,0))&amp;"","")</f>
        <v/>
      </c>
      <c r="G300" s="79">
        <f>IFERROR(INDEX(Firms!$P$5:$P$1004,MATCH(296,Firms!$U$5:$U$1004,0))&amp;"","")</f>
        <v/>
      </c>
      <c r="H300" s="91">
        <f>IFERROR(INDEX(Firms!$T$5:$T$1004,MATCH(296,Firms!$U$5:$U$1004,0))&amp;"","")</f>
        <v/>
      </c>
    </row>
    <row r="301">
      <c r="A301" s="79">
        <f>IF(B301="","",297)</f>
        <v/>
      </c>
      <c r="B301" s="91">
        <f>IFERROR(INDEX(Firms!$A$5:$A$1004,MATCH(297,Firms!$U$5:$U$1004,0))&amp;"","")</f>
        <v/>
      </c>
      <c r="C301" s="88">
        <f>IFERROR(IF(INDEX(Firms!$R$5:$R$1004,MATCH(297,Firms!$U$5:$U$1004,0))="","",INDEX(Firms!$R$5:$R$1004,MATCH(297,Firms!$U$5:$U$1004,0))),"")</f>
        <v/>
      </c>
      <c r="D301" s="91">
        <f>IFERROR(INDEX(Firms!$S$5:$S$1004,MATCH(297,Firms!$U$5:$U$1004,0))&amp;"","")</f>
        <v/>
      </c>
      <c r="E301" s="91">
        <f>IFERROR(INDEX(Firms!$C$5:$C$1004,MATCH(297,Firms!$U$5:$U$1004,0))&amp;"","")</f>
        <v/>
      </c>
      <c r="F301" s="79">
        <f>IFERROR(INDEX(Firms!$N$5:$N$1004,MATCH(297,Firms!$U$5:$U$1004,0))&amp;"","")</f>
        <v/>
      </c>
      <c r="G301" s="79">
        <f>IFERROR(INDEX(Firms!$P$5:$P$1004,MATCH(297,Firms!$U$5:$U$1004,0))&amp;"","")</f>
        <v/>
      </c>
      <c r="H301" s="91">
        <f>IFERROR(INDEX(Firms!$T$5:$T$1004,MATCH(297,Firms!$U$5:$U$1004,0))&amp;"","")</f>
        <v/>
      </c>
    </row>
    <row r="302">
      <c r="A302" s="79">
        <f>IF(B302="","",298)</f>
        <v/>
      </c>
      <c r="B302" s="91">
        <f>IFERROR(INDEX(Firms!$A$5:$A$1004,MATCH(298,Firms!$U$5:$U$1004,0))&amp;"","")</f>
        <v/>
      </c>
      <c r="C302" s="88">
        <f>IFERROR(IF(INDEX(Firms!$R$5:$R$1004,MATCH(298,Firms!$U$5:$U$1004,0))="","",INDEX(Firms!$R$5:$R$1004,MATCH(298,Firms!$U$5:$U$1004,0))),"")</f>
        <v/>
      </c>
      <c r="D302" s="91">
        <f>IFERROR(INDEX(Firms!$S$5:$S$1004,MATCH(298,Firms!$U$5:$U$1004,0))&amp;"","")</f>
        <v/>
      </c>
      <c r="E302" s="91">
        <f>IFERROR(INDEX(Firms!$C$5:$C$1004,MATCH(298,Firms!$U$5:$U$1004,0))&amp;"","")</f>
        <v/>
      </c>
      <c r="F302" s="79">
        <f>IFERROR(INDEX(Firms!$N$5:$N$1004,MATCH(298,Firms!$U$5:$U$1004,0))&amp;"","")</f>
        <v/>
      </c>
      <c r="G302" s="79">
        <f>IFERROR(INDEX(Firms!$P$5:$P$1004,MATCH(298,Firms!$U$5:$U$1004,0))&amp;"","")</f>
        <v/>
      </c>
      <c r="H302" s="91">
        <f>IFERROR(INDEX(Firms!$T$5:$T$1004,MATCH(298,Firms!$U$5:$U$1004,0))&amp;"","")</f>
        <v/>
      </c>
    </row>
    <row r="303">
      <c r="A303" s="79">
        <f>IF(B303="","",299)</f>
        <v/>
      </c>
      <c r="B303" s="91">
        <f>IFERROR(INDEX(Firms!$A$5:$A$1004,MATCH(299,Firms!$U$5:$U$1004,0))&amp;"","")</f>
        <v/>
      </c>
      <c r="C303" s="88">
        <f>IFERROR(IF(INDEX(Firms!$R$5:$R$1004,MATCH(299,Firms!$U$5:$U$1004,0))="","",INDEX(Firms!$R$5:$R$1004,MATCH(299,Firms!$U$5:$U$1004,0))),"")</f>
        <v/>
      </c>
      <c r="D303" s="91">
        <f>IFERROR(INDEX(Firms!$S$5:$S$1004,MATCH(299,Firms!$U$5:$U$1004,0))&amp;"","")</f>
        <v/>
      </c>
      <c r="E303" s="91">
        <f>IFERROR(INDEX(Firms!$C$5:$C$1004,MATCH(299,Firms!$U$5:$U$1004,0))&amp;"","")</f>
        <v/>
      </c>
      <c r="F303" s="79">
        <f>IFERROR(INDEX(Firms!$N$5:$N$1004,MATCH(299,Firms!$U$5:$U$1004,0))&amp;"","")</f>
        <v/>
      </c>
      <c r="G303" s="79">
        <f>IFERROR(INDEX(Firms!$P$5:$P$1004,MATCH(299,Firms!$U$5:$U$1004,0))&amp;"","")</f>
        <v/>
      </c>
      <c r="H303" s="91">
        <f>IFERROR(INDEX(Firms!$T$5:$T$1004,MATCH(299,Firms!$U$5:$U$1004,0))&amp;"","")</f>
        <v/>
      </c>
    </row>
    <row r="304">
      <c r="A304" s="79">
        <f>IF(B304="","",300)</f>
        <v/>
      </c>
      <c r="B304" s="91">
        <f>IFERROR(INDEX(Firms!$A$5:$A$1004,MATCH(300,Firms!$U$5:$U$1004,0))&amp;"","")</f>
        <v/>
      </c>
      <c r="C304" s="88">
        <f>IFERROR(IF(INDEX(Firms!$R$5:$R$1004,MATCH(300,Firms!$U$5:$U$1004,0))="","",INDEX(Firms!$R$5:$R$1004,MATCH(300,Firms!$U$5:$U$1004,0))),"")</f>
        <v/>
      </c>
      <c r="D304" s="91">
        <f>IFERROR(INDEX(Firms!$S$5:$S$1004,MATCH(300,Firms!$U$5:$U$1004,0))&amp;"","")</f>
        <v/>
      </c>
      <c r="E304" s="91">
        <f>IFERROR(INDEX(Firms!$C$5:$C$1004,MATCH(300,Firms!$U$5:$U$1004,0))&amp;"","")</f>
        <v/>
      </c>
      <c r="F304" s="79">
        <f>IFERROR(INDEX(Firms!$N$5:$N$1004,MATCH(300,Firms!$U$5:$U$1004,0))&amp;"","")</f>
        <v/>
      </c>
      <c r="G304" s="79">
        <f>IFERROR(INDEX(Firms!$P$5:$P$1004,MATCH(300,Firms!$U$5:$U$1004,0))&amp;"","")</f>
        <v/>
      </c>
      <c r="H304" s="91">
        <f>IFERROR(INDEX(Firms!$T$5:$T$1004,MATCH(300,Firms!$U$5:$U$1004,0))&amp;"","")</f>
        <v/>
      </c>
    </row>
    <row r="305">
      <c r="A305" s="79">
        <f>IF(B305="","",301)</f>
        <v/>
      </c>
      <c r="B305" s="91">
        <f>IFERROR(INDEX(Firms!$A$5:$A$1004,MATCH(301,Firms!$U$5:$U$1004,0))&amp;"","")</f>
        <v/>
      </c>
      <c r="C305" s="88">
        <f>IFERROR(IF(INDEX(Firms!$R$5:$R$1004,MATCH(301,Firms!$U$5:$U$1004,0))="","",INDEX(Firms!$R$5:$R$1004,MATCH(301,Firms!$U$5:$U$1004,0))),"")</f>
        <v/>
      </c>
      <c r="D305" s="91">
        <f>IFERROR(INDEX(Firms!$S$5:$S$1004,MATCH(301,Firms!$U$5:$U$1004,0))&amp;"","")</f>
        <v/>
      </c>
      <c r="E305" s="91">
        <f>IFERROR(INDEX(Firms!$C$5:$C$1004,MATCH(301,Firms!$U$5:$U$1004,0))&amp;"","")</f>
        <v/>
      </c>
      <c r="F305" s="79">
        <f>IFERROR(INDEX(Firms!$N$5:$N$1004,MATCH(301,Firms!$U$5:$U$1004,0))&amp;"","")</f>
        <v/>
      </c>
      <c r="G305" s="79">
        <f>IFERROR(INDEX(Firms!$P$5:$P$1004,MATCH(301,Firms!$U$5:$U$1004,0))&amp;"","")</f>
        <v/>
      </c>
      <c r="H305" s="91">
        <f>IFERROR(INDEX(Firms!$T$5:$T$1004,MATCH(301,Firms!$U$5:$U$1004,0))&amp;"","")</f>
        <v/>
      </c>
    </row>
    <row r="306">
      <c r="A306" s="79">
        <f>IF(B306="","",302)</f>
        <v/>
      </c>
      <c r="B306" s="91">
        <f>IFERROR(INDEX(Firms!$A$5:$A$1004,MATCH(302,Firms!$U$5:$U$1004,0))&amp;"","")</f>
        <v/>
      </c>
      <c r="C306" s="88">
        <f>IFERROR(IF(INDEX(Firms!$R$5:$R$1004,MATCH(302,Firms!$U$5:$U$1004,0))="","",INDEX(Firms!$R$5:$R$1004,MATCH(302,Firms!$U$5:$U$1004,0))),"")</f>
        <v/>
      </c>
      <c r="D306" s="91">
        <f>IFERROR(INDEX(Firms!$S$5:$S$1004,MATCH(302,Firms!$U$5:$U$1004,0))&amp;"","")</f>
        <v/>
      </c>
      <c r="E306" s="91">
        <f>IFERROR(INDEX(Firms!$C$5:$C$1004,MATCH(302,Firms!$U$5:$U$1004,0))&amp;"","")</f>
        <v/>
      </c>
      <c r="F306" s="79">
        <f>IFERROR(INDEX(Firms!$N$5:$N$1004,MATCH(302,Firms!$U$5:$U$1004,0))&amp;"","")</f>
        <v/>
      </c>
      <c r="G306" s="79">
        <f>IFERROR(INDEX(Firms!$P$5:$P$1004,MATCH(302,Firms!$U$5:$U$1004,0))&amp;"","")</f>
        <v/>
      </c>
      <c r="H306" s="91">
        <f>IFERROR(INDEX(Firms!$T$5:$T$1004,MATCH(302,Firms!$U$5:$U$1004,0))&amp;"","")</f>
        <v/>
      </c>
    </row>
    <row r="307">
      <c r="A307" s="79">
        <f>IF(B307="","",303)</f>
        <v/>
      </c>
      <c r="B307" s="91">
        <f>IFERROR(INDEX(Firms!$A$5:$A$1004,MATCH(303,Firms!$U$5:$U$1004,0))&amp;"","")</f>
        <v/>
      </c>
      <c r="C307" s="88">
        <f>IFERROR(IF(INDEX(Firms!$R$5:$R$1004,MATCH(303,Firms!$U$5:$U$1004,0))="","",INDEX(Firms!$R$5:$R$1004,MATCH(303,Firms!$U$5:$U$1004,0))),"")</f>
        <v/>
      </c>
      <c r="D307" s="91">
        <f>IFERROR(INDEX(Firms!$S$5:$S$1004,MATCH(303,Firms!$U$5:$U$1004,0))&amp;"","")</f>
        <v/>
      </c>
      <c r="E307" s="91">
        <f>IFERROR(INDEX(Firms!$C$5:$C$1004,MATCH(303,Firms!$U$5:$U$1004,0))&amp;"","")</f>
        <v/>
      </c>
      <c r="F307" s="79">
        <f>IFERROR(INDEX(Firms!$N$5:$N$1004,MATCH(303,Firms!$U$5:$U$1004,0))&amp;"","")</f>
        <v/>
      </c>
      <c r="G307" s="79">
        <f>IFERROR(INDEX(Firms!$P$5:$P$1004,MATCH(303,Firms!$U$5:$U$1004,0))&amp;"","")</f>
        <v/>
      </c>
      <c r="H307" s="91">
        <f>IFERROR(INDEX(Firms!$T$5:$T$1004,MATCH(303,Firms!$U$5:$U$1004,0))&amp;"","")</f>
        <v/>
      </c>
    </row>
    <row r="308">
      <c r="A308" s="79">
        <f>IF(B308="","",304)</f>
        <v/>
      </c>
      <c r="B308" s="91">
        <f>IFERROR(INDEX(Firms!$A$5:$A$1004,MATCH(304,Firms!$U$5:$U$1004,0))&amp;"","")</f>
        <v/>
      </c>
      <c r="C308" s="88">
        <f>IFERROR(IF(INDEX(Firms!$R$5:$R$1004,MATCH(304,Firms!$U$5:$U$1004,0))="","",INDEX(Firms!$R$5:$R$1004,MATCH(304,Firms!$U$5:$U$1004,0))),"")</f>
        <v/>
      </c>
      <c r="D308" s="91">
        <f>IFERROR(INDEX(Firms!$S$5:$S$1004,MATCH(304,Firms!$U$5:$U$1004,0))&amp;"","")</f>
        <v/>
      </c>
      <c r="E308" s="91">
        <f>IFERROR(INDEX(Firms!$C$5:$C$1004,MATCH(304,Firms!$U$5:$U$1004,0))&amp;"","")</f>
        <v/>
      </c>
      <c r="F308" s="79">
        <f>IFERROR(INDEX(Firms!$N$5:$N$1004,MATCH(304,Firms!$U$5:$U$1004,0))&amp;"","")</f>
        <v/>
      </c>
      <c r="G308" s="79">
        <f>IFERROR(INDEX(Firms!$P$5:$P$1004,MATCH(304,Firms!$U$5:$U$1004,0))&amp;"","")</f>
        <v/>
      </c>
      <c r="H308" s="91">
        <f>IFERROR(INDEX(Firms!$T$5:$T$1004,MATCH(304,Firms!$U$5:$U$1004,0))&amp;"","")</f>
        <v/>
      </c>
    </row>
    <row r="309">
      <c r="A309" s="79">
        <f>IF(B309="","",305)</f>
        <v/>
      </c>
      <c r="B309" s="91">
        <f>IFERROR(INDEX(Firms!$A$5:$A$1004,MATCH(305,Firms!$U$5:$U$1004,0))&amp;"","")</f>
        <v/>
      </c>
      <c r="C309" s="88">
        <f>IFERROR(IF(INDEX(Firms!$R$5:$R$1004,MATCH(305,Firms!$U$5:$U$1004,0))="","",INDEX(Firms!$R$5:$R$1004,MATCH(305,Firms!$U$5:$U$1004,0))),"")</f>
        <v/>
      </c>
      <c r="D309" s="91">
        <f>IFERROR(INDEX(Firms!$S$5:$S$1004,MATCH(305,Firms!$U$5:$U$1004,0))&amp;"","")</f>
        <v/>
      </c>
      <c r="E309" s="91">
        <f>IFERROR(INDEX(Firms!$C$5:$C$1004,MATCH(305,Firms!$U$5:$U$1004,0))&amp;"","")</f>
        <v/>
      </c>
      <c r="F309" s="79">
        <f>IFERROR(INDEX(Firms!$N$5:$N$1004,MATCH(305,Firms!$U$5:$U$1004,0))&amp;"","")</f>
        <v/>
      </c>
      <c r="G309" s="79">
        <f>IFERROR(INDEX(Firms!$P$5:$P$1004,MATCH(305,Firms!$U$5:$U$1004,0))&amp;"","")</f>
        <v/>
      </c>
      <c r="H309" s="91">
        <f>IFERROR(INDEX(Firms!$T$5:$T$1004,MATCH(305,Firms!$U$5:$U$1004,0))&amp;"","")</f>
        <v/>
      </c>
    </row>
    <row r="310">
      <c r="A310" s="79">
        <f>IF(B310="","",306)</f>
        <v/>
      </c>
      <c r="B310" s="91">
        <f>IFERROR(INDEX(Firms!$A$5:$A$1004,MATCH(306,Firms!$U$5:$U$1004,0))&amp;"","")</f>
        <v/>
      </c>
      <c r="C310" s="88">
        <f>IFERROR(IF(INDEX(Firms!$R$5:$R$1004,MATCH(306,Firms!$U$5:$U$1004,0))="","",INDEX(Firms!$R$5:$R$1004,MATCH(306,Firms!$U$5:$U$1004,0))),"")</f>
        <v/>
      </c>
      <c r="D310" s="91">
        <f>IFERROR(INDEX(Firms!$S$5:$S$1004,MATCH(306,Firms!$U$5:$U$1004,0))&amp;"","")</f>
        <v/>
      </c>
      <c r="E310" s="91">
        <f>IFERROR(INDEX(Firms!$C$5:$C$1004,MATCH(306,Firms!$U$5:$U$1004,0))&amp;"","")</f>
        <v/>
      </c>
      <c r="F310" s="79">
        <f>IFERROR(INDEX(Firms!$N$5:$N$1004,MATCH(306,Firms!$U$5:$U$1004,0))&amp;"","")</f>
        <v/>
      </c>
      <c r="G310" s="79">
        <f>IFERROR(INDEX(Firms!$P$5:$P$1004,MATCH(306,Firms!$U$5:$U$1004,0))&amp;"","")</f>
        <v/>
      </c>
      <c r="H310" s="91">
        <f>IFERROR(INDEX(Firms!$T$5:$T$1004,MATCH(306,Firms!$U$5:$U$1004,0))&amp;"","")</f>
        <v/>
      </c>
    </row>
    <row r="311">
      <c r="A311" s="79">
        <f>IF(B311="","",307)</f>
        <v/>
      </c>
      <c r="B311" s="91">
        <f>IFERROR(INDEX(Firms!$A$5:$A$1004,MATCH(307,Firms!$U$5:$U$1004,0))&amp;"","")</f>
        <v/>
      </c>
      <c r="C311" s="88">
        <f>IFERROR(IF(INDEX(Firms!$R$5:$R$1004,MATCH(307,Firms!$U$5:$U$1004,0))="","",INDEX(Firms!$R$5:$R$1004,MATCH(307,Firms!$U$5:$U$1004,0))),"")</f>
        <v/>
      </c>
      <c r="D311" s="91">
        <f>IFERROR(INDEX(Firms!$S$5:$S$1004,MATCH(307,Firms!$U$5:$U$1004,0))&amp;"","")</f>
        <v/>
      </c>
      <c r="E311" s="91">
        <f>IFERROR(INDEX(Firms!$C$5:$C$1004,MATCH(307,Firms!$U$5:$U$1004,0))&amp;"","")</f>
        <v/>
      </c>
      <c r="F311" s="79">
        <f>IFERROR(INDEX(Firms!$N$5:$N$1004,MATCH(307,Firms!$U$5:$U$1004,0))&amp;"","")</f>
        <v/>
      </c>
      <c r="G311" s="79">
        <f>IFERROR(INDEX(Firms!$P$5:$P$1004,MATCH(307,Firms!$U$5:$U$1004,0))&amp;"","")</f>
        <v/>
      </c>
      <c r="H311" s="91">
        <f>IFERROR(INDEX(Firms!$T$5:$T$1004,MATCH(307,Firms!$U$5:$U$1004,0))&amp;"","")</f>
        <v/>
      </c>
    </row>
    <row r="312">
      <c r="A312" s="79">
        <f>IF(B312="","",308)</f>
        <v/>
      </c>
      <c r="B312" s="91">
        <f>IFERROR(INDEX(Firms!$A$5:$A$1004,MATCH(308,Firms!$U$5:$U$1004,0))&amp;"","")</f>
        <v/>
      </c>
      <c r="C312" s="88">
        <f>IFERROR(IF(INDEX(Firms!$R$5:$R$1004,MATCH(308,Firms!$U$5:$U$1004,0))="","",INDEX(Firms!$R$5:$R$1004,MATCH(308,Firms!$U$5:$U$1004,0))),"")</f>
        <v/>
      </c>
      <c r="D312" s="91">
        <f>IFERROR(INDEX(Firms!$S$5:$S$1004,MATCH(308,Firms!$U$5:$U$1004,0))&amp;"","")</f>
        <v/>
      </c>
      <c r="E312" s="91">
        <f>IFERROR(INDEX(Firms!$C$5:$C$1004,MATCH(308,Firms!$U$5:$U$1004,0))&amp;"","")</f>
        <v/>
      </c>
      <c r="F312" s="79">
        <f>IFERROR(INDEX(Firms!$N$5:$N$1004,MATCH(308,Firms!$U$5:$U$1004,0))&amp;"","")</f>
        <v/>
      </c>
      <c r="G312" s="79">
        <f>IFERROR(INDEX(Firms!$P$5:$P$1004,MATCH(308,Firms!$U$5:$U$1004,0))&amp;"","")</f>
        <v/>
      </c>
      <c r="H312" s="91">
        <f>IFERROR(INDEX(Firms!$T$5:$T$1004,MATCH(308,Firms!$U$5:$U$1004,0))&amp;"","")</f>
        <v/>
      </c>
    </row>
    <row r="313">
      <c r="A313" s="79">
        <f>IF(B313="","",309)</f>
        <v/>
      </c>
      <c r="B313" s="91">
        <f>IFERROR(INDEX(Firms!$A$5:$A$1004,MATCH(309,Firms!$U$5:$U$1004,0))&amp;"","")</f>
        <v/>
      </c>
      <c r="C313" s="88">
        <f>IFERROR(IF(INDEX(Firms!$R$5:$R$1004,MATCH(309,Firms!$U$5:$U$1004,0))="","",INDEX(Firms!$R$5:$R$1004,MATCH(309,Firms!$U$5:$U$1004,0))),"")</f>
        <v/>
      </c>
      <c r="D313" s="91">
        <f>IFERROR(INDEX(Firms!$S$5:$S$1004,MATCH(309,Firms!$U$5:$U$1004,0))&amp;"","")</f>
        <v/>
      </c>
      <c r="E313" s="91">
        <f>IFERROR(INDEX(Firms!$C$5:$C$1004,MATCH(309,Firms!$U$5:$U$1004,0))&amp;"","")</f>
        <v/>
      </c>
      <c r="F313" s="79">
        <f>IFERROR(INDEX(Firms!$N$5:$N$1004,MATCH(309,Firms!$U$5:$U$1004,0))&amp;"","")</f>
        <v/>
      </c>
      <c r="G313" s="79">
        <f>IFERROR(INDEX(Firms!$P$5:$P$1004,MATCH(309,Firms!$U$5:$U$1004,0))&amp;"","")</f>
        <v/>
      </c>
      <c r="H313" s="91">
        <f>IFERROR(INDEX(Firms!$T$5:$T$1004,MATCH(309,Firms!$U$5:$U$1004,0))&amp;"","")</f>
        <v/>
      </c>
    </row>
    <row r="314">
      <c r="A314" s="79">
        <f>IF(B314="","",310)</f>
        <v/>
      </c>
      <c r="B314" s="91">
        <f>IFERROR(INDEX(Firms!$A$5:$A$1004,MATCH(310,Firms!$U$5:$U$1004,0))&amp;"","")</f>
        <v/>
      </c>
      <c r="C314" s="88">
        <f>IFERROR(IF(INDEX(Firms!$R$5:$R$1004,MATCH(310,Firms!$U$5:$U$1004,0))="","",INDEX(Firms!$R$5:$R$1004,MATCH(310,Firms!$U$5:$U$1004,0))),"")</f>
        <v/>
      </c>
      <c r="D314" s="91">
        <f>IFERROR(INDEX(Firms!$S$5:$S$1004,MATCH(310,Firms!$U$5:$U$1004,0))&amp;"","")</f>
        <v/>
      </c>
      <c r="E314" s="91">
        <f>IFERROR(INDEX(Firms!$C$5:$C$1004,MATCH(310,Firms!$U$5:$U$1004,0))&amp;"","")</f>
        <v/>
      </c>
      <c r="F314" s="79">
        <f>IFERROR(INDEX(Firms!$N$5:$N$1004,MATCH(310,Firms!$U$5:$U$1004,0))&amp;"","")</f>
        <v/>
      </c>
      <c r="G314" s="79">
        <f>IFERROR(INDEX(Firms!$P$5:$P$1004,MATCH(310,Firms!$U$5:$U$1004,0))&amp;"","")</f>
        <v/>
      </c>
      <c r="H314" s="91">
        <f>IFERROR(INDEX(Firms!$T$5:$T$1004,MATCH(310,Firms!$U$5:$U$1004,0))&amp;"","")</f>
        <v/>
      </c>
    </row>
    <row r="315">
      <c r="A315" s="79">
        <f>IF(B315="","",311)</f>
        <v/>
      </c>
      <c r="B315" s="91">
        <f>IFERROR(INDEX(Firms!$A$5:$A$1004,MATCH(311,Firms!$U$5:$U$1004,0))&amp;"","")</f>
        <v/>
      </c>
      <c r="C315" s="88">
        <f>IFERROR(IF(INDEX(Firms!$R$5:$R$1004,MATCH(311,Firms!$U$5:$U$1004,0))="","",INDEX(Firms!$R$5:$R$1004,MATCH(311,Firms!$U$5:$U$1004,0))),"")</f>
        <v/>
      </c>
      <c r="D315" s="91">
        <f>IFERROR(INDEX(Firms!$S$5:$S$1004,MATCH(311,Firms!$U$5:$U$1004,0))&amp;"","")</f>
        <v/>
      </c>
      <c r="E315" s="91">
        <f>IFERROR(INDEX(Firms!$C$5:$C$1004,MATCH(311,Firms!$U$5:$U$1004,0))&amp;"","")</f>
        <v/>
      </c>
      <c r="F315" s="79">
        <f>IFERROR(INDEX(Firms!$N$5:$N$1004,MATCH(311,Firms!$U$5:$U$1004,0))&amp;"","")</f>
        <v/>
      </c>
      <c r="G315" s="79">
        <f>IFERROR(INDEX(Firms!$P$5:$P$1004,MATCH(311,Firms!$U$5:$U$1004,0))&amp;"","")</f>
        <v/>
      </c>
      <c r="H315" s="91">
        <f>IFERROR(INDEX(Firms!$T$5:$T$1004,MATCH(311,Firms!$U$5:$U$1004,0))&amp;"","")</f>
        <v/>
      </c>
    </row>
    <row r="316">
      <c r="A316" s="79">
        <f>IF(B316="","",312)</f>
        <v/>
      </c>
      <c r="B316" s="91">
        <f>IFERROR(INDEX(Firms!$A$5:$A$1004,MATCH(312,Firms!$U$5:$U$1004,0))&amp;"","")</f>
        <v/>
      </c>
      <c r="C316" s="88">
        <f>IFERROR(IF(INDEX(Firms!$R$5:$R$1004,MATCH(312,Firms!$U$5:$U$1004,0))="","",INDEX(Firms!$R$5:$R$1004,MATCH(312,Firms!$U$5:$U$1004,0))),"")</f>
        <v/>
      </c>
      <c r="D316" s="91">
        <f>IFERROR(INDEX(Firms!$S$5:$S$1004,MATCH(312,Firms!$U$5:$U$1004,0))&amp;"","")</f>
        <v/>
      </c>
      <c r="E316" s="91">
        <f>IFERROR(INDEX(Firms!$C$5:$C$1004,MATCH(312,Firms!$U$5:$U$1004,0))&amp;"","")</f>
        <v/>
      </c>
      <c r="F316" s="79">
        <f>IFERROR(INDEX(Firms!$N$5:$N$1004,MATCH(312,Firms!$U$5:$U$1004,0))&amp;"","")</f>
        <v/>
      </c>
      <c r="G316" s="79">
        <f>IFERROR(INDEX(Firms!$P$5:$P$1004,MATCH(312,Firms!$U$5:$U$1004,0))&amp;"","")</f>
        <v/>
      </c>
      <c r="H316" s="91">
        <f>IFERROR(INDEX(Firms!$T$5:$T$1004,MATCH(312,Firms!$U$5:$U$1004,0))&amp;"","")</f>
        <v/>
      </c>
    </row>
    <row r="317">
      <c r="A317" s="79">
        <f>IF(B317="","",313)</f>
        <v/>
      </c>
      <c r="B317" s="91">
        <f>IFERROR(INDEX(Firms!$A$5:$A$1004,MATCH(313,Firms!$U$5:$U$1004,0))&amp;"","")</f>
        <v/>
      </c>
      <c r="C317" s="88">
        <f>IFERROR(IF(INDEX(Firms!$R$5:$R$1004,MATCH(313,Firms!$U$5:$U$1004,0))="","",INDEX(Firms!$R$5:$R$1004,MATCH(313,Firms!$U$5:$U$1004,0))),"")</f>
        <v/>
      </c>
      <c r="D317" s="91">
        <f>IFERROR(INDEX(Firms!$S$5:$S$1004,MATCH(313,Firms!$U$5:$U$1004,0))&amp;"","")</f>
        <v/>
      </c>
      <c r="E317" s="91">
        <f>IFERROR(INDEX(Firms!$C$5:$C$1004,MATCH(313,Firms!$U$5:$U$1004,0))&amp;"","")</f>
        <v/>
      </c>
      <c r="F317" s="79">
        <f>IFERROR(INDEX(Firms!$N$5:$N$1004,MATCH(313,Firms!$U$5:$U$1004,0))&amp;"","")</f>
        <v/>
      </c>
      <c r="G317" s="79">
        <f>IFERROR(INDEX(Firms!$P$5:$P$1004,MATCH(313,Firms!$U$5:$U$1004,0))&amp;"","")</f>
        <v/>
      </c>
      <c r="H317" s="91">
        <f>IFERROR(INDEX(Firms!$T$5:$T$1004,MATCH(313,Firms!$U$5:$U$1004,0))&amp;"","")</f>
        <v/>
      </c>
    </row>
    <row r="318">
      <c r="A318" s="79">
        <f>IF(B318="","",314)</f>
        <v/>
      </c>
      <c r="B318" s="91">
        <f>IFERROR(INDEX(Firms!$A$5:$A$1004,MATCH(314,Firms!$U$5:$U$1004,0))&amp;"","")</f>
        <v/>
      </c>
      <c r="C318" s="88">
        <f>IFERROR(IF(INDEX(Firms!$R$5:$R$1004,MATCH(314,Firms!$U$5:$U$1004,0))="","",INDEX(Firms!$R$5:$R$1004,MATCH(314,Firms!$U$5:$U$1004,0))),"")</f>
        <v/>
      </c>
      <c r="D318" s="91">
        <f>IFERROR(INDEX(Firms!$S$5:$S$1004,MATCH(314,Firms!$U$5:$U$1004,0))&amp;"","")</f>
        <v/>
      </c>
      <c r="E318" s="91">
        <f>IFERROR(INDEX(Firms!$C$5:$C$1004,MATCH(314,Firms!$U$5:$U$1004,0))&amp;"","")</f>
        <v/>
      </c>
      <c r="F318" s="79">
        <f>IFERROR(INDEX(Firms!$N$5:$N$1004,MATCH(314,Firms!$U$5:$U$1004,0))&amp;"","")</f>
        <v/>
      </c>
      <c r="G318" s="79">
        <f>IFERROR(INDEX(Firms!$P$5:$P$1004,MATCH(314,Firms!$U$5:$U$1004,0))&amp;"","")</f>
        <v/>
      </c>
      <c r="H318" s="91">
        <f>IFERROR(INDEX(Firms!$T$5:$T$1004,MATCH(314,Firms!$U$5:$U$1004,0))&amp;"","")</f>
        <v/>
      </c>
    </row>
    <row r="319">
      <c r="A319" s="79">
        <f>IF(B319="","",315)</f>
        <v/>
      </c>
      <c r="B319" s="91">
        <f>IFERROR(INDEX(Firms!$A$5:$A$1004,MATCH(315,Firms!$U$5:$U$1004,0))&amp;"","")</f>
        <v/>
      </c>
      <c r="C319" s="88">
        <f>IFERROR(IF(INDEX(Firms!$R$5:$R$1004,MATCH(315,Firms!$U$5:$U$1004,0))="","",INDEX(Firms!$R$5:$R$1004,MATCH(315,Firms!$U$5:$U$1004,0))),"")</f>
        <v/>
      </c>
      <c r="D319" s="91">
        <f>IFERROR(INDEX(Firms!$S$5:$S$1004,MATCH(315,Firms!$U$5:$U$1004,0))&amp;"","")</f>
        <v/>
      </c>
      <c r="E319" s="91">
        <f>IFERROR(INDEX(Firms!$C$5:$C$1004,MATCH(315,Firms!$U$5:$U$1004,0))&amp;"","")</f>
        <v/>
      </c>
      <c r="F319" s="79">
        <f>IFERROR(INDEX(Firms!$N$5:$N$1004,MATCH(315,Firms!$U$5:$U$1004,0))&amp;"","")</f>
        <v/>
      </c>
      <c r="G319" s="79">
        <f>IFERROR(INDEX(Firms!$P$5:$P$1004,MATCH(315,Firms!$U$5:$U$1004,0))&amp;"","")</f>
        <v/>
      </c>
      <c r="H319" s="91">
        <f>IFERROR(INDEX(Firms!$T$5:$T$1004,MATCH(315,Firms!$U$5:$U$1004,0))&amp;"","")</f>
        <v/>
      </c>
    </row>
    <row r="320">
      <c r="A320" s="79">
        <f>IF(B320="","",316)</f>
        <v/>
      </c>
      <c r="B320" s="91">
        <f>IFERROR(INDEX(Firms!$A$5:$A$1004,MATCH(316,Firms!$U$5:$U$1004,0))&amp;"","")</f>
        <v/>
      </c>
      <c r="C320" s="88">
        <f>IFERROR(IF(INDEX(Firms!$R$5:$R$1004,MATCH(316,Firms!$U$5:$U$1004,0))="","",INDEX(Firms!$R$5:$R$1004,MATCH(316,Firms!$U$5:$U$1004,0))),"")</f>
        <v/>
      </c>
      <c r="D320" s="91">
        <f>IFERROR(INDEX(Firms!$S$5:$S$1004,MATCH(316,Firms!$U$5:$U$1004,0))&amp;"","")</f>
        <v/>
      </c>
      <c r="E320" s="91">
        <f>IFERROR(INDEX(Firms!$C$5:$C$1004,MATCH(316,Firms!$U$5:$U$1004,0))&amp;"","")</f>
        <v/>
      </c>
      <c r="F320" s="79">
        <f>IFERROR(INDEX(Firms!$N$5:$N$1004,MATCH(316,Firms!$U$5:$U$1004,0))&amp;"","")</f>
        <v/>
      </c>
      <c r="G320" s="79">
        <f>IFERROR(INDEX(Firms!$P$5:$P$1004,MATCH(316,Firms!$U$5:$U$1004,0))&amp;"","")</f>
        <v/>
      </c>
      <c r="H320" s="91">
        <f>IFERROR(INDEX(Firms!$T$5:$T$1004,MATCH(316,Firms!$U$5:$U$1004,0))&amp;"","")</f>
        <v/>
      </c>
    </row>
    <row r="321">
      <c r="A321" s="79">
        <f>IF(B321="","",317)</f>
        <v/>
      </c>
      <c r="B321" s="91">
        <f>IFERROR(INDEX(Firms!$A$5:$A$1004,MATCH(317,Firms!$U$5:$U$1004,0))&amp;"","")</f>
        <v/>
      </c>
      <c r="C321" s="88">
        <f>IFERROR(IF(INDEX(Firms!$R$5:$R$1004,MATCH(317,Firms!$U$5:$U$1004,0))="","",INDEX(Firms!$R$5:$R$1004,MATCH(317,Firms!$U$5:$U$1004,0))),"")</f>
        <v/>
      </c>
      <c r="D321" s="91">
        <f>IFERROR(INDEX(Firms!$S$5:$S$1004,MATCH(317,Firms!$U$5:$U$1004,0))&amp;"","")</f>
        <v/>
      </c>
      <c r="E321" s="91">
        <f>IFERROR(INDEX(Firms!$C$5:$C$1004,MATCH(317,Firms!$U$5:$U$1004,0))&amp;"","")</f>
        <v/>
      </c>
      <c r="F321" s="79">
        <f>IFERROR(INDEX(Firms!$N$5:$N$1004,MATCH(317,Firms!$U$5:$U$1004,0))&amp;"","")</f>
        <v/>
      </c>
      <c r="G321" s="79">
        <f>IFERROR(INDEX(Firms!$P$5:$P$1004,MATCH(317,Firms!$U$5:$U$1004,0))&amp;"","")</f>
        <v/>
      </c>
      <c r="H321" s="91">
        <f>IFERROR(INDEX(Firms!$T$5:$T$1004,MATCH(317,Firms!$U$5:$U$1004,0))&amp;"","")</f>
        <v/>
      </c>
    </row>
    <row r="322">
      <c r="A322" s="79">
        <f>IF(B322="","",318)</f>
        <v/>
      </c>
      <c r="B322" s="91">
        <f>IFERROR(INDEX(Firms!$A$5:$A$1004,MATCH(318,Firms!$U$5:$U$1004,0))&amp;"","")</f>
        <v/>
      </c>
      <c r="C322" s="88">
        <f>IFERROR(IF(INDEX(Firms!$R$5:$R$1004,MATCH(318,Firms!$U$5:$U$1004,0))="","",INDEX(Firms!$R$5:$R$1004,MATCH(318,Firms!$U$5:$U$1004,0))),"")</f>
        <v/>
      </c>
      <c r="D322" s="91">
        <f>IFERROR(INDEX(Firms!$S$5:$S$1004,MATCH(318,Firms!$U$5:$U$1004,0))&amp;"","")</f>
        <v/>
      </c>
      <c r="E322" s="91">
        <f>IFERROR(INDEX(Firms!$C$5:$C$1004,MATCH(318,Firms!$U$5:$U$1004,0))&amp;"","")</f>
        <v/>
      </c>
      <c r="F322" s="79">
        <f>IFERROR(INDEX(Firms!$N$5:$N$1004,MATCH(318,Firms!$U$5:$U$1004,0))&amp;"","")</f>
        <v/>
      </c>
      <c r="G322" s="79">
        <f>IFERROR(INDEX(Firms!$P$5:$P$1004,MATCH(318,Firms!$U$5:$U$1004,0))&amp;"","")</f>
        <v/>
      </c>
      <c r="H322" s="91">
        <f>IFERROR(INDEX(Firms!$T$5:$T$1004,MATCH(318,Firms!$U$5:$U$1004,0))&amp;"","")</f>
        <v/>
      </c>
    </row>
    <row r="323">
      <c r="A323" s="79">
        <f>IF(B323="","",319)</f>
        <v/>
      </c>
      <c r="B323" s="91">
        <f>IFERROR(INDEX(Firms!$A$5:$A$1004,MATCH(319,Firms!$U$5:$U$1004,0))&amp;"","")</f>
        <v/>
      </c>
      <c r="C323" s="88">
        <f>IFERROR(IF(INDEX(Firms!$R$5:$R$1004,MATCH(319,Firms!$U$5:$U$1004,0))="","",INDEX(Firms!$R$5:$R$1004,MATCH(319,Firms!$U$5:$U$1004,0))),"")</f>
        <v/>
      </c>
      <c r="D323" s="91">
        <f>IFERROR(INDEX(Firms!$S$5:$S$1004,MATCH(319,Firms!$U$5:$U$1004,0))&amp;"","")</f>
        <v/>
      </c>
      <c r="E323" s="91">
        <f>IFERROR(INDEX(Firms!$C$5:$C$1004,MATCH(319,Firms!$U$5:$U$1004,0))&amp;"","")</f>
        <v/>
      </c>
      <c r="F323" s="79">
        <f>IFERROR(INDEX(Firms!$N$5:$N$1004,MATCH(319,Firms!$U$5:$U$1004,0))&amp;"","")</f>
        <v/>
      </c>
      <c r="G323" s="79">
        <f>IFERROR(INDEX(Firms!$P$5:$P$1004,MATCH(319,Firms!$U$5:$U$1004,0))&amp;"","")</f>
        <v/>
      </c>
      <c r="H323" s="91">
        <f>IFERROR(INDEX(Firms!$T$5:$T$1004,MATCH(319,Firms!$U$5:$U$1004,0))&amp;"","")</f>
        <v/>
      </c>
    </row>
    <row r="324">
      <c r="A324" s="79">
        <f>IF(B324="","",320)</f>
        <v/>
      </c>
      <c r="B324" s="91">
        <f>IFERROR(INDEX(Firms!$A$5:$A$1004,MATCH(320,Firms!$U$5:$U$1004,0))&amp;"","")</f>
        <v/>
      </c>
      <c r="C324" s="88">
        <f>IFERROR(IF(INDEX(Firms!$R$5:$R$1004,MATCH(320,Firms!$U$5:$U$1004,0))="","",INDEX(Firms!$R$5:$R$1004,MATCH(320,Firms!$U$5:$U$1004,0))),"")</f>
        <v/>
      </c>
      <c r="D324" s="91">
        <f>IFERROR(INDEX(Firms!$S$5:$S$1004,MATCH(320,Firms!$U$5:$U$1004,0))&amp;"","")</f>
        <v/>
      </c>
      <c r="E324" s="91">
        <f>IFERROR(INDEX(Firms!$C$5:$C$1004,MATCH(320,Firms!$U$5:$U$1004,0))&amp;"","")</f>
        <v/>
      </c>
      <c r="F324" s="79">
        <f>IFERROR(INDEX(Firms!$N$5:$N$1004,MATCH(320,Firms!$U$5:$U$1004,0))&amp;"","")</f>
        <v/>
      </c>
      <c r="G324" s="79">
        <f>IFERROR(INDEX(Firms!$P$5:$P$1004,MATCH(320,Firms!$U$5:$U$1004,0))&amp;"","")</f>
        <v/>
      </c>
      <c r="H324" s="91">
        <f>IFERROR(INDEX(Firms!$T$5:$T$1004,MATCH(320,Firms!$U$5:$U$1004,0))&amp;"","")</f>
        <v/>
      </c>
    </row>
    <row r="325">
      <c r="A325" s="79">
        <f>IF(B325="","",321)</f>
        <v/>
      </c>
      <c r="B325" s="91">
        <f>IFERROR(INDEX(Firms!$A$5:$A$1004,MATCH(321,Firms!$U$5:$U$1004,0))&amp;"","")</f>
        <v/>
      </c>
      <c r="C325" s="88">
        <f>IFERROR(IF(INDEX(Firms!$R$5:$R$1004,MATCH(321,Firms!$U$5:$U$1004,0))="","",INDEX(Firms!$R$5:$R$1004,MATCH(321,Firms!$U$5:$U$1004,0))),"")</f>
        <v/>
      </c>
      <c r="D325" s="91">
        <f>IFERROR(INDEX(Firms!$S$5:$S$1004,MATCH(321,Firms!$U$5:$U$1004,0))&amp;"","")</f>
        <v/>
      </c>
      <c r="E325" s="91">
        <f>IFERROR(INDEX(Firms!$C$5:$C$1004,MATCH(321,Firms!$U$5:$U$1004,0))&amp;"","")</f>
        <v/>
      </c>
      <c r="F325" s="79">
        <f>IFERROR(INDEX(Firms!$N$5:$N$1004,MATCH(321,Firms!$U$5:$U$1004,0))&amp;"","")</f>
        <v/>
      </c>
      <c r="G325" s="79">
        <f>IFERROR(INDEX(Firms!$P$5:$P$1004,MATCH(321,Firms!$U$5:$U$1004,0))&amp;"","")</f>
        <v/>
      </c>
      <c r="H325" s="91">
        <f>IFERROR(INDEX(Firms!$T$5:$T$1004,MATCH(321,Firms!$U$5:$U$1004,0))&amp;"","")</f>
        <v/>
      </c>
    </row>
    <row r="326">
      <c r="A326" s="79">
        <f>IF(B326="","",322)</f>
        <v/>
      </c>
      <c r="B326" s="91">
        <f>IFERROR(INDEX(Firms!$A$5:$A$1004,MATCH(322,Firms!$U$5:$U$1004,0))&amp;"","")</f>
        <v/>
      </c>
      <c r="C326" s="88">
        <f>IFERROR(IF(INDEX(Firms!$R$5:$R$1004,MATCH(322,Firms!$U$5:$U$1004,0))="","",INDEX(Firms!$R$5:$R$1004,MATCH(322,Firms!$U$5:$U$1004,0))),"")</f>
        <v/>
      </c>
      <c r="D326" s="91">
        <f>IFERROR(INDEX(Firms!$S$5:$S$1004,MATCH(322,Firms!$U$5:$U$1004,0))&amp;"","")</f>
        <v/>
      </c>
      <c r="E326" s="91">
        <f>IFERROR(INDEX(Firms!$C$5:$C$1004,MATCH(322,Firms!$U$5:$U$1004,0))&amp;"","")</f>
        <v/>
      </c>
      <c r="F326" s="79">
        <f>IFERROR(INDEX(Firms!$N$5:$N$1004,MATCH(322,Firms!$U$5:$U$1004,0))&amp;"","")</f>
        <v/>
      </c>
      <c r="G326" s="79">
        <f>IFERROR(INDEX(Firms!$P$5:$P$1004,MATCH(322,Firms!$U$5:$U$1004,0))&amp;"","")</f>
        <v/>
      </c>
      <c r="H326" s="91">
        <f>IFERROR(INDEX(Firms!$T$5:$T$1004,MATCH(322,Firms!$U$5:$U$1004,0))&amp;"","")</f>
        <v/>
      </c>
    </row>
    <row r="327">
      <c r="A327" s="79">
        <f>IF(B327="","",323)</f>
        <v/>
      </c>
      <c r="B327" s="91">
        <f>IFERROR(INDEX(Firms!$A$5:$A$1004,MATCH(323,Firms!$U$5:$U$1004,0))&amp;"","")</f>
        <v/>
      </c>
      <c r="C327" s="88">
        <f>IFERROR(IF(INDEX(Firms!$R$5:$R$1004,MATCH(323,Firms!$U$5:$U$1004,0))="","",INDEX(Firms!$R$5:$R$1004,MATCH(323,Firms!$U$5:$U$1004,0))),"")</f>
        <v/>
      </c>
      <c r="D327" s="91">
        <f>IFERROR(INDEX(Firms!$S$5:$S$1004,MATCH(323,Firms!$U$5:$U$1004,0))&amp;"","")</f>
        <v/>
      </c>
      <c r="E327" s="91">
        <f>IFERROR(INDEX(Firms!$C$5:$C$1004,MATCH(323,Firms!$U$5:$U$1004,0))&amp;"","")</f>
        <v/>
      </c>
      <c r="F327" s="79">
        <f>IFERROR(INDEX(Firms!$N$5:$N$1004,MATCH(323,Firms!$U$5:$U$1004,0))&amp;"","")</f>
        <v/>
      </c>
      <c r="G327" s="79">
        <f>IFERROR(INDEX(Firms!$P$5:$P$1004,MATCH(323,Firms!$U$5:$U$1004,0))&amp;"","")</f>
        <v/>
      </c>
      <c r="H327" s="91">
        <f>IFERROR(INDEX(Firms!$T$5:$T$1004,MATCH(323,Firms!$U$5:$U$1004,0))&amp;"","")</f>
        <v/>
      </c>
    </row>
    <row r="328">
      <c r="A328" s="79">
        <f>IF(B328="","",324)</f>
        <v/>
      </c>
      <c r="B328" s="91">
        <f>IFERROR(INDEX(Firms!$A$5:$A$1004,MATCH(324,Firms!$U$5:$U$1004,0))&amp;"","")</f>
        <v/>
      </c>
      <c r="C328" s="88">
        <f>IFERROR(IF(INDEX(Firms!$R$5:$R$1004,MATCH(324,Firms!$U$5:$U$1004,0))="","",INDEX(Firms!$R$5:$R$1004,MATCH(324,Firms!$U$5:$U$1004,0))),"")</f>
        <v/>
      </c>
      <c r="D328" s="91">
        <f>IFERROR(INDEX(Firms!$S$5:$S$1004,MATCH(324,Firms!$U$5:$U$1004,0))&amp;"","")</f>
        <v/>
      </c>
      <c r="E328" s="91">
        <f>IFERROR(INDEX(Firms!$C$5:$C$1004,MATCH(324,Firms!$U$5:$U$1004,0))&amp;"","")</f>
        <v/>
      </c>
      <c r="F328" s="79">
        <f>IFERROR(INDEX(Firms!$N$5:$N$1004,MATCH(324,Firms!$U$5:$U$1004,0))&amp;"","")</f>
        <v/>
      </c>
      <c r="G328" s="79">
        <f>IFERROR(INDEX(Firms!$P$5:$P$1004,MATCH(324,Firms!$U$5:$U$1004,0))&amp;"","")</f>
        <v/>
      </c>
      <c r="H328" s="91">
        <f>IFERROR(INDEX(Firms!$T$5:$T$1004,MATCH(324,Firms!$U$5:$U$1004,0))&amp;"","")</f>
        <v/>
      </c>
    </row>
    <row r="329">
      <c r="A329" s="79">
        <f>IF(B329="","",325)</f>
        <v/>
      </c>
      <c r="B329" s="91">
        <f>IFERROR(INDEX(Firms!$A$5:$A$1004,MATCH(325,Firms!$U$5:$U$1004,0))&amp;"","")</f>
        <v/>
      </c>
      <c r="C329" s="88">
        <f>IFERROR(IF(INDEX(Firms!$R$5:$R$1004,MATCH(325,Firms!$U$5:$U$1004,0))="","",INDEX(Firms!$R$5:$R$1004,MATCH(325,Firms!$U$5:$U$1004,0))),"")</f>
        <v/>
      </c>
      <c r="D329" s="91">
        <f>IFERROR(INDEX(Firms!$S$5:$S$1004,MATCH(325,Firms!$U$5:$U$1004,0))&amp;"","")</f>
        <v/>
      </c>
      <c r="E329" s="91">
        <f>IFERROR(INDEX(Firms!$C$5:$C$1004,MATCH(325,Firms!$U$5:$U$1004,0))&amp;"","")</f>
        <v/>
      </c>
      <c r="F329" s="79">
        <f>IFERROR(INDEX(Firms!$N$5:$N$1004,MATCH(325,Firms!$U$5:$U$1004,0))&amp;"","")</f>
        <v/>
      </c>
      <c r="G329" s="79">
        <f>IFERROR(INDEX(Firms!$P$5:$P$1004,MATCH(325,Firms!$U$5:$U$1004,0))&amp;"","")</f>
        <v/>
      </c>
      <c r="H329" s="91">
        <f>IFERROR(INDEX(Firms!$T$5:$T$1004,MATCH(325,Firms!$U$5:$U$1004,0))&amp;"","")</f>
        <v/>
      </c>
    </row>
    <row r="330">
      <c r="A330" s="79">
        <f>IF(B330="","",326)</f>
        <v/>
      </c>
      <c r="B330" s="91">
        <f>IFERROR(INDEX(Firms!$A$5:$A$1004,MATCH(326,Firms!$U$5:$U$1004,0))&amp;"","")</f>
        <v/>
      </c>
      <c r="C330" s="88">
        <f>IFERROR(IF(INDEX(Firms!$R$5:$R$1004,MATCH(326,Firms!$U$5:$U$1004,0))="","",INDEX(Firms!$R$5:$R$1004,MATCH(326,Firms!$U$5:$U$1004,0))),"")</f>
        <v/>
      </c>
      <c r="D330" s="91">
        <f>IFERROR(INDEX(Firms!$S$5:$S$1004,MATCH(326,Firms!$U$5:$U$1004,0))&amp;"","")</f>
        <v/>
      </c>
      <c r="E330" s="91">
        <f>IFERROR(INDEX(Firms!$C$5:$C$1004,MATCH(326,Firms!$U$5:$U$1004,0))&amp;"","")</f>
        <v/>
      </c>
      <c r="F330" s="79">
        <f>IFERROR(INDEX(Firms!$N$5:$N$1004,MATCH(326,Firms!$U$5:$U$1004,0))&amp;"","")</f>
        <v/>
      </c>
      <c r="G330" s="79">
        <f>IFERROR(INDEX(Firms!$P$5:$P$1004,MATCH(326,Firms!$U$5:$U$1004,0))&amp;"","")</f>
        <v/>
      </c>
      <c r="H330" s="91">
        <f>IFERROR(INDEX(Firms!$T$5:$T$1004,MATCH(326,Firms!$U$5:$U$1004,0))&amp;"","")</f>
        <v/>
      </c>
    </row>
    <row r="331">
      <c r="A331" s="79">
        <f>IF(B331="","",327)</f>
        <v/>
      </c>
      <c r="B331" s="91">
        <f>IFERROR(INDEX(Firms!$A$5:$A$1004,MATCH(327,Firms!$U$5:$U$1004,0))&amp;"","")</f>
        <v/>
      </c>
      <c r="C331" s="88">
        <f>IFERROR(IF(INDEX(Firms!$R$5:$R$1004,MATCH(327,Firms!$U$5:$U$1004,0))="","",INDEX(Firms!$R$5:$R$1004,MATCH(327,Firms!$U$5:$U$1004,0))),"")</f>
        <v/>
      </c>
      <c r="D331" s="91">
        <f>IFERROR(INDEX(Firms!$S$5:$S$1004,MATCH(327,Firms!$U$5:$U$1004,0))&amp;"","")</f>
        <v/>
      </c>
      <c r="E331" s="91">
        <f>IFERROR(INDEX(Firms!$C$5:$C$1004,MATCH(327,Firms!$U$5:$U$1004,0))&amp;"","")</f>
        <v/>
      </c>
      <c r="F331" s="79">
        <f>IFERROR(INDEX(Firms!$N$5:$N$1004,MATCH(327,Firms!$U$5:$U$1004,0))&amp;"","")</f>
        <v/>
      </c>
      <c r="G331" s="79">
        <f>IFERROR(INDEX(Firms!$P$5:$P$1004,MATCH(327,Firms!$U$5:$U$1004,0))&amp;"","")</f>
        <v/>
      </c>
      <c r="H331" s="91">
        <f>IFERROR(INDEX(Firms!$T$5:$T$1004,MATCH(327,Firms!$U$5:$U$1004,0))&amp;"","")</f>
        <v/>
      </c>
    </row>
    <row r="332">
      <c r="A332" s="79">
        <f>IF(B332="","",328)</f>
        <v/>
      </c>
      <c r="B332" s="91">
        <f>IFERROR(INDEX(Firms!$A$5:$A$1004,MATCH(328,Firms!$U$5:$U$1004,0))&amp;"","")</f>
        <v/>
      </c>
      <c r="C332" s="88">
        <f>IFERROR(IF(INDEX(Firms!$R$5:$R$1004,MATCH(328,Firms!$U$5:$U$1004,0))="","",INDEX(Firms!$R$5:$R$1004,MATCH(328,Firms!$U$5:$U$1004,0))),"")</f>
        <v/>
      </c>
      <c r="D332" s="91">
        <f>IFERROR(INDEX(Firms!$S$5:$S$1004,MATCH(328,Firms!$U$5:$U$1004,0))&amp;"","")</f>
        <v/>
      </c>
      <c r="E332" s="91">
        <f>IFERROR(INDEX(Firms!$C$5:$C$1004,MATCH(328,Firms!$U$5:$U$1004,0))&amp;"","")</f>
        <v/>
      </c>
      <c r="F332" s="79">
        <f>IFERROR(INDEX(Firms!$N$5:$N$1004,MATCH(328,Firms!$U$5:$U$1004,0))&amp;"","")</f>
        <v/>
      </c>
      <c r="G332" s="79">
        <f>IFERROR(INDEX(Firms!$P$5:$P$1004,MATCH(328,Firms!$U$5:$U$1004,0))&amp;"","")</f>
        <v/>
      </c>
      <c r="H332" s="91">
        <f>IFERROR(INDEX(Firms!$T$5:$T$1004,MATCH(328,Firms!$U$5:$U$1004,0))&amp;"","")</f>
        <v/>
      </c>
    </row>
    <row r="333">
      <c r="A333" s="79">
        <f>IF(B333="","",329)</f>
        <v/>
      </c>
      <c r="B333" s="91">
        <f>IFERROR(INDEX(Firms!$A$5:$A$1004,MATCH(329,Firms!$U$5:$U$1004,0))&amp;"","")</f>
        <v/>
      </c>
      <c r="C333" s="88">
        <f>IFERROR(IF(INDEX(Firms!$R$5:$R$1004,MATCH(329,Firms!$U$5:$U$1004,0))="","",INDEX(Firms!$R$5:$R$1004,MATCH(329,Firms!$U$5:$U$1004,0))),"")</f>
        <v/>
      </c>
      <c r="D333" s="91">
        <f>IFERROR(INDEX(Firms!$S$5:$S$1004,MATCH(329,Firms!$U$5:$U$1004,0))&amp;"","")</f>
        <v/>
      </c>
      <c r="E333" s="91">
        <f>IFERROR(INDEX(Firms!$C$5:$C$1004,MATCH(329,Firms!$U$5:$U$1004,0))&amp;"","")</f>
        <v/>
      </c>
      <c r="F333" s="79">
        <f>IFERROR(INDEX(Firms!$N$5:$N$1004,MATCH(329,Firms!$U$5:$U$1004,0))&amp;"","")</f>
        <v/>
      </c>
      <c r="G333" s="79">
        <f>IFERROR(INDEX(Firms!$P$5:$P$1004,MATCH(329,Firms!$U$5:$U$1004,0))&amp;"","")</f>
        <v/>
      </c>
      <c r="H333" s="91">
        <f>IFERROR(INDEX(Firms!$T$5:$T$1004,MATCH(329,Firms!$U$5:$U$1004,0))&amp;"","")</f>
        <v/>
      </c>
    </row>
    <row r="334">
      <c r="A334" s="79">
        <f>IF(B334="","",330)</f>
        <v/>
      </c>
      <c r="B334" s="91">
        <f>IFERROR(INDEX(Firms!$A$5:$A$1004,MATCH(330,Firms!$U$5:$U$1004,0))&amp;"","")</f>
        <v/>
      </c>
      <c r="C334" s="88">
        <f>IFERROR(IF(INDEX(Firms!$R$5:$R$1004,MATCH(330,Firms!$U$5:$U$1004,0))="","",INDEX(Firms!$R$5:$R$1004,MATCH(330,Firms!$U$5:$U$1004,0))),"")</f>
        <v/>
      </c>
      <c r="D334" s="91">
        <f>IFERROR(INDEX(Firms!$S$5:$S$1004,MATCH(330,Firms!$U$5:$U$1004,0))&amp;"","")</f>
        <v/>
      </c>
      <c r="E334" s="91">
        <f>IFERROR(INDEX(Firms!$C$5:$C$1004,MATCH(330,Firms!$U$5:$U$1004,0))&amp;"","")</f>
        <v/>
      </c>
      <c r="F334" s="79">
        <f>IFERROR(INDEX(Firms!$N$5:$N$1004,MATCH(330,Firms!$U$5:$U$1004,0))&amp;"","")</f>
        <v/>
      </c>
      <c r="G334" s="79">
        <f>IFERROR(INDEX(Firms!$P$5:$P$1004,MATCH(330,Firms!$U$5:$U$1004,0))&amp;"","")</f>
        <v/>
      </c>
      <c r="H334" s="91">
        <f>IFERROR(INDEX(Firms!$T$5:$T$1004,MATCH(330,Firms!$U$5:$U$1004,0))&amp;"","")</f>
        <v/>
      </c>
    </row>
    <row r="335">
      <c r="A335" s="79">
        <f>IF(B335="","",331)</f>
        <v/>
      </c>
      <c r="B335" s="91">
        <f>IFERROR(INDEX(Firms!$A$5:$A$1004,MATCH(331,Firms!$U$5:$U$1004,0))&amp;"","")</f>
        <v/>
      </c>
      <c r="C335" s="88">
        <f>IFERROR(IF(INDEX(Firms!$R$5:$R$1004,MATCH(331,Firms!$U$5:$U$1004,0))="","",INDEX(Firms!$R$5:$R$1004,MATCH(331,Firms!$U$5:$U$1004,0))),"")</f>
        <v/>
      </c>
      <c r="D335" s="91">
        <f>IFERROR(INDEX(Firms!$S$5:$S$1004,MATCH(331,Firms!$U$5:$U$1004,0))&amp;"","")</f>
        <v/>
      </c>
      <c r="E335" s="91">
        <f>IFERROR(INDEX(Firms!$C$5:$C$1004,MATCH(331,Firms!$U$5:$U$1004,0))&amp;"","")</f>
        <v/>
      </c>
      <c r="F335" s="79">
        <f>IFERROR(INDEX(Firms!$N$5:$N$1004,MATCH(331,Firms!$U$5:$U$1004,0))&amp;"","")</f>
        <v/>
      </c>
      <c r="G335" s="79">
        <f>IFERROR(INDEX(Firms!$P$5:$P$1004,MATCH(331,Firms!$U$5:$U$1004,0))&amp;"","")</f>
        <v/>
      </c>
      <c r="H335" s="91">
        <f>IFERROR(INDEX(Firms!$T$5:$T$1004,MATCH(331,Firms!$U$5:$U$1004,0))&amp;"","")</f>
        <v/>
      </c>
    </row>
    <row r="336">
      <c r="A336" s="79">
        <f>IF(B336="","",332)</f>
        <v/>
      </c>
      <c r="B336" s="91">
        <f>IFERROR(INDEX(Firms!$A$5:$A$1004,MATCH(332,Firms!$U$5:$U$1004,0))&amp;"","")</f>
        <v/>
      </c>
      <c r="C336" s="88">
        <f>IFERROR(IF(INDEX(Firms!$R$5:$R$1004,MATCH(332,Firms!$U$5:$U$1004,0))="","",INDEX(Firms!$R$5:$R$1004,MATCH(332,Firms!$U$5:$U$1004,0))),"")</f>
        <v/>
      </c>
      <c r="D336" s="91">
        <f>IFERROR(INDEX(Firms!$S$5:$S$1004,MATCH(332,Firms!$U$5:$U$1004,0))&amp;"","")</f>
        <v/>
      </c>
      <c r="E336" s="91">
        <f>IFERROR(INDEX(Firms!$C$5:$C$1004,MATCH(332,Firms!$U$5:$U$1004,0))&amp;"","")</f>
        <v/>
      </c>
      <c r="F336" s="79">
        <f>IFERROR(INDEX(Firms!$N$5:$N$1004,MATCH(332,Firms!$U$5:$U$1004,0))&amp;"","")</f>
        <v/>
      </c>
      <c r="G336" s="79">
        <f>IFERROR(INDEX(Firms!$P$5:$P$1004,MATCH(332,Firms!$U$5:$U$1004,0))&amp;"","")</f>
        <v/>
      </c>
      <c r="H336" s="91">
        <f>IFERROR(INDEX(Firms!$T$5:$T$1004,MATCH(332,Firms!$U$5:$U$1004,0))&amp;"","")</f>
        <v/>
      </c>
    </row>
    <row r="337">
      <c r="A337" s="79">
        <f>IF(B337="","",333)</f>
        <v/>
      </c>
      <c r="B337" s="91">
        <f>IFERROR(INDEX(Firms!$A$5:$A$1004,MATCH(333,Firms!$U$5:$U$1004,0))&amp;"","")</f>
        <v/>
      </c>
      <c r="C337" s="88">
        <f>IFERROR(IF(INDEX(Firms!$R$5:$R$1004,MATCH(333,Firms!$U$5:$U$1004,0))="","",INDEX(Firms!$R$5:$R$1004,MATCH(333,Firms!$U$5:$U$1004,0))),"")</f>
        <v/>
      </c>
      <c r="D337" s="91">
        <f>IFERROR(INDEX(Firms!$S$5:$S$1004,MATCH(333,Firms!$U$5:$U$1004,0))&amp;"","")</f>
        <v/>
      </c>
      <c r="E337" s="91">
        <f>IFERROR(INDEX(Firms!$C$5:$C$1004,MATCH(333,Firms!$U$5:$U$1004,0))&amp;"","")</f>
        <v/>
      </c>
      <c r="F337" s="79">
        <f>IFERROR(INDEX(Firms!$N$5:$N$1004,MATCH(333,Firms!$U$5:$U$1004,0))&amp;"","")</f>
        <v/>
      </c>
      <c r="G337" s="79">
        <f>IFERROR(INDEX(Firms!$P$5:$P$1004,MATCH(333,Firms!$U$5:$U$1004,0))&amp;"","")</f>
        <v/>
      </c>
      <c r="H337" s="91">
        <f>IFERROR(INDEX(Firms!$T$5:$T$1004,MATCH(333,Firms!$U$5:$U$1004,0))&amp;"","")</f>
        <v/>
      </c>
    </row>
    <row r="338">
      <c r="A338" s="79">
        <f>IF(B338="","",334)</f>
        <v/>
      </c>
      <c r="B338" s="91">
        <f>IFERROR(INDEX(Firms!$A$5:$A$1004,MATCH(334,Firms!$U$5:$U$1004,0))&amp;"","")</f>
        <v/>
      </c>
      <c r="C338" s="88">
        <f>IFERROR(IF(INDEX(Firms!$R$5:$R$1004,MATCH(334,Firms!$U$5:$U$1004,0))="","",INDEX(Firms!$R$5:$R$1004,MATCH(334,Firms!$U$5:$U$1004,0))),"")</f>
        <v/>
      </c>
      <c r="D338" s="91">
        <f>IFERROR(INDEX(Firms!$S$5:$S$1004,MATCH(334,Firms!$U$5:$U$1004,0))&amp;"","")</f>
        <v/>
      </c>
      <c r="E338" s="91">
        <f>IFERROR(INDEX(Firms!$C$5:$C$1004,MATCH(334,Firms!$U$5:$U$1004,0))&amp;"","")</f>
        <v/>
      </c>
      <c r="F338" s="79">
        <f>IFERROR(INDEX(Firms!$N$5:$N$1004,MATCH(334,Firms!$U$5:$U$1004,0))&amp;"","")</f>
        <v/>
      </c>
      <c r="G338" s="79">
        <f>IFERROR(INDEX(Firms!$P$5:$P$1004,MATCH(334,Firms!$U$5:$U$1004,0))&amp;"","")</f>
        <v/>
      </c>
      <c r="H338" s="91">
        <f>IFERROR(INDEX(Firms!$T$5:$T$1004,MATCH(334,Firms!$U$5:$U$1004,0))&amp;"","")</f>
        <v/>
      </c>
    </row>
    <row r="339">
      <c r="A339" s="79">
        <f>IF(B339="","",335)</f>
        <v/>
      </c>
      <c r="B339" s="91">
        <f>IFERROR(INDEX(Firms!$A$5:$A$1004,MATCH(335,Firms!$U$5:$U$1004,0))&amp;"","")</f>
        <v/>
      </c>
      <c r="C339" s="88">
        <f>IFERROR(IF(INDEX(Firms!$R$5:$R$1004,MATCH(335,Firms!$U$5:$U$1004,0))="","",INDEX(Firms!$R$5:$R$1004,MATCH(335,Firms!$U$5:$U$1004,0))),"")</f>
        <v/>
      </c>
      <c r="D339" s="91">
        <f>IFERROR(INDEX(Firms!$S$5:$S$1004,MATCH(335,Firms!$U$5:$U$1004,0))&amp;"","")</f>
        <v/>
      </c>
      <c r="E339" s="91">
        <f>IFERROR(INDEX(Firms!$C$5:$C$1004,MATCH(335,Firms!$U$5:$U$1004,0))&amp;"","")</f>
        <v/>
      </c>
      <c r="F339" s="79">
        <f>IFERROR(INDEX(Firms!$N$5:$N$1004,MATCH(335,Firms!$U$5:$U$1004,0))&amp;"","")</f>
        <v/>
      </c>
      <c r="G339" s="79">
        <f>IFERROR(INDEX(Firms!$P$5:$P$1004,MATCH(335,Firms!$U$5:$U$1004,0))&amp;"","")</f>
        <v/>
      </c>
      <c r="H339" s="91">
        <f>IFERROR(INDEX(Firms!$T$5:$T$1004,MATCH(335,Firms!$U$5:$U$1004,0))&amp;"","")</f>
        <v/>
      </c>
    </row>
    <row r="340">
      <c r="A340" s="79">
        <f>IF(B340="","",336)</f>
        <v/>
      </c>
      <c r="B340" s="91">
        <f>IFERROR(INDEX(Firms!$A$5:$A$1004,MATCH(336,Firms!$U$5:$U$1004,0))&amp;"","")</f>
        <v/>
      </c>
      <c r="C340" s="88">
        <f>IFERROR(IF(INDEX(Firms!$R$5:$R$1004,MATCH(336,Firms!$U$5:$U$1004,0))="","",INDEX(Firms!$R$5:$R$1004,MATCH(336,Firms!$U$5:$U$1004,0))),"")</f>
        <v/>
      </c>
      <c r="D340" s="91">
        <f>IFERROR(INDEX(Firms!$S$5:$S$1004,MATCH(336,Firms!$U$5:$U$1004,0))&amp;"","")</f>
        <v/>
      </c>
      <c r="E340" s="91">
        <f>IFERROR(INDEX(Firms!$C$5:$C$1004,MATCH(336,Firms!$U$5:$U$1004,0))&amp;"","")</f>
        <v/>
      </c>
      <c r="F340" s="79">
        <f>IFERROR(INDEX(Firms!$N$5:$N$1004,MATCH(336,Firms!$U$5:$U$1004,0))&amp;"","")</f>
        <v/>
      </c>
      <c r="G340" s="79">
        <f>IFERROR(INDEX(Firms!$P$5:$P$1004,MATCH(336,Firms!$U$5:$U$1004,0))&amp;"","")</f>
        <v/>
      </c>
      <c r="H340" s="91">
        <f>IFERROR(INDEX(Firms!$T$5:$T$1004,MATCH(336,Firms!$U$5:$U$1004,0))&amp;"","")</f>
        <v/>
      </c>
    </row>
    <row r="341">
      <c r="A341" s="79">
        <f>IF(B341="","",337)</f>
        <v/>
      </c>
      <c r="B341" s="91">
        <f>IFERROR(INDEX(Firms!$A$5:$A$1004,MATCH(337,Firms!$U$5:$U$1004,0))&amp;"","")</f>
        <v/>
      </c>
      <c r="C341" s="88">
        <f>IFERROR(IF(INDEX(Firms!$R$5:$R$1004,MATCH(337,Firms!$U$5:$U$1004,0))="","",INDEX(Firms!$R$5:$R$1004,MATCH(337,Firms!$U$5:$U$1004,0))),"")</f>
        <v/>
      </c>
      <c r="D341" s="91">
        <f>IFERROR(INDEX(Firms!$S$5:$S$1004,MATCH(337,Firms!$U$5:$U$1004,0))&amp;"","")</f>
        <v/>
      </c>
      <c r="E341" s="91">
        <f>IFERROR(INDEX(Firms!$C$5:$C$1004,MATCH(337,Firms!$U$5:$U$1004,0))&amp;"","")</f>
        <v/>
      </c>
      <c r="F341" s="79">
        <f>IFERROR(INDEX(Firms!$N$5:$N$1004,MATCH(337,Firms!$U$5:$U$1004,0))&amp;"","")</f>
        <v/>
      </c>
      <c r="G341" s="79">
        <f>IFERROR(INDEX(Firms!$P$5:$P$1004,MATCH(337,Firms!$U$5:$U$1004,0))&amp;"","")</f>
        <v/>
      </c>
      <c r="H341" s="91">
        <f>IFERROR(INDEX(Firms!$T$5:$T$1004,MATCH(337,Firms!$U$5:$U$1004,0))&amp;"","")</f>
        <v/>
      </c>
    </row>
    <row r="342">
      <c r="A342" s="79">
        <f>IF(B342="","",338)</f>
        <v/>
      </c>
      <c r="B342" s="91">
        <f>IFERROR(INDEX(Firms!$A$5:$A$1004,MATCH(338,Firms!$U$5:$U$1004,0))&amp;"","")</f>
        <v/>
      </c>
      <c r="C342" s="88">
        <f>IFERROR(IF(INDEX(Firms!$R$5:$R$1004,MATCH(338,Firms!$U$5:$U$1004,0))="","",INDEX(Firms!$R$5:$R$1004,MATCH(338,Firms!$U$5:$U$1004,0))),"")</f>
        <v/>
      </c>
      <c r="D342" s="91">
        <f>IFERROR(INDEX(Firms!$S$5:$S$1004,MATCH(338,Firms!$U$5:$U$1004,0))&amp;"","")</f>
        <v/>
      </c>
      <c r="E342" s="91">
        <f>IFERROR(INDEX(Firms!$C$5:$C$1004,MATCH(338,Firms!$U$5:$U$1004,0))&amp;"","")</f>
        <v/>
      </c>
      <c r="F342" s="79">
        <f>IFERROR(INDEX(Firms!$N$5:$N$1004,MATCH(338,Firms!$U$5:$U$1004,0))&amp;"","")</f>
        <v/>
      </c>
      <c r="G342" s="79">
        <f>IFERROR(INDEX(Firms!$P$5:$P$1004,MATCH(338,Firms!$U$5:$U$1004,0))&amp;"","")</f>
        <v/>
      </c>
      <c r="H342" s="91">
        <f>IFERROR(INDEX(Firms!$T$5:$T$1004,MATCH(338,Firms!$U$5:$U$1004,0))&amp;"","")</f>
        <v/>
      </c>
    </row>
    <row r="343">
      <c r="A343" s="79">
        <f>IF(B343="","",339)</f>
        <v/>
      </c>
      <c r="B343" s="91">
        <f>IFERROR(INDEX(Firms!$A$5:$A$1004,MATCH(339,Firms!$U$5:$U$1004,0))&amp;"","")</f>
        <v/>
      </c>
      <c r="C343" s="88">
        <f>IFERROR(IF(INDEX(Firms!$R$5:$R$1004,MATCH(339,Firms!$U$5:$U$1004,0))="","",INDEX(Firms!$R$5:$R$1004,MATCH(339,Firms!$U$5:$U$1004,0))),"")</f>
        <v/>
      </c>
      <c r="D343" s="91">
        <f>IFERROR(INDEX(Firms!$S$5:$S$1004,MATCH(339,Firms!$U$5:$U$1004,0))&amp;"","")</f>
        <v/>
      </c>
      <c r="E343" s="91">
        <f>IFERROR(INDEX(Firms!$C$5:$C$1004,MATCH(339,Firms!$U$5:$U$1004,0))&amp;"","")</f>
        <v/>
      </c>
      <c r="F343" s="79">
        <f>IFERROR(INDEX(Firms!$N$5:$N$1004,MATCH(339,Firms!$U$5:$U$1004,0))&amp;"","")</f>
        <v/>
      </c>
      <c r="G343" s="79">
        <f>IFERROR(INDEX(Firms!$P$5:$P$1004,MATCH(339,Firms!$U$5:$U$1004,0))&amp;"","")</f>
        <v/>
      </c>
      <c r="H343" s="91">
        <f>IFERROR(INDEX(Firms!$T$5:$T$1004,MATCH(339,Firms!$U$5:$U$1004,0))&amp;"","")</f>
        <v/>
      </c>
    </row>
    <row r="344">
      <c r="A344" s="79">
        <f>IF(B344="","",340)</f>
        <v/>
      </c>
      <c r="B344" s="91">
        <f>IFERROR(INDEX(Firms!$A$5:$A$1004,MATCH(340,Firms!$U$5:$U$1004,0))&amp;"","")</f>
        <v/>
      </c>
      <c r="C344" s="88">
        <f>IFERROR(IF(INDEX(Firms!$R$5:$R$1004,MATCH(340,Firms!$U$5:$U$1004,0))="","",INDEX(Firms!$R$5:$R$1004,MATCH(340,Firms!$U$5:$U$1004,0))),"")</f>
        <v/>
      </c>
      <c r="D344" s="91">
        <f>IFERROR(INDEX(Firms!$S$5:$S$1004,MATCH(340,Firms!$U$5:$U$1004,0))&amp;"","")</f>
        <v/>
      </c>
      <c r="E344" s="91">
        <f>IFERROR(INDEX(Firms!$C$5:$C$1004,MATCH(340,Firms!$U$5:$U$1004,0))&amp;"","")</f>
        <v/>
      </c>
      <c r="F344" s="79">
        <f>IFERROR(INDEX(Firms!$N$5:$N$1004,MATCH(340,Firms!$U$5:$U$1004,0))&amp;"","")</f>
        <v/>
      </c>
      <c r="G344" s="79">
        <f>IFERROR(INDEX(Firms!$P$5:$P$1004,MATCH(340,Firms!$U$5:$U$1004,0))&amp;"","")</f>
        <v/>
      </c>
      <c r="H344" s="91">
        <f>IFERROR(INDEX(Firms!$T$5:$T$1004,MATCH(340,Firms!$U$5:$U$1004,0))&amp;"","")</f>
        <v/>
      </c>
    </row>
    <row r="345">
      <c r="A345" s="79">
        <f>IF(B345="","",341)</f>
        <v/>
      </c>
      <c r="B345" s="91">
        <f>IFERROR(INDEX(Firms!$A$5:$A$1004,MATCH(341,Firms!$U$5:$U$1004,0))&amp;"","")</f>
        <v/>
      </c>
      <c r="C345" s="88">
        <f>IFERROR(IF(INDEX(Firms!$R$5:$R$1004,MATCH(341,Firms!$U$5:$U$1004,0))="","",INDEX(Firms!$R$5:$R$1004,MATCH(341,Firms!$U$5:$U$1004,0))),"")</f>
        <v/>
      </c>
      <c r="D345" s="91">
        <f>IFERROR(INDEX(Firms!$S$5:$S$1004,MATCH(341,Firms!$U$5:$U$1004,0))&amp;"","")</f>
        <v/>
      </c>
      <c r="E345" s="91">
        <f>IFERROR(INDEX(Firms!$C$5:$C$1004,MATCH(341,Firms!$U$5:$U$1004,0))&amp;"","")</f>
        <v/>
      </c>
      <c r="F345" s="79">
        <f>IFERROR(INDEX(Firms!$N$5:$N$1004,MATCH(341,Firms!$U$5:$U$1004,0))&amp;"","")</f>
        <v/>
      </c>
      <c r="G345" s="79">
        <f>IFERROR(INDEX(Firms!$P$5:$P$1004,MATCH(341,Firms!$U$5:$U$1004,0))&amp;"","")</f>
        <v/>
      </c>
      <c r="H345" s="91">
        <f>IFERROR(INDEX(Firms!$T$5:$T$1004,MATCH(341,Firms!$U$5:$U$1004,0))&amp;"","")</f>
        <v/>
      </c>
    </row>
    <row r="346">
      <c r="A346" s="79">
        <f>IF(B346="","",342)</f>
        <v/>
      </c>
      <c r="B346" s="91">
        <f>IFERROR(INDEX(Firms!$A$5:$A$1004,MATCH(342,Firms!$U$5:$U$1004,0))&amp;"","")</f>
        <v/>
      </c>
      <c r="C346" s="88">
        <f>IFERROR(IF(INDEX(Firms!$R$5:$R$1004,MATCH(342,Firms!$U$5:$U$1004,0))="","",INDEX(Firms!$R$5:$R$1004,MATCH(342,Firms!$U$5:$U$1004,0))),"")</f>
        <v/>
      </c>
      <c r="D346" s="91">
        <f>IFERROR(INDEX(Firms!$S$5:$S$1004,MATCH(342,Firms!$U$5:$U$1004,0))&amp;"","")</f>
        <v/>
      </c>
      <c r="E346" s="91">
        <f>IFERROR(INDEX(Firms!$C$5:$C$1004,MATCH(342,Firms!$U$5:$U$1004,0))&amp;"","")</f>
        <v/>
      </c>
      <c r="F346" s="79">
        <f>IFERROR(INDEX(Firms!$N$5:$N$1004,MATCH(342,Firms!$U$5:$U$1004,0))&amp;"","")</f>
        <v/>
      </c>
      <c r="G346" s="79">
        <f>IFERROR(INDEX(Firms!$P$5:$P$1004,MATCH(342,Firms!$U$5:$U$1004,0))&amp;"","")</f>
        <v/>
      </c>
      <c r="H346" s="91">
        <f>IFERROR(INDEX(Firms!$T$5:$T$1004,MATCH(342,Firms!$U$5:$U$1004,0))&amp;"","")</f>
        <v/>
      </c>
    </row>
    <row r="347">
      <c r="A347" s="79">
        <f>IF(B347="","",343)</f>
        <v/>
      </c>
      <c r="B347" s="91">
        <f>IFERROR(INDEX(Firms!$A$5:$A$1004,MATCH(343,Firms!$U$5:$U$1004,0))&amp;"","")</f>
        <v/>
      </c>
      <c r="C347" s="88">
        <f>IFERROR(IF(INDEX(Firms!$R$5:$R$1004,MATCH(343,Firms!$U$5:$U$1004,0))="","",INDEX(Firms!$R$5:$R$1004,MATCH(343,Firms!$U$5:$U$1004,0))),"")</f>
        <v/>
      </c>
      <c r="D347" s="91">
        <f>IFERROR(INDEX(Firms!$S$5:$S$1004,MATCH(343,Firms!$U$5:$U$1004,0))&amp;"","")</f>
        <v/>
      </c>
      <c r="E347" s="91">
        <f>IFERROR(INDEX(Firms!$C$5:$C$1004,MATCH(343,Firms!$U$5:$U$1004,0))&amp;"","")</f>
        <v/>
      </c>
      <c r="F347" s="79">
        <f>IFERROR(INDEX(Firms!$N$5:$N$1004,MATCH(343,Firms!$U$5:$U$1004,0))&amp;"","")</f>
        <v/>
      </c>
      <c r="G347" s="79">
        <f>IFERROR(INDEX(Firms!$P$5:$P$1004,MATCH(343,Firms!$U$5:$U$1004,0))&amp;"","")</f>
        <v/>
      </c>
      <c r="H347" s="91">
        <f>IFERROR(INDEX(Firms!$T$5:$T$1004,MATCH(343,Firms!$U$5:$U$1004,0))&amp;"","")</f>
        <v/>
      </c>
    </row>
    <row r="348">
      <c r="A348" s="79">
        <f>IF(B348="","",344)</f>
        <v/>
      </c>
      <c r="B348" s="91">
        <f>IFERROR(INDEX(Firms!$A$5:$A$1004,MATCH(344,Firms!$U$5:$U$1004,0))&amp;"","")</f>
        <v/>
      </c>
      <c r="C348" s="88">
        <f>IFERROR(IF(INDEX(Firms!$R$5:$R$1004,MATCH(344,Firms!$U$5:$U$1004,0))="","",INDEX(Firms!$R$5:$R$1004,MATCH(344,Firms!$U$5:$U$1004,0))),"")</f>
        <v/>
      </c>
      <c r="D348" s="91">
        <f>IFERROR(INDEX(Firms!$S$5:$S$1004,MATCH(344,Firms!$U$5:$U$1004,0))&amp;"","")</f>
        <v/>
      </c>
      <c r="E348" s="91">
        <f>IFERROR(INDEX(Firms!$C$5:$C$1004,MATCH(344,Firms!$U$5:$U$1004,0))&amp;"","")</f>
        <v/>
      </c>
      <c r="F348" s="79">
        <f>IFERROR(INDEX(Firms!$N$5:$N$1004,MATCH(344,Firms!$U$5:$U$1004,0))&amp;"","")</f>
        <v/>
      </c>
      <c r="G348" s="79">
        <f>IFERROR(INDEX(Firms!$P$5:$P$1004,MATCH(344,Firms!$U$5:$U$1004,0))&amp;"","")</f>
        <v/>
      </c>
      <c r="H348" s="91">
        <f>IFERROR(INDEX(Firms!$T$5:$T$1004,MATCH(344,Firms!$U$5:$U$1004,0))&amp;"","")</f>
        <v/>
      </c>
    </row>
    <row r="349">
      <c r="A349" s="79">
        <f>IF(B349="","",345)</f>
        <v/>
      </c>
      <c r="B349" s="91">
        <f>IFERROR(INDEX(Firms!$A$5:$A$1004,MATCH(345,Firms!$U$5:$U$1004,0))&amp;"","")</f>
        <v/>
      </c>
      <c r="C349" s="88">
        <f>IFERROR(IF(INDEX(Firms!$R$5:$R$1004,MATCH(345,Firms!$U$5:$U$1004,0))="","",INDEX(Firms!$R$5:$R$1004,MATCH(345,Firms!$U$5:$U$1004,0))),"")</f>
        <v/>
      </c>
      <c r="D349" s="91">
        <f>IFERROR(INDEX(Firms!$S$5:$S$1004,MATCH(345,Firms!$U$5:$U$1004,0))&amp;"","")</f>
        <v/>
      </c>
      <c r="E349" s="91">
        <f>IFERROR(INDEX(Firms!$C$5:$C$1004,MATCH(345,Firms!$U$5:$U$1004,0))&amp;"","")</f>
        <v/>
      </c>
      <c r="F349" s="79">
        <f>IFERROR(INDEX(Firms!$N$5:$N$1004,MATCH(345,Firms!$U$5:$U$1004,0))&amp;"","")</f>
        <v/>
      </c>
      <c r="G349" s="79">
        <f>IFERROR(INDEX(Firms!$P$5:$P$1004,MATCH(345,Firms!$U$5:$U$1004,0))&amp;"","")</f>
        <v/>
      </c>
      <c r="H349" s="91">
        <f>IFERROR(INDEX(Firms!$T$5:$T$1004,MATCH(345,Firms!$U$5:$U$1004,0))&amp;"","")</f>
        <v/>
      </c>
    </row>
    <row r="350">
      <c r="A350" s="79">
        <f>IF(B350="","",346)</f>
        <v/>
      </c>
      <c r="B350" s="91">
        <f>IFERROR(INDEX(Firms!$A$5:$A$1004,MATCH(346,Firms!$U$5:$U$1004,0))&amp;"","")</f>
        <v/>
      </c>
      <c r="C350" s="88">
        <f>IFERROR(IF(INDEX(Firms!$R$5:$R$1004,MATCH(346,Firms!$U$5:$U$1004,0))="","",INDEX(Firms!$R$5:$R$1004,MATCH(346,Firms!$U$5:$U$1004,0))),"")</f>
        <v/>
      </c>
      <c r="D350" s="91">
        <f>IFERROR(INDEX(Firms!$S$5:$S$1004,MATCH(346,Firms!$U$5:$U$1004,0))&amp;"","")</f>
        <v/>
      </c>
      <c r="E350" s="91">
        <f>IFERROR(INDEX(Firms!$C$5:$C$1004,MATCH(346,Firms!$U$5:$U$1004,0))&amp;"","")</f>
        <v/>
      </c>
      <c r="F350" s="79">
        <f>IFERROR(INDEX(Firms!$N$5:$N$1004,MATCH(346,Firms!$U$5:$U$1004,0))&amp;"","")</f>
        <v/>
      </c>
      <c r="G350" s="79">
        <f>IFERROR(INDEX(Firms!$P$5:$P$1004,MATCH(346,Firms!$U$5:$U$1004,0))&amp;"","")</f>
        <v/>
      </c>
      <c r="H350" s="91">
        <f>IFERROR(INDEX(Firms!$T$5:$T$1004,MATCH(346,Firms!$U$5:$U$1004,0))&amp;"","")</f>
        <v/>
      </c>
    </row>
    <row r="351">
      <c r="A351" s="79">
        <f>IF(B351="","",347)</f>
        <v/>
      </c>
      <c r="B351" s="91">
        <f>IFERROR(INDEX(Firms!$A$5:$A$1004,MATCH(347,Firms!$U$5:$U$1004,0))&amp;"","")</f>
        <v/>
      </c>
      <c r="C351" s="88">
        <f>IFERROR(IF(INDEX(Firms!$R$5:$R$1004,MATCH(347,Firms!$U$5:$U$1004,0))="","",INDEX(Firms!$R$5:$R$1004,MATCH(347,Firms!$U$5:$U$1004,0))),"")</f>
        <v/>
      </c>
      <c r="D351" s="91">
        <f>IFERROR(INDEX(Firms!$S$5:$S$1004,MATCH(347,Firms!$U$5:$U$1004,0))&amp;"","")</f>
        <v/>
      </c>
      <c r="E351" s="91">
        <f>IFERROR(INDEX(Firms!$C$5:$C$1004,MATCH(347,Firms!$U$5:$U$1004,0))&amp;"","")</f>
        <v/>
      </c>
      <c r="F351" s="79">
        <f>IFERROR(INDEX(Firms!$N$5:$N$1004,MATCH(347,Firms!$U$5:$U$1004,0))&amp;"","")</f>
        <v/>
      </c>
      <c r="G351" s="79">
        <f>IFERROR(INDEX(Firms!$P$5:$P$1004,MATCH(347,Firms!$U$5:$U$1004,0))&amp;"","")</f>
        <v/>
      </c>
      <c r="H351" s="91">
        <f>IFERROR(INDEX(Firms!$T$5:$T$1004,MATCH(347,Firms!$U$5:$U$1004,0))&amp;"","")</f>
        <v/>
      </c>
    </row>
    <row r="352">
      <c r="A352" s="79">
        <f>IF(B352="","",348)</f>
        <v/>
      </c>
      <c r="B352" s="91">
        <f>IFERROR(INDEX(Firms!$A$5:$A$1004,MATCH(348,Firms!$U$5:$U$1004,0))&amp;"","")</f>
        <v/>
      </c>
      <c r="C352" s="88">
        <f>IFERROR(IF(INDEX(Firms!$R$5:$R$1004,MATCH(348,Firms!$U$5:$U$1004,0))="","",INDEX(Firms!$R$5:$R$1004,MATCH(348,Firms!$U$5:$U$1004,0))),"")</f>
        <v/>
      </c>
      <c r="D352" s="91">
        <f>IFERROR(INDEX(Firms!$S$5:$S$1004,MATCH(348,Firms!$U$5:$U$1004,0))&amp;"","")</f>
        <v/>
      </c>
      <c r="E352" s="91">
        <f>IFERROR(INDEX(Firms!$C$5:$C$1004,MATCH(348,Firms!$U$5:$U$1004,0))&amp;"","")</f>
        <v/>
      </c>
      <c r="F352" s="79">
        <f>IFERROR(INDEX(Firms!$N$5:$N$1004,MATCH(348,Firms!$U$5:$U$1004,0))&amp;"","")</f>
        <v/>
      </c>
      <c r="G352" s="79">
        <f>IFERROR(INDEX(Firms!$P$5:$P$1004,MATCH(348,Firms!$U$5:$U$1004,0))&amp;"","")</f>
        <v/>
      </c>
      <c r="H352" s="91">
        <f>IFERROR(INDEX(Firms!$T$5:$T$1004,MATCH(348,Firms!$U$5:$U$1004,0))&amp;"","")</f>
        <v/>
      </c>
    </row>
    <row r="353">
      <c r="A353" s="79">
        <f>IF(B353="","",349)</f>
        <v/>
      </c>
      <c r="B353" s="91">
        <f>IFERROR(INDEX(Firms!$A$5:$A$1004,MATCH(349,Firms!$U$5:$U$1004,0))&amp;"","")</f>
        <v/>
      </c>
      <c r="C353" s="88">
        <f>IFERROR(IF(INDEX(Firms!$R$5:$R$1004,MATCH(349,Firms!$U$5:$U$1004,0))="","",INDEX(Firms!$R$5:$R$1004,MATCH(349,Firms!$U$5:$U$1004,0))),"")</f>
        <v/>
      </c>
      <c r="D353" s="91">
        <f>IFERROR(INDEX(Firms!$S$5:$S$1004,MATCH(349,Firms!$U$5:$U$1004,0))&amp;"","")</f>
        <v/>
      </c>
      <c r="E353" s="91">
        <f>IFERROR(INDEX(Firms!$C$5:$C$1004,MATCH(349,Firms!$U$5:$U$1004,0))&amp;"","")</f>
        <v/>
      </c>
      <c r="F353" s="79">
        <f>IFERROR(INDEX(Firms!$N$5:$N$1004,MATCH(349,Firms!$U$5:$U$1004,0))&amp;"","")</f>
        <v/>
      </c>
      <c r="G353" s="79">
        <f>IFERROR(INDEX(Firms!$P$5:$P$1004,MATCH(349,Firms!$U$5:$U$1004,0))&amp;"","")</f>
        <v/>
      </c>
      <c r="H353" s="91">
        <f>IFERROR(INDEX(Firms!$T$5:$T$1004,MATCH(349,Firms!$U$5:$U$1004,0))&amp;"","")</f>
        <v/>
      </c>
    </row>
    <row r="354">
      <c r="A354" s="79">
        <f>IF(B354="","",350)</f>
        <v/>
      </c>
      <c r="B354" s="91">
        <f>IFERROR(INDEX(Firms!$A$5:$A$1004,MATCH(350,Firms!$U$5:$U$1004,0))&amp;"","")</f>
        <v/>
      </c>
      <c r="C354" s="88">
        <f>IFERROR(IF(INDEX(Firms!$R$5:$R$1004,MATCH(350,Firms!$U$5:$U$1004,0))="","",INDEX(Firms!$R$5:$R$1004,MATCH(350,Firms!$U$5:$U$1004,0))),"")</f>
        <v/>
      </c>
      <c r="D354" s="91">
        <f>IFERROR(INDEX(Firms!$S$5:$S$1004,MATCH(350,Firms!$U$5:$U$1004,0))&amp;"","")</f>
        <v/>
      </c>
      <c r="E354" s="91">
        <f>IFERROR(INDEX(Firms!$C$5:$C$1004,MATCH(350,Firms!$U$5:$U$1004,0))&amp;"","")</f>
        <v/>
      </c>
      <c r="F354" s="79">
        <f>IFERROR(INDEX(Firms!$N$5:$N$1004,MATCH(350,Firms!$U$5:$U$1004,0))&amp;"","")</f>
        <v/>
      </c>
      <c r="G354" s="79">
        <f>IFERROR(INDEX(Firms!$P$5:$P$1004,MATCH(350,Firms!$U$5:$U$1004,0))&amp;"","")</f>
        <v/>
      </c>
      <c r="H354" s="91">
        <f>IFERROR(INDEX(Firms!$T$5:$T$1004,MATCH(350,Firms!$U$5:$U$1004,0))&amp;"","")</f>
        <v/>
      </c>
    </row>
    <row r="355">
      <c r="A355" s="79">
        <f>IF(B355="","",351)</f>
        <v/>
      </c>
      <c r="B355" s="91">
        <f>IFERROR(INDEX(Firms!$A$5:$A$1004,MATCH(351,Firms!$U$5:$U$1004,0))&amp;"","")</f>
        <v/>
      </c>
      <c r="C355" s="88">
        <f>IFERROR(IF(INDEX(Firms!$R$5:$R$1004,MATCH(351,Firms!$U$5:$U$1004,0))="","",INDEX(Firms!$R$5:$R$1004,MATCH(351,Firms!$U$5:$U$1004,0))),"")</f>
        <v/>
      </c>
      <c r="D355" s="91">
        <f>IFERROR(INDEX(Firms!$S$5:$S$1004,MATCH(351,Firms!$U$5:$U$1004,0))&amp;"","")</f>
        <v/>
      </c>
      <c r="E355" s="91">
        <f>IFERROR(INDEX(Firms!$C$5:$C$1004,MATCH(351,Firms!$U$5:$U$1004,0))&amp;"","")</f>
        <v/>
      </c>
      <c r="F355" s="79">
        <f>IFERROR(INDEX(Firms!$N$5:$N$1004,MATCH(351,Firms!$U$5:$U$1004,0))&amp;"","")</f>
        <v/>
      </c>
      <c r="G355" s="79">
        <f>IFERROR(INDEX(Firms!$P$5:$P$1004,MATCH(351,Firms!$U$5:$U$1004,0))&amp;"","")</f>
        <v/>
      </c>
      <c r="H355" s="91">
        <f>IFERROR(INDEX(Firms!$T$5:$T$1004,MATCH(351,Firms!$U$5:$U$1004,0))&amp;"","")</f>
        <v/>
      </c>
    </row>
    <row r="356">
      <c r="A356" s="79">
        <f>IF(B356="","",352)</f>
        <v/>
      </c>
      <c r="B356" s="91">
        <f>IFERROR(INDEX(Firms!$A$5:$A$1004,MATCH(352,Firms!$U$5:$U$1004,0))&amp;"","")</f>
        <v/>
      </c>
      <c r="C356" s="88">
        <f>IFERROR(IF(INDEX(Firms!$R$5:$R$1004,MATCH(352,Firms!$U$5:$U$1004,0))="","",INDEX(Firms!$R$5:$R$1004,MATCH(352,Firms!$U$5:$U$1004,0))),"")</f>
        <v/>
      </c>
      <c r="D356" s="91">
        <f>IFERROR(INDEX(Firms!$S$5:$S$1004,MATCH(352,Firms!$U$5:$U$1004,0))&amp;"","")</f>
        <v/>
      </c>
      <c r="E356" s="91">
        <f>IFERROR(INDEX(Firms!$C$5:$C$1004,MATCH(352,Firms!$U$5:$U$1004,0))&amp;"","")</f>
        <v/>
      </c>
      <c r="F356" s="79">
        <f>IFERROR(INDEX(Firms!$N$5:$N$1004,MATCH(352,Firms!$U$5:$U$1004,0))&amp;"","")</f>
        <v/>
      </c>
      <c r="G356" s="79">
        <f>IFERROR(INDEX(Firms!$P$5:$P$1004,MATCH(352,Firms!$U$5:$U$1004,0))&amp;"","")</f>
        <v/>
      </c>
      <c r="H356" s="91">
        <f>IFERROR(INDEX(Firms!$T$5:$T$1004,MATCH(352,Firms!$U$5:$U$1004,0))&amp;"","")</f>
        <v/>
      </c>
    </row>
    <row r="357">
      <c r="A357" s="79">
        <f>IF(B357="","",353)</f>
        <v/>
      </c>
      <c r="B357" s="91">
        <f>IFERROR(INDEX(Firms!$A$5:$A$1004,MATCH(353,Firms!$U$5:$U$1004,0))&amp;"","")</f>
        <v/>
      </c>
      <c r="C357" s="88">
        <f>IFERROR(IF(INDEX(Firms!$R$5:$R$1004,MATCH(353,Firms!$U$5:$U$1004,0))="","",INDEX(Firms!$R$5:$R$1004,MATCH(353,Firms!$U$5:$U$1004,0))),"")</f>
        <v/>
      </c>
      <c r="D357" s="91">
        <f>IFERROR(INDEX(Firms!$S$5:$S$1004,MATCH(353,Firms!$U$5:$U$1004,0))&amp;"","")</f>
        <v/>
      </c>
      <c r="E357" s="91">
        <f>IFERROR(INDEX(Firms!$C$5:$C$1004,MATCH(353,Firms!$U$5:$U$1004,0))&amp;"","")</f>
        <v/>
      </c>
      <c r="F357" s="79">
        <f>IFERROR(INDEX(Firms!$N$5:$N$1004,MATCH(353,Firms!$U$5:$U$1004,0))&amp;"","")</f>
        <v/>
      </c>
      <c r="G357" s="79">
        <f>IFERROR(INDEX(Firms!$P$5:$P$1004,MATCH(353,Firms!$U$5:$U$1004,0))&amp;"","")</f>
        <v/>
      </c>
      <c r="H357" s="91">
        <f>IFERROR(INDEX(Firms!$T$5:$T$1004,MATCH(353,Firms!$U$5:$U$1004,0))&amp;"","")</f>
        <v/>
      </c>
    </row>
    <row r="358">
      <c r="A358" s="79">
        <f>IF(B358="","",354)</f>
        <v/>
      </c>
      <c r="B358" s="91">
        <f>IFERROR(INDEX(Firms!$A$5:$A$1004,MATCH(354,Firms!$U$5:$U$1004,0))&amp;"","")</f>
        <v/>
      </c>
      <c r="C358" s="88">
        <f>IFERROR(IF(INDEX(Firms!$R$5:$R$1004,MATCH(354,Firms!$U$5:$U$1004,0))="","",INDEX(Firms!$R$5:$R$1004,MATCH(354,Firms!$U$5:$U$1004,0))),"")</f>
        <v/>
      </c>
      <c r="D358" s="91">
        <f>IFERROR(INDEX(Firms!$S$5:$S$1004,MATCH(354,Firms!$U$5:$U$1004,0))&amp;"","")</f>
        <v/>
      </c>
      <c r="E358" s="91">
        <f>IFERROR(INDEX(Firms!$C$5:$C$1004,MATCH(354,Firms!$U$5:$U$1004,0))&amp;"","")</f>
        <v/>
      </c>
      <c r="F358" s="79">
        <f>IFERROR(INDEX(Firms!$N$5:$N$1004,MATCH(354,Firms!$U$5:$U$1004,0))&amp;"","")</f>
        <v/>
      </c>
      <c r="G358" s="79">
        <f>IFERROR(INDEX(Firms!$P$5:$P$1004,MATCH(354,Firms!$U$5:$U$1004,0))&amp;"","")</f>
        <v/>
      </c>
      <c r="H358" s="91">
        <f>IFERROR(INDEX(Firms!$T$5:$T$1004,MATCH(354,Firms!$U$5:$U$1004,0))&amp;"","")</f>
        <v/>
      </c>
    </row>
    <row r="359">
      <c r="A359" s="79">
        <f>IF(B359="","",355)</f>
        <v/>
      </c>
      <c r="B359" s="91">
        <f>IFERROR(INDEX(Firms!$A$5:$A$1004,MATCH(355,Firms!$U$5:$U$1004,0))&amp;"","")</f>
        <v/>
      </c>
      <c r="C359" s="88">
        <f>IFERROR(IF(INDEX(Firms!$R$5:$R$1004,MATCH(355,Firms!$U$5:$U$1004,0))="","",INDEX(Firms!$R$5:$R$1004,MATCH(355,Firms!$U$5:$U$1004,0))),"")</f>
        <v/>
      </c>
      <c r="D359" s="91">
        <f>IFERROR(INDEX(Firms!$S$5:$S$1004,MATCH(355,Firms!$U$5:$U$1004,0))&amp;"","")</f>
        <v/>
      </c>
      <c r="E359" s="91">
        <f>IFERROR(INDEX(Firms!$C$5:$C$1004,MATCH(355,Firms!$U$5:$U$1004,0))&amp;"","")</f>
        <v/>
      </c>
      <c r="F359" s="79">
        <f>IFERROR(INDEX(Firms!$N$5:$N$1004,MATCH(355,Firms!$U$5:$U$1004,0))&amp;"","")</f>
        <v/>
      </c>
      <c r="G359" s="79">
        <f>IFERROR(INDEX(Firms!$P$5:$P$1004,MATCH(355,Firms!$U$5:$U$1004,0))&amp;"","")</f>
        <v/>
      </c>
      <c r="H359" s="91">
        <f>IFERROR(INDEX(Firms!$T$5:$T$1004,MATCH(355,Firms!$U$5:$U$1004,0))&amp;"","")</f>
        <v/>
      </c>
    </row>
    <row r="360">
      <c r="A360" s="79">
        <f>IF(B360="","",356)</f>
        <v/>
      </c>
      <c r="B360" s="91">
        <f>IFERROR(INDEX(Firms!$A$5:$A$1004,MATCH(356,Firms!$U$5:$U$1004,0))&amp;"","")</f>
        <v/>
      </c>
      <c r="C360" s="88">
        <f>IFERROR(IF(INDEX(Firms!$R$5:$R$1004,MATCH(356,Firms!$U$5:$U$1004,0))="","",INDEX(Firms!$R$5:$R$1004,MATCH(356,Firms!$U$5:$U$1004,0))),"")</f>
        <v/>
      </c>
      <c r="D360" s="91">
        <f>IFERROR(INDEX(Firms!$S$5:$S$1004,MATCH(356,Firms!$U$5:$U$1004,0))&amp;"","")</f>
        <v/>
      </c>
      <c r="E360" s="91">
        <f>IFERROR(INDEX(Firms!$C$5:$C$1004,MATCH(356,Firms!$U$5:$U$1004,0))&amp;"","")</f>
        <v/>
      </c>
      <c r="F360" s="79">
        <f>IFERROR(INDEX(Firms!$N$5:$N$1004,MATCH(356,Firms!$U$5:$U$1004,0))&amp;"","")</f>
        <v/>
      </c>
      <c r="G360" s="79">
        <f>IFERROR(INDEX(Firms!$P$5:$P$1004,MATCH(356,Firms!$U$5:$U$1004,0))&amp;"","")</f>
        <v/>
      </c>
      <c r="H360" s="91">
        <f>IFERROR(INDEX(Firms!$T$5:$T$1004,MATCH(356,Firms!$U$5:$U$1004,0))&amp;"","")</f>
        <v/>
      </c>
    </row>
    <row r="361">
      <c r="A361" s="79">
        <f>IF(B361="","",357)</f>
        <v/>
      </c>
      <c r="B361" s="91">
        <f>IFERROR(INDEX(Firms!$A$5:$A$1004,MATCH(357,Firms!$U$5:$U$1004,0))&amp;"","")</f>
        <v/>
      </c>
      <c r="C361" s="88">
        <f>IFERROR(IF(INDEX(Firms!$R$5:$R$1004,MATCH(357,Firms!$U$5:$U$1004,0))="","",INDEX(Firms!$R$5:$R$1004,MATCH(357,Firms!$U$5:$U$1004,0))),"")</f>
        <v/>
      </c>
      <c r="D361" s="91">
        <f>IFERROR(INDEX(Firms!$S$5:$S$1004,MATCH(357,Firms!$U$5:$U$1004,0))&amp;"","")</f>
        <v/>
      </c>
      <c r="E361" s="91">
        <f>IFERROR(INDEX(Firms!$C$5:$C$1004,MATCH(357,Firms!$U$5:$U$1004,0))&amp;"","")</f>
        <v/>
      </c>
      <c r="F361" s="79">
        <f>IFERROR(INDEX(Firms!$N$5:$N$1004,MATCH(357,Firms!$U$5:$U$1004,0))&amp;"","")</f>
        <v/>
      </c>
      <c r="G361" s="79">
        <f>IFERROR(INDEX(Firms!$P$5:$P$1004,MATCH(357,Firms!$U$5:$U$1004,0))&amp;"","")</f>
        <v/>
      </c>
      <c r="H361" s="91">
        <f>IFERROR(INDEX(Firms!$T$5:$T$1004,MATCH(357,Firms!$U$5:$U$1004,0))&amp;"","")</f>
        <v/>
      </c>
    </row>
    <row r="362">
      <c r="A362" s="79">
        <f>IF(B362="","",358)</f>
        <v/>
      </c>
      <c r="B362" s="91">
        <f>IFERROR(INDEX(Firms!$A$5:$A$1004,MATCH(358,Firms!$U$5:$U$1004,0))&amp;"","")</f>
        <v/>
      </c>
      <c r="C362" s="88">
        <f>IFERROR(IF(INDEX(Firms!$R$5:$R$1004,MATCH(358,Firms!$U$5:$U$1004,0))="","",INDEX(Firms!$R$5:$R$1004,MATCH(358,Firms!$U$5:$U$1004,0))),"")</f>
        <v/>
      </c>
      <c r="D362" s="91">
        <f>IFERROR(INDEX(Firms!$S$5:$S$1004,MATCH(358,Firms!$U$5:$U$1004,0))&amp;"","")</f>
        <v/>
      </c>
      <c r="E362" s="91">
        <f>IFERROR(INDEX(Firms!$C$5:$C$1004,MATCH(358,Firms!$U$5:$U$1004,0))&amp;"","")</f>
        <v/>
      </c>
      <c r="F362" s="79">
        <f>IFERROR(INDEX(Firms!$N$5:$N$1004,MATCH(358,Firms!$U$5:$U$1004,0))&amp;"","")</f>
        <v/>
      </c>
      <c r="G362" s="79">
        <f>IFERROR(INDEX(Firms!$P$5:$P$1004,MATCH(358,Firms!$U$5:$U$1004,0))&amp;"","")</f>
        <v/>
      </c>
      <c r="H362" s="91">
        <f>IFERROR(INDEX(Firms!$T$5:$T$1004,MATCH(358,Firms!$U$5:$U$1004,0))&amp;"","")</f>
        <v/>
      </c>
    </row>
    <row r="363">
      <c r="A363" s="79">
        <f>IF(B363="","",359)</f>
        <v/>
      </c>
      <c r="B363" s="91">
        <f>IFERROR(INDEX(Firms!$A$5:$A$1004,MATCH(359,Firms!$U$5:$U$1004,0))&amp;"","")</f>
        <v/>
      </c>
      <c r="C363" s="88">
        <f>IFERROR(IF(INDEX(Firms!$R$5:$R$1004,MATCH(359,Firms!$U$5:$U$1004,0))="","",INDEX(Firms!$R$5:$R$1004,MATCH(359,Firms!$U$5:$U$1004,0))),"")</f>
        <v/>
      </c>
      <c r="D363" s="91">
        <f>IFERROR(INDEX(Firms!$S$5:$S$1004,MATCH(359,Firms!$U$5:$U$1004,0))&amp;"","")</f>
        <v/>
      </c>
      <c r="E363" s="91">
        <f>IFERROR(INDEX(Firms!$C$5:$C$1004,MATCH(359,Firms!$U$5:$U$1004,0))&amp;"","")</f>
        <v/>
      </c>
      <c r="F363" s="79">
        <f>IFERROR(INDEX(Firms!$N$5:$N$1004,MATCH(359,Firms!$U$5:$U$1004,0))&amp;"","")</f>
        <v/>
      </c>
      <c r="G363" s="79">
        <f>IFERROR(INDEX(Firms!$P$5:$P$1004,MATCH(359,Firms!$U$5:$U$1004,0))&amp;"","")</f>
        <v/>
      </c>
      <c r="H363" s="91">
        <f>IFERROR(INDEX(Firms!$T$5:$T$1004,MATCH(359,Firms!$U$5:$U$1004,0))&amp;"","")</f>
        <v/>
      </c>
    </row>
    <row r="364">
      <c r="A364" s="79">
        <f>IF(B364="","",360)</f>
        <v/>
      </c>
      <c r="B364" s="91">
        <f>IFERROR(INDEX(Firms!$A$5:$A$1004,MATCH(360,Firms!$U$5:$U$1004,0))&amp;"","")</f>
        <v/>
      </c>
      <c r="C364" s="88">
        <f>IFERROR(IF(INDEX(Firms!$R$5:$R$1004,MATCH(360,Firms!$U$5:$U$1004,0))="","",INDEX(Firms!$R$5:$R$1004,MATCH(360,Firms!$U$5:$U$1004,0))),"")</f>
        <v/>
      </c>
      <c r="D364" s="91">
        <f>IFERROR(INDEX(Firms!$S$5:$S$1004,MATCH(360,Firms!$U$5:$U$1004,0))&amp;"","")</f>
        <v/>
      </c>
      <c r="E364" s="91">
        <f>IFERROR(INDEX(Firms!$C$5:$C$1004,MATCH(360,Firms!$U$5:$U$1004,0))&amp;"","")</f>
        <v/>
      </c>
      <c r="F364" s="79">
        <f>IFERROR(INDEX(Firms!$N$5:$N$1004,MATCH(360,Firms!$U$5:$U$1004,0))&amp;"","")</f>
        <v/>
      </c>
      <c r="G364" s="79">
        <f>IFERROR(INDEX(Firms!$P$5:$P$1004,MATCH(360,Firms!$U$5:$U$1004,0))&amp;"","")</f>
        <v/>
      </c>
      <c r="H364" s="91">
        <f>IFERROR(INDEX(Firms!$T$5:$T$1004,MATCH(360,Firms!$U$5:$U$1004,0))&amp;"","")</f>
        <v/>
      </c>
    </row>
    <row r="365">
      <c r="A365" s="79">
        <f>IF(B365="","",361)</f>
        <v/>
      </c>
      <c r="B365" s="91">
        <f>IFERROR(INDEX(Firms!$A$5:$A$1004,MATCH(361,Firms!$U$5:$U$1004,0))&amp;"","")</f>
        <v/>
      </c>
      <c r="C365" s="88">
        <f>IFERROR(IF(INDEX(Firms!$R$5:$R$1004,MATCH(361,Firms!$U$5:$U$1004,0))="","",INDEX(Firms!$R$5:$R$1004,MATCH(361,Firms!$U$5:$U$1004,0))),"")</f>
        <v/>
      </c>
      <c r="D365" s="91">
        <f>IFERROR(INDEX(Firms!$S$5:$S$1004,MATCH(361,Firms!$U$5:$U$1004,0))&amp;"","")</f>
        <v/>
      </c>
      <c r="E365" s="91">
        <f>IFERROR(INDEX(Firms!$C$5:$C$1004,MATCH(361,Firms!$U$5:$U$1004,0))&amp;"","")</f>
        <v/>
      </c>
      <c r="F365" s="79">
        <f>IFERROR(INDEX(Firms!$N$5:$N$1004,MATCH(361,Firms!$U$5:$U$1004,0))&amp;"","")</f>
        <v/>
      </c>
      <c r="G365" s="79">
        <f>IFERROR(INDEX(Firms!$P$5:$P$1004,MATCH(361,Firms!$U$5:$U$1004,0))&amp;"","")</f>
        <v/>
      </c>
      <c r="H365" s="91">
        <f>IFERROR(INDEX(Firms!$T$5:$T$1004,MATCH(361,Firms!$U$5:$U$1004,0))&amp;"","")</f>
        <v/>
      </c>
    </row>
    <row r="366">
      <c r="A366" s="79">
        <f>IF(B366="","",362)</f>
        <v/>
      </c>
      <c r="B366" s="91">
        <f>IFERROR(INDEX(Firms!$A$5:$A$1004,MATCH(362,Firms!$U$5:$U$1004,0))&amp;"","")</f>
        <v/>
      </c>
      <c r="C366" s="88">
        <f>IFERROR(IF(INDEX(Firms!$R$5:$R$1004,MATCH(362,Firms!$U$5:$U$1004,0))="","",INDEX(Firms!$R$5:$R$1004,MATCH(362,Firms!$U$5:$U$1004,0))),"")</f>
        <v/>
      </c>
      <c r="D366" s="91">
        <f>IFERROR(INDEX(Firms!$S$5:$S$1004,MATCH(362,Firms!$U$5:$U$1004,0))&amp;"","")</f>
        <v/>
      </c>
      <c r="E366" s="91">
        <f>IFERROR(INDEX(Firms!$C$5:$C$1004,MATCH(362,Firms!$U$5:$U$1004,0))&amp;"","")</f>
        <v/>
      </c>
      <c r="F366" s="79">
        <f>IFERROR(INDEX(Firms!$N$5:$N$1004,MATCH(362,Firms!$U$5:$U$1004,0))&amp;"","")</f>
        <v/>
      </c>
      <c r="G366" s="79">
        <f>IFERROR(INDEX(Firms!$P$5:$P$1004,MATCH(362,Firms!$U$5:$U$1004,0))&amp;"","")</f>
        <v/>
      </c>
      <c r="H366" s="91">
        <f>IFERROR(INDEX(Firms!$T$5:$T$1004,MATCH(362,Firms!$U$5:$U$1004,0))&amp;"","")</f>
        <v/>
      </c>
    </row>
    <row r="367">
      <c r="A367" s="79">
        <f>IF(B367="","",363)</f>
        <v/>
      </c>
      <c r="B367" s="91">
        <f>IFERROR(INDEX(Firms!$A$5:$A$1004,MATCH(363,Firms!$U$5:$U$1004,0))&amp;"","")</f>
        <v/>
      </c>
      <c r="C367" s="88">
        <f>IFERROR(IF(INDEX(Firms!$R$5:$R$1004,MATCH(363,Firms!$U$5:$U$1004,0))="","",INDEX(Firms!$R$5:$R$1004,MATCH(363,Firms!$U$5:$U$1004,0))),"")</f>
        <v/>
      </c>
      <c r="D367" s="91">
        <f>IFERROR(INDEX(Firms!$S$5:$S$1004,MATCH(363,Firms!$U$5:$U$1004,0))&amp;"","")</f>
        <v/>
      </c>
      <c r="E367" s="91">
        <f>IFERROR(INDEX(Firms!$C$5:$C$1004,MATCH(363,Firms!$U$5:$U$1004,0))&amp;"","")</f>
        <v/>
      </c>
      <c r="F367" s="79">
        <f>IFERROR(INDEX(Firms!$N$5:$N$1004,MATCH(363,Firms!$U$5:$U$1004,0))&amp;"","")</f>
        <v/>
      </c>
      <c r="G367" s="79">
        <f>IFERROR(INDEX(Firms!$P$5:$P$1004,MATCH(363,Firms!$U$5:$U$1004,0))&amp;"","")</f>
        <v/>
      </c>
      <c r="H367" s="91">
        <f>IFERROR(INDEX(Firms!$T$5:$T$1004,MATCH(363,Firms!$U$5:$U$1004,0))&amp;"","")</f>
        <v/>
      </c>
    </row>
    <row r="368">
      <c r="A368" s="79">
        <f>IF(B368="","",364)</f>
        <v/>
      </c>
      <c r="B368" s="91">
        <f>IFERROR(INDEX(Firms!$A$5:$A$1004,MATCH(364,Firms!$U$5:$U$1004,0))&amp;"","")</f>
        <v/>
      </c>
      <c r="C368" s="88">
        <f>IFERROR(IF(INDEX(Firms!$R$5:$R$1004,MATCH(364,Firms!$U$5:$U$1004,0))="","",INDEX(Firms!$R$5:$R$1004,MATCH(364,Firms!$U$5:$U$1004,0))),"")</f>
        <v/>
      </c>
      <c r="D368" s="91">
        <f>IFERROR(INDEX(Firms!$S$5:$S$1004,MATCH(364,Firms!$U$5:$U$1004,0))&amp;"","")</f>
        <v/>
      </c>
      <c r="E368" s="91">
        <f>IFERROR(INDEX(Firms!$C$5:$C$1004,MATCH(364,Firms!$U$5:$U$1004,0))&amp;"","")</f>
        <v/>
      </c>
      <c r="F368" s="79">
        <f>IFERROR(INDEX(Firms!$N$5:$N$1004,MATCH(364,Firms!$U$5:$U$1004,0))&amp;"","")</f>
        <v/>
      </c>
      <c r="G368" s="79">
        <f>IFERROR(INDEX(Firms!$P$5:$P$1004,MATCH(364,Firms!$U$5:$U$1004,0))&amp;"","")</f>
        <v/>
      </c>
      <c r="H368" s="91">
        <f>IFERROR(INDEX(Firms!$T$5:$T$1004,MATCH(364,Firms!$U$5:$U$1004,0))&amp;"","")</f>
        <v/>
      </c>
    </row>
    <row r="369">
      <c r="A369" s="79">
        <f>IF(B369="","",365)</f>
        <v/>
      </c>
      <c r="B369" s="91">
        <f>IFERROR(INDEX(Firms!$A$5:$A$1004,MATCH(365,Firms!$U$5:$U$1004,0))&amp;"","")</f>
        <v/>
      </c>
      <c r="C369" s="88">
        <f>IFERROR(IF(INDEX(Firms!$R$5:$R$1004,MATCH(365,Firms!$U$5:$U$1004,0))="","",INDEX(Firms!$R$5:$R$1004,MATCH(365,Firms!$U$5:$U$1004,0))),"")</f>
        <v/>
      </c>
      <c r="D369" s="91">
        <f>IFERROR(INDEX(Firms!$S$5:$S$1004,MATCH(365,Firms!$U$5:$U$1004,0))&amp;"","")</f>
        <v/>
      </c>
      <c r="E369" s="91">
        <f>IFERROR(INDEX(Firms!$C$5:$C$1004,MATCH(365,Firms!$U$5:$U$1004,0))&amp;"","")</f>
        <v/>
      </c>
      <c r="F369" s="79">
        <f>IFERROR(INDEX(Firms!$N$5:$N$1004,MATCH(365,Firms!$U$5:$U$1004,0))&amp;"","")</f>
        <v/>
      </c>
      <c r="G369" s="79">
        <f>IFERROR(INDEX(Firms!$P$5:$P$1004,MATCH(365,Firms!$U$5:$U$1004,0))&amp;"","")</f>
        <v/>
      </c>
      <c r="H369" s="91">
        <f>IFERROR(INDEX(Firms!$T$5:$T$1004,MATCH(365,Firms!$U$5:$U$1004,0))&amp;"","")</f>
        <v/>
      </c>
    </row>
    <row r="370">
      <c r="A370" s="79">
        <f>IF(B370="","",366)</f>
        <v/>
      </c>
      <c r="B370" s="91">
        <f>IFERROR(INDEX(Firms!$A$5:$A$1004,MATCH(366,Firms!$U$5:$U$1004,0))&amp;"","")</f>
        <v/>
      </c>
      <c r="C370" s="88">
        <f>IFERROR(IF(INDEX(Firms!$R$5:$R$1004,MATCH(366,Firms!$U$5:$U$1004,0))="","",INDEX(Firms!$R$5:$R$1004,MATCH(366,Firms!$U$5:$U$1004,0))),"")</f>
        <v/>
      </c>
      <c r="D370" s="91">
        <f>IFERROR(INDEX(Firms!$S$5:$S$1004,MATCH(366,Firms!$U$5:$U$1004,0))&amp;"","")</f>
        <v/>
      </c>
      <c r="E370" s="91">
        <f>IFERROR(INDEX(Firms!$C$5:$C$1004,MATCH(366,Firms!$U$5:$U$1004,0))&amp;"","")</f>
        <v/>
      </c>
      <c r="F370" s="79">
        <f>IFERROR(INDEX(Firms!$N$5:$N$1004,MATCH(366,Firms!$U$5:$U$1004,0))&amp;"","")</f>
        <v/>
      </c>
      <c r="G370" s="79">
        <f>IFERROR(INDEX(Firms!$P$5:$P$1004,MATCH(366,Firms!$U$5:$U$1004,0))&amp;"","")</f>
        <v/>
      </c>
      <c r="H370" s="91">
        <f>IFERROR(INDEX(Firms!$T$5:$T$1004,MATCH(366,Firms!$U$5:$U$1004,0))&amp;"","")</f>
        <v/>
      </c>
    </row>
    <row r="371">
      <c r="A371" s="79">
        <f>IF(B371="","",367)</f>
        <v/>
      </c>
      <c r="B371" s="91">
        <f>IFERROR(INDEX(Firms!$A$5:$A$1004,MATCH(367,Firms!$U$5:$U$1004,0))&amp;"","")</f>
        <v/>
      </c>
      <c r="C371" s="88">
        <f>IFERROR(IF(INDEX(Firms!$R$5:$R$1004,MATCH(367,Firms!$U$5:$U$1004,0))="","",INDEX(Firms!$R$5:$R$1004,MATCH(367,Firms!$U$5:$U$1004,0))),"")</f>
        <v/>
      </c>
      <c r="D371" s="91">
        <f>IFERROR(INDEX(Firms!$S$5:$S$1004,MATCH(367,Firms!$U$5:$U$1004,0))&amp;"","")</f>
        <v/>
      </c>
      <c r="E371" s="91">
        <f>IFERROR(INDEX(Firms!$C$5:$C$1004,MATCH(367,Firms!$U$5:$U$1004,0))&amp;"","")</f>
        <v/>
      </c>
      <c r="F371" s="79">
        <f>IFERROR(INDEX(Firms!$N$5:$N$1004,MATCH(367,Firms!$U$5:$U$1004,0))&amp;"","")</f>
        <v/>
      </c>
      <c r="G371" s="79">
        <f>IFERROR(INDEX(Firms!$P$5:$P$1004,MATCH(367,Firms!$U$5:$U$1004,0))&amp;"","")</f>
        <v/>
      </c>
      <c r="H371" s="91">
        <f>IFERROR(INDEX(Firms!$T$5:$T$1004,MATCH(367,Firms!$U$5:$U$1004,0))&amp;"","")</f>
        <v/>
      </c>
    </row>
    <row r="372">
      <c r="A372" s="79">
        <f>IF(B372="","",368)</f>
        <v/>
      </c>
      <c r="B372" s="91">
        <f>IFERROR(INDEX(Firms!$A$5:$A$1004,MATCH(368,Firms!$U$5:$U$1004,0))&amp;"","")</f>
        <v/>
      </c>
      <c r="C372" s="88">
        <f>IFERROR(IF(INDEX(Firms!$R$5:$R$1004,MATCH(368,Firms!$U$5:$U$1004,0))="","",INDEX(Firms!$R$5:$R$1004,MATCH(368,Firms!$U$5:$U$1004,0))),"")</f>
        <v/>
      </c>
      <c r="D372" s="91">
        <f>IFERROR(INDEX(Firms!$S$5:$S$1004,MATCH(368,Firms!$U$5:$U$1004,0))&amp;"","")</f>
        <v/>
      </c>
      <c r="E372" s="91">
        <f>IFERROR(INDEX(Firms!$C$5:$C$1004,MATCH(368,Firms!$U$5:$U$1004,0))&amp;"","")</f>
        <v/>
      </c>
      <c r="F372" s="79">
        <f>IFERROR(INDEX(Firms!$N$5:$N$1004,MATCH(368,Firms!$U$5:$U$1004,0))&amp;"","")</f>
        <v/>
      </c>
      <c r="G372" s="79">
        <f>IFERROR(INDEX(Firms!$P$5:$P$1004,MATCH(368,Firms!$U$5:$U$1004,0))&amp;"","")</f>
        <v/>
      </c>
      <c r="H372" s="91">
        <f>IFERROR(INDEX(Firms!$T$5:$T$1004,MATCH(368,Firms!$U$5:$U$1004,0))&amp;"","")</f>
        <v/>
      </c>
    </row>
    <row r="373">
      <c r="A373" s="79">
        <f>IF(B373="","",369)</f>
        <v/>
      </c>
      <c r="B373" s="91">
        <f>IFERROR(INDEX(Firms!$A$5:$A$1004,MATCH(369,Firms!$U$5:$U$1004,0))&amp;"","")</f>
        <v/>
      </c>
      <c r="C373" s="88">
        <f>IFERROR(IF(INDEX(Firms!$R$5:$R$1004,MATCH(369,Firms!$U$5:$U$1004,0))="","",INDEX(Firms!$R$5:$R$1004,MATCH(369,Firms!$U$5:$U$1004,0))),"")</f>
        <v/>
      </c>
      <c r="D373" s="91">
        <f>IFERROR(INDEX(Firms!$S$5:$S$1004,MATCH(369,Firms!$U$5:$U$1004,0))&amp;"","")</f>
        <v/>
      </c>
      <c r="E373" s="91">
        <f>IFERROR(INDEX(Firms!$C$5:$C$1004,MATCH(369,Firms!$U$5:$U$1004,0))&amp;"","")</f>
        <v/>
      </c>
      <c r="F373" s="79">
        <f>IFERROR(INDEX(Firms!$N$5:$N$1004,MATCH(369,Firms!$U$5:$U$1004,0))&amp;"","")</f>
        <v/>
      </c>
      <c r="G373" s="79">
        <f>IFERROR(INDEX(Firms!$P$5:$P$1004,MATCH(369,Firms!$U$5:$U$1004,0))&amp;"","")</f>
        <v/>
      </c>
      <c r="H373" s="91">
        <f>IFERROR(INDEX(Firms!$T$5:$T$1004,MATCH(369,Firms!$U$5:$U$1004,0))&amp;"","")</f>
        <v/>
      </c>
    </row>
    <row r="374">
      <c r="A374" s="79">
        <f>IF(B374="","",370)</f>
        <v/>
      </c>
      <c r="B374" s="91">
        <f>IFERROR(INDEX(Firms!$A$5:$A$1004,MATCH(370,Firms!$U$5:$U$1004,0))&amp;"","")</f>
        <v/>
      </c>
      <c r="C374" s="88">
        <f>IFERROR(IF(INDEX(Firms!$R$5:$R$1004,MATCH(370,Firms!$U$5:$U$1004,0))="","",INDEX(Firms!$R$5:$R$1004,MATCH(370,Firms!$U$5:$U$1004,0))),"")</f>
        <v/>
      </c>
      <c r="D374" s="91">
        <f>IFERROR(INDEX(Firms!$S$5:$S$1004,MATCH(370,Firms!$U$5:$U$1004,0))&amp;"","")</f>
        <v/>
      </c>
      <c r="E374" s="91">
        <f>IFERROR(INDEX(Firms!$C$5:$C$1004,MATCH(370,Firms!$U$5:$U$1004,0))&amp;"","")</f>
        <v/>
      </c>
      <c r="F374" s="79">
        <f>IFERROR(INDEX(Firms!$N$5:$N$1004,MATCH(370,Firms!$U$5:$U$1004,0))&amp;"","")</f>
        <v/>
      </c>
      <c r="G374" s="79">
        <f>IFERROR(INDEX(Firms!$P$5:$P$1004,MATCH(370,Firms!$U$5:$U$1004,0))&amp;"","")</f>
        <v/>
      </c>
      <c r="H374" s="91">
        <f>IFERROR(INDEX(Firms!$T$5:$T$1004,MATCH(370,Firms!$U$5:$U$1004,0))&amp;"","")</f>
        <v/>
      </c>
    </row>
    <row r="375">
      <c r="A375" s="79">
        <f>IF(B375="","",371)</f>
        <v/>
      </c>
      <c r="B375" s="91">
        <f>IFERROR(INDEX(Firms!$A$5:$A$1004,MATCH(371,Firms!$U$5:$U$1004,0))&amp;"","")</f>
        <v/>
      </c>
      <c r="C375" s="88">
        <f>IFERROR(IF(INDEX(Firms!$R$5:$R$1004,MATCH(371,Firms!$U$5:$U$1004,0))="","",INDEX(Firms!$R$5:$R$1004,MATCH(371,Firms!$U$5:$U$1004,0))),"")</f>
        <v/>
      </c>
      <c r="D375" s="91">
        <f>IFERROR(INDEX(Firms!$S$5:$S$1004,MATCH(371,Firms!$U$5:$U$1004,0))&amp;"","")</f>
        <v/>
      </c>
      <c r="E375" s="91">
        <f>IFERROR(INDEX(Firms!$C$5:$C$1004,MATCH(371,Firms!$U$5:$U$1004,0))&amp;"","")</f>
        <v/>
      </c>
      <c r="F375" s="79">
        <f>IFERROR(INDEX(Firms!$N$5:$N$1004,MATCH(371,Firms!$U$5:$U$1004,0))&amp;"","")</f>
        <v/>
      </c>
      <c r="G375" s="79">
        <f>IFERROR(INDEX(Firms!$P$5:$P$1004,MATCH(371,Firms!$U$5:$U$1004,0))&amp;"","")</f>
        <v/>
      </c>
      <c r="H375" s="91">
        <f>IFERROR(INDEX(Firms!$T$5:$T$1004,MATCH(371,Firms!$U$5:$U$1004,0))&amp;"","")</f>
        <v/>
      </c>
    </row>
    <row r="376">
      <c r="A376" s="79">
        <f>IF(B376="","",372)</f>
        <v/>
      </c>
      <c r="B376" s="91">
        <f>IFERROR(INDEX(Firms!$A$5:$A$1004,MATCH(372,Firms!$U$5:$U$1004,0))&amp;"","")</f>
        <v/>
      </c>
      <c r="C376" s="88">
        <f>IFERROR(IF(INDEX(Firms!$R$5:$R$1004,MATCH(372,Firms!$U$5:$U$1004,0))="","",INDEX(Firms!$R$5:$R$1004,MATCH(372,Firms!$U$5:$U$1004,0))),"")</f>
        <v/>
      </c>
      <c r="D376" s="91">
        <f>IFERROR(INDEX(Firms!$S$5:$S$1004,MATCH(372,Firms!$U$5:$U$1004,0))&amp;"","")</f>
        <v/>
      </c>
      <c r="E376" s="91">
        <f>IFERROR(INDEX(Firms!$C$5:$C$1004,MATCH(372,Firms!$U$5:$U$1004,0))&amp;"","")</f>
        <v/>
      </c>
      <c r="F376" s="79">
        <f>IFERROR(INDEX(Firms!$N$5:$N$1004,MATCH(372,Firms!$U$5:$U$1004,0))&amp;"","")</f>
        <v/>
      </c>
      <c r="G376" s="79">
        <f>IFERROR(INDEX(Firms!$P$5:$P$1004,MATCH(372,Firms!$U$5:$U$1004,0))&amp;"","")</f>
        <v/>
      </c>
      <c r="H376" s="91">
        <f>IFERROR(INDEX(Firms!$T$5:$T$1004,MATCH(372,Firms!$U$5:$U$1004,0))&amp;"","")</f>
        <v/>
      </c>
    </row>
    <row r="377">
      <c r="A377" s="79">
        <f>IF(B377="","",373)</f>
        <v/>
      </c>
      <c r="B377" s="91">
        <f>IFERROR(INDEX(Firms!$A$5:$A$1004,MATCH(373,Firms!$U$5:$U$1004,0))&amp;"","")</f>
        <v/>
      </c>
      <c r="C377" s="88">
        <f>IFERROR(IF(INDEX(Firms!$R$5:$R$1004,MATCH(373,Firms!$U$5:$U$1004,0))="","",INDEX(Firms!$R$5:$R$1004,MATCH(373,Firms!$U$5:$U$1004,0))),"")</f>
        <v/>
      </c>
      <c r="D377" s="91">
        <f>IFERROR(INDEX(Firms!$S$5:$S$1004,MATCH(373,Firms!$U$5:$U$1004,0))&amp;"","")</f>
        <v/>
      </c>
      <c r="E377" s="91">
        <f>IFERROR(INDEX(Firms!$C$5:$C$1004,MATCH(373,Firms!$U$5:$U$1004,0))&amp;"","")</f>
        <v/>
      </c>
      <c r="F377" s="79">
        <f>IFERROR(INDEX(Firms!$N$5:$N$1004,MATCH(373,Firms!$U$5:$U$1004,0))&amp;"","")</f>
        <v/>
      </c>
      <c r="G377" s="79">
        <f>IFERROR(INDEX(Firms!$P$5:$P$1004,MATCH(373,Firms!$U$5:$U$1004,0))&amp;"","")</f>
        <v/>
      </c>
      <c r="H377" s="91">
        <f>IFERROR(INDEX(Firms!$T$5:$T$1004,MATCH(373,Firms!$U$5:$U$1004,0))&amp;"","")</f>
        <v/>
      </c>
    </row>
    <row r="378">
      <c r="A378" s="79">
        <f>IF(B378="","",374)</f>
        <v/>
      </c>
      <c r="B378" s="91">
        <f>IFERROR(INDEX(Firms!$A$5:$A$1004,MATCH(374,Firms!$U$5:$U$1004,0))&amp;"","")</f>
        <v/>
      </c>
      <c r="C378" s="88">
        <f>IFERROR(IF(INDEX(Firms!$R$5:$R$1004,MATCH(374,Firms!$U$5:$U$1004,0))="","",INDEX(Firms!$R$5:$R$1004,MATCH(374,Firms!$U$5:$U$1004,0))),"")</f>
        <v/>
      </c>
      <c r="D378" s="91">
        <f>IFERROR(INDEX(Firms!$S$5:$S$1004,MATCH(374,Firms!$U$5:$U$1004,0))&amp;"","")</f>
        <v/>
      </c>
      <c r="E378" s="91">
        <f>IFERROR(INDEX(Firms!$C$5:$C$1004,MATCH(374,Firms!$U$5:$U$1004,0))&amp;"","")</f>
        <v/>
      </c>
      <c r="F378" s="79">
        <f>IFERROR(INDEX(Firms!$N$5:$N$1004,MATCH(374,Firms!$U$5:$U$1004,0))&amp;"","")</f>
        <v/>
      </c>
      <c r="G378" s="79">
        <f>IFERROR(INDEX(Firms!$P$5:$P$1004,MATCH(374,Firms!$U$5:$U$1004,0))&amp;"","")</f>
        <v/>
      </c>
      <c r="H378" s="91">
        <f>IFERROR(INDEX(Firms!$T$5:$T$1004,MATCH(374,Firms!$U$5:$U$1004,0))&amp;"","")</f>
        <v/>
      </c>
    </row>
    <row r="379">
      <c r="A379" s="79">
        <f>IF(B379="","",375)</f>
        <v/>
      </c>
      <c r="B379" s="91">
        <f>IFERROR(INDEX(Firms!$A$5:$A$1004,MATCH(375,Firms!$U$5:$U$1004,0))&amp;"","")</f>
        <v/>
      </c>
      <c r="C379" s="88">
        <f>IFERROR(IF(INDEX(Firms!$R$5:$R$1004,MATCH(375,Firms!$U$5:$U$1004,0))="","",INDEX(Firms!$R$5:$R$1004,MATCH(375,Firms!$U$5:$U$1004,0))),"")</f>
        <v/>
      </c>
      <c r="D379" s="91">
        <f>IFERROR(INDEX(Firms!$S$5:$S$1004,MATCH(375,Firms!$U$5:$U$1004,0))&amp;"","")</f>
        <v/>
      </c>
      <c r="E379" s="91">
        <f>IFERROR(INDEX(Firms!$C$5:$C$1004,MATCH(375,Firms!$U$5:$U$1004,0))&amp;"","")</f>
        <v/>
      </c>
      <c r="F379" s="79">
        <f>IFERROR(INDEX(Firms!$N$5:$N$1004,MATCH(375,Firms!$U$5:$U$1004,0))&amp;"","")</f>
        <v/>
      </c>
      <c r="G379" s="79">
        <f>IFERROR(INDEX(Firms!$P$5:$P$1004,MATCH(375,Firms!$U$5:$U$1004,0))&amp;"","")</f>
        <v/>
      </c>
      <c r="H379" s="91">
        <f>IFERROR(INDEX(Firms!$T$5:$T$1004,MATCH(375,Firms!$U$5:$U$1004,0))&amp;"","")</f>
        <v/>
      </c>
    </row>
    <row r="380">
      <c r="A380" s="79">
        <f>IF(B380="","",376)</f>
        <v/>
      </c>
      <c r="B380" s="91">
        <f>IFERROR(INDEX(Firms!$A$5:$A$1004,MATCH(376,Firms!$U$5:$U$1004,0))&amp;"","")</f>
        <v/>
      </c>
      <c r="C380" s="88">
        <f>IFERROR(IF(INDEX(Firms!$R$5:$R$1004,MATCH(376,Firms!$U$5:$U$1004,0))="","",INDEX(Firms!$R$5:$R$1004,MATCH(376,Firms!$U$5:$U$1004,0))),"")</f>
        <v/>
      </c>
      <c r="D380" s="91">
        <f>IFERROR(INDEX(Firms!$S$5:$S$1004,MATCH(376,Firms!$U$5:$U$1004,0))&amp;"","")</f>
        <v/>
      </c>
      <c r="E380" s="91">
        <f>IFERROR(INDEX(Firms!$C$5:$C$1004,MATCH(376,Firms!$U$5:$U$1004,0))&amp;"","")</f>
        <v/>
      </c>
      <c r="F380" s="79">
        <f>IFERROR(INDEX(Firms!$N$5:$N$1004,MATCH(376,Firms!$U$5:$U$1004,0))&amp;"","")</f>
        <v/>
      </c>
      <c r="G380" s="79">
        <f>IFERROR(INDEX(Firms!$P$5:$P$1004,MATCH(376,Firms!$U$5:$U$1004,0))&amp;"","")</f>
        <v/>
      </c>
      <c r="H380" s="91">
        <f>IFERROR(INDEX(Firms!$T$5:$T$1004,MATCH(376,Firms!$U$5:$U$1004,0))&amp;"","")</f>
        <v/>
      </c>
    </row>
    <row r="381">
      <c r="A381" s="79">
        <f>IF(B381="","",377)</f>
        <v/>
      </c>
      <c r="B381" s="91">
        <f>IFERROR(INDEX(Firms!$A$5:$A$1004,MATCH(377,Firms!$U$5:$U$1004,0))&amp;"","")</f>
        <v/>
      </c>
      <c r="C381" s="88">
        <f>IFERROR(IF(INDEX(Firms!$R$5:$R$1004,MATCH(377,Firms!$U$5:$U$1004,0))="","",INDEX(Firms!$R$5:$R$1004,MATCH(377,Firms!$U$5:$U$1004,0))),"")</f>
        <v/>
      </c>
      <c r="D381" s="91">
        <f>IFERROR(INDEX(Firms!$S$5:$S$1004,MATCH(377,Firms!$U$5:$U$1004,0))&amp;"","")</f>
        <v/>
      </c>
      <c r="E381" s="91">
        <f>IFERROR(INDEX(Firms!$C$5:$C$1004,MATCH(377,Firms!$U$5:$U$1004,0))&amp;"","")</f>
        <v/>
      </c>
      <c r="F381" s="79">
        <f>IFERROR(INDEX(Firms!$N$5:$N$1004,MATCH(377,Firms!$U$5:$U$1004,0))&amp;"","")</f>
        <v/>
      </c>
      <c r="G381" s="79">
        <f>IFERROR(INDEX(Firms!$P$5:$P$1004,MATCH(377,Firms!$U$5:$U$1004,0))&amp;"","")</f>
        <v/>
      </c>
      <c r="H381" s="91">
        <f>IFERROR(INDEX(Firms!$T$5:$T$1004,MATCH(377,Firms!$U$5:$U$1004,0))&amp;"","")</f>
        <v/>
      </c>
    </row>
    <row r="382">
      <c r="A382" s="79">
        <f>IF(B382="","",378)</f>
        <v/>
      </c>
      <c r="B382" s="91">
        <f>IFERROR(INDEX(Firms!$A$5:$A$1004,MATCH(378,Firms!$U$5:$U$1004,0))&amp;"","")</f>
        <v/>
      </c>
      <c r="C382" s="88">
        <f>IFERROR(IF(INDEX(Firms!$R$5:$R$1004,MATCH(378,Firms!$U$5:$U$1004,0))="","",INDEX(Firms!$R$5:$R$1004,MATCH(378,Firms!$U$5:$U$1004,0))),"")</f>
        <v/>
      </c>
      <c r="D382" s="91">
        <f>IFERROR(INDEX(Firms!$S$5:$S$1004,MATCH(378,Firms!$U$5:$U$1004,0))&amp;"","")</f>
        <v/>
      </c>
      <c r="E382" s="91">
        <f>IFERROR(INDEX(Firms!$C$5:$C$1004,MATCH(378,Firms!$U$5:$U$1004,0))&amp;"","")</f>
        <v/>
      </c>
      <c r="F382" s="79">
        <f>IFERROR(INDEX(Firms!$N$5:$N$1004,MATCH(378,Firms!$U$5:$U$1004,0))&amp;"","")</f>
        <v/>
      </c>
      <c r="G382" s="79">
        <f>IFERROR(INDEX(Firms!$P$5:$P$1004,MATCH(378,Firms!$U$5:$U$1004,0))&amp;"","")</f>
        <v/>
      </c>
      <c r="H382" s="91">
        <f>IFERROR(INDEX(Firms!$T$5:$T$1004,MATCH(378,Firms!$U$5:$U$1004,0))&amp;"","")</f>
        <v/>
      </c>
    </row>
    <row r="383">
      <c r="A383" s="79">
        <f>IF(B383="","",379)</f>
        <v/>
      </c>
      <c r="B383" s="91">
        <f>IFERROR(INDEX(Firms!$A$5:$A$1004,MATCH(379,Firms!$U$5:$U$1004,0))&amp;"","")</f>
        <v/>
      </c>
      <c r="C383" s="88">
        <f>IFERROR(IF(INDEX(Firms!$R$5:$R$1004,MATCH(379,Firms!$U$5:$U$1004,0))="","",INDEX(Firms!$R$5:$R$1004,MATCH(379,Firms!$U$5:$U$1004,0))),"")</f>
        <v/>
      </c>
      <c r="D383" s="91">
        <f>IFERROR(INDEX(Firms!$S$5:$S$1004,MATCH(379,Firms!$U$5:$U$1004,0))&amp;"","")</f>
        <v/>
      </c>
      <c r="E383" s="91">
        <f>IFERROR(INDEX(Firms!$C$5:$C$1004,MATCH(379,Firms!$U$5:$U$1004,0))&amp;"","")</f>
        <v/>
      </c>
      <c r="F383" s="79">
        <f>IFERROR(INDEX(Firms!$N$5:$N$1004,MATCH(379,Firms!$U$5:$U$1004,0))&amp;"","")</f>
        <v/>
      </c>
      <c r="G383" s="79">
        <f>IFERROR(INDEX(Firms!$P$5:$P$1004,MATCH(379,Firms!$U$5:$U$1004,0))&amp;"","")</f>
        <v/>
      </c>
      <c r="H383" s="91">
        <f>IFERROR(INDEX(Firms!$T$5:$T$1004,MATCH(379,Firms!$U$5:$U$1004,0))&amp;"","")</f>
        <v/>
      </c>
    </row>
    <row r="384">
      <c r="A384" s="79">
        <f>IF(B384="","",380)</f>
        <v/>
      </c>
      <c r="B384" s="91">
        <f>IFERROR(INDEX(Firms!$A$5:$A$1004,MATCH(380,Firms!$U$5:$U$1004,0))&amp;"","")</f>
        <v/>
      </c>
      <c r="C384" s="88">
        <f>IFERROR(IF(INDEX(Firms!$R$5:$R$1004,MATCH(380,Firms!$U$5:$U$1004,0))="","",INDEX(Firms!$R$5:$R$1004,MATCH(380,Firms!$U$5:$U$1004,0))),"")</f>
        <v/>
      </c>
      <c r="D384" s="91">
        <f>IFERROR(INDEX(Firms!$S$5:$S$1004,MATCH(380,Firms!$U$5:$U$1004,0))&amp;"","")</f>
        <v/>
      </c>
      <c r="E384" s="91">
        <f>IFERROR(INDEX(Firms!$C$5:$C$1004,MATCH(380,Firms!$U$5:$U$1004,0))&amp;"","")</f>
        <v/>
      </c>
      <c r="F384" s="79">
        <f>IFERROR(INDEX(Firms!$N$5:$N$1004,MATCH(380,Firms!$U$5:$U$1004,0))&amp;"","")</f>
        <v/>
      </c>
      <c r="G384" s="79">
        <f>IFERROR(INDEX(Firms!$P$5:$P$1004,MATCH(380,Firms!$U$5:$U$1004,0))&amp;"","")</f>
        <v/>
      </c>
      <c r="H384" s="91">
        <f>IFERROR(INDEX(Firms!$T$5:$T$1004,MATCH(380,Firms!$U$5:$U$1004,0))&amp;"","")</f>
        <v/>
      </c>
    </row>
    <row r="385">
      <c r="A385" s="79">
        <f>IF(B385="","",381)</f>
        <v/>
      </c>
      <c r="B385" s="91">
        <f>IFERROR(INDEX(Firms!$A$5:$A$1004,MATCH(381,Firms!$U$5:$U$1004,0))&amp;"","")</f>
        <v/>
      </c>
      <c r="C385" s="88">
        <f>IFERROR(IF(INDEX(Firms!$R$5:$R$1004,MATCH(381,Firms!$U$5:$U$1004,0))="","",INDEX(Firms!$R$5:$R$1004,MATCH(381,Firms!$U$5:$U$1004,0))),"")</f>
        <v/>
      </c>
      <c r="D385" s="91">
        <f>IFERROR(INDEX(Firms!$S$5:$S$1004,MATCH(381,Firms!$U$5:$U$1004,0))&amp;"","")</f>
        <v/>
      </c>
      <c r="E385" s="91">
        <f>IFERROR(INDEX(Firms!$C$5:$C$1004,MATCH(381,Firms!$U$5:$U$1004,0))&amp;"","")</f>
        <v/>
      </c>
      <c r="F385" s="79">
        <f>IFERROR(INDEX(Firms!$N$5:$N$1004,MATCH(381,Firms!$U$5:$U$1004,0))&amp;"","")</f>
        <v/>
      </c>
      <c r="G385" s="79">
        <f>IFERROR(INDEX(Firms!$P$5:$P$1004,MATCH(381,Firms!$U$5:$U$1004,0))&amp;"","")</f>
        <v/>
      </c>
      <c r="H385" s="91">
        <f>IFERROR(INDEX(Firms!$T$5:$T$1004,MATCH(381,Firms!$U$5:$U$1004,0))&amp;"","")</f>
        <v/>
      </c>
    </row>
    <row r="386">
      <c r="A386" s="79">
        <f>IF(B386="","",382)</f>
        <v/>
      </c>
      <c r="B386" s="91">
        <f>IFERROR(INDEX(Firms!$A$5:$A$1004,MATCH(382,Firms!$U$5:$U$1004,0))&amp;"","")</f>
        <v/>
      </c>
      <c r="C386" s="88">
        <f>IFERROR(IF(INDEX(Firms!$R$5:$R$1004,MATCH(382,Firms!$U$5:$U$1004,0))="","",INDEX(Firms!$R$5:$R$1004,MATCH(382,Firms!$U$5:$U$1004,0))),"")</f>
        <v/>
      </c>
      <c r="D386" s="91">
        <f>IFERROR(INDEX(Firms!$S$5:$S$1004,MATCH(382,Firms!$U$5:$U$1004,0))&amp;"","")</f>
        <v/>
      </c>
      <c r="E386" s="91">
        <f>IFERROR(INDEX(Firms!$C$5:$C$1004,MATCH(382,Firms!$U$5:$U$1004,0))&amp;"","")</f>
        <v/>
      </c>
      <c r="F386" s="79">
        <f>IFERROR(INDEX(Firms!$N$5:$N$1004,MATCH(382,Firms!$U$5:$U$1004,0))&amp;"","")</f>
        <v/>
      </c>
      <c r="G386" s="79">
        <f>IFERROR(INDEX(Firms!$P$5:$P$1004,MATCH(382,Firms!$U$5:$U$1004,0))&amp;"","")</f>
        <v/>
      </c>
      <c r="H386" s="91">
        <f>IFERROR(INDEX(Firms!$T$5:$T$1004,MATCH(382,Firms!$U$5:$U$1004,0))&amp;"","")</f>
        <v/>
      </c>
    </row>
    <row r="387">
      <c r="A387" s="79">
        <f>IF(B387="","",383)</f>
        <v/>
      </c>
      <c r="B387" s="91">
        <f>IFERROR(INDEX(Firms!$A$5:$A$1004,MATCH(383,Firms!$U$5:$U$1004,0))&amp;"","")</f>
        <v/>
      </c>
      <c r="C387" s="88">
        <f>IFERROR(IF(INDEX(Firms!$R$5:$R$1004,MATCH(383,Firms!$U$5:$U$1004,0))="","",INDEX(Firms!$R$5:$R$1004,MATCH(383,Firms!$U$5:$U$1004,0))),"")</f>
        <v/>
      </c>
      <c r="D387" s="91">
        <f>IFERROR(INDEX(Firms!$S$5:$S$1004,MATCH(383,Firms!$U$5:$U$1004,0))&amp;"","")</f>
        <v/>
      </c>
      <c r="E387" s="91">
        <f>IFERROR(INDEX(Firms!$C$5:$C$1004,MATCH(383,Firms!$U$5:$U$1004,0))&amp;"","")</f>
        <v/>
      </c>
      <c r="F387" s="79">
        <f>IFERROR(INDEX(Firms!$N$5:$N$1004,MATCH(383,Firms!$U$5:$U$1004,0))&amp;"","")</f>
        <v/>
      </c>
      <c r="G387" s="79">
        <f>IFERROR(INDEX(Firms!$P$5:$P$1004,MATCH(383,Firms!$U$5:$U$1004,0))&amp;"","")</f>
        <v/>
      </c>
      <c r="H387" s="91">
        <f>IFERROR(INDEX(Firms!$T$5:$T$1004,MATCH(383,Firms!$U$5:$U$1004,0))&amp;"","")</f>
        <v/>
      </c>
    </row>
    <row r="388">
      <c r="A388" s="79">
        <f>IF(B388="","",384)</f>
        <v/>
      </c>
      <c r="B388" s="91">
        <f>IFERROR(INDEX(Firms!$A$5:$A$1004,MATCH(384,Firms!$U$5:$U$1004,0))&amp;"","")</f>
        <v/>
      </c>
      <c r="C388" s="88">
        <f>IFERROR(IF(INDEX(Firms!$R$5:$R$1004,MATCH(384,Firms!$U$5:$U$1004,0))="","",INDEX(Firms!$R$5:$R$1004,MATCH(384,Firms!$U$5:$U$1004,0))),"")</f>
        <v/>
      </c>
      <c r="D388" s="91">
        <f>IFERROR(INDEX(Firms!$S$5:$S$1004,MATCH(384,Firms!$U$5:$U$1004,0))&amp;"","")</f>
        <v/>
      </c>
      <c r="E388" s="91">
        <f>IFERROR(INDEX(Firms!$C$5:$C$1004,MATCH(384,Firms!$U$5:$U$1004,0))&amp;"","")</f>
        <v/>
      </c>
      <c r="F388" s="79">
        <f>IFERROR(INDEX(Firms!$N$5:$N$1004,MATCH(384,Firms!$U$5:$U$1004,0))&amp;"","")</f>
        <v/>
      </c>
      <c r="G388" s="79">
        <f>IFERROR(INDEX(Firms!$P$5:$P$1004,MATCH(384,Firms!$U$5:$U$1004,0))&amp;"","")</f>
        <v/>
      </c>
      <c r="H388" s="91">
        <f>IFERROR(INDEX(Firms!$T$5:$T$1004,MATCH(384,Firms!$U$5:$U$1004,0))&amp;"","")</f>
        <v/>
      </c>
    </row>
    <row r="389">
      <c r="A389" s="79">
        <f>IF(B389="","",385)</f>
        <v/>
      </c>
      <c r="B389" s="91">
        <f>IFERROR(INDEX(Firms!$A$5:$A$1004,MATCH(385,Firms!$U$5:$U$1004,0))&amp;"","")</f>
        <v/>
      </c>
      <c r="C389" s="88">
        <f>IFERROR(IF(INDEX(Firms!$R$5:$R$1004,MATCH(385,Firms!$U$5:$U$1004,0))="","",INDEX(Firms!$R$5:$R$1004,MATCH(385,Firms!$U$5:$U$1004,0))),"")</f>
        <v/>
      </c>
      <c r="D389" s="91">
        <f>IFERROR(INDEX(Firms!$S$5:$S$1004,MATCH(385,Firms!$U$5:$U$1004,0))&amp;"","")</f>
        <v/>
      </c>
      <c r="E389" s="91">
        <f>IFERROR(INDEX(Firms!$C$5:$C$1004,MATCH(385,Firms!$U$5:$U$1004,0))&amp;"","")</f>
        <v/>
      </c>
      <c r="F389" s="79">
        <f>IFERROR(INDEX(Firms!$N$5:$N$1004,MATCH(385,Firms!$U$5:$U$1004,0))&amp;"","")</f>
        <v/>
      </c>
      <c r="G389" s="79">
        <f>IFERROR(INDEX(Firms!$P$5:$P$1004,MATCH(385,Firms!$U$5:$U$1004,0))&amp;"","")</f>
        <v/>
      </c>
      <c r="H389" s="91">
        <f>IFERROR(INDEX(Firms!$T$5:$T$1004,MATCH(385,Firms!$U$5:$U$1004,0))&amp;"","")</f>
        <v/>
      </c>
    </row>
    <row r="390">
      <c r="A390" s="79">
        <f>IF(B390="","",386)</f>
        <v/>
      </c>
      <c r="B390" s="91">
        <f>IFERROR(INDEX(Firms!$A$5:$A$1004,MATCH(386,Firms!$U$5:$U$1004,0))&amp;"","")</f>
        <v/>
      </c>
      <c r="C390" s="88">
        <f>IFERROR(IF(INDEX(Firms!$R$5:$R$1004,MATCH(386,Firms!$U$5:$U$1004,0))="","",INDEX(Firms!$R$5:$R$1004,MATCH(386,Firms!$U$5:$U$1004,0))),"")</f>
        <v/>
      </c>
      <c r="D390" s="91">
        <f>IFERROR(INDEX(Firms!$S$5:$S$1004,MATCH(386,Firms!$U$5:$U$1004,0))&amp;"","")</f>
        <v/>
      </c>
      <c r="E390" s="91">
        <f>IFERROR(INDEX(Firms!$C$5:$C$1004,MATCH(386,Firms!$U$5:$U$1004,0))&amp;"","")</f>
        <v/>
      </c>
      <c r="F390" s="79">
        <f>IFERROR(INDEX(Firms!$N$5:$N$1004,MATCH(386,Firms!$U$5:$U$1004,0))&amp;"","")</f>
        <v/>
      </c>
      <c r="G390" s="79">
        <f>IFERROR(INDEX(Firms!$P$5:$P$1004,MATCH(386,Firms!$U$5:$U$1004,0))&amp;"","")</f>
        <v/>
      </c>
      <c r="H390" s="91">
        <f>IFERROR(INDEX(Firms!$T$5:$T$1004,MATCH(386,Firms!$U$5:$U$1004,0))&amp;"","")</f>
        <v/>
      </c>
    </row>
    <row r="391">
      <c r="A391" s="79">
        <f>IF(B391="","",387)</f>
        <v/>
      </c>
      <c r="B391" s="91">
        <f>IFERROR(INDEX(Firms!$A$5:$A$1004,MATCH(387,Firms!$U$5:$U$1004,0))&amp;"","")</f>
        <v/>
      </c>
      <c r="C391" s="88">
        <f>IFERROR(IF(INDEX(Firms!$R$5:$R$1004,MATCH(387,Firms!$U$5:$U$1004,0))="","",INDEX(Firms!$R$5:$R$1004,MATCH(387,Firms!$U$5:$U$1004,0))),"")</f>
        <v/>
      </c>
      <c r="D391" s="91">
        <f>IFERROR(INDEX(Firms!$S$5:$S$1004,MATCH(387,Firms!$U$5:$U$1004,0))&amp;"","")</f>
        <v/>
      </c>
      <c r="E391" s="91">
        <f>IFERROR(INDEX(Firms!$C$5:$C$1004,MATCH(387,Firms!$U$5:$U$1004,0))&amp;"","")</f>
        <v/>
      </c>
      <c r="F391" s="79">
        <f>IFERROR(INDEX(Firms!$N$5:$N$1004,MATCH(387,Firms!$U$5:$U$1004,0))&amp;"","")</f>
        <v/>
      </c>
      <c r="G391" s="79">
        <f>IFERROR(INDEX(Firms!$P$5:$P$1004,MATCH(387,Firms!$U$5:$U$1004,0))&amp;"","")</f>
        <v/>
      </c>
      <c r="H391" s="91">
        <f>IFERROR(INDEX(Firms!$T$5:$T$1004,MATCH(387,Firms!$U$5:$U$1004,0))&amp;"","")</f>
        <v/>
      </c>
    </row>
    <row r="392">
      <c r="A392" s="79">
        <f>IF(B392="","",388)</f>
        <v/>
      </c>
      <c r="B392" s="91">
        <f>IFERROR(INDEX(Firms!$A$5:$A$1004,MATCH(388,Firms!$U$5:$U$1004,0))&amp;"","")</f>
        <v/>
      </c>
      <c r="C392" s="88">
        <f>IFERROR(IF(INDEX(Firms!$R$5:$R$1004,MATCH(388,Firms!$U$5:$U$1004,0))="","",INDEX(Firms!$R$5:$R$1004,MATCH(388,Firms!$U$5:$U$1004,0))),"")</f>
        <v/>
      </c>
      <c r="D392" s="91">
        <f>IFERROR(INDEX(Firms!$S$5:$S$1004,MATCH(388,Firms!$U$5:$U$1004,0))&amp;"","")</f>
        <v/>
      </c>
      <c r="E392" s="91">
        <f>IFERROR(INDEX(Firms!$C$5:$C$1004,MATCH(388,Firms!$U$5:$U$1004,0))&amp;"","")</f>
        <v/>
      </c>
      <c r="F392" s="79">
        <f>IFERROR(INDEX(Firms!$N$5:$N$1004,MATCH(388,Firms!$U$5:$U$1004,0))&amp;"","")</f>
        <v/>
      </c>
      <c r="G392" s="79">
        <f>IFERROR(INDEX(Firms!$P$5:$P$1004,MATCH(388,Firms!$U$5:$U$1004,0))&amp;"","")</f>
        <v/>
      </c>
      <c r="H392" s="91">
        <f>IFERROR(INDEX(Firms!$T$5:$T$1004,MATCH(388,Firms!$U$5:$U$1004,0))&amp;"","")</f>
        <v/>
      </c>
    </row>
    <row r="393">
      <c r="A393" s="79">
        <f>IF(B393="","",389)</f>
        <v/>
      </c>
      <c r="B393" s="91">
        <f>IFERROR(INDEX(Firms!$A$5:$A$1004,MATCH(389,Firms!$U$5:$U$1004,0))&amp;"","")</f>
        <v/>
      </c>
      <c r="C393" s="88">
        <f>IFERROR(IF(INDEX(Firms!$R$5:$R$1004,MATCH(389,Firms!$U$5:$U$1004,0))="","",INDEX(Firms!$R$5:$R$1004,MATCH(389,Firms!$U$5:$U$1004,0))),"")</f>
        <v/>
      </c>
      <c r="D393" s="91">
        <f>IFERROR(INDEX(Firms!$S$5:$S$1004,MATCH(389,Firms!$U$5:$U$1004,0))&amp;"","")</f>
        <v/>
      </c>
      <c r="E393" s="91">
        <f>IFERROR(INDEX(Firms!$C$5:$C$1004,MATCH(389,Firms!$U$5:$U$1004,0))&amp;"","")</f>
        <v/>
      </c>
      <c r="F393" s="79">
        <f>IFERROR(INDEX(Firms!$N$5:$N$1004,MATCH(389,Firms!$U$5:$U$1004,0))&amp;"","")</f>
        <v/>
      </c>
      <c r="G393" s="79">
        <f>IFERROR(INDEX(Firms!$P$5:$P$1004,MATCH(389,Firms!$U$5:$U$1004,0))&amp;"","")</f>
        <v/>
      </c>
      <c r="H393" s="91">
        <f>IFERROR(INDEX(Firms!$T$5:$T$1004,MATCH(389,Firms!$U$5:$U$1004,0))&amp;"","")</f>
        <v/>
      </c>
    </row>
    <row r="394">
      <c r="A394" s="79">
        <f>IF(B394="","",390)</f>
        <v/>
      </c>
      <c r="B394" s="91">
        <f>IFERROR(INDEX(Firms!$A$5:$A$1004,MATCH(390,Firms!$U$5:$U$1004,0))&amp;"","")</f>
        <v/>
      </c>
      <c r="C394" s="88">
        <f>IFERROR(IF(INDEX(Firms!$R$5:$R$1004,MATCH(390,Firms!$U$5:$U$1004,0))="","",INDEX(Firms!$R$5:$R$1004,MATCH(390,Firms!$U$5:$U$1004,0))),"")</f>
        <v/>
      </c>
      <c r="D394" s="91">
        <f>IFERROR(INDEX(Firms!$S$5:$S$1004,MATCH(390,Firms!$U$5:$U$1004,0))&amp;"","")</f>
        <v/>
      </c>
      <c r="E394" s="91">
        <f>IFERROR(INDEX(Firms!$C$5:$C$1004,MATCH(390,Firms!$U$5:$U$1004,0))&amp;"","")</f>
        <v/>
      </c>
      <c r="F394" s="79">
        <f>IFERROR(INDEX(Firms!$N$5:$N$1004,MATCH(390,Firms!$U$5:$U$1004,0))&amp;"","")</f>
        <v/>
      </c>
      <c r="G394" s="79">
        <f>IFERROR(INDEX(Firms!$P$5:$P$1004,MATCH(390,Firms!$U$5:$U$1004,0))&amp;"","")</f>
        <v/>
      </c>
      <c r="H394" s="91">
        <f>IFERROR(INDEX(Firms!$T$5:$T$1004,MATCH(390,Firms!$U$5:$U$1004,0))&amp;"","")</f>
        <v/>
      </c>
    </row>
    <row r="395">
      <c r="A395" s="79">
        <f>IF(B395="","",391)</f>
        <v/>
      </c>
      <c r="B395" s="91">
        <f>IFERROR(INDEX(Firms!$A$5:$A$1004,MATCH(391,Firms!$U$5:$U$1004,0))&amp;"","")</f>
        <v/>
      </c>
      <c r="C395" s="88">
        <f>IFERROR(IF(INDEX(Firms!$R$5:$R$1004,MATCH(391,Firms!$U$5:$U$1004,0))="","",INDEX(Firms!$R$5:$R$1004,MATCH(391,Firms!$U$5:$U$1004,0))),"")</f>
        <v/>
      </c>
      <c r="D395" s="91">
        <f>IFERROR(INDEX(Firms!$S$5:$S$1004,MATCH(391,Firms!$U$5:$U$1004,0))&amp;"","")</f>
        <v/>
      </c>
      <c r="E395" s="91">
        <f>IFERROR(INDEX(Firms!$C$5:$C$1004,MATCH(391,Firms!$U$5:$U$1004,0))&amp;"","")</f>
        <v/>
      </c>
      <c r="F395" s="79">
        <f>IFERROR(INDEX(Firms!$N$5:$N$1004,MATCH(391,Firms!$U$5:$U$1004,0))&amp;"","")</f>
        <v/>
      </c>
      <c r="G395" s="79">
        <f>IFERROR(INDEX(Firms!$P$5:$P$1004,MATCH(391,Firms!$U$5:$U$1004,0))&amp;"","")</f>
        <v/>
      </c>
      <c r="H395" s="91">
        <f>IFERROR(INDEX(Firms!$T$5:$T$1004,MATCH(391,Firms!$U$5:$U$1004,0))&amp;"","")</f>
        <v/>
      </c>
    </row>
    <row r="396">
      <c r="A396" s="79">
        <f>IF(B396="","",392)</f>
        <v/>
      </c>
      <c r="B396" s="91">
        <f>IFERROR(INDEX(Firms!$A$5:$A$1004,MATCH(392,Firms!$U$5:$U$1004,0))&amp;"","")</f>
        <v/>
      </c>
      <c r="C396" s="88">
        <f>IFERROR(IF(INDEX(Firms!$R$5:$R$1004,MATCH(392,Firms!$U$5:$U$1004,0))="","",INDEX(Firms!$R$5:$R$1004,MATCH(392,Firms!$U$5:$U$1004,0))),"")</f>
        <v/>
      </c>
      <c r="D396" s="91">
        <f>IFERROR(INDEX(Firms!$S$5:$S$1004,MATCH(392,Firms!$U$5:$U$1004,0))&amp;"","")</f>
        <v/>
      </c>
      <c r="E396" s="91">
        <f>IFERROR(INDEX(Firms!$C$5:$C$1004,MATCH(392,Firms!$U$5:$U$1004,0))&amp;"","")</f>
        <v/>
      </c>
      <c r="F396" s="79">
        <f>IFERROR(INDEX(Firms!$N$5:$N$1004,MATCH(392,Firms!$U$5:$U$1004,0))&amp;"","")</f>
        <v/>
      </c>
      <c r="G396" s="79">
        <f>IFERROR(INDEX(Firms!$P$5:$P$1004,MATCH(392,Firms!$U$5:$U$1004,0))&amp;"","")</f>
        <v/>
      </c>
      <c r="H396" s="91">
        <f>IFERROR(INDEX(Firms!$T$5:$T$1004,MATCH(392,Firms!$U$5:$U$1004,0))&amp;"","")</f>
        <v/>
      </c>
    </row>
    <row r="397">
      <c r="A397" s="79">
        <f>IF(B397="","",393)</f>
        <v/>
      </c>
      <c r="B397" s="91">
        <f>IFERROR(INDEX(Firms!$A$5:$A$1004,MATCH(393,Firms!$U$5:$U$1004,0))&amp;"","")</f>
        <v/>
      </c>
      <c r="C397" s="88">
        <f>IFERROR(IF(INDEX(Firms!$R$5:$R$1004,MATCH(393,Firms!$U$5:$U$1004,0))="","",INDEX(Firms!$R$5:$R$1004,MATCH(393,Firms!$U$5:$U$1004,0))),"")</f>
        <v/>
      </c>
      <c r="D397" s="91">
        <f>IFERROR(INDEX(Firms!$S$5:$S$1004,MATCH(393,Firms!$U$5:$U$1004,0))&amp;"","")</f>
        <v/>
      </c>
      <c r="E397" s="91">
        <f>IFERROR(INDEX(Firms!$C$5:$C$1004,MATCH(393,Firms!$U$5:$U$1004,0))&amp;"","")</f>
        <v/>
      </c>
      <c r="F397" s="79">
        <f>IFERROR(INDEX(Firms!$N$5:$N$1004,MATCH(393,Firms!$U$5:$U$1004,0))&amp;"","")</f>
        <v/>
      </c>
      <c r="G397" s="79">
        <f>IFERROR(INDEX(Firms!$P$5:$P$1004,MATCH(393,Firms!$U$5:$U$1004,0))&amp;"","")</f>
        <v/>
      </c>
      <c r="H397" s="91">
        <f>IFERROR(INDEX(Firms!$T$5:$T$1004,MATCH(393,Firms!$U$5:$U$1004,0))&amp;"","")</f>
        <v/>
      </c>
    </row>
    <row r="398">
      <c r="A398" s="79">
        <f>IF(B398="","",394)</f>
        <v/>
      </c>
      <c r="B398" s="91">
        <f>IFERROR(INDEX(Firms!$A$5:$A$1004,MATCH(394,Firms!$U$5:$U$1004,0))&amp;"","")</f>
        <v/>
      </c>
      <c r="C398" s="88">
        <f>IFERROR(IF(INDEX(Firms!$R$5:$R$1004,MATCH(394,Firms!$U$5:$U$1004,0))="","",INDEX(Firms!$R$5:$R$1004,MATCH(394,Firms!$U$5:$U$1004,0))),"")</f>
        <v/>
      </c>
      <c r="D398" s="91">
        <f>IFERROR(INDEX(Firms!$S$5:$S$1004,MATCH(394,Firms!$U$5:$U$1004,0))&amp;"","")</f>
        <v/>
      </c>
      <c r="E398" s="91">
        <f>IFERROR(INDEX(Firms!$C$5:$C$1004,MATCH(394,Firms!$U$5:$U$1004,0))&amp;"","")</f>
        <v/>
      </c>
      <c r="F398" s="79">
        <f>IFERROR(INDEX(Firms!$N$5:$N$1004,MATCH(394,Firms!$U$5:$U$1004,0))&amp;"","")</f>
        <v/>
      </c>
      <c r="G398" s="79">
        <f>IFERROR(INDEX(Firms!$P$5:$P$1004,MATCH(394,Firms!$U$5:$U$1004,0))&amp;"","")</f>
        <v/>
      </c>
      <c r="H398" s="91">
        <f>IFERROR(INDEX(Firms!$T$5:$T$1004,MATCH(394,Firms!$U$5:$U$1004,0))&amp;"","")</f>
        <v/>
      </c>
    </row>
    <row r="399">
      <c r="A399" s="79">
        <f>IF(B399="","",395)</f>
        <v/>
      </c>
      <c r="B399" s="91">
        <f>IFERROR(INDEX(Firms!$A$5:$A$1004,MATCH(395,Firms!$U$5:$U$1004,0))&amp;"","")</f>
        <v/>
      </c>
      <c r="C399" s="88">
        <f>IFERROR(IF(INDEX(Firms!$R$5:$R$1004,MATCH(395,Firms!$U$5:$U$1004,0))="","",INDEX(Firms!$R$5:$R$1004,MATCH(395,Firms!$U$5:$U$1004,0))),"")</f>
        <v/>
      </c>
      <c r="D399" s="91">
        <f>IFERROR(INDEX(Firms!$S$5:$S$1004,MATCH(395,Firms!$U$5:$U$1004,0))&amp;"","")</f>
        <v/>
      </c>
      <c r="E399" s="91">
        <f>IFERROR(INDEX(Firms!$C$5:$C$1004,MATCH(395,Firms!$U$5:$U$1004,0))&amp;"","")</f>
        <v/>
      </c>
      <c r="F399" s="79">
        <f>IFERROR(INDEX(Firms!$N$5:$N$1004,MATCH(395,Firms!$U$5:$U$1004,0))&amp;"","")</f>
        <v/>
      </c>
      <c r="G399" s="79">
        <f>IFERROR(INDEX(Firms!$P$5:$P$1004,MATCH(395,Firms!$U$5:$U$1004,0))&amp;"","")</f>
        <v/>
      </c>
      <c r="H399" s="91">
        <f>IFERROR(INDEX(Firms!$T$5:$T$1004,MATCH(395,Firms!$U$5:$U$1004,0))&amp;"","")</f>
        <v/>
      </c>
    </row>
    <row r="400">
      <c r="A400" s="79">
        <f>IF(B400="","",396)</f>
        <v/>
      </c>
      <c r="B400" s="91">
        <f>IFERROR(INDEX(Firms!$A$5:$A$1004,MATCH(396,Firms!$U$5:$U$1004,0))&amp;"","")</f>
        <v/>
      </c>
      <c r="C400" s="88">
        <f>IFERROR(IF(INDEX(Firms!$R$5:$R$1004,MATCH(396,Firms!$U$5:$U$1004,0))="","",INDEX(Firms!$R$5:$R$1004,MATCH(396,Firms!$U$5:$U$1004,0))),"")</f>
        <v/>
      </c>
      <c r="D400" s="91">
        <f>IFERROR(INDEX(Firms!$S$5:$S$1004,MATCH(396,Firms!$U$5:$U$1004,0))&amp;"","")</f>
        <v/>
      </c>
      <c r="E400" s="91">
        <f>IFERROR(INDEX(Firms!$C$5:$C$1004,MATCH(396,Firms!$U$5:$U$1004,0))&amp;"","")</f>
        <v/>
      </c>
      <c r="F400" s="79">
        <f>IFERROR(INDEX(Firms!$N$5:$N$1004,MATCH(396,Firms!$U$5:$U$1004,0))&amp;"","")</f>
        <v/>
      </c>
      <c r="G400" s="79">
        <f>IFERROR(INDEX(Firms!$P$5:$P$1004,MATCH(396,Firms!$U$5:$U$1004,0))&amp;"","")</f>
        <v/>
      </c>
      <c r="H400" s="91">
        <f>IFERROR(INDEX(Firms!$T$5:$T$1004,MATCH(396,Firms!$U$5:$U$1004,0))&amp;"","")</f>
        <v/>
      </c>
    </row>
    <row r="401">
      <c r="A401" s="79">
        <f>IF(B401="","",397)</f>
        <v/>
      </c>
      <c r="B401" s="91">
        <f>IFERROR(INDEX(Firms!$A$5:$A$1004,MATCH(397,Firms!$U$5:$U$1004,0))&amp;"","")</f>
        <v/>
      </c>
      <c r="C401" s="88">
        <f>IFERROR(IF(INDEX(Firms!$R$5:$R$1004,MATCH(397,Firms!$U$5:$U$1004,0))="","",INDEX(Firms!$R$5:$R$1004,MATCH(397,Firms!$U$5:$U$1004,0))),"")</f>
        <v/>
      </c>
      <c r="D401" s="91">
        <f>IFERROR(INDEX(Firms!$S$5:$S$1004,MATCH(397,Firms!$U$5:$U$1004,0))&amp;"","")</f>
        <v/>
      </c>
      <c r="E401" s="91">
        <f>IFERROR(INDEX(Firms!$C$5:$C$1004,MATCH(397,Firms!$U$5:$U$1004,0))&amp;"","")</f>
        <v/>
      </c>
      <c r="F401" s="79">
        <f>IFERROR(INDEX(Firms!$N$5:$N$1004,MATCH(397,Firms!$U$5:$U$1004,0))&amp;"","")</f>
        <v/>
      </c>
      <c r="G401" s="79">
        <f>IFERROR(INDEX(Firms!$P$5:$P$1004,MATCH(397,Firms!$U$5:$U$1004,0))&amp;"","")</f>
        <v/>
      </c>
      <c r="H401" s="91">
        <f>IFERROR(INDEX(Firms!$T$5:$T$1004,MATCH(397,Firms!$U$5:$U$1004,0))&amp;"","")</f>
        <v/>
      </c>
    </row>
    <row r="402">
      <c r="A402" s="79">
        <f>IF(B402="","",398)</f>
        <v/>
      </c>
      <c r="B402" s="91">
        <f>IFERROR(INDEX(Firms!$A$5:$A$1004,MATCH(398,Firms!$U$5:$U$1004,0))&amp;"","")</f>
        <v/>
      </c>
      <c r="C402" s="88">
        <f>IFERROR(IF(INDEX(Firms!$R$5:$R$1004,MATCH(398,Firms!$U$5:$U$1004,0))="","",INDEX(Firms!$R$5:$R$1004,MATCH(398,Firms!$U$5:$U$1004,0))),"")</f>
        <v/>
      </c>
      <c r="D402" s="91">
        <f>IFERROR(INDEX(Firms!$S$5:$S$1004,MATCH(398,Firms!$U$5:$U$1004,0))&amp;"","")</f>
        <v/>
      </c>
      <c r="E402" s="91">
        <f>IFERROR(INDEX(Firms!$C$5:$C$1004,MATCH(398,Firms!$U$5:$U$1004,0))&amp;"","")</f>
        <v/>
      </c>
      <c r="F402" s="79">
        <f>IFERROR(INDEX(Firms!$N$5:$N$1004,MATCH(398,Firms!$U$5:$U$1004,0))&amp;"","")</f>
        <v/>
      </c>
      <c r="G402" s="79">
        <f>IFERROR(INDEX(Firms!$P$5:$P$1004,MATCH(398,Firms!$U$5:$U$1004,0))&amp;"","")</f>
        <v/>
      </c>
      <c r="H402" s="91">
        <f>IFERROR(INDEX(Firms!$T$5:$T$1004,MATCH(398,Firms!$U$5:$U$1004,0))&amp;"","")</f>
        <v/>
      </c>
    </row>
    <row r="403">
      <c r="A403" s="79">
        <f>IF(B403="","",399)</f>
        <v/>
      </c>
      <c r="B403" s="91">
        <f>IFERROR(INDEX(Firms!$A$5:$A$1004,MATCH(399,Firms!$U$5:$U$1004,0))&amp;"","")</f>
        <v/>
      </c>
      <c r="C403" s="88">
        <f>IFERROR(IF(INDEX(Firms!$R$5:$R$1004,MATCH(399,Firms!$U$5:$U$1004,0))="","",INDEX(Firms!$R$5:$R$1004,MATCH(399,Firms!$U$5:$U$1004,0))),"")</f>
        <v/>
      </c>
      <c r="D403" s="91">
        <f>IFERROR(INDEX(Firms!$S$5:$S$1004,MATCH(399,Firms!$U$5:$U$1004,0))&amp;"","")</f>
        <v/>
      </c>
      <c r="E403" s="91">
        <f>IFERROR(INDEX(Firms!$C$5:$C$1004,MATCH(399,Firms!$U$5:$U$1004,0))&amp;"","")</f>
        <v/>
      </c>
      <c r="F403" s="79">
        <f>IFERROR(INDEX(Firms!$N$5:$N$1004,MATCH(399,Firms!$U$5:$U$1004,0))&amp;"","")</f>
        <v/>
      </c>
      <c r="G403" s="79">
        <f>IFERROR(INDEX(Firms!$P$5:$P$1004,MATCH(399,Firms!$U$5:$U$1004,0))&amp;"","")</f>
        <v/>
      </c>
      <c r="H403" s="91">
        <f>IFERROR(INDEX(Firms!$T$5:$T$1004,MATCH(399,Firms!$U$5:$U$1004,0))&amp;"","")</f>
        <v/>
      </c>
    </row>
    <row r="404">
      <c r="A404" s="79">
        <f>IF(B404="","",400)</f>
        <v/>
      </c>
      <c r="B404" s="91">
        <f>IFERROR(INDEX(Firms!$A$5:$A$1004,MATCH(400,Firms!$U$5:$U$1004,0))&amp;"","")</f>
        <v/>
      </c>
      <c r="C404" s="88">
        <f>IFERROR(IF(INDEX(Firms!$R$5:$R$1004,MATCH(400,Firms!$U$5:$U$1004,0))="","",INDEX(Firms!$R$5:$R$1004,MATCH(400,Firms!$U$5:$U$1004,0))),"")</f>
        <v/>
      </c>
      <c r="D404" s="91">
        <f>IFERROR(INDEX(Firms!$S$5:$S$1004,MATCH(400,Firms!$U$5:$U$1004,0))&amp;"","")</f>
        <v/>
      </c>
      <c r="E404" s="91">
        <f>IFERROR(INDEX(Firms!$C$5:$C$1004,MATCH(400,Firms!$U$5:$U$1004,0))&amp;"","")</f>
        <v/>
      </c>
      <c r="F404" s="79">
        <f>IFERROR(INDEX(Firms!$N$5:$N$1004,MATCH(400,Firms!$U$5:$U$1004,0))&amp;"","")</f>
        <v/>
      </c>
      <c r="G404" s="79">
        <f>IFERROR(INDEX(Firms!$P$5:$P$1004,MATCH(400,Firms!$U$5:$U$1004,0))&amp;"","")</f>
        <v/>
      </c>
      <c r="H404" s="91">
        <f>IFERROR(INDEX(Firms!$T$5:$T$1004,MATCH(400,Firms!$U$5:$U$1004,0))&amp;"","")</f>
        <v/>
      </c>
    </row>
    <row r="405">
      <c r="A405" s="79">
        <f>IF(B405="","",401)</f>
        <v/>
      </c>
      <c r="B405" s="91">
        <f>IFERROR(INDEX(Firms!$A$5:$A$1004,MATCH(401,Firms!$U$5:$U$1004,0))&amp;"","")</f>
        <v/>
      </c>
      <c r="C405" s="88">
        <f>IFERROR(IF(INDEX(Firms!$R$5:$R$1004,MATCH(401,Firms!$U$5:$U$1004,0))="","",INDEX(Firms!$R$5:$R$1004,MATCH(401,Firms!$U$5:$U$1004,0))),"")</f>
        <v/>
      </c>
      <c r="D405" s="91">
        <f>IFERROR(INDEX(Firms!$S$5:$S$1004,MATCH(401,Firms!$U$5:$U$1004,0))&amp;"","")</f>
        <v/>
      </c>
      <c r="E405" s="91">
        <f>IFERROR(INDEX(Firms!$C$5:$C$1004,MATCH(401,Firms!$U$5:$U$1004,0))&amp;"","")</f>
        <v/>
      </c>
      <c r="F405" s="79">
        <f>IFERROR(INDEX(Firms!$N$5:$N$1004,MATCH(401,Firms!$U$5:$U$1004,0))&amp;"","")</f>
        <v/>
      </c>
      <c r="G405" s="79">
        <f>IFERROR(INDEX(Firms!$P$5:$P$1004,MATCH(401,Firms!$U$5:$U$1004,0))&amp;"","")</f>
        <v/>
      </c>
      <c r="H405" s="91">
        <f>IFERROR(INDEX(Firms!$T$5:$T$1004,MATCH(401,Firms!$U$5:$U$1004,0))&amp;"","")</f>
        <v/>
      </c>
    </row>
    <row r="406">
      <c r="A406" s="79">
        <f>IF(B406="","",402)</f>
        <v/>
      </c>
      <c r="B406" s="91">
        <f>IFERROR(INDEX(Firms!$A$5:$A$1004,MATCH(402,Firms!$U$5:$U$1004,0))&amp;"","")</f>
        <v/>
      </c>
      <c r="C406" s="88">
        <f>IFERROR(IF(INDEX(Firms!$R$5:$R$1004,MATCH(402,Firms!$U$5:$U$1004,0))="","",INDEX(Firms!$R$5:$R$1004,MATCH(402,Firms!$U$5:$U$1004,0))),"")</f>
        <v/>
      </c>
      <c r="D406" s="91">
        <f>IFERROR(INDEX(Firms!$S$5:$S$1004,MATCH(402,Firms!$U$5:$U$1004,0))&amp;"","")</f>
        <v/>
      </c>
      <c r="E406" s="91">
        <f>IFERROR(INDEX(Firms!$C$5:$C$1004,MATCH(402,Firms!$U$5:$U$1004,0))&amp;"","")</f>
        <v/>
      </c>
      <c r="F406" s="79">
        <f>IFERROR(INDEX(Firms!$N$5:$N$1004,MATCH(402,Firms!$U$5:$U$1004,0))&amp;"","")</f>
        <v/>
      </c>
      <c r="G406" s="79">
        <f>IFERROR(INDEX(Firms!$P$5:$P$1004,MATCH(402,Firms!$U$5:$U$1004,0))&amp;"","")</f>
        <v/>
      </c>
      <c r="H406" s="91">
        <f>IFERROR(INDEX(Firms!$T$5:$T$1004,MATCH(402,Firms!$U$5:$U$1004,0))&amp;"","")</f>
        <v/>
      </c>
    </row>
    <row r="407">
      <c r="A407" s="79">
        <f>IF(B407="","",403)</f>
        <v/>
      </c>
      <c r="B407" s="91">
        <f>IFERROR(INDEX(Firms!$A$5:$A$1004,MATCH(403,Firms!$U$5:$U$1004,0))&amp;"","")</f>
        <v/>
      </c>
      <c r="C407" s="88">
        <f>IFERROR(IF(INDEX(Firms!$R$5:$R$1004,MATCH(403,Firms!$U$5:$U$1004,0))="","",INDEX(Firms!$R$5:$R$1004,MATCH(403,Firms!$U$5:$U$1004,0))),"")</f>
        <v/>
      </c>
      <c r="D407" s="91">
        <f>IFERROR(INDEX(Firms!$S$5:$S$1004,MATCH(403,Firms!$U$5:$U$1004,0))&amp;"","")</f>
        <v/>
      </c>
      <c r="E407" s="91">
        <f>IFERROR(INDEX(Firms!$C$5:$C$1004,MATCH(403,Firms!$U$5:$U$1004,0))&amp;"","")</f>
        <v/>
      </c>
      <c r="F407" s="79">
        <f>IFERROR(INDEX(Firms!$N$5:$N$1004,MATCH(403,Firms!$U$5:$U$1004,0))&amp;"","")</f>
        <v/>
      </c>
      <c r="G407" s="79">
        <f>IFERROR(INDEX(Firms!$P$5:$P$1004,MATCH(403,Firms!$U$5:$U$1004,0))&amp;"","")</f>
        <v/>
      </c>
      <c r="H407" s="91">
        <f>IFERROR(INDEX(Firms!$T$5:$T$1004,MATCH(403,Firms!$U$5:$U$1004,0))&amp;"","")</f>
        <v/>
      </c>
    </row>
    <row r="408">
      <c r="A408" s="79">
        <f>IF(B408="","",404)</f>
        <v/>
      </c>
      <c r="B408" s="91">
        <f>IFERROR(INDEX(Firms!$A$5:$A$1004,MATCH(404,Firms!$U$5:$U$1004,0))&amp;"","")</f>
        <v/>
      </c>
      <c r="C408" s="88">
        <f>IFERROR(IF(INDEX(Firms!$R$5:$R$1004,MATCH(404,Firms!$U$5:$U$1004,0))="","",INDEX(Firms!$R$5:$R$1004,MATCH(404,Firms!$U$5:$U$1004,0))),"")</f>
        <v/>
      </c>
      <c r="D408" s="91">
        <f>IFERROR(INDEX(Firms!$S$5:$S$1004,MATCH(404,Firms!$U$5:$U$1004,0))&amp;"","")</f>
        <v/>
      </c>
      <c r="E408" s="91">
        <f>IFERROR(INDEX(Firms!$C$5:$C$1004,MATCH(404,Firms!$U$5:$U$1004,0))&amp;"","")</f>
        <v/>
      </c>
      <c r="F408" s="79">
        <f>IFERROR(INDEX(Firms!$N$5:$N$1004,MATCH(404,Firms!$U$5:$U$1004,0))&amp;"","")</f>
        <v/>
      </c>
      <c r="G408" s="79">
        <f>IFERROR(INDEX(Firms!$P$5:$P$1004,MATCH(404,Firms!$U$5:$U$1004,0))&amp;"","")</f>
        <v/>
      </c>
      <c r="H408" s="91">
        <f>IFERROR(INDEX(Firms!$T$5:$T$1004,MATCH(404,Firms!$U$5:$U$1004,0))&amp;"","")</f>
        <v/>
      </c>
    </row>
    <row r="409">
      <c r="A409" s="79">
        <f>IF(B409="","",405)</f>
        <v/>
      </c>
      <c r="B409" s="91">
        <f>IFERROR(INDEX(Firms!$A$5:$A$1004,MATCH(405,Firms!$U$5:$U$1004,0))&amp;"","")</f>
        <v/>
      </c>
      <c r="C409" s="88">
        <f>IFERROR(IF(INDEX(Firms!$R$5:$R$1004,MATCH(405,Firms!$U$5:$U$1004,0))="","",INDEX(Firms!$R$5:$R$1004,MATCH(405,Firms!$U$5:$U$1004,0))),"")</f>
        <v/>
      </c>
      <c r="D409" s="91">
        <f>IFERROR(INDEX(Firms!$S$5:$S$1004,MATCH(405,Firms!$U$5:$U$1004,0))&amp;"","")</f>
        <v/>
      </c>
      <c r="E409" s="91">
        <f>IFERROR(INDEX(Firms!$C$5:$C$1004,MATCH(405,Firms!$U$5:$U$1004,0))&amp;"","")</f>
        <v/>
      </c>
      <c r="F409" s="79">
        <f>IFERROR(INDEX(Firms!$N$5:$N$1004,MATCH(405,Firms!$U$5:$U$1004,0))&amp;"","")</f>
        <v/>
      </c>
      <c r="G409" s="79">
        <f>IFERROR(INDEX(Firms!$P$5:$P$1004,MATCH(405,Firms!$U$5:$U$1004,0))&amp;"","")</f>
        <v/>
      </c>
      <c r="H409" s="91">
        <f>IFERROR(INDEX(Firms!$T$5:$T$1004,MATCH(405,Firms!$U$5:$U$1004,0))&amp;"","")</f>
        <v/>
      </c>
    </row>
    <row r="410">
      <c r="A410" s="79">
        <f>IF(B410="","",406)</f>
        <v/>
      </c>
      <c r="B410" s="91">
        <f>IFERROR(INDEX(Firms!$A$5:$A$1004,MATCH(406,Firms!$U$5:$U$1004,0))&amp;"","")</f>
        <v/>
      </c>
      <c r="C410" s="88">
        <f>IFERROR(IF(INDEX(Firms!$R$5:$R$1004,MATCH(406,Firms!$U$5:$U$1004,0))="","",INDEX(Firms!$R$5:$R$1004,MATCH(406,Firms!$U$5:$U$1004,0))),"")</f>
        <v/>
      </c>
      <c r="D410" s="91">
        <f>IFERROR(INDEX(Firms!$S$5:$S$1004,MATCH(406,Firms!$U$5:$U$1004,0))&amp;"","")</f>
        <v/>
      </c>
      <c r="E410" s="91">
        <f>IFERROR(INDEX(Firms!$C$5:$C$1004,MATCH(406,Firms!$U$5:$U$1004,0))&amp;"","")</f>
        <v/>
      </c>
      <c r="F410" s="79">
        <f>IFERROR(INDEX(Firms!$N$5:$N$1004,MATCH(406,Firms!$U$5:$U$1004,0))&amp;"","")</f>
        <v/>
      </c>
      <c r="G410" s="79">
        <f>IFERROR(INDEX(Firms!$P$5:$P$1004,MATCH(406,Firms!$U$5:$U$1004,0))&amp;"","")</f>
        <v/>
      </c>
      <c r="H410" s="91">
        <f>IFERROR(INDEX(Firms!$T$5:$T$1004,MATCH(406,Firms!$U$5:$U$1004,0))&amp;"","")</f>
        <v/>
      </c>
    </row>
    <row r="411">
      <c r="A411" s="79">
        <f>IF(B411="","",407)</f>
        <v/>
      </c>
      <c r="B411" s="91">
        <f>IFERROR(INDEX(Firms!$A$5:$A$1004,MATCH(407,Firms!$U$5:$U$1004,0))&amp;"","")</f>
        <v/>
      </c>
      <c r="C411" s="88">
        <f>IFERROR(IF(INDEX(Firms!$R$5:$R$1004,MATCH(407,Firms!$U$5:$U$1004,0))="","",INDEX(Firms!$R$5:$R$1004,MATCH(407,Firms!$U$5:$U$1004,0))),"")</f>
        <v/>
      </c>
      <c r="D411" s="91">
        <f>IFERROR(INDEX(Firms!$S$5:$S$1004,MATCH(407,Firms!$U$5:$U$1004,0))&amp;"","")</f>
        <v/>
      </c>
      <c r="E411" s="91">
        <f>IFERROR(INDEX(Firms!$C$5:$C$1004,MATCH(407,Firms!$U$5:$U$1004,0))&amp;"","")</f>
        <v/>
      </c>
      <c r="F411" s="79">
        <f>IFERROR(INDEX(Firms!$N$5:$N$1004,MATCH(407,Firms!$U$5:$U$1004,0))&amp;"","")</f>
        <v/>
      </c>
      <c r="G411" s="79">
        <f>IFERROR(INDEX(Firms!$P$5:$P$1004,MATCH(407,Firms!$U$5:$U$1004,0))&amp;"","")</f>
        <v/>
      </c>
      <c r="H411" s="91">
        <f>IFERROR(INDEX(Firms!$T$5:$T$1004,MATCH(407,Firms!$U$5:$U$1004,0))&amp;"","")</f>
        <v/>
      </c>
    </row>
    <row r="412">
      <c r="A412" s="79">
        <f>IF(B412="","",408)</f>
        <v/>
      </c>
      <c r="B412" s="91">
        <f>IFERROR(INDEX(Firms!$A$5:$A$1004,MATCH(408,Firms!$U$5:$U$1004,0))&amp;"","")</f>
        <v/>
      </c>
      <c r="C412" s="88">
        <f>IFERROR(IF(INDEX(Firms!$R$5:$R$1004,MATCH(408,Firms!$U$5:$U$1004,0))="","",INDEX(Firms!$R$5:$R$1004,MATCH(408,Firms!$U$5:$U$1004,0))),"")</f>
        <v/>
      </c>
      <c r="D412" s="91">
        <f>IFERROR(INDEX(Firms!$S$5:$S$1004,MATCH(408,Firms!$U$5:$U$1004,0))&amp;"","")</f>
        <v/>
      </c>
      <c r="E412" s="91">
        <f>IFERROR(INDEX(Firms!$C$5:$C$1004,MATCH(408,Firms!$U$5:$U$1004,0))&amp;"","")</f>
        <v/>
      </c>
      <c r="F412" s="79">
        <f>IFERROR(INDEX(Firms!$N$5:$N$1004,MATCH(408,Firms!$U$5:$U$1004,0))&amp;"","")</f>
        <v/>
      </c>
      <c r="G412" s="79">
        <f>IFERROR(INDEX(Firms!$P$5:$P$1004,MATCH(408,Firms!$U$5:$U$1004,0))&amp;"","")</f>
        <v/>
      </c>
      <c r="H412" s="91">
        <f>IFERROR(INDEX(Firms!$T$5:$T$1004,MATCH(408,Firms!$U$5:$U$1004,0))&amp;"","")</f>
        <v/>
      </c>
    </row>
    <row r="413">
      <c r="A413" s="79">
        <f>IF(B413="","",409)</f>
        <v/>
      </c>
      <c r="B413" s="91">
        <f>IFERROR(INDEX(Firms!$A$5:$A$1004,MATCH(409,Firms!$U$5:$U$1004,0))&amp;"","")</f>
        <v/>
      </c>
      <c r="C413" s="88">
        <f>IFERROR(IF(INDEX(Firms!$R$5:$R$1004,MATCH(409,Firms!$U$5:$U$1004,0))="","",INDEX(Firms!$R$5:$R$1004,MATCH(409,Firms!$U$5:$U$1004,0))),"")</f>
        <v/>
      </c>
      <c r="D413" s="91">
        <f>IFERROR(INDEX(Firms!$S$5:$S$1004,MATCH(409,Firms!$U$5:$U$1004,0))&amp;"","")</f>
        <v/>
      </c>
      <c r="E413" s="91">
        <f>IFERROR(INDEX(Firms!$C$5:$C$1004,MATCH(409,Firms!$U$5:$U$1004,0))&amp;"","")</f>
        <v/>
      </c>
      <c r="F413" s="79">
        <f>IFERROR(INDEX(Firms!$N$5:$N$1004,MATCH(409,Firms!$U$5:$U$1004,0))&amp;"","")</f>
        <v/>
      </c>
      <c r="G413" s="79">
        <f>IFERROR(INDEX(Firms!$P$5:$P$1004,MATCH(409,Firms!$U$5:$U$1004,0))&amp;"","")</f>
        <v/>
      </c>
      <c r="H413" s="91">
        <f>IFERROR(INDEX(Firms!$T$5:$T$1004,MATCH(409,Firms!$U$5:$U$1004,0))&amp;"","")</f>
        <v/>
      </c>
    </row>
    <row r="414">
      <c r="A414" s="79">
        <f>IF(B414="","",410)</f>
        <v/>
      </c>
      <c r="B414" s="91">
        <f>IFERROR(INDEX(Firms!$A$5:$A$1004,MATCH(410,Firms!$U$5:$U$1004,0))&amp;"","")</f>
        <v/>
      </c>
      <c r="C414" s="88">
        <f>IFERROR(IF(INDEX(Firms!$R$5:$R$1004,MATCH(410,Firms!$U$5:$U$1004,0))="","",INDEX(Firms!$R$5:$R$1004,MATCH(410,Firms!$U$5:$U$1004,0))),"")</f>
        <v/>
      </c>
      <c r="D414" s="91">
        <f>IFERROR(INDEX(Firms!$S$5:$S$1004,MATCH(410,Firms!$U$5:$U$1004,0))&amp;"","")</f>
        <v/>
      </c>
      <c r="E414" s="91">
        <f>IFERROR(INDEX(Firms!$C$5:$C$1004,MATCH(410,Firms!$U$5:$U$1004,0))&amp;"","")</f>
        <v/>
      </c>
      <c r="F414" s="79">
        <f>IFERROR(INDEX(Firms!$N$5:$N$1004,MATCH(410,Firms!$U$5:$U$1004,0))&amp;"","")</f>
        <v/>
      </c>
      <c r="G414" s="79">
        <f>IFERROR(INDEX(Firms!$P$5:$P$1004,MATCH(410,Firms!$U$5:$U$1004,0))&amp;"","")</f>
        <v/>
      </c>
      <c r="H414" s="91">
        <f>IFERROR(INDEX(Firms!$T$5:$T$1004,MATCH(410,Firms!$U$5:$U$1004,0))&amp;"","")</f>
        <v/>
      </c>
    </row>
    <row r="415">
      <c r="A415" s="79">
        <f>IF(B415="","",411)</f>
        <v/>
      </c>
      <c r="B415" s="91">
        <f>IFERROR(INDEX(Firms!$A$5:$A$1004,MATCH(411,Firms!$U$5:$U$1004,0))&amp;"","")</f>
        <v/>
      </c>
      <c r="C415" s="88">
        <f>IFERROR(IF(INDEX(Firms!$R$5:$R$1004,MATCH(411,Firms!$U$5:$U$1004,0))="","",INDEX(Firms!$R$5:$R$1004,MATCH(411,Firms!$U$5:$U$1004,0))),"")</f>
        <v/>
      </c>
      <c r="D415" s="91">
        <f>IFERROR(INDEX(Firms!$S$5:$S$1004,MATCH(411,Firms!$U$5:$U$1004,0))&amp;"","")</f>
        <v/>
      </c>
      <c r="E415" s="91">
        <f>IFERROR(INDEX(Firms!$C$5:$C$1004,MATCH(411,Firms!$U$5:$U$1004,0))&amp;"","")</f>
        <v/>
      </c>
      <c r="F415" s="79">
        <f>IFERROR(INDEX(Firms!$N$5:$N$1004,MATCH(411,Firms!$U$5:$U$1004,0))&amp;"","")</f>
        <v/>
      </c>
      <c r="G415" s="79">
        <f>IFERROR(INDEX(Firms!$P$5:$P$1004,MATCH(411,Firms!$U$5:$U$1004,0))&amp;"","")</f>
        <v/>
      </c>
      <c r="H415" s="91">
        <f>IFERROR(INDEX(Firms!$T$5:$T$1004,MATCH(411,Firms!$U$5:$U$1004,0))&amp;"","")</f>
        <v/>
      </c>
    </row>
    <row r="416">
      <c r="A416" s="79">
        <f>IF(B416="","",412)</f>
        <v/>
      </c>
      <c r="B416" s="91">
        <f>IFERROR(INDEX(Firms!$A$5:$A$1004,MATCH(412,Firms!$U$5:$U$1004,0))&amp;"","")</f>
        <v/>
      </c>
      <c r="C416" s="88">
        <f>IFERROR(IF(INDEX(Firms!$R$5:$R$1004,MATCH(412,Firms!$U$5:$U$1004,0))="","",INDEX(Firms!$R$5:$R$1004,MATCH(412,Firms!$U$5:$U$1004,0))),"")</f>
        <v/>
      </c>
      <c r="D416" s="91">
        <f>IFERROR(INDEX(Firms!$S$5:$S$1004,MATCH(412,Firms!$U$5:$U$1004,0))&amp;"","")</f>
        <v/>
      </c>
      <c r="E416" s="91">
        <f>IFERROR(INDEX(Firms!$C$5:$C$1004,MATCH(412,Firms!$U$5:$U$1004,0))&amp;"","")</f>
        <v/>
      </c>
      <c r="F416" s="79">
        <f>IFERROR(INDEX(Firms!$N$5:$N$1004,MATCH(412,Firms!$U$5:$U$1004,0))&amp;"","")</f>
        <v/>
      </c>
      <c r="G416" s="79">
        <f>IFERROR(INDEX(Firms!$P$5:$P$1004,MATCH(412,Firms!$U$5:$U$1004,0))&amp;"","")</f>
        <v/>
      </c>
      <c r="H416" s="91">
        <f>IFERROR(INDEX(Firms!$T$5:$T$1004,MATCH(412,Firms!$U$5:$U$1004,0))&amp;"","")</f>
        <v/>
      </c>
    </row>
    <row r="417">
      <c r="A417" s="79">
        <f>IF(B417="","",413)</f>
        <v/>
      </c>
      <c r="B417" s="91">
        <f>IFERROR(INDEX(Firms!$A$5:$A$1004,MATCH(413,Firms!$U$5:$U$1004,0))&amp;"","")</f>
        <v/>
      </c>
      <c r="C417" s="88">
        <f>IFERROR(IF(INDEX(Firms!$R$5:$R$1004,MATCH(413,Firms!$U$5:$U$1004,0))="","",INDEX(Firms!$R$5:$R$1004,MATCH(413,Firms!$U$5:$U$1004,0))),"")</f>
        <v/>
      </c>
      <c r="D417" s="91">
        <f>IFERROR(INDEX(Firms!$S$5:$S$1004,MATCH(413,Firms!$U$5:$U$1004,0))&amp;"","")</f>
        <v/>
      </c>
      <c r="E417" s="91">
        <f>IFERROR(INDEX(Firms!$C$5:$C$1004,MATCH(413,Firms!$U$5:$U$1004,0))&amp;"","")</f>
        <v/>
      </c>
      <c r="F417" s="79">
        <f>IFERROR(INDEX(Firms!$N$5:$N$1004,MATCH(413,Firms!$U$5:$U$1004,0))&amp;"","")</f>
        <v/>
      </c>
      <c r="G417" s="79">
        <f>IFERROR(INDEX(Firms!$P$5:$P$1004,MATCH(413,Firms!$U$5:$U$1004,0))&amp;"","")</f>
        <v/>
      </c>
      <c r="H417" s="91">
        <f>IFERROR(INDEX(Firms!$T$5:$T$1004,MATCH(413,Firms!$U$5:$U$1004,0))&amp;"","")</f>
        <v/>
      </c>
    </row>
    <row r="418">
      <c r="A418" s="79">
        <f>IF(B418="","",414)</f>
        <v/>
      </c>
      <c r="B418" s="91">
        <f>IFERROR(INDEX(Firms!$A$5:$A$1004,MATCH(414,Firms!$U$5:$U$1004,0))&amp;"","")</f>
        <v/>
      </c>
      <c r="C418" s="88">
        <f>IFERROR(IF(INDEX(Firms!$R$5:$R$1004,MATCH(414,Firms!$U$5:$U$1004,0))="","",INDEX(Firms!$R$5:$R$1004,MATCH(414,Firms!$U$5:$U$1004,0))),"")</f>
        <v/>
      </c>
      <c r="D418" s="91">
        <f>IFERROR(INDEX(Firms!$S$5:$S$1004,MATCH(414,Firms!$U$5:$U$1004,0))&amp;"","")</f>
        <v/>
      </c>
      <c r="E418" s="91">
        <f>IFERROR(INDEX(Firms!$C$5:$C$1004,MATCH(414,Firms!$U$5:$U$1004,0))&amp;"","")</f>
        <v/>
      </c>
      <c r="F418" s="79">
        <f>IFERROR(INDEX(Firms!$N$5:$N$1004,MATCH(414,Firms!$U$5:$U$1004,0))&amp;"","")</f>
        <v/>
      </c>
      <c r="G418" s="79">
        <f>IFERROR(INDEX(Firms!$P$5:$P$1004,MATCH(414,Firms!$U$5:$U$1004,0))&amp;"","")</f>
        <v/>
      </c>
      <c r="H418" s="91">
        <f>IFERROR(INDEX(Firms!$T$5:$T$1004,MATCH(414,Firms!$U$5:$U$1004,0))&amp;"","")</f>
        <v/>
      </c>
    </row>
    <row r="419">
      <c r="A419" s="79">
        <f>IF(B419="","",415)</f>
        <v/>
      </c>
      <c r="B419" s="91">
        <f>IFERROR(INDEX(Firms!$A$5:$A$1004,MATCH(415,Firms!$U$5:$U$1004,0))&amp;"","")</f>
        <v/>
      </c>
      <c r="C419" s="88">
        <f>IFERROR(IF(INDEX(Firms!$R$5:$R$1004,MATCH(415,Firms!$U$5:$U$1004,0))="","",INDEX(Firms!$R$5:$R$1004,MATCH(415,Firms!$U$5:$U$1004,0))),"")</f>
        <v/>
      </c>
      <c r="D419" s="91">
        <f>IFERROR(INDEX(Firms!$S$5:$S$1004,MATCH(415,Firms!$U$5:$U$1004,0))&amp;"","")</f>
        <v/>
      </c>
      <c r="E419" s="91">
        <f>IFERROR(INDEX(Firms!$C$5:$C$1004,MATCH(415,Firms!$U$5:$U$1004,0))&amp;"","")</f>
        <v/>
      </c>
      <c r="F419" s="79">
        <f>IFERROR(INDEX(Firms!$N$5:$N$1004,MATCH(415,Firms!$U$5:$U$1004,0))&amp;"","")</f>
        <v/>
      </c>
      <c r="G419" s="79">
        <f>IFERROR(INDEX(Firms!$P$5:$P$1004,MATCH(415,Firms!$U$5:$U$1004,0))&amp;"","")</f>
        <v/>
      </c>
      <c r="H419" s="91">
        <f>IFERROR(INDEX(Firms!$T$5:$T$1004,MATCH(415,Firms!$U$5:$U$1004,0))&amp;"","")</f>
        <v/>
      </c>
    </row>
    <row r="420">
      <c r="A420" s="79">
        <f>IF(B420="","",416)</f>
        <v/>
      </c>
      <c r="B420" s="91">
        <f>IFERROR(INDEX(Firms!$A$5:$A$1004,MATCH(416,Firms!$U$5:$U$1004,0))&amp;"","")</f>
        <v/>
      </c>
      <c r="C420" s="88">
        <f>IFERROR(IF(INDEX(Firms!$R$5:$R$1004,MATCH(416,Firms!$U$5:$U$1004,0))="","",INDEX(Firms!$R$5:$R$1004,MATCH(416,Firms!$U$5:$U$1004,0))),"")</f>
        <v/>
      </c>
      <c r="D420" s="91">
        <f>IFERROR(INDEX(Firms!$S$5:$S$1004,MATCH(416,Firms!$U$5:$U$1004,0))&amp;"","")</f>
        <v/>
      </c>
      <c r="E420" s="91">
        <f>IFERROR(INDEX(Firms!$C$5:$C$1004,MATCH(416,Firms!$U$5:$U$1004,0))&amp;"","")</f>
        <v/>
      </c>
      <c r="F420" s="79">
        <f>IFERROR(INDEX(Firms!$N$5:$N$1004,MATCH(416,Firms!$U$5:$U$1004,0))&amp;"","")</f>
        <v/>
      </c>
      <c r="G420" s="79">
        <f>IFERROR(INDEX(Firms!$P$5:$P$1004,MATCH(416,Firms!$U$5:$U$1004,0))&amp;"","")</f>
        <v/>
      </c>
      <c r="H420" s="91">
        <f>IFERROR(INDEX(Firms!$T$5:$T$1004,MATCH(416,Firms!$U$5:$U$1004,0))&amp;"","")</f>
        <v/>
      </c>
    </row>
    <row r="421">
      <c r="A421" s="79">
        <f>IF(B421="","",417)</f>
        <v/>
      </c>
      <c r="B421" s="91">
        <f>IFERROR(INDEX(Firms!$A$5:$A$1004,MATCH(417,Firms!$U$5:$U$1004,0))&amp;"","")</f>
        <v/>
      </c>
      <c r="C421" s="88">
        <f>IFERROR(IF(INDEX(Firms!$R$5:$R$1004,MATCH(417,Firms!$U$5:$U$1004,0))="","",INDEX(Firms!$R$5:$R$1004,MATCH(417,Firms!$U$5:$U$1004,0))),"")</f>
        <v/>
      </c>
      <c r="D421" s="91">
        <f>IFERROR(INDEX(Firms!$S$5:$S$1004,MATCH(417,Firms!$U$5:$U$1004,0))&amp;"","")</f>
        <v/>
      </c>
      <c r="E421" s="91">
        <f>IFERROR(INDEX(Firms!$C$5:$C$1004,MATCH(417,Firms!$U$5:$U$1004,0))&amp;"","")</f>
        <v/>
      </c>
      <c r="F421" s="79">
        <f>IFERROR(INDEX(Firms!$N$5:$N$1004,MATCH(417,Firms!$U$5:$U$1004,0))&amp;"","")</f>
        <v/>
      </c>
      <c r="G421" s="79">
        <f>IFERROR(INDEX(Firms!$P$5:$P$1004,MATCH(417,Firms!$U$5:$U$1004,0))&amp;"","")</f>
        <v/>
      </c>
      <c r="H421" s="91">
        <f>IFERROR(INDEX(Firms!$T$5:$T$1004,MATCH(417,Firms!$U$5:$U$1004,0))&amp;"","")</f>
        <v/>
      </c>
    </row>
    <row r="422">
      <c r="A422" s="79">
        <f>IF(B422="","",418)</f>
        <v/>
      </c>
      <c r="B422" s="91">
        <f>IFERROR(INDEX(Firms!$A$5:$A$1004,MATCH(418,Firms!$U$5:$U$1004,0))&amp;"","")</f>
        <v/>
      </c>
      <c r="C422" s="88">
        <f>IFERROR(IF(INDEX(Firms!$R$5:$R$1004,MATCH(418,Firms!$U$5:$U$1004,0))="","",INDEX(Firms!$R$5:$R$1004,MATCH(418,Firms!$U$5:$U$1004,0))),"")</f>
        <v/>
      </c>
      <c r="D422" s="91">
        <f>IFERROR(INDEX(Firms!$S$5:$S$1004,MATCH(418,Firms!$U$5:$U$1004,0))&amp;"","")</f>
        <v/>
      </c>
      <c r="E422" s="91">
        <f>IFERROR(INDEX(Firms!$C$5:$C$1004,MATCH(418,Firms!$U$5:$U$1004,0))&amp;"","")</f>
        <v/>
      </c>
      <c r="F422" s="79">
        <f>IFERROR(INDEX(Firms!$N$5:$N$1004,MATCH(418,Firms!$U$5:$U$1004,0))&amp;"","")</f>
        <v/>
      </c>
      <c r="G422" s="79">
        <f>IFERROR(INDEX(Firms!$P$5:$P$1004,MATCH(418,Firms!$U$5:$U$1004,0))&amp;"","")</f>
        <v/>
      </c>
      <c r="H422" s="91">
        <f>IFERROR(INDEX(Firms!$T$5:$T$1004,MATCH(418,Firms!$U$5:$U$1004,0))&amp;"","")</f>
        <v/>
      </c>
    </row>
    <row r="423">
      <c r="A423" s="79">
        <f>IF(B423="","",419)</f>
        <v/>
      </c>
      <c r="B423" s="91">
        <f>IFERROR(INDEX(Firms!$A$5:$A$1004,MATCH(419,Firms!$U$5:$U$1004,0))&amp;"","")</f>
        <v/>
      </c>
      <c r="C423" s="88">
        <f>IFERROR(IF(INDEX(Firms!$R$5:$R$1004,MATCH(419,Firms!$U$5:$U$1004,0))="","",INDEX(Firms!$R$5:$R$1004,MATCH(419,Firms!$U$5:$U$1004,0))),"")</f>
        <v/>
      </c>
      <c r="D423" s="91">
        <f>IFERROR(INDEX(Firms!$S$5:$S$1004,MATCH(419,Firms!$U$5:$U$1004,0))&amp;"","")</f>
        <v/>
      </c>
      <c r="E423" s="91">
        <f>IFERROR(INDEX(Firms!$C$5:$C$1004,MATCH(419,Firms!$U$5:$U$1004,0))&amp;"","")</f>
        <v/>
      </c>
      <c r="F423" s="79">
        <f>IFERROR(INDEX(Firms!$N$5:$N$1004,MATCH(419,Firms!$U$5:$U$1004,0))&amp;"","")</f>
        <v/>
      </c>
      <c r="G423" s="79">
        <f>IFERROR(INDEX(Firms!$P$5:$P$1004,MATCH(419,Firms!$U$5:$U$1004,0))&amp;"","")</f>
        <v/>
      </c>
      <c r="H423" s="91">
        <f>IFERROR(INDEX(Firms!$T$5:$T$1004,MATCH(419,Firms!$U$5:$U$1004,0))&amp;"","")</f>
        <v/>
      </c>
    </row>
    <row r="424">
      <c r="A424" s="79">
        <f>IF(B424="","",420)</f>
        <v/>
      </c>
      <c r="B424" s="91">
        <f>IFERROR(INDEX(Firms!$A$5:$A$1004,MATCH(420,Firms!$U$5:$U$1004,0))&amp;"","")</f>
        <v/>
      </c>
      <c r="C424" s="88">
        <f>IFERROR(IF(INDEX(Firms!$R$5:$R$1004,MATCH(420,Firms!$U$5:$U$1004,0))="","",INDEX(Firms!$R$5:$R$1004,MATCH(420,Firms!$U$5:$U$1004,0))),"")</f>
        <v/>
      </c>
      <c r="D424" s="91">
        <f>IFERROR(INDEX(Firms!$S$5:$S$1004,MATCH(420,Firms!$U$5:$U$1004,0))&amp;"","")</f>
        <v/>
      </c>
      <c r="E424" s="91">
        <f>IFERROR(INDEX(Firms!$C$5:$C$1004,MATCH(420,Firms!$U$5:$U$1004,0))&amp;"","")</f>
        <v/>
      </c>
      <c r="F424" s="79">
        <f>IFERROR(INDEX(Firms!$N$5:$N$1004,MATCH(420,Firms!$U$5:$U$1004,0))&amp;"","")</f>
        <v/>
      </c>
      <c r="G424" s="79">
        <f>IFERROR(INDEX(Firms!$P$5:$P$1004,MATCH(420,Firms!$U$5:$U$1004,0))&amp;"","")</f>
        <v/>
      </c>
      <c r="H424" s="91">
        <f>IFERROR(INDEX(Firms!$T$5:$T$1004,MATCH(420,Firms!$U$5:$U$1004,0))&amp;"","")</f>
        <v/>
      </c>
    </row>
    <row r="425">
      <c r="A425" s="79">
        <f>IF(B425="","",421)</f>
        <v/>
      </c>
      <c r="B425" s="91">
        <f>IFERROR(INDEX(Firms!$A$5:$A$1004,MATCH(421,Firms!$U$5:$U$1004,0))&amp;"","")</f>
        <v/>
      </c>
      <c r="C425" s="88">
        <f>IFERROR(IF(INDEX(Firms!$R$5:$R$1004,MATCH(421,Firms!$U$5:$U$1004,0))="","",INDEX(Firms!$R$5:$R$1004,MATCH(421,Firms!$U$5:$U$1004,0))),"")</f>
        <v/>
      </c>
      <c r="D425" s="91">
        <f>IFERROR(INDEX(Firms!$S$5:$S$1004,MATCH(421,Firms!$U$5:$U$1004,0))&amp;"","")</f>
        <v/>
      </c>
      <c r="E425" s="91">
        <f>IFERROR(INDEX(Firms!$C$5:$C$1004,MATCH(421,Firms!$U$5:$U$1004,0))&amp;"","")</f>
        <v/>
      </c>
      <c r="F425" s="79">
        <f>IFERROR(INDEX(Firms!$N$5:$N$1004,MATCH(421,Firms!$U$5:$U$1004,0))&amp;"","")</f>
        <v/>
      </c>
      <c r="G425" s="79">
        <f>IFERROR(INDEX(Firms!$P$5:$P$1004,MATCH(421,Firms!$U$5:$U$1004,0))&amp;"","")</f>
        <v/>
      </c>
      <c r="H425" s="91">
        <f>IFERROR(INDEX(Firms!$T$5:$T$1004,MATCH(421,Firms!$U$5:$U$1004,0))&amp;"","")</f>
        <v/>
      </c>
    </row>
    <row r="426">
      <c r="A426" s="79">
        <f>IF(B426="","",422)</f>
        <v/>
      </c>
      <c r="B426" s="91">
        <f>IFERROR(INDEX(Firms!$A$5:$A$1004,MATCH(422,Firms!$U$5:$U$1004,0))&amp;"","")</f>
        <v/>
      </c>
      <c r="C426" s="88">
        <f>IFERROR(IF(INDEX(Firms!$R$5:$R$1004,MATCH(422,Firms!$U$5:$U$1004,0))="","",INDEX(Firms!$R$5:$R$1004,MATCH(422,Firms!$U$5:$U$1004,0))),"")</f>
        <v/>
      </c>
      <c r="D426" s="91">
        <f>IFERROR(INDEX(Firms!$S$5:$S$1004,MATCH(422,Firms!$U$5:$U$1004,0))&amp;"","")</f>
        <v/>
      </c>
      <c r="E426" s="91">
        <f>IFERROR(INDEX(Firms!$C$5:$C$1004,MATCH(422,Firms!$U$5:$U$1004,0))&amp;"","")</f>
        <v/>
      </c>
      <c r="F426" s="79">
        <f>IFERROR(INDEX(Firms!$N$5:$N$1004,MATCH(422,Firms!$U$5:$U$1004,0))&amp;"","")</f>
        <v/>
      </c>
      <c r="G426" s="79">
        <f>IFERROR(INDEX(Firms!$P$5:$P$1004,MATCH(422,Firms!$U$5:$U$1004,0))&amp;"","")</f>
        <v/>
      </c>
      <c r="H426" s="91">
        <f>IFERROR(INDEX(Firms!$T$5:$T$1004,MATCH(422,Firms!$U$5:$U$1004,0))&amp;"","")</f>
        <v/>
      </c>
    </row>
    <row r="427">
      <c r="A427" s="79">
        <f>IF(B427="","",423)</f>
        <v/>
      </c>
      <c r="B427" s="91">
        <f>IFERROR(INDEX(Firms!$A$5:$A$1004,MATCH(423,Firms!$U$5:$U$1004,0))&amp;"","")</f>
        <v/>
      </c>
      <c r="C427" s="88">
        <f>IFERROR(IF(INDEX(Firms!$R$5:$R$1004,MATCH(423,Firms!$U$5:$U$1004,0))="","",INDEX(Firms!$R$5:$R$1004,MATCH(423,Firms!$U$5:$U$1004,0))),"")</f>
        <v/>
      </c>
      <c r="D427" s="91">
        <f>IFERROR(INDEX(Firms!$S$5:$S$1004,MATCH(423,Firms!$U$5:$U$1004,0))&amp;"","")</f>
        <v/>
      </c>
      <c r="E427" s="91">
        <f>IFERROR(INDEX(Firms!$C$5:$C$1004,MATCH(423,Firms!$U$5:$U$1004,0))&amp;"","")</f>
        <v/>
      </c>
      <c r="F427" s="79">
        <f>IFERROR(INDEX(Firms!$N$5:$N$1004,MATCH(423,Firms!$U$5:$U$1004,0))&amp;"","")</f>
        <v/>
      </c>
      <c r="G427" s="79">
        <f>IFERROR(INDEX(Firms!$P$5:$P$1004,MATCH(423,Firms!$U$5:$U$1004,0))&amp;"","")</f>
        <v/>
      </c>
      <c r="H427" s="91">
        <f>IFERROR(INDEX(Firms!$T$5:$T$1004,MATCH(423,Firms!$U$5:$U$1004,0))&amp;"","")</f>
        <v/>
      </c>
    </row>
    <row r="428">
      <c r="A428" s="79">
        <f>IF(B428="","",424)</f>
        <v/>
      </c>
      <c r="B428" s="91">
        <f>IFERROR(INDEX(Firms!$A$5:$A$1004,MATCH(424,Firms!$U$5:$U$1004,0))&amp;"","")</f>
        <v/>
      </c>
      <c r="C428" s="88">
        <f>IFERROR(IF(INDEX(Firms!$R$5:$R$1004,MATCH(424,Firms!$U$5:$U$1004,0))="","",INDEX(Firms!$R$5:$R$1004,MATCH(424,Firms!$U$5:$U$1004,0))),"")</f>
        <v/>
      </c>
      <c r="D428" s="91">
        <f>IFERROR(INDEX(Firms!$S$5:$S$1004,MATCH(424,Firms!$U$5:$U$1004,0))&amp;"","")</f>
        <v/>
      </c>
      <c r="E428" s="91">
        <f>IFERROR(INDEX(Firms!$C$5:$C$1004,MATCH(424,Firms!$U$5:$U$1004,0))&amp;"","")</f>
        <v/>
      </c>
      <c r="F428" s="79">
        <f>IFERROR(INDEX(Firms!$N$5:$N$1004,MATCH(424,Firms!$U$5:$U$1004,0))&amp;"","")</f>
        <v/>
      </c>
      <c r="G428" s="79">
        <f>IFERROR(INDEX(Firms!$P$5:$P$1004,MATCH(424,Firms!$U$5:$U$1004,0))&amp;"","")</f>
        <v/>
      </c>
      <c r="H428" s="91">
        <f>IFERROR(INDEX(Firms!$T$5:$T$1004,MATCH(424,Firms!$U$5:$U$1004,0))&amp;"","")</f>
        <v/>
      </c>
    </row>
    <row r="429">
      <c r="A429" s="79">
        <f>IF(B429="","",425)</f>
        <v/>
      </c>
      <c r="B429" s="91">
        <f>IFERROR(INDEX(Firms!$A$5:$A$1004,MATCH(425,Firms!$U$5:$U$1004,0))&amp;"","")</f>
        <v/>
      </c>
      <c r="C429" s="88">
        <f>IFERROR(IF(INDEX(Firms!$R$5:$R$1004,MATCH(425,Firms!$U$5:$U$1004,0))="","",INDEX(Firms!$R$5:$R$1004,MATCH(425,Firms!$U$5:$U$1004,0))),"")</f>
        <v/>
      </c>
      <c r="D429" s="91">
        <f>IFERROR(INDEX(Firms!$S$5:$S$1004,MATCH(425,Firms!$U$5:$U$1004,0))&amp;"","")</f>
        <v/>
      </c>
      <c r="E429" s="91">
        <f>IFERROR(INDEX(Firms!$C$5:$C$1004,MATCH(425,Firms!$U$5:$U$1004,0))&amp;"","")</f>
        <v/>
      </c>
      <c r="F429" s="79">
        <f>IFERROR(INDEX(Firms!$N$5:$N$1004,MATCH(425,Firms!$U$5:$U$1004,0))&amp;"","")</f>
        <v/>
      </c>
      <c r="G429" s="79">
        <f>IFERROR(INDEX(Firms!$P$5:$P$1004,MATCH(425,Firms!$U$5:$U$1004,0))&amp;"","")</f>
        <v/>
      </c>
      <c r="H429" s="91">
        <f>IFERROR(INDEX(Firms!$T$5:$T$1004,MATCH(425,Firms!$U$5:$U$1004,0))&amp;"","")</f>
        <v/>
      </c>
    </row>
    <row r="430">
      <c r="A430" s="79">
        <f>IF(B430="","",426)</f>
        <v/>
      </c>
      <c r="B430" s="91">
        <f>IFERROR(INDEX(Firms!$A$5:$A$1004,MATCH(426,Firms!$U$5:$U$1004,0))&amp;"","")</f>
        <v/>
      </c>
      <c r="C430" s="88">
        <f>IFERROR(IF(INDEX(Firms!$R$5:$R$1004,MATCH(426,Firms!$U$5:$U$1004,0))="","",INDEX(Firms!$R$5:$R$1004,MATCH(426,Firms!$U$5:$U$1004,0))),"")</f>
        <v/>
      </c>
      <c r="D430" s="91">
        <f>IFERROR(INDEX(Firms!$S$5:$S$1004,MATCH(426,Firms!$U$5:$U$1004,0))&amp;"","")</f>
        <v/>
      </c>
      <c r="E430" s="91">
        <f>IFERROR(INDEX(Firms!$C$5:$C$1004,MATCH(426,Firms!$U$5:$U$1004,0))&amp;"","")</f>
        <v/>
      </c>
      <c r="F430" s="79">
        <f>IFERROR(INDEX(Firms!$N$5:$N$1004,MATCH(426,Firms!$U$5:$U$1004,0))&amp;"","")</f>
        <v/>
      </c>
      <c r="G430" s="79">
        <f>IFERROR(INDEX(Firms!$P$5:$P$1004,MATCH(426,Firms!$U$5:$U$1004,0))&amp;"","")</f>
        <v/>
      </c>
      <c r="H430" s="91">
        <f>IFERROR(INDEX(Firms!$T$5:$T$1004,MATCH(426,Firms!$U$5:$U$1004,0))&amp;"","")</f>
        <v/>
      </c>
    </row>
    <row r="431">
      <c r="A431" s="79">
        <f>IF(B431="","",427)</f>
        <v/>
      </c>
      <c r="B431" s="91">
        <f>IFERROR(INDEX(Firms!$A$5:$A$1004,MATCH(427,Firms!$U$5:$U$1004,0))&amp;"","")</f>
        <v/>
      </c>
      <c r="C431" s="88">
        <f>IFERROR(IF(INDEX(Firms!$R$5:$R$1004,MATCH(427,Firms!$U$5:$U$1004,0))="","",INDEX(Firms!$R$5:$R$1004,MATCH(427,Firms!$U$5:$U$1004,0))),"")</f>
        <v/>
      </c>
      <c r="D431" s="91">
        <f>IFERROR(INDEX(Firms!$S$5:$S$1004,MATCH(427,Firms!$U$5:$U$1004,0))&amp;"","")</f>
        <v/>
      </c>
      <c r="E431" s="91">
        <f>IFERROR(INDEX(Firms!$C$5:$C$1004,MATCH(427,Firms!$U$5:$U$1004,0))&amp;"","")</f>
        <v/>
      </c>
      <c r="F431" s="79">
        <f>IFERROR(INDEX(Firms!$N$5:$N$1004,MATCH(427,Firms!$U$5:$U$1004,0))&amp;"","")</f>
        <v/>
      </c>
      <c r="G431" s="79">
        <f>IFERROR(INDEX(Firms!$P$5:$P$1004,MATCH(427,Firms!$U$5:$U$1004,0))&amp;"","")</f>
        <v/>
      </c>
      <c r="H431" s="91">
        <f>IFERROR(INDEX(Firms!$T$5:$T$1004,MATCH(427,Firms!$U$5:$U$1004,0))&amp;"","")</f>
        <v/>
      </c>
    </row>
    <row r="432">
      <c r="A432" s="79">
        <f>IF(B432="","",428)</f>
        <v/>
      </c>
      <c r="B432" s="91">
        <f>IFERROR(INDEX(Firms!$A$5:$A$1004,MATCH(428,Firms!$U$5:$U$1004,0))&amp;"","")</f>
        <v/>
      </c>
      <c r="C432" s="88">
        <f>IFERROR(IF(INDEX(Firms!$R$5:$R$1004,MATCH(428,Firms!$U$5:$U$1004,0))="","",INDEX(Firms!$R$5:$R$1004,MATCH(428,Firms!$U$5:$U$1004,0))),"")</f>
        <v/>
      </c>
      <c r="D432" s="91">
        <f>IFERROR(INDEX(Firms!$S$5:$S$1004,MATCH(428,Firms!$U$5:$U$1004,0))&amp;"","")</f>
        <v/>
      </c>
      <c r="E432" s="91">
        <f>IFERROR(INDEX(Firms!$C$5:$C$1004,MATCH(428,Firms!$U$5:$U$1004,0))&amp;"","")</f>
        <v/>
      </c>
      <c r="F432" s="79">
        <f>IFERROR(INDEX(Firms!$N$5:$N$1004,MATCH(428,Firms!$U$5:$U$1004,0))&amp;"","")</f>
        <v/>
      </c>
      <c r="G432" s="79">
        <f>IFERROR(INDEX(Firms!$P$5:$P$1004,MATCH(428,Firms!$U$5:$U$1004,0))&amp;"","")</f>
        <v/>
      </c>
      <c r="H432" s="91">
        <f>IFERROR(INDEX(Firms!$T$5:$T$1004,MATCH(428,Firms!$U$5:$U$1004,0))&amp;"","")</f>
        <v/>
      </c>
    </row>
    <row r="433">
      <c r="A433" s="79">
        <f>IF(B433="","",429)</f>
        <v/>
      </c>
      <c r="B433" s="91">
        <f>IFERROR(INDEX(Firms!$A$5:$A$1004,MATCH(429,Firms!$U$5:$U$1004,0))&amp;"","")</f>
        <v/>
      </c>
      <c r="C433" s="88">
        <f>IFERROR(IF(INDEX(Firms!$R$5:$R$1004,MATCH(429,Firms!$U$5:$U$1004,0))="","",INDEX(Firms!$R$5:$R$1004,MATCH(429,Firms!$U$5:$U$1004,0))),"")</f>
        <v/>
      </c>
      <c r="D433" s="91">
        <f>IFERROR(INDEX(Firms!$S$5:$S$1004,MATCH(429,Firms!$U$5:$U$1004,0))&amp;"","")</f>
        <v/>
      </c>
      <c r="E433" s="91">
        <f>IFERROR(INDEX(Firms!$C$5:$C$1004,MATCH(429,Firms!$U$5:$U$1004,0))&amp;"","")</f>
        <v/>
      </c>
      <c r="F433" s="79">
        <f>IFERROR(INDEX(Firms!$N$5:$N$1004,MATCH(429,Firms!$U$5:$U$1004,0))&amp;"","")</f>
        <v/>
      </c>
      <c r="G433" s="79">
        <f>IFERROR(INDEX(Firms!$P$5:$P$1004,MATCH(429,Firms!$U$5:$U$1004,0))&amp;"","")</f>
        <v/>
      </c>
      <c r="H433" s="91">
        <f>IFERROR(INDEX(Firms!$T$5:$T$1004,MATCH(429,Firms!$U$5:$U$1004,0))&amp;"","")</f>
        <v/>
      </c>
    </row>
    <row r="434">
      <c r="A434" s="79">
        <f>IF(B434="","",430)</f>
        <v/>
      </c>
      <c r="B434" s="91">
        <f>IFERROR(INDEX(Firms!$A$5:$A$1004,MATCH(430,Firms!$U$5:$U$1004,0))&amp;"","")</f>
        <v/>
      </c>
      <c r="C434" s="88">
        <f>IFERROR(IF(INDEX(Firms!$R$5:$R$1004,MATCH(430,Firms!$U$5:$U$1004,0))="","",INDEX(Firms!$R$5:$R$1004,MATCH(430,Firms!$U$5:$U$1004,0))),"")</f>
        <v/>
      </c>
      <c r="D434" s="91">
        <f>IFERROR(INDEX(Firms!$S$5:$S$1004,MATCH(430,Firms!$U$5:$U$1004,0))&amp;"","")</f>
        <v/>
      </c>
      <c r="E434" s="91">
        <f>IFERROR(INDEX(Firms!$C$5:$C$1004,MATCH(430,Firms!$U$5:$U$1004,0))&amp;"","")</f>
        <v/>
      </c>
      <c r="F434" s="79">
        <f>IFERROR(INDEX(Firms!$N$5:$N$1004,MATCH(430,Firms!$U$5:$U$1004,0))&amp;"","")</f>
        <v/>
      </c>
      <c r="G434" s="79">
        <f>IFERROR(INDEX(Firms!$P$5:$P$1004,MATCH(430,Firms!$U$5:$U$1004,0))&amp;"","")</f>
        <v/>
      </c>
      <c r="H434" s="91">
        <f>IFERROR(INDEX(Firms!$T$5:$T$1004,MATCH(430,Firms!$U$5:$U$1004,0))&amp;"","")</f>
        <v/>
      </c>
    </row>
    <row r="435">
      <c r="A435" s="79">
        <f>IF(B435="","",431)</f>
        <v/>
      </c>
      <c r="B435" s="91">
        <f>IFERROR(INDEX(Firms!$A$5:$A$1004,MATCH(431,Firms!$U$5:$U$1004,0))&amp;"","")</f>
        <v/>
      </c>
      <c r="C435" s="88">
        <f>IFERROR(IF(INDEX(Firms!$R$5:$R$1004,MATCH(431,Firms!$U$5:$U$1004,0))="","",INDEX(Firms!$R$5:$R$1004,MATCH(431,Firms!$U$5:$U$1004,0))),"")</f>
        <v/>
      </c>
      <c r="D435" s="91">
        <f>IFERROR(INDEX(Firms!$S$5:$S$1004,MATCH(431,Firms!$U$5:$U$1004,0))&amp;"","")</f>
        <v/>
      </c>
      <c r="E435" s="91">
        <f>IFERROR(INDEX(Firms!$C$5:$C$1004,MATCH(431,Firms!$U$5:$U$1004,0))&amp;"","")</f>
        <v/>
      </c>
      <c r="F435" s="79">
        <f>IFERROR(INDEX(Firms!$N$5:$N$1004,MATCH(431,Firms!$U$5:$U$1004,0))&amp;"","")</f>
        <v/>
      </c>
      <c r="G435" s="79">
        <f>IFERROR(INDEX(Firms!$P$5:$P$1004,MATCH(431,Firms!$U$5:$U$1004,0))&amp;"","")</f>
        <v/>
      </c>
      <c r="H435" s="91">
        <f>IFERROR(INDEX(Firms!$T$5:$T$1004,MATCH(431,Firms!$U$5:$U$1004,0))&amp;"","")</f>
        <v/>
      </c>
    </row>
    <row r="436">
      <c r="A436" s="79">
        <f>IF(B436="","",432)</f>
        <v/>
      </c>
      <c r="B436" s="91">
        <f>IFERROR(INDEX(Firms!$A$5:$A$1004,MATCH(432,Firms!$U$5:$U$1004,0))&amp;"","")</f>
        <v/>
      </c>
      <c r="C436" s="88">
        <f>IFERROR(IF(INDEX(Firms!$R$5:$R$1004,MATCH(432,Firms!$U$5:$U$1004,0))="","",INDEX(Firms!$R$5:$R$1004,MATCH(432,Firms!$U$5:$U$1004,0))),"")</f>
        <v/>
      </c>
      <c r="D436" s="91">
        <f>IFERROR(INDEX(Firms!$S$5:$S$1004,MATCH(432,Firms!$U$5:$U$1004,0))&amp;"","")</f>
        <v/>
      </c>
      <c r="E436" s="91">
        <f>IFERROR(INDEX(Firms!$C$5:$C$1004,MATCH(432,Firms!$U$5:$U$1004,0))&amp;"","")</f>
        <v/>
      </c>
      <c r="F436" s="79">
        <f>IFERROR(INDEX(Firms!$N$5:$N$1004,MATCH(432,Firms!$U$5:$U$1004,0))&amp;"","")</f>
        <v/>
      </c>
      <c r="G436" s="79">
        <f>IFERROR(INDEX(Firms!$P$5:$P$1004,MATCH(432,Firms!$U$5:$U$1004,0))&amp;"","")</f>
        <v/>
      </c>
      <c r="H436" s="91">
        <f>IFERROR(INDEX(Firms!$T$5:$T$1004,MATCH(432,Firms!$U$5:$U$1004,0))&amp;"","")</f>
        <v/>
      </c>
    </row>
    <row r="437">
      <c r="A437" s="79">
        <f>IF(B437="","",433)</f>
        <v/>
      </c>
      <c r="B437" s="91">
        <f>IFERROR(INDEX(Firms!$A$5:$A$1004,MATCH(433,Firms!$U$5:$U$1004,0))&amp;"","")</f>
        <v/>
      </c>
      <c r="C437" s="88">
        <f>IFERROR(IF(INDEX(Firms!$R$5:$R$1004,MATCH(433,Firms!$U$5:$U$1004,0))="","",INDEX(Firms!$R$5:$R$1004,MATCH(433,Firms!$U$5:$U$1004,0))),"")</f>
        <v/>
      </c>
      <c r="D437" s="91">
        <f>IFERROR(INDEX(Firms!$S$5:$S$1004,MATCH(433,Firms!$U$5:$U$1004,0))&amp;"","")</f>
        <v/>
      </c>
      <c r="E437" s="91">
        <f>IFERROR(INDEX(Firms!$C$5:$C$1004,MATCH(433,Firms!$U$5:$U$1004,0))&amp;"","")</f>
        <v/>
      </c>
      <c r="F437" s="79">
        <f>IFERROR(INDEX(Firms!$N$5:$N$1004,MATCH(433,Firms!$U$5:$U$1004,0))&amp;"","")</f>
        <v/>
      </c>
      <c r="G437" s="79">
        <f>IFERROR(INDEX(Firms!$P$5:$P$1004,MATCH(433,Firms!$U$5:$U$1004,0))&amp;"","")</f>
        <v/>
      </c>
      <c r="H437" s="91">
        <f>IFERROR(INDEX(Firms!$T$5:$T$1004,MATCH(433,Firms!$U$5:$U$1004,0))&amp;"","")</f>
        <v/>
      </c>
    </row>
    <row r="438">
      <c r="A438" s="79">
        <f>IF(B438="","",434)</f>
        <v/>
      </c>
      <c r="B438" s="91">
        <f>IFERROR(INDEX(Firms!$A$5:$A$1004,MATCH(434,Firms!$U$5:$U$1004,0))&amp;"","")</f>
        <v/>
      </c>
      <c r="C438" s="88">
        <f>IFERROR(IF(INDEX(Firms!$R$5:$R$1004,MATCH(434,Firms!$U$5:$U$1004,0))="","",INDEX(Firms!$R$5:$R$1004,MATCH(434,Firms!$U$5:$U$1004,0))),"")</f>
        <v/>
      </c>
      <c r="D438" s="91">
        <f>IFERROR(INDEX(Firms!$S$5:$S$1004,MATCH(434,Firms!$U$5:$U$1004,0))&amp;"","")</f>
        <v/>
      </c>
      <c r="E438" s="91">
        <f>IFERROR(INDEX(Firms!$C$5:$C$1004,MATCH(434,Firms!$U$5:$U$1004,0))&amp;"","")</f>
        <v/>
      </c>
      <c r="F438" s="79">
        <f>IFERROR(INDEX(Firms!$N$5:$N$1004,MATCH(434,Firms!$U$5:$U$1004,0))&amp;"","")</f>
        <v/>
      </c>
      <c r="G438" s="79">
        <f>IFERROR(INDEX(Firms!$P$5:$P$1004,MATCH(434,Firms!$U$5:$U$1004,0))&amp;"","")</f>
        <v/>
      </c>
      <c r="H438" s="91">
        <f>IFERROR(INDEX(Firms!$T$5:$T$1004,MATCH(434,Firms!$U$5:$U$1004,0))&amp;"","")</f>
        <v/>
      </c>
    </row>
    <row r="439">
      <c r="A439" s="79">
        <f>IF(B439="","",435)</f>
        <v/>
      </c>
      <c r="B439" s="91">
        <f>IFERROR(INDEX(Firms!$A$5:$A$1004,MATCH(435,Firms!$U$5:$U$1004,0))&amp;"","")</f>
        <v/>
      </c>
      <c r="C439" s="88">
        <f>IFERROR(IF(INDEX(Firms!$R$5:$R$1004,MATCH(435,Firms!$U$5:$U$1004,0))="","",INDEX(Firms!$R$5:$R$1004,MATCH(435,Firms!$U$5:$U$1004,0))),"")</f>
        <v/>
      </c>
      <c r="D439" s="91">
        <f>IFERROR(INDEX(Firms!$S$5:$S$1004,MATCH(435,Firms!$U$5:$U$1004,0))&amp;"","")</f>
        <v/>
      </c>
      <c r="E439" s="91">
        <f>IFERROR(INDEX(Firms!$C$5:$C$1004,MATCH(435,Firms!$U$5:$U$1004,0))&amp;"","")</f>
        <v/>
      </c>
      <c r="F439" s="79">
        <f>IFERROR(INDEX(Firms!$N$5:$N$1004,MATCH(435,Firms!$U$5:$U$1004,0))&amp;"","")</f>
        <v/>
      </c>
      <c r="G439" s="79">
        <f>IFERROR(INDEX(Firms!$P$5:$P$1004,MATCH(435,Firms!$U$5:$U$1004,0))&amp;"","")</f>
        <v/>
      </c>
      <c r="H439" s="91">
        <f>IFERROR(INDEX(Firms!$T$5:$T$1004,MATCH(435,Firms!$U$5:$U$1004,0))&amp;"","")</f>
        <v/>
      </c>
    </row>
    <row r="440">
      <c r="A440" s="79">
        <f>IF(B440="","",436)</f>
        <v/>
      </c>
      <c r="B440" s="91">
        <f>IFERROR(INDEX(Firms!$A$5:$A$1004,MATCH(436,Firms!$U$5:$U$1004,0))&amp;"","")</f>
        <v/>
      </c>
      <c r="C440" s="88">
        <f>IFERROR(IF(INDEX(Firms!$R$5:$R$1004,MATCH(436,Firms!$U$5:$U$1004,0))="","",INDEX(Firms!$R$5:$R$1004,MATCH(436,Firms!$U$5:$U$1004,0))),"")</f>
        <v/>
      </c>
      <c r="D440" s="91">
        <f>IFERROR(INDEX(Firms!$S$5:$S$1004,MATCH(436,Firms!$U$5:$U$1004,0))&amp;"","")</f>
        <v/>
      </c>
      <c r="E440" s="91">
        <f>IFERROR(INDEX(Firms!$C$5:$C$1004,MATCH(436,Firms!$U$5:$U$1004,0))&amp;"","")</f>
        <v/>
      </c>
      <c r="F440" s="79">
        <f>IFERROR(INDEX(Firms!$N$5:$N$1004,MATCH(436,Firms!$U$5:$U$1004,0))&amp;"","")</f>
        <v/>
      </c>
      <c r="G440" s="79">
        <f>IFERROR(INDEX(Firms!$P$5:$P$1004,MATCH(436,Firms!$U$5:$U$1004,0))&amp;"","")</f>
        <v/>
      </c>
      <c r="H440" s="91">
        <f>IFERROR(INDEX(Firms!$T$5:$T$1004,MATCH(436,Firms!$U$5:$U$1004,0))&amp;"","")</f>
        <v/>
      </c>
    </row>
    <row r="441">
      <c r="A441" s="79">
        <f>IF(B441="","",437)</f>
        <v/>
      </c>
      <c r="B441" s="91">
        <f>IFERROR(INDEX(Firms!$A$5:$A$1004,MATCH(437,Firms!$U$5:$U$1004,0))&amp;"","")</f>
        <v/>
      </c>
      <c r="C441" s="88">
        <f>IFERROR(IF(INDEX(Firms!$R$5:$R$1004,MATCH(437,Firms!$U$5:$U$1004,0))="","",INDEX(Firms!$R$5:$R$1004,MATCH(437,Firms!$U$5:$U$1004,0))),"")</f>
        <v/>
      </c>
      <c r="D441" s="91">
        <f>IFERROR(INDEX(Firms!$S$5:$S$1004,MATCH(437,Firms!$U$5:$U$1004,0))&amp;"","")</f>
        <v/>
      </c>
      <c r="E441" s="91">
        <f>IFERROR(INDEX(Firms!$C$5:$C$1004,MATCH(437,Firms!$U$5:$U$1004,0))&amp;"","")</f>
        <v/>
      </c>
      <c r="F441" s="79">
        <f>IFERROR(INDEX(Firms!$N$5:$N$1004,MATCH(437,Firms!$U$5:$U$1004,0))&amp;"","")</f>
        <v/>
      </c>
      <c r="G441" s="79">
        <f>IFERROR(INDEX(Firms!$P$5:$P$1004,MATCH(437,Firms!$U$5:$U$1004,0))&amp;"","")</f>
        <v/>
      </c>
      <c r="H441" s="91">
        <f>IFERROR(INDEX(Firms!$T$5:$T$1004,MATCH(437,Firms!$U$5:$U$1004,0))&amp;"","")</f>
        <v/>
      </c>
    </row>
    <row r="442">
      <c r="A442" s="79">
        <f>IF(B442="","",438)</f>
        <v/>
      </c>
      <c r="B442" s="91">
        <f>IFERROR(INDEX(Firms!$A$5:$A$1004,MATCH(438,Firms!$U$5:$U$1004,0))&amp;"","")</f>
        <v/>
      </c>
      <c r="C442" s="88">
        <f>IFERROR(IF(INDEX(Firms!$R$5:$R$1004,MATCH(438,Firms!$U$5:$U$1004,0))="","",INDEX(Firms!$R$5:$R$1004,MATCH(438,Firms!$U$5:$U$1004,0))),"")</f>
        <v/>
      </c>
      <c r="D442" s="91">
        <f>IFERROR(INDEX(Firms!$S$5:$S$1004,MATCH(438,Firms!$U$5:$U$1004,0))&amp;"","")</f>
        <v/>
      </c>
      <c r="E442" s="91">
        <f>IFERROR(INDEX(Firms!$C$5:$C$1004,MATCH(438,Firms!$U$5:$U$1004,0))&amp;"","")</f>
        <v/>
      </c>
      <c r="F442" s="79">
        <f>IFERROR(INDEX(Firms!$N$5:$N$1004,MATCH(438,Firms!$U$5:$U$1004,0))&amp;"","")</f>
        <v/>
      </c>
      <c r="G442" s="79">
        <f>IFERROR(INDEX(Firms!$P$5:$P$1004,MATCH(438,Firms!$U$5:$U$1004,0))&amp;"","")</f>
        <v/>
      </c>
      <c r="H442" s="91">
        <f>IFERROR(INDEX(Firms!$T$5:$T$1004,MATCH(438,Firms!$U$5:$U$1004,0))&amp;"","")</f>
        <v/>
      </c>
    </row>
    <row r="443">
      <c r="A443" s="79">
        <f>IF(B443="","",439)</f>
        <v/>
      </c>
      <c r="B443" s="91">
        <f>IFERROR(INDEX(Firms!$A$5:$A$1004,MATCH(439,Firms!$U$5:$U$1004,0))&amp;"","")</f>
        <v/>
      </c>
      <c r="C443" s="88">
        <f>IFERROR(IF(INDEX(Firms!$R$5:$R$1004,MATCH(439,Firms!$U$5:$U$1004,0))="","",INDEX(Firms!$R$5:$R$1004,MATCH(439,Firms!$U$5:$U$1004,0))),"")</f>
        <v/>
      </c>
      <c r="D443" s="91">
        <f>IFERROR(INDEX(Firms!$S$5:$S$1004,MATCH(439,Firms!$U$5:$U$1004,0))&amp;"","")</f>
        <v/>
      </c>
      <c r="E443" s="91">
        <f>IFERROR(INDEX(Firms!$C$5:$C$1004,MATCH(439,Firms!$U$5:$U$1004,0))&amp;"","")</f>
        <v/>
      </c>
      <c r="F443" s="79">
        <f>IFERROR(INDEX(Firms!$N$5:$N$1004,MATCH(439,Firms!$U$5:$U$1004,0))&amp;"","")</f>
        <v/>
      </c>
      <c r="G443" s="79">
        <f>IFERROR(INDEX(Firms!$P$5:$P$1004,MATCH(439,Firms!$U$5:$U$1004,0))&amp;"","")</f>
        <v/>
      </c>
      <c r="H443" s="91">
        <f>IFERROR(INDEX(Firms!$T$5:$T$1004,MATCH(439,Firms!$U$5:$U$1004,0))&amp;"","")</f>
        <v/>
      </c>
    </row>
    <row r="444">
      <c r="A444" s="79">
        <f>IF(B444="","",440)</f>
        <v/>
      </c>
      <c r="B444" s="91">
        <f>IFERROR(INDEX(Firms!$A$5:$A$1004,MATCH(440,Firms!$U$5:$U$1004,0))&amp;"","")</f>
        <v/>
      </c>
      <c r="C444" s="88">
        <f>IFERROR(IF(INDEX(Firms!$R$5:$R$1004,MATCH(440,Firms!$U$5:$U$1004,0))="","",INDEX(Firms!$R$5:$R$1004,MATCH(440,Firms!$U$5:$U$1004,0))),"")</f>
        <v/>
      </c>
      <c r="D444" s="91">
        <f>IFERROR(INDEX(Firms!$S$5:$S$1004,MATCH(440,Firms!$U$5:$U$1004,0))&amp;"","")</f>
        <v/>
      </c>
      <c r="E444" s="91">
        <f>IFERROR(INDEX(Firms!$C$5:$C$1004,MATCH(440,Firms!$U$5:$U$1004,0))&amp;"","")</f>
        <v/>
      </c>
      <c r="F444" s="79">
        <f>IFERROR(INDEX(Firms!$N$5:$N$1004,MATCH(440,Firms!$U$5:$U$1004,0))&amp;"","")</f>
        <v/>
      </c>
      <c r="G444" s="79">
        <f>IFERROR(INDEX(Firms!$P$5:$P$1004,MATCH(440,Firms!$U$5:$U$1004,0))&amp;"","")</f>
        <v/>
      </c>
      <c r="H444" s="91">
        <f>IFERROR(INDEX(Firms!$T$5:$T$1004,MATCH(440,Firms!$U$5:$U$1004,0))&amp;"","")</f>
        <v/>
      </c>
    </row>
    <row r="445">
      <c r="A445" s="79">
        <f>IF(B445="","",441)</f>
        <v/>
      </c>
      <c r="B445" s="91">
        <f>IFERROR(INDEX(Firms!$A$5:$A$1004,MATCH(441,Firms!$U$5:$U$1004,0))&amp;"","")</f>
        <v/>
      </c>
      <c r="C445" s="88">
        <f>IFERROR(IF(INDEX(Firms!$R$5:$R$1004,MATCH(441,Firms!$U$5:$U$1004,0))="","",INDEX(Firms!$R$5:$R$1004,MATCH(441,Firms!$U$5:$U$1004,0))),"")</f>
        <v/>
      </c>
      <c r="D445" s="91">
        <f>IFERROR(INDEX(Firms!$S$5:$S$1004,MATCH(441,Firms!$U$5:$U$1004,0))&amp;"","")</f>
        <v/>
      </c>
      <c r="E445" s="91">
        <f>IFERROR(INDEX(Firms!$C$5:$C$1004,MATCH(441,Firms!$U$5:$U$1004,0))&amp;"","")</f>
        <v/>
      </c>
      <c r="F445" s="79">
        <f>IFERROR(INDEX(Firms!$N$5:$N$1004,MATCH(441,Firms!$U$5:$U$1004,0))&amp;"","")</f>
        <v/>
      </c>
      <c r="G445" s="79">
        <f>IFERROR(INDEX(Firms!$P$5:$P$1004,MATCH(441,Firms!$U$5:$U$1004,0))&amp;"","")</f>
        <v/>
      </c>
      <c r="H445" s="91">
        <f>IFERROR(INDEX(Firms!$T$5:$T$1004,MATCH(441,Firms!$U$5:$U$1004,0))&amp;"","")</f>
        <v/>
      </c>
    </row>
    <row r="446">
      <c r="A446" s="79">
        <f>IF(B446="","",442)</f>
        <v/>
      </c>
      <c r="B446" s="91">
        <f>IFERROR(INDEX(Firms!$A$5:$A$1004,MATCH(442,Firms!$U$5:$U$1004,0))&amp;"","")</f>
        <v/>
      </c>
      <c r="C446" s="88">
        <f>IFERROR(IF(INDEX(Firms!$R$5:$R$1004,MATCH(442,Firms!$U$5:$U$1004,0))="","",INDEX(Firms!$R$5:$R$1004,MATCH(442,Firms!$U$5:$U$1004,0))),"")</f>
        <v/>
      </c>
      <c r="D446" s="91">
        <f>IFERROR(INDEX(Firms!$S$5:$S$1004,MATCH(442,Firms!$U$5:$U$1004,0))&amp;"","")</f>
        <v/>
      </c>
      <c r="E446" s="91">
        <f>IFERROR(INDEX(Firms!$C$5:$C$1004,MATCH(442,Firms!$U$5:$U$1004,0))&amp;"","")</f>
        <v/>
      </c>
      <c r="F446" s="79">
        <f>IFERROR(INDEX(Firms!$N$5:$N$1004,MATCH(442,Firms!$U$5:$U$1004,0))&amp;"","")</f>
        <v/>
      </c>
      <c r="G446" s="79">
        <f>IFERROR(INDEX(Firms!$P$5:$P$1004,MATCH(442,Firms!$U$5:$U$1004,0))&amp;"","")</f>
        <v/>
      </c>
      <c r="H446" s="91">
        <f>IFERROR(INDEX(Firms!$T$5:$T$1004,MATCH(442,Firms!$U$5:$U$1004,0))&amp;"","")</f>
        <v/>
      </c>
    </row>
    <row r="447">
      <c r="A447" s="79">
        <f>IF(B447="","",443)</f>
        <v/>
      </c>
      <c r="B447" s="91">
        <f>IFERROR(INDEX(Firms!$A$5:$A$1004,MATCH(443,Firms!$U$5:$U$1004,0))&amp;"","")</f>
        <v/>
      </c>
      <c r="C447" s="88">
        <f>IFERROR(IF(INDEX(Firms!$R$5:$R$1004,MATCH(443,Firms!$U$5:$U$1004,0))="","",INDEX(Firms!$R$5:$R$1004,MATCH(443,Firms!$U$5:$U$1004,0))),"")</f>
        <v/>
      </c>
      <c r="D447" s="91">
        <f>IFERROR(INDEX(Firms!$S$5:$S$1004,MATCH(443,Firms!$U$5:$U$1004,0))&amp;"","")</f>
        <v/>
      </c>
      <c r="E447" s="91">
        <f>IFERROR(INDEX(Firms!$C$5:$C$1004,MATCH(443,Firms!$U$5:$U$1004,0))&amp;"","")</f>
        <v/>
      </c>
      <c r="F447" s="79">
        <f>IFERROR(INDEX(Firms!$N$5:$N$1004,MATCH(443,Firms!$U$5:$U$1004,0))&amp;"","")</f>
        <v/>
      </c>
      <c r="G447" s="79">
        <f>IFERROR(INDEX(Firms!$P$5:$P$1004,MATCH(443,Firms!$U$5:$U$1004,0))&amp;"","")</f>
        <v/>
      </c>
      <c r="H447" s="91">
        <f>IFERROR(INDEX(Firms!$T$5:$T$1004,MATCH(443,Firms!$U$5:$U$1004,0))&amp;"","")</f>
        <v/>
      </c>
    </row>
    <row r="448">
      <c r="A448" s="79">
        <f>IF(B448="","",444)</f>
        <v/>
      </c>
      <c r="B448" s="91">
        <f>IFERROR(INDEX(Firms!$A$5:$A$1004,MATCH(444,Firms!$U$5:$U$1004,0))&amp;"","")</f>
        <v/>
      </c>
      <c r="C448" s="88">
        <f>IFERROR(IF(INDEX(Firms!$R$5:$R$1004,MATCH(444,Firms!$U$5:$U$1004,0))="","",INDEX(Firms!$R$5:$R$1004,MATCH(444,Firms!$U$5:$U$1004,0))),"")</f>
        <v/>
      </c>
      <c r="D448" s="91">
        <f>IFERROR(INDEX(Firms!$S$5:$S$1004,MATCH(444,Firms!$U$5:$U$1004,0))&amp;"","")</f>
        <v/>
      </c>
      <c r="E448" s="91">
        <f>IFERROR(INDEX(Firms!$C$5:$C$1004,MATCH(444,Firms!$U$5:$U$1004,0))&amp;"","")</f>
        <v/>
      </c>
      <c r="F448" s="79">
        <f>IFERROR(INDEX(Firms!$N$5:$N$1004,MATCH(444,Firms!$U$5:$U$1004,0))&amp;"","")</f>
        <v/>
      </c>
      <c r="G448" s="79">
        <f>IFERROR(INDEX(Firms!$P$5:$P$1004,MATCH(444,Firms!$U$5:$U$1004,0))&amp;"","")</f>
        <v/>
      </c>
      <c r="H448" s="91">
        <f>IFERROR(INDEX(Firms!$T$5:$T$1004,MATCH(444,Firms!$U$5:$U$1004,0))&amp;"","")</f>
        <v/>
      </c>
    </row>
    <row r="449">
      <c r="A449" s="79">
        <f>IF(B449="","",445)</f>
        <v/>
      </c>
      <c r="B449" s="91">
        <f>IFERROR(INDEX(Firms!$A$5:$A$1004,MATCH(445,Firms!$U$5:$U$1004,0))&amp;"","")</f>
        <v/>
      </c>
      <c r="C449" s="88">
        <f>IFERROR(IF(INDEX(Firms!$R$5:$R$1004,MATCH(445,Firms!$U$5:$U$1004,0))="","",INDEX(Firms!$R$5:$R$1004,MATCH(445,Firms!$U$5:$U$1004,0))),"")</f>
        <v/>
      </c>
      <c r="D449" s="91">
        <f>IFERROR(INDEX(Firms!$S$5:$S$1004,MATCH(445,Firms!$U$5:$U$1004,0))&amp;"","")</f>
        <v/>
      </c>
      <c r="E449" s="91">
        <f>IFERROR(INDEX(Firms!$C$5:$C$1004,MATCH(445,Firms!$U$5:$U$1004,0))&amp;"","")</f>
        <v/>
      </c>
      <c r="F449" s="79">
        <f>IFERROR(INDEX(Firms!$N$5:$N$1004,MATCH(445,Firms!$U$5:$U$1004,0))&amp;"","")</f>
        <v/>
      </c>
      <c r="G449" s="79">
        <f>IFERROR(INDEX(Firms!$P$5:$P$1004,MATCH(445,Firms!$U$5:$U$1004,0))&amp;"","")</f>
        <v/>
      </c>
      <c r="H449" s="91">
        <f>IFERROR(INDEX(Firms!$T$5:$T$1004,MATCH(445,Firms!$U$5:$U$1004,0))&amp;"","")</f>
        <v/>
      </c>
    </row>
    <row r="450">
      <c r="A450" s="79">
        <f>IF(B450="","",446)</f>
        <v/>
      </c>
      <c r="B450" s="91">
        <f>IFERROR(INDEX(Firms!$A$5:$A$1004,MATCH(446,Firms!$U$5:$U$1004,0))&amp;"","")</f>
        <v/>
      </c>
      <c r="C450" s="88">
        <f>IFERROR(IF(INDEX(Firms!$R$5:$R$1004,MATCH(446,Firms!$U$5:$U$1004,0))="","",INDEX(Firms!$R$5:$R$1004,MATCH(446,Firms!$U$5:$U$1004,0))),"")</f>
        <v/>
      </c>
      <c r="D450" s="91">
        <f>IFERROR(INDEX(Firms!$S$5:$S$1004,MATCH(446,Firms!$U$5:$U$1004,0))&amp;"","")</f>
        <v/>
      </c>
      <c r="E450" s="91">
        <f>IFERROR(INDEX(Firms!$C$5:$C$1004,MATCH(446,Firms!$U$5:$U$1004,0))&amp;"","")</f>
        <v/>
      </c>
      <c r="F450" s="79">
        <f>IFERROR(INDEX(Firms!$N$5:$N$1004,MATCH(446,Firms!$U$5:$U$1004,0))&amp;"","")</f>
        <v/>
      </c>
      <c r="G450" s="79">
        <f>IFERROR(INDEX(Firms!$P$5:$P$1004,MATCH(446,Firms!$U$5:$U$1004,0))&amp;"","")</f>
        <v/>
      </c>
      <c r="H450" s="91">
        <f>IFERROR(INDEX(Firms!$T$5:$T$1004,MATCH(446,Firms!$U$5:$U$1004,0))&amp;"","")</f>
        <v/>
      </c>
    </row>
    <row r="451">
      <c r="A451" s="79">
        <f>IF(B451="","",447)</f>
        <v/>
      </c>
      <c r="B451" s="91">
        <f>IFERROR(INDEX(Firms!$A$5:$A$1004,MATCH(447,Firms!$U$5:$U$1004,0))&amp;"","")</f>
        <v/>
      </c>
      <c r="C451" s="88">
        <f>IFERROR(IF(INDEX(Firms!$R$5:$R$1004,MATCH(447,Firms!$U$5:$U$1004,0))="","",INDEX(Firms!$R$5:$R$1004,MATCH(447,Firms!$U$5:$U$1004,0))),"")</f>
        <v/>
      </c>
      <c r="D451" s="91">
        <f>IFERROR(INDEX(Firms!$S$5:$S$1004,MATCH(447,Firms!$U$5:$U$1004,0))&amp;"","")</f>
        <v/>
      </c>
      <c r="E451" s="91">
        <f>IFERROR(INDEX(Firms!$C$5:$C$1004,MATCH(447,Firms!$U$5:$U$1004,0))&amp;"","")</f>
        <v/>
      </c>
      <c r="F451" s="79">
        <f>IFERROR(INDEX(Firms!$N$5:$N$1004,MATCH(447,Firms!$U$5:$U$1004,0))&amp;"","")</f>
        <v/>
      </c>
      <c r="G451" s="79">
        <f>IFERROR(INDEX(Firms!$P$5:$P$1004,MATCH(447,Firms!$U$5:$U$1004,0))&amp;"","")</f>
        <v/>
      </c>
      <c r="H451" s="91">
        <f>IFERROR(INDEX(Firms!$T$5:$T$1004,MATCH(447,Firms!$U$5:$U$1004,0))&amp;"","")</f>
        <v/>
      </c>
    </row>
    <row r="452">
      <c r="A452" s="79">
        <f>IF(B452="","",448)</f>
        <v/>
      </c>
      <c r="B452" s="91">
        <f>IFERROR(INDEX(Firms!$A$5:$A$1004,MATCH(448,Firms!$U$5:$U$1004,0))&amp;"","")</f>
        <v/>
      </c>
      <c r="C452" s="88">
        <f>IFERROR(IF(INDEX(Firms!$R$5:$R$1004,MATCH(448,Firms!$U$5:$U$1004,0))="","",INDEX(Firms!$R$5:$R$1004,MATCH(448,Firms!$U$5:$U$1004,0))),"")</f>
        <v/>
      </c>
      <c r="D452" s="91">
        <f>IFERROR(INDEX(Firms!$S$5:$S$1004,MATCH(448,Firms!$U$5:$U$1004,0))&amp;"","")</f>
        <v/>
      </c>
      <c r="E452" s="91">
        <f>IFERROR(INDEX(Firms!$C$5:$C$1004,MATCH(448,Firms!$U$5:$U$1004,0))&amp;"","")</f>
        <v/>
      </c>
      <c r="F452" s="79">
        <f>IFERROR(INDEX(Firms!$N$5:$N$1004,MATCH(448,Firms!$U$5:$U$1004,0))&amp;"","")</f>
        <v/>
      </c>
      <c r="G452" s="79">
        <f>IFERROR(INDEX(Firms!$P$5:$P$1004,MATCH(448,Firms!$U$5:$U$1004,0))&amp;"","")</f>
        <v/>
      </c>
      <c r="H452" s="91">
        <f>IFERROR(INDEX(Firms!$T$5:$T$1004,MATCH(448,Firms!$U$5:$U$1004,0))&amp;"","")</f>
        <v/>
      </c>
    </row>
    <row r="453">
      <c r="A453" s="79">
        <f>IF(B453="","",449)</f>
        <v/>
      </c>
      <c r="B453" s="91">
        <f>IFERROR(INDEX(Firms!$A$5:$A$1004,MATCH(449,Firms!$U$5:$U$1004,0))&amp;"","")</f>
        <v/>
      </c>
      <c r="C453" s="88">
        <f>IFERROR(IF(INDEX(Firms!$R$5:$R$1004,MATCH(449,Firms!$U$5:$U$1004,0))="","",INDEX(Firms!$R$5:$R$1004,MATCH(449,Firms!$U$5:$U$1004,0))),"")</f>
        <v/>
      </c>
      <c r="D453" s="91">
        <f>IFERROR(INDEX(Firms!$S$5:$S$1004,MATCH(449,Firms!$U$5:$U$1004,0))&amp;"","")</f>
        <v/>
      </c>
      <c r="E453" s="91">
        <f>IFERROR(INDEX(Firms!$C$5:$C$1004,MATCH(449,Firms!$U$5:$U$1004,0))&amp;"","")</f>
        <v/>
      </c>
      <c r="F453" s="79">
        <f>IFERROR(INDEX(Firms!$N$5:$N$1004,MATCH(449,Firms!$U$5:$U$1004,0))&amp;"","")</f>
        <v/>
      </c>
      <c r="G453" s="79">
        <f>IFERROR(INDEX(Firms!$P$5:$P$1004,MATCH(449,Firms!$U$5:$U$1004,0))&amp;"","")</f>
        <v/>
      </c>
      <c r="H453" s="91">
        <f>IFERROR(INDEX(Firms!$T$5:$T$1004,MATCH(449,Firms!$U$5:$U$1004,0))&amp;"","")</f>
        <v/>
      </c>
    </row>
    <row r="454">
      <c r="A454" s="79">
        <f>IF(B454="","",450)</f>
        <v/>
      </c>
      <c r="B454" s="91">
        <f>IFERROR(INDEX(Firms!$A$5:$A$1004,MATCH(450,Firms!$U$5:$U$1004,0))&amp;"","")</f>
        <v/>
      </c>
      <c r="C454" s="88">
        <f>IFERROR(IF(INDEX(Firms!$R$5:$R$1004,MATCH(450,Firms!$U$5:$U$1004,0))="","",INDEX(Firms!$R$5:$R$1004,MATCH(450,Firms!$U$5:$U$1004,0))),"")</f>
        <v/>
      </c>
      <c r="D454" s="91">
        <f>IFERROR(INDEX(Firms!$S$5:$S$1004,MATCH(450,Firms!$U$5:$U$1004,0))&amp;"","")</f>
        <v/>
      </c>
      <c r="E454" s="91">
        <f>IFERROR(INDEX(Firms!$C$5:$C$1004,MATCH(450,Firms!$U$5:$U$1004,0))&amp;"","")</f>
        <v/>
      </c>
      <c r="F454" s="79">
        <f>IFERROR(INDEX(Firms!$N$5:$N$1004,MATCH(450,Firms!$U$5:$U$1004,0))&amp;"","")</f>
        <v/>
      </c>
      <c r="G454" s="79">
        <f>IFERROR(INDEX(Firms!$P$5:$P$1004,MATCH(450,Firms!$U$5:$U$1004,0))&amp;"","")</f>
        <v/>
      </c>
      <c r="H454" s="91">
        <f>IFERROR(INDEX(Firms!$T$5:$T$1004,MATCH(450,Firms!$U$5:$U$1004,0))&amp;"","")</f>
        <v/>
      </c>
    </row>
    <row r="455">
      <c r="A455" s="79">
        <f>IF(B455="","",451)</f>
        <v/>
      </c>
      <c r="B455" s="91">
        <f>IFERROR(INDEX(Firms!$A$5:$A$1004,MATCH(451,Firms!$U$5:$U$1004,0))&amp;"","")</f>
        <v/>
      </c>
      <c r="C455" s="88">
        <f>IFERROR(IF(INDEX(Firms!$R$5:$R$1004,MATCH(451,Firms!$U$5:$U$1004,0))="","",INDEX(Firms!$R$5:$R$1004,MATCH(451,Firms!$U$5:$U$1004,0))),"")</f>
        <v/>
      </c>
      <c r="D455" s="91">
        <f>IFERROR(INDEX(Firms!$S$5:$S$1004,MATCH(451,Firms!$U$5:$U$1004,0))&amp;"","")</f>
        <v/>
      </c>
      <c r="E455" s="91">
        <f>IFERROR(INDEX(Firms!$C$5:$C$1004,MATCH(451,Firms!$U$5:$U$1004,0))&amp;"","")</f>
        <v/>
      </c>
      <c r="F455" s="79">
        <f>IFERROR(INDEX(Firms!$N$5:$N$1004,MATCH(451,Firms!$U$5:$U$1004,0))&amp;"","")</f>
        <v/>
      </c>
      <c r="G455" s="79">
        <f>IFERROR(INDEX(Firms!$P$5:$P$1004,MATCH(451,Firms!$U$5:$U$1004,0))&amp;"","")</f>
        <v/>
      </c>
      <c r="H455" s="91">
        <f>IFERROR(INDEX(Firms!$T$5:$T$1004,MATCH(451,Firms!$U$5:$U$1004,0))&amp;"","")</f>
        <v/>
      </c>
    </row>
    <row r="456">
      <c r="A456" s="79">
        <f>IF(B456="","",452)</f>
        <v/>
      </c>
      <c r="B456" s="91">
        <f>IFERROR(INDEX(Firms!$A$5:$A$1004,MATCH(452,Firms!$U$5:$U$1004,0))&amp;"","")</f>
        <v/>
      </c>
      <c r="C456" s="88">
        <f>IFERROR(IF(INDEX(Firms!$R$5:$R$1004,MATCH(452,Firms!$U$5:$U$1004,0))="","",INDEX(Firms!$R$5:$R$1004,MATCH(452,Firms!$U$5:$U$1004,0))),"")</f>
        <v/>
      </c>
      <c r="D456" s="91">
        <f>IFERROR(INDEX(Firms!$S$5:$S$1004,MATCH(452,Firms!$U$5:$U$1004,0))&amp;"","")</f>
        <v/>
      </c>
      <c r="E456" s="91">
        <f>IFERROR(INDEX(Firms!$C$5:$C$1004,MATCH(452,Firms!$U$5:$U$1004,0))&amp;"","")</f>
        <v/>
      </c>
      <c r="F456" s="79">
        <f>IFERROR(INDEX(Firms!$N$5:$N$1004,MATCH(452,Firms!$U$5:$U$1004,0))&amp;"","")</f>
        <v/>
      </c>
      <c r="G456" s="79">
        <f>IFERROR(INDEX(Firms!$P$5:$P$1004,MATCH(452,Firms!$U$5:$U$1004,0))&amp;"","")</f>
        <v/>
      </c>
      <c r="H456" s="91">
        <f>IFERROR(INDEX(Firms!$T$5:$T$1004,MATCH(452,Firms!$U$5:$U$1004,0))&amp;"","")</f>
        <v/>
      </c>
    </row>
    <row r="457">
      <c r="A457" s="79">
        <f>IF(B457="","",453)</f>
        <v/>
      </c>
      <c r="B457" s="91">
        <f>IFERROR(INDEX(Firms!$A$5:$A$1004,MATCH(453,Firms!$U$5:$U$1004,0))&amp;"","")</f>
        <v/>
      </c>
      <c r="C457" s="88">
        <f>IFERROR(IF(INDEX(Firms!$R$5:$R$1004,MATCH(453,Firms!$U$5:$U$1004,0))="","",INDEX(Firms!$R$5:$R$1004,MATCH(453,Firms!$U$5:$U$1004,0))),"")</f>
        <v/>
      </c>
      <c r="D457" s="91">
        <f>IFERROR(INDEX(Firms!$S$5:$S$1004,MATCH(453,Firms!$U$5:$U$1004,0))&amp;"","")</f>
        <v/>
      </c>
      <c r="E457" s="91">
        <f>IFERROR(INDEX(Firms!$C$5:$C$1004,MATCH(453,Firms!$U$5:$U$1004,0))&amp;"","")</f>
        <v/>
      </c>
      <c r="F457" s="79">
        <f>IFERROR(INDEX(Firms!$N$5:$N$1004,MATCH(453,Firms!$U$5:$U$1004,0))&amp;"","")</f>
        <v/>
      </c>
      <c r="G457" s="79">
        <f>IFERROR(INDEX(Firms!$P$5:$P$1004,MATCH(453,Firms!$U$5:$U$1004,0))&amp;"","")</f>
        <v/>
      </c>
      <c r="H457" s="91">
        <f>IFERROR(INDEX(Firms!$T$5:$T$1004,MATCH(453,Firms!$U$5:$U$1004,0))&amp;"","")</f>
        <v/>
      </c>
    </row>
    <row r="458">
      <c r="A458" s="79">
        <f>IF(B458="","",454)</f>
        <v/>
      </c>
      <c r="B458" s="91">
        <f>IFERROR(INDEX(Firms!$A$5:$A$1004,MATCH(454,Firms!$U$5:$U$1004,0))&amp;"","")</f>
        <v/>
      </c>
      <c r="C458" s="88">
        <f>IFERROR(IF(INDEX(Firms!$R$5:$R$1004,MATCH(454,Firms!$U$5:$U$1004,0))="","",INDEX(Firms!$R$5:$R$1004,MATCH(454,Firms!$U$5:$U$1004,0))),"")</f>
        <v/>
      </c>
      <c r="D458" s="91">
        <f>IFERROR(INDEX(Firms!$S$5:$S$1004,MATCH(454,Firms!$U$5:$U$1004,0))&amp;"","")</f>
        <v/>
      </c>
      <c r="E458" s="91">
        <f>IFERROR(INDEX(Firms!$C$5:$C$1004,MATCH(454,Firms!$U$5:$U$1004,0))&amp;"","")</f>
        <v/>
      </c>
      <c r="F458" s="79">
        <f>IFERROR(INDEX(Firms!$N$5:$N$1004,MATCH(454,Firms!$U$5:$U$1004,0))&amp;"","")</f>
        <v/>
      </c>
      <c r="G458" s="79">
        <f>IFERROR(INDEX(Firms!$P$5:$P$1004,MATCH(454,Firms!$U$5:$U$1004,0))&amp;"","")</f>
        <v/>
      </c>
      <c r="H458" s="91">
        <f>IFERROR(INDEX(Firms!$T$5:$T$1004,MATCH(454,Firms!$U$5:$U$1004,0))&amp;"","")</f>
        <v/>
      </c>
    </row>
    <row r="459">
      <c r="A459" s="79">
        <f>IF(B459="","",455)</f>
        <v/>
      </c>
      <c r="B459" s="91">
        <f>IFERROR(INDEX(Firms!$A$5:$A$1004,MATCH(455,Firms!$U$5:$U$1004,0))&amp;"","")</f>
        <v/>
      </c>
      <c r="C459" s="88">
        <f>IFERROR(IF(INDEX(Firms!$R$5:$R$1004,MATCH(455,Firms!$U$5:$U$1004,0))="","",INDEX(Firms!$R$5:$R$1004,MATCH(455,Firms!$U$5:$U$1004,0))),"")</f>
        <v/>
      </c>
      <c r="D459" s="91">
        <f>IFERROR(INDEX(Firms!$S$5:$S$1004,MATCH(455,Firms!$U$5:$U$1004,0))&amp;"","")</f>
        <v/>
      </c>
      <c r="E459" s="91">
        <f>IFERROR(INDEX(Firms!$C$5:$C$1004,MATCH(455,Firms!$U$5:$U$1004,0))&amp;"","")</f>
        <v/>
      </c>
      <c r="F459" s="79">
        <f>IFERROR(INDEX(Firms!$N$5:$N$1004,MATCH(455,Firms!$U$5:$U$1004,0))&amp;"","")</f>
        <v/>
      </c>
      <c r="G459" s="79">
        <f>IFERROR(INDEX(Firms!$P$5:$P$1004,MATCH(455,Firms!$U$5:$U$1004,0))&amp;"","")</f>
        <v/>
      </c>
      <c r="H459" s="91">
        <f>IFERROR(INDEX(Firms!$T$5:$T$1004,MATCH(455,Firms!$U$5:$U$1004,0))&amp;"","")</f>
        <v/>
      </c>
    </row>
    <row r="460">
      <c r="A460" s="79">
        <f>IF(B460="","",456)</f>
        <v/>
      </c>
      <c r="B460" s="91">
        <f>IFERROR(INDEX(Firms!$A$5:$A$1004,MATCH(456,Firms!$U$5:$U$1004,0))&amp;"","")</f>
        <v/>
      </c>
      <c r="C460" s="88">
        <f>IFERROR(IF(INDEX(Firms!$R$5:$R$1004,MATCH(456,Firms!$U$5:$U$1004,0))="","",INDEX(Firms!$R$5:$R$1004,MATCH(456,Firms!$U$5:$U$1004,0))),"")</f>
        <v/>
      </c>
      <c r="D460" s="91">
        <f>IFERROR(INDEX(Firms!$S$5:$S$1004,MATCH(456,Firms!$U$5:$U$1004,0))&amp;"","")</f>
        <v/>
      </c>
      <c r="E460" s="91">
        <f>IFERROR(INDEX(Firms!$C$5:$C$1004,MATCH(456,Firms!$U$5:$U$1004,0))&amp;"","")</f>
        <v/>
      </c>
      <c r="F460" s="79">
        <f>IFERROR(INDEX(Firms!$N$5:$N$1004,MATCH(456,Firms!$U$5:$U$1004,0))&amp;"","")</f>
        <v/>
      </c>
      <c r="G460" s="79">
        <f>IFERROR(INDEX(Firms!$P$5:$P$1004,MATCH(456,Firms!$U$5:$U$1004,0))&amp;"","")</f>
        <v/>
      </c>
      <c r="H460" s="91">
        <f>IFERROR(INDEX(Firms!$T$5:$T$1004,MATCH(456,Firms!$U$5:$U$1004,0))&amp;"","")</f>
        <v/>
      </c>
    </row>
    <row r="461">
      <c r="A461" s="79">
        <f>IF(B461="","",457)</f>
        <v/>
      </c>
      <c r="B461" s="91">
        <f>IFERROR(INDEX(Firms!$A$5:$A$1004,MATCH(457,Firms!$U$5:$U$1004,0))&amp;"","")</f>
        <v/>
      </c>
      <c r="C461" s="88">
        <f>IFERROR(IF(INDEX(Firms!$R$5:$R$1004,MATCH(457,Firms!$U$5:$U$1004,0))="","",INDEX(Firms!$R$5:$R$1004,MATCH(457,Firms!$U$5:$U$1004,0))),"")</f>
        <v/>
      </c>
      <c r="D461" s="91">
        <f>IFERROR(INDEX(Firms!$S$5:$S$1004,MATCH(457,Firms!$U$5:$U$1004,0))&amp;"","")</f>
        <v/>
      </c>
      <c r="E461" s="91">
        <f>IFERROR(INDEX(Firms!$C$5:$C$1004,MATCH(457,Firms!$U$5:$U$1004,0))&amp;"","")</f>
        <v/>
      </c>
      <c r="F461" s="79">
        <f>IFERROR(INDEX(Firms!$N$5:$N$1004,MATCH(457,Firms!$U$5:$U$1004,0))&amp;"","")</f>
        <v/>
      </c>
      <c r="G461" s="79">
        <f>IFERROR(INDEX(Firms!$P$5:$P$1004,MATCH(457,Firms!$U$5:$U$1004,0))&amp;"","")</f>
        <v/>
      </c>
      <c r="H461" s="91">
        <f>IFERROR(INDEX(Firms!$T$5:$T$1004,MATCH(457,Firms!$U$5:$U$1004,0))&amp;"","")</f>
        <v/>
      </c>
    </row>
    <row r="462">
      <c r="A462" s="79">
        <f>IF(B462="","",458)</f>
        <v/>
      </c>
      <c r="B462" s="91">
        <f>IFERROR(INDEX(Firms!$A$5:$A$1004,MATCH(458,Firms!$U$5:$U$1004,0))&amp;"","")</f>
        <v/>
      </c>
      <c r="C462" s="88">
        <f>IFERROR(IF(INDEX(Firms!$R$5:$R$1004,MATCH(458,Firms!$U$5:$U$1004,0))="","",INDEX(Firms!$R$5:$R$1004,MATCH(458,Firms!$U$5:$U$1004,0))),"")</f>
        <v/>
      </c>
      <c r="D462" s="91">
        <f>IFERROR(INDEX(Firms!$S$5:$S$1004,MATCH(458,Firms!$U$5:$U$1004,0))&amp;"","")</f>
        <v/>
      </c>
      <c r="E462" s="91">
        <f>IFERROR(INDEX(Firms!$C$5:$C$1004,MATCH(458,Firms!$U$5:$U$1004,0))&amp;"","")</f>
        <v/>
      </c>
      <c r="F462" s="79">
        <f>IFERROR(INDEX(Firms!$N$5:$N$1004,MATCH(458,Firms!$U$5:$U$1004,0))&amp;"","")</f>
        <v/>
      </c>
      <c r="G462" s="79">
        <f>IFERROR(INDEX(Firms!$P$5:$P$1004,MATCH(458,Firms!$U$5:$U$1004,0))&amp;"","")</f>
        <v/>
      </c>
      <c r="H462" s="91">
        <f>IFERROR(INDEX(Firms!$T$5:$T$1004,MATCH(458,Firms!$U$5:$U$1004,0))&amp;"","")</f>
        <v/>
      </c>
    </row>
    <row r="463">
      <c r="A463" s="79">
        <f>IF(B463="","",459)</f>
        <v/>
      </c>
      <c r="B463" s="91">
        <f>IFERROR(INDEX(Firms!$A$5:$A$1004,MATCH(459,Firms!$U$5:$U$1004,0))&amp;"","")</f>
        <v/>
      </c>
      <c r="C463" s="88">
        <f>IFERROR(IF(INDEX(Firms!$R$5:$R$1004,MATCH(459,Firms!$U$5:$U$1004,0))="","",INDEX(Firms!$R$5:$R$1004,MATCH(459,Firms!$U$5:$U$1004,0))),"")</f>
        <v/>
      </c>
      <c r="D463" s="91">
        <f>IFERROR(INDEX(Firms!$S$5:$S$1004,MATCH(459,Firms!$U$5:$U$1004,0))&amp;"","")</f>
        <v/>
      </c>
      <c r="E463" s="91">
        <f>IFERROR(INDEX(Firms!$C$5:$C$1004,MATCH(459,Firms!$U$5:$U$1004,0))&amp;"","")</f>
        <v/>
      </c>
      <c r="F463" s="79">
        <f>IFERROR(INDEX(Firms!$N$5:$N$1004,MATCH(459,Firms!$U$5:$U$1004,0))&amp;"","")</f>
        <v/>
      </c>
      <c r="G463" s="79">
        <f>IFERROR(INDEX(Firms!$P$5:$P$1004,MATCH(459,Firms!$U$5:$U$1004,0))&amp;"","")</f>
        <v/>
      </c>
      <c r="H463" s="91">
        <f>IFERROR(INDEX(Firms!$T$5:$T$1004,MATCH(459,Firms!$U$5:$U$1004,0))&amp;"","")</f>
        <v/>
      </c>
    </row>
    <row r="464">
      <c r="A464" s="79">
        <f>IF(B464="","",460)</f>
        <v/>
      </c>
      <c r="B464" s="91">
        <f>IFERROR(INDEX(Firms!$A$5:$A$1004,MATCH(460,Firms!$U$5:$U$1004,0))&amp;"","")</f>
        <v/>
      </c>
      <c r="C464" s="88">
        <f>IFERROR(IF(INDEX(Firms!$R$5:$R$1004,MATCH(460,Firms!$U$5:$U$1004,0))="","",INDEX(Firms!$R$5:$R$1004,MATCH(460,Firms!$U$5:$U$1004,0))),"")</f>
        <v/>
      </c>
      <c r="D464" s="91">
        <f>IFERROR(INDEX(Firms!$S$5:$S$1004,MATCH(460,Firms!$U$5:$U$1004,0))&amp;"","")</f>
        <v/>
      </c>
      <c r="E464" s="91">
        <f>IFERROR(INDEX(Firms!$C$5:$C$1004,MATCH(460,Firms!$U$5:$U$1004,0))&amp;"","")</f>
        <v/>
      </c>
      <c r="F464" s="79">
        <f>IFERROR(INDEX(Firms!$N$5:$N$1004,MATCH(460,Firms!$U$5:$U$1004,0))&amp;"","")</f>
        <v/>
      </c>
      <c r="G464" s="79">
        <f>IFERROR(INDEX(Firms!$P$5:$P$1004,MATCH(460,Firms!$U$5:$U$1004,0))&amp;"","")</f>
        <v/>
      </c>
      <c r="H464" s="91">
        <f>IFERROR(INDEX(Firms!$T$5:$T$1004,MATCH(460,Firms!$U$5:$U$1004,0))&amp;"","")</f>
        <v/>
      </c>
    </row>
    <row r="465">
      <c r="A465" s="79">
        <f>IF(B465="","",461)</f>
        <v/>
      </c>
      <c r="B465" s="91">
        <f>IFERROR(INDEX(Firms!$A$5:$A$1004,MATCH(461,Firms!$U$5:$U$1004,0))&amp;"","")</f>
        <v/>
      </c>
      <c r="C465" s="88">
        <f>IFERROR(IF(INDEX(Firms!$R$5:$R$1004,MATCH(461,Firms!$U$5:$U$1004,0))="","",INDEX(Firms!$R$5:$R$1004,MATCH(461,Firms!$U$5:$U$1004,0))),"")</f>
        <v/>
      </c>
      <c r="D465" s="91">
        <f>IFERROR(INDEX(Firms!$S$5:$S$1004,MATCH(461,Firms!$U$5:$U$1004,0))&amp;"","")</f>
        <v/>
      </c>
      <c r="E465" s="91">
        <f>IFERROR(INDEX(Firms!$C$5:$C$1004,MATCH(461,Firms!$U$5:$U$1004,0))&amp;"","")</f>
        <v/>
      </c>
      <c r="F465" s="79">
        <f>IFERROR(INDEX(Firms!$N$5:$N$1004,MATCH(461,Firms!$U$5:$U$1004,0))&amp;"","")</f>
        <v/>
      </c>
      <c r="G465" s="79">
        <f>IFERROR(INDEX(Firms!$P$5:$P$1004,MATCH(461,Firms!$U$5:$U$1004,0))&amp;"","")</f>
        <v/>
      </c>
      <c r="H465" s="91">
        <f>IFERROR(INDEX(Firms!$T$5:$T$1004,MATCH(461,Firms!$U$5:$U$1004,0))&amp;"","")</f>
        <v/>
      </c>
    </row>
    <row r="466">
      <c r="A466" s="79">
        <f>IF(B466="","",462)</f>
        <v/>
      </c>
      <c r="B466" s="91">
        <f>IFERROR(INDEX(Firms!$A$5:$A$1004,MATCH(462,Firms!$U$5:$U$1004,0))&amp;"","")</f>
        <v/>
      </c>
      <c r="C466" s="88">
        <f>IFERROR(IF(INDEX(Firms!$R$5:$R$1004,MATCH(462,Firms!$U$5:$U$1004,0))="","",INDEX(Firms!$R$5:$R$1004,MATCH(462,Firms!$U$5:$U$1004,0))),"")</f>
        <v/>
      </c>
      <c r="D466" s="91">
        <f>IFERROR(INDEX(Firms!$S$5:$S$1004,MATCH(462,Firms!$U$5:$U$1004,0))&amp;"","")</f>
        <v/>
      </c>
      <c r="E466" s="91">
        <f>IFERROR(INDEX(Firms!$C$5:$C$1004,MATCH(462,Firms!$U$5:$U$1004,0))&amp;"","")</f>
        <v/>
      </c>
      <c r="F466" s="79">
        <f>IFERROR(INDEX(Firms!$N$5:$N$1004,MATCH(462,Firms!$U$5:$U$1004,0))&amp;"","")</f>
        <v/>
      </c>
      <c r="G466" s="79">
        <f>IFERROR(INDEX(Firms!$P$5:$P$1004,MATCH(462,Firms!$U$5:$U$1004,0))&amp;"","")</f>
        <v/>
      </c>
      <c r="H466" s="91">
        <f>IFERROR(INDEX(Firms!$T$5:$T$1004,MATCH(462,Firms!$U$5:$U$1004,0))&amp;"","")</f>
        <v/>
      </c>
    </row>
    <row r="467">
      <c r="A467" s="79">
        <f>IF(B467="","",463)</f>
        <v/>
      </c>
      <c r="B467" s="91">
        <f>IFERROR(INDEX(Firms!$A$5:$A$1004,MATCH(463,Firms!$U$5:$U$1004,0))&amp;"","")</f>
        <v/>
      </c>
      <c r="C467" s="88">
        <f>IFERROR(IF(INDEX(Firms!$R$5:$R$1004,MATCH(463,Firms!$U$5:$U$1004,0))="","",INDEX(Firms!$R$5:$R$1004,MATCH(463,Firms!$U$5:$U$1004,0))),"")</f>
        <v/>
      </c>
      <c r="D467" s="91">
        <f>IFERROR(INDEX(Firms!$S$5:$S$1004,MATCH(463,Firms!$U$5:$U$1004,0))&amp;"","")</f>
        <v/>
      </c>
      <c r="E467" s="91">
        <f>IFERROR(INDEX(Firms!$C$5:$C$1004,MATCH(463,Firms!$U$5:$U$1004,0))&amp;"","")</f>
        <v/>
      </c>
      <c r="F467" s="79">
        <f>IFERROR(INDEX(Firms!$N$5:$N$1004,MATCH(463,Firms!$U$5:$U$1004,0))&amp;"","")</f>
        <v/>
      </c>
      <c r="G467" s="79">
        <f>IFERROR(INDEX(Firms!$P$5:$P$1004,MATCH(463,Firms!$U$5:$U$1004,0))&amp;"","")</f>
        <v/>
      </c>
      <c r="H467" s="91">
        <f>IFERROR(INDEX(Firms!$T$5:$T$1004,MATCH(463,Firms!$U$5:$U$1004,0))&amp;"","")</f>
        <v/>
      </c>
    </row>
    <row r="468">
      <c r="A468" s="79">
        <f>IF(B468="","",464)</f>
        <v/>
      </c>
      <c r="B468" s="91">
        <f>IFERROR(INDEX(Firms!$A$5:$A$1004,MATCH(464,Firms!$U$5:$U$1004,0))&amp;"","")</f>
        <v/>
      </c>
      <c r="C468" s="88">
        <f>IFERROR(IF(INDEX(Firms!$R$5:$R$1004,MATCH(464,Firms!$U$5:$U$1004,0))="","",INDEX(Firms!$R$5:$R$1004,MATCH(464,Firms!$U$5:$U$1004,0))),"")</f>
        <v/>
      </c>
      <c r="D468" s="91">
        <f>IFERROR(INDEX(Firms!$S$5:$S$1004,MATCH(464,Firms!$U$5:$U$1004,0))&amp;"","")</f>
        <v/>
      </c>
      <c r="E468" s="91">
        <f>IFERROR(INDEX(Firms!$C$5:$C$1004,MATCH(464,Firms!$U$5:$U$1004,0))&amp;"","")</f>
        <v/>
      </c>
      <c r="F468" s="79">
        <f>IFERROR(INDEX(Firms!$N$5:$N$1004,MATCH(464,Firms!$U$5:$U$1004,0))&amp;"","")</f>
        <v/>
      </c>
      <c r="G468" s="79">
        <f>IFERROR(INDEX(Firms!$P$5:$P$1004,MATCH(464,Firms!$U$5:$U$1004,0))&amp;"","")</f>
        <v/>
      </c>
      <c r="H468" s="91">
        <f>IFERROR(INDEX(Firms!$T$5:$T$1004,MATCH(464,Firms!$U$5:$U$1004,0))&amp;"","")</f>
        <v/>
      </c>
    </row>
    <row r="469">
      <c r="A469" s="79">
        <f>IF(B469="","",465)</f>
        <v/>
      </c>
      <c r="B469" s="91">
        <f>IFERROR(INDEX(Firms!$A$5:$A$1004,MATCH(465,Firms!$U$5:$U$1004,0))&amp;"","")</f>
        <v/>
      </c>
      <c r="C469" s="88">
        <f>IFERROR(IF(INDEX(Firms!$R$5:$R$1004,MATCH(465,Firms!$U$5:$U$1004,0))="","",INDEX(Firms!$R$5:$R$1004,MATCH(465,Firms!$U$5:$U$1004,0))),"")</f>
        <v/>
      </c>
      <c r="D469" s="91">
        <f>IFERROR(INDEX(Firms!$S$5:$S$1004,MATCH(465,Firms!$U$5:$U$1004,0))&amp;"","")</f>
        <v/>
      </c>
      <c r="E469" s="91">
        <f>IFERROR(INDEX(Firms!$C$5:$C$1004,MATCH(465,Firms!$U$5:$U$1004,0))&amp;"","")</f>
        <v/>
      </c>
      <c r="F469" s="79">
        <f>IFERROR(INDEX(Firms!$N$5:$N$1004,MATCH(465,Firms!$U$5:$U$1004,0))&amp;"","")</f>
        <v/>
      </c>
      <c r="G469" s="79">
        <f>IFERROR(INDEX(Firms!$P$5:$P$1004,MATCH(465,Firms!$U$5:$U$1004,0))&amp;"","")</f>
        <v/>
      </c>
      <c r="H469" s="91">
        <f>IFERROR(INDEX(Firms!$T$5:$T$1004,MATCH(465,Firms!$U$5:$U$1004,0))&amp;"","")</f>
        <v/>
      </c>
    </row>
    <row r="470">
      <c r="A470" s="79">
        <f>IF(B470="","",466)</f>
        <v/>
      </c>
      <c r="B470" s="91">
        <f>IFERROR(INDEX(Firms!$A$5:$A$1004,MATCH(466,Firms!$U$5:$U$1004,0))&amp;"","")</f>
        <v/>
      </c>
      <c r="C470" s="88">
        <f>IFERROR(IF(INDEX(Firms!$R$5:$R$1004,MATCH(466,Firms!$U$5:$U$1004,0))="","",INDEX(Firms!$R$5:$R$1004,MATCH(466,Firms!$U$5:$U$1004,0))),"")</f>
        <v/>
      </c>
      <c r="D470" s="91">
        <f>IFERROR(INDEX(Firms!$S$5:$S$1004,MATCH(466,Firms!$U$5:$U$1004,0))&amp;"","")</f>
        <v/>
      </c>
      <c r="E470" s="91">
        <f>IFERROR(INDEX(Firms!$C$5:$C$1004,MATCH(466,Firms!$U$5:$U$1004,0))&amp;"","")</f>
        <v/>
      </c>
      <c r="F470" s="79">
        <f>IFERROR(INDEX(Firms!$N$5:$N$1004,MATCH(466,Firms!$U$5:$U$1004,0))&amp;"","")</f>
        <v/>
      </c>
      <c r="G470" s="79">
        <f>IFERROR(INDEX(Firms!$P$5:$P$1004,MATCH(466,Firms!$U$5:$U$1004,0))&amp;"","")</f>
        <v/>
      </c>
      <c r="H470" s="91">
        <f>IFERROR(INDEX(Firms!$T$5:$T$1004,MATCH(466,Firms!$U$5:$U$1004,0))&amp;"","")</f>
        <v/>
      </c>
    </row>
    <row r="471">
      <c r="A471" s="79">
        <f>IF(B471="","",467)</f>
        <v/>
      </c>
      <c r="B471" s="91">
        <f>IFERROR(INDEX(Firms!$A$5:$A$1004,MATCH(467,Firms!$U$5:$U$1004,0))&amp;"","")</f>
        <v/>
      </c>
      <c r="C471" s="88">
        <f>IFERROR(IF(INDEX(Firms!$R$5:$R$1004,MATCH(467,Firms!$U$5:$U$1004,0))="","",INDEX(Firms!$R$5:$R$1004,MATCH(467,Firms!$U$5:$U$1004,0))),"")</f>
        <v/>
      </c>
      <c r="D471" s="91">
        <f>IFERROR(INDEX(Firms!$S$5:$S$1004,MATCH(467,Firms!$U$5:$U$1004,0))&amp;"","")</f>
        <v/>
      </c>
      <c r="E471" s="91">
        <f>IFERROR(INDEX(Firms!$C$5:$C$1004,MATCH(467,Firms!$U$5:$U$1004,0))&amp;"","")</f>
        <v/>
      </c>
      <c r="F471" s="79">
        <f>IFERROR(INDEX(Firms!$N$5:$N$1004,MATCH(467,Firms!$U$5:$U$1004,0))&amp;"","")</f>
        <v/>
      </c>
      <c r="G471" s="79">
        <f>IFERROR(INDEX(Firms!$P$5:$P$1004,MATCH(467,Firms!$U$5:$U$1004,0))&amp;"","")</f>
        <v/>
      </c>
      <c r="H471" s="91">
        <f>IFERROR(INDEX(Firms!$T$5:$T$1004,MATCH(467,Firms!$U$5:$U$1004,0))&amp;"","")</f>
        <v/>
      </c>
    </row>
    <row r="472">
      <c r="A472" s="79">
        <f>IF(B472="","",468)</f>
        <v/>
      </c>
      <c r="B472" s="91">
        <f>IFERROR(INDEX(Firms!$A$5:$A$1004,MATCH(468,Firms!$U$5:$U$1004,0))&amp;"","")</f>
        <v/>
      </c>
      <c r="C472" s="88">
        <f>IFERROR(IF(INDEX(Firms!$R$5:$R$1004,MATCH(468,Firms!$U$5:$U$1004,0))="","",INDEX(Firms!$R$5:$R$1004,MATCH(468,Firms!$U$5:$U$1004,0))),"")</f>
        <v/>
      </c>
      <c r="D472" s="91">
        <f>IFERROR(INDEX(Firms!$S$5:$S$1004,MATCH(468,Firms!$U$5:$U$1004,0))&amp;"","")</f>
        <v/>
      </c>
      <c r="E472" s="91">
        <f>IFERROR(INDEX(Firms!$C$5:$C$1004,MATCH(468,Firms!$U$5:$U$1004,0))&amp;"","")</f>
        <v/>
      </c>
      <c r="F472" s="79">
        <f>IFERROR(INDEX(Firms!$N$5:$N$1004,MATCH(468,Firms!$U$5:$U$1004,0))&amp;"","")</f>
        <v/>
      </c>
      <c r="G472" s="79">
        <f>IFERROR(INDEX(Firms!$P$5:$P$1004,MATCH(468,Firms!$U$5:$U$1004,0))&amp;"","")</f>
        <v/>
      </c>
      <c r="H472" s="91">
        <f>IFERROR(INDEX(Firms!$T$5:$T$1004,MATCH(468,Firms!$U$5:$U$1004,0))&amp;"","")</f>
        <v/>
      </c>
    </row>
    <row r="473">
      <c r="A473" s="79">
        <f>IF(B473="","",469)</f>
        <v/>
      </c>
      <c r="B473" s="91">
        <f>IFERROR(INDEX(Firms!$A$5:$A$1004,MATCH(469,Firms!$U$5:$U$1004,0))&amp;"","")</f>
        <v/>
      </c>
      <c r="C473" s="88">
        <f>IFERROR(IF(INDEX(Firms!$R$5:$R$1004,MATCH(469,Firms!$U$5:$U$1004,0))="","",INDEX(Firms!$R$5:$R$1004,MATCH(469,Firms!$U$5:$U$1004,0))),"")</f>
        <v/>
      </c>
      <c r="D473" s="91">
        <f>IFERROR(INDEX(Firms!$S$5:$S$1004,MATCH(469,Firms!$U$5:$U$1004,0))&amp;"","")</f>
        <v/>
      </c>
      <c r="E473" s="91">
        <f>IFERROR(INDEX(Firms!$C$5:$C$1004,MATCH(469,Firms!$U$5:$U$1004,0))&amp;"","")</f>
        <v/>
      </c>
      <c r="F473" s="79">
        <f>IFERROR(INDEX(Firms!$N$5:$N$1004,MATCH(469,Firms!$U$5:$U$1004,0))&amp;"","")</f>
        <v/>
      </c>
      <c r="G473" s="79">
        <f>IFERROR(INDEX(Firms!$P$5:$P$1004,MATCH(469,Firms!$U$5:$U$1004,0))&amp;"","")</f>
        <v/>
      </c>
      <c r="H473" s="91">
        <f>IFERROR(INDEX(Firms!$T$5:$T$1004,MATCH(469,Firms!$U$5:$U$1004,0))&amp;"","")</f>
        <v/>
      </c>
    </row>
    <row r="474">
      <c r="A474" s="79">
        <f>IF(B474="","",470)</f>
        <v/>
      </c>
      <c r="B474" s="91">
        <f>IFERROR(INDEX(Firms!$A$5:$A$1004,MATCH(470,Firms!$U$5:$U$1004,0))&amp;"","")</f>
        <v/>
      </c>
      <c r="C474" s="88">
        <f>IFERROR(IF(INDEX(Firms!$R$5:$R$1004,MATCH(470,Firms!$U$5:$U$1004,0))="","",INDEX(Firms!$R$5:$R$1004,MATCH(470,Firms!$U$5:$U$1004,0))),"")</f>
        <v/>
      </c>
      <c r="D474" s="91">
        <f>IFERROR(INDEX(Firms!$S$5:$S$1004,MATCH(470,Firms!$U$5:$U$1004,0))&amp;"","")</f>
        <v/>
      </c>
      <c r="E474" s="91">
        <f>IFERROR(INDEX(Firms!$C$5:$C$1004,MATCH(470,Firms!$U$5:$U$1004,0))&amp;"","")</f>
        <v/>
      </c>
      <c r="F474" s="79">
        <f>IFERROR(INDEX(Firms!$N$5:$N$1004,MATCH(470,Firms!$U$5:$U$1004,0))&amp;"","")</f>
        <v/>
      </c>
      <c r="G474" s="79">
        <f>IFERROR(INDEX(Firms!$P$5:$P$1004,MATCH(470,Firms!$U$5:$U$1004,0))&amp;"","")</f>
        <v/>
      </c>
      <c r="H474" s="91">
        <f>IFERROR(INDEX(Firms!$T$5:$T$1004,MATCH(470,Firms!$U$5:$U$1004,0))&amp;"","")</f>
        <v/>
      </c>
    </row>
    <row r="475">
      <c r="A475" s="79">
        <f>IF(B475="","",471)</f>
        <v/>
      </c>
      <c r="B475" s="91">
        <f>IFERROR(INDEX(Firms!$A$5:$A$1004,MATCH(471,Firms!$U$5:$U$1004,0))&amp;"","")</f>
        <v/>
      </c>
      <c r="C475" s="88">
        <f>IFERROR(IF(INDEX(Firms!$R$5:$R$1004,MATCH(471,Firms!$U$5:$U$1004,0))="","",INDEX(Firms!$R$5:$R$1004,MATCH(471,Firms!$U$5:$U$1004,0))),"")</f>
        <v/>
      </c>
      <c r="D475" s="91">
        <f>IFERROR(INDEX(Firms!$S$5:$S$1004,MATCH(471,Firms!$U$5:$U$1004,0))&amp;"","")</f>
        <v/>
      </c>
      <c r="E475" s="91">
        <f>IFERROR(INDEX(Firms!$C$5:$C$1004,MATCH(471,Firms!$U$5:$U$1004,0))&amp;"","")</f>
        <v/>
      </c>
      <c r="F475" s="79">
        <f>IFERROR(INDEX(Firms!$N$5:$N$1004,MATCH(471,Firms!$U$5:$U$1004,0))&amp;"","")</f>
        <v/>
      </c>
      <c r="G475" s="79">
        <f>IFERROR(INDEX(Firms!$P$5:$P$1004,MATCH(471,Firms!$U$5:$U$1004,0))&amp;"","")</f>
        <v/>
      </c>
      <c r="H475" s="91">
        <f>IFERROR(INDEX(Firms!$T$5:$T$1004,MATCH(471,Firms!$U$5:$U$1004,0))&amp;"","")</f>
        <v/>
      </c>
    </row>
    <row r="476">
      <c r="A476" s="79">
        <f>IF(B476="","",472)</f>
        <v/>
      </c>
      <c r="B476" s="91">
        <f>IFERROR(INDEX(Firms!$A$5:$A$1004,MATCH(472,Firms!$U$5:$U$1004,0))&amp;"","")</f>
        <v/>
      </c>
      <c r="C476" s="88">
        <f>IFERROR(IF(INDEX(Firms!$R$5:$R$1004,MATCH(472,Firms!$U$5:$U$1004,0))="","",INDEX(Firms!$R$5:$R$1004,MATCH(472,Firms!$U$5:$U$1004,0))),"")</f>
        <v/>
      </c>
      <c r="D476" s="91">
        <f>IFERROR(INDEX(Firms!$S$5:$S$1004,MATCH(472,Firms!$U$5:$U$1004,0))&amp;"","")</f>
        <v/>
      </c>
      <c r="E476" s="91">
        <f>IFERROR(INDEX(Firms!$C$5:$C$1004,MATCH(472,Firms!$U$5:$U$1004,0))&amp;"","")</f>
        <v/>
      </c>
      <c r="F476" s="79">
        <f>IFERROR(INDEX(Firms!$N$5:$N$1004,MATCH(472,Firms!$U$5:$U$1004,0))&amp;"","")</f>
        <v/>
      </c>
      <c r="G476" s="79">
        <f>IFERROR(INDEX(Firms!$P$5:$P$1004,MATCH(472,Firms!$U$5:$U$1004,0))&amp;"","")</f>
        <v/>
      </c>
      <c r="H476" s="91">
        <f>IFERROR(INDEX(Firms!$T$5:$T$1004,MATCH(472,Firms!$U$5:$U$1004,0))&amp;"","")</f>
        <v/>
      </c>
    </row>
    <row r="477">
      <c r="A477" s="79">
        <f>IF(B477="","",473)</f>
        <v/>
      </c>
      <c r="B477" s="91">
        <f>IFERROR(INDEX(Firms!$A$5:$A$1004,MATCH(473,Firms!$U$5:$U$1004,0))&amp;"","")</f>
        <v/>
      </c>
      <c r="C477" s="88">
        <f>IFERROR(IF(INDEX(Firms!$R$5:$R$1004,MATCH(473,Firms!$U$5:$U$1004,0))="","",INDEX(Firms!$R$5:$R$1004,MATCH(473,Firms!$U$5:$U$1004,0))),"")</f>
        <v/>
      </c>
      <c r="D477" s="91">
        <f>IFERROR(INDEX(Firms!$S$5:$S$1004,MATCH(473,Firms!$U$5:$U$1004,0))&amp;"","")</f>
        <v/>
      </c>
      <c r="E477" s="91">
        <f>IFERROR(INDEX(Firms!$C$5:$C$1004,MATCH(473,Firms!$U$5:$U$1004,0))&amp;"","")</f>
        <v/>
      </c>
      <c r="F477" s="79">
        <f>IFERROR(INDEX(Firms!$N$5:$N$1004,MATCH(473,Firms!$U$5:$U$1004,0))&amp;"","")</f>
        <v/>
      </c>
      <c r="G477" s="79">
        <f>IFERROR(INDEX(Firms!$P$5:$P$1004,MATCH(473,Firms!$U$5:$U$1004,0))&amp;"","")</f>
        <v/>
      </c>
      <c r="H477" s="91">
        <f>IFERROR(INDEX(Firms!$T$5:$T$1004,MATCH(473,Firms!$U$5:$U$1004,0))&amp;"","")</f>
        <v/>
      </c>
    </row>
    <row r="478">
      <c r="A478" s="79">
        <f>IF(B478="","",474)</f>
        <v/>
      </c>
      <c r="B478" s="91">
        <f>IFERROR(INDEX(Firms!$A$5:$A$1004,MATCH(474,Firms!$U$5:$U$1004,0))&amp;"","")</f>
        <v/>
      </c>
      <c r="C478" s="88">
        <f>IFERROR(IF(INDEX(Firms!$R$5:$R$1004,MATCH(474,Firms!$U$5:$U$1004,0))="","",INDEX(Firms!$R$5:$R$1004,MATCH(474,Firms!$U$5:$U$1004,0))),"")</f>
        <v/>
      </c>
      <c r="D478" s="91">
        <f>IFERROR(INDEX(Firms!$S$5:$S$1004,MATCH(474,Firms!$U$5:$U$1004,0))&amp;"","")</f>
        <v/>
      </c>
      <c r="E478" s="91">
        <f>IFERROR(INDEX(Firms!$C$5:$C$1004,MATCH(474,Firms!$U$5:$U$1004,0))&amp;"","")</f>
        <v/>
      </c>
      <c r="F478" s="79">
        <f>IFERROR(INDEX(Firms!$N$5:$N$1004,MATCH(474,Firms!$U$5:$U$1004,0))&amp;"","")</f>
        <v/>
      </c>
      <c r="G478" s="79">
        <f>IFERROR(INDEX(Firms!$P$5:$P$1004,MATCH(474,Firms!$U$5:$U$1004,0))&amp;"","")</f>
        <v/>
      </c>
      <c r="H478" s="91">
        <f>IFERROR(INDEX(Firms!$T$5:$T$1004,MATCH(474,Firms!$U$5:$U$1004,0))&amp;"","")</f>
        <v/>
      </c>
    </row>
    <row r="479">
      <c r="A479" s="79">
        <f>IF(B479="","",475)</f>
        <v/>
      </c>
      <c r="B479" s="91">
        <f>IFERROR(INDEX(Firms!$A$5:$A$1004,MATCH(475,Firms!$U$5:$U$1004,0))&amp;"","")</f>
        <v/>
      </c>
      <c r="C479" s="88">
        <f>IFERROR(IF(INDEX(Firms!$R$5:$R$1004,MATCH(475,Firms!$U$5:$U$1004,0))="","",INDEX(Firms!$R$5:$R$1004,MATCH(475,Firms!$U$5:$U$1004,0))),"")</f>
        <v/>
      </c>
      <c r="D479" s="91">
        <f>IFERROR(INDEX(Firms!$S$5:$S$1004,MATCH(475,Firms!$U$5:$U$1004,0))&amp;"","")</f>
        <v/>
      </c>
      <c r="E479" s="91">
        <f>IFERROR(INDEX(Firms!$C$5:$C$1004,MATCH(475,Firms!$U$5:$U$1004,0))&amp;"","")</f>
        <v/>
      </c>
      <c r="F479" s="79">
        <f>IFERROR(INDEX(Firms!$N$5:$N$1004,MATCH(475,Firms!$U$5:$U$1004,0))&amp;"","")</f>
        <v/>
      </c>
      <c r="G479" s="79">
        <f>IFERROR(INDEX(Firms!$P$5:$P$1004,MATCH(475,Firms!$U$5:$U$1004,0))&amp;"","")</f>
        <v/>
      </c>
      <c r="H479" s="91">
        <f>IFERROR(INDEX(Firms!$T$5:$T$1004,MATCH(475,Firms!$U$5:$U$1004,0))&amp;"","")</f>
        <v/>
      </c>
    </row>
    <row r="480">
      <c r="A480" s="79">
        <f>IF(B480="","",476)</f>
        <v/>
      </c>
      <c r="B480" s="91">
        <f>IFERROR(INDEX(Firms!$A$5:$A$1004,MATCH(476,Firms!$U$5:$U$1004,0))&amp;"","")</f>
        <v/>
      </c>
      <c r="C480" s="88">
        <f>IFERROR(IF(INDEX(Firms!$R$5:$R$1004,MATCH(476,Firms!$U$5:$U$1004,0))="","",INDEX(Firms!$R$5:$R$1004,MATCH(476,Firms!$U$5:$U$1004,0))),"")</f>
        <v/>
      </c>
      <c r="D480" s="91">
        <f>IFERROR(INDEX(Firms!$S$5:$S$1004,MATCH(476,Firms!$U$5:$U$1004,0))&amp;"","")</f>
        <v/>
      </c>
      <c r="E480" s="91">
        <f>IFERROR(INDEX(Firms!$C$5:$C$1004,MATCH(476,Firms!$U$5:$U$1004,0))&amp;"","")</f>
        <v/>
      </c>
      <c r="F480" s="79">
        <f>IFERROR(INDEX(Firms!$N$5:$N$1004,MATCH(476,Firms!$U$5:$U$1004,0))&amp;"","")</f>
        <v/>
      </c>
      <c r="G480" s="79">
        <f>IFERROR(INDEX(Firms!$P$5:$P$1004,MATCH(476,Firms!$U$5:$U$1004,0))&amp;"","")</f>
        <v/>
      </c>
      <c r="H480" s="91">
        <f>IFERROR(INDEX(Firms!$T$5:$T$1004,MATCH(476,Firms!$U$5:$U$1004,0))&amp;"","")</f>
        <v/>
      </c>
    </row>
    <row r="481">
      <c r="A481" s="79">
        <f>IF(B481="","",477)</f>
        <v/>
      </c>
      <c r="B481" s="91">
        <f>IFERROR(INDEX(Firms!$A$5:$A$1004,MATCH(477,Firms!$U$5:$U$1004,0))&amp;"","")</f>
        <v/>
      </c>
      <c r="C481" s="88">
        <f>IFERROR(IF(INDEX(Firms!$R$5:$R$1004,MATCH(477,Firms!$U$5:$U$1004,0))="","",INDEX(Firms!$R$5:$R$1004,MATCH(477,Firms!$U$5:$U$1004,0))),"")</f>
        <v/>
      </c>
      <c r="D481" s="91">
        <f>IFERROR(INDEX(Firms!$S$5:$S$1004,MATCH(477,Firms!$U$5:$U$1004,0))&amp;"","")</f>
        <v/>
      </c>
      <c r="E481" s="91">
        <f>IFERROR(INDEX(Firms!$C$5:$C$1004,MATCH(477,Firms!$U$5:$U$1004,0))&amp;"","")</f>
        <v/>
      </c>
      <c r="F481" s="79">
        <f>IFERROR(INDEX(Firms!$N$5:$N$1004,MATCH(477,Firms!$U$5:$U$1004,0))&amp;"","")</f>
        <v/>
      </c>
      <c r="G481" s="79">
        <f>IFERROR(INDEX(Firms!$P$5:$P$1004,MATCH(477,Firms!$U$5:$U$1004,0))&amp;"","")</f>
        <v/>
      </c>
      <c r="H481" s="91">
        <f>IFERROR(INDEX(Firms!$T$5:$T$1004,MATCH(477,Firms!$U$5:$U$1004,0))&amp;"","")</f>
        <v/>
      </c>
    </row>
    <row r="482">
      <c r="A482" s="79">
        <f>IF(B482="","",478)</f>
        <v/>
      </c>
      <c r="B482" s="91">
        <f>IFERROR(INDEX(Firms!$A$5:$A$1004,MATCH(478,Firms!$U$5:$U$1004,0))&amp;"","")</f>
        <v/>
      </c>
      <c r="C482" s="88">
        <f>IFERROR(IF(INDEX(Firms!$R$5:$R$1004,MATCH(478,Firms!$U$5:$U$1004,0))="","",INDEX(Firms!$R$5:$R$1004,MATCH(478,Firms!$U$5:$U$1004,0))),"")</f>
        <v/>
      </c>
      <c r="D482" s="91">
        <f>IFERROR(INDEX(Firms!$S$5:$S$1004,MATCH(478,Firms!$U$5:$U$1004,0))&amp;"","")</f>
        <v/>
      </c>
      <c r="E482" s="91">
        <f>IFERROR(INDEX(Firms!$C$5:$C$1004,MATCH(478,Firms!$U$5:$U$1004,0))&amp;"","")</f>
        <v/>
      </c>
      <c r="F482" s="79">
        <f>IFERROR(INDEX(Firms!$N$5:$N$1004,MATCH(478,Firms!$U$5:$U$1004,0))&amp;"","")</f>
        <v/>
      </c>
      <c r="G482" s="79">
        <f>IFERROR(INDEX(Firms!$P$5:$P$1004,MATCH(478,Firms!$U$5:$U$1004,0))&amp;"","")</f>
        <v/>
      </c>
      <c r="H482" s="91">
        <f>IFERROR(INDEX(Firms!$T$5:$T$1004,MATCH(478,Firms!$U$5:$U$1004,0))&amp;"","")</f>
        <v/>
      </c>
    </row>
    <row r="483">
      <c r="A483" s="79">
        <f>IF(B483="","",479)</f>
        <v/>
      </c>
      <c r="B483" s="91">
        <f>IFERROR(INDEX(Firms!$A$5:$A$1004,MATCH(479,Firms!$U$5:$U$1004,0))&amp;"","")</f>
        <v/>
      </c>
      <c r="C483" s="88">
        <f>IFERROR(IF(INDEX(Firms!$R$5:$R$1004,MATCH(479,Firms!$U$5:$U$1004,0))="","",INDEX(Firms!$R$5:$R$1004,MATCH(479,Firms!$U$5:$U$1004,0))),"")</f>
        <v/>
      </c>
      <c r="D483" s="91">
        <f>IFERROR(INDEX(Firms!$S$5:$S$1004,MATCH(479,Firms!$U$5:$U$1004,0))&amp;"","")</f>
        <v/>
      </c>
      <c r="E483" s="91">
        <f>IFERROR(INDEX(Firms!$C$5:$C$1004,MATCH(479,Firms!$U$5:$U$1004,0))&amp;"","")</f>
        <v/>
      </c>
      <c r="F483" s="79">
        <f>IFERROR(INDEX(Firms!$N$5:$N$1004,MATCH(479,Firms!$U$5:$U$1004,0))&amp;"","")</f>
        <v/>
      </c>
      <c r="G483" s="79">
        <f>IFERROR(INDEX(Firms!$P$5:$P$1004,MATCH(479,Firms!$U$5:$U$1004,0))&amp;"","")</f>
        <v/>
      </c>
      <c r="H483" s="91">
        <f>IFERROR(INDEX(Firms!$T$5:$T$1004,MATCH(479,Firms!$U$5:$U$1004,0))&amp;"","")</f>
        <v/>
      </c>
    </row>
    <row r="484">
      <c r="A484" s="79">
        <f>IF(B484="","",480)</f>
        <v/>
      </c>
      <c r="B484" s="91">
        <f>IFERROR(INDEX(Firms!$A$5:$A$1004,MATCH(480,Firms!$U$5:$U$1004,0))&amp;"","")</f>
        <v/>
      </c>
      <c r="C484" s="88">
        <f>IFERROR(IF(INDEX(Firms!$R$5:$R$1004,MATCH(480,Firms!$U$5:$U$1004,0))="","",INDEX(Firms!$R$5:$R$1004,MATCH(480,Firms!$U$5:$U$1004,0))),"")</f>
        <v/>
      </c>
      <c r="D484" s="91">
        <f>IFERROR(INDEX(Firms!$S$5:$S$1004,MATCH(480,Firms!$U$5:$U$1004,0))&amp;"","")</f>
        <v/>
      </c>
      <c r="E484" s="91">
        <f>IFERROR(INDEX(Firms!$C$5:$C$1004,MATCH(480,Firms!$U$5:$U$1004,0))&amp;"","")</f>
        <v/>
      </c>
      <c r="F484" s="79">
        <f>IFERROR(INDEX(Firms!$N$5:$N$1004,MATCH(480,Firms!$U$5:$U$1004,0))&amp;"","")</f>
        <v/>
      </c>
      <c r="G484" s="79">
        <f>IFERROR(INDEX(Firms!$P$5:$P$1004,MATCH(480,Firms!$U$5:$U$1004,0))&amp;"","")</f>
        <v/>
      </c>
      <c r="H484" s="91">
        <f>IFERROR(INDEX(Firms!$T$5:$T$1004,MATCH(480,Firms!$U$5:$U$1004,0))&amp;"","")</f>
        <v/>
      </c>
    </row>
    <row r="485">
      <c r="A485" s="79">
        <f>IF(B485="","",481)</f>
        <v/>
      </c>
      <c r="B485" s="91">
        <f>IFERROR(INDEX(Firms!$A$5:$A$1004,MATCH(481,Firms!$U$5:$U$1004,0))&amp;"","")</f>
        <v/>
      </c>
      <c r="C485" s="88">
        <f>IFERROR(IF(INDEX(Firms!$R$5:$R$1004,MATCH(481,Firms!$U$5:$U$1004,0))="","",INDEX(Firms!$R$5:$R$1004,MATCH(481,Firms!$U$5:$U$1004,0))),"")</f>
        <v/>
      </c>
      <c r="D485" s="91">
        <f>IFERROR(INDEX(Firms!$S$5:$S$1004,MATCH(481,Firms!$U$5:$U$1004,0))&amp;"","")</f>
        <v/>
      </c>
      <c r="E485" s="91">
        <f>IFERROR(INDEX(Firms!$C$5:$C$1004,MATCH(481,Firms!$U$5:$U$1004,0))&amp;"","")</f>
        <v/>
      </c>
      <c r="F485" s="79">
        <f>IFERROR(INDEX(Firms!$N$5:$N$1004,MATCH(481,Firms!$U$5:$U$1004,0))&amp;"","")</f>
        <v/>
      </c>
      <c r="G485" s="79">
        <f>IFERROR(INDEX(Firms!$P$5:$P$1004,MATCH(481,Firms!$U$5:$U$1004,0))&amp;"","")</f>
        <v/>
      </c>
      <c r="H485" s="91">
        <f>IFERROR(INDEX(Firms!$T$5:$T$1004,MATCH(481,Firms!$U$5:$U$1004,0))&amp;"","")</f>
        <v/>
      </c>
    </row>
    <row r="486">
      <c r="A486" s="79">
        <f>IF(B486="","",482)</f>
        <v/>
      </c>
      <c r="B486" s="91">
        <f>IFERROR(INDEX(Firms!$A$5:$A$1004,MATCH(482,Firms!$U$5:$U$1004,0))&amp;"","")</f>
        <v/>
      </c>
      <c r="C486" s="88">
        <f>IFERROR(IF(INDEX(Firms!$R$5:$R$1004,MATCH(482,Firms!$U$5:$U$1004,0))="","",INDEX(Firms!$R$5:$R$1004,MATCH(482,Firms!$U$5:$U$1004,0))),"")</f>
        <v/>
      </c>
      <c r="D486" s="91">
        <f>IFERROR(INDEX(Firms!$S$5:$S$1004,MATCH(482,Firms!$U$5:$U$1004,0))&amp;"","")</f>
        <v/>
      </c>
      <c r="E486" s="91">
        <f>IFERROR(INDEX(Firms!$C$5:$C$1004,MATCH(482,Firms!$U$5:$U$1004,0))&amp;"","")</f>
        <v/>
      </c>
      <c r="F486" s="79">
        <f>IFERROR(INDEX(Firms!$N$5:$N$1004,MATCH(482,Firms!$U$5:$U$1004,0))&amp;"","")</f>
        <v/>
      </c>
      <c r="G486" s="79">
        <f>IFERROR(INDEX(Firms!$P$5:$P$1004,MATCH(482,Firms!$U$5:$U$1004,0))&amp;"","")</f>
        <v/>
      </c>
      <c r="H486" s="91">
        <f>IFERROR(INDEX(Firms!$T$5:$T$1004,MATCH(482,Firms!$U$5:$U$1004,0))&amp;"","")</f>
        <v/>
      </c>
    </row>
    <row r="487">
      <c r="A487" s="79">
        <f>IF(B487="","",483)</f>
        <v/>
      </c>
      <c r="B487" s="91">
        <f>IFERROR(INDEX(Firms!$A$5:$A$1004,MATCH(483,Firms!$U$5:$U$1004,0))&amp;"","")</f>
        <v/>
      </c>
      <c r="C487" s="88">
        <f>IFERROR(IF(INDEX(Firms!$R$5:$R$1004,MATCH(483,Firms!$U$5:$U$1004,0))="","",INDEX(Firms!$R$5:$R$1004,MATCH(483,Firms!$U$5:$U$1004,0))),"")</f>
        <v/>
      </c>
      <c r="D487" s="91">
        <f>IFERROR(INDEX(Firms!$S$5:$S$1004,MATCH(483,Firms!$U$5:$U$1004,0))&amp;"","")</f>
        <v/>
      </c>
      <c r="E487" s="91">
        <f>IFERROR(INDEX(Firms!$C$5:$C$1004,MATCH(483,Firms!$U$5:$U$1004,0))&amp;"","")</f>
        <v/>
      </c>
      <c r="F487" s="79">
        <f>IFERROR(INDEX(Firms!$N$5:$N$1004,MATCH(483,Firms!$U$5:$U$1004,0))&amp;"","")</f>
        <v/>
      </c>
      <c r="G487" s="79">
        <f>IFERROR(INDEX(Firms!$P$5:$P$1004,MATCH(483,Firms!$U$5:$U$1004,0))&amp;"","")</f>
        <v/>
      </c>
      <c r="H487" s="91">
        <f>IFERROR(INDEX(Firms!$T$5:$T$1004,MATCH(483,Firms!$U$5:$U$1004,0))&amp;"","")</f>
        <v/>
      </c>
    </row>
    <row r="488">
      <c r="A488" s="79">
        <f>IF(B488="","",484)</f>
        <v/>
      </c>
      <c r="B488" s="91">
        <f>IFERROR(INDEX(Firms!$A$5:$A$1004,MATCH(484,Firms!$U$5:$U$1004,0))&amp;"","")</f>
        <v/>
      </c>
      <c r="C488" s="88">
        <f>IFERROR(IF(INDEX(Firms!$R$5:$R$1004,MATCH(484,Firms!$U$5:$U$1004,0))="","",INDEX(Firms!$R$5:$R$1004,MATCH(484,Firms!$U$5:$U$1004,0))),"")</f>
        <v/>
      </c>
      <c r="D488" s="91">
        <f>IFERROR(INDEX(Firms!$S$5:$S$1004,MATCH(484,Firms!$U$5:$U$1004,0))&amp;"","")</f>
        <v/>
      </c>
      <c r="E488" s="91">
        <f>IFERROR(INDEX(Firms!$C$5:$C$1004,MATCH(484,Firms!$U$5:$U$1004,0))&amp;"","")</f>
        <v/>
      </c>
      <c r="F488" s="79">
        <f>IFERROR(INDEX(Firms!$N$5:$N$1004,MATCH(484,Firms!$U$5:$U$1004,0))&amp;"","")</f>
        <v/>
      </c>
      <c r="G488" s="79">
        <f>IFERROR(INDEX(Firms!$P$5:$P$1004,MATCH(484,Firms!$U$5:$U$1004,0))&amp;"","")</f>
        <v/>
      </c>
      <c r="H488" s="91">
        <f>IFERROR(INDEX(Firms!$T$5:$T$1004,MATCH(484,Firms!$U$5:$U$1004,0))&amp;"","")</f>
        <v/>
      </c>
    </row>
    <row r="489">
      <c r="A489" s="79">
        <f>IF(B489="","",485)</f>
        <v/>
      </c>
      <c r="B489" s="91">
        <f>IFERROR(INDEX(Firms!$A$5:$A$1004,MATCH(485,Firms!$U$5:$U$1004,0))&amp;"","")</f>
        <v/>
      </c>
      <c r="C489" s="88">
        <f>IFERROR(IF(INDEX(Firms!$R$5:$R$1004,MATCH(485,Firms!$U$5:$U$1004,0))="","",INDEX(Firms!$R$5:$R$1004,MATCH(485,Firms!$U$5:$U$1004,0))),"")</f>
        <v/>
      </c>
      <c r="D489" s="91">
        <f>IFERROR(INDEX(Firms!$S$5:$S$1004,MATCH(485,Firms!$U$5:$U$1004,0))&amp;"","")</f>
        <v/>
      </c>
      <c r="E489" s="91">
        <f>IFERROR(INDEX(Firms!$C$5:$C$1004,MATCH(485,Firms!$U$5:$U$1004,0))&amp;"","")</f>
        <v/>
      </c>
      <c r="F489" s="79">
        <f>IFERROR(INDEX(Firms!$N$5:$N$1004,MATCH(485,Firms!$U$5:$U$1004,0))&amp;"","")</f>
        <v/>
      </c>
      <c r="G489" s="79">
        <f>IFERROR(INDEX(Firms!$P$5:$P$1004,MATCH(485,Firms!$U$5:$U$1004,0))&amp;"","")</f>
        <v/>
      </c>
      <c r="H489" s="91">
        <f>IFERROR(INDEX(Firms!$T$5:$T$1004,MATCH(485,Firms!$U$5:$U$1004,0))&amp;"","")</f>
        <v/>
      </c>
    </row>
    <row r="490">
      <c r="A490" s="79">
        <f>IF(B490="","",486)</f>
        <v/>
      </c>
      <c r="B490" s="91">
        <f>IFERROR(INDEX(Firms!$A$5:$A$1004,MATCH(486,Firms!$U$5:$U$1004,0))&amp;"","")</f>
        <v/>
      </c>
      <c r="C490" s="88">
        <f>IFERROR(IF(INDEX(Firms!$R$5:$R$1004,MATCH(486,Firms!$U$5:$U$1004,0))="","",INDEX(Firms!$R$5:$R$1004,MATCH(486,Firms!$U$5:$U$1004,0))),"")</f>
        <v/>
      </c>
      <c r="D490" s="91">
        <f>IFERROR(INDEX(Firms!$S$5:$S$1004,MATCH(486,Firms!$U$5:$U$1004,0))&amp;"","")</f>
        <v/>
      </c>
      <c r="E490" s="91">
        <f>IFERROR(INDEX(Firms!$C$5:$C$1004,MATCH(486,Firms!$U$5:$U$1004,0))&amp;"","")</f>
        <v/>
      </c>
      <c r="F490" s="79">
        <f>IFERROR(INDEX(Firms!$N$5:$N$1004,MATCH(486,Firms!$U$5:$U$1004,0))&amp;"","")</f>
        <v/>
      </c>
      <c r="G490" s="79">
        <f>IFERROR(INDEX(Firms!$P$5:$P$1004,MATCH(486,Firms!$U$5:$U$1004,0))&amp;"","")</f>
        <v/>
      </c>
      <c r="H490" s="91">
        <f>IFERROR(INDEX(Firms!$T$5:$T$1004,MATCH(486,Firms!$U$5:$U$1004,0))&amp;"","")</f>
        <v/>
      </c>
    </row>
    <row r="491">
      <c r="A491" s="79">
        <f>IF(B491="","",487)</f>
        <v/>
      </c>
      <c r="B491" s="91">
        <f>IFERROR(INDEX(Firms!$A$5:$A$1004,MATCH(487,Firms!$U$5:$U$1004,0))&amp;"","")</f>
        <v/>
      </c>
      <c r="C491" s="88">
        <f>IFERROR(IF(INDEX(Firms!$R$5:$R$1004,MATCH(487,Firms!$U$5:$U$1004,0))="","",INDEX(Firms!$R$5:$R$1004,MATCH(487,Firms!$U$5:$U$1004,0))),"")</f>
        <v/>
      </c>
      <c r="D491" s="91">
        <f>IFERROR(INDEX(Firms!$S$5:$S$1004,MATCH(487,Firms!$U$5:$U$1004,0))&amp;"","")</f>
        <v/>
      </c>
      <c r="E491" s="91">
        <f>IFERROR(INDEX(Firms!$C$5:$C$1004,MATCH(487,Firms!$U$5:$U$1004,0))&amp;"","")</f>
        <v/>
      </c>
      <c r="F491" s="79">
        <f>IFERROR(INDEX(Firms!$N$5:$N$1004,MATCH(487,Firms!$U$5:$U$1004,0))&amp;"","")</f>
        <v/>
      </c>
      <c r="G491" s="79">
        <f>IFERROR(INDEX(Firms!$P$5:$P$1004,MATCH(487,Firms!$U$5:$U$1004,0))&amp;"","")</f>
        <v/>
      </c>
      <c r="H491" s="91">
        <f>IFERROR(INDEX(Firms!$T$5:$T$1004,MATCH(487,Firms!$U$5:$U$1004,0))&amp;"","")</f>
        <v/>
      </c>
    </row>
    <row r="492">
      <c r="A492" s="79">
        <f>IF(B492="","",488)</f>
        <v/>
      </c>
      <c r="B492" s="91">
        <f>IFERROR(INDEX(Firms!$A$5:$A$1004,MATCH(488,Firms!$U$5:$U$1004,0))&amp;"","")</f>
        <v/>
      </c>
      <c r="C492" s="88">
        <f>IFERROR(IF(INDEX(Firms!$R$5:$R$1004,MATCH(488,Firms!$U$5:$U$1004,0))="","",INDEX(Firms!$R$5:$R$1004,MATCH(488,Firms!$U$5:$U$1004,0))),"")</f>
        <v/>
      </c>
      <c r="D492" s="91">
        <f>IFERROR(INDEX(Firms!$S$5:$S$1004,MATCH(488,Firms!$U$5:$U$1004,0))&amp;"","")</f>
        <v/>
      </c>
      <c r="E492" s="91">
        <f>IFERROR(INDEX(Firms!$C$5:$C$1004,MATCH(488,Firms!$U$5:$U$1004,0))&amp;"","")</f>
        <v/>
      </c>
      <c r="F492" s="79">
        <f>IFERROR(INDEX(Firms!$N$5:$N$1004,MATCH(488,Firms!$U$5:$U$1004,0))&amp;"","")</f>
        <v/>
      </c>
      <c r="G492" s="79">
        <f>IFERROR(INDEX(Firms!$P$5:$P$1004,MATCH(488,Firms!$U$5:$U$1004,0))&amp;"","")</f>
        <v/>
      </c>
      <c r="H492" s="91">
        <f>IFERROR(INDEX(Firms!$T$5:$T$1004,MATCH(488,Firms!$U$5:$U$1004,0))&amp;"","")</f>
        <v/>
      </c>
    </row>
    <row r="493">
      <c r="A493" s="79">
        <f>IF(B493="","",489)</f>
        <v/>
      </c>
      <c r="B493" s="91">
        <f>IFERROR(INDEX(Firms!$A$5:$A$1004,MATCH(489,Firms!$U$5:$U$1004,0))&amp;"","")</f>
        <v/>
      </c>
      <c r="C493" s="88">
        <f>IFERROR(IF(INDEX(Firms!$R$5:$R$1004,MATCH(489,Firms!$U$5:$U$1004,0))="","",INDEX(Firms!$R$5:$R$1004,MATCH(489,Firms!$U$5:$U$1004,0))),"")</f>
        <v/>
      </c>
      <c r="D493" s="91">
        <f>IFERROR(INDEX(Firms!$S$5:$S$1004,MATCH(489,Firms!$U$5:$U$1004,0))&amp;"","")</f>
        <v/>
      </c>
      <c r="E493" s="91">
        <f>IFERROR(INDEX(Firms!$C$5:$C$1004,MATCH(489,Firms!$U$5:$U$1004,0))&amp;"","")</f>
        <v/>
      </c>
      <c r="F493" s="79">
        <f>IFERROR(INDEX(Firms!$N$5:$N$1004,MATCH(489,Firms!$U$5:$U$1004,0))&amp;"","")</f>
        <v/>
      </c>
      <c r="G493" s="79">
        <f>IFERROR(INDEX(Firms!$P$5:$P$1004,MATCH(489,Firms!$U$5:$U$1004,0))&amp;"","")</f>
        <v/>
      </c>
      <c r="H493" s="91">
        <f>IFERROR(INDEX(Firms!$T$5:$T$1004,MATCH(489,Firms!$U$5:$U$1004,0))&amp;"","")</f>
        <v/>
      </c>
    </row>
    <row r="494">
      <c r="A494" s="79">
        <f>IF(B494="","",490)</f>
        <v/>
      </c>
      <c r="B494" s="91">
        <f>IFERROR(INDEX(Firms!$A$5:$A$1004,MATCH(490,Firms!$U$5:$U$1004,0))&amp;"","")</f>
        <v/>
      </c>
      <c r="C494" s="88">
        <f>IFERROR(IF(INDEX(Firms!$R$5:$R$1004,MATCH(490,Firms!$U$5:$U$1004,0))="","",INDEX(Firms!$R$5:$R$1004,MATCH(490,Firms!$U$5:$U$1004,0))),"")</f>
        <v/>
      </c>
      <c r="D494" s="91">
        <f>IFERROR(INDEX(Firms!$S$5:$S$1004,MATCH(490,Firms!$U$5:$U$1004,0))&amp;"","")</f>
        <v/>
      </c>
      <c r="E494" s="91">
        <f>IFERROR(INDEX(Firms!$C$5:$C$1004,MATCH(490,Firms!$U$5:$U$1004,0))&amp;"","")</f>
        <v/>
      </c>
      <c r="F494" s="79">
        <f>IFERROR(INDEX(Firms!$N$5:$N$1004,MATCH(490,Firms!$U$5:$U$1004,0))&amp;"","")</f>
        <v/>
      </c>
      <c r="G494" s="79">
        <f>IFERROR(INDEX(Firms!$P$5:$P$1004,MATCH(490,Firms!$U$5:$U$1004,0))&amp;"","")</f>
        <v/>
      </c>
      <c r="H494" s="91">
        <f>IFERROR(INDEX(Firms!$T$5:$T$1004,MATCH(490,Firms!$U$5:$U$1004,0))&amp;"","")</f>
        <v/>
      </c>
    </row>
    <row r="495">
      <c r="A495" s="79">
        <f>IF(B495="","",491)</f>
        <v/>
      </c>
      <c r="B495" s="91">
        <f>IFERROR(INDEX(Firms!$A$5:$A$1004,MATCH(491,Firms!$U$5:$U$1004,0))&amp;"","")</f>
        <v/>
      </c>
      <c r="C495" s="88">
        <f>IFERROR(IF(INDEX(Firms!$R$5:$R$1004,MATCH(491,Firms!$U$5:$U$1004,0))="","",INDEX(Firms!$R$5:$R$1004,MATCH(491,Firms!$U$5:$U$1004,0))),"")</f>
        <v/>
      </c>
      <c r="D495" s="91">
        <f>IFERROR(INDEX(Firms!$S$5:$S$1004,MATCH(491,Firms!$U$5:$U$1004,0))&amp;"","")</f>
        <v/>
      </c>
      <c r="E495" s="91">
        <f>IFERROR(INDEX(Firms!$C$5:$C$1004,MATCH(491,Firms!$U$5:$U$1004,0))&amp;"","")</f>
        <v/>
      </c>
      <c r="F495" s="79">
        <f>IFERROR(INDEX(Firms!$N$5:$N$1004,MATCH(491,Firms!$U$5:$U$1004,0))&amp;"","")</f>
        <v/>
      </c>
      <c r="G495" s="79">
        <f>IFERROR(INDEX(Firms!$P$5:$P$1004,MATCH(491,Firms!$U$5:$U$1004,0))&amp;"","")</f>
        <v/>
      </c>
      <c r="H495" s="91">
        <f>IFERROR(INDEX(Firms!$T$5:$T$1004,MATCH(491,Firms!$U$5:$U$1004,0))&amp;"","")</f>
        <v/>
      </c>
    </row>
    <row r="496">
      <c r="A496" s="79">
        <f>IF(B496="","",492)</f>
        <v/>
      </c>
      <c r="B496" s="91">
        <f>IFERROR(INDEX(Firms!$A$5:$A$1004,MATCH(492,Firms!$U$5:$U$1004,0))&amp;"","")</f>
        <v/>
      </c>
      <c r="C496" s="88">
        <f>IFERROR(IF(INDEX(Firms!$R$5:$R$1004,MATCH(492,Firms!$U$5:$U$1004,0))="","",INDEX(Firms!$R$5:$R$1004,MATCH(492,Firms!$U$5:$U$1004,0))),"")</f>
        <v/>
      </c>
      <c r="D496" s="91">
        <f>IFERROR(INDEX(Firms!$S$5:$S$1004,MATCH(492,Firms!$U$5:$U$1004,0))&amp;"","")</f>
        <v/>
      </c>
      <c r="E496" s="91">
        <f>IFERROR(INDEX(Firms!$C$5:$C$1004,MATCH(492,Firms!$U$5:$U$1004,0))&amp;"","")</f>
        <v/>
      </c>
      <c r="F496" s="79">
        <f>IFERROR(INDEX(Firms!$N$5:$N$1004,MATCH(492,Firms!$U$5:$U$1004,0))&amp;"","")</f>
        <v/>
      </c>
      <c r="G496" s="79">
        <f>IFERROR(INDEX(Firms!$P$5:$P$1004,MATCH(492,Firms!$U$5:$U$1004,0))&amp;"","")</f>
        <v/>
      </c>
      <c r="H496" s="91">
        <f>IFERROR(INDEX(Firms!$T$5:$T$1004,MATCH(492,Firms!$U$5:$U$1004,0))&amp;"","")</f>
        <v/>
      </c>
    </row>
    <row r="497">
      <c r="A497" s="79">
        <f>IF(B497="","",493)</f>
        <v/>
      </c>
      <c r="B497" s="91">
        <f>IFERROR(INDEX(Firms!$A$5:$A$1004,MATCH(493,Firms!$U$5:$U$1004,0))&amp;"","")</f>
        <v/>
      </c>
      <c r="C497" s="88">
        <f>IFERROR(IF(INDEX(Firms!$R$5:$R$1004,MATCH(493,Firms!$U$5:$U$1004,0))="","",INDEX(Firms!$R$5:$R$1004,MATCH(493,Firms!$U$5:$U$1004,0))),"")</f>
        <v/>
      </c>
      <c r="D497" s="91">
        <f>IFERROR(INDEX(Firms!$S$5:$S$1004,MATCH(493,Firms!$U$5:$U$1004,0))&amp;"","")</f>
        <v/>
      </c>
      <c r="E497" s="91">
        <f>IFERROR(INDEX(Firms!$C$5:$C$1004,MATCH(493,Firms!$U$5:$U$1004,0))&amp;"","")</f>
        <v/>
      </c>
      <c r="F497" s="79">
        <f>IFERROR(INDEX(Firms!$N$5:$N$1004,MATCH(493,Firms!$U$5:$U$1004,0))&amp;"","")</f>
        <v/>
      </c>
      <c r="G497" s="79">
        <f>IFERROR(INDEX(Firms!$P$5:$P$1004,MATCH(493,Firms!$U$5:$U$1004,0))&amp;"","")</f>
        <v/>
      </c>
      <c r="H497" s="91">
        <f>IFERROR(INDEX(Firms!$T$5:$T$1004,MATCH(493,Firms!$U$5:$U$1004,0))&amp;"","")</f>
        <v/>
      </c>
    </row>
    <row r="498">
      <c r="A498" s="79">
        <f>IF(B498="","",494)</f>
        <v/>
      </c>
      <c r="B498" s="91">
        <f>IFERROR(INDEX(Firms!$A$5:$A$1004,MATCH(494,Firms!$U$5:$U$1004,0))&amp;"","")</f>
        <v/>
      </c>
      <c r="C498" s="88">
        <f>IFERROR(IF(INDEX(Firms!$R$5:$R$1004,MATCH(494,Firms!$U$5:$U$1004,0))="","",INDEX(Firms!$R$5:$R$1004,MATCH(494,Firms!$U$5:$U$1004,0))),"")</f>
        <v/>
      </c>
      <c r="D498" s="91">
        <f>IFERROR(INDEX(Firms!$S$5:$S$1004,MATCH(494,Firms!$U$5:$U$1004,0))&amp;"","")</f>
        <v/>
      </c>
      <c r="E498" s="91">
        <f>IFERROR(INDEX(Firms!$C$5:$C$1004,MATCH(494,Firms!$U$5:$U$1004,0))&amp;"","")</f>
        <v/>
      </c>
      <c r="F498" s="79">
        <f>IFERROR(INDEX(Firms!$N$5:$N$1004,MATCH(494,Firms!$U$5:$U$1004,0))&amp;"","")</f>
        <v/>
      </c>
      <c r="G498" s="79">
        <f>IFERROR(INDEX(Firms!$P$5:$P$1004,MATCH(494,Firms!$U$5:$U$1004,0))&amp;"","")</f>
        <v/>
      </c>
      <c r="H498" s="91">
        <f>IFERROR(INDEX(Firms!$T$5:$T$1004,MATCH(494,Firms!$U$5:$U$1004,0))&amp;"","")</f>
        <v/>
      </c>
    </row>
    <row r="499">
      <c r="A499" s="79">
        <f>IF(B499="","",495)</f>
        <v/>
      </c>
      <c r="B499" s="91">
        <f>IFERROR(INDEX(Firms!$A$5:$A$1004,MATCH(495,Firms!$U$5:$U$1004,0))&amp;"","")</f>
        <v/>
      </c>
      <c r="C499" s="88">
        <f>IFERROR(IF(INDEX(Firms!$R$5:$R$1004,MATCH(495,Firms!$U$5:$U$1004,0))="","",INDEX(Firms!$R$5:$R$1004,MATCH(495,Firms!$U$5:$U$1004,0))),"")</f>
        <v/>
      </c>
      <c r="D499" s="91">
        <f>IFERROR(INDEX(Firms!$S$5:$S$1004,MATCH(495,Firms!$U$5:$U$1004,0))&amp;"","")</f>
        <v/>
      </c>
      <c r="E499" s="91">
        <f>IFERROR(INDEX(Firms!$C$5:$C$1004,MATCH(495,Firms!$U$5:$U$1004,0))&amp;"","")</f>
        <v/>
      </c>
      <c r="F499" s="79">
        <f>IFERROR(INDEX(Firms!$N$5:$N$1004,MATCH(495,Firms!$U$5:$U$1004,0))&amp;"","")</f>
        <v/>
      </c>
      <c r="G499" s="79">
        <f>IFERROR(INDEX(Firms!$P$5:$P$1004,MATCH(495,Firms!$U$5:$U$1004,0))&amp;"","")</f>
        <v/>
      </c>
      <c r="H499" s="91">
        <f>IFERROR(INDEX(Firms!$T$5:$T$1004,MATCH(495,Firms!$U$5:$U$1004,0))&amp;"","")</f>
        <v/>
      </c>
    </row>
    <row r="500">
      <c r="A500" s="79">
        <f>IF(B500="","",496)</f>
        <v/>
      </c>
      <c r="B500" s="91">
        <f>IFERROR(INDEX(Firms!$A$5:$A$1004,MATCH(496,Firms!$U$5:$U$1004,0))&amp;"","")</f>
        <v/>
      </c>
      <c r="C500" s="88">
        <f>IFERROR(IF(INDEX(Firms!$R$5:$R$1004,MATCH(496,Firms!$U$5:$U$1004,0))="","",INDEX(Firms!$R$5:$R$1004,MATCH(496,Firms!$U$5:$U$1004,0))),"")</f>
        <v/>
      </c>
      <c r="D500" s="91">
        <f>IFERROR(INDEX(Firms!$S$5:$S$1004,MATCH(496,Firms!$U$5:$U$1004,0))&amp;"","")</f>
        <v/>
      </c>
      <c r="E500" s="91">
        <f>IFERROR(INDEX(Firms!$C$5:$C$1004,MATCH(496,Firms!$U$5:$U$1004,0))&amp;"","")</f>
        <v/>
      </c>
      <c r="F500" s="79">
        <f>IFERROR(INDEX(Firms!$N$5:$N$1004,MATCH(496,Firms!$U$5:$U$1004,0))&amp;"","")</f>
        <v/>
      </c>
      <c r="G500" s="79">
        <f>IFERROR(INDEX(Firms!$P$5:$P$1004,MATCH(496,Firms!$U$5:$U$1004,0))&amp;"","")</f>
        <v/>
      </c>
      <c r="H500" s="91">
        <f>IFERROR(INDEX(Firms!$T$5:$T$1004,MATCH(496,Firms!$U$5:$U$1004,0))&amp;"","")</f>
        <v/>
      </c>
    </row>
    <row r="501">
      <c r="A501" s="79">
        <f>IF(B501="","",497)</f>
        <v/>
      </c>
      <c r="B501" s="91">
        <f>IFERROR(INDEX(Firms!$A$5:$A$1004,MATCH(497,Firms!$U$5:$U$1004,0))&amp;"","")</f>
        <v/>
      </c>
      <c r="C501" s="88">
        <f>IFERROR(IF(INDEX(Firms!$R$5:$R$1004,MATCH(497,Firms!$U$5:$U$1004,0))="","",INDEX(Firms!$R$5:$R$1004,MATCH(497,Firms!$U$5:$U$1004,0))),"")</f>
        <v/>
      </c>
      <c r="D501" s="91">
        <f>IFERROR(INDEX(Firms!$S$5:$S$1004,MATCH(497,Firms!$U$5:$U$1004,0))&amp;"","")</f>
        <v/>
      </c>
      <c r="E501" s="91">
        <f>IFERROR(INDEX(Firms!$C$5:$C$1004,MATCH(497,Firms!$U$5:$U$1004,0))&amp;"","")</f>
        <v/>
      </c>
      <c r="F501" s="79">
        <f>IFERROR(INDEX(Firms!$N$5:$N$1004,MATCH(497,Firms!$U$5:$U$1004,0))&amp;"","")</f>
        <v/>
      </c>
      <c r="G501" s="79">
        <f>IFERROR(INDEX(Firms!$P$5:$P$1004,MATCH(497,Firms!$U$5:$U$1004,0))&amp;"","")</f>
        <v/>
      </c>
      <c r="H501" s="91">
        <f>IFERROR(INDEX(Firms!$T$5:$T$1004,MATCH(497,Firms!$U$5:$U$1004,0))&amp;"","")</f>
        <v/>
      </c>
    </row>
    <row r="502">
      <c r="A502" s="79">
        <f>IF(B502="","",498)</f>
        <v/>
      </c>
      <c r="B502" s="91">
        <f>IFERROR(INDEX(Firms!$A$5:$A$1004,MATCH(498,Firms!$U$5:$U$1004,0))&amp;"","")</f>
        <v/>
      </c>
      <c r="C502" s="88">
        <f>IFERROR(IF(INDEX(Firms!$R$5:$R$1004,MATCH(498,Firms!$U$5:$U$1004,0))="","",INDEX(Firms!$R$5:$R$1004,MATCH(498,Firms!$U$5:$U$1004,0))),"")</f>
        <v/>
      </c>
      <c r="D502" s="91">
        <f>IFERROR(INDEX(Firms!$S$5:$S$1004,MATCH(498,Firms!$U$5:$U$1004,0))&amp;"","")</f>
        <v/>
      </c>
      <c r="E502" s="91">
        <f>IFERROR(INDEX(Firms!$C$5:$C$1004,MATCH(498,Firms!$U$5:$U$1004,0))&amp;"","")</f>
        <v/>
      </c>
      <c r="F502" s="79">
        <f>IFERROR(INDEX(Firms!$N$5:$N$1004,MATCH(498,Firms!$U$5:$U$1004,0))&amp;"","")</f>
        <v/>
      </c>
      <c r="G502" s="79">
        <f>IFERROR(INDEX(Firms!$P$5:$P$1004,MATCH(498,Firms!$U$5:$U$1004,0))&amp;"","")</f>
        <v/>
      </c>
      <c r="H502" s="91">
        <f>IFERROR(INDEX(Firms!$T$5:$T$1004,MATCH(498,Firms!$U$5:$U$1004,0))&amp;"","")</f>
        <v/>
      </c>
    </row>
    <row r="503">
      <c r="A503" s="79">
        <f>IF(B503="","",499)</f>
        <v/>
      </c>
      <c r="B503" s="91">
        <f>IFERROR(INDEX(Firms!$A$5:$A$1004,MATCH(499,Firms!$U$5:$U$1004,0))&amp;"","")</f>
        <v/>
      </c>
      <c r="C503" s="88">
        <f>IFERROR(IF(INDEX(Firms!$R$5:$R$1004,MATCH(499,Firms!$U$5:$U$1004,0))="","",INDEX(Firms!$R$5:$R$1004,MATCH(499,Firms!$U$5:$U$1004,0))),"")</f>
        <v/>
      </c>
      <c r="D503" s="91">
        <f>IFERROR(INDEX(Firms!$S$5:$S$1004,MATCH(499,Firms!$U$5:$U$1004,0))&amp;"","")</f>
        <v/>
      </c>
      <c r="E503" s="91">
        <f>IFERROR(INDEX(Firms!$C$5:$C$1004,MATCH(499,Firms!$U$5:$U$1004,0))&amp;"","")</f>
        <v/>
      </c>
      <c r="F503" s="79">
        <f>IFERROR(INDEX(Firms!$N$5:$N$1004,MATCH(499,Firms!$U$5:$U$1004,0))&amp;"","")</f>
        <v/>
      </c>
      <c r="G503" s="79">
        <f>IFERROR(INDEX(Firms!$P$5:$P$1004,MATCH(499,Firms!$U$5:$U$1004,0))&amp;"","")</f>
        <v/>
      </c>
      <c r="H503" s="91">
        <f>IFERROR(INDEX(Firms!$T$5:$T$1004,MATCH(499,Firms!$U$5:$U$1004,0))&amp;"","")</f>
        <v/>
      </c>
    </row>
    <row r="504">
      <c r="A504" s="79">
        <f>IF(B504="","",500)</f>
        <v/>
      </c>
      <c r="B504" s="91">
        <f>IFERROR(INDEX(Firms!$A$5:$A$1004,MATCH(500,Firms!$U$5:$U$1004,0))&amp;"","")</f>
        <v/>
      </c>
      <c r="C504" s="88">
        <f>IFERROR(IF(INDEX(Firms!$R$5:$R$1004,MATCH(500,Firms!$U$5:$U$1004,0))="","",INDEX(Firms!$R$5:$R$1004,MATCH(500,Firms!$U$5:$U$1004,0))),"")</f>
        <v/>
      </c>
      <c r="D504" s="91">
        <f>IFERROR(INDEX(Firms!$S$5:$S$1004,MATCH(500,Firms!$U$5:$U$1004,0))&amp;"","")</f>
        <v/>
      </c>
      <c r="E504" s="91">
        <f>IFERROR(INDEX(Firms!$C$5:$C$1004,MATCH(500,Firms!$U$5:$U$1004,0))&amp;"","")</f>
        <v/>
      </c>
      <c r="F504" s="79">
        <f>IFERROR(INDEX(Firms!$N$5:$N$1004,MATCH(500,Firms!$U$5:$U$1004,0))&amp;"","")</f>
        <v/>
      </c>
      <c r="G504" s="79">
        <f>IFERROR(INDEX(Firms!$P$5:$P$1004,MATCH(500,Firms!$U$5:$U$1004,0))&amp;"","")</f>
        <v/>
      </c>
      <c r="H504" s="91">
        <f>IFERROR(INDEX(Firms!$T$5:$T$1004,MATCH(500,Firms!$U$5:$U$1004,0))&amp;"","")</f>
        <v/>
      </c>
    </row>
    <row r="505">
      <c r="A505" s="79">
        <f>IF(B505="","",501)</f>
        <v/>
      </c>
      <c r="B505" s="91">
        <f>IFERROR(INDEX(Firms!$A$5:$A$1004,MATCH(501,Firms!$U$5:$U$1004,0))&amp;"","")</f>
        <v/>
      </c>
      <c r="C505" s="88">
        <f>IFERROR(IF(INDEX(Firms!$R$5:$R$1004,MATCH(501,Firms!$U$5:$U$1004,0))="","",INDEX(Firms!$R$5:$R$1004,MATCH(501,Firms!$U$5:$U$1004,0))),"")</f>
        <v/>
      </c>
      <c r="D505" s="91">
        <f>IFERROR(INDEX(Firms!$S$5:$S$1004,MATCH(501,Firms!$U$5:$U$1004,0))&amp;"","")</f>
        <v/>
      </c>
      <c r="E505" s="91">
        <f>IFERROR(INDEX(Firms!$C$5:$C$1004,MATCH(501,Firms!$U$5:$U$1004,0))&amp;"","")</f>
        <v/>
      </c>
      <c r="F505" s="79">
        <f>IFERROR(INDEX(Firms!$N$5:$N$1004,MATCH(501,Firms!$U$5:$U$1004,0))&amp;"","")</f>
        <v/>
      </c>
      <c r="G505" s="79">
        <f>IFERROR(INDEX(Firms!$P$5:$P$1004,MATCH(501,Firms!$U$5:$U$1004,0))&amp;"","")</f>
        <v/>
      </c>
      <c r="H505" s="91">
        <f>IFERROR(INDEX(Firms!$T$5:$T$1004,MATCH(501,Firms!$U$5:$U$1004,0))&amp;"","")</f>
        <v/>
      </c>
    </row>
    <row r="506">
      <c r="A506" s="79">
        <f>IF(B506="","",502)</f>
        <v/>
      </c>
      <c r="B506" s="91">
        <f>IFERROR(INDEX(Firms!$A$5:$A$1004,MATCH(502,Firms!$U$5:$U$1004,0))&amp;"","")</f>
        <v/>
      </c>
      <c r="C506" s="88">
        <f>IFERROR(IF(INDEX(Firms!$R$5:$R$1004,MATCH(502,Firms!$U$5:$U$1004,0))="","",INDEX(Firms!$R$5:$R$1004,MATCH(502,Firms!$U$5:$U$1004,0))),"")</f>
        <v/>
      </c>
      <c r="D506" s="91">
        <f>IFERROR(INDEX(Firms!$S$5:$S$1004,MATCH(502,Firms!$U$5:$U$1004,0))&amp;"","")</f>
        <v/>
      </c>
      <c r="E506" s="91">
        <f>IFERROR(INDEX(Firms!$C$5:$C$1004,MATCH(502,Firms!$U$5:$U$1004,0))&amp;"","")</f>
        <v/>
      </c>
      <c r="F506" s="79">
        <f>IFERROR(INDEX(Firms!$N$5:$N$1004,MATCH(502,Firms!$U$5:$U$1004,0))&amp;"","")</f>
        <v/>
      </c>
      <c r="G506" s="79">
        <f>IFERROR(INDEX(Firms!$P$5:$P$1004,MATCH(502,Firms!$U$5:$U$1004,0))&amp;"","")</f>
        <v/>
      </c>
      <c r="H506" s="91">
        <f>IFERROR(INDEX(Firms!$T$5:$T$1004,MATCH(502,Firms!$U$5:$U$1004,0))&amp;"","")</f>
        <v/>
      </c>
    </row>
    <row r="507">
      <c r="A507" s="79">
        <f>IF(B507="","",503)</f>
        <v/>
      </c>
      <c r="B507" s="91">
        <f>IFERROR(INDEX(Firms!$A$5:$A$1004,MATCH(503,Firms!$U$5:$U$1004,0))&amp;"","")</f>
        <v/>
      </c>
      <c r="C507" s="88">
        <f>IFERROR(IF(INDEX(Firms!$R$5:$R$1004,MATCH(503,Firms!$U$5:$U$1004,0))="","",INDEX(Firms!$R$5:$R$1004,MATCH(503,Firms!$U$5:$U$1004,0))),"")</f>
        <v/>
      </c>
      <c r="D507" s="91">
        <f>IFERROR(INDEX(Firms!$S$5:$S$1004,MATCH(503,Firms!$U$5:$U$1004,0))&amp;"","")</f>
        <v/>
      </c>
      <c r="E507" s="91">
        <f>IFERROR(INDEX(Firms!$C$5:$C$1004,MATCH(503,Firms!$U$5:$U$1004,0))&amp;"","")</f>
        <v/>
      </c>
      <c r="F507" s="79">
        <f>IFERROR(INDEX(Firms!$N$5:$N$1004,MATCH(503,Firms!$U$5:$U$1004,0))&amp;"","")</f>
        <v/>
      </c>
      <c r="G507" s="79">
        <f>IFERROR(INDEX(Firms!$P$5:$P$1004,MATCH(503,Firms!$U$5:$U$1004,0))&amp;"","")</f>
        <v/>
      </c>
      <c r="H507" s="91">
        <f>IFERROR(INDEX(Firms!$T$5:$T$1004,MATCH(503,Firms!$U$5:$U$1004,0))&amp;"","")</f>
        <v/>
      </c>
    </row>
    <row r="508">
      <c r="A508" s="79">
        <f>IF(B508="","",504)</f>
        <v/>
      </c>
      <c r="B508" s="91">
        <f>IFERROR(INDEX(Firms!$A$5:$A$1004,MATCH(504,Firms!$U$5:$U$1004,0))&amp;"","")</f>
        <v/>
      </c>
      <c r="C508" s="88">
        <f>IFERROR(IF(INDEX(Firms!$R$5:$R$1004,MATCH(504,Firms!$U$5:$U$1004,0))="","",INDEX(Firms!$R$5:$R$1004,MATCH(504,Firms!$U$5:$U$1004,0))),"")</f>
        <v/>
      </c>
      <c r="D508" s="91">
        <f>IFERROR(INDEX(Firms!$S$5:$S$1004,MATCH(504,Firms!$U$5:$U$1004,0))&amp;"","")</f>
        <v/>
      </c>
      <c r="E508" s="91">
        <f>IFERROR(INDEX(Firms!$C$5:$C$1004,MATCH(504,Firms!$U$5:$U$1004,0))&amp;"","")</f>
        <v/>
      </c>
      <c r="F508" s="79">
        <f>IFERROR(INDEX(Firms!$N$5:$N$1004,MATCH(504,Firms!$U$5:$U$1004,0))&amp;"","")</f>
        <v/>
      </c>
      <c r="G508" s="79">
        <f>IFERROR(INDEX(Firms!$P$5:$P$1004,MATCH(504,Firms!$U$5:$U$1004,0))&amp;"","")</f>
        <v/>
      </c>
      <c r="H508" s="91">
        <f>IFERROR(INDEX(Firms!$T$5:$T$1004,MATCH(504,Firms!$U$5:$U$1004,0))&amp;"","")</f>
        <v/>
      </c>
    </row>
    <row r="509">
      <c r="A509" s="79">
        <f>IF(B509="","",505)</f>
        <v/>
      </c>
      <c r="B509" s="91">
        <f>IFERROR(INDEX(Firms!$A$5:$A$1004,MATCH(505,Firms!$U$5:$U$1004,0))&amp;"","")</f>
        <v/>
      </c>
      <c r="C509" s="88">
        <f>IFERROR(IF(INDEX(Firms!$R$5:$R$1004,MATCH(505,Firms!$U$5:$U$1004,0))="","",INDEX(Firms!$R$5:$R$1004,MATCH(505,Firms!$U$5:$U$1004,0))),"")</f>
        <v/>
      </c>
      <c r="D509" s="91">
        <f>IFERROR(INDEX(Firms!$S$5:$S$1004,MATCH(505,Firms!$U$5:$U$1004,0))&amp;"","")</f>
        <v/>
      </c>
      <c r="E509" s="91">
        <f>IFERROR(INDEX(Firms!$C$5:$C$1004,MATCH(505,Firms!$U$5:$U$1004,0))&amp;"","")</f>
        <v/>
      </c>
      <c r="F509" s="79">
        <f>IFERROR(INDEX(Firms!$N$5:$N$1004,MATCH(505,Firms!$U$5:$U$1004,0))&amp;"","")</f>
        <v/>
      </c>
      <c r="G509" s="79">
        <f>IFERROR(INDEX(Firms!$P$5:$P$1004,MATCH(505,Firms!$U$5:$U$1004,0))&amp;"","")</f>
        <v/>
      </c>
      <c r="H509" s="91">
        <f>IFERROR(INDEX(Firms!$T$5:$T$1004,MATCH(505,Firms!$U$5:$U$1004,0))&amp;"","")</f>
        <v/>
      </c>
    </row>
    <row r="510">
      <c r="A510" s="79">
        <f>IF(B510="","",506)</f>
        <v/>
      </c>
      <c r="B510" s="91">
        <f>IFERROR(INDEX(Firms!$A$5:$A$1004,MATCH(506,Firms!$U$5:$U$1004,0))&amp;"","")</f>
        <v/>
      </c>
      <c r="C510" s="88">
        <f>IFERROR(IF(INDEX(Firms!$R$5:$R$1004,MATCH(506,Firms!$U$5:$U$1004,0))="","",INDEX(Firms!$R$5:$R$1004,MATCH(506,Firms!$U$5:$U$1004,0))),"")</f>
        <v/>
      </c>
      <c r="D510" s="91">
        <f>IFERROR(INDEX(Firms!$S$5:$S$1004,MATCH(506,Firms!$U$5:$U$1004,0))&amp;"","")</f>
        <v/>
      </c>
      <c r="E510" s="91">
        <f>IFERROR(INDEX(Firms!$C$5:$C$1004,MATCH(506,Firms!$U$5:$U$1004,0))&amp;"","")</f>
        <v/>
      </c>
      <c r="F510" s="79">
        <f>IFERROR(INDEX(Firms!$N$5:$N$1004,MATCH(506,Firms!$U$5:$U$1004,0))&amp;"","")</f>
        <v/>
      </c>
      <c r="G510" s="79">
        <f>IFERROR(INDEX(Firms!$P$5:$P$1004,MATCH(506,Firms!$U$5:$U$1004,0))&amp;"","")</f>
        <v/>
      </c>
      <c r="H510" s="91">
        <f>IFERROR(INDEX(Firms!$T$5:$T$1004,MATCH(506,Firms!$U$5:$U$1004,0))&amp;"","")</f>
        <v/>
      </c>
    </row>
    <row r="511">
      <c r="A511" s="79">
        <f>IF(B511="","",507)</f>
        <v/>
      </c>
      <c r="B511" s="91">
        <f>IFERROR(INDEX(Firms!$A$5:$A$1004,MATCH(507,Firms!$U$5:$U$1004,0))&amp;"","")</f>
        <v/>
      </c>
      <c r="C511" s="88">
        <f>IFERROR(IF(INDEX(Firms!$R$5:$R$1004,MATCH(507,Firms!$U$5:$U$1004,0))="","",INDEX(Firms!$R$5:$R$1004,MATCH(507,Firms!$U$5:$U$1004,0))),"")</f>
        <v/>
      </c>
      <c r="D511" s="91">
        <f>IFERROR(INDEX(Firms!$S$5:$S$1004,MATCH(507,Firms!$U$5:$U$1004,0))&amp;"","")</f>
        <v/>
      </c>
      <c r="E511" s="91">
        <f>IFERROR(INDEX(Firms!$C$5:$C$1004,MATCH(507,Firms!$U$5:$U$1004,0))&amp;"","")</f>
        <v/>
      </c>
      <c r="F511" s="79">
        <f>IFERROR(INDEX(Firms!$N$5:$N$1004,MATCH(507,Firms!$U$5:$U$1004,0))&amp;"","")</f>
        <v/>
      </c>
      <c r="G511" s="79">
        <f>IFERROR(INDEX(Firms!$P$5:$P$1004,MATCH(507,Firms!$U$5:$U$1004,0))&amp;"","")</f>
        <v/>
      </c>
      <c r="H511" s="91">
        <f>IFERROR(INDEX(Firms!$T$5:$T$1004,MATCH(507,Firms!$U$5:$U$1004,0))&amp;"","")</f>
        <v/>
      </c>
    </row>
    <row r="512">
      <c r="A512" s="79">
        <f>IF(B512="","",508)</f>
        <v/>
      </c>
      <c r="B512" s="91">
        <f>IFERROR(INDEX(Firms!$A$5:$A$1004,MATCH(508,Firms!$U$5:$U$1004,0))&amp;"","")</f>
        <v/>
      </c>
      <c r="C512" s="88">
        <f>IFERROR(IF(INDEX(Firms!$R$5:$R$1004,MATCH(508,Firms!$U$5:$U$1004,0))="","",INDEX(Firms!$R$5:$R$1004,MATCH(508,Firms!$U$5:$U$1004,0))),"")</f>
        <v/>
      </c>
      <c r="D512" s="91">
        <f>IFERROR(INDEX(Firms!$S$5:$S$1004,MATCH(508,Firms!$U$5:$U$1004,0))&amp;"","")</f>
        <v/>
      </c>
      <c r="E512" s="91">
        <f>IFERROR(INDEX(Firms!$C$5:$C$1004,MATCH(508,Firms!$U$5:$U$1004,0))&amp;"","")</f>
        <v/>
      </c>
      <c r="F512" s="79">
        <f>IFERROR(INDEX(Firms!$N$5:$N$1004,MATCH(508,Firms!$U$5:$U$1004,0))&amp;"","")</f>
        <v/>
      </c>
      <c r="G512" s="79">
        <f>IFERROR(INDEX(Firms!$P$5:$P$1004,MATCH(508,Firms!$U$5:$U$1004,0))&amp;"","")</f>
        <v/>
      </c>
      <c r="H512" s="91">
        <f>IFERROR(INDEX(Firms!$T$5:$T$1004,MATCH(508,Firms!$U$5:$U$1004,0))&amp;"","")</f>
        <v/>
      </c>
    </row>
    <row r="513">
      <c r="A513" s="79">
        <f>IF(B513="","",509)</f>
        <v/>
      </c>
      <c r="B513" s="91">
        <f>IFERROR(INDEX(Firms!$A$5:$A$1004,MATCH(509,Firms!$U$5:$U$1004,0))&amp;"","")</f>
        <v/>
      </c>
      <c r="C513" s="88">
        <f>IFERROR(IF(INDEX(Firms!$R$5:$R$1004,MATCH(509,Firms!$U$5:$U$1004,0))="","",INDEX(Firms!$R$5:$R$1004,MATCH(509,Firms!$U$5:$U$1004,0))),"")</f>
        <v/>
      </c>
      <c r="D513" s="91">
        <f>IFERROR(INDEX(Firms!$S$5:$S$1004,MATCH(509,Firms!$U$5:$U$1004,0))&amp;"","")</f>
        <v/>
      </c>
      <c r="E513" s="91">
        <f>IFERROR(INDEX(Firms!$C$5:$C$1004,MATCH(509,Firms!$U$5:$U$1004,0))&amp;"","")</f>
        <v/>
      </c>
      <c r="F513" s="79">
        <f>IFERROR(INDEX(Firms!$N$5:$N$1004,MATCH(509,Firms!$U$5:$U$1004,0))&amp;"","")</f>
        <v/>
      </c>
      <c r="G513" s="79">
        <f>IFERROR(INDEX(Firms!$P$5:$P$1004,MATCH(509,Firms!$U$5:$U$1004,0))&amp;"","")</f>
        <v/>
      </c>
      <c r="H513" s="91">
        <f>IFERROR(INDEX(Firms!$T$5:$T$1004,MATCH(509,Firms!$U$5:$U$1004,0))&amp;"","")</f>
        <v/>
      </c>
    </row>
    <row r="514">
      <c r="A514" s="79">
        <f>IF(B514="","",510)</f>
        <v/>
      </c>
      <c r="B514" s="91">
        <f>IFERROR(INDEX(Firms!$A$5:$A$1004,MATCH(510,Firms!$U$5:$U$1004,0))&amp;"","")</f>
        <v/>
      </c>
      <c r="C514" s="88">
        <f>IFERROR(IF(INDEX(Firms!$R$5:$R$1004,MATCH(510,Firms!$U$5:$U$1004,0))="","",INDEX(Firms!$R$5:$R$1004,MATCH(510,Firms!$U$5:$U$1004,0))),"")</f>
        <v/>
      </c>
      <c r="D514" s="91">
        <f>IFERROR(INDEX(Firms!$S$5:$S$1004,MATCH(510,Firms!$U$5:$U$1004,0))&amp;"","")</f>
        <v/>
      </c>
      <c r="E514" s="91">
        <f>IFERROR(INDEX(Firms!$C$5:$C$1004,MATCH(510,Firms!$U$5:$U$1004,0))&amp;"","")</f>
        <v/>
      </c>
      <c r="F514" s="79">
        <f>IFERROR(INDEX(Firms!$N$5:$N$1004,MATCH(510,Firms!$U$5:$U$1004,0))&amp;"","")</f>
        <v/>
      </c>
      <c r="G514" s="79">
        <f>IFERROR(INDEX(Firms!$P$5:$P$1004,MATCH(510,Firms!$U$5:$U$1004,0))&amp;"","")</f>
        <v/>
      </c>
      <c r="H514" s="91">
        <f>IFERROR(INDEX(Firms!$T$5:$T$1004,MATCH(510,Firms!$U$5:$U$1004,0))&amp;"","")</f>
        <v/>
      </c>
    </row>
    <row r="515">
      <c r="A515" s="79">
        <f>IF(B515="","",511)</f>
        <v/>
      </c>
      <c r="B515" s="91">
        <f>IFERROR(INDEX(Firms!$A$5:$A$1004,MATCH(511,Firms!$U$5:$U$1004,0))&amp;"","")</f>
        <v/>
      </c>
      <c r="C515" s="88">
        <f>IFERROR(IF(INDEX(Firms!$R$5:$R$1004,MATCH(511,Firms!$U$5:$U$1004,0))="","",INDEX(Firms!$R$5:$R$1004,MATCH(511,Firms!$U$5:$U$1004,0))),"")</f>
        <v/>
      </c>
      <c r="D515" s="91">
        <f>IFERROR(INDEX(Firms!$S$5:$S$1004,MATCH(511,Firms!$U$5:$U$1004,0))&amp;"","")</f>
        <v/>
      </c>
      <c r="E515" s="91">
        <f>IFERROR(INDEX(Firms!$C$5:$C$1004,MATCH(511,Firms!$U$5:$U$1004,0))&amp;"","")</f>
        <v/>
      </c>
      <c r="F515" s="79">
        <f>IFERROR(INDEX(Firms!$N$5:$N$1004,MATCH(511,Firms!$U$5:$U$1004,0))&amp;"","")</f>
        <v/>
      </c>
      <c r="G515" s="79">
        <f>IFERROR(INDEX(Firms!$P$5:$P$1004,MATCH(511,Firms!$U$5:$U$1004,0))&amp;"","")</f>
        <v/>
      </c>
      <c r="H515" s="91">
        <f>IFERROR(INDEX(Firms!$T$5:$T$1004,MATCH(511,Firms!$U$5:$U$1004,0))&amp;"","")</f>
        <v/>
      </c>
    </row>
    <row r="516">
      <c r="A516" s="79">
        <f>IF(B516="","",512)</f>
        <v/>
      </c>
      <c r="B516" s="91">
        <f>IFERROR(INDEX(Firms!$A$5:$A$1004,MATCH(512,Firms!$U$5:$U$1004,0))&amp;"","")</f>
        <v/>
      </c>
      <c r="C516" s="88">
        <f>IFERROR(IF(INDEX(Firms!$R$5:$R$1004,MATCH(512,Firms!$U$5:$U$1004,0))="","",INDEX(Firms!$R$5:$R$1004,MATCH(512,Firms!$U$5:$U$1004,0))),"")</f>
        <v/>
      </c>
      <c r="D516" s="91">
        <f>IFERROR(INDEX(Firms!$S$5:$S$1004,MATCH(512,Firms!$U$5:$U$1004,0))&amp;"","")</f>
        <v/>
      </c>
      <c r="E516" s="91">
        <f>IFERROR(INDEX(Firms!$C$5:$C$1004,MATCH(512,Firms!$U$5:$U$1004,0))&amp;"","")</f>
        <v/>
      </c>
      <c r="F516" s="79">
        <f>IFERROR(INDEX(Firms!$N$5:$N$1004,MATCH(512,Firms!$U$5:$U$1004,0))&amp;"","")</f>
        <v/>
      </c>
      <c r="G516" s="79">
        <f>IFERROR(INDEX(Firms!$P$5:$P$1004,MATCH(512,Firms!$U$5:$U$1004,0))&amp;"","")</f>
        <v/>
      </c>
      <c r="H516" s="91">
        <f>IFERROR(INDEX(Firms!$T$5:$T$1004,MATCH(512,Firms!$U$5:$U$1004,0))&amp;"","")</f>
        <v/>
      </c>
    </row>
    <row r="517">
      <c r="A517" s="79">
        <f>IF(B517="","",513)</f>
        <v/>
      </c>
      <c r="B517" s="91">
        <f>IFERROR(INDEX(Firms!$A$5:$A$1004,MATCH(513,Firms!$U$5:$U$1004,0))&amp;"","")</f>
        <v/>
      </c>
      <c r="C517" s="88">
        <f>IFERROR(IF(INDEX(Firms!$R$5:$R$1004,MATCH(513,Firms!$U$5:$U$1004,0))="","",INDEX(Firms!$R$5:$R$1004,MATCH(513,Firms!$U$5:$U$1004,0))),"")</f>
        <v/>
      </c>
      <c r="D517" s="91">
        <f>IFERROR(INDEX(Firms!$S$5:$S$1004,MATCH(513,Firms!$U$5:$U$1004,0))&amp;"","")</f>
        <v/>
      </c>
      <c r="E517" s="91">
        <f>IFERROR(INDEX(Firms!$C$5:$C$1004,MATCH(513,Firms!$U$5:$U$1004,0))&amp;"","")</f>
        <v/>
      </c>
      <c r="F517" s="79">
        <f>IFERROR(INDEX(Firms!$N$5:$N$1004,MATCH(513,Firms!$U$5:$U$1004,0))&amp;"","")</f>
        <v/>
      </c>
      <c r="G517" s="79">
        <f>IFERROR(INDEX(Firms!$P$5:$P$1004,MATCH(513,Firms!$U$5:$U$1004,0))&amp;"","")</f>
        <v/>
      </c>
      <c r="H517" s="91">
        <f>IFERROR(INDEX(Firms!$T$5:$T$1004,MATCH(513,Firms!$U$5:$U$1004,0))&amp;"","")</f>
        <v/>
      </c>
    </row>
    <row r="518">
      <c r="A518" s="79">
        <f>IF(B518="","",514)</f>
        <v/>
      </c>
      <c r="B518" s="91">
        <f>IFERROR(INDEX(Firms!$A$5:$A$1004,MATCH(514,Firms!$U$5:$U$1004,0))&amp;"","")</f>
        <v/>
      </c>
      <c r="C518" s="88">
        <f>IFERROR(IF(INDEX(Firms!$R$5:$R$1004,MATCH(514,Firms!$U$5:$U$1004,0))="","",INDEX(Firms!$R$5:$R$1004,MATCH(514,Firms!$U$5:$U$1004,0))),"")</f>
        <v/>
      </c>
      <c r="D518" s="91">
        <f>IFERROR(INDEX(Firms!$S$5:$S$1004,MATCH(514,Firms!$U$5:$U$1004,0))&amp;"","")</f>
        <v/>
      </c>
      <c r="E518" s="91">
        <f>IFERROR(INDEX(Firms!$C$5:$C$1004,MATCH(514,Firms!$U$5:$U$1004,0))&amp;"","")</f>
        <v/>
      </c>
      <c r="F518" s="79">
        <f>IFERROR(INDEX(Firms!$N$5:$N$1004,MATCH(514,Firms!$U$5:$U$1004,0))&amp;"","")</f>
        <v/>
      </c>
      <c r="G518" s="79">
        <f>IFERROR(INDEX(Firms!$P$5:$P$1004,MATCH(514,Firms!$U$5:$U$1004,0))&amp;"","")</f>
        <v/>
      </c>
      <c r="H518" s="91">
        <f>IFERROR(INDEX(Firms!$T$5:$T$1004,MATCH(514,Firms!$U$5:$U$1004,0))&amp;"","")</f>
        <v/>
      </c>
    </row>
    <row r="519">
      <c r="A519" s="79">
        <f>IF(B519="","",515)</f>
        <v/>
      </c>
      <c r="B519" s="91">
        <f>IFERROR(INDEX(Firms!$A$5:$A$1004,MATCH(515,Firms!$U$5:$U$1004,0))&amp;"","")</f>
        <v/>
      </c>
      <c r="C519" s="88">
        <f>IFERROR(IF(INDEX(Firms!$R$5:$R$1004,MATCH(515,Firms!$U$5:$U$1004,0))="","",INDEX(Firms!$R$5:$R$1004,MATCH(515,Firms!$U$5:$U$1004,0))),"")</f>
        <v/>
      </c>
      <c r="D519" s="91">
        <f>IFERROR(INDEX(Firms!$S$5:$S$1004,MATCH(515,Firms!$U$5:$U$1004,0))&amp;"","")</f>
        <v/>
      </c>
      <c r="E519" s="91">
        <f>IFERROR(INDEX(Firms!$C$5:$C$1004,MATCH(515,Firms!$U$5:$U$1004,0))&amp;"","")</f>
        <v/>
      </c>
      <c r="F519" s="79">
        <f>IFERROR(INDEX(Firms!$N$5:$N$1004,MATCH(515,Firms!$U$5:$U$1004,0))&amp;"","")</f>
        <v/>
      </c>
      <c r="G519" s="79">
        <f>IFERROR(INDEX(Firms!$P$5:$P$1004,MATCH(515,Firms!$U$5:$U$1004,0))&amp;"","")</f>
        <v/>
      </c>
      <c r="H519" s="91">
        <f>IFERROR(INDEX(Firms!$T$5:$T$1004,MATCH(515,Firms!$U$5:$U$1004,0))&amp;"","")</f>
        <v/>
      </c>
    </row>
    <row r="520">
      <c r="A520" s="79">
        <f>IF(B520="","",516)</f>
        <v/>
      </c>
      <c r="B520" s="91">
        <f>IFERROR(INDEX(Firms!$A$5:$A$1004,MATCH(516,Firms!$U$5:$U$1004,0))&amp;"","")</f>
        <v/>
      </c>
      <c r="C520" s="88">
        <f>IFERROR(IF(INDEX(Firms!$R$5:$R$1004,MATCH(516,Firms!$U$5:$U$1004,0))="","",INDEX(Firms!$R$5:$R$1004,MATCH(516,Firms!$U$5:$U$1004,0))),"")</f>
        <v/>
      </c>
      <c r="D520" s="91">
        <f>IFERROR(INDEX(Firms!$S$5:$S$1004,MATCH(516,Firms!$U$5:$U$1004,0))&amp;"","")</f>
        <v/>
      </c>
      <c r="E520" s="91">
        <f>IFERROR(INDEX(Firms!$C$5:$C$1004,MATCH(516,Firms!$U$5:$U$1004,0))&amp;"","")</f>
        <v/>
      </c>
      <c r="F520" s="79">
        <f>IFERROR(INDEX(Firms!$N$5:$N$1004,MATCH(516,Firms!$U$5:$U$1004,0))&amp;"","")</f>
        <v/>
      </c>
      <c r="G520" s="79">
        <f>IFERROR(INDEX(Firms!$P$5:$P$1004,MATCH(516,Firms!$U$5:$U$1004,0))&amp;"","")</f>
        <v/>
      </c>
      <c r="H520" s="91">
        <f>IFERROR(INDEX(Firms!$T$5:$T$1004,MATCH(516,Firms!$U$5:$U$1004,0))&amp;"","")</f>
        <v/>
      </c>
    </row>
    <row r="521">
      <c r="A521" s="79">
        <f>IF(B521="","",517)</f>
        <v/>
      </c>
      <c r="B521" s="91">
        <f>IFERROR(INDEX(Firms!$A$5:$A$1004,MATCH(517,Firms!$U$5:$U$1004,0))&amp;"","")</f>
        <v/>
      </c>
      <c r="C521" s="88">
        <f>IFERROR(IF(INDEX(Firms!$R$5:$R$1004,MATCH(517,Firms!$U$5:$U$1004,0))="","",INDEX(Firms!$R$5:$R$1004,MATCH(517,Firms!$U$5:$U$1004,0))),"")</f>
        <v/>
      </c>
      <c r="D521" s="91">
        <f>IFERROR(INDEX(Firms!$S$5:$S$1004,MATCH(517,Firms!$U$5:$U$1004,0))&amp;"","")</f>
        <v/>
      </c>
      <c r="E521" s="91">
        <f>IFERROR(INDEX(Firms!$C$5:$C$1004,MATCH(517,Firms!$U$5:$U$1004,0))&amp;"","")</f>
        <v/>
      </c>
      <c r="F521" s="79">
        <f>IFERROR(INDEX(Firms!$N$5:$N$1004,MATCH(517,Firms!$U$5:$U$1004,0))&amp;"","")</f>
        <v/>
      </c>
      <c r="G521" s="79">
        <f>IFERROR(INDEX(Firms!$P$5:$P$1004,MATCH(517,Firms!$U$5:$U$1004,0))&amp;"","")</f>
        <v/>
      </c>
      <c r="H521" s="91">
        <f>IFERROR(INDEX(Firms!$T$5:$T$1004,MATCH(517,Firms!$U$5:$U$1004,0))&amp;"","")</f>
        <v/>
      </c>
    </row>
    <row r="522">
      <c r="A522" s="79">
        <f>IF(B522="","",518)</f>
        <v/>
      </c>
      <c r="B522" s="91">
        <f>IFERROR(INDEX(Firms!$A$5:$A$1004,MATCH(518,Firms!$U$5:$U$1004,0))&amp;"","")</f>
        <v/>
      </c>
      <c r="C522" s="88">
        <f>IFERROR(IF(INDEX(Firms!$R$5:$R$1004,MATCH(518,Firms!$U$5:$U$1004,0))="","",INDEX(Firms!$R$5:$R$1004,MATCH(518,Firms!$U$5:$U$1004,0))),"")</f>
        <v/>
      </c>
      <c r="D522" s="91">
        <f>IFERROR(INDEX(Firms!$S$5:$S$1004,MATCH(518,Firms!$U$5:$U$1004,0))&amp;"","")</f>
        <v/>
      </c>
      <c r="E522" s="91">
        <f>IFERROR(INDEX(Firms!$C$5:$C$1004,MATCH(518,Firms!$U$5:$U$1004,0))&amp;"","")</f>
        <v/>
      </c>
      <c r="F522" s="79">
        <f>IFERROR(INDEX(Firms!$N$5:$N$1004,MATCH(518,Firms!$U$5:$U$1004,0))&amp;"","")</f>
        <v/>
      </c>
      <c r="G522" s="79">
        <f>IFERROR(INDEX(Firms!$P$5:$P$1004,MATCH(518,Firms!$U$5:$U$1004,0))&amp;"","")</f>
        <v/>
      </c>
      <c r="H522" s="91">
        <f>IFERROR(INDEX(Firms!$T$5:$T$1004,MATCH(518,Firms!$U$5:$U$1004,0))&amp;"","")</f>
        <v/>
      </c>
    </row>
    <row r="523">
      <c r="A523" s="79">
        <f>IF(B523="","",519)</f>
        <v/>
      </c>
      <c r="B523" s="91">
        <f>IFERROR(INDEX(Firms!$A$5:$A$1004,MATCH(519,Firms!$U$5:$U$1004,0))&amp;"","")</f>
        <v/>
      </c>
      <c r="C523" s="88">
        <f>IFERROR(IF(INDEX(Firms!$R$5:$R$1004,MATCH(519,Firms!$U$5:$U$1004,0))="","",INDEX(Firms!$R$5:$R$1004,MATCH(519,Firms!$U$5:$U$1004,0))),"")</f>
        <v/>
      </c>
      <c r="D523" s="91">
        <f>IFERROR(INDEX(Firms!$S$5:$S$1004,MATCH(519,Firms!$U$5:$U$1004,0))&amp;"","")</f>
        <v/>
      </c>
      <c r="E523" s="91">
        <f>IFERROR(INDEX(Firms!$C$5:$C$1004,MATCH(519,Firms!$U$5:$U$1004,0))&amp;"","")</f>
        <v/>
      </c>
      <c r="F523" s="79">
        <f>IFERROR(INDEX(Firms!$N$5:$N$1004,MATCH(519,Firms!$U$5:$U$1004,0))&amp;"","")</f>
        <v/>
      </c>
      <c r="G523" s="79">
        <f>IFERROR(INDEX(Firms!$P$5:$P$1004,MATCH(519,Firms!$U$5:$U$1004,0))&amp;"","")</f>
        <v/>
      </c>
      <c r="H523" s="91">
        <f>IFERROR(INDEX(Firms!$T$5:$T$1004,MATCH(519,Firms!$U$5:$U$1004,0))&amp;"","")</f>
        <v/>
      </c>
    </row>
    <row r="524">
      <c r="A524" s="79">
        <f>IF(B524="","",520)</f>
        <v/>
      </c>
      <c r="B524" s="91">
        <f>IFERROR(INDEX(Firms!$A$5:$A$1004,MATCH(520,Firms!$U$5:$U$1004,0))&amp;"","")</f>
        <v/>
      </c>
      <c r="C524" s="88">
        <f>IFERROR(IF(INDEX(Firms!$R$5:$R$1004,MATCH(520,Firms!$U$5:$U$1004,0))="","",INDEX(Firms!$R$5:$R$1004,MATCH(520,Firms!$U$5:$U$1004,0))),"")</f>
        <v/>
      </c>
      <c r="D524" s="91">
        <f>IFERROR(INDEX(Firms!$S$5:$S$1004,MATCH(520,Firms!$U$5:$U$1004,0))&amp;"","")</f>
        <v/>
      </c>
      <c r="E524" s="91">
        <f>IFERROR(INDEX(Firms!$C$5:$C$1004,MATCH(520,Firms!$U$5:$U$1004,0))&amp;"","")</f>
        <v/>
      </c>
      <c r="F524" s="79">
        <f>IFERROR(INDEX(Firms!$N$5:$N$1004,MATCH(520,Firms!$U$5:$U$1004,0))&amp;"","")</f>
        <v/>
      </c>
      <c r="G524" s="79">
        <f>IFERROR(INDEX(Firms!$P$5:$P$1004,MATCH(520,Firms!$U$5:$U$1004,0))&amp;"","")</f>
        <v/>
      </c>
      <c r="H524" s="91">
        <f>IFERROR(INDEX(Firms!$T$5:$T$1004,MATCH(520,Firms!$U$5:$U$1004,0))&amp;"","")</f>
        <v/>
      </c>
    </row>
    <row r="525">
      <c r="A525" s="79">
        <f>IF(B525="","",521)</f>
        <v/>
      </c>
      <c r="B525" s="91">
        <f>IFERROR(INDEX(Firms!$A$5:$A$1004,MATCH(521,Firms!$U$5:$U$1004,0))&amp;"","")</f>
        <v/>
      </c>
      <c r="C525" s="88">
        <f>IFERROR(IF(INDEX(Firms!$R$5:$R$1004,MATCH(521,Firms!$U$5:$U$1004,0))="","",INDEX(Firms!$R$5:$R$1004,MATCH(521,Firms!$U$5:$U$1004,0))),"")</f>
        <v/>
      </c>
      <c r="D525" s="91">
        <f>IFERROR(INDEX(Firms!$S$5:$S$1004,MATCH(521,Firms!$U$5:$U$1004,0))&amp;"","")</f>
        <v/>
      </c>
      <c r="E525" s="91">
        <f>IFERROR(INDEX(Firms!$C$5:$C$1004,MATCH(521,Firms!$U$5:$U$1004,0))&amp;"","")</f>
        <v/>
      </c>
      <c r="F525" s="79">
        <f>IFERROR(INDEX(Firms!$N$5:$N$1004,MATCH(521,Firms!$U$5:$U$1004,0))&amp;"","")</f>
        <v/>
      </c>
      <c r="G525" s="79">
        <f>IFERROR(INDEX(Firms!$P$5:$P$1004,MATCH(521,Firms!$U$5:$U$1004,0))&amp;"","")</f>
        <v/>
      </c>
      <c r="H525" s="91">
        <f>IFERROR(INDEX(Firms!$T$5:$T$1004,MATCH(521,Firms!$U$5:$U$1004,0))&amp;"","")</f>
        <v/>
      </c>
    </row>
    <row r="526">
      <c r="A526" s="79">
        <f>IF(B526="","",522)</f>
        <v/>
      </c>
      <c r="B526" s="91">
        <f>IFERROR(INDEX(Firms!$A$5:$A$1004,MATCH(522,Firms!$U$5:$U$1004,0))&amp;"","")</f>
        <v/>
      </c>
      <c r="C526" s="88">
        <f>IFERROR(IF(INDEX(Firms!$R$5:$R$1004,MATCH(522,Firms!$U$5:$U$1004,0))="","",INDEX(Firms!$R$5:$R$1004,MATCH(522,Firms!$U$5:$U$1004,0))),"")</f>
        <v/>
      </c>
      <c r="D526" s="91">
        <f>IFERROR(INDEX(Firms!$S$5:$S$1004,MATCH(522,Firms!$U$5:$U$1004,0))&amp;"","")</f>
        <v/>
      </c>
      <c r="E526" s="91">
        <f>IFERROR(INDEX(Firms!$C$5:$C$1004,MATCH(522,Firms!$U$5:$U$1004,0))&amp;"","")</f>
        <v/>
      </c>
      <c r="F526" s="79">
        <f>IFERROR(INDEX(Firms!$N$5:$N$1004,MATCH(522,Firms!$U$5:$U$1004,0))&amp;"","")</f>
        <v/>
      </c>
      <c r="G526" s="79">
        <f>IFERROR(INDEX(Firms!$P$5:$P$1004,MATCH(522,Firms!$U$5:$U$1004,0))&amp;"","")</f>
        <v/>
      </c>
      <c r="H526" s="91">
        <f>IFERROR(INDEX(Firms!$T$5:$T$1004,MATCH(522,Firms!$U$5:$U$1004,0))&amp;"","")</f>
        <v/>
      </c>
    </row>
    <row r="527">
      <c r="A527" s="79">
        <f>IF(B527="","",523)</f>
        <v/>
      </c>
      <c r="B527" s="91">
        <f>IFERROR(INDEX(Firms!$A$5:$A$1004,MATCH(523,Firms!$U$5:$U$1004,0))&amp;"","")</f>
        <v/>
      </c>
      <c r="C527" s="88">
        <f>IFERROR(IF(INDEX(Firms!$R$5:$R$1004,MATCH(523,Firms!$U$5:$U$1004,0))="","",INDEX(Firms!$R$5:$R$1004,MATCH(523,Firms!$U$5:$U$1004,0))),"")</f>
        <v/>
      </c>
      <c r="D527" s="91">
        <f>IFERROR(INDEX(Firms!$S$5:$S$1004,MATCH(523,Firms!$U$5:$U$1004,0))&amp;"","")</f>
        <v/>
      </c>
      <c r="E527" s="91">
        <f>IFERROR(INDEX(Firms!$C$5:$C$1004,MATCH(523,Firms!$U$5:$U$1004,0))&amp;"","")</f>
        <v/>
      </c>
      <c r="F527" s="79">
        <f>IFERROR(INDEX(Firms!$N$5:$N$1004,MATCH(523,Firms!$U$5:$U$1004,0))&amp;"","")</f>
        <v/>
      </c>
      <c r="G527" s="79">
        <f>IFERROR(INDEX(Firms!$P$5:$P$1004,MATCH(523,Firms!$U$5:$U$1004,0))&amp;"","")</f>
        <v/>
      </c>
      <c r="H527" s="91">
        <f>IFERROR(INDEX(Firms!$T$5:$T$1004,MATCH(523,Firms!$U$5:$U$1004,0))&amp;"","")</f>
        <v/>
      </c>
    </row>
    <row r="528">
      <c r="A528" s="79">
        <f>IF(B528="","",524)</f>
        <v/>
      </c>
      <c r="B528" s="91">
        <f>IFERROR(INDEX(Firms!$A$5:$A$1004,MATCH(524,Firms!$U$5:$U$1004,0))&amp;"","")</f>
        <v/>
      </c>
      <c r="C528" s="88">
        <f>IFERROR(IF(INDEX(Firms!$R$5:$R$1004,MATCH(524,Firms!$U$5:$U$1004,0))="","",INDEX(Firms!$R$5:$R$1004,MATCH(524,Firms!$U$5:$U$1004,0))),"")</f>
        <v/>
      </c>
      <c r="D528" s="91">
        <f>IFERROR(INDEX(Firms!$S$5:$S$1004,MATCH(524,Firms!$U$5:$U$1004,0))&amp;"","")</f>
        <v/>
      </c>
      <c r="E528" s="91">
        <f>IFERROR(INDEX(Firms!$C$5:$C$1004,MATCH(524,Firms!$U$5:$U$1004,0))&amp;"","")</f>
        <v/>
      </c>
      <c r="F528" s="79">
        <f>IFERROR(INDEX(Firms!$N$5:$N$1004,MATCH(524,Firms!$U$5:$U$1004,0))&amp;"","")</f>
        <v/>
      </c>
      <c r="G528" s="79">
        <f>IFERROR(INDEX(Firms!$P$5:$P$1004,MATCH(524,Firms!$U$5:$U$1004,0))&amp;"","")</f>
        <v/>
      </c>
      <c r="H528" s="91">
        <f>IFERROR(INDEX(Firms!$T$5:$T$1004,MATCH(524,Firms!$U$5:$U$1004,0))&amp;"","")</f>
        <v/>
      </c>
    </row>
    <row r="529">
      <c r="A529" s="79">
        <f>IF(B529="","",525)</f>
        <v/>
      </c>
      <c r="B529" s="91">
        <f>IFERROR(INDEX(Firms!$A$5:$A$1004,MATCH(525,Firms!$U$5:$U$1004,0))&amp;"","")</f>
        <v/>
      </c>
      <c r="C529" s="88">
        <f>IFERROR(IF(INDEX(Firms!$R$5:$R$1004,MATCH(525,Firms!$U$5:$U$1004,0))="","",INDEX(Firms!$R$5:$R$1004,MATCH(525,Firms!$U$5:$U$1004,0))),"")</f>
        <v/>
      </c>
      <c r="D529" s="91">
        <f>IFERROR(INDEX(Firms!$S$5:$S$1004,MATCH(525,Firms!$U$5:$U$1004,0))&amp;"","")</f>
        <v/>
      </c>
      <c r="E529" s="91">
        <f>IFERROR(INDEX(Firms!$C$5:$C$1004,MATCH(525,Firms!$U$5:$U$1004,0))&amp;"","")</f>
        <v/>
      </c>
      <c r="F529" s="79">
        <f>IFERROR(INDEX(Firms!$N$5:$N$1004,MATCH(525,Firms!$U$5:$U$1004,0))&amp;"","")</f>
        <v/>
      </c>
      <c r="G529" s="79">
        <f>IFERROR(INDEX(Firms!$P$5:$P$1004,MATCH(525,Firms!$U$5:$U$1004,0))&amp;"","")</f>
        <v/>
      </c>
      <c r="H529" s="91">
        <f>IFERROR(INDEX(Firms!$T$5:$T$1004,MATCH(525,Firms!$U$5:$U$1004,0))&amp;"","")</f>
        <v/>
      </c>
    </row>
    <row r="530">
      <c r="A530" s="79">
        <f>IF(B530="","",526)</f>
        <v/>
      </c>
      <c r="B530" s="91">
        <f>IFERROR(INDEX(Firms!$A$5:$A$1004,MATCH(526,Firms!$U$5:$U$1004,0))&amp;"","")</f>
        <v/>
      </c>
      <c r="C530" s="88">
        <f>IFERROR(IF(INDEX(Firms!$R$5:$R$1004,MATCH(526,Firms!$U$5:$U$1004,0))="","",INDEX(Firms!$R$5:$R$1004,MATCH(526,Firms!$U$5:$U$1004,0))),"")</f>
        <v/>
      </c>
      <c r="D530" s="91">
        <f>IFERROR(INDEX(Firms!$S$5:$S$1004,MATCH(526,Firms!$U$5:$U$1004,0))&amp;"","")</f>
        <v/>
      </c>
      <c r="E530" s="91">
        <f>IFERROR(INDEX(Firms!$C$5:$C$1004,MATCH(526,Firms!$U$5:$U$1004,0))&amp;"","")</f>
        <v/>
      </c>
      <c r="F530" s="79">
        <f>IFERROR(INDEX(Firms!$N$5:$N$1004,MATCH(526,Firms!$U$5:$U$1004,0))&amp;"","")</f>
        <v/>
      </c>
      <c r="G530" s="79">
        <f>IFERROR(INDEX(Firms!$P$5:$P$1004,MATCH(526,Firms!$U$5:$U$1004,0))&amp;"","")</f>
        <v/>
      </c>
      <c r="H530" s="91">
        <f>IFERROR(INDEX(Firms!$T$5:$T$1004,MATCH(526,Firms!$U$5:$U$1004,0))&amp;"","")</f>
        <v/>
      </c>
    </row>
    <row r="531">
      <c r="A531" s="79">
        <f>IF(B531="","",527)</f>
        <v/>
      </c>
      <c r="B531" s="91">
        <f>IFERROR(INDEX(Firms!$A$5:$A$1004,MATCH(527,Firms!$U$5:$U$1004,0))&amp;"","")</f>
        <v/>
      </c>
      <c r="C531" s="88">
        <f>IFERROR(IF(INDEX(Firms!$R$5:$R$1004,MATCH(527,Firms!$U$5:$U$1004,0))="","",INDEX(Firms!$R$5:$R$1004,MATCH(527,Firms!$U$5:$U$1004,0))),"")</f>
        <v/>
      </c>
      <c r="D531" s="91">
        <f>IFERROR(INDEX(Firms!$S$5:$S$1004,MATCH(527,Firms!$U$5:$U$1004,0))&amp;"","")</f>
        <v/>
      </c>
      <c r="E531" s="91">
        <f>IFERROR(INDEX(Firms!$C$5:$C$1004,MATCH(527,Firms!$U$5:$U$1004,0))&amp;"","")</f>
        <v/>
      </c>
      <c r="F531" s="79">
        <f>IFERROR(INDEX(Firms!$N$5:$N$1004,MATCH(527,Firms!$U$5:$U$1004,0))&amp;"","")</f>
        <v/>
      </c>
      <c r="G531" s="79">
        <f>IFERROR(INDEX(Firms!$P$5:$P$1004,MATCH(527,Firms!$U$5:$U$1004,0))&amp;"","")</f>
        <v/>
      </c>
      <c r="H531" s="91">
        <f>IFERROR(INDEX(Firms!$T$5:$T$1004,MATCH(527,Firms!$U$5:$U$1004,0))&amp;"","")</f>
        <v/>
      </c>
    </row>
    <row r="532">
      <c r="A532" s="79">
        <f>IF(B532="","",528)</f>
        <v/>
      </c>
      <c r="B532" s="91">
        <f>IFERROR(INDEX(Firms!$A$5:$A$1004,MATCH(528,Firms!$U$5:$U$1004,0))&amp;"","")</f>
        <v/>
      </c>
      <c r="C532" s="88">
        <f>IFERROR(IF(INDEX(Firms!$R$5:$R$1004,MATCH(528,Firms!$U$5:$U$1004,0))="","",INDEX(Firms!$R$5:$R$1004,MATCH(528,Firms!$U$5:$U$1004,0))),"")</f>
        <v/>
      </c>
      <c r="D532" s="91">
        <f>IFERROR(INDEX(Firms!$S$5:$S$1004,MATCH(528,Firms!$U$5:$U$1004,0))&amp;"","")</f>
        <v/>
      </c>
      <c r="E532" s="91">
        <f>IFERROR(INDEX(Firms!$C$5:$C$1004,MATCH(528,Firms!$U$5:$U$1004,0))&amp;"","")</f>
        <v/>
      </c>
      <c r="F532" s="79">
        <f>IFERROR(INDEX(Firms!$N$5:$N$1004,MATCH(528,Firms!$U$5:$U$1004,0))&amp;"","")</f>
        <v/>
      </c>
      <c r="G532" s="79">
        <f>IFERROR(INDEX(Firms!$P$5:$P$1004,MATCH(528,Firms!$U$5:$U$1004,0))&amp;"","")</f>
        <v/>
      </c>
      <c r="H532" s="91">
        <f>IFERROR(INDEX(Firms!$T$5:$T$1004,MATCH(528,Firms!$U$5:$U$1004,0))&amp;"","")</f>
        <v/>
      </c>
    </row>
    <row r="533">
      <c r="A533" s="79">
        <f>IF(B533="","",529)</f>
        <v/>
      </c>
      <c r="B533" s="91">
        <f>IFERROR(INDEX(Firms!$A$5:$A$1004,MATCH(529,Firms!$U$5:$U$1004,0))&amp;"","")</f>
        <v/>
      </c>
      <c r="C533" s="88">
        <f>IFERROR(IF(INDEX(Firms!$R$5:$R$1004,MATCH(529,Firms!$U$5:$U$1004,0))="","",INDEX(Firms!$R$5:$R$1004,MATCH(529,Firms!$U$5:$U$1004,0))),"")</f>
        <v/>
      </c>
      <c r="D533" s="91">
        <f>IFERROR(INDEX(Firms!$S$5:$S$1004,MATCH(529,Firms!$U$5:$U$1004,0))&amp;"","")</f>
        <v/>
      </c>
      <c r="E533" s="91">
        <f>IFERROR(INDEX(Firms!$C$5:$C$1004,MATCH(529,Firms!$U$5:$U$1004,0))&amp;"","")</f>
        <v/>
      </c>
      <c r="F533" s="79">
        <f>IFERROR(INDEX(Firms!$N$5:$N$1004,MATCH(529,Firms!$U$5:$U$1004,0))&amp;"","")</f>
        <v/>
      </c>
      <c r="G533" s="79">
        <f>IFERROR(INDEX(Firms!$P$5:$P$1004,MATCH(529,Firms!$U$5:$U$1004,0))&amp;"","")</f>
        <v/>
      </c>
      <c r="H533" s="91">
        <f>IFERROR(INDEX(Firms!$T$5:$T$1004,MATCH(529,Firms!$U$5:$U$1004,0))&amp;"","")</f>
        <v/>
      </c>
    </row>
    <row r="534">
      <c r="A534" s="79">
        <f>IF(B534="","",530)</f>
        <v/>
      </c>
      <c r="B534" s="91">
        <f>IFERROR(INDEX(Firms!$A$5:$A$1004,MATCH(530,Firms!$U$5:$U$1004,0))&amp;"","")</f>
        <v/>
      </c>
      <c r="C534" s="88">
        <f>IFERROR(IF(INDEX(Firms!$R$5:$R$1004,MATCH(530,Firms!$U$5:$U$1004,0))="","",INDEX(Firms!$R$5:$R$1004,MATCH(530,Firms!$U$5:$U$1004,0))),"")</f>
        <v/>
      </c>
      <c r="D534" s="91">
        <f>IFERROR(INDEX(Firms!$S$5:$S$1004,MATCH(530,Firms!$U$5:$U$1004,0))&amp;"","")</f>
        <v/>
      </c>
      <c r="E534" s="91">
        <f>IFERROR(INDEX(Firms!$C$5:$C$1004,MATCH(530,Firms!$U$5:$U$1004,0))&amp;"","")</f>
        <v/>
      </c>
      <c r="F534" s="79">
        <f>IFERROR(INDEX(Firms!$N$5:$N$1004,MATCH(530,Firms!$U$5:$U$1004,0))&amp;"","")</f>
        <v/>
      </c>
      <c r="G534" s="79">
        <f>IFERROR(INDEX(Firms!$P$5:$P$1004,MATCH(530,Firms!$U$5:$U$1004,0))&amp;"","")</f>
        <v/>
      </c>
      <c r="H534" s="91">
        <f>IFERROR(INDEX(Firms!$T$5:$T$1004,MATCH(530,Firms!$U$5:$U$1004,0))&amp;"","")</f>
        <v/>
      </c>
    </row>
    <row r="535">
      <c r="A535" s="79">
        <f>IF(B535="","",531)</f>
        <v/>
      </c>
      <c r="B535" s="91">
        <f>IFERROR(INDEX(Firms!$A$5:$A$1004,MATCH(531,Firms!$U$5:$U$1004,0))&amp;"","")</f>
        <v/>
      </c>
      <c r="C535" s="88">
        <f>IFERROR(IF(INDEX(Firms!$R$5:$R$1004,MATCH(531,Firms!$U$5:$U$1004,0))="","",INDEX(Firms!$R$5:$R$1004,MATCH(531,Firms!$U$5:$U$1004,0))),"")</f>
        <v/>
      </c>
      <c r="D535" s="91">
        <f>IFERROR(INDEX(Firms!$S$5:$S$1004,MATCH(531,Firms!$U$5:$U$1004,0))&amp;"","")</f>
        <v/>
      </c>
      <c r="E535" s="91">
        <f>IFERROR(INDEX(Firms!$C$5:$C$1004,MATCH(531,Firms!$U$5:$U$1004,0))&amp;"","")</f>
        <v/>
      </c>
      <c r="F535" s="79">
        <f>IFERROR(INDEX(Firms!$N$5:$N$1004,MATCH(531,Firms!$U$5:$U$1004,0))&amp;"","")</f>
        <v/>
      </c>
      <c r="G535" s="79">
        <f>IFERROR(INDEX(Firms!$P$5:$P$1004,MATCH(531,Firms!$U$5:$U$1004,0))&amp;"","")</f>
        <v/>
      </c>
      <c r="H535" s="91">
        <f>IFERROR(INDEX(Firms!$T$5:$T$1004,MATCH(531,Firms!$U$5:$U$1004,0))&amp;"","")</f>
        <v/>
      </c>
    </row>
    <row r="536">
      <c r="A536" s="79">
        <f>IF(B536="","",532)</f>
        <v/>
      </c>
      <c r="B536" s="91">
        <f>IFERROR(INDEX(Firms!$A$5:$A$1004,MATCH(532,Firms!$U$5:$U$1004,0))&amp;"","")</f>
        <v/>
      </c>
      <c r="C536" s="88">
        <f>IFERROR(IF(INDEX(Firms!$R$5:$R$1004,MATCH(532,Firms!$U$5:$U$1004,0))="","",INDEX(Firms!$R$5:$R$1004,MATCH(532,Firms!$U$5:$U$1004,0))),"")</f>
        <v/>
      </c>
      <c r="D536" s="91">
        <f>IFERROR(INDEX(Firms!$S$5:$S$1004,MATCH(532,Firms!$U$5:$U$1004,0))&amp;"","")</f>
        <v/>
      </c>
      <c r="E536" s="91">
        <f>IFERROR(INDEX(Firms!$C$5:$C$1004,MATCH(532,Firms!$U$5:$U$1004,0))&amp;"","")</f>
        <v/>
      </c>
      <c r="F536" s="79">
        <f>IFERROR(INDEX(Firms!$N$5:$N$1004,MATCH(532,Firms!$U$5:$U$1004,0))&amp;"","")</f>
        <v/>
      </c>
      <c r="G536" s="79">
        <f>IFERROR(INDEX(Firms!$P$5:$P$1004,MATCH(532,Firms!$U$5:$U$1004,0))&amp;"","")</f>
        <v/>
      </c>
      <c r="H536" s="91">
        <f>IFERROR(INDEX(Firms!$T$5:$T$1004,MATCH(532,Firms!$U$5:$U$1004,0))&amp;"","")</f>
        <v/>
      </c>
    </row>
    <row r="537">
      <c r="A537" s="79">
        <f>IF(B537="","",533)</f>
        <v/>
      </c>
      <c r="B537" s="91">
        <f>IFERROR(INDEX(Firms!$A$5:$A$1004,MATCH(533,Firms!$U$5:$U$1004,0))&amp;"","")</f>
        <v/>
      </c>
      <c r="C537" s="88">
        <f>IFERROR(IF(INDEX(Firms!$R$5:$R$1004,MATCH(533,Firms!$U$5:$U$1004,0))="","",INDEX(Firms!$R$5:$R$1004,MATCH(533,Firms!$U$5:$U$1004,0))),"")</f>
        <v/>
      </c>
      <c r="D537" s="91">
        <f>IFERROR(INDEX(Firms!$S$5:$S$1004,MATCH(533,Firms!$U$5:$U$1004,0))&amp;"","")</f>
        <v/>
      </c>
      <c r="E537" s="91">
        <f>IFERROR(INDEX(Firms!$C$5:$C$1004,MATCH(533,Firms!$U$5:$U$1004,0))&amp;"","")</f>
        <v/>
      </c>
      <c r="F537" s="79">
        <f>IFERROR(INDEX(Firms!$N$5:$N$1004,MATCH(533,Firms!$U$5:$U$1004,0))&amp;"","")</f>
        <v/>
      </c>
      <c r="G537" s="79">
        <f>IFERROR(INDEX(Firms!$P$5:$P$1004,MATCH(533,Firms!$U$5:$U$1004,0))&amp;"","")</f>
        <v/>
      </c>
      <c r="H537" s="91">
        <f>IFERROR(INDEX(Firms!$T$5:$T$1004,MATCH(533,Firms!$U$5:$U$1004,0))&amp;"","")</f>
        <v/>
      </c>
    </row>
    <row r="538">
      <c r="A538" s="79">
        <f>IF(B538="","",534)</f>
        <v/>
      </c>
      <c r="B538" s="91">
        <f>IFERROR(INDEX(Firms!$A$5:$A$1004,MATCH(534,Firms!$U$5:$U$1004,0))&amp;"","")</f>
        <v/>
      </c>
      <c r="C538" s="88">
        <f>IFERROR(IF(INDEX(Firms!$R$5:$R$1004,MATCH(534,Firms!$U$5:$U$1004,0))="","",INDEX(Firms!$R$5:$R$1004,MATCH(534,Firms!$U$5:$U$1004,0))),"")</f>
        <v/>
      </c>
      <c r="D538" s="91">
        <f>IFERROR(INDEX(Firms!$S$5:$S$1004,MATCH(534,Firms!$U$5:$U$1004,0))&amp;"","")</f>
        <v/>
      </c>
      <c r="E538" s="91">
        <f>IFERROR(INDEX(Firms!$C$5:$C$1004,MATCH(534,Firms!$U$5:$U$1004,0))&amp;"","")</f>
        <v/>
      </c>
      <c r="F538" s="79">
        <f>IFERROR(INDEX(Firms!$N$5:$N$1004,MATCH(534,Firms!$U$5:$U$1004,0))&amp;"","")</f>
        <v/>
      </c>
      <c r="G538" s="79">
        <f>IFERROR(INDEX(Firms!$P$5:$P$1004,MATCH(534,Firms!$U$5:$U$1004,0))&amp;"","")</f>
        <v/>
      </c>
      <c r="H538" s="91">
        <f>IFERROR(INDEX(Firms!$T$5:$T$1004,MATCH(534,Firms!$U$5:$U$1004,0))&amp;"","")</f>
        <v/>
      </c>
    </row>
    <row r="539">
      <c r="A539" s="79">
        <f>IF(B539="","",535)</f>
        <v/>
      </c>
      <c r="B539" s="91">
        <f>IFERROR(INDEX(Firms!$A$5:$A$1004,MATCH(535,Firms!$U$5:$U$1004,0))&amp;"","")</f>
        <v/>
      </c>
      <c r="C539" s="88">
        <f>IFERROR(IF(INDEX(Firms!$R$5:$R$1004,MATCH(535,Firms!$U$5:$U$1004,0))="","",INDEX(Firms!$R$5:$R$1004,MATCH(535,Firms!$U$5:$U$1004,0))),"")</f>
        <v/>
      </c>
      <c r="D539" s="91">
        <f>IFERROR(INDEX(Firms!$S$5:$S$1004,MATCH(535,Firms!$U$5:$U$1004,0))&amp;"","")</f>
        <v/>
      </c>
      <c r="E539" s="91">
        <f>IFERROR(INDEX(Firms!$C$5:$C$1004,MATCH(535,Firms!$U$5:$U$1004,0))&amp;"","")</f>
        <v/>
      </c>
      <c r="F539" s="79">
        <f>IFERROR(INDEX(Firms!$N$5:$N$1004,MATCH(535,Firms!$U$5:$U$1004,0))&amp;"","")</f>
        <v/>
      </c>
      <c r="G539" s="79">
        <f>IFERROR(INDEX(Firms!$P$5:$P$1004,MATCH(535,Firms!$U$5:$U$1004,0))&amp;"","")</f>
        <v/>
      </c>
      <c r="H539" s="91">
        <f>IFERROR(INDEX(Firms!$T$5:$T$1004,MATCH(535,Firms!$U$5:$U$1004,0))&amp;"","")</f>
        <v/>
      </c>
    </row>
    <row r="540">
      <c r="A540" s="79">
        <f>IF(B540="","",536)</f>
        <v/>
      </c>
      <c r="B540" s="91">
        <f>IFERROR(INDEX(Firms!$A$5:$A$1004,MATCH(536,Firms!$U$5:$U$1004,0))&amp;"","")</f>
        <v/>
      </c>
      <c r="C540" s="88">
        <f>IFERROR(IF(INDEX(Firms!$R$5:$R$1004,MATCH(536,Firms!$U$5:$U$1004,0))="","",INDEX(Firms!$R$5:$R$1004,MATCH(536,Firms!$U$5:$U$1004,0))),"")</f>
        <v/>
      </c>
      <c r="D540" s="91">
        <f>IFERROR(INDEX(Firms!$S$5:$S$1004,MATCH(536,Firms!$U$5:$U$1004,0))&amp;"","")</f>
        <v/>
      </c>
      <c r="E540" s="91">
        <f>IFERROR(INDEX(Firms!$C$5:$C$1004,MATCH(536,Firms!$U$5:$U$1004,0))&amp;"","")</f>
        <v/>
      </c>
      <c r="F540" s="79">
        <f>IFERROR(INDEX(Firms!$N$5:$N$1004,MATCH(536,Firms!$U$5:$U$1004,0))&amp;"","")</f>
        <v/>
      </c>
      <c r="G540" s="79">
        <f>IFERROR(INDEX(Firms!$P$5:$P$1004,MATCH(536,Firms!$U$5:$U$1004,0))&amp;"","")</f>
        <v/>
      </c>
      <c r="H540" s="91">
        <f>IFERROR(INDEX(Firms!$T$5:$T$1004,MATCH(536,Firms!$U$5:$U$1004,0))&amp;"","")</f>
        <v/>
      </c>
    </row>
    <row r="541">
      <c r="A541" s="79">
        <f>IF(B541="","",537)</f>
        <v/>
      </c>
      <c r="B541" s="91">
        <f>IFERROR(INDEX(Firms!$A$5:$A$1004,MATCH(537,Firms!$U$5:$U$1004,0))&amp;"","")</f>
        <v/>
      </c>
      <c r="C541" s="88">
        <f>IFERROR(IF(INDEX(Firms!$R$5:$R$1004,MATCH(537,Firms!$U$5:$U$1004,0))="","",INDEX(Firms!$R$5:$R$1004,MATCH(537,Firms!$U$5:$U$1004,0))),"")</f>
        <v/>
      </c>
      <c r="D541" s="91">
        <f>IFERROR(INDEX(Firms!$S$5:$S$1004,MATCH(537,Firms!$U$5:$U$1004,0))&amp;"","")</f>
        <v/>
      </c>
      <c r="E541" s="91">
        <f>IFERROR(INDEX(Firms!$C$5:$C$1004,MATCH(537,Firms!$U$5:$U$1004,0))&amp;"","")</f>
        <v/>
      </c>
      <c r="F541" s="79">
        <f>IFERROR(INDEX(Firms!$N$5:$N$1004,MATCH(537,Firms!$U$5:$U$1004,0))&amp;"","")</f>
        <v/>
      </c>
      <c r="G541" s="79">
        <f>IFERROR(INDEX(Firms!$P$5:$P$1004,MATCH(537,Firms!$U$5:$U$1004,0))&amp;"","")</f>
        <v/>
      </c>
      <c r="H541" s="91">
        <f>IFERROR(INDEX(Firms!$T$5:$T$1004,MATCH(537,Firms!$U$5:$U$1004,0))&amp;"","")</f>
        <v/>
      </c>
    </row>
    <row r="542">
      <c r="A542" s="79">
        <f>IF(B542="","",538)</f>
        <v/>
      </c>
      <c r="B542" s="91">
        <f>IFERROR(INDEX(Firms!$A$5:$A$1004,MATCH(538,Firms!$U$5:$U$1004,0))&amp;"","")</f>
        <v/>
      </c>
      <c r="C542" s="88">
        <f>IFERROR(IF(INDEX(Firms!$R$5:$R$1004,MATCH(538,Firms!$U$5:$U$1004,0))="","",INDEX(Firms!$R$5:$R$1004,MATCH(538,Firms!$U$5:$U$1004,0))),"")</f>
        <v/>
      </c>
      <c r="D542" s="91">
        <f>IFERROR(INDEX(Firms!$S$5:$S$1004,MATCH(538,Firms!$U$5:$U$1004,0))&amp;"","")</f>
        <v/>
      </c>
      <c r="E542" s="91">
        <f>IFERROR(INDEX(Firms!$C$5:$C$1004,MATCH(538,Firms!$U$5:$U$1004,0))&amp;"","")</f>
        <v/>
      </c>
      <c r="F542" s="79">
        <f>IFERROR(INDEX(Firms!$N$5:$N$1004,MATCH(538,Firms!$U$5:$U$1004,0))&amp;"","")</f>
        <v/>
      </c>
      <c r="G542" s="79">
        <f>IFERROR(INDEX(Firms!$P$5:$P$1004,MATCH(538,Firms!$U$5:$U$1004,0))&amp;"","")</f>
        <v/>
      </c>
      <c r="H542" s="91">
        <f>IFERROR(INDEX(Firms!$T$5:$T$1004,MATCH(538,Firms!$U$5:$U$1004,0))&amp;"","")</f>
        <v/>
      </c>
    </row>
    <row r="543">
      <c r="A543" s="79">
        <f>IF(B543="","",539)</f>
        <v/>
      </c>
      <c r="B543" s="91">
        <f>IFERROR(INDEX(Firms!$A$5:$A$1004,MATCH(539,Firms!$U$5:$U$1004,0))&amp;"","")</f>
        <v/>
      </c>
      <c r="C543" s="88">
        <f>IFERROR(IF(INDEX(Firms!$R$5:$R$1004,MATCH(539,Firms!$U$5:$U$1004,0))="","",INDEX(Firms!$R$5:$R$1004,MATCH(539,Firms!$U$5:$U$1004,0))),"")</f>
        <v/>
      </c>
      <c r="D543" s="91">
        <f>IFERROR(INDEX(Firms!$S$5:$S$1004,MATCH(539,Firms!$U$5:$U$1004,0))&amp;"","")</f>
        <v/>
      </c>
      <c r="E543" s="91">
        <f>IFERROR(INDEX(Firms!$C$5:$C$1004,MATCH(539,Firms!$U$5:$U$1004,0))&amp;"","")</f>
        <v/>
      </c>
      <c r="F543" s="79">
        <f>IFERROR(INDEX(Firms!$N$5:$N$1004,MATCH(539,Firms!$U$5:$U$1004,0))&amp;"","")</f>
        <v/>
      </c>
      <c r="G543" s="79">
        <f>IFERROR(INDEX(Firms!$P$5:$P$1004,MATCH(539,Firms!$U$5:$U$1004,0))&amp;"","")</f>
        <v/>
      </c>
      <c r="H543" s="91">
        <f>IFERROR(INDEX(Firms!$T$5:$T$1004,MATCH(539,Firms!$U$5:$U$1004,0))&amp;"","")</f>
        <v/>
      </c>
    </row>
    <row r="544">
      <c r="A544" s="79">
        <f>IF(B544="","",540)</f>
        <v/>
      </c>
      <c r="B544" s="91">
        <f>IFERROR(INDEX(Firms!$A$5:$A$1004,MATCH(540,Firms!$U$5:$U$1004,0))&amp;"","")</f>
        <v/>
      </c>
      <c r="C544" s="88">
        <f>IFERROR(IF(INDEX(Firms!$R$5:$R$1004,MATCH(540,Firms!$U$5:$U$1004,0))="","",INDEX(Firms!$R$5:$R$1004,MATCH(540,Firms!$U$5:$U$1004,0))),"")</f>
        <v/>
      </c>
      <c r="D544" s="91">
        <f>IFERROR(INDEX(Firms!$S$5:$S$1004,MATCH(540,Firms!$U$5:$U$1004,0))&amp;"","")</f>
        <v/>
      </c>
      <c r="E544" s="91">
        <f>IFERROR(INDEX(Firms!$C$5:$C$1004,MATCH(540,Firms!$U$5:$U$1004,0))&amp;"","")</f>
        <v/>
      </c>
      <c r="F544" s="79">
        <f>IFERROR(INDEX(Firms!$N$5:$N$1004,MATCH(540,Firms!$U$5:$U$1004,0))&amp;"","")</f>
        <v/>
      </c>
      <c r="G544" s="79">
        <f>IFERROR(INDEX(Firms!$P$5:$P$1004,MATCH(540,Firms!$U$5:$U$1004,0))&amp;"","")</f>
        <v/>
      </c>
      <c r="H544" s="91">
        <f>IFERROR(INDEX(Firms!$T$5:$T$1004,MATCH(540,Firms!$U$5:$U$1004,0))&amp;"","")</f>
        <v/>
      </c>
    </row>
    <row r="545">
      <c r="A545" s="79">
        <f>IF(B545="","",541)</f>
        <v/>
      </c>
      <c r="B545" s="91">
        <f>IFERROR(INDEX(Firms!$A$5:$A$1004,MATCH(541,Firms!$U$5:$U$1004,0))&amp;"","")</f>
        <v/>
      </c>
      <c r="C545" s="88">
        <f>IFERROR(IF(INDEX(Firms!$R$5:$R$1004,MATCH(541,Firms!$U$5:$U$1004,0))="","",INDEX(Firms!$R$5:$R$1004,MATCH(541,Firms!$U$5:$U$1004,0))),"")</f>
        <v/>
      </c>
      <c r="D545" s="91">
        <f>IFERROR(INDEX(Firms!$S$5:$S$1004,MATCH(541,Firms!$U$5:$U$1004,0))&amp;"","")</f>
        <v/>
      </c>
      <c r="E545" s="91">
        <f>IFERROR(INDEX(Firms!$C$5:$C$1004,MATCH(541,Firms!$U$5:$U$1004,0))&amp;"","")</f>
        <v/>
      </c>
      <c r="F545" s="79">
        <f>IFERROR(INDEX(Firms!$N$5:$N$1004,MATCH(541,Firms!$U$5:$U$1004,0))&amp;"","")</f>
        <v/>
      </c>
      <c r="G545" s="79">
        <f>IFERROR(INDEX(Firms!$P$5:$P$1004,MATCH(541,Firms!$U$5:$U$1004,0))&amp;"","")</f>
        <v/>
      </c>
      <c r="H545" s="91">
        <f>IFERROR(INDEX(Firms!$T$5:$T$1004,MATCH(541,Firms!$U$5:$U$1004,0))&amp;"","")</f>
        <v/>
      </c>
    </row>
    <row r="546">
      <c r="A546" s="79">
        <f>IF(B546="","",542)</f>
        <v/>
      </c>
      <c r="B546" s="91">
        <f>IFERROR(INDEX(Firms!$A$5:$A$1004,MATCH(542,Firms!$U$5:$U$1004,0))&amp;"","")</f>
        <v/>
      </c>
      <c r="C546" s="88">
        <f>IFERROR(IF(INDEX(Firms!$R$5:$R$1004,MATCH(542,Firms!$U$5:$U$1004,0))="","",INDEX(Firms!$R$5:$R$1004,MATCH(542,Firms!$U$5:$U$1004,0))),"")</f>
        <v/>
      </c>
      <c r="D546" s="91">
        <f>IFERROR(INDEX(Firms!$S$5:$S$1004,MATCH(542,Firms!$U$5:$U$1004,0))&amp;"","")</f>
        <v/>
      </c>
      <c r="E546" s="91">
        <f>IFERROR(INDEX(Firms!$C$5:$C$1004,MATCH(542,Firms!$U$5:$U$1004,0))&amp;"","")</f>
        <v/>
      </c>
      <c r="F546" s="79">
        <f>IFERROR(INDEX(Firms!$N$5:$N$1004,MATCH(542,Firms!$U$5:$U$1004,0))&amp;"","")</f>
        <v/>
      </c>
      <c r="G546" s="79">
        <f>IFERROR(INDEX(Firms!$P$5:$P$1004,MATCH(542,Firms!$U$5:$U$1004,0))&amp;"","")</f>
        <v/>
      </c>
      <c r="H546" s="91">
        <f>IFERROR(INDEX(Firms!$T$5:$T$1004,MATCH(542,Firms!$U$5:$U$1004,0))&amp;"","")</f>
        <v/>
      </c>
    </row>
    <row r="547">
      <c r="A547" s="79">
        <f>IF(B547="","",543)</f>
        <v/>
      </c>
      <c r="B547" s="91">
        <f>IFERROR(INDEX(Firms!$A$5:$A$1004,MATCH(543,Firms!$U$5:$U$1004,0))&amp;"","")</f>
        <v/>
      </c>
      <c r="C547" s="88">
        <f>IFERROR(IF(INDEX(Firms!$R$5:$R$1004,MATCH(543,Firms!$U$5:$U$1004,0))="","",INDEX(Firms!$R$5:$R$1004,MATCH(543,Firms!$U$5:$U$1004,0))),"")</f>
        <v/>
      </c>
      <c r="D547" s="91">
        <f>IFERROR(INDEX(Firms!$S$5:$S$1004,MATCH(543,Firms!$U$5:$U$1004,0))&amp;"","")</f>
        <v/>
      </c>
      <c r="E547" s="91">
        <f>IFERROR(INDEX(Firms!$C$5:$C$1004,MATCH(543,Firms!$U$5:$U$1004,0))&amp;"","")</f>
        <v/>
      </c>
      <c r="F547" s="79">
        <f>IFERROR(INDEX(Firms!$N$5:$N$1004,MATCH(543,Firms!$U$5:$U$1004,0))&amp;"","")</f>
        <v/>
      </c>
      <c r="G547" s="79">
        <f>IFERROR(INDEX(Firms!$P$5:$P$1004,MATCH(543,Firms!$U$5:$U$1004,0))&amp;"","")</f>
        <v/>
      </c>
      <c r="H547" s="91">
        <f>IFERROR(INDEX(Firms!$T$5:$T$1004,MATCH(543,Firms!$U$5:$U$1004,0))&amp;"","")</f>
        <v/>
      </c>
    </row>
    <row r="548">
      <c r="A548" s="79">
        <f>IF(B548="","",544)</f>
        <v/>
      </c>
      <c r="B548" s="91">
        <f>IFERROR(INDEX(Firms!$A$5:$A$1004,MATCH(544,Firms!$U$5:$U$1004,0))&amp;"","")</f>
        <v/>
      </c>
      <c r="C548" s="88">
        <f>IFERROR(IF(INDEX(Firms!$R$5:$R$1004,MATCH(544,Firms!$U$5:$U$1004,0))="","",INDEX(Firms!$R$5:$R$1004,MATCH(544,Firms!$U$5:$U$1004,0))),"")</f>
        <v/>
      </c>
      <c r="D548" s="91">
        <f>IFERROR(INDEX(Firms!$S$5:$S$1004,MATCH(544,Firms!$U$5:$U$1004,0))&amp;"","")</f>
        <v/>
      </c>
      <c r="E548" s="91">
        <f>IFERROR(INDEX(Firms!$C$5:$C$1004,MATCH(544,Firms!$U$5:$U$1004,0))&amp;"","")</f>
        <v/>
      </c>
      <c r="F548" s="79">
        <f>IFERROR(INDEX(Firms!$N$5:$N$1004,MATCH(544,Firms!$U$5:$U$1004,0))&amp;"","")</f>
        <v/>
      </c>
      <c r="G548" s="79">
        <f>IFERROR(INDEX(Firms!$P$5:$P$1004,MATCH(544,Firms!$U$5:$U$1004,0))&amp;"","")</f>
        <v/>
      </c>
      <c r="H548" s="91">
        <f>IFERROR(INDEX(Firms!$T$5:$T$1004,MATCH(544,Firms!$U$5:$U$1004,0))&amp;"","")</f>
        <v/>
      </c>
    </row>
    <row r="549">
      <c r="A549" s="79">
        <f>IF(B549="","",545)</f>
        <v/>
      </c>
      <c r="B549" s="91">
        <f>IFERROR(INDEX(Firms!$A$5:$A$1004,MATCH(545,Firms!$U$5:$U$1004,0))&amp;"","")</f>
        <v/>
      </c>
      <c r="C549" s="88">
        <f>IFERROR(IF(INDEX(Firms!$R$5:$R$1004,MATCH(545,Firms!$U$5:$U$1004,0))="","",INDEX(Firms!$R$5:$R$1004,MATCH(545,Firms!$U$5:$U$1004,0))),"")</f>
        <v/>
      </c>
      <c r="D549" s="91">
        <f>IFERROR(INDEX(Firms!$S$5:$S$1004,MATCH(545,Firms!$U$5:$U$1004,0))&amp;"","")</f>
        <v/>
      </c>
      <c r="E549" s="91">
        <f>IFERROR(INDEX(Firms!$C$5:$C$1004,MATCH(545,Firms!$U$5:$U$1004,0))&amp;"","")</f>
        <v/>
      </c>
      <c r="F549" s="79">
        <f>IFERROR(INDEX(Firms!$N$5:$N$1004,MATCH(545,Firms!$U$5:$U$1004,0))&amp;"","")</f>
        <v/>
      </c>
      <c r="G549" s="79">
        <f>IFERROR(INDEX(Firms!$P$5:$P$1004,MATCH(545,Firms!$U$5:$U$1004,0))&amp;"","")</f>
        <v/>
      </c>
      <c r="H549" s="91">
        <f>IFERROR(INDEX(Firms!$T$5:$T$1004,MATCH(545,Firms!$U$5:$U$1004,0))&amp;"","")</f>
        <v/>
      </c>
    </row>
    <row r="550">
      <c r="A550" s="79">
        <f>IF(B550="","",546)</f>
        <v/>
      </c>
      <c r="B550" s="91">
        <f>IFERROR(INDEX(Firms!$A$5:$A$1004,MATCH(546,Firms!$U$5:$U$1004,0))&amp;"","")</f>
        <v/>
      </c>
      <c r="C550" s="88">
        <f>IFERROR(IF(INDEX(Firms!$R$5:$R$1004,MATCH(546,Firms!$U$5:$U$1004,0))="","",INDEX(Firms!$R$5:$R$1004,MATCH(546,Firms!$U$5:$U$1004,0))),"")</f>
        <v/>
      </c>
      <c r="D550" s="91">
        <f>IFERROR(INDEX(Firms!$S$5:$S$1004,MATCH(546,Firms!$U$5:$U$1004,0))&amp;"","")</f>
        <v/>
      </c>
      <c r="E550" s="91">
        <f>IFERROR(INDEX(Firms!$C$5:$C$1004,MATCH(546,Firms!$U$5:$U$1004,0))&amp;"","")</f>
        <v/>
      </c>
      <c r="F550" s="79">
        <f>IFERROR(INDEX(Firms!$N$5:$N$1004,MATCH(546,Firms!$U$5:$U$1004,0))&amp;"","")</f>
        <v/>
      </c>
      <c r="G550" s="79">
        <f>IFERROR(INDEX(Firms!$P$5:$P$1004,MATCH(546,Firms!$U$5:$U$1004,0))&amp;"","")</f>
        <v/>
      </c>
      <c r="H550" s="91">
        <f>IFERROR(INDEX(Firms!$T$5:$T$1004,MATCH(546,Firms!$U$5:$U$1004,0))&amp;"","")</f>
        <v/>
      </c>
    </row>
    <row r="551">
      <c r="A551" s="79">
        <f>IF(B551="","",547)</f>
        <v/>
      </c>
      <c r="B551" s="91">
        <f>IFERROR(INDEX(Firms!$A$5:$A$1004,MATCH(547,Firms!$U$5:$U$1004,0))&amp;"","")</f>
        <v/>
      </c>
      <c r="C551" s="88">
        <f>IFERROR(IF(INDEX(Firms!$R$5:$R$1004,MATCH(547,Firms!$U$5:$U$1004,0))="","",INDEX(Firms!$R$5:$R$1004,MATCH(547,Firms!$U$5:$U$1004,0))),"")</f>
        <v/>
      </c>
      <c r="D551" s="91">
        <f>IFERROR(INDEX(Firms!$S$5:$S$1004,MATCH(547,Firms!$U$5:$U$1004,0))&amp;"","")</f>
        <v/>
      </c>
      <c r="E551" s="91">
        <f>IFERROR(INDEX(Firms!$C$5:$C$1004,MATCH(547,Firms!$U$5:$U$1004,0))&amp;"","")</f>
        <v/>
      </c>
      <c r="F551" s="79">
        <f>IFERROR(INDEX(Firms!$N$5:$N$1004,MATCH(547,Firms!$U$5:$U$1004,0))&amp;"","")</f>
        <v/>
      </c>
      <c r="G551" s="79">
        <f>IFERROR(INDEX(Firms!$P$5:$P$1004,MATCH(547,Firms!$U$5:$U$1004,0))&amp;"","")</f>
        <v/>
      </c>
      <c r="H551" s="91">
        <f>IFERROR(INDEX(Firms!$T$5:$T$1004,MATCH(547,Firms!$U$5:$U$1004,0))&amp;"","")</f>
        <v/>
      </c>
    </row>
    <row r="552">
      <c r="A552" s="79">
        <f>IF(B552="","",548)</f>
        <v/>
      </c>
      <c r="B552" s="91">
        <f>IFERROR(INDEX(Firms!$A$5:$A$1004,MATCH(548,Firms!$U$5:$U$1004,0))&amp;"","")</f>
        <v/>
      </c>
      <c r="C552" s="88">
        <f>IFERROR(IF(INDEX(Firms!$R$5:$R$1004,MATCH(548,Firms!$U$5:$U$1004,0))="","",INDEX(Firms!$R$5:$R$1004,MATCH(548,Firms!$U$5:$U$1004,0))),"")</f>
        <v/>
      </c>
      <c r="D552" s="91">
        <f>IFERROR(INDEX(Firms!$S$5:$S$1004,MATCH(548,Firms!$U$5:$U$1004,0))&amp;"","")</f>
        <v/>
      </c>
      <c r="E552" s="91">
        <f>IFERROR(INDEX(Firms!$C$5:$C$1004,MATCH(548,Firms!$U$5:$U$1004,0))&amp;"","")</f>
        <v/>
      </c>
      <c r="F552" s="79">
        <f>IFERROR(INDEX(Firms!$N$5:$N$1004,MATCH(548,Firms!$U$5:$U$1004,0))&amp;"","")</f>
        <v/>
      </c>
      <c r="G552" s="79">
        <f>IFERROR(INDEX(Firms!$P$5:$P$1004,MATCH(548,Firms!$U$5:$U$1004,0))&amp;"","")</f>
        <v/>
      </c>
      <c r="H552" s="91">
        <f>IFERROR(INDEX(Firms!$T$5:$T$1004,MATCH(548,Firms!$U$5:$U$1004,0))&amp;"","")</f>
        <v/>
      </c>
    </row>
    <row r="553">
      <c r="A553" s="79">
        <f>IF(B553="","",549)</f>
        <v/>
      </c>
      <c r="B553" s="91">
        <f>IFERROR(INDEX(Firms!$A$5:$A$1004,MATCH(549,Firms!$U$5:$U$1004,0))&amp;"","")</f>
        <v/>
      </c>
      <c r="C553" s="88">
        <f>IFERROR(IF(INDEX(Firms!$R$5:$R$1004,MATCH(549,Firms!$U$5:$U$1004,0))="","",INDEX(Firms!$R$5:$R$1004,MATCH(549,Firms!$U$5:$U$1004,0))),"")</f>
        <v/>
      </c>
      <c r="D553" s="91">
        <f>IFERROR(INDEX(Firms!$S$5:$S$1004,MATCH(549,Firms!$U$5:$U$1004,0))&amp;"","")</f>
        <v/>
      </c>
      <c r="E553" s="91">
        <f>IFERROR(INDEX(Firms!$C$5:$C$1004,MATCH(549,Firms!$U$5:$U$1004,0))&amp;"","")</f>
        <v/>
      </c>
      <c r="F553" s="79">
        <f>IFERROR(INDEX(Firms!$N$5:$N$1004,MATCH(549,Firms!$U$5:$U$1004,0))&amp;"","")</f>
        <v/>
      </c>
      <c r="G553" s="79">
        <f>IFERROR(INDEX(Firms!$P$5:$P$1004,MATCH(549,Firms!$U$5:$U$1004,0))&amp;"","")</f>
        <v/>
      </c>
      <c r="H553" s="91">
        <f>IFERROR(INDEX(Firms!$T$5:$T$1004,MATCH(549,Firms!$U$5:$U$1004,0))&amp;"","")</f>
        <v/>
      </c>
    </row>
    <row r="554">
      <c r="A554" s="79">
        <f>IF(B554="","",550)</f>
        <v/>
      </c>
      <c r="B554" s="91">
        <f>IFERROR(INDEX(Firms!$A$5:$A$1004,MATCH(550,Firms!$U$5:$U$1004,0))&amp;"","")</f>
        <v/>
      </c>
      <c r="C554" s="88">
        <f>IFERROR(IF(INDEX(Firms!$R$5:$R$1004,MATCH(550,Firms!$U$5:$U$1004,0))="","",INDEX(Firms!$R$5:$R$1004,MATCH(550,Firms!$U$5:$U$1004,0))),"")</f>
        <v/>
      </c>
      <c r="D554" s="91">
        <f>IFERROR(INDEX(Firms!$S$5:$S$1004,MATCH(550,Firms!$U$5:$U$1004,0))&amp;"","")</f>
        <v/>
      </c>
      <c r="E554" s="91">
        <f>IFERROR(INDEX(Firms!$C$5:$C$1004,MATCH(550,Firms!$U$5:$U$1004,0))&amp;"","")</f>
        <v/>
      </c>
      <c r="F554" s="79">
        <f>IFERROR(INDEX(Firms!$N$5:$N$1004,MATCH(550,Firms!$U$5:$U$1004,0))&amp;"","")</f>
        <v/>
      </c>
      <c r="G554" s="79">
        <f>IFERROR(INDEX(Firms!$P$5:$P$1004,MATCH(550,Firms!$U$5:$U$1004,0))&amp;"","")</f>
        <v/>
      </c>
      <c r="H554" s="91">
        <f>IFERROR(INDEX(Firms!$T$5:$T$1004,MATCH(550,Firms!$U$5:$U$1004,0))&amp;"","")</f>
        <v/>
      </c>
    </row>
    <row r="555">
      <c r="A555" s="79">
        <f>IF(B555="","",551)</f>
        <v/>
      </c>
      <c r="B555" s="91">
        <f>IFERROR(INDEX(Firms!$A$5:$A$1004,MATCH(551,Firms!$U$5:$U$1004,0))&amp;"","")</f>
        <v/>
      </c>
      <c r="C555" s="88">
        <f>IFERROR(IF(INDEX(Firms!$R$5:$R$1004,MATCH(551,Firms!$U$5:$U$1004,0))="","",INDEX(Firms!$R$5:$R$1004,MATCH(551,Firms!$U$5:$U$1004,0))),"")</f>
        <v/>
      </c>
      <c r="D555" s="91">
        <f>IFERROR(INDEX(Firms!$S$5:$S$1004,MATCH(551,Firms!$U$5:$U$1004,0))&amp;"","")</f>
        <v/>
      </c>
      <c r="E555" s="91">
        <f>IFERROR(INDEX(Firms!$C$5:$C$1004,MATCH(551,Firms!$U$5:$U$1004,0))&amp;"","")</f>
        <v/>
      </c>
      <c r="F555" s="79">
        <f>IFERROR(INDEX(Firms!$N$5:$N$1004,MATCH(551,Firms!$U$5:$U$1004,0))&amp;"","")</f>
        <v/>
      </c>
      <c r="G555" s="79">
        <f>IFERROR(INDEX(Firms!$P$5:$P$1004,MATCH(551,Firms!$U$5:$U$1004,0))&amp;"","")</f>
        <v/>
      </c>
      <c r="H555" s="91">
        <f>IFERROR(INDEX(Firms!$T$5:$T$1004,MATCH(551,Firms!$U$5:$U$1004,0))&amp;"","")</f>
        <v/>
      </c>
    </row>
    <row r="556">
      <c r="A556" s="79">
        <f>IF(B556="","",552)</f>
        <v/>
      </c>
      <c r="B556" s="91">
        <f>IFERROR(INDEX(Firms!$A$5:$A$1004,MATCH(552,Firms!$U$5:$U$1004,0))&amp;"","")</f>
        <v/>
      </c>
      <c r="C556" s="88">
        <f>IFERROR(IF(INDEX(Firms!$R$5:$R$1004,MATCH(552,Firms!$U$5:$U$1004,0))="","",INDEX(Firms!$R$5:$R$1004,MATCH(552,Firms!$U$5:$U$1004,0))),"")</f>
        <v/>
      </c>
      <c r="D556" s="91">
        <f>IFERROR(INDEX(Firms!$S$5:$S$1004,MATCH(552,Firms!$U$5:$U$1004,0))&amp;"","")</f>
        <v/>
      </c>
      <c r="E556" s="91">
        <f>IFERROR(INDEX(Firms!$C$5:$C$1004,MATCH(552,Firms!$U$5:$U$1004,0))&amp;"","")</f>
        <v/>
      </c>
      <c r="F556" s="79">
        <f>IFERROR(INDEX(Firms!$N$5:$N$1004,MATCH(552,Firms!$U$5:$U$1004,0))&amp;"","")</f>
        <v/>
      </c>
      <c r="G556" s="79">
        <f>IFERROR(INDEX(Firms!$P$5:$P$1004,MATCH(552,Firms!$U$5:$U$1004,0))&amp;"","")</f>
        <v/>
      </c>
      <c r="H556" s="91">
        <f>IFERROR(INDEX(Firms!$T$5:$T$1004,MATCH(552,Firms!$U$5:$U$1004,0))&amp;"","")</f>
        <v/>
      </c>
    </row>
    <row r="557">
      <c r="A557" s="79">
        <f>IF(B557="","",553)</f>
        <v/>
      </c>
      <c r="B557" s="91">
        <f>IFERROR(INDEX(Firms!$A$5:$A$1004,MATCH(553,Firms!$U$5:$U$1004,0))&amp;"","")</f>
        <v/>
      </c>
      <c r="C557" s="88">
        <f>IFERROR(IF(INDEX(Firms!$R$5:$R$1004,MATCH(553,Firms!$U$5:$U$1004,0))="","",INDEX(Firms!$R$5:$R$1004,MATCH(553,Firms!$U$5:$U$1004,0))),"")</f>
        <v/>
      </c>
      <c r="D557" s="91">
        <f>IFERROR(INDEX(Firms!$S$5:$S$1004,MATCH(553,Firms!$U$5:$U$1004,0))&amp;"","")</f>
        <v/>
      </c>
      <c r="E557" s="91">
        <f>IFERROR(INDEX(Firms!$C$5:$C$1004,MATCH(553,Firms!$U$5:$U$1004,0))&amp;"","")</f>
        <v/>
      </c>
      <c r="F557" s="79">
        <f>IFERROR(INDEX(Firms!$N$5:$N$1004,MATCH(553,Firms!$U$5:$U$1004,0))&amp;"","")</f>
        <v/>
      </c>
      <c r="G557" s="79">
        <f>IFERROR(INDEX(Firms!$P$5:$P$1004,MATCH(553,Firms!$U$5:$U$1004,0))&amp;"","")</f>
        <v/>
      </c>
      <c r="H557" s="91">
        <f>IFERROR(INDEX(Firms!$T$5:$T$1004,MATCH(553,Firms!$U$5:$U$1004,0))&amp;"","")</f>
        <v/>
      </c>
    </row>
    <row r="558">
      <c r="A558" s="79">
        <f>IF(B558="","",554)</f>
        <v/>
      </c>
      <c r="B558" s="91">
        <f>IFERROR(INDEX(Firms!$A$5:$A$1004,MATCH(554,Firms!$U$5:$U$1004,0))&amp;"","")</f>
        <v/>
      </c>
      <c r="C558" s="88">
        <f>IFERROR(IF(INDEX(Firms!$R$5:$R$1004,MATCH(554,Firms!$U$5:$U$1004,0))="","",INDEX(Firms!$R$5:$R$1004,MATCH(554,Firms!$U$5:$U$1004,0))),"")</f>
        <v/>
      </c>
      <c r="D558" s="91">
        <f>IFERROR(INDEX(Firms!$S$5:$S$1004,MATCH(554,Firms!$U$5:$U$1004,0))&amp;"","")</f>
        <v/>
      </c>
      <c r="E558" s="91">
        <f>IFERROR(INDEX(Firms!$C$5:$C$1004,MATCH(554,Firms!$U$5:$U$1004,0))&amp;"","")</f>
        <v/>
      </c>
      <c r="F558" s="79">
        <f>IFERROR(INDEX(Firms!$N$5:$N$1004,MATCH(554,Firms!$U$5:$U$1004,0))&amp;"","")</f>
        <v/>
      </c>
      <c r="G558" s="79">
        <f>IFERROR(INDEX(Firms!$P$5:$P$1004,MATCH(554,Firms!$U$5:$U$1004,0))&amp;"","")</f>
        <v/>
      </c>
      <c r="H558" s="91">
        <f>IFERROR(INDEX(Firms!$T$5:$T$1004,MATCH(554,Firms!$U$5:$U$1004,0))&amp;"","")</f>
        <v/>
      </c>
    </row>
    <row r="559">
      <c r="A559" s="79">
        <f>IF(B559="","",555)</f>
        <v/>
      </c>
      <c r="B559" s="91">
        <f>IFERROR(INDEX(Firms!$A$5:$A$1004,MATCH(555,Firms!$U$5:$U$1004,0))&amp;"","")</f>
        <v/>
      </c>
      <c r="C559" s="88">
        <f>IFERROR(IF(INDEX(Firms!$R$5:$R$1004,MATCH(555,Firms!$U$5:$U$1004,0))="","",INDEX(Firms!$R$5:$R$1004,MATCH(555,Firms!$U$5:$U$1004,0))),"")</f>
        <v/>
      </c>
      <c r="D559" s="91">
        <f>IFERROR(INDEX(Firms!$S$5:$S$1004,MATCH(555,Firms!$U$5:$U$1004,0))&amp;"","")</f>
        <v/>
      </c>
      <c r="E559" s="91">
        <f>IFERROR(INDEX(Firms!$C$5:$C$1004,MATCH(555,Firms!$U$5:$U$1004,0))&amp;"","")</f>
        <v/>
      </c>
      <c r="F559" s="79">
        <f>IFERROR(INDEX(Firms!$N$5:$N$1004,MATCH(555,Firms!$U$5:$U$1004,0))&amp;"","")</f>
        <v/>
      </c>
      <c r="G559" s="79">
        <f>IFERROR(INDEX(Firms!$P$5:$P$1004,MATCH(555,Firms!$U$5:$U$1004,0))&amp;"","")</f>
        <v/>
      </c>
      <c r="H559" s="91">
        <f>IFERROR(INDEX(Firms!$T$5:$T$1004,MATCH(555,Firms!$U$5:$U$1004,0))&amp;"","")</f>
        <v/>
      </c>
    </row>
    <row r="560">
      <c r="A560" s="79">
        <f>IF(B560="","",556)</f>
        <v/>
      </c>
      <c r="B560" s="91">
        <f>IFERROR(INDEX(Firms!$A$5:$A$1004,MATCH(556,Firms!$U$5:$U$1004,0))&amp;"","")</f>
        <v/>
      </c>
      <c r="C560" s="88">
        <f>IFERROR(IF(INDEX(Firms!$R$5:$R$1004,MATCH(556,Firms!$U$5:$U$1004,0))="","",INDEX(Firms!$R$5:$R$1004,MATCH(556,Firms!$U$5:$U$1004,0))),"")</f>
        <v/>
      </c>
      <c r="D560" s="91">
        <f>IFERROR(INDEX(Firms!$S$5:$S$1004,MATCH(556,Firms!$U$5:$U$1004,0))&amp;"","")</f>
        <v/>
      </c>
      <c r="E560" s="91">
        <f>IFERROR(INDEX(Firms!$C$5:$C$1004,MATCH(556,Firms!$U$5:$U$1004,0))&amp;"","")</f>
        <v/>
      </c>
      <c r="F560" s="79">
        <f>IFERROR(INDEX(Firms!$N$5:$N$1004,MATCH(556,Firms!$U$5:$U$1004,0))&amp;"","")</f>
        <v/>
      </c>
      <c r="G560" s="79">
        <f>IFERROR(INDEX(Firms!$P$5:$P$1004,MATCH(556,Firms!$U$5:$U$1004,0))&amp;"","")</f>
        <v/>
      </c>
      <c r="H560" s="91">
        <f>IFERROR(INDEX(Firms!$T$5:$T$1004,MATCH(556,Firms!$U$5:$U$1004,0))&amp;"","")</f>
        <v/>
      </c>
    </row>
    <row r="561">
      <c r="A561" s="79">
        <f>IF(B561="","",557)</f>
        <v/>
      </c>
      <c r="B561" s="91">
        <f>IFERROR(INDEX(Firms!$A$5:$A$1004,MATCH(557,Firms!$U$5:$U$1004,0))&amp;"","")</f>
        <v/>
      </c>
      <c r="C561" s="88">
        <f>IFERROR(IF(INDEX(Firms!$R$5:$R$1004,MATCH(557,Firms!$U$5:$U$1004,0))="","",INDEX(Firms!$R$5:$R$1004,MATCH(557,Firms!$U$5:$U$1004,0))),"")</f>
        <v/>
      </c>
      <c r="D561" s="91">
        <f>IFERROR(INDEX(Firms!$S$5:$S$1004,MATCH(557,Firms!$U$5:$U$1004,0))&amp;"","")</f>
        <v/>
      </c>
      <c r="E561" s="91">
        <f>IFERROR(INDEX(Firms!$C$5:$C$1004,MATCH(557,Firms!$U$5:$U$1004,0))&amp;"","")</f>
        <v/>
      </c>
      <c r="F561" s="79">
        <f>IFERROR(INDEX(Firms!$N$5:$N$1004,MATCH(557,Firms!$U$5:$U$1004,0))&amp;"","")</f>
        <v/>
      </c>
      <c r="G561" s="79">
        <f>IFERROR(INDEX(Firms!$P$5:$P$1004,MATCH(557,Firms!$U$5:$U$1004,0))&amp;"","")</f>
        <v/>
      </c>
      <c r="H561" s="91">
        <f>IFERROR(INDEX(Firms!$T$5:$T$1004,MATCH(557,Firms!$U$5:$U$1004,0))&amp;"","")</f>
        <v/>
      </c>
    </row>
    <row r="562">
      <c r="A562" s="79">
        <f>IF(B562="","",558)</f>
        <v/>
      </c>
      <c r="B562" s="91">
        <f>IFERROR(INDEX(Firms!$A$5:$A$1004,MATCH(558,Firms!$U$5:$U$1004,0))&amp;"","")</f>
        <v/>
      </c>
      <c r="C562" s="88">
        <f>IFERROR(IF(INDEX(Firms!$R$5:$R$1004,MATCH(558,Firms!$U$5:$U$1004,0))="","",INDEX(Firms!$R$5:$R$1004,MATCH(558,Firms!$U$5:$U$1004,0))),"")</f>
        <v/>
      </c>
      <c r="D562" s="91">
        <f>IFERROR(INDEX(Firms!$S$5:$S$1004,MATCH(558,Firms!$U$5:$U$1004,0))&amp;"","")</f>
        <v/>
      </c>
      <c r="E562" s="91">
        <f>IFERROR(INDEX(Firms!$C$5:$C$1004,MATCH(558,Firms!$U$5:$U$1004,0))&amp;"","")</f>
        <v/>
      </c>
      <c r="F562" s="79">
        <f>IFERROR(INDEX(Firms!$N$5:$N$1004,MATCH(558,Firms!$U$5:$U$1004,0))&amp;"","")</f>
        <v/>
      </c>
      <c r="G562" s="79">
        <f>IFERROR(INDEX(Firms!$P$5:$P$1004,MATCH(558,Firms!$U$5:$U$1004,0))&amp;"","")</f>
        <v/>
      </c>
      <c r="H562" s="91">
        <f>IFERROR(INDEX(Firms!$T$5:$T$1004,MATCH(558,Firms!$U$5:$U$1004,0))&amp;"","")</f>
        <v/>
      </c>
    </row>
    <row r="563">
      <c r="A563" s="79">
        <f>IF(B563="","",559)</f>
        <v/>
      </c>
      <c r="B563" s="91">
        <f>IFERROR(INDEX(Firms!$A$5:$A$1004,MATCH(559,Firms!$U$5:$U$1004,0))&amp;"","")</f>
        <v/>
      </c>
      <c r="C563" s="88">
        <f>IFERROR(IF(INDEX(Firms!$R$5:$R$1004,MATCH(559,Firms!$U$5:$U$1004,0))="","",INDEX(Firms!$R$5:$R$1004,MATCH(559,Firms!$U$5:$U$1004,0))),"")</f>
        <v/>
      </c>
      <c r="D563" s="91">
        <f>IFERROR(INDEX(Firms!$S$5:$S$1004,MATCH(559,Firms!$U$5:$U$1004,0))&amp;"","")</f>
        <v/>
      </c>
      <c r="E563" s="91">
        <f>IFERROR(INDEX(Firms!$C$5:$C$1004,MATCH(559,Firms!$U$5:$U$1004,0))&amp;"","")</f>
        <v/>
      </c>
      <c r="F563" s="79">
        <f>IFERROR(INDEX(Firms!$N$5:$N$1004,MATCH(559,Firms!$U$5:$U$1004,0))&amp;"","")</f>
        <v/>
      </c>
      <c r="G563" s="79">
        <f>IFERROR(INDEX(Firms!$P$5:$P$1004,MATCH(559,Firms!$U$5:$U$1004,0))&amp;"","")</f>
        <v/>
      </c>
      <c r="H563" s="91">
        <f>IFERROR(INDEX(Firms!$T$5:$T$1004,MATCH(559,Firms!$U$5:$U$1004,0))&amp;"","")</f>
        <v/>
      </c>
    </row>
    <row r="564">
      <c r="A564" s="79">
        <f>IF(B564="","",560)</f>
        <v/>
      </c>
      <c r="B564" s="91">
        <f>IFERROR(INDEX(Firms!$A$5:$A$1004,MATCH(560,Firms!$U$5:$U$1004,0))&amp;"","")</f>
        <v/>
      </c>
      <c r="C564" s="88">
        <f>IFERROR(IF(INDEX(Firms!$R$5:$R$1004,MATCH(560,Firms!$U$5:$U$1004,0))="","",INDEX(Firms!$R$5:$R$1004,MATCH(560,Firms!$U$5:$U$1004,0))),"")</f>
        <v/>
      </c>
      <c r="D564" s="91">
        <f>IFERROR(INDEX(Firms!$S$5:$S$1004,MATCH(560,Firms!$U$5:$U$1004,0))&amp;"","")</f>
        <v/>
      </c>
      <c r="E564" s="91">
        <f>IFERROR(INDEX(Firms!$C$5:$C$1004,MATCH(560,Firms!$U$5:$U$1004,0))&amp;"","")</f>
        <v/>
      </c>
      <c r="F564" s="79">
        <f>IFERROR(INDEX(Firms!$N$5:$N$1004,MATCH(560,Firms!$U$5:$U$1004,0))&amp;"","")</f>
        <v/>
      </c>
      <c r="G564" s="79">
        <f>IFERROR(INDEX(Firms!$P$5:$P$1004,MATCH(560,Firms!$U$5:$U$1004,0))&amp;"","")</f>
        <v/>
      </c>
      <c r="H564" s="91">
        <f>IFERROR(INDEX(Firms!$T$5:$T$1004,MATCH(560,Firms!$U$5:$U$1004,0))&amp;"","")</f>
        <v/>
      </c>
    </row>
    <row r="565">
      <c r="A565" s="79">
        <f>IF(B565="","",561)</f>
        <v/>
      </c>
      <c r="B565" s="91">
        <f>IFERROR(INDEX(Firms!$A$5:$A$1004,MATCH(561,Firms!$U$5:$U$1004,0))&amp;"","")</f>
        <v/>
      </c>
      <c r="C565" s="88">
        <f>IFERROR(IF(INDEX(Firms!$R$5:$R$1004,MATCH(561,Firms!$U$5:$U$1004,0))="","",INDEX(Firms!$R$5:$R$1004,MATCH(561,Firms!$U$5:$U$1004,0))),"")</f>
        <v/>
      </c>
      <c r="D565" s="91">
        <f>IFERROR(INDEX(Firms!$S$5:$S$1004,MATCH(561,Firms!$U$5:$U$1004,0))&amp;"","")</f>
        <v/>
      </c>
      <c r="E565" s="91">
        <f>IFERROR(INDEX(Firms!$C$5:$C$1004,MATCH(561,Firms!$U$5:$U$1004,0))&amp;"","")</f>
        <v/>
      </c>
      <c r="F565" s="79">
        <f>IFERROR(INDEX(Firms!$N$5:$N$1004,MATCH(561,Firms!$U$5:$U$1004,0))&amp;"","")</f>
        <v/>
      </c>
      <c r="G565" s="79">
        <f>IFERROR(INDEX(Firms!$P$5:$P$1004,MATCH(561,Firms!$U$5:$U$1004,0))&amp;"","")</f>
        <v/>
      </c>
      <c r="H565" s="91">
        <f>IFERROR(INDEX(Firms!$T$5:$T$1004,MATCH(561,Firms!$U$5:$U$1004,0))&amp;"","")</f>
        <v/>
      </c>
    </row>
    <row r="566">
      <c r="A566" s="79">
        <f>IF(B566="","",562)</f>
        <v/>
      </c>
      <c r="B566" s="91">
        <f>IFERROR(INDEX(Firms!$A$5:$A$1004,MATCH(562,Firms!$U$5:$U$1004,0))&amp;"","")</f>
        <v/>
      </c>
      <c r="C566" s="88">
        <f>IFERROR(IF(INDEX(Firms!$R$5:$R$1004,MATCH(562,Firms!$U$5:$U$1004,0))="","",INDEX(Firms!$R$5:$R$1004,MATCH(562,Firms!$U$5:$U$1004,0))),"")</f>
        <v/>
      </c>
      <c r="D566" s="91">
        <f>IFERROR(INDEX(Firms!$S$5:$S$1004,MATCH(562,Firms!$U$5:$U$1004,0))&amp;"","")</f>
        <v/>
      </c>
      <c r="E566" s="91">
        <f>IFERROR(INDEX(Firms!$C$5:$C$1004,MATCH(562,Firms!$U$5:$U$1004,0))&amp;"","")</f>
        <v/>
      </c>
      <c r="F566" s="79">
        <f>IFERROR(INDEX(Firms!$N$5:$N$1004,MATCH(562,Firms!$U$5:$U$1004,0))&amp;"","")</f>
        <v/>
      </c>
      <c r="G566" s="79">
        <f>IFERROR(INDEX(Firms!$P$5:$P$1004,MATCH(562,Firms!$U$5:$U$1004,0))&amp;"","")</f>
        <v/>
      </c>
      <c r="H566" s="91">
        <f>IFERROR(INDEX(Firms!$T$5:$T$1004,MATCH(562,Firms!$U$5:$U$1004,0))&amp;"","")</f>
        <v/>
      </c>
    </row>
    <row r="567">
      <c r="A567" s="79">
        <f>IF(B567="","",563)</f>
        <v/>
      </c>
      <c r="B567" s="91">
        <f>IFERROR(INDEX(Firms!$A$5:$A$1004,MATCH(563,Firms!$U$5:$U$1004,0))&amp;"","")</f>
        <v/>
      </c>
      <c r="C567" s="88">
        <f>IFERROR(IF(INDEX(Firms!$R$5:$R$1004,MATCH(563,Firms!$U$5:$U$1004,0))="","",INDEX(Firms!$R$5:$R$1004,MATCH(563,Firms!$U$5:$U$1004,0))),"")</f>
        <v/>
      </c>
      <c r="D567" s="91">
        <f>IFERROR(INDEX(Firms!$S$5:$S$1004,MATCH(563,Firms!$U$5:$U$1004,0))&amp;"","")</f>
        <v/>
      </c>
      <c r="E567" s="91">
        <f>IFERROR(INDEX(Firms!$C$5:$C$1004,MATCH(563,Firms!$U$5:$U$1004,0))&amp;"","")</f>
        <v/>
      </c>
      <c r="F567" s="79">
        <f>IFERROR(INDEX(Firms!$N$5:$N$1004,MATCH(563,Firms!$U$5:$U$1004,0))&amp;"","")</f>
        <v/>
      </c>
      <c r="G567" s="79">
        <f>IFERROR(INDEX(Firms!$P$5:$P$1004,MATCH(563,Firms!$U$5:$U$1004,0))&amp;"","")</f>
        <v/>
      </c>
      <c r="H567" s="91">
        <f>IFERROR(INDEX(Firms!$T$5:$T$1004,MATCH(563,Firms!$U$5:$U$1004,0))&amp;"","")</f>
        <v/>
      </c>
    </row>
    <row r="568">
      <c r="A568" s="79">
        <f>IF(B568="","",564)</f>
        <v/>
      </c>
      <c r="B568" s="91">
        <f>IFERROR(INDEX(Firms!$A$5:$A$1004,MATCH(564,Firms!$U$5:$U$1004,0))&amp;"","")</f>
        <v/>
      </c>
      <c r="C568" s="88">
        <f>IFERROR(IF(INDEX(Firms!$R$5:$R$1004,MATCH(564,Firms!$U$5:$U$1004,0))="","",INDEX(Firms!$R$5:$R$1004,MATCH(564,Firms!$U$5:$U$1004,0))),"")</f>
        <v/>
      </c>
      <c r="D568" s="91">
        <f>IFERROR(INDEX(Firms!$S$5:$S$1004,MATCH(564,Firms!$U$5:$U$1004,0))&amp;"","")</f>
        <v/>
      </c>
      <c r="E568" s="91">
        <f>IFERROR(INDEX(Firms!$C$5:$C$1004,MATCH(564,Firms!$U$5:$U$1004,0))&amp;"","")</f>
        <v/>
      </c>
      <c r="F568" s="79">
        <f>IFERROR(INDEX(Firms!$N$5:$N$1004,MATCH(564,Firms!$U$5:$U$1004,0))&amp;"","")</f>
        <v/>
      </c>
      <c r="G568" s="79">
        <f>IFERROR(INDEX(Firms!$P$5:$P$1004,MATCH(564,Firms!$U$5:$U$1004,0))&amp;"","")</f>
        <v/>
      </c>
      <c r="H568" s="91">
        <f>IFERROR(INDEX(Firms!$T$5:$T$1004,MATCH(564,Firms!$U$5:$U$1004,0))&amp;"","")</f>
        <v/>
      </c>
    </row>
    <row r="569">
      <c r="A569" s="79">
        <f>IF(B569="","",565)</f>
        <v/>
      </c>
      <c r="B569" s="91">
        <f>IFERROR(INDEX(Firms!$A$5:$A$1004,MATCH(565,Firms!$U$5:$U$1004,0))&amp;"","")</f>
        <v/>
      </c>
      <c r="C569" s="88">
        <f>IFERROR(IF(INDEX(Firms!$R$5:$R$1004,MATCH(565,Firms!$U$5:$U$1004,0))="","",INDEX(Firms!$R$5:$R$1004,MATCH(565,Firms!$U$5:$U$1004,0))),"")</f>
        <v/>
      </c>
      <c r="D569" s="91">
        <f>IFERROR(INDEX(Firms!$S$5:$S$1004,MATCH(565,Firms!$U$5:$U$1004,0))&amp;"","")</f>
        <v/>
      </c>
      <c r="E569" s="91">
        <f>IFERROR(INDEX(Firms!$C$5:$C$1004,MATCH(565,Firms!$U$5:$U$1004,0))&amp;"","")</f>
        <v/>
      </c>
      <c r="F569" s="79">
        <f>IFERROR(INDEX(Firms!$N$5:$N$1004,MATCH(565,Firms!$U$5:$U$1004,0))&amp;"","")</f>
        <v/>
      </c>
      <c r="G569" s="79">
        <f>IFERROR(INDEX(Firms!$P$5:$P$1004,MATCH(565,Firms!$U$5:$U$1004,0))&amp;"","")</f>
        <v/>
      </c>
      <c r="H569" s="91">
        <f>IFERROR(INDEX(Firms!$T$5:$T$1004,MATCH(565,Firms!$U$5:$U$1004,0))&amp;"","")</f>
        <v/>
      </c>
    </row>
    <row r="570">
      <c r="A570" s="79">
        <f>IF(B570="","",566)</f>
        <v/>
      </c>
      <c r="B570" s="91">
        <f>IFERROR(INDEX(Firms!$A$5:$A$1004,MATCH(566,Firms!$U$5:$U$1004,0))&amp;"","")</f>
        <v/>
      </c>
      <c r="C570" s="88">
        <f>IFERROR(IF(INDEX(Firms!$R$5:$R$1004,MATCH(566,Firms!$U$5:$U$1004,0))="","",INDEX(Firms!$R$5:$R$1004,MATCH(566,Firms!$U$5:$U$1004,0))),"")</f>
        <v/>
      </c>
      <c r="D570" s="91">
        <f>IFERROR(INDEX(Firms!$S$5:$S$1004,MATCH(566,Firms!$U$5:$U$1004,0))&amp;"","")</f>
        <v/>
      </c>
      <c r="E570" s="91">
        <f>IFERROR(INDEX(Firms!$C$5:$C$1004,MATCH(566,Firms!$U$5:$U$1004,0))&amp;"","")</f>
        <v/>
      </c>
      <c r="F570" s="79">
        <f>IFERROR(INDEX(Firms!$N$5:$N$1004,MATCH(566,Firms!$U$5:$U$1004,0))&amp;"","")</f>
        <v/>
      </c>
      <c r="G570" s="79">
        <f>IFERROR(INDEX(Firms!$P$5:$P$1004,MATCH(566,Firms!$U$5:$U$1004,0))&amp;"","")</f>
        <v/>
      </c>
      <c r="H570" s="91">
        <f>IFERROR(INDEX(Firms!$T$5:$T$1004,MATCH(566,Firms!$U$5:$U$1004,0))&amp;"","")</f>
        <v/>
      </c>
    </row>
    <row r="571">
      <c r="A571" s="79">
        <f>IF(B571="","",567)</f>
        <v/>
      </c>
      <c r="B571" s="91">
        <f>IFERROR(INDEX(Firms!$A$5:$A$1004,MATCH(567,Firms!$U$5:$U$1004,0))&amp;"","")</f>
        <v/>
      </c>
      <c r="C571" s="88">
        <f>IFERROR(IF(INDEX(Firms!$R$5:$R$1004,MATCH(567,Firms!$U$5:$U$1004,0))="","",INDEX(Firms!$R$5:$R$1004,MATCH(567,Firms!$U$5:$U$1004,0))),"")</f>
        <v/>
      </c>
      <c r="D571" s="91">
        <f>IFERROR(INDEX(Firms!$S$5:$S$1004,MATCH(567,Firms!$U$5:$U$1004,0))&amp;"","")</f>
        <v/>
      </c>
      <c r="E571" s="91">
        <f>IFERROR(INDEX(Firms!$C$5:$C$1004,MATCH(567,Firms!$U$5:$U$1004,0))&amp;"","")</f>
        <v/>
      </c>
      <c r="F571" s="79">
        <f>IFERROR(INDEX(Firms!$N$5:$N$1004,MATCH(567,Firms!$U$5:$U$1004,0))&amp;"","")</f>
        <v/>
      </c>
      <c r="G571" s="79">
        <f>IFERROR(INDEX(Firms!$P$5:$P$1004,MATCH(567,Firms!$U$5:$U$1004,0))&amp;"","")</f>
        <v/>
      </c>
      <c r="H571" s="91">
        <f>IFERROR(INDEX(Firms!$T$5:$T$1004,MATCH(567,Firms!$U$5:$U$1004,0))&amp;"","")</f>
        <v/>
      </c>
    </row>
    <row r="572">
      <c r="A572" s="79">
        <f>IF(B572="","",568)</f>
        <v/>
      </c>
      <c r="B572" s="91">
        <f>IFERROR(INDEX(Firms!$A$5:$A$1004,MATCH(568,Firms!$U$5:$U$1004,0))&amp;"","")</f>
        <v/>
      </c>
      <c r="C572" s="88">
        <f>IFERROR(IF(INDEX(Firms!$R$5:$R$1004,MATCH(568,Firms!$U$5:$U$1004,0))="","",INDEX(Firms!$R$5:$R$1004,MATCH(568,Firms!$U$5:$U$1004,0))),"")</f>
        <v/>
      </c>
      <c r="D572" s="91">
        <f>IFERROR(INDEX(Firms!$S$5:$S$1004,MATCH(568,Firms!$U$5:$U$1004,0))&amp;"","")</f>
        <v/>
      </c>
      <c r="E572" s="91">
        <f>IFERROR(INDEX(Firms!$C$5:$C$1004,MATCH(568,Firms!$U$5:$U$1004,0))&amp;"","")</f>
        <v/>
      </c>
      <c r="F572" s="79">
        <f>IFERROR(INDEX(Firms!$N$5:$N$1004,MATCH(568,Firms!$U$5:$U$1004,0))&amp;"","")</f>
        <v/>
      </c>
      <c r="G572" s="79">
        <f>IFERROR(INDEX(Firms!$P$5:$P$1004,MATCH(568,Firms!$U$5:$U$1004,0))&amp;"","")</f>
        <v/>
      </c>
      <c r="H572" s="91">
        <f>IFERROR(INDEX(Firms!$T$5:$T$1004,MATCH(568,Firms!$U$5:$U$1004,0))&amp;"","")</f>
        <v/>
      </c>
    </row>
    <row r="573">
      <c r="A573" s="79">
        <f>IF(B573="","",569)</f>
        <v/>
      </c>
      <c r="B573" s="91">
        <f>IFERROR(INDEX(Firms!$A$5:$A$1004,MATCH(569,Firms!$U$5:$U$1004,0))&amp;"","")</f>
        <v/>
      </c>
      <c r="C573" s="88">
        <f>IFERROR(IF(INDEX(Firms!$R$5:$R$1004,MATCH(569,Firms!$U$5:$U$1004,0))="","",INDEX(Firms!$R$5:$R$1004,MATCH(569,Firms!$U$5:$U$1004,0))),"")</f>
        <v/>
      </c>
      <c r="D573" s="91">
        <f>IFERROR(INDEX(Firms!$S$5:$S$1004,MATCH(569,Firms!$U$5:$U$1004,0))&amp;"","")</f>
        <v/>
      </c>
      <c r="E573" s="91">
        <f>IFERROR(INDEX(Firms!$C$5:$C$1004,MATCH(569,Firms!$U$5:$U$1004,0))&amp;"","")</f>
        <v/>
      </c>
      <c r="F573" s="79">
        <f>IFERROR(INDEX(Firms!$N$5:$N$1004,MATCH(569,Firms!$U$5:$U$1004,0))&amp;"","")</f>
        <v/>
      </c>
      <c r="G573" s="79">
        <f>IFERROR(INDEX(Firms!$P$5:$P$1004,MATCH(569,Firms!$U$5:$U$1004,0))&amp;"","")</f>
        <v/>
      </c>
      <c r="H573" s="91">
        <f>IFERROR(INDEX(Firms!$T$5:$T$1004,MATCH(569,Firms!$U$5:$U$1004,0))&amp;"","")</f>
        <v/>
      </c>
    </row>
    <row r="574">
      <c r="A574" s="79">
        <f>IF(B574="","",570)</f>
        <v/>
      </c>
      <c r="B574" s="91">
        <f>IFERROR(INDEX(Firms!$A$5:$A$1004,MATCH(570,Firms!$U$5:$U$1004,0))&amp;"","")</f>
        <v/>
      </c>
      <c r="C574" s="88">
        <f>IFERROR(IF(INDEX(Firms!$R$5:$R$1004,MATCH(570,Firms!$U$5:$U$1004,0))="","",INDEX(Firms!$R$5:$R$1004,MATCH(570,Firms!$U$5:$U$1004,0))),"")</f>
        <v/>
      </c>
      <c r="D574" s="91">
        <f>IFERROR(INDEX(Firms!$S$5:$S$1004,MATCH(570,Firms!$U$5:$U$1004,0))&amp;"","")</f>
        <v/>
      </c>
      <c r="E574" s="91">
        <f>IFERROR(INDEX(Firms!$C$5:$C$1004,MATCH(570,Firms!$U$5:$U$1004,0))&amp;"","")</f>
        <v/>
      </c>
      <c r="F574" s="79">
        <f>IFERROR(INDEX(Firms!$N$5:$N$1004,MATCH(570,Firms!$U$5:$U$1004,0))&amp;"","")</f>
        <v/>
      </c>
      <c r="G574" s="79">
        <f>IFERROR(INDEX(Firms!$P$5:$P$1004,MATCH(570,Firms!$U$5:$U$1004,0))&amp;"","")</f>
        <v/>
      </c>
      <c r="H574" s="91">
        <f>IFERROR(INDEX(Firms!$T$5:$T$1004,MATCH(570,Firms!$U$5:$U$1004,0))&amp;"","")</f>
        <v/>
      </c>
    </row>
    <row r="575">
      <c r="A575" s="79">
        <f>IF(B575="","",571)</f>
        <v/>
      </c>
      <c r="B575" s="91">
        <f>IFERROR(INDEX(Firms!$A$5:$A$1004,MATCH(571,Firms!$U$5:$U$1004,0))&amp;"","")</f>
        <v/>
      </c>
      <c r="C575" s="88">
        <f>IFERROR(IF(INDEX(Firms!$R$5:$R$1004,MATCH(571,Firms!$U$5:$U$1004,0))="","",INDEX(Firms!$R$5:$R$1004,MATCH(571,Firms!$U$5:$U$1004,0))),"")</f>
        <v/>
      </c>
      <c r="D575" s="91">
        <f>IFERROR(INDEX(Firms!$S$5:$S$1004,MATCH(571,Firms!$U$5:$U$1004,0))&amp;"","")</f>
        <v/>
      </c>
      <c r="E575" s="91">
        <f>IFERROR(INDEX(Firms!$C$5:$C$1004,MATCH(571,Firms!$U$5:$U$1004,0))&amp;"","")</f>
        <v/>
      </c>
      <c r="F575" s="79">
        <f>IFERROR(INDEX(Firms!$N$5:$N$1004,MATCH(571,Firms!$U$5:$U$1004,0))&amp;"","")</f>
        <v/>
      </c>
      <c r="G575" s="79">
        <f>IFERROR(INDEX(Firms!$P$5:$P$1004,MATCH(571,Firms!$U$5:$U$1004,0))&amp;"","")</f>
        <v/>
      </c>
      <c r="H575" s="91">
        <f>IFERROR(INDEX(Firms!$T$5:$T$1004,MATCH(571,Firms!$U$5:$U$1004,0))&amp;"","")</f>
        <v/>
      </c>
    </row>
    <row r="576">
      <c r="A576" s="79">
        <f>IF(B576="","",572)</f>
        <v/>
      </c>
      <c r="B576" s="91">
        <f>IFERROR(INDEX(Firms!$A$5:$A$1004,MATCH(572,Firms!$U$5:$U$1004,0))&amp;"","")</f>
        <v/>
      </c>
      <c r="C576" s="88">
        <f>IFERROR(IF(INDEX(Firms!$R$5:$R$1004,MATCH(572,Firms!$U$5:$U$1004,0))="","",INDEX(Firms!$R$5:$R$1004,MATCH(572,Firms!$U$5:$U$1004,0))),"")</f>
        <v/>
      </c>
      <c r="D576" s="91">
        <f>IFERROR(INDEX(Firms!$S$5:$S$1004,MATCH(572,Firms!$U$5:$U$1004,0))&amp;"","")</f>
        <v/>
      </c>
      <c r="E576" s="91">
        <f>IFERROR(INDEX(Firms!$C$5:$C$1004,MATCH(572,Firms!$U$5:$U$1004,0))&amp;"","")</f>
        <v/>
      </c>
      <c r="F576" s="79">
        <f>IFERROR(INDEX(Firms!$N$5:$N$1004,MATCH(572,Firms!$U$5:$U$1004,0))&amp;"","")</f>
        <v/>
      </c>
      <c r="G576" s="79">
        <f>IFERROR(INDEX(Firms!$P$5:$P$1004,MATCH(572,Firms!$U$5:$U$1004,0))&amp;"","")</f>
        <v/>
      </c>
      <c r="H576" s="91">
        <f>IFERROR(INDEX(Firms!$T$5:$T$1004,MATCH(572,Firms!$U$5:$U$1004,0))&amp;"","")</f>
        <v/>
      </c>
    </row>
    <row r="577">
      <c r="A577" s="79">
        <f>IF(B577="","",573)</f>
        <v/>
      </c>
      <c r="B577" s="91">
        <f>IFERROR(INDEX(Firms!$A$5:$A$1004,MATCH(573,Firms!$U$5:$U$1004,0))&amp;"","")</f>
        <v/>
      </c>
      <c r="C577" s="88">
        <f>IFERROR(IF(INDEX(Firms!$R$5:$R$1004,MATCH(573,Firms!$U$5:$U$1004,0))="","",INDEX(Firms!$R$5:$R$1004,MATCH(573,Firms!$U$5:$U$1004,0))),"")</f>
        <v/>
      </c>
      <c r="D577" s="91">
        <f>IFERROR(INDEX(Firms!$S$5:$S$1004,MATCH(573,Firms!$U$5:$U$1004,0))&amp;"","")</f>
        <v/>
      </c>
      <c r="E577" s="91">
        <f>IFERROR(INDEX(Firms!$C$5:$C$1004,MATCH(573,Firms!$U$5:$U$1004,0))&amp;"","")</f>
        <v/>
      </c>
      <c r="F577" s="79">
        <f>IFERROR(INDEX(Firms!$N$5:$N$1004,MATCH(573,Firms!$U$5:$U$1004,0))&amp;"","")</f>
        <v/>
      </c>
      <c r="G577" s="79">
        <f>IFERROR(INDEX(Firms!$P$5:$P$1004,MATCH(573,Firms!$U$5:$U$1004,0))&amp;"","")</f>
        <v/>
      </c>
      <c r="H577" s="91">
        <f>IFERROR(INDEX(Firms!$T$5:$T$1004,MATCH(573,Firms!$U$5:$U$1004,0))&amp;"","")</f>
        <v/>
      </c>
    </row>
    <row r="578">
      <c r="A578" s="79">
        <f>IF(B578="","",574)</f>
        <v/>
      </c>
      <c r="B578" s="91">
        <f>IFERROR(INDEX(Firms!$A$5:$A$1004,MATCH(574,Firms!$U$5:$U$1004,0))&amp;"","")</f>
        <v/>
      </c>
      <c r="C578" s="88">
        <f>IFERROR(IF(INDEX(Firms!$R$5:$R$1004,MATCH(574,Firms!$U$5:$U$1004,0))="","",INDEX(Firms!$R$5:$R$1004,MATCH(574,Firms!$U$5:$U$1004,0))),"")</f>
        <v/>
      </c>
      <c r="D578" s="91">
        <f>IFERROR(INDEX(Firms!$S$5:$S$1004,MATCH(574,Firms!$U$5:$U$1004,0))&amp;"","")</f>
        <v/>
      </c>
      <c r="E578" s="91">
        <f>IFERROR(INDEX(Firms!$C$5:$C$1004,MATCH(574,Firms!$U$5:$U$1004,0))&amp;"","")</f>
        <v/>
      </c>
      <c r="F578" s="79">
        <f>IFERROR(INDEX(Firms!$N$5:$N$1004,MATCH(574,Firms!$U$5:$U$1004,0))&amp;"","")</f>
        <v/>
      </c>
      <c r="G578" s="79">
        <f>IFERROR(INDEX(Firms!$P$5:$P$1004,MATCH(574,Firms!$U$5:$U$1004,0))&amp;"","")</f>
        <v/>
      </c>
      <c r="H578" s="91">
        <f>IFERROR(INDEX(Firms!$T$5:$T$1004,MATCH(574,Firms!$U$5:$U$1004,0))&amp;"","")</f>
        <v/>
      </c>
    </row>
    <row r="579">
      <c r="A579" s="79">
        <f>IF(B579="","",575)</f>
        <v/>
      </c>
      <c r="B579" s="91">
        <f>IFERROR(INDEX(Firms!$A$5:$A$1004,MATCH(575,Firms!$U$5:$U$1004,0))&amp;"","")</f>
        <v/>
      </c>
      <c r="C579" s="88">
        <f>IFERROR(IF(INDEX(Firms!$R$5:$R$1004,MATCH(575,Firms!$U$5:$U$1004,0))="","",INDEX(Firms!$R$5:$R$1004,MATCH(575,Firms!$U$5:$U$1004,0))),"")</f>
        <v/>
      </c>
      <c r="D579" s="91">
        <f>IFERROR(INDEX(Firms!$S$5:$S$1004,MATCH(575,Firms!$U$5:$U$1004,0))&amp;"","")</f>
        <v/>
      </c>
      <c r="E579" s="91">
        <f>IFERROR(INDEX(Firms!$C$5:$C$1004,MATCH(575,Firms!$U$5:$U$1004,0))&amp;"","")</f>
        <v/>
      </c>
      <c r="F579" s="79">
        <f>IFERROR(INDEX(Firms!$N$5:$N$1004,MATCH(575,Firms!$U$5:$U$1004,0))&amp;"","")</f>
        <v/>
      </c>
      <c r="G579" s="79">
        <f>IFERROR(INDEX(Firms!$P$5:$P$1004,MATCH(575,Firms!$U$5:$U$1004,0))&amp;"","")</f>
        <v/>
      </c>
      <c r="H579" s="91">
        <f>IFERROR(INDEX(Firms!$T$5:$T$1004,MATCH(575,Firms!$U$5:$U$1004,0))&amp;"","")</f>
        <v/>
      </c>
    </row>
    <row r="580">
      <c r="A580" s="79">
        <f>IF(B580="","",576)</f>
        <v/>
      </c>
      <c r="B580" s="91">
        <f>IFERROR(INDEX(Firms!$A$5:$A$1004,MATCH(576,Firms!$U$5:$U$1004,0))&amp;"","")</f>
        <v/>
      </c>
      <c r="C580" s="88">
        <f>IFERROR(IF(INDEX(Firms!$R$5:$R$1004,MATCH(576,Firms!$U$5:$U$1004,0))="","",INDEX(Firms!$R$5:$R$1004,MATCH(576,Firms!$U$5:$U$1004,0))),"")</f>
        <v/>
      </c>
      <c r="D580" s="91">
        <f>IFERROR(INDEX(Firms!$S$5:$S$1004,MATCH(576,Firms!$U$5:$U$1004,0))&amp;"","")</f>
        <v/>
      </c>
      <c r="E580" s="91">
        <f>IFERROR(INDEX(Firms!$C$5:$C$1004,MATCH(576,Firms!$U$5:$U$1004,0))&amp;"","")</f>
        <v/>
      </c>
      <c r="F580" s="79">
        <f>IFERROR(INDEX(Firms!$N$5:$N$1004,MATCH(576,Firms!$U$5:$U$1004,0))&amp;"","")</f>
        <v/>
      </c>
      <c r="G580" s="79">
        <f>IFERROR(INDEX(Firms!$P$5:$P$1004,MATCH(576,Firms!$U$5:$U$1004,0))&amp;"","")</f>
        <v/>
      </c>
      <c r="H580" s="91">
        <f>IFERROR(INDEX(Firms!$T$5:$T$1004,MATCH(576,Firms!$U$5:$U$1004,0))&amp;"","")</f>
        <v/>
      </c>
    </row>
    <row r="581">
      <c r="A581" s="79">
        <f>IF(B581="","",577)</f>
        <v/>
      </c>
      <c r="B581" s="91">
        <f>IFERROR(INDEX(Firms!$A$5:$A$1004,MATCH(577,Firms!$U$5:$U$1004,0))&amp;"","")</f>
        <v/>
      </c>
      <c r="C581" s="88">
        <f>IFERROR(IF(INDEX(Firms!$R$5:$R$1004,MATCH(577,Firms!$U$5:$U$1004,0))="","",INDEX(Firms!$R$5:$R$1004,MATCH(577,Firms!$U$5:$U$1004,0))),"")</f>
        <v/>
      </c>
      <c r="D581" s="91">
        <f>IFERROR(INDEX(Firms!$S$5:$S$1004,MATCH(577,Firms!$U$5:$U$1004,0))&amp;"","")</f>
        <v/>
      </c>
      <c r="E581" s="91">
        <f>IFERROR(INDEX(Firms!$C$5:$C$1004,MATCH(577,Firms!$U$5:$U$1004,0))&amp;"","")</f>
        <v/>
      </c>
      <c r="F581" s="79">
        <f>IFERROR(INDEX(Firms!$N$5:$N$1004,MATCH(577,Firms!$U$5:$U$1004,0))&amp;"","")</f>
        <v/>
      </c>
      <c r="G581" s="79">
        <f>IFERROR(INDEX(Firms!$P$5:$P$1004,MATCH(577,Firms!$U$5:$U$1004,0))&amp;"","")</f>
        <v/>
      </c>
      <c r="H581" s="91">
        <f>IFERROR(INDEX(Firms!$T$5:$T$1004,MATCH(577,Firms!$U$5:$U$1004,0))&amp;"","")</f>
        <v/>
      </c>
    </row>
    <row r="582">
      <c r="A582" s="79">
        <f>IF(B582="","",578)</f>
        <v/>
      </c>
      <c r="B582" s="91">
        <f>IFERROR(INDEX(Firms!$A$5:$A$1004,MATCH(578,Firms!$U$5:$U$1004,0))&amp;"","")</f>
        <v/>
      </c>
      <c r="C582" s="88">
        <f>IFERROR(IF(INDEX(Firms!$R$5:$R$1004,MATCH(578,Firms!$U$5:$U$1004,0))="","",INDEX(Firms!$R$5:$R$1004,MATCH(578,Firms!$U$5:$U$1004,0))),"")</f>
        <v/>
      </c>
      <c r="D582" s="91">
        <f>IFERROR(INDEX(Firms!$S$5:$S$1004,MATCH(578,Firms!$U$5:$U$1004,0))&amp;"","")</f>
        <v/>
      </c>
      <c r="E582" s="91">
        <f>IFERROR(INDEX(Firms!$C$5:$C$1004,MATCH(578,Firms!$U$5:$U$1004,0))&amp;"","")</f>
        <v/>
      </c>
      <c r="F582" s="79">
        <f>IFERROR(INDEX(Firms!$N$5:$N$1004,MATCH(578,Firms!$U$5:$U$1004,0))&amp;"","")</f>
        <v/>
      </c>
      <c r="G582" s="79">
        <f>IFERROR(INDEX(Firms!$P$5:$P$1004,MATCH(578,Firms!$U$5:$U$1004,0))&amp;"","")</f>
        <v/>
      </c>
      <c r="H582" s="91">
        <f>IFERROR(INDEX(Firms!$T$5:$T$1004,MATCH(578,Firms!$U$5:$U$1004,0))&amp;"","")</f>
        <v/>
      </c>
    </row>
    <row r="583">
      <c r="A583" s="79">
        <f>IF(B583="","",579)</f>
        <v/>
      </c>
      <c r="B583" s="91">
        <f>IFERROR(INDEX(Firms!$A$5:$A$1004,MATCH(579,Firms!$U$5:$U$1004,0))&amp;"","")</f>
        <v/>
      </c>
      <c r="C583" s="88">
        <f>IFERROR(IF(INDEX(Firms!$R$5:$R$1004,MATCH(579,Firms!$U$5:$U$1004,0))="","",INDEX(Firms!$R$5:$R$1004,MATCH(579,Firms!$U$5:$U$1004,0))),"")</f>
        <v/>
      </c>
      <c r="D583" s="91">
        <f>IFERROR(INDEX(Firms!$S$5:$S$1004,MATCH(579,Firms!$U$5:$U$1004,0))&amp;"","")</f>
        <v/>
      </c>
      <c r="E583" s="91">
        <f>IFERROR(INDEX(Firms!$C$5:$C$1004,MATCH(579,Firms!$U$5:$U$1004,0))&amp;"","")</f>
        <v/>
      </c>
      <c r="F583" s="79">
        <f>IFERROR(INDEX(Firms!$N$5:$N$1004,MATCH(579,Firms!$U$5:$U$1004,0))&amp;"","")</f>
        <v/>
      </c>
      <c r="G583" s="79">
        <f>IFERROR(INDEX(Firms!$P$5:$P$1004,MATCH(579,Firms!$U$5:$U$1004,0))&amp;"","")</f>
        <v/>
      </c>
      <c r="H583" s="91">
        <f>IFERROR(INDEX(Firms!$T$5:$T$1004,MATCH(579,Firms!$U$5:$U$1004,0))&amp;"","")</f>
        <v/>
      </c>
    </row>
    <row r="584">
      <c r="A584" s="79">
        <f>IF(B584="","",580)</f>
        <v/>
      </c>
      <c r="B584" s="91">
        <f>IFERROR(INDEX(Firms!$A$5:$A$1004,MATCH(580,Firms!$U$5:$U$1004,0))&amp;"","")</f>
        <v/>
      </c>
      <c r="C584" s="88">
        <f>IFERROR(IF(INDEX(Firms!$R$5:$R$1004,MATCH(580,Firms!$U$5:$U$1004,0))="","",INDEX(Firms!$R$5:$R$1004,MATCH(580,Firms!$U$5:$U$1004,0))),"")</f>
        <v/>
      </c>
      <c r="D584" s="91">
        <f>IFERROR(INDEX(Firms!$S$5:$S$1004,MATCH(580,Firms!$U$5:$U$1004,0))&amp;"","")</f>
        <v/>
      </c>
      <c r="E584" s="91">
        <f>IFERROR(INDEX(Firms!$C$5:$C$1004,MATCH(580,Firms!$U$5:$U$1004,0))&amp;"","")</f>
        <v/>
      </c>
      <c r="F584" s="79">
        <f>IFERROR(INDEX(Firms!$N$5:$N$1004,MATCH(580,Firms!$U$5:$U$1004,0))&amp;"","")</f>
        <v/>
      </c>
      <c r="G584" s="79">
        <f>IFERROR(INDEX(Firms!$P$5:$P$1004,MATCH(580,Firms!$U$5:$U$1004,0))&amp;"","")</f>
        <v/>
      </c>
      <c r="H584" s="91">
        <f>IFERROR(INDEX(Firms!$T$5:$T$1004,MATCH(580,Firms!$U$5:$U$1004,0))&amp;"","")</f>
        <v/>
      </c>
    </row>
    <row r="585">
      <c r="A585" s="79">
        <f>IF(B585="","",581)</f>
        <v/>
      </c>
      <c r="B585" s="91">
        <f>IFERROR(INDEX(Firms!$A$5:$A$1004,MATCH(581,Firms!$U$5:$U$1004,0))&amp;"","")</f>
        <v/>
      </c>
      <c r="C585" s="88">
        <f>IFERROR(IF(INDEX(Firms!$R$5:$R$1004,MATCH(581,Firms!$U$5:$U$1004,0))="","",INDEX(Firms!$R$5:$R$1004,MATCH(581,Firms!$U$5:$U$1004,0))),"")</f>
        <v/>
      </c>
      <c r="D585" s="91">
        <f>IFERROR(INDEX(Firms!$S$5:$S$1004,MATCH(581,Firms!$U$5:$U$1004,0))&amp;"","")</f>
        <v/>
      </c>
      <c r="E585" s="91">
        <f>IFERROR(INDEX(Firms!$C$5:$C$1004,MATCH(581,Firms!$U$5:$U$1004,0))&amp;"","")</f>
        <v/>
      </c>
      <c r="F585" s="79">
        <f>IFERROR(INDEX(Firms!$N$5:$N$1004,MATCH(581,Firms!$U$5:$U$1004,0))&amp;"","")</f>
        <v/>
      </c>
      <c r="G585" s="79">
        <f>IFERROR(INDEX(Firms!$P$5:$P$1004,MATCH(581,Firms!$U$5:$U$1004,0))&amp;"","")</f>
        <v/>
      </c>
      <c r="H585" s="91">
        <f>IFERROR(INDEX(Firms!$T$5:$T$1004,MATCH(581,Firms!$U$5:$U$1004,0))&amp;"","")</f>
        <v/>
      </c>
    </row>
    <row r="586">
      <c r="A586" s="79">
        <f>IF(B586="","",582)</f>
        <v/>
      </c>
      <c r="B586" s="91">
        <f>IFERROR(INDEX(Firms!$A$5:$A$1004,MATCH(582,Firms!$U$5:$U$1004,0))&amp;"","")</f>
        <v/>
      </c>
      <c r="C586" s="88">
        <f>IFERROR(IF(INDEX(Firms!$R$5:$R$1004,MATCH(582,Firms!$U$5:$U$1004,0))="","",INDEX(Firms!$R$5:$R$1004,MATCH(582,Firms!$U$5:$U$1004,0))),"")</f>
        <v/>
      </c>
      <c r="D586" s="91">
        <f>IFERROR(INDEX(Firms!$S$5:$S$1004,MATCH(582,Firms!$U$5:$U$1004,0))&amp;"","")</f>
        <v/>
      </c>
      <c r="E586" s="91">
        <f>IFERROR(INDEX(Firms!$C$5:$C$1004,MATCH(582,Firms!$U$5:$U$1004,0))&amp;"","")</f>
        <v/>
      </c>
      <c r="F586" s="79">
        <f>IFERROR(INDEX(Firms!$N$5:$N$1004,MATCH(582,Firms!$U$5:$U$1004,0))&amp;"","")</f>
        <v/>
      </c>
      <c r="G586" s="79">
        <f>IFERROR(INDEX(Firms!$P$5:$P$1004,MATCH(582,Firms!$U$5:$U$1004,0))&amp;"","")</f>
        <v/>
      </c>
      <c r="H586" s="91">
        <f>IFERROR(INDEX(Firms!$T$5:$T$1004,MATCH(582,Firms!$U$5:$U$1004,0))&amp;"","")</f>
        <v/>
      </c>
    </row>
    <row r="587">
      <c r="A587" s="79">
        <f>IF(B587="","",583)</f>
        <v/>
      </c>
      <c r="B587" s="91">
        <f>IFERROR(INDEX(Firms!$A$5:$A$1004,MATCH(583,Firms!$U$5:$U$1004,0))&amp;"","")</f>
        <v/>
      </c>
      <c r="C587" s="88">
        <f>IFERROR(IF(INDEX(Firms!$R$5:$R$1004,MATCH(583,Firms!$U$5:$U$1004,0))="","",INDEX(Firms!$R$5:$R$1004,MATCH(583,Firms!$U$5:$U$1004,0))),"")</f>
        <v/>
      </c>
      <c r="D587" s="91">
        <f>IFERROR(INDEX(Firms!$S$5:$S$1004,MATCH(583,Firms!$U$5:$U$1004,0))&amp;"","")</f>
        <v/>
      </c>
      <c r="E587" s="91">
        <f>IFERROR(INDEX(Firms!$C$5:$C$1004,MATCH(583,Firms!$U$5:$U$1004,0))&amp;"","")</f>
        <v/>
      </c>
      <c r="F587" s="79">
        <f>IFERROR(INDEX(Firms!$N$5:$N$1004,MATCH(583,Firms!$U$5:$U$1004,0))&amp;"","")</f>
        <v/>
      </c>
      <c r="G587" s="79">
        <f>IFERROR(INDEX(Firms!$P$5:$P$1004,MATCH(583,Firms!$U$5:$U$1004,0))&amp;"","")</f>
        <v/>
      </c>
      <c r="H587" s="91">
        <f>IFERROR(INDEX(Firms!$T$5:$T$1004,MATCH(583,Firms!$U$5:$U$1004,0))&amp;"","")</f>
        <v/>
      </c>
    </row>
    <row r="588">
      <c r="A588" s="79">
        <f>IF(B588="","",584)</f>
        <v/>
      </c>
      <c r="B588" s="91">
        <f>IFERROR(INDEX(Firms!$A$5:$A$1004,MATCH(584,Firms!$U$5:$U$1004,0))&amp;"","")</f>
        <v/>
      </c>
      <c r="C588" s="88">
        <f>IFERROR(IF(INDEX(Firms!$R$5:$R$1004,MATCH(584,Firms!$U$5:$U$1004,0))="","",INDEX(Firms!$R$5:$R$1004,MATCH(584,Firms!$U$5:$U$1004,0))),"")</f>
        <v/>
      </c>
      <c r="D588" s="91">
        <f>IFERROR(INDEX(Firms!$S$5:$S$1004,MATCH(584,Firms!$U$5:$U$1004,0))&amp;"","")</f>
        <v/>
      </c>
      <c r="E588" s="91">
        <f>IFERROR(INDEX(Firms!$C$5:$C$1004,MATCH(584,Firms!$U$5:$U$1004,0))&amp;"","")</f>
        <v/>
      </c>
      <c r="F588" s="79">
        <f>IFERROR(INDEX(Firms!$N$5:$N$1004,MATCH(584,Firms!$U$5:$U$1004,0))&amp;"","")</f>
        <v/>
      </c>
      <c r="G588" s="79">
        <f>IFERROR(INDEX(Firms!$P$5:$P$1004,MATCH(584,Firms!$U$5:$U$1004,0))&amp;"","")</f>
        <v/>
      </c>
      <c r="H588" s="91">
        <f>IFERROR(INDEX(Firms!$T$5:$T$1004,MATCH(584,Firms!$U$5:$U$1004,0))&amp;"","")</f>
        <v/>
      </c>
    </row>
    <row r="589">
      <c r="A589" s="79">
        <f>IF(B589="","",585)</f>
        <v/>
      </c>
      <c r="B589" s="91">
        <f>IFERROR(INDEX(Firms!$A$5:$A$1004,MATCH(585,Firms!$U$5:$U$1004,0))&amp;"","")</f>
        <v/>
      </c>
      <c r="C589" s="88">
        <f>IFERROR(IF(INDEX(Firms!$R$5:$R$1004,MATCH(585,Firms!$U$5:$U$1004,0))="","",INDEX(Firms!$R$5:$R$1004,MATCH(585,Firms!$U$5:$U$1004,0))),"")</f>
        <v/>
      </c>
      <c r="D589" s="91">
        <f>IFERROR(INDEX(Firms!$S$5:$S$1004,MATCH(585,Firms!$U$5:$U$1004,0))&amp;"","")</f>
        <v/>
      </c>
      <c r="E589" s="91">
        <f>IFERROR(INDEX(Firms!$C$5:$C$1004,MATCH(585,Firms!$U$5:$U$1004,0))&amp;"","")</f>
        <v/>
      </c>
      <c r="F589" s="79">
        <f>IFERROR(INDEX(Firms!$N$5:$N$1004,MATCH(585,Firms!$U$5:$U$1004,0))&amp;"","")</f>
        <v/>
      </c>
      <c r="G589" s="79">
        <f>IFERROR(INDEX(Firms!$P$5:$P$1004,MATCH(585,Firms!$U$5:$U$1004,0))&amp;"","")</f>
        <v/>
      </c>
      <c r="H589" s="91">
        <f>IFERROR(INDEX(Firms!$T$5:$T$1004,MATCH(585,Firms!$U$5:$U$1004,0))&amp;"","")</f>
        <v/>
      </c>
    </row>
    <row r="590">
      <c r="A590" s="79">
        <f>IF(B590="","",586)</f>
        <v/>
      </c>
      <c r="B590" s="91">
        <f>IFERROR(INDEX(Firms!$A$5:$A$1004,MATCH(586,Firms!$U$5:$U$1004,0))&amp;"","")</f>
        <v/>
      </c>
      <c r="C590" s="88">
        <f>IFERROR(IF(INDEX(Firms!$R$5:$R$1004,MATCH(586,Firms!$U$5:$U$1004,0))="","",INDEX(Firms!$R$5:$R$1004,MATCH(586,Firms!$U$5:$U$1004,0))),"")</f>
        <v/>
      </c>
      <c r="D590" s="91">
        <f>IFERROR(INDEX(Firms!$S$5:$S$1004,MATCH(586,Firms!$U$5:$U$1004,0))&amp;"","")</f>
        <v/>
      </c>
      <c r="E590" s="91">
        <f>IFERROR(INDEX(Firms!$C$5:$C$1004,MATCH(586,Firms!$U$5:$U$1004,0))&amp;"","")</f>
        <v/>
      </c>
      <c r="F590" s="79">
        <f>IFERROR(INDEX(Firms!$N$5:$N$1004,MATCH(586,Firms!$U$5:$U$1004,0))&amp;"","")</f>
        <v/>
      </c>
      <c r="G590" s="79">
        <f>IFERROR(INDEX(Firms!$P$5:$P$1004,MATCH(586,Firms!$U$5:$U$1004,0))&amp;"","")</f>
        <v/>
      </c>
      <c r="H590" s="91">
        <f>IFERROR(INDEX(Firms!$T$5:$T$1004,MATCH(586,Firms!$U$5:$U$1004,0))&amp;"","")</f>
        <v/>
      </c>
    </row>
    <row r="591">
      <c r="A591" s="79">
        <f>IF(B591="","",587)</f>
        <v/>
      </c>
      <c r="B591" s="91">
        <f>IFERROR(INDEX(Firms!$A$5:$A$1004,MATCH(587,Firms!$U$5:$U$1004,0))&amp;"","")</f>
        <v/>
      </c>
      <c r="C591" s="88">
        <f>IFERROR(IF(INDEX(Firms!$R$5:$R$1004,MATCH(587,Firms!$U$5:$U$1004,0))="","",INDEX(Firms!$R$5:$R$1004,MATCH(587,Firms!$U$5:$U$1004,0))),"")</f>
        <v/>
      </c>
      <c r="D591" s="91">
        <f>IFERROR(INDEX(Firms!$S$5:$S$1004,MATCH(587,Firms!$U$5:$U$1004,0))&amp;"","")</f>
        <v/>
      </c>
      <c r="E591" s="91">
        <f>IFERROR(INDEX(Firms!$C$5:$C$1004,MATCH(587,Firms!$U$5:$U$1004,0))&amp;"","")</f>
        <v/>
      </c>
      <c r="F591" s="79">
        <f>IFERROR(INDEX(Firms!$N$5:$N$1004,MATCH(587,Firms!$U$5:$U$1004,0))&amp;"","")</f>
        <v/>
      </c>
      <c r="G591" s="79">
        <f>IFERROR(INDEX(Firms!$P$5:$P$1004,MATCH(587,Firms!$U$5:$U$1004,0))&amp;"","")</f>
        <v/>
      </c>
      <c r="H591" s="91">
        <f>IFERROR(INDEX(Firms!$T$5:$T$1004,MATCH(587,Firms!$U$5:$U$1004,0))&amp;"","")</f>
        <v/>
      </c>
    </row>
    <row r="592">
      <c r="A592" s="79">
        <f>IF(B592="","",588)</f>
        <v/>
      </c>
      <c r="B592" s="91">
        <f>IFERROR(INDEX(Firms!$A$5:$A$1004,MATCH(588,Firms!$U$5:$U$1004,0))&amp;"","")</f>
        <v/>
      </c>
      <c r="C592" s="88">
        <f>IFERROR(IF(INDEX(Firms!$R$5:$R$1004,MATCH(588,Firms!$U$5:$U$1004,0))="","",INDEX(Firms!$R$5:$R$1004,MATCH(588,Firms!$U$5:$U$1004,0))),"")</f>
        <v/>
      </c>
      <c r="D592" s="91">
        <f>IFERROR(INDEX(Firms!$S$5:$S$1004,MATCH(588,Firms!$U$5:$U$1004,0))&amp;"","")</f>
        <v/>
      </c>
      <c r="E592" s="91">
        <f>IFERROR(INDEX(Firms!$C$5:$C$1004,MATCH(588,Firms!$U$5:$U$1004,0))&amp;"","")</f>
        <v/>
      </c>
      <c r="F592" s="79">
        <f>IFERROR(INDEX(Firms!$N$5:$N$1004,MATCH(588,Firms!$U$5:$U$1004,0))&amp;"","")</f>
        <v/>
      </c>
      <c r="G592" s="79">
        <f>IFERROR(INDEX(Firms!$P$5:$P$1004,MATCH(588,Firms!$U$5:$U$1004,0))&amp;"","")</f>
        <v/>
      </c>
      <c r="H592" s="91">
        <f>IFERROR(INDEX(Firms!$T$5:$T$1004,MATCH(588,Firms!$U$5:$U$1004,0))&amp;"","")</f>
        <v/>
      </c>
    </row>
    <row r="593">
      <c r="A593" s="79">
        <f>IF(B593="","",589)</f>
        <v/>
      </c>
      <c r="B593" s="91">
        <f>IFERROR(INDEX(Firms!$A$5:$A$1004,MATCH(589,Firms!$U$5:$U$1004,0))&amp;"","")</f>
        <v/>
      </c>
      <c r="C593" s="88">
        <f>IFERROR(IF(INDEX(Firms!$R$5:$R$1004,MATCH(589,Firms!$U$5:$U$1004,0))="","",INDEX(Firms!$R$5:$R$1004,MATCH(589,Firms!$U$5:$U$1004,0))),"")</f>
        <v/>
      </c>
      <c r="D593" s="91">
        <f>IFERROR(INDEX(Firms!$S$5:$S$1004,MATCH(589,Firms!$U$5:$U$1004,0))&amp;"","")</f>
        <v/>
      </c>
      <c r="E593" s="91">
        <f>IFERROR(INDEX(Firms!$C$5:$C$1004,MATCH(589,Firms!$U$5:$U$1004,0))&amp;"","")</f>
        <v/>
      </c>
      <c r="F593" s="79">
        <f>IFERROR(INDEX(Firms!$N$5:$N$1004,MATCH(589,Firms!$U$5:$U$1004,0))&amp;"","")</f>
        <v/>
      </c>
      <c r="G593" s="79">
        <f>IFERROR(INDEX(Firms!$P$5:$P$1004,MATCH(589,Firms!$U$5:$U$1004,0))&amp;"","")</f>
        <v/>
      </c>
      <c r="H593" s="91">
        <f>IFERROR(INDEX(Firms!$T$5:$T$1004,MATCH(589,Firms!$U$5:$U$1004,0))&amp;"","")</f>
        <v/>
      </c>
    </row>
    <row r="594">
      <c r="A594" s="79">
        <f>IF(B594="","",590)</f>
        <v/>
      </c>
      <c r="B594" s="91">
        <f>IFERROR(INDEX(Firms!$A$5:$A$1004,MATCH(590,Firms!$U$5:$U$1004,0))&amp;"","")</f>
        <v/>
      </c>
      <c r="C594" s="88">
        <f>IFERROR(IF(INDEX(Firms!$R$5:$R$1004,MATCH(590,Firms!$U$5:$U$1004,0))="","",INDEX(Firms!$R$5:$R$1004,MATCH(590,Firms!$U$5:$U$1004,0))),"")</f>
        <v/>
      </c>
      <c r="D594" s="91">
        <f>IFERROR(INDEX(Firms!$S$5:$S$1004,MATCH(590,Firms!$U$5:$U$1004,0))&amp;"","")</f>
        <v/>
      </c>
      <c r="E594" s="91">
        <f>IFERROR(INDEX(Firms!$C$5:$C$1004,MATCH(590,Firms!$U$5:$U$1004,0))&amp;"","")</f>
        <v/>
      </c>
      <c r="F594" s="79">
        <f>IFERROR(INDEX(Firms!$N$5:$N$1004,MATCH(590,Firms!$U$5:$U$1004,0))&amp;"","")</f>
        <v/>
      </c>
      <c r="G594" s="79">
        <f>IFERROR(INDEX(Firms!$P$5:$P$1004,MATCH(590,Firms!$U$5:$U$1004,0))&amp;"","")</f>
        <v/>
      </c>
      <c r="H594" s="91">
        <f>IFERROR(INDEX(Firms!$T$5:$T$1004,MATCH(590,Firms!$U$5:$U$1004,0))&amp;"","")</f>
        <v/>
      </c>
    </row>
    <row r="595">
      <c r="A595" s="79">
        <f>IF(B595="","",591)</f>
        <v/>
      </c>
      <c r="B595" s="91">
        <f>IFERROR(INDEX(Firms!$A$5:$A$1004,MATCH(591,Firms!$U$5:$U$1004,0))&amp;"","")</f>
        <v/>
      </c>
      <c r="C595" s="88">
        <f>IFERROR(IF(INDEX(Firms!$R$5:$R$1004,MATCH(591,Firms!$U$5:$U$1004,0))="","",INDEX(Firms!$R$5:$R$1004,MATCH(591,Firms!$U$5:$U$1004,0))),"")</f>
        <v/>
      </c>
      <c r="D595" s="91">
        <f>IFERROR(INDEX(Firms!$S$5:$S$1004,MATCH(591,Firms!$U$5:$U$1004,0))&amp;"","")</f>
        <v/>
      </c>
      <c r="E595" s="91">
        <f>IFERROR(INDEX(Firms!$C$5:$C$1004,MATCH(591,Firms!$U$5:$U$1004,0))&amp;"","")</f>
        <v/>
      </c>
      <c r="F595" s="79">
        <f>IFERROR(INDEX(Firms!$N$5:$N$1004,MATCH(591,Firms!$U$5:$U$1004,0))&amp;"","")</f>
        <v/>
      </c>
      <c r="G595" s="79">
        <f>IFERROR(INDEX(Firms!$P$5:$P$1004,MATCH(591,Firms!$U$5:$U$1004,0))&amp;"","")</f>
        <v/>
      </c>
      <c r="H595" s="91">
        <f>IFERROR(INDEX(Firms!$T$5:$T$1004,MATCH(591,Firms!$U$5:$U$1004,0))&amp;"","")</f>
        <v/>
      </c>
    </row>
    <row r="596">
      <c r="A596" s="79">
        <f>IF(B596="","",592)</f>
        <v/>
      </c>
      <c r="B596" s="91">
        <f>IFERROR(INDEX(Firms!$A$5:$A$1004,MATCH(592,Firms!$U$5:$U$1004,0))&amp;"","")</f>
        <v/>
      </c>
      <c r="C596" s="88">
        <f>IFERROR(IF(INDEX(Firms!$R$5:$R$1004,MATCH(592,Firms!$U$5:$U$1004,0))="","",INDEX(Firms!$R$5:$R$1004,MATCH(592,Firms!$U$5:$U$1004,0))),"")</f>
        <v/>
      </c>
      <c r="D596" s="91">
        <f>IFERROR(INDEX(Firms!$S$5:$S$1004,MATCH(592,Firms!$U$5:$U$1004,0))&amp;"","")</f>
        <v/>
      </c>
      <c r="E596" s="91">
        <f>IFERROR(INDEX(Firms!$C$5:$C$1004,MATCH(592,Firms!$U$5:$U$1004,0))&amp;"","")</f>
        <v/>
      </c>
      <c r="F596" s="79">
        <f>IFERROR(INDEX(Firms!$N$5:$N$1004,MATCH(592,Firms!$U$5:$U$1004,0))&amp;"","")</f>
        <v/>
      </c>
      <c r="G596" s="79">
        <f>IFERROR(INDEX(Firms!$P$5:$P$1004,MATCH(592,Firms!$U$5:$U$1004,0))&amp;"","")</f>
        <v/>
      </c>
      <c r="H596" s="91">
        <f>IFERROR(INDEX(Firms!$T$5:$T$1004,MATCH(592,Firms!$U$5:$U$1004,0))&amp;"","")</f>
        <v/>
      </c>
    </row>
    <row r="597">
      <c r="A597" s="79">
        <f>IF(B597="","",593)</f>
        <v/>
      </c>
      <c r="B597" s="91">
        <f>IFERROR(INDEX(Firms!$A$5:$A$1004,MATCH(593,Firms!$U$5:$U$1004,0))&amp;"","")</f>
        <v/>
      </c>
      <c r="C597" s="88">
        <f>IFERROR(IF(INDEX(Firms!$R$5:$R$1004,MATCH(593,Firms!$U$5:$U$1004,0))="","",INDEX(Firms!$R$5:$R$1004,MATCH(593,Firms!$U$5:$U$1004,0))),"")</f>
        <v/>
      </c>
      <c r="D597" s="91">
        <f>IFERROR(INDEX(Firms!$S$5:$S$1004,MATCH(593,Firms!$U$5:$U$1004,0))&amp;"","")</f>
        <v/>
      </c>
      <c r="E597" s="91">
        <f>IFERROR(INDEX(Firms!$C$5:$C$1004,MATCH(593,Firms!$U$5:$U$1004,0))&amp;"","")</f>
        <v/>
      </c>
      <c r="F597" s="79">
        <f>IFERROR(INDEX(Firms!$N$5:$N$1004,MATCH(593,Firms!$U$5:$U$1004,0))&amp;"","")</f>
        <v/>
      </c>
      <c r="G597" s="79">
        <f>IFERROR(INDEX(Firms!$P$5:$P$1004,MATCH(593,Firms!$U$5:$U$1004,0))&amp;"","")</f>
        <v/>
      </c>
      <c r="H597" s="91">
        <f>IFERROR(INDEX(Firms!$T$5:$T$1004,MATCH(593,Firms!$U$5:$U$1004,0))&amp;"","")</f>
        <v/>
      </c>
    </row>
    <row r="598">
      <c r="A598" s="79">
        <f>IF(B598="","",594)</f>
        <v/>
      </c>
      <c r="B598" s="91">
        <f>IFERROR(INDEX(Firms!$A$5:$A$1004,MATCH(594,Firms!$U$5:$U$1004,0))&amp;"","")</f>
        <v/>
      </c>
      <c r="C598" s="88">
        <f>IFERROR(IF(INDEX(Firms!$R$5:$R$1004,MATCH(594,Firms!$U$5:$U$1004,0))="","",INDEX(Firms!$R$5:$R$1004,MATCH(594,Firms!$U$5:$U$1004,0))),"")</f>
        <v/>
      </c>
      <c r="D598" s="91">
        <f>IFERROR(INDEX(Firms!$S$5:$S$1004,MATCH(594,Firms!$U$5:$U$1004,0))&amp;"","")</f>
        <v/>
      </c>
      <c r="E598" s="91">
        <f>IFERROR(INDEX(Firms!$C$5:$C$1004,MATCH(594,Firms!$U$5:$U$1004,0))&amp;"","")</f>
        <v/>
      </c>
      <c r="F598" s="79">
        <f>IFERROR(INDEX(Firms!$N$5:$N$1004,MATCH(594,Firms!$U$5:$U$1004,0))&amp;"","")</f>
        <v/>
      </c>
      <c r="G598" s="79">
        <f>IFERROR(INDEX(Firms!$P$5:$P$1004,MATCH(594,Firms!$U$5:$U$1004,0))&amp;"","")</f>
        <v/>
      </c>
      <c r="H598" s="91">
        <f>IFERROR(INDEX(Firms!$T$5:$T$1004,MATCH(594,Firms!$U$5:$U$1004,0))&amp;"","")</f>
        <v/>
      </c>
    </row>
    <row r="599">
      <c r="A599" s="79">
        <f>IF(B599="","",595)</f>
        <v/>
      </c>
      <c r="B599" s="91">
        <f>IFERROR(INDEX(Firms!$A$5:$A$1004,MATCH(595,Firms!$U$5:$U$1004,0))&amp;"","")</f>
        <v/>
      </c>
      <c r="C599" s="88">
        <f>IFERROR(IF(INDEX(Firms!$R$5:$R$1004,MATCH(595,Firms!$U$5:$U$1004,0))="","",INDEX(Firms!$R$5:$R$1004,MATCH(595,Firms!$U$5:$U$1004,0))),"")</f>
        <v/>
      </c>
      <c r="D599" s="91">
        <f>IFERROR(INDEX(Firms!$S$5:$S$1004,MATCH(595,Firms!$U$5:$U$1004,0))&amp;"","")</f>
        <v/>
      </c>
      <c r="E599" s="91">
        <f>IFERROR(INDEX(Firms!$C$5:$C$1004,MATCH(595,Firms!$U$5:$U$1004,0))&amp;"","")</f>
        <v/>
      </c>
      <c r="F599" s="79">
        <f>IFERROR(INDEX(Firms!$N$5:$N$1004,MATCH(595,Firms!$U$5:$U$1004,0))&amp;"","")</f>
        <v/>
      </c>
      <c r="G599" s="79">
        <f>IFERROR(INDEX(Firms!$P$5:$P$1004,MATCH(595,Firms!$U$5:$U$1004,0))&amp;"","")</f>
        <v/>
      </c>
      <c r="H599" s="91">
        <f>IFERROR(INDEX(Firms!$T$5:$T$1004,MATCH(595,Firms!$U$5:$U$1004,0))&amp;"","")</f>
        <v/>
      </c>
    </row>
    <row r="600">
      <c r="A600" s="79">
        <f>IF(B600="","",596)</f>
        <v/>
      </c>
      <c r="B600" s="91">
        <f>IFERROR(INDEX(Firms!$A$5:$A$1004,MATCH(596,Firms!$U$5:$U$1004,0))&amp;"","")</f>
        <v/>
      </c>
      <c r="C600" s="88">
        <f>IFERROR(IF(INDEX(Firms!$R$5:$R$1004,MATCH(596,Firms!$U$5:$U$1004,0))="","",INDEX(Firms!$R$5:$R$1004,MATCH(596,Firms!$U$5:$U$1004,0))),"")</f>
        <v/>
      </c>
      <c r="D600" s="91">
        <f>IFERROR(INDEX(Firms!$S$5:$S$1004,MATCH(596,Firms!$U$5:$U$1004,0))&amp;"","")</f>
        <v/>
      </c>
      <c r="E600" s="91">
        <f>IFERROR(INDEX(Firms!$C$5:$C$1004,MATCH(596,Firms!$U$5:$U$1004,0))&amp;"","")</f>
        <v/>
      </c>
      <c r="F600" s="79">
        <f>IFERROR(INDEX(Firms!$N$5:$N$1004,MATCH(596,Firms!$U$5:$U$1004,0))&amp;"","")</f>
        <v/>
      </c>
      <c r="G600" s="79">
        <f>IFERROR(INDEX(Firms!$P$5:$P$1004,MATCH(596,Firms!$U$5:$U$1004,0))&amp;"","")</f>
        <v/>
      </c>
      <c r="H600" s="91">
        <f>IFERROR(INDEX(Firms!$T$5:$T$1004,MATCH(596,Firms!$U$5:$U$1004,0))&amp;"","")</f>
        <v/>
      </c>
    </row>
    <row r="601">
      <c r="A601" s="79">
        <f>IF(B601="","",597)</f>
        <v/>
      </c>
      <c r="B601" s="91">
        <f>IFERROR(INDEX(Firms!$A$5:$A$1004,MATCH(597,Firms!$U$5:$U$1004,0))&amp;"","")</f>
        <v/>
      </c>
      <c r="C601" s="88">
        <f>IFERROR(IF(INDEX(Firms!$R$5:$R$1004,MATCH(597,Firms!$U$5:$U$1004,0))="","",INDEX(Firms!$R$5:$R$1004,MATCH(597,Firms!$U$5:$U$1004,0))),"")</f>
        <v/>
      </c>
      <c r="D601" s="91">
        <f>IFERROR(INDEX(Firms!$S$5:$S$1004,MATCH(597,Firms!$U$5:$U$1004,0))&amp;"","")</f>
        <v/>
      </c>
      <c r="E601" s="91">
        <f>IFERROR(INDEX(Firms!$C$5:$C$1004,MATCH(597,Firms!$U$5:$U$1004,0))&amp;"","")</f>
        <v/>
      </c>
      <c r="F601" s="79">
        <f>IFERROR(INDEX(Firms!$N$5:$N$1004,MATCH(597,Firms!$U$5:$U$1004,0))&amp;"","")</f>
        <v/>
      </c>
      <c r="G601" s="79">
        <f>IFERROR(INDEX(Firms!$P$5:$P$1004,MATCH(597,Firms!$U$5:$U$1004,0))&amp;"","")</f>
        <v/>
      </c>
      <c r="H601" s="91">
        <f>IFERROR(INDEX(Firms!$T$5:$T$1004,MATCH(597,Firms!$U$5:$U$1004,0))&amp;"","")</f>
        <v/>
      </c>
    </row>
    <row r="602">
      <c r="A602" s="79">
        <f>IF(B602="","",598)</f>
        <v/>
      </c>
      <c r="B602" s="91">
        <f>IFERROR(INDEX(Firms!$A$5:$A$1004,MATCH(598,Firms!$U$5:$U$1004,0))&amp;"","")</f>
        <v/>
      </c>
      <c r="C602" s="88">
        <f>IFERROR(IF(INDEX(Firms!$R$5:$R$1004,MATCH(598,Firms!$U$5:$U$1004,0))="","",INDEX(Firms!$R$5:$R$1004,MATCH(598,Firms!$U$5:$U$1004,0))),"")</f>
        <v/>
      </c>
      <c r="D602" s="91">
        <f>IFERROR(INDEX(Firms!$S$5:$S$1004,MATCH(598,Firms!$U$5:$U$1004,0))&amp;"","")</f>
        <v/>
      </c>
      <c r="E602" s="91">
        <f>IFERROR(INDEX(Firms!$C$5:$C$1004,MATCH(598,Firms!$U$5:$U$1004,0))&amp;"","")</f>
        <v/>
      </c>
      <c r="F602" s="79">
        <f>IFERROR(INDEX(Firms!$N$5:$N$1004,MATCH(598,Firms!$U$5:$U$1004,0))&amp;"","")</f>
        <v/>
      </c>
      <c r="G602" s="79">
        <f>IFERROR(INDEX(Firms!$P$5:$P$1004,MATCH(598,Firms!$U$5:$U$1004,0))&amp;"","")</f>
        <v/>
      </c>
      <c r="H602" s="91">
        <f>IFERROR(INDEX(Firms!$T$5:$T$1004,MATCH(598,Firms!$U$5:$U$1004,0))&amp;"","")</f>
        <v/>
      </c>
    </row>
    <row r="603">
      <c r="A603" s="79">
        <f>IF(B603="","",599)</f>
        <v/>
      </c>
      <c r="B603" s="91">
        <f>IFERROR(INDEX(Firms!$A$5:$A$1004,MATCH(599,Firms!$U$5:$U$1004,0))&amp;"","")</f>
        <v/>
      </c>
      <c r="C603" s="88">
        <f>IFERROR(IF(INDEX(Firms!$R$5:$R$1004,MATCH(599,Firms!$U$5:$U$1004,0))="","",INDEX(Firms!$R$5:$R$1004,MATCH(599,Firms!$U$5:$U$1004,0))),"")</f>
        <v/>
      </c>
      <c r="D603" s="91">
        <f>IFERROR(INDEX(Firms!$S$5:$S$1004,MATCH(599,Firms!$U$5:$U$1004,0))&amp;"","")</f>
        <v/>
      </c>
      <c r="E603" s="91">
        <f>IFERROR(INDEX(Firms!$C$5:$C$1004,MATCH(599,Firms!$U$5:$U$1004,0))&amp;"","")</f>
        <v/>
      </c>
      <c r="F603" s="79">
        <f>IFERROR(INDEX(Firms!$N$5:$N$1004,MATCH(599,Firms!$U$5:$U$1004,0))&amp;"","")</f>
        <v/>
      </c>
      <c r="G603" s="79">
        <f>IFERROR(INDEX(Firms!$P$5:$P$1004,MATCH(599,Firms!$U$5:$U$1004,0))&amp;"","")</f>
        <v/>
      </c>
      <c r="H603" s="91">
        <f>IFERROR(INDEX(Firms!$T$5:$T$1004,MATCH(599,Firms!$U$5:$U$1004,0))&amp;"","")</f>
        <v/>
      </c>
    </row>
    <row r="604">
      <c r="A604" s="79">
        <f>IF(B604="","",600)</f>
        <v/>
      </c>
      <c r="B604" s="91">
        <f>IFERROR(INDEX(Firms!$A$5:$A$1004,MATCH(600,Firms!$U$5:$U$1004,0))&amp;"","")</f>
        <v/>
      </c>
      <c r="C604" s="88">
        <f>IFERROR(IF(INDEX(Firms!$R$5:$R$1004,MATCH(600,Firms!$U$5:$U$1004,0))="","",INDEX(Firms!$R$5:$R$1004,MATCH(600,Firms!$U$5:$U$1004,0))),"")</f>
        <v/>
      </c>
      <c r="D604" s="91">
        <f>IFERROR(INDEX(Firms!$S$5:$S$1004,MATCH(600,Firms!$U$5:$U$1004,0))&amp;"","")</f>
        <v/>
      </c>
      <c r="E604" s="91">
        <f>IFERROR(INDEX(Firms!$C$5:$C$1004,MATCH(600,Firms!$U$5:$U$1004,0))&amp;"","")</f>
        <v/>
      </c>
      <c r="F604" s="79">
        <f>IFERROR(INDEX(Firms!$N$5:$N$1004,MATCH(600,Firms!$U$5:$U$1004,0))&amp;"","")</f>
        <v/>
      </c>
      <c r="G604" s="79">
        <f>IFERROR(INDEX(Firms!$P$5:$P$1004,MATCH(600,Firms!$U$5:$U$1004,0))&amp;"","")</f>
        <v/>
      </c>
      <c r="H604" s="91">
        <f>IFERROR(INDEX(Firms!$T$5:$T$1004,MATCH(600,Firms!$U$5:$U$1004,0))&amp;"","")</f>
        <v/>
      </c>
    </row>
    <row r="605">
      <c r="A605" s="79">
        <f>IF(B605="","",601)</f>
        <v/>
      </c>
      <c r="B605" s="91">
        <f>IFERROR(INDEX(Firms!$A$5:$A$1004,MATCH(601,Firms!$U$5:$U$1004,0))&amp;"","")</f>
        <v/>
      </c>
      <c r="C605" s="88">
        <f>IFERROR(IF(INDEX(Firms!$R$5:$R$1004,MATCH(601,Firms!$U$5:$U$1004,0))="","",INDEX(Firms!$R$5:$R$1004,MATCH(601,Firms!$U$5:$U$1004,0))),"")</f>
        <v/>
      </c>
      <c r="D605" s="91">
        <f>IFERROR(INDEX(Firms!$S$5:$S$1004,MATCH(601,Firms!$U$5:$U$1004,0))&amp;"","")</f>
        <v/>
      </c>
      <c r="E605" s="91">
        <f>IFERROR(INDEX(Firms!$C$5:$C$1004,MATCH(601,Firms!$U$5:$U$1004,0))&amp;"","")</f>
        <v/>
      </c>
      <c r="F605" s="79">
        <f>IFERROR(INDEX(Firms!$N$5:$N$1004,MATCH(601,Firms!$U$5:$U$1004,0))&amp;"","")</f>
        <v/>
      </c>
      <c r="G605" s="79">
        <f>IFERROR(INDEX(Firms!$P$5:$P$1004,MATCH(601,Firms!$U$5:$U$1004,0))&amp;"","")</f>
        <v/>
      </c>
      <c r="H605" s="91">
        <f>IFERROR(INDEX(Firms!$T$5:$T$1004,MATCH(601,Firms!$U$5:$U$1004,0))&amp;"","")</f>
        <v/>
      </c>
    </row>
    <row r="606">
      <c r="A606" s="79">
        <f>IF(B606="","",602)</f>
        <v/>
      </c>
      <c r="B606" s="91">
        <f>IFERROR(INDEX(Firms!$A$5:$A$1004,MATCH(602,Firms!$U$5:$U$1004,0))&amp;"","")</f>
        <v/>
      </c>
      <c r="C606" s="88">
        <f>IFERROR(IF(INDEX(Firms!$R$5:$R$1004,MATCH(602,Firms!$U$5:$U$1004,0))="","",INDEX(Firms!$R$5:$R$1004,MATCH(602,Firms!$U$5:$U$1004,0))),"")</f>
        <v/>
      </c>
      <c r="D606" s="91">
        <f>IFERROR(INDEX(Firms!$S$5:$S$1004,MATCH(602,Firms!$U$5:$U$1004,0))&amp;"","")</f>
        <v/>
      </c>
      <c r="E606" s="91">
        <f>IFERROR(INDEX(Firms!$C$5:$C$1004,MATCH(602,Firms!$U$5:$U$1004,0))&amp;"","")</f>
        <v/>
      </c>
      <c r="F606" s="79">
        <f>IFERROR(INDEX(Firms!$N$5:$N$1004,MATCH(602,Firms!$U$5:$U$1004,0))&amp;"","")</f>
        <v/>
      </c>
      <c r="G606" s="79">
        <f>IFERROR(INDEX(Firms!$P$5:$P$1004,MATCH(602,Firms!$U$5:$U$1004,0))&amp;"","")</f>
        <v/>
      </c>
      <c r="H606" s="91">
        <f>IFERROR(INDEX(Firms!$T$5:$T$1004,MATCH(602,Firms!$U$5:$U$1004,0))&amp;"","")</f>
        <v/>
      </c>
    </row>
    <row r="607">
      <c r="A607" s="79">
        <f>IF(B607="","",603)</f>
        <v/>
      </c>
      <c r="B607" s="91">
        <f>IFERROR(INDEX(Firms!$A$5:$A$1004,MATCH(603,Firms!$U$5:$U$1004,0))&amp;"","")</f>
        <v/>
      </c>
      <c r="C607" s="88">
        <f>IFERROR(IF(INDEX(Firms!$R$5:$R$1004,MATCH(603,Firms!$U$5:$U$1004,0))="","",INDEX(Firms!$R$5:$R$1004,MATCH(603,Firms!$U$5:$U$1004,0))),"")</f>
        <v/>
      </c>
      <c r="D607" s="91">
        <f>IFERROR(INDEX(Firms!$S$5:$S$1004,MATCH(603,Firms!$U$5:$U$1004,0))&amp;"","")</f>
        <v/>
      </c>
      <c r="E607" s="91">
        <f>IFERROR(INDEX(Firms!$C$5:$C$1004,MATCH(603,Firms!$U$5:$U$1004,0))&amp;"","")</f>
        <v/>
      </c>
      <c r="F607" s="79">
        <f>IFERROR(INDEX(Firms!$N$5:$N$1004,MATCH(603,Firms!$U$5:$U$1004,0))&amp;"","")</f>
        <v/>
      </c>
      <c r="G607" s="79">
        <f>IFERROR(INDEX(Firms!$P$5:$P$1004,MATCH(603,Firms!$U$5:$U$1004,0))&amp;"","")</f>
        <v/>
      </c>
      <c r="H607" s="91">
        <f>IFERROR(INDEX(Firms!$T$5:$T$1004,MATCH(603,Firms!$U$5:$U$1004,0))&amp;"","")</f>
        <v/>
      </c>
    </row>
    <row r="608">
      <c r="A608" s="79">
        <f>IF(B608="","",604)</f>
        <v/>
      </c>
      <c r="B608" s="91">
        <f>IFERROR(INDEX(Firms!$A$5:$A$1004,MATCH(604,Firms!$U$5:$U$1004,0))&amp;"","")</f>
        <v/>
      </c>
      <c r="C608" s="88">
        <f>IFERROR(IF(INDEX(Firms!$R$5:$R$1004,MATCH(604,Firms!$U$5:$U$1004,0))="","",INDEX(Firms!$R$5:$R$1004,MATCH(604,Firms!$U$5:$U$1004,0))),"")</f>
        <v/>
      </c>
      <c r="D608" s="91">
        <f>IFERROR(INDEX(Firms!$S$5:$S$1004,MATCH(604,Firms!$U$5:$U$1004,0))&amp;"","")</f>
        <v/>
      </c>
      <c r="E608" s="91">
        <f>IFERROR(INDEX(Firms!$C$5:$C$1004,MATCH(604,Firms!$U$5:$U$1004,0))&amp;"","")</f>
        <v/>
      </c>
      <c r="F608" s="79">
        <f>IFERROR(INDEX(Firms!$N$5:$N$1004,MATCH(604,Firms!$U$5:$U$1004,0))&amp;"","")</f>
        <v/>
      </c>
      <c r="G608" s="79">
        <f>IFERROR(INDEX(Firms!$P$5:$P$1004,MATCH(604,Firms!$U$5:$U$1004,0))&amp;"","")</f>
        <v/>
      </c>
      <c r="H608" s="91">
        <f>IFERROR(INDEX(Firms!$T$5:$T$1004,MATCH(604,Firms!$U$5:$U$1004,0))&amp;"","")</f>
        <v/>
      </c>
    </row>
    <row r="609">
      <c r="A609" s="79">
        <f>IF(B609="","",605)</f>
        <v/>
      </c>
      <c r="B609" s="91">
        <f>IFERROR(INDEX(Firms!$A$5:$A$1004,MATCH(605,Firms!$U$5:$U$1004,0))&amp;"","")</f>
        <v/>
      </c>
      <c r="C609" s="88">
        <f>IFERROR(IF(INDEX(Firms!$R$5:$R$1004,MATCH(605,Firms!$U$5:$U$1004,0))="","",INDEX(Firms!$R$5:$R$1004,MATCH(605,Firms!$U$5:$U$1004,0))),"")</f>
        <v/>
      </c>
      <c r="D609" s="91">
        <f>IFERROR(INDEX(Firms!$S$5:$S$1004,MATCH(605,Firms!$U$5:$U$1004,0))&amp;"","")</f>
        <v/>
      </c>
      <c r="E609" s="91">
        <f>IFERROR(INDEX(Firms!$C$5:$C$1004,MATCH(605,Firms!$U$5:$U$1004,0))&amp;"","")</f>
        <v/>
      </c>
      <c r="F609" s="79">
        <f>IFERROR(INDEX(Firms!$N$5:$N$1004,MATCH(605,Firms!$U$5:$U$1004,0))&amp;"","")</f>
        <v/>
      </c>
      <c r="G609" s="79">
        <f>IFERROR(INDEX(Firms!$P$5:$P$1004,MATCH(605,Firms!$U$5:$U$1004,0))&amp;"","")</f>
        <v/>
      </c>
      <c r="H609" s="91">
        <f>IFERROR(INDEX(Firms!$T$5:$T$1004,MATCH(605,Firms!$U$5:$U$1004,0))&amp;"","")</f>
        <v/>
      </c>
    </row>
    <row r="610">
      <c r="A610" s="79">
        <f>IF(B610="","",606)</f>
        <v/>
      </c>
      <c r="B610" s="91">
        <f>IFERROR(INDEX(Firms!$A$5:$A$1004,MATCH(606,Firms!$U$5:$U$1004,0))&amp;"","")</f>
        <v/>
      </c>
      <c r="C610" s="88">
        <f>IFERROR(IF(INDEX(Firms!$R$5:$R$1004,MATCH(606,Firms!$U$5:$U$1004,0))="","",INDEX(Firms!$R$5:$R$1004,MATCH(606,Firms!$U$5:$U$1004,0))),"")</f>
        <v/>
      </c>
      <c r="D610" s="91">
        <f>IFERROR(INDEX(Firms!$S$5:$S$1004,MATCH(606,Firms!$U$5:$U$1004,0))&amp;"","")</f>
        <v/>
      </c>
      <c r="E610" s="91">
        <f>IFERROR(INDEX(Firms!$C$5:$C$1004,MATCH(606,Firms!$U$5:$U$1004,0))&amp;"","")</f>
        <v/>
      </c>
      <c r="F610" s="79">
        <f>IFERROR(INDEX(Firms!$N$5:$N$1004,MATCH(606,Firms!$U$5:$U$1004,0))&amp;"","")</f>
        <v/>
      </c>
      <c r="G610" s="79">
        <f>IFERROR(INDEX(Firms!$P$5:$P$1004,MATCH(606,Firms!$U$5:$U$1004,0))&amp;"","")</f>
        <v/>
      </c>
      <c r="H610" s="91">
        <f>IFERROR(INDEX(Firms!$T$5:$T$1004,MATCH(606,Firms!$U$5:$U$1004,0))&amp;"","")</f>
        <v/>
      </c>
    </row>
    <row r="611">
      <c r="A611" s="79">
        <f>IF(B611="","",607)</f>
        <v/>
      </c>
      <c r="B611" s="91">
        <f>IFERROR(INDEX(Firms!$A$5:$A$1004,MATCH(607,Firms!$U$5:$U$1004,0))&amp;"","")</f>
        <v/>
      </c>
      <c r="C611" s="88">
        <f>IFERROR(IF(INDEX(Firms!$R$5:$R$1004,MATCH(607,Firms!$U$5:$U$1004,0))="","",INDEX(Firms!$R$5:$R$1004,MATCH(607,Firms!$U$5:$U$1004,0))),"")</f>
        <v/>
      </c>
      <c r="D611" s="91">
        <f>IFERROR(INDEX(Firms!$S$5:$S$1004,MATCH(607,Firms!$U$5:$U$1004,0))&amp;"","")</f>
        <v/>
      </c>
      <c r="E611" s="91">
        <f>IFERROR(INDEX(Firms!$C$5:$C$1004,MATCH(607,Firms!$U$5:$U$1004,0))&amp;"","")</f>
        <v/>
      </c>
      <c r="F611" s="79">
        <f>IFERROR(INDEX(Firms!$N$5:$N$1004,MATCH(607,Firms!$U$5:$U$1004,0))&amp;"","")</f>
        <v/>
      </c>
      <c r="G611" s="79">
        <f>IFERROR(INDEX(Firms!$P$5:$P$1004,MATCH(607,Firms!$U$5:$U$1004,0))&amp;"","")</f>
        <v/>
      </c>
      <c r="H611" s="91">
        <f>IFERROR(INDEX(Firms!$T$5:$T$1004,MATCH(607,Firms!$U$5:$U$1004,0))&amp;"","")</f>
        <v/>
      </c>
    </row>
    <row r="612">
      <c r="A612" s="79">
        <f>IF(B612="","",608)</f>
        <v/>
      </c>
      <c r="B612" s="91">
        <f>IFERROR(INDEX(Firms!$A$5:$A$1004,MATCH(608,Firms!$U$5:$U$1004,0))&amp;"","")</f>
        <v/>
      </c>
      <c r="C612" s="88">
        <f>IFERROR(IF(INDEX(Firms!$R$5:$R$1004,MATCH(608,Firms!$U$5:$U$1004,0))="","",INDEX(Firms!$R$5:$R$1004,MATCH(608,Firms!$U$5:$U$1004,0))),"")</f>
        <v/>
      </c>
      <c r="D612" s="91">
        <f>IFERROR(INDEX(Firms!$S$5:$S$1004,MATCH(608,Firms!$U$5:$U$1004,0))&amp;"","")</f>
        <v/>
      </c>
      <c r="E612" s="91">
        <f>IFERROR(INDEX(Firms!$C$5:$C$1004,MATCH(608,Firms!$U$5:$U$1004,0))&amp;"","")</f>
        <v/>
      </c>
      <c r="F612" s="79">
        <f>IFERROR(INDEX(Firms!$N$5:$N$1004,MATCH(608,Firms!$U$5:$U$1004,0))&amp;"","")</f>
        <v/>
      </c>
      <c r="G612" s="79">
        <f>IFERROR(INDEX(Firms!$P$5:$P$1004,MATCH(608,Firms!$U$5:$U$1004,0))&amp;"","")</f>
        <v/>
      </c>
      <c r="H612" s="91">
        <f>IFERROR(INDEX(Firms!$T$5:$T$1004,MATCH(608,Firms!$U$5:$U$1004,0))&amp;"","")</f>
        <v/>
      </c>
    </row>
    <row r="613">
      <c r="A613" s="79">
        <f>IF(B613="","",609)</f>
        <v/>
      </c>
      <c r="B613" s="91">
        <f>IFERROR(INDEX(Firms!$A$5:$A$1004,MATCH(609,Firms!$U$5:$U$1004,0))&amp;"","")</f>
        <v/>
      </c>
      <c r="C613" s="88">
        <f>IFERROR(IF(INDEX(Firms!$R$5:$R$1004,MATCH(609,Firms!$U$5:$U$1004,0))="","",INDEX(Firms!$R$5:$R$1004,MATCH(609,Firms!$U$5:$U$1004,0))),"")</f>
        <v/>
      </c>
      <c r="D613" s="91">
        <f>IFERROR(INDEX(Firms!$S$5:$S$1004,MATCH(609,Firms!$U$5:$U$1004,0))&amp;"","")</f>
        <v/>
      </c>
      <c r="E613" s="91">
        <f>IFERROR(INDEX(Firms!$C$5:$C$1004,MATCH(609,Firms!$U$5:$U$1004,0))&amp;"","")</f>
        <v/>
      </c>
      <c r="F613" s="79">
        <f>IFERROR(INDEX(Firms!$N$5:$N$1004,MATCH(609,Firms!$U$5:$U$1004,0))&amp;"","")</f>
        <v/>
      </c>
      <c r="G613" s="79">
        <f>IFERROR(INDEX(Firms!$P$5:$P$1004,MATCH(609,Firms!$U$5:$U$1004,0))&amp;"","")</f>
        <v/>
      </c>
      <c r="H613" s="91">
        <f>IFERROR(INDEX(Firms!$T$5:$T$1004,MATCH(609,Firms!$U$5:$U$1004,0))&amp;"","")</f>
        <v/>
      </c>
    </row>
    <row r="614">
      <c r="A614" s="79">
        <f>IF(B614="","",610)</f>
        <v/>
      </c>
      <c r="B614" s="91">
        <f>IFERROR(INDEX(Firms!$A$5:$A$1004,MATCH(610,Firms!$U$5:$U$1004,0))&amp;"","")</f>
        <v/>
      </c>
      <c r="C614" s="88">
        <f>IFERROR(IF(INDEX(Firms!$R$5:$R$1004,MATCH(610,Firms!$U$5:$U$1004,0))="","",INDEX(Firms!$R$5:$R$1004,MATCH(610,Firms!$U$5:$U$1004,0))),"")</f>
        <v/>
      </c>
      <c r="D614" s="91">
        <f>IFERROR(INDEX(Firms!$S$5:$S$1004,MATCH(610,Firms!$U$5:$U$1004,0))&amp;"","")</f>
        <v/>
      </c>
      <c r="E614" s="91">
        <f>IFERROR(INDEX(Firms!$C$5:$C$1004,MATCH(610,Firms!$U$5:$U$1004,0))&amp;"","")</f>
        <v/>
      </c>
      <c r="F614" s="79">
        <f>IFERROR(INDEX(Firms!$N$5:$N$1004,MATCH(610,Firms!$U$5:$U$1004,0))&amp;"","")</f>
        <v/>
      </c>
      <c r="G614" s="79">
        <f>IFERROR(INDEX(Firms!$P$5:$P$1004,MATCH(610,Firms!$U$5:$U$1004,0))&amp;"","")</f>
        <v/>
      </c>
      <c r="H614" s="91">
        <f>IFERROR(INDEX(Firms!$T$5:$T$1004,MATCH(610,Firms!$U$5:$U$1004,0))&amp;"","")</f>
        <v/>
      </c>
    </row>
    <row r="615">
      <c r="A615" s="79">
        <f>IF(B615="","",611)</f>
        <v/>
      </c>
      <c r="B615" s="91">
        <f>IFERROR(INDEX(Firms!$A$5:$A$1004,MATCH(611,Firms!$U$5:$U$1004,0))&amp;"","")</f>
        <v/>
      </c>
      <c r="C615" s="88">
        <f>IFERROR(IF(INDEX(Firms!$R$5:$R$1004,MATCH(611,Firms!$U$5:$U$1004,0))="","",INDEX(Firms!$R$5:$R$1004,MATCH(611,Firms!$U$5:$U$1004,0))),"")</f>
        <v/>
      </c>
      <c r="D615" s="91">
        <f>IFERROR(INDEX(Firms!$S$5:$S$1004,MATCH(611,Firms!$U$5:$U$1004,0))&amp;"","")</f>
        <v/>
      </c>
      <c r="E615" s="91">
        <f>IFERROR(INDEX(Firms!$C$5:$C$1004,MATCH(611,Firms!$U$5:$U$1004,0))&amp;"","")</f>
        <v/>
      </c>
      <c r="F615" s="79">
        <f>IFERROR(INDEX(Firms!$N$5:$N$1004,MATCH(611,Firms!$U$5:$U$1004,0))&amp;"","")</f>
        <v/>
      </c>
      <c r="G615" s="79">
        <f>IFERROR(INDEX(Firms!$P$5:$P$1004,MATCH(611,Firms!$U$5:$U$1004,0))&amp;"","")</f>
        <v/>
      </c>
      <c r="H615" s="91">
        <f>IFERROR(INDEX(Firms!$T$5:$T$1004,MATCH(611,Firms!$U$5:$U$1004,0))&amp;"","")</f>
        <v/>
      </c>
    </row>
    <row r="616">
      <c r="A616" s="79">
        <f>IF(B616="","",612)</f>
        <v/>
      </c>
      <c r="B616" s="91">
        <f>IFERROR(INDEX(Firms!$A$5:$A$1004,MATCH(612,Firms!$U$5:$U$1004,0))&amp;"","")</f>
        <v/>
      </c>
      <c r="C616" s="88">
        <f>IFERROR(IF(INDEX(Firms!$R$5:$R$1004,MATCH(612,Firms!$U$5:$U$1004,0))="","",INDEX(Firms!$R$5:$R$1004,MATCH(612,Firms!$U$5:$U$1004,0))),"")</f>
        <v/>
      </c>
      <c r="D616" s="91">
        <f>IFERROR(INDEX(Firms!$S$5:$S$1004,MATCH(612,Firms!$U$5:$U$1004,0))&amp;"","")</f>
        <v/>
      </c>
      <c r="E616" s="91">
        <f>IFERROR(INDEX(Firms!$C$5:$C$1004,MATCH(612,Firms!$U$5:$U$1004,0))&amp;"","")</f>
        <v/>
      </c>
      <c r="F616" s="79">
        <f>IFERROR(INDEX(Firms!$N$5:$N$1004,MATCH(612,Firms!$U$5:$U$1004,0))&amp;"","")</f>
        <v/>
      </c>
      <c r="G616" s="79">
        <f>IFERROR(INDEX(Firms!$P$5:$P$1004,MATCH(612,Firms!$U$5:$U$1004,0))&amp;"","")</f>
        <v/>
      </c>
      <c r="H616" s="91">
        <f>IFERROR(INDEX(Firms!$T$5:$T$1004,MATCH(612,Firms!$U$5:$U$1004,0))&amp;"","")</f>
        <v/>
      </c>
    </row>
    <row r="617">
      <c r="A617" s="79">
        <f>IF(B617="","",613)</f>
        <v/>
      </c>
      <c r="B617" s="91">
        <f>IFERROR(INDEX(Firms!$A$5:$A$1004,MATCH(613,Firms!$U$5:$U$1004,0))&amp;"","")</f>
        <v/>
      </c>
      <c r="C617" s="88">
        <f>IFERROR(IF(INDEX(Firms!$R$5:$R$1004,MATCH(613,Firms!$U$5:$U$1004,0))="","",INDEX(Firms!$R$5:$R$1004,MATCH(613,Firms!$U$5:$U$1004,0))),"")</f>
        <v/>
      </c>
      <c r="D617" s="91">
        <f>IFERROR(INDEX(Firms!$S$5:$S$1004,MATCH(613,Firms!$U$5:$U$1004,0))&amp;"","")</f>
        <v/>
      </c>
      <c r="E617" s="91">
        <f>IFERROR(INDEX(Firms!$C$5:$C$1004,MATCH(613,Firms!$U$5:$U$1004,0))&amp;"","")</f>
        <v/>
      </c>
      <c r="F617" s="79">
        <f>IFERROR(INDEX(Firms!$N$5:$N$1004,MATCH(613,Firms!$U$5:$U$1004,0))&amp;"","")</f>
        <v/>
      </c>
      <c r="G617" s="79">
        <f>IFERROR(INDEX(Firms!$P$5:$P$1004,MATCH(613,Firms!$U$5:$U$1004,0))&amp;"","")</f>
        <v/>
      </c>
      <c r="H617" s="91">
        <f>IFERROR(INDEX(Firms!$T$5:$T$1004,MATCH(613,Firms!$U$5:$U$1004,0))&amp;"","")</f>
        <v/>
      </c>
    </row>
    <row r="618">
      <c r="A618" s="79">
        <f>IF(B618="","",614)</f>
        <v/>
      </c>
      <c r="B618" s="91">
        <f>IFERROR(INDEX(Firms!$A$5:$A$1004,MATCH(614,Firms!$U$5:$U$1004,0))&amp;"","")</f>
        <v/>
      </c>
      <c r="C618" s="88">
        <f>IFERROR(IF(INDEX(Firms!$R$5:$R$1004,MATCH(614,Firms!$U$5:$U$1004,0))="","",INDEX(Firms!$R$5:$R$1004,MATCH(614,Firms!$U$5:$U$1004,0))),"")</f>
        <v/>
      </c>
      <c r="D618" s="91">
        <f>IFERROR(INDEX(Firms!$S$5:$S$1004,MATCH(614,Firms!$U$5:$U$1004,0))&amp;"","")</f>
        <v/>
      </c>
      <c r="E618" s="91">
        <f>IFERROR(INDEX(Firms!$C$5:$C$1004,MATCH(614,Firms!$U$5:$U$1004,0))&amp;"","")</f>
        <v/>
      </c>
      <c r="F618" s="79">
        <f>IFERROR(INDEX(Firms!$N$5:$N$1004,MATCH(614,Firms!$U$5:$U$1004,0))&amp;"","")</f>
        <v/>
      </c>
      <c r="G618" s="79">
        <f>IFERROR(INDEX(Firms!$P$5:$P$1004,MATCH(614,Firms!$U$5:$U$1004,0))&amp;"","")</f>
        <v/>
      </c>
      <c r="H618" s="91">
        <f>IFERROR(INDEX(Firms!$T$5:$T$1004,MATCH(614,Firms!$U$5:$U$1004,0))&amp;"","")</f>
        <v/>
      </c>
    </row>
    <row r="619">
      <c r="A619" s="79">
        <f>IF(B619="","",615)</f>
        <v/>
      </c>
      <c r="B619" s="91">
        <f>IFERROR(INDEX(Firms!$A$5:$A$1004,MATCH(615,Firms!$U$5:$U$1004,0))&amp;"","")</f>
        <v/>
      </c>
      <c r="C619" s="88">
        <f>IFERROR(IF(INDEX(Firms!$R$5:$R$1004,MATCH(615,Firms!$U$5:$U$1004,0))="","",INDEX(Firms!$R$5:$R$1004,MATCH(615,Firms!$U$5:$U$1004,0))),"")</f>
        <v/>
      </c>
      <c r="D619" s="91">
        <f>IFERROR(INDEX(Firms!$S$5:$S$1004,MATCH(615,Firms!$U$5:$U$1004,0))&amp;"","")</f>
        <v/>
      </c>
      <c r="E619" s="91">
        <f>IFERROR(INDEX(Firms!$C$5:$C$1004,MATCH(615,Firms!$U$5:$U$1004,0))&amp;"","")</f>
        <v/>
      </c>
      <c r="F619" s="79">
        <f>IFERROR(INDEX(Firms!$N$5:$N$1004,MATCH(615,Firms!$U$5:$U$1004,0))&amp;"","")</f>
        <v/>
      </c>
      <c r="G619" s="79">
        <f>IFERROR(INDEX(Firms!$P$5:$P$1004,MATCH(615,Firms!$U$5:$U$1004,0))&amp;"","")</f>
        <v/>
      </c>
      <c r="H619" s="91">
        <f>IFERROR(INDEX(Firms!$T$5:$T$1004,MATCH(615,Firms!$U$5:$U$1004,0))&amp;"","")</f>
        <v/>
      </c>
    </row>
    <row r="620">
      <c r="A620" s="79">
        <f>IF(B620="","",616)</f>
        <v/>
      </c>
      <c r="B620" s="91">
        <f>IFERROR(INDEX(Firms!$A$5:$A$1004,MATCH(616,Firms!$U$5:$U$1004,0))&amp;"","")</f>
        <v/>
      </c>
      <c r="C620" s="88">
        <f>IFERROR(IF(INDEX(Firms!$R$5:$R$1004,MATCH(616,Firms!$U$5:$U$1004,0))="","",INDEX(Firms!$R$5:$R$1004,MATCH(616,Firms!$U$5:$U$1004,0))),"")</f>
        <v/>
      </c>
      <c r="D620" s="91">
        <f>IFERROR(INDEX(Firms!$S$5:$S$1004,MATCH(616,Firms!$U$5:$U$1004,0))&amp;"","")</f>
        <v/>
      </c>
      <c r="E620" s="91">
        <f>IFERROR(INDEX(Firms!$C$5:$C$1004,MATCH(616,Firms!$U$5:$U$1004,0))&amp;"","")</f>
        <v/>
      </c>
      <c r="F620" s="79">
        <f>IFERROR(INDEX(Firms!$N$5:$N$1004,MATCH(616,Firms!$U$5:$U$1004,0))&amp;"","")</f>
        <v/>
      </c>
      <c r="G620" s="79">
        <f>IFERROR(INDEX(Firms!$P$5:$P$1004,MATCH(616,Firms!$U$5:$U$1004,0))&amp;"","")</f>
        <v/>
      </c>
      <c r="H620" s="91">
        <f>IFERROR(INDEX(Firms!$T$5:$T$1004,MATCH(616,Firms!$U$5:$U$1004,0))&amp;"","")</f>
        <v/>
      </c>
    </row>
    <row r="621">
      <c r="A621" s="79">
        <f>IF(B621="","",617)</f>
        <v/>
      </c>
      <c r="B621" s="91">
        <f>IFERROR(INDEX(Firms!$A$5:$A$1004,MATCH(617,Firms!$U$5:$U$1004,0))&amp;"","")</f>
        <v/>
      </c>
      <c r="C621" s="88">
        <f>IFERROR(IF(INDEX(Firms!$R$5:$R$1004,MATCH(617,Firms!$U$5:$U$1004,0))="","",INDEX(Firms!$R$5:$R$1004,MATCH(617,Firms!$U$5:$U$1004,0))),"")</f>
        <v/>
      </c>
      <c r="D621" s="91">
        <f>IFERROR(INDEX(Firms!$S$5:$S$1004,MATCH(617,Firms!$U$5:$U$1004,0))&amp;"","")</f>
        <v/>
      </c>
      <c r="E621" s="91">
        <f>IFERROR(INDEX(Firms!$C$5:$C$1004,MATCH(617,Firms!$U$5:$U$1004,0))&amp;"","")</f>
        <v/>
      </c>
      <c r="F621" s="79">
        <f>IFERROR(INDEX(Firms!$N$5:$N$1004,MATCH(617,Firms!$U$5:$U$1004,0))&amp;"","")</f>
        <v/>
      </c>
      <c r="G621" s="79">
        <f>IFERROR(INDEX(Firms!$P$5:$P$1004,MATCH(617,Firms!$U$5:$U$1004,0))&amp;"","")</f>
        <v/>
      </c>
      <c r="H621" s="91">
        <f>IFERROR(INDEX(Firms!$T$5:$T$1004,MATCH(617,Firms!$U$5:$U$1004,0))&amp;"","")</f>
        <v/>
      </c>
    </row>
    <row r="622">
      <c r="A622" s="79">
        <f>IF(B622="","",618)</f>
        <v/>
      </c>
      <c r="B622" s="91">
        <f>IFERROR(INDEX(Firms!$A$5:$A$1004,MATCH(618,Firms!$U$5:$U$1004,0))&amp;"","")</f>
        <v/>
      </c>
      <c r="C622" s="88">
        <f>IFERROR(IF(INDEX(Firms!$R$5:$R$1004,MATCH(618,Firms!$U$5:$U$1004,0))="","",INDEX(Firms!$R$5:$R$1004,MATCH(618,Firms!$U$5:$U$1004,0))),"")</f>
        <v/>
      </c>
      <c r="D622" s="91">
        <f>IFERROR(INDEX(Firms!$S$5:$S$1004,MATCH(618,Firms!$U$5:$U$1004,0))&amp;"","")</f>
        <v/>
      </c>
      <c r="E622" s="91">
        <f>IFERROR(INDEX(Firms!$C$5:$C$1004,MATCH(618,Firms!$U$5:$U$1004,0))&amp;"","")</f>
        <v/>
      </c>
      <c r="F622" s="79">
        <f>IFERROR(INDEX(Firms!$N$5:$N$1004,MATCH(618,Firms!$U$5:$U$1004,0))&amp;"","")</f>
        <v/>
      </c>
      <c r="G622" s="79">
        <f>IFERROR(INDEX(Firms!$P$5:$P$1004,MATCH(618,Firms!$U$5:$U$1004,0))&amp;"","")</f>
        <v/>
      </c>
      <c r="H622" s="91">
        <f>IFERROR(INDEX(Firms!$T$5:$T$1004,MATCH(618,Firms!$U$5:$U$1004,0))&amp;"","")</f>
        <v/>
      </c>
    </row>
    <row r="623">
      <c r="A623" s="79">
        <f>IF(B623="","",619)</f>
        <v/>
      </c>
      <c r="B623" s="91">
        <f>IFERROR(INDEX(Firms!$A$5:$A$1004,MATCH(619,Firms!$U$5:$U$1004,0))&amp;"","")</f>
        <v/>
      </c>
      <c r="C623" s="88">
        <f>IFERROR(IF(INDEX(Firms!$R$5:$R$1004,MATCH(619,Firms!$U$5:$U$1004,0))="","",INDEX(Firms!$R$5:$R$1004,MATCH(619,Firms!$U$5:$U$1004,0))),"")</f>
        <v/>
      </c>
      <c r="D623" s="91">
        <f>IFERROR(INDEX(Firms!$S$5:$S$1004,MATCH(619,Firms!$U$5:$U$1004,0))&amp;"","")</f>
        <v/>
      </c>
      <c r="E623" s="91">
        <f>IFERROR(INDEX(Firms!$C$5:$C$1004,MATCH(619,Firms!$U$5:$U$1004,0))&amp;"","")</f>
        <v/>
      </c>
      <c r="F623" s="79">
        <f>IFERROR(INDEX(Firms!$N$5:$N$1004,MATCH(619,Firms!$U$5:$U$1004,0))&amp;"","")</f>
        <v/>
      </c>
      <c r="G623" s="79">
        <f>IFERROR(INDEX(Firms!$P$5:$P$1004,MATCH(619,Firms!$U$5:$U$1004,0))&amp;"","")</f>
        <v/>
      </c>
      <c r="H623" s="91">
        <f>IFERROR(INDEX(Firms!$T$5:$T$1004,MATCH(619,Firms!$U$5:$U$1004,0))&amp;"","")</f>
        <v/>
      </c>
    </row>
    <row r="624">
      <c r="A624" s="79">
        <f>IF(B624="","",620)</f>
        <v/>
      </c>
      <c r="B624" s="91">
        <f>IFERROR(INDEX(Firms!$A$5:$A$1004,MATCH(620,Firms!$U$5:$U$1004,0))&amp;"","")</f>
        <v/>
      </c>
      <c r="C624" s="88">
        <f>IFERROR(IF(INDEX(Firms!$R$5:$R$1004,MATCH(620,Firms!$U$5:$U$1004,0))="","",INDEX(Firms!$R$5:$R$1004,MATCH(620,Firms!$U$5:$U$1004,0))),"")</f>
        <v/>
      </c>
      <c r="D624" s="91">
        <f>IFERROR(INDEX(Firms!$S$5:$S$1004,MATCH(620,Firms!$U$5:$U$1004,0))&amp;"","")</f>
        <v/>
      </c>
      <c r="E624" s="91">
        <f>IFERROR(INDEX(Firms!$C$5:$C$1004,MATCH(620,Firms!$U$5:$U$1004,0))&amp;"","")</f>
        <v/>
      </c>
      <c r="F624" s="79">
        <f>IFERROR(INDEX(Firms!$N$5:$N$1004,MATCH(620,Firms!$U$5:$U$1004,0))&amp;"","")</f>
        <v/>
      </c>
      <c r="G624" s="79">
        <f>IFERROR(INDEX(Firms!$P$5:$P$1004,MATCH(620,Firms!$U$5:$U$1004,0))&amp;"","")</f>
        <v/>
      </c>
      <c r="H624" s="91">
        <f>IFERROR(INDEX(Firms!$T$5:$T$1004,MATCH(620,Firms!$U$5:$U$1004,0))&amp;"","")</f>
        <v/>
      </c>
    </row>
    <row r="625">
      <c r="A625" s="79">
        <f>IF(B625="","",621)</f>
        <v/>
      </c>
      <c r="B625" s="91">
        <f>IFERROR(INDEX(Firms!$A$5:$A$1004,MATCH(621,Firms!$U$5:$U$1004,0))&amp;"","")</f>
        <v/>
      </c>
      <c r="C625" s="88">
        <f>IFERROR(IF(INDEX(Firms!$R$5:$R$1004,MATCH(621,Firms!$U$5:$U$1004,0))="","",INDEX(Firms!$R$5:$R$1004,MATCH(621,Firms!$U$5:$U$1004,0))),"")</f>
        <v/>
      </c>
      <c r="D625" s="91">
        <f>IFERROR(INDEX(Firms!$S$5:$S$1004,MATCH(621,Firms!$U$5:$U$1004,0))&amp;"","")</f>
        <v/>
      </c>
      <c r="E625" s="91">
        <f>IFERROR(INDEX(Firms!$C$5:$C$1004,MATCH(621,Firms!$U$5:$U$1004,0))&amp;"","")</f>
        <v/>
      </c>
      <c r="F625" s="79">
        <f>IFERROR(INDEX(Firms!$N$5:$N$1004,MATCH(621,Firms!$U$5:$U$1004,0))&amp;"","")</f>
        <v/>
      </c>
      <c r="G625" s="79">
        <f>IFERROR(INDEX(Firms!$P$5:$P$1004,MATCH(621,Firms!$U$5:$U$1004,0))&amp;"","")</f>
        <v/>
      </c>
      <c r="H625" s="91">
        <f>IFERROR(INDEX(Firms!$T$5:$T$1004,MATCH(621,Firms!$U$5:$U$1004,0))&amp;"","")</f>
        <v/>
      </c>
    </row>
    <row r="626">
      <c r="A626" s="79">
        <f>IF(B626="","",622)</f>
        <v/>
      </c>
      <c r="B626" s="91">
        <f>IFERROR(INDEX(Firms!$A$5:$A$1004,MATCH(622,Firms!$U$5:$U$1004,0))&amp;"","")</f>
        <v/>
      </c>
      <c r="C626" s="88">
        <f>IFERROR(IF(INDEX(Firms!$R$5:$R$1004,MATCH(622,Firms!$U$5:$U$1004,0))="","",INDEX(Firms!$R$5:$R$1004,MATCH(622,Firms!$U$5:$U$1004,0))),"")</f>
        <v/>
      </c>
      <c r="D626" s="91">
        <f>IFERROR(INDEX(Firms!$S$5:$S$1004,MATCH(622,Firms!$U$5:$U$1004,0))&amp;"","")</f>
        <v/>
      </c>
      <c r="E626" s="91">
        <f>IFERROR(INDEX(Firms!$C$5:$C$1004,MATCH(622,Firms!$U$5:$U$1004,0))&amp;"","")</f>
        <v/>
      </c>
      <c r="F626" s="79">
        <f>IFERROR(INDEX(Firms!$N$5:$N$1004,MATCH(622,Firms!$U$5:$U$1004,0))&amp;"","")</f>
        <v/>
      </c>
      <c r="G626" s="79">
        <f>IFERROR(INDEX(Firms!$P$5:$P$1004,MATCH(622,Firms!$U$5:$U$1004,0))&amp;"","")</f>
        <v/>
      </c>
      <c r="H626" s="91">
        <f>IFERROR(INDEX(Firms!$T$5:$T$1004,MATCH(622,Firms!$U$5:$U$1004,0))&amp;"","")</f>
        <v/>
      </c>
    </row>
    <row r="627">
      <c r="A627" s="79">
        <f>IF(B627="","",623)</f>
        <v/>
      </c>
      <c r="B627" s="91">
        <f>IFERROR(INDEX(Firms!$A$5:$A$1004,MATCH(623,Firms!$U$5:$U$1004,0))&amp;"","")</f>
        <v/>
      </c>
      <c r="C627" s="88">
        <f>IFERROR(IF(INDEX(Firms!$R$5:$R$1004,MATCH(623,Firms!$U$5:$U$1004,0))="","",INDEX(Firms!$R$5:$R$1004,MATCH(623,Firms!$U$5:$U$1004,0))),"")</f>
        <v/>
      </c>
      <c r="D627" s="91">
        <f>IFERROR(INDEX(Firms!$S$5:$S$1004,MATCH(623,Firms!$U$5:$U$1004,0))&amp;"","")</f>
        <v/>
      </c>
      <c r="E627" s="91">
        <f>IFERROR(INDEX(Firms!$C$5:$C$1004,MATCH(623,Firms!$U$5:$U$1004,0))&amp;"","")</f>
        <v/>
      </c>
      <c r="F627" s="79">
        <f>IFERROR(INDEX(Firms!$N$5:$N$1004,MATCH(623,Firms!$U$5:$U$1004,0))&amp;"","")</f>
        <v/>
      </c>
      <c r="G627" s="79">
        <f>IFERROR(INDEX(Firms!$P$5:$P$1004,MATCH(623,Firms!$U$5:$U$1004,0))&amp;"","")</f>
        <v/>
      </c>
      <c r="H627" s="91">
        <f>IFERROR(INDEX(Firms!$T$5:$T$1004,MATCH(623,Firms!$U$5:$U$1004,0))&amp;"","")</f>
        <v/>
      </c>
    </row>
    <row r="628">
      <c r="A628" s="79">
        <f>IF(B628="","",624)</f>
        <v/>
      </c>
      <c r="B628" s="91">
        <f>IFERROR(INDEX(Firms!$A$5:$A$1004,MATCH(624,Firms!$U$5:$U$1004,0))&amp;"","")</f>
        <v/>
      </c>
      <c r="C628" s="88">
        <f>IFERROR(IF(INDEX(Firms!$R$5:$R$1004,MATCH(624,Firms!$U$5:$U$1004,0))="","",INDEX(Firms!$R$5:$R$1004,MATCH(624,Firms!$U$5:$U$1004,0))),"")</f>
        <v/>
      </c>
      <c r="D628" s="91">
        <f>IFERROR(INDEX(Firms!$S$5:$S$1004,MATCH(624,Firms!$U$5:$U$1004,0))&amp;"","")</f>
        <v/>
      </c>
      <c r="E628" s="91">
        <f>IFERROR(INDEX(Firms!$C$5:$C$1004,MATCH(624,Firms!$U$5:$U$1004,0))&amp;"","")</f>
        <v/>
      </c>
      <c r="F628" s="79">
        <f>IFERROR(INDEX(Firms!$N$5:$N$1004,MATCH(624,Firms!$U$5:$U$1004,0))&amp;"","")</f>
        <v/>
      </c>
      <c r="G628" s="79">
        <f>IFERROR(INDEX(Firms!$P$5:$P$1004,MATCH(624,Firms!$U$5:$U$1004,0))&amp;"","")</f>
        <v/>
      </c>
      <c r="H628" s="91">
        <f>IFERROR(INDEX(Firms!$T$5:$T$1004,MATCH(624,Firms!$U$5:$U$1004,0))&amp;"","")</f>
        <v/>
      </c>
    </row>
    <row r="629">
      <c r="A629" s="79">
        <f>IF(B629="","",625)</f>
        <v/>
      </c>
      <c r="B629" s="91">
        <f>IFERROR(INDEX(Firms!$A$5:$A$1004,MATCH(625,Firms!$U$5:$U$1004,0))&amp;"","")</f>
        <v/>
      </c>
      <c r="C629" s="88">
        <f>IFERROR(IF(INDEX(Firms!$R$5:$R$1004,MATCH(625,Firms!$U$5:$U$1004,0))="","",INDEX(Firms!$R$5:$R$1004,MATCH(625,Firms!$U$5:$U$1004,0))),"")</f>
        <v/>
      </c>
      <c r="D629" s="91">
        <f>IFERROR(INDEX(Firms!$S$5:$S$1004,MATCH(625,Firms!$U$5:$U$1004,0))&amp;"","")</f>
        <v/>
      </c>
      <c r="E629" s="91">
        <f>IFERROR(INDEX(Firms!$C$5:$C$1004,MATCH(625,Firms!$U$5:$U$1004,0))&amp;"","")</f>
        <v/>
      </c>
      <c r="F629" s="79">
        <f>IFERROR(INDEX(Firms!$N$5:$N$1004,MATCH(625,Firms!$U$5:$U$1004,0))&amp;"","")</f>
        <v/>
      </c>
      <c r="G629" s="79">
        <f>IFERROR(INDEX(Firms!$P$5:$P$1004,MATCH(625,Firms!$U$5:$U$1004,0))&amp;"","")</f>
        <v/>
      </c>
      <c r="H629" s="91">
        <f>IFERROR(INDEX(Firms!$T$5:$T$1004,MATCH(625,Firms!$U$5:$U$1004,0))&amp;"","")</f>
        <v/>
      </c>
    </row>
    <row r="630">
      <c r="A630" s="79">
        <f>IF(B630="","",626)</f>
        <v/>
      </c>
      <c r="B630" s="91">
        <f>IFERROR(INDEX(Firms!$A$5:$A$1004,MATCH(626,Firms!$U$5:$U$1004,0))&amp;"","")</f>
        <v/>
      </c>
      <c r="C630" s="88">
        <f>IFERROR(IF(INDEX(Firms!$R$5:$R$1004,MATCH(626,Firms!$U$5:$U$1004,0))="","",INDEX(Firms!$R$5:$R$1004,MATCH(626,Firms!$U$5:$U$1004,0))),"")</f>
        <v/>
      </c>
      <c r="D630" s="91">
        <f>IFERROR(INDEX(Firms!$S$5:$S$1004,MATCH(626,Firms!$U$5:$U$1004,0))&amp;"","")</f>
        <v/>
      </c>
      <c r="E630" s="91">
        <f>IFERROR(INDEX(Firms!$C$5:$C$1004,MATCH(626,Firms!$U$5:$U$1004,0))&amp;"","")</f>
        <v/>
      </c>
      <c r="F630" s="79">
        <f>IFERROR(INDEX(Firms!$N$5:$N$1004,MATCH(626,Firms!$U$5:$U$1004,0))&amp;"","")</f>
        <v/>
      </c>
      <c r="G630" s="79">
        <f>IFERROR(INDEX(Firms!$P$5:$P$1004,MATCH(626,Firms!$U$5:$U$1004,0))&amp;"","")</f>
        <v/>
      </c>
      <c r="H630" s="91">
        <f>IFERROR(INDEX(Firms!$T$5:$T$1004,MATCH(626,Firms!$U$5:$U$1004,0))&amp;"","")</f>
        <v/>
      </c>
    </row>
    <row r="631">
      <c r="A631" s="79">
        <f>IF(B631="","",627)</f>
        <v/>
      </c>
      <c r="B631" s="91">
        <f>IFERROR(INDEX(Firms!$A$5:$A$1004,MATCH(627,Firms!$U$5:$U$1004,0))&amp;"","")</f>
        <v/>
      </c>
      <c r="C631" s="88">
        <f>IFERROR(IF(INDEX(Firms!$R$5:$R$1004,MATCH(627,Firms!$U$5:$U$1004,0))="","",INDEX(Firms!$R$5:$R$1004,MATCH(627,Firms!$U$5:$U$1004,0))),"")</f>
        <v/>
      </c>
      <c r="D631" s="91">
        <f>IFERROR(INDEX(Firms!$S$5:$S$1004,MATCH(627,Firms!$U$5:$U$1004,0))&amp;"","")</f>
        <v/>
      </c>
      <c r="E631" s="91">
        <f>IFERROR(INDEX(Firms!$C$5:$C$1004,MATCH(627,Firms!$U$5:$U$1004,0))&amp;"","")</f>
        <v/>
      </c>
      <c r="F631" s="79">
        <f>IFERROR(INDEX(Firms!$N$5:$N$1004,MATCH(627,Firms!$U$5:$U$1004,0))&amp;"","")</f>
        <v/>
      </c>
      <c r="G631" s="79">
        <f>IFERROR(INDEX(Firms!$P$5:$P$1004,MATCH(627,Firms!$U$5:$U$1004,0))&amp;"","")</f>
        <v/>
      </c>
      <c r="H631" s="91">
        <f>IFERROR(INDEX(Firms!$T$5:$T$1004,MATCH(627,Firms!$U$5:$U$1004,0))&amp;"","")</f>
        <v/>
      </c>
    </row>
    <row r="632">
      <c r="A632" s="79">
        <f>IF(B632="","",628)</f>
        <v/>
      </c>
      <c r="B632" s="91">
        <f>IFERROR(INDEX(Firms!$A$5:$A$1004,MATCH(628,Firms!$U$5:$U$1004,0))&amp;"","")</f>
        <v/>
      </c>
      <c r="C632" s="88">
        <f>IFERROR(IF(INDEX(Firms!$R$5:$R$1004,MATCH(628,Firms!$U$5:$U$1004,0))="","",INDEX(Firms!$R$5:$R$1004,MATCH(628,Firms!$U$5:$U$1004,0))),"")</f>
        <v/>
      </c>
      <c r="D632" s="91">
        <f>IFERROR(INDEX(Firms!$S$5:$S$1004,MATCH(628,Firms!$U$5:$U$1004,0))&amp;"","")</f>
        <v/>
      </c>
      <c r="E632" s="91">
        <f>IFERROR(INDEX(Firms!$C$5:$C$1004,MATCH(628,Firms!$U$5:$U$1004,0))&amp;"","")</f>
        <v/>
      </c>
      <c r="F632" s="79">
        <f>IFERROR(INDEX(Firms!$N$5:$N$1004,MATCH(628,Firms!$U$5:$U$1004,0))&amp;"","")</f>
        <v/>
      </c>
      <c r="G632" s="79">
        <f>IFERROR(INDEX(Firms!$P$5:$P$1004,MATCH(628,Firms!$U$5:$U$1004,0))&amp;"","")</f>
        <v/>
      </c>
      <c r="H632" s="91">
        <f>IFERROR(INDEX(Firms!$T$5:$T$1004,MATCH(628,Firms!$U$5:$U$1004,0))&amp;"","")</f>
        <v/>
      </c>
    </row>
    <row r="633">
      <c r="A633" s="79">
        <f>IF(B633="","",629)</f>
        <v/>
      </c>
      <c r="B633" s="91">
        <f>IFERROR(INDEX(Firms!$A$5:$A$1004,MATCH(629,Firms!$U$5:$U$1004,0))&amp;"","")</f>
        <v/>
      </c>
      <c r="C633" s="88">
        <f>IFERROR(IF(INDEX(Firms!$R$5:$R$1004,MATCH(629,Firms!$U$5:$U$1004,0))="","",INDEX(Firms!$R$5:$R$1004,MATCH(629,Firms!$U$5:$U$1004,0))),"")</f>
        <v/>
      </c>
      <c r="D633" s="91">
        <f>IFERROR(INDEX(Firms!$S$5:$S$1004,MATCH(629,Firms!$U$5:$U$1004,0))&amp;"","")</f>
        <v/>
      </c>
      <c r="E633" s="91">
        <f>IFERROR(INDEX(Firms!$C$5:$C$1004,MATCH(629,Firms!$U$5:$U$1004,0))&amp;"","")</f>
        <v/>
      </c>
      <c r="F633" s="79">
        <f>IFERROR(INDEX(Firms!$N$5:$N$1004,MATCH(629,Firms!$U$5:$U$1004,0))&amp;"","")</f>
        <v/>
      </c>
      <c r="G633" s="79">
        <f>IFERROR(INDEX(Firms!$P$5:$P$1004,MATCH(629,Firms!$U$5:$U$1004,0))&amp;"","")</f>
        <v/>
      </c>
      <c r="H633" s="91">
        <f>IFERROR(INDEX(Firms!$T$5:$T$1004,MATCH(629,Firms!$U$5:$U$1004,0))&amp;"","")</f>
        <v/>
      </c>
    </row>
    <row r="634">
      <c r="A634" s="79">
        <f>IF(B634="","",630)</f>
        <v/>
      </c>
      <c r="B634" s="91">
        <f>IFERROR(INDEX(Firms!$A$5:$A$1004,MATCH(630,Firms!$U$5:$U$1004,0))&amp;"","")</f>
        <v/>
      </c>
      <c r="C634" s="88">
        <f>IFERROR(IF(INDEX(Firms!$R$5:$R$1004,MATCH(630,Firms!$U$5:$U$1004,0))="","",INDEX(Firms!$R$5:$R$1004,MATCH(630,Firms!$U$5:$U$1004,0))),"")</f>
        <v/>
      </c>
      <c r="D634" s="91">
        <f>IFERROR(INDEX(Firms!$S$5:$S$1004,MATCH(630,Firms!$U$5:$U$1004,0))&amp;"","")</f>
        <v/>
      </c>
      <c r="E634" s="91">
        <f>IFERROR(INDEX(Firms!$C$5:$C$1004,MATCH(630,Firms!$U$5:$U$1004,0))&amp;"","")</f>
        <v/>
      </c>
      <c r="F634" s="79">
        <f>IFERROR(INDEX(Firms!$N$5:$N$1004,MATCH(630,Firms!$U$5:$U$1004,0))&amp;"","")</f>
        <v/>
      </c>
      <c r="G634" s="79">
        <f>IFERROR(INDEX(Firms!$P$5:$P$1004,MATCH(630,Firms!$U$5:$U$1004,0))&amp;"","")</f>
        <v/>
      </c>
      <c r="H634" s="91">
        <f>IFERROR(INDEX(Firms!$T$5:$T$1004,MATCH(630,Firms!$U$5:$U$1004,0))&amp;"","")</f>
        <v/>
      </c>
    </row>
    <row r="635">
      <c r="A635" s="79">
        <f>IF(B635="","",631)</f>
        <v/>
      </c>
      <c r="B635" s="91">
        <f>IFERROR(INDEX(Firms!$A$5:$A$1004,MATCH(631,Firms!$U$5:$U$1004,0))&amp;"","")</f>
        <v/>
      </c>
      <c r="C635" s="88">
        <f>IFERROR(IF(INDEX(Firms!$R$5:$R$1004,MATCH(631,Firms!$U$5:$U$1004,0))="","",INDEX(Firms!$R$5:$R$1004,MATCH(631,Firms!$U$5:$U$1004,0))),"")</f>
        <v/>
      </c>
      <c r="D635" s="91">
        <f>IFERROR(INDEX(Firms!$S$5:$S$1004,MATCH(631,Firms!$U$5:$U$1004,0))&amp;"","")</f>
        <v/>
      </c>
      <c r="E635" s="91">
        <f>IFERROR(INDEX(Firms!$C$5:$C$1004,MATCH(631,Firms!$U$5:$U$1004,0))&amp;"","")</f>
        <v/>
      </c>
      <c r="F635" s="79">
        <f>IFERROR(INDEX(Firms!$N$5:$N$1004,MATCH(631,Firms!$U$5:$U$1004,0))&amp;"","")</f>
        <v/>
      </c>
      <c r="G635" s="79">
        <f>IFERROR(INDEX(Firms!$P$5:$P$1004,MATCH(631,Firms!$U$5:$U$1004,0))&amp;"","")</f>
        <v/>
      </c>
      <c r="H635" s="91">
        <f>IFERROR(INDEX(Firms!$T$5:$T$1004,MATCH(631,Firms!$U$5:$U$1004,0))&amp;"","")</f>
        <v/>
      </c>
    </row>
    <row r="636">
      <c r="A636" s="79">
        <f>IF(B636="","",632)</f>
        <v/>
      </c>
      <c r="B636" s="91">
        <f>IFERROR(INDEX(Firms!$A$5:$A$1004,MATCH(632,Firms!$U$5:$U$1004,0))&amp;"","")</f>
        <v/>
      </c>
      <c r="C636" s="88">
        <f>IFERROR(IF(INDEX(Firms!$R$5:$R$1004,MATCH(632,Firms!$U$5:$U$1004,0))="","",INDEX(Firms!$R$5:$R$1004,MATCH(632,Firms!$U$5:$U$1004,0))),"")</f>
        <v/>
      </c>
      <c r="D636" s="91">
        <f>IFERROR(INDEX(Firms!$S$5:$S$1004,MATCH(632,Firms!$U$5:$U$1004,0))&amp;"","")</f>
        <v/>
      </c>
      <c r="E636" s="91">
        <f>IFERROR(INDEX(Firms!$C$5:$C$1004,MATCH(632,Firms!$U$5:$U$1004,0))&amp;"","")</f>
        <v/>
      </c>
      <c r="F636" s="79">
        <f>IFERROR(INDEX(Firms!$N$5:$N$1004,MATCH(632,Firms!$U$5:$U$1004,0))&amp;"","")</f>
        <v/>
      </c>
      <c r="G636" s="79">
        <f>IFERROR(INDEX(Firms!$P$5:$P$1004,MATCH(632,Firms!$U$5:$U$1004,0))&amp;"","")</f>
        <v/>
      </c>
      <c r="H636" s="91">
        <f>IFERROR(INDEX(Firms!$T$5:$T$1004,MATCH(632,Firms!$U$5:$U$1004,0))&amp;"","")</f>
        <v/>
      </c>
    </row>
    <row r="637">
      <c r="A637" s="79">
        <f>IF(B637="","",633)</f>
        <v/>
      </c>
      <c r="B637" s="91">
        <f>IFERROR(INDEX(Firms!$A$5:$A$1004,MATCH(633,Firms!$U$5:$U$1004,0))&amp;"","")</f>
        <v/>
      </c>
      <c r="C637" s="88">
        <f>IFERROR(IF(INDEX(Firms!$R$5:$R$1004,MATCH(633,Firms!$U$5:$U$1004,0))="","",INDEX(Firms!$R$5:$R$1004,MATCH(633,Firms!$U$5:$U$1004,0))),"")</f>
        <v/>
      </c>
      <c r="D637" s="91">
        <f>IFERROR(INDEX(Firms!$S$5:$S$1004,MATCH(633,Firms!$U$5:$U$1004,0))&amp;"","")</f>
        <v/>
      </c>
      <c r="E637" s="91">
        <f>IFERROR(INDEX(Firms!$C$5:$C$1004,MATCH(633,Firms!$U$5:$U$1004,0))&amp;"","")</f>
        <v/>
      </c>
      <c r="F637" s="79">
        <f>IFERROR(INDEX(Firms!$N$5:$N$1004,MATCH(633,Firms!$U$5:$U$1004,0))&amp;"","")</f>
        <v/>
      </c>
      <c r="G637" s="79">
        <f>IFERROR(INDEX(Firms!$P$5:$P$1004,MATCH(633,Firms!$U$5:$U$1004,0))&amp;"","")</f>
        <v/>
      </c>
      <c r="H637" s="91">
        <f>IFERROR(INDEX(Firms!$T$5:$T$1004,MATCH(633,Firms!$U$5:$U$1004,0))&amp;"","")</f>
        <v/>
      </c>
    </row>
    <row r="638">
      <c r="A638" s="79">
        <f>IF(B638="","",634)</f>
        <v/>
      </c>
      <c r="B638" s="91">
        <f>IFERROR(INDEX(Firms!$A$5:$A$1004,MATCH(634,Firms!$U$5:$U$1004,0))&amp;"","")</f>
        <v/>
      </c>
      <c r="C638" s="88">
        <f>IFERROR(IF(INDEX(Firms!$R$5:$R$1004,MATCH(634,Firms!$U$5:$U$1004,0))="","",INDEX(Firms!$R$5:$R$1004,MATCH(634,Firms!$U$5:$U$1004,0))),"")</f>
        <v/>
      </c>
      <c r="D638" s="91">
        <f>IFERROR(INDEX(Firms!$S$5:$S$1004,MATCH(634,Firms!$U$5:$U$1004,0))&amp;"","")</f>
        <v/>
      </c>
      <c r="E638" s="91">
        <f>IFERROR(INDEX(Firms!$C$5:$C$1004,MATCH(634,Firms!$U$5:$U$1004,0))&amp;"","")</f>
        <v/>
      </c>
      <c r="F638" s="79">
        <f>IFERROR(INDEX(Firms!$N$5:$N$1004,MATCH(634,Firms!$U$5:$U$1004,0))&amp;"","")</f>
        <v/>
      </c>
      <c r="G638" s="79">
        <f>IFERROR(INDEX(Firms!$P$5:$P$1004,MATCH(634,Firms!$U$5:$U$1004,0))&amp;"","")</f>
        <v/>
      </c>
      <c r="H638" s="91">
        <f>IFERROR(INDEX(Firms!$T$5:$T$1004,MATCH(634,Firms!$U$5:$U$1004,0))&amp;"","")</f>
        <v/>
      </c>
    </row>
    <row r="639">
      <c r="A639" s="79">
        <f>IF(B639="","",635)</f>
        <v/>
      </c>
      <c r="B639" s="91">
        <f>IFERROR(INDEX(Firms!$A$5:$A$1004,MATCH(635,Firms!$U$5:$U$1004,0))&amp;"","")</f>
        <v/>
      </c>
      <c r="C639" s="88">
        <f>IFERROR(IF(INDEX(Firms!$R$5:$R$1004,MATCH(635,Firms!$U$5:$U$1004,0))="","",INDEX(Firms!$R$5:$R$1004,MATCH(635,Firms!$U$5:$U$1004,0))),"")</f>
        <v/>
      </c>
      <c r="D639" s="91">
        <f>IFERROR(INDEX(Firms!$S$5:$S$1004,MATCH(635,Firms!$U$5:$U$1004,0))&amp;"","")</f>
        <v/>
      </c>
      <c r="E639" s="91">
        <f>IFERROR(INDEX(Firms!$C$5:$C$1004,MATCH(635,Firms!$U$5:$U$1004,0))&amp;"","")</f>
        <v/>
      </c>
      <c r="F639" s="79">
        <f>IFERROR(INDEX(Firms!$N$5:$N$1004,MATCH(635,Firms!$U$5:$U$1004,0))&amp;"","")</f>
        <v/>
      </c>
      <c r="G639" s="79">
        <f>IFERROR(INDEX(Firms!$P$5:$P$1004,MATCH(635,Firms!$U$5:$U$1004,0))&amp;"","")</f>
        <v/>
      </c>
      <c r="H639" s="91">
        <f>IFERROR(INDEX(Firms!$T$5:$T$1004,MATCH(635,Firms!$U$5:$U$1004,0))&amp;"","")</f>
        <v/>
      </c>
    </row>
    <row r="640">
      <c r="A640" s="79">
        <f>IF(B640="","",636)</f>
        <v/>
      </c>
      <c r="B640" s="91">
        <f>IFERROR(INDEX(Firms!$A$5:$A$1004,MATCH(636,Firms!$U$5:$U$1004,0))&amp;"","")</f>
        <v/>
      </c>
      <c r="C640" s="88">
        <f>IFERROR(IF(INDEX(Firms!$R$5:$R$1004,MATCH(636,Firms!$U$5:$U$1004,0))="","",INDEX(Firms!$R$5:$R$1004,MATCH(636,Firms!$U$5:$U$1004,0))),"")</f>
        <v/>
      </c>
      <c r="D640" s="91">
        <f>IFERROR(INDEX(Firms!$S$5:$S$1004,MATCH(636,Firms!$U$5:$U$1004,0))&amp;"","")</f>
        <v/>
      </c>
      <c r="E640" s="91">
        <f>IFERROR(INDEX(Firms!$C$5:$C$1004,MATCH(636,Firms!$U$5:$U$1004,0))&amp;"","")</f>
        <v/>
      </c>
      <c r="F640" s="79">
        <f>IFERROR(INDEX(Firms!$N$5:$N$1004,MATCH(636,Firms!$U$5:$U$1004,0))&amp;"","")</f>
        <v/>
      </c>
      <c r="G640" s="79">
        <f>IFERROR(INDEX(Firms!$P$5:$P$1004,MATCH(636,Firms!$U$5:$U$1004,0))&amp;"","")</f>
        <v/>
      </c>
      <c r="H640" s="91">
        <f>IFERROR(INDEX(Firms!$T$5:$T$1004,MATCH(636,Firms!$U$5:$U$1004,0))&amp;"","")</f>
        <v/>
      </c>
    </row>
    <row r="641">
      <c r="A641" s="79">
        <f>IF(B641="","",637)</f>
        <v/>
      </c>
      <c r="B641" s="91">
        <f>IFERROR(INDEX(Firms!$A$5:$A$1004,MATCH(637,Firms!$U$5:$U$1004,0))&amp;"","")</f>
        <v/>
      </c>
      <c r="C641" s="88">
        <f>IFERROR(IF(INDEX(Firms!$R$5:$R$1004,MATCH(637,Firms!$U$5:$U$1004,0))="","",INDEX(Firms!$R$5:$R$1004,MATCH(637,Firms!$U$5:$U$1004,0))),"")</f>
        <v/>
      </c>
      <c r="D641" s="91">
        <f>IFERROR(INDEX(Firms!$S$5:$S$1004,MATCH(637,Firms!$U$5:$U$1004,0))&amp;"","")</f>
        <v/>
      </c>
      <c r="E641" s="91">
        <f>IFERROR(INDEX(Firms!$C$5:$C$1004,MATCH(637,Firms!$U$5:$U$1004,0))&amp;"","")</f>
        <v/>
      </c>
      <c r="F641" s="79">
        <f>IFERROR(INDEX(Firms!$N$5:$N$1004,MATCH(637,Firms!$U$5:$U$1004,0))&amp;"","")</f>
        <v/>
      </c>
      <c r="G641" s="79">
        <f>IFERROR(INDEX(Firms!$P$5:$P$1004,MATCH(637,Firms!$U$5:$U$1004,0))&amp;"","")</f>
        <v/>
      </c>
      <c r="H641" s="91">
        <f>IFERROR(INDEX(Firms!$T$5:$T$1004,MATCH(637,Firms!$U$5:$U$1004,0))&amp;"","")</f>
        <v/>
      </c>
    </row>
    <row r="642">
      <c r="A642" s="79">
        <f>IF(B642="","",638)</f>
        <v/>
      </c>
      <c r="B642" s="91">
        <f>IFERROR(INDEX(Firms!$A$5:$A$1004,MATCH(638,Firms!$U$5:$U$1004,0))&amp;"","")</f>
        <v/>
      </c>
      <c r="C642" s="88">
        <f>IFERROR(IF(INDEX(Firms!$R$5:$R$1004,MATCH(638,Firms!$U$5:$U$1004,0))="","",INDEX(Firms!$R$5:$R$1004,MATCH(638,Firms!$U$5:$U$1004,0))),"")</f>
        <v/>
      </c>
      <c r="D642" s="91">
        <f>IFERROR(INDEX(Firms!$S$5:$S$1004,MATCH(638,Firms!$U$5:$U$1004,0))&amp;"","")</f>
        <v/>
      </c>
      <c r="E642" s="91">
        <f>IFERROR(INDEX(Firms!$C$5:$C$1004,MATCH(638,Firms!$U$5:$U$1004,0))&amp;"","")</f>
        <v/>
      </c>
      <c r="F642" s="79">
        <f>IFERROR(INDEX(Firms!$N$5:$N$1004,MATCH(638,Firms!$U$5:$U$1004,0))&amp;"","")</f>
        <v/>
      </c>
      <c r="G642" s="79">
        <f>IFERROR(INDEX(Firms!$P$5:$P$1004,MATCH(638,Firms!$U$5:$U$1004,0))&amp;"","")</f>
        <v/>
      </c>
      <c r="H642" s="91">
        <f>IFERROR(INDEX(Firms!$T$5:$T$1004,MATCH(638,Firms!$U$5:$U$1004,0))&amp;"","")</f>
        <v/>
      </c>
    </row>
    <row r="643">
      <c r="A643" s="79">
        <f>IF(B643="","",639)</f>
        <v/>
      </c>
      <c r="B643" s="91">
        <f>IFERROR(INDEX(Firms!$A$5:$A$1004,MATCH(639,Firms!$U$5:$U$1004,0))&amp;"","")</f>
        <v/>
      </c>
      <c r="C643" s="88">
        <f>IFERROR(IF(INDEX(Firms!$R$5:$R$1004,MATCH(639,Firms!$U$5:$U$1004,0))="","",INDEX(Firms!$R$5:$R$1004,MATCH(639,Firms!$U$5:$U$1004,0))),"")</f>
        <v/>
      </c>
      <c r="D643" s="91">
        <f>IFERROR(INDEX(Firms!$S$5:$S$1004,MATCH(639,Firms!$U$5:$U$1004,0))&amp;"","")</f>
        <v/>
      </c>
      <c r="E643" s="91">
        <f>IFERROR(INDEX(Firms!$C$5:$C$1004,MATCH(639,Firms!$U$5:$U$1004,0))&amp;"","")</f>
        <v/>
      </c>
      <c r="F643" s="79">
        <f>IFERROR(INDEX(Firms!$N$5:$N$1004,MATCH(639,Firms!$U$5:$U$1004,0))&amp;"","")</f>
        <v/>
      </c>
      <c r="G643" s="79">
        <f>IFERROR(INDEX(Firms!$P$5:$P$1004,MATCH(639,Firms!$U$5:$U$1004,0))&amp;"","")</f>
        <v/>
      </c>
      <c r="H643" s="91">
        <f>IFERROR(INDEX(Firms!$T$5:$T$1004,MATCH(639,Firms!$U$5:$U$1004,0))&amp;"","")</f>
        <v/>
      </c>
    </row>
    <row r="644">
      <c r="A644" s="79">
        <f>IF(B644="","",640)</f>
        <v/>
      </c>
      <c r="B644" s="91">
        <f>IFERROR(INDEX(Firms!$A$5:$A$1004,MATCH(640,Firms!$U$5:$U$1004,0))&amp;"","")</f>
        <v/>
      </c>
      <c r="C644" s="88">
        <f>IFERROR(IF(INDEX(Firms!$R$5:$R$1004,MATCH(640,Firms!$U$5:$U$1004,0))="","",INDEX(Firms!$R$5:$R$1004,MATCH(640,Firms!$U$5:$U$1004,0))),"")</f>
        <v/>
      </c>
      <c r="D644" s="91">
        <f>IFERROR(INDEX(Firms!$S$5:$S$1004,MATCH(640,Firms!$U$5:$U$1004,0))&amp;"","")</f>
        <v/>
      </c>
      <c r="E644" s="91">
        <f>IFERROR(INDEX(Firms!$C$5:$C$1004,MATCH(640,Firms!$U$5:$U$1004,0))&amp;"","")</f>
        <v/>
      </c>
      <c r="F644" s="79">
        <f>IFERROR(INDEX(Firms!$N$5:$N$1004,MATCH(640,Firms!$U$5:$U$1004,0))&amp;"","")</f>
        <v/>
      </c>
      <c r="G644" s="79">
        <f>IFERROR(INDEX(Firms!$P$5:$P$1004,MATCH(640,Firms!$U$5:$U$1004,0))&amp;"","")</f>
        <v/>
      </c>
      <c r="H644" s="91">
        <f>IFERROR(INDEX(Firms!$T$5:$T$1004,MATCH(640,Firms!$U$5:$U$1004,0))&amp;"","")</f>
        <v/>
      </c>
    </row>
    <row r="645">
      <c r="A645" s="79">
        <f>IF(B645="","",641)</f>
        <v/>
      </c>
      <c r="B645" s="91">
        <f>IFERROR(INDEX(Firms!$A$5:$A$1004,MATCH(641,Firms!$U$5:$U$1004,0))&amp;"","")</f>
        <v/>
      </c>
      <c r="C645" s="88">
        <f>IFERROR(IF(INDEX(Firms!$R$5:$R$1004,MATCH(641,Firms!$U$5:$U$1004,0))="","",INDEX(Firms!$R$5:$R$1004,MATCH(641,Firms!$U$5:$U$1004,0))),"")</f>
        <v/>
      </c>
      <c r="D645" s="91">
        <f>IFERROR(INDEX(Firms!$S$5:$S$1004,MATCH(641,Firms!$U$5:$U$1004,0))&amp;"","")</f>
        <v/>
      </c>
      <c r="E645" s="91">
        <f>IFERROR(INDEX(Firms!$C$5:$C$1004,MATCH(641,Firms!$U$5:$U$1004,0))&amp;"","")</f>
        <v/>
      </c>
      <c r="F645" s="79">
        <f>IFERROR(INDEX(Firms!$N$5:$N$1004,MATCH(641,Firms!$U$5:$U$1004,0))&amp;"","")</f>
        <v/>
      </c>
      <c r="G645" s="79">
        <f>IFERROR(INDEX(Firms!$P$5:$P$1004,MATCH(641,Firms!$U$5:$U$1004,0))&amp;"","")</f>
        <v/>
      </c>
      <c r="H645" s="91">
        <f>IFERROR(INDEX(Firms!$T$5:$T$1004,MATCH(641,Firms!$U$5:$U$1004,0))&amp;"","")</f>
        <v/>
      </c>
    </row>
    <row r="646">
      <c r="A646" s="79">
        <f>IF(B646="","",642)</f>
        <v/>
      </c>
      <c r="B646" s="91">
        <f>IFERROR(INDEX(Firms!$A$5:$A$1004,MATCH(642,Firms!$U$5:$U$1004,0))&amp;"","")</f>
        <v/>
      </c>
      <c r="C646" s="88">
        <f>IFERROR(IF(INDEX(Firms!$R$5:$R$1004,MATCH(642,Firms!$U$5:$U$1004,0))="","",INDEX(Firms!$R$5:$R$1004,MATCH(642,Firms!$U$5:$U$1004,0))),"")</f>
        <v/>
      </c>
      <c r="D646" s="91">
        <f>IFERROR(INDEX(Firms!$S$5:$S$1004,MATCH(642,Firms!$U$5:$U$1004,0))&amp;"","")</f>
        <v/>
      </c>
      <c r="E646" s="91">
        <f>IFERROR(INDEX(Firms!$C$5:$C$1004,MATCH(642,Firms!$U$5:$U$1004,0))&amp;"","")</f>
        <v/>
      </c>
      <c r="F646" s="79">
        <f>IFERROR(INDEX(Firms!$N$5:$N$1004,MATCH(642,Firms!$U$5:$U$1004,0))&amp;"","")</f>
        <v/>
      </c>
      <c r="G646" s="79">
        <f>IFERROR(INDEX(Firms!$P$5:$P$1004,MATCH(642,Firms!$U$5:$U$1004,0))&amp;"","")</f>
        <v/>
      </c>
      <c r="H646" s="91">
        <f>IFERROR(INDEX(Firms!$T$5:$T$1004,MATCH(642,Firms!$U$5:$U$1004,0))&amp;"","")</f>
        <v/>
      </c>
    </row>
    <row r="647">
      <c r="A647" s="79">
        <f>IF(B647="","",643)</f>
        <v/>
      </c>
      <c r="B647" s="91">
        <f>IFERROR(INDEX(Firms!$A$5:$A$1004,MATCH(643,Firms!$U$5:$U$1004,0))&amp;"","")</f>
        <v/>
      </c>
      <c r="C647" s="88">
        <f>IFERROR(IF(INDEX(Firms!$R$5:$R$1004,MATCH(643,Firms!$U$5:$U$1004,0))="","",INDEX(Firms!$R$5:$R$1004,MATCH(643,Firms!$U$5:$U$1004,0))),"")</f>
        <v/>
      </c>
      <c r="D647" s="91">
        <f>IFERROR(INDEX(Firms!$S$5:$S$1004,MATCH(643,Firms!$U$5:$U$1004,0))&amp;"","")</f>
        <v/>
      </c>
      <c r="E647" s="91">
        <f>IFERROR(INDEX(Firms!$C$5:$C$1004,MATCH(643,Firms!$U$5:$U$1004,0))&amp;"","")</f>
        <v/>
      </c>
      <c r="F647" s="79">
        <f>IFERROR(INDEX(Firms!$N$5:$N$1004,MATCH(643,Firms!$U$5:$U$1004,0))&amp;"","")</f>
        <v/>
      </c>
      <c r="G647" s="79">
        <f>IFERROR(INDEX(Firms!$P$5:$P$1004,MATCH(643,Firms!$U$5:$U$1004,0))&amp;"","")</f>
        <v/>
      </c>
      <c r="H647" s="91">
        <f>IFERROR(INDEX(Firms!$T$5:$T$1004,MATCH(643,Firms!$U$5:$U$1004,0))&amp;"","")</f>
        <v/>
      </c>
    </row>
    <row r="648">
      <c r="A648" s="79">
        <f>IF(B648="","",644)</f>
        <v/>
      </c>
      <c r="B648" s="91">
        <f>IFERROR(INDEX(Firms!$A$5:$A$1004,MATCH(644,Firms!$U$5:$U$1004,0))&amp;"","")</f>
        <v/>
      </c>
      <c r="C648" s="88">
        <f>IFERROR(IF(INDEX(Firms!$R$5:$R$1004,MATCH(644,Firms!$U$5:$U$1004,0))="","",INDEX(Firms!$R$5:$R$1004,MATCH(644,Firms!$U$5:$U$1004,0))),"")</f>
        <v/>
      </c>
      <c r="D648" s="91">
        <f>IFERROR(INDEX(Firms!$S$5:$S$1004,MATCH(644,Firms!$U$5:$U$1004,0))&amp;"","")</f>
        <v/>
      </c>
      <c r="E648" s="91">
        <f>IFERROR(INDEX(Firms!$C$5:$C$1004,MATCH(644,Firms!$U$5:$U$1004,0))&amp;"","")</f>
        <v/>
      </c>
      <c r="F648" s="79">
        <f>IFERROR(INDEX(Firms!$N$5:$N$1004,MATCH(644,Firms!$U$5:$U$1004,0))&amp;"","")</f>
        <v/>
      </c>
      <c r="G648" s="79">
        <f>IFERROR(INDEX(Firms!$P$5:$P$1004,MATCH(644,Firms!$U$5:$U$1004,0))&amp;"","")</f>
        <v/>
      </c>
      <c r="H648" s="91">
        <f>IFERROR(INDEX(Firms!$T$5:$T$1004,MATCH(644,Firms!$U$5:$U$1004,0))&amp;"","")</f>
        <v/>
      </c>
    </row>
    <row r="649">
      <c r="A649" s="79">
        <f>IF(B649="","",645)</f>
        <v/>
      </c>
      <c r="B649" s="91">
        <f>IFERROR(INDEX(Firms!$A$5:$A$1004,MATCH(645,Firms!$U$5:$U$1004,0))&amp;"","")</f>
        <v/>
      </c>
      <c r="C649" s="88">
        <f>IFERROR(IF(INDEX(Firms!$R$5:$R$1004,MATCH(645,Firms!$U$5:$U$1004,0))="","",INDEX(Firms!$R$5:$R$1004,MATCH(645,Firms!$U$5:$U$1004,0))),"")</f>
        <v/>
      </c>
      <c r="D649" s="91">
        <f>IFERROR(INDEX(Firms!$S$5:$S$1004,MATCH(645,Firms!$U$5:$U$1004,0))&amp;"","")</f>
        <v/>
      </c>
      <c r="E649" s="91">
        <f>IFERROR(INDEX(Firms!$C$5:$C$1004,MATCH(645,Firms!$U$5:$U$1004,0))&amp;"","")</f>
        <v/>
      </c>
      <c r="F649" s="79">
        <f>IFERROR(INDEX(Firms!$N$5:$N$1004,MATCH(645,Firms!$U$5:$U$1004,0))&amp;"","")</f>
        <v/>
      </c>
      <c r="G649" s="79">
        <f>IFERROR(INDEX(Firms!$P$5:$P$1004,MATCH(645,Firms!$U$5:$U$1004,0))&amp;"","")</f>
        <v/>
      </c>
      <c r="H649" s="91">
        <f>IFERROR(INDEX(Firms!$T$5:$T$1004,MATCH(645,Firms!$U$5:$U$1004,0))&amp;"","")</f>
        <v/>
      </c>
    </row>
    <row r="650">
      <c r="A650" s="79">
        <f>IF(B650="","",646)</f>
        <v/>
      </c>
      <c r="B650" s="91">
        <f>IFERROR(INDEX(Firms!$A$5:$A$1004,MATCH(646,Firms!$U$5:$U$1004,0))&amp;"","")</f>
        <v/>
      </c>
      <c r="C650" s="88">
        <f>IFERROR(IF(INDEX(Firms!$R$5:$R$1004,MATCH(646,Firms!$U$5:$U$1004,0))="","",INDEX(Firms!$R$5:$R$1004,MATCH(646,Firms!$U$5:$U$1004,0))),"")</f>
        <v/>
      </c>
      <c r="D650" s="91">
        <f>IFERROR(INDEX(Firms!$S$5:$S$1004,MATCH(646,Firms!$U$5:$U$1004,0))&amp;"","")</f>
        <v/>
      </c>
      <c r="E650" s="91">
        <f>IFERROR(INDEX(Firms!$C$5:$C$1004,MATCH(646,Firms!$U$5:$U$1004,0))&amp;"","")</f>
        <v/>
      </c>
      <c r="F650" s="79">
        <f>IFERROR(INDEX(Firms!$N$5:$N$1004,MATCH(646,Firms!$U$5:$U$1004,0))&amp;"","")</f>
        <v/>
      </c>
      <c r="G650" s="79">
        <f>IFERROR(INDEX(Firms!$P$5:$P$1004,MATCH(646,Firms!$U$5:$U$1004,0))&amp;"","")</f>
        <v/>
      </c>
      <c r="H650" s="91">
        <f>IFERROR(INDEX(Firms!$T$5:$T$1004,MATCH(646,Firms!$U$5:$U$1004,0))&amp;"","")</f>
        <v/>
      </c>
    </row>
    <row r="651">
      <c r="A651" s="79">
        <f>IF(B651="","",647)</f>
        <v/>
      </c>
      <c r="B651" s="91">
        <f>IFERROR(INDEX(Firms!$A$5:$A$1004,MATCH(647,Firms!$U$5:$U$1004,0))&amp;"","")</f>
        <v/>
      </c>
      <c r="C651" s="88">
        <f>IFERROR(IF(INDEX(Firms!$R$5:$R$1004,MATCH(647,Firms!$U$5:$U$1004,0))="","",INDEX(Firms!$R$5:$R$1004,MATCH(647,Firms!$U$5:$U$1004,0))),"")</f>
        <v/>
      </c>
      <c r="D651" s="91">
        <f>IFERROR(INDEX(Firms!$S$5:$S$1004,MATCH(647,Firms!$U$5:$U$1004,0))&amp;"","")</f>
        <v/>
      </c>
      <c r="E651" s="91">
        <f>IFERROR(INDEX(Firms!$C$5:$C$1004,MATCH(647,Firms!$U$5:$U$1004,0))&amp;"","")</f>
        <v/>
      </c>
      <c r="F651" s="79">
        <f>IFERROR(INDEX(Firms!$N$5:$N$1004,MATCH(647,Firms!$U$5:$U$1004,0))&amp;"","")</f>
        <v/>
      </c>
      <c r="G651" s="79">
        <f>IFERROR(INDEX(Firms!$P$5:$P$1004,MATCH(647,Firms!$U$5:$U$1004,0))&amp;"","")</f>
        <v/>
      </c>
      <c r="H651" s="91">
        <f>IFERROR(INDEX(Firms!$T$5:$T$1004,MATCH(647,Firms!$U$5:$U$1004,0))&amp;"","")</f>
        <v/>
      </c>
    </row>
    <row r="652">
      <c r="A652" s="79">
        <f>IF(B652="","",648)</f>
        <v/>
      </c>
      <c r="B652" s="91">
        <f>IFERROR(INDEX(Firms!$A$5:$A$1004,MATCH(648,Firms!$U$5:$U$1004,0))&amp;"","")</f>
        <v/>
      </c>
      <c r="C652" s="88">
        <f>IFERROR(IF(INDEX(Firms!$R$5:$R$1004,MATCH(648,Firms!$U$5:$U$1004,0))="","",INDEX(Firms!$R$5:$R$1004,MATCH(648,Firms!$U$5:$U$1004,0))),"")</f>
        <v/>
      </c>
      <c r="D652" s="91">
        <f>IFERROR(INDEX(Firms!$S$5:$S$1004,MATCH(648,Firms!$U$5:$U$1004,0))&amp;"","")</f>
        <v/>
      </c>
      <c r="E652" s="91">
        <f>IFERROR(INDEX(Firms!$C$5:$C$1004,MATCH(648,Firms!$U$5:$U$1004,0))&amp;"","")</f>
        <v/>
      </c>
      <c r="F652" s="79">
        <f>IFERROR(INDEX(Firms!$N$5:$N$1004,MATCH(648,Firms!$U$5:$U$1004,0))&amp;"","")</f>
        <v/>
      </c>
      <c r="G652" s="79">
        <f>IFERROR(INDEX(Firms!$P$5:$P$1004,MATCH(648,Firms!$U$5:$U$1004,0))&amp;"","")</f>
        <v/>
      </c>
      <c r="H652" s="91">
        <f>IFERROR(INDEX(Firms!$T$5:$T$1004,MATCH(648,Firms!$U$5:$U$1004,0))&amp;"","")</f>
        <v/>
      </c>
    </row>
    <row r="653">
      <c r="A653" s="79">
        <f>IF(B653="","",649)</f>
        <v/>
      </c>
      <c r="B653" s="91">
        <f>IFERROR(INDEX(Firms!$A$5:$A$1004,MATCH(649,Firms!$U$5:$U$1004,0))&amp;"","")</f>
        <v/>
      </c>
      <c r="C653" s="88">
        <f>IFERROR(IF(INDEX(Firms!$R$5:$R$1004,MATCH(649,Firms!$U$5:$U$1004,0))="","",INDEX(Firms!$R$5:$R$1004,MATCH(649,Firms!$U$5:$U$1004,0))),"")</f>
        <v/>
      </c>
      <c r="D653" s="91">
        <f>IFERROR(INDEX(Firms!$S$5:$S$1004,MATCH(649,Firms!$U$5:$U$1004,0))&amp;"","")</f>
        <v/>
      </c>
      <c r="E653" s="91">
        <f>IFERROR(INDEX(Firms!$C$5:$C$1004,MATCH(649,Firms!$U$5:$U$1004,0))&amp;"","")</f>
        <v/>
      </c>
      <c r="F653" s="79">
        <f>IFERROR(INDEX(Firms!$N$5:$N$1004,MATCH(649,Firms!$U$5:$U$1004,0))&amp;"","")</f>
        <v/>
      </c>
      <c r="G653" s="79">
        <f>IFERROR(INDEX(Firms!$P$5:$P$1004,MATCH(649,Firms!$U$5:$U$1004,0))&amp;"","")</f>
        <v/>
      </c>
      <c r="H653" s="91">
        <f>IFERROR(INDEX(Firms!$T$5:$T$1004,MATCH(649,Firms!$U$5:$U$1004,0))&amp;"","")</f>
        <v/>
      </c>
    </row>
    <row r="654">
      <c r="A654" s="79">
        <f>IF(B654="","",650)</f>
        <v/>
      </c>
      <c r="B654" s="91">
        <f>IFERROR(INDEX(Firms!$A$5:$A$1004,MATCH(650,Firms!$U$5:$U$1004,0))&amp;"","")</f>
        <v/>
      </c>
      <c r="C654" s="88">
        <f>IFERROR(IF(INDEX(Firms!$R$5:$R$1004,MATCH(650,Firms!$U$5:$U$1004,0))="","",INDEX(Firms!$R$5:$R$1004,MATCH(650,Firms!$U$5:$U$1004,0))),"")</f>
        <v/>
      </c>
      <c r="D654" s="91">
        <f>IFERROR(INDEX(Firms!$S$5:$S$1004,MATCH(650,Firms!$U$5:$U$1004,0))&amp;"","")</f>
        <v/>
      </c>
      <c r="E654" s="91">
        <f>IFERROR(INDEX(Firms!$C$5:$C$1004,MATCH(650,Firms!$U$5:$U$1004,0))&amp;"","")</f>
        <v/>
      </c>
      <c r="F654" s="79">
        <f>IFERROR(INDEX(Firms!$N$5:$N$1004,MATCH(650,Firms!$U$5:$U$1004,0))&amp;"","")</f>
        <v/>
      </c>
      <c r="G654" s="79">
        <f>IFERROR(INDEX(Firms!$P$5:$P$1004,MATCH(650,Firms!$U$5:$U$1004,0))&amp;"","")</f>
        <v/>
      </c>
      <c r="H654" s="91">
        <f>IFERROR(INDEX(Firms!$T$5:$T$1004,MATCH(650,Firms!$U$5:$U$1004,0))&amp;"","")</f>
        <v/>
      </c>
    </row>
    <row r="655">
      <c r="A655" s="79">
        <f>IF(B655="","",651)</f>
        <v/>
      </c>
      <c r="B655" s="91">
        <f>IFERROR(INDEX(Firms!$A$5:$A$1004,MATCH(651,Firms!$U$5:$U$1004,0))&amp;"","")</f>
        <v/>
      </c>
      <c r="C655" s="88">
        <f>IFERROR(IF(INDEX(Firms!$R$5:$R$1004,MATCH(651,Firms!$U$5:$U$1004,0))="","",INDEX(Firms!$R$5:$R$1004,MATCH(651,Firms!$U$5:$U$1004,0))),"")</f>
        <v/>
      </c>
      <c r="D655" s="91">
        <f>IFERROR(INDEX(Firms!$S$5:$S$1004,MATCH(651,Firms!$U$5:$U$1004,0))&amp;"","")</f>
        <v/>
      </c>
      <c r="E655" s="91">
        <f>IFERROR(INDEX(Firms!$C$5:$C$1004,MATCH(651,Firms!$U$5:$U$1004,0))&amp;"","")</f>
        <v/>
      </c>
      <c r="F655" s="79">
        <f>IFERROR(INDEX(Firms!$N$5:$N$1004,MATCH(651,Firms!$U$5:$U$1004,0))&amp;"","")</f>
        <v/>
      </c>
      <c r="G655" s="79">
        <f>IFERROR(INDEX(Firms!$P$5:$P$1004,MATCH(651,Firms!$U$5:$U$1004,0))&amp;"","")</f>
        <v/>
      </c>
      <c r="H655" s="91">
        <f>IFERROR(INDEX(Firms!$T$5:$T$1004,MATCH(651,Firms!$U$5:$U$1004,0))&amp;"","")</f>
        <v/>
      </c>
    </row>
    <row r="656">
      <c r="A656" s="79">
        <f>IF(B656="","",652)</f>
        <v/>
      </c>
      <c r="B656" s="91">
        <f>IFERROR(INDEX(Firms!$A$5:$A$1004,MATCH(652,Firms!$U$5:$U$1004,0))&amp;"","")</f>
        <v/>
      </c>
      <c r="C656" s="88">
        <f>IFERROR(IF(INDEX(Firms!$R$5:$R$1004,MATCH(652,Firms!$U$5:$U$1004,0))="","",INDEX(Firms!$R$5:$R$1004,MATCH(652,Firms!$U$5:$U$1004,0))),"")</f>
        <v/>
      </c>
      <c r="D656" s="91">
        <f>IFERROR(INDEX(Firms!$S$5:$S$1004,MATCH(652,Firms!$U$5:$U$1004,0))&amp;"","")</f>
        <v/>
      </c>
      <c r="E656" s="91">
        <f>IFERROR(INDEX(Firms!$C$5:$C$1004,MATCH(652,Firms!$U$5:$U$1004,0))&amp;"","")</f>
        <v/>
      </c>
      <c r="F656" s="79">
        <f>IFERROR(INDEX(Firms!$N$5:$N$1004,MATCH(652,Firms!$U$5:$U$1004,0))&amp;"","")</f>
        <v/>
      </c>
      <c r="G656" s="79">
        <f>IFERROR(INDEX(Firms!$P$5:$P$1004,MATCH(652,Firms!$U$5:$U$1004,0))&amp;"","")</f>
        <v/>
      </c>
      <c r="H656" s="91">
        <f>IFERROR(INDEX(Firms!$T$5:$T$1004,MATCH(652,Firms!$U$5:$U$1004,0))&amp;"","")</f>
        <v/>
      </c>
    </row>
    <row r="657">
      <c r="A657" s="79">
        <f>IF(B657="","",653)</f>
        <v/>
      </c>
      <c r="B657" s="91">
        <f>IFERROR(INDEX(Firms!$A$5:$A$1004,MATCH(653,Firms!$U$5:$U$1004,0))&amp;"","")</f>
        <v/>
      </c>
      <c r="C657" s="88">
        <f>IFERROR(IF(INDEX(Firms!$R$5:$R$1004,MATCH(653,Firms!$U$5:$U$1004,0))="","",INDEX(Firms!$R$5:$R$1004,MATCH(653,Firms!$U$5:$U$1004,0))),"")</f>
        <v/>
      </c>
      <c r="D657" s="91">
        <f>IFERROR(INDEX(Firms!$S$5:$S$1004,MATCH(653,Firms!$U$5:$U$1004,0))&amp;"","")</f>
        <v/>
      </c>
      <c r="E657" s="91">
        <f>IFERROR(INDEX(Firms!$C$5:$C$1004,MATCH(653,Firms!$U$5:$U$1004,0))&amp;"","")</f>
        <v/>
      </c>
      <c r="F657" s="79">
        <f>IFERROR(INDEX(Firms!$N$5:$N$1004,MATCH(653,Firms!$U$5:$U$1004,0))&amp;"","")</f>
        <v/>
      </c>
      <c r="G657" s="79">
        <f>IFERROR(INDEX(Firms!$P$5:$P$1004,MATCH(653,Firms!$U$5:$U$1004,0))&amp;"","")</f>
        <v/>
      </c>
      <c r="H657" s="91">
        <f>IFERROR(INDEX(Firms!$T$5:$T$1004,MATCH(653,Firms!$U$5:$U$1004,0))&amp;"","")</f>
        <v/>
      </c>
    </row>
    <row r="658">
      <c r="A658" s="79">
        <f>IF(B658="","",654)</f>
        <v/>
      </c>
      <c r="B658" s="91">
        <f>IFERROR(INDEX(Firms!$A$5:$A$1004,MATCH(654,Firms!$U$5:$U$1004,0))&amp;"","")</f>
        <v/>
      </c>
      <c r="C658" s="88">
        <f>IFERROR(IF(INDEX(Firms!$R$5:$R$1004,MATCH(654,Firms!$U$5:$U$1004,0))="","",INDEX(Firms!$R$5:$R$1004,MATCH(654,Firms!$U$5:$U$1004,0))),"")</f>
        <v/>
      </c>
      <c r="D658" s="91">
        <f>IFERROR(INDEX(Firms!$S$5:$S$1004,MATCH(654,Firms!$U$5:$U$1004,0))&amp;"","")</f>
        <v/>
      </c>
      <c r="E658" s="91">
        <f>IFERROR(INDEX(Firms!$C$5:$C$1004,MATCH(654,Firms!$U$5:$U$1004,0))&amp;"","")</f>
        <v/>
      </c>
      <c r="F658" s="79">
        <f>IFERROR(INDEX(Firms!$N$5:$N$1004,MATCH(654,Firms!$U$5:$U$1004,0))&amp;"","")</f>
        <v/>
      </c>
      <c r="G658" s="79">
        <f>IFERROR(INDEX(Firms!$P$5:$P$1004,MATCH(654,Firms!$U$5:$U$1004,0))&amp;"","")</f>
        <v/>
      </c>
      <c r="H658" s="91">
        <f>IFERROR(INDEX(Firms!$T$5:$T$1004,MATCH(654,Firms!$U$5:$U$1004,0))&amp;"","")</f>
        <v/>
      </c>
    </row>
    <row r="659">
      <c r="A659" s="79">
        <f>IF(B659="","",655)</f>
        <v/>
      </c>
      <c r="B659" s="91">
        <f>IFERROR(INDEX(Firms!$A$5:$A$1004,MATCH(655,Firms!$U$5:$U$1004,0))&amp;"","")</f>
        <v/>
      </c>
      <c r="C659" s="88">
        <f>IFERROR(IF(INDEX(Firms!$R$5:$R$1004,MATCH(655,Firms!$U$5:$U$1004,0))="","",INDEX(Firms!$R$5:$R$1004,MATCH(655,Firms!$U$5:$U$1004,0))),"")</f>
        <v/>
      </c>
      <c r="D659" s="91">
        <f>IFERROR(INDEX(Firms!$S$5:$S$1004,MATCH(655,Firms!$U$5:$U$1004,0))&amp;"","")</f>
        <v/>
      </c>
      <c r="E659" s="91">
        <f>IFERROR(INDEX(Firms!$C$5:$C$1004,MATCH(655,Firms!$U$5:$U$1004,0))&amp;"","")</f>
        <v/>
      </c>
      <c r="F659" s="79">
        <f>IFERROR(INDEX(Firms!$N$5:$N$1004,MATCH(655,Firms!$U$5:$U$1004,0))&amp;"","")</f>
        <v/>
      </c>
      <c r="G659" s="79">
        <f>IFERROR(INDEX(Firms!$P$5:$P$1004,MATCH(655,Firms!$U$5:$U$1004,0))&amp;"","")</f>
        <v/>
      </c>
      <c r="H659" s="91">
        <f>IFERROR(INDEX(Firms!$T$5:$T$1004,MATCH(655,Firms!$U$5:$U$1004,0))&amp;"","")</f>
        <v/>
      </c>
    </row>
    <row r="660">
      <c r="A660" s="79">
        <f>IF(B660="","",656)</f>
        <v/>
      </c>
      <c r="B660" s="91">
        <f>IFERROR(INDEX(Firms!$A$5:$A$1004,MATCH(656,Firms!$U$5:$U$1004,0))&amp;"","")</f>
        <v/>
      </c>
      <c r="C660" s="88">
        <f>IFERROR(IF(INDEX(Firms!$R$5:$R$1004,MATCH(656,Firms!$U$5:$U$1004,0))="","",INDEX(Firms!$R$5:$R$1004,MATCH(656,Firms!$U$5:$U$1004,0))),"")</f>
        <v/>
      </c>
      <c r="D660" s="91">
        <f>IFERROR(INDEX(Firms!$S$5:$S$1004,MATCH(656,Firms!$U$5:$U$1004,0))&amp;"","")</f>
        <v/>
      </c>
      <c r="E660" s="91">
        <f>IFERROR(INDEX(Firms!$C$5:$C$1004,MATCH(656,Firms!$U$5:$U$1004,0))&amp;"","")</f>
        <v/>
      </c>
      <c r="F660" s="79">
        <f>IFERROR(INDEX(Firms!$N$5:$N$1004,MATCH(656,Firms!$U$5:$U$1004,0))&amp;"","")</f>
        <v/>
      </c>
      <c r="G660" s="79">
        <f>IFERROR(INDEX(Firms!$P$5:$P$1004,MATCH(656,Firms!$U$5:$U$1004,0))&amp;"","")</f>
        <v/>
      </c>
      <c r="H660" s="91">
        <f>IFERROR(INDEX(Firms!$T$5:$T$1004,MATCH(656,Firms!$U$5:$U$1004,0))&amp;"","")</f>
        <v/>
      </c>
    </row>
    <row r="661">
      <c r="A661" s="79">
        <f>IF(B661="","",657)</f>
        <v/>
      </c>
      <c r="B661" s="91">
        <f>IFERROR(INDEX(Firms!$A$5:$A$1004,MATCH(657,Firms!$U$5:$U$1004,0))&amp;"","")</f>
        <v/>
      </c>
      <c r="C661" s="88">
        <f>IFERROR(IF(INDEX(Firms!$R$5:$R$1004,MATCH(657,Firms!$U$5:$U$1004,0))="","",INDEX(Firms!$R$5:$R$1004,MATCH(657,Firms!$U$5:$U$1004,0))),"")</f>
        <v/>
      </c>
      <c r="D661" s="91">
        <f>IFERROR(INDEX(Firms!$S$5:$S$1004,MATCH(657,Firms!$U$5:$U$1004,0))&amp;"","")</f>
        <v/>
      </c>
      <c r="E661" s="91">
        <f>IFERROR(INDEX(Firms!$C$5:$C$1004,MATCH(657,Firms!$U$5:$U$1004,0))&amp;"","")</f>
        <v/>
      </c>
      <c r="F661" s="79">
        <f>IFERROR(INDEX(Firms!$N$5:$N$1004,MATCH(657,Firms!$U$5:$U$1004,0))&amp;"","")</f>
        <v/>
      </c>
      <c r="G661" s="79">
        <f>IFERROR(INDEX(Firms!$P$5:$P$1004,MATCH(657,Firms!$U$5:$U$1004,0))&amp;"","")</f>
        <v/>
      </c>
      <c r="H661" s="91">
        <f>IFERROR(INDEX(Firms!$T$5:$T$1004,MATCH(657,Firms!$U$5:$U$1004,0))&amp;"","")</f>
        <v/>
      </c>
    </row>
    <row r="662">
      <c r="A662" s="79">
        <f>IF(B662="","",658)</f>
        <v/>
      </c>
      <c r="B662" s="91">
        <f>IFERROR(INDEX(Firms!$A$5:$A$1004,MATCH(658,Firms!$U$5:$U$1004,0))&amp;"","")</f>
        <v/>
      </c>
      <c r="C662" s="88">
        <f>IFERROR(IF(INDEX(Firms!$R$5:$R$1004,MATCH(658,Firms!$U$5:$U$1004,0))="","",INDEX(Firms!$R$5:$R$1004,MATCH(658,Firms!$U$5:$U$1004,0))),"")</f>
        <v/>
      </c>
      <c r="D662" s="91">
        <f>IFERROR(INDEX(Firms!$S$5:$S$1004,MATCH(658,Firms!$U$5:$U$1004,0))&amp;"","")</f>
        <v/>
      </c>
      <c r="E662" s="91">
        <f>IFERROR(INDEX(Firms!$C$5:$C$1004,MATCH(658,Firms!$U$5:$U$1004,0))&amp;"","")</f>
        <v/>
      </c>
      <c r="F662" s="79">
        <f>IFERROR(INDEX(Firms!$N$5:$N$1004,MATCH(658,Firms!$U$5:$U$1004,0))&amp;"","")</f>
        <v/>
      </c>
      <c r="G662" s="79">
        <f>IFERROR(INDEX(Firms!$P$5:$P$1004,MATCH(658,Firms!$U$5:$U$1004,0))&amp;"","")</f>
        <v/>
      </c>
      <c r="H662" s="91">
        <f>IFERROR(INDEX(Firms!$T$5:$T$1004,MATCH(658,Firms!$U$5:$U$1004,0))&amp;"","")</f>
        <v/>
      </c>
    </row>
    <row r="663">
      <c r="A663" s="79">
        <f>IF(B663="","",659)</f>
        <v/>
      </c>
      <c r="B663" s="91">
        <f>IFERROR(INDEX(Firms!$A$5:$A$1004,MATCH(659,Firms!$U$5:$U$1004,0))&amp;"","")</f>
        <v/>
      </c>
      <c r="C663" s="88">
        <f>IFERROR(IF(INDEX(Firms!$R$5:$R$1004,MATCH(659,Firms!$U$5:$U$1004,0))="","",INDEX(Firms!$R$5:$R$1004,MATCH(659,Firms!$U$5:$U$1004,0))),"")</f>
        <v/>
      </c>
      <c r="D663" s="91">
        <f>IFERROR(INDEX(Firms!$S$5:$S$1004,MATCH(659,Firms!$U$5:$U$1004,0))&amp;"","")</f>
        <v/>
      </c>
      <c r="E663" s="91">
        <f>IFERROR(INDEX(Firms!$C$5:$C$1004,MATCH(659,Firms!$U$5:$U$1004,0))&amp;"","")</f>
        <v/>
      </c>
      <c r="F663" s="79">
        <f>IFERROR(INDEX(Firms!$N$5:$N$1004,MATCH(659,Firms!$U$5:$U$1004,0))&amp;"","")</f>
        <v/>
      </c>
      <c r="G663" s="79">
        <f>IFERROR(INDEX(Firms!$P$5:$P$1004,MATCH(659,Firms!$U$5:$U$1004,0))&amp;"","")</f>
        <v/>
      </c>
      <c r="H663" s="91">
        <f>IFERROR(INDEX(Firms!$T$5:$T$1004,MATCH(659,Firms!$U$5:$U$1004,0))&amp;"","")</f>
        <v/>
      </c>
    </row>
    <row r="664">
      <c r="A664" s="79">
        <f>IF(B664="","",660)</f>
        <v/>
      </c>
      <c r="B664" s="91">
        <f>IFERROR(INDEX(Firms!$A$5:$A$1004,MATCH(660,Firms!$U$5:$U$1004,0))&amp;"","")</f>
        <v/>
      </c>
      <c r="C664" s="88">
        <f>IFERROR(IF(INDEX(Firms!$R$5:$R$1004,MATCH(660,Firms!$U$5:$U$1004,0))="","",INDEX(Firms!$R$5:$R$1004,MATCH(660,Firms!$U$5:$U$1004,0))),"")</f>
        <v/>
      </c>
      <c r="D664" s="91">
        <f>IFERROR(INDEX(Firms!$S$5:$S$1004,MATCH(660,Firms!$U$5:$U$1004,0))&amp;"","")</f>
        <v/>
      </c>
      <c r="E664" s="91">
        <f>IFERROR(INDEX(Firms!$C$5:$C$1004,MATCH(660,Firms!$U$5:$U$1004,0))&amp;"","")</f>
        <v/>
      </c>
      <c r="F664" s="79">
        <f>IFERROR(INDEX(Firms!$N$5:$N$1004,MATCH(660,Firms!$U$5:$U$1004,0))&amp;"","")</f>
        <v/>
      </c>
      <c r="G664" s="79">
        <f>IFERROR(INDEX(Firms!$P$5:$P$1004,MATCH(660,Firms!$U$5:$U$1004,0))&amp;"","")</f>
        <v/>
      </c>
      <c r="H664" s="91">
        <f>IFERROR(INDEX(Firms!$T$5:$T$1004,MATCH(660,Firms!$U$5:$U$1004,0))&amp;"","")</f>
        <v/>
      </c>
    </row>
    <row r="665">
      <c r="A665" s="79">
        <f>IF(B665="","",661)</f>
        <v/>
      </c>
      <c r="B665" s="91">
        <f>IFERROR(INDEX(Firms!$A$5:$A$1004,MATCH(661,Firms!$U$5:$U$1004,0))&amp;"","")</f>
        <v/>
      </c>
      <c r="C665" s="88">
        <f>IFERROR(IF(INDEX(Firms!$R$5:$R$1004,MATCH(661,Firms!$U$5:$U$1004,0))="","",INDEX(Firms!$R$5:$R$1004,MATCH(661,Firms!$U$5:$U$1004,0))),"")</f>
        <v/>
      </c>
      <c r="D665" s="91">
        <f>IFERROR(INDEX(Firms!$S$5:$S$1004,MATCH(661,Firms!$U$5:$U$1004,0))&amp;"","")</f>
        <v/>
      </c>
      <c r="E665" s="91">
        <f>IFERROR(INDEX(Firms!$C$5:$C$1004,MATCH(661,Firms!$U$5:$U$1004,0))&amp;"","")</f>
        <v/>
      </c>
      <c r="F665" s="79">
        <f>IFERROR(INDEX(Firms!$N$5:$N$1004,MATCH(661,Firms!$U$5:$U$1004,0))&amp;"","")</f>
        <v/>
      </c>
      <c r="G665" s="79">
        <f>IFERROR(INDEX(Firms!$P$5:$P$1004,MATCH(661,Firms!$U$5:$U$1004,0))&amp;"","")</f>
        <v/>
      </c>
      <c r="H665" s="91">
        <f>IFERROR(INDEX(Firms!$T$5:$T$1004,MATCH(661,Firms!$U$5:$U$1004,0))&amp;"","")</f>
        <v/>
      </c>
    </row>
    <row r="666">
      <c r="A666" s="79">
        <f>IF(B666="","",662)</f>
        <v/>
      </c>
      <c r="B666" s="91">
        <f>IFERROR(INDEX(Firms!$A$5:$A$1004,MATCH(662,Firms!$U$5:$U$1004,0))&amp;"","")</f>
        <v/>
      </c>
      <c r="C666" s="88">
        <f>IFERROR(IF(INDEX(Firms!$R$5:$R$1004,MATCH(662,Firms!$U$5:$U$1004,0))="","",INDEX(Firms!$R$5:$R$1004,MATCH(662,Firms!$U$5:$U$1004,0))),"")</f>
        <v/>
      </c>
      <c r="D666" s="91">
        <f>IFERROR(INDEX(Firms!$S$5:$S$1004,MATCH(662,Firms!$U$5:$U$1004,0))&amp;"","")</f>
        <v/>
      </c>
      <c r="E666" s="91">
        <f>IFERROR(INDEX(Firms!$C$5:$C$1004,MATCH(662,Firms!$U$5:$U$1004,0))&amp;"","")</f>
        <v/>
      </c>
      <c r="F666" s="79">
        <f>IFERROR(INDEX(Firms!$N$5:$N$1004,MATCH(662,Firms!$U$5:$U$1004,0))&amp;"","")</f>
        <v/>
      </c>
      <c r="G666" s="79">
        <f>IFERROR(INDEX(Firms!$P$5:$P$1004,MATCH(662,Firms!$U$5:$U$1004,0))&amp;"","")</f>
        <v/>
      </c>
      <c r="H666" s="91">
        <f>IFERROR(INDEX(Firms!$T$5:$T$1004,MATCH(662,Firms!$U$5:$U$1004,0))&amp;"","")</f>
        <v/>
      </c>
    </row>
    <row r="667">
      <c r="A667" s="79">
        <f>IF(B667="","",663)</f>
        <v/>
      </c>
      <c r="B667" s="91">
        <f>IFERROR(INDEX(Firms!$A$5:$A$1004,MATCH(663,Firms!$U$5:$U$1004,0))&amp;"","")</f>
        <v/>
      </c>
      <c r="C667" s="88">
        <f>IFERROR(IF(INDEX(Firms!$R$5:$R$1004,MATCH(663,Firms!$U$5:$U$1004,0))="","",INDEX(Firms!$R$5:$R$1004,MATCH(663,Firms!$U$5:$U$1004,0))),"")</f>
        <v/>
      </c>
      <c r="D667" s="91">
        <f>IFERROR(INDEX(Firms!$S$5:$S$1004,MATCH(663,Firms!$U$5:$U$1004,0))&amp;"","")</f>
        <v/>
      </c>
      <c r="E667" s="91">
        <f>IFERROR(INDEX(Firms!$C$5:$C$1004,MATCH(663,Firms!$U$5:$U$1004,0))&amp;"","")</f>
        <v/>
      </c>
      <c r="F667" s="79">
        <f>IFERROR(INDEX(Firms!$N$5:$N$1004,MATCH(663,Firms!$U$5:$U$1004,0))&amp;"","")</f>
        <v/>
      </c>
      <c r="G667" s="79">
        <f>IFERROR(INDEX(Firms!$P$5:$P$1004,MATCH(663,Firms!$U$5:$U$1004,0))&amp;"","")</f>
        <v/>
      </c>
      <c r="H667" s="91">
        <f>IFERROR(INDEX(Firms!$T$5:$T$1004,MATCH(663,Firms!$U$5:$U$1004,0))&amp;"","")</f>
        <v/>
      </c>
    </row>
    <row r="668">
      <c r="A668" s="79">
        <f>IF(B668="","",664)</f>
        <v/>
      </c>
      <c r="B668" s="91">
        <f>IFERROR(INDEX(Firms!$A$5:$A$1004,MATCH(664,Firms!$U$5:$U$1004,0))&amp;"","")</f>
        <v/>
      </c>
      <c r="C668" s="88">
        <f>IFERROR(IF(INDEX(Firms!$R$5:$R$1004,MATCH(664,Firms!$U$5:$U$1004,0))="","",INDEX(Firms!$R$5:$R$1004,MATCH(664,Firms!$U$5:$U$1004,0))),"")</f>
        <v/>
      </c>
      <c r="D668" s="91">
        <f>IFERROR(INDEX(Firms!$S$5:$S$1004,MATCH(664,Firms!$U$5:$U$1004,0))&amp;"","")</f>
        <v/>
      </c>
      <c r="E668" s="91">
        <f>IFERROR(INDEX(Firms!$C$5:$C$1004,MATCH(664,Firms!$U$5:$U$1004,0))&amp;"","")</f>
        <v/>
      </c>
      <c r="F668" s="79">
        <f>IFERROR(INDEX(Firms!$N$5:$N$1004,MATCH(664,Firms!$U$5:$U$1004,0))&amp;"","")</f>
        <v/>
      </c>
      <c r="G668" s="79">
        <f>IFERROR(INDEX(Firms!$P$5:$P$1004,MATCH(664,Firms!$U$5:$U$1004,0))&amp;"","")</f>
        <v/>
      </c>
      <c r="H668" s="91">
        <f>IFERROR(INDEX(Firms!$T$5:$T$1004,MATCH(664,Firms!$U$5:$U$1004,0))&amp;"","")</f>
        <v/>
      </c>
    </row>
    <row r="669">
      <c r="A669" s="79">
        <f>IF(B669="","",665)</f>
        <v/>
      </c>
      <c r="B669" s="91">
        <f>IFERROR(INDEX(Firms!$A$5:$A$1004,MATCH(665,Firms!$U$5:$U$1004,0))&amp;"","")</f>
        <v/>
      </c>
      <c r="C669" s="88">
        <f>IFERROR(IF(INDEX(Firms!$R$5:$R$1004,MATCH(665,Firms!$U$5:$U$1004,0))="","",INDEX(Firms!$R$5:$R$1004,MATCH(665,Firms!$U$5:$U$1004,0))),"")</f>
        <v/>
      </c>
      <c r="D669" s="91">
        <f>IFERROR(INDEX(Firms!$S$5:$S$1004,MATCH(665,Firms!$U$5:$U$1004,0))&amp;"","")</f>
        <v/>
      </c>
      <c r="E669" s="91">
        <f>IFERROR(INDEX(Firms!$C$5:$C$1004,MATCH(665,Firms!$U$5:$U$1004,0))&amp;"","")</f>
        <v/>
      </c>
      <c r="F669" s="79">
        <f>IFERROR(INDEX(Firms!$N$5:$N$1004,MATCH(665,Firms!$U$5:$U$1004,0))&amp;"","")</f>
        <v/>
      </c>
      <c r="G669" s="79">
        <f>IFERROR(INDEX(Firms!$P$5:$P$1004,MATCH(665,Firms!$U$5:$U$1004,0))&amp;"","")</f>
        <v/>
      </c>
      <c r="H669" s="91">
        <f>IFERROR(INDEX(Firms!$T$5:$T$1004,MATCH(665,Firms!$U$5:$U$1004,0))&amp;"","")</f>
        <v/>
      </c>
    </row>
    <row r="670">
      <c r="A670" s="79">
        <f>IF(B670="","",666)</f>
        <v/>
      </c>
      <c r="B670" s="91">
        <f>IFERROR(INDEX(Firms!$A$5:$A$1004,MATCH(666,Firms!$U$5:$U$1004,0))&amp;"","")</f>
        <v/>
      </c>
      <c r="C670" s="88">
        <f>IFERROR(IF(INDEX(Firms!$R$5:$R$1004,MATCH(666,Firms!$U$5:$U$1004,0))="","",INDEX(Firms!$R$5:$R$1004,MATCH(666,Firms!$U$5:$U$1004,0))),"")</f>
        <v/>
      </c>
      <c r="D670" s="91">
        <f>IFERROR(INDEX(Firms!$S$5:$S$1004,MATCH(666,Firms!$U$5:$U$1004,0))&amp;"","")</f>
        <v/>
      </c>
      <c r="E670" s="91">
        <f>IFERROR(INDEX(Firms!$C$5:$C$1004,MATCH(666,Firms!$U$5:$U$1004,0))&amp;"","")</f>
        <v/>
      </c>
      <c r="F670" s="79">
        <f>IFERROR(INDEX(Firms!$N$5:$N$1004,MATCH(666,Firms!$U$5:$U$1004,0))&amp;"","")</f>
        <v/>
      </c>
      <c r="G670" s="79">
        <f>IFERROR(INDEX(Firms!$P$5:$P$1004,MATCH(666,Firms!$U$5:$U$1004,0))&amp;"","")</f>
        <v/>
      </c>
      <c r="H670" s="91">
        <f>IFERROR(INDEX(Firms!$T$5:$T$1004,MATCH(666,Firms!$U$5:$U$1004,0))&amp;"","")</f>
        <v/>
      </c>
    </row>
    <row r="671">
      <c r="A671" s="79">
        <f>IF(B671="","",667)</f>
        <v/>
      </c>
      <c r="B671" s="91">
        <f>IFERROR(INDEX(Firms!$A$5:$A$1004,MATCH(667,Firms!$U$5:$U$1004,0))&amp;"","")</f>
        <v/>
      </c>
      <c r="C671" s="88">
        <f>IFERROR(IF(INDEX(Firms!$R$5:$R$1004,MATCH(667,Firms!$U$5:$U$1004,0))="","",INDEX(Firms!$R$5:$R$1004,MATCH(667,Firms!$U$5:$U$1004,0))),"")</f>
        <v/>
      </c>
      <c r="D671" s="91">
        <f>IFERROR(INDEX(Firms!$S$5:$S$1004,MATCH(667,Firms!$U$5:$U$1004,0))&amp;"","")</f>
        <v/>
      </c>
      <c r="E671" s="91">
        <f>IFERROR(INDEX(Firms!$C$5:$C$1004,MATCH(667,Firms!$U$5:$U$1004,0))&amp;"","")</f>
        <v/>
      </c>
      <c r="F671" s="79">
        <f>IFERROR(INDEX(Firms!$N$5:$N$1004,MATCH(667,Firms!$U$5:$U$1004,0))&amp;"","")</f>
        <v/>
      </c>
      <c r="G671" s="79">
        <f>IFERROR(INDEX(Firms!$P$5:$P$1004,MATCH(667,Firms!$U$5:$U$1004,0))&amp;"","")</f>
        <v/>
      </c>
      <c r="H671" s="91">
        <f>IFERROR(INDEX(Firms!$T$5:$T$1004,MATCH(667,Firms!$U$5:$U$1004,0))&amp;"","")</f>
        <v/>
      </c>
    </row>
    <row r="672">
      <c r="A672" s="79">
        <f>IF(B672="","",668)</f>
        <v/>
      </c>
      <c r="B672" s="91">
        <f>IFERROR(INDEX(Firms!$A$5:$A$1004,MATCH(668,Firms!$U$5:$U$1004,0))&amp;"","")</f>
        <v/>
      </c>
      <c r="C672" s="88">
        <f>IFERROR(IF(INDEX(Firms!$R$5:$R$1004,MATCH(668,Firms!$U$5:$U$1004,0))="","",INDEX(Firms!$R$5:$R$1004,MATCH(668,Firms!$U$5:$U$1004,0))),"")</f>
        <v/>
      </c>
      <c r="D672" s="91">
        <f>IFERROR(INDEX(Firms!$S$5:$S$1004,MATCH(668,Firms!$U$5:$U$1004,0))&amp;"","")</f>
        <v/>
      </c>
      <c r="E672" s="91">
        <f>IFERROR(INDEX(Firms!$C$5:$C$1004,MATCH(668,Firms!$U$5:$U$1004,0))&amp;"","")</f>
        <v/>
      </c>
      <c r="F672" s="79">
        <f>IFERROR(INDEX(Firms!$N$5:$N$1004,MATCH(668,Firms!$U$5:$U$1004,0))&amp;"","")</f>
        <v/>
      </c>
      <c r="G672" s="79">
        <f>IFERROR(INDEX(Firms!$P$5:$P$1004,MATCH(668,Firms!$U$5:$U$1004,0))&amp;"","")</f>
        <v/>
      </c>
      <c r="H672" s="91">
        <f>IFERROR(INDEX(Firms!$T$5:$T$1004,MATCH(668,Firms!$U$5:$U$1004,0))&amp;"","")</f>
        <v/>
      </c>
    </row>
    <row r="673">
      <c r="A673" s="79">
        <f>IF(B673="","",669)</f>
        <v/>
      </c>
      <c r="B673" s="91">
        <f>IFERROR(INDEX(Firms!$A$5:$A$1004,MATCH(669,Firms!$U$5:$U$1004,0))&amp;"","")</f>
        <v/>
      </c>
      <c r="C673" s="88">
        <f>IFERROR(IF(INDEX(Firms!$R$5:$R$1004,MATCH(669,Firms!$U$5:$U$1004,0))="","",INDEX(Firms!$R$5:$R$1004,MATCH(669,Firms!$U$5:$U$1004,0))),"")</f>
        <v/>
      </c>
      <c r="D673" s="91">
        <f>IFERROR(INDEX(Firms!$S$5:$S$1004,MATCH(669,Firms!$U$5:$U$1004,0))&amp;"","")</f>
        <v/>
      </c>
      <c r="E673" s="91">
        <f>IFERROR(INDEX(Firms!$C$5:$C$1004,MATCH(669,Firms!$U$5:$U$1004,0))&amp;"","")</f>
        <v/>
      </c>
      <c r="F673" s="79">
        <f>IFERROR(INDEX(Firms!$N$5:$N$1004,MATCH(669,Firms!$U$5:$U$1004,0))&amp;"","")</f>
        <v/>
      </c>
      <c r="G673" s="79">
        <f>IFERROR(INDEX(Firms!$P$5:$P$1004,MATCH(669,Firms!$U$5:$U$1004,0))&amp;"","")</f>
        <v/>
      </c>
      <c r="H673" s="91">
        <f>IFERROR(INDEX(Firms!$T$5:$T$1004,MATCH(669,Firms!$U$5:$U$1004,0))&amp;"","")</f>
        <v/>
      </c>
    </row>
    <row r="674">
      <c r="A674" s="79">
        <f>IF(B674="","",670)</f>
        <v/>
      </c>
      <c r="B674" s="91">
        <f>IFERROR(INDEX(Firms!$A$5:$A$1004,MATCH(670,Firms!$U$5:$U$1004,0))&amp;"","")</f>
        <v/>
      </c>
      <c r="C674" s="88">
        <f>IFERROR(IF(INDEX(Firms!$R$5:$R$1004,MATCH(670,Firms!$U$5:$U$1004,0))="","",INDEX(Firms!$R$5:$R$1004,MATCH(670,Firms!$U$5:$U$1004,0))),"")</f>
        <v/>
      </c>
      <c r="D674" s="91">
        <f>IFERROR(INDEX(Firms!$S$5:$S$1004,MATCH(670,Firms!$U$5:$U$1004,0))&amp;"","")</f>
        <v/>
      </c>
      <c r="E674" s="91">
        <f>IFERROR(INDEX(Firms!$C$5:$C$1004,MATCH(670,Firms!$U$5:$U$1004,0))&amp;"","")</f>
        <v/>
      </c>
      <c r="F674" s="79">
        <f>IFERROR(INDEX(Firms!$N$5:$N$1004,MATCH(670,Firms!$U$5:$U$1004,0))&amp;"","")</f>
        <v/>
      </c>
      <c r="G674" s="79">
        <f>IFERROR(INDEX(Firms!$P$5:$P$1004,MATCH(670,Firms!$U$5:$U$1004,0))&amp;"","")</f>
        <v/>
      </c>
      <c r="H674" s="91">
        <f>IFERROR(INDEX(Firms!$T$5:$T$1004,MATCH(670,Firms!$U$5:$U$1004,0))&amp;"","")</f>
        <v/>
      </c>
    </row>
    <row r="675">
      <c r="A675" s="79">
        <f>IF(B675="","",671)</f>
        <v/>
      </c>
      <c r="B675" s="91">
        <f>IFERROR(INDEX(Firms!$A$5:$A$1004,MATCH(671,Firms!$U$5:$U$1004,0))&amp;"","")</f>
        <v/>
      </c>
      <c r="C675" s="88">
        <f>IFERROR(IF(INDEX(Firms!$R$5:$R$1004,MATCH(671,Firms!$U$5:$U$1004,0))="","",INDEX(Firms!$R$5:$R$1004,MATCH(671,Firms!$U$5:$U$1004,0))),"")</f>
        <v/>
      </c>
      <c r="D675" s="91">
        <f>IFERROR(INDEX(Firms!$S$5:$S$1004,MATCH(671,Firms!$U$5:$U$1004,0))&amp;"","")</f>
        <v/>
      </c>
      <c r="E675" s="91">
        <f>IFERROR(INDEX(Firms!$C$5:$C$1004,MATCH(671,Firms!$U$5:$U$1004,0))&amp;"","")</f>
        <v/>
      </c>
      <c r="F675" s="79">
        <f>IFERROR(INDEX(Firms!$N$5:$N$1004,MATCH(671,Firms!$U$5:$U$1004,0))&amp;"","")</f>
        <v/>
      </c>
      <c r="G675" s="79">
        <f>IFERROR(INDEX(Firms!$P$5:$P$1004,MATCH(671,Firms!$U$5:$U$1004,0))&amp;"","")</f>
        <v/>
      </c>
      <c r="H675" s="91">
        <f>IFERROR(INDEX(Firms!$T$5:$T$1004,MATCH(671,Firms!$U$5:$U$1004,0))&amp;"","")</f>
        <v/>
      </c>
    </row>
    <row r="676">
      <c r="A676" s="79">
        <f>IF(B676="","",672)</f>
        <v/>
      </c>
      <c r="B676" s="91">
        <f>IFERROR(INDEX(Firms!$A$5:$A$1004,MATCH(672,Firms!$U$5:$U$1004,0))&amp;"","")</f>
        <v/>
      </c>
      <c r="C676" s="88">
        <f>IFERROR(IF(INDEX(Firms!$R$5:$R$1004,MATCH(672,Firms!$U$5:$U$1004,0))="","",INDEX(Firms!$R$5:$R$1004,MATCH(672,Firms!$U$5:$U$1004,0))),"")</f>
        <v/>
      </c>
      <c r="D676" s="91">
        <f>IFERROR(INDEX(Firms!$S$5:$S$1004,MATCH(672,Firms!$U$5:$U$1004,0))&amp;"","")</f>
        <v/>
      </c>
      <c r="E676" s="91">
        <f>IFERROR(INDEX(Firms!$C$5:$C$1004,MATCH(672,Firms!$U$5:$U$1004,0))&amp;"","")</f>
        <v/>
      </c>
      <c r="F676" s="79">
        <f>IFERROR(INDEX(Firms!$N$5:$N$1004,MATCH(672,Firms!$U$5:$U$1004,0))&amp;"","")</f>
        <v/>
      </c>
      <c r="G676" s="79">
        <f>IFERROR(INDEX(Firms!$P$5:$P$1004,MATCH(672,Firms!$U$5:$U$1004,0))&amp;"","")</f>
        <v/>
      </c>
      <c r="H676" s="91">
        <f>IFERROR(INDEX(Firms!$T$5:$T$1004,MATCH(672,Firms!$U$5:$U$1004,0))&amp;"","")</f>
        <v/>
      </c>
    </row>
    <row r="677">
      <c r="A677" s="79">
        <f>IF(B677="","",673)</f>
        <v/>
      </c>
      <c r="B677" s="91">
        <f>IFERROR(INDEX(Firms!$A$5:$A$1004,MATCH(673,Firms!$U$5:$U$1004,0))&amp;"","")</f>
        <v/>
      </c>
      <c r="C677" s="88">
        <f>IFERROR(IF(INDEX(Firms!$R$5:$R$1004,MATCH(673,Firms!$U$5:$U$1004,0))="","",INDEX(Firms!$R$5:$R$1004,MATCH(673,Firms!$U$5:$U$1004,0))),"")</f>
        <v/>
      </c>
      <c r="D677" s="91">
        <f>IFERROR(INDEX(Firms!$S$5:$S$1004,MATCH(673,Firms!$U$5:$U$1004,0))&amp;"","")</f>
        <v/>
      </c>
      <c r="E677" s="91">
        <f>IFERROR(INDEX(Firms!$C$5:$C$1004,MATCH(673,Firms!$U$5:$U$1004,0))&amp;"","")</f>
        <v/>
      </c>
      <c r="F677" s="79">
        <f>IFERROR(INDEX(Firms!$N$5:$N$1004,MATCH(673,Firms!$U$5:$U$1004,0))&amp;"","")</f>
        <v/>
      </c>
      <c r="G677" s="79">
        <f>IFERROR(INDEX(Firms!$P$5:$P$1004,MATCH(673,Firms!$U$5:$U$1004,0))&amp;"","")</f>
        <v/>
      </c>
      <c r="H677" s="91">
        <f>IFERROR(INDEX(Firms!$T$5:$T$1004,MATCH(673,Firms!$U$5:$U$1004,0))&amp;"","")</f>
        <v/>
      </c>
    </row>
    <row r="678">
      <c r="A678" s="79">
        <f>IF(B678="","",674)</f>
        <v/>
      </c>
      <c r="B678" s="91">
        <f>IFERROR(INDEX(Firms!$A$5:$A$1004,MATCH(674,Firms!$U$5:$U$1004,0))&amp;"","")</f>
        <v/>
      </c>
      <c r="C678" s="88">
        <f>IFERROR(IF(INDEX(Firms!$R$5:$R$1004,MATCH(674,Firms!$U$5:$U$1004,0))="","",INDEX(Firms!$R$5:$R$1004,MATCH(674,Firms!$U$5:$U$1004,0))),"")</f>
        <v/>
      </c>
      <c r="D678" s="91">
        <f>IFERROR(INDEX(Firms!$S$5:$S$1004,MATCH(674,Firms!$U$5:$U$1004,0))&amp;"","")</f>
        <v/>
      </c>
      <c r="E678" s="91">
        <f>IFERROR(INDEX(Firms!$C$5:$C$1004,MATCH(674,Firms!$U$5:$U$1004,0))&amp;"","")</f>
        <v/>
      </c>
      <c r="F678" s="79">
        <f>IFERROR(INDEX(Firms!$N$5:$N$1004,MATCH(674,Firms!$U$5:$U$1004,0))&amp;"","")</f>
        <v/>
      </c>
      <c r="G678" s="79">
        <f>IFERROR(INDEX(Firms!$P$5:$P$1004,MATCH(674,Firms!$U$5:$U$1004,0))&amp;"","")</f>
        <v/>
      </c>
      <c r="H678" s="91">
        <f>IFERROR(INDEX(Firms!$T$5:$T$1004,MATCH(674,Firms!$U$5:$U$1004,0))&amp;"","")</f>
        <v/>
      </c>
    </row>
    <row r="679">
      <c r="A679" s="79">
        <f>IF(B679="","",675)</f>
        <v/>
      </c>
      <c r="B679" s="91">
        <f>IFERROR(INDEX(Firms!$A$5:$A$1004,MATCH(675,Firms!$U$5:$U$1004,0))&amp;"","")</f>
        <v/>
      </c>
      <c r="C679" s="88">
        <f>IFERROR(IF(INDEX(Firms!$R$5:$R$1004,MATCH(675,Firms!$U$5:$U$1004,0))="","",INDEX(Firms!$R$5:$R$1004,MATCH(675,Firms!$U$5:$U$1004,0))),"")</f>
        <v/>
      </c>
      <c r="D679" s="91">
        <f>IFERROR(INDEX(Firms!$S$5:$S$1004,MATCH(675,Firms!$U$5:$U$1004,0))&amp;"","")</f>
        <v/>
      </c>
      <c r="E679" s="91">
        <f>IFERROR(INDEX(Firms!$C$5:$C$1004,MATCH(675,Firms!$U$5:$U$1004,0))&amp;"","")</f>
        <v/>
      </c>
      <c r="F679" s="79">
        <f>IFERROR(INDEX(Firms!$N$5:$N$1004,MATCH(675,Firms!$U$5:$U$1004,0))&amp;"","")</f>
        <v/>
      </c>
      <c r="G679" s="79">
        <f>IFERROR(INDEX(Firms!$P$5:$P$1004,MATCH(675,Firms!$U$5:$U$1004,0))&amp;"","")</f>
        <v/>
      </c>
      <c r="H679" s="91">
        <f>IFERROR(INDEX(Firms!$T$5:$T$1004,MATCH(675,Firms!$U$5:$U$1004,0))&amp;"","")</f>
        <v/>
      </c>
    </row>
    <row r="680">
      <c r="A680" s="79">
        <f>IF(B680="","",676)</f>
        <v/>
      </c>
      <c r="B680" s="91">
        <f>IFERROR(INDEX(Firms!$A$5:$A$1004,MATCH(676,Firms!$U$5:$U$1004,0))&amp;"","")</f>
        <v/>
      </c>
      <c r="C680" s="88">
        <f>IFERROR(IF(INDEX(Firms!$R$5:$R$1004,MATCH(676,Firms!$U$5:$U$1004,0))="","",INDEX(Firms!$R$5:$R$1004,MATCH(676,Firms!$U$5:$U$1004,0))),"")</f>
        <v/>
      </c>
      <c r="D680" s="91">
        <f>IFERROR(INDEX(Firms!$S$5:$S$1004,MATCH(676,Firms!$U$5:$U$1004,0))&amp;"","")</f>
        <v/>
      </c>
      <c r="E680" s="91">
        <f>IFERROR(INDEX(Firms!$C$5:$C$1004,MATCH(676,Firms!$U$5:$U$1004,0))&amp;"","")</f>
        <v/>
      </c>
      <c r="F680" s="79">
        <f>IFERROR(INDEX(Firms!$N$5:$N$1004,MATCH(676,Firms!$U$5:$U$1004,0))&amp;"","")</f>
        <v/>
      </c>
      <c r="G680" s="79">
        <f>IFERROR(INDEX(Firms!$P$5:$P$1004,MATCH(676,Firms!$U$5:$U$1004,0))&amp;"","")</f>
        <v/>
      </c>
      <c r="H680" s="91">
        <f>IFERROR(INDEX(Firms!$T$5:$T$1004,MATCH(676,Firms!$U$5:$U$1004,0))&amp;"","")</f>
        <v/>
      </c>
    </row>
    <row r="681">
      <c r="A681" s="79">
        <f>IF(B681="","",677)</f>
        <v/>
      </c>
      <c r="B681" s="91">
        <f>IFERROR(INDEX(Firms!$A$5:$A$1004,MATCH(677,Firms!$U$5:$U$1004,0))&amp;"","")</f>
        <v/>
      </c>
      <c r="C681" s="88">
        <f>IFERROR(IF(INDEX(Firms!$R$5:$R$1004,MATCH(677,Firms!$U$5:$U$1004,0))="","",INDEX(Firms!$R$5:$R$1004,MATCH(677,Firms!$U$5:$U$1004,0))),"")</f>
        <v/>
      </c>
      <c r="D681" s="91">
        <f>IFERROR(INDEX(Firms!$S$5:$S$1004,MATCH(677,Firms!$U$5:$U$1004,0))&amp;"","")</f>
        <v/>
      </c>
      <c r="E681" s="91">
        <f>IFERROR(INDEX(Firms!$C$5:$C$1004,MATCH(677,Firms!$U$5:$U$1004,0))&amp;"","")</f>
        <v/>
      </c>
      <c r="F681" s="79">
        <f>IFERROR(INDEX(Firms!$N$5:$N$1004,MATCH(677,Firms!$U$5:$U$1004,0))&amp;"","")</f>
        <v/>
      </c>
      <c r="G681" s="79">
        <f>IFERROR(INDEX(Firms!$P$5:$P$1004,MATCH(677,Firms!$U$5:$U$1004,0))&amp;"","")</f>
        <v/>
      </c>
      <c r="H681" s="91">
        <f>IFERROR(INDEX(Firms!$T$5:$T$1004,MATCH(677,Firms!$U$5:$U$1004,0))&amp;"","")</f>
        <v/>
      </c>
    </row>
    <row r="682">
      <c r="A682" s="79">
        <f>IF(B682="","",678)</f>
        <v/>
      </c>
      <c r="B682" s="91">
        <f>IFERROR(INDEX(Firms!$A$5:$A$1004,MATCH(678,Firms!$U$5:$U$1004,0))&amp;"","")</f>
        <v/>
      </c>
      <c r="C682" s="88">
        <f>IFERROR(IF(INDEX(Firms!$R$5:$R$1004,MATCH(678,Firms!$U$5:$U$1004,0))="","",INDEX(Firms!$R$5:$R$1004,MATCH(678,Firms!$U$5:$U$1004,0))),"")</f>
        <v/>
      </c>
      <c r="D682" s="91">
        <f>IFERROR(INDEX(Firms!$S$5:$S$1004,MATCH(678,Firms!$U$5:$U$1004,0))&amp;"","")</f>
        <v/>
      </c>
      <c r="E682" s="91">
        <f>IFERROR(INDEX(Firms!$C$5:$C$1004,MATCH(678,Firms!$U$5:$U$1004,0))&amp;"","")</f>
        <v/>
      </c>
      <c r="F682" s="79">
        <f>IFERROR(INDEX(Firms!$N$5:$N$1004,MATCH(678,Firms!$U$5:$U$1004,0))&amp;"","")</f>
        <v/>
      </c>
      <c r="G682" s="79">
        <f>IFERROR(INDEX(Firms!$P$5:$P$1004,MATCH(678,Firms!$U$5:$U$1004,0))&amp;"","")</f>
        <v/>
      </c>
      <c r="H682" s="91">
        <f>IFERROR(INDEX(Firms!$T$5:$T$1004,MATCH(678,Firms!$U$5:$U$1004,0))&amp;"","")</f>
        <v/>
      </c>
    </row>
    <row r="683">
      <c r="A683" s="79">
        <f>IF(B683="","",679)</f>
        <v/>
      </c>
      <c r="B683" s="91">
        <f>IFERROR(INDEX(Firms!$A$5:$A$1004,MATCH(679,Firms!$U$5:$U$1004,0))&amp;"","")</f>
        <v/>
      </c>
      <c r="C683" s="88">
        <f>IFERROR(IF(INDEX(Firms!$R$5:$R$1004,MATCH(679,Firms!$U$5:$U$1004,0))="","",INDEX(Firms!$R$5:$R$1004,MATCH(679,Firms!$U$5:$U$1004,0))),"")</f>
        <v/>
      </c>
      <c r="D683" s="91">
        <f>IFERROR(INDEX(Firms!$S$5:$S$1004,MATCH(679,Firms!$U$5:$U$1004,0))&amp;"","")</f>
        <v/>
      </c>
      <c r="E683" s="91">
        <f>IFERROR(INDEX(Firms!$C$5:$C$1004,MATCH(679,Firms!$U$5:$U$1004,0))&amp;"","")</f>
        <v/>
      </c>
      <c r="F683" s="79">
        <f>IFERROR(INDEX(Firms!$N$5:$N$1004,MATCH(679,Firms!$U$5:$U$1004,0))&amp;"","")</f>
        <v/>
      </c>
      <c r="G683" s="79">
        <f>IFERROR(INDEX(Firms!$P$5:$P$1004,MATCH(679,Firms!$U$5:$U$1004,0))&amp;"","")</f>
        <v/>
      </c>
      <c r="H683" s="91">
        <f>IFERROR(INDEX(Firms!$T$5:$T$1004,MATCH(679,Firms!$U$5:$U$1004,0))&amp;"","")</f>
        <v/>
      </c>
    </row>
    <row r="684">
      <c r="A684" s="79">
        <f>IF(B684="","",680)</f>
        <v/>
      </c>
      <c r="B684" s="91">
        <f>IFERROR(INDEX(Firms!$A$5:$A$1004,MATCH(680,Firms!$U$5:$U$1004,0))&amp;"","")</f>
        <v/>
      </c>
      <c r="C684" s="88">
        <f>IFERROR(IF(INDEX(Firms!$R$5:$R$1004,MATCH(680,Firms!$U$5:$U$1004,0))="","",INDEX(Firms!$R$5:$R$1004,MATCH(680,Firms!$U$5:$U$1004,0))),"")</f>
        <v/>
      </c>
      <c r="D684" s="91">
        <f>IFERROR(INDEX(Firms!$S$5:$S$1004,MATCH(680,Firms!$U$5:$U$1004,0))&amp;"","")</f>
        <v/>
      </c>
      <c r="E684" s="91">
        <f>IFERROR(INDEX(Firms!$C$5:$C$1004,MATCH(680,Firms!$U$5:$U$1004,0))&amp;"","")</f>
        <v/>
      </c>
      <c r="F684" s="79">
        <f>IFERROR(INDEX(Firms!$N$5:$N$1004,MATCH(680,Firms!$U$5:$U$1004,0))&amp;"","")</f>
        <v/>
      </c>
      <c r="G684" s="79">
        <f>IFERROR(INDEX(Firms!$P$5:$P$1004,MATCH(680,Firms!$U$5:$U$1004,0))&amp;"","")</f>
        <v/>
      </c>
      <c r="H684" s="91">
        <f>IFERROR(INDEX(Firms!$T$5:$T$1004,MATCH(680,Firms!$U$5:$U$1004,0))&amp;"","")</f>
        <v/>
      </c>
    </row>
    <row r="685">
      <c r="A685" s="79">
        <f>IF(B685="","",681)</f>
        <v/>
      </c>
      <c r="B685" s="91">
        <f>IFERROR(INDEX(Firms!$A$5:$A$1004,MATCH(681,Firms!$U$5:$U$1004,0))&amp;"","")</f>
        <v/>
      </c>
      <c r="C685" s="88">
        <f>IFERROR(IF(INDEX(Firms!$R$5:$R$1004,MATCH(681,Firms!$U$5:$U$1004,0))="","",INDEX(Firms!$R$5:$R$1004,MATCH(681,Firms!$U$5:$U$1004,0))),"")</f>
        <v/>
      </c>
      <c r="D685" s="91">
        <f>IFERROR(INDEX(Firms!$S$5:$S$1004,MATCH(681,Firms!$U$5:$U$1004,0))&amp;"","")</f>
        <v/>
      </c>
      <c r="E685" s="91">
        <f>IFERROR(INDEX(Firms!$C$5:$C$1004,MATCH(681,Firms!$U$5:$U$1004,0))&amp;"","")</f>
        <v/>
      </c>
      <c r="F685" s="79">
        <f>IFERROR(INDEX(Firms!$N$5:$N$1004,MATCH(681,Firms!$U$5:$U$1004,0))&amp;"","")</f>
        <v/>
      </c>
      <c r="G685" s="79">
        <f>IFERROR(INDEX(Firms!$P$5:$P$1004,MATCH(681,Firms!$U$5:$U$1004,0))&amp;"","")</f>
        <v/>
      </c>
      <c r="H685" s="91">
        <f>IFERROR(INDEX(Firms!$T$5:$T$1004,MATCH(681,Firms!$U$5:$U$1004,0))&amp;"","")</f>
        <v/>
      </c>
    </row>
    <row r="686">
      <c r="A686" s="79">
        <f>IF(B686="","",682)</f>
        <v/>
      </c>
      <c r="B686" s="91">
        <f>IFERROR(INDEX(Firms!$A$5:$A$1004,MATCH(682,Firms!$U$5:$U$1004,0))&amp;"","")</f>
        <v/>
      </c>
      <c r="C686" s="88">
        <f>IFERROR(IF(INDEX(Firms!$R$5:$R$1004,MATCH(682,Firms!$U$5:$U$1004,0))="","",INDEX(Firms!$R$5:$R$1004,MATCH(682,Firms!$U$5:$U$1004,0))),"")</f>
        <v/>
      </c>
      <c r="D686" s="91">
        <f>IFERROR(INDEX(Firms!$S$5:$S$1004,MATCH(682,Firms!$U$5:$U$1004,0))&amp;"","")</f>
        <v/>
      </c>
      <c r="E686" s="91">
        <f>IFERROR(INDEX(Firms!$C$5:$C$1004,MATCH(682,Firms!$U$5:$U$1004,0))&amp;"","")</f>
        <v/>
      </c>
      <c r="F686" s="79">
        <f>IFERROR(INDEX(Firms!$N$5:$N$1004,MATCH(682,Firms!$U$5:$U$1004,0))&amp;"","")</f>
        <v/>
      </c>
      <c r="G686" s="79">
        <f>IFERROR(INDEX(Firms!$P$5:$P$1004,MATCH(682,Firms!$U$5:$U$1004,0))&amp;"","")</f>
        <v/>
      </c>
      <c r="H686" s="91">
        <f>IFERROR(INDEX(Firms!$T$5:$T$1004,MATCH(682,Firms!$U$5:$U$1004,0))&amp;"","")</f>
        <v/>
      </c>
    </row>
    <row r="687">
      <c r="A687" s="79">
        <f>IF(B687="","",683)</f>
        <v/>
      </c>
      <c r="B687" s="91">
        <f>IFERROR(INDEX(Firms!$A$5:$A$1004,MATCH(683,Firms!$U$5:$U$1004,0))&amp;"","")</f>
        <v/>
      </c>
      <c r="C687" s="88">
        <f>IFERROR(IF(INDEX(Firms!$R$5:$R$1004,MATCH(683,Firms!$U$5:$U$1004,0))="","",INDEX(Firms!$R$5:$R$1004,MATCH(683,Firms!$U$5:$U$1004,0))),"")</f>
        <v/>
      </c>
      <c r="D687" s="91">
        <f>IFERROR(INDEX(Firms!$S$5:$S$1004,MATCH(683,Firms!$U$5:$U$1004,0))&amp;"","")</f>
        <v/>
      </c>
      <c r="E687" s="91">
        <f>IFERROR(INDEX(Firms!$C$5:$C$1004,MATCH(683,Firms!$U$5:$U$1004,0))&amp;"","")</f>
        <v/>
      </c>
      <c r="F687" s="79">
        <f>IFERROR(INDEX(Firms!$N$5:$N$1004,MATCH(683,Firms!$U$5:$U$1004,0))&amp;"","")</f>
        <v/>
      </c>
      <c r="G687" s="79">
        <f>IFERROR(INDEX(Firms!$P$5:$P$1004,MATCH(683,Firms!$U$5:$U$1004,0))&amp;"","")</f>
        <v/>
      </c>
      <c r="H687" s="91">
        <f>IFERROR(INDEX(Firms!$T$5:$T$1004,MATCH(683,Firms!$U$5:$U$1004,0))&amp;"","")</f>
        <v/>
      </c>
    </row>
    <row r="688">
      <c r="A688" s="79">
        <f>IF(B688="","",684)</f>
        <v/>
      </c>
      <c r="B688" s="91">
        <f>IFERROR(INDEX(Firms!$A$5:$A$1004,MATCH(684,Firms!$U$5:$U$1004,0))&amp;"","")</f>
        <v/>
      </c>
      <c r="C688" s="88">
        <f>IFERROR(IF(INDEX(Firms!$R$5:$R$1004,MATCH(684,Firms!$U$5:$U$1004,0))="","",INDEX(Firms!$R$5:$R$1004,MATCH(684,Firms!$U$5:$U$1004,0))),"")</f>
        <v/>
      </c>
      <c r="D688" s="91">
        <f>IFERROR(INDEX(Firms!$S$5:$S$1004,MATCH(684,Firms!$U$5:$U$1004,0))&amp;"","")</f>
        <v/>
      </c>
      <c r="E688" s="91">
        <f>IFERROR(INDEX(Firms!$C$5:$C$1004,MATCH(684,Firms!$U$5:$U$1004,0))&amp;"","")</f>
        <v/>
      </c>
      <c r="F688" s="79">
        <f>IFERROR(INDEX(Firms!$N$5:$N$1004,MATCH(684,Firms!$U$5:$U$1004,0))&amp;"","")</f>
        <v/>
      </c>
      <c r="G688" s="79">
        <f>IFERROR(INDEX(Firms!$P$5:$P$1004,MATCH(684,Firms!$U$5:$U$1004,0))&amp;"","")</f>
        <v/>
      </c>
      <c r="H688" s="91">
        <f>IFERROR(INDEX(Firms!$T$5:$T$1004,MATCH(684,Firms!$U$5:$U$1004,0))&amp;"","")</f>
        <v/>
      </c>
    </row>
    <row r="689">
      <c r="A689" s="79">
        <f>IF(B689="","",685)</f>
        <v/>
      </c>
      <c r="B689" s="91">
        <f>IFERROR(INDEX(Firms!$A$5:$A$1004,MATCH(685,Firms!$U$5:$U$1004,0))&amp;"","")</f>
        <v/>
      </c>
      <c r="C689" s="88">
        <f>IFERROR(IF(INDEX(Firms!$R$5:$R$1004,MATCH(685,Firms!$U$5:$U$1004,0))="","",INDEX(Firms!$R$5:$R$1004,MATCH(685,Firms!$U$5:$U$1004,0))),"")</f>
        <v/>
      </c>
      <c r="D689" s="91">
        <f>IFERROR(INDEX(Firms!$S$5:$S$1004,MATCH(685,Firms!$U$5:$U$1004,0))&amp;"","")</f>
        <v/>
      </c>
      <c r="E689" s="91">
        <f>IFERROR(INDEX(Firms!$C$5:$C$1004,MATCH(685,Firms!$U$5:$U$1004,0))&amp;"","")</f>
        <v/>
      </c>
      <c r="F689" s="79">
        <f>IFERROR(INDEX(Firms!$N$5:$N$1004,MATCH(685,Firms!$U$5:$U$1004,0))&amp;"","")</f>
        <v/>
      </c>
      <c r="G689" s="79">
        <f>IFERROR(INDEX(Firms!$P$5:$P$1004,MATCH(685,Firms!$U$5:$U$1004,0))&amp;"","")</f>
        <v/>
      </c>
      <c r="H689" s="91">
        <f>IFERROR(INDEX(Firms!$T$5:$T$1004,MATCH(685,Firms!$U$5:$U$1004,0))&amp;"","")</f>
        <v/>
      </c>
    </row>
    <row r="690">
      <c r="A690" s="79">
        <f>IF(B690="","",686)</f>
        <v/>
      </c>
      <c r="B690" s="91">
        <f>IFERROR(INDEX(Firms!$A$5:$A$1004,MATCH(686,Firms!$U$5:$U$1004,0))&amp;"","")</f>
        <v/>
      </c>
      <c r="C690" s="88">
        <f>IFERROR(IF(INDEX(Firms!$R$5:$R$1004,MATCH(686,Firms!$U$5:$U$1004,0))="","",INDEX(Firms!$R$5:$R$1004,MATCH(686,Firms!$U$5:$U$1004,0))),"")</f>
        <v/>
      </c>
      <c r="D690" s="91">
        <f>IFERROR(INDEX(Firms!$S$5:$S$1004,MATCH(686,Firms!$U$5:$U$1004,0))&amp;"","")</f>
        <v/>
      </c>
      <c r="E690" s="91">
        <f>IFERROR(INDEX(Firms!$C$5:$C$1004,MATCH(686,Firms!$U$5:$U$1004,0))&amp;"","")</f>
        <v/>
      </c>
      <c r="F690" s="79">
        <f>IFERROR(INDEX(Firms!$N$5:$N$1004,MATCH(686,Firms!$U$5:$U$1004,0))&amp;"","")</f>
        <v/>
      </c>
      <c r="G690" s="79">
        <f>IFERROR(INDEX(Firms!$P$5:$P$1004,MATCH(686,Firms!$U$5:$U$1004,0))&amp;"","")</f>
        <v/>
      </c>
      <c r="H690" s="91">
        <f>IFERROR(INDEX(Firms!$T$5:$T$1004,MATCH(686,Firms!$U$5:$U$1004,0))&amp;"","")</f>
        <v/>
      </c>
    </row>
    <row r="691">
      <c r="A691" s="79">
        <f>IF(B691="","",687)</f>
        <v/>
      </c>
      <c r="B691" s="91">
        <f>IFERROR(INDEX(Firms!$A$5:$A$1004,MATCH(687,Firms!$U$5:$U$1004,0))&amp;"","")</f>
        <v/>
      </c>
      <c r="C691" s="88">
        <f>IFERROR(IF(INDEX(Firms!$R$5:$R$1004,MATCH(687,Firms!$U$5:$U$1004,0))="","",INDEX(Firms!$R$5:$R$1004,MATCH(687,Firms!$U$5:$U$1004,0))),"")</f>
        <v/>
      </c>
      <c r="D691" s="91">
        <f>IFERROR(INDEX(Firms!$S$5:$S$1004,MATCH(687,Firms!$U$5:$U$1004,0))&amp;"","")</f>
        <v/>
      </c>
      <c r="E691" s="91">
        <f>IFERROR(INDEX(Firms!$C$5:$C$1004,MATCH(687,Firms!$U$5:$U$1004,0))&amp;"","")</f>
        <v/>
      </c>
      <c r="F691" s="79">
        <f>IFERROR(INDEX(Firms!$N$5:$N$1004,MATCH(687,Firms!$U$5:$U$1004,0))&amp;"","")</f>
        <v/>
      </c>
      <c r="G691" s="79">
        <f>IFERROR(INDEX(Firms!$P$5:$P$1004,MATCH(687,Firms!$U$5:$U$1004,0))&amp;"","")</f>
        <v/>
      </c>
      <c r="H691" s="91">
        <f>IFERROR(INDEX(Firms!$T$5:$T$1004,MATCH(687,Firms!$U$5:$U$1004,0))&amp;"","")</f>
        <v/>
      </c>
    </row>
    <row r="692">
      <c r="A692" s="79">
        <f>IF(B692="","",688)</f>
        <v/>
      </c>
      <c r="B692" s="91">
        <f>IFERROR(INDEX(Firms!$A$5:$A$1004,MATCH(688,Firms!$U$5:$U$1004,0))&amp;"","")</f>
        <v/>
      </c>
      <c r="C692" s="88">
        <f>IFERROR(IF(INDEX(Firms!$R$5:$R$1004,MATCH(688,Firms!$U$5:$U$1004,0))="","",INDEX(Firms!$R$5:$R$1004,MATCH(688,Firms!$U$5:$U$1004,0))),"")</f>
        <v/>
      </c>
      <c r="D692" s="91">
        <f>IFERROR(INDEX(Firms!$S$5:$S$1004,MATCH(688,Firms!$U$5:$U$1004,0))&amp;"","")</f>
        <v/>
      </c>
      <c r="E692" s="91">
        <f>IFERROR(INDEX(Firms!$C$5:$C$1004,MATCH(688,Firms!$U$5:$U$1004,0))&amp;"","")</f>
        <v/>
      </c>
      <c r="F692" s="79">
        <f>IFERROR(INDEX(Firms!$N$5:$N$1004,MATCH(688,Firms!$U$5:$U$1004,0))&amp;"","")</f>
        <v/>
      </c>
      <c r="G692" s="79">
        <f>IFERROR(INDEX(Firms!$P$5:$P$1004,MATCH(688,Firms!$U$5:$U$1004,0))&amp;"","")</f>
        <v/>
      </c>
      <c r="H692" s="91">
        <f>IFERROR(INDEX(Firms!$T$5:$T$1004,MATCH(688,Firms!$U$5:$U$1004,0))&amp;"","")</f>
        <v/>
      </c>
    </row>
    <row r="693">
      <c r="A693" s="79">
        <f>IF(B693="","",689)</f>
        <v/>
      </c>
      <c r="B693" s="91">
        <f>IFERROR(INDEX(Firms!$A$5:$A$1004,MATCH(689,Firms!$U$5:$U$1004,0))&amp;"","")</f>
        <v/>
      </c>
      <c r="C693" s="88">
        <f>IFERROR(IF(INDEX(Firms!$R$5:$R$1004,MATCH(689,Firms!$U$5:$U$1004,0))="","",INDEX(Firms!$R$5:$R$1004,MATCH(689,Firms!$U$5:$U$1004,0))),"")</f>
        <v/>
      </c>
      <c r="D693" s="91">
        <f>IFERROR(INDEX(Firms!$S$5:$S$1004,MATCH(689,Firms!$U$5:$U$1004,0))&amp;"","")</f>
        <v/>
      </c>
      <c r="E693" s="91">
        <f>IFERROR(INDEX(Firms!$C$5:$C$1004,MATCH(689,Firms!$U$5:$U$1004,0))&amp;"","")</f>
        <v/>
      </c>
      <c r="F693" s="79">
        <f>IFERROR(INDEX(Firms!$N$5:$N$1004,MATCH(689,Firms!$U$5:$U$1004,0))&amp;"","")</f>
        <v/>
      </c>
      <c r="G693" s="79">
        <f>IFERROR(INDEX(Firms!$P$5:$P$1004,MATCH(689,Firms!$U$5:$U$1004,0))&amp;"","")</f>
        <v/>
      </c>
      <c r="H693" s="91">
        <f>IFERROR(INDEX(Firms!$T$5:$T$1004,MATCH(689,Firms!$U$5:$U$1004,0))&amp;"","")</f>
        <v/>
      </c>
    </row>
    <row r="694">
      <c r="A694" s="79">
        <f>IF(B694="","",690)</f>
        <v/>
      </c>
      <c r="B694" s="91">
        <f>IFERROR(INDEX(Firms!$A$5:$A$1004,MATCH(690,Firms!$U$5:$U$1004,0))&amp;"","")</f>
        <v/>
      </c>
      <c r="C694" s="88">
        <f>IFERROR(IF(INDEX(Firms!$R$5:$R$1004,MATCH(690,Firms!$U$5:$U$1004,0))="","",INDEX(Firms!$R$5:$R$1004,MATCH(690,Firms!$U$5:$U$1004,0))),"")</f>
        <v/>
      </c>
      <c r="D694" s="91">
        <f>IFERROR(INDEX(Firms!$S$5:$S$1004,MATCH(690,Firms!$U$5:$U$1004,0))&amp;"","")</f>
        <v/>
      </c>
      <c r="E694" s="91">
        <f>IFERROR(INDEX(Firms!$C$5:$C$1004,MATCH(690,Firms!$U$5:$U$1004,0))&amp;"","")</f>
        <v/>
      </c>
      <c r="F694" s="79">
        <f>IFERROR(INDEX(Firms!$N$5:$N$1004,MATCH(690,Firms!$U$5:$U$1004,0))&amp;"","")</f>
        <v/>
      </c>
      <c r="G694" s="79">
        <f>IFERROR(INDEX(Firms!$P$5:$P$1004,MATCH(690,Firms!$U$5:$U$1004,0))&amp;"","")</f>
        <v/>
      </c>
      <c r="H694" s="91">
        <f>IFERROR(INDEX(Firms!$T$5:$T$1004,MATCH(690,Firms!$U$5:$U$1004,0))&amp;"","")</f>
        <v/>
      </c>
    </row>
    <row r="695">
      <c r="A695" s="79">
        <f>IF(B695="","",691)</f>
        <v/>
      </c>
      <c r="B695" s="91">
        <f>IFERROR(INDEX(Firms!$A$5:$A$1004,MATCH(691,Firms!$U$5:$U$1004,0))&amp;"","")</f>
        <v/>
      </c>
      <c r="C695" s="88">
        <f>IFERROR(IF(INDEX(Firms!$R$5:$R$1004,MATCH(691,Firms!$U$5:$U$1004,0))="","",INDEX(Firms!$R$5:$R$1004,MATCH(691,Firms!$U$5:$U$1004,0))),"")</f>
        <v/>
      </c>
      <c r="D695" s="91">
        <f>IFERROR(INDEX(Firms!$S$5:$S$1004,MATCH(691,Firms!$U$5:$U$1004,0))&amp;"","")</f>
        <v/>
      </c>
      <c r="E695" s="91">
        <f>IFERROR(INDEX(Firms!$C$5:$C$1004,MATCH(691,Firms!$U$5:$U$1004,0))&amp;"","")</f>
        <v/>
      </c>
      <c r="F695" s="79">
        <f>IFERROR(INDEX(Firms!$N$5:$N$1004,MATCH(691,Firms!$U$5:$U$1004,0))&amp;"","")</f>
        <v/>
      </c>
      <c r="G695" s="79">
        <f>IFERROR(INDEX(Firms!$P$5:$P$1004,MATCH(691,Firms!$U$5:$U$1004,0))&amp;"","")</f>
        <v/>
      </c>
      <c r="H695" s="91">
        <f>IFERROR(INDEX(Firms!$T$5:$T$1004,MATCH(691,Firms!$U$5:$U$1004,0))&amp;"","")</f>
        <v/>
      </c>
    </row>
    <row r="696">
      <c r="A696" s="79">
        <f>IF(B696="","",692)</f>
        <v/>
      </c>
      <c r="B696" s="91">
        <f>IFERROR(INDEX(Firms!$A$5:$A$1004,MATCH(692,Firms!$U$5:$U$1004,0))&amp;"","")</f>
        <v/>
      </c>
      <c r="C696" s="88">
        <f>IFERROR(IF(INDEX(Firms!$R$5:$R$1004,MATCH(692,Firms!$U$5:$U$1004,0))="","",INDEX(Firms!$R$5:$R$1004,MATCH(692,Firms!$U$5:$U$1004,0))),"")</f>
        <v/>
      </c>
      <c r="D696" s="91">
        <f>IFERROR(INDEX(Firms!$S$5:$S$1004,MATCH(692,Firms!$U$5:$U$1004,0))&amp;"","")</f>
        <v/>
      </c>
      <c r="E696" s="91">
        <f>IFERROR(INDEX(Firms!$C$5:$C$1004,MATCH(692,Firms!$U$5:$U$1004,0))&amp;"","")</f>
        <v/>
      </c>
      <c r="F696" s="79">
        <f>IFERROR(INDEX(Firms!$N$5:$N$1004,MATCH(692,Firms!$U$5:$U$1004,0))&amp;"","")</f>
        <v/>
      </c>
      <c r="G696" s="79">
        <f>IFERROR(INDEX(Firms!$P$5:$P$1004,MATCH(692,Firms!$U$5:$U$1004,0))&amp;"","")</f>
        <v/>
      </c>
      <c r="H696" s="91">
        <f>IFERROR(INDEX(Firms!$T$5:$T$1004,MATCH(692,Firms!$U$5:$U$1004,0))&amp;"","")</f>
        <v/>
      </c>
    </row>
    <row r="697">
      <c r="A697" s="79">
        <f>IF(B697="","",693)</f>
        <v/>
      </c>
      <c r="B697" s="91">
        <f>IFERROR(INDEX(Firms!$A$5:$A$1004,MATCH(693,Firms!$U$5:$U$1004,0))&amp;"","")</f>
        <v/>
      </c>
      <c r="C697" s="88">
        <f>IFERROR(IF(INDEX(Firms!$R$5:$R$1004,MATCH(693,Firms!$U$5:$U$1004,0))="","",INDEX(Firms!$R$5:$R$1004,MATCH(693,Firms!$U$5:$U$1004,0))),"")</f>
        <v/>
      </c>
      <c r="D697" s="91">
        <f>IFERROR(INDEX(Firms!$S$5:$S$1004,MATCH(693,Firms!$U$5:$U$1004,0))&amp;"","")</f>
        <v/>
      </c>
      <c r="E697" s="91">
        <f>IFERROR(INDEX(Firms!$C$5:$C$1004,MATCH(693,Firms!$U$5:$U$1004,0))&amp;"","")</f>
        <v/>
      </c>
      <c r="F697" s="79">
        <f>IFERROR(INDEX(Firms!$N$5:$N$1004,MATCH(693,Firms!$U$5:$U$1004,0))&amp;"","")</f>
        <v/>
      </c>
      <c r="G697" s="79">
        <f>IFERROR(INDEX(Firms!$P$5:$P$1004,MATCH(693,Firms!$U$5:$U$1004,0))&amp;"","")</f>
        <v/>
      </c>
      <c r="H697" s="91">
        <f>IFERROR(INDEX(Firms!$T$5:$T$1004,MATCH(693,Firms!$U$5:$U$1004,0))&amp;"","")</f>
        <v/>
      </c>
    </row>
    <row r="698">
      <c r="A698" s="79">
        <f>IF(B698="","",694)</f>
        <v/>
      </c>
      <c r="B698" s="91">
        <f>IFERROR(INDEX(Firms!$A$5:$A$1004,MATCH(694,Firms!$U$5:$U$1004,0))&amp;"","")</f>
        <v/>
      </c>
      <c r="C698" s="88">
        <f>IFERROR(IF(INDEX(Firms!$R$5:$R$1004,MATCH(694,Firms!$U$5:$U$1004,0))="","",INDEX(Firms!$R$5:$R$1004,MATCH(694,Firms!$U$5:$U$1004,0))),"")</f>
        <v/>
      </c>
      <c r="D698" s="91">
        <f>IFERROR(INDEX(Firms!$S$5:$S$1004,MATCH(694,Firms!$U$5:$U$1004,0))&amp;"","")</f>
        <v/>
      </c>
      <c r="E698" s="91">
        <f>IFERROR(INDEX(Firms!$C$5:$C$1004,MATCH(694,Firms!$U$5:$U$1004,0))&amp;"","")</f>
        <v/>
      </c>
      <c r="F698" s="79">
        <f>IFERROR(INDEX(Firms!$N$5:$N$1004,MATCH(694,Firms!$U$5:$U$1004,0))&amp;"","")</f>
        <v/>
      </c>
      <c r="G698" s="79">
        <f>IFERROR(INDEX(Firms!$P$5:$P$1004,MATCH(694,Firms!$U$5:$U$1004,0))&amp;"","")</f>
        <v/>
      </c>
      <c r="H698" s="91">
        <f>IFERROR(INDEX(Firms!$T$5:$T$1004,MATCH(694,Firms!$U$5:$U$1004,0))&amp;"","")</f>
        <v/>
      </c>
    </row>
    <row r="699">
      <c r="A699" s="79">
        <f>IF(B699="","",695)</f>
        <v/>
      </c>
      <c r="B699" s="91">
        <f>IFERROR(INDEX(Firms!$A$5:$A$1004,MATCH(695,Firms!$U$5:$U$1004,0))&amp;"","")</f>
        <v/>
      </c>
      <c r="C699" s="88">
        <f>IFERROR(IF(INDEX(Firms!$R$5:$R$1004,MATCH(695,Firms!$U$5:$U$1004,0))="","",INDEX(Firms!$R$5:$R$1004,MATCH(695,Firms!$U$5:$U$1004,0))),"")</f>
        <v/>
      </c>
      <c r="D699" s="91">
        <f>IFERROR(INDEX(Firms!$S$5:$S$1004,MATCH(695,Firms!$U$5:$U$1004,0))&amp;"","")</f>
        <v/>
      </c>
      <c r="E699" s="91">
        <f>IFERROR(INDEX(Firms!$C$5:$C$1004,MATCH(695,Firms!$U$5:$U$1004,0))&amp;"","")</f>
        <v/>
      </c>
      <c r="F699" s="79">
        <f>IFERROR(INDEX(Firms!$N$5:$N$1004,MATCH(695,Firms!$U$5:$U$1004,0))&amp;"","")</f>
        <v/>
      </c>
      <c r="G699" s="79">
        <f>IFERROR(INDEX(Firms!$P$5:$P$1004,MATCH(695,Firms!$U$5:$U$1004,0))&amp;"","")</f>
        <v/>
      </c>
      <c r="H699" s="91">
        <f>IFERROR(INDEX(Firms!$T$5:$T$1004,MATCH(695,Firms!$U$5:$U$1004,0))&amp;"","")</f>
        <v/>
      </c>
    </row>
    <row r="700">
      <c r="A700" s="79">
        <f>IF(B700="","",696)</f>
        <v/>
      </c>
      <c r="B700" s="91">
        <f>IFERROR(INDEX(Firms!$A$5:$A$1004,MATCH(696,Firms!$U$5:$U$1004,0))&amp;"","")</f>
        <v/>
      </c>
      <c r="C700" s="88">
        <f>IFERROR(IF(INDEX(Firms!$R$5:$R$1004,MATCH(696,Firms!$U$5:$U$1004,0))="","",INDEX(Firms!$R$5:$R$1004,MATCH(696,Firms!$U$5:$U$1004,0))),"")</f>
        <v/>
      </c>
      <c r="D700" s="91">
        <f>IFERROR(INDEX(Firms!$S$5:$S$1004,MATCH(696,Firms!$U$5:$U$1004,0))&amp;"","")</f>
        <v/>
      </c>
      <c r="E700" s="91">
        <f>IFERROR(INDEX(Firms!$C$5:$C$1004,MATCH(696,Firms!$U$5:$U$1004,0))&amp;"","")</f>
        <v/>
      </c>
      <c r="F700" s="79">
        <f>IFERROR(INDEX(Firms!$N$5:$N$1004,MATCH(696,Firms!$U$5:$U$1004,0))&amp;"","")</f>
        <v/>
      </c>
      <c r="G700" s="79">
        <f>IFERROR(INDEX(Firms!$P$5:$P$1004,MATCH(696,Firms!$U$5:$U$1004,0))&amp;"","")</f>
        <v/>
      </c>
      <c r="H700" s="91">
        <f>IFERROR(INDEX(Firms!$T$5:$T$1004,MATCH(696,Firms!$U$5:$U$1004,0))&amp;"","")</f>
        <v/>
      </c>
    </row>
    <row r="701">
      <c r="A701" s="79">
        <f>IF(B701="","",697)</f>
        <v/>
      </c>
      <c r="B701" s="91">
        <f>IFERROR(INDEX(Firms!$A$5:$A$1004,MATCH(697,Firms!$U$5:$U$1004,0))&amp;"","")</f>
        <v/>
      </c>
      <c r="C701" s="88">
        <f>IFERROR(IF(INDEX(Firms!$R$5:$R$1004,MATCH(697,Firms!$U$5:$U$1004,0))="","",INDEX(Firms!$R$5:$R$1004,MATCH(697,Firms!$U$5:$U$1004,0))),"")</f>
        <v/>
      </c>
      <c r="D701" s="91">
        <f>IFERROR(INDEX(Firms!$S$5:$S$1004,MATCH(697,Firms!$U$5:$U$1004,0))&amp;"","")</f>
        <v/>
      </c>
      <c r="E701" s="91">
        <f>IFERROR(INDEX(Firms!$C$5:$C$1004,MATCH(697,Firms!$U$5:$U$1004,0))&amp;"","")</f>
        <v/>
      </c>
      <c r="F701" s="79">
        <f>IFERROR(INDEX(Firms!$N$5:$N$1004,MATCH(697,Firms!$U$5:$U$1004,0))&amp;"","")</f>
        <v/>
      </c>
      <c r="G701" s="79">
        <f>IFERROR(INDEX(Firms!$P$5:$P$1004,MATCH(697,Firms!$U$5:$U$1004,0))&amp;"","")</f>
        <v/>
      </c>
      <c r="H701" s="91">
        <f>IFERROR(INDEX(Firms!$T$5:$T$1004,MATCH(697,Firms!$U$5:$U$1004,0))&amp;"","")</f>
        <v/>
      </c>
    </row>
    <row r="702">
      <c r="A702" s="79">
        <f>IF(B702="","",698)</f>
        <v/>
      </c>
      <c r="B702" s="91">
        <f>IFERROR(INDEX(Firms!$A$5:$A$1004,MATCH(698,Firms!$U$5:$U$1004,0))&amp;"","")</f>
        <v/>
      </c>
      <c r="C702" s="88">
        <f>IFERROR(IF(INDEX(Firms!$R$5:$R$1004,MATCH(698,Firms!$U$5:$U$1004,0))="","",INDEX(Firms!$R$5:$R$1004,MATCH(698,Firms!$U$5:$U$1004,0))),"")</f>
        <v/>
      </c>
      <c r="D702" s="91">
        <f>IFERROR(INDEX(Firms!$S$5:$S$1004,MATCH(698,Firms!$U$5:$U$1004,0))&amp;"","")</f>
        <v/>
      </c>
      <c r="E702" s="91">
        <f>IFERROR(INDEX(Firms!$C$5:$C$1004,MATCH(698,Firms!$U$5:$U$1004,0))&amp;"","")</f>
        <v/>
      </c>
      <c r="F702" s="79">
        <f>IFERROR(INDEX(Firms!$N$5:$N$1004,MATCH(698,Firms!$U$5:$U$1004,0))&amp;"","")</f>
        <v/>
      </c>
      <c r="G702" s="79">
        <f>IFERROR(INDEX(Firms!$P$5:$P$1004,MATCH(698,Firms!$U$5:$U$1004,0))&amp;"","")</f>
        <v/>
      </c>
      <c r="H702" s="91">
        <f>IFERROR(INDEX(Firms!$T$5:$T$1004,MATCH(698,Firms!$U$5:$U$1004,0))&amp;"","")</f>
        <v/>
      </c>
    </row>
    <row r="703">
      <c r="A703" s="79">
        <f>IF(B703="","",699)</f>
        <v/>
      </c>
      <c r="B703" s="91">
        <f>IFERROR(INDEX(Firms!$A$5:$A$1004,MATCH(699,Firms!$U$5:$U$1004,0))&amp;"","")</f>
        <v/>
      </c>
      <c r="C703" s="88">
        <f>IFERROR(IF(INDEX(Firms!$R$5:$R$1004,MATCH(699,Firms!$U$5:$U$1004,0))="","",INDEX(Firms!$R$5:$R$1004,MATCH(699,Firms!$U$5:$U$1004,0))),"")</f>
        <v/>
      </c>
      <c r="D703" s="91">
        <f>IFERROR(INDEX(Firms!$S$5:$S$1004,MATCH(699,Firms!$U$5:$U$1004,0))&amp;"","")</f>
        <v/>
      </c>
      <c r="E703" s="91">
        <f>IFERROR(INDEX(Firms!$C$5:$C$1004,MATCH(699,Firms!$U$5:$U$1004,0))&amp;"","")</f>
        <v/>
      </c>
      <c r="F703" s="79">
        <f>IFERROR(INDEX(Firms!$N$5:$N$1004,MATCH(699,Firms!$U$5:$U$1004,0))&amp;"","")</f>
        <v/>
      </c>
      <c r="G703" s="79">
        <f>IFERROR(INDEX(Firms!$P$5:$P$1004,MATCH(699,Firms!$U$5:$U$1004,0))&amp;"","")</f>
        <v/>
      </c>
      <c r="H703" s="91">
        <f>IFERROR(INDEX(Firms!$T$5:$T$1004,MATCH(699,Firms!$U$5:$U$1004,0))&amp;"","")</f>
        <v/>
      </c>
    </row>
    <row r="704">
      <c r="A704" s="79">
        <f>IF(B704="","",700)</f>
        <v/>
      </c>
      <c r="B704" s="91">
        <f>IFERROR(INDEX(Firms!$A$5:$A$1004,MATCH(700,Firms!$U$5:$U$1004,0))&amp;"","")</f>
        <v/>
      </c>
      <c r="C704" s="88">
        <f>IFERROR(IF(INDEX(Firms!$R$5:$R$1004,MATCH(700,Firms!$U$5:$U$1004,0))="","",INDEX(Firms!$R$5:$R$1004,MATCH(700,Firms!$U$5:$U$1004,0))),"")</f>
        <v/>
      </c>
      <c r="D704" s="91">
        <f>IFERROR(INDEX(Firms!$S$5:$S$1004,MATCH(700,Firms!$U$5:$U$1004,0))&amp;"","")</f>
        <v/>
      </c>
      <c r="E704" s="91">
        <f>IFERROR(INDEX(Firms!$C$5:$C$1004,MATCH(700,Firms!$U$5:$U$1004,0))&amp;"","")</f>
        <v/>
      </c>
      <c r="F704" s="79">
        <f>IFERROR(INDEX(Firms!$N$5:$N$1004,MATCH(700,Firms!$U$5:$U$1004,0))&amp;"","")</f>
        <v/>
      </c>
      <c r="G704" s="79">
        <f>IFERROR(INDEX(Firms!$P$5:$P$1004,MATCH(700,Firms!$U$5:$U$1004,0))&amp;"","")</f>
        <v/>
      </c>
      <c r="H704" s="91">
        <f>IFERROR(INDEX(Firms!$T$5:$T$1004,MATCH(700,Firms!$U$5:$U$1004,0))&amp;"","")</f>
        <v/>
      </c>
    </row>
    <row r="705">
      <c r="A705" s="79">
        <f>IF(B705="","",701)</f>
        <v/>
      </c>
      <c r="B705" s="91">
        <f>IFERROR(INDEX(Firms!$A$5:$A$1004,MATCH(701,Firms!$U$5:$U$1004,0))&amp;"","")</f>
        <v/>
      </c>
      <c r="C705" s="88">
        <f>IFERROR(IF(INDEX(Firms!$R$5:$R$1004,MATCH(701,Firms!$U$5:$U$1004,0))="","",INDEX(Firms!$R$5:$R$1004,MATCH(701,Firms!$U$5:$U$1004,0))),"")</f>
        <v/>
      </c>
      <c r="D705" s="91">
        <f>IFERROR(INDEX(Firms!$S$5:$S$1004,MATCH(701,Firms!$U$5:$U$1004,0))&amp;"","")</f>
        <v/>
      </c>
      <c r="E705" s="91">
        <f>IFERROR(INDEX(Firms!$C$5:$C$1004,MATCH(701,Firms!$U$5:$U$1004,0))&amp;"","")</f>
        <v/>
      </c>
      <c r="F705" s="79">
        <f>IFERROR(INDEX(Firms!$N$5:$N$1004,MATCH(701,Firms!$U$5:$U$1004,0))&amp;"","")</f>
        <v/>
      </c>
      <c r="G705" s="79">
        <f>IFERROR(INDEX(Firms!$P$5:$P$1004,MATCH(701,Firms!$U$5:$U$1004,0))&amp;"","")</f>
        <v/>
      </c>
      <c r="H705" s="91">
        <f>IFERROR(INDEX(Firms!$T$5:$T$1004,MATCH(701,Firms!$U$5:$U$1004,0))&amp;"","")</f>
        <v/>
      </c>
    </row>
    <row r="706">
      <c r="A706" s="79">
        <f>IF(B706="","",702)</f>
        <v/>
      </c>
      <c r="B706" s="91">
        <f>IFERROR(INDEX(Firms!$A$5:$A$1004,MATCH(702,Firms!$U$5:$U$1004,0))&amp;"","")</f>
        <v/>
      </c>
      <c r="C706" s="88">
        <f>IFERROR(IF(INDEX(Firms!$R$5:$R$1004,MATCH(702,Firms!$U$5:$U$1004,0))="","",INDEX(Firms!$R$5:$R$1004,MATCH(702,Firms!$U$5:$U$1004,0))),"")</f>
        <v/>
      </c>
      <c r="D706" s="91">
        <f>IFERROR(INDEX(Firms!$S$5:$S$1004,MATCH(702,Firms!$U$5:$U$1004,0))&amp;"","")</f>
        <v/>
      </c>
      <c r="E706" s="91">
        <f>IFERROR(INDEX(Firms!$C$5:$C$1004,MATCH(702,Firms!$U$5:$U$1004,0))&amp;"","")</f>
        <v/>
      </c>
      <c r="F706" s="79">
        <f>IFERROR(INDEX(Firms!$N$5:$N$1004,MATCH(702,Firms!$U$5:$U$1004,0))&amp;"","")</f>
        <v/>
      </c>
      <c r="G706" s="79">
        <f>IFERROR(INDEX(Firms!$P$5:$P$1004,MATCH(702,Firms!$U$5:$U$1004,0))&amp;"","")</f>
        <v/>
      </c>
      <c r="H706" s="91">
        <f>IFERROR(INDEX(Firms!$T$5:$T$1004,MATCH(702,Firms!$U$5:$U$1004,0))&amp;"","")</f>
        <v/>
      </c>
    </row>
    <row r="707">
      <c r="A707" s="79">
        <f>IF(B707="","",703)</f>
        <v/>
      </c>
      <c r="B707" s="91">
        <f>IFERROR(INDEX(Firms!$A$5:$A$1004,MATCH(703,Firms!$U$5:$U$1004,0))&amp;"","")</f>
        <v/>
      </c>
      <c r="C707" s="88">
        <f>IFERROR(IF(INDEX(Firms!$R$5:$R$1004,MATCH(703,Firms!$U$5:$U$1004,0))="","",INDEX(Firms!$R$5:$R$1004,MATCH(703,Firms!$U$5:$U$1004,0))),"")</f>
        <v/>
      </c>
      <c r="D707" s="91">
        <f>IFERROR(INDEX(Firms!$S$5:$S$1004,MATCH(703,Firms!$U$5:$U$1004,0))&amp;"","")</f>
        <v/>
      </c>
      <c r="E707" s="91">
        <f>IFERROR(INDEX(Firms!$C$5:$C$1004,MATCH(703,Firms!$U$5:$U$1004,0))&amp;"","")</f>
        <v/>
      </c>
      <c r="F707" s="79">
        <f>IFERROR(INDEX(Firms!$N$5:$N$1004,MATCH(703,Firms!$U$5:$U$1004,0))&amp;"","")</f>
        <v/>
      </c>
      <c r="G707" s="79">
        <f>IFERROR(INDEX(Firms!$P$5:$P$1004,MATCH(703,Firms!$U$5:$U$1004,0))&amp;"","")</f>
        <v/>
      </c>
      <c r="H707" s="91">
        <f>IFERROR(INDEX(Firms!$T$5:$T$1004,MATCH(703,Firms!$U$5:$U$1004,0))&amp;"","")</f>
        <v/>
      </c>
    </row>
    <row r="708">
      <c r="A708" s="79">
        <f>IF(B708="","",704)</f>
        <v/>
      </c>
      <c r="B708" s="91">
        <f>IFERROR(INDEX(Firms!$A$5:$A$1004,MATCH(704,Firms!$U$5:$U$1004,0))&amp;"","")</f>
        <v/>
      </c>
      <c r="C708" s="88">
        <f>IFERROR(IF(INDEX(Firms!$R$5:$R$1004,MATCH(704,Firms!$U$5:$U$1004,0))="","",INDEX(Firms!$R$5:$R$1004,MATCH(704,Firms!$U$5:$U$1004,0))),"")</f>
        <v/>
      </c>
      <c r="D708" s="91">
        <f>IFERROR(INDEX(Firms!$S$5:$S$1004,MATCH(704,Firms!$U$5:$U$1004,0))&amp;"","")</f>
        <v/>
      </c>
      <c r="E708" s="91">
        <f>IFERROR(INDEX(Firms!$C$5:$C$1004,MATCH(704,Firms!$U$5:$U$1004,0))&amp;"","")</f>
        <v/>
      </c>
      <c r="F708" s="79">
        <f>IFERROR(INDEX(Firms!$N$5:$N$1004,MATCH(704,Firms!$U$5:$U$1004,0))&amp;"","")</f>
        <v/>
      </c>
      <c r="G708" s="79">
        <f>IFERROR(INDEX(Firms!$P$5:$P$1004,MATCH(704,Firms!$U$5:$U$1004,0))&amp;"","")</f>
        <v/>
      </c>
      <c r="H708" s="91">
        <f>IFERROR(INDEX(Firms!$T$5:$T$1004,MATCH(704,Firms!$U$5:$U$1004,0))&amp;"","")</f>
        <v/>
      </c>
    </row>
    <row r="709">
      <c r="A709" s="79">
        <f>IF(B709="","",705)</f>
        <v/>
      </c>
      <c r="B709" s="91">
        <f>IFERROR(INDEX(Firms!$A$5:$A$1004,MATCH(705,Firms!$U$5:$U$1004,0))&amp;"","")</f>
        <v/>
      </c>
      <c r="C709" s="88">
        <f>IFERROR(IF(INDEX(Firms!$R$5:$R$1004,MATCH(705,Firms!$U$5:$U$1004,0))="","",INDEX(Firms!$R$5:$R$1004,MATCH(705,Firms!$U$5:$U$1004,0))),"")</f>
        <v/>
      </c>
      <c r="D709" s="91">
        <f>IFERROR(INDEX(Firms!$S$5:$S$1004,MATCH(705,Firms!$U$5:$U$1004,0))&amp;"","")</f>
        <v/>
      </c>
      <c r="E709" s="91">
        <f>IFERROR(INDEX(Firms!$C$5:$C$1004,MATCH(705,Firms!$U$5:$U$1004,0))&amp;"","")</f>
        <v/>
      </c>
      <c r="F709" s="79">
        <f>IFERROR(INDEX(Firms!$N$5:$N$1004,MATCH(705,Firms!$U$5:$U$1004,0))&amp;"","")</f>
        <v/>
      </c>
      <c r="G709" s="79">
        <f>IFERROR(INDEX(Firms!$P$5:$P$1004,MATCH(705,Firms!$U$5:$U$1004,0))&amp;"","")</f>
        <v/>
      </c>
      <c r="H709" s="91">
        <f>IFERROR(INDEX(Firms!$T$5:$T$1004,MATCH(705,Firms!$U$5:$U$1004,0))&amp;"","")</f>
        <v/>
      </c>
    </row>
    <row r="710">
      <c r="A710" s="79">
        <f>IF(B710="","",706)</f>
        <v/>
      </c>
      <c r="B710" s="91">
        <f>IFERROR(INDEX(Firms!$A$5:$A$1004,MATCH(706,Firms!$U$5:$U$1004,0))&amp;"","")</f>
        <v/>
      </c>
      <c r="C710" s="88">
        <f>IFERROR(IF(INDEX(Firms!$R$5:$R$1004,MATCH(706,Firms!$U$5:$U$1004,0))="","",INDEX(Firms!$R$5:$R$1004,MATCH(706,Firms!$U$5:$U$1004,0))),"")</f>
        <v/>
      </c>
      <c r="D710" s="91">
        <f>IFERROR(INDEX(Firms!$S$5:$S$1004,MATCH(706,Firms!$U$5:$U$1004,0))&amp;"","")</f>
        <v/>
      </c>
      <c r="E710" s="91">
        <f>IFERROR(INDEX(Firms!$C$5:$C$1004,MATCH(706,Firms!$U$5:$U$1004,0))&amp;"","")</f>
        <v/>
      </c>
      <c r="F710" s="79">
        <f>IFERROR(INDEX(Firms!$N$5:$N$1004,MATCH(706,Firms!$U$5:$U$1004,0))&amp;"","")</f>
        <v/>
      </c>
      <c r="G710" s="79">
        <f>IFERROR(INDEX(Firms!$P$5:$P$1004,MATCH(706,Firms!$U$5:$U$1004,0))&amp;"","")</f>
        <v/>
      </c>
      <c r="H710" s="91">
        <f>IFERROR(INDEX(Firms!$T$5:$T$1004,MATCH(706,Firms!$U$5:$U$1004,0))&amp;"","")</f>
        <v/>
      </c>
    </row>
    <row r="711">
      <c r="A711" s="79">
        <f>IF(B711="","",707)</f>
        <v/>
      </c>
      <c r="B711" s="91">
        <f>IFERROR(INDEX(Firms!$A$5:$A$1004,MATCH(707,Firms!$U$5:$U$1004,0))&amp;"","")</f>
        <v/>
      </c>
      <c r="C711" s="88">
        <f>IFERROR(IF(INDEX(Firms!$R$5:$R$1004,MATCH(707,Firms!$U$5:$U$1004,0))="","",INDEX(Firms!$R$5:$R$1004,MATCH(707,Firms!$U$5:$U$1004,0))),"")</f>
        <v/>
      </c>
      <c r="D711" s="91">
        <f>IFERROR(INDEX(Firms!$S$5:$S$1004,MATCH(707,Firms!$U$5:$U$1004,0))&amp;"","")</f>
        <v/>
      </c>
      <c r="E711" s="91">
        <f>IFERROR(INDEX(Firms!$C$5:$C$1004,MATCH(707,Firms!$U$5:$U$1004,0))&amp;"","")</f>
        <v/>
      </c>
      <c r="F711" s="79">
        <f>IFERROR(INDEX(Firms!$N$5:$N$1004,MATCH(707,Firms!$U$5:$U$1004,0))&amp;"","")</f>
        <v/>
      </c>
      <c r="G711" s="79">
        <f>IFERROR(INDEX(Firms!$P$5:$P$1004,MATCH(707,Firms!$U$5:$U$1004,0))&amp;"","")</f>
        <v/>
      </c>
      <c r="H711" s="91">
        <f>IFERROR(INDEX(Firms!$T$5:$T$1004,MATCH(707,Firms!$U$5:$U$1004,0))&amp;"","")</f>
        <v/>
      </c>
    </row>
    <row r="712">
      <c r="A712" s="79">
        <f>IF(B712="","",708)</f>
        <v/>
      </c>
      <c r="B712" s="91">
        <f>IFERROR(INDEX(Firms!$A$5:$A$1004,MATCH(708,Firms!$U$5:$U$1004,0))&amp;"","")</f>
        <v/>
      </c>
      <c r="C712" s="88">
        <f>IFERROR(IF(INDEX(Firms!$R$5:$R$1004,MATCH(708,Firms!$U$5:$U$1004,0))="","",INDEX(Firms!$R$5:$R$1004,MATCH(708,Firms!$U$5:$U$1004,0))),"")</f>
        <v/>
      </c>
      <c r="D712" s="91">
        <f>IFERROR(INDEX(Firms!$S$5:$S$1004,MATCH(708,Firms!$U$5:$U$1004,0))&amp;"","")</f>
        <v/>
      </c>
      <c r="E712" s="91">
        <f>IFERROR(INDEX(Firms!$C$5:$C$1004,MATCH(708,Firms!$U$5:$U$1004,0))&amp;"","")</f>
        <v/>
      </c>
      <c r="F712" s="79">
        <f>IFERROR(INDEX(Firms!$N$5:$N$1004,MATCH(708,Firms!$U$5:$U$1004,0))&amp;"","")</f>
        <v/>
      </c>
      <c r="G712" s="79">
        <f>IFERROR(INDEX(Firms!$P$5:$P$1004,MATCH(708,Firms!$U$5:$U$1004,0))&amp;"","")</f>
        <v/>
      </c>
      <c r="H712" s="91">
        <f>IFERROR(INDEX(Firms!$T$5:$T$1004,MATCH(708,Firms!$U$5:$U$1004,0))&amp;"","")</f>
        <v/>
      </c>
    </row>
    <row r="713">
      <c r="A713" s="79">
        <f>IF(B713="","",709)</f>
        <v/>
      </c>
      <c r="B713" s="91">
        <f>IFERROR(INDEX(Firms!$A$5:$A$1004,MATCH(709,Firms!$U$5:$U$1004,0))&amp;"","")</f>
        <v/>
      </c>
      <c r="C713" s="88">
        <f>IFERROR(IF(INDEX(Firms!$R$5:$R$1004,MATCH(709,Firms!$U$5:$U$1004,0))="","",INDEX(Firms!$R$5:$R$1004,MATCH(709,Firms!$U$5:$U$1004,0))),"")</f>
        <v/>
      </c>
      <c r="D713" s="91">
        <f>IFERROR(INDEX(Firms!$S$5:$S$1004,MATCH(709,Firms!$U$5:$U$1004,0))&amp;"","")</f>
        <v/>
      </c>
      <c r="E713" s="91">
        <f>IFERROR(INDEX(Firms!$C$5:$C$1004,MATCH(709,Firms!$U$5:$U$1004,0))&amp;"","")</f>
        <v/>
      </c>
      <c r="F713" s="79">
        <f>IFERROR(INDEX(Firms!$N$5:$N$1004,MATCH(709,Firms!$U$5:$U$1004,0))&amp;"","")</f>
        <v/>
      </c>
      <c r="G713" s="79">
        <f>IFERROR(INDEX(Firms!$P$5:$P$1004,MATCH(709,Firms!$U$5:$U$1004,0))&amp;"","")</f>
        <v/>
      </c>
      <c r="H713" s="91">
        <f>IFERROR(INDEX(Firms!$T$5:$T$1004,MATCH(709,Firms!$U$5:$U$1004,0))&amp;"","")</f>
        <v/>
      </c>
    </row>
    <row r="714">
      <c r="A714" s="79">
        <f>IF(B714="","",710)</f>
        <v/>
      </c>
      <c r="B714" s="91">
        <f>IFERROR(INDEX(Firms!$A$5:$A$1004,MATCH(710,Firms!$U$5:$U$1004,0))&amp;"","")</f>
        <v/>
      </c>
      <c r="C714" s="88">
        <f>IFERROR(IF(INDEX(Firms!$R$5:$R$1004,MATCH(710,Firms!$U$5:$U$1004,0))="","",INDEX(Firms!$R$5:$R$1004,MATCH(710,Firms!$U$5:$U$1004,0))),"")</f>
        <v/>
      </c>
      <c r="D714" s="91">
        <f>IFERROR(INDEX(Firms!$S$5:$S$1004,MATCH(710,Firms!$U$5:$U$1004,0))&amp;"","")</f>
        <v/>
      </c>
      <c r="E714" s="91">
        <f>IFERROR(INDEX(Firms!$C$5:$C$1004,MATCH(710,Firms!$U$5:$U$1004,0))&amp;"","")</f>
        <v/>
      </c>
      <c r="F714" s="79">
        <f>IFERROR(INDEX(Firms!$N$5:$N$1004,MATCH(710,Firms!$U$5:$U$1004,0))&amp;"","")</f>
        <v/>
      </c>
      <c r="G714" s="79">
        <f>IFERROR(INDEX(Firms!$P$5:$P$1004,MATCH(710,Firms!$U$5:$U$1004,0))&amp;"","")</f>
        <v/>
      </c>
      <c r="H714" s="91">
        <f>IFERROR(INDEX(Firms!$T$5:$T$1004,MATCH(710,Firms!$U$5:$U$1004,0))&amp;"","")</f>
        <v/>
      </c>
    </row>
    <row r="715">
      <c r="A715" s="79">
        <f>IF(B715="","",711)</f>
        <v/>
      </c>
      <c r="B715" s="91">
        <f>IFERROR(INDEX(Firms!$A$5:$A$1004,MATCH(711,Firms!$U$5:$U$1004,0))&amp;"","")</f>
        <v/>
      </c>
      <c r="C715" s="88">
        <f>IFERROR(IF(INDEX(Firms!$R$5:$R$1004,MATCH(711,Firms!$U$5:$U$1004,0))="","",INDEX(Firms!$R$5:$R$1004,MATCH(711,Firms!$U$5:$U$1004,0))),"")</f>
        <v/>
      </c>
      <c r="D715" s="91">
        <f>IFERROR(INDEX(Firms!$S$5:$S$1004,MATCH(711,Firms!$U$5:$U$1004,0))&amp;"","")</f>
        <v/>
      </c>
      <c r="E715" s="91">
        <f>IFERROR(INDEX(Firms!$C$5:$C$1004,MATCH(711,Firms!$U$5:$U$1004,0))&amp;"","")</f>
        <v/>
      </c>
      <c r="F715" s="79">
        <f>IFERROR(INDEX(Firms!$N$5:$N$1004,MATCH(711,Firms!$U$5:$U$1004,0))&amp;"","")</f>
        <v/>
      </c>
      <c r="G715" s="79">
        <f>IFERROR(INDEX(Firms!$P$5:$P$1004,MATCH(711,Firms!$U$5:$U$1004,0))&amp;"","")</f>
        <v/>
      </c>
      <c r="H715" s="91">
        <f>IFERROR(INDEX(Firms!$T$5:$T$1004,MATCH(711,Firms!$U$5:$U$1004,0))&amp;"","")</f>
        <v/>
      </c>
    </row>
    <row r="716">
      <c r="A716" s="79">
        <f>IF(B716="","",712)</f>
        <v/>
      </c>
      <c r="B716" s="91">
        <f>IFERROR(INDEX(Firms!$A$5:$A$1004,MATCH(712,Firms!$U$5:$U$1004,0))&amp;"","")</f>
        <v/>
      </c>
      <c r="C716" s="88">
        <f>IFERROR(IF(INDEX(Firms!$R$5:$R$1004,MATCH(712,Firms!$U$5:$U$1004,0))="","",INDEX(Firms!$R$5:$R$1004,MATCH(712,Firms!$U$5:$U$1004,0))),"")</f>
        <v/>
      </c>
      <c r="D716" s="91">
        <f>IFERROR(INDEX(Firms!$S$5:$S$1004,MATCH(712,Firms!$U$5:$U$1004,0))&amp;"","")</f>
        <v/>
      </c>
      <c r="E716" s="91">
        <f>IFERROR(INDEX(Firms!$C$5:$C$1004,MATCH(712,Firms!$U$5:$U$1004,0))&amp;"","")</f>
        <v/>
      </c>
      <c r="F716" s="79">
        <f>IFERROR(INDEX(Firms!$N$5:$N$1004,MATCH(712,Firms!$U$5:$U$1004,0))&amp;"","")</f>
        <v/>
      </c>
      <c r="G716" s="79">
        <f>IFERROR(INDEX(Firms!$P$5:$P$1004,MATCH(712,Firms!$U$5:$U$1004,0))&amp;"","")</f>
        <v/>
      </c>
      <c r="H716" s="91">
        <f>IFERROR(INDEX(Firms!$T$5:$T$1004,MATCH(712,Firms!$U$5:$U$1004,0))&amp;"","")</f>
        <v/>
      </c>
    </row>
    <row r="717">
      <c r="A717" s="79">
        <f>IF(B717="","",713)</f>
        <v/>
      </c>
      <c r="B717" s="91">
        <f>IFERROR(INDEX(Firms!$A$5:$A$1004,MATCH(713,Firms!$U$5:$U$1004,0))&amp;"","")</f>
        <v/>
      </c>
      <c r="C717" s="88">
        <f>IFERROR(IF(INDEX(Firms!$R$5:$R$1004,MATCH(713,Firms!$U$5:$U$1004,0))="","",INDEX(Firms!$R$5:$R$1004,MATCH(713,Firms!$U$5:$U$1004,0))),"")</f>
        <v/>
      </c>
      <c r="D717" s="91">
        <f>IFERROR(INDEX(Firms!$S$5:$S$1004,MATCH(713,Firms!$U$5:$U$1004,0))&amp;"","")</f>
        <v/>
      </c>
      <c r="E717" s="91">
        <f>IFERROR(INDEX(Firms!$C$5:$C$1004,MATCH(713,Firms!$U$5:$U$1004,0))&amp;"","")</f>
        <v/>
      </c>
      <c r="F717" s="79">
        <f>IFERROR(INDEX(Firms!$N$5:$N$1004,MATCH(713,Firms!$U$5:$U$1004,0))&amp;"","")</f>
        <v/>
      </c>
      <c r="G717" s="79">
        <f>IFERROR(INDEX(Firms!$P$5:$P$1004,MATCH(713,Firms!$U$5:$U$1004,0))&amp;"","")</f>
        <v/>
      </c>
      <c r="H717" s="91">
        <f>IFERROR(INDEX(Firms!$T$5:$T$1004,MATCH(713,Firms!$U$5:$U$1004,0))&amp;"","")</f>
        <v/>
      </c>
    </row>
    <row r="718">
      <c r="A718" s="79">
        <f>IF(B718="","",714)</f>
        <v/>
      </c>
      <c r="B718" s="91">
        <f>IFERROR(INDEX(Firms!$A$5:$A$1004,MATCH(714,Firms!$U$5:$U$1004,0))&amp;"","")</f>
        <v/>
      </c>
      <c r="C718" s="88">
        <f>IFERROR(IF(INDEX(Firms!$R$5:$R$1004,MATCH(714,Firms!$U$5:$U$1004,0))="","",INDEX(Firms!$R$5:$R$1004,MATCH(714,Firms!$U$5:$U$1004,0))),"")</f>
        <v/>
      </c>
      <c r="D718" s="91">
        <f>IFERROR(INDEX(Firms!$S$5:$S$1004,MATCH(714,Firms!$U$5:$U$1004,0))&amp;"","")</f>
        <v/>
      </c>
      <c r="E718" s="91">
        <f>IFERROR(INDEX(Firms!$C$5:$C$1004,MATCH(714,Firms!$U$5:$U$1004,0))&amp;"","")</f>
        <v/>
      </c>
      <c r="F718" s="79">
        <f>IFERROR(INDEX(Firms!$N$5:$N$1004,MATCH(714,Firms!$U$5:$U$1004,0))&amp;"","")</f>
        <v/>
      </c>
      <c r="G718" s="79">
        <f>IFERROR(INDEX(Firms!$P$5:$P$1004,MATCH(714,Firms!$U$5:$U$1004,0))&amp;"","")</f>
        <v/>
      </c>
      <c r="H718" s="91">
        <f>IFERROR(INDEX(Firms!$T$5:$T$1004,MATCH(714,Firms!$U$5:$U$1004,0))&amp;"","")</f>
        <v/>
      </c>
    </row>
    <row r="719">
      <c r="A719" s="79">
        <f>IF(B719="","",715)</f>
        <v/>
      </c>
      <c r="B719" s="91">
        <f>IFERROR(INDEX(Firms!$A$5:$A$1004,MATCH(715,Firms!$U$5:$U$1004,0))&amp;"","")</f>
        <v/>
      </c>
      <c r="C719" s="88">
        <f>IFERROR(IF(INDEX(Firms!$R$5:$R$1004,MATCH(715,Firms!$U$5:$U$1004,0))="","",INDEX(Firms!$R$5:$R$1004,MATCH(715,Firms!$U$5:$U$1004,0))),"")</f>
        <v/>
      </c>
      <c r="D719" s="91">
        <f>IFERROR(INDEX(Firms!$S$5:$S$1004,MATCH(715,Firms!$U$5:$U$1004,0))&amp;"","")</f>
        <v/>
      </c>
      <c r="E719" s="91">
        <f>IFERROR(INDEX(Firms!$C$5:$C$1004,MATCH(715,Firms!$U$5:$U$1004,0))&amp;"","")</f>
        <v/>
      </c>
      <c r="F719" s="79">
        <f>IFERROR(INDEX(Firms!$N$5:$N$1004,MATCH(715,Firms!$U$5:$U$1004,0))&amp;"","")</f>
        <v/>
      </c>
      <c r="G719" s="79">
        <f>IFERROR(INDEX(Firms!$P$5:$P$1004,MATCH(715,Firms!$U$5:$U$1004,0))&amp;"","")</f>
        <v/>
      </c>
      <c r="H719" s="91">
        <f>IFERROR(INDEX(Firms!$T$5:$T$1004,MATCH(715,Firms!$U$5:$U$1004,0))&amp;"","")</f>
        <v/>
      </c>
    </row>
    <row r="720">
      <c r="A720" s="79">
        <f>IF(B720="","",716)</f>
        <v/>
      </c>
      <c r="B720" s="91">
        <f>IFERROR(INDEX(Firms!$A$5:$A$1004,MATCH(716,Firms!$U$5:$U$1004,0))&amp;"","")</f>
        <v/>
      </c>
      <c r="C720" s="88">
        <f>IFERROR(IF(INDEX(Firms!$R$5:$R$1004,MATCH(716,Firms!$U$5:$U$1004,0))="","",INDEX(Firms!$R$5:$R$1004,MATCH(716,Firms!$U$5:$U$1004,0))),"")</f>
        <v/>
      </c>
      <c r="D720" s="91">
        <f>IFERROR(INDEX(Firms!$S$5:$S$1004,MATCH(716,Firms!$U$5:$U$1004,0))&amp;"","")</f>
        <v/>
      </c>
      <c r="E720" s="91">
        <f>IFERROR(INDEX(Firms!$C$5:$C$1004,MATCH(716,Firms!$U$5:$U$1004,0))&amp;"","")</f>
        <v/>
      </c>
      <c r="F720" s="79">
        <f>IFERROR(INDEX(Firms!$N$5:$N$1004,MATCH(716,Firms!$U$5:$U$1004,0))&amp;"","")</f>
        <v/>
      </c>
      <c r="G720" s="79">
        <f>IFERROR(INDEX(Firms!$P$5:$P$1004,MATCH(716,Firms!$U$5:$U$1004,0))&amp;"","")</f>
        <v/>
      </c>
      <c r="H720" s="91">
        <f>IFERROR(INDEX(Firms!$T$5:$T$1004,MATCH(716,Firms!$U$5:$U$1004,0))&amp;"","")</f>
        <v/>
      </c>
    </row>
    <row r="721">
      <c r="A721" s="79">
        <f>IF(B721="","",717)</f>
        <v/>
      </c>
      <c r="B721" s="91">
        <f>IFERROR(INDEX(Firms!$A$5:$A$1004,MATCH(717,Firms!$U$5:$U$1004,0))&amp;"","")</f>
        <v/>
      </c>
      <c r="C721" s="88">
        <f>IFERROR(IF(INDEX(Firms!$R$5:$R$1004,MATCH(717,Firms!$U$5:$U$1004,0))="","",INDEX(Firms!$R$5:$R$1004,MATCH(717,Firms!$U$5:$U$1004,0))),"")</f>
        <v/>
      </c>
      <c r="D721" s="91">
        <f>IFERROR(INDEX(Firms!$S$5:$S$1004,MATCH(717,Firms!$U$5:$U$1004,0))&amp;"","")</f>
        <v/>
      </c>
      <c r="E721" s="91">
        <f>IFERROR(INDEX(Firms!$C$5:$C$1004,MATCH(717,Firms!$U$5:$U$1004,0))&amp;"","")</f>
        <v/>
      </c>
      <c r="F721" s="79">
        <f>IFERROR(INDEX(Firms!$N$5:$N$1004,MATCH(717,Firms!$U$5:$U$1004,0))&amp;"","")</f>
        <v/>
      </c>
      <c r="G721" s="79">
        <f>IFERROR(INDEX(Firms!$P$5:$P$1004,MATCH(717,Firms!$U$5:$U$1004,0))&amp;"","")</f>
        <v/>
      </c>
      <c r="H721" s="91">
        <f>IFERROR(INDEX(Firms!$T$5:$T$1004,MATCH(717,Firms!$U$5:$U$1004,0))&amp;"","")</f>
        <v/>
      </c>
    </row>
    <row r="722">
      <c r="A722" s="79">
        <f>IF(B722="","",718)</f>
        <v/>
      </c>
      <c r="B722" s="91">
        <f>IFERROR(INDEX(Firms!$A$5:$A$1004,MATCH(718,Firms!$U$5:$U$1004,0))&amp;"","")</f>
        <v/>
      </c>
      <c r="C722" s="88">
        <f>IFERROR(IF(INDEX(Firms!$R$5:$R$1004,MATCH(718,Firms!$U$5:$U$1004,0))="","",INDEX(Firms!$R$5:$R$1004,MATCH(718,Firms!$U$5:$U$1004,0))),"")</f>
        <v/>
      </c>
      <c r="D722" s="91">
        <f>IFERROR(INDEX(Firms!$S$5:$S$1004,MATCH(718,Firms!$U$5:$U$1004,0))&amp;"","")</f>
        <v/>
      </c>
      <c r="E722" s="91">
        <f>IFERROR(INDEX(Firms!$C$5:$C$1004,MATCH(718,Firms!$U$5:$U$1004,0))&amp;"","")</f>
        <v/>
      </c>
      <c r="F722" s="79">
        <f>IFERROR(INDEX(Firms!$N$5:$N$1004,MATCH(718,Firms!$U$5:$U$1004,0))&amp;"","")</f>
        <v/>
      </c>
      <c r="G722" s="79">
        <f>IFERROR(INDEX(Firms!$P$5:$P$1004,MATCH(718,Firms!$U$5:$U$1004,0))&amp;"","")</f>
        <v/>
      </c>
      <c r="H722" s="91">
        <f>IFERROR(INDEX(Firms!$T$5:$T$1004,MATCH(718,Firms!$U$5:$U$1004,0))&amp;"","")</f>
        <v/>
      </c>
    </row>
    <row r="723">
      <c r="A723" s="79">
        <f>IF(B723="","",719)</f>
        <v/>
      </c>
      <c r="B723" s="91">
        <f>IFERROR(INDEX(Firms!$A$5:$A$1004,MATCH(719,Firms!$U$5:$U$1004,0))&amp;"","")</f>
        <v/>
      </c>
      <c r="C723" s="88">
        <f>IFERROR(IF(INDEX(Firms!$R$5:$R$1004,MATCH(719,Firms!$U$5:$U$1004,0))="","",INDEX(Firms!$R$5:$R$1004,MATCH(719,Firms!$U$5:$U$1004,0))),"")</f>
        <v/>
      </c>
      <c r="D723" s="91">
        <f>IFERROR(INDEX(Firms!$S$5:$S$1004,MATCH(719,Firms!$U$5:$U$1004,0))&amp;"","")</f>
        <v/>
      </c>
      <c r="E723" s="91">
        <f>IFERROR(INDEX(Firms!$C$5:$C$1004,MATCH(719,Firms!$U$5:$U$1004,0))&amp;"","")</f>
        <v/>
      </c>
      <c r="F723" s="79">
        <f>IFERROR(INDEX(Firms!$N$5:$N$1004,MATCH(719,Firms!$U$5:$U$1004,0))&amp;"","")</f>
        <v/>
      </c>
      <c r="G723" s="79">
        <f>IFERROR(INDEX(Firms!$P$5:$P$1004,MATCH(719,Firms!$U$5:$U$1004,0))&amp;"","")</f>
        <v/>
      </c>
      <c r="H723" s="91">
        <f>IFERROR(INDEX(Firms!$T$5:$T$1004,MATCH(719,Firms!$U$5:$U$1004,0))&amp;"","")</f>
        <v/>
      </c>
    </row>
    <row r="724">
      <c r="A724" s="79">
        <f>IF(B724="","",720)</f>
        <v/>
      </c>
      <c r="B724" s="91">
        <f>IFERROR(INDEX(Firms!$A$5:$A$1004,MATCH(720,Firms!$U$5:$U$1004,0))&amp;"","")</f>
        <v/>
      </c>
      <c r="C724" s="88">
        <f>IFERROR(IF(INDEX(Firms!$R$5:$R$1004,MATCH(720,Firms!$U$5:$U$1004,0))="","",INDEX(Firms!$R$5:$R$1004,MATCH(720,Firms!$U$5:$U$1004,0))),"")</f>
        <v/>
      </c>
      <c r="D724" s="91">
        <f>IFERROR(INDEX(Firms!$S$5:$S$1004,MATCH(720,Firms!$U$5:$U$1004,0))&amp;"","")</f>
        <v/>
      </c>
      <c r="E724" s="91">
        <f>IFERROR(INDEX(Firms!$C$5:$C$1004,MATCH(720,Firms!$U$5:$U$1004,0))&amp;"","")</f>
        <v/>
      </c>
      <c r="F724" s="79">
        <f>IFERROR(INDEX(Firms!$N$5:$N$1004,MATCH(720,Firms!$U$5:$U$1004,0))&amp;"","")</f>
        <v/>
      </c>
      <c r="G724" s="79">
        <f>IFERROR(INDEX(Firms!$P$5:$P$1004,MATCH(720,Firms!$U$5:$U$1004,0))&amp;"","")</f>
        <v/>
      </c>
      <c r="H724" s="91">
        <f>IFERROR(INDEX(Firms!$T$5:$T$1004,MATCH(720,Firms!$U$5:$U$1004,0))&amp;"","")</f>
        <v/>
      </c>
    </row>
    <row r="725">
      <c r="A725" s="79">
        <f>IF(B725="","",721)</f>
        <v/>
      </c>
      <c r="B725" s="91">
        <f>IFERROR(INDEX(Firms!$A$5:$A$1004,MATCH(721,Firms!$U$5:$U$1004,0))&amp;"","")</f>
        <v/>
      </c>
      <c r="C725" s="88">
        <f>IFERROR(IF(INDEX(Firms!$R$5:$R$1004,MATCH(721,Firms!$U$5:$U$1004,0))="","",INDEX(Firms!$R$5:$R$1004,MATCH(721,Firms!$U$5:$U$1004,0))),"")</f>
        <v/>
      </c>
      <c r="D725" s="91">
        <f>IFERROR(INDEX(Firms!$S$5:$S$1004,MATCH(721,Firms!$U$5:$U$1004,0))&amp;"","")</f>
        <v/>
      </c>
      <c r="E725" s="91">
        <f>IFERROR(INDEX(Firms!$C$5:$C$1004,MATCH(721,Firms!$U$5:$U$1004,0))&amp;"","")</f>
        <v/>
      </c>
      <c r="F725" s="79">
        <f>IFERROR(INDEX(Firms!$N$5:$N$1004,MATCH(721,Firms!$U$5:$U$1004,0))&amp;"","")</f>
        <v/>
      </c>
      <c r="G725" s="79">
        <f>IFERROR(INDEX(Firms!$P$5:$P$1004,MATCH(721,Firms!$U$5:$U$1004,0))&amp;"","")</f>
        <v/>
      </c>
      <c r="H725" s="91">
        <f>IFERROR(INDEX(Firms!$T$5:$T$1004,MATCH(721,Firms!$U$5:$U$1004,0))&amp;"","")</f>
        <v/>
      </c>
    </row>
    <row r="726">
      <c r="A726" s="79">
        <f>IF(B726="","",722)</f>
        <v/>
      </c>
      <c r="B726" s="91">
        <f>IFERROR(INDEX(Firms!$A$5:$A$1004,MATCH(722,Firms!$U$5:$U$1004,0))&amp;"","")</f>
        <v/>
      </c>
      <c r="C726" s="88">
        <f>IFERROR(IF(INDEX(Firms!$R$5:$R$1004,MATCH(722,Firms!$U$5:$U$1004,0))="","",INDEX(Firms!$R$5:$R$1004,MATCH(722,Firms!$U$5:$U$1004,0))),"")</f>
        <v/>
      </c>
      <c r="D726" s="91">
        <f>IFERROR(INDEX(Firms!$S$5:$S$1004,MATCH(722,Firms!$U$5:$U$1004,0))&amp;"","")</f>
        <v/>
      </c>
      <c r="E726" s="91">
        <f>IFERROR(INDEX(Firms!$C$5:$C$1004,MATCH(722,Firms!$U$5:$U$1004,0))&amp;"","")</f>
        <v/>
      </c>
      <c r="F726" s="79">
        <f>IFERROR(INDEX(Firms!$N$5:$N$1004,MATCH(722,Firms!$U$5:$U$1004,0))&amp;"","")</f>
        <v/>
      </c>
      <c r="G726" s="79">
        <f>IFERROR(INDEX(Firms!$P$5:$P$1004,MATCH(722,Firms!$U$5:$U$1004,0))&amp;"","")</f>
        <v/>
      </c>
      <c r="H726" s="91">
        <f>IFERROR(INDEX(Firms!$T$5:$T$1004,MATCH(722,Firms!$U$5:$U$1004,0))&amp;"","")</f>
        <v/>
      </c>
    </row>
    <row r="727">
      <c r="A727" s="79">
        <f>IF(B727="","",723)</f>
        <v/>
      </c>
      <c r="B727" s="91">
        <f>IFERROR(INDEX(Firms!$A$5:$A$1004,MATCH(723,Firms!$U$5:$U$1004,0))&amp;"","")</f>
        <v/>
      </c>
      <c r="C727" s="88">
        <f>IFERROR(IF(INDEX(Firms!$R$5:$R$1004,MATCH(723,Firms!$U$5:$U$1004,0))="","",INDEX(Firms!$R$5:$R$1004,MATCH(723,Firms!$U$5:$U$1004,0))),"")</f>
        <v/>
      </c>
      <c r="D727" s="91">
        <f>IFERROR(INDEX(Firms!$S$5:$S$1004,MATCH(723,Firms!$U$5:$U$1004,0))&amp;"","")</f>
        <v/>
      </c>
      <c r="E727" s="91">
        <f>IFERROR(INDEX(Firms!$C$5:$C$1004,MATCH(723,Firms!$U$5:$U$1004,0))&amp;"","")</f>
        <v/>
      </c>
      <c r="F727" s="79">
        <f>IFERROR(INDEX(Firms!$N$5:$N$1004,MATCH(723,Firms!$U$5:$U$1004,0))&amp;"","")</f>
        <v/>
      </c>
      <c r="G727" s="79">
        <f>IFERROR(INDEX(Firms!$P$5:$P$1004,MATCH(723,Firms!$U$5:$U$1004,0))&amp;"","")</f>
        <v/>
      </c>
      <c r="H727" s="91">
        <f>IFERROR(INDEX(Firms!$T$5:$T$1004,MATCH(723,Firms!$U$5:$U$1004,0))&amp;"","")</f>
        <v/>
      </c>
    </row>
    <row r="728">
      <c r="A728" s="79">
        <f>IF(B728="","",724)</f>
        <v/>
      </c>
      <c r="B728" s="91">
        <f>IFERROR(INDEX(Firms!$A$5:$A$1004,MATCH(724,Firms!$U$5:$U$1004,0))&amp;"","")</f>
        <v/>
      </c>
      <c r="C728" s="88">
        <f>IFERROR(IF(INDEX(Firms!$R$5:$R$1004,MATCH(724,Firms!$U$5:$U$1004,0))="","",INDEX(Firms!$R$5:$R$1004,MATCH(724,Firms!$U$5:$U$1004,0))),"")</f>
        <v/>
      </c>
      <c r="D728" s="91">
        <f>IFERROR(INDEX(Firms!$S$5:$S$1004,MATCH(724,Firms!$U$5:$U$1004,0))&amp;"","")</f>
        <v/>
      </c>
      <c r="E728" s="91">
        <f>IFERROR(INDEX(Firms!$C$5:$C$1004,MATCH(724,Firms!$U$5:$U$1004,0))&amp;"","")</f>
        <v/>
      </c>
      <c r="F728" s="79">
        <f>IFERROR(INDEX(Firms!$N$5:$N$1004,MATCH(724,Firms!$U$5:$U$1004,0))&amp;"","")</f>
        <v/>
      </c>
      <c r="G728" s="79">
        <f>IFERROR(INDEX(Firms!$P$5:$P$1004,MATCH(724,Firms!$U$5:$U$1004,0))&amp;"","")</f>
        <v/>
      </c>
      <c r="H728" s="91">
        <f>IFERROR(INDEX(Firms!$T$5:$T$1004,MATCH(724,Firms!$U$5:$U$1004,0))&amp;"","")</f>
        <v/>
      </c>
    </row>
    <row r="729">
      <c r="A729" s="79">
        <f>IF(B729="","",725)</f>
        <v/>
      </c>
      <c r="B729" s="91">
        <f>IFERROR(INDEX(Firms!$A$5:$A$1004,MATCH(725,Firms!$U$5:$U$1004,0))&amp;"","")</f>
        <v/>
      </c>
      <c r="C729" s="88">
        <f>IFERROR(IF(INDEX(Firms!$R$5:$R$1004,MATCH(725,Firms!$U$5:$U$1004,0))="","",INDEX(Firms!$R$5:$R$1004,MATCH(725,Firms!$U$5:$U$1004,0))),"")</f>
        <v/>
      </c>
      <c r="D729" s="91">
        <f>IFERROR(INDEX(Firms!$S$5:$S$1004,MATCH(725,Firms!$U$5:$U$1004,0))&amp;"","")</f>
        <v/>
      </c>
      <c r="E729" s="91">
        <f>IFERROR(INDEX(Firms!$C$5:$C$1004,MATCH(725,Firms!$U$5:$U$1004,0))&amp;"","")</f>
        <v/>
      </c>
      <c r="F729" s="79">
        <f>IFERROR(INDEX(Firms!$N$5:$N$1004,MATCH(725,Firms!$U$5:$U$1004,0))&amp;"","")</f>
        <v/>
      </c>
      <c r="G729" s="79">
        <f>IFERROR(INDEX(Firms!$P$5:$P$1004,MATCH(725,Firms!$U$5:$U$1004,0))&amp;"","")</f>
        <v/>
      </c>
      <c r="H729" s="91">
        <f>IFERROR(INDEX(Firms!$T$5:$T$1004,MATCH(725,Firms!$U$5:$U$1004,0))&amp;"","")</f>
        <v/>
      </c>
    </row>
    <row r="730">
      <c r="A730" s="79">
        <f>IF(B730="","",726)</f>
        <v/>
      </c>
      <c r="B730" s="91">
        <f>IFERROR(INDEX(Firms!$A$5:$A$1004,MATCH(726,Firms!$U$5:$U$1004,0))&amp;"","")</f>
        <v/>
      </c>
      <c r="C730" s="88">
        <f>IFERROR(IF(INDEX(Firms!$R$5:$R$1004,MATCH(726,Firms!$U$5:$U$1004,0))="","",INDEX(Firms!$R$5:$R$1004,MATCH(726,Firms!$U$5:$U$1004,0))),"")</f>
        <v/>
      </c>
      <c r="D730" s="91">
        <f>IFERROR(INDEX(Firms!$S$5:$S$1004,MATCH(726,Firms!$U$5:$U$1004,0))&amp;"","")</f>
        <v/>
      </c>
      <c r="E730" s="91">
        <f>IFERROR(INDEX(Firms!$C$5:$C$1004,MATCH(726,Firms!$U$5:$U$1004,0))&amp;"","")</f>
        <v/>
      </c>
      <c r="F730" s="79">
        <f>IFERROR(INDEX(Firms!$N$5:$N$1004,MATCH(726,Firms!$U$5:$U$1004,0))&amp;"","")</f>
        <v/>
      </c>
      <c r="G730" s="79">
        <f>IFERROR(INDEX(Firms!$P$5:$P$1004,MATCH(726,Firms!$U$5:$U$1004,0))&amp;"","")</f>
        <v/>
      </c>
      <c r="H730" s="91">
        <f>IFERROR(INDEX(Firms!$T$5:$T$1004,MATCH(726,Firms!$U$5:$U$1004,0))&amp;"","")</f>
        <v/>
      </c>
    </row>
    <row r="731">
      <c r="A731" s="79">
        <f>IF(B731="","",727)</f>
        <v/>
      </c>
      <c r="B731" s="91">
        <f>IFERROR(INDEX(Firms!$A$5:$A$1004,MATCH(727,Firms!$U$5:$U$1004,0))&amp;"","")</f>
        <v/>
      </c>
      <c r="C731" s="88">
        <f>IFERROR(IF(INDEX(Firms!$R$5:$R$1004,MATCH(727,Firms!$U$5:$U$1004,0))="","",INDEX(Firms!$R$5:$R$1004,MATCH(727,Firms!$U$5:$U$1004,0))),"")</f>
        <v/>
      </c>
      <c r="D731" s="91">
        <f>IFERROR(INDEX(Firms!$S$5:$S$1004,MATCH(727,Firms!$U$5:$U$1004,0))&amp;"","")</f>
        <v/>
      </c>
      <c r="E731" s="91">
        <f>IFERROR(INDEX(Firms!$C$5:$C$1004,MATCH(727,Firms!$U$5:$U$1004,0))&amp;"","")</f>
        <v/>
      </c>
      <c r="F731" s="79">
        <f>IFERROR(INDEX(Firms!$N$5:$N$1004,MATCH(727,Firms!$U$5:$U$1004,0))&amp;"","")</f>
        <v/>
      </c>
      <c r="G731" s="79">
        <f>IFERROR(INDEX(Firms!$P$5:$P$1004,MATCH(727,Firms!$U$5:$U$1004,0))&amp;"","")</f>
        <v/>
      </c>
      <c r="H731" s="91">
        <f>IFERROR(INDEX(Firms!$T$5:$T$1004,MATCH(727,Firms!$U$5:$U$1004,0))&amp;"","")</f>
        <v/>
      </c>
    </row>
    <row r="732">
      <c r="A732" s="79">
        <f>IF(B732="","",728)</f>
        <v/>
      </c>
      <c r="B732" s="91">
        <f>IFERROR(INDEX(Firms!$A$5:$A$1004,MATCH(728,Firms!$U$5:$U$1004,0))&amp;"","")</f>
        <v/>
      </c>
      <c r="C732" s="88">
        <f>IFERROR(IF(INDEX(Firms!$R$5:$R$1004,MATCH(728,Firms!$U$5:$U$1004,0))="","",INDEX(Firms!$R$5:$R$1004,MATCH(728,Firms!$U$5:$U$1004,0))),"")</f>
        <v/>
      </c>
      <c r="D732" s="91">
        <f>IFERROR(INDEX(Firms!$S$5:$S$1004,MATCH(728,Firms!$U$5:$U$1004,0))&amp;"","")</f>
        <v/>
      </c>
      <c r="E732" s="91">
        <f>IFERROR(INDEX(Firms!$C$5:$C$1004,MATCH(728,Firms!$U$5:$U$1004,0))&amp;"","")</f>
        <v/>
      </c>
      <c r="F732" s="79">
        <f>IFERROR(INDEX(Firms!$N$5:$N$1004,MATCH(728,Firms!$U$5:$U$1004,0))&amp;"","")</f>
        <v/>
      </c>
      <c r="G732" s="79">
        <f>IFERROR(INDEX(Firms!$P$5:$P$1004,MATCH(728,Firms!$U$5:$U$1004,0))&amp;"","")</f>
        <v/>
      </c>
      <c r="H732" s="91">
        <f>IFERROR(INDEX(Firms!$T$5:$T$1004,MATCH(728,Firms!$U$5:$U$1004,0))&amp;"","")</f>
        <v/>
      </c>
    </row>
    <row r="733">
      <c r="A733" s="79">
        <f>IF(B733="","",729)</f>
        <v/>
      </c>
      <c r="B733" s="91">
        <f>IFERROR(INDEX(Firms!$A$5:$A$1004,MATCH(729,Firms!$U$5:$U$1004,0))&amp;"","")</f>
        <v/>
      </c>
      <c r="C733" s="88">
        <f>IFERROR(IF(INDEX(Firms!$R$5:$R$1004,MATCH(729,Firms!$U$5:$U$1004,0))="","",INDEX(Firms!$R$5:$R$1004,MATCH(729,Firms!$U$5:$U$1004,0))),"")</f>
        <v/>
      </c>
      <c r="D733" s="91">
        <f>IFERROR(INDEX(Firms!$S$5:$S$1004,MATCH(729,Firms!$U$5:$U$1004,0))&amp;"","")</f>
        <v/>
      </c>
      <c r="E733" s="91">
        <f>IFERROR(INDEX(Firms!$C$5:$C$1004,MATCH(729,Firms!$U$5:$U$1004,0))&amp;"","")</f>
        <v/>
      </c>
      <c r="F733" s="79">
        <f>IFERROR(INDEX(Firms!$N$5:$N$1004,MATCH(729,Firms!$U$5:$U$1004,0))&amp;"","")</f>
        <v/>
      </c>
      <c r="G733" s="79">
        <f>IFERROR(INDEX(Firms!$P$5:$P$1004,MATCH(729,Firms!$U$5:$U$1004,0))&amp;"","")</f>
        <v/>
      </c>
      <c r="H733" s="91">
        <f>IFERROR(INDEX(Firms!$T$5:$T$1004,MATCH(729,Firms!$U$5:$U$1004,0))&amp;"","")</f>
        <v/>
      </c>
    </row>
    <row r="734">
      <c r="A734" s="79">
        <f>IF(B734="","",730)</f>
        <v/>
      </c>
      <c r="B734" s="91">
        <f>IFERROR(INDEX(Firms!$A$5:$A$1004,MATCH(730,Firms!$U$5:$U$1004,0))&amp;"","")</f>
        <v/>
      </c>
      <c r="C734" s="88">
        <f>IFERROR(IF(INDEX(Firms!$R$5:$R$1004,MATCH(730,Firms!$U$5:$U$1004,0))="","",INDEX(Firms!$R$5:$R$1004,MATCH(730,Firms!$U$5:$U$1004,0))),"")</f>
        <v/>
      </c>
      <c r="D734" s="91">
        <f>IFERROR(INDEX(Firms!$S$5:$S$1004,MATCH(730,Firms!$U$5:$U$1004,0))&amp;"","")</f>
        <v/>
      </c>
      <c r="E734" s="91">
        <f>IFERROR(INDEX(Firms!$C$5:$C$1004,MATCH(730,Firms!$U$5:$U$1004,0))&amp;"","")</f>
        <v/>
      </c>
      <c r="F734" s="79">
        <f>IFERROR(INDEX(Firms!$N$5:$N$1004,MATCH(730,Firms!$U$5:$U$1004,0))&amp;"","")</f>
        <v/>
      </c>
      <c r="G734" s="79">
        <f>IFERROR(INDEX(Firms!$P$5:$P$1004,MATCH(730,Firms!$U$5:$U$1004,0))&amp;"","")</f>
        <v/>
      </c>
      <c r="H734" s="91">
        <f>IFERROR(INDEX(Firms!$T$5:$T$1004,MATCH(730,Firms!$U$5:$U$1004,0))&amp;"","")</f>
        <v/>
      </c>
    </row>
    <row r="735">
      <c r="A735" s="79">
        <f>IF(B735="","",731)</f>
        <v/>
      </c>
      <c r="B735" s="91">
        <f>IFERROR(INDEX(Firms!$A$5:$A$1004,MATCH(731,Firms!$U$5:$U$1004,0))&amp;"","")</f>
        <v/>
      </c>
      <c r="C735" s="88">
        <f>IFERROR(IF(INDEX(Firms!$R$5:$R$1004,MATCH(731,Firms!$U$5:$U$1004,0))="","",INDEX(Firms!$R$5:$R$1004,MATCH(731,Firms!$U$5:$U$1004,0))),"")</f>
        <v/>
      </c>
      <c r="D735" s="91">
        <f>IFERROR(INDEX(Firms!$S$5:$S$1004,MATCH(731,Firms!$U$5:$U$1004,0))&amp;"","")</f>
        <v/>
      </c>
      <c r="E735" s="91">
        <f>IFERROR(INDEX(Firms!$C$5:$C$1004,MATCH(731,Firms!$U$5:$U$1004,0))&amp;"","")</f>
        <v/>
      </c>
      <c r="F735" s="79">
        <f>IFERROR(INDEX(Firms!$N$5:$N$1004,MATCH(731,Firms!$U$5:$U$1004,0))&amp;"","")</f>
        <v/>
      </c>
      <c r="G735" s="79">
        <f>IFERROR(INDEX(Firms!$P$5:$P$1004,MATCH(731,Firms!$U$5:$U$1004,0))&amp;"","")</f>
        <v/>
      </c>
      <c r="H735" s="91">
        <f>IFERROR(INDEX(Firms!$T$5:$T$1004,MATCH(731,Firms!$U$5:$U$1004,0))&amp;"","")</f>
        <v/>
      </c>
    </row>
    <row r="736">
      <c r="A736" s="79">
        <f>IF(B736="","",732)</f>
        <v/>
      </c>
      <c r="B736" s="91">
        <f>IFERROR(INDEX(Firms!$A$5:$A$1004,MATCH(732,Firms!$U$5:$U$1004,0))&amp;"","")</f>
        <v/>
      </c>
      <c r="C736" s="88">
        <f>IFERROR(IF(INDEX(Firms!$R$5:$R$1004,MATCH(732,Firms!$U$5:$U$1004,0))="","",INDEX(Firms!$R$5:$R$1004,MATCH(732,Firms!$U$5:$U$1004,0))),"")</f>
        <v/>
      </c>
      <c r="D736" s="91">
        <f>IFERROR(INDEX(Firms!$S$5:$S$1004,MATCH(732,Firms!$U$5:$U$1004,0))&amp;"","")</f>
        <v/>
      </c>
      <c r="E736" s="91">
        <f>IFERROR(INDEX(Firms!$C$5:$C$1004,MATCH(732,Firms!$U$5:$U$1004,0))&amp;"","")</f>
        <v/>
      </c>
      <c r="F736" s="79">
        <f>IFERROR(INDEX(Firms!$N$5:$N$1004,MATCH(732,Firms!$U$5:$U$1004,0))&amp;"","")</f>
        <v/>
      </c>
      <c r="G736" s="79">
        <f>IFERROR(INDEX(Firms!$P$5:$P$1004,MATCH(732,Firms!$U$5:$U$1004,0))&amp;"","")</f>
        <v/>
      </c>
      <c r="H736" s="91">
        <f>IFERROR(INDEX(Firms!$T$5:$T$1004,MATCH(732,Firms!$U$5:$U$1004,0))&amp;"","")</f>
        <v/>
      </c>
    </row>
    <row r="737">
      <c r="A737" s="79">
        <f>IF(B737="","",733)</f>
        <v/>
      </c>
      <c r="B737" s="91">
        <f>IFERROR(INDEX(Firms!$A$5:$A$1004,MATCH(733,Firms!$U$5:$U$1004,0))&amp;"","")</f>
        <v/>
      </c>
      <c r="C737" s="88">
        <f>IFERROR(IF(INDEX(Firms!$R$5:$R$1004,MATCH(733,Firms!$U$5:$U$1004,0))="","",INDEX(Firms!$R$5:$R$1004,MATCH(733,Firms!$U$5:$U$1004,0))),"")</f>
        <v/>
      </c>
      <c r="D737" s="91">
        <f>IFERROR(INDEX(Firms!$S$5:$S$1004,MATCH(733,Firms!$U$5:$U$1004,0))&amp;"","")</f>
        <v/>
      </c>
      <c r="E737" s="91">
        <f>IFERROR(INDEX(Firms!$C$5:$C$1004,MATCH(733,Firms!$U$5:$U$1004,0))&amp;"","")</f>
        <v/>
      </c>
      <c r="F737" s="79">
        <f>IFERROR(INDEX(Firms!$N$5:$N$1004,MATCH(733,Firms!$U$5:$U$1004,0))&amp;"","")</f>
        <v/>
      </c>
      <c r="G737" s="79">
        <f>IFERROR(INDEX(Firms!$P$5:$P$1004,MATCH(733,Firms!$U$5:$U$1004,0))&amp;"","")</f>
        <v/>
      </c>
      <c r="H737" s="91">
        <f>IFERROR(INDEX(Firms!$T$5:$T$1004,MATCH(733,Firms!$U$5:$U$1004,0))&amp;"","")</f>
        <v/>
      </c>
    </row>
    <row r="738">
      <c r="A738" s="79">
        <f>IF(B738="","",734)</f>
        <v/>
      </c>
      <c r="B738" s="91">
        <f>IFERROR(INDEX(Firms!$A$5:$A$1004,MATCH(734,Firms!$U$5:$U$1004,0))&amp;"","")</f>
        <v/>
      </c>
      <c r="C738" s="88">
        <f>IFERROR(IF(INDEX(Firms!$R$5:$R$1004,MATCH(734,Firms!$U$5:$U$1004,0))="","",INDEX(Firms!$R$5:$R$1004,MATCH(734,Firms!$U$5:$U$1004,0))),"")</f>
        <v/>
      </c>
      <c r="D738" s="91">
        <f>IFERROR(INDEX(Firms!$S$5:$S$1004,MATCH(734,Firms!$U$5:$U$1004,0))&amp;"","")</f>
        <v/>
      </c>
      <c r="E738" s="91">
        <f>IFERROR(INDEX(Firms!$C$5:$C$1004,MATCH(734,Firms!$U$5:$U$1004,0))&amp;"","")</f>
        <v/>
      </c>
      <c r="F738" s="79">
        <f>IFERROR(INDEX(Firms!$N$5:$N$1004,MATCH(734,Firms!$U$5:$U$1004,0))&amp;"","")</f>
        <v/>
      </c>
      <c r="G738" s="79">
        <f>IFERROR(INDEX(Firms!$P$5:$P$1004,MATCH(734,Firms!$U$5:$U$1004,0))&amp;"","")</f>
        <v/>
      </c>
      <c r="H738" s="91">
        <f>IFERROR(INDEX(Firms!$T$5:$T$1004,MATCH(734,Firms!$U$5:$U$1004,0))&amp;"","")</f>
        <v/>
      </c>
    </row>
    <row r="739">
      <c r="A739" s="79">
        <f>IF(B739="","",735)</f>
        <v/>
      </c>
      <c r="B739" s="91">
        <f>IFERROR(INDEX(Firms!$A$5:$A$1004,MATCH(735,Firms!$U$5:$U$1004,0))&amp;"","")</f>
        <v/>
      </c>
      <c r="C739" s="88">
        <f>IFERROR(IF(INDEX(Firms!$R$5:$R$1004,MATCH(735,Firms!$U$5:$U$1004,0))="","",INDEX(Firms!$R$5:$R$1004,MATCH(735,Firms!$U$5:$U$1004,0))),"")</f>
        <v/>
      </c>
      <c r="D739" s="91">
        <f>IFERROR(INDEX(Firms!$S$5:$S$1004,MATCH(735,Firms!$U$5:$U$1004,0))&amp;"","")</f>
        <v/>
      </c>
      <c r="E739" s="91">
        <f>IFERROR(INDEX(Firms!$C$5:$C$1004,MATCH(735,Firms!$U$5:$U$1004,0))&amp;"","")</f>
        <v/>
      </c>
      <c r="F739" s="79">
        <f>IFERROR(INDEX(Firms!$N$5:$N$1004,MATCH(735,Firms!$U$5:$U$1004,0))&amp;"","")</f>
        <v/>
      </c>
      <c r="G739" s="79">
        <f>IFERROR(INDEX(Firms!$P$5:$P$1004,MATCH(735,Firms!$U$5:$U$1004,0))&amp;"","")</f>
        <v/>
      </c>
      <c r="H739" s="91">
        <f>IFERROR(INDEX(Firms!$T$5:$T$1004,MATCH(735,Firms!$U$5:$U$1004,0))&amp;"","")</f>
        <v/>
      </c>
    </row>
    <row r="740">
      <c r="A740" s="79">
        <f>IF(B740="","",736)</f>
        <v/>
      </c>
      <c r="B740" s="91">
        <f>IFERROR(INDEX(Firms!$A$5:$A$1004,MATCH(736,Firms!$U$5:$U$1004,0))&amp;"","")</f>
        <v/>
      </c>
      <c r="C740" s="88">
        <f>IFERROR(IF(INDEX(Firms!$R$5:$R$1004,MATCH(736,Firms!$U$5:$U$1004,0))="","",INDEX(Firms!$R$5:$R$1004,MATCH(736,Firms!$U$5:$U$1004,0))),"")</f>
        <v/>
      </c>
      <c r="D740" s="91">
        <f>IFERROR(INDEX(Firms!$S$5:$S$1004,MATCH(736,Firms!$U$5:$U$1004,0))&amp;"","")</f>
        <v/>
      </c>
      <c r="E740" s="91">
        <f>IFERROR(INDEX(Firms!$C$5:$C$1004,MATCH(736,Firms!$U$5:$U$1004,0))&amp;"","")</f>
        <v/>
      </c>
      <c r="F740" s="79">
        <f>IFERROR(INDEX(Firms!$N$5:$N$1004,MATCH(736,Firms!$U$5:$U$1004,0))&amp;"","")</f>
        <v/>
      </c>
      <c r="G740" s="79">
        <f>IFERROR(INDEX(Firms!$P$5:$P$1004,MATCH(736,Firms!$U$5:$U$1004,0))&amp;"","")</f>
        <v/>
      </c>
      <c r="H740" s="91">
        <f>IFERROR(INDEX(Firms!$T$5:$T$1004,MATCH(736,Firms!$U$5:$U$1004,0))&amp;"","")</f>
        <v/>
      </c>
    </row>
    <row r="741">
      <c r="A741" s="79">
        <f>IF(B741="","",737)</f>
        <v/>
      </c>
      <c r="B741" s="91">
        <f>IFERROR(INDEX(Firms!$A$5:$A$1004,MATCH(737,Firms!$U$5:$U$1004,0))&amp;"","")</f>
        <v/>
      </c>
      <c r="C741" s="88">
        <f>IFERROR(IF(INDEX(Firms!$R$5:$R$1004,MATCH(737,Firms!$U$5:$U$1004,0))="","",INDEX(Firms!$R$5:$R$1004,MATCH(737,Firms!$U$5:$U$1004,0))),"")</f>
        <v/>
      </c>
      <c r="D741" s="91">
        <f>IFERROR(INDEX(Firms!$S$5:$S$1004,MATCH(737,Firms!$U$5:$U$1004,0))&amp;"","")</f>
        <v/>
      </c>
      <c r="E741" s="91">
        <f>IFERROR(INDEX(Firms!$C$5:$C$1004,MATCH(737,Firms!$U$5:$U$1004,0))&amp;"","")</f>
        <v/>
      </c>
      <c r="F741" s="79">
        <f>IFERROR(INDEX(Firms!$N$5:$N$1004,MATCH(737,Firms!$U$5:$U$1004,0))&amp;"","")</f>
        <v/>
      </c>
      <c r="G741" s="79">
        <f>IFERROR(INDEX(Firms!$P$5:$P$1004,MATCH(737,Firms!$U$5:$U$1004,0))&amp;"","")</f>
        <v/>
      </c>
      <c r="H741" s="91">
        <f>IFERROR(INDEX(Firms!$T$5:$T$1004,MATCH(737,Firms!$U$5:$U$1004,0))&amp;"","")</f>
        <v/>
      </c>
    </row>
    <row r="742">
      <c r="A742" s="79">
        <f>IF(B742="","",738)</f>
        <v/>
      </c>
      <c r="B742" s="91">
        <f>IFERROR(INDEX(Firms!$A$5:$A$1004,MATCH(738,Firms!$U$5:$U$1004,0))&amp;"","")</f>
        <v/>
      </c>
      <c r="C742" s="88">
        <f>IFERROR(IF(INDEX(Firms!$R$5:$R$1004,MATCH(738,Firms!$U$5:$U$1004,0))="","",INDEX(Firms!$R$5:$R$1004,MATCH(738,Firms!$U$5:$U$1004,0))),"")</f>
        <v/>
      </c>
      <c r="D742" s="91">
        <f>IFERROR(INDEX(Firms!$S$5:$S$1004,MATCH(738,Firms!$U$5:$U$1004,0))&amp;"","")</f>
        <v/>
      </c>
      <c r="E742" s="91">
        <f>IFERROR(INDEX(Firms!$C$5:$C$1004,MATCH(738,Firms!$U$5:$U$1004,0))&amp;"","")</f>
        <v/>
      </c>
      <c r="F742" s="79">
        <f>IFERROR(INDEX(Firms!$N$5:$N$1004,MATCH(738,Firms!$U$5:$U$1004,0))&amp;"","")</f>
        <v/>
      </c>
      <c r="G742" s="79">
        <f>IFERROR(INDEX(Firms!$P$5:$P$1004,MATCH(738,Firms!$U$5:$U$1004,0))&amp;"","")</f>
        <v/>
      </c>
      <c r="H742" s="91">
        <f>IFERROR(INDEX(Firms!$T$5:$T$1004,MATCH(738,Firms!$U$5:$U$1004,0))&amp;"","")</f>
        <v/>
      </c>
    </row>
    <row r="743">
      <c r="A743" s="79">
        <f>IF(B743="","",739)</f>
        <v/>
      </c>
      <c r="B743" s="91">
        <f>IFERROR(INDEX(Firms!$A$5:$A$1004,MATCH(739,Firms!$U$5:$U$1004,0))&amp;"","")</f>
        <v/>
      </c>
      <c r="C743" s="88">
        <f>IFERROR(IF(INDEX(Firms!$R$5:$R$1004,MATCH(739,Firms!$U$5:$U$1004,0))="","",INDEX(Firms!$R$5:$R$1004,MATCH(739,Firms!$U$5:$U$1004,0))),"")</f>
        <v/>
      </c>
      <c r="D743" s="91">
        <f>IFERROR(INDEX(Firms!$S$5:$S$1004,MATCH(739,Firms!$U$5:$U$1004,0))&amp;"","")</f>
        <v/>
      </c>
      <c r="E743" s="91">
        <f>IFERROR(INDEX(Firms!$C$5:$C$1004,MATCH(739,Firms!$U$5:$U$1004,0))&amp;"","")</f>
        <v/>
      </c>
      <c r="F743" s="79">
        <f>IFERROR(INDEX(Firms!$N$5:$N$1004,MATCH(739,Firms!$U$5:$U$1004,0))&amp;"","")</f>
        <v/>
      </c>
      <c r="G743" s="79">
        <f>IFERROR(INDEX(Firms!$P$5:$P$1004,MATCH(739,Firms!$U$5:$U$1004,0))&amp;"","")</f>
        <v/>
      </c>
      <c r="H743" s="91">
        <f>IFERROR(INDEX(Firms!$T$5:$T$1004,MATCH(739,Firms!$U$5:$U$1004,0))&amp;"","")</f>
        <v/>
      </c>
    </row>
    <row r="744">
      <c r="A744" s="79">
        <f>IF(B744="","",740)</f>
        <v/>
      </c>
      <c r="B744" s="91">
        <f>IFERROR(INDEX(Firms!$A$5:$A$1004,MATCH(740,Firms!$U$5:$U$1004,0))&amp;"","")</f>
        <v/>
      </c>
      <c r="C744" s="88">
        <f>IFERROR(IF(INDEX(Firms!$R$5:$R$1004,MATCH(740,Firms!$U$5:$U$1004,0))="","",INDEX(Firms!$R$5:$R$1004,MATCH(740,Firms!$U$5:$U$1004,0))),"")</f>
        <v/>
      </c>
      <c r="D744" s="91">
        <f>IFERROR(INDEX(Firms!$S$5:$S$1004,MATCH(740,Firms!$U$5:$U$1004,0))&amp;"","")</f>
        <v/>
      </c>
      <c r="E744" s="91">
        <f>IFERROR(INDEX(Firms!$C$5:$C$1004,MATCH(740,Firms!$U$5:$U$1004,0))&amp;"","")</f>
        <v/>
      </c>
      <c r="F744" s="79">
        <f>IFERROR(INDEX(Firms!$N$5:$N$1004,MATCH(740,Firms!$U$5:$U$1004,0))&amp;"","")</f>
        <v/>
      </c>
      <c r="G744" s="79">
        <f>IFERROR(INDEX(Firms!$P$5:$P$1004,MATCH(740,Firms!$U$5:$U$1004,0))&amp;"","")</f>
        <v/>
      </c>
      <c r="H744" s="91">
        <f>IFERROR(INDEX(Firms!$T$5:$T$1004,MATCH(740,Firms!$U$5:$U$1004,0))&amp;"","")</f>
        <v/>
      </c>
    </row>
    <row r="745">
      <c r="A745" s="79">
        <f>IF(B745="","",741)</f>
        <v/>
      </c>
      <c r="B745" s="91">
        <f>IFERROR(INDEX(Firms!$A$5:$A$1004,MATCH(741,Firms!$U$5:$U$1004,0))&amp;"","")</f>
        <v/>
      </c>
      <c r="C745" s="88">
        <f>IFERROR(IF(INDEX(Firms!$R$5:$R$1004,MATCH(741,Firms!$U$5:$U$1004,0))="","",INDEX(Firms!$R$5:$R$1004,MATCH(741,Firms!$U$5:$U$1004,0))),"")</f>
        <v/>
      </c>
      <c r="D745" s="91">
        <f>IFERROR(INDEX(Firms!$S$5:$S$1004,MATCH(741,Firms!$U$5:$U$1004,0))&amp;"","")</f>
        <v/>
      </c>
      <c r="E745" s="91">
        <f>IFERROR(INDEX(Firms!$C$5:$C$1004,MATCH(741,Firms!$U$5:$U$1004,0))&amp;"","")</f>
        <v/>
      </c>
      <c r="F745" s="79">
        <f>IFERROR(INDEX(Firms!$N$5:$N$1004,MATCH(741,Firms!$U$5:$U$1004,0))&amp;"","")</f>
        <v/>
      </c>
      <c r="G745" s="79">
        <f>IFERROR(INDEX(Firms!$P$5:$P$1004,MATCH(741,Firms!$U$5:$U$1004,0))&amp;"","")</f>
        <v/>
      </c>
      <c r="H745" s="91">
        <f>IFERROR(INDEX(Firms!$T$5:$T$1004,MATCH(741,Firms!$U$5:$U$1004,0))&amp;"","")</f>
        <v/>
      </c>
    </row>
    <row r="746">
      <c r="A746" s="79">
        <f>IF(B746="","",742)</f>
        <v/>
      </c>
      <c r="B746" s="91">
        <f>IFERROR(INDEX(Firms!$A$5:$A$1004,MATCH(742,Firms!$U$5:$U$1004,0))&amp;"","")</f>
        <v/>
      </c>
      <c r="C746" s="88">
        <f>IFERROR(IF(INDEX(Firms!$R$5:$R$1004,MATCH(742,Firms!$U$5:$U$1004,0))="","",INDEX(Firms!$R$5:$R$1004,MATCH(742,Firms!$U$5:$U$1004,0))),"")</f>
        <v/>
      </c>
      <c r="D746" s="91">
        <f>IFERROR(INDEX(Firms!$S$5:$S$1004,MATCH(742,Firms!$U$5:$U$1004,0))&amp;"","")</f>
        <v/>
      </c>
      <c r="E746" s="91">
        <f>IFERROR(INDEX(Firms!$C$5:$C$1004,MATCH(742,Firms!$U$5:$U$1004,0))&amp;"","")</f>
        <v/>
      </c>
      <c r="F746" s="79">
        <f>IFERROR(INDEX(Firms!$N$5:$N$1004,MATCH(742,Firms!$U$5:$U$1004,0))&amp;"","")</f>
        <v/>
      </c>
      <c r="G746" s="79">
        <f>IFERROR(INDEX(Firms!$P$5:$P$1004,MATCH(742,Firms!$U$5:$U$1004,0))&amp;"","")</f>
        <v/>
      </c>
      <c r="H746" s="91">
        <f>IFERROR(INDEX(Firms!$T$5:$T$1004,MATCH(742,Firms!$U$5:$U$1004,0))&amp;"","")</f>
        <v/>
      </c>
    </row>
    <row r="747">
      <c r="A747" s="79">
        <f>IF(B747="","",743)</f>
        <v/>
      </c>
      <c r="B747" s="91">
        <f>IFERROR(INDEX(Firms!$A$5:$A$1004,MATCH(743,Firms!$U$5:$U$1004,0))&amp;"","")</f>
        <v/>
      </c>
      <c r="C747" s="88">
        <f>IFERROR(IF(INDEX(Firms!$R$5:$R$1004,MATCH(743,Firms!$U$5:$U$1004,0))="","",INDEX(Firms!$R$5:$R$1004,MATCH(743,Firms!$U$5:$U$1004,0))),"")</f>
        <v/>
      </c>
      <c r="D747" s="91">
        <f>IFERROR(INDEX(Firms!$S$5:$S$1004,MATCH(743,Firms!$U$5:$U$1004,0))&amp;"","")</f>
        <v/>
      </c>
      <c r="E747" s="91">
        <f>IFERROR(INDEX(Firms!$C$5:$C$1004,MATCH(743,Firms!$U$5:$U$1004,0))&amp;"","")</f>
        <v/>
      </c>
      <c r="F747" s="79">
        <f>IFERROR(INDEX(Firms!$N$5:$N$1004,MATCH(743,Firms!$U$5:$U$1004,0))&amp;"","")</f>
        <v/>
      </c>
      <c r="G747" s="79">
        <f>IFERROR(INDEX(Firms!$P$5:$P$1004,MATCH(743,Firms!$U$5:$U$1004,0))&amp;"","")</f>
        <v/>
      </c>
      <c r="H747" s="91">
        <f>IFERROR(INDEX(Firms!$T$5:$T$1004,MATCH(743,Firms!$U$5:$U$1004,0))&amp;"","")</f>
        <v/>
      </c>
    </row>
    <row r="748">
      <c r="A748" s="79">
        <f>IF(B748="","",744)</f>
        <v/>
      </c>
      <c r="B748" s="91">
        <f>IFERROR(INDEX(Firms!$A$5:$A$1004,MATCH(744,Firms!$U$5:$U$1004,0))&amp;"","")</f>
        <v/>
      </c>
      <c r="C748" s="88">
        <f>IFERROR(IF(INDEX(Firms!$R$5:$R$1004,MATCH(744,Firms!$U$5:$U$1004,0))="","",INDEX(Firms!$R$5:$R$1004,MATCH(744,Firms!$U$5:$U$1004,0))),"")</f>
        <v/>
      </c>
      <c r="D748" s="91">
        <f>IFERROR(INDEX(Firms!$S$5:$S$1004,MATCH(744,Firms!$U$5:$U$1004,0))&amp;"","")</f>
        <v/>
      </c>
      <c r="E748" s="91">
        <f>IFERROR(INDEX(Firms!$C$5:$C$1004,MATCH(744,Firms!$U$5:$U$1004,0))&amp;"","")</f>
        <v/>
      </c>
      <c r="F748" s="79">
        <f>IFERROR(INDEX(Firms!$N$5:$N$1004,MATCH(744,Firms!$U$5:$U$1004,0))&amp;"","")</f>
        <v/>
      </c>
      <c r="G748" s="79">
        <f>IFERROR(INDEX(Firms!$P$5:$P$1004,MATCH(744,Firms!$U$5:$U$1004,0))&amp;"","")</f>
        <v/>
      </c>
      <c r="H748" s="91">
        <f>IFERROR(INDEX(Firms!$T$5:$T$1004,MATCH(744,Firms!$U$5:$U$1004,0))&amp;"","")</f>
        <v/>
      </c>
    </row>
    <row r="749">
      <c r="A749" s="79">
        <f>IF(B749="","",745)</f>
        <v/>
      </c>
      <c r="B749" s="91">
        <f>IFERROR(INDEX(Firms!$A$5:$A$1004,MATCH(745,Firms!$U$5:$U$1004,0))&amp;"","")</f>
        <v/>
      </c>
      <c r="C749" s="88">
        <f>IFERROR(IF(INDEX(Firms!$R$5:$R$1004,MATCH(745,Firms!$U$5:$U$1004,0))="","",INDEX(Firms!$R$5:$R$1004,MATCH(745,Firms!$U$5:$U$1004,0))),"")</f>
        <v/>
      </c>
      <c r="D749" s="91">
        <f>IFERROR(INDEX(Firms!$S$5:$S$1004,MATCH(745,Firms!$U$5:$U$1004,0))&amp;"","")</f>
        <v/>
      </c>
      <c r="E749" s="91">
        <f>IFERROR(INDEX(Firms!$C$5:$C$1004,MATCH(745,Firms!$U$5:$U$1004,0))&amp;"","")</f>
        <v/>
      </c>
      <c r="F749" s="79">
        <f>IFERROR(INDEX(Firms!$N$5:$N$1004,MATCH(745,Firms!$U$5:$U$1004,0))&amp;"","")</f>
        <v/>
      </c>
      <c r="G749" s="79">
        <f>IFERROR(INDEX(Firms!$P$5:$P$1004,MATCH(745,Firms!$U$5:$U$1004,0))&amp;"","")</f>
        <v/>
      </c>
      <c r="H749" s="91">
        <f>IFERROR(INDEX(Firms!$T$5:$T$1004,MATCH(745,Firms!$U$5:$U$1004,0))&amp;"","")</f>
        <v/>
      </c>
    </row>
    <row r="750">
      <c r="A750" s="79">
        <f>IF(B750="","",746)</f>
        <v/>
      </c>
      <c r="B750" s="91">
        <f>IFERROR(INDEX(Firms!$A$5:$A$1004,MATCH(746,Firms!$U$5:$U$1004,0))&amp;"","")</f>
        <v/>
      </c>
      <c r="C750" s="88">
        <f>IFERROR(IF(INDEX(Firms!$R$5:$R$1004,MATCH(746,Firms!$U$5:$U$1004,0))="","",INDEX(Firms!$R$5:$R$1004,MATCH(746,Firms!$U$5:$U$1004,0))),"")</f>
        <v/>
      </c>
      <c r="D750" s="91">
        <f>IFERROR(INDEX(Firms!$S$5:$S$1004,MATCH(746,Firms!$U$5:$U$1004,0))&amp;"","")</f>
        <v/>
      </c>
      <c r="E750" s="91">
        <f>IFERROR(INDEX(Firms!$C$5:$C$1004,MATCH(746,Firms!$U$5:$U$1004,0))&amp;"","")</f>
        <v/>
      </c>
      <c r="F750" s="79">
        <f>IFERROR(INDEX(Firms!$N$5:$N$1004,MATCH(746,Firms!$U$5:$U$1004,0))&amp;"","")</f>
        <v/>
      </c>
      <c r="G750" s="79">
        <f>IFERROR(INDEX(Firms!$P$5:$P$1004,MATCH(746,Firms!$U$5:$U$1004,0))&amp;"","")</f>
        <v/>
      </c>
      <c r="H750" s="91">
        <f>IFERROR(INDEX(Firms!$T$5:$T$1004,MATCH(746,Firms!$U$5:$U$1004,0))&amp;"","")</f>
        <v/>
      </c>
    </row>
    <row r="751">
      <c r="A751" s="79">
        <f>IF(B751="","",747)</f>
        <v/>
      </c>
      <c r="B751" s="91">
        <f>IFERROR(INDEX(Firms!$A$5:$A$1004,MATCH(747,Firms!$U$5:$U$1004,0))&amp;"","")</f>
        <v/>
      </c>
      <c r="C751" s="88">
        <f>IFERROR(IF(INDEX(Firms!$R$5:$R$1004,MATCH(747,Firms!$U$5:$U$1004,0))="","",INDEX(Firms!$R$5:$R$1004,MATCH(747,Firms!$U$5:$U$1004,0))),"")</f>
        <v/>
      </c>
      <c r="D751" s="91">
        <f>IFERROR(INDEX(Firms!$S$5:$S$1004,MATCH(747,Firms!$U$5:$U$1004,0))&amp;"","")</f>
        <v/>
      </c>
      <c r="E751" s="91">
        <f>IFERROR(INDEX(Firms!$C$5:$C$1004,MATCH(747,Firms!$U$5:$U$1004,0))&amp;"","")</f>
        <v/>
      </c>
      <c r="F751" s="79">
        <f>IFERROR(INDEX(Firms!$N$5:$N$1004,MATCH(747,Firms!$U$5:$U$1004,0))&amp;"","")</f>
        <v/>
      </c>
      <c r="G751" s="79">
        <f>IFERROR(INDEX(Firms!$P$5:$P$1004,MATCH(747,Firms!$U$5:$U$1004,0))&amp;"","")</f>
        <v/>
      </c>
      <c r="H751" s="91">
        <f>IFERROR(INDEX(Firms!$T$5:$T$1004,MATCH(747,Firms!$U$5:$U$1004,0))&amp;"","")</f>
        <v/>
      </c>
    </row>
    <row r="752">
      <c r="A752" s="79">
        <f>IF(B752="","",748)</f>
        <v/>
      </c>
      <c r="B752" s="91">
        <f>IFERROR(INDEX(Firms!$A$5:$A$1004,MATCH(748,Firms!$U$5:$U$1004,0))&amp;"","")</f>
        <v/>
      </c>
      <c r="C752" s="88">
        <f>IFERROR(IF(INDEX(Firms!$R$5:$R$1004,MATCH(748,Firms!$U$5:$U$1004,0))="","",INDEX(Firms!$R$5:$R$1004,MATCH(748,Firms!$U$5:$U$1004,0))),"")</f>
        <v/>
      </c>
      <c r="D752" s="91">
        <f>IFERROR(INDEX(Firms!$S$5:$S$1004,MATCH(748,Firms!$U$5:$U$1004,0))&amp;"","")</f>
        <v/>
      </c>
      <c r="E752" s="91">
        <f>IFERROR(INDEX(Firms!$C$5:$C$1004,MATCH(748,Firms!$U$5:$U$1004,0))&amp;"","")</f>
        <v/>
      </c>
      <c r="F752" s="79">
        <f>IFERROR(INDEX(Firms!$N$5:$N$1004,MATCH(748,Firms!$U$5:$U$1004,0))&amp;"","")</f>
        <v/>
      </c>
      <c r="G752" s="79">
        <f>IFERROR(INDEX(Firms!$P$5:$P$1004,MATCH(748,Firms!$U$5:$U$1004,0))&amp;"","")</f>
        <v/>
      </c>
      <c r="H752" s="91">
        <f>IFERROR(INDEX(Firms!$T$5:$T$1004,MATCH(748,Firms!$U$5:$U$1004,0))&amp;"","")</f>
        <v/>
      </c>
    </row>
    <row r="753">
      <c r="A753" s="79">
        <f>IF(B753="","",749)</f>
        <v/>
      </c>
      <c r="B753" s="91">
        <f>IFERROR(INDEX(Firms!$A$5:$A$1004,MATCH(749,Firms!$U$5:$U$1004,0))&amp;"","")</f>
        <v/>
      </c>
      <c r="C753" s="88">
        <f>IFERROR(IF(INDEX(Firms!$R$5:$R$1004,MATCH(749,Firms!$U$5:$U$1004,0))="","",INDEX(Firms!$R$5:$R$1004,MATCH(749,Firms!$U$5:$U$1004,0))),"")</f>
        <v/>
      </c>
      <c r="D753" s="91">
        <f>IFERROR(INDEX(Firms!$S$5:$S$1004,MATCH(749,Firms!$U$5:$U$1004,0))&amp;"","")</f>
        <v/>
      </c>
      <c r="E753" s="91">
        <f>IFERROR(INDEX(Firms!$C$5:$C$1004,MATCH(749,Firms!$U$5:$U$1004,0))&amp;"","")</f>
        <v/>
      </c>
      <c r="F753" s="79">
        <f>IFERROR(INDEX(Firms!$N$5:$N$1004,MATCH(749,Firms!$U$5:$U$1004,0))&amp;"","")</f>
        <v/>
      </c>
      <c r="G753" s="79">
        <f>IFERROR(INDEX(Firms!$P$5:$P$1004,MATCH(749,Firms!$U$5:$U$1004,0))&amp;"","")</f>
        <v/>
      </c>
      <c r="H753" s="91">
        <f>IFERROR(INDEX(Firms!$T$5:$T$1004,MATCH(749,Firms!$U$5:$U$1004,0))&amp;"","")</f>
        <v/>
      </c>
    </row>
    <row r="754">
      <c r="A754" s="79">
        <f>IF(B754="","",750)</f>
        <v/>
      </c>
      <c r="B754" s="91">
        <f>IFERROR(INDEX(Firms!$A$5:$A$1004,MATCH(750,Firms!$U$5:$U$1004,0))&amp;"","")</f>
        <v/>
      </c>
      <c r="C754" s="88">
        <f>IFERROR(IF(INDEX(Firms!$R$5:$R$1004,MATCH(750,Firms!$U$5:$U$1004,0))="","",INDEX(Firms!$R$5:$R$1004,MATCH(750,Firms!$U$5:$U$1004,0))),"")</f>
        <v/>
      </c>
      <c r="D754" s="91">
        <f>IFERROR(INDEX(Firms!$S$5:$S$1004,MATCH(750,Firms!$U$5:$U$1004,0))&amp;"","")</f>
        <v/>
      </c>
      <c r="E754" s="91">
        <f>IFERROR(INDEX(Firms!$C$5:$C$1004,MATCH(750,Firms!$U$5:$U$1004,0))&amp;"","")</f>
        <v/>
      </c>
      <c r="F754" s="79">
        <f>IFERROR(INDEX(Firms!$N$5:$N$1004,MATCH(750,Firms!$U$5:$U$1004,0))&amp;"","")</f>
        <v/>
      </c>
      <c r="G754" s="79">
        <f>IFERROR(INDEX(Firms!$P$5:$P$1004,MATCH(750,Firms!$U$5:$U$1004,0))&amp;"","")</f>
        <v/>
      </c>
      <c r="H754" s="91">
        <f>IFERROR(INDEX(Firms!$T$5:$T$1004,MATCH(750,Firms!$U$5:$U$1004,0))&amp;"","")</f>
        <v/>
      </c>
    </row>
    <row r="755">
      <c r="A755" s="79">
        <f>IF(B755="","",751)</f>
        <v/>
      </c>
      <c r="B755" s="91">
        <f>IFERROR(INDEX(Firms!$A$5:$A$1004,MATCH(751,Firms!$U$5:$U$1004,0))&amp;"","")</f>
        <v/>
      </c>
      <c r="C755" s="88">
        <f>IFERROR(IF(INDEX(Firms!$R$5:$R$1004,MATCH(751,Firms!$U$5:$U$1004,0))="","",INDEX(Firms!$R$5:$R$1004,MATCH(751,Firms!$U$5:$U$1004,0))),"")</f>
        <v/>
      </c>
      <c r="D755" s="91">
        <f>IFERROR(INDEX(Firms!$S$5:$S$1004,MATCH(751,Firms!$U$5:$U$1004,0))&amp;"","")</f>
        <v/>
      </c>
      <c r="E755" s="91">
        <f>IFERROR(INDEX(Firms!$C$5:$C$1004,MATCH(751,Firms!$U$5:$U$1004,0))&amp;"","")</f>
        <v/>
      </c>
      <c r="F755" s="79">
        <f>IFERROR(INDEX(Firms!$N$5:$N$1004,MATCH(751,Firms!$U$5:$U$1004,0))&amp;"","")</f>
        <v/>
      </c>
      <c r="G755" s="79">
        <f>IFERROR(INDEX(Firms!$P$5:$P$1004,MATCH(751,Firms!$U$5:$U$1004,0))&amp;"","")</f>
        <v/>
      </c>
      <c r="H755" s="91">
        <f>IFERROR(INDEX(Firms!$T$5:$T$1004,MATCH(751,Firms!$U$5:$U$1004,0))&amp;"","")</f>
        <v/>
      </c>
    </row>
    <row r="756">
      <c r="A756" s="79">
        <f>IF(B756="","",752)</f>
        <v/>
      </c>
      <c r="B756" s="91">
        <f>IFERROR(INDEX(Firms!$A$5:$A$1004,MATCH(752,Firms!$U$5:$U$1004,0))&amp;"","")</f>
        <v/>
      </c>
      <c r="C756" s="88">
        <f>IFERROR(IF(INDEX(Firms!$R$5:$R$1004,MATCH(752,Firms!$U$5:$U$1004,0))="","",INDEX(Firms!$R$5:$R$1004,MATCH(752,Firms!$U$5:$U$1004,0))),"")</f>
        <v/>
      </c>
      <c r="D756" s="91">
        <f>IFERROR(INDEX(Firms!$S$5:$S$1004,MATCH(752,Firms!$U$5:$U$1004,0))&amp;"","")</f>
        <v/>
      </c>
      <c r="E756" s="91">
        <f>IFERROR(INDEX(Firms!$C$5:$C$1004,MATCH(752,Firms!$U$5:$U$1004,0))&amp;"","")</f>
        <v/>
      </c>
      <c r="F756" s="79">
        <f>IFERROR(INDEX(Firms!$N$5:$N$1004,MATCH(752,Firms!$U$5:$U$1004,0))&amp;"","")</f>
        <v/>
      </c>
      <c r="G756" s="79">
        <f>IFERROR(INDEX(Firms!$P$5:$P$1004,MATCH(752,Firms!$U$5:$U$1004,0))&amp;"","")</f>
        <v/>
      </c>
      <c r="H756" s="91">
        <f>IFERROR(INDEX(Firms!$T$5:$T$1004,MATCH(752,Firms!$U$5:$U$1004,0))&amp;"","")</f>
        <v/>
      </c>
    </row>
    <row r="757">
      <c r="A757" s="79">
        <f>IF(B757="","",753)</f>
        <v/>
      </c>
      <c r="B757" s="91">
        <f>IFERROR(INDEX(Firms!$A$5:$A$1004,MATCH(753,Firms!$U$5:$U$1004,0))&amp;"","")</f>
        <v/>
      </c>
      <c r="C757" s="88">
        <f>IFERROR(IF(INDEX(Firms!$R$5:$R$1004,MATCH(753,Firms!$U$5:$U$1004,0))="","",INDEX(Firms!$R$5:$R$1004,MATCH(753,Firms!$U$5:$U$1004,0))),"")</f>
        <v/>
      </c>
      <c r="D757" s="91">
        <f>IFERROR(INDEX(Firms!$S$5:$S$1004,MATCH(753,Firms!$U$5:$U$1004,0))&amp;"","")</f>
        <v/>
      </c>
      <c r="E757" s="91">
        <f>IFERROR(INDEX(Firms!$C$5:$C$1004,MATCH(753,Firms!$U$5:$U$1004,0))&amp;"","")</f>
        <v/>
      </c>
      <c r="F757" s="79">
        <f>IFERROR(INDEX(Firms!$N$5:$N$1004,MATCH(753,Firms!$U$5:$U$1004,0))&amp;"","")</f>
        <v/>
      </c>
      <c r="G757" s="79">
        <f>IFERROR(INDEX(Firms!$P$5:$P$1004,MATCH(753,Firms!$U$5:$U$1004,0))&amp;"","")</f>
        <v/>
      </c>
      <c r="H757" s="91">
        <f>IFERROR(INDEX(Firms!$T$5:$T$1004,MATCH(753,Firms!$U$5:$U$1004,0))&amp;"","")</f>
        <v/>
      </c>
    </row>
    <row r="758">
      <c r="A758" s="79">
        <f>IF(B758="","",754)</f>
        <v/>
      </c>
      <c r="B758" s="91">
        <f>IFERROR(INDEX(Firms!$A$5:$A$1004,MATCH(754,Firms!$U$5:$U$1004,0))&amp;"","")</f>
        <v/>
      </c>
      <c r="C758" s="88">
        <f>IFERROR(IF(INDEX(Firms!$R$5:$R$1004,MATCH(754,Firms!$U$5:$U$1004,0))="","",INDEX(Firms!$R$5:$R$1004,MATCH(754,Firms!$U$5:$U$1004,0))),"")</f>
        <v/>
      </c>
      <c r="D758" s="91">
        <f>IFERROR(INDEX(Firms!$S$5:$S$1004,MATCH(754,Firms!$U$5:$U$1004,0))&amp;"","")</f>
        <v/>
      </c>
      <c r="E758" s="91">
        <f>IFERROR(INDEX(Firms!$C$5:$C$1004,MATCH(754,Firms!$U$5:$U$1004,0))&amp;"","")</f>
        <v/>
      </c>
      <c r="F758" s="79">
        <f>IFERROR(INDEX(Firms!$N$5:$N$1004,MATCH(754,Firms!$U$5:$U$1004,0))&amp;"","")</f>
        <v/>
      </c>
      <c r="G758" s="79">
        <f>IFERROR(INDEX(Firms!$P$5:$P$1004,MATCH(754,Firms!$U$5:$U$1004,0))&amp;"","")</f>
        <v/>
      </c>
      <c r="H758" s="91">
        <f>IFERROR(INDEX(Firms!$T$5:$T$1004,MATCH(754,Firms!$U$5:$U$1004,0))&amp;"","")</f>
        <v/>
      </c>
    </row>
    <row r="759">
      <c r="A759" s="79">
        <f>IF(B759="","",755)</f>
        <v/>
      </c>
      <c r="B759" s="91">
        <f>IFERROR(INDEX(Firms!$A$5:$A$1004,MATCH(755,Firms!$U$5:$U$1004,0))&amp;"","")</f>
        <v/>
      </c>
      <c r="C759" s="88">
        <f>IFERROR(IF(INDEX(Firms!$R$5:$R$1004,MATCH(755,Firms!$U$5:$U$1004,0))="","",INDEX(Firms!$R$5:$R$1004,MATCH(755,Firms!$U$5:$U$1004,0))),"")</f>
        <v/>
      </c>
      <c r="D759" s="91">
        <f>IFERROR(INDEX(Firms!$S$5:$S$1004,MATCH(755,Firms!$U$5:$U$1004,0))&amp;"","")</f>
        <v/>
      </c>
      <c r="E759" s="91">
        <f>IFERROR(INDEX(Firms!$C$5:$C$1004,MATCH(755,Firms!$U$5:$U$1004,0))&amp;"","")</f>
        <v/>
      </c>
      <c r="F759" s="79">
        <f>IFERROR(INDEX(Firms!$N$5:$N$1004,MATCH(755,Firms!$U$5:$U$1004,0))&amp;"","")</f>
        <v/>
      </c>
      <c r="G759" s="79">
        <f>IFERROR(INDEX(Firms!$P$5:$P$1004,MATCH(755,Firms!$U$5:$U$1004,0))&amp;"","")</f>
        <v/>
      </c>
      <c r="H759" s="91">
        <f>IFERROR(INDEX(Firms!$T$5:$T$1004,MATCH(755,Firms!$U$5:$U$1004,0))&amp;"","")</f>
        <v/>
      </c>
    </row>
    <row r="760">
      <c r="A760" s="79">
        <f>IF(B760="","",756)</f>
        <v/>
      </c>
      <c r="B760" s="91">
        <f>IFERROR(INDEX(Firms!$A$5:$A$1004,MATCH(756,Firms!$U$5:$U$1004,0))&amp;"","")</f>
        <v/>
      </c>
      <c r="C760" s="88">
        <f>IFERROR(IF(INDEX(Firms!$R$5:$R$1004,MATCH(756,Firms!$U$5:$U$1004,0))="","",INDEX(Firms!$R$5:$R$1004,MATCH(756,Firms!$U$5:$U$1004,0))),"")</f>
        <v/>
      </c>
      <c r="D760" s="91">
        <f>IFERROR(INDEX(Firms!$S$5:$S$1004,MATCH(756,Firms!$U$5:$U$1004,0))&amp;"","")</f>
        <v/>
      </c>
      <c r="E760" s="91">
        <f>IFERROR(INDEX(Firms!$C$5:$C$1004,MATCH(756,Firms!$U$5:$U$1004,0))&amp;"","")</f>
        <v/>
      </c>
      <c r="F760" s="79">
        <f>IFERROR(INDEX(Firms!$N$5:$N$1004,MATCH(756,Firms!$U$5:$U$1004,0))&amp;"","")</f>
        <v/>
      </c>
      <c r="G760" s="79">
        <f>IFERROR(INDEX(Firms!$P$5:$P$1004,MATCH(756,Firms!$U$5:$U$1004,0))&amp;"","")</f>
        <v/>
      </c>
      <c r="H760" s="91">
        <f>IFERROR(INDEX(Firms!$T$5:$T$1004,MATCH(756,Firms!$U$5:$U$1004,0))&amp;"","")</f>
        <v/>
      </c>
    </row>
    <row r="761">
      <c r="A761" s="79">
        <f>IF(B761="","",757)</f>
        <v/>
      </c>
      <c r="B761" s="91">
        <f>IFERROR(INDEX(Firms!$A$5:$A$1004,MATCH(757,Firms!$U$5:$U$1004,0))&amp;"","")</f>
        <v/>
      </c>
      <c r="C761" s="88">
        <f>IFERROR(IF(INDEX(Firms!$R$5:$R$1004,MATCH(757,Firms!$U$5:$U$1004,0))="","",INDEX(Firms!$R$5:$R$1004,MATCH(757,Firms!$U$5:$U$1004,0))),"")</f>
        <v/>
      </c>
      <c r="D761" s="91">
        <f>IFERROR(INDEX(Firms!$S$5:$S$1004,MATCH(757,Firms!$U$5:$U$1004,0))&amp;"","")</f>
        <v/>
      </c>
      <c r="E761" s="91">
        <f>IFERROR(INDEX(Firms!$C$5:$C$1004,MATCH(757,Firms!$U$5:$U$1004,0))&amp;"","")</f>
        <v/>
      </c>
      <c r="F761" s="79">
        <f>IFERROR(INDEX(Firms!$N$5:$N$1004,MATCH(757,Firms!$U$5:$U$1004,0))&amp;"","")</f>
        <v/>
      </c>
      <c r="G761" s="79">
        <f>IFERROR(INDEX(Firms!$P$5:$P$1004,MATCH(757,Firms!$U$5:$U$1004,0))&amp;"","")</f>
        <v/>
      </c>
      <c r="H761" s="91">
        <f>IFERROR(INDEX(Firms!$T$5:$T$1004,MATCH(757,Firms!$U$5:$U$1004,0))&amp;"","")</f>
        <v/>
      </c>
    </row>
    <row r="762">
      <c r="A762" s="79">
        <f>IF(B762="","",758)</f>
        <v/>
      </c>
      <c r="B762" s="91">
        <f>IFERROR(INDEX(Firms!$A$5:$A$1004,MATCH(758,Firms!$U$5:$U$1004,0))&amp;"","")</f>
        <v/>
      </c>
      <c r="C762" s="88">
        <f>IFERROR(IF(INDEX(Firms!$R$5:$R$1004,MATCH(758,Firms!$U$5:$U$1004,0))="","",INDEX(Firms!$R$5:$R$1004,MATCH(758,Firms!$U$5:$U$1004,0))),"")</f>
        <v/>
      </c>
      <c r="D762" s="91">
        <f>IFERROR(INDEX(Firms!$S$5:$S$1004,MATCH(758,Firms!$U$5:$U$1004,0))&amp;"","")</f>
        <v/>
      </c>
      <c r="E762" s="91">
        <f>IFERROR(INDEX(Firms!$C$5:$C$1004,MATCH(758,Firms!$U$5:$U$1004,0))&amp;"","")</f>
        <v/>
      </c>
      <c r="F762" s="79">
        <f>IFERROR(INDEX(Firms!$N$5:$N$1004,MATCH(758,Firms!$U$5:$U$1004,0))&amp;"","")</f>
        <v/>
      </c>
      <c r="G762" s="79">
        <f>IFERROR(INDEX(Firms!$P$5:$P$1004,MATCH(758,Firms!$U$5:$U$1004,0))&amp;"","")</f>
        <v/>
      </c>
      <c r="H762" s="91">
        <f>IFERROR(INDEX(Firms!$T$5:$T$1004,MATCH(758,Firms!$U$5:$U$1004,0))&amp;"","")</f>
        <v/>
      </c>
    </row>
    <row r="763">
      <c r="A763" s="79">
        <f>IF(B763="","",759)</f>
        <v/>
      </c>
      <c r="B763" s="91">
        <f>IFERROR(INDEX(Firms!$A$5:$A$1004,MATCH(759,Firms!$U$5:$U$1004,0))&amp;"","")</f>
        <v/>
      </c>
      <c r="C763" s="88">
        <f>IFERROR(IF(INDEX(Firms!$R$5:$R$1004,MATCH(759,Firms!$U$5:$U$1004,0))="","",INDEX(Firms!$R$5:$R$1004,MATCH(759,Firms!$U$5:$U$1004,0))),"")</f>
        <v/>
      </c>
      <c r="D763" s="91">
        <f>IFERROR(INDEX(Firms!$S$5:$S$1004,MATCH(759,Firms!$U$5:$U$1004,0))&amp;"","")</f>
        <v/>
      </c>
      <c r="E763" s="91">
        <f>IFERROR(INDEX(Firms!$C$5:$C$1004,MATCH(759,Firms!$U$5:$U$1004,0))&amp;"","")</f>
        <v/>
      </c>
      <c r="F763" s="79">
        <f>IFERROR(INDEX(Firms!$N$5:$N$1004,MATCH(759,Firms!$U$5:$U$1004,0))&amp;"","")</f>
        <v/>
      </c>
      <c r="G763" s="79">
        <f>IFERROR(INDEX(Firms!$P$5:$P$1004,MATCH(759,Firms!$U$5:$U$1004,0))&amp;"","")</f>
        <v/>
      </c>
      <c r="H763" s="91">
        <f>IFERROR(INDEX(Firms!$T$5:$T$1004,MATCH(759,Firms!$U$5:$U$1004,0))&amp;"","")</f>
        <v/>
      </c>
    </row>
    <row r="764">
      <c r="A764" s="79">
        <f>IF(B764="","",760)</f>
        <v/>
      </c>
      <c r="B764" s="91">
        <f>IFERROR(INDEX(Firms!$A$5:$A$1004,MATCH(760,Firms!$U$5:$U$1004,0))&amp;"","")</f>
        <v/>
      </c>
      <c r="C764" s="88">
        <f>IFERROR(IF(INDEX(Firms!$R$5:$R$1004,MATCH(760,Firms!$U$5:$U$1004,0))="","",INDEX(Firms!$R$5:$R$1004,MATCH(760,Firms!$U$5:$U$1004,0))),"")</f>
        <v/>
      </c>
      <c r="D764" s="91">
        <f>IFERROR(INDEX(Firms!$S$5:$S$1004,MATCH(760,Firms!$U$5:$U$1004,0))&amp;"","")</f>
        <v/>
      </c>
      <c r="E764" s="91">
        <f>IFERROR(INDEX(Firms!$C$5:$C$1004,MATCH(760,Firms!$U$5:$U$1004,0))&amp;"","")</f>
        <v/>
      </c>
      <c r="F764" s="79">
        <f>IFERROR(INDEX(Firms!$N$5:$N$1004,MATCH(760,Firms!$U$5:$U$1004,0))&amp;"","")</f>
        <v/>
      </c>
      <c r="G764" s="79">
        <f>IFERROR(INDEX(Firms!$P$5:$P$1004,MATCH(760,Firms!$U$5:$U$1004,0))&amp;"","")</f>
        <v/>
      </c>
      <c r="H764" s="91">
        <f>IFERROR(INDEX(Firms!$T$5:$T$1004,MATCH(760,Firms!$U$5:$U$1004,0))&amp;"","")</f>
        <v/>
      </c>
    </row>
    <row r="765">
      <c r="A765" s="79">
        <f>IF(B765="","",761)</f>
        <v/>
      </c>
      <c r="B765" s="91">
        <f>IFERROR(INDEX(Firms!$A$5:$A$1004,MATCH(761,Firms!$U$5:$U$1004,0))&amp;"","")</f>
        <v/>
      </c>
      <c r="C765" s="88">
        <f>IFERROR(IF(INDEX(Firms!$R$5:$R$1004,MATCH(761,Firms!$U$5:$U$1004,0))="","",INDEX(Firms!$R$5:$R$1004,MATCH(761,Firms!$U$5:$U$1004,0))),"")</f>
        <v/>
      </c>
      <c r="D765" s="91">
        <f>IFERROR(INDEX(Firms!$S$5:$S$1004,MATCH(761,Firms!$U$5:$U$1004,0))&amp;"","")</f>
        <v/>
      </c>
      <c r="E765" s="91">
        <f>IFERROR(INDEX(Firms!$C$5:$C$1004,MATCH(761,Firms!$U$5:$U$1004,0))&amp;"","")</f>
        <v/>
      </c>
      <c r="F765" s="79">
        <f>IFERROR(INDEX(Firms!$N$5:$N$1004,MATCH(761,Firms!$U$5:$U$1004,0))&amp;"","")</f>
        <v/>
      </c>
      <c r="G765" s="79">
        <f>IFERROR(INDEX(Firms!$P$5:$P$1004,MATCH(761,Firms!$U$5:$U$1004,0))&amp;"","")</f>
        <v/>
      </c>
      <c r="H765" s="91">
        <f>IFERROR(INDEX(Firms!$T$5:$T$1004,MATCH(761,Firms!$U$5:$U$1004,0))&amp;"","")</f>
        <v/>
      </c>
    </row>
    <row r="766">
      <c r="A766" s="79">
        <f>IF(B766="","",762)</f>
        <v/>
      </c>
      <c r="B766" s="91">
        <f>IFERROR(INDEX(Firms!$A$5:$A$1004,MATCH(762,Firms!$U$5:$U$1004,0))&amp;"","")</f>
        <v/>
      </c>
      <c r="C766" s="88">
        <f>IFERROR(IF(INDEX(Firms!$R$5:$R$1004,MATCH(762,Firms!$U$5:$U$1004,0))="","",INDEX(Firms!$R$5:$R$1004,MATCH(762,Firms!$U$5:$U$1004,0))),"")</f>
        <v/>
      </c>
      <c r="D766" s="91">
        <f>IFERROR(INDEX(Firms!$S$5:$S$1004,MATCH(762,Firms!$U$5:$U$1004,0))&amp;"","")</f>
        <v/>
      </c>
      <c r="E766" s="91">
        <f>IFERROR(INDEX(Firms!$C$5:$C$1004,MATCH(762,Firms!$U$5:$U$1004,0))&amp;"","")</f>
        <v/>
      </c>
      <c r="F766" s="79">
        <f>IFERROR(INDEX(Firms!$N$5:$N$1004,MATCH(762,Firms!$U$5:$U$1004,0))&amp;"","")</f>
        <v/>
      </c>
      <c r="G766" s="79">
        <f>IFERROR(INDEX(Firms!$P$5:$P$1004,MATCH(762,Firms!$U$5:$U$1004,0))&amp;"","")</f>
        <v/>
      </c>
      <c r="H766" s="91">
        <f>IFERROR(INDEX(Firms!$T$5:$T$1004,MATCH(762,Firms!$U$5:$U$1004,0))&amp;"","")</f>
        <v/>
      </c>
    </row>
    <row r="767">
      <c r="A767" s="79">
        <f>IF(B767="","",763)</f>
        <v/>
      </c>
      <c r="B767" s="91">
        <f>IFERROR(INDEX(Firms!$A$5:$A$1004,MATCH(763,Firms!$U$5:$U$1004,0))&amp;"","")</f>
        <v/>
      </c>
      <c r="C767" s="88">
        <f>IFERROR(IF(INDEX(Firms!$R$5:$R$1004,MATCH(763,Firms!$U$5:$U$1004,0))="","",INDEX(Firms!$R$5:$R$1004,MATCH(763,Firms!$U$5:$U$1004,0))),"")</f>
        <v/>
      </c>
      <c r="D767" s="91">
        <f>IFERROR(INDEX(Firms!$S$5:$S$1004,MATCH(763,Firms!$U$5:$U$1004,0))&amp;"","")</f>
        <v/>
      </c>
      <c r="E767" s="91">
        <f>IFERROR(INDEX(Firms!$C$5:$C$1004,MATCH(763,Firms!$U$5:$U$1004,0))&amp;"","")</f>
        <v/>
      </c>
      <c r="F767" s="79">
        <f>IFERROR(INDEX(Firms!$N$5:$N$1004,MATCH(763,Firms!$U$5:$U$1004,0))&amp;"","")</f>
        <v/>
      </c>
      <c r="G767" s="79">
        <f>IFERROR(INDEX(Firms!$P$5:$P$1004,MATCH(763,Firms!$U$5:$U$1004,0))&amp;"","")</f>
        <v/>
      </c>
      <c r="H767" s="91">
        <f>IFERROR(INDEX(Firms!$T$5:$T$1004,MATCH(763,Firms!$U$5:$U$1004,0))&amp;"","")</f>
        <v/>
      </c>
    </row>
    <row r="768">
      <c r="A768" s="79">
        <f>IF(B768="","",764)</f>
        <v/>
      </c>
      <c r="B768" s="91">
        <f>IFERROR(INDEX(Firms!$A$5:$A$1004,MATCH(764,Firms!$U$5:$U$1004,0))&amp;"","")</f>
        <v/>
      </c>
      <c r="C768" s="88">
        <f>IFERROR(IF(INDEX(Firms!$R$5:$R$1004,MATCH(764,Firms!$U$5:$U$1004,0))="","",INDEX(Firms!$R$5:$R$1004,MATCH(764,Firms!$U$5:$U$1004,0))),"")</f>
        <v/>
      </c>
      <c r="D768" s="91">
        <f>IFERROR(INDEX(Firms!$S$5:$S$1004,MATCH(764,Firms!$U$5:$U$1004,0))&amp;"","")</f>
        <v/>
      </c>
      <c r="E768" s="91">
        <f>IFERROR(INDEX(Firms!$C$5:$C$1004,MATCH(764,Firms!$U$5:$U$1004,0))&amp;"","")</f>
        <v/>
      </c>
      <c r="F768" s="79">
        <f>IFERROR(INDEX(Firms!$N$5:$N$1004,MATCH(764,Firms!$U$5:$U$1004,0))&amp;"","")</f>
        <v/>
      </c>
      <c r="G768" s="79">
        <f>IFERROR(INDEX(Firms!$P$5:$P$1004,MATCH(764,Firms!$U$5:$U$1004,0))&amp;"","")</f>
        <v/>
      </c>
      <c r="H768" s="91">
        <f>IFERROR(INDEX(Firms!$T$5:$T$1004,MATCH(764,Firms!$U$5:$U$1004,0))&amp;"","")</f>
        <v/>
      </c>
    </row>
    <row r="769">
      <c r="A769" s="79">
        <f>IF(B769="","",765)</f>
        <v/>
      </c>
      <c r="B769" s="91">
        <f>IFERROR(INDEX(Firms!$A$5:$A$1004,MATCH(765,Firms!$U$5:$U$1004,0))&amp;"","")</f>
        <v/>
      </c>
      <c r="C769" s="88">
        <f>IFERROR(IF(INDEX(Firms!$R$5:$R$1004,MATCH(765,Firms!$U$5:$U$1004,0))="","",INDEX(Firms!$R$5:$R$1004,MATCH(765,Firms!$U$5:$U$1004,0))),"")</f>
        <v/>
      </c>
      <c r="D769" s="91">
        <f>IFERROR(INDEX(Firms!$S$5:$S$1004,MATCH(765,Firms!$U$5:$U$1004,0))&amp;"","")</f>
        <v/>
      </c>
      <c r="E769" s="91">
        <f>IFERROR(INDEX(Firms!$C$5:$C$1004,MATCH(765,Firms!$U$5:$U$1004,0))&amp;"","")</f>
        <v/>
      </c>
      <c r="F769" s="79">
        <f>IFERROR(INDEX(Firms!$N$5:$N$1004,MATCH(765,Firms!$U$5:$U$1004,0))&amp;"","")</f>
        <v/>
      </c>
      <c r="G769" s="79">
        <f>IFERROR(INDEX(Firms!$P$5:$P$1004,MATCH(765,Firms!$U$5:$U$1004,0))&amp;"","")</f>
        <v/>
      </c>
      <c r="H769" s="91">
        <f>IFERROR(INDEX(Firms!$T$5:$T$1004,MATCH(765,Firms!$U$5:$U$1004,0))&amp;"","")</f>
        <v/>
      </c>
    </row>
    <row r="770">
      <c r="A770" s="79">
        <f>IF(B770="","",766)</f>
        <v/>
      </c>
      <c r="B770" s="91">
        <f>IFERROR(INDEX(Firms!$A$5:$A$1004,MATCH(766,Firms!$U$5:$U$1004,0))&amp;"","")</f>
        <v/>
      </c>
      <c r="C770" s="88">
        <f>IFERROR(IF(INDEX(Firms!$R$5:$R$1004,MATCH(766,Firms!$U$5:$U$1004,0))="","",INDEX(Firms!$R$5:$R$1004,MATCH(766,Firms!$U$5:$U$1004,0))),"")</f>
        <v/>
      </c>
      <c r="D770" s="91">
        <f>IFERROR(INDEX(Firms!$S$5:$S$1004,MATCH(766,Firms!$U$5:$U$1004,0))&amp;"","")</f>
        <v/>
      </c>
      <c r="E770" s="91">
        <f>IFERROR(INDEX(Firms!$C$5:$C$1004,MATCH(766,Firms!$U$5:$U$1004,0))&amp;"","")</f>
        <v/>
      </c>
      <c r="F770" s="79">
        <f>IFERROR(INDEX(Firms!$N$5:$N$1004,MATCH(766,Firms!$U$5:$U$1004,0))&amp;"","")</f>
        <v/>
      </c>
      <c r="G770" s="79">
        <f>IFERROR(INDEX(Firms!$P$5:$P$1004,MATCH(766,Firms!$U$5:$U$1004,0))&amp;"","")</f>
        <v/>
      </c>
      <c r="H770" s="91">
        <f>IFERROR(INDEX(Firms!$T$5:$T$1004,MATCH(766,Firms!$U$5:$U$1004,0))&amp;"","")</f>
        <v/>
      </c>
    </row>
    <row r="771">
      <c r="A771" s="79">
        <f>IF(B771="","",767)</f>
        <v/>
      </c>
      <c r="B771" s="91">
        <f>IFERROR(INDEX(Firms!$A$5:$A$1004,MATCH(767,Firms!$U$5:$U$1004,0))&amp;"","")</f>
        <v/>
      </c>
      <c r="C771" s="88">
        <f>IFERROR(IF(INDEX(Firms!$R$5:$R$1004,MATCH(767,Firms!$U$5:$U$1004,0))="","",INDEX(Firms!$R$5:$R$1004,MATCH(767,Firms!$U$5:$U$1004,0))),"")</f>
        <v/>
      </c>
      <c r="D771" s="91">
        <f>IFERROR(INDEX(Firms!$S$5:$S$1004,MATCH(767,Firms!$U$5:$U$1004,0))&amp;"","")</f>
        <v/>
      </c>
      <c r="E771" s="91">
        <f>IFERROR(INDEX(Firms!$C$5:$C$1004,MATCH(767,Firms!$U$5:$U$1004,0))&amp;"","")</f>
        <v/>
      </c>
      <c r="F771" s="79">
        <f>IFERROR(INDEX(Firms!$N$5:$N$1004,MATCH(767,Firms!$U$5:$U$1004,0))&amp;"","")</f>
        <v/>
      </c>
      <c r="G771" s="79">
        <f>IFERROR(INDEX(Firms!$P$5:$P$1004,MATCH(767,Firms!$U$5:$U$1004,0))&amp;"","")</f>
        <v/>
      </c>
      <c r="H771" s="91">
        <f>IFERROR(INDEX(Firms!$T$5:$T$1004,MATCH(767,Firms!$U$5:$U$1004,0))&amp;"","")</f>
        <v/>
      </c>
    </row>
    <row r="772">
      <c r="A772" s="79">
        <f>IF(B772="","",768)</f>
        <v/>
      </c>
      <c r="B772" s="91">
        <f>IFERROR(INDEX(Firms!$A$5:$A$1004,MATCH(768,Firms!$U$5:$U$1004,0))&amp;"","")</f>
        <v/>
      </c>
      <c r="C772" s="88">
        <f>IFERROR(IF(INDEX(Firms!$R$5:$R$1004,MATCH(768,Firms!$U$5:$U$1004,0))="","",INDEX(Firms!$R$5:$R$1004,MATCH(768,Firms!$U$5:$U$1004,0))),"")</f>
        <v/>
      </c>
      <c r="D772" s="91">
        <f>IFERROR(INDEX(Firms!$S$5:$S$1004,MATCH(768,Firms!$U$5:$U$1004,0))&amp;"","")</f>
        <v/>
      </c>
      <c r="E772" s="91">
        <f>IFERROR(INDEX(Firms!$C$5:$C$1004,MATCH(768,Firms!$U$5:$U$1004,0))&amp;"","")</f>
        <v/>
      </c>
      <c r="F772" s="79">
        <f>IFERROR(INDEX(Firms!$N$5:$N$1004,MATCH(768,Firms!$U$5:$U$1004,0))&amp;"","")</f>
        <v/>
      </c>
      <c r="G772" s="79">
        <f>IFERROR(INDEX(Firms!$P$5:$P$1004,MATCH(768,Firms!$U$5:$U$1004,0))&amp;"","")</f>
        <v/>
      </c>
      <c r="H772" s="91">
        <f>IFERROR(INDEX(Firms!$T$5:$T$1004,MATCH(768,Firms!$U$5:$U$1004,0))&amp;"","")</f>
        <v/>
      </c>
    </row>
    <row r="773">
      <c r="A773" s="79">
        <f>IF(B773="","",769)</f>
        <v/>
      </c>
      <c r="B773" s="91">
        <f>IFERROR(INDEX(Firms!$A$5:$A$1004,MATCH(769,Firms!$U$5:$U$1004,0))&amp;"","")</f>
        <v/>
      </c>
      <c r="C773" s="88">
        <f>IFERROR(IF(INDEX(Firms!$R$5:$R$1004,MATCH(769,Firms!$U$5:$U$1004,0))="","",INDEX(Firms!$R$5:$R$1004,MATCH(769,Firms!$U$5:$U$1004,0))),"")</f>
        <v/>
      </c>
      <c r="D773" s="91">
        <f>IFERROR(INDEX(Firms!$S$5:$S$1004,MATCH(769,Firms!$U$5:$U$1004,0))&amp;"","")</f>
        <v/>
      </c>
      <c r="E773" s="91">
        <f>IFERROR(INDEX(Firms!$C$5:$C$1004,MATCH(769,Firms!$U$5:$U$1004,0))&amp;"","")</f>
        <v/>
      </c>
      <c r="F773" s="79">
        <f>IFERROR(INDEX(Firms!$N$5:$N$1004,MATCH(769,Firms!$U$5:$U$1004,0))&amp;"","")</f>
        <v/>
      </c>
      <c r="G773" s="79">
        <f>IFERROR(INDEX(Firms!$P$5:$P$1004,MATCH(769,Firms!$U$5:$U$1004,0))&amp;"","")</f>
        <v/>
      </c>
      <c r="H773" s="91">
        <f>IFERROR(INDEX(Firms!$T$5:$T$1004,MATCH(769,Firms!$U$5:$U$1004,0))&amp;"","")</f>
        <v/>
      </c>
    </row>
    <row r="774">
      <c r="A774" s="79">
        <f>IF(B774="","",770)</f>
        <v/>
      </c>
      <c r="B774" s="91">
        <f>IFERROR(INDEX(Firms!$A$5:$A$1004,MATCH(770,Firms!$U$5:$U$1004,0))&amp;"","")</f>
        <v/>
      </c>
      <c r="C774" s="88">
        <f>IFERROR(IF(INDEX(Firms!$R$5:$R$1004,MATCH(770,Firms!$U$5:$U$1004,0))="","",INDEX(Firms!$R$5:$R$1004,MATCH(770,Firms!$U$5:$U$1004,0))),"")</f>
        <v/>
      </c>
      <c r="D774" s="91">
        <f>IFERROR(INDEX(Firms!$S$5:$S$1004,MATCH(770,Firms!$U$5:$U$1004,0))&amp;"","")</f>
        <v/>
      </c>
      <c r="E774" s="91">
        <f>IFERROR(INDEX(Firms!$C$5:$C$1004,MATCH(770,Firms!$U$5:$U$1004,0))&amp;"","")</f>
        <v/>
      </c>
      <c r="F774" s="79">
        <f>IFERROR(INDEX(Firms!$N$5:$N$1004,MATCH(770,Firms!$U$5:$U$1004,0))&amp;"","")</f>
        <v/>
      </c>
      <c r="G774" s="79">
        <f>IFERROR(INDEX(Firms!$P$5:$P$1004,MATCH(770,Firms!$U$5:$U$1004,0))&amp;"","")</f>
        <v/>
      </c>
      <c r="H774" s="91">
        <f>IFERROR(INDEX(Firms!$T$5:$T$1004,MATCH(770,Firms!$U$5:$U$1004,0))&amp;"","")</f>
        <v/>
      </c>
    </row>
    <row r="775">
      <c r="A775" s="79">
        <f>IF(B775="","",771)</f>
        <v/>
      </c>
      <c r="B775" s="91">
        <f>IFERROR(INDEX(Firms!$A$5:$A$1004,MATCH(771,Firms!$U$5:$U$1004,0))&amp;"","")</f>
        <v/>
      </c>
      <c r="C775" s="88">
        <f>IFERROR(IF(INDEX(Firms!$R$5:$R$1004,MATCH(771,Firms!$U$5:$U$1004,0))="","",INDEX(Firms!$R$5:$R$1004,MATCH(771,Firms!$U$5:$U$1004,0))),"")</f>
        <v/>
      </c>
      <c r="D775" s="91">
        <f>IFERROR(INDEX(Firms!$S$5:$S$1004,MATCH(771,Firms!$U$5:$U$1004,0))&amp;"","")</f>
        <v/>
      </c>
      <c r="E775" s="91">
        <f>IFERROR(INDEX(Firms!$C$5:$C$1004,MATCH(771,Firms!$U$5:$U$1004,0))&amp;"","")</f>
        <v/>
      </c>
      <c r="F775" s="79">
        <f>IFERROR(INDEX(Firms!$N$5:$N$1004,MATCH(771,Firms!$U$5:$U$1004,0))&amp;"","")</f>
        <v/>
      </c>
      <c r="G775" s="79">
        <f>IFERROR(INDEX(Firms!$P$5:$P$1004,MATCH(771,Firms!$U$5:$U$1004,0))&amp;"","")</f>
        <v/>
      </c>
      <c r="H775" s="91">
        <f>IFERROR(INDEX(Firms!$T$5:$T$1004,MATCH(771,Firms!$U$5:$U$1004,0))&amp;"","")</f>
        <v/>
      </c>
    </row>
    <row r="776">
      <c r="A776" s="79">
        <f>IF(B776="","",772)</f>
        <v/>
      </c>
      <c r="B776" s="91">
        <f>IFERROR(INDEX(Firms!$A$5:$A$1004,MATCH(772,Firms!$U$5:$U$1004,0))&amp;"","")</f>
        <v/>
      </c>
      <c r="C776" s="88">
        <f>IFERROR(IF(INDEX(Firms!$R$5:$R$1004,MATCH(772,Firms!$U$5:$U$1004,0))="","",INDEX(Firms!$R$5:$R$1004,MATCH(772,Firms!$U$5:$U$1004,0))),"")</f>
        <v/>
      </c>
      <c r="D776" s="91">
        <f>IFERROR(INDEX(Firms!$S$5:$S$1004,MATCH(772,Firms!$U$5:$U$1004,0))&amp;"","")</f>
        <v/>
      </c>
      <c r="E776" s="91">
        <f>IFERROR(INDEX(Firms!$C$5:$C$1004,MATCH(772,Firms!$U$5:$U$1004,0))&amp;"","")</f>
        <v/>
      </c>
      <c r="F776" s="79">
        <f>IFERROR(INDEX(Firms!$N$5:$N$1004,MATCH(772,Firms!$U$5:$U$1004,0))&amp;"","")</f>
        <v/>
      </c>
      <c r="G776" s="79">
        <f>IFERROR(INDEX(Firms!$P$5:$P$1004,MATCH(772,Firms!$U$5:$U$1004,0))&amp;"","")</f>
        <v/>
      </c>
      <c r="H776" s="91">
        <f>IFERROR(INDEX(Firms!$T$5:$T$1004,MATCH(772,Firms!$U$5:$U$1004,0))&amp;"","")</f>
        <v/>
      </c>
    </row>
    <row r="777">
      <c r="A777" s="79">
        <f>IF(B777="","",773)</f>
        <v/>
      </c>
      <c r="B777" s="91">
        <f>IFERROR(INDEX(Firms!$A$5:$A$1004,MATCH(773,Firms!$U$5:$U$1004,0))&amp;"","")</f>
        <v/>
      </c>
      <c r="C777" s="88">
        <f>IFERROR(IF(INDEX(Firms!$R$5:$R$1004,MATCH(773,Firms!$U$5:$U$1004,0))="","",INDEX(Firms!$R$5:$R$1004,MATCH(773,Firms!$U$5:$U$1004,0))),"")</f>
        <v/>
      </c>
      <c r="D777" s="91">
        <f>IFERROR(INDEX(Firms!$S$5:$S$1004,MATCH(773,Firms!$U$5:$U$1004,0))&amp;"","")</f>
        <v/>
      </c>
      <c r="E777" s="91">
        <f>IFERROR(INDEX(Firms!$C$5:$C$1004,MATCH(773,Firms!$U$5:$U$1004,0))&amp;"","")</f>
        <v/>
      </c>
      <c r="F777" s="79">
        <f>IFERROR(INDEX(Firms!$N$5:$N$1004,MATCH(773,Firms!$U$5:$U$1004,0))&amp;"","")</f>
        <v/>
      </c>
      <c r="G777" s="79">
        <f>IFERROR(INDEX(Firms!$P$5:$P$1004,MATCH(773,Firms!$U$5:$U$1004,0))&amp;"","")</f>
        <v/>
      </c>
      <c r="H777" s="91">
        <f>IFERROR(INDEX(Firms!$T$5:$T$1004,MATCH(773,Firms!$U$5:$U$1004,0))&amp;"","")</f>
        <v/>
      </c>
    </row>
    <row r="778">
      <c r="A778" s="79">
        <f>IF(B778="","",774)</f>
        <v/>
      </c>
      <c r="B778" s="91">
        <f>IFERROR(INDEX(Firms!$A$5:$A$1004,MATCH(774,Firms!$U$5:$U$1004,0))&amp;"","")</f>
        <v/>
      </c>
      <c r="C778" s="88">
        <f>IFERROR(IF(INDEX(Firms!$R$5:$R$1004,MATCH(774,Firms!$U$5:$U$1004,0))="","",INDEX(Firms!$R$5:$R$1004,MATCH(774,Firms!$U$5:$U$1004,0))),"")</f>
        <v/>
      </c>
      <c r="D778" s="91">
        <f>IFERROR(INDEX(Firms!$S$5:$S$1004,MATCH(774,Firms!$U$5:$U$1004,0))&amp;"","")</f>
        <v/>
      </c>
      <c r="E778" s="91">
        <f>IFERROR(INDEX(Firms!$C$5:$C$1004,MATCH(774,Firms!$U$5:$U$1004,0))&amp;"","")</f>
        <v/>
      </c>
      <c r="F778" s="79">
        <f>IFERROR(INDEX(Firms!$N$5:$N$1004,MATCH(774,Firms!$U$5:$U$1004,0))&amp;"","")</f>
        <v/>
      </c>
      <c r="G778" s="79">
        <f>IFERROR(INDEX(Firms!$P$5:$P$1004,MATCH(774,Firms!$U$5:$U$1004,0))&amp;"","")</f>
        <v/>
      </c>
      <c r="H778" s="91">
        <f>IFERROR(INDEX(Firms!$T$5:$T$1004,MATCH(774,Firms!$U$5:$U$1004,0))&amp;"","")</f>
        <v/>
      </c>
    </row>
    <row r="779">
      <c r="A779" s="79">
        <f>IF(B779="","",775)</f>
        <v/>
      </c>
      <c r="B779" s="91">
        <f>IFERROR(INDEX(Firms!$A$5:$A$1004,MATCH(775,Firms!$U$5:$U$1004,0))&amp;"","")</f>
        <v/>
      </c>
      <c r="C779" s="88">
        <f>IFERROR(IF(INDEX(Firms!$R$5:$R$1004,MATCH(775,Firms!$U$5:$U$1004,0))="","",INDEX(Firms!$R$5:$R$1004,MATCH(775,Firms!$U$5:$U$1004,0))),"")</f>
        <v/>
      </c>
      <c r="D779" s="91">
        <f>IFERROR(INDEX(Firms!$S$5:$S$1004,MATCH(775,Firms!$U$5:$U$1004,0))&amp;"","")</f>
        <v/>
      </c>
      <c r="E779" s="91">
        <f>IFERROR(INDEX(Firms!$C$5:$C$1004,MATCH(775,Firms!$U$5:$U$1004,0))&amp;"","")</f>
        <v/>
      </c>
      <c r="F779" s="79">
        <f>IFERROR(INDEX(Firms!$N$5:$N$1004,MATCH(775,Firms!$U$5:$U$1004,0))&amp;"","")</f>
        <v/>
      </c>
      <c r="G779" s="79">
        <f>IFERROR(INDEX(Firms!$P$5:$P$1004,MATCH(775,Firms!$U$5:$U$1004,0))&amp;"","")</f>
        <v/>
      </c>
      <c r="H779" s="91">
        <f>IFERROR(INDEX(Firms!$T$5:$T$1004,MATCH(775,Firms!$U$5:$U$1004,0))&amp;"","")</f>
        <v/>
      </c>
    </row>
    <row r="780">
      <c r="A780" s="79">
        <f>IF(B780="","",776)</f>
        <v/>
      </c>
      <c r="B780" s="91">
        <f>IFERROR(INDEX(Firms!$A$5:$A$1004,MATCH(776,Firms!$U$5:$U$1004,0))&amp;"","")</f>
        <v/>
      </c>
      <c r="C780" s="88">
        <f>IFERROR(IF(INDEX(Firms!$R$5:$R$1004,MATCH(776,Firms!$U$5:$U$1004,0))="","",INDEX(Firms!$R$5:$R$1004,MATCH(776,Firms!$U$5:$U$1004,0))),"")</f>
        <v/>
      </c>
      <c r="D780" s="91">
        <f>IFERROR(INDEX(Firms!$S$5:$S$1004,MATCH(776,Firms!$U$5:$U$1004,0))&amp;"","")</f>
        <v/>
      </c>
      <c r="E780" s="91">
        <f>IFERROR(INDEX(Firms!$C$5:$C$1004,MATCH(776,Firms!$U$5:$U$1004,0))&amp;"","")</f>
        <v/>
      </c>
      <c r="F780" s="79">
        <f>IFERROR(INDEX(Firms!$N$5:$N$1004,MATCH(776,Firms!$U$5:$U$1004,0))&amp;"","")</f>
        <v/>
      </c>
      <c r="G780" s="79">
        <f>IFERROR(INDEX(Firms!$P$5:$P$1004,MATCH(776,Firms!$U$5:$U$1004,0))&amp;"","")</f>
        <v/>
      </c>
      <c r="H780" s="91">
        <f>IFERROR(INDEX(Firms!$T$5:$T$1004,MATCH(776,Firms!$U$5:$U$1004,0))&amp;"","")</f>
        <v/>
      </c>
    </row>
    <row r="781">
      <c r="A781" s="79">
        <f>IF(B781="","",777)</f>
        <v/>
      </c>
      <c r="B781" s="91">
        <f>IFERROR(INDEX(Firms!$A$5:$A$1004,MATCH(777,Firms!$U$5:$U$1004,0))&amp;"","")</f>
        <v/>
      </c>
      <c r="C781" s="88">
        <f>IFERROR(IF(INDEX(Firms!$R$5:$R$1004,MATCH(777,Firms!$U$5:$U$1004,0))="","",INDEX(Firms!$R$5:$R$1004,MATCH(777,Firms!$U$5:$U$1004,0))),"")</f>
        <v/>
      </c>
      <c r="D781" s="91">
        <f>IFERROR(INDEX(Firms!$S$5:$S$1004,MATCH(777,Firms!$U$5:$U$1004,0))&amp;"","")</f>
        <v/>
      </c>
      <c r="E781" s="91">
        <f>IFERROR(INDEX(Firms!$C$5:$C$1004,MATCH(777,Firms!$U$5:$U$1004,0))&amp;"","")</f>
        <v/>
      </c>
      <c r="F781" s="79">
        <f>IFERROR(INDEX(Firms!$N$5:$N$1004,MATCH(777,Firms!$U$5:$U$1004,0))&amp;"","")</f>
        <v/>
      </c>
      <c r="G781" s="79">
        <f>IFERROR(INDEX(Firms!$P$5:$P$1004,MATCH(777,Firms!$U$5:$U$1004,0))&amp;"","")</f>
        <v/>
      </c>
      <c r="H781" s="91">
        <f>IFERROR(INDEX(Firms!$T$5:$T$1004,MATCH(777,Firms!$U$5:$U$1004,0))&amp;"","")</f>
        <v/>
      </c>
    </row>
    <row r="782">
      <c r="A782" s="79">
        <f>IF(B782="","",778)</f>
        <v/>
      </c>
      <c r="B782" s="91">
        <f>IFERROR(INDEX(Firms!$A$5:$A$1004,MATCH(778,Firms!$U$5:$U$1004,0))&amp;"","")</f>
        <v/>
      </c>
      <c r="C782" s="88">
        <f>IFERROR(IF(INDEX(Firms!$R$5:$R$1004,MATCH(778,Firms!$U$5:$U$1004,0))="","",INDEX(Firms!$R$5:$R$1004,MATCH(778,Firms!$U$5:$U$1004,0))),"")</f>
        <v/>
      </c>
      <c r="D782" s="91">
        <f>IFERROR(INDEX(Firms!$S$5:$S$1004,MATCH(778,Firms!$U$5:$U$1004,0))&amp;"","")</f>
        <v/>
      </c>
      <c r="E782" s="91">
        <f>IFERROR(INDEX(Firms!$C$5:$C$1004,MATCH(778,Firms!$U$5:$U$1004,0))&amp;"","")</f>
        <v/>
      </c>
      <c r="F782" s="79">
        <f>IFERROR(INDEX(Firms!$N$5:$N$1004,MATCH(778,Firms!$U$5:$U$1004,0))&amp;"","")</f>
        <v/>
      </c>
      <c r="G782" s="79">
        <f>IFERROR(INDEX(Firms!$P$5:$P$1004,MATCH(778,Firms!$U$5:$U$1004,0))&amp;"","")</f>
        <v/>
      </c>
      <c r="H782" s="91">
        <f>IFERROR(INDEX(Firms!$T$5:$T$1004,MATCH(778,Firms!$U$5:$U$1004,0))&amp;"","")</f>
        <v/>
      </c>
    </row>
    <row r="783">
      <c r="A783" s="79">
        <f>IF(B783="","",779)</f>
        <v/>
      </c>
      <c r="B783" s="91">
        <f>IFERROR(INDEX(Firms!$A$5:$A$1004,MATCH(779,Firms!$U$5:$U$1004,0))&amp;"","")</f>
        <v/>
      </c>
      <c r="C783" s="88">
        <f>IFERROR(IF(INDEX(Firms!$R$5:$R$1004,MATCH(779,Firms!$U$5:$U$1004,0))="","",INDEX(Firms!$R$5:$R$1004,MATCH(779,Firms!$U$5:$U$1004,0))),"")</f>
        <v/>
      </c>
      <c r="D783" s="91">
        <f>IFERROR(INDEX(Firms!$S$5:$S$1004,MATCH(779,Firms!$U$5:$U$1004,0))&amp;"","")</f>
        <v/>
      </c>
      <c r="E783" s="91">
        <f>IFERROR(INDEX(Firms!$C$5:$C$1004,MATCH(779,Firms!$U$5:$U$1004,0))&amp;"","")</f>
        <v/>
      </c>
      <c r="F783" s="79">
        <f>IFERROR(INDEX(Firms!$N$5:$N$1004,MATCH(779,Firms!$U$5:$U$1004,0))&amp;"","")</f>
        <v/>
      </c>
      <c r="G783" s="79">
        <f>IFERROR(INDEX(Firms!$P$5:$P$1004,MATCH(779,Firms!$U$5:$U$1004,0))&amp;"","")</f>
        <v/>
      </c>
      <c r="H783" s="91">
        <f>IFERROR(INDEX(Firms!$T$5:$T$1004,MATCH(779,Firms!$U$5:$U$1004,0))&amp;"","")</f>
        <v/>
      </c>
    </row>
    <row r="784">
      <c r="A784" s="79">
        <f>IF(B784="","",780)</f>
        <v/>
      </c>
      <c r="B784" s="91">
        <f>IFERROR(INDEX(Firms!$A$5:$A$1004,MATCH(780,Firms!$U$5:$U$1004,0))&amp;"","")</f>
        <v/>
      </c>
      <c r="C784" s="88">
        <f>IFERROR(IF(INDEX(Firms!$R$5:$R$1004,MATCH(780,Firms!$U$5:$U$1004,0))="","",INDEX(Firms!$R$5:$R$1004,MATCH(780,Firms!$U$5:$U$1004,0))),"")</f>
        <v/>
      </c>
      <c r="D784" s="91">
        <f>IFERROR(INDEX(Firms!$S$5:$S$1004,MATCH(780,Firms!$U$5:$U$1004,0))&amp;"","")</f>
        <v/>
      </c>
      <c r="E784" s="91">
        <f>IFERROR(INDEX(Firms!$C$5:$C$1004,MATCH(780,Firms!$U$5:$U$1004,0))&amp;"","")</f>
        <v/>
      </c>
      <c r="F784" s="79">
        <f>IFERROR(INDEX(Firms!$N$5:$N$1004,MATCH(780,Firms!$U$5:$U$1004,0))&amp;"","")</f>
        <v/>
      </c>
      <c r="G784" s="79">
        <f>IFERROR(INDEX(Firms!$P$5:$P$1004,MATCH(780,Firms!$U$5:$U$1004,0))&amp;"","")</f>
        <v/>
      </c>
      <c r="H784" s="91">
        <f>IFERROR(INDEX(Firms!$T$5:$T$1004,MATCH(780,Firms!$U$5:$U$1004,0))&amp;"","")</f>
        <v/>
      </c>
    </row>
    <row r="785">
      <c r="A785" s="79">
        <f>IF(B785="","",781)</f>
        <v/>
      </c>
      <c r="B785" s="91">
        <f>IFERROR(INDEX(Firms!$A$5:$A$1004,MATCH(781,Firms!$U$5:$U$1004,0))&amp;"","")</f>
        <v/>
      </c>
      <c r="C785" s="88">
        <f>IFERROR(IF(INDEX(Firms!$R$5:$R$1004,MATCH(781,Firms!$U$5:$U$1004,0))="","",INDEX(Firms!$R$5:$R$1004,MATCH(781,Firms!$U$5:$U$1004,0))),"")</f>
        <v/>
      </c>
      <c r="D785" s="91">
        <f>IFERROR(INDEX(Firms!$S$5:$S$1004,MATCH(781,Firms!$U$5:$U$1004,0))&amp;"","")</f>
        <v/>
      </c>
      <c r="E785" s="91">
        <f>IFERROR(INDEX(Firms!$C$5:$C$1004,MATCH(781,Firms!$U$5:$U$1004,0))&amp;"","")</f>
        <v/>
      </c>
      <c r="F785" s="79">
        <f>IFERROR(INDEX(Firms!$N$5:$N$1004,MATCH(781,Firms!$U$5:$U$1004,0))&amp;"","")</f>
        <v/>
      </c>
      <c r="G785" s="79">
        <f>IFERROR(INDEX(Firms!$P$5:$P$1004,MATCH(781,Firms!$U$5:$U$1004,0))&amp;"","")</f>
        <v/>
      </c>
      <c r="H785" s="91">
        <f>IFERROR(INDEX(Firms!$T$5:$T$1004,MATCH(781,Firms!$U$5:$U$1004,0))&amp;"","")</f>
        <v/>
      </c>
    </row>
    <row r="786">
      <c r="A786" s="79">
        <f>IF(B786="","",782)</f>
        <v/>
      </c>
      <c r="B786" s="91">
        <f>IFERROR(INDEX(Firms!$A$5:$A$1004,MATCH(782,Firms!$U$5:$U$1004,0))&amp;"","")</f>
        <v/>
      </c>
      <c r="C786" s="88">
        <f>IFERROR(IF(INDEX(Firms!$R$5:$R$1004,MATCH(782,Firms!$U$5:$U$1004,0))="","",INDEX(Firms!$R$5:$R$1004,MATCH(782,Firms!$U$5:$U$1004,0))),"")</f>
        <v/>
      </c>
      <c r="D786" s="91">
        <f>IFERROR(INDEX(Firms!$S$5:$S$1004,MATCH(782,Firms!$U$5:$U$1004,0))&amp;"","")</f>
        <v/>
      </c>
      <c r="E786" s="91">
        <f>IFERROR(INDEX(Firms!$C$5:$C$1004,MATCH(782,Firms!$U$5:$U$1004,0))&amp;"","")</f>
        <v/>
      </c>
      <c r="F786" s="79">
        <f>IFERROR(INDEX(Firms!$N$5:$N$1004,MATCH(782,Firms!$U$5:$U$1004,0))&amp;"","")</f>
        <v/>
      </c>
      <c r="G786" s="79">
        <f>IFERROR(INDEX(Firms!$P$5:$P$1004,MATCH(782,Firms!$U$5:$U$1004,0))&amp;"","")</f>
        <v/>
      </c>
      <c r="H786" s="91">
        <f>IFERROR(INDEX(Firms!$T$5:$T$1004,MATCH(782,Firms!$U$5:$U$1004,0))&amp;"","")</f>
        <v/>
      </c>
    </row>
    <row r="787">
      <c r="A787" s="79">
        <f>IF(B787="","",783)</f>
        <v/>
      </c>
      <c r="B787" s="91">
        <f>IFERROR(INDEX(Firms!$A$5:$A$1004,MATCH(783,Firms!$U$5:$U$1004,0))&amp;"","")</f>
        <v/>
      </c>
      <c r="C787" s="88">
        <f>IFERROR(IF(INDEX(Firms!$R$5:$R$1004,MATCH(783,Firms!$U$5:$U$1004,0))="","",INDEX(Firms!$R$5:$R$1004,MATCH(783,Firms!$U$5:$U$1004,0))),"")</f>
        <v/>
      </c>
      <c r="D787" s="91">
        <f>IFERROR(INDEX(Firms!$S$5:$S$1004,MATCH(783,Firms!$U$5:$U$1004,0))&amp;"","")</f>
        <v/>
      </c>
      <c r="E787" s="91">
        <f>IFERROR(INDEX(Firms!$C$5:$C$1004,MATCH(783,Firms!$U$5:$U$1004,0))&amp;"","")</f>
        <v/>
      </c>
      <c r="F787" s="79">
        <f>IFERROR(INDEX(Firms!$N$5:$N$1004,MATCH(783,Firms!$U$5:$U$1004,0))&amp;"","")</f>
        <v/>
      </c>
      <c r="G787" s="79">
        <f>IFERROR(INDEX(Firms!$P$5:$P$1004,MATCH(783,Firms!$U$5:$U$1004,0))&amp;"","")</f>
        <v/>
      </c>
      <c r="H787" s="91">
        <f>IFERROR(INDEX(Firms!$T$5:$T$1004,MATCH(783,Firms!$U$5:$U$1004,0))&amp;"","")</f>
        <v/>
      </c>
    </row>
    <row r="788">
      <c r="A788" s="79">
        <f>IF(B788="","",784)</f>
        <v/>
      </c>
      <c r="B788" s="91">
        <f>IFERROR(INDEX(Firms!$A$5:$A$1004,MATCH(784,Firms!$U$5:$U$1004,0))&amp;"","")</f>
        <v/>
      </c>
      <c r="C788" s="88">
        <f>IFERROR(IF(INDEX(Firms!$R$5:$R$1004,MATCH(784,Firms!$U$5:$U$1004,0))="","",INDEX(Firms!$R$5:$R$1004,MATCH(784,Firms!$U$5:$U$1004,0))),"")</f>
        <v/>
      </c>
      <c r="D788" s="91">
        <f>IFERROR(INDEX(Firms!$S$5:$S$1004,MATCH(784,Firms!$U$5:$U$1004,0))&amp;"","")</f>
        <v/>
      </c>
      <c r="E788" s="91">
        <f>IFERROR(INDEX(Firms!$C$5:$C$1004,MATCH(784,Firms!$U$5:$U$1004,0))&amp;"","")</f>
        <v/>
      </c>
      <c r="F788" s="79">
        <f>IFERROR(INDEX(Firms!$N$5:$N$1004,MATCH(784,Firms!$U$5:$U$1004,0))&amp;"","")</f>
        <v/>
      </c>
      <c r="G788" s="79">
        <f>IFERROR(INDEX(Firms!$P$5:$P$1004,MATCH(784,Firms!$U$5:$U$1004,0))&amp;"","")</f>
        <v/>
      </c>
      <c r="H788" s="91">
        <f>IFERROR(INDEX(Firms!$T$5:$T$1004,MATCH(784,Firms!$U$5:$U$1004,0))&amp;"","")</f>
        <v/>
      </c>
    </row>
    <row r="789">
      <c r="A789" s="79">
        <f>IF(B789="","",785)</f>
        <v/>
      </c>
      <c r="B789" s="91">
        <f>IFERROR(INDEX(Firms!$A$5:$A$1004,MATCH(785,Firms!$U$5:$U$1004,0))&amp;"","")</f>
        <v/>
      </c>
      <c r="C789" s="88">
        <f>IFERROR(IF(INDEX(Firms!$R$5:$R$1004,MATCH(785,Firms!$U$5:$U$1004,0))="","",INDEX(Firms!$R$5:$R$1004,MATCH(785,Firms!$U$5:$U$1004,0))),"")</f>
        <v/>
      </c>
      <c r="D789" s="91">
        <f>IFERROR(INDEX(Firms!$S$5:$S$1004,MATCH(785,Firms!$U$5:$U$1004,0))&amp;"","")</f>
        <v/>
      </c>
      <c r="E789" s="91">
        <f>IFERROR(INDEX(Firms!$C$5:$C$1004,MATCH(785,Firms!$U$5:$U$1004,0))&amp;"","")</f>
        <v/>
      </c>
      <c r="F789" s="79">
        <f>IFERROR(INDEX(Firms!$N$5:$N$1004,MATCH(785,Firms!$U$5:$U$1004,0))&amp;"","")</f>
        <v/>
      </c>
      <c r="G789" s="79">
        <f>IFERROR(INDEX(Firms!$P$5:$P$1004,MATCH(785,Firms!$U$5:$U$1004,0))&amp;"","")</f>
        <v/>
      </c>
      <c r="H789" s="91">
        <f>IFERROR(INDEX(Firms!$T$5:$T$1004,MATCH(785,Firms!$U$5:$U$1004,0))&amp;"","")</f>
        <v/>
      </c>
    </row>
    <row r="790">
      <c r="A790" s="79">
        <f>IF(B790="","",786)</f>
        <v/>
      </c>
      <c r="B790" s="91">
        <f>IFERROR(INDEX(Firms!$A$5:$A$1004,MATCH(786,Firms!$U$5:$U$1004,0))&amp;"","")</f>
        <v/>
      </c>
      <c r="C790" s="88">
        <f>IFERROR(IF(INDEX(Firms!$R$5:$R$1004,MATCH(786,Firms!$U$5:$U$1004,0))="","",INDEX(Firms!$R$5:$R$1004,MATCH(786,Firms!$U$5:$U$1004,0))),"")</f>
        <v/>
      </c>
      <c r="D790" s="91">
        <f>IFERROR(INDEX(Firms!$S$5:$S$1004,MATCH(786,Firms!$U$5:$U$1004,0))&amp;"","")</f>
        <v/>
      </c>
      <c r="E790" s="91">
        <f>IFERROR(INDEX(Firms!$C$5:$C$1004,MATCH(786,Firms!$U$5:$U$1004,0))&amp;"","")</f>
        <v/>
      </c>
      <c r="F790" s="79">
        <f>IFERROR(INDEX(Firms!$N$5:$N$1004,MATCH(786,Firms!$U$5:$U$1004,0))&amp;"","")</f>
        <v/>
      </c>
      <c r="G790" s="79">
        <f>IFERROR(INDEX(Firms!$P$5:$P$1004,MATCH(786,Firms!$U$5:$U$1004,0))&amp;"","")</f>
        <v/>
      </c>
      <c r="H790" s="91">
        <f>IFERROR(INDEX(Firms!$T$5:$T$1004,MATCH(786,Firms!$U$5:$U$1004,0))&amp;"","")</f>
        <v/>
      </c>
    </row>
    <row r="791">
      <c r="A791" s="79">
        <f>IF(B791="","",787)</f>
        <v/>
      </c>
      <c r="B791" s="91">
        <f>IFERROR(INDEX(Firms!$A$5:$A$1004,MATCH(787,Firms!$U$5:$U$1004,0))&amp;"","")</f>
        <v/>
      </c>
      <c r="C791" s="88">
        <f>IFERROR(IF(INDEX(Firms!$R$5:$R$1004,MATCH(787,Firms!$U$5:$U$1004,0))="","",INDEX(Firms!$R$5:$R$1004,MATCH(787,Firms!$U$5:$U$1004,0))),"")</f>
        <v/>
      </c>
      <c r="D791" s="91">
        <f>IFERROR(INDEX(Firms!$S$5:$S$1004,MATCH(787,Firms!$U$5:$U$1004,0))&amp;"","")</f>
        <v/>
      </c>
      <c r="E791" s="91">
        <f>IFERROR(INDEX(Firms!$C$5:$C$1004,MATCH(787,Firms!$U$5:$U$1004,0))&amp;"","")</f>
        <v/>
      </c>
      <c r="F791" s="79">
        <f>IFERROR(INDEX(Firms!$N$5:$N$1004,MATCH(787,Firms!$U$5:$U$1004,0))&amp;"","")</f>
        <v/>
      </c>
      <c r="G791" s="79">
        <f>IFERROR(INDEX(Firms!$P$5:$P$1004,MATCH(787,Firms!$U$5:$U$1004,0))&amp;"","")</f>
        <v/>
      </c>
      <c r="H791" s="91">
        <f>IFERROR(INDEX(Firms!$T$5:$T$1004,MATCH(787,Firms!$U$5:$U$1004,0))&amp;"","")</f>
        <v/>
      </c>
    </row>
    <row r="792">
      <c r="A792" s="79">
        <f>IF(B792="","",788)</f>
        <v/>
      </c>
      <c r="B792" s="91">
        <f>IFERROR(INDEX(Firms!$A$5:$A$1004,MATCH(788,Firms!$U$5:$U$1004,0))&amp;"","")</f>
        <v/>
      </c>
      <c r="C792" s="88">
        <f>IFERROR(IF(INDEX(Firms!$R$5:$R$1004,MATCH(788,Firms!$U$5:$U$1004,0))="","",INDEX(Firms!$R$5:$R$1004,MATCH(788,Firms!$U$5:$U$1004,0))),"")</f>
        <v/>
      </c>
      <c r="D792" s="91">
        <f>IFERROR(INDEX(Firms!$S$5:$S$1004,MATCH(788,Firms!$U$5:$U$1004,0))&amp;"","")</f>
        <v/>
      </c>
      <c r="E792" s="91">
        <f>IFERROR(INDEX(Firms!$C$5:$C$1004,MATCH(788,Firms!$U$5:$U$1004,0))&amp;"","")</f>
        <v/>
      </c>
      <c r="F792" s="79">
        <f>IFERROR(INDEX(Firms!$N$5:$N$1004,MATCH(788,Firms!$U$5:$U$1004,0))&amp;"","")</f>
        <v/>
      </c>
      <c r="G792" s="79">
        <f>IFERROR(INDEX(Firms!$P$5:$P$1004,MATCH(788,Firms!$U$5:$U$1004,0))&amp;"","")</f>
        <v/>
      </c>
      <c r="H792" s="91">
        <f>IFERROR(INDEX(Firms!$T$5:$T$1004,MATCH(788,Firms!$U$5:$U$1004,0))&amp;"","")</f>
        <v/>
      </c>
    </row>
    <row r="793">
      <c r="A793" s="79">
        <f>IF(B793="","",789)</f>
        <v/>
      </c>
      <c r="B793" s="91">
        <f>IFERROR(INDEX(Firms!$A$5:$A$1004,MATCH(789,Firms!$U$5:$U$1004,0))&amp;"","")</f>
        <v/>
      </c>
      <c r="C793" s="88">
        <f>IFERROR(IF(INDEX(Firms!$R$5:$R$1004,MATCH(789,Firms!$U$5:$U$1004,0))="","",INDEX(Firms!$R$5:$R$1004,MATCH(789,Firms!$U$5:$U$1004,0))),"")</f>
        <v/>
      </c>
      <c r="D793" s="91">
        <f>IFERROR(INDEX(Firms!$S$5:$S$1004,MATCH(789,Firms!$U$5:$U$1004,0))&amp;"","")</f>
        <v/>
      </c>
      <c r="E793" s="91">
        <f>IFERROR(INDEX(Firms!$C$5:$C$1004,MATCH(789,Firms!$U$5:$U$1004,0))&amp;"","")</f>
        <v/>
      </c>
      <c r="F793" s="79">
        <f>IFERROR(INDEX(Firms!$N$5:$N$1004,MATCH(789,Firms!$U$5:$U$1004,0))&amp;"","")</f>
        <v/>
      </c>
      <c r="G793" s="79">
        <f>IFERROR(INDEX(Firms!$P$5:$P$1004,MATCH(789,Firms!$U$5:$U$1004,0))&amp;"","")</f>
        <v/>
      </c>
      <c r="H793" s="91">
        <f>IFERROR(INDEX(Firms!$T$5:$T$1004,MATCH(789,Firms!$U$5:$U$1004,0))&amp;"","")</f>
        <v/>
      </c>
    </row>
    <row r="794">
      <c r="A794" s="79">
        <f>IF(B794="","",790)</f>
        <v/>
      </c>
      <c r="B794" s="91">
        <f>IFERROR(INDEX(Firms!$A$5:$A$1004,MATCH(790,Firms!$U$5:$U$1004,0))&amp;"","")</f>
        <v/>
      </c>
      <c r="C794" s="88">
        <f>IFERROR(IF(INDEX(Firms!$R$5:$R$1004,MATCH(790,Firms!$U$5:$U$1004,0))="","",INDEX(Firms!$R$5:$R$1004,MATCH(790,Firms!$U$5:$U$1004,0))),"")</f>
        <v/>
      </c>
      <c r="D794" s="91">
        <f>IFERROR(INDEX(Firms!$S$5:$S$1004,MATCH(790,Firms!$U$5:$U$1004,0))&amp;"","")</f>
        <v/>
      </c>
      <c r="E794" s="91">
        <f>IFERROR(INDEX(Firms!$C$5:$C$1004,MATCH(790,Firms!$U$5:$U$1004,0))&amp;"","")</f>
        <v/>
      </c>
      <c r="F794" s="79">
        <f>IFERROR(INDEX(Firms!$N$5:$N$1004,MATCH(790,Firms!$U$5:$U$1004,0))&amp;"","")</f>
        <v/>
      </c>
      <c r="G794" s="79">
        <f>IFERROR(INDEX(Firms!$P$5:$P$1004,MATCH(790,Firms!$U$5:$U$1004,0))&amp;"","")</f>
        <v/>
      </c>
      <c r="H794" s="91">
        <f>IFERROR(INDEX(Firms!$T$5:$T$1004,MATCH(790,Firms!$U$5:$U$1004,0))&amp;"","")</f>
        <v/>
      </c>
    </row>
    <row r="795">
      <c r="A795" s="79">
        <f>IF(B795="","",791)</f>
        <v/>
      </c>
      <c r="B795" s="91">
        <f>IFERROR(INDEX(Firms!$A$5:$A$1004,MATCH(791,Firms!$U$5:$U$1004,0))&amp;"","")</f>
        <v/>
      </c>
      <c r="C795" s="88">
        <f>IFERROR(IF(INDEX(Firms!$R$5:$R$1004,MATCH(791,Firms!$U$5:$U$1004,0))="","",INDEX(Firms!$R$5:$R$1004,MATCH(791,Firms!$U$5:$U$1004,0))),"")</f>
        <v/>
      </c>
      <c r="D795" s="91">
        <f>IFERROR(INDEX(Firms!$S$5:$S$1004,MATCH(791,Firms!$U$5:$U$1004,0))&amp;"","")</f>
        <v/>
      </c>
      <c r="E795" s="91">
        <f>IFERROR(INDEX(Firms!$C$5:$C$1004,MATCH(791,Firms!$U$5:$U$1004,0))&amp;"","")</f>
        <v/>
      </c>
      <c r="F795" s="79">
        <f>IFERROR(INDEX(Firms!$N$5:$N$1004,MATCH(791,Firms!$U$5:$U$1004,0))&amp;"","")</f>
        <v/>
      </c>
      <c r="G795" s="79">
        <f>IFERROR(INDEX(Firms!$P$5:$P$1004,MATCH(791,Firms!$U$5:$U$1004,0))&amp;"","")</f>
        <v/>
      </c>
      <c r="H795" s="91">
        <f>IFERROR(INDEX(Firms!$T$5:$T$1004,MATCH(791,Firms!$U$5:$U$1004,0))&amp;"","")</f>
        <v/>
      </c>
    </row>
    <row r="796">
      <c r="A796" s="79">
        <f>IF(B796="","",792)</f>
        <v/>
      </c>
      <c r="B796" s="91">
        <f>IFERROR(INDEX(Firms!$A$5:$A$1004,MATCH(792,Firms!$U$5:$U$1004,0))&amp;"","")</f>
        <v/>
      </c>
      <c r="C796" s="88">
        <f>IFERROR(IF(INDEX(Firms!$R$5:$R$1004,MATCH(792,Firms!$U$5:$U$1004,0))="","",INDEX(Firms!$R$5:$R$1004,MATCH(792,Firms!$U$5:$U$1004,0))),"")</f>
        <v/>
      </c>
      <c r="D796" s="91">
        <f>IFERROR(INDEX(Firms!$S$5:$S$1004,MATCH(792,Firms!$U$5:$U$1004,0))&amp;"","")</f>
        <v/>
      </c>
      <c r="E796" s="91">
        <f>IFERROR(INDEX(Firms!$C$5:$C$1004,MATCH(792,Firms!$U$5:$U$1004,0))&amp;"","")</f>
        <v/>
      </c>
      <c r="F796" s="79">
        <f>IFERROR(INDEX(Firms!$N$5:$N$1004,MATCH(792,Firms!$U$5:$U$1004,0))&amp;"","")</f>
        <v/>
      </c>
      <c r="G796" s="79">
        <f>IFERROR(INDEX(Firms!$P$5:$P$1004,MATCH(792,Firms!$U$5:$U$1004,0))&amp;"","")</f>
        <v/>
      </c>
      <c r="H796" s="91">
        <f>IFERROR(INDEX(Firms!$T$5:$T$1004,MATCH(792,Firms!$U$5:$U$1004,0))&amp;"","")</f>
        <v/>
      </c>
    </row>
    <row r="797">
      <c r="A797" s="79">
        <f>IF(B797="","",793)</f>
        <v/>
      </c>
      <c r="B797" s="91">
        <f>IFERROR(INDEX(Firms!$A$5:$A$1004,MATCH(793,Firms!$U$5:$U$1004,0))&amp;"","")</f>
        <v/>
      </c>
      <c r="C797" s="88">
        <f>IFERROR(IF(INDEX(Firms!$R$5:$R$1004,MATCH(793,Firms!$U$5:$U$1004,0))="","",INDEX(Firms!$R$5:$R$1004,MATCH(793,Firms!$U$5:$U$1004,0))),"")</f>
        <v/>
      </c>
      <c r="D797" s="91">
        <f>IFERROR(INDEX(Firms!$S$5:$S$1004,MATCH(793,Firms!$U$5:$U$1004,0))&amp;"","")</f>
        <v/>
      </c>
      <c r="E797" s="91">
        <f>IFERROR(INDEX(Firms!$C$5:$C$1004,MATCH(793,Firms!$U$5:$U$1004,0))&amp;"","")</f>
        <v/>
      </c>
      <c r="F797" s="79">
        <f>IFERROR(INDEX(Firms!$N$5:$N$1004,MATCH(793,Firms!$U$5:$U$1004,0))&amp;"","")</f>
        <v/>
      </c>
      <c r="G797" s="79">
        <f>IFERROR(INDEX(Firms!$P$5:$P$1004,MATCH(793,Firms!$U$5:$U$1004,0))&amp;"","")</f>
        <v/>
      </c>
      <c r="H797" s="91">
        <f>IFERROR(INDEX(Firms!$T$5:$T$1004,MATCH(793,Firms!$U$5:$U$1004,0))&amp;"","")</f>
        <v/>
      </c>
    </row>
    <row r="798">
      <c r="A798" s="79">
        <f>IF(B798="","",794)</f>
        <v/>
      </c>
      <c r="B798" s="91">
        <f>IFERROR(INDEX(Firms!$A$5:$A$1004,MATCH(794,Firms!$U$5:$U$1004,0))&amp;"","")</f>
        <v/>
      </c>
      <c r="C798" s="88">
        <f>IFERROR(IF(INDEX(Firms!$R$5:$R$1004,MATCH(794,Firms!$U$5:$U$1004,0))="","",INDEX(Firms!$R$5:$R$1004,MATCH(794,Firms!$U$5:$U$1004,0))),"")</f>
        <v/>
      </c>
      <c r="D798" s="91">
        <f>IFERROR(INDEX(Firms!$S$5:$S$1004,MATCH(794,Firms!$U$5:$U$1004,0))&amp;"","")</f>
        <v/>
      </c>
      <c r="E798" s="91">
        <f>IFERROR(INDEX(Firms!$C$5:$C$1004,MATCH(794,Firms!$U$5:$U$1004,0))&amp;"","")</f>
        <v/>
      </c>
      <c r="F798" s="79">
        <f>IFERROR(INDEX(Firms!$N$5:$N$1004,MATCH(794,Firms!$U$5:$U$1004,0))&amp;"","")</f>
        <v/>
      </c>
      <c r="G798" s="79">
        <f>IFERROR(INDEX(Firms!$P$5:$P$1004,MATCH(794,Firms!$U$5:$U$1004,0))&amp;"","")</f>
        <v/>
      </c>
      <c r="H798" s="91">
        <f>IFERROR(INDEX(Firms!$T$5:$T$1004,MATCH(794,Firms!$U$5:$U$1004,0))&amp;"","")</f>
        <v/>
      </c>
    </row>
    <row r="799">
      <c r="A799" s="79">
        <f>IF(B799="","",795)</f>
        <v/>
      </c>
      <c r="B799" s="91">
        <f>IFERROR(INDEX(Firms!$A$5:$A$1004,MATCH(795,Firms!$U$5:$U$1004,0))&amp;"","")</f>
        <v/>
      </c>
      <c r="C799" s="88">
        <f>IFERROR(IF(INDEX(Firms!$R$5:$R$1004,MATCH(795,Firms!$U$5:$U$1004,0))="","",INDEX(Firms!$R$5:$R$1004,MATCH(795,Firms!$U$5:$U$1004,0))),"")</f>
        <v/>
      </c>
      <c r="D799" s="91">
        <f>IFERROR(INDEX(Firms!$S$5:$S$1004,MATCH(795,Firms!$U$5:$U$1004,0))&amp;"","")</f>
        <v/>
      </c>
      <c r="E799" s="91">
        <f>IFERROR(INDEX(Firms!$C$5:$C$1004,MATCH(795,Firms!$U$5:$U$1004,0))&amp;"","")</f>
        <v/>
      </c>
      <c r="F799" s="79">
        <f>IFERROR(INDEX(Firms!$N$5:$N$1004,MATCH(795,Firms!$U$5:$U$1004,0))&amp;"","")</f>
        <v/>
      </c>
      <c r="G799" s="79">
        <f>IFERROR(INDEX(Firms!$P$5:$P$1004,MATCH(795,Firms!$U$5:$U$1004,0))&amp;"","")</f>
        <v/>
      </c>
      <c r="H799" s="91">
        <f>IFERROR(INDEX(Firms!$T$5:$T$1004,MATCH(795,Firms!$U$5:$U$1004,0))&amp;"","")</f>
        <v/>
      </c>
    </row>
    <row r="800">
      <c r="A800" s="79">
        <f>IF(B800="","",796)</f>
        <v/>
      </c>
      <c r="B800" s="91">
        <f>IFERROR(INDEX(Firms!$A$5:$A$1004,MATCH(796,Firms!$U$5:$U$1004,0))&amp;"","")</f>
        <v/>
      </c>
      <c r="C800" s="88">
        <f>IFERROR(IF(INDEX(Firms!$R$5:$R$1004,MATCH(796,Firms!$U$5:$U$1004,0))="","",INDEX(Firms!$R$5:$R$1004,MATCH(796,Firms!$U$5:$U$1004,0))),"")</f>
        <v/>
      </c>
      <c r="D800" s="91">
        <f>IFERROR(INDEX(Firms!$S$5:$S$1004,MATCH(796,Firms!$U$5:$U$1004,0))&amp;"","")</f>
        <v/>
      </c>
      <c r="E800" s="91">
        <f>IFERROR(INDEX(Firms!$C$5:$C$1004,MATCH(796,Firms!$U$5:$U$1004,0))&amp;"","")</f>
        <v/>
      </c>
      <c r="F800" s="79">
        <f>IFERROR(INDEX(Firms!$N$5:$N$1004,MATCH(796,Firms!$U$5:$U$1004,0))&amp;"","")</f>
        <v/>
      </c>
      <c r="G800" s="79">
        <f>IFERROR(INDEX(Firms!$P$5:$P$1004,MATCH(796,Firms!$U$5:$U$1004,0))&amp;"","")</f>
        <v/>
      </c>
      <c r="H800" s="91">
        <f>IFERROR(INDEX(Firms!$T$5:$T$1004,MATCH(796,Firms!$U$5:$U$1004,0))&amp;"","")</f>
        <v/>
      </c>
    </row>
    <row r="801">
      <c r="A801" s="79">
        <f>IF(B801="","",797)</f>
        <v/>
      </c>
      <c r="B801" s="91">
        <f>IFERROR(INDEX(Firms!$A$5:$A$1004,MATCH(797,Firms!$U$5:$U$1004,0))&amp;"","")</f>
        <v/>
      </c>
      <c r="C801" s="88">
        <f>IFERROR(IF(INDEX(Firms!$R$5:$R$1004,MATCH(797,Firms!$U$5:$U$1004,0))="","",INDEX(Firms!$R$5:$R$1004,MATCH(797,Firms!$U$5:$U$1004,0))),"")</f>
        <v/>
      </c>
      <c r="D801" s="91">
        <f>IFERROR(INDEX(Firms!$S$5:$S$1004,MATCH(797,Firms!$U$5:$U$1004,0))&amp;"","")</f>
        <v/>
      </c>
      <c r="E801" s="91">
        <f>IFERROR(INDEX(Firms!$C$5:$C$1004,MATCH(797,Firms!$U$5:$U$1004,0))&amp;"","")</f>
        <v/>
      </c>
      <c r="F801" s="79">
        <f>IFERROR(INDEX(Firms!$N$5:$N$1004,MATCH(797,Firms!$U$5:$U$1004,0))&amp;"","")</f>
        <v/>
      </c>
      <c r="G801" s="79">
        <f>IFERROR(INDEX(Firms!$P$5:$P$1004,MATCH(797,Firms!$U$5:$U$1004,0))&amp;"","")</f>
        <v/>
      </c>
      <c r="H801" s="91">
        <f>IFERROR(INDEX(Firms!$T$5:$T$1004,MATCH(797,Firms!$U$5:$U$1004,0))&amp;"","")</f>
        <v/>
      </c>
    </row>
    <row r="802">
      <c r="A802" s="79">
        <f>IF(B802="","",798)</f>
        <v/>
      </c>
      <c r="B802" s="91">
        <f>IFERROR(INDEX(Firms!$A$5:$A$1004,MATCH(798,Firms!$U$5:$U$1004,0))&amp;"","")</f>
        <v/>
      </c>
      <c r="C802" s="88">
        <f>IFERROR(IF(INDEX(Firms!$R$5:$R$1004,MATCH(798,Firms!$U$5:$U$1004,0))="","",INDEX(Firms!$R$5:$R$1004,MATCH(798,Firms!$U$5:$U$1004,0))),"")</f>
        <v/>
      </c>
      <c r="D802" s="91">
        <f>IFERROR(INDEX(Firms!$S$5:$S$1004,MATCH(798,Firms!$U$5:$U$1004,0))&amp;"","")</f>
        <v/>
      </c>
      <c r="E802" s="91">
        <f>IFERROR(INDEX(Firms!$C$5:$C$1004,MATCH(798,Firms!$U$5:$U$1004,0))&amp;"","")</f>
        <v/>
      </c>
      <c r="F802" s="79">
        <f>IFERROR(INDEX(Firms!$N$5:$N$1004,MATCH(798,Firms!$U$5:$U$1004,0))&amp;"","")</f>
        <v/>
      </c>
      <c r="G802" s="79">
        <f>IFERROR(INDEX(Firms!$P$5:$P$1004,MATCH(798,Firms!$U$5:$U$1004,0))&amp;"","")</f>
        <v/>
      </c>
      <c r="H802" s="91">
        <f>IFERROR(INDEX(Firms!$T$5:$T$1004,MATCH(798,Firms!$U$5:$U$1004,0))&amp;"","")</f>
        <v/>
      </c>
    </row>
    <row r="803">
      <c r="A803" s="79">
        <f>IF(B803="","",799)</f>
        <v/>
      </c>
      <c r="B803" s="91">
        <f>IFERROR(INDEX(Firms!$A$5:$A$1004,MATCH(799,Firms!$U$5:$U$1004,0))&amp;"","")</f>
        <v/>
      </c>
      <c r="C803" s="88">
        <f>IFERROR(IF(INDEX(Firms!$R$5:$R$1004,MATCH(799,Firms!$U$5:$U$1004,0))="","",INDEX(Firms!$R$5:$R$1004,MATCH(799,Firms!$U$5:$U$1004,0))),"")</f>
        <v/>
      </c>
      <c r="D803" s="91">
        <f>IFERROR(INDEX(Firms!$S$5:$S$1004,MATCH(799,Firms!$U$5:$U$1004,0))&amp;"","")</f>
        <v/>
      </c>
      <c r="E803" s="91">
        <f>IFERROR(INDEX(Firms!$C$5:$C$1004,MATCH(799,Firms!$U$5:$U$1004,0))&amp;"","")</f>
        <v/>
      </c>
      <c r="F803" s="79">
        <f>IFERROR(INDEX(Firms!$N$5:$N$1004,MATCH(799,Firms!$U$5:$U$1004,0))&amp;"","")</f>
        <v/>
      </c>
      <c r="G803" s="79">
        <f>IFERROR(INDEX(Firms!$P$5:$P$1004,MATCH(799,Firms!$U$5:$U$1004,0))&amp;"","")</f>
        <v/>
      </c>
      <c r="H803" s="91">
        <f>IFERROR(INDEX(Firms!$T$5:$T$1004,MATCH(799,Firms!$U$5:$U$1004,0))&amp;"","")</f>
        <v/>
      </c>
    </row>
    <row r="804">
      <c r="A804" s="79">
        <f>IF(B804="","",800)</f>
        <v/>
      </c>
      <c r="B804" s="91">
        <f>IFERROR(INDEX(Firms!$A$5:$A$1004,MATCH(800,Firms!$U$5:$U$1004,0))&amp;"","")</f>
        <v/>
      </c>
      <c r="C804" s="88">
        <f>IFERROR(IF(INDEX(Firms!$R$5:$R$1004,MATCH(800,Firms!$U$5:$U$1004,0))="","",INDEX(Firms!$R$5:$R$1004,MATCH(800,Firms!$U$5:$U$1004,0))),"")</f>
        <v/>
      </c>
      <c r="D804" s="91">
        <f>IFERROR(INDEX(Firms!$S$5:$S$1004,MATCH(800,Firms!$U$5:$U$1004,0))&amp;"","")</f>
        <v/>
      </c>
      <c r="E804" s="91">
        <f>IFERROR(INDEX(Firms!$C$5:$C$1004,MATCH(800,Firms!$U$5:$U$1004,0))&amp;"","")</f>
        <v/>
      </c>
      <c r="F804" s="79">
        <f>IFERROR(INDEX(Firms!$N$5:$N$1004,MATCH(800,Firms!$U$5:$U$1004,0))&amp;"","")</f>
        <v/>
      </c>
      <c r="G804" s="79">
        <f>IFERROR(INDEX(Firms!$P$5:$P$1004,MATCH(800,Firms!$U$5:$U$1004,0))&amp;"","")</f>
        <v/>
      </c>
      <c r="H804" s="91">
        <f>IFERROR(INDEX(Firms!$T$5:$T$1004,MATCH(800,Firms!$U$5:$U$1004,0))&amp;"","")</f>
        <v/>
      </c>
    </row>
    <row r="805">
      <c r="A805" s="79">
        <f>IF(B805="","",801)</f>
        <v/>
      </c>
      <c r="B805" s="91">
        <f>IFERROR(INDEX(Firms!$A$5:$A$1004,MATCH(801,Firms!$U$5:$U$1004,0))&amp;"","")</f>
        <v/>
      </c>
      <c r="C805" s="88">
        <f>IFERROR(IF(INDEX(Firms!$R$5:$R$1004,MATCH(801,Firms!$U$5:$U$1004,0))="","",INDEX(Firms!$R$5:$R$1004,MATCH(801,Firms!$U$5:$U$1004,0))),"")</f>
        <v/>
      </c>
      <c r="D805" s="91">
        <f>IFERROR(INDEX(Firms!$S$5:$S$1004,MATCH(801,Firms!$U$5:$U$1004,0))&amp;"","")</f>
        <v/>
      </c>
      <c r="E805" s="91">
        <f>IFERROR(INDEX(Firms!$C$5:$C$1004,MATCH(801,Firms!$U$5:$U$1004,0))&amp;"","")</f>
        <v/>
      </c>
      <c r="F805" s="79">
        <f>IFERROR(INDEX(Firms!$N$5:$N$1004,MATCH(801,Firms!$U$5:$U$1004,0))&amp;"","")</f>
        <v/>
      </c>
      <c r="G805" s="79">
        <f>IFERROR(INDEX(Firms!$P$5:$P$1004,MATCH(801,Firms!$U$5:$U$1004,0))&amp;"","")</f>
        <v/>
      </c>
      <c r="H805" s="91">
        <f>IFERROR(INDEX(Firms!$T$5:$T$1004,MATCH(801,Firms!$U$5:$U$1004,0))&amp;"","")</f>
        <v/>
      </c>
    </row>
    <row r="806">
      <c r="A806" s="79">
        <f>IF(B806="","",802)</f>
        <v/>
      </c>
      <c r="B806" s="91">
        <f>IFERROR(INDEX(Firms!$A$5:$A$1004,MATCH(802,Firms!$U$5:$U$1004,0))&amp;"","")</f>
        <v/>
      </c>
      <c r="C806" s="88">
        <f>IFERROR(IF(INDEX(Firms!$R$5:$R$1004,MATCH(802,Firms!$U$5:$U$1004,0))="","",INDEX(Firms!$R$5:$R$1004,MATCH(802,Firms!$U$5:$U$1004,0))),"")</f>
        <v/>
      </c>
      <c r="D806" s="91">
        <f>IFERROR(INDEX(Firms!$S$5:$S$1004,MATCH(802,Firms!$U$5:$U$1004,0))&amp;"","")</f>
        <v/>
      </c>
      <c r="E806" s="91">
        <f>IFERROR(INDEX(Firms!$C$5:$C$1004,MATCH(802,Firms!$U$5:$U$1004,0))&amp;"","")</f>
        <v/>
      </c>
      <c r="F806" s="79">
        <f>IFERROR(INDEX(Firms!$N$5:$N$1004,MATCH(802,Firms!$U$5:$U$1004,0))&amp;"","")</f>
        <v/>
      </c>
      <c r="G806" s="79">
        <f>IFERROR(INDEX(Firms!$P$5:$P$1004,MATCH(802,Firms!$U$5:$U$1004,0))&amp;"","")</f>
        <v/>
      </c>
      <c r="H806" s="91">
        <f>IFERROR(INDEX(Firms!$T$5:$T$1004,MATCH(802,Firms!$U$5:$U$1004,0))&amp;"","")</f>
        <v/>
      </c>
    </row>
    <row r="807">
      <c r="A807" s="79">
        <f>IF(B807="","",803)</f>
        <v/>
      </c>
      <c r="B807" s="91">
        <f>IFERROR(INDEX(Firms!$A$5:$A$1004,MATCH(803,Firms!$U$5:$U$1004,0))&amp;"","")</f>
        <v/>
      </c>
      <c r="C807" s="88">
        <f>IFERROR(IF(INDEX(Firms!$R$5:$R$1004,MATCH(803,Firms!$U$5:$U$1004,0))="","",INDEX(Firms!$R$5:$R$1004,MATCH(803,Firms!$U$5:$U$1004,0))),"")</f>
        <v/>
      </c>
      <c r="D807" s="91">
        <f>IFERROR(INDEX(Firms!$S$5:$S$1004,MATCH(803,Firms!$U$5:$U$1004,0))&amp;"","")</f>
        <v/>
      </c>
      <c r="E807" s="91">
        <f>IFERROR(INDEX(Firms!$C$5:$C$1004,MATCH(803,Firms!$U$5:$U$1004,0))&amp;"","")</f>
        <v/>
      </c>
      <c r="F807" s="79">
        <f>IFERROR(INDEX(Firms!$N$5:$N$1004,MATCH(803,Firms!$U$5:$U$1004,0))&amp;"","")</f>
        <v/>
      </c>
      <c r="G807" s="79">
        <f>IFERROR(INDEX(Firms!$P$5:$P$1004,MATCH(803,Firms!$U$5:$U$1004,0))&amp;"","")</f>
        <v/>
      </c>
      <c r="H807" s="91">
        <f>IFERROR(INDEX(Firms!$T$5:$T$1004,MATCH(803,Firms!$U$5:$U$1004,0))&amp;"","")</f>
        <v/>
      </c>
    </row>
    <row r="808">
      <c r="A808" s="79">
        <f>IF(B808="","",804)</f>
        <v/>
      </c>
      <c r="B808" s="91">
        <f>IFERROR(INDEX(Firms!$A$5:$A$1004,MATCH(804,Firms!$U$5:$U$1004,0))&amp;"","")</f>
        <v/>
      </c>
      <c r="C808" s="88">
        <f>IFERROR(IF(INDEX(Firms!$R$5:$R$1004,MATCH(804,Firms!$U$5:$U$1004,0))="","",INDEX(Firms!$R$5:$R$1004,MATCH(804,Firms!$U$5:$U$1004,0))),"")</f>
        <v/>
      </c>
      <c r="D808" s="91">
        <f>IFERROR(INDEX(Firms!$S$5:$S$1004,MATCH(804,Firms!$U$5:$U$1004,0))&amp;"","")</f>
        <v/>
      </c>
      <c r="E808" s="91">
        <f>IFERROR(INDEX(Firms!$C$5:$C$1004,MATCH(804,Firms!$U$5:$U$1004,0))&amp;"","")</f>
        <v/>
      </c>
      <c r="F808" s="79">
        <f>IFERROR(INDEX(Firms!$N$5:$N$1004,MATCH(804,Firms!$U$5:$U$1004,0))&amp;"","")</f>
        <v/>
      </c>
      <c r="G808" s="79">
        <f>IFERROR(INDEX(Firms!$P$5:$P$1004,MATCH(804,Firms!$U$5:$U$1004,0))&amp;"","")</f>
        <v/>
      </c>
      <c r="H808" s="91">
        <f>IFERROR(INDEX(Firms!$T$5:$T$1004,MATCH(804,Firms!$U$5:$U$1004,0))&amp;"","")</f>
        <v/>
      </c>
    </row>
    <row r="809">
      <c r="A809" s="79">
        <f>IF(B809="","",805)</f>
        <v/>
      </c>
      <c r="B809" s="91">
        <f>IFERROR(INDEX(Firms!$A$5:$A$1004,MATCH(805,Firms!$U$5:$U$1004,0))&amp;"","")</f>
        <v/>
      </c>
      <c r="C809" s="88">
        <f>IFERROR(IF(INDEX(Firms!$R$5:$R$1004,MATCH(805,Firms!$U$5:$U$1004,0))="","",INDEX(Firms!$R$5:$R$1004,MATCH(805,Firms!$U$5:$U$1004,0))),"")</f>
        <v/>
      </c>
      <c r="D809" s="91">
        <f>IFERROR(INDEX(Firms!$S$5:$S$1004,MATCH(805,Firms!$U$5:$U$1004,0))&amp;"","")</f>
        <v/>
      </c>
      <c r="E809" s="91">
        <f>IFERROR(INDEX(Firms!$C$5:$C$1004,MATCH(805,Firms!$U$5:$U$1004,0))&amp;"","")</f>
        <v/>
      </c>
      <c r="F809" s="79">
        <f>IFERROR(INDEX(Firms!$N$5:$N$1004,MATCH(805,Firms!$U$5:$U$1004,0))&amp;"","")</f>
        <v/>
      </c>
      <c r="G809" s="79">
        <f>IFERROR(INDEX(Firms!$P$5:$P$1004,MATCH(805,Firms!$U$5:$U$1004,0))&amp;"","")</f>
        <v/>
      </c>
      <c r="H809" s="91">
        <f>IFERROR(INDEX(Firms!$T$5:$T$1004,MATCH(805,Firms!$U$5:$U$1004,0))&amp;"","")</f>
        <v/>
      </c>
    </row>
    <row r="810">
      <c r="A810" s="79">
        <f>IF(B810="","",806)</f>
        <v/>
      </c>
      <c r="B810" s="91">
        <f>IFERROR(INDEX(Firms!$A$5:$A$1004,MATCH(806,Firms!$U$5:$U$1004,0))&amp;"","")</f>
        <v/>
      </c>
      <c r="C810" s="88">
        <f>IFERROR(IF(INDEX(Firms!$R$5:$R$1004,MATCH(806,Firms!$U$5:$U$1004,0))="","",INDEX(Firms!$R$5:$R$1004,MATCH(806,Firms!$U$5:$U$1004,0))),"")</f>
        <v/>
      </c>
      <c r="D810" s="91">
        <f>IFERROR(INDEX(Firms!$S$5:$S$1004,MATCH(806,Firms!$U$5:$U$1004,0))&amp;"","")</f>
        <v/>
      </c>
      <c r="E810" s="91">
        <f>IFERROR(INDEX(Firms!$C$5:$C$1004,MATCH(806,Firms!$U$5:$U$1004,0))&amp;"","")</f>
        <v/>
      </c>
      <c r="F810" s="79">
        <f>IFERROR(INDEX(Firms!$N$5:$N$1004,MATCH(806,Firms!$U$5:$U$1004,0))&amp;"","")</f>
        <v/>
      </c>
      <c r="G810" s="79">
        <f>IFERROR(INDEX(Firms!$P$5:$P$1004,MATCH(806,Firms!$U$5:$U$1004,0))&amp;"","")</f>
        <v/>
      </c>
      <c r="H810" s="91">
        <f>IFERROR(INDEX(Firms!$T$5:$T$1004,MATCH(806,Firms!$U$5:$U$1004,0))&amp;"","")</f>
        <v/>
      </c>
    </row>
    <row r="811">
      <c r="A811" s="79">
        <f>IF(B811="","",807)</f>
        <v/>
      </c>
      <c r="B811" s="91">
        <f>IFERROR(INDEX(Firms!$A$5:$A$1004,MATCH(807,Firms!$U$5:$U$1004,0))&amp;"","")</f>
        <v/>
      </c>
      <c r="C811" s="88">
        <f>IFERROR(IF(INDEX(Firms!$R$5:$R$1004,MATCH(807,Firms!$U$5:$U$1004,0))="","",INDEX(Firms!$R$5:$R$1004,MATCH(807,Firms!$U$5:$U$1004,0))),"")</f>
        <v/>
      </c>
      <c r="D811" s="91">
        <f>IFERROR(INDEX(Firms!$S$5:$S$1004,MATCH(807,Firms!$U$5:$U$1004,0))&amp;"","")</f>
        <v/>
      </c>
      <c r="E811" s="91">
        <f>IFERROR(INDEX(Firms!$C$5:$C$1004,MATCH(807,Firms!$U$5:$U$1004,0))&amp;"","")</f>
        <v/>
      </c>
      <c r="F811" s="79">
        <f>IFERROR(INDEX(Firms!$N$5:$N$1004,MATCH(807,Firms!$U$5:$U$1004,0))&amp;"","")</f>
        <v/>
      </c>
      <c r="G811" s="79">
        <f>IFERROR(INDEX(Firms!$P$5:$P$1004,MATCH(807,Firms!$U$5:$U$1004,0))&amp;"","")</f>
        <v/>
      </c>
      <c r="H811" s="91">
        <f>IFERROR(INDEX(Firms!$T$5:$T$1004,MATCH(807,Firms!$U$5:$U$1004,0))&amp;"","")</f>
        <v/>
      </c>
    </row>
    <row r="812">
      <c r="A812" s="79">
        <f>IF(B812="","",808)</f>
        <v/>
      </c>
      <c r="B812" s="91">
        <f>IFERROR(INDEX(Firms!$A$5:$A$1004,MATCH(808,Firms!$U$5:$U$1004,0))&amp;"","")</f>
        <v/>
      </c>
      <c r="C812" s="88">
        <f>IFERROR(IF(INDEX(Firms!$R$5:$R$1004,MATCH(808,Firms!$U$5:$U$1004,0))="","",INDEX(Firms!$R$5:$R$1004,MATCH(808,Firms!$U$5:$U$1004,0))),"")</f>
        <v/>
      </c>
      <c r="D812" s="91">
        <f>IFERROR(INDEX(Firms!$S$5:$S$1004,MATCH(808,Firms!$U$5:$U$1004,0))&amp;"","")</f>
        <v/>
      </c>
      <c r="E812" s="91">
        <f>IFERROR(INDEX(Firms!$C$5:$C$1004,MATCH(808,Firms!$U$5:$U$1004,0))&amp;"","")</f>
        <v/>
      </c>
      <c r="F812" s="79">
        <f>IFERROR(INDEX(Firms!$N$5:$N$1004,MATCH(808,Firms!$U$5:$U$1004,0))&amp;"","")</f>
        <v/>
      </c>
      <c r="G812" s="79">
        <f>IFERROR(INDEX(Firms!$P$5:$P$1004,MATCH(808,Firms!$U$5:$U$1004,0))&amp;"","")</f>
        <v/>
      </c>
      <c r="H812" s="91">
        <f>IFERROR(INDEX(Firms!$T$5:$T$1004,MATCH(808,Firms!$U$5:$U$1004,0))&amp;"","")</f>
        <v/>
      </c>
    </row>
    <row r="813">
      <c r="A813" s="79">
        <f>IF(B813="","",809)</f>
        <v/>
      </c>
      <c r="B813" s="91">
        <f>IFERROR(INDEX(Firms!$A$5:$A$1004,MATCH(809,Firms!$U$5:$U$1004,0))&amp;"","")</f>
        <v/>
      </c>
      <c r="C813" s="88">
        <f>IFERROR(IF(INDEX(Firms!$R$5:$R$1004,MATCH(809,Firms!$U$5:$U$1004,0))="","",INDEX(Firms!$R$5:$R$1004,MATCH(809,Firms!$U$5:$U$1004,0))),"")</f>
        <v/>
      </c>
      <c r="D813" s="91">
        <f>IFERROR(INDEX(Firms!$S$5:$S$1004,MATCH(809,Firms!$U$5:$U$1004,0))&amp;"","")</f>
        <v/>
      </c>
      <c r="E813" s="91">
        <f>IFERROR(INDEX(Firms!$C$5:$C$1004,MATCH(809,Firms!$U$5:$U$1004,0))&amp;"","")</f>
        <v/>
      </c>
      <c r="F813" s="79">
        <f>IFERROR(INDEX(Firms!$N$5:$N$1004,MATCH(809,Firms!$U$5:$U$1004,0))&amp;"","")</f>
        <v/>
      </c>
      <c r="G813" s="79">
        <f>IFERROR(INDEX(Firms!$P$5:$P$1004,MATCH(809,Firms!$U$5:$U$1004,0))&amp;"","")</f>
        <v/>
      </c>
      <c r="H813" s="91">
        <f>IFERROR(INDEX(Firms!$T$5:$T$1004,MATCH(809,Firms!$U$5:$U$1004,0))&amp;"","")</f>
        <v/>
      </c>
    </row>
    <row r="814">
      <c r="A814" s="79">
        <f>IF(B814="","",810)</f>
        <v/>
      </c>
      <c r="B814" s="91">
        <f>IFERROR(INDEX(Firms!$A$5:$A$1004,MATCH(810,Firms!$U$5:$U$1004,0))&amp;"","")</f>
        <v/>
      </c>
      <c r="C814" s="88">
        <f>IFERROR(IF(INDEX(Firms!$R$5:$R$1004,MATCH(810,Firms!$U$5:$U$1004,0))="","",INDEX(Firms!$R$5:$R$1004,MATCH(810,Firms!$U$5:$U$1004,0))),"")</f>
        <v/>
      </c>
      <c r="D814" s="91">
        <f>IFERROR(INDEX(Firms!$S$5:$S$1004,MATCH(810,Firms!$U$5:$U$1004,0))&amp;"","")</f>
        <v/>
      </c>
      <c r="E814" s="91">
        <f>IFERROR(INDEX(Firms!$C$5:$C$1004,MATCH(810,Firms!$U$5:$U$1004,0))&amp;"","")</f>
        <v/>
      </c>
      <c r="F814" s="79">
        <f>IFERROR(INDEX(Firms!$N$5:$N$1004,MATCH(810,Firms!$U$5:$U$1004,0))&amp;"","")</f>
        <v/>
      </c>
      <c r="G814" s="79">
        <f>IFERROR(INDEX(Firms!$P$5:$P$1004,MATCH(810,Firms!$U$5:$U$1004,0))&amp;"","")</f>
        <v/>
      </c>
      <c r="H814" s="91">
        <f>IFERROR(INDEX(Firms!$T$5:$T$1004,MATCH(810,Firms!$U$5:$U$1004,0))&amp;"","")</f>
        <v/>
      </c>
    </row>
    <row r="815">
      <c r="A815" s="79">
        <f>IF(B815="","",811)</f>
        <v/>
      </c>
      <c r="B815" s="91">
        <f>IFERROR(INDEX(Firms!$A$5:$A$1004,MATCH(811,Firms!$U$5:$U$1004,0))&amp;"","")</f>
        <v/>
      </c>
      <c r="C815" s="88">
        <f>IFERROR(IF(INDEX(Firms!$R$5:$R$1004,MATCH(811,Firms!$U$5:$U$1004,0))="","",INDEX(Firms!$R$5:$R$1004,MATCH(811,Firms!$U$5:$U$1004,0))),"")</f>
        <v/>
      </c>
      <c r="D815" s="91">
        <f>IFERROR(INDEX(Firms!$S$5:$S$1004,MATCH(811,Firms!$U$5:$U$1004,0))&amp;"","")</f>
        <v/>
      </c>
      <c r="E815" s="91">
        <f>IFERROR(INDEX(Firms!$C$5:$C$1004,MATCH(811,Firms!$U$5:$U$1004,0))&amp;"","")</f>
        <v/>
      </c>
      <c r="F815" s="79">
        <f>IFERROR(INDEX(Firms!$N$5:$N$1004,MATCH(811,Firms!$U$5:$U$1004,0))&amp;"","")</f>
        <v/>
      </c>
      <c r="G815" s="79">
        <f>IFERROR(INDEX(Firms!$P$5:$P$1004,MATCH(811,Firms!$U$5:$U$1004,0))&amp;"","")</f>
        <v/>
      </c>
      <c r="H815" s="91">
        <f>IFERROR(INDEX(Firms!$T$5:$T$1004,MATCH(811,Firms!$U$5:$U$1004,0))&amp;"","")</f>
        <v/>
      </c>
    </row>
    <row r="816">
      <c r="A816" s="79">
        <f>IF(B816="","",812)</f>
        <v/>
      </c>
      <c r="B816" s="91">
        <f>IFERROR(INDEX(Firms!$A$5:$A$1004,MATCH(812,Firms!$U$5:$U$1004,0))&amp;"","")</f>
        <v/>
      </c>
      <c r="C816" s="88">
        <f>IFERROR(IF(INDEX(Firms!$R$5:$R$1004,MATCH(812,Firms!$U$5:$U$1004,0))="","",INDEX(Firms!$R$5:$R$1004,MATCH(812,Firms!$U$5:$U$1004,0))),"")</f>
        <v/>
      </c>
      <c r="D816" s="91">
        <f>IFERROR(INDEX(Firms!$S$5:$S$1004,MATCH(812,Firms!$U$5:$U$1004,0))&amp;"","")</f>
        <v/>
      </c>
      <c r="E816" s="91">
        <f>IFERROR(INDEX(Firms!$C$5:$C$1004,MATCH(812,Firms!$U$5:$U$1004,0))&amp;"","")</f>
        <v/>
      </c>
      <c r="F816" s="79">
        <f>IFERROR(INDEX(Firms!$N$5:$N$1004,MATCH(812,Firms!$U$5:$U$1004,0))&amp;"","")</f>
        <v/>
      </c>
      <c r="G816" s="79">
        <f>IFERROR(INDEX(Firms!$P$5:$P$1004,MATCH(812,Firms!$U$5:$U$1004,0))&amp;"","")</f>
        <v/>
      </c>
      <c r="H816" s="91">
        <f>IFERROR(INDEX(Firms!$T$5:$T$1004,MATCH(812,Firms!$U$5:$U$1004,0))&amp;"","")</f>
        <v/>
      </c>
    </row>
    <row r="817">
      <c r="A817" s="79">
        <f>IF(B817="","",813)</f>
        <v/>
      </c>
      <c r="B817" s="91">
        <f>IFERROR(INDEX(Firms!$A$5:$A$1004,MATCH(813,Firms!$U$5:$U$1004,0))&amp;"","")</f>
        <v/>
      </c>
      <c r="C817" s="88">
        <f>IFERROR(IF(INDEX(Firms!$R$5:$R$1004,MATCH(813,Firms!$U$5:$U$1004,0))="","",INDEX(Firms!$R$5:$R$1004,MATCH(813,Firms!$U$5:$U$1004,0))),"")</f>
        <v/>
      </c>
      <c r="D817" s="91">
        <f>IFERROR(INDEX(Firms!$S$5:$S$1004,MATCH(813,Firms!$U$5:$U$1004,0))&amp;"","")</f>
        <v/>
      </c>
      <c r="E817" s="91">
        <f>IFERROR(INDEX(Firms!$C$5:$C$1004,MATCH(813,Firms!$U$5:$U$1004,0))&amp;"","")</f>
        <v/>
      </c>
      <c r="F817" s="79">
        <f>IFERROR(INDEX(Firms!$N$5:$N$1004,MATCH(813,Firms!$U$5:$U$1004,0))&amp;"","")</f>
        <v/>
      </c>
      <c r="G817" s="79">
        <f>IFERROR(INDEX(Firms!$P$5:$P$1004,MATCH(813,Firms!$U$5:$U$1004,0))&amp;"","")</f>
        <v/>
      </c>
      <c r="H817" s="91">
        <f>IFERROR(INDEX(Firms!$T$5:$T$1004,MATCH(813,Firms!$U$5:$U$1004,0))&amp;"","")</f>
        <v/>
      </c>
    </row>
    <row r="818">
      <c r="A818" s="79">
        <f>IF(B818="","",814)</f>
        <v/>
      </c>
      <c r="B818" s="91">
        <f>IFERROR(INDEX(Firms!$A$5:$A$1004,MATCH(814,Firms!$U$5:$U$1004,0))&amp;"","")</f>
        <v/>
      </c>
      <c r="C818" s="88">
        <f>IFERROR(IF(INDEX(Firms!$R$5:$R$1004,MATCH(814,Firms!$U$5:$U$1004,0))="","",INDEX(Firms!$R$5:$R$1004,MATCH(814,Firms!$U$5:$U$1004,0))),"")</f>
        <v/>
      </c>
      <c r="D818" s="91">
        <f>IFERROR(INDEX(Firms!$S$5:$S$1004,MATCH(814,Firms!$U$5:$U$1004,0))&amp;"","")</f>
        <v/>
      </c>
      <c r="E818" s="91">
        <f>IFERROR(INDEX(Firms!$C$5:$C$1004,MATCH(814,Firms!$U$5:$U$1004,0))&amp;"","")</f>
        <v/>
      </c>
      <c r="F818" s="79">
        <f>IFERROR(INDEX(Firms!$N$5:$N$1004,MATCH(814,Firms!$U$5:$U$1004,0))&amp;"","")</f>
        <v/>
      </c>
      <c r="G818" s="79">
        <f>IFERROR(INDEX(Firms!$P$5:$P$1004,MATCH(814,Firms!$U$5:$U$1004,0))&amp;"","")</f>
        <v/>
      </c>
      <c r="H818" s="91">
        <f>IFERROR(INDEX(Firms!$T$5:$T$1004,MATCH(814,Firms!$U$5:$U$1004,0))&amp;"","")</f>
        <v/>
      </c>
    </row>
    <row r="819">
      <c r="A819" s="79">
        <f>IF(B819="","",815)</f>
        <v/>
      </c>
      <c r="B819" s="91">
        <f>IFERROR(INDEX(Firms!$A$5:$A$1004,MATCH(815,Firms!$U$5:$U$1004,0))&amp;"","")</f>
        <v/>
      </c>
      <c r="C819" s="88">
        <f>IFERROR(IF(INDEX(Firms!$R$5:$R$1004,MATCH(815,Firms!$U$5:$U$1004,0))="","",INDEX(Firms!$R$5:$R$1004,MATCH(815,Firms!$U$5:$U$1004,0))),"")</f>
        <v/>
      </c>
      <c r="D819" s="91">
        <f>IFERROR(INDEX(Firms!$S$5:$S$1004,MATCH(815,Firms!$U$5:$U$1004,0))&amp;"","")</f>
        <v/>
      </c>
      <c r="E819" s="91">
        <f>IFERROR(INDEX(Firms!$C$5:$C$1004,MATCH(815,Firms!$U$5:$U$1004,0))&amp;"","")</f>
        <v/>
      </c>
      <c r="F819" s="79">
        <f>IFERROR(INDEX(Firms!$N$5:$N$1004,MATCH(815,Firms!$U$5:$U$1004,0))&amp;"","")</f>
        <v/>
      </c>
      <c r="G819" s="79">
        <f>IFERROR(INDEX(Firms!$P$5:$P$1004,MATCH(815,Firms!$U$5:$U$1004,0))&amp;"","")</f>
        <v/>
      </c>
      <c r="H819" s="91">
        <f>IFERROR(INDEX(Firms!$T$5:$T$1004,MATCH(815,Firms!$U$5:$U$1004,0))&amp;"","")</f>
        <v/>
      </c>
    </row>
    <row r="820">
      <c r="A820" s="79">
        <f>IF(B820="","",816)</f>
        <v/>
      </c>
      <c r="B820" s="91">
        <f>IFERROR(INDEX(Firms!$A$5:$A$1004,MATCH(816,Firms!$U$5:$U$1004,0))&amp;"","")</f>
        <v/>
      </c>
      <c r="C820" s="88">
        <f>IFERROR(IF(INDEX(Firms!$R$5:$R$1004,MATCH(816,Firms!$U$5:$U$1004,0))="","",INDEX(Firms!$R$5:$R$1004,MATCH(816,Firms!$U$5:$U$1004,0))),"")</f>
        <v/>
      </c>
      <c r="D820" s="91">
        <f>IFERROR(INDEX(Firms!$S$5:$S$1004,MATCH(816,Firms!$U$5:$U$1004,0))&amp;"","")</f>
        <v/>
      </c>
      <c r="E820" s="91">
        <f>IFERROR(INDEX(Firms!$C$5:$C$1004,MATCH(816,Firms!$U$5:$U$1004,0))&amp;"","")</f>
        <v/>
      </c>
      <c r="F820" s="79">
        <f>IFERROR(INDEX(Firms!$N$5:$N$1004,MATCH(816,Firms!$U$5:$U$1004,0))&amp;"","")</f>
        <v/>
      </c>
      <c r="G820" s="79">
        <f>IFERROR(INDEX(Firms!$P$5:$P$1004,MATCH(816,Firms!$U$5:$U$1004,0))&amp;"","")</f>
        <v/>
      </c>
      <c r="H820" s="91">
        <f>IFERROR(INDEX(Firms!$T$5:$T$1004,MATCH(816,Firms!$U$5:$U$1004,0))&amp;"","")</f>
        <v/>
      </c>
    </row>
    <row r="821">
      <c r="A821" s="79">
        <f>IF(B821="","",817)</f>
        <v/>
      </c>
      <c r="B821" s="91">
        <f>IFERROR(INDEX(Firms!$A$5:$A$1004,MATCH(817,Firms!$U$5:$U$1004,0))&amp;"","")</f>
        <v/>
      </c>
      <c r="C821" s="88">
        <f>IFERROR(IF(INDEX(Firms!$R$5:$R$1004,MATCH(817,Firms!$U$5:$U$1004,0))="","",INDEX(Firms!$R$5:$R$1004,MATCH(817,Firms!$U$5:$U$1004,0))),"")</f>
        <v/>
      </c>
      <c r="D821" s="91">
        <f>IFERROR(INDEX(Firms!$S$5:$S$1004,MATCH(817,Firms!$U$5:$U$1004,0))&amp;"","")</f>
        <v/>
      </c>
      <c r="E821" s="91">
        <f>IFERROR(INDEX(Firms!$C$5:$C$1004,MATCH(817,Firms!$U$5:$U$1004,0))&amp;"","")</f>
        <v/>
      </c>
      <c r="F821" s="79">
        <f>IFERROR(INDEX(Firms!$N$5:$N$1004,MATCH(817,Firms!$U$5:$U$1004,0))&amp;"","")</f>
        <v/>
      </c>
      <c r="G821" s="79">
        <f>IFERROR(INDEX(Firms!$P$5:$P$1004,MATCH(817,Firms!$U$5:$U$1004,0))&amp;"","")</f>
        <v/>
      </c>
      <c r="H821" s="91">
        <f>IFERROR(INDEX(Firms!$T$5:$T$1004,MATCH(817,Firms!$U$5:$U$1004,0))&amp;"","")</f>
        <v/>
      </c>
    </row>
    <row r="822">
      <c r="A822" s="79">
        <f>IF(B822="","",818)</f>
        <v/>
      </c>
      <c r="B822" s="91">
        <f>IFERROR(INDEX(Firms!$A$5:$A$1004,MATCH(818,Firms!$U$5:$U$1004,0))&amp;"","")</f>
        <v/>
      </c>
      <c r="C822" s="88">
        <f>IFERROR(IF(INDEX(Firms!$R$5:$R$1004,MATCH(818,Firms!$U$5:$U$1004,0))="","",INDEX(Firms!$R$5:$R$1004,MATCH(818,Firms!$U$5:$U$1004,0))),"")</f>
        <v/>
      </c>
      <c r="D822" s="91">
        <f>IFERROR(INDEX(Firms!$S$5:$S$1004,MATCH(818,Firms!$U$5:$U$1004,0))&amp;"","")</f>
        <v/>
      </c>
      <c r="E822" s="91">
        <f>IFERROR(INDEX(Firms!$C$5:$C$1004,MATCH(818,Firms!$U$5:$U$1004,0))&amp;"","")</f>
        <v/>
      </c>
      <c r="F822" s="79">
        <f>IFERROR(INDEX(Firms!$N$5:$N$1004,MATCH(818,Firms!$U$5:$U$1004,0))&amp;"","")</f>
        <v/>
      </c>
      <c r="G822" s="79">
        <f>IFERROR(INDEX(Firms!$P$5:$P$1004,MATCH(818,Firms!$U$5:$U$1004,0))&amp;"","")</f>
        <v/>
      </c>
      <c r="H822" s="91">
        <f>IFERROR(INDEX(Firms!$T$5:$T$1004,MATCH(818,Firms!$U$5:$U$1004,0))&amp;"","")</f>
        <v/>
      </c>
    </row>
    <row r="823">
      <c r="A823" s="79">
        <f>IF(B823="","",819)</f>
        <v/>
      </c>
      <c r="B823" s="91">
        <f>IFERROR(INDEX(Firms!$A$5:$A$1004,MATCH(819,Firms!$U$5:$U$1004,0))&amp;"","")</f>
        <v/>
      </c>
      <c r="C823" s="88">
        <f>IFERROR(IF(INDEX(Firms!$R$5:$R$1004,MATCH(819,Firms!$U$5:$U$1004,0))="","",INDEX(Firms!$R$5:$R$1004,MATCH(819,Firms!$U$5:$U$1004,0))),"")</f>
        <v/>
      </c>
      <c r="D823" s="91">
        <f>IFERROR(INDEX(Firms!$S$5:$S$1004,MATCH(819,Firms!$U$5:$U$1004,0))&amp;"","")</f>
        <v/>
      </c>
      <c r="E823" s="91">
        <f>IFERROR(INDEX(Firms!$C$5:$C$1004,MATCH(819,Firms!$U$5:$U$1004,0))&amp;"","")</f>
        <v/>
      </c>
      <c r="F823" s="79">
        <f>IFERROR(INDEX(Firms!$N$5:$N$1004,MATCH(819,Firms!$U$5:$U$1004,0))&amp;"","")</f>
        <v/>
      </c>
      <c r="G823" s="79">
        <f>IFERROR(INDEX(Firms!$P$5:$P$1004,MATCH(819,Firms!$U$5:$U$1004,0))&amp;"","")</f>
        <v/>
      </c>
      <c r="H823" s="91">
        <f>IFERROR(INDEX(Firms!$T$5:$T$1004,MATCH(819,Firms!$U$5:$U$1004,0))&amp;"","")</f>
        <v/>
      </c>
    </row>
    <row r="824">
      <c r="A824" s="79">
        <f>IF(B824="","",820)</f>
        <v/>
      </c>
      <c r="B824" s="91">
        <f>IFERROR(INDEX(Firms!$A$5:$A$1004,MATCH(820,Firms!$U$5:$U$1004,0))&amp;"","")</f>
        <v/>
      </c>
      <c r="C824" s="88">
        <f>IFERROR(IF(INDEX(Firms!$R$5:$R$1004,MATCH(820,Firms!$U$5:$U$1004,0))="","",INDEX(Firms!$R$5:$R$1004,MATCH(820,Firms!$U$5:$U$1004,0))),"")</f>
        <v/>
      </c>
      <c r="D824" s="91">
        <f>IFERROR(INDEX(Firms!$S$5:$S$1004,MATCH(820,Firms!$U$5:$U$1004,0))&amp;"","")</f>
        <v/>
      </c>
      <c r="E824" s="91">
        <f>IFERROR(INDEX(Firms!$C$5:$C$1004,MATCH(820,Firms!$U$5:$U$1004,0))&amp;"","")</f>
        <v/>
      </c>
      <c r="F824" s="79">
        <f>IFERROR(INDEX(Firms!$N$5:$N$1004,MATCH(820,Firms!$U$5:$U$1004,0))&amp;"","")</f>
        <v/>
      </c>
      <c r="G824" s="79">
        <f>IFERROR(INDEX(Firms!$P$5:$P$1004,MATCH(820,Firms!$U$5:$U$1004,0))&amp;"","")</f>
        <v/>
      </c>
      <c r="H824" s="91">
        <f>IFERROR(INDEX(Firms!$T$5:$T$1004,MATCH(820,Firms!$U$5:$U$1004,0))&amp;"","")</f>
        <v/>
      </c>
    </row>
    <row r="825">
      <c r="A825" s="79">
        <f>IF(B825="","",821)</f>
        <v/>
      </c>
      <c r="B825" s="91">
        <f>IFERROR(INDEX(Firms!$A$5:$A$1004,MATCH(821,Firms!$U$5:$U$1004,0))&amp;"","")</f>
        <v/>
      </c>
      <c r="C825" s="88">
        <f>IFERROR(IF(INDEX(Firms!$R$5:$R$1004,MATCH(821,Firms!$U$5:$U$1004,0))="","",INDEX(Firms!$R$5:$R$1004,MATCH(821,Firms!$U$5:$U$1004,0))),"")</f>
        <v/>
      </c>
      <c r="D825" s="91">
        <f>IFERROR(INDEX(Firms!$S$5:$S$1004,MATCH(821,Firms!$U$5:$U$1004,0))&amp;"","")</f>
        <v/>
      </c>
      <c r="E825" s="91">
        <f>IFERROR(INDEX(Firms!$C$5:$C$1004,MATCH(821,Firms!$U$5:$U$1004,0))&amp;"","")</f>
        <v/>
      </c>
      <c r="F825" s="79">
        <f>IFERROR(INDEX(Firms!$N$5:$N$1004,MATCH(821,Firms!$U$5:$U$1004,0))&amp;"","")</f>
        <v/>
      </c>
      <c r="G825" s="79">
        <f>IFERROR(INDEX(Firms!$P$5:$P$1004,MATCH(821,Firms!$U$5:$U$1004,0))&amp;"","")</f>
        <v/>
      </c>
      <c r="H825" s="91">
        <f>IFERROR(INDEX(Firms!$T$5:$T$1004,MATCH(821,Firms!$U$5:$U$1004,0))&amp;"","")</f>
        <v/>
      </c>
    </row>
    <row r="826">
      <c r="A826" s="79">
        <f>IF(B826="","",822)</f>
        <v/>
      </c>
      <c r="B826" s="91">
        <f>IFERROR(INDEX(Firms!$A$5:$A$1004,MATCH(822,Firms!$U$5:$U$1004,0))&amp;"","")</f>
        <v/>
      </c>
      <c r="C826" s="88">
        <f>IFERROR(IF(INDEX(Firms!$R$5:$R$1004,MATCH(822,Firms!$U$5:$U$1004,0))="","",INDEX(Firms!$R$5:$R$1004,MATCH(822,Firms!$U$5:$U$1004,0))),"")</f>
        <v/>
      </c>
      <c r="D826" s="91">
        <f>IFERROR(INDEX(Firms!$S$5:$S$1004,MATCH(822,Firms!$U$5:$U$1004,0))&amp;"","")</f>
        <v/>
      </c>
      <c r="E826" s="91">
        <f>IFERROR(INDEX(Firms!$C$5:$C$1004,MATCH(822,Firms!$U$5:$U$1004,0))&amp;"","")</f>
        <v/>
      </c>
      <c r="F826" s="79">
        <f>IFERROR(INDEX(Firms!$N$5:$N$1004,MATCH(822,Firms!$U$5:$U$1004,0))&amp;"","")</f>
        <v/>
      </c>
      <c r="G826" s="79">
        <f>IFERROR(INDEX(Firms!$P$5:$P$1004,MATCH(822,Firms!$U$5:$U$1004,0))&amp;"","")</f>
        <v/>
      </c>
      <c r="H826" s="91">
        <f>IFERROR(INDEX(Firms!$T$5:$T$1004,MATCH(822,Firms!$U$5:$U$1004,0))&amp;"","")</f>
        <v/>
      </c>
    </row>
    <row r="827">
      <c r="A827" s="79">
        <f>IF(B827="","",823)</f>
        <v/>
      </c>
      <c r="B827" s="91">
        <f>IFERROR(INDEX(Firms!$A$5:$A$1004,MATCH(823,Firms!$U$5:$U$1004,0))&amp;"","")</f>
        <v/>
      </c>
      <c r="C827" s="88">
        <f>IFERROR(IF(INDEX(Firms!$R$5:$R$1004,MATCH(823,Firms!$U$5:$U$1004,0))="","",INDEX(Firms!$R$5:$R$1004,MATCH(823,Firms!$U$5:$U$1004,0))),"")</f>
        <v/>
      </c>
      <c r="D827" s="91">
        <f>IFERROR(INDEX(Firms!$S$5:$S$1004,MATCH(823,Firms!$U$5:$U$1004,0))&amp;"","")</f>
        <v/>
      </c>
      <c r="E827" s="91">
        <f>IFERROR(INDEX(Firms!$C$5:$C$1004,MATCH(823,Firms!$U$5:$U$1004,0))&amp;"","")</f>
        <v/>
      </c>
      <c r="F827" s="79">
        <f>IFERROR(INDEX(Firms!$N$5:$N$1004,MATCH(823,Firms!$U$5:$U$1004,0))&amp;"","")</f>
        <v/>
      </c>
      <c r="G827" s="79">
        <f>IFERROR(INDEX(Firms!$P$5:$P$1004,MATCH(823,Firms!$U$5:$U$1004,0))&amp;"","")</f>
        <v/>
      </c>
      <c r="H827" s="91">
        <f>IFERROR(INDEX(Firms!$T$5:$T$1004,MATCH(823,Firms!$U$5:$U$1004,0))&amp;"","")</f>
        <v/>
      </c>
    </row>
    <row r="828">
      <c r="A828" s="79">
        <f>IF(B828="","",824)</f>
        <v/>
      </c>
      <c r="B828" s="91">
        <f>IFERROR(INDEX(Firms!$A$5:$A$1004,MATCH(824,Firms!$U$5:$U$1004,0))&amp;"","")</f>
        <v/>
      </c>
      <c r="C828" s="88">
        <f>IFERROR(IF(INDEX(Firms!$R$5:$R$1004,MATCH(824,Firms!$U$5:$U$1004,0))="","",INDEX(Firms!$R$5:$R$1004,MATCH(824,Firms!$U$5:$U$1004,0))),"")</f>
        <v/>
      </c>
      <c r="D828" s="91">
        <f>IFERROR(INDEX(Firms!$S$5:$S$1004,MATCH(824,Firms!$U$5:$U$1004,0))&amp;"","")</f>
        <v/>
      </c>
      <c r="E828" s="91">
        <f>IFERROR(INDEX(Firms!$C$5:$C$1004,MATCH(824,Firms!$U$5:$U$1004,0))&amp;"","")</f>
        <v/>
      </c>
      <c r="F828" s="79">
        <f>IFERROR(INDEX(Firms!$N$5:$N$1004,MATCH(824,Firms!$U$5:$U$1004,0))&amp;"","")</f>
        <v/>
      </c>
      <c r="G828" s="79">
        <f>IFERROR(INDEX(Firms!$P$5:$P$1004,MATCH(824,Firms!$U$5:$U$1004,0))&amp;"","")</f>
        <v/>
      </c>
      <c r="H828" s="91">
        <f>IFERROR(INDEX(Firms!$T$5:$T$1004,MATCH(824,Firms!$U$5:$U$1004,0))&amp;"","")</f>
        <v/>
      </c>
    </row>
    <row r="829">
      <c r="A829" s="79">
        <f>IF(B829="","",825)</f>
        <v/>
      </c>
      <c r="B829" s="91">
        <f>IFERROR(INDEX(Firms!$A$5:$A$1004,MATCH(825,Firms!$U$5:$U$1004,0))&amp;"","")</f>
        <v/>
      </c>
      <c r="C829" s="88">
        <f>IFERROR(IF(INDEX(Firms!$R$5:$R$1004,MATCH(825,Firms!$U$5:$U$1004,0))="","",INDEX(Firms!$R$5:$R$1004,MATCH(825,Firms!$U$5:$U$1004,0))),"")</f>
        <v/>
      </c>
      <c r="D829" s="91">
        <f>IFERROR(INDEX(Firms!$S$5:$S$1004,MATCH(825,Firms!$U$5:$U$1004,0))&amp;"","")</f>
        <v/>
      </c>
      <c r="E829" s="91">
        <f>IFERROR(INDEX(Firms!$C$5:$C$1004,MATCH(825,Firms!$U$5:$U$1004,0))&amp;"","")</f>
        <v/>
      </c>
      <c r="F829" s="79">
        <f>IFERROR(INDEX(Firms!$N$5:$N$1004,MATCH(825,Firms!$U$5:$U$1004,0))&amp;"","")</f>
        <v/>
      </c>
      <c r="G829" s="79">
        <f>IFERROR(INDEX(Firms!$P$5:$P$1004,MATCH(825,Firms!$U$5:$U$1004,0))&amp;"","")</f>
        <v/>
      </c>
      <c r="H829" s="91">
        <f>IFERROR(INDEX(Firms!$T$5:$T$1004,MATCH(825,Firms!$U$5:$U$1004,0))&amp;"","")</f>
        <v/>
      </c>
    </row>
    <row r="830">
      <c r="A830" s="79">
        <f>IF(B830="","",826)</f>
        <v/>
      </c>
      <c r="B830" s="91">
        <f>IFERROR(INDEX(Firms!$A$5:$A$1004,MATCH(826,Firms!$U$5:$U$1004,0))&amp;"","")</f>
        <v/>
      </c>
      <c r="C830" s="88">
        <f>IFERROR(IF(INDEX(Firms!$R$5:$R$1004,MATCH(826,Firms!$U$5:$U$1004,0))="","",INDEX(Firms!$R$5:$R$1004,MATCH(826,Firms!$U$5:$U$1004,0))),"")</f>
        <v/>
      </c>
      <c r="D830" s="91">
        <f>IFERROR(INDEX(Firms!$S$5:$S$1004,MATCH(826,Firms!$U$5:$U$1004,0))&amp;"","")</f>
        <v/>
      </c>
      <c r="E830" s="91">
        <f>IFERROR(INDEX(Firms!$C$5:$C$1004,MATCH(826,Firms!$U$5:$U$1004,0))&amp;"","")</f>
        <v/>
      </c>
      <c r="F830" s="79">
        <f>IFERROR(INDEX(Firms!$N$5:$N$1004,MATCH(826,Firms!$U$5:$U$1004,0))&amp;"","")</f>
        <v/>
      </c>
      <c r="G830" s="79">
        <f>IFERROR(INDEX(Firms!$P$5:$P$1004,MATCH(826,Firms!$U$5:$U$1004,0))&amp;"","")</f>
        <v/>
      </c>
      <c r="H830" s="91">
        <f>IFERROR(INDEX(Firms!$T$5:$T$1004,MATCH(826,Firms!$U$5:$U$1004,0))&amp;"","")</f>
        <v/>
      </c>
    </row>
    <row r="831">
      <c r="A831" s="79">
        <f>IF(B831="","",827)</f>
        <v/>
      </c>
      <c r="B831" s="91">
        <f>IFERROR(INDEX(Firms!$A$5:$A$1004,MATCH(827,Firms!$U$5:$U$1004,0))&amp;"","")</f>
        <v/>
      </c>
      <c r="C831" s="88">
        <f>IFERROR(IF(INDEX(Firms!$R$5:$R$1004,MATCH(827,Firms!$U$5:$U$1004,0))="","",INDEX(Firms!$R$5:$R$1004,MATCH(827,Firms!$U$5:$U$1004,0))),"")</f>
        <v/>
      </c>
      <c r="D831" s="91">
        <f>IFERROR(INDEX(Firms!$S$5:$S$1004,MATCH(827,Firms!$U$5:$U$1004,0))&amp;"","")</f>
        <v/>
      </c>
      <c r="E831" s="91">
        <f>IFERROR(INDEX(Firms!$C$5:$C$1004,MATCH(827,Firms!$U$5:$U$1004,0))&amp;"","")</f>
        <v/>
      </c>
      <c r="F831" s="79">
        <f>IFERROR(INDEX(Firms!$N$5:$N$1004,MATCH(827,Firms!$U$5:$U$1004,0))&amp;"","")</f>
        <v/>
      </c>
      <c r="G831" s="79">
        <f>IFERROR(INDEX(Firms!$P$5:$P$1004,MATCH(827,Firms!$U$5:$U$1004,0))&amp;"","")</f>
        <v/>
      </c>
      <c r="H831" s="91">
        <f>IFERROR(INDEX(Firms!$T$5:$T$1004,MATCH(827,Firms!$U$5:$U$1004,0))&amp;"","")</f>
        <v/>
      </c>
    </row>
    <row r="832">
      <c r="A832" s="79">
        <f>IF(B832="","",828)</f>
        <v/>
      </c>
      <c r="B832" s="91">
        <f>IFERROR(INDEX(Firms!$A$5:$A$1004,MATCH(828,Firms!$U$5:$U$1004,0))&amp;"","")</f>
        <v/>
      </c>
      <c r="C832" s="88">
        <f>IFERROR(IF(INDEX(Firms!$R$5:$R$1004,MATCH(828,Firms!$U$5:$U$1004,0))="","",INDEX(Firms!$R$5:$R$1004,MATCH(828,Firms!$U$5:$U$1004,0))),"")</f>
        <v/>
      </c>
      <c r="D832" s="91">
        <f>IFERROR(INDEX(Firms!$S$5:$S$1004,MATCH(828,Firms!$U$5:$U$1004,0))&amp;"","")</f>
        <v/>
      </c>
      <c r="E832" s="91">
        <f>IFERROR(INDEX(Firms!$C$5:$C$1004,MATCH(828,Firms!$U$5:$U$1004,0))&amp;"","")</f>
        <v/>
      </c>
      <c r="F832" s="79">
        <f>IFERROR(INDEX(Firms!$N$5:$N$1004,MATCH(828,Firms!$U$5:$U$1004,0))&amp;"","")</f>
        <v/>
      </c>
      <c r="G832" s="79">
        <f>IFERROR(INDEX(Firms!$P$5:$P$1004,MATCH(828,Firms!$U$5:$U$1004,0))&amp;"","")</f>
        <v/>
      </c>
      <c r="H832" s="91">
        <f>IFERROR(INDEX(Firms!$T$5:$T$1004,MATCH(828,Firms!$U$5:$U$1004,0))&amp;"","")</f>
        <v/>
      </c>
    </row>
    <row r="833">
      <c r="A833" s="79">
        <f>IF(B833="","",829)</f>
        <v/>
      </c>
      <c r="B833" s="91">
        <f>IFERROR(INDEX(Firms!$A$5:$A$1004,MATCH(829,Firms!$U$5:$U$1004,0))&amp;"","")</f>
        <v/>
      </c>
      <c r="C833" s="88">
        <f>IFERROR(IF(INDEX(Firms!$R$5:$R$1004,MATCH(829,Firms!$U$5:$U$1004,0))="","",INDEX(Firms!$R$5:$R$1004,MATCH(829,Firms!$U$5:$U$1004,0))),"")</f>
        <v/>
      </c>
      <c r="D833" s="91">
        <f>IFERROR(INDEX(Firms!$S$5:$S$1004,MATCH(829,Firms!$U$5:$U$1004,0))&amp;"","")</f>
        <v/>
      </c>
      <c r="E833" s="91">
        <f>IFERROR(INDEX(Firms!$C$5:$C$1004,MATCH(829,Firms!$U$5:$U$1004,0))&amp;"","")</f>
        <v/>
      </c>
      <c r="F833" s="79">
        <f>IFERROR(INDEX(Firms!$N$5:$N$1004,MATCH(829,Firms!$U$5:$U$1004,0))&amp;"","")</f>
        <v/>
      </c>
      <c r="G833" s="79">
        <f>IFERROR(INDEX(Firms!$P$5:$P$1004,MATCH(829,Firms!$U$5:$U$1004,0))&amp;"","")</f>
        <v/>
      </c>
      <c r="H833" s="91">
        <f>IFERROR(INDEX(Firms!$T$5:$T$1004,MATCH(829,Firms!$U$5:$U$1004,0))&amp;"","")</f>
        <v/>
      </c>
    </row>
    <row r="834">
      <c r="A834" s="79">
        <f>IF(B834="","",830)</f>
        <v/>
      </c>
      <c r="B834" s="91">
        <f>IFERROR(INDEX(Firms!$A$5:$A$1004,MATCH(830,Firms!$U$5:$U$1004,0))&amp;"","")</f>
        <v/>
      </c>
      <c r="C834" s="88">
        <f>IFERROR(IF(INDEX(Firms!$R$5:$R$1004,MATCH(830,Firms!$U$5:$U$1004,0))="","",INDEX(Firms!$R$5:$R$1004,MATCH(830,Firms!$U$5:$U$1004,0))),"")</f>
        <v/>
      </c>
      <c r="D834" s="91">
        <f>IFERROR(INDEX(Firms!$S$5:$S$1004,MATCH(830,Firms!$U$5:$U$1004,0))&amp;"","")</f>
        <v/>
      </c>
      <c r="E834" s="91">
        <f>IFERROR(INDEX(Firms!$C$5:$C$1004,MATCH(830,Firms!$U$5:$U$1004,0))&amp;"","")</f>
        <v/>
      </c>
      <c r="F834" s="79">
        <f>IFERROR(INDEX(Firms!$N$5:$N$1004,MATCH(830,Firms!$U$5:$U$1004,0))&amp;"","")</f>
        <v/>
      </c>
      <c r="G834" s="79">
        <f>IFERROR(INDEX(Firms!$P$5:$P$1004,MATCH(830,Firms!$U$5:$U$1004,0))&amp;"","")</f>
        <v/>
      </c>
      <c r="H834" s="91">
        <f>IFERROR(INDEX(Firms!$T$5:$T$1004,MATCH(830,Firms!$U$5:$U$1004,0))&amp;"","")</f>
        <v/>
      </c>
    </row>
    <row r="835">
      <c r="A835" s="79">
        <f>IF(B835="","",831)</f>
        <v/>
      </c>
      <c r="B835" s="91">
        <f>IFERROR(INDEX(Firms!$A$5:$A$1004,MATCH(831,Firms!$U$5:$U$1004,0))&amp;"","")</f>
        <v/>
      </c>
      <c r="C835" s="88">
        <f>IFERROR(IF(INDEX(Firms!$R$5:$R$1004,MATCH(831,Firms!$U$5:$U$1004,0))="","",INDEX(Firms!$R$5:$R$1004,MATCH(831,Firms!$U$5:$U$1004,0))),"")</f>
        <v/>
      </c>
      <c r="D835" s="91">
        <f>IFERROR(INDEX(Firms!$S$5:$S$1004,MATCH(831,Firms!$U$5:$U$1004,0))&amp;"","")</f>
        <v/>
      </c>
      <c r="E835" s="91">
        <f>IFERROR(INDEX(Firms!$C$5:$C$1004,MATCH(831,Firms!$U$5:$U$1004,0))&amp;"","")</f>
        <v/>
      </c>
      <c r="F835" s="79">
        <f>IFERROR(INDEX(Firms!$N$5:$N$1004,MATCH(831,Firms!$U$5:$U$1004,0))&amp;"","")</f>
        <v/>
      </c>
      <c r="G835" s="79">
        <f>IFERROR(INDEX(Firms!$P$5:$P$1004,MATCH(831,Firms!$U$5:$U$1004,0))&amp;"","")</f>
        <v/>
      </c>
      <c r="H835" s="91">
        <f>IFERROR(INDEX(Firms!$T$5:$T$1004,MATCH(831,Firms!$U$5:$U$1004,0))&amp;"","")</f>
        <v/>
      </c>
    </row>
    <row r="836">
      <c r="A836" s="79">
        <f>IF(B836="","",832)</f>
        <v/>
      </c>
      <c r="B836" s="91">
        <f>IFERROR(INDEX(Firms!$A$5:$A$1004,MATCH(832,Firms!$U$5:$U$1004,0))&amp;"","")</f>
        <v/>
      </c>
      <c r="C836" s="88">
        <f>IFERROR(IF(INDEX(Firms!$R$5:$R$1004,MATCH(832,Firms!$U$5:$U$1004,0))="","",INDEX(Firms!$R$5:$R$1004,MATCH(832,Firms!$U$5:$U$1004,0))),"")</f>
        <v/>
      </c>
      <c r="D836" s="91">
        <f>IFERROR(INDEX(Firms!$S$5:$S$1004,MATCH(832,Firms!$U$5:$U$1004,0))&amp;"","")</f>
        <v/>
      </c>
      <c r="E836" s="91">
        <f>IFERROR(INDEX(Firms!$C$5:$C$1004,MATCH(832,Firms!$U$5:$U$1004,0))&amp;"","")</f>
        <v/>
      </c>
      <c r="F836" s="79">
        <f>IFERROR(INDEX(Firms!$N$5:$N$1004,MATCH(832,Firms!$U$5:$U$1004,0))&amp;"","")</f>
        <v/>
      </c>
      <c r="G836" s="79">
        <f>IFERROR(INDEX(Firms!$P$5:$P$1004,MATCH(832,Firms!$U$5:$U$1004,0))&amp;"","")</f>
        <v/>
      </c>
      <c r="H836" s="91">
        <f>IFERROR(INDEX(Firms!$T$5:$T$1004,MATCH(832,Firms!$U$5:$U$1004,0))&amp;"","")</f>
        <v/>
      </c>
    </row>
    <row r="837">
      <c r="A837" s="79">
        <f>IF(B837="","",833)</f>
        <v/>
      </c>
      <c r="B837" s="91">
        <f>IFERROR(INDEX(Firms!$A$5:$A$1004,MATCH(833,Firms!$U$5:$U$1004,0))&amp;"","")</f>
        <v/>
      </c>
      <c r="C837" s="88">
        <f>IFERROR(IF(INDEX(Firms!$R$5:$R$1004,MATCH(833,Firms!$U$5:$U$1004,0))="","",INDEX(Firms!$R$5:$R$1004,MATCH(833,Firms!$U$5:$U$1004,0))),"")</f>
        <v/>
      </c>
      <c r="D837" s="91">
        <f>IFERROR(INDEX(Firms!$S$5:$S$1004,MATCH(833,Firms!$U$5:$U$1004,0))&amp;"","")</f>
        <v/>
      </c>
      <c r="E837" s="91">
        <f>IFERROR(INDEX(Firms!$C$5:$C$1004,MATCH(833,Firms!$U$5:$U$1004,0))&amp;"","")</f>
        <v/>
      </c>
      <c r="F837" s="79">
        <f>IFERROR(INDEX(Firms!$N$5:$N$1004,MATCH(833,Firms!$U$5:$U$1004,0))&amp;"","")</f>
        <v/>
      </c>
      <c r="G837" s="79">
        <f>IFERROR(INDEX(Firms!$P$5:$P$1004,MATCH(833,Firms!$U$5:$U$1004,0))&amp;"","")</f>
        <v/>
      </c>
      <c r="H837" s="91">
        <f>IFERROR(INDEX(Firms!$T$5:$T$1004,MATCH(833,Firms!$U$5:$U$1004,0))&amp;"","")</f>
        <v/>
      </c>
    </row>
    <row r="838">
      <c r="A838" s="79">
        <f>IF(B838="","",834)</f>
        <v/>
      </c>
      <c r="B838" s="91">
        <f>IFERROR(INDEX(Firms!$A$5:$A$1004,MATCH(834,Firms!$U$5:$U$1004,0))&amp;"","")</f>
        <v/>
      </c>
      <c r="C838" s="88">
        <f>IFERROR(IF(INDEX(Firms!$R$5:$R$1004,MATCH(834,Firms!$U$5:$U$1004,0))="","",INDEX(Firms!$R$5:$R$1004,MATCH(834,Firms!$U$5:$U$1004,0))),"")</f>
        <v/>
      </c>
      <c r="D838" s="91">
        <f>IFERROR(INDEX(Firms!$S$5:$S$1004,MATCH(834,Firms!$U$5:$U$1004,0))&amp;"","")</f>
        <v/>
      </c>
      <c r="E838" s="91">
        <f>IFERROR(INDEX(Firms!$C$5:$C$1004,MATCH(834,Firms!$U$5:$U$1004,0))&amp;"","")</f>
        <v/>
      </c>
      <c r="F838" s="79">
        <f>IFERROR(INDEX(Firms!$N$5:$N$1004,MATCH(834,Firms!$U$5:$U$1004,0))&amp;"","")</f>
        <v/>
      </c>
      <c r="G838" s="79">
        <f>IFERROR(INDEX(Firms!$P$5:$P$1004,MATCH(834,Firms!$U$5:$U$1004,0))&amp;"","")</f>
        <v/>
      </c>
      <c r="H838" s="91">
        <f>IFERROR(INDEX(Firms!$T$5:$T$1004,MATCH(834,Firms!$U$5:$U$1004,0))&amp;"","")</f>
        <v/>
      </c>
    </row>
    <row r="839">
      <c r="A839" s="79">
        <f>IF(B839="","",835)</f>
        <v/>
      </c>
      <c r="B839" s="91">
        <f>IFERROR(INDEX(Firms!$A$5:$A$1004,MATCH(835,Firms!$U$5:$U$1004,0))&amp;"","")</f>
        <v/>
      </c>
      <c r="C839" s="88">
        <f>IFERROR(IF(INDEX(Firms!$R$5:$R$1004,MATCH(835,Firms!$U$5:$U$1004,0))="","",INDEX(Firms!$R$5:$R$1004,MATCH(835,Firms!$U$5:$U$1004,0))),"")</f>
        <v/>
      </c>
      <c r="D839" s="91">
        <f>IFERROR(INDEX(Firms!$S$5:$S$1004,MATCH(835,Firms!$U$5:$U$1004,0))&amp;"","")</f>
        <v/>
      </c>
      <c r="E839" s="91">
        <f>IFERROR(INDEX(Firms!$C$5:$C$1004,MATCH(835,Firms!$U$5:$U$1004,0))&amp;"","")</f>
        <v/>
      </c>
      <c r="F839" s="79">
        <f>IFERROR(INDEX(Firms!$N$5:$N$1004,MATCH(835,Firms!$U$5:$U$1004,0))&amp;"","")</f>
        <v/>
      </c>
      <c r="G839" s="79">
        <f>IFERROR(INDEX(Firms!$P$5:$P$1004,MATCH(835,Firms!$U$5:$U$1004,0))&amp;"","")</f>
        <v/>
      </c>
      <c r="H839" s="91">
        <f>IFERROR(INDEX(Firms!$T$5:$T$1004,MATCH(835,Firms!$U$5:$U$1004,0))&amp;"","")</f>
        <v/>
      </c>
    </row>
    <row r="840">
      <c r="A840" s="79">
        <f>IF(B840="","",836)</f>
        <v/>
      </c>
      <c r="B840" s="91">
        <f>IFERROR(INDEX(Firms!$A$5:$A$1004,MATCH(836,Firms!$U$5:$U$1004,0))&amp;"","")</f>
        <v/>
      </c>
      <c r="C840" s="88">
        <f>IFERROR(IF(INDEX(Firms!$R$5:$R$1004,MATCH(836,Firms!$U$5:$U$1004,0))="","",INDEX(Firms!$R$5:$R$1004,MATCH(836,Firms!$U$5:$U$1004,0))),"")</f>
        <v/>
      </c>
      <c r="D840" s="91">
        <f>IFERROR(INDEX(Firms!$S$5:$S$1004,MATCH(836,Firms!$U$5:$U$1004,0))&amp;"","")</f>
        <v/>
      </c>
      <c r="E840" s="91">
        <f>IFERROR(INDEX(Firms!$C$5:$C$1004,MATCH(836,Firms!$U$5:$U$1004,0))&amp;"","")</f>
        <v/>
      </c>
      <c r="F840" s="79">
        <f>IFERROR(INDEX(Firms!$N$5:$N$1004,MATCH(836,Firms!$U$5:$U$1004,0))&amp;"","")</f>
        <v/>
      </c>
      <c r="G840" s="79">
        <f>IFERROR(INDEX(Firms!$P$5:$P$1004,MATCH(836,Firms!$U$5:$U$1004,0))&amp;"","")</f>
        <v/>
      </c>
      <c r="H840" s="91">
        <f>IFERROR(INDEX(Firms!$T$5:$T$1004,MATCH(836,Firms!$U$5:$U$1004,0))&amp;"","")</f>
        <v/>
      </c>
    </row>
    <row r="841">
      <c r="A841" s="79">
        <f>IF(B841="","",837)</f>
        <v/>
      </c>
      <c r="B841" s="91">
        <f>IFERROR(INDEX(Firms!$A$5:$A$1004,MATCH(837,Firms!$U$5:$U$1004,0))&amp;"","")</f>
        <v/>
      </c>
      <c r="C841" s="88">
        <f>IFERROR(IF(INDEX(Firms!$R$5:$R$1004,MATCH(837,Firms!$U$5:$U$1004,0))="","",INDEX(Firms!$R$5:$R$1004,MATCH(837,Firms!$U$5:$U$1004,0))),"")</f>
        <v/>
      </c>
      <c r="D841" s="91">
        <f>IFERROR(INDEX(Firms!$S$5:$S$1004,MATCH(837,Firms!$U$5:$U$1004,0))&amp;"","")</f>
        <v/>
      </c>
      <c r="E841" s="91">
        <f>IFERROR(INDEX(Firms!$C$5:$C$1004,MATCH(837,Firms!$U$5:$U$1004,0))&amp;"","")</f>
        <v/>
      </c>
      <c r="F841" s="79">
        <f>IFERROR(INDEX(Firms!$N$5:$N$1004,MATCH(837,Firms!$U$5:$U$1004,0))&amp;"","")</f>
        <v/>
      </c>
      <c r="G841" s="79">
        <f>IFERROR(INDEX(Firms!$P$5:$P$1004,MATCH(837,Firms!$U$5:$U$1004,0))&amp;"","")</f>
        <v/>
      </c>
      <c r="H841" s="91">
        <f>IFERROR(INDEX(Firms!$T$5:$T$1004,MATCH(837,Firms!$U$5:$U$1004,0))&amp;"","")</f>
        <v/>
      </c>
    </row>
    <row r="842">
      <c r="A842" s="79">
        <f>IF(B842="","",838)</f>
        <v/>
      </c>
      <c r="B842" s="91">
        <f>IFERROR(INDEX(Firms!$A$5:$A$1004,MATCH(838,Firms!$U$5:$U$1004,0))&amp;"","")</f>
        <v/>
      </c>
      <c r="C842" s="88">
        <f>IFERROR(IF(INDEX(Firms!$R$5:$R$1004,MATCH(838,Firms!$U$5:$U$1004,0))="","",INDEX(Firms!$R$5:$R$1004,MATCH(838,Firms!$U$5:$U$1004,0))),"")</f>
        <v/>
      </c>
      <c r="D842" s="91">
        <f>IFERROR(INDEX(Firms!$S$5:$S$1004,MATCH(838,Firms!$U$5:$U$1004,0))&amp;"","")</f>
        <v/>
      </c>
      <c r="E842" s="91">
        <f>IFERROR(INDEX(Firms!$C$5:$C$1004,MATCH(838,Firms!$U$5:$U$1004,0))&amp;"","")</f>
        <v/>
      </c>
      <c r="F842" s="79">
        <f>IFERROR(INDEX(Firms!$N$5:$N$1004,MATCH(838,Firms!$U$5:$U$1004,0))&amp;"","")</f>
        <v/>
      </c>
      <c r="G842" s="79">
        <f>IFERROR(INDEX(Firms!$P$5:$P$1004,MATCH(838,Firms!$U$5:$U$1004,0))&amp;"","")</f>
        <v/>
      </c>
      <c r="H842" s="91">
        <f>IFERROR(INDEX(Firms!$T$5:$T$1004,MATCH(838,Firms!$U$5:$U$1004,0))&amp;"","")</f>
        <v/>
      </c>
    </row>
    <row r="843">
      <c r="A843" s="79">
        <f>IF(B843="","",839)</f>
        <v/>
      </c>
      <c r="B843" s="91">
        <f>IFERROR(INDEX(Firms!$A$5:$A$1004,MATCH(839,Firms!$U$5:$U$1004,0))&amp;"","")</f>
        <v/>
      </c>
      <c r="C843" s="88">
        <f>IFERROR(IF(INDEX(Firms!$R$5:$R$1004,MATCH(839,Firms!$U$5:$U$1004,0))="","",INDEX(Firms!$R$5:$R$1004,MATCH(839,Firms!$U$5:$U$1004,0))),"")</f>
        <v/>
      </c>
      <c r="D843" s="91">
        <f>IFERROR(INDEX(Firms!$S$5:$S$1004,MATCH(839,Firms!$U$5:$U$1004,0))&amp;"","")</f>
        <v/>
      </c>
      <c r="E843" s="91">
        <f>IFERROR(INDEX(Firms!$C$5:$C$1004,MATCH(839,Firms!$U$5:$U$1004,0))&amp;"","")</f>
        <v/>
      </c>
      <c r="F843" s="79">
        <f>IFERROR(INDEX(Firms!$N$5:$N$1004,MATCH(839,Firms!$U$5:$U$1004,0))&amp;"","")</f>
        <v/>
      </c>
      <c r="G843" s="79">
        <f>IFERROR(INDEX(Firms!$P$5:$P$1004,MATCH(839,Firms!$U$5:$U$1004,0))&amp;"","")</f>
        <v/>
      </c>
      <c r="H843" s="91">
        <f>IFERROR(INDEX(Firms!$T$5:$T$1004,MATCH(839,Firms!$U$5:$U$1004,0))&amp;"","")</f>
        <v/>
      </c>
    </row>
    <row r="844">
      <c r="A844" s="79">
        <f>IF(B844="","",840)</f>
        <v/>
      </c>
      <c r="B844" s="91">
        <f>IFERROR(INDEX(Firms!$A$5:$A$1004,MATCH(840,Firms!$U$5:$U$1004,0))&amp;"","")</f>
        <v/>
      </c>
      <c r="C844" s="88">
        <f>IFERROR(IF(INDEX(Firms!$R$5:$R$1004,MATCH(840,Firms!$U$5:$U$1004,0))="","",INDEX(Firms!$R$5:$R$1004,MATCH(840,Firms!$U$5:$U$1004,0))),"")</f>
        <v/>
      </c>
      <c r="D844" s="91">
        <f>IFERROR(INDEX(Firms!$S$5:$S$1004,MATCH(840,Firms!$U$5:$U$1004,0))&amp;"","")</f>
        <v/>
      </c>
      <c r="E844" s="91">
        <f>IFERROR(INDEX(Firms!$C$5:$C$1004,MATCH(840,Firms!$U$5:$U$1004,0))&amp;"","")</f>
        <v/>
      </c>
      <c r="F844" s="79">
        <f>IFERROR(INDEX(Firms!$N$5:$N$1004,MATCH(840,Firms!$U$5:$U$1004,0))&amp;"","")</f>
        <v/>
      </c>
      <c r="G844" s="79">
        <f>IFERROR(INDEX(Firms!$P$5:$P$1004,MATCH(840,Firms!$U$5:$U$1004,0))&amp;"","")</f>
        <v/>
      </c>
      <c r="H844" s="91">
        <f>IFERROR(INDEX(Firms!$T$5:$T$1004,MATCH(840,Firms!$U$5:$U$1004,0))&amp;"","")</f>
        <v/>
      </c>
    </row>
    <row r="845">
      <c r="A845" s="79">
        <f>IF(B845="","",841)</f>
        <v/>
      </c>
      <c r="B845" s="91">
        <f>IFERROR(INDEX(Firms!$A$5:$A$1004,MATCH(841,Firms!$U$5:$U$1004,0))&amp;"","")</f>
        <v/>
      </c>
      <c r="C845" s="88">
        <f>IFERROR(IF(INDEX(Firms!$R$5:$R$1004,MATCH(841,Firms!$U$5:$U$1004,0))="","",INDEX(Firms!$R$5:$R$1004,MATCH(841,Firms!$U$5:$U$1004,0))),"")</f>
        <v/>
      </c>
      <c r="D845" s="91">
        <f>IFERROR(INDEX(Firms!$S$5:$S$1004,MATCH(841,Firms!$U$5:$U$1004,0))&amp;"","")</f>
        <v/>
      </c>
      <c r="E845" s="91">
        <f>IFERROR(INDEX(Firms!$C$5:$C$1004,MATCH(841,Firms!$U$5:$U$1004,0))&amp;"","")</f>
        <v/>
      </c>
      <c r="F845" s="79">
        <f>IFERROR(INDEX(Firms!$N$5:$N$1004,MATCH(841,Firms!$U$5:$U$1004,0))&amp;"","")</f>
        <v/>
      </c>
      <c r="G845" s="79">
        <f>IFERROR(INDEX(Firms!$P$5:$P$1004,MATCH(841,Firms!$U$5:$U$1004,0))&amp;"","")</f>
        <v/>
      </c>
      <c r="H845" s="91">
        <f>IFERROR(INDEX(Firms!$T$5:$T$1004,MATCH(841,Firms!$U$5:$U$1004,0))&amp;"","")</f>
        <v/>
      </c>
    </row>
    <row r="846">
      <c r="A846" s="79">
        <f>IF(B846="","",842)</f>
        <v/>
      </c>
      <c r="B846" s="91">
        <f>IFERROR(INDEX(Firms!$A$5:$A$1004,MATCH(842,Firms!$U$5:$U$1004,0))&amp;"","")</f>
        <v/>
      </c>
      <c r="C846" s="88">
        <f>IFERROR(IF(INDEX(Firms!$R$5:$R$1004,MATCH(842,Firms!$U$5:$U$1004,0))="","",INDEX(Firms!$R$5:$R$1004,MATCH(842,Firms!$U$5:$U$1004,0))),"")</f>
        <v/>
      </c>
      <c r="D846" s="91">
        <f>IFERROR(INDEX(Firms!$S$5:$S$1004,MATCH(842,Firms!$U$5:$U$1004,0))&amp;"","")</f>
        <v/>
      </c>
      <c r="E846" s="91">
        <f>IFERROR(INDEX(Firms!$C$5:$C$1004,MATCH(842,Firms!$U$5:$U$1004,0))&amp;"","")</f>
        <v/>
      </c>
      <c r="F846" s="79">
        <f>IFERROR(INDEX(Firms!$N$5:$N$1004,MATCH(842,Firms!$U$5:$U$1004,0))&amp;"","")</f>
        <v/>
      </c>
      <c r="G846" s="79">
        <f>IFERROR(INDEX(Firms!$P$5:$P$1004,MATCH(842,Firms!$U$5:$U$1004,0))&amp;"","")</f>
        <v/>
      </c>
      <c r="H846" s="91">
        <f>IFERROR(INDEX(Firms!$T$5:$T$1004,MATCH(842,Firms!$U$5:$U$1004,0))&amp;"","")</f>
        <v/>
      </c>
    </row>
    <row r="847">
      <c r="A847" s="79">
        <f>IF(B847="","",843)</f>
        <v/>
      </c>
      <c r="B847" s="91">
        <f>IFERROR(INDEX(Firms!$A$5:$A$1004,MATCH(843,Firms!$U$5:$U$1004,0))&amp;"","")</f>
        <v/>
      </c>
      <c r="C847" s="88">
        <f>IFERROR(IF(INDEX(Firms!$R$5:$R$1004,MATCH(843,Firms!$U$5:$U$1004,0))="","",INDEX(Firms!$R$5:$R$1004,MATCH(843,Firms!$U$5:$U$1004,0))),"")</f>
        <v/>
      </c>
      <c r="D847" s="91">
        <f>IFERROR(INDEX(Firms!$S$5:$S$1004,MATCH(843,Firms!$U$5:$U$1004,0))&amp;"","")</f>
        <v/>
      </c>
      <c r="E847" s="91">
        <f>IFERROR(INDEX(Firms!$C$5:$C$1004,MATCH(843,Firms!$U$5:$U$1004,0))&amp;"","")</f>
        <v/>
      </c>
      <c r="F847" s="79">
        <f>IFERROR(INDEX(Firms!$N$5:$N$1004,MATCH(843,Firms!$U$5:$U$1004,0))&amp;"","")</f>
        <v/>
      </c>
      <c r="G847" s="79">
        <f>IFERROR(INDEX(Firms!$P$5:$P$1004,MATCH(843,Firms!$U$5:$U$1004,0))&amp;"","")</f>
        <v/>
      </c>
      <c r="H847" s="91">
        <f>IFERROR(INDEX(Firms!$T$5:$T$1004,MATCH(843,Firms!$U$5:$U$1004,0))&amp;"","")</f>
        <v/>
      </c>
    </row>
    <row r="848">
      <c r="A848" s="79">
        <f>IF(B848="","",844)</f>
        <v/>
      </c>
      <c r="B848" s="91">
        <f>IFERROR(INDEX(Firms!$A$5:$A$1004,MATCH(844,Firms!$U$5:$U$1004,0))&amp;"","")</f>
        <v/>
      </c>
      <c r="C848" s="88">
        <f>IFERROR(IF(INDEX(Firms!$R$5:$R$1004,MATCH(844,Firms!$U$5:$U$1004,0))="","",INDEX(Firms!$R$5:$R$1004,MATCH(844,Firms!$U$5:$U$1004,0))),"")</f>
        <v/>
      </c>
      <c r="D848" s="91">
        <f>IFERROR(INDEX(Firms!$S$5:$S$1004,MATCH(844,Firms!$U$5:$U$1004,0))&amp;"","")</f>
        <v/>
      </c>
      <c r="E848" s="91">
        <f>IFERROR(INDEX(Firms!$C$5:$C$1004,MATCH(844,Firms!$U$5:$U$1004,0))&amp;"","")</f>
        <v/>
      </c>
      <c r="F848" s="79">
        <f>IFERROR(INDEX(Firms!$N$5:$N$1004,MATCH(844,Firms!$U$5:$U$1004,0))&amp;"","")</f>
        <v/>
      </c>
      <c r="G848" s="79">
        <f>IFERROR(INDEX(Firms!$P$5:$P$1004,MATCH(844,Firms!$U$5:$U$1004,0))&amp;"","")</f>
        <v/>
      </c>
      <c r="H848" s="91">
        <f>IFERROR(INDEX(Firms!$T$5:$T$1004,MATCH(844,Firms!$U$5:$U$1004,0))&amp;"","")</f>
        <v/>
      </c>
    </row>
    <row r="849">
      <c r="A849" s="79">
        <f>IF(B849="","",845)</f>
        <v/>
      </c>
      <c r="B849" s="91">
        <f>IFERROR(INDEX(Firms!$A$5:$A$1004,MATCH(845,Firms!$U$5:$U$1004,0))&amp;"","")</f>
        <v/>
      </c>
      <c r="C849" s="88">
        <f>IFERROR(IF(INDEX(Firms!$R$5:$R$1004,MATCH(845,Firms!$U$5:$U$1004,0))="","",INDEX(Firms!$R$5:$R$1004,MATCH(845,Firms!$U$5:$U$1004,0))),"")</f>
        <v/>
      </c>
      <c r="D849" s="91">
        <f>IFERROR(INDEX(Firms!$S$5:$S$1004,MATCH(845,Firms!$U$5:$U$1004,0))&amp;"","")</f>
        <v/>
      </c>
      <c r="E849" s="91">
        <f>IFERROR(INDEX(Firms!$C$5:$C$1004,MATCH(845,Firms!$U$5:$U$1004,0))&amp;"","")</f>
        <v/>
      </c>
      <c r="F849" s="79">
        <f>IFERROR(INDEX(Firms!$N$5:$N$1004,MATCH(845,Firms!$U$5:$U$1004,0))&amp;"","")</f>
        <v/>
      </c>
      <c r="G849" s="79">
        <f>IFERROR(INDEX(Firms!$P$5:$P$1004,MATCH(845,Firms!$U$5:$U$1004,0))&amp;"","")</f>
        <v/>
      </c>
      <c r="H849" s="91">
        <f>IFERROR(INDEX(Firms!$T$5:$T$1004,MATCH(845,Firms!$U$5:$U$1004,0))&amp;"","")</f>
        <v/>
      </c>
    </row>
    <row r="850">
      <c r="A850" s="79">
        <f>IF(B850="","",846)</f>
        <v/>
      </c>
      <c r="B850" s="91">
        <f>IFERROR(INDEX(Firms!$A$5:$A$1004,MATCH(846,Firms!$U$5:$U$1004,0))&amp;"","")</f>
        <v/>
      </c>
      <c r="C850" s="88">
        <f>IFERROR(IF(INDEX(Firms!$R$5:$R$1004,MATCH(846,Firms!$U$5:$U$1004,0))="","",INDEX(Firms!$R$5:$R$1004,MATCH(846,Firms!$U$5:$U$1004,0))),"")</f>
        <v/>
      </c>
      <c r="D850" s="91">
        <f>IFERROR(INDEX(Firms!$S$5:$S$1004,MATCH(846,Firms!$U$5:$U$1004,0))&amp;"","")</f>
        <v/>
      </c>
      <c r="E850" s="91">
        <f>IFERROR(INDEX(Firms!$C$5:$C$1004,MATCH(846,Firms!$U$5:$U$1004,0))&amp;"","")</f>
        <v/>
      </c>
      <c r="F850" s="79">
        <f>IFERROR(INDEX(Firms!$N$5:$N$1004,MATCH(846,Firms!$U$5:$U$1004,0))&amp;"","")</f>
        <v/>
      </c>
      <c r="G850" s="79">
        <f>IFERROR(INDEX(Firms!$P$5:$P$1004,MATCH(846,Firms!$U$5:$U$1004,0))&amp;"","")</f>
        <v/>
      </c>
      <c r="H850" s="91">
        <f>IFERROR(INDEX(Firms!$T$5:$T$1004,MATCH(846,Firms!$U$5:$U$1004,0))&amp;"","")</f>
        <v/>
      </c>
    </row>
    <row r="851">
      <c r="A851" s="79">
        <f>IF(B851="","",847)</f>
        <v/>
      </c>
      <c r="B851" s="91">
        <f>IFERROR(INDEX(Firms!$A$5:$A$1004,MATCH(847,Firms!$U$5:$U$1004,0))&amp;"","")</f>
        <v/>
      </c>
      <c r="C851" s="88">
        <f>IFERROR(IF(INDEX(Firms!$R$5:$R$1004,MATCH(847,Firms!$U$5:$U$1004,0))="","",INDEX(Firms!$R$5:$R$1004,MATCH(847,Firms!$U$5:$U$1004,0))),"")</f>
        <v/>
      </c>
      <c r="D851" s="91">
        <f>IFERROR(INDEX(Firms!$S$5:$S$1004,MATCH(847,Firms!$U$5:$U$1004,0))&amp;"","")</f>
        <v/>
      </c>
      <c r="E851" s="91">
        <f>IFERROR(INDEX(Firms!$C$5:$C$1004,MATCH(847,Firms!$U$5:$U$1004,0))&amp;"","")</f>
        <v/>
      </c>
      <c r="F851" s="79">
        <f>IFERROR(INDEX(Firms!$N$5:$N$1004,MATCH(847,Firms!$U$5:$U$1004,0))&amp;"","")</f>
        <v/>
      </c>
      <c r="G851" s="79">
        <f>IFERROR(INDEX(Firms!$P$5:$P$1004,MATCH(847,Firms!$U$5:$U$1004,0))&amp;"","")</f>
        <v/>
      </c>
      <c r="H851" s="91">
        <f>IFERROR(INDEX(Firms!$T$5:$T$1004,MATCH(847,Firms!$U$5:$U$1004,0))&amp;"","")</f>
        <v/>
      </c>
    </row>
    <row r="852">
      <c r="A852" s="79">
        <f>IF(B852="","",848)</f>
        <v/>
      </c>
      <c r="B852" s="91">
        <f>IFERROR(INDEX(Firms!$A$5:$A$1004,MATCH(848,Firms!$U$5:$U$1004,0))&amp;"","")</f>
        <v/>
      </c>
      <c r="C852" s="88">
        <f>IFERROR(IF(INDEX(Firms!$R$5:$R$1004,MATCH(848,Firms!$U$5:$U$1004,0))="","",INDEX(Firms!$R$5:$R$1004,MATCH(848,Firms!$U$5:$U$1004,0))),"")</f>
        <v/>
      </c>
      <c r="D852" s="91">
        <f>IFERROR(INDEX(Firms!$S$5:$S$1004,MATCH(848,Firms!$U$5:$U$1004,0))&amp;"","")</f>
        <v/>
      </c>
      <c r="E852" s="91">
        <f>IFERROR(INDEX(Firms!$C$5:$C$1004,MATCH(848,Firms!$U$5:$U$1004,0))&amp;"","")</f>
        <v/>
      </c>
      <c r="F852" s="79">
        <f>IFERROR(INDEX(Firms!$N$5:$N$1004,MATCH(848,Firms!$U$5:$U$1004,0))&amp;"","")</f>
        <v/>
      </c>
      <c r="G852" s="79">
        <f>IFERROR(INDEX(Firms!$P$5:$P$1004,MATCH(848,Firms!$U$5:$U$1004,0))&amp;"","")</f>
        <v/>
      </c>
      <c r="H852" s="91">
        <f>IFERROR(INDEX(Firms!$T$5:$T$1004,MATCH(848,Firms!$U$5:$U$1004,0))&amp;"","")</f>
        <v/>
      </c>
    </row>
    <row r="853">
      <c r="A853" s="79">
        <f>IF(B853="","",849)</f>
        <v/>
      </c>
      <c r="B853" s="91">
        <f>IFERROR(INDEX(Firms!$A$5:$A$1004,MATCH(849,Firms!$U$5:$U$1004,0))&amp;"","")</f>
        <v/>
      </c>
      <c r="C853" s="88">
        <f>IFERROR(IF(INDEX(Firms!$R$5:$R$1004,MATCH(849,Firms!$U$5:$U$1004,0))="","",INDEX(Firms!$R$5:$R$1004,MATCH(849,Firms!$U$5:$U$1004,0))),"")</f>
        <v/>
      </c>
      <c r="D853" s="91">
        <f>IFERROR(INDEX(Firms!$S$5:$S$1004,MATCH(849,Firms!$U$5:$U$1004,0))&amp;"","")</f>
        <v/>
      </c>
      <c r="E853" s="91">
        <f>IFERROR(INDEX(Firms!$C$5:$C$1004,MATCH(849,Firms!$U$5:$U$1004,0))&amp;"","")</f>
        <v/>
      </c>
      <c r="F853" s="79">
        <f>IFERROR(INDEX(Firms!$N$5:$N$1004,MATCH(849,Firms!$U$5:$U$1004,0))&amp;"","")</f>
        <v/>
      </c>
      <c r="G853" s="79">
        <f>IFERROR(INDEX(Firms!$P$5:$P$1004,MATCH(849,Firms!$U$5:$U$1004,0))&amp;"","")</f>
        <v/>
      </c>
      <c r="H853" s="91">
        <f>IFERROR(INDEX(Firms!$T$5:$T$1004,MATCH(849,Firms!$U$5:$U$1004,0))&amp;"","")</f>
        <v/>
      </c>
    </row>
    <row r="854">
      <c r="A854" s="79">
        <f>IF(B854="","",850)</f>
        <v/>
      </c>
      <c r="B854" s="91">
        <f>IFERROR(INDEX(Firms!$A$5:$A$1004,MATCH(850,Firms!$U$5:$U$1004,0))&amp;"","")</f>
        <v/>
      </c>
      <c r="C854" s="88">
        <f>IFERROR(IF(INDEX(Firms!$R$5:$R$1004,MATCH(850,Firms!$U$5:$U$1004,0))="","",INDEX(Firms!$R$5:$R$1004,MATCH(850,Firms!$U$5:$U$1004,0))),"")</f>
        <v/>
      </c>
      <c r="D854" s="91">
        <f>IFERROR(INDEX(Firms!$S$5:$S$1004,MATCH(850,Firms!$U$5:$U$1004,0))&amp;"","")</f>
        <v/>
      </c>
      <c r="E854" s="91">
        <f>IFERROR(INDEX(Firms!$C$5:$C$1004,MATCH(850,Firms!$U$5:$U$1004,0))&amp;"","")</f>
        <v/>
      </c>
      <c r="F854" s="79">
        <f>IFERROR(INDEX(Firms!$N$5:$N$1004,MATCH(850,Firms!$U$5:$U$1004,0))&amp;"","")</f>
        <v/>
      </c>
      <c r="G854" s="79">
        <f>IFERROR(INDEX(Firms!$P$5:$P$1004,MATCH(850,Firms!$U$5:$U$1004,0))&amp;"","")</f>
        <v/>
      </c>
      <c r="H854" s="91">
        <f>IFERROR(INDEX(Firms!$T$5:$T$1004,MATCH(850,Firms!$U$5:$U$1004,0))&amp;"","")</f>
        <v/>
      </c>
    </row>
    <row r="855">
      <c r="A855" s="79">
        <f>IF(B855="","",851)</f>
        <v/>
      </c>
      <c r="B855" s="91">
        <f>IFERROR(INDEX(Firms!$A$5:$A$1004,MATCH(851,Firms!$U$5:$U$1004,0))&amp;"","")</f>
        <v/>
      </c>
      <c r="C855" s="88">
        <f>IFERROR(IF(INDEX(Firms!$R$5:$R$1004,MATCH(851,Firms!$U$5:$U$1004,0))="","",INDEX(Firms!$R$5:$R$1004,MATCH(851,Firms!$U$5:$U$1004,0))),"")</f>
        <v/>
      </c>
      <c r="D855" s="91">
        <f>IFERROR(INDEX(Firms!$S$5:$S$1004,MATCH(851,Firms!$U$5:$U$1004,0))&amp;"","")</f>
        <v/>
      </c>
      <c r="E855" s="91">
        <f>IFERROR(INDEX(Firms!$C$5:$C$1004,MATCH(851,Firms!$U$5:$U$1004,0))&amp;"","")</f>
        <v/>
      </c>
      <c r="F855" s="79">
        <f>IFERROR(INDEX(Firms!$N$5:$N$1004,MATCH(851,Firms!$U$5:$U$1004,0))&amp;"","")</f>
        <v/>
      </c>
      <c r="G855" s="79">
        <f>IFERROR(INDEX(Firms!$P$5:$P$1004,MATCH(851,Firms!$U$5:$U$1004,0))&amp;"","")</f>
        <v/>
      </c>
      <c r="H855" s="91">
        <f>IFERROR(INDEX(Firms!$T$5:$T$1004,MATCH(851,Firms!$U$5:$U$1004,0))&amp;"","")</f>
        <v/>
      </c>
    </row>
    <row r="856">
      <c r="A856" s="79">
        <f>IF(B856="","",852)</f>
        <v/>
      </c>
      <c r="B856" s="91">
        <f>IFERROR(INDEX(Firms!$A$5:$A$1004,MATCH(852,Firms!$U$5:$U$1004,0))&amp;"","")</f>
        <v/>
      </c>
      <c r="C856" s="88">
        <f>IFERROR(IF(INDEX(Firms!$R$5:$R$1004,MATCH(852,Firms!$U$5:$U$1004,0))="","",INDEX(Firms!$R$5:$R$1004,MATCH(852,Firms!$U$5:$U$1004,0))),"")</f>
        <v/>
      </c>
      <c r="D856" s="91">
        <f>IFERROR(INDEX(Firms!$S$5:$S$1004,MATCH(852,Firms!$U$5:$U$1004,0))&amp;"","")</f>
        <v/>
      </c>
      <c r="E856" s="91">
        <f>IFERROR(INDEX(Firms!$C$5:$C$1004,MATCH(852,Firms!$U$5:$U$1004,0))&amp;"","")</f>
        <v/>
      </c>
      <c r="F856" s="79">
        <f>IFERROR(INDEX(Firms!$N$5:$N$1004,MATCH(852,Firms!$U$5:$U$1004,0))&amp;"","")</f>
        <v/>
      </c>
      <c r="G856" s="79">
        <f>IFERROR(INDEX(Firms!$P$5:$P$1004,MATCH(852,Firms!$U$5:$U$1004,0))&amp;"","")</f>
        <v/>
      </c>
      <c r="H856" s="91">
        <f>IFERROR(INDEX(Firms!$T$5:$T$1004,MATCH(852,Firms!$U$5:$U$1004,0))&amp;"","")</f>
        <v/>
      </c>
    </row>
    <row r="857">
      <c r="A857" s="79">
        <f>IF(B857="","",853)</f>
        <v/>
      </c>
      <c r="B857" s="91">
        <f>IFERROR(INDEX(Firms!$A$5:$A$1004,MATCH(853,Firms!$U$5:$U$1004,0))&amp;"","")</f>
        <v/>
      </c>
      <c r="C857" s="88">
        <f>IFERROR(IF(INDEX(Firms!$R$5:$R$1004,MATCH(853,Firms!$U$5:$U$1004,0))="","",INDEX(Firms!$R$5:$R$1004,MATCH(853,Firms!$U$5:$U$1004,0))),"")</f>
        <v/>
      </c>
      <c r="D857" s="91">
        <f>IFERROR(INDEX(Firms!$S$5:$S$1004,MATCH(853,Firms!$U$5:$U$1004,0))&amp;"","")</f>
        <v/>
      </c>
      <c r="E857" s="91">
        <f>IFERROR(INDEX(Firms!$C$5:$C$1004,MATCH(853,Firms!$U$5:$U$1004,0))&amp;"","")</f>
        <v/>
      </c>
      <c r="F857" s="79">
        <f>IFERROR(INDEX(Firms!$N$5:$N$1004,MATCH(853,Firms!$U$5:$U$1004,0))&amp;"","")</f>
        <v/>
      </c>
      <c r="G857" s="79">
        <f>IFERROR(INDEX(Firms!$P$5:$P$1004,MATCH(853,Firms!$U$5:$U$1004,0))&amp;"","")</f>
        <v/>
      </c>
      <c r="H857" s="91">
        <f>IFERROR(INDEX(Firms!$T$5:$T$1004,MATCH(853,Firms!$U$5:$U$1004,0))&amp;"","")</f>
        <v/>
      </c>
    </row>
    <row r="858">
      <c r="A858" s="79">
        <f>IF(B858="","",854)</f>
        <v/>
      </c>
      <c r="B858" s="91">
        <f>IFERROR(INDEX(Firms!$A$5:$A$1004,MATCH(854,Firms!$U$5:$U$1004,0))&amp;"","")</f>
        <v/>
      </c>
      <c r="C858" s="88">
        <f>IFERROR(IF(INDEX(Firms!$R$5:$R$1004,MATCH(854,Firms!$U$5:$U$1004,0))="","",INDEX(Firms!$R$5:$R$1004,MATCH(854,Firms!$U$5:$U$1004,0))),"")</f>
        <v/>
      </c>
      <c r="D858" s="91">
        <f>IFERROR(INDEX(Firms!$S$5:$S$1004,MATCH(854,Firms!$U$5:$U$1004,0))&amp;"","")</f>
        <v/>
      </c>
      <c r="E858" s="91">
        <f>IFERROR(INDEX(Firms!$C$5:$C$1004,MATCH(854,Firms!$U$5:$U$1004,0))&amp;"","")</f>
        <v/>
      </c>
      <c r="F858" s="79">
        <f>IFERROR(INDEX(Firms!$N$5:$N$1004,MATCH(854,Firms!$U$5:$U$1004,0))&amp;"","")</f>
        <v/>
      </c>
      <c r="G858" s="79">
        <f>IFERROR(INDEX(Firms!$P$5:$P$1004,MATCH(854,Firms!$U$5:$U$1004,0))&amp;"","")</f>
        <v/>
      </c>
      <c r="H858" s="91">
        <f>IFERROR(INDEX(Firms!$T$5:$T$1004,MATCH(854,Firms!$U$5:$U$1004,0))&amp;"","")</f>
        <v/>
      </c>
    </row>
    <row r="859">
      <c r="A859" s="79">
        <f>IF(B859="","",855)</f>
        <v/>
      </c>
      <c r="B859" s="91">
        <f>IFERROR(INDEX(Firms!$A$5:$A$1004,MATCH(855,Firms!$U$5:$U$1004,0))&amp;"","")</f>
        <v/>
      </c>
      <c r="C859" s="88">
        <f>IFERROR(IF(INDEX(Firms!$R$5:$R$1004,MATCH(855,Firms!$U$5:$U$1004,0))="","",INDEX(Firms!$R$5:$R$1004,MATCH(855,Firms!$U$5:$U$1004,0))),"")</f>
        <v/>
      </c>
      <c r="D859" s="91">
        <f>IFERROR(INDEX(Firms!$S$5:$S$1004,MATCH(855,Firms!$U$5:$U$1004,0))&amp;"","")</f>
        <v/>
      </c>
      <c r="E859" s="91">
        <f>IFERROR(INDEX(Firms!$C$5:$C$1004,MATCH(855,Firms!$U$5:$U$1004,0))&amp;"","")</f>
        <v/>
      </c>
      <c r="F859" s="79">
        <f>IFERROR(INDEX(Firms!$N$5:$N$1004,MATCH(855,Firms!$U$5:$U$1004,0))&amp;"","")</f>
        <v/>
      </c>
      <c r="G859" s="79">
        <f>IFERROR(INDEX(Firms!$P$5:$P$1004,MATCH(855,Firms!$U$5:$U$1004,0))&amp;"","")</f>
        <v/>
      </c>
      <c r="H859" s="91">
        <f>IFERROR(INDEX(Firms!$T$5:$T$1004,MATCH(855,Firms!$U$5:$U$1004,0))&amp;"","")</f>
        <v/>
      </c>
    </row>
    <row r="860">
      <c r="A860" s="79">
        <f>IF(B860="","",856)</f>
        <v/>
      </c>
      <c r="B860" s="91">
        <f>IFERROR(INDEX(Firms!$A$5:$A$1004,MATCH(856,Firms!$U$5:$U$1004,0))&amp;"","")</f>
        <v/>
      </c>
      <c r="C860" s="88">
        <f>IFERROR(IF(INDEX(Firms!$R$5:$R$1004,MATCH(856,Firms!$U$5:$U$1004,0))="","",INDEX(Firms!$R$5:$R$1004,MATCH(856,Firms!$U$5:$U$1004,0))),"")</f>
        <v/>
      </c>
      <c r="D860" s="91">
        <f>IFERROR(INDEX(Firms!$S$5:$S$1004,MATCH(856,Firms!$U$5:$U$1004,0))&amp;"","")</f>
        <v/>
      </c>
      <c r="E860" s="91">
        <f>IFERROR(INDEX(Firms!$C$5:$C$1004,MATCH(856,Firms!$U$5:$U$1004,0))&amp;"","")</f>
        <v/>
      </c>
      <c r="F860" s="79">
        <f>IFERROR(INDEX(Firms!$N$5:$N$1004,MATCH(856,Firms!$U$5:$U$1004,0))&amp;"","")</f>
        <v/>
      </c>
      <c r="G860" s="79">
        <f>IFERROR(INDEX(Firms!$P$5:$P$1004,MATCH(856,Firms!$U$5:$U$1004,0))&amp;"","")</f>
        <v/>
      </c>
      <c r="H860" s="91">
        <f>IFERROR(INDEX(Firms!$T$5:$T$1004,MATCH(856,Firms!$U$5:$U$1004,0))&amp;"","")</f>
        <v/>
      </c>
    </row>
    <row r="861">
      <c r="A861" s="79">
        <f>IF(B861="","",857)</f>
        <v/>
      </c>
      <c r="B861" s="91">
        <f>IFERROR(INDEX(Firms!$A$5:$A$1004,MATCH(857,Firms!$U$5:$U$1004,0))&amp;"","")</f>
        <v/>
      </c>
      <c r="C861" s="88">
        <f>IFERROR(IF(INDEX(Firms!$R$5:$R$1004,MATCH(857,Firms!$U$5:$U$1004,0))="","",INDEX(Firms!$R$5:$R$1004,MATCH(857,Firms!$U$5:$U$1004,0))),"")</f>
        <v/>
      </c>
      <c r="D861" s="91">
        <f>IFERROR(INDEX(Firms!$S$5:$S$1004,MATCH(857,Firms!$U$5:$U$1004,0))&amp;"","")</f>
        <v/>
      </c>
      <c r="E861" s="91">
        <f>IFERROR(INDEX(Firms!$C$5:$C$1004,MATCH(857,Firms!$U$5:$U$1004,0))&amp;"","")</f>
        <v/>
      </c>
      <c r="F861" s="79">
        <f>IFERROR(INDEX(Firms!$N$5:$N$1004,MATCH(857,Firms!$U$5:$U$1004,0))&amp;"","")</f>
        <v/>
      </c>
      <c r="G861" s="79">
        <f>IFERROR(INDEX(Firms!$P$5:$P$1004,MATCH(857,Firms!$U$5:$U$1004,0))&amp;"","")</f>
        <v/>
      </c>
      <c r="H861" s="91">
        <f>IFERROR(INDEX(Firms!$T$5:$T$1004,MATCH(857,Firms!$U$5:$U$1004,0))&amp;"","")</f>
        <v/>
      </c>
    </row>
    <row r="862">
      <c r="A862" s="79">
        <f>IF(B862="","",858)</f>
        <v/>
      </c>
      <c r="B862" s="91">
        <f>IFERROR(INDEX(Firms!$A$5:$A$1004,MATCH(858,Firms!$U$5:$U$1004,0))&amp;"","")</f>
        <v/>
      </c>
      <c r="C862" s="88">
        <f>IFERROR(IF(INDEX(Firms!$R$5:$R$1004,MATCH(858,Firms!$U$5:$U$1004,0))="","",INDEX(Firms!$R$5:$R$1004,MATCH(858,Firms!$U$5:$U$1004,0))),"")</f>
        <v/>
      </c>
      <c r="D862" s="91">
        <f>IFERROR(INDEX(Firms!$S$5:$S$1004,MATCH(858,Firms!$U$5:$U$1004,0))&amp;"","")</f>
        <v/>
      </c>
      <c r="E862" s="91">
        <f>IFERROR(INDEX(Firms!$C$5:$C$1004,MATCH(858,Firms!$U$5:$U$1004,0))&amp;"","")</f>
        <v/>
      </c>
      <c r="F862" s="79">
        <f>IFERROR(INDEX(Firms!$N$5:$N$1004,MATCH(858,Firms!$U$5:$U$1004,0))&amp;"","")</f>
        <v/>
      </c>
      <c r="G862" s="79">
        <f>IFERROR(INDEX(Firms!$P$5:$P$1004,MATCH(858,Firms!$U$5:$U$1004,0))&amp;"","")</f>
        <v/>
      </c>
      <c r="H862" s="91">
        <f>IFERROR(INDEX(Firms!$T$5:$T$1004,MATCH(858,Firms!$U$5:$U$1004,0))&amp;"","")</f>
        <v/>
      </c>
    </row>
    <row r="863">
      <c r="A863" s="79">
        <f>IF(B863="","",859)</f>
        <v/>
      </c>
      <c r="B863" s="91">
        <f>IFERROR(INDEX(Firms!$A$5:$A$1004,MATCH(859,Firms!$U$5:$U$1004,0))&amp;"","")</f>
        <v/>
      </c>
      <c r="C863" s="88">
        <f>IFERROR(IF(INDEX(Firms!$R$5:$R$1004,MATCH(859,Firms!$U$5:$U$1004,0))="","",INDEX(Firms!$R$5:$R$1004,MATCH(859,Firms!$U$5:$U$1004,0))),"")</f>
        <v/>
      </c>
      <c r="D863" s="91">
        <f>IFERROR(INDEX(Firms!$S$5:$S$1004,MATCH(859,Firms!$U$5:$U$1004,0))&amp;"","")</f>
        <v/>
      </c>
      <c r="E863" s="91">
        <f>IFERROR(INDEX(Firms!$C$5:$C$1004,MATCH(859,Firms!$U$5:$U$1004,0))&amp;"","")</f>
        <v/>
      </c>
      <c r="F863" s="79">
        <f>IFERROR(INDEX(Firms!$N$5:$N$1004,MATCH(859,Firms!$U$5:$U$1004,0))&amp;"","")</f>
        <v/>
      </c>
      <c r="G863" s="79">
        <f>IFERROR(INDEX(Firms!$P$5:$P$1004,MATCH(859,Firms!$U$5:$U$1004,0))&amp;"","")</f>
        <v/>
      </c>
      <c r="H863" s="91">
        <f>IFERROR(INDEX(Firms!$T$5:$T$1004,MATCH(859,Firms!$U$5:$U$1004,0))&amp;"","")</f>
        <v/>
      </c>
    </row>
    <row r="864">
      <c r="A864" s="79">
        <f>IF(B864="","",860)</f>
        <v/>
      </c>
      <c r="B864" s="91">
        <f>IFERROR(INDEX(Firms!$A$5:$A$1004,MATCH(860,Firms!$U$5:$U$1004,0))&amp;"","")</f>
        <v/>
      </c>
      <c r="C864" s="88">
        <f>IFERROR(IF(INDEX(Firms!$R$5:$R$1004,MATCH(860,Firms!$U$5:$U$1004,0))="","",INDEX(Firms!$R$5:$R$1004,MATCH(860,Firms!$U$5:$U$1004,0))),"")</f>
        <v/>
      </c>
      <c r="D864" s="91">
        <f>IFERROR(INDEX(Firms!$S$5:$S$1004,MATCH(860,Firms!$U$5:$U$1004,0))&amp;"","")</f>
        <v/>
      </c>
      <c r="E864" s="91">
        <f>IFERROR(INDEX(Firms!$C$5:$C$1004,MATCH(860,Firms!$U$5:$U$1004,0))&amp;"","")</f>
        <v/>
      </c>
      <c r="F864" s="79">
        <f>IFERROR(INDEX(Firms!$N$5:$N$1004,MATCH(860,Firms!$U$5:$U$1004,0))&amp;"","")</f>
        <v/>
      </c>
      <c r="G864" s="79">
        <f>IFERROR(INDEX(Firms!$P$5:$P$1004,MATCH(860,Firms!$U$5:$U$1004,0))&amp;"","")</f>
        <v/>
      </c>
      <c r="H864" s="91">
        <f>IFERROR(INDEX(Firms!$T$5:$T$1004,MATCH(860,Firms!$U$5:$U$1004,0))&amp;"","")</f>
        <v/>
      </c>
    </row>
    <row r="865">
      <c r="A865" s="79">
        <f>IF(B865="","",861)</f>
        <v/>
      </c>
      <c r="B865" s="91">
        <f>IFERROR(INDEX(Firms!$A$5:$A$1004,MATCH(861,Firms!$U$5:$U$1004,0))&amp;"","")</f>
        <v/>
      </c>
      <c r="C865" s="88">
        <f>IFERROR(IF(INDEX(Firms!$R$5:$R$1004,MATCH(861,Firms!$U$5:$U$1004,0))="","",INDEX(Firms!$R$5:$R$1004,MATCH(861,Firms!$U$5:$U$1004,0))),"")</f>
        <v/>
      </c>
      <c r="D865" s="91">
        <f>IFERROR(INDEX(Firms!$S$5:$S$1004,MATCH(861,Firms!$U$5:$U$1004,0))&amp;"","")</f>
        <v/>
      </c>
      <c r="E865" s="91">
        <f>IFERROR(INDEX(Firms!$C$5:$C$1004,MATCH(861,Firms!$U$5:$U$1004,0))&amp;"","")</f>
        <v/>
      </c>
      <c r="F865" s="79">
        <f>IFERROR(INDEX(Firms!$N$5:$N$1004,MATCH(861,Firms!$U$5:$U$1004,0))&amp;"","")</f>
        <v/>
      </c>
      <c r="G865" s="79">
        <f>IFERROR(INDEX(Firms!$P$5:$P$1004,MATCH(861,Firms!$U$5:$U$1004,0))&amp;"","")</f>
        <v/>
      </c>
      <c r="H865" s="91">
        <f>IFERROR(INDEX(Firms!$T$5:$T$1004,MATCH(861,Firms!$U$5:$U$1004,0))&amp;"","")</f>
        <v/>
      </c>
    </row>
    <row r="866">
      <c r="A866" s="79">
        <f>IF(B866="","",862)</f>
        <v/>
      </c>
      <c r="B866" s="91">
        <f>IFERROR(INDEX(Firms!$A$5:$A$1004,MATCH(862,Firms!$U$5:$U$1004,0))&amp;"","")</f>
        <v/>
      </c>
      <c r="C866" s="88">
        <f>IFERROR(IF(INDEX(Firms!$R$5:$R$1004,MATCH(862,Firms!$U$5:$U$1004,0))="","",INDEX(Firms!$R$5:$R$1004,MATCH(862,Firms!$U$5:$U$1004,0))),"")</f>
        <v/>
      </c>
      <c r="D866" s="91">
        <f>IFERROR(INDEX(Firms!$S$5:$S$1004,MATCH(862,Firms!$U$5:$U$1004,0))&amp;"","")</f>
        <v/>
      </c>
      <c r="E866" s="91">
        <f>IFERROR(INDEX(Firms!$C$5:$C$1004,MATCH(862,Firms!$U$5:$U$1004,0))&amp;"","")</f>
        <v/>
      </c>
      <c r="F866" s="79">
        <f>IFERROR(INDEX(Firms!$N$5:$N$1004,MATCH(862,Firms!$U$5:$U$1004,0))&amp;"","")</f>
        <v/>
      </c>
      <c r="G866" s="79">
        <f>IFERROR(INDEX(Firms!$P$5:$P$1004,MATCH(862,Firms!$U$5:$U$1004,0))&amp;"","")</f>
        <v/>
      </c>
      <c r="H866" s="91">
        <f>IFERROR(INDEX(Firms!$T$5:$T$1004,MATCH(862,Firms!$U$5:$U$1004,0))&amp;"","")</f>
        <v/>
      </c>
    </row>
    <row r="867">
      <c r="A867" s="79">
        <f>IF(B867="","",863)</f>
        <v/>
      </c>
      <c r="B867" s="91">
        <f>IFERROR(INDEX(Firms!$A$5:$A$1004,MATCH(863,Firms!$U$5:$U$1004,0))&amp;"","")</f>
        <v/>
      </c>
      <c r="C867" s="88">
        <f>IFERROR(IF(INDEX(Firms!$R$5:$R$1004,MATCH(863,Firms!$U$5:$U$1004,0))="","",INDEX(Firms!$R$5:$R$1004,MATCH(863,Firms!$U$5:$U$1004,0))),"")</f>
        <v/>
      </c>
      <c r="D867" s="91">
        <f>IFERROR(INDEX(Firms!$S$5:$S$1004,MATCH(863,Firms!$U$5:$U$1004,0))&amp;"","")</f>
        <v/>
      </c>
      <c r="E867" s="91">
        <f>IFERROR(INDEX(Firms!$C$5:$C$1004,MATCH(863,Firms!$U$5:$U$1004,0))&amp;"","")</f>
        <v/>
      </c>
      <c r="F867" s="79">
        <f>IFERROR(INDEX(Firms!$N$5:$N$1004,MATCH(863,Firms!$U$5:$U$1004,0))&amp;"","")</f>
        <v/>
      </c>
      <c r="G867" s="79">
        <f>IFERROR(INDEX(Firms!$P$5:$P$1004,MATCH(863,Firms!$U$5:$U$1004,0))&amp;"","")</f>
        <v/>
      </c>
      <c r="H867" s="91">
        <f>IFERROR(INDEX(Firms!$T$5:$T$1004,MATCH(863,Firms!$U$5:$U$1004,0))&amp;"","")</f>
        <v/>
      </c>
    </row>
    <row r="868">
      <c r="A868" s="79">
        <f>IF(B868="","",864)</f>
        <v/>
      </c>
      <c r="B868" s="91">
        <f>IFERROR(INDEX(Firms!$A$5:$A$1004,MATCH(864,Firms!$U$5:$U$1004,0))&amp;"","")</f>
        <v/>
      </c>
      <c r="C868" s="88">
        <f>IFERROR(IF(INDEX(Firms!$R$5:$R$1004,MATCH(864,Firms!$U$5:$U$1004,0))="","",INDEX(Firms!$R$5:$R$1004,MATCH(864,Firms!$U$5:$U$1004,0))),"")</f>
        <v/>
      </c>
      <c r="D868" s="91">
        <f>IFERROR(INDEX(Firms!$S$5:$S$1004,MATCH(864,Firms!$U$5:$U$1004,0))&amp;"","")</f>
        <v/>
      </c>
      <c r="E868" s="91">
        <f>IFERROR(INDEX(Firms!$C$5:$C$1004,MATCH(864,Firms!$U$5:$U$1004,0))&amp;"","")</f>
        <v/>
      </c>
      <c r="F868" s="79">
        <f>IFERROR(INDEX(Firms!$N$5:$N$1004,MATCH(864,Firms!$U$5:$U$1004,0))&amp;"","")</f>
        <v/>
      </c>
      <c r="G868" s="79">
        <f>IFERROR(INDEX(Firms!$P$5:$P$1004,MATCH(864,Firms!$U$5:$U$1004,0))&amp;"","")</f>
        <v/>
      </c>
      <c r="H868" s="91">
        <f>IFERROR(INDEX(Firms!$T$5:$T$1004,MATCH(864,Firms!$U$5:$U$1004,0))&amp;"","")</f>
        <v/>
      </c>
    </row>
    <row r="869">
      <c r="A869" s="79">
        <f>IF(B869="","",865)</f>
        <v/>
      </c>
      <c r="B869" s="91">
        <f>IFERROR(INDEX(Firms!$A$5:$A$1004,MATCH(865,Firms!$U$5:$U$1004,0))&amp;"","")</f>
        <v/>
      </c>
      <c r="C869" s="88">
        <f>IFERROR(IF(INDEX(Firms!$R$5:$R$1004,MATCH(865,Firms!$U$5:$U$1004,0))="","",INDEX(Firms!$R$5:$R$1004,MATCH(865,Firms!$U$5:$U$1004,0))),"")</f>
        <v/>
      </c>
      <c r="D869" s="91">
        <f>IFERROR(INDEX(Firms!$S$5:$S$1004,MATCH(865,Firms!$U$5:$U$1004,0))&amp;"","")</f>
        <v/>
      </c>
      <c r="E869" s="91">
        <f>IFERROR(INDEX(Firms!$C$5:$C$1004,MATCH(865,Firms!$U$5:$U$1004,0))&amp;"","")</f>
        <v/>
      </c>
      <c r="F869" s="79">
        <f>IFERROR(INDEX(Firms!$N$5:$N$1004,MATCH(865,Firms!$U$5:$U$1004,0))&amp;"","")</f>
        <v/>
      </c>
      <c r="G869" s="79">
        <f>IFERROR(INDEX(Firms!$P$5:$P$1004,MATCH(865,Firms!$U$5:$U$1004,0))&amp;"","")</f>
        <v/>
      </c>
      <c r="H869" s="91">
        <f>IFERROR(INDEX(Firms!$T$5:$T$1004,MATCH(865,Firms!$U$5:$U$1004,0))&amp;"","")</f>
        <v/>
      </c>
    </row>
    <row r="870">
      <c r="A870" s="79">
        <f>IF(B870="","",866)</f>
        <v/>
      </c>
      <c r="B870" s="91">
        <f>IFERROR(INDEX(Firms!$A$5:$A$1004,MATCH(866,Firms!$U$5:$U$1004,0))&amp;"","")</f>
        <v/>
      </c>
      <c r="C870" s="88">
        <f>IFERROR(IF(INDEX(Firms!$R$5:$R$1004,MATCH(866,Firms!$U$5:$U$1004,0))="","",INDEX(Firms!$R$5:$R$1004,MATCH(866,Firms!$U$5:$U$1004,0))),"")</f>
        <v/>
      </c>
      <c r="D870" s="91">
        <f>IFERROR(INDEX(Firms!$S$5:$S$1004,MATCH(866,Firms!$U$5:$U$1004,0))&amp;"","")</f>
        <v/>
      </c>
      <c r="E870" s="91">
        <f>IFERROR(INDEX(Firms!$C$5:$C$1004,MATCH(866,Firms!$U$5:$U$1004,0))&amp;"","")</f>
        <v/>
      </c>
      <c r="F870" s="79">
        <f>IFERROR(INDEX(Firms!$N$5:$N$1004,MATCH(866,Firms!$U$5:$U$1004,0))&amp;"","")</f>
        <v/>
      </c>
      <c r="G870" s="79">
        <f>IFERROR(INDEX(Firms!$P$5:$P$1004,MATCH(866,Firms!$U$5:$U$1004,0))&amp;"","")</f>
        <v/>
      </c>
      <c r="H870" s="91">
        <f>IFERROR(INDEX(Firms!$T$5:$T$1004,MATCH(866,Firms!$U$5:$U$1004,0))&amp;"","")</f>
        <v/>
      </c>
    </row>
    <row r="871">
      <c r="A871" s="79">
        <f>IF(B871="","",867)</f>
        <v/>
      </c>
      <c r="B871" s="91">
        <f>IFERROR(INDEX(Firms!$A$5:$A$1004,MATCH(867,Firms!$U$5:$U$1004,0))&amp;"","")</f>
        <v/>
      </c>
      <c r="C871" s="88">
        <f>IFERROR(IF(INDEX(Firms!$R$5:$R$1004,MATCH(867,Firms!$U$5:$U$1004,0))="","",INDEX(Firms!$R$5:$R$1004,MATCH(867,Firms!$U$5:$U$1004,0))),"")</f>
        <v/>
      </c>
      <c r="D871" s="91">
        <f>IFERROR(INDEX(Firms!$S$5:$S$1004,MATCH(867,Firms!$U$5:$U$1004,0))&amp;"","")</f>
        <v/>
      </c>
      <c r="E871" s="91">
        <f>IFERROR(INDEX(Firms!$C$5:$C$1004,MATCH(867,Firms!$U$5:$U$1004,0))&amp;"","")</f>
        <v/>
      </c>
      <c r="F871" s="79">
        <f>IFERROR(INDEX(Firms!$N$5:$N$1004,MATCH(867,Firms!$U$5:$U$1004,0))&amp;"","")</f>
        <v/>
      </c>
      <c r="G871" s="79">
        <f>IFERROR(INDEX(Firms!$P$5:$P$1004,MATCH(867,Firms!$U$5:$U$1004,0))&amp;"","")</f>
        <v/>
      </c>
      <c r="H871" s="91">
        <f>IFERROR(INDEX(Firms!$T$5:$T$1004,MATCH(867,Firms!$U$5:$U$1004,0))&amp;"","")</f>
        <v/>
      </c>
    </row>
    <row r="872">
      <c r="A872" s="79">
        <f>IF(B872="","",868)</f>
        <v/>
      </c>
      <c r="B872" s="91">
        <f>IFERROR(INDEX(Firms!$A$5:$A$1004,MATCH(868,Firms!$U$5:$U$1004,0))&amp;"","")</f>
        <v/>
      </c>
      <c r="C872" s="88">
        <f>IFERROR(IF(INDEX(Firms!$R$5:$R$1004,MATCH(868,Firms!$U$5:$U$1004,0))="","",INDEX(Firms!$R$5:$R$1004,MATCH(868,Firms!$U$5:$U$1004,0))),"")</f>
        <v/>
      </c>
      <c r="D872" s="91">
        <f>IFERROR(INDEX(Firms!$S$5:$S$1004,MATCH(868,Firms!$U$5:$U$1004,0))&amp;"","")</f>
        <v/>
      </c>
      <c r="E872" s="91">
        <f>IFERROR(INDEX(Firms!$C$5:$C$1004,MATCH(868,Firms!$U$5:$U$1004,0))&amp;"","")</f>
        <v/>
      </c>
      <c r="F872" s="79">
        <f>IFERROR(INDEX(Firms!$N$5:$N$1004,MATCH(868,Firms!$U$5:$U$1004,0))&amp;"","")</f>
        <v/>
      </c>
      <c r="G872" s="79">
        <f>IFERROR(INDEX(Firms!$P$5:$P$1004,MATCH(868,Firms!$U$5:$U$1004,0))&amp;"","")</f>
        <v/>
      </c>
      <c r="H872" s="91">
        <f>IFERROR(INDEX(Firms!$T$5:$T$1004,MATCH(868,Firms!$U$5:$U$1004,0))&amp;"","")</f>
        <v/>
      </c>
    </row>
    <row r="873">
      <c r="A873" s="79">
        <f>IF(B873="","",869)</f>
        <v/>
      </c>
      <c r="B873" s="91">
        <f>IFERROR(INDEX(Firms!$A$5:$A$1004,MATCH(869,Firms!$U$5:$U$1004,0))&amp;"","")</f>
        <v/>
      </c>
      <c r="C873" s="88">
        <f>IFERROR(IF(INDEX(Firms!$R$5:$R$1004,MATCH(869,Firms!$U$5:$U$1004,0))="","",INDEX(Firms!$R$5:$R$1004,MATCH(869,Firms!$U$5:$U$1004,0))),"")</f>
        <v/>
      </c>
      <c r="D873" s="91">
        <f>IFERROR(INDEX(Firms!$S$5:$S$1004,MATCH(869,Firms!$U$5:$U$1004,0))&amp;"","")</f>
        <v/>
      </c>
      <c r="E873" s="91">
        <f>IFERROR(INDEX(Firms!$C$5:$C$1004,MATCH(869,Firms!$U$5:$U$1004,0))&amp;"","")</f>
        <v/>
      </c>
      <c r="F873" s="79">
        <f>IFERROR(INDEX(Firms!$N$5:$N$1004,MATCH(869,Firms!$U$5:$U$1004,0))&amp;"","")</f>
        <v/>
      </c>
      <c r="G873" s="79">
        <f>IFERROR(INDEX(Firms!$P$5:$P$1004,MATCH(869,Firms!$U$5:$U$1004,0))&amp;"","")</f>
        <v/>
      </c>
      <c r="H873" s="91">
        <f>IFERROR(INDEX(Firms!$T$5:$T$1004,MATCH(869,Firms!$U$5:$U$1004,0))&amp;"","")</f>
        <v/>
      </c>
    </row>
    <row r="874">
      <c r="A874" s="79">
        <f>IF(B874="","",870)</f>
        <v/>
      </c>
      <c r="B874" s="91">
        <f>IFERROR(INDEX(Firms!$A$5:$A$1004,MATCH(870,Firms!$U$5:$U$1004,0))&amp;"","")</f>
        <v/>
      </c>
      <c r="C874" s="88">
        <f>IFERROR(IF(INDEX(Firms!$R$5:$R$1004,MATCH(870,Firms!$U$5:$U$1004,0))="","",INDEX(Firms!$R$5:$R$1004,MATCH(870,Firms!$U$5:$U$1004,0))),"")</f>
        <v/>
      </c>
      <c r="D874" s="91">
        <f>IFERROR(INDEX(Firms!$S$5:$S$1004,MATCH(870,Firms!$U$5:$U$1004,0))&amp;"","")</f>
        <v/>
      </c>
      <c r="E874" s="91">
        <f>IFERROR(INDEX(Firms!$C$5:$C$1004,MATCH(870,Firms!$U$5:$U$1004,0))&amp;"","")</f>
        <v/>
      </c>
      <c r="F874" s="79">
        <f>IFERROR(INDEX(Firms!$N$5:$N$1004,MATCH(870,Firms!$U$5:$U$1004,0))&amp;"","")</f>
        <v/>
      </c>
      <c r="G874" s="79">
        <f>IFERROR(INDEX(Firms!$P$5:$P$1004,MATCH(870,Firms!$U$5:$U$1004,0))&amp;"","")</f>
        <v/>
      </c>
      <c r="H874" s="91">
        <f>IFERROR(INDEX(Firms!$T$5:$T$1004,MATCH(870,Firms!$U$5:$U$1004,0))&amp;"","")</f>
        <v/>
      </c>
    </row>
    <row r="875">
      <c r="A875" s="79">
        <f>IF(B875="","",871)</f>
        <v/>
      </c>
      <c r="B875" s="91">
        <f>IFERROR(INDEX(Firms!$A$5:$A$1004,MATCH(871,Firms!$U$5:$U$1004,0))&amp;"","")</f>
        <v/>
      </c>
      <c r="C875" s="88">
        <f>IFERROR(IF(INDEX(Firms!$R$5:$R$1004,MATCH(871,Firms!$U$5:$U$1004,0))="","",INDEX(Firms!$R$5:$R$1004,MATCH(871,Firms!$U$5:$U$1004,0))),"")</f>
        <v/>
      </c>
      <c r="D875" s="91">
        <f>IFERROR(INDEX(Firms!$S$5:$S$1004,MATCH(871,Firms!$U$5:$U$1004,0))&amp;"","")</f>
        <v/>
      </c>
      <c r="E875" s="91">
        <f>IFERROR(INDEX(Firms!$C$5:$C$1004,MATCH(871,Firms!$U$5:$U$1004,0))&amp;"","")</f>
        <v/>
      </c>
      <c r="F875" s="79">
        <f>IFERROR(INDEX(Firms!$N$5:$N$1004,MATCH(871,Firms!$U$5:$U$1004,0))&amp;"","")</f>
        <v/>
      </c>
      <c r="G875" s="79">
        <f>IFERROR(INDEX(Firms!$P$5:$P$1004,MATCH(871,Firms!$U$5:$U$1004,0))&amp;"","")</f>
        <v/>
      </c>
      <c r="H875" s="91">
        <f>IFERROR(INDEX(Firms!$T$5:$T$1004,MATCH(871,Firms!$U$5:$U$1004,0))&amp;"","")</f>
        <v/>
      </c>
    </row>
    <row r="876">
      <c r="A876" s="79">
        <f>IF(B876="","",872)</f>
        <v/>
      </c>
      <c r="B876" s="91">
        <f>IFERROR(INDEX(Firms!$A$5:$A$1004,MATCH(872,Firms!$U$5:$U$1004,0))&amp;"","")</f>
        <v/>
      </c>
      <c r="C876" s="88">
        <f>IFERROR(IF(INDEX(Firms!$R$5:$R$1004,MATCH(872,Firms!$U$5:$U$1004,0))="","",INDEX(Firms!$R$5:$R$1004,MATCH(872,Firms!$U$5:$U$1004,0))),"")</f>
        <v/>
      </c>
      <c r="D876" s="91">
        <f>IFERROR(INDEX(Firms!$S$5:$S$1004,MATCH(872,Firms!$U$5:$U$1004,0))&amp;"","")</f>
        <v/>
      </c>
      <c r="E876" s="91">
        <f>IFERROR(INDEX(Firms!$C$5:$C$1004,MATCH(872,Firms!$U$5:$U$1004,0))&amp;"","")</f>
        <v/>
      </c>
      <c r="F876" s="79">
        <f>IFERROR(INDEX(Firms!$N$5:$N$1004,MATCH(872,Firms!$U$5:$U$1004,0))&amp;"","")</f>
        <v/>
      </c>
      <c r="G876" s="79">
        <f>IFERROR(INDEX(Firms!$P$5:$P$1004,MATCH(872,Firms!$U$5:$U$1004,0))&amp;"","")</f>
        <v/>
      </c>
      <c r="H876" s="91">
        <f>IFERROR(INDEX(Firms!$T$5:$T$1004,MATCH(872,Firms!$U$5:$U$1004,0))&amp;"","")</f>
        <v/>
      </c>
    </row>
    <row r="877">
      <c r="A877" s="79">
        <f>IF(B877="","",873)</f>
        <v/>
      </c>
      <c r="B877" s="91">
        <f>IFERROR(INDEX(Firms!$A$5:$A$1004,MATCH(873,Firms!$U$5:$U$1004,0))&amp;"","")</f>
        <v/>
      </c>
      <c r="C877" s="88">
        <f>IFERROR(IF(INDEX(Firms!$R$5:$R$1004,MATCH(873,Firms!$U$5:$U$1004,0))="","",INDEX(Firms!$R$5:$R$1004,MATCH(873,Firms!$U$5:$U$1004,0))),"")</f>
        <v/>
      </c>
      <c r="D877" s="91">
        <f>IFERROR(INDEX(Firms!$S$5:$S$1004,MATCH(873,Firms!$U$5:$U$1004,0))&amp;"","")</f>
        <v/>
      </c>
      <c r="E877" s="91">
        <f>IFERROR(INDEX(Firms!$C$5:$C$1004,MATCH(873,Firms!$U$5:$U$1004,0))&amp;"","")</f>
        <v/>
      </c>
      <c r="F877" s="79">
        <f>IFERROR(INDEX(Firms!$N$5:$N$1004,MATCH(873,Firms!$U$5:$U$1004,0))&amp;"","")</f>
        <v/>
      </c>
      <c r="G877" s="79">
        <f>IFERROR(INDEX(Firms!$P$5:$P$1004,MATCH(873,Firms!$U$5:$U$1004,0))&amp;"","")</f>
        <v/>
      </c>
      <c r="H877" s="91">
        <f>IFERROR(INDEX(Firms!$T$5:$T$1004,MATCH(873,Firms!$U$5:$U$1004,0))&amp;"","")</f>
        <v/>
      </c>
    </row>
    <row r="878">
      <c r="A878" s="79">
        <f>IF(B878="","",874)</f>
        <v/>
      </c>
      <c r="B878" s="91">
        <f>IFERROR(INDEX(Firms!$A$5:$A$1004,MATCH(874,Firms!$U$5:$U$1004,0))&amp;"","")</f>
        <v/>
      </c>
      <c r="C878" s="88">
        <f>IFERROR(IF(INDEX(Firms!$R$5:$R$1004,MATCH(874,Firms!$U$5:$U$1004,0))="","",INDEX(Firms!$R$5:$R$1004,MATCH(874,Firms!$U$5:$U$1004,0))),"")</f>
        <v/>
      </c>
      <c r="D878" s="91">
        <f>IFERROR(INDEX(Firms!$S$5:$S$1004,MATCH(874,Firms!$U$5:$U$1004,0))&amp;"","")</f>
        <v/>
      </c>
      <c r="E878" s="91">
        <f>IFERROR(INDEX(Firms!$C$5:$C$1004,MATCH(874,Firms!$U$5:$U$1004,0))&amp;"","")</f>
        <v/>
      </c>
      <c r="F878" s="79">
        <f>IFERROR(INDEX(Firms!$N$5:$N$1004,MATCH(874,Firms!$U$5:$U$1004,0))&amp;"","")</f>
        <v/>
      </c>
      <c r="G878" s="79">
        <f>IFERROR(INDEX(Firms!$P$5:$P$1004,MATCH(874,Firms!$U$5:$U$1004,0))&amp;"","")</f>
        <v/>
      </c>
      <c r="H878" s="91">
        <f>IFERROR(INDEX(Firms!$T$5:$T$1004,MATCH(874,Firms!$U$5:$U$1004,0))&amp;"","")</f>
        <v/>
      </c>
    </row>
    <row r="879">
      <c r="A879" s="79">
        <f>IF(B879="","",875)</f>
        <v/>
      </c>
      <c r="B879" s="91">
        <f>IFERROR(INDEX(Firms!$A$5:$A$1004,MATCH(875,Firms!$U$5:$U$1004,0))&amp;"","")</f>
        <v/>
      </c>
      <c r="C879" s="88">
        <f>IFERROR(IF(INDEX(Firms!$R$5:$R$1004,MATCH(875,Firms!$U$5:$U$1004,0))="","",INDEX(Firms!$R$5:$R$1004,MATCH(875,Firms!$U$5:$U$1004,0))),"")</f>
        <v/>
      </c>
      <c r="D879" s="91">
        <f>IFERROR(INDEX(Firms!$S$5:$S$1004,MATCH(875,Firms!$U$5:$U$1004,0))&amp;"","")</f>
        <v/>
      </c>
      <c r="E879" s="91">
        <f>IFERROR(INDEX(Firms!$C$5:$C$1004,MATCH(875,Firms!$U$5:$U$1004,0))&amp;"","")</f>
        <v/>
      </c>
      <c r="F879" s="79">
        <f>IFERROR(INDEX(Firms!$N$5:$N$1004,MATCH(875,Firms!$U$5:$U$1004,0))&amp;"","")</f>
        <v/>
      </c>
      <c r="G879" s="79">
        <f>IFERROR(INDEX(Firms!$P$5:$P$1004,MATCH(875,Firms!$U$5:$U$1004,0))&amp;"","")</f>
        <v/>
      </c>
      <c r="H879" s="91">
        <f>IFERROR(INDEX(Firms!$T$5:$T$1004,MATCH(875,Firms!$U$5:$U$1004,0))&amp;"","")</f>
        <v/>
      </c>
    </row>
    <row r="880">
      <c r="A880" s="79">
        <f>IF(B880="","",876)</f>
        <v/>
      </c>
      <c r="B880" s="91">
        <f>IFERROR(INDEX(Firms!$A$5:$A$1004,MATCH(876,Firms!$U$5:$U$1004,0))&amp;"","")</f>
        <v/>
      </c>
      <c r="C880" s="88">
        <f>IFERROR(IF(INDEX(Firms!$R$5:$R$1004,MATCH(876,Firms!$U$5:$U$1004,0))="","",INDEX(Firms!$R$5:$R$1004,MATCH(876,Firms!$U$5:$U$1004,0))),"")</f>
        <v/>
      </c>
      <c r="D880" s="91">
        <f>IFERROR(INDEX(Firms!$S$5:$S$1004,MATCH(876,Firms!$U$5:$U$1004,0))&amp;"","")</f>
        <v/>
      </c>
      <c r="E880" s="91">
        <f>IFERROR(INDEX(Firms!$C$5:$C$1004,MATCH(876,Firms!$U$5:$U$1004,0))&amp;"","")</f>
        <v/>
      </c>
      <c r="F880" s="79">
        <f>IFERROR(INDEX(Firms!$N$5:$N$1004,MATCH(876,Firms!$U$5:$U$1004,0))&amp;"","")</f>
        <v/>
      </c>
      <c r="G880" s="79">
        <f>IFERROR(INDEX(Firms!$P$5:$P$1004,MATCH(876,Firms!$U$5:$U$1004,0))&amp;"","")</f>
        <v/>
      </c>
      <c r="H880" s="91">
        <f>IFERROR(INDEX(Firms!$T$5:$T$1004,MATCH(876,Firms!$U$5:$U$1004,0))&amp;"","")</f>
        <v/>
      </c>
    </row>
    <row r="881">
      <c r="A881" s="79">
        <f>IF(B881="","",877)</f>
        <v/>
      </c>
      <c r="B881" s="91">
        <f>IFERROR(INDEX(Firms!$A$5:$A$1004,MATCH(877,Firms!$U$5:$U$1004,0))&amp;"","")</f>
        <v/>
      </c>
      <c r="C881" s="88">
        <f>IFERROR(IF(INDEX(Firms!$R$5:$R$1004,MATCH(877,Firms!$U$5:$U$1004,0))="","",INDEX(Firms!$R$5:$R$1004,MATCH(877,Firms!$U$5:$U$1004,0))),"")</f>
        <v/>
      </c>
      <c r="D881" s="91">
        <f>IFERROR(INDEX(Firms!$S$5:$S$1004,MATCH(877,Firms!$U$5:$U$1004,0))&amp;"","")</f>
        <v/>
      </c>
      <c r="E881" s="91">
        <f>IFERROR(INDEX(Firms!$C$5:$C$1004,MATCH(877,Firms!$U$5:$U$1004,0))&amp;"","")</f>
        <v/>
      </c>
      <c r="F881" s="79">
        <f>IFERROR(INDEX(Firms!$N$5:$N$1004,MATCH(877,Firms!$U$5:$U$1004,0))&amp;"","")</f>
        <v/>
      </c>
      <c r="G881" s="79">
        <f>IFERROR(INDEX(Firms!$P$5:$P$1004,MATCH(877,Firms!$U$5:$U$1004,0))&amp;"","")</f>
        <v/>
      </c>
      <c r="H881" s="91">
        <f>IFERROR(INDEX(Firms!$T$5:$T$1004,MATCH(877,Firms!$U$5:$U$1004,0))&amp;"","")</f>
        <v/>
      </c>
    </row>
    <row r="882">
      <c r="A882" s="79">
        <f>IF(B882="","",878)</f>
        <v/>
      </c>
      <c r="B882" s="91">
        <f>IFERROR(INDEX(Firms!$A$5:$A$1004,MATCH(878,Firms!$U$5:$U$1004,0))&amp;"","")</f>
        <v/>
      </c>
      <c r="C882" s="88">
        <f>IFERROR(IF(INDEX(Firms!$R$5:$R$1004,MATCH(878,Firms!$U$5:$U$1004,0))="","",INDEX(Firms!$R$5:$R$1004,MATCH(878,Firms!$U$5:$U$1004,0))),"")</f>
        <v/>
      </c>
      <c r="D882" s="91">
        <f>IFERROR(INDEX(Firms!$S$5:$S$1004,MATCH(878,Firms!$U$5:$U$1004,0))&amp;"","")</f>
        <v/>
      </c>
      <c r="E882" s="91">
        <f>IFERROR(INDEX(Firms!$C$5:$C$1004,MATCH(878,Firms!$U$5:$U$1004,0))&amp;"","")</f>
        <v/>
      </c>
      <c r="F882" s="79">
        <f>IFERROR(INDEX(Firms!$N$5:$N$1004,MATCH(878,Firms!$U$5:$U$1004,0))&amp;"","")</f>
        <v/>
      </c>
      <c r="G882" s="79">
        <f>IFERROR(INDEX(Firms!$P$5:$P$1004,MATCH(878,Firms!$U$5:$U$1004,0))&amp;"","")</f>
        <v/>
      </c>
      <c r="H882" s="91">
        <f>IFERROR(INDEX(Firms!$T$5:$T$1004,MATCH(878,Firms!$U$5:$U$1004,0))&amp;"","")</f>
        <v/>
      </c>
    </row>
    <row r="883">
      <c r="A883" s="79">
        <f>IF(B883="","",879)</f>
        <v/>
      </c>
      <c r="B883" s="91">
        <f>IFERROR(INDEX(Firms!$A$5:$A$1004,MATCH(879,Firms!$U$5:$U$1004,0))&amp;"","")</f>
        <v/>
      </c>
      <c r="C883" s="88">
        <f>IFERROR(IF(INDEX(Firms!$R$5:$R$1004,MATCH(879,Firms!$U$5:$U$1004,0))="","",INDEX(Firms!$R$5:$R$1004,MATCH(879,Firms!$U$5:$U$1004,0))),"")</f>
        <v/>
      </c>
      <c r="D883" s="91">
        <f>IFERROR(INDEX(Firms!$S$5:$S$1004,MATCH(879,Firms!$U$5:$U$1004,0))&amp;"","")</f>
        <v/>
      </c>
      <c r="E883" s="91">
        <f>IFERROR(INDEX(Firms!$C$5:$C$1004,MATCH(879,Firms!$U$5:$U$1004,0))&amp;"","")</f>
        <v/>
      </c>
      <c r="F883" s="79">
        <f>IFERROR(INDEX(Firms!$N$5:$N$1004,MATCH(879,Firms!$U$5:$U$1004,0))&amp;"","")</f>
        <v/>
      </c>
      <c r="G883" s="79">
        <f>IFERROR(INDEX(Firms!$P$5:$P$1004,MATCH(879,Firms!$U$5:$U$1004,0))&amp;"","")</f>
        <v/>
      </c>
      <c r="H883" s="91">
        <f>IFERROR(INDEX(Firms!$T$5:$T$1004,MATCH(879,Firms!$U$5:$U$1004,0))&amp;"","")</f>
        <v/>
      </c>
    </row>
    <row r="884">
      <c r="A884" s="79">
        <f>IF(B884="","",880)</f>
        <v/>
      </c>
      <c r="B884" s="91">
        <f>IFERROR(INDEX(Firms!$A$5:$A$1004,MATCH(880,Firms!$U$5:$U$1004,0))&amp;"","")</f>
        <v/>
      </c>
      <c r="C884" s="88">
        <f>IFERROR(IF(INDEX(Firms!$R$5:$R$1004,MATCH(880,Firms!$U$5:$U$1004,0))="","",INDEX(Firms!$R$5:$R$1004,MATCH(880,Firms!$U$5:$U$1004,0))),"")</f>
        <v/>
      </c>
      <c r="D884" s="91">
        <f>IFERROR(INDEX(Firms!$S$5:$S$1004,MATCH(880,Firms!$U$5:$U$1004,0))&amp;"","")</f>
        <v/>
      </c>
      <c r="E884" s="91">
        <f>IFERROR(INDEX(Firms!$C$5:$C$1004,MATCH(880,Firms!$U$5:$U$1004,0))&amp;"","")</f>
        <v/>
      </c>
      <c r="F884" s="79">
        <f>IFERROR(INDEX(Firms!$N$5:$N$1004,MATCH(880,Firms!$U$5:$U$1004,0))&amp;"","")</f>
        <v/>
      </c>
      <c r="G884" s="79">
        <f>IFERROR(INDEX(Firms!$P$5:$P$1004,MATCH(880,Firms!$U$5:$U$1004,0))&amp;"","")</f>
        <v/>
      </c>
      <c r="H884" s="91">
        <f>IFERROR(INDEX(Firms!$T$5:$T$1004,MATCH(880,Firms!$U$5:$U$1004,0))&amp;"","")</f>
        <v/>
      </c>
    </row>
    <row r="885">
      <c r="A885" s="79">
        <f>IF(B885="","",881)</f>
        <v/>
      </c>
      <c r="B885" s="91">
        <f>IFERROR(INDEX(Firms!$A$5:$A$1004,MATCH(881,Firms!$U$5:$U$1004,0))&amp;"","")</f>
        <v/>
      </c>
      <c r="C885" s="88">
        <f>IFERROR(IF(INDEX(Firms!$R$5:$R$1004,MATCH(881,Firms!$U$5:$U$1004,0))="","",INDEX(Firms!$R$5:$R$1004,MATCH(881,Firms!$U$5:$U$1004,0))),"")</f>
        <v/>
      </c>
      <c r="D885" s="91">
        <f>IFERROR(INDEX(Firms!$S$5:$S$1004,MATCH(881,Firms!$U$5:$U$1004,0))&amp;"","")</f>
        <v/>
      </c>
      <c r="E885" s="91">
        <f>IFERROR(INDEX(Firms!$C$5:$C$1004,MATCH(881,Firms!$U$5:$U$1004,0))&amp;"","")</f>
        <v/>
      </c>
      <c r="F885" s="79">
        <f>IFERROR(INDEX(Firms!$N$5:$N$1004,MATCH(881,Firms!$U$5:$U$1004,0))&amp;"","")</f>
        <v/>
      </c>
      <c r="G885" s="79">
        <f>IFERROR(INDEX(Firms!$P$5:$P$1004,MATCH(881,Firms!$U$5:$U$1004,0))&amp;"","")</f>
        <v/>
      </c>
      <c r="H885" s="91">
        <f>IFERROR(INDEX(Firms!$T$5:$T$1004,MATCH(881,Firms!$U$5:$U$1004,0))&amp;"","")</f>
        <v/>
      </c>
    </row>
    <row r="886">
      <c r="A886" s="79">
        <f>IF(B886="","",882)</f>
        <v/>
      </c>
      <c r="B886" s="91">
        <f>IFERROR(INDEX(Firms!$A$5:$A$1004,MATCH(882,Firms!$U$5:$U$1004,0))&amp;"","")</f>
        <v/>
      </c>
      <c r="C886" s="88">
        <f>IFERROR(IF(INDEX(Firms!$R$5:$R$1004,MATCH(882,Firms!$U$5:$U$1004,0))="","",INDEX(Firms!$R$5:$R$1004,MATCH(882,Firms!$U$5:$U$1004,0))),"")</f>
        <v/>
      </c>
      <c r="D886" s="91">
        <f>IFERROR(INDEX(Firms!$S$5:$S$1004,MATCH(882,Firms!$U$5:$U$1004,0))&amp;"","")</f>
        <v/>
      </c>
      <c r="E886" s="91">
        <f>IFERROR(INDEX(Firms!$C$5:$C$1004,MATCH(882,Firms!$U$5:$U$1004,0))&amp;"","")</f>
        <v/>
      </c>
      <c r="F886" s="79">
        <f>IFERROR(INDEX(Firms!$N$5:$N$1004,MATCH(882,Firms!$U$5:$U$1004,0))&amp;"","")</f>
        <v/>
      </c>
      <c r="G886" s="79">
        <f>IFERROR(INDEX(Firms!$P$5:$P$1004,MATCH(882,Firms!$U$5:$U$1004,0))&amp;"","")</f>
        <v/>
      </c>
      <c r="H886" s="91">
        <f>IFERROR(INDEX(Firms!$T$5:$T$1004,MATCH(882,Firms!$U$5:$U$1004,0))&amp;"","")</f>
        <v/>
      </c>
    </row>
    <row r="887">
      <c r="A887" s="79">
        <f>IF(B887="","",883)</f>
        <v/>
      </c>
      <c r="B887" s="91">
        <f>IFERROR(INDEX(Firms!$A$5:$A$1004,MATCH(883,Firms!$U$5:$U$1004,0))&amp;"","")</f>
        <v/>
      </c>
      <c r="C887" s="88">
        <f>IFERROR(IF(INDEX(Firms!$R$5:$R$1004,MATCH(883,Firms!$U$5:$U$1004,0))="","",INDEX(Firms!$R$5:$R$1004,MATCH(883,Firms!$U$5:$U$1004,0))),"")</f>
        <v/>
      </c>
      <c r="D887" s="91">
        <f>IFERROR(INDEX(Firms!$S$5:$S$1004,MATCH(883,Firms!$U$5:$U$1004,0))&amp;"","")</f>
        <v/>
      </c>
      <c r="E887" s="91">
        <f>IFERROR(INDEX(Firms!$C$5:$C$1004,MATCH(883,Firms!$U$5:$U$1004,0))&amp;"","")</f>
        <v/>
      </c>
      <c r="F887" s="79">
        <f>IFERROR(INDEX(Firms!$N$5:$N$1004,MATCH(883,Firms!$U$5:$U$1004,0))&amp;"","")</f>
        <v/>
      </c>
      <c r="G887" s="79">
        <f>IFERROR(INDEX(Firms!$P$5:$P$1004,MATCH(883,Firms!$U$5:$U$1004,0))&amp;"","")</f>
        <v/>
      </c>
      <c r="H887" s="91">
        <f>IFERROR(INDEX(Firms!$T$5:$T$1004,MATCH(883,Firms!$U$5:$U$1004,0))&amp;"","")</f>
        <v/>
      </c>
    </row>
    <row r="888">
      <c r="A888" s="79">
        <f>IF(B888="","",884)</f>
        <v/>
      </c>
      <c r="B888" s="91">
        <f>IFERROR(INDEX(Firms!$A$5:$A$1004,MATCH(884,Firms!$U$5:$U$1004,0))&amp;"","")</f>
        <v/>
      </c>
      <c r="C888" s="88">
        <f>IFERROR(IF(INDEX(Firms!$R$5:$R$1004,MATCH(884,Firms!$U$5:$U$1004,0))="","",INDEX(Firms!$R$5:$R$1004,MATCH(884,Firms!$U$5:$U$1004,0))),"")</f>
        <v/>
      </c>
      <c r="D888" s="91">
        <f>IFERROR(INDEX(Firms!$S$5:$S$1004,MATCH(884,Firms!$U$5:$U$1004,0))&amp;"","")</f>
        <v/>
      </c>
      <c r="E888" s="91">
        <f>IFERROR(INDEX(Firms!$C$5:$C$1004,MATCH(884,Firms!$U$5:$U$1004,0))&amp;"","")</f>
        <v/>
      </c>
      <c r="F888" s="79">
        <f>IFERROR(INDEX(Firms!$N$5:$N$1004,MATCH(884,Firms!$U$5:$U$1004,0))&amp;"","")</f>
        <v/>
      </c>
      <c r="G888" s="79">
        <f>IFERROR(INDEX(Firms!$P$5:$P$1004,MATCH(884,Firms!$U$5:$U$1004,0))&amp;"","")</f>
        <v/>
      </c>
      <c r="H888" s="91">
        <f>IFERROR(INDEX(Firms!$T$5:$T$1004,MATCH(884,Firms!$U$5:$U$1004,0))&amp;"","")</f>
        <v/>
      </c>
    </row>
    <row r="889">
      <c r="A889" s="79">
        <f>IF(B889="","",885)</f>
        <v/>
      </c>
      <c r="B889" s="91">
        <f>IFERROR(INDEX(Firms!$A$5:$A$1004,MATCH(885,Firms!$U$5:$U$1004,0))&amp;"","")</f>
        <v/>
      </c>
      <c r="C889" s="88">
        <f>IFERROR(IF(INDEX(Firms!$R$5:$R$1004,MATCH(885,Firms!$U$5:$U$1004,0))="","",INDEX(Firms!$R$5:$R$1004,MATCH(885,Firms!$U$5:$U$1004,0))),"")</f>
        <v/>
      </c>
      <c r="D889" s="91">
        <f>IFERROR(INDEX(Firms!$S$5:$S$1004,MATCH(885,Firms!$U$5:$U$1004,0))&amp;"","")</f>
        <v/>
      </c>
      <c r="E889" s="91">
        <f>IFERROR(INDEX(Firms!$C$5:$C$1004,MATCH(885,Firms!$U$5:$U$1004,0))&amp;"","")</f>
        <v/>
      </c>
      <c r="F889" s="79">
        <f>IFERROR(INDEX(Firms!$N$5:$N$1004,MATCH(885,Firms!$U$5:$U$1004,0))&amp;"","")</f>
        <v/>
      </c>
      <c r="G889" s="79">
        <f>IFERROR(INDEX(Firms!$P$5:$P$1004,MATCH(885,Firms!$U$5:$U$1004,0))&amp;"","")</f>
        <v/>
      </c>
      <c r="H889" s="91">
        <f>IFERROR(INDEX(Firms!$T$5:$T$1004,MATCH(885,Firms!$U$5:$U$1004,0))&amp;"","")</f>
        <v/>
      </c>
    </row>
    <row r="890">
      <c r="A890" s="79">
        <f>IF(B890="","",886)</f>
        <v/>
      </c>
      <c r="B890" s="91">
        <f>IFERROR(INDEX(Firms!$A$5:$A$1004,MATCH(886,Firms!$U$5:$U$1004,0))&amp;"","")</f>
        <v/>
      </c>
      <c r="C890" s="88">
        <f>IFERROR(IF(INDEX(Firms!$R$5:$R$1004,MATCH(886,Firms!$U$5:$U$1004,0))="","",INDEX(Firms!$R$5:$R$1004,MATCH(886,Firms!$U$5:$U$1004,0))),"")</f>
        <v/>
      </c>
      <c r="D890" s="91">
        <f>IFERROR(INDEX(Firms!$S$5:$S$1004,MATCH(886,Firms!$U$5:$U$1004,0))&amp;"","")</f>
        <v/>
      </c>
      <c r="E890" s="91">
        <f>IFERROR(INDEX(Firms!$C$5:$C$1004,MATCH(886,Firms!$U$5:$U$1004,0))&amp;"","")</f>
        <v/>
      </c>
      <c r="F890" s="79">
        <f>IFERROR(INDEX(Firms!$N$5:$N$1004,MATCH(886,Firms!$U$5:$U$1004,0))&amp;"","")</f>
        <v/>
      </c>
      <c r="G890" s="79">
        <f>IFERROR(INDEX(Firms!$P$5:$P$1004,MATCH(886,Firms!$U$5:$U$1004,0))&amp;"","")</f>
        <v/>
      </c>
      <c r="H890" s="91">
        <f>IFERROR(INDEX(Firms!$T$5:$T$1004,MATCH(886,Firms!$U$5:$U$1004,0))&amp;"","")</f>
        <v/>
      </c>
    </row>
    <row r="891">
      <c r="A891" s="79">
        <f>IF(B891="","",887)</f>
        <v/>
      </c>
      <c r="B891" s="91">
        <f>IFERROR(INDEX(Firms!$A$5:$A$1004,MATCH(887,Firms!$U$5:$U$1004,0))&amp;"","")</f>
        <v/>
      </c>
      <c r="C891" s="88">
        <f>IFERROR(IF(INDEX(Firms!$R$5:$R$1004,MATCH(887,Firms!$U$5:$U$1004,0))="","",INDEX(Firms!$R$5:$R$1004,MATCH(887,Firms!$U$5:$U$1004,0))),"")</f>
        <v/>
      </c>
      <c r="D891" s="91">
        <f>IFERROR(INDEX(Firms!$S$5:$S$1004,MATCH(887,Firms!$U$5:$U$1004,0))&amp;"","")</f>
        <v/>
      </c>
      <c r="E891" s="91">
        <f>IFERROR(INDEX(Firms!$C$5:$C$1004,MATCH(887,Firms!$U$5:$U$1004,0))&amp;"","")</f>
        <v/>
      </c>
      <c r="F891" s="79">
        <f>IFERROR(INDEX(Firms!$N$5:$N$1004,MATCH(887,Firms!$U$5:$U$1004,0))&amp;"","")</f>
        <v/>
      </c>
      <c r="G891" s="79">
        <f>IFERROR(INDEX(Firms!$P$5:$P$1004,MATCH(887,Firms!$U$5:$U$1004,0))&amp;"","")</f>
        <v/>
      </c>
      <c r="H891" s="91">
        <f>IFERROR(INDEX(Firms!$T$5:$T$1004,MATCH(887,Firms!$U$5:$U$1004,0))&amp;"","")</f>
        <v/>
      </c>
    </row>
    <row r="892">
      <c r="A892" s="79">
        <f>IF(B892="","",888)</f>
        <v/>
      </c>
      <c r="B892" s="91">
        <f>IFERROR(INDEX(Firms!$A$5:$A$1004,MATCH(888,Firms!$U$5:$U$1004,0))&amp;"","")</f>
        <v/>
      </c>
      <c r="C892" s="88">
        <f>IFERROR(IF(INDEX(Firms!$R$5:$R$1004,MATCH(888,Firms!$U$5:$U$1004,0))="","",INDEX(Firms!$R$5:$R$1004,MATCH(888,Firms!$U$5:$U$1004,0))),"")</f>
        <v/>
      </c>
      <c r="D892" s="91">
        <f>IFERROR(INDEX(Firms!$S$5:$S$1004,MATCH(888,Firms!$U$5:$U$1004,0))&amp;"","")</f>
        <v/>
      </c>
      <c r="E892" s="91">
        <f>IFERROR(INDEX(Firms!$C$5:$C$1004,MATCH(888,Firms!$U$5:$U$1004,0))&amp;"","")</f>
        <v/>
      </c>
      <c r="F892" s="79">
        <f>IFERROR(INDEX(Firms!$N$5:$N$1004,MATCH(888,Firms!$U$5:$U$1004,0))&amp;"","")</f>
        <v/>
      </c>
      <c r="G892" s="79">
        <f>IFERROR(INDEX(Firms!$P$5:$P$1004,MATCH(888,Firms!$U$5:$U$1004,0))&amp;"","")</f>
        <v/>
      </c>
      <c r="H892" s="91">
        <f>IFERROR(INDEX(Firms!$T$5:$T$1004,MATCH(888,Firms!$U$5:$U$1004,0))&amp;"","")</f>
        <v/>
      </c>
    </row>
    <row r="893">
      <c r="A893" s="79">
        <f>IF(B893="","",889)</f>
        <v/>
      </c>
      <c r="B893" s="91">
        <f>IFERROR(INDEX(Firms!$A$5:$A$1004,MATCH(889,Firms!$U$5:$U$1004,0))&amp;"","")</f>
        <v/>
      </c>
      <c r="C893" s="88">
        <f>IFERROR(IF(INDEX(Firms!$R$5:$R$1004,MATCH(889,Firms!$U$5:$U$1004,0))="","",INDEX(Firms!$R$5:$R$1004,MATCH(889,Firms!$U$5:$U$1004,0))),"")</f>
        <v/>
      </c>
      <c r="D893" s="91">
        <f>IFERROR(INDEX(Firms!$S$5:$S$1004,MATCH(889,Firms!$U$5:$U$1004,0))&amp;"","")</f>
        <v/>
      </c>
      <c r="E893" s="91">
        <f>IFERROR(INDEX(Firms!$C$5:$C$1004,MATCH(889,Firms!$U$5:$U$1004,0))&amp;"","")</f>
        <v/>
      </c>
      <c r="F893" s="79">
        <f>IFERROR(INDEX(Firms!$N$5:$N$1004,MATCH(889,Firms!$U$5:$U$1004,0))&amp;"","")</f>
        <v/>
      </c>
      <c r="G893" s="79">
        <f>IFERROR(INDEX(Firms!$P$5:$P$1004,MATCH(889,Firms!$U$5:$U$1004,0))&amp;"","")</f>
        <v/>
      </c>
      <c r="H893" s="91">
        <f>IFERROR(INDEX(Firms!$T$5:$T$1004,MATCH(889,Firms!$U$5:$U$1004,0))&amp;"","")</f>
        <v/>
      </c>
    </row>
    <row r="894">
      <c r="A894" s="79">
        <f>IF(B894="","",890)</f>
        <v/>
      </c>
      <c r="B894" s="91">
        <f>IFERROR(INDEX(Firms!$A$5:$A$1004,MATCH(890,Firms!$U$5:$U$1004,0))&amp;"","")</f>
        <v/>
      </c>
      <c r="C894" s="88">
        <f>IFERROR(IF(INDEX(Firms!$R$5:$R$1004,MATCH(890,Firms!$U$5:$U$1004,0))="","",INDEX(Firms!$R$5:$R$1004,MATCH(890,Firms!$U$5:$U$1004,0))),"")</f>
        <v/>
      </c>
      <c r="D894" s="91">
        <f>IFERROR(INDEX(Firms!$S$5:$S$1004,MATCH(890,Firms!$U$5:$U$1004,0))&amp;"","")</f>
        <v/>
      </c>
      <c r="E894" s="91">
        <f>IFERROR(INDEX(Firms!$C$5:$C$1004,MATCH(890,Firms!$U$5:$U$1004,0))&amp;"","")</f>
        <v/>
      </c>
      <c r="F894" s="79">
        <f>IFERROR(INDEX(Firms!$N$5:$N$1004,MATCH(890,Firms!$U$5:$U$1004,0))&amp;"","")</f>
        <v/>
      </c>
      <c r="G894" s="79">
        <f>IFERROR(INDEX(Firms!$P$5:$P$1004,MATCH(890,Firms!$U$5:$U$1004,0))&amp;"","")</f>
        <v/>
      </c>
      <c r="H894" s="91">
        <f>IFERROR(INDEX(Firms!$T$5:$T$1004,MATCH(890,Firms!$U$5:$U$1004,0))&amp;"","")</f>
        <v/>
      </c>
    </row>
    <row r="895">
      <c r="A895" s="79">
        <f>IF(B895="","",891)</f>
        <v/>
      </c>
      <c r="B895" s="91">
        <f>IFERROR(INDEX(Firms!$A$5:$A$1004,MATCH(891,Firms!$U$5:$U$1004,0))&amp;"","")</f>
        <v/>
      </c>
      <c r="C895" s="88">
        <f>IFERROR(IF(INDEX(Firms!$R$5:$R$1004,MATCH(891,Firms!$U$5:$U$1004,0))="","",INDEX(Firms!$R$5:$R$1004,MATCH(891,Firms!$U$5:$U$1004,0))),"")</f>
        <v/>
      </c>
      <c r="D895" s="91">
        <f>IFERROR(INDEX(Firms!$S$5:$S$1004,MATCH(891,Firms!$U$5:$U$1004,0))&amp;"","")</f>
        <v/>
      </c>
      <c r="E895" s="91">
        <f>IFERROR(INDEX(Firms!$C$5:$C$1004,MATCH(891,Firms!$U$5:$U$1004,0))&amp;"","")</f>
        <v/>
      </c>
      <c r="F895" s="79">
        <f>IFERROR(INDEX(Firms!$N$5:$N$1004,MATCH(891,Firms!$U$5:$U$1004,0))&amp;"","")</f>
        <v/>
      </c>
      <c r="G895" s="79">
        <f>IFERROR(INDEX(Firms!$P$5:$P$1004,MATCH(891,Firms!$U$5:$U$1004,0))&amp;"","")</f>
        <v/>
      </c>
      <c r="H895" s="91">
        <f>IFERROR(INDEX(Firms!$T$5:$T$1004,MATCH(891,Firms!$U$5:$U$1004,0))&amp;"","")</f>
        <v/>
      </c>
    </row>
    <row r="896">
      <c r="A896" s="79">
        <f>IF(B896="","",892)</f>
        <v/>
      </c>
      <c r="B896" s="91">
        <f>IFERROR(INDEX(Firms!$A$5:$A$1004,MATCH(892,Firms!$U$5:$U$1004,0))&amp;"","")</f>
        <v/>
      </c>
      <c r="C896" s="88">
        <f>IFERROR(IF(INDEX(Firms!$R$5:$R$1004,MATCH(892,Firms!$U$5:$U$1004,0))="","",INDEX(Firms!$R$5:$R$1004,MATCH(892,Firms!$U$5:$U$1004,0))),"")</f>
        <v/>
      </c>
      <c r="D896" s="91">
        <f>IFERROR(INDEX(Firms!$S$5:$S$1004,MATCH(892,Firms!$U$5:$U$1004,0))&amp;"","")</f>
        <v/>
      </c>
      <c r="E896" s="91">
        <f>IFERROR(INDEX(Firms!$C$5:$C$1004,MATCH(892,Firms!$U$5:$U$1004,0))&amp;"","")</f>
        <v/>
      </c>
      <c r="F896" s="79">
        <f>IFERROR(INDEX(Firms!$N$5:$N$1004,MATCH(892,Firms!$U$5:$U$1004,0))&amp;"","")</f>
        <v/>
      </c>
      <c r="G896" s="79">
        <f>IFERROR(INDEX(Firms!$P$5:$P$1004,MATCH(892,Firms!$U$5:$U$1004,0))&amp;"","")</f>
        <v/>
      </c>
      <c r="H896" s="91">
        <f>IFERROR(INDEX(Firms!$T$5:$T$1004,MATCH(892,Firms!$U$5:$U$1004,0))&amp;"","")</f>
        <v/>
      </c>
    </row>
    <row r="897">
      <c r="A897" s="79">
        <f>IF(B897="","",893)</f>
        <v/>
      </c>
      <c r="B897" s="91">
        <f>IFERROR(INDEX(Firms!$A$5:$A$1004,MATCH(893,Firms!$U$5:$U$1004,0))&amp;"","")</f>
        <v/>
      </c>
      <c r="C897" s="88">
        <f>IFERROR(IF(INDEX(Firms!$R$5:$R$1004,MATCH(893,Firms!$U$5:$U$1004,0))="","",INDEX(Firms!$R$5:$R$1004,MATCH(893,Firms!$U$5:$U$1004,0))),"")</f>
        <v/>
      </c>
      <c r="D897" s="91">
        <f>IFERROR(INDEX(Firms!$S$5:$S$1004,MATCH(893,Firms!$U$5:$U$1004,0))&amp;"","")</f>
        <v/>
      </c>
      <c r="E897" s="91">
        <f>IFERROR(INDEX(Firms!$C$5:$C$1004,MATCH(893,Firms!$U$5:$U$1004,0))&amp;"","")</f>
        <v/>
      </c>
      <c r="F897" s="79">
        <f>IFERROR(INDEX(Firms!$N$5:$N$1004,MATCH(893,Firms!$U$5:$U$1004,0))&amp;"","")</f>
        <v/>
      </c>
      <c r="G897" s="79">
        <f>IFERROR(INDEX(Firms!$P$5:$P$1004,MATCH(893,Firms!$U$5:$U$1004,0))&amp;"","")</f>
        <v/>
      </c>
      <c r="H897" s="91">
        <f>IFERROR(INDEX(Firms!$T$5:$T$1004,MATCH(893,Firms!$U$5:$U$1004,0))&amp;"","")</f>
        <v/>
      </c>
    </row>
    <row r="898">
      <c r="A898" s="79">
        <f>IF(B898="","",894)</f>
        <v/>
      </c>
      <c r="B898" s="91">
        <f>IFERROR(INDEX(Firms!$A$5:$A$1004,MATCH(894,Firms!$U$5:$U$1004,0))&amp;"","")</f>
        <v/>
      </c>
      <c r="C898" s="88">
        <f>IFERROR(IF(INDEX(Firms!$R$5:$R$1004,MATCH(894,Firms!$U$5:$U$1004,0))="","",INDEX(Firms!$R$5:$R$1004,MATCH(894,Firms!$U$5:$U$1004,0))),"")</f>
        <v/>
      </c>
      <c r="D898" s="91">
        <f>IFERROR(INDEX(Firms!$S$5:$S$1004,MATCH(894,Firms!$U$5:$U$1004,0))&amp;"","")</f>
        <v/>
      </c>
      <c r="E898" s="91">
        <f>IFERROR(INDEX(Firms!$C$5:$C$1004,MATCH(894,Firms!$U$5:$U$1004,0))&amp;"","")</f>
        <v/>
      </c>
      <c r="F898" s="79">
        <f>IFERROR(INDEX(Firms!$N$5:$N$1004,MATCH(894,Firms!$U$5:$U$1004,0))&amp;"","")</f>
        <v/>
      </c>
      <c r="G898" s="79">
        <f>IFERROR(INDEX(Firms!$P$5:$P$1004,MATCH(894,Firms!$U$5:$U$1004,0))&amp;"","")</f>
        <v/>
      </c>
      <c r="H898" s="91">
        <f>IFERROR(INDEX(Firms!$T$5:$T$1004,MATCH(894,Firms!$U$5:$U$1004,0))&amp;"","")</f>
        <v/>
      </c>
    </row>
    <row r="899">
      <c r="A899" s="79">
        <f>IF(B899="","",895)</f>
        <v/>
      </c>
      <c r="B899" s="91">
        <f>IFERROR(INDEX(Firms!$A$5:$A$1004,MATCH(895,Firms!$U$5:$U$1004,0))&amp;"","")</f>
        <v/>
      </c>
      <c r="C899" s="88">
        <f>IFERROR(IF(INDEX(Firms!$R$5:$R$1004,MATCH(895,Firms!$U$5:$U$1004,0))="","",INDEX(Firms!$R$5:$R$1004,MATCH(895,Firms!$U$5:$U$1004,0))),"")</f>
        <v/>
      </c>
      <c r="D899" s="91">
        <f>IFERROR(INDEX(Firms!$S$5:$S$1004,MATCH(895,Firms!$U$5:$U$1004,0))&amp;"","")</f>
        <v/>
      </c>
      <c r="E899" s="91">
        <f>IFERROR(INDEX(Firms!$C$5:$C$1004,MATCH(895,Firms!$U$5:$U$1004,0))&amp;"","")</f>
        <v/>
      </c>
      <c r="F899" s="79">
        <f>IFERROR(INDEX(Firms!$N$5:$N$1004,MATCH(895,Firms!$U$5:$U$1004,0))&amp;"","")</f>
        <v/>
      </c>
      <c r="G899" s="79">
        <f>IFERROR(INDEX(Firms!$P$5:$P$1004,MATCH(895,Firms!$U$5:$U$1004,0))&amp;"","")</f>
        <v/>
      </c>
      <c r="H899" s="91">
        <f>IFERROR(INDEX(Firms!$T$5:$T$1004,MATCH(895,Firms!$U$5:$U$1004,0))&amp;"","")</f>
        <v/>
      </c>
    </row>
    <row r="900">
      <c r="A900" s="79">
        <f>IF(B900="","",896)</f>
        <v/>
      </c>
      <c r="B900" s="91">
        <f>IFERROR(INDEX(Firms!$A$5:$A$1004,MATCH(896,Firms!$U$5:$U$1004,0))&amp;"","")</f>
        <v/>
      </c>
      <c r="C900" s="88">
        <f>IFERROR(IF(INDEX(Firms!$R$5:$R$1004,MATCH(896,Firms!$U$5:$U$1004,0))="","",INDEX(Firms!$R$5:$R$1004,MATCH(896,Firms!$U$5:$U$1004,0))),"")</f>
        <v/>
      </c>
      <c r="D900" s="91">
        <f>IFERROR(INDEX(Firms!$S$5:$S$1004,MATCH(896,Firms!$U$5:$U$1004,0))&amp;"","")</f>
        <v/>
      </c>
      <c r="E900" s="91">
        <f>IFERROR(INDEX(Firms!$C$5:$C$1004,MATCH(896,Firms!$U$5:$U$1004,0))&amp;"","")</f>
        <v/>
      </c>
      <c r="F900" s="79">
        <f>IFERROR(INDEX(Firms!$N$5:$N$1004,MATCH(896,Firms!$U$5:$U$1004,0))&amp;"","")</f>
        <v/>
      </c>
      <c r="G900" s="79">
        <f>IFERROR(INDEX(Firms!$P$5:$P$1004,MATCH(896,Firms!$U$5:$U$1004,0))&amp;"","")</f>
        <v/>
      </c>
      <c r="H900" s="91">
        <f>IFERROR(INDEX(Firms!$T$5:$T$1004,MATCH(896,Firms!$U$5:$U$1004,0))&amp;"","")</f>
        <v/>
      </c>
    </row>
    <row r="901">
      <c r="A901" s="79">
        <f>IF(B901="","",897)</f>
        <v/>
      </c>
      <c r="B901" s="91">
        <f>IFERROR(INDEX(Firms!$A$5:$A$1004,MATCH(897,Firms!$U$5:$U$1004,0))&amp;"","")</f>
        <v/>
      </c>
      <c r="C901" s="88">
        <f>IFERROR(IF(INDEX(Firms!$R$5:$R$1004,MATCH(897,Firms!$U$5:$U$1004,0))="","",INDEX(Firms!$R$5:$R$1004,MATCH(897,Firms!$U$5:$U$1004,0))),"")</f>
        <v/>
      </c>
      <c r="D901" s="91">
        <f>IFERROR(INDEX(Firms!$S$5:$S$1004,MATCH(897,Firms!$U$5:$U$1004,0))&amp;"","")</f>
        <v/>
      </c>
      <c r="E901" s="91">
        <f>IFERROR(INDEX(Firms!$C$5:$C$1004,MATCH(897,Firms!$U$5:$U$1004,0))&amp;"","")</f>
        <v/>
      </c>
      <c r="F901" s="79">
        <f>IFERROR(INDEX(Firms!$N$5:$N$1004,MATCH(897,Firms!$U$5:$U$1004,0))&amp;"","")</f>
        <v/>
      </c>
      <c r="G901" s="79">
        <f>IFERROR(INDEX(Firms!$P$5:$P$1004,MATCH(897,Firms!$U$5:$U$1004,0))&amp;"","")</f>
        <v/>
      </c>
      <c r="H901" s="91">
        <f>IFERROR(INDEX(Firms!$T$5:$T$1004,MATCH(897,Firms!$U$5:$U$1004,0))&amp;"","")</f>
        <v/>
      </c>
    </row>
    <row r="902">
      <c r="A902" s="79">
        <f>IF(B902="","",898)</f>
        <v/>
      </c>
      <c r="B902" s="91">
        <f>IFERROR(INDEX(Firms!$A$5:$A$1004,MATCH(898,Firms!$U$5:$U$1004,0))&amp;"","")</f>
        <v/>
      </c>
      <c r="C902" s="88">
        <f>IFERROR(IF(INDEX(Firms!$R$5:$R$1004,MATCH(898,Firms!$U$5:$U$1004,0))="","",INDEX(Firms!$R$5:$R$1004,MATCH(898,Firms!$U$5:$U$1004,0))),"")</f>
        <v/>
      </c>
      <c r="D902" s="91">
        <f>IFERROR(INDEX(Firms!$S$5:$S$1004,MATCH(898,Firms!$U$5:$U$1004,0))&amp;"","")</f>
        <v/>
      </c>
      <c r="E902" s="91">
        <f>IFERROR(INDEX(Firms!$C$5:$C$1004,MATCH(898,Firms!$U$5:$U$1004,0))&amp;"","")</f>
        <v/>
      </c>
      <c r="F902" s="79">
        <f>IFERROR(INDEX(Firms!$N$5:$N$1004,MATCH(898,Firms!$U$5:$U$1004,0))&amp;"","")</f>
        <v/>
      </c>
      <c r="G902" s="79">
        <f>IFERROR(INDEX(Firms!$P$5:$P$1004,MATCH(898,Firms!$U$5:$U$1004,0))&amp;"","")</f>
        <v/>
      </c>
      <c r="H902" s="91">
        <f>IFERROR(INDEX(Firms!$T$5:$T$1004,MATCH(898,Firms!$U$5:$U$1004,0))&amp;"","")</f>
        <v/>
      </c>
    </row>
    <row r="903">
      <c r="A903" s="79">
        <f>IF(B903="","",899)</f>
        <v/>
      </c>
      <c r="B903" s="91">
        <f>IFERROR(INDEX(Firms!$A$5:$A$1004,MATCH(899,Firms!$U$5:$U$1004,0))&amp;"","")</f>
        <v/>
      </c>
      <c r="C903" s="88">
        <f>IFERROR(IF(INDEX(Firms!$R$5:$R$1004,MATCH(899,Firms!$U$5:$U$1004,0))="","",INDEX(Firms!$R$5:$R$1004,MATCH(899,Firms!$U$5:$U$1004,0))),"")</f>
        <v/>
      </c>
      <c r="D903" s="91">
        <f>IFERROR(INDEX(Firms!$S$5:$S$1004,MATCH(899,Firms!$U$5:$U$1004,0))&amp;"","")</f>
        <v/>
      </c>
      <c r="E903" s="91">
        <f>IFERROR(INDEX(Firms!$C$5:$C$1004,MATCH(899,Firms!$U$5:$U$1004,0))&amp;"","")</f>
        <v/>
      </c>
      <c r="F903" s="79">
        <f>IFERROR(INDEX(Firms!$N$5:$N$1004,MATCH(899,Firms!$U$5:$U$1004,0))&amp;"","")</f>
        <v/>
      </c>
      <c r="G903" s="79">
        <f>IFERROR(INDEX(Firms!$P$5:$P$1004,MATCH(899,Firms!$U$5:$U$1004,0))&amp;"","")</f>
        <v/>
      </c>
      <c r="H903" s="91">
        <f>IFERROR(INDEX(Firms!$T$5:$T$1004,MATCH(899,Firms!$U$5:$U$1004,0))&amp;"","")</f>
        <v/>
      </c>
    </row>
    <row r="904">
      <c r="A904" s="79">
        <f>IF(B904="","",900)</f>
        <v/>
      </c>
      <c r="B904" s="91">
        <f>IFERROR(INDEX(Firms!$A$5:$A$1004,MATCH(900,Firms!$U$5:$U$1004,0))&amp;"","")</f>
        <v/>
      </c>
      <c r="C904" s="88">
        <f>IFERROR(IF(INDEX(Firms!$R$5:$R$1004,MATCH(900,Firms!$U$5:$U$1004,0))="","",INDEX(Firms!$R$5:$R$1004,MATCH(900,Firms!$U$5:$U$1004,0))),"")</f>
        <v/>
      </c>
      <c r="D904" s="91">
        <f>IFERROR(INDEX(Firms!$S$5:$S$1004,MATCH(900,Firms!$U$5:$U$1004,0))&amp;"","")</f>
        <v/>
      </c>
      <c r="E904" s="91">
        <f>IFERROR(INDEX(Firms!$C$5:$C$1004,MATCH(900,Firms!$U$5:$U$1004,0))&amp;"","")</f>
        <v/>
      </c>
      <c r="F904" s="79">
        <f>IFERROR(INDEX(Firms!$N$5:$N$1004,MATCH(900,Firms!$U$5:$U$1004,0))&amp;"","")</f>
        <v/>
      </c>
      <c r="G904" s="79">
        <f>IFERROR(INDEX(Firms!$P$5:$P$1004,MATCH(900,Firms!$U$5:$U$1004,0))&amp;"","")</f>
        <v/>
      </c>
      <c r="H904" s="91">
        <f>IFERROR(INDEX(Firms!$T$5:$T$1004,MATCH(900,Firms!$U$5:$U$1004,0))&amp;"","")</f>
        <v/>
      </c>
    </row>
    <row r="905">
      <c r="A905" s="79">
        <f>IF(B905="","",901)</f>
        <v/>
      </c>
      <c r="B905" s="91">
        <f>IFERROR(INDEX(Firms!$A$5:$A$1004,MATCH(901,Firms!$U$5:$U$1004,0))&amp;"","")</f>
        <v/>
      </c>
      <c r="C905" s="88">
        <f>IFERROR(IF(INDEX(Firms!$R$5:$R$1004,MATCH(901,Firms!$U$5:$U$1004,0))="","",INDEX(Firms!$R$5:$R$1004,MATCH(901,Firms!$U$5:$U$1004,0))),"")</f>
        <v/>
      </c>
      <c r="D905" s="91">
        <f>IFERROR(INDEX(Firms!$S$5:$S$1004,MATCH(901,Firms!$U$5:$U$1004,0))&amp;"","")</f>
        <v/>
      </c>
      <c r="E905" s="91">
        <f>IFERROR(INDEX(Firms!$C$5:$C$1004,MATCH(901,Firms!$U$5:$U$1004,0))&amp;"","")</f>
        <v/>
      </c>
      <c r="F905" s="79">
        <f>IFERROR(INDEX(Firms!$N$5:$N$1004,MATCH(901,Firms!$U$5:$U$1004,0))&amp;"","")</f>
        <v/>
      </c>
      <c r="G905" s="79">
        <f>IFERROR(INDEX(Firms!$P$5:$P$1004,MATCH(901,Firms!$U$5:$U$1004,0))&amp;"","")</f>
        <v/>
      </c>
      <c r="H905" s="91">
        <f>IFERROR(INDEX(Firms!$T$5:$T$1004,MATCH(901,Firms!$U$5:$U$1004,0))&amp;"","")</f>
        <v/>
      </c>
    </row>
    <row r="906">
      <c r="A906" s="79">
        <f>IF(B906="","",902)</f>
        <v/>
      </c>
      <c r="B906" s="91">
        <f>IFERROR(INDEX(Firms!$A$5:$A$1004,MATCH(902,Firms!$U$5:$U$1004,0))&amp;"","")</f>
        <v/>
      </c>
      <c r="C906" s="88">
        <f>IFERROR(IF(INDEX(Firms!$R$5:$R$1004,MATCH(902,Firms!$U$5:$U$1004,0))="","",INDEX(Firms!$R$5:$R$1004,MATCH(902,Firms!$U$5:$U$1004,0))),"")</f>
        <v/>
      </c>
      <c r="D906" s="91">
        <f>IFERROR(INDEX(Firms!$S$5:$S$1004,MATCH(902,Firms!$U$5:$U$1004,0))&amp;"","")</f>
        <v/>
      </c>
      <c r="E906" s="91">
        <f>IFERROR(INDEX(Firms!$C$5:$C$1004,MATCH(902,Firms!$U$5:$U$1004,0))&amp;"","")</f>
        <v/>
      </c>
      <c r="F906" s="79">
        <f>IFERROR(INDEX(Firms!$N$5:$N$1004,MATCH(902,Firms!$U$5:$U$1004,0))&amp;"","")</f>
        <v/>
      </c>
      <c r="G906" s="79">
        <f>IFERROR(INDEX(Firms!$P$5:$P$1004,MATCH(902,Firms!$U$5:$U$1004,0))&amp;"","")</f>
        <v/>
      </c>
      <c r="H906" s="91">
        <f>IFERROR(INDEX(Firms!$T$5:$T$1004,MATCH(902,Firms!$U$5:$U$1004,0))&amp;"","")</f>
        <v/>
      </c>
    </row>
    <row r="907">
      <c r="A907" s="79">
        <f>IF(B907="","",903)</f>
        <v/>
      </c>
      <c r="B907" s="91">
        <f>IFERROR(INDEX(Firms!$A$5:$A$1004,MATCH(903,Firms!$U$5:$U$1004,0))&amp;"","")</f>
        <v/>
      </c>
      <c r="C907" s="88">
        <f>IFERROR(IF(INDEX(Firms!$R$5:$R$1004,MATCH(903,Firms!$U$5:$U$1004,0))="","",INDEX(Firms!$R$5:$R$1004,MATCH(903,Firms!$U$5:$U$1004,0))),"")</f>
        <v/>
      </c>
      <c r="D907" s="91">
        <f>IFERROR(INDEX(Firms!$S$5:$S$1004,MATCH(903,Firms!$U$5:$U$1004,0))&amp;"","")</f>
        <v/>
      </c>
      <c r="E907" s="91">
        <f>IFERROR(INDEX(Firms!$C$5:$C$1004,MATCH(903,Firms!$U$5:$U$1004,0))&amp;"","")</f>
        <v/>
      </c>
      <c r="F907" s="79">
        <f>IFERROR(INDEX(Firms!$N$5:$N$1004,MATCH(903,Firms!$U$5:$U$1004,0))&amp;"","")</f>
        <v/>
      </c>
      <c r="G907" s="79">
        <f>IFERROR(INDEX(Firms!$P$5:$P$1004,MATCH(903,Firms!$U$5:$U$1004,0))&amp;"","")</f>
        <v/>
      </c>
      <c r="H907" s="91">
        <f>IFERROR(INDEX(Firms!$T$5:$T$1004,MATCH(903,Firms!$U$5:$U$1004,0))&amp;"","")</f>
        <v/>
      </c>
    </row>
    <row r="908">
      <c r="A908" s="79">
        <f>IF(B908="","",904)</f>
        <v/>
      </c>
      <c r="B908" s="91">
        <f>IFERROR(INDEX(Firms!$A$5:$A$1004,MATCH(904,Firms!$U$5:$U$1004,0))&amp;"","")</f>
        <v/>
      </c>
      <c r="C908" s="88">
        <f>IFERROR(IF(INDEX(Firms!$R$5:$R$1004,MATCH(904,Firms!$U$5:$U$1004,0))="","",INDEX(Firms!$R$5:$R$1004,MATCH(904,Firms!$U$5:$U$1004,0))),"")</f>
        <v/>
      </c>
      <c r="D908" s="91">
        <f>IFERROR(INDEX(Firms!$S$5:$S$1004,MATCH(904,Firms!$U$5:$U$1004,0))&amp;"","")</f>
        <v/>
      </c>
      <c r="E908" s="91">
        <f>IFERROR(INDEX(Firms!$C$5:$C$1004,MATCH(904,Firms!$U$5:$U$1004,0))&amp;"","")</f>
        <v/>
      </c>
      <c r="F908" s="79">
        <f>IFERROR(INDEX(Firms!$N$5:$N$1004,MATCH(904,Firms!$U$5:$U$1004,0))&amp;"","")</f>
        <v/>
      </c>
      <c r="G908" s="79">
        <f>IFERROR(INDEX(Firms!$P$5:$P$1004,MATCH(904,Firms!$U$5:$U$1004,0))&amp;"","")</f>
        <v/>
      </c>
      <c r="H908" s="91">
        <f>IFERROR(INDEX(Firms!$T$5:$T$1004,MATCH(904,Firms!$U$5:$U$1004,0))&amp;"","")</f>
        <v/>
      </c>
    </row>
    <row r="909">
      <c r="A909" s="79">
        <f>IF(B909="","",905)</f>
        <v/>
      </c>
      <c r="B909" s="91">
        <f>IFERROR(INDEX(Firms!$A$5:$A$1004,MATCH(905,Firms!$U$5:$U$1004,0))&amp;"","")</f>
        <v/>
      </c>
      <c r="C909" s="88">
        <f>IFERROR(IF(INDEX(Firms!$R$5:$R$1004,MATCH(905,Firms!$U$5:$U$1004,0))="","",INDEX(Firms!$R$5:$R$1004,MATCH(905,Firms!$U$5:$U$1004,0))),"")</f>
        <v/>
      </c>
      <c r="D909" s="91">
        <f>IFERROR(INDEX(Firms!$S$5:$S$1004,MATCH(905,Firms!$U$5:$U$1004,0))&amp;"","")</f>
        <v/>
      </c>
      <c r="E909" s="91">
        <f>IFERROR(INDEX(Firms!$C$5:$C$1004,MATCH(905,Firms!$U$5:$U$1004,0))&amp;"","")</f>
        <v/>
      </c>
      <c r="F909" s="79">
        <f>IFERROR(INDEX(Firms!$N$5:$N$1004,MATCH(905,Firms!$U$5:$U$1004,0))&amp;"","")</f>
        <v/>
      </c>
      <c r="G909" s="79">
        <f>IFERROR(INDEX(Firms!$P$5:$P$1004,MATCH(905,Firms!$U$5:$U$1004,0))&amp;"","")</f>
        <v/>
      </c>
      <c r="H909" s="91">
        <f>IFERROR(INDEX(Firms!$T$5:$T$1004,MATCH(905,Firms!$U$5:$U$1004,0))&amp;"","")</f>
        <v/>
      </c>
    </row>
    <row r="910">
      <c r="A910" s="79">
        <f>IF(B910="","",906)</f>
        <v/>
      </c>
      <c r="B910" s="91">
        <f>IFERROR(INDEX(Firms!$A$5:$A$1004,MATCH(906,Firms!$U$5:$U$1004,0))&amp;"","")</f>
        <v/>
      </c>
      <c r="C910" s="88">
        <f>IFERROR(IF(INDEX(Firms!$R$5:$R$1004,MATCH(906,Firms!$U$5:$U$1004,0))="","",INDEX(Firms!$R$5:$R$1004,MATCH(906,Firms!$U$5:$U$1004,0))),"")</f>
        <v/>
      </c>
      <c r="D910" s="91">
        <f>IFERROR(INDEX(Firms!$S$5:$S$1004,MATCH(906,Firms!$U$5:$U$1004,0))&amp;"","")</f>
        <v/>
      </c>
      <c r="E910" s="91">
        <f>IFERROR(INDEX(Firms!$C$5:$C$1004,MATCH(906,Firms!$U$5:$U$1004,0))&amp;"","")</f>
        <v/>
      </c>
      <c r="F910" s="79">
        <f>IFERROR(INDEX(Firms!$N$5:$N$1004,MATCH(906,Firms!$U$5:$U$1004,0))&amp;"","")</f>
        <v/>
      </c>
      <c r="G910" s="79">
        <f>IFERROR(INDEX(Firms!$P$5:$P$1004,MATCH(906,Firms!$U$5:$U$1004,0))&amp;"","")</f>
        <v/>
      </c>
      <c r="H910" s="91">
        <f>IFERROR(INDEX(Firms!$T$5:$T$1004,MATCH(906,Firms!$U$5:$U$1004,0))&amp;"","")</f>
        <v/>
      </c>
    </row>
    <row r="911">
      <c r="A911" s="79">
        <f>IF(B911="","",907)</f>
        <v/>
      </c>
      <c r="B911" s="91">
        <f>IFERROR(INDEX(Firms!$A$5:$A$1004,MATCH(907,Firms!$U$5:$U$1004,0))&amp;"","")</f>
        <v/>
      </c>
      <c r="C911" s="88">
        <f>IFERROR(IF(INDEX(Firms!$R$5:$R$1004,MATCH(907,Firms!$U$5:$U$1004,0))="","",INDEX(Firms!$R$5:$R$1004,MATCH(907,Firms!$U$5:$U$1004,0))),"")</f>
        <v/>
      </c>
      <c r="D911" s="91">
        <f>IFERROR(INDEX(Firms!$S$5:$S$1004,MATCH(907,Firms!$U$5:$U$1004,0))&amp;"","")</f>
        <v/>
      </c>
      <c r="E911" s="91">
        <f>IFERROR(INDEX(Firms!$C$5:$C$1004,MATCH(907,Firms!$U$5:$U$1004,0))&amp;"","")</f>
        <v/>
      </c>
      <c r="F911" s="79">
        <f>IFERROR(INDEX(Firms!$N$5:$N$1004,MATCH(907,Firms!$U$5:$U$1004,0))&amp;"","")</f>
        <v/>
      </c>
      <c r="G911" s="79">
        <f>IFERROR(INDEX(Firms!$P$5:$P$1004,MATCH(907,Firms!$U$5:$U$1004,0))&amp;"","")</f>
        <v/>
      </c>
      <c r="H911" s="91">
        <f>IFERROR(INDEX(Firms!$T$5:$T$1004,MATCH(907,Firms!$U$5:$U$1004,0))&amp;"","")</f>
        <v/>
      </c>
    </row>
    <row r="912">
      <c r="A912" s="79">
        <f>IF(B912="","",908)</f>
        <v/>
      </c>
      <c r="B912" s="91">
        <f>IFERROR(INDEX(Firms!$A$5:$A$1004,MATCH(908,Firms!$U$5:$U$1004,0))&amp;"","")</f>
        <v/>
      </c>
      <c r="C912" s="88">
        <f>IFERROR(IF(INDEX(Firms!$R$5:$R$1004,MATCH(908,Firms!$U$5:$U$1004,0))="","",INDEX(Firms!$R$5:$R$1004,MATCH(908,Firms!$U$5:$U$1004,0))),"")</f>
        <v/>
      </c>
      <c r="D912" s="91">
        <f>IFERROR(INDEX(Firms!$S$5:$S$1004,MATCH(908,Firms!$U$5:$U$1004,0))&amp;"","")</f>
        <v/>
      </c>
      <c r="E912" s="91">
        <f>IFERROR(INDEX(Firms!$C$5:$C$1004,MATCH(908,Firms!$U$5:$U$1004,0))&amp;"","")</f>
        <v/>
      </c>
      <c r="F912" s="79">
        <f>IFERROR(INDEX(Firms!$N$5:$N$1004,MATCH(908,Firms!$U$5:$U$1004,0))&amp;"","")</f>
        <v/>
      </c>
      <c r="G912" s="79">
        <f>IFERROR(INDEX(Firms!$P$5:$P$1004,MATCH(908,Firms!$U$5:$U$1004,0))&amp;"","")</f>
        <v/>
      </c>
      <c r="H912" s="91">
        <f>IFERROR(INDEX(Firms!$T$5:$T$1004,MATCH(908,Firms!$U$5:$U$1004,0))&amp;"","")</f>
        <v/>
      </c>
    </row>
    <row r="913">
      <c r="A913" s="79">
        <f>IF(B913="","",909)</f>
        <v/>
      </c>
      <c r="B913" s="91">
        <f>IFERROR(INDEX(Firms!$A$5:$A$1004,MATCH(909,Firms!$U$5:$U$1004,0))&amp;"","")</f>
        <v/>
      </c>
      <c r="C913" s="88">
        <f>IFERROR(IF(INDEX(Firms!$R$5:$R$1004,MATCH(909,Firms!$U$5:$U$1004,0))="","",INDEX(Firms!$R$5:$R$1004,MATCH(909,Firms!$U$5:$U$1004,0))),"")</f>
        <v/>
      </c>
      <c r="D913" s="91">
        <f>IFERROR(INDEX(Firms!$S$5:$S$1004,MATCH(909,Firms!$U$5:$U$1004,0))&amp;"","")</f>
        <v/>
      </c>
      <c r="E913" s="91">
        <f>IFERROR(INDEX(Firms!$C$5:$C$1004,MATCH(909,Firms!$U$5:$U$1004,0))&amp;"","")</f>
        <v/>
      </c>
      <c r="F913" s="79">
        <f>IFERROR(INDEX(Firms!$N$5:$N$1004,MATCH(909,Firms!$U$5:$U$1004,0))&amp;"","")</f>
        <v/>
      </c>
      <c r="G913" s="79">
        <f>IFERROR(INDEX(Firms!$P$5:$P$1004,MATCH(909,Firms!$U$5:$U$1004,0))&amp;"","")</f>
        <v/>
      </c>
      <c r="H913" s="91">
        <f>IFERROR(INDEX(Firms!$T$5:$T$1004,MATCH(909,Firms!$U$5:$U$1004,0))&amp;"","")</f>
        <v/>
      </c>
    </row>
    <row r="914">
      <c r="A914" s="79">
        <f>IF(B914="","",910)</f>
        <v/>
      </c>
      <c r="B914" s="91">
        <f>IFERROR(INDEX(Firms!$A$5:$A$1004,MATCH(910,Firms!$U$5:$U$1004,0))&amp;"","")</f>
        <v/>
      </c>
      <c r="C914" s="88">
        <f>IFERROR(IF(INDEX(Firms!$R$5:$R$1004,MATCH(910,Firms!$U$5:$U$1004,0))="","",INDEX(Firms!$R$5:$R$1004,MATCH(910,Firms!$U$5:$U$1004,0))),"")</f>
        <v/>
      </c>
      <c r="D914" s="91">
        <f>IFERROR(INDEX(Firms!$S$5:$S$1004,MATCH(910,Firms!$U$5:$U$1004,0))&amp;"","")</f>
        <v/>
      </c>
      <c r="E914" s="91">
        <f>IFERROR(INDEX(Firms!$C$5:$C$1004,MATCH(910,Firms!$U$5:$U$1004,0))&amp;"","")</f>
        <v/>
      </c>
      <c r="F914" s="79">
        <f>IFERROR(INDEX(Firms!$N$5:$N$1004,MATCH(910,Firms!$U$5:$U$1004,0))&amp;"","")</f>
        <v/>
      </c>
      <c r="G914" s="79">
        <f>IFERROR(INDEX(Firms!$P$5:$P$1004,MATCH(910,Firms!$U$5:$U$1004,0))&amp;"","")</f>
        <v/>
      </c>
      <c r="H914" s="91">
        <f>IFERROR(INDEX(Firms!$T$5:$T$1004,MATCH(910,Firms!$U$5:$U$1004,0))&amp;"","")</f>
        <v/>
      </c>
    </row>
    <row r="915">
      <c r="A915" s="79">
        <f>IF(B915="","",911)</f>
        <v/>
      </c>
      <c r="B915" s="91">
        <f>IFERROR(INDEX(Firms!$A$5:$A$1004,MATCH(911,Firms!$U$5:$U$1004,0))&amp;"","")</f>
        <v/>
      </c>
      <c r="C915" s="88">
        <f>IFERROR(IF(INDEX(Firms!$R$5:$R$1004,MATCH(911,Firms!$U$5:$U$1004,0))="","",INDEX(Firms!$R$5:$R$1004,MATCH(911,Firms!$U$5:$U$1004,0))),"")</f>
        <v/>
      </c>
      <c r="D915" s="91">
        <f>IFERROR(INDEX(Firms!$S$5:$S$1004,MATCH(911,Firms!$U$5:$U$1004,0))&amp;"","")</f>
        <v/>
      </c>
      <c r="E915" s="91">
        <f>IFERROR(INDEX(Firms!$C$5:$C$1004,MATCH(911,Firms!$U$5:$U$1004,0))&amp;"","")</f>
        <v/>
      </c>
      <c r="F915" s="79">
        <f>IFERROR(INDEX(Firms!$N$5:$N$1004,MATCH(911,Firms!$U$5:$U$1004,0))&amp;"","")</f>
        <v/>
      </c>
      <c r="G915" s="79">
        <f>IFERROR(INDEX(Firms!$P$5:$P$1004,MATCH(911,Firms!$U$5:$U$1004,0))&amp;"","")</f>
        <v/>
      </c>
      <c r="H915" s="91">
        <f>IFERROR(INDEX(Firms!$T$5:$T$1004,MATCH(911,Firms!$U$5:$U$1004,0))&amp;"","")</f>
        <v/>
      </c>
    </row>
    <row r="916">
      <c r="A916" s="79">
        <f>IF(B916="","",912)</f>
        <v/>
      </c>
      <c r="B916" s="91">
        <f>IFERROR(INDEX(Firms!$A$5:$A$1004,MATCH(912,Firms!$U$5:$U$1004,0))&amp;"","")</f>
        <v/>
      </c>
      <c r="C916" s="88">
        <f>IFERROR(IF(INDEX(Firms!$R$5:$R$1004,MATCH(912,Firms!$U$5:$U$1004,0))="","",INDEX(Firms!$R$5:$R$1004,MATCH(912,Firms!$U$5:$U$1004,0))),"")</f>
        <v/>
      </c>
      <c r="D916" s="91">
        <f>IFERROR(INDEX(Firms!$S$5:$S$1004,MATCH(912,Firms!$U$5:$U$1004,0))&amp;"","")</f>
        <v/>
      </c>
      <c r="E916" s="91">
        <f>IFERROR(INDEX(Firms!$C$5:$C$1004,MATCH(912,Firms!$U$5:$U$1004,0))&amp;"","")</f>
        <v/>
      </c>
      <c r="F916" s="79">
        <f>IFERROR(INDEX(Firms!$N$5:$N$1004,MATCH(912,Firms!$U$5:$U$1004,0))&amp;"","")</f>
        <v/>
      </c>
      <c r="G916" s="79">
        <f>IFERROR(INDEX(Firms!$P$5:$P$1004,MATCH(912,Firms!$U$5:$U$1004,0))&amp;"","")</f>
        <v/>
      </c>
      <c r="H916" s="91">
        <f>IFERROR(INDEX(Firms!$T$5:$T$1004,MATCH(912,Firms!$U$5:$U$1004,0))&amp;"","")</f>
        <v/>
      </c>
    </row>
    <row r="917">
      <c r="A917" s="79">
        <f>IF(B917="","",913)</f>
        <v/>
      </c>
      <c r="B917" s="91">
        <f>IFERROR(INDEX(Firms!$A$5:$A$1004,MATCH(913,Firms!$U$5:$U$1004,0))&amp;"","")</f>
        <v/>
      </c>
      <c r="C917" s="88">
        <f>IFERROR(IF(INDEX(Firms!$R$5:$R$1004,MATCH(913,Firms!$U$5:$U$1004,0))="","",INDEX(Firms!$R$5:$R$1004,MATCH(913,Firms!$U$5:$U$1004,0))),"")</f>
        <v/>
      </c>
      <c r="D917" s="91">
        <f>IFERROR(INDEX(Firms!$S$5:$S$1004,MATCH(913,Firms!$U$5:$U$1004,0))&amp;"","")</f>
        <v/>
      </c>
      <c r="E917" s="91">
        <f>IFERROR(INDEX(Firms!$C$5:$C$1004,MATCH(913,Firms!$U$5:$U$1004,0))&amp;"","")</f>
        <v/>
      </c>
      <c r="F917" s="79">
        <f>IFERROR(INDEX(Firms!$N$5:$N$1004,MATCH(913,Firms!$U$5:$U$1004,0))&amp;"","")</f>
        <v/>
      </c>
      <c r="G917" s="79">
        <f>IFERROR(INDEX(Firms!$P$5:$P$1004,MATCH(913,Firms!$U$5:$U$1004,0))&amp;"","")</f>
        <v/>
      </c>
      <c r="H917" s="91">
        <f>IFERROR(INDEX(Firms!$T$5:$T$1004,MATCH(913,Firms!$U$5:$U$1004,0))&amp;"","")</f>
        <v/>
      </c>
    </row>
    <row r="918">
      <c r="A918" s="79">
        <f>IF(B918="","",914)</f>
        <v/>
      </c>
      <c r="B918" s="91">
        <f>IFERROR(INDEX(Firms!$A$5:$A$1004,MATCH(914,Firms!$U$5:$U$1004,0))&amp;"","")</f>
        <v/>
      </c>
      <c r="C918" s="88">
        <f>IFERROR(IF(INDEX(Firms!$R$5:$R$1004,MATCH(914,Firms!$U$5:$U$1004,0))="","",INDEX(Firms!$R$5:$R$1004,MATCH(914,Firms!$U$5:$U$1004,0))),"")</f>
        <v/>
      </c>
      <c r="D918" s="91">
        <f>IFERROR(INDEX(Firms!$S$5:$S$1004,MATCH(914,Firms!$U$5:$U$1004,0))&amp;"","")</f>
        <v/>
      </c>
      <c r="E918" s="91">
        <f>IFERROR(INDEX(Firms!$C$5:$C$1004,MATCH(914,Firms!$U$5:$U$1004,0))&amp;"","")</f>
        <v/>
      </c>
      <c r="F918" s="79">
        <f>IFERROR(INDEX(Firms!$N$5:$N$1004,MATCH(914,Firms!$U$5:$U$1004,0))&amp;"","")</f>
        <v/>
      </c>
      <c r="G918" s="79">
        <f>IFERROR(INDEX(Firms!$P$5:$P$1004,MATCH(914,Firms!$U$5:$U$1004,0))&amp;"","")</f>
        <v/>
      </c>
      <c r="H918" s="91">
        <f>IFERROR(INDEX(Firms!$T$5:$T$1004,MATCH(914,Firms!$U$5:$U$1004,0))&amp;"","")</f>
        <v/>
      </c>
    </row>
    <row r="919">
      <c r="A919" s="79">
        <f>IF(B919="","",915)</f>
        <v/>
      </c>
      <c r="B919" s="91">
        <f>IFERROR(INDEX(Firms!$A$5:$A$1004,MATCH(915,Firms!$U$5:$U$1004,0))&amp;"","")</f>
        <v/>
      </c>
      <c r="C919" s="88">
        <f>IFERROR(IF(INDEX(Firms!$R$5:$R$1004,MATCH(915,Firms!$U$5:$U$1004,0))="","",INDEX(Firms!$R$5:$R$1004,MATCH(915,Firms!$U$5:$U$1004,0))),"")</f>
        <v/>
      </c>
      <c r="D919" s="91">
        <f>IFERROR(INDEX(Firms!$S$5:$S$1004,MATCH(915,Firms!$U$5:$U$1004,0))&amp;"","")</f>
        <v/>
      </c>
      <c r="E919" s="91">
        <f>IFERROR(INDEX(Firms!$C$5:$C$1004,MATCH(915,Firms!$U$5:$U$1004,0))&amp;"","")</f>
        <v/>
      </c>
      <c r="F919" s="79">
        <f>IFERROR(INDEX(Firms!$N$5:$N$1004,MATCH(915,Firms!$U$5:$U$1004,0))&amp;"","")</f>
        <v/>
      </c>
      <c r="G919" s="79">
        <f>IFERROR(INDEX(Firms!$P$5:$P$1004,MATCH(915,Firms!$U$5:$U$1004,0))&amp;"","")</f>
        <v/>
      </c>
      <c r="H919" s="91">
        <f>IFERROR(INDEX(Firms!$T$5:$T$1004,MATCH(915,Firms!$U$5:$U$1004,0))&amp;"","")</f>
        <v/>
      </c>
    </row>
    <row r="920">
      <c r="A920" s="79">
        <f>IF(B920="","",916)</f>
        <v/>
      </c>
      <c r="B920" s="91">
        <f>IFERROR(INDEX(Firms!$A$5:$A$1004,MATCH(916,Firms!$U$5:$U$1004,0))&amp;"","")</f>
        <v/>
      </c>
      <c r="C920" s="88">
        <f>IFERROR(IF(INDEX(Firms!$R$5:$R$1004,MATCH(916,Firms!$U$5:$U$1004,0))="","",INDEX(Firms!$R$5:$R$1004,MATCH(916,Firms!$U$5:$U$1004,0))),"")</f>
        <v/>
      </c>
      <c r="D920" s="91">
        <f>IFERROR(INDEX(Firms!$S$5:$S$1004,MATCH(916,Firms!$U$5:$U$1004,0))&amp;"","")</f>
        <v/>
      </c>
      <c r="E920" s="91">
        <f>IFERROR(INDEX(Firms!$C$5:$C$1004,MATCH(916,Firms!$U$5:$U$1004,0))&amp;"","")</f>
        <v/>
      </c>
      <c r="F920" s="79">
        <f>IFERROR(INDEX(Firms!$N$5:$N$1004,MATCH(916,Firms!$U$5:$U$1004,0))&amp;"","")</f>
        <v/>
      </c>
      <c r="G920" s="79">
        <f>IFERROR(INDEX(Firms!$P$5:$P$1004,MATCH(916,Firms!$U$5:$U$1004,0))&amp;"","")</f>
        <v/>
      </c>
      <c r="H920" s="91">
        <f>IFERROR(INDEX(Firms!$T$5:$T$1004,MATCH(916,Firms!$U$5:$U$1004,0))&amp;"","")</f>
        <v/>
      </c>
    </row>
    <row r="921">
      <c r="A921" s="79">
        <f>IF(B921="","",917)</f>
        <v/>
      </c>
      <c r="B921" s="91">
        <f>IFERROR(INDEX(Firms!$A$5:$A$1004,MATCH(917,Firms!$U$5:$U$1004,0))&amp;"","")</f>
        <v/>
      </c>
      <c r="C921" s="88">
        <f>IFERROR(IF(INDEX(Firms!$R$5:$R$1004,MATCH(917,Firms!$U$5:$U$1004,0))="","",INDEX(Firms!$R$5:$R$1004,MATCH(917,Firms!$U$5:$U$1004,0))),"")</f>
        <v/>
      </c>
      <c r="D921" s="91">
        <f>IFERROR(INDEX(Firms!$S$5:$S$1004,MATCH(917,Firms!$U$5:$U$1004,0))&amp;"","")</f>
        <v/>
      </c>
      <c r="E921" s="91">
        <f>IFERROR(INDEX(Firms!$C$5:$C$1004,MATCH(917,Firms!$U$5:$U$1004,0))&amp;"","")</f>
        <v/>
      </c>
      <c r="F921" s="79">
        <f>IFERROR(INDEX(Firms!$N$5:$N$1004,MATCH(917,Firms!$U$5:$U$1004,0))&amp;"","")</f>
        <v/>
      </c>
      <c r="G921" s="79">
        <f>IFERROR(INDEX(Firms!$P$5:$P$1004,MATCH(917,Firms!$U$5:$U$1004,0))&amp;"","")</f>
        <v/>
      </c>
      <c r="H921" s="91">
        <f>IFERROR(INDEX(Firms!$T$5:$T$1004,MATCH(917,Firms!$U$5:$U$1004,0))&amp;"","")</f>
        <v/>
      </c>
    </row>
    <row r="922">
      <c r="A922" s="79">
        <f>IF(B922="","",918)</f>
        <v/>
      </c>
      <c r="B922" s="91">
        <f>IFERROR(INDEX(Firms!$A$5:$A$1004,MATCH(918,Firms!$U$5:$U$1004,0))&amp;"","")</f>
        <v/>
      </c>
      <c r="C922" s="88">
        <f>IFERROR(IF(INDEX(Firms!$R$5:$R$1004,MATCH(918,Firms!$U$5:$U$1004,0))="","",INDEX(Firms!$R$5:$R$1004,MATCH(918,Firms!$U$5:$U$1004,0))),"")</f>
        <v/>
      </c>
      <c r="D922" s="91">
        <f>IFERROR(INDEX(Firms!$S$5:$S$1004,MATCH(918,Firms!$U$5:$U$1004,0))&amp;"","")</f>
        <v/>
      </c>
      <c r="E922" s="91">
        <f>IFERROR(INDEX(Firms!$C$5:$C$1004,MATCH(918,Firms!$U$5:$U$1004,0))&amp;"","")</f>
        <v/>
      </c>
      <c r="F922" s="79">
        <f>IFERROR(INDEX(Firms!$N$5:$N$1004,MATCH(918,Firms!$U$5:$U$1004,0))&amp;"","")</f>
        <v/>
      </c>
      <c r="G922" s="79">
        <f>IFERROR(INDEX(Firms!$P$5:$P$1004,MATCH(918,Firms!$U$5:$U$1004,0))&amp;"","")</f>
        <v/>
      </c>
      <c r="H922" s="91">
        <f>IFERROR(INDEX(Firms!$T$5:$T$1004,MATCH(918,Firms!$U$5:$U$1004,0))&amp;"","")</f>
        <v/>
      </c>
    </row>
    <row r="923">
      <c r="A923" s="79">
        <f>IF(B923="","",919)</f>
        <v/>
      </c>
      <c r="B923" s="91">
        <f>IFERROR(INDEX(Firms!$A$5:$A$1004,MATCH(919,Firms!$U$5:$U$1004,0))&amp;"","")</f>
        <v/>
      </c>
      <c r="C923" s="88">
        <f>IFERROR(IF(INDEX(Firms!$R$5:$R$1004,MATCH(919,Firms!$U$5:$U$1004,0))="","",INDEX(Firms!$R$5:$R$1004,MATCH(919,Firms!$U$5:$U$1004,0))),"")</f>
        <v/>
      </c>
      <c r="D923" s="91">
        <f>IFERROR(INDEX(Firms!$S$5:$S$1004,MATCH(919,Firms!$U$5:$U$1004,0))&amp;"","")</f>
        <v/>
      </c>
      <c r="E923" s="91">
        <f>IFERROR(INDEX(Firms!$C$5:$C$1004,MATCH(919,Firms!$U$5:$U$1004,0))&amp;"","")</f>
        <v/>
      </c>
      <c r="F923" s="79">
        <f>IFERROR(INDEX(Firms!$N$5:$N$1004,MATCH(919,Firms!$U$5:$U$1004,0))&amp;"","")</f>
        <v/>
      </c>
      <c r="G923" s="79">
        <f>IFERROR(INDEX(Firms!$P$5:$P$1004,MATCH(919,Firms!$U$5:$U$1004,0))&amp;"","")</f>
        <v/>
      </c>
      <c r="H923" s="91">
        <f>IFERROR(INDEX(Firms!$T$5:$T$1004,MATCH(919,Firms!$U$5:$U$1004,0))&amp;"","")</f>
        <v/>
      </c>
    </row>
    <row r="924">
      <c r="A924" s="79">
        <f>IF(B924="","",920)</f>
        <v/>
      </c>
      <c r="B924" s="91">
        <f>IFERROR(INDEX(Firms!$A$5:$A$1004,MATCH(920,Firms!$U$5:$U$1004,0))&amp;"","")</f>
        <v/>
      </c>
      <c r="C924" s="88">
        <f>IFERROR(IF(INDEX(Firms!$R$5:$R$1004,MATCH(920,Firms!$U$5:$U$1004,0))="","",INDEX(Firms!$R$5:$R$1004,MATCH(920,Firms!$U$5:$U$1004,0))),"")</f>
        <v/>
      </c>
      <c r="D924" s="91">
        <f>IFERROR(INDEX(Firms!$S$5:$S$1004,MATCH(920,Firms!$U$5:$U$1004,0))&amp;"","")</f>
        <v/>
      </c>
      <c r="E924" s="91">
        <f>IFERROR(INDEX(Firms!$C$5:$C$1004,MATCH(920,Firms!$U$5:$U$1004,0))&amp;"","")</f>
        <v/>
      </c>
      <c r="F924" s="79">
        <f>IFERROR(INDEX(Firms!$N$5:$N$1004,MATCH(920,Firms!$U$5:$U$1004,0))&amp;"","")</f>
        <v/>
      </c>
      <c r="G924" s="79">
        <f>IFERROR(INDEX(Firms!$P$5:$P$1004,MATCH(920,Firms!$U$5:$U$1004,0))&amp;"","")</f>
        <v/>
      </c>
      <c r="H924" s="91">
        <f>IFERROR(INDEX(Firms!$T$5:$T$1004,MATCH(920,Firms!$U$5:$U$1004,0))&amp;"","")</f>
        <v/>
      </c>
    </row>
    <row r="925">
      <c r="A925" s="79">
        <f>IF(B925="","",921)</f>
        <v/>
      </c>
      <c r="B925" s="91">
        <f>IFERROR(INDEX(Firms!$A$5:$A$1004,MATCH(921,Firms!$U$5:$U$1004,0))&amp;"","")</f>
        <v/>
      </c>
      <c r="C925" s="88">
        <f>IFERROR(IF(INDEX(Firms!$R$5:$R$1004,MATCH(921,Firms!$U$5:$U$1004,0))="","",INDEX(Firms!$R$5:$R$1004,MATCH(921,Firms!$U$5:$U$1004,0))),"")</f>
        <v/>
      </c>
      <c r="D925" s="91">
        <f>IFERROR(INDEX(Firms!$S$5:$S$1004,MATCH(921,Firms!$U$5:$U$1004,0))&amp;"","")</f>
        <v/>
      </c>
      <c r="E925" s="91">
        <f>IFERROR(INDEX(Firms!$C$5:$C$1004,MATCH(921,Firms!$U$5:$U$1004,0))&amp;"","")</f>
        <v/>
      </c>
      <c r="F925" s="79">
        <f>IFERROR(INDEX(Firms!$N$5:$N$1004,MATCH(921,Firms!$U$5:$U$1004,0))&amp;"","")</f>
        <v/>
      </c>
      <c r="G925" s="79">
        <f>IFERROR(INDEX(Firms!$P$5:$P$1004,MATCH(921,Firms!$U$5:$U$1004,0))&amp;"","")</f>
        <v/>
      </c>
      <c r="H925" s="91">
        <f>IFERROR(INDEX(Firms!$T$5:$T$1004,MATCH(921,Firms!$U$5:$U$1004,0))&amp;"","")</f>
        <v/>
      </c>
    </row>
    <row r="926">
      <c r="A926" s="79">
        <f>IF(B926="","",922)</f>
        <v/>
      </c>
      <c r="B926" s="91">
        <f>IFERROR(INDEX(Firms!$A$5:$A$1004,MATCH(922,Firms!$U$5:$U$1004,0))&amp;"","")</f>
        <v/>
      </c>
      <c r="C926" s="88">
        <f>IFERROR(IF(INDEX(Firms!$R$5:$R$1004,MATCH(922,Firms!$U$5:$U$1004,0))="","",INDEX(Firms!$R$5:$R$1004,MATCH(922,Firms!$U$5:$U$1004,0))),"")</f>
        <v/>
      </c>
      <c r="D926" s="91">
        <f>IFERROR(INDEX(Firms!$S$5:$S$1004,MATCH(922,Firms!$U$5:$U$1004,0))&amp;"","")</f>
        <v/>
      </c>
      <c r="E926" s="91">
        <f>IFERROR(INDEX(Firms!$C$5:$C$1004,MATCH(922,Firms!$U$5:$U$1004,0))&amp;"","")</f>
        <v/>
      </c>
      <c r="F926" s="79">
        <f>IFERROR(INDEX(Firms!$N$5:$N$1004,MATCH(922,Firms!$U$5:$U$1004,0))&amp;"","")</f>
        <v/>
      </c>
      <c r="G926" s="79">
        <f>IFERROR(INDEX(Firms!$P$5:$P$1004,MATCH(922,Firms!$U$5:$U$1004,0))&amp;"","")</f>
        <v/>
      </c>
      <c r="H926" s="91">
        <f>IFERROR(INDEX(Firms!$T$5:$T$1004,MATCH(922,Firms!$U$5:$U$1004,0))&amp;"","")</f>
        <v/>
      </c>
    </row>
    <row r="927">
      <c r="A927" s="79">
        <f>IF(B927="","",923)</f>
        <v/>
      </c>
      <c r="B927" s="91">
        <f>IFERROR(INDEX(Firms!$A$5:$A$1004,MATCH(923,Firms!$U$5:$U$1004,0))&amp;"","")</f>
        <v/>
      </c>
      <c r="C927" s="88">
        <f>IFERROR(IF(INDEX(Firms!$R$5:$R$1004,MATCH(923,Firms!$U$5:$U$1004,0))="","",INDEX(Firms!$R$5:$R$1004,MATCH(923,Firms!$U$5:$U$1004,0))),"")</f>
        <v/>
      </c>
      <c r="D927" s="91">
        <f>IFERROR(INDEX(Firms!$S$5:$S$1004,MATCH(923,Firms!$U$5:$U$1004,0))&amp;"","")</f>
        <v/>
      </c>
      <c r="E927" s="91">
        <f>IFERROR(INDEX(Firms!$C$5:$C$1004,MATCH(923,Firms!$U$5:$U$1004,0))&amp;"","")</f>
        <v/>
      </c>
      <c r="F927" s="79">
        <f>IFERROR(INDEX(Firms!$N$5:$N$1004,MATCH(923,Firms!$U$5:$U$1004,0))&amp;"","")</f>
        <v/>
      </c>
      <c r="G927" s="79">
        <f>IFERROR(INDEX(Firms!$P$5:$P$1004,MATCH(923,Firms!$U$5:$U$1004,0))&amp;"","")</f>
        <v/>
      </c>
      <c r="H927" s="91">
        <f>IFERROR(INDEX(Firms!$T$5:$T$1004,MATCH(923,Firms!$U$5:$U$1004,0))&amp;"","")</f>
        <v/>
      </c>
    </row>
    <row r="928">
      <c r="A928" s="79">
        <f>IF(B928="","",924)</f>
        <v/>
      </c>
      <c r="B928" s="91">
        <f>IFERROR(INDEX(Firms!$A$5:$A$1004,MATCH(924,Firms!$U$5:$U$1004,0))&amp;"","")</f>
        <v/>
      </c>
      <c r="C928" s="88">
        <f>IFERROR(IF(INDEX(Firms!$R$5:$R$1004,MATCH(924,Firms!$U$5:$U$1004,0))="","",INDEX(Firms!$R$5:$R$1004,MATCH(924,Firms!$U$5:$U$1004,0))),"")</f>
        <v/>
      </c>
      <c r="D928" s="91">
        <f>IFERROR(INDEX(Firms!$S$5:$S$1004,MATCH(924,Firms!$U$5:$U$1004,0))&amp;"","")</f>
        <v/>
      </c>
      <c r="E928" s="91">
        <f>IFERROR(INDEX(Firms!$C$5:$C$1004,MATCH(924,Firms!$U$5:$U$1004,0))&amp;"","")</f>
        <v/>
      </c>
      <c r="F928" s="79">
        <f>IFERROR(INDEX(Firms!$N$5:$N$1004,MATCH(924,Firms!$U$5:$U$1004,0))&amp;"","")</f>
        <v/>
      </c>
      <c r="G928" s="79">
        <f>IFERROR(INDEX(Firms!$P$5:$P$1004,MATCH(924,Firms!$U$5:$U$1004,0))&amp;"","")</f>
        <v/>
      </c>
      <c r="H928" s="91">
        <f>IFERROR(INDEX(Firms!$T$5:$T$1004,MATCH(924,Firms!$U$5:$U$1004,0))&amp;"","")</f>
        <v/>
      </c>
    </row>
    <row r="929">
      <c r="A929" s="79">
        <f>IF(B929="","",925)</f>
        <v/>
      </c>
      <c r="B929" s="91">
        <f>IFERROR(INDEX(Firms!$A$5:$A$1004,MATCH(925,Firms!$U$5:$U$1004,0))&amp;"","")</f>
        <v/>
      </c>
      <c r="C929" s="88">
        <f>IFERROR(IF(INDEX(Firms!$R$5:$R$1004,MATCH(925,Firms!$U$5:$U$1004,0))="","",INDEX(Firms!$R$5:$R$1004,MATCH(925,Firms!$U$5:$U$1004,0))),"")</f>
        <v/>
      </c>
      <c r="D929" s="91">
        <f>IFERROR(INDEX(Firms!$S$5:$S$1004,MATCH(925,Firms!$U$5:$U$1004,0))&amp;"","")</f>
        <v/>
      </c>
      <c r="E929" s="91">
        <f>IFERROR(INDEX(Firms!$C$5:$C$1004,MATCH(925,Firms!$U$5:$U$1004,0))&amp;"","")</f>
        <v/>
      </c>
      <c r="F929" s="79">
        <f>IFERROR(INDEX(Firms!$N$5:$N$1004,MATCH(925,Firms!$U$5:$U$1004,0))&amp;"","")</f>
        <v/>
      </c>
      <c r="G929" s="79">
        <f>IFERROR(INDEX(Firms!$P$5:$P$1004,MATCH(925,Firms!$U$5:$U$1004,0))&amp;"","")</f>
        <v/>
      </c>
      <c r="H929" s="91">
        <f>IFERROR(INDEX(Firms!$T$5:$T$1004,MATCH(925,Firms!$U$5:$U$1004,0))&amp;"","")</f>
        <v/>
      </c>
    </row>
    <row r="930">
      <c r="A930" s="79">
        <f>IF(B930="","",926)</f>
        <v/>
      </c>
      <c r="B930" s="91">
        <f>IFERROR(INDEX(Firms!$A$5:$A$1004,MATCH(926,Firms!$U$5:$U$1004,0))&amp;"","")</f>
        <v/>
      </c>
      <c r="C930" s="88">
        <f>IFERROR(IF(INDEX(Firms!$R$5:$R$1004,MATCH(926,Firms!$U$5:$U$1004,0))="","",INDEX(Firms!$R$5:$R$1004,MATCH(926,Firms!$U$5:$U$1004,0))),"")</f>
        <v/>
      </c>
      <c r="D930" s="91">
        <f>IFERROR(INDEX(Firms!$S$5:$S$1004,MATCH(926,Firms!$U$5:$U$1004,0))&amp;"","")</f>
        <v/>
      </c>
      <c r="E930" s="91">
        <f>IFERROR(INDEX(Firms!$C$5:$C$1004,MATCH(926,Firms!$U$5:$U$1004,0))&amp;"","")</f>
        <v/>
      </c>
      <c r="F930" s="79">
        <f>IFERROR(INDEX(Firms!$N$5:$N$1004,MATCH(926,Firms!$U$5:$U$1004,0))&amp;"","")</f>
        <v/>
      </c>
      <c r="G930" s="79">
        <f>IFERROR(INDEX(Firms!$P$5:$P$1004,MATCH(926,Firms!$U$5:$U$1004,0))&amp;"","")</f>
        <v/>
      </c>
      <c r="H930" s="91">
        <f>IFERROR(INDEX(Firms!$T$5:$T$1004,MATCH(926,Firms!$U$5:$U$1004,0))&amp;"","")</f>
        <v/>
      </c>
    </row>
    <row r="931">
      <c r="A931" s="79">
        <f>IF(B931="","",927)</f>
        <v/>
      </c>
      <c r="B931" s="91">
        <f>IFERROR(INDEX(Firms!$A$5:$A$1004,MATCH(927,Firms!$U$5:$U$1004,0))&amp;"","")</f>
        <v/>
      </c>
      <c r="C931" s="88">
        <f>IFERROR(IF(INDEX(Firms!$R$5:$R$1004,MATCH(927,Firms!$U$5:$U$1004,0))="","",INDEX(Firms!$R$5:$R$1004,MATCH(927,Firms!$U$5:$U$1004,0))),"")</f>
        <v/>
      </c>
      <c r="D931" s="91">
        <f>IFERROR(INDEX(Firms!$S$5:$S$1004,MATCH(927,Firms!$U$5:$U$1004,0))&amp;"","")</f>
        <v/>
      </c>
      <c r="E931" s="91">
        <f>IFERROR(INDEX(Firms!$C$5:$C$1004,MATCH(927,Firms!$U$5:$U$1004,0))&amp;"","")</f>
        <v/>
      </c>
      <c r="F931" s="79">
        <f>IFERROR(INDEX(Firms!$N$5:$N$1004,MATCH(927,Firms!$U$5:$U$1004,0))&amp;"","")</f>
        <v/>
      </c>
      <c r="G931" s="79">
        <f>IFERROR(INDEX(Firms!$P$5:$P$1004,MATCH(927,Firms!$U$5:$U$1004,0))&amp;"","")</f>
        <v/>
      </c>
      <c r="H931" s="91">
        <f>IFERROR(INDEX(Firms!$T$5:$T$1004,MATCH(927,Firms!$U$5:$U$1004,0))&amp;"","")</f>
        <v/>
      </c>
    </row>
    <row r="932">
      <c r="A932" s="79">
        <f>IF(B932="","",928)</f>
        <v/>
      </c>
      <c r="B932" s="91">
        <f>IFERROR(INDEX(Firms!$A$5:$A$1004,MATCH(928,Firms!$U$5:$U$1004,0))&amp;"","")</f>
        <v/>
      </c>
      <c r="C932" s="88">
        <f>IFERROR(IF(INDEX(Firms!$R$5:$R$1004,MATCH(928,Firms!$U$5:$U$1004,0))="","",INDEX(Firms!$R$5:$R$1004,MATCH(928,Firms!$U$5:$U$1004,0))),"")</f>
        <v/>
      </c>
      <c r="D932" s="91">
        <f>IFERROR(INDEX(Firms!$S$5:$S$1004,MATCH(928,Firms!$U$5:$U$1004,0))&amp;"","")</f>
        <v/>
      </c>
      <c r="E932" s="91">
        <f>IFERROR(INDEX(Firms!$C$5:$C$1004,MATCH(928,Firms!$U$5:$U$1004,0))&amp;"","")</f>
        <v/>
      </c>
      <c r="F932" s="79">
        <f>IFERROR(INDEX(Firms!$N$5:$N$1004,MATCH(928,Firms!$U$5:$U$1004,0))&amp;"","")</f>
        <v/>
      </c>
      <c r="G932" s="79">
        <f>IFERROR(INDEX(Firms!$P$5:$P$1004,MATCH(928,Firms!$U$5:$U$1004,0))&amp;"","")</f>
        <v/>
      </c>
      <c r="H932" s="91">
        <f>IFERROR(INDEX(Firms!$T$5:$T$1004,MATCH(928,Firms!$U$5:$U$1004,0))&amp;"","")</f>
        <v/>
      </c>
    </row>
    <row r="933">
      <c r="A933" s="79">
        <f>IF(B933="","",929)</f>
        <v/>
      </c>
      <c r="B933" s="91">
        <f>IFERROR(INDEX(Firms!$A$5:$A$1004,MATCH(929,Firms!$U$5:$U$1004,0))&amp;"","")</f>
        <v/>
      </c>
      <c r="C933" s="88">
        <f>IFERROR(IF(INDEX(Firms!$R$5:$R$1004,MATCH(929,Firms!$U$5:$U$1004,0))="","",INDEX(Firms!$R$5:$R$1004,MATCH(929,Firms!$U$5:$U$1004,0))),"")</f>
        <v/>
      </c>
      <c r="D933" s="91">
        <f>IFERROR(INDEX(Firms!$S$5:$S$1004,MATCH(929,Firms!$U$5:$U$1004,0))&amp;"","")</f>
        <v/>
      </c>
      <c r="E933" s="91">
        <f>IFERROR(INDEX(Firms!$C$5:$C$1004,MATCH(929,Firms!$U$5:$U$1004,0))&amp;"","")</f>
        <v/>
      </c>
      <c r="F933" s="79">
        <f>IFERROR(INDEX(Firms!$N$5:$N$1004,MATCH(929,Firms!$U$5:$U$1004,0))&amp;"","")</f>
        <v/>
      </c>
      <c r="G933" s="79">
        <f>IFERROR(INDEX(Firms!$P$5:$P$1004,MATCH(929,Firms!$U$5:$U$1004,0))&amp;"","")</f>
        <v/>
      </c>
      <c r="H933" s="91">
        <f>IFERROR(INDEX(Firms!$T$5:$T$1004,MATCH(929,Firms!$U$5:$U$1004,0))&amp;"","")</f>
        <v/>
      </c>
    </row>
    <row r="934">
      <c r="A934" s="79">
        <f>IF(B934="","",930)</f>
        <v/>
      </c>
      <c r="B934" s="91">
        <f>IFERROR(INDEX(Firms!$A$5:$A$1004,MATCH(930,Firms!$U$5:$U$1004,0))&amp;"","")</f>
        <v/>
      </c>
      <c r="C934" s="88">
        <f>IFERROR(IF(INDEX(Firms!$R$5:$R$1004,MATCH(930,Firms!$U$5:$U$1004,0))="","",INDEX(Firms!$R$5:$R$1004,MATCH(930,Firms!$U$5:$U$1004,0))),"")</f>
        <v/>
      </c>
      <c r="D934" s="91">
        <f>IFERROR(INDEX(Firms!$S$5:$S$1004,MATCH(930,Firms!$U$5:$U$1004,0))&amp;"","")</f>
        <v/>
      </c>
      <c r="E934" s="91">
        <f>IFERROR(INDEX(Firms!$C$5:$C$1004,MATCH(930,Firms!$U$5:$U$1004,0))&amp;"","")</f>
        <v/>
      </c>
      <c r="F934" s="79">
        <f>IFERROR(INDEX(Firms!$N$5:$N$1004,MATCH(930,Firms!$U$5:$U$1004,0))&amp;"","")</f>
        <v/>
      </c>
      <c r="G934" s="79">
        <f>IFERROR(INDEX(Firms!$P$5:$P$1004,MATCH(930,Firms!$U$5:$U$1004,0))&amp;"","")</f>
        <v/>
      </c>
      <c r="H934" s="91">
        <f>IFERROR(INDEX(Firms!$T$5:$T$1004,MATCH(930,Firms!$U$5:$U$1004,0))&amp;"","")</f>
        <v/>
      </c>
    </row>
    <row r="935">
      <c r="A935" s="79">
        <f>IF(B935="","",931)</f>
        <v/>
      </c>
      <c r="B935" s="91">
        <f>IFERROR(INDEX(Firms!$A$5:$A$1004,MATCH(931,Firms!$U$5:$U$1004,0))&amp;"","")</f>
        <v/>
      </c>
      <c r="C935" s="88">
        <f>IFERROR(IF(INDEX(Firms!$R$5:$R$1004,MATCH(931,Firms!$U$5:$U$1004,0))="","",INDEX(Firms!$R$5:$R$1004,MATCH(931,Firms!$U$5:$U$1004,0))),"")</f>
        <v/>
      </c>
      <c r="D935" s="91">
        <f>IFERROR(INDEX(Firms!$S$5:$S$1004,MATCH(931,Firms!$U$5:$U$1004,0))&amp;"","")</f>
        <v/>
      </c>
      <c r="E935" s="91">
        <f>IFERROR(INDEX(Firms!$C$5:$C$1004,MATCH(931,Firms!$U$5:$U$1004,0))&amp;"","")</f>
        <v/>
      </c>
      <c r="F935" s="79">
        <f>IFERROR(INDEX(Firms!$N$5:$N$1004,MATCH(931,Firms!$U$5:$U$1004,0))&amp;"","")</f>
        <v/>
      </c>
      <c r="G935" s="79">
        <f>IFERROR(INDEX(Firms!$P$5:$P$1004,MATCH(931,Firms!$U$5:$U$1004,0))&amp;"","")</f>
        <v/>
      </c>
      <c r="H935" s="91">
        <f>IFERROR(INDEX(Firms!$T$5:$T$1004,MATCH(931,Firms!$U$5:$U$1004,0))&amp;"","")</f>
        <v/>
      </c>
    </row>
    <row r="936">
      <c r="A936" s="79">
        <f>IF(B936="","",932)</f>
        <v/>
      </c>
      <c r="B936" s="91">
        <f>IFERROR(INDEX(Firms!$A$5:$A$1004,MATCH(932,Firms!$U$5:$U$1004,0))&amp;"","")</f>
        <v/>
      </c>
      <c r="C936" s="88">
        <f>IFERROR(IF(INDEX(Firms!$R$5:$R$1004,MATCH(932,Firms!$U$5:$U$1004,0))="","",INDEX(Firms!$R$5:$R$1004,MATCH(932,Firms!$U$5:$U$1004,0))),"")</f>
        <v/>
      </c>
      <c r="D936" s="91">
        <f>IFERROR(INDEX(Firms!$S$5:$S$1004,MATCH(932,Firms!$U$5:$U$1004,0))&amp;"","")</f>
        <v/>
      </c>
      <c r="E936" s="91">
        <f>IFERROR(INDEX(Firms!$C$5:$C$1004,MATCH(932,Firms!$U$5:$U$1004,0))&amp;"","")</f>
        <v/>
      </c>
      <c r="F936" s="79">
        <f>IFERROR(INDEX(Firms!$N$5:$N$1004,MATCH(932,Firms!$U$5:$U$1004,0))&amp;"","")</f>
        <v/>
      </c>
      <c r="G936" s="79">
        <f>IFERROR(INDEX(Firms!$P$5:$P$1004,MATCH(932,Firms!$U$5:$U$1004,0))&amp;"","")</f>
        <v/>
      </c>
      <c r="H936" s="91">
        <f>IFERROR(INDEX(Firms!$T$5:$T$1004,MATCH(932,Firms!$U$5:$U$1004,0))&amp;"","")</f>
        <v/>
      </c>
    </row>
    <row r="937">
      <c r="A937" s="79">
        <f>IF(B937="","",933)</f>
        <v/>
      </c>
      <c r="B937" s="91">
        <f>IFERROR(INDEX(Firms!$A$5:$A$1004,MATCH(933,Firms!$U$5:$U$1004,0))&amp;"","")</f>
        <v/>
      </c>
      <c r="C937" s="88">
        <f>IFERROR(IF(INDEX(Firms!$R$5:$R$1004,MATCH(933,Firms!$U$5:$U$1004,0))="","",INDEX(Firms!$R$5:$R$1004,MATCH(933,Firms!$U$5:$U$1004,0))),"")</f>
        <v/>
      </c>
      <c r="D937" s="91">
        <f>IFERROR(INDEX(Firms!$S$5:$S$1004,MATCH(933,Firms!$U$5:$U$1004,0))&amp;"","")</f>
        <v/>
      </c>
      <c r="E937" s="91">
        <f>IFERROR(INDEX(Firms!$C$5:$C$1004,MATCH(933,Firms!$U$5:$U$1004,0))&amp;"","")</f>
        <v/>
      </c>
      <c r="F937" s="79">
        <f>IFERROR(INDEX(Firms!$N$5:$N$1004,MATCH(933,Firms!$U$5:$U$1004,0))&amp;"","")</f>
        <v/>
      </c>
      <c r="G937" s="79">
        <f>IFERROR(INDEX(Firms!$P$5:$P$1004,MATCH(933,Firms!$U$5:$U$1004,0))&amp;"","")</f>
        <v/>
      </c>
      <c r="H937" s="91">
        <f>IFERROR(INDEX(Firms!$T$5:$T$1004,MATCH(933,Firms!$U$5:$U$1004,0))&amp;"","")</f>
        <v/>
      </c>
    </row>
    <row r="938">
      <c r="A938" s="79">
        <f>IF(B938="","",934)</f>
        <v/>
      </c>
      <c r="B938" s="91">
        <f>IFERROR(INDEX(Firms!$A$5:$A$1004,MATCH(934,Firms!$U$5:$U$1004,0))&amp;"","")</f>
        <v/>
      </c>
      <c r="C938" s="88">
        <f>IFERROR(IF(INDEX(Firms!$R$5:$R$1004,MATCH(934,Firms!$U$5:$U$1004,0))="","",INDEX(Firms!$R$5:$R$1004,MATCH(934,Firms!$U$5:$U$1004,0))),"")</f>
        <v/>
      </c>
      <c r="D938" s="91">
        <f>IFERROR(INDEX(Firms!$S$5:$S$1004,MATCH(934,Firms!$U$5:$U$1004,0))&amp;"","")</f>
        <v/>
      </c>
      <c r="E938" s="91">
        <f>IFERROR(INDEX(Firms!$C$5:$C$1004,MATCH(934,Firms!$U$5:$U$1004,0))&amp;"","")</f>
        <v/>
      </c>
      <c r="F938" s="79">
        <f>IFERROR(INDEX(Firms!$N$5:$N$1004,MATCH(934,Firms!$U$5:$U$1004,0))&amp;"","")</f>
        <v/>
      </c>
      <c r="G938" s="79">
        <f>IFERROR(INDEX(Firms!$P$5:$P$1004,MATCH(934,Firms!$U$5:$U$1004,0))&amp;"","")</f>
        <v/>
      </c>
      <c r="H938" s="91">
        <f>IFERROR(INDEX(Firms!$T$5:$T$1004,MATCH(934,Firms!$U$5:$U$1004,0))&amp;"","")</f>
        <v/>
      </c>
    </row>
    <row r="939">
      <c r="A939" s="79">
        <f>IF(B939="","",935)</f>
        <v/>
      </c>
      <c r="B939" s="91">
        <f>IFERROR(INDEX(Firms!$A$5:$A$1004,MATCH(935,Firms!$U$5:$U$1004,0))&amp;"","")</f>
        <v/>
      </c>
      <c r="C939" s="88">
        <f>IFERROR(IF(INDEX(Firms!$R$5:$R$1004,MATCH(935,Firms!$U$5:$U$1004,0))="","",INDEX(Firms!$R$5:$R$1004,MATCH(935,Firms!$U$5:$U$1004,0))),"")</f>
        <v/>
      </c>
      <c r="D939" s="91">
        <f>IFERROR(INDEX(Firms!$S$5:$S$1004,MATCH(935,Firms!$U$5:$U$1004,0))&amp;"","")</f>
        <v/>
      </c>
      <c r="E939" s="91">
        <f>IFERROR(INDEX(Firms!$C$5:$C$1004,MATCH(935,Firms!$U$5:$U$1004,0))&amp;"","")</f>
        <v/>
      </c>
      <c r="F939" s="79">
        <f>IFERROR(INDEX(Firms!$N$5:$N$1004,MATCH(935,Firms!$U$5:$U$1004,0))&amp;"","")</f>
        <v/>
      </c>
      <c r="G939" s="79">
        <f>IFERROR(INDEX(Firms!$P$5:$P$1004,MATCH(935,Firms!$U$5:$U$1004,0))&amp;"","")</f>
        <v/>
      </c>
      <c r="H939" s="91">
        <f>IFERROR(INDEX(Firms!$T$5:$T$1004,MATCH(935,Firms!$U$5:$U$1004,0))&amp;"","")</f>
        <v/>
      </c>
    </row>
    <row r="940">
      <c r="A940" s="79">
        <f>IF(B940="","",936)</f>
        <v/>
      </c>
      <c r="B940" s="91">
        <f>IFERROR(INDEX(Firms!$A$5:$A$1004,MATCH(936,Firms!$U$5:$U$1004,0))&amp;"","")</f>
        <v/>
      </c>
      <c r="C940" s="88">
        <f>IFERROR(IF(INDEX(Firms!$R$5:$R$1004,MATCH(936,Firms!$U$5:$U$1004,0))="","",INDEX(Firms!$R$5:$R$1004,MATCH(936,Firms!$U$5:$U$1004,0))),"")</f>
        <v/>
      </c>
      <c r="D940" s="91">
        <f>IFERROR(INDEX(Firms!$S$5:$S$1004,MATCH(936,Firms!$U$5:$U$1004,0))&amp;"","")</f>
        <v/>
      </c>
      <c r="E940" s="91">
        <f>IFERROR(INDEX(Firms!$C$5:$C$1004,MATCH(936,Firms!$U$5:$U$1004,0))&amp;"","")</f>
        <v/>
      </c>
      <c r="F940" s="79">
        <f>IFERROR(INDEX(Firms!$N$5:$N$1004,MATCH(936,Firms!$U$5:$U$1004,0))&amp;"","")</f>
        <v/>
      </c>
      <c r="G940" s="79">
        <f>IFERROR(INDEX(Firms!$P$5:$P$1004,MATCH(936,Firms!$U$5:$U$1004,0))&amp;"","")</f>
        <v/>
      </c>
      <c r="H940" s="91">
        <f>IFERROR(INDEX(Firms!$T$5:$T$1004,MATCH(936,Firms!$U$5:$U$1004,0))&amp;"","")</f>
        <v/>
      </c>
    </row>
    <row r="941">
      <c r="A941" s="79">
        <f>IF(B941="","",937)</f>
        <v/>
      </c>
      <c r="B941" s="91">
        <f>IFERROR(INDEX(Firms!$A$5:$A$1004,MATCH(937,Firms!$U$5:$U$1004,0))&amp;"","")</f>
        <v/>
      </c>
      <c r="C941" s="88">
        <f>IFERROR(IF(INDEX(Firms!$R$5:$R$1004,MATCH(937,Firms!$U$5:$U$1004,0))="","",INDEX(Firms!$R$5:$R$1004,MATCH(937,Firms!$U$5:$U$1004,0))),"")</f>
        <v/>
      </c>
      <c r="D941" s="91">
        <f>IFERROR(INDEX(Firms!$S$5:$S$1004,MATCH(937,Firms!$U$5:$U$1004,0))&amp;"","")</f>
        <v/>
      </c>
      <c r="E941" s="91">
        <f>IFERROR(INDEX(Firms!$C$5:$C$1004,MATCH(937,Firms!$U$5:$U$1004,0))&amp;"","")</f>
        <v/>
      </c>
      <c r="F941" s="79">
        <f>IFERROR(INDEX(Firms!$N$5:$N$1004,MATCH(937,Firms!$U$5:$U$1004,0))&amp;"","")</f>
        <v/>
      </c>
      <c r="G941" s="79">
        <f>IFERROR(INDEX(Firms!$P$5:$P$1004,MATCH(937,Firms!$U$5:$U$1004,0))&amp;"","")</f>
        <v/>
      </c>
      <c r="H941" s="91">
        <f>IFERROR(INDEX(Firms!$T$5:$T$1004,MATCH(937,Firms!$U$5:$U$1004,0))&amp;"","")</f>
        <v/>
      </c>
    </row>
    <row r="942">
      <c r="A942" s="79">
        <f>IF(B942="","",938)</f>
        <v/>
      </c>
      <c r="B942" s="91">
        <f>IFERROR(INDEX(Firms!$A$5:$A$1004,MATCH(938,Firms!$U$5:$U$1004,0))&amp;"","")</f>
        <v/>
      </c>
      <c r="C942" s="88">
        <f>IFERROR(IF(INDEX(Firms!$R$5:$R$1004,MATCH(938,Firms!$U$5:$U$1004,0))="","",INDEX(Firms!$R$5:$R$1004,MATCH(938,Firms!$U$5:$U$1004,0))),"")</f>
        <v/>
      </c>
      <c r="D942" s="91">
        <f>IFERROR(INDEX(Firms!$S$5:$S$1004,MATCH(938,Firms!$U$5:$U$1004,0))&amp;"","")</f>
        <v/>
      </c>
      <c r="E942" s="91">
        <f>IFERROR(INDEX(Firms!$C$5:$C$1004,MATCH(938,Firms!$U$5:$U$1004,0))&amp;"","")</f>
        <v/>
      </c>
      <c r="F942" s="79">
        <f>IFERROR(INDEX(Firms!$N$5:$N$1004,MATCH(938,Firms!$U$5:$U$1004,0))&amp;"","")</f>
        <v/>
      </c>
      <c r="G942" s="79">
        <f>IFERROR(INDEX(Firms!$P$5:$P$1004,MATCH(938,Firms!$U$5:$U$1004,0))&amp;"","")</f>
        <v/>
      </c>
      <c r="H942" s="91">
        <f>IFERROR(INDEX(Firms!$T$5:$T$1004,MATCH(938,Firms!$U$5:$U$1004,0))&amp;"","")</f>
        <v/>
      </c>
    </row>
    <row r="943">
      <c r="A943" s="79">
        <f>IF(B943="","",939)</f>
        <v/>
      </c>
      <c r="B943" s="91">
        <f>IFERROR(INDEX(Firms!$A$5:$A$1004,MATCH(939,Firms!$U$5:$U$1004,0))&amp;"","")</f>
        <v/>
      </c>
      <c r="C943" s="88">
        <f>IFERROR(IF(INDEX(Firms!$R$5:$R$1004,MATCH(939,Firms!$U$5:$U$1004,0))="","",INDEX(Firms!$R$5:$R$1004,MATCH(939,Firms!$U$5:$U$1004,0))),"")</f>
        <v/>
      </c>
      <c r="D943" s="91">
        <f>IFERROR(INDEX(Firms!$S$5:$S$1004,MATCH(939,Firms!$U$5:$U$1004,0))&amp;"","")</f>
        <v/>
      </c>
      <c r="E943" s="91">
        <f>IFERROR(INDEX(Firms!$C$5:$C$1004,MATCH(939,Firms!$U$5:$U$1004,0))&amp;"","")</f>
        <v/>
      </c>
      <c r="F943" s="79">
        <f>IFERROR(INDEX(Firms!$N$5:$N$1004,MATCH(939,Firms!$U$5:$U$1004,0))&amp;"","")</f>
        <v/>
      </c>
      <c r="G943" s="79">
        <f>IFERROR(INDEX(Firms!$P$5:$P$1004,MATCH(939,Firms!$U$5:$U$1004,0))&amp;"","")</f>
        <v/>
      </c>
      <c r="H943" s="91">
        <f>IFERROR(INDEX(Firms!$T$5:$T$1004,MATCH(939,Firms!$U$5:$U$1004,0))&amp;"","")</f>
        <v/>
      </c>
    </row>
    <row r="944">
      <c r="A944" s="79">
        <f>IF(B944="","",940)</f>
        <v/>
      </c>
      <c r="B944" s="91">
        <f>IFERROR(INDEX(Firms!$A$5:$A$1004,MATCH(940,Firms!$U$5:$U$1004,0))&amp;"","")</f>
        <v/>
      </c>
      <c r="C944" s="88">
        <f>IFERROR(IF(INDEX(Firms!$R$5:$R$1004,MATCH(940,Firms!$U$5:$U$1004,0))="","",INDEX(Firms!$R$5:$R$1004,MATCH(940,Firms!$U$5:$U$1004,0))),"")</f>
        <v/>
      </c>
      <c r="D944" s="91">
        <f>IFERROR(INDEX(Firms!$S$5:$S$1004,MATCH(940,Firms!$U$5:$U$1004,0))&amp;"","")</f>
        <v/>
      </c>
      <c r="E944" s="91">
        <f>IFERROR(INDEX(Firms!$C$5:$C$1004,MATCH(940,Firms!$U$5:$U$1004,0))&amp;"","")</f>
        <v/>
      </c>
      <c r="F944" s="79">
        <f>IFERROR(INDEX(Firms!$N$5:$N$1004,MATCH(940,Firms!$U$5:$U$1004,0))&amp;"","")</f>
        <v/>
      </c>
      <c r="G944" s="79">
        <f>IFERROR(INDEX(Firms!$P$5:$P$1004,MATCH(940,Firms!$U$5:$U$1004,0))&amp;"","")</f>
        <v/>
      </c>
      <c r="H944" s="91">
        <f>IFERROR(INDEX(Firms!$T$5:$T$1004,MATCH(940,Firms!$U$5:$U$1004,0))&amp;"","")</f>
        <v/>
      </c>
    </row>
    <row r="945">
      <c r="A945" s="79">
        <f>IF(B945="","",941)</f>
        <v/>
      </c>
      <c r="B945" s="91">
        <f>IFERROR(INDEX(Firms!$A$5:$A$1004,MATCH(941,Firms!$U$5:$U$1004,0))&amp;"","")</f>
        <v/>
      </c>
      <c r="C945" s="88">
        <f>IFERROR(IF(INDEX(Firms!$R$5:$R$1004,MATCH(941,Firms!$U$5:$U$1004,0))="","",INDEX(Firms!$R$5:$R$1004,MATCH(941,Firms!$U$5:$U$1004,0))),"")</f>
        <v/>
      </c>
      <c r="D945" s="91">
        <f>IFERROR(INDEX(Firms!$S$5:$S$1004,MATCH(941,Firms!$U$5:$U$1004,0))&amp;"","")</f>
        <v/>
      </c>
      <c r="E945" s="91">
        <f>IFERROR(INDEX(Firms!$C$5:$C$1004,MATCH(941,Firms!$U$5:$U$1004,0))&amp;"","")</f>
        <v/>
      </c>
      <c r="F945" s="79">
        <f>IFERROR(INDEX(Firms!$N$5:$N$1004,MATCH(941,Firms!$U$5:$U$1004,0))&amp;"","")</f>
        <v/>
      </c>
      <c r="G945" s="79">
        <f>IFERROR(INDEX(Firms!$P$5:$P$1004,MATCH(941,Firms!$U$5:$U$1004,0))&amp;"","")</f>
        <v/>
      </c>
      <c r="H945" s="91">
        <f>IFERROR(INDEX(Firms!$T$5:$T$1004,MATCH(941,Firms!$U$5:$U$1004,0))&amp;"","")</f>
        <v/>
      </c>
    </row>
    <row r="946">
      <c r="A946" s="79">
        <f>IF(B946="","",942)</f>
        <v/>
      </c>
      <c r="B946" s="91">
        <f>IFERROR(INDEX(Firms!$A$5:$A$1004,MATCH(942,Firms!$U$5:$U$1004,0))&amp;"","")</f>
        <v/>
      </c>
      <c r="C946" s="88">
        <f>IFERROR(IF(INDEX(Firms!$R$5:$R$1004,MATCH(942,Firms!$U$5:$U$1004,0))="","",INDEX(Firms!$R$5:$R$1004,MATCH(942,Firms!$U$5:$U$1004,0))),"")</f>
        <v/>
      </c>
      <c r="D946" s="91">
        <f>IFERROR(INDEX(Firms!$S$5:$S$1004,MATCH(942,Firms!$U$5:$U$1004,0))&amp;"","")</f>
        <v/>
      </c>
      <c r="E946" s="91">
        <f>IFERROR(INDEX(Firms!$C$5:$C$1004,MATCH(942,Firms!$U$5:$U$1004,0))&amp;"","")</f>
        <v/>
      </c>
      <c r="F946" s="79">
        <f>IFERROR(INDEX(Firms!$N$5:$N$1004,MATCH(942,Firms!$U$5:$U$1004,0))&amp;"","")</f>
        <v/>
      </c>
      <c r="G946" s="79">
        <f>IFERROR(INDEX(Firms!$P$5:$P$1004,MATCH(942,Firms!$U$5:$U$1004,0))&amp;"","")</f>
        <v/>
      </c>
      <c r="H946" s="91">
        <f>IFERROR(INDEX(Firms!$T$5:$T$1004,MATCH(942,Firms!$U$5:$U$1004,0))&amp;"","")</f>
        <v/>
      </c>
    </row>
    <row r="947">
      <c r="A947" s="79">
        <f>IF(B947="","",943)</f>
        <v/>
      </c>
      <c r="B947" s="91">
        <f>IFERROR(INDEX(Firms!$A$5:$A$1004,MATCH(943,Firms!$U$5:$U$1004,0))&amp;"","")</f>
        <v/>
      </c>
      <c r="C947" s="88">
        <f>IFERROR(IF(INDEX(Firms!$R$5:$R$1004,MATCH(943,Firms!$U$5:$U$1004,0))="","",INDEX(Firms!$R$5:$R$1004,MATCH(943,Firms!$U$5:$U$1004,0))),"")</f>
        <v/>
      </c>
      <c r="D947" s="91">
        <f>IFERROR(INDEX(Firms!$S$5:$S$1004,MATCH(943,Firms!$U$5:$U$1004,0))&amp;"","")</f>
        <v/>
      </c>
      <c r="E947" s="91">
        <f>IFERROR(INDEX(Firms!$C$5:$C$1004,MATCH(943,Firms!$U$5:$U$1004,0))&amp;"","")</f>
        <v/>
      </c>
      <c r="F947" s="79">
        <f>IFERROR(INDEX(Firms!$N$5:$N$1004,MATCH(943,Firms!$U$5:$U$1004,0))&amp;"","")</f>
        <v/>
      </c>
      <c r="G947" s="79">
        <f>IFERROR(INDEX(Firms!$P$5:$P$1004,MATCH(943,Firms!$U$5:$U$1004,0))&amp;"","")</f>
        <v/>
      </c>
      <c r="H947" s="91">
        <f>IFERROR(INDEX(Firms!$T$5:$T$1004,MATCH(943,Firms!$U$5:$U$1004,0))&amp;"","")</f>
        <v/>
      </c>
    </row>
    <row r="948">
      <c r="A948" s="79">
        <f>IF(B948="","",944)</f>
        <v/>
      </c>
      <c r="B948" s="91">
        <f>IFERROR(INDEX(Firms!$A$5:$A$1004,MATCH(944,Firms!$U$5:$U$1004,0))&amp;"","")</f>
        <v/>
      </c>
      <c r="C948" s="88">
        <f>IFERROR(IF(INDEX(Firms!$R$5:$R$1004,MATCH(944,Firms!$U$5:$U$1004,0))="","",INDEX(Firms!$R$5:$R$1004,MATCH(944,Firms!$U$5:$U$1004,0))),"")</f>
        <v/>
      </c>
      <c r="D948" s="91">
        <f>IFERROR(INDEX(Firms!$S$5:$S$1004,MATCH(944,Firms!$U$5:$U$1004,0))&amp;"","")</f>
        <v/>
      </c>
      <c r="E948" s="91">
        <f>IFERROR(INDEX(Firms!$C$5:$C$1004,MATCH(944,Firms!$U$5:$U$1004,0))&amp;"","")</f>
        <v/>
      </c>
      <c r="F948" s="79">
        <f>IFERROR(INDEX(Firms!$N$5:$N$1004,MATCH(944,Firms!$U$5:$U$1004,0))&amp;"","")</f>
        <v/>
      </c>
      <c r="G948" s="79">
        <f>IFERROR(INDEX(Firms!$P$5:$P$1004,MATCH(944,Firms!$U$5:$U$1004,0))&amp;"","")</f>
        <v/>
      </c>
      <c r="H948" s="91">
        <f>IFERROR(INDEX(Firms!$T$5:$T$1004,MATCH(944,Firms!$U$5:$U$1004,0))&amp;"","")</f>
        <v/>
      </c>
    </row>
    <row r="949">
      <c r="A949" s="79">
        <f>IF(B949="","",945)</f>
        <v/>
      </c>
      <c r="B949" s="91">
        <f>IFERROR(INDEX(Firms!$A$5:$A$1004,MATCH(945,Firms!$U$5:$U$1004,0))&amp;"","")</f>
        <v/>
      </c>
      <c r="C949" s="88">
        <f>IFERROR(IF(INDEX(Firms!$R$5:$R$1004,MATCH(945,Firms!$U$5:$U$1004,0))="","",INDEX(Firms!$R$5:$R$1004,MATCH(945,Firms!$U$5:$U$1004,0))),"")</f>
        <v/>
      </c>
      <c r="D949" s="91">
        <f>IFERROR(INDEX(Firms!$S$5:$S$1004,MATCH(945,Firms!$U$5:$U$1004,0))&amp;"","")</f>
        <v/>
      </c>
      <c r="E949" s="91">
        <f>IFERROR(INDEX(Firms!$C$5:$C$1004,MATCH(945,Firms!$U$5:$U$1004,0))&amp;"","")</f>
        <v/>
      </c>
      <c r="F949" s="79">
        <f>IFERROR(INDEX(Firms!$N$5:$N$1004,MATCH(945,Firms!$U$5:$U$1004,0))&amp;"","")</f>
        <v/>
      </c>
      <c r="G949" s="79">
        <f>IFERROR(INDEX(Firms!$P$5:$P$1004,MATCH(945,Firms!$U$5:$U$1004,0))&amp;"","")</f>
        <v/>
      </c>
      <c r="H949" s="91">
        <f>IFERROR(INDEX(Firms!$T$5:$T$1004,MATCH(945,Firms!$U$5:$U$1004,0))&amp;"","")</f>
        <v/>
      </c>
    </row>
    <row r="950">
      <c r="A950" s="79">
        <f>IF(B950="","",946)</f>
        <v/>
      </c>
      <c r="B950" s="91">
        <f>IFERROR(INDEX(Firms!$A$5:$A$1004,MATCH(946,Firms!$U$5:$U$1004,0))&amp;"","")</f>
        <v/>
      </c>
      <c r="C950" s="88">
        <f>IFERROR(IF(INDEX(Firms!$R$5:$R$1004,MATCH(946,Firms!$U$5:$U$1004,0))="","",INDEX(Firms!$R$5:$R$1004,MATCH(946,Firms!$U$5:$U$1004,0))),"")</f>
        <v/>
      </c>
      <c r="D950" s="91">
        <f>IFERROR(INDEX(Firms!$S$5:$S$1004,MATCH(946,Firms!$U$5:$U$1004,0))&amp;"","")</f>
        <v/>
      </c>
      <c r="E950" s="91">
        <f>IFERROR(INDEX(Firms!$C$5:$C$1004,MATCH(946,Firms!$U$5:$U$1004,0))&amp;"","")</f>
        <v/>
      </c>
      <c r="F950" s="79">
        <f>IFERROR(INDEX(Firms!$N$5:$N$1004,MATCH(946,Firms!$U$5:$U$1004,0))&amp;"","")</f>
        <v/>
      </c>
      <c r="G950" s="79">
        <f>IFERROR(INDEX(Firms!$P$5:$P$1004,MATCH(946,Firms!$U$5:$U$1004,0))&amp;"","")</f>
        <v/>
      </c>
      <c r="H950" s="91">
        <f>IFERROR(INDEX(Firms!$T$5:$T$1004,MATCH(946,Firms!$U$5:$U$1004,0))&amp;"","")</f>
        <v/>
      </c>
    </row>
    <row r="951">
      <c r="A951" s="79">
        <f>IF(B951="","",947)</f>
        <v/>
      </c>
      <c r="B951" s="91">
        <f>IFERROR(INDEX(Firms!$A$5:$A$1004,MATCH(947,Firms!$U$5:$U$1004,0))&amp;"","")</f>
        <v/>
      </c>
      <c r="C951" s="88">
        <f>IFERROR(IF(INDEX(Firms!$R$5:$R$1004,MATCH(947,Firms!$U$5:$U$1004,0))="","",INDEX(Firms!$R$5:$R$1004,MATCH(947,Firms!$U$5:$U$1004,0))),"")</f>
        <v/>
      </c>
      <c r="D951" s="91">
        <f>IFERROR(INDEX(Firms!$S$5:$S$1004,MATCH(947,Firms!$U$5:$U$1004,0))&amp;"","")</f>
        <v/>
      </c>
      <c r="E951" s="91">
        <f>IFERROR(INDEX(Firms!$C$5:$C$1004,MATCH(947,Firms!$U$5:$U$1004,0))&amp;"","")</f>
        <v/>
      </c>
      <c r="F951" s="79">
        <f>IFERROR(INDEX(Firms!$N$5:$N$1004,MATCH(947,Firms!$U$5:$U$1004,0))&amp;"","")</f>
        <v/>
      </c>
      <c r="G951" s="79">
        <f>IFERROR(INDEX(Firms!$P$5:$P$1004,MATCH(947,Firms!$U$5:$U$1004,0))&amp;"","")</f>
        <v/>
      </c>
      <c r="H951" s="91">
        <f>IFERROR(INDEX(Firms!$T$5:$T$1004,MATCH(947,Firms!$U$5:$U$1004,0))&amp;"","")</f>
        <v/>
      </c>
    </row>
    <row r="952">
      <c r="A952" s="79">
        <f>IF(B952="","",948)</f>
        <v/>
      </c>
      <c r="B952" s="91">
        <f>IFERROR(INDEX(Firms!$A$5:$A$1004,MATCH(948,Firms!$U$5:$U$1004,0))&amp;"","")</f>
        <v/>
      </c>
      <c r="C952" s="88">
        <f>IFERROR(IF(INDEX(Firms!$R$5:$R$1004,MATCH(948,Firms!$U$5:$U$1004,0))="","",INDEX(Firms!$R$5:$R$1004,MATCH(948,Firms!$U$5:$U$1004,0))),"")</f>
        <v/>
      </c>
      <c r="D952" s="91">
        <f>IFERROR(INDEX(Firms!$S$5:$S$1004,MATCH(948,Firms!$U$5:$U$1004,0))&amp;"","")</f>
        <v/>
      </c>
      <c r="E952" s="91">
        <f>IFERROR(INDEX(Firms!$C$5:$C$1004,MATCH(948,Firms!$U$5:$U$1004,0))&amp;"","")</f>
        <v/>
      </c>
      <c r="F952" s="79">
        <f>IFERROR(INDEX(Firms!$N$5:$N$1004,MATCH(948,Firms!$U$5:$U$1004,0))&amp;"","")</f>
        <v/>
      </c>
      <c r="G952" s="79">
        <f>IFERROR(INDEX(Firms!$P$5:$P$1004,MATCH(948,Firms!$U$5:$U$1004,0))&amp;"","")</f>
        <v/>
      </c>
      <c r="H952" s="91">
        <f>IFERROR(INDEX(Firms!$T$5:$T$1004,MATCH(948,Firms!$U$5:$U$1004,0))&amp;"","")</f>
        <v/>
      </c>
    </row>
    <row r="953">
      <c r="A953" s="79">
        <f>IF(B953="","",949)</f>
        <v/>
      </c>
      <c r="B953" s="91">
        <f>IFERROR(INDEX(Firms!$A$5:$A$1004,MATCH(949,Firms!$U$5:$U$1004,0))&amp;"","")</f>
        <v/>
      </c>
      <c r="C953" s="88">
        <f>IFERROR(IF(INDEX(Firms!$R$5:$R$1004,MATCH(949,Firms!$U$5:$U$1004,0))="","",INDEX(Firms!$R$5:$R$1004,MATCH(949,Firms!$U$5:$U$1004,0))),"")</f>
        <v/>
      </c>
      <c r="D953" s="91">
        <f>IFERROR(INDEX(Firms!$S$5:$S$1004,MATCH(949,Firms!$U$5:$U$1004,0))&amp;"","")</f>
        <v/>
      </c>
      <c r="E953" s="91">
        <f>IFERROR(INDEX(Firms!$C$5:$C$1004,MATCH(949,Firms!$U$5:$U$1004,0))&amp;"","")</f>
        <v/>
      </c>
      <c r="F953" s="79">
        <f>IFERROR(INDEX(Firms!$N$5:$N$1004,MATCH(949,Firms!$U$5:$U$1004,0))&amp;"","")</f>
        <v/>
      </c>
      <c r="G953" s="79">
        <f>IFERROR(INDEX(Firms!$P$5:$P$1004,MATCH(949,Firms!$U$5:$U$1004,0))&amp;"","")</f>
        <v/>
      </c>
      <c r="H953" s="91">
        <f>IFERROR(INDEX(Firms!$T$5:$T$1004,MATCH(949,Firms!$U$5:$U$1004,0))&amp;"","")</f>
        <v/>
      </c>
    </row>
    <row r="954">
      <c r="A954" s="79">
        <f>IF(B954="","",950)</f>
        <v/>
      </c>
      <c r="B954" s="91">
        <f>IFERROR(INDEX(Firms!$A$5:$A$1004,MATCH(950,Firms!$U$5:$U$1004,0))&amp;"","")</f>
        <v/>
      </c>
      <c r="C954" s="88">
        <f>IFERROR(IF(INDEX(Firms!$R$5:$R$1004,MATCH(950,Firms!$U$5:$U$1004,0))="","",INDEX(Firms!$R$5:$R$1004,MATCH(950,Firms!$U$5:$U$1004,0))),"")</f>
        <v/>
      </c>
      <c r="D954" s="91">
        <f>IFERROR(INDEX(Firms!$S$5:$S$1004,MATCH(950,Firms!$U$5:$U$1004,0))&amp;"","")</f>
        <v/>
      </c>
      <c r="E954" s="91">
        <f>IFERROR(INDEX(Firms!$C$5:$C$1004,MATCH(950,Firms!$U$5:$U$1004,0))&amp;"","")</f>
        <v/>
      </c>
      <c r="F954" s="79">
        <f>IFERROR(INDEX(Firms!$N$5:$N$1004,MATCH(950,Firms!$U$5:$U$1004,0))&amp;"","")</f>
        <v/>
      </c>
      <c r="G954" s="79">
        <f>IFERROR(INDEX(Firms!$P$5:$P$1004,MATCH(950,Firms!$U$5:$U$1004,0))&amp;"","")</f>
        <v/>
      </c>
      <c r="H954" s="91">
        <f>IFERROR(INDEX(Firms!$T$5:$T$1004,MATCH(950,Firms!$U$5:$U$1004,0))&amp;"","")</f>
        <v/>
      </c>
    </row>
    <row r="955">
      <c r="A955" s="79">
        <f>IF(B955="","",951)</f>
        <v/>
      </c>
      <c r="B955" s="91">
        <f>IFERROR(INDEX(Firms!$A$5:$A$1004,MATCH(951,Firms!$U$5:$U$1004,0))&amp;"","")</f>
        <v/>
      </c>
      <c r="C955" s="88">
        <f>IFERROR(IF(INDEX(Firms!$R$5:$R$1004,MATCH(951,Firms!$U$5:$U$1004,0))="","",INDEX(Firms!$R$5:$R$1004,MATCH(951,Firms!$U$5:$U$1004,0))),"")</f>
        <v/>
      </c>
      <c r="D955" s="91">
        <f>IFERROR(INDEX(Firms!$S$5:$S$1004,MATCH(951,Firms!$U$5:$U$1004,0))&amp;"","")</f>
        <v/>
      </c>
      <c r="E955" s="91">
        <f>IFERROR(INDEX(Firms!$C$5:$C$1004,MATCH(951,Firms!$U$5:$U$1004,0))&amp;"","")</f>
        <v/>
      </c>
      <c r="F955" s="79">
        <f>IFERROR(INDEX(Firms!$N$5:$N$1004,MATCH(951,Firms!$U$5:$U$1004,0))&amp;"","")</f>
        <v/>
      </c>
      <c r="G955" s="79">
        <f>IFERROR(INDEX(Firms!$P$5:$P$1004,MATCH(951,Firms!$U$5:$U$1004,0))&amp;"","")</f>
        <v/>
      </c>
      <c r="H955" s="91">
        <f>IFERROR(INDEX(Firms!$T$5:$T$1004,MATCH(951,Firms!$U$5:$U$1004,0))&amp;"","")</f>
        <v/>
      </c>
    </row>
    <row r="956">
      <c r="A956" s="79">
        <f>IF(B956="","",952)</f>
        <v/>
      </c>
      <c r="B956" s="91">
        <f>IFERROR(INDEX(Firms!$A$5:$A$1004,MATCH(952,Firms!$U$5:$U$1004,0))&amp;"","")</f>
        <v/>
      </c>
      <c r="C956" s="88">
        <f>IFERROR(IF(INDEX(Firms!$R$5:$R$1004,MATCH(952,Firms!$U$5:$U$1004,0))="","",INDEX(Firms!$R$5:$R$1004,MATCH(952,Firms!$U$5:$U$1004,0))),"")</f>
        <v/>
      </c>
      <c r="D956" s="91">
        <f>IFERROR(INDEX(Firms!$S$5:$S$1004,MATCH(952,Firms!$U$5:$U$1004,0))&amp;"","")</f>
        <v/>
      </c>
      <c r="E956" s="91">
        <f>IFERROR(INDEX(Firms!$C$5:$C$1004,MATCH(952,Firms!$U$5:$U$1004,0))&amp;"","")</f>
        <v/>
      </c>
      <c r="F956" s="79">
        <f>IFERROR(INDEX(Firms!$N$5:$N$1004,MATCH(952,Firms!$U$5:$U$1004,0))&amp;"","")</f>
        <v/>
      </c>
      <c r="G956" s="79">
        <f>IFERROR(INDEX(Firms!$P$5:$P$1004,MATCH(952,Firms!$U$5:$U$1004,0))&amp;"","")</f>
        <v/>
      </c>
      <c r="H956" s="91">
        <f>IFERROR(INDEX(Firms!$T$5:$T$1004,MATCH(952,Firms!$U$5:$U$1004,0))&amp;"","")</f>
        <v/>
      </c>
    </row>
    <row r="957">
      <c r="A957" s="79">
        <f>IF(B957="","",953)</f>
        <v/>
      </c>
      <c r="B957" s="91">
        <f>IFERROR(INDEX(Firms!$A$5:$A$1004,MATCH(953,Firms!$U$5:$U$1004,0))&amp;"","")</f>
        <v/>
      </c>
      <c r="C957" s="88">
        <f>IFERROR(IF(INDEX(Firms!$R$5:$R$1004,MATCH(953,Firms!$U$5:$U$1004,0))="","",INDEX(Firms!$R$5:$R$1004,MATCH(953,Firms!$U$5:$U$1004,0))),"")</f>
        <v/>
      </c>
      <c r="D957" s="91">
        <f>IFERROR(INDEX(Firms!$S$5:$S$1004,MATCH(953,Firms!$U$5:$U$1004,0))&amp;"","")</f>
        <v/>
      </c>
      <c r="E957" s="91">
        <f>IFERROR(INDEX(Firms!$C$5:$C$1004,MATCH(953,Firms!$U$5:$U$1004,0))&amp;"","")</f>
        <v/>
      </c>
      <c r="F957" s="79">
        <f>IFERROR(INDEX(Firms!$N$5:$N$1004,MATCH(953,Firms!$U$5:$U$1004,0))&amp;"","")</f>
        <v/>
      </c>
      <c r="G957" s="79">
        <f>IFERROR(INDEX(Firms!$P$5:$P$1004,MATCH(953,Firms!$U$5:$U$1004,0))&amp;"","")</f>
        <v/>
      </c>
      <c r="H957" s="91">
        <f>IFERROR(INDEX(Firms!$T$5:$T$1004,MATCH(953,Firms!$U$5:$U$1004,0))&amp;"","")</f>
        <v/>
      </c>
    </row>
    <row r="958">
      <c r="A958" s="79">
        <f>IF(B958="","",954)</f>
        <v/>
      </c>
      <c r="B958" s="91">
        <f>IFERROR(INDEX(Firms!$A$5:$A$1004,MATCH(954,Firms!$U$5:$U$1004,0))&amp;"","")</f>
        <v/>
      </c>
      <c r="C958" s="88">
        <f>IFERROR(IF(INDEX(Firms!$R$5:$R$1004,MATCH(954,Firms!$U$5:$U$1004,0))="","",INDEX(Firms!$R$5:$R$1004,MATCH(954,Firms!$U$5:$U$1004,0))),"")</f>
        <v/>
      </c>
      <c r="D958" s="91">
        <f>IFERROR(INDEX(Firms!$S$5:$S$1004,MATCH(954,Firms!$U$5:$U$1004,0))&amp;"","")</f>
        <v/>
      </c>
      <c r="E958" s="91">
        <f>IFERROR(INDEX(Firms!$C$5:$C$1004,MATCH(954,Firms!$U$5:$U$1004,0))&amp;"","")</f>
        <v/>
      </c>
      <c r="F958" s="79">
        <f>IFERROR(INDEX(Firms!$N$5:$N$1004,MATCH(954,Firms!$U$5:$U$1004,0))&amp;"","")</f>
        <v/>
      </c>
      <c r="G958" s="79">
        <f>IFERROR(INDEX(Firms!$P$5:$P$1004,MATCH(954,Firms!$U$5:$U$1004,0))&amp;"","")</f>
        <v/>
      </c>
      <c r="H958" s="91">
        <f>IFERROR(INDEX(Firms!$T$5:$T$1004,MATCH(954,Firms!$U$5:$U$1004,0))&amp;"","")</f>
        <v/>
      </c>
    </row>
    <row r="959">
      <c r="A959" s="79">
        <f>IF(B959="","",955)</f>
        <v/>
      </c>
      <c r="B959" s="91">
        <f>IFERROR(INDEX(Firms!$A$5:$A$1004,MATCH(955,Firms!$U$5:$U$1004,0))&amp;"","")</f>
        <v/>
      </c>
      <c r="C959" s="88">
        <f>IFERROR(IF(INDEX(Firms!$R$5:$R$1004,MATCH(955,Firms!$U$5:$U$1004,0))="","",INDEX(Firms!$R$5:$R$1004,MATCH(955,Firms!$U$5:$U$1004,0))),"")</f>
        <v/>
      </c>
      <c r="D959" s="91">
        <f>IFERROR(INDEX(Firms!$S$5:$S$1004,MATCH(955,Firms!$U$5:$U$1004,0))&amp;"","")</f>
        <v/>
      </c>
      <c r="E959" s="91">
        <f>IFERROR(INDEX(Firms!$C$5:$C$1004,MATCH(955,Firms!$U$5:$U$1004,0))&amp;"","")</f>
        <v/>
      </c>
      <c r="F959" s="79">
        <f>IFERROR(INDEX(Firms!$N$5:$N$1004,MATCH(955,Firms!$U$5:$U$1004,0))&amp;"","")</f>
        <v/>
      </c>
      <c r="G959" s="79">
        <f>IFERROR(INDEX(Firms!$P$5:$P$1004,MATCH(955,Firms!$U$5:$U$1004,0))&amp;"","")</f>
        <v/>
      </c>
      <c r="H959" s="91">
        <f>IFERROR(INDEX(Firms!$T$5:$T$1004,MATCH(955,Firms!$U$5:$U$1004,0))&amp;"","")</f>
        <v/>
      </c>
    </row>
    <row r="960">
      <c r="A960" s="79">
        <f>IF(B960="","",956)</f>
        <v/>
      </c>
      <c r="B960" s="91">
        <f>IFERROR(INDEX(Firms!$A$5:$A$1004,MATCH(956,Firms!$U$5:$U$1004,0))&amp;"","")</f>
        <v/>
      </c>
      <c r="C960" s="88">
        <f>IFERROR(IF(INDEX(Firms!$R$5:$R$1004,MATCH(956,Firms!$U$5:$U$1004,0))="","",INDEX(Firms!$R$5:$R$1004,MATCH(956,Firms!$U$5:$U$1004,0))),"")</f>
        <v/>
      </c>
      <c r="D960" s="91">
        <f>IFERROR(INDEX(Firms!$S$5:$S$1004,MATCH(956,Firms!$U$5:$U$1004,0))&amp;"","")</f>
        <v/>
      </c>
      <c r="E960" s="91">
        <f>IFERROR(INDEX(Firms!$C$5:$C$1004,MATCH(956,Firms!$U$5:$U$1004,0))&amp;"","")</f>
        <v/>
      </c>
      <c r="F960" s="79">
        <f>IFERROR(INDEX(Firms!$N$5:$N$1004,MATCH(956,Firms!$U$5:$U$1004,0))&amp;"","")</f>
        <v/>
      </c>
      <c r="G960" s="79">
        <f>IFERROR(INDEX(Firms!$P$5:$P$1004,MATCH(956,Firms!$U$5:$U$1004,0))&amp;"","")</f>
        <v/>
      </c>
      <c r="H960" s="91">
        <f>IFERROR(INDEX(Firms!$T$5:$T$1004,MATCH(956,Firms!$U$5:$U$1004,0))&amp;"","")</f>
        <v/>
      </c>
    </row>
    <row r="961">
      <c r="A961" s="79">
        <f>IF(B961="","",957)</f>
        <v/>
      </c>
      <c r="B961" s="91">
        <f>IFERROR(INDEX(Firms!$A$5:$A$1004,MATCH(957,Firms!$U$5:$U$1004,0))&amp;"","")</f>
        <v/>
      </c>
      <c r="C961" s="88">
        <f>IFERROR(IF(INDEX(Firms!$R$5:$R$1004,MATCH(957,Firms!$U$5:$U$1004,0))="","",INDEX(Firms!$R$5:$R$1004,MATCH(957,Firms!$U$5:$U$1004,0))),"")</f>
        <v/>
      </c>
      <c r="D961" s="91">
        <f>IFERROR(INDEX(Firms!$S$5:$S$1004,MATCH(957,Firms!$U$5:$U$1004,0))&amp;"","")</f>
        <v/>
      </c>
      <c r="E961" s="91">
        <f>IFERROR(INDEX(Firms!$C$5:$C$1004,MATCH(957,Firms!$U$5:$U$1004,0))&amp;"","")</f>
        <v/>
      </c>
      <c r="F961" s="79">
        <f>IFERROR(INDEX(Firms!$N$5:$N$1004,MATCH(957,Firms!$U$5:$U$1004,0))&amp;"","")</f>
        <v/>
      </c>
      <c r="G961" s="79">
        <f>IFERROR(INDEX(Firms!$P$5:$P$1004,MATCH(957,Firms!$U$5:$U$1004,0))&amp;"","")</f>
        <v/>
      </c>
      <c r="H961" s="91">
        <f>IFERROR(INDEX(Firms!$T$5:$T$1004,MATCH(957,Firms!$U$5:$U$1004,0))&amp;"","")</f>
        <v/>
      </c>
    </row>
    <row r="962">
      <c r="A962" s="79">
        <f>IF(B962="","",958)</f>
        <v/>
      </c>
      <c r="B962" s="91">
        <f>IFERROR(INDEX(Firms!$A$5:$A$1004,MATCH(958,Firms!$U$5:$U$1004,0))&amp;"","")</f>
        <v/>
      </c>
      <c r="C962" s="88">
        <f>IFERROR(IF(INDEX(Firms!$R$5:$R$1004,MATCH(958,Firms!$U$5:$U$1004,0))="","",INDEX(Firms!$R$5:$R$1004,MATCH(958,Firms!$U$5:$U$1004,0))),"")</f>
        <v/>
      </c>
      <c r="D962" s="91">
        <f>IFERROR(INDEX(Firms!$S$5:$S$1004,MATCH(958,Firms!$U$5:$U$1004,0))&amp;"","")</f>
        <v/>
      </c>
      <c r="E962" s="91">
        <f>IFERROR(INDEX(Firms!$C$5:$C$1004,MATCH(958,Firms!$U$5:$U$1004,0))&amp;"","")</f>
        <v/>
      </c>
      <c r="F962" s="79">
        <f>IFERROR(INDEX(Firms!$N$5:$N$1004,MATCH(958,Firms!$U$5:$U$1004,0))&amp;"","")</f>
        <v/>
      </c>
      <c r="G962" s="79">
        <f>IFERROR(INDEX(Firms!$P$5:$P$1004,MATCH(958,Firms!$U$5:$U$1004,0))&amp;"","")</f>
        <v/>
      </c>
      <c r="H962" s="91">
        <f>IFERROR(INDEX(Firms!$T$5:$T$1004,MATCH(958,Firms!$U$5:$U$1004,0))&amp;"","")</f>
        <v/>
      </c>
    </row>
    <row r="963">
      <c r="A963" s="79">
        <f>IF(B963="","",959)</f>
        <v/>
      </c>
      <c r="B963" s="91">
        <f>IFERROR(INDEX(Firms!$A$5:$A$1004,MATCH(959,Firms!$U$5:$U$1004,0))&amp;"","")</f>
        <v/>
      </c>
      <c r="C963" s="88">
        <f>IFERROR(IF(INDEX(Firms!$R$5:$R$1004,MATCH(959,Firms!$U$5:$U$1004,0))="","",INDEX(Firms!$R$5:$R$1004,MATCH(959,Firms!$U$5:$U$1004,0))),"")</f>
        <v/>
      </c>
      <c r="D963" s="91">
        <f>IFERROR(INDEX(Firms!$S$5:$S$1004,MATCH(959,Firms!$U$5:$U$1004,0))&amp;"","")</f>
        <v/>
      </c>
      <c r="E963" s="91">
        <f>IFERROR(INDEX(Firms!$C$5:$C$1004,MATCH(959,Firms!$U$5:$U$1004,0))&amp;"","")</f>
        <v/>
      </c>
      <c r="F963" s="79">
        <f>IFERROR(INDEX(Firms!$N$5:$N$1004,MATCH(959,Firms!$U$5:$U$1004,0))&amp;"","")</f>
        <v/>
      </c>
      <c r="G963" s="79">
        <f>IFERROR(INDEX(Firms!$P$5:$P$1004,MATCH(959,Firms!$U$5:$U$1004,0))&amp;"","")</f>
        <v/>
      </c>
      <c r="H963" s="91">
        <f>IFERROR(INDEX(Firms!$T$5:$T$1004,MATCH(959,Firms!$U$5:$U$1004,0))&amp;"","")</f>
        <v/>
      </c>
    </row>
    <row r="964">
      <c r="A964" s="79">
        <f>IF(B964="","",960)</f>
        <v/>
      </c>
      <c r="B964" s="91">
        <f>IFERROR(INDEX(Firms!$A$5:$A$1004,MATCH(960,Firms!$U$5:$U$1004,0))&amp;"","")</f>
        <v/>
      </c>
      <c r="C964" s="88">
        <f>IFERROR(IF(INDEX(Firms!$R$5:$R$1004,MATCH(960,Firms!$U$5:$U$1004,0))="","",INDEX(Firms!$R$5:$R$1004,MATCH(960,Firms!$U$5:$U$1004,0))),"")</f>
        <v/>
      </c>
      <c r="D964" s="91">
        <f>IFERROR(INDEX(Firms!$S$5:$S$1004,MATCH(960,Firms!$U$5:$U$1004,0))&amp;"","")</f>
        <v/>
      </c>
      <c r="E964" s="91">
        <f>IFERROR(INDEX(Firms!$C$5:$C$1004,MATCH(960,Firms!$U$5:$U$1004,0))&amp;"","")</f>
        <v/>
      </c>
      <c r="F964" s="79">
        <f>IFERROR(INDEX(Firms!$N$5:$N$1004,MATCH(960,Firms!$U$5:$U$1004,0))&amp;"","")</f>
        <v/>
      </c>
      <c r="G964" s="79">
        <f>IFERROR(INDEX(Firms!$P$5:$P$1004,MATCH(960,Firms!$U$5:$U$1004,0))&amp;"","")</f>
        <v/>
      </c>
      <c r="H964" s="91">
        <f>IFERROR(INDEX(Firms!$T$5:$T$1004,MATCH(960,Firms!$U$5:$U$1004,0))&amp;"","")</f>
        <v/>
      </c>
    </row>
    <row r="965">
      <c r="A965" s="79">
        <f>IF(B965="","",961)</f>
        <v/>
      </c>
      <c r="B965" s="91">
        <f>IFERROR(INDEX(Firms!$A$5:$A$1004,MATCH(961,Firms!$U$5:$U$1004,0))&amp;"","")</f>
        <v/>
      </c>
      <c r="C965" s="88">
        <f>IFERROR(IF(INDEX(Firms!$R$5:$R$1004,MATCH(961,Firms!$U$5:$U$1004,0))="","",INDEX(Firms!$R$5:$R$1004,MATCH(961,Firms!$U$5:$U$1004,0))),"")</f>
        <v/>
      </c>
      <c r="D965" s="91">
        <f>IFERROR(INDEX(Firms!$S$5:$S$1004,MATCH(961,Firms!$U$5:$U$1004,0))&amp;"","")</f>
        <v/>
      </c>
      <c r="E965" s="91">
        <f>IFERROR(INDEX(Firms!$C$5:$C$1004,MATCH(961,Firms!$U$5:$U$1004,0))&amp;"","")</f>
        <v/>
      </c>
      <c r="F965" s="79">
        <f>IFERROR(INDEX(Firms!$N$5:$N$1004,MATCH(961,Firms!$U$5:$U$1004,0))&amp;"","")</f>
        <v/>
      </c>
      <c r="G965" s="79">
        <f>IFERROR(INDEX(Firms!$P$5:$P$1004,MATCH(961,Firms!$U$5:$U$1004,0))&amp;"","")</f>
        <v/>
      </c>
      <c r="H965" s="91">
        <f>IFERROR(INDEX(Firms!$T$5:$T$1004,MATCH(961,Firms!$U$5:$U$1004,0))&amp;"","")</f>
        <v/>
      </c>
    </row>
    <row r="966">
      <c r="A966" s="79">
        <f>IF(B966="","",962)</f>
        <v/>
      </c>
      <c r="B966" s="91">
        <f>IFERROR(INDEX(Firms!$A$5:$A$1004,MATCH(962,Firms!$U$5:$U$1004,0))&amp;"","")</f>
        <v/>
      </c>
      <c r="C966" s="88">
        <f>IFERROR(IF(INDEX(Firms!$R$5:$R$1004,MATCH(962,Firms!$U$5:$U$1004,0))="","",INDEX(Firms!$R$5:$R$1004,MATCH(962,Firms!$U$5:$U$1004,0))),"")</f>
        <v/>
      </c>
      <c r="D966" s="91">
        <f>IFERROR(INDEX(Firms!$S$5:$S$1004,MATCH(962,Firms!$U$5:$U$1004,0))&amp;"","")</f>
        <v/>
      </c>
      <c r="E966" s="91">
        <f>IFERROR(INDEX(Firms!$C$5:$C$1004,MATCH(962,Firms!$U$5:$U$1004,0))&amp;"","")</f>
        <v/>
      </c>
      <c r="F966" s="79">
        <f>IFERROR(INDEX(Firms!$N$5:$N$1004,MATCH(962,Firms!$U$5:$U$1004,0))&amp;"","")</f>
        <v/>
      </c>
      <c r="G966" s="79">
        <f>IFERROR(INDEX(Firms!$P$5:$P$1004,MATCH(962,Firms!$U$5:$U$1004,0))&amp;"","")</f>
        <v/>
      </c>
      <c r="H966" s="91">
        <f>IFERROR(INDEX(Firms!$T$5:$T$1004,MATCH(962,Firms!$U$5:$U$1004,0))&amp;"","")</f>
        <v/>
      </c>
    </row>
    <row r="967">
      <c r="A967" s="79">
        <f>IF(B967="","",963)</f>
        <v/>
      </c>
      <c r="B967" s="91">
        <f>IFERROR(INDEX(Firms!$A$5:$A$1004,MATCH(963,Firms!$U$5:$U$1004,0))&amp;"","")</f>
        <v/>
      </c>
      <c r="C967" s="88">
        <f>IFERROR(IF(INDEX(Firms!$R$5:$R$1004,MATCH(963,Firms!$U$5:$U$1004,0))="","",INDEX(Firms!$R$5:$R$1004,MATCH(963,Firms!$U$5:$U$1004,0))),"")</f>
        <v/>
      </c>
      <c r="D967" s="91">
        <f>IFERROR(INDEX(Firms!$S$5:$S$1004,MATCH(963,Firms!$U$5:$U$1004,0))&amp;"","")</f>
        <v/>
      </c>
      <c r="E967" s="91">
        <f>IFERROR(INDEX(Firms!$C$5:$C$1004,MATCH(963,Firms!$U$5:$U$1004,0))&amp;"","")</f>
        <v/>
      </c>
      <c r="F967" s="79">
        <f>IFERROR(INDEX(Firms!$N$5:$N$1004,MATCH(963,Firms!$U$5:$U$1004,0))&amp;"","")</f>
        <v/>
      </c>
      <c r="G967" s="79">
        <f>IFERROR(INDEX(Firms!$P$5:$P$1004,MATCH(963,Firms!$U$5:$U$1004,0))&amp;"","")</f>
        <v/>
      </c>
      <c r="H967" s="91">
        <f>IFERROR(INDEX(Firms!$T$5:$T$1004,MATCH(963,Firms!$U$5:$U$1004,0))&amp;"","")</f>
        <v/>
      </c>
    </row>
    <row r="968">
      <c r="A968" s="79">
        <f>IF(B968="","",964)</f>
        <v/>
      </c>
      <c r="B968" s="91">
        <f>IFERROR(INDEX(Firms!$A$5:$A$1004,MATCH(964,Firms!$U$5:$U$1004,0))&amp;"","")</f>
        <v/>
      </c>
      <c r="C968" s="88">
        <f>IFERROR(IF(INDEX(Firms!$R$5:$R$1004,MATCH(964,Firms!$U$5:$U$1004,0))="","",INDEX(Firms!$R$5:$R$1004,MATCH(964,Firms!$U$5:$U$1004,0))),"")</f>
        <v/>
      </c>
      <c r="D968" s="91">
        <f>IFERROR(INDEX(Firms!$S$5:$S$1004,MATCH(964,Firms!$U$5:$U$1004,0))&amp;"","")</f>
        <v/>
      </c>
      <c r="E968" s="91">
        <f>IFERROR(INDEX(Firms!$C$5:$C$1004,MATCH(964,Firms!$U$5:$U$1004,0))&amp;"","")</f>
        <v/>
      </c>
      <c r="F968" s="79">
        <f>IFERROR(INDEX(Firms!$N$5:$N$1004,MATCH(964,Firms!$U$5:$U$1004,0))&amp;"","")</f>
        <v/>
      </c>
      <c r="G968" s="79">
        <f>IFERROR(INDEX(Firms!$P$5:$P$1004,MATCH(964,Firms!$U$5:$U$1004,0))&amp;"","")</f>
        <v/>
      </c>
      <c r="H968" s="91">
        <f>IFERROR(INDEX(Firms!$T$5:$T$1004,MATCH(964,Firms!$U$5:$U$1004,0))&amp;"","")</f>
        <v/>
      </c>
    </row>
    <row r="969">
      <c r="A969" s="79">
        <f>IF(B969="","",965)</f>
        <v/>
      </c>
      <c r="B969" s="91">
        <f>IFERROR(INDEX(Firms!$A$5:$A$1004,MATCH(965,Firms!$U$5:$U$1004,0))&amp;"","")</f>
        <v/>
      </c>
      <c r="C969" s="88">
        <f>IFERROR(IF(INDEX(Firms!$R$5:$R$1004,MATCH(965,Firms!$U$5:$U$1004,0))="","",INDEX(Firms!$R$5:$R$1004,MATCH(965,Firms!$U$5:$U$1004,0))),"")</f>
        <v/>
      </c>
      <c r="D969" s="91">
        <f>IFERROR(INDEX(Firms!$S$5:$S$1004,MATCH(965,Firms!$U$5:$U$1004,0))&amp;"","")</f>
        <v/>
      </c>
      <c r="E969" s="91">
        <f>IFERROR(INDEX(Firms!$C$5:$C$1004,MATCH(965,Firms!$U$5:$U$1004,0))&amp;"","")</f>
        <v/>
      </c>
      <c r="F969" s="79">
        <f>IFERROR(INDEX(Firms!$N$5:$N$1004,MATCH(965,Firms!$U$5:$U$1004,0))&amp;"","")</f>
        <v/>
      </c>
      <c r="G969" s="79">
        <f>IFERROR(INDEX(Firms!$P$5:$P$1004,MATCH(965,Firms!$U$5:$U$1004,0))&amp;"","")</f>
        <v/>
      </c>
      <c r="H969" s="91">
        <f>IFERROR(INDEX(Firms!$T$5:$T$1004,MATCH(965,Firms!$U$5:$U$1004,0))&amp;"","")</f>
        <v/>
      </c>
    </row>
    <row r="970">
      <c r="A970" s="79">
        <f>IF(B970="","",966)</f>
        <v/>
      </c>
      <c r="B970" s="91">
        <f>IFERROR(INDEX(Firms!$A$5:$A$1004,MATCH(966,Firms!$U$5:$U$1004,0))&amp;"","")</f>
        <v/>
      </c>
      <c r="C970" s="88">
        <f>IFERROR(IF(INDEX(Firms!$R$5:$R$1004,MATCH(966,Firms!$U$5:$U$1004,0))="","",INDEX(Firms!$R$5:$R$1004,MATCH(966,Firms!$U$5:$U$1004,0))),"")</f>
        <v/>
      </c>
      <c r="D970" s="91">
        <f>IFERROR(INDEX(Firms!$S$5:$S$1004,MATCH(966,Firms!$U$5:$U$1004,0))&amp;"","")</f>
        <v/>
      </c>
      <c r="E970" s="91">
        <f>IFERROR(INDEX(Firms!$C$5:$C$1004,MATCH(966,Firms!$U$5:$U$1004,0))&amp;"","")</f>
        <v/>
      </c>
      <c r="F970" s="79">
        <f>IFERROR(INDEX(Firms!$N$5:$N$1004,MATCH(966,Firms!$U$5:$U$1004,0))&amp;"","")</f>
        <v/>
      </c>
      <c r="G970" s="79">
        <f>IFERROR(INDEX(Firms!$P$5:$P$1004,MATCH(966,Firms!$U$5:$U$1004,0))&amp;"","")</f>
        <v/>
      </c>
      <c r="H970" s="91">
        <f>IFERROR(INDEX(Firms!$T$5:$T$1004,MATCH(966,Firms!$U$5:$U$1004,0))&amp;"","")</f>
        <v/>
      </c>
    </row>
    <row r="971">
      <c r="A971" s="79">
        <f>IF(B971="","",967)</f>
        <v/>
      </c>
      <c r="B971" s="91">
        <f>IFERROR(INDEX(Firms!$A$5:$A$1004,MATCH(967,Firms!$U$5:$U$1004,0))&amp;"","")</f>
        <v/>
      </c>
      <c r="C971" s="88">
        <f>IFERROR(IF(INDEX(Firms!$R$5:$R$1004,MATCH(967,Firms!$U$5:$U$1004,0))="","",INDEX(Firms!$R$5:$R$1004,MATCH(967,Firms!$U$5:$U$1004,0))),"")</f>
        <v/>
      </c>
      <c r="D971" s="91">
        <f>IFERROR(INDEX(Firms!$S$5:$S$1004,MATCH(967,Firms!$U$5:$U$1004,0))&amp;"","")</f>
        <v/>
      </c>
      <c r="E971" s="91">
        <f>IFERROR(INDEX(Firms!$C$5:$C$1004,MATCH(967,Firms!$U$5:$U$1004,0))&amp;"","")</f>
        <v/>
      </c>
      <c r="F971" s="79">
        <f>IFERROR(INDEX(Firms!$N$5:$N$1004,MATCH(967,Firms!$U$5:$U$1004,0))&amp;"","")</f>
        <v/>
      </c>
      <c r="G971" s="79">
        <f>IFERROR(INDEX(Firms!$P$5:$P$1004,MATCH(967,Firms!$U$5:$U$1004,0))&amp;"","")</f>
        <v/>
      </c>
      <c r="H971" s="91">
        <f>IFERROR(INDEX(Firms!$T$5:$T$1004,MATCH(967,Firms!$U$5:$U$1004,0))&amp;"","")</f>
        <v/>
      </c>
    </row>
    <row r="972">
      <c r="A972" s="79">
        <f>IF(B972="","",968)</f>
        <v/>
      </c>
      <c r="B972" s="91">
        <f>IFERROR(INDEX(Firms!$A$5:$A$1004,MATCH(968,Firms!$U$5:$U$1004,0))&amp;"","")</f>
        <v/>
      </c>
      <c r="C972" s="88">
        <f>IFERROR(IF(INDEX(Firms!$R$5:$R$1004,MATCH(968,Firms!$U$5:$U$1004,0))="","",INDEX(Firms!$R$5:$R$1004,MATCH(968,Firms!$U$5:$U$1004,0))),"")</f>
        <v/>
      </c>
      <c r="D972" s="91">
        <f>IFERROR(INDEX(Firms!$S$5:$S$1004,MATCH(968,Firms!$U$5:$U$1004,0))&amp;"","")</f>
        <v/>
      </c>
      <c r="E972" s="91">
        <f>IFERROR(INDEX(Firms!$C$5:$C$1004,MATCH(968,Firms!$U$5:$U$1004,0))&amp;"","")</f>
        <v/>
      </c>
      <c r="F972" s="79">
        <f>IFERROR(INDEX(Firms!$N$5:$N$1004,MATCH(968,Firms!$U$5:$U$1004,0))&amp;"","")</f>
        <v/>
      </c>
      <c r="G972" s="79">
        <f>IFERROR(INDEX(Firms!$P$5:$P$1004,MATCH(968,Firms!$U$5:$U$1004,0))&amp;"","")</f>
        <v/>
      </c>
      <c r="H972" s="91">
        <f>IFERROR(INDEX(Firms!$T$5:$T$1004,MATCH(968,Firms!$U$5:$U$1004,0))&amp;"","")</f>
        <v/>
      </c>
    </row>
    <row r="973">
      <c r="A973" s="79">
        <f>IF(B973="","",969)</f>
        <v/>
      </c>
      <c r="B973" s="91">
        <f>IFERROR(INDEX(Firms!$A$5:$A$1004,MATCH(969,Firms!$U$5:$U$1004,0))&amp;"","")</f>
        <v/>
      </c>
      <c r="C973" s="88">
        <f>IFERROR(IF(INDEX(Firms!$R$5:$R$1004,MATCH(969,Firms!$U$5:$U$1004,0))="","",INDEX(Firms!$R$5:$R$1004,MATCH(969,Firms!$U$5:$U$1004,0))),"")</f>
        <v/>
      </c>
      <c r="D973" s="91">
        <f>IFERROR(INDEX(Firms!$S$5:$S$1004,MATCH(969,Firms!$U$5:$U$1004,0))&amp;"","")</f>
        <v/>
      </c>
      <c r="E973" s="91">
        <f>IFERROR(INDEX(Firms!$C$5:$C$1004,MATCH(969,Firms!$U$5:$U$1004,0))&amp;"","")</f>
        <v/>
      </c>
      <c r="F973" s="79">
        <f>IFERROR(INDEX(Firms!$N$5:$N$1004,MATCH(969,Firms!$U$5:$U$1004,0))&amp;"","")</f>
        <v/>
      </c>
      <c r="G973" s="79">
        <f>IFERROR(INDEX(Firms!$P$5:$P$1004,MATCH(969,Firms!$U$5:$U$1004,0))&amp;"","")</f>
        <v/>
      </c>
      <c r="H973" s="91">
        <f>IFERROR(INDEX(Firms!$T$5:$T$1004,MATCH(969,Firms!$U$5:$U$1004,0))&amp;"","")</f>
        <v/>
      </c>
    </row>
    <row r="974">
      <c r="A974" s="79">
        <f>IF(B974="","",970)</f>
        <v/>
      </c>
      <c r="B974" s="91">
        <f>IFERROR(INDEX(Firms!$A$5:$A$1004,MATCH(970,Firms!$U$5:$U$1004,0))&amp;"","")</f>
        <v/>
      </c>
      <c r="C974" s="88">
        <f>IFERROR(IF(INDEX(Firms!$R$5:$R$1004,MATCH(970,Firms!$U$5:$U$1004,0))="","",INDEX(Firms!$R$5:$R$1004,MATCH(970,Firms!$U$5:$U$1004,0))),"")</f>
        <v/>
      </c>
      <c r="D974" s="91">
        <f>IFERROR(INDEX(Firms!$S$5:$S$1004,MATCH(970,Firms!$U$5:$U$1004,0))&amp;"","")</f>
        <v/>
      </c>
      <c r="E974" s="91">
        <f>IFERROR(INDEX(Firms!$C$5:$C$1004,MATCH(970,Firms!$U$5:$U$1004,0))&amp;"","")</f>
        <v/>
      </c>
      <c r="F974" s="79">
        <f>IFERROR(INDEX(Firms!$N$5:$N$1004,MATCH(970,Firms!$U$5:$U$1004,0))&amp;"","")</f>
        <v/>
      </c>
      <c r="G974" s="79">
        <f>IFERROR(INDEX(Firms!$P$5:$P$1004,MATCH(970,Firms!$U$5:$U$1004,0))&amp;"","")</f>
        <v/>
      </c>
      <c r="H974" s="91">
        <f>IFERROR(INDEX(Firms!$T$5:$T$1004,MATCH(970,Firms!$U$5:$U$1004,0))&amp;"","")</f>
        <v/>
      </c>
    </row>
    <row r="975">
      <c r="A975" s="79">
        <f>IF(B975="","",971)</f>
        <v/>
      </c>
      <c r="B975" s="91">
        <f>IFERROR(INDEX(Firms!$A$5:$A$1004,MATCH(971,Firms!$U$5:$U$1004,0))&amp;"","")</f>
        <v/>
      </c>
      <c r="C975" s="88">
        <f>IFERROR(IF(INDEX(Firms!$R$5:$R$1004,MATCH(971,Firms!$U$5:$U$1004,0))="","",INDEX(Firms!$R$5:$R$1004,MATCH(971,Firms!$U$5:$U$1004,0))),"")</f>
        <v/>
      </c>
      <c r="D975" s="91">
        <f>IFERROR(INDEX(Firms!$S$5:$S$1004,MATCH(971,Firms!$U$5:$U$1004,0))&amp;"","")</f>
        <v/>
      </c>
      <c r="E975" s="91">
        <f>IFERROR(INDEX(Firms!$C$5:$C$1004,MATCH(971,Firms!$U$5:$U$1004,0))&amp;"","")</f>
        <v/>
      </c>
      <c r="F975" s="79">
        <f>IFERROR(INDEX(Firms!$N$5:$N$1004,MATCH(971,Firms!$U$5:$U$1004,0))&amp;"","")</f>
        <v/>
      </c>
      <c r="G975" s="79">
        <f>IFERROR(INDEX(Firms!$P$5:$P$1004,MATCH(971,Firms!$U$5:$U$1004,0))&amp;"","")</f>
        <v/>
      </c>
      <c r="H975" s="91">
        <f>IFERROR(INDEX(Firms!$T$5:$T$1004,MATCH(971,Firms!$U$5:$U$1004,0))&amp;"","")</f>
        <v/>
      </c>
    </row>
    <row r="976">
      <c r="A976" s="79">
        <f>IF(B976="","",972)</f>
        <v/>
      </c>
      <c r="B976" s="91">
        <f>IFERROR(INDEX(Firms!$A$5:$A$1004,MATCH(972,Firms!$U$5:$U$1004,0))&amp;"","")</f>
        <v/>
      </c>
      <c r="C976" s="88">
        <f>IFERROR(IF(INDEX(Firms!$R$5:$R$1004,MATCH(972,Firms!$U$5:$U$1004,0))="","",INDEX(Firms!$R$5:$R$1004,MATCH(972,Firms!$U$5:$U$1004,0))),"")</f>
        <v/>
      </c>
      <c r="D976" s="91">
        <f>IFERROR(INDEX(Firms!$S$5:$S$1004,MATCH(972,Firms!$U$5:$U$1004,0))&amp;"","")</f>
        <v/>
      </c>
      <c r="E976" s="91">
        <f>IFERROR(INDEX(Firms!$C$5:$C$1004,MATCH(972,Firms!$U$5:$U$1004,0))&amp;"","")</f>
        <v/>
      </c>
      <c r="F976" s="79">
        <f>IFERROR(INDEX(Firms!$N$5:$N$1004,MATCH(972,Firms!$U$5:$U$1004,0))&amp;"","")</f>
        <v/>
      </c>
      <c r="G976" s="79">
        <f>IFERROR(INDEX(Firms!$P$5:$P$1004,MATCH(972,Firms!$U$5:$U$1004,0))&amp;"","")</f>
        <v/>
      </c>
      <c r="H976" s="91">
        <f>IFERROR(INDEX(Firms!$T$5:$T$1004,MATCH(972,Firms!$U$5:$U$1004,0))&amp;"","")</f>
        <v/>
      </c>
    </row>
    <row r="977">
      <c r="A977" s="79">
        <f>IF(B977="","",973)</f>
        <v/>
      </c>
      <c r="B977" s="91">
        <f>IFERROR(INDEX(Firms!$A$5:$A$1004,MATCH(973,Firms!$U$5:$U$1004,0))&amp;"","")</f>
        <v/>
      </c>
      <c r="C977" s="88">
        <f>IFERROR(IF(INDEX(Firms!$R$5:$R$1004,MATCH(973,Firms!$U$5:$U$1004,0))="","",INDEX(Firms!$R$5:$R$1004,MATCH(973,Firms!$U$5:$U$1004,0))),"")</f>
        <v/>
      </c>
      <c r="D977" s="91">
        <f>IFERROR(INDEX(Firms!$S$5:$S$1004,MATCH(973,Firms!$U$5:$U$1004,0))&amp;"","")</f>
        <v/>
      </c>
      <c r="E977" s="91">
        <f>IFERROR(INDEX(Firms!$C$5:$C$1004,MATCH(973,Firms!$U$5:$U$1004,0))&amp;"","")</f>
        <v/>
      </c>
      <c r="F977" s="79">
        <f>IFERROR(INDEX(Firms!$N$5:$N$1004,MATCH(973,Firms!$U$5:$U$1004,0))&amp;"","")</f>
        <v/>
      </c>
      <c r="G977" s="79">
        <f>IFERROR(INDEX(Firms!$P$5:$P$1004,MATCH(973,Firms!$U$5:$U$1004,0))&amp;"","")</f>
        <v/>
      </c>
      <c r="H977" s="91">
        <f>IFERROR(INDEX(Firms!$T$5:$T$1004,MATCH(973,Firms!$U$5:$U$1004,0))&amp;"","")</f>
        <v/>
      </c>
    </row>
    <row r="978">
      <c r="A978" s="79">
        <f>IF(B978="","",974)</f>
        <v/>
      </c>
      <c r="B978" s="91">
        <f>IFERROR(INDEX(Firms!$A$5:$A$1004,MATCH(974,Firms!$U$5:$U$1004,0))&amp;"","")</f>
        <v/>
      </c>
      <c r="C978" s="88">
        <f>IFERROR(IF(INDEX(Firms!$R$5:$R$1004,MATCH(974,Firms!$U$5:$U$1004,0))="","",INDEX(Firms!$R$5:$R$1004,MATCH(974,Firms!$U$5:$U$1004,0))),"")</f>
        <v/>
      </c>
      <c r="D978" s="91">
        <f>IFERROR(INDEX(Firms!$S$5:$S$1004,MATCH(974,Firms!$U$5:$U$1004,0))&amp;"","")</f>
        <v/>
      </c>
      <c r="E978" s="91">
        <f>IFERROR(INDEX(Firms!$C$5:$C$1004,MATCH(974,Firms!$U$5:$U$1004,0))&amp;"","")</f>
        <v/>
      </c>
      <c r="F978" s="79">
        <f>IFERROR(INDEX(Firms!$N$5:$N$1004,MATCH(974,Firms!$U$5:$U$1004,0))&amp;"","")</f>
        <v/>
      </c>
      <c r="G978" s="79">
        <f>IFERROR(INDEX(Firms!$P$5:$P$1004,MATCH(974,Firms!$U$5:$U$1004,0))&amp;"","")</f>
        <v/>
      </c>
      <c r="H978" s="91">
        <f>IFERROR(INDEX(Firms!$T$5:$T$1004,MATCH(974,Firms!$U$5:$U$1004,0))&amp;"","")</f>
        <v/>
      </c>
    </row>
    <row r="979">
      <c r="A979" s="79">
        <f>IF(B979="","",975)</f>
        <v/>
      </c>
      <c r="B979" s="91">
        <f>IFERROR(INDEX(Firms!$A$5:$A$1004,MATCH(975,Firms!$U$5:$U$1004,0))&amp;"","")</f>
        <v/>
      </c>
      <c r="C979" s="88">
        <f>IFERROR(IF(INDEX(Firms!$R$5:$R$1004,MATCH(975,Firms!$U$5:$U$1004,0))="","",INDEX(Firms!$R$5:$R$1004,MATCH(975,Firms!$U$5:$U$1004,0))),"")</f>
        <v/>
      </c>
      <c r="D979" s="91">
        <f>IFERROR(INDEX(Firms!$S$5:$S$1004,MATCH(975,Firms!$U$5:$U$1004,0))&amp;"","")</f>
        <v/>
      </c>
      <c r="E979" s="91">
        <f>IFERROR(INDEX(Firms!$C$5:$C$1004,MATCH(975,Firms!$U$5:$U$1004,0))&amp;"","")</f>
        <v/>
      </c>
      <c r="F979" s="79">
        <f>IFERROR(INDEX(Firms!$N$5:$N$1004,MATCH(975,Firms!$U$5:$U$1004,0))&amp;"","")</f>
        <v/>
      </c>
      <c r="G979" s="79">
        <f>IFERROR(INDEX(Firms!$P$5:$P$1004,MATCH(975,Firms!$U$5:$U$1004,0))&amp;"","")</f>
        <v/>
      </c>
      <c r="H979" s="91">
        <f>IFERROR(INDEX(Firms!$T$5:$T$1004,MATCH(975,Firms!$U$5:$U$1004,0))&amp;"","")</f>
        <v/>
      </c>
    </row>
    <row r="980">
      <c r="A980" s="79">
        <f>IF(B980="","",976)</f>
        <v/>
      </c>
      <c r="B980" s="91">
        <f>IFERROR(INDEX(Firms!$A$5:$A$1004,MATCH(976,Firms!$U$5:$U$1004,0))&amp;"","")</f>
        <v/>
      </c>
      <c r="C980" s="88">
        <f>IFERROR(IF(INDEX(Firms!$R$5:$R$1004,MATCH(976,Firms!$U$5:$U$1004,0))="","",INDEX(Firms!$R$5:$R$1004,MATCH(976,Firms!$U$5:$U$1004,0))),"")</f>
        <v/>
      </c>
      <c r="D980" s="91">
        <f>IFERROR(INDEX(Firms!$S$5:$S$1004,MATCH(976,Firms!$U$5:$U$1004,0))&amp;"","")</f>
        <v/>
      </c>
      <c r="E980" s="91">
        <f>IFERROR(INDEX(Firms!$C$5:$C$1004,MATCH(976,Firms!$U$5:$U$1004,0))&amp;"","")</f>
        <v/>
      </c>
      <c r="F980" s="79">
        <f>IFERROR(INDEX(Firms!$N$5:$N$1004,MATCH(976,Firms!$U$5:$U$1004,0))&amp;"","")</f>
        <v/>
      </c>
      <c r="G980" s="79">
        <f>IFERROR(INDEX(Firms!$P$5:$P$1004,MATCH(976,Firms!$U$5:$U$1004,0))&amp;"","")</f>
        <v/>
      </c>
      <c r="H980" s="91">
        <f>IFERROR(INDEX(Firms!$T$5:$T$1004,MATCH(976,Firms!$U$5:$U$1004,0))&amp;"","")</f>
        <v/>
      </c>
    </row>
    <row r="981">
      <c r="A981" s="79">
        <f>IF(B981="","",977)</f>
        <v/>
      </c>
      <c r="B981" s="91">
        <f>IFERROR(INDEX(Firms!$A$5:$A$1004,MATCH(977,Firms!$U$5:$U$1004,0))&amp;"","")</f>
        <v/>
      </c>
      <c r="C981" s="88">
        <f>IFERROR(IF(INDEX(Firms!$R$5:$R$1004,MATCH(977,Firms!$U$5:$U$1004,0))="","",INDEX(Firms!$R$5:$R$1004,MATCH(977,Firms!$U$5:$U$1004,0))),"")</f>
        <v/>
      </c>
      <c r="D981" s="91">
        <f>IFERROR(INDEX(Firms!$S$5:$S$1004,MATCH(977,Firms!$U$5:$U$1004,0))&amp;"","")</f>
        <v/>
      </c>
      <c r="E981" s="91">
        <f>IFERROR(INDEX(Firms!$C$5:$C$1004,MATCH(977,Firms!$U$5:$U$1004,0))&amp;"","")</f>
        <v/>
      </c>
      <c r="F981" s="79">
        <f>IFERROR(INDEX(Firms!$N$5:$N$1004,MATCH(977,Firms!$U$5:$U$1004,0))&amp;"","")</f>
        <v/>
      </c>
      <c r="G981" s="79">
        <f>IFERROR(INDEX(Firms!$P$5:$P$1004,MATCH(977,Firms!$U$5:$U$1004,0))&amp;"","")</f>
        <v/>
      </c>
      <c r="H981" s="91">
        <f>IFERROR(INDEX(Firms!$T$5:$T$1004,MATCH(977,Firms!$U$5:$U$1004,0))&amp;"","")</f>
        <v/>
      </c>
    </row>
    <row r="982">
      <c r="A982" s="79">
        <f>IF(B982="","",978)</f>
        <v/>
      </c>
      <c r="B982" s="91">
        <f>IFERROR(INDEX(Firms!$A$5:$A$1004,MATCH(978,Firms!$U$5:$U$1004,0))&amp;"","")</f>
        <v/>
      </c>
      <c r="C982" s="88">
        <f>IFERROR(IF(INDEX(Firms!$R$5:$R$1004,MATCH(978,Firms!$U$5:$U$1004,0))="","",INDEX(Firms!$R$5:$R$1004,MATCH(978,Firms!$U$5:$U$1004,0))),"")</f>
        <v/>
      </c>
      <c r="D982" s="91">
        <f>IFERROR(INDEX(Firms!$S$5:$S$1004,MATCH(978,Firms!$U$5:$U$1004,0))&amp;"","")</f>
        <v/>
      </c>
      <c r="E982" s="91">
        <f>IFERROR(INDEX(Firms!$C$5:$C$1004,MATCH(978,Firms!$U$5:$U$1004,0))&amp;"","")</f>
        <v/>
      </c>
      <c r="F982" s="79">
        <f>IFERROR(INDEX(Firms!$N$5:$N$1004,MATCH(978,Firms!$U$5:$U$1004,0))&amp;"","")</f>
        <v/>
      </c>
      <c r="G982" s="79">
        <f>IFERROR(INDEX(Firms!$P$5:$P$1004,MATCH(978,Firms!$U$5:$U$1004,0))&amp;"","")</f>
        <v/>
      </c>
      <c r="H982" s="91">
        <f>IFERROR(INDEX(Firms!$T$5:$T$1004,MATCH(978,Firms!$U$5:$U$1004,0))&amp;"","")</f>
        <v/>
      </c>
    </row>
    <row r="983">
      <c r="A983" s="79">
        <f>IF(B983="","",979)</f>
        <v/>
      </c>
      <c r="B983" s="91">
        <f>IFERROR(INDEX(Firms!$A$5:$A$1004,MATCH(979,Firms!$U$5:$U$1004,0))&amp;"","")</f>
        <v/>
      </c>
      <c r="C983" s="88">
        <f>IFERROR(IF(INDEX(Firms!$R$5:$R$1004,MATCH(979,Firms!$U$5:$U$1004,0))="","",INDEX(Firms!$R$5:$R$1004,MATCH(979,Firms!$U$5:$U$1004,0))),"")</f>
        <v/>
      </c>
      <c r="D983" s="91">
        <f>IFERROR(INDEX(Firms!$S$5:$S$1004,MATCH(979,Firms!$U$5:$U$1004,0))&amp;"","")</f>
        <v/>
      </c>
      <c r="E983" s="91">
        <f>IFERROR(INDEX(Firms!$C$5:$C$1004,MATCH(979,Firms!$U$5:$U$1004,0))&amp;"","")</f>
        <v/>
      </c>
      <c r="F983" s="79">
        <f>IFERROR(INDEX(Firms!$N$5:$N$1004,MATCH(979,Firms!$U$5:$U$1004,0))&amp;"","")</f>
        <v/>
      </c>
      <c r="G983" s="79">
        <f>IFERROR(INDEX(Firms!$P$5:$P$1004,MATCH(979,Firms!$U$5:$U$1004,0))&amp;"","")</f>
        <v/>
      </c>
      <c r="H983" s="91">
        <f>IFERROR(INDEX(Firms!$T$5:$T$1004,MATCH(979,Firms!$U$5:$U$1004,0))&amp;"","")</f>
        <v/>
      </c>
    </row>
    <row r="984">
      <c r="A984" s="79">
        <f>IF(B984="","",980)</f>
        <v/>
      </c>
      <c r="B984" s="91">
        <f>IFERROR(INDEX(Firms!$A$5:$A$1004,MATCH(980,Firms!$U$5:$U$1004,0))&amp;"","")</f>
        <v/>
      </c>
      <c r="C984" s="88">
        <f>IFERROR(IF(INDEX(Firms!$R$5:$R$1004,MATCH(980,Firms!$U$5:$U$1004,0))="","",INDEX(Firms!$R$5:$R$1004,MATCH(980,Firms!$U$5:$U$1004,0))),"")</f>
        <v/>
      </c>
      <c r="D984" s="91">
        <f>IFERROR(INDEX(Firms!$S$5:$S$1004,MATCH(980,Firms!$U$5:$U$1004,0))&amp;"","")</f>
        <v/>
      </c>
      <c r="E984" s="91">
        <f>IFERROR(INDEX(Firms!$C$5:$C$1004,MATCH(980,Firms!$U$5:$U$1004,0))&amp;"","")</f>
        <v/>
      </c>
      <c r="F984" s="79">
        <f>IFERROR(INDEX(Firms!$N$5:$N$1004,MATCH(980,Firms!$U$5:$U$1004,0))&amp;"","")</f>
        <v/>
      </c>
      <c r="G984" s="79">
        <f>IFERROR(INDEX(Firms!$P$5:$P$1004,MATCH(980,Firms!$U$5:$U$1004,0))&amp;"","")</f>
        <v/>
      </c>
      <c r="H984" s="91">
        <f>IFERROR(INDEX(Firms!$T$5:$T$1004,MATCH(980,Firms!$U$5:$U$1004,0))&amp;"","")</f>
        <v/>
      </c>
    </row>
    <row r="985">
      <c r="A985" s="79">
        <f>IF(B985="","",981)</f>
        <v/>
      </c>
      <c r="B985" s="91">
        <f>IFERROR(INDEX(Firms!$A$5:$A$1004,MATCH(981,Firms!$U$5:$U$1004,0))&amp;"","")</f>
        <v/>
      </c>
      <c r="C985" s="88">
        <f>IFERROR(IF(INDEX(Firms!$R$5:$R$1004,MATCH(981,Firms!$U$5:$U$1004,0))="","",INDEX(Firms!$R$5:$R$1004,MATCH(981,Firms!$U$5:$U$1004,0))),"")</f>
        <v/>
      </c>
      <c r="D985" s="91">
        <f>IFERROR(INDEX(Firms!$S$5:$S$1004,MATCH(981,Firms!$U$5:$U$1004,0))&amp;"","")</f>
        <v/>
      </c>
      <c r="E985" s="91">
        <f>IFERROR(INDEX(Firms!$C$5:$C$1004,MATCH(981,Firms!$U$5:$U$1004,0))&amp;"","")</f>
        <v/>
      </c>
      <c r="F985" s="79">
        <f>IFERROR(INDEX(Firms!$N$5:$N$1004,MATCH(981,Firms!$U$5:$U$1004,0))&amp;"","")</f>
        <v/>
      </c>
      <c r="G985" s="79">
        <f>IFERROR(INDEX(Firms!$P$5:$P$1004,MATCH(981,Firms!$U$5:$U$1004,0))&amp;"","")</f>
        <v/>
      </c>
      <c r="H985" s="91">
        <f>IFERROR(INDEX(Firms!$T$5:$T$1004,MATCH(981,Firms!$U$5:$U$1004,0))&amp;"","")</f>
        <v/>
      </c>
    </row>
    <row r="986">
      <c r="A986" s="79">
        <f>IF(B986="","",982)</f>
        <v/>
      </c>
      <c r="B986" s="91">
        <f>IFERROR(INDEX(Firms!$A$5:$A$1004,MATCH(982,Firms!$U$5:$U$1004,0))&amp;"","")</f>
        <v/>
      </c>
      <c r="C986" s="88">
        <f>IFERROR(IF(INDEX(Firms!$R$5:$R$1004,MATCH(982,Firms!$U$5:$U$1004,0))="","",INDEX(Firms!$R$5:$R$1004,MATCH(982,Firms!$U$5:$U$1004,0))),"")</f>
        <v/>
      </c>
      <c r="D986" s="91">
        <f>IFERROR(INDEX(Firms!$S$5:$S$1004,MATCH(982,Firms!$U$5:$U$1004,0))&amp;"","")</f>
        <v/>
      </c>
      <c r="E986" s="91">
        <f>IFERROR(INDEX(Firms!$C$5:$C$1004,MATCH(982,Firms!$U$5:$U$1004,0))&amp;"","")</f>
        <v/>
      </c>
      <c r="F986" s="79">
        <f>IFERROR(INDEX(Firms!$N$5:$N$1004,MATCH(982,Firms!$U$5:$U$1004,0))&amp;"","")</f>
        <v/>
      </c>
      <c r="G986" s="79">
        <f>IFERROR(INDEX(Firms!$P$5:$P$1004,MATCH(982,Firms!$U$5:$U$1004,0))&amp;"","")</f>
        <v/>
      </c>
      <c r="H986" s="91">
        <f>IFERROR(INDEX(Firms!$T$5:$T$1004,MATCH(982,Firms!$U$5:$U$1004,0))&amp;"","")</f>
        <v/>
      </c>
    </row>
    <row r="987">
      <c r="A987" s="79">
        <f>IF(B987="","",983)</f>
        <v/>
      </c>
      <c r="B987" s="91">
        <f>IFERROR(INDEX(Firms!$A$5:$A$1004,MATCH(983,Firms!$U$5:$U$1004,0))&amp;"","")</f>
        <v/>
      </c>
      <c r="C987" s="88">
        <f>IFERROR(IF(INDEX(Firms!$R$5:$R$1004,MATCH(983,Firms!$U$5:$U$1004,0))="","",INDEX(Firms!$R$5:$R$1004,MATCH(983,Firms!$U$5:$U$1004,0))),"")</f>
        <v/>
      </c>
      <c r="D987" s="91">
        <f>IFERROR(INDEX(Firms!$S$5:$S$1004,MATCH(983,Firms!$U$5:$U$1004,0))&amp;"","")</f>
        <v/>
      </c>
      <c r="E987" s="91">
        <f>IFERROR(INDEX(Firms!$C$5:$C$1004,MATCH(983,Firms!$U$5:$U$1004,0))&amp;"","")</f>
        <v/>
      </c>
      <c r="F987" s="79">
        <f>IFERROR(INDEX(Firms!$N$5:$N$1004,MATCH(983,Firms!$U$5:$U$1004,0))&amp;"","")</f>
        <v/>
      </c>
      <c r="G987" s="79">
        <f>IFERROR(INDEX(Firms!$P$5:$P$1004,MATCH(983,Firms!$U$5:$U$1004,0))&amp;"","")</f>
        <v/>
      </c>
      <c r="H987" s="91">
        <f>IFERROR(INDEX(Firms!$T$5:$T$1004,MATCH(983,Firms!$U$5:$U$1004,0))&amp;"","")</f>
        <v/>
      </c>
    </row>
    <row r="988">
      <c r="A988" s="79">
        <f>IF(B988="","",984)</f>
        <v/>
      </c>
      <c r="B988" s="91">
        <f>IFERROR(INDEX(Firms!$A$5:$A$1004,MATCH(984,Firms!$U$5:$U$1004,0))&amp;"","")</f>
        <v/>
      </c>
      <c r="C988" s="88">
        <f>IFERROR(IF(INDEX(Firms!$R$5:$R$1004,MATCH(984,Firms!$U$5:$U$1004,0))="","",INDEX(Firms!$R$5:$R$1004,MATCH(984,Firms!$U$5:$U$1004,0))),"")</f>
        <v/>
      </c>
      <c r="D988" s="91">
        <f>IFERROR(INDEX(Firms!$S$5:$S$1004,MATCH(984,Firms!$U$5:$U$1004,0))&amp;"","")</f>
        <v/>
      </c>
      <c r="E988" s="91">
        <f>IFERROR(INDEX(Firms!$C$5:$C$1004,MATCH(984,Firms!$U$5:$U$1004,0))&amp;"","")</f>
        <v/>
      </c>
      <c r="F988" s="79">
        <f>IFERROR(INDEX(Firms!$N$5:$N$1004,MATCH(984,Firms!$U$5:$U$1004,0))&amp;"","")</f>
        <v/>
      </c>
      <c r="G988" s="79">
        <f>IFERROR(INDEX(Firms!$P$5:$P$1004,MATCH(984,Firms!$U$5:$U$1004,0))&amp;"","")</f>
        <v/>
      </c>
      <c r="H988" s="91">
        <f>IFERROR(INDEX(Firms!$T$5:$T$1004,MATCH(984,Firms!$U$5:$U$1004,0))&amp;"","")</f>
        <v/>
      </c>
    </row>
    <row r="989">
      <c r="A989" s="79">
        <f>IF(B989="","",985)</f>
        <v/>
      </c>
      <c r="B989" s="91">
        <f>IFERROR(INDEX(Firms!$A$5:$A$1004,MATCH(985,Firms!$U$5:$U$1004,0))&amp;"","")</f>
        <v/>
      </c>
      <c r="C989" s="88">
        <f>IFERROR(IF(INDEX(Firms!$R$5:$R$1004,MATCH(985,Firms!$U$5:$U$1004,0))="","",INDEX(Firms!$R$5:$R$1004,MATCH(985,Firms!$U$5:$U$1004,0))),"")</f>
        <v/>
      </c>
      <c r="D989" s="91">
        <f>IFERROR(INDEX(Firms!$S$5:$S$1004,MATCH(985,Firms!$U$5:$U$1004,0))&amp;"","")</f>
        <v/>
      </c>
      <c r="E989" s="91">
        <f>IFERROR(INDEX(Firms!$C$5:$C$1004,MATCH(985,Firms!$U$5:$U$1004,0))&amp;"","")</f>
        <v/>
      </c>
      <c r="F989" s="79">
        <f>IFERROR(INDEX(Firms!$N$5:$N$1004,MATCH(985,Firms!$U$5:$U$1004,0))&amp;"","")</f>
        <v/>
      </c>
      <c r="G989" s="79">
        <f>IFERROR(INDEX(Firms!$P$5:$P$1004,MATCH(985,Firms!$U$5:$U$1004,0))&amp;"","")</f>
        <v/>
      </c>
      <c r="H989" s="91">
        <f>IFERROR(INDEX(Firms!$T$5:$T$1004,MATCH(985,Firms!$U$5:$U$1004,0))&amp;"","")</f>
        <v/>
      </c>
    </row>
    <row r="990">
      <c r="A990" s="79">
        <f>IF(B990="","",986)</f>
        <v/>
      </c>
      <c r="B990" s="91">
        <f>IFERROR(INDEX(Firms!$A$5:$A$1004,MATCH(986,Firms!$U$5:$U$1004,0))&amp;"","")</f>
        <v/>
      </c>
      <c r="C990" s="88">
        <f>IFERROR(IF(INDEX(Firms!$R$5:$R$1004,MATCH(986,Firms!$U$5:$U$1004,0))="","",INDEX(Firms!$R$5:$R$1004,MATCH(986,Firms!$U$5:$U$1004,0))),"")</f>
        <v/>
      </c>
      <c r="D990" s="91">
        <f>IFERROR(INDEX(Firms!$S$5:$S$1004,MATCH(986,Firms!$U$5:$U$1004,0))&amp;"","")</f>
        <v/>
      </c>
      <c r="E990" s="91">
        <f>IFERROR(INDEX(Firms!$C$5:$C$1004,MATCH(986,Firms!$U$5:$U$1004,0))&amp;"","")</f>
        <v/>
      </c>
      <c r="F990" s="79">
        <f>IFERROR(INDEX(Firms!$N$5:$N$1004,MATCH(986,Firms!$U$5:$U$1004,0))&amp;"","")</f>
        <v/>
      </c>
      <c r="G990" s="79">
        <f>IFERROR(INDEX(Firms!$P$5:$P$1004,MATCH(986,Firms!$U$5:$U$1004,0))&amp;"","")</f>
        <v/>
      </c>
      <c r="H990" s="91">
        <f>IFERROR(INDEX(Firms!$T$5:$T$1004,MATCH(986,Firms!$U$5:$U$1004,0))&amp;"","")</f>
        <v/>
      </c>
    </row>
    <row r="991">
      <c r="A991" s="79">
        <f>IF(B991="","",987)</f>
        <v/>
      </c>
      <c r="B991" s="91">
        <f>IFERROR(INDEX(Firms!$A$5:$A$1004,MATCH(987,Firms!$U$5:$U$1004,0))&amp;"","")</f>
        <v/>
      </c>
      <c r="C991" s="88">
        <f>IFERROR(IF(INDEX(Firms!$R$5:$R$1004,MATCH(987,Firms!$U$5:$U$1004,0))="","",INDEX(Firms!$R$5:$R$1004,MATCH(987,Firms!$U$5:$U$1004,0))),"")</f>
        <v/>
      </c>
      <c r="D991" s="91">
        <f>IFERROR(INDEX(Firms!$S$5:$S$1004,MATCH(987,Firms!$U$5:$U$1004,0))&amp;"","")</f>
        <v/>
      </c>
      <c r="E991" s="91">
        <f>IFERROR(INDEX(Firms!$C$5:$C$1004,MATCH(987,Firms!$U$5:$U$1004,0))&amp;"","")</f>
        <v/>
      </c>
      <c r="F991" s="79">
        <f>IFERROR(INDEX(Firms!$N$5:$N$1004,MATCH(987,Firms!$U$5:$U$1004,0))&amp;"","")</f>
        <v/>
      </c>
      <c r="G991" s="79">
        <f>IFERROR(INDEX(Firms!$P$5:$P$1004,MATCH(987,Firms!$U$5:$U$1004,0))&amp;"","")</f>
        <v/>
      </c>
      <c r="H991" s="91">
        <f>IFERROR(INDEX(Firms!$T$5:$T$1004,MATCH(987,Firms!$U$5:$U$1004,0))&amp;"","")</f>
        <v/>
      </c>
    </row>
    <row r="992">
      <c r="A992" s="79">
        <f>IF(B992="","",988)</f>
        <v/>
      </c>
      <c r="B992" s="91">
        <f>IFERROR(INDEX(Firms!$A$5:$A$1004,MATCH(988,Firms!$U$5:$U$1004,0))&amp;"","")</f>
        <v/>
      </c>
      <c r="C992" s="88">
        <f>IFERROR(IF(INDEX(Firms!$R$5:$R$1004,MATCH(988,Firms!$U$5:$U$1004,0))="","",INDEX(Firms!$R$5:$R$1004,MATCH(988,Firms!$U$5:$U$1004,0))),"")</f>
        <v/>
      </c>
      <c r="D992" s="91">
        <f>IFERROR(INDEX(Firms!$S$5:$S$1004,MATCH(988,Firms!$U$5:$U$1004,0))&amp;"","")</f>
        <v/>
      </c>
      <c r="E992" s="91">
        <f>IFERROR(INDEX(Firms!$C$5:$C$1004,MATCH(988,Firms!$U$5:$U$1004,0))&amp;"","")</f>
        <v/>
      </c>
      <c r="F992" s="79">
        <f>IFERROR(INDEX(Firms!$N$5:$N$1004,MATCH(988,Firms!$U$5:$U$1004,0))&amp;"","")</f>
        <v/>
      </c>
      <c r="G992" s="79">
        <f>IFERROR(INDEX(Firms!$P$5:$P$1004,MATCH(988,Firms!$U$5:$U$1004,0))&amp;"","")</f>
        <v/>
      </c>
      <c r="H992" s="91">
        <f>IFERROR(INDEX(Firms!$T$5:$T$1004,MATCH(988,Firms!$U$5:$U$1004,0))&amp;"","")</f>
        <v/>
      </c>
    </row>
    <row r="993">
      <c r="A993" s="79">
        <f>IF(B993="","",989)</f>
        <v/>
      </c>
      <c r="B993" s="91">
        <f>IFERROR(INDEX(Firms!$A$5:$A$1004,MATCH(989,Firms!$U$5:$U$1004,0))&amp;"","")</f>
        <v/>
      </c>
      <c r="C993" s="88">
        <f>IFERROR(IF(INDEX(Firms!$R$5:$R$1004,MATCH(989,Firms!$U$5:$U$1004,0))="","",INDEX(Firms!$R$5:$R$1004,MATCH(989,Firms!$U$5:$U$1004,0))),"")</f>
        <v/>
      </c>
      <c r="D993" s="91">
        <f>IFERROR(INDEX(Firms!$S$5:$S$1004,MATCH(989,Firms!$U$5:$U$1004,0))&amp;"","")</f>
        <v/>
      </c>
      <c r="E993" s="91">
        <f>IFERROR(INDEX(Firms!$C$5:$C$1004,MATCH(989,Firms!$U$5:$U$1004,0))&amp;"","")</f>
        <v/>
      </c>
      <c r="F993" s="79">
        <f>IFERROR(INDEX(Firms!$N$5:$N$1004,MATCH(989,Firms!$U$5:$U$1004,0))&amp;"","")</f>
        <v/>
      </c>
      <c r="G993" s="79">
        <f>IFERROR(INDEX(Firms!$P$5:$P$1004,MATCH(989,Firms!$U$5:$U$1004,0))&amp;"","")</f>
        <v/>
      </c>
      <c r="H993" s="91">
        <f>IFERROR(INDEX(Firms!$T$5:$T$1004,MATCH(989,Firms!$U$5:$U$1004,0))&amp;"","")</f>
        <v/>
      </c>
    </row>
    <row r="994">
      <c r="A994" s="79">
        <f>IF(B994="","",990)</f>
        <v/>
      </c>
      <c r="B994" s="91">
        <f>IFERROR(INDEX(Firms!$A$5:$A$1004,MATCH(990,Firms!$U$5:$U$1004,0))&amp;"","")</f>
        <v/>
      </c>
      <c r="C994" s="88">
        <f>IFERROR(IF(INDEX(Firms!$R$5:$R$1004,MATCH(990,Firms!$U$5:$U$1004,0))="","",INDEX(Firms!$R$5:$R$1004,MATCH(990,Firms!$U$5:$U$1004,0))),"")</f>
        <v/>
      </c>
      <c r="D994" s="91">
        <f>IFERROR(INDEX(Firms!$S$5:$S$1004,MATCH(990,Firms!$U$5:$U$1004,0))&amp;"","")</f>
        <v/>
      </c>
      <c r="E994" s="91">
        <f>IFERROR(INDEX(Firms!$C$5:$C$1004,MATCH(990,Firms!$U$5:$U$1004,0))&amp;"","")</f>
        <v/>
      </c>
      <c r="F994" s="79">
        <f>IFERROR(INDEX(Firms!$N$5:$N$1004,MATCH(990,Firms!$U$5:$U$1004,0))&amp;"","")</f>
        <v/>
      </c>
      <c r="G994" s="79">
        <f>IFERROR(INDEX(Firms!$P$5:$P$1004,MATCH(990,Firms!$U$5:$U$1004,0))&amp;"","")</f>
        <v/>
      </c>
      <c r="H994" s="91">
        <f>IFERROR(INDEX(Firms!$T$5:$T$1004,MATCH(990,Firms!$U$5:$U$1004,0))&amp;"","")</f>
        <v/>
      </c>
    </row>
    <row r="995">
      <c r="A995" s="79">
        <f>IF(B995="","",991)</f>
        <v/>
      </c>
      <c r="B995" s="91">
        <f>IFERROR(INDEX(Firms!$A$5:$A$1004,MATCH(991,Firms!$U$5:$U$1004,0))&amp;"","")</f>
        <v/>
      </c>
      <c r="C995" s="88">
        <f>IFERROR(IF(INDEX(Firms!$R$5:$R$1004,MATCH(991,Firms!$U$5:$U$1004,0))="","",INDEX(Firms!$R$5:$R$1004,MATCH(991,Firms!$U$5:$U$1004,0))),"")</f>
        <v/>
      </c>
      <c r="D995" s="91">
        <f>IFERROR(INDEX(Firms!$S$5:$S$1004,MATCH(991,Firms!$U$5:$U$1004,0))&amp;"","")</f>
        <v/>
      </c>
      <c r="E995" s="91">
        <f>IFERROR(INDEX(Firms!$C$5:$C$1004,MATCH(991,Firms!$U$5:$U$1004,0))&amp;"","")</f>
        <v/>
      </c>
      <c r="F995" s="79">
        <f>IFERROR(INDEX(Firms!$N$5:$N$1004,MATCH(991,Firms!$U$5:$U$1004,0))&amp;"","")</f>
        <v/>
      </c>
      <c r="G995" s="79">
        <f>IFERROR(INDEX(Firms!$P$5:$P$1004,MATCH(991,Firms!$U$5:$U$1004,0))&amp;"","")</f>
        <v/>
      </c>
      <c r="H995" s="91">
        <f>IFERROR(INDEX(Firms!$T$5:$T$1004,MATCH(991,Firms!$U$5:$U$1004,0))&amp;"","")</f>
        <v/>
      </c>
    </row>
    <row r="996">
      <c r="A996" s="79">
        <f>IF(B996="","",992)</f>
        <v/>
      </c>
      <c r="B996" s="91">
        <f>IFERROR(INDEX(Firms!$A$5:$A$1004,MATCH(992,Firms!$U$5:$U$1004,0))&amp;"","")</f>
        <v/>
      </c>
      <c r="C996" s="88">
        <f>IFERROR(IF(INDEX(Firms!$R$5:$R$1004,MATCH(992,Firms!$U$5:$U$1004,0))="","",INDEX(Firms!$R$5:$R$1004,MATCH(992,Firms!$U$5:$U$1004,0))),"")</f>
        <v/>
      </c>
      <c r="D996" s="91">
        <f>IFERROR(INDEX(Firms!$S$5:$S$1004,MATCH(992,Firms!$U$5:$U$1004,0))&amp;"","")</f>
        <v/>
      </c>
      <c r="E996" s="91">
        <f>IFERROR(INDEX(Firms!$C$5:$C$1004,MATCH(992,Firms!$U$5:$U$1004,0))&amp;"","")</f>
        <v/>
      </c>
      <c r="F996" s="79">
        <f>IFERROR(INDEX(Firms!$N$5:$N$1004,MATCH(992,Firms!$U$5:$U$1004,0))&amp;"","")</f>
        <v/>
      </c>
      <c r="G996" s="79">
        <f>IFERROR(INDEX(Firms!$P$5:$P$1004,MATCH(992,Firms!$U$5:$U$1004,0))&amp;"","")</f>
        <v/>
      </c>
      <c r="H996" s="91">
        <f>IFERROR(INDEX(Firms!$T$5:$T$1004,MATCH(992,Firms!$U$5:$U$1004,0))&amp;"","")</f>
        <v/>
      </c>
    </row>
    <row r="997">
      <c r="A997" s="79">
        <f>IF(B997="","",993)</f>
        <v/>
      </c>
      <c r="B997" s="91">
        <f>IFERROR(INDEX(Firms!$A$5:$A$1004,MATCH(993,Firms!$U$5:$U$1004,0))&amp;"","")</f>
        <v/>
      </c>
      <c r="C997" s="88">
        <f>IFERROR(IF(INDEX(Firms!$R$5:$R$1004,MATCH(993,Firms!$U$5:$U$1004,0))="","",INDEX(Firms!$R$5:$R$1004,MATCH(993,Firms!$U$5:$U$1004,0))),"")</f>
        <v/>
      </c>
      <c r="D997" s="91">
        <f>IFERROR(INDEX(Firms!$S$5:$S$1004,MATCH(993,Firms!$U$5:$U$1004,0))&amp;"","")</f>
        <v/>
      </c>
      <c r="E997" s="91">
        <f>IFERROR(INDEX(Firms!$C$5:$C$1004,MATCH(993,Firms!$U$5:$U$1004,0))&amp;"","")</f>
        <v/>
      </c>
      <c r="F997" s="79">
        <f>IFERROR(INDEX(Firms!$N$5:$N$1004,MATCH(993,Firms!$U$5:$U$1004,0))&amp;"","")</f>
        <v/>
      </c>
      <c r="G997" s="79">
        <f>IFERROR(INDEX(Firms!$P$5:$P$1004,MATCH(993,Firms!$U$5:$U$1004,0))&amp;"","")</f>
        <v/>
      </c>
      <c r="H997" s="91">
        <f>IFERROR(INDEX(Firms!$T$5:$T$1004,MATCH(993,Firms!$U$5:$U$1004,0))&amp;"","")</f>
        <v/>
      </c>
    </row>
    <row r="998">
      <c r="A998" s="79">
        <f>IF(B998="","",994)</f>
        <v/>
      </c>
      <c r="B998" s="91">
        <f>IFERROR(INDEX(Firms!$A$5:$A$1004,MATCH(994,Firms!$U$5:$U$1004,0))&amp;"","")</f>
        <v/>
      </c>
      <c r="C998" s="88">
        <f>IFERROR(IF(INDEX(Firms!$R$5:$R$1004,MATCH(994,Firms!$U$5:$U$1004,0))="","",INDEX(Firms!$R$5:$R$1004,MATCH(994,Firms!$U$5:$U$1004,0))),"")</f>
        <v/>
      </c>
      <c r="D998" s="91">
        <f>IFERROR(INDEX(Firms!$S$5:$S$1004,MATCH(994,Firms!$U$5:$U$1004,0))&amp;"","")</f>
        <v/>
      </c>
      <c r="E998" s="91">
        <f>IFERROR(INDEX(Firms!$C$5:$C$1004,MATCH(994,Firms!$U$5:$U$1004,0))&amp;"","")</f>
        <v/>
      </c>
      <c r="F998" s="79">
        <f>IFERROR(INDEX(Firms!$N$5:$N$1004,MATCH(994,Firms!$U$5:$U$1004,0))&amp;"","")</f>
        <v/>
      </c>
      <c r="G998" s="79">
        <f>IFERROR(INDEX(Firms!$P$5:$P$1004,MATCH(994,Firms!$U$5:$U$1004,0))&amp;"","")</f>
        <v/>
      </c>
      <c r="H998" s="91">
        <f>IFERROR(INDEX(Firms!$T$5:$T$1004,MATCH(994,Firms!$U$5:$U$1004,0))&amp;"","")</f>
        <v/>
      </c>
    </row>
    <row r="999">
      <c r="A999" s="79">
        <f>IF(B999="","",995)</f>
        <v/>
      </c>
      <c r="B999" s="91">
        <f>IFERROR(INDEX(Firms!$A$5:$A$1004,MATCH(995,Firms!$U$5:$U$1004,0))&amp;"","")</f>
        <v/>
      </c>
      <c r="C999" s="88">
        <f>IFERROR(IF(INDEX(Firms!$R$5:$R$1004,MATCH(995,Firms!$U$5:$U$1004,0))="","",INDEX(Firms!$R$5:$R$1004,MATCH(995,Firms!$U$5:$U$1004,0))),"")</f>
        <v/>
      </c>
      <c r="D999" s="91">
        <f>IFERROR(INDEX(Firms!$S$5:$S$1004,MATCH(995,Firms!$U$5:$U$1004,0))&amp;"","")</f>
        <v/>
      </c>
      <c r="E999" s="91">
        <f>IFERROR(INDEX(Firms!$C$5:$C$1004,MATCH(995,Firms!$U$5:$U$1004,0))&amp;"","")</f>
        <v/>
      </c>
      <c r="F999" s="79">
        <f>IFERROR(INDEX(Firms!$N$5:$N$1004,MATCH(995,Firms!$U$5:$U$1004,0))&amp;"","")</f>
        <v/>
      </c>
      <c r="G999" s="79">
        <f>IFERROR(INDEX(Firms!$P$5:$P$1004,MATCH(995,Firms!$U$5:$U$1004,0))&amp;"","")</f>
        <v/>
      </c>
      <c r="H999" s="91">
        <f>IFERROR(INDEX(Firms!$T$5:$T$1004,MATCH(995,Firms!$U$5:$U$1004,0))&amp;"","")</f>
        <v/>
      </c>
    </row>
    <row r="1000">
      <c r="A1000" s="79">
        <f>IF(B1000="","",996)</f>
        <v/>
      </c>
      <c r="B1000" s="91">
        <f>IFERROR(INDEX(Firms!$A$5:$A$1004,MATCH(996,Firms!$U$5:$U$1004,0))&amp;"","")</f>
        <v/>
      </c>
      <c r="C1000" s="88">
        <f>IFERROR(IF(INDEX(Firms!$R$5:$R$1004,MATCH(996,Firms!$U$5:$U$1004,0))="","",INDEX(Firms!$R$5:$R$1004,MATCH(996,Firms!$U$5:$U$1004,0))),"")</f>
        <v/>
      </c>
      <c r="D1000" s="91">
        <f>IFERROR(INDEX(Firms!$S$5:$S$1004,MATCH(996,Firms!$U$5:$U$1004,0))&amp;"","")</f>
        <v/>
      </c>
      <c r="E1000" s="91">
        <f>IFERROR(INDEX(Firms!$C$5:$C$1004,MATCH(996,Firms!$U$5:$U$1004,0))&amp;"","")</f>
        <v/>
      </c>
      <c r="F1000" s="79">
        <f>IFERROR(INDEX(Firms!$N$5:$N$1004,MATCH(996,Firms!$U$5:$U$1004,0))&amp;"","")</f>
        <v/>
      </c>
      <c r="G1000" s="79">
        <f>IFERROR(INDEX(Firms!$P$5:$P$1004,MATCH(996,Firms!$U$5:$U$1004,0))&amp;"","")</f>
        <v/>
      </c>
      <c r="H1000" s="91">
        <f>IFERROR(INDEX(Firms!$T$5:$T$1004,MATCH(996,Firms!$U$5:$U$1004,0))&amp;"","")</f>
        <v/>
      </c>
    </row>
    <row r="1001">
      <c r="A1001" s="79">
        <f>IF(B1001="","",997)</f>
        <v/>
      </c>
      <c r="B1001" s="91">
        <f>IFERROR(INDEX(Firms!$A$5:$A$1004,MATCH(997,Firms!$U$5:$U$1004,0))&amp;"","")</f>
        <v/>
      </c>
      <c r="C1001" s="88">
        <f>IFERROR(IF(INDEX(Firms!$R$5:$R$1004,MATCH(997,Firms!$U$5:$U$1004,0))="","",INDEX(Firms!$R$5:$R$1004,MATCH(997,Firms!$U$5:$U$1004,0))),"")</f>
        <v/>
      </c>
      <c r="D1001" s="91">
        <f>IFERROR(INDEX(Firms!$S$5:$S$1004,MATCH(997,Firms!$U$5:$U$1004,0))&amp;"","")</f>
        <v/>
      </c>
      <c r="E1001" s="91">
        <f>IFERROR(INDEX(Firms!$C$5:$C$1004,MATCH(997,Firms!$U$5:$U$1004,0))&amp;"","")</f>
        <v/>
      </c>
      <c r="F1001" s="79">
        <f>IFERROR(INDEX(Firms!$N$5:$N$1004,MATCH(997,Firms!$U$5:$U$1004,0))&amp;"","")</f>
        <v/>
      </c>
      <c r="G1001" s="79">
        <f>IFERROR(INDEX(Firms!$P$5:$P$1004,MATCH(997,Firms!$U$5:$U$1004,0))&amp;"","")</f>
        <v/>
      </c>
      <c r="H1001" s="91">
        <f>IFERROR(INDEX(Firms!$T$5:$T$1004,MATCH(997,Firms!$U$5:$U$1004,0))&amp;"","")</f>
        <v/>
      </c>
    </row>
    <row r="1002">
      <c r="A1002" s="79">
        <f>IF(B1002="","",998)</f>
        <v/>
      </c>
      <c r="B1002" s="91">
        <f>IFERROR(INDEX(Firms!$A$5:$A$1004,MATCH(998,Firms!$U$5:$U$1004,0))&amp;"","")</f>
        <v/>
      </c>
      <c r="C1002" s="88">
        <f>IFERROR(IF(INDEX(Firms!$R$5:$R$1004,MATCH(998,Firms!$U$5:$U$1004,0))="","",INDEX(Firms!$R$5:$R$1004,MATCH(998,Firms!$U$5:$U$1004,0))),"")</f>
        <v/>
      </c>
      <c r="D1002" s="91">
        <f>IFERROR(INDEX(Firms!$S$5:$S$1004,MATCH(998,Firms!$U$5:$U$1004,0))&amp;"","")</f>
        <v/>
      </c>
      <c r="E1002" s="91">
        <f>IFERROR(INDEX(Firms!$C$5:$C$1004,MATCH(998,Firms!$U$5:$U$1004,0))&amp;"","")</f>
        <v/>
      </c>
      <c r="F1002" s="79">
        <f>IFERROR(INDEX(Firms!$N$5:$N$1004,MATCH(998,Firms!$U$5:$U$1004,0))&amp;"","")</f>
        <v/>
      </c>
      <c r="G1002" s="79">
        <f>IFERROR(INDEX(Firms!$P$5:$P$1004,MATCH(998,Firms!$U$5:$U$1004,0))&amp;"","")</f>
        <v/>
      </c>
      <c r="H1002" s="91">
        <f>IFERROR(INDEX(Firms!$T$5:$T$1004,MATCH(998,Firms!$U$5:$U$1004,0))&amp;"","")</f>
        <v/>
      </c>
    </row>
    <row r="1003">
      <c r="A1003" s="79">
        <f>IF(B1003="","",999)</f>
        <v/>
      </c>
      <c r="B1003" s="91">
        <f>IFERROR(INDEX(Firms!$A$5:$A$1004,MATCH(999,Firms!$U$5:$U$1004,0))&amp;"","")</f>
        <v/>
      </c>
      <c r="C1003" s="88">
        <f>IFERROR(IF(INDEX(Firms!$R$5:$R$1004,MATCH(999,Firms!$U$5:$U$1004,0))="","",INDEX(Firms!$R$5:$R$1004,MATCH(999,Firms!$U$5:$U$1004,0))),"")</f>
        <v/>
      </c>
      <c r="D1003" s="91">
        <f>IFERROR(INDEX(Firms!$S$5:$S$1004,MATCH(999,Firms!$U$5:$U$1004,0))&amp;"","")</f>
        <v/>
      </c>
      <c r="E1003" s="91">
        <f>IFERROR(INDEX(Firms!$C$5:$C$1004,MATCH(999,Firms!$U$5:$U$1004,0))&amp;"","")</f>
        <v/>
      </c>
      <c r="F1003" s="79">
        <f>IFERROR(INDEX(Firms!$N$5:$N$1004,MATCH(999,Firms!$U$5:$U$1004,0))&amp;"","")</f>
        <v/>
      </c>
      <c r="G1003" s="79">
        <f>IFERROR(INDEX(Firms!$P$5:$P$1004,MATCH(999,Firms!$U$5:$U$1004,0))&amp;"","")</f>
        <v/>
      </c>
      <c r="H1003" s="91">
        <f>IFERROR(INDEX(Firms!$T$5:$T$1004,MATCH(999,Firms!$U$5:$U$1004,0))&amp;"","")</f>
        <v/>
      </c>
    </row>
    <row r="1004">
      <c r="A1004" s="79">
        <f>IF(B1004="","",1000)</f>
        <v/>
      </c>
      <c r="B1004" s="91">
        <f>IFERROR(INDEX(Firms!$A$5:$A$1004,MATCH(1000,Firms!$U$5:$U$1004,0))&amp;"","")</f>
        <v/>
      </c>
      <c r="C1004" s="88">
        <f>IFERROR(IF(INDEX(Firms!$R$5:$R$1004,MATCH(1000,Firms!$U$5:$U$1004,0))="","",INDEX(Firms!$R$5:$R$1004,MATCH(1000,Firms!$U$5:$U$1004,0))),"")</f>
        <v/>
      </c>
      <c r="D1004" s="91">
        <f>IFERROR(INDEX(Firms!$S$5:$S$1004,MATCH(1000,Firms!$U$5:$U$1004,0))&amp;"","")</f>
        <v/>
      </c>
      <c r="E1004" s="91">
        <f>IFERROR(INDEX(Firms!$C$5:$C$1004,MATCH(1000,Firms!$U$5:$U$1004,0))&amp;"","")</f>
        <v/>
      </c>
      <c r="F1004" s="79">
        <f>IFERROR(INDEX(Firms!$N$5:$N$1004,MATCH(1000,Firms!$U$5:$U$1004,0))&amp;"","")</f>
        <v/>
      </c>
      <c r="G1004" s="79">
        <f>IFERROR(INDEX(Firms!$P$5:$P$1004,MATCH(1000,Firms!$U$5:$U$1004,0))&amp;"","")</f>
        <v/>
      </c>
      <c r="H1004" s="91">
        <f>IFERROR(INDEX(Firms!$T$5:$T$1004,MATCH(1000,Firms!$U$5:$U$1004,0))&amp;"","")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conditionalFormatting sqref="A5:H1004">
    <cfRule type="expression" priority="1" dxfId="17">
      <formula>$B5&lt;&gt;""</formula>
    </cfRule>
  </conditionalFormatting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F7D58B"/>
    <outlinePr summaryBelow="1" summaryRight="1"/>
    <pageSetUpPr fitToPage="1"/>
  </sheetPr>
  <dimension ref="A1:Q102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3" customWidth="1" min="14" max="14"/>
    <col width="8" customWidth="1" min="15" max="15"/>
    <col width="20" customWidth="1" min="16" max="16"/>
    <col width="12" customWidth="1" min="17" max="17"/>
  </cols>
  <sheetData>
    <row r="1" ht="34" customHeight="1">
      <c r="A1" s="80" t="inlineStr">
        <is>
          <t>Summary — Reporting Snapshot</t>
        </is>
      </c>
    </row>
    <row r="2" ht="22" customHeight="1">
      <c r="A2" s="81" t="inlineStr">
        <is>
          <t>Fully automatic. Updates whenever Firms, AFA Rates or Lists change.</t>
        </is>
      </c>
    </row>
    <row r="4">
      <c r="A4" s="3" t="inlineStr">
        <is>
          <t>KEY COUNTS</t>
        </is>
      </c>
      <c r="D4" s="3" t="inlineStr">
        <is>
          <t>FIRMS BY AFA TYPE (active AFAs)</t>
        </is>
      </c>
      <c r="I4" s="3" t="inlineStr">
        <is>
          <t>CYBER STATUS</t>
        </is>
      </c>
      <c r="O4" s="3" t="inlineStr">
        <is>
          <t>COVERAGE BY STATE (active firms, incl. nationwide)</t>
        </is>
      </c>
    </row>
    <row r="5" ht="22" customHeight="1">
      <c r="A5" s="92" t="inlineStr">
        <is>
          <t>Total Firms</t>
        </is>
      </c>
      <c r="B5" s="93">
        <f>COUNTA(Firms!$A$5:$A$1004)</f>
        <v/>
      </c>
      <c r="D5" s="82" t="inlineStr">
        <is>
          <t>AFA Type</t>
        </is>
      </c>
      <c r="E5" s="82" t="n"/>
      <c r="F5" s="82" t="inlineStr">
        <is>
          <t># Firms</t>
        </is>
      </c>
      <c r="G5" s="82" t="inlineStr">
        <is>
          <t># Active Firms</t>
        </is>
      </c>
      <c r="I5" s="82" t="inlineStr">
        <is>
          <t>Cyber Status</t>
        </is>
      </c>
      <c r="J5" s="82" t="n"/>
      <c r="K5" s="82" t="inlineStr">
        <is>
          <t># Firms</t>
        </is>
      </c>
      <c r="O5" s="82" t="inlineStr">
        <is>
          <t>State</t>
        </is>
      </c>
      <c r="P5" s="82" t="inlineStr">
        <is>
          <t>Name</t>
        </is>
      </c>
      <c r="Q5" s="82" t="inlineStr">
        <is>
          <t># Active Firms</t>
        </is>
      </c>
    </row>
    <row r="6" ht="22" customHeight="1">
      <c r="A6" s="94" t="inlineStr">
        <is>
          <t>Active Firms</t>
        </is>
      </c>
      <c r="B6" s="95">
        <f>COUNTIFS(Firms!$A$5:$A$1004,"&lt;&gt;",Firms!$B$5:$B$1004,"Active")</f>
        <v/>
      </c>
      <c r="D6" s="78">
        <f>IF(INDEX(AFA_Types_All,1)="","",INDEX(AFA_Types_All,1))</f>
        <v/>
      </c>
      <c r="F6" s="79">
        <f>IF(D6="","",COUNTIFS('AFA Rates'!$B$5:$B$1004,D6,'AFA Rates'!$A$5:$A$1004,"&lt;&gt;",'AFA Rates'!$O$5:$O$1004,"&lt;&gt;Expired"))</f>
        <v/>
      </c>
      <c r="G6" s="79">
        <f>IF(D6="","",COUNTIFS('AFA Rates'!$B$5:$B$1004,D6,'AFA Rates'!$N$5:$N$1004,"Active",'AFA Rates'!$O$5:$O$1004,"&lt;&gt;Expired"))</f>
        <v/>
      </c>
      <c r="I6" s="96">
        <f>IF(INDEX(Lists!$D$5:$D$19,1)="","",INDEX(Lists!$D$5:$D$19,1))</f>
        <v/>
      </c>
      <c r="K6" s="79">
        <f>IF(I6="","",COUNTIFS(Firms!$N$5:$N$1004,I6,Firms!$A$5:$A$1004,"&lt;&gt;"))</f>
        <v/>
      </c>
      <c r="O6" s="97" t="inlineStr">
        <is>
          <t>AL</t>
        </is>
      </c>
      <c r="P6" s="98" t="inlineStr">
        <is>
          <t>Alabama</t>
        </is>
      </c>
      <c r="Q6" s="97">
        <f>COUNTIFS(Firms!$X$5:$X$1004,"*,"&amp;O6&amp;",*",Firms!$B$5:$B$1004,"Active")+COUNTIFS(Firms!$X$5:$X$1004,",ALL,",Firms!$B$5:$B$1004,"Active")</f>
        <v/>
      </c>
    </row>
    <row r="7" ht="22" customHeight="1">
      <c r="A7" s="99" t="inlineStr">
        <is>
          <t>Paused (Do Not Use)</t>
        </is>
      </c>
      <c r="B7" s="100">
        <f>COUNTIFS(Firms!$A$5:$A$1004,"&lt;&gt;",Firms!$B$5:$B$1004,"Paused")</f>
        <v/>
      </c>
      <c r="D7" s="78">
        <f>IF(INDEX(AFA_Types_All,2)="","",INDEX(AFA_Types_All,2))</f>
        <v/>
      </c>
      <c r="F7" s="79">
        <f>IF(D7="","",COUNTIFS('AFA Rates'!$B$5:$B$1004,D7,'AFA Rates'!$A$5:$A$1004,"&lt;&gt;",'AFA Rates'!$O$5:$O$1004,"&lt;&gt;Expired"))</f>
        <v/>
      </c>
      <c r="G7" s="79">
        <f>IF(D7="","",COUNTIFS('AFA Rates'!$B$5:$B$1004,D7,'AFA Rates'!$N$5:$N$1004,"Active",'AFA Rates'!$O$5:$O$1004,"&lt;&gt;Expired"))</f>
        <v/>
      </c>
      <c r="I7" s="96">
        <f>IF(INDEX(Lists!$D$5:$D$19,2)="","",INDEX(Lists!$D$5:$D$19,2))</f>
        <v/>
      </c>
      <c r="K7" s="79">
        <f>IF(I7="","",COUNTIFS(Firms!$N$5:$N$1004,I7,Firms!$A$5:$A$1004,"&lt;&gt;"))</f>
        <v/>
      </c>
      <c r="O7" s="97" t="inlineStr">
        <is>
          <t>AK</t>
        </is>
      </c>
      <c r="P7" s="98" t="inlineStr">
        <is>
          <t>Alaska</t>
        </is>
      </c>
      <c r="Q7" s="97">
        <f>COUNTIFS(Firms!$X$5:$X$1004,"*,"&amp;O7&amp;",*",Firms!$B$5:$B$1004,"Active")+COUNTIFS(Firms!$X$5:$X$1004,",ALL,",Firms!$B$5:$B$1004,"Active")</f>
        <v/>
      </c>
    </row>
    <row r="8" ht="22" customHeight="1">
      <c r="A8" s="101" t="inlineStr">
        <is>
          <t>Firms with an active AFA</t>
        </is>
      </c>
      <c r="B8" s="102">
        <f>COUNTIF(Firms!$P$5:$P$1004,"Yes")</f>
        <v/>
      </c>
      <c r="D8" s="78">
        <f>IF(INDEX(AFA_Types_All,3)="","",INDEX(AFA_Types_All,3))</f>
        <v/>
      </c>
      <c r="F8" s="79">
        <f>IF(D8="","",COUNTIFS('AFA Rates'!$B$5:$B$1004,D8,'AFA Rates'!$A$5:$A$1004,"&lt;&gt;",'AFA Rates'!$O$5:$O$1004,"&lt;&gt;Expired"))</f>
        <v/>
      </c>
      <c r="G8" s="79">
        <f>IF(D8="","",COUNTIFS('AFA Rates'!$B$5:$B$1004,D8,'AFA Rates'!$N$5:$N$1004,"Active",'AFA Rates'!$O$5:$O$1004,"&lt;&gt;Expired"))</f>
        <v/>
      </c>
      <c r="I8" s="96">
        <f>IF(INDEX(Lists!$D$5:$D$19,3)="","",INDEX(Lists!$D$5:$D$19,3))</f>
        <v/>
      </c>
      <c r="K8" s="79">
        <f>IF(I8="","",COUNTIFS(Firms!$N$5:$N$1004,I8,Firms!$A$5:$A$1004,"&lt;&gt;"))</f>
        <v/>
      </c>
      <c r="O8" s="97" t="inlineStr">
        <is>
          <t>AZ</t>
        </is>
      </c>
      <c r="P8" s="98" t="inlineStr">
        <is>
          <t>Arizona</t>
        </is>
      </c>
      <c r="Q8" s="97">
        <f>COUNTIFS(Firms!$X$5:$X$1004,"*,"&amp;O8&amp;",*",Firms!$B$5:$B$1004,"Active")+COUNTIFS(Firms!$X$5:$X$1004,",ALL,",Firms!$B$5:$B$1004,"Active")</f>
        <v/>
      </c>
    </row>
    <row r="9" ht="22" customHeight="1">
      <c r="A9" s="101" t="inlineStr">
        <is>
          <t>Active firms with an active AFA</t>
        </is>
      </c>
      <c r="B9" s="102">
        <f>COUNTIFS(Firms!$P$5:$P$1004,"Yes",Firms!$B$5:$B$1004,"Active")</f>
        <v/>
      </c>
      <c r="D9" s="78">
        <f>IF(INDEX(AFA_Types_All,4)="","",INDEX(AFA_Types_All,4))</f>
        <v/>
      </c>
      <c r="F9" s="79">
        <f>IF(D9="","",COUNTIFS('AFA Rates'!$B$5:$B$1004,D9,'AFA Rates'!$A$5:$A$1004,"&lt;&gt;",'AFA Rates'!$O$5:$O$1004,"&lt;&gt;Expired"))</f>
        <v/>
      </c>
      <c r="G9" s="79">
        <f>IF(D9="","",COUNTIFS('AFA Rates'!$B$5:$B$1004,D9,'AFA Rates'!$N$5:$N$1004,"Active",'AFA Rates'!$O$5:$O$1004,"&lt;&gt;Expired"))</f>
        <v/>
      </c>
      <c r="I9" s="96">
        <f>IF(INDEX(Lists!$D$5:$D$19,4)="","",INDEX(Lists!$D$5:$D$19,4))</f>
        <v/>
      </c>
      <c r="K9" s="79">
        <f>IF(I9="","",COUNTIFS(Firms!$N$5:$N$1004,I9,Firms!$A$5:$A$1004,"&lt;&gt;"))</f>
        <v/>
      </c>
      <c r="O9" s="97" t="inlineStr">
        <is>
          <t>AR</t>
        </is>
      </c>
      <c r="P9" s="98" t="inlineStr">
        <is>
          <t>Arkansas</t>
        </is>
      </c>
      <c r="Q9" s="97">
        <f>COUNTIFS(Firms!$X$5:$X$1004,"*,"&amp;O9&amp;",*",Firms!$B$5:$B$1004,"Active")+COUNTIFS(Firms!$X$5:$X$1004,",ALL,",Firms!$B$5:$B$1004,"Active")</f>
        <v/>
      </c>
    </row>
    <row r="10" ht="22" customHeight="1">
      <c r="A10" s="103" t="inlineStr">
        <is>
          <t>Firms without an AFA</t>
        </is>
      </c>
      <c r="B10" s="104">
        <f>COUNTIF(Firms!$P$5:$P$1004,"No")+COUNTIF(Firms!$P$5:$P$1004,"Expired only")</f>
        <v/>
      </c>
      <c r="D10" s="78">
        <f>IF(INDEX(AFA_Types_All,5)="","",INDEX(AFA_Types_All,5))</f>
        <v/>
      </c>
      <c r="F10" s="79">
        <f>IF(D10="","",COUNTIFS('AFA Rates'!$B$5:$B$1004,D10,'AFA Rates'!$A$5:$A$1004,"&lt;&gt;",'AFA Rates'!$O$5:$O$1004,"&lt;&gt;Expired"))</f>
        <v/>
      </c>
      <c r="G10" s="79">
        <f>IF(D10="","",COUNTIFS('AFA Rates'!$B$5:$B$1004,D10,'AFA Rates'!$N$5:$N$1004,"Active",'AFA Rates'!$O$5:$O$1004,"&lt;&gt;Expired"))</f>
        <v/>
      </c>
      <c r="I10" s="96">
        <f>IF(INDEX(Lists!$D$5:$D$19,5)="","",INDEX(Lists!$D$5:$D$19,5))</f>
        <v/>
      </c>
      <c r="K10" s="79">
        <f>IF(I10="","",COUNTIFS(Firms!$N$5:$N$1004,I10,Firms!$A$5:$A$1004,"&lt;&gt;"))</f>
        <v/>
      </c>
      <c r="O10" s="97" t="inlineStr">
        <is>
          <t>CA</t>
        </is>
      </c>
      <c r="P10" s="98" t="inlineStr">
        <is>
          <t>California</t>
        </is>
      </c>
      <c r="Q10" s="97">
        <f>COUNTIFS(Firms!$X$5:$X$1004,"*,"&amp;O10&amp;",*",Firms!$B$5:$B$1004,"Active")+COUNTIFS(Firms!$X$5:$X$1004,",ALL,",Firms!$B$5:$B$1004,"Active")</f>
        <v/>
      </c>
    </row>
    <row r="11">
      <c r="D11" s="78">
        <f>IF(INDEX(AFA_Types_All,6)="","",INDEX(AFA_Types_All,6))</f>
        <v/>
      </c>
      <c r="F11" s="79">
        <f>IF(D11="","",COUNTIFS('AFA Rates'!$B$5:$B$1004,D11,'AFA Rates'!$A$5:$A$1004,"&lt;&gt;",'AFA Rates'!$O$5:$O$1004,"&lt;&gt;Expired"))</f>
        <v/>
      </c>
      <c r="G11" s="79">
        <f>IF(D11="","",COUNTIFS('AFA Rates'!$B$5:$B$1004,D11,'AFA Rates'!$N$5:$N$1004,"Active",'AFA Rates'!$O$5:$O$1004,"&lt;&gt;Expired"))</f>
        <v/>
      </c>
      <c r="I11" s="96">
        <f>IF(INDEX(Lists!$D$5:$D$19,6)="","",INDEX(Lists!$D$5:$D$19,6))</f>
        <v/>
      </c>
      <c r="K11" s="79">
        <f>IF(I11="","",COUNTIFS(Firms!$N$5:$N$1004,I11,Firms!$A$5:$A$1004,"&lt;&gt;"))</f>
        <v/>
      </c>
      <c r="O11" s="97" t="inlineStr">
        <is>
          <t>CO</t>
        </is>
      </c>
      <c r="P11" s="98" t="inlineStr">
        <is>
          <t>Colorado</t>
        </is>
      </c>
      <c r="Q11" s="97">
        <f>COUNTIFS(Firms!$X$5:$X$1004,"*,"&amp;O11&amp;",*",Firms!$B$5:$B$1004,"Active")+COUNTIFS(Firms!$X$5:$X$1004,",ALL,",Firms!$B$5:$B$1004,"Active")</f>
        <v/>
      </c>
    </row>
    <row r="12">
      <c r="A12" s="3" t="inlineStr">
        <is>
          <t>RATE REVIEW</t>
        </is>
      </c>
      <c r="D12" s="78">
        <f>IF(INDEX(AFA_Types_All,7)="","",INDEX(AFA_Types_All,7))</f>
        <v/>
      </c>
      <c r="F12" s="79">
        <f>IF(D12="","",COUNTIFS('AFA Rates'!$B$5:$B$1004,D12,'AFA Rates'!$A$5:$A$1004,"&lt;&gt;",'AFA Rates'!$O$5:$O$1004,"&lt;&gt;Expired"))</f>
        <v/>
      </c>
      <c r="G12" s="79">
        <f>IF(D12="","",COUNTIFS('AFA Rates'!$B$5:$B$1004,D12,'AFA Rates'!$N$5:$N$1004,"Active",'AFA Rates'!$O$5:$O$1004,"&lt;&gt;Expired"))</f>
        <v/>
      </c>
      <c r="I12" s="96">
        <f>IF(INDEX(Lists!$D$5:$D$19,7)="","",INDEX(Lists!$D$5:$D$19,7))</f>
        <v/>
      </c>
      <c r="K12" s="79">
        <f>IF(I12="","",COUNTIFS(Firms!$N$5:$N$1004,I12,Firms!$A$5:$A$1004,"&lt;&gt;"))</f>
        <v/>
      </c>
      <c r="O12" s="97" t="inlineStr">
        <is>
          <t>CT</t>
        </is>
      </c>
      <c r="P12" s="98" t="inlineStr">
        <is>
          <t>Connecticut</t>
        </is>
      </c>
      <c r="Q12" s="97">
        <f>COUNTIFS(Firms!$X$5:$X$1004,"*,"&amp;O12&amp;",*",Firms!$B$5:$B$1004,"Active")+COUNTIFS(Firms!$X$5:$X$1004,",ALL,",Firms!$B$5:$B$1004,"Active")</f>
        <v/>
      </c>
    </row>
    <row r="13" ht="22" customHeight="1">
      <c r="A13" s="103">
        <f>"Standard rates due for review (&gt;"&amp;Review_Months&amp;" mo)"</f>
        <v/>
      </c>
      <c r="B13" s="104">
        <f>COUNTIFS(Firms!$O$5:$O$1004,"Review Due",Firms!$B$5:$B$1004,"Active")</f>
        <v/>
      </c>
      <c r="D13" s="78">
        <f>IF(INDEX(AFA_Types_All,8)="","",INDEX(AFA_Types_All,8))</f>
        <v/>
      </c>
      <c r="F13" s="79">
        <f>IF(D13="","",COUNTIFS('AFA Rates'!$B$5:$B$1004,D13,'AFA Rates'!$A$5:$A$1004,"&lt;&gt;",'AFA Rates'!$O$5:$O$1004,"&lt;&gt;Expired"))</f>
        <v/>
      </c>
      <c r="G13" s="79">
        <f>IF(D13="","",COUNTIFS('AFA Rates'!$B$5:$B$1004,D13,'AFA Rates'!$N$5:$N$1004,"Active",'AFA Rates'!$O$5:$O$1004,"&lt;&gt;Expired"))</f>
        <v/>
      </c>
      <c r="I13" s="96">
        <f>IF(INDEX(Lists!$D$5:$D$19,8)="","",INDEX(Lists!$D$5:$D$19,8))</f>
        <v/>
      </c>
      <c r="K13" s="79">
        <f>IF(I13="","",COUNTIFS(Firms!$N$5:$N$1004,I13,Firms!$A$5:$A$1004,"&lt;&gt;"))</f>
        <v/>
      </c>
      <c r="O13" s="97" t="inlineStr">
        <is>
          <t>DE</t>
        </is>
      </c>
      <c r="P13" s="98" t="inlineStr">
        <is>
          <t>Delaware</t>
        </is>
      </c>
      <c r="Q13" s="97">
        <f>COUNTIFS(Firms!$X$5:$X$1004,"*,"&amp;O13&amp;",*",Firms!$B$5:$B$1004,"Active")+COUNTIFS(Firms!$X$5:$X$1004,",ALL,",Firms!$B$5:$B$1004,"Active")</f>
        <v/>
      </c>
    </row>
    <row r="14" ht="22" customHeight="1">
      <c r="A14" s="105" t="inlineStr">
        <is>
          <t>Standard rates with no effective date</t>
        </is>
      </c>
      <c r="B14" s="106">
        <f>COUNTIFS(Firms!$O$5:$O$1004,"No date",Firms!$B$5:$B$1004,"Active")</f>
        <v/>
      </c>
      <c r="D14" s="78">
        <f>IF(INDEX(AFA_Types_All,9)="","",INDEX(AFA_Types_All,9))</f>
        <v/>
      </c>
      <c r="F14" s="79">
        <f>IF(D14="","",COUNTIFS('AFA Rates'!$B$5:$B$1004,D14,'AFA Rates'!$A$5:$A$1004,"&lt;&gt;",'AFA Rates'!$O$5:$O$1004,"&lt;&gt;Expired"))</f>
        <v/>
      </c>
      <c r="G14" s="79">
        <f>IF(D14="","",COUNTIFS('AFA Rates'!$B$5:$B$1004,D14,'AFA Rates'!$N$5:$N$1004,"Active",'AFA Rates'!$O$5:$O$1004,"&lt;&gt;Expired"))</f>
        <v/>
      </c>
      <c r="I14" s="107" t="inlineStr">
        <is>
          <t>Not entered</t>
        </is>
      </c>
      <c r="K14" s="79">
        <f>COUNTIFS(Firms!$A$5:$A$1004,"&lt;&gt;",Firms!$N$5:$N$1004,"")</f>
        <v/>
      </c>
      <c r="O14" s="97" t="inlineStr">
        <is>
          <t>DC</t>
        </is>
      </c>
      <c r="P14" s="98" t="inlineStr">
        <is>
          <t>District of Columbia</t>
        </is>
      </c>
      <c r="Q14" s="97">
        <f>COUNTIFS(Firms!$X$5:$X$1004,"*,"&amp;O14&amp;",*",Firms!$B$5:$B$1004,"Active")+COUNTIFS(Firms!$X$5:$X$1004,",ALL,",Firms!$B$5:$B$1004,"Active")</f>
        <v/>
      </c>
    </row>
    <row r="15" ht="22" customHeight="1">
      <c r="A15" s="94" t="inlineStr">
        <is>
          <t>AFAs current</t>
        </is>
      </c>
      <c r="B15" s="95">
        <f>COUNTIF('AFA Rates'!$O$5:$O$1004,"Current")</f>
        <v/>
      </c>
      <c r="D15" s="78">
        <f>IF(INDEX(AFA_Types_All,10)="","",INDEX(AFA_Types_All,10))</f>
        <v/>
      </c>
      <c r="F15" s="79">
        <f>IF(D15="","",COUNTIFS('AFA Rates'!$B$5:$B$1004,D15,'AFA Rates'!$A$5:$A$1004,"&lt;&gt;",'AFA Rates'!$O$5:$O$1004,"&lt;&gt;Expired"))</f>
        <v/>
      </c>
      <c r="G15" s="79">
        <f>IF(D15="","",COUNTIFS('AFA Rates'!$B$5:$B$1004,D15,'AFA Rates'!$N$5:$N$1004,"Active",'AFA Rates'!$O$5:$O$1004,"&lt;&gt;Expired"))</f>
        <v/>
      </c>
      <c r="O15" s="97" t="inlineStr">
        <is>
          <t>FL</t>
        </is>
      </c>
      <c r="P15" s="98" t="inlineStr">
        <is>
          <t>Florida</t>
        </is>
      </c>
      <c r="Q15" s="97">
        <f>COUNTIFS(Firms!$X$5:$X$1004,"*,"&amp;O15&amp;",*",Firms!$B$5:$B$1004,"Active")+COUNTIFS(Firms!$X$5:$X$1004,",ALL,",Firms!$B$5:$B$1004,"Active")</f>
        <v/>
      </c>
    </row>
    <row r="16" ht="22" customHeight="1">
      <c r="A16" s="103" t="inlineStr">
        <is>
          <t>AFAs due for review</t>
        </is>
      </c>
      <c r="B16" s="104">
        <f>COUNTIF('AFA Rates'!$O$5:$O$1004,"Review Due")</f>
        <v/>
      </c>
      <c r="D16" s="78">
        <f>IF(INDEX(AFA_Types_All,11)="","",INDEX(AFA_Types_All,11))</f>
        <v/>
      </c>
      <c r="F16" s="79">
        <f>IF(D16="","",COUNTIFS('AFA Rates'!$B$5:$B$1004,D16,'AFA Rates'!$A$5:$A$1004,"&lt;&gt;",'AFA Rates'!$O$5:$O$1004,"&lt;&gt;Expired"))</f>
        <v/>
      </c>
      <c r="G16" s="79">
        <f>IF(D16="","",COUNTIFS('AFA Rates'!$B$5:$B$1004,D16,'AFA Rates'!$N$5:$N$1004,"Active",'AFA Rates'!$O$5:$O$1004,"&lt;&gt;Expired"))</f>
        <v/>
      </c>
      <c r="O16" s="97" t="inlineStr">
        <is>
          <t>GA</t>
        </is>
      </c>
      <c r="P16" s="98" t="inlineStr">
        <is>
          <t>Georgia</t>
        </is>
      </c>
      <c r="Q16" s="97">
        <f>COUNTIFS(Firms!$X$5:$X$1004,"*,"&amp;O16&amp;",*",Firms!$B$5:$B$1004,"Active")+COUNTIFS(Firms!$X$5:$X$1004,",ALL,",Firms!$B$5:$B$1004,"Active")</f>
        <v/>
      </c>
    </row>
    <row r="17" ht="22" customHeight="1">
      <c r="A17" s="99" t="inlineStr">
        <is>
          <t>AFAs expired</t>
        </is>
      </c>
      <c r="B17" s="100">
        <f>COUNTIF('AFA Rates'!$O$5:$O$1004,"Expired")</f>
        <v/>
      </c>
      <c r="D17" s="78">
        <f>IF(INDEX(AFA_Types_All,12)="","",INDEX(AFA_Types_All,12))</f>
        <v/>
      </c>
      <c r="F17" s="79">
        <f>IF(D17="","",COUNTIFS('AFA Rates'!$B$5:$B$1004,D17,'AFA Rates'!$A$5:$A$1004,"&lt;&gt;",'AFA Rates'!$O$5:$O$1004,"&lt;&gt;Expired"))</f>
        <v/>
      </c>
      <c r="G17" s="79">
        <f>IF(D17="","",COUNTIFS('AFA Rates'!$B$5:$B$1004,D17,'AFA Rates'!$N$5:$N$1004,"Active",'AFA Rates'!$O$5:$O$1004,"&lt;&gt;Expired"))</f>
        <v/>
      </c>
      <c r="O17" s="97" t="inlineStr">
        <is>
          <t>HI</t>
        </is>
      </c>
      <c r="P17" s="98" t="inlineStr">
        <is>
          <t>Hawaii</t>
        </is>
      </c>
      <c r="Q17" s="97">
        <f>COUNTIFS(Firms!$X$5:$X$1004,"*,"&amp;O17&amp;",*",Firms!$B$5:$B$1004,"Active")+COUNTIFS(Firms!$X$5:$X$1004,",ALL,",Firms!$B$5:$B$1004,"Active")</f>
        <v/>
      </c>
    </row>
    <row r="18" ht="22" customHeight="1">
      <c r="A18" s="108" t="inlineStr">
        <is>
          <t>AFAs not yet effective</t>
        </is>
      </c>
      <c r="B18" s="109">
        <f>COUNTIF('AFA Rates'!$O$5:$O$1004,"Not yet effective")</f>
        <v/>
      </c>
      <c r="D18" s="78">
        <f>IF(INDEX(AFA_Types_All,13)="","",INDEX(AFA_Types_All,13))</f>
        <v/>
      </c>
      <c r="F18" s="79">
        <f>IF(D18="","",COUNTIFS('AFA Rates'!$B$5:$B$1004,D18,'AFA Rates'!$A$5:$A$1004,"&lt;&gt;",'AFA Rates'!$O$5:$O$1004,"&lt;&gt;Expired"))</f>
        <v/>
      </c>
      <c r="G18" s="79">
        <f>IF(D18="","",COUNTIFS('AFA Rates'!$B$5:$B$1004,D18,'AFA Rates'!$N$5:$N$1004,"Active",'AFA Rates'!$O$5:$O$1004,"&lt;&gt;Expired"))</f>
        <v/>
      </c>
      <c r="O18" s="97" t="inlineStr">
        <is>
          <t>ID</t>
        </is>
      </c>
      <c r="P18" s="98" t="inlineStr">
        <is>
          <t>Idaho</t>
        </is>
      </c>
      <c r="Q18" s="97">
        <f>COUNTIFS(Firms!$X$5:$X$1004,"*,"&amp;O18&amp;",*",Firms!$B$5:$B$1004,"Active")+COUNTIFS(Firms!$X$5:$X$1004,",ALL,",Firms!$B$5:$B$1004,"Active")</f>
        <v/>
      </c>
    </row>
    <row r="19">
      <c r="A19" s="22" t="inlineStr">
        <is>
          <t>Rate review counts include active firms only.</t>
        </is>
      </c>
      <c r="D19" s="78">
        <f>IF(INDEX(AFA_Types_All,14)="","",INDEX(AFA_Types_All,14))</f>
        <v/>
      </c>
      <c r="F19" s="79">
        <f>IF(D19="","",COUNTIFS('AFA Rates'!$B$5:$B$1004,D19,'AFA Rates'!$A$5:$A$1004,"&lt;&gt;",'AFA Rates'!$O$5:$O$1004,"&lt;&gt;Expired"))</f>
        <v/>
      </c>
      <c r="G19" s="79">
        <f>IF(D19="","",COUNTIFS('AFA Rates'!$B$5:$B$1004,D19,'AFA Rates'!$N$5:$N$1004,"Active",'AFA Rates'!$O$5:$O$1004,"&lt;&gt;Expired"))</f>
        <v/>
      </c>
      <c r="O19" s="97" t="inlineStr">
        <is>
          <t>IL</t>
        </is>
      </c>
      <c r="P19" s="98" t="inlineStr">
        <is>
          <t>Illinois</t>
        </is>
      </c>
      <c r="Q19" s="97">
        <f>COUNTIFS(Firms!$X$5:$X$1004,"*,"&amp;O19&amp;",*",Firms!$B$5:$B$1004,"Active")+COUNTIFS(Firms!$X$5:$X$1004,",ALL,",Firms!$B$5:$B$1004,"Active")</f>
        <v/>
      </c>
    </row>
    <row r="20">
      <c r="D20" s="78">
        <f>IF(INDEX(AFA_Types_All,15)="","",INDEX(AFA_Types_All,15))</f>
        <v/>
      </c>
      <c r="F20" s="79">
        <f>IF(D20="","",COUNTIFS('AFA Rates'!$B$5:$B$1004,D20,'AFA Rates'!$A$5:$A$1004,"&lt;&gt;",'AFA Rates'!$O$5:$O$1004,"&lt;&gt;Expired"))</f>
        <v/>
      </c>
      <c r="G20" s="79">
        <f>IF(D20="","",COUNTIFS('AFA Rates'!$B$5:$B$1004,D20,'AFA Rates'!$N$5:$N$1004,"Active",'AFA Rates'!$O$5:$O$1004,"&lt;&gt;Expired"))</f>
        <v/>
      </c>
      <c r="O20" s="97" t="inlineStr">
        <is>
          <t>IN</t>
        </is>
      </c>
      <c r="P20" s="98" t="inlineStr">
        <is>
          <t>Indiana</t>
        </is>
      </c>
      <c r="Q20" s="97">
        <f>COUNTIFS(Firms!$X$5:$X$1004,"*,"&amp;O20&amp;",*",Firms!$B$5:$B$1004,"Active")+COUNTIFS(Firms!$X$5:$X$1004,",ALL,",Firms!$B$5:$B$1004,"Active")</f>
        <v/>
      </c>
    </row>
    <row r="21">
      <c r="A21" s="22">
        <f>"Report as of "&amp;TEXT(TODAY(),"mmmm d, yyyy")</f>
        <v/>
      </c>
      <c r="O21" s="97" t="inlineStr">
        <is>
          <t>IA</t>
        </is>
      </c>
      <c r="P21" s="98" t="inlineStr">
        <is>
          <t>Iowa</t>
        </is>
      </c>
      <c r="Q21" s="97">
        <f>COUNTIFS(Firms!$X$5:$X$1004,"*,"&amp;O21&amp;",*",Firms!$B$5:$B$1004,"Active")+COUNTIFS(Firms!$X$5:$X$1004,",ALL,",Firms!$B$5:$B$1004,"Active")</f>
        <v/>
      </c>
    </row>
    <row r="22">
      <c r="A22" s="3" t="inlineStr">
        <is>
          <t>FIRMS WITH AFAs  (✓ = current AFA · Exp = expired)</t>
        </is>
      </c>
      <c r="O22" s="97" t="inlineStr">
        <is>
          <t>KS</t>
        </is>
      </c>
      <c r="P22" s="98" t="inlineStr">
        <is>
          <t>Kansas</t>
        </is>
      </c>
      <c r="Q22" s="97">
        <f>COUNTIFS(Firms!$X$5:$X$1004,"*,"&amp;O22&amp;",*",Firms!$B$5:$B$1004,"Active")+COUNTIFS(Firms!$X$5:$X$1004,",ALL,",Firms!$B$5:$B$1004,"Active")</f>
        <v/>
      </c>
    </row>
    <row r="23" ht="40" customHeight="1">
      <c r="A23" s="110" t="inlineStr">
        <is>
          <t>Firm Name</t>
        </is>
      </c>
      <c r="B23" s="110" t="inlineStr">
        <is>
          <t>Status</t>
        </is>
      </c>
      <c r="C23" s="110" t="inlineStr">
        <is>
          <t># Active AFAs</t>
        </is>
      </c>
      <c r="D23" s="110">
        <f>IF(INDEX(AFA_Types_All,1)="","",INDEX(AFA_Types_All,1))</f>
        <v/>
      </c>
      <c r="E23" s="110">
        <f>IF(INDEX(AFA_Types_All,2)="","",INDEX(AFA_Types_All,2))</f>
        <v/>
      </c>
      <c r="F23" s="110">
        <f>IF(INDEX(AFA_Types_All,3)="","",INDEX(AFA_Types_All,3))</f>
        <v/>
      </c>
      <c r="G23" s="110">
        <f>IF(INDEX(AFA_Types_All,4)="","",INDEX(AFA_Types_All,4))</f>
        <v/>
      </c>
      <c r="H23" s="110">
        <f>IF(INDEX(AFA_Types_All,5)="","",INDEX(AFA_Types_All,5))</f>
        <v/>
      </c>
      <c r="I23" s="110">
        <f>IF(INDEX(AFA_Types_All,6)="","",INDEX(AFA_Types_All,6))</f>
        <v/>
      </c>
      <c r="J23" s="110">
        <f>IF(INDEX(AFA_Types_All,7)="","",INDEX(AFA_Types_All,7))</f>
        <v/>
      </c>
      <c r="K23" s="110">
        <f>IF(INDEX(AFA_Types_All,8)="","",INDEX(AFA_Types_All,8))</f>
        <v/>
      </c>
      <c r="L23" s="110">
        <f>IF(INDEX(AFA_Types_All,9)="","",INDEX(AFA_Types_All,9))</f>
        <v/>
      </c>
      <c r="M23" s="110">
        <f>IF(INDEX(AFA_Types_All,10)="","",INDEX(AFA_Types_All,10))</f>
        <v/>
      </c>
      <c r="O23" s="97" t="inlineStr">
        <is>
          <t>KY</t>
        </is>
      </c>
      <c r="P23" s="98" t="inlineStr">
        <is>
          <t>Kentucky</t>
        </is>
      </c>
      <c r="Q23" s="97">
        <f>COUNTIFS(Firms!$X$5:$X$1004,"*,"&amp;O23&amp;",*",Firms!$B$5:$B$1004,"Active")+COUNTIFS(Firms!$X$5:$X$1004,",ALL,",Firms!$B$5:$B$1004,"Active")</f>
        <v/>
      </c>
    </row>
    <row r="24">
      <c r="A24" s="78">
        <f>IFERROR(INDEX(Firms!$A$5:$A$1004,MATCH(1,Firms!$V$5:$V$1004,0)),"")</f>
        <v/>
      </c>
      <c r="B24" s="79">
        <f>IF($A24="","",INDEX(Firms!$B$5:$B$1004,MATCH(1,Firms!$V$5:$V$1004,0)))</f>
        <v/>
      </c>
      <c r="C24" s="79">
        <f>IF($A24="","",COUNTIFS('AFA Rates'!$A$5:$A$1004,$A24,'AFA Rates'!$O$5:$O$1004,"&lt;&gt;Expired"))</f>
        <v/>
      </c>
      <c r="D24" s="79">
        <f>IF(OR($A24="",D$23=""),"",IF(COUNTIFS('AFA Rates'!$A$5:$A$1004,$A24,'AFA Rates'!$B$5:$B$1004,D$23,'AFA Rates'!$O$5:$O$1004,"&lt;&gt;Expired")&gt;0,"✓",IF(COUNTIFS('AFA Rates'!$A$5:$A$1004,$A24,'AFA Rates'!$B$5:$B$1004,D$23)&gt;0,"Exp","")))</f>
        <v/>
      </c>
      <c r="E24" s="79">
        <f>IF(OR($A24="",E$23=""),"",IF(COUNTIFS('AFA Rates'!$A$5:$A$1004,$A24,'AFA Rates'!$B$5:$B$1004,E$23,'AFA Rates'!$O$5:$O$1004,"&lt;&gt;Expired")&gt;0,"✓",IF(COUNTIFS('AFA Rates'!$A$5:$A$1004,$A24,'AFA Rates'!$B$5:$B$1004,E$23)&gt;0,"Exp","")))</f>
        <v/>
      </c>
      <c r="F24" s="79">
        <f>IF(OR($A24="",F$23=""),"",IF(COUNTIFS('AFA Rates'!$A$5:$A$1004,$A24,'AFA Rates'!$B$5:$B$1004,F$23,'AFA Rates'!$O$5:$O$1004,"&lt;&gt;Expired")&gt;0,"✓",IF(COUNTIFS('AFA Rates'!$A$5:$A$1004,$A24,'AFA Rates'!$B$5:$B$1004,F$23)&gt;0,"Exp","")))</f>
        <v/>
      </c>
      <c r="G24" s="79">
        <f>IF(OR($A24="",G$23=""),"",IF(COUNTIFS('AFA Rates'!$A$5:$A$1004,$A24,'AFA Rates'!$B$5:$B$1004,G$23,'AFA Rates'!$O$5:$O$1004,"&lt;&gt;Expired")&gt;0,"✓",IF(COUNTIFS('AFA Rates'!$A$5:$A$1004,$A24,'AFA Rates'!$B$5:$B$1004,G$23)&gt;0,"Exp","")))</f>
        <v/>
      </c>
      <c r="H24" s="79">
        <f>IF(OR($A24="",H$23=""),"",IF(COUNTIFS('AFA Rates'!$A$5:$A$1004,$A24,'AFA Rates'!$B$5:$B$1004,H$23,'AFA Rates'!$O$5:$O$1004,"&lt;&gt;Expired")&gt;0,"✓",IF(COUNTIFS('AFA Rates'!$A$5:$A$1004,$A24,'AFA Rates'!$B$5:$B$1004,H$23)&gt;0,"Exp","")))</f>
        <v/>
      </c>
      <c r="I24" s="79">
        <f>IF(OR($A24="",I$23=""),"",IF(COUNTIFS('AFA Rates'!$A$5:$A$1004,$A24,'AFA Rates'!$B$5:$B$1004,I$23,'AFA Rates'!$O$5:$O$1004,"&lt;&gt;Expired")&gt;0,"✓",IF(COUNTIFS('AFA Rates'!$A$5:$A$1004,$A24,'AFA Rates'!$B$5:$B$1004,I$23)&gt;0,"Exp","")))</f>
        <v/>
      </c>
      <c r="J24" s="79">
        <f>IF(OR($A24="",J$23=""),"",IF(COUNTIFS('AFA Rates'!$A$5:$A$1004,$A24,'AFA Rates'!$B$5:$B$1004,J$23,'AFA Rates'!$O$5:$O$1004,"&lt;&gt;Expired")&gt;0,"✓",IF(COUNTIFS('AFA Rates'!$A$5:$A$1004,$A24,'AFA Rates'!$B$5:$B$1004,J$23)&gt;0,"Exp","")))</f>
        <v/>
      </c>
      <c r="K24" s="79">
        <f>IF(OR($A24="",K$23=""),"",IF(COUNTIFS('AFA Rates'!$A$5:$A$1004,$A24,'AFA Rates'!$B$5:$B$1004,K$23,'AFA Rates'!$O$5:$O$1004,"&lt;&gt;Expired")&gt;0,"✓",IF(COUNTIFS('AFA Rates'!$A$5:$A$1004,$A24,'AFA Rates'!$B$5:$B$1004,K$23)&gt;0,"Exp","")))</f>
        <v/>
      </c>
      <c r="L24" s="79">
        <f>IF(OR($A24="",L$23=""),"",IF(COUNTIFS('AFA Rates'!$A$5:$A$1004,$A24,'AFA Rates'!$B$5:$B$1004,L$23,'AFA Rates'!$O$5:$O$1004,"&lt;&gt;Expired")&gt;0,"✓",IF(COUNTIFS('AFA Rates'!$A$5:$A$1004,$A24,'AFA Rates'!$B$5:$B$1004,L$23)&gt;0,"Exp","")))</f>
        <v/>
      </c>
      <c r="M24" s="79">
        <f>IF(OR($A24="",M$23=""),"",IF(COUNTIFS('AFA Rates'!$A$5:$A$1004,$A24,'AFA Rates'!$B$5:$B$1004,M$23,'AFA Rates'!$O$5:$O$1004,"&lt;&gt;Expired")&gt;0,"✓",IF(COUNTIFS('AFA Rates'!$A$5:$A$1004,$A24,'AFA Rates'!$B$5:$B$1004,M$23)&gt;0,"Exp","")))</f>
        <v/>
      </c>
      <c r="O24" s="97" t="inlineStr">
        <is>
          <t>LA</t>
        </is>
      </c>
      <c r="P24" s="98" t="inlineStr">
        <is>
          <t>Louisiana</t>
        </is>
      </c>
      <c r="Q24" s="97">
        <f>COUNTIFS(Firms!$X$5:$X$1004,"*,"&amp;O24&amp;",*",Firms!$B$5:$B$1004,"Active")+COUNTIFS(Firms!$X$5:$X$1004,",ALL,",Firms!$B$5:$B$1004,"Active")</f>
        <v/>
      </c>
    </row>
    <row r="25">
      <c r="A25" s="78">
        <f>IFERROR(INDEX(Firms!$A$5:$A$1004,MATCH(2,Firms!$V$5:$V$1004,0)),"")</f>
        <v/>
      </c>
      <c r="B25" s="79">
        <f>IF($A25="","",INDEX(Firms!$B$5:$B$1004,MATCH(2,Firms!$V$5:$V$1004,0)))</f>
        <v/>
      </c>
      <c r="C25" s="79">
        <f>IF($A25="","",COUNTIFS('AFA Rates'!$A$5:$A$1004,$A25,'AFA Rates'!$O$5:$O$1004,"&lt;&gt;Expired"))</f>
        <v/>
      </c>
      <c r="D25" s="79">
        <f>IF(OR($A25="",D$23=""),"",IF(COUNTIFS('AFA Rates'!$A$5:$A$1004,$A25,'AFA Rates'!$B$5:$B$1004,D$23,'AFA Rates'!$O$5:$O$1004,"&lt;&gt;Expired")&gt;0,"✓",IF(COUNTIFS('AFA Rates'!$A$5:$A$1004,$A25,'AFA Rates'!$B$5:$B$1004,D$23)&gt;0,"Exp","")))</f>
        <v/>
      </c>
      <c r="E25" s="79">
        <f>IF(OR($A25="",E$23=""),"",IF(COUNTIFS('AFA Rates'!$A$5:$A$1004,$A25,'AFA Rates'!$B$5:$B$1004,E$23,'AFA Rates'!$O$5:$O$1004,"&lt;&gt;Expired")&gt;0,"✓",IF(COUNTIFS('AFA Rates'!$A$5:$A$1004,$A25,'AFA Rates'!$B$5:$B$1004,E$23)&gt;0,"Exp","")))</f>
        <v/>
      </c>
      <c r="F25" s="79">
        <f>IF(OR($A25="",F$23=""),"",IF(COUNTIFS('AFA Rates'!$A$5:$A$1004,$A25,'AFA Rates'!$B$5:$B$1004,F$23,'AFA Rates'!$O$5:$O$1004,"&lt;&gt;Expired")&gt;0,"✓",IF(COUNTIFS('AFA Rates'!$A$5:$A$1004,$A25,'AFA Rates'!$B$5:$B$1004,F$23)&gt;0,"Exp","")))</f>
        <v/>
      </c>
      <c r="G25" s="79">
        <f>IF(OR($A25="",G$23=""),"",IF(COUNTIFS('AFA Rates'!$A$5:$A$1004,$A25,'AFA Rates'!$B$5:$B$1004,G$23,'AFA Rates'!$O$5:$O$1004,"&lt;&gt;Expired")&gt;0,"✓",IF(COUNTIFS('AFA Rates'!$A$5:$A$1004,$A25,'AFA Rates'!$B$5:$B$1004,G$23)&gt;0,"Exp","")))</f>
        <v/>
      </c>
      <c r="H25" s="79">
        <f>IF(OR($A25="",H$23=""),"",IF(COUNTIFS('AFA Rates'!$A$5:$A$1004,$A25,'AFA Rates'!$B$5:$B$1004,H$23,'AFA Rates'!$O$5:$O$1004,"&lt;&gt;Expired")&gt;0,"✓",IF(COUNTIFS('AFA Rates'!$A$5:$A$1004,$A25,'AFA Rates'!$B$5:$B$1004,H$23)&gt;0,"Exp","")))</f>
        <v/>
      </c>
      <c r="I25" s="79">
        <f>IF(OR($A25="",I$23=""),"",IF(COUNTIFS('AFA Rates'!$A$5:$A$1004,$A25,'AFA Rates'!$B$5:$B$1004,I$23,'AFA Rates'!$O$5:$O$1004,"&lt;&gt;Expired")&gt;0,"✓",IF(COUNTIFS('AFA Rates'!$A$5:$A$1004,$A25,'AFA Rates'!$B$5:$B$1004,I$23)&gt;0,"Exp","")))</f>
        <v/>
      </c>
      <c r="J25" s="79">
        <f>IF(OR($A25="",J$23=""),"",IF(COUNTIFS('AFA Rates'!$A$5:$A$1004,$A25,'AFA Rates'!$B$5:$B$1004,J$23,'AFA Rates'!$O$5:$O$1004,"&lt;&gt;Expired")&gt;0,"✓",IF(COUNTIFS('AFA Rates'!$A$5:$A$1004,$A25,'AFA Rates'!$B$5:$B$1004,J$23)&gt;0,"Exp","")))</f>
        <v/>
      </c>
      <c r="K25" s="79">
        <f>IF(OR($A25="",K$23=""),"",IF(COUNTIFS('AFA Rates'!$A$5:$A$1004,$A25,'AFA Rates'!$B$5:$B$1004,K$23,'AFA Rates'!$O$5:$O$1004,"&lt;&gt;Expired")&gt;0,"✓",IF(COUNTIFS('AFA Rates'!$A$5:$A$1004,$A25,'AFA Rates'!$B$5:$B$1004,K$23)&gt;0,"Exp","")))</f>
        <v/>
      </c>
      <c r="L25" s="79">
        <f>IF(OR($A25="",L$23=""),"",IF(COUNTIFS('AFA Rates'!$A$5:$A$1004,$A25,'AFA Rates'!$B$5:$B$1004,L$23,'AFA Rates'!$O$5:$O$1004,"&lt;&gt;Expired")&gt;0,"✓",IF(COUNTIFS('AFA Rates'!$A$5:$A$1004,$A25,'AFA Rates'!$B$5:$B$1004,L$23)&gt;0,"Exp","")))</f>
        <v/>
      </c>
      <c r="M25" s="79">
        <f>IF(OR($A25="",M$23=""),"",IF(COUNTIFS('AFA Rates'!$A$5:$A$1004,$A25,'AFA Rates'!$B$5:$B$1004,M$23,'AFA Rates'!$O$5:$O$1004,"&lt;&gt;Expired")&gt;0,"✓",IF(COUNTIFS('AFA Rates'!$A$5:$A$1004,$A25,'AFA Rates'!$B$5:$B$1004,M$23)&gt;0,"Exp","")))</f>
        <v/>
      </c>
      <c r="O25" s="97" t="inlineStr">
        <is>
          <t>ME</t>
        </is>
      </c>
      <c r="P25" s="98" t="inlineStr">
        <is>
          <t>Maine</t>
        </is>
      </c>
      <c r="Q25" s="97">
        <f>COUNTIFS(Firms!$X$5:$X$1004,"*,"&amp;O25&amp;",*",Firms!$B$5:$B$1004,"Active")+COUNTIFS(Firms!$X$5:$X$1004,",ALL,",Firms!$B$5:$B$1004,"Active")</f>
        <v/>
      </c>
    </row>
    <row r="26">
      <c r="A26" s="78">
        <f>IFERROR(INDEX(Firms!$A$5:$A$1004,MATCH(3,Firms!$V$5:$V$1004,0)),"")</f>
        <v/>
      </c>
      <c r="B26" s="79">
        <f>IF($A26="","",INDEX(Firms!$B$5:$B$1004,MATCH(3,Firms!$V$5:$V$1004,0)))</f>
        <v/>
      </c>
      <c r="C26" s="79">
        <f>IF($A26="","",COUNTIFS('AFA Rates'!$A$5:$A$1004,$A26,'AFA Rates'!$O$5:$O$1004,"&lt;&gt;Expired"))</f>
        <v/>
      </c>
      <c r="D26" s="79">
        <f>IF(OR($A26="",D$23=""),"",IF(COUNTIFS('AFA Rates'!$A$5:$A$1004,$A26,'AFA Rates'!$B$5:$B$1004,D$23,'AFA Rates'!$O$5:$O$1004,"&lt;&gt;Expired")&gt;0,"✓",IF(COUNTIFS('AFA Rates'!$A$5:$A$1004,$A26,'AFA Rates'!$B$5:$B$1004,D$23)&gt;0,"Exp","")))</f>
        <v/>
      </c>
      <c r="E26" s="79">
        <f>IF(OR($A26="",E$23=""),"",IF(COUNTIFS('AFA Rates'!$A$5:$A$1004,$A26,'AFA Rates'!$B$5:$B$1004,E$23,'AFA Rates'!$O$5:$O$1004,"&lt;&gt;Expired")&gt;0,"✓",IF(COUNTIFS('AFA Rates'!$A$5:$A$1004,$A26,'AFA Rates'!$B$5:$B$1004,E$23)&gt;0,"Exp","")))</f>
        <v/>
      </c>
      <c r="F26" s="79">
        <f>IF(OR($A26="",F$23=""),"",IF(COUNTIFS('AFA Rates'!$A$5:$A$1004,$A26,'AFA Rates'!$B$5:$B$1004,F$23,'AFA Rates'!$O$5:$O$1004,"&lt;&gt;Expired")&gt;0,"✓",IF(COUNTIFS('AFA Rates'!$A$5:$A$1004,$A26,'AFA Rates'!$B$5:$B$1004,F$23)&gt;0,"Exp","")))</f>
        <v/>
      </c>
      <c r="G26" s="79">
        <f>IF(OR($A26="",G$23=""),"",IF(COUNTIFS('AFA Rates'!$A$5:$A$1004,$A26,'AFA Rates'!$B$5:$B$1004,G$23,'AFA Rates'!$O$5:$O$1004,"&lt;&gt;Expired")&gt;0,"✓",IF(COUNTIFS('AFA Rates'!$A$5:$A$1004,$A26,'AFA Rates'!$B$5:$B$1004,G$23)&gt;0,"Exp","")))</f>
        <v/>
      </c>
      <c r="H26" s="79">
        <f>IF(OR($A26="",H$23=""),"",IF(COUNTIFS('AFA Rates'!$A$5:$A$1004,$A26,'AFA Rates'!$B$5:$B$1004,H$23,'AFA Rates'!$O$5:$O$1004,"&lt;&gt;Expired")&gt;0,"✓",IF(COUNTIFS('AFA Rates'!$A$5:$A$1004,$A26,'AFA Rates'!$B$5:$B$1004,H$23)&gt;0,"Exp","")))</f>
        <v/>
      </c>
      <c r="I26" s="79">
        <f>IF(OR($A26="",I$23=""),"",IF(COUNTIFS('AFA Rates'!$A$5:$A$1004,$A26,'AFA Rates'!$B$5:$B$1004,I$23,'AFA Rates'!$O$5:$O$1004,"&lt;&gt;Expired")&gt;0,"✓",IF(COUNTIFS('AFA Rates'!$A$5:$A$1004,$A26,'AFA Rates'!$B$5:$B$1004,I$23)&gt;0,"Exp","")))</f>
        <v/>
      </c>
      <c r="J26" s="79">
        <f>IF(OR($A26="",J$23=""),"",IF(COUNTIFS('AFA Rates'!$A$5:$A$1004,$A26,'AFA Rates'!$B$5:$B$1004,J$23,'AFA Rates'!$O$5:$O$1004,"&lt;&gt;Expired")&gt;0,"✓",IF(COUNTIFS('AFA Rates'!$A$5:$A$1004,$A26,'AFA Rates'!$B$5:$B$1004,J$23)&gt;0,"Exp","")))</f>
        <v/>
      </c>
      <c r="K26" s="79">
        <f>IF(OR($A26="",K$23=""),"",IF(COUNTIFS('AFA Rates'!$A$5:$A$1004,$A26,'AFA Rates'!$B$5:$B$1004,K$23,'AFA Rates'!$O$5:$O$1004,"&lt;&gt;Expired")&gt;0,"✓",IF(COUNTIFS('AFA Rates'!$A$5:$A$1004,$A26,'AFA Rates'!$B$5:$B$1004,K$23)&gt;0,"Exp","")))</f>
        <v/>
      </c>
      <c r="L26" s="79">
        <f>IF(OR($A26="",L$23=""),"",IF(COUNTIFS('AFA Rates'!$A$5:$A$1004,$A26,'AFA Rates'!$B$5:$B$1004,L$23,'AFA Rates'!$O$5:$O$1004,"&lt;&gt;Expired")&gt;0,"✓",IF(COUNTIFS('AFA Rates'!$A$5:$A$1004,$A26,'AFA Rates'!$B$5:$B$1004,L$23)&gt;0,"Exp","")))</f>
        <v/>
      </c>
      <c r="M26" s="79">
        <f>IF(OR($A26="",M$23=""),"",IF(COUNTIFS('AFA Rates'!$A$5:$A$1004,$A26,'AFA Rates'!$B$5:$B$1004,M$23,'AFA Rates'!$O$5:$O$1004,"&lt;&gt;Expired")&gt;0,"✓",IF(COUNTIFS('AFA Rates'!$A$5:$A$1004,$A26,'AFA Rates'!$B$5:$B$1004,M$23)&gt;0,"Exp","")))</f>
        <v/>
      </c>
      <c r="O26" s="97" t="inlineStr">
        <is>
          <t>MD</t>
        </is>
      </c>
      <c r="P26" s="98" t="inlineStr">
        <is>
          <t>Maryland</t>
        </is>
      </c>
      <c r="Q26" s="97">
        <f>COUNTIFS(Firms!$X$5:$X$1004,"*,"&amp;O26&amp;",*",Firms!$B$5:$B$1004,"Active")+COUNTIFS(Firms!$X$5:$X$1004,",ALL,",Firms!$B$5:$B$1004,"Active")</f>
        <v/>
      </c>
    </row>
    <row r="27">
      <c r="A27" s="78">
        <f>IFERROR(INDEX(Firms!$A$5:$A$1004,MATCH(4,Firms!$V$5:$V$1004,0)),"")</f>
        <v/>
      </c>
      <c r="B27" s="79">
        <f>IF($A27="","",INDEX(Firms!$B$5:$B$1004,MATCH(4,Firms!$V$5:$V$1004,0)))</f>
        <v/>
      </c>
      <c r="C27" s="79">
        <f>IF($A27="","",COUNTIFS('AFA Rates'!$A$5:$A$1004,$A27,'AFA Rates'!$O$5:$O$1004,"&lt;&gt;Expired"))</f>
        <v/>
      </c>
      <c r="D27" s="79">
        <f>IF(OR($A27="",D$23=""),"",IF(COUNTIFS('AFA Rates'!$A$5:$A$1004,$A27,'AFA Rates'!$B$5:$B$1004,D$23,'AFA Rates'!$O$5:$O$1004,"&lt;&gt;Expired")&gt;0,"✓",IF(COUNTIFS('AFA Rates'!$A$5:$A$1004,$A27,'AFA Rates'!$B$5:$B$1004,D$23)&gt;0,"Exp","")))</f>
        <v/>
      </c>
      <c r="E27" s="79">
        <f>IF(OR($A27="",E$23=""),"",IF(COUNTIFS('AFA Rates'!$A$5:$A$1004,$A27,'AFA Rates'!$B$5:$B$1004,E$23,'AFA Rates'!$O$5:$O$1004,"&lt;&gt;Expired")&gt;0,"✓",IF(COUNTIFS('AFA Rates'!$A$5:$A$1004,$A27,'AFA Rates'!$B$5:$B$1004,E$23)&gt;0,"Exp","")))</f>
        <v/>
      </c>
      <c r="F27" s="79">
        <f>IF(OR($A27="",F$23=""),"",IF(COUNTIFS('AFA Rates'!$A$5:$A$1004,$A27,'AFA Rates'!$B$5:$B$1004,F$23,'AFA Rates'!$O$5:$O$1004,"&lt;&gt;Expired")&gt;0,"✓",IF(COUNTIFS('AFA Rates'!$A$5:$A$1004,$A27,'AFA Rates'!$B$5:$B$1004,F$23)&gt;0,"Exp","")))</f>
        <v/>
      </c>
      <c r="G27" s="79">
        <f>IF(OR($A27="",G$23=""),"",IF(COUNTIFS('AFA Rates'!$A$5:$A$1004,$A27,'AFA Rates'!$B$5:$B$1004,G$23,'AFA Rates'!$O$5:$O$1004,"&lt;&gt;Expired")&gt;0,"✓",IF(COUNTIFS('AFA Rates'!$A$5:$A$1004,$A27,'AFA Rates'!$B$5:$B$1004,G$23)&gt;0,"Exp","")))</f>
        <v/>
      </c>
      <c r="H27" s="79">
        <f>IF(OR($A27="",H$23=""),"",IF(COUNTIFS('AFA Rates'!$A$5:$A$1004,$A27,'AFA Rates'!$B$5:$B$1004,H$23,'AFA Rates'!$O$5:$O$1004,"&lt;&gt;Expired")&gt;0,"✓",IF(COUNTIFS('AFA Rates'!$A$5:$A$1004,$A27,'AFA Rates'!$B$5:$B$1004,H$23)&gt;0,"Exp","")))</f>
        <v/>
      </c>
      <c r="I27" s="79">
        <f>IF(OR($A27="",I$23=""),"",IF(COUNTIFS('AFA Rates'!$A$5:$A$1004,$A27,'AFA Rates'!$B$5:$B$1004,I$23,'AFA Rates'!$O$5:$O$1004,"&lt;&gt;Expired")&gt;0,"✓",IF(COUNTIFS('AFA Rates'!$A$5:$A$1004,$A27,'AFA Rates'!$B$5:$B$1004,I$23)&gt;0,"Exp","")))</f>
        <v/>
      </c>
      <c r="J27" s="79">
        <f>IF(OR($A27="",J$23=""),"",IF(COUNTIFS('AFA Rates'!$A$5:$A$1004,$A27,'AFA Rates'!$B$5:$B$1004,J$23,'AFA Rates'!$O$5:$O$1004,"&lt;&gt;Expired")&gt;0,"✓",IF(COUNTIFS('AFA Rates'!$A$5:$A$1004,$A27,'AFA Rates'!$B$5:$B$1004,J$23)&gt;0,"Exp","")))</f>
        <v/>
      </c>
      <c r="K27" s="79">
        <f>IF(OR($A27="",K$23=""),"",IF(COUNTIFS('AFA Rates'!$A$5:$A$1004,$A27,'AFA Rates'!$B$5:$B$1004,K$23,'AFA Rates'!$O$5:$O$1004,"&lt;&gt;Expired")&gt;0,"✓",IF(COUNTIFS('AFA Rates'!$A$5:$A$1004,$A27,'AFA Rates'!$B$5:$B$1004,K$23)&gt;0,"Exp","")))</f>
        <v/>
      </c>
      <c r="L27" s="79">
        <f>IF(OR($A27="",L$23=""),"",IF(COUNTIFS('AFA Rates'!$A$5:$A$1004,$A27,'AFA Rates'!$B$5:$B$1004,L$23,'AFA Rates'!$O$5:$O$1004,"&lt;&gt;Expired")&gt;0,"✓",IF(COUNTIFS('AFA Rates'!$A$5:$A$1004,$A27,'AFA Rates'!$B$5:$B$1004,L$23)&gt;0,"Exp","")))</f>
        <v/>
      </c>
      <c r="M27" s="79">
        <f>IF(OR($A27="",M$23=""),"",IF(COUNTIFS('AFA Rates'!$A$5:$A$1004,$A27,'AFA Rates'!$B$5:$B$1004,M$23,'AFA Rates'!$O$5:$O$1004,"&lt;&gt;Expired")&gt;0,"✓",IF(COUNTIFS('AFA Rates'!$A$5:$A$1004,$A27,'AFA Rates'!$B$5:$B$1004,M$23)&gt;0,"Exp","")))</f>
        <v/>
      </c>
      <c r="O27" s="97" t="inlineStr">
        <is>
          <t>MA</t>
        </is>
      </c>
      <c r="P27" s="98" t="inlineStr">
        <is>
          <t>Massachusetts</t>
        </is>
      </c>
      <c r="Q27" s="97">
        <f>COUNTIFS(Firms!$X$5:$X$1004,"*,"&amp;O27&amp;",*",Firms!$B$5:$B$1004,"Active")+COUNTIFS(Firms!$X$5:$X$1004,",ALL,",Firms!$B$5:$B$1004,"Active")</f>
        <v/>
      </c>
    </row>
    <row r="28">
      <c r="A28" s="78">
        <f>IFERROR(INDEX(Firms!$A$5:$A$1004,MATCH(5,Firms!$V$5:$V$1004,0)),"")</f>
        <v/>
      </c>
      <c r="B28" s="79">
        <f>IF($A28="","",INDEX(Firms!$B$5:$B$1004,MATCH(5,Firms!$V$5:$V$1004,0)))</f>
        <v/>
      </c>
      <c r="C28" s="79">
        <f>IF($A28="","",COUNTIFS('AFA Rates'!$A$5:$A$1004,$A28,'AFA Rates'!$O$5:$O$1004,"&lt;&gt;Expired"))</f>
        <v/>
      </c>
      <c r="D28" s="79">
        <f>IF(OR($A28="",D$23=""),"",IF(COUNTIFS('AFA Rates'!$A$5:$A$1004,$A28,'AFA Rates'!$B$5:$B$1004,D$23,'AFA Rates'!$O$5:$O$1004,"&lt;&gt;Expired")&gt;0,"✓",IF(COUNTIFS('AFA Rates'!$A$5:$A$1004,$A28,'AFA Rates'!$B$5:$B$1004,D$23)&gt;0,"Exp","")))</f>
        <v/>
      </c>
      <c r="E28" s="79">
        <f>IF(OR($A28="",E$23=""),"",IF(COUNTIFS('AFA Rates'!$A$5:$A$1004,$A28,'AFA Rates'!$B$5:$B$1004,E$23,'AFA Rates'!$O$5:$O$1004,"&lt;&gt;Expired")&gt;0,"✓",IF(COUNTIFS('AFA Rates'!$A$5:$A$1004,$A28,'AFA Rates'!$B$5:$B$1004,E$23)&gt;0,"Exp","")))</f>
        <v/>
      </c>
      <c r="F28" s="79">
        <f>IF(OR($A28="",F$23=""),"",IF(COUNTIFS('AFA Rates'!$A$5:$A$1004,$A28,'AFA Rates'!$B$5:$B$1004,F$23,'AFA Rates'!$O$5:$O$1004,"&lt;&gt;Expired")&gt;0,"✓",IF(COUNTIFS('AFA Rates'!$A$5:$A$1004,$A28,'AFA Rates'!$B$5:$B$1004,F$23)&gt;0,"Exp","")))</f>
        <v/>
      </c>
      <c r="G28" s="79">
        <f>IF(OR($A28="",G$23=""),"",IF(COUNTIFS('AFA Rates'!$A$5:$A$1004,$A28,'AFA Rates'!$B$5:$B$1004,G$23,'AFA Rates'!$O$5:$O$1004,"&lt;&gt;Expired")&gt;0,"✓",IF(COUNTIFS('AFA Rates'!$A$5:$A$1004,$A28,'AFA Rates'!$B$5:$B$1004,G$23)&gt;0,"Exp","")))</f>
        <v/>
      </c>
      <c r="H28" s="79">
        <f>IF(OR($A28="",H$23=""),"",IF(COUNTIFS('AFA Rates'!$A$5:$A$1004,$A28,'AFA Rates'!$B$5:$B$1004,H$23,'AFA Rates'!$O$5:$O$1004,"&lt;&gt;Expired")&gt;0,"✓",IF(COUNTIFS('AFA Rates'!$A$5:$A$1004,$A28,'AFA Rates'!$B$5:$B$1004,H$23)&gt;0,"Exp","")))</f>
        <v/>
      </c>
      <c r="I28" s="79">
        <f>IF(OR($A28="",I$23=""),"",IF(COUNTIFS('AFA Rates'!$A$5:$A$1004,$A28,'AFA Rates'!$B$5:$B$1004,I$23,'AFA Rates'!$O$5:$O$1004,"&lt;&gt;Expired")&gt;0,"✓",IF(COUNTIFS('AFA Rates'!$A$5:$A$1004,$A28,'AFA Rates'!$B$5:$B$1004,I$23)&gt;0,"Exp","")))</f>
        <v/>
      </c>
      <c r="J28" s="79">
        <f>IF(OR($A28="",J$23=""),"",IF(COUNTIFS('AFA Rates'!$A$5:$A$1004,$A28,'AFA Rates'!$B$5:$B$1004,J$23,'AFA Rates'!$O$5:$O$1004,"&lt;&gt;Expired")&gt;0,"✓",IF(COUNTIFS('AFA Rates'!$A$5:$A$1004,$A28,'AFA Rates'!$B$5:$B$1004,J$23)&gt;0,"Exp","")))</f>
        <v/>
      </c>
      <c r="K28" s="79">
        <f>IF(OR($A28="",K$23=""),"",IF(COUNTIFS('AFA Rates'!$A$5:$A$1004,$A28,'AFA Rates'!$B$5:$B$1004,K$23,'AFA Rates'!$O$5:$O$1004,"&lt;&gt;Expired")&gt;0,"✓",IF(COUNTIFS('AFA Rates'!$A$5:$A$1004,$A28,'AFA Rates'!$B$5:$B$1004,K$23)&gt;0,"Exp","")))</f>
        <v/>
      </c>
      <c r="L28" s="79">
        <f>IF(OR($A28="",L$23=""),"",IF(COUNTIFS('AFA Rates'!$A$5:$A$1004,$A28,'AFA Rates'!$B$5:$B$1004,L$23,'AFA Rates'!$O$5:$O$1004,"&lt;&gt;Expired")&gt;0,"✓",IF(COUNTIFS('AFA Rates'!$A$5:$A$1004,$A28,'AFA Rates'!$B$5:$B$1004,L$23)&gt;0,"Exp","")))</f>
        <v/>
      </c>
      <c r="M28" s="79">
        <f>IF(OR($A28="",M$23=""),"",IF(COUNTIFS('AFA Rates'!$A$5:$A$1004,$A28,'AFA Rates'!$B$5:$B$1004,M$23,'AFA Rates'!$O$5:$O$1004,"&lt;&gt;Expired")&gt;0,"✓",IF(COUNTIFS('AFA Rates'!$A$5:$A$1004,$A28,'AFA Rates'!$B$5:$B$1004,M$23)&gt;0,"Exp","")))</f>
        <v/>
      </c>
      <c r="O28" s="97" t="inlineStr">
        <is>
          <t>MI</t>
        </is>
      </c>
      <c r="P28" s="98" t="inlineStr">
        <is>
          <t>Michigan</t>
        </is>
      </c>
      <c r="Q28" s="97">
        <f>COUNTIFS(Firms!$X$5:$X$1004,"*,"&amp;O28&amp;",*",Firms!$B$5:$B$1004,"Active")+COUNTIFS(Firms!$X$5:$X$1004,",ALL,",Firms!$B$5:$B$1004,"Active")</f>
        <v/>
      </c>
    </row>
    <row r="29">
      <c r="A29" s="78">
        <f>IFERROR(INDEX(Firms!$A$5:$A$1004,MATCH(6,Firms!$V$5:$V$1004,0)),"")</f>
        <v/>
      </c>
      <c r="B29" s="79">
        <f>IF($A29="","",INDEX(Firms!$B$5:$B$1004,MATCH(6,Firms!$V$5:$V$1004,0)))</f>
        <v/>
      </c>
      <c r="C29" s="79">
        <f>IF($A29="","",COUNTIFS('AFA Rates'!$A$5:$A$1004,$A29,'AFA Rates'!$O$5:$O$1004,"&lt;&gt;Expired"))</f>
        <v/>
      </c>
      <c r="D29" s="79">
        <f>IF(OR($A29="",D$23=""),"",IF(COUNTIFS('AFA Rates'!$A$5:$A$1004,$A29,'AFA Rates'!$B$5:$B$1004,D$23,'AFA Rates'!$O$5:$O$1004,"&lt;&gt;Expired")&gt;0,"✓",IF(COUNTIFS('AFA Rates'!$A$5:$A$1004,$A29,'AFA Rates'!$B$5:$B$1004,D$23)&gt;0,"Exp","")))</f>
        <v/>
      </c>
      <c r="E29" s="79">
        <f>IF(OR($A29="",E$23=""),"",IF(COUNTIFS('AFA Rates'!$A$5:$A$1004,$A29,'AFA Rates'!$B$5:$B$1004,E$23,'AFA Rates'!$O$5:$O$1004,"&lt;&gt;Expired")&gt;0,"✓",IF(COUNTIFS('AFA Rates'!$A$5:$A$1004,$A29,'AFA Rates'!$B$5:$B$1004,E$23)&gt;0,"Exp","")))</f>
        <v/>
      </c>
      <c r="F29" s="79">
        <f>IF(OR($A29="",F$23=""),"",IF(COUNTIFS('AFA Rates'!$A$5:$A$1004,$A29,'AFA Rates'!$B$5:$B$1004,F$23,'AFA Rates'!$O$5:$O$1004,"&lt;&gt;Expired")&gt;0,"✓",IF(COUNTIFS('AFA Rates'!$A$5:$A$1004,$A29,'AFA Rates'!$B$5:$B$1004,F$23)&gt;0,"Exp","")))</f>
        <v/>
      </c>
      <c r="G29" s="79">
        <f>IF(OR($A29="",G$23=""),"",IF(COUNTIFS('AFA Rates'!$A$5:$A$1004,$A29,'AFA Rates'!$B$5:$B$1004,G$23,'AFA Rates'!$O$5:$O$1004,"&lt;&gt;Expired")&gt;0,"✓",IF(COUNTIFS('AFA Rates'!$A$5:$A$1004,$A29,'AFA Rates'!$B$5:$B$1004,G$23)&gt;0,"Exp","")))</f>
        <v/>
      </c>
      <c r="H29" s="79">
        <f>IF(OR($A29="",H$23=""),"",IF(COUNTIFS('AFA Rates'!$A$5:$A$1004,$A29,'AFA Rates'!$B$5:$B$1004,H$23,'AFA Rates'!$O$5:$O$1004,"&lt;&gt;Expired")&gt;0,"✓",IF(COUNTIFS('AFA Rates'!$A$5:$A$1004,$A29,'AFA Rates'!$B$5:$B$1004,H$23)&gt;0,"Exp","")))</f>
        <v/>
      </c>
      <c r="I29" s="79">
        <f>IF(OR($A29="",I$23=""),"",IF(COUNTIFS('AFA Rates'!$A$5:$A$1004,$A29,'AFA Rates'!$B$5:$B$1004,I$23,'AFA Rates'!$O$5:$O$1004,"&lt;&gt;Expired")&gt;0,"✓",IF(COUNTIFS('AFA Rates'!$A$5:$A$1004,$A29,'AFA Rates'!$B$5:$B$1004,I$23)&gt;0,"Exp","")))</f>
        <v/>
      </c>
      <c r="J29" s="79">
        <f>IF(OR($A29="",J$23=""),"",IF(COUNTIFS('AFA Rates'!$A$5:$A$1004,$A29,'AFA Rates'!$B$5:$B$1004,J$23,'AFA Rates'!$O$5:$O$1004,"&lt;&gt;Expired")&gt;0,"✓",IF(COUNTIFS('AFA Rates'!$A$5:$A$1004,$A29,'AFA Rates'!$B$5:$B$1004,J$23)&gt;0,"Exp","")))</f>
        <v/>
      </c>
      <c r="K29" s="79">
        <f>IF(OR($A29="",K$23=""),"",IF(COUNTIFS('AFA Rates'!$A$5:$A$1004,$A29,'AFA Rates'!$B$5:$B$1004,K$23,'AFA Rates'!$O$5:$O$1004,"&lt;&gt;Expired")&gt;0,"✓",IF(COUNTIFS('AFA Rates'!$A$5:$A$1004,$A29,'AFA Rates'!$B$5:$B$1004,K$23)&gt;0,"Exp","")))</f>
        <v/>
      </c>
      <c r="L29" s="79">
        <f>IF(OR($A29="",L$23=""),"",IF(COUNTIFS('AFA Rates'!$A$5:$A$1004,$A29,'AFA Rates'!$B$5:$B$1004,L$23,'AFA Rates'!$O$5:$O$1004,"&lt;&gt;Expired")&gt;0,"✓",IF(COUNTIFS('AFA Rates'!$A$5:$A$1004,$A29,'AFA Rates'!$B$5:$B$1004,L$23)&gt;0,"Exp","")))</f>
        <v/>
      </c>
      <c r="M29" s="79">
        <f>IF(OR($A29="",M$23=""),"",IF(COUNTIFS('AFA Rates'!$A$5:$A$1004,$A29,'AFA Rates'!$B$5:$B$1004,M$23,'AFA Rates'!$O$5:$O$1004,"&lt;&gt;Expired")&gt;0,"✓",IF(COUNTIFS('AFA Rates'!$A$5:$A$1004,$A29,'AFA Rates'!$B$5:$B$1004,M$23)&gt;0,"Exp","")))</f>
        <v/>
      </c>
      <c r="O29" s="97" t="inlineStr">
        <is>
          <t>MN</t>
        </is>
      </c>
      <c r="P29" s="98" t="inlineStr">
        <is>
          <t>Minnesota</t>
        </is>
      </c>
      <c r="Q29" s="97">
        <f>COUNTIFS(Firms!$X$5:$X$1004,"*,"&amp;O29&amp;",*",Firms!$B$5:$B$1004,"Active")+COUNTIFS(Firms!$X$5:$X$1004,",ALL,",Firms!$B$5:$B$1004,"Active")</f>
        <v/>
      </c>
    </row>
    <row r="30">
      <c r="A30" s="78">
        <f>IFERROR(INDEX(Firms!$A$5:$A$1004,MATCH(7,Firms!$V$5:$V$1004,0)),"")</f>
        <v/>
      </c>
      <c r="B30" s="79">
        <f>IF($A30="","",INDEX(Firms!$B$5:$B$1004,MATCH(7,Firms!$V$5:$V$1004,0)))</f>
        <v/>
      </c>
      <c r="C30" s="79">
        <f>IF($A30="","",COUNTIFS('AFA Rates'!$A$5:$A$1004,$A30,'AFA Rates'!$O$5:$O$1004,"&lt;&gt;Expired"))</f>
        <v/>
      </c>
      <c r="D30" s="79">
        <f>IF(OR($A30="",D$23=""),"",IF(COUNTIFS('AFA Rates'!$A$5:$A$1004,$A30,'AFA Rates'!$B$5:$B$1004,D$23,'AFA Rates'!$O$5:$O$1004,"&lt;&gt;Expired")&gt;0,"✓",IF(COUNTIFS('AFA Rates'!$A$5:$A$1004,$A30,'AFA Rates'!$B$5:$B$1004,D$23)&gt;0,"Exp","")))</f>
        <v/>
      </c>
      <c r="E30" s="79">
        <f>IF(OR($A30="",E$23=""),"",IF(COUNTIFS('AFA Rates'!$A$5:$A$1004,$A30,'AFA Rates'!$B$5:$B$1004,E$23,'AFA Rates'!$O$5:$O$1004,"&lt;&gt;Expired")&gt;0,"✓",IF(COUNTIFS('AFA Rates'!$A$5:$A$1004,$A30,'AFA Rates'!$B$5:$B$1004,E$23)&gt;0,"Exp","")))</f>
        <v/>
      </c>
      <c r="F30" s="79">
        <f>IF(OR($A30="",F$23=""),"",IF(COUNTIFS('AFA Rates'!$A$5:$A$1004,$A30,'AFA Rates'!$B$5:$B$1004,F$23,'AFA Rates'!$O$5:$O$1004,"&lt;&gt;Expired")&gt;0,"✓",IF(COUNTIFS('AFA Rates'!$A$5:$A$1004,$A30,'AFA Rates'!$B$5:$B$1004,F$23)&gt;0,"Exp","")))</f>
        <v/>
      </c>
      <c r="G30" s="79">
        <f>IF(OR($A30="",G$23=""),"",IF(COUNTIFS('AFA Rates'!$A$5:$A$1004,$A30,'AFA Rates'!$B$5:$B$1004,G$23,'AFA Rates'!$O$5:$O$1004,"&lt;&gt;Expired")&gt;0,"✓",IF(COUNTIFS('AFA Rates'!$A$5:$A$1004,$A30,'AFA Rates'!$B$5:$B$1004,G$23)&gt;0,"Exp","")))</f>
        <v/>
      </c>
      <c r="H30" s="79">
        <f>IF(OR($A30="",H$23=""),"",IF(COUNTIFS('AFA Rates'!$A$5:$A$1004,$A30,'AFA Rates'!$B$5:$B$1004,H$23,'AFA Rates'!$O$5:$O$1004,"&lt;&gt;Expired")&gt;0,"✓",IF(COUNTIFS('AFA Rates'!$A$5:$A$1004,$A30,'AFA Rates'!$B$5:$B$1004,H$23)&gt;0,"Exp","")))</f>
        <v/>
      </c>
      <c r="I30" s="79">
        <f>IF(OR($A30="",I$23=""),"",IF(COUNTIFS('AFA Rates'!$A$5:$A$1004,$A30,'AFA Rates'!$B$5:$B$1004,I$23,'AFA Rates'!$O$5:$O$1004,"&lt;&gt;Expired")&gt;0,"✓",IF(COUNTIFS('AFA Rates'!$A$5:$A$1004,$A30,'AFA Rates'!$B$5:$B$1004,I$23)&gt;0,"Exp","")))</f>
        <v/>
      </c>
      <c r="J30" s="79">
        <f>IF(OR($A30="",J$23=""),"",IF(COUNTIFS('AFA Rates'!$A$5:$A$1004,$A30,'AFA Rates'!$B$5:$B$1004,J$23,'AFA Rates'!$O$5:$O$1004,"&lt;&gt;Expired")&gt;0,"✓",IF(COUNTIFS('AFA Rates'!$A$5:$A$1004,$A30,'AFA Rates'!$B$5:$B$1004,J$23)&gt;0,"Exp","")))</f>
        <v/>
      </c>
      <c r="K30" s="79">
        <f>IF(OR($A30="",K$23=""),"",IF(COUNTIFS('AFA Rates'!$A$5:$A$1004,$A30,'AFA Rates'!$B$5:$B$1004,K$23,'AFA Rates'!$O$5:$O$1004,"&lt;&gt;Expired")&gt;0,"✓",IF(COUNTIFS('AFA Rates'!$A$5:$A$1004,$A30,'AFA Rates'!$B$5:$B$1004,K$23)&gt;0,"Exp","")))</f>
        <v/>
      </c>
      <c r="L30" s="79">
        <f>IF(OR($A30="",L$23=""),"",IF(COUNTIFS('AFA Rates'!$A$5:$A$1004,$A30,'AFA Rates'!$B$5:$B$1004,L$23,'AFA Rates'!$O$5:$O$1004,"&lt;&gt;Expired")&gt;0,"✓",IF(COUNTIFS('AFA Rates'!$A$5:$A$1004,$A30,'AFA Rates'!$B$5:$B$1004,L$23)&gt;0,"Exp","")))</f>
        <v/>
      </c>
      <c r="M30" s="79">
        <f>IF(OR($A30="",M$23=""),"",IF(COUNTIFS('AFA Rates'!$A$5:$A$1004,$A30,'AFA Rates'!$B$5:$B$1004,M$23,'AFA Rates'!$O$5:$O$1004,"&lt;&gt;Expired")&gt;0,"✓",IF(COUNTIFS('AFA Rates'!$A$5:$A$1004,$A30,'AFA Rates'!$B$5:$B$1004,M$23)&gt;0,"Exp","")))</f>
        <v/>
      </c>
      <c r="O30" s="97" t="inlineStr">
        <is>
          <t>MS</t>
        </is>
      </c>
      <c r="P30" s="98" t="inlineStr">
        <is>
          <t>Mississippi</t>
        </is>
      </c>
      <c r="Q30" s="97">
        <f>COUNTIFS(Firms!$X$5:$X$1004,"*,"&amp;O30&amp;",*",Firms!$B$5:$B$1004,"Active")+COUNTIFS(Firms!$X$5:$X$1004,",ALL,",Firms!$B$5:$B$1004,"Active")</f>
        <v/>
      </c>
    </row>
    <row r="31">
      <c r="A31" s="78">
        <f>IFERROR(INDEX(Firms!$A$5:$A$1004,MATCH(8,Firms!$V$5:$V$1004,0)),"")</f>
        <v/>
      </c>
      <c r="B31" s="79">
        <f>IF($A31="","",INDEX(Firms!$B$5:$B$1004,MATCH(8,Firms!$V$5:$V$1004,0)))</f>
        <v/>
      </c>
      <c r="C31" s="79">
        <f>IF($A31="","",COUNTIFS('AFA Rates'!$A$5:$A$1004,$A31,'AFA Rates'!$O$5:$O$1004,"&lt;&gt;Expired"))</f>
        <v/>
      </c>
      <c r="D31" s="79">
        <f>IF(OR($A31="",D$23=""),"",IF(COUNTIFS('AFA Rates'!$A$5:$A$1004,$A31,'AFA Rates'!$B$5:$B$1004,D$23,'AFA Rates'!$O$5:$O$1004,"&lt;&gt;Expired")&gt;0,"✓",IF(COUNTIFS('AFA Rates'!$A$5:$A$1004,$A31,'AFA Rates'!$B$5:$B$1004,D$23)&gt;0,"Exp","")))</f>
        <v/>
      </c>
      <c r="E31" s="79">
        <f>IF(OR($A31="",E$23=""),"",IF(COUNTIFS('AFA Rates'!$A$5:$A$1004,$A31,'AFA Rates'!$B$5:$B$1004,E$23,'AFA Rates'!$O$5:$O$1004,"&lt;&gt;Expired")&gt;0,"✓",IF(COUNTIFS('AFA Rates'!$A$5:$A$1004,$A31,'AFA Rates'!$B$5:$B$1004,E$23)&gt;0,"Exp","")))</f>
        <v/>
      </c>
      <c r="F31" s="79">
        <f>IF(OR($A31="",F$23=""),"",IF(COUNTIFS('AFA Rates'!$A$5:$A$1004,$A31,'AFA Rates'!$B$5:$B$1004,F$23,'AFA Rates'!$O$5:$O$1004,"&lt;&gt;Expired")&gt;0,"✓",IF(COUNTIFS('AFA Rates'!$A$5:$A$1004,$A31,'AFA Rates'!$B$5:$B$1004,F$23)&gt;0,"Exp","")))</f>
        <v/>
      </c>
      <c r="G31" s="79">
        <f>IF(OR($A31="",G$23=""),"",IF(COUNTIFS('AFA Rates'!$A$5:$A$1004,$A31,'AFA Rates'!$B$5:$B$1004,G$23,'AFA Rates'!$O$5:$O$1004,"&lt;&gt;Expired")&gt;0,"✓",IF(COUNTIFS('AFA Rates'!$A$5:$A$1004,$A31,'AFA Rates'!$B$5:$B$1004,G$23)&gt;0,"Exp","")))</f>
        <v/>
      </c>
      <c r="H31" s="79">
        <f>IF(OR($A31="",H$23=""),"",IF(COUNTIFS('AFA Rates'!$A$5:$A$1004,$A31,'AFA Rates'!$B$5:$B$1004,H$23,'AFA Rates'!$O$5:$O$1004,"&lt;&gt;Expired")&gt;0,"✓",IF(COUNTIFS('AFA Rates'!$A$5:$A$1004,$A31,'AFA Rates'!$B$5:$B$1004,H$23)&gt;0,"Exp","")))</f>
        <v/>
      </c>
      <c r="I31" s="79">
        <f>IF(OR($A31="",I$23=""),"",IF(COUNTIFS('AFA Rates'!$A$5:$A$1004,$A31,'AFA Rates'!$B$5:$B$1004,I$23,'AFA Rates'!$O$5:$O$1004,"&lt;&gt;Expired")&gt;0,"✓",IF(COUNTIFS('AFA Rates'!$A$5:$A$1004,$A31,'AFA Rates'!$B$5:$B$1004,I$23)&gt;0,"Exp","")))</f>
        <v/>
      </c>
      <c r="J31" s="79">
        <f>IF(OR($A31="",J$23=""),"",IF(COUNTIFS('AFA Rates'!$A$5:$A$1004,$A31,'AFA Rates'!$B$5:$B$1004,J$23,'AFA Rates'!$O$5:$O$1004,"&lt;&gt;Expired")&gt;0,"✓",IF(COUNTIFS('AFA Rates'!$A$5:$A$1004,$A31,'AFA Rates'!$B$5:$B$1004,J$23)&gt;0,"Exp","")))</f>
        <v/>
      </c>
      <c r="K31" s="79">
        <f>IF(OR($A31="",K$23=""),"",IF(COUNTIFS('AFA Rates'!$A$5:$A$1004,$A31,'AFA Rates'!$B$5:$B$1004,K$23,'AFA Rates'!$O$5:$O$1004,"&lt;&gt;Expired")&gt;0,"✓",IF(COUNTIFS('AFA Rates'!$A$5:$A$1004,$A31,'AFA Rates'!$B$5:$B$1004,K$23)&gt;0,"Exp","")))</f>
        <v/>
      </c>
      <c r="L31" s="79">
        <f>IF(OR($A31="",L$23=""),"",IF(COUNTIFS('AFA Rates'!$A$5:$A$1004,$A31,'AFA Rates'!$B$5:$B$1004,L$23,'AFA Rates'!$O$5:$O$1004,"&lt;&gt;Expired")&gt;0,"✓",IF(COUNTIFS('AFA Rates'!$A$5:$A$1004,$A31,'AFA Rates'!$B$5:$B$1004,L$23)&gt;0,"Exp","")))</f>
        <v/>
      </c>
      <c r="M31" s="79">
        <f>IF(OR($A31="",M$23=""),"",IF(COUNTIFS('AFA Rates'!$A$5:$A$1004,$A31,'AFA Rates'!$B$5:$B$1004,M$23,'AFA Rates'!$O$5:$O$1004,"&lt;&gt;Expired")&gt;0,"✓",IF(COUNTIFS('AFA Rates'!$A$5:$A$1004,$A31,'AFA Rates'!$B$5:$B$1004,M$23)&gt;0,"Exp","")))</f>
        <v/>
      </c>
      <c r="O31" s="97" t="inlineStr">
        <is>
          <t>MO</t>
        </is>
      </c>
      <c r="P31" s="98" t="inlineStr">
        <is>
          <t>Missouri</t>
        </is>
      </c>
      <c r="Q31" s="97">
        <f>COUNTIFS(Firms!$X$5:$X$1004,"*,"&amp;O31&amp;",*",Firms!$B$5:$B$1004,"Active")+COUNTIFS(Firms!$X$5:$X$1004,",ALL,",Firms!$B$5:$B$1004,"Active")</f>
        <v/>
      </c>
    </row>
    <row r="32">
      <c r="A32" s="78">
        <f>IFERROR(INDEX(Firms!$A$5:$A$1004,MATCH(9,Firms!$V$5:$V$1004,0)),"")</f>
        <v/>
      </c>
      <c r="B32" s="79">
        <f>IF($A32="","",INDEX(Firms!$B$5:$B$1004,MATCH(9,Firms!$V$5:$V$1004,0)))</f>
        <v/>
      </c>
      <c r="C32" s="79">
        <f>IF($A32="","",COUNTIFS('AFA Rates'!$A$5:$A$1004,$A32,'AFA Rates'!$O$5:$O$1004,"&lt;&gt;Expired"))</f>
        <v/>
      </c>
      <c r="D32" s="79">
        <f>IF(OR($A32="",D$23=""),"",IF(COUNTIFS('AFA Rates'!$A$5:$A$1004,$A32,'AFA Rates'!$B$5:$B$1004,D$23,'AFA Rates'!$O$5:$O$1004,"&lt;&gt;Expired")&gt;0,"✓",IF(COUNTIFS('AFA Rates'!$A$5:$A$1004,$A32,'AFA Rates'!$B$5:$B$1004,D$23)&gt;0,"Exp","")))</f>
        <v/>
      </c>
      <c r="E32" s="79">
        <f>IF(OR($A32="",E$23=""),"",IF(COUNTIFS('AFA Rates'!$A$5:$A$1004,$A32,'AFA Rates'!$B$5:$B$1004,E$23,'AFA Rates'!$O$5:$O$1004,"&lt;&gt;Expired")&gt;0,"✓",IF(COUNTIFS('AFA Rates'!$A$5:$A$1004,$A32,'AFA Rates'!$B$5:$B$1004,E$23)&gt;0,"Exp","")))</f>
        <v/>
      </c>
      <c r="F32" s="79">
        <f>IF(OR($A32="",F$23=""),"",IF(COUNTIFS('AFA Rates'!$A$5:$A$1004,$A32,'AFA Rates'!$B$5:$B$1004,F$23,'AFA Rates'!$O$5:$O$1004,"&lt;&gt;Expired")&gt;0,"✓",IF(COUNTIFS('AFA Rates'!$A$5:$A$1004,$A32,'AFA Rates'!$B$5:$B$1004,F$23)&gt;0,"Exp","")))</f>
        <v/>
      </c>
      <c r="G32" s="79">
        <f>IF(OR($A32="",G$23=""),"",IF(COUNTIFS('AFA Rates'!$A$5:$A$1004,$A32,'AFA Rates'!$B$5:$B$1004,G$23,'AFA Rates'!$O$5:$O$1004,"&lt;&gt;Expired")&gt;0,"✓",IF(COUNTIFS('AFA Rates'!$A$5:$A$1004,$A32,'AFA Rates'!$B$5:$B$1004,G$23)&gt;0,"Exp","")))</f>
        <v/>
      </c>
      <c r="H32" s="79">
        <f>IF(OR($A32="",H$23=""),"",IF(COUNTIFS('AFA Rates'!$A$5:$A$1004,$A32,'AFA Rates'!$B$5:$B$1004,H$23,'AFA Rates'!$O$5:$O$1004,"&lt;&gt;Expired")&gt;0,"✓",IF(COUNTIFS('AFA Rates'!$A$5:$A$1004,$A32,'AFA Rates'!$B$5:$B$1004,H$23)&gt;0,"Exp","")))</f>
        <v/>
      </c>
      <c r="I32" s="79">
        <f>IF(OR($A32="",I$23=""),"",IF(COUNTIFS('AFA Rates'!$A$5:$A$1004,$A32,'AFA Rates'!$B$5:$B$1004,I$23,'AFA Rates'!$O$5:$O$1004,"&lt;&gt;Expired")&gt;0,"✓",IF(COUNTIFS('AFA Rates'!$A$5:$A$1004,$A32,'AFA Rates'!$B$5:$B$1004,I$23)&gt;0,"Exp","")))</f>
        <v/>
      </c>
      <c r="J32" s="79">
        <f>IF(OR($A32="",J$23=""),"",IF(COUNTIFS('AFA Rates'!$A$5:$A$1004,$A32,'AFA Rates'!$B$5:$B$1004,J$23,'AFA Rates'!$O$5:$O$1004,"&lt;&gt;Expired")&gt;0,"✓",IF(COUNTIFS('AFA Rates'!$A$5:$A$1004,$A32,'AFA Rates'!$B$5:$B$1004,J$23)&gt;0,"Exp","")))</f>
        <v/>
      </c>
      <c r="K32" s="79">
        <f>IF(OR($A32="",K$23=""),"",IF(COUNTIFS('AFA Rates'!$A$5:$A$1004,$A32,'AFA Rates'!$B$5:$B$1004,K$23,'AFA Rates'!$O$5:$O$1004,"&lt;&gt;Expired")&gt;0,"✓",IF(COUNTIFS('AFA Rates'!$A$5:$A$1004,$A32,'AFA Rates'!$B$5:$B$1004,K$23)&gt;0,"Exp","")))</f>
        <v/>
      </c>
      <c r="L32" s="79">
        <f>IF(OR($A32="",L$23=""),"",IF(COUNTIFS('AFA Rates'!$A$5:$A$1004,$A32,'AFA Rates'!$B$5:$B$1004,L$23,'AFA Rates'!$O$5:$O$1004,"&lt;&gt;Expired")&gt;0,"✓",IF(COUNTIFS('AFA Rates'!$A$5:$A$1004,$A32,'AFA Rates'!$B$5:$B$1004,L$23)&gt;0,"Exp","")))</f>
        <v/>
      </c>
      <c r="M32" s="79">
        <f>IF(OR($A32="",M$23=""),"",IF(COUNTIFS('AFA Rates'!$A$5:$A$1004,$A32,'AFA Rates'!$B$5:$B$1004,M$23,'AFA Rates'!$O$5:$O$1004,"&lt;&gt;Expired")&gt;0,"✓",IF(COUNTIFS('AFA Rates'!$A$5:$A$1004,$A32,'AFA Rates'!$B$5:$B$1004,M$23)&gt;0,"Exp","")))</f>
        <v/>
      </c>
      <c r="O32" s="97" t="inlineStr">
        <is>
          <t>MT</t>
        </is>
      </c>
      <c r="P32" s="98" t="inlineStr">
        <is>
          <t>Montana</t>
        </is>
      </c>
      <c r="Q32" s="97">
        <f>COUNTIFS(Firms!$X$5:$X$1004,"*,"&amp;O32&amp;",*",Firms!$B$5:$B$1004,"Active")+COUNTIFS(Firms!$X$5:$X$1004,",ALL,",Firms!$B$5:$B$1004,"Active")</f>
        <v/>
      </c>
    </row>
    <row r="33">
      <c r="A33" s="78">
        <f>IFERROR(INDEX(Firms!$A$5:$A$1004,MATCH(10,Firms!$V$5:$V$1004,0)),"")</f>
        <v/>
      </c>
      <c r="B33" s="79">
        <f>IF($A33="","",INDEX(Firms!$B$5:$B$1004,MATCH(10,Firms!$V$5:$V$1004,0)))</f>
        <v/>
      </c>
      <c r="C33" s="79">
        <f>IF($A33="","",COUNTIFS('AFA Rates'!$A$5:$A$1004,$A33,'AFA Rates'!$O$5:$O$1004,"&lt;&gt;Expired"))</f>
        <v/>
      </c>
      <c r="D33" s="79">
        <f>IF(OR($A33="",D$23=""),"",IF(COUNTIFS('AFA Rates'!$A$5:$A$1004,$A33,'AFA Rates'!$B$5:$B$1004,D$23,'AFA Rates'!$O$5:$O$1004,"&lt;&gt;Expired")&gt;0,"✓",IF(COUNTIFS('AFA Rates'!$A$5:$A$1004,$A33,'AFA Rates'!$B$5:$B$1004,D$23)&gt;0,"Exp","")))</f>
        <v/>
      </c>
      <c r="E33" s="79">
        <f>IF(OR($A33="",E$23=""),"",IF(COUNTIFS('AFA Rates'!$A$5:$A$1004,$A33,'AFA Rates'!$B$5:$B$1004,E$23,'AFA Rates'!$O$5:$O$1004,"&lt;&gt;Expired")&gt;0,"✓",IF(COUNTIFS('AFA Rates'!$A$5:$A$1004,$A33,'AFA Rates'!$B$5:$B$1004,E$23)&gt;0,"Exp","")))</f>
        <v/>
      </c>
      <c r="F33" s="79">
        <f>IF(OR($A33="",F$23=""),"",IF(COUNTIFS('AFA Rates'!$A$5:$A$1004,$A33,'AFA Rates'!$B$5:$B$1004,F$23,'AFA Rates'!$O$5:$O$1004,"&lt;&gt;Expired")&gt;0,"✓",IF(COUNTIFS('AFA Rates'!$A$5:$A$1004,$A33,'AFA Rates'!$B$5:$B$1004,F$23)&gt;0,"Exp","")))</f>
        <v/>
      </c>
      <c r="G33" s="79">
        <f>IF(OR($A33="",G$23=""),"",IF(COUNTIFS('AFA Rates'!$A$5:$A$1004,$A33,'AFA Rates'!$B$5:$B$1004,G$23,'AFA Rates'!$O$5:$O$1004,"&lt;&gt;Expired")&gt;0,"✓",IF(COUNTIFS('AFA Rates'!$A$5:$A$1004,$A33,'AFA Rates'!$B$5:$B$1004,G$23)&gt;0,"Exp","")))</f>
        <v/>
      </c>
      <c r="H33" s="79">
        <f>IF(OR($A33="",H$23=""),"",IF(COUNTIFS('AFA Rates'!$A$5:$A$1004,$A33,'AFA Rates'!$B$5:$B$1004,H$23,'AFA Rates'!$O$5:$O$1004,"&lt;&gt;Expired")&gt;0,"✓",IF(COUNTIFS('AFA Rates'!$A$5:$A$1004,$A33,'AFA Rates'!$B$5:$B$1004,H$23)&gt;0,"Exp","")))</f>
        <v/>
      </c>
      <c r="I33" s="79">
        <f>IF(OR($A33="",I$23=""),"",IF(COUNTIFS('AFA Rates'!$A$5:$A$1004,$A33,'AFA Rates'!$B$5:$B$1004,I$23,'AFA Rates'!$O$5:$O$1004,"&lt;&gt;Expired")&gt;0,"✓",IF(COUNTIFS('AFA Rates'!$A$5:$A$1004,$A33,'AFA Rates'!$B$5:$B$1004,I$23)&gt;0,"Exp","")))</f>
        <v/>
      </c>
      <c r="J33" s="79">
        <f>IF(OR($A33="",J$23=""),"",IF(COUNTIFS('AFA Rates'!$A$5:$A$1004,$A33,'AFA Rates'!$B$5:$B$1004,J$23,'AFA Rates'!$O$5:$O$1004,"&lt;&gt;Expired")&gt;0,"✓",IF(COUNTIFS('AFA Rates'!$A$5:$A$1004,$A33,'AFA Rates'!$B$5:$B$1004,J$23)&gt;0,"Exp","")))</f>
        <v/>
      </c>
      <c r="K33" s="79">
        <f>IF(OR($A33="",K$23=""),"",IF(COUNTIFS('AFA Rates'!$A$5:$A$1004,$A33,'AFA Rates'!$B$5:$B$1004,K$23,'AFA Rates'!$O$5:$O$1004,"&lt;&gt;Expired")&gt;0,"✓",IF(COUNTIFS('AFA Rates'!$A$5:$A$1004,$A33,'AFA Rates'!$B$5:$B$1004,K$23)&gt;0,"Exp","")))</f>
        <v/>
      </c>
      <c r="L33" s="79">
        <f>IF(OR($A33="",L$23=""),"",IF(COUNTIFS('AFA Rates'!$A$5:$A$1004,$A33,'AFA Rates'!$B$5:$B$1004,L$23,'AFA Rates'!$O$5:$O$1004,"&lt;&gt;Expired")&gt;0,"✓",IF(COUNTIFS('AFA Rates'!$A$5:$A$1004,$A33,'AFA Rates'!$B$5:$B$1004,L$23)&gt;0,"Exp","")))</f>
        <v/>
      </c>
      <c r="M33" s="79">
        <f>IF(OR($A33="",M$23=""),"",IF(COUNTIFS('AFA Rates'!$A$5:$A$1004,$A33,'AFA Rates'!$B$5:$B$1004,M$23,'AFA Rates'!$O$5:$O$1004,"&lt;&gt;Expired")&gt;0,"✓",IF(COUNTIFS('AFA Rates'!$A$5:$A$1004,$A33,'AFA Rates'!$B$5:$B$1004,M$23)&gt;0,"Exp","")))</f>
        <v/>
      </c>
      <c r="O33" s="97" t="inlineStr">
        <is>
          <t>NE</t>
        </is>
      </c>
      <c r="P33" s="98" t="inlineStr">
        <is>
          <t>Nebraska</t>
        </is>
      </c>
      <c r="Q33" s="97">
        <f>COUNTIFS(Firms!$X$5:$X$1004,"*,"&amp;O33&amp;",*",Firms!$B$5:$B$1004,"Active")+COUNTIFS(Firms!$X$5:$X$1004,",ALL,",Firms!$B$5:$B$1004,"Active")</f>
        <v/>
      </c>
    </row>
    <row r="34">
      <c r="A34" s="78">
        <f>IFERROR(INDEX(Firms!$A$5:$A$1004,MATCH(11,Firms!$V$5:$V$1004,0)),"")</f>
        <v/>
      </c>
      <c r="B34" s="79">
        <f>IF($A34="","",INDEX(Firms!$B$5:$B$1004,MATCH(11,Firms!$V$5:$V$1004,0)))</f>
        <v/>
      </c>
      <c r="C34" s="79">
        <f>IF($A34="","",COUNTIFS('AFA Rates'!$A$5:$A$1004,$A34,'AFA Rates'!$O$5:$O$1004,"&lt;&gt;Expired"))</f>
        <v/>
      </c>
      <c r="D34" s="79">
        <f>IF(OR($A34="",D$23=""),"",IF(COUNTIFS('AFA Rates'!$A$5:$A$1004,$A34,'AFA Rates'!$B$5:$B$1004,D$23,'AFA Rates'!$O$5:$O$1004,"&lt;&gt;Expired")&gt;0,"✓",IF(COUNTIFS('AFA Rates'!$A$5:$A$1004,$A34,'AFA Rates'!$B$5:$B$1004,D$23)&gt;0,"Exp","")))</f>
        <v/>
      </c>
      <c r="E34" s="79">
        <f>IF(OR($A34="",E$23=""),"",IF(COUNTIFS('AFA Rates'!$A$5:$A$1004,$A34,'AFA Rates'!$B$5:$B$1004,E$23,'AFA Rates'!$O$5:$O$1004,"&lt;&gt;Expired")&gt;0,"✓",IF(COUNTIFS('AFA Rates'!$A$5:$A$1004,$A34,'AFA Rates'!$B$5:$B$1004,E$23)&gt;0,"Exp","")))</f>
        <v/>
      </c>
      <c r="F34" s="79">
        <f>IF(OR($A34="",F$23=""),"",IF(COUNTIFS('AFA Rates'!$A$5:$A$1004,$A34,'AFA Rates'!$B$5:$B$1004,F$23,'AFA Rates'!$O$5:$O$1004,"&lt;&gt;Expired")&gt;0,"✓",IF(COUNTIFS('AFA Rates'!$A$5:$A$1004,$A34,'AFA Rates'!$B$5:$B$1004,F$23)&gt;0,"Exp","")))</f>
        <v/>
      </c>
      <c r="G34" s="79">
        <f>IF(OR($A34="",G$23=""),"",IF(COUNTIFS('AFA Rates'!$A$5:$A$1004,$A34,'AFA Rates'!$B$5:$B$1004,G$23,'AFA Rates'!$O$5:$O$1004,"&lt;&gt;Expired")&gt;0,"✓",IF(COUNTIFS('AFA Rates'!$A$5:$A$1004,$A34,'AFA Rates'!$B$5:$B$1004,G$23)&gt;0,"Exp","")))</f>
        <v/>
      </c>
      <c r="H34" s="79">
        <f>IF(OR($A34="",H$23=""),"",IF(COUNTIFS('AFA Rates'!$A$5:$A$1004,$A34,'AFA Rates'!$B$5:$B$1004,H$23,'AFA Rates'!$O$5:$O$1004,"&lt;&gt;Expired")&gt;0,"✓",IF(COUNTIFS('AFA Rates'!$A$5:$A$1004,$A34,'AFA Rates'!$B$5:$B$1004,H$23)&gt;0,"Exp","")))</f>
        <v/>
      </c>
      <c r="I34" s="79">
        <f>IF(OR($A34="",I$23=""),"",IF(COUNTIFS('AFA Rates'!$A$5:$A$1004,$A34,'AFA Rates'!$B$5:$B$1004,I$23,'AFA Rates'!$O$5:$O$1004,"&lt;&gt;Expired")&gt;0,"✓",IF(COUNTIFS('AFA Rates'!$A$5:$A$1004,$A34,'AFA Rates'!$B$5:$B$1004,I$23)&gt;0,"Exp","")))</f>
        <v/>
      </c>
      <c r="J34" s="79">
        <f>IF(OR($A34="",J$23=""),"",IF(COUNTIFS('AFA Rates'!$A$5:$A$1004,$A34,'AFA Rates'!$B$5:$B$1004,J$23,'AFA Rates'!$O$5:$O$1004,"&lt;&gt;Expired")&gt;0,"✓",IF(COUNTIFS('AFA Rates'!$A$5:$A$1004,$A34,'AFA Rates'!$B$5:$B$1004,J$23)&gt;0,"Exp","")))</f>
        <v/>
      </c>
      <c r="K34" s="79">
        <f>IF(OR($A34="",K$23=""),"",IF(COUNTIFS('AFA Rates'!$A$5:$A$1004,$A34,'AFA Rates'!$B$5:$B$1004,K$23,'AFA Rates'!$O$5:$O$1004,"&lt;&gt;Expired")&gt;0,"✓",IF(COUNTIFS('AFA Rates'!$A$5:$A$1004,$A34,'AFA Rates'!$B$5:$B$1004,K$23)&gt;0,"Exp","")))</f>
        <v/>
      </c>
      <c r="L34" s="79">
        <f>IF(OR($A34="",L$23=""),"",IF(COUNTIFS('AFA Rates'!$A$5:$A$1004,$A34,'AFA Rates'!$B$5:$B$1004,L$23,'AFA Rates'!$O$5:$O$1004,"&lt;&gt;Expired")&gt;0,"✓",IF(COUNTIFS('AFA Rates'!$A$5:$A$1004,$A34,'AFA Rates'!$B$5:$B$1004,L$23)&gt;0,"Exp","")))</f>
        <v/>
      </c>
      <c r="M34" s="79">
        <f>IF(OR($A34="",M$23=""),"",IF(COUNTIFS('AFA Rates'!$A$5:$A$1004,$A34,'AFA Rates'!$B$5:$B$1004,M$23,'AFA Rates'!$O$5:$O$1004,"&lt;&gt;Expired")&gt;0,"✓",IF(COUNTIFS('AFA Rates'!$A$5:$A$1004,$A34,'AFA Rates'!$B$5:$B$1004,M$23)&gt;0,"Exp","")))</f>
        <v/>
      </c>
      <c r="O34" s="97" t="inlineStr">
        <is>
          <t>NV</t>
        </is>
      </c>
      <c r="P34" s="98" t="inlineStr">
        <is>
          <t>Nevada</t>
        </is>
      </c>
      <c r="Q34" s="97">
        <f>COUNTIFS(Firms!$X$5:$X$1004,"*,"&amp;O34&amp;",*",Firms!$B$5:$B$1004,"Active")+COUNTIFS(Firms!$X$5:$X$1004,",ALL,",Firms!$B$5:$B$1004,"Active")</f>
        <v/>
      </c>
    </row>
    <row r="35">
      <c r="A35" s="78">
        <f>IFERROR(INDEX(Firms!$A$5:$A$1004,MATCH(12,Firms!$V$5:$V$1004,0)),"")</f>
        <v/>
      </c>
      <c r="B35" s="79">
        <f>IF($A35="","",INDEX(Firms!$B$5:$B$1004,MATCH(12,Firms!$V$5:$V$1004,0)))</f>
        <v/>
      </c>
      <c r="C35" s="79">
        <f>IF($A35="","",COUNTIFS('AFA Rates'!$A$5:$A$1004,$A35,'AFA Rates'!$O$5:$O$1004,"&lt;&gt;Expired"))</f>
        <v/>
      </c>
      <c r="D35" s="79">
        <f>IF(OR($A35="",D$23=""),"",IF(COUNTIFS('AFA Rates'!$A$5:$A$1004,$A35,'AFA Rates'!$B$5:$B$1004,D$23,'AFA Rates'!$O$5:$O$1004,"&lt;&gt;Expired")&gt;0,"✓",IF(COUNTIFS('AFA Rates'!$A$5:$A$1004,$A35,'AFA Rates'!$B$5:$B$1004,D$23)&gt;0,"Exp","")))</f>
        <v/>
      </c>
      <c r="E35" s="79">
        <f>IF(OR($A35="",E$23=""),"",IF(COUNTIFS('AFA Rates'!$A$5:$A$1004,$A35,'AFA Rates'!$B$5:$B$1004,E$23,'AFA Rates'!$O$5:$O$1004,"&lt;&gt;Expired")&gt;0,"✓",IF(COUNTIFS('AFA Rates'!$A$5:$A$1004,$A35,'AFA Rates'!$B$5:$B$1004,E$23)&gt;0,"Exp","")))</f>
        <v/>
      </c>
      <c r="F35" s="79">
        <f>IF(OR($A35="",F$23=""),"",IF(COUNTIFS('AFA Rates'!$A$5:$A$1004,$A35,'AFA Rates'!$B$5:$B$1004,F$23,'AFA Rates'!$O$5:$O$1004,"&lt;&gt;Expired")&gt;0,"✓",IF(COUNTIFS('AFA Rates'!$A$5:$A$1004,$A35,'AFA Rates'!$B$5:$B$1004,F$23)&gt;0,"Exp","")))</f>
        <v/>
      </c>
      <c r="G35" s="79">
        <f>IF(OR($A35="",G$23=""),"",IF(COUNTIFS('AFA Rates'!$A$5:$A$1004,$A35,'AFA Rates'!$B$5:$B$1004,G$23,'AFA Rates'!$O$5:$O$1004,"&lt;&gt;Expired")&gt;0,"✓",IF(COUNTIFS('AFA Rates'!$A$5:$A$1004,$A35,'AFA Rates'!$B$5:$B$1004,G$23)&gt;0,"Exp","")))</f>
        <v/>
      </c>
      <c r="H35" s="79">
        <f>IF(OR($A35="",H$23=""),"",IF(COUNTIFS('AFA Rates'!$A$5:$A$1004,$A35,'AFA Rates'!$B$5:$B$1004,H$23,'AFA Rates'!$O$5:$O$1004,"&lt;&gt;Expired")&gt;0,"✓",IF(COUNTIFS('AFA Rates'!$A$5:$A$1004,$A35,'AFA Rates'!$B$5:$B$1004,H$23)&gt;0,"Exp","")))</f>
        <v/>
      </c>
      <c r="I35" s="79">
        <f>IF(OR($A35="",I$23=""),"",IF(COUNTIFS('AFA Rates'!$A$5:$A$1004,$A35,'AFA Rates'!$B$5:$B$1004,I$23,'AFA Rates'!$O$5:$O$1004,"&lt;&gt;Expired")&gt;0,"✓",IF(COUNTIFS('AFA Rates'!$A$5:$A$1004,$A35,'AFA Rates'!$B$5:$B$1004,I$23)&gt;0,"Exp","")))</f>
        <v/>
      </c>
      <c r="J35" s="79">
        <f>IF(OR($A35="",J$23=""),"",IF(COUNTIFS('AFA Rates'!$A$5:$A$1004,$A35,'AFA Rates'!$B$5:$B$1004,J$23,'AFA Rates'!$O$5:$O$1004,"&lt;&gt;Expired")&gt;0,"✓",IF(COUNTIFS('AFA Rates'!$A$5:$A$1004,$A35,'AFA Rates'!$B$5:$B$1004,J$23)&gt;0,"Exp","")))</f>
        <v/>
      </c>
      <c r="K35" s="79">
        <f>IF(OR($A35="",K$23=""),"",IF(COUNTIFS('AFA Rates'!$A$5:$A$1004,$A35,'AFA Rates'!$B$5:$B$1004,K$23,'AFA Rates'!$O$5:$O$1004,"&lt;&gt;Expired")&gt;0,"✓",IF(COUNTIFS('AFA Rates'!$A$5:$A$1004,$A35,'AFA Rates'!$B$5:$B$1004,K$23)&gt;0,"Exp","")))</f>
        <v/>
      </c>
      <c r="L35" s="79">
        <f>IF(OR($A35="",L$23=""),"",IF(COUNTIFS('AFA Rates'!$A$5:$A$1004,$A35,'AFA Rates'!$B$5:$B$1004,L$23,'AFA Rates'!$O$5:$O$1004,"&lt;&gt;Expired")&gt;0,"✓",IF(COUNTIFS('AFA Rates'!$A$5:$A$1004,$A35,'AFA Rates'!$B$5:$B$1004,L$23)&gt;0,"Exp","")))</f>
        <v/>
      </c>
      <c r="M35" s="79">
        <f>IF(OR($A35="",M$23=""),"",IF(COUNTIFS('AFA Rates'!$A$5:$A$1004,$A35,'AFA Rates'!$B$5:$B$1004,M$23,'AFA Rates'!$O$5:$O$1004,"&lt;&gt;Expired")&gt;0,"✓",IF(COUNTIFS('AFA Rates'!$A$5:$A$1004,$A35,'AFA Rates'!$B$5:$B$1004,M$23)&gt;0,"Exp","")))</f>
        <v/>
      </c>
      <c r="O35" s="97" t="inlineStr">
        <is>
          <t>NH</t>
        </is>
      </c>
      <c r="P35" s="98" t="inlineStr">
        <is>
          <t>New Hampshire</t>
        </is>
      </c>
      <c r="Q35" s="97">
        <f>COUNTIFS(Firms!$X$5:$X$1004,"*,"&amp;O35&amp;",*",Firms!$B$5:$B$1004,"Active")+COUNTIFS(Firms!$X$5:$X$1004,",ALL,",Firms!$B$5:$B$1004,"Active")</f>
        <v/>
      </c>
    </row>
    <row r="36">
      <c r="A36" s="78">
        <f>IFERROR(INDEX(Firms!$A$5:$A$1004,MATCH(13,Firms!$V$5:$V$1004,0)),"")</f>
        <v/>
      </c>
      <c r="B36" s="79">
        <f>IF($A36="","",INDEX(Firms!$B$5:$B$1004,MATCH(13,Firms!$V$5:$V$1004,0)))</f>
        <v/>
      </c>
      <c r="C36" s="79">
        <f>IF($A36="","",COUNTIFS('AFA Rates'!$A$5:$A$1004,$A36,'AFA Rates'!$O$5:$O$1004,"&lt;&gt;Expired"))</f>
        <v/>
      </c>
      <c r="D36" s="79">
        <f>IF(OR($A36="",D$23=""),"",IF(COUNTIFS('AFA Rates'!$A$5:$A$1004,$A36,'AFA Rates'!$B$5:$B$1004,D$23,'AFA Rates'!$O$5:$O$1004,"&lt;&gt;Expired")&gt;0,"✓",IF(COUNTIFS('AFA Rates'!$A$5:$A$1004,$A36,'AFA Rates'!$B$5:$B$1004,D$23)&gt;0,"Exp","")))</f>
        <v/>
      </c>
      <c r="E36" s="79">
        <f>IF(OR($A36="",E$23=""),"",IF(COUNTIFS('AFA Rates'!$A$5:$A$1004,$A36,'AFA Rates'!$B$5:$B$1004,E$23,'AFA Rates'!$O$5:$O$1004,"&lt;&gt;Expired")&gt;0,"✓",IF(COUNTIFS('AFA Rates'!$A$5:$A$1004,$A36,'AFA Rates'!$B$5:$B$1004,E$23)&gt;0,"Exp","")))</f>
        <v/>
      </c>
      <c r="F36" s="79">
        <f>IF(OR($A36="",F$23=""),"",IF(COUNTIFS('AFA Rates'!$A$5:$A$1004,$A36,'AFA Rates'!$B$5:$B$1004,F$23,'AFA Rates'!$O$5:$O$1004,"&lt;&gt;Expired")&gt;0,"✓",IF(COUNTIFS('AFA Rates'!$A$5:$A$1004,$A36,'AFA Rates'!$B$5:$B$1004,F$23)&gt;0,"Exp","")))</f>
        <v/>
      </c>
      <c r="G36" s="79">
        <f>IF(OR($A36="",G$23=""),"",IF(COUNTIFS('AFA Rates'!$A$5:$A$1004,$A36,'AFA Rates'!$B$5:$B$1004,G$23,'AFA Rates'!$O$5:$O$1004,"&lt;&gt;Expired")&gt;0,"✓",IF(COUNTIFS('AFA Rates'!$A$5:$A$1004,$A36,'AFA Rates'!$B$5:$B$1004,G$23)&gt;0,"Exp","")))</f>
        <v/>
      </c>
      <c r="H36" s="79">
        <f>IF(OR($A36="",H$23=""),"",IF(COUNTIFS('AFA Rates'!$A$5:$A$1004,$A36,'AFA Rates'!$B$5:$B$1004,H$23,'AFA Rates'!$O$5:$O$1004,"&lt;&gt;Expired")&gt;0,"✓",IF(COUNTIFS('AFA Rates'!$A$5:$A$1004,$A36,'AFA Rates'!$B$5:$B$1004,H$23)&gt;0,"Exp","")))</f>
        <v/>
      </c>
      <c r="I36" s="79">
        <f>IF(OR($A36="",I$23=""),"",IF(COUNTIFS('AFA Rates'!$A$5:$A$1004,$A36,'AFA Rates'!$B$5:$B$1004,I$23,'AFA Rates'!$O$5:$O$1004,"&lt;&gt;Expired")&gt;0,"✓",IF(COUNTIFS('AFA Rates'!$A$5:$A$1004,$A36,'AFA Rates'!$B$5:$B$1004,I$23)&gt;0,"Exp","")))</f>
        <v/>
      </c>
      <c r="J36" s="79">
        <f>IF(OR($A36="",J$23=""),"",IF(COUNTIFS('AFA Rates'!$A$5:$A$1004,$A36,'AFA Rates'!$B$5:$B$1004,J$23,'AFA Rates'!$O$5:$O$1004,"&lt;&gt;Expired")&gt;0,"✓",IF(COUNTIFS('AFA Rates'!$A$5:$A$1004,$A36,'AFA Rates'!$B$5:$B$1004,J$23)&gt;0,"Exp","")))</f>
        <v/>
      </c>
      <c r="K36" s="79">
        <f>IF(OR($A36="",K$23=""),"",IF(COUNTIFS('AFA Rates'!$A$5:$A$1004,$A36,'AFA Rates'!$B$5:$B$1004,K$23,'AFA Rates'!$O$5:$O$1004,"&lt;&gt;Expired")&gt;0,"✓",IF(COUNTIFS('AFA Rates'!$A$5:$A$1004,$A36,'AFA Rates'!$B$5:$B$1004,K$23)&gt;0,"Exp","")))</f>
        <v/>
      </c>
      <c r="L36" s="79">
        <f>IF(OR($A36="",L$23=""),"",IF(COUNTIFS('AFA Rates'!$A$5:$A$1004,$A36,'AFA Rates'!$B$5:$B$1004,L$23,'AFA Rates'!$O$5:$O$1004,"&lt;&gt;Expired")&gt;0,"✓",IF(COUNTIFS('AFA Rates'!$A$5:$A$1004,$A36,'AFA Rates'!$B$5:$B$1004,L$23)&gt;0,"Exp","")))</f>
        <v/>
      </c>
      <c r="M36" s="79">
        <f>IF(OR($A36="",M$23=""),"",IF(COUNTIFS('AFA Rates'!$A$5:$A$1004,$A36,'AFA Rates'!$B$5:$B$1004,M$23,'AFA Rates'!$O$5:$O$1004,"&lt;&gt;Expired")&gt;0,"✓",IF(COUNTIFS('AFA Rates'!$A$5:$A$1004,$A36,'AFA Rates'!$B$5:$B$1004,M$23)&gt;0,"Exp","")))</f>
        <v/>
      </c>
      <c r="O36" s="97" t="inlineStr">
        <is>
          <t>NJ</t>
        </is>
      </c>
      <c r="P36" s="98" t="inlineStr">
        <is>
          <t>New Jersey</t>
        </is>
      </c>
      <c r="Q36" s="97">
        <f>COUNTIFS(Firms!$X$5:$X$1004,"*,"&amp;O36&amp;",*",Firms!$B$5:$B$1004,"Active")+COUNTIFS(Firms!$X$5:$X$1004,",ALL,",Firms!$B$5:$B$1004,"Active")</f>
        <v/>
      </c>
    </row>
    <row r="37">
      <c r="A37" s="78">
        <f>IFERROR(INDEX(Firms!$A$5:$A$1004,MATCH(14,Firms!$V$5:$V$1004,0)),"")</f>
        <v/>
      </c>
      <c r="B37" s="79">
        <f>IF($A37="","",INDEX(Firms!$B$5:$B$1004,MATCH(14,Firms!$V$5:$V$1004,0)))</f>
        <v/>
      </c>
      <c r="C37" s="79">
        <f>IF($A37="","",COUNTIFS('AFA Rates'!$A$5:$A$1004,$A37,'AFA Rates'!$O$5:$O$1004,"&lt;&gt;Expired"))</f>
        <v/>
      </c>
      <c r="D37" s="79">
        <f>IF(OR($A37="",D$23=""),"",IF(COUNTIFS('AFA Rates'!$A$5:$A$1004,$A37,'AFA Rates'!$B$5:$B$1004,D$23,'AFA Rates'!$O$5:$O$1004,"&lt;&gt;Expired")&gt;0,"✓",IF(COUNTIFS('AFA Rates'!$A$5:$A$1004,$A37,'AFA Rates'!$B$5:$B$1004,D$23)&gt;0,"Exp","")))</f>
        <v/>
      </c>
      <c r="E37" s="79">
        <f>IF(OR($A37="",E$23=""),"",IF(COUNTIFS('AFA Rates'!$A$5:$A$1004,$A37,'AFA Rates'!$B$5:$B$1004,E$23,'AFA Rates'!$O$5:$O$1004,"&lt;&gt;Expired")&gt;0,"✓",IF(COUNTIFS('AFA Rates'!$A$5:$A$1004,$A37,'AFA Rates'!$B$5:$B$1004,E$23)&gt;0,"Exp","")))</f>
        <v/>
      </c>
      <c r="F37" s="79">
        <f>IF(OR($A37="",F$23=""),"",IF(COUNTIFS('AFA Rates'!$A$5:$A$1004,$A37,'AFA Rates'!$B$5:$B$1004,F$23,'AFA Rates'!$O$5:$O$1004,"&lt;&gt;Expired")&gt;0,"✓",IF(COUNTIFS('AFA Rates'!$A$5:$A$1004,$A37,'AFA Rates'!$B$5:$B$1004,F$23)&gt;0,"Exp","")))</f>
        <v/>
      </c>
      <c r="G37" s="79">
        <f>IF(OR($A37="",G$23=""),"",IF(COUNTIFS('AFA Rates'!$A$5:$A$1004,$A37,'AFA Rates'!$B$5:$B$1004,G$23,'AFA Rates'!$O$5:$O$1004,"&lt;&gt;Expired")&gt;0,"✓",IF(COUNTIFS('AFA Rates'!$A$5:$A$1004,$A37,'AFA Rates'!$B$5:$B$1004,G$23)&gt;0,"Exp","")))</f>
        <v/>
      </c>
      <c r="H37" s="79">
        <f>IF(OR($A37="",H$23=""),"",IF(COUNTIFS('AFA Rates'!$A$5:$A$1004,$A37,'AFA Rates'!$B$5:$B$1004,H$23,'AFA Rates'!$O$5:$O$1004,"&lt;&gt;Expired")&gt;0,"✓",IF(COUNTIFS('AFA Rates'!$A$5:$A$1004,$A37,'AFA Rates'!$B$5:$B$1004,H$23)&gt;0,"Exp","")))</f>
        <v/>
      </c>
      <c r="I37" s="79">
        <f>IF(OR($A37="",I$23=""),"",IF(COUNTIFS('AFA Rates'!$A$5:$A$1004,$A37,'AFA Rates'!$B$5:$B$1004,I$23,'AFA Rates'!$O$5:$O$1004,"&lt;&gt;Expired")&gt;0,"✓",IF(COUNTIFS('AFA Rates'!$A$5:$A$1004,$A37,'AFA Rates'!$B$5:$B$1004,I$23)&gt;0,"Exp","")))</f>
        <v/>
      </c>
      <c r="J37" s="79">
        <f>IF(OR($A37="",J$23=""),"",IF(COUNTIFS('AFA Rates'!$A$5:$A$1004,$A37,'AFA Rates'!$B$5:$B$1004,J$23,'AFA Rates'!$O$5:$O$1004,"&lt;&gt;Expired")&gt;0,"✓",IF(COUNTIFS('AFA Rates'!$A$5:$A$1004,$A37,'AFA Rates'!$B$5:$B$1004,J$23)&gt;0,"Exp","")))</f>
        <v/>
      </c>
      <c r="K37" s="79">
        <f>IF(OR($A37="",K$23=""),"",IF(COUNTIFS('AFA Rates'!$A$5:$A$1004,$A37,'AFA Rates'!$B$5:$B$1004,K$23,'AFA Rates'!$O$5:$O$1004,"&lt;&gt;Expired")&gt;0,"✓",IF(COUNTIFS('AFA Rates'!$A$5:$A$1004,$A37,'AFA Rates'!$B$5:$B$1004,K$23)&gt;0,"Exp","")))</f>
        <v/>
      </c>
      <c r="L37" s="79">
        <f>IF(OR($A37="",L$23=""),"",IF(COUNTIFS('AFA Rates'!$A$5:$A$1004,$A37,'AFA Rates'!$B$5:$B$1004,L$23,'AFA Rates'!$O$5:$O$1004,"&lt;&gt;Expired")&gt;0,"✓",IF(COUNTIFS('AFA Rates'!$A$5:$A$1004,$A37,'AFA Rates'!$B$5:$B$1004,L$23)&gt;0,"Exp","")))</f>
        <v/>
      </c>
      <c r="M37" s="79">
        <f>IF(OR($A37="",M$23=""),"",IF(COUNTIFS('AFA Rates'!$A$5:$A$1004,$A37,'AFA Rates'!$B$5:$B$1004,M$23,'AFA Rates'!$O$5:$O$1004,"&lt;&gt;Expired")&gt;0,"✓",IF(COUNTIFS('AFA Rates'!$A$5:$A$1004,$A37,'AFA Rates'!$B$5:$B$1004,M$23)&gt;0,"Exp","")))</f>
        <v/>
      </c>
      <c r="O37" s="97" t="inlineStr">
        <is>
          <t>NM</t>
        </is>
      </c>
      <c r="P37" s="98" t="inlineStr">
        <is>
          <t>New Mexico</t>
        </is>
      </c>
      <c r="Q37" s="97">
        <f>COUNTIFS(Firms!$X$5:$X$1004,"*,"&amp;O37&amp;",*",Firms!$B$5:$B$1004,"Active")+COUNTIFS(Firms!$X$5:$X$1004,",ALL,",Firms!$B$5:$B$1004,"Active")</f>
        <v/>
      </c>
    </row>
    <row r="38">
      <c r="A38" s="78">
        <f>IFERROR(INDEX(Firms!$A$5:$A$1004,MATCH(15,Firms!$V$5:$V$1004,0)),"")</f>
        <v/>
      </c>
      <c r="B38" s="79">
        <f>IF($A38="","",INDEX(Firms!$B$5:$B$1004,MATCH(15,Firms!$V$5:$V$1004,0)))</f>
        <v/>
      </c>
      <c r="C38" s="79">
        <f>IF($A38="","",COUNTIFS('AFA Rates'!$A$5:$A$1004,$A38,'AFA Rates'!$O$5:$O$1004,"&lt;&gt;Expired"))</f>
        <v/>
      </c>
      <c r="D38" s="79">
        <f>IF(OR($A38="",D$23=""),"",IF(COUNTIFS('AFA Rates'!$A$5:$A$1004,$A38,'AFA Rates'!$B$5:$B$1004,D$23,'AFA Rates'!$O$5:$O$1004,"&lt;&gt;Expired")&gt;0,"✓",IF(COUNTIFS('AFA Rates'!$A$5:$A$1004,$A38,'AFA Rates'!$B$5:$B$1004,D$23)&gt;0,"Exp","")))</f>
        <v/>
      </c>
      <c r="E38" s="79">
        <f>IF(OR($A38="",E$23=""),"",IF(COUNTIFS('AFA Rates'!$A$5:$A$1004,$A38,'AFA Rates'!$B$5:$B$1004,E$23,'AFA Rates'!$O$5:$O$1004,"&lt;&gt;Expired")&gt;0,"✓",IF(COUNTIFS('AFA Rates'!$A$5:$A$1004,$A38,'AFA Rates'!$B$5:$B$1004,E$23)&gt;0,"Exp","")))</f>
        <v/>
      </c>
      <c r="F38" s="79">
        <f>IF(OR($A38="",F$23=""),"",IF(COUNTIFS('AFA Rates'!$A$5:$A$1004,$A38,'AFA Rates'!$B$5:$B$1004,F$23,'AFA Rates'!$O$5:$O$1004,"&lt;&gt;Expired")&gt;0,"✓",IF(COUNTIFS('AFA Rates'!$A$5:$A$1004,$A38,'AFA Rates'!$B$5:$B$1004,F$23)&gt;0,"Exp","")))</f>
        <v/>
      </c>
      <c r="G38" s="79">
        <f>IF(OR($A38="",G$23=""),"",IF(COUNTIFS('AFA Rates'!$A$5:$A$1004,$A38,'AFA Rates'!$B$5:$B$1004,G$23,'AFA Rates'!$O$5:$O$1004,"&lt;&gt;Expired")&gt;0,"✓",IF(COUNTIFS('AFA Rates'!$A$5:$A$1004,$A38,'AFA Rates'!$B$5:$B$1004,G$23)&gt;0,"Exp","")))</f>
        <v/>
      </c>
      <c r="H38" s="79">
        <f>IF(OR($A38="",H$23=""),"",IF(COUNTIFS('AFA Rates'!$A$5:$A$1004,$A38,'AFA Rates'!$B$5:$B$1004,H$23,'AFA Rates'!$O$5:$O$1004,"&lt;&gt;Expired")&gt;0,"✓",IF(COUNTIFS('AFA Rates'!$A$5:$A$1004,$A38,'AFA Rates'!$B$5:$B$1004,H$23)&gt;0,"Exp","")))</f>
        <v/>
      </c>
      <c r="I38" s="79">
        <f>IF(OR($A38="",I$23=""),"",IF(COUNTIFS('AFA Rates'!$A$5:$A$1004,$A38,'AFA Rates'!$B$5:$B$1004,I$23,'AFA Rates'!$O$5:$O$1004,"&lt;&gt;Expired")&gt;0,"✓",IF(COUNTIFS('AFA Rates'!$A$5:$A$1004,$A38,'AFA Rates'!$B$5:$B$1004,I$23)&gt;0,"Exp","")))</f>
        <v/>
      </c>
      <c r="J38" s="79">
        <f>IF(OR($A38="",J$23=""),"",IF(COUNTIFS('AFA Rates'!$A$5:$A$1004,$A38,'AFA Rates'!$B$5:$B$1004,J$23,'AFA Rates'!$O$5:$O$1004,"&lt;&gt;Expired")&gt;0,"✓",IF(COUNTIFS('AFA Rates'!$A$5:$A$1004,$A38,'AFA Rates'!$B$5:$B$1004,J$23)&gt;0,"Exp","")))</f>
        <v/>
      </c>
      <c r="K38" s="79">
        <f>IF(OR($A38="",K$23=""),"",IF(COUNTIFS('AFA Rates'!$A$5:$A$1004,$A38,'AFA Rates'!$B$5:$B$1004,K$23,'AFA Rates'!$O$5:$O$1004,"&lt;&gt;Expired")&gt;0,"✓",IF(COUNTIFS('AFA Rates'!$A$5:$A$1004,$A38,'AFA Rates'!$B$5:$B$1004,K$23)&gt;0,"Exp","")))</f>
        <v/>
      </c>
      <c r="L38" s="79">
        <f>IF(OR($A38="",L$23=""),"",IF(COUNTIFS('AFA Rates'!$A$5:$A$1004,$A38,'AFA Rates'!$B$5:$B$1004,L$23,'AFA Rates'!$O$5:$O$1004,"&lt;&gt;Expired")&gt;0,"✓",IF(COUNTIFS('AFA Rates'!$A$5:$A$1004,$A38,'AFA Rates'!$B$5:$B$1004,L$23)&gt;0,"Exp","")))</f>
        <v/>
      </c>
      <c r="M38" s="79">
        <f>IF(OR($A38="",M$23=""),"",IF(COUNTIFS('AFA Rates'!$A$5:$A$1004,$A38,'AFA Rates'!$B$5:$B$1004,M$23,'AFA Rates'!$O$5:$O$1004,"&lt;&gt;Expired")&gt;0,"✓",IF(COUNTIFS('AFA Rates'!$A$5:$A$1004,$A38,'AFA Rates'!$B$5:$B$1004,M$23)&gt;0,"Exp","")))</f>
        <v/>
      </c>
      <c r="O38" s="97" t="inlineStr">
        <is>
          <t>NY</t>
        </is>
      </c>
      <c r="P38" s="98" t="inlineStr">
        <is>
          <t>New York</t>
        </is>
      </c>
      <c r="Q38" s="97">
        <f>COUNTIFS(Firms!$X$5:$X$1004,"*,"&amp;O38&amp;",*",Firms!$B$5:$B$1004,"Active")+COUNTIFS(Firms!$X$5:$X$1004,",ALL,",Firms!$B$5:$B$1004,"Active")</f>
        <v/>
      </c>
    </row>
    <row r="39">
      <c r="A39" s="78">
        <f>IFERROR(INDEX(Firms!$A$5:$A$1004,MATCH(16,Firms!$V$5:$V$1004,0)),"")</f>
        <v/>
      </c>
      <c r="B39" s="79">
        <f>IF($A39="","",INDEX(Firms!$B$5:$B$1004,MATCH(16,Firms!$V$5:$V$1004,0)))</f>
        <v/>
      </c>
      <c r="C39" s="79">
        <f>IF($A39="","",COUNTIFS('AFA Rates'!$A$5:$A$1004,$A39,'AFA Rates'!$O$5:$O$1004,"&lt;&gt;Expired"))</f>
        <v/>
      </c>
      <c r="D39" s="79">
        <f>IF(OR($A39="",D$23=""),"",IF(COUNTIFS('AFA Rates'!$A$5:$A$1004,$A39,'AFA Rates'!$B$5:$B$1004,D$23,'AFA Rates'!$O$5:$O$1004,"&lt;&gt;Expired")&gt;0,"✓",IF(COUNTIFS('AFA Rates'!$A$5:$A$1004,$A39,'AFA Rates'!$B$5:$B$1004,D$23)&gt;0,"Exp","")))</f>
        <v/>
      </c>
      <c r="E39" s="79">
        <f>IF(OR($A39="",E$23=""),"",IF(COUNTIFS('AFA Rates'!$A$5:$A$1004,$A39,'AFA Rates'!$B$5:$B$1004,E$23,'AFA Rates'!$O$5:$O$1004,"&lt;&gt;Expired")&gt;0,"✓",IF(COUNTIFS('AFA Rates'!$A$5:$A$1004,$A39,'AFA Rates'!$B$5:$B$1004,E$23)&gt;0,"Exp","")))</f>
        <v/>
      </c>
      <c r="F39" s="79">
        <f>IF(OR($A39="",F$23=""),"",IF(COUNTIFS('AFA Rates'!$A$5:$A$1004,$A39,'AFA Rates'!$B$5:$B$1004,F$23,'AFA Rates'!$O$5:$O$1004,"&lt;&gt;Expired")&gt;0,"✓",IF(COUNTIFS('AFA Rates'!$A$5:$A$1004,$A39,'AFA Rates'!$B$5:$B$1004,F$23)&gt;0,"Exp","")))</f>
        <v/>
      </c>
      <c r="G39" s="79">
        <f>IF(OR($A39="",G$23=""),"",IF(COUNTIFS('AFA Rates'!$A$5:$A$1004,$A39,'AFA Rates'!$B$5:$B$1004,G$23,'AFA Rates'!$O$5:$O$1004,"&lt;&gt;Expired")&gt;0,"✓",IF(COUNTIFS('AFA Rates'!$A$5:$A$1004,$A39,'AFA Rates'!$B$5:$B$1004,G$23)&gt;0,"Exp","")))</f>
        <v/>
      </c>
      <c r="H39" s="79">
        <f>IF(OR($A39="",H$23=""),"",IF(COUNTIFS('AFA Rates'!$A$5:$A$1004,$A39,'AFA Rates'!$B$5:$B$1004,H$23,'AFA Rates'!$O$5:$O$1004,"&lt;&gt;Expired")&gt;0,"✓",IF(COUNTIFS('AFA Rates'!$A$5:$A$1004,$A39,'AFA Rates'!$B$5:$B$1004,H$23)&gt;0,"Exp","")))</f>
        <v/>
      </c>
      <c r="I39" s="79">
        <f>IF(OR($A39="",I$23=""),"",IF(COUNTIFS('AFA Rates'!$A$5:$A$1004,$A39,'AFA Rates'!$B$5:$B$1004,I$23,'AFA Rates'!$O$5:$O$1004,"&lt;&gt;Expired")&gt;0,"✓",IF(COUNTIFS('AFA Rates'!$A$5:$A$1004,$A39,'AFA Rates'!$B$5:$B$1004,I$23)&gt;0,"Exp","")))</f>
        <v/>
      </c>
      <c r="J39" s="79">
        <f>IF(OR($A39="",J$23=""),"",IF(COUNTIFS('AFA Rates'!$A$5:$A$1004,$A39,'AFA Rates'!$B$5:$B$1004,J$23,'AFA Rates'!$O$5:$O$1004,"&lt;&gt;Expired")&gt;0,"✓",IF(COUNTIFS('AFA Rates'!$A$5:$A$1004,$A39,'AFA Rates'!$B$5:$B$1004,J$23)&gt;0,"Exp","")))</f>
        <v/>
      </c>
      <c r="K39" s="79">
        <f>IF(OR($A39="",K$23=""),"",IF(COUNTIFS('AFA Rates'!$A$5:$A$1004,$A39,'AFA Rates'!$B$5:$B$1004,K$23,'AFA Rates'!$O$5:$O$1004,"&lt;&gt;Expired")&gt;0,"✓",IF(COUNTIFS('AFA Rates'!$A$5:$A$1004,$A39,'AFA Rates'!$B$5:$B$1004,K$23)&gt;0,"Exp","")))</f>
        <v/>
      </c>
      <c r="L39" s="79">
        <f>IF(OR($A39="",L$23=""),"",IF(COUNTIFS('AFA Rates'!$A$5:$A$1004,$A39,'AFA Rates'!$B$5:$B$1004,L$23,'AFA Rates'!$O$5:$O$1004,"&lt;&gt;Expired")&gt;0,"✓",IF(COUNTIFS('AFA Rates'!$A$5:$A$1004,$A39,'AFA Rates'!$B$5:$B$1004,L$23)&gt;0,"Exp","")))</f>
        <v/>
      </c>
      <c r="M39" s="79">
        <f>IF(OR($A39="",M$23=""),"",IF(COUNTIFS('AFA Rates'!$A$5:$A$1004,$A39,'AFA Rates'!$B$5:$B$1004,M$23,'AFA Rates'!$O$5:$O$1004,"&lt;&gt;Expired")&gt;0,"✓",IF(COUNTIFS('AFA Rates'!$A$5:$A$1004,$A39,'AFA Rates'!$B$5:$B$1004,M$23)&gt;0,"Exp","")))</f>
        <v/>
      </c>
      <c r="O39" s="97" t="inlineStr">
        <is>
          <t>NC</t>
        </is>
      </c>
      <c r="P39" s="98" t="inlineStr">
        <is>
          <t>North Carolina</t>
        </is>
      </c>
      <c r="Q39" s="97">
        <f>COUNTIFS(Firms!$X$5:$X$1004,"*,"&amp;O39&amp;",*",Firms!$B$5:$B$1004,"Active")+COUNTIFS(Firms!$X$5:$X$1004,",ALL,",Firms!$B$5:$B$1004,"Active")</f>
        <v/>
      </c>
    </row>
    <row r="40">
      <c r="A40" s="78">
        <f>IFERROR(INDEX(Firms!$A$5:$A$1004,MATCH(17,Firms!$V$5:$V$1004,0)),"")</f>
        <v/>
      </c>
      <c r="B40" s="79">
        <f>IF($A40="","",INDEX(Firms!$B$5:$B$1004,MATCH(17,Firms!$V$5:$V$1004,0)))</f>
        <v/>
      </c>
      <c r="C40" s="79">
        <f>IF($A40="","",COUNTIFS('AFA Rates'!$A$5:$A$1004,$A40,'AFA Rates'!$O$5:$O$1004,"&lt;&gt;Expired"))</f>
        <v/>
      </c>
      <c r="D40" s="79">
        <f>IF(OR($A40="",D$23=""),"",IF(COUNTIFS('AFA Rates'!$A$5:$A$1004,$A40,'AFA Rates'!$B$5:$B$1004,D$23,'AFA Rates'!$O$5:$O$1004,"&lt;&gt;Expired")&gt;0,"✓",IF(COUNTIFS('AFA Rates'!$A$5:$A$1004,$A40,'AFA Rates'!$B$5:$B$1004,D$23)&gt;0,"Exp","")))</f>
        <v/>
      </c>
      <c r="E40" s="79">
        <f>IF(OR($A40="",E$23=""),"",IF(COUNTIFS('AFA Rates'!$A$5:$A$1004,$A40,'AFA Rates'!$B$5:$B$1004,E$23,'AFA Rates'!$O$5:$O$1004,"&lt;&gt;Expired")&gt;0,"✓",IF(COUNTIFS('AFA Rates'!$A$5:$A$1004,$A40,'AFA Rates'!$B$5:$B$1004,E$23)&gt;0,"Exp","")))</f>
        <v/>
      </c>
      <c r="F40" s="79">
        <f>IF(OR($A40="",F$23=""),"",IF(COUNTIFS('AFA Rates'!$A$5:$A$1004,$A40,'AFA Rates'!$B$5:$B$1004,F$23,'AFA Rates'!$O$5:$O$1004,"&lt;&gt;Expired")&gt;0,"✓",IF(COUNTIFS('AFA Rates'!$A$5:$A$1004,$A40,'AFA Rates'!$B$5:$B$1004,F$23)&gt;0,"Exp","")))</f>
        <v/>
      </c>
      <c r="G40" s="79">
        <f>IF(OR($A40="",G$23=""),"",IF(COUNTIFS('AFA Rates'!$A$5:$A$1004,$A40,'AFA Rates'!$B$5:$B$1004,G$23,'AFA Rates'!$O$5:$O$1004,"&lt;&gt;Expired")&gt;0,"✓",IF(COUNTIFS('AFA Rates'!$A$5:$A$1004,$A40,'AFA Rates'!$B$5:$B$1004,G$23)&gt;0,"Exp","")))</f>
        <v/>
      </c>
      <c r="H40" s="79">
        <f>IF(OR($A40="",H$23=""),"",IF(COUNTIFS('AFA Rates'!$A$5:$A$1004,$A40,'AFA Rates'!$B$5:$B$1004,H$23,'AFA Rates'!$O$5:$O$1004,"&lt;&gt;Expired")&gt;0,"✓",IF(COUNTIFS('AFA Rates'!$A$5:$A$1004,$A40,'AFA Rates'!$B$5:$B$1004,H$23)&gt;0,"Exp","")))</f>
        <v/>
      </c>
      <c r="I40" s="79">
        <f>IF(OR($A40="",I$23=""),"",IF(COUNTIFS('AFA Rates'!$A$5:$A$1004,$A40,'AFA Rates'!$B$5:$B$1004,I$23,'AFA Rates'!$O$5:$O$1004,"&lt;&gt;Expired")&gt;0,"✓",IF(COUNTIFS('AFA Rates'!$A$5:$A$1004,$A40,'AFA Rates'!$B$5:$B$1004,I$23)&gt;0,"Exp","")))</f>
        <v/>
      </c>
      <c r="J40" s="79">
        <f>IF(OR($A40="",J$23=""),"",IF(COUNTIFS('AFA Rates'!$A$5:$A$1004,$A40,'AFA Rates'!$B$5:$B$1004,J$23,'AFA Rates'!$O$5:$O$1004,"&lt;&gt;Expired")&gt;0,"✓",IF(COUNTIFS('AFA Rates'!$A$5:$A$1004,$A40,'AFA Rates'!$B$5:$B$1004,J$23)&gt;0,"Exp","")))</f>
        <v/>
      </c>
      <c r="K40" s="79">
        <f>IF(OR($A40="",K$23=""),"",IF(COUNTIFS('AFA Rates'!$A$5:$A$1004,$A40,'AFA Rates'!$B$5:$B$1004,K$23,'AFA Rates'!$O$5:$O$1004,"&lt;&gt;Expired")&gt;0,"✓",IF(COUNTIFS('AFA Rates'!$A$5:$A$1004,$A40,'AFA Rates'!$B$5:$B$1004,K$23)&gt;0,"Exp","")))</f>
        <v/>
      </c>
      <c r="L40" s="79">
        <f>IF(OR($A40="",L$23=""),"",IF(COUNTIFS('AFA Rates'!$A$5:$A$1004,$A40,'AFA Rates'!$B$5:$B$1004,L$23,'AFA Rates'!$O$5:$O$1004,"&lt;&gt;Expired")&gt;0,"✓",IF(COUNTIFS('AFA Rates'!$A$5:$A$1004,$A40,'AFA Rates'!$B$5:$B$1004,L$23)&gt;0,"Exp","")))</f>
        <v/>
      </c>
      <c r="M40" s="79">
        <f>IF(OR($A40="",M$23=""),"",IF(COUNTIFS('AFA Rates'!$A$5:$A$1004,$A40,'AFA Rates'!$B$5:$B$1004,M$23,'AFA Rates'!$O$5:$O$1004,"&lt;&gt;Expired")&gt;0,"✓",IF(COUNTIFS('AFA Rates'!$A$5:$A$1004,$A40,'AFA Rates'!$B$5:$B$1004,M$23)&gt;0,"Exp","")))</f>
        <v/>
      </c>
      <c r="O40" s="97" t="inlineStr">
        <is>
          <t>ND</t>
        </is>
      </c>
      <c r="P40" s="98" t="inlineStr">
        <is>
          <t>North Dakota</t>
        </is>
      </c>
      <c r="Q40" s="97">
        <f>COUNTIFS(Firms!$X$5:$X$1004,"*,"&amp;O40&amp;",*",Firms!$B$5:$B$1004,"Active")+COUNTIFS(Firms!$X$5:$X$1004,",ALL,",Firms!$B$5:$B$1004,"Active")</f>
        <v/>
      </c>
    </row>
    <row r="41">
      <c r="A41" s="78">
        <f>IFERROR(INDEX(Firms!$A$5:$A$1004,MATCH(18,Firms!$V$5:$V$1004,0)),"")</f>
        <v/>
      </c>
      <c r="B41" s="79">
        <f>IF($A41="","",INDEX(Firms!$B$5:$B$1004,MATCH(18,Firms!$V$5:$V$1004,0)))</f>
        <v/>
      </c>
      <c r="C41" s="79">
        <f>IF($A41="","",COUNTIFS('AFA Rates'!$A$5:$A$1004,$A41,'AFA Rates'!$O$5:$O$1004,"&lt;&gt;Expired"))</f>
        <v/>
      </c>
      <c r="D41" s="79">
        <f>IF(OR($A41="",D$23=""),"",IF(COUNTIFS('AFA Rates'!$A$5:$A$1004,$A41,'AFA Rates'!$B$5:$B$1004,D$23,'AFA Rates'!$O$5:$O$1004,"&lt;&gt;Expired")&gt;0,"✓",IF(COUNTIFS('AFA Rates'!$A$5:$A$1004,$A41,'AFA Rates'!$B$5:$B$1004,D$23)&gt;0,"Exp","")))</f>
        <v/>
      </c>
      <c r="E41" s="79">
        <f>IF(OR($A41="",E$23=""),"",IF(COUNTIFS('AFA Rates'!$A$5:$A$1004,$A41,'AFA Rates'!$B$5:$B$1004,E$23,'AFA Rates'!$O$5:$O$1004,"&lt;&gt;Expired")&gt;0,"✓",IF(COUNTIFS('AFA Rates'!$A$5:$A$1004,$A41,'AFA Rates'!$B$5:$B$1004,E$23)&gt;0,"Exp","")))</f>
        <v/>
      </c>
      <c r="F41" s="79">
        <f>IF(OR($A41="",F$23=""),"",IF(COUNTIFS('AFA Rates'!$A$5:$A$1004,$A41,'AFA Rates'!$B$5:$B$1004,F$23,'AFA Rates'!$O$5:$O$1004,"&lt;&gt;Expired")&gt;0,"✓",IF(COUNTIFS('AFA Rates'!$A$5:$A$1004,$A41,'AFA Rates'!$B$5:$B$1004,F$23)&gt;0,"Exp","")))</f>
        <v/>
      </c>
      <c r="G41" s="79">
        <f>IF(OR($A41="",G$23=""),"",IF(COUNTIFS('AFA Rates'!$A$5:$A$1004,$A41,'AFA Rates'!$B$5:$B$1004,G$23,'AFA Rates'!$O$5:$O$1004,"&lt;&gt;Expired")&gt;0,"✓",IF(COUNTIFS('AFA Rates'!$A$5:$A$1004,$A41,'AFA Rates'!$B$5:$B$1004,G$23)&gt;0,"Exp","")))</f>
        <v/>
      </c>
      <c r="H41" s="79">
        <f>IF(OR($A41="",H$23=""),"",IF(COUNTIFS('AFA Rates'!$A$5:$A$1004,$A41,'AFA Rates'!$B$5:$B$1004,H$23,'AFA Rates'!$O$5:$O$1004,"&lt;&gt;Expired")&gt;0,"✓",IF(COUNTIFS('AFA Rates'!$A$5:$A$1004,$A41,'AFA Rates'!$B$5:$B$1004,H$23)&gt;0,"Exp","")))</f>
        <v/>
      </c>
      <c r="I41" s="79">
        <f>IF(OR($A41="",I$23=""),"",IF(COUNTIFS('AFA Rates'!$A$5:$A$1004,$A41,'AFA Rates'!$B$5:$B$1004,I$23,'AFA Rates'!$O$5:$O$1004,"&lt;&gt;Expired")&gt;0,"✓",IF(COUNTIFS('AFA Rates'!$A$5:$A$1004,$A41,'AFA Rates'!$B$5:$B$1004,I$23)&gt;0,"Exp","")))</f>
        <v/>
      </c>
      <c r="J41" s="79">
        <f>IF(OR($A41="",J$23=""),"",IF(COUNTIFS('AFA Rates'!$A$5:$A$1004,$A41,'AFA Rates'!$B$5:$B$1004,J$23,'AFA Rates'!$O$5:$O$1004,"&lt;&gt;Expired")&gt;0,"✓",IF(COUNTIFS('AFA Rates'!$A$5:$A$1004,$A41,'AFA Rates'!$B$5:$B$1004,J$23)&gt;0,"Exp","")))</f>
        <v/>
      </c>
      <c r="K41" s="79">
        <f>IF(OR($A41="",K$23=""),"",IF(COUNTIFS('AFA Rates'!$A$5:$A$1004,$A41,'AFA Rates'!$B$5:$B$1004,K$23,'AFA Rates'!$O$5:$O$1004,"&lt;&gt;Expired")&gt;0,"✓",IF(COUNTIFS('AFA Rates'!$A$5:$A$1004,$A41,'AFA Rates'!$B$5:$B$1004,K$23)&gt;0,"Exp","")))</f>
        <v/>
      </c>
      <c r="L41" s="79">
        <f>IF(OR($A41="",L$23=""),"",IF(COUNTIFS('AFA Rates'!$A$5:$A$1004,$A41,'AFA Rates'!$B$5:$B$1004,L$23,'AFA Rates'!$O$5:$O$1004,"&lt;&gt;Expired")&gt;0,"✓",IF(COUNTIFS('AFA Rates'!$A$5:$A$1004,$A41,'AFA Rates'!$B$5:$B$1004,L$23)&gt;0,"Exp","")))</f>
        <v/>
      </c>
      <c r="M41" s="79">
        <f>IF(OR($A41="",M$23=""),"",IF(COUNTIFS('AFA Rates'!$A$5:$A$1004,$A41,'AFA Rates'!$B$5:$B$1004,M$23,'AFA Rates'!$O$5:$O$1004,"&lt;&gt;Expired")&gt;0,"✓",IF(COUNTIFS('AFA Rates'!$A$5:$A$1004,$A41,'AFA Rates'!$B$5:$B$1004,M$23)&gt;0,"Exp","")))</f>
        <v/>
      </c>
      <c r="O41" s="97" t="inlineStr">
        <is>
          <t>OH</t>
        </is>
      </c>
      <c r="P41" s="98" t="inlineStr">
        <is>
          <t>Ohio</t>
        </is>
      </c>
      <c r="Q41" s="97">
        <f>COUNTIFS(Firms!$X$5:$X$1004,"*,"&amp;O41&amp;",*",Firms!$B$5:$B$1004,"Active")+COUNTIFS(Firms!$X$5:$X$1004,",ALL,",Firms!$B$5:$B$1004,"Active")</f>
        <v/>
      </c>
    </row>
    <row r="42">
      <c r="A42" s="78">
        <f>IFERROR(INDEX(Firms!$A$5:$A$1004,MATCH(19,Firms!$V$5:$V$1004,0)),"")</f>
        <v/>
      </c>
      <c r="B42" s="79">
        <f>IF($A42="","",INDEX(Firms!$B$5:$B$1004,MATCH(19,Firms!$V$5:$V$1004,0)))</f>
        <v/>
      </c>
      <c r="C42" s="79">
        <f>IF($A42="","",COUNTIFS('AFA Rates'!$A$5:$A$1004,$A42,'AFA Rates'!$O$5:$O$1004,"&lt;&gt;Expired"))</f>
        <v/>
      </c>
      <c r="D42" s="79">
        <f>IF(OR($A42="",D$23=""),"",IF(COUNTIFS('AFA Rates'!$A$5:$A$1004,$A42,'AFA Rates'!$B$5:$B$1004,D$23,'AFA Rates'!$O$5:$O$1004,"&lt;&gt;Expired")&gt;0,"✓",IF(COUNTIFS('AFA Rates'!$A$5:$A$1004,$A42,'AFA Rates'!$B$5:$B$1004,D$23)&gt;0,"Exp","")))</f>
        <v/>
      </c>
      <c r="E42" s="79">
        <f>IF(OR($A42="",E$23=""),"",IF(COUNTIFS('AFA Rates'!$A$5:$A$1004,$A42,'AFA Rates'!$B$5:$B$1004,E$23,'AFA Rates'!$O$5:$O$1004,"&lt;&gt;Expired")&gt;0,"✓",IF(COUNTIFS('AFA Rates'!$A$5:$A$1004,$A42,'AFA Rates'!$B$5:$B$1004,E$23)&gt;0,"Exp","")))</f>
        <v/>
      </c>
      <c r="F42" s="79">
        <f>IF(OR($A42="",F$23=""),"",IF(COUNTIFS('AFA Rates'!$A$5:$A$1004,$A42,'AFA Rates'!$B$5:$B$1004,F$23,'AFA Rates'!$O$5:$O$1004,"&lt;&gt;Expired")&gt;0,"✓",IF(COUNTIFS('AFA Rates'!$A$5:$A$1004,$A42,'AFA Rates'!$B$5:$B$1004,F$23)&gt;0,"Exp","")))</f>
        <v/>
      </c>
      <c r="G42" s="79">
        <f>IF(OR($A42="",G$23=""),"",IF(COUNTIFS('AFA Rates'!$A$5:$A$1004,$A42,'AFA Rates'!$B$5:$B$1004,G$23,'AFA Rates'!$O$5:$O$1004,"&lt;&gt;Expired")&gt;0,"✓",IF(COUNTIFS('AFA Rates'!$A$5:$A$1004,$A42,'AFA Rates'!$B$5:$B$1004,G$23)&gt;0,"Exp","")))</f>
        <v/>
      </c>
      <c r="H42" s="79">
        <f>IF(OR($A42="",H$23=""),"",IF(COUNTIFS('AFA Rates'!$A$5:$A$1004,$A42,'AFA Rates'!$B$5:$B$1004,H$23,'AFA Rates'!$O$5:$O$1004,"&lt;&gt;Expired")&gt;0,"✓",IF(COUNTIFS('AFA Rates'!$A$5:$A$1004,$A42,'AFA Rates'!$B$5:$B$1004,H$23)&gt;0,"Exp","")))</f>
        <v/>
      </c>
      <c r="I42" s="79">
        <f>IF(OR($A42="",I$23=""),"",IF(COUNTIFS('AFA Rates'!$A$5:$A$1004,$A42,'AFA Rates'!$B$5:$B$1004,I$23,'AFA Rates'!$O$5:$O$1004,"&lt;&gt;Expired")&gt;0,"✓",IF(COUNTIFS('AFA Rates'!$A$5:$A$1004,$A42,'AFA Rates'!$B$5:$B$1004,I$23)&gt;0,"Exp","")))</f>
        <v/>
      </c>
      <c r="J42" s="79">
        <f>IF(OR($A42="",J$23=""),"",IF(COUNTIFS('AFA Rates'!$A$5:$A$1004,$A42,'AFA Rates'!$B$5:$B$1004,J$23,'AFA Rates'!$O$5:$O$1004,"&lt;&gt;Expired")&gt;0,"✓",IF(COUNTIFS('AFA Rates'!$A$5:$A$1004,$A42,'AFA Rates'!$B$5:$B$1004,J$23)&gt;0,"Exp","")))</f>
        <v/>
      </c>
      <c r="K42" s="79">
        <f>IF(OR($A42="",K$23=""),"",IF(COUNTIFS('AFA Rates'!$A$5:$A$1004,$A42,'AFA Rates'!$B$5:$B$1004,K$23,'AFA Rates'!$O$5:$O$1004,"&lt;&gt;Expired")&gt;0,"✓",IF(COUNTIFS('AFA Rates'!$A$5:$A$1004,$A42,'AFA Rates'!$B$5:$B$1004,K$23)&gt;0,"Exp","")))</f>
        <v/>
      </c>
      <c r="L42" s="79">
        <f>IF(OR($A42="",L$23=""),"",IF(COUNTIFS('AFA Rates'!$A$5:$A$1004,$A42,'AFA Rates'!$B$5:$B$1004,L$23,'AFA Rates'!$O$5:$O$1004,"&lt;&gt;Expired")&gt;0,"✓",IF(COUNTIFS('AFA Rates'!$A$5:$A$1004,$A42,'AFA Rates'!$B$5:$B$1004,L$23)&gt;0,"Exp","")))</f>
        <v/>
      </c>
      <c r="M42" s="79">
        <f>IF(OR($A42="",M$23=""),"",IF(COUNTIFS('AFA Rates'!$A$5:$A$1004,$A42,'AFA Rates'!$B$5:$B$1004,M$23,'AFA Rates'!$O$5:$O$1004,"&lt;&gt;Expired")&gt;0,"✓",IF(COUNTIFS('AFA Rates'!$A$5:$A$1004,$A42,'AFA Rates'!$B$5:$B$1004,M$23)&gt;0,"Exp","")))</f>
        <v/>
      </c>
      <c r="O42" s="97" t="inlineStr">
        <is>
          <t>OK</t>
        </is>
      </c>
      <c r="P42" s="98" t="inlineStr">
        <is>
          <t>Oklahoma</t>
        </is>
      </c>
      <c r="Q42" s="97">
        <f>COUNTIFS(Firms!$X$5:$X$1004,"*,"&amp;O42&amp;",*",Firms!$B$5:$B$1004,"Active")+COUNTIFS(Firms!$X$5:$X$1004,",ALL,",Firms!$B$5:$B$1004,"Active")</f>
        <v/>
      </c>
    </row>
    <row r="43">
      <c r="A43" s="78">
        <f>IFERROR(INDEX(Firms!$A$5:$A$1004,MATCH(20,Firms!$V$5:$V$1004,0)),"")</f>
        <v/>
      </c>
      <c r="B43" s="79">
        <f>IF($A43="","",INDEX(Firms!$B$5:$B$1004,MATCH(20,Firms!$V$5:$V$1004,0)))</f>
        <v/>
      </c>
      <c r="C43" s="79">
        <f>IF($A43="","",COUNTIFS('AFA Rates'!$A$5:$A$1004,$A43,'AFA Rates'!$O$5:$O$1004,"&lt;&gt;Expired"))</f>
        <v/>
      </c>
      <c r="D43" s="79">
        <f>IF(OR($A43="",D$23=""),"",IF(COUNTIFS('AFA Rates'!$A$5:$A$1004,$A43,'AFA Rates'!$B$5:$B$1004,D$23,'AFA Rates'!$O$5:$O$1004,"&lt;&gt;Expired")&gt;0,"✓",IF(COUNTIFS('AFA Rates'!$A$5:$A$1004,$A43,'AFA Rates'!$B$5:$B$1004,D$23)&gt;0,"Exp","")))</f>
        <v/>
      </c>
      <c r="E43" s="79">
        <f>IF(OR($A43="",E$23=""),"",IF(COUNTIFS('AFA Rates'!$A$5:$A$1004,$A43,'AFA Rates'!$B$5:$B$1004,E$23,'AFA Rates'!$O$5:$O$1004,"&lt;&gt;Expired")&gt;0,"✓",IF(COUNTIFS('AFA Rates'!$A$5:$A$1004,$A43,'AFA Rates'!$B$5:$B$1004,E$23)&gt;0,"Exp","")))</f>
        <v/>
      </c>
      <c r="F43" s="79">
        <f>IF(OR($A43="",F$23=""),"",IF(COUNTIFS('AFA Rates'!$A$5:$A$1004,$A43,'AFA Rates'!$B$5:$B$1004,F$23,'AFA Rates'!$O$5:$O$1004,"&lt;&gt;Expired")&gt;0,"✓",IF(COUNTIFS('AFA Rates'!$A$5:$A$1004,$A43,'AFA Rates'!$B$5:$B$1004,F$23)&gt;0,"Exp","")))</f>
        <v/>
      </c>
      <c r="G43" s="79">
        <f>IF(OR($A43="",G$23=""),"",IF(COUNTIFS('AFA Rates'!$A$5:$A$1004,$A43,'AFA Rates'!$B$5:$B$1004,G$23,'AFA Rates'!$O$5:$O$1004,"&lt;&gt;Expired")&gt;0,"✓",IF(COUNTIFS('AFA Rates'!$A$5:$A$1004,$A43,'AFA Rates'!$B$5:$B$1004,G$23)&gt;0,"Exp","")))</f>
        <v/>
      </c>
      <c r="H43" s="79">
        <f>IF(OR($A43="",H$23=""),"",IF(COUNTIFS('AFA Rates'!$A$5:$A$1004,$A43,'AFA Rates'!$B$5:$B$1004,H$23,'AFA Rates'!$O$5:$O$1004,"&lt;&gt;Expired")&gt;0,"✓",IF(COUNTIFS('AFA Rates'!$A$5:$A$1004,$A43,'AFA Rates'!$B$5:$B$1004,H$23)&gt;0,"Exp","")))</f>
        <v/>
      </c>
      <c r="I43" s="79">
        <f>IF(OR($A43="",I$23=""),"",IF(COUNTIFS('AFA Rates'!$A$5:$A$1004,$A43,'AFA Rates'!$B$5:$B$1004,I$23,'AFA Rates'!$O$5:$O$1004,"&lt;&gt;Expired")&gt;0,"✓",IF(COUNTIFS('AFA Rates'!$A$5:$A$1004,$A43,'AFA Rates'!$B$5:$B$1004,I$23)&gt;0,"Exp","")))</f>
        <v/>
      </c>
      <c r="J43" s="79">
        <f>IF(OR($A43="",J$23=""),"",IF(COUNTIFS('AFA Rates'!$A$5:$A$1004,$A43,'AFA Rates'!$B$5:$B$1004,J$23,'AFA Rates'!$O$5:$O$1004,"&lt;&gt;Expired")&gt;0,"✓",IF(COUNTIFS('AFA Rates'!$A$5:$A$1004,$A43,'AFA Rates'!$B$5:$B$1004,J$23)&gt;0,"Exp","")))</f>
        <v/>
      </c>
      <c r="K43" s="79">
        <f>IF(OR($A43="",K$23=""),"",IF(COUNTIFS('AFA Rates'!$A$5:$A$1004,$A43,'AFA Rates'!$B$5:$B$1004,K$23,'AFA Rates'!$O$5:$O$1004,"&lt;&gt;Expired")&gt;0,"✓",IF(COUNTIFS('AFA Rates'!$A$5:$A$1004,$A43,'AFA Rates'!$B$5:$B$1004,K$23)&gt;0,"Exp","")))</f>
        <v/>
      </c>
      <c r="L43" s="79">
        <f>IF(OR($A43="",L$23=""),"",IF(COUNTIFS('AFA Rates'!$A$5:$A$1004,$A43,'AFA Rates'!$B$5:$B$1004,L$23,'AFA Rates'!$O$5:$O$1004,"&lt;&gt;Expired")&gt;0,"✓",IF(COUNTIFS('AFA Rates'!$A$5:$A$1004,$A43,'AFA Rates'!$B$5:$B$1004,L$23)&gt;0,"Exp","")))</f>
        <v/>
      </c>
      <c r="M43" s="79">
        <f>IF(OR($A43="",M$23=""),"",IF(COUNTIFS('AFA Rates'!$A$5:$A$1004,$A43,'AFA Rates'!$B$5:$B$1004,M$23,'AFA Rates'!$O$5:$O$1004,"&lt;&gt;Expired")&gt;0,"✓",IF(COUNTIFS('AFA Rates'!$A$5:$A$1004,$A43,'AFA Rates'!$B$5:$B$1004,M$23)&gt;0,"Exp","")))</f>
        <v/>
      </c>
      <c r="O43" s="97" t="inlineStr">
        <is>
          <t>OR</t>
        </is>
      </c>
      <c r="P43" s="98" t="inlineStr">
        <is>
          <t>Oregon</t>
        </is>
      </c>
      <c r="Q43" s="97">
        <f>COUNTIFS(Firms!$X$5:$X$1004,"*,"&amp;O43&amp;",*",Firms!$B$5:$B$1004,"Active")+COUNTIFS(Firms!$X$5:$X$1004,",ALL,",Firms!$B$5:$B$1004,"Active")</f>
        <v/>
      </c>
    </row>
    <row r="44">
      <c r="A44" s="78">
        <f>IFERROR(INDEX(Firms!$A$5:$A$1004,MATCH(21,Firms!$V$5:$V$1004,0)),"")</f>
        <v/>
      </c>
      <c r="B44" s="79">
        <f>IF($A44="","",INDEX(Firms!$B$5:$B$1004,MATCH(21,Firms!$V$5:$V$1004,0)))</f>
        <v/>
      </c>
      <c r="C44" s="79">
        <f>IF($A44="","",COUNTIFS('AFA Rates'!$A$5:$A$1004,$A44,'AFA Rates'!$O$5:$O$1004,"&lt;&gt;Expired"))</f>
        <v/>
      </c>
      <c r="D44" s="79">
        <f>IF(OR($A44="",D$23=""),"",IF(COUNTIFS('AFA Rates'!$A$5:$A$1004,$A44,'AFA Rates'!$B$5:$B$1004,D$23,'AFA Rates'!$O$5:$O$1004,"&lt;&gt;Expired")&gt;0,"✓",IF(COUNTIFS('AFA Rates'!$A$5:$A$1004,$A44,'AFA Rates'!$B$5:$B$1004,D$23)&gt;0,"Exp","")))</f>
        <v/>
      </c>
      <c r="E44" s="79">
        <f>IF(OR($A44="",E$23=""),"",IF(COUNTIFS('AFA Rates'!$A$5:$A$1004,$A44,'AFA Rates'!$B$5:$B$1004,E$23,'AFA Rates'!$O$5:$O$1004,"&lt;&gt;Expired")&gt;0,"✓",IF(COUNTIFS('AFA Rates'!$A$5:$A$1004,$A44,'AFA Rates'!$B$5:$B$1004,E$23)&gt;0,"Exp","")))</f>
        <v/>
      </c>
      <c r="F44" s="79">
        <f>IF(OR($A44="",F$23=""),"",IF(COUNTIFS('AFA Rates'!$A$5:$A$1004,$A44,'AFA Rates'!$B$5:$B$1004,F$23,'AFA Rates'!$O$5:$O$1004,"&lt;&gt;Expired")&gt;0,"✓",IF(COUNTIFS('AFA Rates'!$A$5:$A$1004,$A44,'AFA Rates'!$B$5:$B$1004,F$23)&gt;0,"Exp","")))</f>
        <v/>
      </c>
      <c r="G44" s="79">
        <f>IF(OR($A44="",G$23=""),"",IF(COUNTIFS('AFA Rates'!$A$5:$A$1004,$A44,'AFA Rates'!$B$5:$B$1004,G$23,'AFA Rates'!$O$5:$O$1004,"&lt;&gt;Expired")&gt;0,"✓",IF(COUNTIFS('AFA Rates'!$A$5:$A$1004,$A44,'AFA Rates'!$B$5:$B$1004,G$23)&gt;0,"Exp","")))</f>
        <v/>
      </c>
      <c r="H44" s="79">
        <f>IF(OR($A44="",H$23=""),"",IF(COUNTIFS('AFA Rates'!$A$5:$A$1004,$A44,'AFA Rates'!$B$5:$B$1004,H$23,'AFA Rates'!$O$5:$O$1004,"&lt;&gt;Expired")&gt;0,"✓",IF(COUNTIFS('AFA Rates'!$A$5:$A$1004,$A44,'AFA Rates'!$B$5:$B$1004,H$23)&gt;0,"Exp","")))</f>
        <v/>
      </c>
      <c r="I44" s="79">
        <f>IF(OR($A44="",I$23=""),"",IF(COUNTIFS('AFA Rates'!$A$5:$A$1004,$A44,'AFA Rates'!$B$5:$B$1004,I$23,'AFA Rates'!$O$5:$O$1004,"&lt;&gt;Expired")&gt;0,"✓",IF(COUNTIFS('AFA Rates'!$A$5:$A$1004,$A44,'AFA Rates'!$B$5:$B$1004,I$23)&gt;0,"Exp","")))</f>
        <v/>
      </c>
      <c r="J44" s="79">
        <f>IF(OR($A44="",J$23=""),"",IF(COUNTIFS('AFA Rates'!$A$5:$A$1004,$A44,'AFA Rates'!$B$5:$B$1004,J$23,'AFA Rates'!$O$5:$O$1004,"&lt;&gt;Expired")&gt;0,"✓",IF(COUNTIFS('AFA Rates'!$A$5:$A$1004,$A44,'AFA Rates'!$B$5:$B$1004,J$23)&gt;0,"Exp","")))</f>
        <v/>
      </c>
      <c r="K44" s="79">
        <f>IF(OR($A44="",K$23=""),"",IF(COUNTIFS('AFA Rates'!$A$5:$A$1004,$A44,'AFA Rates'!$B$5:$B$1004,K$23,'AFA Rates'!$O$5:$O$1004,"&lt;&gt;Expired")&gt;0,"✓",IF(COUNTIFS('AFA Rates'!$A$5:$A$1004,$A44,'AFA Rates'!$B$5:$B$1004,K$23)&gt;0,"Exp","")))</f>
        <v/>
      </c>
      <c r="L44" s="79">
        <f>IF(OR($A44="",L$23=""),"",IF(COUNTIFS('AFA Rates'!$A$5:$A$1004,$A44,'AFA Rates'!$B$5:$B$1004,L$23,'AFA Rates'!$O$5:$O$1004,"&lt;&gt;Expired")&gt;0,"✓",IF(COUNTIFS('AFA Rates'!$A$5:$A$1004,$A44,'AFA Rates'!$B$5:$B$1004,L$23)&gt;0,"Exp","")))</f>
        <v/>
      </c>
      <c r="M44" s="79">
        <f>IF(OR($A44="",M$23=""),"",IF(COUNTIFS('AFA Rates'!$A$5:$A$1004,$A44,'AFA Rates'!$B$5:$B$1004,M$23,'AFA Rates'!$O$5:$O$1004,"&lt;&gt;Expired")&gt;0,"✓",IF(COUNTIFS('AFA Rates'!$A$5:$A$1004,$A44,'AFA Rates'!$B$5:$B$1004,M$23)&gt;0,"Exp","")))</f>
        <v/>
      </c>
      <c r="O44" s="97" t="inlineStr">
        <is>
          <t>PA</t>
        </is>
      </c>
      <c r="P44" s="98" t="inlineStr">
        <is>
          <t>Pennsylvania</t>
        </is>
      </c>
      <c r="Q44" s="97">
        <f>COUNTIFS(Firms!$X$5:$X$1004,"*,"&amp;O44&amp;",*",Firms!$B$5:$B$1004,"Active")+COUNTIFS(Firms!$X$5:$X$1004,",ALL,",Firms!$B$5:$B$1004,"Active")</f>
        <v/>
      </c>
    </row>
    <row r="45">
      <c r="A45" s="78">
        <f>IFERROR(INDEX(Firms!$A$5:$A$1004,MATCH(22,Firms!$V$5:$V$1004,0)),"")</f>
        <v/>
      </c>
      <c r="B45" s="79">
        <f>IF($A45="","",INDEX(Firms!$B$5:$B$1004,MATCH(22,Firms!$V$5:$V$1004,0)))</f>
        <v/>
      </c>
      <c r="C45" s="79">
        <f>IF($A45="","",COUNTIFS('AFA Rates'!$A$5:$A$1004,$A45,'AFA Rates'!$O$5:$O$1004,"&lt;&gt;Expired"))</f>
        <v/>
      </c>
      <c r="D45" s="79">
        <f>IF(OR($A45="",D$23=""),"",IF(COUNTIFS('AFA Rates'!$A$5:$A$1004,$A45,'AFA Rates'!$B$5:$B$1004,D$23,'AFA Rates'!$O$5:$O$1004,"&lt;&gt;Expired")&gt;0,"✓",IF(COUNTIFS('AFA Rates'!$A$5:$A$1004,$A45,'AFA Rates'!$B$5:$B$1004,D$23)&gt;0,"Exp","")))</f>
        <v/>
      </c>
      <c r="E45" s="79">
        <f>IF(OR($A45="",E$23=""),"",IF(COUNTIFS('AFA Rates'!$A$5:$A$1004,$A45,'AFA Rates'!$B$5:$B$1004,E$23,'AFA Rates'!$O$5:$O$1004,"&lt;&gt;Expired")&gt;0,"✓",IF(COUNTIFS('AFA Rates'!$A$5:$A$1004,$A45,'AFA Rates'!$B$5:$B$1004,E$23)&gt;0,"Exp","")))</f>
        <v/>
      </c>
      <c r="F45" s="79">
        <f>IF(OR($A45="",F$23=""),"",IF(COUNTIFS('AFA Rates'!$A$5:$A$1004,$A45,'AFA Rates'!$B$5:$B$1004,F$23,'AFA Rates'!$O$5:$O$1004,"&lt;&gt;Expired")&gt;0,"✓",IF(COUNTIFS('AFA Rates'!$A$5:$A$1004,$A45,'AFA Rates'!$B$5:$B$1004,F$23)&gt;0,"Exp","")))</f>
        <v/>
      </c>
      <c r="G45" s="79">
        <f>IF(OR($A45="",G$23=""),"",IF(COUNTIFS('AFA Rates'!$A$5:$A$1004,$A45,'AFA Rates'!$B$5:$B$1004,G$23,'AFA Rates'!$O$5:$O$1004,"&lt;&gt;Expired")&gt;0,"✓",IF(COUNTIFS('AFA Rates'!$A$5:$A$1004,$A45,'AFA Rates'!$B$5:$B$1004,G$23)&gt;0,"Exp","")))</f>
        <v/>
      </c>
      <c r="H45" s="79">
        <f>IF(OR($A45="",H$23=""),"",IF(COUNTIFS('AFA Rates'!$A$5:$A$1004,$A45,'AFA Rates'!$B$5:$B$1004,H$23,'AFA Rates'!$O$5:$O$1004,"&lt;&gt;Expired")&gt;0,"✓",IF(COUNTIFS('AFA Rates'!$A$5:$A$1004,$A45,'AFA Rates'!$B$5:$B$1004,H$23)&gt;0,"Exp","")))</f>
        <v/>
      </c>
      <c r="I45" s="79">
        <f>IF(OR($A45="",I$23=""),"",IF(COUNTIFS('AFA Rates'!$A$5:$A$1004,$A45,'AFA Rates'!$B$5:$B$1004,I$23,'AFA Rates'!$O$5:$O$1004,"&lt;&gt;Expired")&gt;0,"✓",IF(COUNTIFS('AFA Rates'!$A$5:$A$1004,$A45,'AFA Rates'!$B$5:$B$1004,I$23)&gt;0,"Exp","")))</f>
        <v/>
      </c>
      <c r="J45" s="79">
        <f>IF(OR($A45="",J$23=""),"",IF(COUNTIFS('AFA Rates'!$A$5:$A$1004,$A45,'AFA Rates'!$B$5:$B$1004,J$23,'AFA Rates'!$O$5:$O$1004,"&lt;&gt;Expired")&gt;0,"✓",IF(COUNTIFS('AFA Rates'!$A$5:$A$1004,$A45,'AFA Rates'!$B$5:$B$1004,J$23)&gt;0,"Exp","")))</f>
        <v/>
      </c>
      <c r="K45" s="79">
        <f>IF(OR($A45="",K$23=""),"",IF(COUNTIFS('AFA Rates'!$A$5:$A$1004,$A45,'AFA Rates'!$B$5:$B$1004,K$23,'AFA Rates'!$O$5:$O$1004,"&lt;&gt;Expired")&gt;0,"✓",IF(COUNTIFS('AFA Rates'!$A$5:$A$1004,$A45,'AFA Rates'!$B$5:$B$1004,K$23)&gt;0,"Exp","")))</f>
        <v/>
      </c>
      <c r="L45" s="79">
        <f>IF(OR($A45="",L$23=""),"",IF(COUNTIFS('AFA Rates'!$A$5:$A$1004,$A45,'AFA Rates'!$B$5:$B$1004,L$23,'AFA Rates'!$O$5:$O$1004,"&lt;&gt;Expired")&gt;0,"✓",IF(COUNTIFS('AFA Rates'!$A$5:$A$1004,$A45,'AFA Rates'!$B$5:$B$1004,L$23)&gt;0,"Exp","")))</f>
        <v/>
      </c>
      <c r="M45" s="79">
        <f>IF(OR($A45="",M$23=""),"",IF(COUNTIFS('AFA Rates'!$A$5:$A$1004,$A45,'AFA Rates'!$B$5:$B$1004,M$23,'AFA Rates'!$O$5:$O$1004,"&lt;&gt;Expired")&gt;0,"✓",IF(COUNTIFS('AFA Rates'!$A$5:$A$1004,$A45,'AFA Rates'!$B$5:$B$1004,M$23)&gt;0,"Exp","")))</f>
        <v/>
      </c>
      <c r="O45" s="97" t="inlineStr">
        <is>
          <t>RI</t>
        </is>
      </c>
      <c r="P45" s="98" t="inlineStr">
        <is>
          <t>Rhode Island</t>
        </is>
      </c>
      <c r="Q45" s="97">
        <f>COUNTIFS(Firms!$X$5:$X$1004,"*,"&amp;O45&amp;",*",Firms!$B$5:$B$1004,"Active")+COUNTIFS(Firms!$X$5:$X$1004,",ALL,",Firms!$B$5:$B$1004,"Active")</f>
        <v/>
      </c>
    </row>
    <row r="46">
      <c r="A46" s="78">
        <f>IFERROR(INDEX(Firms!$A$5:$A$1004,MATCH(23,Firms!$V$5:$V$1004,0)),"")</f>
        <v/>
      </c>
      <c r="B46" s="79">
        <f>IF($A46="","",INDEX(Firms!$B$5:$B$1004,MATCH(23,Firms!$V$5:$V$1004,0)))</f>
        <v/>
      </c>
      <c r="C46" s="79">
        <f>IF($A46="","",COUNTIFS('AFA Rates'!$A$5:$A$1004,$A46,'AFA Rates'!$O$5:$O$1004,"&lt;&gt;Expired"))</f>
        <v/>
      </c>
      <c r="D46" s="79">
        <f>IF(OR($A46="",D$23=""),"",IF(COUNTIFS('AFA Rates'!$A$5:$A$1004,$A46,'AFA Rates'!$B$5:$B$1004,D$23,'AFA Rates'!$O$5:$O$1004,"&lt;&gt;Expired")&gt;0,"✓",IF(COUNTIFS('AFA Rates'!$A$5:$A$1004,$A46,'AFA Rates'!$B$5:$B$1004,D$23)&gt;0,"Exp","")))</f>
        <v/>
      </c>
      <c r="E46" s="79">
        <f>IF(OR($A46="",E$23=""),"",IF(COUNTIFS('AFA Rates'!$A$5:$A$1004,$A46,'AFA Rates'!$B$5:$B$1004,E$23,'AFA Rates'!$O$5:$O$1004,"&lt;&gt;Expired")&gt;0,"✓",IF(COUNTIFS('AFA Rates'!$A$5:$A$1004,$A46,'AFA Rates'!$B$5:$B$1004,E$23)&gt;0,"Exp","")))</f>
        <v/>
      </c>
      <c r="F46" s="79">
        <f>IF(OR($A46="",F$23=""),"",IF(COUNTIFS('AFA Rates'!$A$5:$A$1004,$A46,'AFA Rates'!$B$5:$B$1004,F$23,'AFA Rates'!$O$5:$O$1004,"&lt;&gt;Expired")&gt;0,"✓",IF(COUNTIFS('AFA Rates'!$A$5:$A$1004,$A46,'AFA Rates'!$B$5:$B$1004,F$23)&gt;0,"Exp","")))</f>
        <v/>
      </c>
      <c r="G46" s="79">
        <f>IF(OR($A46="",G$23=""),"",IF(COUNTIFS('AFA Rates'!$A$5:$A$1004,$A46,'AFA Rates'!$B$5:$B$1004,G$23,'AFA Rates'!$O$5:$O$1004,"&lt;&gt;Expired")&gt;0,"✓",IF(COUNTIFS('AFA Rates'!$A$5:$A$1004,$A46,'AFA Rates'!$B$5:$B$1004,G$23)&gt;0,"Exp","")))</f>
        <v/>
      </c>
      <c r="H46" s="79">
        <f>IF(OR($A46="",H$23=""),"",IF(COUNTIFS('AFA Rates'!$A$5:$A$1004,$A46,'AFA Rates'!$B$5:$B$1004,H$23,'AFA Rates'!$O$5:$O$1004,"&lt;&gt;Expired")&gt;0,"✓",IF(COUNTIFS('AFA Rates'!$A$5:$A$1004,$A46,'AFA Rates'!$B$5:$B$1004,H$23)&gt;0,"Exp","")))</f>
        <v/>
      </c>
      <c r="I46" s="79">
        <f>IF(OR($A46="",I$23=""),"",IF(COUNTIFS('AFA Rates'!$A$5:$A$1004,$A46,'AFA Rates'!$B$5:$B$1004,I$23,'AFA Rates'!$O$5:$O$1004,"&lt;&gt;Expired")&gt;0,"✓",IF(COUNTIFS('AFA Rates'!$A$5:$A$1004,$A46,'AFA Rates'!$B$5:$B$1004,I$23)&gt;0,"Exp","")))</f>
        <v/>
      </c>
      <c r="J46" s="79">
        <f>IF(OR($A46="",J$23=""),"",IF(COUNTIFS('AFA Rates'!$A$5:$A$1004,$A46,'AFA Rates'!$B$5:$B$1004,J$23,'AFA Rates'!$O$5:$O$1004,"&lt;&gt;Expired")&gt;0,"✓",IF(COUNTIFS('AFA Rates'!$A$5:$A$1004,$A46,'AFA Rates'!$B$5:$B$1004,J$23)&gt;0,"Exp","")))</f>
        <v/>
      </c>
      <c r="K46" s="79">
        <f>IF(OR($A46="",K$23=""),"",IF(COUNTIFS('AFA Rates'!$A$5:$A$1004,$A46,'AFA Rates'!$B$5:$B$1004,K$23,'AFA Rates'!$O$5:$O$1004,"&lt;&gt;Expired")&gt;0,"✓",IF(COUNTIFS('AFA Rates'!$A$5:$A$1004,$A46,'AFA Rates'!$B$5:$B$1004,K$23)&gt;0,"Exp","")))</f>
        <v/>
      </c>
      <c r="L46" s="79">
        <f>IF(OR($A46="",L$23=""),"",IF(COUNTIFS('AFA Rates'!$A$5:$A$1004,$A46,'AFA Rates'!$B$5:$B$1004,L$23,'AFA Rates'!$O$5:$O$1004,"&lt;&gt;Expired")&gt;0,"✓",IF(COUNTIFS('AFA Rates'!$A$5:$A$1004,$A46,'AFA Rates'!$B$5:$B$1004,L$23)&gt;0,"Exp","")))</f>
        <v/>
      </c>
      <c r="M46" s="79">
        <f>IF(OR($A46="",M$23=""),"",IF(COUNTIFS('AFA Rates'!$A$5:$A$1004,$A46,'AFA Rates'!$B$5:$B$1004,M$23,'AFA Rates'!$O$5:$O$1004,"&lt;&gt;Expired")&gt;0,"✓",IF(COUNTIFS('AFA Rates'!$A$5:$A$1004,$A46,'AFA Rates'!$B$5:$B$1004,M$23)&gt;0,"Exp","")))</f>
        <v/>
      </c>
      <c r="O46" s="97" t="inlineStr">
        <is>
          <t>SC</t>
        </is>
      </c>
      <c r="P46" s="98" t="inlineStr">
        <is>
          <t>South Carolina</t>
        </is>
      </c>
      <c r="Q46" s="97">
        <f>COUNTIFS(Firms!$X$5:$X$1004,"*,"&amp;O46&amp;",*",Firms!$B$5:$B$1004,"Active")+COUNTIFS(Firms!$X$5:$X$1004,",ALL,",Firms!$B$5:$B$1004,"Active")</f>
        <v/>
      </c>
    </row>
    <row r="47">
      <c r="A47" s="78">
        <f>IFERROR(INDEX(Firms!$A$5:$A$1004,MATCH(24,Firms!$V$5:$V$1004,0)),"")</f>
        <v/>
      </c>
      <c r="B47" s="79">
        <f>IF($A47="","",INDEX(Firms!$B$5:$B$1004,MATCH(24,Firms!$V$5:$V$1004,0)))</f>
        <v/>
      </c>
      <c r="C47" s="79">
        <f>IF($A47="","",COUNTIFS('AFA Rates'!$A$5:$A$1004,$A47,'AFA Rates'!$O$5:$O$1004,"&lt;&gt;Expired"))</f>
        <v/>
      </c>
      <c r="D47" s="79">
        <f>IF(OR($A47="",D$23=""),"",IF(COUNTIFS('AFA Rates'!$A$5:$A$1004,$A47,'AFA Rates'!$B$5:$B$1004,D$23,'AFA Rates'!$O$5:$O$1004,"&lt;&gt;Expired")&gt;0,"✓",IF(COUNTIFS('AFA Rates'!$A$5:$A$1004,$A47,'AFA Rates'!$B$5:$B$1004,D$23)&gt;0,"Exp","")))</f>
        <v/>
      </c>
      <c r="E47" s="79">
        <f>IF(OR($A47="",E$23=""),"",IF(COUNTIFS('AFA Rates'!$A$5:$A$1004,$A47,'AFA Rates'!$B$5:$B$1004,E$23,'AFA Rates'!$O$5:$O$1004,"&lt;&gt;Expired")&gt;0,"✓",IF(COUNTIFS('AFA Rates'!$A$5:$A$1004,$A47,'AFA Rates'!$B$5:$B$1004,E$23)&gt;0,"Exp","")))</f>
        <v/>
      </c>
      <c r="F47" s="79">
        <f>IF(OR($A47="",F$23=""),"",IF(COUNTIFS('AFA Rates'!$A$5:$A$1004,$A47,'AFA Rates'!$B$5:$B$1004,F$23,'AFA Rates'!$O$5:$O$1004,"&lt;&gt;Expired")&gt;0,"✓",IF(COUNTIFS('AFA Rates'!$A$5:$A$1004,$A47,'AFA Rates'!$B$5:$B$1004,F$23)&gt;0,"Exp","")))</f>
        <v/>
      </c>
      <c r="G47" s="79">
        <f>IF(OR($A47="",G$23=""),"",IF(COUNTIFS('AFA Rates'!$A$5:$A$1004,$A47,'AFA Rates'!$B$5:$B$1004,G$23,'AFA Rates'!$O$5:$O$1004,"&lt;&gt;Expired")&gt;0,"✓",IF(COUNTIFS('AFA Rates'!$A$5:$A$1004,$A47,'AFA Rates'!$B$5:$B$1004,G$23)&gt;0,"Exp","")))</f>
        <v/>
      </c>
      <c r="H47" s="79">
        <f>IF(OR($A47="",H$23=""),"",IF(COUNTIFS('AFA Rates'!$A$5:$A$1004,$A47,'AFA Rates'!$B$5:$B$1004,H$23,'AFA Rates'!$O$5:$O$1004,"&lt;&gt;Expired")&gt;0,"✓",IF(COUNTIFS('AFA Rates'!$A$5:$A$1004,$A47,'AFA Rates'!$B$5:$B$1004,H$23)&gt;0,"Exp","")))</f>
        <v/>
      </c>
      <c r="I47" s="79">
        <f>IF(OR($A47="",I$23=""),"",IF(COUNTIFS('AFA Rates'!$A$5:$A$1004,$A47,'AFA Rates'!$B$5:$B$1004,I$23,'AFA Rates'!$O$5:$O$1004,"&lt;&gt;Expired")&gt;0,"✓",IF(COUNTIFS('AFA Rates'!$A$5:$A$1004,$A47,'AFA Rates'!$B$5:$B$1004,I$23)&gt;0,"Exp","")))</f>
        <v/>
      </c>
      <c r="J47" s="79">
        <f>IF(OR($A47="",J$23=""),"",IF(COUNTIFS('AFA Rates'!$A$5:$A$1004,$A47,'AFA Rates'!$B$5:$B$1004,J$23,'AFA Rates'!$O$5:$O$1004,"&lt;&gt;Expired")&gt;0,"✓",IF(COUNTIFS('AFA Rates'!$A$5:$A$1004,$A47,'AFA Rates'!$B$5:$B$1004,J$23)&gt;0,"Exp","")))</f>
        <v/>
      </c>
      <c r="K47" s="79">
        <f>IF(OR($A47="",K$23=""),"",IF(COUNTIFS('AFA Rates'!$A$5:$A$1004,$A47,'AFA Rates'!$B$5:$B$1004,K$23,'AFA Rates'!$O$5:$O$1004,"&lt;&gt;Expired")&gt;0,"✓",IF(COUNTIFS('AFA Rates'!$A$5:$A$1004,$A47,'AFA Rates'!$B$5:$B$1004,K$23)&gt;0,"Exp","")))</f>
        <v/>
      </c>
      <c r="L47" s="79">
        <f>IF(OR($A47="",L$23=""),"",IF(COUNTIFS('AFA Rates'!$A$5:$A$1004,$A47,'AFA Rates'!$B$5:$B$1004,L$23,'AFA Rates'!$O$5:$O$1004,"&lt;&gt;Expired")&gt;0,"✓",IF(COUNTIFS('AFA Rates'!$A$5:$A$1004,$A47,'AFA Rates'!$B$5:$B$1004,L$23)&gt;0,"Exp","")))</f>
        <v/>
      </c>
      <c r="M47" s="79">
        <f>IF(OR($A47="",M$23=""),"",IF(COUNTIFS('AFA Rates'!$A$5:$A$1004,$A47,'AFA Rates'!$B$5:$B$1004,M$23,'AFA Rates'!$O$5:$O$1004,"&lt;&gt;Expired")&gt;0,"✓",IF(COUNTIFS('AFA Rates'!$A$5:$A$1004,$A47,'AFA Rates'!$B$5:$B$1004,M$23)&gt;0,"Exp","")))</f>
        <v/>
      </c>
      <c r="O47" s="97" t="inlineStr">
        <is>
          <t>SD</t>
        </is>
      </c>
      <c r="P47" s="98" t="inlineStr">
        <is>
          <t>South Dakota</t>
        </is>
      </c>
      <c r="Q47" s="97">
        <f>COUNTIFS(Firms!$X$5:$X$1004,"*,"&amp;O47&amp;",*",Firms!$B$5:$B$1004,"Active")+COUNTIFS(Firms!$X$5:$X$1004,",ALL,",Firms!$B$5:$B$1004,"Active")</f>
        <v/>
      </c>
    </row>
    <row r="48">
      <c r="A48" s="78">
        <f>IFERROR(INDEX(Firms!$A$5:$A$1004,MATCH(25,Firms!$V$5:$V$1004,0)),"")</f>
        <v/>
      </c>
      <c r="B48" s="79">
        <f>IF($A48="","",INDEX(Firms!$B$5:$B$1004,MATCH(25,Firms!$V$5:$V$1004,0)))</f>
        <v/>
      </c>
      <c r="C48" s="79">
        <f>IF($A48="","",COUNTIFS('AFA Rates'!$A$5:$A$1004,$A48,'AFA Rates'!$O$5:$O$1004,"&lt;&gt;Expired"))</f>
        <v/>
      </c>
      <c r="D48" s="79">
        <f>IF(OR($A48="",D$23=""),"",IF(COUNTIFS('AFA Rates'!$A$5:$A$1004,$A48,'AFA Rates'!$B$5:$B$1004,D$23,'AFA Rates'!$O$5:$O$1004,"&lt;&gt;Expired")&gt;0,"✓",IF(COUNTIFS('AFA Rates'!$A$5:$A$1004,$A48,'AFA Rates'!$B$5:$B$1004,D$23)&gt;0,"Exp","")))</f>
        <v/>
      </c>
      <c r="E48" s="79">
        <f>IF(OR($A48="",E$23=""),"",IF(COUNTIFS('AFA Rates'!$A$5:$A$1004,$A48,'AFA Rates'!$B$5:$B$1004,E$23,'AFA Rates'!$O$5:$O$1004,"&lt;&gt;Expired")&gt;0,"✓",IF(COUNTIFS('AFA Rates'!$A$5:$A$1004,$A48,'AFA Rates'!$B$5:$B$1004,E$23)&gt;0,"Exp","")))</f>
        <v/>
      </c>
      <c r="F48" s="79">
        <f>IF(OR($A48="",F$23=""),"",IF(COUNTIFS('AFA Rates'!$A$5:$A$1004,$A48,'AFA Rates'!$B$5:$B$1004,F$23,'AFA Rates'!$O$5:$O$1004,"&lt;&gt;Expired")&gt;0,"✓",IF(COUNTIFS('AFA Rates'!$A$5:$A$1004,$A48,'AFA Rates'!$B$5:$B$1004,F$23)&gt;0,"Exp","")))</f>
        <v/>
      </c>
      <c r="G48" s="79">
        <f>IF(OR($A48="",G$23=""),"",IF(COUNTIFS('AFA Rates'!$A$5:$A$1004,$A48,'AFA Rates'!$B$5:$B$1004,G$23,'AFA Rates'!$O$5:$O$1004,"&lt;&gt;Expired")&gt;0,"✓",IF(COUNTIFS('AFA Rates'!$A$5:$A$1004,$A48,'AFA Rates'!$B$5:$B$1004,G$23)&gt;0,"Exp","")))</f>
        <v/>
      </c>
      <c r="H48" s="79">
        <f>IF(OR($A48="",H$23=""),"",IF(COUNTIFS('AFA Rates'!$A$5:$A$1004,$A48,'AFA Rates'!$B$5:$B$1004,H$23,'AFA Rates'!$O$5:$O$1004,"&lt;&gt;Expired")&gt;0,"✓",IF(COUNTIFS('AFA Rates'!$A$5:$A$1004,$A48,'AFA Rates'!$B$5:$B$1004,H$23)&gt;0,"Exp","")))</f>
        <v/>
      </c>
      <c r="I48" s="79">
        <f>IF(OR($A48="",I$23=""),"",IF(COUNTIFS('AFA Rates'!$A$5:$A$1004,$A48,'AFA Rates'!$B$5:$B$1004,I$23,'AFA Rates'!$O$5:$O$1004,"&lt;&gt;Expired")&gt;0,"✓",IF(COUNTIFS('AFA Rates'!$A$5:$A$1004,$A48,'AFA Rates'!$B$5:$B$1004,I$23)&gt;0,"Exp","")))</f>
        <v/>
      </c>
      <c r="J48" s="79">
        <f>IF(OR($A48="",J$23=""),"",IF(COUNTIFS('AFA Rates'!$A$5:$A$1004,$A48,'AFA Rates'!$B$5:$B$1004,J$23,'AFA Rates'!$O$5:$O$1004,"&lt;&gt;Expired")&gt;0,"✓",IF(COUNTIFS('AFA Rates'!$A$5:$A$1004,$A48,'AFA Rates'!$B$5:$B$1004,J$23)&gt;0,"Exp","")))</f>
        <v/>
      </c>
      <c r="K48" s="79">
        <f>IF(OR($A48="",K$23=""),"",IF(COUNTIFS('AFA Rates'!$A$5:$A$1004,$A48,'AFA Rates'!$B$5:$B$1004,K$23,'AFA Rates'!$O$5:$O$1004,"&lt;&gt;Expired")&gt;0,"✓",IF(COUNTIFS('AFA Rates'!$A$5:$A$1004,$A48,'AFA Rates'!$B$5:$B$1004,K$23)&gt;0,"Exp","")))</f>
        <v/>
      </c>
      <c r="L48" s="79">
        <f>IF(OR($A48="",L$23=""),"",IF(COUNTIFS('AFA Rates'!$A$5:$A$1004,$A48,'AFA Rates'!$B$5:$B$1004,L$23,'AFA Rates'!$O$5:$O$1004,"&lt;&gt;Expired")&gt;0,"✓",IF(COUNTIFS('AFA Rates'!$A$5:$A$1004,$A48,'AFA Rates'!$B$5:$B$1004,L$23)&gt;0,"Exp","")))</f>
        <v/>
      </c>
      <c r="M48" s="79">
        <f>IF(OR($A48="",M$23=""),"",IF(COUNTIFS('AFA Rates'!$A$5:$A$1004,$A48,'AFA Rates'!$B$5:$B$1004,M$23,'AFA Rates'!$O$5:$O$1004,"&lt;&gt;Expired")&gt;0,"✓",IF(COUNTIFS('AFA Rates'!$A$5:$A$1004,$A48,'AFA Rates'!$B$5:$B$1004,M$23)&gt;0,"Exp","")))</f>
        <v/>
      </c>
      <c r="O48" s="97" t="inlineStr">
        <is>
          <t>TN</t>
        </is>
      </c>
      <c r="P48" s="98" t="inlineStr">
        <is>
          <t>Tennessee</t>
        </is>
      </c>
      <c r="Q48" s="97">
        <f>COUNTIFS(Firms!$X$5:$X$1004,"*,"&amp;O48&amp;",*",Firms!$B$5:$B$1004,"Active")+COUNTIFS(Firms!$X$5:$X$1004,",ALL,",Firms!$B$5:$B$1004,"Active")</f>
        <v/>
      </c>
    </row>
    <row r="49">
      <c r="A49" s="78">
        <f>IFERROR(INDEX(Firms!$A$5:$A$1004,MATCH(26,Firms!$V$5:$V$1004,0)),"")</f>
        <v/>
      </c>
      <c r="B49" s="79">
        <f>IF($A49="","",INDEX(Firms!$B$5:$B$1004,MATCH(26,Firms!$V$5:$V$1004,0)))</f>
        <v/>
      </c>
      <c r="C49" s="79">
        <f>IF($A49="","",COUNTIFS('AFA Rates'!$A$5:$A$1004,$A49,'AFA Rates'!$O$5:$O$1004,"&lt;&gt;Expired"))</f>
        <v/>
      </c>
      <c r="D49" s="79">
        <f>IF(OR($A49="",D$23=""),"",IF(COUNTIFS('AFA Rates'!$A$5:$A$1004,$A49,'AFA Rates'!$B$5:$B$1004,D$23,'AFA Rates'!$O$5:$O$1004,"&lt;&gt;Expired")&gt;0,"✓",IF(COUNTIFS('AFA Rates'!$A$5:$A$1004,$A49,'AFA Rates'!$B$5:$B$1004,D$23)&gt;0,"Exp","")))</f>
        <v/>
      </c>
      <c r="E49" s="79">
        <f>IF(OR($A49="",E$23=""),"",IF(COUNTIFS('AFA Rates'!$A$5:$A$1004,$A49,'AFA Rates'!$B$5:$B$1004,E$23,'AFA Rates'!$O$5:$O$1004,"&lt;&gt;Expired")&gt;0,"✓",IF(COUNTIFS('AFA Rates'!$A$5:$A$1004,$A49,'AFA Rates'!$B$5:$B$1004,E$23)&gt;0,"Exp","")))</f>
        <v/>
      </c>
      <c r="F49" s="79">
        <f>IF(OR($A49="",F$23=""),"",IF(COUNTIFS('AFA Rates'!$A$5:$A$1004,$A49,'AFA Rates'!$B$5:$B$1004,F$23,'AFA Rates'!$O$5:$O$1004,"&lt;&gt;Expired")&gt;0,"✓",IF(COUNTIFS('AFA Rates'!$A$5:$A$1004,$A49,'AFA Rates'!$B$5:$B$1004,F$23)&gt;0,"Exp","")))</f>
        <v/>
      </c>
      <c r="G49" s="79">
        <f>IF(OR($A49="",G$23=""),"",IF(COUNTIFS('AFA Rates'!$A$5:$A$1004,$A49,'AFA Rates'!$B$5:$B$1004,G$23,'AFA Rates'!$O$5:$O$1004,"&lt;&gt;Expired")&gt;0,"✓",IF(COUNTIFS('AFA Rates'!$A$5:$A$1004,$A49,'AFA Rates'!$B$5:$B$1004,G$23)&gt;0,"Exp","")))</f>
        <v/>
      </c>
      <c r="H49" s="79">
        <f>IF(OR($A49="",H$23=""),"",IF(COUNTIFS('AFA Rates'!$A$5:$A$1004,$A49,'AFA Rates'!$B$5:$B$1004,H$23,'AFA Rates'!$O$5:$O$1004,"&lt;&gt;Expired")&gt;0,"✓",IF(COUNTIFS('AFA Rates'!$A$5:$A$1004,$A49,'AFA Rates'!$B$5:$B$1004,H$23)&gt;0,"Exp","")))</f>
        <v/>
      </c>
      <c r="I49" s="79">
        <f>IF(OR($A49="",I$23=""),"",IF(COUNTIFS('AFA Rates'!$A$5:$A$1004,$A49,'AFA Rates'!$B$5:$B$1004,I$23,'AFA Rates'!$O$5:$O$1004,"&lt;&gt;Expired")&gt;0,"✓",IF(COUNTIFS('AFA Rates'!$A$5:$A$1004,$A49,'AFA Rates'!$B$5:$B$1004,I$23)&gt;0,"Exp","")))</f>
        <v/>
      </c>
      <c r="J49" s="79">
        <f>IF(OR($A49="",J$23=""),"",IF(COUNTIFS('AFA Rates'!$A$5:$A$1004,$A49,'AFA Rates'!$B$5:$B$1004,J$23,'AFA Rates'!$O$5:$O$1004,"&lt;&gt;Expired")&gt;0,"✓",IF(COUNTIFS('AFA Rates'!$A$5:$A$1004,$A49,'AFA Rates'!$B$5:$B$1004,J$23)&gt;0,"Exp","")))</f>
        <v/>
      </c>
      <c r="K49" s="79">
        <f>IF(OR($A49="",K$23=""),"",IF(COUNTIFS('AFA Rates'!$A$5:$A$1004,$A49,'AFA Rates'!$B$5:$B$1004,K$23,'AFA Rates'!$O$5:$O$1004,"&lt;&gt;Expired")&gt;0,"✓",IF(COUNTIFS('AFA Rates'!$A$5:$A$1004,$A49,'AFA Rates'!$B$5:$B$1004,K$23)&gt;0,"Exp","")))</f>
        <v/>
      </c>
      <c r="L49" s="79">
        <f>IF(OR($A49="",L$23=""),"",IF(COUNTIFS('AFA Rates'!$A$5:$A$1004,$A49,'AFA Rates'!$B$5:$B$1004,L$23,'AFA Rates'!$O$5:$O$1004,"&lt;&gt;Expired")&gt;0,"✓",IF(COUNTIFS('AFA Rates'!$A$5:$A$1004,$A49,'AFA Rates'!$B$5:$B$1004,L$23)&gt;0,"Exp","")))</f>
        <v/>
      </c>
      <c r="M49" s="79">
        <f>IF(OR($A49="",M$23=""),"",IF(COUNTIFS('AFA Rates'!$A$5:$A$1004,$A49,'AFA Rates'!$B$5:$B$1004,M$23,'AFA Rates'!$O$5:$O$1004,"&lt;&gt;Expired")&gt;0,"✓",IF(COUNTIFS('AFA Rates'!$A$5:$A$1004,$A49,'AFA Rates'!$B$5:$B$1004,M$23)&gt;0,"Exp","")))</f>
        <v/>
      </c>
      <c r="O49" s="97" t="inlineStr">
        <is>
          <t>TX</t>
        </is>
      </c>
      <c r="P49" s="98" t="inlineStr">
        <is>
          <t>Texas</t>
        </is>
      </c>
      <c r="Q49" s="97">
        <f>COUNTIFS(Firms!$X$5:$X$1004,"*,"&amp;O49&amp;",*",Firms!$B$5:$B$1004,"Active")+COUNTIFS(Firms!$X$5:$X$1004,",ALL,",Firms!$B$5:$B$1004,"Active")</f>
        <v/>
      </c>
    </row>
    <row r="50">
      <c r="A50" s="78">
        <f>IFERROR(INDEX(Firms!$A$5:$A$1004,MATCH(27,Firms!$V$5:$V$1004,0)),"")</f>
        <v/>
      </c>
      <c r="B50" s="79">
        <f>IF($A50="","",INDEX(Firms!$B$5:$B$1004,MATCH(27,Firms!$V$5:$V$1004,0)))</f>
        <v/>
      </c>
      <c r="C50" s="79">
        <f>IF($A50="","",COUNTIFS('AFA Rates'!$A$5:$A$1004,$A50,'AFA Rates'!$O$5:$O$1004,"&lt;&gt;Expired"))</f>
        <v/>
      </c>
      <c r="D50" s="79">
        <f>IF(OR($A50="",D$23=""),"",IF(COUNTIFS('AFA Rates'!$A$5:$A$1004,$A50,'AFA Rates'!$B$5:$B$1004,D$23,'AFA Rates'!$O$5:$O$1004,"&lt;&gt;Expired")&gt;0,"✓",IF(COUNTIFS('AFA Rates'!$A$5:$A$1004,$A50,'AFA Rates'!$B$5:$B$1004,D$23)&gt;0,"Exp","")))</f>
        <v/>
      </c>
      <c r="E50" s="79">
        <f>IF(OR($A50="",E$23=""),"",IF(COUNTIFS('AFA Rates'!$A$5:$A$1004,$A50,'AFA Rates'!$B$5:$B$1004,E$23,'AFA Rates'!$O$5:$O$1004,"&lt;&gt;Expired")&gt;0,"✓",IF(COUNTIFS('AFA Rates'!$A$5:$A$1004,$A50,'AFA Rates'!$B$5:$B$1004,E$23)&gt;0,"Exp","")))</f>
        <v/>
      </c>
      <c r="F50" s="79">
        <f>IF(OR($A50="",F$23=""),"",IF(COUNTIFS('AFA Rates'!$A$5:$A$1004,$A50,'AFA Rates'!$B$5:$B$1004,F$23,'AFA Rates'!$O$5:$O$1004,"&lt;&gt;Expired")&gt;0,"✓",IF(COUNTIFS('AFA Rates'!$A$5:$A$1004,$A50,'AFA Rates'!$B$5:$B$1004,F$23)&gt;0,"Exp","")))</f>
        <v/>
      </c>
      <c r="G50" s="79">
        <f>IF(OR($A50="",G$23=""),"",IF(COUNTIFS('AFA Rates'!$A$5:$A$1004,$A50,'AFA Rates'!$B$5:$B$1004,G$23,'AFA Rates'!$O$5:$O$1004,"&lt;&gt;Expired")&gt;0,"✓",IF(COUNTIFS('AFA Rates'!$A$5:$A$1004,$A50,'AFA Rates'!$B$5:$B$1004,G$23)&gt;0,"Exp","")))</f>
        <v/>
      </c>
      <c r="H50" s="79">
        <f>IF(OR($A50="",H$23=""),"",IF(COUNTIFS('AFA Rates'!$A$5:$A$1004,$A50,'AFA Rates'!$B$5:$B$1004,H$23,'AFA Rates'!$O$5:$O$1004,"&lt;&gt;Expired")&gt;0,"✓",IF(COUNTIFS('AFA Rates'!$A$5:$A$1004,$A50,'AFA Rates'!$B$5:$B$1004,H$23)&gt;0,"Exp","")))</f>
        <v/>
      </c>
      <c r="I50" s="79">
        <f>IF(OR($A50="",I$23=""),"",IF(COUNTIFS('AFA Rates'!$A$5:$A$1004,$A50,'AFA Rates'!$B$5:$B$1004,I$23,'AFA Rates'!$O$5:$O$1004,"&lt;&gt;Expired")&gt;0,"✓",IF(COUNTIFS('AFA Rates'!$A$5:$A$1004,$A50,'AFA Rates'!$B$5:$B$1004,I$23)&gt;0,"Exp","")))</f>
        <v/>
      </c>
      <c r="J50" s="79">
        <f>IF(OR($A50="",J$23=""),"",IF(COUNTIFS('AFA Rates'!$A$5:$A$1004,$A50,'AFA Rates'!$B$5:$B$1004,J$23,'AFA Rates'!$O$5:$O$1004,"&lt;&gt;Expired")&gt;0,"✓",IF(COUNTIFS('AFA Rates'!$A$5:$A$1004,$A50,'AFA Rates'!$B$5:$B$1004,J$23)&gt;0,"Exp","")))</f>
        <v/>
      </c>
      <c r="K50" s="79">
        <f>IF(OR($A50="",K$23=""),"",IF(COUNTIFS('AFA Rates'!$A$5:$A$1004,$A50,'AFA Rates'!$B$5:$B$1004,K$23,'AFA Rates'!$O$5:$O$1004,"&lt;&gt;Expired")&gt;0,"✓",IF(COUNTIFS('AFA Rates'!$A$5:$A$1004,$A50,'AFA Rates'!$B$5:$B$1004,K$23)&gt;0,"Exp","")))</f>
        <v/>
      </c>
      <c r="L50" s="79">
        <f>IF(OR($A50="",L$23=""),"",IF(COUNTIFS('AFA Rates'!$A$5:$A$1004,$A50,'AFA Rates'!$B$5:$B$1004,L$23,'AFA Rates'!$O$5:$O$1004,"&lt;&gt;Expired")&gt;0,"✓",IF(COUNTIFS('AFA Rates'!$A$5:$A$1004,$A50,'AFA Rates'!$B$5:$B$1004,L$23)&gt;0,"Exp","")))</f>
        <v/>
      </c>
      <c r="M50" s="79">
        <f>IF(OR($A50="",M$23=""),"",IF(COUNTIFS('AFA Rates'!$A$5:$A$1004,$A50,'AFA Rates'!$B$5:$B$1004,M$23,'AFA Rates'!$O$5:$O$1004,"&lt;&gt;Expired")&gt;0,"✓",IF(COUNTIFS('AFA Rates'!$A$5:$A$1004,$A50,'AFA Rates'!$B$5:$B$1004,M$23)&gt;0,"Exp","")))</f>
        <v/>
      </c>
      <c r="O50" s="97" t="inlineStr">
        <is>
          <t>UT</t>
        </is>
      </c>
      <c r="P50" s="98" t="inlineStr">
        <is>
          <t>Utah</t>
        </is>
      </c>
      <c r="Q50" s="97">
        <f>COUNTIFS(Firms!$X$5:$X$1004,"*,"&amp;O50&amp;",*",Firms!$B$5:$B$1004,"Active")+COUNTIFS(Firms!$X$5:$X$1004,",ALL,",Firms!$B$5:$B$1004,"Active")</f>
        <v/>
      </c>
    </row>
    <row r="51">
      <c r="A51" s="78">
        <f>IFERROR(INDEX(Firms!$A$5:$A$1004,MATCH(28,Firms!$V$5:$V$1004,0)),"")</f>
        <v/>
      </c>
      <c r="B51" s="79">
        <f>IF($A51="","",INDEX(Firms!$B$5:$B$1004,MATCH(28,Firms!$V$5:$V$1004,0)))</f>
        <v/>
      </c>
      <c r="C51" s="79">
        <f>IF($A51="","",COUNTIFS('AFA Rates'!$A$5:$A$1004,$A51,'AFA Rates'!$O$5:$O$1004,"&lt;&gt;Expired"))</f>
        <v/>
      </c>
      <c r="D51" s="79">
        <f>IF(OR($A51="",D$23=""),"",IF(COUNTIFS('AFA Rates'!$A$5:$A$1004,$A51,'AFA Rates'!$B$5:$B$1004,D$23,'AFA Rates'!$O$5:$O$1004,"&lt;&gt;Expired")&gt;0,"✓",IF(COUNTIFS('AFA Rates'!$A$5:$A$1004,$A51,'AFA Rates'!$B$5:$B$1004,D$23)&gt;0,"Exp","")))</f>
        <v/>
      </c>
      <c r="E51" s="79">
        <f>IF(OR($A51="",E$23=""),"",IF(COUNTIFS('AFA Rates'!$A$5:$A$1004,$A51,'AFA Rates'!$B$5:$B$1004,E$23,'AFA Rates'!$O$5:$O$1004,"&lt;&gt;Expired")&gt;0,"✓",IF(COUNTIFS('AFA Rates'!$A$5:$A$1004,$A51,'AFA Rates'!$B$5:$B$1004,E$23)&gt;0,"Exp","")))</f>
        <v/>
      </c>
      <c r="F51" s="79">
        <f>IF(OR($A51="",F$23=""),"",IF(COUNTIFS('AFA Rates'!$A$5:$A$1004,$A51,'AFA Rates'!$B$5:$B$1004,F$23,'AFA Rates'!$O$5:$O$1004,"&lt;&gt;Expired")&gt;0,"✓",IF(COUNTIFS('AFA Rates'!$A$5:$A$1004,$A51,'AFA Rates'!$B$5:$B$1004,F$23)&gt;0,"Exp","")))</f>
        <v/>
      </c>
      <c r="G51" s="79">
        <f>IF(OR($A51="",G$23=""),"",IF(COUNTIFS('AFA Rates'!$A$5:$A$1004,$A51,'AFA Rates'!$B$5:$B$1004,G$23,'AFA Rates'!$O$5:$O$1004,"&lt;&gt;Expired")&gt;0,"✓",IF(COUNTIFS('AFA Rates'!$A$5:$A$1004,$A51,'AFA Rates'!$B$5:$B$1004,G$23)&gt;0,"Exp","")))</f>
        <v/>
      </c>
      <c r="H51" s="79">
        <f>IF(OR($A51="",H$23=""),"",IF(COUNTIFS('AFA Rates'!$A$5:$A$1004,$A51,'AFA Rates'!$B$5:$B$1004,H$23,'AFA Rates'!$O$5:$O$1004,"&lt;&gt;Expired")&gt;0,"✓",IF(COUNTIFS('AFA Rates'!$A$5:$A$1004,$A51,'AFA Rates'!$B$5:$B$1004,H$23)&gt;0,"Exp","")))</f>
        <v/>
      </c>
      <c r="I51" s="79">
        <f>IF(OR($A51="",I$23=""),"",IF(COUNTIFS('AFA Rates'!$A$5:$A$1004,$A51,'AFA Rates'!$B$5:$B$1004,I$23,'AFA Rates'!$O$5:$O$1004,"&lt;&gt;Expired")&gt;0,"✓",IF(COUNTIFS('AFA Rates'!$A$5:$A$1004,$A51,'AFA Rates'!$B$5:$B$1004,I$23)&gt;0,"Exp","")))</f>
        <v/>
      </c>
      <c r="J51" s="79">
        <f>IF(OR($A51="",J$23=""),"",IF(COUNTIFS('AFA Rates'!$A$5:$A$1004,$A51,'AFA Rates'!$B$5:$B$1004,J$23,'AFA Rates'!$O$5:$O$1004,"&lt;&gt;Expired")&gt;0,"✓",IF(COUNTIFS('AFA Rates'!$A$5:$A$1004,$A51,'AFA Rates'!$B$5:$B$1004,J$23)&gt;0,"Exp","")))</f>
        <v/>
      </c>
      <c r="K51" s="79">
        <f>IF(OR($A51="",K$23=""),"",IF(COUNTIFS('AFA Rates'!$A$5:$A$1004,$A51,'AFA Rates'!$B$5:$B$1004,K$23,'AFA Rates'!$O$5:$O$1004,"&lt;&gt;Expired")&gt;0,"✓",IF(COUNTIFS('AFA Rates'!$A$5:$A$1004,$A51,'AFA Rates'!$B$5:$B$1004,K$23)&gt;0,"Exp","")))</f>
        <v/>
      </c>
      <c r="L51" s="79">
        <f>IF(OR($A51="",L$23=""),"",IF(COUNTIFS('AFA Rates'!$A$5:$A$1004,$A51,'AFA Rates'!$B$5:$B$1004,L$23,'AFA Rates'!$O$5:$O$1004,"&lt;&gt;Expired")&gt;0,"✓",IF(COUNTIFS('AFA Rates'!$A$5:$A$1004,$A51,'AFA Rates'!$B$5:$B$1004,L$23)&gt;0,"Exp","")))</f>
        <v/>
      </c>
      <c r="M51" s="79">
        <f>IF(OR($A51="",M$23=""),"",IF(COUNTIFS('AFA Rates'!$A$5:$A$1004,$A51,'AFA Rates'!$B$5:$B$1004,M$23,'AFA Rates'!$O$5:$O$1004,"&lt;&gt;Expired")&gt;0,"✓",IF(COUNTIFS('AFA Rates'!$A$5:$A$1004,$A51,'AFA Rates'!$B$5:$B$1004,M$23)&gt;0,"Exp","")))</f>
        <v/>
      </c>
      <c r="O51" s="97" t="inlineStr">
        <is>
          <t>VT</t>
        </is>
      </c>
      <c r="P51" s="98" t="inlineStr">
        <is>
          <t>Vermont</t>
        </is>
      </c>
      <c r="Q51" s="97">
        <f>COUNTIFS(Firms!$X$5:$X$1004,"*,"&amp;O51&amp;",*",Firms!$B$5:$B$1004,"Active")+COUNTIFS(Firms!$X$5:$X$1004,",ALL,",Firms!$B$5:$B$1004,"Active")</f>
        <v/>
      </c>
    </row>
    <row r="52">
      <c r="A52" s="78">
        <f>IFERROR(INDEX(Firms!$A$5:$A$1004,MATCH(29,Firms!$V$5:$V$1004,0)),"")</f>
        <v/>
      </c>
      <c r="B52" s="79">
        <f>IF($A52="","",INDEX(Firms!$B$5:$B$1004,MATCH(29,Firms!$V$5:$V$1004,0)))</f>
        <v/>
      </c>
      <c r="C52" s="79">
        <f>IF($A52="","",COUNTIFS('AFA Rates'!$A$5:$A$1004,$A52,'AFA Rates'!$O$5:$O$1004,"&lt;&gt;Expired"))</f>
        <v/>
      </c>
      <c r="D52" s="79">
        <f>IF(OR($A52="",D$23=""),"",IF(COUNTIFS('AFA Rates'!$A$5:$A$1004,$A52,'AFA Rates'!$B$5:$B$1004,D$23,'AFA Rates'!$O$5:$O$1004,"&lt;&gt;Expired")&gt;0,"✓",IF(COUNTIFS('AFA Rates'!$A$5:$A$1004,$A52,'AFA Rates'!$B$5:$B$1004,D$23)&gt;0,"Exp","")))</f>
        <v/>
      </c>
      <c r="E52" s="79">
        <f>IF(OR($A52="",E$23=""),"",IF(COUNTIFS('AFA Rates'!$A$5:$A$1004,$A52,'AFA Rates'!$B$5:$B$1004,E$23,'AFA Rates'!$O$5:$O$1004,"&lt;&gt;Expired")&gt;0,"✓",IF(COUNTIFS('AFA Rates'!$A$5:$A$1004,$A52,'AFA Rates'!$B$5:$B$1004,E$23)&gt;0,"Exp","")))</f>
        <v/>
      </c>
      <c r="F52" s="79">
        <f>IF(OR($A52="",F$23=""),"",IF(COUNTIFS('AFA Rates'!$A$5:$A$1004,$A52,'AFA Rates'!$B$5:$B$1004,F$23,'AFA Rates'!$O$5:$O$1004,"&lt;&gt;Expired")&gt;0,"✓",IF(COUNTIFS('AFA Rates'!$A$5:$A$1004,$A52,'AFA Rates'!$B$5:$B$1004,F$23)&gt;0,"Exp","")))</f>
        <v/>
      </c>
      <c r="G52" s="79">
        <f>IF(OR($A52="",G$23=""),"",IF(COUNTIFS('AFA Rates'!$A$5:$A$1004,$A52,'AFA Rates'!$B$5:$B$1004,G$23,'AFA Rates'!$O$5:$O$1004,"&lt;&gt;Expired")&gt;0,"✓",IF(COUNTIFS('AFA Rates'!$A$5:$A$1004,$A52,'AFA Rates'!$B$5:$B$1004,G$23)&gt;0,"Exp","")))</f>
        <v/>
      </c>
      <c r="H52" s="79">
        <f>IF(OR($A52="",H$23=""),"",IF(COUNTIFS('AFA Rates'!$A$5:$A$1004,$A52,'AFA Rates'!$B$5:$B$1004,H$23,'AFA Rates'!$O$5:$O$1004,"&lt;&gt;Expired")&gt;0,"✓",IF(COUNTIFS('AFA Rates'!$A$5:$A$1004,$A52,'AFA Rates'!$B$5:$B$1004,H$23)&gt;0,"Exp","")))</f>
        <v/>
      </c>
      <c r="I52" s="79">
        <f>IF(OR($A52="",I$23=""),"",IF(COUNTIFS('AFA Rates'!$A$5:$A$1004,$A52,'AFA Rates'!$B$5:$B$1004,I$23,'AFA Rates'!$O$5:$O$1004,"&lt;&gt;Expired")&gt;0,"✓",IF(COUNTIFS('AFA Rates'!$A$5:$A$1004,$A52,'AFA Rates'!$B$5:$B$1004,I$23)&gt;0,"Exp","")))</f>
        <v/>
      </c>
      <c r="J52" s="79">
        <f>IF(OR($A52="",J$23=""),"",IF(COUNTIFS('AFA Rates'!$A$5:$A$1004,$A52,'AFA Rates'!$B$5:$B$1004,J$23,'AFA Rates'!$O$5:$O$1004,"&lt;&gt;Expired")&gt;0,"✓",IF(COUNTIFS('AFA Rates'!$A$5:$A$1004,$A52,'AFA Rates'!$B$5:$B$1004,J$23)&gt;0,"Exp","")))</f>
        <v/>
      </c>
      <c r="K52" s="79">
        <f>IF(OR($A52="",K$23=""),"",IF(COUNTIFS('AFA Rates'!$A$5:$A$1004,$A52,'AFA Rates'!$B$5:$B$1004,K$23,'AFA Rates'!$O$5:$O$1004,"&lt;&gt;Expired")&gt;0,"✓",IF(COUNTIFS('AFA Rates'!$A$5:$A$1004,$A52,'AFA Rates'!$B$5:$B$1004,K$23)&gt;0,"Exp","")))</f>
        <v/>
      </c>
      <c r="L52" s="79">
        <f>IF(OR($A52="",L$23=""),"",IF(COUNTIFS('AFA Rates'!$A$5:$A$1004,$A52,'AFA Rates'!$B$5:$B$1004,L$23,'AFA Rates'!$O$5:$O$1004,"&lt;&gt;Expired")&gt;0,"✓",IF(COUNTIFS('AFA Rates'!$A$5:$A$1004,$A52,'AFA Rates'!$B$5:$B$1004,L$23)&gt;0,"Exp","")))</f>
        <v/>
      </c>
      <c r="M52" s="79">
        <f>IF(OR($A52="",M$23=""),"",IF(COUNTIFS('AFA Rates'!$A$5:$A$1004,$A52,'AFA Rates'!$B$5:$B$1004,M$23,'AFA Rates'!$O$5:$O$1004,"&lt;&gt;Expired")&gt;0,"✓",IF(COUNTIFS('AFA Rates'!$A$5:$A$1004,$A52,'AFA Rates'!$B$5:$B$1004,M$23)&gt;0,"Exp","")))</f>
        <v/>
      </c>
      <c r="O52" s="97" t="inlineStr">
        <is>
          <t>VA</t>
        </is>
      </c>
      <c r="P52" s="98" t="inlineStr">
        <is>
          <t>Virginia</t>
        </is>
      </c>
      <c r="Q52" s="97">
        <f>COUNTIFS(Firms!$X$5:$X$1004,"*,"&amp;O52&amp;",*",Firms!$B$5:$B$1004,"Active")+COUNTIFS(Firms!$X$5:$X$1004,",ALL,",Firms!$B$5:$B$1004,"Active")</f>
        <v/>
      </c>
    </row>
    <row r="53">
      <c r="A53" s="78">
        <f>IFERROR(INDEX(Firms!$A$5:$A$1004,MATCH(30,Firms!$V$5:$V$1004,0)),"")</f>
        <v/>
      </c>
      <c r="B53" s="79">
        <f>IF($A53="","",INDEX(Firms!$B$5:$B$1004,MATCH(30,Firms!$V$5:$V$1004,0)))</f>
        <v/>
      </c>
      <c r="C53" s="79">
        <f>IF($A53="","",COUNTIFS('AFA Rates'!$A$5:$A$1004,$A53,'AFA Rates'!$O$5:$O$1004,"&lt;&gt;Expired"))</f>
        <v/>
      </c>
      <c r="D53" s="79">
        <f>IF(OR($A53="",D$23=""),"",IF(COUNTIFS('AFA Rates'!$A$5:$A$1004,$A53,'AFA Rates'!$B$5:$B$1004,D$23,'AFA Rates'!$O$5:$O$1004,"&lt;&gt;Expired")&gt;0,"✓",IF(COUNTIFS('AFA Rates'!$A$5:$A$1004,$A53,'AFA Rates'!$B$5:$B$1004,D$23)&gt;0,"Exp","")))</f>
        <v/>
      </c>
      <c r="E53" s="79">
        <f>IF(OR($A53="",E$23=""),"",IF(COUNTIFS('AFA Rates'!$A$5:$A$1004,$A53,'AFA Rates'!$B$5:$B$1004,E$23,'AFA Rates'!$O$5:$O$1004,"&lt;&gt;Expired")&gt;0,"✓",IF(COUNTIFS('AFA Rates'!$A$5:$A$1004,$A53,'AFA Rates'!$B$5:$B$1004,E$23)&gt;0,"Exp","")))</f>
        <v/>
      </c>
      <c r="F53" s="79">
        <f>IF(OR($A53="",F$23=""),"",IF(COUNTIFS('AFA Rates'!$A$5:$A$1004,$A53,'AFA Rates'!$B$5:$B$1004,F$23,'AFA Rates'!$O$5:$O$1004,"&lt;&gt;Expired")&gt;0,"✓",IF(COUNTIFS('AFA Rates'!$A$5:$A$1004,$A53,'AFA Rates'!$B$5:$B$1004,F$23)&gt;0,"Exp","")))</f>
        <v/>
      </c>
      <c r="G53" s="79">
        <f>IF(OR($A53="",G$23=""),"",IF(COUNTIFS('AFA Rates'!$A$5:$A$1004,$A53,'AFA Rates'!$B$5:$B$1004,G$23,'AFA Rates'!$O$5:$O$1004,"&lt;&gt;Expired")&gt;0,"✓",IF(COUNTIFS('AFA Rates'!$A$5:$A$1004,$A53,'AFA Rates'!$B$5:$B$1004,G$23)&gt;0,"Exp","")))</f>
        <v/>
      </c>
      <c r="H53" s="79">
        <f>IF(OR($A53="",H$23=""),"",IF(COUNTIFS('AFA Rates'!$A$5:$A$1004,$A53,'AFA Rates'!$B$5:$B$1004,H$23,'AFA Rates'!$O$5:$O$1004,"&lt;&gt;Expired")&gt;0,"✓",IF(COUNTIFS('AFA Rates'!$A$5:$A$1004,$A53,'AFA Rates'!$B$5:$B$1004,H$23)&gt;0,"Exp","")))</f>
        <v/>
      </c>
      <c r="I53" s="79">
        <f>IF(OR($A53="",I$23=""),"",IF(COUNTIFS('AFA Rates'!$A$5:$A$1004,$A53,'AFA Rates'!$B$5:$B$1004,I$23,'AFA Rates'!$O$5:$O$1004,"&lt;&gt;Expired")&gt;0,"✓",IF(COUNTIFS('AFA Rates'!$A$5:$A$1004,$A53,'AFA Rates'!$B$5:$B$1004,I$23)&gt;0,"Exp","")))</f>
        <v/>
      </c>
      <c r="J53" s="79">
        <f>IF(OR($A53="",J$23=""),"",IF(COUNTIFS('AFA Rates'!$A$5:$A$1004,$A53,'AFA Rates'!$B$5:$B$1004,J$23,'AFA Rates'!$O$5:$O$1004,"&lt;&gt;Expired")&gt;0,"✓",IF(COUNTIFS('AFA Rates'!$A$5:$A$1004,$A53,'AFA Rates'!$B$5:$B$1004,J$23)&gt;0,"Exp","")))</f>
        <v/>
      </c>
      <c r="K53" s="79">
        <f>IF(OR($A53="",K$23=""),"",IF(COUNTIFS('AFA Rates'!$A$5:$A$1004,$A53,'AFA Rates'!$B$5:$B$1004,K$23,'AFA Rates'!$O$5:$O$1004,"&lt;&gt;Expired")&gt;0,"✓",IF(COUNTIFS('AFA Rates'!$A$5:$A$1004,$A53,'AFA Rates'!$B$5:$B$1004,K$23)&gt;0,"Exp","")))</f>
        <v/>
      </c>
      <c r="L53" s="79">
        <f>IF(OR($A53="",L$23=""),"",IF(COUNTIFS('AFA Rates'!$A$5:$A$1004,$A53,'AFA Rates'!$B$5:$B$1004,L$23,'AFA Rates'!$O$5:$O$1004,"&lt;&gt;Expired")&gt;0,"✓",IF(COUNTIFS('AFA Rates'!$A$5:$A$1004,$A53,'AFA Rates'!$B$5:$B$1004,L$23)&gt;0,"Exp","")))</f>
        <v/>
      </c>
      <c r="M53" s="79">
        <f>IF(OR($A53="",M$23=""),"",IF(COUNTIFS('AFA Rates'!$A$5:$A$1004,$A53,'AFA Rates'!$B$5:$B$1004,M$23,'AFA Rates'!$O$5:$O$1004,"&lt;&gt;Expired")&gt;0,"✓",IF(COUNTIFS('AFA Rates'!$A$5:$A$1004,$A53,'AFA Rates'!$B$5:$B$1004,M$23)&gt;0,"Exp","")))</f>
        <v/>
      </c>
      <c r="O53" s="97" t="inlineStr">
        <is>
          <t>WA</t>
        </is>
      </c>
      <c r="P53" s="98" t="inlineStr">
        <is>
          <t>Washington</t>
        </is>
      </c>
      <c r="Q53" s="97">
        <f>COUNTIFS(Firms!$X$5:$X$1004,"*,"&amp;O53&amp;",*",Firms!$B$5:$B$1004,"Active")+COUNTIFS(Firms!$X$5:$X$1004,",ALL,",Firms!$B$5:$B$1004,"Active")</f>
        <v/>
      </c>
    </row>
    <row r="54">
      <c r="A54" s="78">
        <f>IFERROR(INDEX(Firms!$A$5:$A$1004,MATCH(31,Firms!$V$5:$V$1004,0)),"")</f>
        <v/>
      </c>
      <c r="B54" s="79">
        <f>IF($A54="","",INDEX(Firms!$B$5:$B$1004,MATCH(31,Firms!$V$5:$V$1004,0)))</f>
        <v/>
      </c>
      <c r="C54" s="79">
        <f>IF($A54="","",COUNTIFS('AFA Rates'!$A$5:$A$1004,$A54,'AFA Rates'!$O$5:$O$1004,"&lt;&gt;Expired"))</f>
        <v/>
      </c>
      <c r="D54" s="79">
        <f>IF(OR($A54="",D$23=""),"",IF(COUNTIFS('AFA Rates'!$A$5:$A$1004,$A54,'AFA Rates'!$B$5:$B$1004,D$23,'AFA Rates'!$O$5:$O$1004,"&lt;&gt;Expired")&gt;0,"✓",IF(COUNTIFS('AFA Rates'!$A$5:$A$1004,$A54,'AFA Rates'!$B$5:$B$1004,D$23)&gt;0,"Exp","")))</f>
        <v/>
      </c>
      <c r="E54" s="79">
        <f>IF(OR($A54="",E$23=""),"",IF(COUNTIFS('AFA Rates'!$A$5:$A$1004,$A54,'AFA Rates'!$B$5:$B$1004,E$23,'AFA Rates'!$O$5:$O$1004,"&lt;&gt;Expired")&gt;0,"✓",IF(COUNTIFS('AFA Rates'!$A$5:$A$1004,$A54,'AFA Rates'!$B$5:$B$1004,E$23)&gt;0,"Exp","")))</f>
        <v/>
      </c>
      <c r="F54" s="79">
        <f>IF(OR($A54="",F$23=""),"",IF(COUNTIFS('AFA Rates'!$A$5:$A$1004,$A54,'AFA Rates'!$B$5:$B$1004,F$23,'AFA Rates'!$O$5:$O$1004,"&lt;&gt;Expired")&gt;0,"✓",IF(COUNTIFS('AFA Rates'!$A$5:$A$1004,$A54,'AFA Rates'!$B$5:$B$1004,F$23)&gt;0,"Exp","")))</f>
        <v/>
      </c>
      <c r="G54" s="79">
        <f>IF(OR($A54="",G$23=""),"",IF(COUNTIFS('AFA Rates'!$A$5:$A$1004,$A54,'AFA Rates'!$B$5:$B$1004,G$23,'AFA Rates'!$O$5:$O$1004,"&lt;&gt;Expired")&gt;0,"✓",IF(COUNTIFS('AFA Rates'!$A$5:$A$1004,$A54,'AFA Rates'!$B$5:$B$1004,G$23)&gt;0,"Exp","")))</f>
        <v/>
      </c>
      <c r="H54" s="79">
        <f>IF(OR($A54="",H$23=""),"",IF(COUNTIFS('AFA Rates'!$A$5:$A$1004,$A54,'AFA Rates'!$B$5:$B$1004,H$23,'AFA Rates'!$O$5:$O$1004,"&lt;&gt;Expired")&gt;0,"✓",IF(COUNTIFS('AFA Rates'!$A$5:$A$1004,$A54,'AFA Rates'!$B$5:$B$1004,H$23)&gt;0,"Exp","")))</f>
        <v/>
      </c>
      <c r="I54" s="79">
        <f>IF(OR($A54="",I$23=""),"",IF(COUNTIFS('AFA Rates'!$A$5:$A$1004,$A54,'AFA Rates'!$B$5:$B$1004,I$23,'AFA Rates'!$O$5:$O$1004,"&lt;&gt;Expired")&gt;0,"✓",IF(COUNTIFS('AFA Rates'!$A$5:$A$1004,$A54,'AFA Rates'!$B$5:$B$1004,I$23)&gt;0,"Exp","")))</f>
        <v/>
      </c>
      <c r="J54" s="79">
        <f>IF(OR($A54="",J$23=""),"",IF(COUNTIFS('AFA Rates'!$A$5:$A$1004,$A54,'AFA Rates'!$B$5:$B$1004,J$23,'AFA Rates'!$O$5:$O$1004,"&lt;&gt;Expired")&gt;0,"✓",IF(COUNTIFS('AFA Rates'!$A$5:$A$1004,$A54,'AFA Rates'!$B$5:$B$1004,J$23)&gt;0,"Exp","")))</f>
        <v/>
      </c>
      <c r="K54" s="79">
        <f>IF(OR($A54="",K$23=""),"",IF(COUNTIFS('AFA Rates'!$A$5:$A$1004,$A54,'AFA Rates'!$B$5:$B$1004,K$23,'AFA Rates'!$O$5:$O$1004,"&lt;&gt;Expired")&gt;0,"✓",IF(COUNTIFS('AFA Rates'!$A$5:$A$1004,$A54,'AFA Rates'!$B$5:$B$1004,K$23)&gt;0,"Exp","")))</f>
        <v/>
      </c>
      <c r="L54" s="79">
        <f>IF(OR($A54="",L$23=""),"",IF(COUNTIFS('AFA Rates'!$A$5:$A$1004,$A54,'AFA Rates'!$B$5:$B$1004,L$23,'AFA Rates'!$O$5:$O$1004,"&lt;&gt;Expired")&gt;0,"✓",IF(COUNTIFS('AFA Rates'!$A$5:$A$1004,$A54,'AFA Rates'!$B$5:$B$1004,L$23)&gt;0,"Exp","")))</f>
        <v/>
      </c>
      <c r="M54" s="79">
        <f>IF(OR($A54="",M$23=""),"",IF(COUNTIFS('AFA Rates'!$A$5:$A$1004,$A54,'AFA Rates'!$B$5:$B$1004,M$23,'AFA Rates'!$O$5:$O$1004,"&lt;&gt;Expired")&gt;0,"✓",IF(COUNTIFS('AFA Rates'!$A$5:$A$1004,$A54,'AFA Rates'!$B$5:$B$1004,M$23)&gt;0,"Exp","")))</f>
        <v/>
      </c>
      <c r="O54" s="97" t="inlineStr">
        <is>
          <t>WV</t>
        </is>
      </c>
      <c r="P54" s="98" t="inlineStr">
        <is>
          <t>West Virginia</t>
        </is>
      </c>
      <c r="Q54" s="97">
        <f>COUNTIFS(Firms!$X$5:$X$1004,"*,"&amp;O54&amp;",*",Firms!$B$5:$B$1004,"Active")+COUNTIFS(Firms!$X$5:$X$1004,",ALL,",Firms!$B$5:$B$1004,"Active")</f>
        <v/>
      </c>
    </row>
    <row r="55">
      <c r="A55" s="78">
        <f>IFERROR(INDEX(Firms!$A$5:$A$1004,MATCH(32,Firms!$V$5:$V$1004,0)),"")</f>
        <v/>
      </c>
      <c r="B55" s="79">
        <f>IF($A55="","",INDEX(Firms!$B$5:$B$1004,MATCH(32,Firms!$V$5:$V$1004,0)))</f>
        <v/>
      </c>
      <c r="C55" s="79">
        <f>IF($A55="","",COUNTIFS('AFA Rates'!$A$5:$A$1004,$A55,'AFA Rates'!$O$5:$O$1004,"&lt;&gt;Expired"))</f>
        <v/>
      </c>
      <c r="D55" s="79">
        <f>IF(OR($A55="",D$23=""),"",IF(COUNTIFS('AFA Rates'!$A$5:$A$1004,$A55,'AFA Rates'!$B$5:$B$1004,D$23,'AFA Rates'!$O$5:$O$1004,"&lt;&gt;Expired")&gt;0,"✓",IF(COUNTIFS('AFA Rates'!$A$5:$A$1004,$A55,'AFA Rates'!$B$5:$B$1004,D$23)&gt;0,"Exp","")))</f>
        <v/>
      </c>
      <c r="E55" s="79">
        <f>IF(OR($A55="",E$23=""),"",IF(COUNTIFS('AFA Rates'!$A$5:$A$1004,$A55,'AFA Rates'!$B$5:$B$1004,E$23,'AFA Rates'!$O$5:$O$1004,"&lt;&gt;Expired")&gt;0,"✓",IF(COUNTIFS('AFA Rates'!$A$5:$A$1004,$A55,'AFA Rates'!$B$5:$B$1004,E$23)&gt;0,"Exp","")))</f>
        <v/>
      </c>
      <c r="F55" s="79">
        <f>IF(OR($A55="",F$23=""),"",IF(COUNTIFS('AFA Rates'!$A$5:$A$1004,$A55,'AFA Rates'!$B$5:$B$1004,F$23,'AFA Rates'!$O$5:$O$1004,"&lt;&gt;Expired")&gt;0,"✓",IF(COUNTIFS('AFA Rates'!$A$5:$A$1004,$A55,'AFA Rates'!$B$5:$B$1004,F$23)&gt;0,"Exp","")))</f>
        <v/>
      </c>
      <c r="G55" s="79">
        <f>IF(OR($A55="",G$23=""),"",IF(COUNTIFS('AFA Rates'!$A$5:$A$1004,$A55,'AFA Rates'!$B$5:$B$1004,G$23,'AFA Rates'!$O$5:$O$1004,"&lt;&gt;Expired")&gt;0,"✓",IF(COUNTIFS('AFA Rates'!$A$5:$A$1004,$A55,'AFA Rates'!$B$5:$B$1004,G$23)&gt;0,"Exp","")))</f>
        <v/>
      </c>
      <c r="H55" s="79">
        <f>IF(OR($A55="",H$23=""),"",IF(COUNTIFS('AFA Rates'!$A$5:$A$1004,$A55,'AFA Rates'!$B$5:$B$1004,H$23,'AFA Rates'!$O$5:$O$1004,"&lt;&gt;Expired")&gt;0,"✓",IF(COUNTIFS('AFA Rates'!$A$5:$A$1004,$A55,'AFA Rates'!$B$5:$B$1004,H$23)&gt;0,"Exp","")))</f>
        <v/>
      </c>
      <c r="I55" s="79">
        <f>IF(OR($A55="",I$23=""),"",IF(COUNTIFS('AFA Rates'!$A$5:$A$1004,$A55,'AFA Rates'!$B$5:$B$1004,I$23,'AFA Rates'!$O$5:$O$1004,"&lt;&gt;Expired")&gt;0,"✓",IF(COUNTIFS('AFA Rates'!$A$5:$A$1004,$A55,'AFA Rates'!$B$5:$B$1004,I$23)&gt;0,"Exp","")))</f>
        <v/>
      </c>
      <c r="J55" s="79">
        <f>IF(OR($A55="",J$23=""),"",IF(COUNTIFS('AFA Rates'!$A$5:$A$1004,$A55,'AFA Rates'!$B$5:$B$1004,J$23,'AFA Rates'!$O$5:$O$1004,"&lt;&gt;Expired")&gt;0,"✓",IF(COUNTIFS('AFA Rates'!$A$5:$A$1004,$A55,'AFA Rates'!$B$5:$B$1004,J$23)&gt;0,"Exp","")))</f>
        <v/>
      </c>
      <c r="K55" s="79">
        <f>IF(OR($A55="",K$23=""),"",IF(COUNTIFS('AFA Rates'!$A$5:$A$1004,$A55,'AFA Rates'!$B$5:$B$1004,K$23,'AFA Rates'!$O$5:$O$1004,"&lt;&gt;Expired")&gt;0,"✓",IF(COUNTIFS('AFA Rates'!$A$5:$A$1004,$A55,'AFA Rates'!$B$5:$B$1004,K$23)&gt;0,"Exp","")))</f>
        <v/>
      </c>
      <c r="L55" s="79">
        <f>IF(OR($A55="",L$23=""),"",IF(COUNTIFS('AFA Rates'!$A$5:$A$1004,$A55,'AFA Rates'!$B$5:$B$1004,L$23,'AFA Rates'!$O$5:$O$1004,"&lt;&gt;Expired")&gt;0,"✓",IF(COUNTIFS('AFA Rates'!$A$5:$A$1004,$A55,'AFA Rates'!$B$5:$B$1004,L$23)&gt;0,"Exp","")))</f>
        <v/>
      </c>
      <c r="M55" s="79">
        <f>IF(OR($A55="",M$23=""),"",IF(COUNTIFS('AFA Rates'!$A$5:$A$1004,$A55,'AFA Rates'!$B$5:$B$1004,M$23,'AFA Rates'!$O$5:$O$1004,"&lt;&gt;Expired")&gt;0,"✓",IF(COUNTIFS('AFA Rates'!$A$5:$A$1004,$A55,'AFA Rates'!$B$5:$B$1004,M$23)&gt;0,"Exp","")))</f>
        <v/>
      </c>
      <c r="O55" s="97" t="inlineStr">
        <is>
          <t>WI</t>
        </is>
      </c>
      <c r="P55" s="98" t="inlineStr">
        <is>
          <t>Wisconsin</t>
        </is>
      </c>
      <c r="Q55" s="97">
        <f>COUNTIFS(Firms!$X$5:$X$1004,"*,"&amp;O55&amp;",*",Firms!$B$5:$B$1004,"Active")+COUNTIFS(Firms!$X$5:$X$1004,",ALL,",Firms!$B$5:$B$1004,"Active")</f>
        <v/>
      </c>
    </row>
    <row r="56">
      <c r="A56" s="78">
        <f>IFERROR(INDEX(Firms!$A$5:$A$1004,MATCH(33,Firms!$V$5:$V$1004,0)),"")</f>
        <v/>
      </c>
      <c r="B56" s="79">
        <f>IF($A56="","",INDEX(Firms!$B$5:$B$1004,MATCH(33,Firms!$V$5:$V$1004,0)))</f>
        <v/>
      </c>
      <c r="C56" s="79">
        <f>IF($A56="","",COUNTIFS('AFA Rates'!$A$5:$A$1004,$A56,'AFA Rates'!$O$5:$O$1004,"&lt;&gt;Expired"))</f>
        <v/>
      </c>
      <c r="D56" s="79">
        <f>IF(OR($A56="",D$23=""),"",IF(COUNTIFS('AFA Rates'!$A$5:$A$1004,$A56,'AFA Rates'!$B$5:$B$1004,D$23,'AFA Rates'!$O$5:$O$1004,"&lt;&gt;Expired")&gt;0,"✓",IF(COUNTIFS('AFA Rates'!$A$5:$A$1004,$A56,'AFA Rates'!$B$5:$B$1004,D$23)&gt;0,"Exp","")))</f>
        <v/>
      </c>
      <c r="E56" s="79">
        <f>IF(OR($A56="",E$23=""),"",IF(COUNTIFS('AFA Rates'!$A$5:$A$1004,$A56,'AFA Rates'!$B$5:$B$1004,E$23,'AFA Rates'!$O$5:$O$1004,"&lt;&gt;Expired")&gt;0,"✓",IF(COUNTIFS('AFA Rates'!$A$5:$A$1004,$A56,'AFA Rates'!$B$5:$B$1004,E$23)&gt;0,"Exp","")))</f>
        <v/>
      </c>
      <c r="F56" s="79">
        <f>IF(OR($A56="",F$23=""),"",IF(COUNTIFS('AFA Rates'!$A$5:$A$1004,$A56,'AFA Rates'!$B$5:$B$1004,F$23,'AFA Rates'!$O$5:$O$1004,"&lt;&gt;Expired")&gt;0,"✓",IF(COUNTIFS('AFA Rates'!$A$5:$A$1004,$A56,'AFA Rates'!$B$5:$B$1004,F$23)&gt;0,"Exp","")))</f>
        <v/>
      </c>
      <c r="G56" s="79">
        <f>IF(OR($A56="",G$23=""),"",IF(COUNTIFS('AFA Rates'!$A$5:$A$1004,$A56,'AFA Rates'!$B$5:$B$1004,G$23,'AFA Rates'!$O$5:$O$1004,"&lt;&gt;Expired")&gt;0,"✓",IF(COUNTIFS('AFA Rates'!$A$5:$A$1004,$A56,'AFA Rates'!$B$5:$B$1004,G$23)&gt;0,"Exp","")))</f>
        <v/>
      </c>
      <c r="H56" s="79">
        <f>IF(OR($A56="",H$23=""),"",IF(COUNTIFS('AFA Rates'!$A$5:$A$1004,$A56,'AFA Rates'!$B$5:$B$1004,H$23,'AFA Rates'!$O$5:$O$1004,"&lt;&gt;Expired")&gt;0,"✓",IF(COUNTIFS('AFA Rates'!$A$5:$A$1004,$A56,'AFA Rates'!$B$5:$B$1004,H$23)&gt;0,"Exp","")))</f>
        <v/>
      </c>
      <c r="I56" s="79">
        <f>IF(OR($A56="",I$23=""),"",IF(COUNTIFS('AFA Rates'!$A$5:$A$1004,$A56,'AFA Rates'!$B$5:$B$1004,I$23,'AFA Rates'!$O$5:$O$1004,"&lt;&gt;Expired")&gt;0,"✓",IF(COUNTIFS('AFA Rates'!$A$5:$A$1004,$A56,'AFA Rates'!$B$5:$B$1004,I$23)&gt;0,"Exp","")))</f>
        <v/>
      </c>
      <c r="J56" s="79">
        <f>IF(OR($A56="",J$23=""),"",IF(COUNTIFS('AFA Rates'!$A$5:$A$1004,$A56,'AFA Rates'!$B$5:$B$1004,J$23,'AFA Rates'!$O$5:$O$1004,"&lt;&gt;Expired")&gt;0,"✓",IF(COUNTIFS('AFA Rates'!$A$5:$A$1004,$A56,'AFA Rates'!$B$5:$B$1004,J$23)&gt;0,"Exp","")))</f>
        <v/>
      </c>
      <c r="K56" s="79">
        <f>IF(OR($A56="",K$23=""),"",IF(COUNTIFS('AFA Rates'!$A$5:$A$1004,$A56,'AFA Rates'!$B$5:$B$1004,K$23,'AFA Rates'!$O$5:$O$1004,"&lt;&gt;Expired")&gt;0,"✓",IF(COUNTIFS('AFA Rates'!$A$5:$A$1004,$A56,'AFA Rates'!$B$5:$B$1004,K$23)&gt;0,"Exp","")))</f>
        <v/>
      </c>
      <c r="L56" s="79">
        <f>IF(OR($A56="",L$23=""),"",IF(COUNTIFS('AFA Rates'!$A$5:$A$1004,$A56,'AFA Rates'!$B$5:$B$1004,L$23,'AFA Rates'!$O$5:$O$1004,"&lt;&gt;Expired")&gt;0,"✓",IF(COUNTIFS('AFA Rates'!$A$5:$A$1004,$A56,'AFA Rates'!$B$5:$B$1004,L$23)&gt;0,"Exp","")))</f>
        <v/>
      </c>
      <c r="M56" s="79">
        <f>IF(OR($A56="",M$23=""),"",IF(COUNTIFS('AFA Rates'!$A$5:$A$1004,$A56,'AFA Rates'!$B$5:$B$1004,M$23,'AFA Rates'!$O$5:$O$1004,"&lt;&gt;Expired")&gt;0,"✓",IF(COUNTIFS('AFA Rates'!$A$5:$A$1004,$A56,'AFA Rates'!$B$5:$B$1004,M$23)&gt;0,"Exp","")))</f>
        <v/>
      </c>
      <c r="O56" s="97" t="inlineStr">
        <is>
          <t>WY</t>
        </is>
      </c>
      <c r="P56" s="98" t="inlineStr">
        <is>
          <t>Wyoming</t>
        </is>
      </c>
      <c r="Q56" s="97">
        <f>COUNTIFS(Firms!$X$5:$X$1004,"*,"&amp;O56&amp;",*",Firms!$B$5:$B$1004,"Active")+COUNTIFS(Firms!$X$5:$X$1004,",ALL,",Firms!$B$5:$B$1004,"Active")</f>
        <v/>
      </c>
    </row>
    <row r="57">
      <c r="A57" s="78">
        <f>IFERROR(INDEX(Firms!$A$5:$A$1004,MATCH(34,Firms!$V$5:$V$1004,0)),"")</f>
        <v/>
      </c>
      <c r="B57" s="79">
        <f>IF($A57="","",INDEX(Firms!$B$5:$B$1004,MATCH(34,Firms!$V$5:$V$1004,0)))</f>
        <v/>
      </c>
      <c r="C57" s="79">
        <f>IF($A57="","",COUNTIFS('AFA Rates'!$A$5:$A$1004,$A57,'AFA Rates'!$O$5:$O$1004,"&lt;&gt;Expired"))</f>
        <v/>
      </c>
      <c r="D57" s="79">
        <f>IF(OR($A57="",D$23=""),"",IF(COUNTIFS('AFA Rates'!$A$5:$A$1004,$A57,'AFA Rates'!$B$5:$B$1004,D$23,'AFA Rates'!$O$5:$O$1004,"&lt;&gt;Expired")&gt;0,"✓",IF(COUNTIFS('AFA Rates'!$A$5:$A$1004,$A57,'AFA Rates'!$B$5:$B$1004,D$23)&gt;0,"Exp","")))</f>
        <v/>
      </c>
      <c r="E57" s="79">
        <f>IF(OR($A57="",E$23=""),"",IF(COUNTIFS('AFA Rates'!$A$5:$A$1004,$A57,'AFA Rates'!$B$5:$B$1004,E$23,'AFA Rates'!$O$5:$O$1004,"&lt;&gt;Expired")&gt;0,"✓",IF(COUNTIFS('AFA Rates'!$A$5:$A$1004,$A57,'AFA Rates'!$B$5:$B$1004,E$23)&gt;0,"Exp","")))</f>
        <v/>
      </c>
      <c r="F57" s="79">
        <f>IF(OR($A57="",F$23=""),"",IF(COUNTIFS('AFA Rates'!$A$5:$A$1004,$A57,'AFA Rates'!$B$5:$B$1004,F$23,'AFA Rates'!$O$5:$O$1004,"&lt;&gt;Expired")&gt;0,"✓",IF(COUNTIFS('AFA Rates'!$A$5:$A$1004,$A57,'AFA Rates'!$B$5:$B$1004,F$23)&gt;0,"Exp","")))</f>
        <v/>
      </c>
      <c r="G57" s="79">
        <f>IF(OR($A57="",G$23=""),"",IF(COUNTIFS('AFA Rates'!$A$5:$A$1004,$A57,'AFA Rates'!$B$5:$B$1004,G$23,'AFA Rates'!$O$5:$O$1004,"&lt;&gt;Expired")&gt;0,"✓",IF(COUNTIFS('AFA Rates'!$A$5:$A$1004,$A57,'AFA Rates'!$B$5:$B$1004,G$23)&gt;0,"Exp","")))</f>
        <v/>
      </c>
      <c r="H57" s="79">
        <f>IF(OR($A57="",H$23=""),"",IF(COUNTIFS('AFA Rates'!$A$5:$A$1004,$A57,'AFA Rates'!$B$5:$B$1004,H$23,'AFA Rates'!$O$5:$O$1004,"&lt;&gt;Expired")&gt;0,"✓",IF(COUNTIFS('AFA Rates'!$A$5:$A$1004,$A57,'AFA Rates'!$B$5:$B$1004,H$23)&gt;0,"Exp","")))</f>
        <v/>
      </c>
      <c r="I57" s="79">
        <f>IF(OR($A57="",I$23=""),"",IF(COUNTIFS('AFA Rates'!$A$5:$A$1004,$A57,'AFA Rates'!$B$5:$B$1004,I$23,'AFA Rates'!$O$5:$O$1004,"&lt;&gt;Expired")&gt;0,"✓",IF(COUNTIFS('AFA Rates'!$A$5:$A$1004,$A57,'AFA Rates'!$B$5:$B$1004,I$23)&gt;0,"Exp","")))</f>
        <v/>
      </c>
      <c r="J57" s="79">
        <f>IF(OR($A57="",J$23=""),"",IF(COUNTIFS('AFA Rates'!$A$5:$A$1004,$A57,'AFA Rates'!$B$5:$B$1004,J$23,'AFA Rates'!$O$5:$O$1004,"&lt;&gt;Expired")&gt;0,"✓",IF(COUNTIFS('AFA Rates'!$A$5:$A$1004,$A57,'AFA Rates'!$B$5:$B$1004,J$23)&gt;0,"Exp","")))</f>
        <v/>
      </c>
      <c r="K57" s="79">
        <f>IF(OR($A57="",K$23=""),"",IF(COUNTIFS('AFA Rates'!$A$5:$A$1004,$A57,'AFA Rates'!$B$5:$B$1004,K$23,'AFA Rates'!$O$5:$O$1004,"&lt;&gt;Expired")&gt;0,"✓",IF(COUNTIFS('AFA Rates'!$A$5:$A$1004,$A57,'AFA Rates'!$B$5:$B$1004,K$23)&gt;0,"Exp","")))</f>
        <v/>
      </c>
      <c r="L57" s="79">
        <f>IF(OR($A57="",L$23=""),"",IF(COUNTIFS('AFA Rates'!$A$5:$A$1004,$A57,'AFA Rates'!$B$5:$B$1004,L$23,'AFA Rates'!$O$5:$O$1004,"&lt;&gt;Expired")&gt;0,"✓",IF(COUNTIFS('AFA Rates'!$A$5:$A$1004,$A57,'AFA Rates'!$B$5:$B$1004,L$23)&gt;0,"Exp","")))</f>
        <v/>
      </c>
      <c r="M57" s="79">
        <f>IF(OR($A57="",M$23=""),"",IF(COUNTIFS('AFA Rates'!$A$5:$A$1004,$A57,'AFA Rates'!$B$5:$B$1004,M$23,'AFA Rates'!$O$5:$O$1004,"&lt;&gt;Expired")&gt;0,"✓",IF(COUNTIFS('AFA Rates'!$A$5:$A$1004,$A57,'AFA Rates'!$B$5:$B$1004,M$23)&gt;0,"Exp","")))</f>
        <v/>
      </c>
      <c r="O57" s="111" t="inlineStr">
        <is>
          <t>ALL</t>
        </is>
      </c>
      <c r="P57" s="112" t="inlineStr">
        <is>
          <t>Nationwide firms</t>
        </is>
      </c>
      <c r="Q57" s="111">
        <f>COUNTIFS(Firms!$X$5:$X$1004,",ALL,",Firms!$B$5:$B$1004,"Active")</f>
        <v/>
      </c>
    </row>
    <row r="58">
      <c r="A58" s="78">
        <f>IFERROR(INDEX(Firms!$A$5:$A$1004,MATCH(35,Firms!$V$5:$V$1004,0)),"")</f>
        <v/>
      </c>
      <c r="B58" s="79">
        <f>IF($A58="","",INDEX(Firms!$B$5:$B$1004,MATCH(35,Firms!$V$5:$V$1004,0)))</f>
        <v/>
      </c>
      <c r="C58" s="79">
        <f>IF($A58="","",COUNTIFS('AFA Rates'!$A$5:$A$1004,$A58,'AFA Rates'!$O$5:$O$1004,"&lt;&gt;Expired"))</f>
        <v/>
      </c>
      <c r="D58" s="79">
        <f>IF(OR($A58="",D$23=""),"",IF(COUNTIFS('AFA Rates'!$A$5:$A$1004,$A58,'AFA Rates'!$B$5:$B$1004,D$23,'AFA Rates'!$O$5:$O$1004,"&lt;&gt;Expired")&gt;0,"✓",IF(COUNTIFS('AFA Rates'!$A$5:$A$1004,$A58,'AFA Rates'!$B$5:$B$1004,D$23)&gt;0,"Exp","")))</f>
        <v/>
      </c>
      <c r="E58" s="79">
        <f>IF(OR($A58="",E$23=""),"",IF(COUNTIFS('AFA Rates'!$A$5:$A$1004,$A58,'AFA Rates'!$B$5:$B$1004,E$23,'AFA Rates'!$O$5:$O$1004,"&lt;&gt;Expired")&gt;0,"✓",IF(COUNTIFS('AFA Rates'!$A$5:$A$1004,$A58,'AFA Rates'!$B$5:$B$1004,E$23)&gt;0,"Exp","")))</f>
        <v/>
      </c>
      <c r="F58" s="79">
        <f>IF(OR($A58="",F$23=""),"",IF(COUNTIFS('AFA Rates'!$A$5:$A$1004,$A58,'AFA Rates'!$B$5:$B$1004,F$23,'AFA Rates'!$O$5:$O$1004,"&lt;&gt;Expired")&gt;0,"✓",IF(COUNTIFS('AFA Rates'!$A$5:$A$1004,$A58,'AFA Rates'!$B$5:$B$1004,F$23)&gt;0,"Exp","")))</f>
        <v/>
      </c>
      <c r="G58" s="79">
        <f>IF(OR($A58="",G$23=""),"",IF(COUNTIFS('AFA Rates'!$A$5:$A$1004,$A58,'AFA Rates'!$B$5:$B$1004,G$23,'AFA Rates'!$O$5:$O$1004,"&lt;&gt;Expired")&gt;0,"✓",IF(COUNTIFS('AFA Rates'!$A$5:$A$1004,$A58,'AFA Rates'!$B$5:$B$1004,G$23)&gt;0,"Exp","")))</f>
        <v/>
      </c>
      <c r="H58" s="79">
        <f>IF(OR($A58="",H$23=""),"",IF(COUNTIFS('AFA Rates'!$A$5:$A$1004,$A58,'AFA Rates'!$B$5:$B$1004,H$23,'AFA Rates'!$O$5:$O$1004,"&lt;&gt;Expired")&gt;0,"✓",IF(COUNTIFS('AFA Rates'!$A$5:$A$1004,$A58,'AFA Rates'!$B$5:$B$1004,H$23)&gt;0,"Exp","")))</f>
        <v/>
      </c>
      <c r="I58" s="79">
        <f>IF(OR($A58="",I$23=""),"",IF(COUNTIFS('AFA Rates'!$A$5:$A$1004,$A58,'AFA Rates'!$B$5:$B$1004,I$23,'AFA Rates'!$O$5:$O$1004,"&lt;&gt;Expired")&gt;0,"✓",IF(COUNTIFS('AFA Rates'!$A$5:$A$1004,$A58,'AFA Rates'!$B$5:$B$1004,I$23)&gt;0,"Exp","")))</f>
        <v/>
      </c>
      <c r="J58" s="79">
        <f>IF(OR($A58="",J$23=""),"",IF(COUNTIFS('AFA Rates'!$A$5:$A$1004,$A58,'AFA Rates'!$B$5:$B$1004,J$23,'AFA Rates'!$O$5:$O$1004,"&lt;&gt;Expired")&gt;0,"✓",IF(COUNTIFS('AFA Rates'!$A$5:$A$1004,$A58,'AFA Rates'!$B$5:$B$1004,J$23)&gt;0,"Exp","")))</f>
        <v/>
      </c>
      <c r="K58" s="79">
        <f>IF(OR($A58="",K$23=""),"",IF(COUNTIFS('AFA Rates'!$A$5:$A$1004,$A58,'AFA Rates'!$B$5:$B$1004,K$23,'AFA Rates'!$O$5:$O$1004,"&lt;&gt;Expired")&gt;0,"✓",IF(COUNTIFS('AFA Rates'!$A$5:$A$1004,$A58,'AFA Rates'!$B$5:$B$1004,K$23)&gt;0,"Exp","")))</f>
        <v/>
      </c>
      <c r="L58" s="79">
        <f>IF(OR($A58="",L$23=""),"",IF(COUNTIFS('AFA Rates'!$A$5:$A$1004,$A58,'AFA Rates'!$B$5:$B$1004,L$23,'AFA Rates'!$O$5:$O$1004,"&lt;&gt;Expired")&gt;0,"✓",IF(COUNTIFS('AFA Rates'!$A$5:$A$1004,$A58,'AFA Rates'!$B$5:$B$1004,L$23)&gt;0,"Exp","")))</f>
        <v/>
      </c>
      <c r="M58" s="79">
        <f>IF(OR($A58="",M$23=""),"",IF(COUNTIFS('AFA Rates'!$A$5:$A$1004,$A58,'AFA Rates'!$B$5:$B$1004,M$23,'AFA Rates'!$O$5:$O$1004,"&lt;&gt;Expired")&gt;0,"✓",IF(COUNTIFS('AFA Rates'!$A$5:$A$1004,$A58,'AFA Rates'!$B$5:$B$1004,M$23)&gt;0,"Exp","")))</f>
        <v/>
      </c>
      <c r="O58" s="22" t="inlineStr">
        <is>
          <t>Pink = no active firm approved in that state.</t>
        </is>
      </c>
    </row>
    <row r="59">
      <c r="A59" s="78">
        <f>IFERROR(INDEX(Firms!$A$5:$A$1004,MATCH(36,Firms!$V$5:$V$1004,0)),"")</f>
        <v/>
      </c>
      <c r="B59" s="79">
        <f>IF($A59="","",INDEX(Firms!$B$5:$B$1004,MATCH(36,Firms!$V$5:$V$1004,0)))</f>
        <v/>
      </c>
      <c r="C59" s="79">
        <f>IF($A59="","",COUNTIFS('AFA Rates'!$A$5:$A$1004,$A59,'AFA Rates'!$O$5:$O$1004,"&lt;&gt;Expired"))</f>
        <v/>
      </c>
      <c r="D59" s="79">
        <f>IF(OR($A59="",D$23=""),"",IF(COUNTIFS('AFA Rates'!$A$5:$A$1004,$A59,'AFA Rates'!$B$5:$B$1004,D$23,'AFA Rates'!$O$5:$O$1004,"&lt;&gt;Expired")&gt;0,"✓",IF(COUNTIFS('AFA Rates'!$A$5:$A$1004,$A59,'AFA Rates'!$B$5:$B$1004,D$23)&gt;0,"Exp","")))</f>
        <v/>
      </c>
      <c r="E59" s="79">
        <f>IF(OR($A59="",E$23=""),"",IF(COUNTIFS('AFA Rates'!$A$5:$A$1004,$A59,'AFA Rates'!$B$5:$B$1004,E$23,'AFA Rates'!$O$5:$O$1004,"&lt;&gt;Expired")&gt;0,"✓",IF(COUNTIFS('AFA Rates'!$A$5:$A$1004,$A59,'AFA Rates'!$B$5:$B$1004,E$23)&gt;0,"Exp","")))</f>
        <v/>
      </c>
      <c r="F59" s="79">
        <f>IF(OR($A59="",F$23=""),"",IF(COUNTIFS('AFA Rates'!$A$5:$A$1004,$A59,'AFA Rates'!$B$5:$B$1004,F$23,'AFA Rates'!$O$5:$O$1004,"&lt;&gt;Expired")&gt;0,"✓",IF(COUNTIFS('AFA Rates'!$A$5:$A$1004,$A59,'AFA Rates'!$B$5:$B$1004,F$23)&gt;0,"Exp","")))</f>
        <v/>
      </c>
      <c r="G59" s="79">
        <f>IF(OR($A59="",G$23=""),"",IF(COUNTIFS('AFA Rates'!$A$5:$A$1004,$A59,'AFA Rates'!$B$5:$B$1004,G$23,'AFA Rates'!$O$5:$O$1004,"&lt;&gt;Expired")&gt;0,"✓",IF(COUNTIFS('AFA Rates'!$A$5:$A$1004,$A59,'AFA Rates'!$B$5:$B$1004,G$23)&gt;0,"Exp","")))</f>
        <v/>
      </c>
      <c r="H59" s="79">
        <f>IF(OR($A59="",H$23=""),"",IF(COUNTIFS('AFA Rates'!$A$5:$A$1004,$A59,'AFA Rates'!$B$5:$B$1004,H$23,'AFA Rates'!$O$5:$O$1004,"&lt;&gt;Expired")&gt;0,"✓",IF(COUNTIFS('AFA Rates'!$A$5:$A$1004,$A59,'AFA Rates'!$B$5:$B$1004,H$23)&gt;0,"Exp","")))</f>
        <v/>
      </c>
      <c r="I59" s="79">
        <f>IF(OR($A59="",I$23=""),"",IF(COUNTIFS('AFA Rates'!$A$5:$A$1004,$A59,'AFA Rates'!$B$5:$B$1004,I$23,'AFA Rates'!$O$5:$O$1004,"&lt;&gt;Expired")&gt;0,"✓",IF(COUNTIFS('AFA Rates'!$A$5:$A$1004,$A59,'AFA Rates'!$B$5:$B$1004,I$23)&gt;0,"Exp","")))</f>
        <v/>
      </c>
      <c r="J59" s="79">
        <f>IF(OR($A59="",J$23=""),"",IF(COUNTIFS('AFA Rates'!$A$5:$A$1004,$A59,'AFA Rates'!$B$5:$B$1004,J$23,'AFA Rates'!$O$5:$O$1004,"&lt;&gt;Expired")&gt;0,"✓",IF(COUNTIFS('AFA Rates'!$A$5:$A$1004,$A59,'AFA Rates'!$B$5:$B$1004,J$23)&gt;0,"Exp","")))</f>
        <v/>
      </c>
      <c r="K59" s="79">
        <f>IF(OR($A59="",K$23=""),"",IF(COUNTIFS('AFA Rates'!$A$5:$A$1004,$A59,'AFA Rates'!$B$5:$B$1004,K$23,'AFA Rates'!$O$5:$O$1004,"&lt;&gt;Expired")&gt;0,"✓",IF(COUNTIFS('AFA Rates'!$A$5:$A$1004,$A59,'AFA Rates'!$B$5:$B$1004,K$23)&gt;0,"Exp","")))</f>
        <v/>
      </c>
      <c r="L59" s="79">
        <f>IF(OR($A59="",L$23=""),"",IF(COUNTIFS('AFA Rates'!$A$5:$A$1004,$A59,'AFA Rates'!$B$5:$B$1004,L$23,'AFA Rates'!$O$5:$O$1004,"&lt;&gt;Expired")&gt;0,"✓",IF(COUNTIFS('AFA Rates'!$A$5:$A$1004,$A59,'AFA Rates'!$B$5:$B$1004,L$23)&gt;0,"Exp","")))</f>
        <v/>
      </c>
      <c r="M59" s="79">
        <f>IF(OR($A59="",M$23=""),"",IF(COUNTIFS('AFA Rates'!$A$5:$A$1004,$A59,'AFA Rates'!$B$5:$B$1004,M$23,'AFA Rates'!$O$5:$O$1004,"&lt;&gt;Expired")&gt;0,"✓",IF(COUNTIFS('AFA Rates'!$A$5:$A$1004,$A59,'AFA Rates'!$B$5:$B$1004,M$23)&gt;0,"Exp","")))</f>
        <v/>
      </c>
    </row>
    <row r="60">
      <c r="A60" s="78">
        <f>IFERROR(INDEX(Firms!$A$5:$A$1004,MATCH(37,Firms!$V$5:$V$1004,0)),"")</f>
        <v/>
      </c>
      <c r="B60" s="79">
        <f>IF($A60="","",INDEX(Firms!$B$5:$B$1004,MATCH(37,Firms!$V$5:$V$1004,0)))</f>
        <v/>
      </c>
      <c r="C60" s="79">
        <f>IF($A60="","",COUNTIFS('AFA Rates'!$A$5:$A$1004,$A60,'AFA Rates'!$O$5:$O$1004,"&lt;&gt;Expired"))</f>
        <v/>
      </c>
      <c r="D60" s="79">
        <f>IF(OR($A60="",D$23=""),"",IF(COUNTIFS('AFA Rates'!$A$5:$A$1004,$A60,'AFA Rates'!$B$5:$B$1004,D$23,'AFA Rates'!$O$5:$O$1004,"&lt;&gt;Expired")&gt;0,"✓",IF(COUNTIFS('AFA Rates'!$A$5:$A$1004,$A60,'AFA Rates'!$B$5:$B$1004,D$23)&gt;0,"Exp","")))</f>
        <v/>
      </c>
      <c r="E60" s="79">
        <f>IF(OR($A60="",E$23=""),"",IF(COUNTIFS('AFA Rates'!$A$5:$A$1004,$A60,'AFA Rates'!$B$5:$B$1004,E$23,'AFA Rates'!$O$5:$O$1004,"&lt;&gt;Expired")&gt;0,"✓",IF(COUNTIFS('AFA Rates'!$A$5:$A$1004,$A60,'AFA Rates'!$B$5:$B$1004,E$23)&gt;0,"Exp","")))</f>
        <v/>
      </c>
      <c r="F60" s="79">
        <f>IF(OR($A60="",F$23=""),"",IF(COUNTIFS('AFA Rates'!$A$5:$A$1004,$A60,'AFA Rates'!$B$5:$B$1004,F$23,'AFA Rates'!$O$5:$O$1004,"&lt;&gt;Expired")&gt;0,"✓",IF(COUNTIFS('AFA Rates'!$A$5:$A$1004,$A60,'AFA Rates'!$B$5:$B$1004,F$23)&gt;0,"Exp","")))</f>
        <v/>
      </c>
      <c r="G60" s="79">
        <f>IF(OR($A60="",G$23=""),"",IF(COUNTIFS('AFA Rates'!$A$5:$A$1004,$A60,'AFA Rates'!$B$5:$B$1004,G$23,'AFA Rates'!$O$5:$O$1004,"&lt;&gt;Expired")&gt;0,"✓",IF(COUNTIFS('AFA Rates'!$A$5:$A$1004,$A60,'AFA Rates'!$B$5:$B$1004,G$23)&gt;0,"Exp","")))</f>
        <v/>
      </c>
      <c r="H60" s="79">
        <f>IF(OR($A60="",H$23=""),"",IF(COUNTIFS('AFA Rates'!$A$5:$A$1004,$A60,'AFA Rates'!$B$5:$B$1004,H$23,'AFA Rates'!$O$5:$O$1004,"&lt;&gt;Expired")&gt;0,"✓",IF(COUNTIFS('AFA Rates'!$A$5:$A$1004,$A60,'AFA Rates'!$B$5:$B$1004,H$23)&gt;0,"Exp","")))</f>
        <v/>
      </c>
      <c r="I60" s="79">
        <f>IF(OR($A60="",I$23=""),"",IF(COUNTIFS('AFA Rates'!$A$5:$A$1004,$A60,'AFA Rates'!$B$5:$B$1004,I$23,'AFA Rates'!$O$5:$O$1004,"&lt;&gt;Expired")&gt;0,"✓",IF(COUNTIFS('AFA Rates'!$A$5:$A$1004,$A60,'AFA Rates'!$B$5:$B$1004,I$23)&gt;0,"Exp","")))</f>
        <v/>
      </c>
      <c r="J60" s="79">
        <f>IF(OR($A60="",J$23=""),"",IF(COUNTIFS('AFA Rates'!$A$5:$A$1004,$A60,'AFA Rates'!$B$5:$B$1004,J$23,'AFA Rates'!$O$5:$O$1004,"&lt;&gt;Expired")&gt;0,"✓",IF(COUNTIFS('AFA Rates'!$A$5:$A$1004,$A60,'AFA Rates'!$B$5:$B$1004,J$23)&gt;0,"Exp","")))</f>
        <v/>
      </c>
      <c r="K60" s="79">
        <f>IF(OR($A60="",K$23=""),"",IF(COUNTIFS('AFA Rates'!$A$5:$A$1004,$A60,'AFA Rates'!$B$5:$B$1004,K$23,'AFA Rates'!$O$5:$O$1004,"&lt;&gt;Expired")&gt;0,"✓",IF(COUNTIFS('AFA Rates'!$A$5:$A$1004,$A60,'AFA Rates'!$B$5:$B$1004,K$23)&gt;0,"Exp","")))</f>
        <v/>
      </c>
      <c r="L60" s="79">
        <f>IF(OR($A60="",L$23=""),"",IF(COUNTIFS('AFA Rates'!$A$5:$A$1004,$A60,'AFA Rates'!$B$5:$B$1004,L$23,'AFA Rates'!$O$5:$O$1004,"&lt;&gt;Expired")&gt;0,"✓",IF(COUNTIFS('AFA Rates'!$A$5:$A$1004,$A60,'AFA Rates'!$B$5:$B$1004,L$23)&gt;0,"Exp","")))</f>
        <v/>
      </c>
      <c r="M60" s="79">
        <f>IF(OR($A60="",M$23=""),"",IF(COUNTIFS('AFA Rates'!$A$5:$A$1004,$A60,'AFA Rates'!$B$5:$B$1004,M$23,'AFA Rates'!$O$5:$O$1004,"&lt;&gt;Expired")&gt;0,"✓",IF(COUNTIFS('AFA Rates'!$A$5:$A$1004,$A60,'AFA Rates'!$B$5:$B$1004,M$23)&gt;0,"Exp","")))</f>
        <v/>
      </c>
    </row>
    <row r="61">
      <c r="A61" s="78">
        <f>IFERROR(INDEX(Firms!$A$5:$A$1004,MATCH(38,Firms!$V$5:$V$1004,0)),"")</f>
        <v/>
      </c>
      <c r="B61" s="79">
        <f>IF($A61="","",INDEX(Firms!$B$5:$B$1004,MATCH(38,Firms!$V$5:$V$1004,0)))</f>
        <v/>
      </c>
      <c r="C61" s="79">
        <f>IF($A61="","",COUNTIFS('AFA Rates'!$A$5:$A$1004,$A61,'AFA Rates'!$O$5:$O$1004,"&lt;&gt;Expired"))</f>
        <v/>
      </c>
      <c r="D61" s="79">
        <f>IF(OR($A61="",D$23=""),"",IF(COUNTIFS('AFA Rates'!$A$5:$A$1004,$A61,'AFA Rates'!$B$5:$B$1004,D$23,'AFA Rates'!$O$5:$O$1004,"&lt;&gt;Expired")&gt;0,"✓",IF(COUNTIFS('AFA Rates'!$A$5:$A$1004,$A61,'AFA Rates'!$B$5:$B$1004,D$23)&gt;0,"Exp","")))</f>
        <v/>
      </c>
      <c r="E61" s="79">
        <f>IF(OR($A61="",E$23=""),"",IF(COUNTIFS('AFA Rates'!$A$5:$A$1004,$A61,'AFA Rates'!$B$5:$B$1004,E$23,'AFA Rates'!$O$5:$O$1004,"&lt;&gt;Expired")&gt;0,"✓",IF(COUNTIFS('AFA Rates'!$A$5:$A$1004,$A61,'AFA Rates'!$B$5:$B$1004,E$23)&gt;0,"Exp","")))</f>
        <v/>
      </c>
      <c r="F61" s="79">
        <f>IF(OR($A61="",F$23=""),"",IF(COUNTIFS('AFA Rates'!$A$5:$A$1004,$A61,'AFA Rates'!$B$5:$B$1004,F$23,'AFA Rates'!$O$5:$O$1004,"&lt;&gt;Expired")&gt;0,"✓",IF(COUNTIFS('AFA Rates'!$A$5:$A$1004,$A61,'AFA Rates'!$B$5:$B$1004,F$23)&gt;0,"Exp","")))</f>
        <v/>
      </c>
      <c r="G61" s="79">
        <f>IF(OR($A61="",G$23=""),"",IF(COUNTIFS('AFA Rates'!$A$5:$A$1004,$A61,'AFA Rates'!$B$5:$B$1004,G$23,'AFA Rates'!$O$5:$O$1004,"&lt;&gt;Expired")&gt;0,"✓",IF(COUNTIFS('AFA Rates'!$A$5:$A$1004,$A61,'AFA Rates'!$B$5:$B$1004,G$23)&gt;0,"Exp","")))</f>
        <v/>
      </c>
      <c r="H61" s="79">
        <f>IF(OR($A61="",H$23=""),"",IF(COUNTIFS('AFA Rates'!$A$5:$A$1004,$A61,'AFA Rates'!$B$5:$B$1004,H$23,'AFA Rates'!$O$5:$O$1004,"&lt;&gt;Expired")&gt;0,"✓",IF(COUNTIFS('AFA Rates'!$A$5:$A$1004,$A61,'AFA Rates'!$B$5:$B$1004,H$23)&gt;0,"Exp","")))</f>
        <v/>
      </c>
      <c r="I61" s="79">
        <f>IF(OR($A61="",I$23=""),"",IF(COUNTIFS('AFA Rates'!$A$5:$A$1004,$A61,'AFA Rates'!$B$5:$B$1004,I$23,'AFA Rates'!$O$5:$O$1004,"&lt;&gt;Expired")&gt;0,"✓",IF(COUNTIFS('AFA Rates'!$A$5:$A$1004,$A61,'AFA Rates'!$B$5:$B$1004,I$23)&gt;0,"Exp","")))</f>
        <v/>
      </c>
      <c r="J61" s="79">
        <f>IF(OR($A61="",J$23=""),"",IF(COUNTIFS('AFA Rates'!$A$5:$A$1004,$A61,'AFA Rates'!$B$5:$B$1004,J$23,'AFA Rates'!$O$5:$O$1004,"&lt;&gt;Expired")&gt;0,"✓",IF(COUNTIFS('AFA Rates'!$A$5:$A$1004,$A61,'AFA Rates'!$B$5:$B$1004,J$23)&gt;0,"Exp","")))</f>
        <v/>
      </c>
      <c r="K61" s="79">
        <f>IF(OR($A61="",K$23=""),"",IF(COUNTIFS('AFA Rates'!$A$5:$A$1004,$A61,'AFA Rates'!$B$5:$B$1004,K$23,'AFA Rates'!$O$5:$O$1004,"&lt;&gt;Expired")&gt;0,"✓",IF(COUNTIFS('AFA Rates'!$A$5:$A$1004,$A61,'AFA Rates'!$B$5:$B$1004,K$23)&gt;0,"Exp","")))</f>
        <v/>
      </c>
      <c r="L61" s="79">
        <f>IF(OR($A61="",L$23=""),"",IF(COUNTIFS('AFA Rates'!$A$5:$A$1004,$A61,'AFA Rates'!$B$5:$B$1004,L$23,'AFA Rates'!$O$5:$O$1004,"&lt;&gt;Expired")&gt;0,"✓",IF(COUNTIFS('AFA Rates'!$A$5:$A$1004,$A61,'AFA Rates'!$B$5:$B$1004,L$23)&gt;0,"Exp","")))</f>
        <v/>
      </c>
      <c r="M61" s="79">
        <f>IF(OR($A61="",M$23=""),"",IF(COUNTIFS('AFA Rates'!$A$5:$A$1004,$A61,'AFA Rates'!$B$5:$B$1004,M$23,'AFA Rates'!$O$5:$O$1004,"&lt;&gt;Expired")&gt;0,"✓",IF(COUNTIFS('AFA Rates'!$A$5:$A$1004,$A61,'AFA Rates'!$B$5:$B$1004,M$23)&gt;0,"Exp","")))</f>
        <v/>
      </c>
    </row>
    <row r="62">
      <c r="A62" s="78">
        <f>IFERROR(INDEX(Firms!$A$5:$A$1004,MATCH(39,Firms!$V$5:$V$1004,0)),"")</f>
        <v/>
      </c>
      <c r="B62" s="79">
        <f>IF($A62="","",INDEX(Firms!$B$5:$B$1004,MATCH(39,Firms!$V$5:$V$1004,0)))</f>
        <v/>
      </c>
      <c r="C62" s="79">
        <f>IF($A62="","",COUNTIFS('AFA Rates'!$A$5:$A$1004,$A62,'AFA Rates'!$O$5:$O$1004,"&lt;&gt;Expired"))</f>
        <v/>
      </c>
      <c r="D62" s="79">
        <f>IF(OR($A62="",D$23=""),"",IF(COUNTIFS('AFA Rates'!$A$5:$A$1004,$A62,'AFA Rates'!$B$5:$B$1004,D$23,'AFA Rates'!$O$5:$O$1004,"&lt;&gt;Expired")&gt;0,"✓",IF(COUNTIFS('AFA Rates'!$A$5:$A$1004,$A62,'AFA Rates'!$B$5:$B$1004,D$23)&gt;0,"Exp","")))</f>
        <v/>
      </c>
      <c r="E62" s="79">
        <f>IF(OR($A62="",E$23=""),"",IF(COUNTIFS('AFA Rates'!$A$5:$A$1004,$A62,'AFA Rates'!$B$5:$B$1004,E$23,'AFA Rates'!$O$5:$O$1004,"&lt;&gt;Expired")&gt;0,"✓",IF(COUNTIFS('AFA Rates'!$A$5:$A$1004,$A62,'AFA Rates'!$B$5:$B$1004,E$23)&gt;0,"Exp","")))</f>
        <v/>
      </c>
      <c r="F62" s="79">
        <f>IF(OR($A62="",F$23=""),"",IF(COUNTIFS('AFA Rates'!$A$5:$A$1004,$A62,'AFA Rates'!$B$5:$B$1004,F$23,'AFA Rates'!$O$5:$O$1004,"&lt;&gt;Expired")&gt;0,"✓",IF(COUNTIFS('AFA Rates'!$A$5:$A$1004,$A62,'AFA Rates'!$B$5:$B$1004,F$23)&gt;0,"Exp","")))</f>
        <v/>
      </c>
      <c r="G62" s="79">
        <f>IF(OR($A62="",G$23=""),"",IF(COUNTIFS('AFA Rates'!$A$5:$A$1004,$A62,'AFA Rates'!$B$5:$B$1004,G$23,'AFA Rates'!$O$5:$O$1004,"&lt;&gt;Expired")&gt;0,"✓",IF(COUNTIFS('AFA Rates'!$A$5:$A$1004,$A62,'AFA Rates'!$B$5:$B$1004,G$23)&gt;0,"Exp","")))</f>
        <v/>
      </c>
      <c r="H62" s="79">
        <f>IF(OR($A62="",H$23=""),"",IF(COUNTIFS('AFA Rates'!$A$5:$A$1004,$A62,'AFA Rates'!$B$5:$B$1004,H$23,'AFA Rates'!$O$5:$O$1004,"&lt;&gt;Expired")&gt;0,"✓",IF(COUNTIFS('AFA Rates'!$A$5:$A$1004,$A62,'AFA Rates'!$B$5:$B$1004,H$23)&gt;0,"Exp","")))</f>
        <v/>
      </c>
      <c r="I62" s="79">
        <f>IF(OR($A62="",I$23=""),"",IF(COUNTIFS('AFA Rates'!$A$5:$A$1004,$A62,'AFA Rates'!$B$5:$B$1004,I$23,'AFA Rates'!$O$5:$O$1004,"&lt;&gt;Expired")&gt;0,"✓",IF(COUNTIFS('AFA Rates'!$A$5:$A$1004,$A62,'AFA Rates'!$B$5:$B$1004,I$23)&gt;0,"Exp","")))</f>
        <v/>
      </c>
      <c r="J62" s="79">
        <f>IF(OR($A62="",J$23=""),"",IF(COUNTIFS('AFA Rates'!$A$5:$A$1004,$A62,'AFA Rates'!$B$5:$B$1004,J$23,'AFA Rates'!$O$5:$O$1004,"&lt;&gt;Expired")&gt;0,"✓",IF(COUNTIFS('AFA Rates'!$A$5:$A$1004,$A62,'AFA Rates'!$B$5:$B$1004,J$23)&gt;0,"Exp","")))</f>
        <v/>
      </c>
      <c r="K62" s="79">
        <f>IF(OR($A62="",K$23=""),"",IF(COUNTIFS('AFA Rates'!$A$5:$A$1004,$A62,'AFA Rates'!$B$5:$B$1004,K$23,'AFA Rates'!$O$5:$O$1004,"&lt;&gt;Expired")&gt;0,"✓",IF(COUNTIFS('AFA Rates'!$A$5:$A$1004,$A62,'AFA Rates'!$B$5:$B$1004,K$23)&gt;0,"Exp","")))</f>
        <v/>
      </c>
      <c r="L62" s="79">
        <f>IF(OR($A62="",L$23=""),"",IF(COUNTIFS('AFA Rates'!$A$5:$A$1004,$A62,'AFA Rates'!$B$5:$B$1004,L$23,'AFA Rates'!$O$5:$O$1004,"&lt;&gt;Expired")&gt;0,"✓",IF(COUNTIFS('AFA Rates'!$A$5:$A$1004,$A62,'AFA Rates'!$B$5:$B$1004,L$23)&gt;0,"Exp","")))</f>
        <v/>
      </c>
      <c r="M62" s="79">
        <f>IF(OR($A62="",M$23=""),"",IF(COUNTIFS('AFA Rates'!$A$5:$A$1004,$A62,'AFA Rates'!$B$5:$B$1004,M$23,'AFA Rates'!$O$5:$O$1004,"&lt;&gt;Expired")&gt;0,"✓",IF(COUNTIFS('AFA Rates'!$A$5:$A$1004,$A62,'AFA Rates'!$B$5:$B$1004,M$23)&gt;0,"Exp","")))</f>
        <v/>
      </c>
    </row>
    <row r="63">
      <c r="A63" s="78">
        <f>IFERROR(INDEX(Firms!$A$5:$A$1004,MATCH(40,Firms!$V$5:$V$1004,0)),"")</f>
        <v/>
      </c>
      <c r="B63" s="79">
        <f>IF($A63="","",INDEX(Firms!$B$5:$B$1004,MATCH(40,Firms!$V$5:$V$1004,0)))</f>
        <v/>
      </c>
      <c r="C63" s="79">
        <f>IF($A63="","",COUNTIFS('AFA Rates'!$A$5:$A$1004,$A63,'AFA Rates'!$O$5:$O$1004,"&lt;&gt;Expired"))</f>
        <v/>
      </c>
      <c r="D63" s="79">
        <f>IF(OR($A63="",D$23=""),"",IF(COUNTIFS('AFA Rates'!$A$5:$A$1004,$A63,'AFA Rates'!$B$5:$B$1004,D$23,'AFA Rates'!$O$5:$O$1004,"&lt;&gt;Expired")&gt;0,"✓",IF(COUNTIFS('AFA Rates'!$A$5:$A$1004,$A63,'AFA Rates'!$B$5:$B$1004,D$23)&gt;0,"Exp","")))</f>
        <v/>
      </c>
      <c r="E63" s="79">
        <f>IF(OR($A63="",E$23=""),"",IF(COUNTIFS('AFA Rates'!$A$5:$A$1004,$A63,'AFA Rates'!$B$5:$B$1004,E$23,'AFA Rates'!$O$5:$O$1004,"&lt;&gt;Expired")&gt;0,"✓",IF(COUNTIFS('AFA Rates'!$A$5:$A$1004,$A63,'AFA Rates'!$B$5:$B$1004,E$23)&gt;0,"Exp","")))</f>
        <v/>
      </c>
      <c r="F63" s="79">
        <f>IF(OR($A63="",F$23=""),"",IF(COUNTIFS('AFA Rates'!$A$5:$A$1004,$A63,'AFA Rates'!$B$5:$B$1004,F$23,'AFA Rates'!$O$5:$O$1004,"&lt;&gt;Expired")&gt;0,"✓",IF(COUNTIFS('AFA Rates'!$A$5:$A$1004,$A63,'AFA Rates'!$B$5:$B$1004,F$23)&gt;0,"Exp","")))</f>
        <v/>
      </c>
      <c r="G63" s="79">
        <f>IF(OR($A63="",G$23=""),"",IF(COUNTIFS('AFA Rates'!$A$5:$A$1004,$A63,'AFA Rates'!$B$5:$B$1004,G$23,'AFA Rates'!$O$5:$O$1004,"&lt;&gt;Expired")&gt;0,"✓",IF(COUNTIFS('AFA Rates'!$A$5:$A$1004,$A63,'AFA Rates'!$B$5:$B$1004,G$23)&gt;0,"Exp","")))</f>
        <v/>
      </c>
      <c r="H63" s="79">
        <f>IF(OR($A63="",H$23=""),"",IF(COUNTIFS('AFA Rates'!$A$5:$A$1004,$A63,'AFA Rates'!$B$5:$B$1004,H$23,'AFA Rates'!$O$5:$O$1004,"&lt;&gt;Expired")&gt;0,"✓",IF(COUNTIFS('AFA Rates'!$A$5:$A$1004,$A63,'AFA Rates'!$B$5:$B$1004,H$23)&gt;0,"Exp","")))</f>
        <v/>
      </c>
      <c r="I63" s="79">
        <f>IF(OR($A63="",I$23=""),"",IF(COUNTIFS('AFA Rates'!$A$5:$A$1004,$A63,'AFA Rates'!$B$5:$B$1004,I$23,'AFA Rates'!$O$5:$O$1004,"&lt;&gt;Expired")&gt;0,"✓",IF(COUNTIFS('AFA Rates'!$A$5:$A$1004,$A63,'AFA Rates'!$B$5:$B$1004,I$23)&gt;0,"Exp","")))</f>
        <v/>
      </c>
      <c r="J63" s="79">
        <f>IF(OR($A63="",J$23=""),"",IF(COUNTIFS('AFA Rates'!$A$5:$A$1004,$A63,'AFA Rates'!$B$5:$B$1004,J$23,'AFA Rates'!$O$5:$O$1004,"&lt;&gt;Expired")&gt;0,"✓",IF(COUNTIFS('AFA Rates'!$A$5:$A$1004,$A63,'AFA Rates'!$B$5:$B$1004,J$23)&gt;0,"Exp","")))</f>
        <v/>
      </c>
      <c r="K63" s="79">
        <f>IF(OR($A63="",K$23=""),"",IF(COUNTIFS('AFA Rates'!$A$5:$A$1004,$A63,'AFA Rates'!$B$5:$B$1004,K$23,'AFA Rates'!$O$5:$O$1004,"&lt;&gt;Expired")&gt;0,"✓",IF(COUNTIFS('AFA Rates'!$A$5:$A$1004,$A63,'AFA Rates'!$B$5:$B$1004,K$23)&gt;0,"Exp","")))</f>
        <v/>
      </c>
      <c r="L63" s="79">
        <f>IF(OR($A63="",L$23=""),"",IF(COUNTIFS('AFA Rates'!$A$5:$A$1004,$A63,'AFA Rates'!$B$5:$B$1004,L$23,'AFA Rates'!$O$5:$O$1004,"&lt;&gt;Expired")&gt;0,"✓",IF(COUNTIFS('AFA Rates'!$A$5:$A$1004,$A63,'AFA Rates'!$B$5:$B$1004,L$23)&gt;0,"Exp","")))</f>
        <v/>
      </c>
      <c r="M63" s="79">
        <f>IF(OR($A63="",M$23=""),"",IF(COUNTIFS('AFA Rates'!$A$5:$A$1004,$A63,'AFA Rates'!$B$5:$B$1004,M$23,'AFA Rates'!$O$5:$O$1004,"&lt;&gt;Expired")&gt;0,"✓",IF(COUNTIFS('AFA Rates'!$A$5:$A$1004,$A63,'AFA Rates'!$B$5:$B$1004,M$23)&gt;0,"Exp","")))</f>
        <v/>
      </c>
    </row>
    <row r="64">
      <c r="A64" s="78">
        <f>IFERROR(INDEX(Firms!$A$5:$A$1004,MATCH(41,Firms!$V$5:$V$1004,0)),"")</f>
        <v/>
      </c>
      <c r="B64" s="79">
        <f>IF($A64="","",INDEX(Firms!$B$5:$B$1004,MATCH(41,Firms!$V$5:$V$1004,0)))</f>
        <v/>
      </c>
      <c r="C64" s="79">
        <f>IF($A64="","",COUNTIFS('AFA Rates'!$A$5:$A$1004,$A64,'AFA Rates'!$O$5:$O$1004,"&lt;&gt;Expired"))</f>
        <v/>
      </c>
      <c r="D64" s="79">
        <f>IF(OR($A64="",D$23=""),"",IF(COUNTIFS('AFA Rates'!$A$5:$A$1004,$A64,'AFA Rates'!$B$5:$B$1004,D$23,'AFA Rates'!$O$5:$O$1004,"&lt;&gt;Expired")&gt;0,"✓",IF(COUNTIFS('AFA Rates'!$A$5:$A$1004,$A64,'AFA Rates'!$B$5:$B$1004,D$23)&gt;0,"Exp","")))</f>
        <v/>
      </c>
      <c r="E64" s="79">
        <f>IF(OR($A64="",E$23=""),"",IF(COUNTIFS('AFA Rates'!$A$5:$A$1004,$A64,'AFA Rates'!$B$5:$B$1004,E$23,'AFA Rates'!$O$5:$O$1004,"&lt;&gt;Expired")&gt;0,"✓",IF(COUNTIFS('AFA Rates'!$A$5:$A$1004,$A64,'AFA Rates'!$B$5:$B$1004,E$23)&gt;0,"Exp","")))</f>
        <v/>
      </c>
      <c r="F64" s="79">
        <f>IF(OR($A64="",F$23=""),"",IF(COUNTIFS('AFA Rates'!$A$5:$A$1004,$A64,'AFA Rates'!$B$5:$B$1004,F$23,'AFA Rates'!$O$5:$O$1004,"&lt;&gt;Expired")&gt;0,"✓",IF(COUNTIFS('AFA Rates'!$A$5:$A$1004,$A64,'AFA Rates'!$B$5:$B$1004,F$23)&gt;0,"Exp","")))</f>
        <v/>
      </c>
      <c r="G64" s="79">
        <f>IF(OR($A64="",G$23=""),"",IF(COUNTIFS('AFA Rates'!$A$5:$A$1004,$A64,'AFA Rates'!$B$5:$B$1004,G$23,'AFA Rates'!$O$5:$O$1004,"&lt;&gt;Expired")&gt;0,"✓",IF(COUNTIFS('AFA Rates'!$A$5:$A$1004,$A64,'AFA Rates'!$B$5:$B$1004,G$23)&gt;0,"Exp","")))</f>
        <v/>
      </c>
      <c r="H64" s="79">
        <f>IF(OR($A64="",H$23=""),"",IF(COUNTIFS('AFA Rates'!$A$5:$A$1004,$A64,'AFA Rates'!$B$5:$B$1004,H$23,'AFA Rates'!$O$5:$O$1004,"&lt;&gt;Expired")&gt;0,"✓",IF(COUNTIFS('AFA Rates'!$A$5:$A$1004,$A64,'AFA Rates'!$B$5:$B$1004,H$23)&gt;0,"Exp","")))</f>
        <v/>
      </c>
      <c r="I64" s="79">
        <f>IF(OR($A64="",I$23=""),"",IF(COUNTIFS('AFA Rates'!$A$5:$A$1004,$A64,'AFA Rates'!$B$5:$B$1004,I$23,'AFA Rates'!$O$5:$O$1004,"&lt;&gt;Expired")&gt;0,"✓",IF(COUNTIFS('AFA Rates'!$A$5:$A$1004,$A64,'AFA Rates'!$B$5:$B$1004,I$23)&gt;0,"Exp","")))</f>
        <v/>
      </c>
      <c r="J64" s="79">
        <f>IF(OR($A64="",J$23=""),"",IF(COUNTIFS('AFA Rates'!$A$5:$A$1004,$A64,'AFA Rates'!$B$5:$B$1004,J$23,'AFA Rates'!$O$5:$O$1004,"&lt;&gt;Expired")&gt;0,"✓",IF(COUNTIFS('AFA Rates'!$A$5:$A$1004,$A64,'AFA Rates'!$B$5:$B$1004,J$23)&gt;0,"Exp","")))</f>
        <v/>
      </c>
      <c r="K64" s="79">
        <f>IF(OR($A64="",K$23=""),"",IF(COUNTIFS('AFA Rates'!$A$5:$A$1004,$A64,'AFA Rates'!$B$5:$B$1004,K$23,'AFA Rates'!$O$5:$O$1004,"&lt;&gt;Expired")&gt;0,"✓",IF(COUNTIFS('AFA Rates'!$A$5:$A$1004,$A64,'AFA Rates'!$B$5:$B$1004,K$23)&gt;0,"Exp","")))</f>
        <v/>
      </c>
      <c r="L64" s="79">
        <f>IF(OR($A64="",L$23=""),"",IF(COUNTIFS('AFA Rates'!$A$5:$A$1004,$A64,'AFA Rates'!$B$5:$B$1004,L$23,'AFA Rates'!$O$5:$O$1004,"&lt;&gt;Expired")&gt;0,"✓",IF(COUNTIFS('AFA Rates'!$A$5:$A$1004,$A64,'AFA Rates'!$B$5:$B$1004,L$23)&gt;0,"Exp","")))</f>
        <v/>
      </c>
      <c r="M64" s="79">
        <f>IF(OR($A64="",M$23=""),"",IF(COUNTIFS('AFA Rates'!$A$5:$A$1004,$A64,'AFA Rates'!$B$5:$B$1004,M$23,'AFA Rates'!$O$5:$O$1004,"&lt;&gt;Expired")&gt;0,"✓",IF(COUNTIFS('AFA Rates'!$A$5:$A$1004,$A64,'AFA Rates'!$B$5:$B$1004,M$23)&gt;0,"Exp","")))</f>
        <v/>
      </c>
    </row>
    <row r="65">
      <c r="A65" s="78">
        <f>IFERROR(INDEX(Firms!$A$5:$A$1004,MATCH(42,Firms!$V$5:$V$1004,0)),"")</f>
        <v/>
      </c>
      <c r="B65" s="79">
        <f>IF($A65="","",INDEX(Firms!$B$5:$B$1004,MATCH(42,Firms!$V$5:$V$1004,0)))</f>
        <v/>
      </c>
      <c r="C65" s="79">
        <f>IF($A65="","",COUNTIFS('AFA Rates'!$A$5:$A$1004,$A65,'AFA Rates'!$O$5:$O$1004,"&lt;&gt;Expired"))</f>
        <v/>
      </c>
      <c r="D65" s="79">
        <f>IF(OR($A65="",D$23=""),"",IF(COUNTIFS('AFA Rates'!$A$5:$A$1004,$A65,'AFA Rates'!$B$5:$B$1004,D$23,'AFA Rates'!$O$5:$O$1004,"&lt;&gt;Expired")&gt;0,"✓",IF(COUNTIFS('AFA Rates'!$A$5:$A$1004,$A65,'AFA Rates'!$B$5:$B$1004,D$23)&gt;0,"Exp","")))</f>
        <v/>
      </c>
      <c r="E65" s="79">
        <f>IF(OR($A65="",E$23=""),"",IF(COUNTIFS('AFA Rates'!$A$5:$A$1004,$A65,'AFA Rates'!$B$5:$B$1004,E$23,'AFA Rates'!$O$5:$O$1004,"&lt;&gt;Expired")&gt;0,"✓",IF(COUNTIFS('AFA Rates'!$A$5:$A$1004,$A65,'AFA Rates'!$B$5:$B$1004,E$23)&gt;0,"Exp","")))</f>
        <v/>
      </c>
      <c r="F65" s="79">
        <f>IF(OR($A65="",F$23=""),"",IF(COUNTIFS('AFA Rates'!$A$5:$A$1004,$A65,'AFA Rates'!$B$5:$B$1004,F$23,'AFA Rates'!$O$5:$O$1004,"&lt;&gt;Expired")&gt;0,"✓",IF(COUNTIFS('AFA Rates'!$A$5:$A$1004,$A65,'AFA Rates'!$B$5:$B$1004,F$23)&gt;0,"Exp","")))</f>
        <v/>
      </c>
      <c r="G65" s="79">
        <f>IF(OR($A65="",G$23=""),"",IF(COUNTIFS('AFA Rates'!$A$5:$A$1004,$A65,'AFA Rates'!$B$5:$B$1004,G$23,'AFA Rates'!$O$5:$O$1004,"&lt;&gt;Expired")&gt;0,"✓",IF(COUNTIFS('AFA Rates'!$A$5:$A$1004,$A65,'AFA Rates'!$B$5:$B$1004,G$23)&gt;0,"Exp","")))</f>
        <v/>
      </c>
      <c r="H65" s="79">
        <f>IF(OR($A65="",H$23=""),"",IF(COUNTIFS('AFA Rates'!$A$5:$A$1004,$A65,'AFA Rates'!$B$5:$B$1004,H$23,'AFA Rates'!$O$5:$O$1004,"&lt;&gt;Expired")&gt;0,"✓",IF(COUNTIFS('AFA Rates'!$A$5:$A$1004,$A65,'AFA Rates'!$B$5:$B$1004,H$23)&gt;0,"Exp","")))</f>
        <v/>
      </c>
      <c r="I65" s="79">
        <f>IF(OR($A65="",I$23=""),"",IF(COUNTIFS('AFA Rates'!$A$5:$A$1004,$A65,'AFA Rates'!$B$5:$B$1004,I$23,'AFA Rates'!$O$5:$O$1004,"&lt;&gt;Expired")&gt;0,"✓",IF(COUNTIFS('AFA Rates'!$A$5:$A$1004,$A65,'AFA Rates'!$B$5:$B$1004,I$23)&gt;0,"Exp","")))</f>
        <v/>
      </c>
      <c r="J65" s="79">
        <f>IF(OR($A65="",J$23=""),"",IF(COUNTIFS('AFA Rates'!$A$5:$A$1004,$A65,'AFA Rates'!$B$5:$B$1004,J$23,'AFA Rates'!$O$5:$O$1004,"&lt;&gt;Expired")&gt;0,"✓",IF(COUNTIFS('AFA Rates'!$A$5:$A$1004,$A65,'AFA Rates'!$B$5:$B$1004,J$23)&gt;0,"Exp","")))</f>
        <v/>
      </c>
      <c r="K65" s="79">
        <f>IF(OR($A65="",K$23=""),"",IF(COUNTIFS('AFA Rates'!$A$5:$A$1004,$A65,'AFA Rates'!$B$5:$B$1004,K$23,'AFA Rates'!$O$5:$O$1004,"&lt;&gt;Expired")&gt;0,"✓",IF(COUNTIFS('AFA Rates'!$A$5:$A$1004,$A65,'AFA Rates'!$B$5:$B$1004,K$23)&gt;0,"Exp","")))</f>
        <v/>
      </c>
      <c r="L65" s="79">
        <f>IF(OR($A65="",L$23=""),"",IF(COUNTIFS('AFA Rates'!$A$5:$A$1004,$A65,'AFA Rates'!$B$5:$B$1004,L$23,'AFA Rates'!$O$5:$O$1004,"&lt;&gt;Expired")&gt;0,"✓",IF(COUNTIFS('AFA Rates'!$A$5:$A$1004,$A65,'AFA Rates'!$B$5:$B$1004,L$23)&gt;0,"Exp","")))</f>
        <v/>
      </c>
      <c r="M65" s="79">
        <f>IF(OR($A65="",M$23=""),"",IF(COUNTIFS('AFA Rates'!$A$5:$A$1004,$A65,'AFA Rates'!$B$5:$B$1004,M$23,'AFA Rates'!$O$5:$O$1004,"&lt;&gt;Expired")&gt;0,"✓",IF(COUNTIFS('AFA Rates'!$A$5:$A$1004,$A65,'AFA Rates'!$B$5:$B$1004,M$23)&gt;0,"Exp","")))</f>
        <v/>
      </c>
    </row>
    <row r="66">
      <c r="A66" s="78">
        <f>IFERROR(INDEX(Firms!$A$5:$A$1004,MATCH(43,Firms!$V$5:$V$1004,0)),"")</f>
        <v/>
      </c>
      <c r="B66" s="79">
        <f>IF($A66="","",INDEX(Firms!$B$5:$B$1004,MATCH(43,Firms!$V$5:$V$1004,0)))</f>
        <v/>
      </c>
      <c r="C66" s="79">
        <f>IF($A66="","",COUNTIFS('AFA Rates'!$A$5:$A$1004,$A66,'AFA Rates'!$O$5:$O$1004,"&lt;&gt;Expired"))</f>
        <v/>
      </c>
      <c r="D66" s="79">
        <f>IF(OR($A66="",D$23=""),"",IF(COUNTIFS('AFA Rates'!$A$5:$A$1004,$A66,'AFA Rates'!$B$5:$B$1004,D$23,'AFA Rates'!$O$5:$O$1004,"&lt;&gt;Expired")&gt;0,"✓",IF(COUNTIFS('AFA Rates'!$A$5:$A$1004,$A66,'AFA Rates'!$B$5:$B$1004,D$23)&gt;0,"Exp","")))</f>
        <v/>
      </c>
      <c r="E66" s="79">
        <f>IF(OR($A66="",E$23=""),"",IF(COUNTIFS('AFA Rates'!$A$5:$A$1004,$A66,'AFA Rates'!$B$5:$B$1004,E$23,'AFA Rates'!$O$5:$O$1004,"&lt;&gt;Expired")&gt;0,"✓",IF(COUNTIFS('AFA Rates'!$A$5:$A$1004,$A66,'AFA Rates'!$B$5:$B$1004,E$23)&gt;0,"Exp","")))</f>
        <v/>
      </c>
      <c r="F66" s="79">
        <f>IF(OR($A66="",F$23=""),"",IF(COUNTIFS('AFA Rates'!$A$5:$A$1004,$A66,'AFA Rates'!$B$5:$B$1004,F$23,'AFA Rates'!$O$5:$O$1004,"&lt;&gt;Expired")&gt;0,"✓",IF(COUNTIFS('AFA Rates'!$A$5:$A$1004,$A66,'AFA Rates'!$B$5:$B$1004,F$23)&gt;0,"Exp","")))</f>
        <v/>
      </c>
      <c r="G66" s="79">
        <f>IF(OR($A66="",G$23=""),"",IF(COUNTIFS('AFA Rates'!$A$5:$A$1004,$A66,'AFA Rates'!$B$5:$B$1004,G$23,'AFA Rates'!$O$5:$O$1004,"&lt;&gt;Expired")&gt;0,"✓",IF(COUNTIFS('AFA Rates'!$A$5:$A$1004,$A66,'AFA Rates'!$B$5:$B$1004,G$23)&gt;0,"Exp","")))</f>
        <v/>
      </c>
      <c r="H66" s="79">
        <f>IF(OR($A66="",H$23=""),"",IF(COUNTIFS('AFA Rates'!$A$5:$A$1004,$A66,'AFA Rates'!$B$5:$B$1004,H$23,'AFA Rates'!$O$5:$O$1004,"&lt;&gt;Expired")&gt;0,"✓",IF(COUNTIFS('AFA Rates'!$A$5:$A$1004,$A66,'AFA Rates'!$B$5:$B$1004,H$23)&gt;0,"Exp","")))</f>
        <v/>
      </c>
      <c r="I66" s="79">
        <f>IF(OR($A66="",I$23=""),"",IF(COUNTIFS('AFA Rates'!$A$5:$A$1004,$A66,'AFA Rates'!$B$5:$B$1004,I$23,'AFA Rates'!$O$5:$O$1004,"&lt;&gt;Expired")&gt;0,"✓",IF(COUNTIFS('AFA Rates'!$A$5:$A$1004,$A66,'AFA Rates'!$B$5:$B$1004,I$23)&gt;0,"Exp","")))</f>
        <v/>
      </c>
      <c r="J66" s="79">
        <f>IF(OR($A66="",J$23=""),"",IF(COUNTIFS('AFA Rates'!$A$5:$A$1004,$A66,'AFA Rates'!$B$5:$B$1004,J$23,'AFA Rates'!$O$5:$O$1004,"&lt;&gt;Expired")&gt;0,"✓",IF(COUNTIFS('AFA Rates'!$A$5:$A$1004,$A66,'AFA Rates'!$B$5:$B$1004,J$23)&gt;0,"Exp","")))</f>
        <v/>
      </c>
      <c r="K66" s="79">
        <f>IF(OR($A66="",K$23=""),"",IF(COUNTIFS('AFA Rates'!$A$5:$A$1004,$A66,'AFA Rates'!$B$5:$B$1004,K$23,'AFA Rates'!$O$5:$O$1004,"&lt;&gt;Expired")&gt;0,"✓",IF(COUNTIFS('AFA Rates'!$A$5:$A$1004,$A66,'AFA Rates'!$B$5:$B$1004,K$23)&gt;0,"Exp","")))</f>
        <v/>
      </c>
      <c r="L66" s="79">
        <f>IF(OR($A66="",L$23=""),"",IF(COUNTIFS('AFA Rates'!$A$5:$A$1004,$A66,'AFA Rates'!$B$5:$B$1004,L$23,'AFA Rates'!$O$5:$O$1004,"&lt;&gt;Expired")&gt;0,"✓",IF(COUNTIFS('AFA Rates'!$A$5:$A$1004,$A66,'AFA Rates'!$B$5:$B$1004,L$23)&gt;0,"Exp","")))</f>
        <v/>
      </c>
      <c r="M66" s="79">
        <f>IF(OR($A66="",M$23=""),"",IF(COUNTIFS('AFA Rates'!$A$5:$A$1004,$A66,'AFA Rates'!$B$5:$B$1004,M$23,'AFA Rates'!$O$5:$O$1004,"&lt;&gt;Expired")&gt;0,"✓",IF(COUNTIFS('AFA Rates'!$A$5:$A$1004,$A66,'AFA Rates'!$B$5:$B$1004,M$23)&gt;0,"Exp","")))</f>
        <v/>
      </c>
    </row>
    <row r="67">
      <c r="A67" s="78">
        <f>IFERROR(INDEX(Firms!$A$5:$A$1004,MATCH(44,Firms!$V$5:$V$1004,0)),"")</f>
        <v/>
      </c>
      <c r="B67" s="79">
        <f>IF($A67="","",INDEX(Firms!$B$5:$B$1004,MATCH(44,Firms!$V$5:$V$1004,0)))</f>
        <v/>
      </c>
      <c r="C67" s="79">
        <f>IF($A67="","",COUNTIFS('AFA Rates'!$A$5:$A$1004,$A67,'AFA Rates'!$O$5:$O$1004,"&lt;&gt;Expired"))</f>
        <v/>
      </c>
      <c r="D67" s="79">
        <f>IF(OR($A67="",D$23=""),"",IF(COUNTIFS('AFA Rates'!$A$5:$A$1004,$A67,'AFA Rates'!$B$5:$B$1004,D$23,'AFA Rates'!$O$5:$O$1004,"&lt;&gt;Expired")&gt;0,"✓",IF(COUNTIFS('AFA Rates'!$A$5:$A$1004,$A67,'AFA Rates'!$B$5:$B$1004,D$23)&gt;0,"Exp","")))</f>
        <v/>
      </c>
      <c r="E67" s="79">
        <f>IF(OR($A67="",E$23=""),"",IF(COUNTIFS('AFA Rates'!$A$5:$A$1004,$A67,'AFA Rates'!$B$5:$B$1004,E$23,'AFA Rates'!$O$5:$O$1004,"&lt;&gt;Expired")&gt;0,"✓",IF(COUNTIFS('AFA Rates'!$A$5:$A$1004,$A67,'AFA Rates'!$B$5:$B$1004,E$23)&gt;0,"Exp","")))</f>
        <v/>
      </c>
      <c r="F67" s="79">
        <f>IF(OR($A67="",F$23=""),"",IF(COUNTIFS('AFA Rates'!$A$5:$A$1004,$A67,'AFA Rates'!$B$5:$B$1004,F$23,'AFA Rates'!$O$5:$O$1004,"&lt;&gt;Expired")&gt;0,"✓",IF(COUNTIFS('AFA Rates'!$A$5:$A$1004,$A67,'AFA Rates'!$B$5:$B$1004,F$23)&gt;0,"Exp","")))</f>
        <v/>
      </c>
      <c r="G67" s="79">
        <f>IF(OR($A67="",G$23=""),"",IF(COUNTIFS('AFA Rates'!$A$5:$A$1004,$A67,'AFA Rates'!$B$5:$B$1004,G$23,'AFA Rates'!$O$5:$O$1004,"&lt;&gt;Expired")&gt;0,"✓",IF(COUNTIFS('AFA Rates'!$A$5:$A$1004,$A67,'AFA Rates'!$B$5:$B$1004,G$23)&gt;0,"Exp","")))</f>
        <v/>
      </c>
      <c r="H67" s="79">
        <f>IF(OR($A67="",H$23=""),"",IF(COUNTIFS('AFA Rates'!$A$5:$A$1004,$A67,'AFA Rates'!$B$5:$B$1004,H$23,'AFA Rates'!$O$5:$O$1004,"&lt;&gt;Expired")&gt;0,"✓",IF(COUNTIFS('AFA Rates'!$A$5:$A$1004,$A67,'AFA Rates'!$B$5:$B$1004,H$23)&gt;0,"Exp","")))</f>
        <v/>
      </c>
      <c r="I67" s="79">
        <f>IF(OR($A67="",I$23=""),"",IF(COUNTIFS('AFA Rates'!$A$5:$A$1004,$A67,'AFA Rates'!$B$5:$B$1004,I$23,'AFA Rates'!$O$5:$O$1004,"&lt;&gt;Expired")&gt;0,"✓",IF(COUNTIFS('AFA Rates'!$A$5:$A$1004,$A67,'AFA Rates'!$B$5:$B$1004,I$23)&gt;0,"Exp","")))</f>
        <v/>
      </c>
      <c r="J67" s="79">
        <f>IF(OR($A67="",J$23=""),"",IF(COUNTIFS('AFA Rates'!$A$5:$A$1004,$A67,'AFA Rates'!$B$5:$B$1004,J$23,'AFA Rates'!$O$5:$O$1004,"&lt;&gt;Expired")&gt;0,"✓",IF(COUNTIFS('AFA Rates'!$A$5:$A$1004,$A67,'AFA Rates'!$B$5:$B$1004,J$23)&gt;0,"Exp","")))</f>
        <v/>
      </c>
      <c r="K67" s="79">
        <f>IF(OR($A67="",K$23=""),"",IF(COUNTIFS('AFA Rates'!$A$5:$A$1004,$A67,'AFA Rates'!$B$5:$B$1004,K$23,'AFA Rates'!$O$5:$O$1004,"&lt;&gt;Expired")&gt;0,"✓",IF(COUNTIFS('AFA Rates'!$A$5:$A$1004,$A67,'AFA Rates'!$B$5:$B$1004,K$23)&gt;0,"Exp","")))</f>
        <v/>
      </c>
      <c r="L67" s="79">
        <f>IF(OR($A67="",L$23=""),"",IF(COUNTIFS('AFA Rates'!$A$5:$A$1004,$A67,'AFA Rates'!$B$5:$B$1004,L$23,'AFA Rates'!$O$5:$O$1004,"&lt;&gt;Expired")&gt;0,"✓",IF(COUNTIFS('AFA Rates'!$A$5:$A$1004,$A67,'AFA Rates'!$B$5:$B$1004,L$23)&gt;0,"Exp","")))</f>
        <v/>
      </c>
      <c r="M67" s="79">
        <f>IF(OR($A67="",M$23=""),"",IF(COUNTIFS('AFA Rates'!$A$5:$A$1004,$A67,'AFA Rates'!$B$5:$B$1004,M$23,'AFA Rates'!$O$5:$O$1004,"&lt;&gt;Expired")&gt;0,"✓",IF(COUNTIFS('AFA Rates'!$A$5:$A$1004,$A67,'AFA Rates'!$B$5:$B$1004,M$23)&gt;0,"Exp","")))</f>
        <v/>
      </c>
    </row>
    <row r="68">
      <c r="A68" s="78">
        <f>IFERROR(INDEX(Firms!$A$5:$A$1004,MATCH(45,Firms!$V$5:$V$1004,0)),"")</f>
        <v/>
      </c>
      <c r="B68" s="79">
        <f>IF($A68="","",INDEX(Firms!$B$5:$B$1004,MATCH(45,Firms!$V$5:$V$1004,0)))</f>
        <v/>
      </c>
      <c r="C68" s="79">
        <f>IF($A68="","",COUNTIFS('AFA Rates'!$A$5:$A$1004,$A68,'AFA Rates'!$O$5:$O$1004,"&lt;&gt;Expired"))</f>
        <v/>
      </c>
      <c r="D68" s="79">
        <f>IF(OR($A68="",D$23=""),"",IF(COUNTIFS('AFA Rates'!$A$5:$A$1004,$A68,'AFA Rates'!$B$5:$B$1004,D$23,'AFA Rates'!$O$5:$O$1004,"&lt;&gt;Expired")&gt;0,"✓",IF(COUNTIFS('AFA Rates'!$A$5:$A$1004,$A68,'AFA Rates'!$B$5:$B$1004,D$23)&gt;0,"Exp","")))</f>
        <v/>
      </c>
      <c r="E68" s="79">
        <f>IF(OR($A68="",E$23=""),"",IF(COUNTIFS('AFA Rates'!$A$5:$A$1004,$A68,'AFA Rates'!$B$5:$B$1004,E$23,'AFA Rates'!$O$5:$O$1004,"&lt;&gt;Expired")&gt;0,"✓",IF(COUNTIFS('AFA Rates'!$A$5:$A$1004,$A68,'AFA Rates'!$B$5:$B$1004,E$23)&gt;0,"Exp","")))</f>
        <v/>
      </c>
      <c r="F68" s="79">
        <f>IF(OR($A68="",F$23=""),"",IF(COUNTIFS('AFA Rates'!$A$5:$A$1004,$A68,'AFA Rates'!$B$5:$B$1004,F$23,'AFA Rates'!$O$5:$O$1004,"&lt;&gt;Expired")&gt;0,"✓",IF(COUNTIFS('AFA Rates'!$A$5:$A$1004,$A68,'AFA Rates'!$B$5:$B$1004,F$23)&gt;0,"Exp","")))</f>
        <v/>
      </c>
      <c r="G68" s="79">
        <f>IF(OR($A68="",G$23=""),"",IF(COUNTIFS('AFA Rates'!$A$5:$A$1004,$A68,'AFA Rates'!$B$5:$B$1004,G$23,'AFA Rates'!$O$5:$O$1004,"&lt;&gt;Expired")&gt;0,"✓",IF(COUNTIFS('AFA Rates'!$A$5:$A$1004,$A68,'AFA Rates'!$B$5:$B$1004,G$23)&gt;0,"Exp","")))</f>
        <v/>
      </c>
      <c r="H68" s="79">
        <f>IF(OR($A68="",H$23=""),"",IF(COUNTIFS('AFA Rates'!$A$5:$A$1004,$A68,'AFA Rates'!$B$5:$B$1004,H$23,'AFA Rates'!$O$5:$O$1004,"&lt;&gt;Expired")&gt;0,"✓",IF(COUNTIFS('AFA Rates'!$A$5:$A$1004,$A68,'AFA Rates'!$B$5:$B$1004,H$23)&gt;0,"Exp","")))</f>
        <v/>
      </c>
      <c r="I68" s="79">
        <f>IF(OR($A68="",I$23=""),"",IF(COUNTIFS('AFA Rates'!$A$5:$A$1004,$A68,'AFA Rates'!$B$5:$B$1004,I$23,'AFA Rates'!$O$5:$O$1004,"&lt;&gt;Expired")&gt;0,"✓",IF(COUNTIFS('AFA Rates'!$A$5:$A$1004,$A68,'AFA Rates'!$B$5:$B$1004,I$23)&gt;0,"Exp","")))</f>
        <v/>
      </c>
      <c r="J68" s="79">
        <f>IF(OR($A68="",J$23=""),"",IF(COUNTIFS('AFA Rates'!$A$5:$A$1004,$A68,'AFA Rates'!$B$5:$B$1004,J$23,'AFA Rates'!$O$5:$O$1004,"&lt;&gt;Expired")&gt;0,"✓",IF(COUNTIFS('AFA Rates'!$A$5:$A$1004,$A68,'AFA Rates'!$B$5:$B$1004,J$23)&gt;0,"Exp","")))</f>
        <v/>
      </c>
      <c r="K68" s="79">
        <f>IF(OR($A68="",K$23=""),"",IF(COUNTIFS('AFA Rates'!$A$5:$A$1004,$A68,'AFA Rates'!$B$5:$B$1004,K$23,'AFA Rates'!$O$5:$O$1004,"&lt;&gt;Expired")&gt;0,"✓",IF(COUNTIFS('AFA Rates'!$A$5:$A$1004,$A68,'AFA Rates'!$B$5:$B$1004,K$23)&gt;0,"Exp","")))</f>
        <v/>
      </c>
      <c r="L68" s="79">
        <f>IF(OR($A68="",L$23=""),"",IF(COUNTIFS('AFA Rates'!$A$5:$A$1004,$A68,'AFA Rates'!$B$5:$B$1004,L$23,'AFA Rates'!$O$5:$O$1004,"&lt;&gt;Expired")&gt;0,"✓",IF(COUNTIFS('AFA Rates'!$A$5:$A$1004,$A68,'AFA Rates'!$B$5:$B$1004,L$23)&gt;0,"Exp","")))</f>
        <v/>
      </c>
      <c r="M68" s="79">
        <f>IF(OR($A68="",M$23=""),"",IF(COUNTIFS('AFA Rates'!$A$5:$A$1004,$A68,'AFA Rates'!$B$5:$B$1004,M$23,'AFA Rates'!$O$5:$O$1004,"&lt;&gt;Expired")&gt;0,"✓",IF(COUNTIFS('AFA Rates'!$A$5:$A$1004,$A68,'AFA Rates'!$B$5:$B$1004,M$23)&gt;0,"Exp","")))</f>
        <v/>
      </c>
    </row>
    <row r="69">
      <c r="A69" s="78">
        <f>IFERROR(INDEX(Firms!$A$5:$A$1004,MATCH(46,Firms!$V$5:$V$1004,0)),"")</f>
        <v/>
      </c>
      <c r="B69" s="79">
        <f>IF($A69="","",INDEX(Firms!$B$5:$B$1004,MATCH(46,Firms!$V$5:$V$1004,0)))</f>
        <v/>
      </c>
      <c r="C69" s="79">
        <f>IF($A69="","",COUNTIFS('AFA Rates'!$A$5:$A$1004,$A69,'AFA Rates'!$O$5:$O$1004,"&lt;&gt;Expired"))</f>
        <v/>
      </c>
      <c r="D69" s="79">
        <f>IF(OR($A69="",D$23=""),"",IF(COUNTIFS('AFA Rates'!$A$5:$A$1004,$A69,'AFA Rates'!$B$5:$B$1004,D$23,'AFA Rates'!$O$5:$O$1004,"&lt;&gt;Expired")&gt;0,"✓",IF(COUNTIFS('AFA Rates'!$A$5:$A$1004,$A69,'AFA Rates'!$B$5:$B$1004,D$23)&gt;0,"Exp","")))</f>
        <v/>
      </c>
      <c r="E69" s="79">
        <f>IF(OR($A69="",E$23=""),"",IF(COUNTIFS('AFA Rates'!$A$5:$A$1004,$A69,'AFA Rates'!$B$5:$B$1004,E$23,'AFA Rates'!$O$5:$O$1004,"&lt;&gt;Expired")&gt;0,"✓",IF(COUNTIFS('AFA Rates'!$A$5:$A$1004,$A69,'AFA Rates'!$B$5:$B$1004,E$23)&gt;0,"Exp","")))</f>
        <v/>
      </c>
      <c r="F69" s="79">
        <f>IF(OR($A69="",F$23=""),"",IF(COUNTIFS('AFA Rates'!$A$5:$A$1004,$A69,'AFA Rates'!$B$5:$B$1004,F$23,'AFA Rates'!$O$5:$O$1004,"&lt;&gt;Expired")&gt;0,"✓",IF(COUNTIFS('AFA Rates'!$A$5:$A$1004,$A69,'AFA Rates'!$B$5:$B$1004,F$23)&gt;0,"Exp","")))</f>
        <v/>
      </c>
      <c r="G69" s="79">
        <f>IF(OR($A69="",G$23=""),"",IF(COUNTIFS('AFA Rates'!$A$5:$A$1004,$A69,'AFA Rates'!$B$5:$B$1004,G$23,'AFA Rates'!$O$5:$O$1004,"&lt;&gt;Expired")&gt;0,"✓",IF(COUNTIFS('AFA Rates'!$A$5:$A$1004,$A69,'AFA Rates'!$B$5:$B$1004,G$23)&gt;0,"Exp","")))</f>
        <v/>
      </c>
      <c r="H69" s="79">
        <f>IF(OR($A69="",H$23=""),"",IF(COUNTIFS('AFA Rates'!$A$5:$A$1004,$A69,'AFA Rates'!$B$5:$B$1004,H$23,'AFA Rates'!$O$5:$O$1004,"&lt;&gt;Expired")&gt;0,"✓",IF(COUNTIFS('AFA Rates'!$A$5:$A$1004,$A69,'AFA Rates'!$B$5:$B$1004,H$23)&gt;0,"Exp","")))</f>
        <v/>
      </c>
      <c r="I69" s="79">
        <f>IF(OR($A69="",I$23=""),"",IF(COUNTIFS('AFA Rates'!$A$5:$A$1004,$A69,'AFA Rates'!$B$5:$B$1004,I$23,'AFA Rates'!$O$5:$O$1004,"&lt;&gt;Expired")&gt;0,"✓",IF(COUNTIFS('AFA Rates'!$A$5:$A$1004,$A69,'AFA Rates'!$B$5:$B$1004,I$23)&gt;0,"Exp","")))</f>
        <v/>
      </c>
      <c r="J69" s="79">
        <f>IF(OR($A69="",J$23=""),"",IF(COUNTIFS('AFA Rates'!$A$5:$A$1004,$A69,'AFA Rates'!$B$5:$B$1004,J$23,'AFA Rates'!$O$5:$O$1004,"&lt;&gt;Expired")&gt;0,"✓",IF(COUNTIFS('AFA Rates'!$A$5:$A$1004,$A69,'AFA Rates'!$B$5:$B$1004,J$23)&gt;0,"Exp","")))</f>
        <v/>
      </c>
      <c r="K69" s="79">
        <f>IF(OR($A69="",K$23=""),"",IF(COUNTIFS('AFA Rates'!$A$5:$A$1004,$A69,'AFA Rates'!$B$5:$B$1004,K$23,'AFA Rates'!$O$5:$O$1004,"&lt;&gt;Expired")&gt;0,"✓",IF(COUNTIFS('AFA Rates'!$A$5:$A$1004,$A69,'AFA Rates'!$B$5:$B$1004,K$23)&gt;0,"Exp","")))</f>
        <v/>
      </c>
      <c r="L69" s="79">
        <f>IF(OR($A69="",L$23=""),"",IF(COUNTIFS('AFA Rates'!$A$5:$A$1004,$A69,'AFA Rates'!$B$5:$B$1004,L$23,'AFA Rates'!$O$5:$O$1004,"&lt;&gt;Expired")&gt;0,"✓",IF(COUNTIFS('AFA Rates'!$A$5:$A$1004,$A69,'AFA Rates'!$B$5:$B$1004,L$23)&gt;0,"Exp","")))</f>
        <v/>
      </c>
      <c r="M69" s="79">
        <f>IF(OR($A69="",M$23=""),"",IF(COUNTIFS('AFA Rates'!$A$5:$A$1004,$A69,'AFA Rates'!$B$5:$B$1004,M$23,'AFA Rates'!$O$5:$O$1004,"&lt;&gt;Expired")&gt;0,"✓",IF(COUNTIFS('AFA Rates'!$A$5:$A$1004,$A69,'AFA Rates'!$B$5:$B$1004,M$23)&gt;0,"Exp","")))</f>
        <v/>
      </c>
    </row>
    <row r="70">
      <c r="A70" s="78">
        <f>IFERROR(INDEX(Firms!$A$5:$A$1004,MATCH(47,Firms!$V$5:$V$1004,0)),"")</f>
        <v/>
      </c>
      <c r="B70" s="79">
        <f>IF($A70="","",INDEX(Firms!$B$5:$B$1004,MATCH(47,Firms!$V$5:$V$1004,0)))</f>
        <v/>
      </c>
      <c r="C70" s="79">
        <f>IF($A70="","",COUNTIFS('AFA Rates'!$A$5:$A$1004,$A70,'AFA Rates'!$O$5:$O$1004,"&lt;&gt;Expired"))</f>
        <v/>
      </c>
      <c r="D70" s="79">
        <f>IF(OR($A70="",D$23=""),"",IF(COUNTIFS('AFA Rates'!$A$5:$A$1004,$A70,'AFA Rates'!$B$5:$B$1004,D$23,'AFA Rates'!$O$5:$O$1004,"&lt;&gt;Expired")&gt;0,"✓",IF(COUNTIFS('AFA Rates'!$A$5:$A$1004,$A70,'AFA Rates'!$B$5:$B$1004,D$23)&gt;0,"Exp","")))</f>
        <v/>
      </c>
      <c r="E70" s="79">
        <f>IF(OR($A70="",E$23=""),"",IF(COUNTIFS('AFA Rates'!$A$5:$A$1004,$A70,'AFA Rates'!$B$5:$B$1004,E$23,'AFA Rates'!$O$5:$O$1004,"&lt;&gt;Expired")&gt;0,"✓",IF(COUNTIFS('AFA Rates'!$A$5:$A$1004,$A70,'AFA Rates'!$B$5:$B$1004,E$23)&gt;0,"Exp","")))</f>
        <v/>
      </c>
      <c r="F70" s="79">
        <f>IF(OR($A70="",F$23=""),"",IF(COUNTIFS('AFA Rates'!$A$5:$A$1004,$A70,'AFA Rates'!$B$5:$B$1004,F$23,'AFA Rates'!$O$5:$O$1004,"&lt;&gt;Expired")&gt;0,"✓",IF(COUNTIFS('AFA Rates'!$A$5:$A$1004,$A70,'AFA Rates'!$B$5:$B$1004,F$23)&gt;0,"Exp","")))</f>
        <v/>
      </c>
      <c r="G70" s="79">
        <f>IF(OR($A70="",G$23=""),"",IF(COUNTIFS('AFA Rates'!$A$5:$A$1004,$A70,'AFA Rates'!$B$5:$B$1004,G$23,'AFA Rates'!$O$5:$O$1004,"&lt;&gt;Expired")&gt;0,"✓",IF(COUNTIFS('AFA Rates'!$A$5:$A$1004,$A70,'AFA Rates'!$B$5:$B$1004,G$23)&gt;0,"Exp","")))</f>
        <v/>
      </c>
      <c r="H70" s="79">
        <f>IF(OR($A70="",H$23=""),"",IF(COUNTIFS('AFA Rates'!$A$5:$A$1004,$A70,'AFA Rates'!$B$5:$B$1004,H$23,'AFA Rates'!$O$5:$O$1004,"&lt;&gt;Expired")&gt;0,"✓",IF(COUNTIFS('AFA Rates'!$A$5:$A$1004,$A70,'AFA Rates'!$B$5:$B$1004,H$23)&gt;0,"Exp","")))</f>
        <v/>
      </c>
      <c r="I70" s="79">
        <f>IF(OR($A70="",I$23=""),"",IF(COUNTIFS('AFA Rates'!$A$5:$A$1004,$A70,'AFA Rates'!$B$5:$B$1004,I$23,'AFA Rates'!$O$5:$O$1004,"&lt;&gt;Expired")&gt;0,"✓",IF(COUNTIFS('AFA Rates'!$A$5:$A$1004,$A70,'AFA Rates'!$B$5:$B$1004,I$23)&gt;0,"Exp","")))</f>
        <v/>
      </c>
      <c r="J70" s="79">
        <f>IF(OR($A70="",J$23=""),"",IF(COUNTIFS('AFA Rates'!$A$5:$A$1004,$A70,'AFA Rates'!$B$5:$B$1004,J$23,'AFA Rates'!$O$5:$O$1004,"&lt;&gt;Expired")&gt;0,"✓",IF(COUNTIFS('AFA Rates'!$A$5:$A$1004,$A70,'AFA Rates'!$B$5:$B$1004,J$23)&gt;0,"Exp","")))</f>
        <v/>
      </c>
      <c r="K70" s="79">
        <f>IF(OR($A70="",K$23=""),"",IF(COUNTIFS('AFA Rates'!$A$5:$A$1004,$A70,'AFA Rates'!$B$5:$B$1004,K$23,'AFA Rates'!$O$5:$O$1004,"&lt;&gt;Expired")&gt;0,"✓",IF(COUNTIFS('AFA Rates'!$A$5:$A$1004,$A70,'AFA Rates'!$B$5:$B$1004,K$23)&gt;0,"Exp","")))</f>
        <v/>
      </c>
      <c r="L70" s="79">
        <f>IF(OR($A70="",L$23=""),"",IF(COUNTIFS('AFA Rates'!$A$5:$A$1004,$A70,'AFA Rates'!$B$5:$B$1004,L$23,'AFA Rates'!$O$5:$O$1004,"&lt;&gt;Expired")&gt;0,"✓",IF(COUNTIFS('AFA Rates'!$A$5:$A$1004,$A70,'AFA Rates'!$B$5:$B$1004,L$23)&gt;0,"Exp","")))</f>
        <v/>
      </c>
      <c r="M70" s="79">
        <f>IF(OR($A70="",M$23=""),"",IF(COUNTIFS('AFA Rates'!$A$5:$A$1004,$A70,'AFA Rates'!$B$5:$B$1004,M$23,'AFA Rates'!$O$5:$O$1004,"&lt;&gt;Expired")&gt;0,"✓",IF(COUNTIFS('AFA Rates'!$A$5:$A$1004,$A70,'AFA Rates'!$B$5:$B$1004,M$23)&gt;0,"Exp","")))</f>
        <v/>
      </c>
    </row>
    <row r="71">
      <c r="A71" s="78">
        <f>IFERROR(INDEX(Firms!$A$5:$A$1004,MATCH(48,Firms!$V$5:$V$1004,0)),"")</f>
        <v/>
      </c>
      <c r="B71" s="79">
        <f>IF($A71="","",INDEX(Firms!$B$5:$B$1004,MATCH(48,Firms!$V$5:$V$1004,0)))</f>
        <v/>
      </c>
      <c r="C71" s="79">
        <f>IF($A71="","",COUNTIFS('AFA Rates'!$A$5:$A$1004,$A71,'AFA Rates'!$O$5:$O$1004,"&lt;&gt;Expired"))</f>
        <v/>
      </c>
      <c r="D71" s="79">
        <f>IF(OR($A71="",D$23=""),"",IF(COUNTIFS('AFA Rates'!$A$5:$A$1004,$A71,'AFA Rates'!$B$5:$B$1004,D$23,'AFA Rates'!$O$5:$O$1004,"&lt;&gt;Expired")&gt;0,"✓",IF(COUNTIFS('AFA Rates'!$A$5:$A$1004,$A71,'AFA Rates'!$B$5:$B$1004,D$23)&gt;0,"Exp","")))</f>
        <v/>
      </c>
      <c r="E71" s="79">
        <f>IF(OR($A71="",E$23=""),"",IF(COUNTIFS('AFA Rates'!$A$5:$A$1004,$A71,'AFA Rates'!$B$5:$B$1004,E$23,'AFA Rates'!$O$5:$O$1004,"&lt;&gt;Expired")&gt;0,"✓",IF(COUNTIFS('AFA Rates'!$A$5:$A$1004,$A71,'AFA Rates'!$B$5:$B$1004,E$23)&gt;0,"Exp","")))</f>
        <v/>
      </c>
      <c r="F71" s="79">
        <f>IF(OR($A71="",F$23=""),"",IF(COUNTIFS('AFA Rates'!$A$5:$A$1004,$A71,'AFA Rates'!$B$5:$B$1004,F$23,'AFA Rates'!$O$5:$O$1004,"&lt;&gt;Expired")&gt;0,"✓",IF(COUNTIFS('AFA Rates'!$A$5:$A$1004,$A71,'AFA Rates'!$B$5:$B$1004,F$23)&gt;0,"Exp","")))</f>
        <v/>
      </c>
      <c r="G71" s="79">
        <f>IF(OR($A71="",G$23=""),"",IF(COUNTIFS('AFA Rates'!$A$5:$A$1004,$A71,'AFA Rates'!$B$5:$B$1004,G$23,'AFA Rates'!$O$5:$O$1004,"&lt;&gt;Expired")&gt;0,"✓",IF(COUNTIFS('AFA Rates'!$A$5:$A$1004,$A71,'AFA Rates'!$B$5:$B$1004,G$23)&gt;0,"Exp","")))</f>
        <v/>
      </c>
      <c r="H71" s="79">
        <f>IF(OR($A71="",H$23=""),"",IF(COUNTIFS('AFA Rates'!$A$5:$A$1004,$A71,'AFA Rates'!$B$5:$B$1004,H$23,'AFA Rates'!$O$5:$O$1004,"&lt;&gt;Expired")&gt;0,"✓",IF(COUNTIFS('AFA Rates'!$A$5:$A$1004,$A71,'AFA Rates'!$B$5:$B$1004,H$23)&gt;0,"Exp","")))</f>
        <v/>
      </c>
      <c r="I71" s="79">
        <f>IF(OR($A71="",I$23=""),"",IF(COUNTIFS('AFA Rates'!$A$5:$A$1004,$A71,'AFA Rates'!$B$5:$B$1004,I$23,'AFA Rates'!$O$5:$O$1004,"&lt;&gt;Expired")&gt;0,"✓",IF(COUNTIFS('AFA Rates'!$A$5:$A$1004,$A71,'AFA Rates'!$B$5:$B$1004,I$23)&gt;0,"Exp","")))</f>
        <v/>
      </c>
      <c r="J71" s="79">
        <f>IF(OR($A71="",J$23=""),"",IF(COUNTIFS('AFA Rates'!$A$5:$A$1004,$A71,'AFA Rates'!$B$5:$B$1004,J$23,'AFA Rates'!$O$5:$O$1004,"&lt;&gt;Expired")&gt;0,"✓",IF(COUNTIFS('AFA Rates'!$A$5:$A$1004,$A71,'AFA Rates'!$B$5:$B$1004,J$23)&gt;0,"Exp","")))</f>
        <v/>
      </c>
      <c r="K71" s="79">
        <f>IF(OR($A71="",K$23=""),"",IF(COUNTIFS('AFA Rates'!$A$5:$A$1004,$A71,'AFA Rates'!$B$5:$B$1004,K$23,'AFA Rates'!$O$5:$O$1004,"&lt;&gt;Expired")&gt;0,"✓",IF(COUNTIFS('AFA Rates'!$A$5:$A$1004,$A71,'AFA Rates'!$B$5:$B$1004,K$23)&gt;0,"Exp","")))</f>
        <v/>
      </c>
      <c r="L71" s="79">
        <f>IF(OR($A71="",L$23=""),"",IF(COUNTIFS('AFA Rates'!$A$5:$A$1004,$A71,'AFA Rates'!$B$5:$B$1004,L$23,'AFA Rates'!$O$5:$O$1004,"&lt;&gt;Expired")&gt;0,"✓",IF(COUNTIFS('AFA Rates'!$A$5:$A$1004,$A71,'AFA Rates'!$B$5:$B$1004,L$23)&gt;0,"Exp","")))</f>
        <v/>
      </c>
      <c r="M71" s="79">
        <f>IF(OR($A71="",M$23=""),"",IF(COUNTIFS('AFA Rates'!$A$5:$A$1004,$A71,'AFA Rates'!$B$5:$B$1004,M$23,'AFA Rates'!$O$5:$O$1004,"&lt;&gt;Expired")&gt;0,"✓",IF(COUNTIFS('AFA Rates'!$A$5:$A$1004,$A71,'AFA Rates'!$B$5:$B$1004,M$23)&gt;0,"Exp","")))</f>
        <v/>
      </c>
    </row>
    <row r="72">
      <c r="A72" s="78">
        <f>IFERROR(INDEX(Firms!$A$5:$A$1004,MATCH(49,Firms!$V$5:$V$1004,0)),"")</f>
        <v/>
      </c>
      <c r="B72" s="79">
        <f>IF($A72="","",INDEX(Firms!$B$5:$B$1004,MATCH(49,Firms!$V$5:$V$1004,0)))</f>
        <v/>
      </c>
      <c r="C72" s="79">
        <f>IF($A72="","",COUNTIFS('AFA Rates'!$A$5:$A$1004,$A72,'AFA Rates'!$O$5:$O$1004,"&lt;&gt;Expired"))</f>
        <v/>
      </c>
      <c r="D72" s="79">
        <f>IF(OR($A72="",D$23=""),"",IF(COUNTIFS('AFA Rates'!$A$5:$A$1004,$A72,'AFA Rates'!$B$5:$B$1004,D$23,'AFA Rates'!$O$5:$O$1004,"&lt;&gt;Expired")&gt;0,"✓",IF(COUNTIFS('AFA Rates'!$A$5:$A$1004,$A72,'AFA Rates'!$B$5:$B$1004,D$23)&gt;0,"Exp","")))</f>
        <v/>
      </c>
      <c r="E72" s="79">
        <f>IF(OR($A72="",E$23=""),"",IF(COUNTIFS('AFA Rates'!$A$5:$A$1004,$A72,'AFA Rates'!$B$5:$B$1004,E$23,'AFA Rates'!$O$5:$O$1004,"&lt;&gt;Expired")&gt;0,"✓",IF(COUNTIFS('AFA Rates'!$A$5:$A$1004,$A72,'AFA Rates'!$B$5:$B$1004,E$23)&gt;0,"Exp","")))</f>
        <v/>
      </c>
      <c r="F72" s="79">
        <f>IF(OR($A72="",F$23=""),"",IF(COUNTIFS('AFA Rates'!$A$5:$A$1004,$A72,'AFA Rates'!$B$5:$B$1004,F$23,'AFA Rates'!$O$5:$O$1004,"&lt;&gt;Expired")&gt;0,"✓",IF(COUNTIFS('AFA Rates'!$A$5:$A$1004,$A72,'AFA Rates'!$B$5:$B$1004,F$23)&gt;0,"Exp","")))</f>
        <v/>
      </c>
      <c r="G72" s="79">
        <f>IF(OR($A72="",G$23=""),"",IF(COUNTIFS('AFA Rates'!$A$5:$A$1004,$A72,'AFA Rates'!$B$5:$B$1004,G$23,'AFA Rates'!$O$5:$O$1004,"&lt;&gt;Expired")&gt;0,"✓",IF(COUNTIFS('AFA Rates'!$A$5:$A$1004,$A72,'AFA Rates'!$B$5:$B$1004,G$23)&gt;0,"Exp","")))</f>
        <v/>
      </c>
      <c r="H72" s="79">
        <f>IF(OR($A72="",H$23=""),"",IF(COUNTIFS('AFA Rates'!$A$5:$A$1004,$A72,'AFA Rates'!$B$5:$B$1004,H$23,'AFA Rates'!$O$5:$O$1004,"&lt;&gt;Expired")&gt;0,"✓",IF(COUNTIFS('AFA Rates'!$A$5:$A$1004,$A72,'AFA Rates'!$B$5:$B$1004,H$23)&gt;0,"Exp","")))</f>
        <v/>
      </c>
      <c r="I72" s="79">
        <f>IF(OR($A72="",I$23=""),"",IF(COUNTIFS('AFA Rates'!$A$5:$A$1004,$A72,'AFA Rates'!$B$5:$B$1004,I$23,'AFA Rates'!$O$5:$O$1004,"&lt;&gt;Expired")&gt;0,"✓",IF(COUNTIFS('AFA Rates'!$A$5:$A$1004,$A72,'AFA Rates'!$B$5:$B$1004,I$23)&gt;0,"Exp","")))</f>
        <v/>
      </c>
      <c r="J72" s="79">
        <f>IF(OR($A72="",J$23=""),"",IF(COUNTIFS('AFA Rates'!$A$5:$A$1004,$A72,'AFA Rates'!$B$5:$B$1004,J$23,'AFA Rates'!$O$5:$O$1004,"&lt;&gt;Expired")&gt;0,"✓",IF(COUNTIFS('AFA Rates'!$A$5:$A$1004,$A72,'AFA Rates'!$B$5:$B$1004,J$23)&gt;0,"Exp","")))</f>
        <v/>
      </c>
      <c r="K72" s="79">
        <f>IF(OR($A72="",K$23=""),"",IF(COUNTIFS('AFA Rates'!$A$5:$A$1004,$A72,'AFA Rates'!$B$5:$B$1004,K$23,'AFA Rates'!$O$5:$O$1004,"&lt;&gt;Expired")&gt;0,"✓",IF(COUNTIFS('AFA Rates'!$A$5:$A$1004,$A72,'AFA Rates'!$B$5:$B$1004,K$23)&gt;0,"Exp","")))</f>
        <v/>
      </c>
      <c r="L72" s="79">
        <f>IF(OR($A72="",L$23=""),"",IF(COUNTIFS('AFA Rates'!$A$5:$A$1004,$A72,'AFA Rates'!$B$5:$B$1004,L$23,'AFA Rates'!$O$5:$O$1004,"&lt;&gt;Expired")&gt;0,"✓",IF(COUNTIFS('AFA Rates'!$A$5:$A$1004,$A72,'AFA Rates'!$B$5:$B$1004,L$23)&gt;0,"Exp","")))</f>
        <v/>
      </c>
      <c r="M72" s="79">
        <f>IF(OR($A72="",M$23=""),"",IF(COUNTIFS('AFA Rates'!$A$5:$A$1004,$A72,'AFA Rates'!$B$5:$B$1004,M$23,'AFA Rates'!$O$5:$O$1004,"&lt;&gt;Expired")&gt;0,"✓",IF(COUNTIFS('AFA Rates'!$A$5:$A$1004,$A72,'AFA Rates'!$B$5:$B$1004,M$23)&gt;0,"Exp","")))</f>
        <v/>
      </c>
    </row>
    <row r="73">
      <c r="A73" s="78">
        <f>IFERROR(INDEX(Firms!$A$5:$A$1004,MATCH(50,Firms!$V$5:$V$1004,0)),"")</f>
        <v/>
      </c>
      <c r="B73" s="79">
        <f>IF($A73="","",INDEX(Firms!$B$5:$B$1004,MATCH(50,Firms!$V$5:$V$1004,0)))</f>
        <v/>
      </c>
      <c r="C73" s="79">
        <f>IF($A73="","",COUNTIFS('AFA Rates'!$A$5:$A$1004,$A73,'AFA Rates'!$O$5:$O$1004,"&lt;&gt;Expired"))</f>
        <v/>
      </c>
      <c r="D73" s="79">
        <f>IF(OR($A73="",D$23=""),"",IF(COUNTIFS('AFA Rates'!$A$5:$A$1004,$A73,'AFA Rates'!$B$5:$B$1004,D$23,'AFA Rates'!$O$5:$O$1004,"&lt;&gt;Expired")&gt;0,"✓",IF(COUNTIFS('AFA Rates'!$A$5:$A$1004,$A73,'AFA Rates'!$B$5:$B$1004,D$23)&gt;0,"Exp","")))</f>
        <v/>
      </c>
      <c r="E73" s="79">
        <f>IF(OR($A73="",E$23=""),"",IF(COUNTIFS('AFA Rates'!$A$5:$A$1004,$A73,'AFA Rates'!$B$5:$B$1004,E$23,'AFA Rates'!$O$5:$O$1004,"&lt;&gt;Expired")&gt;0,"✓",IF(COUNTIFS('AFA Rates'!$A$5:$A$1004,$A73,'AFA Rates'!$B$5:$B$1004,E$23)&gt;0,"Exp","")))</f>
        <v/>
      </c>
      <c r="F73" s="79">
        <f>IF(OR($A73="",F$23=""),"",IF(COUNTIFS('AFA Rates'!$A$5:$A$1004,$A73,'AFA Rates'!$B$5:$B$1004,F$23,'AFA Rates'!$O$5:$O$1004,"&lt;&gt;Expired")&gt;0,"✓",IF(COUNTIFS('AFA Rates'!$A$5:$A$1004,$A73,'AFA Rates'!$B$5:$B$1004,F$23)&gt;0,"Exp","")))</f>
        <v/>
      </c>
      <c r="G73" s="79">
        <f>IF(OR($A73="",G$23=""),"",IF(COUNTIFS('AFA Rates'!$A$5:$A$1004,$A73,'AFA Rates'!$B$5:$B$1004,G$23,'AFA Rates'!$O$5:$O$1004,"&lt;&gt;Expired")&gt;0,"✓",IF(COUNTIFS('AFA Rates'!$A$5:$A$1004,$A73,'AFA Rates'!$B$5:$B$1004,G$23)&gt;0,"Exp","")))</f>
        <v/>
      </c>
      <c r="H73" s="79">
        <f>IF(OR($A73="",H$23=""),"",IF(COUNTIFS('AFA Rates'!$A$5:$A$1004,$A73,'AFA Rates'!$B$5:$B$1004,H$23,'AFA Rates'!$O$5:$O$1004,"&lt;&gt;Expired")&gt;0,"✓",IF(COUNTIFS('AFA Rates'!$A$5:$A$1004,$A73,'AFA Rates'!$B$5:$B$1004,H$23)&gt;0,"Exp","")))</f>
        <v/>
      </c>
      <c r="I73" s="79">
        <f>IF(OR($A73="",I$23=""),"",IF(COUNTIFS('AFA Rates'!$A$5:$A$1004,$A73,'AFA Rates'!$B$5:$B$1004,I$23,'AFA Rates'!$O$5:$O$1004,"&lt;&gt;Expired")&gt;0,"✓",IF(COUNTIFS('AFA Rates'!$A$5:$A$1004,$A73,'AFA Rates'!$B$5:$B$1004,I$23)&gt;0,"Exp","")))</f>
        <v/>
      </c>
      <c r="J73" s="79">
        <f>IF(OR($A73="",J$23=""),"",IF(COUNTIFS('AFA Rates'!$A$5:$A$1004,$A73,'AFA Rates'!$B$5:$B$1004,J$23,'AFA Rates'!$O$5:$O$1004,"&lt;&gt;Expired")&gt;0,"✓",IF(COUNTIFS('AFA Rates'!$A$5:$A$1004,$A73,'AFA Rates'!$B$5:$B$1004,J$23)&gt;0,"Exp","")))</f>
        <v/>
      </c>
      <c r="K73" s="79">
        <f>IF(OR($A73="",K$23=""),"",IF(COUNTIFS('AFA Rates'!$A$5:$A$1004,$A73,'AFA Rates'!$B$5:$B$1004,K$23,'AFA Rates'!$O$5:$O$1004,"&lt;&gt;Expired")&gt;0,"✓",IF(COUNTIFS('AFA Rates'!$A$5:$A$1004,$A73,'AFA Rates'!$B$5:$B$1004,K$23)&gt;0,"Exp","")))</f>
        <v/>
      </c>
      <c r="L73" s="79">
        <f>IF(OR($A73="",L$23=""),"",IF(COUNTIFS('AFA Rates'!$A$5:$A$1004,$A73,'AFA Rates'!$B$5:$B$1004,L$23,'AFA Rates'!$O$5:$O$1004,"&lt;&gt;Expired")&gt;0,"✓",IF(COUNTIFS('AFA Rates'!$A$5:$A$1004,$A73,'AFA Rates'!$B$5:$B$1004,L$23)&gt;0,"Exp","")))</f>
        <v/>
      </c>
      <c r="M73" s="79">
        <f>IF(OR($A73="",M$23=""),"",IF(COUNTIFS('AFA Rates'!$A$5:$A$1004,$A73,'AFA Rates'!$B$5:$B$1004,M$23,'AFA Rates'!$O$5:$O$1004,"&lt;&gt;Expired")&gt;0,"✓",IF(COUNTIFS('AFA Rates'!$A$5:$A$1004,$A73,'AFA Rates'!$B$5:$B$1004,M$23)&gt;0,"Exp","")))</f>
        <v/>
      </c>
    </row>
    <row r="74">
      <c r="A74" s="78">
        <f>IFERROR(INDEX(Firms!$A$5:$A$1004,MATCH(51,Firms!$V$5:$V$1004,0)),"")</f>
        <v/>
      </c>
      <c r="B74" s="79">
        <f>IF($A74="","",INDEX(Firms!$B$5:$B$1004,MATCH(51,Firms!$V$5:$V$1004,0)))</f>
        <v/>
      </c>
      <c r="C74" s="79">
        <f>IF($A74="","",COUNTIFS('AFA Rates'!$A$5:$A$1004,$A74,'AFA Rates'!$O$5:$O$1004,"&lt;&gt;Expired"))</f>
        <v/>
      </c>
      <c r="D74" s="79">
        <f>IF(OR($A74="",D$23=""),"",IF(COUNTIFS('AFA Rates'!$A$5:$A$1004,$A74,'AFA Rates'!$B$5:$B$1004,D$23,'AFA Rates'!$O$5:$O$1004,"&lt;&gt;Expired")&gt;0,"✓",IF(COUNTIFS('AFA Rates'!$A$5:$A$1004,$A74,'AFA Rates'!$B$5:$B$1004,D$23)&gt;0,"Exp","")))</f>
        <v/>
      </c>
      <c r="E74" s="79">
        <f>IF(OR($A74="",E$23=""),"",IF(COUNTIFS('AFA Rates'!$A$5:$A$1004,$A74,'AFA Rates'!$B$5:$B$1004,E$23,'AFA Rates'!$O$5:$O$1004,"&lt;&gt;Expired")&gt;0,"✓",IF(COUNTIFS('AFA Rates'!$A$5:$A$1004,$A74,'AFA Rates'!$B$5:$B$1004,E$23)&gt;0,"Exp","")))</f>
        <v/>
      </c>
      <c r="F74" s="79">
        <f>IF(OR($A74="",F$23=""),"",IF(COUNTIFS('AFA Rates'!$A$5:$A$1004,$A74,'AFA Rates'!$B$5:$B$1004,F$23,'AFA Rates'!$O$5:$O$1004,"&lt;&gt;Expired")&gt;0,"✓",IF(COUNTIFS('AFA Rates'!$A$5:$A$1004,$A74,'AFA Rates'!$B$5:$B$1004,F$23)&gt;0,"Exp","")))</f>
        <v/>
      </c>
      <c r="G74" s="79">
        <f>IF(OR($A74="",G$23=""),"",IF(COUNTIFS('AFA Rates'!$A$5:$A$1004,$A74,'AFA Rates'!$B$5:$B$1004,G$23,'AFA Rates'!$O$5:$O$1004,"&lt;&gt;Expired")&gt;0,"✓",IF(COUNTIFS('AFA Rates'!$A$5:$A$1004,$A74,'AFA Rates'!$B$5:$B$1004,G$23)&gt;0,"Exp","")))</f>
        <v/>
      </c>
      <c r="H74" s="79">
        <f>IF(OR($A74="",H$23=""),"",IF(COUNTIFS('AFA Rates'!$A$5:$A$1004,$A74,'AFA Rates'!$B$5:$B$1004,H$23,'AFA Rates'!$O$5:$O$1004,"&lt;&gt;Expired")&gt;0,"✓",IF(COUNTIFS('AFA Rates'!$A$5:$A$1004,$A74,'AFA Rates'!$B$5:$B$1004,H$23)&gt;0,"Exp","")))</f>
        <v/>
      </c>
      <c r="I74" s="79">
        <f>IF(OR($A74="",I$23=""),"",IF(COUNTIFS('AFA Rates'!$A$5:$A$1004,$A74,'AFA Rates'!$B$5:$B$1004,I$23,'AFA Rates'!$O$5:$O$1004,"&lt;&gt;Expired")&gt;0,"✓",IF(COUNTIFS('AFA Rates'!$A$5:$A$1004,$A74,'AFA Rates'!$B$5:$B$1004,I$23)&gt;0,"Exp","")))</f>
        <v/>
      </c>
      <c r="J74" s="79">
        <f>IF(OR($A74="",J$23=""),"",IF(COUNTIFS('AFA Rates'!$A$5:$A$1004,$A74,'AFA Rates'!$B$5:$B$1004,J$23,'AFA Rates'!$O$5:$O$1004,"&lt;&gt;Expired")&gt;0,"✓",IF(COUNTIFS('AFA Rates'!$A$5:$A$1004,$A74,'AFA Rates'!$B$5:$B$1004,J$23)&gt;0,"Exp","")))</f>
        <v/>
      </c>
      <c r="K74" s="79">
        <f>IF(OR($A74="",K$23=""),"",IF(COUNTIFS('AFA Rates'!$A$5:$A$1004,$A74,'AFA Rates'!$B$5:$B$1004,K$23,'AFA Rates'!$O$5:$O$1004,"&lt;&gt;Expired")&gt;0,"✓",IF(COUNTIFS('AFA Rates'!$A$5:$A$1004,$A74,'AFA Rates'!$B$5:$B$1004,K$23)&gt;0,"Exp","")))</f>
        <v/>
      </c>
      <c r="L74" s="79">
        <f>IF(OR($A74="",L$23=""),"",IF(COUNTIFS('AFA Rates'!$A$5:$A$1004,$A74,'AFA Rates'!$B$5:$B$1004,L$23,'AFA Rates'!$O$5:$O$1004,"&lt;&gt;Expired")&gt;0,"✓",IF(COUNTIFS('AFA Rates'!$A$5:$A$1004,$A74,'AFA Rates'!$B$5:$B$1004,L$23)&gt;0,"Exp","")))</f>
        <v/>
      </c>
      <c r="M74" s="79">
        <f>IF(OR($A74="",M$23=""),"",IF(COUNTIFS('AFA Rates'!$A$5:$A$1004,$A74,'AFA Rates'!$B$5:$B$1004,M$23,'AFA Rates'!$O$5:$O$1004,"&lt;&gt;Expired")&gt;0,"✓",IF(COUNTIFS('AFA Rates'!$A$5:$A$1004,$A74,'AFA Rates'!$B$5:$B$1004,M$23)&gt;0,"Exp","")))</f>
        <v/>
      </c>
    </row>
    <row r="75">
      <c r="A75" s="78">
        <f>IFERROR(INDEX(Firms!$A$5:$A$1004,MATCH(52,Firms!$V$5:$V$1004,0)),"")</f>
        <v/>
      </c>
      <c r="B75" s="79">
        <f>IF($A75="","",INDEX(Firms!$B$5:$B$1004,MATCH(52,Firms!$V$5:$V$1004,0)))</f>
        <v/>
      </c>
      <c r="C75" s="79">
        <f>IF($A75="","",COUNTIFS('AFA Rates'!$A$5:$A$1004,$A75,'AFA Rates'!$O$5:$O$1004,"&lt;&gt;Expired"))</f>
        <v/>
      </c>
      <c r="D75" s="79">
        <f>IF(OR($A75="",D$23=""),"",IF(COUNTIFS('AFA Rates'!$A$5:$A$1004,$A75,'AFA Rates'!$B$5:$B$1004,D$23,'AFA Rates'!$O$5:$O$1004,"&lt;&gt;Expired")&gt;0,"✓",IF(COUNTIFS('AFA Rates'!$A$5:$A$1004,$A75,'AFA Rates'!$B$5:$B$1004,D$23)&gt;0,"Exp","")))</f>
        <v/>
      </c>
      <c r="E75" s="79">
        <f>IF(OR($A75="",E$23=""),"",IF(COUNTIFS('AFA Rates'!$A$5:$A$1004,$A75,'AFA Rates'!$B$5:$B$1004,E$23,'AFA Rates'!$O$5:$O$1004,"&lt;&gt;Expired")&gt;0,"✓",IF(COUNTIFS('AFA Rates'!$A$5:$A$1004,$A75,'AFA Rates'!$B$5:$B$1004,E$23)&gt;0,"Exp","")))</f>
        <v/>
      </c>
      <c r="F75" s="79">
        <f>IF(OR($A75="",F$23=""),"",IF(COUNTIFS('AFA Rates'!$A$5:$A$1004,$A75,'AFA Rates'!$B$5:$B$1004,F$23,'AFA Rates'!$O$5:$O$1004,"&lt;&gt;Expired")&gt;0,"✓",IF(COUNTIFS('AFA Rates'!$A$5:$A$1004,$A75,'AFA Rates'!$B$5:$B$1004,F$23)&gt;0,"Exp","")))</f>
        <v/>
      </c>
      <c r="G75" s="79">
        <f>IF(OR($A75="",G$23=""),"",IF(COUNTIFS('AFA Rates'!$A$5:$A$1004,$A75,'AFA Rates'!$B$5:$B$1004,G$23,'AFA Rates'!$O$5:$O$1004,"&lt;&gt;Expired")&gt;0,"✓",IF(COUNTIFS('AFA Rates'!$A$5:$A$1004,$A75,'AFA Rates'!$B$5:$B$1004,G$23)&gt;0,"Exp","")))</f>
        <v/>
      </c>
      <c r="H75" s="79">
        <f>IF(OR($A75="",H$23=""),"",IF(COUNTIFS('AFA Rates'!$A$5:$A$1004,$A75,'AFA Rates'!$B$5:$B$1004,H$23,'AFA Rates'!$O$5:$O$1004,"&lt;&gt;Expired")&gt;0,"✓",IF(COUNTIFS('AFA Rates'!$A$5:$A$1004,$A75,'AFA Rates'!$B$5:$B$1004,H$23)&gt;0,"Exp","")))</f>
        <v/>
      </c>
      <c r="I75" s="79">
        <f>IF(OR($A75="",I$23=""),"",IF(COUNTIFS('AFA Rates'!$A$5:$A$1004,$A75,'AFA Rates'!$B$5:$B$1004,I$23,'AFA Rates'!$O$5:$O$1004,"&lt;&gt;Expired")&gt;0,"✓",IF(COUNTIFS('AFA Rates'!$A$5:$A$1004,$A75,'AFA Rates'!$B$5:$B$1004,I$23)&gt;0,"Exp","")))</f>
        <v/>
      </c>
      <c r="J75" s="79">
        <f>IF(OR($A75="",J$23=""),"",IF(COUNTIFS('AFA Rates'!$A$5:$A$1004,$A75,'AFA Rates'!$B$5:$B$1004,J$23,'AFA Rates'!$O$5:$O$1004,"&lt;&gt;Expired")&gt;0,"✓",IF(COUNTIFS('AFA Rates'!$A$5:$A$1004,$A75,'AFA Rates'!$B$5:$B$1004,J$23)&gt;0,"Exp","")))</f>
        <v/>
      </c>
      <c r="K75" s="79">
        <f>IF(OR($A75="",K$23=""),"",IF(COUNTIFS('AFA Rates'!$A$5:$A$1004,$A75,'AFA Rates'!$B$5:$B$1004,K$23,'AFA Rates'!$O$5:$O$1004,"&lt;&gt;Expired")&gt;0,"✓",IF(COUNTIFS('AFA Rates'!$A$5:$A$1004,$A75,'AFA Rates'!$B$5:$B$1004,K$23)&gt;0,"Exp","")))</f>
        <v/>
      </c>
      <c r="L75" s="79">
        <f>IF(OR($A75="",L$23=""),"",IF(COUNTIFS('AFA Rates'!$A$5:$A$1004,$A75,'AFA Rates'!$B$5:$B$1004,L$23,'AFA Rates'!$O$5:$O$1004,"&lt;&gt;Expired")&gt;0,"✓",IF(COUNTIFS('AFA Rates'!$A$5:$A$1004,$A75,'AFA Rates'!$B$5:$B$1004,L$23)&gt;0,"Exp","")))</f>
        <v/>
      </c>
      <c r="M75" s="79">
        <f>IF(OR($A75="",M$23=""),"",IF(COUNTIFS('AFA Rates'!$A$5:$A$1004,$A75,'AFA Rates'!$B$5:$B$1004,M$23,'AFA Rates'!$O$5:$O$1004,"&lt;&gt;Expired")&gt;0,"✓",IF(COUNTIFS('AFA Rates'!$A$5:$A$1004,$A75,'AFA Rates'!$B$5:$B$1004,M$23)&gt;0,"Exp","")))</f>
        <v/>
      </c>
    </row>
    <row r="76">
      <c r="A76" s="78">
        <f>IFERROR(INDEX(Firms!$A$5:$A$1004,MATCH(53,Firms!$V$5:$V$1004,0)),"")</f>
        <v/>
      </c>
      <c r="B76" s="79">
        <f>IF($A76="","",INDEX(Firms!$B$5:$B$1004,MATCH(53,Firms!$V$5:$V$1004,0)))</f>
        <v/>
      </c>
      <c r="C76" s="79">
        <f>IF($A76="","",COUNTIFS('AFA Rates'!$A$5:$A$1004,$A76,'AFA Rates'!$O$5:$O$1004,"&lt;&gt;Expired"))</f>
        <v/>
      </c>
      <c r="D76" s="79">
        <f>IF(OR($A76="",D$23=""),"",IF(COUNTIFS('AFA Rates'!$A$5:$A$1004,$A76,'AFA Rates'!$B$5:$B$1004,D$23,'AFA Rates'!$O$5:$O$1004,"&lt;&gt;Expired")&gt;0,"✓",IF(COUNTIFS('AFA Rates'!$A$5:$A$1004,$A76,'AFA Rates'!$B$5:$B$1004,D$23)&gt;0,"Exp","")))</f>
        <v/>
      </c>
      <c r="E76" s="79">
        <f>IF(OR($A76="",E$23=""),"",IF(COUNTIFS('AFA Rates'!$A$5:$A$1004,$A76,'AFA Rates'!$B$5:$B$1004,E$23,'AFA Rates'!$O$5:$O$1004,"&lt;&gt;Expired")&gt;0,"✓",IF(COUNTIFS('AFA Rates'!$A$5:$A$1004,$A76,'AFA Rates'!$B$5:$B$1004,E$23)&gt;0,"Exp","")))</f>
        <v/>
      </c>
      <c r="F76" s="79">
        <f>IF(OR($A76="",F$23=""),"",IF(COUNTIFS('AFA Rates'!$A$5:$A$1004,$A76,'AFA Rates'!$B$5:$B$1004,F$23,'AFA Rates'!$O$5:$O$1004,"&lt;&gt;Expired")&gt;0,"✓",IF(COUNTIFS('AFA Rates'!$A$5:$A$1004,$A76,'AFA Rates'!$B$5:$B$1004,F$23)&gt;0,"Exp","")))</f>
        <v/>
      </c>
      <c r="G76" s="79">
        <f>IF(OR($A76="",G$23=""),"",IF(COUNTIFS('AFA Rates'!$A$5:$A$1004,$A76,'AFA Rates'!$B$5:$B$1004,G$23,'AFA Rates'!$O$5:$O$1004,"&lt;&gt;Expired")&gt;0,"✓",IF(COUNTIFS('AFA Rates'!$A$5:$A$1004,$A76,'AFA Rates'!$B$5:$B$1004,G$23)&gt;0,"Exp","")))</f>
        <v/>
      </c>
      <c r="H76" s="79">
        <f>IF(OR($A76="",H$23=""),"",IF(COUNTIFS('AFA Rates'!$A$5:$A$1004,$A76,'AFA Rates'!$B$5:$B$1004,H$23,'AFA Rates'!$O$5:$O$1004,"&lt;&gt;Expired")&gt;0,"✓",IF(COUNTIFS('AFA Rates'!$A$5:$A$1004,$A76,'AFA Rates'!$B$5:$B$1004,H$23)&gt;0,"Exp","")))</f>
        <v/>
      </c>
      <c r="I76" s="79">
        <f>IF(OR($A76="",I$23=""),"",IF(COUNTIFS('AFA Rates'!$A$5:$A$1004,$A76,'AFA Rates'!$B$5:$B$1004,I$23,'AFA Rates'!$O$5:$O$1004,"&lt;&gt;Expired")&gt;0,"✓",IF(COUNTIFS('AFA Rates'!$A$5:$A$1004,$A76,'AFA Rates'!$B$5:$B$1004,I$23)&gt;0,"Exp","")))</f>
        <v/>
      </c>
      <c r="J76" s="79">
        <f>IF(OR($A76="",J$23=""),"",IF(COUNTIFS('AFA Rates'!$A$5:$A$1004,$A76,'AFA Rates'!$B$5:$B$1004,J$23,'AFA Rates'!$O$5:$O$1004,"&lt;&gt;Expired")&gt;0,"✓",IF(COUNTIFS('AFA Rates'!$A$5:$A$1004,$A76,'AFA Rates'!$B$5:$B$1004,J$23)&gt;0,"Exp","")))</f>
        <v/>
      </c>
      <c r="K76" s="79">
        <f>IF(OR($A76="",K$23=""),"",IF(COUNTIFS('AFA Rates'!$A$5:$A$1004,$A76,'AFA Rates'!$B$5:$B$1004,K$23,'AFA Rates'!$O$5:$O$1004,"&lt;&gt;Expired")&gt;0,"✓",IF(COUNTIFS('AFA Rates'!$A$5:$A$1004,$A76,'AFA Rates'!$B$5:$B$1004,K$23)&gt;0,"Exp","")))</f>
        <v/>
      </c>
      <c r="L76" s="79">
        <f>IF(OR($A76="",L$23=""),"",IF(COUNTIFS('AFA Rates'!$A$5:$A$1004,$A76,'AFA Rates'!$B$5:$B$1004,L$23,'AFA Rates'!$O$5:$O$1004,"&lt;&gt;Expired")&gt;0,"✓",IF(COUNTIFS('AFA Rates'!$A$5:$A$1004,$A76,'AFA Rates'!$B$5:$B$1004,L$23)&gt;0,"Exp","")))</f>
        <v/>
      </c>
      <c r="M76" s="79">
        <f>IF(OR($A76="",M$23=""),"",IF(COUNTIFS('AFA Rates'!$A$5:$A$1004,$A76,'AFA Rates'!$B$5:$B$1004,M$23,'AFA Rates'!$O$5:$O$1004,"&lt;&gt;Expired")&gt;0,"✓",IF(COUNTIFS('AFA Rates'!$A$5:$A$1004,$A76,'AFA Rates'!$B$5:$B$1004,M$23)&gt;0,"Exp","")))</f>
        <v/>
      </c>
    </row>
    <row r="77">
      <c r="A77" s="78">
        <f>IFERROR(INDEX(Firms!$A$5:$A$1004,MATCH(54,Firms!$V$5:$V$1004,0)),"")</f>
        <v/>
      </c>
      <c r="B77" s="79">
        <f>IF($A77="","",INDEX(Firms!$B$5:$B$1004,MATCH(54,Firms!$V$5:$V$1004,0)))</f>
        <v/>
      </c>
      <c r="C77" s="79">
        <f>IF($A77="","",COUNTIFS('AFA Rates'!$A$5:$A$1004,$A77,'AFA Rates'!$O$5:$O$1004,"&lt;&gt;Expired"))</f>
        <v/>
      </c>
      <c r="D77" s="79">
        <f>IF(OR($A77="",D$23=""),"",IF(COUNTIFS('AFA Rates'!$A$5:$A$1004,$A77,'AFA Rates'!$B$5:$B$1004,D$23,'AFA Rates'!$O$5:$O$1004,"&lt;&gt;Expired")&gt;0,"✓",IF(COUNTIFS('AFA Rates'!$A$5:$A$1004,$A77,'AFA Rates'!$B$5:$B$1004,D$23)&gt;0,"Exp","")))</f>
        <v/>
      </c>
      <c r="E77" s="79">
        <f>IF(OR($A77="",E$23=""),"",IF(COUNTIFS('AFA Rates'!$A$5:$A$1004,$A77,'AFA Rates'!$B$5:$B$1004,E$23,'AFA Rates'!$O$5:$O$1004,"&lt;&gt;Expired")&gt;0,"✓",IF(COUNTIFS('AFA Rates'!$A$5:$A$1004,$A77,'AFA Rates'!$B$5:$B$1004,E$23)&gt;0,"Exp","")))</f>
        <v/>
      </c>
      <c r="F77" s="79">
        <f>IF(OR($A77="",F$23=""),"",IF(COUNTIFS('AFA Rates'!$A$5:$A$1004,$A77,'AFA Rates'!$B$5:$B$1004,F$23,'AFA Rates'!$O$5:$O$1004,"&lt;&gt;Expired")&gt;0,"✓",IF(COUNTIFS('AFA Rates'!$A$5:$A$1004,$A77,'AFA Rates'!$B$5:$B$1004,F$23)&gt;0,"Exp","")))</f>
        <v/>
      </c>
      <c r="G77" s="79">
        <f>IF(OR($A77="",G$23=""),"",IF(COUNTIFS('AFA Rates'!$A$5:$A$1004,$A77,'AFA Rates'!$B$5:$B$1004,G$23,'AFA Rates'!$O$5:$O$1004,"&lt;&gt;Expired")&gt;0,"✓",IF(COUNTIFS('AFA Rates'!$A$5:$A$1004,$A77,'AFA Rates'!$B$5:$B$1004,G$23)&gt;0,"Exp","")))</f>
        <v/>
      </c>
      <c r="H77" s="79">
        <f>IF(OR($A77="",H$23=""),"",IF(COUNTIFS('AFA Rates'!$A$5:$A$1004,$A77,'AFA Rates'!$B$5:$B$1004,H$23,'AFA Rates'!$O$5:$O$1004,"&lt;&gt;Expired")&gt;0,"✓",IF(COUNTIFS('AFA Rates'!$A$5:$A$1004,$A77,'AFA Rates'!$B$5:$B$1004,H$23)&gt;0,"Exp","")))</f>
        <v/>
      </c>
      <c r="I77" s="79">
        <f>IF(OR($A77="",I$23=""),"",IF(COUNTIFS('AFA Rates'!$A$5:$A$1004,$A77,'AFA Rates'!$B$5:$B$1004,I$23,'AFA Rates'!$O$5:$O$1004,"&lt;&gt;Expired")&gt;0,"✓",IF(COUNTIFS('AFA Rates'!$A$5:$A$1004,$A77,'AFA Rates'!$B$5:$B$1004,I$23)&gt;0,"Exp","")))</f>
        <v/>
      </c>
      <c r="J77" s="79">
        <f>IF(OR($A77="",J$23=""),"",IF(COUNTIFS('AFA Rates'!$A$5:$A$1004,$A77,'AFA Rates'!$B$5:$B$1004,J$23,'AFA Rates'!$O$5:$O$1004,"&lt;&gt;Expired")&gt;0,"✓",IF(COUNTIFS('AFA Rates'!$A$5:$A$1004,$A77,'AFA Rates'!$B$5:$B$1004,J$23)&gt;0,"Exp","")))</f>
        <v/>
      </c>
      <c r="K77" s="79">
        <f>IF(OR($A77="",K$23=""),"",IF(COUNTIFS('AFA Rates'!$A$5:$A$1004,$A77,'AFA Rates'!$B$5:$B$1004,K$23,'AFA Rates'!$O$5:$O$1004,"&lt;&gt;Expired")&gt;0,"✓",IF(COUNTIFS('AFA Rates'!$A$5:$A$1004,$A77,'AFA Rates'!$B$5:$B$1004,K$23)&gt;0,"Exp","")))</f>
        <v/>
      </c>
      <c r="L77" s="79">
        <f>IF(OR($A77="",L$23=""),"",IF(COUNTIFS('AFA Rates'!$A$5:$A$1004,$A77,'AFA Rates'!$B$5:$B$1004,L$23,'AFA Rates'!$O$5:$O$1004,"&lt;&gt;Expired")&gt;0,"✓",IF(COUNTIFS('AFA Rates'!$A$5:$A$1004,$A77,'AFA Rates'!$B$5:$B$1004,L$23)&gt;0,"Exp","")))</f>
        <v/>
      </c>
      <c r="M77" s="79">
        <f>IF(OR($A77="",M$23=""),"",IF(COUNTIFS('AFA Rates'!$A$5:$A$1004,$A77,'AFA Rates'!$B$5:$B$1004,M$23,'AFA Rates'!$O$5:$O$1004,"&lt;&gt;Expired")&gt;0,"✓",IF(COUNTIFS('AFA Rates'!$A$5:$A$1004,$A77,'AFA Rates'!$B$5:$B$1004,M$23)&gt;0,"Exp","")))</f>
        <v/>
      </c>
    </row>
    <row r="78">
      <c r="A78" s="78">
        <f>IFERROR(INDEX(Firms!$A$5:$A$1004,MATCH(55,Firms!$V$5:$V$1004,0)),"")</f>
        <v/>
      </c>
      <c r="B78" s="79">
        <f>IF($A78="","",INDEX(Firms!$B$5:$B$1004,MATCH(55,Firms!$V$5:$V$1004,0)))</f>
        <v/>
      </c>
      <c r="C78" s="79">
        <f>IF($A78="","",COUNTIFS('AFA Rates'!$A$5:$A$1004,$A78,'AFA Rates'!$O$5:$O$1004,"&lt;&gt;Expired"))</f>
        <v/>
      </c>
      <c r="D78" s="79">
        <f>IF(OR($A78="",D$23=""),"",IF(COUNTIFS('AFA Rates'!$A$5:$A$1004,$A78,'AFA Rates'!$B$5:$B$1004,D$23,'AFA Rates'!$O$5:$O$1004,"&lt;&gt;Expired")&gt;0,"✓",IF(COUNTIFS('AFA Rates'!$A$5:$A$1004,$A78,'AFA Rates'!$B$5:$B$1004,D$23)&gt;0,"Exp","")))</f>
        <v/>
      </c>
      <c r="E78" s="79">
        <f>IF(OR($A78="",E$23=""),"",IF(COUNTIFS('AFA Rates'!$A$5:$A$1004,$A78,'AFA Rates'!$B$5:$B$1004,E$23,'AFA Rates'!$O$5:$O$1004,"&lt;&gt;Expired")&gt;0,"✓",IF(COUNTIFS('AFA Rates'!$A$5:$A$1004,$A78,'AFA Rates'!$B$5:$B$1004,E$23)&gt;0,"Exp","")))</f>
        <v/>
      </c>
      <c r="F78" s="79">
        <f>IF(OR($A78="",F$23=""),"",IF(COUNTIFS('AFA Rates'!$A$5:$A$1004,$A78,'AFA Rates'!$B$5:$B$1004,F$23,'AFA Rates'!$O$5:$O$1004,"&lt;&gt;Expired")&gt;0,"✓",IF(COUNTIFS('AFA Rates'!$A$5:$A$1004,$A78,'AFA Rates'!$B$5:$B$1004,F$23)&gt;0,"Exp","")))</f>
        <v/>
      </c>
      <c r="G78" s="79">
        <f>IF(OR($A78="",G$23=""),"",IF(COUNTIFS('AFA Rates'!$A$5:$A$1004,$A78,'AFA Rates'!$B$5:$B$1004,G$23,'AFA Rates'!$O$5:$O$1004,"&lt;&gt;Expired")&gt;0,"✓",IF(COUNTIFS('AFA Rates'!$A$5:$A$1004,$A78,'AFA Rates'!$B$5:$B$1004,G$23)&gt;0,"Exp","")))</f>
        <v/>
      </c>
      <c r="H78" s="79">
        <f>IF(OR($A78="",H$23=""),"",IF(COUNTIFS('AFA Rates'!$A$5:$A$1004,$A78,'AFA Rates'!$B$5:$B$1004,H$23,'AFA Rates'!$O$5:$O$1004,"&lt;&gt;Expired")&gt;0,"✓",IF(COUNTIFS('AFA Rates'!$A$5:$A$1004,$A78,'AFA Rates'!$B$5:$B$1004,H$23)&gt;0,"Exp","")))</f>
        <v/>
      </c>
      <c r="I78" s="79">
        <f>IF(OR($A78="",I$23=""),"",IF(COUNTIFS('AFA Rates'!$A$5:$A$1004,$A78,'AFA Rates'!$B$5:$B$1004,I$23,'AFA Rates'!$O$5:$O$1004,"&lt;&gt;Expired")&gt;0,"✓",IF(COUNTIFS('AFA Rates'!$A$5:$A$1004,$A78,'AFA Rates'!$B$5:$B$1004,I$23)&gt;0,"Exp","")))</f>
        <v/>
      </c>
      <c r="J78" s="79">
        <f>IF(OR($A78="",J$23=""),"",IF(COUNTIFS('AFA Rates'!$A$5:$A$1004,$A78,'AFA Rates'!$B$5:$B$1004,J$23,'AFA Rates'!$O$5:$O$1004,"&lt;&gt;Expired")&gt;0,"✓",IF(COUNTIFS('AFA Rates'!$A$5:$A$1004,$A78,'AFA Rates'!$B$5:$B$1004,J$23)&gt;0,"Exp","")))</f>
        <v/>
      </c>
      <c r="K78" s="79">
        <f>IF(OR($A78="",K$23=""),"",IF(COUNTIFS('AFA Rates'!$A$5:$A$1004,$A78,'AFA Rates'!$B$5:$B$1004,K$23,'AFA Rates'!$O$5:$O$1004,"&lt;&gt;Expired")&gt;0,"✓",IF(COUNTIFS('AFA Rates'!$A$5:$A$1004,$A78,'AFA Rates'!$B$5:$B$1004,K$23)&gt;0,"Exp","")))</f>
        <v/>
      </c>
      <c r="L78" s="79">
        <f>IF(OR($A78="",L$23=""),"",IF(COUNTIFS('AFA Rates'!$A$5:$A$1004,$A78,'AFA Rates'!$B$5:$B$1004,L$23,'AFA Rates'!$O$5:$O$1004,"&lt;&gt;Expired")&gt;0,"✓",IF(COUNTIFS('AFA Rates'!$A$5:$A$1004,$A78,'AFA Rates'!$B$5:$B$1004,L$23)&gt;0,"Exp","")))</f>
        <v/>
      </c>
      <c r="M78" s="79">
        <f>IF(OR($A78="",M$23=""),"",IF(COUNTIFS('AFA Rates'!$A$5:$A$1004,$A78,'AFA Rates'!$B$5:$B$1004,M$23,'AFA Rates'!$O$5:$O$1004,"&lt;&gt;Expired")&gt;0,"✓",IF(COUNTIFS('AFA Rates'!$A$5:$A$1004,$A78,'AFA Rates'!$B$5:$B$1004,M$23)&gt;0,"Exp","")))</f>
        <v/>
      </c>
    </row>
    <row r="79">
      <c r="A79" s="78">
        <f>IFERROR(INDEX(Firms!$A$5:$A$1004,MATCH(56,Firms!$V$5:$V$1004,0)),"")</f>
        <v/>
      </c>
      <c r="B79" s="79">
        <f>IF($A79="","",INDEX(Firms!$B$5:$B$1004,MATCH(56,Firms!$V$5:$V$1004,0)))</f>
        <v/>
      </c>
      <c r="C79" s="79">
        <f>IF($A79="","",COUNTIFS('AFA Rates'!$A$5:$A$1004,$A79,'AFA Rates'!$O$5:$O$1004,"&lt;&gt;Expired"))</f>
        <v/>
      </c>
      <c r="D79" s="79">
        <f>IF(OR($A79="",D$23=""),"",IF(COUNTIFS('AFA Rates'!$A$5:$A$1004,$A79,'AFA Rates'!$B$5:$B$1004,D$23,'AFA Rates'!$O$5:$O$1004,"&lt;&gt;Expired")&gt;0,"✓",IF(COUNTIFS('AFA Rates'!$A$5:$A$1004,$A79,'AFA Rates'!$B$5:$B$1004,D$23)&gt;0,"Exp","")))</f>
        <v/>
      </c>
      <c r="E79" s="79">
        <f>IF(OR($A79="",E$23=""),"",IF(COUNTIFS('AFA Rates'!$A$5:$A$1004,$A79,'AFA Rates'!$B$5:$B$1004,E$23,'AFA Rates'!$O$5:$O$1004,"&lt;&gt;Expired")&gt;0,"✓",IF(COUNTIFS('AFA Rates'!$A$5:$A$1004,$A79,'AFA Rates'!$B$5:$B$1004,E$23)&gt;0,"Exp","")))</f>
        <v/>
      </c>
      <c r="F79" s="79">
        <f>IF(OR($A79="",F$23=""),"",IF(COUNTIFS('AFA Rates'!$A$5:$A$1004,$A79,'AFA Rates'!$B$5:$B$1004,F$23,'AFA Rates'!$O$5:$O$1004,"&lt;&gt;Expired")&gt;0,"✓",IF(COUNTIFS('AFA Rates'!$A$5:$A$1004,$A79,'AFA Rates'!$B$5:$B$1004,F$23)&gt;0,"Exp","")))</f>
        <v/>
      </c>
      <c r="G79" s="79">
        <f>IF(OR($A79="",G$23=""),"",IF(COUNTIFS('AFA Rates'!$A$5:$A$1004,$A79,'AFA Rates'!$B$5:$B$1004,G$23,'AFA Rates'!$O$5:$O$1004,"&lt;&gt;Expired")&gt;0,"✓",IF(COUNTIFS('AFA Rates'!$A$5:$A$1004,$A79,'AFA Rates'!$B$5:$B$1004,G$23)&gt;0,"Exp","")))</f>
        <v/>
      </c>
      <c r="H79" s="79">
        <f>IF(OR($A79="",H$23=""),"",IF(COUNTIFS('AFA Rates'!$A$5:$A$1004,$A79,'AFA Rates'!$B$5:$B$1004,H$23,'AFA Rates'!$O$5:$O$1004,"&lt;&gt;Expired")&gt;0,"✓",IF(COUNTIFS('AFA Rates'!$A$5:$A$1004,$A79,'AFA Rates'!$B$5:$B$1004,H$23)&gt;0,"Exp","")))</f>
        <v/>
      </c>
      <c r="I79" s="79">
        <f>IF(OR($A79="",I$23=""),"",IF(COUNTIFS('AFA Rates'!$A$5:$A$1004,$A79,'AFA Rates'!$B$5:$B$1004,I$23,'AFA Rates'!$O$5:$O$1004,"&lt;&gt;Expired")&gt;0,"✓",IF(COUNTIFS('AFA Rates'!$A$5:$A$1004,$A79,'AFA Rates'!$B$5:$B$1004,I$23)&gt;0,"Exp","")))</f>
        <v/>
      </c>
      <c r="J79" s="79">
        <f>IF(OR($A79="",J$23=""),"",IF(COUNTIFS('AFA Rates'!$A$5:$A$1004,$A79,'AFA Rates'!$B$5:$B$1004,J$23,'AFA Rates'!$O$5:$O$1004,"&lt;&gt;Expired")&gt;0,"✓",IF(COUNTIFS('AFA Rates'!$A$5:$A$1004,$A79,'AFA Rates'!$B$5:$B$1004,J$23)&gt;0,"Exp","")))</f>
        <v/>
      </c>
      <c r="K79" s="79">
        <f>IF(OR($A79="",K$23=""),"",IF(COUNTIFS('AFA Rates'!$A$5:$A$1004,$A79,'AFA Rates'!$B$5:$B$1004,K$23,'AFA Rates'!$O$5:$O$1004,"&lt;&gt;Expired")&gt;0,"✓",IF(COUNTIFS('AFA Rates'!$A$5:$A$1004,$A79,'AFA Rates'!$B$5:$B$1004,K$23)&gt;0,"Exp","")))</f>
        <v/>
      </c>
      <c r="L79" s="79">
        <f>IF(OR($A79="",L$23=""),"",IF(COUNTIFS('AFA Rates'!$A$5:$A$1004,$A79,'AFA Rates'!$B$5:$B$1004,L$23,'AFA Rates'!$O$5:$O$1004,"&lt;&gt;Expired")&gt;0,"✓",IF(COUNTIFS('AFA Rates'!$A$5:$A$1004,$A79,'AFA Rates'!$B$5:$B$1004,L$23)&gt;0,"Exp","")))</f>
        <v/>
      </c>
      <c r="M79" s="79">
        <f>IF(OR($A79="",M$23=""),"",IF(COUNTIFS('AFA Rates'!$A$5:$A$1004,$A79,'AFA Rates'!$B$5:$B$1004,M$23,'AFA Rates'!$O$5:$O$1004,"&lt;&gt;Expired")&gt;0,"✓",IF(COUNTIFS('AFA Rates'!$A$5:$A$1004,$A79,'AFA Rates'!$B$5:$B$1004,M$23)&gt;0,"Exp","")))</f>
        <v/>
      </c>
    </row>
    <row r="80">
      <c r="A80" s="78">
        <f>IFERROR(INDEX(Firms!$A$5:$A$1004,MATCH(57,Firms!$V$5:$V$1004,0)),"")</f>
        <v/>
      </c>
      <c r="B80" s="79">
        <f>IF($A80="","",INDEX(Firms!$B$5:$B$1004,MATCH(57,Firms!$V$5:$V$1004,0)))</f>
        <v/>
      </c>
      <c r="C80" s="79">
        <f>IF($A80="","",COUNTIFS('AFA Rates'!$A$5:$A$1004,$A80,'AFA Rates'!$O$5:$O$1004,"&lt;&gt;Expired"))</f>
        <v/>
      </c>
      <c r="D80" s="79">
        <f>IF(OR($A80="",D$23=""),"",IF(COUNTIFS('AFA Rates'!$A$5:$A$1004,$A80,'AFA Rates'!$B$5:$B$1004,D$23,'AFA Rates'!$O$5:$O$1004,"&lt;&gt;Expired")&gt;0,"✓",IF(COUNTIFS('AFA Rates'!$A$5:$A$1004,$A80,'AFA Rates'!$B$5:$B$1004,D$23)&gt;0,"Exp","")))</f>
        <v/>
      </c>
      <c r="E80" s="79">
        <f>IF(OR($A80="",E$23=""),"",IF(COUNTIFS('AFA Rates'!$A$5:$A$1004,$A80,'AFA Rates'!$B$5:$B$1004,E$23,'AFA Rates'!$O$5:$O$1004,"&lt;&gt;Expired")&gt;0,"✓",IF(COUNTIFS('AFA Rates'!$A$5:$A$1004,$A80,'AFA Rates'!$B$5:$B$1004,E$23)&gt;0,"Exp","")))</f>
        <v/>
      </c>
      <c r="F80" s="79">
        <f>IF(OR($A80="",F$23=""),"",IF(COUNTIFS('AFA Rates'!$A$5:$A$1004,$A80,'AFA Rates'!$B$5:$B$1004,F$23,'AFA Rates'!$O$5:$O$1004,"&lt;&gt;Expired")&gt;0,"✓",IF(COUNTIFS('AFA Rates'!$A$5:$A$1004,$A80,'AFA Rates'!$B$5:$B$1004,F$23)&gt;0,"Exp","")))</f>
        <v/>
      </c>
      <c r="G80" s="79">
        <f>IF(OR($A80="",G$23=""),"",IF(COUNTIFS('AFA Rates'!$A$5:$A$1004,$A80,'AFA Rates'!$B$5:$B$1004,G$23,'AFA Rates'!$O$5:$O$1004,"&lt;&gt;Expired")&gt;0,"✓",IF(COUNTIFS('AFA Rates'!$A$5:$A$1004,$A80,'AFA Rates'!$B$5:$B$1004,G$23)&gt;0,"Exp","")))</f>
        <v/>
      </c>
      <c r="H80" s="79">
        <f>IF(OR($A80="",H$23=""),"",IF(COUNTIFS('AFA Rates'!$A$5:$A$1004,$A80,'AFA Rates'!$B$5:$B$1004,H$23,'AFA Rates'!$O$5:$O$1004,"&lt;&gt;Expired")&gt;0,"✓",IF(COUNTIFS('AFA Rates'!$A$5:$A$1004,$A80,'AFA Rates'!$B$5:$B$1004,H$23)&gt;0,"Exp","")))</f>
        <v/>
      </c>
      <c r="I80" s="79">
        <f>IF(OR($A80="",I$23=""),"",IF(COUNTIFS('AFA Rates'!$A$5:$A$1004,$A80,'AFA Rates'!$B$5:$B$1004,I$23,'AFA Rates'!$O$5:$O$1004,"&lt;&gt;Expired")&gt;0,"✓",IF(COUNTIFS('AFA Rates'!$A$5:$A$1004,$A80,'AFA Rates'!$B$5:$B$1004,I$23)&gt;0,"Exp","")))</f>
        <v/>
      </c>
      <c r="J80" s="79">
        <f>IF(OR($A80="",J$23=""),"",IF(COUNTIFS('AFA Rates'!$A$5:$A$1004,$A80,'AFA Rates'!$B$5:$B$1004,J$23,'AFA Rates'!$O$5:$O$1004,"&lt;&gt;Expired")&gt;0,"✓",IF(COUNTIFS('AFA Rates'!$A$5:$A$1004,$A80,'AFA Rates'!$B$5:$B$1004,J$23)&gt;0,"Exp","")))</f>
        <v/>
      </c>
      <c r="K80" s="79">
        <f>IF(OR($A80="",K$23=""),"",IF(COUNTIFS('AFA Rates'!$A$5:$A$1004,$A80,'AFA Rates'!$B$5:$B$1004,K$23,'AFA Rates'!$O$5:$O$1004,"&lt;&gt;Expired")&gt;0,"✓",IF(COUNTIFS('AFA Rates'!$A$5:$A$1004,$A80,'AFA Rates'!$B$5:$B$1004,K$23)&gt;0,"Exp","")))</f>
        <v/>
      </c>
      <c r="L80" s="79">
        <f>IF(OR($A80="",L$23=""),"",IF(COUNTIFS('AFA Rates'!$A$5:$A$1004,$A80,'AFA Rates'!$B$5:$B$1004,L$23,'AFA Rates'!$O$5:$O$1004,"&lt;&gt;Expired")&gt;0,"✓",IF(COUNTIFS('AFA Rates'!$A$5:$A$1004,$A80,'AFA Rates'!$B$5:$B$1004,L$23)&gt;0,"Exp","")))</f>
        <v/>
      </c>
      <c r="M80" s="79">
        <f>IF(OR($A80="",M$23=""),"",IF(COUNTIFS('AFA Rates'!$A$5:$A$1004,$A80,'AFA Rates'!$B$5:$B$1004,M$23,'AFA Rates'!$O$5:$O$1004,"&lt;&gt;Expired")&gt;0,"✓",IF(COUNTIFS('AFA Rates'!$A$5:$A$1004,$A80,'AFA Rates'!$B$5:$B$1004,M$23)&gt;0,"Exp","")))</f>
        <v/>
      </c>
    </row>
    <row r="81">
      <c r="A81" s="78">
        <f>IFERROR(INDEX(Firms!$A$5:$A$1004,MATCH(58,Firms!$V$5:$V$1004,0)),"")</f>
        <v/>
      </c>
      <c r="B81" s="79">
        <f>IF($A81="","",INDEX(Firms!$B$5:$B$1004,MATCH(58,Firms!$V$5:$V$1004,0)))</f>
        <v/>
      </c>
      <c r="C81" s="79">
        <f>IF($A81="","",COUNTIFS('AFA Rates'!$A$5:$A$1004,$A81,'AFA Rates'!$O$5:$O$1004,"&lt;&gt;Expired"))</f>
        <v/>
      </c>
      <c r="D81" s="79">
        <f>IF(OR($A81="",D$23=""),"",IF(COUNTIFS('AFA Rates'!$A$5:$A$1004,$A81,'AFA Rates'!$B$5:$B$1004,D$23,'AFA Rates'!$O$5:$O$1004,"&lt;&gt;Expired")&gt;0,"✓",IF(COUNTIFS('AFA Rates'!$A$5:$A$1004,$A81,'AFA Rates'!$B$5:$B$1004,D$23)&gt;0,"Exp","")))</f>
        <v/>
      </c>
      <c r="E81" s="79">
        <f>IF(OR($A81="",E$23=""),"",IF(COUNTIFS('AFA Rates'!$A$5:$A$1004,$A81,'AFA Rates'!$B$5:$B$1004,E$23,'AFA Rates'!$O$5:$O$1004,"&lt;&gt;Expired")&gt;0,"✓",IF(COUNTIFS('AFA Rates'!$A$5:$A$1004,$A81,'AFA Rates'!$B$5:$B$1004,E$23)&gt;0,"Exp","")))</f>
        <v/>
      </c>
      <c r="F81" s="79">
        <f>IF(OR($A81="",F$23=""),"",IF(COUNTIFS('AFA Rates'!$A$5:$A$1004,$A81,'AFA Rates'!$B$5:$B$1004,F$23,'AFA Rates'!$O$5:$O$1004,"&lt;&gt;Expired")&gt;0,"✓",IF(COUNTIFS('AFA Rates'!$A$5:$A$1004,$A81,'AFA Rates'!$B$5:$B$1004,F$23)&gt;0,"Exp","")))</f>
        <v/>
      </c>
      <c r="G81" s="79">
        <f>IF(OR($A81="",G$23=""),"",IF(COUNTIFS('AFA Rates'!$A$5:$A$1004,$A81,'AFA Rates'!$B$5:$B$1004,G$23,'AFA Rates'!$O$5:$O$1004,"&lt;&gt;Expired")&gt;0,"✓",IF(COUNTIFS('AFA Rates'!$A$5:$A$1004,$A81,'AFA Rates'!$B$5:$B$1004,G$23)&gt;0,"Exp","")))</f>
        <v/>
      </c>
      <c r="H81" s="79">
        <f>IF(OR($A81="",H$23=""),"",IF(COUNTIFS('AFA Rates'!$A$5:$A$1004,$A81,'AFA Rates'!$B$5:$B$1004,H$23,'AFA Rates'!$O$5:$O$1004,"&lt;&gt;Expired")&gt;0,"✓",IF(COUNTIFS('AFA Rates'!$A$5:$A$1004,$A81,'AFA Rates'!$B$5:$B$1004,H$23)&gt;0,"Exp","")))</f>
        <v/>
      </c>
      <c r="I81" s="79">
        <f>IF(OR($A81="",I$23=""),"",IF(COUNTIFS('AFA Rates'!$A$5:$A$1004,$A81,'AFA Rates'!$B$5:$B$1004,I$23,'AFA Rates'!$O$5:$O$1004,"&lt;&gt;Expired")&gt;0,"✓",IF(COUNTIFS('AFA Rates'!$A$5:$A$1004,$A81,'AFA Rates'!$B$5:$B$1004,I$23)&gt;0,"Exp","")))</f>
        <v/>
      </c>
      <c r="J81" s="79">
        <f>IF(OR($A81="",J$23=""),"",IF(COUNTIFS('AFA Rates'!$A$5:$A$1004,$A81,'AFA Rates'!$B$5:$B$1004,J$23,'AFA Rates'!$O$5:$O$1004,"&lt;&gt;Expired")&gt;0,"✓",IF(COUNTIFS('AFA Rates'!$A$5:$A$1004,$A81,'AFA Rates'!$B$5:$B$1004,J$23)&gt;0,"Exp","")))</f>
        <v/>
      </c>
      <c r="K81" s="79">
        <f>IF(OR($A81="",K$23=""),"",IF(COUNTIFS('AFA Rates'!$A$5:$A$1004,$A81,'AFA Rates'!$B$5:$B$1004,K$23,'AFA Rates'!$O$5:$O$1004,"&lt;&gt;Expired")&gt;0,"✓",IF(COUNTIFS('AFA Rates'!$A$5:$A$1004,$A81,'AFA Rates'!$B$5:$B$1004,K$23)&gt;0,"Exp","")))</f>
        <v/>
      </c>
      <c r="L81" s="79">
        <f>IF(OR($A81="",L$23=""),"",IF(COUNTIFS('AFA Rates'!$A$5:$A$1004,$A81,'AFA Rates'!$B$5:$B$1004,L$23,'AFA Rates'!$O$5:$O$1004,"&lt;&gt;Expired")&gt;0,"✓",IF(COUNTIFS('AFA Rates'!$A$5:$A$1004,$A81,'AFA Rates'!$B$5:$B$1004,L$23)&gt;0,"Exp","")))</f>
        <v/>
      </c>
      <c r="M81" s="79">
        <f>IF(OR($A81="",M$23=""),"",IF(COUNTIFS('AFA Rates'!$A$5:$A$1004,$A81,'AFA Rates'!$B$5:$B$1004,M$23,'AFA Rates'!$O$5:$O$1004,"&lt;&gt;Expired")&gt;0,"✓",IF(COUNTIFS('AFA Rates'!$A$5:$A$1004,$A81,'AFA Rates'!$B$5:$B$1004,M$23)&gt;0,"Exp","")))</f>
        <v/>
      </c>
    </row>
    <row r="82">
      <c r="A82" s="78">
        <f>IFERROR(INDEX(Firms!$A$5:$A$1004,MATCH(59,Firms!$V$5:$V$1004,0)),"")</f>
        <v/>
      </c>
      <c r="B82" s="79">
        <f>IF($A82="","",INDEX(Firms!$B$5:$B$1004,MATCH(59,Firms!$V$5:$V$1004,0)))</f>
        <v/>
      </c>
      <c r="C82" s="79">
        <f>IF($A82="","",COUNTIFS('AFA Rates'!$A$5:$A$1004,$A82,'AFA Rates'!$O$5:$O$1004,"&lt;&gt;Expired"))</f>
        <v/>
      </c>
      <c r="D82" s="79">
        <f>IF(OR($A82="",D$23=""),"",IF(COUNTIFS('AFA Rates'!$A$5:$A$1004,$A82,'AFA Rates'!$B$5:$B$1004,D$23,'AFA Rates'!$O$5:$O$1004,"&lt;&gt;Expired")&gt;0,"✓",IF(COUNTIFS('AFA Rates'!$A$5:$A$1004,$A82,'AFA Rates'!$B$5:$B$1004,D$23)&gt;0,"Exp","")))</f>
        <v/>
      </c>
      <c r="E82" s="79">
        <f>IF(OR($A82="",E$23=""),"",IF(COUNTIFS('AFA Rates'!$A$5:$A$1004,$A82,'AFA Rates'!$B$5:$B$1004,E$23,'AFA Rates'!$O$5:$O$1004,"&lt;&gt;Expired")&gt;0,"✓",IF(COUNTIFS('AFA Rates'!$A$5:$A$1004,$A82,'AFA Rates'!$B$5:$B$1004,E$23)&gt;0,"Exp","")))</f>
        <v/>
      </c>
      <c r="F82" s="79">
        <f>IF(OR($A82="",F$23=""),"",IF(COUNTIFS('AFA Rates'!$A$5:$A$1004,$A82,'AFA Rates'!$B$5:$B$1004,F$23,'AFA Rates'!$O$5:$O$1004,"&lt;&gt;Expired")&gt;0,"✓",IF(COUNTIFS('AFA Rates'!$A$5:$A$1004,$A82,'AFA Rates'!$B$5:$B$1004,F$23)&gt;0,"Exp","")))</f>
        <v/>
      </c>
      <c r="G82" s="79">
        <f>IF(OR($A82="",G$23=""),"",IF(COUNTIFS('AFA Rates'!$A$5:$A$1004,$A82,'AFA Rates'!$B$5:$B$1004,G$23,'AFA Rates'!$O$5:$O$1004,"&lt;&gt;Expired")&gt;0,"✓",IF(COUNTIFS('AFA Rates'!$A$5:$A$1004,$A82,'AFA Rates'!$B$5:$B$1004,G$23)&gt;0,"Exp","")))</f>
        <v/>
      </c>
      <c r="H82" s="79">
        <f>IF(OR($A82="",H$23=""),"",IF(COUNTIFS('AFA Rates'!$A$5:$A$1004,$A82,'AFA Rates'!$B$5:$B$1004,H$23,'AFA Rates'!$O$5:$O$1004,"&lt;&gt;Expired")&gt;0,"✓",IF(COUNTIFS('AFA Rates'!$A$5:$A$1004,$A82,'AFA Rates'!$B$5:$B$1004,H$23)&gt;0,"Exp","")))</f>
        <v/>
      </c>
      <c r="I82" s="79">
        <f>IF(OR($A82="",I$23=""),"",IF(COUNTIFS('AFA Rates'!$A$5:$A$1004,$A82,'AFA Rates'!$B$5:$B$1004,I$23,'AFA Rates'!$O$5:$O$1004,"&lt;&gt;Expired")&gt;0,"✓",IF(COUNTIFS('AFA Rates'!$A$5:$A$1004,$A82,'AFA Rates'!$B$5:$B$1004,I$23)&gt;0,"Exp","")))</f>
        <v/>
      </c>
      <c r="J82" s="79">
        <f>IF(OR($A82="",J$23=""),"",IF(COUNTIFS('AFA Rates'!$A$5:$A$1004,$A82,'AFA Rates'!$B$5:$B$1004,J$23,'AFA Rates'!$O$5:$O$1004,"&lt;&gt;Expired")&gt;0,"✓",IF(COUNTIFS('AFA Rates'!$A$5:$A$1004,$A82,'AFA Rates'!$B$5:$B$1004,J$23)&gt;0,"Exp","")))</f>
        <v/>
      </c>
      <c r="K82" s="79">
        <f>IF(OR($A82="",K$23=""),"",IF(COUNTIFS('AFA Rates'!$A$5:$A$1004,$A82,'AFA Rates'!$B$5:$B$1004,K$23,'AFA Rates'!$O$5:$O$1004,"&lt;&gt;Expired")&gt;0,"✓",IF(COUNTIFS('AFA Rates'!$A$5:$A$1004,$A82,'AFA Rates'!$B$5:$B$1004,K$23)&gt;0,"Exp","")))</f>
        <v/>
      </c>
      <c r="L82" s="79">
        <f>IF(OR($A82="",L$23=""),"",IF(COUNTIFS('AFA Rates'!$A$5:$A$1004,$A82,'AFA Rates'!$B$5:$B$1004,L$23,'AFA Rates'!$O$5:$O$1004,"&lt;&gt;Expired")&gt;0,"✓",IF(COUNTIFS('AFA Rates'!$A$5:$A$1004,$A82,'AFA Rates'!$B$5:$B$1004,L$23)&gt;0,"Exp","")))</f>
        <v/>
      </c>
      <c r="M82" s="79">
        <f>IF(OR($A82="",M$23=""),"",IF(COUNTIFS('AFA Rates'!$A$5:$A$1004,$A82,'AFA Rates'!$B$5:$B$1004,M$23,'AFA Rates'!$O$5:$O$1004,"&lt;&gt;Expired")&gt;0,"✓",IF(COUNTIFS('AFA Rates'!$A$5:$A$1004,$A82,'AFA Rates'!$B$5:$B$1004,M$23)&gt;0,"Exp","")))</f>
        <v/>
      </c>
    </row>
    <row r="83">
      <c r="A83" s="78">
        <f>IFERROR(INDEX(Firms!$A$5:$A$1004,MATCH(60,Firms!$V$5:$V$1004,0)),"")</f>
        <v/>
      </c>
      <c r="B83" s="79">
        <f>IF($A83="","",INDEX(Firms!$B$5:$B$1004,MATCH(60,Firms!$V$5:$V$1004,0)))</f>
        <v/>
      </c>
      <c r="C83" s="79">
        <f>IF($A83="","",COUNTIFS('AFA Rates'!$A$5:$A$1004,$A83,'AFA Rates'!$O$5:$O$1004,"&lt;&gt;Expired"))</f>
        <v/>
      </c>
      <c r="D83" s="79">
        <f>IF(OR($A83="",D$23=""),"",IF(COUNTIFS('AFA Rates'!$A$5:$A$1004,$A83,'AFA Rates'!$B$5:$B$1004,D$23,'AFA Rates'!$O$5:$O$1004,"&lt;&gt;Expired")&gt;0,"✓",IF(COUNTIFS('AFA Rates'!$A$5:$A$1004,$A83,'AFA Rates'!$B$5:$B$1004,D$23)&gt;0,"Exp","")))</f>
        <v/>
      </c>
      <c r="E83" s="79">
        <f>IF(OR($A83="",E$23=""),"",IF(COUNTIFS('AFA Rates'!$A$5:$A$1004,$A83,'AFA Rates'!$B$5:$B$1004,E$23,'AFA Rates'!$O$5:$O$1004,"&lt;&gt;Expired")&gt;0,"✓",IF(COUNTIFS('AFA Rates'!$A$5:$A$1004,$A83,'AFA Rates'!$B$5:$B$1004,E$23)&gt;0,"Exp","")))</f>
        <v/>
      </c>
      <c r="F83" s="79">
        <f>IF(OR($A83="",F$23=""),"",IF(COUNTIFS('AFA Rates'!$A$5:$A$1004,$A83,'AFA Rates'!$B$5:$B$1004,F$23,'AFA Rates'!$O$5:$O$1004,"&lt;&gt;Expired")&gt;0,"✓",IF(COUNTIFS('AFA Rates'!$A$5:$A$1004,$A83,'AFA Rates'!$B$5:$B$1004,F$23)&gt;0,"Exp","")))</f>
        <v/>
      </c>
      <c r="G83" s="79">
        <f>IF(OR($A83="",G$23=""),"",IF(COUNTIFS('AFA Rates'!$A$5:$A$1004,$A83,'AFA Rates'!$B$5:$B$1004,G$23,'AFA Rates'!$O$5:$O$1004,"&lt;&gt;Expired")&gt;0,"✓",IF(COUNTIFS('AFA Rates'!$A$5:$A$1004,$A83,'AFA Rates'!$B$5:$B$1004,G$23)&gt;0,"Exp","")))</f>
        <v/>
      </c>
      <c r="H83" s="79">
        <f>IF(OR($A83="",H$23=""),"",IF(COUNTIFS('AFA Rates'!$A$5:$A$1004,$A83,'AFA Rates'!$B$5:$B$1004,H$23,'AFA Rates'!$O$5:$O$1004,"&lt;&gt;Expired")&gt;0,"✓",IF(COUNTIFS('AFA Rates'!$A$5:$A$1004,$A83,'AFA Rates'!$B$5:$B$1004,H$23)&gt;0,"Exp","")))</f>
        <v/>
      </c>
      <c r="I83" s="79">
        <f>IF(OR($A83="",I$23=""),"",IF(COUNTIFS('AFA Rates'!$A$5:$A$1004,$A83,'AFA Rates'!$B$5:$B$1004,I$23,'AFA Rates'!$O$5:$O$1004,"&lt;&gt;Expired")&gt;0,"✓",IF(COUNTIFS('AFA Rates'!$A$5:$A$1004,$A83,'AFA Rates'!$B$5:$B$1004,I$23)&gt;0,"Exp","")))</f>
        <v/>
      </c>
      <c r="J83" s="79">
        <f>IF(OR($A83="",J$23=""),"",IF(COUNTIFS('AFA Rates'!$A$5:$A$1004,$A83,'AFA Rates'!$B$5:$B$1004,J$23,'AFA Rates'!$O$5:$O$1004,"&lt;&gt;Expired")&gt;0,"✓",IF(COUNTIFS('AFA Rates'!$A$5:$A$1004,$A83,'AFA Rates'!$B$5:$B$1004,J$23)&gt;0,"Exp","")))</f>
        <v/>
      </c>
      <c r="K83" s="79">
        <f>IF(OR($A83="",K$23=""),"",IF(COUNTIFS('AFA Rates'!$A$5:$A$1004,$A83,'AFA Rates'!$B$5:$B$1004,K$23,'AFA Rates'!$O$5:$O$1004,"&lt;&gt;Expired")&gt;0,"✓",IF(COUNTIFS('AFA Rates'!$A$5:$A$1004,$A83,'AFA Rates'!$B$5:$B$1004,K$23)&gt;0,"Exp","")))</f>
        <v/>
      </c>
      <c r="L83" s="79">
        <f>IF(OR($A83="",L$23=""),"",IF(COUNTIFS('AFA Rates'!$A$5:$A$1004,$A83,'AFA Rates'!$B$5:$B$1004,L$23,'AFA Rates'!$O$5:$O$1004,"&lt;&gt;Expired")&gt;0,"✓",IF(COUNTIFS('AFA Rates'!$A$5:$A$1004,$A83,'AFA Rates'!$B$5:$B$1004,L$23)&gt;0,"Exp","")))</f>
        <v/>
      </c>
      <c r="M83" s="79">
        <f>IF(OR($A83="",M$23=""),"",IF(COUNTIFS('AFA Rates'!$A$5:$A$1004,$A83,'AFA Rates'!$B$5:$B$1004,M$23,'AFA Rates'!$O$5:$O$1004,"&lt;&gt;Expired")&gt;0,"✓",IF(COUNTIFS('AFA Rates'!$A$5:$A$1004,$A83,'AFA Rates'!$B$5:$B$1004,M$23)&gt;0,"Exp","")))</f>
        <v/>
      </c>
    </row>
    <row r="84">
      <c r="A84" s="78">
        <f>IFERROR(INDEX(Firms!$A$5:$A$1004,MATCH(61,Firms!$V$5:$V$1004,0)),"")</f>
        <v/>
      </c>
      <c r="B84" s="79">
        <f>IF($A84="","",INDEX(Firms!$B$5:$B$1004,MATCH(61,Firms!$V$5:$V$1004,0)))</f>
        <v/>
      </c>
      <c r="C84" s="79">
        <f>IF($A84="","",COUNTIFS('AFA Rates'!$A$5:$A$1004,$A84,'AFA Rates'!$O$5:$O$1004,"&lt;&gt;Expired"))</f>
        <v/>
      </c>
      <c r="D84" s="79">
        <f>IF(OR($A84="",D$23=""),"",IF(COUNTIFS('AFA Rates'!$A$5:$A$1004,$A84,'AFA Rates'!$B$5:$B$1004,D$23,'AFA Rates'!$O$5:$O$1004,"&lt;&gt;Expired")&gt;0,"✓",IF(COUNTIFS('AFA Rates'!$A$5:$A$1004,$A84,'AFA Rates'!$B$5:$B$1004,D$23)&gt;0,"Exp","")))</f>
        <v/>
      </c>
      <c r="E84" s="79">
        <f>IF(OR($A84="",E$23=""),"",IF(COUNTIFS('AFA Rates'!$A$5:$A$1004,$A84,'AFA Rates'!$B$5:$B$1004,E$23,'AFA Rates'!$O$5:$O$1004,"&lt;&gt;Expired")&gt;0,"✓",IF(COUNTIFS('AFA Rates'!$A$5:$A$1004,$A84,'AFA Rates'!$B$5:$B$1004,E$23)&gt;0,"Exp","")))</f>
        <v/>
      </c>
      <c r="F84" s="79">
        <f>IF(OR($A84="",F$23=""),"",IF(COUNTIFS('AFA Rates'!$A$5:$A$1004,$A84,'AFA Rates'!$B$5:$B$1004,F$23,'AFA Rates'!$O$5:$O$1004,"&lt;&gt;Expired")&gt;0,"✓",IF(COUNTIFS('AFA Rates'!$A$5:$A$1004,$A84,'AFA Rates'!$B$5:$B$1004,F$23)&gt;0,"Exp","")))</f>
        <v/>
      </c>
      <c r="G84" s="79">
        <f>IF(OR($A84="",G$23=""),"",IF(COUNTIFS('AFA Rates'!$A$5:$A$1004,$A84,'AFA Rates'!$B$5:$B$1004,G$23,'AFA Rates'!$O$5:$O$1004,"&lt;&gt;Expired")&gt;0,"✓",IF(COUNTIFS('AFA Rates'!$A$5:$A$1004,$A84,'AFA Rates'!$B$5:$B$1004,G$23)&gt;0,"Exp","")))</f>
        <v/>
      </c>
      <c r="H84" s="79">
        <f>IF(OR($A84="",H$23=""),"",IF(COUNTIFS('AFA Rates'!$A$5:$A$1004,$A84,'AFA Rates'!$B$5:$B$1004,H$23,'AFA Rates'!$O$5:$O$1004,"&lt;&gt;Expired")&gt;0,"✓",IF(COUNTIFS('AFA Rates'!$A$5:$A$1004,$A84,'AFA Rates'!$B$5:$B$1004,H$23)&gt;0,"Exp","")))</f>
        <v/>
      </c>
      <c r="I84" s="79">
        <f>IF(OR($A84="",I$23=""),"",IF(COUNTIFS('AFA Rates'!$A$5:$A$1004,$A84,'AFA Rates'!$B$5:$B$1004,I$23,'AFA Rates'!$O$5:$O$1004,"&lt;&gt;Expired")&gt;0,"✓",IF(COUNTIFS('AFA Rates'!$A$5:$A$1004,$A84,'AFA Rates'!$B$5:$B$1004,I$23)&gt;0,"Exp","")))</f>
        <v/>
      </c>
      <c r="J84" s="79">
        <f>IF(OR($A84="",J$23=""),"",IF(COUNTIFS('AFA Rates'!$A$5:$A$1004,$A84,'AFA Rates'!$B$5:$B$1004,J$23,'AFA Rates'!$O$5:$O$1004,"&lt;&gt;Expired")&gt;0,"✓",IF(COUNTIFS('AFA Rates'!$A$5:$A$1004,$A84,'AFA Rates'!$B$5:$B$1004,J$23)&gt;0,"Exp","")))</f>
        <v/>
      </c>
      <c r="K84" s="79">
        <f>IF(OR($A84="",K$23=""),"",IF(COUNTIFS('AFA Rates'!$A$5:$A$1004,$A84,'AFA Rates'!$B$5:$B$1004,K$23,'AFA Rates'!$O$5:$O$1004,"&lt;&gt;Expired")&gt;0,"✓",IF(COUNTIFS('AFA Rates'!$A$5:$A$1004,$A84,'AFA Rates'!$B$5:$B$1004,K$23)&gt;0,"Exp","")))</f>
        <v/>
      </c>
      <c r="L84" s="79">
        <f>IF(OR($A84="",L$23=""),"",IF(COUNTIFS('AFA Rates'!$A$5:$A$1004,$A84,'AFA Rates'!$B$5:$B$1004,L$23,'AFA Rates'!$O$5:$O$1004,"&lt;&gt;Expired")&gt;0,"✓",IF(COUNTIFS('AFA Rates'!$A$5:$A$1004,$A84,'AFA Rates'!$B$5:$B$1004,L$23)&gt;0,"Exp","")))</f>
        <v/>
      </c>
      <c r="M84" s="79">
        <f>IF(OR($A84="",M$23=""),"",IF(COUNTIFS('AFA Rates'!$A$5:$A$1004,$A84,'AFA Rates'!$B$5:$B$1004,M$23,'AFA Rates'!$O$5:$O$1004,"&lt;&gt;Expired")&gt;0,"✓",IF(COUNTIFS('AFA Rates'!$A$5:$A$1004,$A84,'AFA Rates'!$B$5:$B$1004,M$23)&gt;0,"Exp","")))</f>
        <v/>
      </c>
    </row>
    <row r="85">
      <c r="A85" s="78">
        <f>IFERROR(INDEX(Firms!$A$5:$A$1004,MATCH(62,Firms!$V$5:$V$1004,0)),"")</f>
        <v/>
      </c>
      <c r="B85" s="79">
        <f>IF($A85="","",INDEX(Firms!$B$5:$B$1004,MATCH(62,Firms!$V$5:$V$1004,0)))</f>
        <v/>
      </c>
      <c r="C85" s="79">
        <f>IF($A85="","",COUNTIFS('AFA Rates'!$A$5:$A$1004,$A85,'AFA Rates'!$O$5:$O$1004,"&lt;&gt;Expired"))</f>
        <v/>
      </c>
      <c r="D85" s="79">
        <f>IF(OR($A85="",D$23=""),"",IF(COUNTIFS('AFA Rates'!$A$5:$A$1004,$A85,'AFA Rates'!$B$5:$B$1004,D$23,'AFA Rates'!$O$5:$O$1004,"&lt;&gt;Expired")&gt;0,"✓",IF(COUNTIFS('AFA Rates'!$A$5:$A$1004,$A85,'AFA Rates'!$B$5:$B$1004,D$23)&gt;0,"Exp","")))</f>
        <v/>
      </c>
      <c r="E85" s="79">
        <f>IF(OR($A85="",E$23=""),"",IF(COUNTIFS('AFA Rates'!$A$5:$A$1004,$A85,'AFA Rates'!$B$5:$B$1004,E$23,'AFA Rates'!$O$5:$O$1004,"&lt;&gt;Expired")&gt;0,"✓",IF(COUNTIFS('AFA Rates'!$A$5:$A$1004,$A85,'AFA Rates'!$B$5:$B$1004,E$23)&gt;0,"Exp","")))</f>
        <v/>
      </c>
      <c r="F85" s="79">
        <f>IF(OR($A85="",F$23=""),"",IF(COUNTIFS('AFA Rates'!$A$5:$A$1004,$A85,'AFA Rates'!$B$5:$B$1004,F$23,'AFA Rates'!$O$5:$O$1004,"&lt;&gt;Expired")&gt;0,"✓",IF(COUNTIFS('AFA Rates'!$A$5:$A$1004,$A85,'AFA Rates'!$B$5:$B$1004,F$23)&gt;0,"Exp","")))</f>
        <v/>
      </c>
      <c r="G85" s="79">
        <f>IF(OR($A85="",G$23=""),"",IF(COUNTIFS('AFA Rates'!$A$5:$A$1004,$A85,'AFA Rates'!$B$5:$B$1004,G$23,'AFA Rates'!$O$5:$O$1004,"&lt;&gt;Expired")&gt;0,"✓",IF(COUNTIFS('AFA Rates'!$A$5:$A$1004,$A85,'AFA Rates'!$B$5:$B$1004,G$23)&gt;0,"Exp","")))</f>
        <v/>
      </c>
      <c r="H85" s="79">
        <f>IF(OR($A85="",H$23=""),"",IF(COUNTIFS('AFA Rates'!$A$5:$A$1004,$A85,'AFA Rates'!$B$5:$B$1004,H$23,'AFA Rates'!$O$5:$O$1004,"&lt;&gt;Expired")&gt;0,"✓",IF(COUNTIFS('AFA Rates'!$A$5:$A$1004,$A85,'AFA Rates'!$B$5:$B$1004,H$23)&gt;0,"Exp","")))</f>
        <v/>
      </c>
      <c r="I85" s="79">
        <f>IF(OR($A85="",I$23=""),"",IF(COUNTIFS('AFA Rates'!$A$5:$A$1004,$A85,'AFA Rates'!$B$5:$B$1004,I$23,'AFA Rates'!$O$5:$O$1004,"&lt;&gt;Expired")&gt;0,"✓",IF(COUNTIFS('AFA Rates'!$A$5:$A$1004,$A85,'AFA Rates'!$B$5:$B$1004,I$23)&gt;0,"Exp","")))</f>
        <v/>
      </c>
      <c r="J85" s="79">
        <f>IF(OR($A85="",J$23=""),"",IF(COUNTIFS('AFA Rates'!$A$5:$A$1004,$A85,'AFA Rates'!$B$5:$B$1004,J$23,'AFA Rates'!$O$5:$O$1004,"&lt;&gt;Expired")&gt;0,"✓",IF(COUNTIFS('AFA Rates'!$A$5:$A$1004,$A85,'AFA Rates'!$B$5:$B$1004,J$23)&gt;0,"Exp","")))</f>
        <v/>
      </c>
      <c r="K85" s="79">
        <f>IF(OR($A85="",K$23=""),"",IF(COUNTIFS('AFA Rates'!$A$5:$A$1004,$A85,'AFA Rates'!$B$5:$B$1004,K$23,'AFA Rates'!$O$5:$O$1004,"&lt;&gt;Expired")&gt;0,"✓",IF(COUNTIFS('AFA Rates'!$A$5:$A$1004,$A85,'AFA Rates'!$B$5:$B$1004,K$23)&gt;0,"Exp","")))</f>
        <v/>
      </c>
      <c r="L85" s="79">
        <f>IF(OR($A85="",L$23=""),"",IF(COUNTIFS('AFA Rates'!$A$5:$A$1004,$A85,'AFA Rates'!$B$5:$B$1004,L$23,'AFA Rates'!$O$5:$O$1004,"&lt;&gt;Expired")&gt;0,"✓",IF(COUNTIFS('AFA Rates'!$A$5:$A$1004,$A85,'AFA Rates'!$B$5:$B$1004,L$23)&gt;0,"Exp","")))</f>
        <v/>
      </c>
      <c r="M85" s="79">
        <f>IF(OR($A85="",M$23=""),"",IF(COUNTIFS('AFA Rates'!$A$5:$A$1004,$A85,'AFA Rates'!$B$5:$B$1004,M$23,'AFA Rates'!$O$5:$O$1004,"&lt;&gt;Expired")&gt;0,"✓",IF(COUNTIFS('AFA Rates'!$A$5:$A$1004,$A85,'AFA Rates'!$B$5:$B$1004,M$23)&gt;0,"Exp","")))</f>
        <v/>
      </c>
    </row>
    <row r="86">
      <c r="A86" s="78">
        <f>IFERROR(INDEX(Firms!$A$5:$A$1004,MATCH(63,Firms!$V$5:$V$1004,0)),"")</f>
        <v/>
      </c>
      <c r="B86" s="79">
        <f>IF($A86="","",INDEX(Firms!$B$5:$B$1004,MATCH(63,Firms!$V$5:$V$1004,0)))</f>
        <v/>
      </c>
      <c r="C86" s="79">
        <f>IF($A86="","",COUNTIFS('AFA Rates'!$A$5:$A$1004,$A86,'AFA Rates'!$O$5:$O$1004,"&lt;&gt;Expired"))</f>
        <v/>
      </c>
      <c r="D86" s="79">
        <f>IF(OR($A86="",D$23=""),"",IF(COUNTIFS('AFA Rates'!$A$5:$A$1004,$A86,'AFA Rates'!$B$5:$B$1004,D$23,'AFA Rates'!$O$5:$O$1004,"&lt;&gt;Expired")&gt;0,"✓",IF(COUNTIFS('AFA Rates'!$A$5:$A$1004,$A86,'AFA Rates'!$B$5:$B$1004,D$23)&gt;0,"Exp","")))</f>
        <v/>
      </c>
      <c r="E86" s="79">
        <f>IF(OR($A86="",E$23=""),"",IF(COUNTIFS('AFA Rates'!$A$5:$A$1004,$A86,'AFA Rates'!$B$5:$B$1004,E$23,'AFA Rates'!$O$5:$O$1004,"&lt;&gt;Expired")&gt;0,"✓",IF(COUNTIFS('AFA Rates'!$A$5:$A$1004,$A86,'AFA Rates'!$B$5:$B$1004,E$23)&gt;0,"Exp","")))</f>
        <v/>
      </c>
      <c r="F86" s="79">
        <f>IF(OR($A86="",F$23=""),"",IF(COUNTIFS('AFA Rates'!$A$5:$A$1004,$A86,'AFA Rates'!$B$5:$B$1004,F$23,'AFA Rates'!$O$5:$O$1004,"&lt;&gt;Expired")&gt;0,"✓",IF(COUNTIFS('AFA Rates'!$A$5:$A$1004,$A86,'AFA Rates'!$B$5:$B$1004,F$23)&gt;0,"Exp","")))</f>
        <v/>
      </c>
      <c r="G86" s="79">
        <f>IF(OR($A86="",G$23=""),"",IF(COUNTIFS('AFA Rates'!$A$5:$A$1004,$A86,'AFA Rates'!$B$5:$B$1004,G$23,'AFA Rates'!$O$5:$O$1004,"&lt;&gt;Expired")&gt;0,"✓",IF(COUNTIFS('AFA Rates'!$A$5:$A$1004,$A86,'AFA Rates'!$B$5:$B$1004,G$23)&gt;0,"Exp","")))</f>
        <v/>
      </c>
      <c r="H86" s="79">
        <f>IF(OR($A86="",H$23=""),"",IF(COUNTIFS('AFA Rates'!$A$5:$A$1004,$A86,'AFA Rates'!$B$5:$B$1004,H$23,'AFA Rates'!$O$5:$O$1004,"&lt;&gt;Expired")&gt;0,"✓",IF(COUNTIFS('AFA Rates'!$A$5:$A$1004,$A86,'AFA Rates'!$B$5:$B$1004,H$23)&gt;0,"Exp","")))</f>
        <v/>
      </c>
      <c r="I86" s="79">
        <f>IF(OR($A86="",I$23=""),"",IF(COUNTIFS('AFA Rates'!$A$5:$A$1004,$A86,'AFA Rates'!$B$5:$B$1004,I$23,'AFA Rates'!$O$5:$O$1004,"&lt;&gt;Expired")&gt;0,"✓",IF(COUNTIFS('AFA Rates'!$A$5:$A$1004,$A86,'AFA Rates'!$B$5:$B$1004,I$23)&gt;0,"Exp","")))</f>
        <v/>
      </c>
      <c r="J86" s="79">
        <f>IF(OR($A86="",J$23=""),"",IF(COUNTIFS('AFA Rates'!$A$5:$A$1004,$A86,'AFA Rates'!$B$5:$B$1004,J$23,'AFA Rates'!$O$5:$O$1004,"&lt;&gt;Expired")&gt;0,"✓",IF(COUNTIFS('AFA Rates'!$A$5:$A$1004,$A86,'AFA Rates'!$B$5:$B$1004,J$23)&gt;0,"Exp","")))</f>
        <v/>
      </c>
      <c r="K86" s="79">
        <f>IF(OR($A86="",K$23=""),"",IF(COUNTIFS('AFA Rates'!$A$5:$A$1004,$A86,'AFA Rates'!$B$5:$B$1004,K$23,'AFA Rates'!$O$5:$O$1004,"&lt;&gt;Expired")&gt;0,"✓",IF(COUNTIFS('AFA Rates'!$A$5:$A$1004,$A86,'AFA Rates'!$B$5:$B$1004,K$23)&gt;0,"Exp","")))</f>
        <v/>
      </c>
      <c r="L86" s="79">
        <f>IF(OR($A86="",L$23=""),"",IF(COUNTIFS('AFA Rates'!$A$5:$A$1004,$A86,'AFA Rates'!$B$5:$B$1004,L$23,'AFA Rates'!$O$5:$O$1004,"&lt;&gt;Expired")&gt;0,"✓",IF(COUNTIFS('AFA Rates'!$A$5:$A$1004,$A86,'AFA Rates'!$B$5:$B$1004,L$23)&gt;0,"Exp","")))</f>
        <v/>
      </c>
      <c r="M86" s="79">
        <f>IF(OR($A86="",M$23=""),"",IF(COUNTIFS('AFA Rates'!$A$5:$A$1004,$A86,'AFA Rates'!$B$5:$B$1004,M$23,'AFA Rates'!$O$5:$O$1004,"&lt;&gt;Expired")&gt;0,"✓",IF(COUNTIFS('AFA Rates'!$A$5:$A$1004,$A86,'AFA Rates'!$B$5:$B$1004,M$23)&gt;0,"Exp","")))</f>
        <v/>
      </c>
    </row>
    <row r="87">
      <c r="A87" s="78">
        <f>IFERROR(INDEX(Firms!$A$5:$A$1004,MATCH(64,Firms!$V$5:$V$1004,0)),"")</f>
        <v/>
      </c>
      <c r="B87" s="79">
        <f>IF($A87="","",INDEX(Firms!$B$5:$B$1004,MATCH(64,Firms!$V$5:$V$1004,0)))</f>
        <v/>
      </c>
      <c r="C87" s="79">
        <f>IF($A87="","",COUNTIFS('AFA Rates'!$A$5:$A$1004,$A87,'AFA Rates'!$O$5:$O$1004,"&lt;&gt;Expired"))</f>
        <v/>
      </c>
      <c r="D87" s="79">
        <f>IF(OR($A87="",D$23=""),"",IF(COUNTIFS('AFA Rates'!$A$5:$A$1004,$A87,'AFA Rates'!$B$5:$B$1004,D$23,'AFA Rates'!$O$5:$O$1004,"&lt;&gt;Expired")&gt;0,"✓",IF(COUNTIFS('AFA Rates'!$A$5:$A$1004,$A87,'AFA Rates'!$B$5:$B$1004,D$23)&gt;0,"Exp","")))</f>
        <v/>
      </c>
      <c r="E87" s="79">
        <f>IF(OR($A87="",E$23=""),"",IF(COUNTIFS('AFA Rates'!$A$5:$A$1004,$A87,'AFA Rates'!$B$5:$B$1004,E$23,'AFA Rates'!$O$5:$O$1004,"&lt;&gt;Expired")&gt;0,"✓",IF(COUNTIFS('AFA Rates'!$A$5:$A$1004,$A87,'AFA Rates'!$B$5:$B$1004,E$23)&gt;0,"Exp","")))</f>
        <v/>
      </c>
      <c r="F87" s="79">
        <f>IF(OR($A87="",F$23=""),"",IF(COUNTIFS('AFA Rates'!$A$5:$A$1004,$A87,'AFA Rates'!$B$5:$B$1004,F$23,'AFA Rates'!$O$5:$O$1004,"&lt;&gt;Expired")&gt;0,"✓",IF(COUNTIFS('AFA Rates'!$A$5:$A$1004,$A87,'AFA Rates'!$B$5:$B$1004,F$23)&gt;0,"Exp","")))</f>
        <v/>
      </c>
      <c r="G87" s="79">
        <f>IF(OR($A87="",G$23=""),"",IF(COUNTIFS('AFA Rates'!$A$5:$A$1004,$A87,'AFA Rates'!$B$5:$B$1004,G$23,'AFA Rates'!$O$5:$O$1004,"&lt;&gt;Expired")&gt;0,"✓",IF(COUNTIFS('AFA Rates'!$A$5:$A$1004,$A87,'AFA Rates'!$B$5:$B$1004,G$23)&gt;0,"Exp","")))</f>
        <v/>
      </c>
      <c r="H87" s="79">
        <f>IF(OR($A87="",H$23=""),"",IF(COUNTIFS('AFA Rates'!$A$5:$A$1004,$A87,'AFA Rates'!$B$5:$B$1004,H$23,'AFA Rates'!$O$5:$O$1004,"&lt;&gt;Expired")&gt;0,"✓",IF(COUNTIFS('AFA Rates'!$A$5:$A$1004,$A87,'AFA Rates'!$B$5:$B$1004,H$23)&gt;0,"Exp","")))</f>
        <v/>
      </c>
      <c r="I87" s="79">
        <f>IF(OR($A87="",I$23=""),"",IF(COUNTIFS('AFA Rates'!$A$5:$A$1004,$A87,'AFA Rates'!$B$5:$B$1004,I$23,'AFA Rates'!$O$5:$O$1004,"&lt;&gt;Expired")&gt;0,"✓",IF(COUNTIFS('AFA Rates'!$A$5:$A$1004,$A87,'AFA Rates'!$B$5:$B$1004,I$23)&gt;0,"Exp","")))</f>
        <v/>
      </c>
      <c r="J87" s="79">
        <f>IF(OR($A87="",J$23=""),"",IF(COUNTIFS('AFA Rates'!$A$5:$A$1004,$A87,'AFA Rates'!$B$5:$B$1004,J$23,'AFA Rates'!$O$5:$O$1004,"&lt;&gt;Expired")&gt;0,"✓",IF(COUNTIFS('AFA Rates'!$A$5:$A$1004,$A87,'AFA Rates'!$B$5:$B$1004,J$23)&gt;0,"Exp","")))</f>
        <v/>
      </c>
      <c r="K87" s="79">
        <f>IF(OR($A87="",K$23=""),"",IF(COUNTIFS('AFA Rates'!$A$5:$A$1004,$A87,'AFA Rates'!$B$5:$B$1004,K$23,'AFA Rates'!$O$5:$O$1004,"&lt;&gt;Expired")&gt;0,"✓",IF(COUNTIFS('AFA Rates'!$A$5:$A$1004,$A87,'AFA Rates'!$B$5:$B$1004,K$23)&gt;0,"Exp","")))</f>
        <v/>
      </c>
      <c r="L87" s="79">
        <f>IF(OR($A87="",L$23=""),"",IF(COUNTIFS('AFA Rates'!$A$5:$A$1004,$A87,'AFA Rates'!$B$5:$B$1004,L$23,'AFA Rates'!$O$5:$O$1004,"&lt;&gt;Expired")&gt;0,"✓",IF(COUNTIFS('AFA Rates'!$A$5:$A$1004,$A87,'AFA Rates'!$B$5:$B$1004,L$23)&gt;0,"Exp","")))</f>
        <v/>
      </c>
      <c r="M87" s="79">
        <f>IF(OR($A87="",M$23=""),"",IF(COUNTIFS('AFA Rates'!$A$5:$A$1004,$A87,'AFA Rates'!$B$5:$B$1004,M$23,'AFA Rates'!$O$5:$O$1004,"&lt;&gt;Expired")&gt;0,"✓",IF(COUNTIFS('AFA Rates'!$A$5:$A$1004,$A87,'AFA Rates'!$B$5:$B$1004,M$23)&gt;0,"Exp","")))</f>
        <v/>
      </c>
    </row>
    <row r="88">
      <c r="A88" s="78">
        <f>IFERROR(INDEX(Firms!$A$5:$A$1004,MATCH(65,Firms!$V$5:$V$1004,0)),"")</f>
        <v/>
      </c>
      <c r="B88" s="79">
        <f>IF($A88="","",INDEX(Firms!$B$5:$B$1004,MATCH(65,Firms!$V$5:$V$1004,0)))</f>
        <v/>
      </c>
      <c r="C88" s="79">
        <f>IF($A88="","",COUNTIFS('AFA Rates'!$A$5:$A$1004,$A88,'AFA Rates'!$O$5:$O$1004,"&lt;&gt;Expired"))</f>
        <v/>
      </c>
      <c r="D88" s="79">
        <f>IF(OR($A88="",D$23=""),"",IF(COUNTIFS('AFA Rates'!$A$5:$A$1004,$A88,'AFA Rates'!$B$5:$B$1004,D$23,'AFA Rates'!$O$5:$O$1004,"&lt;&gt;Expired")&gt;0,"✓",IF(COUNTIFS('AFA Rates'!$A$5:$A$1004,$A88,'AFA Rates'!$B$5:$B$1004,D$23)&gt;0,"Exp","")))</f>
        <v/>
      </c>
      <c r="E88" s="79">
        <f>IF(OR($A88="",E$23=""),"",IF(COUNTIFS('AFA Rates'!$A$5:$A$1004,$A88,'AFA Rates'!$B$5:$B$1004,E$23,'AFA Rates'!$O$5:$O$1004,"&lt;&gt;Expired")&gt;0,"✓",IF(COUNTIFS('AFA Rates'!$A$5:$A$1004,$A88,'AFA Rates'!$B$5:$B$1004,E$23)&gt;0,"Exp","")))</f>
        <v/>
      </c>
      <c r="F88" s="79">
        <f>IF(OR($A88="",F$23=""),"",IF(COUNTIFS('AFA Rates'!$A$5:$A$1004,$A88,'AFA Rates'!$B$5:$B$1004,F$23,'AFA Rates'!$O$5:$O$1004,"&lt;&gt;Expired")&gt;0,"✓",IF(COUNTIFS('AFA Rates'!$A$5:$A$1004,$A88,'AFA Rates'!$B$5:$B$1004,F$23)&gt;0,"Exp","")))</f>
        <v/>
      </c>
      <c r="G88" s="79">
        <f>IF(OR($A88="",G$23=""),"",IF(COUNTIFS('AFA Rates'!$A$5:$A$1004,$A88,'AFA Rates'!$B$5:$B$1004,G$23,'AFA Rates'!$O$5:$O$1004,"&lt;&gt;Expired")&gt;0,"✓",IF(COUNTIFS('AFA Rates'!$A$5:$A$1004,$A88,'AFA Rates'!$B$5:$B$1004,G$23)&gt;0,"Exp","")))</f>
        <v/>
      </c>
      <c r="H88" s="79">
        <f>IF(OR($A88="",H$23=""),"",IF(COUNTIFS('AFA Rates'!$A$5:$A$1004,$A88,'AFA Rates'!$B$5:$B$1004,H$23,'AFA Rates'!$O$5:$O$1004,"&lt;&gt;Expired")&gt;0,"✓",IF(COUNTIFS('AFA Rates'!$A$5:$A$1004,$A88,'AFA Rates'!$B$5:$B$1004,H$23)&gt;0,"Exp","")))</f>
        <v/>
      </c>
      <c r="I88" s="79">
        <f>IF(OR($A88="",I$23=""),"",IF(COUNTIFS('AFA Rates'!$A$5:$A$1004,$A88,'AFA Rates'!$B$5:$B$1004,I$23,'AFA Rates'!$O$5:$O$1004,"&lt;&gt;Expired")&gt;0,"✓",IF(COUNTIFS('AFA Rates'!$A$5:$A$1004,$A88,'AFA Rates'!$B$5:$B$1004,I$23)&gt;0,"Exp","")))</f>
        <v/>
      </c>
      <c r="J88" s="79">
        <f>IF(OR($A88="",J$23=""),"",IF(COUNTIFS('AFA Rates'!$A$5:$A$1004,$A88,'AFA Rates'!$B$5:$B$1004,J$23,'AFA Rates'!$O$5:$O$1004,"&lt;&gt;Expired")&gt;0,"✓",IF(COUNTIFS('AFA Rates'!$A$5:$A$1004,$A88,'AFA Rates'!$B$5:$B$1004,J$23)&gt;0,"Exp","")))</f>
        <v/>
      </c>
      <c r="K88" s="79">
        <f>IF(OR($A88="",K$23=""),"",IF(COUNTIFS('AFA Rates'!$A$5:$A$1004,$A88,'AFA Rates'!$B$5:$B$1004,K$23,'AFA Rates'!$O$5:$O$1004,"&lt;&gt;Expired")&gt;0,"✓",IF(COUNTIFS('AFA Rates'!$A$5:$A$1004,$A88,'AFA Rates'!$B$5:$B$1004,K$23)&gt;0,"Exp","")))</f>
        <v/>
      </c>
      <c r="L88" s="79">
        <f>IF(OR($A88="",L$23=""),"",IF(COUNTIFS('AFA Rates'!$A$5:$A$1004,$A88,'AFA Rates'!$B$5:$B$1004,L$23,'AFA Rates'!$O$5:$O$1004,"&lt;&gt;Expired")&gt;0,"✓",IF(COUNTIFS('AFA Rates'!$A$5:$A$1004,$A88,'AFA Rates'!$B$5:$B$1004,L$23)&gt;0,"Exp","")))</f>
        <v/>
      </c>
      <c r="M88" s="79">
        <f>IF(OR($A88="",M$23=""),"",IF(COUNTIFS('AFA Rates'!$A$5:$A$1004,$A88,'AFA Rates'!$B$5:$B$1004,M$23,'AFA Rates'!$O$5:$O$1004,"&lt;&gt;Expired")&gt;0,"✓",IF(COUNTIFS('AFA Rates'!$A$5:$A$1004,$A88,'AFA Rates'!$B$5:$B$1004,M$23)&gt;0,"Exp","")))</f>
        <v/>
      </c>
    </row>
    <row r="89">
      <c r="A89" s="78">
        <f>IFERROR(INDEX(Firms!$A$5:$A$1004,MATCH(66,Firms!$V$5:$V$1004,0)),"")</f>
        <v/>
      </c>
      <c r="B89" s="79">
        <f>IF($A89="","",INDEX(Firms!$B$5:$B$1004,MATCH(66,Firms!$V$5:$V$1004,0)))</f>
        <v/>
      </c>
      <c r="C89" s="79">
        <f>IF($A89="","",COUNTIFS('AFA Rates'!$A$5:$A$1004,$A89,'AFA Rates'!$O$5:$O$1004,"&lt;&gt;Expired"))</f>
        <v/>
      </c>
      <c r="D89" s="79">
        <f>IF(OR($A89="",D$23=""),"",IF(COUNTIFS('AFA Rates'!$A$5:$A$1004,$A89,'AFA Rates'!$B$5:$B$1004,D$23,'AFA Rates'!$O$5:$O$1004,"&lt;&gt;Expired")&gt;0,"✓",IF(COUNTIFS('AFA Rates'!$A$5:$A$1004,$A89,'AFA Rates'!$B$5:$B$1004,D$23)&gt;0,"Exp","")))</f>
        <v/>
      </c>
      <c r="E89" s="79">
        <f>IF(OR($A89="",E$23=""),"",IF(COUNTIFS('AFA Rates'!$A$5:$A$1004,$A89,'AFA Rates'!$B$5:$B$1004,E$23,'AFA Rates'!$O$5:$O$1004,"&lt;&gt;Expired")&gt;0,"✓",IF(COUNTIFS('AFA Rates'!$A$5:$A$1004,$A89,'AFA Rates'!$B$5:$B$1004,E$23)&gt;0,"Exp","")))</f>
        <v/>
      </c>
      <c r="F89" s="79">
        <f>IF(OR($A89="",F$23=""),"",IF(COUNTIFS('AFA Rates'!$A$5:$A$1004,$A89,'AFA Rates'!$B$5:$B$1004,F$23,'AFA Rates'!$O$5:$O$1004,"&lt;&gt;Expired")&gt;0,"✓",IF(COUNTIFS('AFA Rates'!$A$5:$A$1004,$A89,'AFA Rates'!$B$5:$B$1004,F$23)&gt;0,"Exp","")))</f>
        <v/>
      </c>
      <c r="G89" s="79">
        <f>IF(OR($A89="",G$23=""),"",IF(COUNTIFS('AFA Rates'!$A$5:$A$1004,$A89,'AFA Rates'!$B$5:$B$1004,G$23,'AFA Rates'!$O$5:$O$1004,"&lt;&gt;Expired")&gt;0,"✓",IF(COUNTIFS('AFA Rates'!$A$5:$A$1004,$A89,'AFA Rates'!$B$5:$B$1004,G$23)&gt;0,"Exp","")))</f>
        <v/>
      </c>
      <c r="H89" s="79">
        <f>IF(OR($A89="",H$23=""),"",IF(COUNTIFS('AFA Rates'!$A$5:$A$1004,$A89,'AFA Rates'!$B$5:$B$1004,H$23,'AFA Rates'!$O$5:$O$1004,"&lt;&gt;Expired")&gt;0,"✓",IF(COUNTIFS('AFA Rates'!$A$5:$A$1004,$A89,'AFA Rates'!$B$5:$B$1004,H$23)&gt;0,"Exp","")))</f>
        <v/>
      </c>
      <c r="I89" s="79">
        <f>IF(OR($A89="",I$23=""),"",IF(COUNTIFS('AFA Rates'!$A$5:$A$1004,$A89,'AFA Rates'!$B$5:$B$1004,I$23,'AFA Rates'!$O$5:$O$1004,"&lt;&gt;Expired")&gt;0,"✓",IF(COUNTIFS('AFA Rates'!$A$5:$A$1004,$A89,'AFA Rates'!$B$5:$B$1004,I$23)&gt;0,"Exp","")))</f>
        <v/>
      </c>
      <c r="J89" s="79">
        <f>IF(OR($A89="",J$23=""),"",IF(COUNTIFS('AFA Rates'!$A$5:$A$1004,$A89,'AFA Rates'!$B$5:$B$1004,J$23,'AFA Rates'!$O$5:$O$1004,"&lt;&gt;Expired")&gt;0,"✓",IF(COUNTIFS('AFA Rates'!$A$5:$A$1004,$A89,'AFA Rates'!$B$5:$B$1004,J$23)&gt;0,"Exp","")))</f>
        <v/>
      </c>
      <c r="K89" s="79">
        <f>IF(OR($A89="",K$23=""),"",IF(COUNTIFS('AFA Rates'!$A$5:$A$1004,$A89,'AFA Rates'!$B$5:$B$1004,K$23,'AFA Rates'!$O$5:$O$1004,"&lt;&gt;Expired")&gt;0,"✓",IF(COUNTIFS('AFA Rates'!$A$5:$A$1004,$A89,'AFA Rates'!$B$5:$B$1004,K$23)&gt;0,"Exp","")))</f>
        <v/>
      </c>
      <c r="L89" s="79">
        <f>IF(OR($A89="",L$23=""),"",IF(COUNTIFS('AFA Rates'!$A$5:$A$1004,$A89,'AFA Rates'!$B$5:$B$1004,L$23,'AFA Rates'!$O$5:$O$1004,"&lt;&gt;Expired")&gt;0,"✓",IF(COUNTIFS('AFA Rates'!$A$5:$A$1004,$A89,'AFA Rates'!$B$5:$B$1004,L$23)&gt;0,"Exp","")))</f>
        <v/>
      </c>
      <c r="M89" s="79">
        <f>IF(OR($A89="",M$23=""),"",IF(COUNTIFS('AFA Rates'!$A$5:$A$1004,$A89,'AFA Rates'!$B$5:$B$1004,M$23,'AFA Rates'!$O$5:$O$1004,"&lt;&gt;Expired")&gt;0,"✓",IF(COUNTIFS('AFA Rates'!$A$5:$A$1004,$A89,'AFA Rates'!$B$5:$B$1004,M$23)&gt;0,"Exp","")))</f>
        <v/>
      </c>
    </row>
    <row r="90">
      <c r="A90" s="78">
        <f>IFERROR(INDEX(Firms!$A$5:$A$1004,MATCH(67,Firms!$V$5:$V$1004,0)),"")</f>
        <v/>
      </c>
      <c r="B90" s="79">
        <f>IF($A90="","",INDEX(Firms!$B$5:$B$1004,MATCH(67,Firms!$V$5:$V$1004,0)))</f>
        <v/>
      </c>
      <c r="C90" s="79">
        <f>IF($A90="","",COUNTIFS('AFA Rates'!$A$5:$A$1004,$A90,'AFA Rates'!$O$5:$O$1004,"&lt;&gt;Expired"))</f>
        <v/>
      </c>
      <c r="D90" s="79">
        <f>IF(OR($A90="",D$23=""),"",IF(COUNTIFS('AFA Rates'!$A$5:$A$1004,$A90,'AFA Rates'!$B$5:$B$1004,D$23,'AFA Rates'!$O$5:$O$1004,"&lt;&gt;Expired")&gt;0,"✓",IF(COUNTIFS('AFA Rates'!$A$5:$A$1004,$A90,'AFA Rates'!$B$5:$B$1004,D$23)&gt;0,"Exp","")))</f>
        <v/>
      </c>
      <c r="E90" s="79">
        <f>IF(OR($A90="",E$23=""),"",IF(COUNTIFS('AFA Rates'!$A$5:$A$1004,$A90,'AFA Rates'!$B$5:$B$1004,E$23,'AFA Rates'!$O$5:$O$1004,"&lt;&gt;Expired")&gt;0,"✓",IF(COUNTIFS('AFA Rates'!$A$5:$A$1004,$A90,'AFA Rates'!$B$5:$B$1004,E$23)&gt;0,"Exp","")))</f>
        <v/>
      </c>
      <c r="F90" s="79">
        <f>IF(OR($A90="",F$23=""),"",IF(COUNTIFS('AFA Rates'!$A$5:$A$1004,$A90,'AFA Rates'!$B$5:$B$1004,F$23,'AFA Rates'!$O$5:$O$1004,"&lt;&gt;Expired")&gt;0,"✓",IF(COUNTIFS('AFA Rates'!$A$5:$A$1004,$A90,'AFA Rates'!$B$5:$B$1004,F$23)&gt;0,"Exp","")))</f>
        <v/>
      </c>
      <c r="G90" s="79">
        <f>IF(OR($A90="",G$23=""),"",IF(COUNTIFS('AFA Rates'!$A$5:$A$1004,$A90,'AFA Rates'!$B$5:$B$1004,G$23,'AFA Rates'!$O$5:$O$1004,"&lt;&gt;Expired")&gt;0,"✓",IF(COUNTIFS('AFA Rates'!$A$5:$A$1004,$A90,'AFA Rates'!$B$5:$B$1004,G$23)&gt;0,"Exp","")))</f>
        <v/>
      </c>
      <c r="H90" s="79">
        <f>IF(OR($A90="",H$23=""),"",IF(COUNTIFS('AFA Rates'!$A$5:$A$1004,$A90,'AFA Rates'!$B$5:$B$1004,H$23,'AFA Rates'!$O$5:$O$1004,"&lt;&gt;Expired")&gt;0,"✓",IF(COUNTIFS('AFA Rates'!$A$5:$A$1004,$A90,'AFA Rates'!$B$5:$B$1004,H$23)&gt;0,"Exp","")))</f>
        <v/>
      </c>
      <c r="I90" s="79">
        <f>IF(OR($A90="",I$23=""),"",IF(COUNTIFS('AFA Rates'!$A$5:$A$1004,$A90,'AFA Rates'!$B$5:$B$1004,I$23,'AFA Rates'!$O$5:$O$1004,"&lt;&gt;Expired")&gt;0,"✓",IF(COUNTIFS('AFA Rates'!$A$5:$A$1004,$A90,'AFA Rates'!$B$5:$B$1004,I$23)&gt;0,"Exp","")))</f>
        <v/>
      </c>
      <c r="J90" s="79">
        <f>IF(OR($A90="",J$23=""),"",IF(COUNTIFS('AFA Rates'!$A$5:$A$1004,$A90,'AFA Rates'!$B$5:$B$1004,J$23,'AFA Rates'!$O$5:$O$1004,"&lt;&gt;Expired")&gt;0,"✓",IF(COUNTIFS('AFA Rates'!$A$5:$A$1004,$A90,'AFA Rates'!$B$5:$B$1004,J$23)&gt;0,"Exp","")))</f>
        <v/>
      </c>
      <c r="K90" s="79">
        <f>IF(OR($A90="",K$23=""),"",IF(COUNTIFS('AFA Rates'!$A$5:$A$1004,$A90,'AFA Rates'!$B$5:$B$1004,K$23,'AFA Rates'!$O$5:$O$1004,"&lt;&gt;Expired")&gt;0,"✓",IF(COUNTIFS('AFA Rates'!$A$5:$A$1004,$A90,'AFA Rates'!$B$5:$B$1004,K$23)&gt;0,"Exp","")))</f>
        <v/>
      </c>
      <c r="L90" s="79">
        <f>IF(OR($A90="",L$23=""),"",IF(COUNTIFS('AFA Rates'!$A$5:$A$1004,$A90,'AFA Rates'!$B$5:$B$1004,L$23,'AFA Rates'!$O$5:$O$1004,"&lt;&gt;Expired")&gt;0,"✓",IF(COUNTIFS('AFA Rates'!$A$5:$A$1004,$A90,'AFA Rates'!$B$5:$B$1004,L$23)&gt;0,"Exp","")))</f>
        <v/>
      </c>
      <c r="M90" s="79">
        <f>IF(OR($A90="",M$23=""),"",IF(COUNTIFS('AFA Rates'!$A$5:$A$1004,$A90,'AFA Rates'!$B$5:$B$1004,M$23,'AFA Rates'!$O$5:$O$1004,"&lt;&gt;Expired")&gt;0,"✓",IF(COUNTIFS('AFA Rates'!$A$5:$A$1004,$A90,'AFA Rates'!$B$5:$B$1004,M$23)&gt;0,"Exp","")))</f>
        <v/>
      </c>
    </row>
    <row r="91">
      <c r="A91" s="78">
        <f>IFERROR(INDEX(Firms!$A$5:$A$1004,MATCH(68,Firms!$V$5:$V$1004,0)),"")</f>
        <v/>
      </c>
      <c r="B91" s="79">
        <f>IF($A91="","",INDEX(Firms!$B$5:$B$1004,MATCH(68,Firms!$V$5:$V$1004,0)))</f>
        <v/>
      </c>
      <c r="C91" s="79">
        <f>IF($A91="","",COUNTIFS('AFA Rates'!$A$5:$A$1004,$A91,'AFA Rates'!$O$5:$O$1004,"&lt;&gt;Expired"))</f>
        <v/>
      </c>
      <c r="D91" s="79">
        <f>IF(OR($A91="",D$23=""),"",IF(COUNTIFS('AFA Rates'!$A$5:$A$1004,$A91,'AFA Rates'!$B$5:$B$1004,D$23,'AFA Rates'!$O$5:$O$1004,"&lt;&gt;Expired")&gt;0,"✓",IF(COUNTIFS('AFA Rates'!$A$5:$A$1004,$A91,'AFA Rates'!$B$5:$B$1004,D$23)&gt;0,"Exp","")))</f>
        <v/>
      </c>
      <c r="E91" s="79">
        <f>IF(OR($A91="",E$23=""),"",IF(COUNTIFS('AFA Rates'!$A$5:$A$1004,$A91,'AFA Rates'!$B$5:$B$1004,E$23,'AFA Rates'!$O$5:$O$1004,"&lt;&gt;Expired")&gt;0,"✓",IF(COUNTIFS('AFA Rates'!$A$5:$A$1004,$A91,'AFA Rates'!$B$5:$B$1004,E$23)&gt;0,"Exp","")))</f>
        <v/>
      </c>
      <c r="F91" s="79">
        <f>IF(OR($A91="",F$23=""),"",IF(COUNTIFS('AFA Rates'!$A$5:$A$1004,$A91,'AFA Rates'!$B$5:$B$1004,F$23,'AFA Rates'!$O$5:$O$1004,"&lt;&gt;Expired")&gt;0,"✓",IF(COUNTIFS('AFA Rates'!$A$5:$A$1004,$A91,'AFA Rates'!$B$5:$B$1004,F$23)&gt;0,"Exp","")))</f>
        <v/>
      </c>
      <c r="G91" s="79">
        <f>IF(OR($A91="",G$23=""),"",IF(COUNTIFS('AFA Rates'!$A$5:$A$1004,$A91,'AFA Rates'!$B$5:$B$1004,G$23,'AFA Rates'!$O$5:$O$1004,"&lt;&gt;Expired")&gt;0,"✓",IF(COUNTIFS('AFA Rates'!$A$5:$A$1004,$A91,'AFA Rates'!$B$5:$B$1004,G$23)&gt;0,"Exp","")))</f>
        <v/>
      </c>
      <c r="H91" s="79">
        <f>IF(OR($A91="",H$23=""),"",IF(COUNTIFS('AFA Rates'!$A$5:$A$1004,$A91,'AFA Rates'!$B$5:$B$1004,H$23,'AFA Rates'!$O$5:$O$1004,"&lt;&gt;Expired")&gt;0,"✓",IF(COUNTIFS('AFA Rates'!$A$5:$A$1004,$A91,'AFA Rates'!$B$5:$B$1004,H$23)&gt;0,"Exp","")))</f>
        <v/>
      </c>
      <c r="I91" s="79">
        <f>IF(OR($A91="",I$23=""),"",IF(COUNTIFS('AFA Rates'!$A$5:$A$1004,$A91,'AFA Rates'!$B$5:$B$1004,I$23,'AFA Rates'!$O$5:$O$1004,"&lt;&gt;Expired")&gt;0,"✓",IF(COUNTIFS('AFA Rates'!$A$5:$A$1004,$A91,'AFA Rates'!$B$5:$B$1004,I$23)&gt;0,"Exp","")))</f>
        <v/>
      </c>
      <c r="J91" s="79">
        <f>IF(OR($A91="",J$23=""),"",IF(COUNTIFS('AFA Rates'!$A$5:$A$1004,$A91,'AFA Rates'!$B$5:$B$1004,J$23,'AFA Rates'!$O$5:$O$1004,"&lt;&gt;Expired")&gt;0,"✓",IF(COUNTIFS('AFA Rates'!$A$5:$A$1004,$A91,'AFA Rates'!$B$5:$B$1004,J$23)&gt;0,"Exp","")))</f>
        <v/>
      </c>
      <c r="K91" s="79">
        <f>IF(OR($A91="",K$23=""),"",IF(COUNTIFS('AFA Rates'!$A$5:$A$1004,$A91,'AFA Rates'!$B$5:$B$1004,K$23,'AFA Rates'!$O$5:$O$1004,"&lt;&gt;Expired")&gt;0,"✓",IF(COUNTIFS('AFA Rates'!$A$5:$A$1004,$A91,'AFA Rates'!$B$5:$B$1004,K$23)&gt;0,"Exp","")))</f>
        <v/>
      </c>
      <c r="L91" s="79">
        <f>IF(OR($A91="",L$23=""),"",IF(COUNTIFS('AFA Rates'!$A$5:$A$1004,$A91,'AFA Rates'!$B$5:$B$1004,L$23,'AFA Rates'!$O$5:$O$1004,"&lt;&gt;Expired")&gt;0,"✓",IF(COUNTIFS('AFA Rates'!$A$5:$A$1004,$A91,'AFA Rates'!$B$5:$B$1004,L$23)&gt;0,"Exp","")))</f>
        <v/>
      </c>
      <c r="M91" s="79">
        <f>IF(OR($A91="",M$23=""),"",IF(COUNTIFS('AFA Rates'!$A$5:$A$1004,$A91,'AFA Rates'!$B$5:$B$1004,M$23,'AFA Rates'!$O$5:$O$1004,"&lt;&gt;Expired")&gt;0,"✓",IF(COUNTIFS('AFA Rates'!$A$5:$A$1004,$A91,'AFA Rates'!$B$5:$B$1004,M$23)&gt;0,"Exp","")))</f>
        <v/>
      </c>
    </row>
    <row r="92">
      <c r="A92" s="78">
        <f>IFERROR(INDEX(Firms!$A$5:$A$1004,MATCH(69,Firms!$V$5:$V$1004,0)),"")</f>
        <v/>
      </c>
      <c r="B92" s="79">
        <f>IF($A92="","",INDEX(Firms!$B$5:$B$1004,MATCH(69,Firms!$V$5:$V$1004,0)))</f>
        <v/>
      </c>
      <c r="C92" s="79">
        <f>IF($A92="","",COUNTIFS('AFA Rates'!$A$5:$A$1004,$A92,'AFA Rates'!$O$5:$O$1004,"&lt;&gt;Expired"))</f>
        <v/>
      </c>
      <c r="D92" s="79">
        <f>IF(OR($A92="",D$23=""),"",IF(COUNTIFS('AFA Rates'!$A$5:$A$1004,$A92,'AFA Rates'!$B$5:$B$1004,D$23,'AFA Rates'!$O$5:$O$1004,"&lt;&gt;Expired")&gt;0,"✓",IF(COUNTIFS('AFA Rates'!$A$5:$A$1004,$A92,'AFA Rates'!$B$5:$B$1004,D$23)&gt;0,"Exp","")))</f>
        <v/>
      </c>
      <c r="E92" s="79">
        <f>IF(OR($A92="",E$23=""),"",IF(COUNTIFS('AFA Rates'!$A$5:$A$1004,$A92,'AFA Rates'!$B$5:$B$1004,E$23,'AFA Rates'!$O$5:$O$1004,"&lt;&gt;Expired")&gt;0,"✓",IF(COUNTIFS('AFA Rates'!$A$5:$A$1004,$A92,'AFA Rates'!$B$5:$B$1004,E$23)&gt;0,"Exp","")))</f>
        <v/>
      </c>
      <c r="F92" s="79">
        <f>IF(OR($A92="",F$23=""),"",IF(COUNTIFS('AFA Rates'!$A$5:$A$1004,$A92,'AFA Rates'!$B$5:$B$1004,F$23,'AFA Rates'!$O$5:$O$1004,"&lt;&gt;Expired")&gt;0,"✓",IF(COUNTIFS('AFA Rates'!$A$5:$A$1004,$A92,'AFA Rates'!$B$5:$B$1004,F$23)&gt;0,"Exp","")))</f>
        <v/>
      </c>
      <c r="G92" s="79">
        <f>IF(OR($A92="",G$23=""),"",IF(COUNTIFS('AFA Rates'!$A$5:$A$1004,$A92,'AFA Rates'!$B$5:$B$1004,G$23,'AFA Rates'!$O$5:$O$1004,"&lt;&gt;Expired")&gt;0,"✓",IF(COUNTIFS('AFA Rates'!$A$5:$A$1004,$A92,'AFA Rates'!$B$5:$B$1004,G$23)&gt;0,"Exp","")))</f>
        <v/>
      </c>
      <c r="H92" s="79">
        <f>IF(OR($A92="",H$23=""),"",IF(COUNTIFS('AFA Rates'!$A$5:$A$1004,$A92,'AFA Rates'!$B$5:$B$1004,H$23,'AFA Rates'!$O$5:$O$1004,"&lt;&gt;Expired")&gt;0,"✓",IF(COUNTIFS('AFA Rates'!$A$5:$A$1004,$A92,'AFA Rates'!$B$5:$B$1004,H$23)&gt;0,"Exp","")))</f>
        <v/>
      </c>
      <c r="I92" s="79">
        <f>IF(OR($A92="",I$23=""),"",IF(COUNTIFS('AFA Rates'!$A$5:$A$1004,$A92,'AFA Rates'!$B$5:$B$1004,I$23,'AFA Rates'!$O$5:$O$1004,"&lt;&gt;Expired")&gt;0,"✓",IF(COUNTIFS('AFA Rates'!$A$5:$A$1004,$A92,'AFA Rates'!$B$5:$B$1004,I$23)&gt;0,"Exp","")))</f>
        <v/>
      </c>
      <c r="J92" s="79">
        <f>IF(OR($A92="",J$23=""),"",IF(COUNTIFS('AFA Rates'!$A$5:$A$1004,$A92,'AFA Rates'!$B$5:$B$1004,J$23,'AFA Rates'!$O$5:$O$1004,"&lt;&gt;Expired")&gt;0,"✓",IF(COUNTIFS('AFA Rates'!$A$5:$A$1004,$A92,'AFA Rates'!$B$5:$B$1004,J$23)&gt;0,"Exp","")))</f>
        <v/>
      </c>
      <c r="K92" s="79">
        <f>IF(OR($A92="",K$23=""),"",IF(COUNTIFS('AFA Rates'!$A$5:$A$1004,$A92,'AFA Rates'!$B$5:$B$1004,K$23,'AFA Rates'!$O$5:$O$1004,"&lt;&gt;Expired")&gt;0,"✓",IF(COUNTIFS('AFA Rates'!$A$5:$A$1004,$A92,'AFA Rates'!$B$5:$B$1004,K$23)&gt;0,"Exp","")))</f>
        <v/>
      </c>
      <c r="L92" s="79">
        <f>IF(OR($A92="",L$23=""),"",IF(COUNTIFS('AFA Rates'!$A$5:$A$1004,$A92,'AFA Rates'!$B$5:$B$1004,L$23,'AFA Rates'!$O$5:$O$1004,"&lt;&gt;Expired")&gt;0,"✓",IF(COUNTIFS('AFA Rates'!$A$5:$A$1004,$A92,'AFA Rates'!$B$5:$B$1004,L$23)&gt;0,"Exp","")))</f>
        <v/>
      </c>
      <c r="M92" s="79">
        <f>IF(OR($A92="",M$23=""),"",IF(COUNTIFS('AFA Rates'!$A$5:$A$1004,$A92,'AFA Rates'!$B$5:$B$1004,M$23,'AFA Rates'!$O$5:$O$1004,"&lt;&gt;Expired")&gt;0,"✓",IF(COUNTIFS('AFA Rates'!$A$5:$A$1004,$A92,'AFA Rates'!$B$5:$B$1004,M$23)&gt;0,"Exp","")))</f>
        <v/>
      </c>
    </row>
    <row r="93">
      <c r="A93" s="78">
        <f>IFERROR(INDEX(Firms!$A$5:$A$1004,MATCH(70,Firms!$V$5:$V$1004,0)),"")</f>
        <v/>
      </c>
      <c r="B93" s="79">
        <f>IF($A93="","",INDEX(Firms!$B$5:$B$1004,MATCH(70,Firms!$V$5:$V$1004,0)))</f>
        <v/>
      </c>
      <c r="C93" s="79">
        <f>IF($A93="","",COUNTIFS('AFA Rates'!$A$5:$A$1004,$A93,'AFA Rates'!$O$5:$O$1004,"&lt;&gt;Expired"))</f>
        <v/>
      </c>
      <c r="D93" s="79">
        <f>IF(OR($A93="",D$23=""),"",IF(COUNTIFS('AFA Rates'!$A$5:$A$1004,$A93,'AFA Rates'!$B$5:$B$1004,D$23,'AFA Rates'!$O$5:$O$1004,"&lt;&gt;Expired")&gt;0,"✓",IF(COUNTIFS('AFA Rates'!$A$5:$A$1004,$A93,'AFA Rates'!$B$5:$B$1004,D$23)&gt;0,"Exp","")))</f>
        <v/>
      </c>
      <c r="E93" s="79">
        <f>IF(OR($A93="",E$23=""),"",IF(COUNTIFS('AFA Rates'!$A$5:$A$1004,$A93,'AFA Rates'!$B$5:$B$1004,E$23,'AFA Rates'!$O$5:$O$1004,"&lt;&gt;Expired")&gt;0,"✓",IF(COUNTIFS('AFA Rates'!$A$5:$A$1004,$A93,'AFA Rates'!$B$5:$B$1004,E$23)&gt;0,"Exp","")))</f>
        <v/>
      </c>
      <c r="F93" s="79">
        <f>IF(OR($A93="",F$23=""),"",IF(COUNTIFS('AFA Rates'!$A$5:$A$1004,$A93,'AFA Rates'!$B$5:$B$1004,F$23,'AFA Rates'!$O$5:$O$1004,"&lt;&gt;Expired")&gt;0,"✓",IF(COUNTIFS('AFA Rates'!$A$5:$A$1004,$A93,'AFA Rates'!$B$5:$B$1004,F$23)&gt;0,"Exp","")))</f>
        <v/>
      </c>
      <c r="G93" s="79">
        <f>IF(OR($A93="",G$23=""),"",IF(COUNTIFS('AFA Rates'!$A$5:$A$1004,$A93,'AFA Rates'!$B$5:$B$1004,G$23,'AFA Rates'!$O$5:$O$1004,"&lt;&gt;Expired")&gt;0,"✓",IF(COUNTIFS('AFA Rates'!$A$5:$A$1004,$A93,'AFA Rates'!$B$5:$B$1004,G$23)&gt;0,"Exp","")))</f>
        <v/>
      </c>
      <c r="H93" s="79">
        <f>IF(OR($A93="",H$23=""),"",IF(COUNTIFS('AFA Rates'!$A$5:$A$1004,$A93,'AFA Rates'!$B$5:$B$1004,H$23,'AFA Rates'!$O$5:$O$1004,"&lt;&gt;Expired")&gt;0,"✓",IF(COUNTIFS('AFA Rates'!$A$5:$A$1004,$A93,'AFA Rates'!$B$5:$B$1004,H$23)&gt;0,"Exp","")))</f>
        <v/>
      </c>
      <c r="I93" s="79">
        <f>IF(OR($A93="",I$23=""),"",IF(COUNTIFS('AFA Rates'!$A$5:$A$1004,$A93,'AFA Rates'!$B$5:$B$1004,I$23,'AFA Rates'!$O$5:$O$1004,"&lt;&gt;Expired")&gt;0,"✓",IF(COUNTIFS('AFA Rates'!$A$5:$A$1004,$A93,'AFA Rates'!$B$5:$B$1004,I$23)&gt;0,"Exp","")))</f>
        <v/>
      </c>
      <c r="J93" s="79">
        <f>IF(OR($A93="",J$23=""),"",IF(COUNTIFS('AFA Rates'!$A$5:$A$1004,$A93,'AFA Rates'!$B$5:$B$1004,J$23,'AFA Rates'!$O$5:$O$1004,"&lt;&gt;Expired")&gt;0,"✓",IF(COUNTIFS('AFA Rates'!$A$5:$A$1004,$A93,'AFA Rates'!$B$5:$B$1004,J$23)&gt;0,"Exp","")))</f>
        <v/>
      </c>
      <c r="K93" s="79">
        <f>IF(OR($A93="",K$23=""),"",IF(COUNTIFS('AFA Rates'!$A$5:$A$1004,$A93,'AFA Rates'!$B$5:$B$1004,K$23,'AFA Rates'!$O$5:$O$1004,"&lt;&gt;Expired")&gt;0,"✓",IF(COUNTIFS('AFA Rates'!$A$5:$A$1004,$A93,'AFA Rates'!$B$5:$B$1004,K$23)&gt;0,"Exp","")))</f>
        <v/>
      </c>
      <c r="L93" s="79">
        <f>IF(OR($A93="",L$23=""),"",IF(COUNTIFS('AFA Rates'!$A$5:$A$1004,$A93,'AFA Rates'!$B$5:$B$1004,L$23,'AFA Rates'!$O$5:$O$1004,"&lt;&gt;Expired")&gt;0,"✓",IF(COUNTIFS('AFA Rates'!$A$5:$A$1004,$A93,'AFA Rates'!$B$5:$B$1004,L$23)&gt;0,"Exp","")))</f>
        <v/>
      </c>
      <c r="M93" s="79">
        <f>IF(OR($A93="",M$23=""),"",IF(COUNTIFS('AFA Rates'!$A$5:$A$1004,$A93,'AFA Rates'!$B$5:$B$1004,M$23,'AFA Rates'!$O$5:$O$1004,"&lt;&gt;Expired")&gt;0,"✓",IF(COUNTIFS('AFA Rates'!$A$5:$A$1004,$A93,'AFA Rates'!$B$5:$B$1004,M$23)&gt;0,"Exp","")))</f>
        <v/>
      </c>
    </row>
    <row r="94">
      <c r="A94" s="78">
        <f>IFERROR(INDEX(Firms!$A$5:$A$1004,MATCH(71,Firms!$V$5:$V$1004,0)),"")</f>
        <v/>
      </c>
      <c r="B94" s="79">
        <f>IF($A94="","",INDEX(Firms!$B$5:$B$1004,MATCH(71,Firms!$V$5:$V$1004,0)))</f>
        <v/>
      </c>
      <c r="C94" s="79">
        <f>IF($A94="","",COUNTIFS('AFA Rates'!$A$5:$A$1004,$A94,'AFA Rates'!$O$5:$O$1004,"&lt;&gt;Expired"))</f>
        <v/>
      </c>
      <c r="D94" s="79">
        <f>IF(OR($A94="",D$23=""),"",IF(COUNTIFS('AFA Rates'!$A$5:$A$1004,$A94,'AFA Rates'!$B$5:$B$1004,D$23,'AFA Rates'!$O$5:$O$1004,"&lt;&gt;Expired")&gt;0,"✓",IF(COUNTIFS('AFA Rates'!$A$5:$A$1004,$A94,'AFA Rates'!$B$5:$B$1004,D$23)&gt;0,"Exp","")))</f>
        <v/>
      </c>
      <c r="E94" s="79">
        <f>IF(OR($A94="",E$23=""),"",IF(COUNTIFS('AFA Rates'!$A$5:$A$1004,$A94,'AFA Rates'!$B$5:$B$1004,E$23,'AFA Rates'!$O$5:$O$1004,"&lt;&gt;Expired")&gt;0,"✓",IF(COUNTIFS('AFA Rates'!$A$5:$A$1004,$A94,'AFA Rates'!$B$5:$B$1004,E$23)&gt;0,"Exp","")))</f>
        <v/>
      </c>
      <c r="F94" s="79">
        <f>IF(OR($A94="",F$23=""),"",IF(COUNTIFS('AFA Rates'!$A$5:$A$1004,$A94,'AFA Rates'!$B$5:$B$1004,F$23,'AFA Rates'!$O$5:$O$1004,"&lt;&gt;Expired")&gt;0,"✓",IF(COUNTIFS('AFA Rates'!$A$5:$A$1004,$A94,'AFA Rates'!$B$5:$B$1004,F$23)&gt;0,"Exp","")))</f>
        <v/>
      </c>
      <c r="G94" s="79">
        <f>IF(OR($A94="",G$23=""),"",IF(COUNTIFS('AFA Rates'!$A$5:$A$1004,$A94,'AFA Rates'!$B$5:$B$1004,G$23,'AFA Rates'!$O$5:$O$1004,"&lt;&gt;Expired")&gt;0,"✓",IF(COUNTIFS('AFA Rates'!$A$5:$A$1004,$A94,'AFA Rates'!$B$5:$B$1004,G$23)&gt;0,"Exp","")))</f>
        <v/>
      </c>
      <c r="H94" s="79">
        <f>IF(OR($A94="",H$23=""),"",IF(COUNTIFS('AFA Rates'!$A$5:$A$1004,$A94,'AFA Rates'!$B$5:$B$1004,H$23,'AFA Rates'!$O$5:$O$1004,"&lt;&gt;Expired")&gt;0,"✓",IF(COUNTIFS('AFA Rates'!$A$5:$A$1004,$A94,'AFA Rates'!$B$5:$B$1004,H$23)&gt;0,"Exp","")))</f>
        <v/>
      </c>
      <c r="I94" s="79">
        <f>IF(OR($A94="",I$23=""),"",IF(COUNTIFS('AFA Rates'!$A$5:$A$1004,$A94,'AFA Rates'!$B$5:$B$1004,I$23,'AFA Rates'!$O$5:$O$1004,"&lt;&gt;Expired")&gt;0,"✓",IF(COUNTIFS('AFA Rates'!$A$5:$A$1004,$A94,'AFA Rates'!$B$5:$B$1004,I$23)&gt;0,"Exp","")))</f>
        <v/>
      </c>
      <c r="J94" s="79">
        <f>IF(OR($A94="",J$23=""),"",IF(COUNTIFS('AFA Rates'!$A$5:$A$1004,$A94,'AFA Rates'!$B$5:$B$1004,J$23,'AFA Rates'!$O$5:$O$1004,"&lt;&gt;Expired")&gt;0,"✓",IF(COUNTIFS('AFA Rates'!$A$5:$A$1004,$A94,'AFA Rates'!$B$5:$B$1004,J$23)&gt;0,"Exp","")))</f>
        <v/>
      </c>
      <c r="K94" s="79">
        <f>IF(OR($A94="",K$23=""),"",IF(COUNTIFS('AFA Rates'!$A$5:$A$1004,$A94,'AFA Rates'!$B$5:$B$1004,K$23,'AFA Rates'!$O$5:$O$1004,"&lt;&gt;Expired")&gt;0,"✓",IF(COUNTIFS('AFA Rates'!$A$5:$A$1004,$A94,'AFA Rates'!$B$5:$B$1004,K$23)&gt;0,"Exp","")))</f>
        <v/>
      </c>
      <c r="L94" s="79">
        <f>IF(OR($A94="",L$23=""),"",IF(COUNTIFS('AFA Rates'!$A$5:$A$1004,$A94,'AFA Rates'!$B$5:$B$1004,L$23,'AFA Rates'!$O$5:$O$1004,"&lt;&gt;Expired")&gt;0,"✓",IF(COUNTIFS('AFA Rates'!$A$5:$A$1004,$A94,'AFA Rates'!$B$5:$B$1004,L$23)&gt;0,"Exp","")))</f>
        <v/>
      </c>
      <c r="M94" s="79">
        <f>IF(OR($A94="",M$23=""),"",IF(COUNTIFS('AFA Rates'!$A$5:$A$1004,$A94,'AFA Rates'!$B$5:$B$1004,M$23,'AFA Rates'!$O$5:$O$1004,"&lt;&gt;Expired")&gt;0,"✓",IF(COUNTIFS('AFA Rates'!$A$5:$A$1004,$A94,'AFA Rates'!$B$5:$B$1004,M$23)&gt;0,"Exp","")))</f>
        <v/>
      </c>
    </row>
    <row r="95">
      <c r="A95" s="78">
        <f>IFERROR(INDEX(Firms!$A$5:$A$1004,MATCH(72,Firms!$V$5:$V$1004,0)),"")</f>
        <v/>
      </c>
      <c r="B95" s="79">
        <f>IF($A95="","",INDEX(Firms!$B$5:$B$1004,MATCH(72,Firms!$V$5:$V$1004,0)))</f>
        <v/>
      </c>
      <c r="C95" s="79">
        <f>IF($A95="","",COUNTIFS('AFA Rates'!$A$5:$A$1004,$A95,'AFA Rates'!$O$5:$O$1004,"&lt;&gt;Expired"))</f>
        <v/>
      </c>
      <c r="D95" s="79">
        <f>IF(OR($A95="",D$23=""),"",IF(COUNTIFS('AFA Rates'!$A$5:$A$1004,$A95,'AFA Rates'!$B$5:$B$1004,D$23,'AFA Rates'!$O$5:$O$1004,"&lt;&gt;Expired")&gt;0,"✓",IF(COUNTIFS('AFA Rates'!$A$5:$A$1004,$A95,'AFA Rates'!$B$5:$B$1004,D$23)&gt;0,"Exp","")))</f>
        <v/>
      </c>
      <c r="E95" s="79">
        <f>IF(OR($A95="",E$23=""),"",IF(COUNTIFS('AFA Rates'!$A$5:$A$1004,$A95,'AFA Rates'!$B$5:$B$1004,E$23,'AFA Rates'!$O$5:$O$1004,"&lt;&gt;Expired")&gt;0,"✓",IF(COUNTIFS('AFA Rates'!$A$5:$A$1004,$A95,'AFA Rates'!$B$5:$B$1004,E$23)&gt;0,"Exp","")))</f>
        <v/>
      </c>
      <c r="F95" s="79">
        <f>IF(OR($A95="",F$23=""),"",IF(COUNTIFS('AFA Rates'!$A$5:$A$1004,$A95,'AFA Rates'!$B$5:$B$1004,F$23,'AFA Rates'!$O$5:$O$1004,"&lt;&gt;Expired")&gt;0,"✓",IF(COUNTIFS('AFA Rates'!$A$5:$A$1004,$A95,'AFA Rates'!$B$5:$B$1004,F$23)&gt;0,"Exp","")))</f>
        <v/>
      </c>
      <c r="G95" s="79">
        <f>IF(OR($A95="",G$23=""),"",IF(COUNTIFS('AFA Rates'!$A$5:$A$1004,$A95,'AFA Rates'!$B$5:$B$1004,G$23,'AFA Rates'!$O$5:$O$1004,"&lt;&gt;Expired")&gt;0,"✓",IF(COUNTIFS('AFA Rates'!$A$5:$A$1004,$A95,'AFA Rates'!$B$5:$B$1004,G$23)&gt;0,"Exp","")))</f>
        <v/>
      </c>
      <c r="H95" s="79">
        <f>IF(OR($A95="",H$23=""),"",IF(COUNTIFS('AFA Rates'!$A$5:$A$1004,$A95,'AFA Rates'!$B$5:$B$1004,H$23,'AFA Rates'!$O$5:$O$1004,"&lt;&gt;Expired")&gt;0,"✓",IF(COUNTIFS('AFA Rates'!$A$5:$A$1004,$A95,'AFA Rates'!$B$5:$B$1004,H$23)&gt;0,"Exp","")))</f>
        <v/>
      </c>
      <c r="I95" s="79">
        <f>IF(OR($A95="",I$23=""),"",IF(COUNTIFS('AFA Rates'!$A$5:$A$1004,$A95,'AFA Rates'!$B$5:$B$1004,I$23,'AFA Rates'!$O$5:$O$1004,"&lt;&gt;Expired")&gt;0,"✓",IF(COUNTIFS('AFA Rates'!$A$5:$A$1004,$A95,'AFA Rates'!$B$5:$B$1004,I$23)&gt;0,"Exp","")))</f>
        <v/>
      </c>
      <c r="J95" s="79">
        <f>IF(OR($A95="",J$23=""),"",IF(COUNTIFS('AFA Rates'!$A$5:$A$1004,$A95,'AFA Rates'!$B$5:$B$1004,J$23,'AFA Rates'!$O$5:$O$1004,"&lt;&gt;Expired")&gt;0,"✓",IF(COUNTIFS('AFA Rates'!$A$5:$A$1004,$A95,'AFA Rates'!$B$5:$B$1004,J$23)&gt;0,"Exp","")))</f>
        <v/>
      </c>
      <c r="K95" s="79">
        <f>IF(OR($A95="",K$23=""),"",IF(COUNTIFS('AFA Rates'!$A$5:$A$1004,$A95,'AFA Rates'!$B$5:$B$1004,K$23,'AFA Rates'!$O$5:$O$1004,"&lt;&gt;Expired")&gt;0,"✓",IF(COUNTIFS('AFA Rates'!$A$5:$A$1004,$A95,'AFA Rates'!$B$5:$B$1004,K$23)&gt;0,"Exp","")))</f>
        <v/>
      </c>
      <c r="L95" s="79">
        <f>IF(OR($A95="",L$23=""),"",IF(COUNTIFS('AFA Rates'!$A$5:$A$1004,$A95,'AFA Rates'!$B$5:$B$1004,L$23,'AFA Rates'!$O$5:$O$1004,"&lt;&gt;Expired")&gt;0,"✓",IF(COUNTIFS('AFA Rates'!$A$5:$A$1004,$A95,'AFA Rates'!$B$5:$B$1004,L$23)&gt;0,"Exp","")))</f>
        <v/>
      </c>
      <c r="M95" s="79">
        <f>IF(OR($A95="",M$23=""),"",IF(COUNTIFS('AFA Rates'!$A$5:$A$1004,$A95,'AFA Rates'!$B$5:$B$1004,M$23,'AFA Rates'!$O$5:$O$1004,"&lt;&gt;Expired")&gt;0,"✓",IF(COUNTIFS('AFA Rates'!$A$5:$A$1004,$A95,'AFA Rates'!$B$5:$B$1004,M$23)&gt;0,"Exp","")))</f>
        <v/>
      </c>
    </row>
    <row r="96">
      <c r="A96" s="78">
        <f>IFERROR(INDEX(Firms!$A$5:$A$1004,MATCH(73,Firms!$V$5:$V$1004,0)),"")</f>
        <v/>
      </c>
      <c r="B96" s="79">
        <f>IF($A96="","",INDEX(Firms!$B$5:$B$1004,MATCH(73,Firms!$V$5:$V$1004,0)))</f>
        <v/>
      </c>
      <c r="C96" s="79">
        <f>IF($A96="","",COUNTIFS('AFA Rates'!$A$5:$A$1004,$A96,'AFA Rates'!$O$5:$O$1004,"&lt;&gt;Expired"))</f>
        <v/>
      </c>
      <c r="D96" s="79">
        <f>IF(OR($A96="",D$23=""),"",IF(COUNTIFS('AFA Rates'!$A$5:$A$1004,$A96,'AFA Rates'!$B$5:$B$1004,D$23,'AFA Rates'!$O$5:$O$1004,"&lt;&gt;Expired")&gt;0,"✓",IF(COUNTIFS('AFA Rates'!$A$5:$A$1004,$A96,'AFA Rates'!$B$5:$B$1004,D$23)&gt;0,"Exp","")))</f>
        <v/>
      </c>
      <c r="E96" s="79">
        <f>IF(OR($A96="",E$23=""),"",IF(COUNTIFS('AFA Rates'!$A$5:$A$1004,$A96,'AFA Rates'!$B$5:$B$1004,E$23,'AFA Rates'!$O$5:$O$1004,"&lt;&gt;Expired")&gt;0,"✓",IF(COUNTIFS('AFA Rates'!$A$5:$A$1004,$A96,'AFA Rates'!$B$5:$B$1004,E$23)&gt;0,"Exp","")))</f>
        <v/>
      </c>
      <c r="F96" s="79">
        <f>IF(OR($A96="",F$23=""),"",IF(COUNTIFS('AFA Rates'!$A$5:$A$1004,$A96,'AFA Rates'!$B$5:$B$1004,F$23,'AFA Rates'!$O$5:$O$1004,"&lt;&gt;Expired")&gt;0,"✓",IF(COUNTIFS('AFA Rates'!$A$5:$A$1004,$A96,'AFA Rates'!$B$5:$B$1004,F$23)&gt;0,"Exp","")))</f>
        <v/>
      </c>
      <c r="G96" s="79">
        <f>IF(OR($A96="",G$23=""),"",IF(COUNTIFS('AFA Rates'!$A$5:$A$1004,$A96,'AFA Rates'!$B$5:$B$1004,G$23,'AFA Rates'!$O$5:$O$1004,"&lt;&gt;Expired")&gt;0,"✓",IF(COUNTIFS('AFA Rates'!$A$5:$A$1004,$A96,'AFA Rates'!$B$5:$B$1004,G$23)&gt;0,"Exp","")))</f>
        <v/>
      </c>
      <c r="H96" s="79">
        <f>IF(OR($A96="",H$23=""),"",IF(COUNTIFS('AFA Rates'!$A$5:$A$1004,$A96,'AFA Rates'!$B$5:$B$1004,H$23,'AFA Rates'!$O$5:$O$1004,"&lt;&gt;Expired")&gt;0,"✓",IF(COUNTIFS('AFA Rates'!$A$5:$A$1004,$A96,'AFA Rates'!$B$5:$B$1004,H$23)&gt;0,"Exp","")))</f>
        <v/>
      </c>
      <c r="I96" s="79">
        <f>IF(OR($A96="",I$23=""),"",IF(COUNTIFS('AFA Rates'!$A$5:$A$1004,$A96,'AFA Rates'!$B$5:$B$1004,I$23,'AFA Rates'!$O$5:$O$1004,"&lt;&gt;Expired")&gt;0,"✓",IF(COUNTIFS('AFA Rates'!$A$5:$A$1004,$A96,'AFA Rates'!$B$5:$B$1004,I$23)&gt;0,"Exp","")))</f>
        <v/>
      </c>
      <c r="J96" s="79">
        <f>IF(OR($A96="",J$23=""),"",IF(COUNTIFS('AFA Rates'!$A$5:$A$1004,$A96,'AFA Rates'!$B$5:$B$1004,J$23,'AFA Rates'!$O$5:$O$1004,"&lt;&gt;Expired")&gt;0,"✓",IF(COUNTIFS('AFA Rates'!$A$5:$A$1004,$A96,'AFA Rates'!$B$5:$B$1004,J$23)&gt;0,"Exp","")))</f>
        <v/>
      </c>
      <c r="K96" s="79">
        <f>IF(OR($A96="",K$23=""),"",IF(COUNTIFS('AFA Rates'!$A$5:$A$1004,$A96,'AFA Rates'!$B$5:$B$1004,K$23,'AFA Rates'!$O$5:$O$1004,"&lt;&gt;Expired")&gt;0,"✓",IF(COUNTIFS('AFA Rates'!$A$5:$A$1004,$A96,'AFA Rates'!$B$5:$B$1004,K$23)&gt;0,"Exp","")))</f>
        <v/>
      </c>
      <c r="L96" s="79">
        <f>IF(OR($A96="",L$23=""),"",IF(COUNTIFS('AFA Rates'!$A$5:$A$1004,$A96,'AFA Rates'!$B$5:$B$1004,L$23,'AFA Rates'!$O$5:$O$1004,"&lt;&gt;Expired")&gt;0,"✓",IF(COUNTIFS('AFA Rates'!$A$5:$A$1004,$A96,'AFA Rates'!$B$5:$B$1004,L$23)&gt;0,"Exp","")))</f>
        <v/>
      </c>
      <c r="M96" s="79">
        <f>IF(OR($A96="",M$23=""),"",IF(COUNTIFS('AFA Rates'!$A$5:$A$1004,$A96,'AFA Rates'!$B$5:$B$1004,M$23,'AFA Rates'!$O$5:$O$1004,"&lt;&gt;Expired")&gt;0,"✓",IF(COUNTIFS('AFA Rates'!$A$5:$A$1004,$A96,'AFA Rates'!$B$5:$B$1004,M$23)&gt;0,"Exp","")))</f>
        <v/>
      </c>
    </row>
    <row r="97">
      <c r="A97" s="78">
        <f>IFERROR(INDEX(Firms!$A$5:$A$1004,MATCH(74,Firms!$V$5:$V$1004,0)),"")</f>
        <v/>
      </c>
      <c r="B97" s="79">
        <f>IF($A97="","",INDEX(Firms!$B$5:$B$1004,MATCH(74,Firms!$V$5:$V$1004,0)))</f>
        <v/>
      </c>
      <c r="C97" s="79">
        <f>IF($A97="","",COUNTIFS('AFA Rates'!$A$5:$A$1004,$A97,'AFA Rates'!$O$5:$O$1004,"&lt;&gt;Expired"))</f>
        <v/>
      </c>
      <c r="D97" s="79">
        <f>IF(OR($A97="",D$23=""),"",IF(COUNTIFS('AFA Rates'!$A$5:$A$1004,$A97,'AFA Rates'!$B$5:$B$1004,D$23,'AFA Rates'!$O$5:$O$1004,"&lt;&gt;Expired")&gt;0,"✓",IF(COUNTIFS('AFA Rates'!$A$5:$A$1004,$A97,'AFA Rates'!$B$5:$B$1004,D$23)&gt;0,"Exp","")))</f>
        <v/>
      </c>
      <c r="E97" s="79">
        <f>IF(OR($A97="",E$23=""),"",IF(COUNTIFS('AFA Rates'!$A$5:$A$1004,$A97,'AFA Rates'!$B$5:$B$1004,E$23,'AFA Rates'!$O$5:$O$1004,"&lt;&gt;Expired")&gt;0,"✓",IF(COUNTIFS('AFA Rates'!$A$5:$A$1004,$A97,'AFA Rates'!$B$5:$B$1004,E$23)&gt;0,"Exp","")))</f>
        <v/>
      </c>
      <c r="F97" s="79">
        <f>IF(OR($A97="",F$23=""),"",IF(COUNTIFS('AFA Rates'!$A$5:$A$1004,$A97,'AFA Rates'!$B$5:$B$1004,F$23,'AFA Rates'!$O$5:$O$1004,"&lt;&gt;Expired")&gt;0,"✓",IF(COUNTIFS('AFA Rates'!$A$5:$A$1004,$A97,'AFA Rates'!$B$5:$B$1004,F$23)&gt;0,"Exp","")))</f>
        <v/>
      </c>
      <c r="G97" s="79">
        <f>IF(OR($A97="",G$23=""),"",IF(COUNTIFS('AFA Rates'!$A$5:$A$1004,$A97,'AFA Rates'!$B$5:$B$1004,G$23,'AFA Rates'!$O$5:$O$1004,"&lt;&gt;Expired")&gt;0,"✓",IF(COUNTIFS('AFA Rates'!$A$5:$A$1004,$A97,'AFA Rates'!$B$5:$B$1004,G$23)&gt;0,"Exp","")))</f>
        <v/>
      </c>
      <c r="H97" s="79">
        <f>IF(OR($A97="",H$23=""),"",IF(COUNTIFS('AFA Rates'!$A$5:$A$1004,$A97,'AFA Rates'!$B$5:$B$1004,H$23,'AFA Rates'!$O$5:$O$1004,"&lt;&gt;Expired")&gt;0,"✓",IF(COUNTIFS('AFA Rates'!$A$5:$A$1004,$A97,'AFA Rates'!$B$5:$B$1004,H$23)&gt;0,"Exp","")))</f>
        <v/>
      </c>
      <c r="I97" s="79">
        <f>IF(OR($A97="",I$23=""),"",IF(COUNTIFS('AFA Rates'!$A$5:$A$1004,$A97,'AFA Rates'!$B$5:$B$1004,I$23,'AFA Rates'!$O$5:$O$1004,"&lt;&gt;Expired")&gt;0,"✓",IF(COUNTIFS('AFA Rates'!$A$5:$A$1004,$A97,'AFA Rates'!$B$5:$B$1004,I$23)&gt;0,"Exp","")))</f>
        <v/>
      </c>
      <c r="J97" s="79">
        <f>IF(OR($A97="",J$23=""),"",IF(COUNTIFS('AFA Rates'!$A$5:$A$1004,$A97,'AFA Rates'!$B$5:$B$1004,J$23,'AFA Rates'!$O$5:$O$1004,"&lt;&gt;Expired")&gt;0,"✓",IF(COUNTIFS('AFA Rates'!$A$5:$A$1004,$A97,'AFA Rates'!$B$5:$B$1004,J$23)&gt;0,"Exp","")))</f>
        <v/>
      </c>
      <c r="K97" s="79">
        <f>IF(OR($A97="",K$23=""),"",IF(COUNTIFS('AFA Rates'!$A$5:$A$1004,$A97,'AFA Rates'!$B$5:$B$1004,K$23,'AFA Rates'!$O$5:$O$1004,"&lt;&gt;Expired")&gt;0,"✓",IF(COUNTIFS('AFA Rates'!$A$5:$A$1004,$A97,'AFA Rates'!$B$5:$B$1004,K$23)&gt;0,"Exp","")))</f>
        <v/>
      </c>
      <c r="L97" s="79">
        <f>IF(OR($A97="",L$23=""),"",IF(COUNTIFS('AFA Rates'!$A$5:$A$1004,$A97,'AFA Rates'!$B$5:$B$1004,L$23,'AFA Rates'!$O$5:$O$1004,"&lt;&gt;Expired")&gt;0,"✓",IF(COUNTIFS('AFA Rates'!$A$5:$A$1004,$A97,'AFA Rates'!$B$5:$B$1004,L$23)&gt;0,"Exp","")))</f>
        <v/>
      </c>
      <c r="M97" s="79">
        <f>IF(OR($A97="",M$23=""),"",IF(COUNTIFS('AFA Rates'!$A$5:$A$1004,$A97,'AFA Rates'!$B$5:$B$1004,M$23,'AFA Rates'!$O$5:$O$1004,"&lt;&gt;Expired")&gt;0,"✓",IF(COUNTIFS('AFA Rates'!$A$5:$A$1004,$A97,'AFA Rates'!$B$5:$B$1004,M$23)&gt;0,"Exp","")))</f>
        <v/>
      </c>
    </row>
    <row r="98">
      <c r="A98" s="78">
        <f>IFERROR(INDEX(Firms!$A$5:$A$1004,MATCH(75,Firms!$V$5:$V$1004,0)),"")</f>
        <v/>
      </c>
      <c r="B98" s="79">
        <f>IF($A98="","",INDEX(Firms!$B$5:$B$1004,MATCH(75,Firms!$V$5:$V$1004,0)))</f>
        <v/>
      </c>
      <c r="C98" s="79">
        <f>IF($A98="","",COUNTIFS('AFA Rates'!$A$5:$A$1004,$A98,'AFA Rates'!$O$5:$O$1004,"&lt;&gt;Expired"))</f>
        <v/>
      </c>
      <c r="D98" s="79">
        <f>IF(OR($A98="",D$23=""),"",IF(COUNTIFS('AFA Rates'!$A$5:$A$1004,$A98,'AFA Rates'!$B$5:$B$1004,D$23,'AFA Rates'!$O$5:$O$1004,"&lt;&gt;Expired")&gt;0,"✓",IF(COUNTIFS('AFA Rates'!$A$5:$A$1004,$A98,'AFA Rates'!$B$5:$B$1004,D$23)&gt;0,"Exp","")))</f>
        <v/>
      </c>
      <c r="E98" s="79">
        <f>IF(OR($A98="",E$23=""),"",IF(COUNTIFS('AFA Rates'!$A$5:$A$1004,$A98,'AFA Rates'!$B$5:$B$1004,E$23,'AFA Rates'!$O$5:$O$1004,"&lt;&gt;Expired")&gt;0,"✓",IF(COUNTIFS('AFA Rates'!$A$5:$A$1004,$A98,'AFA Rates'!$B$5:$B$1004,E$23)&gt;0,"Exp","")))</f>
        <v/>
      </c>
      <c r="F98" s="79">
        <f>IF(OR($A98="",F$23=""),"",IF(COUNTIFS('AFA Rates'!$A$5:$A$1004,$A98,'AFA Rates'!$B$5:$B$1004,F$23,'AFA Rates'!$O$5:$O$1004,"&lt;&gt;Expired")&gt;0,"✓",IF(COUNTIFS('AFA Rates'!$A$5:$A$1004,$A98,'AFA Rates'!$B$5:$B$1004,F$23)&gt;0,"Exp","")))</f>
        <v/>
      </c>
      <c r="G98" s="79">
        <f>IF(OR($A98="",G$23=""),"",IF(COUNTIFS('AFA Rates'!$A$5:$A$1004,$A98,'AFA Rates'!$B$5:$B$1004,G$23,'AFA Rates'!$O$5:$O$1004,"&lt;&gt;Expired")&gt;0,"✓",IF(COUNTIFS('AFA Rates'!$A$5:$A$1004,$A98,'AFA Rates'!$B$5:$B$1004,G$23)&gt;0,"Exp","")))</f>
        <v/>
      </c>
      <c r="H98" s="79">
        <f>IF(OR($A98="",H$23=""),"",IF(COUNTIFS('AFA Rates'!$A$5:$A$1004,$A98,'AFA Rates'!$B$5:$B$1004,H$23,'AFA Rates'!$O$5:$O$1004,"&lt;&gt;Expired")&gt;0,"✓",IF(COUNTIFS('AFA Rates'!$A$5:$A$1004,$A98,'AFA Rates'!$B$5:$B$1004,H$23)&gt;0,"Exp","")))</f>
        <v/>
      </c>
      <c r="I98" s="79">
        <f>IF(OR($A98="",I$23=""),"",IF(COUNTIFS('AFA Rates'!$A$5:$A$1004,$A98,'AFA Rates'!$B$5:$B$1004,I$23,'AFA Rates'!$O$5:$O$1004,"&lt;&gt;Expired")&gt;0,"✓",IF(COUNTIFS('AFA Rates'!$A$5:$A$1004,$A98,'AFA Rates'!$B$5:$B$1004,I$23)&gt;0,"Exp","")))</f>
        <v/>
      </c>
      <c r="J98" s="79">
        <f>IF(OR($A98="",J$23=""),"",IF(COUNTIFS('AFA Rates'!$A$5:$A$1004,$A98,'AFA Rates'!$B$5:$B$1004,J$23,'AFA Rates'!$O$5:$O$1004,"&lt;&gt;Expired")&gt;0,"✓",IF(COUNTIFS('AFA Rates'!$A$5:$A$1004,$A98,'AFA Rates'!$B$5:$B$1004,J$23)&gt;0,"Exp","")))</f>
        <v/>
      </c>
      <c r="K98" s="79">
        <f>IF(OR($A98="",K$23=""),"",IF(COUNTIFS('AFA Rates'!$A$5:$A$1004,$A98,'AFA Rates'!$B$5:$B$1004,K$23,'AFA Rates'!$O$5:$O$1004,"&lt;&gt;Expired")&gt;0,"✓",IF(COUNTIFS('AFA Rates'!$A$5:$A$1004,$A98,'AFA Rates'!$B$5:$B$1004,K$23)&gt;0,"Exp","")))</f>
        <v/>
      </c>
      <c r="L98" s="79">
        <f>IF(OR($A98="",L$23=""),"",IF(COUNTIFS('AFA Rates'!$A$5:$A$1004,$A98,'AFA Rates'!$B$5:$B$1004,L$23,'AFA Rates'!$O$5:$O$1004,"&lt;&gt;Expired")&gt;0,"✓",IF(COUNTIFS('AFA Rates'!$A$5:$A$1004,$A98,'AFA Rates'!$B$5:$B$1004,L$23)&gt;0,"Exp","")))</f>
        <v/>
      </c>
      <c r="M98" s="79">
        <f>IF(OR($A98="",M$23=""),"",IF(COUNTIFS('AFA Rates'!$A$5:$A$1004,$A98,'AFA Rates'!$B$5:$B$1004,M$23,'AFA Rates'!$O$5:$O$1004,"&lt;&gt;Expired")&gt;0,"✓",IF(COUNTIFS('AFA Rates'!$A$5:$A$1004,$A98,'AFA Rates'!$B$5:$B$1004,M$23)&gt;0,"Exp","")))</f>
        <v/>
      </c>
    </row>
    <row r="99">
      <c r="A99" s="78">
        <f>IFERROR(INDEX(Firms!$A$5:$A$1004,MATCH(76,Firms!$V$5:$V$1004,0)),"")</f>
        <v/>
      </c>
      <c r="B99" s="79">
        <f>IF($A99="","",INDEX(Firms!$B$5:$B$1004,MATCH(76,Firms!$V$5:$V$1004,0)))</f>
        <v/>
      </c>
      <c r="C99" s="79">
        <f>IF($A99="","",COUNTIFS('AFA Rates'!$A$5:$A$1004,$A99,'AFA Rates'!$O$5:$O$1004,"&lt;&gt;Expired"))</f>
        <v/>
      </c>
      <c r="D99" s="79">
        <f>IF(OR($A99="",D$23=""),"",IF(COUNTIFS('AFA Rates'!$A$5:$A$1004,$A99,'AFA Rates'!$B$5:$B$1004,D$23,'AFA Rates'!$O$5:$O$1004,"&lt;&gt;Expired")&gt;0,"✓",IF(COUNTIFS('AFA Rates'!$A$5:$A$1004,$A99,'AFA Rates'!$B$5:$B$1004,D$23)&gt;0,"Exp","")))</f>
        <v/>
      </c>
      <c r="E99" s="79">
        <f>IF(OR($A99="",E$23=""),"",IF(COUNTIFS('AFA Rates'!$A$5:$A$1004,$A99,'AFA Rates'!$B$5:$B$1004,E$23,'AFA Rates'!$O$5:$O$1004,"&lt;&gt;Expired")&gt;0,"✓",IF(COUNTIFS('AFA Rates'!$A$5:$A$1004,$A99,'AFA Rates'!$B$5:$B$1004,E$23)&gt;0,"Exp","")))</f>
        <v/>
      </c>
      <c r="F99" s="79">
        <f>IF(OR($A99="",F$23=""),"",IF(COUNTIFS('AFA Rates'!$A$5:$A$1004,$A99,'AFA Rates'!$B$5:$B$1004,F$23,'AFA Rates'!$O$5:$O$1004,"&lt;&gt;Expired")&gt;0,"✓",IF(COUNTIFS('AFA Rates'!$A$5:$A$1004,$A99,'AFA Rates'!$B$5:$B$1004,F$23)&gt;0,"Exp","")))</f>
        <v/>
      </c>
      <c r="G99" s="79">
        <f>IF(OR($A99="",G$23=""),"",IF(COUNTIFS('AFA Rates'!$A$5:$A$1004,$A99,'AFA Rates'!$B$5:$B$1004,G$23,'AFA Rates'!$O$5:$O$1004,"&lt;&gt;Expired")&gt;0,"✓",IF(COUNTIFS('AFA Rates'!$A$5:$A$1004,$A99,'AFA Rates'!$B$5:$B$1004,G$23)&gt;0,"Exp","")))</f>
        <v/>
      </c>
      <c r="H99" s="79">
        <f>IF(OR($A99="",H$23=""),"",IF(COUNTIFS('AFA Rates'!$A$5:$A$1004,$A99,'AFA Rates'!$B$5:$B$1004,H$23,'AFA Rates'!$O$5:$O$1004,"&lt;&gt;Expired")&gt;0,"✓",IF(COUNTIFS('AFA Rates'!$A$5:$A$1004,$A99,'AFA Rates'!$B$5:$B$1004,H$23)&gt;0,"Exp","")))</f>
        <v/>
      </c>
      <c r="I99" s="79">
        <f>IF(OR($A99="",I$23=""),"",IF(COUNTIFS('AFA Rates'!$A$5:$A$1004,$A99,'AFA Rates'!$B$5:$B$1004,I$23,'AFA Rates'!$O$5:$O$1004,"&lt;&gt;Expired")&gt;0,"✓",IF(COUNTIFS('AFA Rates'!$A$5:$A$1004,$A99,'AFA Rates'!$B$5:$B$1004,I$23)&gt;0,"Exp","")))</f>
        <v/>
      </c>
      <c r="J99" s="79">
        <f>IF(OR($A99="",J$23=""),"",IF(COUNTIFS('AFA Rates'!$A$5:$A$1004,$A99,'AFA Rates'!$B$5:$B$1004,J$23,'AFA Rates'!$O$5:$O$1004,"&lt;&gt;Expired")&gt;0,"✓",IF(COUNTIFS('AFA Rates'!$A$5:$A$1004,$A99,'AFA Rates'!$B$5:$B$1004,J$23)&gt;0,"Exp","")))</f>
        <v/>
      </c>
      <c r="K99" s="79">
        <f>IF(OR($A99="",K$23=""),"",IF(COUNTIFS('AFA Rates'!$A$5:$A$1004,$A99,'AFA Rates'!$B$5:$B$1004,K$23,'AFA Rates'!$O$5:$O$1004,"&lt;&gt;Expired")&gt;0,"✓",IF(COUNTIFS('AFA Rates'!$A$5:$A$1004,$A99,'AFA Rates'!$B$5:$B$1004,K$23)&gt;0,"Exp","")))</f>
        <v/>
      </c>
      <c r="L99" s="79">
        <f>IF(OR($A99="",L$23=""),"",IF(COUNTIFS('AFA Rates'!$A$5:$A$1004,$A99,'AFA Rates'!$B$5:$B$1004,L$23,'AFA Rates'!$O$5:$O$1004,"&lt;&gt;Expired")&gt;0,"✓",IF(COUNTIFS('AFA Rates'!$A$5:$A$1004,$A99,'AFA Rates'!$B$5:$B$1004,L$23)&gt;0,"Exp","")))</f>
        <v/>
      </c>
      <c r="M99" s="79">
        <f>IF(OR($A99="",M$23=""),"",IF(COUNTIFS('AFA Rates'!$A$5:$A$1004,$A99,'AFA Rates'!$B$5:$B$1004,M$23,'AFA Rates'!$O$5:$O$1004,"&lt;&gt;Expired")&gt;0,"✓",IF(COUNTIFS('AFA Rates'!$A$5:$A$1004,$A99,'AFA Rates'!$B$5:$B$1004,M$23)&gt;0,"Exp","")))</f>
        <v/>
      </c>
    </row>
    <row r="100">
      <c r="A100" s="78">
        <f>IFERROR(INDEX(Firms!$A$5:$A$1004,MATCH(77,Firms!$V$5:$V$1004,0)),"")</f>
        <v/>
      </c>
      <c r="B100" s="79">
        <f>IF($A100="","",INDEX(Firms!$B$5:$B$1004,MATCH(77,Firms!$V$5:$V$1004,0)))</f>
        <v/>
      </c>
      <c r="C100" s="79">
        <f>IF($A100="","",COUNTIFS('AFA Rates'!$A$5:$A$1004,$A100,'AFA Rates'!$O$5:$O$1004,"&lt;&gt;Expired"))</f>
        <v/>
      </c>
      <c r="D100" s="79">
        <f>IF(OR($A100="",D$23=""),"",IF(COUNTIFS('AFA Rates'!$A$5:$A$1004,$A100,'AFA Rates'!$B$5:$B$1004,D$23,'AFA Rates'!$O$5:$O$1004,"&lt;&gt;Expired")&gt;0,"✓",IF(COUNTIFS('AFA Rates'!$A$5:$A$1004,$A100,'AFA Rates'!$B$5:$B$1004,D$23)&gt;0,"Exp","")))</f>
        <v/>
      </c>
      <c r="E100" s="79">
        <f>IF(OR($A100="",E$23=""),"",IF(COUNTIFS('AFA Rates'!$A$5:$A$1004,$A100,'AFA Rates'!$B$5:$B$1004,E$23,'AFA Rates'!$O$5:$O$1004,"&lt;&gt;Expired")&gt;0,"✓",IF(COUNTIFS('AFA Rates'!$A$5:$A$1004,$A100,'AFA Rates'!$B$5:$B$1004,E$23)&gt;0,"Exp","")))</f>
        <v/>
      </c>
      <c r="F100" s="79">
        <f>IF(OR($A100="",F$23=""),"",IF(COUNTIFS('AFA Rates'!$A$5:$A$1004,$A100,'AFA Rates'!$B$5:$B$1004,F$23,'AFA Rates'!$O$5:$O$1004,"&lt;&gt;Expired")&gt;0,"✓",IF(COUNTIFS('AFA Rates'!$A$5:$A$1004,$A100,'AFA Rates'!$B$5:$B$1004,F$23)&gt;0,"Exp","")))</f>
        <v/>
      </c>
      <c r="G100" s="79">
        <f>IF(OR($A100="",G$23=""),"",IF(COUNTIFS('AFA Rates'!$A$5:$A$1004,$A100,'AFA Rates'!$B$5:$B$1004,G$23,'AFA Rates'!$O$5:$O$1004,"&lt;&gt;Expired")&gt;0,"✓",IF(COUNTIFS('AFA Rates'!$A$5:$A$1004,$A100,'AFA Rates'!$B$5:$B$1004,G$23)&gt;0,"Exp","")))</f>
        <v/>
      </c>
      <c r="H100" s="79">
        <f>IF(OR($A100="",H$23=""),"",IF(COUNTIFS('AFA Rates'!$A$5:$A$1004,$A100,'AFA Rates'!$B$5:$B$1004,H$23,'AFA Rates'!$O$5:$O$1004,"&lt;&gt;Expired")&gt;0,"✓",IF(COUNTIFS('AFA Rates'!$A$5:$A$1004,$A100,'AFA Rates'!$B$5:$B$1004,H$23)&gt;0,"Exp","")))</f>
        <v/>
      </c>
      <c r="I100" s="79">
        <f>IF(OR($A100="",I$23=""),"",IF(COUNTIFS('AFA Rates'!$A$5:$A$1004,$A100,'AFA Rates'!$B$5:$B$1004,I$23,'AFA Rates'!$O$5:$O$1004,"&lt;&gt;Expired")&gt;0,"✓",IF(COUNTIFS('AFA Rates'!$A$5:$A$1004,$A100,'AFA Rates'!$B$5:$B$1004,I$23)&gt;0,"Exp","")))</f>
        <v/>
      </c>
      <c r="J100" s="79">
        <f>IF(OR($A100="",J$23=""),"",IF(COUNTIFS('AFA Rates'!$A$5:$A$1004,$A100,'AFA Rates'!$B$5:$B$1004,J$23,'AFA Rates'!$O$5:$O$1004,"&lt;&gt;Expired")&gt;0,"✓",IF(COUNTIFS('AFA Rates'!$A$5:$A$1004,$A100,'AFA Rates'!$B$5:$B$1004,J$23)&gt;0,"Exp","")))</f>
        <v/>
      </c>
      <c r="K100" s="79">
        <f>IF(OR($A100="",K$23=""),"",IF(COUNTIFS('AFA Rates'!$A$5:$A$1004,$A100,'AFA Rates'!$B$5:$B$1004,K$23,'AFA Rates'!$O$5:$O$1004,"&lt;&gt;Expired")&gt;0,"✓",IF(COUNTIFS('AFA Rates'!$A$5:$A$1004,$A100,'AFA Rates'!$B$5:$B$1004,K$23)&gt;0,"Exp","")))</f>
        <v/>
      </c>
      <c r="L100" s="79">
        <f>IF(OR($A100="",L$23=""),"",IF(COUNTIFS('AFA Rates'!$A$5:$A$1004,$A100,'AFA Rates'!$B$5:$B$1004,L$23,'AFA Rates'!$O$5:$O$1004,"&lt;&gt;Expired")&gt;0,"✓",IF(COUNTIFS('AFA Rates'!$A$5:$A$1004,$A100,'AFA Rates'!$B$5:$B$1004,L$23)&gt;0,"Exp","")))</f>
        <v/>
      </c>
      <c r="M100" s="79">
        <f>IF(OR($A100="",M$23=""),"",IF(COUNTIFS('AFA Rates'!$A$5:$A$1004,$A100,'AFA Rates'!$B$5:$B$1004,M$23,'AFA Rates'!$O$5:$O$1004,"&lt;&gt;Expired")&gt;0,"✓",IF(COUNTIFS('AFA Rates'!$A$5:$A$1004,$A100,'AFA Rates'!$B$5:$B$1004,M$23)&gt;0,"Exp","")))</f>
        <v/>
      </c>
    </row>
    <row r="101">
      <c r="A101" s="78">
        <f>IFERROR(INDEX(Firms!$A$5:$A$1004,MATCH(78,Firms!$V$5:$V$1004,0)),"")</f>
        <v/>
      </c>
      <c r="B101" s="79">
        <f>IF($A101="","",INDEX(Firms!$B$5:$B$1004,MATCH(78,Firms!$V$5:$V$1004,0)))</f>
        <v/>
      </c>
      <c r="C101" s="79">
        <f>IF($A101="","",COUNTIFS('AFA Rates'!$A$5:$A$1004,$A101,'AFA Rates'!$O$5:$O$1004,"&lt;&gt;Expired"))</f>
        <v/>
      </c>
      <c r="D101" s="79">
        <f>IF(OR($A101="",D$23=""),"",IF(COUNTIFS('AFA Rates'!$A$5:$A$1004,$A101,'AFA Rates'!$B$5:$B$1004,D$23,'AFA Rates'!$O$5:$O$1004,"&lt;&gt;Expired")&gt;0,"✓",IF(COUNTIFS('AFA Rates'!$A$5:$A$1004,$A101,'AFA Rates'!$B$5:$B$1004,D$23)&gt;0,"Exp","")))</f>
        <v/>
      </c>
      <c r="E101" s="79">
        <f>IF(OR($A101="",E$23=""),"",IF(COUNTIFS('AFA Rates'!$A$5:$A$1004,$A101,'AFA Rates'!$B$5:$B$1004,E$23,'AFA Rates'!$O$5:$O$1004,"&lt;&gt;Expired")&gt;0,"✓",IF(COUNTIFS('AFA Rates'!$A$5:$A$1004,$A101,'AFA Rates'!$B$5:$B$1004,E$23)&gt;0,"Exp","")))</f>
        <v/>
      </c>
      <c r="F101" s="79">
        <f>IF(OR($A101="",F$23=""),"",IF(COUNTIFS('AFA Rates'!$A$5:$A$1004,$A101,'AFA Rates'!$B$5:$B$1004,F$23,'AFA Rates'!$O$5:$O$1004,"&lt;&gt;Expired")&gt;0,"✓",IF(COUNTIFS('AFA Rates'!$A$5:$A$1004,$A101,'AFA Rates'!$B$5:$B$1004,F$23)&gt;0,"Exp","")))</f>
        <v/>
      </c>
      <c r="G101" s="79">
        <f>IF(OR($A101="",G$23=""),"",IF(COUNTIFS('AFA Rates'!$A$5:$A$1004,$A101,'AFA Rates'!$B$5:$B$1004,G$23,'AFA Rates'!$O$5:$O$1004,"&lt;&gt;Expired")&gt;0,"✓",IF(COUNTIFS('AFA Rates'!$A$5:$A$1004,$A101,'AFA Rates'!$B$5:$B$1004,G$23)&gt;0,"Exp","")))</f>
        <v/>
      </c>
      <c r="H101" s="79">
        <f>IF(OR($A101="",H$23=""),"",IF(COUNTIFS('AFA Rates'!$A$5:$A$1004,$A101,'AFA Rates'!$B$5:$B$1004,H$23,'AFA Rates'!$O$5:$O$1004,"&lt;&gt;Expired")&gt;0,"✓",IF(COUNTIFS('AFA Rates'!$A$5:$A$1004,$A101,'AFA Rates'!$B$5:$B$1004,H$23)&gt;0,"Exp","")))</f>
        <v/>
      </c>
      <c r="I101" s="79">
        <f>IF(OR($A101="",I$23=""),"",IF(COUNTIFS('AFA Rates'!$A$5:$A$1004,$A101,'AFA Rates'!$B$5:$B$1004,I$23,'AFA Rates'!$O$5:$O$1004,"&lt;&gt;Expired")&gt;0,"✓",IF(COUNTIFS('AFA Rates'!$A$5:$A$1004,$A101,'AFA Rates'!$B$5:$B$1004,I$23)&gt;0,"Exp","")))</f>
        <v/>
      </c>
      <c r="J101" s="79">
        <f>IF(OR($A101="",J$23=""),"",IF(COUNTIFS('AFA Rates'!$A$5:$A$1004,$A101,'AFA Rates'!$B$5:$B$1004,J$23,'AFA Rates'!$O$5:$O$1004,"&lt;&gt;Expired")&gt;0,"✓",IF(COUNTIFS('AFA Rates'!$A$5:$A$1004,$A101,'AFA Rates'!$B$5:$B$1004,J$23)&gt;0,"Exp","")))</f>
        <v/>
      </c>
      <c r="K101" s="79">
        <f>IF(OR($A101="",K$23=""),"",IF(COUNTIFS('AFA Rates'!$A$5:$A$1004,$A101,'AFA Rates'!$B$5:$B$1004,K$23,'AFA Rates'!$O$5:$O$1004,"&lt;&gt;Expired")&gt;0,"✓",IF(COUNTIFS('AFA Rates'!$A$5:$A$1004,$A101,'AFA Rates'!$B$5:$B$1004,K$23)&gt;0,"Exp","")))</f>
        <v/>
      </c>
      <c r="L101" s="79">
        <f>IF(OR($A101="",L$23=""),"",IF(COUNTIFS('AFA Rates'!$A$5:$A$1004,$A101,'AFA Rates'!$B$5:$B$1004,L$23,'AFA Rates'!$O$5:$O$1004,"&lt;&gt;Expired")&gt;0,"✓",IF(COUNTIFS('AFA Rates'!$A$5:$A$1004,$A101,'AFA Rates'!$B$5:$B$1004,L$23)&gt;0,"Exp","")))</f>
        <v/>
      </c>
      <c r="M101" s="79">
        <f>IF(OR($A101="",M$23=""),"",IF(COUNTIFS('AFA Rates'!$A$5:$A$1004,$A101,'AFA Rates'!$B$5:$B$1004,M$23,'AFA Rates'!$O$5:$O$1004,"&lt;&gt;Expired")&gt;0,"✓",IF(COUNTIFS('AFA Rates'!$A$5:$A$1004,$A101,'AFA Rates'!$B$5:$B$1004,M$23)&gt;0,"Exp","")))</f>
        <v/>
      </c>
    </row>
    <row r="102">
      <c r="A102" s="78">
        <f>IFERROR(INDEX(Firms!$A$5:$A$1004,MATCH(79,Firms!$V$5:$V$1004,0)),"")</f>
        <v/>
      </c>
      <c r="B102" s="79">
        <f>IF($A102="","",INDEX(Firms!$B$5:$B$1004,MATCH(79,Firms!$V$5:$V$1004,0)))</f>
        <v/>
      </c>
      <c r="C102" s="79">
        <f>IF($A102="","",COUNTIFS('AFA Rates'!$A$5:$A$1004,$A102,'AFA Rates'!$O$5:$O$1004,"&lt;&gt;Expired"))</f>
        <v/>
      </c>
      <c r="D102" s="79">
        <f>IF(OR($A102="",D$23=""),"",IF(COUNTIFS('AFA Rates'!$A$5:$A$1004,$A102,'AFA Rates'!$B$5:$B$1004,D$23,'AFA Rates'!$O$5:$O$1004,"&lt;&gt;Expired")&gt;0,"✓",IF(COUNTIFS('AFA Rates'!$A$5:$A$1004,$A102,'AFA Rates'!$B$5:$B$1004,D$23)&gt;0,"Exp","")))</f>
        <v/>
      </c>
      <c r="E102" s="79">
        <f>IF(OR($A102="",E$23=""),"",IF(COUNTIFS('AFA Rates'!$A$5:$A$1004,$A102,'AFA Rates'!$B$5:$B$1004,E$23,'AFA Rates'!$O$5:$O$1004,"&lt;&gt;Expired")&gt;0,"✓",IF(COUNTIFS('AFA Rates'!$A$5:$A$1004,$A102,'AFA Rates'!$B$5:$B$1004,E$23)&gt;0,"Exp","")))</f>
        <v/>
      </c>
      <c r="F102" s="79">
        <f>IF(OR($A102="",F$23=""),"",IF(COUNTIFS('AFA Rates'!$A$5:$A$1004,$A102,'AFA Rates'!$B$5:$B$1004,F$23,'AFA Rates'!$O$5:$O$1004,"&lt;&gt;Expired")&gt;0,"✓",IF(COUNTIFS('AFA Rates'!$A$5:$A$1004,$A102,'AFA Rates'!$B$5:$B$1004,F$23)&gt;0,"Exp","")))</f>
        <v/>
      </c>
      <c r="G102" s="79">
        <f>IF(OR($A102="",G$23=""),"",IF(COUNTIFS('AFA Rates'!$A$5:$A$1004,$A102,'AFA Rates'!$B$5:$B$1004,G$23,'AFA Rates'!$O$5:$O$1004,"&lt;&gt;Expired")&gt;0,"✓",IF(COUNTIFS('AFA Rates'!$A$5:$A$1004,$A102,'AFA Rates'!$B$5:$B$1004,G$23)&gt;0,"Exp","")))</f>
        <v/>
      </c>
      <c r="H102" s="79">
        <f>IF(OR($A102="",H$23=""),"",IF(COUNTIFS('AFA Rates'!$A$5:$A$1004,$A102,'AFA Rates'!$B$5:$B$1004,H$23,'AFA Rates'!$O$5:$O$1004,"&lt;&gt;Expired")&gt;0,"✓",IF(COUNTIFS('AFA Rates'!$A$5:$A$1004,$A102,'AFA Rates'!$B$5:$B$1004,H$23)&gt;0,"Exp","")))</f>
        <v/>
      </c>
      <c r="I102" s="79">
        <f>IF(OR($A102="",I$23=""),"",IF(COUNTIFS('AFA Rates'!$A$5:$A$1004,$A102,'AFA Rates'!$B$5:$B$1004,I$23,'AFA Rates'!$O$5:$O$1004,"&lt;&gt;Expired")&gt;0,"✓",IF(COUNTIFS('AFA Rates'!$A$5:$A$1004,$A102,'AFA Rates'!$B$5:$B$1004,I$23)&gt;0,"Exp","")))</f>
        <v/>
      </c>
      <c r="J102" s="79">
        <f>IF(OR($A102="",J$23=""),"",IF(COUNTIFS('AFA Rates'!$A$5:$A$1004,$A102,'AFA Rates'!$B$5:$B$1004,J$23,'AFA Rates'!$O$5:$O$1004,"&lt;&gt;Expired")&gt;0,"✓",IF(COUNTIFS('AFA Rates'!$A$5:$A$1004,$A102,'AFA Rates'!$B$5:$B$1004,J$23)&gt;0,"Exp","")))</f>
        <v/>
      </c>
      <c r="K102" s="79">
        <f>IF(OR($A102="",K$23=""),"",IF(COUNTIFS('AFA Rates'!$A$5:$A$1004,$A102,'AFA Rates'!$B$5:$B$1004,K$23,'AFA Rates'!$O$5:$O$1004,"&lt;&gt;Expired")&gt;0,"✓",IF(COUNTIFS('AFA Rates'!$A$5:$A$1004,$A102,'AFA Rates'!$B$5:$B$1004,K$23)&gt;0,"Exp","")))</f>
        <v/>
      </c>
      <c r="L102" s="79">
        <f>IF(OR($A102="",L$23=""),"",IF(COUNTIFS('AFA Rates'!$A$5:$A$1004,$A102,'AFA Rates'!$B$5:$B$1004,L$23,'AFA Rates'!$O$5:$O$1004,"&lt;&gt;Expired")&gt;0,"✓",IF(COUNTIFS('AFA Rates'!$A$5:$A$1004,$A102,'AFA Rates'!$B$5:$B$1004,L$23)&gt;0,"Exp","")))</f>
        <v/>
      </c>
      <c r="M102" s="79">
        <f>IF(OR($A102="",M$23=""),"",IF(COUNTIFS('AFA Rates'!$A$5:$A$1004,$A102,'AFA Rates'!$B$5:$B$1004,M$23,'AFA Rates'!$O$5:$O$1004,"&lt;&gt;Expired")&gt;0,"✓",IF(COUNTIFS('AFA Rates'!$A$5:$A$1004,$A102,'AFA Rates'!$B$5:$B$1004,M$23)&gt;0,"Exp","")))</f>
        <v/>
      </c>
    </row>
    <row r="103">
      <c r="A103" s="78">
        <f>IFERROR(INDEX(Firms!$A$5:$A$1004,MATCH(80,Firms!$V$5:$V$1004,0)),"")</f>
        <v/>
      </c>
      <c r="B103" s="79">
        <f>IF($A103="","",INDEX(Firms!$B$5:$B$1004,MATCH(80,Firms!$V$5:$V$1004,0)))</f>
        <v/>
      </c>
      <c r="C103" s="79">
        <f>IF($A103="","",COUNTIFS('AFA Rates'!$A$5:$A$1004,$A103,'AFA Rates'!$O$5:$O$1004,"&lt;&gt;Expired"))</f>
        <v/>
      </c>
      <c r="D103" s="79">
        <f>IF(OR($A103="",D$23=""),"",IF(COUNTIFS('AFA Rates'!$A$5:$A$1004,$A103,'AFA Rates'!$B$5:$B$1004,D$23,'AFA Rates'!$O$5:$O$1004,"&lt;&gt;Expired")&gt;0,"✓",IF(COUNTIFS('AFA Rates'!$A$5:$A$1004,$A103,'AFA Rates'!$B$5:$B$1004,D$23)&gt;0,"Exp","")))</f>
        <v/>
      </c>
      <c r="E103" s="79">
        <f>IF(OR($A103="",E$23=""),"",IF(COUNTIFS('AFA Rates'!$A$5:$A$1004,$A103,'AFA Rates'!$B$5:$B$1004,E$23,'AFA Rates'!$O$5:$O$1004,"&lt;&gt;Expired")&gt;0,"✓",IF(COUNTIFS('AFA Rates'!$A$5:$A$1004,$A103,'AFA Rates'!$B$5:$B$1004,E$23)&gt;0,"Exp","")))</f>
        <v/>
      </c>
      <c r="F103" s="79">
        <f>IF(OR($A103="",F$23=""),"",IF(COUNTIFS('AFA Rates'!$A$5:$A$1004,$A103,'AFA Rates'!$B$5:$B$1004,F$23,'AFA Rates'!$O$5:$O$1004,"&lt;&gt;Expired")&gt;0,"✓",IF(COUNTIFS('AFA Rates'!$A$5:$A$1004,$A103,'AFA Rates'!$B$5:$B$1004,F$23)&gt;0,"Exp","")))</f>
        <v/>
      </c>
      <c r="G103" s="79">
        <f>IF(OR($A103="",G$23=""),"",IF(COUNTIFS('AFA Rates'!$A$5:$A$1004,$A103,'AFA Rates'!$B$5:$B$1004,G$23,'AFA Rates'!$O$5:$O$1004,"&lt;&gt;Expired")&gt;0,"✓",IF(COUNTIFS('AFA Rates'!$A$5:$A$1004,$A103,'AFA Rates'!$B$5:$B$1004,G$23)&gt;0,"Exp","")))</f>
        <v/>
      </c>
      <c r="H103" s="79">
        <f>IF(OR($A103="",H$23=""),"",IF(COUNTIFS('AFA Rates'!$A$5:$A$1004,$A103,'AFA Rates'!$B$5:$B$1004,H$23,'AFA Rates'!$O$5:$O$1004,"&lt;&gt;Expired")&gt;0,"✓",IF(COUNTIFS('AFA Rates'!$A$5:$A$1004,$A103,'AFA Rates'!$B$5:$B$1004,H$23)&gt;0,"Exp","")))</f>
        <v/>
      </c>
      <c r="I103" s="79">
        <f>IF(OR($A103="",I$23=""),"",IF(COUNTIFS('AFA Rates'!$A$5:$A$1004,$A103,'AFA Rates'!$B$5:$B$1004,I$23,'AFA Rates'!$O$5:$O$1004,"&lt;&gt;Expired")&gt;0,"✓",IF(COUNTIFS('AFA Rates'!$A$5:$A$1004,$A103,'AFA Rates'!$B$5:$B$1004,I$23)&gt;0,"Exp","")))</f>
        <v/>
      </c>
      <c r="J103" s="79">
        <f>IF(OR($A103="",J$23=""),"",IF(COUNTIFS('AFA Rates'!$A$5:$A$1004,$A103,'AFA Rates'!$B$5:$B$1004,J$23,'AFA Rates'!$O$5:$O$1004,"&lt;&gt;Expired")&gt;0,"✓",IF(COUNTIFS('AFA Rates'!$A$5:$A$1004,$A103,'AFA Rates'!$B$5:$B$1004,J$23)&gt;0,"Exp","")))</f>
        <v/>
      </c>
      <c r="K103" s="79">
        <f>IF(OR($A103="",K$23=""),"",IF(COUNTIFS('AFA Rates'!$A$5:$A$1004,$A103,'AFA Rates'!$B$5:$B$1004,K$23,'AFA Rates'!$O$5:$O$1004,"&lt;&gt;Expired")&gt;0,"✓",IF(COUNTIFS('AFA Rates'!$A$5:$A$1004,$A103,'AFA Rates'!$B$5:$B$1004,K$23)&gt;0,"Exp","")))</f>
        <v/>
      </c>
      <c r="L103" s="79">
        <f>IF(OR($A103="",L$23=""),"",IF(COUNTIFS('AFA Rates'!$A$5:$A$1004,$A103,'AFA Rates'!$B$5:$B$1004,L$23,'AFA Rates'!$O$5:$O$1004,"&lt;&gt;Expired")&gt;0,"✓",IF(COUNTIFS('AFA Rates'!$A$5:$A$1004,$A103,'AFA Rates'!$B$5:$B$1004,L$23)&gt;0,"Exp","")))</f>
        <v/>
      </c>
      <c r="M103" s="79">
        <f>IF(OR($A103="",M$23=""),"",IF(COUNTIFS('AFA Rates'!$A$5:$A$1004,$A103,'AFA Rates'!$B$5:$B$1004,M$23,'AFA Rates'!$O$5:$O$1004,"&lt;&gt;Expired")&gt;0,"✓",IF(COUNTIFS('AFA Rates'!$A$5:$A$1004,$A103,'AFA Rates'!$B$5:$B$1004,M$23)&gt;0,"Exp","")))</f>
        <v/>
      </c>
    </row>
    <row r="104">
      <c r="A104" s="78">
        <f>IFERROR(INDEX(Firms!$A$5:$A$1004,MATCH(81,Firms!$V$5:$V$1004,0)),"")</f>
        <v/>
      </c>
      <c r="B104" s="79">
        <f>IF($A104="","",INDEX(Firms!$B$5:$B$1004,MATCH(81,Firms!$V$5:$V$1004,0)))</f>
        <v/>
      </c>
      <c r="C104" s="79">
        <f>IF($A104="","",COUNTIFS('AFA Rates'!$A$5:$A$1004,$A104,'AFA Rates'!$O$5:$O$1004,"&lt;&gt;Expired"))</f>
        <v/>
      </c>
      <c r="D104" s="79">
        <f>IF(OR($A104="",D$23=""),"",IF(COUNTIFS('AFA Rates'!$A$5:$A$1004,$A104,'AFA Rates'!$B$5:$B$1004,D$23,'AFA Rates'!$O$5:$O$1004,"&lt;&gt;Expired")&gt;0,"✓",IF(COUNTIFS('AFA Rates'!$A$5:$A$1004,$A104,'AFA Rates'!$B$5:$B$1004,D$23)&gt;0,"Exp","")))</f>
        <v/>
      </c>
      <c r="E104" s="79">
        <f>IF(OR($A104="",E$23=""),"",IF(COUNTIFS('AFA Rates'!$A$5:$A$1004,$A104,'AFA Rates'!$B$5:$B$1004,E$23,'AFA Rates'!$O$5:$O$1004,"&lt;&gt;Expired")&gt;0,"✓",IF(COUNTIFS('AFA Rates'!$A$5:$A$1004,$A104,'AFA Rates'!$B$5:$B$1004,E$23)&gt;0,"Exp","")))</f>
        <v/>
      </c>
      <c r="F104" s="79">
        <f>IF(OR($A104="",F$23=""),"",IF(COUNTIFS('AFA Rates'!$A$5:$A$1004,$A104,'AFA Rates'!$B$5:$B$1004,F$23,'AFA Rates'!$O$5:$O$1004,"&lt;&gt;Expired")&gt;0,"✓",IF(COUNTIFS('AFA Rates'!$A$5:$A$1004,$A104,'AFA Rates'!$B$5:$B$1004,F$23)&gt;0,"Exp","")))</f>
        <v/>
      </c>
      <c r="G104" s="79">
        <f>IF(OR($A104="",G$23=""),"",IF(COUNTIFS('AFA Rates'!$A$5:$A$1004,$A104,'AFA Rates'!$B$5:$B$1004,G$23,'AFA Rates'!$O$5:$O$1004,"&lt;&gt;Expired")&gt;0,"✓",IF(COUNTIFS('AFA Rates'!$A$5:$A$1004,$A104,'AFA Rates'!$B$5:$B$1004,G$23)&gt;0,"Exp","")))</f>
        <v/>
      </c>
      <c r="H104" s="79">
        <f>IF(OR($A104="",H$23=""),"",IF(COUNTIFS('AFA Rates'!$A$5:$A$1004,$A104,'AFA Rates'!$B$5:$B$1004,H$23,'AFA Rates'!$O$5:$O$1004,"&lt;&gt;Expired")&gt;0,"✓",IF(COUNTIFS('AFA Rates'!$A$5:$A$1004,$A104,'AFA Rates'!$B$5:$B$1004,H$23)&gt;0,"Exp","")))</f>
        <v/>
      </c>
      <c r="I104" s="79">
        <f>IF(OR($A104="",I$23=""),"",IF(COUNTIFS('AFA Rates'!$A$5:$A$1004,$A104,'AFA Rates'!$B$5:$B$1004,I$23,'AFA Rates'!$O$5:$O$1004,"&lt;&gt;Expired")&gt;0,"✓",IF(COUNTIFS('AFA Rates'!$A$5:$A$1004,$A104,'AFA Rates'!$B$5:$B$1004,I$23)&gt;0,"Exp","")))</f>
        <v/>
      </c>
      <c r="J104" s="79">
        <f>IF(OR($A104="",J$23=""),"",IF(COUNTIFS('AFA Rates'!$A$5:$A$1004,$A104,'AFA Rates'!$B$5:$B$1004,J$23,'AFA Rates'!$O$5:$O$1004,"&lt;&gt;Expired")&gt;0,"✓",IF(COUNTIFS('AFA Rates'!$A$5:$A$1004,$A104,'AFA Rates'!$B$5:$B$1004,J$23)&gt;0,"Exp","")))</f>
        <v/>
      </c>
      <c r="K104" s="79">
        <f>IF(OR($A104="",K$23=""),"",IF(COUNTIFS('AFA Rates'!$A$5:$A$1004,$A104,'AFA Rates'!$B$5:$B$1004,K$23,'AFA Rates'!$O$5:$O$1004,"&lt;&gt;Expired")&gt;0,"✓",IF(COUNTIFS('AFA Rates'!$A$5:$A$1004,$A104,'AFA Rates'!$B$5:$B$1004,K$23)&gt;0,"Exp","")))</f>
        <v/>
      </c>
      <c r="L104" s="79">
        <f>IF(OR($A104="",L$23=""),"",IF(COUNTIFS('AFA Rates'!$A$5:$A$1004,$A104,'AFA Rates'!$B$5:$B$1004,L$23,'AFA Rates'!$O$5:$O$1004,"&lt;&gt;Expired")&gt;0,"✓",IF(COUNTIFS('AFA Rates'!$A$5:$A$1004,$A104,'AFA Rates'!$B$5:$B$1004,L$23)&gt;0,"Exp","")))</f>
        <v/>
      </c>
      <c r="M104" s="79">
        <f>IF(OR($A104="",M$23=""),"",IF(COUNTIFS('AFA Rates'!$A$5:$A$1004,$A104,'AFA Rates'!$B$5:$B$1004,M$23,'AFA Rates'!$O$5:$O$1004,"&lt;&gt;Expired")&gt;0,"✓",IF(COUNTIFS('AFA Rates'!$A$5:$A$1004,$A104,'AFA Rates'!$B$5:$B$1004,M$23)&gt;0,"Exp","")))</f>
        <v/>
      </c>
    </row>
    <row r="105">
      <c r="A105" s="78">
        <f>IFERROR(INDEX(Firms!$A$5:$A$1004,MATCH(82,Firms!$V$5:$V$1004,0)),"")</f>
        <v/>
      </c>
      <c r="B105" s="79">
        <f>IF($A105="","",INDEX(Firms!$B$5:$B$1004,MATCH(82,Firms!$V$5:$V$1004,0)))</f>
        <v/>
      </c>
      <c r="C105" s="79">
        <f>IF($A105="","",COUNTIFS('AFA Rates'!$A$5:$A$1004,$A105,'AFA Rates'!$O$5:$O$1004,"&lt;&gt;Expired"))</f>
        <v/>
      </c>
      <c r="D105" s="79">
        <f>IF(OR($A105="",D$23=""),"",IF(COUNTIFS('AFA Rates'!$A$5:$A$1004,$A105,'AFA Rates'!$B$5:$B$1004,D$23,'AFA Rates'!$O$5:$O$1004,"&lt;&gt;Expired")&gt;0,"✓",IF(COUNTIFS('AFA Rates'!$A$5:$A$1004,$A105,'AFA Rates'!$B$5:$B$1004,D$23)&gt;0,"Exp","")))</f>
        <v/>
      </c>
      <c r="E105" s="79">
        <f>IF(OR($A105="",E$23=""),"",IF(COUNTIFS('AFA Rates'!$A$5:$A$1004,$A105,'AFA Rates'!$B$5:$B$1004,E$23,'AFA Rates'!$O$5:$O$1004,"&lt;&gt;Expired")&gt;0,"✓",IF(COUNTIFS('AFA Rates'!$A$5:$A$1004,$A105,'AFA Rates'!$B$5:$B$1004,E$23)&gt;0,"Exp","")))</f>
        <v/>
      </c>
      <c r="F105" s="79">
        <f>IF(OR($A105="",F$23=""),"",IF(COUNTIFS('AFA Rates'!$A$5:$A$1004,$A105,'AFA Rates'!$B$5:$B$1004,F$23,'AFA Rates'!$O$5:$O$1004,"&lt;&gt;Expired")&gt;0,"✓",IF(COUNTIFS('AFA Rates'!$A$5:$A$1004,$A105,'AFA Rates'!$B$5:$B$1004,F$23)&gt;0,"Exp","")))</f>
        <v/>
      </c>
      <c r="G105" s="79">
        <f>IF(OR($A105="",G$23=""),"",IF(COUNTIFS('AFA Rates'!$A$5:$A$1004,$A105,'AFA Rates'!$B$5:$B$1004,G$23,'AFA Rates'!$O$5:$O$1004,"&lt;&gt;Expired")&gt;0,"✓",IF(COUNTIFS('AFA Rates'!$A$5:$A$1004,$A105,'AFA Rates'!$B$5:$B$1004,G$23)&gt;0,"Exp","")))</f>
        <v/>
      </c>
      <c r="H105" s="79">
        <f>IF(OR($A105="",H$23=""),"",IF(COUNTIFS('AFA Rates'!$A$5:$A$1004,$A105,'AFA Rates'!$B$5:$B$1004,H$23,'AFA Rates'!$O$5:$O$1004,"&lt;&gt;Expired")&gt;0,"✓",IF(COUNTIFS('AFA Rates'!$A$5:$A$1004,$A105,'AFA Rates'!$B$5:$B$1004,H$23)&gt;0,"Exp","")))</f>
        <v/>
      </c>
      <c r="I105" s="79">
        <f>IF(OR($A105="",I$23=""),"",IF(COUNTIFS('AFA Rates'!$A$5:$A$1004,$A105,'AFA Rates'!$B$5:$B$1004,I$23,'AFA Rates'!$O$5:$O$1004,"&lt;&gt;Expired")&gt;0,"✓",IF(COUNTIFS('AFA Rates'!$A$5:$A$1004,$A105,'AFA Rates'!$B$5:$B$1004,I$23)&gt;0,"Exp","")))</f>
        <v/>
      </c>
      <c r="J105" s="79">
        <f>IF(OR($A105="",J$23=""),"",IF(COUNTIFS('AFA Rates'!$A$5:$A$1004,$A105,'AFA Rates'!$B$5:$B$1004,J$23,'AFA Rates'!$O$5:$O$1004,"&lt;&gt;Expired")&gt;0,"✓",IF(COUNTIFS('AFA Rates'!$A$5:$A$1004,$A105,'AFA Rates'!$B$5:$B$1004,J$23)&gt;0,"Exp","")))</f>
        <v/>
      </c>
      <c r="K105" s="79">
        <f>IF(OR($A105="",K$23=""),"",IF(COUNTIFS('AFA Rates'!$A$5:$A$1004,$A105,'AFA Rates'!$B$5:$B$1004,K$23,'AFA Rates'!$O$5:$O$1004,"&lt;&gt;Expired")&gt;0,"✓",IF(COUNTIFS('AFA Rates'!$A$5:$A$1004,$A105,'AFA Rates'!$B$5:$B$1004,K$23)&gt;0,"Exp","")))</f>
        <v/>
      </c>
      <c r="L105" s="79">
        <f>IF(OR($A105="",L$23=""),"",IF(COUNTIFS('AFA Rates'!$A$5:$A$1004,$A105,'AFA Rates'!$B$5:$B$1004,L$23,'AFA Rates'!$O$5:$O$1004,"&lt;&gt;Expired")&gt;0,"✓",IF(COUNTIFS('AFA Rates'!$A$5:$A$1004,$A105,'AFA Rates'!$B$5:$B$1004,L$23)&gt;0,"Exp","")))</f>
        <v/>
      </c>
      <c r="M105" s="79">
        <f>IF(OR($A105="",M$23=""),"",IF(COUNTIFS('AFA Rates'!$A$5:$A$1004,$A105,'AFA Rates'!$B$5:$B$1004,M$23,'AFA Rates'!$O$5:$O$1004,"&lt;&gt;Expired")&gt;0,"✓",IF(COUNTIFS('AFA Rates'!$A$5:$A$1004,$A105,'AFA Rates'!$B$5:$B$1004,M$23)&gt;0,"Exp","")))</f>
        <v/>
      </c>
    </row>
    <row r="106">
      <c r="A106" s="78">
        <f>IFERROR(INDEX(Firms!$A$5:$A$1004,MATCH(83,Firms!$V$5:$V$1004,0)),"")</f>
        <v/>
      </c>
      <c r="B106" s="79">
        <f>IF($A106="","",INDEX(Firms!$B$5:$B$1004,MATCH(83,Firms!$V$5:$V$1004,0)))</f>
        <v/>
      </c>
      <c r="C106" s="79">
        <f>IF($A106="","",COUNTIFS('AFA Rates'!$A$5:$A$1004,$A106,'AFA Rates'!$O$5:$O$1004,"&lt;&gt;Expired"))</f>
        <v/>
      </c>
      <c r="D106" s="79">
        <f>IF(OR($A106="",D$23=""),"",IF(COUNTIFS('AFA Rates'!$A$5:$A$1004,$A106,'AFA Rates'!$B$5:$B$1004,D$23,'AFA Rates'!$O$5:$O$1004,"&lt;&gt;Expired")&gt;0,"✓",IF(COUNTIFS('AFA Rates'!$A$5:$A$1004,$A106,'AFA Rates'!$B$5:$B$1004,D$23)&gt;0,"Exp","")))</f>
        <v/>
      </c>
      <c r="E106" s="79">
        <f>IF(OR($A106="",E$23=""),"",IF(COUNTIFS('AFA Rates'!$A$5:$A$1004,$A106,'AFA Rates'!$B$5:$B$1004,E$23,'AFA Rates'!$O$5:$O$1004,"&lt;&gt;Expired")&gt;0,"✓",IF(COUNTIFS('AFA Rates'!$A$5:$A$1004,$A106,'AFA Rates'!$B$5:$B$1004,E$23)&gt;0,"Exp","")))</f>
        <v/>
      </c>
      <c r="F106" s="79">
        <f>IF(OR($A106="",F$23=""),"",IF(COUNTIFS('AFA Rates'!$A$5:$A$1004,$A106,'AFA Rates'!$B$5:$B$1004,F$23,'AFA Rates'!$O$5:$O$1004,"&lt;&gt;Expired")&gt;0,"✓",IF(COUNTIFS('AFA Rates'!$A$5:$A$1004,$A106,'AFA Rates'!$B$5:$B$1004,F$23)&gt;0,"Exp","")))</f>
        <v/>
      </c>
      <c r="G106" s="79">
        <f>IF(OR($A106="",G$23=""),"",IF(COUNTIFS('AFA Rates'!$A$5:$A$1004,$A106,'AFA Rates'!$B$5:$B$1004,G$23,'AFA Rates'!$O$5:$O$1004,"&lt;&gt;Expired")&gt;0,"✓",IF(COUNTIFS('AFA Rates'!$A$5:$A$1004,$A106,'AFA Rates'!$B$5:$B$1004,G$23)&gt;0,"Exp","")))</f>
        <v/>
      </c>
      <c r="H106" s="79">
        <f>IF(OR($A106="",H$23=""),"",IF(COUNTIFS('AFA Rates'!$A$5:$A$1004,$A106,'AFA Rates'!$B$5:$B$1004,H$23,'AFA Rates'!$O$5:$O$1004,"&lt;&gt;Expired")&gt;0,"✓",IF(COUNTIFS('AFA Rates'!$A$5:$A$1004,$A106,'AFA Rates'!$B$5:$B$1004,H$23)&gt;0,"Exp","")))</f>
        <v/>
      </c>
      <c r="I106" s="79">
        <f>IF(OR($A106="",I$23=""),"",IF(COUNTIFS('AFA Rates'!$A$5:$A$1004,$A106,'AFA Rates'!$B$5:$B$1004,I$23,'AFA Rates'!$O$5:$O$1004,"&lt;&gt;Expired")&gt;0,"✓",IF(COUNTIFS('AFA Rates'!$A$5:$A$1004,$A106,'AFA Rates'!$B$5:$B$1004,I$23)&gt;0,"Exp","")))</f>
        <v/>
      </c>
      <c r="J106" s="79">
        <f>IF(OR($A106="",J$23=""),"",IF(COUNTIFS('AFA Rates'!$A$5:$A$1004,$A106,'AFA Rates'!$B$5:$B$1004,J$23,'AFA Rates'!$O$5:$O$1004,"&lt;&gt;Expired")&gt;0,"✓",IF(COUNTIFS('AFA Rates'!$A$5:$A$1004,$A106,'AFA Rates'!$B$5:$B$1004,J$23)&gt;0,"Exp","")))</f>
        <v/>
      </c>
      <c r="K106" s="79">
        <f>IF(OR($A106="",K$23=""),"",IF(COUNTIFS('AFA Rates'!$A$5:$A$1004,$A106,'AFA Rates'!$B$5:$B$1004,K$23,'AFA Rates'!$O$5:$O$1004,"&lt;&gt;Expired")&gt;0,"✓",IF(COUNTIFS('AFA Rates'!$A$5:$A$1004,$A106,'AFA Rates'!$B$5:$B$1004,K$23)&gt;0,"Exp","")))</f>
        <v/>
      </c>
      <c r="L106" s="79">
        <f>IF(OR($A106="",L$23=""),"",IF(COUNTIFS('AFA Rates'!$A$5:$A$1004,$A106,'AFA Rates'!$B$5:$B$1004,L$23,'AFA Rates'!$O$5:$O$1004,"&lt;&gt;Expired")&gt;0,"✓",IF(COUNTIFS('AFA Rates'!$A$5:$A$1004,$A106,'AFA Rates'!$B$5:$B$1004,L$23)&gt;0,"Exp","")))</f>
        <v/>
      </c>
      <c r="M106" s="79">
        <f>IF(OR($A106="",M$23=""),"",IF(COUNTIFS('AFA Rates'!$A$5:$A$1004,$A106,'AFA Rates'!$B$5:$B$1004,M$23,'AFA Rates'!$O$5:$O$1004,"&lt;&gt;Expired")&gt;0,"✓",IF(COUNTIFS('AFA Rates'!$A$5:$A$1004,$A106,'AFA Rates'!$B$5:$B$1004,M$23)&gt;0,"Exp","")))</f>
        <v/>
      </c>
    </row>
    <row r="107">
      <c r="A107" s="78">
        <f>IFERROR(INDEX(Firms!$A$5:$A$1004,MATCH(84,Firms!$V$5:$V$1004,0)),"")</f>
        <v/>
      </c>
      <c r="B107" s="79">
        <f>IF($A107="","",INDEX(Firms!$B$5:$B$1004,MATCH(84,Firms!$V$5:$V$1004,0)))</f>
        <v/>
      </c>
      <c r="C107" s="79">
        <f>IF($A107="","",COUNTIFS('AFA Rates'!$A$5:$A$1004,$A107,'AFA Rates'!$O$5:$O$1004,"&lt;&gt;Expired"))</f>
        <v/>
      </c>
      <c r="D107" s="79">
        <f>IF(OR($A107="",D$23=""),"",IF(COUNTIFS('AFA Rates'!$A$5:$A$1004,$A107,'AFA Rates'!$B$5:$B$1004,D$23,'AFA Rates'!$O$5:$O$1004,"&lt;&gt;Expired")&gt;0,"✓",IF(COUNTIFS('AFA Rates'!$A$5:$A$1004,$A107,'AFA Rates'!$B$5:$B$1004,D$23)&gt;0,"Exp","")))</f>
        <v/>
      </c>
      <c r="E107" s="79">
        <f>IF(OR($A107="",E$23=""),"",IF(COUNTIFS('AFA Rates'!$A$5:$A$1004,$A107,'AFA Rates'!$B$5:$B$1004,E$23,'AFA Rates'!$O$5:$O$1004,"&lt;&gt;Expired")&gt;0,"✓",IF(COUNTIFS('AFA Rates'!$A$5:$A$1004,$A107,'AFA Rates'!$B$5:$B$1004,E$23)&gt;0,"Exp","")))</f>
        <v/>
      </c>
      <c r="F107" s="79">
        <f>IF(OR($A107="",F$23=""),"",IF(COUNTIFS('AFA Rates'!$A$5:$A$1004,$A107,'AFA Rates'!$B$5:$B$1004,F$23,'AFA Rates'!$O$5:$O$1004,"&lt;&gt;Expired")&gt;0,"✓",IF(COUNTIFS('AFA Rates'!$A$5:$A$1004,$A107,'AFA Rates'!$B$5:$B$1004,F$23)&gt;0,"Exp","")))</f>
        <v/>
      </c>
      <c r="G107" s="79">
        <f>IF(OR($A107="",G$23=""),"",IF(COUNTIFS('AFA Rates'!$A$5:$A$1004,$A107,'AFA Rates'!$B$5:$B$1004,G$23,'AFA Rates'!$O$5:$O$1004,"&lt;&gt;Expired")&gt;0,"✓",IF(COUNTIFS('AFA Rates'!$A$5:$A$1004,$A107,'AFA Rates'!$B$5:$B$1004,G$23)&gt;0,"Exp","")))</f>
        <v/>
      </c>
      <c r="H107" s="79">
        <f>IF(OR($A107="",H$23=""),"",IF(COUNTIFS('AFA Rates'!$A$5:$A$1004,$A107,'AFA Rates'!$B$5:$B$1004,H$23,'AFA Rates'!$O$5:$O$1004,"&lt;&gt;Expired")&gt;0,"✓",IF(COUNTIFS('AFA Rates'!$A$5:$A$1004,$A107,'AFA Rates'!$B$5:$B$1004,H$23)&gt;0,"Exp","")))</f>
        <v/>
      </c>
      <c r="I107" s="79">
        <f>IF(OR($A107="",I$23=""),"",IF(COUNTIFS('AFA Rates'!$A$5:$A$1004,$A107,'AFA Rates'!$B$5:$B$1004,I$23,'AFA Rates'!$O$5:$O$1004,"&lt;&gt;Expired")&gt;0,"✓",IF(COUNTIFS('AFA Rates'!$A$5:$A$1004,$A107,'AFA Rates'!$B$5:$B$1004,I$23)&gt;0,"Exp","")))</f>
        <v/>
      </c>
      <c r="J107" s="79">
        <f>IF(OR($A107="",J$23=""),"",IF(COUNTIFS('AFA Rates'!$A$5:$A$1004,$A107,'AFA Rates'!$B$5:$B$1004,J$23,'AFA Rates'!$O$5:$O$1004,"&lt;&gt;Expired")&gt;0,"✓",IF(COUNTIFS('AFA Rates'!$A$5:$A$1004,$A107,'AFA Rates'!$B$5:$B$1004,J$23)&gt;0,"Exp","")))</f>
        <v/>
      </c>
      <c r="K107" s="79">
        <f>IF(OR($A107="",K$23=""),"",IF(COUNTIFS('AFA Rates'!$A$5:$A$1004,$A107,'AFA Rates'!$B$5:$B$1004,K$23,'AFA Rates'!$O$5:$O$1004,"&lt;&gt;Expired")&gt;0,"✓",IF(COUNTIFS('AFA Rates'!$A$5:$A$1004,$A107,'AFA Rates'!$B$5:$B$1004,K$23)&gt;0,"Exp","")))</f>
        <v/>
      </c>
      <c r="L107" s="79">
        <f>IF(OR($A107="",L$23=""),"",IF(COUNTIFS('AFA Rates'!$A$5:$A$1004,$A107,'AFA Rates'!$B$5:$B$1004,L$23,'AFA Rates'!$O$5:$O$1004,"&lt;&gt;Expired")&gt;0,"✓",IF(COUNTIFS('AFA Rates'!$A$5:$A$1004,$A107,'AFA Rates'!$B$5:$B$1004,L$23)&gt;0,"Exp","")))</f>
        <v/>
      </c>
      <c r="M107" s="79">
        <f>IF(OR($A107="",M$23=""),"",IF(COUNTIFS('AFA Rates'!$A$5:$A$1004,$A107,'AFA Rates'!$B$5:$B$1004,M$23,'AFA Rates'!$O$5:$O$1004,"&lt;&gt;Expired")&gt;0,"✓",IF(COUNTIFS('AFA Rates'!$A$5:$A$1004,$A107,'AFA Rates'!$B$5:$B$1004,M$23)&gt;0,"Exp","")))</f>
        <v/>
      </c>
    </row>
    <row r="108">
      <c r="A108" s="78">
        <f>IFERROR(INDEX(Firms!$A$5:$A$1004,MATCH(85,Firms!$V$5:$V$1004,0)),"")</f>
        <v/>
      </c>
      <c r="B108" s="79">
        <f>IF($A108="","",INDEX(Firms!$B$5:$B$1004,MATCH(85,Firms!$V$5:$V$1004,0)))</f>
        <v/>
      </c>
      <c r="C108" s="79">
        <f>IF($A108="","",COUNTIFS('AFA Rates'!$A$5:$A$1004,$A108,'AFA Rates'!$O$5:$O$1004,"&lt;&gt;Expired"))</f>
        <v/>
      </c>
      <c r="D108" s="79">
        <f>IF(OR($A108="",D$23=""),"",IF(COUNTIFS('AFA Rates'!$A$5:$A$1004,$A108,'AFA Rates'!$B$5:$B$1004,D$23,'AFA Rates'!$O$5:$O$1004,"&lt;&gt;Expired")&gt;0,"✓",IF(COUNTIFS('AFA Rates'!$A$5:$A$1004,$A108,'AFA Rates'!$B$5:$B$1004,D$23)&gt;0,"Exp","")))</f>
        <v/>
      </c>
      <c r="E108" s="79">
        <f>IF(OR($A108="",E$23=""),"",IF(COUNTIFS('AFA Rates'!$A$5:$A$1004,$A108,'AFA Rates'!$B$5:$B$1004,E$23,'AFA Rates'!$O$5:$O$1004,"&lt;&gt;Expired")&gt;0,"✓",IF(COUNTIFS('AFA Rates'!$A$5:$A$1004,$A108,'AFA Rates'!$B$5:$B$1004,E$23)&gt;0,"Exp","")))</f>
        <v/>
      </c>
      <c r="F108" s="79">
        <f>IF(OR($A108="",F$23=""),"",IF(COUNTIFS('AFA Rates'!$A$5:$A$1004,$A108,'AFA Rates'!$B$5:$B$1004,F$23,'AFA Rates'!$O$5:$O$1004,"&lt;&gt;Expired")&gt;0,"✓",IF(COUNTIFS('AFA Rates'!$A$5:$A$1004,$A108,'AFA Rates'!$B$5:$B$1004,F$23)&gt;0,"Exp","")))</f>
        <v/>
      </c>
      <c r="G108" s="79">
        <f>IF(OR($A108="",G$23=""),"",IF(COUNTIFS('AFA Rates'!$A$5:$A$1004,$A108,'AFA Rates'!$B$5:$B$1004,G$23,'AFA Rates'!$O$5:$O$1004,"&lt;&gt;Expired")&gt;0,"✓",IF(COUNTIFS('AFA Rates'!$A$5:$A$1004,$A108,'AFA Rates'!$B$5:$B$1004,G$23)&gt;0,"Exp","")))</f>
        <v/>
      </c>
      <c r="H108" s="79">
        <f>IF(OR($A108="",H$23=""),"",IF(COUNTIFS('AFA Rates'!$A$5:$A$1004,$A108,'AFA Rates'!$B$5:$B$1004,H$23,'AFA Rates'!$O$5:$O$1004,"&lt;&gt;Expired")&gt;0,"✓",IF(COUNTIFS('AFA Rates'!$A$5:$A$1004,$A108,'AFA Rates'!$B$5:$B$1004,H$23)&gt;0,"Exp","")))</f>
        <v/>
      </c>
      <c r="I108" s="79">
        <f>IF(OR($A108="",I$23=""),"",IF(COUNTIFS('AFA Rates'!$A$5:$A$1004,$A108,'AFA Rates'!$B$5:$B$1004,I$23,'AFA Rates'!$O$5:$O$1004,"&lt;&gt;Expired")&gt;0,"✓",IF(COUNTIFS('AFA Rates'!$A$5:$A$1004,$A108,'AFA Rates'!$B$5:$B$1004,I$23)&gt;0,"Exp","")))</f>
        <v/>
      </c>
      <c r="J108" s="79">
        <f>IF(OR($A108="",J$23=""),"",IF(COUNTIFS('AFA Rates'!$A$5:$A$1004,$A108,'AFA Rates'!$B$5:$B$1004,J$23,'AFA Rates'!$O$5:$O$1004,"&lt;&gt;Expired")&gt;0,"✓",IF(COUNTIFS('AFA Rates'!$A$5:$A$1004,$A108,'AFA Rates'!$B$5:$B$1004,J$23)&gt;0,"Exp","")))</f>
        <v/>
      </c>
      <c r="K108" s="79">
        <f>IF(OR($A108="",K$23=""),"",IF(COUNTIFS('AFA Rates'!$A$5:$A$1004,$A108,'AFA Rates'!$B$5:$B$1004,K$23,'AFA Rates'!$O$5:$O$1004,"&lt;&gt;Expired")&gt;0,"✓",IF(COUNTIFS('AFA Rates'!$A$5:$A$1004,$A108,'AFA Rates'!$B$5:$B$1004,K$23)&gt;0,"Exp","")))</f>
        <v/>
      </c>
      <c r="L108" s="79">
        <f>IF(OR($A108="",L$23=""),"",IF(COUNTIFS('AFA Rates'!$A$5:$A$1004,$A108,'AFA Rates'!$B$5:$B$1004,L$23,'AFA Rates'!$O$5:$O$1004,"&lt;&gt;Expired")&gt;0,"✓",IF(COUNTIFS('AFA Rates'!$A$5:$A$1004,$A108,'AFA Rates'!$B$5:$B$1004,L$23)&gt;0,"Exp","")))</f>
        <v/>
      </c>
      <c r="M108" s="79">
        <f>IF(OR($A108="",M$23=""),"",IF(COUNTIFS('AFA Rates'!$A$5:$A$1004,$A108,'AFA Rates'!$B$5:$B$1004,M$23,'AFA Rates'!$O$5:$O$1004,"&lt;&gt;Expired")&gt;0,"✓",IF(COUNTIFS('AFA Rates'!$A$5:$A$1004,$A108,'AFA Rates'!$B$5:$B$1004,M$23)&gt;0,"Exp","")))</f>
        <v/>
      </c>
    </row>
    <row r="109">
      <c r="A109" s="78">
        <f>IFERROR(INDEX(Firms!$A$5:$A$1004,MATCH(86,Firms!$V$5:$V$1004,0)),"")</f>
        <v/>
      </c>
      <c r="B109" s="79">
        <f>IF($A109="","",INDEX(Firms!$B$5:$B$1004,MATCH(86,Firms!$V$5:$V$1004,0)))</f>
        <v/>
      </c>
      <c r="C109" s="79">
        <f>IF($A109="","",COUNTIFS('AFA Rates'!$A$5:$A$1004,$A109,'AFA Rates'!$O$5:$O$1004,"&lt;&gt;Expired"))</f>
        <v/>
      </c>
      <c r="D109" s="79">
        <f>IF(OR($A109="",D$23=""),"",IF(COUNTIFS('AFA Rates'!$A$5:$A$1004,$A109,'AFA Rates'!$B$5:$B$1004,D$23,'AFA Rates'!$O$5:$O$1004,"&lt;&gt;Expired")&gt;0,"✓",IF(COUNTIFS('AFA Rates'!$A$5:$A$1004,$A109,'AFA Rates'!$B$5:$B$1004,D$23)&gt;0,"Exp","")))</f>
        <v/>
      </c>
      <c r="E109" s="79">
        <f>IF(OR($A109="",E$23=""),"",IF(COUNTIFS('AFA Rates'!$A$5:$A$1004,$A109,'AFA Rates'!$B$5:$B$1004,E$23,'AFA Rates'!$O$5:$O$1004,"&lt;&gt;Expired")&gt;0,"✓",IF(COUNTIFS('AFA Rates'!$A$5:$A$1004,$A109,'AFA Rates'!$B$5:$B$1004,E$23)&gt;0,"Exp","")))</f>
        <v/>
      </c>
      <c r="F109" s="79">
        <f>IF(OR($A109="",F$23=""),"",IF(COUNTIFS('AFA Rates'!$A$5:$A$1004,$A109,'AFA Rates'!$B$5:$B$1004,F$23,'AFA Rates'!$O$5:$O$1004,"&lt;&gt;Expired")&gt;0,"✓",IF(COUNTIFS('AFA Rates'!$A$5:$A$1004,$A109,'AFA Rates'!$B$5:$B$1004,F$23)&gt;0,"Exp","")))</f>
        <v/>
      </c>
      <c r="G109" s="79">
        <f>IF(OR($A109="",G$23=""),"",IF(COUNTIFS('AFA Rates'!$A$5:$A$1004,$A109,'AFA Rates'!$B$5:$B$1004,G$23,'AFA Rates'!$O$5:$O$1004,"&lt;&gt;Expired")&gt;0,"✓",IF(COUNTIFS('AFA Rates'!$A$5:$A$1004,$A109,'AFA Rates'!$B$5:$B$1004,G$23)&gt;0,"Exp","")))</f>
        <v/>
      </c>
      <c r="H109" s="79">
        <f>IF(OR($A109="",H$23=""),"",IF(COUNTIFS('AFA Rates'!$A$5:$A$1004,$A109,'AFA Rates'!$B$5:$B$1004,H$23,'AFA Rates'!$O$5:$O$1004,"&lt;&gt;Expired")&gt;0,"✓",IF(COUNTIFS('AFA Rates'!$A$5:$A$1004,$A109,'AFA Rates'!$B$5:$B$1004,H$23)&gt;0,"Exp","")))</f>
        <v/>
      </c>
      <c r="I109" s="79">
        <f>IF(OR($A109="",I$23=""),"",IF(COUNTIFS('AFA Rates'!$A$5:$A$1004,$A109,'AFA Rates'!$B$5:$B$1004,I$23,'AFA Rates'!$O$5:$O$1004,"&lt;&gt;Expired")&gt;0,"✓",IF(COUNTIFS('AFA Rates'!$A$5:$A$1004,$A109,'AFA Rates'!$B$5:$B$1004,I$23)&gt;0,"Exp","")))</f>
        <v/>
      </c>
      <c r="J109" s="79">
        <f>IF(OR($A109="",J$23=""),"",IF(COUNTIFS('AFA Rates'!$A$5:$A$1004,$A109,'AFA Rates'!$B$5:$B$1004,J$23,'AFA Rates'!$O$5:$O$1004,"&lt;&gt;Expired")&gt;0,"✓",IF(COUNTIFS('AFA Rates'!$A$5:$A$1004,$A109,'AFA Rates'!$B$5:$B$1004,J$23)&gt;0,"Exp","")))</f>
        <v/>
      </c>
      <c r="K109" s="79">
        <f>IF(OR($A109="",K$23=""),"",IF(COUNTIFS('AFA Rates'!$A$5:$A$1004,$A109,'AFA Rates'!$B$5:$B$1004,K$23,'AFA Rates'!$O$5:$O$1004,"&lt;&gt;Expired")&gt;0,"✓",IF(COUNTIFS('AFA Rates'!$A$5:$A$1004,$A109,'AFA Rates'!$B$5:$B$1004,K$23)&gt;0,"Exp","")))</f>
        <v/>
      </c>
      <c r="L109" s="79">
        <f>IF(OR($A109="",L$23=""),"",IF(COUNTIFS('AFA Rates'!$A$5:$A$1004,$A109,'AFA Rates'!$B$5:$B$1004,L$23,'AFA Rates'!$O$5:$O$1004,"&lt;&gt;Expired")&gt;0,"✓",IF(COUNTIFS('AFA Rates'!$A$5:$A$1004,$A109,'AFA Rates'!$B$5:$B$1004,L$23)&gt;0,"Exp","")))</f>
        <v/>
      </c>
      <c r="M109" s="79">
        <f>IF(OR($A109="",M$23=""),"",IF(COUNTIFS('AFA Rates'!$A$5:$A$1004,$A109,'AFA Rates'!$B$5:$B$1004,M$23,'AFA Rates'!$O$5:$O$1004,"&lt;&gt;Expired")&gt;0,"✓",IF(COUNTIFS('AFA Rates'!$A$5:$A$1004,$A109,'AFA Rates'!$B$5:$B$1004,M$23)&gt;0,"Exp","")))</f>
        <v/>
      </c>
    </row>
    <row r="110">
      <c r="A110" s="78">
        <f>IFERROR(INDEX(Firms!$A$5:$A$1004,MATCH(87,Firms!$V$5:$V$1004,0)),"")</f>
        <v/>
      </c>
      <c r="B110" s="79">
        <f>IF($A110="","",INDEX(Firms!$B$5:$B$1004,MATCH(87,Firms!$V$5:$V$1004,0)))</f>
        <v/>
      </c>
      <c r="C110" s="79">
        <f>IF($A110="","",COUNTIFS('AFA Rates'!$A$5:$A$1004,$A110,'AFA Rates'!$O$5:$O$1004,"&lt;&gt;Expired"))</f>
        <v/>
      </c>
      <c r="D110" s="79">
        <f>IF(OR($A110="",D$23=""),"",IF(COUNTIFS('AFA Rates'!$A$5:$A$1004,$A110,'AFA Rates'!$B$5:$B$1004,D$23,'AFA Rates'!$O$5:$O$1004,"&lt;&gt;Expired")&gt;0,"✓",IF(COUNTIFS('AFA Rates'!$A$5:$A$1004,$A110,'AFA Rates'!$B$5:$B$1004,D$23)&gt;0,"Exp","")))</f>
        <v/>
      </c>
      <c r="E110" s="79">
        <f>IF(OR($A110="",E$23=""),"",IF(COUNTIFS('AFA Rates'!$A$5:$A$1004,$A110,'AFA Rates'!$B$5:$B$1004,E$23,'AFA Rates'!$O$5:$O$1004,"&lt;&gt;Expired")&gt;0,"✓",IF(COUNTIFS('AFA Rates'!$A$5:$A$1004,$A110,'AFA Rates'!$B$5:$B$1004,E$23)&gt;0,"Exp","")))</f>
        <v/>
      </c>
      <c r="F110" s="79">
        <f>IF(OR($A110="",F$23=""),"",IF(COUNTIFS('AFA Rates'!$A$5:$A$1004,$A110,'AFA Rates'!$B$5:$B$1004,F$23,'AFA Rates'!$O$5:$O$1004,"&lt;&gt;Expired")&gt;0,"✓",IF(COUNTIFS('AFA Rates'!$A$5:$A$1004,$A110,'AFA Rates'!$B$5:$B$1004,F$23)&gt;0,"Exp","")))</f>
        <v/>
      </c>
      <c r="G110" s="79">
        <f>IF(OR($A110="",G$23=""),"",IF(COUNTIFS('AFA Rates'!$A$5:$A$1004,$A110,'AFA Rates'!$B$5:$B$1004,G$23,'AFA Rates'!$O$5:$O$1004,"&lt;&gt;Expired")&gt;0,"✓",IF(COUNTIFS('AFA Rates'!$A$5:$A$1004,$A110,'AFA Rates'!$B$5:$B$1004,G$23)&gt;0,"Exp","")))</f>
        <v/>
      </c>
      <c r="H110" s="79">
        <f>IF(OR($A110="",H$23=""),"",IF(COUNTIFS('AFA Rates'!$A$5:$A$1004,$A110,'AFA Rates'!$B$5:$B$1004,H$23,'AFA Rates'!$O$5:$O$1004,"&lt;&gt;Expired")&gt;0,"✓",IF(COUNTIFS('AFA Rates'!$A$5:$A$1004,$A110,'AFA Rates'!$B$5:$B$1004,H$23)&gt;0,"Exp","")))</f>
        <v/>
      </c>
      <c r="I110" s="79">
        <f>IF(OR($A110="",I$23=""),"",IF(COUNTIFS('AFA Rates'!$A$5:$A$1004,$A110,'AFA Rates'!$B$5:$B$1004,I$23,'AFA Rates'!$O$5:$O$1004,"&lt;&gt;Expired")&gt;0,"✓",IF(COUNTIFS('AFA Rates'!$A$5:$A$1004,$A110,'AFA Rates'!$B$5:$B$1004,I$23)&gt;0,"Exp","")))</f>
        <v/>
      </c>
      <c r="J110" s="79">
        <f>IF(OR($A110="",J$23=""),"",IF(COUNTIFS('AFA Rates'!$A$5:$A$1004,$A110,'AFA Rates'!$B$5:$B$1004,J$23,'AFA Rates'!$O$5:$O$1004,"&lt;&gt;Expired")&gt;0,"✓",IF(COUNTIFS('AFA Rates'!$A$5:$A$1004,$A110,'AFA Rates'!$B$5:$B$1004,J$23)&gt;0,"Exp","")))</f>
        <v/>
      </c>
      <c r="K110" s="79">
        <f>IF(OR($A110="",K$23=""),"",IF(COUNTIFS('AFA Rates'!$A$5:$A$1004,$A110,'AFA Rates'!$B$5:$B$1004,K$23,'AFA Rates'!$O$5:$O$1004,"&lt;&gt;Expired")&gt;0,"✓",IF(COUNTIFS('AFA Rates'!$A$5:$A$1004,$A110,'AFA Rates'!$B$5:$B$1004,K$23)&gt;0,"Exp","")))</f>
        <v/>
      </c>
      <c r="L110" s="79">
        <f>IF(OR($A110="",L$23=""),"",IF(COUNTIFS('AFA Rates'!$A$5:$A$1004,$A110,'AFA Rates'!$B$5:$B$1004,L$23,'AFA Rates'!$O$5:$O$1004,"&lt;&gt;Expired")&gt;0,"✓",IF(COUNTIFS('AFA Rates'!$A$5:$A$1004,$A110,'AFA Rates'!$B$5:$B$1004,L$23)&gt;0,"Exp","")))</f>
        <v/>
      </c>
      <c r="M110" s="79">
        <f>IF(OR($A110="",M$23=""),"",IF(COUNTIFS('AFA Rates'!$A$5:$A$1004,$A110,'AFA Rates'!$B$5:$B$1004,M$23,'AFA Rates'!$O$5:$O$1004,"&lt;&gt;Expired")&gt;0,"✓",IF(COUNTIFS('AFA Rates'!$A$5:$A$1004,$A110,'AFA Rates'!$B$5:$B$1004,M$23)&gt;0,"Exp","")))</f>
        <v/>
      </c>
    </row>
    <row r="111">
      <c r="A111" s="78">
        <f>IFERROR(INDEX(Firms!$A$5:$A$1004,MATCH(88,Firms!$V$5:$V$1004,0)),"")</f>
        <v/>
      </c>
      <c r="B111" s="79">
        <f>IF($A111="","",INDEX(Firms!$B$5:$B$1004,MATCH(88,Firms!$V$5:$V$1004,0)))</f>
        <v/>
      </c>
      <c r="C111" s="79">
        <f>IF($A111="","",COUNTIFS('AFA Rates'!$A$5:$A$1004,$A111,'AFA Rates'!$O$5:$O$1004,"&lt;&gt;Expired"))</f>
        <v/>
      </c>
      <c r="D111" s="79">
        <f>IF(OR($A111="",D$23=""),"",IF(COUNTIFS('AFA Rates'!$A$5:$A$1004,$A111,'AFA Rates'!$B$5:$B$1004,D$23,'AFA Rates'!$O$5:$O$1004,"&lt;&gt;Expired")&gt;0,"✓",IF(COUNTIFS('AFA Rates'!$A$5:$A$1004,$A111,'AFA Rates'!$B$5:$B$1004,D$23)&gt;0,"Exp","")))</f>
        <v/>
      </c>
      <c r="E111" s="79">
        <f>IF(OR($A111="",E$23=""),"",IF(COUNTIFS('AFA Rates'!$A$5:$A$1004,$A111,'AFA Rates'!$B$5:$B$1004,E$23,'AFA Rates'!$O$5:$O$1004,"&lt;&gt;Expired")&gt;0,"✓",IF(COUNTIFS('AFA Rates'!$A$5:$A$1004,$A111,'AFA Rates'!$B$5:$B$1004,E$23)&gt;0,"Exp","")))</f>
        <v/>
      </c>
      <c r="F111" s="79">
        <f>IF(OR($A111="",F$23=""),"",IF(COUNTIFS('AFA Rates'!$A$5:$A$1004,$A111,'AFA Rates'!$B$5:$B$1004,F$23,'AFA Rates'!$O$5:$O$1004,"&lt;&gt;Expired")&gt;0,"✓",IF(COUNTIFS('AFA Rates'!$A$5:$A$1004,$A111,'AFA Rates'!$B$5:$B$1004,F$23)&gt;0,"Exp","")))</f>
        <v/>
      </c>
      <c r="G111" s="79">
        <f>IF(OR($A111="",G$23=""),"",IF(COUNTIFS('AFA Rates'!$A$5:$A$1004,$A111,'AFA Rates'!$B$5:$B$1004,G$23,'AFA Rates'!$O$5:$O$1004,"&lt;&gt;Expired")&gt;0,"✓",IF(COUNTIFS('AFA Rates'!$A$5:$A$1004,$A111,'AFA Rates'!$B$5:$B$1004,G$23)&gt;0,"Exp","")))</f>
        <v/>
      </c>
      <c r="H111" s="79">
        <f>IF(OR($A111="",H$23=""),"",IF(COUNTIFS('AFA Rates'!$A$5:$A$1004,$A111,'AFA Rates'!$B$5:$B$1004,H$23,'AFA Rates'!$O$5:$O$1004,"&lt;&gt;Expired")&gt;0,"✓",IF(COUNTIFS('AFA Rates'!$A$5:$A$1004,$A111,'AFA Rates'!$B$5:$B$1004,H$23)&gt;0,"Exp","")))</f>
        <v/>
      </c>
      <c r="I111" s="79">
        <f>IF(OR($A111="",I$23=""),"",IF(COUNTIFS('AFA Rates'!$A$5:$A$1004,$A111,'AFA Rates'!$B$5:$B$1004,I$23,'AFA Rates'!$O$5:$O$1004,"&lt;&gt;Expired")&gt;0,"✓",IF(COUNTIFS('AFA Rates'!$A$5:$A$1004,$A111,'AFA Rates'!$B$5:$B$1004,I$23)&gt;0,"Exp","")))</f>
        <v/>
      </c>
      <c r="J111" s="79">
        <f>IF(OR($A111="",J$23=""),"",IF(COUNTIFS('AFA Rates'!$A$5:$A$1004,$A111,'AFA Rates'!$B$5:$B$1004,J$23,'AFA Rates'!$O$5:$O$1004,"&lt;&gt;Expired")&gt;0,"✓",IF(COUNTIFS('AFA Rates'!$A$5:$A$1004,$A111,'AFA Rates'!$B$5:$B$1004,J$23)&gt;0,"Exp","")))</f>
        <v/>
      </c>
      <c r="K111" s="79">
        <f>IF(OR($A111="",K$23=""),"",IF(COUNTIFS('AFA Rates'!$A$5:$A$1004,$A111,'AFA Rates'!$B$5:$B$1004,K$23,'AFA Rates'!$O$5:$O$1004,"&lt;&gt;Expired")&gt;0,"✓",IF(COUNTIFS('AFA Rates'!$A$5:$A$1004,$A111,'AFA Rates'!$B$5:$B$1004,K$23)&gt;0,"Exp","")))</f>
        <v/>
      </c>
      <c r="L111" s="79">
        <f>IF(OR($A111="",L$23=""),"",IF(COUNTIFS('AFA Rates'!$A$5:$A$1004,$A111,'AFA Rates'!$B$5:$B$1004,L$23,'AFA Rates'!$O$5:$O$1004,"&lt;&gt;Expired")&gt;0,"✓",IF(COUNTIFS('AFA Rates'!$A$5:$A$1004,$A111,'AFA Rates'!$B$5:$B$1004,L$23)&gt;0,"Exp","")))</f>
        <v/>
      </c>
      <c r="M111" s="79">
        <f>IF(OR($A111="",M$23=""),"",IF(COUNTIFS('AFA Rates'!$A$5:$A$1004,$A111,'AFA Rates'!$B$5:$B$1004,M$23,'AFA Rates'!$O$5:$O$1004,"&lt;&gt;Expired")&gt;0,"✓",IF(COUNTIFS('AFA Rates'!$A$5:$A$1004,$A111,'AFA Rates'!$B$5:$B$1004,M$23)&gt;0,"Exp","")))</f>
        <v/>
      </c>
    </row>
    <row r="112">
      <c r="A112" s="78">
        <f>IFERROR(INDEX(Firms!$A$5:$A$1004,MATCH(89,Firms!$V$5:$V$1004,0)),"")</f>
        <v/>
      </c>
      <c r="B112" s="79">
        <f>IF($A112="","",INDEX(Firms!$B$5:$B$1004,MATCH(89,Firms!$V$5:$V$1004,0)))</f>
        <v/>
      </c>
      <c r="C112" s="79">
        <f>IF($A112="","",COUNTIFS('AFA Rates'!$A$5:$A$1004,$A112,'AFA Rates'!$O$5:$O$1004,"&lt;&gt;Expired"))</f>
        <v/>
      </c>
      <c r="D112" s="79">
        <f>IF(OR($A112="",D$23=""),"",IF(COUNTIFS('AFA Rates'!$A$5:$A$1004,$A112,'AFA Rates'!$B$5:$B$1004,D$23,'AFA Rates'!$O$5:$O$1004,"&lt;&gt;Expired")&gt;0,"✓",IF(COUNTIFS('AFA Rates'!$A$5:$A$1004,$A112,'AFA Rates'!$B$5:$B$1004,D$23)&gt;0,"Exp","")))</f>
        <v/>
      </c>
      <c r="E112" s="79">
        <f>IF(OR($A112="",E$23=""),"",IF(COUNTIFS('AFA Rates'!$A$5:$A$1004,$A112,'AFA Rates'!$B$5:$B$1004,E$23,'AFA Rates'!$O$5:$O$1004,"&lt;&gt;Expired")&gt;0,"✓",IF(COUNTIFS('AFA Rates'!$A$5:$A$1004,$A112,'AFA Rates'!$B$5:$B$1004,E$23)&gt;0,"Exp","")))</f>
        <v/>
      </c>
      <c r="F112" s="79">
        <f>IF(OR($A112="",F$23=""),"",IF(COUNTIFS('AFA Rates'!$A$5:$A$1004,$A112,'AFA Rates'!$B$5:$B$1004,F$23,'AFA Rates'!$O$5:$O$1004,"&lt;&gt;Expired")&gt;0,"✓",IF(COUNTIFS('AFA Rates'!$A$5:$A$1004,$A112,'AFA Rates'!$B$5:$B$1004,F$23)&gt;0,"Exp","")))</f>
        <v/>
      </c>
      <c r="G112" s="79">
        <f>IF(OR($A112="",G$23=""),"",IF(COUNTIFS('AFA Rates'!$A$5:$A$1004,$A112,'AFA Rates'!$B$5:$B$1004,G$23,'AFA Rates'!$O$5:$O$1004,"&lt;&gt;Expired")&gt;0,"✓",IF(COUNTIFS('AFA Rates'!$A$5:$A$1004,$A112,'AFA Rates'!$B$5:$B$1004,G$23)&gt;0,"Exp","")))</f>
        <v/>
      </c>
      <c r="H112" s="79">
        <f>IF(OR($A112="",H$23=""),"",IF(COUNTIFS('AFA Rates'!$A$5:$A$1004,$A112,'AFA Rates'!$B$5:$B$1004,H$23,'AFA Rates'!$O$5:$O$1004,"&lt;&gt;Expired")&gt;0,"✓",IF(COUNTIFS('AFA Rates'!$A$5:$A$1004,$A112,'AFA Rates'!$B$5:$B$1004,H$23)&gt;0,"Exp","")))</f>
        <v/>
      </c>
      <c r="I112" s="79">
        <f>IF(OR($A112="",I$23=""),"",IF(COUNTIFS('AFA Rates'!$A$5:$A$1004,$A112,'AFA Rates'!$B$5:$B$1004,I$23,'AFA Rates'!$O$5:$O$1004,"&lt;&gt;Expired")&gt;0,"✓",IF(COUNTIFS('AFA Rates'!$A$5:$A$1004,$A112,'AFA Rates'!$B$5:$B$1004,I$23)&gt;0,"Exp","")))</f>
        <v/>
      </c>
      <c r="J112" s="79">
        <f>IF(OR($A112="",J$23=""),"",IF(COUNTIFS('AFA Rates'!$A$5:$A$1004,$A112,'AFA Rates'!$B$5:$B$1004,J$23,'AFA Rates'!$O$5:$O$1004,"&lt;&gt;Expired")&gt;0,"✓",IF(COUNTIFS('AFA Rates'!$A$5:$A$1004,$A112,'AFA Rates'!$B$5:$B$1004,J$23)&gt;0,"Exp","")))</f>
        <v/>
      </c>
      <c r="K112" s="79">
        <f>IF(OR($A112="",K$23=""),"",IF(COUNTIFS('AFA Rates'!$A$5:$A$1004,$A112,'AFA Rates'!$B$5:$B$1004,K$23,'AFA Rates'!$O$5:$O$1004,"&lt;&gt;Expired")&gt;0,"✓",IF(COUNTIFS('AFA Rates'!$A$5:$A$1004,$A112,'AFA Rates'!$B$5:$B$1004,K$23)&gt;0,"Exp","")))</f>
        <v/>
      </c>
      <c r="L112" s="79">
        <f>IF(OR($A112="",L$23=""),"",IF(COUNTIFS('AFA Rates'!$A$5:$A$1004,$A112,'AFA Rates'!$B$5:$B$1004,L$23,'AFA Rates'!$O$5:$O$1004,"&lt;&gt;Expired")&gt;0,"✓",IF(COUNTIFS('AFA Rates'!$A$5:$A$1004,$A112,'AFA Rates'!$B$5:$B$1004,L$23)&gt;0,"Exp","")))</f>
        <v/>
      </c>
      <c r="M112" s="79">
        <f>IF(OR($A112="",M$23=""),"",IF(COUNTIFS('AFA Rates'!$A$5:$A$1004,$A112,'AFA Rates'!$B$5:$B$1004,M$23,'AFA Rates'!$O$5:$O$1004,"&lt;&gt;Expired")&gt;0,"✓",IF(COUNTIFS('AFA Rates'!$A$5:$A$1004,$A112,'AFA Rates'!$B$5:$B$1004,M$23)&gt;0,"Exp","")))</f>
        <v/>
      </c>
    </row>
    <row r="113">
      <c r="A113" s="78">
        <f>IFERROR(INDEX(Firms!$A$5:$A$1004,MATCH(90,Firms!$V$5:$V$1004,0)),"")</f>
        <v/>
      </c>
      <c r="B113" s="79">
        <f>IF($A113="","",INDEX(Firms!$B$5:$B$1004,MATCH(90,Firms!$V$5:$V$1004,0)))</f>
        <v/>
      </c>
      <c r="C113" s="79">
        <f>IF($A113="","",COUNTIFS('AFA Rates'!$A$5:$A$1004,$A113,'AFA Rates'!$O$5:$O$1004,"&lt;&gt;Expired"))</f>
        <v/>
      </c>
      <c r="D113" s="79">
        <f>IF(OR($A113="",D$23=""),"",IF(COUNTIFS('AFA Rates'!$A$5:$A$1004,$A113,'AFA Rates'!$B$5:$B$1004,D$23,'AFA Rates'!$O$5:$O$1004,"&lt;&gt;Expired")&gt;0,"✓",IF(COUNTIFS('AFA Rates'!$A$5:$A$1004,$A113,'AFA Rates'!$B$5:$B$1004,D$23)&gt;0,"Exp","")))</f>
        <v/>
      </c>
      <c r="E113" s="79">
        <f>IF(OR($A113="",E$23=""),"",IF(COUNTIFS('AFA Rates'!$A$5:$A$1004,$A113,'AFA Rates'!$B$5:$B$1004,E$23,'AFA Rates'!$O$5:$O$1004,"&lt;&gt;Expired")&gt;0,"✓",IF(COUNTIFS('AFA Rates'!$A$5:$A$1004,$A113,'AFA Rates'!$B$5:$B$1004,E$23)&gt;0,"Exp","")))</f>
        <v/>
      </c>
      <c r="F113" s="79">
        <f>IF(OR($A113="",F$23=""),"",IF(COUNTIFS('AFA Rates'!$A$5:$A$1004,$A113,'AFA Rates'!$B$5:$B$1004,F$23,'AFA Rates'!$O$5:$O$1004,"&lt;&gt;Expired")&gt;0,"✓",IF(COUNTIFS('AFA Rates'!$A$5:$A$1004,$A113,'AFA Rates'!$B$5:$B$1004,F$23)&gt;0,"Exp","")))</f>
        <v/>
      </c>
      <c r="G113" s="79">
        <f>IF(OR($A113="",G$23=""),"",IF(COUNTIFS('AFA Rates'!$A$5:$A$1004,$A113,'AFA Rates'!$B$5:$B$1004,G$23,'AFA Rates'!$O$5:$O$1004,"&lt;&gt;Expired")&gt;0,"✓",IF(COUNTIFS('AFA Rates'!$A$5:$A$1004,$A113,'AFA Rates'!$B$5:$B$1004,G$23)&gt;0,"Exp","")))</f>
        <v/>
      </c>
      <c r="H113" s="79">
        <f>IF(OR($A113="",H$23=""),"",IF(COUNTIFS('AFA Rates'!$A$5:$A$1004,$A113,'AFA Rates'!$B$5:$B$1004,H$23,'AFA Rates'!$O$5:$O$1004,"&lt;&gt;Expired")&gt;0,"✓",IF(COUNTIFS('AFA Rates'!$A$5:$A$1004,$A113,'AFA Rates'!$B$5:$B$1004,H$23)&gt;0,"Exp","")))</f>
        <v/>
      </c>
      <c r="I113" s="79">
        <f>IF(OR($A113="",I$23=""),"",IF(COUNTIFS('AFA Rates'!$A$5:$A$1004,$A113,'AFA Rates'!$B$5:$B$1004,I$23,'AFA Rates'!$O$5:$O$1004,"&lt;&gt;Expired")&gt;0,"✓",IF(COUNTIFS('AFA Rates'!$A$5:$A$1004,$A113,'AFA Rates'!$B$5:$B$1004,I$23)&gt;0,"Exp","")))</f>
        <v/>
      </c>
      <c r="J113" s="79">
        <f>IF(OR($A113="",J$23=""),"",IF(COUNTIFS('AFA Rates'!$A$5:$A$1004,$A113,'AFA Rates'!$B$5:$B$1004,J$23,'AFA Rates'!$O$5:$O$1004,"&lt;&gt;Expired")&gt;0,"✓",IF(COUNTIFS('AFA Rates'!$A$5:$A$1004,$A113,'AFA Rates'!$B$5:$B$1004,J$23)&gt;0,"Exp","")))</f>
        <v/>
      </c>
      <c r="K113" s="79">
        <f>IF(OR($A113="",K$23=""),"",IF(COUNTIFS('AFA Rates'!$A$5:$A$1004,$A113,'AFA Rates'!$B$5:$B$1004,K$23,'AFA Rates'!$O$5:$O$1004,"&lt;&gt;Expired")&gt;0,"✓",IF(COUNTIFS('AFA Rates'!$A$5:$A$1004,$A113,'AFA Rates'!$B$5:$B$1004,K$23)&gt;0,"Exp","")))</f>
        <v/>
      </c>
      <c r="L113" s="79">
        <f>IF(OR($A113="",L$23=""),"",IF(COUNTIFS('AFA Rates'!$A$5:$A$1004,$A113,'AFA Rates'!$B$5:$B$1004,L$23,'AFA Rates'!$O$5:$O$1004,"&lt;&gt;Expired")&gt;0,"✓",IF(COUNTIFS('AFA Rates'!$A$5:$A$1004,$A113,'AFA Rates'!$B$5:$B$1004,L$23)&gt;0,"Exp","")))</f>
        <v/>
      </c>
      <c r="M113" s="79">
        <f>IF(OR($A113="",M$23=""),"",IF(COUNTIFS('AFA Rates'!$A$5:$A$1004,$A113,'AFA Rates'!$B$5:$B$1004,M$23,'AFA Rates'!$O$5:$O$1004,"&lt;&gt;Expired")&gt;0,"✓",IF(COUNTIFS('AFA Rates'!$A$5:$A$1004,$A113,'AFA Rates'!$B$5:$B$1004,M$23)&gt;0,"Exp","")))</f>
        <v/>
      </c>
    </row>
    <row r="114">
      <c r="A114" s="78">
        <f>IFERROR(INDEX(Firms!$A$5:$A$1004,MATCH(91,Firms!$V$5:$V$1004,0)),"")</f>
        <v/>
      </c>
      <c r="B114" s="79">
        <f>IF($A114="","",INDEX(Firms!$B$5:$B$1004,MATCH(91,Firms!$V$5:$V$1004,0)))</f>
        <v/>
      </c>
      <c r="C114" s="79">
        <f>IF($A114="","",COUNTIFS('AFA Rates'!$A$5:$A$1004,$A114,'AFA Rates'!$O$5:$O$1004,"&lt;&gt;Expired"))</f>
        <v/>
      </c>
      <c r="D114" s="79">
        <f>IF(OR($A114="",D$23=""),"",IF(COUNTIFS('AFA Rates'!$A$5:$A$1004,$A114,'AFA Rates'!$B$5:$B$1004,D$23,'AFA Rates'!$O$5:$O$1004,"&lt;&gt;Expired")&gt;0,"✓",IF(COUNTIFS('AFA Rates'!$A$5:$A$1004,$A114,'AFA Rates'!$B$5:$B$1004,D$23)&gt;0,"Exp","")))</f>
        <v/>
      </c>
      <c r="E114" s="79">
        <f>IF(OR($A114="",E$23=""),"",IF(COUNTIFS('AFA Rates'!$A$5:$A$1004,$A114,'AFA Rates'!$B$5:$B$1004,E$23,'AFA Rates'!$O$5:$O$1004,"&lt;&gt;Expired")&gt;0,"✓",IF(COUNTIFS('AFA Rates'!$A$5:$A$1004,$A114,'AFA Rates'!$B$5:$B$1004,E$23)&gt;0,"Exp","")))</f>
        <v/>
      </c>
      <c r="F114" s="79">
        <f>IF(OR($A114="",F$23=""),"",IF(COUNTIFS('AFA Rates'!$A$5:$A$1004,$A114,'AFA Rates'!$B$5:$B$1004,F$23,'AFA Rates'!$O$5:$O$1004,"&lt;&gt;Expired")&gt;0,"✓",IF(COUNTIFS('AFA Rates'!$A$5:$A$1004,$A114,'AFA Rates'!$B$5:$B$1004,F$23)&gt;0,"Exp","")))</f>
        <v/>
      </c>
      <c r="G114" s="79">
        <f>IF(OR($A114="",G$23=""),"",IF(COUNTIFS('AFA Rates'!$A$5:$A$1004,$A114,'AFA Rates'!$B$5:$B$1004,G$23,'AFA Rates'!$O$5:$O$1004,"&lt;&gt;Expired")&gt;0,"✓",IF(COUNTIFS('AFA Rates'!$A$5:$A$1004,$A114,'AFA Rates'!$B$5:$B$1004,G$23)&gt;0,"Exp","")))</f>
        <v/>
      </c>
      <c r="H114" s="79">
        <f>IF(OR($A114="",H$23=""),"",IF(COUNTIFS('AFA Rates'!$A$5:$A$1004,$A114,'AFA Rates'!$B$5:$B$1004,H$23,'AFA Rates'!$O$5:$O$1004,"&lt;&gt;Expired")&gt;0,"✓",IF(COUNTIFS('AFA Rates'!$A$5:$A$1004,$A114,'AFA Rates'!$B$5:$B$1004,H$23)&gt;0,"Exp","")))</f>
        <v/>
      </c>
      <c r="I114" s="79">
        <f>IF(OR($A114="",I$23=""),"",IF(COUNTIFS('AFA Rates'!$A$5:$A$1004,$A114,'AFA Rates'!$B$5:$B$1004,I$23,'AFA Rates'!$O$5:$O$1004,"&lt;&gt;Expired")&gt;0,"✓",IF(COUNTIFS('AFA Rates'!$A$5:$A$1004,$A114,'AFA Rates'!$B$5:$B$1004,I$23)&gt;0,"Exp","")))</f>
        <v/>
      </c>
      <c r="J114" s="79">
        <f>IF(OR($A114="",J$23=""),"",IF(COUNTIFS('AFA Rates'!$A$5:$A$1004,$A114,'AFA Rates'!$B$5:$B$1004,J$23,'AFA Rates'!$O$5:$O$1004,"&lt;&gt;Expired")&gt;0,"✓",IF(COUNTIFS('AFA Rates'!$A$5:$A$1004,$A114,'AFA Rates'!$B$5:$B$1004,J$23)&gt;0,"Exp","")))</f>
        <v/>
      </c>
      <c r="K114" s="79">
        <f>IF(OR($A114="",K$23=""),"",IF(COUNTIFS('AFA Rates'!$A$5:$A$1004,$A114,'AFA Rates'!$B$5:$B$1004,K$23,'AFA Rates'!$O$5:$O$1004,"&lt;&gt;Expired")&gt;0,"✓",IF(COUNTIFS('AFA Rates'!$A$5:$A$1004,$A114,'AFA Rates'!$B$5:$B$1004,K$23)&gt;0,"Exp","")))</f>
        <v/>
      </c>
      <c r="L114" s="79">
        <f>IF(OR($A114="",L$23=""),"",IF(COUNTIFS('AFA Rates'!$A$5:$A$1004,$A114,'AFA Rates'!$B$5:$B$1004,L$23,'AFA Rates'!$O$5:$O$1004,"&lt;&gt;Expired")&gt;0,"✓",IF(COUNTIFS('AFA Rates'!$A$5:$A$1004,$A114,'AFA Rates'!$B$5:$B$1004,L$23)&gt;0,"Exp","")))</f>
        <v/>
      </c>
      <c r="M114" s="79">
        <f>IF(OR($A114="",M$23=""),"",IF(COUNTIFS('AFA Rates'!$A$5:$A$1004,$A114,'AFA Rates'!$B$5:$B$1004,M$23,'AFA Rates'!$O$5:$O$1004,"&lt;&gt;Expired")&gt;0,"✓",IF(COUNTIFS('AFA Rates'!$A$5:$A$1004,$A114,'AFA Rates'!$B$5:$B$1004,M$23)&gt;0,"Exp","")))</f>
        <v/>
      </c>
    </row>
    <row r="115">
      <c r="A115" s="78">
        <f>IFERROR(INDEX(Firms!$A$5:$A$1004,MATCH(92,Firms!$V$5:$V$1004,0)),"")</f>
        <v/>
      </c>
      <c r="B115" s="79">
        <f>IF($A115="","",INDEX(Firms!$B$5:$B$1004,MATCH(92,Firms!$V$5:$V$1004,0)))</f>
        <v/>
      </c>
      <c r="C115" s="79">
        <f>IF($A115="","",COUNTIFS('AFA Rates'!$A$5:$A$1004,$A115,'AFA Rates'!$O$5:$O$1004,"&lt;&gt;Expired"))</f>
        <v/>
      </c>
      <c r="D115" s="79">
        <f>IF(OR($A115="",D$23=""),"",IF(COUNTIFS('AFA Rates'!$A$5:$A$1004,$A115,'AFA Rates'!$B$5:$B$1004,D$23,'AFA Rates'!$O$5:$O$1004,"&lt;&gt;Expired")&gt;0,"✓",IF(COUNTIFS('AFA Rates'!$A$5:$A$1004,$A115,'AFA Rates'!$B$5:$B$1004,D$23)&gt;0,"Exp","")))</f>
        <v/>
      </c>
      <c r="E115" s="79">
        <f>IF(OR($A115="",E$23=""),"",IF(COUNTIFS('AFA Rates'!$A$5:$A$1004,$A115,'AFA Rates'!$B$5:$B$1004,E$23,'AFA Rates'!$O$5:$O$1004,"&lt;&gt;Expired")&gt;0,"✓",IF(COUNTIFS('AFA Rates'!$A$5:$A$1004,$A115,'AFA Rates'!$B$5:$B$1004,E$23)&gt;0,"Exp","")))</f>
        <v/>
      </c>
      <c r="F115" s="79">
        <f>IF(OR($A115="",F$23=""),"",IF(COUNTIFS('AFA Rates'!$A$5:$A$1004,$A115,'AFA Rates'!$B$5:$B$1004,F$23,'AFA Rates'!$O$5:$O$1004,"&lt;&gt;Expired")&gt;0,"✓",IF(COUNTIFS('AFA Rates'!$A$5:$A$1004,$A115,'AFA Rates'!$B$5:$B$1004,F$23)&gt;0,"Exp","")))</f>
        <v/>
      </c>
      <c r="G115" s="79">
        <f>IF(OR($A115="",G$23=""),"",IF(COUNTIFS('AFA Rates'!$A$5:$A$1004,$A115,'AFA Rates'!$B$5:$B$1004,G$23,'AFA Rates'!$O$5:$O$1004,"&lt;&gt;Expired")&gt;0,"✓",IF(COUNTIFS('AFA Rates'!$A$5:$A$1004,$A115,'AFA Rates'!$B$5:$B$1004,G$23)&gt;0,"Exp","")))</f>
        <v/>
      </c>
      <c r="H115" s="79">
        <f>IF(OR($A115="",H$23=""),"",IF(COUNTIFS('AFA Rates'!$A$5:$A$1004,$A115,'AFA Rates'!$B$5:$B$1004,H$23,'AFA Rates'!$O$5:$O$1004,"&lt;&gt;Expired")&gt;0,"✓",IF(COUNTIFS('AFA Rates'!$A$5:$A$1004,$A115,'AFA Rates'!$B$5:$B$1004,H$23)&gt;0,"Exp","")))</f>
        <v/>
      </c>
      <c r="I115" s="79">
        <f>IF(OR($A115="",I$23=""),"",IF(COUNTIFS('AFA Rates'!$A$5:$A$1004,$A115,'AFA Rates'!$B$5:$B$1004,I$23,'AFA Rates'!$O$5:$O$1004,"&lt;&gt;Expired")&gt;0,"✓",IF(COUNTIFS('AFA Rates'!$A$5:$A$1004,$A115,'AFA Rates'!$B$5:$B$1004,I$23)&gt;0,"Exp","")))</f>
        <v/>
      </c>
      <c r="J115" s="79">
        <f>IF(OR($A115="",J$23=""),"",IF(COUNTIFS('AFA Rates'!$A$5:$A$1004,$A115,'AFA Rates'!$B$5:$B$1004,J$23,'AFA Rates'!$O$5:$O$1004,"&lt;&gt;Expired")&gt;0,"✓",IF(COUNTIFS('AFA Rates'!$A$5:$A$1004,$A115,'AFA Rates'!$B$5:$B$1004,J$23)&gt;0,"Exp","")))</f>
        <v/>
      </c>
      <c r="K115" s="79">
        <f>IF(OR($A115="",K$23=""),"",IF(COUNTIFS('AFA Rates'!$A$5:$A$1004,$A115,'AFA Rates'!$B$5:$B$1004,K$23,'AFA Rates'!$O$5:$O$1004,"&lt;&gt;Expired")&gt;0,"✓",IF(COUNTIFS('AFA Rates'!$A$5:$A$1004,$A115,'AFA Rates'!$B$5:$B$1004,K$23)&gt;0,"Exp","")))</f>
        <v/>
      </c>
      <c r="L115" s="79">
        <f>IF(OR($A115="",L$23=""),"",IF(COUNTIFS('AFA Rates'!$A$5:$A$1004,$A115,'AFA Rates'!$B$5:$B$1004,L$23,'AFA Rates'!$O$5:$O$1004,"&lt;&gt;Expired")&gt;0,"✓",IF(COUNTIFS('AFA Rates'!$A$5:$A$1004,$A115,'AFA Rates'!$B$5:$B$1004,L$23)&gt;0,"Exp","")))</f>
        <v/>
      </c>
      <c r="M115" s="79">
        <f>IF(OR($A115="",M$23=""),"",IF(COUNTIFS('AFA Rates'!$A$5:$A$1004,$A115,'AFA Rates'!$B$5:$B$1004,M$23,'AFA Rates'!$O$5:$O$1004,"&lt;&gt;Expired")&gt;0,"✓",IF(COUNTIFS('AFA Rates'!$A$5:$A$1004,$A115,'AFA Rates'!$B$5:$B$1004,M$23)&gt;0,"Exp","")))</f>
        <v/>
      </c>
    </row>
    <row r="116">
      <c r="A116" s="78">
        <f>IFERROR(INDEX(Firms!$A$5:$A$1004,MATCH(93,Firms!$V$5:$V$1004,0)),"")</f>
        <v/>
      </c>
      <c r="B116" s="79">
        <f>IF($A116="","",INDEX(Firms!$B$5:$B$1004,MATCH(93,Firms!$V$5:$V$1004,0)))</f>
        <v/>
      </c>
      <c r="C116" s="79">
        <f>IF($A116="","",COUNTIFS('AFA Rates'!$A$5:$A$1004,$A116,'AFA Rates'!$O$5:$O$1004,"&lt;&gt;Expired"))</f>
        <v/>
      </c>
      <c r="D116" s="79">
        <f>IF(OR($A116="",D$23=""),"",IF(COUNTIFS('AFA Rates'!$A$5:$A$1004,$A116,'AFA Rates'!$B$5:$B$1004,D$23,'AFA Rates'!$O$5:$O$1004,"&lt;&gt;Expired")&gt;0,"✓",IF(COUNTIFS('AFA Rates'!$A$5:$A$1004,$A116,'AFA Rates'!$B$5:$B$1004,D$23)&gt;0,"Exp","")))</f>
        <v/>
      </c>
      <c r="E116" s="79">
        <f>IF(OR($A116="",E$23=""),"",IF(COUNTIFS('AFA Rates'!$A$5:$A$1004,$A116,'AFA Rates'!$B$5:$B$1004,E$23,'AFA Rates'!$O$5:$O$1004,"&lt;&gt;Expired")&gt;0,"✓",IF(COUNTIFS('AFA Rates'!$A$5:$A$1004,$A116,'AFA Rates'!$B$5:$B$1004,E$23)&gt;0,"Exp","")))</f>
        <v/>
      </c>
      <c r="F116" s="79">
        <f>IF(OR($A116="",F$23=""),"",IF(COUNTIFS('AFA Rates'!$A$5:$A$1004,$A116,'AFA Rates'!$B$5:$B$1004,F$23,'AFA Rates'!$O$5:$O$1004,"&lt;&gt;Expired")&gt;0,"✓",IF(COUNTIFS('AFA Rates'!$A$5:$A$1004,$A116,'AFA Rates'!$B$5:$B$1004,F$23)&gt;0,"Exp","")))</f>
        <v/>
      </c>
      <c r="G116" s="79">
        <f>IF(OR($A116="",G$23=""),"",IF(COUNTIFS('AFA Rates'!$A$5:$A$1004,$A116,'AFA Rates'!$B$5:$B$1004,G$23,'AFA Rates'!$O$5:$O$1004,"&lt;&gt;Expired")&gt;0,"✓",IF(COUNTIFS('AFA Rates'!$A$5:$A$1004,$A116,'AFA Rates'!$B$5:$B$1004,G$23)&gt;0,"Exp","")))</f>
        <v/>
      </c>
      <c r="H116" s="79">
        <f>IF(OR($A116="",H$23=""),"",IF(COUNTIFS('AFA Rates'!$A$5:$A$1004,$A116,'AFA Rates'!$B$5:$B$1004,H$23,'AFA Rates'!$O$5:$O$1004,"&lt;&gt;Expired")&gt;0,"✓",IF(COUNTIFS('AFA Rates'!$A$5:$A$1004,$A116,'AFA Rates'!$B$5:$B$1004,H$23)&gt;0,"Exp","")))</f>
        <v/>
      </c>
      <c r="I116" s="79">
        <f>IF(OR($A116="",I$23=""),"",IF(COUNTIFS('AFA Rates'!$A$5:$A$1004,$A116,'AFA Rates'!$B$5:$B$1004,I$23,'AFA Rates'!$O$5:$O$1004,"&lt;&gt;Expired")&gt;0,"✓",IF(COUNTIFS('AFA Rates'!$A$5:$A$1004,$A116,'AFA Rates'!$B$5:$B$1004,I$23)&gt;0,"Exp","")))</f>
        <v/>
      </c>
      <c r="J116" s="79">
        <f>IF(OR($A116="",J$23=""),"",IF(COUNTIFS('AFA Rates'!$A$5:$A$1004,$A116,'AFA Rates'!$B$5:$B$1004,J$23,'AFA Rates'!$O$5:$O$1004,"&lt;&gt;Expired")&gt;0,"✓",IF(COUNTIFS('AFA Rates'!$A$5:$A$1004,$A116,'AFA Rates'!$B$5:$B$1004,J$23)&gt;0,"Exp","")))</f>
        <v/>
      </c>
      <c r="K116" s="79">
        <f>IF(OR($A116="",K$23=""),"",IF(COUNTIFS('AFA Rates'!$A$5:$A$1004,$A116,'AFA Rates'!$B$5:$B$1004,K$23,'AFA Rates'!$O$5:$O$1004,"&lt;&gt;Expired")&gt;0,"✓",IF(COUNTIFS('AFA Rates'!$A$5:$A$1004,$A116,'AFA Rates'!$B$5:$B$1004,K$23)&gt;0,"Exp","")))</f>
        <v/>
      </c>
      <c r="L116" s="79">
        <f>IF(OR($A116="",L$23=""),"",IF(COUNTIFS('AFA Rates'!$A$5:$A$1004,$A116,'AFA Rates'!$B$5:$B$1004,L$23,'AFA Rates'!$O$5:$O$1004,"&lt;&gt;Expired")&gt;0,"✓",IF(COUNTIFS('AFA Rates'!$A$5:$A$1004,$A116,'AFA Rates'!$B$5:$B$1004,L$23)&gt;0,"Exp","")))</f>
        <v/>
      </c>
      <c r="M116" s="79">
        <f>IF(OR($A116="",M$23=""),"",IF(COUNTIFS('AFA Rates'!$A$5:$A$1004,$A116,'AFA Rates'!$B$5:$B$1004,M$23,'AFA Rates'!$O$5:$O$1004,"&lt;&gt;Expired")&gt;0,"✓",IF(COUNTIFS('AFA Rates'!$A$5:$A$1004,$A116,'AFA Rates'!$B$5:$B$1004,M$23)&gt;0,"Exp","")))</f>
        <v/>
      </c>
    </row>
    <row r="117">
      <c r="A117" s="78">
        <f>IFERROR(INDEX(Firms!$A$5:$A$1004,MATCH(94,Firms!$V$5:$V$1004,0)),"")</f>
        <v/>
      </c>
      <c r="B117" s="79">
        <f>IF($A117="","",INDEX(Firms!$B$5:$B$1004,MATCH(94,Firms!$V$5:$V$1004,0)))</f>
        <v/>
      </c>
      <c r="C117" s="79">
        <f>IF($A117="","",COUNTIFS('AFA Rates'!$A$5:$A$1004,$A117,'AFA Rates'!$O$5:$O$1004,"&lt;&gt;Expired"))</f>
        <v/>
      </c>
      <c r="D117" s="79">
        <f>IF(OR($A117="",D$23=""),"",IF(COUNTIFS('AFA Rates'!$A$5:$A$1004,$A117,'AFA Rates'!$B$5:$B$1004,D$23,'AFA Rates'!$O$5:$O$1004,"&lt;&gt;Expired")&gt;0,"✓",IF(COUNTIFS('AFA Rates'!$A$5:$A$1004,$A117,'AFA Rates'!$B$5:$B$1004,D$23)&gt;0,"Exp","")))</f>
        <v/>
      </c>
      <c r="E117" s="79">
        <f>IF(OR($A117="",E$23=""),"",IF(COUNTIFS('AFA Rates'!$A$5:$A$1004,$A117,'AFA Rates'!$B$5:$B$1004,E$23,'AFA Rates'!$O$5:$O$1004,"&lt;&gt;Expired")&gt;0,"✓",IF(COUNTIFS('AFA Rates'!$A$5:$A$1004,$A117,'AFA Rates'!$B$5:$B$1004,E$23)&gt;0,"Exp","")))</f>
        <v/>
      </c>
      <c r="F117" s="79">
        <f>IF(OR($A117="",F$23=""),"",IF(COUNTIFS('AFA Rates'!$A$5:$A$1004,$A117,'AFA Rates'!$B$5:$B$1004,F$23,'AFA Rates'!$O$5:$O$1004,"&lt;&gt;Expired")&gt;0,"✓",IF(COUNTIFS('AFA Rates'!$A$5:$A$1004,$A117,'AFA Rates'!$B$5:$B$1004,F$23)&gt;0,"Exp","")))</f>
        <v/>
      </c>
      <c r="G117" s="79">
        <f>IF(OR($A117="",G$23=""),"",IF(COUNTIFS('AFA Rates'!$A$5:$A$1004,$A117,'AFA Rates'!$B$5:$B$1004,G$23,'AFA Rates'!$O$5:$O$1004,"&lt;&gt;Expired")&gt;0,"✓",IF(COUNTIFS('AFA Rates'!$A$5:$A$1004,$A117,'AFA Rates'!$B$5:$B$1004,G$23)&gt;0,"Exp","")))</f>
        <v/>
      </c>
      <c r="H117" s="79">
        <f>IF(OR($A117="",H$23=""),"",IF(COUNTIFS('AFA Rates'!$A$5:$A$1004,$A117,'AFA Rates'!$B$5:$B$1004,H$23,'AFA Rates'!$O$5:$O$1004,"&lt;&gt;Expired")&gt;0,"✓",IF(COUNTIFS('AFA Rates'!$A$5:$A$1004,$A117,'AFA Rates'!$B$5:$B$1004,H$23)&gt;0,"Exp","")))</f>
        <v/>
      </c>
      <c r="I117" s="79">
        <f>IF(OR($A117="",I$23=""),"",IF(COUNTIFS('AFA Rates'!$A$5:$A$1004,$A117,'AFA Rates'!$B$5:$B$1004,I$23,'AFA Rates'!$O$5:$O$1004,"&lt;&gt;Expired")&gt;0,"✓",IF(COUNTIFS('AFA Rates'!$A$5:$A$1004,$A117,'AFA Rates'!$B$5:$B$1004,I$23)&gt;0,"Exp","")))</f>
        <v/>
      </c>
      <c r="J117" s="79">
        <f>IF(OR($A117="",J$23=""),"",IF(COUNTIFS('AFA Rates'!$A$5:$A$1004,$A117,'AFA Rates'!$B$5:$B$1004,J$23,'AFA Rates'!$O$5:$O$1004,"&lt;&gt;Expired")&gt;0,"✓",IF(COUNTIFS('AFA Rates'!$A$5:$A$1004,$A117,'AFA Rates'!$B$5:$B$1004,J$23)&gt;0,"Exp","")))</f>
        <v/>
      </c>
      <c r="K117" s="79">
        <f>IF(OR($A117="",K$23=""),"",IF(COUNTIFS('AFA Rates'!$A$5:$A$1004,$A117,'AFA Rates'!$B$5:$B$1004,K$23,'AFA Rates'!$O$5:$O$1004,"&lt;&gt;Expired")&gt;0,"✓",IF(COUNTIFS('AFA Rates'!$A$5:$A$1004,$A117,'AFA Rates'!$B$5:$B$1004,K$23)&gt;0,"Exp","")))</f>
        <v/>
      </c>
      <c r="L117" s="79">
        <f>IF(OR($A117="",L$23=""),"",IF(COUNTIFS('AFA Rates'!$A$5:$A$1004,$A117,'AFA Rates'!$B$5:$B$1004,L$23,'AFA Rates'!$O$5:$O$1004,"&lt;&gt;Expired")&gt;0,"✓",IF(COUNTIFS('AFA Rates'!$A$5:$A$1004,$A117,'AFA Rates'!$B$5:$B$1004,L$23)&gt;0,"Exp","")))</f>
        <v/>
      </c>
      <c r="M117" s="79">
        <f>IF(OR($A117="",M$23=""),"",IF(COUNTIFS('AFA Rates'!$A$5:$A$1004,$A117,'AFA Rates'!$B$5:$B$1004,M$23,'AFA Rates'!$O$5:$O$1004,"&lt;&gt;Expired")&gt;0,"✓",IF(COUNTIFS('AFA Rates'!$A$5:$A$1004,$A117,'AFA Rates'!$B$5:$B$1004,M$23)&gt;0,"Exp","")))</f>
        <v/>
      </c>
    </row>
    <row r="118">
      <c r="A118" s="78">
        <f>IFERROR(INDEX(Firms!$A$5:$A$1004,MATCH(95,Firms!$V$5:$V$1004,0)),"")</f>
        <v/>
      </c>
      <c r="B118" s="79">
        <f>IF($A118="","",INDEX(Firms!$B$5:$B$1004,MATCH(95,Firms!$V$5:$V$1004,0)))</f>
        <v/>
      </c>
      <c r="C118" s="79">
        <f>IF($A118="","",COUNTIFS('AFA Rates'!$A$5:$A$1004,$A118,'AFA Rates'!$O$5:$O$1004,"&lt;&gt;Expired"))</f>
        <v/>
      </c>
      <c r="D118" s="79">
        <f>IF(OR($A118="",D$23=""),"",IF(COUNTIFS('AFA Rates'!$A$5:$A$1004,$A118,'AFA Rates'!$B$5:$B$1004,D$23,'AFA Rates'!$O$5:$O$1004,"&lt;&gt;Expired")&gt;0,"✓",IF(COUNTIFS('AFA Rates'!$A$5:$A$1004,$A118,'AFA Rates'!$B$5:$B$1004,D$23)&gt;0,"Exp","")))</f>
        <v/>
      </c>
      <c r="E118" s="79">
        <f>IF(OR($A118="",E$23=""),"",IF(COUNTIFS('AFA Rates'!$A$5:$A$1004,$A118,'AFA Rates'!$B$5:$B$1004,E$23,'AFA Rates'!$O$5:$O$1004,"&lt;&gt;Expired")&gt;0,"✓",IF(COUNTIFS('AFA Rates'!$A$5:$A$1004,$A118,'AFA Rates'!$B$5:$B$1004,E$23)&gt;0,"Exp","")))</f>
        <v/>
      </c>
      <c r="F118" s="79">
        <f>IF(OR($A118="",F$23=""),"",IF(COUNTIFS('AFA Rates'!$A$5:$A$1004,$A118,'AFA Rates'!$B$5:$B$1004,F$23,'AFA Rates'!$O$5:$O$1004,"&lt;&gt;Expired")&gt;0,"✓",IF(COUNTIFS('AFA Rates'!$A$5:$A$1004,$A118,'AFA Rates'!$B$5:$B$1004,F$23)&gt;0,"Exp","")))</f>
        <v/>
      </c>
      <c r="G118" s="79">
        <f>IF(OR($A118="",G$23=""),"",IF(COUNTIFS('AFA Rates'!$A$5:$A$1004,$A118,'AFA Rates'!$B$5:$B$1004,G$23,'AFA Rates'!$O$5:$O$1004,"&lt;&gt;Expired")&gt;0,"✓",IF(COUNTIFS('AFA Rates'!$A$5:$A$1004,$A118,'AFA Rates'!$B$5:$B$1004,G$23)&gt;0,"Exp","")))</f>
        <v/>
      </c>
      <c r="H118" s="79">
        <f>IF(OR($A118="",H$23=""),"",IF(COUNTIFS('AFA Rates'!$A$5:$A$1004,$A118,'AFA Rates'!$B$5:$B$1004,H$23,'AFA Rates'!$O$5:$O$1004,"&lt;&gt;Expired")&gt;0,"✓",IF(COUNTIFS('AFA Rates'!$A$5:$A$1004,$A118,'AFA Rates'!$B$5:$B$1004,H$23)&gt;0,"Exp","")))</f>
        <v/>
      </c>
      <c r="I118" s="79">
        <f>IF(OR($A118="",I$23=""),"",IF(COUNTIFS('AFA Rates'!$A$5:$A$1004,$A118,'AFA Rates'!$B$5:$B$1004,I$23,'AFA Rates'!$O$5:$O$1004,"&lt;&gt;Expired")&gt;0,"✓",IF(COUNTIFS('AFA Rates'!$A$5:$A$1004,$A118,'AFA Rates'!$B$5:$B$1004,I$23)&gt;0,"Exp","")))</f>
        <v/>
      </c>
      <c r="J118" s="79">
        <f>IF(OR($A118="",J$23=""),"",IF(COUNTIFS('AFA Rates'!$A$5:$A$1004,$A118,'AFA Rates'!$B$5:$B$1004,J$23,'AFA Rates'!$O$5:$O$1004,"&lt;&gt;Expired")&gt;0,"✓",IF(COUNTIFS('AFA Rates'!$A$5:$A$1004,$A118,'AFA Rates'!$B$5:$B$1004,J$23)&gt;0,"Exp","")))</f>
        <v/>
      </c>
      <c r="K118" s="79">
        <f>IF(OR($A118="",K$23=""),"",IF(COUNTIFS('AFA Rates'!$A$5:$A$1004,$A118,'AFA Rates'!$B$5:$B$1004,K$23,'AFA Rates'!$O$5:$O$1004,"&lt;&gt;Expired")&gt;0,"✓",IF(COUNTIFS('AFA Rates'!$A$5:$A$1004,$A118,'AFA Rates'!$B$5:$B$1004,K$23)&gt;0,"Exp","")))</f>
        <v/>
      </c>
      <c r="L118" s="79">
        <f>IF(OR($A118="",L$23=""),"",IF(COUNTIFS('AFA Rates'!$A$5:$A$1004,$A118,'AFA Rates'!$B$5:$B$1004,L$23,'AFA Rates'!$O$5:$O$1004,"&lt;&gt;Expired")&gt;0,"✓",IF(COUNTIFS('AFA Rates'!$A$5:$A$1004,$A118,'AFA Rates'!$B$5:$B$1004,L$23)&gt;0,"Exp","")))</f>
        <v/>
      </c>
      <c r="M118" s="79">
        <f>IF(OR($A118="",M$23=""),"",IF(COUNTIFS('AFA Rates'!$A$5:$A$1004,$A118,'AFA Rates'!$B$5:$B$1004,M$23,'AFA Rates'!$O$5:$O$1004,"&lt;&gt;Expired")&gt;0,"✓",IF(COUNTIFS('AFA Rates'!$A$5:$A$1004,$A118,'AFA Rates'!$B$5:$B$1004,M$23)&gt;0,"Exp","")))</f>
        <v/>
      </c>
    </row>
    <row r="119">
      <c r="A119" s="78">
        <f>IFERROR(INDEX(Firms!$A$5:$A$1004,MATCH(96,Firms!$V$5:$V$1004,0)),"")</f>
        <v/>
      </c>
      <c r="B119" s="79">
        <f>IF($A119="","",INDEX(Firms!$B$5:$B$1004,MATCH(96,Firms!$V$5:$V$1004,0)))</f>
        <v/>
      </c>
      <c r="C119" s="79">
        <f>IF($A119="","",COUNTIFS('AFA Rates'!$A$5:$A$1004,$A119,'AFA Rates'!$O$5:$O$1004,"&lt;&gt;Expired"))</f>
        <v/>
      </c>
      <c r="D119" s="79">
        <f>IF(OR($A119="",D$23=""),"",IF(COUNTIFS('AFA Rates'!$A$5:$A$1004,$A119,'AFA Rates'!$B$5:$B$1004,D$23,'AFA Rates'!$O$5:$O$1004,"&lt;&gt;Expired")&gt;0,"✓",IF(COUNTIFS('AFA Rates'!$A$5:$A$1004,$A119,'AFA Rates'!$B$5:$B$1004,D$23)&gt;0,"Exp","")))</f>
        <v/>
      </c>
      <c r="E119" s="79">
        <f>IF(OR($A119="",E$23=""),"",IF(COUNTIFS('AFA Rates'!$A$5:$A$1004,$A119,'AFA Rates'!$B$5:$B$1004,E$23,'AFA Rates'!$O$5:$O$1004,"&lt;&gt;Expired")&gt;0,"✓",IF(COUNTIFS('AFA Rates'!$A$5:$A$1004,$A119,'AFA Rates'!$B$5:$B$1004,E$23)&gt;0,"Exp","")))</f>
        <v/>
      </c>
      <c r="F119" s="79">
        <f>IF(OR($A119="",F$23=""),"",IF(COUNTIFS('AFA Rates'!$A$5:$A$1004,$A119,'AFA Rates'!$B$5:$B$1004,F$23,'AFA Rates'!$O$5:$O$1004,"&lt;&gt;Expired")&gt;0,"✓",IF(COUNTIFS('AFA Rates'!$A$5:$A$1004,$A119,'AFA Rates'!$B$5:$B$1004,F$23)&gt;0,"Exp","")))</f>
        <v/>
      </c>
      <c r="G119" s="79">
        <f>IF(OR($A119="",G$23=""),"",IF(COUNTIFS('AFA Rates'!$A$5:$A$1004,$A119,'AFA Rates'!$B$5:$B$1004,G$23,'AFA Rates'!$O$5:$O$1004,"&lt;&gt;Expired")&gt;0,"✓",IF(COUNTIFS('AFA Rates'!$A$5:$A$1004,$A119,'AFA Rates'!$B$5:$B$1004,G$23)&gt;0,"Exp","")))</f>
        <v/>
      </c>
      <c r="H119" s="79">
        <f>IF(OR($A119="",H$23=""),"",IF(COUNTIFS('AFA Rates'!$A$5:$A$1004,$A119,'AFA Rates'!$B$5:$B$1004,H$23,'AFA Rates'!$O$5:$O$1004,"&lt;&gt;Expired")&gt;0,"✓",IF(COUNTIFS('AFA Rates'!$A$5:$A$1004,$A119,'AFA Rates'!$B$5:$B$1004,H$23)&gt;0,"Exp","")))</f>
        <v/>
      </c>
      <c r="I119" s="79">
        <f>IF(OR($A119="",I$23=""),"",IF(COUNTIFS('AFA Rates'!$A$5:$A$1004,$A119,'AFA Rates'!$B$5:$B$1004,I$23,'AFA Rates'!$O$5:$O$1004,"&lt;&gt;Expired")&gt;0,"✓",IF(COUNTIFS('AFA Rates'!$A$5:$A$1004,$A119,'AFA Rates'!$B$5:$B$1004,I$23)&gt;0,"Exp","")))</f>
        <v/>
      </c>
      <c r="J119" s="79">
        <f>IF(OR($A119="",J$23=""),"",IF(COUNTIFS('AFA Rates'!$A$5:$A$1004,$A119,'AFA Rates'!$B$5:$B$1004,J$23,'AFA Rates'!$O$5:$O$1004,"&lt;&gt;Expired")&gt;0,"✓",IF(COUNTIFS('AFA Rates'!$A$5:$A$1004,$A119,'AFA Rates'!$B$5:$B$1004,J$23)&gt;0,"Exp","")))</f>
        <v/>
      </c>
      <c r="K119" s="79">
        <f>IF(OR($A119="",K$23=""),"",IF(COUNTIFS('AFA Rates'!$A$5:$A$1004,$A119,'AFA Rates'!$B$5:$B$1004,K$23,'AFA Rates'!$O$5:$O$1004,"&lt;&gt;Expired")&gt;0,"✓",IF(COUNTIFS('AFA Rates'!$A$5:$A$1004,$A119,'AFA Rates'!$B$5:$B$1004,K$23)&gt;0,"Exp","")))</f>
        <v/>
      </c>
      <c r="L119" s="79">
        <f>IF(OR($A119="",L$23=""),"",IF(COUNTIFS('AFA Rates'!$A$5:$A$1004,$A119,'AFA Rates'!$B$5:$B$1004,L$23,'AFA Rates'!$O$5:$O$1004,"&lt;&gt;Expired")&gt;0,"✓",IF(COUNTIFS('AFA Rates'!$A$5:$A$1004,$A119,'AFA Rates'!$B$5:$B$1004,L$23)&gt;0,"Exp","")))</f>
        <v/>
      </c>
      <c r="M119" s="79">
        <f>IF(OR($A119="",M$23=""),"",IF(COUNTIFS('AFA Rates'!$A$5:$A$1004,$A119,'AFA Rates'!$B$5:$B$1004,M$23,'AFA Rates'!$O$5:$O$1004,"&lt;&gt;Expired")&gt;0,"✓",IF(COUNTIFS('AFA Rates'!$A$5:$A$1004,$A119,'AFA Rates'!$B$5:$B$1004,M$23)&gt;0,"Exp","")))</f>
        <v/>
      </c>
    </row>
    <row r="120">
      <c r="A120" s="78">
        <f>IFERROR(INDEX(Firms!$A$5:$A$1004,MATCH(97,Firms!$V$5:$V$1004,0)),"")</f>
        <v/>
      </c>
      <c r="B120" s="79">
        <f>IF($A120="","",INDEX(Firms!$B$5:$B$1004,MATCH(97,Firms!$V$5:$V$1004,0)))</f>
        <v/>
      </c>
      <c r="C120" s="79">
        <f>IF($A120="","",COUNTIFS('AFA Rates'!$A$5:$A$1004,$A120,'AFA Rates'!$O$5:$O$1004,"&lt;&gt;Expired"))</f>
        <v/>
      </c>
      <c r="D120" s="79">
        <f>IF(OR($A120="",D$23=""),"",IF(COUNTIFS('AFA Rates'!$A$5:$A$1004,$A120,'AFA Rates'!$B$5:$B$1004,D$23,'AFA Rates'!$O$5:$O$1004,"&lt;&gt;Expired")&gt;0,"✓",IF(COUNTIFS('AFA Rates'!$A$5:$A$1004,$A120,'AFA Rates'!$B$5:$B$1004,D$23)&gt;0,"Exp","")))</f>
        <v/>
      </c>
      <c r="E120" s="79">
        <f>IF(OR($A120="",E$23=""),"",IF(COUNTIFS('AFA Rates'!$A$5:$A$1004,$A120,'AFA Rates'!$B$5:$B$1004,E$23,'AFA Rates'!$O$5:$O$1004,"&lt;&gt;Expired")&gt;0,"✓",IF(COUNTIFS('AFA Rates'!$A$5:$A$1004,$A120,'AFA Rates'!$B$5:$B$1004,E$23)&gt;0,"Exp","")))</f>
        <v/>
      </c>
      <c r="F120" s="79">
        <f>IF(OR($A120="",F$23=""),"",IF(COUNTIFS('AFA Rates'!$A$5:$A$1004,$A120,'AFA Rates'!$B$5:$B$1004,F$23,'AFA Rates'!$O$5:$O$1004,"&lt;&gt;Expired")&gt;0,"✓",IF(COUNTIFS('AFA Rates'!$A$5:$A$1004,$A120,'AFA Rates'!$B$5:$B$1004,F$23)&gt;0,"Exp","")))</f>
        <v/>
      </c>
      <c r="G120" s="79">
        <f>IF(OR($A120="",G$23=""),"",IF(COUNTIFS('AFA Rates'!$A$5:$A$1004,$A120,'AFA Rates'!$B$5:$B$1004,G$23,'AFA Rates'!$O$5:$O$1004,"&lt;&gt;Expired")&gt;0,"✓",IF(COUNTIFS('AFA Rates'!$A$5:$A$1004,$A120,'AFA Rates'!$B$5:$B$1004,G$23)&gt;0,"Exp","")))</f>
        <v/>
      </c>
      <c r="H120" s="79">
        <f>IF(OR($A120="",H$23=""),"",IF(COUNTIFS('AFA Rates'!$A$5:$A$1004,$A120,'AFA Rates'!$B$5:$B$1004,H$23,'AFA Rates'!$O$5:$O$1004,"&lt;&gt;Expired")&gt;0,"✓",IF(COUNTIFS('AFA Rates'!$A$5:$A$1004,$A120,'AFA Rates'!$B$5:$B$1004,H$23)&gt;0,"Exp","")))</f>
        <v/>
      </c>
      <c r="I120" s="79">
        <f>IF(OR($A120="",I$23=""),"",IF(COUNTIFS('AFA Rates'!$A$5:$A$1004,$A120,'AFA Rates'!$B$5:$B$1004,I$23,'AFA Rates'!$O$5:$O$1004,"&lt;&gt;Expired")&gt;0,"✓",IF(COUNTIFS('AFA Rates'!$A$5:$A$1004,$A120,'AFA Rates'!$B$5:$B$1004,I$23)&gt;0,"Exp","")))</f>
        <v/>
      </c>
      <c r="J120" s="79">
        <f>IF(OR($A120="",J$23=""),"",IF(COUNTIFS('AFA Rates'!$A$5:$A$1004,$A120,'AFA Rates'!$B$5:$B$1004,J$23,'AFA Rates'!$O$5:$O$1004,"&lt;&gt;Expired")&gt;0,"✓",IF(COUNTIFS('AFA Rates'!$A$5:$A$1004,$A120,'AFA Rates'!$B$5:$B$1004,J$23)&gt;0,"Exp","")))</f>
        <v/>
      </c>
      <c r="K120" s="79">
        <f>IF(OR($A120="",K$23=""),"",IF(COUNTIFS('AFA Rates'!$A$5:$A$1004,$A120,'AFA Rates'!$B$5:$B$1004,K$23,'AFA Rates'!$O$5:$O$1004,"&lt;&gt;Expired")&gt;0,"✓",IF(COUNTIFS('AFA Rates'!$A$5:$A$1004,$A120,'AFA Rates'!$B$5:$B$1004,K$23)&gt;0,"Exp","")))</f>
        <v/>
      </c>
      <c r="L120" s="79">
        <f>IF(OR($A120="",L$23=""),"",IF(COUNTIFS('AFA Rates'!$A$5:$A$1004,$A120,'AFA Rates'!$B$5:$B$1004,L$23,'AFA Rates'!$O$5:$O$1004,"&lt;&gt;Expired")&gt;0,"✓",IF(COUNTIFS('AFA Rates'!$A$5:$A$1004,$A120,'AFA Rates'!$B$5:$B$1004,L$23)&gt;0,"Exp","")))</f>
        <v/>
      </c>
      <c r="M120" s="79">
        <f>IF(OR($A120="",M$23=""),"",IF(COUNTIFS('AFA Rates'!$A$5:$A$1004,$A120,'AFA Rates'!$B$5:$B$1004,M$23,'AFA Rates'!$O$5:$O$1004,"&lt;&gt;Expired")&gt;0,"✓",IF(COUNTIFS('AFA Rates'!$A$5:$A$1004,$A120,'AFA Rates'!$B$5:$B$1004,M$23)&gt;0,"Exp","")))</f>
        <v/>
      </c>
    </row>
    <row r="121">
      <c r="A121" s="78">
        <f>IFERROR(INDEX(Firms!$A$5:$A$1004,MATCH(98,Firms!$V$5:$V$1004,0)),"")</f>
        <v/>
      </c>
      <c r="B121" s="79">
        <f>IF($A121="","",INDEX(Firms!$B$5:$B$1004,MATCH(98,Firms!$V$5:$V$1004,0)))</f>
        <v/>
      </c>
      <c r="C121" s="79">
        <f>IF($A121="","",COUNTIFS('AFA Rates'!$A$5:$A$1004,$A121,'AFA Rates'!$O$5:$O$1004,"&lt;&gt;Expired"))</f>
        <v/>
      </c>
      <c r="D121" s="79">
        <f>IF(OR($A121="",D$23=""),"",IF(COUNTIFS('AFA Rates'!$A$5:$A$1004,$A121,'AFA Rates'!$B$5:$B$1004,D$23,'AFA Rates'!$O$5:$O$1004,"&lt;&gt;Expired")&gt;0,"✓",IF(COUNTIFS('AFA Rates'!$A$5:$A$1004,$A121,'AFA Rates'!$B$5:$B$1004,D$23)&gt;0,"Exp","")))</f>
        <v/>
      </c>
      <c r="E121" s="79">
        <f>IF(OR($A121="",E$23=""),"",IF(COUNTIFS('AFA Rates'!$A$5:$A$1004,$A121,'AFA Rates'!$B$5:$B$1004,E$23,'AFA Rates'!$O$5:$O$1004,"&lt;&gt;Expired")&gt;0,"✓",IF(COUNTIFS('AFA Rates'!$A$5:$A$1004,$A121,'AFA Rates'!$B$5:$B$1004,E$23)&gt;0,"Exp","")))</f>
        <v/>
      </c>
      <c r="F121" s="79">
        <f>IF(OR($A121="",F$23=""),"",IF(COUNTIFS('AFA Rates'!$A$5:$A$1004,$A121,'AFA Rates'!$B$5:$B$1004,F$23,'AFA Rates'!$O$5:$O$1004,"&lt;&gt;Expired")&gt;0,"✓",IF(COUNTIFS('AFA Rates'!$A$5:$A$1004,$A121,'AFA Rates'!$B$5:$B$1004,F$23)&gt;0,"Exp","")))</f>
        <v/>
      </c>
      <c r="G121" s="79">
        <f>IF(OR($A121="",G$23=""),"",IF(COUNTIFS('AFA Rates'!$A$5:$A$1004,$A121,'AFA Rates'!$B$5:$B$1004,G$23,'AFA Rates'!$O$5:$O$1004,"&lt;&gt;Expired")&gt;0,"✓",IF(COUNTIFS('AFA Rates'!$A$5:$A$1004,$A121,'AFA Rates'!$B$5:$B$1004,G$23)&gt;0,"Exp","")))</f>
        <v/>
      </c>
      <c r="H121" s="79">
        <f>IF(OR($A121="",H$23=""),"",IF(COUNTIFS('AFA Rates'!$A$5:$A$1004,$A121,'AFA Rates'!$B$5:$B$1004,H$23,'AFA Rates'!$O$5:$O$1004,"&lt;&gt;Expired")&gt;0,"✓",IF(COUNTIFS('AFA Rates'!$A$5:$A$1004,$A121,'AFA Rates'!$B$5:$B$1004,H$23)&gt;0,"Exp","")))</f>
        <v/>
      </c>
      <c r="I121" s="79">
        <f>IF(OR($A121="",I$23=""),"",IF(COUNTIFS('AFA Rates'!$A$5:$A$1004,$A121,'AFA Rates'!$B$5:$B$1004,I$23,'AFA Rates'!$O$5:$O$1004,"&lt;&gt;Expired")&gt;0,"✓",IF(COUNTIFS('AFA Rates'!$A$5:$A$1004,$A121,'AFA Rates'!$B$5:$B$1004,I$23)&gt;0,"Exp","")))</f>
        <v/>
      </c>
      <c r="J121" s="79">
        <f>IF(OR($A121="",J$23=""),"",IF(COUNTIFS('AFA Rates'!$A$5:$A$1004,$A121,'AFA Rates'!$B$5:$B$1004,J$23,'AFA Rates'!$O$5:$O$1004,"&lt;&gt;Expired")&gt;0,"✓",IF(COUNTIFS('AFA Rates'!$A$5:$A$1004,$A121,'AFA Rates'!$B$5:$B$1004,J$23)&gt;0,"Exp","")))</f>
        <v/>
      </c>
      <c r="K121" s="79">
        <f>IF(OR($A121="",K$23=""),"",IF(COUNTIFS('AFA Rates'!$A$5:$A$1004,$A121,'AFA Rates'!$B$5:$B$1004,K$23,'AFA Rates'!$O$5:$O$1004,"&lt;&gt;Expired")&gt;0,"✓",IF(COUNTIFS('AFA Rates'!$A$5:$A$1004,$A121,'AFA Rates'!$B$5:$B$1004,K$23)&gt;0,"Exp","")))</f>
        <v/>
      </c>
      <c r="L121" s="79">
        <f>IF(OR($A121="",L$23=""),"",IF(COUNTIFS('AFA Rates'!$A$5:$A$1004,$A121,'AFA Rates'!$B$5:$B$1004,L$23,'AFA Rates'!$O$5:$O$1004,"&lt;&gt;Expired")&gt;0,"✓",IF(COUNTIFS('AFA Rates'!$A$5:$A$1004,$A121,'AFA Rates'!$B$5:$B$1004,L$23)&gt;0,"Exp","")))</f>
        <v/>
      </c>
      <c r="M121" s="79">
        <f>IF(OR($A121="",M$23=""),"",IF(COUNTIFS('AFA Rates'!$A$5:$A$1004,$A121,'AFA Rates'!$B$5:$B$1004,M$23,'AFA Rates'!$O$5:$O$1004,"&lt;&gt;Expired")&gt;0,"✓",IF(COUNTIFS('AFA Rates'!$A$5:$A$1004,$A121,'AFA Rates'!$B$5:$B$1004,M$23)&gt;0,"Exp","")))</f>
        <v/>
      </c>
    </row>
    <row r="122">
      <c r="A122" s="78">
        <f>IFERROR(INDEX(Firms!$A$5:$A$1004,MATCH(99,Firms!$V$5:$V$1004,0)),"")</f>
        <v/>
      </c>
      <c r="B122" s="79">
        <f>IF($A122="","",INDEX(Firms!$B$5:$B$1004,MATCH(99,Firms!$V$5:$V$1004,0)))</f>
        <v/>
      </c>
      <c r="C122" s="79">
        <f>IF($A122="","",COUNTIFS('AFA Rates'!$A$5:$A$1004,$A122,'AFA Rates'!$O$5:$O$1004,"&lt;&gt;Expired"))</f>
        <v/>
      </c>
      <c r="D122" s="79">
        <f>IF(OR($A122="",D$23=""),"",IF(COUNTIFS('AFA Rates'!$A$5:$A$1004,$A122,'AFA Rates'!$B$5:$B$1004,D$23,'AFA Rates'!$O$5:$O$1004,"&lt;&gt;Expired")&gt;0,"✓",IF(COUNTIFS('AFA Rates'!$A$5:$A$1004,$A122,'AFA Rates'!$B$5:$B$1004,D$23)&gt;0,"Exp","")))</f>
        <v/>
      </c>
      <c r="E122" s="79">
        <f>IF(OR($A122="",E$23=""),"",IF(COUNTIFS('AFA Rates'!$A$5:$A$1004,$A122,'AFA Rates'!$B$5:$B$1004,E$23,'AFA Rates'!$O$5:$O$1004,"&lt;&gt;Expired")&gt;0,"✓",IF(COUNTIFS('AFA Rates'!$A$5:$A$1004,$A122,'AFA Rates'!$B$5:$B$1004,E$23)&gt;0,"Exp","")))</f>
        <v/>
      </c>
      <c r="F122" s="79">
        <f>IF(OR($A122="",F$23=""),"",IF(COUNTIFS('AFA Rates'!$A$5:$A$1004,$A122,'AFA Rates'!$B$5:$B$1004,F$23,'AFA Rates'!$O$5:$O$1004,"&lt;&gt;Expired")&gt;0,"✓",IF(COUNTIFS('AFA Rates'!$A$5:$A$1004,$A122,'AFA Rates'!$B$5:$B$1004,F$23)&gt;0,"Exp","")))</f>
        <v/>
      </c>
      <c r="G122" s="79">
        <f>IF(OR($A122="",G$23=""),"",IF(COUNTIFS('AFA Rates'!$A$5:$A$1004,$A122,'AFA Rates'!$B$5:$B$1004,G$23,'AFA Rates'!$O$5:$O$1004,"&lt;&gt;Expired")&gt;0,"✓",IF(COUNTIFS('AFA Rates'!$A$5:$A$1004,$A122,'AFA Rates'!$B$5:$B$1004,G$23)&gt;0,"Exp","")))</f>
        <v/>
      </c>
      <c r="H122" s="79">
        <f>IF(OR($A122="",H$23=""),"",IF(COUNTIFS('AFA Rates'!$A$5:$A$1004,$A122,'AFA Rates'!$B$5:$B$1004,H$23,'AFA Rates'!$O$5:$O$1004,"&lt;&gt;Expired")&gt;0,"✓",IF(COUNTIFS('AFA Rates'!$A$5:$A$1004,$A122,'AFA Rates'!$B$5:$B$1004,H$23)&gt;0,"Exp","")))</f>
        <v/>
      </c>
      <c r="I122" s="79">
        <f>IF(OR($A122="",I$23=""),"",IF(COUNTIFS('AFA Rates'!$A$5:$A$1004,$A122,'AFA Rates'!$B$5:$B$1004,I$23,'AFA Rates'!$O$5:$O$1004,"&lt;&gt;Expired")&gt;0,"✓",IF(COUNTIFS('AFA Rates'!$A$5:$A$1004,$A122,'AFA Rates'!$B$5:$B$1004,I$23)&gt;0,"Exp","")))</f>
        <v/>
      </c>
      <c r="J122" s="79">
        <f>IF(OR($A122="",J$23=""),"",IF(COUNTIFS('AFA Rates'!$A$5:$A$1004,$A122,'AFA Rates'!$B$5:$B$1004,J$23,'AFA Rates'!$O$5:$O$1004,"&lt;&gt;Expired")&gt;0,"✓",IF(COUNTIFS('AFA Rates'!$A$5:$A$1004,$A122,'AFA Rates'!$B$5:$B$1004,J$23)&gt;0,"Exp","")))</f>
        <v/>
      </c>
      <c r="K122" s="79">
        <f>IF(OR($A122="",K$23=""),"",IF(COUNTIFS('AFA Rates'!$A$5:$A$1004,$A122,'AFA Rates'!$B$5:$B$1004,K$23,'AFA Rates'!$O$5:$O$1004,"&lt;&gt;Expired")&gt;0,"✓",IF(COUNTIFS('AFA Rates'!$A$5:$A$1004,$A122,'AFA Rates'!$B$5:$B$1004,K$23)&gt;0,"Exp","")))</f>
        <v/>
      </c>
      <c r="L122" s="79">
        <f>IF(OR($A122="",L$23=""),"",IF(COUNTIFS('AFA Rates'!$A$5:$A$1004,$A122,'AFA Rates'!$B$5:$B$1004,L$23,'AFA Rates'!$O$5:$O$1004,"&lt;&gt;Expired")&gt;0,"✓",IF(COUNTIFS('AFA Rates'!$A$5:$A$1004,$A122,'AFA Rates'!$B$5:$B$1004,L$23)&gt;0,"Exp","")))</f>
        <v/>
      </c>
      <c r="M122" s="79">
        <f>IF(OR($A122="",M$23=""),"",IF(COUNTIFS('AFA Rates'!$A$5:$A$1004,$A122,'AFA Rates'!$B$5:$B$1004,M$23,'AFA Rates'!$O$5:$O$1004,"&lt;&gt;Expired")&gt;0,"✓",IF(COUNTIFS('AFA Rates'!$A$5:$A$1004,$A122,'AFA Rates'!$B$5:$B$1004,M$23)&gt;0,"Exp","")))</f>
        <v/>
      </c>
    </row>
    <row r="123">
      <c r="A123" s="78">
        <f>IFERROR(INDEX(Firms!$A$5:$A$1004,MATCH(100,Firms!$V$5:$V$1004,0)),"")</f>
        <v/>
      </c>
      <c r="B123" s="79">
        <f>IF($A123="","",INDEX(Firms!$B$5:$B$1004,MATCH(100,Firms!$V$5:$V$1004,0)))</f>
        <v/>
      </c>
      <c r="C123" s="79">
        <f>IF($A123="","",COUNTIFS('AFA Rates'!$A$5:$A$1004,$A123,'AFA Rates'!$O$5:$O$1004,"&lt;&gt;Expired"))</f>
        <v/>
      </c>
      <c r="D123" s="79">
        <f>IF(OR($A123="",D$23=""),"",IF(COUNTIFS('AFA Rates'!$A$5:$A$1004,$A123,'AFA Rates'!$B$5:$B$1004,D$23,'AFA Rates'!$O$5:$O$1004,"&lt;&gt;Expired")&gt;0,"✓",IF(COUNTIFS('AFA Rates'!$A$5:$A$1004,$A123,'AFA Rates'!$B$5:$B$1004,D$23)&gt;0,"Exp","")))</f>
        <v/>
      </c>
      <c r="E123" s="79">
        <f>IF(OR($A123="",E$23=""),"",IF(COUNTIFS('AFA Rates'!$A$5:$A$1004,$A123,'AFA Rates'!$B$5:$B$1004,E$23,'AFA Rates'!$O$5:$O$1004,"&lt;&gt;Expired")&gt;0,"✓",IF(COUNTIFS('AFA Rates'!$A$5:$A$1004,$A123,'AFA Rates'!$B$5:$B$1004,E$23)&gt;0,"Exp","")))</f>
        <v/>
      </c>
      <c r="F123" s="79">
        <f>IF(OR($A123="",F$23=""),"",IF(COUNTIFS('AFA Rates'!$A$5:$A$1004,$A123,'AFA Rates'!$B$5:$B$1004,F$23,'AFA Rates'!$O$5:$O$1004,"&lt;&gt;Expired")&gt;0,"✓",IF(COUNTIFS('AFA Rates'!$A$5:$A$1004,$A123,'AFA Rates'!$B$5:$B$1004,F$23)&gt;0,"Exp","")))</f>
        <v/>
      </c>
      <c r="G123" s="79">
        <f>IF(OR($A123="",G$23=""),"",IF(COUNTIFS('AFA Rates'!$A$5:$A$1004,$A123,'AFA Rates'!$B$5:$B$1004,G$23,'AFA Rates'!$O$5:$O$1004,"&lt;&gt;Expired")&gt;0,"✓",IF(COUNTIFS('AFA Rates'!$A$5:$A$1004,$A123,'AFA Rates'!$B$5:$B$1004,G$23)&gt;0,"Exp","")))</f>
        <v/>
      </c>
      <c r="H123" s="79">
        <f>IF(OR($A123="",H$23=""),"",IF(COUNTIFS('AFA Rates'!$A$5:$A$1004,$A123,'AFA Rates'!$B$5:$B$1004,H$23,'AFA Rates'!$O$5:$O$1004,"&lt;&gt;Expired")&gt;0,"✓",IF(COUNTIFS('AFA Rates'!$A$5:$A$1004,$A123,'AFA Rates'!$B$5:$B$1004,H$23)&gt;0,"Exp","")))</f>
        <v/>
      </c>
      <c r="I123" s="79">
        <f>IF(OR($A123="",I$23=""),"",IF(COUNTIFS('AFA Rates'!$A$5:$A$1004,$A123,'AFA Rates'!$B$5:$B$1004,I$23,'AFA Rates'!$O$5:$O$1004,"&lt;&gt;Expired")&gt;0,"✓",IF(COUNTIFS('AFA Rates'!$A$5:$A$1004,$A123,'AFA Rates'!$B$5:$B$1004,I$23)&gt;0,"Exp","")))</f>
        <v/>
      </c>
      <c r="J123" s="79">
        <f>IF(OR($A123="",J$23=""),"",IF(COUNTIFS('AFA Rates'!$A$5:$A$1004,$A123,'AFA Rates'!$B$5:$B$1004,J$23,'AFA Rates'!$O$5:$O$1004,"&lt;&gt;Expired")&gt;0,"✓",IF(COUNTIFS('AFA Rates'!$A$5:$A$1004,$A123,'AFA Rates'!$B$5:$B$1004,J$23)&gt;0,"Exp","")))</f>
        <v/>
      </c>
      <c r="K123" s="79">
        <f>IF(OR($A123="",K$23=""),"",IF(COUNTIFS('AFA Rates'!$A$5:$A$1004,$A123,'AFA Rates'!$B$5:$B$1004,K$23,'AFA Rates'!$O$5:$O$1004,"&lt;&gt;Expired")&gt;0,"✓",IF(COUNTIFS('AFA Rates'!$A$5:$A$1004,$A123,'AFA Rates'!$B$5:$B$1004,K$23)&gt;0,"Exp","")))</f>
        <v/>
      </c>
      <c r="L123" s="79">
        <f>IF(OR($A123="",L$23=""),"",IF(COUNTIFS('AFA Rates'!$A$5:$A$1004,$A123,'AFA Rates'!$B$5:$B$1004,L$23,'AFA Rates'!$O$5:$O$1004,"&lt;&gt;Expired")&gt;0,"✓",IF(COUNTIFS('AFA Rates'!$A$5:$A$1004,$A123,'AFA Rates'!$B$5:$B$1004,L$23)&gt;0,"Exp","")))</f>
        <v/>
      </c>
      <c r="M123" s="79">
        <f>IF(OR($A123="",M$23=""),"",IF(COUNTIFS('AFA Rates'!$A$5:$A$1004,$A123,'AFA Rates'!$B$5:$B$1004,M$23,'AFA Rates'!$O$5:$O$1004,"&lt;&gt;Expired")&gt;0,"✓",IF(COUNTIFS('AFA Rates'!$A$5:$A$1004,$A123,'AFA Rates'!$B$5:$B$1004,M$23)&gt;0,"Exp","")))</f>
        <v/>
      </c>
    </row>
    <row r="124">
      <c r="A124" s="78">
        <f>IFERROR(INDEX(Firms!$A$5:$A$1004,MATCH(101,Firms!$V$5:$V$1004,0)),"")</f>
        <v/>
      </c>
      <c r="B124" s="79">
        <f>IF($A124="","",INDEX(Firms!$B$5:$B$1004,MATCH(101,Firms!$V$5:$V$1004,0)))</f>
        <v/>
      </c>
      <c r="C124" s="79">
        <f>IF($A124="","",COUNTIFS('AFA Rates'!$A$5:$A$1004,$A124,'AFA Rates'!$O$5:$O$1004,"&lt;&gt;Expired"))</f>
        <v/>
      </c>
      <c r="D124" s="79">
        <f>IF(OR($A124="",D$23=""),"",IF(COUNTIFS('AFA Rates'!$A$5:$A$1004,$A124,'AFA Rates'!$B$5:$B$1004,D$23,'AFA Rates'!$O$5:$O$1004,"&lt;&gt;Expired")&gt;0,"✓",IF(COUNTIFS('AFA Rates'!$A$5:$A$1004,$A124,'AFA Rates'!$B$5:$B$1004,D$23)&gt;0,"Exp","")))</f>
        <v/>
      </c>
      <c r="E124" s="79">
        <f>IF(OR($A124="",E$23=""),"",IF(COUNTIFS('AFA Rates'!$A$5:$A$1004,$A124,'AFA Rates'!$B$5:$B$1004,E$23,'AFA Rates'!$O$5:$O$1004,"&lt;&gt;Expired")&gt;0,"✓",IF(COUNTIFS('AFA Rates'!$A$5:$A$1004,$A124,'AFA Rates'!$B$5:$B$1004,E$23)&gt;0,"Exp","")))</f>
        <v/>
      </c>
      <c r="F124" s="79">
        <f>IF(OR($A124="",F$23=""),"",IF(COUNTIFS('AFA Rates'!$A$5:$A$1004,$A124,'AFA Rates'!$B$5:$B$1004,F$23,'AFA Rates'!$O$5:$O$1004,"&lt;&gt;Expired")&gt;0,"✓",IF(COUNTIFS('AFA Rates'!$A$5:$A$1004,$A124,'AFA Rates'!$B$5:$B$1004,F$23)&gt;0,"Exp","")))</f>
        <v/>
      </c>
      <c r="G124" s="79">
        <f>IF(OR($A124="",G$23=""),"",IF(COUNTIFS('AFA Rates'!$A$5:$A$1004,$A124,'AFA Rates'!$B$5:$B$1004,G$23,'AFA Rates'!$O$5:$O$1004,"&lt;&gt;Expired")&gt;0,"✓",IF(COUNTIFS('AFA Rates'!$A$5:$A$1004,$A124,'AFA Rates'!$B$5:$B$1004,G$23)&gt;0,"Exp","")))</f>
        <v/>
      </c>
      <c r="H124" s="79">
        <f>IF(OR($A124="",H$23=""),"",IF(COUNTIFS('AFA Rates'!$A$5:$A$1004,$A124,'AFA Rates'!$B$5:$B$1004,H$23,'AFA Rates'!$O$5:$O$1004,"&lt;&gt;Expired")&gt;0,"✓",IF(COUNTIFS('AFA Rates'!$A$5:$A$1004,$A124,'AFA Rates'!$B$5:$B$1004,H$23)&gt;0,"Exp","")))</f>
        <v/>
      </c>
      <c r="I124" s="79">
        <f>IF(OR($A124="",I$23=""),"",IF(COUNTIFS('AFA Rates'!$A$5:$A$1004,$A124,'AFA Rates'!$B$5:$B$1004,I$23,'AFA Rates'!$O$5:$O$1004,"&lt;&gt;Expired")&gt;0,"✓",IF(COUNTIFS('AFA Rates'!$A$5:$A$1004,$A124,'AFA Rates'!$B$5:$B$1004,I$23)&gt;0,"Exp","")))</f>
        <v/>
      </c>
      <c r="J124" s="79">
        <f>IF(OR($A124="",J$23=""),"",IF(COUNTIFS('AFA Rates'!$A$5:$A$1004,$A124,'AFA Rates'!$B$5:$B$1004,J$23,'AFA Rates'!$O$5:$O$1004,"&lt;&gt;Expired")&gt;0,"✓",IF(COUNTIFS('AFA Rates'!$A$5:$A$1004,$A124,'AFA Rates'!$B$5:$B$1004,J$23)&gt;0,"Exp","")))</f>
        <v/>
      </c>
      <c r="K124" s="79">
        <f>IF(OR($A124="",K$23=""),"",IF(COUNTIFS('AFA Rates'!$A$5:$A$1004,$A124,'AFA Rates'!$B$5:$B$1004,K$23,'AFA Rates'!$O$5:$O$1004,"&lt;&gt;Expired")&gt;0,"✓",IF(COUNTIFS('AFA Rates'!$A$5:$A$1004,$A124,'AFA Rates'!$B$5:$B$1004,K$23)&gt;0,"Exp","")))</f>
        <v/>
      </c>
      <c r="L124" s="79">
        <f>IF(OR($A124="",L$23=""),"",IF(COUNTIFS('AFA Rates'!$A$5:$A$1004,$A124,'AFA Rates'!$B$5:$B$1004,L$23,'AFA Rates'!$O$5:$O$1004,"&lt;&gt;Expired")&gt;0,"✓",IF(COUNTIFS('AFA Rates'!$A$5:$A$1004,$A124,'AFA Rates'!$B$5:$B$1004,L$23)&gt;0,"Exp","")))</f>
        <v/>
      </c>
      <c r="M124" s="79">
        <f>IF(OR($A124="",M$23=""),"",IF(COUNTIFS('AFA Rates'!$A$5:$A$1004,$A124,'AFA Rates'!$B$5:$B$1004,M$23,'AFA Rates'!$O$5:$O$1004,"&lt;&gt;Expired")&gt;0,"✓",IF(COUNTIFS('AFA Rates'!$A$5:$A$1004,$A124,'AFA Rates'!$B$5:$B$1004,M$23)&gt;0,"Exp","")))</f>
        <v/>
      </c>
    </row>
    <row r="125">
      <c r="A125" s="78">
        <f>IFERROR(INDEX(Firms!$A$5:$A$1004,MATCH(102,Firms!$V$5:$V$1004,0)),"")</f>
        <v/>
      </c>
      <c r="B125" s="79">
        <f>IF($A125="","",INDEX(Firms!$B$5:$B$1004,MATCH(102,Firms!$V$5:$V$1004,0)))</f>
        <v/>
      </c>
      <c r="C125" s="79">
        <f>IF($A125="","",COUNTIFS('AFA Rates'!$A$5:$A$1004,$A125,'AFA Rates'!$O$5:$O$1004,"&lt;&gt;Expired"))</f>
        <v/>
      </c>
      <c r="D125" s="79">
        <f>IF(OR($A125="",D$23=""),"",IF(COUNTIFS('AFA Rates'!$A$5:$A$1004,$A125,'AFA Rates'!$B$5:$B$1004,D$23,'AFA Rates'!$O$5:$O$1004,"&lt;&gt;Expired")&gt;0,"✓",IF(COUNTIFS('AFA Rates'!$A$5:$A$1004,$A125,'AFA Rates'!$B$5:$B$1004,D$23)&gt;0,"Exp","")))</f>
        <v/>
      </c>
      <c r="E125" s="79">
        <f>IF(OR($A125="",E$23=""),"",IF(COUNTIFS('AFA Rates'!$A$5:$A$1004,$A125,'AFA Rates'!$B$5:$B$1004,E$23,'AFA Rates'!$O$5:$O$1004,"&lt;&gt;Expired")&gt;0,"✓",IF(COUNTIFS('AFA Rates'!$A$5:$A$1004,$A125,'AFA Rates'!$B$5:$B$1004,E$23)&gt;0,"Exp","")))</f>
        <v/>
      </c>
      <c r="F125" s="79">
        <f>IF(OR($A125="",F$23=""),"",IF(COUNTIFS('AFA Rates'!$A$5:$A$1004,$A125,'AFA Rates'!$B$5:$B$1004,F$23,'AFA Rates'!$O$5:$O$1004,"&lt;&gt;Expired")&gt;0,"✓",IF(COUNTIFS('AFA Rates'!$A$5:$A$1004,$A125,'AFA Rates'!$B$5:$B$1004,F$23)&gt;0,"Exp","")))</f>
        <v/>
      </c>
      <c r="G125" s="79">
        <f>IF(OR($A125="",G$23=""),"",IF(COUNTIFS('AFA Rates'!$A$5:$A$1004,$A125,'AFA Rates'!$B$5:$B$1004,G$23,'AFA Rates'!$O$5:$O$1004,"&lt;&gt;Expired")&gt;0,"✓",IF(COUNTIFS('AFA Rates'!$A$5:$A$1004,$A125,'AFA Rates'!$B$5:$B$1004,G$23)&gt;0,"Exp","")))</f>
        <v/>
      </c>
      <c r="H125" s="79">
        <f>IF(OR($A125="",H$23=""),"",IF(COUNTIFS('AFA Rates'!$A$5:$A$1004,$A125,'AFA Rates'!$B$5:$B$1004,H$23,'AFA Rates'!$O$5:$O$1004,"&lt;&gt;Expired")&gt;0,"✓",IF(COUNTIFS('AFA Rates'!$A$5:$A$1004,$A125,'AFA Rates'!$B$5:$B$1004,H$23)&gt;0,"Exp","")))</f>
        <v/>
      </c>
      <c r="I125" s="79">
        <f>IF(OR($A125="",I$23=""),"",IF(COUNTIFS('AFA Rates'!$A$5:$A$1004,$A125,'AFA Rates'!$B$5:$B$1004,I$23,'AFA Rates'!$O$5:$O$1004,"&lt;&gt;Expired")&gt;0,"✓",IF(COUNTIFS('AFA Rates'!$A$5:$A$1004,$A125,'AFA Rates'!$B$5:$B$1004,I$23)&gt;0,"Exp","")))</f>
        <v/>
      </c>
      <c r="J125" s="79">
        <f>IF(OR($A125="",J$23=""),"",IF(COUNTIFS('AFA Rates'!$A$5:$A$1004,$A125,'AFA Rates'!$B$5:$B$1004,J$23,'AFA Rates'!$O$5:$O$1004,"&lt;&gt;Expired")&gt;0,"✓",IF(COUNTIFS('AFA Rates'!$A$5:$A$1004,$A125,'AFA Rates'!$B$5:$B$1004,J$23)&gt;0,"Exp","")))</f>
        <v/>
      </c>
      <c r="K125" s="79">
        <f>IF(OR($A125="",K$23=""),"",IF(COUNTIFS('AFA Rates'!$A$5:$A$1004,$A125,'AFA Rates'!$B$5:$B$1004,K$23,'AFA Rates'!$O$5:$O$1004,"&lt;&gt;Expired")&gt;0,"✓",IF(COUNTIFS('AFA Rates'!$A$5:$A$1004,$A125,'AFA Rates'!$B$5:$B$1004,K$23)&gt;0,"Exp","")))</f>
        <v/>
      </c>
      <c r="L125" s="79">
        <f>IF(OR($A125="",L$23=""),"",IF(COUNTIFS('AFA Rates'!$A$5:$A$1004,$A125,'AFA Rates'!$B$5:$B$1004,L$23,'AFA Rates'!$O$5:$O$1004,"&lt;&gt;Expired")&gt;0,"✓",IF(COUNTIFS('AFA Rates'!$A$5:$A$1004,$A125,'AFA Rates'!$B$5:$B$1004,L$23)&gt;0,"Exp","")))</f>
        <v/>
      </c>
      <c r="M125" s="79">
        <f>IF(OR($A125="",M$23=""),"",IF(COUNTIFS('AFA Rates'!$A$5:$A$1004,$A125,'AFA Rates'!$B$5:$B$1004,M$23,'AFA Rates'!$O$5:$O$1004,"&lt;&gt;Expired")&gt;0,"✓",IF(COUNTIFS('AFA Rates'!$A$5:$A$1004,$A125,'AFA Rates'!$B$5:$B$1004,M$23)&gt;0,"Exp","")))</f>
        <v/>
      </c>
    </row>
    <row r="126">
      <c r="A126" s="78">
        <f>IFERROR(INDEX(Firms!$A$5:$A$1004,MATCH(103,Firms!$V$5:$V$1004,0)),"")</f>
        <v/>
      </c>
      <c r="B126" s="79">
        <f>IF($A126="","",INDEX(Firms!$B$5:$B$1004,MATCH(103,Firms!$V$5:$V$1004,0)))</f>
        <v/>
      </c>
      <c r="C126" s="79">
        <f>IF($A126="","",COUNTIFS('AFA Rates'!$A$5:$A$1004,$A126,'AFA Rates'!$O$5:$O$1004,"&lt;&gt;Expired"))</f>
        <v/>
      </c>
      <c r="D126" s="79">
        <f>IF(OR($A126="",D$23=""),"",IF(COUNTIFS('AFA Rates'!$A$5:$A$1004,$A126,'AFA Rates'!$B$5:$B$1004,D$23,'AFA Rates'!$O$5:$O$1004,"&lt;&gt;Expired")&gt;0,"✓",IF(COUNTIFS('AFA Rates'!$A$5:$A$1004,$A126,'AFA Rates'!$B$5:$B$1004,D$23)&gt;0,"Exp","")))</f>
        <v/>
      </c>
      <c r="E126" s="79">
        <f>IF(OR($A126="",E$23=""),"",IF(COUNTIFS('AFA Rates'!$A$5:$A$1004,$A126,'AFA Rates'!$B$5:$B$1004,E$23,'AFA Rates'!$O$5:$O$1004,"&lt;&gt;Expired")&gt;0,"✓",IF(COUNTIFS('AFA Rates'!$A$5:$A$1004,$A126,'AFA Rates'!$B$5:$B$1004,E$23)&gt;0,"Exp","")))</f>
        <v/>
      </c>
      <c r="F126" s="79">
        <f>IF(OR($A126="",F$23=""),"",IF(COUNTIFS('AFA Rates'!$A$5:$A$1004,$A126,'AFA Rates'!$B$5:$B$1004,F$23,'AFA Rates'!$O$5:$O$1004,"&lt;&gt;Expired")&gt;0,"✓",IF(COUNTIFS('AFA Rates'!$A$5:$A$1004,$A126,'AFA Rates'!$B$5:$B$1004,F$23)&gt;0,"Exp","")))</f>
        <v/>
      </c>
      <c r="G126" s="79">
        <f>IF(OR($A126="",G$23=""),"",IF(COUNTIFS('AFA Rates'!$A$5:$A$1004,$A126,'AFA Rates'!$B$5:$B$1004,G$23,'AFA Rates'!$O$5:$O$1004,"&lt;&gt;Expired")&gt;0,"✓",IF(COUNTIFS('AFA Rates'!$A$5:$A$1004,$A126,'AFA Rates'!$B$5:$B$1004,G$23)&gt;0,"Exp","")))</f>
        <v/>
      </c>
      <c r="H126" s="79">
        <f>IF(OR($A126="",H$23=""),"",IF(COUNTIFS('AFA Rates'!$A$5:$A$1004,$A126,'AFA Rates'!$B$5:$B$1004,H$23,'AFA Rates'!$O$5:$O$1004,"&lt;&gt;Expired")&gt;0,"✓",IF(COUNTIFS('AFA Rates'!$A$5:$A$1004,$A126,'AFA Rates'!$B$5:$B$1004,H$23)&gt;0,"Exp","")))</f>
        <v/>
      </c>
      <c r="I126" s="79">
        <f>IF(OR($A126="",I$23=""),"",IF(COUNTIFS('AFA Rates'!$A$5:$A$1004,$A126,'AFA Rates'!$B$5:$B$1004,I$23,'AFA Rates'!$O$5:$O$1004,"&lt;&gt;Expired")&gt;0,"✓",IF(COUNTIFS('AFA Rates'!$A$5:$A$1004,$A126,'AFA Rates'!$B$5:$B$1004,I$23)&gt;0,"Exp","")))</f>
        <v/>
      </c>
      <c r="J126" s="79">
        <f>IF(OR($A126="",J$23=""),"",IF(COUNTIFS('AFA Rates'!$A$5:$A$1004,$A126,'AFA Rates'!$B$5:$B$1004,J$23,'AFA Rates'!$O$5:$O$1004,"&lt;&gt;Expired")&gt;0,"✓",IF(COUNTIFS('AFA Rates'!$A$5:$A$1004,$A126,'AFA Rates'!$B$5:$B$1004,J$23)&gt;0,"Exp","")))</f>
        <v/>
      </c>
      <c r="K126" s="79">
        <f>IF(OR($A126="",K$23=""),"",IF(COUNTIFS('AFA Rates'!$A$5:$A$1004,$A126,'AFA Rates'!$B$5:$B$1004,K$23,'AFA Rates'!$O$5:$O$1004,"&lt;&gt;Expired")&gt;0,"✓",IF(COUNTIFS('AFA Rates'!$A$5:$A$1004,$A126,'AFA Rates'!$B$5:$B$1004,K$23)&gt;0,"Exp","")))</f>
        <v/>
      </c>
      <c r="L126" s="79">
        <f>IF(OR($A126="",L$23=""),"",IF(COUNTIFS('AFA Rates'!$A$5:$A$1004,$A126,'AFA Rates'!$B$5:$B$1004,L$23,'AFA Rates'!$O$5:$O$1004,"&lt;&gt;Expired")&gt;0,"✓",IF(COUNTIFS('AFA Rates'!$A$5:$A$1004,$A126,'AFA Rates'!$B$5:$B$1004,L$23)&gt;0,"Exp","")))</f>
        <v/>
      </c>
      <c r="M126" s="79">
        <f>IF(OR($A126="",M$23=""),"",IF(COUNTIFS('AFA Rates'!$A$5:$A$1004,$A126,'AFA Rates'!$B$5:$B$1004,M$23,'AFA Rates'!$O$5:$O$1004,"&lt;&gt;Expired")&gt;0,"✓",IF(COUNTIFS('AFA Rates'!$A$5:$A$1004,$A126,'AFA Rates'!$B$5:$B$1004,M$23)&gt;0,"Exp","")))</f>
        <v/>
      </c>
    </row>
    <row r="127">
      <c r="A127" s="78">
        <f>IFERROR(INDEX(Firms!$A$5:$A$1004,MATCH(104,Firms!$V$5:$V$1004,0)),"")</f>
        <v/>
      </c>
      <c r="B127" s="79">
        <f>IF($A127="","",INDEX(Firms!$B$5:$B$1004,MATCH(104,Firms!$V$5:$V$1004,0)))</f>
        <v/>
      </c>
      <c r="C127" s="79">
        <f>IF($A127="","",COUNTIFS('AFA Rates'!$A$5:$A$1004,$A127,'AFA Rates'!$O$5:$O$1004,"&lt;&gt;Expired"))</f>
        <v/>
      </c>
      <c r="D127" s="79">
        <f>IF(OR($A127="",D$23=""),"",IF(COUNTIFS('AFA Rates'!$A$5:$A$1004,$A127,'AFA Rates'!$B$5:$B$1004,D$23,'AFA Rates'!$O$5:$O$1004,"&lt;&gt;Expired")&gt;0,"✓",IF(COUNTIFS('AFA Rates'!$A$5:$A$1004,$A127,'AFA Rates'!$B$5:$B$1004,D$23)&gt;0,"Exp","")))</f>
        <v/>
      </c>
      <c r="E127" s="79">
        <f>IF(OR($A127="",E$23=""),"",IF(COUNTIFS('AFA Rates'!$A$5:$A$1004,$A127,'AFA Rates'!$B$5:$B$1004,E$23,'AFA Rates'!$O$5:$O$1004,"&lt;&gt;Expired")&gt;0,"✓",IF(COUNTIFS('AFA Rates'!$A$5:$A$1004,$A127,'AFA Rates'!$B$5:$B$1004,E$23)&gt;0,"Exp","")))</f>
        <v/>
      </c>
      <c r="F127" s="79">
        <f>IF(OR($A127="",F$23=""),"",IF(COUNTIFS('AFA Rates'!$A$5:$A$1004,$A127,'AFA Rates'!$B$5:$B$1004,F$23,'AFA Rates'!$O$5:$O$1004,"&lt;&gt;Expired")&gt;0,"✓",IF(COUNTIFS('AFA Rates'!$A$5:$A$1004,$A127,'AFA Rates'!$B$5:$B$1004,F$23)&gt;0,"Exp","")))</f>
        <v/>
      </c>
      <c r="G127" s="79">
        <f>IF(OR($A127="",G$23=""),"",IF(COUNTIFS('AFA Rates'!$A$5:$A$1004,$A127,'AFA Rates'!$B$5:$B$1004,G$23,'AFA Rates'!$O$5:$O$1004,"&lt;&gt;Expired")&gt;0,"✓",IF(COUNTIFS('AFA Rates'!$A$5:$A$1004,$A127,'AFA Rates'!$B$5:$B$1004,G$23)&gt;0,"Exp","")))</f>
        <v/>
      </c>
      <c r="H127" s="79">
        <f>IF(OR($A127="",H$23=""),"",IF(COUNTIFS('AFA Rates'!$A$5:$A$1004,$A127,'AFA Rates'!$B$5:$B$1004,H$23,'AFA Rates'!$O$5:$O$1004,"&lt;&gt;Expired")&gt;0,"✓",IF(COUNTIFS('AFA Rates'!$A$5:$A$1004,$A127,'AFA Rates'!$B$5:$B$1004,H$23)&gt;0,"Exp","")))</f>
        <v/>
      </c>
      <c r="I127" s="79">
        <f>IF(OR($A127="",I$23=""),"",IF(COUNTIFS('AFA Rates'!$A$5:$A$1004,$A127,'AFA Rates'!$B$5:$B$1004,I$23,'AFA Rates'!$O$5:$O$1004,"&lt;&gt;Expired")&gt;0,"✓",IF(COUNTIFS('AFA Rates'!$A$5:$A$1004,$A127,'AFA Rates'!$B$5:$B$1004,I$23)&gt;0,"Exp","")))</f>
        <v/>
      </c>
      <c r="J127" s="79">
        <f>IF(OR($A127="",J$23=""),"",IF(COUNTIFS('AFA Rates'!$A$5:$A$1004,$A127,'AFA Rates'!$B$5:$B$1004,J$23,'AFA Rates'!$O$5:$O$1004,"&lt;&gt;Expired")&gt;0,"✓",IF(COUNTIFS('AFA Rates'!$A$5:$A$1004,$A127,'AFA Rates'!$B$5:$B$1004,J$23)&gt;0,"Exp","")))</f>
        <v/>
      </c>
      <c r="K127" s="79">
        <f>IF(OR($A127="",K$23=""),"",IF(COUNTIFS('AFA Rates'!$A$5:$A$1004,$A127,'AFA Rates'!$B$5:$B$1004,K$23,'AFA Rates'!$O$5:$O$1004,"&lt;&gt;Expired")&gt;0,"✓",IF(COUNTIFS('AFA Rates'!$A$5:$A$1004,$A127,'AFA Rates'!$B$5:$B$1004,K$23)&gt;0,"Exp","")))</f>
        <v/>
      </c>
      <c r="L127" s="79">
        <f>IF(OR($A127="",L$23=""),"",IF(COUNTIFS('AFA Rates'!$A$5:$A$1004,$A127,'AFA Rates'!$B$5:$B$1004,L$23,'AFA Rates'!$O$5:$O$1004,"&lt;&gt;Expired")&gt;0,"✓",IF(COUNTIFS('AFA Rates'!$A$5:$A$1004,$A127,'AFA Rates'!$B$5:$B$1004,L$23)&gt;0,"Exp","")))</f>
        <v/>
      </c>
      <c r="M127" s="79">
        <f>IF(OR($A127="",M$23=""),"",IF(COUNTIFS('AFA Rates'!$A$5:$A$1004,$A127,'AFA Rates'!$B$5:$B$1004,M$23,'AFA Rates'!$O$5:$O$1004,"&lt;&gt;Expired")&gt;0,"✓",IF(COUNTIFS('AFA Rates'!$A$5:$A$1004,$A127,'AFA Rates'!$B$5:$B$1004,M$23)&gt;0,"Exp","")))</f>
        <v/>
      </c>
    </row>
    <row r="128">
      <c r="A128" s="78">
        <f>IFERROR(INDEX(Firms!$A$5:$A$1004,MATCH(105,Firms!$V$5:$V$1004,0)),"")</f>
        <v/>
      </c>
      <c r="B128" s="79">
        <f>IF($A128="","",INDEX(Firms!$B$5:$B$1004,MATCH(105,Firms!$V$5:$V$1004,0)))</f>
        <v/>
      </c>
      <c r="C128" s="79">
        <f>IF($A128="","",COUNTIFS('AFA Rates'!$A$5:$A$1004,$A128,'AFA Rates'!$O$5:$O$1004,"&lt;&gt;Expired"))</f>
        <v/>
      </c>
      <c r="D128" s="79">
        <f>IF(OR($A128="",D$23=""),"",IF(COUNTIFS('AFA Rates'!$A$5:$A$1004,$A128,'AFA Rates'!$B$5:$B$1004,D$23,'AFA Rates'!$O$5:$O$1004,"&lt;&gt;Expired")&gt;0,"✓",IF(COUNTIFS('AFA Rates'!$A$5:$A$1004,$A128,'AFA Rates'!$B$5:$B$1004,D$23)&gt;0,"Exp","")))</f>
        <v/>
      </c>
      <c r="E128" s="79">
        <f>IF(OR($A128="",E$23=""),"",IF(COUNTIFS('AFA Rates'!$A$5:$A$1004,$A128,'AFA Rates'!$B$5:$B$1004,E$23,'AFA Rates'!$O$5:$O$1004,"&lt;&gt;Expired")&gt;0,"✓",IF(COUNTIFS('AFA Rates'!$A$5:$A$1004,$A128,'AFA Rates'!$B$5:$B$1004,E$23)&gt;0,"Exp","")))</f>
        <v/>
      </c>
      <c r="F128" s="79">
        <f>IF(OR($A128="",F$23=""),"",IF(COUNTIFS('AFA Rates'!$A$5:$A$1004,$A128,'AFA Rates'!$B$5:$B$1004,F$23,'AFA Rates'!$O$5:$O$1004,"&lt;&gt;Expired")&gt;0,"✓",IF(COUNTIFS('AFA Rates'!$A$5:$A$1004,$A128,'AFA Rates'!$B$5:$B$1004,F$23)&gt;0,"Exp","")))</f>
        <v/>
      </c>
      <c r="G128" s="79">
        <f>IF(OR($A128="",G$23=""),"",IF(COUNTIFS('AFA Rates'!$A$5:$A$1004,$A128,'AFA Rates'!$B$5:$B$1004,G$23,'AFA Rates'!$O$5:$O$1004,"&lt;&gt;Expired")&gt;0,"✓",IF(COUNTIFS('AFA Rates'!$A$5:$A$1004,$A128,'AFA Rates'!$B$5:$B$1004,G$23)&gt;0,"Exp","")))</f>
        <v/>
      </c>
      <c r="H128" s="79">
        <f>IF(OR($A128="",H$23=""),"",IF(COUNTIFS('AFA Rates'!$A$5:$A$1004,$A128,'AFA Rates'!$B$5:$B$1004,H$23,'AFA Rates'!$O$5:$O$1004,"&lt;&gt;Expired")&gt;0,"✓",IF(COUNTIFS('AFA Rates'!$A$5:$A$1004,$A128,'AFA Rates'!$B$5:$B$1004,H$23)&gt;0,"Exp","")))</f>
        <v/>
      </c>
      <c r="I128" s="79">
        <f>IF(OR($A128="",I$23=""),"",IF(COUNTIFS('AFA Rates'!$A$5:$A$1004,$A128,'AFA Rates'!$B$5:$B$1004,I$23,'AFA Rates'!$O$5:$O$1004,"&lt;&gt;Expired")&gt;0,"✓",IF(COUNTIFS('AFA Rates'!$A$5:$A$1004,$A128,'AFA Rates'!$B$5:$B$1004,I$23)&gt;0,"Exp","")))</f>
        <v/>
      </c>
      <c r="J128" s="79">
        <f>IF(OR($A128="",J$23=""),"",IF(COUNTIFS('AFA Rates'!$A$5:$A$1004,$A128,'AFA Rates'!$B$5:$B$1004,J$23,'AFA Rates'!$O$5:$O$1004,"&lt;&gt;Expired")&gt;0,"✓",IF(COUNTIFS('AFA Rates'!$A$5:$A$1004,$A128,'AFA Rates'!$B$5:$B$1004,J$23)&gt;0,"Exp","")))</f>
        <v/>
      </c>
      <c r="K128" s="79">
        <f>IF(OR($A128="",K$23=""),"",IF(COUNTIFS('AFA Rates'!$A$5:$A$1004,$A128,'AFA Rates'!$B$5:$B$1004,K$23,'AFA Rates'!$O$5:$O$1004,"&lt;&gt;Expired")&gt;0,"✓",IF(COUNTIFS('AFA Rates'!$A$5:$A$1004,$A128,'AFA Rates'!$B$5:$B$1004,K$23)&gt;0,"Exp","")))</f>
        <v/>
      </c>
      <c r="L128" s="79">
        <f>IF(OR($A128="",L$23=""),"",IF(COUNTIFS('AFA Rates'!$A$5:$A$1004,$A128,'AFA Rates'!$B$5:$B$1004,L$23,'AFA Rates'!$O$5:$O$1004,"&lt;&gt;Expired")&gt;0,"✓",IF(COUNTIFS('AFA Rates'!$A$5:$A$1004,$A128,'AFA Rates'!$B$5:$B$1004,L$23)&gt;0,"Exp","")))</f>
        <v/>
      </c>
      <c r="M128" s="79">
        <f>IF(OR($A128="",M$23=""),"",IF(COUNTIFS('AFA Rates'!$A$5:$A$1004,$A128,'AFA Rates'!$B$5:$B$1004,M$23,'AFA Rates'!$O$5:$O$1004,"&lt;&gt;Expired")&gt;0,"✓",IF(COUNTIFS('AFA Rates'!$A$5:$A$1004,$A128,'AFA Rates'!$B$5:$B$1004,M$23)&gt;0,"Exp","")))</f>
        <v/>
      </c>
    </row>
    <row r="129">
      <c r="A129" s="78">
        <f>IFERROR(INDEX(Firms!$A$5:$A$1004,MATCH(106,Firms!$V$5:$V$1004,0)),"")</f>
        <v/>
      </c>
      <c r="B129" s="79">
        <f>IF($A129="","",INDEX(Firms!$B$5:$B$1004,MATCH(106,Firms!$V$5:$V$1004,0)))</f>
        <v/>
      </c>
      <c r="C129" s="79">
        <f>IF($A129="","",COUNTIFS('AFA Rates'!$A$5:$A$1004,$A129,'AFA Rates'!$O$5:$O$1004,"&lt;&gt;Expired"))</f>
        <v/>
      </c>
      <c r="D129" s="79">
        <f>IF(OR($A129="",D$23=""),"",IF(COUNTIFS('AFA Rates'!$A$5:$A$1004,$A129,'AFA Rates'!$B$5:$B$1004,D$23,'AFA Rates'!$O$5:$O$1004,"&lt;&gt;Expired")&gt;0,"✓",IF(COUNTIFS('AFA Rates'!$A$5:$A$1004,$A129,'AFA Rates'!$B$5:$B$1004,D$23)&gt;0,"Exp","")))</f>
        <v/>
      </c>
      <c r="E129" s="79">
        <f>IF(OR($A129="",E$23=""),"",IF(COUNTIFS('AFA Rates'!$A$5:$A$1004,$A129,'AFA Rates'!$B$5:$B$1004,E$23,'AFA Rates'!$O$5:$O$1004,"&lt;&gt;Expired")&gt;0,"✓",IF(COUNTIFS('AFA Rates'!$A$5:$A$1004,$A129,'AFA Rates'!$B$5:$B$1004,E$23)&gt;0,"Exp","")))</f>
        <v/>
      </c>
      <c r="F129" s="79">
        <f>IF(OR($A129="",F$23=""),"",IF(COUNTIFS('AFA Rates'!$A$5:$A$1004,$A129,'AFA Rates'!$B$5:$B$1004,F$23,'AFA Rates'!$O$5:$O$1004,"&lt;&gt;Expired")&gt;0,"✓",IF(COUNTIFS('AFA Rates'!$A$5:$A$1004,$A129,'AFA Rates'!$B$5:$B$1004,F$23)&gt;0,"Exp","")))</f>
        <v/>
      </c>
      <c r="G129" s="79">
        <f>IF(OR($A129="",G$23=""),"",IF(COUNTIFS('AFA Rates'!$A$5:$A$1004,$A129,'AFA Rates'!$B$5:$B$1004,G$23,'AFA Rates'!$O$5:$O$1004,"&lt;&gt;Expired")&gt;0,"✓",IF(COUNTIFS('AFA Rates'!$A$5:$A$1004,$A129,'AFA Rates'!$B$5:$B$1004,G$23)&gt;0,"Exp","")))</f>
        <v/>
      </c>
      <c r="H129" s="79">
        <f>IF(OR($A129="",H$23=""),"",IF(COUNTIFS('AFA Rates'!$A$5:$A$1004,$A129,'AFA Rates'!$B$5:$B$1004,H$23,'AFA Rates'!$O$5:$O$1004,"&lt;&gt;Expired")&gt;0,"✓",IF(COUNTIFS('AFA Rates'!$A$5:$A$1004,$A129,'AFA Rates'!$B$5:$B$1004,H$23)&gt;0,"Exp","")))</f>
        <v/>
      </c>
      <c r="I129" s="79">
        <f>IF(OR($A129="",I$23=""),"",IF(COUNTIFS('AFA Rates'!$A$5:$A$1004,$A129,'AFA Rates'!$B$5:$B$1004,I$23,'AFA Rates'!$O$5:$O$1004,"&lt;&gt;Expired")&gt;0,"✓",IF(COUNTIFS('AFA Rates'!$A$5:$A$1004,$A129,'AFA Rates'!$B$5:$B$1004,I$23)&gt;0,"Exp","")))</f>
        <v/>
      </c>
      <c r="J129" s="79">
        <f>IF(OR($A129="",J$23=""),"",IF(COUNTIFS('AFA Rates'!$A$5:$A$1004,$A129,'AFA Rates'!$B$5:$B$1004,J$23,'AFA Rates'!$O$5:$O$1004,"&lt;&gt;Expired")&gt;0,"✓",IF(COUNTIFS('AFA Rates'!$A$5:$A$1004,$A129,'AFA Rates'!$B$5:$B$1004,J$23)&gt;0,"Exp","")))</f>
        <v/>
      </c>
      <c r="K129" s="79">
        <f>IF(OR($A129="",K$23=""),"",IF(COUNTIFS('AFA Rates'!$A$5:$A$1004,$A129,'AFA Rates'!$B$5:$B$1004,K$23,'AFA Rates'!$O$5:$O$1004,"&lt;&gt;Expired")&gt;0,"✓",IF(COUNTIFS('AFA Rates'!$A$5:$A$1004,$A129,'AFA Rates'!$B$5:$B$1004,K$23)&gt;0,"Exp","")))</f>
        <v/>
      </c>
      <c r="L129" s="79">
        <f>IF(OR($A129="",L$23=""),"",IF(COUNTIFS('AFA Rates'!$A$5:$A$1004,$A129,'AFA Rates'!$B$5:$B$1004,L$23,'AFA Rates'!$O$5:$O$1004,"&lt;&gt;Expired")&gt;0,"✓",IF(COUNTIFS('AFA Rates'!$A$5:$A$1004,$A129,'AFA Rates'!$B$5:$B$1004,L$23)&gt;0,"Exp","")))</f>
        <v/>
      </c>
      <c r="M129" s="79">
        <f>IF(OR($A129="",M$23=""),"",IF(COUNTIFS('AFA Rates'!$A$5:$A$1004,$A129,'AFA Rates'!$B$5:$B$1004,M$23,'AFA Rates'!$O$5:$O$1004,"&lt;&gt;Expired")&gt;0,"✓",IF(COUNTIFS('AFA Rates'!$A$5:$A$1004,$A129,'AFA Rates'!$B$5:$B$1004,M$23)&gt;0,"Exp","")))</f>
        <v/>
      </c>
    </row>
    <row r="130">
      <c r="A130" s="78">
        <f>IFERROR(INDEX(Firms!$A$5:$A$1004,MATCH(107,Firms!$V$5:$V$1004,0)),"")</f>
        <v/>
      </c>
      <c r="B130" s="79">
        <f>IF($A130="","",INDEX(Firms!$B$5:$B$1004,MATCH(107,Firms!$V$5:$V$1004,0)))</f>
        <v/>
      </c>
      <c r="C130" s="79">
        <f>IF($A130="","",COUNTIFS('AFA Rates'!$A$5:$A$1004,$A130,'AFA Rates'!$O$5:$O$1004,"&lt;&gt;Expired"))</f>
        <v/>
      </c>
      <c r="D130" s="79">
        <f>IF(OR($A130="",D$23=""),"",IF(COUNTIFS('AFA Rates'!$A$5:$A$1004,$A130,'AFA Rates'!$B$5:$B$1004,D$23,'AFA Rates'!$O$5:$O$1004,"&lt;&gt;Expired")&gt;0,"✓",IF(COUNTIFS('AFA Rates'!$A$5:$A$1004,$A130,'AFA Rates'!$B$5:$B$1004,D$23)&gt;0,"Exp","")))</f>
        <v/>
      </c>
      <c r="E130" s="79">
        <f>IF(OR($A130="",E$23=""),"",IF(COUNTIFS('AFA Rates'!$A$5:$A$1004,$A130,'AFA Rates'!$B$5:$B$1004,E$23,'AFA Rates'!$O$5:$O$1004,"&lt;&gt;Expired")&gt;0,"✓",IF(COUNTIFS('AFA Rates'!$A$5:$A$1004,$A130,'AFA Rates'!$B$5:$B$1004,E$23)&gt;0,"Exp","")))</f>
        <v/>
      </c>
      <c r="F130" s="79">
        <f>IF(OR($A130="",F$23=""),"",IF(COUNTIFS('AFA Rates'!$A$5:$A$1004,$A130,'AFA Rates'!$B$5:$B$1004,F$23,'AFA Rates'!$O$5:$O$1004,"&lt;&gt;Expired")&gt;0,"✓",IF(COUNTIFS('AFA Rates'!$A$5:$A$1004,$A130,'AFA Rates'!$B$5:$B$1004,F$23)&gt;0,"Exp","")))</f>
        <v/>
      </c>
      <c r="G130" s="79">
        <f>IF(OR($A130="",G$23=""),"",IF(COUNTIFS('AFA Rates'!$A$5:$A$1004,$A130,'AFA Rates'!$B$5:$B$1004,G$23,'AFA Rates'!$O$5:$O$1004,"&lt;&gt;Expired")&gt;0,"✓",IF(COUNTIFS('AFA Rates'!$A$5:$A$1004,$A130,'AFA Rates'!$B$5:$B$1004,G$23)&gt;0,"Exp","")))</f>
        <v/>
      </c>
      <c r="H130" s="79">
        <f>IF(OR($A130="",H$23=""),"",IF(COUNTIFS('AFA Rates'!$A$5:$A$1004,$A130,'AFA Rates'!$B$5:$B$1004,H$23,'AFA Rates'!$O$5:$O$1004,"&lt;&gt;Expired")&gt;0,"✓",IF(COUNTIFS('AFA Rates'!$A$5:$A$1004,$A130,'AFA Rates'!$B$5:$B$1004,H$23)&gt;0,"Exp","")))</f>
        <v/>
      </c>
      <c r="I130" s="79">
        <f>IF(OR($A130="",I$23=""),"",IF(COUNTIFS('AFA Rates'!$A$5:$A$1004,$A130,'AFA Rates'!$B$5:$B$1004,I$23,'AFA Rates'!$O$5:$O$1004,"&lt;&gt;Expired")&gt;0,"✓",IF(COUNTIFS('AFA Rates'!$A$5:$A$1004,$A130,'AFA Rates'!$B$5:$B$1004,I$23)&gt;0,"Exp","")))</f>
        <v/>
      </c>
      <c r="J130" s="79">
        <f>IF(OR($A130="",J$23=""),"",IF(COUNTIFS('AFA Rates'!$A$5:$A$1004,$A130,'AFA Rates'!$B$5:$B$1004,J$23,'AFA Rates'!$O$5:$O$1004,"&lt;&gt;Expired")&gt;0,"✓",IF(COUNTIFS('AFA Rates'!$A$5:$A$1004,$A130,'AFA Rates'!$B$5:$B$1004,J$23)&gt;0,"Exp","")))</f>
        <v/>
      </c>
      <c r="K130" s="79">
        <f>IF(OR($A130="",K$23=""),"",IF(COUNTIFS('AFA Rates'!$A$5:$A$1004,$A130,'AFA Rates'!$B$5:$B$1004,K$23,'AFA Rates'!$O$5:$O$1004,"&lt;&gt;Expired")&gt;0,"✓",IF(COUNTIFS('AFA Rates'!$A$5:$A$1004,$A130,'AFA Rates'!$B$5:$B$1004,K$23)&gt;0,"Exp","")))</f>
        <v/>
      </c>
      <c r="L130" s="79">
        <f>IF(OR($A130="",L$23=""),"",IF(COUNTIFS('AFA Rates'!$A$5:$A$1004,$A130,'AFA Rates'!$B$5:$B$1004,L$23,'AFA Rates'!$O$5:$O$1004,"&lt;&gt;Expired")&gt;0,"✓",IF(COUNTIFS('AFA Rates'!$A$5:$A$1004,$A130,'AFA Rates'!$B$5:$B$1004,L$23)&gt;0,"Exp","")))</f>
        <v/>
      </c>
      <c r="M130" s="79">
        <f>IF(OR($A130="",M$23=""),"",IF(COUNTIFS('AFA Rates'!$A$5:$A$1004,$A130,'AFA Rates'!$B$5:$B$1004,M$23,'AFA Rates'!$O$5:$O$1004,"&lt;&gt;Expired")&gt;0,"✓",IF(COUNTIFS('AFA Rates'!$A$5:$A$1004,$A130,'AFA Rates'!$B$5:$B$1004,M$23)&gt;0,"Exp","")))</f>
        <v/>
      </c>
    </row>
    <row r="131">
      <c r="A131" s="78">
        <f>IFERROR(INDEX(Firms!$A$5:$A$1004,MATCH(108,Firms!$V$5:$V$1004,0)),"")</f>
        <v/>
      </c>
      <c r="B131" s="79">
        <f>IF($A131="","",INDEX(Firms!$B$5:$B$1004,MATCH(108,Firms!$V$5:$V$1004,0)))</f>
        <v/>
      </c>
      <c r="C131" s="79">
        <f>IF($A131="","",COUNTIFS('AFA Rates'!$A$5:$A$1004,$A131,'AFA Rates'!$O$5:$O$1004,"&lt;&gt;Expired"))</f>
        <v/>
      </c>
      <c r="D131" s="79">
        <f>IF(OR($A131="",D$23=""),"",IF(COUNTIFS('AFA Rates'!$A$5:$A$1004,$A131,'AFA Rates'!$B$5:$B$1004,D$23,'AFA Rates'!$O$5:$O$1004,"&lt;&gt;Expired")&gt;0,"✓",IF(COUNTIFS('AFA Rates'!$A$5:$A$1004,$A131,'AFA Rates'!$B$5:$B$1004,D$23)&gt;0,"Exp","")))</f>
        <v/>
      </c>
      <c r="E131" s="79">
        <f>IF(OR($A131="",E$23=""),"",IF(COUNTIFS('AFA Rates'!$A$5:$A$1004,$A131,'AFA Rates'!$B$5:$B$1004,E$23,'AFA Rates'!$O$5:$O$1004,"&lt;&gt;Expired")&gt;0,"✓",IF(COUNTIFS('AFA Rates'!$A$5:$A$1004,$A131,'AFA Rates'!$B$5:$B$1004,E$23)&gt;0,"Exp","")))</f>
        <v/>
      </c>
      <c r="F131" s="79">
        <f>IF(OR($A131="",F$23=""),"",IF(COUNTIFS('AFA Rates'!$A$5:$A$1004,$A131,'AFA Rates'!$B$5:$B$1004,F$23,'AFA Rates'!$O$5:$O$1004,"&lt;&gt;Expired")&gt;0,"✓",IF(COUNTIFS('AFA Rates'!$A$5:$A$1004,$A131,'AFA Rates'!$B$5:$B$1004,F$23)&gt;0,"Exp","")))</f>
        <v/>
      </c>
      <c r="G131" s="79">
        <f>IF(OR($A131="",G$23=""),"",IF(COUNTIFS('AFA Rates'!$A$5:$A$1004,$A131,'AFA Rates'!$B$5:$B$1004,G$23,'AFA Rates'!$O$5:$O$1004,"&lt;&gt;Expired")&gt;0,"✓",IF(COUNTIFS('AFA Rates'!$A$5:$A$1004,$A131,'AFA Rates'!$B$5:$B$1004,G$23)&gt;0,"Exp","")))</f>
        <v/>
      </c>
      <c r="H131" s="79">
        <f>IF(OR($A131="",H$23=""),"",IF(COUNTIFS('AFA Rates'!$A$5:$A$1004,$A131,'AFA Rates'!$B$5:$B$1004,H$23,'AFA Rates'!$O$5:$O$1004,"&lt;&gt;Expired")&gt;0,"✓",IF(COUNTIFS('AFA Rates'!$A$5:$A$1004,$A131,'AFA Rates'!$B$5:$B$1004,H$23)&gt;0,"Exp","")))</f>
        <v/>
      </c>
      <c r="I131" s="79">
        <f>IF(OR($A131="",I$23=""),"",IF(COUNTIFS('AFA Rates'!$A$5:$A$1004,$A131,'AFA Rates'!$B$5:$B$1004,I$23,'AFA Rates'!$O$5:$O$1004,"&lt;&gt;Expired")&gt;0,"✓",IF(COUNTIFS('AFA Rates'!$A$5:$A$1004,$A131,'AFA Rates'!$B$5:$B$1004,I$23)&gt;0,"Exp","")))</f>
        <v/>
      </c>
      <c r="J131" s="79">
        <f>IF(OR($A131="",J$23=""),"",IF(COUNTIFS('AFA Rates'!$A$5:$A$1004,$A131,'AFA Rates'!$B$5:$B$1004,J$23,'AFA Rates'!$O$5:$O$1004,"&lt;&gt;Expired")&gt;0,"✓",IF(COUNTIFS('AFA Rates'!$A$5:$A$1004,$A131,'AFA Rates'!$B$5:$B$1004,J$23)&gt;0,"Exp","")))</f>
        <v/>
      </c>
      <c r="K131" s="79">
        <f>IF(OR($A131="",K$23=""),"",IF(COUNTIFS('AFA Rates'!$A$5:$A$1004,$A131,'AFA Rates'!$B$5:$B$1004,K$23,'AFA Rates'!$O$5:$O$1004,"&lt;&gt;Expired")&gt;0,"✓",IF(COUNTIFS('AFA Rates'!$A$5:$A$1004,$A131,'AFA Rates'!$B$5:$B$1004,K$23)&gt;0,"Exp","")))</f>
        <v/>
      </c>
      <c r="L131" s="79">
        <f>IF(OR($A131="",L$23=""),"",IF(COUNTIFS('AFA Rates'!$A$5:$A$1004,$A131,'AFA Rates'!$B$5:$B$1004,L$23,'AFA Rates'!$O$5:$O$1004,"&lt;&gt;Expired")&gt;0,"✓",IF(COUNTIFS('AFA Rates'!$A$5:$A$1004,$A131,'AFA Rates'!$B$5:$B$1004,L$23)&gt;0,"Exp","")))</f>
        <v/>
      </c>
      <c r="M131" s="79">
        <f>IF(OR($A131="",M$23=""),"",IF(COUNTIFS('AFA Rates'!$A$5:$A$1004,$A131,'AFA Rates'!$B$5:$B$1004,M$23,'AFA Rates'!$O$5:$O$1004,"&lt;&gt;Expired")&gt;0,"✓",IF(COUNTIFS('AFA Rates'!$A$5:$A$1004,$A131,'AFA Rates'!$B$5:$B$1004,M$23)&gt;0,"Exp","")))</f>
        <v/>
      </c>
    </row>
    <row r="132">
      <c r="A132" s="78">
        <f>IFERROR(INDEX(Firms!$A$5:$A$1004,MATCH(109,Firms!$V$5:$V$1004,0)),"")</f>
        <v/>
      </c>
      <c r="B132" s="79">
        <f>IF($A132="","",INDEX(Firms!$B$5:$B$1004,MATCH(109,Firms!$V$5:$V$1004,0)))</f>
        <v/>
      </c>
      <c r="C132" s="79">
        <f>IF($A132="","",COUNTIFS('AFA Rates'!$A$5:$A$1004,$A132,'AFA Rates'!$O$5:$O$1004,"&lt;&gt;Expired"))</f>
        <v/>
      </c>
      <c r="D132" s="79">
        <f>IF(OR($A132="",D$23=""),"",IF(COUNTIFS('AFA Rates'!$A$5:$A$1004,$A132,'AFA Rates'!$B$5:$B$1004,D$23,'AFA Rates'!$O$5:$O$1004,"&lt;&gt;Expired")&gt;0,"✓",IF(COUNTIFS('AFA Rates'!$A$5:$A$1004,$A132,'AFA Rates'!$B$5:$B$1004,D$23)&gt;0,"Exp","")))</f>
        <v/>
      </c>
      <c r="E132" s="79">
        <f>IF(OR($A132="",E$23=""),"",IF(COUNTIFS('AFA Rates'!$A$5:$A$1004,$A132,'AFA Rates'!$B$5:$B$1004,E$23,'AFA Rates'!$O$5:$O$1004,"&lt;&gt;Expired")&gt;0,"✓",IF(COUNTIFS('AFA Rates'!$A$5:$A$1004,$A132,'AFA Rates'!$B$5:$B$1004,E$23)&gt;0,"Exp","")))</f>
        <v/>
      </c>
      <c r="F132" s="79">
        <f>IF(OR($A132="",F$23=""),"",IF(COUNTIFS('AFA Rates'!$A$5:$A$1004,$A132,'AFA Rates'!$B$5:$B$1004,F$23,'AFA Rates'!$O$5:$O$1004,"&lt;&gt;Expired")&gt;0,"✓",IF(COUNTIFS('AFA Rates'!$A$5:$A$1004,$A132,'AFA Rates'!$B$5:$B$1004,F$23)&gt;0,"Exp","")))</f>
        <v/>
      </c>
      <c r="G132" s="79">
        <f>IF(OR($A132="",G$23=""),"",IF(COUNTIFS('AFA Rates'!$A$5:$A$1004,$A132,'AFA Rates'!$B$5:$B$1004,G$23,'AFA Rates'!$O$5:$O$1004,"&lt;&gt;Expired")&gt;0,"✓",IF(COUNTIFS('AFA Rates'!$A$5:$A$1004,$A132,'AFA Rates'!$B$5:$B$1004,G$23)&gt;0,"Exp","")))</f>
        <v/>
      </c>
      <c r="H132" s="79">
        <f>IF(OR($A132="",H$23=""),"",IF(COUNTIFS('AFA Rates'!$A$5:$A$1004,$A132,'AFA Rates'!$B$5:$B$1004,H$23,'AFA Rates'!$O$5:$O$1004,"&lt;&gt;Expired")&gt;0,"✓",IF(COUNTIFS('AFA Rates'!$A$5:$A$1004,$A132,'AFA Rates'!$B$5:$B$1004,H$23)&gt;0,"Exp","")))</f>
        <v/>
      </c>
      <c r="I132" s="79">
        <f>IF(OR($A132="",I$23=""),"",IF(COUNTIFS('AFA Rates'!$A$5:$A$1004,$A132,'AFA Rates'!$B$5:$B$1004,I$23,'AFA Rates'!$O$5:$O$1004,"&lt;&gt;Expired")&gt;0,"✓",IF(COUNTIFS('AFA Rates'!$A$5:$A$1004,$A132,'AFA Rates'!$B$5:$B$1004,I$23)&gt;0,"Exp","")))</f>
        <v/>
      </c>
      <c r="J132" s="79">
        <f>IF(OR($A132="",J$23=""),"",IF(COUNTIFS('AFA Rates'!$A$5:$A$1004,$A132,'AFA Rates'!$B$5:$B$1004,J$23,'AFA Rates'!$O$5:$O$1004,"&lt;&gt;Expired")&gt;0,"✓",IF(COUNTIFS('AFA Rates'!$A$5:$A$1004,$A132,'AFA Rates'!$B$5:$B$1004,J$23)&gt;0,"Exp","")))</f>
        <v/>
      </c>
      <c r="K132" s="79">
        <f>IF(OR($A132="",K$23=""),"",IF(COUNTIFS('AFA Rates'!$A$5:$A$1004,$A132,'AFA Rates'!$B$5:$B$1004,K$23,'AFA Rates'!$O$5:$O$1004,"&lt;&gt;Expired")&gt;0,"✓",IF(COUNTIFS('AFA Rates'!$A$5:$A$1004,$A132,'AFA Rates'!$B$5:$B$1004,K$23)&gt;0,"Exp","")))</f>
        <v/>
      </c>
      <c r="L132" s="79">
        <f>IF(OR($A132="",L$23=""),"",IF(COUNTIFS('AFA Rates'!$A$5:$A$1004,$A132,'AFA Rates'!$B$5:$B$1004,L$23,'AFA Rates'!$O$5:$O$1004,"&lt;&gt;Expired")&gt;0,"✓",IF(COUNTIFS('AFA Rates'!$A$5:$A$1004,$A132,'AFA Rates'!$B$5:$B$1004,L$23)&gt;0,"Exp","")))</f>
        <v/>
      </c>
      <c r="M132" s="79">
        <f>IF(OR($A132="",M$23=""),"",IF(COUNTIFS('AFA Rates'!$A$5:$A$1004,$A132,'AFA Rates'!$B$5:$B$1004,M$23,'AFA Rates'!$O$5:$O$1004,"&lt;&gt;Expired")&gt;0,"✓",IF(COUNTIFS('AFA Rates'!$A$5:$A$1004,$A132,'AFA Rates'!$B$5:$B$1004,M$23)&gt;0,"Exp","")))</f>
        <v/>
      </c>
    </row>
    <row r="133">
      <c r="A133" s="78">
        <f>IFERROR(INDEX(Firms!$A$5:$A$1004,MATCH(110,Firms!$V$5:$V$1004,0)),"")</f>
        <v/>
      </c>
      <c r="B133" s="79">
        <f>IF($A133="","",INDEX(Firms!$B$5:$B$1004,MATCH(110,Firms!$V$5:$V$1004,0)))</f>
        <v/>
      </c>
      <c r="C133" s="79">
        <f>IF($A133="","",COUNTIFS('AFA Rates'!$A$5:$A$1004,$A133,'AFA Rates'!$O$5:$O$1004,"&lt;&gt;Expired"))</f>
        <v/>
      </c>
      <c r="D133" s="79">
        <f>IF(OR($A133="",D$23=""),"",IF(COUNTIFS('AFA Rates'!$A$5:$A$1004,$A133,'AFA Rates'!$B$5:$B$1004,D$23,'AFA Rates'!$O$5:$O$1004,"&lt;&gt;Expired")&gt;0,"✓",IF(COUNTIFS('AFA Rates'!$A$5:$A$1004,$A133,'AFA Rates'!$B$5:$B$1004,D$23)&gt;0,"Exp","")))</f>
        <v/>
      </c>
      <c r="E133" s="79">
        <f>IF(OR($A133="",E$23=""),"",IF(COUNTIFS('AFA Rates'!$A$5:$A$1004,$A133,'AFA Rates'!$B$5:$B$1004,E$23,'AFA Rates'!$O$5:$O$1004,"&lt;&gt;Expired")&gt;0,"✓",IF(COUNTIFS('AFA Rates'!$A$5:$A$1004,$A133,'AFA Rates'!$B$5:$B$1004,E$23)&gt;0,"Exp","")))</f>
        <v/>
      </c>
      <c r="F133" s="79">
        <f>IF(OR($A133="",F$23=""),"",IF(COUNTIFS('AFA Rates'!$A$5:$A$1004,$A133,'AFA Rates'!$B$5:$B$1004,F$23,'AFA Rates'!$O$5:$O$1004,"&lt;&gt;Expired")&gt;0,"✓",IF(COUNTIFS('AFA Rates'!$A$5:$A$1004,$A133,'AFA Rates'!$B$5:$B$1004,F$23)&gt;0,"Exp","")))</f>
        <v/>
      </c>
      <c r="G133" s="79">
        <f>IF(OR($A133="",G$23=""),"",IF(COUNTIFS('AFA Rates'!$A$5:$A$1004,$A133,'AFA Rates'!$B$5:$B$1004,G$23,'AFA Rates'!$O$5:$O$1004,"&lt;&gt;Expired")&gt;0,"✓",IF(COUNTIFS('AFA Rates'!$A$5:$A$1004,$A133,'AFA Rates'!$B$5:$B$1004,G$23)&gt;0,"Exp","")))</f>
        <v/>
      </c>
      <c r="H133" s="79">
        <f>IF(OR($A133="",H$23=""),"",IF(COUNTIFS('AFA Rates'!$A$5:$A$1004,$A133,'AFA Rates'!$B$5:$B$1004,H$23,'AFA Rates'!$O$5:$O$1004,"&lt;&gt;Expired")&gt;0,"✓",IF(COUNTIFS('AFA Rates'!$A$5:$A$1004,$A133,'AFA Rates'!$B$5:$B$1004,H$23)&gt;0,"Exp","")))</f>
        <v/>
      </c>
      <c r="I133" s="79">
        <f>IF(OR($A133="",I$23=""),"",IF(COUNTIFS('AFA Rates'!$A$5:$A$1004,$A133,'AFA Rates'!$B$5:$B$1004,I$23,'AFA Rates'!$O$5:$O$1004,"&lt;&gt;Expired")&gt;0,"✓",IF(COUNTIFS('AFA Rates'!$A$5:$A$1004,$A133,'AFA Rates'!$B$5:$B$1004,I$23)&gt;0,"Exp","")))</f>
        <v/>
      </c>
      <c r="J133" s="79">
        <f>IF(OR($A133="",J$23=""),"",IF(COUNTIFS('AFA Rates'!$A$5:$A$1004,$A133,'AFA Rates'!$B$5:$B$1004,J$23,'AFA Rates'!$O$5:$O$1004,"&lt;&gt;Expired")&gt;0,"✓",IF(COUNTIFS('AFA Rates'!$A$5:$A$1004,$A133,'AFA Rates'!$B$5:$B$1004,J$23)&gt;0,"Exp","")))</f>
        <v/>
      </c>
      <c r="K133" s="79">
        <f>IF(OR($A133="",K$23=""),"",IF(COUNTIFS('AFA Rates'!$A$5:$A$1004,$A133,'AFA Rates'!$B$5:$B$1004,K$23,'AFA Rates'!$O$5:$O$1004,"&lt;&gt;Expired")&gt;0,"✓",IF(COUNTIFS('AFA Rates'!$A$5:$A$1004,$A133,'AFA Rates'!$B$5:$B$1004,K$23)&gt;0,"Exp","")))</f>
        <v/>
      </c>
      <c r="L133" s="79">
        <f>IF(OR($A133="",L$23=""),"",IF(COUNTIFS('AFA Rates'!$A$5:$A$1004,$A133,'AFA Rates'!$B$5:$B$1004,L$23,'AFA Rates'!$O$5:$O$1004,"&lt;&gt;Expired")&gt;0,"✓",IF(COUNTIFS('AFA Rates'!$A$5:$A$1004,$A133,'AFA Rates'!$B$5:$B$1004,L$23)&gt;0,"Exp","")))</f>
        <v/>
      </c>
      <c r="M133" s="79">
        <f>IF(OR($A133="",M$23=""),"",IF(COUNTIFS('AFA Rates'!$A$5:$A$1004,$A133,'AFA Rates'!$B$5:$B$1004,M$23,'AFA Rates'!$O$5:$O$1004,"&lt;&gt;Expired")&gt;0,"✓",IF(COUNTIFS('AFA Rates'!$A$5:$A$1004,$A133,'AFA Rates'!$B$5:$B$1004,M$23)&gt;0,"Exp","")))</f>
        <v/>
      </c>
    </row>
    <row r="134">
      <c r="A134" s="78">
        <f>IFERROR(INDEX(Firms!$A$5:$A$1004,MATCH(111,Firms!$V$5:$V$1004,0)),"")</f>
        <v/>
      </c>
      <c r="B134" s="79">
        <f>IF($A134="","",INDEX(Firms!$B$5:$B$1004,MATCH(111,Firms!$V$5:$V$1004,0)))</f>
        <v/>
      </c>
      <c r="C134" s="79">
        <f>IF($A134="","",COUNTIFS('AFA Rates'!$A$5:$A$1004,$A134,'AFA Rates'!$O$5:$O$1004,"&lt;&gt;Expired"))</f>
        <v/>
      </c>
      <c r="D134" s="79">
        <f>IF(OR($A134="",D$23=""),"",IF(COUNTIFS('AFA Rates'!$A$5:$A$1004,$A134,'AFA Rates'!$B$5:$B$1004,D$23,'AFA Rates'!$O$5:$O$1004,"&lt;&gt;Expired")&gt;0,"✓",IF(COUNTIFS('AFA Rates'!$A$5:$A$1004,$A134,'AFA Rates'!$B$5:$B$1004,D$23)&gt;0,"Exp","")))</f>
        <v/>
      </c>
      <c r="E134" s="79">
        <f>IF(OR($A134="",E$23=""),"",IF(COUNTIFS('AFA Rates'!$A$5:$A$1004,$A134,'AFA Rates'!$B$5:$B$1004,E$23,'AFA Rates'!$O$5:$O$1004,"&lt;&gt;Expired")&gt;0,"✓",IF(COUNTIFS('AFA Rates'!$A$5:$A$1004,$A134,'AFA Rates'!$B$5:$B$1004,E$23)&gt;0,"Exp","")))</f>
        <v/>
      </c>
      <c r="F134" s="79">
        <f>IF(OR($A134="",F$23=""),"",IF(COUNTIFS('AFA Rates'!$A$5:$A$1004,$A134,'AFA Rates'!$B$5:$B$1004,F$23,'AFA Rates'!$O$5:$O$1004,"&lt;&gt;Expired")&gt;0,"✓",IF(COUNTIFS('AFA Rates'!$A$5:$A$1004,$A134,'AFA Rates'!$B$5:$B$1004,F$23)&gt;0,"Exp","")))</f>
        <v/>
      </c>
      <c r="G134" s="79">
        <f>IF(OR($A134="",G$23=""),"",IF(COUNTIFS('AFA Rates'!$A$5:$A$1004,$A134,'AFA Rates'!$B$5:$B$1004,G$23,'AFA Rates'!$O$5:$O$1004,"&lt;&gt;Expired")&gt;0,"✓",IF(COUNTIFS('AFA Rates'!$A$5:$A$1004,$A134,'AFA Rates'!$B$5:$B$1004,G$23)&gt;0,"Exp","")))</f>
        <v/>
      </c>
      <c r="H134" s="79">
        <f>IF(OR($A134="",H$23=""),"",IF(COUNTIFS('AFA Rates'!$A$5:$A$1004,$A134,'AFA Rates'!$B$5:$B$1004,H$23,'AFA Rates'!$O$5:$O$1004,"&lt;&gt;Expired")&gt;0,"✓",IF(COUNTIFS('AFA Rates'!$A$5:$A$1004,$A134,'AFA Rates'!$B$5:$B$1004,H$23)&gt;0,"Exp","")))</f>
        <v/>
      </c>
      <c r="I134" s="79">
        <f>IF(OR($A134="",I$23=""),"",IF(COUNTIFS('AFA Rates'!$A$5:$A$1004,$A134,'AFA Rates'!$B$5:$B$1004,I$23,'AFA Rates'!$O$5:$O$1004,"&lt;&gt;Expired")&gt;0,"✓",IF(COUNTIFS('AFA Rates'!$A$5:$A$1004,$A134,'AFA Rates'!$B$5:$B$1004,I$23)&gt;0,"Exp","")))</f>
        <v/>
      </c>
      <c r="J134" s="79">
        <f>IF(OR($A134="",J$23=""),"",IF(COUNTIFS('AFA Rates'!$A$5:$A$1004,$A134,'AFA Rates'!$B$5:$B$1004,J$23,'AFA Rates'!$O$5:$O$1004,"&lt;&gt;Expired")&gt;0,"✓",IF(COUNTIFS('AFA Rates'!$A$5:$A$1004,$A134,'AFA Rates'!$B$5:$B$1004,J$23)&gt;0,"Exp","")))</f>
        <v/>
      </c>
      <c r="K134" s="79">
        <f>IF(OR($A134="",K$23=""),"",IF(COUNTIFS('AFA Rates'!$A$5:$A$1004,$A134,'AFA Rates'!$B$5:$B$1004,K$23,'AFA Rates'!$O$5:$O$1004,"&lt;&gt;Expired")&gt;0,"✓",IF(COUNTIFS('AFA Rates'!$A$5:$A$1004,$A134,'AFA Rates'!$B$5:$B$1004,K$23)&gt;0,"Exp","")))</f>
        <v/>
      </c>
      <c r="L134" s="79">
        <f>IF(OR($A134="",L$23=""),"",IF(COUNTIFS('AFA Rates'!$A$5:$A$1004,$A134,'AFA Rates'!$B$5:$B$1004,L$23,'AFA Rates'!$O$5:$O$1004,"&lt;&gt;Expired")&gt;0,"✓",IF(COUNTIFS('AFA Rates'!$A$5:$A$1004,$A134,'AFA Rates'!$B$5:$B$1004,L$23)&gt;0,"Exp","")))</f>
        <v/>
      </c>
      <c r="M134" s="79">
        <f>IF(OR($A134="",M$23=""),"",IF(COUNTIFS('AFA Rates'!$A$5:$A$1004,$A134,'AFA Rates'!$B$5:$B$1004,M$23,'AFA Rates'!$O$5:$O$1004,"&lt;&gt;Expired")&gt;0,"✓",IF(COUNTIFS('AFA Rates'!$A$5:$A$1004,$A134,'AFA Rates'!$B$5:$B$1004,M$23)&gt;0,"Exp","")))</f>
        <v/>
      </c>
    </row>
    <row r="135">
      <c r="A135" s="78">
        <f>IFERROR(INDEX(Firms!$A$5:$A$1004,MATCH(112,Firms!$V$5:$V$1004,0)),"")</f>
        <v/>
      </c>
      <c r="B135" s="79">
        <f>IF($A135="","",INDEX(Firms!$B$5:$B$1004,MATCH(112,Firms!$V$5:$V$1004,0)))</f>
        <v/>
      </c>
      <c r="C135" s="79">
        <f>IF($A135="","",COUNTIFS('AFA Rates'!$A$5:$A$1004,$A135,'AFA Rates'!$O$5:$O$1004,"&lt;&gt;Expired"))</f>
        <v/>
      </c>
      <c r="D135" s="79">
        <f>IF(OR($A135="",D$23=""),"",IF(COUNTIFS('AFA Rates'!$A$5:$A$1004,$A135,'AFA Rates'!$B$5:$B$1004,D$23,'AFA Rates'!$O$5:$O$1004,"&lt;&gt;Expired")&gt;0,"✓",IF(COUNTIFS('AFA Rates'!$A$5:$A$1004,$A135,'AFA Rates'!$B$5:$B$1004,D$23)&gt;0,"Exp","")))</f>
        <v/>
      </c>
      <c r="E135" s="79">
        <f>IF(OR($A135="",E$23=""),"",IF(COUNTIFS('AFA Rates'!$A$5:$A$1004,$A135,'AFA Rates'!$B$5:$B$1004,E$23,'AFA Rates'!$O$5:$O$1004,"&lt;&gt;Expired")&gt;0,"✓",IF(COUNTIFS('AFA Rates'!$A$5:$A$1004,$A135,'AFA Rates'!$B$5:$B$1004,E$23)&gt;0,"Exp","")))</f>
        <v/>
      </c>
      <c r="F135" s="79">
        <f>IF(OR($A135="",F$23=""),"",IF(COUNTIFS('AFA Rates'!$A$5:$A$1004,$A135,'AFA Rates'!$B$5:$B$1004,F$23,'AFA Rates'!$O$5:$O$1004,"&lt;&gt;Expired")&gt;0,"✓",IF(COUNTIFS('AFA Rates'!$A$5:$A$1004,$A135,'AFA Rates'!$B$5:$B$1004,F$23)&gt;0,"Exp","")))</f>
        <v/>
      </c>
      <c r="G135" s="79">
        <f>IF(OR($A135="",G$23=""),"",IF(COUNTIFS('AFA Rates'!$A$5:$A$1004,$A135,'AFA Rates'!$B$5:$B$1004,G$23,'AFA Rates'!$O$5:$O$1004,"&lt;&gt;Expired")&gt;0,"✓",IF(COUNTIFS('AFA Rates'!$A$5:$A$1004,$A135,'AFA Rates'!$B$5:$B$1004,G$23)&gt;0,"Exp","")))</f>
        <v/>
      </c>
      <c r="H135" s="79">
        <f>IF(OR($A135="",H$23=""),"",IF(COUNTIFS('AFA Rates'!$A$5:$A$1004,$A135,'AFA Rates'!$B$5:$B$1004,H$23,'AFA Rates'!$O$5:$O$1004,"&lt;&gt;Expired")&gt;0,"✓",IF(COUNTIFS('AFA Rates'!$A$5:$A$1004,$A135,'AFA Rates'!$B$5:$B$1004,H$23)&gt;0,"Exp","")))</f>
        <v/>
      </c>
      <c r="I135" s="79">
        <f>IF(OR($A135="",I$23=""),"",IF(COUNTIFS('AFA Rates'!$A$5:$A$1004,$A135,'AFA Rates'!$B$5:$B$1004,I$23,'AFA Rates'!$O$5:$O$1004,"&lt;&gt;Expired")&gt;0,"✓",IF(COUNTIFS('AFA Rates'!$A$5:$A$1004,$A135,'AFA Rates'!$B$5:$B$1004,I$23)&gt;0,"Exp","")))</f>
        <v/>
      </c>
      <c r="J135" s="79">
        <f>IF(OR($A135="",J$23=""),"",IF(COUNTIFS('AFA Rates'!$A$5:$A$1004,$A135,'AFA Rates'!$B$5:$B$1004,J$23,'AFA Rates'!$O$5:$O$1004,"&lt;&gt;Expired")&gt;0,"✓",IF(COUNTIFS('AFA Rates'!$A$5:$A$1004,$A135,'AFA Rates'!$B$5:$B$1004,J$23)&gt;0,"Exp","")))</f>
        <v/>
      </c>
      <c r="K135" s="79">
        <f>IF(OR($A135="",K$23=""),"",IF(COUNTIFS('AFA Rates'!$A$5:$A$1004,$A135,'AFA Rates'!$B$5:$B$1004,K$23,'AFA Rates'!$O$5:$O$1004,"&lt;&gt;Expired")&gt;0,"✓",IF(COUNTIFS('AFA Rates'!$A$5:$A$1004,$A135,'AFA Rates'!$B$5:$B$1004,K$23)&gt;0,"Exp","")))</f>
        <v/>
      </c>
      <c r="L135" s="79">
        <f>IF(OR($A135="",L$23=""),"",IF(COUNTIFS('AFA Rates'!$A$5:$A$1004,$A135,'AFA Rates'!$B$5:$B$1004,L$23,'AFA Rates'!$O$5:$O$1004,"&lt;&gt;Expired")&gt;0,"✓",IF(COUNTIFS('AFA Rates'!$A$5:$A$1004,$A135,'AFA Rates'!$B$5:$B$1004,L$23)&gt;0,"Exp","")))</f>
        <v/>
      </c>
      <c r="M135" s="79">
        <f>IF(OR($A135="",M$23=""),"",IF(COUNTIFS('AFA Rates'!$A$5:$A$1004,$A135,'AFA Rates'!$B$5:$B$1004,M$23,'AFA Rates'!$O$5:$O$1004,"&lt;&gt;Expired")&gt;0,"✓",IF(COUNTIFS('AFA Rates'!$A$5:$A$1004,$A135,'AFA Rates'!$B$5:$B$1004,M$23)&gt;0,"Exp","")))</f>
        <v/>
      </c>
    </row>
    <row r="136">
      <c r="A136" s="78">
        <f>IFERROR(INDEX(Firms!$A$5:$A$1004,MATCH(113,Firms!$V$5:$V$1004,0)),"")</f>
        <v/>
      </c>
      <c r="B136" s="79">
        <f>IF($A136="","",INDEX(Firms!$B$5:$B$1004,MATCH(113,Firms!$V$5:$V$1004,0)))</f>
        <v/>
      </c>
      <c r="C136" s="79">
        <f>IF($A136="","",COUNTIFS('AFA Rates'!$A$5:$A$1004,$A136,'AFA Rates'!$O$5:$O$1004,"&lt;&gt;Expired"))</f>
        <v/>
      </c>
      <c r="D136" s="79">
        <f>IF(OR($A136="",D$23=""),"",IF(COUNTIFS('AFA Rates'!$A$5:$A$1004,$A136,'AFA Rates'!$B$5:$B$1004,D$23,'AFA Rates'!$O$5:$O$1004,"&lt;&gt;Expired")&gt;0,"✓",IF(COUNTIFS('AFA Rates'!$A$5:$A$1004,$A136,'AFA Rates'!$B$5:$B$1004,D$23)&gt;0,"Exp","")))</f>
        <v/>
      </c>
      <c r="E136" s="79">
        <f>IF(OR($A136="",E$23=""),"",IF(COUNTIFS('AFA Rates'!$A$5:$A$1004,$A136,'AFA Rates'!$B$5:$B$1004,E$23,'AFA Rates'!$O$5:$O$1004,"&lt;&gt;Expired")&gt;0,"✓",IF(COUNTIFS('AFA Rates'!$A$5:$A$1004,$A136,'AFA Rates'!$B$5:$B$1004,E$23)&gt;0,"Exp","")))</f>
        <v/>
      </c>
      <c r="F136" s="79">
        <f>IF(OR($A136="",F$23=""),"",IF(COUNTIFS('AFA Rates'!$A$5:$A$1004,$A136,'AFA Rates'!$B$5:$B$1004,F$23,'AFA Rates'!$O$5:$O$1004,"&lt;&gt;Expired")&gt;0,"✓",IF(COUNTIFS('AFA Rates'!$A$5:$A$1004,$A136,'AFA Rates'!$B$5:$B$1004,F$23)&gt;0,"Exp","")))</f>
        <v/>
      </c>
      <c r="G136" s="79">
        <f>IF(OR($A136="",G$23=""),"",IF(COUNTIFS('AFA Rates'!$A$5:$A$1004,$A136,'AFA Rates'!$B$5:$B$1004,G$23,'AFA Rates'!$O$5:$O$1004,"&lt;&gt;Expired")&gt;0,"✓",IF(COUNTIFS('AFA Rates'!$A$5:$A$1004,$A136,'AFA Rates'!$B$5:$B$1004,G$23)&gt;0,"Exp","")))</f>
        <v/>
      </c>
      <c r="H136" s="79">
        <f>IF(OR($A136="",H$23=""),"",IF(COUNTIFS('AFA Rates'!$A$5:$A$1004,$A136,'AFA Rates'!$B$5:$B$1004,H$23,'AFA Rates'!$O$5:$O$1004,"&lt;&gt;Expired")&gt;0,"✓",IF(COUNTIFS('AFA Rates'!$A$5:$A$1004,$A136,'AFA Rates'!$B$5:$B$1004,H$23)&gt;0,"Exp","")))</f>
        <v/>
      </c>
      <c r="I136" s="79">
        <f>IF(OR($A136="",I$23=""),"",IF(COUNTIFS('AFA Rates'!$A$5:$A$1004,$A136,'AFA Rates'!$B$5:$B$1004,I$23,'AFA Rates'!$O$5:$O$1004,"&lt;&gt;Expired")&gt;0,"✓",IF(COUNTIFS('AFA Rates'!$A$5:$A$1004,$A136,'AFA Rates'!$B$5:$B$1004,I$23)&gt;0,"Exp","")))</f>
        <v/>
      </c>
      <c r="J136" s="79">
        <f>IF(OR($A136="",J$23=""),"",IF(COUNTIFS('AFA Rates'!$A$5:$A$1004,$A136,'AFA Rates'!$B$5:$B$1004,J$23,'AFA Rates'!$O$5:$O$1004,"&lt;&gt;Expired")&gt;0,"✓",IF(COUNTIFS('AFA Rates'!$A$5:$A$1004,$A136,'AFA Rates'!$B$5:$B$1004,J$23)&gt;0,"Exp","")))</f>
        <v/>
      </c>
      <c r="K136" s="79">
        <f>IF(OR($A136="",K$23=""),"",IF(COUNTIFS('AFA Rates'!$A$5:$A$1004,$A136,'AFA Rates'!$B$5:$B$1004,K$23,'AFA Rates'!$O$5:$O$1004,"&lt;&gt;Expired")&gt;0,"✓",IF(COUNTIFS('AFA Rates'!$A$5:$A$1004,$A136,'AFA Rates'!$B$5:$B$1004,K$23)&gt;0,"Exp","")))</f>
        <v/>
      </c>
      <c r="L136" s="79">
        <f>IF(OR($A136="",L$23=""),"",IF(COUNTIFS('AFA Rates'!$A$5:$A$1004,$A136,'AFA Rates'!$B$5:$B$1004,L$23,'AFA Rates'!$O$5:$O$1004,"&lt;&gt;Expired")&gt;0,"✓",IF(COUNTIFS('AFA Rates'!$A$5:$A$1004,$A136,'AFA Rates'!$B$5:$B$1004,L$23)&gt;0,"Exp","")))</f>
        <v/>
      </c>
      <c r="M136" s="79">
        <f>IF(OR($A136="",M$23=""),"",IF(COUNTIFS('AFA Rates'!$A$5:$A$1004,$A136,'AFA Rates'!$B$5:$B$1004,M$23,'AFA Rates'!$O$5:$O$1004,"&lt;&gt;Expired")&gt;0,"✓",IF(COUNTIFS('AFA Rates'!$A$5:$A$1004,$A136,'AFA Rates'!$B$5:$B$1004,M$23)&gt;0,"Exp","")))</f>
        <v/>
      </c>
    </row>
    <row r="137">
      <c r="A137" s="78">
        <f>IFERROR(INDEX(Firms!$A$5:$A$1004,MATCH(114,Firms!$V$5:$V$1004,0)),"")</f>
        <v/>
      </c>
      <c r="B137" s="79">
        <f>IF($A137="","",INDEX(Firms!$B$5:$B$1004,MATCH(114,Firms!$V$5:$V$1004,0)))</f>
        <v/>
      </c>
      <c r="C137" s="79">
        <f>IF($A137="","",COUNTIFS('AFA Rates'!$A$5:$A$1004,$A137,'AFA Rates'!$O$5:$O$1004,"&lt;&gt;Expired"))</f>
        <v/>
      </c>
      <c r="D137" s="79">
        <f>IF(OR($A137="",D$23=""),"",IF(COUNTIFS('AFA Rates'!$A$5:$A$1004,$A137,'AFA Rates'!$B$5:$B$1004,D$23,'AFA Rates'!$O$5:$O$1004,"&lt;&gt;Expired")&gt;0,"✓",IF(COUNTIFS('AFA Rates'!$A$5:$A$1004,$A137,'AFA Rates'!$B$5:$B$1004,D$23)&gt;0,"Exp","")))</f>
        <v/>
      </c>
      <c r="E137" s="79">
        <f>IF(OR($A137="",E$23=""),"",IF(COUNTIFS('AFA Rates'!$A$5:$A$1004,$A137,'AFA Rates'!$B$5:$B$1004,E$23,'AFA Rates'!$O$5:$O$1004,"&lt;&gt;Expired")&gt;0,"✓",IF(COUNTIFS('AFA Rates'!$A$5:$A$1004,$A137,'AFA Rates'!$B$5:$B$1004,E$23)&gt;0,"Exp","")))</f>
        <v/>
      </c>
      <c r="F137" s="79">
        <f>IF(OR($A137="",F$23=""),"",IF(COUNTIFS('AFA Rates'!$A$5:$A$1004,$A137,'AFA Rates'!$B$5:$B$1004,F$23,'AFA Rates'!$O$5:$O$1004,"&lt;&gt;Expired")&gt;0,"✓",IF(COUNTIFS('AFA Rates'!$A$5:$A$1004,$A137,'AFA Rates'!$B$5:$B$1004,F$23)&gt;0,"Exp","")))</f>
        <v/>
      </c>
      <c r="G137" s="79">
        <f>IF(OR($A137="",G$23=""),"",IF(COUNTIFS('AFA Rates'!$A$5:$A$1004,$A137,'AFA Rates'!$B$5:$B$1004,G$23,'AFA Rates'!$O$5:$O$1004,"&lt;&gt;Expired")&gt;0,"✓",IF(COUNTIFS('AFA Rates'!$A$5:$A$1004,$A137,'AFA Rates'!$B$5:$B$1004,G$23)&gt;0,"Exp","")))</f>
        <v/>
      </c>
      <c r="H137" s="79">
        <f>IF(OR($A137="",H$23=""),"",IF(COUNTIFS('AFA Rates'!$A$5:$A$1004,$A137,'AFA Rates'!$B$5:$B$1004,H$23,'AFA Rates'!$O$5:$O$1004,"&lt;&gt;Expired")&gt;0,"✓",IF(COUNTIFS('AFA Rates'!$A$5:$A$1004,$A137,'AFA Rates'!$B$5:$B$1004,H$23)&gt;0,"Exp","")))</f>
        <v/>
      </c>
      <c r="I137" s="79">
        <f>IF(OR($A137="",I$23=""),"",IF(COUNTIFS('AFA Rates'!$A$5:$A$1004,$A137,'AFA Rates'!$B$5:$B$1004,I$23,'AFA Rates'!$O$5:$O$1004,"&lt;&gt;Expired")&gt;0,"✓",IF(COUNTIFS('AFA Rates'!$A$5:$A$1004,$A137,'AFA Rates'!$B$5:$B$1004,I$23)&gt;0,"Exp","")))</f>
        <v/>
      </c>
      <c r="J137" s="79">
        <f>IF(OR($A137="",J$23=""),"",IF(COUNTIFS('AFA Rates'!$A$5:$A$1004,$A137,'AFA Rates'!$B$5:$B$1004,J$23,'AFA Rates'!$O$5:$O$1004,"&lt;&gt;Expired")&gt;0,"✓",IF(COUNTIFS('AFA Rates'!$A$5:$A$1004,$A137,'AFA Rates'!$B$5:$B$1004,J$23)&gt;0,"Exp","")))</f>
        <v/>
      </c>
      <c r="K137" s="79">
        <f>IF(OR($A137="",K$23=""),"",IF(COUNTIFS('AFA Rates'!$A$5:$A$1004,$A137,'AFA Rates'!$B$5:$B$1004,K$23,'AFA Rates'!$O$5:$O$1004,"&lt;&gt;Expired")&gt;0,"✓",IF(COUNTIFS('AFA Rates'!$A$5:$A$1004,$A137,'AFA Rates'!$B$5:$B$1004,K$23)&gt;0,"Exp","")))</f>
        <v/>
      </c>
      <c r="L137" s="79">
        <f>IF(OR($A137="",L$23=""),"",IF(COUNTIFS('AFA Rates'!$A$5:$A$1004,$A137,'AFA Rates'!$B$5:$B$1004,L$23,'AFA Rates'!$O$5:$O$1004,"&lt;&gt;Expired")&gt;0,"✓",IF(COUNTIFS('AFA Rates'!$A$5:$A$1004,$A137,'AFA Rates'!$B$5:$B$1004,L$23)&gt;0,"Exp","")))</f>
        <v/>
      </c>
      <c r="M137" s="79">
        <f>IF(OR($A137="",M$23=""),"",IF(COUNTIFS('AFA Rates'!$A$5:$A$1004,$A137,'AFA Rates'!$B$5:$B$1004,M$23,'AFA Rates'!$O$5:$O$1004,"&lt;&gt;Expired")&gt;0,"✓",IF(COUNTIFS('AFA Rates'!$A$5:$A$1004,$A137,'AFA Rates'!$B$5:$B$1004,M$23)&gt;0,"Exp","")))</f>
        <v/>
      </c>
    </row>
    <row r="138">
      <c r="A138" s="78">
        <f>IFERROR(INDEX(Firms!$A$5:$A$1004,MATCH(115,Firms!$V$5:$V$1004,0)),"")</f>
        <v/>
      </c>
      <c r="B138" s="79">
        <f>IF($A138="","",INDEX(Firms!$B$5:$B$1004,MATCH(115,Firms!$V$5:$V$1004,0)))</f>
        <v/>
      </c>
      <c r="C138" s="79">
        <f>IF($A138="","",COUNTIFS('AFA Rates'!$A$5:$A$1004,$A138,'AFA Rates'!$O$5:$O$1004,"&lt;&gt;Expired"))</f>
        <v/>
      </c>
      <c r="D138" s="79">
        <f>IF(OR($A138="",D$23=""),"",IF(COUNTIFS('AFA Rates'!$A$5:$A$1004,$A138,'AFA Rates'!$B$5:$B$1004,D$23,'AFA Rates'!$O$5:$O$1004,"&lt;&gt;Expired")&gt;0,"✓",IF(COUNTIFS('AFA Rates'!$A$5:$A$1004,$A138,'AFA Rates'!$B$5:$B$1004,D$23)&gt;0,"Exp","")))</f>
        <v/>
      </c>
      <c r="E138" s="79">
        <f>IF(OR($A138="",E$23=""),"",IF(COUNTIFS('AFA Rates'!$A$5:$A$1004,$A138,'AFA Rates'!$B$5:$B$1004,E$23,'AFA Rates'!$O$5:$O$1004,"&lt;&gt;Expired")&gt;0,"✓",IF(COUNTIFS('AFA Rates'!$A$5:$A$1004,$A138,'AFA Rates'!$B$5:$B$1004,E$23)&gt;0,"Exp","")))</f>
        <v/>
      </c>
      <c r="F138" s="79">
        <f>IF(OR($A138="",F$23=""),"",IF(COUNTIFS('AFA Rates'!$A$5:$A$1004,$A138,'AFA Rates'!$B$5:$B$1004,F$23,'AFA Rates'!$O$5:$O$1004,"&lt;&gt;Expired")&gt;0,"✓",IF(COUNTIFS('AFA Rates'!$A$5:$A$1004,$A138,'AFA Rates'!$B$5:$B$1004,F$23)&gt;0,"Exp","")))</f>
        <v/>
      </c>
      <c r="G138" s="79">
        <f>IF(OR($A138="",G$23=""),"",IF(COUNTIFS('AFA Rates'!$A$5:$A$1004,$A138,'AFA Rates'!$B$5:$B$1004,G$23,'AFA Rates'!$O$5:$O$1004,"&lt;&gt;Expired")&gt;0,"✓",IF(COUNTIFS('AFA Rates'!$A$5:$A$1004,$A138,'AFA Rates'!$B$5:$B$1004,G$23)&gt;0,"Exp","")))</f>
        <v/>
      </c>
      <c r="H138" s="79">
        <f>IF(OR($A138="",H$23=""),"",IF(COUNTIFS('AFA Rates'!$A$5:$A$1004,$A138,'AFA Rates'!$B$5:$B$1004,H$23,'AFA Rates'!$O$5:$O$1004,"&lt;&gt;Expired")&gt;0,"✓",IF(COUNTIFS('AFA Rates'!$A$5:$A$1004,$A138,'AFA Rates'!$B$5:$B$1004,H$23)&gt;0,"Exp","")))</f>
        <v/>
      </c>
      <c r="I138" s="79">
        <f>IF(OR($A138="",I$23=""),"",IF(COUNTIFS('AFA Rates'!$A$5:$A$1004,$A138,'AFA Rates'!$B$5:$B$1004,I$23,'AFA Rates'!$O$5:$O$1004,"&lt;&gt;Expired")&gt;0,"✓",IF(COUNTIFS('AFA Rates'!$A$5:$A$1004,$A138,'AFA Rates'!$B$5:$B$1004,I$23)&gt;0,"Exp","")))</f>
        <v/>
      </c>
      <c r="J138" s="79">
        <f>IF(OR($A138="",J$23=""),"",IF(COUNTIFS('AFA Rates'!$A$5:$A$1004,$A138,'AFA Rates'!$B$5:$B$1004,J$23,'AFA Rates'!$O$5:$O$1004,"&lt;&gt;Expired")&gt;0,"✓",IF(COUNTIFS('AFA Rates'!$A$5:$A$1004,$A138,'AFA Rates'!$B$5:$B$1004,J$23)&gt;0,"Exp","")))</f>
        <v/>
      </c>
      <c r="K138" s="79">
        <f>IF(OR($A138="",K$23=""),"",IF(COUNTIFS('AFA Rates'!$A$5:$A$1004,$A138,'AFA Rates'!$B$5:$B$1004,K$23,'AFA Rates'!$O$5:$O$1004,"&lt;&gt;Expired")&gt;0,"✓",IF(COUNTIFS('AFA Rates'!$A$5:$A$1004,$A138,'AFA Rates'!$B$5:$B$1004,K$23)&gt;0,"Exp","")))</f>
        <v/>
      </c>
      <c r="L138" s="79">
        <f>IF(OR($A138="",L$23=""),"",IF(COUNTIFS('AFA Rates'!$A$5:$A$1004,$A138,'AFA Rates'!$B$5:$B$1004,L$23,'AFA Rates'!$O$5:$O$1004,"&lt;&gt;Expired")&gt;0,"✓",IF(COUNTIFS('AFA Rates'!$A$5:$A$1004,$A138,'AFA Rates'!$B$5:$B$1004,L$23)&gt;0,"Exp","")))</f>
        <v/>
      </c>
      <c r="M138" s="79">
        <f>IF(OR($A138="",M$23=""),"",IF(COUNTIFS('AFA Rates'!$A$5:$A$1004,$A138,'AFA Rates'!$B$5:$B$1004,M$23,'AFA Rates'!$O$5:$O$1004,"&lt;&gt;Expired")&gt;0,"✓",IF(COUNTIFS('AFA Rates'!$A$5:$A$1004,$A138,'AFA Rates'!$B$5:$B$1004,M$23)&gt;0,"Exp","")))</f>
        <v/>
      </c>
    </row>
    <row r="139">
      <c r="A139" s="78">
        <f>IFERROR(INDEX(Firms!$A$5:$A$1004,MATCH(116,Firms!$V$5:$V$1004,0)),"")</f>
        <v/>
      </c>
      <c r="B139" s="79">
        <f>IF($A139="","",INDEX(Firms!$B$5:$B$1004,MATCH(116,Firms!$V$5:$V$1004,0)))</f>
        <v/>
      </c>
      <c r="C139" s="79">
        <f>IF($A139="","",COUNTIFS('AFA Rates'!$A$5:$A$1004,$A139,'AFA Rates'!$O$5:$O$1004,"&lt;&gt;Expired"))</f>
        <v/>
      </c>
      <c r="D139" s="79">
        <f>IF(OR($A139="",D$23=""),"",IF(COUNTIFS('AFA Rates'!$A$5:$A$1004,$A139,'AFA Rates'!$B$5:$B$1004,D$23,'AFA Rates'!$O$5:$O$1004,"&lt;&gt;Expired")&gt;0,"✓",IF(COUNTIFS('AFA Rates'!$A$5:$A$1004,$A139,'AFA Rates'!$B$5:$B$1004,D$23)&gt;0,"Exp","")))</f>
        <v/>
      </c>
      <c r="E139" s="79">
        <f>IF(OR($A139="",E$23=""),"",IF(COUNTIFS('AFA Rates'!$A$5:$A$1004,$A139,'AFA Rates'!$B$5:$B$1004,E$23,'AFA Rates'!$O$5:$O$1004,"&lt;&gt;Expired")&gt;0,"✓",IF(COUNTIFS('AFA Rates'!$A$5:$A$1004,$A139,'AFA Rates'!$B$5:$B$1004,E$23)&gt;0,"Exp","")))</f>
        <v/>
      </c>
      <c r="F139" s="79">
        <f>IF(OR($A139="",F$23=""),"",IF(COUNTIFS('AFA Rates'!$A$5:$A$1004,$A139,'AFA Rates'!$B$5:$B$1004,F$23,'AFA Rates'!$O$5:$O$1004,"&lt;&gt;Expired")&gt;0,"✓",IF(COUNTIFS('AFA Rates'!$A$5:$A$1004,$A139,'AFA Rates'!$B$5:$B$1004,F$23)&gt;0,"Exp","")))</f>
        <v/>
      </c>
      <c r="G139" s="79">
        <f>IF(OR($A139="",G$23=""),"",IF(COUNTIFS('AFA Rates'!$A$5:$A$1004,$A139,'AFA Rates'!$B$5:$B$1004,G$23,'AFA Rates'!$O$5:$O$1004,"&lt;&gt;Expired")&gt;0,"✓",IF(COUNTIFS('AFA Rates'!$A$5:$A$1004,$A139,'AFA Rates'!$B$5:$B$1004,G$23)&gt;0,"Exp","")))</f>
        <v/>
      </c>
      <c r="H139" s="79">
        <f>IF(OR($A139="",H$23=""),"",IF(COUNTIFS('AFA Rates'!$A$5:$A$1004,$A139,'AFA Rates'!$B$5:$B$1004,H$23,'AFA Rates'!$O$5:$O$1004,"&lt;&gt;Expired")&gt;0,"✓",IF(COUNTIFS('AFA Rates'!$A$5:$A$1004,$A139,'AFA Rates'!$B$5:$B$1004,H$23)&gt;0,"Exp","")))</f>
        <v/>
      </c>
      <c r="I139" s="79">
        <f>IF(OR($A139="",I$23=""),"",IF(COUNTIFS('AFA Rates'!$A$5:$A$1004,$A139,'AFA Rates'!$B$5:$B$1004,I$23,'AFA Rates'!$O$5:$O$1004,"&lt;&gt;Expired")&gt;0,"✓",IF(COUNTIFS('AFA Rates'!$A$5:$A$1004,$A139,'AFA Rates'!$B$5:$B$1004,I$23)&gt;0,"Exp","")))</f>
        <v/>
      </c>
      <c r="J139" s="79">
        <f>IF(OR($A139="",J$23=""),"",IF(COUNTIFS('AFA Rates'!$A$5:$A$1004,$A139,'AFA Rates'!$B$5:$B$1004,J$23,'AFA Rates'!$O$5:$O$1004,"&lt;&gt;Expired")&gt;0,"✓",IF(COUNTIFS('AFA Rates'!$A$5:$A$1004,$A139,'AFA Rates'!$B$5:$B$1004,J$23)&gt;0,"Exp","")))</f>
        <v/>
      </c>
      <c r="K139" s="79">
        <f>IF(OR($A139="",K$23=""),"",IF(COUNTIFS('AFA Rates'!$A$5:$A$1004,$A139,'AFA Rates'!$B$5:$B$1004,K$23,'AFA Rates'!$O$5:$O$1004,"&lt;&gt;Expired")&gt;0,"✓",IF(COUNTIFS('AFA Rates'!$A$5:$A$1004,$A139,'AFA Rates'!$B$5:$B$1004,K$23)&gt;0,"Exp","")))</f>
        <v/>
      </c>
      <c r="L139" s="79">
        <f>IF(OR($A139="",L$23=""),"",IF(COUNTIFS('AFA Rates'!$A$5:$A$1004,$A139,'AFA Rates'!$B$5:$B$1004,L$23,'AFA Rates'!$O$5:$O$1004,"&lt;&gt;Expired")&gt;0,"✓",IF(COUNTIFS('AFA Rates'!$A$5:$A$1004,$A139,'AFA Rates'!$B$5:$B$1004,L$23)&gt;0,"Exp","")))</f>
        <v/>
      </c>
      <c r="M139" s="79">
        <f>IF(OR($A139="",M$23=""),"",IF(COUNTIFS('AFA Rates'!$A$5:$A$1004,$A139,'AFA Rates'!$B$5:$B$1004,M$23,'AFA Rates'!$O$5:$O$1004,"&lt;&gt;Expired")&gt;0,"✓",IF(COUNTIFS('AFA Rates'!$A$5:$A$1004,$A139,'AFA Rates'!$B$5:$B$1004,M$23)&gt;0,"Exp","")))</f>
        <v/>
      </c>
    </row>
    <row r="140">
      <c r="A140" s="78">
        <f>IFERROR(INDEX(Firms!$A$5:$A$1004,MATCH(117,Firms!$V$5:$V$1004,0)),"")</f>
        <v/>
      </c>
      <c r="B140" s="79">
        <f>IF($A140="","",INDEX(Firms!$B$5:$B$1004,MATCH(117,Firms!$V$5:$V$1004,0)))</f>
        <v/>
      </c>
      <c r="C140" s="79">
        <f>IF($A140="","",COUNTIFS('AFA Rates'!$A$5:$A$1004,$A140,'AFA Rates'!$O$5:$O$1004,"&lt;&gt;Expired"))</f>
        <v/>
      </c>
      <c r="D140" s="79">
        <f>IF(OR($A140="",D$23=""),"",IF(COUNTIFS('AFA Rates'!$A$5:$A$1004,$A140,'AFA Rates'!$B$5:$B$1004,D$23,'AFA Rates'!$O$5:$O$1004,"&lt;&gt;Expired")&gt;0,"✓",IF(COUNTIFS('AFA Rates'!$A$5:$A$1004,$A140,'AFA Rates'!$B$5:$B$1004,D$23)&gt;0,"Exp","")))</f>
        <v/>
      </c>
      <c r="E140" s="79">
        <f>IF(OR($A140="",E$23=""),"",IF(COUNTIFS('AFA Rates'!$A$5:$A$1004,$A140,'AFA Rates'!$B$5:$B$1004,E$23,'AFA Rates'!$O$5:$O$1004,"&lt;&gt;Expired")&gt;0,"✓",IF(COUNTIFS('AFA Rates'!$A$5:$A$1004,$A140,'AFA Rates'!$B$5:$B$1004,E$23)&gt;0,"Exp","")))</f>
        <v/>
      </c>
      <c r="F140" s="79">
        <f>IF(OR($A140="",F$23=""),"",IF(COUNTIFS('AFA Rates'!$A$5:$A$1004,$A140,'AFA Rates'!$B$5:$B$1004,F$23,'AFA Rates'!$O$5:$O$1004,"&lt;&gt;Expired")&gt;0,"✓",IF(COUNTIFS('AFA Rates'!$A$5:$A$1004,$A140,'AFA Rates'!$B$5:$B$1004,F$23)&gt;0,"Exp","")))</f>
        <v/>
      </c>
      <c r="G140" s="79">
        <f>IF(OR($A140="",G$23=""),"",IF(COUNTIFS('AFA Rates'!$A$5:$A$1004,$A140,'AFA Rates'!$B$5:$B$1004,G$23,'AFA Rates'!$O$5:$O$1004,"&lt;&gt;Expired")&gt;0,"✓",IF(COUNTIFS('AFA Rates'!$A$5:$A$1004,$A140,'AFA Rates'!$B$5:$B$1004,G$23)&gt;0,"Exp","")))</f>
        <v/>
      </c>
      <c r="H140" s="79">
        <f>IF(OR($A140="",H$23=""),"",IF(COUNTIFS('AFA Rates'!$A$5:$A$1004,$A140,'AFA Rates'!$B$5:$B$1004,H$23,'AFA Rates'!$O$5:$O$1004,"&lt;&gt;Expired")&gt;0,"✓",IF(COUNTIFS('AFA Rates'!$A$5:$A$1004,$A140,'AFA Rates'!$B$5:$B$1004,H$23)&gt;0,"Exp","")))</f>
        <v/>
      </c>
      <c r="I140" s="79">
        <f>IF(OR($A140="",I$23=""),"",IF(COUNTIFS('AFA Rates'!$A$5:$A$1004,$A140,'AFA Rates'!$B$5:$B$1004,I$23,'AFA Rates'!$O$5:$O$1004,"&lt;&gt;Expired")&gt;0,"✓",IF(COUNTIFS('AFA Rates'!$A$5:$A$1004,$A140,'AFA Rates'!$B$5:$B$1004,I$23)&gt;0,"Exp","")))</f>
        <v/>
      </c>
      <c r="J140" s="79">
        <f>IF(OR($A140="",J$23=""),"",IF(COUNTIFS('AFA Rates'!$A$5:$A$1004,$A140,'AFA Rates'!$B$5:$B$1004,J$23,'AFA Rates'!$O$5:$O$1004,"&lt;&gt;Expired")&gt;0,"✓",IF(COUNTIFS('AFA Rates'!$A$5:$A$1004,$A140,'AFA Rates'!$B$5:$B$1004,J$23)&gt;0,"Exp","")))</f>
        <v/>
      </c>
      <c r="K140" s="79">
        <f>IF(OR($A140="",K$23=""),"",IF(COUNTIFS('AFA Rates'!$A$5:$A$1004,$A140,'AFA Rates'!$B$5:$B$1004,K$23,'AFA Rates'!$O$5:$O$1004,"&lt;&gt;Expired")&gt;0,"✓",IF(COUNTIFS('AFA Rates'!$A$5:$A$1004,$A140,'AFA Rates'!$B$5:$B$1004,K$23)&gt;0,"Exp","")))</f>
        <v/>
      </c>
      <c r="L140" s="79">
        <f>IF(OR($A140="",L$23=""),"",IF(COUNTIFS('AFA Rates'!$A$5:$A$1004,$A140,'AFA Rates'!$B$5:$B$1004,L$23,'AFA Rates'!$O$5:$O$1004,"&lt;&gt;Expired")&gt;0,"✓",IF(COUNTIFS('AFA Rates'!$A$5:$A$1004,$A140,'AFA Rates'!$B$5:$B$1004,L$23)&gt;0,"Exp","")))</f>
        <v/>
      </c>
      <c r="M140" s="79">
        <f>IF(OR($A140="",M$23=""),"",IF(COUNTIFS('AFA Rates'!$A$5:$A$1004,$A140,'AFA Rates'!$B$5:$B$1004,M$23,'AFA Rates'!$O$5:$O$1004,"&lt;&gt;Expired")&gt;0,"✓",IF(COUNTIFS('AFA Rates'!$A$5:$A$1004,$A140,'AFA Rates'!$B$5:$B$1004,M$23)&gt;0,"Exp","")))</f>
        <v/>
      </c>
    </row>
    <row r="141">
      <c r="A141" s="78">
        <f>IFERROR(INDEX(Firms!$A$5:$A$1004,MATCH(118,Firms!$V$5:$V$1004,0)),"")</f>
        <v/>
      </c>
      <c r="B141" s="79">
        <f>IF($A141="","",INDEX(Firms!$B$5:$B$1004,MATCH(118,Firms!$V$5:$V$1004,0)))</f>
        <v/>
      </c>
      <c r="C141" s="79">
        <f>IF($A141="","",COUNTIFS('AFA Rates'!$A$5:$A$1004,$A141,'AFA Rates'!$O$5:$O$1004,"&lt;&gt;Expired"))</f>
        <v/>
      </c>
      <c r="D141" s="79">
        <f>IF(OR($A141="",D$23=""),"",IF(COUNTIFS('AFA Rates'!$A$5:$A$1004,$A141,'AFA Rates'!$B$5:$B$1004,D$23,'AFA Rates'!$O$5:$O$1004,"&lt;&gt;Expired")&gt;0,"✓",IF(COUNTIFS('AFA Rates'!$A$5:$A$1004,$A141,'AFA Rates'!$B$5:$B$1004,D$23)&gt;0,"Exp","")))</f>
        <v/>
      </c>
      <c r="E141" s="79">
        <f>IF(OR($A141="",E$23=""),"",IF(COUNTIFS('AFA Rates'!$A$5:$A$1004,$A141,'AFA Rates'!$B$5:$B$1004,E$23,'AFA Rates'!$O$5:$O$1004,"&lt;&gt;Expired")&gt;0,"✓",IF(COUNTIFS('AFA Rates'!$A$5:$A$1004,$A141,'AFA Rates'!$B$5:$B$1004,E$23)&gt;0,"Exp","")))</f>
        <v/>
      </c>
      <c r="F141" s="79">
        <f>IF(OR($A141="",F$23=""),"",IF(COUNTIFS('AFA Rates'!$A$5:$A$1004,$A141,'AFA Rates'!$B$5:$B$1004,F$23,'AFA Rates'!$O$5:$O$1004,"&lt;&gt;Expired")&gt;0,"✓",IF(COUNTIFS('AFA Rates'!$A$5:$A$1004,$A141,'AFA Rates'!$B$5:$B$1004,F$23)&gt;0,"Exp","")))</f>
        <v/>
      </c>
      <c r="G141" s="79">
        <f>IF(OR($A141="",G$23=""),"",IF(COUNTIFS('AFA Rates'!$A$5:$A$1004,$A141,'AFA Rates'!$B$5:$B$1004,G$23,'AFA Rates'!$O$5:$O$1004,"&lt;&gt;Expired")&gt;0,"✓",IF(COUNTIFS('AFA Rates'!$A$5:$A$1004,$A141,'AFA Rates'!$B$5:$B$1004,G$23)&gt;0,"Exp","")))</f>
        <v/>
      </c>
      <c r="H141" s="79">
        <f>IF(OR($A141="",H$23=""),"",IF(COUNTIFS('AFA Rates'!$A$5:$A$1004,$A141,'AFA Rates'!$B$5:$B$1004,H$23,'AFA Rates'!$O$5:$O$1004,"&lt;&gt;Expired")&gt;0,"✓",IF(COUNTIFS('AFA Rates'!$A$5:$A$1004,$A141,'AFA Rates'!$B$5:$B$1004,H$23)&gt;0,"Exp","")))</f>
        <v/>
      </c>
      <c r="I141" s="79">
        <f>IF(OR($A141="",I$23=""),"",IF(COUNTIFS('AFA Rates'!$A$5:$A$1004,$A141,'AFA Rates'!$B$5:$B$1004,I$23,'AFA Rates'!$O$5:$O$1004,"&lt;&gt;Expired")&gt;0,"✓",IF(COUNTIFS('AFA Rates'!$A$5:$A$1004,$A141,'AFA Rates'!$B$5:$B$1004,I$23)&gt;0,"Exp","")))</f>
        <v/>
      </c>
      <c r="J141" s="79">
        <f>IF(OR($A141="",J$23=""),"",IF(COUNTIFS('AFA Rates'!$A$5:$A$1004,$A141,'AFA Rates'!$B$5:$B$1004,J$23,'AFA Rates'!$O$5:$O$1004,"&lt;&gt;Expired")&gt;0,"✓",IF(COUNTIFS('AFA Rates'!$A$5:$A$1004,$A141,'AFA Rates'!$B$5:$B$1004,J$23)&gt;0,"Exp","")))</f>
        <v/>
      </c>
      <c r="K141" s="79">
        <f>IF(OR($A141="",K$23=""),"",IF(COUNTIFS('AFA Rates'!$A$5:$A$1004,$A141,'AFA Rates'!$B$5:$B$1004,K$23,'AFA Rates'!$O$5:$O$1004,"&lt;&gt;Expired")&gt;0,"✓",IF(COUNTIFS('AFA Rates'!$A$5:$A$1004,$A141,'AFA Rates'!$B$5:$B$1004,K$23)&gt;0,"Exp","")))</f>
        <v/>
      </c>
      <c r="L141" s="79">
        <f>IF(OR($A141="",L$23=""),"",IF(COUNTIFS('AFA Rates'!$A$5:$A$1004,$A141,'AFA Rates'!$B$5:$B$1004,L$23,'AFA Rates'!$O$5:$O$1004,"&lt;&gt;Expired")&gt;0,"✓",IF(COUNTIFS('AFA Rates'!$A$5:$A$1004,$A141,'AFA Rates'!$B$5:$B$1004,L$23)&gt;0,"Exp","")))</f>
        <v/>
      </c>
      <c r="M141" s="79">
        <f>IF(OR($A141="",M$23=""),"",IF(COUNTIFS('AFA Rates'!$A$5:$A$1004,$A141,'AFA Rates'!$B$5:$B$1004,M$23,'AFA Rates'!$O$5:$O$1004,"&lt;&gt;Expired")&gt;0,"✓",IF(COUNTIFS('AFA Rates'!$A$5:$A$1004,$A141,'AFA Rates'!$B$5:$B$1004,M$23)&gt;0,"Exp","")))</f>
        <v/>
      </c>
    </row>
    <row r="142">
      <c r="A142" s="78">
        <f>IFERROR(INDEX(Firms!$A$5:$A$1004,MATCH(119,Firms!$V$5:$V$1004,0)),"")</f>
        <v/>
      </c>
      <c r="B142" s="79">
        <f>IF($A142="","",INDEX(Firms!$B$5:$B$1004,MATCH(119,Firms!$V$5:$V$1004,0)))</f>
        <v/>
      </c>
      <c r="C142" s="79">
        <f>IF($A142="","",COUNTIFS('AFA Rates'!$A$5:$A$1004,$A142,'AFA Rates'!$O$5:$O$1004,"&lt;&gt;Expired"))</f>
        <v/>
      </c>
      <c r="D142" s="79">
        <f>IF(OR($A142="",D$23=""),"",IF(COUNTIFS('AFA Rates'!$A$5:$A$1004,$A142,'AFA Rates'!$B$5:$B$1004,D$23,'AFA Rates'!$O$5:$O$1004,"&lt;&gt;Expired")&gt;0,"✓",IF(COUNTIFS('AFA Rates'!$A$5:$A$1004,$A142,'AFA Rates'!$B$5:$B$1004,D$23)&gt;0,"Exp","")))</f>
        <v/>
      </c>
      <c r="E142" s="79">
        <f>IF(OR($A142="",E$23=""),"",IF(COUNTIFS('AFA Rates'!$A$5:$A$1004,$A142,'AFA Rates'!$B$5:$B$1004,E$23,'AFA Rates'!$O$5:$O$1004,"&lt;&gt;Expired")&gt;0,"✓",IF(COUNTIFS('AFA Rates'!$A$5:$A$1004,$A142,'AFA Rates'!$B$5:$B$1004,E$23)&gt;0,"Exp","")))</f>
        <v/>
      </c>
      <c r="F142" s="79">
        <f>IF(OR($A142="",F$23=""),"",IF(COUNTIFS('AFA Rates'!$A$5:$A$1004,$A142,'AFA Rates'!$B$5:$B$1004,F$23,'AFA Rates'!$O$5:$O$1004,"&lt;&gt;Expired")&gt;0,"✓",IF(COUNTIFS('AFA Rates'!$A$5:$A$1004,$A142,'AFA Rates'!$B$5:$B$1004,F$23)&gt;0,"Exp","")))</f>
        <v/>
      </c>
      <c r="G142" s="79">
        <f>IF(OR($A142="",G$23=""),"",IF(COUNTIFS('AFA Rates'!$A$5:$A$1004,$A142,'AFA Rates'!$B$5:$B$1004,G$23,'AFA Rates'!$O$5:$O$1004,"&lt;&gt;Expired")&gt;0,"✓",IF(COUNTIFS('AFA Rates'!$A$5:$A$1004,$A142,'AFA Rates'!$B$5:$B$1004,G$23)&gt;0,"Exp","")))</f>
        <v/>
      </c>
      <c r="H142" s="79">
        <f>IF(OR($A142="",H$23=""),"",IF(COUNTIFS('AFA Rates'!$A$5:$A$1004,$A142,'AFA Rates'!$B$5:$B$1004,H$23,'AFA Rates'!$O$5:$O$1004,"&lt;&gt;Expired")&gt;0,"✓",IF(COUNTIFS('AFA Rates'!$A$5:$A$1004,$A142,'AFA Rates'!$B$5:$B$1004,H$23)&gt;0,"Exp","")))</f>
        <v/>
      </c>
      <c r="I142" s="79">
        <f>IF(OR($A142="",I$23=""),"",IF(COUNTIFS('AFA Rates'!$A$5:$A$1004,$A142,'AFA Rates'!$B$5:$B$1004,I$23,'AFA Rates'!$O$5:$O$1004,"&lt;&gt;Expired")&gt;0,"✓",IF(COUNTIFS('AFA Rates'!$A$5:$A$1004,$A142,'AFA Rates'!$B$5:$B$1004,I$23)&gt;0,"Exp","")))</f>
        <v/>
      </c>
      <c r="J142" s="79">
        <f>IF(OR($A142="",J$23=""),"",IF(COUNTIFS('AFA Rates'!$A$5:$A$1004,$A142,'AFA Rates'!$B$5:$B$1004,J$23,'AFA Rates'!$O$5:$O$1004,"&lt;&gt;Expired")&gt;0,"✓",IF(COUNTIFS('AFA Rates'!$A$5:$A$1004,$A142,'AFA Rates'!$B$5:$B$1004,J$23)&gt;0,"Exp","")))</f>
        <v/>
      </c>
      <c r="K142" s="79">
        <f>IF(OR($A142="",K$23=""),"",IF(COUNTIFS('AFA Rates'!$A$5:$A$1004,$A142,'AFA Rates'!$B$5:$B$1004,K$23,'AFA Rates'!$O$5:$O$1004,"&lt;&gt;Expired")&gt;0,"✓",IF(COUNTIFS('AFA Rates'!$A$5:$A$1004,$A142,'AFA Rates'!$B$5:$B$1004,K$23)&gt;0,"Exp","")))</f>
        <v/>
      </c>
      <c r="L142" s="79">
        <f>IF(OR($A142="",L$23=""),"",IF(COUNTIFS('AFA Rates'!$A$5:$A$1004,$A142,'AFA Rates'!$B$5:$B$1004,L$23,'AFA Rates'!$O$5:$O$1004,"&lt;&gt;Expired")&gt;0,"✓",IF(COUNTIFS('AFA Rates'!$A$5:$A$1004,$A142,'AFA Rates'!$B$5:$B$1004,L$23)&gt;0,"Exp","")))</f>
        <v/>
      </c>
      <c r="M142" s="79">
        <f>IF(OR($A142="",M$23=""),"",IF(COUNTIFS('AFA Rates'!$A$5:$A$1004,$A142,'AFA Rates'!$B$5:$B$1004,M$23,'AFA Rates'!$O$5:$O$1004,"&lt;&gt;Expired")&gt;0,"✓",IF(COUNTIFS('AFA Rates'!$A$5:$A$1004,$A142,'AFA Rates'!$B$5:$B$1004,M$23)&gt;0,"Exp","")))</f>
        <v/>
      </c>
    </row>
    <row r="143">
      <c r="A143" s="78">
        <f>IFERROR(INDEX(Firms!$A$5:$A$1004,MATCH(120,Firms!$V$5:$V$1004,0)),"")</f>
        <v/>
      </c>
      <c r="B143" s="79">
        <f>IF($A143="","",INDEX(Firms!$B$5:$B$1004,MATCH(120,Firms!$V$5:$V$1004,0)))</f>
        <v/>
      </c>
      <c r="C143" s="79">
        <f>IF($A143="","",COUNTIFS('AFA Rates'!$A$5:$A$1004,$A143,'AFA Rates'!$O$5:$O$1004,"&lt;&gt;Expired"))</f>
        <v/>
      </c>
      <c r="D143" s="79">
        <f>IF(OR($A143="",D$23=""),"",IF(COUNTIFS('AFA Rates'!$A$5:$A$1004,$A143,'AFA Rates'!$B$5:$B$1004,D$23,'AFA Rates'!$O$5:$O$1004,"&lt;&gt;Expired")&gt;0,"✓",IF(COUNTIFS('AFA Rates'!$A$5:$A$1004,$A143,'AFA Rates'!$B$5:$B$1004,D$23)&gt;0,"Exp","")))</f>
        <v/>
      </c>
      <c r="E143" s="79">
        <f>IF(OR($A143="",E$23=""),"",IF(COUNTIFS('AFA Rates'!$A$5:$A$1004,$A143,'AFA Rates'!$B$5:$B$1004,E$23,'AFA Rates'!$O$5:$O$1004,"&lt;&gt;Expired")&gt;0,"✓",IF(COUNTIFS('AFA Rates'!$A$5:$A$1004,$A143,'AFA Rates'!$B$5:$B$1004,E$23)&gt;0,"Exp","")))</f>
        <v/>
      </c>
      <c r="F143" s="79">
        <f>IF(OR($A143="",F$23=""),"",IF(COUNTIFS('AFA Rates'!$A$5:$A$1004,$A143,'AFA Rates'!$B$5:$B$1004,F$23,'AFA Rates'!$O$5:$O$1004,"&lt;&gt;Expired")&gt;0,"✓",IF(COUNTIFS('AFA Rates'!$A$5:$A$1004,$A143,'AFA Rates'!$B$5:$B$1004,F$23)&gt;0,"Exp","")))</f>
        <v/>
      </c>
      <c r="G143" s="79">
        <f>IF(OR($A143="",G$23=""),"",IF(COUNTIFS('AFA Rates'!$A$5:$A$1004,$A143,'AFA Rates'!$B$5:$B$1004,G$23,'AFA Rates'!$O$5:$O$1004,"&lt;&gt;Expired")&gt;0,"✓",IF(COUNTIFS('AFA Rates'!$A$5:$A$1004,$A143,'AFA Rates'!$B$5:$B$1004,G$23)&gt;0,"Exp","")))</f>
        <v/>
      </c>
      <c r="H143" s="79">
        <f>IF(OR($A143="",H$23=""),"",IF(COUNTIFS('AFA Rates'!$A$5:$A$1004,$A143,'AFA Rates'!$B$5:$B$1004,H$23,'AFA Rates'!$O$5:$O$1004,"&lt;&gt;Expired")&gt;0,"✓",IF(COUNTIFS('AFA Rates'!$A$5:$A$1004,$A143,'AFA Rates'!$B$5:$B$1004,H$23)&gt;0,"Exp","")))</f>
        <v/>
      </c>
      <c r="I143" s="79">
        <f>IF(OR($A143="",I$23=""),"",IF(COUNTIFS('AFA Rates'!$A$5:$A$1004,$A143,'AFA Rates'!$B$5:$B$1004,I$23,'AFA Rates'!$O$5:$O$1004,"&lt;&gt;Expired")&gt;0,"✓",IF(COUNTIFS('AFA Rates'!$A$5:$A$1004,$A143,'AFA Rates'!$B$5:$B$1004,I$23)&gt;0,"Exp","")))</f>
        <v/>
      </c>
      <c r="J143" s="79">
        <f>IF(OR($A143="",J$23=""),"",IF(COUNTIFS('AFA Rates'!$A$5:$A$1004,$A143,'AFA Rates'!$B$5:$B$1004,J$23,'AFA Rates'!$O$5:$O$1004,"&lt;&gt;Expired")&gt;0,"✓",IF(COUNTIFS('AFA Rates'!$A$5:$A$1004,$A143,'AFA Rates'!$B$5:$B$1004,J$23)&gt;0,"Exp","")))</f>
        <v/>
      </c>
      <c r="K143" s="79">
        <f>IF(OR($A143="",K$23=""),"",IF(COUNTIFS('AFA Rates'!$A$5:$A$1004,$A143,'AFA Rates'!$B$5:$B$1004,K$23,'AFA Rates'!$O$5:$O$1004,"&lt;&gt;Expired")&gt;0,"✓",IF(COUNTIFS('AFA Rates'!$A$5:$A$1004,$A143,'AFA Rates'!$B$5:$B$1004,K$23)&gt;0,"Exp","")))</f>
        <v/>
      </c>
      <c r="L143" s="79">
        <f>IF(OR($A143="",L$23=""),"",IF(COUNTIFS('AFA Rates'!$A$5:$A$1004,$A143,'AFA Rates'!$B$5:$B$1004,L$23,'AFA Rates'!$O$5:$O$1004,"&lt;&gt;Expired")&gt;0,"✓",IF(COUNTIFS('AFA Rates'!$A$5:$A$1004,$A143,'AFA Rates'!$B$5:$B$1004,L$23)&gt;0,"Exp","")))</f>
        <v/>
      </c>
      <c r="M143" s="79">
        <f>IF(OR($A143="",M$23=""),"",IF(COUNTIFS('AFA Rates'!$A$5:$A$1004,$A143,'AFA Rates'!$B$5:$B$1004,M$23,'AFA Rates'!$O$5:$O$1004,"&lt;&gt;Expired")&gt;0,"✓",IF(COUNTIFS('AFA Rates'!$A$5:$A$1004,$A143,'AFA Rates'!$B$5:$B$1004,M$23)&gt;0,"Exp","")))</f>
        <v/>
      </c>
    </row>
    <row r="144">
      <c r="A144" s="78">
        <f>IFERROR(INDEX(Firms!$A$5:$A$1004,MATCH(121,Firms!$V$5:$V$1004,0)),"")</f>
        <v/>
      </c>
      <c r="B144" s="79">
        <f>IF($A144="","",INDEX(Firms!$B$5:$B$1004,MATCH(121,Firms!$V$5:$V$1004,0)))</f>
        <v/>
      </c>
      <c r="C144" s="79">
        <f>IF($A144="","",COUNTIFS('AFA Rates'!$A$5:$A$1004,$A144,'AFA Rates'!$O$5:$O$1004,"&lt;&gt;Expired"))</f>
        <v/>
      </c>
      <c r="D144" s="79">
        <f>IF(OR($A144="",D$23=""),"",IF(COUNTIFS('AFA Rates'!$A$5:$A$1004,$A144,'AFA Rates'!$B$5:$B$1004,D$23,'AFA Rates'!$O$5:$O$1004,"&lt;&gt;Expired")&gt;0,"✓",IF(COUNTIFS('AFA Rates'!$A$5:$A$1004,$A144,'AFA Rates'!$B$5:$B$1004,D$23)&gt;0,"Exp","")))</f>
        <v/>
      </c>
      <c r="E144" s="79">
        <f>IF(OR($A144="",E$23=""),"",IF(COUNTIFS('AFA Rates'!$A$5:$A$1004,$A144,'AFA Rates'!$B$5:$B$1004,E$23,'AFA Rates'!$O$5:$O$1004,"&lt;&gt;Expired")&gt;0,"✓",IF(COUNTIFS('AFA Rates'!$A$5:$A$1004,$A144,'AFA Rates'!$B$5:$B$1004,E$23)&gt;0,"Exp","")))</f>
        <v/>
      </c>
      <c r="F144" s="79">
        <f>IF(OR($A144="",F$23=""),"",IF(COUNTIFS('AFA Rates'!$A$5:$A$1004,$A144,'AFA Rates'!$B$5:$B$1004,F$23,'AFA Rates'!$O$5:$O$1004,"&lt;&gt;Expired")&gt;0,"✓",IF(COUNTIFS('AFA Rates'!$A$5:$A$1004,$A144,'AFA Rates'!$B$5:$B$1004,F$23)&gt;0,"Exp","")))</f>
        <v/>
      </c>
      <c r="G144" s="79">
        <f>IF(OR($A144="",G$23=""),"",IF(COUNTIFS('AFA Rates'!$A$5:$A$1004,$A144,'AFA Rates'!$B$5:$B$1004,G$23,'AFA Rates'!$O$5:$O$1004,"&lt;&gt;Expired")&gt;0,"✓",IF(COUNTIFS('AFA Rates'!$A$5:$A$1004,$A144,'AFA Rates'!$B$5:$B$1004,G$23)&gt;0,"Exp","")))</f>
        <v/>
      </c>
      <c r="H144" s="79">
        <f>IF(OR($A144="",H$23=""),"",IF(COUNTIFS('AFA Rates'!$A$5:$A$1004,$A144,'AFA Rates'!$B$5:$B$1004,H$23,'AFA Rates'!$O$5:$O$1004,"&lt;&gt;Expired")&gt;0,"✓",IF(COUNTIFS('AFA Rates'!$A$5:$A$1004,$A144,'AFA Rates'!$B$5:$B$1004,H$23)&gt;0,"Exp","")))</f>
        <v/>
      </c>
      <c r="I144" s="79">
        <f>IF(OR($A144="",I$23=""),"",IF(COUNTIFS('AFA Rates'!$A$5:$A$1004,$A144,'AFA Rates'!$B$5:$B$1004,I$23,'AFA Rates'!$O$5:$O$1004,"&lt;&gt;Expired")&gt;0,"✓",IF(COUNTIFS('AFA Rates'!$A$5:$A$1004,$A144,'AFA Rates'!$B$5:$B$1004,I$23)&gt;0,"Exp","")))</f>
        <v/>
      </c>
      <c r="J144" s="79">
        <f>IF(OR($A144="",J$23=""),"",IF(COUNTIFS('AFA Rates'!$A$5:$A$1004,$A144,'AFA Rates'!$B$5:$B$1004,J$23,'AFA Rates'!$O$5:$O$1004,"&lt;&gt;Expired")&gt;0,"✓",IF(COUNTIFS('AFA Rates'!$A$5:$A$1004,$A144,'AFA Rates'!$B$5:$B$1004,J$23)&gt;0,"Exp","")))</f>
        <v/>
      </c>
      <c r="K144" s="79">
        <f>IF(OR($A144="",K$23=""),"",IF(COUNTIFS('AFA Rates'!$A$5:$A$1004,$A144,'AFA Rates'!$B$5:$B$1004,K$23,'AFA Rates'!$O$5:$O$1004,"&lt;&gt;Expired")&gt;0,"✓",IF(COUNTIFS('AFA Rates'!$A$5:$A$1004,$A144,'AFA Rates'!$B$5:$B$1004,K$23)&gt;0,"Exp","")))</f>
        <v/>
      </c>
      <c r="L144" s="79">
        <f>IF(OR($A144="",L$23=""),"",IF(COUNTIFS('AFA Rates'!$A$5:$A$1004,$A144,'AFA Rates'!$B$5:$B$1004,L$23,'AFA Rates'!$O$5:$O$1004,"&lt;&gt;Expired")&gt;0,"✓",IF(COUNTIFS('AFA Rates'!$A$5:$A$1004,$A144,'AFA Rates'!$B$5:$B$1004,L$23)&gt;0,"Exp","")))</f>
        <v/>
      </c>
      <c r="M144" s="79">
        <f>IF(OR($A144="",M$23=""),"",IF(COUNTIFS('AFA Rates'!$A$5:$A$1004,$A144,'AFA Rates'!$B$5:$B$1004,M$23,'AFA Rates'!$O$5:$O$1004,"&lt;&gt;Expired")&gt;0,"✓",IF(COUNTIFS('AFA Rates'!$A$5:$A$1004,$A144,'AFA Rates'!$B$5:$B$1004,M$23)&gt;0,"Exp","")))</f>
        <v/>
      </c>
    </row>
    <row r="145">
      <c r="A145" s="78">
        <f>IFERROR(INDEX(Firms!$A$5:$A$1004,MATCH(122,Firms!$V$5:$V$1004,0)),"")</f>
        <v/>
      </c>
      <c r="B145" s="79">
        <f>IF($A145="","",INDEX(Firms!$B$5:$B$1004,MATCH(122,Firms!$V$5:$V$1004,0)))</f>
        <v/>
      </c>
      <c r="C145" s="79">
        <f>IF($A145="","",COUNTIFS('AFA Rates'!$A$5:$A$1004,$A145,'AFA Rates'!$O$5:$O$1004,"&lt;&gt;Expired"))</f>
        <v/>
      </c>
      <c r="D145" s="79">
        <f>IF(OR($A145="",D$23=""),"",IF(COUNTIFS('AFA Rates'!$A$5:$A$1004,$A145,'AFA Rates'!$B$5:$B$1004,D$23,'AFA Rates'!$O$5:$O$1004,"&lt;&gt;Expired")&gt;0,"✓",IF(COUNTIFS('AFA Rates'!$A$5:$A$1004,$A145,'AFA Rates'!$B$5:$B$1004,D$23)&gt;0,"Exp","")))</f>
        <v/>
      </c>
      <c r="E145" s="79">
        <f>IF(OR($A145="",E$23=""),"",IF(COUNTIFS('AFA Rates'!$A$5:$A$1004,$A145,'AFA Rates'!$B$5:$B$1004,E$23,'AFA Rates'!$O$5:$O$1004,"&lt;&gt;Expired")&gt;0,"✓",IF(COUNTIFS('AFA Rates'!$A$5:$A$1004,$A145,'AFA Rates'!$B$5:$B$1004,E$23)&gt;0,"Exp","")))</f>
        <v/>
      </c>
      <c r="F145" s="79">
        <f>IF(OR($A145="",F$23=""),"",IF(COUNTIFS('AFA Rates'!$A$5:$A$1004,$A145,'AFA Rates'!$B$5:$B$1004,F$23,'AFA Rates'!$O$5:$O$1004,"&lt;&gt;Expired")&gt;0,"✓",IF(COUNTIFS('AFA Rates'!$A$5:$A$1004,$A145,'AFA Rates'!$B$5:$B$1004,F$23)&gt;0,"Exp","")))</f>
        <v/>
      </c>
      <c r="G145" s="79">
        <f>IF(OR($A145="",G$23=""),"",IF(COUNTIFS('AFA Rates'!$A$5:$A$1004,$A145,'AFA Rates'!$B$5:$B$1004,G$23,'AFA Rates'!$O$5:$O$1004,"&lt;&gt;Expired")&gt;0,"✓",IF(COUNTIFS('AFA Rates'!$A$5:$A$1004,$A145,'AFA Rates'!$B$5:$B$1004,G$23)&gt;0,"Exp","")))</f>
        <v/>
      </c>
      <c r="H145" s="79">
        <f>IF(OR($A145="",H$23=""),"",IF(COUNTIFS('AFA Rates'!$A$5:$A$1004,$A145,'AFA Rates'!$B$5:$B$1004,H$23,'AFA Rates'!$O$5:$O$1004,"&lt;&gt;Expired")&gt;0,"✓",IF(COUNTIFS('AFA Rates'!$A$5:$A$1004,$A145,'AFA Rates'!$B$5:$B$1004,H$23)&gt;0,"Exp","")))</f>
        <v/>
      </c>
      <c r="I145" s="79">
        <f>IF(OR($A145="",I$23=""),"",IF(COUNTIFS('AFA Rates'!$A$5:$A$1004,$A145,'AFA Rates'!$B$5:$B$1004,I$23,'AFA Rates'!$O$5:$O$1004,"&lt;&gt;Expired")&gt;0,"✓",IF(COUNTIFS('AFA Rates'!$A$5:$A$1004,$A145,'AFA Rates'!$B$5:$B$1004,I$23)&gt;0,"Exp","")))</f>
        <v/>
      </c>
      <c r="J145" s="79">
        <f>IF(OR($A145="",J$23=""),"",IF(COUNTIFS('AFA Rates'!$A$5:$A$1004,$A145,'AFA Rates'!$B$5:$B$1004,J$23,'AFA Rates'!$O$5:$O$1004,"&lt;&gt;Expired")&gt;0,"✓",IF(COUNTIFS('AFA Rates'!$A$5:$A$1004,$A145,'AFA Rates'!$B$5:$B$1004,J$23)&gt;0,"Exp","")))</f>
        <v/>
      </c>
      <c r="K145" s="79">
        <f>IF(OR($A145="",K$23=""),"",IF(COUNTIFS('AFA Rates'!$A$5:$A$1004,$A145,'AFA Rates'!$B$5:$B$1004,K$23,'AFA Rates'!$O$5:$O$1004,"&lt;&gt;Expired")&gt;0,"✓",IF(COUNTIFS('AFA Rates'!$A$5:$A$1004,$A145,'AFA Rates'!$B$5:$B$1004,K$23)&gt;0,"Exp","")))</f>
        <v/>
      </c>
      <c r="L145" s="79">
        <f>IF(OR($A145="",L$23=""),"",IF(COUNTIFS('AFA Rates'!$A$5:$A$1004,$A145,'AFA Rates'!$B$5:$B$1004,L$23,'AFA Rates'!$O$5:$O$1004,"&lt;&gt;Expired")&gt;0,"✓",IF(COUNTIFS('AFA Rates'!$A$5:$A$1004,$A145,'AFA Rates'!$B$5:$B$1004,L$23)&gt;0,"Exp","")))</f>
        <v/>
      </c>
      <c r="M145" s="79">
        <f>IF(OR($A145="",M$23=""),"",IF(COUNTIFS('AFA Rates'!$A$5:$A$1004,$A145,'AFA Rates'!$B$5:$B$1004,M$23,'AFA Rates'!$O$5:$O$1004,"&lt;&gt;Expired")&gt;0,"✓",IF(COUNTIFS('AFA Rates'!$A$5:$A$1004,$A145,'AFA Rates'!$B$5:$B$1004,M$23)&gt;0,"Exp","")))</f>
        <v/>
      </c>
    </row>
    <row r="146">
      <c r="A146" s="78">
        <f>IFERROR(INDEX(Firms!$A$5:$A$1004,MATCH(123,Firms!$V$5:$V$1004,0)),"")</f>
        <v/>
      </c>
      <c r="B146" s="79">
        <f>IF($A146="","",INDEX(Firms!$B$5:$B$1004,MATCH(123,Firms!$V$5:$V$1004,0)))</f>
        <v/>
      </c>
      <c r="C146" s="79">
        <f>IF($A146="","",COUNTIFS('AFA Rates'!$A$5:$A$1004,$A146,'AFA Rates'!$O$5:$O$1004,"&lt;&gt;Expired"))</f>
        <v/>
      </c>
      <c r="D146" s="79">
        <f>IF(OR($A146="",D$23=""),"",IF(COUNTIFS('AFA Rates'!$A$5:$A$1004,$A146,'AFA Rates'!$B$5:$B$1004,D$23,'AFA Rates'!$O$5:$O$1004,"&lt;&gt;Expired")&gt;0,"✓",IF(COUNTIFS('AFA Rates'!$A$5:$A$1004,$A146,'AFA Rates'!$B$5:$B$1004,D$23)&gt;0,"Exp","")))</f>
        <v/>
      </c>
      <c r="E146" s="79">
        <f>IF(OR($A146="",E$23=""),"",IF(COUNTIFS('AFA Rates'!$A$5:$A$1004,$A146,'AFA Rates'!$B$5:$B$1004,E$23,'AFA Rates'!$O$5:$O$1004,"&lt;&gt;Expired")&gt;0,"✓",IF(COUNTIFS('AFA Rates'!$A$5:$A$1004,$A146,'AFA Rates'!$B$5:$B$1004,E$23)&gt;0,"Exp","")))</f>
        <v/>
      </c>
      <c r="F146" s="79">
        <f>IF(OR($A146="",F$23=""),"",IF(COUNTIFS('AFA Rates'!$A$5:$A$1004,$A146,'AFA Rates'!$B$5:$B$1004,F$23,'AFA Rates'!$O$5:$O$1004,"&lt;&gt;Expired")&gt;0,"✓",IF(COUNTIFS('AFA Rates'!$A$5:$A$1004,$A146,'AFA Rates'!$B$5:$B$1004,F$23)&gt;0,"Exp","")))</f>
        <v/>
      </c>
      <c r="G146" s="79">
        <f>IF(OR($A146="",G$23=""),"",IF(COUNTIFS('AFA Rates'!$A$5:$A$1004,$A146,'AFA Rates'!$B$5:$B$1004,G$23,'AFA Rates'!$O$5:$O$1004,"&lt;&gt;Expired")&gt;0,"✓",IF(COUNTIFS('AFA Rates'!$A$5:$A$1004,$A146,'AFA Rates'!$B$5:$B$1004,G$23)&gt;0,"Exp","")))</f>
        <v/>
      </c>
      <c r="H146" s="79">
        <f>IF(OR($A146="",H$23=""),"",IF(COUNTIFS('AFA Rates'!$A$5:$A$1004,$A146,'AFA Rates'!$B$5:$B$1004,H$23,'AFA Rates'!$O$5:$O$1004,"&lt;&gt;Expired")&gt;0,"✓",IF(COUNTIFS('AFA Rates'!$A$5:$A$1004,$A146,'AFA Rates'!$B$5:$B$1004,H$23)&gt;0,"Exp","")))</f>
        <v/>
      </c>
      <c r="I146" s="79">
        <f>IF(OR($A146="",I$23=""),"",IF(COUNTIFS('AFA Rates'!$A$5:$A$1004,$A146,'AFA Rates'!$B$5:$B$1004,I$23,'AFA Rates'!$O$5:$O$1004,"&lt;&gt;Expired")&gt;0,"✓",IF(COUNTIFS('AFA Rates'!$A$5:$A$1004,$A146,'AFA Rates'!$B$5:$B$1004,I$23)&gt;0,"Exp","")))</f>
        <v/>
      </c>
      <c r="J146" s="79">
        <f>IF(OR($A146="",J$23=""),"",IF(COUNTIFS('AFA Rates'!$A$5:$A$1004,$A146,'AFA Rates'!$B$5:$B$1004,J$23,'AFA Rates'!$O$5:$O$1004,"&lt;&gt;Expired")&gt;0,"✓",IF(COUNTIFS('AFA Rates'!$A$5:$A$1004,$A146,'AFA Rates'!$B$5:$B$1004,J$23)&gt;0,"Exp","")))</f>
        <v/>
      </c>
      <c r="K146" s="79">
        <f>IF(OR($A146="",K$23=""),"",IF(COUNTIFS('AFA Rates'!$A$5:$A$1004,$A146,'AFA Rates'!$B$5:$B$1004,K$23,'AFA Rates'!$O$5:$O$1004,"&lt;&gt;Expired")&gt;0,"✓",IF(COUNTIFS('AFA Rates'!$A$5:$A$1004,$A146,'AFA Rates'!$B$5:$B$1004,K$23)&gt;0,"Exp","")))</f>
        <v/>
      </c>
      <c r="L146" s="79">
        <f>IF(OR($A146="",L$23=""),"",IF(COUNTIFS('AFA Rates'!$A$5:$A$1004,$A146,'AFA Rates'!$B$5:$B$1004,L$23,'AFA Rates'!$O$5:$O$1004,"&lt;&gt;Expired")&gt;0,"✓",IF(COUNTIFS('AFA Rates'!$A$5:$A$1004,$A146,'AFA Rates'!$B$5:$B$1004,L$23)&gt;0,"Exp","")))</f>
        <v/>
      </c>
      <c r="M146" s="79">
        <f>IF(OR($A146="",M$23=""),"",IF(COUNTIFS('AFA Rates'!$A$5:$A$1004,$A146,'AFA Rates'!$B$5:$B$1004,M$23,'AFA Rates'!$O$5:$O$1004,"&lt;&gt;Expired")&gt;0,"✓",IF(COUNTIFS('AFA Rates'!$A$5:$A$1004,$A146,'AFA Rates'!$B$5:$B$1004,M$23)&gt;0,"Exp","")))</f>
        <v/>
      </c>
    </row>
    <row r="147">
      <c r="A147" s="78">
        <f>IFERROR(INDEX(Firms!$A$5:$A$1004,MATCH(124,Firms!$V$5:$V$1004,0)),"")</f>
        <v/>
      </c>
      <c r="B147" s="79">
        <f>IF($A147="","",INDEX(Firms!$B$5:$B$1004,MATCH(124,Firms!$V$5:$V$1004,0)))</f>
        <v/>
      </c>
      <c r="C147" s="79">
        <f>IF($A147="","",COUNTIFS('AFA Rates'!$A$5:$A$1004,$A147,'AFA Rates'!$O$5:$O$1004,"&lt;&gt;Expired"))</f>
        <v/>
      </c>
      <c r="D147" s="79">
        <f>IF(OR($A147="",D$23=""),"",IF(COUNTIFS('AFA Rates'!$A$5:$A$1004,$A147,'AFA Rates'!$B$5:$B$1004,D$23,'AFA Rates'!$O$5:$O$1004,"&lt;&gt;Expired")&gt;0,"✓",IF(COUNTIFS('AFA Rates'!$A$5:$A$1004,$A147,'AFA Rates'!$B$5:$B$1004,D$23)&gt;0,"Exp","")))</f>
        <v/>
      </c>
      <c r="E147" s="79">
        <f>IF(OR($A147="",E$23=""),"",IF(COUNTIFS('AFA Rates'!$A$5:$A$1004,$A147,'AFA Rates'!$B$5:$B$1004,E$23,'AFA Rates'!$O$5:$O$1004,"&lt;&gt;Expired")&gt;0,"✓",IF(COUNTIFS('AFA Rates'!$A$5:$A$1004,$A147,'AFA Rates'!$B$5:$B$1004,E$23)&gt;0,"Exp","")))</f>
        <v/>
      </c>
      <c r="F147" s="79">
        <f>IF(OR($A147="",F$23=""),"",IF(COUNTIFS('AFA Rates'!$A$5:$A$1004,$A147,'AFA Rates'!$B$5:$B$1004,F$23,'AFA Rates'!$O$5:$O$1004,"&lt;&gt;Expired")&gt;0,"✓",IF(COUNTIFS('AFA Rates'!$A$5:$A$1004,$A147,'AFA Rates'!$B$5:$B$1004,F$23)&gt;0,"Exp","")))</f>
        <v/>
      </c>
      <c r="G147" s="79">
        <f>IF(OR($A147="",G$23=""),"",IF(COUNTIFS('AFA Rates'!$A$5:$A$1004,$A147,'AFA Rates'!$B$5:$B$1004,G$23,'AFA Rates'!$O$5:$O$1004,"&lt;&gt;Expired")&gt;0,"✓",IF(COUNTIFS('AFA Rates'!$A$5:$A$1004,$A147,'AFA Rates'!$B$5:$B$1004,G$23)&gt;0,"Exp","")))</f>
        <v/>
      </c>
      <c r="H147" s="79">
        <f>IF(OR($A147="",H$23=""),"",IF(COUNTIFS('AFA Rates'!$A$5:$A$1004,$A147,'AFA Rates'!$B$5:$B$1004,H$23,'AFA Rates'!$O$5:$O$1004,"&lt;&gt;Expired")&gt;0,"✓",IF(COUNTIFS('AFA Rates'!$A$5:$A$1004,$A147,'AFA Rates'!$B$5:$B$1004,H$23)&gt;0,"Exp","")))</f>
        <v/>
      </c>
      <c r="I147" s="79">
        <f>IF(OR($A147="",I$23=""),"",IF(COUNTIFS('AFA Rates'!$A$5:$A$1004,$A147,'AFA Rates'!$B$5:$B$1004,I$23,'AFA Rates'!$O$5:$O$1004,"&lt;&gt;Expired")&gt;0,"✓",IF(COUNTIFS('AFA Rates'!$A$5:$A$1004,$A147,'AFA Rates'!$B$5:$B$1004,I$23)&gt;0,"Exp","")))</f>
        <v/>
      </c>
      <c r="J147" s="79">
        <f>IF(OR($A147="",J$23=""),"",IF(COUNTIFS('AFA Rates'!$A$5:$A$1004,$A147,'AFA Rates'!$B$5:$B$1004,J$23,'AFA Rates'!$O$5:$O$1004,"&lt;&gt;Expired")&gt;0,"✓",IF(COUNTIFS('AFA Rates'!$A$5:$A$1004,$A147,'AFA Rates'!$B$5:$B$1004,J$23)&gt;0,"Exp","")))</f>
        <v/>
      </c>
      <c r="K147" s="79">
        <f>IF(OR($A147="",K$23=""),"",IF(COUNTIFS('AFA Rates'!$A$5:$A$1004,$A147,'AFA Rates'!$B$5:$B$1004,K$23,'AFA Rates'!$O$5:$O$1004,"&lt;&gt;Expired")&gt;0,"✓",IF(COUNTIFS('AFA Rates'!$A$5:$A$1004,$A147,'AFA Rates'!$B$5:$B$1004,K$23)&gt;0,"Exp","")))</f>
        <v/>
      </c>
      <c r="L147" s="79">
        <f>IF(OR($A147="",L$23=""),"",IF(COUNTIFS('AFA Rates'!$A$5:$A$1004,$A147,'AFA Rates'!$B$5:$B$1004,L$23,'AFA Rates'!$O$5:$O$1004,"&lt;&gt;Expired")&gt;0,"✓",IF(COUNTIFS('AFA Rates'!$A$5:$A$1004,$A147,'AFA Rates'!$B$5:$B$1004,L$23)&gt;0,"Exp","")))</f>
        <v/>
      </c>
      <c r="M147" s="79">
        <f>IF(OR($A147="",M$23=""),"",IF(COUNTIFS('AFA Rates'!$A$5:$A$1004,$A147,'AFA Rates'!$B$5:$B$1004,M$23,'AFA Rates'!$O$5:$O$1004,"&lt;&gt;Expired")&gt;0,"✓",IF(COUNTIFS('AFA Rates'!$A$5:$A$1004,$A147,'AFA Rates'!$B$5:$B$1004,M$23)&gt;0,"Exp","")))</f>
        <v/>
      </c>
    </row>
    <row r="148">
      <c r="A148" s="78">
        <f>IFERROR(INDEX(Firms!$A$5:$A$1004,MATCH(125,Firms!$V$5:$V$1004,0)),"")</f>
        <v/>
      </c>
      <c r="B148" s="79">
        <f>IF($A148="","",INDEX(Firms!$B$5:$B$1004,MATCH(125,Firms!$V$5:$V$1004,0)))</f>
        <v/>
      </c>
      <c r="C148" s="79">
        <f>IF($A148="","",COUNTIFS('AFA Rates'!$A$5:$A$1004,$A148,'AFA Rates'!$O$5:$O$1004,"&lt;&gt;Expired"))</f>
        <v/>
      </c>
      <c r="D148" s="79">
        <f>IF(OR($A148="",D$23=""),"",IF(COUNTIFS('AFA Rates'!$A$5:$A$1004,$A148,'AFA Rates'!$B$5:$B$1004,D$23,'AFA Rates'!$O$5:$O$1004,"&lt;&gt;Expired")&gt;0,"✓",IF(COUNTIFS('AFA Rates'!$A$5:$A$1004,$A148,'AFA Rates'!$B$5:$B$1004,D$23)&gt;0,"Exp","")))</f>
        <v/>
      </c>
      <c r="E148" s="79">
        <f>IF(OR($A148="",E$23=""),"",IF(COUNTIFS('AFA Rates'!$A$5:$A$1004,$A148,'AFA Rates'!$B$5:$B$1004,E$23,'AFA Rates'!$O$5:$O$1004,"&lt;&gt;Expired")&gt;0,"✓",IF(COUNTIFS('AFA Rates'!$A$5:$A$1004,$A148,'AFA Rates'!$B$5:$B$1004,E$23)&gt;0,"Exp","")))</f>
        <v/>
      </c>
      <c r="F148" s="79">
        <f>IF(OR($A148="",F$23=""),"",IF(COUNTIFS('AFA Rates'!$A$5:$A$1004,$A148,'AFA Rates'!$B$5:$B$1004,F$23,'AFA Rates'!$O$5:$O$1004,"&lt;&gt;Expired")&gt;0,"✓",IF(COUNTIFS('AFA Rates'!$A$5:$A$1004,$A148,'AFA Rates'!$B$5:$B$1004,F$23)&gt;0,"Exp","")))</f>
        <v/>
      </c>
      <c r="G148" s="79">
        <f>IF(OR($A148="",G$23=""),"",IF(COUNTIFS('AFA Rates'!$A$5:$A$1004,$A148,'AFA Rates'!$B$5:$B$1004,G$23,'AFA Rates'!$O$5:$O$1004,"&lt;&gt;Expired")&gt;0,"✓",IF(COUNTIFS('AFA Rates'!$A$5:$A$1004,$A148,'AFA Rates'!$B$5:$B$1004,G$23)&gt;0,"Exp","")))</f>
        <v/>
      </c>
      <c r="H148" s="79">
        <f>IF(OR($A148="",H$23=""),"",IF(COUNTIFS('AFA Rates'!$A$5:$A$1004,$A148,'AFA Rates'!$B$5:$B$1004,H$23,'AFA Rates'!$O$5:$O$1004,"&lt;&gt;Expired")&gt;0,"✓",IF(COUNTIFS('AFA Rates'!$A$5:$A$1004,$A148,'AFA Rates'!$B$5:$B$1004,H$23)&gt;0,"Exp","")))</f>
        <v/>
      </c>
      <c r="I148" s="79">
        <f>IF(OR($A148="",I$23=""),"",IF(COUNTIFS('AFA Rates'!$A$5:$A$1004,$A148,'AFA Rates'!$B$5:$B$1004,I$23,'AFA Rates'!$O$5:$O$1004,"&lt;&gt;Expired")&gt;0,"✓",IF(COUNTIFS('AFA Rates'!$A$5:$A$1004,$A148,'AFA Rates'!$B$5:$B$1004,I$23)&gt;0,"Exp","")))</f>
        <v/>
      </c>
      <c r="J148" s="79">
        <f>IF(OR($A148="",J$23=""),"",IF(COUNTIFS('AFA Rates'!$A$5:$A$1004,$A148,'AFA Rates'!$B$5:$B$1004,J$23,'AFA Rates'!$O$5:$O$1004,"&lt;&gt;Expired")&gt;0,"✓",IF(COUNTIFS('AFA Rates'!$A$5:$A$1004,$A148,'AFA Rates'!$B$5:$B$1004,J$23)&gt;0,"Exp","")))</f>
        <v/>
      </c>
      <c r="K148" s="79">
        <f>IF(OR($A148="",K$23=""),"",IF(COUNTIFS('AFA Rates'!$A$5:$A$1004,$A148,'AFA Rates'!$B$5:$B$1004,K$23,'AFA Rates'!$O$5:$O$1004,"&lt;&gt;Expired")&gt;0,"✓",IF(COUNTIFS('AFA Rates'!$A$5:$A$1004,$A148,'AFA Rates'!$B$5:$B$1004,K$23)&gt;0,"Exp","")))</f>
        <v/>
      </c>
      <c r="L148" s="79">
        <f>IF(OR($A148="",L$23=""),"",IF(COUNTIFS('AFA Rates'!$A$5:$A$1004,$A148,'AFA Rates'!$B$5:$B$1004,L$23,'AFA Rates'!$O$5:$O$1004,"&lt;&gt;Expired")&gt;0,"✓",IF(COUNTIFS('AFA Rates'!$A$5:$A$1004,$A148,'AFA Rates'!$B$5:$B$1004,L$23)&gt;0,"Exp","")))</f>
        <v/>
      </c>
      <c r="M148" s="79">
        <f>IF(OR($A148="",M$23=""),"",IF(COUNTIFS('AFA Rates'!$A$5:$A$1004,$A148,'AFA Rates'!$B$5:$B$1004,M$23,'AFA Rates'!$O$5:$O$1004,"&lt;&gt;Expired")&gt;0,"✓",IF(COUNTIFS('AFA Rates'!$A$5:$A$1004,$A148,'AFA Rates'!$B$5:$B$1004,M$23)&gt;0,"Exp","")))</f>
        <v/>
      </c>
    </row>
    <row r="149">
      <c r="A149" s="78">
        <f>IFERROR(INDEX(Firms!$A$5:$A$1004,MATCH(126,Firms!$V$5:$V$1004,0)),"")</f>
        <v/>
      </c>
      <c r="B149" s="79">
        <f>IF($A149="","",INDEX(Firms!$B$5:$B$1004,MATCH(126,Firms!$V$5:$V$1004,0)))</f>
        <v/>
      </c>
      <c r="C149" s="79">
        <f>IF($A149="","",COUNTIFS('AFA Rates'!$A$5:$A$1004,$A149,'AFA Rates'!$O$5:$O$1004,"&lt;&gt;Expired"))</f>
        <v/>
      </c>
      <c r="D149" s="79">
        <f>IF(OR($A149="",D$23=""),"",IF(COUNTIFS('AFA Rates'!$A$5:$A$1004,$A149,'AFA Rates'!$B$5:$B$1004,D$23,'AFA Rates'!$O$5:$O$1004,"&lt;&gt;Expired")&gt;0,"✓",IF(COUNTIFS('AFA Rates'!$A$5:$A$1004,$A149,'AFA Rates'!$B$5:$B$1004,D$23)&gt;0,"Exp","")))</f>
        <v/>
      </c>
      <c r="E149" s="79">
        <f>IF(OR($A149="",E$23=""),"",IF(COUNTIFS('AFA Rates'!$A$5:$A$1004,$A149,'AFA Rates'!$B$5:$B$1004,E$23,'AFA Rates'!$O$5:$O$1004,"&lt;&gt;Expired")&gt;0,"✓",IF(COUNTIFS('AFA Rates'!$A$5:$A$1004,$A149,'AFA Rates'!$B$5:$B$1004,E$23)&gt;0,"Exp","")))</f>
        <v/>
      </c>
      <c r="F149" s="79">
        <f>IF(OR($A149="",F$23=""),"",IF(COUNTIFS('AFA Rates'!$A$5:$A$1004,$A149,'AFA Rates'!$B$5:$B$1004,F$23,'AFA Rates'!$O$5:$O$1004,"&lt;&gt;Expired")&gt;0,"✓",IF(COUNTIFS('AFA Rates'!$A$5:$A$1004,$A149,'AFA Rates'!$B$5:$B$1004,F$23)&gt;0,"Exp","")))</f>
        <v/>
      </c>
      <c r="G149" s="79">
        <f>IF(OR($A149="",G$23=""),"",IF(COUNTIFS('AFA Rates'!$A$5:$A$1004,$A149,'AFA Rates'!$B$5:$B$1004,G$23,'AFA Rates'!$O$5:$O$1004,"&lt;&gt;Expired")&gt;0,"✓",IF(COUNTIFS('AFA Rates'!$A$5:$A$1004,$A149,'AFA Rates'!$B$5:$B$1004,G$23)&gt;0,"Exp","")))</f>
        <v/>
      </c>
      <c r="H149" s="79">
        <f>IF(OR($A149="",H$23=""),"",IF(COUNTIFS('AFA Rates'!$A$5:$A$1004,$A149,'AFA Rates'!$B$5:$B$1004,H$23,'AFA Rates'!$O$5:$O$1004,"&lt;&gt;Expired")&gt;0,"✓",IF(COUNTIFS('AFA Rates'!$A$5:$A$1004,$A149,'AFA Rates'!$B$5:$B$1004,H$23)&gt;0,"Exp","")))</f>
        <v/>
      </c>
      <c r="I149" s="79">
        <f>IF(OR($A149="",I$23=""),"",IF(COUNTIFS('AFA Rates'!$A$5:$A$1004,$A149,'AFA Rates'!$B$5:$B$1004,I$23,'AFA Rates'!$O$5:$O$1004,"&lt;&gt;Expired")&gt;0,"✓",IF(COUNTIFS('AFA Rates'!$A$5:$A$1004,$A149,'AFA Rates'!$B$5:$B$1004,I$23)&gt;0,"Exp","")))</f>
        <v/>
      </c>
      <c r="J149" s="79">
        <f>IF(OR($A149="",J$23=""),"",IF(COUNTIFS('AFA Rates'!$A$5:$A$1004,$A149,'AFA Rates'!$B$5:$B$1004,J$23,'AFA Rates'!$O$5:$O$1004,"&lt;&gt;Expired")&gt;0,"✓",IF(COUNTIFS('AFA Rates'!$A$5:$A$1004,$A149,'AFA Rates'!$B$5:$B$1004,J$23)&gt;0,"Exp","")))</f>
        <v/>
      </c>
      <c r="K149" s="79">
        <f>IF(OR($A149="",K$23=""),"",IF(COUNTIFS('AFA Rates'!$A$5:$A$1004,$A149,'AFA Rates'!$B$5:$B$1004,K$23,'AFA Rates'!$O$5:$O$1004,"&lt;&gt;Expired")&gt;0,"✓",IF(COUNTIFS('AFA Rates'!$A$5:$A$1004,$A149,'AFA Rates'!$B$5:$B$1004,K$23)&gt;0,"Exp","")))</f>
        <v/>
      </c>
      <c r="L149" s="79">
        <f>IF(OR($A149="",L$23=""),"",IF(COUNTIFS('AFA Rates'!$A$5:$A$1004,$A149,'AFA Rates'!$B$5:$B$1004,L$23,'AFA Rates'!$O$5:$O$1004,"&lt;&gt;Expired")&gt;0,"✓",IF(COUNTIFS('AFA Rates'!$A$5:$A$1004,$A149,'AFA Rates'!$B$5:$B$1004,L$23)&gt;0,"Exp","")))</f>
        <v/>
      </c>
      <c r="M149" s="79">
        <f>IF(OR($A149="",M$23=""),"",IF(COUNTIFS('AFA Rates'!$A$5:$A$1004,$A149,'AFA Rates'!$B$5:$B$1004,M$23,'AFA Rates'!$O$5:$O$1004,"&lt;&gt;Expired")&gt;0,"✓",IF(COUNTIFS('AFA Rates'!$A$5:$A$1004,$A149,'AFA Rates'!$B$5:$B$1004,M$23)&gt;0,"Exp","")))</f>
        <v/>
      </c>
    </row>
    <row r="150">
      <c r="A150" s="78">
        <f>IFERROR(INDEX(Firms!$A$5:$A$1004,MATCH(127,Firms!$V$5:$V$1004,0)),"")</f>
        <v/>
      </c>
      <c r="B150" s="79">
        <f>IF($A150="","",INDEX(Firms!$B$5:$B$1004,MATCH(127,Firms!$V$5:$V$1004,0)))</f>
        <v/>
      </c>
      <c r="C150" s="79">
        <f>IF($A150="","",COUNTIFS('AFA Rates'!$A$5:$A$1004,$A150,'AFA Rates'!$O$5:$O$1004,"&lt;&gt;Expired"))</f>
        <v/>
      </c>
      <c r="D150" s="79">
        <f>IF(OR($A150="",D$23=""),"",IF(COUNTIFS('AFA Rates'!$A$5:$A$1004,$A150,'AFA Rates'!$B$5:$B$1004,D$23,'AFA Rates'!$O$5:$O$1004,"&lt;&gt;Expired")&gt;0,"✓",IF(COUNTIFS('AFA Rates'!$A$5:$A$1004,$A150,'AFA Rates'!$B$5:$B$1004,D$23)&gt;0,"Exp","")))</f>
        <v/>
      </c>
      <c r="E150" s="79">
        <f>IF(OR($A150="",E$23=""),"",IF(COUNTIFS('AFA Rates'!$A$5:$A$1004,$A150,'AFA Rates'!$B$5:$B$1004,E$23,'AFA Rates'!$O$5:$O$1004,"&lt;&gt;Expired")&gt;0,"✓",IF(COUNTIFS('AFA Rates'!$A$5:$A$1004,$A150,'AFA Rates'!$B$5:$B$1004,E$23)&gt;0,"Exp","")))</f>
        <v/>
      </c>
      <c r="F150" s="79">
        <f>IF(OR($A150="",F$23=""),"",IF(COUNTIFS('AFA Rates'!$A$5:$A$1004,$A150,'AFA Rates'!$B$5:$B$1004,F$23,'AFA Rates'!$O$5:$O$1004,"&lt;&gt;Expired")&gt;0,"✓",IF(COUNTIFS('AFA Rates'!$A$5:$A$1004,$A150,'AFA Rates'!$B$5:$B$1004,F$23)&gt;0,"Exp","")))</f>
        <v/>
      </c>
      <c r="G150" s="79">
        <f>IF(OR($A150="",G$23=""),"",IF(COUNTIFS('AFA Rates'!$A$5:$A$1004,$A150,'AFA Rates'!$B$5:$B$1004,G$23,'AFA Rates'!$O$5:$O$1004,"&lt;&gt;Expired")&gt;0,"✓",IF(COUNTIFS('AFA Rates'!$A$5:$A$1004,$A150,'AFA Rates'!$B$5:$B$1004,G$23)&gt;0,"Exp","")))</f>
        <v/>
      </c>
      <c r="H150" s="79">
        <f>IF(OR($A150="",H$23=""),"",IF(COUNTIFS('AFA Rates'!$A$5:$A$1004,$A150,'AFA Rates'!$B$5:$B$1004,H$23,'AFA Rates'!$O$5:$O$1004,"&lt;&gt;Expired")&gt;0,"✓",IF(COUNTIFS('AFA Rates'!$A$5:$A$1004,$A150,'AFA Rates'!$B$5:$B$1004,H$23)&gt;0,"Exp","")))</f>
        <v/>
      </c>
      <c r="I150" s="79">
        <f>IF(OR($A150="",I$23=""),"",IF(COUNTIFS('AFA Rates'!$A$5:$A$1004,$A150,'AFA Rates'!$B$5:$B$1004,I$23,'AFA Rates'!$O$5:$O$1004,"&lt;&gt;Expired")&gt;0,"✓",IF(COUNTIFS('AFA Rates'!$A$5:$A$1004,$A150,'AFA Rates'!$B$5:$B$1004,I$23)&gt;0,"Exp","")))</f>
        <v/>
      </c>
      <c r="J150" s="79">
        <f>IF(OR($A150="",J$23=""),"",IF(COUNTIFS('AFA Rates'!$A$5:$A$1004,$A150,'AFA Rates'!$B$5:$B$1004,J$23,'AFA Rates'!$O$5:$O$1004,"&lt;&gt;Expired")&gt;0,"✓",IF(COUNTIFS('AFA Rates'!$A$5:$A$1004,$A150,'AFA Rates'!$B$5:$B$1004,J$23)&gt;0,"Exp","")))</f>
        <v/>
      </c>
      <c r="K150" s="79">
        <f>IF(OR($A150="",K$23=""),"",IF(COUNTIFS('AFA Rates'!$A$5:$A$1004,$A150,'AFA Rates'!$B$5:$B$1004,K$23,'AFA Rates'!$O$5:$O$1004,"&lt;&gt;Expired")&gt;0,"✓",IF(COUNTIFS('AFA Rates'!$A$5:$A$1004,$A150,'AFA Rates'!$B$5:$B$1004,K$23)&gt;0,"Exp","")))</f>
        <v/>
      </c>
      <c r="L150" s="79">
        <f>IF(OR($A150="",L$23=""),"",IF(COUNTIFS('AFA Rates'!$A$5:$A$1004,$A150,'AFA Rates'!$B$5:$B$1004,L$23,'AFA Rates'!$O$5:$O$1004,"&lt;&gt;Expired")&gt;0,"✓",IF(COUNTIFS('AFA Rates'!$A$5:$A$1004,$A150,'AFA Rates'!$B$5:$B$1004,L$23)&gt;0,"Exp","")))</f>
        <v/>
      </c>
      <c r="M150" s="79">
        <f>IF(OR($A150="",M$23=""),"",IF(COUNTIFS('AFA Rates'!$A$5:$A$1004,$A150,'AFA Rates'!$B$5:$B$1004,M$23,'AFA Rates'!$O$5:$O$1004,"&lt;&gt;Expired")&gt;0,"✓",IF(COUNTIFS('AFA Rates'!$A$5:$A$1004,$A150,'AFA Rates'!$B$5:$B$1004,M$23)&gt;0,"Exp","")))</f>
        <v/>
      </c>
    </row>
    <row r="151">
      <c r="A151" s="78">
        <f>IFERROR(INDEX(Firms!$A$5:$A$1004,MATCH(128,Firms!$V$5:$V$1004,0)),"")</f>
        <v/>
      </c>
      <c r="B151" s="79">
        <f>IF($A151="","",INDEX(Firms!$B$5:$B$1004,MATCH(128,Firms!$V$5:$V$1004,0)))</f>
        <v/>
      </c>
      <c r="C151" s="79">
        <f>IF($A151="","",COUNTIFS('AFA Rates'!$A$5:$A$1004,$A151,'AFA Rates'!$O$5:$O$1004,"&lt;&gt;Expired"))</f>
        <v/>
      </c>
      <c r="D151" s="79">
        <f>IF(OR($A151="",D$23=""),"",IF(COUNTIFS('AFA Rates'!$A$5:$A$1004,$A151,'AFA Rates'!$B$5:$B$1004,D$23,'AFA Rates'!$O$5:$O$1004,"&lt;&gt;Expired")&gt;0,"✓",IF(COUNTIFS('AFA Rates'!$A$5:$A$1004,$A151,'AFA Rates'!$B$5:$B$1004,D$23)&gt;0,"Exp","")))</f>
        <v/>
      </c>
      <c r="E151" s="79">
        <f>IF(OR($A151="",E$23=""),"",IF(COUNTIFS('AFA Rates'!$A$5:$A$1004,$A151,'AFA Rates'!$B$5:$B$1004,E$23,'AFA Rates'!$O$5:$O$1004,"&lt;&gt;Expired")&gt;0,"✓",IF(COUNTIFS('AFA Rates'!$A$5:$A$1004,$A151,'AFA Rates'!$B$5:$B$1004,E$23)&gt;0,"Exp","")))</f>
        <v/>
      </c>
      <c r="F151" s="79">
        <f>IF(OR($A151="",F$23=""),"",IF(COUNTIFS('AFA Rates'!$A$5:$A$1004,$A151,'AFA Rates'!$B$5:$B$1004,F$23,'AFA Rates'!$O$5:$O$1004,"&lt;&gt;Expired")&gt;0,"✓",IF(COUNTIFS('AFA Rates'!$A$5:$A$1004,$A151,'AFA Rates'!$B$5:$B$1004,F$23)&gt;0,"Exp","")))</f>
        <v/>
      </c>
      <c r="G151" s="79">
        <f>IF(OR($A151="",G$23=""),"",IF(COUNTIFS('AFA Rates'!$A$5:$A$1004,$A151,'AFA Rates'!$B$5:$B$1004,G$23,'AFA Rates'!$O$5:$O$1004,"&lt;&gt;Expired")&gt;0,"✓",IF(COUNTIFS('AFA Rates'!$A$5:$A$1004,$A151,'AFA Rates'!$B$5:$B$1004,G$23)&gt;0,"Exp","")))</f>
        <v/>
      </c>
      <c r="H151" s="79">
        <f>IF(OR($A151="",H$23=""),"",IF(COUNTIFS('AFA Rates'!$A$5:$A$1004,$A151,'AFA Rates'!$B$5:$B$1004,H$23,'AFA Rates'!$O$5:$O$1004,"&lt;&gt;Expired")&gt;0,"✓",IF(COUNTIFS('AFA Rates'!$A$5:$A$1004,$A151,'AFA Rates'!$B$5:$B$1004,H$23)&gt;0,"Exp","")))</f>
        <v/>
      </c>
      <c r="I151" s="79">
        <f>IF(OR($A151="",I$23=""),"",IF(COUNTIFS('AFA Rates'!$A$5:$A$1004,$A151,'AFA Rates'!$B$5:$B$1004,I$23,'AFA Rates'!$O$5:$O$1004,"&lt;&gt;Expired")&gt;0,"✓",IF(COUNTIFS('AFA Rates'!$A$5:$A$1004,$A151,'AFA Rates'!$B$5:$B$1004,I$23)&gt;0,"Exp","")))</f>
        <v/>
      </c>
      <c r="J151" s="79">
        <f>IF(OR($A151="",J$23=""),"",IF(COUNTIFS('AFA Rates'!$A$5:$A$1004,$A151,'AFA Rates'!$B$5:$B$1004,J$23,'AFA Rates'!$O$5:$O$1004,"&lt;&gt;Expired")&gt;0,"✓",IF(COUNTIFS('AFA Rates'!$A$5:$A$1004,$A151,'AFA Rates'!$B$5:$B$1004,J$23)&gt;0,"Exp","")))</f>
        <v/>
      </c>
      <c r="K151" s="79">
        <f>IF(OR($A151="",K$23=""),"",IF(COUNTIFS('AFA Rates'!$A$5:$A$1004,$A151,'AFA Rates'!$B$5:$B$1004,K$23,'AFA Rates'!$O$5:$O$1004,"&lt;&gt;Expired")&gt;0,"✓",IF(COUNTIFS('AFA Rates'!$A$5:$A$1004,$A151,'AFA Rates'!$B$5:$B$1004,K$23)&gt;0,"Exp","")))</f>
        <v/>
      </c>
      <c r="L151" s="79">
        <f>IF(OR($A151="",L$23=""),"",IF(COUNTIFS('AFA Rates'!$A$5:$A$1004,$A151,'AFA Rates'!$B$5:$B$1004,L$23,'AFA Rates'!$O$5:$O$1004,"&lt;&gt;Expired")&gt;0,"✓",IF(COUNTIFS('AFA Rates'!$A$5:$A$1004,$A151,'AFA Rates'!$B$5:$B$1004,L$23)&gt;0,"Exp","")))</f>
        <v/>
      </c>
      <c r="M151" s="79">
        <f>IF(OR($A151="",M$23=""),"",IF(COUNTIFS('AFA Rates'!$A$5:$A$1004,$A151,'AFA Rates'!$B$5:$B$1004,M$23,'AFA Rates'!$O$5:$O$1004,"&lt;&gt;Expired")&gt;0,"✓",IF(COUNTIFS('AFA Rates'!$A$5:$A$1004,$A151,'AFA Rates'!$B$5:$B$1004,M$23)&gt;0,"Exp","")))</f>
        <v/>
      </c>
    </row>
    <row r="152">
      <c r="A152" s="78">
        <f>IFERROR(INDEX(Firms!$A$5:$A$1004,MATCH(129,Firms!$V$5:$V$1004,0)),"")</f>
        <v/>
      </c>
      <c r="B152" s="79">
        <f>IF($A152="","",INDEX(Firms!$B$5:$B$1004,MATCH(129,Firms!$V$5:$V$1004,0)))</f>
        <v/>
      </c>
      <c r="C152" s="79">
        <f>IF($A152="","",COUNTIFS('AFA Rates'!$A$5:$A$1004,$A152,'AFA Rates'!$O$5:$O$1004,"&lt;&gt;Expired"))</f>
        <v/>
      </c>
      <c r="D152" s="79">
        <f>IF(OR($A152="",D$23=""),"",IF(COUNTIFS('AFA Rates'!$A$5:$A$1004,$A152,'AFA Rates'!$B$5:$B$1004,D$23,'AFA Rates'!$O$5:$O$1004,"&lt;&gt;Expired")&gt;0,"✓",IF(COUNTIFS('AFA Rates'!$A$5:$A$1004,$A152,'AFA Rates'!$B$5:$B$1004,D$23)&gt;0,"Exp","")))</f>
        <v/>
      </c>
      <c r="E152" s="79">
        <f>IF(OR($A152="",E$23=""),"",IF(COUNTIFS('AFA Rates'!$A$5:$A$1004,$A152,'AFA Rates'!$B$5:$B$1004,E$23,'AFA Rates'!$O$5:$O$1004,"&lt;&gt;Expired")&gt;0,"✓",IF(COUNTIFS('AFA Rates'!$A$5:$A$1004,$A152,'AFA Rates'!$B$5:$B$1004,E$23)&gt;0,"Exp","")))</f>
        <v/>
      </c>
      <c r="F152" s="79">
        <f>IF(OR($A152="",F$23=""),"",IF(COUNTIFS('AFA Rates'!$A$5:$A$1004,$A152,'AFA Rates'!$B$5:$B$1004,F$23,'AFA Rates'!$O$5:$O$1004,"&lt;&gt;Expired")&gt;0,"✓",IF(COUNTIFS('AFA Rates'!$A$5:$A$1004,$A152,'AFA Rates'!$B$5:$B$1004,F$23)&gt;0,"Exp","")))</f>
        <v/>
      </c>
      <c r="G152" s="79">
        <f>IF(OR($A152="",G$23=""),"",IF(COUNTIFS('AFA Rates'!$A$5:$A$1004,$A152,'AFA Rates'!$B$5:$B$1004,G$23,'AFA Rates'!$O$5:$O$1004,"&lt;&gt;Expired")&gt;0,"✓",IF(COUNTIFS('AFA Rates'!$A$5:$A$1004,$A152,'AFA Rates'!$B$5:$B$1004,G$23)&gt;0,"Exp","")))</f>
        <v/>
      </c>
      <c r="H152" s="79">
        <f>IF(OR($A152="",H$23=""),"",IF(COUNTIFS('AFA Rates'!$A$5:$A$1004,$A152,'AFA Rates'!$B$5:$B$1004,H$23,'AFA Rates'!$O$5:$O$1004,"&lt;&gt;Expired")&gt;0,"✓",IF(COUNTIFS('AFA Rates'!$A$5:$A$1004,$A152,'AFA Rates'!$B$5:$B$1004,H$23)&gt;0,"Exp","")))</f>
        <v/>
      </c>
      <c r="I152" s="79">
        <f>IF(OR($A152="",I$23=""),"",IF(COUNTIFS('AFA Rates'!$A$5:$A$1004,$A152,'AFA Rates'!$B$5:$B$1004,I$23,'AFA Rates'!$O$5:$O$1004,"&lt;&gt;Expired")&gt;0,"✓",IF(COUNTIFS('AFA Rates'!$A$5:$A$1004,$A152,'AFA Rates'!$B$5:$B$1004,I$23)&gt;0,"Exp","")))</f>
        <v/>
      </c>
      <c r="J152" s="79">
        <f>IF(OR($A152="",J$23=""),"",IF(COUNTIFS('AFA Rates'!$A$5:$A$1004,$A152,'AFA Rates'!$B$5:$B$1004,J$23,'AFA Rates'!$O$5:$O$1004,"&lt;&gt;Expired")&gt;0,"✓",IF(COUNTIFS('AFA Rates'!$A$5:$A$1004,$A152,'AFA Rates'!$B$5:$B$1004,J$23)&gt;0,"Exp","")))</f>
        <v/>
      </c>
      <c r="K152" s="79">
        <f>IF(OR($A152="",K$23=""),"",IF(COUNTIFS('AFA Rates'!$A$5:$A$1004,$A152,'AFA Rates'!$B$5:$B$1004,K$23,'AFA Rates'!$O$5:$O$1004,"&lt;&gt;Expired")&gt;0,"✓",IF(COUNTIFS('AFA Rates'!$A$5:$A$1004,$A152,'AFA Rates'!$B$5:$B$1004,K$23)&gt;0,"Exp","")))</f>
        <v/>
      </c>
      <c r="L152" s="79">
        <f>IF(OR($A152="",L$23=""),"",IF(COUNTIFS('AFA Rates'!$A$5:$A$1004,$A152,'AFA Rates'!$B$5:$B$1004,L$23,'AFA Rates'!$O$5:$O$1004,"&lt;&gt;Expired")&gt;0,"✓",IF(COUNTIFS('AFA Rates'!$A$5:$A$1004,$A152,'AFA Rates'!$B$5:$B$1004,L$23)&gt;0,"Exp","")))</f>
        <v/>
      </c>
      <c r="M152" s="79">
        <f>IF(OR($A152="",M$23=""),"",IF(COUNTIFS('AFA Rates'!$A$5:$A$1004,$A152,'AFA Rates'!$B$5:$B$1004,M$23,'AFA Rates'!$O$5:$O$1004,"&lt;&gt;Expired")&gt;0,"✓",IF(COUNTIFS('AFA Rates'!$A$5:$A$1004,$A152,'AFA Rates'!$B$5:$B$1004,M$23)&gt;0,"Exp","")))</f>
        <v/>
      </c>
    </row>
    <row r="153">
      <c r="A153" s="78">
        <f>IFERROR(INDEX(Firms!$A$5:$A$1004,MATCH(130,Firms!$V$5:$V$1004,0)),"")</f>
        <v/>
      </c>
      <c r="B153" s="79">
        <f>IF($A153="","",INDEX(Firms!$B$5:$B$1004,MATCH(130,Firms!$V$5:$V$1004,0)))</f>
        <v/>
      </c>
      <c r="C153" s="79">
        <f>IF($A153="","",COUNTIFS('AFA Rates'!$A$5:$A$1004,$A153,'AFA Rates'!$O$5:$O$1004,"&lt;&gt;Expired"))</f>
        <v/>
      </c>
      <c r="D153" s="79">
        <f>IF(OR($A153="",D$23=""),"",IF(COUNTIFS('AFA Rates'!$A$5:$A$1004,$A153,'AFA Rates'!$B$5:$B$1004,D$23,'AFA Rates'!$O$5:$O$1004,"&lt;&gt;Expired")&gt;0,"✓",IF(COUNTIFS('AFA Rates'!$A$5:$A$1004,$A153,'AFA Rates'!$B$5:$B$1004,D$23)&gt;0,"Exp","")))</f>
        <v/>
      </c>
      <c r="E153" s="79">
        <f>IF(OR($A153="",E$23=""),"",IF(COUNTIFS('AFA Rates'!$A$5:$A$1004,$A153,'AFA Rates'!$B$5:$B$1004,E$23,'AFA Rates'!$O$5:$O$1004,"&lt;&gt;Expired")&gt;0,"✓",IF(COUNTIFS('AFA Rates'!$A$5:$A$1004,$A153,'AFA Rates'!$B$5:$B$1004,E$23)&gt;0,"Exp","")))</f>
        <v/>
      </c>
      <c r="F153" s="79">
        <f>IF(OR($A153="",F$23=""),"",IF(COUNTIFS('AFA Rates'!$A$5:$A$1004,$A153,'AFA Rates'!$B$5:$B$1004,F$23,'AFA Rates'!$O$5:$O$1004,"&lt;&gt;Expired")&gt;0,"✓",IF(COUNTIFS('AFA Rates'!$A$5:$A$1004,$A153,'AFA Rates'!$B$5:$B$1004,F$23)&gt;0,"Exp","")))</f>
        <v/>
      </c>
      <c r="G153" s="79">
        <f>IF(OR($A153="",G$23=""),"",IF(COUNTIFS('AFA Rates'!$A$5:$A$1004,$A153,'AFA Rates'!$B$5:$B$1004,G$23,'AFA Rates'!$O$5:$O$1004,"&lt;&gt;Expired")&gt;0,"✓",IF(COUNTIFS('AFA Rates'!$A$5:$A$1004,$A153,'AFA Rates'!$B$5:$B$1004,G$23)&gt;0,"Exp","")))</f>
        <v/>
      </c>
      <c r="H153" s="79">
        <f>IF(OR($A153="",H$23=""),"",IF(COUNTIFS('AFA Rates'!$A$5:$A$1004,$A153,'AFA Rates'!$B$5:$B$1004,H$23,'AFA Rates'!$O$5:$O$1004,"&lt;&gt;Expired")&gt;0,"✓",IF(COUNTIFS('AFA Rates'!$A$5:$A$1004,$A153,'AFA Rates'!$B$5:$B$1004,H$23)&gt;0,"Exp","")))</f>
        <v/>
      </c>
      <c r="I153" s="79">
        <f>IF(OR($A153="",I$23=""),"",IF(COUNTIFS('AFA Rates'!$A$5:$A$1004,$A153,'AFA Rates'!$B$5:$B$1004,I$23,'AFA Rates'!$O$5:$O$1004,"&lt;&gt;Expired")&gt;0,"✓",IF(COUNTIFS('AFA Rates'!$A$5:$A$1004,$A153,'AFA Rates'!$B$5:$B$1004,I$23)&gt;0,"Exp","")))</f>
        <v/>
      </c>
      <c r="J153" s="79">
        <f>IF(OR($A153="",J$23=""),"",IF(COUNTIFS('AFA Rates'!$A$5:$A$1004,$A153,'AFA Rates'!$B$5:$B$1004,J$23,'AFA Rates'!$O$5:$O$1004,"&lt;&gt;Expired")&gt;0,"✓",IF(COUNTIFS('AFA Rates'!$A$5:$A$1004,$A153,'AFA Rates'!$B$5:$B$1004,J$23)&gt;0,"Exp","")))</f>
        <v/>
      </c>
      <c r="K153" s="79">
        <f>IF(OR($A153="",K$23=""),"",IF(COUNTIFS('AFA Rates'!$A$5:$A$1004,$A153,'AFA Rates'!$B$5:$B$1004,K$23,'AFA Rates'!$O$5:$O$1004,"&lt;&gt;Expired")&gt;0,"✓",IF(COUNTIFS('AFA Rates'!$A$5:$A$1004,$A153,'AFA Rates'!$B$5:$B$1004,K$23)&gt;0,"Exp","")))</f>
        <v/>
      </c>
      <c r="L153" s="79">
        <f>IF(OR($A153="",L$23=""),"",IF(COUNTIFS('AFA Rates'!$A$5:$A$1004,$A153,'AFA Rates'!$B$5:$B$1004,L$23,'AFA Rates'!$O$5:$O$1004,"&lt;&gt;Expired")&gt;0,"✓",IF(COUNTIFS('AFA Rates'!$A$5:$A$1004,$A153,'AFA Rates'!$B$5:$B$1004,L$23)&gt;0,"Exp","")))</f>
        <v/>
      </c>
      <c r="M153" s="79">
        <f>IF(OR($A153="",M$23=""),"",IF(COUNTIFS('AFA Rates'!$A$5:$A$1004,$A153,'AFA Rates'!$B$5:$B$1004,M$23,'AFA Rates'!$O$5:$O$1004,"&lt;&gt;Expired")&gt;0,"✓",IF(COUNTIFS('AFA Rates'!$A$5:$A$1004,$A153,'AFA Rates'!$B$5:$B$1004,M$23)&gt;0,"Exp","")))</f>
        <v/>
      </c>
    </row>
    <row r="154">
      <c r="A154" s="78">
        <f>IFERROR(INDEX(Firms!$A$5:$A$1004,MATCH(131,Firms!$V$5:$V$1004,0)),"")</f>
        <v/>
      </c>
      <c r="B154" s="79">
        <f>IF($A154="","",INDEX(Firms!$B$5:$B$1004,MATCH(131,Firms!$V$5:$V$1004,0)))</f>
        <v/>
      </c>
      <c r="C154" s="79">
        <f>IF($A154="","",COUNTIFS('AFA Rates'!$A$5:$A$1004,$A154,'AFA Rates'!$O$5:$O$1004,"&lt;&gt;Expired"))</f>
        <v/>
      </c>
      <c r="D154" s="79">
        <f>IF(OR($A154="",D$23=""),"",IF(COUNTIFS('AFA Rates'!$A$5:$A$1004,$A154,'AFA Rates'!$B$5:$B$1004,D$23,'AFA Rates'!$O$5:$O$1004,"&lt;&gt;Expired")&gt;0,"✓",IF(COUNTIFS('AFA Rates'!$A$5:$A$1004,$A154,'AFA Rates'!$B$5:$B$1004,D$23)&gt;0,"Exp","")))</f>
        <v/>
      </c>
      <c r="E154" s="79">
        <f>IF(OR($A154="",E$23=""),"",IF(COUNTIFS('AFA Rates'!$A$5:$A$1004,$A154,'AFA Rates'!$B$5:$B$1004,E$23,'AFA Rates'!$O$5:$O$1004,"&lt;&gt;Expired")&gt;0,"✓",IF(COUNTIFS('AFA Rates'!$A$5:$A$1004,$A154,'AFA Rates'!$B$5:$B$1004,E$23)&gt;0,"Exp","")))</f>
        <v/>
      </c>
      <c r="F154" s="79">
        <f>IF(OR($A154="",F$23=""),"",IF(COUNTIFS('AFA Rates'!$A$5:$A$1004,$A154,'AFA Rates'!$B$5:$B$1004,F$23,'AFA Rates'!$O$5:$O$1004,"&lt;&gt;Expired")&gt;0,"✓",IF(COUNTIFS('AFA Rates'!$A$5:$A$1004,$A154,'AFA Rates'!$B$5:$B$1004,F$23)&gt;0,"Exp","")))</f>
        <v/>
      </c>
      <c r="G154" s="79">
        <f>IF(OR($A154="",G$23=""),"",IF(COUNTIFS('AFA Rates'!$A$5:$A$1004,$A154,'AFA Rates'!$B$5:$B$1004,G$23,'AFA Rates'!$O$5:$O$1004,"&lt;&gt;Expired")&gt;0,"✓",IF(COUNTIFS('AFA Rates'!$A$5:$A$1004,$A154,'AFA Rates'!$B$5:$B$1004,G$23)&gt;0,"Exp","")))</f>
        <v/>
      </c>
      <c r="H154" s="79">
        <f>IF(OR($A154="",H$23=""),"",IF(COUNTIFS('AFA Rates'!$A$5:$A$1004,$A154,'AFA Rates'!$B$5:$B$1004,H$23,'AFA Rates'!$O$5:$O$1004,"&lt;&gt;Expired")&gt;0,"✓",IF(COUNTIFS('AFA Rates'!$A$5:$A$1004,$A154,'AFA Rates'!$B$5:$B$1004,H$23)&gt;0,"Exp","")))</f>
        <v/>
      </c>
      <c r="I154" s="79">
        <f>IF(OR($A154="",I$23=""),"",IF(COUNTIFS('AFA Rates'!$A$5:$A$1004,$A154,'AFA Rates'!$B$5:$B$1004,I$23,'AFA Rates'!$O$5:$O$1004,"&lt;&gt;Expired")&gt;0,"✓",IF(COUNTIFS('AFA Rates'!$A$5:$A$1004,$A154,'AFA Rates'!$B$5:$B$1004,I$23)&gt;0,"Exp","")))</f>
        <v/>
      </c>
      <c r="J154" s="79">
        <f>IF(OR($A154="",J$23=""),"",IF(COUNTIFS('AFA Rates'!$A$5:$A$1004,$A154,'AFA Rates'!$B$5:$B$1004,J$23,'AFA Rates'!$O$5:$O$1004,"&lt;&gt;Expired")&gt;0,"✓",IF(COUNTIFS('AFA Rates'!$A$5:$A$1004,$A154,'AFA Rates'!$B$5:$B$1004,J$23)&gt;0,"Exp","")))</f>
        <v/>
      </c>
      <c r="K154" s="79">
        <f>IF(OR($A154="",K$23=""),"",IF(COUNTIFS('AFA Rates'!$A$5:$A$1004,$A154,'AFA Rates'!$B$5:$B$1004,K$23,'AFA Rates'!$O$5:$O$1004,"&lt;&gt;Expired")&gt;0,"✓",IF(COUNTIFS('AFA Rates'!$A$5:$A$1004,$A154,'AFA Rates'!$B$5:$B$1004,K$23)&gt;0,"Exp","")))</f>
        <v/>
      </c>
      <c r="L154" s="79">
        <f>IF(OR($A154="",L$23=""),"",IF(COUNTIFS('AFA Rates'!$A$5:$A$1004,$A154,'AFA Rates'!$B$5:$B$1004,L$23,'AFA Rates'!$O$5:$O$1004,"&lt;&gt;Expired")&gt;0,"✓",IF(COUNTIFS('AFA Rates'!$A$5:$A$1004,$A154,'AFA Rates'!$B$5:$B$1004,L$23)&gt;0,"Exp","")))</f>
        <v/>
      </c>
      <c r="M154" s="79">
        <f>IF(OR($A154="",M$23=""),"",IF(COUNTIFS('AFA Rates'!$A$5:$A$1004,$A154,'AFA Rates'!$B$5:$B$1004,M$23,'AFA Rates'!$O$5:$O$1004,"&lt;&gt;Expired")&gt;0,"✓",IF(COUNTIFS('AFA Rates'!$A$5:$A$1004,$A154,'AFA Rates'!$B$5:$B$1004,M$23)&gt;0,"Exp","")))</f>
        <v/>
      </c>
    </row>
    <row r="155">
      <c r="A155" s="78">
        <f>IFERROR(INDEX(Firms!$A$5:$A$1004,MATCH(132,Firms!$V$5:$V$1004,0)),"")</f>
        <v/>
      </c>
      <c r="B155" s="79">
        <f>IF($A155="","",INDEX(Firms!$B$5:$B$1004,MATCH(132,Firms!$V$5:$V$1004,0)))</f>
        <v/>
      </c>
      <c r="C155" s="79">
        <f>IF($A155="","",COUNTIFS('AFA Rates'!$A$5:$A$1004,$A155,'AFA Rates'!$O$5:$O$1004,"&lt;&gt;Expired"))</f>
        <v/>
      </c>
      <c r="D155" s="79">
        <f>IF(OR($A155="",D$23=""),"",IF(COUNTIFS('AFA Rates'!$A$5:$A$1004,$A155,'AFA Rates'!$B$5:$B$1004,D$23,'AFA Rates'!$O$5:$O$1004,"&lt;&gt;Expired")&gt;0,"✓",IF(COUNTIFS('AFA Rates'!$A$5:$A$1004,$A155,'AFA Rates'!$B$5:$B$1004,D$23)&gt;0,"Exp","")))</f>
        <v/>
      </c>
      <c r="E155" s="79">
        <f>IF(OR($A155="",E$23=""),"",IF(COUNTIFS('AFA Rates'!$A$5:$A$1004,$A155,'AFA Rates'!$B$5:$B$1004,E$23,'AFA Rates'!$O$5:$O$1004,"&lt;&gt;Expired")&gt;0,"✓",IF(COUNTIFS('AFA Rates'!$A$5:$A$1004,$A155,'AFA Rates'!$B$5:$B$1004,E$23)&gt;0,"Exp","")))</f>
        <v/>
      </c>
      <c r="F155" s="79">
        <f>IF(OR($A155="",F$23=""),"",IF(COUNTIFS('AFA Rates'!$A$5:$A$1004,$A155,'AFA Rates'!$B$5:$B$1004,F$23,'AFA Rates'!$O$5:$O$1004,"&lt;&gt;Expired")&gt;0,"✓",IF(COUNTIFS('AFA Rates'!$A$5:$A$1004,$A155,'AFA Rates'!$B$5:$B$1004,F$23)&gt;0,"Exp","")))</f>
        <v/>
      </c>
      <c r="G155" s="79">
        <f>IF(OR($A155="",G$23=""),"",IF(COUNTIFS('AFA Rates'!$A$5:$A$1004,$A155,'AFA Rates'!$B$5:$B$1004,G$23,'AFA Rates'!$O$5:$O$1004,"&lt;&gt;Expired")&gt;0,"✓",IF(COUNTIFS('AFA Rates'!$A$5:$A$1004,$A155,'AFA Rates'!$B$5:$B$1004,G$23)&gt;0,"Exp","")))</f>
        <v/>
      </c>
      <c r="H155" s="79">
        <f>IF(OR($A155="",H$23=""),"",IF(COUNTIFS('AFA Rates'!$A$5:$A$1004,$A155,'AFA Rates'!$B$5:$B$1004,H$23,'AFA Rates'!$O$5:$O$1004,"&lt;&gt;Expired")&gt;0,"✓",IF(COUNTIFS('AFA Rates'!$A$5:$A$1004,$A155,'AFA Rates'!$B$5:$B$1004,H$23)&gt;0,"Exp","")))</f>
        <v/>
      </c>
      <c r="I155" s="79">
        <f>IF(OR($A155="",I$23=""),"",IF(COUNTIFS('AFA Rates'!$A$5:$A$1004,$A155,'AFA Rates'!$B$5:$B$1004,I$23,'AFA Rates'!$O$5:$O$1004,"&lt;&gt;Expired")&gt;0,"✓",IF(COUNTIFS('AFA Rates'!$A$5:$A$1004,$A155,'AFA Rates'!$B$5:$B$1004,I$23)&gt;0,"Exp","")))</f>
        <v/>
      </c>
      <c r="J155" s="79">
        <f>IF(OR($A155="",J$23=""),"",IF(COUNTIFS('AFA Rates'!$A$5:$A$1004,$A155,'AFA Rates'!$B$5:$B$1004,J$23,'AFA Rates'!$O$5:$O$1004,"&lt;&gt;Expired")&gt;0,"✓",IF(COUNTIFS('AFA Rates'!$A$5:$A$1004,$A155,'AFA Rates'!$B$5:$B$1004,J$23)&gt;0,"Exp","")))</f>
        <v/>
      </c>
      <c r="K155" s="79">
        <f>IF(OR($A155="",K$23=""),"",IF(COUNTIFS('AFA Rates'!$A$5:$A$1004,$A155,'AFA Rates'!$B$5:$B$1004,K$23,'AFA Rates'!$O$5:$O$1004,"&lt;&gt;Expired")&gt;0,"✓",IF(COUNTIFS('AFA Rates'!$A$5:$A$1004,$A155,'AFA Rates'!$B$5:$B$1004,K$23)&gt;0,"Exp","")))</f>
        <v/>
      </c>
      <c r="L155" s="79">
        <f>IF(OR($A155="",L$23=""),"",IF(COUNTIFS('AFA Rates'!$A$5:$A$1004,$A155,'AFA Rates'!$B$5:$B$1004,L$23,'AFA Rates'!$O$5:$O$1004,"&lt;&gt;Expired")&gt;0,"✓",IF(COUNTIFS('AFA Rates'!$A$5:$A$1004,$A155,'AFA Rates'!$B$5:$B$1004,L$23)&gt;0,"Exp","")))</f>
        <v/>
      </c>
      <c r="M155" s="79">
        <f>IF(OR($A155="",M$23=""),"",IF(COUNTIFS('AFA Rates'!$A$5:$A$1004,$A155,'AFA Rates'!$B$5:$B$1004,M$23,'AFA Rates'!$O$5:$O$1004,"&lt;&gt;Expired")&gt;0,"✓",IF(COUNTIFS('AFA Rates'!$A$5:$A$1004,$A155,'AFA Rates'!$B$5:$B$1004,M$23)&gt;0,"Exp","")))</f>
        <v/>
      </c>
    </row>
    <row r="156">
      <c r="A156" s="78">
        <f>IFERROR(INDEX(Firms!$A$5:$A$1004,MATCH(133,Firms!$V$5:$V$1004,0)),"")</f>
        <v/>
      </c>
      <c r="B156" s="79">
        <f>IF($A156="","",INDEX(Firms!$B$5:$B$1004,MATCH(133,Firms!$V$5:$V$1004,0)))</f>
        <v/>
      </c>
      <c r="C156" s="79">
        <f>IF($A156="","",COUNTIFS('AFA Rates'!$A$5:$A$1004,$A156,'AFA Rates'!$O$5:$O$1004,"&lt;&gt;Expired"))</f>
        <v/>
      </c>
      <c r="D156" s="79">
        <f>IF(OR($A156="",D$23=""),"",IF(COUNTIFS('AFA Rates'!$A$5:$A$1004,$A156,'AFA Rates'!$B$5:$B$1004,D$23,'AFA Rates'!$O$5:$O$1004,"&lt;&gt;Expired")&gt;0,"✓",IF(COUNTIFS('AFA Rates'!$A$5:$A$1004,$A156,'AFA Rates'!$B$5:$B$1004,D$23)&gt;0,"Exp","")))</f>
        <v/>
      </c>
      <c r="E156" s="79">
        <f>IF(OR($A156="",E$23=""),"",IF(COUNTIFS('AFA Rates'!$A$5:$A$1004,$A156,'AFA Rates'!$B$5:$B$1004,E$23,'AFA Rates'!$O$5:$O$1004,"&lt;&gt;Expired")&gt;0,"✓",IF(COUNTIFS('AFA Rates'!$A$5:$A$1004,$A156,'AFA Rates'!$B$5:$B$1004,E$23)&gt;0,"Exp","")))</f>
        <v/>
      </c>
      <c r="F156" s="79">
        <f>IF(OR($A156="",F$23=""),"",IF(COUNTIFS('AFA Rates'!$A$5:$A$1004,$A156,'AFA Rates'!$B$5:$B$1004,F$23,'AFA Rates'!$O$5:$O$1004,"&lt;&gt;Expired")&gt;0,"✓",IF(COUNTIFS('AFA Rates'!$A$5:$A$1004,$A156,'AFA Rates'!$B$5:$B$1004,F$23)&gt;0,"Exp","")))</f>
        <v/>
      </c>
      <c r="G156" s="79">
        <f>IF(OR($A156="",G$23=""),"",IF(COUNTIFS('AFA Rates'!$A$5:$A$1004,$A156,'AFA Rates'!$B$5:$B$1004,G$23,'AFA Rates'!$O$5:$O$1004,"&lt;&gt;Expired")&gt;0,"✓",IF(COUNTIFS('AFA Rates'!$A$5:$A$1004,$A156,'AFA Rates'!$B$5:$B$1004,G$23)&gt;0,"Exp","")))</f>
        <v/>
      </c>
      <c r="H156" s="79">
        <f>IF(OR($A156="",H$23=""),"",IF(COUNTIFS('AFA Rates'!$A$5:$A$1004,$A156,'AFA Rates'!$B$5:$B$1004,H$23,'AFA Rates'!$O$5:$O$1004,"&lt;&gt;Expired")&gt;0,"✓",IF(COUNTIFS('AFA Rates'!$A$5:$A$1004,$A156,'AFA Rates'!$B$5:$B$1004,H$23)&gt;0,"Exp","")))</f>
        <v/>
      </c>
      <c r="I156" s="79">
        <f>IF(OR($A156="",I$23=""),"",IF(COUNTIFS('AFA Rates'!$A$5:$A$1004,$A156,'AFA Rates'!$B$5:$B$1004,I$23,'AFA Rates'!$O$5:$O$1004,"&lt;&gt;Expired")&gt;0,"✓",IF(COUNTIFS('AFA Rates'!$A$5:$A$1004,$A156,'AFA Rates'!$B$5:$B$1004,I$23)&gt;0,"Exp","")))</f>
        <v/>
      </c>
      <c r="J156" s="79">
        <f>IF(OR($A156="",J$23=""),"",IF(COUNTIFS('AFA Rates'!$A$5:$A$1004,$A156,'AFA Rates'!$B$5:$B$1004,J$23,'AFA Rates'!$O$5:$O$1004,"&lt;&gt;Expired")&gt;0,"✓",IF(COUNTIFS('AFA Rates'!$A$5:$A$1004,$A156,'AFA Rates'!$B$5:$B$1004,J$23)&gt;0,"Exp","")))</f>
        <v/>
      </c>
      <c r="K156" s="79">
        <f>IF(OR($A156="",K$23=""),"",IF(COUNTIFS('AFA Rates'!$A$5:$A$1004,$A156,'AFA Rates'!$B$5:$B$1004,K$23,'AFA Rates'!$O$5:$O$1004,"&lt;&gt;Expired")&gt;0,"✓",IF(COUNTIFS('AFA Rates'!$A$5:$A$1004,$A156,'AFA Rates'!$B$5:$B$1004,K$23)&gt;0,"Exp","")))</f>
        <v/>
      </c>
      <c r="L156" s="79">
        <f>IF(OR($A156="",L$23=""),"",IF(COUNTIFS('AFA Rates'!$A$5:$A$1004,$A156,'AFA Rates'!$B$5:$B$1004,L$23,'AFA Rates'!$O$5:$O$1004,"&lt;&gt;Expired")&gt;0,"✓",IF(COUNTIFS('AFA Rates'!$A$5:$A$1004,$A156,'AFA Rates'!$B$5:$B$1004,L$23)&gt;0,"Exp","")))</f>
        <v/>
      </c>
      <c r="M156" s="79">
        <f>IF(OR($A156="",M$23=""),"",IF(COUNTIFS('AFA Rates'!$A$5:$A$1004,$A156,'AFA Rates'!$B$5:$B$1004,M$23,'AFA Rates'!$O$5:$O$1004,"&lt;&gt;Expired")&gt;0,"✓",IF(COUNTIFS('AFA Rates'!$A$5:$A$1004,$A156,'AFA Rates'!$B$5:$B$1004,M$23)&gt;0,"Exp","")))</f>
        <v/>
      </c>
    </row>
    <row r="157">
      <c r="A157" s="78">
        <f>IFERROR(INDEX(Firms!$A$5:$A$1004,MATCH(134,Firms!$V$5:$V$1004,0)),"")</f>
        <v/>
      </c>
      <c r="B157" s="79">
        <f>IF($A157="","",INDEX(Firms!$B$5:$B$1004,MATCH(134,Firms!$V$5:$V$1004,0)))</f>
        <v/>
      </c>
      <c r="C157" s="79">
        <f>IF($A157="","",COUNTIFS('AFA Rates'!$A$5:$A$1004,$A157,'AFA Rates'!$O$5:$O$1004,"&lt;&gt;Expired"))</f>
        <v/>
      </c>
      <c r="D157" s="79">
        <f>IF(OR($A157="",D$23=""),"",IF(COUNTIFS('AFA Rates'!$A$5:$A$1004,$A157,'AFA Rates'!$B$5:$B$1004,D$23,'AFA Rates'!$O$5:$O$1004,"&lt;&gt;Expired")&gt;0,"✓",IF(COUNTIFS('AFA Rates'!$A$5:$A$1004,$A157,'AFA Rates'!$B$5:$B$1004,D$23)&gt;0,"Exp","")))</f>
        <v/>
      </c>
      <c r="E157" s="79">
        <f>IF(OR($A157="",E$23=""),"",IF(COUNTIFS('AFA Rates'!$A$5:$A$1004,$A157,'AFA Rates'!$B$5:$B$1004,E$23,'AFA Rates'!$O$5:$O$1004,"&lt;&gt;Expired")&gt;0,"✓",IF(COUNTIFS('AFA Rates'!$A$5:$A$1004,$A157,'AFA Rates'!$B$5:$B$1004,E$23)&gt;0,"Exp","")))</f>
        <v/>
      </c>
      <c r="F157" s="79">
        <f>IF(OR($A157="",F$23=""),"",IF(COUNTIFS('AFA Rates'!$A$5:$A$1004,$A157,'AFA Rates'!$B$5:$B$1004,F$23,'AFA Rates'!$O$5:$O$1004,"&lt;&gt;Expired")&gt;0,"✓",IF(COUNTIFS('AFA Rates'!$A$5:$A$1004,$A157,'AFA Rates'!$B$5:$B$1004,F$23)&gt;0,"Exp","")))</f>
        <v/>
      </c>
      <c r="G157" s="79">
        <f>IF(OR($A157="",G$23=""),"",IF(COUNTIFS('AFA Rates'!$A$5:$A$1004,$A157,'AFA Rates'!$B$5:$B$1004,G$23,'AFA Rates'!$O$5:$O$1004,"&lt;&gt;Expired")&gt;0,"✓",IF(COUNTIFS('AFA Rates'!$A$5:$A$1004,$A157,'AFA Rates'!$B$5:$B$1004,G$23)&gt;0,"Exp","")))</f>
        <v/>
      </c>
      <c r="H157" s="79">
        <f>IF(OR($A157="",H$23=""),"",IF(COUNTIFS('AFA Rates'!$A$5:$A$1004,$A157,'AFA Rates'!$B$5:$B$1004,H$23,'AFA Rates'!$O$5:$O$1004,"&lt;&gt;Expired")&gt;0,"✓",IF(COUNTIFS('AFA Rates'!$A$5:$A$1004,$A157,'AFA Rates'!$B$5:$B$1004,H$23)&gt;0,"Exp","")))</f>
        <v/>
      </c>
      <c r="I157" s="79">
        <f>IF(OR($A157="",I$23=""),"",IF(COUNTIFS('AFA Rates'!$A$5:$A$1004,$A157,'AFA Rates'!$B$5:$B$1004,I$23,'AFA Rates'!$O$5:$O$1004,"&lt;&gt;Expired")&gt;0,"✓",IF(COUNTIFS('AFA Rates'!$A$5:$A$1004,$A157,'AFA Rates'!$B$5:$B$1004,I$23)&gt;0,"Exp","")))</f>
        <v/>
      </c>
      <c r="J157" s="79">
        <f>IF(OR($A157="",J$23=""),"",IF(COUNTIFS('AFA Rates'!$A$5:$A$1004,$A157,'AFA Rates'!$B$5:$B$1004,J$23,'AFA Rates'!$O$5:$O$1004,"&lt;&gt;Expired")&gt;0,"✓",IF(COUNTIFS('AFA Rates'!$A$5:$A$1004,$A157,'AFA Rates'!$B$5:$B$1004,J$23)&gt;0,"Exp","")))</f>
        <v/>
      </c>
      <c r="K157" s="79">
        <f>IF(OR($A157="",K$23=""),"",IF(COUNTIFS('AFA Rates'!$A$5:$A$1004,$A157,'AFA Rates'!$B$5:$B$1004,K$23,'AFA Rates'!$O$5:$O$1004,"&lt;&gt;Expired")&gt;0,"✓",IF(COUNTIFS('AFA Rates'!$A$5:$A$1004,$A157,'AFA Rates'!$B$5:$B$1004,K$23)&gt;0,"Exp","")))</f>
        <v/>
      </c>
      <c r="L157" s="79">
        <f>IF(OR($A157="",L$23=""),"",IF(COUNTIFS('AFA Rates'!$A$5:$A$1004,$A157,'AFA Rates'!$B$5:$B$1004,L$23,'AFA Rates'!$O$5:$O$1004,"&lt;&gt;Expired")&gt;0,"✓",IF(COUNTIFS('AFA Rates'!$A$5:$A$1004,$A157,'AFA Rates'!$B$5:$B$1004,L$23)&gt;0,"Exp","")))</f>
        <v/>
      </c>
      <c r="M157" s="79">
        <f>IF(OR($A157="",M$23=""),"",IF(COUNTIFS('AFA Rates'!$A$5:$A$1004,$A157,'AFA Rates'!$B$5:$B$1004,M$23,'AFA Rates'!$O$5:$O$1004,"&lt;&gt;Expired")&gt;0,"✓",IF(COUNTIFS('AFA Rates'!$A$5:$A$1004,$A157,'AFA Rates'!$B$5:$B$1004,M$23)&gt;0,"Exp","")))</f>
        <v/>
      </c>
    </row>
    <row r="158">
      <c r="A158" s="78">
        <f>IFERROR(INDEX(Firms!$A$5:$A$1004,MATCH(135,Firms!$V$5:$V$1004,0)),"")</f>
        <v/>
      </c>
      <c r="B158" s="79">
        <f>IF($A158="","",INDEX(Firms!$B$5:$B$1004,MATCH(135,Firms!$V$5:$V$1004,0)))</f>
        <v/>
      </c>
      <c r="C158" s="79">
        <f>IF($A158="","",COUNTIFS('AFA Rates'!$A$5:$A$1004,$A158,'AFA Rates'!$O$5:$O$1004,"&lt;&gt;Expired"))</f>
        <v/>
      </c>
      <c r="D158" s="79">
        <f>IF(OR($A158="",D$23=""),"",IF(COUNTIFS('AFA Rates'!$A$5:$A$1004,$A158,'AFA Rates'!$B$5:$B$1004,D$23,'AFA Rates'!$O$5:$O$1004,"&lt;&gt;Expired")&gt;0,"✓",IF(COUNTIFS('AFA Rates'!$A$5:$A$1004,$A158,'AFA Rates'!$B$5:$B$1004,D$23)&gt;0,"Exp","")))</f>
        <v/>
      </c>
      <c r="E158" s="79">
        <f>IF(OR($A158="",E$23=""),"",IF(COUNTIFS('AFA Rates'!$A$5:$A$1004,$A158,'AFA Rates'!$B$5:$B$1004,E$23,'AFA Rates'!$O$5:$O$1004,"&lt;&gt;Expired")&gt;0,"✓",IF(COUNTIFS('AFA Rates'!$A$5:$A$1004,$A158,'AFA Rates'!$B$5:$B$1004,E$23)&gt;0,"Exp","")))</f>
        <v/>
      </c>
      <c r="F158" s="79">
        <f>IF(OR($A158="",F$23=""),"",IF(COUNTIFS('AFA Rates'!$A$5:$A$1004,$A158,'AFA Rates'!$B$5:$B$1004,F$23,'AFA Rates'!$O$5:$O$1004,"&lt;&gt;Expired")&gt;0,"✓",IF(COUNTIFS('AFA Rates'!$A$5:$A$1004,$A158,'AFA Rates'!$B$5:$B$1004,F$23)&gt;0,"Exp","")))</f>
        <v/>
      </c>
      <c r="G158" s="79">
        <f>IF(OR($A158="",G$23=""),"",IF(COUNTIFS('AFA Rates'!$A$5:$A$1004,$A158,'AFA Rates'!$B$5:$B$1004,G$23,'AFA Rates'!$O$5:$O$1004,"&lt;&gt;Expired")&gt;0,"✓",IF(COUNTIFS('AFA Rates'!$A$5:$A$1004,$A158,'AFA Rates'!$B$5:$B$1004,G$23)&gt;0,"Exp","")))</f>
        <v/>
      </c>
      <c r="H158" s="79">
        <f>IF(OR($A158="",H$23=""),"",IF(COUNTIFS('AFA Rates'!$A$5:$A$1004,$A158,'AFA Rates'!$B$5:$B$1004,H$23,'AFA Rates'!$O$5:$O$1004,"&lt;&gt;Expired")&gt;0,"✓",IF(COUNTIFS('AFA Rates'!$A$5:$A$1004,$A158,'AFA Rates'!$B$5:$B$1004,H$23)&gt;0,"Exp","")))</f>
        <v/>
      </c>
      <c r="I158" s="79">
        <f>IF(OR($A158="",I$23=""),"",IF(COUNTIFS('AFA Rates'!$A$5:$A$1004,$A158,'AFA Rates'!$B$5:$B$1004,I$23,'AFA Rates'!$O$5:$O$1004,"&lt;&gt;Expired")&gt;0,"✓",IF(COUNTIFS('AFA Rates'!$A$5:$A$1004,$A158,'AFA Rates'!$B$5:$B$1004,I$23)&gt;0,"Exp","")))</f>
        <v/>
      </c>
      <c r="J158" s="79">
        <f>IF(OR($A158="",J$23=""),"",IF(COUNTIFS('AFA Rates'!$A$5:$A$1004,$A158,'AFA Rates'!$B$5:$B$1004,J$23,'AFA Rates'!$O$5:$O$1004,"&lt;&gt;Expired")&gt;0,"✓",IF(COUNTIFS('AFA Rates'!$A$5:$A$1004,$A158,'AFA Rates'!$B$5:$B$1004,J$23)&gt;0,"Exp","")))</f>
        <v/>
      </c>
      <c r="K158" s="79">
        <f>IF(OR($A158="",K$23=""),"",IF(COUNTIFS('AFA Rates'!$A$5:$A$1004,$A158,'AFA Rates'!$B$5:$B$1004,K$23,'AFA Rates'!$O$5:$O$1004,"&lt;&gt;Expired")&gt;0,"✓",IF(COUNTIFS('AFA Rates'!$A$5:$A$1004,$A158,'AFA Rates'!$B$5:$B$1004,K$23)&gt;0,"Exp","")))</f>
        <v/>
      </c>
      <c r="L158" s="79">
        <f>IF(OR($A158="",L$23=""),"",IF(COUNTIFS('AFA Rates'!$A$5:$A$1004,$A158,'AFA Rates'!$B$5:$B$1004,L$23,'AFA Rates'!$O$5:$O$1004,"&lt;&gt;Expired")&gt;0,"✓",IF(COUNTIFS('AFA Rates'!$A$5:$A$1004,$A158,'AFA Rates'!$B$5:$B$1004,L$23)&gt;0,"Exp","")))</f>
        <v/>
      </c>
      <c r="M158" s="79">
        <f>IF(OR($A158="",M$23=""),"",IF(COUNTIFS('AFA Rates'!$A$5:$A$1004,$A158,'AFA Rates'!$B$5:$B$1004,M$23,'AFA Rates'!$O$5:$O$1004,"&lt;&gt;Expired")&gt;0,"✓",IF(COUNTIFS('AFA Rates'!$A$5:$A$1004,$A158,'AFA Rates'!$B$5:$B$1004,M$23)&gt;0,"Exp","")))</f>
        <v/>
      </c>
    </row>
    <row r="159">
      <c r="A159" s="78">
        <f>IFERROR(INDEX(Firms!$A$5:$A$1004,MATCH(136,Firms!$V$5:$V$1004,0)),"")</f>
        <v/>
      </c>
      <c r="B159" s="79">
        <f>IF($A159="","",INDEX(Firms!$B$5:$B$1004,MATCH(136,Firms!$V$5:$V$1004,0)))</f>
        <v/>
      </c>
      <c r="C159" s="79">
        <f>IF($A159="","",COUNTIFS('AFA Rates'!$A$5:$A$1004,$A159,'AFA Rates'!$O$5:$O$1004,"&lt;&gt;Expired"))</f>
        <v/>
      </c>
      <c r="D159" s="79">
        <f>IF(OR($A159="",D$23=""),"",IF(COUNTIFS('AFA Rates'!$A$5:$A$1004,$A159,'AFA Rates'!$B$5:$B$1004,D$23,'AFA Rates'!$O$5:$O$1004,"&lt;&gt;Expired")&gt;0,"✓",IF(COUNTIFS('AFA Rates'!$A$5:$A$1004,$A159,'AFA Rates'!$B$5:$B$1004,D$23)&gt;0,"Exp","")))</f>
        <v/>
      </c>
      <c r="E159" s="79">
        <f>IF(OR($A159="",E$23=""),"",IF(COUNTIFS('AFA Rates'!$A$5:$A$1004,$A159,'AFA Rates'!$B$5:$B$1004,E$23,'AFA Rates'!$O$5:$O$1004,"&lt;&gt;Expired")&gt;0,"✓",IF(COUNTIFS('AFA Rates'!$A$5:$A$1004,$A159,'AFA Rates'!$B$5:$B$1004,E$23)&gt;0,"Exp","")))</f>
        <v/>
      </c>
      <c r="F159" s="79">
        <f>IF(OR($A159="",F$23=""),"",IF(COUNTIFS('AFA Rates'!$A$5:$A$1004,$A159,'AFA Rates'!$B$5:$B$1004,F$23,'AFA Rates'!$O$5:$O$1004,"&lt;&gt;Expired")&gt;0,"✓",IF(COUNTIFS('AFA Rates'!$A$5:$A$1004,$A159,'AFA Rates'!$B$5:$B$1004,F$23)&gt;0,"Exp","")))</f>
        <v/>
      </c>
      <c r="G159" s="79">
        <f>IF(OR($A159="",G$23=""),"",IF(COUNTIFS('AFA Rates'!$A$5:$A$1004,$A159,'AFA Rates'!$B$5:$B$1004,G$23,'AFA Rates'!$O$5:$O$1004,"&lt;&gt;Expired")&gt;0,"✓",IF(COUNTIFS('AFA Rates'!$A$5:$A$1004,$A159,'AFA Rates'!$B$5:$B$1004,G$23)&gt;0,"Exp","")))</f>
        <v/>
      </c>
      <c r="H159" s="79">
        <f>IF(OR($A159="",H$23=""),"",IF(COUNTIFS('AFA Rates'!$A$5:$A$1004,$A159,'AFA Rates'!$B$5:$B$1004,H$23,'AFA Rates'!$O$5:$O$1004,"&lt;&gt;Expired")&gt;0,"✓",IF(COUNTIFS('AFA Rates'!$A$5:$A$1004,$A159,'AFA Rates'!$B$5:$B$1004,H$23)&gt;0,"Exp","")))</f>
        <v/>
      </c>
      <c r="I159" s="79">
        <f>IF(OR($A159="",I$23=""),"",IF(COUNTIFS('AFA Rates'!$A$5:$A$1004,$A159,'AFA Rates'!$B$5:$B$1004,I$23,'AFA Rates'!$O$5:$O$1004,"&lt;&gt;Expired")&gt;0,"✓",IF(COUNTIFS('AFA Rates'!$A$5:$A$1004,$A159,'AFA Rates'!$B$5:$B$1004,I$23)&gt;0,"Exp","")))</f>
        <v/>
      </c>
      <c r="J159" s="79">
        <f>IF(OR($A159="",J$23=""),"",IF(COUNTIFS('AFA Rates'!$A$5:$A$1004,$A159,'AFA Rates'!$B$5:$B$1004,J$23,'AFA Rates'!$O$5:$O$1004,"&lt;&gt;Expired")&gt;0,"✓",IF(COUNTIFS('AFA Rates'!$A$5:$A$1004,$A159,'AFA Rates'!$B$5:$B$1004,J$23)&gt;0,"Exp","")))</f>
        <v/>
      </c>
      <c r="K159" s="79">
        <f>IF(OR($A159="",K$23=""),"",IF(COUNTIFS('AFA Rates'!$A$5:$A$1004,$A159,'AFA Rates'!$B$5:$B$1004,K$23,'AFA Rates'!$O$5:$O$1004,"&lt;&gt;Expired")&gt;0,"✓",IF(COUNTIFS('AFA Rates'!$A$5:$A$1004,$A159,'AFA Rates'!$B$5:$B$1004,K$23)&gt;0,"Exp","")))</f>
        <v/>
      </c>
      <c r="L159" s="79">
        <f>IF(OR($A159="",L$23=""),"",IF(COUNTIFS('AFA Rates'!$A$5:$A$1004,$A159,'AFA Rates'!$B$5:$B$1004,L$23,'AFA Rates'!$O$5:$O$1004,"&lt;&gt;Expired")&gt;0,"✓",IF(COUNTIFS('AFA Rates'!$A$5:$A$1004,$A159,'AFA Rates'!$B$5:$B$1004,L$23)&gt;0,"Exp","")))</f>
        <v/>
      </c>
      <c r="M159" s="79">
        <f>IF(OR($A159="",M$23=""),"",IF(COUNTIFS('AFA Rates'!$A$5:$A$1004,$A159,'AFA Rates'!$B$5:$B$1004,M$23,'AFA Rates'!$O$5:$O$1004,"&lt;&gt;Expired")&gt;0,"✓",IF(COUNTIFS('AFA Rates'!$A$5:$A$1004,$A159,'AFA Rates'!$B$5:$B$1004,M$23)&gt;0,"Exp","")))</f>
        <v/>
      </c>
    </row>
    <row r="160">
      <c r="A160" s="78">
        <f>IFERROR(INDEX(Firms!$A$5:$A$1004,MATCH(137,Firms!$V$5:$V$1004,0)),"")</f>
        <v/>
      </c>
      <c r="B160" s="79">
        <f>IF($A160="","",INDEX(Firms!$B$5:$B$1004,MATCH(137,Firms!$V$5:$V$1004,0)))</f>
        <v/>
      </c>
      <c r="C160" s="79">
        <f>IF($A160="","",COUNTIFS('AFA Rates'!$A$5:$A$1004,$A160,'AFA Rates'!$O$5:$O$1004,"&lt;&gt;Expired"))</f>
        <v/>
      </c>
      <c r="D160" s="79">
        <f>IF(OR($A160="",D$23=""),"",IF(COUNTIFS('AFA Rates'!$A$5:$A$1004,$A160,'AFA Rates'!$B$5:$B$1004,D$23,'AFA Rates'!$O$5:$O$1004,"&lt;&gt;Expired")&gt;0,"✓",IF(COUNTIFS('AFA Rates'!$A$5:$A$1004,$A160,'AFA Rates'!$B$5:$B$1004,D$23)&gt;0,"Exp","")))</f>
        <v/>
      </c>
      <c r="E160" s="79">
        <f>IF(OR($A160="",E$23=""),"",IF(COUNTIFS('AFA Rates'!$A$5:$A$1004,$A160,'AFA Rates'!$B$5:$B$1004,E$23,'AFA Rates'!$O$5:$O$1004,"&lt;&gt;Expired")&gt;0,"✓",IF(COUNTIFS('AFA Rates'!$A$5:$A$1004,$A160,'AFA Rates'!$B$5:$B$1004,E$23)&gt;0,"Exp","")))</f>
        <v/>
      </c>
      <c r="F160" s="79">
        <f>IF(OR($A160="",F$23=""),"",IF(COUNTIFS('AFA Rates'!$A$5:$A$1004,$A160,'AFA Rates'!$B$5:$B$1004,F$23,'AFA Rates'!$O$5:$O$1004,"&lt;&gt;Expired")&gt;0,"✓",IF(COUNTIFS('AFA Rates'!$A$5:$A$1004,$A160,'AFA Rates'!$B$5:$B$1004,F$23)&gt;0,"Exp","")))</f>
        <v/>
      </c>
      <c r="G160" s="79">
        <f>IF(OR($A160="",G$23=""),"",IF(COUNTIFS('AFA Rates'!$A$5:$A$1004,$A160,'AFA Rates'!$B$5:$B$1004,G$23,'AFA Rates'!$O$5:$O$1004,"&lt;&gt;Expired")&gt;0,"✓",IF(COUNTIFS('AFA Rates'!$A$5:$A$1004,$A160,'AFA Rates'!$B$5:$B$1004,G$23)&gt;0,"Exp","")))</f>
        <v/>
      </c>
      <c r="H160" s="79">
        <f>IF(OR($A160="",H$23=""),"",IF(COUNTIFS('AFA Rates'!$A$5:$A$1004,$A160,'AFA Rates'!$B$5:$B$1004,H$23,'AFA Rates'!$O$5:$O$1004,"&lt;&gt;Expired")&gt;0,"✓",IF(COUNTIFS('AFA Rates'!$A$5:$A$1004,$A160,'AFA Rates'!$B$5:$B$1004,H$23)&gt;0,"Exp","")))</f>
        <v/>
      </c>
      <c r="I160" s="79">
        <f>IF(OR($A160="",I$23=""),"",IF(COUNTIFS('AFA Rates'!$A$5:$A$1004,$A160,'AFA Rates'!$B$5:$B$1004,I$23,'AFA Rates'!$O$5:$O$1004,"&lt;&gt;Expired")&gt;0,"✓",IF(COUNTIFS('AFA Rates'!$A$5:$A$1004,$A160,'AFA Rates'!$B$5:$B$1004,I$23)&gt;0,"Exp","")))</f>
        <v/>
      </c>
      <c r="J160" s="79">
        <f>IF(OR($A160="",J$23=""),"",IF(COUNTIFS('AFA Rates'!$A$5:$A$1004,$A160,'AFA Rates'!$B$5:$B$1004,J$23,'AFA Rates'!$O$5:$O$1004,"&lt;&gt;Expired")&gt;0,"✓",IF(COUNTIFS('AFA Rates'!$A$5:$A$1004,$A160,'AFA Rates'!$B$5:$B$1004,J$23)&gt;0,"Exp","")))</f>
        <v/>
      </c>
      <c r="K160" s="79">
        <f>IF(OR($A160="",K$23=""),"",IF(COUNTIFS('AFA Rates'!$A$5:$A$1004,$A160,'AFA Rates'!$B$5:$B$1004,K$23,'AFA Rates'!$O$5:$O$1004,"&lt;&gt;Expired")&gt;0,"✓",IF(COUNTIFS('AFA Rates'!$A$5:$A$1004,$A160,'AFA Rates'!$B$5:$B$1004,K$23)&gt;0,"Exp","")))</f>
        <v/>
      </c>
      <c r="L160" s="79">
        <f>IF(OR($A160="",L$23=""),"",IF(COUNTIFS('AFA Rates'!$A$5:$A$1004,$A160,'AFA Rates'!$B$5:$B$1004,L$23,'AFA Rates'!$O$5:$O$1004,"&lt;&gt;Expired")&gt;0,"✓",IF(COUNTIFS('AFA Rates'!$A$5:$A$1004,$A160,'AFA Rates'!$B$5:$B$1004,L$23)&gt;0,"Exp","")))</f>
        <v/>
      </c>
      <c r="M160" s="79">
        <f>IF(OR($A160="",M$23=""),"",IF(COUNTIFS('AFA Rates'!$A$5:$A$1004,$A160,'AFA Rates'!$B$5:$B$1004,M$23,'AFA Rates'!$O$5:$O$1004,"&lt;&gt;Expired")&gt;0,"✓",IF(COUNTIFS('AFA Rates'!$A$5:$A$1004,$A160,'AFA Rates'!$B$5:$B$1004,M$23)&gt;0,"Exp","")))</f>
        <v/>
      </c>
    </row>
    <row r="161">
      <c r="A161" s="78">
        <f>IFERROR(INDEX(Firms!$A$5:$A$1004,MATCH(138,Firms!$V$5:$V$1004,0)),"")</f>
        <v/>
      </c>
      <c r="B161" s="79">
        <f>IF($A161="","",INDEX(Firms!$B$5:$B$1004,MATCH(138,Firms!$V$5:$V$1004,0)))</f>
        <v/>
      </c>
      <c r="C161" s="79">
        <f>IF($A161="","",COUNTIFS('AFA Rates'!$A$5:$A$1004,$A161,'AFA Rates'!$O$5:$O$1004,"&lt;&gt;Expired"))</f>
        <v/>
      </c>
      <c r="D161" s="79">
        <f>IF(OR($A161="",D$23=""),"",IF(COUNTIFS('AFA Rates'!$A$5:$A$1004,$A161,'AFA Rates'!$B$5:$B$1004,D$23,'AFA Rates'!$O$5:$O$1004,"&lt;&gt;Expired")&gt;0,"✓",IF(COUNTIFS('AFA Rates'!$A$5:$A$1004,$A161,'AFA Rates'!$B$5:$B$1004,D$23)&gt;0,"Exp","")))</f>
        <v/>
      </c>
      <c r="E161" s="79">
        <f>IF(OR($A161="",E$23=""),"",IF(COUNTIFS('AFA Rates'!$A$5:$A$1004,$A161,'AFA Rates'!$B$5:$B$1004,E$23,'AFA Rates'!$O$5:$O$1004,"&lt;&gt;Expired")&gt;0,"✓",IF(COUNTIFS('AFA Rates'!$A$5:$A$1004,$A161,'AFA Rates'!$B$5:$B$1004,E$23)&gt;0,"Exp","")))</f>
        <v/>
      </c>
      <c r="F161" s="79">
        <f>IF(OR($A161="",F$23=""),"",IF(COUNTIFS('AFA Rates'!$A$5:$A$1004,$A161,'AFA Rates'!$B$5:$B$1004,F$23,'AFA Rates'!$O$5:$O$1004,"&lt;&gt;Expired")&gt;0,"✓",IF(COUNTIFS('AFA Rates'!$A$5:$A$1004,$A161,'AFA Rates'!$B$5:$B$1004,F$23)&gt;0,"Exp","")))</f>
        <v/>
      </c>
      <c r="G161" s="79">
        <f>IF(OR($A161="",G$23=""),"",IF(COUNTIFS('AFA Rates'!$A$5:$A$1004,$A161,'AFA Rates'!$B$5:$B$1004,G$23,'AFA Rates'!$O$5:$O$1004,"&lt;&gt;Expired")&gt;0,"✓",IF(COUNTIFS('AFA Rates'!$A$5:$A$1004,$A161,'AFA Rates'!$B$5:$B$1004,G$23)&gt;0,"Exp","")))</f>
        <v/>
      </c>
      <c r="H161" s="79">
        <f>IF(OR($A161="",H$23=""),"",IF(COUNTIFS('AFA Rates'!$A$5:$A$1004,$A161,'AFA Rates'!$B$5:$B$1004,H$23,'AFA Rates'!$O$5:$O$1004,"&lt;&gt;Expired")&gt;0,"✓",IF(COUNTIFS('AFA Rates'!$A$5:$A$1004,$A161,'AFA Rates'!$B$5:$B$1004,H$23)&gt;0,"Exp","")))</f>
        <v/>
      </c>
      <c r="I161" s="79">
        <f>IF(OR($A161="",I$23=""),"",IF(COUNTIFS('AFA Rates'!$A$5:$A$1004,$A161,'AFA Rates'!$B$5:$B$1004,I$23,'AFA Rates'!$O$5:$O$1004,"&lt;&gt;Expired")&gt;0,"✓",IF(COUNTIFS('AFA Rates'!$A$5:$A$1004,$A161,'AFA Rates'!$B$5:$B$1004,I$23)&gt;0,"Exp","")))</f>
        <v/>
      </c>
      <c r="J161" s="79">
        <f>IF(OR($A161="",J$23=""),"",IF(COUNTIFS('AFA Rates'!$A$5:$A$1004,$A161,'AFA Rates'!$B$5:$B$1004,J$23,'AFA Rates'!$O$5:$O$1004,"&lt;&gt;Expired")&gt;0,"✓",IF(COUNTIFS('AFA Rates'!$A$5:$A$1004,$A161,'AFA Rates'!$B$5:$B$1004,J$23)&gt;0,"Exp","")))</f>
        <v/>
      </c>
      <c r="K161" s="79">
        <f>IF(OR($A161="",K$23=""),"",IF(COUNTIFS('AFA Rates'!$A$5:$A$1004,$A161,'AFA Rates'!$B$5:$B$1004,K$23,'AFA Rates'!$O$5:$O$1004,"&lt;&gt;Expired")&gt;0,"✓",IF(COUNTIFS('AFA Rates'!$A$5:$A$1004,$A161,'AFA Rates'!$B$5:$B$1004,K$23)&gt;0,"Exp","")))</f>
        <v/>
      </c>
      <c r="L161" s="79">
        <f>IF(OR($A161="",L$23=""),"",IF(COUNTIFS('AFA Rates'!$A$5:$A$1004,$A161,'AFA Rates'!$B$5:$B$1004,L$23,'AFA Rates'!$O$5:$O$1004,"&lt;&gt;Expired")&gt;0,"✓",IF(COUNTIFS('AFA Rates'!$A$5:$A$1004,$A161,'AFA Rates'!$B$5:$B$1004,L$23)&gt;0,"Exp","")))</f>
        <v/>
      </c>
      <c r="M161" s="79">
        <f>IF(OR($A161="",M$23=""),"",IF(COUNTIFS('AFA Rates'!$A$5:$A$1004,$A161,'AFA Rates'!$B$5:$B$1004,M$23,'AFA Rates'!$O$5:$O$1004,"&lt;&gt;Expired")&gt;0,"✓",IF(COUNTIFS('AFA Rates'!$A$5:$A$1004,$A161,'AFA Rates'!$B$5:$B$1004,M$23)&gt;0,"Exp","")))</f>
        <v/>
      </c>
    </row>
    <row r="162">
      <c r="A162" s="78">
        <f>IFERROR(INDEX(Firms!$A$5:$A$1004,MATCH(139,Firms!$V$5:$V$1004,0)),"")</f>
        <v/>
      </c>
      <c r="B162" s="79">
        <f>IF($A162="","",INDEX(Firms!$B$5:$B$1004,MATCH(139,Firms!$V$5:$V$1004,0)))</f>
        <v/>
      </c>
      <c r="C162" s="79">
        <f>IF($A162="","",COUNTIFS('AFA Rates'!$A$5:$A$1004,$A162,'AFA Rates'!$O$5:$O$1004,"&lt;&gt;Expired"))</f>
        <v/>
      </c>
      <c r="D162" s="79">
        <f>IF(OR($A162="",D$23=""),"",IF(COUNTIFS('AFA Rates'!$A$5:$A$1004,$A162,'AFA Rates'!$B$5:$B$1004,D$23,'AFA Rates'!$O$5:$O$1004,"&lt;&gt;Expired")&gt;0,"✓",IF(COUNTIFS('AFA Rates'!$A$5:$A$1004,$A162,'AFA Rates'!$B$5:$B$1004,D$23)&gt;0,"Exp","")))</f>
        <v/>
      </c>
      <c r="E162" s="79">
        <f>IF(OR($A162="",E$23=""),"",IF(COUNTIFS('AFA Rates'!$A$5:$A$1004,$A162,'AFA Rates'!$B$5:$B$1004,E$23,'AFA Rates'!$O$5:$O$1004,"&lt;&gt;Expired")&gt;0,"✓",IF(COUNTIFS('AFA Rates'!$A$5:$A$1004,$A162,'AFA Rates'!$B$5:$B$1004,E$23)&gt;0,"Exp","")))</f>
        <v/>
      </c>
      <c r="F162" s="79">
        <f>IF(OR($A162="",F$23=""),"",IF(COUNTIFS('AFA Rates'!$A$5:$A$1004,$A162,'AFA Rates'!$B$5:$B$1004,F$23,'AFA Rates'!$O$5:$O$1004,"&lt;&gt;Expired")&gt;0,"✓",IF(COUNTIFS('AFA Rates'!$A$5:$A$1004,$A162,'AFA Rates'!$B$5:$B$1004,F$23)&gt;0,"Exp","")))</f>
        <v/>
      </c>
      <c r="G162" s="79">
        <f>IF(OR($A162="",G$23=""),"",IF(COUNTIFS('AFA Rates'!$A$5:$A$1004,$A162,'AFA Rates'!$B$5:$B$1004,G$23,'AFA Rates'!$O$5:$O$1004,"&lt;&gt;Expired")&gt;0,"✓",IF(COUNTIFS('AFA Rates'!$A$5:$A$1004,$A162,'AFA Rates'!$B$5:$B$1004,G$23)&gt;0,"Exp","")))</f>
        <v/>
      </c>
      <c r="H162" s="79">
        <f>IF(OR($A162="",H$23=""),"",IF(COUNTIFS('AFA Rates'!$A$5:$A$1004,$A162,'AFA Rates'!$B$5:$B$1004,H$23,'AFA Rates'!$O$5:$O$1004,"&lt;&gt;Expired")&gt;0,"✓",IF(COUNTIFS('AFA Rates'!$A$5:$A$1004,$A162,'AFA Rates'!$B$5:$B$1004,H$23)&gt;0,"Exp","")))</f>
        <v/>
      </c>
      <c r="I162" s="79">
        <f>IF(OR($A162="",I$23=""),"",IF(COUNTIFS('AFA Rates'!$A$5:$A$1004,$A162,'AFA Rates'!$B$5:$B$1004,I$23,'AFA Rates'!$O$5:$O$1004,"&lt;&gt;Expired")&gt;0,"✓",IF(COUNTIFS('AFA Rates'!$A$5:$A$1004,$A162,'AFA Rates'!$B$5:$B$1004,I$23)&gt;0,"Exp","")))</f>
        <v/>
      </c>
      <c r="J162" s="79">
        <f>IF(OR($A162="",J$23=""),"",IF(COUNTIFS('AFA Rates'!$A$5:$A$1004,$A162,'AFA Rates'!$B$5:$B$1004,J$23,'AFA Rates'!$O$5:$O$1004,"&lt;&gt;Expired")&gt;0,"✓",IF(COUNTIFS('AFA Rates'!$A$5:$A$1004,$A162,'AFA Rates'!$B$5:$B$1004,J$23)&gt;0,"Exp","")))</f>
        <v/>
      </c>
      <c r="K162" s="79">
        <f>IF(OR($A162="",K$23=""),"",IF(COUNTIFS('AFA Rates'!$A$5:$A$1004,$A162,'AFA Rates'!$B$5:$B$1004,K$23,'AFA Rates'!$O$5:$O$1004,"&lt;&gt;Expired")&gt;0,"✓",IF(COUNTIFS('AFA Rates'!$A$5:$A$1004,$A162,'AFA Rates'!$B$5:$B$1004,K$23)&gt;0,"Exp","")))</f>
        <v/>
      </c>
      <c r="L162" s="79">
        <f>IF(OR($A162="",L$23=""),"",IF(COUNTIFS('AFA Rates'!$A$5:$A$1004,$A162,'AFA Rates'!$B$5:$B$1004,L$23,'AFA Rates'!$O$5:$O$1004,"&lt;&gt;Expired")&gt;0,"✓",IF(COUNTIFS('AFA Rates'!$A$5:$A$1004,$A162,'AFA Rates'!$B$5:$B$1004,L$23)&gt;0,"Exp","")))</f>
        <v/>
      </c>
      <c r="M162" s="79">
        <f>IF(OR($A162="",M$23=""),"",IF(COUNTIFS('AFA Rates'!$A$5:$A$1004,$A162,'AFA Rates'!$B$5:$B$1004,M$23,'AFA Rates'!$O$5:$O$1004,"&lt;&gt;Expired")&gt;0,"✓",IF(COUNTIFS('AFA Rates'!$A$5:$A$1004,$A162,'AFA Rates'!$B$5:$B$1004,M$23)&gt;0,"Exp","")))</f>
        <v/>
      </c>
    </row>
    <row r="163">
      <c r="A163" s="78">
        <f>IFERROR(INDEX(Firms!$A$5:$A$1004,MATCH(140,Firms!$V$5:$V$1004,0)),"")</f>
        <v/>
      </c>
      <c r="B163" s="79">
        <f>IF($A163="","",INDEX(Firms!$B$5:$B$1004,MATCH(140,Firms!$V$5:$V$1004,0)))</f>
        <v/>
      </c>
      <c r="C163" s="79">
        <f>IF($A163="","",COUNTIFS('AFA Rates'!$A$5:$A$1004,$A163,'AFA Rates'!$O$5:$O$1004,"&lt;&gt;Expired"))</f>
        <v/>
      </c>
      <c r="D163" s="79">
        <f>IF(OR($A163="",D$23=""),"",IF(COUNTIFS('AFA Rates'!$A$5:$A$1004,$A163,'AFA Rates'!$B$5:$B$1004,D$23,'AFA Rates'!$O$5:$O$1004,"&lt;&gt;Expired")&gt;0,"✓",IF(COUNTIFS('AFA Rates'!$A$5:$A$1004,$A163,'AFA Rates'!$B$5:$B$1004,D$23)&gt;0,"Exp","")))</f>
        <v/>
      </c>
      <c r="E163" s="79">
        <f>IF(OR($A163="",E$23=""),"",IF(COUNTIFS('AFA Rates'!$A$5:$A$1004,$A163,'AFA Rates'!$B$5:$B$1004,E$23,'AFA Rates'!$O$5:$O$1004,"&lt;&gt;Expired")&gt;0,"✓",IF(COUNTIFS('AFA Rates'!$A$5:$A$1004,$A163,'AFA Rates'!$B$5:$B$1004,E$23)&gt;0,"Exp","")))</f>
        <v/>
      </c>
      <c r="F163" s="79">
        <f>IF(OR($A163="",F$23=""),"",IF(COUNTIFS('AFA Rates'!$A$5:$A$1004,$A163,'AFA Rates'!$B$5:$B$1004,F$23,'AFA Rates'!$O$5:$O$1004,"&lt;&gt;Expired")&gt;0,"✓",IF(COUNTIFS('AFA Rates'!$A$5:$A$1004,$A163,'AFA Rates'!$B$5:$B$1004,F$23)&gt;0,"Exp","")))</f>
        <v/>
      </c>
      <c r="G163" s="79">
        <f>IF(OR($A163="",G$23=""),"",IF(COUNTIFS('AFA Rates'!$A$5:$A$1004,$A163,'AFA Rates'!$B$5:$B$1004,G$23,'AFA Rates'!$O$5:$O$1004,"&lt;&gt;Expired")&gt;0,"✓",IF(COUNTIFS('AFA Rates'!$A$5:$A$1004,$A163,'AFA Rates'!$B$5:$B$1004,G$23)&gt;0,"Exp","")))</f>
        <v/>
      </c>
      <c r="H163" s="79">
        <f>IF(OR($A163="",H$23=""),"",IF(COUNTIFS('AFA Rates'!$A$5:$A$1004,$A163,'AFA Rates'!$B$5:$B$1004,H$23,'AFA Rates'!$O$5:$O$1004,"&lt;&gt;Expired")&gt;0,"✓",IF(COUNTIFS('AFA Rates'!$A$5:$A$1004,$A163,'AFA Rates'!$B$5:$B$1004,H$23)&gt;0,"Exp","")))</f>
        <v/>
      </c>
      <c r="I163" s="79">
        <f>IF(OR($A163="",I$23=""),"",IF(COUNTIFS('AFA Rates'!$A$5:$A$1004,$A163,'AFA Rates'!$B$5:$B$1004,I$23,'AFA Rates'!$O$5:$O$1004,"&lt;&gt;Expired")&gt;0,"✓",IF(COUNTIFS('AFA Rates'!$A$5:$A$1004,$A163,'AFA Rates'!$B$5:$B$1004,I$23)&gt;0,"Exp","")))</f>
        <v/>
      </c>
      <c r="J163" s="79">
        <f>IF(OR($A163="",J$23=""),"",IF(COUNTIFS('AFA Rates'!$A$5:$A$1004,$A163,'AFA Rates'!$B$5:$B$1004,J$23,'AFA Rates'!$O$5:$O$1004,"&lt;&gt;Expired")&gt;0,"✓",IF(COUNTIFS('AFA Rates'!$A$5:$A$1004,$A163,'AFA Rates'!$B$5:$B$1004,J$23)&gt;0,"Exp","")))</f>
        <v/>
      </c>
      <c r="K163" s="79">
        <f>IF(OR($A163="",K$23=""),"",IF(COUNTIFS('AFA Rates'!$A$5:$A$1004,$A163,'AFA Rates'!$B$5:$B$1004,K$23,'AFA Rates'!$O$5:$O$1004,"&lt;&gt;Expired")&gt;0,"✓",IF(COUNTIFS('AFA Rates'!$A$5:$A$1004,$A163,'AFA Rates'!$B$5:$B$1004,K$23)&gt;0,"Exp","")))</f>
        <v/>
      </c>
      <c r="L163" s="79">
        <f>IF(OR($A163="",L$23=""),"",IF(COUNTIFS('AFA Rates'!$A$5:$A$1004,$A163,'AFA Rates'!$B$5:$B$1004,L$23,'AFA Rates'!$O$5:$O$1004,"&lt;&gt;Expired")&gt;0,"✓",IF(COUNTIFS('AFA Rates'!$A$5:$A$1004,$A163,'AFA Rates'!$B$5:$B$1004,L$23)&gt;0,"Exp","")))</f>
        <v/>
      </c>
      <c r="M163" s="79">
        <f>IF(OR($A163="",M$23=""),"",IF(COUNTIFS('AFA Rates'!$A$5:$A$1004,$A163,'AFA Rates'!$B$5:$B$1004,M$23,'AFA Rates'!$O$5:$O$1004,"&lt;&gt;Expired")&gt;0,"✓",IF(COUNTIFS('AFA Rates'!$A$5:$A$1004,$A163,'AFA Rates'!$B$5:$B$1004,M$23)&gt;0,"Exp","")))</f>
        <v/>
      </c>
    </row>
    <row r="164">
      <c r="A164" s="78">
        <f>IFERROR(INDEX(Firms!$A$5:$A$1004,MATCH(141,Firms!$V$5:$V$1004,0)),"")</f>
        <v/>
      </c>
      <c r="B164" s="79">
        <f>IF($A164="","",INDEX(Firms!$B$5:$B$1004,MATCH(141,Firms!$V$5:$V$1004,0)))</f>
        <v/>
      </c>
      <c r="C164" s="79">
        <f>IF($A164="","",COUNTIFS('AFA Rates'!$A$5:$A$1004,$A164,'AFA Rates'!$O$5:$O$1004,"&lt;&gt;Expired"))</f>
        <v/>
      </c>
      <c r="D164" s="79">
        <f>IF(OR($A164="",D$23=""),"",IF(COUNTIFS('AFA Rates'!$A$5:$A$1004,$A164,'AFA Rates'!$B$5:$B$1004,D$23,'AFA Rates'!$O$5:$O$1004,"&lt;&gt;Expired")&gt;0,"✓",IF(COUNTIFS('AFA Rates'!$A$5:$A$1004,$A164,'AFA Rates'!$B$5:$B$1004,D$23)&gt;0,"Exp","")))</f>
        <v/>
      </c>
      <c r="E164" s="79">
        <f>IF(OR($A164="",E$23=""),"",IF(COUNTIFS('AFA Rates'!$A$5:$A$1004,$A164,'AFA Rates'!$B$5:$B$1004,E$23,'AFA Rates'!$O$5:$O$1004,"&lt;&gt;Expired")&gt;0,"✓",IF(COUNTIFS('AFA Rates'!$A$5:$A$1004,$A164,'AFA Rates'!$B$5:$B$1004,E$23)&gt;0,"Exp","")))</f>
        <v/>
      </c>
      <c r="F164" s="79">
        <f>IF(OR($A164="",F$23=""),"",IF(COUNTIFS('AFA Rates'!$A$5:$A$1004,$A164,'AFA Rates'!$B$5:$B$1004,F$23,'AFA Rates'!$O$5:$O$1004,"&lt;&gt;Expired")&gt;0,"✓",IF(COUNTIFS('AFA Rates'!$A$5:$A$1004,$A164,'AFA Rates'!$B$5:$B$1004,F$23)&gt;0,"Exp","")))</f>
        <v/>
      </c>
      <c r="G164" s="79">
        <f>IF(OR($A164="",G$23=""),"",IF(COUNTIFS('AFA Rates'!$A$5:$A$1004,$A164,'AFA Rates'!$B$5:$B$1004,G$23,'AFA Rates'!$O$5:$O$1004,"&lt;&gt;Expired")&gt;0,"✓",IF(COUNTIFS('AFA Rates'!$A$5:$A$1004,$A164,'AFA Rates'!$B$5:$B$1004,G$23)&gt;0,"Exp","")))</f>
        <v/>
      </c>
      <c r="H164" s="79">
        <f>IF(OR($A164="",H$23=""),"",IF(COUNTIFS('AFA Rates'!$A$5:$A$1004,$A164,'AFA Rates'!$B$5:$B$1004,H$23,'AFA Rates'!$O$5:$O$1004,"&lt;&gt;Expired")&gt;0,"✓",IF(COUNTIFS('AFA Rates'!$A$5:$A$1004,$A164,'AFA Rates'!$B$5:$B$1004,H$23)&gt;0,"Exp","")))</f>
        <v/>
      </c>
      <c r="I164" s="79">
        <f>IF(OR($A164="",I$23=""),"",IF(COUNTIFS('AFA Rates'!$A$5:$A$1004,$A164,'AFA Rates'!$B$5:$B$1004,I$23,'AFA Rates'!$O$5:$O$1004,"&lt;&gt;Expired")&gt;0,"✓",IF(COUNTIFS('AFA Rates'!$A$5:$A$1004,$A164,'AFA Rates'!$B$5:$B$1004,I$23)&gt;0,"Exp","")))</f>
        <v/>
      </c>
      <c r="J164" s="79">
        <f>IF(OR($A164="",J$23=""),"",IF(COUNTIFS('AFA Rates'!$A$5:$A$1004,$A164,'AFA Rates'!$B$5:$B$1004,J$23,'AFA Rates'!$O$5:$O$1004,"&lt;&gt;Expired")&gt;0,"✓",IF(COUNTIFS('AFA Rates'!$A$5:$A$1004,$A164,'AFA Rates'!$B$5:$B$1004,J$23)&gt;0,"Exp","")))</f>
        <v/>
      </c>
      <c r="K164" s="79">
        <f>IF(OR($A164="",K$23=""),"",IF(COUNTIFS('AFA Rates'!$A$5:$A$1004,$A164,'AFA Rates'!$B$5:$B$1004,K$23,'AFA Rates'!$O$5:$O$1004,"&lt;&gt;Expired")&gt;0,"✓",IF(COUNTIFS('AFA Rates'!$A$5:$A$1004,$A164,'AFA Rates'!$B$5:$B$1004,K$23)&gt;0,"Exp","")))</f>
        <v/>
      </c>
      <c r="L164" s="79">
        <f>IF(OR($A164="",L$23=""),"",IF(COUNTIFS('AFA Rates'!$A$5:$A$1004,$A164,'AFA Rates'!$B$5:$B$1004,L$23,'AFA Rates'!$O$5:$O$1004,"&lt;&gt;Expired")&gt;0,"✓",IF(COUNTIFS('AFA Rates'!$A$5:$A$1004,$A164,'AFA Rates'!$B$5:$B$1004,L$23)&gt;0,"Exp","")))</f>
        <v/>
      </c>
      <c r="M164" s="79">
        <f>IF(OR($A164="",M$23=""),"",IF(COUNTIFS('AFA Rates'!$A$5:$A$1004,$A164,'AFA Rates'!$B$5:$B$1004,M$23,'AFA Rates'!$O$5:$O$1004,"&lt;&gt;Expired")&gt;0,"✓",IF(COUNTIFS('AFA Rates'!$A$5:$A$1004,$A164,'AFA Rates'!$B$5:$B$1004,M$23)&gt;0,"Exp","")))</f>
        <v/>
      </c>
    </row>
    <row r="165">
      <c r="A165" s="78">
        <f>IFERROR(INDEX(Firms!$A$5:$A$1004,MATCH(142,Firms!$V$5:$V$1004,0)),"")</f>
        <v/>
      </c>
      <c r="B165" s="79">
        <f>IF($A165="","",INDEX(Firms!$B$5:$B$1004,MATCH(142,Firms!$V$5:$V$1004,0)))</f>
        <v/>
      </c>
      <c r="C165" s="79">
        <f>IF($A165="","",COUNTIFS('AFA Rates'!$A$5:$A$1004,$A165,'AFA Rates'!$O$5:$O$1004,"&lt;&gt;Expired"))</f>
        <v/>
      </c>
      <c r="D165" s="79">
        <f>IF(OR($A165="",D$23=""),"",IF(COUNTIFS('AFA Rates'!$A$5:$A$1004,$A165,'AFA Rates'!$B$5:$B$1004,D$23,'AFA Rates'!$O$5:$O$1004,"&lt;&gt;Expired")&gt;0,"✓",IF(COUNTIFS('AFA Rates'!$A$5:$A$1004,$A165,'AFA Rates'!$B$5:$B$1004,D$23)&gt;0,"Exp","")))</f>
        <v/>
      </c>
      <c r="E165" s="79">
        <f>IF(OR($A165="",E$23=""),"",IF(COUNTIFS('AFA Rates'!$A$5:$A$1004,$A165,'AFA Rates'!$B$5:$B$1004,E$23,'AFA Rates'!$O$5:$O$1004,"&lt;&gt;Expired")&gt;0,"✓",IF(COUNTIFS('AFA Rates'!$A$5:$A$1004,$A165,'AFA Rates'!$B$5:$B$1004,E$23)&gt;0,"Exp","")))</f>
        <v/>
      </c>
      <c r="F165" s="79">
        <f>IF(OR($A165="",F$23=""),"",IF(COUNTIFS('AFA Rates'!$A$5:$A$1004,$A165,'AFA Rates'!$B$5:$B$1004,F$23,'AFA Rates'!$O$5:$O$1004,"&lt;&gt;Expired")&gt;0,"✓",IF(COUNTIFS('AFA Rates'!$A$5:$A$1004,$A165,'AFA Rates'!$B$5:$B$1004,F$23)&gt;0,"Exp","")))</f>
        <v/>
      </c>
      <c r="G165" s="79">
        <f>IF(OR($A165="",G$23=""),"",IF(COUNTIFS('AFA Rates'!$A$5:$A$1004,$A165,'AFA Rates'!$B$5:$B$1004,G$23,'AFA Rates'!$O$5:$O$1004,"&lt;&gt;Expired")&gt;0,"✓",IF(COUNTIFS('AFA Rates'!$A$5:$A$1004,$A165,'AFA Rates'!$B$5:$B$1004,G$23)&gt;0,"Exp","")))</f>
        <v/>
      </c>
      <c r="H165" s="79">
        <f>IF(OR($A165="",H$23=""),"",IF(COUNTIFS('AFA Rates'!$A$5:$A$1004,$A165,'AFA Rates'!$B$5:$B$1004,H$23,'AFA Rates'!$O$5:$O$1004,"&lt;&gt;Expired")&gt;0,"✓",IF(COUNTIFS('AFA Rates'!$A$5:$A$1004,$A165,'AFA Rates'!$B$5:$B$1004,H$23)&gt;0,"Exp","")))</f>
        <v/>
      </c>
      <c r="I165" s="79">
        <f>IF(OR($A165="",I$23=""),"",IF(COUNTIFS('AFA Rates'!$A$5:$A$1004,$A165,'AFA Rates'!$B$5:$B$1004,I$23,'AFA Rates'!$O$5:$O$1004,"&lt;&gt;Expired")&gt;0,"✓",IF(COUNTIFS('AFA Rates'!$A$5:$A$1004,$A165,'AFA Rates'!$B$5:$B$1004,I$23)&gt;0,"Exp","")))</f>
        <v/>
      </c>
      <c r="J165" s="79">
        <f>IF(OR($A165="",J$23=""),"",IF(COUNTIFS('AFA Rates'!$A$5:$A$1004,$A165,'AFA Rates'!$B$5:$B$1004,J$23,'AFA Rates'!$O$5:$O$1004,"&lt;&gt;Expired")&gt;0,"✓",IF(COUNTIFS('AFA Rates'!$A$5:$A$1004,$A165,'AFA Rates'!$B$5:$B$1004,J$23)&gt;0,"Exp","")))</f>
        <v/>
      </c>
      <c r="K165" s="79">
        <f>IF(OR($A165="",K$23=""),"",IF(COUNTIFS('AFA Rates'!$A$5:$A$1004,$A165,'AFA Rates'!$B$5:$B$1004,K$23,'AFA Rates'!$O$5:$O$1004,"&lt;&gt;Expired")&gt;0,"✓",IF(COUNTIFS('AFA Rates'!$A$5:$A$1004,$A165,'AFA Rates'!$B$5:$B$1004,K$23)&gt;0,"Exp","")))</f>
        <v/>
      </c>
      <c r="L165" s="79">
        <f>IF(OR($A165="",L$23=""),"",IF(COUNTIFS('AFA Rates'!$A$5:$A$1004,$A165,'AFA Rates'!$B$5:$B$1004,L$23,'AFA Rates'!$O$5:$O$1004,"&lt;&gt;Expired")&gt;0,"✓",IF(COUNTIFS('AFA Rates'!$A$5:$A$1004,$A165,'AFA Rates'!$B$5:$B$1004,L$23)&gt;0,"Exp","")))</f>
        <v/>
      </c>
      <c r="M165" s="79">
        <f>IF(OR($A165="",M$23=""),"",IF(COUNTIFS('AFA Rates'!$A$5:$A$1004,$A165,'AFA Rates'!$B$5:$B$1004,M$23,'AFA Rates'!$O$5:$O$1004,"&lt;&gt;Expired")&gt;0,"✓",IF(COUNTIFS('AFA Rates'!$A$5:$A$1004,$A165,'AFA Rates'!$B$5:$B$1004,M$23)&gt;0,"Exp","")))</f>
        <v/>
      </c>
    </row>
    <row r="166">
      <c r="A166" s="78">
        <f>IFERROR(INDEX(Firms!$A$5:$A$1004,MATCH(143,Firms!$V$5:$V$1004,0)),"")</f>
        <v/>
      </c>
      <c r="B166" s="79">
        <f>IF($A166="","",INDEX(Firms!$B$5:$B$1004,MATCH(143,Firms!$V$5:$V$1004,0)))</f>
        <v/>
      </c>
      <c r="C166" s="79">
        <f>IF($A166="","",COUNTIFS('AFA Rates'!$A$5:$A$1004,$A166,'AFA Rates'!$O$5:$O$1004,"&lt;&gt;Expired"))</f>
        <v/>
      </c>
      <c r="D166" s="79">
        <f>IF(OR($A166="",D$23=""),"",IF(COUNTIFS('AFA Rates'!$A$5:$A$1004,$A166,'AFA Rates'!$B$5:$B$1004,D$23,'AFA Rates'!$O$5:$O$1004,"&lt;&gt;Expired")&gt;0,"✓",IF(COUNTIFS('AFA Rates'!$A$5:$A$1004,$A166,'AFA Rates'!$B$5:$B$1004,D$23)&gt;0,"Exp","")))</f>
        <v/>
      </c>
      <c r="E166" s="79">
        <f>IF(OR($A166="",E$23=""),"",IF(COUNTIFS('AFA Rates'!$A$5:$A$1004,$A166,'AFA Rates'!$B$5:$B$1004,E$23,'AFA Rates'!$O$5:$O$1004,"&lt;&gt;Expired")&gt;0,"✓",IF(COUNTIFS('AFA Rates'!$A$5:$A$1004,$A166,'AFA Rates'!$B$5:$B$1004,E$23)&gt;0,"Exp","")))</f>
        <v/>
      </c>
      <c r="F166" s="79">
        <f>IF(OR($A166="",F$23=""),"",IF(COUNTIFS('AFA Rates'!$A$5:$A$1004,$A166,'AFA Rates'!$B$5:$B$1004,F$23,'AFA Rates'!$O$5:$O$1004,"&lt;&gt;Expired")&gt;0,"✓",IF(COUNTIFS('AFA Rates'!$A$5:$A$1004,$A166,'AFA Rates'!$B$5:$B$1004,F$23)&gt;0,"Exp","")))</f>
        <v/>
      </c>
      <c r="G166" s="79">
        <f>IF(OR($A166="",G$23=""),"",IF(COUNTIFS('AFA Rates'!$A$5:$A$1004,$A166,'AFA Rates'!$B$5:$B$1004,G$23,'AFA Rates'!$O$5:$O$1004,"&lt;&gt;Expired")&gt;0,"✓",IF(COUNTIFS('AFA Rates'!$A$5:$A$1004,$A166,'AFA Rates'!$B$5:$B$1004,G$23)&gt;0,"Exp","")))</f>
        <v/>
      </c>
      <c r="H166" s="79">
        <f>IF(OR($A166="",H$23=""),"",IF(COUNTIFS('AFA Rates'!$A$5:$A$1004,$A166,'AFA Rates'!$B$5:$B$1004,H$23,'AFA Rates'!$O$5:$O$1004,"&lt;&gt;Expired")&gt;0,"✓",IF(COUNTIFS('AFA Rates'!$A$5:$A$1004,$A166,'AFA Rates'!$B$5:$B$1004,H$23)&gt;0,"Exp","")))</f>
        <v/>
      </c>
      <c r="I166" s="79">
        <f>IF(OR($A166="",I$23=""),"",IF(COUNTIFS('AFA Rates'!$A$5:$A$1004,$A166,'AFA Rates'!$B$5:$B$1004,I$23,'AFA Rates'!$O$5:$O$1004,"&lt;&gt;Expired")&gt;0,"✓",IF(COUNTIFS('AFA Rates'!$A$5:$A$1004,$A166,'AFA Rates'!$B$5:$B$1004,I$23)&gt;0,"Exp","")))</f>
        <v/>
      </c>
      <c r="J166" s="79">
        <f>IF(OR($A166="",J$23=""),"",IF(COUNTIFS('AFA Rates'!$A$5:$A$1004,$A166,'AFA Rates'!$B$5:$B$1004,J$23,'AFA Rates'!$O$5:$O$1004,"&lt;&gt;Expired")&gt;0,"✓",IF(COUNTIFS('AFA Rates'!$A$5:$A$1004,$A166,'AFA Rates'!$B$5:$B$1004,J$23)&gt;0,"Exp","")))</f>
        <v/>
      </c>
      <c r="K166" s="79">
        <f>IF(OR($A166="",K$23=""),"",IF(COUNTIFS('AFA Rates'!$A$5:$A$1004,$A166,'AFA Rates'!$B$5:$B$1004,K$23,'AFA Rates'!$O$5:$O$1004,"&lt;&gt;Expired")&gt;0,"✓",IF(COUNTIFS('AFA Rates'!$A$5:$A$1004,$A166,'AFA Rates'!$B$5:$B$1004,K$23)&gt;0,"Exp","")))</f>
        <v/>
      </c>
      <c r="L166" s="79">
        <f>IF(OR($A166="",L$23=""),"",IF(COUNTIFS('AFA Rates'!$A$5:$A$1004,$A166,'AFA Rates'!$B$5:$B$1004,L$23,'AFA Rates'!$O$5:$O$1004,"&lt;&gt;Expired")&gt;0,"✓",IF(COUNTIFS('AFA Rates'!$A$5:$A$1004,$A166,'AFA Rates'!$B$5:$B$1004,L$23)&gt;0,"Exp","")))</f>
        <v/>
      </c>
      <c r="M166" s="79">
        <f>IF(OR($A166="",M$23=""),"",IF(COUNTIFS('AFA Rates'!$A$5:$A$1004,$A166,'AFA Rates'!$B$5:$B$1004,M$23,'AFA Rates'!$O$5:$O$1004,"&lt;&gt;Expired")&gt;0,"✓",IF(COUNTIFS('AFA Rates'!$A$5:$A$1004,$A166,'AFA Rates'!$B$5:$B$1004,M$23)&gt;0,"Exp","")))</f>
        <v/>
      </c>
    </row>
    <row r="167">
      <c r="A167" s="78">
        <f>IFERROR(INDEX(Firms!$A$5:$A$1004,MATCH(144,Firms!$V$5:$V$1004,0)),"")</f>
        <v/>
      </c>
      <c r="B167" s="79">
        <f>IF($A167="","",INDEX(Firms!$B$5:$B$1004,MATCH(144,Firms!$V$5:$V$1004,0)))</f>
        <v/>
      </c>
      <c r="C167" s="79">
        <f>IF($A167="","",COUNTIFS('AFA Rates'!$A$5:$A$1004,$A167,'AFA Rates'!$O$5:$O$1004,"&lt;&gt;Expired"))</f>
        <v/>
      </c>
      <c r="D167" s="79">
        <f>IF(OR($A167="",D$23=""),"",IF(COUNTIFS('AFA Rates'!$A$5:$A$1004,$A167,'AFA Rates'!$B$5:$B$1004,D$23,'AFA Rates'!$O$5:$O$1004,"&lt;&gt;Expired")&gt;0,"✓",IF(COUNTIFS('AFA Rates'!$A$5:$A$1004,$A167,'AFA Rates'!$B$5:$B$1004,D$23)&gt;0,"Exp","")))</f>
        <v/>
      </c>
      <c r="E167" s="79">
        <f>IF(OR($A167="",E$23=""),"",IF(COUNTIFS('AFA Rates'!$A$5:$A$1004,$A167,'AFA Rates'!$B$5:$B$1004,E$23,'AFA Rates'!$O$5:$O$1004,"&lt;&gt;Expired")&gt;0,"✓",IF(COUNTIFS('AFA Rates'!$A$5:$A$1004,$A167,'AFA Rates'!$B$5:$B$1004,E$23)&gt;0,"Exp","")))</f>
        <v/>
      </c>
      <c r="F167" s="79">
        <f>IF(OR($A167="",F$23=""),"",IF(COUNTIFS('AFA Rates'!$A$5:$A$1004,$A167,'AFA Rates'!$B$5:$B$1004,F$23,'AFA Rates'!$O$5:$O$1004,"&lt;&gt;Expired")&gt;0,"✓",IF(COUNTIFS('AFA Rates'!$A$5:$A$1004,$A167,'AFA Rates'!$B$5:$B$1004,F$23)&gt;0,"Exp","")))</f>
        <v/>
      </c>
      <c r="G167" s="79">
        <f>IF(OR($A167="",G$23=""),"",IF(COUNTIFS('AFA Rates'!$A$5:$A$1004,$A167,'AFA Rates'!$B$5:$B$1004,G$23,'AFA Rates'!$O$5:$O$1004,"&lt;&gt;Expired")&gt;0,"✓",IF(COUNTIFS('AFA Rates'!$A$5:$A$1004,$A167,'AFA Rates'!$B$5:$B$1004,G$23)&gt;0,"Exp","")))</f>
        <v/>
      </c>
      <c r="H167" s="79">
        <f>IF(OR($A167="",H$23=""),"",IF(COUNTIFS('AFA Rates'!$A$5:$A$1004,$A167,'AFA Rates'!$B$5:$B$1004,H$23,'AFA Rates'!$O$5:$O$1004,"&lt;&gt;Expired")&gt;0,"✓",IF(COUNTIFS('AFA Rates'!$A$5:$A$1004,$A167,'AFA Rates'!$B$5:$B$1004,H$23)&gt;0,"Exp","")))</f>
        <v/>
      </c>
      <c r="I167" s="79">
        <f>IF(OR($A167="",I$23=""),"",IF(COUNTIFS('AFA Rates'!$A$5:$A$1004,$A167,'AFA Rates'!$B$5:$B$1004,I$23,'AFA Rates'!$O$5:$O$1004,"&lt;&gt;Expired")&gt;0,"✓",IF(COUNTIFS('AFA Rates'!$A$5:$A$1004,$A167,'AFA Rates'!$B$5:$B$1004,I$23)&gt;0,"Exp","")))</f>
        <v/>
      </c>
      <c r="J167" s="79">
        <f>IF(OR($A167="",J$23=""),"",IF(COUNTIFS('AFA Rates'!$A$5:$A$1004,$A167,'AFA Rates'!$B$5:$B$1004,J$23,'AFA Rates'!$O$5:$O$1004,"&lt;&gt;Expired")&gt;0,"✓",IF(COUNTIFS('AFA Rates'!$A$5:$A$1004,$A167,'AFA Rates'!$B$5:$B$1004,J$23)&gt;0,"Exp","")))</f>
        <v/>
      </c>
      <c r="K167" s="79">
        <f>IF(OR($A167="",K$23=""),"",IF(COUNTIFS('AFA Rates'!$A$5:$A$1004,$A167,'AFA Rates'!$B$5:$B$1004,K$23,'AFA Rates'!$O$5:$O$1004,"&lt;&gt;Expired")&gt;0,"✓",IF(COUNTIFS('AFA Rates'!$A$5:$A$1004,$A167,'AFA Rates'!$B$5:$B$1004,K$23)&gt;0,"Exp","")))</f>
        <v/>
      </c>
      <c r="L167" s="79">
        <f>IF(OR($A167="",L$23=""),"",IF(COUNTIFS('AFA Rates'!$A$5:$A$1004,$A167,'AFA Rates'!$B$5:$B$1004,L$23,'AFA Rates'!$O$5:$O$1004,"&lt;&gt;Expired")&gt;0,"✓",IF(COUNTIFS('AFA Rates'!$A$5:$A$1004,$A167,'AFA Rates'!$B$5:$B$1004,L$23)&gt;0,"Exp","")))</f>
        <v/>
      </c>
      <c r="M167" s="79">
        <f>IF(OR($A167="",M$23=""),"",IF(COUNTIFS('AFA Rates'!$A$5:$A$1004,$A167,'AFA Rates'!$B$5:$B$1004,M$23,'AFA Rates'!$O$5:$O$1004,"&lt;&gt;Expired")&gt;0,"✓",IF(COUNTIFS('AFA Rates'!$A$5:$A$1004,$A167,'AFA Rates'!$B$5:$B$1004,M$23)&gt;0,"Exp","")))</f>
        <v/>
      </c>
    </row>
    <row r="168">
      <c r="A168" s="78">
        <f>IFERROR(INDEX(Firms!$A$5:$A$1004,MATCH(145,Firms!$V$5:$V$1004,0)),"")</f>
        <v/>
      </c>
      <c r="B168" s="79">
        <f>IF($A168="","",INDEX(Firms!$B$5:$B$1004,MATCH(145,Firms!$V$5:$V$1004,0)))</f>
        <v/>
      </c>
      <c r="C168" s="79">
        <f>IF($A168="","",COUNTIFS('AFA Rates'!$A$5:$A$1004,$A168,'AFA Rates'!$O$5:$O$1004,"&lt;&gt;Expired"))</f>
        <v/>
      </c>
      <c r="D168" s="79">
        <f>IF(OR($A168="",D$23=""),"",IF(COUNTIFS('AFA Rates'!$A$5:$A$1004,$A168,'AFA Rates'!$B$5:$B$1004,D$23,'AFA Rates'!$O$5:$O$1004,"&lt;&gt;Expired")&gt;0,"✓",IF(COUNTIFS('AFA Rates'!$A$5:$A$1004,$A168,'AFA Rates'!$B$5:$B$1004,D$23)&gt;0,"Exp","")))</f>
        <v/>
      </c>
      <c r="E168" s="79">
        <f>IF(OR($A168="",E$23=""),"",IF(COUNTIFS('AFA Rates'!$A$5:$A$1004,$A168,'AFA Rates'!$B$5:$B$1004,E$23,'AFA Rates'!$O$5:$O$1004,"&lt;&gt;Expired")&gt;0,"✓",IF(COUNTIFS('AFA Rates'!$A$5:$A$1004,$A168,'AFA Rates'!$B$5:$B$1004,E$23)&gt;0,"Exp","")))</f>
        <v/>
      </c>
      <c r="F168" s="79">
        <f>IF(OR($A168="",F$23=""),"",IF(COUNTIFS('AFA Rates'!$A$5:$A$1004,$A168,'AFA Rates'!$B$5:$B$1004,F$23,'AFA Rates'!$O$5:$O$1004,"&lt;&gt;Expired")&gt;0,"✓",IF(COUNTIFS('AFA Rates'!$A$5:$A$1004,$A168,'AFA Rates'!$B$5:$B$1004,F$23)&gt;0,"Exp","")))</f>
        <v/>
      </c>
      <c r="G168" s="79">
        <f>IF(OR($A168="",G$23=""),"",IF(COUNTIFS('AFA Rates'!$A$5:$A$1004,$A168,'AFA Rates'!$B$5:$B$1004,G$23,'AFA Rates'!$O$5:$O$1004,"&lt;&gt;Expired")&gt;0,"✓",IF(COUNTIFS('AFA Rates'!$A$5:$A$1004,$A168,'AFA Rates'!$B$5:$B$1004,G$23)&gt;0,"Exp","")))</f>
        <v/>
      </c>
      <c r="H168" s="79">
        <f>IF(OR($A168="",H$23=""),"",IF(COUNTIFS('AFA Rates'!$A$5:$A$1004,$A168,'AFA Rates'!$B$5:$B$1004,H$23,'AFA Rates'!$O$5:$O$1004,"&lt;&gt;Expired")&gt;0,"✓",IF(COUNTIFS('AFA Rates'!$A$5:$A$1004,$A168,'AFA Rates'!$B$5:$B$1004,H$23)&gt;0,"Exp","")))</f>
        <v/>
      </c>
      <c r="I168" s="79">
        <f>IF(OR($A168="",I$23=""),"",IF(COUNTIFS('AFA Rates'!$A$5:$A$1004,$A168,'AFA Rates'!$B$5:$B$1004,I$23,'AFA Rates'!$O$5:$O$1004,"&lt;&gt;Expired")&gt;0,"✓",IF(COUNTIFS('AFA Rates'!$A$5:$A$1004,$A168,'AFA Rates'!$B$5:$B$1004,I$23)&gt;0,"Exp","")))</f>
        <v/>
      </c>
      <c r="J168" s="79">
        <f>IF(OR($A168="",J$23=""),"",IF(COUNTIFS('AFA Rates'!$A$5:$A$1004,$A168,'AFA Rates'!$B$5:$B$1004,J$23,'AFA Rates'!$O$5:$O$1004,"&lt;&gt;Expired")&gt;0,"✓",IF(COUNTIFS('AFA Rates'!$A$5:$A$1004,$A168,'AFA Rates'!$B$5:$B$1004,J$23)&gt;0,"Exp","")))</f>
        <v/>
      </c>
      <c r="K168" s="79">
        <f>IF(OR($A168="",K$23=""),"",IF(COUNTIFS('AFA Rates'!$A$5:$A$1004,$A168,'AFA Rates'!$B$5:$B$1004,K$23,'AFA Rates'!$O$5:$O$1004,"&lt;&gt;Expired")&gt;0,"✓",IF(COUNTIFS('AFA Rates'!$A$5:$A$1004,$A168,'AFA Rates'!$B$5:$B$1004,K$23)&gt;0,"Exp","")))</f>
        <v/>
      </c>
      <c r="L168" s="79">
        <f>IF(OR($A168="",L$23=""),"",IF(COUNTIFS('AFA Rates'!$A$5:$A$1004,$A168,'AFA Rates'!$B$5:$B$1004,L$23,'AFA Rates'!$O$5:$O$1004,"&lt;&gt;Expired")&gt;0,"✓",IF(COUNTIFS('AFA Rates'!$A$5:$A$1004,$A168,'AFA Rates'!$B$5:$B$1004,L$23)&gt;0,"Exp","")))</f>
        <v/>
      </c>
      <c r="M168" s="79">
        <f>IF(OR($A168="",M$23=""),"",IF(COUNTIFS('AFA Rates'!$A$5:$A$1004,$A168,'AFA Rates'!$B$5:$B$1004,M$23,'AFA Rates'!$O$5:$O$1004,"&lt;&gt;Expired")&gt;0,"✓",IF(COUNTIFS('AFA Rates'!$A$5:$A$1004,$A168,'AFA Rates'!$B$5:$B$1004,M$23)&gt;0,"Exp","")))</f>
        <v/>
      </c>
    </row>
    <row r="169">
      <c r="A169" s="78">
        <f>IFERROR(INDEX(Firms!$A$5:$A$1004,MATCH(146,Firms!$V$5:$V$1004,0)),"")</f>
        <v/>
      </c>
      <c r="B169" s="79">
        <f>IF($A169="","",INDEX(Firms!$B$5:$B$1004,MATCH(146,Firms!$V$5:$V$1004,0)))</f>
        <v/>
      </c>
      <c r="C169" s="79">
        <f>IF($A169="","",COUNTIFS('AFA Rates'!$A$5:$A$1004,$A169,'AFA Rates'!$O$5:$O$1004,"&lt;&gt;Expired"))</f>
        <v/>
      </c>
      <c r="D169" s="79">
        <f>IF(OR($A169="",D$23=""),"",IF(COUNTIFS('AFA Rates'!$A$5:$A$1004,$A169,'AFA Rates'!$B$5:$B$1004,D$23,'AFA Rates'!$O$5:$O$1004,"&lt;&gt;Expired")&gt;0,"✓",IF(COUNTIFS('AFA Rates'!$A$5:$A$1004,$A169,'AFA Rates'!$B$5:$B$1004,D$23)&gt;0,"Exp","")))</f>
        <v/>
      </c>
      <c r="E169" s="79">
        <f>IF(OR($A169="",E$23=""),"",IF(COUNTIFS('AFA Rates'!$A$5:$A$1004,$A169,'AFA Rates'!$B$5:$B$1004,E$23,'AFA Rates'!$O$5:$O$1004,"&lt;&gt;Expired")&gt;0,"✓",IF(COUNTIFS('AFA Rates'!$A$5:$A$1004,$A169,'AFA Rates'!$B$5:$B$1004,E$23)&gt;0,"Exp","")))</f>
        <v/>
      </c>
      <c r="F169" s="79">
        <f>IF(OR($A169="",F$23=""),"",IF(COUNTIFS('AFA Rates'!$A$5:$A$1004,$A169,'AFA Rates'!$B$5:$B$1004,F$23,'AFA Rates'!$O$5:$O$1004,"&lt;&gt;Expired")&gt;0,"✓",IF(COUNTIFS('AFA Rates'!$A$5:$A$1004,$A169,'AFA Rates'!$B$5:$B$1004,F$23)&gt;0,"Exp","")))</f>
        <v/>
      </c>
      <c r="G169" s="79">
        <f>IF(OR($A169="",G$23=""),"",IF(COUNTIFS('AFA Rates'!$A$5:$A$1004,$A169,'AFA Rates'!$B$5:$B$1004,G$23,'AFA Rates'!$O$5:$O$1004,"&lt;&gt;Expired")&gt;0,"✓",IF(COUNTIFS('AFA Rates'!$A$5:$A$1004,$A169,'AFA Rates'!$B$5:$B$1004,G$23)&gt;0,"Exp","")))</f>
        <v/>
      </c>
      <c r="H169" s="79">
        <f>IF(OR($A169="",H$23=""),"",IF(COUNTIFS('AFA Rates'!$A$5:$A$1004,$A169,'AFA Rates'!$B$5:$B$1004,H$23,'AFA Rates'!$O$5:$O$1004,"&lt;&gt;Expired")&gt;0,"✓",IF(COUNTIFS('AFA Rates'!$A$5:$A$1004,$A169,'AFA Rates'!$B$5:$B$1004,H$23)&gt;0,"Exp","")))</f>
        <v/>
      </c>
      <c r="I169" s="79">
        <f>IF(OR($A169="",I$23=""),"",IF(COUNTIFS('AFA Rates'!$A$5:$A$1004,$A169,'AFA Rates'!$B$5:$B$1004,I$23,'AFA Rates'!$O$5:$O$1004,"&lt;&gt;Expired")&gt;0,"✓",IF(COUNTIFS('AFA Rates'!$A$5:$A$1004,$A169,'AFA Rates'!$B$5:$B$1004,I$23)&gt;0,"Exp","")))</f>
        <v/>
      </c>
      <c r="J169" s="79">
        <f>IF(OR($A169="",J$23=""),"",IF(COUNTIFS('AFA Rates'!$A$5:$A$1004,$A169,'AFA Rates'!$B$5:$B$1004,J$23,'AFA Rates'!$O$5:$O$1004,"&lt;&gt;Expired")&gt;0,"✓",IF(COUNTIFS('AFA Rates'!$A$5:$A$1004,$A169,'AFA Rates'!$B$5:$B$1004,J$23)&gt;0,"Exp","")))</f>
        <v/>
      </c>
      <c r="K169" s="79">
        <f>IF(OR($A169="",K$23=""),"",IF(COUNTIFS('AFA Rates'!$A$5:$A$1004,$A169,'AFA Rates'!$B$5:$B$1004,K$23,'AFA Rates'!$O$5:$O$1004,"&lt;&gt;Expired")&gt;0,"✓",IF(COUNTIFS('AFA Rates'!$A$5:$A$1004,$A169,'AFA Rates'!$B$5:$B$1004,K$23)&gt;0,"Exp","")))</f>
        <v/>
      </c>
      <c r="L169" s="79">
        <f>IF(OR($A169="",L$23=""),"",IF(COUNTIFS('AFA Rates'!$A$5:$A$1004,$A169,'AFA Rates'!$B$5:$B$1004,L$23,'AFA Rates'!$O$5:$O$1004,"&lt;&gt;Expired")&gt;0,"✓",IF(COUNTIFS('AFA Rates'!$A$5:$A$1004,$A169,'AFA Rates'!$B$5:$B$1004,L$23)&gt;0,"Exp","")))</f>
        <v/>
      </c>
      <c r="M169" s="79">
        <f>IF(OR($A169="",M$23=""),"",IF(COUNTIFS('AFA Rates'!$A$5:$A$1004,$A169,'AFA Rates'!$B$5:$B$1004,M$23,'AFA Rates'!$O$5:$O$1004,"&lt;&gt;Expired")&gt;0,"✓",IF(COUNTIFS('AFA Rates'!$A$5:$A$1004,$A169,'AFA Rates'!$B$5:$B$1004,M$23)&gt;0,"Exp","")))</f>
        <v/>
      </c>
    </row>
    <row r="170">
      <c r="A170" s="78">
        <f>IFERROR(INDEX(Firms!$A$5:$A$1004,MATCH(147,Firms!$V$5:$V$1004,0)),"")</f>
        <v/>
      </c>
      <c r="B170" s="79">
        <f>IF($A170="","",INDEX(Firms!$B$5:$B$1004,MATCH(147,Firms!$V$5:$V$1004,0)))</f>
        <v/>
      </c>
      <c r="C170" s="79">
        <f>IF($A170="","",COUNTIFS('AFA Rates'!$A$5:$A$1004,$A170,'AFA Rates'!$O$5:$O$1004,"&lt;&gt;Expired"))</f>
        <v/>
      </c>
      <c r="D170" s="79">
        <f>IF(OR($A170="",D$23=""),"",IF(COUNTIFS('AFA Rates'!$A$5:$A$1004,$A170,'AFA Rates'!$B$5:$B$1004,D$23,'AFA Rates'!$O$5:$O$1004,"&lt;&gt;Expired")&gt;0,"✓",IF(COUNTIFS('AFA Rates'!$A$5:$A$1004,$A170,'AFA Rates'!$B$5:$B$1004,D$23)&gt;0,"Exp","")))</f>
        <v/>
      </c>
      <c r="E170" s="79">
        <f>IF(OR($A170="",E$23=""),"",IF(COUNTIFS('AFA Rates'!$A$5:$A$1004,$A170,'AFA Rates'!$B$5:$B$1004,E$23,'AFA Rates'!$O$5:$O$1004,"&lt;&gt;Expired")&gt;0,"✓",IF(COUNTIFS('AFA Rates'!$A$5:$A$1004,$A170,'AFA Rates'!$B$5:$B$1004,E$23)&gt;0,"Exp","")))</f>
        <v/>
      </c>
      <c r="F170" s="79">
        <f>IF(OR($A170="",F$23=""),"",IF(COUNTIFS('AFA Rates'!$A$5:$A$1004,$A170,'AFA Rates'!$B$5:$B$1004,F$23,'AFA Rates'!$O$5:$O$1004,"&lt;&gt;Expired")&gt;0,"✓",IF(COUNTIFS('AFA Rates'!$A$5:$A$1004,$A170,'AFA Rates'!$B$5:$B$1004,F$23)&gt;0,"Exp","")))</f>
        <v/>
      </c>
      <c r="G170" s="79">
        <f>IF(OR($A170="",G$23=""),"",IF(COUNTIFS('AFA Rates'!$A$5:$A$1004,$A170,'AFA Rates'!$B$5:$B$1004,G$23,'AFA Rates'!$O$5:$O$1004,"&lt;&gt;Expired")&gt;0,"✓",IF(COUNTIFS('AFA Rates'!$A$5:$A$1004,$A170,'AFA Rates'!$B$5:$B$1004,G$23)&gt;0,"Exp","")))</f>
        <v/>
      </c>
      <c r="H170" s="79">
        <f>IF(OR($A170="",H$23=""),"",IF(COUNTIFS('AFA Rates'!$A$5:$A$1004,$A170,'AFA Rates'!$B$5:$B$1004,H$23,'AFA Rates'!$O$5:$O$1004,"&lt;&gt;Expired")&gt;0,"✓",IF(COUNTIFS('AFA Rates'!$A$5:$A$1004,$A170,'AFA Rates'!$B$5:$B$1004,H$23)&gt;0,"Exp","")))</f>
        <v/>
      </c>
      <c r="I170" s="79">
        <f>IF(OR($A170="",I$23=""),"",IF(COUNTIFS('AFA Rates'!$A$5:$A$1004,$A170,'AFA Rates'!$B$5:$B$1004,I$23,'AFA Rates'!$O$5:$O$1004,"&lt;&gt;Expired")&gt;0,"✓",IF(COUNTIFS('AFA Rates'!$A$5:$A$1004,$A170,'AFA Rates'!$B$5:$B$1004,I$23)&gt;0,"Exp","")))</f>
        <v/>
      </c>
      <c r="J170" s="79">
        <f>IF(OR($A170="",J$23=""),"",IF(COUNTIFS('AFA Rates'!$A$5:$A$1004,$A170,'AFA Rates'!$B$5:$B$1004,J$23,'AFA Rates'!$O$5:$O$1004,"&lt;&gt;Expired")&gt;0,"✓",IF(COUNTIFS('AFA Rates'!$A$5:$A$1004,$A170,'AFA Rates'!$B$5:$B$1004,J$23)&gt;0,"Exp","")))</f>
        <v/>
      </c>
      <c r="K170" s="79">
        <f>IF(OR($A170="",K$23=""),"",IF(COUNTIFS('AFA Rates'!$A$5:$A$1004,$A170,'AFA Rates'!$B$5:$B$1004,K$23,'AFA Rates'!$O$5:$O$1004,"&lt;&gt;Expired")&gt;0,"✓",IF(COUNTIFS('AFA Rates'!$A$5:$A$1004,$A170,'AFA Rates'!$B$5:$B$1004,K$23)&gt;0,"Exp","")))</f>
        <v/>
      </c>
      <c r="L170" s="79">
        <f>IF(OR($A170="",L$23=""),"",IF(COUNTIFS('AFA Rates'!$A$5:$A$1004,$A170,'AFA Rates'!$B$5:$B$1004,L$23,'AFA Rates'!$O$5:$O$1004,"&lt;&gt;Expired")&gt;0,"✓",IF(COUNTIFS('AFA Rates'!$A$5:$A$1004,$A170,'AFA Rates'!$B$5:$B$1004,L$23)&gt;0,"Exp","")))</f>
        <v/>
      </c>
      <c r="M170" s="79">
        <f>IF(OR($A170="",M$23=""),"",IF(COUNTIFS('AFA Rates'!$A$5:$A$1004,$A170,'AFA Rates'!$B$5:$B$1004,M$23,'AFA Rates'!$O$5:$O$1004,"&lt;&gt;Expired")&gt;0,"✓",IF(COUNTIFS('AFA Rates'!$A$5:$A$1004,$A170,'AFA Rates'!$B$5:$B$1004,M$23)&gt;0,"Exp","")))</f>
        <v/>
      </c>
    </row>
    <row r="171">
      <c r="A171" s="78">
        <f>IFERROR(INDEX(Firms!$A$5:$A$1004,MATCH(148,Firms!$V$5:$V$1004,0)),"")</f>
        <v/>
      </c>
      <c r="B171" s="79">
        <f>IF($A171="","",INDEX(Firms!$B$5:$B$1004,MATCH(148,Firms!$V$5:$V$1004,0)))</f>
        <v/>
      </c>
      <c r="C171" s="79">
        <f>IF($A171="","",COUNTIFS('AFA Rates'!$A$5:$A$1004,$A171,'AFA Rates'!$O$5:$O$1004,"&lt;&gt;Expired"))</f>
        <v/>
      </c>
      <c r="D171" s="79">
        <f>IF(OR($A171="",D$23=""),"",IF(COUNTIFS('AFA Rates'!$A$5:$A$1004,$A171,'AFA Rates'!$B$5:$B$1004,D$23,'AFA Rates'!$O$5:$O$1004,"&lt;&gt;Expired")&gt;0,"✓",IF(COUNTIFS('AFA Rates'!$A$5:$A$1004,$A171,'AFA Rates'!$B$5:$B$1004,D$23)&gt;0,"Exp","")))</f>
        <v/>
      </c>
      <c r="E171" s="79">
        <f>IF(OR($A171="",E$23=""),"",IF(COUNTIFS('AFA Rates'!$A$5:$A$1004,$A171,'AFA Rates'!$B$5:$B$1004,E$23,'AFA Rates'!$O$5:$O$1004,"&lt;&gt;Expired")&gt;0,"✓",IF(COUNTIFS('AFA Rates'!$A$5:$A$1004,$A171,'AFA Rates'!$B$5:$B$1004,E$23)&gt;0,"Exp","")))</f>
        <v/>
      </c>
      <c r="F171" s="79">
        <f>IF(OR($A171="",F$23=""),"",IF(COUNTIFS('AFA Rates'!$A$5:$A$1004,$A171,'AFA Rates'!$B$5:$B$1004,F$23,'AFA Rates'!$O$5:$O$1004,"&lt;&gt;Expired")&gt;0,"✓",IF(COUNTIFS('AFA Rates'!$A$5:$A$1004,$A171,'AFA Rates'!$B$5:$B$1004,F$23)&gt;0,"Exp","")))</f>
        <v/>
      </c>
      <c r="G171" s="79">
        <f>IF(OR($A171="",G$23=""),"",IF(COUNTIFS('AFA Rates'!$A$5:$A$1004,$A171,'AFA Rates'!$B$5:$B$1004,G$23,'AFA Rates'!$O$5:$O$1004,"&lt;&gt;Expired")&gt;0,"✓",IF(COUNTIFS('AFA Rates'!$A$5:$A$1004,$A171,'AFA Rates'!$B$5:$B$1004,G$23)&gt;0,"Exp","")))</f>
        <v/>
      </c>
      <c r="H171" s="79">
        <f>IF(OR($A171="",H$23=""),"",IF(COUNTIFS('AFA Rates'!$A$5:$A$1004,$A171,'AFA Rates'!$B$5:$B$1004,H$23,'AFA Rates'!$O$5:$O$1004,"&lt;&gt;Expired")&gt;0,"✓",IF(COUNTIFS('AFA Rates'!$A$5:$A$1004,$A171,'AFA Rates'!$B$5:$B$1004,H$23)&gt;0,"Exp","")))</f>
        <v/>
      </c>
      <c r="I171" s="79">
        <f>IF(OR($A171="",I$23=""),"",IF(COUNTIFS('AFA Rates'!$A$5:$A$1004,$A171,'AFA Rates'!$B$5:$B$1004,I$23,'AFA Rates'!$O$5:$O$1004,"&lt;&gt;Expired")&gt;0,"✓",IF(COUNTIFS('AFA Rates'!$A$5:$A$1004,$A171,'AFA Rates'!$B$5:$B$1004,I$23)&gt;0,"Exp","")))</f>
        <v/>
      </c>
      <c r="J171" s="79">
        <f>IF(OR($A171="",J$23=""),"",IF(COUNTIFS('AFA Rates'!$A$5:$A$1004,$A171,'AFA Rates'!$B$5:$B$1004,J$23,'AFA Rates'!$O$5:$O$1004,"&lt;&gt;Expired")&gt;0,"✓",IF(COUNTIFS('AFA Rates'!$A$5:$A$1004,$A171,'AFA Rates'!$B$5:$B$1004,J$23)&gt;0,"Exp","")))</f>
        <v/>
      </c>
      <c r="K171" s="79">
        <f>IF(OR($A171="",K$23=""),"",IF(COUNTIFS('AFA Rates'!$A$5:$A$1004,$A171,'AFA Rates'!$B$5:$B$1004,K$23,'AFA Rates'!$O$5:$O$1004,"&lt;&gt;Expired")&gt;0,"✓",IF(COUNTIFS('AFA Rates'!$A$5:$A$1004,$A171,'AFA Rates'!$B$5:$B$1004,K$23)&gt;0,"Exp","")))</f>
        <v/>
      </c>
      <c r="L171" s="79">
        <f>IF(OR($A171="",L$23=""),"",IF(COUNTIFS('AFA Rates'!$A$5:$A$1004,$A171,'AFA Rates'!$B$5:$B$1004,L$23,'AFA Rates'!$O$5:$O$1004,"&lt;&gt;Expired")&gt;0,"✓",IF(COUNTIFS('AFA Rates'!$A$5:$A$1004,$A171,'AFA Rates'!$B$5:$B$1004,L$23)&gt;0,"Exp","")))</f>
        <v/>
      </c>
      <c r="M171" s="79">
        <f>IF(OR($A171="",M$23=""),"",IF(COUNTIFS('AFA Rates'!$A$5:$A$1004,$A171,'AFA Rates'!$B$5:$B$1004,M$23,'AFA Rates'!$O$5:$O$1004,"&lt;&gt;Expired")&gt;0,"✓",IF(COUNTIFS('AFA Rates'!$A$5:$A$1004,$A171,'AFA Rates'!$B$5:$B$1004,M$23)&gt;0,"Exp","")))</f>
        <v/>
      </c>
    </row>
    <row r="172">
      <c r="A172" s="78">
        <f>IFERROR(INDEX(Firms!$A$5:$A$1004,MATCH(149,Firms!$V$5:$V$1004,0)),"")</f>
        <v/>
      </c>
      <c r="B172" s="79">
        <f>IF($A172="","",INDEX(Firms!$B$5:$B$1004,MATCH(149,Firms!$V$5:$V$1004,0)))</f>
        <v/>
      </c>
      <c r="C172" s="79">
        <f>IF($A172="","",COUNTIFS('AFA Rates'!$A$5:$A$1004,$A172,'AFA Rates'!$O$5:$O$1004,"&lt;&gt;Expired"))</f>
        <v/>
      </c>
      <c r="D172" s="79">
        <f>IF(OR($A172="",D$23=""),"",IF(COUNTIFS('AFA Rates'!$A$5:$A$1004,$A172,'AFA Rates'!$B$5:$B$1004,D$23,'AFA Rates'!$O$5:$O$1004,"&lt;&gt;Expired")&gt;0,"✓",IF(COUNTIFS('AFA Rates'!$A$5:$A$1004,$A172,'AFA Rates'!$B$5:$B$1004,D$23)&gt;0,"Exp","")))</f>
        <v/>
      </c>
      <c r="E172" s="79">
        <f>IF(OR($A172="",E$23=""),"",IF(COUNTIFS('AFA Rates'!$A$5:$A$1004,$A172,'AFA Rates'!$B$5:$B$1004,E$23,'AFA Rates'!$O$5:$O$1004,"&lt;&gt;Expired")&gt;0,"✓",IF(COUNTIFS('AFA Rates'!$A$5:$A$1004,$A172,'AFA Rates'!$B$5:$B$1004,E$23)&gt;0,"Exp","")))</f>
        <v/>
      </c>
      <c r="F172" s="79">
        <f>IF(OR($A172="",F$23=""),"",IF(COUNTIFS('AFA Rates'!$A$5:$A$1004,$A172,'AFA Rates'!$B$5:$B$1004,F$23,'AFA Rates'!$O$5:$O$1004,"&lt;&gt;Expired")&gt;0,"✓",IF(COUNTIFS('AFA Rates'!$A$5:$A$1004,$A172,'AFA Rates'!$B$5:$B$1004,F$23)&gt;0,"Exp","")))</f>
        <v/>
      </c>
      <c r="G172" s="79">
        <f>IF(OR($A172="",G$23=""),"",IF(COUNTIFS('AFA Rates'!$A$5:$A$1004,$A172,'AFA Rates'!$B$5:$B$1004,G$23,'AFA Rates'!$O$5:$O$1004,"&lt;&gt;Expired")&gt;0,"✓",IF(COUNTIFS('AFA Rates'!$A$5:$A$1004,$A172,'AFA Rates'!$B$5:$B$1004,G$23)&gt;0,"Exp","")))</f>
        <v/>
      </c>
      <c r="H172" s="79">
        <f>IF(OR($A172="",H$23=""),"",IF(COUNTIFS('AFA Rates'!$A$5:$A$1004,$A172,'AFA Rates'!$B$5:$B$1004,H$23,'AFA Rates'!$O$5:$O$1004,"&lt;&gt;Expired")&gt;0,"✓",IF(COUNTIFS('AFA Rates'!$A$5:$A$1004,$A172,'AFA Rates'!$B$5:$B$1004,H$23)&gt;0,"Exp","")))</f>
        <v/>
      </c>
      <c r="I172" s="79">
        <f>IF(OR($A172="",I$23=""),"",IF(COUNTIFS('AFA Rates'!$A$5:$A$1004,$A172,'AFA Rates'!$B$5:$B$1004,I$23,'AFA Rates'!$O$5:$O$1004,"&lt;&gt;Expired")&gt;0,"✓",IF(COUNTIFS('AFA Rates'!$A$5:$A$1004,$A172,'AFA Rates'!$B$5:$B$1004,I$23)&gt;0,"Exp","")))</f>
        <v/>
      </c>
      <c r="J172" s="79">
        <f>IF(OR($A172="",J$23=""),"",IF(COUNTIFS('AFA Rates'!$A$5:$A$1004,$A172,'AFA Rates'!$B$5:$B$1004,J$23,'AFA Rates'!$O$5:$O$1004,"&lt;&gt;Expired")&gt;0,"✓",IF(COUNTIFS('AFA Rates'!$A$5:$A$1004,$A172,'AFA Rates'!$B$5:$B$1004,J$23)&gt;0,"Exp","")))</f>
        <v/>
      </c>
      <c r="K172" s="79">
        <f>IF(OR($A172="",K$23=""),"",IF(COUNTIFS('AFA Rates'!$A$5:$A$1004,$A172,'AFA Rates'!$B$5:$B$1004,K$23,'AFA Rates'!$O$5:$O$1004,"&lt;&gt;Expired")&gt;0,"✓",IF(COUNTIFS('AFA Rates'!$A$5:$A$1004,$A172,'AFA Rates'!$B$5:$B$1004,K$23)&gt;0,"Exp","")))</f>
        <v/>
      </c>
      <c r="L172" s="79">
        <f>IF(OR($A172="",L$23=""),"",IF(COUNTIFS('AFA Rates'!$A$5:$A$1004,$A172,'AFA Rates'!$B$5:$B$1004,L$23,'AFA Rates'!$O$5:$O$1004,"&lt;&gt;Expired")&gt;0,"✓",IF(COUNTIFS('AFA Rates'!$A$5:$A$1004,$A172,'AFA Rates'!$B$5:$B$1004,L$23)&gt;0,"Exp","")))</f>
        <v/>
      </c>
      <c r="M172" s="79">
        <f>IF(OR($A172="",M$23=""),"",IF(COUNTIFS('AFA Rates'!$A$5:$A$1004,$A172,'AFA Rates'!$B$5:$B$1004,M$23,'AFA Rates'!$O$5:$O$1004,"&lt;&gt;Expired")&gt;0,"✓",IF(COUNTIFS('AFA Rates'!$A$5:$A$1004,$A172,'AFA Rates'!$B$5:$B$1004,M$23)&gt;0,"Exp","")))</f>
        <v/>
      </c>
    </row>
    <row r="173">
      <c r="A173" s="78">
        <f>IFERROR(INDEX(Firms!$A$5:$A$1004,MATCH(150,Firms!$V$5:$V$1004,0)),"")</f>
        <v/>
      </c>
      <c r="B173" s="79">
        <f>IF($A173="","",INDEX(Firms!$B$5:$B$1004,MATCH(150,Firms!$V$5:$V$1004,0)))</f>
        <v/>
      </c>
      <c r="C173" s="79">
        <f>IF($A173="","",COUNTIFS('AFA Rates'!$A$5:$A$1004,$A173,'AFA Rates'!$O$5:$O$1004,"&lt;&gt;Expired"))</f>
        <v/>
      </c>
      <c r="D173" s="79">
        <f>IF(OR($A173="",D$23=""),"",IF(COUNTIFS('AFA Rates'!$A$5:$A$1004,$A173,'AFA Rates'!$B$5:$B$1004,D$23,'AFA Rates'!$O$5:$O$1004,"&lt;&gt;Expired")&gt;0,"✓",IF(COUNTIFS('AFA Rates'!$A$5:$A$1004,$A173,'AFA Rates'!$B$5:$B$1004,D$23)&gt;0,"Exp","")))</f>
        <v/>
      </c>
      <c r="E173" s="79">
        <f>IF(OR($A173="",E$23=""),"",IF(COUNTIFS('AFA Rates'!$A$5:$A$1004,$A173,'AFA Rates'!$B$5:$B$1004,E$23,'AFA Rates'!$O$5:$O$1004,"&lt;&gt;Expired")&gt;0,"✓",IF(COUNTIFS('AFA Rates'!$A$5:$A$1004,$A173,'AFA Rates'!$B$5:$B$1004,E$23)&gt;0,"Exp","")))</f>
        <v/>
      </c>
      <c r="F173" s="79">
        <f>IF(OR($A173="",F$23=""),"",IF(COUNTIFS('AFA Rates'!$A$5:$A$1004,$A173,'AFA Rates'!$B$5:$B$1004,F$23,'AFA Rates'!$O$5:$O$1004,"&lt;&gt;Expired")&gt;0,"✓",IF(COUNTIFS('AFA Rates'!$A$5:$A$1004,$A173,'AFA Rates'!$B$5:$B$1004,F$23)&gt;0,"Exp","")))</f>
        <v/>
      </c>
      <c r="G173" s="79">
        <f>IF(OR($A173="",G$23=""),"",IF(COUNTIFS('AFA Rates'!$A$5:$A$1004,$A173,'AFA Rates'!$B$5:$B$1004,G$23,'AFA Rates'!$O$5:$O$1004,"&lt;&gt;Expired")&gt;0,"✓",IF(COUNTIFS('AFA Rates'!$A$5:$A$1004,$A173,'AFA Rates'!$B$5:$B$1004,G$23)&gt;0,"Exp","")))</f>
        <v/>
      </c>
      <c r="H173" s="79">
        <f>IF(OR($A173="",H$23=""),"",IF(COUNTIFS('AFA Rates'!$A$5:$A$1004,$A173,'AFA Rates'!$B$5:$B$1004,H$23,'AFA Rates'!$O$5:$O$1004,"&lt;&gt;Expired")&gt;0,"✓",IF(COUNTIFS('AFA Rates'!$A$5:$A$1004,$A173,'AFA Rates'!$B$5:$B$1004,H$23)&gt;0,"Exp","")))</f>
        <v/>
      </c>
      <c r="I173" s="79">
        <f>IF(OR($A173="",I$23=""),"",IF(COUNTIFS('AFA Rates'!$A$5:$A$1004,$A173,'AFA Rates'!$B$5:$B$1004,I$23,'AFA Rates'!$O$5:$O$1004,"&lt;&gt;Expired")&gt;0,"✓",IF(COUNTIFS('AFA Rates'!$A$5:$A$1004,$A173,'AFA Rates'!$B$5:$B$1004,I$23)&gt;0,"Exp","")))</f>
        <v/>
      </c>
      <c r="J173" s="79">
        <f>IF(OR($A173="",J$23=""),"",IF(COUNTIFS('AFA Rates'!$A$5:$A$1004,$A173,'AFA Rates'!$B$5:$B$1004,J$23,'AFA Rates'!$O$5:$O$1004,"&lt;&gt;Expired")&gt;0,"✓",IF(COUNTIFS('AFA Rates'!$A$5:$A$1004,$A173,'AFA Rates'!$B$5:$B$1004,J$23)&gt;0,"Exp","")))</f>
        <v/>
      </c>
      <c r="K173" s="79">
        <f>IF(OR($A173="",K$23=""),"",IF(COUNTIFS('AFA Rates'!$A$5:$A$1004,$A173,'AFA Rates'!$B$5:$B$1004,K$23,'AFA Rates'!$O$5:$O$1004,"&lt;&gt;Expired")&gt;0,"✓",IF(COUNTIFS('AFA Rates'!$A$5:$A$1004,$A173,'AFA Rates'!$B$5:$B$1004,K$23)&gt;0,"Exp","")))</f>
        <v/>
      </c>
      <c r="L173" s="79">
        <f>IF(OR($A173="",L$23=""),"",IF(COUNTIFS('AFA Rates'!$A$5:$A$1004,$A173,'AFA Rates'!$B$5:$B$1004,L$23,'AFA Rates'!$O$5:$O$1004,"&lt;&gt;Expired")&gt;0,"✓",IF(COUNTIFS('AFA Rates'!$A$5:$A$1004,$A173,'AFA Rates'!$B$5:$B$1004,L$23)&gt;0,"Exp","")))</f>
        <v/>
      </c>
      <c r="M173" s="79">
        <f>IF(OR($A173="",M$23=""),"",IF(COUNTIFS('AFA Rates'!$A$5:$A$1004,$A173,'AFA Rates'!$B$5:$B$1004,M$23,'AFA Rates'!$O$5:$O$1004,"&lt;&gt;Expired")&gt;0,"✓",IF(COUNTIFS('AFA Rates'!$A$5:$A$1004,$A173,'AFA Rates'!$B$5:$B$1004,M$23)&gt;0,"Exp","")))</f>
        <v/>
      </c>
    </row>
    <row r="174">
      <c r="A174" s="78">
        <f>IFERROR(INDEX(Firms!$A$5:$A$1004,MATCH(151,Firms!$V$5:$V$1004,0)),"")</f>
        <v/>
      </c>
      <c r="B174" s="79">
        <f>IF($A174="","",INDEX(Firms!$B$5:$B$1004,MATCH(151,Firms!$V$5:$V$1004,0)))</f>
        <v/>
      </c>
      <c r="C174" s="79">
        <f>IF($A174="","",COUNTIFS('AFA Rates'!$A$5:$A$1004,$A174,'AFA Rates'!$O$5:$O$1004,"&lt;&gt;Expired"))</f>
        <v/>
      </c>
      <c r="D174" s="79">
        <f>IF(OR($A174="",D$23=""),"",IF(COUNTIFS('AFA Rates'!$A$5:$A$1004,$A174,'AFA Rates'!$B$5:$B$1004,D$23,'AFA Rates'!$O$5:$O$1004,"&lt;&gt;Expired")&gt;0,"✓",IF(COUNTIFS('AFA Rates'!$A$5:$A$1004,$A174,'AFA Rates'!$B$5:$B$1004,D$23)&gt;0,"Exp","")))</f>
        <v/>
      </c>
      <c r="E174" s="79">
        <f>IF(OR($A174="",E$23=""),"",IF(COUNTIFS('AFA Rates'!$A$5:$A$1004,$A174,'AFA Rates'!$B$5:$B$1004,E$23,'AFA Rates'!$O$5:$O$1004,"&lt;&gt;Expired")&gt;0,"✓",IF(COUNTIFS('AFA Rates'!$A$5:$A$1004,$A174,'AFA Rates'!$B$5:$B$1004,E$23)&gt;0,"Exp","")))</f>
        <v/>
      </c>
      <c r="F174" s="79">
        <f>IF(OR($A174="",F$23=""),"",IF(COUNTIFS('AFA Rates'!$A$5:$A$1004,$A174,'AFA Rates'!$B$5:$B$1004,F$23,'AFA Rates'!$O$5:$O$1004,"&lt;&gt;Expired")&gt;0,"✓",IF(COUNTIFS('AFA Rates'!$A$5:$A$1004,$A174,'AFA Rates'!$B$5:$B$1004,F$23)&gt;0,"Exp","")))</f>
        <v/>
      </c>
      <c r="G174" s="79">
        <f>IF(OR($A174="",G$23=""),"",IF(COUNTIFS('AFA Rates'!$A$5:$A$1004,$A174,'AFA Rates'!$B$5:$B$1004,G$23,'AFA Rates'!$O$5:$O$1004,"&lt;&gt;Expired")&gt;0,"✓",IF(COUNTIFS('AFA Rates'!$A$5:$A$1004,$A174,'AFA Rates'!$B$5:$B$1004,G$23)&gt;0,"Exp","")))</f>
        <v/>
      </c>
      <c r="H174" s="79">
        <f>IF(OR($A174="",H$23=""),"",IF(COUNTIFS('AFA Rates'!$A$5:$A$1004,$A174,'AFA Rates'!$B$5:$B$1004,H$23,'AFA Rates'!$O$5:$O$1004,"&lt;&gt;Expired")&gt;0,"✓",IF(COUNTIFS('AFA Rates'!$A$5:$A$1004,$A174,'AFA Rates'!$B$5:$B$1004,H$23)&gt;0,"Exp","")))</f>
        <v/>
      </c>
      <c r="I174" s="79">
        <f>IF(OR($A174="",I$23=""),"",IF(COUNTIFS('AFA Rates'!$A$5:$A$1004,$A174,'AFA Rates'!$B$5:$B$1004,I$23,'AFA Rates'!$O$5:$O$1004,"&lt;&gt;Expired")&gt;0,"✓",IF(COUNTIFS('AFA Rates'!$A$5:$A$1004,$A174,'AFA Rates'!$B$5:$B$1004,I$23)&gt;0,"Exp","")))</f>
        <v/>
      </c>
      <c r="J174" s="79">
        <f>IF(OR($A174="",J$23=""),"",IF(COUNTIFS('AFA Rates'!$A$5:$A$1004,$A174,'AFA Rates'!$B$5:$B$1004,J$23,'AFA Rates'!$O$5:$O$1004,"&lt;&gt;Expired")&gt;0,"✓",IF(COUNTIFS('AFA Rates'!$A$5:$A$1004,$A174,'AFA Rates'!$B$5:$B$1004,J$23)&gt;0,"Exp","")))</f>
        <v/>
      </c>
      <c r="K174" s="79">
        <f>IF(OR($A174="",K$23=""),"",IF(COUNTIFS('AFA Rates'!$A$5:$A$1004,$A174,'AFA Rates'!$B$5:$B$1004,K$23,'AFA Rates'!$O$5:$O$1004,"&lt;&gt;Expired")&gt;0,"✓",IF(COUNTIFS('AFA Rates'!$A$5:$A$1004,$A174,'AFA Rates'!$B$5:$B$1004,K$23)&gt;0,"Exp","")))</f>
        <v/>
      </c>
      <c r="L174" s="79">
        <f>IF(OR($A174="",L$23=""),"",IF(COUNTIFS('AFA Rates'!$A$5:$A$1004,$A174,'AFA Rates'!$B$5:$B$1004,L$23,'AFA Rates'!$O$5:$O$1004,"&lt;&gt;Expired")&gt;0,"✓",IF(COUNTIFS('AFA Rates'!$A$5:$A$1004,$A174,'AFA Rates'!$B$5:$B$1004,L$23)&gt;0,"Exp","")))</f>
        <v/>
      </c>
      <c r="M174" s="79">
        <f>IF(OR($A174="",M$23=""),"",IF(COUNTIFS('AFA Rates'!$A$5:$A$1004,$A174,'AFA Rates'!$B$5:$B$1004,M$23,'AFA Rates'!$O$5:$O$1004,"&lt;&gt;Expired")&gt;0,"✓",IF(COUNTIFS('AFA Rates'!$A$5:$A$1004,$A174,'AFA Rates'!$B$5:$B$1004,M$23)&gt;0,"Exp","")))</f>
        <v/>
      </c>
    </row>
    <row r="175">
      <c r="A175" s="78">
        <f>IFERROR(INDEX(Firms!$A$5:$A$1004,MATCH(152,Firms!$V$5:$V$1004,0)),"")</f>
        <v/>
      </c>
      <c r="B175" s="79">
        <f>IF($A175="","",INDEX(Firms!$B$5:$B$1004,MATCH(152,Firms!$V$5:$V$1004,0)))</f>
        <v/>
      </c>
      <c r="C175" s="79">
        <f>IF($A175="","",COUNTIFS('AFA Rates'!$A$5:$A$1004,$A175,'AFA Rates'!$O$5:$O$1004,"&lt;&gt;Expired"))</f>
        <v/>
      </c>
      <c r="D175" s="79">
        <f>IF(OR($A175="",D$23=""),"",IF(COUNTIFS('AFA Rates'!$A$5:$A$1004,$A175,'AFA Rates'!$B$5:$B$1004,D$23,'AFA Rates'!$O$5:$O$1004,"&lt;&gt;Expired")&gt;0,"✓",IF(COUNTIFS('AFA Rates'!$A$5:$A$1004,$A175,'AFA Rates'!$B$5:$B$1004,D$23)&gt;0,"Exp","")))</f>
        <v/>
      </c>
      <c r="E175" s="79">
        <f>IF(OR($A175="",E$23=""),"",IF(COUNTIFS('AFA Rates'!$A$5:$A$1004,$A175,'AFA Rates'!$B$5:$B$1004,E$23,'AFA Rates'!$O$5:$O$1004,"&lt;&gt;Expired")&gt;0,"✓",IF(COUNTIFS('AFA Rates'!$A$5:$A$1004,$A175,'AFA Rates'!$B$5:$B$1004,E$23)&gt;0,"Exp","")))</f>
        <v/>
      </c>
      <c r="F175" s="79">
        <f>IF(OR($A175="",F$23=""),"",IF(COUNTIFS('AFA Rates'!$A$5:$A$1004,$A175,'AFA Rates'!$B$5:$B$1004,F$23,'AFA Rates'!$O$5:$O$1004,"&lt;&gt;Expired")&gt;0,"✓",IF(COUNTIFS('AFA Rates'!$A$5:$A$1004,$A175,'AFA Rates'!$B$5:$B$1004,F$23)&gt;0,"Exp","")))</f>
        <v/>
      </c>
      <c r="G175" s="79">
        <f>IF(OR($A175="",G$23=""),"",IF(COUNTIFS('AFA Rates'!$A$5:$A$1004,$A175,'AFA Rates'!$B$5:$B$1004,G$23,'AFA Rates'!$O$5:$O$1004,"&lt;&gt;Expired")&gt;0,"✓",IF(COUNTIFS('AFA Rates'!$A$5:$A$1004,$A175,'AFA Rates'!$B$5:$B$1004,G$23)&gt;0,"Exp","")))</f>
        <v/>
      </c>
      <c r="H175" s="79">
        <f>IF(OR($A175="",H$23=""),"",IF(COUNTIFS('AFA Rates'!$A$5:$A$1004,$A175,'AFA Rates'!$B$5:$B$1004,H$23,'AFA Rates'!$O$5:$O$1004,"&lt;&gt;Expired")&gt;0,"✓",IF(COUNTIFS('AFA Rates'!$A$5:$A$1004,$A175,'AFA Rates'!$B$5:$B$1004,H$23)&gt;0,"Exp","")))</f>
        <v/>
      </c>
      <c r="I175" s="79">
        <f>IF(OR($A175="",I$23=""),"",IF(COUNTIFS('AFA Rates'!$A$5:$A$1004,$A175,'AFA Rates'!$B$5:$B$1004,I$23,'AFA Rates'!$O$5:$O$1004,"&lt;&gt;Expired")&gt;0,"✓",IF(COUNTIFS('AFA Rates'!$A$5:$A$1004,$A175,'AFA Rates'!$B$5:$B$1004,I$23)&gt;0,"Exp","")))</f>
        <v/>
      </c>
      <c r="J175" s="79">
        <f>IF(OR($A175="",J$23=""),"",IF(COUNTIFS('AFA Rates'!$A$5:$A$1004,$A175,'AFA Rates'!$B$5:$B$1004,J$23,'AFA Rates'!$O$5:$O$1004,"&lt;&gt;Expired")&gt;0,"✓",IF(COUNTIFS('AFA Rates'!$A$5:$A$1004,$A175,'AFA Rates'!$B$5:$B$1004,J$23)&gt;0,"Exp","")))</f>
        <v/>
      </c>
      <c r="K175" s="79">
        <f>IF(OR($A175="",K$23=""),"",IF(COUNTIFS('AFA Rates'!$A$5:$A$1004,$A175,'AFA Rates'!$B$5:$B$1004,K$23,'AFA Rates'!$O$5:$O$1004,"&lt;&gt;Expired")&gt;0,"✓",IF(COUNTIFS('AFA Rates'!$A$5:$A$1004,$A175,'AFA Rates'!$B$5:$B$1004,K$23)&gt;0,"Exp","")))</f>
        <v/>
      </c>
      <c r="L175" s="79">
        <f>IF(OR($A175="",L$23=""),"",IF(COUNTIFS('AFA Rates'!$A$5:$A$1004,$A175,'AFA Rates'!$B$5:$B$1004,L$23,'AFA Rates'!$O$5:$O$1004,"&lt;&gt;Expired")&gt;0,"✓",IF(COUNTIFS('AFA Rates'!$A$5:$A$1004,$A175,'AFA Rates'!$B$5:$B$1004,L$23)&gt;0,"Exp","")))</f>
        <v/>
      </c>
      <c r="M175" s="79">
        <f>IF(OR($A175="",M$23=""),"",IF(COUNTIFS('AFA Rates'!$A$5:$A$1004,$A175,'AFA Rates'!$B$5:$B$1004,M$23,'AFA Rates'!$O$5:$O$1004,"&lt;&gt;Expired")&gt;0,"✓",IF(COUNTIFS('AFA Rates'!$A$5:$A$1004,$A175,'AFA Rates'!$B$5:$B$1004,M$23)&gt;0,"Exp","")))</f>
        <v/>
      </c>
    </row>
    <row r="176">
      <c r="A176" s="78">
        <f>IFERROR(INDEX(Firms!$A$5:$A$1004,MATCH(153,Firms!$V$5:$V$1004,0)),"")</f>
        <v/>
      </c>
      <c r="B176" s="79">
        <f>IF($A176="","",INDEX(Firms!$B$5:$B$1004,MATCH(153,Firms!$V$5:$V$1004,0)))</f>
        <v/>
      </c>
      <c r="C176" s="79">
        <f>IF($A176="","",COUNTIFS('AFA Rates'!$A$5:$A$1004,$A176,'AFA Rates'!$O$5:$O$1004,"&lt;&gt;Expired"))</f>
        <v/>
      </c>
      <c r="D176" s="79">
        <f>IF(OR($A176="",D$23=""),"",IF(COUNTIFS('AFA Rates'!$A$5:$A$1004,$A176,'AFA Rates'!$B$5:$B$1004,D$23,'AFA Rates'!$O$5:$O$1004,"&lt;&gt;Expired")&gt;0,"✓",IF(COUNTIFS('AFA Rates'!$A$5:$A$1004,$A176,'AFA Rates'!$B$5:$B$1004,D$23)&gt;0,"Exp","")))</f>
        <v/>
      </c>
      <c r="E176" s="79">
        <f>IF(OR($A176="",E$23=""),"",IF(COUNTIFS('AFA Rates'!$A$5:$A$1004,$A176,'AFA Rates'!$B$5:$B$1004,E$23,'AFA Rates'!$O$5:$O$1004,"&lt;&gt;Expired")&gt;0,"✓",IF(COUNTIFS('AFA Rates'!$A$5:$A$1004,$A176,'AFA Rates'!$B$5:$B$1004,E$23)&gt;0,"Exp","")))</f>
        <v/>
      </c>
      <c r="F176" s="79">
        <f>IF(OR($A176="",F$23=""),"",IF(COUNTIFS('AFA Rates'!$A$5:$A$1004,$A176,'AFA Rates'!$B$5:$B$1004,F$23,'AFA Rates'!$O$5:$O$1004,"&lt;&gt;Expired")&gt;0,"✓",IF(COUNTIFS('AFA Rates'!$A$5:$A$1004,$A176,'AFA Rates'!$B$5:$B$1004,F$23)&gt;0,"Exp","")))</f>
        <v/>
      </c>
      <c r="G176" s="79">
        <f>IF(OR($A176="",G$23=""),"",IF(COUNTIFS('AFA Rates'!$A$5:$A$1004,$A176,'AFA Rates'!$B$5:$B$1004,G$23,'AFA Rates'!$O$5:$O$1004,"&lt;&gt;Expired")&gt;0,"✓",IF(COUNTIFS('AFA Rates'!$A$5:$A$1004,$A176,'AFA Rates'!$B$5:$B$1004,G$23)&gt;0,"Exp","")))</f>
        <v/>
      </c>
      <c r="H176" s="79">
        <f>IF(OR($A176="",H$23=""),"",IF(COUNTIFS('AFA Rates'!$A$5:$A$1004,$A176,'AFA Rates'!$B$5:$B$1004,H$23,'AFA Rates'!$O$5:$O$1004,"&lt;&gt;Expired")&gt;0,"✓",IF(COUNTIFS('AFA Rates'!$A$5:$A$1004,$A176,'AFA Rates'!$B$5:$B$1004,H$23)&gt;0,"Exp","")))</f>
        <v/>
      </c>
      <c r="I176" s="79">
        <f>IF(OR($A176="",I$23=""),"",IF(COUNTIFS('AFA Rates'!$A$5:$A$1004,$A176,'AFA Rates'!$B$5:$B$1004,I$23,'AFA Rates'!$O$5:$O$1004,"&lt;&gt;Expired")&gt;0,"✓",IF(COUNTIFS('AFA Rates'!$A$5:$A$1004,$A176,'AFA Rates'!$B$5:$B$1004,I$23)&gt;0,"Exp","")))</f>
        <v/>
      </c>
      <c r="J176" s="79">
        <f>IF(OR($A176="",J$23=""),"",IF(COUNTIFS('AFA Rates'!$A$5:$A$1004,$A176,'AFA Rates'!$B$5:$B$1004,J$23,'AFA Rates'!$O$5:$O$1004,"&lt;&gt;Expired")&gt;0,"✓",IF(COUNTIFS('AFA Rates'!$A$5:$A$1004,$A176,'AFA Rates'!$B$5:$B$1004,J$23)&gt;0,"Exp","")))</f>
        <v/>
      </c>
      <c r="K176" s="79">
        <f>IF(OR($A176="",K$23=""),"",IF(COUNTIFS('AFA Rates'!$A$5:$A$1004,$A176,'AFA Rates'!$B$5:$B$1004,K$23,'AFA Rates'!$O$5:$O$1004,"&lt;&gt;Expired")&gt;0,"✓",IF(COUNTIFS('AFA Rates'!$A$5:$A$1004,$A176,'AFA Rates'!$B$5:$B$1004,K$23)&gt;0,"Exp","")))</f>
        <v/>
      </c>
      <c r="L176" s="79">
        <f>IF(OR($A176="",L$23=""),"",IF(COUNTIFS('AFA Rates'!$A$5:$A$1004,$A176,'AFA Rates'!$B$5:$B$1004,L$23,'AFA Rates'!$O$5:$O$1004,"&lt;&gt;Expired")&gt;0,"✓",IF(COUNTIFS('AFA Rates'!$A$5:$A$1004,$A176,'AFA Rates'!$B$5:$B$1004,L$23)&gt;0,"Exp","")))</f>
        <v/>
      </c>
      <c r="M176" s="79">
        <f>IF(OR($A176="",M$23=""),"",IF(COUNTIFS('AFA Rates'!$A$5:$A$1004,$A176,'AFA Rates'!$B$5:$B$1004,M$23,'AFA Rates'!$O$5:$O$1004,"&lt;&gt;Expired")&gt;0,"✓",IF(COUNTIFS('AFA Rates'!$A$5:$A$1004,$A176,'AFA Rates'!$B$5:$B$1004,M$23)&gt;0,"Exp","")))</f>
        <v/>
      </c>
    </row>
    <row r="177">
      <c r="A177" s="78">
        <f>IFERROR(INDEX(Firms!$A$5:$A$1004,MATCH(154,Firms!$V$5:$V$1004,0)),"")</f>
        <v/>
      </c>
      <c r="B177" s="79">
        <f>IF($A177="","",INDEX(Firms!$B$5:$B$1004,MATCH(154,Firms!$V$5:$V$1004,0)))</f>
        <v/>
      </c>
      <c r="C177" s="79">
        <f>IF($A177="","",COUNTIFS('AFA Rates'!$A$5:$A$1004,$A177,'AFA Rates'!$O$5:$O$1004,"&lt;&gt;Expired"))</f>
        <v/>
      </c>
      <c r="D177" s="79">
        <f>IF(OR($A177="",D$23=""),"",IF(COUNTIFS('AFA Rates'!$A$5:$A$1004,$A177,'AFA Rates'!$B$5:$B$1004,D$23,'AFA Rates'!$O$5:$O$1004,"&lt;&gt;Expired")&gt;0,"✓",IF(COUNTIFS('AFA Rates'!$A$5:$A$1004,$A177,'AFA Rates'!$B$5:$B$1004,D$23)&gt;0,"Exp","")))</f>
        <v/>
      </c>
      <c r="E177" s="79">
        <f>IF(OR($A177="",E$23=""),"",IF(COUNTIFS('AFA Rates'!$A$5:$A$1004,$A177,'AFA Rates'!$B$5:$B$1004,E$23,'AFA Rates'!$O$5:$O$1004,"&lt;&gt;Expired")&gt;0,"✓",IF(COUNTIFS('AFA Rates'!$A$5:$A$1004,$A177,'AFA Rates'!$B$5:$B$1004,E$23)&gt;0,"Exp","")))</f>
        <v/>
      </c>
      <c r="F177" s="79">
        <f>IF(OR($A177="",F$23=""),"",IF(COUNTIFS('AFA Rates'!$A$5:$A$1004,$A177,'AFA Rates'!$B$5:$B$1004,F$23,'AFA Rates'!$O$5:$O$1004,"&lt;&gt;Expired")&gt;0,"✓",IF(COUNTIFS('AFA Rates'!$A$5:$A$1004,$A177,'AFA Rates'!$B$5:$B$1004,F$23)&gt;0,"Exp","")))</f>
        <v/>
      </c>
      <c r="G177" s="79">
        <f>IF(OR($A177="",G$23=""),"",IF(COUNTIFS('AFA Rates'!$A$5:$A$1004,$A177,'AFA Rates'!$B$5:$B$1004,G$23,'AFA Rates'!$O$5:$O$1004,"&lt;&gt;Expired")&gt;0,"✓",IF(COUNTIFS('AFA Rates'!$A$5:$A$1004,$A177,'AFA Rates'!$B$5:$B$1004,G$23)&gt;0,"Exp","")))</f>
        <v/>
      </c>
      <c r="H177" s="79">
        <f>IF(OR($A177="",H$23=""),"",IF(COUNTIFS('AFA Rates'!$A$5:$A$1004,$A177,'AFA Rates'!$B$5:$B$1004,H$23,'AFA Rates'!$O$5:$O$1004,"&lt;&gt;Expired")&gt;0,"✓",IF(COUNTIFS('AFA Rates'!$A$5:$A$1004,$A177,'AFA Rates'!$B$5:$B$1004,H$23)&gt;0,"Exp","")))</f>
        <v/>
      </c>
      <c r="I177" s="79">
        <f>IF(OR($A177="",I$23=""),"",IF(COUNTIFS('AFA Rates'!$A$5:$A$1004,$A177,'AFA Rates'!$B$5:$B$1004,I$23,'AFA Rates'!$O$5:$O$1004,"&lt;&gt;Expired")&gt;0,"✓",IF(COUNTIFS('AFA Rates'!$A$5:$A$1004,$A177,'AFA Rates'!$B$5:$B$1004,I$23)&gt;0,"Exp","")))</f>
        <v/>
      </c>
      <c r="J177" s="79">
        <f>IF(OR($A177="",J$23=""),"",IF(COUNTIFS('AFA Rates'!$A$5:$A$1004,$A177,'AFA Rates'!$B$5:$B$1004,J$23,'AFA Rates'!$O$5:$O$1004,"&lt;&gt;Expired")&gt;0,"✓",IF(COUNTIFS('AFA Rates'!$A$5:$A$1004,$A177,'AFA Rates'!$B$5:$B$1004,J$23)&gt;0,"Exp","")))</f>
        <v/>
      </c>
      <c r="K177" s="79">
        <f>IF(OR($A177="",K$23=""),"",IF(COUNTIFS('AFA Rates'!$A$5:$A$1004,$A177,'AFA Rates'!$B$5:$B$1004,K$23,'AFA Rates'!$O$5:$O$1004,"&lt;&gt;Expired")&gt;0,"✓",IF(COUNTIFS('AFA Rates'!$A$5:$A$1004,$A177,'AFA Rates'!$B$5:$B$1004,K$23)&gt;0,"Exp","")))</f>
        <v/>
      </c>
      <c r="L177" s="79">
        <f>IF(OR($A177="",L$23=""),"",IF(COUNTIFS('AFA Rates'!$A$5:$A$1004,$A177,'AFA Rates'!$B$5:$B$1004,L$23,'AFA Rates'!$O$5:$O$1004,"&lt;&gt;Expired")&gt;0,"✓",IF(COUNTIFS('AFA Rates'!$A$5:$A$1004,$A177,'AFA Rates'!$B$5:$B$1004,L$23)&gt;0,"Exp","")))</f>
        <v/>
      </c>
      <c r="M177" s="79">
        <f>IF(OR($A177="",M$23=""),"",IF(COUNTIFS('AFA Rates'!$A$5:$A$1004,$A177,'AFA Rates'!$B$5:$B$1004,M$23,'AFA Rates'!$O$5:$O$1004,"&lt;&gt;Expired")&gt;0,"✓",IF(COUNTIFS('AFA Rates'!$A$5:$A$1004,$A177,'AFA Rates'!$B$5:$B$1004,M$23)&gt;0,"Exp","")))</f>
        <v/>
      </c>
    </row>
    <row r="178">
      <c r="A178" s="78">
        <f>IFERROR(INDEX(Firms!$A$5:$A$1004,MATCH(155,Firms!$V$5:$V$1004,0)),"")</f>
        <v/>
      </c>
      <c r="B178" s="79">
        <f>IF($A178="","",INDEX(Firms!$B$5:$B$1004,MATCH(155,Firms!$V$5:$V$1004,0)))</f>
        <v/>
      </c>
      <c r="C178" s="79">
        <f>IF($A178="","",COUNTIFS('AFA Rates'!$A$5:$A$1004,$A178,'AFA Rates'!$O$5:$O$1004,"&lt;&gt;Expired"))</f>
        <v/>
      </c>
      <c r="D178" s="79">
        <f>IF(OR($A178="",D$23=""),"",IF(COUNTIFS('AFA Rates'!$A$5:$A$1004,$A178,'AFA Rates'!$B$5:$B$1004,D$23,'AFA Rates'!$O$5:$O$1004,"&lt;&gt;Expired")&gt;0,"✓",IF(COUNTIFS('AFA Rates'!$A$5:$A$1004,$A178,'AFA Rates'!$B$5:$B$1004,D$23)&gt;0,"Exp","")))</f>
        <v/>
      </c>
      <c r="E178" s="79">
        <f>IF(OR($A178="",E$23=""),"",IF(COUNTIFS('AFA Rates'!$A$5:$A$1004,$A178,'AFA Rates'!$B$5:$B$1004,E$23,'AFA Rates'!$O$5:$O$1004,"&lt;&gt;Expired")&gt;0,"✓",IF(COUNTIFS('AFA Rates'!$A$5:$A$1004,$A178,'AFA Rates'!$B$5:$B$1004,E$23)&gt;0,"Exp","")))</f>
        <v/>
      </c>
      <c r="F178" s="79">
        <f>IF(OR($A178="",F$23=""),"",IF(COUNTIFS('AFA Rates'!$A$5:$A$1004,$A178,'AFA Rates'!$B$5:$B$1004,F$23,'AFA Rates'!$O$5:$O$1004,"&lt;&gt;Expired")&gt;0,"✓",IF(COUNTIFS('AFA Rates'!$A$5:$A$1004,$A178,'AFA Rates'!$B$5:$B$1004,F$23)&gt;0,"Exp","")))</f>
        <v/>
      </c>
      <c r="G178" s="79">
        <f>IF(OR($A178="",G$23=""),"",IF(COUNTIFS('AFA Rates'!$A$5:$A$1004,$A178,'AFA Rates'!$B$5:$B$1004,G$23,'AFA Rates'!$O$5:$O$1004,"&lt;&gt;Expired")&gt;0,"✓",IF(COUNTIFS('AFA Rates'!$A$5:$A$1004,$A178,'AFA Rates'!$B$5:$B$1004,G$23)&gt;0,"Exp","")))</f>
        <v/>
      </c>
      <c r="H178" s="79">
        <f>IF(OR($A178="",H$23=""),"",IF(COUNTIFS('AFA Rates'!$A$5:$A$1004,$A178,'AFA Rates'!$B$5:$B$1004,H$23,'AFA Rates'!$O$5:$O$1004,"&lt;&gt;Expired")&gt;0,"✓",IF(COUNTIFS('AFA Rates'!$A$5:$A$1004,$A178,'AFA Rates'!$B$5:$B$1004,H$23)&gt;0,"Exp","")))</f>
        <v/>
      </c>
      <c r="I178" s="79">
        <f>IF(OR($A178="",I$23=""),"",IF(COUNTIFS('AFA Rates'!$A$5:$A$1004,$A178,'AFA Rates'!$B$5:$B$1004,I$23,'AFA Rates'!$O$5:$O$1004,"&lt;&gt;Expired")&gt;0,"✓",IF(COUNTIFS('AFA Rates'!$A$5:$A$1004,$A178,'AFA Rates'!$B$5:$B$1004,I$23)&gt;0,"Exp","")))</f>
        <v/>
      </c>
      <c r="J178" s="79">
        <f>IF(OR($A178="",J$23=""),"",IF(COUNTIFS('AFA Rates'!$A$5:$A$1004,$A178,'AFA Rates'!$B$5:$B$1004,J$23,'AFA Rates'!$O$5:$O$1004,"&lt;&gt;Expired")&gt;0,"✓",IF(COUNTIFS('AFA Rates'!$A$5:$A$1004,$A178,'AFA Rates'!$B$5:$B$1004,J$23)&gt;0,"Exp","")))</f>
        <v/>
      </c>
      <c r="K178" s="79">
        <f>IF(OR($A178="",K$23=""),"",IF(COUNTIFS('AFA Rates'!$A$5:$A$1004,$A178,'AFA Rates'!$B$5:$B$1004,K$23,'AFA Rates'!$O$5:$O$1004,"&lt;&gt;Expired")&gt;0,"✓",IF(COUNTIFS('AFA Rates'!$A$5:$A$1004,$A178,'AFA Rates'!$B$5:$B$1004,K$23)&gt;0,"Exp","")))</f>
        <v/>
      </c>
      <c r="L178" s="79">
        <f>IF(OR($A178="",L$23=""),"",IF(COUNTIFS('AFA Rates'!$A$5:$A$1004,$A178,'AFA Rates'!$B$5:$B$1004,L$23,'AFA Rates'!$O$5:$O$1004,"&lt;&gt;Expired")&gt;0,"✓",IF(COUNTIFS('AFA Rates'!$A$5:$A$1004,$A178,'AFA Rates'!$B$5:$B$1004,L$23)&gt;0,"Exp","")))</f>
        <v/>
      </c>
      <c r="M178" s="79">
        <f>IF(OR($A178="",M$23=""),"",IF(COUNTIFS('AFA Rates'!$A$5:$A$1004,$A178,'AFA Rates'!$B$5:$B$1004,M$23,'AFA Rates'!$O$5:$O$1004,"&lt;&gt;Expired")&gt;0,"✓",IF(COUNTIFS('AFA Rates'!$A$5:$A$1004,$A178,'AFA Rates'!$B$5:$B$1004,M$23)&gt;0,"Exp","")))</f>
        <v/>
      </c>
    </row>
    <row r="179">
      <c r="A179" s="78">
        <f>IFERROR(INDEX(Firms!$A$5:$A$1004,MATCH(156,Firms!$V$5:$V$1004,0)),"")</f>
        <v/>
      </c>
      <c r="B179" s="79">
        <f>IF($A179="","",INDEX(Firms!$B$5:$B$1004,MATCH(156,Firms!$V$5:$V$1004,0)))</f>
        <v/>
      </c>
      <c r="C179" s="79">
        <f>IF($A179="","",COUNTIFS('AFA Rates'!$A$5:$A$1004,$A179,'AFA Rates'!$O$5:$O$1004,"&lt;&gt;Expired"))</f>
        <v/>
      </c>
      <c r="D179" s="79">
        <f>IF(OR($A179="",D$23=""),"",IF(COUNTIFS('AFA Rates'!$A$5:$A$1004,$A179,'AFA Rates'!$B$5:$B$1004,D$23,'AFA Rates'!$O$5:$O$1004,"&lt;&gt;Expired")&gt;0,"✓",IF(COUNTIFS('AFA Rates'!$A$5:$A$1004,$A179,'AFA Rates'!$B$5:$B$1004,D$23)&gt;0,"Exp","")))</f>
        <v/>
      </c>
      <c r="E179" s="79">
        <f>IF(OR($A179="",E$23=""),"",IF(COUNTIFS('AFA Rates'!$A$5:$A$1004,$A179,'AFA Rates'!$B$5:$B$1004,E$23,'AFA Rates'!$O$5:$O$1004,"&lt;&gt;Expired")&gt;0,"✓",IF(COUNTIFS('AFA Rates'!$A$5:$A$1004,$A179,'AFA Rates'!$B$5:$B$1004,E$23)&gt;0,"Exp","")))</f>
        <v/>
      </c>
      <c r="F179" s="79">
        <f>IF(OR($A179="",F$23=""),"",IF(COUNTIFS('AFA Rates'!$A$5:$A$1004,$A179,'AFA Rates'!$B$5:$B$1004,F$23,'AFA Rates'!$O$5:$O$1004,"&lt;&gt;Expired")&gt;0,"✓",IF(COUNTIFS('AFA Rates'!$A$5:$A$1004,$A179,'AFA Rates'!$B$5:$B$1004,F$23)&gt;0,"Exp","")))</f>
        <v/>
      </c>
      <c r="G179" s="79">
        <f>IF(OR($A179="",G$23=""),"",IF(COUNTIFS('AFA Rates'!$A$5:$A$1004,$A179,'AFA Rates'!$B$5:$B$1004,G$23,'AFA Rates'!$O$5:$O$1004,"&lt;&gt;Expired")&gt;0,"✓",IF(COUNTIFS('AFA Rates'!$A$5:$A$1004,$A179,'AFA Rates'!$B$5:$B$1004,G$23)&gt;0,"Exp","")))</f>
        <v/>
      </c>
      <c r="H179" s="79">
        <f>IF(OR($A179="",H$23=""),"",IF(COUNTIFS('AFA Rates'!$A$5:$A$1004,$A179,'AFA Rates'!$B$5:$B$1004,H$23,'AFA Rates'!$O$5:$O$1004,"&lt;&gt;Expired")&gt;0,"✓",IF(COUNTIFS('AFA Rates'!$A$5:$A$1004,$A179,'AFA Rates'!$B$5:$B$1004,H$23)&gt;0,"Exp","")))</f>
        <v/>
      </c>
      <c r="I179" s="79">
        <f>IF(OR($A179="",I$23=""),"",IF(COUNTIFS('AFA Rates'!$A$5:$A$1004,$A179,'AFA Rates'!$B$5:$B$1004,I$23,'AFA Rates'!$O$5:$O$1004,"&lt;&gt;Expired")&gt;0,"✓",IF(COUNTIFS('AFA Rates'!$A$5:$A$1004,$A179,'AFA Rates'!$B$5:$B$1004,I$23)&gt;0,"Exp","")))</f>
        <v/>
      </c>
      <c r="J179" s="79">
        <f>IF(OR($A179="",J$23=""),"",IF(COUNTIFS('AFA Rates'!$A$5:$A$1004,$A179,'AFA Rates'!$B$5:$B$1004,J$23,'AFA Rates'!$O$5:$O$1004,"&lt;&gt;Expired")&gt;0,"✓",IF(COUNTIFS('AFA Rates'!$A$5:$A$1004,$A179,'AFA Rates'!$B$5:$B$1004,J$23)&gt;0,"Exp","")))</f>
        <v/>
      </c>
      <c r="K179" s="79">
        <f>IF(OR($A179="",K$23=""),"",IF(COUNTIFS('AFA Rates'!$A$5:$A$1004,$A179,'AFA Rates'!$B$5:$B$1004,K$23,'AFA Rates'!$O$5:$O$1004,"&lt;&gt;Expired")&gt;0,"✓",IF(COUNTIFS('AFA Rates'!$A$5:$A$1004,$A179,'AFA Rates'!$B$5:$B$1004,K$23)&gt;0,"Exp","")))</f>
        <v/>
      </c>
      <c r="L179" s="79">
        <f>IF(OR($A179="",L$23=""),"",IF(COUNTIFS('AFA Rates'!$A$5:$A$1004,$A179,'AFA Rates'!$B$5:$B$1004,L$23,'AFA Rates'!$O$5:$O$1004,"&lt;&gt;Expired")&gt;0,"✓",IF(COUNTIFS('AFA Rates'!$A$5:$A$1004,$A179,'AFA Rates'!$B$5:$B$1004,L$23)&gt;0,"Exp","")))</f>
        <v/>
      </c>
      <c r="M179" s="79">
        <f>IF(OR($A179="",M$23=""),"",IF(COUNTIFS('AFA Rates'!$A$5:$A$1004,$A179,'AFA Rates'!$B$5:$B$1004,M$23,'AFA Rates'!$O$5:$O$1004,"&lt;&gt;Expired")&gt;0,"✓",IF(COUNTIFS('AFA Rates'!$A$5:$A$1004,$A179,'AFA Rates'!$B$5:$B$1004,M$23)&gt;0,"Exp","")))</f>
        <v/>
      </c>
    </row>
    <row r="180">
      <c r="A180" s="78">
        <f>IFERROR(INDEX(Firms!$A$5:$A$1004,MATCH(157,Firms!$V$5:$V$1004,0)),"")</f>
        <v/>
      </c>
      <c r="B180" s="79">
        <f>IF($A180="","",INDEX(Firms!$B$5:$B$1004,MATCH(157,Firms!$V$5:$V$1004,0)))</f>
        <v/>
      </c>
      <c r="C180" s="79">
        <f>IF($A180="","",COUNTIFS('AFA Rates'!$A$5:$A$1004,$A180,'AFA Rates'!$O$5:$O$1004,"&lt;&gt;Expired"))</f>
        <v/>
      </c>
      <c r="D180" s="79">
        <f>IF(OR($A180="",D$23=""),"",IF(COUNTIFS('AFA Rates'!$A$5:$A$1004,$A180,'AFA Rates'!$B$5:$B$1004,D$23,'AFA Rates'!$O$5:$O$1004,"&lt;&gt;Expired")&gt;0,"✓",IF(COUNTIFS('AFA Rates'!$A$5:$A$1004,$A180,'AFA Rates'!$B$5:$B$1004,D$23)&gt;0,"Exp","")))</f>
        <v/>
      </c>
      <c r="E180" s="79">
        <f>IF(OR($A180="",E$23=""),"",IF(COUNTIFS('AFA Rates'!$A$5:$A$1004,$A180,'AFA Rates'!$B$5:$B$1004,E$23,'AFA Rates'!$O$5:$O$1004,"&lt;&gt;Expired")&gt;0,"✓",IF(COUNTIFS('AFA Rates'!$A$5:$A$1004,$A180,'AFA Rates'!$B$5:$B$1004,E$23)&gt;0,"Exp","")))</f>
        <v/>
      </c>
      <c r="F180" s="79">
        <f>IF(OR($A180="",F$23=""),"",IF(COUNTIFS('AFA Rates'!$A$5:$A$1004,$A180,'AFA Rates'!$B$5:$B$1004,F$23,'AFA Rates'!$O$5:$O$1004,"&lt;&gt;Expired")&gt;0,"✓",IF(COUNTIFS('AFA Rates'!$A$5:$A$1004,$A180,'AFA Rates'!$B$5:$B$1004,F$23)&gt;0,"Exp","")))</f>
        <v/>
      </c>
      <c r="G180" s="79">
        <f>IF(OR($A180="",G$23=""),"",IF(COUNTIFS('AFA Rates'!$A$5:$A$1004,$A180,'AFA Rates'!$B$5:$B$1004,G$23,'AFA Rates'!$O$5:$O$1004,"&lt;&gt;Expired")&gt;0,"✓",IF(COUNTIFS('AFA Rates'!$A$5:$A$1004,$A180,'AFA Rates'!$B$5:$B$1004,G$23)&gt;0,"Exp","")))</f>
        <v/>
      </c>
      <c r="H180" s="79">
        <f>IF(OR($A180="",H$23=""),"",IF(COUNTIFS('AFA Rates'!$A$5:$A$1004,$A180,'AFA Rates'!$B$5:$B$1004,H$23,'AFA Rates'!$O$5:$O$1004,"&lt;&gt;Expired")&gt;0,"✓",IF(COUNTIFS('AFA Rates'!$A$5:$A$1004,$A180,'AFA Rates'!$B$5:$B$1004,H$23)&gt;0,"Exp","")))</f>
        <v/>
      </c>
      <c r="I180" s="79">
        <f>IF(OR($A180="",I$23=""),"",IF(COUNTIFS('AFA Rates'!$A$5:$A$1004,$A180,'AFA Rates'!$B$5:$B$1004,I$23,'AFA Rates'!$O$5:$O$1004,"&lt;&gt;Expired")&gt;0,"✓",IF(COUNTIFS('AFA Rates'!$A$5:$A$1004,$A180,'AFA Rates'!$B$5:$B$1004,I$23)&gt;0,"Exp","")))</f>
        <v/>
      </c>
      <c r="J180" s="79">
        <f>IF(OR($A180="",J$23=""),"",IF(COUNTIFS('AFA Rates'!$A$5:$A$1004,$A180,'AFA Rates'!$B$5:$B$1004,J$23,'AFA Rates'!$O$5:$O$1004,"&lt;&gt;Expired")&gt;0,"✓",IF(COUNTIFS('AFA Rates'!$A$5:$A$1004,$A180,'AFA Rates'!$B$5:$B$1004,J$23)&gt;0,"Exp","")))</f>
        <v/>
      </c>
      <c r="K180" s="79">
        <f>IF(OR($A180="",K$23=""),"",IF(COUNTIFS('AFA Rates'!$A$5:$A$1004,$A180,'AFA Rates'!$B$5:$B$1004,K$23,'AFA Rates'!$O$5:$O$1004,"&lt;&gt;Expired")&gt;0,"✓",IF(COUNTIFS('AFA Rates'!$A$5:$A$1004,$A180,'AFA Rates'!$B$5:$B$1004,K$23)&gt;0,"Exp","")))</f>
        <v/>
      </c>
      <c r="L180" s="79">
        <f>IF(OR($A180="",L$23=""),"",IF(COUNTIFS('AFA Rates'!$A$5:$A$1004,$A180,'AFA Rates'!$B$5:$B$1004,L$23,'AFA Rates'!$O$5:$O$1004,"&lt;&gt;Expired")&gt;0,"✓",IF(COUNTIFS('AFA Rates'!$A$5:$A$1004,$A180,'AFA Rates'!$B$5:$B$1004,L$23)&gt;0,"Exp","")))</f>
        <v/>
      </c>
      <c r="M180" s="79">
        <f>IF(OR($A180="",M$23=""),"",IF(COUNTIFS('AFA Rates'!$A$5:$A$1004,$A180,'AFA Rates'!$B$5:$B$1004,M$23,'AFA Rates'!$O$5:$O$1004,"&lt;&gt;Expired")&gt;0,"✓",IF(COUNTIFS('AFA Rates'!$A$5:$A$1004,$A180,'AFA Rates'!$B$5:$B$1004,M$23)&gt;0,"Exp","")))</f>
        <v/>
      </c>
    </row>
    <row r="181">
      <c r="A181" s="78">
        <f>IFERROR(INDEX(Firms!$A$5:$A$1004,MATCH(158,Firms!$V$5:$V$1004,0)),"")</f>
        <v/>
      </c>
      <c r="B181" s="79">
        <f>IF($A181="","",INDEX(Firms!$B$5:$B$1004,MATCH(158,Firms!$V$5:$V$1004,0)))</f>
        <v/>
      </c>
      <c r="C181" s="79">
        <f>IF($A181="","",COUNTIFS('AFA Rates'!$A$5:$A$1004,$A181,'AFA Rates'!$O$5:$O$1004,"&lt;&gt;Expired"))</f>
        <v/>
      </c>
      <c r="D181" s="79">
        <f>IF(OR($A181="",D$23=""),"",IF(COUNTIFS('AFA Rates'!$A$5:$A$1004,$A181,'AFA Rates'!$B$5:$B$1004,D$23,'AFA Rates'!$O$5:$O$1004,"&lt;&gt;Expired")&gt;0,"✓",IF(COUNTIFS('AFA Rates'!$A$5:$A$1004,$A181,'AFA Rates'!$B$5:$B$1004,D$23)&gt;0,"Exp","")))</f>
        <v/>
      </c>
      <c r="E181" s="79">
        <f>IF(OR($A181="",E$23=""),"",IF(COUNTIFS('AFA Rates'!$A$5:$A$1004,$A181,'AFA Rates'!$B$5:$B$1004,E$23,'AFA Rates'!$O$5:$O$1004,"&lt;&gt;Expired")&gt;0,"✓",IF(COUNTIFS('AFA Rates'!$A$5:$A$1004,$A181,'AFA Rates'!$B$5:$B$1004,E$23)&gt;0,"Exp","")))</f>
        <v/>
      </c>
      <c r="F181" s="79">
        <f>IF(OR($A181="",F$23=""),"",IF(COUNTIFS('AFA Rates'!$A$5:$A$1004,$A181,'AFA Rates'!$B$5:$B$1004,F$23,'AFA Rates'!$O$5:$O$1004,"&lt;&gt;Expired")&gt;0,"✓",IF(COUNTIFS('AFA Rates'!$A$5:$A$1004,$A181,'AFA Rates'!$B$5:$B$1004,F$23)&gt;0,"Exp","")))</f>
        <v/>
      </c>
      <c r="G181" s="79">
        <f>IF(OR($A181="",G$23=""),"",IF(COUNTIFS('AFA Rates'!$A$5:$A$1004,$A181,'AFA Rates'!$B$5:$B$1004,G$23,'AFA Rates'!$O$5:$O$1004,"&lt;&gt;Expired")&gt;0,"✓",IF(COUNTIFS('AFA Rates'!$A$5:$A$1004,$A181,'AFA Rates'!$B$5:$B$1004,G$23)&gt;0,"Exp","")))</f>
        <v/>
      </c>
      <c r="H181" s="79">
        <f>IF(OR($A181="",H$23=""),"",IF(COUNTIFS('AFA Rates'!$A$5:$A$1004,$A181,'AFA Rates'!$B$5:$B$1004,H$23,'AFA Rates'!$O$5:$O$1004,"&lt;&gt;Expired")&gt;0,"✓",IF(COUNTIFS('AFA Rates'!$A$5:$A$1004,$A181,'AFA Rates'!$B$5:$B$1004,H$23)&gt;0,"Exp","")))</f>
        <v/>
      </c>
      <c r="I181" s="79">
        <f>IF(OR($A181="",I$23=""),"",IF(COUNTIFS('AFA Rates'!$A$5:$A$1004,$A181,'AFA Rates'!$B$5:$B$1004,I$23,'AFA Rates'!$O$5:$O$1004,"&lt;&gt;Expired")&gt;0,"✓",IF(COUNTIFS('AFA Rates'!$A$5:$A$1004,$A181,'AFA Rates'!$B$5:$B$1004,I$23)&gt;0,"Exp","")))</f>
        <v/>
      </c>
      <c r="J181" s="79">
        <f>IF(OR($A181="",J$23=""),"",IF(COUNTIFS('AFA Rates'!$A$5:$A$1004,$A181,'AFA Rates'!$B$5:$B$1004,J$23,'AFA Rates'!$O$5:$O$1004,"&lt;&gt;Expired")&gt;0,"✓",IF(COUNTIFS('AFA Rates'!$A$5:$A$1004,$A181,'AFA Rates'!$B$5:$B$1004,J$23)&gt;0,"Exp","")))</f>
        <v/>
      </c>
      <c r="K181" s="79">
        <f>IF(OR($A181="",K$23=""),"",IF(COUNTIFS('AFA Rates'!$A$5:$A$1004,$A181,'AFA Rates'!$B$5:$B$1004,K$23,'AFA Rates'!$O$5:$O$1004,"&lt;&gt;Expired")&gt;0,"✓",IF(COUNTIFS('AFA Rates'!$A$5:$A$1004,$A181,'AFA Rates'!$B$5:$B$1004,K$23)&gt;0,"Exp","")))</f>
        <v/>
      </c>
      <c r="L181" s="79">
        <f>IF(OR($A181="",L$23=""),"",IF(COUNTIFS('AFA Rates'!$A$5:$A$1004,$A181,'AFA Rates'!$B$5:$B$1004,L$23,'AFA Rates'!$O$5:$O$1004,"&lt;&gt;Expired")&gt;0,"✓",IF(COUNTIFS('AFA Rates'!$A$5:$A$1004,$A181,'AFA Rates'!$B$5:$B$1004,L$23)&gt;0,"Exp","")))</f>
        <v/>
      </c>
      <c r="M181" s="79">
        <f>IF(OR($A181="",M$23=""),"",IF(COUNTIFS('AFA Rates'!$A$5:$A$1004,$A181,'AFA Rates'!$B$5:$B$1004,M$23,'AFA Rates'!$O$5:$O$1004,"&lt;&gt;Expired")&gt;0,"✓",IF(COUNTIFS('AFA Rates'!$A$5:$A$1004,$A181,'AFA Rates'!$B$5:$B$1004,M$23)&gt;0,"Exp","")))</f>
        <v/>
      </c>
    </row>
    <row r="182">
      <c r="A182" s="78">
        <f>IFERROR(INDEX(Firms!$A$5:$A$1004,MATCH(159,Firms!$V$5:$V$1004,0)),"")</f>
        <v/>
      </c>
      <c r="B182" s="79">
        <f>IF($A182="","",INDEX(Firms!$B$5:$B$1004,MATCH(159,Firms!$V$5:$V$1004,0)))</f>
        <v/>
      </c>
      <c r="C182" s="79">
        <f>IF($A182="","",COUNTIFS('AFA Rates'!$A$5:$A$1004,$A182,'AFA Rates'!$O$5:$O$1004,"&lt;&gt;Expired"))</f>
        <v/>
      </c>
      <c r="D182" s="79">
        <f>IF(OR($A182="",D$23=""),"",IF(COUNTIFS('AFA Rates'!$A$5:$A$1004,$A182,'AFA Rates'!$B$5:$B$1004,D$23,'AFA Rates'!$O$5:$O$1004,"&lt;&gt;Expired")&gt;0,"✓",IF(COUNTIFS('AFA Rates'!$A$5:$A$1004,$A182,'AFA Rates'!$B$5:$B$1004,D$23)&gt;0,"Exp","")))</f>
        <v/>
      </c>
      <c r="E182" s="79">
        <f>IF(OR($A182="",E$23=""),"",IF(COUNTIFS('AFA Rates'!$A$5:$A$1004,$A182,'AFA Rates'!$B$5:$B$1004,E$23,'AFA Rates'!$O$5:$O$1004,"&lt;&gt;Expired")&gt;0,"✓",IF(COUNTIFS('AFA Rates'!$A$5:$A$1004,$A182,'AFA Rates'!$B$5:$B$1004,E$23)&gt;0,"Exp","")))</f>
        <v/>
      </c>
      <c r="F182" s="79">
        <f>IF(OR($A182="",F$23=""),"",IF(COUNTIFS('AFA Rates'!$A$5:$A$1004,$A182,'AFA Rates'!$B$5:$B$1004,F$23,'AFA Rates'!$O$5:$O$1004,"&lt;&gt;Expired")&gt;0,"✓",IF(COUNTIFS('AFA Rates'!$A$5:$A$1004,$A182,'AFA Rates'!$B$5:$B$1004,F$23)&gt;0,"Exp","")))</f>
        <v/>
      </c>
      <c r="G182" s="79">
        <f>IF(OR($A182="",G$23=""),"",IF(COUNTIFS('AFA Rates'!$A$5:$A$1004,$A182,'AFA Rates'!$B$5:$B$1004,G$23,'AFA Rates'!$O$5:$O$1004,"&lt;&gt;Expired")&gt;0,"✓",IF(COUNTIFS('AFA Rates'!$A$5:$A$1004,$A182,'AFA Rates'!$B$5:$B$1004,G$23)&gt;0,"Exp","")))</f>
        <v/>
      </c>
      <c r="H182" s="79">
        <f>IF(OR($A182="",H$23=""),"",IF(COUNTIFS('AFA Rates'!$A$5:$A$1004,$A182,'AFA Rates'!$B$5:$B$1004,H$23,'AFA Rates'!$O$5:$O$1004,"&lt;&gt;Expired")&gt;0,"✓",IF(COUNTIFS('AFA Rates'!$A$5:$A$1004,$A182,'AFA Rates'!$B$5:$B$1004,H$23)&gt;0,"Exp","")))</f>
        <v/>
      </c>
      <c r="I182" s="79">
        <f>IF(OR($A182="",I$23=""),"",IF(COUNTIFS('AFA Rates'!$A$5:$A$1004,$A182,'AFA Rates'!$B$5:$B$1004,I$23,'AFA Rates'!$O$5:$O$1004,"&lt;&gt;Expired")&gt;0,"✓",IF(COUNTIFS('AFA Rates'!$A$5:$A$1004,$A182,'AFA Rates'!$B$5:$B$1004,I$23)&gt;0,"Exp","")))</f>
        <v/>
      </c>
      <c r="J182" s="79">
        <f>IF(OR($A182="",J$23=""),"",IF(COUNTIFS('AFA Rates'!$A$5:$A$1004,$A182,'AFA Rates'!$B$5:$B$1004,J$23,'AFA Rates'!$O$5:$O$1004,"&lt;&gt;Expired")&gt;0,"✓",IF(COUNTIFS('AFA Rates'!$A$5:$A$1004,$A182,'AFA Rates'!$B$5:$B$1004,J$23)&gt;0,"Exp","")))</f>
        <v/>
      </c>
      <c r="K182" s="79">
        <f>IF(OR($A182="",K$23=""),"",IF(COUNTIFS('AFA Rates'!$A$5:$A$1004,$A182,'AFA Rates'!$B$5:$B$1004,K$23,'AFA Rates'!$O$5:$O$1004,"&lt;&gt;Expired")&gt;0,"✓",IF(COUNTIFS('AFA Rates'!$A$5:$A$1004,$A182,'AFA Rates'!$B$5:$B$1004,K$23)&gt;0,"Exp","")))</f>
        <v/>
      </c>
      <c r="L182" s="79">
        <f>IF(OR($A182="",L$23=""),"",IF(COUNTIFS('AFA Rates'!$A$5:$A$1004,$A182,'AFA Rates'!$B$5:$B$1004,L$23,'AFA Rates'!$O$5:$O$1004,"&lt;&gt;Expired")&gt;0,"✓",IF(COUNTIFS('AFA Rates'!$A$5:$A$1004,$A182,'AFA Rates'!$B$5:$B$1004,L$23)&gt;0,"Exp","")))</f>
        <v/>
      </c>
      <c r="M182" s="79">
        <f>IF(OR($A182="",M$23=""),"",IF(COUNTIFS('AFA Rates'!$A$5:$A$1004,$A182,'AFA Rates'!$B$5:$B$1004,M$23,'AFA Rates'!$O$5:$O$1004,"&lt;&gt;Expired")&gt;0,"✓",IF(COUNTIFS('AFA Rates'!$A$5:$A$1004,$A182,'AFA Rates'!$B$5:$B$1004,M$23)&gt;0,"Exp","")))</f>
        <v/>
      </c>
    </row>
    <row r="183">
      <c r="A183" s="78">
        <f>IFERROR(INDEX(Firms!$A$5:$A$1004,MATCH(160,Firms!$V$5:$V$1004,0)),"")</f>
        <v/>
      </c>
      <c r="B183" s="79">
        <f>IF($A183="","",INDEX(Firms!$B$5:$B$1004,MATCH(160,Firms!$V$5:$V$1004,0)))</f>
        <v/>
      </c>
      <c r="C183" s="79">
        <f>IF($A183="","",COUNTIFS('AFA Rates'!$A$5:$A$1004,$A183,'AFA Rates'!$O$5:$O$1004,"&lt;&gt;Expired"))</f>
        <v/>
      </c>
      <c r="D183" s="79">
        <f>IF(OR($A183="",D$23=""),"",IF(COUNTIFS('AFA Rates'!$A$5:$A$1004,$A183,'AFA Rates'!$B$5:$B$1004,D$23,'AFA Rates'!$O$5:$O$1004,"&lt;&gt;Expired")&gt;0,"✓",IF(COUNTIFS('AFA Rates'!$A$5:$A$1004,$A183,'AFA Rates'!$B$5:$B$1004,D$23)&gt;0,"Exp","")))</f>
        <v/>
      </c>
      <c r="E183" s="79">
        <f>IF(OR($A183="",E$23=""),"",IF(COUNTIFS('AFA Rates'!$A$5:$A$1004,$A183,'AFA Rates'!$B$5:$B$1004,E$23,'AFA Rates'!$O$5:$O$1004,"&lt;&gt;Expired")&gt;0,"✓",IF(COUNTIFS('AFA Rates'!$A$5:$A$1004,$A183,'AFA Rates'!$B$5:$B$1004,E$23)&gt;0,"Exp","")))</f>
        <v/>
      </c>
      <c r="F183" s="79">
        <f>IF(OR($A183="",F$23=""),"",IF(COUNTIFS('AFA Rates'!$A$5:$A$1004,$A183,'AFA Rates'!$B$5:$B$1004,F$23,'AFA Rates'!$O$5:$O$1004,"&lt;&gt;Expired")&gt;0,"✓",IF(COUNTIFS('AFA Rates'!$A$5:$A$1004,$A183,'AFA Rates'!$B$5:$B$1004,F$23)&gt;0,"Exp","")))</f>
        <v/>
      </c>
      <c r="G183" s="79">
        <f>IF(OR($A183="",G$23=""),"",IF(COUNTIFS('AFA Rates'!$A$5:$A$1004,$A183,'AFA Rates'!$B$5:$B$1004,G$23,'AFA Rates'!$O$5:$O$1004,"&lt;&gt;Expired")&gt;0,"✓",IF(COUNTIFS('AFA Rates'!$A$5:$A$1004,$A183,'AFA Rates'!$B$5:$B$1004,G$23)&gt;0,"Exp","")))</f>
        <v/>
      </c>
      <c r="H183" s="79">
        <f>IF(OR($A183="",H$23=""),"",IF(COUNTIFS('AFA Rates'!$A$5:$A$1004,$A183,'AFA Rates'!$B$5:$B$1004,H$23,'AFA Rates'!$O$5:$O$1004,"&lt;&gt;Expired")&gt;0,"✓",IF(COUNTIFS('AFA Rates'!$A$5:$A$1004,$A183,'AFA Rates'!$B$5:$B$1004,H$23)&gt;0,"Exp","")))</f>
        <v/>
      </c>
      <c r="I183" s="79">
        <f>IF(OR($A183="",I$23=""),"",IF(COUNTIFS('AFA Rates'!$A$5:$A$1004,$A183,'AFA Rates'!$B$5:$B$1004,I$23,'AFA Rates'!$O$5:$O$1004,"&lt;&gt;Expired")&gt;0,"✓",IF(COUNTIFS('AFA Rates'!$A$5:$A$1004,$A183,'AFA Rates'!$B$5:$B$1004,I$23)&gt;0,"Exp","")))</f>
        <v/>
      </c>
      <c r="J183" s="79">
        <f>IF(OR($A183="",J$23=""),"",IF(COUNTIFS('AFA Rates'!$A$5:$A$1004,$A183,'AFA Rates'!$B$5:$B$1004,J$23,'AFA Rates'!$O$5:$O$1004,"&lt;&gt;Expired")&gt;0,"✓",IF(COUNTIFS('AFA Rates'!$A$5:$A$1004,$A183,'AFA Rates'!$B$5:$B$1004,J$23)&gt;0,"Exp","")))</f>
        <v/>
      </c>
      <c r="K183" s="79">
        <f>IF(OR($A183="",K$23=""),"",IF(COUNTIFS('AFA Rates'!$A$5:$A$1004,$A183,'AFA Rates'!$B$5:$B$1004,K$23,'AFA Rates'!$O$5:$O$1004,"&lt;&gt;Expired")&gt;0,"✓",IF(COUNTIFS('AFA Rates'!$A$5:$A$1004,$A183,'AFA Rates'!$B$5:$B$1004,K$23)&gt;0,"Exp","")))</f>
        <v/>
      </c>
      <c r="L183" s="79">
        <f>IF(OR($A183="",L$23=""),"",IF(COUNTIFS('AFA Rates'!$A$5:$A$1004,$A183,'AFA Rates'!$B$5:$B$1004,L$23,'AFA Rates'!$O$5:$O$1004,"&lt;&gt;Expired")&gt;0,"✓",IF(COUNTIFS('AFA Rates'!$A$5:$A$1004,$A183,'AFA Rates'!$B$5:$B$1004,L$23)&gt;0,"Exp","")))</f>
        <v/>
      </c>
      <c r="M183" s="79">
        <f>IF(OR($A183="",M$23=""),"",IF(COUNTIFS('AFA Rates'!$A$5:$A$1004,$A183,'AFA Rates'!$B$5:$B$1004,M$23,'AFA Rates'!$O$5:$O$1004,"&lt;&gt;Expired")&gt;0,"✓",IF(COUNTIFS('AFA Rates'!$A$5:$A$1004,$A183,'AFA Rates'!$B$5:$B$1004,M$23)&gt;0,"Exp","")))</f>
        <v/>
      </c>
    </row>
    <row r="184">
      <c r="A184" s="78">
        <f>IFERROR(INDEX(Firms!$A$5:$A$1004,MATCH(161,Firms!$V$5:$V$1004,0)),"")</f>
        <v/>
      </c>
      <c r="B184" s="79">
        <f>IF($A184="","",INDEX(Firms!$B$5:$B$1004,MATCH(161,Firms!$V$5:$V$1004,0)))</f>
        <v/>
      </c>
      <c r="C184" s="79">
        <f>IF($A184="","",COUNTIFS('AFA Rates'!$A$5:$A$1004,$A184,'AFA Rates'!$O$5:$O$1004,"&lt;&gt;Expired"))</f>
        <v/>
      </c>
      <c r="D184" s="79">
        <f>IF(OR($A184="",D$23=""),"",IF(COUNTIFS('AFA Rates'!$A$5:$A$1004,$A184,'AFA Rates'!$B$5:$B$1004,D$23,'AFA Rates'!$O$5:$O$1004,"&lt;&gt;Expired")&gt;0,"✓",IF(COUNTIFS('AFA Rates'!$A$5:$A$1004,$A184,'AFA Rates'!$B$5:$B$1004,D$23)&gt;0,"Exp","")))</f>
        <v/>
      </c>
      <c r="E184" s="79">
        <f>IF(OR($A184="",E$23=""),"",IF(COUNTIFS('AFA Rates'!$A$5:$A$1004,$A184,'AFA Rates'!$B$5:$B$1004,E$23,'AFA Rates'!$O$5:$O$1004,"&lt;&gt;Expired")&gt;0,"✓",IF(COUNTIFS('AFA Rates'!$A$5:$A$1004,$A184,'AFA Rates'!$B$5:$B$1004,E$23)&gt;0,"Exp","")))</f>
        <v/>
      </c>
      <c r="F184" s="79">
        <f>IF(OR($A184="",F$23=""),"",IF(COUNTIFS('AFA Rates'!$A$5:$A$1004,$A184,'AFA Rates'!$B$5:$B$1004,F$23,'AFA Rates'!$O$5:$O$1004,"&lt;&gt;Expired")&gt;0,"✓",IF(COUNTIFS('AFA Rates'!$A$5:$A$1004,$A184,'AFA Rates'!$B$5:$B$1004,F$23)&gt;0,"Exp","")))</f>
        <v/>
      </c>
      <c r="G184" s="79">
        <f>IF(OR($A184="",G$23=""),"",IF(COUNTIFS('AFA Rates'!$A$5:$A$1004,$A184,'AFA Rates'!$B$5:$B$1004,G$23,'AFA Rates'!$O$5:$O$1004,"&lt;&gt;Expired")&gt;0,"✓",IF(COUNTIFS('AFA Rates'!$A$5:$A$1004,$A184,'AFA Rates'!$B$5:$B$1004,G$23)&gt;0,"Exp","")))</f>
        <v/>
      </c>
      <c r="H184" s="79">
        <f>IF(OR($A184="",H$23=""),"",IF(COUNTIFS('AFA Rates'!$A$5:$A$1004,$A184,'AFA Rates'!$B$5:$B$1004,H$23,'AFA Rates'!$O$5:$O$1004,"&lt;&gt;Expired")&gt;0,"✓",IF(COUNTIFS('AFA Rates'!$A$5:$A$1004,$A184,'AFA Rates'!$B$5:$B$1004,H$23)&gt;0,"Exp","")))</f>
        <v/>
      </c>
      <c r="I184" s="79">
        <f>IF(OR($A184="",I$23=""),"",IF(COUNTIFS('AFA Rates'!$A$5:$A$1004,$A184,'AFA Rates'!$B$5:$B$1004,I$23,'AFA Rates'!$O$5:$O$1004,"&lt;&gt;Expired")&gt;0,"✓",IF(COUNTIFS('AFA Rates'!$A$5:$A$1004,$A184,'AFA Rates'!$B$5:$B$1004,I$23)&gt;0,"Exp","")))</f>
        <v/>
      </c>
      <c r="J184" s="79">
        <f>IF(OR($A184="",J$23=""),"",IF(COUNTIFS('AFA Rates'!$A$5:$A$1004,$A184,'AFA Rates'!$B$5:$B$1004,J$23,'AFA Rates'!$O$5:$O$1004,"&lt;&gt;Expired")&gt;0,"✓",IF(COUNTIFS('AFA Rates'!$A$5:$A$1004,$A184,'AFA Rates'!$B$5:$B$1004,J$23)&gt;0,"Exp","")))</f>
        <v/>
      </c>
      <c r="K184" s="79">
        <f>IF(OR($A184="",K$23=""),"",IF(COUNTIFS('AFA Rates'!$A$5:$A$1004,$A184,'AFA Rates'!$B$5:$B$1004,K$23,'AFA Rates'!$O$5:$O$1004,"&lt;&gt;Expired")&gt;0,"✓",IF(COUNTIFS('AFA Rates'!$A$5:$A$1004,$A184,'AFA Rates'!$B$5:$B$1004,K$23)&gt;0,"Exp","")))</f>
        <v/>
      </c>
      <c r="L184" s="79">
        <f>IF(OR($A184="",L$23=""),"",IF(COUNTIFS('AFA Rates'!$A$5:$A$1004,$A184,'AFA Rates'!$B$5:$B$1004,L$23,'AFA Rates'!$O$5:$O$1004,"&lt;&gt;Expired")&gt;0,"✓",IF(COUNTIFS('AFA Rates'!$A$5:$A$1004,$A184,'AFA Rates'!$B$5:$B$1004,L$23)&gt;0,"Exp","")))</f>
        <v/>
      </c>
      <c r="M184" s="79">
        <f>IF(OR($A184="",M$23=""),"",IF(COUNTIFS('AFA Rates'!$A$5:$A$1004,$A184,'AFA Rates'!$B$5:$B$1004,M$23,'AFA Rates'!$O$5:$O$1004,"&lt;&gt;Expired")&gt;0,"✓",IF(COUNTIFS('AFA Rates'!$A$5:$A$1004,$A184,'AFA Rates'!$B$5:$B$1004,M$23)&gt;0,"Exp","")))</f>
        <v/>
      </c>
    </row>
    <row r="185">
      <c r="A185" s="78">
        <f>IFERROR(INDEX(Firms!$A$5:$A$1004,MATCH(162,Firms!$V$5:$V$1004,0)),"")</f>
        <v/>
      </c>
      <c r="B185" s="79">
        <f>IF($A185="","",INDEX(Firms!$B$5:$B$1004,MATCH(162,Firms!$V$5:$V$1004,0)))</f>
        <v/>
      </c>
      <c r="C185" s="79">
        <f>IF($A185="","",COUNTIFS('AFA Rates'!$A$5:$A$1004,$A185,'AFA Rates'!$O$5:$O$1004,"&lt;&gt;Expired"))</f>
        <v/>
      </c>
      <c r="D185" s="79">
        <f>IF(OR($A185="",D$23=""),"",IF(COUNTIFS('AFA Rates'!$A$5:$A$1004,$A185,'AFA Rates'!$B$5:$B$1004,D$23,'AFA Rates'!$O$5:$O$1004,"&lt;&gt;Expired")&gt;0,"✓",IF(COUNTIFS('AFA Rates'!$A$5:$A$1004,$A185,'AFA Rates'!$B$5:$B$1004,D$23)&gt;0,"Exp","")))</f>
        <v/>
      </c>
      <c r="E185" s="79">
        <f>IF(OR($A185="",E$23=""),"",IF(COUNTIFS('AFA Rates'!$A$5:$A$1004,$A185,'AFA Rates'!$B$5:$B$1004,E$23,'AFA Rates'!$O$5:$O$1004,"&lt;&gt;Expired")&gt;0,"✓",IF(COUNTIFS('AFA Rates'!$A$5:$A$1004,$A185,'AFA Rates'!$B$5:$B$1004,E$23)&gt;0,"Exp","")))</f>
        <v/>
      </c>
      <c r="F185" s="79">
        <f>IF(OR($A185="",F$23=""),"",IF(COUNTIFS('AFA Rates'!$A$5:$A$1004,$A185,'AFA Rates'!$B$5:$B$1004,F$23,'AFA Rates'!$O$5:$O$1004,"&lt;&gt;Expired")&gt;0,"✓",IF(COUNTIFS('AFA Rates'!$A$5:$A$1004,$A185,'AFA Rates'!$B$5:$B$1004,F$23)&gt;0,"Exp","")))</f>
        <v/>
      </c>
      <c r="G185" s="79">
        <f>IF(OR($A185="",G$23=""),"",IF(COUNTIFS('AFA Rates'!$A$5:$A$1004,$A185,'AFA Rates'!$B$5:$B$1004,G$23,'AFA Rates'!$O$5:$O$1004,"&lt;&gt;Expired")&gt;0,"✓",IF(COUNTIFS('AFA Rates'!$A$5:$A$1004,$A185,'AFA Rates'!$B$5:$B$1004,G$23)&gt;0,"Exp","")))</f>
        <v/>
      </c>
      <c r="H185" s="79">
        <f>IF(OR($A185="",H$23=""),"",IF(COUNTIFS('AFA Rates'!$A$5:$A$1004,$A185,'AFA Rates'!$B$5:$B$1004,H$23,'AFA Rates'!$O$5:$O$1004,"&lt;&gt;Expired")&gt;0,"✓",IF(COUNTIFS('AFA Rates'!$A$5:$A$1004,$A185,'AFA Rates'!$B$5:$B$1004,H$23)&gt;0,"Exp","")))</f>
        <v/>
      </c>
      <c r="I185" s="79">
        <f>IF(OR($A185="",I$23=""),"",IF(COUNTIFS('AFA Rates'!$A$5:$A$1004,$A185,'AFA Rates'!$B$5:$B$1004,I$23,'AFA Rates'!$O$5:$O$1004,"&lt;&gt;Expired")&gt;0,"✓",IF(COUNTIFS('AFA Rates'!$A$5:$A$1004,$A185,'AFA Rates'!$B$5:$B$1004,I$23)&gt;0,"Exp","")))</f>
        <v/>
      </c>
      <c r="J185" s="79">
        <f>IF(OR($A185="",J$23=""),"",IF(COUNTIFS('AFA Rates'!$A$5:$A$1004,$A185,'AFA Rates'!$B$5:$B$1004,J$23,'AFA Rates'!$O$5:$O$1004,"&lt;&gt;Expired")&gt;0,"✓",IF(COUNTIFS('AFA Rates'!$A$5:$A$1004,$A185,'AFA Rates'!$B$5:$B$1004,J$23)&gt;0,"Exp","")))</f>
        <v/>
      </c>
      <c r="K185" s="79">
        <f>IF(OR($A185="",K$23=""),"",IF(COUNTIFS('AFA Rates'!$A$5:$A$1004,$A185,'AFA Rates'!$B$5:$B$1004,K$23,'AFA Rates'!$O$5:$O$1004,"&lt;&gt;Expired")&gt;0,"✓",IF(COUNTIFS('AFA Rates'!$A$5:$A$1004,$A185,'AFA Rates'!$B$5:$B$1004,K$23)&gt;0,"Exp","")))</f>
        <v/>
      </c>
      <c r="L185" s="79">
        <f>IF(OR($A185="",L$23=""),"",IF(COUNTIFS('AFA Rates'!$A$5:$A$1004,$A185,'AFA Rates'!$B$5:$B$1004,L$23,'AFA Rates'!$O$5:$O$1004,"&lt;&gt;Expired")&gt;0,"✓",IF(COUNTIFS('AFA Rates'!$A$5:$A$1004,$A185,'AFA Rates'!$B$5:$B$1004,L$23)&gt;0,"Exp","")))</f>
        <v/>
      </c>
      <c r="M185" s="79">
        <f>IF(OR($A185="",M$23=""),"",IF(COUNTIFS('AFA Rates'!$A$5:$A$1004,$A185,'AFA Rates'!$B$5:$B$1004,M$23,'AFA Rates'!$O$5:$O$1004,"&lt;&gt;Expired")&gt;0,"✓",IF(COUNTIFS('AFA Rates'!$A$5:$A$1004,$A185,'AFA Rates'!$B$5:$B$1004,M$23)&gt;0,"Exp","")))</f>
        <v/>
      </c>
    </row>
    <row r="186">
      <c r="A186" s="78">
        <f>IFERROR(INDEX(Firms!$A$5:$A$1004,MATCH(163,Firms!$V$5:$V$1004,0)),"")</f>
        <v/>
      </c>
      <c r="B186" s="79">
        <f>IF($A186="","",INDEX(Firms!$B$5:$B$1004,MATCH(163,Firms!$V$5:$V$1004,0)))</f>
        <v/>
      </c>
      <c r="C186" s="79">
        <f>IF($A186="","",COUNTIFS('AFA Rates'!$A$5:$A$1004,$A186,'AFA Rates'!$O$5:$O$1004,"&lt;&gt;Expired"))</f>
        <v/>
      </c>
      <c r="D186" s="79">
        <f>IF(OR($A186="",D$23=""),"",IF(COUNTIFS('AFA Rates'!$A$5:$A$1004,$A186,'AFA Rates'!$B$5:$B$1004,D$23,'AFA Rates'!$O$5:$O$1004,"&lt;&gt;Expired")&gt;0,"✓",IF(COUNTIFS('AFA Rates'!$A$5:$A$1004,$A186,'AFA Rates'!$B$5:$B$1004,D$23)&gt;0,"Exp","")))</f>
        <v/>
      </c>
      <c r="E186" s="79">
        <f>IF(OR($A186="",E$23=""),"",IF(COUNTIFS('AFA Rates'!$A$5:$A$1004,$A186,'AFA Rates'!$B$5:$B$1004,E$23,'AFA Rates'!$O$5:$O$1004,"&lt;&gt;Expired")&gt;0,"✓",IF(COUNTIFS('AFA Rates'!$A$5:$A$1004,$A186,'AFA Rates'!$B$5:$B$1004,E$23)&gt;0,"Exp","")))</f>
        <v/>
      </c>
      <c r="F186" s="79">
        <f>IF(OR($A186="",F$23=""),"",IF(COUNTIFS('AFA Rates'!$A$5:$A$1004,$A186,'AFA Rates'!$B$5:$B$1004,F$23,'AFA Rates'!$O$5:$O$1004,"&lt;&gt;Expired")&gt;0,"✓",IF(COUNTIFS('AFA Rates'!$A$5:$A$1004,$A186,'AFA Rates'!$B$5:$B$1004,F$23)&gt;0,"Exp","")))</f>
        <v/>
      </c>
      <c r="G186" s="79">
        <f>IF(OR($A186="",G$23=""),"",IF(COUNTIFS('AFA Rates'!$A$5:$A$1004,$A186,'AFA Rates'!$B$5:$B$1004,G$23,'AFA Rates'!$O$5:$O$1004,"&lt;&gt;Expired")&gt;0,"✓",IF(COUNTIFS('AFA Rates'!$A$5:$A$1004,$A186,'AFA Rates'!$B$5:$B$1004,G$23)&gt;0,"Exp","")))</f>
        <v/>
      </c>
      <c r="H186" s="79">
        <f>IF(OR($A186="",H$23=""),"",IF(COUNTIFS('AFA Rates'!$A$5:$A$1004,$A186,'AFA Rates'!$B$5:$B$1004,H$23,'AFA Rates'!$O$5:$O$1004,"&lt;&gt;Expired")&gt;0,"✓",IF(COUNTIFS('AFA Rates'!$A$5:$A$1004,$A186,'AFA Rates'!$B$5:$B$1004,H$23)&gt;0,"Exp","")))</f>
        <v/>
      </c>
      <c r="I186" s="79">
        <f>IF(OR($A186="",I$23=""),"",IF(COUNTIFS('AFA Rates'!$A$5:$A$1004,$A186,'AFA Rates'!$B$5:$B$1004,I$23,'AFA Rates'!$O$5:$O$1004,"&lt;&gt;Expired")&gt;0,"✓",IF(COUNTIFS('AFA Rates'!$A$5:$A$1004,$A186,'AFA Rates'!$B$5:$B$1004,I$23)&gt;0,"Exp","")))</f>
        <v/>
      </c>
      <c r="J186" s="79">
        <f>IF(OR($A186="",J$23=""),"",IF(COUNTIFS('AFA Rates'!$A$5:$A$1004,$A186,'AFA Rates'!$B$5:$B$1004,J$23,'AFA Rates'!$O$5:$O$1004,"&lt;&gt;Expired")&gt;0,"✓",IF(COUNTIFS('AFA Rates'!$A$5:$A$1004,$A186,'AFA Rates'!$B$5:$B$1004,J$23)&gt;0,"Exp","")))</f>
        <v/>
      </c>
      <c r="K186" s="79">
        <f>IF(OR($A186="",K$23=""),"",IF(COUNTIFS('AFA Rates'!$A$5:$A$1004,$A186,'AFA Rates'!$B$5:$B$1004,K$23,'AFA Rates'!$O$5:$O$1004,"&lt;&gt;Expired")&gt;0,"✓",IF(COUNTIFS('AFA Rates'!$A$5:$A$1004,$A186,'AFA Rates'!$B$5:$B$1004,K$23)&gt;0,"Exp","")))</f>
        <v/>
      </c>
      <c r="L186" s="79">
        <f>IF(OR($A186="",L$23=""),"",IF(COUNTIFS('AFA Rates'!$A$5:$A$1004,$A186,'AFA Rates'!$B$5:$B$1004,L$23,'AFA Rates'!$O$5:$O$1004,"&lt;&gt;Expired")&gt;0,"✓",IF(COUNTIFS('AFA Rates'!$A$5:$A$1004,$A186,'AFA Rates'!$B$5:$B$1004,L$23)&gt;0,"Exp","")))</f>
        <v/>
      </c>
      <c r="M186" s="79">
        <f>IF(OR($A186="",M$23=""),"",IF(COUNTIFS('AFA Rates'!$A$5:$A$1004,$A186,'AFA Rates'!$B$5:$B$1004,M$23,'AFA Rates'!$O$5:$O$1004,"&lt;&gt;Expired")&gt;0,"✓",IF(COUNTIFS('AFA Rates'!$A$5:$A$1004,$A186,'AFA Rates'!$B$5:$B$1004,M$23)&gt;0,"Exp","")))</f>
        <v/>
      </c>
    </row>
    <row r="187">
      <c r="A187" s="78">
        <f>IFERROR(INDEX(Firms!$A$5:$A$1004,MATCH(164,Firms!$V$5:$V$1004,0)),"")</f>
        <v/>
      </c>
      <c r="B187" s="79">
        <f>IF($A187="","",INDEX(Firms!$B$5:$B$1004,MATCH(164,Firms!$V$5:$V$1004,0)))</f>
        <v/>
      </c>
      <c r="C187" s="79">
        <f>IF($A187="","",COUNTIFS('AFA Rates'!$A$5:$A$1004,$A187,'AFA Rates'!$O$5:$O$1004,"&lt;&gt;Expired"))</f>
        <v/>
      </c>
      <c r="D187" s="79">
        <f>IF(OR($A187="",D$23=""),"",IF(COUNTIFS('AFA Rates'!$A$5:$A$1004,$A187,'AFA Rates'!$B$5:$B$1004,D$23,'AFA Rates'!$O$5:$O$1004,"&lt;&gt;Expired")&gt;0,"✓",IF(COUNTIFS('AFA Rates'!$A$5:$A$1004,$A187,'AFA Rates'!$B$5:$B$1004,D$23)&gt;0,"Exp","")))</f>
        <v/>
      </c>
      <c r="E187" s="79">
        <f>IF(OR($A187="",E$23=""),"",IF(COUNTIFS('AFA Rates'!$A$5:$A$1004,$A187,'AFA Rates'!$B$5:$B$1004,E$23,'AFA Rates'!$O$5:$O$1004,"&lt;&gt;Expired")&gt;0,"✓",IF(COUNTIFS('AFA Rates'!$A$5:$A$1004,$A187,'AFA Rates'!$B$5:$B$1004,E$23)&gt;0,"Exp","")))</f>
        <v/>
      </c>
      <c r="F187" s="79">
        <f>IF(OR($A187="",F$23=""),"",IF(COUNTIFS('AFA Rates'!$A$5:$A$1004,$A187,'AFA Rates'!$B$5:$B$1004,F$23,'AFA Rates'!$O$5:$O$1004,"&lt;&gt;Expired")&gt;0,"✓",IF(COUNTIFS('AFA Rates'!$A$5:$A$1004,$A187,'AFA Rates'!$B$5:$B$1004,F$23)&gt;0,"Exp","")))</f>
        <v/>
      </c>
      <c r="G187" s="79">
        <f>IF(OR($A187="",G$23=""),"",IF(COUNTIFS('AFA Rates'!$A$5:$A$1004,$A187,'AFA Rates'!$B$5:$B$1004,G$23,'AFA Rates'!$O$5:$O$1004,"&lt;&gt;Expired")&gt;0,"✓",IF(COUNTIFS('AFA Rates'!$A$5:$A$1004,$A187,'AFA Rates'!$B$5:$B$1004,G$23)&gt;0,"Exp","")))</f>
        <v/>
      </c>
      <c r="H187" s="79">
        <f>IF(OR($A187="",H$23=""),"",IF(COUNTIFS('AFA Rates'!$A$5:$A$1004,$A187,'AFA Rates'!$B$5:$B$1004,H$23,'AFA Rates'!$O$5:$O$1004,"&lt;&gt;Expired")&gt;0,"✓",IF(COUNTIFS('AFA Rates'!$A$5:$A$1004,$A187,'AFA Rates'!$B$5:$B$1004,H$23)&gt;0,"Exp","")))</f>
        <v/>
      </c>
      <c r="I187" s="79">
        <f>IF(OR($A187="",I$23=""),"",IF(COUNTIFS('AFA Rates'!$A$5:$A$1004,$A187,'AFA Rates'!$B$5:$B$1004,I$23,'AFA Rates'!$O$5:$O$1004,"&lt;&gt;Expired")&gt;0,"✓",IF(COUNTIFS('AFA Rates'!$A$5:$A$1004,$A187,'AFA Rates'!$B$5:$B$1004,I$23)&gt;0,"Exp","")))</f>
        <v/>
      </c>
      <c r="J187" s="79">
        <f>IF(OR($A187="",J$23=""),"",IF(COUNTIFS('AFA Rates'!$A$5:$A$1004,$A187,'AFA Rates'!$B$5:$B$1004,J$23,'AFA Rates'!$O$5:$O$1004,"&lt;&gt;Expired")&gt;0,"✓",IF(COUNTIFS('AFA Rates'!$A$5:$A$1004,$A187,'AFA Rates'!$B$5:$B$1004,J$23)&gt;0,"Exp","")))</f>
        <v/>
      </c>
      <c r="K187" s="79">
        <f>IF(OR($A187="",K$23=""),"",IF(COUNTIFS('AFA Rates'!$A$5:$A$1004,$A187,'AFA Rates'!$B$5:$B$1004,K$23,'AFA Rates'!$O$5:$O$1004,"&lt;&gt;Expired")&gt;0,"✓",IF(COUNTIFS('AFA Rates'!$A$5:$A$1004,$A187,'AFA Rates'!$B$5:$B$1004,K$23)&gt;0,"Exp","")))</f>
        <v/>
      </c>
      <c r="L187" s="79">
        <f>IF(OR($A187="",L$23=""),"",IF(COUNTIFS('AFA Rates'!$A$5:$A$1004,$A187,'AFA Rates'!$B$5:$B$1004,L$23,'AFA Rates'!$O$5:$O$1004,"&lt;&gt;Expired")&gt;0,"✓",IF(COUNTIFS('AFA Rates'!$A$5:$A$1004,$A187,'AFA Rates'!$B$5:$B$1004,L$23)&gt;0,"Exp","")))</f>
        <v/>
      </c>
      <c r="M187" s="79">
        <f>IF(OR($A187="",M$23=""),"",IF(COUNTIFS('AFA Rates'!$A$5:$A$1004,$A187,'AFA Rates'!$B$5:$B$1004,M$23,'AFA Rates'!$O$5:$O$1004,"&lt;&gt;Expired")&gt;0,"✓",IF(COUNTIFS('AFA Rates'!$A$5:$A$1004,$A187,'AFA Rates'!$B$5:$B$1004,M$23)&gt;0,"Exp","")))</f>
        <v/>
      </c>
    </row>
    <row r="188">
      <c r="A188" s="78">
        <f>IFERROR(INDEX(Firms!$A$5:$A$1004,MATCH(165,Firms!$V$5:$V$1004,0)),"")</f>
        <v/>
      </c>
      <c r="B188" s="79">
        <f>IF($A188="","",INDEX(Firms!$B$5:$B$1004,MATCH(165,Firms!$V$5:$V$1004,0)))</f>
        <v/>
      </c>
      <c r="C188" s="79">
        <f>IF($A188="","",COUNTIFS('AFA Rates'!$A$5:$A$1004,$A188,'AFA Rates'!$O$5:$O$1004,"&lt;&gt;Expired"))</f>
        <v/>
      </c>
      <c r="D188" s="79">
        <f>IF(OR($A188="",D$23=""),"",IF(COUNTIFS('AFA Rates'!$A$5:$A$1004,$A188,'AFA Rates'!$B$5:$B$1004,D$23,'AFA Rates'!$O$5:$O$1004,"&lt;&gt;Expired")&gt;0,"✓",IF(COUNTIFS('AFA Rates'!$A$5:$A$1004,$A188,'AFA Rates'!$B$5:$B$1004,D$23)&gt;0,"Exp","")))</f>
        <v/>
      </c>
      <c r="E188" s="79">
        <f>IF(OR($A188="",E$23=""),"",IF(COUNTIFS('AFA Rates'!$A$5:$A$1004,$A188,'AFA Rates'!$B$5:$B$1004,E$23,'AFA Rates'!$O$5:$O$1004,"&lt;&gt;Expired")&gt;0,"✓",IF(COUNTIFS('AFA Rates'!$A$5:$A$1004,$A188,'AFA Rates'!$B$5:$B$1004,E$23)&gt;0,"Exp","")))</f>
        <v/>
      </c>
      <c r="F188" s="79">
        <f>IF(OR($A188="",F$23=""),"",IF(COUNTIFS('AFA Rates'!$A$5:$A$1004,$A188,'AFA Rates'!$B$5:$B$1004,F$23,'AFA Rates'!$O$5:$O$1004,"&lt;&gt;Expired")&gt;0,"✓",IF(COUNTIFS('AFA Rates'!$A$5:$A$1004,$A188,'AFA Rates'!$B$5:$B$1004,F$23)&gt;0,"Exp","")))</f>
        <v/>
      </c>
      <c r="G188" s="79">
        <f>IF(OR($A188="",G$23=""),"",IF(COUNTIFS('AFA Rates'!$A$5:$A$1004,$A188,'AFA Rates'!$B$5:$B$1004,G$23,'AFA Rates'!$O$5:$O$1004,"&lt;&gt;Expired")&gt;0,"✓",IF(COUNTIFS('AFA Rates'!$A$5:$A$1004,$A188,'AFA Rates'!$B$5:$B$1004,G$23)&gt;0,"Exp","")))</f>
        <v/>
      </c>
      <c r="H188" s="79">
        <f>IF(OR($A188="",H$23=""),"",IF(COUNTIFS('AFA Rates'!$A$5:$A$1004,$A188,'AFA Rates'!$B$5:$B$1004,H$23,'AFA Rates'!$O$5:$O$1004,"&lt;&gt;Expired")&gt;0,"✓",IF(COUNTIFS('AFA Rates'!$A$5:$A$1004,$A188,'AFA Rates'!$B$5:$B$1004,H$23)&gt;0,"Exp","")))</f>
        <v/>
      </c>
      <c r="I188" s="79">
        <f>IF(OR($A188="",I$23=""),"",IF(COUNTIFS('AFA Rates'!$A$5:$A$1004,$A188,'AFA Rates'!$B$5:$B$1004,I$23,'AFA Rates'!$O$5:$O$1004,"&lt;&gt;Expired")&gt;0,"✓",IF(COUNTIFS('AFA Rates'!$A$5:$A$1004,$A188,'AFA Rates'!$B$5:$B$1004,I$23)&gt;0,"Exp","")))</f>
        <v/>
      </c>
      <c r="J188" s="79">
        <f>IF(OR($A188="",J$23=""),"",IF(COUNTIFS('AFA Rates'!$A$5:$A$1004,$A188,'AFA Rates'!$B$5:$B$1004,J$23,'AFA Rates'!$O$5:$O$1004,"&lt;&gt;Expired")&gt;0,"✓",IF(COUNTIFS('AFA Rates'!$A$5:$A$1004,$A188,'AFA Rates'!$B$5:$B$1004,J$23)&gt;0,"Exp","")))</f>
        <v/>
      </c>
      <c r="K188" s="79">
        <f>IF(OR($A188="",K$23=""),"",IF(COUNTIFS('AFA Rates'!$A$5:$A$1004,$A188,'AFA Rates'!$B$5:$B$1004,K$23,'AFA Rates'!$O$5:$O$1004,"&lt;&gt;Expired")&gt;0,"✓",IF(COUNTIFS('AFA Rates'!$A$5:$A$1004,$A188,'AFA Rates'!$B$5:$B$1004,K$23)&gt;0,"Exp","")))</f>
        <v/>
      </c>
      <c r="L188" s="79">
        <f>IF(OR($A188="",L$23=""),"",IF(COUNTIFS('AFA Rates'!$A$5:$A$1004,$A188,'AFA Rates'!$B$5:$B$1004,L$23,'AFA Rates'!$O$5:$O$1004,"&lt;&gt;Expired")&gt;0,"✓",IF(COUNTIFS('AFA Rates'!$A$5:$A$1004,$A188,'AFA Rates'!$B$5:$B$1004,L$23)&gt;0,"Exp","")))</f>
        <v/>
      </c>
      <c r="M188" s="79">
        <f>IF(OR($A188="",M$23=""),"",IF(COUNTIFS('AFA Rates'!$A$5:$A$1004,$A188,'AFA Rates'!$B$5:$B$1004,M$23,'AFA Rates'!$O$5:$O$1004,"&lt;&gt;Expired")&gt;0,"✓",IF(COUNTIFS('AFA Rates'!$A$5:$A$1004,$A188,'AFA Rates'!$B$5:$B$1004,M$23)&gt;0,"Exp","")))</f>
        <v/>
      </c>
    </row>
    <row r="189">
      <c r="A189" s="78">
        <f>IFERROR(INDEX(Firms!$A$5:$A$1004,MATCH(166,Firms!$V$5:$V$1004,0)),"")</f>
        <v/>
      </c>
      <c r="B189" s="79">
        <f>IF($A189="","",INDEX(Firms!$B$5:$B$1004,MATCH(166,Firms!$V$5:$V$1004,0)))</f>
        <v/>
      </c>
      <c r="C189" s="79">
        <f>IF($A189="","",COUNTIFS('AFA Rates'!$A$5:$A$1004,$A189,'AFA Rates'!$O$5:$O$1004,"&lt;&gt;Expired"))</f>
        <v/>
      </c>
      <c r="D189" s="79">
        <f>IF(OR($A189="",D$23=""),"",IF(COUNTIFS('AFA Rates'!$A$5:$A$1004,$A189,'AFA Rates'!$B$5:$B$1004,D$23,'AFA Rates'!$O$5:$O$1004,"&lt;&gt;Expired")&gt;0,"✓",IF(COUNTIFS('AFA Rates'!$A$5:$A$1004,$A189,'AFA Rates'!$B$5:$B$1004,D$23)&gt;0,"Exp","")))</f>
        <v/>
      </c>
      <c r="E189" s="79">
        <f>IF(OR($A189="",E$23=""),"",IF(COUNTIFS('AFA Rates'!$A$5:$A$1004,$A189,'AFA Rates'!$B$5:$B$1004,E$23,'AFA Rates'!$O$5:$O$1004,"&lt;&gt;Expired")&gt;0,"✓",IF(COUNTIFS('AFA Rates'!$A$5:$A$1004,$A189,'AFA Rates'!$B$5:$B$1004,E$23)&gt;0,"Exp","")))</f>
        <v/>
      </c>
      <c r="F189" s="79">
        <f>IF(OR($A189="",F$23=""),"",IF(COUNTIFS('AFA Rates'!$A$5:$A$1004,$A189,'AFA Rates'!$B$5:$B$1004,F$23,'AFA Rates'!$O$5:$O$1004,"&lt;&gt;Expired")&gt;0,"✓",IF(COUNTIFS('AFA Rates'!$A$5:$A$1004,$A189,'AFA Rates'!$B$5:$B$1004,F$23)&gt;0,"Exp","")))</f>
        <v/>
      </c>
      <c r="G189" s="79">
        <f>IF(OR($A189="",G$23=""),"",IF(COUNTIFS('AFA Rates'!$A$5:$A$1004,$A189,'AFA Rates'!$B$5:$B$1004,G$23,'AFA Rates'!$O$5:$O$1004,"&lt;&gt;Expired")&gt;0,"✓",IF(COUNTIFS('AFA Rates'!$A$5:$A$1004,$A189,'AFA Rates'!$B$5:$B$1004,G$23)&gt;0,"Exp","")))</f>
        <v/>
      </c>
      <c r="H189" s="79">
        <f>IF(OR($A189="",H$23=""),"",IF(COUNTIFS('AFA Rates'!$A$5:$A$1004,$A189,'AFA Rates'!$B$5:$B$1004,H$23,'AFA Rates'!$O$5:$O$1004,"&lt;&gt;Expired")&gt;0,"✓",IF(COUNTIFS('AFA Rates'!$A$5:$A$1004,$A189,'AFA Rates'!$B$5:$B$1004,H$23)&gt;0,"Exp","")))</f>
        <v/>
      </c>
      <c r="I189" s="79">
        <f>IF(OR($A189="",I$23=""),"",IF(COUNTIFS('AFA Rates'!$A$5:$A$1004,$A189,'AFA Rates'!$B$5:$B$1004,I$23,'AFA Rates'!$O$5:$O$1004,"&lt;&gt;Expired")&gt;0,"✓",IF(COUNTIFS('AFA Rates'!$A$5:$A$1004,$A189,'AFA Rates'!$B$5:$B$1004,I$23)&gt;0,"Exp","")))</f>
        <v/>
      </c>
      <c r="J189" s="79">
        <f>IF(OR($A189="",J$23=""),"",IF(COUNTIFS('AFA Rates'!$A$5:$A$1004,$A189,'AFA Rates'!$B$5:$B$1004,J$23,'AFA Rates'!$O$5:$O$1004,"&lt;&gt;Expired")&gt;0,"✓",IF(COUNTIFS('AFA Rates'!$A$5:$A$1004,$A189,'AFA Rates'!$B$5:$B$1004,J$23)&gt;0,"Exp","")))</f>
        <v/>
      </c>
      <c r="K189" s="79">
        <f>IF(OR($A189="",K$23=""),"",IF(COUNTIFS('AFA Rates'!$A$5:$A$1004,$A189,'AFA Rates'!$B$5:$B$1004,K$23,'AFA Rates'!$O$5:$O$1004,"&lt;&gt;Expired")&gt;0,"✓",IF(COUNTIFS('AFA Rates'!$A$5:$A$1004,$A189,'AFA Rates'!$B$5:$B$1004,K$23)&gt;0,"Exp","")))</f>
        <v/>
      </c>
      <c r="L189" s="79">
        <f>IF(OR($A189="",L$23=""),"",IF(COUNTIFS('AFA Rates'!$A$5:$A$1004,$A189,'AFA Rates'!$B$5:$B$1004,L$23,'AFA Rates'!$O$5:$O$1004,"&lt;&gt;Expired")&gt;0,"✓",IF(COUNTIFS('AFA Rates'!$A$5:$A$1004,$A189,'AFA Rates'!$B$5:$B$1004,L$23)&gt;0,"Exp","")))</f>
        <v/>
      </c>
      <c r="M189" s="79">
        <f>IF(OR($A189="",M$23=""),"",IF(COUNTIFS('AFA Rates'!$A$5:$A$1004,$A189,'AFA Rates'!$B$5:$B$1004,M$23,'AFA Rates'!$O$5:$O$1004,"&lt;&gt;Expired")&gt;0,"✓",IF(COUNTIFS('AFA Rates'!$A$5:$A$1004,$A189,'AFA Rates'!$B$5:$B$1004,M$23)&gt;0,"Exp","")))</f>
        <v/>
      </c>
    </row>
    <row r="190">
      <c r="A190" s="78">
        <f>IFERROR(INDEX(Firms!$A$5:$A$1004,MATCH(167,Firms!$V$5:$V$1004,0)),"")</f>
        <v/>
      </c>
      <c r="B190" s="79">
        <f>IF($A190="","",INDEX(Firms!$B$5:$B$1004,MATCH(167,Firms!$V$5:$V$1004,0)))</f>
        <v/>
      </c>
      <c r="C190" s="79">
        <f>IF($A190="","",COUNTIFS('AFA Rates'!$A$5:$A$1004,$A190,'AFA Rates'!$O$5:$O$1004,"&lt;&gt;Expired"))</f>
        <v/>
      </c>
      <c r="D190" s="79">
        <f>IF(OR($A190="",D$23=""),"",IF(COUNTIFS('AFA Rates'!$A$5:$A$1004,$A190,'AFA Rates'!$B$5:$B$1004,D$23,'AFA Rates'!$O$5:$O$1004,"&lt;&gt;Expired")&gt;0,"✓",IF(COUNTIFS('AFA Rates'!$A$5:$A$1004,$A190,'AFA Rates'!$B$5:$B$1004,D$23)&gt;0,"Exp","")))</f>
        <v/>
      </c>
      <c r="E190" s="79">
        <f>IF(OR($A190="",E$23=""),"",IF(COUNTIFS('AFA Rates'!$A$5:$A$1004,$A190,'AFA Rates'!$B$5:$B$1004,E$23,'AFA Rates'!$O$5:$O$1004,"&lt;&gt;Expired")&gt;0,"✓",IF(COUNTIFS('AFA Rates'!$A$5:$A$1004,$A190,'AFA Rates'!$B$5:$B$1004,E$23)&gt;0,"Exp","")))</f>
        <v/>
      </c>
      <c r="F190" s="79">
        <f>IF(OR($A190="",F$23=""),"",IF(COUNTIFS('AFA Rates'!$A$5:$A$1004,$A190,'AFA Rates'!$B$5:$B$1004,F$23,'AFA Rates'!$O$5:$O$1004,"&lt;&gt;Expired")&gt;0,"✓",IF(COUNTIFS('AFA Rates'!$A$5:$A$1004,$A190,'AFA Rates'!$B$5:$B$1004,F$23)&gt;0,"Exp","")))</f>
        <v/>
      </c>
      <c r="G190" s="79">
        <f>IF(OR($A190="",G$23=""),"",IF(COUNTIFS('AFA Rates'!$A$5:$A$1004,$A190,'AFA Rates'!$B$5:$B$1004,G$23,'AFA Rates'!$O$5:$O$1004,"&lt;&gt;Expired")&gt;0,"✓",IF(COUNTIFS('AFA Rates'!$A$5:$A$1004,$A190,'AFA Rates'!$B$5:$B$1004,G$23)&gt;0,"Exp","")))</f>
        <v/>
      </c>
      <c r="H190" s="79">
        <f>IF(OR($A190="",H$23=""),"",IF(COUNTIFS('AFA Rates'!$A$5:$A$1004,$A190,'AFA Rates'!$B$5:$B$1004,H$23,'AFA Rates'!$O$5:$O$1004,"&lt;&gt;Expired")&gt;0,"✓",IF(COUNTIFS('AFA Rates'!$A$5:$A$1004,$A190,'AFA Rates'!$B$5:$B$1004,H$23)&gt;0,"Exp","")))</f>
        <v/>
      </c>
      <c r="I190" s="79">
        <f>IF(OR($A190="",I$23=""),"",IF(COUNTIFS('AFA Rates'!$A$5:$A$1004,$A190,'AFA Rates'!$B$5:$B$1004,I$23,'AFA Rates'!$O$5:$O$1004,"&lt;&gt;Expired")&gt;0,"✓",IF(COUNTIFS('AFA Rates'!$A$5:$A$1004,$A190,'AFA Rates'!$B$5:$B$1004,I$23)&gt;0,"Exp","")))</f>
        <v/>
      </c>
      <c r="J190" s="79">
        <f>IF(OR($A190="",J$23=""),"",IF(COUNTIFS('AFA Rates'!$A$5:$A$1004,$A190,'AFA Rates'!$B$5:$B$1004,J$23,'AFA Rates'!$O$5:$O$1004,"&lt;&gt;Expired")&gt;0,"✓",IF(COUNTIFS('AFA Rates'!$A$5:$A$1004,$A190,'AFA Rates'!$B$5:$B$1004,J$23)&gt;0,"Exp","")))</f>
        <v/>
      </c>
      <c r="K190" s="79">
        <f>IF(OR($A190="",K$23=""),"",IF(COUNTIFS('AFA Rates'!$A$5:$A$1004,$A190,'AFA Rates'!$B$5:$B$1004,K$23,'AFA Rates'!$O$5:$O$1004,"&lt;&gt;Expired")&gt;0,"✓",IF(COUNTIFS('AFA Rates'!$A$5:$A$1004,$A190,'AFA Rates'!$B$5:$B$1004,K$23)&gt;0,"Exp","")))</f>
        <v/>
      </c>
      <c r="L190" s="79">
        <f>IF(OR($A190="",L$23=""),"",IF(COUNTIFS('AFA Rates'!$A$5:$A$1004,$A190,'AFA Rates'!$B$5:$B$1004,L$23,'AFA Rates'!$O$5:$O$1004,"&lt;&gt;Expired")&gt;0,"✓",IF(COUNTIFS('AFA Rates'!$A$5:$A$1004,$A190,'AFA Rates'!$B$5:$B$1004,L$23)&gt;0,"Exp","")))</f>
        <v/>
      </c>
      <c r="M190" s="79">
        <f>IF(OR($A190="",M$23=""),"",IF(COUNTIFS('AFA Rates'!$A$5:$A$1004,$A190,'AFA Rates'!$B$5:$B$1004,M$23,'AFA Rates'!$O$5:$O$1004,"&lt;&gt;Expired")&gt;0,"✓",IF(COUNTIFS('AFA Rates'!$A$5:$A$1004,$A190,'AFA Rates'!$B$5:$B$1004,M$23)&gt;0,"Exp","")))</f>
        <v/>
      </c>
    </row>
    <row r="191">
      <c r="A191" s="78">
        <f>IFERROR(INDEX(Firms!$A$5:$A$1004,MATCH(168,Firms!$V$5:$V$1004,0)),"")</f>
        <v/>
      </c>
      <c r="B191" s="79">
        <f>IF($A191="","",INDEX(Firms!$B$5:$B$1004,MATCH(168,Firms!$V$5:$V$1004,0)))</f>
        <v/>
      </c>
      <c r="C191" s="79">
        <f>IF($A191="","",COUNTIFS('AFA Rates'!$A$5:$A$1004,$A191,'AFA Rates'!$O$5:$O$1004,"&lt;&gt;Expired"))</f>
        <v/>
      </c>
      <c r="D191" s="79">
        <f>IF(OR($A191="",D$23=""),"",IF(COUNTIFS('AFA Rates'!$A$5:$A$1004,$A191,'AFA Rates'!$B$5:$B$1004,D$23,'AFA Rates'!$O$5:$O$1004,"&lt;&gt;Expired")&gt;0,"✓",IF(COUNTIFS('AFA Rates'!$A$5:$A$1004,$A191,'AFA Rates'!$B$5:$B$1004,D$23)&gt;0,"Exp","")))</f>
        <v/>
      </c>
      <c r="E191" s="79">
        <f>IF(OR($A191="",E$23=""),"",IF(COUNTIFS('AFA Rates'!$A$5:$A$1004,$A191,'AFA Rates'!$B$5:$B$1004,E$23,'AFA Rates'!$O$5:$O$1004,"&lt;&gt;Expired")&gt;0,"✓",IF(COUNTIFS('AFA Rates'!$A$5:$A$1004,$A191,'AFA Rates'!$B$5:$B$1004,E$23)&gt;0,"Exp","")))</f>
        <v/>
      </c>
      <c r="F191" s="79">
        <f>IF(OR($A191="",F$23=""),"",IF(COUNTIFS('AFA Rates'!$A$5:$A$1004,$A191,'AFA Rates'!$B$5:$B$1004,F$23,'AFA Rates'!$O$5:$O$1004,"&lt;&gt;Expired")&gt;0,"✓",IF(COUNTIFS('AFA Rates'!$A$5:$A$1004,$A191,'AFA Rates'!$B$5:$B$1004,F$23)&gt;0,"Exp","")))</f>
        <v/>
      </c>
      <c r="G191" s="79">
        <f>IF(OR($A191="",G$23=""),"",IF(COUNTIFS('AFA Rates'!$A$5:$A$1004,$A191,'AFA Rates'!$B$5:$B$1004,G$23,'AFA Rates'!$O$5:$O$1004,"&lt;&gt;Expired")&gt;0,"✓",IF(COUNTIFS('AFA Rates'!$A$5:$A$1004,$A191,'AFA Rates'!$B$5:$B$1004,G$23)&gt;0,"Exp","")))</f>
        <v/>
      </c>
      <c r="H191" s="79">
        <f>IF(OR($A191="",H$23=""),"",IF(COUNTIFS('AFA Rates'!$A$5:$A$1004,$A191,'AFA Rates'!$B$5:$B$1004,H$23,'AFA Rates'!$O$5:$O$1004,"&lt;&gt;Expired")&gt;0,"✓",IF(COUNTIFS('AFA Rates'!$A$5:$A$1004,$A191,'AFA Rates'!$B$5:$B$1004,H$23)&gt;0,"Exp","")))</f>
        <v/>
      </c>
      <c r="I191" s="79">
        <f>IF(OR($A191="",I$23=""),"",IF(COUNTIFS('AFA Rates'!$A$5:$A$1004,$A191,'AFA Rates'!$B$5:$B$1004,I$23,'AFA Rates'!$O$5:$O$1004,"&lt;&gt;Expired")&gt;0,"✓",IF(COUNTIFS('AFA Rates'!$A$5:$A$1004,$A191,'AFA Rates'!$B$5:$B$1004,I$23)&gt;0,"Exp","")))</f>
        <v/>
      </c>
      <c r="J191" s="79">
        <f>IF(OR($A191="",J$23=""),"",IF(COUNTIFS('AFA Rates'!$A$5:$A$1004,$A191,'AFA Rates'!$B$5:$B$1004,J$23,'AFA Rates'!$O$5:$O$1004,"&lt;&gt;Expired")&gt;0,"✓",IF(COUNTIFS('AFA Rates'!$A$5:$A$1004,$A191,'AFA Rates'!$B$5:$B$1004,J$23)&gt;0,"Exp","")))</f>
        <v/>
      </c>
      <c r="K191" s="79">
        <f>IF(OR($A191="",K$23=""),"",IF(COUNTIFS('AFA Rates'!$A$5:$A$1004,$A191,'AFA Rates'!$B$5:$B$1004,K$23,'AFA Rates'!$O$5:$O$1004,"&lt;&gt;Expired")&gt;0,"✓",IF(COUNTIFS('AFA Rates'!$A$5:$A$1004,$A191,'AFA Rates'!$B$5:$B$1004,K$23)&gt;0,"Exp","")))</f>
        <v/>
      </c>
      <c r="L191" s="79">
        <f>IF(OR($A191="",L$23=""),"",IF(COUNTIFS('AFA Rates'!$A$5:$A$1004,$A191,'AFA Rates'!$B$5:$B$1004,L$23,'AFA Rates'!$O$5:$O$1004,"&lt;&gt;Expired")&gt;0,"✓",IF(COUNTIFS('AFA Rates'!$A$5:$A$1004,$A191,'AFA Rates'!$B$5:$B$1004,L$23)&gt;0,"Exp","")))</f>
        <v/>
      </c>
      <c r="M191" s="79">
        <f>IF(OR($A191="",M$23=""),"",IF(COUNTIFS('AFA Rates'!$A$5:$A$1004,$A191,'AFA Rates'!$B$5:$B$1004,M$23,'AFA Rates'!$O$5:$O$1004,"&lt;&gt;Expired")&gt;0,"✓",IF(COUNTIFS('AFA Rates'!$A$5:$A$1004,$A191,'AFA Rates'!$B$5:$B$1004,M$23)&gt;0,"Exp","")))</f>
        <v/>
      </c>
    </row>
    <row r="192">
      <c r="A192" s="78">
        <f>IFERROR(INDEX(Firms!$A$5:$A$1004,MATCH(169,Firms!$V$5:$V$1004,0)),"")</f>
        <v/>
      </c>
      <c r="B192" s="79">
        <f>IF($A192="","",INDEX(Firms!$B$5:$B$1004,MATCH(169,Firms!$V$5:$V$1004,0)))</f>
        <v/>
      </c>
      <c r="C192" s="79">
        <f>IF($A192="","",COUNTIFS('AFA Rates'!$A$5:$A$1004,$A192,'AFA Rates'!$O$5:$O$1004,"&lt;&gt;Expired"))</f>
        <v/>
      </c>
      <c r="D192" s="79">
        <f>IF(OR($A192="",D$23=""),"",IF(COUNTIFS('AFA Rates'!$A$5:$A$1004,$A192,'AFA Rates'!$B$5:$B$1004,D$23,'AFA Rates'!$O$5:$O$1004,"&lt;&gt;Expired")&gt;0,"✓",IF(COUNTIFS('AFA Rates'!$A$5:$A$1004,$A192,'AFA Rates'!$B$5:$B$1004,D$23)&gt;0,"Exp","")))</f>
        <v/>
      </c>
      <c r="E192" s="79">
        <f>IF(OR($A192="",E$23=""),"",IF(COUNTIFS('AFA Rates'!$A$5:$A$1004,$A192,'AFA Rates'!$B$5:$B$1004,E$23,'AFA Rates'!$O$5:$O$1004,"&lt;&gt;Expired")&gt;0,"✓",IF(COUNTIFS('AFA Rates'!$A$5:$A$1004,$A192,'AFA Rates'!$B$5:$B$1004,E$23)&gt;0,"Exp","")))</f>
        <v/>
      </c>
      <c r="F192" s="79">
        <f>IF(OR($A192="",F$23=""),"",IF(COUNTIFS('AFA Rates'!$A$5:$A$1004,$A192,'AFA Rates'!$B$5:$B$1004,F$23,'AFA Rates'!$O$5:$O$1004,"&lt;&gt;Expired")&gt;0,"✓",IF(COUNTIFS('AFA Rates'!$A$5:$A$1004,$A192,'AFA Rates'!$B$5:$B$1004,F$23)&gt;0,"Exp","")))</f>
        <v/>
      </c>
      <c r="G192" s="79">
        <f>IF(OR($A192="",G$23=""),"",IF(COUNTIFS('AFA Rates'!$A$5:$A$1004,$A192,'AFA Rates'!$B$5:$B$1004,G$23,'AFA Rates'!$O$5:$O$1004,"&lt;&gt;Expired")&gt;0,"✓",IF(COUNTIFS('AFA Rates'!$A$5:$A$1004,$A192,'AFA Rates'!$B$5:$B$1004,G$23)&gt;0,"Exp","")))</f>
        <v/>
      </c>
      <c r="H192" s="79">
        <f>IF(OR($A192="",H$23=""),"",IF(COUNTIFS('AFA Rates'!$A$5:$A$1004,$A192,'AFA Rates'!$B$5:$B$1004,H$23,'AFA Rates'!$O$5:$O$1004,"&lt;&gt;Expired")&gt;0,"✓",IF(COUNTIFS('AFA Rates'!$A$5:$A$1004,$A192,'AFA Rates'!$B$5:$B$1004,H$23)&gt;0,"Exp","")))</f>
        <v/>
      </c>
      <c r="I192" s="79">
        <f>IF(OR($A192="",I$23=""),"",IF(COUNTIFS('AFA Rates'!$A$5:$A$1004,$A192,'AFA Rates'!$B$5:$B$1004,I$23,'AFA Rates'!$O$5:$O$1004,"&lt;&gt;Expired")&gt;0,"✓",IF(COUNTIFS('AFA Rates'!$A$5:$A$1004,$A192,'AFA Rates'!$B$5:$B$1004,I$23)&gt;0,"Exp","")))</f>
        <v/>
      </c>
      <c r="J192" s="79">
        <f>IF(OR($A192="",J$23=""),"",IF(COUNTIFS('AFA Rates'!$A$5:$A$1004,$A192,'AFA Rates'!$B$5:$B$1004,J$23,'AFA Rates'!$O$5:$O$1004,"&lt;&gt;Expired")&gt;0,"✓",IF(COUNTIFS('AFA Rates'!$A$5:$A$1004,$A192,'AFA Rates'!$B$5:$B$1004,J$23)&gt;0,"Exp","")))</f>
        <v/>
      </c>
      <c r="K192" s="79">
        <f>IF(OR($A192="",K$23=""),"",IF(COUNTIFS('AFA Rates'!$A$5:$A$1004,$A192,'AFA Rates'!$B$5:$B$1004,K$23,'AFA Rates'!$O$5:$O$1004,"&lt;&gt;Expired")&gt;0,"✓",IF(COUNTIFS('AFA Rates'!$A$5:$A$1004,$A192,'AFA Rates'!$B$5:$B$1004,K$23)&gt;0,"Exp","")))</f>
        <v/>
      </c>
      <c r="L192" s="79">
        <f>IF(OR($A192="",L$23=""),"",IF(COUNTIFS('AFA Rates'!$A$5:$A$1004,$A192,'AFA Rates'!$B$5:$B$1004,L$23,'AFA Rates'!$O$5:$O$1004,"&lt;&gt;Expired")&gt;0,"✓",IF(COUNTIFS('AFA Rates'!$A$5:$A$1004,$A192,'AFA Rates'!$B$5:$B$1004,L$23)&gt;0,"Exp","")))</f>
        <v/>
      </c>
      <c r="M192" s="79">
        <f>IF(OR($A192="",M$23=""),"",IF(COUNTIFS('AFA Rates'!$A$5:$A$1004,$A192,'AFA Rates'!$B$5:$B$1004,M$23,'AFA Rates'!$O$5:$O$1004,"&lt;&gt;Expired")&gt;0,"✓",IF(COUNTIFS('AFA Rates'!$A$5:$A$1004,$A192,'AFA Rates'!$B$5:$B$1004,M$23)&gt;0,"Exp","")))</f>
        <v/>
      </c>
    </row>
    <row r="193">
      <c r="A193" s="78">
        <f>IFERROR(INDEX(Firms!$A$5:$A$1004,MATCH(170,Firms!$V$5:$V$1004,0)),"")</f>
        <v/>
      </c>
      <c r="B193" s="79">
        <f>IF($A193="","",INDEX(Firms!$B$5:$B$1004,MATCH(170,Firms!$V$5:$V$1004,0)))</f>
        <v/>
      </c>
      <c r="C193" s="79">
        <f>IF($A193="","",COUNTIFS('AFA Rates'!$A$5:$A$1004,$A193,'AFA Rates'!$O$5:$O$1004,"&lt;&gt;Expired"))</f>
        <v/>
      </c>
      <c r="D193" s="79">
        <f>IF(OR($A193="",D$23=""),"",IF(COUNTIFS('AFA Rates'!$A$5:$A$1004,$A193,'AFA Rates'!$B$5:$B$1004,D$23,'AFA Rates'!$O$5:$O$1004,"&lt;&gt;Expired")&gt;0,"✓",IF(COUNTIFS('AFA Rates'!$A$5:$A$1004,$A193,'AFA Rates'!$B$5:$B$1004,D$23)&gt;0,"Exp","")))</f>
        <v/>
      </c>
      <c r="E193" s="79">
        <f>IF(OR($A193="",E$23=""),"",IF(COUNTIFS('AFA Rates'!$A$5:$A$1004,$A193,'AFA Rates'!$B$5:$B$1004,E$23,'AFA Rates'!$O$5:$O$1004,"&lt;&gt;Expired")&gt;0,"✓",IF(COUNTIFS('AFA Rates'!$A$5:$A$1004,$A193,'AFA Rates'!$B$5:$B$1004,E$23)&gt;0,"Exp","")))</f>
        <v/>
      </c>
      <c r="F193" s="79">
        <f>IF(OR($A193="",F$23=""),"",IF(COUNTIFS('AFA Rates'!$A$5:$A$1004,$A193,'AFA Rates'!$B$5:$B$1004,F$23,'AFA Rates'!$O$5:$O$1004,"&lt;&gt;Expired")&gt;0,"✓",IF(COUNTIFS('AFA Rates'!$A$5:$A$1004,$A193,'AFA Rates'!$B$5:$B$1004,F$23)&gt;0,"Exp","")))</f>
        <v/>
      </c>
      <c r="G193" s="79">
        <f>IF(OR($A193="",G$23=""),"",IF(COUNTIFS('AFA Rates'!$A$5:$A$1004,$A193,'AFA Rates'!$B$5:$B$1004,G$23,'AFA Rates'!$O$5:$O$1004,"&lt;&gt;Expired")&gt;0,"✓",IF(COUNTIFS('AFA Rates'!$A$5:$A$1004,$A193,'AFA Rates'!$B$5:$B$1004,G$23)&gt;0,"Exp","")))</f>
        <v/>
      </c>
      <c r="H193" s="79">
        <f>IF(OR($A193="",H$23=""),"",IF(COUNTIFS('AFA Rates'!$A$5:$A$1004,$A193,'AFA Rates'!$B$5:$B$1004,H$23,'AFA Rates'!$O$5:$O$1004,"&lt;&gt;Expired")&gt;0,"✓",IF(COUNTIFS('AFA Rates'!$A$5:$A$1004,$A193,'AFA Rates'!$B$5:$B$1004,H$23)&gt;0,"Exp","")))</f>
        <v/>
      </c>
      <c r="I193" s="79">
        <f>IF(OR($A193="",I$23=""),"",IF(COUNTIFS('AFA Rates'!$A$5:$A$1004,$A193,'AFA Rates'!$B$5:$B$1004,I$23,'AFA Rates'!$O$5:$O$1004,"&lt;&gt;Expired")&gt;0,"✓",IF(COUNTIFS('AFA Rates'!$A$5:$A$1004,$A193,'AFA Rates'!$B$5:$B$1004,I$23)&gt;0,"Exp","")))</f>
        <v/>
      </c>
      <c r="J193" s="79">
        <f>IF(OR($A193="",J$23=""),"",IF(COUNTIFS('AFA Rates'!$A$5:$A$1004,$A193,'AFA Rates'!$B$5:$B$1004,J$23,'AFA Rates'!$O$5:$O$1004,"&lt;&gt;Expired")&gt;0,"✓",IF(COUNTIFS('AFA Rates'!$A$5:$A$1004,$A193,'AFA Rates'!$B$5:$B$1004,J$23)&gt;0,"Exp","")))</f>
        <v/>
      </c>
      <c r="K193" s="79">
        <f>IF(OR($A193="",K$23=""),"",IF(COUNTIFS('AFA Rates'!$A$5:$A$1004,$A193,'AFA Rates'!$B$5:$B$1004,K$23,'AFA Rates'!$O$5:$O$1004,"&lt;&gt;Expired")&gt;0,"✓",IF(COUNTIFS('AFA Rates'!$A$5:$A$1004,$A193,'AFA Rates'!$B$5:$B$1004,K$23)&gt;0,"Exp","")))</f>
        <v/>
      </c>
      <c r="L193" s="79">
        <f>IF(OR($A193="",L$23=""),"",IF(COUNTIFS('AFA Rates'!$A$5:$A$1004,$A193,'AFA Rates'!$B$5:$B$1004,L$23,'AFA Rates'!$O$5:$O$1004,"&lt;&gt;Expired")&gt;0,"✓",IF(COUNTIFS('AFA Rates'!$A$5:$A$1004,$A193,'AFA Rates'!$B$5:$B$1004,L$23)&gt;0,"Exp","")))</f>
        <v/>
      </c>
      <c r="M193" s="79">
        <f>IF(OR($A193="",M$23=""),"",IF(COUNTIFS('AFA Rates'!$A$5:$A$1004,$A193,'AFA Rates'!$B$5:$B$1004,M$23,'AFA Rates'!$O$5:$O$1004,"&lt;&gt;Expired")&gt;0,"✓",IF(COUNTIFS('AFA Rates'!$A$5:$A$1004,$A193,'AFA Rates'!$B$5:$B$1004,M$23)&gt;0,"Exp","")))</f>
        <v/>
      </c>
    </row>
    <row r="194">
      <c r="A194" s="78">
        <f>IFERROR(INDEX(Firms!$A$5:$A$1004,MATCH(171,Firms!$V$5:$V$1004,0)),"")</f>
        <v/>
      </c>
      <c r="B194" s="79">
        <f>IF($A194="","",INDEX(Firms!$B$5:$B$1004,MATCH(171,Firms!$V$5:$V$1004,0)))</f>
        <v/>
      </c>
      <c r="C194" s="79">
        <f>IF($A194="","",COUNTIFS('AFA Rates'!$A$5:$A$1004,$A194,'AFA Rates'!$O$5:$O$1004,"&lt;&gt;Expired"))</f>
        <v/>
      </c>
      <c r="D194" s="79">
        <f>IF(OR($A194="",D$23=""),"",IF(COUNTIFS('AFA Rates'!$A$5:$A$1004,$A194,'AFA Rates'!$B$5:$B$1004,D$23,'AFA Rates'!$O$5:$O$1004,"&lt;&gt;Expired")&gt;0,"✓",IF(COUNTIFS('AFA Rates'!$A$5:$A$1004,$A194,'AFA Rates'!$B$5:$B$1004,D$23)&gt;0,"Exp","")))</f>
        <v/>
      </c>
      <c r="E194" s="79">
        <f>IF(OR($A194="",E$23=""),"",IF(COUNTIFS('AFA Rates'!$A$5:$A$1004,$A194,'AFA Rates'!$B$5:$B$1004,E$23,'AFA Rates'!$O$5:$O$1004,"&lt;&gt;Expired")&gt;0,"✓",IF(COUNTIFS('AFA Rates'!$A$5:$A$1004,$A194,'AFA Rates'!$B$5:$B$1004,E$23)&gt;0,"Exp","")))</f>
        <v/>
      </c>
      <c r="F194" s="79">
        <f>IF(OR($A194="",F$23=""),"",IF(COUNTIFS('AFA Rates'!$A$5:$A$1004,$A194,'AFA Rates'!$B$5:$B$1004,F$23,'AFA Rates'!$O$5:$O$1004,"&lt;&gt;Expired")&gt;0,"✓",IF(COUNTIFS('AFA Rates'!$A$5:$A$1004,$A194,'AFA Rates'!$B$5:$B$1004,F$23)&gt;0,"Exp","")))</f>
        <v/>
      </c>
      <c r="G194" s="79">
        <f>IF(OR($A194="",G$23=""),"",IF(COUNTIFS('AFA Rates'!$A$5:$A$1004,$A194,'AFA Rates'!$B$5:$B$1004,G$23,'AFA Rates'!$O$5:$O$1004,"&lt;&gt;Expired")&gt;0,"✓",IF(COUNTIFS('AFA Rates'!$A$5:$A$1004,$A194,'AFA Rates'!$B$5:$B$1004,G$23)&gt;0,"Exp","")))</f>
        <v/>
      </c>
      <c r="H194" s="79">
        <f>IF(OR($A194="",H$23=""),"",IF(COUNTIFS('AFA Rates'!$A$5:$A$1004,$A194,'AFA Rates'!$B$5:$B$1004,H$23,'AFA Rates'!$O$5:$O$1004,"&lt;&gt;Expired")&gt;0,"✓",IF(COUNTIFS('AFA Rates'!$A$5:$A$1004,$A194,'AFA Rates'!$B$5:$B$1004,H$23)&gt;0,"Exp","")))</f>
        <v/>
      </c>
      <c r="I194" s="79">
        <f>IF(OR($A194="",I$23=""),"",IF(COUNTIFS('AFA Rates'!$A$5:$A$1004,$A194,'AFA Rates'!$B$5:$B$1004,I$23,'AFA Rates'!$O$5:$O$1004,"&lt;&gt;Expired")&gt;0,"✓",IF(COUNTIFS('AFA Rates'!$A$5:$A$1004,$A194,'AFA Rates'!$B$5:$B$1004,I$23)&gt;0,"Exp","")))</f>
        <v/>
      </c>
      <c r="J194" s="79">
        <f>IF(OR($A194="",J$23=""),"",IF(COUNTIFS('AFA Rates'!$A$5:$A$1004,$A194,'AFA Rates'!$B$5:$B$1004,J$23,'AFA Rates'!$O$5:$O$1004,"&lt;&gt;Expired")&gt;0,"✓",IF(COUNTIFS('AFA Rates'!$A$5:$A$1004,$A194,'AFA Rates'!$B$5:$B$1004,J$23)&gt;0,"Exp","")))</f>
        <v/>
      </c>
      <c r="K194" s="79">
        <f>IF(OR($A194="",K$23=""),"",IF(COUNTIFS('AFA Rates'!$A$5:$A$1004,$A194,'AFA Rates'!$B$5:$B$1004,K$23,'AFA Rates'!$O$5:$O$1004,"&lt;&gt;Expired")&gt;0,"✓",IF(COUNTIFS('AFA Rates'!$A$5:$A$1004,$A194,'AFA Rates'!$B$5:$B$1004,K$23)&gt;0,"Exp","")))</f>
        <v/>
      </c>
      <c r="L194" s="79">
        <f>IF(OR($A194="",L$23=""),"",IF(COUNTIFS('AFA Rates'!$A$5:$A$1004,$A194,'AFA Rates'!$B$5:$B$1004,L$23,'AFA Rates'!$O$5:$O$1004,"&lt;&gt;Expired")&gt;0,"✓",IF(COUNTIFS('AFA Rates'!$A$5:$A$1004,$A194,'AFA Rates'!$B$5:$B$1004,L$23)&gt;0,"Exp","")))</f>
        <v/>
      </c>
      <c r="M194" s="79">
        <f>IF(OR($A194="",M$23=""),"",IF(COUNTIFS('AFA Rates'!$A$5:$A$1004,$A194,'AFA Rates'!$B$5:$B$1004,M$23,'AFA Rates'!$O$5:$O$1004,"&lt;&gt;Expired")&gt;0,"✓",IF(COUNTIFS('AFA Rates'!$A$5:$A$1004,$A194,'AFA Rates'!$B$5:$B$1004,M$23)&gt;0,"Exp","")))</f>
        <v/>
      </c>
    </row>
    <row r="195">
      <c r="A195" s="78">
        <f>IFERROR(INDEX(Firms!$A$5:$A$1004,MATCH(172,Firms!$V$5:$V$1004,0)),"")</f>
        <v/>
      </c>
      <c r="B195" s="79">
        <f>IF($A195="","",INDEX(Firms!$B$5:$B$1004,MATCH(172,Firms!$V$5:$V$1004,0)))</f>
        <v/>
      </c>
      <c r="C195" s="79">
        <f>IF($A195="","",COUNTIFS('AFA Rates'!$A$5:$A$1004,$A195,'AFA Rates'!$O$5:$O$1004,"&lt;&gt;Expired"))</f>
        <v/>
      </c>
      <c r="D195" s="79">
        <f>IF(OR($A195="",D$23=""),"",IF(COUNTIFS('AFA Rates'!$A$5:$A$1004,$A195,'AFA Rates'!$B$5:$B$1004,D$23,'AFA Rates'!$O$5:$O$1004,"&lt;&gt;Expired")&gt;0,"✓",IF(COUNTIFS('AFA Rates'!$A$5:$A$1004,$A195,'AFA Rates'!$B$5:$B$1004,D$23)&gt;0,"Exp","")))</f>
        <v/>
      </c>
      <c r="E195" s="79">
        <f>IF(OR($A195="",E$23=""),"",IF(COUNTIFS('AFA Rates'!$A$5:$A$1004,$A195,'AFA Rates'!$B$5:$B$1004,E$23,'AFA Rates'!$O$5:$O$1004,"&lt;&gt;Expired")&gt;0,"✓",IF(COUNTIFS('AFA Rates'!$A$5:$A$1004,$A195,'AFA Rates'!$B$5:$B$1004,E$23)&gt;0,"Exp","")))</f>
        <v/>
      </c>
      <c r="F195" s="79">
        <f>IF(OR($A195="",F$23=""),"",IF(COUNTIFS('AFA Rates'!$A$5:$A$1004,$A195,'AFA Rates'!$B$5:$B$1004,F$23,'AFA Rates'!$O$5:$O$1004,"&lt;&gt;Expired")&gt;0,"✓",IF(COUNTIFS('AFA Rates'!$A$5:$A$1004,$A195,'AFA Rates'!$B$5:$B$1004,F$23)&gt;0,"Exp","")))</f>
        <v/>
      </c>
      <c r="G195" s="79">
        <f>IF(OR($A195="",G$23=""),"",IF(COUNTIFS('AFA Rates'!$A$5:$A$1004,$A195,'AFA Rates'!$B$5:$B$1004,G$23,'AFA Rates'!$O$5:$O$1004,"&lt;&gt;Expired")&gt;0,"✓",IF(COUNTIFS('AFA Rates'!$A$5:$A$1004,$A195,'AFA Rates'!$B$5:$B$1004,G$23)&gt;0,"Exp","")))</f>
        <v/>
      </c>
      <c r="H195" s="79">
        <f>IF(OR($A195="",H$23=""),"",IF(COUNTIFS('AFA Rates'!$A$5:$A$1004,$A195,'AFA Rates'!$B$5:$B$1004,H$23,'AFA Rates'!$O$5:$O$1004,"&lt;&gt;Expired")&gt;0,"✓",IF(COUNTIFS('AFA Rates'!$A$5:$A$1004,$A195,'AFA Rates'!$B$5:$B$1004,H$23)&gt;0,"Exp","")))</f>
        <v/>
      </c>
      <c r="I195" s="79">
        <f>IF(OR($A195="",I$23=""),"",IF(COUNTIFS('AFA Rates'!$A$5:$A$1004,$A195,'AFA Rates'!$B$5:$B$1004,I$23,'AFA Rates'!$O$5:$O$1004,"&lt;&gt;Expired")&gt;0,"✓",IF(COUNTIFS('AFA Rates'!$A$5:$A$1004,$A195,'AFA Rates'!$B$5:$B$1004,I$23)&gt;0,"Exp","")))</f>
        <v/>
      </c>
      <c r="J195" s="79">
        <f>IF(OR($A195="",J$23=""),"",IF(COUNTIFS('AFA Rates'!$A$5:$A$1004,$A195,'AFA Rates'!$B$5:$B$1004,J$23,'AFA Rates'!$O$5:$O$1004,"&lt;&gt;Expired")&gt;0,"✓",IF(COUNTIFS('AFA Rates'!$A$5:$A$1004,$A195,'AFA Rates'!$B$5:$B$1004,J$23)&gt;0,"Exp","")))</f>
        <v/>
      </c>
      <c r="K195" s="79">
        <f>IF(OR($A195="",K$23=""),"",IF(COUNTIFS('AFA Rates'!$A$5:$A$1004,$A195,'AFA Rates'!$B$5:$B$1004,K$23,'AFA Rates'!$O$5:$O$1004,"&lt;&gt;Expired")&gt;0,"✓",IF(COUNTIFS('AFA Rates'!$A$5:$A$1004,$A195,'AFA Rates'!$B$5:$B$1004,K$23)&gt;0,"Exp","")))</f>
        <v/>
      </c>
      <c r="L195" s="79">
        <f>IF(OR($A195="",L$23=""),"",IF(COUNTIFS('AFA Rates'!$A$5:$A$1004,$A195,'AFA Rates'!$B$5:$B$1004,L$23,'AFA Rates'!$O$5:$O$1004,"&lt;&gt;Expired")&gt;0,"✓",IF(COUNTIFS('AFA Rates'!$A$5:$A$1004,$A195,'AFA Rates'!$B$5:$B$1004,L$23)&gt;0,"Exp","")))</f>
        <v/>
      </c>
      <c r="M195" s="79">
        <f>IF(OR($A195="",M$23=""),"",IF(COUNTIFS('AFA Rates'!$A$5:$A$1004,$A195,'AFA Rates'!$B$5:$B$1004,M$23,'AFA Rates'!$O$5:$O$1004,"&lt;&gt;Expired")&gt;0,"✓",IF(COUNTIFS('AFA Rates'!$A$5:$A$1004,$A195,'AFA Rates'!$B$5:$B$1004,M$23)&gt;0,"Exp","")))</f>
        <v/>
      </c>
    </row>
    <row r="196">
      <c r="A196" s="78">
        <f>IFERROR(INDEX(Firms!$A$5:$A$1004,MATCH(173,Firms!$V$5:$V$1004,0)),"")</f>
        <v/>
      </c>
      <c r="B196" s="79">
        <f>IF($A196="","",INDEX(Firms!$B$5:$B$1004,MATCH(173,Firms!$V$5:$V$1004,0)))</f>
        <v/>
      </c>
      <c r="C196" s="79">
        <f>IF($A196="","",COUNTIFS('AFA Rates'!$A$5:$A$1004,$A196,'AFA Rates'!$O$5:$O$1004,"&lt;&gt;Expired"))</f>
        <v/>
      </c>
      <c r="D196" s="79">
        <f>IF(OR($A196="",D$23=""),"",IF(COUNTIFS('AFA Rates'!$A$5:$A$1004,$A196,'AFA Rates'!$B$5:$B$1004,D$23,'AFA Rates'!$O$5:$O$1004,"&lt;&gt;Expired")&gt;0,"✓",IF(COUNTIFS('AFA Rates'!$A$5:$A$1004,$A196,'AFA Rates'!$B$5:$B$1004,D$23)&gt;0,"Exp","")))</f>
        <v/>
      </c>
      <c r="E196" s="79">
        <f>IF(OR($A196="",E$23=""),"",IF(COUNTIFS('AFA Rates'!$A$5:$A$1004,$A196,'AFA Rates'!$B$5:$B$1004,E$23,'AFA Rates'!$O$5:$O$1004,"&lt;&gt;Expired")&gt;0,"✓",IF(COUNTIFS('AFA Rates'!$A$5:$A$1004,$A196,'AFA Rates'!$B$5:$B$1004,E$23)&gt;0,"Exp","")))</f>
        <v/>
      </c>
      <c r="F196" s="79">
        <f>IF(OR($A196="",F$23=""),"",IF(COUNTIFS('AFA Rates'!$A$5:$A$1004,$A196,'AFA Rates'!$B$5:$B$1004,F$23,'AFA Rates'!$O$5:$O$1004,"&lt;&gt;Expired")&gt;0,"✓",IF(COUNTIFS('AFA Rates'!$A$5:$A$1004,$A196,'AFA Rates'!$B$5:$B$1004,F$23)&gt;0,"Exp","")))</f>
        <v/>
      </c>
      <c r="G196" s="79">
        <f>IF(OR($A196="",G$23=""),"",IF(COUNTIFS('AFA Rates'!$A$5:$A$1004,$A196,'AFA Rates'!$B$5:$B$1004,G$23,'AFA Rates'!$O$5:$O$1004,"&lt;&gt;Expired")&gt;0,"✓",IF(COUNTIFS('AFA Rates'!$A$5:$A$1004,$A196,'AFA Rates'!$B$5:$B$1004,G$23)&gt;0,"Exp","")))</f>
        <v/>
      </c>
      <c r="H196" s="79">
        <f>IF(OR($A196="",H$23=""),"",IF(COUNTIFS('AFA Rates'!$A$5:$A$1004,$A196,'AFA Rates'!$B$5:$B$1004,H$23,'AFA Rates'!$O$5:$O$1004,"&lt;&gt;Expired")&gt;0,"✓",IF(COUNTIFS('AFA Rates'!$A$5:$A$1004,$A196,'AFA Rates'!$B$5:$B$1004,H$23)&gt;0,"Exp","")))</f>
        <v/>
      </c>
      <c r="I196" s="79">
        <f>IF(OR($A196="",I$23=""),"",IF(COUNTIFS('AFA Rates'!$A$5:$A$1004,$A196,'AFA Rates'!$B$5:$B$1004,I$23,'AFA Rates'!$O$5:$O$1004,"&lt;&gt;Expired")&gt;0,"✓",IF(COUNTIFS('AFA Rates'!$A$5:$A$1004,$A196,'AFA Rates'!$B$5:$B$1004,I$23)&gt;0,"Exp","")))</f>
        <v/>
      </c>
      <c r="J196" s="79">
        <f>IF(OR($A196="",J$23=""),"",IF(COUNTIFS('AFA Rates'!$A$5:$A$1004,$A196,'AFA Rates'!$B$5:$B$1004,J$23,'AFA Rates'!$O$5:$O$1004,"&lt;&gt;Expired")&gt;0,"✓",IF(COUNTIFS('AFA Rates'!$A$5:$A$1004,$A196,'AFA Rates'!$B$5:$B$1004,J$23)&gt;0,"Exp","")))</f>
        <v/>
      </c>
      <c r="K196" s="79">
        <f>IF(OR($A196="",K$23=""),"",IF(COUNTIFS('AFA Rates'!$A$5:$A$1004,$A196,'AFA Rates'!$B$5:$B$1004,K$23,'AFA Rates'!$O$5:$O$1004,"&lt;&gt;Expired")&gt;0,"✓",IF(COUNTIFS('AFA Rates'!$A$5:$A$1004,$A196,'AFA Rates'!$B$5:$B$1004,K$23)&gt;0,"Exp","")))</f>
        <v/>
      </c>
      <c r="L196" s="79">
        <f>IF(OR($A196="",L$23=""),"",IF(COUNTIFS('AFA Rates'!$A$5:$A$1004,$A196,'AFA Rates'!$B$5:$B$1004,L$23,'AFA Rates'!$O$5:$O$1004,"&lt;&gt;Expired")&gt;0,"✓",IF(COUNTIFS('AFA Rates'!$A$5:$A$1004,$A196,'AFA Rates'!$B$5:$B$1004,L$23)&gt;0,"Exp","")))</f>
        <v/>
      </c>
      <c r="M196" s="79">
        <f>IF(OR($A196="",M$23=""),"",IF(COUNTIFS('AFA Rates'!$A$5:$A$1004,$A196,'AFA Rates'!$B$5:$B$1004,M$23,'AFA Rates'!$O$5:$O$1004,"&lt;&gt;Expired")&gt;0,"✓",IF(COUNTIFS('AFA Rates'!$A$5:$A$1004,$A196,'AFA Rates'!$B$5:$B$1004,M$23)&gt;0,"Exp","")))</f>
        <v/>
      </c>
    </row>
    <row r="197">
      <c r="A197" s="78">
        <f>IFERROR(INDEX(Firms!$A$5:$A$1004,MATCH(174,Firms!$V$5:$V$1004,0)),"")</f>
        <v/>
      </c>
      <c r="B197" s="79">
        <f>IF($A197="","",INDEX(Firms!$B$5:$B$1004,MATCH(174,Firms!$V$5:$V$1004,0)))</f>
        <v/>
      </c>
      <c r="C197" s="79">
        <f>IF($A197="","",COUNTIFS('AFA Rates'!$A$5:$A$1004,$A197,'AFA Rates'!$O$5:$O$1004,"&lt;&gt;Expired"))</f>
        <v/>
      </c>
      <c r="D197" s="79">
        <f>IF(OR($A197="",D$23=""),"",IF(COUNTIFS('AFA Rates'!$A$5:$A$1004,$A197,'AFA Rates'!$B$5:$B$1004,D$23,'AFA Rates'!$O$5:$O$1004,"&lt;&gt;Expired")&gt;0,"✓",IF(COUNTIFS('AFA Rates'!$A$5:$A$1004,$A197,'AFA Rates'!$B$5:$B$1004,D$23)&gt;0,"Exp","")))</f>
        <v/>
      </c>
      <c r="E197" s="79">
        <f>IF(OR($A197="",E$23=""),"",IF(COUNTIFS('AFA Rates'!$A$5:$A$1004,$A197,'AFA Rates'!$B$5:$B$1004,E$23,'AFA Rates'!$O$5:$O$1004,"&lt;&gt;Expired")&gt;0,"✓",IF(COUNTIFS('AFA Rates'!$A$5:$A$1004,$A197,'AFA Rates'!$B$5:$B$1004,E$23)&gt;0,"Exp","")))</f>
        <v/>
      </c>
      <c r="F197" s="79">
        <f>IF(OR($A197="",F$23=""),"",IF(COUNTIFS('AFA Rates'!$A$5:$A$1004,$A197,'AFA Rates'!$B$5:$B$1004,F$23,'AFA Rates'!$O$5:$O$1004,"&lt;&gt;Expired")&gt;0,"✓",IF(COUNTIFS('AFA Rates'!$A$5:$A$1004,$A197,'AFA Rates'!$B$5:$B$1004,F$23)&gt;0,"Exp","")))</f>
        <v/>
      </c>
      <c r="G197" s="79">
        <f>IF(OR($A197="",G$23=""),"",IF(COUNTIFS('AFA Rates'!$A$5:$A$1004,$A197,'AFA Rates'!$B$5:$B$1004,G$23,'AFA Rates'!$O$5:$O$1004,"&lt;&gt;Expired")&gt;0,"✓",IF(COUNTIFS('AFA Rates'!$A$5:$A$1004,$A197,'AFA Rates'!$B$5:$B$1004,G$23)&gt;0,"Exp","")))</f>
        <v/>
      </c>
      <c r="H197" s="79">
        <f>IF(OR($A197="",H$23=""),"",IF(COUNTIFS('AFA Rates'!$A$5:$A$1004,$A197,'AFA Rates'!$B$5:$B$1004,H$23,'AFA Rates'!$O$5:$O$1004,"&lt;&gt;Expired")&gt;0,"✓",IF(COUNTIFS('AFA Rates'!$A$5:$A$1004,$A197,'AFA Rates'!$B$5:$B$1004,H$23)&gt;0,"Exp","")))</f>
        <v/>
      </c>
      <c r="I197" s="79">
        <f>IF(OR($A197="",I$23=""),"",IF(COUNTIFS('AFA Rates'!$A$5:$A$1004,$A197,'AFA Rates'!$B$5:$B$1004,I$23,'AFA Rates'!$O$5:$O$1004,"&lt;&gt;Expired")&gt;0,"✓",IF(COUNTIFS('AFA Rates'!$A$5:$A$1004,$A197,'AFA Rates'!$B$5:$B$1004,I$23)&gt;0,"Exp","")))</f>
        <v/>
      </c>
      <c r="J197" s="79">
        <f>IF(OR($A197="",J$23=""),"",IF(COUNTIFS('AFA Rates'!$A$5:$A$1004,$A197,'AFA Rates'!$B$5:$B$1004,J$23,'AFA Rates'!$O$5:$O$1004,"&lt;&gt;Expired")&gt;0,"✓",IF(COUNTIFS('AFA Rates'!$A$5:$A$1004,$A197,'AFA Rates'!$B$5:$B$1004,J$23)&gt;0,"Exp","")))</f>
        <v/>
      </c>
      <c r="K197" s="79">
        <f>IF(OR($A197="",K$23=""),"",IF(COUNTIFS('AFA Rates'!$A$5:$A$1004,$A197,'AFA Rates'!$B$5:$B$1004,K$23,'AFA Rates'!$O$5:$O$1004,"&lt;&gt;Expired")&gt;0,"✓",IF(COUNTIFS('AFA Rates'!$A$5:$A$1004,$A197,'AFA Rates'!$B$5:$B$1004,K$23)&gt;0,"Exp","")))</f>
        <v/>
      </c>
      <c r="L197" s="79">
        <f>IF(OR($A197="",L$23=""),"",IF(COUNTIFS('AFA Rates'!$A$5:$A$1004,$A197,'AFA Rates'!$B$5:$B$1004,L$23,'AFA Rates'!$O$5:$O$1004,"&lt;&gt;Expired")&gt;0,"✓",IF(COUNTIFS('AFA Rates'!$A$5:$A$1004,$A197,'AFA Rates'!$B$5:$B$1004,L$23)&gt;0,"Exp","")))</f>
        <v/>
      </c>
      <c r="M197" s="79">
        <f>IF(OR($A197="",M$23=""),"",IF(COUNTIFS('AFA Rates'!$A$5:$A$1004,$A197,'AFA Rates'!$B$5:$B$1004,M$23,'AFA Rates'!$O$5:$O$1004,"&lt;&gt;Expired")&gt;0,"✓",IF(COUNTIFS('AFA Rates'!$A$5:$A$1004,$A197,'AFA Rates'!$B$5:$B$1004,M$23)&gt;0,"Exp","")))</f>
        <v/>
      </c>
    </row>
    <row r="198">
      <c r="A198" s="78">
        <f>IFERROR(INDEX(Firms!$A$5:$A$1004,MATCH(175,Firms!$V$5:$V$1004,0)),"")</f>
        <v/>
      </c>
      <c r="B198" s="79">
        <f>IF($A198="","",INDEX(Firms!$B$5:$B$1004,MATCH(175,Firms!$V$5:$V$1004,0)))</f>
        <v/>
      </c>
      <c r="C198" s="79">
        <f>IF($A198="","",COUNTIFS('AFA Rates'!$A$5:$A$1004,$A198,'AFA Rates'!$O$5:$O$1004,"&lt;&gt;Expired"))</f>
        <v/>
      </c>
      <c r="D198" s="79">
        <f>IF(OR($A198="",D$23=""),"",IF(COUNTIFS('AFA Rates'!$A$5:$A$1004,$A198,'AFA Rates'!$B$5:$B$1004,D$23,'AFA Rates'!$O$5:$O$1004,"&lt;&gt;Expired")&gt;0,"✓",IF(COUNTIFS('AFA Rates'!$A$5:$A$1004,$A198,'AFA Rates'!$B$5:$B$1004,D$23)&gt;0,"Exp","")))</f>
        <v/>
      </c>
      <c r="E198" s="79">
        <f>IF(OR($A198="",E$23=""),"",IF(COUNTIFS('AFA Rates'!$A$5:$A$1004,$A198,'AFA Rates'!$B$5:$B$1004,E$23,'AFA Rates'!$O$5:$O$1004,"&lt;&gt;Expired")&gt;0,"✓",IF(COUNTIFS('AFA Rates'!$A$5:$A$1004,$A198,'AFA Rates'!$B$5:$B$1004,E$23)&gt;0,"Exp","")))</f>
        <v/>
      </c>
      <c r="F198" s="79">
        <f>IF(OR($A198="",F$23=""),"",IF(COUNTIFS('AFA Rates'!$A$5:$A$1004,$A198,'AFA Rates'!$B$5:$B$1004,F$23,'AFA Rates'!$O$5:$O$1004,"&lt;&gt;Expired")&gt;0,"✓",IF(COUNTIFS('AFA Rates'!$A$5:$A$1004,$A198,'AFA Rates'!$B$5:$B$1004,F$23)&gt;0,"Exp","")))</f>
        <v/>
      </c>
      <c r="G198" s="79">
        <f>IF(OR($A198="",G$23=""),"",IF(COUNTIFS('AFA Rates'!$A$5:$A$1004,$A198,'AFA Rates'!$B$5:$B$1004,G$23,'AFA Rates'!$O$5:$O$1004,"&lt;&gt;Expired")&gt;0,"✓",IF(COUNTIFS('AFA Rates'!$A$5:$A$1004,$A198,'AFA Rates'!$B$5:$B$1004,G$23)&gt;0,"Exp","")))</f>
        <v/>
      </c>
      <c r="H198" s="79">
        <f>IF(OR($A198="",H$23=""),"",IF(COUNTIFS('AFA Rates'!$A$5:$A$1004,$A198,'AFA Rates'!$B$5:$B$1004,H$23,'AFA Rates'!$O$5:$O$1004,"&lt;&gt;Expired")&gt;0,"✓",IF(COUNTIFS('AFA Rates'!$A$5:$A$1004,$A198,'AFA Rates'!$B$5:$B$1004,H$23)&gt;0,"Exp","")))</f>
        <v/>
      </c>
      <c r="I198" s="79">
        <f>IF(OR($A198="",I$23=""),"",IF(COUNTIFS('AFA Rates'!$A$5:$A$1004,$A198,'AFA Rates'!$B$5:$B$1004,I$23,'AFA Rates'!$O$5:$O$1004,"&lt;&gt;Expired")&gt;0,"✓",IF(COUNTIFS('AFA Rates'!$A$5:$A$1004,$A198,'AFA Rates'!$B$5:$B$1004,I$23)&gt;0,"Exp","")))</f>
        <v/>
      </c>
      <c r="J198" s="79">
        <f>IF(OR($A198="",J$23=""),"",IF(COUNTIFS('AFA Rates'!$A$5:$A$1004,$A198,'AFA Rates'!$B$5:$B$1004,J$23,'AFA Rates'!$O$5:$O$1004,"&lt;&gt;Expired")&gt;0,"✓",IF(COUNTIFS('AFA Rates'!$A$5:$A$1004,$A198,'AFA Rates'!$B$5:$B$1004,J$23)&gt;0,"Exp","")))</f>
        <v/>
      </c>
      <c r="K198" s="79">
        <f>IF(OR($A198="",K$23=""),"",IF(COUNTIFS('AFA Rates'!$A$5:$A$1004,$A198,'AFA Rates'!$B$5:$B$1004,K$23,'AFA Rates'!$O$5:$O$1004,"&lt;&gt;Expired")&gt;0,"✓",IF(COUNTIFS('AFA Rates'!$A$5:$A$1004,$A198,'AFA Rates'!$B$5:$B$1004,K$23)&gt;0,"Exp","")))</f>
        <v/>
      </c>
      <c r="L198" s="79">
        <f>IF(OR($A198="",L$23=""),"",IF(COUNTIFS('AFA Rates'!$A$5:$A$1004,$A198,'AFA Rates'!$B$5:$B$1004,L$23,'AFA Rates'!$O$5:$O$1004,"&lt;&gt;Expired")&gt;0,"✓",IF(COUNTIFS('AFA Rates'!$A$5:$A$1004,$A198,'AFA Rates'!$B$5:$B$1004,L$23)&gt;0,"Exp","")))</f>
        <v/>
      </c>
      <c r="M198" s="79">
        <f>IF(OR($A198="",M$23=""),"",IF(COUNTIFS('AFA Rates'!$A$5:$A$1004,$A198,'AFA Rates'!$B$5:$B$1004,M$23,'AFA Rates'!$O$5:$O$1004,"&lt;&gt;Expired")&gt;0,"✓",IF(COUNTIFS('AFA Rates'!$A$5:$A$1004,$A198,'AFA Rates'!$B$5:$B$1004,M$23)&gt;0,"Exp","")))</f>
        <v/>
      </c>
    </row>
    <row r="199">
      <c r="A199" s="78">
        <f>IFERROR(INDEX(Firms!$A$5:$A$1004,MATCH(176,Firms!$V$5:$V$1004,0)),"")</f>
        <v/>
      </c>
      <c r="B199" s="79">
        <f>IF($A199="","",INDEX(Firms!$B$5:$B$1004,MATCH(176,Firms!$V$5:$V$1004,0)))</f>
        <v/>
      </c>
      <c r="C199" s="79">
        <f>IF($A199="","",COUNTIFS('AFA Rates'!$A$5:$A$1004,$A199,'AFA Rates'!$O$5:$O$1004,"&lt;&gt;Expired"))</f>
        <v/>
      </c>
      <c r="D199" s="79">
        <f>IF(OR($A199="",D$23=""),"",IF(COUNTIFS('AFA Rates'!$A$5:$A$1004,$A199,'AFA Rates'!$B$5:$B$1004,D$23,'AFA Rates'!$O$5:$O$1004,"&lt;&gt;Expired")&gt;0,"✓",IF(COUNTIFS('AFA Rates'!$A$5:$A$1004,$A199,'AFA Rates'!$B$5:$B$1004,D$23)&gt;0,"Exp","")))</f>
        <v/>
      </c>
      <c r="E199" s="79">
        <f>IF(OR($A199="",E$23=""),"",IF(COUNTIFS('AFA Rates'!$A$5:$A$1004,$A199,'AFA Rates'!$B$5:$B$1004,E$23,'AFA Rates'!$O$5:$O$1004,"&lt;&gt;Expired")&gt;0,"✓",IF(COUNTIFS('AFA Rates'!$A$5:$A$1004,$A199,'AFA Rates'!$B$5:$B$1004,E$23)&gt;0,"Exp","")))</f>
        <v/>
      </c>
      <c r="F199" s="79">
        <f>IF(OR($A199="",F$23=""),"",IF(COUNTIFS('AFA Rates'!$A$5:$A$1004,$A199,'AFA Rates'!$B$5:$B$1004,F$23,'AFA Rates'!$O$5:$O$1004,"&lt;&gt;Expired")&gt;0,"✓",IF(COUNTIFS('AFA Rates'!$A$5:$A$1004,$A199,'AFA Rates'!$B$5:$B$1004,F$23)&gt;0,"Exp","")))</f>
        <v/>
      </c>
      <c r="G199" s="79">
        <f>IF(OR($A199="",G$23=""),"",IF(COUNTIFS('AFA Rates'!$A$5:$A$1004,$A199,'AFA Rates'!$B$5:$B$1004,G$23,'AFA Rates'!$O$5:$O$1004,"&lt;&gt;Expired")&gt;0,"✓",IF(COUNTIFS('AFA Rates'!$A$5:$A$1004,$A199,'AFA Rates'!$B$5:$B$1004,G$23)&gt;0,"Exp","")))</f>
        <v/>
      </c>
      <c r="H199" s="79">
        <f>IF(OR($A199="",H$23=""),"",IF(COUNTIFS('AFA Rates'!$A$5:$A$1004,$A199,'AFA Rates'!$B$5:$B$1004,H$23,'AFA Rates'!$O$5:$O$1004,"&lt;&gt;Expired")&gt;0,"✓",IF(COUNTIFS('AFA Rates'!$A$5:$A$1004,$A199,'AFA Rates'!$B$5:$B$1004,H$23)&gt;0,"Exp","")))</f>
        <v/>
      </c>
      <c r="I199" s="79">
        <f>IF(OR($A199="",I$23=""),"",IF(COUNTIFS('AFA Rates'!$A$5:$A$1004,$A199,'AFA Rates'!$B$5:$B$1004,I$23,'AFA Rates'!$O$5:$O$1004,"&lt;&gt;Expired")&gt;0,"✓",IF(COUNTIFS('AFA Rates'!$A$5:$A$1004,$A199,'AFA Rates'!$B$5:$B$1004,I$23)&gt;0,"Exp","")))</f>
        <v/>
      </c>
      <c r="J199" s="79">
        <f>IF(OR($A199="",J$23=""),"",IF(COUNTIFS('AFA Rates'!$A$5:$A$1004,$A199,'AFA Rates'!$B$5:$B$1004,J$23,'AFA Rates'!$O$5:$O$1004,"&lt;&gt;Expired")&gt;0,"✓",IF(COUNTIFS('AFA Rates'!$A$5:$A$1004,$A199,'AFA Rates'!$B$5:$B$1004,J$23)&gt;0,"Exp","")))</f>
        <v/>
      </c>
      <c r="K199" s="79">
        <f>IF(OR($A199="",K$23=""),"",IF(COUNTIFS('AFA Rates'!$A$5:$A$1004,$A199,'AFA Rates'!$B$5:$B$1004,K$23,'AFA Rates'!$O$5:$O$1004,"&lt;&gt;Expired")&gt;0,"✓",IF(COUNTIFS('AFA Rates'!$A$5:$A$1004,$A199,'AFA Rates'!$B$5:$B$1004,K$23)&gt;0,"Exp","")))</f>
        <v/>
      </c>
      <c r="L199" s="79">
        <f>IF(OR($A199="",L$23=""),"",IF(COUNTIFS('AFA Rates'!$A$5:$A$1004,$A199,'AFA Rates'!$B$5:$B$1004,L$23,'AFA Rates'!$O$5:$O$1004,"&lt;&gt;Expired")&gt;0,"✓",IF(COUNTIFS('AFA Rates'!$A$5:$A$1004,$A199,'AFA Rates'!$B$5:$B$1004,L$23)&gt;0,"Exp","")))</f>
        <v/>
      </c>
      <c r="M199" s="79">
        <f>IF(OR($A199="",M$23=""),"",IF(COUNTIFS('AFA Rates'!$A$5:$A$1004,$A199,'AFA Rates'!$B$5:$B$1004,M$23,'AFA Rates'!$O$5:$O$1004,"&lt;&gt;Expired")&gt;0,"✓",IF(COUNTIFS('AFA Rates'!$A$5:$A$1004,$A199,'AFA Rates'!$B$5:$B$1004,M$23)&gt;0,"Exp","")))</f>
        <v/>
      </c>
    </row>
    <row r="200">
      <c r="A200" s="78">
        <f>IFERROR(INDEX(Firms!$A$5:$A$1004,MATCH(177,Firms!$V$5:$V$1004,0)),"")</f>
        <v/>
      </c>
      <c r="B200" s="79">
        <f>IF($A200="","",INDEX(Firms!$B$5:$B$1004,MATCH(177,Firms!$V$5:$V$1004,0)))</f>
        <v/>
      </c>
      <c r="C200" s="79">
        <f>IF($A200="","",COUNTIFS('AFA Rates'!$A$5:$A$1004,$A200,'AFA Rates'!$O$5:$O$1004,"&lt;&gt;Expired"))</f>
        <v/>
      </c>
      <c r="D200" s="79">
        <f>IF(OR($A200="",D$23=""),"",IF(COUNTIFS('AFA Rates'!$A$5:$A$1004,$A200,'AFA Rates'!$B$5:$B$1004,D$23,'AFA Rates'!$O$5:$O$1004,"&lt;&gt;Expired")&gt;0,"✓",IF(COUNTIFS('AFA Rates'!$A$5:$A$1004,$A200,'AFA Rates'!$B$5:$B$1004,D$23)&gt;0,"Exp","")))</f>
        <v/>
      </c>
      <c r="E200" s="79">
        <f>IF(OR($A200="",E$23=""),"",IF(COUNTIFS('AFA Rates'!$A$5:$A$1004,$A200,'AFA Rates'!$B$5:$B$1004,E$23,'AFA Rates'!$O$5:$O$1004,"&lt;&gt;Expired")&gt;0,"✓",IF(COUNTIFS('AFA Rates'!$A$5:$A$1004,$A200,'AFA Rates'!$B$5:$B$1004,E$23)&gt;0,"Exp","")))</f>
        <v/>
      </c>
      <c r="F200" s="79">
        <f>IF(OR($A200="",F$23=""),"",IF(COUNTIFS('AFA Rates'!$A$5:$A$1004,$A200,'AFA Rates'!$B$5:$B$1004,F$23,'AFA Rates'!$O$5:$O$1004,"&lt;&gt;Expired")&gt;0,"✓",IF(COUNTIFS('AFA Rates'!$A$5:$A$1004,$A200,'AFA Rates'!$B$5:$B$1004,F$23)&gt;0,"Exp","")))</f>
        <v/>
      </c>
      <c r="G200" s="79">
        <f>IF(OR($A200="",G$23=""),"",IF(COUNTIFS('AFA Rates'!$A$5:$A$1004,$A200,'AFA Rates'!$B$5:$B$1004,G$23,'AFA Rates'!$O$5:$O$1004,"&lt;&gt;Expired")&gt;0,"✓",IF(COUNTIFS('AFA Rates'!$A$5:$A$1004,$A200,'AFA Rates'!$B$5:$B$1004,G$23)&gt;0,"Exp","")))</f>
        <v/>
      </c>
      <c r="H200" s="79">
        <f>IF(OR($A200="",H$23=""),"",IF(COUNTIFS('AFA Rates'!$A$5:$A$1004,$A200,'AFA Rates'!$B$5:$B$1004,H$23,'AFA Rates'!$O$5:$O$1004,"&lt;&gt;Expired")&gt;0,"✓",IF(COUNTIFS('AFA Rates'!$A$5:$A$1004,$A200,'AFA Rates'!$B$5:$B$1004,H$23)&gt;0,"Exp","")))</f>
        <v/>
      </c>
      <c r="I200" s="79">
        <f>IF(OR($A200="",I$23=""),"",IF(COUNTIFS('AFA Rates'!$A$5:$A$1004,$A200,'AFA Rates'!$B$5:$B$1004,I$23,'AFA Rates'!$O$5:$O$1004,"&lt;&gt;Expired")&gt;0,"✓",IF(COUNTIFS('AFA Rates'!$A$5:$A$1004,$A200,'AFA Rates'!$B$5:$B$1004,I$23)&gt;0,"Exp","")))</f>
        <v/>
      </c>
      <c r="J200" s="79">
        <f>IF(OR($A200="",J$23=""),"",IF(COUNTIFS('AFA Rates'!$A$5:$A$1004,$A200,'AFA Rates'!$B$5:$B$1004,J$23,'AFA Rates'!$O$5:$O$1004,"&lt;&gt;Expired")&gt;0,"✓",IF(COUNTIFS('AFA Rates'!$A$5:$A$1004,$A200,'AFA Rates'!$B$5:$B$1004,J$23)&gt;0,"Exp","")))</f>
        <v/>
      </c>
      <c r="K200" s="79">
        <f>IF(OR($A200="",K$23=""),"",IF(COUNTIFS('AFA Rates'!$A$5:$A$1004,$A200,'AFA Rates'!$B$5:$B$1004,K$23,'AFA Rates'!$O$5:$O$1004,"&lt;&gt;Expired")&gt;0,"✓",IF(COUNTIFS('AFA Rates'!$A$5:$A$1004,$A200,'AFA Rates'!$B$5:$B$1004,K$23)&gt;0,"Exp","")))</f>
        <v/>
      </c>
      <c r="L200" s="79">
        <f>IF(OR($A200="",L$23=""),"",IF(COUNTIFS('AFA Rates'!$A$5:$A$1004,$A200,'AFA Rates'!$B$5:$B$1004,L$23,'AFA Rates'!$O$5:$O$1004,"&lt;&gt;Expired")&gt;0,"✓",IF(COUNTIFS('AFA Rates'!$A$5:$A$1004,$A200,'AFA Rates'!$B$5:$B$1004,L$23)&gt;0,"Exp","")))</f>
        <v/>
      </c>
      <c r="M200" s="79">
        <f>IF(OR($A200="",M$23=""),"",IF(COUNTIFS('AFA Rates'!$A$5:$A$1004,$A200,'AFA Rates'!$B$5:$B$1004,M$23,'AFA Rates'!$O$5:$O$1004,"&lt;&gt;Expired")&gt;0,"✓",IF(COUNTIFS('AFA Rates'!$A$5:$A$1004,$A200,'AFA Rates'!$B$5:$B$1004,M$23)&gt;0,"Exp","")))</f>
        <v/>
      </c>
    </row>
    <row r="201">
      <c r="A201" s="78">
        <f>IFERROR(INDEX(Firms!$A$5:$A$1004,MATCH(178,Firms!$V$5:$V$1004,0)),"")</f>
        <v/>
      </c>
      <c r="B201" s="79">
        <f>IF($A201="","",INDEX(Firms!$B$5:$B$1004,MATCH(178,Firms!$V$5:$V$1004,0)))</f>
        <v/>
      </c>
      <c r="C201" s="79">
        <f>IF($A201="","",COUNTIFS('AFA Rates'!$A$5:$A$1004,$A201,'AFA Rates'!$O$5:$O$1004,"&lt;&gt;Expired"))</f>
        <v/>
      </c>
      <c r="D201" s="79">
        <f>IF(OR($A201="",D$23=""),"",IF(COUNTIFS('AFA Rates'!$A$5:$A$1004,$A201,'AFA Rates'!$B$5:$B$1004,D$23,'AFA Rates'!$O$5:$O$1004,"&lt;&gt;Expired")&gt;0,"✓",IF(COUNTIFS('AFA Rates'!$A$5:$A$1004,$A201,'AFA Rates'!$B$5:$B$1004,D$23)&gt;0,"Exp","")))</f>
        <v/>
      </c>
      <c r="E201" s="79">
        <f>IF(OR($A201="",E$23=""),"",IF(COUNTIFS('AFA Rates'!$A$5:$A$1004,$A201,'AFA Rates'!$B$5:$B$1004,E$23,'AFA Rates'!$O$5:$O$1004,"&lt;&gt;Expired")&gt;0,"✓",IF(COUNTIFS('AFA Rates'!$A$5:$A$1004,$A201,'AFA Rates'!$B$5:$B$1004,E$23)&gt;0,"Exp","")))</f>
        <v/>
      </c>
      <c r="F201" s="79">
        <f>IF(OR($A201="",F$23=""),"",IF(COUNTIFS('AFA Rates'!$A$5:$A$1004,$A201,'AFA Rates'!$B$5:$B$1004,F$23,'AFA Rates'!$O$5:$O$1004,"&lt;&gt;Expired")&gt;0,"✓",IF(COUNTIFS('AFA Rates'!$A$5:$A$1004,$A201,'AFA Rates'!$B$5:$B$1004,F$23)&gt;0,"Exp","")))</f>
        <v/>
      </c>
      <c r="G201" s="79">
        <f>IF(OR($A201="",G$23=""),"",IF(COUNTIFS('AFA Rates'!$A$5:$A$1004,$A201,'AFA Rates'!$B$5:$B$1004,G$23,'AFA Rates'!$O$5:$O$1004,"&lt;&gt;Expired")&gt;0,"✓",IF(COUNTIFS('AFA Rates'!$A$5:$A$1004,$A201,'AFA Rates'!$B$5:$B$1004,G$23)&gt;0,"Exp","")))</f>
        <v/>
      </c>
      <c r="H201" s="79">
        <f>IF(OR($A201="",H$23=""),"",IF(COUNTIFS('AFA Rates'!$A$5:$A$1004,$A201,'AFA Rates'!$B$5:$B$1004,H$23,'AFA Rates'!$O$5:$O$1004,"&lt;&gt;Expired")&gt;0,"✓",IF(COUNTIFS('AFA Rates'!$A$5:$A$1004,$A201,'AFA Rates'!$B$5:$B$1004,H$23)&gt;0,"Exp","")))</f>
        <v/>
      </c>
      <c r="I201" s="79">
        <f>IF(OR($A201="",I$23=""),"",IF(COUNTIFS('AFA Rates'!$A$5:$A$1004,$A201,'AFA Rates'!$B$5:$B$1004,I$23,'AFA Rates'!$O$5:$O$1004,"&lt;&gt;Expired")&gt;0,"✓",IF(COUNTIFS('AFA Rates'!$A$5:$A$1004,$A201,'AFA Rates'!$B$5:$B$1004,I$23)&gt;0,"Exp","")))</f>
        <v/>
      </c>
      <c r="J201" s="79">
        <f>IF(OR($A201="",J$23=""),"",IF(COUNTIFS('AFA Rates'!$A$5:$A$1004,$A201,'AFA Rates'!$B$5:$B$1004,J$23,'AFA Rates'!$O$5:$O$1004,"&lt;&gt;Expired")&gt;0,"✓",IF(COUNTIFS('AFA Rates'!$A$5:$A$1004,$A201,'AFA Rates'!$B$5:$B$1004,J$23)&gt;0,"Exp","")))</f>
        <v/>
      </c>
      <c r="K201" s="79">
        <f>IF(OR($A201="",K$23=""),"",IF(COUNTIFS('AFA Rates'!$A$5:$A$1004,$A201,'AFA Rates'!$B$5:$B$1004,K$23,'AFA Rates'!$O$5:$O$1004,"&lt;&gt;Expired")&gt;0,"✓",IF(COUNTIFS('AFA Rates'!$A$5:$A$1004,$A201,'AFA Rates'!$B$5:$B$1004,K$23)&gt;0,"Exp","")))</f>
        <v/>
      </c>
      <c r="L201" s="79">
        <f>IF(OR($A201="",L$23=""),"",IF(COUNTIFS('AFA Rates'!$A$5:$A$1004,$A201,'AFA Rates'!$B$5:$B$1004,L$23,'AFA Rates'!$O$5:$O$1004,"&lt;&gt;Expired")&gt;0,"✓",IF(COUNTIFS('AFA Rates'!$A$5:$A$1004,$A201,'AFA Rates'!$B$5:$B$1004,L$23)&gt;0,"Exp","")))</f>
        <v/>
      </c>
      <c r="M201" s="79">
        <f>IF(OR($A201="",M$23=""),"",IF(COUNTIFS('AFA Rates'!$A$5:$A$1004,$A201,'AFA Rates'!$B$5:$B$1004,M$23,'AFA Rates'!$O$5:$O$1004,"&lt;&gt;Expired")&gt;0,"✓",IF(COUNTIFS('AFA Rates'!$A$5:$A$1004,$A201,'AFA Rates'!$B$5:$B$1004,M$23)&gt;0,"Exp","")))</f>
        <v/>
      </c>
    </row>
    <row r="202">
      <c r="A202" s="78">
        <f>IFERROR(INDEX(Firms!$A$5:$A$1004,MATCH(179,Firms!$V$5:$V$1004,0)),"")</f>
        <v/>
      </c>
      <c r="B202" s="79">
        <f>IF($A202="","",INDEX(Firms!$B$5:$B$1004,MATCH(179,Firms!$V$5:$V$1004,0)))</f>
        <v/>
      </c>
      <c r="C202" s="79">
        <f>IF($A202="","",COUNTIFS('AFA Rates'!$A$5:$A$1004,$A202,'AFA Rates'!$O$5:$O$1004,"&lt;&gt;Expired"))</f>
        <v/>
      </c>
      <c r="D202" s="79">
        <f>IF(OR($A202="",D$23=""),"",IF(COUNTIFS('AFA Rates'!$A$5:$A$1004,$A202,'AFA Rates'!$B$5:$B$1004,D$23,'AFA Rates'!$O$5:$O$1004,"&lt;&gt;Expired")&gt;0,"✓",IF(COUNTIFS('AFA Rates'!$A$5:$A$1004,$A202,'AFA Rates'!$B$5:$B$1004,D$23)&gt;0,"Exp","")))</f>
        <v/>
      </c>
      <c r="E202" s="79">
        <f>IF(OR($A202="",E$23=""),"",IF(COUNTIFS('AFA Rates'!$A$5:$A$1004,$A202,'AFA Rates'!$B$5:$B$1004,E$23,'AFA Rates'!$O$5:$O$1004,"&lt;&gt;Expired")&gt;0,"✓",IF(COUNTIFS('AFA Rates'!$A$5:$A$1004,$A202,'AFA Rates'!$B$5:$B$1004,E$23)&gt;0,"Exp","")))</f>
        <v/>
      </c>
      <c r="F202" s="79">
        <f>IF(OR($A202="",F$23=""),"",IF(COUNTIFS('AFA Rates'!$A$5:$A$1004,$A202,'AFA Rates'!$B$5:$B$1004,F$23,'AFA Rates'!$O$5:$O$1004,"&lt;&gt;Expired")&gt;0,"✓",IF(COUNTIFS('AFA Rates'!$A$5:$A$1004,$A202,'AFA Rates'!$B$5:$B$1004,F$23)&gt;0,"Exp","")))</f>
        <v/>
      </c>
      <c r="G202" s="79">
        <f>IF(OR($A202="",G$23=""),"",IF(COUNTIFS('AFA Rates'!$A$5:$A$1004,$A202,'AFA Rates'!$B$5:$B$1004,G$23,'AFA Rates'!$O$5:$O$1004,"&lt;&gt;Expired")&gt;0,"✓",IF(COUNTIFS('AFA Rates'!$A$5:$A$1004,$A202,'AFA Rates'!$B$5:$B$1004,G$23)&gt;0,"Exp","")))</f>
        <v/>
      </c>
      <c r="H202" s="79">
        <f>IF(OR($A202="",H$23=""),"",IF(COUNTIFS('AFA Rates'!$A$5:$A$1004,$A202,'AFA Rates'!$B$5:$B$1004,H$23,'AFA Rates'!$O$5:$O$1004,"&lt;&gt;Expired")&gt;0,"✓",IF(COUNTIFS('AFA Rates'!$A$5:$A$1004,$A202,'AFA Rates'!$B$5:$B$1004,H$23)&gt;0,"Exp","")))</f>
        <v/>
      </c>
      <c r="I202" s="79">
        <f>IF(OR($A202="",I$23=""),"",IF(COUNTIFS('AFA Rates'!$A$5:$A$1004,$A202,'AFA Rates'!$B$5:$B$1004,I$23,'AFA Rates'!$O$5:$O$1004,"&lt;&gt;Expired")&gt;0,"✓",IF(COUNTIFS('AFA Rates'!$A$5:$A$1004,$A202,'AFA Rates'!$B$5:$B$1004,I$23)&gt;0,"Exp","")))</f>
        <v/>
      </c>
      <c r="J202" s="79">
        <f>IF(OR($A202="",J$23=""),"",IF(COUNTIFS('AFA Rates'!$A$5:$A$1004,$A202,'AFA Rates'!$B$5:$B$1004,J$23,'AFA Rates'!$O$5:$O$1004,"&lt;&gt;Expired")&gt;0,"✓",IF(COUNTIFS('AFA Rates'!$A$5:$A$1004,$A202,'AFA Rates'!$B$5:$B$1004,J$23)&gt;0,"Exp","")))</f>
        <v/>
      </c>
      <c r="K202" s="79">
        <f>IF(OR($A202="",K$23=""),"",IF(COUNTIFS('AFA Rates'!$A$5:$A$1004,$A202,'AFA Rates'!$B$5:$B$1004,K$23,'AFA Rates'!$O$5:$O$1004,"&lt;&gt;Expired")&gt;0,"✓",IF(COUNTIFS('AFA Rates'!$A$5:$A$1004,$A202,'AFA Rates'!$B$5:$B$1004,K$23)&gt;0,"Exp","")))</f>
        <v/>
      </c>
      <c r="L202" s="79">
        <f>IF(OR($A202="",L$23=""),"",IF(COUNTIFS('AFA Rates'!$A$5:$A$1004,$A202,'AFA Rates'!$B$5:$B$1004,L$23,'AFA Rates'!$O$5:$O$1004,"&lt;&gt;Expired")&gt;0,"✓",IF(COUNTIFS('AFA Rates'!$A$5:$A$1004,$A202,'AFA Rates'!$B$5:$B$1004,L$23)&gt;0,"Exp","")))</f>
        <v/>
      </c>
      <c r="M202" s="79">
        <f>IF(OR($A202="",M$23=""),"",IF(COUNTIFS('AFA Rates'!$A$5:$A$1004,$A202,'AFA Rates'!$B$5:$B$1004,M$23,'AFA Rates'!$O$5:$O$1004,"&lt;&gt;Expired")&gt;0,"✓",IF(COUNTIFS('AFA Rates'!$A$5:$A$1004,$A202,'AFA Rates'!$B$5:$B$1004,M$23)&gt;0,"Exp","")))</f>
        <v/>
      </c>
    </row>
    <row r="203">
      <c r="A203" s="78">
        <f>IFERROR(INDEX(Firms!$A$5:$A$1004,MATCH(180,Firms!$V$5:$V$1004,0)),"")</f>
        <v/>
      </c>
      <c r="B203" s="79">
        <f>IF($A203="","",INDEX(Firms!$B$5:$B$1004,MATCH(180,Firms!$V$5:$V$1004,0)))</f>
        <v/>
      </c>
      <c r="C203" s="79">
        <f>IF($A203="","",COUNTIFS('AFA Rates'!$A$5:$A$1004,$A203,'AFA Rates'!$O$5:$O$1004,"&lt;&gt;Expired"))</f>
        <v/>
      </c>
      <c r="D203" s="79">
        <f>IF(OR($A203="",D$23=""),"",IF(COUNTIFS('AFA Rates'!$A$5:$A$1004,$A203,'AFA Rates'!$B$5:$B$1004,D$23,'AFA Rates'!$O$5:$O$1004,"&lt;&gt;Expired")&gt;0,"✓",IF(COUNTIFS('AFA Rates'!$A$5:$A$1004,$A203,'AFA Rates'!$B$5:$B$1004,D$23)&gt;0,"Exp","")))</f>
        <v/>
      </c>
      <c r="E203" s="79">
        <f>IF(OR($A203="",E$23=""),"",IF(COUNTIFS('AFA Rates'!$A$5:$A$1004,$A203,'AFA Rates'!$B$5:$B$1004,E$23,'AFA Rates'!$O$5:$O$1004,"&lt;&gt;Expired")&gt;0,"✓",IF(COUNTIFS('AFA Rates'!$A$5:$A$1004,$A203,'AFA Rates'!$B$5:$B$1004,E$23)&gt;0,"Exp","")))</f>
        <v/>
      </c>
      <c r="F203" s="79">
        <f>IF(OR($A203="",F$23=""),"",IF(COUNTIFS('AFA Rates'!$A$5:$A$1004,$A203,'AFA Rates'!$B$5:$B$1004,F$23,'AFA Rates'!$O$5:$O$1004,"&lt;&gt;Expired")&gt;0,"✓",IF(COUNTIFS('AFA Rates'!$A$5:$A$1004,$A203,'AFA Rates'!$B$5:$B$1004,F$23)&gt;0,"Exp","")))</f>
        <v/>
      </c>
      <c r="G203" s="79">
        <f>IF(OR($A203="",G$23=""),"",IF(COUNTIFS('AFA Rates'!$A$5:$A$1004,$A203,'AFA Rates'!$B$5:$B$1004,G$23,'AFA Rates'!$O$5:$O$1004,"&lt;&gt;Expired")&gt;0,"✓",IF(COUNTIFS('AFA Rates'!$A$5:$A$1004,$A203,'AFA Rates'!$B$5:$B$1004,G$23)&gt;0,"Exp","")))</f>
        <v/>
      </c>
      <c r="H203" s="79">
        <f>IF(OR($A203="",H$23=""),"",IF(COUNTIFS('AFA Rates'!$A$5:$A$1004,$A203,'AFA Rates'!$B$5:$B$1004,H$23,'AFA Rates'!$O$5:$O$1004,"&lt;&gt;Expired")&gt;0,"✓",IF(COUNTIFS('AFA Rates'!$A$5:$A$1004,$A203,'AFA Rates'!$B$5:$B$1004,H$23)&gt;0,"Exp","")))</f>
        <v/>
      </c>
      <c r="I203" s="79">
        <f>IF(OR($A203="",I$23=""),"",IF(COUNTIFS('AFA Rates'!$A$5:$A$1004,$A203,'AFA Rates'!$B$5:$B$1004,I$23,'AFA Rates'!$O$5:$O$1004,"&lt;&gt;Expired")&gt;0,"✓",IF(COUNTIFS('AFA Rates'!$A$5:$A$1004,$A203,'AFA Rates'!$B$5:$B$1004,I$23)&gt;0,"Exp","")))</f>
        <v/>
      </c>
      <c r="J203" s="79">
        <f>IF(OR($A203="",J$23=""),"",IF(COUNTIFS('AFA Rates'!$A$5:$A$1004,$A203,'AFA Rates'!$B$5:$B$1004,J$23,'AFA Rates'!$O$5:$O$1004,"&lt;&gt;Expired")&gt;0,"✓",IF(COUNTIFS('AFA Rates'!$A$5:$A$1004,$A203,'AFA Rates'!$B$5:$B$1004,J$23)&gt;0,"Exp","")))</f>
        <v/>
      </c>
      <c r="K203" s="79">
        <f>IF(OR($A203="",K$23=""),"",IF(COUNTIFS('AFA Rates'!$A$5:$A$1004,$A203,'AFA Rates'!$B$5:$B$1004,K$23,'AFA Rates'!$O$5:$O$1004,"&lt;&gt;Expired")&gt;0,"✓",IF(COUNTIFS('AFA Rates'!$A$5:$A$1004,$A203,'AFA Rates'!$B$5:$B$1004,K$23)&gt;0,"Exp","")))</f>
        <v/>
      </c>
      <c r="L203" s="79">
        <f>IF(OR($A203="",L$23=""),"",IF(COUNTIFS('AFA Rates'!$A$5:$A$1004,$A203,'AFA Rates'!$B$5:$B$1004,L$23,'AFA Rates'!$O$5:$O$1004,"&lt;&gt;Expired")&gt;0,"✓",IF(COUNTIFS('AFA Rates'!$A$5:$A$1004,$A203,'AFA Rates'!$B$5:$B$1004,L$23)&gt;0,"Exp","")))</f>
        <v/>
      </c>
      <c r="M203" s="79">
        <f>IF(OR($A203="",M$23=""),"",IF(COUNTIFS('AFA Rates'!$A$5:$A$1004,$A203,'AFA Rates'!$B$5:$B$1004,M$23,'AFA Rates'!$O$5:$O$1004,"&lt;&gt;Expired")&gt;0,"✓",IF(COUNTIFS('AFA Rates'!$A$5:$A$1004,$A203,'AFA Rates'!$B$5:$B$1004,M$23)&gt;0,"Exp","")))</f>
        <v/>
      </c>
    </row>
    <row r="204">
      <c r="A204" s="78">
        <f>IFERROR(INDEX(Firms!$A$5:$A$1004,MATCH(181,Firms!$V$5:$V$1004,0)),"")</f>
        <v/>
      </c>
      <c r="B204" s="79">
        <f>IF($A204="","",INDEX(Firms!$B$5:$B$1004,MATCH(181,Firms!$V$5:$V$1004,0)))</f>
        <v/>
      </c>
      <c r="C204" s="79">
        <f>IF($A204="","",COUNTIFS('AFA Rates'!$A$5:$A$1004,$A204,'AFA Rates'!$O$5:$O$1004,"&lt;&gt;Expired"))</f>
        <v/>
      </c>
      <c r="D204" s="79">
        <f>IF(OR($A204="",D$23=""),"",IF(COUNTIFS('AFA Rates'!$A$5:$A$1004,$A204,'AFA Rates'!$B$5:$B$1004,D$23,'AFA Rates'!$O$5:$O$1004,"&lt;&gt;Expired")&gt;0,"✓",IF(COUNTIFS('AFA Rates'!$A$5:$A$1004,$A204,'AFA Rates'!$B$5:$B$1004,D$23)&gt;0,"Exp","")))</f>
        <v/>
      </c>
      <c r="E204" s="79">
        <f>IF(OR($A204="",E$23=""),"",IF(COUNTIFS('AFA Rates'!$A$5:$A$1004,$A204,'AFA Rates'!$B$5:$B$1004,E$23,'AFA Rates'!$O$5:$O$1004,"&lt;&gt;Expired")&gt;0,"✓",IF(COUNTIFS('AFA Rates'!$A$5:$A$1004,$A204,'AFA Rates'!$B$5:$B$1004,E$23)&gt;0,"Exp","")))</f>
        <v/>
      </c>
      <c r="F204" s="79">
        <f>IF(OR($A204="",F$23=""),"",IF(COUNTIFS('AFA Rates'!$A$5:$A$1004,$A204,'AFA Rates'!$B$5:$B$1004,F$23,'AFA Rates'!$O$5:$O$1004,"&lt;&gt;Expired")&gt;0,"✓",IF(COUNTIFS('AFA Rates'!$A$5:$A$1004,$A204,'AFA Rates'!$B$5:$B$1004,F$23)&gt;0,"Exp","")))</f>
        <v/>
      </c>
      <c r="G204" s="79">
        <f>IF(OR($A204="",G$23=""),"",IF(COUNTIFS('AFA Rates'!$A$5:$A$1004,$A204,'AFA Rates'!$B$5:$B$1004,G$23,'AFA Rates'!$O$5:$O$1004,"&lt;&gt;Expired")&gt;0,"✓",IF(COUNTIFS('AFA Rates'!$A$5:$A$1004,$A204,'AFA Rates'!$B$5:$B$1004,G$23)&gt;0,"Exp","")))</f>
        <v/>
      </c>
      <c r="H204" s="79">
        <f>IF(OR($A204="",H$23=""),"",IF(COUNTIFS('AFA Rates'!$A$5:$A$1004,$A204,'AFA Rates'!$B$5:$B$1004,H$23,'AFA Rates'!$O$5:$O$1004,"&lt;&gt;Expired")&gt;0,"✓",IF(COUNTIFS('AFA Rates'!$A$5:$A$1004,$A204,'AFA Rates'!$B$5:$B$1004,H$23)&gt;0,"Exp","")))</f>
        <v/>
      </c>
      <c r="I204" s="79">
        <f>IF(OR($A204="",I$23=""),"",IF(COUNTIFS('AFA Rates'!$A$5:$A$1004,$A204,'AFA Rates'!$B$5:$B$1004,I$23,'AFA Rates'!$O$5:$O$1004,"&lt;&gt;Expired")&gt;0,"✓",IF(COUNTIFS('AFA Rates'!$A$5:$A$1004,$A204,'AFA Rates'!$B$5:$B$1004,I$23)&gt;0,"Exp","")))</f>
        <v/>
      </c>
      <c r="J204" s="79">
        <f>IF(OR($A204="",J$23=""),"",IF(COUNTIFS('AFA Rates'!$A$5:$A$1004,$A204,'AFA Rates'!$B$5:$B$1004,J$23,'AFA Rates'!$O$5:$O$1004,"&lt;&gt;Expired")&gt;0,"✓",IF(COUNTIFS('AFA Rates'!$A$5:$A$1004,$A204,'AFA Rates'!$B$5:$B$1004,J$23)&gt;0,"Exp","")))</f>
        <v/>
      </c>
      <c r="K204" s="79">
        <f>IF(OR($A204="",K$23=""),"",IF(COUNTIFS('AFA Rates'!$A$5:$A$1004,$A204,'AFA Rates'!$B$5:$B$1004,K$23,'AFA Rates'!$O$5:$O$1004,"&lt;&gt;Expired")&gt;0,"✓",IF(COUNTIFS('AFA Rates'!$A$5:$A$1004,$A204,'AFA Rates'!$B$5:$B$1004,K$23)&gt;0,"Exp","")))</f>
        <v/>
      </c>
      <c r="L204" s="79">
        <f>IF(OR($A204="",L$23=""),"",IF(COUNTIFS('AFA Rates'!$A$5:$A$1004,$A204,'AFA Rates'!$B$5:$B$1004,L$23,'AFA Rates'!$O$5:$O$1004,"&lt;&gt;Expired")&gt;0,"✓",IF(COUNTIFS('AFA Rates'!$A$5:$A$1004,$A204,'AFA Rates'!$B$5:$B$1004,L$23)&gt;0,"Exp","")))</f>
        <v/>
      </c>
      <c r="M204" s="79">
        <f>IF(OR($A204="",M$23=""),"",IF(COUNTIFS('AFA Rates'!$A$5:$A$1004,$A204,'AFA Rates'!$B$5:$B$1004,M$23,'AFA Rates'!$O$5:$O$1004,"&lt;&gt;Expired")&gt;0,"✓",IF(COUNTIFS('AFA Rates'!$A$5:$A$1004,$A204,'AFA Rates'!$B$5:$B$1004,M$23)&gt;0,"Exp","")))</f>
        <v/>
      </c>
    </row>
    <row r="205">
      <c r="A205" s="78">
        <f>IFERROR(INDEX(Firms!$A$5:$A$1004,MATCH(182,Firms!$V$5:$V$1004,0)),"")</f>
        <v/>
      </c>
      <c r="B205" s="79">
        <f>IF($A205="","",INDEX(Firms!$B$5:$B$1004,MATCH(182,Firms!$V$5:$V$1004,0)))</f>
        <v/>
      </c>
      <c r="C205" s="79">
        <f>IF($A205="","",COUNTIFS('AFA Rates'!$A$5:$A$1004,$A205,'AFA Rates'!$O$5:$O$1004,"&lt;&gt;Expired"))</f>
        <v/>
      </c>
      <c r="D205" s="79">
        <f>IF(OR($A205="",D$23=""),"",IF(COUNTIFS('AFA Rates'!$A$5:$A$1004,$A205,'AFA Rates'!$B$5:$B$1004,D$23,'AFA Rates'!$O$5:$O$1004,"&lt;&gt;Expired")&gt;0,"✓",IF(COUNTIFS('AFA Rates'!$A$5:$A$1004,$A205,'AFA Rates'!$B$5:$B$1004,D$23)&gt;0,"Exp","")))</f>
        <v/>
      </c>
      <c r="E205" s="79">
        <f>IF(OR($A205="",E$23=""),"",IF(COUNTIFS('AFA Rates'!$A$5:$A$1004,$A205,'AFA Rates'!$B$5:$B$1004,E$23,'AFA Rates'!$O$5:$O$1004,"&lt;&gt;Expired")&gt;0,"✓",IF(COUNTIFS('AFA Rates'!$A$5:$A$1004,$A205,'AFA Rates'!$B$5:$B$1004,E$23)&gt;0,"Exp","")))</f>
        <v/>
      </c>
      <c r="F205" s="79">
        <f>IF(OR($A205="",F$23=""),"",IF(COUNTIFS('AFA Rates'!$A$5:$A$1004,$A205,'AFA Rates'!$B$5:$B$1004,F$23,'AFA Rates'!$O$5:$O$1004,"&lt;&gt;Expired")&gt;0,"✓",IF(COUNTIFS('AFA Rates'!$A$5:$A$1004,$A205,'AFA Rates'!$B$5:$B$1004,F$23)&gt;0,"Exp","")))</f>
        <v/>
      </c>
      <c r="G205" s="79">
        <f>IF(OR($A205="",G$23=""),"",IF(COUNTIFS('AFA Rates'!$A$5:$A$1004,$A205,'AFA Rates'!$B$5:$B$1004,G$23,'AFA Rates'!$O$5:$O$1004,"&lt;&gt;Expired")&gt;0,"✓",IF(COUNTIFS('AFA Rates'!$A$5:$A$1004,$A205,'AFA Rates'!$B$5:$B$1004,G$23)&gt;0,"Exp","")))</f>
        <v/>
      </c>
      <c r="H205" s="79">
        <f>IF(OR($A205="",H$23=""),"",IF(COUNTIFS('AFA Rates'!$A$5:$A$1004,$A205,'AFA Rates'!$B$5:$B$1004,H$23,'AFA Rates'!$O$5:$O$1004,"&lt;&gt;Expired")&gt;0,"✓",IF(COUNTIFS('AFA Rates'!$A$5:$A$1004,$A205,'AFA Rates'!$B$5:$B$1004,H$23)&gt;0,"Exp","")))</f>
        <v/>
      </c>
      <c r="I205" s="79">
        <f>IF(OR($A205="",I$23=""),"",IF(COUNTIFS('AFA Rates'!$A$5:$A$1004,$A205,'AFA Rates'!$B$5:$B$1004,I$23,'AFA Rates'!$O$5:$O$1004,"&lt;&gt;Expired")&gt;0,"✓",IF(COUNTIFS('AFA Rates'!$A$5:$A$1004,$A205,'AFA Rates'!$B$5:$B$1004,I$23)&gt;0,"Exp","")))</f>
        <v/>
      </c>
      <c r="J205" s="79">
        <f>IF(OR($A205="",J$23=""),"",IF(COUNTIFS('AFA Rates'!$A$5:$A$1004,$A205,'AFA Rates'!$B$5:$B$1004,J$23,'AFA Rates'!$O$5:$O$1004,"&lt;&gt;Expired")&gt;0,"✓",IF(COUNTIFS('AFA Rates'!$A$5:$A$1004,$A205,'AFA Rates'!$B$5:$B$1004,J$23)&gt;0,"Exp","")))</f>
        <v/>
      </c>
      <c r="K205" s="79">
        <f>IF(OR($A205="",K$23=""),"",IF(COUNTIFS('AFA Rates'!$A$5:$A$1004,$A205,'AFA Rates'!$B$5:$B$1004,K$23,'AFA Rates'!$O$5:$O$1004,"&lt;&gt;Expired")&gt;0,"✓",IF(COUNTIFS('AFA Rates'!$A$5:$A$1004,$A205,'AFA Rates'!$B$5:$B$1004,K$23)&gt;0,"Exp","")))</f>
        <v/>
      </c>
      <c r="L205" s="79">
        <f>IF(OR($A205="",L$23=""),"",IF(COUNTIFS('AFA Rates'!$A$5:$A$1004,$A205,'AFA Rates'!$B$5:$B$1004,L$23,'AFA Rates'!$O$5:$O$1004,"&lt;&gt;Expired")&gt;0,"✓",IF(COUNTIFS('AFA Rates'!$A$5:$A$1004,$A205,'AFA Rates'!$B$5:$B$1004,L$23)&gt;0,"Exp","")))</f>
        <v/>
      </c>
      <c r="M205" s="79">
        <f>IF(OR($A205="",M$23=""),"",IF(COUNTIFS('AFA Rates'!$A$5:$A$1004,$A205,'AFA Rates'!$B$5:$B$1004,M$23,'AFA Rates'!$O$5:$O$1004,"&lt;&gt;Expired")&gt;0,"✓",IF(COUNTIFS('AFA Rates'!$A$5:$A$1004,$A205,'AFA Rates'!$B$5:$B$1004,M$23)&gt;0,"Exp","")))</f>
        <v/>
      </c>
    </row>
    <row r="206">
      <c r="A206" s="78">
        <f>IFERROR(INDEX(Firms!$A$5:$A$1004,MATCH(183,Firms!$V$5:$V$1004,0)),"")</f>
        <v/>
      </c>
      <c r="B206" s="79">
        <f>IF($A206="","",INDEX(Firms!$B$5:$B$1004,MATCH(183,Firms!$V$5:$V$1004,0)))</f>
        <v/>
      </c>
      <c r="C206" s="79">
        <f>IF($A206="","",COUNTIFS('AFA Rates'!$A$5:$A$1004,$A206,'AFA Rates'!$O$5:$O$1004,"&lt;&gt;Expired"))</f>
        <v/>
      </c>
      <c r="D206" s="79">
        <f>IF(OR($A206="",D$23=""),"",IF(COUNTIFS('AFA Rates'!$A$5:$A$1004,$A206,'AFA Rates'!$B$5:$B$1004,D$23,'AFA Rates'!$O$5:$O$1004,"&lt;&gt;Expired")&gt;0,"✓",IF(COUNTIFS('AFA Rates'!$A$5:$A$1004,$A206,'AFA Rates'!$B$5:$B$1004,D$23)&gt;0,"Exp","")))</f>
        <v/>
      </c>
      <c r="E206" s="79">
        <f>IF(OR($A206="",E$23=""),"",IF(COUNTIFS('AFA Rates'!$A$5:$A$1004,$A206,'AFA Rates'!$B$5:$B$1004,E$23,'AFA Rates'!$O$5:$O$1004,"&lt;&gt;Expired")&gt;0,"✓",IF(COUNTIFS('AFA Rates'!$A$5:$A$1004,$A206,'AFA Rates'!$B$5:$B$1004,E$23)&gt;0,"Exp","")))</f>
        <v/>
      </c>
      <c r="F206" s="79">
        <f>IF(OR($A206="",F$23=""),"",IF(COUNTIFS('AFA Rates'!$A$5:$A$1004,$A206,'AFA Rates'!$B$5:$B$1004,F$23,'AFA Rates'!$O$5:$O$1004,"&lt;&gt;Expired")&gt;0,"✓",IF(COUNTIFS('AFA Rates'!$A$5:$A$1004,$A206,'AFA Rates'!$B$5:$B$1004,F$23)&gt;0,"Exp","")))</f>
        <v/>
      </c>
      <c r="G206" s="79">
        <f>IF(OR($A206="",G$23=""),"",IF(COUNTIFS('AFA Rates'!$A$5:$A$1004,$A206,'AFA Rates'!$B$5:$B$1004,G$23,'AFA Rates'!$O$5:$O$1004,"&lt;&gt;Expired")&gt;0,"✓",IF(COUNTIFS('AFA Rates'!$A$5:$A$1004,$A206,'AFA Rates'!$B$5:$B$1004,G$23)&gt;0,"Exp","")))</f>
        <v/>
      </c>
      <c r="H206" s="79">
        <f>IF(OR($A206="",H$23=""),"",IF(COUNTIFS('AFA Rates'!$A$5:$A$1004,$A206,'AFA Rates'!$B$5:$B$1004,H$23,'AFA Rates'!$O$5:$O$1004,"&lt;&gt;Expired")&gt;0,"✓",IF(COUNTIFS('AFA Rates'!$A$5:$A$1004,$A206,'AFA Rates'!$B$5:$B$1004,H$23)&gt;0,"Exp","")))</f>
        <v/>
      </c>
      <c r="I206" s="79">
        <f>IF(OR($A206="",I$23=""),"",IF(COUNTIFS('AFA Rates'!$A$5:$A$1004,$A206,'AFA Rates'!$B$5:$B$1004,I$23,'AFA Rates'!$O$5:$O$1004,"&lt;&gt;Expired")&gt;0,"✓",IF(COUNTIFS('AFA Rates'!$A$5:$A$1004,$A206,'AFA Rates'!$B$5:$B$1004,I$23)&gt;0,"Exp","")))</f>
        <v/>
      </c>
      <c r="J206" s="79">
        <f>IF(OR($A206="",J$23=""),"",IF(COUNTIFS('AFA Rates'!$A$5:$A$1004,$A206,'AFA Rates'!$B$5:$B$1004,J$23,'AFA Rates'!$O$5:$O$1004,"&lt;&gt;Expired")&gt;0,"✓",IF(COUNTIFS('AFA Rates'!$A$5:$A$1004,$A206,'AFA Rates'!$B$5:$B$1004,J$23)&gt;0,"Exp","")))</f>
        <v/>
      </c>
      <c r="K206" s="79">
        <f>IF(OR($A206="",K$23=""),"",IF(COUNTIFS('AFA Rates'!$A$5:$A$1004,$A206,'AFA Rates'!$B$5:$B$1004,K$23,'AFA Rates'!$O$5:$O$1004,"&lt;&gt;Expired")&gt;0,"✓",IF(COUNTIFS('AFA Rates'!$A$5:$A$1004,$A206,'AFA Rates'!$B$5:$B$1004,K$23)&gt;0,"Exp","")))</f>
        <v/>
      </c>
      <c r="L206" s="79">
        <f>IF(OR($A206="",L$23=""),"",IF(COUNTIFS('AFA Rates'!$A$5:$A$1004,$A206,'AFA Rates'!$B$5:$B$1004,L$23,'AFA Rates'!$O$5:$O$1004,"&lt;&gt;Expired")&gt;0,"✓",IF(COUNTIFS('AFA Rates'!$A$5:$A$1004,$A206,'AFA Rates'!$B$5:$B$1004,L$23)&gt;0,"Exp","")))</f>
        <v/>
      </c>
      <c r="M206" s="79">
        <f>IF(OR($A206="",M$23=""),"",IF(COUNTIFS('AFA Rates'!$A$5:$A$1004,$A206,'AFA Rates'!$B$5:$B$1004,M$23,'AFA Rates'!$O$5:$O$1004,"&lt;&gt;Expired")&gt;0,"✓",IF(COUNTIFS('AFA Rates'!$A$5:$A$1004,$A206,'AFA Rates'!$B$5:$B$1004,M$23)&gt;0,"Exp","")))</f>
        <v/>
      </c>
    </row>
    <row r="207">
      <c r="A207" s="78">
        <f>IFERROR(INDEX(Firms!$A$5:$A$1004,MATCH(184,Firms!$V$5:$V$1004,0)),"")</f>
        <v/>
      </c>
      <c r="B207" s="79">
        <f>IF($A207="","",INDEX(Firms!$B$5:$B$1004,MATCH(184,Firms!$V$5:$V$1004,0)))</f>
        <v/>
      </c>
      <c r="C207" s="79">
        <f>IF($A207="","",COUNTIFS('AFA Rates'!$A$5:$A$1004,$A207,'AFA Rates'!$O$5:$O$1004,"&lt;&gt;Expired"))</f>
        <v/>
      </c>
      <c r="D207" s="79">
        <f>IF(OR($A207="",D$23=""),"",IF(COUNTIFS('AFA Rates'!$A$5:$A$1004,$A207,'AFA Rates'!$B$5:$B$1004,D$23,'AFA Rates'!$O$5:$O$1004,"&lt;&gt;Expired")&gt;0,"✓",IF(COUNTIFS('AFA Rates'!$A$5:$A$1004,$A207,'AFA Rates'!$B$5:$B$1004,D$23)&gt;0,"Exp","")))</f>
        <v/>
      </c>
      <c r="E207" s="79">
        <f>IF(OR($A207="",E$23=""),"",IF(COUNTIFS('AFA Rates'!$A$5:$A$1004,$A207,'AFA Rates'!$B$5:$B$1004,E$23,'AFA Rates'!$O$5:$O$1004,"&lt;&gt;Expired")&gt;0,"✓",IF(COUNTIFS('AFA Rates'!$A$5:$A$1004,$A207,'AFA Rates'!$B$5:$B$1004,E$23)&gt;0,"Exp","")))</f>
        <v/>
      </c>
      <c r="F207" s="79">
        <f>IF(OR($A207="",F$23=""),"",IF(COUNTIFS('AFA Rates'!$A$5:$A$1004,$A207,'AFA Rates'!$B$5:$B$1004,F$23,'AFA Rates'!$O$5:$O$1004,"&lt;&gt;Expired")&gt;0,"✓",IF(COUNTIFS('AFA Rates'!$A$5:$A$1004,$A207,'AFA Rates'!$B$5:$B$1004,F$23)&gt;0,"Exp","")))</f>
        <v/>
      </c>
      <c r="G207" s="79">
        <f>IF(OR($A207="",G$23=""),"",IF(COUNTIFS('AFA Rates'!$A$5:$A$1004,$A207,'AFA Rates'!$B$5:$B$1004,G$23,'AFA Rates'!$O$5:$O$1004,"&lt;&gt;Expired")&gt;0,"✓",IF(COUNTIFS('AFA Rates'!$A$5:$A$1004,$A207,'AFA Rates'!$B$5:$B$1004,G$23)&gt;0,"Exp","")))</f>
        <v/>
      </c>
      <c r="H207" s="79">
        <f>IF(OR($A207="",H$23=""),"",IF(COUNTIFS('AFA Rates'!$A$5:$A$1004,$A207,'AFA Rates'!$B$5:$B$1004,H$23,'AFA Rates'!$O$5:$O$1004,"&lt;&gt;Expired")&gt;0,"✓",IF(COUNTIFS('AFA Rates'!$A$5:$A$1004,$A207,'AFA Rates'!$B$5:$B$1004,H$23)&gt;0,"Exp","")))</f>
        <v/>
      </c>
      <c r="I207" s="79">
        <f>IF(OR($A207="",I$23=""),"",IF(COUNTIFS('AFA Rates'!$A$5:$A$1004,$A207,'AFA Rates'!$B$5:$B$1004,I$23,'AFA Rates'!$O$5:$O$1004,"&lt;&gt;Expired")&gt;0,"✓",IF(COUNTIFS('AFA Rates'!$A$5:$A$1004,$A207,'AFA Rates'!$B$5:$B$1004,I$23)&gt;0,"Exp","")))</f>
        <v/>
      </c>
      <c r="J207" s="79">
        <f>IF(OR($A207="",J$23=""),"",IF(COUNTIFS('AFA Rates'!$A$5:$A$1004,$A207,'AFA Rates'!$B$5:$B$1004,J$23,'AFA Rates'!$O$5:$O$1004,"&lt;&gt;Expired")&gt;0,"✓",IF(COUNTIFS('AFA Rates'!$A$5:$A$1004,$A207,'AFA Rates'!$B$5:$B$1004,J$23)&gt;0,"Exp","")))</f>
        <v/>
      </c>
      <c r="K207" s="79">
        <f>IF(OR($A207="",K$23=""),"",IF(COUNTIFS('AFA Rates'!$A$5:$A$1004,$A207,'AFA Rates'!$B$5:$B$1004,K$23,'AFA Rates'!$O$5:$O$1004,"&lt;&gt;Expired")&gt;0,"✓",IF(COUNTIFS('AFA Rates'!$A$5:$A$1004,$A207,'AFA Rates'!$B$5:$B$1004,K$23)&gt;0,"Exp","")))</f>
        <v/>
      </c>
      <c r="L207" s="79">
        <f>IF(OR($A207="",L$23=""),"",IF(COUNTIFS('AFA Rates'!$A$5:$A$1004,$A207,'AFA Rates'!$B$5:$B$1004,L$23,'AFA Rates'!$O$5:$O$1004,"&lt;&gt;Expired")&gt;0,"✓",IF(COUNTIFS('AFA Rates'!$A$5:$A$1004,$A207,'AFA Rates'!$B$5:$B$1004,L$23)&gt;0,"Exp","")))</f>
        <v/>
      </c>
      <c r="M207" s="79">
        <f>IF(OR($A207="",M$23=""),"",IF(COUNTIFS('AFA Rates'!$A$5:$A$1004,$A207,'AFA Rates'!$B$5:$B$1004,M$23,'AFA Rates'!$O$5:$O$1004,"&lt;&gt;Expired")&gt;0,"✓",IF(COUNTIFS('AFA Rates'!$A$5:$A$1004,$A207,'AFA Rates'!$B$5:$B$1004,M$23)&gt;0,"Exp","")))</f>
        <v/>
      </c>
    </row>
    <row r="208">
      <c r="A208" s="78">
        <f>IFERROR(INDEX(Firms!$A$5:$A$1004,MATCH(185,Firms!$V$5:$V$1004,0)),"")</f>
        <v/>
      </c>
      <c r="B208" s="79">
        <f>IF($A208="","",INDEX(Firms!$B$5:$B$1004,MATCH(185,Firms!$V$5:$V$1004,0)))</f>
        <v/>
      </c>
      <c r="C208" s="79">
        <f>IF($A208="","",COUNTIFS('AFA Rates'!$A$5:$A$1004,$A208,'AFA Rates'!$O$5:$O$1004,"&lt;&gt;Expired"))</f>
        <v/>
      </c>
      <c r="D208" s="79">
        <f>IF(OR($A208="",D$23=""),"",IF(COUNTIFS('AFA Rates'!$A$5:$A$1004,$A208,'AFA Rates'!$B$5:$B$1004,D$23,'AFA Rates'!$O$5:$O$1004,"&lt;&gt;Expired")&gt;0,"✓",IF(COUNTIFS('AFA Rates'!$A$5:$A$1004,$A208,'AFA Rates'!$B$5:$B$1004,D$23)&gt;0,"Exp","")))</f>
        <v/>
      </c>
      <c r="E208" s="79">
        <f>IF(OR($A208="",E$23=""),"",IF(COUNTIFS('AFA Rates'!$A$5:$A$1004,$A208,'AFA Rates'!$B$5:$B$1004,E$23,'AFA Rates'!$O$5:$O$1004,"&lt;&gt;Expired")&gt;0,"✓",IF(COUNTIFS('AFA Rates'!$A$5:$A$1004,$A208,'AFA Rates'!$B$5:$B$1004,E$23)&gt;0,"Exp","")))</f>
        <v/>
      </c>
      <c r="F208" s="79">
        <f>IF(OR($A208="",F$23=""),"",IF(COUNTIFS('AFA Rates'!$A$5:$A$1004,$A208,'AFA Rates'!$B$5:$B$1004,F$23,'AFA Rates'!$O$5:$O$1004,"&lt;&gt;Expired")&gt;0,"✓",IF(COUNTIFS('AFA Rates'!$A$5:$A$1004,$A208,'AFA Rates'!$B$5:$B$1004,F$23)&gt;0,"Exp","")))</f>
        <v/>
      </c>
      <c r="G208" s="79">
        <f>IF(OR($A208="",G$23=""),"",IF(COUNTIFS('AFA Rates'!$A$5:$A$1004,$A208,'AFA Rates'!$B$5:$B$1004,G$23,'AFA Rates'!$O$5:$O$1004,"&lt;&gt;Expired")&gt;0,"✓",IF(COUNTIFS('AFA Rates'!$A$5:$A$1004,$A208,'AFA Rates'!$B$5:$B$1004,G$23)&gt;0,"Exp","")))</f>
        <v/>
      </c>
      <c r="H208" s="79">
        <f>IF(OR($A208="",H$23=""),"",IF(COUNTIFS('AFA Rates'!$A$5:$A$1004,$A208,'AFA Rates'!$B$5:$B$1004,H$23,'AFA Rates'!$O$5:$O$1004,"&lt;&gt;Expired")&gt;0,"✓",IF(COUNTIFS('AFA Rates'!$A$5:$A$1004,$A208,'AFA Rates'!$B$5:$B$1004,H$23)&gt;0,"Exp","")))</f>
        <v/>
      </c>
      <c r="I208" s="79">
        <f>IF(OR($A208="",I$23=""),"",IF(COUNTIFS('AFA Rates'!$A$5:$A$1004,$A208,'AFA Rates'!$B$5:$B$1004,I$23,'AFA Rates'!$O$5:$O$1004,"&lt;&gt;Expired")&gt;0,"✓",IF(COUNTIFS('AFA Rates'!$A$5:$A$1004,$A208,'AFA Rates'!$B$5:$B$1004,I$23)&gt;0,"Exp","")))</f>
        <v/>
      </c>
      <c r="J208" s="79">
        <f>IF(OR($A208="",J$23=""),"",IF(COUNTIFS('AFA Rates'!$A$5:$A$1004,$A208,'AFA Rates'!$B$5:$B$1004,J$23,'AFA Rates'!$O$5:$O$1004,"&lt;&gt;Expired")&gt;0,"✓",IF(COUNTIFS('AFA Rates'!$A$5:$A$1004,$A208,'AFA Rates'!$B$5:$B$1004,J$23)&gt;0,"Exp","")))</f>
        <v/>
      </c>
      <c r="K208" s="79">
        <f>IF(OR($A208="",K$23=""),"",IF(COUNTIFS('AFA Rates'!$A$5:$A$1004,$A208,'AFA Rates'!$B$5:$B$1004,K$23,'AFA Rates'!$O$5:$O$1004,"&lt;&gt;Expired")&gt;0,"✓",IF(COUNTIFS('AFA Rates'!$A$5:$A$1004,$A208,'AFA Rates'!$B$5:$B$1004,K$23)&gt;0,"Exp","")))</f>
        <v/>
      </c>
      <c r="L208" s="79">
        <f>IF(OR($A208="",L$23=""),"",IF(COUNTIFS('AFA Rates'!$A$5:$A$1004,$A208,'AFA Rates'!$B$5:$B$1004,L$23,'AFA Rates'!$O$5:$O$1004,"&lt;&gt;Expired")&gt;0,"✓",IF(COUNTIFS('AFA Rates'!$A$5:$A$1004,$A208,'AFA Rates'!$B$5:$B$1004,L$23)&gt;0,"Exp","")))</f>
        <v/>
      </c>
      <c r="M208" s="79">
        <f>IF(OR($A208="",M$23=""),"",IF(COUNTIFS('AFA Rates'!$A$5:$A$1004,$A208,'AFA Rates'!$B$5:$B$1004,M$23,'AFA Rates'!$O$5:$O$1004,"&lt;&gt;Expired")&gt;0,"✓",IF(COUNTIFS('AFA Rates'!$A$5:$A$1004,$A208,'AFA Rates'!$B$5:$B$1004,M$23)&gt;0,"Exp","")))</f>
        <v/>
      </c>
    </row>
    <row r="209">
      <c r="A209" s="78">
        <f>IFERROR(INDEX(Firms!$A$5:$A$1004,MATCH(186,Firms!$V$5:$V$1004,0)),"")</f>
        <v/>
      </c>
      <c r="B209" s="79">
        <f>IF($A209="","",INDEX(Firms!$B$5:$B$1004,MATCH(186,Firms!$V$5:$V$1004,0)))</f>
        <v/>
      </c>
      <c r="C209" s="79">
        <f>IF($A209="","",COUNTIFS('AFA Rates'!$A$5:$A$1004,$A209,'AFA Rates'!$O$5:$O$1004,"&lt;&gt;Expired"))</f>
        <v/>
      </c>
      <c r="D209" s="79">
        <f>IF(OR($A209="",D$23=""),"",IF(COUNTIFS('AFA Rates'!$A$5:$A$1004,$A209,'AFA Rates'!$B$5:$B$1004,D$23,'AFA Rates'!$O$5:$O$1004,"&lt;&gt;Expired")&gt;0,"✓",IF(COUNTIFS('AFA Rates'!$A$5:$A$1004,$A209,'AFA Rates'!$B$5:$B$1004,D$23)&gt;0,"Exp","")))</f>
        <v/>
      </c>
      <c r="E209" s="79">
        <f>IF(OR($A209="",E$23=""),"",IF(COUNTIFS('AFA Rates'!$A$5:$A$1004,$A209,'AFA Rates'!$B$5:$B$1004,E$23,'AFA Rates'!$O$5:$O$1004,"&lt;&gt;Expired")&gt;0,"✓",IF(COUNTIFS('AFA Rates'!$A$5:$A$1004,$A209,'AFA Rates'!$B$5:$B$1004,E$23)&gt;0,"Exp","")))</f>
        <v/>
      </c>
      <c r="F209" s="79">
        <f>IF(OR($A209="",F$23=""),"",IF(COUNTIFS('AFA Rates'!$A$5:$A$1004,$A209,'AFA Rates'!$B$5:$B$1004,F$23,'AFA Rates'!$O$5:$O$1004,"&lt;&gt;Expired")&gt;0,"✓",IF(COUNTIFS('AFA Rates'!$A$5:$A$1004,$A209,'AFA Rates'!$B$5:$B$1004,F$23)&gt;0,"Exp","")))</f>
        <v/>
      </c>
      <c r="G209" s="79">
        <f>IF(OR($A209="",G$23=""),"",IF(COUNTIFS('AFA Rates'!$A$5:$A$1004,$A209,'AFA Rates'!$B$5:$B$1004,G$23,'AFA Rates'!$O$5:$O$1004,"&lt;&gt;Expired")&gt;0,"✓",IF(COUNTIFS('AFA Rates'!$A$5:$A$1004,$A209,'AFA Rates'!$B$5:$B$1004,G$23)&gt;0,"Exp","")))</f>
        <v/>
      </c>
      <c r="H209" s="79">
        <f>IF(OR($A209="",H$23=""),"",IF(COUNTIFS('AFA Rates'!$A$5:$A$1004,$A209,'AFA Rates'!$B$5:$B$1004,H$23,'AFA Rates'!$O$5:$O$1004,"&lt;&gt;Expired")&gt;0,"✓",IF(COUNTIFS('AFA Rates'!$A$5:$A$1004,$A209,'AFA Rates'!$B$5:$B$1004,H$23)&gt;0,"Exp","")))</f>
        <v/>
      </c>
      <c r="I209" s="79">
        <f>IF(OR($A209="",I$23=""),"",IF(COUNTIFS('AFA Rates'!$A$5:$A$1004,$A209,'AFA Rates'!$B$5:$B$1004,I$23,'AFA Rates'!$O$5:$O$1004,"&lt;&gt;Expired")&gt;0,"✓",IF(COUNTIFS('AFA Rates'!$A$5:$A$1004,$A209,'AFA Rates'!$B$5:$B$1004,I$23)&gt;0,"Exp","")))</f>
        <v/>
      </c>
      <c r="J209" s="79">
        <f>IF(OR($A209="",J$23=""),"",IF(COUNTIFS('AFA Rates'!$A$5:$A$1004,$A209,'AFA Rates'!$B$5:$B$1004,J$23,'AFA Rates'!$O$5:$O$1004,"&lt;&gt;Expired")&gt;0,"✓",IF(COUNTIFS('AFA Rates'!$A$5:$A$1004,$A209,'AFA Rates'!$B$5:$B$1004,J$23)&gt;0,"Exp","")))</f>
        <v/>
      </c>
      <c r="K209" s="79">
        <f>IF(OR($A209="",K$23=""),"",IF(COUNTIFS('AFA Rates'!$A$5:$A$1004,$A209,'AFA Rates'!$B$5:$B$1004,K$23,'AFA Rates'!$O$5:$O$1004,"&lt;&gt;Expired")&gt;0,"✓",IF(COUNTIFS('AFA Rates'!$A$5:$A$1004,$A209,'AFA Rates'!$B$5:$B$1004,K$23)&gt;0,"Exp","")))</f>
        <v/>
      </c>
      <c r="L209" s="79">
        <f>IF(OR($A209="",L$23=""),"",IF(COUNTIFS('AFA Rates'!$A$5:$A$1004,$A209,'AFA Rates'!$B$5:$B$1004,L$23,'AFA Rates'!$O$5:$O$1004,"&lt;&gt;Expired")&gt;0,"✓",IF(COUNTIFS('AFA Rates'!$A$5:$A$1004,$A209,'AFA Rates'!$B$5:$B$1004,L$23)&gt;0,"Exp","")))</f>
        <v/>
      </c>
      <c r="M209" s="79">
        <f>IF(OR($A209="",M$23=""),"",IF(COUNTIFS('AFA Rates'!$A$5:$A$1004,$A209,'AFA Rates'!$B$5:$B$1004,M$23,'AFA Rates'!$O$5:$O$1004,"&lt;&gt;Expired")&gt;0,"✓",IF(COUNTIFS('AFA Rates'!$A$5:$A$1004,$A209,'AFA Rates'!$B$5:$B$1004,M$23)&gt;0,"Exp","")))</f>
        <v/>
      </c>
    </row>
    <row r="210">
      <c r="A210" s="78">
        <f>IFERROR(INDEX(Firms!$A$5:$A$1004,MATCH(187,Firms!$V$5:$V$1004,0)),"")</f>
        <v/>
      </c>
      <c r="B210" s="79">
        <f>IF($A210="","",INDEX(Firms!$B$5:$B$1004,MATCH(187,Firms!$V$5:$V$1004,0)))</f>
        <v/>
      </c>
      <c r="C210" s="79">
        <f>IF($A210="","",COUNTIFS('AFA Rates'!$A$5:$A$1004,$A210,'AFA Rates'!$O$5:$O$1004,"&lt;&gt;Expired"))</f>
        <v/>
      </c>
      <c r="D210" s="79">
        <f>IF(OR($A210="",D$23=""),"",IF(COUNTIFS('AFA Rates'!$A$5:$A$1004,$A210,'AFA Rates'!$B$5:$B$1004,D$23,'AFA Rates'!$O$5:$O$1004,"&lt;&gt;Expired")&gt;0,"✓",IF(COUNTIFS('AFA Rates'!$A$5:$A$1004,$A210,'AFA Rates'!$B$5:$B$1004,D$23)&gt;0,"Exp","")))</f>
        <v/>
      </c>
      <c r="E210" s="79">
        <f>IF(OR($A210="",E$23=""),"",IF(COUNTIFS('AFA Rates'!$A$5:$A$1004,$A210,'AFA Rates'!$B$5:$B$1004,E$23,'AFA Rates'!$O$5:$O$1004,"&lt;&gt;Expired")&gt;0,"✓",IF(COUNTIFS('AFA Rates'!$A$5:$A$1004,$A210,'AFA Rates'!$B$5:$B$1004,E$23)&gt;0,"Exp","")))</f>
        <v/>
      </c>
      <c r="F210" s="79">
        <f>IF(OR($A210="",F$23=""),"",IF(COUNTIFS('AFA Rates'!$A$5:$A$1004,$A210,'AFA Rates'!$B$5:$B$1004,F$23,'AFA Rates'!$O$5:$O$1004,"&lt;&gt;Expired")&gt;0,"✓",IF(COUNTIFS('AFA Rates'!$A$5:$A$1004,$A210,'AFA Rates'!$B$5:$B$1004,F$23)&gt;0,"Exp","")))</f>
        <v/>
      </c>
      <c r="G210" s="79">
        <f>IF(OR($A210="",G$23=""),"",IF(COUNTIFS('AFA Rates'!$A$5:$A$1004,$A210,'AFA Rates'!$B$5:$B$1004,G$23,'AFA Rates'!$O$5:$O$1004,"&lt;&gt;Expired")&gt;0,"✓",IF(COUNTIFS('AFA Rates'!$A$5:$A$1004,$A210,'AFA Rates'!$B$5:$B$1004,G$23)&gt;0,"Exp","")))</f>
        <v/>
      </c>
      <c r="H210" s="79">
        <f>IF(OR($A210="",H$23=""),"",IF(COUNTIFS('AFA Rates'!$A$5:$A$1004,$A210,'AFA Rates'!$B$5:$B$1004,H$23,'AFA Rates'!$O$5:$O$1004,"&lt;&gt;Expired")&gt;0,"✓",IF(COUNTIFS('AFA Rates'!$A$5:$A$1004,$A210,'AFA Rates'!$B$5:$B$1004,H$23)&gt;0,"Exp","")))</f>
        <v/>
      </c>
      <c r="I210" s="79">
        <f>IF(OR($A210="",I$23=""),"",IF(COUNTIFS('AFA Rates'!$A$5:$A$1004,$A210,'AFA Rates'!$B$5:$B$1004,I$23,'AFA Rates'!$O$5:$O$1004,"&lt;&gt;Expired")&gt;0,"✓",IF(COUNTIFS('AFA Rates'!$A$5:$A$1004,$A210,'AFA Rates'!$B$5:$B$1004,I$23)&gt;0,"Exp","")))</f>
        <v/>
      </c>
      <c r="J210" s="79">
        <f>IF(OR($A210="",J$23=""),"",IF(COUNTIFS('AFA Rates'!$A$5:$A$1004,$A210,'AFA Rates'!$B$5:$B$1004,J$23,'AFA Rates'!$O$5:$O$1004,"&lt;&gt;Expired")&gt;0,"✓",IF(COUNTIFS('AFA Rates'!$A$5:$A$1004,$A210,'AFA Rates'!$B$5:$B$1004,J$23)&gt;0,"Exp","")))</f>
        <v/>
      </c>
      <c r="K210" s="79">
        <f>IF(OR($A210="",K$23=""),"",IF(COUNTIFS('AFA Rates'!$A$5:$A$1004,$A210,'AFA Rates'!$B$5:$B$1004,K$23,'AFA Rates'!$O$5:$O$1004,"&lt;&gt;Expired")&gt;0,"✓",IF(COUNTIFS('AFA Rates'!$A$5:$A$1004,$A210,'AFA Rates'!$B$5:$B$1004,K$23)&gt;0,"Exp","")))</f>
        <v/>
      </c>
      <c r="L210" s="79">
        <f>IF(OR($A210="",L$23=""),"",IF(COUNTIFS('AFA Rates'!$A$5:$A$1004,$A210,'AFA Rates'!$B$5:$B$1004,L$23,'AFA Rates'!$O$5:$O$1004,"&lt;&gt;Expired")&gt;0,"✓",IF(COUNTIFS('AFA Rates'!$A$5:$A$1004,$A210,'AFA Rates'!$B$5:$B$1004,L$23)&gt;0,"Exp","")))</f>
        <v/>
      </c>
      <c r="M210" s="79">
        <f>IF(OR($A210="",M$23=""),"",IF(COUNTIFS('AFA Rates'!$A$5:$A$1004,$A210,'AFA Rates'!$B$5:$B$1004,M$23,'AFA Rates'!$O$5:$O$1004,"&lt;&gt;Expired")&gt;0,"✓",IF(COUNTIFS('AFA Rates'!$A$5:$A$1004,$A210,'AFA Rates'!$B$5:$B$1004,M$23)&gt;0,"Exp","")))</f>
        <v/>
      </c>
    </row>
    <row r="211">
      <c r="A211" s="78">
        <f>IFERROR(INDEX(Firms!$A$5:$A$1004,MATCH(188,Firms!$V$5:$V$1004,0)),"")</f>
        <v/>
      </c>
      <c r="B211" s="79">
        <f>IF($A211="","",INDEX(Firms!$B$5:$B$1004,MATCH(188,Firms!$V$5:$V$1004,0)))</f>
        <v/>
      </c>
      <c r="C211" s="79">
        <f>IF($A211="","",COUNTIFS('AFA Rates'!$A$5:$A$1004,$A211,'AFA Rates'!$O$5:$O$1004,"&lt;&gt;Expired"))</f>
        <v/>
      </c>
      <c r="D211" s="79">
        <f>IF(OR($A211="",D$23=""),"",IF(COUNTIFS('AFA Rates'!$A$5:$A$1004,$A211,'AFA Rates'!$B$5:$B$1004,D$23,'AFA Rates'!$O$5:$O$1004,"&lt;&gt;Expired")&gt;0,"✓",IF(COUNTIFS('AFA Rates'!$A$5:$A$1004,$A211,'AFA Rates'!$B$5:$B$1004,D$23)&gt;0,"Exp","")))</f>
        <v/>
      </c>
      <c r="E211" s="79">
        <f>IF(OR($A211="",E$23=""),"",IF(COUNTIFS('AFA Rates'!$A$5:$A$1004,$A211,'AFA Rates'!$B$5:$B$1004,E$23,'AFA Rates'!$O$5:$O$1004,"&lt;&gt;Expired")&gt;0,"✓",IF(COUNTIFS('AFA Rates'!$A$5:$A$1004,$A211,'AFA Rates'!$B$5:$B$1004,E$23)&gt;0,"Exp","")))</f>
        <v/>
      </c>
      <c r="F211" s="79">
        <f>IF(OR($A211="",F$23=""),"",IF(COUNTIFS('AFA Rates'!$A$5:$A$1004,$A211,'AFA Rates'!$B$5:$B$1004,F$23,'AFA Rates'!$O$5:$O$1004,"&lt;&gt;Expired")&gt;0,"✓",IF(COUNTIFS('AFA Rates'!$A$5:$A$1004,$A211,'AFA Rates'!$B$5:$B$1004,F$23)&gt;0,"Exp","")))</f>
        <v/>
      </c>
      <c r="G211" s="79">
        <f>IF(OR($A211="",G$23=""),"",IF(COUNTIFS('AFA Rates'!$A$5:$A$1004,$A211,'AFA Rates'!$B$5:$B$1004,G$23,'AFA Rates'!$O$5:$O$1004,"&lt;&gt;Expired")&gt;0,"✓",IF(COUNTIFS('AFA Rates'!$A$5:$A$1004,$A211,'AFA Rates'!$B$5:$B$1004,G$23)&gt;0,"Exp","")))</f>
        <v/>
      </c>
      <c r="H211" s="79">
        <f>IF(OR($A211="",H$23=""),"",IF(COUNTIFS('AFA Rates'!$A$5:$A$1004,$A211,'AFA Rates'!$B$5:$B$1004,H$23,'AFA Rates'!$O$5:$O$1004,"&lt;&gt;Expired")&gt;0,"✓",IF(COUNTIFS('AFA Rates'!$A$5:$A$1004,$A211,'AFA Rates'!$B$5:$B$1004,H$23)&gt;0,"Exp","")))</f>
        <v/>
      </c>
      <c r="I211" s="79">
        <f>IF(OR($A211="",I$23=""),"",IF(COUNTIFS('AFA Rates'!$A$5:$A$1004,$A211,'AFA Rates'!$B$5:$B$1004,I$23,'AFA Rates'!$O$5:$O$1004,"&lt;&gt;Expired")&gt;0,"✓",IF(COUNTIFS('AFA Rates'!$A$5:$A$1004,$A211,'AFA Rates'!$B$5:$B$1004,I$23)&gt;0,"Exp","")))</f>
        <v/>
      </c>
      <c r="J211" s="79">
        <f>IF(OR($A211="",J$23=""),"",IF(COUNTIFS('AFA Rates'!$A$5:$A$1004,$A211,'AFA Rates'!$B$5:$B$1004,J$23,'AFA Rates'!$O$5:$O$1004,"&lt;&gt;Expired")&gt;0,"✓",IF(COUNTIFS('AFA Rates'!$A$5:$A$1004,$A211,'AFA Rates'!$B$5:$B$1004,J$23)&gt;0,"Exp","")))</f>
        <v/>
      </c>
      <c r="K211" s="79">
        <f>IF(OR($A211="",K$23=""),"",IF(COUNTIFS('AFA Rates'!$A$5:$A$1004,$A211,'AFA Rates'!$B$5:$B$1004,K$23,'AFA Rates'!$O$5:$O$1004,"&lt;&gt;Expired")&gt;0,"✓",IF(COUNTIFS('AFA Rates'!$A$5:$A$1004,$A211,'AFA Rates'!$B$5:$B$1004,K$23)&gt;0,"Exp","")))</f>
        <v/>
      </c>
      <c r="L211" s="79">
        <f>IF(OR($A211="",L$23=""),"",IF(COUNTIFS('AFA Rates'!$A$5:$A$1004,$A211,'AFA Rates'!$B$5:$B$1004,L$23,'AFA Rates'!$O$5:$O$1004,"&lt;&gt;Expired")&gt;0,"✓",IF(COUNTIFS('AFA Rates'!$A$5:$A$1004,$A211,'AFA Rates'!$B$5:$B$1004,L$23)&gt;0,"Exp","")))</f>
        <v/>
      </c>
      <c r="M211" s="79">
        <f>IF(OR($A211="",M$23=""),"",IF(COUNTIFS('AFA Rates'!$A$5:$A$1004,$A211,'AFA Rates'!$B$5:$B$1004,M$23,'AFA Rates'!$O$5:$O$1004,"&lt;&gt;Expired")&gt;0,"✓",IF(COUNTIFS('AFA Rates'!$A$5:$A$1004,$A211,'AFA Rates'!$B$5:$B$1004,M$23)&gt;0,"Exp","")))</f>
        <v/>
      </c>
    </row>
    <row r="212">
      <c r="A212" s="78">
        <f>IFERROR(INDEX(Firms!$A$5:$A$1004,MATCH(189,Firms!$V$5:$V$1004,0)),"")</f>
        <v/>
      </c>
      <c r="B212" s="79">
        <f>IF($A212="","",INDEX(Firms!$B$5:$B$1004,MATCH(189,Firms!$V$5:$V$1004,0)))</f>
        <v/>
      </c>
      <c r="C212" s="79">
        <f>IF($A212="","",COUNTIFS('AFA Rates'!$A$5:$A$1004,$A212,'AFA Rates'!$O$5:$O$1004,"&lt;&gt;Expired"))</f>
        <v/>
      </c>
      <c r="D212" s="79">
        <f>IF(OR($A212="",D$23=""),"",IF(COUNTIFS('AFA Rates'!$A$5:$A$1004,$A212,'AFA Rates'!$B$5:$B$1004,D$23,'AFA Rates'!$O$5:$O$1004,"&lt;&gt;Expired")&gt;0,"✓",IF(COUNTIFS('AFA Rates'!$A$5:$A$1004,$A212,'AFA Rates'!$B$5:$B$1004,D$23)&gt;0,"Exp","")))</f>
        <v/>
      </c>
      <c r="E212" s="79">
        <f>IF(OR($A212="",E$23=""),"",IF(COUNTIFS('AFA Rates'!$A$5:$A$1004,$A212,'AFA Rates'!$B$5:$B$1004,E$23,'AFA Rates'!$O$5:$O$1004,"&lt;&gt;Expired")&gt;0,"✓",IF(COUNTIFS('AFA Rates'!$A$5:$A$1004,$A212,'AFA Rates'!$B$5:$B$1004,E$23)&gt;0,"Exp","")))</f>
        <v/>
      </c>
      <c r="F212" s="79">
        <f>IF(OR($A212="",F$23=""),"",IF(COUNTIFS('AFA Rates'!$A$5:$A$1004,$A212,'AFA Rates'!$B$5:$B$1004,F$23,'AFA Rates'!$O$5:$O$1004,"&lt;&gt;Expired")&gt;0,"✓",IF(COUNTIFS('AFA Rates'!$A$5:$A$1004,$A212,'AFA Rates'!$B$5:$B$1004,F$23)&gt;0,"Exp","")))</f>
        <v/>
      </c>
      <c r="G212" s="79">
        <f>IF(OR($A212="",G$23=""),"",IF(COUNTIFS('AFA Rates'!$A$5:$A$1004,$A212,'AFA Rates'!$B$5:$B$1004,G$23,'AFA Rates'!$O$5:$O$1004,"&lt;&gt;Expired")&gt;0,"✓",IF(COUNTIFS('AFA Rates'!$A$5:$A$1004,$A212,'AFA Rates'!$B$5:$B$1004,G$23)&gt;0,"Exp","")))</f>
        <v/>
      </c>
      <c r="H212" s="79">
        <f>IF(OR($A212="",H$23=""),"",IF(COUNTIFS('AFA Rates'!$A$5:$A$1004,$A212,'AFA Rates'!$B$5:$B$1004,H$23,'AFA Rates'!$O$5:$O$1004,"&lt;&gt;Expired")&gt;0,"✓",IF(COUNTIFS('AFA Rates'!$A$5:$A$1004,$A212,'AFA Rates'!$B$5:$B$1004,H$23)&gt;0,"Exp","")))</f>
        <v/>
      </c>
      <c r="I212" s="79">
        <f>IF(OR($A212="",I$23=""),"",IF(COUNTIFS('AFA Rates'!$A$5:$A$1004,$A212,'AFA Rates'!$B$5:$B$1004,I$23,'AFA Rates'!$O$5:$O$1004,"&lt;&gt;Expired")&gt;0,"✓",IF(COUNTIFS('AFA Rates'!$A$5:$A$1004,$A212,'AFA Rates'!$B$5:$B$1004,I$23)&gt;0,"Exp","")))</f>
        <v/>
      </c>
      <c r="J212" s="79">
        <f>IF(OR($A212="",J$23=""),"",IF(COUNTIFS('AFA Rates'!$A$5:$A$1004,$A212,'AFA Rates'!$B$5:$B$1004,J$23,'AFA Rates'!$O$5:$O$1004,"&lt;&gt;Expired")&gt;0,"✓",IF(COUNTIFS('AFA Rates'!$A$5:$A$1004,$A212,'AFA Rates'!$B$5:$B$1004,J$23)&gt;0,"Exp","")))</f>
        <v/>
      </c>
      <c r="K212" s="79">
        <f>IF(OR($A212="",K$23=""),"",IF(COUNTIFS('AFA Rates'!$A$5:$A$1004,$A212,'AFA Rates'!$B$5:$B$1004,K$23,'AFA Rates'!$O$5:$O$1004,"&lt;&gt;Expired")&gt;0,"✓",IF(COUNTIFS('AFA Rates'!$A$5:$A$1004,$A212,'AFA Rates'!$B$5:$B$1004,K$23)&gt;0,"Exp","")))</f>
        <v/>
      </c>
      <c r="L212" s="79">
        <f>IF(OR($A212="",L$23=""),"",IF(COUNTIFS('AFA Rates'!$A$5:$A$1004,$A212,'AFA Rates'!$B$5:$B$1004,L$23,'AFA Rates'!$O$5:$O$1004,"&lt;&gt;Expired")&gt;0,"✓",IF(COUNTIFS('AFA Rates'!$A$5:$A$1004,$A212,'AFA Rates'!$B$5:$B$1004,L$23)&gt;0,"Exp","")))</f>
        <v/>
      </c>
      <c r="M212" s="79">
        <f>IF(OR($A212="",M$23=""),"",IF(COUNTIFS('AFA Rates'!$A$5:$A$1004,$A212,'AFA Rates'!$B$5:$B$1004,M$23,'AFA Rates'!$O$5:$O$1004,"&lt;&gt;Expired")&gt;0,"✓",IF(COUNTIFS('AFA Rates'!$A$5:$A$1004,$A212,'AFA Rates'!$B$5:$B$1004,M$23)&gt;0,"Exp","")))</f>
        <v/>
      </c>
    </row>
    <row r="213">
      <c r="A213" s="78">
        <f>IFERROR(INDEX(Firms!$A$5:$A$1004,MATCH(190,Firms!$V$5:$V$1004,0)),"")</f>
        <v/>
      </c>
      <c r="B213" s="79">
        <f>IF($A213="","",INDEX(Firms!$B$5:$B$1004,MATCH(190,Firms!$V$5:$V$1004,0)))</f>
        <v/>
      </c>
      <c r="C213" s="79">
        <f>IF($A213="","",COUNTIFS('AFA Rates'!$A$5:$A$1004,$A213,'AFA Rates'!$O$5:$O$1004,"&lt;&gt;Expired"))</f>
        <v/>
      </c>
      <c r="D213" s="79">
        <f>IF(OR($A213="",D$23=""),"",IF(COUNTIFS('AFA Rates'!$A$5:$A$1004,$A213,'AFA Rates'!$B$5:$B$1004,D$23,'AFA Rates'!$O$5:$O$1004,"&lt;&gt;Expired")&gt;0,"✓",IF(COUNTIFS('AFA Rates'!$A$5:$A$1004,$A213,'AFA Rates'!$B$5:$B$1004,D$23)&gt;0,"Exp","")))</f>
        <v/>
      </c>
      <c r="E213" s="79">
        <f>IF(OR($A213="",E$23=""),"",IF(COUNTIFS('AFA Rates'!$A$5:$A$1004,$A213,'AFA Rates'!$B$5:$B$1004,E$23,'AFA Rates'!$O$5:$O$1004,"&lt;&gt;Expired")&gt;0,"✓",IF(COUNTIFS('AFA Rates'!$A$5:$A$1004,$A213,'AFA Rates'!$B$5:$B$1004,E$23)&gt;0,"Exp","")))</f>
        <v/>
      </c>
      <c r="F213" s="79">
        <f>IF(OR($A213="",F$23=""),"",IF(COUNTIFS('AFA Rates'!$A$5:$A$1004,$A213,'AFA Rates'!$B$5:$B$1004,F$23,'AFA Rates'!$O$5:$O$1004,"&lt;&gt;Expired")&gt;0,"✓",IF(COUNTIFS('AFA Rates'!$A$5:$A$1004,$A213,'AFA Rates'!$B$5:$B$1004,F$23)&gt;0,"Exp","")))</f>
        <v/>
      </c>
      <c r="G213" s="79">
        <f>IF(OR($A213="",G$23=""),"",IF(COUNTIFS('AFA Rates'!$A$5:$A$1004,$A213,'AFA Rates'!$B$5:$B$1004,G$23,'AFA Rates'!$O$5:$O$1004,"&lt;&gt;Expired")&gt;0,"✓",IF(COUNTIFS('AFA Rates'!$A$5:$A$1004,$A213,'AFA Rates'!$B$5:$B$1004,G$23)&gt;0,"Exp","")))</f>
        <v/>
      </c>
      <c r="H213" s="79">
        <f>IF(OR($A213="",H$23=""),"",IF(COUNTIFS('AFA Rates'!$A$5:$A$1004,$A213,'AFA Rates'!$B$5:$B$1004,H$23,'AFA Rates'!$O$5:$O$1004,"&lt;&gt;Expired")&gt;0,"✓",IF(COUNTIFS('AFA Rates'!$A$5:$A$1004,$A213,'AFA Rates'!$B$5:$B$1004,H$23)&gt;0,"Exp","")))</f>
        <v/>
      </c>
      <c r="I213" s="79">
        <f>IF(OR($A213="",I$23=""),"",IF(COUNTIFS('AFA Rates'!$A$5:$A$1004,$A213,'AFA Rates'!$B$5:$B$1004,I$23,'AFA Rates'!$O$5:$O$1004,"&lt;&gt;Expired")&gt;0,"✓",IF(COUNTIFS('AFA Rates'!$A$5:$A$1004,$A213,'AFA Rates'!$B$5:$B$1004,I$23)&gt;0,"Exp","")))</f>
        <v/>
      </c>
      <c r="J213" s="79">
        <f>IF(OR($A213="",J$23=""),"",IF(COUNTIFS('AFA Rates'!$A$5:$A$1004,$A213,'AFA Rates'!$B$5:$B$1004,J$23,'AFA Rates'!$O$5:$O$1004,"&lt;&gt;Expired")&gt;0,"✓",IF(COUNTIFS('AFA Rates'!$A$5:$A$1004,$A213,'AFA Rates'!$B$5:$B$1004,J$23)&gt;0,"Exp","")))</f>
        <v/>
      </c>
      <c r="K213" s="79">
        <f>IF(OR($A213="",K$23=""),"",IF(COUNTIFS('AFA Rates'!$A$5:$A$1004,$A213,'AFA Rates'!$B$5:$B$1004,K$23,'AFA Rates'!$O$5:$O$1004,"&lt;&gt;Expired")&gt;0,"✓",IF(COUNTIFS('AFA Rates'!$A$5:$A$1004,$A213,'AFA Rates'!$B$5:$B$1004,K$23)&gt;0,"Exp","")))</f>
        <v/>
      </c>
      <c r="L213" s="79">
        <f>IF(OR($A213="",L$23=""),"",IF(COUNTIFS('AFA Rates'!$A$5:$A$1004,$A213,'AFA Rates'!$B$5:$B$1004,L$23,'AFA Rates'!$O$5:$O$1004,"&lt;&gt;Expired")&gt;0,"✓",IF(COUNTIFS('AFA Rates'!$A$5:$A$1004,$A213,'AFA Rates'!$B$5:$B$1004,L$23)&gt;0,"Exp","")))</f>
        <v/>
      </c>
      <c r="M213" s="79">
        <f>IF(OR($A213="",M$23=""),"",IF(COUNTIFS('AFA Rates'!$A$5:$A$1004,$A213,'AFA Rates'!$B$5:$B$1004,M$23,'AFA Rates'!$O$5:$O$1004,"&lt;&gt;Expired")&gt;0,"✓",IF(COUNTIFS('AFA Rates'!$A$5:$A$1004,$A213,'AFA Rates'!$B$5:$B$1004,M$23)&gt;0,"Exp","")))</f>
        <v/>
      </c>
    </row>
    <row r="214">
      <c r="A214" s="78">
        <f>IFERROR(INDEX(Firms!$A$5:$A$1004,MATCH(191,Firms!$V$5:$V$1004,0)),"")</f>
        <v/>
      </c>
      <c r="B214" s="79">
        <f>IF($A214="","",INDEX(Firms!$B$5:$B$1004,MATCH(191,Firms!$V$5:$V$1004,0)))</f>
        <v/>
      </c>
      <c r="C214" s="79">
        <f>IF($A214="","",COUNTIFS('AFA Rates'!$A$5:$A$1004,$A214,'AFA Rates'!$O$5:$O$1004,"&lt;&gt;Expired"))</f>
        <v/>
      </c>
      <c r="D214" s="79">
        <f>IF(OR($A214="",D$23=""),"",IF(COUNTIFS('AFA Rates'!$A$5:$A$1004,$A214,'AFA Rates'!$B$5:$B$1004,D$23,'AFA Rates'!$O$5:$O$1004,"&lt;&gt;Expired")&gt;0,"✓",IF(COUNTIFS('AFA Rates'!$A$5:$A$1004,$A214,'AFA Rates'!$B$5:$B$1004,D$23)&gt;0,"Exp","")))</f>
        <v/>
      </c>
      <c r="E214" s="79">
        <f>IF(OR($A214="",E$23=""),"",IF(COUNTIFS('AFA Rates'!$A$5:$A$1004,$A214,'AFA Rates'!$B$5:$B$1004,E$23,'AFA Rates'!$O$5:$O$1004,"&lt;&gt;Expired")&gt;0,"✓",IF(COUNTIFS('AFA Rates'!$A$5:$A$1004,$A214,'AFA Rates'!$B$5:$B$1004,E$23)&gt;0,"Exp","")))</f>
        <v/>
      </c>
      <c r="F214" s="79">
        <f>IF(OR($A214="",F$23=""),"",IF(COUNTIFS('AFA Rates'!$A$5:$A$1004,$A214,'AFA Rates'!$B$5:$B$1004,F$23,'AFA Rates'!$O$5:$O$1004,"&lt;&gt;Expired")&gt;0,"✓",IF(COUNTIFS('AFA Rates'!$A$5:$A$1004,$A214,'AFA Rates'!$B$5:$B$1004,F$23)&gt;0,"Exp","")))</f>
        <v/>
      </c>
      <c r="G214" s="79">
        <f>IF(OR($A214="",G$23=""),"",IF(COUNTIFS('AFA Rates'!$A$5:$A$1004,$A214,'AFA Rates'!$B$5:$B$1004,G$23,'AFA Rates'!$O$5:$O$1004,"&lt;&gt;Expired")&gt;0,"✓",IF(COUNTIFS('AFA Rates'!$A$5:$A$1004,$A214,'AFA Rates'!$B$5:$B$1004,G$23)&gt;0,"Exp","")))</f>
        <v/>
      </c>
      <c r="H214" s="79">
        <f>IF(OR($A214="",H$23=""),"",IF(COUNTIFS('AFA Rates'!$A$5:$A$1004,$A214,'AFA Rates'!$B$5:$B$1004,H$23,'AFA Rates'!$O$5:$O$1004,"&lt;&gt;Expired")&gt;0,"✓",IF(COUNTIFS('AFA Rates'!$A$5:$A$1004,$A214,'AFA Rates'!$B$5:$B$1004,H$23)&gt;0,"Exp","")))</f>
        <v/>
      </c>
      <c r="I214" s="79">
        <f>IF(OR($A214="",I$23=""),"",IF(COUNTIFS('AFA Rates'!$A$5:$A$1004,$A214,'AFA Rates'!$B$5:$B$1004,I$23,'AFA Rates'!$O$5:$O$1004,"&lt;&gt;Expired")&gt;0,"✓",IF(COUNTIFS('AFA Rates'!$A$5:$A$1004,$A214,'AFA Rates'!$B$5:$B$1004,I$23)&gt;0,"Exp","")))</f>
        <v/>
      </c>
      <c r="J214" s="79">
        <f>IF(OR($A214="",J$23=""),"",IF(COUNTIFS('AFA Rates'!$A$5:$A$1004,$A214,'AFA Rates'!$B$5:$B$1004,J$23,'AFA Rates'!$O$5:$O$1004,"&lt;&gt;Expired")&gt;0,"✓",IF(COUNTIFS('AFA Rates'!$A$5:$A$1004,$A214,'AFA Rates'!$B$5:$B$1004,J$23)&gt;0,"Exp","")))</f>
        <v/>
      </c>
      <c r="K214" s="79">
        <f>IF(OR($A214="",K$23=""),"",IF(COUNTIFS('AFA Rates'!$A$5:$A$1004,$A214,'AFA Rates'!$B$5:$B$1004,K$23,'AFA Rates'!$O$5:$O$1004,"&lt;&gt;Expired")&gt;0,"✓",IF(COUNTIFS('AFA Rates'!$A$5:$A$1004,$A214,'AFA Rates'!$B$5:$B$1004,K$23)&gt;0,"Exp","")))</f>
        <v/>
      </c>
      <c r="L214" s="79">
        <f>IF(OR($A214="",L$23=""),"",IF(COUNTIFS('AFA Rates'!$A$5:$A$1004,$A214,'AFA Rates'!$B$5:$B$1004,L$23,'AFA Rates'!$O$5:$O$1004,"&lt;&gt;Expired")&gt;0,"✓",IF(COUNTIFS('AFA Rates'!$A$5:$A$1004,$A214,'AFA Rates'!$B$5:$B$1004,L$23)&gt;0,"Exp","")))</f>
        <v/>
      </c>
      <c r="M214" s="79">
        <f>IF(OR($A214="",M$23=""),"",IF(COUNTIFS('AFA Rates'!$A$5:$A$1004,$A214,'AFA Rates'!$B$5:$B$1004,M$23,'AFA Rates'!$O$5:$O$1004,"&lt;&gt;Expired")&gt;0,"✓",IF(COUNTIFS('AFA Rates'!$A$5:$A$1004,$A214,'AFA Rates'!$B$5:$B$1004,M$23)&gt;0,"Exp","")))</f>
        <v/>
      </c>
    </row>
    <row r="215">
      <c r="A215" s="78">
        <f>IFERROR(INDEX(Firms!$A$5:$A$1004,MATCH(192,Firms!$V$5:$V$1004,0)),"")</f>
        <v/>
      </c>
      <c r="B215" s="79">
        <f>IF($A215="","",INDEX(Firms!$B$5:$B$1004,MATCH(192,Firms!$V$5:$V$1004,0)))</f>
        <v/>
      </c>
      <c r="C215" s="79">
        <f>IF($A215="","",COUNTIFS('AFA Rates'!$A$5:$A$1004,$A215,'AFA Rates'!$O$5:$O$1004,"&lt;&gt;Expired"))</f>
        <v/>
      </c>
      <c r="D215" s="79">
        <f>IF(OR($A215="",D$23=""),"",IF(COUNTIFS('AFA Rates'!$A$5:$A$1004,$A215,'AFA Rates'!$B$5:$B$1004,D$23,'AFA Rates'!$O$5:$O$1004,"&lt;&gt;Expired")&gt;0,"✓",IF(COUNTIFS('AFA Rates'!$A$5:$A$1004,$A215,'AFA Rates'!$B$5:$B$1004,D$23)&gt;0,"Exp","")))</f>
        <v/>
      </c>
      <c r="E215" s="79">
        <f>IF(OR($A215="",E$23=""),"",IF(COUNTIFS('AFA Rates'!$A$5:$A$1004,$A215,'AFA Rates'!$B$5:$B$1004,E$23,'AFA Rates'!$O$5:$O$1004,"&lt;&gt;Expired")&gt;0,"✓",IF(COUNTIFS('AFA Rates'!$A$5:$A$1004,$A215,'AFA Rates'!$B$5:$B$1004,E$23)&gt;0,"Exp","")))</f>
        <v/>
      </c>
      <c r="F215" s="79">
        <f>IF(OR($A215="",F$23=""),"",IF(COUNTIFS('AFA Rates'!$A$5:$A$1004,$A215,'AFA Rates'!$B$5:$B$1004,F$23,'AFA Rates'!$O$5:$O$1004,"&lt;&gt;Expired")&gt;0,"✓",IF(COUNTIFS('AFA Rates'!$A$5:$A$1004,$A215,'AFA Rates'!$B$5:$B$1004,F$23)&gt;0,"Exp","")))</f>
        <v/>
      </c>
      <c r="G215" s="79">
        <f>IF(OR($A215="",G$23=""),"",IF(COUNTIFS('AFA Rates'!$A$5:$A$1004,$A215,'AFA Rates'!$B$5:$B$1004,G$23,'AFA Rates'!$O$5:$O$1004,"&lt;&gt;Expired")&gt;0,"✓",IF(COUNTIFS('AFA Rates'!$A$5:$A$1004,$A215,'AFA Rates'!$B$5:$B$1004,G$23)&gt;0,"Exp","")))</f>
        <v/>
      </c>
      <c r="H215" s="79">
        <f>IF(OR($A215="",H$23=""),"",IF(COUNTIFS('AFA Rates'!$A$5:$A$1004,$A215,'AFA Rates'!$B$5:$B$1004,H$23,'AFA Rates'!$O$5:$O$1004,"&lt;&gt;Expired")&gt;0,"✓",IF(COUNTIFS('AFA Rates'!$A$5:$A$1004,$A215,'AFA Rates'!$B$5:$B$1004,H$23)&gt;0,"Exp","")))</f>
        <v/>
      </c>
      <c r="I215" s="79">
        <f>IF(OR($A215="",I$23=""),"",IF(COUNTIFS('AFA Rates'!$A$5:$A$1004,$A215,'AFA Rates'!$B$5:$B$1004,I$23,'AFA Rates'!$O$5:$O$1004,"&lt;&gt;Expired")&gt;0,"✓",IF(COUNTIFS('AFA Rates'!$A$5:$A$1004,$A215,'AFA Rates'!$B$5:$B$1004,I$23)&gt;0,"Exp","")))</f>
        <v/>
      </c>
      <c r="J215" s="79">
        <f>IF(OR($A215="",J$23=""),"",IF(COUNTIFS('AFA Rates'!$A$5:$A$1004,$A215,'AFA Rates'!$B$5:$B$1004,J$23,'AFA Rates'!$O$5:$O$1004,"&lt;&gt;Expired")&gt;0,"✓",IF(COUNTIFS('AFA Rates'!$A$5:$A$1004,$A215,'AFA Rates'!$B$5:$B$1004,J$23)&gt;0,"Exp","")))</f>
        <v/>
      </c>
      <c r="K215" s="79">
        <f>IF(OR($A215="",K$23=""),"",IF(COUNTIFS('AFA Rates'!$A$5:$A$1004,$A215,'AFA Rates'!$B$5:$B$1004,K$23,'AFA Rates'!$O$5:$O$1004,"&lt;&gt;Expired")&gt;0,"✓",IF(COUNTIFS('AFA Rates'!$A$5:$A$1004,$A215,'AFA Rates'!$B$5:$B$1004,K$23)&gt;0,"Exp","")))</f>
        <v/>
      </c>
      <c r="L215" s="79">
        <f>IF(OR($A215="",L$23=""),"",IF(COUNTIFS('AFA Rates'!$A$5:$A$1004,$A215,'AFA Rates'!$B$5:$B$1004,L$23,'AFA Rates'!$O$5:$O$1004,"&lt;&gt;Expired")&gt;0,"✓",IF(COUNTIFS('AFA Rates'!$A$5:$A$1004,$A215,'AFA Rates'!$B$5:$B$1004,L$23)&gt;0,"Exp","")))</f>
        <v/>
      </c>
      <c r="M215" s="79">
        <f>IF(OR($A215="",M$23=""),"",IF(COUNTIFS('AFA Rates'!$A$5:$A$1004,$A215,'AFA Rates'!$B$5:$B$1004,M$23,'AFA Rates'!$O$5:$O$1004,"&lt;&gt;Expired")&gt;0,"✓",IF(COUNTIFS('AFA Rates'!$A$5:$A$1004,$A215,'AFA Rates'!$B$5:$B$1004,M$23)&gt;0,"Exp","")))</f>
        <v/>
      </c>
    </row>
    <row r="216">
      <c r="A216" s="78">
        <f>IFERROR(INDEX(Firms!$A$5:$A$1004,MATCH(193,Firms!$V$5:$V$1004,0)),"")</f>
        <v/>
      </c>
      <c r="B216" s="79">
        <f>IF($A216="","",INDEX(Firms!$B$5:$B$1004,MATCH(193,Firms!$V$5:$V$1004,0)))</f>
        <v/>
      </c>
      <c r="C216" s="79">
        <f>IF($A216="","",COUNTIFS('AFA Rates'!$A$5:$A$1004,$A216,'AFA Rates'!$O$5:$O$1004,"&lt;&gt;Expired"))</f>
        <v/>
      </c>
      <c r="D216" s="79">
        <f>IF(OR($A216="",D$23=""),"",IF(COUNTIFS('AFA Rates'!$A$5:$A$1004,$A216,'AFA Rates'!$B$5:$B$1004,D$23,'AFA Rates'!$O$5:$O$1004,"&lt;&gt;Expired")&gt;0,"✓",IF(COUNTIFS('AFA Rates'!$A$5:$A$1004,$A216,'AFA Rates'!$B$5:$B$1004,D$23)&gt;0,"Exp","")))</f>
        <v/>
      </c>
      <c r="E216" s="79">
        <f>IF(OR($A216="",E$23=""),"",IF(COUNTIFS('AFA Rates'!$A$5:$A$1004,$A216,'AFA Rates'!$B$5:$B$1004,E$23,'AFA Rates'!$O$5:$O$1004,"&lt;&gt;Expired")&gt;0,"✓",IF(COUNTIFS('AFA Rates'!$A$5:$A$1004,$A216,'AFA Rates'!$B$5:$B$1004,E$23)&gt;0,"Exp","")))</f>
        <v/>
      </c>
      <c r="F216" s="79">
        <f>IF(OR($A216="",F$23=""),"",IF(COUNTIFS('AFA Rates'!$A$5:$A$1004,$A216,'AFA Rates'!$B$5:$B$1004,F$23,'AFA Rates'!$O$5:$O$1004,"&lt;&gt;Expired")&gt;0,"✓",IF(COUNTIFS('AFA Rates'!$A$5:$A$1004,$A216,'AFA Rates'!$B$5:$B$1004,F$23)&gt;0,"Exp","")))</f>
        <v/>
      </c>
      <c r="G216" s="79">
        <f>IF(OR($A216="",G$23=""),"",IF(COUNTIFS('AFA Rates'!$A$5:$A$1004,$A216,'AFA Rates'!$B$5:$B$1004,G$23,'AFA Rates'!$O$5:$O$1004,"&lt;&gt;Expired")&gt;0,"✓",IF(COUNTIFS('AFA Rates'!$A$5:$A$1004,$A216,'AFA Rates'!$B$5:$B$1004,G$23)&gt;0,"Exp","")))</f>
        <v/>
      </c>
      <c r="H216" s="79">
        <f>IF(OR($A216="",H$23=""),"",IF(COUNTIFS('AFA Rates'!$A$5:$A$1004,$A216,'AFA Rates'!$B$5:$B$1004,H$23,'AFA Rates'!$O$5:$O$1004,"&lt;&gt;Expired")&gt;0,"✓",IF(COUNTIFS('AFA Rates'!$A$5:$A$1004,$A216,'AFA Rates'!$B$5:$B$1004,H$23)&gt;0,"Exp","")))</f>
        <v/>
      </c>
      <c r="I216" s="79">
        <f>IF(OR($A216="",I$23=""),"",IF(COUNTIFS('AFA Rates'!$A$5:$A$1004,$A216,'AFA Rates'!$B$5:$B$1004,I$23,'AFA Rates'!$O$5:$O$1004,"&lt;&gt;Expired")&gt;0,"✓",IF(COUNTIFS('AFA Rates'!$A$5:$A$1004,$A216,'AFA Rates'!$B$5:$B$1004,I$23)&gt;0,"Exp","")))</f>
        <v/>
      </c>
      <c r="J216" s="79">
        <f>IF(OR($A216="",J$23=""),"",IF(COUNTIFS('AFA Rates'!$A$5:$A$1004,$A216,'AFA Rates'!$B$5:$B$1004,J$23,'AFA Rates'!$O$5:$O$1004,"&lt;&gt;Expired")&gt;0,"✓",IF(COUNTIFS('AFA Rates'!$A$5:$A$1004,$A216,'AFA Rates'!$B$5:$B$1004,J$23)&gt;0,"Exp","")))</f>
        <v/>
      </c>
      <c r="K216" s="79">
        <f>IF(OR($A216="",K$23=""),"",IF(COUNTIFS('AFA Rates'!$A$5:$A$1004,$A216,'AFA Rates'!$B$5:$B$1004,K$23,'AFA Rates'!$O$5:$O$1004,"&lt;&gt;Expired")&gt;0,"✓",IF(COUNTIFS('AFA Rates'!$A$5:$A$1004,$A216,'AFA Rates'!$B$5:$B$1004,K$23)&gt;0,"Exp","")))</f>
        <v/>
      </c>
      <c r="L216" s="79">
        <f>IF(OR($A216="",L$23=""),"",IF(COUNTIFS('AFA Rates'!$A$5:$A$1004,$A216,'AFA Rates'!$B$5:$B$1004,L$23,'AFA Rates'!$O$5:$O$1004,"&lt;&gt;Expired")&gt;0,"✓",IF(COUNTIFS('AFA Rates'!$A$5:$A$1004,$A216,'AFA Rates'!$B$5:$B$1004,L$23)&gt;0,"Exp","")))</f>
        <v/>
      </c>
      <c r="M216" s="79">
        <f>IF(OR($A216="",M$23=""),"",IF(COUNTIFS('AFA Rates'!$A$5:$A$1004,$A216,'AFA Rates'!$B$5:$B$1004,M$23,'AFA Rates'!$O$5:$O$1004,"&lt;&gt;Expired")&gt;0,"✓",IF(COUNTIFS('AFA Rates'!$A$5:$A$1004,$A216,'AFA Rates'!$B$5:$B$1004,M$23)&gt;0,"Exp","")))</f>
        <v/>
      </c>
    </row>
    <row r="217">
      <c r="A217" s="78">
        <f>IFERROR(INDEX(Firms!$A$5:$A$1004,MATCH(194,Firms!$V$5:$V$1004,0)),"")</f>
        <v/>
      </c>
      <c r="B217" s="79">
        <f>IF($A217="","",INDEX(Firms!$B$5:$B$1004,MATCH(194,Firms!$V$5:$V$1004,0)))</f>
        <v/>
      </c>
      <c r="C217" s="79">
        <f>IF($A217="","",COUNTIFS('AFA Rates'!$A$5:$A$1004,$A217,'AFA Rates'!$O$5:$O$1004,"&lt;&gt;Expired"))</f>
        <v/>
      </c>
      <c r="D217" s="79">
        <f>IF(OR($A217="",D$23=""),"",IF(COUNTIFS('AFA Rates'!$A$5:$A$1004,$A217,'AFA Rates'!$B$5:$B$1004,D$23,'AFA Rates'!$O$5:$O$1004,"&lt;&gt;Expired")&gt;0,"✓",IF(COUNTIFS('AFA Rates'!$A$5:$A$1004,$A217,'AFA Rates'!$B$5:$B$1004,D$23)&gt;0,"Exp","")))</f>
        <v/>
      </c>
      <c r="E217" s="79">
        <f>IF(OR($A217="",E$23=""),"",IF(COUNTIFS('AFA Rates'!$A$5:$A$1004,$A217,'AFA Rates'!$B$5:$B$1004,E$23,'AFA Rates'!$O$5:$O$1004,"&lt;&gt;Expired")&gt;0,"✓",IF(COUNTIFS('AFA Rates'!$A$5:$A$1004,$A217,'AFA Rates'!$B$5:$B$1004,E$23)&gt;0,"Exp","")))</f>
        <v/>
      </c>
      <c r="F217" s="79">
        <f>IF(OR($A217="",F$23=""),"",IF(COUNTIFS('AFA Rates'!$A$5:$A$1004,$A217,'AFA Rates'!$B$5:$B$1004,F$23,'AFA Rates'!$O$5:$O$1004,"&lt;&gt;Expired")&gt;0,"✓",IF(COUNTIFS('AFA Rates'!$A$5:$A$1004,$A217,'AFA Rates'!$B$5:$B$1004,F$23)&gt;0,"Exp","")))</f>
        <v/>
      </c>
      <c r="G217" s="79">
        <f>IF(OR($A217="",G$23=""),"",IF(COUNTIFS('AFA Rates'!$A$5:$A$1004,$A217,'AFA Rates'!$B$5:$B$1004,G$23,'AFA Rates'!$O$5:$O$1004,"&lt;&gt;Expired")&gt;0,"✓",IF(COUNTIFS('AFA Rates'!$A$5:$A$1004,$A217,'AFA Rates'!$B$5:$B$1004,G$23)&gt;0,"Exp","")))</f>
        <v/>
      </c>
      <c r="H217" s="79">
        <f>IF(OR($A217="",H$23=""),"",IF(COUNTIFS('AFA Rates'!$A$5:$A$1004,$A217,'AFA Rates'!$B$5:$B$1004,H$23,'AFA Rates'!$O$5:$O$1004,"&lt;&gt;Expired")&gt;0,"✓",IF(COUNTIFS('AFA Rates'!$A$5:$A$1004,$A217,'AFA Rates'!$B$5:$B$1004,H$23)&gt;0,"Exp","")))</f>
        <v/>
      </c>
      <c r="I217" s="79">
        <f>IF(OR($A217="",I$23=""),"",IF(COUNTIFS('AFA Rates'!$A$5:$A$1004,$A217,'AFA Rates'!$B$5:$B$1004,I$23,'AFA Rates'!$O$5:$O$1004,"&lt;&gt;Expired")&gt;0,"✓",IF(COUNTIFS('AFA Rates'!$A$5:$A$1004,$A217,'AFA Rates'!$B$5:$B$1004,I$23)&gt;0,"Exp","")))</f>
        <v/>
      </c>
      <c r="J217" s="79">
        <f>IF(OR($A217="",J$23=""),"",IF(COUNTIFS('AFA Rates'!$A$5:$A$1004,$A217,'AFA Rates'!$B$5:$B$1004,J$23,'AFA Rates'!$O$5:$O$1004,"&lt;&gt;Expired")&gt;0,"✓",IF(COUNTIFS('AFA Rates'!$A$5:$A$1004,$A217,'AFA Rates'!$B$5:$B$1004,J$23)&gt;0,"Exp","")))</f>
        <v/>
      </c>
      <c r="K217" s="79">
        <f>IF(OR($A217="",K$23=""),"",IF(COUNTIFS('AFA Rates'!$A$5:$A$1004,$A217,'AFA Rates'!$B$5:$B$1004,K$23,'AFA Rates'!$O$5:$O$1004,"&lt;&gt;Expired")&gt;0,"✓",IF(COUNTIFS('AFA Rates'!$A$5:$A$1004,$A217,'AFA Rates'!$B$5:$B$1004,K$23)&gt;0,"Exp","")))</f>
        <v/>
      </c>
      <c r="L217" s="79">
        <f>IF(OR($A217="",L$23=""),"",IF(COUNTIFS('AFA Rates'!$A$5:$A$1004,$A217,'AFA Rates'!$B$5:$B$1004,L$23,'AFA Rates'!$O$5:$O$1004,"&lt;&gt;Expired")&gt;0,"✓",IF(COUNTIFS('AFA Rates'!$A$5:$A$1004,$A217,'AFA Rates'!$B$5:$B$1004,L$23)&gt;0,"Exp","")))</f>
        <v/>
      </c>
      <c r="M217" s="79">
        <f>IF(OR($A217="",M$23=""),"",IF(COUNTIFS('AFA Rates'!$A$5:$A$1004,$A217,'AFA Rates'!$B$5:$B$1004,M$23,'AFA Rates'!$O$5:$O$1004,"&lt;&gt;Expired")&gt;0,"✓",IF(COUNTIFS('AFA Rates'!$A$5:$A$1004,$A217,'AFA Rates'!$B$5:$B$1004,M$23)&gt;0,"Exp","")))</f>
        <v/>
      </c>
    </row>
    <row r="218">
      <c r="A218" s="78">
        <f>IFERROR(INDEX(Firms!$A$5:$A$1004,MATCH(195,Firms!$V$5:$V$1004,0)),"")</f>
        <v/>
      </c>
      <c r="B218" s="79">
        <f>IF($A218="","",INDEX(Firms!$B$5:$B$1004,MATCH(195,Firms!$V$5:$V$1004,0)))</f>
        <v/>
      </c>
      <c r="C218" s="79">
        <f>IF($A218="","",COUNTIFS('AFA Rates'!$A$5:$A$1004,$A218,'AFA Rates'!$O$5:$O$1004,"&lt;&gt;Expired"))</f>
        <v/>
      </c>
      <c r="D218" s="79">
        <f>IF(OR($A218="",D$23=""),"",IF(COUNTIFS('AFA Rates'!$A$5:$A$1004,$A218,'AFA Rates'!$B$5:$B$1004,D$23,'AFA Rates'!$O$5:$O$1004,"&lt;&gt;Expired")&gt;0,"✓",IF(COUNTIFS('AFA Rates'!$A$5:$A$1004,$A218,'AFA Rates'!$B$5:$B$1004,D$23)&gt;0,"Exp","")))</f>
        <v/>
      </c>
      <c r="E218" s="79">
        <f>IF(OR($A218="",E$23=""),"",IF(COUNTIFS('AFA Rates'!$A$5:$A$1004,$A218,'AFA Rates'!$B$5:$B$1004,E$23,'AFA Rates'!$O$5:$O$1004,"&lt;&gt;Expired")&gt;0,"✓",IF(COUNTIFS('AFA Rates'!$A$5:$A$1004,$A218,'AFA Rates'!$B$5:$B$1004,E$23)&gt;0,"Exp","")))</f>
        <v/>
      </c>
      <c r="F218" s="79">
        <f>IF(OR($A218="",F$23=""),"",IF(COUNTIFS('AFA Rates'!$A$5:$A$1004,$A218,'AFA Rates'!$B$5:$B$1004,F$23,'AFA Rates'!$O$5:$O$1004,"&lt;&gt;Expired")&gt;0,"✓",IF(COUNTIFS('AFA Rates'!$A$5:$A$1004,$A218,'AFA Rates'!$B$5:$B$1004,F$23)&gt;0,"Exp","")))</f>
        <v/>
      </c>
      <c r="G218" s="79">
        <f>IF(OR($A218="",G$23=""),"",IF(COUNTIFS('AFA Rates'!$A$5:$A$1004,$A218,'AFA Rates'!$B$5:$B$1004,G$23,'AFA Rates'!$O$5:$O$1004,"&lt;&gt;Expired")&gt;0,"✓",IF(COUNTIFS('AFA Rates'!$A$5:$A$1004,$A218,'AFA Rates'!$B$5:$B$1004,G$23)&gt;0,"Exp","")))</f>
        <v/>
      </c>
      <c r="H218" s="79">
        <f>IF(OR($A218="",H$23=""),"",IF(COUNTIFS('AFA Rates'!$A$5:$A$1004,$A218,'AFA Rates'!$B$5:$B$1004,H$23,'AFA Rates'!$O$5:$O$1004,"&lt;&gt;Expired")&gt;0,"✓",IF(COUNTIFS('AFA Rates'!$A$5:$A$1004,$A218,'AFA Rates'!$B$5:$B$1004,H$23)&gt;0,"Exp","")))</f>
        <v/>
      </c>
      <c r="I218" s="79">
        <f>IF(OR($A218="",I$23=""),"",IF(COUNTIFS('AFA Rates'!$A$5:$A$1004,$A218,'AFA Rates'!$B$5:$B$1004,I$23,'AFA Rates'!$O$5:$O$1004,"&lt;&gt;Expired")&gt;0,"✓",IF(COUNTIFS('AFA Rates'!$A$5:$A$1004,$A218,'AFA Rates'!$B$5:$B$1004,I$23)&gt;0,"Exp","")))</f>
        <v/>
      </c>
      <c r="J218" s="79">
        <f>IF(OR($A218="",J$23=""),"",IF(COUNTIFS('AFA Rates'!$A$5:$A$1004,$A218,'AFA Rates'!$B$5:$B$1004,J$23,'AFA Rates'!$O$5:$O$1004,"&lt;&gt;Expired")&gt;0,"✓",IF(COUNTIFS('AFA Rates'!$A$5:$A$1004,$A218,'AFA Rates'!$B$5:$B$1004,J$23)&gt;0,"Exp","")))</f>
        <v/>
      </c>
      <c r="K218" s="79">
        <f>IF(OR($A218="",K$23=""),"",IF(COUNTIFS('AFA Rates'!$A$5:$A$1004,$A218,'AFA Rates'!$B$5:$B$1004,K$23,'AFA Rates'!$O$5:$O$1004,"&lt;&gt;Expired")&gt;0,"✓",IF(COUNTIFS('AFA Rates'!$A$5:$A$1004,$A218,'AFA Rates'!$B$5:$B$1004,K$23)&gt;0,"Exp","")))</f>
        <v/>
      </c>
      <c r="L218" s="79">
        <f>IF(OR($A218="",L$23=""),"",IF(COUNTIFS('AFA Rates'!$A$5:$A$1004,$A218,'AFA Rates'!$B$5:$B$1004,L$23,'AFA Rates'!$O$5:$O$1004,"&lt;&gt;Expired")&gt;0,"✓",IF(COUNTIFS('AFA Rates'!$A$5:$A$1004,$A218,'AFA Rates'!$B$5:$B$1004,L$23)&gt;0,"Exp","")))</f>
        <v/>
      </c>
      <c r="M218" s="79">
        <f>IF(OR($A218="",M$23=""),"",IF(COUNTIFS('AFA Rates'!$A$5:$A$1004,$A218,'AFA Rates'!$B$5:$B$1004,M$23,'AFA Rates'!$O$5:$O$1004,"&lt;&gt;Expired")&gt;0,"✓",IF(COUNTIFS('AFA Rates'!$A$5:$A$1004,$A218,'AFA Rates'!$B$5:$B$1004,M$23)&gt;0,"Exp","")))</f>
        <v/>
      </c>
    </row>
    <row r="219">
      <c r="A219" s="78">
        <f>IFERROR(INDEX(Firms!$A$5:$A$1004,MATCH(196,Firms!$V$5:$V$1004,0)),"")</f>
        <v/>
      </c>
      <c r="B219" s="79">
        <f>IF($A219="","",INDEX(Firms!$B$5:$B$1004,MATCH(196,Firms!$V$5:$V$1004,0)))</f>
        <v/>
      </c>
      <c r="C219" s="79">
        <f>IF($A219="","",COUNTIFS('AFA Rates'!$A$5:$A$1004,$A219,'AFA Rates'!$O$5:$O$1004,"&lt;&gt;Expired"))</f>
        <v/>
      </c>
      <c r="D219" s="79">
        <f>IF(OR($A219="",D$23=""),"",IF(COUNTIFS('AFA Rates'!$A$5:$A$1004,$A219,'AFA Rates'!$B$5:$B$1004,D$23,'AFA Rates'!$O$5:$O$1004,"&lt;&gt;Expired")&gt;0,"✓",IF(COUNTIFS('AFA Rates'!$A$5:$A$1004,$A219,'AFA Rates'!$B$5:$B$1004,D$23)&gt;0,"Exp","")))</f>
        <v/>
      </c>
      <c r="E219" s="79">
        <f>IF(OR($A219="",E$23=""),"",IF(COUNTIFS('AFA Rates'!$A$5:$A$1004,$A219,'AFA Rates'!$B$5:$B$1004,E$23,'AFA Rates'!$O$5:$O$1004,"&lt;&gt;Expired")&gt;0,"✓",IF(COUNTIFS('AFA Rates'!$A$5:$A$1004,$A219,'AFA Rates'!$B$5:$B$1004,E$23)&gt;0,"Exp","")))</f>
        <v/>
      </c>
      <c r="F219" s="79">
        <f>IF(OR($A219="",F$23=""),"",IF(COUNTIFS('AFA Rates'!$A$5:$A$1004,$A219,'AFA Rates'!$B$5:$B$1004,F$23,'AFA Rates'!$O$5:$O$1004,"&lt;&gt;Expired")&gt;0,"✓",IF(COUNTIFS('AFA Rates'!$A$5:$A$1004,$A219,'AFA Rates'!$B$5:$B$1004,F$23)&gt;0,"Exp","")))</f>
        <v/>
      </c>
      <c r="G219" s="79">
        <f>IF(OR($A219="",G$23=""),"",IF(COUNTIFS('AFA Rates'!$A$5:$A$1004,$A219,'AFA Rates'!$B$5:$B$1004,G$23,'AFA Rates'!$O$5:$O$1004,"&lt;&gt;Expired")&gt;0,"✓",IF(COUNTIFS('AFA Rates'!$A$5:$A$1004,$A219,'AFA Rates'!$B$5:$B$1004,G$23)&gt;0,"Exp","")))</f>
        <v/>
      </c>
      <c r="H219" s="79">
        <f>IF(OR($A219="",H$23=""),"",IF(COUNTIFS('AFA Rates'!$A$5:$A$1004,$A219,'AFA Rates'!$B$5:$B$1004,H$23,'AFA Rates'!$O$5:$O$1004,"&lt;&gt;Expired")&gt;0,"✓",IF(COUNTIFS('AFA Rates'!$A$5:$A$1004,$A219,'AFA Rates'!$B$5:$B$1004,H$23)&gt;0,"Exp","")))</f>
        <v/>
      </c>
      <c r="I219" s="79">
        <f>IF(OR($A219="",I$23=""),"",IF(COUNTIFS('AFA Rates'!$A$5:$A$1004,$A219,'AFA Rates'!$B$5:$B$1004,I$23,'AFA Rates'!$O$5:$O$1004,"&lt;&gt;Expired")&gt;0,"✓",IF(COUNTIFS('AFA Rates'!$A$5:$A$1004,$A219,'AFA Rates'!$B$5:$B$1004,I$23)&gt;0,"Exp","")))</f>
        <v/>
      </c>
      <c r="J219" s="79">
        <f>IF(OR($A219="",J$23=""),"",IF(COUNTIFS('AFA Rates'!$A$5:$A$1004,$A219,'AFA Rates'!$B$5:$B$1004,J$23,'AFA Rates'!$O$5:$O$1004,"&lt;&gt;Expired")&gt;0,"✓",IF(COUNTIFS('AFA Rates'!$A$5:$A$1004,$A219,'AFA Rates'!$B$5:$B$1004,J$23)&gt;0,"Exp","")))</f>
        <v/>
      </c>
      <c r="K219" s="79">
        <f>IF(OR($A219="",K$23=""),"",IF(COUNTIFS('AFA Rates'!$A$5:$A$1004,$A219,'AFA Rates'!$B$5:$B$1004,K$23,'AFA Rates'!$O$5:$O$1004,"&lt;&gt;Expired")&gt;0,"✓",IF(COUNTIFS('AFA Rates'!$A$5:$A$1004,$A219,'AFA Rates'!$B$5:$B$1004,K$23)&gt;0,"Exp","")))</f>
        <v/>
      </c>
      <c r="L219" s="79">
        <f>IF(OR($A219="",L$23=""),"",IF(COUNTIFS('AFA Rates'!$A$5:$A$1004,$A219,'AFA Rates'!$B$5:$B$1004,L$23,'AFA Rates'!$O$5:$O$1004,"&lt;&gt;Expired")&gt;0,"✓",IF(COUNTIFS('AFA Rates'!$A$5:$A$1004,$A219,'AFA Rates'!$B$5:$B$1004,L$23)&gt;0,"Exp","")))</f>
        <v/>
      </c>
      <c r="M219" s="79">
        <f>IF(OR($A219="",M$23=""),"",IF(COUNTIFS('AFA Rates'!$A$5:$A$1004,$A219,'AFA Rates'!$B$5:$B$1004,M$23,'AFA Rates'!$O$5:$O$1004,"&lt;&gt;Expired")&gt;0,"✓",IF(COUNTIFS('AFA Rates'!$A$5:$A$1004,$A219,'AFA Rates'!$B$5:$B$1004,M$23)&gt;0,"Exp","")))</f>
        <v/>
      </c>
    </row>
    <row r="220">
      <c r="A220" s="78">
        <f>IFERROR(INDEX(Firms!$A$5:$A$1004,MATCH(197,Firms!$V$5:$V$1004,0)),"")</f>
        <v/>
      </c>
      <c r="B220" s="79">
        <f>IF($A220="","",INDEX(Firms!$B$5:$B$1004,MATCH(197,Firms!$V$5:$V$1004,0)))</f>
        <v/>
      </c>
      <c r="C220" s="79">
        <f>IF($A220="","",COUNTIFS('AFA Rates'!$A$5:$A$1004,$A220,'AFA Rates'!$O$5:$O$1004,"&lt;&gt;Expired"))</f>
        <v/>
      </c>
      <c r="D220" s="79">
        <f>IF(OR($A220="",D$23=""),"",IF(COUNTIFS('AFA Rates'!$A$5:$A$1004,$A220,'AFA Rates'!$B$5:$B$1004,D$23,'AFA Rates'!$O$5:$O$1004,"&lt;&gt;Expired")&gt;0,"✓",IF(COUNTIFS('AFA Rates'!$A$5:$A$1004,$A220,'AFA Rates'!$B$5:$B$1004,D$23)&gt;0,"Exp","")))</f>
        <v/>
      </c>
      <c r="E220" s="79">
        <f>IF(OR($A220="",E$23=""),"",IF(COUNTIFS('AFA Rates'!$A$5:$A$1004,$A220,'AFA Rates'!$B$5:$B$1004,E$23,'AFA Rates'!$O$5:$O$1004,"&lt;&gt;Expired")&gt;0,"✓",IF(COUNTIFS('AFA Rates'!$A$5:$A$1004,$A220,'AFA Rates'!$B$5:$B$1004,E$23)&gt;0,"Exp","")))</f>
        <v/>
      </c>
      <c r="F220" s="79">
        <f>IF(OR($A220="",F$23=""),"",IF(COUNTIFS('AFA Rates'!$A$5:$A$1004,$A220,'AFA Rates'!$B$5:$B$1004,F$23,'AFA Rates'!$O$5:$O$1004,"&lt;&gt;Expired")&gt;0,"✓",IF(COUNTIFS('AFA Rates'!$A$5:$A$1004,$A220,'AFA Rates'!$B$5:$B$1004,F$23)&gt;0,"Exp","")))</f>
        <v/>
      </c>
      <c r="G220" s="79">
        <f>IF(OR($A220="",G$23=""),"",IF(COUNTIFS('AFA Rates'!$A$5:$A$1004,$A220,'AFA Rates'!$B$5:$B$1004,G$23,'AFA Rates'!$O$5:$O$1004,"&lt;&gt;Expired")&gt;0,"✓",IF(COUNTIFS('AFA Rates'!$A$5:$A$1004,$A220,'AFA Rates'!$B$5:$B$1004,G$23)&gt;0,"Exp","")))</f>
        <v/>
      </c>
      <c r="H220" s="79">
        <f>IF(OR($A220="",H$23=""),"",IF(COUNTIFS('AFA Rates'!$A$5:$A$1004,$A220,'AFA Rates'!$B$5:$B$1004,H$23,'AFA Rates'!$O$5:$O$1004,"&lt;&gt;Expired")&gt;0,"✓",IF(COUNTIFS('AFA Rates'!$A$5:$A$1004,$A220,'AFA Rates'!$B$5:$B$1004,H$23)&gt;0,"Exp","")))</f>
        <v/>
      </c>
      <c r="I220" s="79">
        <f>IF(OR($A220="",I$23=""),"",IF(COUNTIFS('AFA Rates'!$A$5:$A$1004,$A220,'AFA Rates'!$B$5:$B$1004,I$23,'AFA Rates'!$O$5:$O$1004,"&lt;&gt;Expired")&gt;0,"✓",IF(COUNTIFS('AFA Rates'!$A$5:$A$1004,$A220,'AFA Rates'!$B$5:$B$1004,I$23)&gt;0,"Exp","")))</f>
        <v/>
      </c>
      <c r="J220" s="79">
        <f>IF(OR($A220="",J$23=""),"",IF(COUNTIFS('AFA Rates'!$A$5:$A$1004,$A220,'AFA Rates'!$B$5:$B$1004,J$23,'AFA Rates'!$O$5:$O$1004,"&lt;&gt;Expired")&gt;0,"✓",IF(COUNTIFS('AFA Rates'!$A$5:$A$1004,$A220,'AFA Rates'!$B$5:$B$1004,J$23)&gt;0,"Exp","")))</f>
        <v/>
      </c>
      <c r="K220" s="79">
        <f>IF(OR($A220="",K$23=""),"",IF(COUNTIFS('AFA Rates'!$A$5:$A$1004,$A220,'AFA Rates'!$B$5:$B$1004,K$23,'AFA Rates'!$O$5:$O$1004,"&lt;&gt;Expired")&gt;0,"✓",IF(COUNTIFS('AFA Rates'!$A$5:$A$1004,$A220,'AFA Rates'!$B$5:$B$1004,K$23)&gt;0,"Exp","")))</f>
        <v/>
      </c>
      <c r="L220" s="79">
        <f>IF(OR($A220="",L$23=""),"",IF(COUNTIFS('AFA Rates'!$A$5:$A$1004,$A220,'AFA Rates'!$B$5:$B$1004,L$23,'AFA Rates'!$O$5:$O$1004,"&lt;&gt;Expired")&gt;0,"✓",IF(COUNTIFS('AFA Rates'!$A$5:$A$1004,$A220,'AFA Rates'!$B$5:$B$1004,L$23)&gt;0,"Exp","")))</f>
        <v/>
      </c>
      <c r="M220" s="79">
        <f>IF(OR($A220="",M$23=""),"",IF(COUNTIFS('AFA Rates'!$A$5:$A$1004,$A220,'AFA Rates'!$B$5:$B$1004,M$23,'AFA Rates'!$O$5:$O$1004,"&lt;&gt;Expired")&gt;0,"✓",IF(COUNTIFS('AFA Rates'!$A$5:$A$1004,$A220,'AFA Rates'!$B$5:$B$1004,M$23)&gt;0,"Exp","")))</f>
        <v/>
      </c>
    </row>
    <row r="221">
      <c r="A221" s="78">
        <f>IFERROR(INDEX(Firms!$A$5:$A$1004,MATCH(198,Firms!$V$5:$V$1004,0)),"")</f>
        <v/>
      </c>
      <c r="B221" s="79">
        <f>IF($A221="","",INDEX(Firms!$B$5:$B$1004,MATCH(198,Firms!$V$5:$V$1004,0)))</f>
        <v/>
      </c>
      <c r="C221" s="79">
        <f>IF($A221="","",COUNTIFS('AFA Rates'!$A$5:$A$1004,$A221,'AFA Rates'!$O$5:$O$1004,"&lt;&gt;Expired"))</f>
        <v/>
      </c>
      <c r="D221" s="79">
        <f>IF(OR($A221="",D$23=""),"",IF(COUNTIFS('AFA Rates'!$A$5:$A$1004,$A221,'AFA Rates'!$B$5:$B$1004,D$23,'AFA Rates'!$O$5:$O$1004,"&lt;&gt;Expired")&gt;0,"✓",IF(COUNTIFS('AFA Rates'!$A$5:$A$1004,$A221,'AFA Rates'!$B$5:$B$1004,D$23)&gt;0,"Exp","")))</f>
        <v/>
      </c>
      <c r="E221" s="79">
        <f>IF(OR($A221="",E$23=""),"",IF(COUNTIFS('AFA Rates'!$A$5:$A$1004,$A221,'AFA Rates'!$B$5:$B$1004,E$23,'AFA Rates'!$O$5:$O$1004,"&lt;&gt;Expired")&gt;0,"✓",IF(COUNTIFS('AFA Rates'!$A$5:$A$1004,$A221,'AFA Rates'!$B$5:$B$1004,E$23)&gt;0,"Exp","")))</f>
        <v/>
      </c>
      <c r="F221" s="79">
        <f>IF(OR($A221="",F$23=""),"",IF(COUNTIFS('AFA Rates'!$A$5:$A$1004,$A221,'AFA Rates'!$B$5:$B$1004,F$23,'AFA Rates'!$O$5:$O$1004,"&lt;&gt;Expired")&gt;0,"✓",IF(COUNTIFS('AFA Rates'!$A$5:$A$1004,$A221,'AFA Rates'!$B$5:$B$1004,F$23)&gt;0,"Exp","")))</f>
        <v/>
      </c>
      <c r="G221" s="79">
        <f>IF(OR($A221="",G$23=""),"",IF(COUNTIFS('AFA Rates'!$A$5:$A$1004,$A221,'AFA Rates'!$B$5:$B$1004,G$23,'AFA Rates'!$O$5:$O$1004,"&lt;&gt;Expired")&gt;0,"✓",IF(COUNTIFS('AFA Rates'!$A$5:$A$1004,$A221,'AFA Rates'!$B$5:$B$1004,G$23)&gt;0,"Exp","")))</f>
        <v/>
      </c>
      <c r="H221" s="79">
        <f>IF(OR($A221="",H$23=""),"",IF(COUNTIFS('AFA Rates'!$A$5:$A$1004,$A221,'AFA Rates'!$B$5:$B$1004,H$23,'AFA Rates'!$O$5:$O$1004,"&lt;&gt;Expired")&gt;0,"✓",IF(COUNTIFS('AFA Rates'!$A$5:$A$1004,$A221,'AFA Rates'!$B$5:$B$1004,H$23)&gt;0,"Exp","")))</f>
        <v/>
      </c>
      <c r="I221" s="79">
        <f>IF(OR($A221="",I$23=""),"",IF(COUNTIFS('AFA Rates'!$A$5:$A$1004,$A221,'AFA Rates'!$B$5:$B$1004,I$23,'AFA Rates'!$O$5:$O$1004,"&lt;&gt;Expired")&gt;0,"✓",IF(COUNTIFS('AFA Rates'!$A$5:$A$1004,$A221,'AFA Rates'!$B$5:$B$1004,I$23)&gt;0,"Exp","")))</f>
        <v/>
      </c>
      <c r="J221" s="79">
        <f>IF(OR($A221="",J$23=""),"",IF(COUNTIFS('AFA Rates'!$A$5:$A$1004,$A221,'AFA Rates'!$B$5:$B$1004,J$23,'AFA Rates'!$O$5:$O$1004,"&lt;&gt;Expired")&gt;0,"✓",IF(COUNTIFS('AFA Rates'!$A$5:$A$1004,$A221,'AFA Rates'!$B$5:$B$1004,J$23)&gt;0,"Exp","")))</f>
        <v/>
      </c>
      <c r="K221" s="79">
        <f>IF(OR($A221="",K$23=""),"",IF(COUNTIFS('AFA Rates'!$A$5:$A$1004,$A221,'AFA Rates'!$B$5:$B$1004,K$23,'AFA Rates'!$O$5:$O$1004,"&lt;&gt;Expired")&gt;0,"✓",IF(COUNTIFS('AFA Rates'!$A$5:$A$1004,$A221,'AFA Rates'!$B$5:$B$1004,K$23)&gt;0,"Exp","")))</f>
        <v/>
      </c>
      <c r="L221" s="79">
        <f>IF(OR($A221="",L$23=""),"",IF(COUNTIFS('AFA Rates'!$A$5:$A$1004,$A221,'AFA Rates'!$B$5:$B$1004,L$23,'AFA Rates'!$O$5:$O$1004,"&lt;&gt;Expired")&gt;0,"✓",IF(COUNTIFS('AFA Rates'!$A$5:$A$1004,$A221,'AFA Rates'!$B$5:$B$1004,L$23)&gt;0,"Exp","")))</f>
        <v/>
      </c>
      <c r="M221" s="79">
        <f>IF(OR($A221="",M$23=""),"",IF(COUNTIFS('AFA Rates'!$A$5:$A$1004,$A221,'AFA Rates'!$B$5:$B$1004,M$23,'AFA Rates'!$O$5:$O$1004,"&lt;&gt;Expired")&gt;0,"✓",IF(COUNTIFS('AFA Rates'!$A$5:$A$1004,$A221,'AFA Rates'!$B$5:$B$1004,M$23)&gt;0,"Exp","")))</f>
        <v/>
      </c>
    </row>
    <row r="222">
      <c r="A222" s="78">
        <f>IFERROR(INDEX(Firms!$A$5:$A$1004,MATCH(199,Firms!$V$5:$V$1004,0)),"")</f>
        <v/>
      </c>
      <c r="B222" s="79">
        <f>IF($A222="","",INDEX(Firms!$B$5:$B$1004,MATCH(199,Firms!$V$5:$V$1004,0)))</f>
        <v/>
      </c>
      <c r="C222" s="79">
        <f>IF($A222="","",COUNTIFS('AFA Rates'!$A$5:$A$1004,$A222,'AFA Rates'!$O$5:$O$1004,"&lt;&gt;Expired"))</f>
        <v/>
      </c>
      <c r="D222" s="79">
        <f>IF(OR($A222="",D$23=""),"",IF(COUNTIFS('AFA Rates'!$A$5:$A$1004,$A222,'AFA Rates'!$B$5:$B$1004,D$23,'AFA Rates'!$O$5:$O$1004,"&lt;&gt;Expired")&gt;0,"✓",IF(COUNTIFS('AFA Rates'!$A$5:$A$1004,$A222,'AFA Rates'!$B$5:$B$1004,D$23)&gt;0,"Exp","")))</f>
        <v/>
      </c>
      <c r="E222" s="79">
        <f>IF(OR($A222="",E$23=""),"",IF(COUNTIFS('AFA Rates'!$A$5:$A$1004,$A222,'AFA Rates'!$B$5:$B$1004,E$23,'AFA Rates'!$O$5:$O$1004,"&lt;&gt;Expired")&gt;0,"✓",IF(COUNTIFS('AFA Rates'!$A$5:$A$1004,$A222,'AFA Rates'!$B$5:$B$1004,E$23)&gt;0,"Exp","")))</f>
        <v/>
      </c>
      <c r="F222" s="79">
        <f>IF(OR($A222="",F$23=""),"",IF(COUNTIFS('AFA Rates'!$A$5:$A$1004,$A222,'AFA Rates'!$B$5:$B$1004,F$23,'AFA Rates'!$O$5:$O$1004,"&lt;&gt;Expired")&gt;0,"✓",IF(COUNTIFS('AFA Rates'!$A$5:$A$1004,$A222,'AFA Rates'!$B$5:$B$1004,F$23)&gt;0,"Exp","")))</f>
        <v/>
      </c>
      <c r="G222" s="79">
        <f>IF(OR($A222="",G$23=""),"",IF(COUNTIFS('AFA Rates'!$A$5:$A$1004,$A222,'AFA Rates'!$B$5:$B$1004,G$23,'AFA Rates'!$O$5:$O$1004,"&lt;&gt;Expired")&gt;0,"✓",IF(COUNTIFS('AFA Rates'!$A$5:$A$1004,$A222,'AFA Rates'!$B$5:$B$1004,G$23)&gt;0,"Exp","")))</f>
        <v/>
      </c>
      <c r="H222" s="79">
        <f>IF(OR($A222="",H$23=""),"",IF(COUNTIFS('AFA Rates'!$A$5:$A$1004,$A222,'AFA Rates'!$B$5:$B$1004,H$23,'AFA Rates'!$O$5:$O$1004,"&lt;&gt;Expired")&gt;0,"✓",IF(COUNTIFS('AFA Rates'!$A$5:$A$1004,$A222,'AFA Rates'!$B$5:$B$1004,H$23)&gt;0,"Exp","")))</f>
        <v/>
      </c>
      <c r="I222" s="79">
        <f>IF(OR($A222="",I$23=""),"",IF(COUNTIFS('AFA Rates'!$A$5:$A$1004,$A222,'AFA Rates'!$B$5:$B$1004,I$23,'AFA Rates'!$O$5:$O$1004,"&lt;&gt;Expired")&gt;0,"✓",IF(COUNTIFS('AFA Rates'!$A$5:$A$1004,$A222,'AFA Rates'!$B$5:$B$1004,I$23)&gt;0,"Exp","")))</f>
        <v/>
      </c>
      <c r="J222" s="79">
        <f>IF(OR($A222="",J$23=""),"",IF(COUNTIFS('AFA Rates'!$A$5:$A$1004,$A222,'AFA Rates'!$B$5:$B$1004,J$23,'AFA Rates'!$O$5:$O$1004,"&lt;&gt;Expired")&gt;0,"✓",IF(COUNTIFS('AFA Rates'!$A$5:$A$1004,$A222,'AFA Rates'!$B$5:$B$1004,J$23)&gt;0,"Exp","")))</f>
        <v/>
      </c>
      <c r="K222" s="79">
        <f>IF(OR($A222="",K$23=""),"",IF(COUNTIFS('AFA Rates'!$A$5:$A$1004,$A222,'AFA Rates'!$B$5:$B$1004,K$23,'AFA Rates'!$O$5:$O$1004,"&lt;&gt;Expired")&gt;0,"✓",IF(COUNTIFS('AFA Rates'!$A$5:$A$1004,$A222,'AFA Rates'!$B$5:$B$1004,K$23)&gt;0,"Exp","")))</f>
        <v/>
      </c>
      <c r="L222" s="79">
        <f>IF(OR($A222="",L$23=""),"",IF(COUNTIFS('AFA Rates'!$A$5:$A$1004,$A222,'AFA Rates'!$B$5:$B$1004,L$23,'AFA Rates'!$O$5:$O$1004,"&lt;&gt;Expired")&gt;0,"✓",IF(COUNTIFS('AFA Rates'!$A$5:$A$1004,$A222,'AFA Rates'!$B$5:$B$1004,L$23)&gt;0,"Exp","")))</f>
        <v/>
      </c>
      <c r="M222" s="79">
        <f>IF(OR($A222="",M$23=""),"",IF(COUNTIFS('AFA Rates'!$A$5:$A$1004,$A222,'AFA Rates'!$B$5:$B$1004,M$23,'AFA Rates'!$O$5:$O$1004,"&lt;&gt;Expired")&gt;0,"✓",IF(COUNTIFS('AFA Rates'!$A$5:$A$1004,$A222,'AFA Rates'!$B$5:$B$1004,M$23)&gt;0,"Exp","")))</f>
        <v/>
      </c>
    </row>
    <row r="223">
      <c r="A223" s="78">
        <f>IFERROR(INDEX(Firms!$A$5:$A$1004,MATCH(200,Firms!$V$5:$V$1004,0)),"")</f>
        <v/>
      </c>
      <c r="B223" s="79">
        <f>IF($A223="","",INDEX(Firms!$B$5:$B$1004,MATCH(200,Firms!$V$5:$V$1004,0)))</f>
        <v/>
      </c>
      <c r="C223" s="79">
        <f>IF($A223="","",COUNTIFS('AFA Rates'!$A$5:$A$1004,$A223,'AFA Rates'!$O$5:$O$1004,"&lt;&gt;Expired"))</f>
        <v/>
      </c>
      <c r="D223" s="79">
        <f>IF(OR($A223="",D$23=""),"",IF(COUNTIFS('AFA Rates'!$A$5:$A$1004,$A223,'AFA Rates'!$B$5:$B$1004,D$23,'AFA Rates'!$O$5:$O$1004,"&lt;&gt;Expired")&gt;0,"✓",IF(COUNTIFS('AFA Rates'!$A$5:$A$1004,$A223,'AFA Rates'!$B$5:$B$1004,D$23)&gt;0,"Exp","")))</f>
        <v/>
      </c>
      <c r="E223" s="79">
        <f>IF(OR($A223="",E$23=""),"",IF(COUNTIFS('AFA Rates'!$A$5:$A$1004,$A223,'AFA Rates'!$B$5:$B$1004,E$23,'AFA Rates'!$O$5:$O$1004,"&lt;&gt;Expired")&gt;0,"✓",IF(COUNTIFS('AFA Rates'!$A$5:$A$1004,$A223,'AFA Rates'!$B$5:$B$1004,E$23)&gt;0,"Exp","")))</f>
        <v/>
      </c>
      <c r="F223" s="79">
        <f>IF(OR($A223="",F$23=""),"",IF(COUNTIFS('AFA Rates'!$A$5:$A$1004,$A223,'AFA Rates'!$B$5:$B$1004,F$23,'AFA Rates'!$O$5:$O$1004,"&lt;&gt;Expired")&gt;0,"✓",IF(COUNTIFS('AFA Rates'!$A$5:$A$1004,$A223,'AFA Rates'!$B$5:$B$1004,F$23)&gt;0,"Exp","")))</f>
        <v/>
      </c>
      <c r="G223" s="79">
        <f>IF(OR($A223="",G$23=""),"",IF(COUNTIFS('AFA Rates'!$A$5:$A$1004,$A223,'AFA Rates'!$B$5:$B$1004,G$23,'AFA Rates'!$O$5:$O$1004,"&lt;&gt;Expired")&gt;0,"✓",IF(COUNTIFS('AFA Rates'!$A$5:$A$1004,$A223,'AFA Rates'!$B$5:$B$1004,G$23)&gt;0,"Exp","")))</f>
        <v/>
      </c>
      <c r="H223" s="79">
        <f>IF(OR($A223="",H$23=""),"",IF(COUNTIFS('AFA Rates'!$A$5:$A$1004,$A223,'AFA Rates'!$B$5:$B$1004,H$23,'AFA Rates'!$O$5:$O$1004,"&lt;&gt;Expired")&gt;0,"✓",IF(COUNTIFS('AFA Rates'!$A$5:$A$1004,$A223,'AFA Rates'!$B$5:$B$1004,H$23)&gt;0,"Exp","")))</f>
        <v/>
      </c>
      <c r="I223" s="79">
        <f>IF(OR($A223="",I$23=""),"",IF(COUNTIFS('AFA Rates'!$A$5:$A$1004,$A223,'AFA Rates'!$B$5:$B$1004,I$23,'AFA Rates'!$O$5:$O$1004,"&lt;&gt;Expired")&gt;0,"✓",IF(COUNTIFS('AFA Rates'!$A$5:$A$1004,$A223,'AFA Rates'!$B$5:$B$1004,I$23)&gt;0,"Exp","")))</f>
        <v/>
      </c>
      <c r="J223" s="79">
        <f>IF(OR($A223="",J$23=""),"",IF(COUNTIFS('AFA Rates'!$A$5:$A$1004,$A223,'AFA Rates'!$B$5:$B$1004,J$23,'AFA Rates'!$O$5:$O$1004,"&lt;&gt;Expired")&gt;0,"✓",IF(COUNTIFS('AFA Rates'!$A$5:$A$1004,$A223,'AFA Rates'!$B$5:$B$1004,J$23)&gt;0,"Exp","")))</f>
        <v/>
      </c>
      <c r="K223" s="79">
        <f>IF(OR($A223="",K$23=""),"",IF(COUNTIFS('AFA Rates'!$A$5:$A$1004,$A223,'AFA Rates'!$B$5:$B$1004,K$23,'AFA Rates'!$O$5:$O$1004,"&lt;&gt;Expired")&gt;0,"✓",IF(COUNTIFS('AFA Rates'!$A$5:$A$1004,$A223,'AFA Rates'!$B$5:$B$1004,K$23)&gt;0,"Exp","")))</f>
        <v/>
      </c>
      <c r="L223" s="79">
        <f>IF(OR($A223="",L$23=""),"",IF(COUNTIFS('AFA Rates'!$A$5:$A$1004,$A223,'AFA Rates'!$B$5:$B$1004,L$23,'AFA Rates'!$O$5:$O$1004,"&lt;&gt;Expired")&gt;0,"✓",IF(COUNTIFS('AFA Rates'!$A$5:$A$1004,$A223,'AFA Rates'!$B$5:$B$1004,L$23)&gt;0,"Exp","")))</f>
        <v/>
      </c>
      <c r="M223" s="79">
        <f>IF(OR($A223="",M$23=""),"",IF(COUNTIFS('AFA Rates'!$A$5:$A$1004,$A223,'AFA Rates'!$B$5:$B$1004,M$23,'AFA Rates'!$O$5:$O$1004,"&lt;&gt;Expired")&gt;0,"✓",IF(COUNTIFS('AFA Rates'!$A$5:$A$1004,$A223,'AFA Rates'!$B$5:$B$1004,M$23)&gt;0,"Exp","")))</f>
        <v/>
      </c>
    </row>
    <row r="224">
      <c r="A224" s="78">
        <f>IFERROR(INDEX(Firms!$A$5:$A$1004,MATCH(201,Firms!$V$5:$V$1004,0)),"")</f>
        <v/>
      </c>
      <c r="B224" s="79">
        <f>IF($A224="","",INDEX(Firms!$B$5:$B$1004,MATCH(201,Firms!$V$5:$V$1004,0)))</f>
        <v/>
      </c>
      <c r="C224" s="79">
        <f>IF($A224="","",COUNTIFS('AFA Rates'!$A$5:$A$1004,$A224,'AFA Rates'!$O$5:$O$1004,"&lt;&gt;Expired"))</f>
        <v/>
      </c>
      <c r="D224" s="79">
        <f>IF(OR($A224="",D$23=""),"",IF(COUNTIFS('AFA Rates'!$A$5:$A$1004,$A224,'AFA Rates'!$B$5:$B$1004,D$23,'AFA Rates'!$O$5:$O$1004,"&lt;&gt;Expired")&gt;0,"✓",IF(COUNTIFS('AFA Rates'!$A$5:$A$1004,$A224,'AFA Rates'!$B$5:$B$1004,D$23)&gt;0,"Exp","")))</f>
        <v/>
      </c>
      <c r="E224" s="79">
        <f>IF(OR($A224="",E$23=""),"",IF(COUNTIFS('AFA Rates'!$A$5:$A$1004,$A224,'AFA Rates'!$B$5:$B$1004,E$23,'AFA Rates'!$O$5:$O$1004,"&lt;&gt;Expired")&gt;0,"✓",IF(COUNTIFS('AFA Rates'!$A$5:$A$1004,$A224,'AFA Rates'!$B$5:$B$1004,E$23)&gt;0,"Exp","")))</f>
        <v/>
      </c>
      <c r="F224" s="79">
        <f>IF(OR($A224="",F$23=""),"",IF(COUNTIFS('AFA Rates'!$A$5:$A$1004,$A224,'AFA Rates'!$B$5:$B$1004,F$23,'AFA Rates'!$O$5:$O$1004,"&lt;&gt;Expired")&gt;0,"✓",IF(COUNTIFS('AFA Rates'!$A$5:$A$1004,$A224,'AFA Rates'!$B$5:$B$1004,F$23)&gt;0,"Exp","")))</f>
        <v/>
      </c>
      <c r="G224" s="79">
        <f>IF(OR($A224="",G$23=""),"",IF(COUNTIFS('AFA Rates'!$A$5:$A$1004,$A224,'AFA Rates'!$B$5:$B$1004,G$23,'AFA Rates'!$O$5:$O$1004,"&lt;&gt;Expired")&gt;0,"✓",IF(COUNTIFS('AFA Rates'!$A$5:$A$1004,$A224,'AFA Rates'!$B$5:$B$1004,G$23)&gt;0,"Exp","")))</f>
        <v/>
      </c>
      <c r="H224" s="79">
        <f>IF(OR($A224="",H$23=""),"",IF(COUNTIFS('AFA Rates'!$A$5:$A$1004,$A224,'AFA Rates'!$B$5:$B$1004,H$23,'AFA Rates'!$O$5:$O$1004,"&lt;&gt;Expired")&gt;0,"✓",IF(COUNTIFS('AFA Rates'!$A$5:$A$1004,$A224,'AFA Rates'!$B$5:$B$1004,H$23)&gt;0,"Exp","")))</f>
        <v/>
      </c>
      <c r="I224" s="79">
        <f>IF(OR($A224="",I$23=""),"",IF(COUNTIFS('AFA Rates'!$A$5:$A$1004,$A224,'AFA Rates'!$B$5:$B$1004,I$23,'AFA Rates'!$O$5:$O$1004,"&lt;&gt;Expired")&gt;0,"✓",IF(COUNTIFS('AFA Rates'!$A$5:$A$1004,$A224,'AFA Rates'!$B$5:$B$1004,I$23)&gt;0,"Exp","")))</f>
        <v/>
      </c>
      <c r="J224" s="79">
        <f>IF(OR($A224="",J$23=""),"",IF(COUNTIFS('AFA Rates'!$A$5:$A$1004,$A224,'AFA Rates'!$B$5:$B$1004,J$23,'AFA Rates'!$O$5:$O$1004,"&lt;&gt;Expired")&gt;0,"✓",IF(COUNTIFS('AFA Rates'!$A$5:$A$1004,$A224,'AFA Rates'!$B$5:$B$1004,J$23)&gt;0,"Exp","")))</f>
        <v/>
      </c>
      <c r="K224" s="79">
        <f>IF(OR($A224="",K$23=""),"",IF(COUNTIFS('AFA Rates'!$A$5:$A$1004,$A224,'AFA Rates'!$B$5:$B$1004,K$23,'AFA Rates'!$O$5:$O$1004,"&lt;&gt;Expired")&gt;0,"✓",IF(COUNTIFS('AFA Rates'!$A$5:$A$1004,$A224,'AFA Rates'!$B$5:$B$1004,K$23)&gt;0,"Exp","")))</f>
        <v/>
      </c>
      <c r="L224" s="79">
        <f>IF(OR($A224="",L$23=""),"",IF(COUNTIFS('AFA Rates'!$A$5:$A$1004,$A224,'AFA Rates'!$B$5:$B$1004,L$23,'AFA Rates'!$O$5:$O$1004,"&lt;&gt;Expired")&gt;0,"✓",IF(COUNTIFS('AFA Rates'!$A$5:$A$1004,$A224,'AFA Rates'!$B$5:$B$1004,L$23)&gt;0,"Exp","")))</f>
        <v/>
      </c>
      <c r="M224" s="79">
        <f>IF(OR($A224="",M$23=""),"",IF(COUNTIFS('AFA Rates'!$A$5:$A$1004,$A224,'AFA Rates'!$B$5:$B$1004,M$23,'AFA Rates'!$O$5:$O$1004,"&lt;&gt;Expired")&gt;0,"✓",IF(COUNTIFS('AFA Rates'!$A$5:$A$1004,$A224,'AFA Rates'!$B$5:$B$1004,M$23)&gt;0,"Exp","")))</f>
        <v/>
      </c>
    </row>
    <row r="225">
      <c r="A225" s="78">
        <f>IFERROR(INDEX(Firms!$A$5:$A$1004,MATCH(202,Firms!$V$5:$V$1004,0)),"")</f>
        <v/>
      </c>
      <c r="B225" s="79">
        <f>IF($A225="","",INDEX(Firms!$B$5:$B$1004,MATCH(202,Firms!$V$5:$V$1004,0)))</f>
        <v/>
      </c>
      <c r="C225" s="79">
        <f>IF($A225="","",COUNTIFS('AFA Rates'!$A$5:$A$1004,$A225,'AFA Rates'!$O$5:$O$1004,"&lt;&gt;Expired"))</f>
        <v/>
      </c>
      <c r="D225" s="79">
        <f>IF(OR($A225="",D$23=""),"",IF(COUNTIFS('AFA Rates'!$A$5:$A$1004,$A225,'AFA Rates'!$B$5:$B$1004,D$23,'AFA Rates'!$O$5:$O$1004,"&lt;&gt;Expired")&gt;0,"✓",IF(COUNTIFS('AFA Rates'!$A$5:$A$1004,$A225,'AFA Rates'!$B$5:$B$1004,D$23)&gt;0,"Exp","")))</f>
        <v/>
      </c>
      <c r="E225" s="79">
        <f>IF(OR($A225="",E$23=""),"",IF(COUNTIFS('AFA Rates'!$A$5:$A$1004,$A225,'AFA Rates'!$B$5:$B$1004,E$23,'AFA Rates'!$O$5:$O$1004,"&lt;&gt;Expired")&gt;0,"✓",IF(COUNTIFS('AFA Rates'!$A$5:$A$1004,$A225,'AFA Rates'!$B$5:$B$1004,E$23)&gt;0,"Exp","")))</f>
        <v/>
      </c>
      <c r="F225" s="79">
        <f>IF(OR($A225="",F$23=""),"",IF(COUNTIFS('AFA Rates'!$A$5:$A$1004,$A225,'AFA Rates'!$B$5:$B$1004,F$23,'AFA Rates'!$O$5:$O$1004,"&lt;&gt;Expired")&gt;0,"✓",IF(COUNTIFS('AFA Rates'!$A$5:$A$1004,$A225,'AFA Rates'!$B$5:$B$1004,F$23)&gt;0,"Exp","")))</f>
        <v/>
      </c>
      <c r="G225" s="79">
        <f>IF(OR($A225="",G$23=""),"",IF(COUNTIFS('AFA Rates'!$A$5:$A$1004,$A225,'AFA Rates'!$B$5:$B$1004,G$23,'AFA Rates'!$O$5:$O$1004,"&lt;&gt;Expired")&gt;0,"✓",IF(COUNTIFS('AFA Rates'!$A$5:$A$1004,$A225,'AFA Rates'!$B$5:$B$1004,G$23)&gt;0,"Exp","")))</f>
        <v/>
      </c>
      <c r="H225" s="79">
        <f>IF(OR($A225="",H$23=""),"",IF(COUNTIFS('AFA Rates'!$A$5:$A$1004,$A225,'AFA Rates'!$B$5:$B$1004,H$23,'AFA Rates'!$O$5:$O$1004,"&lt;&gt;Expired")&gt;0,"✓",IF(COUNTIFS('AFA Rates'!$A$5:$A$1004,$A225,'AFA Rates'!$B$5:$B$1004,H$23)&gt;0,"Exp","")))</f>
        <v/>
      </c>
      <c r="I225" s="79">
        <f>IF(OR($A225="",I$23=""),"",IF(COUNTIFS('AFA Rates'!$A$5:$A$1004,$A225,'AFA Rates'!$B$5:$B$1004,I$23,'AFA Rates'!$O$5:$O$1004,"&lt;&gt;Expired")&gt;0,"✓",IF(COUNTIFS('AFA Rates'!$A$5:$A$1004,$A225,'AFA Rates'!$B$5:$B$1004,I$23)&gt;0,"Exp","")))</f>
        <v/>
      </c>
      <c r="J225" s="79">
        <f>IF(OR($A225="",J$23=""),"",IF(COUNTIFS('AFA Rates'!$A$5:$A$1004,$A225,'AFA Rates'!$B$5:$B$1004,J$23,'AFA Rates'!$O$5:$O$1004,"&lt;&gt;Expired")&gt;0,"✓",IF(COUNTIFS('AFA Rates'!$A$5:$A$1004,$A225,'AFA Rates'!$B$5:$B$1004,J$23)&gt;0,"Exp","")))</f>
        <v/>
      </c>
      <c r="K225" s="79">
        <f>IF(OR($A225="",K$23=""),"",IF(COUNTIFS('AFA Rates'!$A$5:$A$1004,$A225,'AFA Rates'!$B$5:$B$1004,K$23,'AFA Rates'!$O$5:$O$1004,"&lt;&gt;Expired")&gt;0,"✓",IF(COUNTIFS('AFA Rates'!$A$5:$A$1004,$A225,'AFA Rates'!$B$5:$B$1004,K$23)&gt;0,"Exp","")))</f>
        <v/>
      </c>
      <c r="L225" s="79">
        <f>IF(OR($A225="",L$23=""),"",IF(COUNTIFS('AFA Rates'!$A$5:$A$1004,$A225,'AFA Rates'!$B$5:$B$1004,L$23,'AFA Rates'!$O$5:$O$1004,"&lt;&gt;Expired")&gt;0,"✓",IF(COUNTIFS('AFA Rates'!$A$5:$A$1004,$A225,'AFA Rates'!$B$5:$B$1004,L$23)&gt;0,"Exp","")))</f>
        <v/>
      </c>
      <c r="M225" s="79">
        <f>IF(OR($A225="",M$23=""),"",IF(COUNTIFS('AFA Rates'!$A$5:$A$1004,$A225,'AFA Rates'!$B$5:$B$1004,M$23,'AFA Rates'!$O$5:$O$1004,"&lt;&gt;Expired")&gt;0,"✓",IF(COUNTIFS('AFA Rates'!$A$5:$A$1004,$A225,'AFA Rates'!$B$5:$B$1004,M$23)&gt;0,"Exp","")))</f>
        <v/>
      </c>
    </row>
    <row r="226">
      <c r="A226" s="78">
        <f>IFERROR(INDEX(Firms!$A$5:$A$1004,MATCH(203,Firms!$V$5:$V$1004,0)),"")</f>
        <v/>
      </c>
      <c r="B226" s="79">
        <f>IF($A226="","",INDEX(Firms!$B$5:$B$1004,MATCH(203,Firms!$V$5:$V$1004,0)))</f>
        <v/>
      </c>
      <c r="C226" s="79">
        <f>IF($A226="","",COUNTIFS('AFA Rates'!$A$5:$A$1004,$A226,'AFA Rates'!$O$5:$O$1004,"&lt;&gt;Expired"))</f>
        <v/>
      </c>
      <c r="D226" s="79">
        <f>IF(OR($A226="",D$23=""),"",IF(COUNTIFS('AFA Rates'!$A$5:$A$1004,$A226,'AFA Rates'!$B$5:$B$1004,D$23,'AFA Rates'!$O$5:$O$1004,"&lt;&gt;Expired")&gt;0,"✓",IF(COUNTIFS('AFA Rates'!$A$5:$A$1004,$A226,'AFA Rates'!$B$5:$B$1004,D$23)&gt;0,"Exp","")))</f>
        <v/>
      </c>
      <c r="E226" s="79">
        <f>IF(OR($A226="",E$23=""),"",IF(COUNTIFS('AFA Rates'!$A$5:$A$1004,$A226,'AFA Rates'!$B$5:$B$1004,E$23,'AFA Rates'!$O$5:$O$1004,"&lt;&gt;Expired")&gt;0,"✓",IF(COUNTIFS('AFA Rates'!$A$5:$A$1004,$A226,'AFA Rates'!$B$5:$B$1004,E$23)&gt;0,"Exp","")))</f>
        <v/>
      </c>
      <c r="F226" s="79">
        <f>IF(OR($A226="",F$23=""),"",IF(COUNTIFS('AFA Rates'!$A$5:$A$1004,$A226,'AFA Rates'!$B$5:$B$1004,F$23,'AFA Rates'!$O$5:$O$1004,"&lt;&gt;Expired")&gt;0,"✓",IF(COUNTIFS('AFA Rates'!$A$5:$A$1004,$A226,'AFA Rates'!$B$5:$B$1004,F$23)&gt;0,"Exp","")))</f>
        <v/>
      </c>
      <c r="G226" s="79">
        <f>IF(OR($A226="",G$23=""),"",IF(COUNTIFS('AFA Rates'!$A$5:$A$1004,$A226,'AFA Rates'!$B$5:$B$1004,G$23,'AFA Rates'!$O$5:$O$1004,"&lt;&gt;Expired")&gt;0,"✓",IF(COUNTIFS('AFA Rates'!$A$5:$A$1004,$A226,'AFA Rates'!$B$5:$B$1004,G$23)&gt;0,"Exp","")))</f>
        <v/>
      </c>
      <c r="H226" s="79">
        <f>IF(OR($A226="",H$23=""),"",IF(COUNTIFS('AFA Rates'!$A$5:$A$1004,$A226,'AFA Rates'!$B$5:$B$1004,H$23,'AFA Rates'!$O$5:$O$1004,"&lt;&gt;Expired")&gt;0,"✓",IF(COUNTIFS('AFA Rates'!$A$5:$A$1004,$A226,'AFA Rates'!$B$5:$B$1004,H$23)&gt;0,"Exp","")))</f>
        <v/>
      </c>
      <c r="I226" s="79">
        <f>IF(OR($A226="",I$23=""),"",IF(COUNTIFS('AFA Rates'!$A$5:$A$1004,$A226,'AFA Rates'!$B$5:$B$1004,I$23,'AFA Rates'!$O$5:$O$1004,"&lt;&gt;Expired")&gt;0,"✓",IF(COUNTIFS('AFA Rates'!$A$5:$A$1004,$A226,'AFA Rates'!$B$5:$B$1004,I$23)&gt;0,"Exp","")))</f>
        <v/>
      </c>
      <c r="J226" s="79">
        <f>IF(OR($A226="",J$23=""),"",IF(COUNTIFS('AFA Rates'!$A$5:$A$1004,$A226,'AFA Rates'!$B$5:$B$1004,J$23,'AFA Rates'!$O$5:$O$1004,"&lt;&gt;Expired")&gt;0,"✓",IF(COUNTIFS('AFA Rates'!$A$5:$A$1004,$A226,'AFA Rates'!$B$5:$B$1004,J$23)&gt;0,"Exp","")))</f>
        <v/>
      </c>
      <c r="K226" s="79">
        <f>IF(OR($A226="",K$23=""),"",IF(COUNTIFS('AFA Rates'!$A$5:$A$1004,$A226,'AFA Rates'!$B$5:$B$1004,K$23,'AFA Rates'!$O$5:$O$1004,"&lt;&gt;Expired")&gt;0,"✓",IF(COUNTIFS('AFA Rates'!$A$5:$A$1004,$A226,'AFA Rates'!$B$5:$B$1004,K$23)&gt;0,"Exp","")))</f>
        <v/>
      </c>
      <c r="L226" s="79">
        <f>IF(OR($A226="",L$23=""),"",IF(COUNTIFS('AFA Rates'!$A$5:$A$1004,$A226,'AFA Rates'!$B$5:$B$1004,L$23,'AFA Rates'!$O$5:$O$1004,"&lt;&gt;Expired")&gt;0,"✓",IF(COUNTIFS('AFA Rates'!$A$5:$A$1004,$A226,'AFA Rates'!$B$5:$B$1004,L$23)&gt;0,"Exp","")))</f>
        <v/>
      </c>
      <c r="M226" s="79">
        <f>IF(OR($A226="",M$23=""),"",IF(COUNTIFS('AFA Rates'!$A$5:$A$1004,$A226,'AFA Rates'!$B$5:$B$1004,M$23,'AFA Rates'!$O$5:$O$1004,"&lt;&gt;Expired")&gt;0,"✓",IF(COUNTIFS('AFA Rates'!$A$5:$A$1004,$A226,'AFA Rates'!$B$5:$B$1004,M$23)&gt;0,"Exp","")))</f>
        <v/>
      </c>
    </row>
    <row r="227">
      <c r="A227" s="78">
        <f>IFERROR(INDEX(Firms!$A$5:$A$1004,MATCH(204,Firms!$V$5:$V$1004,0)),"")</f>
        <v/>
      </c>
      <c r="B227" s="79">
        <f>IF($A227="","",INDEX(Firms!$B$5:$B$1004,MATCH(204,Firms!$V$5:$V$1004,0)))</f>
        <v/>
      </c>
      <c r="C227" s="79">
        <f>IF($A227="","",COUNTIFS('AFA Rates'!$A$5:$A$1004,$A227,'AFA Rates'!$O$5:$O$1004,"&lt;&gt;Expired"))</f>
        <v/>
      </c>
      <c r="D227" s="79">
        <f>IF(OR($A227="",D$23=""),"",IF(COUNTIFS('AFA Rates'!$A$5:$A$1004,$A227,'AFA Rates'!$B$5:$B$1004,D$23,'AFA Rates'!$O$5:$O$1004,"&lt;&gt;Expired")&gt;0,"✓",IF(COUNTIFS('AFA Rates'!$A$5:$A$1004,$A227,'AFA Rates'!$B$5:$B$1004,D$23)&gt;0,"Exp","")))</f>
        <v/>
      </c>
      <c r="E227" s="79">
        <f>IF(OR($A227="",E$23=""),"",IF(COUNTIFS('AFA Rates'!$A$5:$A$1004,$A227,'AFA Rates'!$B$5:$B$1004,E$23,'AFA Rates'!$O$5:$O$1004,"&lt;&gt;Expired")&gt;0,"✓",IF(COUNTIFS('AFA Rates'!$A$5:$A$1004,$A227,'AFA Rates'!$B$5:$B$1004,E$23)&gt;0,"Exp","")))</f>
        <v/>
      </c>
      <c r="F227" s="79">
        <f>IF(OR($A227="",F$23=""),"",IF(COUNTIFS('AFA Rates'!$A$5:$A$1004,$A227,'AFA Rates'!$B$5:$B$1004,F$23,'AFA Rates'!$O$5:$O$1004,"&lt;&gt;Expired")&gt;0,"✓",IF(COUNTIFS('AFA Rates'!$A$5:$A$1004,$A227,'AFA Rates'!$B$5:$B$1004,F$23)&gt;0,"Exp","")))</f>
        <v/>
      </c>
      <c r="G227" s="79">
        <f>IF(OR($A227="",G$23=""),"",IF(COUNTIFS('AFA Rates'!$A$5:$A$1004,$A227,'AFA Rates'!$B$5:$B$1004,G$23,'AFA Rates'!$O$5:$O$1004,"&lt;&gt;Expired")&gt;0,"✓",IF(COUNTIFS('AFA Rates'!$A$5:$A$1004,$A227,'AFA Rates'!$B$5:$B$1004,G$23)&gt;0,"Exp","")))</f>
        <v/>
      </c>
      <c r="H227" s="79">
        <f>IF(OR($A227="",H$23=""),"",IF(COUNTIFS('AFA Rates'!$A$5:$A$1004,$A227,'AFA Rates'!$B$5:$B$1004,H$23,'AFA Rates'!$O$5:$O$1004,"&lt;&gt;Expired")&gt;0,"✓",IF(COUNTIFS('AFA Rates'!$A$5:$A$1004,$A227,'AFA Rates'!$B$5:$B$1004,H$23)&gt;0,"Exp","")))</f>
        <v/>
      </c>
      <c r="I227" s="79">
        <f>IF(OR($A227="",I$23=""),"",IF(COUNTIFS('AFA Rates'!$A$5:$A$1004,$A227,'AFA Rates'!$B$5:$B$1004,I$23,'AFA Rates'!$O$5:$O$1004,"&lt;&gt;Expired")&gt;0,"✓",IF(COUNTIFS('AFA Rates'!$A$5:$A$1004,$A227,'AFA Rates'!$B$5:$B$1004,I$23)&gt;0,"Exp","")))</f>
        <v/>
      </c>
      <c r="J227" s="79">
        <f>IF(OR($A227="",J$23=""),"",IF(COUNTIFS('AFA Rates'!$A$5:$A$1004,$A227,'AFA Rates'!$B$5:$B$1004,J$23,'AFA Rates'!$O$5:$O$1004,"&lt;&gt;Expired")&gt;0,"✓",IF(COUNTIFS('AFA Rates'!$A$5:$A$1004,$A227,'AFA Rates'!$B$5:$B$1004,J$23)&gt;0,"Exp","")))</f>
        <v/>
      </c>
      <c r="K227" s="79">
        <f>IF(OR($A227="",K$23=""),"",IF(COUNTIFS('AFA Rates'!$A$5:$A$1004,$A227,'AFA Rates'!$B$5:$B$1004,K$23,'AFA Rates'!$O$5:$O$1004,"&lt;&gt;Expired")&gt;0,"✓",IF(COUNTIFS('AFA Rates'!$A$5:$A$1004,$A227,'AFA Rates'!$B$5:$B$1004,K$23)&gt;0,"Exp","")))</f>
        <v/>
      </c>
      <c r="L227" s="79">
        <f>IF(OR($A227="",L$23=""),"",IF(COUNTIFS('AFA Rates'!$A$5:$A$1004,$A227,'AFA Rates'!$B$5:$B$1004,L$23,'AFA Rates'!$O$5:$O$1004,"&lt;&gt;Expired")&gt;0,"✓",IF(COUNTIFS('AFA Rates'!$A$5:$A$1004,$A227,'AFA Rates'!$B$5:$B$1004,L$23)&gt;0,"Exp","")))</f>
        <v/>
      </c>
      <c r="M227" s="79">
        <f>IF(OR($A227="",M$23=""),"",IF(COUNTIFS('AFA Rates'!$A$5:$A$1004,$A227,'AFA Rates'!$B$5:$B$1004,M$23,'AFA Rates'!$O$5:$O$1004,"&lt;&gt;Expired")&gt;0,"✓",IF(COUNTIFS('AFA Rates'!$A$5:$A$1004,$A227,'AFA Rates'!$B$5:$B$1004,M$23)&gt;0,"Exp","")))</f>
        <v/>
      </c>
    </row>
    <row r="228">
      <c r="A228" s="78">
        <f>IFERROR(INDEX(Firms!$A$5:$A$1004,MATCH(205,Firms!$V$5:$V$1004,0)),"")</f>
        <v/>
      </c>
      <c r="B228" s="79">
        <f>IF($A228="","",INDEX(Firms!$B$5:$B$1004,MATCH(205,Firms!$V$5:$V$1004,0)))</f>
        <v/>
      </c>
      <c r="C228" s="79">
        <f>IF($A228="","",COUNTIFS('AFA Rates'!$A$5:$A$1004,$A228,'AFA Rates'!$O$5:$O$1004,"&lt;&gt;Expired"))</f>
        <v/>
      </c>
      <c r="D228" s="79">
        <f>IF(OR($A228="",D$23=""),"",IF(COUNTIFS('AFA Rates'!$A$5:$A$1004,$A228,'AFA Rates'!$B$5:$B$1004,D$23,'AFA Rates'!$O$5:$O$1004,"&lt;&gt;Expired")&gt;0,"✓",IF(COUNTIFS('AFA Rates'!$A$5:$A$1004,$A228,'AFA Rates'!$B$5:$B$1004,D$23)&gt;0,"Exp","")))</f>
        <v/>
      </c>
      <c r="E228" s="79">
        <f>IF(OR($A228="",E$23=""),"",IF(COUNTIFS('AFA Rates'!$A$5:$A$1004,$A228,'AFA Rates'!$B$5:$B$1004,E$23,'AFA Rates'!$O$5:$O$1004,"&lt;&gt;Expired")&gt;0,"✓",IF(COUNTIFS('AFA Rates'!$A$5:$A$1004,$A228,'AFA Rates'!$B$5:$B$1004,E$23)&gt;0,"Exp","")))</f>
        <v/>
      </c>
      <c r="F228" s="79">
        <f>IF(OR($A228="",F$23=""),"",IF(COUNTIFS('AFA Rates'!$A$5:$A$1004,$A228,'AFA Rates'!$B$5:$B$1004,F$23,'AFA Rates'!$O$5:$O$1004,"&lt;&gt;Expired")&gt;0,"✓",IF(COUNTIFS('AFA Rates'!$A$5:$A$1004,$A228,'AFA Rates'!$B$5:$B$1004,F$23)&gt;0,"Exp","")))</f>
        <v/>
      </c>
      <c r="G228" s="79">
        <f>IF(OR($A228="",G$23=""),"",IF(COUNTIFS('AFA Rates'!$A$5:$A$1004,$A228,'AFA Rates'!$B$5:$B$1004,G$23,'AFA Rates'!$O$5:$O$1004,"&lt;&gt;Expired")&gt;0,"✓",IF(COUNTIFS('AFA Rates'!$A$5:$A$1004,$A228,'AFA Rates'!$B$5:$B$1004,G$23)&gt;0,"Exp","")))</f>
        <v/>
      </c>
      <c r="H228" s="79">
        <f>IF(OR($A228="",H$23=""),"",IF(COUNTIFS('AFA Rates'!$A$5:$A$1004,$A228,'AFA Rates'!$B$5:$B$1004,H$23,'AFA Rates'!$O$5:$O$1004,"&lt;&gt;Expired")&gt;0,"✓",IF(COUNTIFS('AFA Rates'!$A$5:$A$1004,$A228,'AFA Rates'!$B$5:$B$1004,H$23)&gt;0,"Exp","")))</f>
        <v/>
      </c>
      <c r="I228" s="79">
        <f>IF(OR($A228="",I$23=""),"",IF(COUNTIFS('AFA Rates'!$A$5:$A$1004,$A228,'AFA Rates'!$B$5:$B$1004,I$23,'AFA Rates'!$O$5:$O$1004,"&lt;&gt;Expired")&gt;0,"✓",IF(COUNTIFS('AFA Rates'!$A$5:$A$1004,$A228,'AFA Rates'!$B$5:$B$1004,I$23)&gt;0,"Exp","")))</f>
        <v/>
      </c>
      <c r="J228" s="79">
        <f>IF(OR($A228="",J$23=""),"",IF(COUNTIFS('AFA Rates'!$A$5:$A$1004,$A228,'AFA Rates'!$B$5:$B$1004,J$23,'AFA Rates'!$O$5:$O$1004,"&lt;&gt;Expired")&gt;0,"✓",IF(COUNTIFS('AFA Rates'!$A$5:$A$1004,$A228,'AFA Rates'!$B$5:$B$1004,J$23)&gt;0,"Exp","")))</f>
        <v/>
      </c>
      <c r="K228" s="79">
        <f>IF(OR($A228="",K$23=""),"",IF(COUNTIFS('AFA Rates'!$A$5:$A$1004,$A228,'AFA Rates'!$B$5:$B$1004,K$23,'AFA Rates'!$O$5:$O$1004,"&lt;&gt;Expired")&gt;0,"✓",IF(COUNTIFS('AFA Rates'!$A$5:$A$1004,$A228,'AFA Rates'!$B$5:$B$1004,K$23)&gt;0,"Exp","")))</f>
        <v/>
      </c>
      <c r="L228" s="79">
        <f>IF(OR($A228="",L$23=""),"",IF(COUNTIFS('AFA Rates'!$A$5:$A$1004,$A228,'AFA Rates'!$B$5:$B$1004,L$23,'AFA Rates'!$O$5:$O$1004,"&lt;&gt;Expired")&gt;0,"✓",IF(COUNTIFS('AFA Rates'!$A$5:$A$1004,$A228,'AFA Rates'!$B$5:$B$1004,L$23)&gt;0,"Exp","")))</f>
        <v/>
      </c>
      <c r="M228" s="79">
        <f>IF(OR($A228="",M$23=""),"",IF(COUNTIFS('AFA Rates'!$A$5:$A$1004,$A228,'AFA Rates'!$B$5:$B$1004,M$23,'AFA Rates'!$O$5:$O$1004,"&lt;&gt;Expired")&gt;0,"✓",IF(COUNTIFS('AFA Rates'!$A$5:$A$1004,$A228,'AFA Rates'!$B$5:$B$1004,M$23)&gt;0,"Exp","")))</f>
        <v/>
      </c>
    </row>
    <row r="229">
      <c r="A229" s="78">
        <f>IFERROR(INDEX(Firms!$A$5:$A$1004,MATCH(206,Firms!$V$5:$V$1004,0)),"")</f>
        <v/>
      </c>
      <c r="B229" s="79">
        <f>IF($A229="","",INDEX(Firms!$B$5:$B$1004,MATCH(206,Firms!$V$5:$V$1004,0)))</f>
        <v/>
      </c>
      <c r="C229" s="79">
        <f>IF($A229="","",COUNTIFS('AFA Rates'!$A$5:$A$1004,$A229,'AFA Rates'!$O$5:$O$1004,"&lt;&gt;Expired"))</f>
        <v/>
      </c>
      <c r="D229" s="79">
        <f>IF(OR($A229="",D$23=""),"",IF(COUNTIFS('AFA Rates'!$A$5:$A$1004,$A229,'AFA Rates'!$B$5:$B$1004,D$23,'AFA Rates'!$O$5:$O$1004,"&lt;&gt;Expired")&gt;0,"✓",IF(COUNTIFS('AFA Rates'!$A$5:$A$1004,$A229,'AFA Rates'!$B$5:$B$1004,D$23)&gt;0,"Exp","")))</f>
        <v/>
      </c>
      <c r="E229" s="79">
        <f>IF(OR($A229="",E$23=""),"",IF(COUNTIFS('AFA Rates'!$A$5:$A$1004,$A229,'AFA Rates'!$B$5:$B$1004,E$23,'AFA Rates'!$O$5:$O$1004,"&lt;&gt;Expired")&gt;0,"✓",IF(COUNTIFS('AFA Rates'!$A$5:$A$1004,$A229,'AFA Rates'!$B$5:$B$1004,E$23)&gt;0,"Exp","")))</f>
        <v/>
      </c>
      <c r="F229" s="79">
        <f>IF(OR($A229="",F$23=""),"",IF(COUNTIFS('AFA Rates'!$A$5:$A$1004,$A229,'AFA Rates'!$B$5:$B$1004,F$23,'AFA Rates'!$O$5:$O$1004,"&lt;&gt;Expired")&gt;0,"✓",IF(COUNTIFS('AFA Rates'!$A$5:$A$1004,$A229,'AFA Rates'!$B$5:$B$1004,F$23)&gt;0,"Exp","")))</f>
        <v/>
      </c>
      <c r="G229" s="79">
        <f>IF(OR($A229="",G$23=""),"",IF(COUNTIFS('AFA Rates'!$A$5:$A$1004,$A229,'AFA Rates'!$B$5:$B$1004,G$23,'AFA Rates'!$O$5:$O$1004,"&lt;&gt;Expired")&gt;0,"✓",IF(COUNTIFS('AFA Rates'!$A$5:$A$1004,$A229,'AFA Rates'!$B$5:$B$1004,G$23)&gt;0,"Exp","")))</f>
        <v/>
      </c>
      <c r="H229" s="79">
        <f>IF(OR($A229="",H$23=""),"",IF(COUNTIFS('AFA Rates'!$A$5:$A$1004,$A229,'AFA Rates'!$B$5:$B$1004,H$23,'AFA Rates'!$O$5:$O$1004,"&lt;&gt;Expired")&gt;0,"✓",IF(COUNTIFS('AFA Rates'!$A$5:$A$1004,$A229,'AFA Rates'!$B$5:$B$1004,H$23)&gt;0,"Exp","")))</f>
        <v/>
      </c>
      <c r="I229" s="79">
        <f>IF(OR($A229="",I$23=""),"",IF(COUNTIFS('AFA Rates'!$A$5:$A$1004,$A229,'AFA Rates'!$B$5:$B$1004,I$23,'AFA Rates'!$O$5:$O$1004,"&lt;&gt;Expired")&gt;0,"✓",IF(COUNTIFS('AFA Rates'!$A$5:$A$1004,$A229,'AFA Rates'!$B$5:$B$1004,I$23)&gt;0,"Exp","")))</f>
        <v/>
      </c>
      <c r="J229" s="79">
        <f>IF(OR($A229="",J$23=""),"",IF(COUNTIFS('AFA Rates'!$A$5:$A$1004,$A229,'AFA Rates'!$B$5:$B$1004,J$23,'AFA Rates'!$O$5:$O$1004,"&lt;&gt;Expired")&gt;0,"✓",IF(COUNTIFS('AFA Rates'!$A$5:$A$1004,$A229,'AFA Rates'!$B$5:$B$1004,J$23)&gt;0,"Exp","")))</f>
        <v/>
      </c>
      <c r="K229" s="79">
        <f>IF(OR($A229="",K$23=""),"",IF(COUNTIFS('AFA Rates'!$A$5:$A$1004,$A229,'AFA Rates'!$B$5:$B$1004,K$23,'AFA Rates'!$O$5:$O$1004,"&lt;&gt;Expired")&gt;0,"✓",IF(COUNTIFS('AFA Rates'!$A$5:$A$1004,$A229,'AFA Rates'!$B$5:$B$1004,K$23)&gt;0,"Exp","")))</f>
        <v/>
      </c>
      <c r="L229" s="79">
        <f>IF(OR($A229="",L$23=""),"",IF(COUNTIFS('AFA Rates'!$A$5:$A$1004,$A229,'AFA Rates'!$B$5:$B$1004,L$23,'AFA Rates'!$O$5:$O$1004,"&lt;&gt;Expired")&gt;0,"✓",IF(COUNTIFS('AFA Rates'!$A$5:$A$1004,$A229,'AFA Rates'!$B$5:$B$1004,L$23)&gt;0,"Exp","")))</f>
        <v/>
      </c>
      <c r="M229" s="79">
        <f>IF(OR($A229="",M$23=""),"",IF(COUNTIFS('AFA Rates'!$A$5:$A$1004,$A229,'AFA Rates'!$B$5:$B$1004,M$23,'AFA Rates'!$O$5:$O$1004,"&lt;&gt;Expired")&gt;0,"✓",IF(COUNTIFS('AFA Rates'!$A$5:$A$1004,$A229,'AFA Rates'!$B$5:$B$1004,M$23)&gt;0,"Exp","")))</f>
        <v/>
      </c>
    </row>
    <row r="230">
      <c r="A230" s="78">
        <f>IFERROR(INDEX(Firms!$A$5:$A$1004,MATCH(207,Firms!$V$5:$V$1004,0)),"")</f>
        <v/>
      </c>
      <c r="B230" s="79">
        <f>IF($A230="","",INDEX(Firms!$B$5:$B$1004,MATCH(207,Firms!$V$5:$V$1004,0)))</f>
        <v/>
      </c>
      <c r="C230" s="79">
        <f>IF($A230="","",COUNTIFS('AFA Rates'!$A$5:$A$1004,$A230,'AFA Rates'!$O$5:$O$1004,"&lt;&gt;Expired"))</f>
        <v/>
      </c>
      <c r="D230" s="79">
        <f>IF(OR($A230="",D$23=""),"",IF(COUNTIFS('AFA Rates'!$A$5:$A$1004,$A230,'AFA Rates'!$B$5:$B$1004,D$23,'AFA Rates'!$O$5:$O$1004,"&lt;&gt;Expired")&gt;0,"✓",IF(COUNTIFS('AFA Rates'!$A$5:$A$1004,$A230,'AFA Rates'!$B$5:$B$1004,D$23)&gt;0,"Exp","")))</f>
        <v/>
      </c>
      <c r="E230" s="79">
        <f>IF(OR($A230="",E$23=""),"",IF(COUNTIFS('AFA Rates'!$A$5:$A$1004,$A230,'AFA Rates'!$B$5:$B$1004,E$23,'AFA Rates'!$O$5:$O$1004,"&lt;&gt;Expired")&gt;0,"✓",IF(COUNTIFS('AFA Rates'!$A$5:$A$1004,$A230,'AFA Rates'!$B$5:$B$1004,E$23)&gt;0,"Exp","")))</f>
        <v/>
      </c>
      <c r="F230" s="79">
        <f>IF(OR($A230="",F$23=""),"",IF(COUNTIFS('AFA Rates'!$A$5:$A$1004,$A230,'AFA Rates'!$B$5:$B$1004,F$23,'AFA Rates'!$O$5:$O$1004,"&lt;&gt;Expired")&gt;0,"✓",IF(COUNTIFS('AFA Rates'!$A$5:$A$1004,$A230,'AFA Rates'!$B$5:$B$1004,F$23)&gt;0,"Exp","")))</f>
        <v/>
      </c>
      <c r="G230" s="79">
        <f>IF(OR($A230="",G$23=""),"",IF(COUNTIFS('AFA Rates'!$A$5:$A$1004,$A230,'AFA Rates'!$B$5:$B$1004,G$23,'AFA Rates'!$O$5:$O$1004,"&lt;&gt;Expired")&gt;0,"✓",IF(COUNTIFS('AFA Rates'!$A$5:$A$1004,$A230,'AFA Rates'!$B$5:$B$1004,G$23)&gt;0,"Exp","")))</f>
        <v/>
      </c>
      <c r="H230" s="79">
        <f>IF(OR($A230="",H$23=""),"",IF(COUNTIFS('AFA Rates'!$A$5:$A$1004,$A230,'AFA Rates'!$B$5:$B$1004,H$23,'AFA Rates'!$O$5:$O$1004,"&lt;&gt;Expired")&gt;0,"✓",IF(COUNTIFS('AFA Rates'!$A$5:$A$1004,$A230,'AFA Rates'!$B$5:$B$1004,H$23)&gt;0,"Exp","")))</f>
        <v/>
      </c>
      <c r="I230" s="79">
        <f>IF(OR($A230="",I$23=""),"",IF(COUNTIFS('AFA Rates'!$A$5:$A$1004,$A230,'AFA Rates'!$B$5:$B$1004,I$23,'AFA Rates'!$O$5:$O$1004,"&lt;&gt;Expired")&gt;0,"✓",IF(COUNTIFS('AFA Rates'!$A$5:$A$1004,$A230,'AFA Rates'!$B$5:$B$1004,I$23)&gt;0,"Exp","")))</f>
        <v/>
      </c>
      <c r="J230" s="79">
        <f>IF(OR($A230="",J$23=""),"",IF(COUNTIFS('AFA Rates'!$A$5:$A$1004,$A230,'AFA Rates'!$B$5:$B$1004,J$23,'AFA Rates'!$O$5:$O$1004,"&lt;&gt;Expired")&gt;0,"✓",IF(COUNTIFS('AFA Rates'!$A$5:$A$1004,$A230,'AFA Rates'!$B$5:$B$1004,J$23)&gt;0,"Exp","")))</f>
        <v/>
      </c>
      <c r="K230" s="79">
        <f>IF(OR($A230="",K$23=""),"",IF(COUNTIFS('AFA Rates'!$A$5:$A$1004,$A230,'AFA Rates'!$B$5:$B$1004,K$23,'AFA Rates'!$O$5:$O$1004,"&lt;&gt;Expired")&gt;0,"✓",IF(COUNTIFS('AFA Rates'!$A$5:$A$1004,$A230,'AFA Rates'!$B$5:$B$1004,K$23)&gt;0,"Exp","")))</f>
        <v/>
      </c>
      <c r="L230" s="79">
        <f>IF(OR($A230="",L$23=""),"",IF(COUNTIFS('AFA Rates'!$A$5:$A$1004,$A230,'AFA Rates'!$B$5:$B$1004,L$23,'AFA Rates'!$O$5:$O$1004,"&lt;&gt;Expired")&gt;0,"✓",IF(COUNTIFS('AFA Rates'!$A$5:$A$1004,$A230,'AFA Rates'!$B$5:$B$1004,L$23)&gt;0,"Exp","")))</f>
        <v/>
      </c>
      <c r="M230" s="79">
        <f>IF(OR($A230="",M$23=""),"",IF(COUNTIFS('AFA Rates'!$A$5:$A$1004,$A230,'AFA Rates'!$B$5:$B$1004,M$23,'AFA Rates'!$O$5:$O$1004,"&lt;&gt;Expired")&gt;0,"✓",IF(COUNTIFS('AFA Rates'!$A$5:$A$1004,$A230,'AFA Rates'!$B$5:$B$1004,M$23)&gt;0,"Exp","")))</f>
        <v/>
      </c>
    </row>
    <row r="231">
      <c r="A231" s="78">
        <f>IFERROR(INDEX(Firms!$A$5:$A$1004,MATCH(208,Firms!$V$5:$V$1004,0)),"")</f>
        <v/>
      </c>
      <c r="B231" s="79">
        <f>IF($A231="","",INDEX(Firms!$B$5:$B$1004,MATCH(208,Firms!$V$5:$V$1004,0)))</f>
        <v/>
      </c>
      <c r="C231" s="79">
        <f>IF($A231="","",COUNTIFS('AFA Rates'!$A$5:$A$1004,$A231,'AFA Rates'!$O$5:$O$1004,"&lt;&gt;Expired"))</f>
        <v/>
      </c>
      <c r="D231" s="79">
        <f>IF(OR($A231="",D$23=""),"",IF(COUNTIFS('AFA Rates'!$A$5:$A$1004,$A231,'AFA Rates'!$B$5:$B$1004,D$23,'AFA Rates'!$O$5:$O$1004,"&lt;&gt;Expired")&gt;0,"✓",IF(COUNTIFS('AFA Rates'!$A$5:$A$1004,$A231,'AFA Rates'!$B$5:$B$1004,D$23)&gt;0,"Exp","")))</f>
        <v/>
      </c>
      <c r="E231" s="79">
        <f>IF(OR($A231="",E$23=""),"",IF(COUNTIFS('AFA Rates'!$A$5:$A$1004,$A231,'AFA Rates'!$B$5:$B$1004,E$23,'AFA Rates'!$O$5:$O$1004,"&lt;&gt;Expired")&gt;0,"✓",IF(COUNTIFS('AFA Rates'!$A$5:$A$1004,$A231,'AFA Rates'!$B$5:$B$1004,E$23)&gt;0,"Exp","")))</f>
        <v/>
      </c>
      <c r="F231" s="79">
        <f>IF(OR($A231="",F$23=""),"",IF(COUNTIFS('AFA Rates'!$A$5:$A$1004,$A231,'AFA Rates'!$B$5:$B$1004,F$23,'AFA Rates'!$O$5:$O$1004,"&lt;&gt;Expired")&gt;0,"✓",IF(COUNTIFS('AFA Rates'!$A$5:$A$1004,$A231,'AFA Rates'!$B$5:$B$1004,F$23)&gt;0,"Exp","")))</f>
        <v/>
      </c>
      <c r="G231" s="79">
        <f>IF(OR($A231="",G$23=""),"",IF(COUNTIFS('AFA Rates'!$A$5:$A$1004,$A231,'AFA Rates'!$B$5:$B$1004,G$23,'AFA Rates'!$O$5:$O$1004,"&lt;&gt;Expired")&gt;0,"✓",IF(COUNTIFS('AFA Rates'!$A$5:$A$1004,$A231,'AFA Rates'!$B$5:$B$1004,G$23)&gt;0,"Exp","")))</f>
        <v/>
      </c>
      <c r="H231" s="79">
        <f>IF(OR($A231="",H$23=""),"",IF(COUNTIFS('AFA Rates'!$A$5:$A$1004,$A231,'AFA Rates'!$B$5:$B$1004,H$23,'AFA Rates'!$O$5:$O$1004,"&lt;&gt;Expired")&gt;0,"✓",IF(COUNTIFS('AFA Rates'!$A$5:$A$1004,$A231,'AFA Rates'!$B$5:$B$1004,H$23)&gt;0,"Exp","")))</f>
        <v/>
      </c>
      <c r="I231" s="79">
        <f>IF(OR($A231="",I$23=""),"",IF(COUNTIFS('AFA Rates'!$A$5:$A$1004,$A231,'AFA Rates'!$B$5:$B$1004,I$23,'AFA Rates'!$O$5:$O$1004,"&lt;&gt;Expired")&gt;0,"✓",IF(COUNTIFS('AFA Rates'!$A$5:$A$1004,$A231,'AFA Rates'!$B$5:$B$1004,I$23)&gt;0,"Exp","")))</f>
        <v/>
      </c>
      <c r="J231" s="79">
        <f>IF(OR($A231="",J$23=""),"",IF(COUNTIFS('AFA Rates'!$A$5:$A$1004,$A231,'AFA Rates'!$B$5:$B$1004,J$23,'AFA Rates'!$O$5:$O$1004,"&lt;&gt;Expired")&gt;0,"✓",IF(COUNTIFS('AFA Rates'!$A$5:$A$1004,$A231,'AFA Rates'!$B$5:$B$1004,J$23)&gt;0,"Exp","")))</f>
        <v/>
      </c>
      <c r="K231" s="79">
        <f>IF(OR($A231="",K$23=""),"",IF(COUNTIFS('AFA Rates'!$A$5:$A$1004,$A231,'AFA Rates'!$B$5:$B$1004,K$23,'AFA Rates'!$O$5:$O$1004,"&lt;&gt;Expired")&gt;0,"✓",IF(COUNTIFS('AFA Rates'!$A$5:$A$1004,$A231,'AFA Rates'!$B$5:$B$1004,K$23)&gt;0,"Exp","")))</f>
        <v/>
      </c>
      <c r="L231" s="79">
        <f>IF(OR($A231="",L$23=""),"",IF(COUNTIFS('AFA Rates'!$A$5:$A$1004,$A231,'AFA Rates'!$B$5:$B$1004,L$23,'AFA Rates'!$O$5:$O$1004,"&lt;&gt;Expired")&gt;0,"✓",IF(COUNTIFS('AFA Rates'!$A$5:$A$1004,$A231,'AFA Rates'!$B$5:$B$1004,L$23)&gt;0,"Exp","")))</f>
        <v/>
      </c>
      <c r="M231" s="79">
        <f>IF(OR($A231="",M$23=""),"",IF(COUNTIFS('AFA Rates'!$A$5:$A$1004,$A231,'AFA Rates'!$B$5:$B$1004,M$23,'AFA Rates'!$O$5:$O$1004,"&lt;&gt;Expired")&gt;0,"✓",IF(COUNTIFS('AFA Rates'!$A$5:$A$1004,$A231,'AFA Rates'!$B$5:$B$1004,M$23)&gt;0,"Exp","")))</f>
        <v/>
      </c>
    </row>
    <row r="232">
      <c r="A232" s="78">
        <f>IFERROR(INDEX(Firms!$A$5:$A$1004,MATCH(209,Firms!$V$5:$V$1004,0)),"")</f>
        <v/>
      </c>
      <c r="B232" s="79">
        <f>IF($A232="","",INDEX(Firms!$B$5:$B$1004,MATCH(209,Firms!$V$5:$V$1004,0)))</f>
        <v/>
      </c>
      <c r="C232" s="79">
        <f>IF($A232="","",COUNTIFS('AFA Rates'!$A$5:$A$1004,$A232,'AFA Rates'!$O$5:$O$1004,"&lt;&gt;Expired"))</f>
        <v/>
      </c>
      <c r="D232" s="79">
        <f>IF(OR($A232="",D$23=""),"",IF(COUNTIFS('AFA Rates'!$A$5:$A$1004,$A232,'AFA Rates'!$B$5:$B$1004,D$23,'AFA Rates'!$O$5:$O$1004,"&lt;&gt;Expired")&gt;0,"✓",IF(COUNTIFS('AFA Rates'!$A$5:$A$1004,$A232,'AFA Rates'!$B$5:$B$1004,D$23)&gt;0,"Exp","")))</f>
        <v/>
      </c>
      <c r="E232" s="79">
        <f>IF(OR($A232="",E$23=""),"",IF(COUNTIFS('AFA Rates'!$A$5:$A$1004,$A232,'AFA Rates'!$B$5:$B$1004,E$23,'AFA Rates'!$O$5:$O$1004,"&lt;&gt;Expired")&gt;0,"✓",IF(COUNTIFS('AFA Rates'!$A$5:$A$1004,$A232,'AFA Rates'!$B$5:$B$1004,E$23)&gt;0,"Exp","")))</f>
        <v/>
      </c>
      <c r="F232" s="79">
        <f>IF(OR($A232="",F$23=""),"",IF(COUNTIFS('AFA Rates'!$A$5:$A$1004,$A232,'AFA Rates'!$B$5:$B$1004,F$23,'AFA Rates'!$O$5:$O$1004,"&lt;&gt;Expired")&gt;0,"✓",IF(COUNTIFS('AFA Rates'!$A$5:$A$1004,$A232,'AFA Rates'!$B$5:$B$1004,F$23)&gt;0,"Exp","")))</f>
        <v/>
      </c>
      <c r="G232" s="79">
        <f>IF(OR($A232="",G$23=""),"",IF(COUNTIFS('AFA Rates'!$A$5:$A$1004,$A232,'AFA Rates'!$B$5:$B$1004,G$23,'AFA Rates'!$O$5:$O$1004,"&lt;&gt;Expired")&gt;0,"✓",IF(COUNTIFS('AFA Rates'!$A$5:$A$1004,$A232,'AFA Rates'!$B$5:$B$1004,G$23)&gt;0,"Exp","")))</f>
        <v/>
      </c>
      <c r="H232" s="79">
        <f>IF(OR($A232="",H$23=""),"",IF(COUNTIFS('AFA Rates'!$A$5:$A$1004,$A232,'AFA Rates'!$B$5:$B$1004,H$23,'AFA Rates'!$O$5:$O$1004,"&lt;&gt;Expired")&gt;0,"✓",IF(COUNTIFS('AFA Rates'!$A$5:$A$1004,$A232,'AFA Rates'!$B$5:$B$1004,H$23)&gt;0,"Exp","")))</f>
        <v/>
      </c>
      <c r="I232" s="79">
        <f>IF(OR($A232="",I$23=""),"",IF(COUNTIFS('AFA Rates'!$A$5:$A$1004,$A232,'AFA Rates'!$B$5:$B$1004,I$23,'AFA Rates'!$O$5:$O$1004,"&lt;&gt;Expired")&gt;0,"✓",IF(COUNTIFS('AFA Rates'!$A$5:$A$1004,$A232,'AFA Rates'!$B$5:$B$1004,I$23)&gt;0,"Exp","")))</f>
        <v/>
      </c>
      <c r="J232" s="79">
        <f>IF(OR($A232="",J$23=""),"",IF(COUNTIFS('AFA Rates'!$A$5:$A$1004,$A232,'AFA Rates'!$B$5:$B$1004,J$23,'AFA Rates'!$O$5:$O$1004,"&lt;&gt;Expired")&gt;0,"✓",IF(COUNTIFS('AFA Rates'!$A$5:$A$1004,$A232,'AFA Rates'!$B$5:$B$1004,J$23)&gt;0,"Exp","")))</f>
        <v/>
      </c>
      <c r="K232" s="79">
        <f>IF(OR($A232="",K$23=""),"",IF(COUNTIFS('AFA Rates'!$A$5:$A$1004,$A232,'AFA Rates'!$B$5:$B$1004,K$23,'AFA Rates'!$O$5:$O$1004,"&lt;&gt;Expired")&gt;0,"✓",IF(COUNTIFS('AFA Rates'!$A$5:$A$1004,$A232,'AFA Rates'!$B$5:$B$1004,K$23)&gt;0,"Exp","")))</f>
        <v/>
      </c>
      <c r="L232" s="79">
        <f>IF(OR($A232="",L$23=""),"",IF(COUNTIFS('AFA Rates'!$A$5:$A$1004,$A232,'AFA Rates'!$B$5:$B$1004,L$23,'AFA Rates'!$O$5:$O$1004,"&lt;&gt;Expired")&gt;0,"✓",IF(COUNTIFS('AFA Rates'!$A$5:$A$1004,$A232,'AFA Rates'!$B$5:$B$1004,L$23)&gt;0,"Exp","")))</f>
        <v/>
      </c>
      <c r="M232" s="79">
        <f>IF(OR($A232="",M$23=""),"",IF(COUNTIFS('AFA Rates'!$A$5:$A$1004,$A232,'AFA Rates'!$B$5:$B$1004,M$23,'AFA Rates'!$O$5:$O$1004,"&lt;&gt;Expired")&gt;0,"✓",IF(COUNTIFS('AFA Rates'!$A$5:$A$1004,$A232,'AFA Rates'!$B$5:$B$1004,M$23)&gt;0,"Exp","")))</f>
        <v/>
      </c>
    </row>
    <row r="233">
      <c r="A233" s="78">
        <f>IFERROR(INDEX(Firms!$A$5:$A$1004,MATCH(210,Firms!$V$5:$V$1004,0)),"")</f>
        <v/>
      </c>
      <c r="B233" s="79">
        <f>IF($A233="","",INDEX(Firms!$B$5:$B$1004,MATCH(210,Firms!$V$5:$V$1004,0)))</f>
        <v/>
      </c>
      <c r="C233" s="79">
        <f>IF($A233="","",COUNTIFS('AFA Rates'!$A$5:$A$1004,$A233,'AFA Rates'!$O$5:$O$1004,"&lt;&gt;Expired"))</f>
        <v/>
      </c>
      <c r="D233" s="79">
        <f>IF(OR($A233="",D$23=""),"",IF(COUNTIFS('AFA Rates'!$A$5:$A$1004,$A233,'AFA Rates'!$B$5:$B$1004,D$23,'AFA Rates'!$O$5:$O$1004,"&lt;&gt;Expired")&gt;0,"✓",IF(COUNTIFS('AFA Rates'!$A$5:$A$1004,$A233,'AFA Rates'!$B$5:$B$1004,D$23)&gt;0,"Exp","")))</f>
        <v/>
      </c>
      <c r="E233" s="79">
        <f>IF(OR($A233="",E$23=""),"",IF(COUNTIFS('AFA Rates'!$A$5:$A$1004,$A233,'AFA Rates'!$B$5:$B$1004,E$23,'AFA Rates'!$O$5:$O$1004,"&lt;&gt;Expired")&gt;0,"✓",IF(COUNTIFS('AFA Rates'!$A$5:$A$1004,$A233,'AFA Rates'!$B$5:$B$1004,E$23)&gt;0,"Exp","")))</f>
        <v/>
      </c>
      <c r="F233" s="79">
        <f>IF(OR($A233="",F$23=""),"",IF(COUNTIFS('AFA Rates'!$A$5:$A$1004,$A233,'AFA Rates'!$B$5:$B$1004,F$23,'AFA Rates'!$O$5:$O$1004,"&lt;&gt;Expired")&gt;0,"✓",IF(COUNTIFS('AFA Rates'!$A$5:$A$1004,$A233,'AFA Rates'!$B$5:$B$1004,F$23)&gt;0,"Exp","")))</f>
        <v/>
      </c>
      <c r="G233" s="79">
        <f>IF(OR($A233="",G$23=""),"",IF(COUNTIFS('AFA Rates'!$A$5:$A$1004,$A233,'AFA Rates'!$B$5:$B$1004,G$23,'AFA Rates'!$O$5:$O$1004,"&lt;&gt;Expired")&gt;0,"✓",IF(COUNTIFS('AFA Rates'!$A$5:$A$1004,$A233,'AFA Rates'!$B$5:$B$1004,G$23)&gt;0,"Exp","")))</f>
        <v/>
      </c>
      <c r="H233" s="79">
        <f>IF(OR($A233="",H$23=""),"",IF(COUNTIFS('AFA Rates'!$A$5:$A$1004,$A233,'AFA Rates'!$B$5:$B$1004,H$23,'AFA Rates'!$O$5:$O$1004,"&lt;&gt;Expired")&gt;0,"✓",IF(COUNTIFS('AFA Rates'!$A$5:$A$1004,$A233,'AFA Rates'!$B$5:$B$1004,H$23)&gt;0,"Exp","")))</f>
        <v/>
      </c>
      <c r="I233" s="79">
        <f>IF(OR($A233="",I$23=""),"",IF(COUNTIFS('AFA Rates'!$A$5:$A$1004,$A233,'AFA Rates'!$B$5:$B$1004,I$23,'AFA Rates'!$O$5:$O$1004,"&lt;&gt;Expired")&gt;0,"✓",IF(COUNTIFS('AFA Rates'!$A$5:$A$1004,$A233,'AFA Rates'!$B$5:$B$1004,I$23)&gt;0,"Exp","")))</f>
        <v/>
      </c>
      <c r="J233" s="79">
        <f>IF(OR($A233="",J$23=""),"",IF(COUNTIFS('AFA Rates'!$A$5:$A$1004,$A233,'AFA Rates'!$B$5:$B$1004,J$23,'AFA Rates'!$O$5:$O$1004,"&lt;&gt;Expired")&gt;0,"✓",IF(COUNTIFS('AFA Rates'!$A$5:$A$1004,$A233,'AFA Rates'!$B$5:$B$1004,J$23)&gt;0,"Exp","")))</f>
        <v/>
      </c>
      <c r="K233" s="79">
        <f>IF(OR($A233="",K$23=""),"",IF(COUNTIFS('AFA Rates'!$A$5:$A$1004,$A233,'AFA Rates'!$B$5:$B$1004,K$23,'AFA Rates'!$O$5:$O$1004,"&lt;&gt;Expired")&gt;0,"✓",IF(COUNTIFS('AFA Rates'!$A$5:$A$1004,$A233,'AFA Rates'!$B$5:$B$1004,K$23)&gt;0,"Exp","")))</f>
        <v/>
      </c>
      <c r="L233" s="79">
        <f>IF(OR($A233="",L$23=""),"",IF(COUNTIFS('AFA Rates'!$A$5:$A$1004,$A233,'AFA Rates'!$B$5:$B$1004,L$23,'AFA Rates'!$O$5:$O$1004,"&lt;&gt;Expired")&gt;0,"✓",IF(COUNTIFS('AFA Rates'!$A$5:$A$1004,$A233,'AFA Rates'!$B$5:$B$1004,L$23)&gt;0,"Exp","")))</f>
        <v/>
      </c>
      <c r="M233" s="79">
        <f>IF(OR($A233="",M$23=""),"",IF(COUNTIFS('AFA Rates'!$A$5:$A$1004,$A233,'AFA Rates'!$B$5:$B$1004,M$23,'AFA Rates'!$O$5:$O$1004,"&lt;&gt;Expired")&gt;0,"✓",IF(COUNTIFS('AFA Rates'!$A$5:$A$1004,$A233,'AFA Rates'!$B$5:$B$1004,M$23)&gt;0,"Exp","")))</f>
        <v/>
      </c>
    </row>
    <row r="234">
      <c r="A234" s="78">
        <f>IFERROR(INDEX(Firms!$A$5:$A$1004,MATCH(211,Firms!$V$5:$V$1004,0)),"")</f>
        <v/>
      </c>
      <c r="B234" s="79">
        <f>IF($A234="","",INDEX(Firms!$B$5:$B$1004,MATCH(211,Firms!$V$5:$V$1004,0)))</f>
        <v/>
      </c>
      <c r="C234" s="79">
        <f>IF($A234="","",COUNTIFS('AFA Rates'!$A$5:$A$1004,$A234,'AFA Rates'!$O$5:$O$1004,"&lt;&gt;Expired"))</f>
        <v/>
      </c>
      <c r="D234" s="79">
        <f>IF(OR($A234="",D$23=""),"",IF(COUNTIFS('AFA Rates'!$A$5:$A$1004,$A234,'AFA Rates'!$B$5:$B$1004,D$23,'AFA Rates'!$O$5:$O$1004,"&lt;&gt;Expired")&gt;0,"✓",IF(COUNTIFS('AFA Rates'!$A$5:$A$1004,$A234,'AFA Rates'!$B$5:$B$1004,D$23)&gt;0,"Exp","")))</f>
        <v/>
      </c>
      <c r="E234" s="79">
        <f>IF(OR($A234="",E$23=""),"",IF(COUNTIFS('AFA Rates'!$A$5:$A$1004,$A234,'AFA Rates'!$B$5:$B$1004,E$23,'AFA Rates'!$O$5:$O$1004,"&lt;&gt;Expired")&gt;0,"✓",IF(COUNTIFS('AFA Rates'!$A$5:$A$1004,$A234,'AFA Rates'!$B$5:$B$1004,E$23)&gt;0,"Exp","")))</f>
        <v/>
      </c>
      <c r="F234" s="79">
        <f>IF(OR($A234="",F$23=""),"",IF(COUNTIFS('AFA Rates'!$A$5:$A$1004,$A234,'AFA Rates'!$B$5:$B$1004,F$23,'AFA Rates'!$O$5:$O$1004,"&lt;&gt;Expired")&gt;0,"✓",IF(COUNTIFS('AFA Rates'!$A$5:$A$1004,$A234,'AFA Rates'!$B$5:$B$1004,F$23)&gt;0,"Exp","")))</f>
        <v/>
      </c>
      <c r="G234" s="79">
        <f>IF(OR($A234="",G$23=""),"",IF(COUNTIFS('AFA Rates'!$A$5:$A$1004,$A234,'AFA Rates'!$B$5:$B$1004,G$23,'AFA Rates'!$O$5:$O$1004,"&lt;&gt;Expired")&gt;0,"✓",IF(COUNTIFS('AFA Rates'!$A$5:$A$1004,$A234,'AFA Rates'!$B$5:$B$1004,G$23)&gt;0,"Exp","")))</f>
        <v/>
      </c>
      <c r="H234" s="79">
        <f>IF(OR($A234="",H$23=""),"",IF(COUNTIFS('AFA Rates'!$A$5:$A$1004,$A234,'AFA Rates'!$B$5:$B$1004,H$23,'AFA Rates'!$O$5:$O$1004,"&lt;&gt;Expired")&gt;0,"✓",IF(COUNTIFS('AFA Rates'!$A$5:$A$1004,$A234,'AFA Rates'!$B$5:$B$1004,H$23)&gt;0,"Exp","")))</f>
        <v/>
      </c>
      <c r="I234" s="79">
        <f>IF(OR($A234="",I$23=""),"",IF(COUNTIFS('AFA Rates'!$A$5:$A$1004,$A234,'AFA Rates'!$B$5:$B$1004,I$23,'AFA Rates'!$O$5:$O$1004,"&lt;&gt;Expired")&gt;0,"✓",IF(COUNTIFS('AFA Rates'!$A$5:$A$1004,$A234,'AFA Rates'!$B$5:$B$1004,I$23)&gt;0,"Exp","")))</f>
        <v/>
      </c>
      <c r="J234" s="79">
        <f>IF(OR($A234="",J$23=""),"",IF(COUNTIFS('AFA Rates'!$A$5:$A$1004,$A234,'AFA Rates'!$B$5:$B$1004,J$23,'AFA Rates'!$O$5:$O$1004,"&lt;&gt;Expired")&gt;0,"✓",IF(COUNTIFS('AFA Rates'!$A$5:$A$1004,$A234,'AFA Rates'!$B$5:$B$1004,J$23)&gt;0,"Exp","")))</f>
        <v/>
      </c>
      <c r="K234" s="79">
        <f>IF(OR($A234="",K$23=""),"",IF(COUNTIFS('AFA Rates'!$A$5:$A$1004,$A234,'AFA Rates'!$B$5:$B$1004,K$23,'AFA Rates'!$O$5:$O$1004,"&lt;&gt;Expired")&gt;0,"✓",IF(COUNTIFS('AFA Rates'!$A$5:$A$1004,$A234,'AFA Rates'!$B$5:$B$1004,K$23)&gt;0,"Exp","")))</f>
        <v/>
      </c>
      <c r="L234" s="79">
        <f>IF(OR($A234="",L$23=""),"",IF(COUNTIFS('AFA Rates'!$A$5:$A$1004,$A234,'AFA Rates'!$B$5:$B$1004,L$23,'AFA Rates'!$O$5:$O$1004,"&lt;&gt;Expired")&gt;0,"✓",IF(COUNTIFS('AFA Rates'!$A$5:$A$1004,$A234,'AFA Rates'!$B$5:$B$1004,L$23)&gt;0,"Exp","")))</f>
        <v/>
      </c>
      <c r="M234" s="79">
        <f>IF(OR($A234="",M$23=""),"",IF(COUNTIFS('AFA Rates'!$A$5:$A$1004,$A234,'AFA Rates'!$B$5:$B$1004,M$23,'AFA Rates'!$O$5:$O$1004,"&lt;&gt;Expired")&gt;0,"✓",IF(COUNTIFS('AFA Rates'!$A$5:$A$1004,$A234,'AFA Rates'!$B$5:$B$1004,M$23)&gt;0,"Exp","")))</f>
        <v/>
      </c>
    </row>
    <row r="235">
      <c r="A235" s="78">
        <f>IFERROR(INDEX(Firms!$A$5:$A$1004,MATCH(212,Firms!$V$5:$V$1004,0)),"")</f>
        <v/>
      </c>
      <c r="B235" s="79">
        <f>IF($A235="","",INDEX(Firms!$B$5:$B$1004,MATCH(212,Firms!$V$5:$V$1004,0)))</f>
        <v/>
      </c>
      <c r="C235" s="79">
        <f>IF($A235="","",COUNTIFS('AFA Rates'!$A$5:$A$1004,$A235,'AFA Rates'!$O$5:$O$1004,"&lt;&gt;Expired"))</f>
        <v/>
      </c>
      <c r="D235" s="79">
        <f>IF(OR($A235="",D$23=""),"",IF(COUNTIFS('AFA Rates'!$A$5:$A$1004,$A235,'AFA Rates'!$B$5:$B$1004,D$23,'AFA Rates'!$O$5:$O$1004,"&lt;&gt;Expired")&gt;0,"✓",IF(COUNTIFS('AFA Rates'!$A$5:$A$1004,$A235,'AFA Rates'!$B$5:$B$1004,D$23)&gt;0,"Exp","")))</f>
        <v/>
      </c>
      <c r="E235" s="79">
        <f>IF(OR($A235="",E$23=""),"",IF(COUNTIFS('AFA Rates'!$A$5:$A$1004,$A235,'AFA Rates'!$B$5:$B$1004,E$23,'AFA Rates'!$O$5:$O$1004,"&lt;&gt;Expired")&gt;0,"✓",IF(COUNTIFS('AFA Rates'!$A$5:$A$1004,$A235,'AFA Rates'!$B$5:$B$1004,E$23)&gt;0,"Exp","")))</f>
        <v/>
      </c>
      <c r="F235" s="79">
        <f>IF(OR($A235="",F$23=""),"",IF(COUNTIFS('AFA Rates'!$A$5:$A$1004,$A235,'AFA Rates'!$B$5:$B$1004,F$23,'AFA Rates'!$O$5:$O$1004,"&lt;&gt;Expired")&gt;0,"✓",IF(COUNTIFS('AFA Rates'!$A$5:$A$1004,$A235,'AFA Rates'!$B$5:$B$1004,F$23)&gt;0,"Exp","")))</f>
        <v/>
      </c>
      <c r="G235" s="79">
        <f>IF(OR($A235="",G$23=""),"",IF(COUNTIFS('AFA Rates'!$A$5:$A$1004,$A235,'AFA Rates'!$B$5:$B$1004,G$23,'AFA Rates'!$O$5:$O$1004,"&lt;&gt;Expired")&gt;0,"✓",IF(COUNTIFS('AFA Rates'!$A$5:$A$1004,$A235,'AFA Rates'!$B$5:$B$1004,G$23)&gt;0,"Exp","")))</f>
        <v/>
      </c>
      <c r="H235" s="79">
        <f>IF(OR($A235="",H$23=""),"",IF(COUNTIFS('AFA Rates'!$A$5:$A$1004,$A235,'AFA Rates'!$B$5:$B$1004,H$23,'AFA Rates'!$O$5:$O$1004,"&lt;&gt;Expired")&gt;0,"✓",IF(COUNTIFS('AFA Rates'!$A$5:$A$1004,$A235,'AFA Rates'!$B$5:$B$1004,H$23)&gt;0,"Exp","")))</f>
        <v/>
      </c>
      <c r="I235" s="79">
        <f>IF(OR($A235="",I$23=""),"",IF(COUNTIFS('AFA Rates'!$A$5:$A$1004,$A235,'AFA Rates'!$B$5:$B$1004,I$23,'AFA Rates'!$O$5:$O$1004,"&lt;&gt;Expired")&gt;0,"✓",IF(COUNTIFS('AFA Rates'!$A$5:$A$1004,$A235,'AFA Rates'!$B$5:$B$1004,I$23)&gt;0,"Exp","")))</f>
        <v/>
      </c>
      <c r="J235" s="79">
        <f>IF(OR($A235="",J$23=""),"",IF(COUNTIFS('AFA Rates'!$A$5:$A$1004,$A235,'AFA Rates'!$B$5:$B$1004,J$23,'AFA Rates'!$O$5:$O$1004,"&lt;&gt;Expired")&gt;0,"✓",IF(COUNTIFS('AFA Rates'!$A$5:$A$1004,$A235,'AFA Rates'!$B$5:$B$1004,J$23)&gt;0,"Exp","")))</f>
        <v/>
      </c>
      <c r="K235" s="79">
        <f>IF(OR($A235="",K$23=""),"",IF(COUNTIFS('AFA Rates'!$A$5:$A$1004,$A235,'AFA Rates'!$B$5:$B$1004,K$23,'AFA Rates'!$O$5:$O$1004,"&lt;&gt;Expired")&gt;0,"✓",IF(COUNTIFS('AFA Rates'!$A$5:$A$1004,$A235,'AFA Rates'!$B$5:$B$1004,K$23)&gt;0,"Exp","")))</f>
        <v/>
      </c>
      <c r="L235" s="79">
        <f>IF(OR($A235="",L$23=""),"",IF(COUNTIFS('AFA Rates'!$A$5:$A$1004,$A235,'AFA Rates'!$B$5:$B$1004,L$23,'AFA Rates'!$O$5:$O$1004,"&lt;&gt;Expired")&gt;0,"✓",IF(COUNTIFS('AFA Rates'!$A$5:$A$1004,$A235,'AFA Rates'!$B$5:$B$1004,L$23)&gt;0,"Exp","")))</f>
        <v/>
      </c>
      <c r="M235" s="79">
        <f>IF(OR($A235="",M$23=""),"",IF(COUNTIFS('AFA Rates'!$A$5:$A$1004,$A235,'AFA Rates'!$B$5:$B$1004,M$23,'AFA Rates'!$O$5:$O$1004,"&lt;&gt;Expired")&gt;0,"✓",IF(COUNTIFS('AFA Rates'!$A$5:$A$1004,$A235,'AFA Rates'!$B$5:$B$1004,M$23)&gt;0,"Exp","")))</f>
        <v/>
      </c>
    </row>
    <row r="236">
      <c r="A236" s="78">
        <f>IFERROR(INDEX(Firms!$A$5:$A$1004,MATCH(213,Firms!$V$5:$V$1004,0)),"")</f>
        <v/>
      </c>
      <c r="B236" s="79">
        <f>IF($A236="","",INDEX(Firms!$B$5:$B$1004,MATCH(213,Firms!$V$5:$V$1004,0)))</f>
        <v/>
      </c>
      <c r="C236" s="79">
        <f>IF($A236="","",COUNTIFS('AFA Rates'!$A$5:$A$1004,$A236,'AFA Rates'!$O$5:$O$1004,"&lt;&gt;Expired"))</f>
        <v/>
      </c>
      <c r="D236" s="79">
        <f>IF(OR($A236="",D$23=""),"",IF(COUNTIFS('AFA Rates'!$A$5:$A$1004,$A236,'AFA Rates'!$B$5:$B$1004,D$23,'AFA Rates'!$O$5:$O$1004,"&lt;&gt;Expired")&gt;0,"✓",IF(COUNTIFS('AFA Rates'!$A$5:$A$1004,$A236,'AFA Rates'!$B$5:$B$1004,D$23)&gt;0,"Exp","")))</f>
        <v/>
      </c>
      <c r="E236" s="79">
        <f>IF(OR($A236="",E$23=""),"",IF(COUNTIFS('AFA Rates'!$A$5:$A$1004,$A236,'AFA Rates'!$B$5:$B$1004,E$23,'AFA Rates'!$O$5:$O$1004,"&lt;&gt;Expired")&gt;0,"✓",IF(COUNTIFS('AFA Rates'!$A$5:$A$1004,$A236,'AFA Rates'!$B$5:$B$1004,E$23)&gt;0,"Exp","")))</f>
        <v/>
      </c>
      <c r="F236" s="79">
        <f>IF(OR($A236="",F$23=""),"",IF(COUNTIFS('AFA Rates'!$A$5:$A$1004,$A236,'AFA Rates'!$B$5:$B$1004,F$23,'AFA Rates'!$O$5:$O$1004,"&lt;&gt;Expired")&gt;0,"✓",IF(COUNTIFS('AFA Rates'!$A$5:$A$1004,$A236,'AFA Rates'!$B$5:$B$1004,F$23)&gt;0,"Exp","")))</f>
        <v/>
      </c>
      <c r="G236" s="79">
        <f>IF(OR($A236="",G$23=""),"",IF(COUNTIFS('AFA Rates'!$A$5:$A$1004,$A236,'AFA Rates'!$B$5:$B$1004,G$23,'AFA Rates'!$O$5:$O$1004,"&lt;&gt;Expired")&gt;0,"✓",IF(COUNTIFS('AFA Rates'!$A$5:$A$1004,$A236,'AFA Rates'!$B$5:$B$1004,G$23)&gt;0,"Exp","")))</f>
        <v/>
      </c>
      <c r="H236" s="79">
        <f>IF(OR($A236="",H$23=""),"",IF(COUNTIFS('AFA Rates'!$A$5:$A$1004,$A236,'AFA Rates'!$B$5:$B$1004,H$23,'AFA Rates'!$O$5:$O$1004,"&lt;&gt;Expired")&gt;0,"✓",IF(COUNTIFS('AFA Rates'!$A$5:$A$1004,$A236,'AFA Rates'!$B$5:$B$1004,H$23)&gt;0,"Exp","")))</f>
        <v/>
      </c>
      <c r="I236" s="79">
        <f>IF(OR($A236="",I$23=""),"",IF(COUNTIFS('AFA Rates'!$A$5:$A$1004,$A236,'AFA Rates'!$B$5:$B$1004,I$23,'AFA Rates'!$O$5:$O$1004,"&lt;&gt;Expired")&gt;0,"✓",IF(COUNTIFS('AFA Rates'!$A$5:$A$1004,$A236,'AFA Rates'!$B$5:$B$1004,I$23)&gt;0,"Exp","")))</f>
        <v/>
      </c>
      <c r="J236" s="79">
        <f>IF(OR($A236="",J$23=""),"",IF(COUNTIFS('AFA Rates'!$A$5:$A$1004,$A236,'AFA Rates'!$B$5:$B$1004,J$23,'AFA Rates'!$O$5:$O$1004,"&lt;&gt;Expired")&gt;0,"✓",IF(COUNTIFS('AFA Rates'!$A$5:$A$1004,$A236,'AFA Rates'!$B$5:$B$1004,J$23)&gt;0,"Exp","")))</f>
        <v/>
      </c>
      <c r="K236" s="79">
        <f>IF(OR($A236="",K$23=""),"",IF(COUNTIFS('AFA Rates'!$A$5:$A$1004,$A236,'AFA Rates'!$B$5:$B$1004,K$23,'AFA Rates'!$O$5:$O$1004,"&lt;&gt;Expired")&gt;0,"✓",IF(COUNTIFS('AFA Rates'!$A$5:$A$1004,$A236,'AFA Rates'!$B$5:$B$1004,K$23)&gt;0,"Exp","")))</f>
        <v/>
      </c>
      <c r="L236" s="79">
        <f>IF(OR($A236="",L$23=""),"",IF(COUNTIFS('AFA Rates'!$A$5:$A$1004,$A236,'AFA Rates'!$B$5:$B$1004,L$23,'AFA Rates'!$O$5:$O$1004,"&lt;&gt;Expired")&gt;0,"✓",IF(COUNTIFS('AFA Rates'!$A$5:$A$1004,$A236,'AFA Rates'!$B$5:$B$1004,L$23)&gt;0,"Exp","")))</f>
        <v/>
      </c>
      <c r="M236" s="79">
        <f>IF(OR($A236="",M$23=""),"",IF(COUNTIFS('AFA Rates'!$A$5:$A$1004,$A236,'AFA Rates'!$B$5:$B$1004,M$23,'AFA Rates'!$O$5:$O$1004,"&lt;&gt;Expired")&gt;0,"✓",IF(COUNTIFS('AFA Rates'!$A$5:$A$1004,$A236,'AFA Rates'!$B$5:$B$1004,M$23)&gt;0,"Exp","")))</f>
        <v/>
      </c>
    </row>
    <row r="237">
      <c r="A237" s="78">
        <f>IFERROR(INDEX(Firms!$A$5:$A$1004,MATCH(214,Firms!$V$5:$V$1004,0)),"")</f>
        <v/>
      </c>
      <c r="B237" s="79">
        <f>IF($A237="","",INDEX(Firms!$B$5:$B$1004,MATCH(214,Firms!$V$5:$V$1004,0)))</f>
        <v/>
      </c>
      <c r="C237" s="79">
        <f>IF($A237="","",COUNTIFS('AFA Rates'!$A$5:$A$1004,$A237,'AFA Rates'!$O$5:$O$1004,"&lt;&gt;Expired"))</f>
        <v/>
      </c>
      <c r="D237" s="79">
        <f>IF(OR($A237="",D$23=""),"",IF(COUNTIFS('AFA Rates'!$A$5:$A$1004,$A237,'AFA Rates'!$B$5:$B$1004,D$23,'AFA Rates'!$O$5:$O$1004,"&lt;&gt;Expired")&gt;0,"✓",IF(COUNTIFS('AFA Rates'!$A$5:$A$1004,$A237,'AFA Rates'!$B$5:$B$1004,D$23)&gt;0,"Exp","")))</f>
        <v/>
      </c>
      <c r="E237" s="79">
        <f>IF(OR($A237="",E$23=""),"",IF(COUNTIFS('AFA Rates'!$A$5:$A$1004,$A237,'AFA Rates'!$B$5:$B$1004,E$23,'AFA Rates'!$O$5:$O$1004,"&lt;&gt;Expired")&gt;0,"✓",IF(COUNTIFS('AFA Rates'!$A$5:$A$1004,$A237,'AFA Rates'!$B$5:$B$1004,E$23)&gt;0,"Exp","")))</f>
        <v/>
      </c>
      <c r="F237" s="79">
        <f>IF(OR($A237="",F$23=""),"",IF(COUNTIFS('AFA Rates'!$A$5:$A$1004,$A237,'AFA Rates'!$B$5:$B$1004,F$23,'AFA Rates'!$O$5:$O$1004,"&lt;&gt;Expired")&gt;0,"✓",IF(COUNTIFS('AFA Rates'!$A$5:$A$1004,$A237,'AFA Rates'!$B$5:$B$1004,F$23)&gt;0,"Exp","")))</f>
        <v/>
      </c>
      <c r="G237" s="79">
        <f>IF(OR($A237="",G$23=""),"",IF(COUNTIFS('AFA Rates'!$A$5:$A$1004,$A237,'AFA Rates'!$B$5:$B$1004,G$23,'AFA Rates'!$O$5:$O$1004,"&lt;&gt;Expired")&gt;0,"✓",IF(COUNTIFS('AFA Rates'!$A$5:$A$1004,$A237,'AFA Rates'!$B$5:$B$1004,G$23)&gt;0,"Exp","")))</f>
        <v/>
      </c>
      <c r="H237" s="79">
        <f>IF(OR($A237="",H$23=""),"",IF(COUNTIFS('AFA Rates'!$A$5:$A$1004,$A237,'AFA Rates'!$B$5:$B$1004,H$23,'AFA Rates'!$O$5:$O$1004,"&lt;&gt;Expired")&gt;0,"✓",IF(COUNTIFS('AFA Rates'!$A$5:$A$1004,$A237,'AFA Rates'!$B$5:$B$1004,H$23)&gt;0,"Exp","")))</f>
        <v/>
      </c>
      <c r="I237" s="79">
        <f>IF(OR($A237="",I$23=""),"",IF(COUNTIFS('AFA Rates'!$A$5:$A$1004,$A237,'AFA Rates'!$B$5:$B$1004,I$23,'AFA Rates'!$O$5:$O$1004,"&lt;&gt;Expired")&gt;0,"✓",IF(COUNTIFS('AFA Rates'!$A$5:$A$1004,$A237,'AFA Rates'!$B$5:$B$1004,I$23)&gt;0,"Exp","")))</f>
        <v/>
      </c>
      <c r="J237" s="79">
        <f>IF(OR($A237="",J$23=""),"",IF(COUNTIFS('AFA Rates'!$A$5:$A$1004,$A237,'AFA Rates'!$B$5:$B$1004,J$23,'AFA Rates'!$O$5:$O$1004,"&lt;&gt;Expired")&gt;0,"✓",IF(COUNTIFS('AFA Rates'!$A$5:$A$1004,$A237,'AFA Rates'!$B$5:$B$1004,J$23)&gt;0,"Exp","")))</f>
        <v/>
      </c>
      <c r="K237" s="79">
        <f>IF(OR($A237="",K$23=""),"",IF(COUNTIFS('AFA Rates'!$A$5:$A$1004,$A237,'AFA Rates'!$B$5:$B$1004,K$23,'AFA Rates'!$O$5:$O$1004,"&lt;&gt;Expired")&gt;0,"✓",IF(COUNTIFS('AFA Rates'!$A$5:$A$1004,$A237,'AFA Rates'!$B$5:$B$1004,K$23)&gt;0,"Exp","")))</f>
        <v/>
      </c>
      <c r="L237" s="79">
        <f>IF(OR($A237="",L$23=""),"",IF(COUNTIFS('AFA Rates'!$A$5:$A$1004,$A237,'AFA Rates'!$B$5:$B$1004,L$23,'AFA Rates'!$O$5:$O$1004,"&lt;&gt;Expired")&gt;0,"✓",IF(COUNTIFS('AFA Rates'!$A$5:$A$1004,$A237,'AFA Rates'!$B$5:$B$1004,L$23)&gt;0,"Exp","")))</f>
        <v/>
      </c>
      <c r="M237" s="79">
        <f>IF(OR($A237="",M$23=""),"",IF(COUNTIFS('AFA Rates'!$A$5:$A$1004,$A237,'AFA Rates'!$B$5:$B$1004,M$23,'AFA Rates'!$O$5:$O$1004,"&lt;&gt;Expired")&gt;0,"✓",IF(COUNTIFS('AFA Rates'!$A$5:$A$1004,$A237,'AFA Rates'!$B$5:$B$1004,M$23)&gt;0,"Exp","")))</f>
        <v/>
      </c>
    </row>
    <row r="238">
      <c r="A238" s="78">
        <f>IFERROR(INDEX(Firms!$A$5:$A$1004,MATCH(215,Firms!$V$5:$V$1004,0)),"")</f>
        <v/>
      </c>
      <c r="B238" s="79">
        <f>IF($A238="","",INDEX(Firms!$B$5:$B$1004,MATCH(215,Firms!$V$5:$V$1004,0)))</f>
        <v/>
      </c>
      <c r="C238" s="79">
        <f>IF($A238="","",COUNTIFS('AFA Rates'!$A$5:$A$1004,$A238,'AFA Rates'!$O$5:$O$1004,"&lt;&gt;Expired"))</f>
        <v/>
      </c>
      <c r="D238" s="79">
        <f>IF(OR($A238="",D$23=""),"",IF(COUNTIFS('AFA Rates'!$A$5:$A$1004,$A238,'AFA Rates'!$B$5:$B$1004,D$23,'AFA Rates'!$O$5:$O$1004,"&lt;&gt;Expired")&gt;0,"✓",IF(COUNTIFS('AFA Rates'!$A$5:$A$1004,$A238,'AFA Rates'!$B$5:$B$1004,D$23)&gt;0,"Exp","")))</f>
        <v/>
      </c>
      <c r="E238" s="79">
        <f>IF(OR($A238="",E$23=""),"",IF(COUNTIFS('AFA Rates'!$A$5:$A$1004,$A238,'AFA Rates'!$B$5:$B$1004,E$23,'AFA Rates'!$O$5:$O$1004,"&lt;&gt;Expired")&gt;0,"✓",IF(COUNTIFS('AFA Rates'!$A$5:$A$1004,$A238,'AFA Rates'!$B$5:$B$1004,E$23)&gt;0,"Exp","")))</f>
        <v/>
      </c>
      <c r="F238" s="79">
        <f>IF(OR($A238="",F$23=""),"",IF(COUNTIFS('AFA Rates'!$A$5:$A$1004,$A238,'AFA Rates'!$B$5:$B$1004,F$23,'AFA Rates'!$O$5:$O$1004,"&lt;&gt;Expired")&gt;0,"✓",IF(COUNTIFS('AFA Rates'!$A$5:$A$1004,$A238,'AFA Rates'!$B$5:$B$1004,F$23)&gt;0,"Exp","")))</f>
        <v/>
      </c>
      <c r="G238" s="79">
        <f>IF(OR($A238="",G$23=""),"",IF(COUNTIFS('AFA Rates'!$A$5:$A$1004,$A238,'AFA Rates'!$B$5:$B$1004,G$23,'AFA Rates'!$O$5:$O$1004,"&lt;&gt;Expired")&gt;0,"✓",IF(COUNTIFS('AFA Rates'!$A$5:$A$1004,$A238,'AFA Rates'!$B$5:$B$1004,G$23)&gt;0,"Exp","")))</f>
        <v/>
      </c>
      <c r="H238" s="79">
        <f>IF(OR($A238="",H$23=""),"",IF(COUNTIFS('AFA Rates'!$A$5:$A$1004,$A238,'AFA Rates'!$B$5:$B$1004,H$23,'AFA Rates'!$O$5:$O$1004,"&lt;&gt;Expired")&gt;0,"✓",IF(COUNTIFS('AFA Rates'!$A$5:$A$1004,$A238,'AFA Rates'!$B$5:$B$1004,H$23)&gt;0,"Exp","")))</f>
        <v/>
      </c>
      <c r="I238" s="79">
        <f>IF(OR($A238="",I$23=""),"",IF(COUNTIFS('AFA Rates'!$A$5:$A$1004,$A238,'AFA Rates'!$B$5:$B$1004,I$23,'AFA Rates'!$O$5:$O$1004,"&lt;&gt;Expired")&gt;0,"✓",IF(COUNTIFS('AFA Rates'!$A$5:$A$1004,$A238,'AFA Rates'!$B$5:$B$1004,I$23)&gt;0,"Exp","")))</f>
        <v/>
      </c>
      <c r="J238" s="79">
        <f>IF(OR($A238="",J$23=""),"",IF(COUNTIFS('AFA Rates'!$A$5:$A$1004,$A238,'AFA Rates'!$B$5:$B$1004,J$23,'AFA Rates'!$O$5:$O$1004,"&lt;&gt;Expired")&gt;0,"✓",IF(COUNTIFS('AFA Rates'!$A$5:$A$1004,$A238,'AFA Rates'!$B$5:$B$1004,J$23)&gt;0,"Exp","")))</f>
        <v/>
      </c>
      <c r="K238" s="79">
        <f>IF(OR($A238="",K$23=""),"",IF(COUNTIFS('AFA Rates'!$A$5:$A$1004,$A238,'AFA Rates'!$B$5:$B$1004,K$23,'AFA Rates'!$O$5:$O$1004,"&lt;&gt;Expired")&gt;0,"✓",IF(COUNTIFS('AFA Rates'!$A$5:$A$1004,$A238,'AFA Rates'!$B$5:$B$1004,K$23)&gt;0,"Exp","")))</f>
        <v/>
      </c>
      <c r="L238" s="79">
        <f>IF(OR($A238="",L$23=""),"",IF(COUNTIFS('AFA Rates'!$A$5:$A$1004,$A238,'AFA Rates'!$B$5:$B$1004,L$23,'AFA Rates'!$O$5:$O$1004,"&lt;&gt;Expired")&gt;0,"✓",IF(COUNTIFS('AFA Rates'!$A$5:$A$1004,$A238,'AFA Rates'!$B$5:$B$1004,L$23)&gt;0,"Exp","")))</f>
        <v/>
      </c>
      <c r="M238" s="79">
        <f>IF(OR($A238="",M$23=""),"",IF(COUNTIFS('AFA Rates'!$A$5:$A$1004,$A238,'AFA Rates'!$B$5:$B$1004,M$23,'AFA Rates'!$O$5:$O$1004,"&lt;&gt;Expired")&gt;0,"✓",IF(COUNTIFS('AFA Rates'!$A$5:$A$1004,$A238,'AFA Rates'!$B$5:$B$1004,M$23)&gt;0,"Exp","")))</f>
        <v/>
      </c>
    </row>
    <row r="239">
      <c r="A239" s="78">
        <f>IFERROR(INDEX(Firms!$A$5:$A$1004,MATCH(216,Firms!$V$5:$V$1004,0)),"")</f>
        <v/>
      </c>
      <c r="B239" s="79">
        <f>IF($A239="","",INDEX(Firms!$B$5:$B$1004,MATCH(216,Firms!$V$5:$V$1004,0)))</f>
        <v/>
      </c>
      <c r="C239" s="79">
        <f>IF($A239="","",COUNTIFS('AFA Rates'!$A$5:$A$1004,$A239,'AFA Rates'!$O$5:$O$1004,"&lt;&gt;Expired"))</f>
        <v/>
      </c>
      <c r="D239" s="79">
        <f>IF(OR($A239="",D$23=""),"",IF(COUNTIFS('AFA Rates'!$A$5:$A$1004,$A239,'AFA Rates'!$B$5:$B$1004,D$23,'AFA Rates'!$O$5:$O$1004,"&lt;&gt;Expired")&gt;0,"✓",IF(COUNTIFS('AFA Rates'!$A$5:$A$1004,$A239,'AFA Rates'!$B$5:$B$1004,D$23)&gt;0,"Exp","")))</f>
        <v/>
      </c>
      <c r="E239" s="79">
        <f>IF(OR($A239="",E$23=""),"",IF(COUNTIFS('AFA Rates'!$A$5:$A$1004,$A239,'AFA Rates'!$B$5:$B$1004,E$23,'AFA Rates'!$O$5:$O$1004,"&lt;&gt;Expired")&gt;0,"✓",IF(COUNTIFS('AFA Rates'!$A$5:$A$1004,$A239,'AFA Rates'!$B$5:$B$1004,E$23)&gt;0,"Exp","")))</f>
        <v/>
      </c>
      <c r="F239" s="79">
        <f>IF(OR($A239="",F$23=""),"",IF(COUNTIFS('AFA Rates'!$A$5:$A$1004,$A239,'AFA Rates'!$B$5:$B$1004,F$23,'AFA Rates'!$O$5:$O$1004,"&lt;&gt;Expired")&gt;0,"✓",IF(COUNTIFS('AFA Rates'!$A$5:$A$1004,$A239,'AFA Rates'!$B$5:$B$1004,F$23)&gt;0,"Exp","")))</f>
        <v/>
      </c>
      <c r="G239" s="79">
        <f>IF(OR($A239="",G$23=""),"",IF(COUNTIFS('AFA Rates'!$A$5:$A$1004,$A239,'AFA Rates'!$B$5:$B$1004,G$23,'AFA Rates'!$O$5:$O$1004,"&lt;&gt;Expired")&gt;0,"✓",IF(COUNTIFS('AFA Rates'!$A$5:$A$1004,$A239,'AFA Rates'!$B$5:$B$1004,G$23)&gt;0,"Exp","")))</f>
        <v/>
      </c>
      <c r="H239" s="79">
        <f>IF(OR($A239="",H$23=""),"",IF(COUNTIFS('AFA Rates'!$A$5:$A$1004,$A239,'AFA Rates'!$B$5:$B$1004,H$23,'AFA Rates'!$O$5:$O$1004,"&lt;&gt;Expired")&gt;0,"✓",IF(COUNTIFS('AFA Rates'!$A$5:$A$1004,$A239,'AFA Rates'!$B$5:$B$1004,H$23)&gt;0,"Exp","")))</f>
        <v/>
      </c>
      <c r="I239" s="79">
        <f>IF(OR($A239="",I$23=""),"",IF(COUNTIFS('AFA Rates'!$A$5:$A$1004,$A239,'AFA Rates'!$B$5:$B$1004,I$23,'AFA Rates'!$O$5:$O$1004,"&lt;&gt;Expired")&gt;0,"✓",IF(COUNTIFS('AFA Rates'!$A$5:$A$1004,$A239,'AFA Rates'!$B$5:$B$1004,I$23)&gt;0,"Exp","")))</f>
        <v/>
      </c>
      <c r="J239" s="79">
        <f>IF(OR($A239="",J$23=""),"",IF(COUNTIFS('AFA Rates'!$A$5:$A$1004,$A239,'AFA Rates'!$B$5:$B$1004,J$23,'AFA Rates'!$O$5:$O$1004,"&lt;&gt;Expired")&gt;0,"✓",IF(COUNTIFS('AFA Rates'!$A$5:$A$1004,$A239,'AFA Rates'!$B$5:$B$1004,J$23)&gt;0,"Exp","")))</f>
        <v/>
      </c>
      <c r="K239" s="79">
        <f>IF(OR($A239="",K$23=""),"",IF(COUNTIFS('AFA Rates'!$A$5:$A$1004,$A239,'AFA Rates'!$B$5:$B$1004,K$23,'AFA Rates'!$O$5:$O$1004,"&lt;&gt;Expired")&gt;0,"✓",IF(COUNTIFS('AFA Rates'!$A$5:$A$1004,$A239,'AFA Rates'!$B$5:$B$1004,K$23)&gt;0,"Exp","")))</f>
        <v/>
      </c>
      <c r="L239" s="79">
        <f>IF(OR($A239="",L$23=""),"",IF(COUNTIFS('AFA Rates'!$A$5:$A$1004,$A239,'AFA Rates'!$B$5:$B$1004,L$23,'AFA Rates'!$O$5:$O$1004,"&lt;&gt;Expired")&gt;0,"✓",IF(COUNTIFS('AFA Rates'!$A$5:$A$1004,$A239,'AFA Rates'!$B$5:$B$1004,L$23)&gt;0,"Exp","")))</f>
        <v/>
      </c>
      <c r="M239" s="79">
        <f>IF(OR($A239="",M$23=""),"",IF(COUNTIFS('AFA Rates'!$A$5:$A$1004,$A239,'AFA Rates'!$B$5:$B$1004,M$23,'AFA Rates'!$O$5:$O$1004,"&lt;&gt;Expired")&gt;0,"✓",IF(COUNTIFS('AFA Rates'!$A$5:$A$1004,$A239,'AFA Rates'!$B$5:$B$1004,M$23)&gt;0,"Exp","")))</f>
        <v/>
      </c>
    </row>
    <row r="240">
      <c r="A240" s="78">
        <f>IFERROR(INDEX(Firms!$A$5:$A$1004,MATCH(217,Firms!$V$5:$V$1004,0)),"")</f>
        <v/>
      </c>
      <c r="B240" s="79">
        <f>IF($A240="","",INDEX(Firms!$B$5:$B$1004,MATCH(217,Firms!$V$5:$V$1004,0)))</f>
        <v/>
      </c>
      <c r="C240" s="79">
        <f>IF($A240="","",COUNTIFS('AFA Rates'!$A$5:$A$1004,$A240,'AFA Rates'!$O$5:$O$1004,"&lt;&gt;Expired"))</f>
        <v/>
      </c>
      <c r="D240" s="79">
        <f>IF(OR($A240="",D$23=""),"",IF(COUNTIFS('AFA Rates'!$A$5:$A$1004,$A240,'AFA Rates'!$B$5:$B$1004,D$23,'AFA Rates'!$O$5:$O$1004,"&lt;&gt;Expired")&gt;0,"✓",IF(COUNTIFS('AFA Rates'!$A$5:$A$1004,$A240,'AFA Rates'!$B$5:$B$1004,D$23)&gt;0,"Exp","")))</f>
        <v/>
      </c>
      <c r="E240" s="79">
        <f>IF(OR($A240="",E$23=""),"",IF(COUNTIFS('AFA Rates'!$A$5:$A$1004,$A240,'AFA Rates'!$B$5:$B$1004,E$23,'AFA Rates'!$O$5:$O$1004,"&lt;&gt;Expired")&gt;0,"✓",IF(COUNTIFS('AFA Rates'!$A$5:$A$1004,$A240,'AFA Rates'!$B$5:$B$1004,E$23)&gt;0,"Exp","")))</f>
        <v/>
      </c>
      <c r="F240" s="79">
        <f>IF(OR($A240="",F$23=""),"",IF(COUNTIFS('AFA Rates'!$A$5:$A$1004,$A240,'AFA Rates'!$B$5:$B$1004,F$23,'AFA Rates'!$O$5:$O$1004,"&lt;&gt;Expired")&gt;0,"✓",IF(COUNTIFS('AFA Rates'!$A$5:$A$1004,$A240,'AFA Rates'!$B$5:$B$1004,F$23)&gt;0,"Exp","")))</f>
        <v/>
      </c>
      <c r="G240" s="79">
        <f>IF(OR($A240="",G$23=""),"",IF(COUNTIFS('AFA Rates'!$A$5:$A$1004,$A240,'AFA Rates'!$B$5:$B$1004,G$23,'AFA Rates'!$O$5:$O$1004,"&lt;&gt;Expired")&gt;0,"✓",IF(COUNTIFS('AFA Rates'!$A$5:$A$1004,$A240,'AFA Rates'!$B$5:$B$1004,G$23)&gt;0,"Exp","")))</f>
        <v/>
      </c>
      <c r="H240" s="79">
        <f>IF(OR($A240="",H$23=""),"",IF(COUNTIFS('AFA Rates'!$A$5:$A$1004,$A240,'AFA Rates'!$B$5:$B$1004,H$23,'AFA Rates'!$O$5:$O$1004,"&lt;&gt;Expired")&gt;0,"✓",IF(COUNTIFS('AFA Rates'!$A$5:$A$1004,$A240,'AFA Rates'!$B$5:$B$1004,H$23)&gt;0,"Exp","")))</f>
        <v/>
      </c>
      <c r="I240" s="79">
        <f>IF(OR($A240="",I$23=""),"",IF(COUNTIFS('AFA Rates'!$A$5:$A$1004,$A240,'AFA Rates'!$B$5:$B$1004,I$23,'AFA Rates'!$O$5:$O$1004,"&lt;&gt;Expired")&gt;0,"✓",IF(COUNTIFS('AFA Rates'!$A$5:$A$1004,$A240,'AFA Rates'!$B$5:$B$1004,I$23)&gt;0,"Exp","")))</f>
        <v/>
      </c>
      <c r="J240" s="79">
        <f>IF(OR($A240="",J$23=""),"",IF(COUNTIFS('AFA Rates'!$A$5:$A$1004,$A240,'AFA Rates'!$B$5:$B$1004,J$23,'AFA Rates'!$O$5:$O$1004,"&lt;&gt;Expired")&gt;0,"✓",IF(COUNTIFS('AFA Rates'!$A$5:$A$1004,$A240,'AFA Rates'!$B$5:$B$1004,J$23)&gt;0,"Exp","")))</f>
        <v/>
      </c>
      <c r="K240" s="79">
        <f>IF(OR($A240="",K$23=""),"",IF(COUNTIFS('AFA Rates'!$A$5:$A$1004,$A240,'AFA Rates'!$B$5:$B$1004,K$23,'AFA Rates'!$O$5:$O$1004,"&lt;&gt;Expired")&gt;0,"✓",IF(COUNTIFS('AFA Rates'!$A$5:$A$1004,$A240,'AFA Rates'!$B$5:$B$1004,K$23)&gt;0,"Exp","")))</f>
        <v/>
      </c>
      <c r="L240" s="79">
        <f>IF(OR($A240="",L$23=""),"",IF(COUNTIFS('AFA Rates'!$A$5:$A$1004,$A240,'AFA Rates'!$B$5:$B$1004,L$23,'AFA Rates'!$O$5:$O$1004,"&lt;&gt;Expired")&gt;0,"✓",IF(COUNTIFS('AFA Rates'!$A$5:$A$1004,$A240,'AFA Rates'!$B$5:$B$1004,L$23)&gt;0,"Exp","")))</f>
        <v/>
      </c>
      <c r="M240" s="79">
        <f>IF(OR($A240="",M$23=""),"",IF(COUNTIFS('AFA Rates'!$A$5:$A$1004,$A240,'AFA Rates'!$B$5:$B$1004,M$23,'AFA Rates'!$O$5:$O$1004,"&lt;&gt;Expired")&gt;0,"✓",IF(COUNTIFS('AFA Rates'!$A$5:$A$1004,$A240,'AFA Rates'!$B$5:$B$1004,M$23)&gt;0,"Exp","")))</f>
        <v/>
      </c>
    </row>
    <row r="241">
      <c r="A241" s="78">
        <f>IFERROR(INDEX(Firms!$A$5:$A$1004,MATCH(218,Firms!$V$5:$V$1004,0)),"")</f>
        <v/>
      </c>
      <c r="B241" s="79">
        <f>IF($A241="","",INDEX(Firms!$B$5:$B$1004,MATCH(218,Firms!$V$5:$V$1004,0)))</f>
        <v/>
      </c>
      <c r="C241" s="79">
        <f>IF($A241="","",COUNTIFS('AFA Rates'!$A$5:$A$1004,$A241,'AFA Rates'!$O$5:$O$1004,"&lt;&gt;Expired"))</f>
        <v/>
      </c>
      <c r="D241" s="79">
        <f>IF(OR($A241="",D$23=""),"",IF(COUNTIFS('AFA Rates'!$A$5:$A$1004,$A241,'AFA Rates'!$B$5:$B$1004,D$23,'AFA Rates'!$O$5:$O$1004,"&lt;&gt;Expired")&gt;0,"✓",IF(COUNTIFS('AFA Rates'!$A$5:$A$1004,$A241,'AFA Rates'!$B$5:$B$1004,D$23)&gt;0,"Exp","")))</f>
        <v/>
      </c>
      <c r="E241" s="79">
        <f>IF(OR($A241="",E$23=""),"",IF(COUNTIFS('AFA Rates'!$A$5:$A$1004,$A241,'AFA Rates'!$B$5:$B$1004,E$23,'AFA Rates'!$O$5:$O$1004,"&lt;&gt;Expired")&gt;0,"✓",IF(COUNTIFS('AFA Rates'!$A$5:$A$1004,$A241,'AFA Rates'!$B$5:$B$1004,E$23)&gt;0,"Exp","")))</f>
        <v/>
      </c>
      <c r="F241" s="79">
        <f>IF(OR($A241="",F$23=""),"",IF(COUNTIFS('AFA Rates'!$A$5:$A$1004,$A241,'AFA Rates'!$B$5:$B$1004,F$23,'AFA Rates'!$O$5:$O$1004,"&lt;&gt;Expired")&gt;0,"✓",IF(COUNTIFS('AFA Rates'!$A$5:$A$1004,$A241,'AFA Rates'!$B$5:$B$1004,F$23)&gt;0,"Exp","")))</f>
        <v/>
      </c>
      <c r="G241" s="79">
        <f>IF(OR($A241="",G$23=""),"",IF(COUNTIFS('AFA Rates'!$A$5:$A$1004,$A241,'AFA Rates'!$B$5:$B$1004,G$23,'AFA Rates'!$O$5:$O$1004,"&lt;&gt;Expired")&gt;0,"✓",IF(COUNTIFS('AFA Rates'!$A$5:$A$1004,$A241,'AFA Rates'!$B$5:$B$1004,G$23)&gt;0,"Exp","")))</f>
        <v/>
      </c>
      <c r="H241" s="79">
        <f>IF(OR($A241="",H$23=""),"",IF(COUNTIFS('AFA Rates'!$A$5:$A$1004,$A241,'AFA Rates'!$B$5:$B$1004,H$23,'AFA Rates'!$O$5:$O$1004,"&lt;&gt;Expired")&gt;0,"✓",IF(COUNTIFS('AFA Rates'!$A$5:$A$1004,$A241,'AFA Rates'!$B$5:$B$1004,H$23)&gt;0,"Exp","")))</f>
        <v/>
      </c>
      <c r="I241" s="79">
        <f>IF(OR($A241="",I$23=""),"",IF(COUNTIFS('AFA Rates'!$A$5:$A$1004,$A241,'AFA Rates'!$B$5:$B$1004,I$23,'AFA Rates'!$O$5:$O$1004,"&lt;&gt;Expired")&gt;0,"✓",IF(COUNTIFS('AFA Rates'!$A$5:$A$1004,$A241,'AFA Rates'!$B$5:$B$1004,I$23)&gt;0,"Exp","")))</f>
        <v/>
      </c>
      <c r="J241" s="79">
        <f>IF(OR($A241="",J$23=""),"",IF(COUNTIFS('AFA Rates'!$A$5:$A$1004,$A241,'AFA Rates'!$B$5:$B$1004,J$23,'AFA Rates'!$O$5:$O$1004,"&lt;&gt;Expired")&gt;0,"✓",IF(COUNTIFS('AFA Rates'!$A$5:$A$1004,$A241,'AFA Rates'!$B$5:$B$1004,J$23)&gt;0,"Exp","")))</f>
        <v/>
      </c>
      <c r="K241" s="79">
        <f>IF(OR($A241="",K$23=""),"",IF(COUNTIFS('AFA Rates'!$A$5:$A$1004,$A241,'AFA Rates'!$B$5:$B$1004,K$23,'AFA Rates'!$O$5:$O$1004,"&lt;&gt;Expired")&gt;0,"✓",IF(COUNTIFS('AFA Rates'!$A$5:$A$1004,$A241,'AFA Rates'!$B$5:$B$1004,K$23)&gt;0,"Exp","")))</f>
        <v/>
      </c>
      <c r="L241" s="79">
        <f>IF(OR($A241="",L$23=""),"",IF(COUNTIFS('AFA Rates'!$A$5:$A$1004,$A241,'AFA Rates'!$B$5:$B$1004,L$23,'AFA Rates'!$O$5:$O$1004,"&lt;&gt;Expired")&gt;0,"✓",IF(COUNTIFS('AFA Rates'!$A$5:$A$1004,$A241,'AFA Rates'!$B$5:$B$1004,L$23)&gt;0,"Exp","")))</f>
        <v/>
      </c>
      <c r="M241" s="79">
        <f>IF(OR($A241="",M$23=""),"",IF(COUNTIFS('AFA Rates'!$A$5:$A$1004,$A241,'AFA Rates'!$B$5:$B$1004,M$23,'AFA Rates'!$O$5:$O$1004,"&lt;&gt;Expired")&gt;0,"✓",IF(COUNTIFS('AFA Rates'!$A$5:$A$1004,$A241,'AFA Rates'!$B$5:$B$1004,M$23)&gt;0,"Exp","")))</f>
        <v/>
      </c>
    </row>
    <row r="242">
      <c r="A242" s="78">
        <f>IFERROR(INDEX(Firms!$A$5:$A$1004,MATCH(219,Firms!$V$5:$V$1004,0)),"")</f>
        <v/>
      </c>
      <c r="B242" s="79">
        <f>IF($A242="","",INDEX(Firms!$B$5:$B$1004,MATCH(219,Firms!$V$5:$V$1004,0)))</f>
        <v/>
      </c>
      <c r="C242" s="79">
        <f>IF($A242="","",COUNTIFS('AFA Rates'!$A$5:$A$1004,$A242,'AFA Rates'!$O$5:$O$1004,"&lt;&gt;Expired"))</f>
        <v/>
      </c>
      <c r="D242" s="79">
        <f>IF(OR($A242="",D$23=""),"",IF(COUNTIFS('AFA Rates'!$A$5:$A$1004,$A242,'AFA Rates'!$B$5:$B$1004,D$23,'AFA Rates'!$O$5:$O$1004,"&lt;&gt;Expired")&gt;0,"✓",IF(COUNTIFS('AFA Rates'!$A$5:$A$1004,$A242,'AFA Rates'!$B$5:$B$1004,D$23)&gt;0,"Exp","")))</f>
        <v/>
      </c>
      <c r="E242" s="79">
        <f>IF(OR($A242="",E$23=""),"",IF(COUNTIFS('AFA Rates'!$A$5:$A$1004,$A242,'AFA Rates'!$B$5:$B$1004,E$23,'AFA Rates'!$O$5:$O$1004,"&lt;&gt;Expired")&gt;0,"✓",IF(COUNTIFS('AFA Rates'!$A$5:$A$1004,$A242,'AFA Rates'!$B$5:$B$1004,E$23)&gt;0,"Exp","")))</f>
        <v/>
      </c>
      <c r="F242" s="79">
        <f>IF(OR($A242="",F$23=""),"",IF(COUNTIFS('AFA Rates'!$A$5:$A$1004,$A242,'AFA Rates'!$B$5:$B$1004,F$23,'AFA Rates'!$O$5:$O$1004,"&lt;&gt;Expired")&gt;0,"✓",IF(COUNTIFS('AFA Rates'!$A$5:$A$1004,$A242,'AFA Rates'!$B$5:$B$1004,F$23)&gt;0,"Exp","")))</f>
        <v/>
      </c>
      <c r="G242" s="79">
        <f>IF(OR($A242="",G$23=""),"",IF(COUNTIFS('AFA Rates'!$A$5:$A$1004,$A242,'AFA Rates'!$B$5:$B$1004,G$23,'AFA Rates'!$O$5:$O$1004,"&lt;&gt;Expired")&gt;0,"✓",IF(COUNTIFS('AFA Rates'!$A$5:$A$1004,$A242,'AFA Rates'!$B$5:$B$1004,G$23)&gt;0,"Exp","")))</f>
        <v/>
      </c>
      <c r="H242" s="79">
        <f>IF(OR($A242="",H$23=""),"",IF(COUNTIFS('AFA Rates'!$A$5:$A$1004,$A242,'AFA Rates'!$B$5:$B$1004,H$23,'AFA Rates'!$O$5:$O$1004,"&lt;&gt;Expired")&gt;0,"✓",IF(COUNTIFS('AFA Rates'!$A$5:$A$1004,$A242,'AFA Rates'!$B$5:$B$1004,H$23)&gt;0,"Exp","")))</f>
        <v/>
      </c>
      <c r="I242" s="79">
        <f>IF(OR($A242="",I$23=""),"",IF(COUNTIFS('AFA Rates'!$A$5:$A$1004,$A242,'AFA Rates'!$B$5:$B$1004,I$23,'AFA Rates'!$O$5:$O$1004,"&lt;&gt;Expired")&gt;0,"✓",IF(COUNTIFS('AFA Rates'!$A$5:$A$1004,$A242,'AFA Rates'!$B$5:$B$1004,I$23)&gt;0,"Exp","")))</f>
        <v/>
      </c>
      <c r="J242" s="79">
        <f>IF(OR($A242="",J$23=""),"",IF(COUNTIFS('AFA Rates'!$A$5:$A$1004,$A242,'AFA Rates'!$B$5:$B$1004,J$23,'AFA Rates'!$O$5:$O$1004,"&lt;&gt;Expired")&gt;0,"✓",IF(COUNTIFS('AFA Rates'!$A$5:$A$1004,$A242,'AFA Rates'!$B$5:$B$1004,J$23)&gt;0,"Exp","")))</f>
        <v/>
      </c>
      <c r="K242" s="79">
        <f>IF(OR($A242="",K$23=""),"",IF(COUNTIFS('AFA Rates'!$A$5:$A$1004,$A242,'AFA Rates'!$B$5:$B$1004,K$23,'AFA Rates'!$O$5:$O$1004,"&lt;&gt;Expired")&gt;0,"✓",IF(COUNTIFS('AFA Rates'!$A$5:$A$1004,$A242,'AFA Rates'!$B$5:$B$1004,K$23)&gt;0,"Exp","")))</f>
        <v/>
      </c>
      <c r="L242" s="79">
        <f>IF(OR($A242="",L$23=""),"",IF(COUNTIFS('AFA Rates'!$A$5:$A$1004,$A242,'AFA Rates'!$B$5:$B$1004,L$23,'AFA Rates'!$O$5:$O$1004,"&lt;&gt;Expired")&gt;0,"✓",IF(COUNTIFS('AFA Rates'!$A$5:$A$1004,$A242,'AFA Rates'!$B$5:$B$1004,L$23)&gt;0,"Exp","")))</f>
        <v/>
      </c>
      <c r="M242" s="79">
        <f>IF(OR($A242="",M$23=""),"",IF(COUNTIFS('AFA Rates'!$A$5:$A$1004,$A242,'AFA Rates'!$B$5:$B$1004,M$23,'AFA Rates'!$O$5:$O$1004,"&lt;&gt;Expired")&gt;0,"✓",IF(COUNTIFS('AFA Rates'!$A$5:$A$1004,$A242,'AFA Rates'!$B$5:$B$1004,M$23)&gt;0,"Exp","")))</f>
        <v/>
      </c>
    </row>
    <row r="243">
      <c r="A243" s="78">
        <f>IFERROR(INDEX(Firms!$A$5:$A$1004,MATCH(220,Firms!$V$5:$V$1004,0)),"")</f>
        <v/>
      </c>
      <c r="B243" s="79">
        <f>IF($A243="","",INDEX(Firms!$B$5:$B$1004,MATCH(220,Firms!$V$5:$V$1004,0)))</f>
        <v/>
      </c>
      <c r="C243" s="79">
        <f>IF($A243="","",COUNTIFS('AFA Rates'!$A$5:$A$1004,$A243,'AFA Rates'!$O$5:$O$1004,"&lt;&gt;Expired"))</f>
        <v/>
      </c>
      <c r="D243" s="79">
        <f>IF(OR($A243="",D$23=""),"",IF(COUNTIFS('AFA Rates'!$A$5:$A$1004,$A243,'AFA Rates'!$B$5:$B$1004,D$23,'AFA Rates'!$O$5:$O$1004,"&lt;&gt;Expired")&gt;0,"✓",IF(COUNTIFS('AFA Rates'!$A$5:$A$1004,$A243,'AFA Rates'!$B$5:$B$1004,D$23)&gt;0,"Exp","")))</f>
        <v/>
      </c>
      <c r="E243" s="79">
        <f>IF(OR($A243="",E$23=""),"",IF(COUNTIFS('AFA Rates'!$A$5:$A$1004,$A243,'AFA Rates'!$B$5:$B$1004,E$23,'AFA Rates'!$O$5:$O$1004,"&lt;&gt;Expired")&gt;0,"✓",IF(COUNTIFS('AFA Rates'!$A$5:$A$1004,$A243,'AFA Rates'!$B$5:$B$1004,E$23)&gt;0,"Exp","")))</f>
        <v/>
      </c>
      <c r="F243" s="79">
        <f>IF(OR($A243="",F$23=""),"",IF(COUNTIFS('AFA Rates'!$A$5:$A$1004,$A243,'AFA Rates'!$B$5:$B$1004,F$23,'AFA Rates'!$O$5:$O$1004,"&lt;&gt;Expired")&gt;0,"✓",IF(COUNTIFS('AFA Rates'!$A$5:$A$1004,$A243,'AFA Rates'!$B$5:$B$1004,F$23)&gt;0,"Exp","")))</f>
        <v/>
      </c>
      <c r="G243" s="79">
        <f>IF(OR($A243="",G$23=""),"",IF(COUNTIFS('AFA Rates'!$A$5:$A$1004,$A243,'AFA Rates'!$B$5:$B$1004,G$23,'AFA Rates'!$O$5:$O$1004,"&lt;&gt;Expired")&gt;0,"✓",IF(COUNTIFS('AFA Rates'!$A$5:$A$1004,$A243,'AFA Rates'!$B$5:$B$1004,G$23)&gt;0,"Exp","")))</f>
        <v/>
      </c>
      <c r="H243" s="79">
        <f>IF(OR($A243="",H$23=""),"",IF(COUNTIFS('AFA Rates'!$A$5:$A$1004,$A243,'AFA Rates'!$B$5:$B$1004,H$23,'AFA Rates'!$O$5:$O$1004,"&lt;&gt;Expired")&gt;0,"✓",IF(COUNTIFS('AFA Rates'!$A$5:$A$1004,$A243,'AFA Rates'!$B$5:$B$1004,H$23)&gt;0,"Exp","")))</f>
        <v/>
      </c>
      <c r="I243" s="79">
        <f>IF(OR($A243="",I$23=""),"",IF(COUNTIFS('AFA Rates'!$A$5:$A$1004,$A243,'AFA Rates'!$B$5:$B$1004,I$23,'AFA Rates'!$O$5:$O$1004,"&lt;&gt;Expired")&gt;0,"✓",IF(COUNTIFS('AFA Rates'!$A$5:$A$1004,$A243,'AFA Rates'!$B$5:$B$1004,I$23)&gt;0,"Exp","")))</f>
        <v/>
      </c>
      <c r="J243" s="79">
        <f>IF(OR($A243="",J$23=""),"",IF(COUNTIFS('AFA Rates'!$A$5:$A$1004,$A243,'AFA Rates'!$B$5:$B$1004,J$23,'AFA Rates'!$O$5:$O$1004,"&lt;&gt;Expired")&gt;0,"✓",IF(COUNTIFS('AFA Rates'!$A$5:$A$1004,$A243,'AFA Rates'!$B$5:$B$1004,J$23)&gt;0,"Exp","")))</f>
        <v/>
      </c>
      <c r="K243" s="79">
        <f>IF(OR($A243="",K$23=""),"",IF(COUNTIFS('AFA Rates'!$A$5:$A$1004,$A243,'AFA Rates'!$B$5:$B$1004,K$23,'AFA Rates'!$O$5:$O$1004,"&lt;&gt;Expired")&gt;0,"✓",IF(COUNTIFS('AFA Rates'!$A$5:$A$1004,$A243,'AFA Rates'!$B$5:$B$1004,K$23)&gt;0,"Exp","")))</f>
        <v/>
      </c>
      <c r="L243" s="79">
        <f>IF(OR($A243="",L$23=""),"",IF(COUNTIFS('AFA Rates'!$A$5:$A$1004,$A243,'AFA Rates'!$B$5:$B$1004,L$23,'AFA Rates'!$O$5:$O$1004,"&lt;&gt;Expired")&gt;0,"✓",IF(COUNTIFS('AFA Rates'!$A$5:$A$1004,$A243,'AFA Rates'!$B$5:$B$1004,L$23)&gt;0,"Exp","")))</f>
        <v/>
      </c>
      <c r="M243" s="79">
        <f>IF(OR($A243="",M$23=""),"",IF(COUNTIFS('AFA Rates'!$A$5:$A$1004,$A243,'AFA Rates'!$B$5:$B$1004,M$23,'AFA Rates'!$O$5:$O$1004,"&lt;&gt;Expired")&gt;0,"✓",IF(COUNTIFS('AFA Rates'!$A$5:$A$1004,$A243,'AFA Rates'!$B$5:$B$1004,M$23)&gt;0,"Exp","")))</f>
        <v/>
      </c>
    </row>
    <row r="244">
      <c r="A244" s="78">
        <f>IFERROR(INDEX(Firms!$A$5:$A$1004,MATCH(221,Firms!$V$5:$V$1004,0)),"")</f>
        <v/>
      </c>
      <c r="B244" s="79">
        <f>IF($A244="","",INDEX(Firms!$B$5:$B$1004,MATCH(221,Firms!$V$5:$V$1004,0)))</f>
        <v/>
      </c>
      <c r="C244" s="79">
        <f>IF($A244="","",COUNTIFS('AFA Rates'!$A$5:$A$1004,$A244,'AFA Rates'!$O$5:$O$1004,"&lt;&gt;Expired"))</f>
        <v/>
      </c>
      <c r="D244" s="79">
        <f>IF(OR($A244="",D$23=""),"",IF(COUNTIFS('AFA Rates'!$A$5:$A$1004,$A244,'AFA Rates'!$B$5:$B$1004,D$23,'AFA Rates'!$O$5:$O$1004,"&lt;&gt;Expired")&gt;0,"✓",IF(COUNTIFS('AFA Rates'!$A$5:$A$1004,$A244,'AFA Rates'!$B$5:$B$1004,D$23)&gt;0,"Exp","")))</f>
        <v/>
      </c>
      <c r="E244" s="79">
        <f>IF(OR($A244="",E$23=""),"",IF(COUNTIFS('AFA Rates'!$A$5:$A$1004,$A244,'AFA Rates'!$B$5:$B$1004,E$23,'AFA Rates'!$O$5:$O$1004,"&lt;&gt;Expired")&gt;0,"✓",IF(COUNTIFS('AFA Rates'!$A$5:$A$1004,$A244,'AFA Rates'!$B$5:$B$1004,E$23)&gt;0,"Exp","")))</f>
        <v/>
      </c>
      <c r="F244" s="79">
        <f>IF(OR($A244="",F$23=""),"",IF(COUNTIFS('AFA Rates'!$A$5:$A$1004,$A244,'AFA Rates'!$B$5:$B$1004,F$23,'AFA Rates'!$O$5:$O$1004,"&lt;&gt;Expired")&gt;0,"✓",IF(COUNTIFS('AFA Rates'!$A$5:$A$1004,$A244,'AFA Rates'!$B$5:$B$1004,F$23)&gt;0,"Exp","")))</f>
        <v/>
      </c>
      <c r="G244" s="79">
        <f>IF(OR($A244="",G$23=""),"",IF(COUNTIFS('AFA Rates'!$A$5:$A$1004,$A244,'AFA Rates'!$B$5:$B$1004,G$23,'AFA Rates'!$O$5:$O$1004,"&lt;&gt;Expired")&gt;0,"✓",IF(COUNTIFS('AFA Rates'!$A$5:$A$1004,$A244,'AFA Rates'!$B$5:$B$1004,G$23)&gt;0,"Exp","")))</f>
        <v/>
      </c>
      <c r="H244" s="79">
        <f>IF(OR($A244="",H$23=""),"",IF(COUNTIFS('AFA Rates'!$A$5:$A$1004,$A244,'AFA Rates'!$B$5:$B$1004,H$23,'AFA Rates'!$O$5:$O$1004,"&lt;&gt;Expired")&gt;0,"✓",IF(COUNTIFS('AFA Rates'!$A$5:$A$1004,$A244,'AFA Rates'!$B$5:$B$1004,H$23)&gt;0,"Exp","")))</f>
        <v/>
      </c>
      <c r="I244" s="79">
        <f>IF(OR($A244="",I$23=""),"",IF(COUNTIFS('AFA Rates'!$A$5:$A$1004,$A244,'AFA Rates'!$B$5:$B$1004,I$23,'AFA Rates'!$O$5:$O$1004,"&lt;&gt;Expired")&gt;0,"✓",IF(COUNTIFS('AFA Rates'!$A$5:$A$1004,$A244,'AFA Rates'!$B$5:$B$1004,I$23)&gt;0,"Exp","")))</f>
        <v/>
      </c>
      <c r="J244" s="79">
        <f>IF(OR($A244="",J$23=""),"",IF(COUNTIFS('AFA Rates'!$A$5:$A$1004,$A244,'AFA Rates'!$B$5:$B$1004,J$23,'AFA Rates'!$O$5:$O$1004,"&lt;&gt;Expired")&gt;0,"✓",IF(COUNTIFS('AFA Rates'!$A$5:$A$1004,$A244,'AFA Rates'!$B$5:$B$1004,J$23)&gt;0,"Exp","")))</f>
        <v/>
      </c>
      <c r="K244" s="79">
        <f>IF(OR($A244="",K$23=""),"",IF(COUNTIFS('AFA Rates'!$A$5:$A$1004,$A244,'AFA Rates'!$B$5:$B$1004,K$23,'AFA Rates'!$O$5:$O$1004,"&lt;&gt;Expired")&gt;0,"✓",IF(COUNTIFS('AFA Rates'!$A$5:$A$1004,$A244,'AFA Rates'!$B$5:$B$1004,K$23)&gt;0,"Exp","")))</f>
        <v/>
      </c>
      <c r="L244" s="79">
        <f>IF(OR($A244="",L$23=""),"",IF(COUNTIFS('AFA Rates'!$A$5:$A$1004,$A244,'AFA Rates'!$B$5:$B$1004,L$23,'AFA Rates'!$O$5:$O$1004,"&lt;&gt;Expired")&gt;0,"✓",IF(COUNTIFS('AFA Rates'!$A$5:$A$1004,$A244,'AFA Rates'!$B$5:$B$1004,L$23)&gt;0,"Exp","")))</f>
        <v/>
      </c>
      <c r="M244" s="79">
        <f>IF(OR($A244="",M$23=""),"",IF(COUNTIFS('AFA Rates'!$A$5:$A$1004,$A244,'AFA Rates'!$B$5:$B$1004,M$23,'AFA Rates'!$O$5:$O$1004,"&lt;&gt;Expired")&gt;0,"✓",IF(COUNTIFS('AFA Rates'!$A$5:$A$1004,$A244,'AFA Rates'!$B$5:$B$1004,M$23)&gt;0,"Exp","")))</f>
        <v/>
      </c>
    </row>
    <row r="245">
      <c r="A245" s="78">
        <f>IFERROR(INDEX(Firms!$A$5:$A$1004,MATCH(222,Firms!$V$5:$V$1004,0)),"")</f>
        <v/>
      </c>
      <c r="B245" s="79">
        <f>IF($A245="","",INDEX(Firms!$B$5:$B$1004,MATCH(222,Firms!$V$5:$V$1004,0)))</f>
        <v/>
      </c>
      <c r="C245" s="79">
        <f>IF($A245="","",COUNTIFS('AFA Rates'!$A$5:$A$1004,$A245,'AFA Rates'!$O$5:$O$1004,"&lt;&gt;Expired"))</f>
        <v/>
      </c>
      <c r="D245" s="79">
        <f>IF(OR($A245="",D$23=""),"",IF(COUNTIFS('AFA Rates'!$A$5:$A$1004,$A245,'AFA Rates'!$B$5:$B$1004,D$23,'AFA Rates'!$O$5:$O$1004,"&lt;&gt;Expired")&gt;0,"✓",IF(COUNTIFS('AFA Rates'!$A$5:$A$1004,$A245,'AFA Rates'!$B$5:$B$1004,D$23)&gt;0,"Exp","")))</f>
        <v/>
      </c>
      <c r="E245" s="79">
        <f>IF(OR($A245="",E$23=""),"",IF(COUNTIFS('AFA Rates'!$A$5:$A$1004,$A245,'AFA Rates'!$B$5:$B$1004,E$23,'AFA Rates'!$O$5:$O$1004,"&lt;&gt;Expired")&gt;0,"✓",IF(COUNTIFS('AFA Rates'!$A$5:$A$1004,$A245,'AFA Rates'!$B$5:$B$1004,E$23)&gt;0,"Exp","")))</f>
        <v/>
      </c>
      <c r="F245" s="79">
        <f>IF(OR($A245="",F$23=""),"",IF(COUNTIFS('AFA Rates'!$A$5:$A$1004,$A245,'AFA Rates'!$B$5:$B$1004,F$23,'AFA Rates'!$O$5:$O$1004,"&lt;&gt;Expired")&gt;0,"✓",IF(COUNTIFS('AFA Rates'!$A$5:$A$1004,$A245,'AFA Rates'!$B$5:$B$1004,F$23)&gt;0,"Exp","")))</f>
        <v/>
      </c>
      <c r="G245" s="79">
        <f>IF(OR($A245="",G$23=""),"",IF(COUNTIFS('AFA Rates'!$A$5:$A$1004,$A245,'AFA Rates'!$B$5:$B$1004,G$23,'AFA Rates'!$O$5:$O$1004,"&lt;&gt;Expired")&gt;0,"✓",IF(COUNTIFS('AFA Rates'!$A$5:$A$1004,$A245,'AFA Rates'!$B$5:$B$1004,G$23)&gt;0,"Exp","")))</f>
        <v/>
      </c>
      <c r="H245" s="79">
        <f>IF(OR($A245="",H$23=""),"",IF(COUNTIFS('AFA Rates'!$A$5:$A$1004,$A245,'AFA Rates'!$B$5:$B$1004,H$23,'AFA Rates'!$O$5:$O$1004,"&lt;&gt;Expired")&gt;0,"✓",IF(COUNTIFS('AFA Rates'!$A$5:$A$1004,$A245,'AFA Rates'!$B$5:$B$1004,H$23)&gt;0,"Exp","")))</f>
        <v/>
      </c>
      <c r="I245" s="79">
        <f>IF(OR($A245="",I$23=""),"",IF(COUNTIFS('AFA Rates'!$A$5:$A$1004,$A245,'AFA Rates'!$B$5:$B$1004,I$23,'AFA Rates'!$O$5:$O$1004,"&lt;&gt;Expired")&gt;0,"✓",IF(COUNTIFS('AFA Rates'!$A$5:$A$1004,$A245,'AFA Rates'!$B$5:$B$1004,I$23)&gt;0,"Exp","")))</f>
        <v/>
      </c>
      <c r="J245" s="79">
        <f>IF(OR($A245="",J$23=""),"",IF(COUNTIFS('AFA Rates'!$A$5:$A$1004,$A245,'AFA Rates'!$B$5:$B$1004,J$23,'AFA Rates'!$O$5:$O$1004,"&lt;&gt;Expired")&gt;0,"✓",IF(COUNTIFS('AFA Rates'!$A$5:$A$1004,$A245,'AFA Rates'!$B$5:$B$1004,J$23)&gt;0,"Exp","")))</f>
        <v/>
      </c>
      <c r="K245" s="79">
        <f>IF(OR($A245="",K$23=""),"",IF(COUNTIFS('AFA Rates'!$A$5:$A$1004,$A245,'AFA Rates'!$B$5:$B$1004,K$23,'AFA Rates'!$O$5:$O$1004,"&lt;&gt;Expired")&gt;0,"✓",IF(COUNTIFS('AFA Rates'!$A$5:$A$1004,$A245,'AFA Rates'!$B$5:$B$1004,K$23)&gt;0,"Exp","")))</f>
        <v/>
      </c>
      <c r="L245" s="79">
        <f>IF(OR($A245="",L$23=""),"",IF(COUNTIFS('AFA Rates'!$A$5:$A$1004,$A245,'AFA Rates'!$B$5:$B$1004,L$23,'AFA Rates'!$O$5:$O$1004,"&lt;&gt;Expired")&gt;0,"✓",IF(COUNTIFS('AFA Rates'!$A$5:$A$1004,$A245,'AFA Rates'!$B$5:$B$1004,L$23)&gt;0,"Exp","")))</f>
        <v/>
      </c>
      <c r="M245" s="79">
        <f>IF(OR($A245="",M$23=""),"",IF(COUNTIFS('AFA Rates'!$A$5:$A$1004,$A245,'AFA Rates'!$B$5:$B$1004,M$23,'AFA Rates'!$O$5:$O$1004,"&lt;&gt;Expired")&gt;0,"✓",IF(COUNTIFS('AFA Rates'!$A$5:$A$1004,$A245,'AFA Rates'!$B$5:$B$1004,M$23)&gt;0,"Exp","")))</f>
        <v/>
      </c>
    </row>
    <row r="246">
      <c r="A246" s="78">
        <f>IFERROR(INDEX(Firms!$A$5:$A$1004,MATCH(223,Firms!$V$5:$V$1004,0)),"")</f>
        <v/>
      </c>
      <c r="B246" s="79">
        <f>IF($A246="","",INDEX(Firms!$B$5:$B$1004,MATCH(223,Firms!$V$5:$V$1004,0)))</f>
        <v/>
      </c>
      <c r="C246" s="79">
        <f>IF($A246="","",COUNTIFS('AFA Rates'!$A$5:$A$1004,$A246,'AFA Rates'!$O$5:$O$1004,"&lt;&gt;Expired"))</f>
        <v/>
      </c>
      <c r="D246" s="79">
        <f>IF(OR($A246="",D$23=""),"",IF(COUNTIFS('AFA Rates'!$A$5:$A$1004,$A246,'AFA Rates'!$B$5:$B$1004,D$23,'AFA Rates'!$O$5:$O$1004,"&lt;&gt;Expired")&gt;0,"✓",IF(COUNTIFS('AFA Rates'!$A$5:$A$1004,$A246,'AFA Rates'!$B$5:$B$1004,D$23)&gt;0,"Exp","")))</f>
        <v/>
      </c>
      <c r="E246" s="79">
        <f>IF(OR($A246="",E$23=""),"",IF(COUNTIFS('AFA Rates'!$A$5:$A$1004,$A246,'AFA Rates'!$B$5:$B$1004,E$23,'AFA Rates'!$O$5:$O$1004,"&lt;&gt;Expired")&gt;0,"✓",IF(COUNTIFS('AFA Rates'!$A$5:$A$1004,$A246,'AFA Rates'!$B$5:$B$1004,E$23)&gt;0,"Exp","")))</f>
        <v/>
      </c>
      <c r="F246" s="79">
        <f>IF(OR($A246="",F$23=""),"",IF(COUNTIFS('AFA Rates'!$A$5:$A$1004,$A246,'AFA Rates'!$B$5:$B$1004,F$23,'AFA Rates'!$O$5:$O$1004,"&lt;&gt;Expired")&gt;0,"✓",IF(COUNTIFS('AFA Rates'!$A$5:$A$1004,$A246,'AFA Rates'!$B$5:$B$1004,F$23)&gt;0,"Exp","")))</f>
        <v/>
      </c>
      <c r="G246" s="79">
        <f>IF(OR($A246="",G$23=""),"",IF(COUNTIFS('AFA Rates'!$A$5:$A$1004,$A246,'AFA Rates'!$B$5:$B$1004,G$23,'AFA Rates'!$O$5:$O$1004,"&lt;&gt;Expired")&gt;0,"✓",IF(COUNTIFS('AFA Rates'!$A$5:$A$1004,$A246,'AFA Rates'!$B$5:$B$1004,G$23)&gt;0,"Exp","")))</f>
        <v/>
      </c>
      <c r="H246" s="79">
        <f>IF(OR($A246="",H$23=""),"",IF(COUNTIFS('AFA Rates'!$A$5:$A$1004,$A246,'AFA Rates'!$B$5:$B$1004,H$23,'AFA Rates'!$O$5:$O$1004,"&lt;&gt;Expired")&gt;0,"✓",IF(COUNTIFS('AFA Rates'!$A$5:$A$1004,$A246,'AFA Rates'!$B$5:$B$1004,H$23)&gt;0,"Exp","")))</f>
        <v/>
      </c>
      <c r="I246" s="79">
        <f>IF(OR($A246="",I$23=""),"",IF(COUNTIFS('AFA Rates'!$A$5:$A$1004,$A246,'AFA Rates'!$B$5:$B$1004,I$23,'AFA Rates'!$O$5:$O$1004,"&lt;&gt;Expired")&gt;0,"✓",IF(COUNTIFS('AFA Rates'!$A$5:$A$1004,$A246,'AFA Rates'!$B$5:$B$1004,I$23)&gt;0,"Exp","")))</f>
        <v/>
      </c>
      <c r="J246" s="79">
        <f>IF(OR($A246="",J$23=""),"",IF(COUNTIFS('AFA Rates'!$A$5:$A$1004,$A246,'AFA Rates'!$B$5:$B$1004,J$23,'AFA Rates'!$O$5:$O$1004,"&lt;&gt;Expired")&gt;0,"✓",IF(COUNTIFS('AFA Rates'!$A$5:$A$1004,$A246,'AFA Rates'!$B$5:$B$1004,J$23)&gt;0,"Exp","")))</f>
        <v/>
      </c>
      <c r="K246" s="79">
        <f>IF(OR($A246="",K$23=""),"",IF(COUNTIFS('AFA Rates'!$A$5:$A$1004,$A246,'AFA Rates'!$B$5:$B$1004,K$23,'AFA Rates'!$O$5:$O$1004,"&lt;&gt;Expired")&gt;0,"✓",IF(COUNTIFS('AFA Rates'!$A$5:$A$1004,$A246,'AFA Rates'!$B$5:$B$1004,K$23)&gt;0,"Exp","")))</f>
        <v/>
      </c>
      <c r="L246" s="79">
        <f>IF(OR($A246="",L$23=""),"",IF(COUNTIFS('AFA Rates'!$A$5:$A$1004,$A246,'AFA Rates'!$B$5:$B$1004,L$23,'AFA Rates'!$O$5:$O$1004,"&lt;&gt;Expired")&gt;0,"✓",IF(COUNTIFS('AFA Rates'!$A$5:$A$1004,$A246,'AFA Rates'!$B$5:$B$1004,L$23)&gt;0,"Exp","")))</f>
        <v/>
      </c>
      <c r="M246" s="79">
        <f>IF(OR($A246="",M$23=""),"",IF(COUNTIFS('AFA Rates'!$A$5:$A$1004,$A246,'AFA Rates'!$B$5:$B$1004,M$23,'AFA Rates'!$O$5:$O$1004,"&lt;&gt;Expired")&gt;0,"✓",IF(COUNTIFS('AFA Rates'!$A$5:$A$1004,$A246,'AFA Rates'!$B$5:$B$1004,M$23)&gt;0,"Exp","")))</f>
        <v/>
      </c>
    </row>
    <row r="247">
      <c r="A247" s="78">
        <f>IFERROR(INDEX(Firms!$A$5:$A$1004,MATCH(224,Firms!$V$5:$V$1004,0)),"")</f>
        <v/>
      </c>
      <c r="B247" s="79">
        <f>IF($A247="","",INDEX(Firms!$B$5:$B$1004,MATCH(224,Firms!$V$5:$V$1004,0)))</f>
        <v/>
      </c>
      <c r="C247" s="79">
        <f>IF($A247="","",COUNTIFS('AFA Rates'!$A$5:$A$1004,$A247,'AFA Rates'!$O$5:$O$1004,"&lt;&gt;Expired"))</f>
        <v/>
      </c>
      <c r="D247" s="79">
        <f>IF(OR($A247="",D$23=""),"",IF(COUNTIFS('AFA Rates'!$A$5:$A$1004,$A247,'AFA Rates'!$B$5:$B$1004,D$23,'AFA Rates'!$O$5:$O$1004,"&lt;&gt;Expired")&gt;0,"✓",IF(COUNTIFS('AFA Rates'!$A$5:$A$1004,$A247,'AFA Rates'!$B$5:$B$1004,D$23)&gt;0,"Exp","")))</f>
        <v/>
      </c>
      <c r="E247" s="79">
        <f>IF(OR($A247="",E$23=""),"",IF(COUNTIFS('AFA Rates'!$A$5:$A$1004,$A247,'AFA Rates'!$B$5:$B$1004,E$23,'AFA Rates'!$O$5:$O$1004,"&lt;&gt;Expired")&gt;0,"✓",IF(COUNTIFS('AFA Rates'!$A$5:$A$1004,$A247,'AFA Rates'!$B$5:$B$1004,E$23)&gt;0,"Exp","")))</f>
        <v/>
      </c>
      <c r="F247" s="79">
        <f>IF(OR($A247="",F$23=""),"",IF(COUNTIFS('AFA Rates'!$A$5:$A$1004,$A247,'AFA Rates'!$B$5:$B$1004,F$23,'AFA Rates'!$O$5:$O$1004,"&lt;&gt;Expired")&gt;0,"✓",IF(COUNTIFS('AFA Rates'!$A$5:$A$1004,$A247,'AFA Rates'!$B$5:$B$1004,F$23)&gt;0,"Exp","")))</f>
        <v/>
      </c>
      <c r="G247" s="79">
        <f>IF(OR($A247="",G$23=""),"",IF(COUNTIFS('AFA Rates'!$A$5:$A$1004,$A247,'AFA Rates'!$B$5:$B$1004,G$23,'AFA Rates'!$O$5:$O$1004,"&lt;&gt;Expired")&gt;0,"✓",IF(COUNTIFS('AFA Rates'!$A$5:$A$1004,$A247,'AFA Rates'!$B$5:$B$1004,G$23)&gt;0,"Exp","")))</f>
        <v/>
      </c>
      <c r="H247" s="79">
        <f>IF(OR($A247="",H$23=""),"",IF(COUNTIFS('AFA Rates'!$A$5:$A$1004,$A247,'AFA Rates'!$B$5:$B$1004,H$23,'AFA Rates'!$O$5:$O$1004,"&lt;&gt;Expired")&gt;0,"✓",IF(COUNTIFS('AFA Rates'!$A$5:$A$1004,$A247,'AFA Rates'!$B$5:$B$1004,H$23)&gt;0,"Exp","")))</f>
        <v/>
      </c>
      <c r="I247" s="79">
        <f>IF(OR($A247="",I$23=""),"",IF(COUNTIFS('AFA Rates'!$A$5:$A$1004,$A247,'AFA Rates'!$B$5:$B$1004,I$23,'AFA Rates'!$O$5:$O$1004,"&lt;&gt;Expired")&gt;0,"✓",IF(COUNTIFS('AFA Rates'!$A$5:$A$1004,$A247,'AFA Rates'!$B$5:$B$1004,I$23)&gt;0,"Exp","")))</f>
        <v/>
      </c>
      <c r="J247" s="79">
        <f>IF(OR($A247="",J$23=""),"",IF(COUNTIFS('AFA Rates'!$A$5:$A$1004,$A247,'AFA Rates'!$B$5:$B$1004,J$23,'AFA Rates'!$O$5:$O$1004,"&lt;&gt;Expired")&gt;0,"✓",IF(COUNTIFS('AFA Rates'!$A$5:$A$1004,$A247,'AFA Rates'!$B$5:$B$1004,J$23)&gt;0,"Exp","")))</f>
        <v/>
      </c>
      <c r="K247" s="79">
        <f>IF(OR($A247="",K$23=""),"",IF(COUNTIFS('AFA Rates'!$A$5:$A$1004,$A247,'AFA Rates'!$B$5:$B$1004,K$23,'AFA Rates'!$O$5:$O$1004,"&lt;&gt;Expired")&gt;0,"✓",IF(COUNTIFS('AFA Rates'!$A$5:$A$1004,$A247,'AFA Rates'!$B$5:$B$1004,K$23)&gt;0,"Exp","")))</f>
        <v/>
      </c>
      <c r="L247" s="79">
        <f>IF(OR($A247="",L$23=""),"",IF(COUNTIFS('AFA Rates'!$A$5:$A$1004,$A247,'AFA Rates'!$B$5:$B$1004,L$23,'AFA Rates'!$O$5:$O$1004,"&lt;&gt;Expired")&gt;0,"✓",IF(COUNTIFS('AFA Rates'!$A$5:$A$1004,$A247,'AFA Rates'!$B$5:$B$1004,L$23)&gt;0,"Exp","")))</f>
        <v/>
      </c>
      <c r="M247" s="79">
        <f>IF(OR($A247="",M$23=""),"",IF(COUNTIFS('AFA Rates'!$A$5:$A$1004,$A247,'AFA Rates'!$B$5:$B$1004,M$23,'AFA Rates'!$O$5:$O$1004,"&lt;&gt;Expired")&gt;0,"✓",IF(COUNTIFS('AFA Rates'!$A$5:$A$1004,$A247,'AFA Rates'!$B$5:$B$1004,M$23)&gt;0,"Exp","")))</f>
        <v/>
      </c>
    </row>
    <row r="248">
      <c r="A248" s="78">
        <f>IFERROR(INDEX(Firms!$A$5:$A$1004,MATCH(225,Firms!$V$5:$V$1004,0)),"")</f>
        <v/>
      </c>
      <c r="B248" s="79">
        <f>IF($A248="","",INDEX(Firms!$B$5:$B$1004,MATCH(225,Firms!$V$5:$V$1004,0)))</f>
        <v/>
      </c>
      <c r="C248" s="79">
        <f>IF($A248="","",COUNTIFS('AFA Rates'!$A$5:$A$1004,$A248,'AFA Rates'!$O$5:$O$1004,"&lt;&gt;Expired"))</f>
        <v/>
      </c>
      <c r="D248" s="79">
        <f>IF(OR($A248="",D$23=""),"",IF(COUNTIFS('AFA Rates'!$A$5:$A$1004,$A248,'AFA Rates'!$B$5:$B$1004,D$23,'AFA Rates'!$O$5:$O$1004,"&lt;&gt;Expired")&gt;0,"✓",IF(COUNTIFS('AFA Rates'!$A$5:$A$1004,$A248,'AFA Rates'!$B$5:$B$1004,D$23)&gt;0,"Exp","")))</f>
        <v/>
      </c>
      <c r="E248" s="79">
        <f>IF(OR($A248="",E$23=""),"",IF(COUNTIFS('AFA Rates'!$A$5:$A$1004,$A248,'AFA Rates'!$B$5:$B$1004,E$23,'AFA Rates'!$O$5:$O$1004,"&lt;&gt;Expired")&gt;0,"✓",IF(COUNTIFS('AFA Rates'!$A$5:$A$1004,$A248,'AFA Rates'!$B$5:$B$1004,E$23)&gt;0,"Exp","")))</f>
        <v/>
      </c>
      <c r="F248" s="79">
        <f>IF(OR($A248="",F$23=""),"",IF(COUNTIFS('AFA Rates'!$A$5:$A$1004,$A248,'AFA Rates'!$B$5:$B$1004,F$23,'AFA Rates'!$O$5:$O$1004,"&lt;&gt;Expired")&gt;0,"✓",IF(COUNTIFS('AFA Rates'!$A$5:$A$1004,$A248,'AFA Rates'!$B$5:$B$1004,F$23)&gt;0,"Exp","")))</f>
        <v/>
      </c>
      <c r="G248" s="79">
        <f>IF(OR($A248="",G$23=""),"",IF(COUNTIFS('AFA Rates'!$A$5:$A$1004,$A248,'AFA Rates'!$B$5:$B$1004,G$23,'AFA Rates'!$O$5:$O$1004,"&lt;&gt;Expired")&gt;0,"✓",IF(COUNTIFS('AFA Rates'!$A$5:$A$1004,$A248,'AFA Rates'!$B$5:$B$1004,G$23)&gt;0,"Exp","")))</f>
        <v/>
      </c>
      <c r="H248" s="79">
        <f>IF(OR($A248="",H$23=""),"",IF(COUNTIFS('AFA Rates'!$A$5:$A$1004,$A248,'AFA Rates'!$B$5:$B$1004,H$23,'AFA Rates'!$O$5:$O$1004,"&lt;&gt;Expired")&gt;0,"✓",IF(COUNTIFS('AFA Rates'!$A$5:$A$1004,$A248,'AFA Rates'!$B$5:$B$1004,H$23)&gt;0,"Exp","")))</f>
        <v/>
      </c>
      <c r="I248" s="79">
        <f>IF(OR($A248="",I$23=""),"",IF(COUNTIFS('AFA Rates'!$A$5:$A$1004,$A248,'AFA Rates'!$B$5:$B$1004,I$23,'AFA Rates'!$O$5:$O$1004,"&lt;&gt;Expired")&gt;0,"✓",IF(COUNTIFS('AFA Rates'!$A$5:$A$1004,$A248,'AFA Rates'!$B$5:$B$1004,I$23)&gt;0,"Exp","")))</f>
        <v/>
      </c>
      <c r="J248" s="79">
        <f>IF(OR($A248="",J$23=""),"",IF(COUNTIFS('AFA Rates'!$A$5:$A$1004,$A248,'AFA Rates'!$B$5:$B$1004,J$23,'AFA Rates'!$O$5:$O$1004,"&lt;&gt;Expired")&gt;0,"✓",IF(COUNTIFS('AFA Rates'!$A$5:$A$1004,$A248,'AFA Rates'!$B$5:$B$1004,J$23)&gt;0,"Exp","")))</f>
        <v/>
      </c>
      <c r="K248" s="79">
        <f>IF(OR($A248="",K$23=""),"",IF(COUNTIFS('AFA Rates'!$A$5:$A$1004,$A248,'AFA Rates'!$B$5:$B$1004,K$23,'AFA Rates'!$O$5:$O$1004,"&lt;&gt;Expired")&gt;0,"✓",IF(COUNTIFS('AFA Rates'!$A$5:$A$1004,$A248,'AFA Rates'!$B$5:$B$1004,K$23)&gt;0,"Exp","")))</f>
        <v/>
      </c>
      <c r="L248" s="79">
        <f>IF(OR($A248="",L$23=""),"",IF(COUNTIFS('AFA Rates'!$A$5:$A$1004,$A248,'AFA Rates'!$B$5:$B$1004,L$23,'AFA Rates'!$O$5:$O$1004,"&lt;&gt;Expired")&gt;0,"✓",IF(COUNTIFS('AFA Rates'!$A$5:$A$1004,$A248,'AFA Rates'!$B$5:$B$1004,L$23)&gt;0,"Exp","")))</f>
        <v/>
      </c>
      <c r="M248" s="79">
        <f>IF(OR($A248="",M$23=""),"",IF(COUNTIFS('AFA Rates'!$A$5:$A$1004,$A248,'AFA Rates'!$B$5:$B$1004,M$23,'AFA Rates'!$O$5:$O$1004,"&lt;&gt;Expired")&gt;0,"✓",IF(COUNTIFS('AFA Rates'!$A$5:$A$1004,$A248,'AFA Rates'!$B$5:$B$1004,M$23)&gt;0,"Exp","")))</f>
        <v/>
      </c>
    </row>
    <row r="249">
      <c r="A249" s="78">
        <f>IFERROR(INDEX(Firms!$A$5:$A$1004,MATCH(226,Firms!$V$5:$V$1004,0)),"")</f>
        <v/>
      </c>
      <c r="B249" s="79">
        <f>IF($A249="","",INDEX(Firms!$B$5:$B$1004,MATCH(226,Firms!$V$5:$V$1004,0)))</f>
        <v/>
      </c>
      <c r="C249" s="79">
        <f>IF($A249="","",COUNTIFS('AFA Rates'!$A$5:$A$1004,$A249,'AFA Rates'!$O$5:$O$1004,"&lt;&gt;Expired"))</f>
        <v/>
      </c>
      <c r="D249" s="79">
        <f>IF(OR($A249="",D$23=""),"",IF(COUNTIFS('AFA Rates'!$A$5:$A$1004,$A249,'AFA Rates'!$B$5:$B$1004,D$23,'AFA Rates'!$O$5:$O$1004,"&lt;&gt;Expired")&gt;0,"✓",IF(COUNTIFS('AFA Rates'!$A$5:$A$1004,$A249,'AFA Rates'!$B$5:$B$1004,D$23)&gt;0,"Exp","")))</f>
        <v/>
      </c>
      <c r="E249" s="79">
        <f>IF(OR($A249="",E$23=""),"",IF(COUNTIFS('AFA Rates'!$A$5:$A$1004,$A249,'AFA Rates'!$B$5:$B$1004,E$23,'AFA Rates'!$O$5:$O$1004,"&lt;&gt;Expired")&gt;0,"✓",IF(COUNTIFS('AFA Rates'!$A$5:$A$1004,$A249,'AFA Rates'!$B$5:$B$1004,E$23)&gt;0,"Exp","")))</f>
        <v/>
      </c>
      <c r="F249" s="79">
        <f>IF(OR($A249="",F$23=""),"",IF(COUNTIFS('AFA Rates'!$A$5:$A$1004,$A249,'AFA Rates'!$B$5:$B$1004,F$23,'AFA Rates'!$O$5:$O$1004,"&lt;&gt;Expired")&gt;0,"✓",IF(COUNTIFS('AFA Rates'!$A$5:$A$1004,$A249,'AFA Rates'!$B$5:$B$1004,F$23)&gt;0,"Exp","")))</f>
        <v/>
      </c>
      <c r="G249" s="79">
        <f>IF(OR($A249="",G$23=""),"",IF(COUNTIFS('AFA Rates'!$A$5:$A$1004,$A249,'AFA Rates'!$B$5:$B$1004,G$23,'AFA Rates'!$O$5:$O$1004,"&lt;&gt;Expired")&gt;0,"✓",IF(COUNTIFS('AFA Rates'!$A$5:$A$1004,$A249,'AFA Rates'!$B$5:$B$1004,G$23)&gt;0,"Exp","")))</f>
        <v/>
      </c>
      <c r="H249" s="79">
        <f>IF(OR($A249="",H$23=""),"",IF(COUNTIFS('AFA Rates'!$A$5:$A$1004,$A249,'AFA Rates'!$B$5:$B$1004,H$23,'AFA Rates'!$O$5:$O$1004,"&lt;&gt;Expired")&gt;0,"✓",IF(COUNTIFS('AFA Rates'!$A$5:$A$1004,$A249,'AFA Rates'!$B$5:$B$1004,H$23)&gt;0,"Exp","")))</f>
        <v/>
      </c>
      <c r="I249" s="79">
        <f>IF(OR($A249="",I$23=""),"",IF(COUNTIFS('AFA Rates'!$A$5:$A$1004,$A249,'AFA Rates'!$B$5:$B$1004,I$23,'AFA Rates'!$O$5:$O$1004,"&lt;&gt;Expired")&gt;0,"✓",IF(COUNTIFS('AFA Rates'!$A$5:$A$1004,$A249,'AFA Rates'!$B$5:$B$1004,I$23)&gt;0,"Exp","")))</f>
        <v/>
      </c>
      <c r="J249" s="79">
        <f>IF(OR($A249="",J$23=""),"",IF(COUNTIFS('AFA Rates'!$A$5:$A$1004,$A249,'AFA Rates'!$B$5:$B$1004,J$23,'AFA Rates'!$O$5:$O$1004,"&lt;&gt;Expired")&gt;0,"✓",IF(COUNTIFS('AFA Rates'!$A$5:$A$1004,$A249,'AFA Rates'!$B$5:$B$1004,J$23)&gt;0,"Exp","")))</f>
        <v/>
      </c>
      <c r="K249" s="79">
        <f>IF(OR($A249="",K$23=""),"",IF(COUNTIFS('AFA Rates'!$A$5:$A$1004,$A249,'AFA Rates'!$B$5:$B$1004,K$23,'AFA Rates'!$O$5:$O$1004,"&lt;&gt;Expired")&gt;0,"✓",IF(COUNTIFS('AFA Rates'!$A$5:$A$1004,$A249,'AFA Rates'!$B$5:$B$1004,K$23)&gt;0,"Exp","")))</f>
        <v/>
      </c>
      <c r="L249" s="79">
        <f>IF(OR($A249="",L$23=""),"",IF(COUNTIFS('AFA Rates'!$A$5:$A$1004,$A249,'AFA Rates'!$B$5:$B$1004,L$23,'AFA Rates'!$O$5:$O$1004,"&lt;&gt;Expired")&gt;0,"✓",IF(COUNTIFS('AFA Rates'!$A$5:$A$1004,$A249,'AFA Rates'!$B$5:$B$1004,L$23)&gt;0,"Exp","")))</f>
        <v/>
      </c>
      <c r="M249" s="79">
        <f>IF(OR($A249="",M$23=""),"",IF(COUNTIFS('AFA Rates'!$A$5:$A$1004,$A249,'AFA Rates'!$B$5:$B$1004,M$23,'AFA Rates'!$O$5:$O$1004,"&lt;&gt;Expired")&gt;0,"✓",IF(COUNTIFS('AFA Rates'!$A$5:$A$1004,$A249,'AFA Rates'!$B$5:$B$1004,M$23)&gt;0,"Exp","")))</f>
        <v/>
      </c>
    </row>
    <row r="250">
      <c r="A250" s="78">
        <f>IFERROR(INDEX(Firms!$A$5:$A$1004,MATCH(227,Firms!$V$5:$V$1004,0)),"")</f>
        <v/>
      </c>
      <c r="B250" s="79">
        <f>IF($A250="","",INDEX(Firms!$B$5:$B$1004,MATCH(227,Firms!$V$5:$V$1004,0)))</f>
        <v/>
      </c>
      <c r="C250" s="79">
        <f>IF($A250="","",COUNTIFS('AFA Rates'!$A$5:$A$1004,$A250,'AFA Rates'!$O$5:$O$1004,"&lt;&gt;Expired"))</f>
        <v/>
      </c>
      <c r="D250" s="79">
        <f>IF(OR($A250="",D$23=""),"",IF(COUNTIFS('AFA Rates'!$A$5:$A$1004,$A250,'AFA Rates'!$B$5:$B$1004,D$23,'AFA Rates'!$O$5:$O$1004,"&lt;&gt;Expired")&gt;0,"✓",IF(COUNTIFS('AFA Rates'!$A$5:$A$1004,$A250,'AFA Rates'!$B$5:$B$1004,D$23)&gt;0,"Exp","")))</f>
        <v/>
      </c>
      <c r="E250" s="79">
        <f>IF(OR($A250="",E$23=""),"",IF(COUNTIFS('AFA Rates'!$A$5:$A$1004,$A250,'AFA Rates'!$B$5:$B$1004,E$23,'AFA Rates'!$O$5:$O$1004,"&lt;&gt;Expired")&gt;0,"✓",IF(COUNTIFS('AFA Rates'!$A$5:$A$1004,$A250,'AFA Rates'!$B$5:$B$1004,E$23)&gt;0,"Exp","")))</f>
        <v/>
      </c>
      <c r="F250" s="79">
        <f>IF(OR($A250="",F$23=""),"",IF(COUNTIFS('AFA Rates'!$A$5:$A$1004,$A250,'AFA Rates'!$B$5:$B$1004,F$23,'AFA Rates'!$O$5:$O$1004,"&lt;&gt;Expired")&gt;0,"✓",IF(COUNTIFS('AFA Rates'!$A$5:$A$1004,$A250,'AFA Rates'!$B$5:$B$1004,F$23)&gt;0,"Exp","")))</f>
        <v/>
      </c>
      <c r="G250" s="79">
        <f>IF(OR($A250="",G$23=""),"",IF(COUNTIFS('AFA Rates'!$A$5:$A$1004,$A250,'AFA Rates'!$B$5:$B$1004,G$23,'AFA Rates'!$O$5:$O$1004,"&lt;&gt;Expired")&gt;0,"✓",IF(COUNTIFS('AFA Rates'!$A$5:$A$1004,$A250,'AFA Rates'!$B$5:$B$1004,G$23)&gt;0,"Exp","")))</f>
        <v/>
      </c>
      <c r="H250" s="79">
        <f>IF(OR($A250="",H$23=""),"",IF(COUNTIFS('AFA Rates'!$A$5:$A$1004,$A250,'AFA Rates'!$B$5:$B$1004,H$23,'AFA Rates'!$O$5:$O$1004,"&lt;&gt;Expired")&gt;0,"✓",IF(COUNTIFS('AFA Rates'!$A$5:$A$1004,$A250,'AFA Rates'!$B$5:$B$1004,H$23)&gt;0,"Exp","")))</f>
        <v/>
      </c>
      <c r="I250" s="79">
        <f>IF(OR($A250="",I$23=""),"",IF(COUNTIFS('AFA Rates'!$A$5:$A$1004,$A250,'AFA Rates'!$B$5:$B$1004,I$23,'AFA Rates'!$O$5:$O$1004,"&lt;&gt;Expired")&gt;0,"✓",IF(COUNTIFS('AFA Rates'!$A$5:$A$1004,$A250,'AFA Rates'!$B$5:$B$1004,I$23)&gt;0,"Exp","")))</f>
        <v/>
      </c>
      <c r="J250" s="79">
        <f>IF(OR($A250="",J$23=""),"",IF(COUNTIFS('AFA Rates'!$A$5:$A$1004,$A250,'AFA Rates'!$B$5:$B$1004,J$23,'AFA Rates'!$O$5:$O$1004,"&lt;&gt;Expired")&gt;0,"✓",IF(COUNTIFS('AFA Rates'!$A$5:$A$1004,$A250,'AFA Rates'!$B$5:$B$1004,J$23)&gt;0,"Exp","")))</f>
        <v/>
      </c>
      <c r="K250" s="79">
        <f>IF(OR($A250="",K$23=""),"",IF(COUNTIFS('AFA Rates'!$A$5:$A$1004,$A250,'AFA Rates'!$B$5:$B$1004,K$23,'AFA Rates'!$O$5:$O$1004,"&lt;&gt;Expired")&gt;0,"✓",IF(COUNTIFS('AFA Rates'!$A$5:$A$1004,$A250,'AFA Rates'!$B$5:$B$1004,K$23)&gt;0,"Exp","")))</f>
        <v/>
      </c>
      <c r="L250" s="79">
        <f>IF(OR($A250="",L$23=""),"",IF(COUNTIFS('AFA Rates'!$A$5:$A$1004,$A250,'AFA Rates'!$B$5:$B$1004,L$23,'AFA Rates'!$O$5:$O$1004,"&lt;&gt;Expired")&gt;0,"✓",IF(COUNTIFS('AFA Rates'!$A$5:$A$1004,$A250,'AFA Rates'!$B$5:$B$1004,L$23)&gt;0,"Exp","")))</f>
        <v/>
      </c>
      <c r="M250" s="79">
        <f>IF(OR($A250="",M$23=""),"",IF(COUNTIFS('AFA Rates'!$A$5:$A$1004,$A250,'AFA Rates'!$B$5:$B$1004,M$23,'AFA Rates'!$O$5:$O$1004,"&lt;&gt;Expired")&gt;0,"✓",IF(COUNTIFS('AFA Rates'!$A$5:$A$1004,$A250,'AFA Rates'!$B$5:$B$1004,M$23)&gt;0,"Exp","")))</f>
        <v/>
      </c>
    </row>
    <row r="251">
      <c r="A251" s="78">
        <f>IFERROR(INDEX(Firms!$A$5:$A$1004,MATCH(228,Firms!$V$5:$V$1004,0)),"")</f>
        <v/>
      </c>
      <c r="B251" s="79">
        <f>IF($A251="","",INDEX(Firms!$B$5:$B$1004,MATCH(228,Firms!$V$5:$V$1004,0)))</f>
        <v/>
      </c>
      <c r="C251" s="79">
        <f>IF($A251="","",COUNTIFS('AFA Rates'!$A$5:$A$1004,$A251,'AFA Rates'!$O$5:$O$1004,"&lt;&gt;Expired"))</f>
        <v/>
      </c>
      <c r="D251" s="79">
        <f>IF(OR($A251="",D$23=""),"",IF(COUNTIFS('AFA Rates'!$A$5:$A$1004,$A251,'AFA Rates'!$B$5:$B$1004,D$23,'AFA Rates'!$O$5:$O$1004,"&lt;&gt;Expired")&gt;0,"✓",IF(COUNTIFS('AFA Rates'!$A$5:$A$1004,$A251,'AFA Rates'!$B$5:$B$1004,D$23)&gt;0,"Exp","")))</f>
        <v/>
      </c>
      <c r="E251" s="79">
        <f>IF(OR($A251="",E$23=""),"",IF(COUNTIFS('AFA Rates'!$A$5:$A$1004,$A251,'AFA Rates'!$B$5:$B$1004,E$23,'AFA Rates'!$O$5:$O$1004,"&lt;&gt;Expired")&gt;0,"✓",IF(COUNTIFS('AFA Rates'!$A$5:$A$1004,$A251,'AFA Rates'!$B$5:$B$1004,E$23)&gt;0,"Exp","")))</f>
        <v/>
      </c>
      <c r="F251" s="79">
        <f>IF(OR($A251="",F$23=""),"",IF(COUNTIFS('AFA Rates'!$A$5:$A$1004,$A251,'AFA Rates'!$B$5:$B$1004,F$23,'AFA Rates'!$O$5:$O$1004,"&lt;&gt;Expired")&gt;0,"✓",IF(COUNTIFS('AFA Rates'!$A$5:$A$1004,$A251,'AFA Rates'!$B$5:$B$1004,F$23)&gt;0,"Exp","")))</f>
        <v/>
      </c>
      <c r="G251" s="79">
        <f>IF(OR($A251="",G$23=""),"",IF(COUNTIFS('AFA Rates'!$A$5:$A$1004,$A251,'AFA Rates'!$B$5:$B$1004,G$23,'AFA Rates'!$O$5:$O$1004,"&lt;&gt;Expired")&gt;0,"✓",IF(COUNTIFS('AFA Rates'!$A$5:$A$1004,$A251,'AFA Rates'!$B$5:$B$1004,G$23)&gt;0,"Exp","")))</f>
        <v/>
      </c>
      <c r="H251" s="79">
        <f>IF(OR($A251="",H$23=""),"",IF(COUNTIFS('AFA Rates'!$A$5:$A$1004,$A251,'AFA Rates'!$B$5:$B$1004,H$23,'AFA Rates'!$O$5:$O$1004,"&lt;&gt;Expired")&gt;0,"✓",IF(COUNTIFS('AFA Rates'!$A$5:$A$1004,$A251,'AFA Rates'!$B$5:$B$1004,H$23)&gt;0,"Exp","")))</f>
        <v/>
      </c>
      <c r="I251" s="79">
        <f>IF(OR($A251="",I$23=""),"",IF(COUNTIFS('AFA Rates'!$A$5:$A$1004,$A251,'AFA Rates'!$B$5:$B$1004,I$23,'AFA Rates'!$O$5:$O$1004,"&lt;&gt;Expired")&gt;0,"✓",IF(COUNTIFS('AFA Rates'!$A$5:$A$1004,$A251,'AFA Rates'!$B$5:$B$1004,I$23)&gt;0,"Exp","")))</f>
        <v/>
      </c>
      <c r="J251" s="79">
        <f>IF(OR($A251="",J$23=""),"",IF(COUNTIFS('AFA Rates'!$A$5:$A$1004,$A251,'AFA Rates'!$B$5:$B$1004,J$23,'AFA Rates'!$O$5:$O$1004,"&lt;&gt;Expired")&gt;0,"✓",IF(COUNTIFS('AFA Rates'!$A$5:$A$1004,$A251,'AFA Rates'!$B$5:$B$1004,J$23)&gt;0,"Exp","")))</f>
        <v/>
      </c>
      <c r="K251" s="79">
        <f>IF(OR($A251="",K$23=""),"",IF(COUNTIFS('AFA Rates'!$A$5:$A$1004,$A251,'AFA Rates'!$B$5:$B$1004,K$23,'AFA Rates'!$O$5:$O$1004,"&lt;&gt;Expired")&gt;0,"✓",IF(COUNTIFS('AFA Rates'!$A$5:$A$1004,$A251,'AFA Rates'!$B$5:$B$1004,K$23)&gt;0,"Exp","")))</f>
        <v/>
      </c>
      <c r="L251" s="79">
        <f>IF(OR($A251="",L$23=""),"",IF(COUNTIFS('AFA Rates'!$A$5:$A$1004,$A251,'AFA Rates'!$B$5:$B$1004,L$23,'AFA Rates'!$O$5:$O$1004,"&lt;&gt;Expired")&gt;0,"✓",IF(COUNTIFS('AFA Rates'!$A$5:$A$1004,$A251,'AFA Rates'!$B$5:$B$1004,L$23)&gt;0,"Exp","")))</f>
        <v/>
      </c>
      <c r="M251" s="79">
        <f>IF(OR($A251="",M$23=""),"",IF(COUNTIFS('AFA Rates'!$A$5:$A$1004,$A251,'AFA Rates'!$B$5:$B$1004,M$23,'AFA Rates'!$O$5:$O$1004,"&lt;&gt;Expired")&gt;0,"✓",IF(COUNTIFS('AFA Rates'!$A$5:$A$1004,$A251,'AFA Rates'!$B$5:$B$1004,M$23)&gt;0,"Exp","")))</f>
        <v/>
      </c>
    </row>
    <row r="252">
      <c r="A252" s="78">
        <f>IFERROR(INDEX(Firms!$A$5:$A$1004,MATCH(229,Firms!$V$5:$V$1004,0)),"")</f>
        <v/>
      </c>
      <c r="B252" s="79">
        <f>IF($A252="","",INDEX(Firms!$B$5:$B$1004,MATCH(229,Firms!$V$5:$V$1004,0)))</f>
        <v/>
      </c>
      <c r="C252" s="79">
        <f>IF($A252="","",COUNTIFS('AFA Rates'!$A$5:$A$1004,$A252,'AFA Rates'!$O$5:$O$1004,"&lt;&gt;Expired"))</f>
        <v/>
      </c>
      <c r="D252" s="79">
        <f>IF(OR($A252="",D$23=""),"",IF(COUNTIFS('AFA Rates'!$A$5:$A$1004,$A252,'AFA Rates'!$B$5:$B$1004,D$23,'AFA Rates'!$O$5:$O$1004,"&lt;&gt;Expired")&gt;0,"✓",IF(COUNTIFS('AFA Rates'!$A$5:$A$1004,$A252,'AFA Rates'!$B$5:$B$1004,D$23)&gt;0,"Exp","")))</f>
        <v/>
      </c>
      <c r="E252" s="79">
        <f>IF(OR($A252="",E$23=""),"",IF(COUNTIFS('AFA Rates'!$A$5:$A$1004,$A252,'AFA Rates'!$B$5:$B$1004,E$23,'AFA Rates'!$O$5:$O$1004,"&lt;&gt;Expired")&gt;0,"✓",IF(COUNTIFS('AFA Rates'!$A$5:$A$1004,$A252,'AFA Rates'!$B$5:$B$1004,E$23)&gt;0,"Exp","")))</f>
        <v/>
      </c>
      <c r="F252" s="79">
        <f>IF(OR($A252="",F$23=""),"",IF(COUNTIFS('AFA Rates'!$A$5:$A$1004,$A252,'AFA Rates'!$B$5:$B$1004,F$23,'AFA Rates'!$O$5:$O$1004,"&lt;&gt;Expired")&gt;0,"✓",IF(COUNTIFS('AFA Rates'!$A$5:$A$1004,$A252,'AFA Rates'!$B$5:$B$1004,F$23)&gt;0,"Exp","")))</f>
        <v/>
      </c>
      <c r="G252" s="79">
        <f>IF(OR($A252="",G$23=""),"",IF(COUNTIFS('AFA Rates'!$A$5:$A$1004,$A252,'AFA Rates'!$B$5:$B$1004,G$23,'AFA Rates'!$O$5:$O$1004,"&lt;&gt;Expired")&gt;0,"✓",IF(COUNTIFS('AFA Rates'!$A$5:$A$1004,$A252,'AFA Rates'!$B$5:$B$1004,G$23)&gt;0,"Exp","")))</f>
        <v/>
      </c>
      <c r="H252" s="79">
        <f>IF(OR($A252="",H$23=""),"",IF(COUNTIFS('AFA Rates'!$A$5:$A$1004,$A252,'AFA Rates'!$B$5:$B$1004,H$23,'AFA Rates'!$O$5:$O$1004,"&lt;&gt;Expired")&gt;0,"✓",IF(COUNTIFS('AFA Rates'!$A$5:$A$1004,$A252,'AFA Rates'!$B$5:$B$1004,H$23)&gt;0,"Exp","")))</f>
        <v/>
      </c>
      <c r="I252" s="79">
        <f>IF(OR($A252="",I$23=""),"",IF(COUNTIFS('AFA Rates'!$A$5:$A$1004,$A252,'AFA Rates'!$B$5:$B$1004,I$23,'AFA Rates'!$O$5:$O$1004,"&lt;&gt;Expired")&gt;0,"✓",IF(COUNTIFS('AFA Rates'!$A$5:$A$1004,$A252,'AFA Rates'!$B$5:$B$1004,I$23)&gt;0,"Exp","")))</f>
        <v/>
      </c>
      <c r="J252" s="79">
        <f>IF(OR($A252="",J$23=""),"",IF(COUNTIFS('AFA Rates'!$A$5:$A$1004,$A252,'AFA Rates'!$B$5:$B$1004,J$23,'AFA Rates'!$O$5:$O$1004,"&lt;&gt;Expired")&gt;0,"✓",IF(COUNTIFS('AFA Rates'!$A$5:$A$1004,$A252,'AFA Rates'!$B$5:$B$1004,J$23)&gt;0,"Exp","")))</f>
        <v/>
      </c>
      <c r="K252" s="79">
        <f>IF(OR($A252="",K$23=""),"",IF(COUNTIFS('AFA Rates'!$A$5:$A$1004,$A252,'AFA Rates'!$B$5:$B$1004,K$23,'AFA Rates'!$O$5:$O$1004,"&lt;&gt;Expired")&gt;0,"✓",IF(COUNTIFS('AFA Rates'!$A$5:$A$1004,$A252,'AFA Rates'!$B$5:$B$1004,K$23)&gt;0,"Exp","")))</f>
        <v/>
      </c>
      <c r="L252" s="79">
        <f>IF(OR($A252="",L$23=""),"",IF(COUNTIFS('AFA Rates'!$A$5:$A$1004,$A252,'AFA Rates'!$B$5:$B$1004,L$23,'AFA Rates'!$O$5:$O$1004,"&lt;&gt;Expired")&gt;0,"✓",IF(COUNTIFS('AFA Rates'!$A$5:$A$1004,$A252,'AFA Rates'!$B$5:$B$1004,L$23)&gt;0,"Exp","")))</f>
        <v/>
      </c>
      <c r="M252" s="79">
        <f>IF(OR($A252="",M$23=""),"",IF(COUNTIFS('AFA Rates'!$A$5:$A$1004,$A252,'AFA Rates'!$B$5:$B$1004,M$23,'AFA Rates'!$O$5:$O$1004,"&lt;&gt;Expired")&gt;0,"✓",IF(COUNTIFS('AFA Rates'!$A$5:$A$1004,$A252,'AFA Rates'!$B$5:$B$1004,M$23)&gt;0,"Exp","")))</f>
        <v/>
      </c>
    </row>
    <row r="253">
      <c r="A253" s="78">
        <f>IFERROR(INDEX(Firms!$A$5:$A$1004,MATCH(230,Firms!$V$5:$V$1004,0)),"")</f>
        <v/>
      </c>
      <c r="B253" s="79">
        <f>IF($A253="","",INDEX(Firms!$B$5:$B$1004,MATCH(230,Firms!$V$5:$V$1004,0)))</f>
        <v/>
      </c>
      <c r="C253" s="79">
        <f>IF($A253="","",COUNTIFS('AFA Rates'!$A$5:$A$1004,$A253,'AFA Rates'!$O$5:$O$1004,"&lt;&gt;Expired"))</f>
        <v/>
      </c>
      <c r="D253" s="79">
        <f>IF(OR($A253="",D$23=""),"",IF(COUNTIFS('AFA Rates'!$A$5:$A$1004,$A253,'AFA Rates'!$B$5:$B$1004,D$23,'AFA Rates'!$O$5:$O$1004,"&lt;&gt;Expired")&gt;0,"✓",IF(COUNTIFS('AFA Rates'!$A$5:$A$1004,$A253,'AFA Rates'!$B$5:$B$1004,D$23)&gt;0,"Exp","")))</f>
        <v/>
      </c>
      <c r="E253" s="79">
        <f>IF(OR($A253="",E$23=""),"",IF(COUNTIFS('AFA Rates'!$A$5:$A$1004,$A253,'AFA Rates'!$B$5:$B$1004,E$23,'AFA Rates'!$O$5:$O$1004,"&lt;&gt;Expired")&gt;0,"✓",IF(COUNTIFS('AFA Rates'!$A$5:$A$1004,$A253,'AFA Rates'!$B$5:$B$1004,E$23)&gt;0,"Exp","")))</f>
        <v/>
      </c>
      <c r="F253" s="79">
        <f>IF(OR($A253="",F$23=""),"",IF(COUNTIFS('AFA Rates'!$A$5:$A$1004,$A253,'AFA Rates'!$B$5:$B$1004,F$23,'AFA Rates'!$O$5:$O$1004,"&lt;&gt;Expired")&gt;0,"✓",IF(COUNTIFS('AFA Rates'!$A$5:$A$1004,$A253,'AFA Rates'!$B$5:$B$1004,F$23)&gt;0,"Exp","")))</f>
        <v/>
      </c>
      <c r="G253" s="79">
        <f>IF(OR($A253="",G$23=""),"",IF(COUNTIFS('AFA Rates'!$A$5:$A$1004,$A253,'AFA Rates'!$B$5:$B$1004,G$23,'AFA Rates'!$O$5:$O$1004,"&lt;&gt;Expired")&gt;0,"✓",IF(COUNTIFS('AFA Rates'!$A$5:$A$1004,$A253,'AFA Rates'!$B$5:$B$1004,G$23)&gt;0,"Exp","")))</f>
        <v/>
      </c>
      <c r="H253" s="79">
        <f>IF(OR($A253="",H$23=""),"",IF(COUNTIFS('AFA Rates'!$A$5:$A$1004,$A253,'AFA Rates'!$B$5:$B$1004,H$23,'AFA Rates'!$O$5:$O$1004,"&lt;&gt;Expired")&gt;0,"✓",IF(COUNTIFS('AFA Rates'!$A$5:$A$1004,$A253,'AFA Rates'!$B$5:$B$1004,H$23)&gt;0,"Exp","")))</f>
        <v/>
      </c>
      <c r="I253" s="79">
        <f>IF(OR($A253="",I$23=""),"",IF(COUNTIFS('AFA Rates'!$A$5:$A$1004,$A253,'AFA Rates'!$B$5:$B$1004,I$23,'AFA Rates'!$O$5:$O$1004,"&lt;&gt;Expired")&gt;0,"✓",IF(COUNTIFS('AFA Rates'!$A$5:$A$1004,$A253,'AFA Rates'!$B$5:$B$1004,I$23)&gt;0,"Exp","")))</f>
        <v/>
      </c>
      <c r="J253" s="79">
        <f>IF(OR($A253="",J$23=""),"",IF(COUNTIFS('AFA Rates'!$A$5:$A$1004,$A253,'AFA Rates'!$B$5:$B$1004,J$23,'AFA Rates'!$O$5:$O$1004,"&lt;&gt;Expired")&gt;0,"✓",IF(COUNTIFS('AFA Rates'!$A$5:$A$1004,$A253,'AFA Rates'!$B$5:$B$1004,J$23)&gt;0,"Exp","")))</f>
        <v/>
      </c>
      <c r="K253" s="79">
        <f>IF(OR($A253="",K$23=""),"",IF(COUNTIFS('AFA Rates'!$A$5:$A$1004,$A253,'AFA Rates'!$B$5:$B$1004,K$23,'AFA Rates'!$O$5:$O$1004,"&lt;&gt;Expired")&gt;0,"✓",IF(COUNTIFS('AFA Rates'!$A$5:$A$1004,$A253,'AFA Rates'!$B$5:$B$1004,K$23)&gt;0,"Exp","")))</f>
        <v/>
      </c>
      <c r="L253" s="79">
        <f>IF(OR($A253="",L$23=""),"",IF(COUNTIFS('AFA Rates'!$A$5:$A$1004,$A253,'AFA Rates'!$B$5:$B$1004,L$23,'AFA Rates'!$O$5:$O$1004,"&lt;&gt;Expired")&gt;0,"✓",IF(COUNTIFS('AFA Rates'!$A$5:$A$1004,$A253,'AFA Rates'!$B$5:$B$1004,L$23)&gt;0,"Exp","")))</f>
        <v/>
      </c>
      <c r="M253" s="79">
        <f>IF(OR($A253="",M$23=""),"",IF(COUNTIFS('AFA Rates'!$A$5:$A$1004,$A253,'AFA Rates'!$B$5:$B$1004,M$23,'AFA Rates'!$O$5:$O$1004,"&lt;&gt;Expired")&gt;0,"✓",IF(COUNTIFS('AFA Rates'!$A$5:$A$1004,$A253,'AFA Rates'!$B$5:$B$1004,M$23)&gt;0,"Exp","")))</f>
        <v/>
      </c>
    </row>
    <row r="254">
      <c r="A254" s="78">
        <f>IFERROR(INDEX(Firms!$A$5:$A$1004,MATCH(231,Firms!$V$5:$V$1004,0)),"")</f>
        <v/>
      </c>
      <c r="B254" s="79">
        <f>IF($A254="","",INDEX(Firms!$B$5:$B$1004,MATCH(231,Firms!$V$5:$V$1004,0)))</f>
        <v/>
      </c>
      <c r="C254" s="79">
        <f>IF($A254="","",COUNTIFS('AFA Rates'!$A$5:$A$1004,$A254,'AFA Rates'!$O$5:$O$1004,"&lt;&gt;Expired"))</f>
        <v/>
      </c>
      <c r="D254" s="79">
        <f>IF(OR($A254="",D$23=""),"",IF(COUNTIFS('AFA Rates'!$A$5:$A$1004,$A254,'AFA Rates'!$B$5:$B$1004,D$23,'AFA Rates'!$O$5:$O$1004,"&lt;&gt;Expired")&gt;0,"✓",IF(COUNTIFS('AFA Rates'!$A$5:$A$1004,$A254,'AFA Rates'!$B$5:$B$1004,D$23)&gt;0,"Exp","")))</f>
        <v/>
      </c>
      <c r="E254" s="79">
        <f>IF(OR($A254="",E$23=""),"",IF(COUNTIFS('AFA Rates'!$A$5:$A$1004,$A254,'AFA Rates'!$B$5:$B$1004,E$23,'AFA Rates'!$O$5:$O$1004,"&lt;&gt;Expired")&gt;0,"✓",IF(COUNTIFS('AFA Rates'!$A$5:$A$1004,$A254,'AFA Rates'!$B$5:$B$1004,E$23)&gt;0,"Exp","")))</f>
        <v/>
      </c>
      <c r="F254" s="79">
        <f>IF(OR($A254="",F$23=""),"",IF(COUNTIFS('AFA Rates'!$A$5:$A$1004,$A254,'AFA Rates'!$B$5:$B$1004,F$23,'AFA Rates'!$O$5:$O$1004,"&lt;&gt;Expired")&gt;0,"✓",IF(COUNTIFS('AFA Rates'!$A$5:$A$1004,$A254,'AFA Rates'!$B$5:$B$1004,F$23)&gt;0,"Exp","")))</f>
        <v/>
      </c>
      <c r="G254" s="79">
        <f>IF(OR($A254="",G$23=""),"",IF(COUNTIFS('AFA Rates'!$A$5:$A$1004,$A254,'AFA Rates'!$B$5:$B$1004,G$23,'AFA Rates'!$O$5:$O$1004,"&lt;&gt;Expired")&gt;0,"✓",IF(COUNTIFS('AFA Rates'!$A$5:$A$1004,$A254,'AFA Rates'!$B$5:$B$1004,G$23)&gt;0,"Exp","")))</f>
        <v/>
      </c>
      <c r="H254" s="79">
        <f>IF(OR($A254="",H$23=""),"",IF(COUNTIFS('AFA Rates'!$A$5:$A$1004,$A254,'AFA Rates'!$B$5:$B$1004,H$23,'AFA Rates'!$O$5:$O$1004,"&lt;&gt;Expired")&gt;0,"✓",IF(COUNTIFS('AFA Rates'!$A$5:$A$1004,$A254,'AFA Rates'!$B$5:$B$1004,H$23)&gt;0,"Exp","")))</f>
        <v/>
      </c>
      <c r="I254" s="79">
        <f>IF(OR($A254="",I$23=""),"",IF(COUNTIFS('AFA Rates'!$A$5:$A$1004,$A254,'AFA Rates'!$B$5:$B$1004,I$23,'AFA Rates'!$O$5:$O$1004,"&lt;&gt;Expired")&gt;0,"✓",IF(COUNTIFS('AFA Rates'!$A$5:$A$1004,$A254,'AFA Rates'!$B$5:$B$1004,I$23)&gt;0,"Exp","")))</f>
        <v/>
      </c>
      <c r="J254" s="79">
        <f>IF(OR($A254="",J$23=""),"",IF(COUNTIFS('AFA Rates'!$A$5:$A$1004,$A254,'AFA Rates'!$B$5:$B$1004,J$23,'AFA Rates'!$O$5:$O$1004,"&lt;&gt;Expired")&gt;0,"✓",IF(COUNTIFS('AFA Rates'!$A$5:$A$1004,$A254,'AFA Rates'!$B$5:$B$1004,J$23)&gt;0,"Exp","")))</f>
        <v/>
      </c>
      <c r="K254" s="79">
        <f>IF(OR($A254="",K$23=""),"",IF(COUNTIFS('AFA Rates'!$A$5:$A$1004,$A254,'AFA Rates'!$B$5:$B$1004,K$23,'AFA Rates'!$O$5:$O$1004,"&lt;&gt;Expired")&gt;0,"✓",IF(COUNTIFS('AFA Rates'!$A$5:$A$1004,$A254,'AFA Rates'!$B$5:$B$1004,K$23)&gt;0,"Exp","")))</f>
        <v/>
      </c>
      <c r="L254" s="79">
        <f>IF(OR($A254="",L$23=""),"",IF(COUNTIFS('AFA Rates'!$A$5:$A$1004,$A254,'AFA Rates'!$B$5:$B$1004,L$23,'AFA Rates'!$O$5:$O$1004,"&lt;&gt;Expired")&gt;0,"✓",IF(COUNTIFS('AFA Rates'!$A$5:$A$1004,$A254,'AFA Rates'!$B$5:$B$1004,L$23)&gt;0,"Exp","")))</f>
        <v/>
      </c>
      <c r="M254" s="79">
        <f>IF(OR($A254="",M$23=""),"",IF(COUNTIFS('AFA Rates'!$A$5:$A$1004,$A254,'AFA Rates'!$B$5:$B$1004,M$23,'AFA Rates'!$O$5:$O$1004,"&lt;&gt;Expired")&gt;0,"✓",IF(COUNTIFS('AFA Rates'!$A$5:$A$1004,$A254,'AFA Rates'!$B$5:$B$1004,M$23)&gt;0,"Exp","")))</f>
        <v/>
      </c>
    </row>
    <row r="255">
      <c r="A255" s="78">
        <f>IFERROR(INDEX(Firms!$A$5:$A$1004,MATCH(232,Firms!$V$5:$V$1004,0)),"")</f>
        <v/>
      </c>
      <c r="B255" s="79">
        <f>IF($A255="","",INDEX(Firms!$B$5:$B$1004,MATCH(232,Firms!$V$5:$V$1004,0)))</f>
        <v/>
      </c>
      <c r="C255" s="79">
        <f>IF($A255="","",COUNTIFS('AFA Rates'!$A$5:$A$1004,$A255,'AFA Rates'!$O$5:$O$1004,"&lt;&gt;Expired"))</f>
        <v/>
      </c>
      <c r="D255" s="79">
        <f>IF(OR($A255="",D$23=""),"",IF(COUNTIFS('AFA Rates'!$A$5:$A$1004,$A255,'AFA Rates'!$B$5:$B$1004,D$23,'AFA Rates'!$O$5:$O$1004,"&lt;&gt;Expired")&gt;0,"✓",IF(COUNTIFS('AFA Rates'!$A$5:$A$1004,$A255,'AFA Rates'!$B$5:$B$1004,D$23)&gt;0,"Exp","")))</f>
        <v/>
      </c>
      <c r="E255" s="79">
        <f>IF(OR($A255="",E$23=""),"",IF(COUNTIFS('AFA Rates'!$A$5:$A$1004,$A255,'AFA Rates'!$B$5:$B$1004,E$23,'AFA Rates'!$O$5:$O$1004,"&lt;&gt;Expired")&gt;0,"✓",IF(COUNTIFS('AFA Rates'!$A$5:$A$1004,$A255,'AFA Rates'!$B$5:$B$1004,E$23)&gt;0,"Exp","")))</f>
        <v/>
      </c>
      <c r="F255" s="79">
        <f>IF(OR($A255="",F$23=""),"",IF(COUNTIFS('AFA Rates'!$A$5:$A$1004,$A255,'AFA Rates'!$B$5:$B$1004,F$23,'AFA Rates'!$O$5:$O$1004,"&lt;&gt;Expired")&gt;0,"✓",IF(COUNTIFS('AFA Rates'!$A$5:$A$1004,$A255,'AFA Rates'!$B$5:$B$1004,F$23)&gt;0,"Exp","")))</f>
        <v/>
      </c>
      <c r="G255" s="79">
        <f>IF(OR($A255="",G$23=""),"",IF(COUNTIFS('AFA Rates'!$A$5:$A$1004,$A255,'AFA Rates'!$B$5:$B$1004,G$23,'AFA Rates'!$O$5:$O$1004,"&lt;&gt;Expired")&gt;0,"✓",IF(COUNTIFS('AFA Rates'!$A$5:$A$1004,$A255,'AFA Rates'!$B$5:$B$1004,G$23)&gt;0,"Exp","")))</f>
        <v/>
      </c>
      <c r="H255" s="79">
        <f>IF(OR($A255="",H$23=""),"",IF(COUNTIFS('AFA Rates'!$A$5:$A$1004,$A255,'AFA Rates'!$B$5:$B$1004,H$23,'AFA Rates'!$O$5:$O$1004,"&lt;&gt;Expired")&gt;0,"✓",IF(COUNTIFS('AFA Rates'!$A$5:$A$1004,$A255,'AFA Rates'!$B$5:$B$1004,H$23)&gt;0,"Exp","")))</f>
        <v/>
      </c>
      <c r="I255" s="79">
        <f>IF(OR($A255="",I$23=""),"",IF(COUNTIFS('AFA Rates'!$A$5:$A$1004,$A255,'AFA Rates'!$B$5:$B$1004,I$23,'AFA Rates'!$O$5:$O$1004,"&lt;&gt;Expired")&gt;0,"✓",IF(COUNTIFS('AFA Rates'!$A$5:$A$1004,$A255,'AFA Rates'!$B$5:$B$1004,I$23)&gt;0,"Exp","")))</f>
        <v/>
      </c>
      <c r="J255" s="79">
        <f>IF(OR($A255="",J$23=""),"",IF(COUNTIFS('AFA Rates'!$A$5:$A$1004,$A255,'AFA Rates'!$B$5:$B$1004,J$23,'AFA Rates'!$O$5:$O$1004,"&lt;&gt;Expired")&gt;0,"✓",IF(COUNTIFS('AFA Rates'!$A$5:$A$1004,$A255,'AFA Rates'!$B$5:$B$1004,J$23)&gt;0,"Exp","")))</f>
        <v/>
      </c>
      <c r="K255" s="79">
        <f>IF(OR($A255="",K$23=""),"",IF(COUNTIFS('AFA Rates'!$A$5:$A$1004,$A255,'AFA Rates'!$B$5:$B$1004,K$23,'AFA Rates'!$O$5:$O$1004,"&lt;&gt;Expired")&gt;0,"✓",IF(COUNTIFS('AFA Rates'!$A$5:$A$1004,$A255,'AFA Rates'!$B$5:$B$1004,K$23)&gt;0,"Exp","")))</f>
        <v/>
      </c>
      <c r="L255" s="79">
        <f>IF(OR($A255="",L$23=""),"",IF(COUNTIFS('AFA Rates'!$A$5:$A$1004,$A255,'AFA Rates'!$B$5:$B$1004,L$23,'AFA Rates'!$O$5:$O$1004,"&lt;&gt;Expired")&gt;0,"✓",IF(COUNTIFS('AFA Rates'!$A$5:$A$1004,$A255,'AFA Rates'!$B$5:$B$1004,L$23)&gt;0,"Exp","")))</f>
        <v/>
      </c>
      <c r="M255" s="79">
        <f>IF(OR($A255="",M$23=""),"",IF(COUNTIFS('AFA Rates'!$A$5:$A$1004,$A255,'AFA Rates'!$B$5:$B$1004,M$23,'AFA Rates'!$O$5:$O$1004,"&lt;&gt;Expired")&gt;0,"✓",IF(COUNTIFS('AFA Rates'!$A$5:$A$1004,$A255,'AFA Rates'!$B$5:$B$1004,M$23)&gt;0,"Exp","")))</f>
        <v/>
      </c>
    </row>
    <row r="256">
      <c r="A256" s="78">
        <f>IFERROR(INDEX(Firms!$A$5:$A$1004,MATCH(233,Firms!$V$5:$V$1004,0)),"")</f>
        <v/>
      </c>
      <c r="B256" s="79">
        <f>IF($A256="","",INDEX(Firms!$B$5:$B$1004,MATCH(233,Firms!$V$5:$V$1004,0)))</f>
        <v/>
      </c>
      <c r="C256" s="79">
        <f>IF($A256="","",COUNTIFS('AFA Rates'!$A$5:$A$1004,$A256,'AFA Rates'!$O$5:$O$1004,"&lt;&gt;Expired"))</f>
        <v/>
      </c>
      <c r="D256" s="79">
        <f>IF(OR($A256="",D$23=""),"",IF(COUNTIFS('AFA Rates'!$A$5:$A$1004,$A256,'AFA Rates'!$B$5:$B$1004,D$23,'AFA Rates'!$O$5:$O$1004,"&lt;&gt;Expired")&gt;0,"✓",IF(COUNTIFS('AFA Rates'!$A$5:$A$1004,$A256,'AFA Rates'!$B$5:$B$1004,D$23)&gt;0,"Exp","")))</f>
        <v/>
      </c>
      <c r="E256" s="79">
        <f>IF(OR($A256="",E$23=""),"",IF(COUNTIFS('AFA Rates'!$A$5:$A$1004,$A256,'AFA Rates'!$B$5:$B$1004,E$23,'AFA Rates'!$O$5:$O$1004,"&lt;&gt;Expired")&gt;0,"✓",IF(COUNTIFS('AFA Rates'!$A$5:$A$1004,$A256,'AFA Rates'!$B$5:$B$1004,E$23)&gt;0,"Exp","")))</f>
        <v/>
      </c>
      <c r="F256" s="79">
        <f>IF(OR($A256="",F$23=""),"",IF(COUNTIFS('AFA Rates'!$A$5:$A$1004,$A256,'AFA Rates'!$B$5:$B$1004,F$23,'AFA Rates'!$O$5:$O$1004,"&lt;&gt;Expired")&gt;0,"✓",IF(COUNTIFS('AFA Rates'!$A$5:$A$1004,$A256,'AFA Rates'!$B$5:$B$1004,F$23)&gt;0,"Exp","")))</f>
        <v/>
      </c>
      <c r="G256" s="79">
        <f>IF(OR($A256="",G$23=""),"",IF(COUNTIFS('AFA Rates'!$A$5:$A$1004,$A256,'AFA Rates'!$B$5:$B$1004,G$23,'AFA Rates'!$O$5:$O$1004,"&lt;&gt;Expired")&gt;0,"✓",IF(COUNTIFS('AFA Rates'!$A$5:$A$1004,$A256,'AFA Rates'!$B$5:$B$1004,G$23)&gt;0,"Exp","")))</f>
        <v/>
      </c>
      <c r="H256" s="79">
        <f>IF(OR($A256="",H$23=""),"",IF(COUNTIFS('AFA Rates'!$A$5:$A$1004,$A256,'AFA Rates'!$B$5:$B$1004,H$23,'AFA Rates'!$O$5:$O$1004,"&lt;&gt;Expired")&gt;0,"✓",IF(COUNTIFS('AFA Rates'!$A$5:$A$1004,$A256,'AFA Rates'!$B$5:$B$1004,H$23)&gt;0,"Exp","")))</f>
        <v/>
      </c>
      <c r="I256" s="79">
        <f>IF(OR($A256="",I$23=""),"",IF(COUNTIFS('AFA Rates'!$A$5:$A$1004,$A256,'AFA Rates'!$B$5:$B$1004,I$23,'AFA Rates'!$O$5:$O$1004,"&lt;&gt;Expired")&gt;0,"✓",IF(COUNTIFS('AFA Rates'!$A$5:$A$1004,$A256,'AFA Rates'!$B$5:$B$1004,I$23)&gt;0,"Exp","")))</f>
        <v/>
      </c>
      <c r="J256" s="79">
        <f>IF(OR($A256="",J$23=""),"",IF(COUNTIFS('AFA Rates'!$A$5:$A$1004,$A256,'AFA Rates'!$B$5:$B$1004,J$23,'AFA Rates'!$O$5:$O$1004,"&lt;&gt;Expired")&gt;0,"✓",IF(COUNTIFS('AFA Rates'!$A$5:$A$1004,$A256,'AFA Rates'!$B$5:$B$1004,J$23)&gt;0,"Exp","")))</f>
        <v/>
      </c>
      <c r="K256" s="79">
        <f>IF(OR($A256="",K$23=""),"",IF(COUNTIFS('AFA Rates'!$A$5:$A$1004,$A256,'AFA Rates'!$B$5:$B$1004,K$23,'AFA Rates'!$O$5:$O$1004,"&lt;&gt;Expired")&gt;0,"✓",IF(COUNTIFS('AFA Rates'!$A$5:$A$1004,$A256,'AFA Rates'!$B$5:$B$1004,K$23)&gt;0,"Exp","")))</f>
        <v/>
      </c>
      <c r="L256" s="79">
        <f>IF(OR($A256="",L$23=""),"",IF(COUNTIFS('AFA Rates'!$A$5:$A$1004,$A256,'AFA Rates'!$B$5:$B$1004,L$23,'AFA Rates'!$O$5:$O$1004,"&lt;&gt;Expired")&gt;0,"✓",IF(COUNTIFS('AFA Rates'!$A$5:$A$1004,$A256,'AFA Rates'!$B$5:$B$1004,L$23)&gt;0,"Exp","")))</f>
        <v/>
      </c>
      <c r="M256" s="79">
        <f>IF(OR($A256="",M$23=""),"",IF(COUNTIFS('AFA Rates'!$A$5:$A$1004,$A256,'AFA Rates'!$B$5:$B$1004,M$23,'AFA Rates'!$O$5:$O$1004,"&lt;&gt;Expired")&gt;0,"✓",IF(COUNTIFS('AFA Rates'!$A$5:$A$1004,$A256,'AFA Rates'!$B$5:$B$1004,M$23)&gt;0,"Exp","")))</f>
        <v/>
      </c>
    </row>
    <row r="257">
      <c r="A257" s="78">
        <f>IFERROR(INDEX(Firms!$A$5:$A$1004,MATCH(234,Firms!$V$5:$V$1004,0)),"")</f>
        <v/>
      </c>
      <c r="B257" s="79">
        <f>IF($A257="","",INDEX(Firms!$B$5:$B$1004,MATCH(234,Firms!$V$5:$V$1004,0)))</f>
        <v/>
      </c>
      <c r="C257" s="79">
        <f>IF($A257="","",COUNTIFS('AFA Rates'!$A$5:$A$1004,$A257,'AFA Rates'!$O$5:$O$1004,"&lt;&gt;Expired"))</f>
        <v/>
      </c>
      <c r="D257" s="79">
        <f>IF(OR($A257="",D$23=""),"",IF(COUNTIFS('AFA Rates'!$A$5:$A$1004,$A257,'AFA Rates'!$B$5:$B$1004,D$23,'AFA Rates'!$O$5:$O$1004,"&lt;&gt;Expired")&gt;0,"✓",IF(COUNTIFS('AFA Rates'!$A$5:$A$1004,$A257,'AFA Rates'!$B$5:$B$1004,D$23)&gt;0,"Exp","")))</f>
        <v/>
      </c>
      <c r="E257" s="79">
        <f>IF(OR($A257="",E$23=""),"",IF(COUNTIFS('AFA Rates'!$A$5:$A$1004,$A257,'AFA Rates'!$B$5:$B$1004,E$23,'AFA Rates'!$O$5:$O$1004,"&lt;&gt;Expired")&gt;0,"✓",IF(COUNTIFS('AFA Rates'!$A$5:$A$1004,$A257,'AFA Rates'!$B$5:$B$1004,E$23)&gt;0,"Exp","")))</f>
        <v/>
      </c>
      <c r="F257" s="79">
        <f>IF(OR($A257="",F$23=""),"",IF(COUNTIFS('AFA Rates'!$A$5:$A$1004,$A257,'AFA Rates'!$B$5:$B$1004,F$23,'AFA Rates'!$O$5:$O$1004,"&lt;&gt;Expired")&gt;0,"✓",IF(COUNTIFS('AFA Rates'!$A$5:$A$1004,$A257,'AFA Rates'!$B$5:$B$1004,F$23)&gt;0,"Exp","")))</f>
        <v/>
      </c>
      <c r="G257" s="79">
        <f>IF(OR($A257="",G$23=""),"",IF(COUNTIFS('AFA Rates'!$A$5:$A$1004,$A257,'AFA Rates'!$B$5:$B$1004,G$23,'AFA Rates'!$O$5:$O$1004,"&lt;&gt;Expired")&gt;0,"✓",IF(COUNTIFS('AFA Rates'!$A$5:$A$1004,$A257,'AFA Rates'!$B$5:$B$1004,G$23)&gt;0,"Exp","")))</f>
        <v/>
      </c>
      <c r="H257" s="79">
        <f>IF(OR($A257="",H$23=""),"",IF(COUNTIFS('AFA Rates'!$A$5:$A$1004,$A257,'AFA Rates'!$B$5:$B$1004,H$23,'AFA Rates'!$O$5:$O$1004,"&lt;&gt;Expired")&gt;0,"✓",IF(COUNTIFS('AFA Rates'!$A$5:$A$1004,$A257,'AFA Rates'!$B$5:$B$1004,H$23)&gt;0,"Exp","")))</f>
        <v/>
      </c>
      <c r="I257" s="79">
        <f>IF(OR($A257="",I$23=""),"",IF(COUNTIFS('AFA Rates'!$A$5:$A$1004,$A257,'AFA Rates'!$B$5:$B$1004,I$23,'AFA Rates'!$O$5:$O$1004,"&lt;&gt;Expired")&gt;0,"✓",IF(COUNTIFS('AFA Rates'!$A$5:$A$1004,$A257,'AFA Rates'!$B$5:$B$1004,I$23)&gt;0,"Exp","")))</f>
        <v/>
      </c>
      <c r="J257" s="79">
        <f>IF(OR($A257="",J$23=""),"",IF(COUNTIFS('AFA Rates'!$A$5:$A$1004,$A257,'AFA Rates'!$B$5:$B$1004,J$23,'AFA Rates'!$O$5:$O$1004,"&lt;&gt;Expired")&gt;0,"✓",IF(COUNTIFS('AFA Rates'!$A$5:$A$1004,$A257,'AFA Rates'!$B$5:$B$1004,J$23)&gt;0,"Exp","")))</f>
        <v/>
      </c>
      <c r="K257" s="79">
        <f>IF(OR($A257="",K$23=""),"",IF(COUNTIFS('AFA Rates'!$A$5:$A$1004,$A257,'AFA Rates'!$B$5:$B$1004,K$23,'AFA Rates'!$O$5:$O$1004,"&lt;&gt;Expired")&gt;0,"✓",IF(COUNTIFS('AFA Rates'!$A$5:$A$1004,$A257,'AFA Rates'!$B$5:$B$1004,K$23)&gt;0,"Exp","")))</f>
        <v/>
      </c>
      <c r="L257" s="79">
        <f>IF(OR($A257="",L$23=""),"",IF(COUNTIFS('AFA Rates'!$A$5:$A$1004,$A257,'AFA Rates'!$B$5:$B$1004,L$23,'AFA Rates'!$O$5:$O$1004,"&lt;&gt;Expired")&gt;0,"✓",IF(COUNTIFS('AFA Rates'!$A$5:$A$1004,$A257,'AFA Rates'!$B$5:$B$1004,L$23)&gt;0,"Exp","")))</f>
        <v/>
      </c>
      <c r="M257" s="79">
        <f>IF(OR($A257="",M$23=""),"",IF(COUNTIFS('AFA Rates'!$A$5:$A$1004,$A257,'AFA Rates'!$B$5:$B$1004,M$23,'AFA Rates'!$O$5:$O$1004,"&lt;&gt;Expired")&gt;0,"✓",IF(COUNTIFS('AFA Rates'!$A$5:$A$1004,$A257,'AFA Rates'!$B$5:$B$1004,M$23)&gt;0,"Exp","")))</f>
        <v/>
      </c>
    </row>
    <row r="258">
      <c r="A258" s="78">
        <f>IFERROR(INDEX(Firms!$A$5:$A$1004,MATCH(235,Firms!$V$5:$V$1004,0)),"")</f>
        <v/>
      </c>
      <c r="B258" s="79">
        <f>IF($A258="","",INDEX(Firms!$B$5:$B$1004,MATCH(235,Firms!$V$5:$V$1004,0)))</f>
        <v/>
      </c>
      <c r="C258" s="79">
        <f>IF($A258="","",COUNTIFS('AFA Rates'!$A$5:$A$1004,$A258,'AFA Rates'!$O$5:$O$1004,"&lt;&gt;Expired"))</f>
        <v/>
      </c>
      <c r="D258" s="79">
        <f>IF(OR($A258="",D$23=""),"",IF(COUNTIFS('AFA Rates'!$A$5:$A$1004,$A258,'AFA Rates'!$B$5:$B$1004,D$23,'AFA Rates'!$O$5:$O$1004,"&lt;&gt;Expired")&gt;0,"✓",IF(COUNTIFS('AFA Rates'!$A$5:$A$1004,$A258,'AFA Rates'!$B$5:$B$1004,D$23)&gt;0,"Exp","")))</f>
        <v/>
      </c>
      <c r="E258" s="79">
        <f>IF(OR($A258="",E$23=""),"",IF(COUNTIFS('AFA Rates'!$A$5:$A$1004,$A258,'AFA Rates'!$B$5:$B$1004,E$23,'AFA Rates'!$O$5:$O$1004,"&lt;&gt;Expired")&gt;0,"✓",IF(COUNTIFS('AFA Rates'!$A$5:$A$1004,$A258,'AFA Rates'!$B$5:$B$1004,E$23)&gt;0,"Exp","")))</f>
        <v/>
      </c>
      <c r="F258" s="79">
        <f>IF(OR($A258="",F$23=""),"",IF(COUNTIFS('AFA Rates'!$A$5:$A$1004,$A258,'AFA Rates'!$B$5:$B$1004,F$23,'AFA Rates'!$O$5:$O$1004,"&lt;&gt;Expired")&gt;0,"✓",IF(COUNTIFS('AFA Rates'!$A$5:$A$1004,$A258,'AFA Rates'!$B$5:$B$1004,F$23)&gt;0,"Exp","")))</f>
        <v/>
      </c>
      <c r="G258" s="79">
        <f>IF(OR($A258="",G$23=""),"",IF(COUNTIFS('AFA Rates'!$A$5:$A$1004,$A258,'AFA Rates'!$B$5:$B$1004,G$23,'AFA Rates'!$O$5:$O$1004,"&lt;&gt;Expired")&gt;0,"✓",IF(COUNTIFS('AFA Rates'!$A$5:$A$1004,$A258,'AFA Rates'!$B$5:$B$1004,G$23)&gt;0,"Exp","")))</f>
        <v/>
      </c>
      <c r="H258" s="79">
        <f>IF(OR($A258="",H$23=""),"",IF(COUNTIFS('AFA Rates'!$A$5:$A$1004,$A258,'AFA Rates'!$B$5:$B$1004,H$23,'AFA Rates'!$O$5:$O$1004,"&lt;&gt;Expired")&gt;0,"✓",IF(COUNTIFS('AFA Rates'!$A$5:$A$1004,$A258,'AFA Rates'!$B$5:$B$1004,H$23)&gt;0,"Exp","")))</f>
        <v/>
      </c>
      <c r="I258" s="79">
        <f>IF(OR($A258="",I$23=""),"",IF(COUNTIFS('AFA Rates'!$A$5:$A$1004,$A258,'AFA Rates'!$B$5:$B$1004,I$23,'AFA Rates'!$O$5:$O$1004,"&lt;&gt;Expired")&gt;0,"✓",IF(COUNTIFS('AFA Rates'!$A$5:$A$1004,$A258,'AFA Rates'!$B$5:$B$1004,I$23)&gt;0,"Exp","")))</f>
        <v/>
      </c>
      <c r="J258" s="79">
        <f>IF(OR($A258="",J$23=""),"",IF(COUNTIFS('AFA Rates'!$A$5:$A$1004,$A258,'AFA Rates'!$B$5:$B$1004,J$23,'AFA Rates'!$O$5:$O$1004,"&lt;&gt;Expired")&gt;0,"✓",IF(COUNTIFS('AFA Rates'!$A$5:$A$1004,$A258,'AFA Rates'!$B$5:$B$1004,J$23)&gt;0,"Exp","")))</f>
        <v/>
      </c>
      <c r="K258" s="79">
        <f>IF(OR($A258="",K$23=""),"",IF(COUNTIFS('AFA Rates'!$A$5:$A$1004,$A258,'AFA Rates'!$B$5:$B$1004,K$23,'AFA Rates'!$O$5:$O$1004,"&lt;&gt;Expired")&gt;0,"✓",IF(COUNTIFS('AFA Rates'!$A$5:$A$1004,$A258,'AFA Rates'!$B$5:$B$1004,K$23)&gt;0,"Exp","")))</f>
        <v/>
      </c>
      <c r="L258" s="79">
        <f>IF(OR($A258="",L$23=""),"",IF(COUNTIFS('AFA Rates'!$A$5:$A$1004,$A258,'AFA Rates'!$B$5:$B$1004,L$23,'AFA Rates'!$O$5:$O$1004,"&lt;&gt;Expired")&gt;0,"✓",IF(COUNTIFS('AFA Rates'!$A$5:$A$1004,$A258,'AFA Rates'!$B$5:$B$1004,L$23)&gt;0,"Exp","")))</f>
        <v/>
      </c>
      <c r="M258" s="79">
        <f>IF(OR($A258="",M$23=""),"",IF(COUNTIFS('AFA Rates'!$A$5:$A$1004,$A258,'AFA Rates'!$B$5:$B$1004,M$23,'AFA Rates'!$O$5:$O$1004,"&lt;&gt;Expired")&gt;0,"✓",IF(COUNTIFS('AFA Rates'!$A$5:$A$1004,$A258,'AFA Rates'!$B$5:$B$1004,M$23)&gt;0,"Exp","")))</f>
        <v/>
      </c>
    </row>
    <row r="259">
      <c r="A259" s="78">
        <f>IFERROR(INDEX(Firms!$A$5:$A$1004,MATCH(236,Firms!$V$5:$V$1004,0)),"")</f>
        <v/>
      </c>
      <c r="B259" s="79">
        <f>IF($A259="","",INDEX(Firms!$B$5:$B$1004,MATCH(236,Firms!$V$5:$V$1004,0)))</f>
        <v/>
      </c>
      <c r="C259" s="79">
        <f>IF($A259="","",COUNTIFS('AFA Rates'!$A$5:$A$1004,$A259,'AFA Rates'!$O$5:$O$1004,"&lt;&gt;Expired"))</f>
        <v/>
      </c>
      <c r="D259" s="79">
        <f>IF(OR($A259="",D$23=""),"",IF(COUNTIFS('AFA Rates'!$A$5:$A$1004,$A259,'AFA Rates'!$B$5:$B$1004,D$23,'AFA Rates'!$O$5:$O$1004,"&lt;&gt;Expired")&gt;0,"✓",IF(COUNTIFS('AFA Rates'!$A$5:$A$1004,$A259,'AFA Rates'!$B$5:$B$1004,D$23)&gt;0,"Exp","")))</f>
        <v/>
      </c>
      <c r="E259" s="79">
        <f>IF(OR($A259="",E$23=""),"",IF(COUNTIFS('AFA Rates'!$A$5:$A$1004,$A259,'AFA Rates'!$B$5:$B$1004,E$23,'AFA Rates'!$O$5:$O$1004,"&lt;&gt;Expired")&gt;0,"✓",IF(COUNTIFS('AFA Rates'!$A$5:$A$1004,$A259,'AFA Rates'!$B$5:$B$1004,E$23)&gt;0,"Exp","")))</f>
        <v/>
      </c>
      <c r="F259" s="79">
        <f>IF(OR($A259="",F$23=""),"",IF(COUNTIFS('AFA Rates'!$A$5:$A$1004,$A259,'AFA Rates'!$B$5:$B$1004,F$23,'AFA Rates'!$O$5:$O$1004,"&lt;&gt;Expired")&gt;0,"✓",IF(COUNTIFS('AFA Rates'!$A$5:$A$1004,$A259,'AFA Rates'!$B$5:$B$1004,F$23)&gt;0,"Exp","")))</f>
        <v/>
      </c>
      <c r="G259" s="79">
        <f>IF(OR($A259="",G$23=""),"",IF(COUNTIFS('AFA Rates'!$A$5:$A$1004,$A259,'AFA Rates'!$B$5:$B$1004,G$23,'AFA Rates'!$O$5:$O$1004,"&lt;&gt;Expired")&gt;0,"✓",IF(COUNTIFS('AFA Rates'!$A$5:$A$1004,$A259,'AFA Rates'!$B$5:$B$1004,G$23)&gt;0,"Exp","")))</f>
        <v/>
      </c>
      <c r="H259" s="79">
        <f>IF(OR($A259="",H$23=""),"",IF(COUNTIFS('AFA Rates'!$A$5:$A$1004,$A259,'AFA Rates'!$B$5:$B$1004,H$23,'AFA Rates'!$O$5:$O$1004,"&lt;&gt;Expired")&gt;0,"✓",IF(COUNTIFS('AFA Rates'!$A$5:$A$1004,$A259,'AFA Rates'!$B$5:$B$1004,H$23)&gt;0,"Exp","")))</f>
        <v/>
      </c>
      <c r="I259" s="79">
        <f>IF(OR($A259="",I$23=""),"",IF(COUNTIFS('AFA Rates'!$A$5:$A$1004,$A259,'AFA Rates'!$B$5:$B$1004,I$23,'AFA Rates'!$O$5:$O$1004,"&lt;&gt;Expired")&gt;0,"✓",IF(COUNTIFS('AFA Rates'!$A$5:$A$1004,$A259,'AFA Rates'!$B$5:$B$1004,I$23)&gt;0,"Exp","")))</f>
        <v/>
      </c>
      <c r="J259" s="79">
        <f>IF(OR($A259="",J$23=""),"",IF(COUNTIFS('AFA Rates'!$A$5:$A$1004,$A259,'AFA Rates'!$B$5:$B$1004,J$23,'AFA Rates'!$O$5:$O$1004,"&lt;&gt;Expired")&gt;0,"✓",IF(COUNTIFS('AFA Rates'!$A$5:$A$1004,$A259,'AFA Rates'!$B$5:$B$1004,J$23)&gt;0,"Exp","")))</f>
        <v/>
      </c>
      <c r="K259" s="79">
        <f>IF(OR($A259="",K$23=""),"",IF(COUNTIFS('AFA Rates'!$A$5:$A$1004,$A259,'AFA Rates'!$B$5:$B$1004,K$23,'AFA Rates'!$O$5:$O$1004,"&lt;&gt;Expired")&gt;0,"✓",IF(COUNTIFS('AFA Rates'!$A$5:$A$1004,$A259,'AFA Rates'!$B$5:$B$1004,K$23)&gt;0,"Exp","")))</f>
        <v/>
      </c>
      <c r="L259" s="79">
        <f>IF(OR($A259="",L$23=""),"",IF(COUNTIFS('AFA Rates'!$A$5:$A$1004,$A259,'AFA Rates'!$B$5:$B$1004,L$23,'AFA Rates'!$O$5:$O$1004,"&lt;&gt;Expired")&gt;0,"✓",IF(COUNTIFS('AFA Rates'!$A$5:$A$1004,$A259,'AFA Rates'!$B$5:$B$1004,L$23)&gt;0,"Exp","")))</f>
        <v/>
      </c>
      <c r="M259" s="79">
        <f>IF(OR($A259="",M$23=""),"",IF(COUNTIFS('AFA Rates'!$A$5:$A$1004,$A259,'AFA Rates'!$B$5:$B$1004,M$23,'AFA Rates'!$O$5:$O$1004,"&lt;&gt;Expired")&gt;0,"✓",IF(COUNTIFS('AFA Rates'!$A$5:$A$1004,$A259,'AFA Rates'!$B$5:$B$1004,M$23)&gt;0,"Exp","")))</f>
        <v/>
      </c>
    </row>
    <row r="260">
      <c r="A260" s="78">
        <f>IFERROR(INDEX(Firms!$A$5:$A$1004,MATCH(237,Firms!$V$5:$V$1004,0)),"")</f>
        <v/>
      </c>
      <c r="B260" s="79">
        <f>IF($A260="","",INDEX(Firms!$B$5:$B$1004,MATCH(237,Firms!$V$5:$V$1004,0)))</f>
        <v/>
      </c>
      <c r="C260" s="79">
        <f>IF($A260="","",COUNTIFS('AFA Rates'!$A$5:$A$1004,$A260,'AFA Rates'!$O$5:$O$1004,"&lt;&gt;Expired"))</f>
        <v/>
      </c>
      <c r="D260" s="79">
        <f>IF(OR($A260="",D$23=""),"",IF(COUNTIFS('AFA Rates'!$A$5:$A$1004,$A260,'AFA Rates'!$B$5:$B$1004,D$23,'AFA Rates'!$O$5:$O$1004,"&lt;&gt;Expired")&gt;0,"✓",IF(COUNTIFS('AFA Rates'!$A$5:$A$1004,$A260,'AFA Rates'!$B$5:$B$1004,D$23)&gt;0,"Exp","")))</f>
        <v/>
      </c>
      <c r="E260" s="79">
        <f>IF(OR($A260="",E$23=""),"",IF(COUNTIFS('AFA Rates'!$A$5:$A$1004,$A260,'AFA Rates'!$B$5:$B$1004,E$23,'AFA Rates'!$O$5:$O$1004,"&lt;&gt;Expired")&gt;0,"✓",IF(COUNTIFS('AFA Rates'!$A$5:$A$1004,$A260,'AFA Rates'!$B$5:$B$1004,E$23)&gt;0,"Exp","")))</f>
        <v/>
      </c>
      <c r="F260" s="79">
        <f>IF(OR($A260="",F$23=""),"",IF(COUNTIFS('AFA Rates'!$A$5:$A$1004,$A260,'AFA Rates'!$B$5:$B$1004,F$23,'AFA Rates'!$O$5:$O$1004,"&lt;&gt;Expired")&gt;0,"✓",IF(COUNTIFS('AFA Rates'!$A$5:$A$1004,$A260,'AFA Rates'!$B$5:$B$1004,F$23)&gt;0,"Exp","")))</f>
        <v/>
      </c>
      <c r="G260" s="79">
        <f>IF(OR($A260="",G$23=""),"",IF(COUNTIFS('AFA Rates'!$A$5:$A$1004,$A260,'AFA Rates'!$B$5:$B$1004,G$23,'AFA Rates'!$O$5:$O$1004,"&lt;&gt;Expired")&gt;0,"✓",IF(COUNTIFS('AFA Rates'!$A$5:$A$1004,$A260,'AFA Rates'!$B$5:$B$1004,G$23)&gt;0,"Exp","")))</f>
        <v/>
      </c>
      <c r="H260" s="79">
        <f>IF(OR($A260="",H$23=""),"",IF(COUNTIFS('AFA Rates'!$A$5:$A$1004,$A260,'AFA Rates'!$B$5:$B$1004,H$23,'AFA Rates'!$O$5:$O$1004,"&lt;&gt;Expired")&gt;0,"✓",IF(COUNTIFS('AFA Rates'!$A$5:$A$1004,$A260,'AFA Rates'!$B$5:$B$1004,H$23)&gt;0,"Exp","")))</f>
        <v/>
      </c>
      <c r="I260" s="79">
        <f>IF(OR($A260="",I$23=""),"",IF(COUNTIFS('AFA Rates'!$A$5:$A$1004,$A260,'AFA Rates'!$B$5:$B$1004,I$23,'AFA Rates'!$O$5:$O$1004,"&lt;&gt;Expired")&gt;0,"✓",IF(COUNTIFS('AFA Rates'!$A$5:$A$1004,$A260,'AFA Rates'!$B$5:$B$1004,I$23)&gt;0,"Exp","")))</f>
        <v/>
      </c>
      <c r="J260" s="79">
        <f>IF(OR($A260="",J$23=""),"",IF(COUNTIFS('AFA Rates'!$A$5:$A$1004,$A260,'AFA Rates'!$B$5:$B$1004,J$23,'AFA Rates'!$O$5:$O$1004,"&lt;&gt;Expired")&gt;0,"✓",IF(COUNTIFS('AFA Rates'!$A$5:$A$1004,$A260,'AFA Rates'!$B$5:$B$1004,J$23)&gt;0,"Exp","")))</f>
        <v/>
      </c>
      <c r="K260" s="79">
        <f>IF(OR($A260="",K$23=""),"",IF(COUNTIFS('AFA Rates'!$A$5:$A$1004,$A260,'AFA Rates'!$B$5:$B$1004,K$23,'AFA Rates'!$O$5:$O$1004,"&lt;&gt;Expired")&gt;0,"✓",IF(COUNTIFS('AFA Rates'!$A$5:$A$1004,$A260,'AFA Rates'!$B$5:$B$1004,K$23)&gt;0,"Exp","")))</f>
        <v/>
      </c>
      <c r="L260" s="79">
        <f>IF(OR($A260="",L$23=""),"",IF(COUNTIFS('AFA Rates'!$A$5:$A$1004,$A260,'AFA Rates'!$B$5:$B$1004,L$23,'AFA Rates'!$O$5:$O$1004,"&lt;&gt;Expired")&gt;0,"✓",IF(COUNTIFS('AFA Rates'!$A$5:$A$1004,$A260,'AFA Rates'!$B$5:$B$1004,L$23)&gt;0,"Exp","")))</f>
        <v/>
      </c>
      <c r="M260" s="79">
        <f>IF(OR($A260="",M$23=""),"",IF(COUNTIFS('AFA Rates'!$A$5:$A$1004,$A260,'AFA Rates'!$B$5:$B$1004,M$23,'AFA Rates'!$O$5:$O$1004,"&lt;&gt;Expired")&gt;0,"✓",IF(COUNTIFS('AFA Rates'!$A$5:$A$1004,$A260,'AFA Rates'!$B$5:$B$1004,M$23)&gt;0,"Exp","")))</f>
        <v/>
      </c>
    </row>
    <row r="261">
      <c r="A261" s="78">
        <f>IFERROR(INDEX(Firms!$A$5:$A$1004,MATCH(238,Firms!$V$5:$V$1004,0)),"")</f>
        <v/>
      </c>
      <c r="B261" s="79">
        <f>IF($A261="","",INDEX(Firms!$B$5:$B$1004,MATCH(238,Firms!$V$5:$V$1004,0)))</f>
        <v/>
      </c>
      <c r="C261" s="79">
        <f>IF($A261="","",COUNTIFS('AFA Rates'!$A$5:$A$1004,$A261,'AFA Rates'!$O$5:$O$1004,"&lt;&gt;Expired"))</f>
        <v/>
      </c>
      <c r="D261" s="79">
        <f>IF(OR($A261="",D$23=""),"",IF(COUNTIFS('AFA Rates'!$A$5:$A$1004,$A261,'AFA Rates'!$B$5:$B$1004,D$23,'AFA Rates'!$O$5:$O$1004,"&lt;&gt;Expired")&gt;0,"✓",IF(COUNTIFS('AFA Rates'!$A$5:$A$1004,$A261,'AFA Rates'!$B$5:$B$1004,D$23)&gt;0,"Exp","")))</f>
        <v/>
      </c>
      <c r="E261" s="79">
        <f>IF(OR($A261="",E$23=""),"",IF(COUNTIFS('AFA Rates'!$A$5:$A$1004,$A261,'AFA Rates'!$B$5:$B$1004,E$23,'AFA Rates'!$O$5:$O$1004,"&lt;&gt;Expired")&gt;0,"✓",IF(COUNTIFS('AFA Rates'!$A$5:$A$1004,$A261,'AFA Rates'!$B$5:$B$1004,E$23)&gt;0,"Exp","")))</f>
        <v/>
      </c>
      <c r="F261" s="79">
        <f>IF(OR($A261="",F$23=""),"",IF(COUNTIFS('AFA Rates'!$A$5:$A$1004,$A261,'AFA Rates'!$B$5:$B$1004,F$23,'AFA Rates'!$O$5:$O$1004,"&lt;&gt;Expired")&gt;0,"✓",IF(COUNTIFS('AFA Rates'!$A$5:$A$1004,$A261,'AFA Rates'!$B$5:$B$1004,F$23)&gt;0,"Exp","")))</f>
        <v/>
      </c>
      <c r="G261" s="79">
        <f>IF(OR($A261="",G$23=""),"",IF(COUNTIFS('AFA Rates'!$A$5:$A$1004,$A261,'AFA Rates'!$B$5:$B$1004,G$23,'AFA Rates'!$O$5:$O$1004,"&lt;&gt;Expired")&gt;0,"✓",IF(COUNTIFS('AFA Rates'!$A$5:$A$1004,$A261,'AFA Rates'!$B$5:$B$1004,G$23)&gt;0,"Exp","")))</f>
        <v/>
      </c>
      <c r="H261" s="79">
        <f>IF(OR($A261="",H$23=""),"",IF(COUNTIFS('AFA Rates'!$A$5:$A$1004,$A261,'AFA Rates'!$B$5:$B$1004,H$23,'AFA Rates'!$O$5:$O$1004,"&lt;&gt;Expired")&gt;0,"✓",IF(COUNTIFS('AFA Rates'!$A$5:$A$1004,$A261,'AFA Rates'!$B$5:$B$1004,H$23)&gt;0,"Exp","")))</f>
        <v/>
      </c>
      <c r="I261" s="79">
        <f>IF(OR($A261="",I$23=""),"",IF(COUNTIFS('AFA Rates'!$A$5:$A$1004,$A261,'AFA Rates'!$B$5:$B$1004,I$23,'AFA Rates'!$O$5:$O$1004,"&lt;&gt;Expired")&gt;0,"✓",IF(COUNTIFS('AFA Rates'!$A$5:$A$1004,$A261,'AFA Rates'!$B$5:$B$1004,I$23)&gt;0,"Exp","")))</f>
        <v/>
      </c>
      <c r="J261" s="79">
        <f>IF(OR($A261="",J$23=""),"",IF(COUNTIFS('AFA Rates'!$A$5:$A$1004,$A261,'AFA Rates'!$B$5:$B$1004,J$23,'AFA Rates'!$O$5:$O$1004,"&lt;&gt;Expired")&gt;0,"✓",IF(COUNTIFS('AFA Rates'!$A$5:$A$1004,$A261,'AFA Rates'!$B$5:$B$1004,J$23)&gt;0,"Exp","")))</f>
        <v/>
      </c>
      <c r="K261" s="79">
        <f>IF(OR($A261="",K$23=""),"",IF(COUNTIFS('AFA Rates'!$A$5:$A$1004,$A261,'AFA Rates'!$B$5:$B$1004,K$23,'AFA Rates'!$O$5:$O$1004,"&lt;&gt;Expired")&gt;0,"✓",IF(COUNTIFS('AFA Rates'!$A$5:$A$1004,$A261,'AFA Rates'!$B$5:$B$1004,K$23)&gt;0,"Exp","")))</f>
        <v/>
      </c>
      <c r="L261" s="79">
        <f>IF(OR($A261="",L$23=""),"",IF(COUNTIFS('AFA Rates'!$A$5:$A$1004,$A261,'AFA Rates'!$B$5:$B$1004,L$23,'AFA Rates'!$O$5:$O$1004,"&lt;&gt;Expired")&gt;0,"✓",IF(COUNTIFS('AFA Rates'!$A$5:$A$1004,$A261,'AFA Rates'!$B$5:$B$1004,L$23)&gt;0,"Exp","")))</f>
        <v/>
      </c>
      <c r="M261" s="79">
        <f>IF(OR($A261="",M$23=""),"",IF(COUNTIFS('AFA Rates'!$A$5:$A$1004,$A261,'AFA Rates'!$B$5:$B$1004,M$23,'AFA Rates'!$O$5:$O$1004,"&lt;&gt;Expired")&gt;0,"✓",IF(COUNTIFS('AFA Rates'!$A$5:$A$1004,$A261,'AFA Rates'!$B$5:$B$1004,M$23)&gt;0,"Exp","")))</f>
        <v/>
      </c>
    </row>
    <row r="262">
      <c r="A262" s="78">
        <f>IFERROR(INDEX(Firms!$A$5:$A$1004,MATCH(239,Firms!$V$5:$V$1004,0)),"")</f>
        <v/>
      </c>
      <c r="B262" s="79">
        <f>IF($A262="","",INDEX(Firms!$B$5:$B$1004,MATCH(239,Firms!$V$5:$V$1004,0)))</f>
        <v/>
      </c>
      <c r="C262" s="79">
        <f>IF($A262="","",COUNTIFS('AFA Rates'!$A$5:$A$1004,$A262,'AFA Rates'!$O$5:$O$1004,"&lt;&gt;Expired"))</f>
        <v/>
      </c>
      <c r="D262" s="79">
        <f>IF(OR($A262="",D$23=""),"",IF(COUNTIFS('AFA Rates'!$A$5:$A$1004,$A262,'AFA Rates'!$B$5:$B$1004,D$23,'AFA Rates'!$O$5:$O$1004,"&lt;&gt;Expired")&gt;0,"✓",IF(COUNTIFS('AFA Rates'!$A$5:$A$1004,$A262,'AFA Rates'!$B$5:$B$1004,D$23)&gt;0,"Exp","")))</f>
        <v/>
      </c>
      <c r="E262" s="79">
        <f>IF(OR($A262="",E$23=""),"",IF(COUNTIFS('AFA Rates'!$A$5:$A$1004,$A262,'AFA Rates'!$B$5:$B$1004,E$23,'AFA Rates'!$O$5:$O$1004,"&lt;&gt;Expired")&gt;0,"✓",IF(COUNTIFS('AFA Rates'!$A$5:$A$1004,$A262,'AFA Rates'!$B$5:$B$1004,E$23)&gt;0,"Exp","")))</f>
        <v/>
      </c>
      <c r="F262" s="79">
        <f>IF(OR($A262="",F$23=""),"",IF(COUNTIFS('AFA Rates'!$A$5:$A$1004,$A262,'AFA Rates'!$B$5:$B$1004,F$23,'AFA Rates'!$O$5:$O$1004,"&lt;&gt;Expired")&gt;0,"✓",IF(COUNTIFS('AFA Rates'!$A$5:$A$1004,$A262,'AFA Rates'!$B$5:$B$1004,F$23)&gt;0,"Exp","")))</f>
        <v/>
      </c>
      <c r="G262" s="79">
        <f>IF(OR($A262="",G$23=""),"",IF(COUNTIFS('AFA Rates'!$A$5:$A$1004,$A262,'AFA Rates'!$B$5:$B$1004,G$23,'AFA Rates'!$O$5:$O$1004,"&lt;&gt;Expired")&gt;0,"✓",IF(COUNTIFS('AFA Rates'!$A$5:$A$1004,$A262,'AFA Rates'!$B$5:$B$1004,G$23)&gt;0,"Exp","")))</f>
        <v/>
      </c>
      <c r="H262" s="79">
        <f>IF(OR($A262="",H$23=""),"",IF(COUNTIFS('AFA Rates'!$A$5:$A$1004,$A262,'AFA Rates'!$B$5:$B$1004,H$23,'AFA Rates'!$O$5:$O$1004,"&lt;&gt;Expired")&gt;0,"✓",IF(COUNTIFS('AFA Rates'!$A$5:$A$1004,$A262,'AFA Rates'!$B$5:$B$1004,H$23)&gt;0,"Exp","")))</f>
        <v/>
      </c>
      <c r="I262" s="79">
        <f>IF(OR($A262="",I$23=""),"",IF(COUNTIFS('AFA Rates'!$A$5:$A$1004,$A262,'AFA Rates'!$B$5:$B$1004,I$23,'AFA Rates'!$O$5:$O$1004,"&lt;&gt;Expired")&gt;0,"✓",IF(COUNTIFS('AFA Rates'!$A$5:$A$1004,$A262,'AFA Rates'!$B$5:$B$1004,I$23)&gt;0,"Exp","")))</f>
        <v/>
      </c>
      <c r="J262" s="79">
        <f>IF(OR($A262="",J$23=""),"",IF(COUNTIFS('AFA Rates'!$A$5:$A$1004,$A262,'AFA Rates'!$B$5:$B$1004,J$23,'AFA Rates'!$O$5:$O$1004,"&lt;&gt;Expired")&gt;0,"✓",IF(COUNTIFS('AFA Rates'!$A$5:$A$1004,$A262,'AFA Rates'!$B$5:$B$1004,J$23)&gt;0,"Exp","")))</f>
        <v/>
      </c>
      <c r="K262" s="79">
        <f>IF(OR($A262="",K$23=""),"",IF(COUNTIFS('AFA Rates'!$A$5:$A$1004,$A262,'AFA Rates'!$B$5:$B$1004,K$23,'AFA Rates'!$O$5:$O$1004,"&lt;&gt;Expired")&gt;0,"✓",IF(COUNTIFS('AFA Rates'!$A$5:$A$1004,$A262,'AFA Rates'!$B$5:$B$1004,K$23)&gt;0,"Exp","")))</f>
        <v/>
      </c>
      <c r="L262" s="79">
        <f>IF(OR($A262="",L$23=""),"",IF(COUNTIFS('AFA Rates'!$A$5:$A$1004,$A262,'AFA Rates'!$B$5:$B$1004,L$23,'AFA Rates'!$O$5:$O$1004,"&lt;&gt;Expired")&gt;0,"✓",IF(COUNTIFS('AFA Rates'!$A$5:$A$1004,$A262,'AFA Rates'!$B$5:$B$1004,L$23)&gt;0,"Exp","")))</f>
        <v/>
      </c>
      <c r="M262" s="79">
        <f>IF(OR($A262="",M$23=""),"",IF(COUNTIFS('AFA Rates'!$A$5:$A$1004,$A262,'AFA Rates'!$B$5:$B$1004,M$23,'AFA Rates'!$O$5:$O$1004,"&lt;&gt;Expired")&gt;0,"✓",IF(COUNTIFS('AFA Rates'!$A$5:$A$1004,$A262,'AFA Rates'!$B$5:$B$1004,M$23)&gt;0,"Exp","")))</f>
        <v/>
      </c>
    </row>
    <row r="263">
      <c r="A263" s="78">
        <f>IFERROR(INDEX(Firms!$A$5:$A$1004,MATCH(240,Firms!$V$5:$V$1004,0)),"")</f>
        <v/>
      </c>
      <c r="B263" s="79">
        <f>IF($A263="","",INDEX(Firms!$B$5:$B$1004,MATCH(240,Firms!$V$5:$V$1004,0)))</f>
        <v/>
      </c>
      <c r="C263" s="79">
        <f>IF($A263="","",COUNTIFS('AFA Rates'!$A$5:$A$1004,$A263,'AFA Rates'!$O$5:$O$1004,"&lt;&gt;Expired"))</f>
        <v/>
      </c>
      <c r="D263" s="79">
        <f>IF(OR($A263="",D$23=""),"",IF(COUNTIFS('AFA Rates'!$A$5:$A$1004,$A263,'AFA Rates'!$B$5:$B$1004,D$23,'AFA Rates'!$O$5:$O$1004,"&lt;&gt;Expired")&gt;0,"✓",IF(COUNTIFS('AFA Rates'!$A$5:$A$1004,$A263,'AFA Rates'!$B$5:$B$1004,D$23)&gt;0,"Exp","")))</f>
        <v/>
      </c>
      <c r="E263" s="79">
        <f>IF(OR($A263="",E$23=""),"",IF(COUNTIFS('AFA Rates'!$A$5:$A$1004,$A263,'AFA Rates'!$B$5:$B$1004,E$23,'AFA Rates'!$O$5:$O$1004,"&lt;&gt;Expired")&gt;0,"✓",IF(COUNTIFS('AFA Rates'!$A$5:$A$1004,$A263,'AFA Rates'!$B$5:$B$1004,E$23)&gt;0,"Exp","")))</f>
        <v/>
      </c>
      <c r="F263" s="79">
        <f>IF(OR($A263="",F$23=""),"",IF(COUNTIFS('AFA Rates'!$A$5:$A$1004,$A263,'AFA Rates'!$B$5:$B$1004,F$23,'AFA Rates'!$O$5:$O$1004,"&lt;&gt;Expired")&gt;0,"✓",IF(COUNTIFS('AFA Rates'!$A$5:$A$1004,$A263,'AFA Rates'!$B$5:$B$1004,F$23)&gt;0,"Exp","")))</f>
        <v/>
      </c>
      <c r="G263" s="79">
        <f>IF(OR($A263="",G$23=""),"",IF(COUNTIFS('AFA Rates'!$A$5:$A$1004,$A263,'AFA Rates'!$B$5:$B$1004,G$23,'AFA Rates'!$O$5:$O$1004,"&lt;&gt;Expired")&gt;0,"✓",IF(COUNTIFS('AFA Rates'!$A$5:$A$1004,$A263,'AFA Rates'!$B$5:$B$1004,G$23)&gt;0,"Exp","")))</f>
        <v/>
      </c>
      <c r="H263" s="79">
        <f>IF(OR($A263="",H$23=""),"",IF(COUNTIFS('AFA Rates'!$A$5:$A$1004,$A263,'AFA Rates'!$B$5:$B$1004,H$23,'AFA Rates'!$O$5:$O$1004,"&lt;&gt;Expired")&gt;0,"✓",IF(COUNTIFS('AFA Rates'!$A$5:$A$1004,$A263,'AFA Rates'!$B$5:$B$1004,H$23)&gt;0,"Exp","")))</f>
        <v/>
      </c>
      <c r="I263" s="79">
        <f>IF(OR($A263="",I$23=""),"",IF(COUNTIFS('AFA Rates'!$A$5:$A$1004,$A263,'AFA Rates'!$B$5:$B$1004,I$23,'AFA Rates'!$O$5:$O$1004,"&lt;&gt;Expired")&gt;0,"✓",IF(COUNTIFS('AFA Rates'!$A$5:$A$1004,$A263,'AFA Rates'!$B$5:$B$1004,I$23)&gt;0,"Exp","")))</f>
        <v/>
      </c>
      <c r="J263" s="79">
        <f>IF(OR($A263="",J$23=""),"",IF(COUNTIFS('AFA Rates'!$A$5:$A$1004,$A263,'AFA Rates'!$B$5:$B$1004,J$23,'AFA Rates'!$O$5:$O$1004,"&lt;&gt;Expired")&gt;0,"✓",IF(COUNTIFS('AFA Rates'!$A$5:$A$1004,$A263,'AFA Rates'!$B$5:$B$1004,J$23)&gt;0,"Exp","")))</f>
        <v/>
      </c>
      <c r="K263" s="79">
        <f>IF(OR($A263="",K$23=""),"",IF(COUNTIFS('AFA Rates'!$A$5:$A$1004,$A263,'AFA Rates'!$B$5:$B$1004,K$23,'AFA Rates'!$O$5:$O$1004,"&lt;&gt;Expired")&gt;0,"✓",IF(COUNTIFS('AFA Rates'!$A$5:$A$1004,$A263,'AFA Rates'!$B$5:$B$1004,K$23)&gt;0,"Exp","")))</f>
        <v/>
      </c>
      <c r="L263" s="79">
        <f>IF(OR($A263="",L$23=""),"",IF(COUNTIFS('AFA Rates'!$A$5:$A$1004,$A263,'AFA Rates'!$B$5:$B$1004,L$23,'AFA Rates'!$O$5:$O$1004,"&lt;&gt;Expired")&gt;0,"✓",IF(COUNTIFS('AFA Rates'!$A$5:$A$1004,$A263,'AFA Rates'!$B$5:$B$1004,L$23)&gt;0,"Exp","")))</f>
        <v/>
      </c>
      <c r="M263" s="79">
        <f>IF(OR($A263="",M$23=""),"",IF(COUNTIFS('AFA Rates'!$A$5:$A$1004,$A263,'AFA Rates'!$B$5:$B$1004,M$23,'AFA Rates'!$O$5:$O$1004,"&lt;&gt;Expired")&gt;0,"✓",IF(COUNTIFS('AFA Rates'!$A$5:$A$1004,$A263,'AFA Rates'!$B$5:$B$1004,M$23)&gt;0,"Exp","")))</f>
        <v/>
      </c>
    </row>
    <row r="264">
      <c r="A264" s="78">
        <f>IFERROR(INDEX(Firms!$A$5:$A$1004,MATCH(241,Firms!$V$5:$V$1004,0)),"")</f>
        <v/>
      </c>
      <c r="B264" s="79">
        <f>IF($A264="","",INDEX(Firms!$B$5:$B$1004,MATCH(241,Firms!$V$5:$V$1004,0)))</f>
        <v/>
      </c>
      <c r="C264" s="79">
        <f>IF($A264="","",COUNTIFS('AFA Rates'!$A$5:$A$1004,$A264,'AFA Rates'!$O$5:$O$1004,"&lt;&gt;Expired"))</f>
        <v/>
      </c>
      <c r="D264" s="79">
        <f>IF(OR($A264="",D$23=""),"",IF(COUNTIFS('AFA Rates'!$A$5:$A$1004,$A264,'AFA Rates'!$B$5:$B$1004,D$23,'AFA Rates'!$O$5:$O$1004,"&lt;&gt;Expired")&gt;0,"✓",IF(COUNTIFS('AFA Rates'!$A$5:$A$1004,$A264,'AFA Rates'!$B$5:$B$1004,D$23)&gt;0,"Exp","")))</f>
        <v/>
      </c>
      <c r="E264" s="79">
        <f>IF(OR($A264="",E$23=""),"",IF(COUNTIFS('AFA Rates'!$A$5:$A$1004,$A264,'AFA Rates'!$B$5:$B$1004,E$23,'AFA Rates'!$O$5:$O$1004,"&lt;&gt;Expired")&gt;0,"✓",IF(COUNTIFS('AFA Rates'!$A$5:$A$1004,$A264,'AFA Rates'!$B$5:$B$1004,E$23)&gt;0,"Exp","")))</f>
        <v/>
      </c>
      <c r="F264" s="79">
        <f>IF(OR($A264="",F$23=""),"",IF(COUNTIFS('AFA Rates'!$A$5:$A$1004,$A264,'AFA Rates'!$B$5:$B$1004,F$23,'AFA Rates'!$O$5:$O$1004,"&lt;&gt;Expired")&gt;0,"✓",IF(COUNTIFS('AFA Rates'!$A$5:$A$1004,$A264,'AFA Rates'!$B$5:$B$1004,F$23)&gt;0,"Exp","")))</f>
        <v/>
      </c>
      <c r="G264" s="79">
        <f>IF(OR($A264="",G$23=""),"",IF(COUNTIFS('AFA Rates'!$A$5:$A$1004,$A264,'AFA Rates'!$B$5:$B$1004,G$23,'AFA Rates'!$O$5:$O$1004,"&lt;&gt;Expired")&gt;0,"✓",IF(COUNTIFS('AFA Rates'!$A$5:$A$1004,$A264,'AFA Rates'!$B$5:$B$1004,G$23)&gt;0,"Exp","")))</f>
        <v/>
      </c>
      <c r="H264" s="79">
        <f>IF(OR($A264="",H$23=""),"",IF(COUNTIFS('AFA Rates'!$A$5:$A$1004,$A264,'AFA Rates'!$B$5:$B$1004,H$23,'AFA Rates'!$O$5:$O$1004,"&lt;&gt;Expired")&gt;0,"✓",IF(COUNTIFS('AFA Rates'!$A$5:$A$1004,$A264,'AFA Rates'!$B$5:$B$1004,H$23)&gt;0,"Exp","")))</f>
        <v/>
      </c>
      <c r="I264" s="79">
        <f>IF(OR($A264="",I$23=""),"",IF(COUNTIFS('AFA Rates'!$A$5:$A$1004,$A264,'AFA Rates'!$B$5:$B$1004,I$23,'AFA Rates'!$O$5:$O$1004,"&lt;&gt;Expired")&gt;0,"✓",IF(COUNTIFS('AFA Rates'!$A$5:$A$1004,$A264,'AFA Rates'!$B$5:$B$1004,I$23)&gt;0,"Exp","")))</f>
        <v/>
      </c>
      <c r="J264" s="79">
        <f>IF(OR($A264="",J$23=""),"",IF(COUNTIFS('AFA Rates'!$A$5:$A$1004,$A264,'AFA Rates'!$B$5:$B$1004,J$23,'AFA Rates'!$O$5:$O$1004,"&lt;&gt;Expired")&gt;0,"✓",IF(COUNTIFS('AFA Rates'!$A$5:$A$1004,$A264,'AFA Rates'!$B$5:$B$1004,J$23)&gt;0,"Exp","")))</f>
        <v/>
      </c>
      <c r="K264" s="79">
        <f>IF(OR($A264="",K$23=""),"",IF(COUNTIFS('AFA Rates'!$A$5:$A$1004,$A264,'AFA Rates'!$B$5:$B$1004,K$23,'AFA Rates'!$O$5:$O$1004,"&lt;&gt;Expired")&gt;0,"✓",IF(COUNTIFS('AFA Rates'!$A$5:$A$1004,$A264,'AFA Rates'!$B$5:$B$1004,K$23)&gt;0,"Exp","")))</f>
        <v/>
      </c>
      <c r="L264" s="79">
        <f>IF(OR($A264="",L$23=""),"",IF(COUNTIFS('AFA Rates'!$A$5:$A$1004,$A264,'AFA Rates'!$B$5:$B$1004,L$23,'AFA Rates'!$O$5:$O$1004,"&lt;&gt;Expired")&gt;0,"✓",IF(COUNTIFS('AFA Rates'!$A$5:$A$1004,$A264,'AFA Rates'!$B$5:$B$1004,L$23)&gt;0,"Exp","")))</f>
        <v/>
      </c>
      <c r="M264" s="79">
        <f>IF(OR($A264="",M$23=""),"",IF(COUNTIFS('AFA Rates'!$A$5:$A$1004,$A264,'AFA Rates'!$B$5:$B$1004,M$23,'AFA Rates'!$O$5:$O$1004,"&lt;&gt;Expired")&gt;0,"✓",IF(COUNTIFS('AFA Rates'!$A$5:$A$1004,$A264,'AFA Rates'!$B$5:$B$1004,M$23)&gt;0,"Exp","")))</f>
        <v/>
      </c>
    </row>
    <row r="265">
      <c r="A265" s="78">
        <f>IFERROR(INDEX(Firms!$A$5:$A$1004,MATCH(242,Firms!$V$5:$V$1004,0)),"")</f>
        <v/>
      </c>
      <c r="B265" s="79">
        <f>IF($A265="","",INDEX(Firms!$B$5:$B$1004,MATCH(242,Firms!$V$5:$V$1004,0)))</f>
        <v/>
      </c>
      <c r="C265" s="79">
        <f>IF($A265="","",COUNTIFS('AFA Rates'!$A$5:$A$1004,$A265,'AFA Rates'!$O$5:$O$1004,"&lt;&gt;Expired"))</f>
        <v/>
      </c>
      <c r="D265" s="79">
        <f>IF(OR($A265="",D$23=""),"",IF(COUNTIFS('AFA Rates'!$A$5:$A$1004,$A265,'AFA Rates'!$B$5:$B$1004,D$23,'AFA Rates'!$O$5:$O$1004,"&lt;&gt;Expired")&gt;0,"✓",IF(COUNTIFS('AFA Rates'!$A$5:$A$1004,$A265,'AFA Rates'!$B$5:$B$1004,D$23)&gt;0,"Exp","")))</f>
        <v/>
      </c>
      <c r="E265" s="79">
        <f>IF(OR($A265="",E$23=""),"",IF(COUNTIFS('AFA Rates'!$A$5:$A$1004,$A265,'AFA Rates'!$B$5:$B$1004,E$23,'AFA Rates'!$O$5:$O$1004,"&lt;&gt;Expired")&gt;0,"✓",IF(COUNTIFS('AFA Rates'!$A$5:$A$1004,$A265,'AFA Rates'!$B$5:$B$1004,E$23)&gt;0,"Exp","")))</f>
        <v/>
      </c>
      <c r="F265" s="79">
        <f>IF(OR($A265="",F$23=""),"",IF(COUNTIFS('AFA Rates'!$A$5:$A$1004,$A265,'AFA Rates'!$B$5:$B$1004,F$23,'AFA Rates'!$O$5:$O$1004,"&lt;&gt;Expired")&gt;0,"✓",IF(COUNTIFS('AFA Rates'!$A$5:$A$1004,$A265,'AFA Rates'!$B$5:$B$1004,F$23)&gt;0,"Exp","")))</f>
        <v/>
      </c>
      <c r="G265" s="79">
        <f>IF(OR($A265="",G$23=""),"",IF(COUNTIFS('AFA Rates'!$A$5:$A$1004,$A265,'AFA Rates'!$B$5:$B$1004,G$23,'AFA Rates'!$O$5:$O$1004,"&lt;&gt;Expired")&gt;0,"✓",IF(COUNTIFS('AFA Rates'!$A$5:$A$1004,$A265,'AFA Rates'!$B$5:$B$1004,G$23)&gt;0,"Exp","")))</f>
        <v/>
      </c>
      <c r="H265" s="79">
        <f>IF(OR($A265="",H$23=""),"",IF(COUNTIFS('AFA Rates'!$A$5:$A$1004,$A265,'AFA Rates'!$B$5:$B$1004,H$23,'AFA Rates'!$O$5:$O$1004,"&lt;&gt;Expired")&gt;0,"✓",IF(COUNTIFS('AFA Rates'!$A$5:$A$1004,$A265,'AFA Rates'!$B$5:$B$1004,H$23)&gt;0,"Exp","")))</f>
        <v/>
      </c>
      <c r="I265" s="79">
        <f>IF(OR($A265="",I$23=""),"",IF(COUNTIFS('AFA Rates'!$A$5:$A$1004,$A265,'AFA Rates'!$B$5:$B$1004,I$23,'AFA Rates'!$O$5:$O$1004,"&lt;&gt;Expired")&gt;0,"✓",IF(COUNTIFS('AFA Rates'!$A$5:$A$1004,$A265,'AFA Rates'!$B$5:$B$1004,I$23)&gt;0,"Exp","")))</f>
        <v/>
      </c>
      <c r="J265" s="79">
        <f>IF(OR($A265="",J$23=""),"",IF(COUNTIFS('AFA Rates'!$A$5:$A$1004,$A265,'AFA Rates'!$B$5:$B$1004,J$23,'AFA Rates'!$O$5:$O$1004,"&lt;&gt;Expired")&gt;0,"✓",IF(COUNTIFS('AFA Rates'!$A$5:$A$1004,$A265,'AFA Rates'!$B$5:$B$1004,J$23)&gt;0,"Exp","")))</f>
        <v/>
      </c>
      <c r="K265" s="79">
        <f>IF(OR($A265="",K$23=""),"",IF(COUNTIFS('AFA Rates'!$A$5:$A$1004,$A265,'AFA Rates'!$B$5:$B$1004,K$23,'AFA Rates'!$O$5:$O$1004,"&lt;&gt;Expired")&gt;0,"✓",IF(COUNTIFS('AFA Rates'!$A$5:$A$1004,$A265,'AFA Rates'!$B$5:$B$1004,K$23)&gt;0,"Exp","")))</f>
        <v/>
      </c>
      <c r="L265" s="79">
        <f>IF(OR($A265="",L$23=""),"",IF(COUNTIFS('AFA Rates'!$A$5:$A$1004,$A265,'AFA Rates'!$B$5:$B$1004,L$23,'AFA Rates'!$O$5:$O$1004,"&lt;&gt;Expired")&gt;0,"✓",IF(COUNTIFS('AFA Rates'!$A$5:$A$1004,$A265,'AFA Rates'!$B$5:$B$1004,L$23)&gt;0,"Exp","")))</f>
        <v/>
      </c>
      <c r="M265" s="79">
        <f>IF(OR($A265="",M$23=""),"",IF(COUNTIFS('AFA Rates'!$A$5:$A$1004,$A265,'AFA Rates'!$B$5:$B$1004,M$23,'AFA Rates'!$O$5:$O$1004,"&lt;&gt;Expired")&gt;0,"✓",IF(COUNTIFS('AFA Rates'!$A$5:$A$1004,$A265,'AFA Rates'!$B$5:$B$1004,M$23)&gt;0,"Exp","")))</f>
        <v/>
      </c>
    </row>
    <row r="266">
      <c r="A266" s="78">
        <f>IFERROR(INDEX(Firms!$A$5:$A$1004,MATCH(243,Firms!$V$5:$V$1004,0)),"")</f>
        <v/>
      </c>
      <c r="B266" s="79">
        <f>IF($A266="","",INDEX(Firms!$B$5:$B$1004,MATCH(243,Firms!$V$5:$V$1004,0)))</f>
        <v/>
      </c>
      <c r="C266" s="79">
        <f>IF($A266="","",COUNTIFS('AFA Rates'!$A$5:$A$1004,$A266,'AFA Rates'!$O$5:$O$1004,"&lt;&gt;Expired"))</f>
        <v/>
      </c>
      <c r="D266" s="79">
        <f>IF(OR($A266="",D$23=""),"",IF(COUNTIFS('AFA Rates'!$A$5:$A$1004,$A266,'AFA Rates'!$B$5:$B$1004,D$23,'AFA Rates'!$O$5:$O$1004,"&lt;&gt;Expired")&gt;0,"✓",IF(COUNTIFS('AFA Rates'!$A$5:$A$1004,$A266,'AFA Rates'!$B$5:$B$1004,D$23)&gt;0,"Exp","")))</f>
        <v/>
      </c>
      <c r="E266" s="79">
        <f>IF(OR($A266="",E$23=""),"",IF(COUNTIFS('AFA Rates'!$A$5:$A$1004,$A266,'AFA Rates'!$B$5:$B$1004,E$23,'AFA Rates'!$O$5:$O$1004,"&lt;&gt;Expired")&gt;0,"✓",IF(COUNTIFS('AFA Rates'!$A$5:$A$1004,$A266,'AFA Rates'!$B$5:$B$1004,E$23)&gt;0,"Exp","")))</f>
        <v/>
      </c>
      <c r="F266" s="79">
        <f>IF(OR($A266="",F$23=""),"",IF(COUNTIFS('AFA Rates'!$A$5:$A$1004,$A266,'AFA Rates'!$B$5:$B$1004,F$23,'AFA Rates'!$O$5:$O$1004,"&lt;&gt;Expired")&gt;0,"✓",IF(COUNTIFS('AFA Rates'!$A$5:$A$1004,$A266,'AFA Rates'!$B$5:$B$1004,F$23)&gt;0,"Exp","")))</f>
        <v/>
      </c>
      <c r="G266" s="79">
        <f>IF(OR($A266="",G$23=""),"",IF(COUNTIFS('AFA Rates'!$A$5:$A$1004,$A266,'AFA Rates'!$B$5:$B$1004,G$23,'AFA Rates'!$O$5:$O$1004,"&lt;&gt;Expired")&gt;0,"✓",IF(COUNTIFS('AFA Rates'!$A$5:$A$1004,$A266,'AFA Rates'!$B$5:$B$1004,G$23)&gt;0,"Exp","")))</f>
        <v/>
      </c>
      <c r="H266" s="79">
        <f>IF(OR($A266="",H$23=""),"",IF(COUNTIFS('AFA Rates'!$A$5:$A$1004,$A266,'AFA Rates'!$B$5:$B$1004,H$23,'AFA Rates'!$O$5:$O$1004,"&lt;&gt;Expired")&gt;0,"✓",IF(COUNTIFS('AFA Rates'!$A$5:$A$1004,$A266,'AFA Rates'!$B$5:$B$1004,H$23)&gt;0,"Exp","")))</f>
        <v/>
      </c>
      <c r="I266" s="79">
        <f>IF(OR($A266="",I$23=""),"",IF(COUNTIFS('AFA Rates'!$A$5:$A$1004,$A266,'AFA Rates'!$B$5:$B$1004,I$23,'AFA Rates'!$O$5:$O$1004,"&lt;&gt;Expired")&gt;0,"✓",IF(COUNTIFS('AFA Rates'!$A$5:$A$1004,$A266,'AFA Rates'!$B$5:$B$1004,I$23)&gt;0,"Exp","")))</f>
        <v/>
      </c>
      <c r="J266" s="79">
        <f>IF(OR($A266="",J$23=""),"",IF(COUNTIFS('AFA Rates'!$A$5:$A$1004,$A266,'AFA Rates'!$B$5:$B$1004,J$23,'AFA Rates'!$O$5:$O$1004,"&lt;&gt;Expired")&gt;0,"✓",IF(COUNTIFS('AFA Rates'!$A$5:$A$1004,$A266,'AFA Rates'!$B$5:$B$1004,J$23)&gt;0,"Exp","")))</f>
        <v/>
      </c>
      <c r="K266" s="79">
        <f>IF(OR($A266="",K$23=""),"",IF(COUNTIFS('AFA Rates'!$A$5:$A$1004,$A266,'AFA Rates'!$B$5:$B$1004,K$23,'AFA Rates'!$O$5:$O$1004,"&lt;&gt;Expired")&gt;0,"✓",IF(COUNTIFS('AFA Rates'!$A$5:$A$1004,$A266,'AFA Rates'!$B$5:$B$1004,K$23)&gt;0,"Exp","")))</f>
        <v/>
      </c>
      <c r="L266" s="79">
        <f>IF(OR($A266="",L$23=""),"",IF(COUNTIFS('AFA Rates'!$A$5:$A$1004,$A266,'AFA Rates'!$B$5:$B$1004,L$23,'AFA Rates'!$O$5:$O$1004,"&lt;&gt;Expired")&gt;0,"✓",IF(COUNTIFS('AFA Rates'!$A$5:$A$1004,$A266,'AFA Rates'!$B$5:$B$1004,L$23)&gt;0,"Exp","")))</f>
        <v/>
      </c>
      <c r="M266" s="79">
        <f>IF(OR($A266="",M$23=""),"",IF(COUNTIFS('AFA Rates'!$A$5:$A$1004,$A266,'AFA Rates'!$B$5:$B$1004,M$23,'AFA Rates'!$O$5:$O$1004,"&lt;&gt;Expired")&gt;0,"✓",IF(COUNTIFS('AFA Rates'!$A$5:$A$1004,$A266,'AFA Rates'!$B$5:$B$1004,M$23)&gt;0,"Exp","")))</f>
        <v/>
      </c>
    </row>
    <row r="267">
      <c r="A267" s="78">
        <f>IFERROR(INDEX(Firms!$A$5:$A$1004,MATCH(244,Firms!$V$5:$V$1004,0)),"")</f>
        <v/>
      </c>
      <c r="B267" s="79">
        <f>IF($A267="","",INDEX(Firms!$B$5:$B$1004,MATCH(244,Firms!$V$5:$V$1004,0)))</f>
        <v/>
      </c>
      <c r="C267" s="79">
        <f>IF($A267="","",COUNTIFS('AFA Rates'!$A$5:$A$1004,$A267,'AFA Rates'!$O$5:$O$1004,"&lt;&gt;Expired"))</f>
        <v/>
      </c>
      <c r="D267" s="79">
        <f>IF(OR($A267="",D$23=""),"",IF(COUNTIFS('AFA Rates'!$A$5:$A$1004,$A267,'AFA Rates'!$B$5:$B$1004,D$23,'AFA Rates'!$O$5:$O$1004,"&lt;&gt;Expired")&gt;0,"✓",IF(COUNTIFS('AFA Rates'!$A$5:$A$1004,$A267,'AFA Rates'!$B$5:$B$1004,D$23)&gt;0,"Exp","")))</f>
        <v/>
      </c>
      <c r="E267" s="79">
        <f>IF(OR($A267="",E$23=""),"",IF(COUNTIFS('AFA Rates'!$A$5:$A$1004,$A267,'AFA Rates'!$B$5:$B$1004,E$23,'AFA Rates'!$O$5:$O$1004,"&lt;&gt;Expired")&gt;0,"✓",IF(COUNTIFS('AFA Rates'!$A$5:$A$1004,$A267,'AFA Rates'!$B$5:$B$1004,E$23)&gt;0,"Exp","")))</f>
        <v/>
      </c>
      <c r="F267" s="79">
        <f>IF(OR($A267="",F$23=""),"",IF(COUNTIFS('AFA Rates'!$A$5:$A$1004,$A267,'AFA Rates'!$B$5:$B$1004,F$23,'AFA Rates'!$O$5:$O$1004,"&lt;&gt;Expired")&gt;0,"✓",IF(COUNTIFS('AFA Rates'!$A$5:$A$1004,$A267,'AFA Rates'!$B$5:$B$1004,F$23)&gt;0,"Exp","")))</f>
        <v/>
      </c>
      <c r="G267" s="79">
        <f>IF(OR($A267="",G$23=""),"",IF(COUNTIFS('AFA Rates'!$A$5:$A$1004,$A267,'AFA Rates'!$B$5:$B$1004,G$23,'AFA Rates'!$O$5:$O$1004,"&lt;&gt;Expired")&gt;0,"✓",IF(COUNTIFS('AFA Rates'!$A$5:$A$1004,$A267,'AFA Rates'!$B$5:$B$1004,G$23)&gt;0,"Exp","")))</f>
        <v/>
      </c>
      <c r="H267" s="79">
        <f>IF(OR($A267="",H$23=""),"",IF(COUNTIFS('AFA Rates'!$A$5:$A$1004,$A267,'AFA Rates'!$B$5:$B$1004,H$23,'AFA Rates'!$O$5:$O$1004,"&lt;&gt;Expired")&gt;0,"✓",IF(COUNTIFS('AFA Rates'!$A$5:$A$1004,$A267,'AFA Rates'!$B$5:$B$1004,H$23)&gt;0,"Exp","")))</f>
        <v/>
      </c>
      <c r="I267" s="79">
        <f>IF(OR($A267="",I$23=""),"",IF(COUNTIFS('AFA Rates'!$A$5:$A$1004,$A267,'AFA Rates'!$B$5:$B$1004,I$23,'AFA Rates'!$O$5:$O$1004,"&lt;&gt;Expired")&gt;0,"✓",IF(COUNTIFS('AFA Rates'!$A$5:$A$1004,$A267,'AFA Rates'!$B$5:$B$1004,I$23)&gt;0,"Exp","")))</f>
        <v/>
      </c>
      <c r="J267" s="79">
        <f>IF(OR($A267="",J$23=""),"",IF(COUNTIFS('AFA Rates'!$A$5:$A$1004,$A267,'AFA Rates'!$B$5:$B$1004,J$23,'AFA Rates'!$O$5:$O$1004,"&lt;&gt;Expired")&gt;0,"✓",IF(COUNTIFS('AFA Rates'!$A$5:$A$1004,$A267,'AFA Rates'!$B$5:$B$1004,J$23)&gt;0,"Exp","")))</f>
        <v/>
      </c>
      <c r="K267" s="79">
        <f>IF(OR($A267="",K$23=""),"",IF(COUNTIFS('AFA Rates'!$A$5:$A$1004,$A267,'AFA Rates'!$B$5:$B$1004,K$23,'AFA Rates'!$O$5:$O$1004,"&lt;&gt;Expired")&gt;0,"✓",IF(COUNTIFS('AFA Rates'!$A$5:$A$1004,$A267,'AFA Rates'!$B$5:$B$1004,K$23)&gt;0,"Exp","")))</f>
        <v/>
      </c>
      <c r="L267" s="79">
        <f>IF(OR($A267="",L$23=""),"",IF(COUNTIFS('AFA Rates'!$A$5:$A$1004,$A267,'AFA Rates'!$B$5:$B$1004,L$23,'AFA Rates'!$O$5:$O$1004,"&lt;&gt;Expired")&gt;0,"✓",IF(COUNTIFS('AFA Rates'!$A$5:$A$1004,$A267,'AFA Rates'!$B$5:$B$1004,L$23)&gt;0,"Exp","")))</f>
        <v/>
      </c>
      <c r="M267" s="79">
        <f>IF(OR($A267="",M$23=""),"",IF(COUNTIFS('AFA Rates'!$A$5:$A$1004,$A267,'AFA Rates'!$B$5:$B$1004,M$23,'AFA Rates'!$O$5:$O$1004,"&lt;&gt;Expired")&gt;0,"✓",IF(COUNTIFS('AFA Rates'!$A$5:$A$1004,$A267,'AFA Rates'!$B$5:$B$1004,M$23)&gt;0,"Exp","")))</f>
        <v/>
      </c>
    </row>
    <row r="268">
      <c r="A268" s="78">
        <f>IFERROR(INDEX(Firms!$A$5:$A$1004,MATCH(245,Firms!$V$5:$V$1004,0)),"")</f>
        <v/>
      </c>
      <c r="B268" s="79">
        <f>IF($A268="","",INDEX(Firms!$B$5:$B$1004,MATCH(245,Firms!$V$5:$V$1004,0)))</f>
        <v/>
      </c>
      <c r="C268" s="79">
        <f>IF($A268="","",COUNTIFS('AFA Rates'!$A$5:$A$1004,$A268,'AFA Rates'!$O$5:$O$1004,"&lt;&gt;Expired"))</f>
        <v/>
      </c>
      <c r="D268" s="79">
        <f>IF(OR($A268="",D$23=""),"",IF(COUNTIFS('AFA Rates'!$A$5:$A$1004,$A268,'AFA Rates'!$B$5:$B$1004,D$23,'AFA Rates'!$O$5:$O$1004,"&lt;&gt;Expired")&gt;0,"✓",IF(COUNTIFS('AFA Rates'!$A$5:$A$1004,$A268,'AFA Rates'!$B$5:$B$1004,D$23)&gt;0,"Exp","")))</f>
        <v/>
      </c>
      <c r="E268" s="79">
        <f>IF(OR($A268="",E$23=""),"",IF(COUNTIFS('AFA Rates'!$A$5:$A$1004,$A268,'AFA Rates'!$B$5:$B$1004,E$23,'AFA Rates'!$O$5:$O$1004,"&lt;&gt;Expired")&gt;0,"✓",IF(COUNTIFS('AFA Rates'!$A$5:$A$1004,$A268,'AFA Rates'!$B$5:$B$1004,E$23)&gt;0,"Exp","")))</f>
        <v/>
      </c>
      <c r="F268" s="79">
        <f>IF(OR($A268="",F$23=""),"",IF(COUNTIFS('AFA Rates'!$A$5:$A$1004,$A268,'AFA Rates'!$B$5:$B$1004,F$23,'AFA Rates'!$O$5:$O$1004,"&lt;&gt;Expired")&gt;0,"✓",IF(COUNTIFS('AFA Rates'!$A$5:$A$1004,$A268,'AFA Rates'!$B$5:$B$1004,F$23)&gt;0,"Exp","")))</f>
        <v/>
      </c>
      <c r="G268" s="79">
        <f>IF(OR($A268="",G$23=""),"",IF(COUNTIFS('AFA Rates'!$A$5:$A$1004,$A268,'AFA Rates'!$B$5:$B$1004,G$23,'AFA Rates'!$O$5:$O$1004,"&lt;&gt;Expired")&gt;0,"✓",IF(COUNTIFS('AFA Rates'!$A$5:$A$1004,$A268,'AFA Rates'!$B$5:$B$1004,G$23)&gt;0,"Exp","")))</f>
        <v/>
      </c>
      <c r="H268" s="79">
        <f>IF(OR($A268="",H$23=""),"",IF(COUNTIFS('AFA Rates'!$A$5:$A$1004,$A268,'AFA Rates'!$B$5:$B$1004,H$23,'AFA Rates'!$O$5:$O$1004,"&lt;&gt;Expired")&gt;0,"✓",IF(COUNTIFS('AFA Rates'!$A$5:$A$1004,$A268,'AFA Rates'!$B$5:$B$1004,H$23)&gt;0,"Exp","")))</f>
        <v/>
      </c>
      <c r="I268" s="79">
        <f>IF(OR($A268="",I$23=""),"",IF(COUNTIFS('AFA Rates'!$A$5:$A$1004,$A268,'AFA Rates'!$B$5:$B$1004,I$23,'AFA Rates'!$O$5:$O$1004,"&lt;&gt;Expired")&gt;0,"✓",IF(COUNTIFS('AFA Rates'!$A$5:$A$1004,$A268,'AFA Rates'!$B$5:$B$1004,I$23)&gt;0,"Exp","")))</f>
        <v/>
      </c>
      <c r="J268" s="79">
        <f>IF(OR($A268="",J$23=""),"",IF(COUNTIFS('AFA Rates'!$A$5:$A$1004,$A268,'AFA Rates'!$B$5:$B$1004,J$23,'AFA Rates'!$O$5:$O$1004,"&lt;&gt;Expired")&gt;0,"✓",IF(COUNTIFS('AFA Rates'!$A$5:$A$1004,$A268,'AFA Rates'!$B$5:$B$1004,J$23)&gt;0,"Exp","")))</f>
        <v/>
      </c>
      <c r="K268" s="79">
        <f>IF(OR($A268="",K$23=""),"",IF(COUNTIFS('AFA Rates'!$A$5:$A$1004,$A268,'AFA Rates'!$B$5:$B$1004,K$23,'AFA Rates'!$O$5:$O$1004,"&lt;&gt;Expired")&gt;0,"✓",IF(COUNTIFS('AFA Rates'!$A$5:$A$1004,$A268,'AFA Rates'!$B$5:$B$1004,K$23)&gt;0,"Exp","")))</f>
        <v/>
      </c>
      <c r="L268" s="79">
        <f>IF(OR($A268="",L$23=""),"",IF(COUNTIFS('AFA Rates'!$A$5:$A$1004,$A268,'AFA Rates'!$B$5:$B$1004,L$23,'AFA Rates'!$O$5:$O$1004,"&lt;&gt;Expired")&gt;0,"✓",IF(COUNTIFS('AFA Rates'!$A$5:$A$1004,$A268,'AFA Rates'!$B$5:$B$1004,L$23)&gt;0,"Exp","")))</f>
        <v/>
      </c>
      <c r="M268" s="79">
        <f>IF(OR($A268="",M$23=""),"",IF(COUNTIFS('AFA Rates'!$A$5:$A$1004,$A268,'AFA Rates'!$B$5:$B$1004,M$23,'AFA Rates'!$O$5:$O$1004,"&lt;&gt;Expired")&gt;0,"✓",IF(COUNTIFS('AFA Rates'!$A$5:$A$1004,$A268,'AFA Rates'!$B$5:$B$1004,M$23)&gt;0,"Exp","")))</f>
        <v/>
      </c>
    </row>
    <row r="269">
      <c r="A269" s="78">
        <f>IFERROR(INDEX(Firms!$A$5:$A$1004,MATCH(246,Firms!$V$5:$V$1004,0)),"")</f>
        <v/>
      </c>
      <c r="B269" s="79">
        <f>IF($A269="","",INDEX(Firms!$B$5:$B$1004,MATCH(246,Firms!$V$5:$V$1004,0)))</f>
        <v/>
      </c>
      <c r="C269" s="79">
        <f>IF($A269="","",COUNTIFS('AFA Rates'!$A$5:$A$1004,$A269,'AFA Rates'!$O$5:$O$1004,"&lt;&gt;Expired"))</f>
        <v/>
      </c>
      <c r="D269" s="79">
        <f>IF(OR($A269="",D$23=""),"",IF(COUNTIFS('AFA Rates'!$A$5:$A$1004,$A269,'AFA Rates'!$B$5:$B$1004,D$23,'AFA Rates'!$O$5:$O$1004,"&lt;&gt;Expired")&gt;0,"✓",IF(COUNTIFS('AFA Rates'!$A$5:$A$1004,$A269,'AFA Rates'!$B$5:$B$1004,D$23)&gt;0,"Exp","")))</f>
        <v/>
      </c>
      <c r="E269" s="79">
        <f>IF(OR($A269="",E$23=""),"",IF(COUNTIFS('AFA Rates'!$A$5:$A$1004,$A269,'AFA Rates'!$B$5:$B$1004,E$23,'AFA Rates'!$O$5:$O$1004,"&lt;&gt;Expired")&gt;0,"✓",IF(COUNTIFS('AFA Rates'!$A$5:$A$1004,$A269,'AFA Rates'!$B$5:$B$1004,E$23)&gt;0,"Exp","")))</f>
        <v/>
      </c>
      <c r="F269" s="79">
        <f>IF(OR($A269="",F$23=""),"",IF(COUNTIFS('AFA Rates'!$A$5:$A$1004,$A269,'AFA Rates'!$B$5:$B$1004,F$23,'AFA Rates'!$O$5:$O$1004,"&lt;&gt;Expired")&gt;0,"✓",IF(COUNTIFS('AFA Rates'!$A$5:$A$1004,$A269,'AFA Rates'!$B$5:$B$1004,F$23)&gt;0,"Exp","")))</f>
        <v/>
      </c>
      <c r="G269" s="79">
        <f>IF(OR($A269="",G$23=""),"",IF(COUNTIFS('AFA Rates'!$A$5:$A$1004,$A269,'AFA Rates'!$B$5:$B$1004,G$23,'AFA Rates'!$O$5:$O$1004,"&lt;&gt;Expired")&gt;0,"✓",IF(COUNTIFS('AFA Rates'!$A$5:$A$1004,$A269,'AFA Rates'!$B$5:$B$1004,G$23)&gt;0,"Exp","")))</f>
        <v/>
      </c>
      <c r="H269" s="79">
        <f>IF(OR($A269="",H$23=""),"",IF(COUNTIFS('AFA Rates'!$A$5:$A$1004,$A269,'AFA Rates'!$B$5:$B$1004,H$23,'AFA Rates'!$O$5:$O$1004,"&lt;&gt;Expired")&gt;0,"✓",IF(COUNTIFS('AFA Rates'!$A$5:$A$1004,$A269,'AFA Rates'!$B$5:$B$1004,H$23)&gt;0,"Exp","")))</f>
        <v/>
      </c>
      <c r="I269" s="79">
        <f>IF(OR($A269="",I$23=""),"",IF(COUNTIFS('AFA Rates'!$A$5:$A$1004,$A269,'AFA Rates'!$B$5:$B$1004,I$23,'AFA Rates'!$O$5:$O$1004,"&lt;&gt;Expired")&gt;0,"✓",IF(COUNTIFS('AFA Rates'!$A$5:$A$1004,$A269,'AFA Rates'!$B$5:$B$1004,I$23)&gt;0,"Exp","")))</f>
        <v/>
      </c>
      <c r="J269" s="79">
        <f>IF(OR($A269="",J$23=""),"",IF(COUNTIFS('AFA Rates'!$A$5:$A$1004,$A269,'AFA Rates'!$B$5:$B$1004,J$23,'AFA Rates'!$O$5:$O$1004,"&lt;&gt;Expired")&gt;0,"✓",IF(COUNTIFS('AFA Rates'!$A$5:$A$1004,$A269,'AFA Rates'!$B$5:$B$1004,J$23)&gt;0,"Exp","")))</f>
        <v/>
      </c>
      <c r="K269" s="79">
        <f>IF(OR($A269="",K$23=""),"",IF(COUNTIFS('AFA Rates'!$A$5:$A$1004,$A269,'AFA Rates'!$B$5:$B$1004,K$23,'AFA Rates'!$O$5:$O$1004,"&lt;&gt;Expired")&gt;0,"✓",IF(COUNTIFS('AFA Rates'!$A$5:$A$1004,$A269,'AFA Rates'!$B$5:$B$1004,K$23)&gt;0,"Exp","")))</f>
        <v/>
      </c>
      <c r="L269" s="79">
        <f>IF(OR($A269="",L$23=""),"",IF(COUNTIFS('AFA Rates'!$A$5:$A$1004,$A269,'AFA Rates'!$B$5:$B$1004,L$23,'AFA Rates'!$O$5:$O$1004,"&lt;&gt;Expired")&gt;0,"✓",IF(COUNTIFS('AFA Rates'!$A$5:$A$1004,$A269,'AFA Rates'!$B$5:$B$1004,L$23)&gt;0,"Exp","")))</f>
        <v/>
      </c>
      <c r="M269" s="79">
        <f>IF(OR($A269="",M$23=""),"",IF(COUNTIFS('AFA Rates'!$A$5:$A$1004,$A269,'AFA Rates'!$B$5:$B$1004,M$23,'AFA Rates'!$O$5:$O$1004,"&lt;&gt;Expired")&gt;0,"✓",IF(COUNTIFS('AFA Rates'!$A$5:$A$1004,$A269,'AFA Rates'!$B$5:$B$1004,M$23)&gt;0,"Exp","")))</f>
        <v/>
      </c>
    </row>
    <row r="270">
      <c r="A270" s="78">
        <f>IFERROR(INDEX(Firms!$A$5:$A$1004,MATCH(247,Firms!$V$5:$V$1004,0)),"")</f>
        <v/>
      </c>
      <c r="B270" s="79">
        <f>IF($A270="","",INDEX(Firms!$B$5:$B$1004,MATCH(247,Firms!$V$5:$V$1004,0)))</f>
        <v/>
      </c>
      <c r="C270" s="79">
        <f>IF($A270="","",COUNTIFS('AFA Rates'!$A$5:$A$1004,$A270,'AFA Rates'!$O$5:$O$1004,"&lt;&gt;Expired"))</f>
        <v/>
      </c>
      <c r="D270" s="79">
        <f>IF(OR($A270="",D$23=""),"",IF(COUNTIFS('AFA Rates'!$A$5:$A$1004,$A270,'AFA Rates'!$B$5:$B$1004,D$23,'AFA Rates'!$O$5:$O$1004,"&lt;&gt;Expired")&gt;0,"✓",IF(COUNTIFS('AFA Rates'!$A$5:$A$1004,$A270,'AFA Rates'!$B$5:$B$1004,D$23)&gt;0,"Exp","")))</f>
        <v/>
      </c>
      <c r="E270" s="79">
        <f>IF(OR($A270="",E$23=""),"",IF(COUNTIFS('AFA Rates'!$A$5:$A$1004,$A270,'AFA Rates'!$B$5:$B$1004,E$23,'AFA Rates'!$O$5:$O$1004,"&lt;&gt;Expired")&gt;0,"✓",IF(COUNTIFS('AFA Rates'!$A$5:$A$1004,$A270,'AFA Rates'!$B$5:$B$1004,E$23)&gt;0,"Exp","")))</f>
        <v/>
      </c>
      <c r="F270" s="79">
        <f>IF(OR($A270="",F$23=""),"",IF(COUNTIFS('AFA Rates'!$A$5:$A$1004,$A270,'AFA Rates'!$B$5:$B$1004,F$23,'AFA Rates'!$O$5:$O$1004,"&lt;&gt;Expired")&gt;0,"✓",IF(COUNTIFS('AFA Rates'!$A$5:$A$1004,$A270,'AFA Rates'!$B$5:$B$1004,F$23)&gt;0,"Exp","")))</f>
        <v/>
      </c>
      <c r="G270" s="79">
        <f>IF(OR($A270="",G$23=""),"",IF(COUNTIFS('AFA Rates'!$A$5:$A$1004,$A270,'AFA Rates'!$B$5:$B$1004,G$23,'AFA Rates'!$O$5:$O$1004,"&lt;&gt;Expired")&gt;0,"✓",IF(COUNTIFS('AFA Rates'!$A$5:$A$1004,$A270,'AFA Rates'!$B$5:$B$1004,G$23)&gt;0,"Exp","")))</f>
        <v/>
      </c>
      <c r="H270" s="79">
        <f>IF(OR($A270="",H$23=""),"",IF(COUNTIFS('AFA Rates'!$A$5:$A$1004,$A270,'AFA Rates'!$B$5:$B$1004,H$23,'AFA Rates'!$O$5:$O$1004,"&lt;&gt;Expired")&gt;0,"✓",IF(COUNTIFS('AFA Rates'!$A$5:$A$1004,$A270,'AFA Rates'!$B$5:$B$1004,H$23)&gt;0,"Exp","")))</f>
        <v/>
      </c>
      <c r="I270" s="79">
        <f>IF(OR($A270="",I$23=""),"",IF(COUNTIFS('AFA Rates'!$A$5:$A$1004,$A270,'AFA Rates'!$B$5:$B$1004,I$23,'AFA Rates'!$O$5:$O$1004,"&lt;&gt;Expired")&gt;0,"✓",IF(COUNTIFS('AFA Rates'!$A$5:$A$1004,$A270,'AFA Rates'!$B$5:$B$1004,I$23)&gt;0,"Exp","")))</f>
        <v/>
      </c>
      <c r="J270" s="79">
        <f>IF(OR($A270="",J$23=""),"",IF(COUNTIFS('AFA Rates'!$A$5:$A$1004,$A270,'AFA Rates'!$B$5:$B$1004,J$23,'AFA Rates'!$O$5:$O$1004,"&lt;&gt;Expired")&gt;0,"✓",IF(COUNTIFS('AFA Rates'!$A$5:$A$1004,$A270,'AFA Rates'!$B$5:$B$1004,J$23)&gt;0,"Exp","")))</f>
        <v/>
      </c>
      <c r="K270" s="79">
        <f>IF(OR($A270="",K$23=""),"",IF(COUNTIFS('AFA Rates'!$A$5:$A$1004,$A270,'AFA Rates'!$B$5:$B$1004,K$23,'AFA Rates'!$O$5:$O$1004,"&lt;&gt;Expired")&gt;0,"✓",IF(COUNTIFS('AFA Rates'!$A$5:$A$1004,$A270,'AFA Rates'!$B$5:$B$1004,K$23)&gt;0,"Exp","")))</f>
        <v/>
      </c>
      <c r="L270" s="79">
        <f>IF(OR($A270="",L$23=""),"",IF(COUNTIFS('AFA Rates'!$A$5:$A$1004,$A270,'AFA Rates'!$B$5:$B$1004,L$23,'AFA Rates'!$O$5:$O$1004,"&lt;&gt;Expired")&gt;0,"✓",IF(COUNTIFS('AFA Rates'!$A$5:$A$1004,$A270,'AFA Rates'!$B$5:$B$1004,L$23)&gt;0,"Exp","")))</f>
        <v/>
      </c>
      <c r="M270" s="79">
        <f>IF(OR($A270="",M$23=""),"",IF(COUNTIFS('AFA Rates'!$A$5:$A$1004,$A270,'AFA Rates'!$B$5:$B$1004,M$23,'AFA Rates'!$O$5:$O$1004,"&lt;&gt;Expired")&gt;0,"✓",IF(COUNTIFS('AFA Rates'!$A$5:$A$1004,$A270,'AFA Rates'!$B$5:$B$1004,M$23)&gt;0,"Exp","")))</f>
        <v/>
      </c>
    </row>
    <row r="271">
      <c r="A271" s="78">
        <f>IFERROR(INDEX(Firms!$A$5:$A$1004,MATCH(248,Firms!$V$5:$V$1004,0)),"")</f>
        <v/>
      </c>
      <c r="B271" s="79">
        <f>IF($A271="","",INDEX(Firms!$B$5:$B$1004,MATCH(248,Firms!$V$5:$V$1004,0)))</f>
        <v/>
      </c>
      <c r="C271" s="79">
        <f>IF($A271="","",COUNTIFS('AFA Rates'!$A$5:$A$1004,$A271,'AFA Rates'!$O$5:$O$1004,"&lt;&gt;Expired"))</f>
        <v/>
      </c>
      <c r="D271" s="79">
        <f>IF(OR($A271="",D$23=""),"",IF(COUNTIFS('AFA Rates'!$A$5:$A$1004,$A271,'AFA Rates'!$B$5:$B$1004,D$23,'AFA Rates'!$O$5:$O$1004,"&lt;&gt;Expired")&gt;0,"✓",IF(COUNTIFS('AFA Rates'!$A$5:$A$1004,$A271,'AFA Rates'!$B$5:$B$1004,D$23)&gt;0,"Exp","")))</f>
        <v/>
      </c>
      <c r="E271" s="79">
        <f>IF(OR($A271="",E$23=""),"",IF(COUNTIFS('AFA Rates'!$A$5:$A$1004,$A271,'AFA Rates'!$B$5:$B$1004,E$23,'AFA Rates'!$O$5:$O$1004,"&lt;&gt;Expired")&gt;0,"✓",IF(COUNTIFS('AFA Rates'!$A$5:$A$1004,$A271,'AFA Rates'!$B$5:$B$1004,E$23)&gt;0,"Exp","")))</f>
        <v/>
      </c>
      <c r="F271" s="79">
        <f>IF(OR($A271="",F$23=""),"",IF(COUNTIFS('AFA Rates'!$A$5:$A$1004,$A271,'AFA Rates'!$B$5:$B$1004,F$23,'AFA Rates'!$O$5:$O$1004,"&lt;&gt;Expired")&gt;0,"✓",IF(COUNTIFS('AFA Rates'!$A$5:$A$1004,$A271,'AFA Rates'!$B$5:$B$1004,F$23)&gt;0,"Exp","")))</f>
        <v/>
      </c>
      <c r="G271" s="79">
        <f>IF(OR($A271="",G$23=""),"",IF(COUNTIFS('AFA Rates'!$A$5:$A$1004,$A271,'AFA Rates'!$B$5:$B$1004,G$23,'AFA Rates'!$O$5:$O$1004,"&lt;&gt;Expired")&gt;0,"✓",IF(COUNTIFS('AFA Rates'!$A$5:$A$1004,$A271,'AFA Rates'!$B$5:$B$1004,G$23)&gt;0,"Exp","")))</f>
        <v/>
      </c>
      <c r="H271" s="79">
        <f>IF(OR($A271="",H$23=""),"",IF(COUNTIFS('AFA Rates'!$A$5:$A$1004,$A271,'AFA Rates'!$B$5:$B$1004,H$23,'AFA Rates'!$O$5:$O$1004,"&lt;&gt;Expired")&gt;0,"✓",IF(COUNTIFS('AFA Rates'!$A$5:$A$1004,$A271,'AFA Rates'!$B$5:$B$1004,H$23)&gt;0,"Exp","")))</f>
        <v/>
      </c>
      <c r="I271" s="79">
        <f>IF(OR($A271="",I$23=""),"",IF(COUNTIFS('AFA Rates'!$A$5:$A$1004,$A271,'AFA Rates'!$B$5:$B$1004,I$23,'AFA Rates'!$O$5:$O$1004,"&lt;&gt;Expired")&gt;0,"✓",IF(COUNTIFS('AFA Rates'!$A$5:$A$1004,$A271,'AFA Rates'!$B$5:$B$1004,I$23)&gt;0,"Exp","")))</f>
        <v/>
      </c>
      <c r="J271" s="79">
        <f>IF(OR($A271="",J$23=""),"",IF(COUNTIFS('AFA Rates'!$A$5:$A$1004,$A271,'AFA Rates'!$B$5:$B$1004,J$23,'AFA Rates'!$O$5:$O$1004,"&lt;&gt;Expired")&gt;0,"✓",IF(COUNTIFS('AFA Rates'!$A$5:$A$1004,$A271,'AFA Rates'!$B$5:$B$1004,J$23)&gt;0,"Exp","")))</f>
        <v/>
      </c>
      <c r="K271" s="79">
        <f>IF(OR($A271="",K$23=""),"",IF(COUNTIFS('AFA Rates'!$A$5:$A$1004,$A271,'AFA Rates'!$B$5:$B$1004,K$23,'AFA Rates'!$O$5:$O$1004,"&lt;&gt;Expired")&gt;0,"✓",IF(COUNTIFS('AFA Rates'!$A$5:$A$1004,$A271,'AFA Rates'!$B$5:$B$1004,K$23)&gt;0,"Exp","")))</f>
        <v/>
      </c>
      <c r="L271" s="79">
        <f>IF(OR($A271="",L$23=""),"",IF(COUNTIFS('AFA Rates'!$A$5:$A$1004,$A271,'AFA Rates'!$B$5:$B$1004,L$23,'AFA Rates'!$O$5:$O$1004,"&lt;&gt;Expired")&gt;0,"✓",IF(COUNTIFS('AFA Rates'!$A$5:$A$1004,$A271,'AFA Rates'!$B$5:$B$1004,L$23)&gt;0,"Exp","")))</f>
        <v/>
      </c>
      <c r="M271" s="79">
        <f>IF(OR($A271="",M$23=""),"",IF(COUNTIFS('AFA Rates'!$A$5:$A$1004,$A271,'AFA Rates'!$B$5:$B$1004,M$23,'AFA Rates'!$O$5:$O$1004,"&lt;&gt;Expired")&gt;0,"✓",IF(COUNTIFS('AFA Rates'!$A$5:$A$1004,$A271,'AFA Rates'!$B$5:$B$1004,M$23)&gt;0,"Exp","")))</f>
        <v/>
      </c>
    </row>
    <row r="272">
      <c r="A272" s="78">
        <f>IFERROR(INDEX(Firms!$A$5:$A$1004,MATCH(249,Firms!$V$5:$V$1004,0)),"")</f>
        <v/>
      </c>
      <c r="B272" s="79">
        <f>IF($A272="","",INDEX(Firms!$B$5:$B$1004,MATCH(249,Firms!$V$5:$V$1004,0)))</f>
        <v/>
      </c>
      <c r="C272" s="79">
        <f>IF($A272="","",COUNTIFS('AFA Rates'!$A$5:$A$1004,$A272,'AFA Rates'!$O$5:$O$1004,"&lt;&gt;Expired"))</f>
        <v/>
      </c>
      <c r="D272" s="79">
        <f>IF(OR($A272="",D$23=""),"",IF(COUNTIFS('AFA Rates'!$A$5:$A$1004,$A272,'AFA Rates'!$B$5:$B$1004,D$23,'AFA Rates'!$O$5:$O$1004,"&lt;&gt;Expired")&gt;0,"✓",IF(COUNTIFS('AFA Rates'!$A$5:$A$1004,$A272,'AFA Rates'!$B$5:$B$1004,D$23)&gt;0,"Exp","")))</f>
        <v/>
      </c>
      <c r="E272" s="79">
        <f>IF(OR($A272="",E$23=""),"",IF(COUNTIFS('AFA Rates'!$A$5:$A$1004,$A272,'AFA Rates'!$B$5:$B$1004,E$23,'AFA Rates'!$O$5:$O$1004,"&lt;&gt;Expired")&gt;0,"✓",IF(COUNTIFS('AFA Rates'!$A$5:$A$1004,$A272,'AFA Rates'!$B$5:$B$1004,E$23)&gt;0,"Exp","")))</f>
        <v/>
      </c>
      <c r="F272" s="79">
        <f>IF(OR($A272="",F$23=""),"",IF(COUNTIFS('AFA Rates'!$A$5:$A$1004,$A272,'AFA Rates'!$B$5:$B$1004,F$23,'AFA Rates'!$O$5:$O$1004,"&lt;&gt;Expired")&gt;0,"✓",IF(COUNTIFS('AFA Rates'!$A$5:$A$1004,$A272,'AFA Rates'!$B$5:$B$1004,F$23)&gt;0,"Exp","")))</f>
        <v/>
      </c>
      <c r="G272" s="79">
        <f>IF(OR($A272="",G$23=""),"",IF(COUNTIFS('AFA Rates'!$A$5:$A$1004,$A272,'AFA Rates'!$B$5:$B$1004,G$23,'AFA Rates'!$O$5:$O$1004,"&lt;&gt;Expired")&gt;0,"✓",IF(COUNTIFS('AFA Rates'!$A$5:$A$1004,$A272,'AFA Rates'!$B$5:$B$1004,G$23)&gt;0,"Exp","")))</f>
        <v/>
      </c>
      <c r="H272" s="79">
        <f>IF(OR($A272="",H$23=""),"",IF(COUNTIFS('AFA Rates'!$A$5:$A$1004,$A272,'AFA Rates'!$B$5:$B$1004,H$23,'AFA Rates'!$O$5:$O$1004,"&lt;&gt;Expired")&gt;0,"✓",IF(COUNTIFS('AFA Rates'!$A$5:$A$1004,$A272,'AFA Rates'!$B$5:$B$1004,H$23)&gt;0,"Exp","")))</f>
        <v/>
      </c>
      <c r="I272" s="79">
        <f>IF(OR($A272="",I$23=""),"",IF(COUNTIFS('AFA Rates'!$A$5:$A$1004,$A272,'AFA Rates'!$B$5:$B$1004,I$23,'AFA Rates'!$O$5:$O$1004,"&lt;&gt;Expired")&gt;0,"✓",IF(COUNTIFS('AFA Rates'!$A$5:$A$1004,$A272,'AFA Rates'!$B$5:$B$1004,I$23)&gt;0,"Exp","")))</f>
        <v/>
      </c>
      <c r="J272" s="79">
        <f>IF(OR($A272="",J$23=""),"",IF(COUNTIFS('AFA Rates'!$A$5:$A$1004,$A272,'AFA Rates'!$B$5:$B$1004,J$23,'AFA Rates'!$O$5:$O$1004,"&lt;&gt;Expired")&gt;0,"✓",IF(COUNTIFS('AFA Rates'!$A$5:$A$1004,$A272,'AFA Rates'!$B$5:$B$1004,J$23)&gt;0,"Exp","")))</f>
        <v/>
      </c>
      <c r="K272" s="79">
        <f>IF(OR($A272="",K$23=""),"",IF(COUNTIFS('AFA Rates'!$A$5:$A$1004,$A272,'AFA Rates'!$B$5:$B$1004,K$23,'AFA Rates'!$O$5:$O$1004,"&lt;&gt;Expired")&gt;0,"✓",IF(COUNTIFS('AFA Rates'!$A$5:$A$1004,$A272,'AFA Rates'!$B$5:$B$1004,K$23)&gt;0,"Exp","")))</f>
        <v/>
      </c>
      <c r="L272" s="79">
        <f>IF(OR($A272="",L$23=""),"",IF(COUNTIFS('AFA Rates'!$A$5:$A$1004,$A272,'AFA Rates'!$B$5:$B$1004,L$23,'AFA Rates'!$O$5:$O$1004,"&lt;&gt;Expired")&gt;0,"✓",IF(COUNTIFS('AFA Rates'!$A$5:$A$1004,$A272,'AFA Rates'!$B$5:$B$1004,L$23)&gt;0,"Exp","")))</f>
        <v/>
      </c>
      <c r="M272" s="79">
        <f>IF(OR($A272="",M$23=""),"",IF(COUNTIFS('AFA Rates'!$A$5:$A$1004,$A272,'AFA Rates'!$B$5:$B$1004,M$23,'AFA Rates'!$O$5:$O$1004,"&lt;&gt;Expired")&gt;0,"✓",IF(COUNTIFS('AFA Rates'!$A$5:$A$1004,$A272,'AFA Rates'!$B$5:$B$1004,M$23)&gt;0,"Exp","")))</f>
        <v/>
      </c>
    </row>
    <row r="273">
      <c r="A273" s="78">
        <f>IFERROR(INDEX(Firms!$A$5:$A$1004,MATCH(250,Firms!$V$5:$V$1004,0)),"")</f>
        <v/>
      </c>
      <c r="B273" s="79">
        <f>IF($A273="","",INDEX(Firms!$B$5:$B$1004,MATCH(250,Firms!$V$5:$V$1004,0)))</f>
        <v/>
      </c>
      <c r="C273" s="79">
        <f>IF($A273="","",COUNTIFS('AFA Rates'!$A$5:$A$1004,$A273,'AFA Rates'!$O$5:$O$1004,"&lt;&gt;Expired"))</f>
        <v/>
      </c>
      <c r="D273" s="79">
        <f>IF(OR($A273="",D$23=""),"",IF(COUNTIFS('AFA Rates'!$A$5:$A$1004,$A273,'AFA Rates'!$B$5:$B$1004,D$23,'AFA Rates'!$O$5:$O$1004,"&lt;&gt;Expired")&gt;0,"✓",IF(COUNTIFS('AFA Rates'!$A$5:$A$1004,$A273,'AFA Rates'!$B$5:$B$1004,D$23)&gt;0,"Exp","")))</f>
        <v/>
      </c>
      <c r="E273" s="79">
        <f>IF(OR($A273="",E$23=""),"",IF(COUNTIFS('AFA Rates'!$A$5:$A$1004,$A273,'AFA Rates'!$B$5:$B$1004,E$23,'AFA Rates'!$O$5:$O$1004,"&lt;&gt;Expired")&gt;0,"✓",IF(COUNTIFS('AFA Rates'!$A$5:$A$1004,$A273,'AFA Rates'!$B$5:$B$1004,E$23)&gt;0,"Exp","")))</f>
        <v/>
      </c>
      <c r="F273" s="79">
        <f>IF(OR($A273="",F$23=""),"",IF(COUNTIFS('AFA Rates'!$A$5:$A$1004,$A273,'AFA Rates'!$B$5:$B$1004,F$23,'AFA Rates'!$O$5:$O$1004,"&lt;&gt;Expired")&gt;0,"✓",IF(COUNTIFS('AFA Rates'!$A$5:$A$1004,$A273,'AFA Rates'!$B$5:$B$1004,F$23)&gt;0,"Exp","")))</f>
        <v/>
      </c>
      <c r="G273" s="79">
        <f>IF(OR($A273="",G$23=""),"",IF(COUNTIFS('AFA Rates'!$A$5:$A$1004,$A273,'AFA Rates'!$B$5:$B$1004,G$23,'AFA Rates'!$O$5:$O$1004,"&lt;&gt;Expired")&gt;0,"✓",IF(COUNTIFS('AFA Rates'!$A$5:$A$1004,$A273,'AFA Rates'!$B$5:$B$1004,G$23)&gt;0,"Exp","")))</f>
        <v/>
      </c>
      <c r="H273" s="79">
        <f>IF(OR($A273="",H$23=""),"",IF(COUNTIFS('AFA Rates'!$A$5:$A$1004,$A273,'AFA Rates'!$B$5:$B$1004,H$23,'AFA Rates'!$O$5:$O$1004,"&lt;&gt;Expired")&gt;0,"✓",IF(COUNTIFS('AFA Rates'!$A$5:$A$1004,$A273,'AFA Rates'!$B$5:$B$1004,H$23)&gt;0,"Exp","")))</f>
        <v/>
      </c>
      <c r="I273" s="79">
        <f>IF(OR($A273="",I$23=""),"",IF(COUNTIFS('AFA Rates'!$A$5:$A$1004,$A273,'AFA Rates'!$B$5:$B$1004,I$23,'AFA Rates'!$O$5:$O$1004,"&lt;&gt;Expired")&gt;0,"✓",IF(COUNTIFS('AFA Rates'!$A$5:$A$1004,$A273,'AFA Rates'!$B$5:$B$1004,I$23)&gt;0,"Exp","")))</f>
        <v/>
      </c>
      <c r="J273" s="79">
        <f>IF(OR($A273="",J$23=""),"",IF(COUNTIFS('AFA Rates'!$A$5:$A$1004,$A273,'AFA Rates'!$B$5:$B$1004,J$23,'AFA Rates'!$O$5:$O$1004,"&lt;&gt;Expired")&gt;0,"✓",IF(COUNTIFS('AFA Rates'!$A$5:$A$1004,$A273,'AFA Rates'!$B$5:$B$1004,J$23)&gt;0,"Exp","")))</f>
        <v/>
      </c>
      <c r="K273" s="79">
        <f>IF(OR($A273="",K$23=""),"",IF(COUNTIFS('AFA Rates'!$A$5:$A$1004,$A273,'AFA Rates'!$B$5:$B$1004,K$23,'AFA Rates'!$O$5:$O$1004,"&lt;&gt;Expired")&gt;0,"✓",IF(COUNTIFS('AFA Rates'!$A$5:$A$1004,$A273,'AFA Rates'!$B$5:$B$1004,K$23)&gt;0,"Exp","")))</f>
        <v/>
      </c>
      <c r="L273" s="79">
        <f>IF(OR($A273="",L$23=""),"",IF(COUNTIFS('AFA Rates'!$A$5:$A$1004,$A273,'AFA Rates'!$B$5:$B$1004,L$23,'AFA Rates'!$O$5:$O$1004,"&lt;&gt;Expired")&gt;0,"✓",IF(COUNTIFS('AFA Rates'!$A$5:$A$1004,$A273,'AFA Rates'!$B$5:$B$1004,L$23)&gt;0,"Exp","")))</f>
        <v/>
      </c>
      <c r="M273" s="79">
        <f>IF(OR($A273="",M$23=""),"",IF(COUNTIFS('AFA Rates'!$A$5:$A$1004,$A273,'AFA Rates'!$B$5:$B$1004,M$23,'AFA Rates'!$O$5:$O$1004,"&lt;&gt;Expired")&gt;0,"✓",IF(COUNTIFS('AFA Rates'!$A$5:$A$1004,$A273,'AFA Rates'!$B$5:$B$1004,M$23)&gt;0,"Exp","")))</f>
        <v/>
      </c>
    </row>
    <row r="274">
      <c r="A274" s="78">
        <f>IFERROR(INDEX(Firms!$A$5:$A$1004,MATCH(251,Firms!$V$5:$V$1004,0)),"")</f>
        <v/>
      </c>
      <c r="B274" s="79">
        <f>IF($A274="","",INDEX(Firms!$B$5:$B$1004,MATCH(251,Firms!$V$5:$V$1004,0)))</f>
        <v/>
      </c>
      <c r="C274" s="79">
        <f>IF($A274="","",COUNTIFS('AFA Rates'!$A$5:$A$1004,$A274,'AFA Rates'!$O$5:$O$1004,"&lt;&gt;Expired"))</f>
        <v/>
      </c>
      <c r="D274" s="79">
        <f>IF(OR($A274="",D$23=""),"",IF(COUNTIFS('AFA Rates'!$A$5:$A$1004,$A274,'AFA Rates'!$B$5:$B$1004,D$23,'AFA Rates'!$O$5:$O$1004,"&lt;&gt;Expired")&gt;0,"✓",IF(COUNTIFS('AFA Rates'!$A$5:$A$1004,$A274,'AFA Rates'!$B$5:$B$1004,D$23)&gt;0,"Exp","")))</f>
        <v/>
      </c>
      <c r="E274" s="79">
        <f>IF(OR($A274="",E$23=""),"",IF(COUNTIFS('AFA Rates'!$A$5:$A$1004,$A274,'AFA Rates'!$B$5:$B$1004,E$23,'AFA Rates'!$O$5:$O$1004,"&lt;&gt;Expired")&gt;0,"✓",IF(COUNTIFS('AFA Rates'!$A$5:$A$1004,$A274,'AFA Rates'!$B$5:$B$1004,E$23)&gt;0,"Exp","")))</f>
        <v/>
      </c>
      <c r="F274" s="79">
        <f>IF(OR($A274="",F$23=""),"",IF(COUNTIFS('AFA Rates'!$A$5:$A$1004,$A274,'AFA Rates'!$B$5:$B$1004,F$23,'AFA Rates'!$O$5:$O$1004,"&lt;&gt;Expired")&gt;0,"✓",IF(COUNTIFS('AFA Rates'!$A$5:$A$1004,$A274,'AFA Rates'!$B$5:$B$1004,F$23)&gt;0,"Exp","")))</f>
        <v/>
      </c>
      <c r="G274" s="79">
        <f>IF(OR($A274="",G$23=""),"",IF(COUNTIFS('AFA Rates'!$A$5:$A$1004,$A274,'AFA Rates'!$B$5:$B$1004,G$23,'AFA Rates'!$O$5:$O$1004,"&lt;&gt;Expired")&gt;0,"✓",IF(COUNTIFS('AFA Rates'!$A$5:$A$1004,$A274,'AFA Rates'!$B$5:$B$1004,G$23)&gt;0,"Exp","")))</f>
        <v/>
      </c>
      <c r="H274" s="79">
        <f>IF(OR($A274="",H$23=""),"",IF(COUNTIFS('AFA Rates'!$A$5:$A$1004,$A274,'AFA Rates'!$B$5:$B$1004,H$23,'AFA Rates'!$O$5:$O$1004,"&lt;&gt;Expired")&gt;0,"✓",IF(COUNTIFS('AFA Rates'!$A$5:$A$1004,$A274,'AFA Rates'!$B$5:$B$1004,H$23)&gt;0,"Exp","")))</f>
        <v/>
      </c>
      <c r="I274" s="79">
        <f>IF(OR($A274="",I$23=""),"",IF(COUNTIFS('AFA Rates'!$A$5:$A$1004,$A274,'AFA Rates'!$B$5:$B$1004,I$23,'AFA Rates'!$O$5:$O$1004,"&lt;&gt;Expired")&gt;0,"✓",IF(COUNTIFS('AFA Rates'!$A$5:$A$1004,$A274,'AFA Rates'!$B$5:$B$1004,I$23)&gt;0,"Exp","")))</f>
        <v/>
      </c>
      <c r="J274" s="79">
        <f>IF(OR($A274="",J$23=""),"",IF(COUNTIFS('AFA Rates'!$A$5:$A$1004,$A274,'AFA Rates'!$B$5:$B$1004,J$23,'AFA Rates'!$O$5:$O$1004,"&lt;&gt;Expired")&gt;0,"✓",IF(COUNTIFS('AFA Rates'!$A$5:$A$1004,$A274,'AFA Rates'!$B$5:$B$1004,J$23)&gt;0,"Exp","")))</f>
        <v/>
      </c>
      <c r="K274" s="79">
        <f>IF(OR($A274="",K$23=""),"",IF(COUNTIFS('AFA Rates'!$A$5:$A$1004,$A274,'AFA Rates'!$B$5:$B$1004,K$23,'AFA Rates'!$O$5:$O$1004,"&lt;&gt;Expired")&gt;0,"✓",IF(COUNTIFS('AFA Rates'!$A$5:$A$1004,$A274,'AFA Rates'!$B$5:$B$1004,K$23)&gt;0,"Exp","")))</f>
        <v/>
      </c>
      <c r="L274" s="79">
        <f>IF(OR($A274="",L$23=""),"",IF(COUNTIFS('AFA Rates'!$A$5:$A$1004,$A274,'AFA Rates'!$B$5:$B$1004,L$23,'AFA Rates'!$O$5:$O$1004,"&lt;&gt;Expired")&gt;0,"✓",IF(COUNTIFS('AFA Rates'!$A$5:$A$1004,$A274,'AFA Rates'!$B$5:$B$1004,L$23)&gt;0,"Exp","")))</f>
        <v/>
      </c>
      <c r="M274" s="79">
        <f>IF(OR($A274="",M$23=""),"",IF(COUNTIFS('AFA Rates'!$A$5:$A$1004,$A274,'AFA Rates'!$B$5:$B$1004,M$23,'AFA Rates'!$O$5:$O$1004,"&lt;&gt;Expired")&gt;0,"✓",IF(COUNTIFS('AFA Rates'!$A$5:$A$1004,$A274,'AFA Rates'!$B$5:$B$1004,M$23)&gt;0,"Exp","")))</f>
        <v/>
      </c>
    </row>
    <row r="275">
      <c r="A275" s="78">
        <f>IFERROR(INDEX(Firms!$A$5:$A$1004,MATCH(252,Firms!$V$5:$V$1004,0)),"")</f>
        <v/>
      </c>
      <c r="B275" s="79">
        <f>IF($A275="","",INDEX(Firms!$B$5:$B$1004,MATCH(252,Firms!$V$5:$V$1004,0)))</f>
        <v/>
      </c>
      <c r="C275" s="79">
        <f>IF($A275="","",COUNTIFS('AFA Rates'!$A$5:$A$1004,$A275,'AFA Rates'!$O$5:$O$1004,"&lt;&gt;Expired"))</f>
        <v/>
      </c>
      <c r="D275" s="79">
        <f>IF(OR($A275="",D$23=""),"",IF(COUNTIFS('AFA Rates'!$A$5:$A$1004,$A275,'AFA Rates'!$B$5:$B$1004,D$23,'AFA Rates'!$O$5:$O$1004,"&lt;&gt;Expired")&gt;0,"✓",IF(COUNTIFS('AFA Rates'!$A$5:$A$1004,$A275,'AFA Rates'!$B$5:$B$1004,D$23)&gt;0,"Exp","")))</f>
        <v/>
      </c>
      <c r="E275" s="79">
        <f>IF(OR($A275="",E$23=""),"",IF(COUNTIFS('AFA Rates'!$A$5:$A$1004,$A275,'AFA Rates'!$B$5:$B$1004,E$23,'AFA Rates'!$O$5:$O$1004,"&lt;&gt;Expired")&gt;0,"✓",IF(COUNTIFS('AFA Rates'!$A$5:$A$1004,$A275,'AFA Rates'!$B$5:$B$1004,E$23)&gt;0,"Exp","")))</f>
        <v/>
      </c>
      <c r="F275" s="79">
        <f>IF(OR($A275="",F$23=""),"",IF(COUNTIFS('AFA Rates'!$A$5:$A$1004,$A275,'AFA Rates'!$B$5:$B$1004,F$23,'AFA Rates'!$O$5:$O$1004,"&lt;&gt;Expired")&gt;0,"✓",IF(COUNTIFS('AFA Rates'!$A$5:$A$1004,$A275,'AFA Rates'!$B$5:$B$1004,F$23)&gt;0,"Exp","")))</f>
        <v/>
      </c>
      <c r="G275" s="79">
        <f>IF(OR($A275="",G$23=""),"",IF(COUNTIFS('AFA Rates'!$A$5:$A$1004,$A275,'AFA Rates'!$B$5:$B$1004,G$23,'AFA Rates'!$O$5:$O$1004,"&lt;&gt;Expired")&gt;0,"✓",IF(COUNTIFS('AFA Rates'!$A$5:$A$1004,$A275,'AFA Rates'!$B$5:$B$1004,G$23)&gt;0,"Exp","")))</f>
        <v/>
      </c>
      <c r="H275" s="79">
        <f>IF(OR($A275="",H$23=""),"",IF(COUNTIFS('AFA Rates'!$A$5:$A$1004,$A275,'AFA Rates'!$B$5:$B$1004,H$23,'AFA Rates'!$O$5:$O$1004,"&lt;&gt;Expired")&gt;0,"✓",IF(COUNTIFS('AFA Rates'!$A$5:$A$1004,$A275,'AFA Rates'!$B$5:$B$1004,H$23)&gt;0,"Exp","")))</f>
        <v/>
      </c>
      <c r="I275" s="79">
        <f>IF(OR($A275="",I$23=""),"",IF(COUNTIFS('AFA Rates'!$A$5:$A$1004,$A275,'AFA Rates'!$B$5:$B$1004,I$23,'AFA Rates'!$O$5:$O$1004,"&lt;&gt;Expired")&gt;0,"✓",IF(COUNTIFS('AFA Rates'!$A$5:$A$1004,$A275,'AFA Rates'!$B$5:$B$1004,I$23)&gt;0,"Exp","")))</f>
        <v/>
      </c>
      <c r="J275" s="79">
        <f>IF(OR($A275="",J$23=""),"",IF(COUNTIFS('AFA Rates'!$A$5:$A$1004,$A275,'AFA Rates'!$B$5:$B$1004,J$23,'AFA Rates'!$O$5:$O$1004,"&lt;&gt;Expired")&gt;0,"✓",IF(COUNTIFS('AFA Rates'!$A$5:$A$1004,$A275,'AFA Rates'!$B$5:$B$1004,J$23)&gt;0,"Exp","")))</f>
        <v/>
      </c>
      <c r="K275" s="79">
        <f>IF(OR($A275="",K$23=""),"",IF(COUNTIFS('AFA Rates'!$A$5:$A$1004,$A275,'AFA Rates'!$B$5:$B$1004,K$23,'AFA Rates'!$O$5:$O$1004,"&lt;&gt;Expired")&gt;0,"✓",IF(COUNTIFS('AFA Rates'!$A$5:$A$1004,$A275,'AFA Rates'!$B$5:$B$1004,K$23)&gt;0,"Exp","")))</f>
        <v/>
      </c>
      <c r="L275" s="79">
        <f>IF(OR($A275="",L$23=""),"",IF(COUNTIFS('AFA Rates'!$A$5:$A$1004,$A275,'AFA Rates'!$B$5:$B$1004,L$23,'AFA Rates'!$O$5:$O$1004,"&lt;&gt;Expired")&gt;0,"✓",IF(COUNTIFS('AFA Rates'!$A$5:$A$1004,$A275,'AFA Rates'!$B$5:$B$1004,L$23)&gt;0,"Exp","")))</f>
        <v/>
      </c>
      <c r="M275" s="79">
        <f>IF(OR($A275="",M$23=""),"",IF(COUNTIFS('AFA Rates'!$A$5:$A$1004,$A275,'AFA Rates'!$B$5:$B$1004,M$23,'AFA Rates'!$O$5:$O$1004,"&lt;&gt;Expired")&gt;0,"✓",IF(COUNTIFS('AFA Rates'!$A$5:$A$1004,$A275,'AFA Rates'!$B$5:$B$1004,M$23)&gt;0,"Exp","")))</f>
        <v/>
      </c>
    </row>
    <row r="276">
      <c r="A276" s="78">
        <f>IFERROR(INDEX(Firms!$A$5:$A$1004,MATCH(253,Firms!$V$5:$V$1004,0)),"")</f>
        <v/>
      </c>
      <c r="B276" s="79">
        <f>IF($A276="","",INDEX(Firms!$B$5:$B$1004,MATCH(253,Firms!$V$5:$V$1004,0)))</f>
        <v/>
      </c>
      <c r="C276" s="79">
        <f>IF($A276="","",COUNTIFS('AFA Rates'!$A$5:$A$1004,$A276,'AFA Rates'!$O$5:$O$1004,"&lt;&gt;Expired"))</f>
        <v/>
      </c>
      <c r="D276" s="79">
        <f>IF(OR($A276="",D$23=""),"",IF(COUNTIFS('AFA Rates'!$A$5:$A$1004,$A276,'AFA Rates'!$B$5:$B$1004,D$23,'AFA Rates'!$O$5:$O$1004,"&lt;&gt;Expired")&gt;0,"✓",IF(COUNTIFS('AFA Rates'!$A$5:$A$1004,$A276,'AFA Rates'!$B$5:$B$1004,D$23)&gt;0,"Exp","")))</f>
        <v/>
      </c>
      <c r="E276" s="79">
        <f>IF(OR($A276="",E$23=""),"",IF(COUNTIFS('AFA Rates'!$A$5:$A$1004,$A276,'AFA Rates'!$B$5:$B$1004,E$23,'AFA Rates'!$O$5:$O$1004,"&lt;&gt;Expired")&gt;0,"✓",IF(COUNTIFS('AFA Rates'!$A$5:$A$1004,$A276,'AFA Rates'!$B$5:$B$1004,E$23)&gt;0,"Exp","")))</f>
        <v/>
      </c>
      <c r="F276" s="79">
        <f>IF(OR($A276="",F$23=""),"",IF(COUNTIFS('AFA Rates'!$A$5:$A$1004,$A276,'AFA Rates'!$B$5:$B$1004,F$23,'AFA Rates'!$O$5:$O$1004,"&lt;&gt;Expired")&gt;0,"✓",IF(COUNTIFS('AFA Rates'!$A$5:$A$1004,$A276,'AFA Rates'!$B$5:$B$1004,F$23)&gt;0,"Exp","")))</f>
        <v/>
      </c>
      <c r="G276" s="79">
        <f>IF(OR($A276="",G$23=""),"",IF(COUNTIFS('AFA Rates'!$A$5:$A$1004,$A276,'AFA Rates'!$B$5:$B$1004,G$23,'AFA Rates'!$O$5:$O$1004,"&lt;&gt;Expired")&gt;0,"✓",IF(COUNTIFS('AFA Rates'!$A$5:$A$1004,$A276,'AFA Rates'!$B$5:$B$1004,G$23)&gt;0,"Exp","")))</f>
        <v/>
      </c>
      <c r="H276" s="79">
        <f>IF(OR($A276="",H$23=""),"",IF(COUNTIFS('AFA Rates'!$A$5:$A$1004,$A276,'AFA Rates'!$B$5:$B$1004,H$23,'AFA Rates'!$O$5:$O$1004,"&lt;&gt;Expired")&gt;0,"✓",IF(COUNTIFS('AFA Rates'!$A$5:$A$1004,$A276,'AFA Rates'!$B$5:$B$1004,H$23)&gt;0,"Exp","")))</f>
        <v/>
      </c>
      <c r="I276" s="79">
        <f>IF(OR($A276="",I$23=""),"",IF(COUNTIFS('AFA Rates'!$A$5:$A$1004,$A276,'AFA Rates'!$B$5:$B$1004,I$23,'AFA Rates'!$O$5:$O$1004,"&lt;&gt;Expired")&gt;0,"✓",IF(COUNTIFS('AFA Rates'!$A$5:$A$1004,$A276,'AFA Rates'!$B$5:$B$1004,I$23)&gt;0,"Exp","")))</f>
        <v/>
      </c>
      <c r="J276" s="79">
        <f>IF(OR($A276="",J$23=""),"",IF(COUNTIFS('AFA Rates'!$A$5:$A$1004,$A276,'AFA Rates'!$B$5:$B$1004,J$23,'AFA Rates'!$O$5:$O$1004,"&lt;&gt;Expired")&gt;0,"✓",IF(COUNTIFS('AFA Rates'!$A$5:$A$1004,$A276,'AFA Rates'!$B$5:$B$1004,J$23)&gt;0,"Exp","")))</f>
        <v/>
      </c>
      <c r="K276" s="79">
        <f>IF(OR($A276="",K$23=""),"",IF(COUNTIFS('AFA Rates'!$A$5:$A$1004,$A276,'AFA Rates'!$B$5:$B$1004,K$23,'AFA Rates'!$O$5:$O$1004,"&lt;&gt;Expired")&gt;0,"✓",IF(COUNTIFS('AFA Rates'!$A$5:$A$1004,$A276,'AFA Rates'!$B$5:$B$1004,K$23)&gt;0,"Exp","")))</f>
        <v/>
      </c>
      <c r="L276" s="79">
        <f>IF(OR($A276="",L$23=""),"",IF(COUNTIFS('AFA Rates'!$A$5:$A$1004,$A276,'AFA Rates'!$B$5:$B$1004,L$23,'AFA Rates'!$O$5:$O$1004,"&lt;&gt;Expired")&gt;0,"✓",IF(COUNTIFS('AFA Rates'!$A$5:$A$1004,$A276,'AFA Rates'!$B$5:$B$1004,L$23)&gt;0,"Exp","")))</f>
        <v/>
      </c>
      <c r="M276" s="79">
        <f>IF(OR($A276="",M$23=""),"",IF(COUNTIFS('AFA Rates'!$A$5:$A$1004,$A276,'AFA Rates'!$B$5:$B$1004,M$23,'AFA Rates'!$O$5:$O$1004,"&lt;&gt;Expired")&gt;0,"✓",IF(COUNTIFS('AFA Rates'!$A$5:$A$1004,$A276,'AFA Rates'!$B$5:$B$1004,M$23)&gt;0,"Exp","")))</f>
        <v/>
      </c>
    </row>
    <row r="277">
      <c r="A277" s="78">
        <f>IFERROR(INDEX(Firms!$A$5:$A$1004,MATCH(254,Firms!$V$5:$V$1004,0)),"")</f>
        <v/>
      </c>
      <c r="B277" s="79">
        <f>IF($A277="","",INDEX(Firms!$B$5:$B$1004,MATCH(254,Firms!$V$5:$V$1004,0)))</f>
        <v/>
      </c>
      <c r="C277" s="79">
        <f>IF($A277="","",COUNTIFS('AFA Rates'!$A$5:$A$1004,$A277,'AFA Rates'!$O$5:$O$1004,"&lt;&gt;Expired"))</f>
        <v/>
      </c>
      <c r="D277" s="79">
        <f>IF(OR($A277="",D$23=""),"",IF(COUNTIFS('AFA Rates'!$A$5:$A$1004,$A277,'AFA Rates'!$B$5:$B$1004,D$23,'AFA Rates'!$O$5:$O$1004,"&lt;&gt;Expired")&gt;0,"✓",IF(COUNTIFS('AFA Rates'!$A$5:$A$1004,$A277,'AFA Rates'!$B$5:$B$1004,D$23)&gt;0,"Exp","")))</f>
        <v/>
      </c>
      <c r="E277" s="79">
        <f>IF(OR($A277="",E$23=""),"",IF(COUNTIFS('AFA Rates'!$A$5:$A$1004,$A277,'AFA Rates'!$B$5:$B$1004,E$23,'AFA Rates'!$O$5:$O$1004,"&lt;&gt;Expired")&gt;0,"✓",IF(COUNTIFS('AFA Rates'!$A$5:$A$1004,$A277,'AFA Rates'!$B$5:$B$1004,E$23)&gt;0,"Exp","")))</f>
        <v/>
      </c>
      <c r="F277" s="79">
        <f>IF(OR($A277="",F$23=""),"",IF(COUNTIFS('AFA Rates'!$A$5:$A$1004,$A277,'AFA Rates'!$B$5:$B$1004,F$23,'AFA Rates'!$O$5:$O$1004,"&lt;&gt;Expired")&gt;0,"✓",IF(COUNTIFS('AFA Rates'!$A$5:$A$1004,$A277,'AFA Rates'!$B$5:$B$1004,F$23)&gt;0,"Exp","")))</f>
        <v/>
      </c>
      <c r="G277" s="79">
        <f>IF(OR($A277="",G$23=""),"",IF(COUNTIFS('AFA Rates'!$A$5:$A$1004,$A277,'AFA Rates'!$B$5:$B$1004,G$23,'AFA Rates'!$O$5:$O$1004,"&lt;&gt;Expired")&gt;0,"✓",IF(COUNTIFS('AFA Rates'!$A$5:$A$1004,$A277,'AFA Rates'!$B$5:$B$1004,G$23)&gt;0,"Exp","")))</f>
        <v/>
      </c>
      <c r="H277" s="79">
        <f>IF(OR($A277="",H$23=""),"",IF(COUNTIFS('AFA Rates'!$A$5:$A$1004,$A277,'AFA Rates'!$B$5:$B$1004,H$23,'AFA Rates'!$O$5:$O$1004,"&lt;&gt;Expired")&gt;0,"✓",IF(COUNTIFS('AFA Rates'!$A$5:$A$1004,$A277,'AFA Rates'!$B$5:$B$1004,H$23)&gt;0,"Exp","")))</f>
        <v/>
      </c>
      <c r="I277" s="79">
        <f>IF(OR($A277="",I$23=""),"",IF(COUNTIFS('AFA Rates'!$A$5:$A$1004,$A277,'AFA Rates'!$B$5:$B$1004,I$23,'AFA Rates'!$O$5:$O$1004,"&lt;&gt;Expired")&gt;0,"✓",IF(COUNTIFS('AFA Rates'!$A$5:$A$1004,$A277,'AFA Rates'!$B$5:$B$1004,I$23)&gt;0,"Exp","")))</f>
        <v/>
      </c>
      <c r="J277" s="79">
        <f>IF(OR($A277="",J$23=""),"",IF(COUNTIFS('AFA Rates'!$A$5:$A$1004,$A277,'AFA Rates'!$B$5:$B$1004,J$23,'AFA Rates'!$O$5:$O$1004,"&lt;&gt;Expired")&gt;0,"✓",IF(COUNTIFS('AFA Rates'!$A$5:$A$1004,$A277,'AFA Rates'!$B$5:$B$1004,J$23)&gt;0,"Exp","")))</f>
        <v/>
      </c>
      <c r="K277" s="79">
        <f>IF(OR($A277="",K$23=""),"",IF(COUNTIFS('AFA Rates'!$A$5:$A$1004,$A277,'AFA Rates'!$B$5:$B$1004,K$23,'AFA Rates'!$O$5:$O$1004,"&lt;&gt;Expired")&gt;0,"✓",IF(COUNTIFS('AFA Rates'!$A$5:$A$1004,$A277,'AFA Rates'!$B$5:$B$1004,K$23)&gt;0,"Exp","")))</f>
        <v/>
      </c>
      <c r="L277" s="79">
        <f>IF(OR($A277="",L$23=""),"",IF(COUNTIFS('AFA Rates'!$A$5:$A$1004,$A277,'AFA Rates'!$B$5:$B$1004,L$23,'AFA Rates'!$O$5:$O$1004,"&lt;&gt;Expired")&gt;0,"✓",IF(COUNTIFS('AFA Rates'!$A$5:$A$1004,$A277,'AFA Rates'!$B$5:$B$1004,L$23)&gt;0,"Exp","")))</f>
        <v/>
      </c>
      <c r="M277" s="79">
        <f>IF(OR($A277="",M$23=""),"",IF(COUNTIFS('AFA Rates'!$A$5:$A$1004,$A277,'AFA Rates'!$B$5:$B$1004,M$23,'AFA Rates'!$O$5:$O$1004,"&lt;&gt;Expired")&gt;0,"✓",IF(COUNTIFS('AFA Rates'!$A$5:$A$1004,$A277,'AFA Rates'!$B$5:$B$1004,M$23)&gt;0,"Exp","")))</f>
        <v/>
      </c>
    </row>
    <row r="278">
      <c r="A278" s="78">
        <f>IFERROR(INDEX(Firms!$A$5:$A$1004,MATCH(255,Firms!$V$5:$V$1004,0)),"")</f>
        <v/>
      </c>
      <c r="B278" s="79">
        <f>IF($A278="","",INDEX(Firms!$B$5:$B$1004,MATCH(255,Firms!$V$5:$V$1004,0)))</f>
        <v/>
      </c>
      <c r="C278" s="79">
        <f>IF($A278="","",COUNTIFS('AFA Rates'!$A$5:$A$1004,$A278,'AFA Rates'!$O$5:$O$1004,"&lt;&gt;Expired"))</f>
        <v/>
      </c>
      <c r="D278" s="79">
        <f>IF(OR($A278="",D$23=""),"",IF(COUNTIFS('AFA Rates'!$A$5:$A$1004,$A278,'AFA Rates'!$B$5:$B$1004,D$23,'AFA Rates'!$O$5:$O$1004,"&lt;&gt;Expired")&gt;0,"✓",IF(COUNTIFS('AFA Rates'!$A$5:$A$1004,$A278,'AFA Rates'!$B$5:$B$1004,D$23)&gt;0,"Exp","")))</f>
        <v/>
      </c>
      <c r="E278" s="79">
        <f>IF(OR($A278="",E$23=""),"",IF(COUNTIFS('AFA Rates'!$A$5:$A$1004,$A278,'AFA Rates'!$B$5:$B$1004,E$23,'AFA Rates'!$O$5:$O$1004,"&lt;&gt;Expired")&gt;0,"✓",IF(COUNTIFS('AFA Rates'!$A$5:$A$1004,$A278,'AFA Rates'!$B$5:$B$1004,E$23)&gt;0,"Exp","")))</f>
        <v/>
      </c>
      <c r="F278" s="79">
        <f>IF(OR($A278="",F$23=""),"",IF(COUNTIFS('AFA Rates'!$A$5:$A$1004,$A278,'AFA Rates'!$B$5:$B$1004,F$23,'AFA Rates'!$O$5:$O$1004,"&lt;&gt;Expired")&gt;0,"✓",IF(COUNTIFS('AFA Rates'!$A$5:$A$1004,$A278,'AFA Rates'!$B$5:$B$1004,F$23)&gt;0,"Exp","")))</f>
        <v/>
      </c>
      <c r="G278" s="79">
        <f>IF(OR($A278="",G$23=""),"",IF(COUNTIFS('AFA Rates'!$A$5:$A$1004,$A278,'AFA Rates'!$B$5:$B$1004,G$23,'AFA Rates'!$O$5:$O$1004,"&lt;&gt;Expired")&gt;0,"✓",IF(COUNTIFS('AFA Rates'!$A$5:$A$1004,$A278,'AFA Rates'!$B$5:$B$1004,G$23)&gt;0,"Exp","")))</f>
        <v/>
      </c>
      <c r="H278" s="79">
        <f>IF(OR($A278="",H$23=""),"",IF(COUNTIFS('AFA Rates'!$A$5:$A$1004,$A278,'AFA Rates'!$B$5:$B$1004,H$23,'AFA Rates'!$O$5:$O$1004,"&lt;&gt;Expired")&gt;0,"✓",IF(COUNTIFS('AFA Rates'!$A$5:$A$1004,$A278,'AFA Rates'!$B$5:$B$1004,H$23)&gt;0,"Exp","")))</f>
        <v/>
      </c>
      <c r="I278" s="79">
        <f>IF(OR($A278="",I$23=""),"",IF(COUNTIFS('AFA Rates'!$A$5:$A$1004,$A278,'AFA Rates'!$B$5:$B$1004,I$23,'AFA Rates'!$O$5:$O$1004,"&lt;&gt;Expired")&gt;0,"✓",IF(COUNTIFS('AFA Rates'!$A$5:$A$1004,$A278,'AFA Rates'!$B$5:$B$1004,I$23)&gt;0,"Exp","")))</f>
        <v/>
      </c>
      <c r="J278" s="79">
        <f>IF(OR($A278="",J$23=""),"",IF(COUNTIFS('AFA Rates'!$A$5:$A$1004,$A278,'AFA Rates'!$B$5:$B$1004,J$23,'AFA Rates'!$O$5:$O$1004,"&lt;&gt;Expired")&gt;0,"✓",IF(COUNTIFS('AFA Rates'!$A$5:$A$1004,$A278,'AFA Rates'!$B$5:$B$1004,J$23)&gt;0,"Exp","")))</f>
        <v/>
      </c>
      <c r="K278" s="79">
        <f>IF(OR($A278="",K$23=""),"",IF(COUNTIFS('AFA Rates'!$A$5:$A$1004,$A278,'AFA Rates'!$B$5:$B$1004,K$23,'AFA Rates'!$O$5:$O$1004,"&lt;&gt;Expired")&gt;0,"✓",IF(COUNTIFS('AFA Rates'!$A$5:$A$1004,$A278,'AFA Rates'!$B$5:$B$1004,K$23)&gt;0,"Exp","")))</f>
        <v/>
      </c>
      <c r="L278" s="79">
        <f>IF(OR($A278="",L$23=""),"",IF(COUNTIFS('AFA Rates'!$A$5:$A$1004,$A278,'AFA Rates'!$B$5:$B$1004,L$23,'AFA Rates'!$O$5:$O$1004,"&lt;&gt;Expired")&gt;0,"✓",IF(COUNTIFS('AFA Rates'!$A$5:$A$1004,$A278,'AFA Rates'!$B$5:$B$1004,L$23)&gt;0,"Exp","")))</f>
        <v/>
      </c>
      <c r="M278" s="79">
        <f>IF(OR($A278="",M$23=""),"",IF(COUNTIFS('AFA Rates'!$A$5:$A$1004,$A278,'AFA Rates'!$B$5:$B$1004,M$23,'AFA Rates'!$O$5:$O$1004,"&lt;&gt;Expired")&gt;0,"✓",IF(COUNTIFS('AFA Rates'!$A$5:$A$1004,$A278,'AFA Rates'!$B$5:$B$1004,M$23)&gt;0,"Exp","")))</f>
        <v/>
      </c>
    </row>
    <row r="279">
      <c r="A279" s="78">
        <f>IFERROR(INDEX(Firms!$A$5:$A$1004,MATCH(256,Firms!$V$5:$V$1004,0)),"")</f>
        <v/>
      </c>
      <c r="B279" s="79">
        <f>IF($A279="","",INDEX(Firms!$B$5:$B$1004,MATCH(256,Firms!$V$5:$V$1004,0)))</f>
        <v/>
      </c>
      <c r="C279" s="79">
        <f>IF($A279="","",COUNTIFS('AFA Rates'!$A$5:$A$1004,$A279,'AFA Rates'!$O$5:$O$1004,"&lt;&gt;Expired"))</f>
        <v/>
      </c>
      <c r="D279" s="79">
        <f>IF(OR($A279="",D$23=""),"",IF(COUNTIFS('AFA Rates'!$A$5:$A$1004,$A279,'AFA Rates'!$B$5:$B$1004,D$23,'AFA Rates'!$O$5:$O$1004,"&lt;&gt;Expired")&gt;0,"✓",IF(COUNTIFS('AFA Rates'!$A$5:$A$1004,$A279,'AFA Rates'!$B$5:$B$1004,D$23)&gt;0,"Exp","")))</f>
        <v/>
      </c>
      <c r="E279" s="79">
        <f>IF(OR($A279="",E$23=""),"",IF(COUNTIFS('AFA Rates'!$A$5:$A$1004,$A279,'AFA Rates'!$B$5:$B$1004,E$23,'AFA Rates'!$O$5:$O$1004,"&lt;&gt;Expired")&gt;0,"✓",IF(COUNTIFS('AFA Rates'!$A$5:$A$1004,$A279,'AFA Rates'!$B$5:$B$1004,E$23)&gt;0,"Exp","")))</f>
        <v/>
      </c>
      <c r="F279" s="79">
        <f>IF(OR($A279="",F$23=""),"",IF(COUNTIFS('AFA Rates'!$A$5:$A$1004,$A279,'AFA Rates'!$B$5:$B$1004,F$23,'AFA Rates'!$O$5:$O$1004,"&lt;&gt;Expired")&gt;0,"✓",IF(COUNTIFS('AFA Rates'!$A$5:$A$1004,$A279,'AFA Rates'!$B$5:$B$1004,F$23)&gt;0,"Exp","")))</f>
        <v/>
      </c>
      <c r="G279" s="79">
        <f>IF(OR($A279="",G$23=""),"",IF(COUNTIFS('AFA Rates'!$A$5:$A$1004,$A279,'AFA Rates'!$B$5:$B$1004,G$23,'AFA Rates'!$O$5:$O$1004,"&lt;&gt;Expired")&gt;0,"✓",IF(COUNTIFS('AFA Rates'!$A$5:$A$1004,$A279,'AFA Rates'!$B$5:$B$1004,G$23)&gt;0,"Exp","")))</f>
        <v/>
      </c>
      <c r="H279" s="79">
        <f>IF(OR($A279="",H$23=""),"",IF(COUNTIFS('AFA Rates'!$A$5:$A$1004,$A279,'AFA Rates'!$B$5:$B$1004,H$23,'AFA Rates'!$O$5:$O$1004,"&lt;&gt;Expired")&gt;0,"✓",IF(COUNTIFS('AFA Rates'!$A$5:$A$1004,$A279,'AFA Rates'!$B$5:$B$1004,H$23)&gt;0,"Exp","")))</f>
        <v/>
      </c>
      <c r="I279" s="79">
        <f>IF(OR($A279="",I$23=""),"",IF(COUNTIFS('AFA Rates'!$A$5:$A$1004,$A279,'AFA Rates'!$B$5:$B$1004,I$23,'AFA Rates'!$O$5:$O$1004,"&lt;&gt;Expired")&gt;0,"✓",IF(COUNTIFS('AFA Rates'!$A$5:$A$1004,$A279,'AFA Rates'!$B$5:$B$1004,I$23)&gt;0,"Exp","")))</f>
        <v/>
      </c>
      <c r="J279" s="79">
        <f>IF(OR($A279="",J$23=""),"",IF(COUNTIFS('AFA Rates'!$A$5:$A$1004,$A279,'AFA Rates'!$B$5:$B$1004,J$23,'AFA Rates'!$O$5:$O$1004,"&lt;&gt;Expired")&gt;0,"✓",IF(COUNTIFS('AFA Rates'!$A$5:$A$1004,$A279,'AFA Rates'!$B$5:$B$1004,J$23)&gt;0,"Exp","")))</f>
        <v/>
      </c>
      <c r="K279" s="79">
        <f>IF(OR($A279="",K$23=""),"",IF(COUNTIFS('AFA Rates'!$A$5:$A$1004,$A279,'AFA Rates'!$B$5:$B$1004,K$23,'AFA Rates'!$O$5:$O$1004,"&lt;&gt;Expired")&gt;0,"✓",IF(COUNTIFS('AFA Rates'!$A$5:$A$1004,$A279,'AFA Rates'!$B$5:$B$1004,K$23)&gt;0,"Exp","")))</f>
        <v/>
      </c>
      <c r="L279" s="79">
        <f>IF(OR($A279="",L$23=""),"",IF(COUNTIFS('AFA Rates'!$A$5:$A$1004,$A279,'AFA Rates'!$B$5:$B$1004,L$23,'AFA Rates'!$O$5:$O$1004,"&lt;&gt;Expired")&gt;0,"✓",IF(COUNTIFS('AFA Rates'!$A$5:$A$1004,$A279,'AFA Rates'!$B$5:$B$1004,L$23)&gt;0,"Exp","")))</f>
        <v/>
      </c>
      <c r="M279" s="79">
        <f>IF(OR($A279="",M$23=""),"",IF(COUNTIFS('AFA Rates'!$A$5:$A$1004,$A279,'AFA Rates'!$B$5:$B$1004,M$23,'AFA Rates'!$O$5:$O$1004,"&lt;&gt;Expired")&gt;0,"✓",IF(COUNTIFS('AFA Rates'!$A$5:$A$1004,$A279,'AFA Rates'!$B$5:$B$1004,M$23)&gt;0,"Exp","")))</f>
        <v/>
      </c>
    </row>
    <row r="280">
      <c r="A280" s="78">
        <f>IFERROR(INDEX(Firms!$A$5:$A$1004,MATCH(257,Firms!$V$5:$V$1004,0)),"")</f>
        <v/>
      </c>
      <c r="B280" s="79">
        <f>IF($A280="","",INDEX(Firms!$B$5:$B$1004,MATCH(257,Firms!$V$5:$V$1004,0)))</f>
        <v/>
      </c>
      <c r="C280" s="79">
        <f>IF($A280="","",COUNTIFS('AFA Rates'!$A$5:$A$1004,$A280,'AFA Rates'!$O$5:$O$1004,"&lt;&gt;Expired"))</f>
        <v/>
      </c>
      <c r="D280" s="79">
        <f>IF(OR($A280="",D$23=""),"",IF(COUNTIFS('AFA Rates'!$A$5:$A$1004,$A280,'AFA Rates'!$B$5:$B$1004,D$23,'AFA Rates'!$O$5:$O$1004,"&lt;&gt;Expired")&gt;0,"✓",IF(COUNTIFS('AFA Rates'!$A$5:$A$1004,$A280,'AFA Rates'!$B$5:$B$1004,D$23)&gt;0,"Exp","")))</f>
        <v/>
      </c>
      <c r="E280" s="79">
        <f>IF(OR($A280="",E$23=""),"",IF(COUNTIFS('AFA Rates'!$A$5:$A$1004,$A280,'AFA Rates'!$B$5:$B$1004,E$23,'AFA Rates'!$O$5:$O$1004,"&lt;&gt;Expired")&gt;0,"✓",IF(COUNTIFS('AFA Rates'!$A$5:$A$1004,$A280,'AFA Rates'!$B$5:$B$1004,E$23)&gt;0,"Exp","")))</f>
        <v/>
      </c>
      <c r="F280" s="79">
        <f>IF(OR($A280="",F$23=""),"",IF(COUNTIFS('AFA Rates'!$A$5:$A$1004,$A280,'AFA Rates'!$B$5:$B$1004,F$23,'AFA Rates'!$O$5:$O$1004,"&lt;&gt;Expired")&gt;0,"✓",IF(COUNTIFS('AFA Rates'!$A$5:$A$1004,$A280,'AFA Rates'!$B$5:$B$1004,F$23)&gt;0,"Exp","")))</f>
        <v/>
      </c>
      <c r="G280" s="79">
        <f>IF(OR($A280="",G$23=""),"",IF(COUNTIFS('AFA Rates'!$A$5:$A$1004,$A280,'AFA Rates'!$B$5:$B$1004,G$23,'AFA Rates'!$O$5:$O$1004,"&lt;&gt;Expired")&gt;0,"✓",IF(COUNTIFS('AFA Rates'!$A$5:$A$1004,$A280,'AFA Rates'!$B$5:$B$1004,G$23)&gt;0,"Exp","")))</f>
        <v/>
      </c>
      <c r="H280" s="79">
        <f>IF(OR($A280="",H$23=""),"",IF(COUNTIFS('AFA Rates'!$A$5:$A$1004,$A280,'AFA Rates'!$B$5:$B$1004,H$23,'AFA Rates'!$O$5:$O$1004,"&lt;&gt;Expired")&gt;0,"✓",IF(COUNTIFS('AFA Rates'!$A$5:$A$1004,$A280,'AFA Rates'!$B$5:$B$1004,H$23)&gt;0,"Exp","")))</f>
        <v/>
      </c>
      <c r="I280" s="79">
        <f>IF(OR($A280="",I$23=""),"",IF(COUNTIFS('AFA Rates'!$A$5:$A$1004,$A280,'AFA Rates'!$B$5:$B$1004,I$23,'AFA Rates'!$O$5:$O$1004,"&lt;&gt;Expired")&gt;0,"✓",IF(COUNTIFS('AFA Rates'!$A$5:$A$1004,$A280,'AFA Rates'!$B$5:$B$1004,I$23)&gt;0,"Exp","")))</f>
        <v/>
      </c>
      <c r="J280" s="79">
        <f>IF(OR($A280="",J$23=""),"",IF(COUNTIFS('AFA Rates'!$A$5:$A$1004,$A280,'AFA Rates'!$B$5:$B$1004,J$23,'AFA Rates'!$O$5:$O$1004,"&lt;&gt;Expired")&gt;0,"✓",IF(COUNTIFS('AFA Rates'!$A$5:$A$1004,$A280,'AFA Rates'!$B$5:$B$1004,J$23)&gt;0,"Exp","")))</f>
        <v/>
      </c>
      <c r="K280" s="79">
        <f>IF(OR($A280="",K$23=""),"",IF(COUNTIFS('AFA Rates'!$A$5:$A$1004,$A280,'AFA Rates'!$B$5:$B$1004,K$23,'AFA Rates'!$O$5:$O$1004,"&lt;&gt;Expired")&gt;0,"✓",IF(COUNTIFS('AFA Rates'!$A$5:$A$1004,$A280,'AFA Rates'!$B$5:$B$1004,K$23)&gt;0,"Exp","")))</f>
        <v/>
      </c>
      <c r="L280" s="79">
        <f>IF(OR($A280="",L$23=""),"",IF(COUNTIFS('AFA Rates'!$A$5:$A$1004,$A280,'AFA Rates'!$B$5:$B$1004,L$23,'AFA Rates'!$O$5:$O$1004,"&lt;&gt;Expired")&gt;0,"✓",IF(COUNTIFS('AFA Rates'!$A$5:$A$1004,$A280,'AFA Rates'!$B$5:$B$1004,L$23)&gt;0,"Exp","")))</f>
        <v/>
      </c>
      <c r="M280" s="79">
        <f>IF(OR($A280="",M$23=""),"",IF(COUNTIFS('AFA Rates'!$A$5:$A$1004,$A280,'AFA Rates'!$B$5:$B$1004,M$23,'AFA Rates'!$O$5:$O$1004,"&lt;&gt;Expired")&gt;0,"✓",IF(COUNTIFS('AFA Rates'!$A$5:$A$1004,$A280,'AFA Rates'!$B$5:$B$1004,M$23)&gt;0,"Exp","")))</f>
        <v/>
      </c>
    </row>
    <row r="281">
      <c r="A281" s="78">
        <f>IFERROR(INDEX(Firms!$A$5:$A$1004,MATCH(258,Firms!$V$5:$V$1004,0)),"")</f>
        <v/>
      </c>
      <c r="B281" s="79">
        <f>IF($A281="","",INDEX(Firms!$B$5:$B$1004,MATCH(258,Firms!$V$5:$V$1004,0)))</f>
        <v/>
      </c>
      <c r="C281" s="79">
        <f>IF($A281="","",COUNTIFS('AFA Rates'!$A$5:$A$1004,$A281,'AFA Rates'!$O$5:$O$1004,"&lt;&gt;Expired"))</f>
        <v/>
      </c>
      <c r="D281" s="79">
        <f>IF(OR($A281="",D$23=""),"",IF(COUNTIFS('AFA Rates'!$A$5:$A$1004,$A281,'AFA Rates'!$B$5:$B$1004,D$23,'AFA Rates'!$O$5:$O$1004,"&lt;&gt;Expired")&gt;0,"✓",IF(COUNTIFS('AFA Rates'!$A$5:$A$1004,$A281,'AFA Rates'!$B$5:$B$1004,D$23)&gt;0,"Exp","")))</f>
        <v/>
      </c>
      <c r="E281" s="79">
        <f>IF(OR($A281="",E$23=""),"",IF(COUNTIFS('AFA Rates'!$A$5:$A$1004,$A281,'AFA Rates'!$B$5:$B$1004,E$23,'AFA Rates'!$O$5:$O$1004,"&lt;&gt;Expired")&gt;0,"✓",IF(COUNTIFS('AFA Rates'!$A$5:$A$1004,$A281,'AFA Rates'!$B$5:$B$1004,E$23)&gt;0,"Exp","")))</f>
        <v/>
      </c>
      <c r="F281" s="79">
        <f>IF(OR($A281="",F$23=""),"",IF(COUNTIFS('AFA Rates'!$A$5:$A$1004,$A281,'AFA Rates'!$B$5:$B$1004,F$23,'AFA Rates'!$O$5:$O$1004,"&lt;&gt;Expired")&gt;0,"✓",IF(COUNTIFS('AFA Rates'!$A$5:$A$1004,$A281,'AFA Rates'!$B$5:$B$1004,F$23)&gt;0,"Exp","")))</f>
        <v/>
      </c>
      <c r="G281" s="79">
        <f>IF(OR($A281="",G$23=""),"",IF(COUNTIFS('AFA Rates'!$A$5:$A$1004,$A281,'AFA Rates'!$B$5:$B$1004,G$23,'AFA Rates'!$O$5:$O$1004,"&lt;&gt;Expired")&gt;0,"✓",IF(COUNTIFS('AFA Rates'!$A$5:$A$1004,$A281,'AFA Rates'!$B$5:$B$1004,G$23)&gt;0,"Exp","")))</f>
        <v/>
      </c>
      <c r="H281" s="79">
        <f>IF(OR($A281="",H$23=""),"",IF(COUNTIFS('AFA Rates'!$A$5:$A$1004,$A281,'AFA Rates'!$B$5:$B$1004,H$23,'AFA Rates'!$O$5:$O$1004,"&lt;&gt;Expired")&gt;0,"✓",IF(COUNTIFS('AFA Rates'!$A$5:$A$1004,$A281,'AFA Rates'!$B$5:$B$1004,H$23)&gt;0,"Exp","")))</f>
        <v/>
      </c>
      <c r="I281" s="79">
        <f>IF(OR($A281="",I$23=""),"",IF(COUNTIFS('AFA Rates'!$A$5:$A$1004,$A281,'AFA Rates'!$B$5:$B$1004,I$23,'AFA Rates'!$O$5:$O$1004,"&lt;&gt;Expired")&gt;0,"✓",IF(COUNTIFS('AFA Rates'!$A$5:$A$1004,$A281,'AFA Rates'!$B$5:$B$1004,I$23)&gt;0,"Exp","")))</f>
        <v/>
      </c>
      <c r="J281" s="79">
        <f>IF(OR($A281="",J$23=""),"",IF(COUNTIFS('AFA Rates'!$A$5:$A$1004,$A281,'AFA Rates'!$B$5:$B$1004,J$23,'AFA Rates'!$O$5:$O$1004,"&lt;&gt;Expired")&gt;0,"✓",IF(COUNTIFS('AFA Rates'!$A$5:$A$1004,$A281,'AFA Rates'!$B$5:$B$1004,J$23)&gt;0,"Exp","")))</f>
        <v/>
      </c>
      <c r="K281" s="79">
        <f>IF(OR($A281="",K$23=""),"",IF(COUNTIFS('AFA Rates'!$A$5:$A$1004,$A281,'AFA Rates'!$B$5:$B$1004,K$23,'AFA Rates'!$O$5:$O$1004,"&lt;&gt;Expired")&gt;0,"✓",IF(COUNTIFS('AFA Rates'!$A$5:$A$1004,$A281,'AFA Rates'!$B$5:$B$1004,K$23)&gt;0,"Exp","")))</f>
        <v/>
      </c>
      <c r="L281" s="79">
        <f>IF(OR($A281="",L$23=""),"",IF(COUNTIFS('AFA Rates'!$A$5:$A$1004,$A281,'AFA Rates'!$B$5:$B$1004,L$23,'AFA Rates'!$O$5:$O$1004,"&lt;&gt;Expired")&gt;0,"✓",IF(COUNTIFS('AFA Rates'!$A$5:$A$1004,$A281,'AFA Rates'!$B$5:$B$1004,L$23)&gt;0,"Exp","")))</f>
        <v/>
      </c>
      <c r="M281" s="79">
        <f>IF(OR($A281="",M$23=""),"",IF(COUNTIFS('AFA Rates'!$A$5:$A$1004,$A281,'AFA Rates'!$B$5:$B$1004,M$23,'AFA Rates'!$O$5:$O$1004,"&lt;&gt;Expired")&gt;0,"✓",IF(COUNTIFS('AFA Rates'!$A$5:$A$1004,$A281,'AFA Rates'!$B$5:$B$1004,M$23)&gt;0,"Exp","")))</f>
        <v/>
      </c>
    </row>
    <row r="282">
      <c r="A282" s="78">
        <f>IFERROR(INDEX(Firms!$A$5:$A$1004,MATCH(259,Firms!$V$5:$V$1004,0)),"")</f>
        <v/>
      </c>
      <c r="B282" s="79">
        <f>IF($A282="","",INDEX(Firms!$B$5:$B$1004,MATCH(259,Firms!$V$5:$V$1004,0)))</f>
        <v/>
      </c>
      <c r="C282" s="79">
        <f>IF($A282="","",COUNTIFS('AFA Rates'!$A$5:$A$1004,$A282,'AFA Rates'!$O$5:$O$1004,"&lt;&gt;Expired"))</f>
        <v/>
      </c>
      <c r="D282" s="79">
        <f>IF(OR($A282="",D$23=""),"",IF(COUNTIFS('AFA Rates'!$A$5:$A$1004,$A282,'AFA Rates'!$B$5:$B$1004,D$23,'AFA Rates'!$O$5:$O$1004,"&lt;&gt;Expired")&gt;0,"✓",IF(COUNTIFS('AFA Rates'!$A$5:$A$1004,$A282,'AFA Rates'!$B$5:$B$1004,D$23)&gt;0,"Exp","")))</f>
        <v/>
      </c>
      <c r="E282" s="79">
        <f>IF(OR($A282="",E$23=""),"",IF(COUNTIFS('AFA Rates'!$A$5:$A$1004,$A282,'AFA Rates'!$B$5:$B$1004,E$23,'AFA Rates'!$O$5:$O$1004,"&lt;&gt;Expired")&gt;0,"✓",IF(COUNTIFS('AFA Rates'!$A$5:$A$1004,$A282,'AFA Rates'!$B$5:$B$1004,E$23)&gt;0,"Exp","")))</f>
        <v/>
      </c>
      <c r="F282" s="79">
        <f>IF(OR($A282="",F$23=""),"",IF(COUNTIFS('AFA Rates'!$A$5:$A$1004,$A282,'AFA Rates'!$B$5:$B$1004,F$23,'AFA Rates'!$O$5:$O$1004,"&lt;&gt;Expired")&gt;0,"✓",IF(COUNTIFS('AFA Rates'!$A$5:$A$1004,$A282,'AFA Rates'!$B$5:$B$1004,F$23)&gt;0,"Exp","")))</f>
        <v/>
      </c>
      <c r="G282" s="79">
        <f>IF(OR($A282="",G$23=""),"",IF(COUNTIFS('AFA Rates'!$A$5:$A$1004,$A282,'AFA Rates'!$B$5:$B$1004,G$23,'AFA Rates'!$O$5:$O$1004,"&lt;&gt;Expired")&gt;0,"✓",IF(COUNTIFS('AFA Rates'!$A$5:$A$1004,$A282,'AFA Rates'!$B$5:$B$1004,G$23)&gt;0,"Exp","")))</f>
        <v/>
      </c>
      <c r="H282" s="79">
        <f>IF(OR($A282="",H$23=""),"",IF(COUNTIFS('AFA Rates'!$A$5:$A$1004,$A282,'AFA Rates'!$B$5:$B$1004,H$23,'AFA Rates'!$O$5:$O$1004,"&lt;&gt;Expired")&gt;0,"✓",IF(COUNTIFS('AFA Rates'!$A$5:$A$1004,$A282,'AFA Rates'!$B$5:$B$1004,H$23)&gt;0,"Exp","")))</f>
        <v/>
      </c>
      <c r="I282" s="79">
        <f>IF(OR($A282="",I$23=""),"",IF(COUNTIFS('AFA Rates'!$A$5:$A$1004,$A282,'AFA Rates'!$B$5:$B$1004,I$23,'AFA Rates'!$O$5:$O$1004,"&lt;&gt;Expired")&gt;0,"✓",IF(COUNTIFS('AFA Rates'!$A$5:$A$1004,$A282,'AFA Rates'!$B$5:$B$1004,I$23)&gt;0,"Exp","")))</f>
        <v/>
      </c>
      <c r="J282" s="79">
        <f>IF(OR($A282="",J$23=""),"",IF(COUNTIFS('AFA Rates'!$A$5:$A$1004,$A282,'AFA Rates'!$B$5:$B$1004,J$23,'AFA Rates'!$O$5:$O$1004,"&lt;&gt;Expired")&gt;0,"✓",IF(COUNTIFS('AFA Rates'!$A$5:$A$1004,$A282,'AFA Rates'!$B$5:$B$1004,J$23)&gt;0,"Exp","")))</f>
        <v/>
      </c>
      <c r="K282" s="79">
        <f>IF(OR($A282="",K$23=""),"",IF(COUNTIFS('AFA Rates'!$A$5:$A$1004,$A282,'AFA Rates'!$B$5:$B$1004,K$23,'AFA Rates'!$O$5:$O$1004,"&lt;&gt;Expired")&gt;0,"✓",IF(COUNTIFS('AFA Rates'!$A$5:$A$1004,$A282,'AFA Rates'!$B$5:$B$1004,K$23)&gt;0,"Exp","")))</f>
        <v/>
      </c>
      <c r="L282" s="79">
        <f>IF(OR($A282="",L$23=""),"",IF(COUNTIFS('AFA Rates'!$A$5:$A$1004,$A282,'AFA Rates'!$B$5:$B$1004,L$23,'AFA Rates'!$O$5:$O$1004,"&lt;&gt;Expired")&gt;0,"✓",IF(COUNTIFS('AFA Rates'!$A$5:$A$1004,$A282,'AFA Rates'!$B$5:$B$1004,L$23)&gt;0,"Exp","")))</f>
        <v/>
      </c>
      <c r="M282" s="79">
        <f>IF(OR($A282="",M$23=""),"",IF(COUNTIFS('AFA Rates'!$A$5:$A$1004,$A282,'AFA Rates'!$B$5:$B$1004,M$23,'AFA Rates'!$O$5:$O$1004,"&lt;&gt;Expired")&gt;0,"✓",IF(COUNTIFS('AFA Rates'!$A$5:$A$1004,$A282,'AFA Rates'!$B$5:$B$1004,M$23)&gt;0,"Exp","")))</f>
        <v/>
      </c>
    </row>
    <row r="283">
      <c r="A283" s="78">
        <f>IFERROR(INDEX(Firms!$A$5:$A$1004,MATCH(260,Firms!$V$5:$V$1004,0)),"")</f>
        <v/>
      </c>
      <c r="B283" s="79">
        <f>IF($A283="","",INDEX(Firms!$B$5:$B$1004,MATCH(260,Firms!$V$5:$V$1004,0)))</f>
        <v/>
      </c>
      <c r="C283" s="79">
        <f>IF($A283="","",COUNTIFS('AFA Rates'!$A$5:$A$1004,$A283,'AFA Rates'!$O$5:$O$1004,"&lt;&gt;Expired"))</f>
        <v/>
      </c>
      <c r="D283" s="79">
        <f>IF(OR($A283="",D$23=""),"",IF(COUNTIFS('AFA Rates'!$A$5:$A$1004,$A283,'AFA Rates'!$B$5:$B$1004,D$23,'AFA Rates'!$O$5:$O$1004,"&lt;&gt;Expired")&gt;0,"✓",IF(COUNTIFS('AFA Rates'!$A$5:$A$1004,$A283,'AFA Rates'!$B$5:$B$1004,D$23)&gt;0,"Exp","")))</f>
        <v/>
      </c>
      <c r="E283" s="79">
        <f>IF(OR($A283="",E$23=""),"",IF(COUNTIFS('AFA Rates'!$A$5:$A$1004,$A283,'AFA Rates'!$B$5:$B$1004,E$23,'AFA Rates'!$O$5:$O$1004,"&lt;&gt;Expired")&gt;0,"✓",IF(COUNTIFS('AFA Rates'!$A$5:$A$1004,$A283,'AFA Rates'!$B$5:$B$1004,E$23)&gt;0,"Exp","")))</f>
        <v/>
      </c>
      <c r="F283" s="79">
        <f>IF(OR($A283="",F$23=""),"",IF(COUNTIFS('AFA Rates'!$A$5:$A$1004,$A283,'AFA Rates'!$B$5:$B$1004,F$23,'AFA Rates'!$O$5:$O$1004,"&lt;&gt;Expired")&gt;0,"✓",IF(COUNTIFS('AFA Rates'!$A$5:$A$1004,$A283,'AFA Rates'!$B$5:$B$1004,F$23)&gt;0,"Exp","")))</f>
        <v/>
      </c>
      <c r="G283" s="79">
        <f>IF(OR($A283="",G$23=""),"",IF(COUNTIFS('AFA Rates'!$A$5:$A$1004,$A283,'AFA Rates'!$B$5:$B$1004,G$23,'AFA Rates'!$O$5:$O$1004,"&lt;&gt;Expired")&gt;0,"✓",IF(COUNTIFS('AFA Rates'!$A$5:$A$1004,$A283,'AFA Rates'!$B$5:$B$1004,G$23)&gt;0,"Exp","")))</f>
        <v/>
      </c>
      <c r="H283" s="79">
        <f>IF(OR($A283="",H$23=""),"",IF(COUNTIFS('AFA Rates'!$A$5:$A$1004,$A283,'AFA Rates'!$B$5:$B$1004,H$23,'AFA Rates'!$O$5:$O$1004,"&lt;&gt;Expired")&gt;0,"✓",IF(COUNTIFS('AFA Rates'!$A$5:$A$1004,$A283,'AFA Rates'!$B$5:$B$1004,H$23)&gt;0,"Exp","")))</f>
        <v/>
      </c>
      <c r="I283" s="79">
        <f>IF(OR($A283="",I$23=""),"",IF(COUNTIFS('AFA Rates'!$A$5:$A$1004,$A283,'AFA Rates'!$B$5:$B$1004,I$23,'AFA Rates'!$O$5:$O$1004,"&lt;&gt;Expired")&gt;0,"✓",IF(COUNTIFS('AFA Rates'!$A$5:$A$1004,$A283,'AFA Rates'!$B$5:$B$1004,I$23)&gt;0,"Exp","")))</f>
        <v/>
      </c>
      <c r="J283" s="79">
        <f>IF(OR($A283="",J$23=""),"",IF(COUNTIFS('AFA Rates'!$A$5:$A$1004,$A283,'AFA Rates'!$B$5:$B$1004,J$23,'AFA Rates'!$O$5:$O$1004,"&lt;&gt;Expired")&gt;0,"✓",IF(COUNTIFS('AFA Rates'!$A$5:$A$1004,$A283,'AFA Rates'!$B$5:$B$1004,J$23)&gt;0,"Exp","")))</f>
        <v/>
      </c>
      <c r="K283" s="79">
        <f>IF(OR($A283="",K$23=""),"",IF(COUNTIFS('AFA Rates'!$A$5:$A$1004,$A283,'AFA Rates'!$B$5:$B$1004,K$23,'AFA Rates'!$O$5:$O$1004,"&lt;&gt;Expired")&gt;0,"✓",IF(COUNTIFS('AFA Rates'!$A$5:$A$1004,$A283,'AFA Rates'!$B$5:$B$1004,K$23)&gt;0,"Exp","")))</f>
        <v/>
      </c>
      <c r="L283" s="79">
        <f>IF(OR($A283="",L$23=""),"",IF(COUNTIFS('AFA Rates'!$A$5:$A$1004,$A283,'AFA Rates'!$B$5:$B$1004,L$23,'AFA Rates'!$O$5:$O$1004,"&lt;&gt;Expired")&gt;0,"✓",IF(COUNTIFS('AFA Rates'!$A$5:$A$1004,$A283,'AFA Rates'!$B$5:$B$1004,L$23)&gt;0,"Exp","")))</f>
        <v/>
      </c>
      <c r="M283" s="79">
        <f>IF(OR($A283="",M$23=""),"",IF(COUNTIFS('AFA Rates'!$A$5:$A$1004,$A283,'AFA Rates'!$B$5:$B$1004,M$23,'AFA Rates'!$O$5:$O$1004,"&lt;&gt;Expired")&gt;0,"✓",IF(COUNTIFS('AFA Rates'!$A$5:$A$1004,$A283,'AFA Rates'!$B$5:$B$1004,M$23)&gt;0,"Exp","")))</f>
        <v/>
      </c>
    </row>
    <row r="284">
      <c r="A284" s="78">
        <f>IFERROR(INDEX(Firms!$A$5:$A$1004,MATCH(261,Firms!$V$5:$V$1004,0)),"")</f>
        <v/>
      </c>
      <c r="B284" s="79">
        <f>IF($A284="","",INDEX(Firms!$B$5:$B$1004,MATCH(261,Firms!$V$5:$V$1004,0)))</f>
        <v/>
      </c>
      <c r="C284" s="79">
        <f>IF($A284="","",COUNTIFS('AFA Rates'!$A$5:$A$1004,$A284,'AFA Rates'!$O$5:$O$1004,"&lt;&gt;Expired"))</f>
        <v/>
      </c>
      <c r="D284" s="79">
        <f>IF(OR($A284="",D$23=""),"",IF(COUNTIFS('AFA Rates'!$A$5:$A$1004,$A284,'AFA Rates'!$B$5:$B$1004,D$23,'AFA Rates'!$O$5:$O$1004,"&lt;&gt;Expired")&gt;0,"✓",IF(COUNTIFS('AFA Rates'!$A$5:$A$1004,$A284,'AFA Rates'!$B$5:$B$1004,D$23)&gt;0,"Exp","")))</f>
        <v/>
      </c>
      <c r="E284" s="79">
        <f>IF(OR($A284="",E$23=""),"",IF(COUNTIFS('AFA Rates'!$A$5:$A$1004,$A284,'AFA Rates'!$B$5:$B$1004,E$23,'AFA Rates'!$O$5:$O$1004,"&lt;&gt;Expired")&gt;0,"✓",IF(COUNTIFS('AFA Rates'!$A$5:$A$1004,$A284,'AFA Rates'!$B$5:$B$1004,E$23)&gt;0,"Exp","")))</f>
        <v/>
      </c>
      <c r="F284" s="79">
        <f>IF(OR($A284="",F$23=""),"",IF(COUNTIFS('AFA Rates'!$A$5:$A$1004,$A284,'AFA Rates'!$B$5:$B$1004,F$23,'AFA Rates'!$O$5:$O$1004,"&lt;&gt;Expired")&gt;0,"✓",IF(COUNTIFS('AFA Rates'!$A$5:$A$1004,$A284,'AFA Rates'!$B$5:$B$1004,F$23)&gt;0,"Exp","")))</f>
        <v/>
      </c>
      <c r="G284" s="79">
        <f>IF(OR($A284="",G$23=""),"",IF(COUNTIFS('AFA Rates'!$A$5:$A$1004,$A284,'AFA Rates'!$B$5:$B$1004,G$23,'AFA Rates'!$O$5:$O$1004,"&lt;&gt;Expired")&gt;0,"✓",IF(COUNTIFS('AFA Rates'!$A$5:$A$1004,$A284,'AFA Rates'!$B$5:$B$1004,G$23)&gt;0,"Exp","")))</f>
        <v/>
      </c>
      <c r="H284" s="79">
        <f>IF(OR($A284="",H$23=""),"",IF(COUNTIFS('AFA Rates'!$A$5:$A$1004,$A284,'AFA Rates'!$B$5:$B$1004,H$23,'AFA Rates'!$O$5:$O$1004,"&lt;&gt;Expired")&gt;0,"✓",IF(COUNTIFS('AFA Rates'!$A$5:$A$1004,$A284,'AFA Rates'!$B$5:$B$1004,H$23)&gt;0,"Exp","")))</f>
        <v/>
      </c>
      <c r="I284" s="79">
        <f>IF(OR($A284="",I$23=""),"",IF(COUNTIFS('AFA Rates'!$A$5:$A$1004,$A284,'AFA Rates'!$B$5:$B$1004,I$23,'AFA Rates'!$O$5:$O$1004,"&lt;&gt;Expired")&gt;0,"✓",IF(COUNTIFS('AFA Rates'!$A$5:$A$1004,$A284,'AFA Rates'!$B$5:$B$1004,I$23)&gt;0,"Exp","")))</f>
        <v/>
      </c>
      <c r="J284" s="79">
        <f>IF(OR($A284="",J$23=""),"",IF(COUNTIFS('AFA Rates'!$A$5:$A$1004,$A284,'AFA Rates'!$B$5:$B$1004,J$23,'AFA Rates'!$O$5:$O$1004,"&lt;&gt;Expired")&gt;0,"✓",IF(COUNTIFS('AFA Rates'!$A$5:$A$1004,$A284,'AFA Rates'!$B$5:$B$1004,J$23)&gt;0,"Exp","")))</f>
        <v/>
      </c>
      <c r="K284" s="79">
        <f>IF(OR($A284="",K$23=""),"",IF(COUNTIFS('AFA Rates'!$A$5:$A$1004,$A284,'AFA Rates'!$B$5:$B$1004,K$23,'AFA Rates'!$O$5:$O$1004,"&lt;&gt;Expired")&gt;0,"✓",IF(COUNTIFS('AFA Rates'!$A$5:$A$1004,$A284,'AFA Rates'!$B$5:$B$1004,K$23)&gt;0,"Exp","")))</f>
        <v/>
      </c>
      <c r="L284" s="79">
        <f>IF(OR($A284="",L$23=""),"",IF(COUNTIFS('AFA Rates'!$A$5:$A$1004,$A284,'AFA Rates'!$B$5:$B$1004,L$23,'AFA Rates'!$O$5:$O$1004,"&lt;&gt;Expired")&gt;0,"✓",IF(COUNTIFS('AFA Rates'!$A$5:$A$1004,$A284,'AFA Rates'!$B$5:$B$1004,L$23)&gt;0,"Exp","")))</f>
        <v/>
      </c>
      <c r="M284" s="79">
        <f>IF(OR($A284="",M$23=""),"",IF(COUNTIFS('AFA Rates'!$A$5:$A$1004,$A284,'AFA Rates'!$B$5:$B$1004,M$23,'AFA Rates'!$O$5:$O$1004,"&lt;&gt;Expired")&gt;0,"✓",IF(COUNTIFS('AFA Rates'!$A$5:$A$1004,$A284,'AFA Rates'!$B$5:$B$1004,M$23)&gt;0,"Exp","")))</f>
        <v/>
      </c>
    </row>
    <row r="285">
      <c r="A285" s="78">
        <f>IFERROR(INDEX(Firms!$A$5:$A$1004,MATCH(262,Firms!$V$5:$V$1004,0)),"")</f>
        <v/>
      </c>
      <c r="B285" s="79">
        <f>IF($A285="","",INDEX(Firms!$B$5:$B$1004,MATCH(262,Firms!$V$5:$V$1004,0)))</f>
        <v/>
      </c>
      <c r="C285" s="79">
        <f>IF($A285="","",COUNTIFS('AFA Rates'!$A$5:$A$1004,$A285,'AFA Rates'!$O$5:$O$1004,"&lt;&gt;Expired"))</f>
        <v/>
      </c>
      <c r="D285" s="79">
        <f>IF(OR($A285="",D$23=""),"",IF(COUNTIFS('AFA Rates'!$A$5:$A$1004,$A285,'AFA Rates'!$B$5:$B$1004,D$23,'AFA Rates'!$O$5:$O$1004,"&lt;&gt;Expired")&gt;0,"✓",IF(COUNTIFS('AFA Rates'!$A$5:$A$1004,$A285,'AFA Rates'!$B$5:$B$1004,D$23)&gt;0,"Exp","")))</f>
        <v/>
      </c>
      <c r="E285" s="79">
        <f>IF(OR($A285="",E$23=""),"",IF(COUNTIFS('AFA Rates'!$A$5:$A$1004,$A285,'AFA Rates'!$B$5:$B$1004,E$23,'AFA Rates'!$O$5:$O$1004,"&lt;&gt;Expired")&gt;0,"✓",IF(COUNTIFS('AFA Rates'!$A$5:$A$1004,$A285,'AFA Rates'!$B$5:$B$1004,E$23)&gt;0,"Exp","")))</f>
        <v/>
      </c>
      <c r="F285" s="79">
        <f>IF(OR($A285="",F$23=""),"",IF(COUNTIFS('AFA Rates'!$A$5:$A$1004,$A285,'AFA Rates'!$B$5:$B$1004,F$23,'AFA Rates'!$O$5:$O$1004,"&lt;&gt;Expired")&gt;0,"✓",IF(COUNTIFS('AFA Rates'!$A$5:$A$1004,$A285,'AFA Rates'!$B$5:$B$1004,F$23)&gt;0,"Exp","")))</f>
        <v/>
      </c>
      <c r="G285" s="79">
        <f>IF(OR($A285="",G$23=""),"",IF(COUNTIFS('AFA Rates'!$A$5:$A$1004,$A285,'AFA Rates'!$B$5:$B$1004,G$23,'AFA Rates'!$O$5:$O$1004,"&lt;&gt;Expired")&gt;0,"✓",IF(COUNTIFS('AFA Rates'!$A$5:$A$1004,$A285,'AFA Rates'!$B$5:$B$1004,G$23)&gt;0,"Exp","")))</f>
        <v/>
      </c>
      <c r="H285" s="79">
        <f>IF(OR($A285="",H$23=""),"",IF(COUNTIFS('AFA Rates'!$A$5:$A$1004,$A285,'AFA Rates'!$B$5:$B$1004,H$23,'AFA Rates'!$O$5:$O$1004,"&lt;&gt;Expired")&gt;0,"✓",IF(COUNTIFS('AFA Rates'!$A$5:$A$1004,$A285,'AFA Rates'!$B$5:$B$1004,H$23)&gt;0,"Exp","")))</f>
        <v/>
      </c>
      <c r="I285" s="79">
        <f>IF(OR($A285="",I$23=""),"",IF(COUNTIFS('AFA Rates'!$A$5:$A$1004,$A285,'AFA Rates'!$B$5:$B$1004,I$23,'AFA Rates'!$O$5:$O$1004,"&lt;&gt;Expired")&gt;0,"✓",IF(COUNTIFS('AFA Rates'!$A$5:$A$1004,$A285,'AFA Rates'!$B$5:$B$1004,I$23)&gt;0,"Exp","")))</f>
        <v/>
      </c>
      <c r="J285" s="79">
        <f>IF(OR($A285="",J$23=""),"",IF(COUNTIFS('AFA Rates'!$A$5:$A$1004,$A285,'AFA Rates'!$B$5:$B$1004,J$23,'AFA Rates'!$O$5:$O$1004,"&lt;&gt;Expired")&gt;0,"✓",IF(COUNTIFS('AFA Rates'!$A$5:$A$1004,$A285,'AFA Rates'!$B$5:$B$1004,J$23)&gt;0,"Exp","")))</f>
        <v/>
      </c>
      <c r="K285" s="79">
        <f>IF(OR($A285="",K$23=""),"",IF(COUNTIFS('AFA Rates'!$A$5:$A$1004,$A285,'AFA Rates'!$B$5:$B$1004,K$23,'AFA Rates'!$O$5:$O$1004,"&lt;&gt;Expired")&gt;0,"✓",IF(COUNTIFS('AFA Rates'!$A$5:$A$1004,$A285,'AFA Rates'!$B$5:$B$1004,K$23)&gt;0,"Exp","")))</f>
        <v/>
      </c>
      <c r="L285" s="79">
        <f>IF(OR($A285="",L$23=""),"",IF(COUNTIFS('AFA Rates'!$A$5:$A$1004,$A285,'AFA Rates'!$B$5:$B$1004,L$23,'AFA Rates'!$O$5:$O$1004,"&lt;&gt;Expired")&gt;0,"✓",IF(COUNTIFS('AFA Rates'!$A$5:$A$1004,$A285,'AFA Rates'!$B$5:$B$1004,L$23)&gt;0,"Exp","")))</f>
        <v/>
      </c>
      <c r="M285" s="79">
        <f>IF(OR($A285="",M$23=""),"",IF(COUNTIFS('AFA Rates'!$A$5:$A$1004,$A285,'AFA Rates'!$B$5:$B$1004,M$23,'AFA Rates'!$O$5:$O$1004,"&lt;&gt;Expired")&gt;0,"✓",IF(COUNTIFS('AFA Rates'!$A$5:$A$1004,$A285,'AFA Rates'!$B$5:$B$1004,M$23)&gt;0,"Exp","")))</f>
        <v/>
      </c>
    </row>
    <row r="286">
      <c r="A286" s="78">
        <f>IFERROR(INDEX(Firms!$A$5:$A$1004,MATCH(263,Firms!$V$5:$V$1004,0)),"")</f>
        <v/>
      </c>
      <c r="B286" s="79">
        <f>IF($A286="","",INDEX(Firms!$B$5:$B$1004,MATCH(263,Firms!$V$5:$V$1004,0)))</f>
        <v/>
      </c>
      <c r="C286" s="79">
        <f>IF($A286="","",COUNTIFS('AFA Rates'!$A$5:$A$1004,$A286,'AFA Rates'!$O$5:$O$1004,"&lt;&gt;Expired"))</f>
        <v/>
      </c>
      <c r="D286" s="79">
        <f>IF(OR($A286="",D$23=""),"",IF(COUNTIFS('AFA Rates'!$A$5:$A$1004,$A286,'AFA Rates'!$B$5:$B$1004,D$23,'AFA Rates'!$O$5:$O$1004,"&lt;&gt;Expired")&gt;0,"✓",IF(COUNTIFS('AFA Rates'!$A$5:$A$1004,$A286,'AFA Rates'!$B$5:$B$1004,D$23)&gt;0,"Exp","")))</f>
        <v/>
      </c>
      <c r="E286" s="79">
        <f>IF(OR($A286="",E$23=""),"",IF(COUNTIFS('AFA Rates'!$A$5:$A$1004,$A286,'AFA Rates'!$B$5:$B$1004,E$23,'AFA Rates'!$O$5:$O$1004,"&lt;&gt;Expired")&gt;0,"✓",IF(COUNTIFS('AFA Rates'!$A$5:$A$1004,$A286,'AFA Rates'!$B$5:$B$1004,E$23)&gt;0,"Exp","")))</f>
        <v/>
      </c>
      <c r="F286" s="79">
        <f>IF(OR($A286="",F$23=""),"",IF(COUNTIFS('AFA Rates'!$A$5:$A$1004,$A286,'AFA Rates'!$B$5:$B$1004,F$23,'AFA Rates'!$O$5:$O$1004,"&lt;&gt;Expired")&gt;0,"✓",IF(COUNTIFS('AFA Rates'!$A$5:$A$1004,$A286,'AFA Rates'!$B$5:$B$1004,F$23)&gt;0,"Exp","")))</f>
        <v/>
      </c>
      <c r="G286" s="79">
        <f>IF(OR($A286="",G$23=""),"",IF(COUNTIFS('AFA Rates'!$A$5:$A$1004,$A286,'AFA Rates'!$B$5:$B$1004,G$23,'AFA Rates'!$O$5:$O$1004,"&lt;&gt;Expired")&gt;0,"✓",IF(COUNTIFS('AFA Rates'!$A$5:$A$1004,$A286,'AFA Rates'!$B$5:$B$1004,G$23)&gt;0,"Exp","")))</f>
        <v/>
      </c>
      <c r="H286" s="79">
        <f>IF(OR($A286="",H$23=""),"",IF(COUNTIFS('AFA Rates'!$A$5:$A$1004,$A286,'AFA Rates'!$B$5:$B$1004,H$23,'AFA Rates'!$O$5:$O$1004,"&lt;&gt;Expired")&gt;0,"✓",IF(COUNTIFS('AFA Rates'!$A$5:$A$1004,$A286,'AFA Rates'!$B$5:$B$1004,H$23)&gt;0,"Exp","")))</f>
        <v/>
      </c>
      <c r="I286" s="79">
        <f>IF(OR($A286="",I$23=""),"",IF(COUNTIFS('AFA Rates'!$A$5:$A$1004,$A286,'AFA Rates'!$B$5:$B$1004,I$23,'AFA Rates'!$O$5:$O$1004,"&lt;&gt;Expired")&gt;0,"✓",IF(COUNTIFS('AFA Rates'!$A$5:$A$1004,$A286,'AFA Rates'!$B$5:$B$1004,I$23)&gt;0,"Exp","")))</f>
        <v/>
      </c>
      <c r="J286" s="79">
        <f>IF(OR($A286="",J$23=""),"",IF(COUNTIFS('AFA Rates'!$A$5:$A$1004,$A286,'AFA Rates'!$B$5:$B$1004,J$23,'AFA Rates'!$O$5:$O$1004,"&lt;&gt;Expired")&gt;0,"✓",IF(COUNTIFS('AFA Rates'!$A$5:$A$1004,$A286,'AFA Rates'!$B$5:$B$1004,J$23)&gt;0,"Exp","")))</f>
        <v/>
      </c>
      <c r="K286" s="79">
        <f>IF(OR($A286="",K$23=""),"",IF(COUNTIFS('AFA Rates'!$A$5:$A$1004,$A286,'AFA Rates'!$B$5:$B$1004,K$23,'AFA Rates'!$O$5:$O$1004,"&lt;&gt;Expired")&gt;0,"✓",IF(COUNTIFS('AFA Rates'!$A$5:$A$1004,$A286,'AFA Rates'!$B$5:$B$1004,K$23)&gt;0,"Exp","")))</f>
        <v/>
      </c>
      <c r="L286" s="79">
        <f>IF(OR($A286="",L$23=""),"",IF(COUNTIFS('AFA Rates'!$A$5:$A$1004,$A286,'AFA Rates'!$B$5:$B$1004,L$23,'AFA Rates'!$O$5:$O$1004,"&lt;&gt;Expired")&gt;0,"✓",IF(COUNTIFS('AFA Rates'!$A$5:$A$1004,$A286,'AFA Rates'!$B$5:$B$1004,L$23)&gt;0,"Exp","")))</f>
        <v/>
      </c>
      <c r="M286" s="79">
        <f>IF(OR($A286="",M$23=""),"",IF(COUNTIFS('AFA Rates'!$A$5:$A$1004,$A286,'AFA Rates'!$B$5:$B$1004,M$23,'AFA Rates'!$O$5:$O$1004,"&lt;&gt;Expired")&gt;0,"✓",IF(COUNTIFS('AFA Rates'!$A$5:$A$1004,$A286,'AFA Rates'!$B$5:$B$1004,M$23)&gt;0,"Exp","")))</f>
        <v/>
      </c>
    </row>
    <row r="287">
      <c r="A287" s="78">
        <f>IFERROR(INDEX(Firms!$A$5:$A$1004,MATCH(264,Firms!$V$5:$V$1004,0)),"")</f>
        <v/>
      </c>
      <c r="B287" s="79">
        <f>IF($A287="","",INDEX(Firms!$B$5:$B$1004,MATCH(264,Firms!$V$5:$V$1004,0)))</f>
        <v/>
      </c>
      <c r="C287" s="79">
        <f>IF($A287="","",COUNTIFS('AFA Rates'!$A$5:$A$1004,$A287,'AFA Rates'!$O$5:$O$1004,"&lt;&gt;Expired"))</f>
        <v/>
      </c>
      <c r="D287" s="79">
        <f>IF(OR($A287="",D$23=""),"",IF(COUNTIFS('AFA Rates'!$A$5:$A$1004,$A287,'AFA Rates'!$B$5:$B$1004,D$23,'AFA Rates'!$O$5:$O$1004,"&lt;&gt;Expired")&gt;0,"✓",IF(COUNTIFS('AFA Rates'!$A$5:$A$1004,$A287,'AFA Rates'!$B$5:$B$1004,D$23)&gt;0,"Exp","")))</f>
        <v/>
      </c>
      <c r="E287" s="79">
        <f>IF(OR($A287="",E$23=""),"",IF(COUNTIFS('AFA Rates'!$A$5:$A$1004,$A287,'AFA Rates'!$B$5:$B$1004,E$23,'AFA Rates'!$O$5:$O$1004,"&lt;&gt;Expired")&gt;0,"✓",IF(COUNTIFS('AFA Rates'!$A$5:$A$1004,$A287,'AFA Rates'!$B$5:$B$1004,E$23)&gt;0,"Exp","")))</f>
        <v/>
      </c>
      <c r="F287" s="79">
        <f>IF(OR($A287="",F$23=""),"",IF(COUNTIFS('AFA Rates'!$A$5:$A$1004,$A287,'AFA Rates'!$B$5:$B$1004,F$23,'AFA Rates'!$O$5:$O$1004,"&lt;&gt;Expired")&gt;0,"✓",IF(COUNTIFS('AFA Rates'!$A$5:$A$1004,$A287,'AFA Rates'!$B$5:$B$1004,F$23)&gt;0,"Exp","")))</f>
        <v/>
      </c>
      <c r="G287" s="79">
        <f>IF(OR($A287="",G$23=""),"",IF(COUNTIFS('AFA Rates'!$A$5:$A$1004,$A287,'AFA Rates'!$B$5:$B$1004,G$23,'AFA Rates'!$O$5:$O$1004,"&lt;&gt;Expired")&gt;0,"✓",IF(COUNTIFS('AFA Rates'!$A$5:$A$1004,$A287,'AFA Rates'!$B$5:$B$1004,G$23)&gt;0,"Exp","")))</f>
        <v/>
      </c>
      <c r="H287" s="79">
        <f>IF(OR($A287="",H$23=""),"",IF(COUNTIFS('AFA Rates'!$A$5:$A$1004,$A287,'AFA Rates'!$B$5:$B$1004,H$23,'AFA Rates'!$O$5:$O$1004,"&lt;&gt;Expired")&gt;0,"✓",IF(COUNTIFS('AFA Rates'!$A$5:$A$1004,$A287,'AFA Rates'!$B$5:$B$1004,H$23)&gt;0,"Exp","")))</f>
        <v/>
      </c>
      <c r="I287" s="79">
        <f>IF(OR($A287="",I$23=""),"",IF(COUNTIFS('AFA Rates'!$A$5:$A$1004,$A287,'AFA Rates'!$B$5:$B$1004,I$23,'AFA Rates'!$O$5:$O$1004,"&lt;&gt;Expired")&gt;0,"✓",IF(COUNTIFS('AFA Rates'!$A$5:$A$1004,$A287,'AFA Rates'!$B$5:$B$1004,I$23)&gt;0,"Exp","")))</f>
        <v/>
      </c>
      <c r="J287" s="79">
        <f>IF(OR($A287="",J$23=""),"",IF(COUNTIFS('AFA Rates'!$A$5:$A$1004,$A287,'AFA Rates'!$B$5:$B$1004,J$23,'AFA Rates'!$O$5:$O$1004,"&lt;&gt;Expired")&gt;0,"✓",IF(COUNTIFS('AFA Rates'!$A$5:$A$1004,$A287,'AFA Rates'!$B$5:$B$1004,J$23)&gt;0,"Exp","")))</f>
        <v/>
      </c>
      <c r="K287" s="79">
        <f>IF(OR($A287="",K$23=""),"",IF(COUNTIFS('AFA Rates'!$A$5:$A$1004,$A287,'AFA Rates'!$B$5:$B$1004,K$23,'AFA Rates'!$O$5:$O$1004,"&lt;&gt;Expired")&gt;0,"✓",IF(COUNTIFS('AFA Rates'!$A$5:$A$1004,$A287,'AFA Rates'!$B$5:$B$1004,K$23)&gt;0,"Exp","")))</f>
        <v/>
      </c>
      <c r="L287" s="79">
        <f>IF(OR($A287="",L$23=""),"",IF(COUNTIFS('AFA Rates'!$A$5:$A$1004,$A287,'AFA Rates'!$B$5:$B$1004,L$23,'AFA Rates'!$O$5:$O$1004,"&lt;&gt;Expired")&gt;0,"✓",IF(COUNTIFS('AFA Rates'!$A$5:$A$1004,$A287,'AFA Rates'!$B$5:$B$1004,L$23)&gt;0,"Exp","")))</f>
        <v/>
      </c>
      <c r="M287" s="79">
        <f>IF(OR($A287="",M$23=""),"",IF(COUNTIFS('AFA Rates'!$A$5:$A$1004,$A287,'AFA Rates'!$B$5:$B$1004,M$23,'AFA Rates'!$O$5:$O$1004,"&lt;&gt;Expired")&gt;0,"✓",IF(COUNTIFS('AFA Rates'!$A$5:$A$1004,$A287,'AFA Rates'!$B$5:$B$1004,M$23)&gt;0,"Exp","")))</f>
        <v/>
      </c>
    </row>
    <row r="288">
      <c r="A288" s="78">
        <f>IFERROR(INDEX(Firms!$A$5:$A$1004,MATCH(265,Firms!$V$5:$V$1004,0)),"")</f>
        <v/>
      </c>
      <c r="B288" s="79">
        <f>IF($A288="","",INDEX(Firms!$B$5:$B$1004,MATCH(265,Firms!$V$5:$V$1004,0)))</f>
        <v/>
      </c>
      <c r="C288" s="79">
        <f>IF($A288="","",COUNTIFS('AFA Rates'!$A$5:$A$1004,$A288,'AFA Rates'!$O$5:$O$1004,"&lt;&gt;Expired"))</f>
        <v/>
      </c>
      <c r="D288" s="79">
        <f>IF(OR($A288="",D$23=""),"",IF(COUNTIFS('AFA Rates'!$A$5:$A$1004,$A288,'AFA Rates'!$B$5:$B$1004,D$23,'AFA Rates'!$O$5:$O$1004,"&lt;&gt;Expired")&gt;0,"✓",IF(COUNTIFS('AFA Rates'!$A$5:$A$1004,$A288,'AFA Rates'!$B$5:$B$1004,D$23)&gt;0,"Exp","")))</f>
        <v/>
      </c>
      <c r="E288" s="79">
        <f>IF(OR($A288="",E$23=""),"",IF(COUNTIFS('AFA Rates'!$A$5:$A$1004,$A288,'AFA Rates'!$B$5:$B$1004,E$23,'AFA Rates'!$O$5:$O$1004,"&lt;&gt;Expired")&gt;0,"✓",IF(COUNTIFS('AFA Rates'!$A$5:$A$1004,$A288,'AFA Rates'!$B$5:$B$1004,E$23)&gt;0,"Exp","")))</f>
        <v/>
      </c>
      <c r="F288" s="79">
        <f>IF(OR($A288="",F$23=""),"",IF(COUNTIFS('AFA Rates'!$A$5:$A$1004,$A288,'AFA Rates'!$B$5:$B$1004,F$23,'AFA Rates'!$O$5:$O$1004,"&lt;&gt;Expired")&gt;0,"✓",IF(COUNTIFS('AFA Rates'!$A$5:$A$1004,$A288,'AFA Rates'!$B$5:$B$1004,F$23)&gt;0,"Exp","")))</f>
        <v/>
      </c>
      <c r="G288" s="79">
        <f>IF(OR($A288="",G$23=""),"",IF(COUNTIFS('AFA Rates'!$A$5:$A$1004,$A288,'AFA Rates'!$B$5:$B$1004,G$23,'AFA Rates'!$O$5:$O$1004,"&lt;&gt;Expired")&gt;0,"✓",IF(COUNTIFS('AFA Rates'!$A$5:$A$1004,$A288,'AFA Rates'!$B$5:$B$1004,G$23)&gt;0,"Exp","")))</f>
        <v/>
      </c>
      <c r="H288" s="79">
        <f>IF(OR($A288="",H$23=""),"",IF(COUNTIFS('AFA Rates'!$A$5:$A$1004,$A288,'AFA Rates'!$B$5:$B$1004,H$23,'AFA Rates'!$O$5:$O$1004,"&lt;&gt;Expired")&gt;0,"✓",IF(COUNTIFS('AFA Rates'!$A$5:$A$1004,$A288,'AFA Rates'!$B$5:$B$1004,H$23)&gt;0,"Exp","")))</f>
        <v/>
      </c>
      <c r="I288" s="79">
        <f>IF(OR($A288="",I$23=""),"",IF(COUNTIFS('AFA Rates'!$A$5:$A$1004,$A288,'AFA Rates'!$B$5:$B$1004,I$23,'AFA Rates'!$O$5:$O$1004,"&lt;&gt;Expired")&gt;0,"✓",IF(COUNTIFS('AFA Rates'!$A$5:$A$1004,$A288,'AFA Rates'!$B$5:$B$1004,I$23)&gt;0,"Exp","")))</f>
        <v/>
      </c>
      <c r="J288" s="79">
        <f>IF(OR($A288="",J$23=""),"",IF(COUNTIFS('AFA Rates'!$A$5:$A$1004,$A288,'AFA Rates'!$B$5:$B$1004,J$23,'AFA Rates'!$O$5:$O$1004,"&lt;&gt;Expired")&gt;0,"✓",IF(COUNTIFS('AFA Rates'!$A$5:$A$1004,$A288,'AFA Rates'!$B$5:$B$1004,J$23)&gt;0,"Exp","")))</f>
        <v/>
      </c>
      <c r="K288" s="79">
        <f>IF(OR($A288="",K$23=""),"",IF(COUNTIFS('AFA Rates'!$A$5:$A$1004,$A288,'AFA Rates'!$B$5:$B$1004,K$23,'AFA Rates'!$O$5:$O$1004,"&lt;&gt;Expired")&gt;0,"✓",IF(COUNTIFS('AFA Rates'!$A$5:$A$1004,$A288,'AFA Rates'!$B$5:$B$1004,K$23)&gt;0,"Exp","")))</f>
        <v/>
      </c>
      <c r="L288" s="79">
        <f>IF(OR($A288="",L$23=""),"",IF(COUNTIFS('AFA Rates'!$A$5:$A$1004,$A288,'AFA Rates'!$B$5:$B$1004,L$23,'AFA Rates'!$O$5:$O$1004,"&lt;&gt;Expired")&gt;0,"✓",IF(COUNTIFS('AFA Rates'!$A$5:$A$1004,$A288,'AFA Rates'!$B$5:$B$1004,L$23)&gt;0,"Exp","")))</f>
        <v/>
      </c>
      <c r="M288" s="79">
        <f>IF(OR($A288="",M$23=""),"",IF(COUNTIFS('AFA Rates'!$A$5:$A$1004,$A288,'AFA Rates'!$B$5:$B$1004,M$23,'AFA Rates'!$O$5:$O$1004,"&lt;&gt;Expired")&gt;0,"✓",IF(COUNTIFS('AFA Rates'!$A$5:$A$1004,$A288,'AFA Rates'!$B$5:$B$1004,M$23)&gt;0,"Exp","")))</f>
        <v/>
      </c>
    </row>
    <row r="289">
      <c r="A289" s="78">
        <f>IFERROR(INDEX(Firms!$A$5:$A$1004,MATCH(266,Firms!$V$5:$V$1004,0)),"")</f>
        <v/>
      </c>
      <c r="B289" s="79">
        <f>IF($A289="","",INDEX(Firms!$B$5:$B$1004,MATCH(266,Firms!$V$5:$V$1004,0)))</f>
        <v/>
      </c>
      <c r="C289" s="79">
        <f>IF($A289="","",COUNTIFS('AFA Rates'!$A$5:$A$1004,$A289,'AFA Rates'!$O$5:$O$1004,"&lt;&gt;Expired"))</f>
        <v/>
      </c>
      <c r="D289" s="79">
        <f>IF(OR($A289="",D$23=""),"",IF(COUNTIFS('AFA Rates'!$A$5:$A$1004,$A289,'AFA Rates'!$B$5:$B$1004,D$23,'AFA Rates'!$O$5:$O$1004,"&lt;&gt;Expired")&gt;0,"✓",IF(COUNTIFS('AFA Rates'!$A$5:$A$1004,$A289,'AFA Rates'!$B$5:$B$1004,D$23)&gt;0,"Exp","")))</f>
        <v/>
      </c>
      <c r="E289" s="79">
        <f>IF(OR($A289="",E$23=""),"",IF(COUNTIFS('AFA Rates'!$A$5:$A$1004,$A289,'AFA Rates'!$B$5:$B$1004,E$23,'AFA Rates'!$O$5:$O$1004,"&lt;&gt;Expired")&gt;0,"✓",IF(COUNTIFS('AFA Rates'!$A$5:$A$1004,$A289,'AFA Rates'!$B$5:$B$1004,E$23)&gt;0,"Exp","")))</f>
        <v/>
      </c>
      <c r="F289" s="79">
        <f>IF(OR($A289="",F$23=""),"",IF(COUNTIFS('AFA Rates'!$A$5:$A$1004,$A289,'AFA Rates'!$B$5:$B$1004,F$23,'AFA Rates'!$O$5:$O$1004,"&lt;&gt;Expired")&gt;0,"✓",IF(COUNTIFS('AFA Rates'!$A$5:$A$1004,$A289,'AFA Rates'!$B$5:$B$1004,F$23)&gt;0,"Exp","")))</f>
        <v/>
      </c>
      <c r="G289" s="79">
        <f>IF(OR($A289="",G$23=""),"",IF(COUNTIFS('AFA Rates'!$A$5:$A$1004,$A289,'AFA Rates'!$B$5:$B$1004,G$23,'AFA Rates'!$O$5:$O$1004,"&lt;&gt;Expired")&gt;0,"✓",IF(COUNTIFS('AFA Rates'!$A$5:$A$1004,$A289,'AFA Rates'!$B$5:$B$1004,G$23)&gt;0,"Exp","")))</f>
        <v/>
      </c>
      <c r="H289" s="79">
        <f>IF(OR($A289="",H$23=""),"",IF(COUNTIFS('AFA Rates'!$A$5:$A$1004,$A289,'AFA Rates'!$B$5:$B$1004,H$23,'AFA Rates'!$O$5:$O$1004,"&lt;&gt;Expired")&gt;0,"✓",IF(COUNTIFS('AFA Rates'!$A$5:$A$1004,$A289,'AFA Rates'!$B$5:$B$1004,H$23)&gt;0,"Exp","")))</f>
        <v/>
      </c>
      <c r="I289" s="79">
        <f>IF(OR($A289="",I$23=""),"",IF(COUNTIFS('AFA Rates'!$A$5:$A$1004,$A289,'AFA Rates'!$B$5:$B$1004,I$23,'AFA Rates'!$O$5:$O$1004,"&lt;&gt;Expired")&gt;0,"✓",IF(COUNTIFS('AFA Rates'!$A$5:$A$1004,$A289,'AFA Rates'!$B$5:$B$1004,I$23)&gt;0,"Exp","")))</f>
        <v/>
      </c>
      <c r="J289" s="79">
        <f>IF(OR($A289="",J$23=""),"",IF(COUNTIFS('AFA Rates'!$A$5:$A$1004,$A289,'AFA Rates'!$B$5:$B$1004,J$23,'AFA Rates'!$O$5:$O$1004,"&lt;&gt;Expired")&gt;0,"✓",IF(COUNTIFS('AFA Rates'!$A$5:$A$1004,$A289,'AFA Rates'!$B$5:$B$1004,J$23)&gt;0,"Exp","")))</f>
        <v/>
      </c>
      <c r="K289" s="79">
        <f>IF(OR($A289="",K$23=""),"",IF(COUNTIFS('AFA Rates'!$A$5:$A$1004,$A289,'AFA Rates'!$B$5:$B$1004,K$23,'AFA Rates'!$O$5:$O$1004,"&lt;&gt;Expired")&gt;0,"✓",IF(COUNTIFS('AFA Rates'!$A$5:$A$1004,$A289,'AFA Rates'!$B$5:$B$1004,K$23)&gt;0,"Exp","")))</f>
        <v/>
      </c>
      <c r="L289" s="79">
        <f>IF(OR($A289="",L$23=""),"",IF(COUNTIFS('AFA Rates'!$A$5:$A$1004,$A289,'AFA Rates'!$B$5:$B$1004,L$23,'AFA Rates'!$O$5:$O$1004,"&lt;&gt;Expired")&gt;0,"✓",IF(COUNTIFS('AFA Rates'!$A$5:$A$1004,$A289,'AFA Rates'!$B$5:$B$1004,L$23)&gt;0,"Exp","")))</f>
        <v/>
      </c>
      <c r="M289" s="79">
        <f>IF(OR($A289="",M$23=""),"",IF(COUNTIFS('AFA Rates'!$A$5:$A$1004,$A289,'AFA Rates'!$B$5:$B$1004,M$23,'AFA Rates'!$O$5:$O$1004,"&lt;&gt;Expired")&gt;0,"✓",IF(COUNTIFS('AFA Rates'!$A$5:$A$1004,$A289,'AFA Rates'!$B$5:$B$1004,M$23)&gt;0,"Exp","")))</f>
        <v/>
      </c>
    </row>
    <row r="290">
      <c r="A290" s="78">
        <f>IFERROR(INDEX(Firms!$A$5:$A$1004,MATCH(267,Firms!$V$5:$V$1004,0)),"")</f>
        <v/>
      </c>
      <c r="B290" s="79">
        <f>IF($A290="","",INDEX(Firms!$B$5:$B$1004,MATCH(267,Firms!$V$5:$V$1004,0)))</f>
        <v/>
      </c>
      <c r="C290" s="79">
        <f>IF($A290="","",COUNTIFS('AFA Rates'!$A$5:$A$1004,$A290,'AFA Rates'!$O$5:$O$1004,"&lt;&gt;Expired"))</f>
        <v/>
      </c>
      <c r="D290" s="79">
        <f>IF(OR($A290="",D$23=""),"",IF(COUNTIFS('AFA Rates'!$A$5:$A$1004,$A290,'AFA Rates'!$B$5:$B$1004,D$23,'AFA Rates'!$O$5:$O$1004,"&lt;&gt;Expired")&gt;0,"✓",IF(COUNTIFS('AFA Rates'!$A$5:$A$1004,$A290,'AFA Rates'!$B$5:$B$1004,D$23)&gt;0,"Exp","")))</f>
        <v/>
      </c>
      <c r="E290" s="79">
        <f>IF(OR($A290="",E$23=""),"",IF(COUNTIFS('AFA Rates'!$A$5:$A$1004,$A290,'AFA Rates'!$B$5:$B$1004,E$23,'AFA Rates'!$O$5:$O$1004,"&lt;&gt;Expired")&gt;0,"✓",IF(COUNTIFS('AFA Rates'!$A$5:$A$1004,$A290,'AFA Rates'!$B$5:$B$1004,E$23)&gt;0,"Exp","")))</f>
        <v/>
      </c>
      <c r="F290" s="79">
        <f>IF(OR($A290="",F$23=""),"",IF(COUNTIFS('AFA Rates'!$A$5:$A$1004,$A290,'AFA Rates'!$B$5:$B$1004,F$23,'AFA Rates'!$O$5:$O$1004,"&lt;&gt;Expired")&gt;0,"✓",IF(COUNTIFS('AFA Rates'!$A$5:$A$1004,$A290,'AFA Rates'!$B$5:$B$1004,F$23)&gt;0,"Exp","")))</f>
        <v/>
      </c>
      <c r="G290" s="79">
        <f>IF(OR($A290="",G$23=""),"",IF(COUNTIFS('AFA Rates'!$A$5:$A$1004,$A290,'AFA Rates'!$B$5:$B$1004,G$23,'AFA Rates'!$O$5:$O$1004,"&lt;&gt;Expired")&gt;0,"✓",IF(COUNTIFS('AFA Rates'!$A$5:$A$1004,$A290,'AFA Rates'!$B$5:$B$1004,G$23)&gt;0,"Exp","")))</f>
        <v/>
      </c>
      <c r="H290" s="79">
        <f>IF(OR($A290="",H$23=""),"",IF(COUNTIFS('AFA Rates'!$A$5:$A$1004,$A290,'AFA Rates'!$B$5:$B$1004,H$23,'AFA Rates'!$O$5:$O$1004,"&lt;&gt;Expired")&gt;0,"✓",IF(COUNTIFS('AFA Rates'!$A$5:$A$1004,$A290,'AFA Rates'!$B$5:$B$1004,H$23)&gt;0,"Exp","")))</f>
        <v/>
      </c>
      <c r="I290" s="79">
        <f>IF(OR($A290="",I$23=""),"",IF(COUNTIFS('AFA Rates'!$A$5:$A$1004,$A290,'AFA Rates'!$B$5:$B$1004,I$23,'AFA Rates'!$O$5:$O$1004,"&lt;&gt;Expired")&gt;0,"✓",IF(COUNTIFS('AFA Rates'!$A$5:$A$1004,$A290,'AFA Rates'!$B$5:$B$1004,I$23)&gt;0,"Exp","")))</f>
        <v/>
      </c>
      <c r="J290" s="79">
        <f>IF(OR($A290="",J$23=""),"",IF(COUNTIFS('AFA Rates'!$A$5:$A$1004,$A290,'AFA Rates'!$B$5:$B$1004,J$23,'AFA Rates'!$O$5:$O$1004,"&lt;&gt;Expired")&gt;0,"✓",IF(COUNTIFS('AFA Rates'!$A$5:$A$1004,$A290,'AFA Rates'!$B$5:$B$1004,J$23)&gt;0,"Exp","")))</f>
        <v/>
      </c>
      <c r="K290" s="79">
        <f>IF(OR($A290="",K$23=""),"",IF(COUNTIFS('AFA Rates'!$A$5:$A$1004,$A290,'AFA Rates'!$B$5:$B$1004,K$23,'AFA Rates'!$O$5:$O$1004,"&lt;&gt;Expired")&gt;0,"✓",IF(COUNTIFS('AFA Rates'!$A$5:$A$1004,$A290,'AFA Rates'!$B$5:$B$1004,K$23)&gt;0,"Exp","")))</f>
        <v/>
      </c>
      <c r="L290" s="79">
        <f>IF(OR($A290="",L$23=""),"",IF(COUNTIFS('AFA Rates'!$A$5:$A$1004,$A290,'AFA Rates'!$B$5:$B$1004,L$23,'AFA Rates'!$O$5:$O$1004,"&lt;&gt;Expired")&gt;0,"✓",IF(COUNTIFS('AFA Rates'!$A$5:$A$1004,$A290,'AFA Rates'!$B$5:$B$1004,L$23)&gt;0,"Exp","")))</f>
        <v/>
      </c>
      <c r="M290" s="79">
        <f>IF(OR($A290="",M$23=""),"",IF(COUNTIFS('AFA Rates'!$A$5:$A$1004,$A290,'AFA Rates'!$B$5:$B$1004,M$23,'AFA Rates'!$O$5:$O$1004,"&lt;&gt;Expired")&gt;0,"✓",IF(COUNTIFS('AFA Rates'!$A$5:$A$1004,$A290,'AFA Rates'!$B$5:$B$1004,M$23)&gt;0,"Exp","")))</f>
        <v/>
      </c>
    </row>
    <row r="291">
      <c r="A291" s="78">
        <f>IFERROR(INDEX(Firms!$A$5:$A$1004,MATCH(268,Firms!$V$5:$V$1004,0)),"")</f>
        <v/>
      </c>
      <c r="B291" s="79">
        <f>IF($A291="","",INDEX(Firms!$B$5:$B$1004,MATCH(268,Firms!$V$5:$V$1004,0)))</f>
        <v/>
      </c>
      <c r="C291" s="79">
        <f>IF($A291="","",COUNTIFS('AFA Rates'!$A$5:$A$1004,$A291,'AFA Rates'!$O$5:$O$1004,"&lt;&gt;Expired"))</f>
        <v/>
      </c>
      <c r="D291" s="79">
        <f>IF(OR($A291="",D$23=""),"",IF(COUNTIFS('AFA Rates'!$A$5:$A$1004,$A291,'AFA Rates'!$B$5:$B$1004,D$23,'AFA Rates'!$O$5:$O$1004,"&lt;&gt;Expired")&gt;0,"✓",IF(COUNTIFS('AFA Rates'!$A$5:$A$1004,$A291,'AFA Rates'!$B$5:$B$1004,D$23)&gt;0,"Exp","")))</f>
        <v/>
      </c>
      <c r="E291" s="79">
        <f>IF(OR($A291="",E$23=""),"",IF(COUNTIFS('AFA Rates'!$A$5:$A$1004,$A291,'AFA Rates'!$B$5:$B$1004,E$23,'AFA Rates'!$O$5:$O$1004,"&lt;&gt;Expired")&gt;0,"✓",IF(COUNTIFS('AFA Rates'!$A$5:$A$1004,$A291,'AFA Rates'!$B$5:$B$1004,E$23)&gt;0,"Exp","")))</f>
        <v/>
      </c>
      <c r="F291" s="79">
        <f>IF(OR($A291="",F$23=""),"",IF(COUNTIFS('AFA Rates'!$A$5:$A$1004,$A291,'AFA Rates'!$B$5:$B$1004,F$23,'AFA Rates'!$O$5:$O$1004,"&lt;&gt;Expired")&gt;0,"✓",IF(COUNTIFS('AFA Rates'!$A$5:$A$1004,$A291,'AFA Rates'!$B$5:$B$1004,F$23)&gt;0,"Exp","")))</f>
        <v/>
      </c>
      <c r="G291" s="79">
        <f>IF(OR($A291="",G$23=""),"",IF(COUNTIFS('AFA Rates'!$A$5:$A$1004,$A291,'AFA Rates'!$B$5:$B$1004,G$23,'AFA Rates'!$O$5:$O$1004,"&lt;&gt;Expired")&gt;0,"✓",IF(COUNTIFS('AFA Rates'!$A$5:$A$1004,$A291,'AFA Rates'!$B$5:$B$1004,G$23)&gt;0,"Exp","")))</f>
        <v/>
      </c>
      <c r="H291" s="79">
        <f>IF(OR($A291="",H$23=""),"",IF(COUNTIFS('AFA Rates'!$A$5:$A$1004,$A291,'AFA Rates'!$B$5:$B$1004,H$23,'AFA Rates'!$O$5:$O$1004,"&lt;&gt;Expired")&gt;0,"✓",IF(COUNTIFS('AFA Rates'!$A$5:$A$1004,$A291,'AFA Rates'!$B$5:$B$1004,H$23)&gt;0,"Exp","")))</f>
        <v/>
      </c>
      <c r="I291" s="79">
        <f>IF(OR($A291="",I$23=""),"",IF(COUNTIFS('AFA Rates'!$A$5:$A$1004,$A291,'AFA Rates'!$B$5:$B$1004,I$23,'AFA Rates'!$O$5:$O$1004,"&lt;&gt;Expired")&gt;0,"✓",IF(COUNTIFS('AFA Rates'!$A$5:$A$1004,$A291,'AFA Rates'!$B$5:$B$1004,I$23)&gt;0,"Exp","")))</f>
        <v/>
      </c>
      <c r="J291" s="79">
        <f>IF(OR($A291="",J$23=""),"",IF(COUNTIFS('AFA Rates'!$A$5:$A$1004,$A291,'AFA Rates'!$B$5:$B$1004,J$23,'AFA Rates'!$O$5:$O$1004,"&lt;&gt;Expired")&gt;0,"✓",IF(COUNTIFS('AFA Rates'!$A$5:$A$1004,$A291,'AFA Rates'!$B$5:$B$1004,J$23)&gt;0,"Exp","")))</f>
        <v/>
      </c>
      <c r="K291" s="79">
        <f>IF(OR($A291="",K$23=""),"",IF(COUNTIFS('AFA Rates'!$A$5:$A$1004,$A291,'AFA Rates'!$B$5:$B$1004,K$23,'AFA Rates'!$O$5:$O$1004,"&lt;&gt;Expired")&gt;0,"✓",IF(COUNTIFS('AFA Rates'!$A$5:$A$1004,$A291,'AFA Rates'!$B$5:$B$1004,K$23)&gt;0,"Exp","")))</f>
        <v/>
      </c>
      <c r="L291" s="79">
        <f>IF(OR($A291="",L$23=""),"",IF(COUNTIFS('AFA Rates'!$A$5:$A$1004,$A291,'AFA Rates'!$B$5:$B$1004,L$23,'AFA Rates'!$O$5:$O$1004,"&lt;&gt;Expired")&gt;0,"✓",IF(COUNTIFS('AFA Rates'!$A$5:$A$1004,$A291,'AFA Rates'!$B$5:$B$1004,L$23)&gt;0,"Exp","")))</f>
        <v/>
      </c>
      <c r="M291" s="79">
        <f>IF(OR($A291="",M$23=""),"",IF(COUNTIFS('AFA Rates'!$A$5:$A$1004,$A291,'AFA Rates'!$B$5:$B$1004,M$23,'AFA Rates'!$O$5:$O$1004,"&lt;&gt;Expired")&gt;0,"✓",IF(COUNTIFS('AFA Rates'!$A$5:$A$1004,$A291,'AFA Rates'!$B$5:$B$1004,M$23)&gt;0,"Exp","")))</f>
        <v/>
      </c>
    </row>
    <row r="292">
      <c r="A292" s="78">
        <f>IFERROR(INDEX(Firms!$A$5:$A$1004,MATCH(269,Firms!$V$5:$V$1004,0)),"")</f>
        <v/>
      </c>
      <c r="B292" s="79">
        <f>IF($A292="","",INDEX(Firms!$B$5:$B$1004,MATCH(269,Firms!$V$5:$V$1004,0)))</f>
        <v/>
      </c>
      <c r="C292" s="79">
        <f>IF($A292="","",COUNTIFS('AFA Rates'!$A$5:$A$1004,$A292,'AFA Rates'!$O$5:$O$1004,"&lt;&gt;Expired"))</f>
        <v/>
      </c>
      <c r="D292" s="79">
        <f>IF(OR($A292="",D$23=""),"",IF(COUNTIFS('AFA Rates'!$A$5:$A$1004,$A292,'AFA Rates'!$B$5:$B$1004,D$23,'AFA Rates'!$O$5:$O$1004,"&lt;&gt;Expired")&gt;0,"✓",IF(COUNTIFS('AFA Rates'!$A$5:$A$1004,$A292,'AFA Rates'!$B$5:$B$1004,D$23)&gt;0,"Exp","")))</f>
        <v/>
      </c>
      <c r="E292" s="79">
        <f>IF(OR($A292="",E$23=""),"",IF(COUNTIFS('AFA Rates'!$A$5:$A$1004,$A292,'AFA Rates'!$B$5:$B$1004,E$23,'AFA Rates'!$O$5:$O$1004,"&lt;&gt;Expired")&gt;0,"✓",IF(COUNTIFS('AFA Rates'!$A$5:$A$1004,$A292,'AFA Rates'!$B$5:$B$1004,E$23)&gt;0,"Exp","")))</f>
        <v/>
      </c>
      <c r="F292" s="79">
        <f>IF(OR($A292="",F$23=""),"",IF(COUNTIFS('AFA Rates'!$A$5:$A$1004,$A292,'AFA Rates'!$B$5:$B$1004,F$23,'AFA Rates'!$O$5:$O$1004,"&lt;&gt;Expired")&gt;0,"✓",IF(COUNTIFS('AFA Rates'!$A$5:$A$1004,$A292,'AFA Rates'!$B$5:$B$1004,F$23)&gt;0,"Exp","")))</f>
        <v/>
      </c>
      <c r="G292" s="79">
        <f>IF(OR($A292="",G$23=""),"",IF(COUNTIFS('AFA Rates'!$A$5:$A$1004,$A292,'AFA Rates'!$B$5:$B$1004,G$23,'AFA Rates'!$O$5:$O$1004,"&lt;&gt;Expired")&gt;0,"✓",IF(COUNTIFS('AFA Rates'!$A$5:$A$1004,$A292,'AFA Rates'!$B$5:$B$1004,G$23)&gt;0,"Exp","")))</f>
        <v/>
      </c>
      <c r="H292" s="79">
        <f>IF(OR($A292="",H$23=""),"",IF(COUNTIFS('AFA Rates'!$A$5:$A$1004,$A292,'AFA Rates'!$B$5:$B$1004,H$23,'AFA Rates'!$O$5:$O$1004,"&lt;&gt;Expired")&gt;0,"✓",IF(COUNTIFS('AFA Rates'!$A$5:$A$1004,$A292,'AFA Rates'!$B$5:$B$1004,H$23)&gt;0,"Exp","")))</f>
        <v/>
      </c>
      <c r="I292" s="79">
        <f>IF(OR($A292="",I$23=""),"",IF(COUNTIFS('AFA Rates'!$A$5:$A$1004,$A292,'AFA Rates'!$B$5:$B$1004,I$23,'AFA Rates'!$O$5:$O$1004,"&lt;&gt;Expired")&gt;0,"✓",IF(COUNTIFS('AFA Rates'!$A$5:$A$1004,$A292,'AFA Rates'!$B$5:$B$1004,I$23)&gt;0,"Exp","")))</f>
        <v/>
      </c>
      <c r="J292" s="79">
        <f>IF(OR($A292="",J$23=""),"",IF(COUNTIFS('AFA Rates'!$A$5:$A$1004,$A292,'AFA Rates'!$B$5:$B$1004,J$23,'AFA Rates'!$O$5:$O$1004,"&lt;&gt;Expired")&gt;0,"✓",IF(COUNTIFS('AFA Rates'!$A$5:$A$1004,$A292,'AFA Rates'!$B$5:$B$1004,J$23)&gt;0,"Exp","")))</f>
        <v/>
      </c>
      <c r="K292" s="79">
        <f>IF(OR($A292="",K$23=""),"",IF(COUNTIFS('AFA Rates'!$A$5:$A$1004,$A292,'AFA Rates'!$B$5:$B$1004,K$23,'AFA Rates'!$O$5:$O$1004,"&lt;&gt;Expired")&gt;0,"✓",IF(COUNTIFS('AFA Rates'!$A$5:$A$1004,$A292,'AFA Rates'!$B$5:$B$1004,K$23)&gt;0,"Exp","")))</f>
        <v/>
      </c>
      <c r="L292" s="79">
        <f>IF(OR($A292="",L$23=""),"",IF(COUNTIFS('AFA Rates'!$A$5:$A$1004,$A292,'AFA Rates'!$B$5:$B$1004,L$23,'AFA Rates'!$O$5:$O$1004,"&lt;&gt;Expired")&gt;0,"✓",IF(COUNTIFS('AFA Rates'!$A$5:$A$1004,$A292,'AFA Rates'!$B$5:$B$1004,L$23)&gt;0,"Exp","")))</f>
        <v/>
      </c>
      <c r="M292" s="79">
        <f>IF(OR($A292="",M$23=""),"",IF(COUNTIFS('AFA Rates'!$A$5:$A$1004,$A292,'AFA Rates'!$B$5:$B$1004,M$23,'AFA Rates'!$O$5:$O$1004,"&lt;&gt;Expired")&gt;0,"✓",IF(COUNTIFS('AFA Rates'!$A$5:$A$1004,$A292,'AFA Rates'!$B$5:$B$1004,M$23)&gt;0,"Exp","")))</f>
        <v/>
      </c>
    </row>
    <row r="293">
      <c r="A293" s="78">
        <f>IFERROR(INDEX(Firms!$A$5:$A$1004,MATCH(270,Firms!$V$5:$V$1004,0)),"")</f>
        <v/>
      </c>
      <c r="B293" s="79">
        <f>IF($A293="","",INDEX(Firms!$B$5:$B$1004,MATCH(270,Firms!$V$5:$V$1004,0)))</f>
        <v/>
      </c>
      <c r="C293" s="79">
        <f>IF($A293="","",COUNTIFS('AFA Rates'!$A$5:$A$1004,$A293,'AFA Rates'!$O$5:$O$1004,"&lt;&gt;Expired"))</f>
        <v/>
      </c>
      <c r="D293" s="79">
        <f>IF(OR($A293="",D$23=""),"",IF(COUNTIFS('AFA Rates'!$A$5:$A$1004,$A293,'AFA Rates'!$B$5:$B$1004,D$23,'AFA Rates'!$O$5:$O$1004,"&lt;&gt;Expired")&gt;0,"✓",IF(COUNTIFS('AFA Rates'!$A$5:$A$1004,$A293,'AFA Rates'!$B$5:$B$1004,D$23)&gt;0,"Exp","")))</f>
        <v/>
      </c>
      <c r="E293" s="79">
        <f>IF(OR($A293="",E$23=""),"",IF(COUNTIFS('AFA Rates'!$A$5:$A$1004,$A293,'AFA Rates'!$B$5:$B$1004,E$23,'AFA Rates'!$O$5:$O$1004,"&lt;&gt;Expired")&gt;0,"✓",IF(COUNTIFS('AFA Rates'!$A$5:$A$1004,$A293,'AFA Rates'!$B$5:$B$1004,E$23)&gt;0,"Exp","")))</f>
        <v/>
      </c>
      <c r="F293" s="79">
        <f>IF(OR($A293="",F$23=""),"",IF(COUNTIFS('AFA Rates'!$A$5:$A$1004,$A293,'AFA Rates'!$B$5:$B$1004,F$23,'AFA Rates'!$O$5:$O$1004,"&lt;&gt;Expired")&gt;0,"✓",IF(COUNTIFS('AFA Rates'!$A$5:$A$1004,$A293,'AFA Rates'!$B$5:$B$1004,F$23)&gt;0,"Exp","")))</f>
        <v/>
      </c>
      <c r="G293" s="79">
        <f>IF(OR($A293="",G$23=""),"",IF(COUNTIFS('AFA Rates'!$A$5:$A$1004,$A293,'AFA Rates'!$B$5:$B$1004,G$23,'AFA Rates'!$O$5:$O$1004,"&lt;&gt;Expired")&gt;0,"✓",IF(COUNTIFS('AFA Rates'!$A$5:$A$1004,$A293,'AFA Rates'!$B$5:$B$1004,G$23)&gt;0,"Exp","")))</f>
        <v/>
      </c>
      <c r="H293" s="79">
        <f>IF(OR($A293="",H$23=""),"",IF(COUNTIFS('AFA Rates'!$A$5:$A$1004,$A293,'AFA Rates'!$B$5:$B$1004,H$23,'AFA Rates'!$O$5:$O$1004,"&lt;&gt;Expired")&gt;0,"✓",IF(COUNTIFS('AFA Rates'!$A$5:$A$1004,$A293,'AFA Rates'!$B$5:$B$1004,H$23)&gt;0,"Exp","")))</f>
        <v/>
      </c>
      <c r="I293" s="79">
        <f>IF(OR($A293="",I$23=""),"",IF(COUNTIFS('AFA Rates'!$A$5:$A$1004,$A293,'AFA Rates'!$B$5:$B$1004,I$23,'AFA Rates'!$O$5:$O$1004,"&lt;&gt;Expired")&gt;0,"✓",IF(COUNTIFS('AFA Rates'!$A$5:$A$1004,$A293,'AFA Rates'!$B$5:$B$1004,I$23)&gt;0,"Exp","")))</f>
        <v/>
      </c>
      <c r="J293" s="79">
        <f>IF(OR($A293="",J$23=""),"",IF(COUNTIFS('AFA Rates'!$A$5:$A$1004,$A293,'AFA Rates'!$B$5:$B$1004,J$23,'AFA Rates'!$O$5:$O$1004,"&lt;&gt;Expired")&gt;0,"✓",IF(COUNTIFS('AFA Rates'!$A$5:$A$1004,$A293,'AFA Rates'!$B$5:$B$1004,J$23)&gt;0,"Exp","")))</f>
        <v/>
      </c>
      <c r="K293" s="79">
        <f>IF(OR($A293="",K$23=""),"",IF(COUNTIFS('AFA Rates'!$A$5:$A$1004,$A293,'AFA Rates'!$B$5:$B$1004,K$23,'AFA Rates'!$O$5:$O$1004,"&lt;&gt;Expired")&gt;0,"✓",IF(COUNTIFS('AFA Rates'!$A$5:$A$1004,$A293,'AFA Rates'!$B$5:$B$1004,K$23)&gt;0,"Exp","")))</f>
        <v/>
      </c>
      <c r="L293" s="79">
        <f>IF(OR($A293="",L$23=""),"",IF(COUNTIFS('AFA Rates'!$A$5:$A$1004,$A293,'AFA Rates'!$B$5:$B$1004,L$23,'AFA Rates'!$O$5:$O$1004,"&lt;&gt;Expired")&gt;0,"✓",IF(COUNTIFS('AFA Rates'!$A$5:$A$1004,$A293,'AFA Rates'!$B$5:$B$1004,L$23)&gt;0,"Exp","")))</f>
        <v/>
      </c>
      <c r="M293" s="79">
        <f>IF(OR($A293="",M$23=""),"",IF(COUNTIFS('AFA Rates'!$A$5:$A$1004,$A293,'AFA Rates'!$B$5:$B$1004,M$23,'AFA Rates'!$O$5:$O$1004,"&lt;&gt;Expired")&gt;0,"✓",IF(COUNTIFS('AFA Rates'!$A$5:$A$1004,$A293,'AFA Rates'!$B$5:$B$1004,M$23)&gt;0,"Exp","")))</f>
        <v/>
      </c>
    </row>
    <row r="294">
      <c r="A294" s="78">
        <f>IFERROR(INDEX(Firms!$A$5:$A$1004,MATCH(271,Firms!$V$5:$V$1004,0)),"")</f>
        <v/>
      </c>
      <c r="B294" s="79">
        <f>IF($A294="","",INDEX(Firms!$B$5:$B$1004,MATCH(271,Firms!$V$5:$V$1004,0)))</f>
        <v/>
      </c>
      <c r="C294" s="79">
        <f>IF($A294="","",COUNTIFS('AFA Rates'!$A$5:$A$1004,$A294,'AFA Rates'!$O$5:$O$1004,"&lt;&gt;Expired"))</f>
        <v/>
      </c>
      <c r="D294" s="79">
        <f>IF(OR($A294="",D$23=""),"",IF(COUNTIFS('AFA Rates'!$A$5:$A$1004,$A294,'AFA Rates'!$B$5:$B$1004,D$23,'AFA Rates'!$O$5:$O$1004,"&lt;&gt;Expired")&gt;0,"✓",IF(COUNTIFS('AFA Rates'!$A$5:$A$1004,$A294,'AFA Rates'!$B$5:$B$1004,D$23)&gt;0,"Exp","")))</f>
        <v/>
      </c>
      <c r="E294" s="79">
        <f>IF(OR($A294="",E$23=""),"",IF(COUNTIFS('AFA Rates'!$A$5:$A$1004,$A294,'AFA Rates'!$B$5:$B$1004,E$23,'AFA Rates'!$O$5:$O$1004,"&lt;&gt;Expired")&gt;0,"✓",IF(COUNTIFS('AFA Rates'!$A$5:$A$1004,$A294,'AFA Rates'!$B$5:$B$1004,E$23)&gt;0,"Exp","")))</f>
        <v/>
      </c>
      <c r="F294" s="79">
        <f>IF(OR($A294="",F$23=""),"",IF(COUNTIFS('AFA Rates'!$A$5:$A$1004,$A294,'AFA Rates'!$B$5:$B$1004,F$23,'AFA Rates'!$O$5:$O$1004,"&lt;&gt;Expired")&gt;0,"✓",IF(COUNTIFS('AFA Rates'!$A$5:$A$1004,$A294,'AFA Rates'!$B$5:$B$1004,F$23)&gt;0,"Exp","")))</f>
        <v/>
      </c>
      <c r="G294" s="79">
        <f>IF(OR($A294="",G$23=""),"",IF(COUNTIFS('AFA Rates'!$A$5:$A$1004,$A294,'AFA Rates'!$B$5:$B$1004,G$23,'AFA Rates'!$O$5:$O$1004,"&lt;&gt;Expired")&gt;0,"✓",IF(COUNTIFS('AFA Rates'!$A$5:$A$1004,$A294,'AFA Rates'!$B$5:$B$1004,G$23)&gt;0,"Exp","")))</f>
        <v/>
      </c>
      <c r="H294" s="79">
        <f>IF(OR($A294="",H$23=""),"",IF(COUNTIFS('AFA Rates'!$A$5:$A$1004,$A294,'AFA Rates'!$B$5:$B$1004,H$23,'AFA Rates'!$O$5:$O$1004,"&lt;&gt;Expired")&gt;0,"✓",IF(COUNTIFS('AFA Rates'!$A$5:$A$1004,$A294,'AFA Rates'!$B$5:$B$1004,H$23)&gt;0,"Exp","")))</f>
        <v/>
      </c>
      <c r="I294" s="79">
        <f>IF(OR($A294="",I$23=""),"",IF(COUNTIFS('AFA Rates'!$A$5:$A$1004,$A294,'AFA Rates'!$B$5:$B$1004,I$23,'AFA Rates'!$O$5:$O$1004,"&lt;&gt;Expired")&gt;0,"✓",IF(COUNTIFS('AFA Rates'!$A$5:$A$1004,$A294,'AFA Rates'!$B$5:$B$1004,I$23)&gt;0,"Exp","")))</f>
        <v/>
      </c>
      <c r="J294" s="79">
        <f>IF(OR($A294="",J$23=""),"",IF(COUNTIFS('AFA Rates'!$A$5:$A$1004,$A294,'AFA Rates'!$B$5:$B$1004,J$23,'AFA Rates'!$O$5:$O$1004,"&lt;&gt;Expired")&gt;0,"✓",IF(COUNTIFS('AFA Rates'!$A$5:$A$1004,$A294,'AFA Rates'!$B$5:$B$1004,J$23)&gt;0,"Exp","")))</f>
        <v/>
      </c>
      <c r="K294" s="79">
        <f>IF(OR($A294="",K$23=""),"",IF(COUNTIFS('AFA Rates'!$A$5:$A$1004,$A294,'AFA Rates'!$B$5:$B$1004,K$23,'AFA Rates'!$O$5:$O$1004,"&lt;&gt;Expired")&gt;0,"✓",IF(COUNTIFS('AFA Rates'!$A$5:$A$1004,$A294,'AFA Rates'!$B$5:$B$1004,K$23)&gt;0,"Exp","")))</f>
        <v/>
      </c>
      <c r="L294" s="79">
        <f>IF(OR($A294="",L$23=""),"",IF(COUNTIFS('AFA Rates'!$A$5:$A$1004,$A294,'AFA Rates'!$B$5:$B$1004,L$23,'AFA Rates'!$O$5:$O$1004,"&lt;&gt;Expired")&gt;0,"✓",IF(COUNTIFS('AFA Rates'!$A$5:$A$1004,$A294,'AFA Rates'!$B$5:$B$1004,L$23)&gt;0,"Exp","")))</f>
        <v/>
      </c>
      <c r="M294" s="79">
        <f>IF(OR($A294="",M$23=""),"",IF(COUNTIFS('AFA Rates'!$A$5:$A$1004,$A294,'AFA Rates'!$B$5:$B$1004,M$23,'AFA Rates'!$O$5:$O$1004,"&lt;&gt;Expired")&gt;0,"✓",IF(COUNTIFS('AFA Rates'!$A$5:$A$1004,$A294,'AFA Rates'!$B$5:$B$1004,M$23)&gt;0,"Exp","")))</f>
        <v/>
      </c>
    </row>
    <row r="295">
      <c r="A295" s="78">
        <f>IFERROR(INDEX(Firms!$A$5:$A$1004,MATCH(272,Firms!$V$5:$V$1004,0)),"")</f>
        <v/>
      </c>
      <c r="B295" s="79">
        <f>IF($A295="","",INDEX(Firms!$B$5:$B$1004,MATCH(272,Firms!$V$5:$V$1004,0)))</f>
        <v/>
      </c>
      <c r="C295" s="79">
        <f>IF($A295="","",COUNTIFS('AFA Rates'!$A$5:$A$1004,$A295,'AFA Rates'!$O$5:$O$1004,"&lt;&gt;Expired"))</f>
        <v/>
      </c>
      <c r="D295" s="79">
        <f>IF(OR($A295="",D$23=""),"",IF(COUNTIFS('AFA Rates'!$A$5:$A$1004,$A295,'AFA Rates'!$B$5:$B$1004,D$23,'AFA Rates'!$O$5:$O$1004,"&lt;&gt;Expired")&gt;0,"✓",IF(COUNTIFS('AFA Rates'!$A$5:$A$1004,$A295,'AFA Rates'!$B$5:$B$1004,D$23)&gt;0,"Exp","")))</f>
        <v/>
      </c>
      <c r="E295" s="79">
        <f>IF(OR($A295="",E$23=""),"",IF(COUNTIFS('AFA Rates'!$A$5:$A$1004,$A295,'AFA Rates'!$B$5:$B$1004,E$23,'AFA Rates'!$O$5:$O$1004,"&lt;&gt;Expired")&gt;0,"✓",IF(COUNTIFS('AFA Rates'!$A$5:$A$1004,$A295,'AFA Rates'!$B$5:$B$1004,E$23)&gt;0,"Exp","")))</f>
        <v/>
      </c>
      <c r="F295" s="79">
        <f>IF(OR($A295="",F$23=""),"",IF(COUNTIFS('AFA Rates'!$A$5:$A$1004,$A295,'AFA Rates'!$B$5:$B$1004,F$23,'AFA Rates'!$O$5:$O$1004,"&lt;&gt;Expired")&gt;0,"✓",IF(COUNTIFS('AFA Rates'!$A$5:$A$1004,$A295,'AFA Rates'!$B$5:$B$1004,F$23)&gt;0,"Exp","")))</f>
        <v/>
      </c>
      <c r="G295" s="79">
        <f>IF(OR($A295="",G$23=""),"",IF(COUNTIFS('AFA Rates'!$A$5:$A$1004,$A295,'AFA Rates'!$B$5:$B$1004,G$23,'AFA Rates'!$O$5:$O$1004,"&lt;&gt;Expired")&gt;0,"✓",IF(COUNTIFS('AFA Rates'!$A$5:$A$1004,$A295,'AFA Rates'!$B$5:$B$1004,G$23)&gt;0,"Exp","")))</f>
        <v/>
      </c>
      <c r="H295" s="79">
        <f>IF(OR($A295="",H$23=""),"",IF(COUNTIFS('AFA Rates'!$A$5:$A$1004,$A295,'AFA Rates'!$B$5:$B$1004,H$23,'AFA Rates'!$O$5:$O$1004,"&lt;&gt;Expired")&gt;0,"✓",IF(COUNTIFS('AFA Rates'!$A$5:$A$1004,$A295,'AFA Rates'!$B$5:$B$1004,H$23)&gt;0,"Exp","")))</f>
        <v/>
      </c>
      <c r="I295" s="79">
        <f>IF(OR($A295="",I$23=""),"",IF(COUNTIFS('AFA Rates'!$A$5:$A$1004,$A295,'AFA Rates'!$B$5:$B$1004,I$23,'AFA Rates'!$O$5:$O$1004,"&lt;&gt;Expired")&gt;0,"✓",IF(COUNTIFS('AFA Rates'!$A$5:$A$1004,$A295,'AFA Rates'!$B$5:$B$1004,I$23)&gt;0,"Exp","")))</f>
        <v/>
      </c>
      <c r="J295" s="79">
        <f>IF(OR($A295="",J$23=""),"",IF(COUNTIFS('AFA Rates'!$A$5:$A$1004,$A295,'AFA Rates'!$B$5:$B$1004,J$23,'AFA Rates'!$O$5:$O$1004,"&lt;&gt;Expired")&gt;0,"✓",IF(COUNTIFS('AFA Rates'!$A$5:$A$1004,$A295,'AFA Rates'!$B$5:$B$1004,J$23)&gt;0,"Exp","")))</f>
        <v/>
      </c>
      <c r="K295" s="79">
        <f>IF(OR($A295="",K$23=""),"",IF(COUNTIFS('AFA Rates'!$A$5:$A$1004,$A295,'AFA Rates'!$B$5:$B$1004,K$23,'AFA Rates'!$O$5:$O$1004,"&lt;&gt;Expired")&gt;0,"✓",IF(COUNTIFS('AFA Rates'!$A$5:$A$1004,$A295,'AFA Rates'!$B$5:$B$1004,K$23)&gt;0,"Exp","")))</f>
        <v/>
      </c>
      <c r="L295" s="79">
        <f>IF(OR($A295="",L$23=""),"",IF(COUNTIFS('AFA Rates'!$A$5:$A$1004,$A295,'AFA Rates'!$B$5:$B$1004,L$23,'AFA Rates'!$O$5:$O$1004,"&lt;&gt;Expired")&gt;0,"✓",IF(COUNTIFS('AFA Rates'!$A$5:$A$1004,$A295,'AFA Rates'!$B$5:$B$1004,L$23)&gt;0,"Exp","")))</f>
        <v/>
      </c>
      <c r="M295" s="79">
        <f>IF(OR($A295="",M$23=""),"",IF(COUNTIFS('AFA Rates'!$A$5:$A$1004,$A295,'AFA Rates'!$B$5:$B$1004,M$23,'AFA Rates'!$O$5:$O$1004,"&lt;&gt;Expired")&gt;0,"✓",IF(COUNTIFS('AFA Rates'!$A$5:$A$1004,$A295,'AFA Rates'!$B$5:$B$1004,M$23)&gt;0,"Exp","")))</f>
        <v/>
      </c>
    </row>
    <row r="296">
      <c r="A296" s="78">
        <f>IFERROR(INDEX(Firms!$A$5:$A$1004,MATCH(273,Firms!$V$5:$V$1004,0)),"")</f>
        <v/>
      </c>
      <c r="B296" s="79">
        <f>IF($A296="","",INDEX(Firms!$B$5:$B$1004,MATCH(273,Firms!$V$5:$V$1004,0)))</f>
        <v/>
      </c>
      <c r="C296" s="79">
        <f>IF($A296="","",COUNTIFS('AFA Rates'!$A$5:$A$1004,$A296,'AFA Rates'!$O$5:$O$1004,"&lt;&gt;Expired"))</f>
        <v/>
      </c>
      <c r="D296" s="79">
        <f>IF(OR($A296="",D$23=""),"",IF(COUNTIFS('AFA Rates'!$A$5:$A$1004,$A296,'AFA Rates'!$B$5:$B$1004,D$23,'AFA Rates'!$O$5:$O$1004,"&lt;&gt;Expired")&gt;0,"✓",IF(COUNTIFS('AFA Rates'!$A$5:$A$1004,$A296,'AFA Rates'!$B$5:$B$1004,D$23)&gt;0,"Exp","")))</f>
        <v/>
      </c>
      <c r="E296" s="79">
        <f>IF(OR($A296="",E$23=""),"",IF(COUNTIFS('AFA Rates'!$A$5:$A$1004,$A296,'AFA Rates'!$B$5:$B$1004,E$23,'AFA Rates'!$O$5:$O$1004,"&lt;&gt;Expired")&gt;0,"✓",IF(COUNTIFS('AFA Rates'!$A$5:$A$1004,$A296,'AFA Rates'!$B$5:$B$1004,E$23)&gt;0,"Exp","")))</f>
        <v/>
      </c>
      <c r="F296" s="79">
        <f>IF(OR($A296="",F$23=""),"",IF(COUNTIFS('AFA Rates'!$A$5:$A$1004,$A296,'AFA Rates'!$B$5:$B$1004,F$23,'AFA Rates'!$O$5:$O$1004,"&lt;&gt;Expired")&gt;0,"✓",IF(COUNTIFS('AFA Rates'!$A$5:$A$1004,$A296,'AFA Rates'!$B$5:$B$1004,F$23)&gt;0,"Exp","")))</f>
        <v/>
      </c>
      <c r="G296" s="79">
        <f>IF(OR($A296="",G$23=""),"",IF(COUNTIFS('AFA Rates'!$A$5:$A$1004,$A296,'AFA Rates'!$B$5:$B$1004,G$23,'AFA Rates'!$O$5:$O$1004,"&lt;&gt;Expired")&gt;0,"✓",IF(COUNTIFS('AFA Rates'!$A$5:$A$1004,$A296,'AFA Rates'!$B$5:$B$1004,G$23)&gt;0,"Exp","")))</f>
        <v/>
      </c>
      <c r="H296" s="79">
        <f>IF(OR($A296="",H$23=""),"",IF(COUNTIFS('AFA Rates'!$A$5:$A$1004,$A296,'AFA Rates'!$B$5:$B$1004,H$23,'AFA Rates'!$O$5:$O$1004,"&lt;&gt;Expired")&gt;0,"✓",IF(COUNTIFS('AFA Rates'!$A$5:$A$1004,$A296,'AFA Rates'!$B$5:$B$1004,H$23)&gt;0,"Exp","")))</f>
        <v/>
      </c>
      <c r="I296" s="79">
        <f>IF(OR($A296="",I$23=""),"",IF(COUNTIFS('AFA Rates'!$A$5:$A$1004,$A296,'AFA Rates'!$B$5:$B$1004,I$23,'AFA Rates'!$O$5:$O$1004,"&lt;&gt;Expired")&gt;0,"✓",IF(COUNTIFS('AFA Rates'!$A$5:$A$1004,$A296,'AFA Rates'!$B$5:$B$1004,I$23)&gt;0,"Exp","")))</f>
        <v/>
      </c>
      <c r="J296" s="79">
        <f>IF(OR($A296="",J$23=""),"",IF(COUNTIFS('AFA Rates'!$A$5:$A$1004,$A296,'AFA Rates'!$B$5:$B$1004,J$23,'AFA Rates'!$O$5:$O$1004,"&lt;&gt;Expired")&gt;0,"✓",IF(COUNTIFS('AFA Rates'!$A$5:$A$1004,$A296,'AFA Rates'!$B$5:$B$1004,J$23)&gt;0,"Exp","")))</f>
        <v/>
      </c>
      <c r="K296" s="79">
        <f>IF(OR($A296="",K$23=""),"",IF(COUNTIFS('AFA Rates'!$A$5:$A$1004,$A296,'AFA Rates'!$B$5:$B$1004,K$23,'AFA Rates'!$O$5:$O$1004,"&lt;&gt;Expired")&gt;0,"✓",IF(COUNTIFS('AFA Rates'!$A$5:$A$1004,$A296,'AFA Rates'!$B$5:$B$1004,K$23)&gt;0,"Exp","")))</f>
        <v/>
      </c>
      <c r="L296" s="79">
        <f>IF(OR($A296="",L$23=""),"",IF(COUNTIFS('AFA Rates'!$A$5:$A$1004,$A296,'AFA Rates'!$B$5:$B$1004,L$23,'AFA Rates'!$O$5:$O$1004,"&lt;&gt;Expired")&gt;0,"✓",IF(COUNTIFS('AFA Rates'!$A$5:$A$1004,$A296,'AFA Rates'!$B$5:$B$1004,L$23)&gt;0,"Exp","")))</f>
        <v/>
      </c>
      <c r="M296" s="79">
        <f>IF(OR($A296="",M$23=""),"",IF(COUNTIFS('AFA Rates'!$A$5:$A$1004,$A296,'AFA Rates'!$B$5:$B$1004,M$23,'AFA Rates'!$O$5:$O$1004,"&lt;&gt;Expired")&gt;0,"✓",IF(COUNTIFS('AFA Rates'!$A$5:$A$1004,$A296,'AFA Rates'!$B$5:$B$1004,M$23)&gt;0,"Exp","")))</f>
        <v/>
      </c>
    </row>
    <row r="297">
      <c r="A297" s="78">
        <f>IFERROR(INDEX(Firms!$A$5:$A$1004,MATCH(274,Firms!$V$5:$V$1004,0)),"")</f>
        <v/>
      </c>
      <c r="B297" s="79">
        <f>IF($A297="","",INDEX(Firms!$B$5:$B$1004,MATCH(274,Firms!$V$5:$V$1004,0)))</f>
        <v/>
      </c>
      <c r="C297" s="79">
        <f>IF($A297="","",COUNTIFS('AFA Rates'!$A$5:$A$1004,$A297,'AFA Rates'!$O$5:$O$1004,"&lt;&gt;Expired"))</f>
        <v/>
      </c>
      <c r="D297" s="79">
        <f>IF(OR($A297="",D$23=""),"",IF(COUNTIFS('AFA Rates'!$A$5:$A$1004,$A297,'AFA Rates'!$B$5:$B$1004,D$23,'AFA Rates'!$O$5:$O$1004,"&lt;&gt;Expired")&gt;0,"✓",IF(COUNTIFS('AFA Rates'!$A$5:$A$1004,$A297,'AFA Rates'!$B$5:$B$1004,D$23)&gt;0,"Exp","")))</f>
        <v/>
      </c>
      <c r="E297" s="79">
        <f>IF(OR($A297="",E$23=""),"",IF(COUNTIFS('AFA Rates'!$A$5:$A$1004,$A297,'AFA Rates'!$B$5:$B$1004,E$23,'AFA Rates'!$O$5:$O$1004,"&lt;&gt;Expired")&gt;0,"✓",IF(COUNTIFS('AFA Rates'!$A$5:$A$1004,$A297,'AFA Rates'!$B$5:$B$1004,E$23)&gt;0,"Exp","")))</f>
        <v/>
      </c>
      <c r="F297" s="79">
        <f>IF(OR($A297="",F$23=""),"",IF(COUNTIFS('AFA Rates'!$A$5:$A$1004,$A297,'AFA Rates'!$B$5:$B$1004,F$23,'AFA Rates'!$O$5:$O$1004,"&lt;&gt;Expired")&gt;0,"✓",IF(COUNTIFS('AFA Rates'!$A$5:$A$1004,$A297,'AFA Rates'!$B$5:$B$1004,F$23)&gt;0,"Exp","")))</f>
        <v/>
      </c>
      <c r="G297" s="79">
        <f>IF(OR($A297="",G$23=""),"",IF(COUNTIFS('AFA Rates'!$A$5:$A$1004,$A297,'AFA Rates'!$B$5:$B$1004,G$23,'AFA Rates'!$O$5:$O$1004,"&lt;&gt;Expired")&gt;0,"✓",IF(COUNTIFS('AFA Rates'!$A$5:$A$1004,$A297,'AFA Rates'!$B$5:$B$1004,G$23)&gt;0,"Exp","")))</f>
        <v/>
      </c>
      <c r="H297" s="79">
        <f>IF(OR($A297="",H$23=""),"",IF(COUNTIFS('AFA Rates'!$A$5:$A$1004,$A297,'AFA Rates'!$B$5:$B$1004,H$23,'AFA Rates'!$O$5:$O$1004,"&lt;&gt;Expired")&gt;0,"✓",IF(COUNTIFS('AFA Rates'!$A$5:$A$1004,$A297,'AFA Rates'!$B$5:$B$1004,H$23)&gt;0,"Exp","")))</f>
        <v/>
      </c>
      <c r="I297" s="79">
        <f>IF(OR($A297="",I$23=""),"",IF(COUNTIFS('AFA Rates'!$A$5:$A$1004,$A297,'AFA Rates'!$B$5:$B$1004,I$23,'AFA Rates'!$O$5:$O$1004,"&lt;&gt;Expired")&gt;0,"✓",IF(COUNTIFS('AFA Rates'!$A$5:$A$1004,$A297,'AFA Rates'!$B$5:$B$1004,I$23)&gt;0,"Exp","")))</f>
        <v/>
      </c>
      <c r="J297" s="79">
        <f>IF(OR($A297="",J$23=""),"",IF(COUNTIFS('AFA Rates'!$A$5:$A$1004,$A297,'AFA Rates'!$B$5:$B$1004,J$23,'AFA Rates'!$O$5:$O$1004,"&lt;&gt;Expired")&gt;0,"✓",IF(COUNTIFS('AFA Rates'!$A$5:$A$1004,$A297,'AFA Rates'!$B$5:$B$1004,J$23)&gt;0,"Exp","")))</f>
        <v/>
      </c>
      <c r="K297" s="79">
        <f>IF(OR($A297="",K$23=""),"",IF(COUNTIFS('AFA Rates'!$A$5:$A$1004,$A297,'AFA Rates'!$B$5:$B$1004,K$23,'AFA Rates'!$O$5:$O$1004,"&lt;&gt;Expired")&gt;0,"✓",IF(COUNTIFS('AFA Rates'!$A$5:$A$1004,$A297,'AFA Rates'!$B$5:$B$1004,K$23)&gt;0,"Exp","")))</f>
        <v/>
      </c>
      <c r="L297" s="79">
        <f>IF(OR($A297="",L$23=""),"",IF(COUNTIFS('AFA Rates'!$A$5:$A$1004,$A297,'AFA Rates'!$B$5:$B$1004,L$23,'AFA Rates'!$O$5:$O$1004,"&lt;&gt;Expired")&gt;0,"✓",IF(COUNTIFS('AFA Rates'!$A$5:$A$1004,$A297,'AFA Rates'!$B$5:$B$1004,L$23)&gt;0,"Exp","")))</f>
        <v/>
      </c>
      <c r="M297" s="79">
        <f>IF(OR($A297="",M$23=""),"",IF(COUNTIFS('AFA Rates'!$A$5:$A$1004,$A297,'AFA Rates'!$B$5:$B$1004,M$23,'AFA Rates'!$O$5:$O$1004,"&lt;&gt;Expired")&gt;0,"✓",IF(COUNTIFS('AFA Rates'!$A$5:$A$1004,$A297,'AFA Rates'!$B$5:$B$1004,M$23)&gt;0,"Exp","")))</f>
        <v/>
      </c>
    </row>
    <row r="298">
      <c r="A298" s="78">
        <f>IFERROR(INDEX(Firms!$A$5:$A$1004,MATCH(275,Firms!$V$5:$V$1004,0)),"")</f>
        <v/>
      </c>
      <c r="B298" s="79">
        <f>IF($A298="","",INDEX(Firms!$B$5:$B$1004,MATCH(275,Firms!$V$5:$V$1004,0)))</f>
        <v/>
      </c>
      <c r="C298" s="79">
        <f>IF($A298="","",COUNTIFS('AFA Rates'!$A$5:$A$1004,$A298,'AFA Rates'!$O$5:$O$1004,"&lt;&gt;Expired"))</f>
        <v/>
      </c>
      <c r="D298" s="79">
        <f>IF(OR($A298="",D$23=""),"",IF(COUNTIFS('AFA Rates'!$A$5:$A$1004,$A298,'AFA Rates'!$B$5:$B$1004,D$23,'AFA Rates'!$O$5:$O$1004,"&lt;&gt;Expired")&gt;0,"✓",IF(COUNTIFS('AFA Rates'!$A$5:$A$1004,$A298,'AFA Rates'!$B$5:$B$1004,D$23)&gt;0,"Exp","")))</f>
        <v/>
      </c>
      <c r="E298" s="79">
        <f>IF(OR($A298="",E$23=""),"",IF(COUNTIFS('AFA Rates'!$A$5:$A$1004,$A298,'AFA Rates'!$B$5:$B$1004,E$23,'AFA Rates'!$O$5:$O$1004,"&lt;&gt;Expired")&gt;0,"✓",IF(COUNTIFS('AFA Rates'!$A$5:$A$1004,$A298,'AFA Rates'!$B$5:$B$1004,E$23)&gt;0,"Exp","")))</f>
        <v/>
      </c>
      <c r="F298" s="79">
        <f>IF(OR($A298="",F$23=""),"",IF(COUNTIFS('AFA Rates'!$A$5:$A$1004,$A298,'AFA Rates'!$B$5:$B$1004,F$23,'AFA Rates'!$O$5:$O$1004,"&lt;&gt;Expired")&gt;0,"✓",IF(COUNTIFS('AFA Rates'!$A$5:$A$1004,$A298,'AFA Rates'!$B$5:$B$1004,F$23)&gt;0,"Exp","")))</f>
        <v/>
      </c>
      <c r="G298" s="79">
        <f>IF(OR($A298="",G$23=""),"",IF(COUNTIFS('AFA Rates'!$A$5:$A$1004,$A298,'AFA Rates'!$B$5:$B$1004,G$23,'AFA Rates'!$O$5:$O$1004,"&lt;&gt;Expired")&gt;0,"✓",IF(COUNTIFS('AFA Rates'!$A$5:$A$1004,$A298,'AFA Rates'!$B$5:$B$1004,G$23)&gt;0,"Exp","")))</f>
        <v/>
      </c>
      <c r="H298" s="79">
        <f>IF(OR($A298="",H$23=""),"",IF(COUNTIFS('AFA Rates'!$A$5:$A$1004,$A298,'AFA Rates'!$B$5:$B$1004,H$23,'AFA Rates'!$O$5:$O$1004,"&lt;&gt;Expired")&gt;0,"✓",IF(COUNTIFS('AFA Rates'!$A$5:$A$1004,$A298,'AFA Rates'!$B$5:$B$1004,H$23)&gt;0,"Exp","")))</f>
        <v/>
      </c>
      <c r="I298" s="79">
        <f>IF(OR($A298="",I$23=""),"",IF(COUNTIFS('AFA Rates'!$A$5:$A$1004,$A298,'AFA Rates'!$B$5:$B$1004,I$23,'AFA Rates'!$O$5:$O$1004,"&lt;&gt;Expired")&gt;0,"✓",IF(COUNTIFS('AFA Rates'!$A$5:$A$1004,$A298,'AFA Rates'!$B$5:$B$1004,I$23)&gt;0,"Exp","")))</f>
        <v/>
      </c>
      <c r="J298" s="79">
        <f>IF(OR($A298="",J$23=""),"",IF(COUNTIFS('AFA Rates'!$A$5:$A$1004,$A298,'AFA Rates'!$B$5:$B$1004,J$23,'AFA Rates'!$O$5:$O$1004,"&lt;&gt;Expired")&gt;0,"✓",IF(COUNTIFS('AFA Rates'!$A$5:$A$1004,$A298,'AFA Rates'!$B$5:$B$1004,J$23)&gt;0,"Exp","")))</f>
        <v/>
      </c>
      <c r="K298" s="79">
        <f>IF(OR($A298="",K$23=""),"",IF(COUNTIFS('AFA Rates'!$A$5:$A$1004,$A298,'AFA Rates'!$B$5:$B$1004,K$23,'AFA Rates'!$O$5:$O$1004,"&lt;&gt;Expired")&gt;0,"✓",IF(COUNTIFS('AFA Rates'!$A$5:$A$1004,$A298,'AFA Rates'!$B$5:$B$1004,K$23)&gt;0,"Exp","")))</f>
        <v/>
      </c>
      <c r="L298" s="79">
        <f>IF(OR($A298="",L$23=""),"",IF(COUNTIFS('AFA Rates'!$A$5:$A$1004,$A298,'AFA Rates'!$B$5:$B$1004,L$23,'AFA Rates'!$O$5:$O$1004,"&lt;&gt;Expired")&gt;0,"✓",IF(COUNTIFS('AFA Rates'!$A$5:$A$1004,$A298,'AFA Rates'!$B$5:$B$1004,L$23)&gt;0,"Exp","")))</f>
        <v/>
      </c>
      <c r="M298" s="79">
        <f>IF(OR($A298="",M$23=""),"",IF(COUNTIFS('AFA Rates'!$A$5:$A$1004,$A298,'AFA Rates'!$B$5:$B$1004,M$23,'AFA Rates'!$O$5:$O$1004,"&lt;&gt;Expired")&gt;0,"✓",IF(COUNTIFS('AFA Rates'!$A$5:$A$1004,$A298,'AFA Rates'!$B$5:$B$1004,M$23)&gt;0,"Exp","")))</f>
        <v/>
      </c>
    </row>
    <row r="299">
      <c r="A299" s="78">
        <f>IFERROR(INDEX(Firms!$A$5:$A$1004,MATCH(276,Firms!$V$5:$V$1004,0)),"")</f>
        <v/>
      </c>
      <c r="B299" s="79">
        <f>IF($A299="","",INDEX(Firms!$B$5:$B$1004,MATCH(276,Firms!$V$5:$V$1004,0)))</f>
        <v/>
      </c>
      <c r="C299" s="79">
        <f>IF($A299="","",COUNTIFS('AFA Rates'!$A$5:$A$1004,$A299,'AFA Rates'!$O$5:$O$1004,"&lt;&gt;Expired"))</f>
        <v/>
      </c>
      <c r="D299" s="79">
        <f>IF(OR($A299="",D$23=""),"",IF(COUNTIFS('AFA Rates'!$A$5:$A$1004,$A299,'AFA Rates'!$B$5:$B$1004,D$23,'AFA Rates'!$O$5:$O$1004,"&lt;&gt;Expired")&gt;0,"✓",IF(COUNTIFS('AFA Rates'!$A$5:$A$1004,$A299,'AFA Rates'!$B$5:$B$1004,D$23)&gt;0,"Exp","")))</f>
        <v/>
      </c>
      <c r="E299" s="79">
        <f>IF(OR($A299="",E$23=""),"",IF(COUNTIFS('AFA Rates'!$A$5:$A$1004,$A299,'AFA Rates'!$B$5:$B$1004,E$23,'AFA Rates'!$O$5:$O$1004,"&lt;&gt;Expired")&gt;0,"✓",IF(COUNTIFS('AFA Rates'!$A$5:$A$1004,$A299,'AFA Rates'!$B$5:$B$1004,E$23)&gt;0,"Exp","")))</f>
        <v/>
      </c>
      <c r="F299" s="79">
        <f>IF(OR($A299="",F$23=""),"",IF(COUNTIFS('AFA Rates'!$A$5:$A$1004,$A299,'AFA Rates'!$B$5:$B$1004,F$23,'AFA Rates'!$O$5:$O$1004,"&lt;&gt;Expired")&gt;0,"✓",IF(COUNTIFS('AFA Rates'!$A$5:$A$1004,$A299,'AFA Rates'!$B$5:$B$1004,F$23)&gt;0,"Exp","")))</f>
        <v/>
      </c>
      <c r="G299" s="79">
        <f>IF(OR($A299="",G$23=""),"",IF(COUNTIFS('AFA Rates'!$A$5:$A$1004,$A299,'AFA Rates'!$B$5:$B$1004,G$23,'AFA Rates'!$O$5:$O$1004,"&lt;&gt;Expired")&gt;0,"✓",IF(COUNTIFS('AFA Rates'!$A$5:$A$1004,$A299,'AFA Rates'!$B$5:$B$1004,G$23)&gt;0,"Exp","")))</f>
        <v/>
      </c>
      <c r="H299" s="79">
        <f>IF(OR($A299="",H$23=""),"",IF(COUNTIFS('AFA Rates'!$A$5:$A$1004,$A299,'AFA Rates'!$B$5:$B$1004,H$23,'AFA Rates'!$O$5:$O$1004,"&lt;&gt;Expired")&gt;0,"✓",IF(COUNTIFS('AFA Rates'!$A$5:$A$1004,$A299,'AFA Rates'!$B$5:$B$1004,H$23)&gt;0,"Exp","")))</f>
        <v/>
      </c>
      <c r="I299" s="79">
        <f>IF(OR($A299="",I$23=""),"",IF(COUNTIFS('AFA Rates'!$A$5:$A$1004,$A299,'AFA Rates'!$B$5:$B$1004,I$23,'AFA Rates'!$O$5:$O$1004,"&lt;&gt;Expired")&gt;0,"✓",IF(COUNTIFS('AFA Rates'!$A$5:$A$1004,$A299,'AFA Rates'!$B$5:$B$1004,I$23)&gt;0,"Exp","")))</f>
        <v/>
      </c>
      <c r="J299" s="79">
        <f>IF(OR($A299="",J$23=""),"",IF(COUNTIFS('AFA Rates'!$A$5:$A$1004,$A299,'AFA Rates'!$B$5:$B$1004,J$23,'AFA Rates'!$O$5:$O$1004,"&lt;&gt;Expired")&gt;0,"✓",IF(COUNTIFS('AFA Rates'!$A$5:$A$1004,$A299,'AFA Rates'!$B$5:$B$1004,J$23)&gt;0,"Exp","")))</f>
        <v/>
      </c>
      <c r="K299" s="79">
        <f>IF(OR($A299="",K$23=""),"",IF(COUNTIFS('AFA Rates'!$A$5:$A$1004,$A299,'AFA Rates'!$B$5:$B$1004,K$23,'AFA Rates'!$O$5:$O$1004,"&lt;&gt;Expired")&gt;0,"✓",IF(COUNTIFS('AFA Rates'!$A$5:$A$1004,$A299,'AFA Rates'!$B$5:$B$1004,K$23)&gt;0,"Exp","")))</f>
        <v/>
      </c>
      <c r="L299" s="79">
        <f>IF(OR($A299="",L$23=""),"",IF(COUNTIFS('AFA Rates'!$A$5:$A$1004,$A299,'AFA Rates'!$B$5:$B$1004,L$23,'AFA Rates'!$O$5:$O$1004,"&lt;&gt;Expired")&gt;0,"✓",IF(COUNTIFS('AFA Rates'!$A$5:$A$1004,$A299,'AFA Rates'!$B$5:$B$1004,L$23)&gt;0,"Exp","")))</f>
        <v/>
      </c>
      <c r="M299" s="79">
        <f>IF(OR($A299="",M$23=""),"",IF(COUNTIFS('AFA Rates'!$A$5:$A$1004,$A299,'AFA Rates'!$B$5:$B$1004,M$23,'AFA Rates'!$O$5:$O$1004,"&lt;&gt;Expired")&gt;0,"✓",IF(COUNTIFS('AFA Rates'!$A$5:$A$1004,$A299,'AFA Rates'!$B$5:$B$1004,M$23)&gt;0,"Exp","")))</f>
        <v/>
      </c>
    </row>
    <row r="300">
      <c r="A300" s="78">
        <f>IFERROR(INDEX(Firms!$A$5:$A$1004,MATCH(277,Firms!$V$5:$V$1004,0)),"")</f>
        <v/>
      </c>
      <c r="B300" s="79">
        <f>IF($A300="","",INDEX(Firms!$B$5:$B$1004,MATCH(277,Firms!$V$5:$V$1004,0)))</f>
        <v/>
      </c>
      <c r="C300" s="79">
        <f>IF($A300="","",COUNTIFS('AFA Rates'!$A$5:$A$1004,$A300,'AFA Rates'!$O$5:$O$1004,"&lt;&gt;Expired"))</f>
        <v/>
      </c>
      <c r="D300" s="79">
        <f>IF(OR($A300="",D$23=""),"",IF(COUNTIFS('AFA Rates'!$A$5:$A$1004,$A300,'AFA Rates'!$B$5:$B$1004,D$23,'AFA Rates'!$O$5:$O$1004,"&lt;&gt;Expired")&gt;0,"✓",IF(COUNTIFS('AFA Rates'!$A$5:$A$1004,$A300,'AFA Rates'!$B$5:$B$1004,D$23)&gt;0,"Exp","")))</f>
        <v/>
      </c>
      <c r="E300" s="79">
        <f>IF(OR($A300="",E$23=""),"",IF(COUNTIFS('AFA Rates'!$A$5:$A$1004,$A300,'AFA Rates'!$B$5:$B$1004,E$23,'AFA Rates'!$O$5:$O$1004,"&lt;&gt;Expired")&gt;0,"✓",IF(COUNTIFS('AFA Rates'!$A$5:$A$1004,$A300,'AFA Rates'!$B$5:$B$1004,E$23)&gt;0,"Exp","")))</f>
        <v/>
      </c>
      <c r="F300" s="79">
        <f>IF(OR($A300="",F$23=""),"",IF(COUNTIFS('AFA Rates'!$A$5:$A$1004,$A300,'AFA Rates'!$B$5:$B$1004,F$23,'AFA Rates'!$O$5:$O$1004,"&lt;&gt;Expired")&gt;0,"✓",IF(COUNTIFS('AFA Rates'!$A$5:$A$1004,$A300,'AFA Rates'!$B$5:$B$1004,F$23)&gt;0,"Exp","")))</f>
        <v/>
      </c>
      <c r="G300" s="79">
        <f>IF(OR($A300="",G$23=""),"",IF(COUNTIFS('AFA Rates'!$A$5:$A$1004,$A300,'AFA Rates'!$B$5:$B$1004,G$23,'AFA Rates'!$O$5:$O$1004,"&lt;&gt;Expired")&gt;0,"✓",IF(COUNTIFS('AFA Rates'!$A$5:$A$1004,$A300,'AFA Rates'!$B$5:$B$1004,G$23)&gt;0,"Exp","")))</f>
        <v/>
      </c>
      <c r="H300" s="79">
        <f>IF(OR($A300="",H$23=""),"",IF(COUNTIFS('AFA Rates'!$A$5:$A$1004,$A300,'AFA Rates'!$B$5:$B$1004,H$23,'AFA Rates'!$O$5:$O$1004,"&lt;&gt;Expired")&gt;0,"✓",IF(COUNTIFS('AFA Rates'!$A$5:$A$1004,$A300,'AFA Rates'!$B$5:$B$1004,H$23)&gt;0,"Exp","")))</f>
        <v/>
      </c>
      <c r="I300" s="79">
        <f>IF(OR($A300="",I$23=""),"",IF(COUNTIFS('AFA Rates'!$A$5:$A$1004,$A300,'AFA Rates'!$B$5:$B$1004,I$23,'AFA Rates'!$O$5:$O$1004,"&lt;&gt;Expired")&gt;0,"✓",IF(COUNTIFS('AFA Rates'!$A$5:$A$1004,$A300,'AFA Rates'!$B$5:$B$1004,I$23)&gt;0,"Exp","")))</f>
        <v/>
      </c>
      <c r="J300" s="79">
        <f>IF(OR($A300="",J$23=""),"",IF(COUNTIFS('AFA Rates'!$A$5:$A$1004,$A300,'AFA Rates'!$B$5:$B$1004,J$23,'AFA Rates'!$O$5:$O$1004,"&lt;&gt;Expired")&gt;0,"✓",IF(COUNTIFS('AFA Rates'!$A$5:$A$1004,$A300,'AFA Rates'!$B$5:$B$1004,J$23)&gt;0,"Exp","")))</f>
        <v/>
      </c>
      <c r="K300" s="79">
        <f>IF(OR($A300="",K$23=""),"",IF(COUNTIFS('AFA Rates'!$A$5:$A$1004,$A300,'AFA Rates'!$B$5:$B$1004,K$23,'AFA Rates'!$O$5:$O$1004,"&lt;&gt;Expired")&gt;0,"✓",IF(COUNTIFS('AFA Rates'!$A$5:$A$1004,$A300,'AFA Rates'!$B$5:$B$1004,K$23)&gt;0,"Exp","")))</f>
        <v/>
      </c>
      <c r="L300" s="79">
        <f>IF(OR($A300="",L$23=""),"",IF(COUNTIFS('AFA Rates'!$A$5:$A$1004,$A300,'AFA Rates'!$B$5:$B$1004,L$23,'AFA Rates'!$O$5:$O$1004,"&lt;&gt;Expired")&gt;0,"✓",IF(COUNTIFS('AFA Rates'!$A$5:$A$1004,$A300,'AFA Rates'!$B$5:$B$1004,L$23)&gt;0,"Exp","")))</f>
        <v/>
      </c>
      <c r="M300" s="79">
        <f>IF(OR($A300="",M$23=""),"",IF(COUNTIFS('AFA Rates'!$A$5:$A$1004,$A300,'AFA Rates'!$B$5:$B$1004,M$23,'AFA Rates'!$O$5:$O$1004,"&lt;&gt;Expired")&gt;0,"✓",IF(COUNTIFS('AFA Rates'!$A$5:$A$1004,$A300,'AFA Rates'!$B$5:$B$1004,M$23)&gt;0,"Exp","")))</f>
        <v/>
      </c>
    </row>
    <row r="301">
      <c r="A301" s="78">
        <f>IFERROR(INDEX(Firms!$A$5:$A$1004,MATCH(278,Firms!$V$5:$V$1004,0)),"")</f>
        <v/>
      </c>
      <c r="B301" s="79">
        <f>IF($A301="","",INDEX(Firms!$B$5:$B$1004,MATCH(278,Firms!$V$5:$V$1004,0)))</f>
        <v/>
      </c>
      <c r="C301" s="79">
        <f>IF($A301="","",COUNTIFS('AFA Rates'!$A$5:$A$1004,$A301,'AFA Rates'!$O$5:$O$1004,"&lt;&gt;Expired"))</f>
        <v/>
      </c>
      <c r="D301" s="79">
        <f>IF(OR($A301="",D$23=""),"",IF(COUNTIFS('AFA Rates'!$A$5:$A$1004,$A301,'AFA Rates'!$B$5:$B$1004,D$23,'AFA Rates'!$O$5:$O$1004,"&lt;&gt;Expired")&gt;0,"✓",IF(COUNTIFS('AFA Rates'!$A$5:$A$1004,$A301,'AFA Rates'!$B$5:$B$1004,D$23)&gt;0,"Exp","")))</f>
        <v/>
      </c>
      <c r="E301" s="79">
        <f>IF(OR($A301="",E$23=""),"",IF(COUNTIFS('AFA Rates'!$A$5:$A$1004,$A301,'AFA Rates'!$B$5:$B$1004,E$23,'AFA Rates'!$O$5:$O$1004,"&lt;&gt;Expired")&gt;0,"✓",IF(COUNTIFS('AFA Rates'!$A$5:$A$1004,$A301,'AFA Rates'!$B$5:$B$1004,E$23)&gt;0,"Exp","")))</f>
        <v/>
      </c>
      <c r="F301" s="79">
        <f>IF(OR($A301="",F$23=""),"",IF(COUNTIFS('AFA Rates'!$A$5:$A$1004,$A301,'AFA Rates'!$B$5:$B$1004,F$23,'AFA Rates'!$O$5:$O$1004,"&lt;&gt;Expired")&gt;0,"✓",IF(COUNTIFS('AFA Rates'!$A$5:$A$1004,$A301,'AFA Rates'!$B$5:$B$1004,F$23)&gt;0,"Exp","")))</f>
        <v/>
      </c>
      <c r="G301" s="79">
        <f>IF(OR($A301="",G$23=""),"",IF(COUNTIFS('AFA Rates'!$A$5:$A$1004,$A301,'AFA Rates'!$B$5:$B$1004,G$23,'AFA Rates'!$O$5:$O$1004,"&lt;&gt;Expired")&gt;0,"✓",IF(COUNTIFS('AFA Rates'!$A$5:$A$1004,$A301,'AFA Rates'!$B$5:$B$1004,G$23)&gt;0,"Exp","")))</f>
        <v/>
      </c>
      <c r="H301" s="79">
        <f>IF(OR($A301="",H$23=""),"",IF(COUNTIFS('AFA Rates'!$A$5:$A$1004,$A301,'AFA Rates'!$B$5:$B$1004,H$23,'AFA Rates'!$O$5:$O$1004,"&lt;&gt;Expired")&gt;0,"✓",IF(COUNTIFS('AFA Rates'!$A$5:$A$1004,$A301,'AFA Rates'!$B$5:$B$1004,H$23)&gt;0,"Exp","")))</f>
        <v/>
      </c>
      <c r="I301" s="79">
        <f>IF(OR($A301="",I$23=""),"",IF(COUNTIFS('AFA Rates'!$A$5:$A$1004,$A301,'AFA Rates'!$B$5:$B$1004,I$23,'AFA Rates'!$O$5:$O$1004,"&lt;&gt;Expired")&gt;0,"✓",IF(COUNTIFS('AFA Rates'!$A$5:$A$1004,$A301,'AFA Rates'!$B$5:$B$1004,I$23)&gt;0,"Exp","")))</f>
        <v/>
      </c>
      <c r="J301" s="79">
        <f>IF(OR($A301="",J$23=""),"",IF(COUNTIFS('AFA Rates'!$A$5:$A$1004,$A301,'AFA Rates'!$B$5:$B$1004,J$23,'AFA Rates'!$O$5:$O$1004,"&lt;&gt;Expired")&gt;0,"✓",IF(COUNTIFS('AFA Rates'!$A$5:$A$1004,$A301,'AFA Rates'!$B$5:$B$1004,J$23)&gt;0,"Exp","")))</f>
        <v/>
      </c>
      <c r="K301" s="79">
        <f>IF(OR($A301="",K$23=""),"",IF(COUNTIFS('AFA Rates'!$A$5:$A$1004,$A301,'AFA Rates'!$B$5:$B$1004,K$23,'AFA Rates'!$O$5:$O$1004,"&lt;&gt;Expired")&gt;0,"✓",IF(COUNTIFS('AFA Rates'!$A$5:$A$1004,$A301,'AFA Rates'!$B$5:$B$1004,K$23)&gt;0,"Exp","")))</f>
        <v/>
      </c>
      <c r="L301" s="79">
        <f>IF(OR($A301="",L$23=""),"",IF(COUNTIFS('AFA Rates'!$A$5:$A$1004,$A301,'AFA Rates'!$B$5:$B$1004,L$23,'AFA Rates'!$O$5:$O$1004,"&lt;&gt;Expired")&gt;0,"✓",IF(COUNTIFS('AFA Rates'!$A$5:$A$1004,$A301,'AFA Rates'!$B$5:$B$1004,L$23)&gt;0,"Exp","")))</f>
        <v/>
      </c>
      <c r="M301" s="79">
        <f>IF(OR($A301="",M$23=""),"",IF(COUNTIFS('AFA Rates'!$A$5:$A$1004,$A301,'AFA Rates'!$B$5:$B$1004,M$23,'AFA Rates'!$O$5:$O$1004,"&lt;&gt;Expired")&gt;0,"✓",IF(COUNTIFS('AFA Rates'!$A$5:$A$1004,$A301,'AFA Rates'!$B$5:$B$1004,M$23)&gt;0,"Exp","")))</f>
        <v/>
      </c>
    </row>
    <row r="302">
      <c r="A302" s="78">
        <f>IFERROR(INDEX(Firms!$A$5:$A$1004,MATCH(279,Firms!$V$5:$V$1004,0)),"")</f>
        <v/>
      </c>
      <c r="B302" s="79">
        <f>IF($A302="","",INDEX(Firms!$B$5:$B$1004,MATCH(279,Firms!$V$5:$V$1004,0)))</f>
        <v/>
      </c>
      <c r="C302" s="79">
        <f>IF($A302="","",COUNTIFS('AFA Rates'!$A$5:$A$1004,$A302,'AFA Rates'!$O$5:$O$1004,"&lt;&gt;Expired"))</f>
        <v/>
      </c>
      <c r="D302" s="79">
        <f>IF(OR($A302="",D$23=""),"",IF(COUNTIFS('AFA Rates'!$A$5:$A$1004,$A302,'AFA Rates'!$B$5:$B$1004,D$23,'AFA Rates'!$O$5:$O$1004,"&lt;&gt;Expired")&gt;0,"✓",IF(COUNTIFS('AFA Rates'!$A$5:$A$1004,$A302,'AFA Rates'!$B$5:$B$1004,D$23)&gt;0,"Exp","")))</f>
        <v/>
      </c>
      <c r="E302" s="79">
        <f>IF(OR($A302="",E$23=""),"",IF(COUNTIFS('AFA Rates'!$A$5:$A$1004,$A302,'AFA Rates'!$B$5:$B$1004,E$23,'AFA Rates'!$O$5:$O$1004,"&lt;&gt;Expired")&gt;0,"✓",IF(COUNTIFS('AFA Rates'!$A$5:$A$1004,$A302,'AFA Rates'!$B$5:$B$1004,E$23)&gt;0,"Exp","")))</f>
        <v/>
      </c>
      <c r="F302" s="79">
        <f>IF(OR($A302="",F$23=""),"",IF(COUNTIFS('AFA Rates'!$A$5:$A$1004,$A302,'AFA Rates'!$B$5:$B$1004,F$23,'AFA Rates'!$O$5:$O$1004,"&lt;&gt;Expired")&gt;0,"✓",IF(COUNTIFS('AFA Rates'!$A$5:$A$1004,$A302,'AFA Rates'!$B$5:$B$1004,F$23)&gt;0,"Exp","")))</f>
        <v/>
      </c>
      <c r="G302" s="79">
        <f>IF(OR($A302="",G$23=""),"",IF(COUNTIFS('AFA Rates'!$A$5:$A$1004,$A302,'AFA Rates'!$B$5:$B$1004,G$23,'AFA Rates'!$O$5:$O$1004,"&lt;&gt;Expired")&gt;0,"✓",IF(COUNTIFS('AFA Rates'!$A$5:$A$1004,$A302,'AFA Rates'!$B$5:$B$1004,G$23)&gt;0,"Exp","")))</f>
        <v/>
      </c>
      <c r="H302" s="79">
        <f>IF(OR($A302="",H$23=""),"",IF(COUNTIFS('AFA Rates'!$A$5:$A$1004,$A302,'AFA Rates'!$B$5:$B$1004,H$23,'AFA Rates'!$O$5:$O$1004,"&lt;&gt;Expired")&gt;0,"✓",IF(COUNTIFS('AFA Rates'!$A$5:$A$1004,$A302,'AFA Rates'!$B$5:$B$1004,H$23)&gt;0,"Exp","")))</f>
        <v/>
      </c>
      <c r="I302" s="79">
        <f>IF(OR($A302="",I$23=""),"",IF(COUNTIFS('AFA Rates'!$A$5:$A$1004,$A302,'AFA Rates'!$B$5:$B$1004,I$23,'AFA Rates'!$O$5:$O$1004,"&lt;&gt;Expired")&gt;0,"✓",IF(COUNTIFS('AFA Rates'!$A$5:$A$1004,$A302,'AFA Rates'!$B$5:$B$1004,I$23)&gt;0,"Exp","")))</f>
        <v/>
      </c>
      <c r="J302" s="79">
        <f>IF(OR($A302="",J$23=""),"",IF(COUNTIFS('AFA Rates'!$A$5:$A$1004,$A302,'AFA Rates'!$B$5:$B$1004,J$23,'AFA Rates'!$O$5:$O$1004,"&lt;&gt;Expired")&gt;0,"✓",IF(COUNTIFS('AFA Rates'!$A$5:$A$1004,$A302,'AFA Rates'!$B$5:$B$1004,J$23)&gt;0,"Exp","")))</f>
        <v/>
      </c>
      <c r="K302" s="79">
        <f>IF(OR($A302="",K$23=""),"",IF(COUNTIFS('AFA Rates'!$A$5:$A$1004,$A302,'AFA Rates'!$B$5:$B$1004,K$23,'AFA Rates'!$O$5:$O$1004,"&lt;&gt;Expired")&gt;0,"✓",IF(COUNTIFS('AFA Rates'!$A$5:$A$1004,$A302,'AFA Rates'!$B$5:$B$1004,K$23)&gt;0,"Exp","")))</f>
        <v/>
      </c>
      <c r="L302" s="79">
        <f>IF(OR($A302="",L$23=""),"",IF(COUNTIFS('AFA Rates'!$A$5:$A$1004,$A302,'AFA Rates'!$B$5:$B$1004,L$23,'AFA Rates'!$O$5:$O$1004,"&lt;&gt;Expired")&gt;0,"✓",IF(COUNTIFS('AFA Rates'!$A$5:$A$1004,$A302,'AFA Rates'!$B$5:$B$1004,L$23)&gt;0,"Exp","")))</f>
        <v/>
      </c>
      <c r="M302" s="79">
        <f>IF(OR($A302="",M$23=""),"",IF(COUNTIFS('AFA Rates'!$A$5:$A$1004,$A302,'AFA Rates'!$B$5:$B$1004,M$23,'AFA Rates'!$O$5:$O$1004,"&lt;&gt;Expired")&gt;0,"✓",IF(COUNTIFS('AFA Rates'!$A$5:$A$1004,$A302,'AFA Rates'!$B$5:$B$1004,M$23)&gt;0,"Exp","")))</f>
        <v/>
      </c>
    </row>
    <row r="303">
      <c r="A303" s="78">
        <f>IFERROR(INDEX(Firms!$A$5:$A$1004,MATCH(280,Firms!$V$5:$V$1004,0)),"")</f>
        <v/>
      </c>
      <c r="B303" s="79">
        <f>IF($A303="","",INDEX(Firms!$B$5:$B$1004,MATCH(280,Firms!$V$5:$V$1004,0)))</f>
        <v/>
      </c>
      <c r="C303" s="79">
        <f>IF($A303="","",COUNTIFS('AFA Rates'!$A$5:$A$1004,$A303,'AFA Rates'!$O$5:$O$1004,"&lt;&gt;Expired"))</f>
        <v/>
      </c>
      <c r="D303" s="79">
        <f>IF(OR($A303="",D$23=""),"",IF(COUNTIFS('AFA Rates'!$A$5:$A$1004,$A303,'AFA Rates'!$B$5:$B$1004,D$23,'AFA Rates'!$O$5:$O$1004,"&lt;&gt;Expired")&gt;0,"✓",IF(COUNTIFS('AFA Rates'!$A$5:$A$1004,$A303,'AFA Rates'!$B$5:$B$1004,D$23)&gt;0,"Exp","")))</f>
        <v/>
      </c>
      <c r="E303" s="79">
        <f>IF(OR($A303="",E$23=""),"",IF(COUNTIFS('AFA Rates'!$A$5:$A$1004,$A303,'AFA Rates'!$B$5:$B$1004,E$23,'AFA Rates'!$O$5:$O$1004,"&lt;&gt;Expired")&gt;0,"✓",IF(COUNTIFS('AFA Rates'!$A$5:$A$1004,$A303,'AFA Rates'!$B$5:$B$1004,E$23)&gt;0,"Exp","")))</f>
        <v/>
      </c>
      <c r="F303" s="79">
        <f>IF(OR($A303="",F$23=""),"",IF(COUNTIFS('AFA Rates'!$A$5:$A$1004,$A303,'AFA Rates'!$B$5:$B$1004,F$23,'AFA Rates'!$O$5:$O$1004,"&lt;&gt;Expired")&gt;0,"✓",IF(COUNTIFS('AFA Rates'!$A$5:$A$1004,$A303,'AFA Rates'!$B$5:$B$1004,F$23)&gt;0,"Exp","")))</f>
        <v/>
      </c>
      <c r="G303" s="79">
        <f>IF(OR($A303="",G$23=""),"",IF(COUNTIFS('AFA Rates'!$A$5:$A$1004,$A303,'AFA Rates'!$B$5:$B$1004,G$23,'AFA Rates'!$O$5:$O$1004,"&lt;&gt;Expired")&gt;0,"✓",IF(COUNTIFS('AFA Rates'!$A$5:$A$1004,$A303,'AFA Rates'!$B$5:$B$1004,G$23)&gt;0,"Exp","")))</f>
        <v/>
      </c>
      <c r="H303" s="79">
        <f>IF(OR($A303="",H$23=""),"",IF(COUNTIFS('AFA Rates'!$A$5:$A$1004,$A303,'AFA Rates'!$B$5:$B$1004,H$23,'AFA Rates'!$O$5:$O$1004,"&lt;&gt;Expired")&gt;0,"✓",IF(COUNTIFS('AFA Rates'!$A$5:$A$1004,$A303,'AFA Rates'!$B$5:$B$1004,H$23)&gt;0,"Exp","")))</f>
        <v/>
      </c>
      <c r="I303" s="79">
        <f>IF(OR($A303="",I$23=""),"",IF(COUNTIFS('AFA Rates'!$A$5:$A$1004,$A303,'AFA Rates'!$B$5:$B$1004,I$23,'AFA Rates'!$O$5:$O$1004,"&lt;&gt;Expired")&gt;0,"✓",IF(COUNTIFS('AFA Rates'!$A$5:$A$1004,$A303,'AFA Rates'!$B$5:$B$1004,I$23)&gt;0,"Exp","")))</f>
        <v/>
      </c>
      <c r="J303" s="79">
        <f>IF(OR($A303="",J$23=""),"",IF(COUNTIFS('AFA Rates'!$A$5:$A$1004,$A303,'AFA Rates'!$B$5:$B$1004,J$23,'AFA Rates'!$O$5:$O$1004,"&lt;&gt;Expired")&gt;0,"✓",IF(COUNTIFS('AFA Rates'!$A$5:$A$1004,$A303,'AFA Rates'!$B$5:$B$1004,J$23)&gt;0,"Exp","")))</f>
        <v/>
      </c>
      <c r="K303" s="79">
        <f>IF(OR($A303="",K$23=""),"",IF(COUNTIFS('AFA Rates'!$A$5:$A$1004,$A303,'AFA Rates'!$B$5:$B$1004,K$23,'AFA Rates'!$O$5:$O$1004,"&lt;&gt;Expired")&gt;0,"✓",IF(COUNTIFS('AFA Rates'!$A$5:$A$1004,$A303,'AFA Rates'!$B$5:$B$1004,K$23)&gt;0,"Exp","")))</f>
        <v/>
      </c>
      <c r="L303" s="79">
        <f>IF(OR($A303="",L$23=""),"",IF(COUNTIFS('AFA Rates'!$A$5:$A$1004,$A303,'AFA Rates'!$B$5:$B$1004,L$23,'AFA Rates'!$O$5:$O$1004,"&lt;&gt;Expired")&gt;0,"✓",IF(COUNTIFS('AFA Rates'!$A$5:$A$1004,$A303,'AFA Rates'!$B$5:$B$1004,L$23)&gt;0,"Exp","")))</f>
        <v/>
      </c>
      <c r="M303" s="79">
        <f>IF(OR($A303="",M$23=""),"",IF(COUNTIFS('AFA Rates'!$A$5:$A$1004,$A303,'AFA Rates'!$B$5:$B$1004,M$23,'AFA Rates'!$O$5:$O$1004,"&lt;&gt;Expired")&gt;0,"✓",IF(COUNTIFS('AFA Rates'!$A$5:$A$1004,$A303,'AFA Rates'!$B$5:$B$1004,M$23)&gt;0,"Exp","")))</f>
        <v/>
      </c>
    </row>
    <row r="304">
      <c r="A304" s="78">
        <f>IFERROR(INDEX(Firms!$A$5:$A$1004,MATCH(281,Firms!$V$5:$V$1004,0)),"")</f>
        <v/>
      </c>
      <c r="B304" s="79">
        <f>IF($A304="","",INDEX(Firms!$B$5:$B$1004,MATCH(281,Firms!$V$5:$V$1004,0)))</f>
        <v/>
      </c>
      <c r="C304" s="79">
        <f>IF($A304="","",COUNTIFS('AFA Rates'!$A$5:$A$1004,$A304,'AFA Rates'!$O$5:$O$1004,"&lt;&gt;Expired"))</f>
        <v/>
      </c>
      <c r="D304" s="79">
        <f>IF(OR($A304="",D$23=""),"",IF(COUNTIFS('AFA Rates'!$A$5:$A$1004,$A304,'AFA Rates'!$B$5:$B$1004,D$23,'AFA Rates'!$O$5:$O$1004,"&lt;&gt;Expired")&gt;0,"✓",IF(COUNTIFS('AFA Rates'!$A$5:$A$1004,$A304,'AFA Rates'!$B$5:$B$1004,D$23)&gt;0,"Exp","")))</f>
        <v/>
      </c>
      <c r="E304" s="79">
        <f>IF(OR($A304="",E$23=""),"",IF(COUNTIFS('AFA Rates'!$A$5:$A$1004,$A304,'AFA Rates'!$B$5:$B$1004,E$23,'AFA Rates'!$O$5:$O$1004,"&lt;&gt;Expired")&gt;0,"✓",IF(COUNTIFS('AFA Rates'!$A$5:$A$1004,$A304,'AFA Rates'!$B$5:$B$1004,E$23)&gt;0,"Exp","")))</f>
        <v/>
      </c>
      <c r="F304" s="79">
        <f>IF(OR($A304="",F$23=""),"",IF(COUNTIFS('AFA Rates'!$A$5:$A$1004,$A304,'AFA Rates'!$B$5:$B$1004,F$23,'AFA Rates'!$O$5:$O$1004,"&lt;&gt;Expired")&gt;0,"✓",IF(COUNTIFS('AFA Rates'!$A$5:$A$1004,$A304,'AFA Rates'!$B$5:$B$1004,F$23)&gt;0,"Exp","")))</f>
        <v/>
      </c>
      <c r="G304" s="79">
        <f>IF(OR($A304="",G$23=""),"",IF(COUNTIFS('AFA Rates'!$A$5:$A$1004,$A304,'AFA Rates'!$B$5:$B$1004,G$23,'AFA Rates'!$O$5:$O$1004,"&lt;&gt;Expired")&gt;0,"✓",IF(COUNTIFS('AFA Rates'!$A$5:$A$1004,$A304,'AFA Rates'!$B$5:$B$1004,G$23)&gt;0,"Exp","")))</f>
        <v/>
      </c>
      <c r="H304" s="79">
        <f>IF(OR($A304="",H$23=""),"",IF(COUNTIFS('AFA Rates'!$A$5:$A$1004,$A304,'AFA Rates'!$B$5:$B$1004,H$23,'AFA Rates'!$O$5:$O$1004,"&lt;&gt;Expired")&gt;0,"✓",IF(COUNTIFS('AFA Rates'!$A$5:$A$1004,$A304,'AFA Rates'!$B$5:$B$1004,H$23)&gt;0,"Exp","")))</f>
        <v/>
      </c>
      <c r="I304" s="79">
        <f>IF(OR($A304="",I$23=""),"",IF(COUNTIFS('AFA Rates'!$A$5:$A$1004,$A304,'AFA Rates'!$B$5:$B$1004,I$23,'AFA Rates'!$O$5:$O$1004,"&lt;&gt;Expired")&gt;0,"✓",IF(COUNTIFS('AFA Rates'!$A$5:$A$1004,$A304,'AFA Rates'!$B$5:$B$1004,I$23)&gt;0,"Exp","")))</f>
        <v/>
      </c>
      <c r="J304" s="79">
        <f>IF(OR($A304="",J$23=""),"",IF(COUNTIFS('AFA Rates'!$A$5:$A$1004,$A304,'AFA Rates'!$B$5:$B$1004,J$23,'AFA Rates'!$O$5:$O$1004,"&lt;&gt;Expired")&gt;0,"✓",IF(COUNTIFS('AFA Rates'!$A$5:$A$1004,$A304,'AFA Rates'!$B$5:$B$1004,J$23)&gt;0,"Exp","")))</f>
        <v/>
      </c>
      <c r="K304" s="79">
        <f>IF(OR($A304="",K$23=""),"",IF(COUNTIFS('AFA Rates'!$A$5:$A$1004,$A304,'AFA Rates'!$B$5:$B$1004,K$23,'AFA Rates'!$O$5:$O$1004,"&lt;&gt;Expired")&gt;0,"✓",IF(COUNTIFS('AFA Rates'!$A$5:$A$1004,$A304,'AFA Rates'!$B$5:$B$1004,K$23)&gt;0,"Exp","")))</f>
        <v/>
      </c>
      <c r="L304" s="79">
        <f>IF(OR($A304="",L$23=""),"",IF(COUNTIFS('AFA Rates'!$A$5:$A$1004,$A304,'AFA Rates'!$B$5:$B$1004,L$23,'AFA Rates'!$O$5:$O$1004,"&lt;&gt;Expired")&gt;0,"✓",IF(COUNTIFS('AFA Rates'!$A$5:$A$1004,$A304,'AFA Rates'!$B$5:$B$1004,L$23)&gt;0,"Exp","")))</f>
        <v/>
      </c>
      <c r="M304" s="79">
        <f>IF(OR($A304="",M$23=""),"",IF(COUNTIFS('AFA Rates'!$A$5:$A$1004,$A304,'AFA Rates'!$B$5:$B$1004,M$23,'AFA Rates'!$O$5:$O$1004,"&lt;&gt;Expired")&gt;0,"✓",IF(COUNTIFS('AFA Rates'!$A$5:$A$1004,$A304,'AFA Rates'!$B$5:$B$1004,M$23)&gt;0,"Exp","")))</f>
        <v/>
      </c>
    </row>
    <row r="305">
      <c r="A305" s="78">
        <f>IFERROR(INDEX(Firms!$A$5:$A$1004,MATCH(282,Firms!$V$5:$V$1004,0)),"")</f>
        <v/>
      </c>
      <c r="B305" s="79">
        <f>IF($A305="","",INDEX(Firms!$B$5:$B$1004,MATCH(282,Firms!$V$5:$V$1004,0)))</f>
        <v/>
      </c>
      <c r="C305" s="79">
        <f>IF($A305="","",COUNTIFS('AFA Rates'!$A$5:$A$1004,$A305,'AFA Rates'!$O$5:$O$1004,"&lt;&gt;Expired"))</f>
        <v/>
      </c>
      <c r="D305" s="79">
        <f>IF(OR($A305="",D$23=""),"",IF(COUNTIFS('AFA Rates'!$A$5:$A$1004,$A305,'AFA Rates'!$B$5:$B$1004,D$23,'AFA Rates'!$O$5:$O$1004,"&lt;&gt;Expired")&gt;0,"✓",IF(COUNTIFS('AFA Rates'!$A$5:$A$1004,$A305,'AFA Rates'!$B$5:$B$1004,D$23)&gt;0,"Exp","")))</f>
        <v/>
      </c>
      <c r="E305" s="79">
        <f>IF(OR($A305="",E$23=""),"",IF(COUNTIFS('AFA Rates'!$A$5:$A$1004,$A305,'AFA Rates'!$B$5:$B$1004,E$23,'AFA Rates'!$O$5:$O$1004,"&lt;&gt;Expired")&gt;0,"✓",IF(COUNTIFS('AFA Rates'!$A$5:$A$1004,$A305,'AFA Rates'!$B$5:$B$1004,E$23)&gt;0,"Exp","")))</f>
        <v/>
      </c>
      <c r="F305" s="79">
        <f>IF(OR($A305="",F$23=""),"",IF(COUNTIFS('AFA Rates'!$A$5:$A$1004,$A305,'AFA Rates'!$B$5:$B$1004,F$23,'AFA Rates'!$O$5:$O$1004,"&lt;&gt;Expired")&gt;0,"✓",IF(COUNTIFS('AFA Rates'!$A$5:$A$1004,$A305,'AFA Rates'!$B$5:$B$1004,F$23)&gt;0,"Exp","")))</f>
        <v/>
      </c>
      <c r="G305" s="79">
        <f>IF(OR($A305="",G$23=""),"",IF(COUNTIFS('AFA Rates'!$A$5:$A$1004,$A305,'AFA Rates'!$B$5:$B$1004,G$23,'AFA Rates'!$O$5:$O$1004,"&lt;&gt;Expired")&gt;0,"✓",IF(COUNTIFS('AFA Rates'!$A$5:$A$1004,$A305,'AFA Rates'!$B$5:$B$1004,G$23)&gt;0,"Exp","")))</f>
        <v/>
      </c>
      <c r="H305" s="79">
        <f>IF(OR($A305="",H$23=""),"",IF(COUNTIFS('AFA Rates'!$A$5:$A$1004,$A305,'AFA Rates'!$B$5:$B$1004,H$23,'AFA Rates'!$O$5:$O$1004,"&lt;&gt;Expired")&gt;0,"✓",IF(COUNTIFS('AFA Rates'!$A$5:$A$1004,$A305,'AFA Rates'!$B$5:$B$1004,H$23)&gt;0,"Exp","")))</f>
        <v/>
      </c>
      <c r="I305" s="79">
        <f>IF(OR($A305="",I$23=""),"",IF(COUNTIFS('AFA Rates'!$A$5:$A$1004,$A305,'AFA Rates'!$B$5:$B$1004,I$23,'AFA Rates'!$O$5:$O$1004,"&lt;&gt;Expired")&gt;0,"✓",IF(COUNTIFS('AFA Rates'!$A$5:$A$1004,$A305,'AFA Rates'!$B$5:$B$1004,I$23)&gt;0,"Exp","")))</f>
        <v/>
      </c>
      <c r="J305" s="79">
        <f>IF(OR($A305="",J$23=""),"",IF(COUNTIFS('AFA Rates'!$A$5:$A$1004,$A305,'AFA Rates'!$B$5:$B$1004,J$23,'AFA Rates'!$O$5:$O$1004,"&lt;&gt;Expired")&gt;0,"✓",IF(COUNTIFS('AFA Rates'!$A$5:$A$1004,$A305,'AFA Rates'!$B$5:$B$1004,J$23)&gt;0,"Exp","")))</f>
        <v/>
      </c>
      <c r="K305" s="79">
        <f>IF(OR($A305="",K$23=""),"",IF(COUNTIFS('AFA Rates'!$A$5:$A$1004,$A305,'AFA Rates'!$B$5:$B$1004,K$23,'AFA Rates'!$O$5:$O$1004,"&lt;&gt;Expired")&gt;0,"✓",IF(COUNTIFS('AFA Rates'!$A$5:$A$1004,$A305,'AFA Rates'!$B$5:$B$1004,K$23)&gt;0,"Exp","")))</f>
        <v/>
      </c>
      <c r="L305" s="79">
        <f>IF(OR($A305="",L$23=""),"",IF(COUNTIFS('AFA Rates'!$A$5:$A$1004,$A305,'AFA Rates'!$B$5:$B$1004,L$23,'AFA Rates'!$O$5:$O$1004,"&lt;&gt;Expired")&gt;0,"✓",IF(COUNTIFS('AFA Rates'!$A$5:$A$1004,$A305,'AFA Rates'!$B$5:$B$1004,L$23)&gt;0,"Exp","")))</f>
        <v/>
      </c>
      <c r="M305" s="79">
        <f>IF(OR($A305="",M$23=""),"",IF(COUNTIFS('AFA Rates'!$A$5:$A$1004,$A305,'AFA Rates'!$B$5:$B$1004,M$23,'AFA Rates'!$O$5:$O$1004,"&lt;&gt;Expired")&gt;0,"✓",IF(COUNTIFS('AFA Rates'!$A$5:$A$1004,$A305,'AFA Rates'!$B$5:$B$1004,M$23)&gt;0,"Exp","")))</f>
        <v/>
      </c>
    </row>
    <row r="306">
      <c r="A306" s="78">
        <f>IFERROR(INDEX(Firms!$A$5:$A$1004,MATCH(283,Firms!$V$5:$V$1004,0)),"")</f>
        <v/>
      </c>
      <c r="B306" s="79">
        <f>IF($A306="","",INDEX(Firms!$B$5:$B$1004,MATCH(283,Firms!$V$5:$V$1004,0)))</f>
        <v/>
      </c>
      <c r="C306" s="79">
        <f>IF($A306="","",COUNTIFS('AFA Rates'!$A$5:$A$1004,$A306,'AFA Rates'!$O$5:$O$1004,"&lt;&gt;Expired"))</f>
        <v/>
      </c>
      <c r="D306" s="79">
        <f>IF(OR($A306="",D$23=""),"",IF(COUNTIFS('AFA Rates'!$A$5:$A$1004,$A306,'AFA Rates'!$B$5:$B$1004,D$23,'AFA Rates'!$O$5:$O$1004,"&lt;&gt;Expired")&gt;0,"✓",IF(COUNTIFS('AFA Rates'!$A$5:$A$1004,$A306,'AFA Rates'!$B$5:$B$1004,D$23)&gt;0,"Exp","")))</f>
        <v/>
      </c>
      <c r="E306" s="79">
        <f>IF(OR($A306="",E$23=""),"",IF(COUNTIFS('AFA Rates'!$A$5:$A$1004,$A306,'AFA Rates'!$B$5:$B$1004,E$23,'AFA Rates'!$O$5:$O$1004,"&lt;&gt;Expired")&gt;0,"✓",IF(COUNTIFS('AFA Rates'!$A$5:$A$1004,$A306,'AFA Rates'!$B$5:$B$1004,E$23)&gt;0,"Exp","")))</f>
        <v/>
      </c>
      <c r="F306" s="79">
        <f>IF(OR($A306="",F$23=""),"",IF(COUNTIFS('AFA Rates'!$A$5:$A$1004,$A306,'AFA Rates'!$B$5:$B$1004,F$23,'AFA Rates'!$O$5:$O$1004,"&lt;&gt;Expired")&gt;0,"✓",IF(COUNTIFS('AFA Rates'!$A$5:$A$1004,$A306,'AFA Rates'!$B$5:$B$1004,F$23)&gt;0,"Exp","")))</f>
        <v/>
      </c>
      <c r="G306" s="79">
        <f>IF(OR($A306="",G$23=""),"",IF(COUNTIFS('AFA Rates'!$A$5:$A$1004,$A306,'AFA Rates'!$B$5:$B$1004,G$23,'AFA Rates'!$O$5:$O$1004,"&lt;&gt;Expired")&gt;0,"✓",IF(COUNTIFS('AFA Rates'!$A$5:$A$1004,$A306,'AFA Rates'!$B$5:$B$1004,G$23)&gt;0,"Exp","")))</f>
        <v/>
      </c>
      <c r="H306" s="79">
        <f>IF(OR($A306="",H$23=""),"",IF(COUNTIFS('AFA Rates'!$A$5:$A$1004,$A306,'AFA Rates'!$B$5:$B$1004,H$23,'AFA Rates'!$O$5:$O$1004,"&lt;&gt;Expired")&gt;0,"✓",IF(COUNTIFS('AFA Rates'!$A$5:$A$1004,$A306,'AFA Rates'!$B$5:$B$1004,H$23)&gt;0,"Exp","")))</f>
        <v/>
      </c>
      <c r="I306" s="79">
        <f>IF(OR($A306="",I$23=""),"",IF(COUNTIFS('AFA Rates'!$A$5:$A$1004,$A306,'AFA Rates'!$B$5:$B$1004,I$23,'AFA Rates'!$O$5:$O$1004,"&lt;&gt;Expired")&gt;0,"✓",IF(COUNTIFS('AFA Rates'!$A$5:$A$1004,$A306,'AFA Rates'!$B$5:$B$1004,I$23)&gt;0,"Exp","")))</f>
        <v/>
      </c>
      <c r="J306" s="79">
        <f>IF(OR($A306="",J$23=""),"",IF(COUNTIFS('AFA Rates'!$A$5:$A$1004,$A306,'AFA Rates'!$B$5:$B$1004,J$23,'AFA Rates'!$O$5:$O$1004,"&lt;&gt;Expired")&gt;0,"✓",IF(COUNTIFS('AFA Rates'!$A$5:$A$1004,$A306,'AFA Rates'!$B$5:$B$1004,J$23)&gt;0,"Exp","")))</f>
        <v/>
      </c>
      <c r="K306" s="79">
        <f>IF(OR($A306="",K$23=""),"",IF(COUNTIFS('AFA Rates'!$A$5:$A$1004,$A306,'AFA Rates'!$B$5:$B$1004,K$23,'AFA Rates'!$O$5:$O$1004,"&lt;&gt;Expired")&gt;0,"✓",IF(COUNTIFS('AFA Rates'!$A$5:$A$1004,$A306,'AFA Rates'!$B$5:$B$1004,K$23)&gt;0,"Exp","")))</f>
        <v/>
      </c>
      <c r="L306" s="79">
        <f>IF(OR($A306="",L$23=""),"",IF(COUNTIFS('AFA Rates'!$A$5:$A$1004,$A306,'AFA Rates'!$B$5:$B$1004,L$23,'AFA Rates'!$O$5:$O$1004,"&lt;&gt;Expired")&gt;0,"✓",IF(COUNTIFS('AFA Rates'!$A$5:$A$1004,$A306,'AFA Rates'!$B$5:$B$1004,L$23)&gt;0,"Exp","")))</f>
        <v/>
      </c>
      <c r="M306" s="79">
        <f>IF(OR($A306="",M$23=""),"",IF(COUNTIFS('AFA Rates'!$A$5:$A$1004,$A306,'AFA Rates'!$B$5:$B$1004,M$23,'AFA Rates'!$O$5:$O$1004,"&lt;&gt;Expired")&gt;0,"✓",IF(COUNTIFS('AFA Rates'!$A$5:$A$1004,$A306,'AFA Rates'!$B$5:$B$1004,M$23)&gt;0,"Exp","")))</f>
        <v/>
      </c>
    </row>
    <row r="307">
      <c r="A307" s="78">
        <f>IFERROR(INDEX(Firms!$A$5:$A$1004,MATCH(284,Firms!$V$5:$V$1004,0)),"")</f>
        <v/>
      </c>
      <c r="B307" s="79">
        <f>IF($A307="","",INDEX(Firms!$B$5:$B$1004,MATCH(284,Firms!$V$5:$V$1004,0)))</f>
        <v/>
      </c>
      <c r="C307" s="79">
        <f>IF($A307="","",COUNTIFS('AFA Rates'!$A$5:$A$1004,$A307,'AFA Rates'!$O$5:$O$1004,"&lt;&gt;Expired"))</f>
        <v/>
      </c>
      <c r="D307" s="79">
        <f>IF(OR($A307="",D$23=""),"",IF(COUNTIFS('AFA Rates'!$A$5:$A$1004,$A307,'AFA Rates'!$B$5:$B$1004,D$23,'AFA Rates'!$O$5:$O$1004,"&lt;&gt;Expired")&gt;0,"✓",IF(COUNTIFS('AFA Rates'!$A$5:$A$1004,$A307,'AFA Rates'!$B$5:$B$1004,D$23)&gt;0,"Exp","")))</f>
        <v/>
      </c>
      <c r="E307" s="79">
        <f>IF(OR($A307="",E$23=""),"",IF(COUNTIFS('AFA Rates'!$A$5:$A$1004,$A307,'AFA Rates'!$B$5:$B$1004,E$23,'AFA Rates'!$O$5:$O$1004,"&lt;&gt;Expired")&gt;0,"✓",IF(COUNTIFS('AFA Rates'!$A$5:$A$1004,$A307,'AFA Rates'!$B$5:$B$1004,E$23)&gt;0,"Exp","")))</f>
        <v/>
      </c>
      <c r="F307" s="79">
        <f>IF(OR($A307="",F$23=""),"",IF(COUNTIFS('AFA Rates'!$A$5:$A$1004,$A307,'AFA Rates'!$B$5:$B$1004,F$23,'AFA Rates'!$O$5:$O$1004,"&lt;&gt;Expired")&gt;0,"✓",IF(COUNTIFS('AFA Rates'!$A$5:$A$1004,$A307,'AFA Rates'!$B$5:$B$1004,F$23)&gt;0,"Exp","")))</f>
        <v/>
      </c>
      <c r="G307" s="79">
        <f>IF(OR($A307="",G$23=""),"",IF(COUNTIFS('AFA Rates'!$A$5:$A$1004,$A307,'AFA Rates'!$B$5:$B$1004,G$23,'AFA Rates'!$O$5:$O$1004,"&lt;&gt;Expired")&gt;0,"✓",IF(COUNTIFS('AFA Rates'!$A$5:$A$1004,$A307,'AFA Rates'!$B$5:$B$1004,G$23)&gt;0,"Exp","")))</f>
        <v/>
      </c>
      <c r="H307" s="79">
        <f>IF(OR($A307="",H$23=""),"",IF(COUNTIFS('AFA Rates'!$A$5:$A$1004,$A307,'AFA Rates'!$B$5:$B$1004,H$23,'AFA Rates'!$O$5:$O$1004,"&lt;&gt;Expired")&gt;0,"✓",IF(COUNTIFS('AFA Rates'!$A$5:$A$1004,$A307,'AFA Rates'!$B$5:$B$1004,H$23)&gt;0,"Exp","")))</f>
        <v/>
      </c>
      <c r="I307" s="79">
        <f>IF(OR($A307="",I$23=""),"",IF(COUNTIFS('AFA Rates'!$A$5:$A$1004,$A307,'AFA Rates'!$B$5:$B$1004,I$23,'AFA Rates'!$O$5:$O$1004,"&lt;&gt;Expired")&gt;0,"✓",IF(COUNTIFS('AFA Rates'!$A$5:$A$1004,$A307,'AFA Rates'!$B$5:$B$1004,I$23)&gt;0,"Exp","")))</f>
        <v/>
      </c>
      <c r="J307" s="79">
        <f>IF(OR($A307="",J$23=""),"",IF(COUNTIFS('AFA Rates'!$A$5:$A$1004,$A307,'AFA Rates'!$B$5:$B$1004,J$23,'AFA Rates'!$O$5:$O$1004,"&lt;&gt;Expired")&gt;0,"✓",IF(COUNTIFS('AFA Rates'!$A$5:$A$1004,$A307,'AFA Rates'!$B$5:$B$1004,J$23)&gt;0,"Exp","")))</f>
        <v/>
      </c>
      <c r="K307" s="79">
        <f>IF(OR($A307="",K$23=""),"",IF(COUNTIFS('AFA Rates'!$A$5:$A$1004,$A307,'AFA Rates'!$B$5:$B$1004,K$23,'AFA Rates'!$O$5:$O$1004,"&lt;&gt;Expired")&gt;0,"✓",IF(COUNTIFS('AFA Rates'!$A$5:$A$1004,$A307,'AFA Rates'!$B$5:$B$1004,K$23)&gt;0,"Exp","")))</f>
        <v/>
      </c>
      <c r="L307" s="79">
        <f>IF(OR($A307="",L$23=""),"",IF(COUNTIFS('AFA Rates'!$A$5:$A$1004,$A307,'AFA Rates'!$B$5:$B$1004,L$23,'AFA Rates'!$O$5:$O$1004,"&lt;&gt;Expired")&gt;0,"✓",IF(COUNTIFS('AFA Rates'!$A$5:$A$1004,$A307,'AFA Rates'!$B$5:$B$1004,L$23)&gt;0,"Exp","")))</f>
        <v/>
      </c>
      <c r="M307" s="79">
        <f>IF(OR($A307="",M$23=""),"",IF(COUNTIFS('AFA Rates'!$A$5:$A$1004,$A307,'AFA Rates'!$B$5:$B$1004,M$23,'AFA Rates'!$O$5:$O$1004,"&lt;&gt;Expired")&gt;0,"✓",IF(COUNTIFS('AFA Rates'!$A$5:$A$1004,$A307,'AFA Rates'!$B$5:$B$1004,M$23)&gt;0,"Exp","")))</f>
        <v/>
      </c>
    </row>
    <row r="308">
      <c r="A308" s="78">
        <f>IFERROR(INDEX(Firms!$A$5:$A$1004,MATCH(285,Firms!$V$5:$V$1004,0)),"")</f>
        <v/>
      </c>
      <c r="B308" s="79">
        <f>IF($A308="","",INDEX(Firms!$B$5:$B$1004,MATCH(285,Firms!$V$5:$V$1004,0)))</f>
        <v/>
      </c>
      <c r="C308" s="79">
        <f>IF($A308="","",COUNTIFS('AFA Rates'!$A$5:$A$1004,$A308,'AFA Rates'!$O$5:$O$1004,"&lt;&gt;Expired"))</f>
        <v/>
      </c>
      <c r="D308" s="79">
        <f>IF(OR($A308="",D$23=""),"",IF(COUNTIFS('AFA Rates'!$A$5:$A$1004,$A308,'AFA Rates'!$B$5:$B$1004,D$23,'AFA Rates'!$O$5:$O$1004,"&lt;&gt;Expired")&gt;0,"✓",IF(COUNTIFS('AFA Rates'!$A$5:$A$1004,$A308,'AFA Rates'!$B$5:$B$1004,D$23)&gt;0,"Exp","")))</f>
        <v/>
      </c>
      <c r="E308" s="79">
        <f>IF(OR($A308="",E$23=""),"",IF(COUNTIFS('AFA Rates'!$A$5:$A$1004,$A308,'AFA Rates'!$B$5:$B$1004,E$23,'AFA Rates'!$O$5:$O$1004,"&lt;&gt;Expired")&gt;0,"✓",IF(COUNTIFS('AFA Rates'!$A$5:$A$1004,$A308,'AFA Rates'!$B$5:$B$1004,E$23)&gt;0,"Exp","")))</f>
        <v/>
      </c>
      <c r="F308" s="79">
        <f>IF(OR($A308="",F$23=""),"",IF(COUNTIFS('AFA Rates'!$A$5:$A$1004,$A308,'AFA Rates'!$B$5:$B$1004,F$23,'AFA Rates'!$O$5:$O$1004,"&lt;&gt;Expired")&gt;0,"✓",IF(COUNTIFS('AFA Rates'!$A$5:$A$1004,$A308,'AFA Rates'!$B$5:$B$1004,F$23)&gt;0,"Exp","")))</f>
        <v/>
      </c>
      <c r="G308" s="79">
        <f>IF(OR($A308="",G$23=""),"",IF(COUNTIFS('AFA Rates'!$A$5:$A$1004,$A308,'AFA Rates'!$B$5:$B$1004,G$23,'AFA Rates'!$O$5:$O$1004,"&lt;&gt;Expired")&gt;0,"✓",IF(COUNTIFS('AFA Rates'!$A$5:$A$1004,$A308,'AFA Rates'!$B$5:$B$1004,G$23)&gt;0,"Exp","")))</f>
        <v/>
      </c>
      <c r="H308" s="79">
        <f>IF(OR($A308="",H$23=""),"",IF(COUNTIFS('AFA Rates'!$A$5:$A$1004,$A308,'AFA Rates'!$B$5:$B$1004,H$23,'AFA Rates'!$O$5:$O$1004,"&lt;&gt;Expired")&gt;0,"✓",IF(COUNTIFS('AFA Rates'!$A$5:$A$1004,$A308,'AFA Rates'!$B$5:$B$1004,H$23)&gt;0,"Exp","")))</f>
        <v/>
      </c>
      <c r="I308" s="79">
        <f>IF(OR($A308="",I$23=""),"",IF(COUNTIFS('AFA Rates'!$A$5:$A$1004,$A308,'AFA Rates'!$B$5:$B$1004,I$23,'AFA Rates'!$O$5:$O$1004,"&lt;&gt;Expired")&gt;0,"✓",IF(COUNTIFS('AFA Rates'!$A$5:$A$1004,$A308,'AFA Rates'!$B$5:$B$1004,I$23)&gt;0,"Exp","")))</f>
        <v/>
      </c>
      <c r="J308" s="79">
        <f>IF(OR($A308="",J$23=""),"",IF(COUNTIFS('AFA Rates'!$A$5:$A$1004,$A308,'AFA Rates'!$B$5:$B$1004,J$23,'AFA Rates'!$O$5:$O$1004,"&lt;&gt;Expired")&gt;0,"✓",IF(COUNTIFS('AFA Rates'!$A$5:$A$1004,$A308,'AFA Rates'!$B$5:$B$1004,J$23)&gt;0,"Exp","")))</f>
        <v/>
      </c>
      <c r="K308" s="79">
        <f>IF(OR($A308="",K$23=""),"",IF(COUNTIFS('AFA Rates'!$A$5:$A$1004,$A308,'AFA Rates'!$B$5:$B$1004,K$23,'AFA Rates'!$O$5:$O$1004,"&lt;&gt;Expired")&gt;0,"✓",IF(COUNTIFS('AFA Rates'!$A$5:$A$1004,$A308,'AFA Rates'!$B$5:$B$1004,K$23)&gt;0,"Exp","")))</f>
        <v/>
      </c>
      <c r="L308" s="79">
        <f>IF(OR($A308="",L$23=""),"",IF(COUNTIFS('AFA Rates'!$A$5:$A$1004,$A308,'AFA Rates'!$B$5:$B$1004,L$23,'AFA Rates'!$O$5:$O$1004,"&lt;&gt;Expired")&gt;0,"✓",IF(COUNTIFS('AFA Rates'!$A$5:$A$1004,$A308,'AFA Rates'!$B$5:$B$1004,L$23)&gt;0,"Exp","")))</f>
        <v/>
      </c>
      <c r="M308" s="79">
        <f>IF(OR($A308="",M$23=""),"",IF(COUNTIFS('AFA Rates'!$A$5:$A$1004,$A308,'AFA Rates'!$B$5:$B$1004,M$23,'AFA Rates'!$O$5:$O$1004,"&lt;&gt;Expired")&gt;0,"✓",IF(COUNTIFS('AFA Rates'!$A$5:$A$1004,$A308,'AFA Rates'!$B$5:$B$1004,M$23)&gt;0,"Exp","")))</f>
        <v/>
      </c>
    </row>
    <row r="309">
      <c r="A309" s="78">
        <f>IFERROR(INDEX(Firms!$A$5:$A$1004,MATCH(286,Firms!$V$5:$V$1004,0)),"")</f>
        <v/>
      </c>
      <c r="B309" s="79">
        <f>IF($A309="","",INDEX(Firms!$B$5:$B$1004,MATCH(286,Firms!$V$5:$V$1004,0)))</f>
        <v/>
      </c>
      <c r="C309" s="79">
        <f>IF($A309="","",COUNTIFS('AFA Rates'!$A$5:$A$1004,$A309,'AFA Rates'!$O$5:$O$1004,"&lt;&gt;Expired"))</f>
        <v/>
      </c>
      <c r="D309" s="79">
        <f>IF(OR($A309="",D$23=""),"",IF(COUNTIFS('AFA Rates'!$A$5:$A$1004,$A309,'AFA Rates'!$B$5:$B$1004,D$23,'AFA Rates'!$O$5:$O$1004,"&lt;&gt;Expired")&gt;0,"✓",IF(COUNTIFS('AFA Rates'!$A$5:$A$1004,$A309,'AFA Rates'!$B$5:$B$1004,D$23)&gt;0,"Exp","")))</f>
        <v/>
      </c>
      <c r="E309" s="79">
        <f>IF(OR($A309="",E$23=""),"",IF(COUNTIFS('AFA Rates'!$A$5:$A$1004,$A309,'AFA Rates'!$B$5:$B$1004,E$23,'AFA Rates'!$O$5:$O$1004,"&lt;&gt;Expired")&gt;0,"✓",IF(COUNTIFS('AFA Rates'!$A$5:$A$1004,$A309,'AFA Rates'!$B$5:$B$1004,E$23)&gt;0,"Exp","")))</f>
        <v/>
      </c>
      <c r="F309" s="79">
        <f>IF(OR($A309="",F$23=""),"",IF(COUNTIFS('AFA Rates'!$A$5:$A$1004,$A309,'AFA Rates'!$B$5:$B$1004,F$23,'AFA Rates'!$O$5:$O$1004,"&lt;&gt;Expired")&gt;0,"✓",IF(COUNTIFS('AFA Rates'!$A$5:$A$1004,$A309,'AFA Rates'!$B$5:$B$1004,F$23)&gt;0,"Exp","")))</f>
        <v/>
      </c>
      <c r="G309" s="79">
        <f>IF(OR($A309="",G$23=""),"",IF(COUNTIFS('AFA Rates'!$A$5:$A$1004,$A309,'AFA Rates'!$B$5:$B$1004,G$23,'AFA Rates'!$O$5:$O$1004,"&lt;&gt;Expired")&gt;0,"✓",IF(COUNTIFS('AFA Rates'!$A$5:$A$1004,$A309,'AFA Rates'!$B$5:$B$1004,G$23)&gt;0,"Exp","")))</f>
        <v/>
      </c>
      <c r="H309" s="79">
        <f>IF(OR($A309="",H$23=""),"",IF(COUNTIFS('AFA Rates'!$A$5:$A$1004,$A309,'AFA Rates'!$B$5:$B$1004,H$23,'AFA Rates'!$O$5:$O$1004,"&lt;&gt;Expired")&gt;0,"✓",IF(COUNTIFS('AFA Rates'!$A$5:$A$1004,$A309,'AFA Rates'!$B$5:$B$1004,H$23)&gt;0,"Exp","")))</f>
        <v/>
      </c>
      <c r="I309" s="79">
        <f>IF(OR($A309="",I$23=""),"",IF(COUNTIFS('AFA Rates'!$A$5:$A$1004,$A309,'AFA Rates'!$B$5:$B$1004,I$23,'AFA Rates'!$O$5:$O$1004,"&lt;&gt;Expired")&gt;0,"✓",IF(COUNTIFS('AFA Rates'!$A$5:$A$1004,$A309,'AFA Rates'!$B$5:$B$1004,I$23)&gt;0,"Exp","")))</f>
        <v/>
      </c>
      <c r="J309" s="79">
        <f>IF(OR($A309="",J$23=""),"",IF(COUNTIFS('AFA Rates'!$A$5:$A$1004,$A309,'AFA Rates'!$B$5:$B$1004,J$23,'AFA Rates'!$O$5:$O$1004,"&lt;&gt;Expired")&gt;0,"✓",IF(COUNTIFS('AFA Rates'!$A$5:$A$1004,$A309,'AFA Rates'!$B$5:$B$1004,J$23)&gt;0,"Exp","")))</f>
        <v/>
      </c>
      <c r="K309" s="79">
        <f>IF(OR($A309="",K$23=""),"",IF(COUNTIFS('AFA Rates'!$A$5:$A$1004,$A309,'AFA Rates'!$B$5:$B$1004,K$23,'AFA Rates'!$O$5:$O$1004,"&lt;&gt;Expired")&gt;0,"✓",IF(COUNTIFS('AFA Rates'!$A$5:$A$1004,$A309,'AFA Rates'!$B$5:$B$1004,K$23)&gt;0,"Exp","")))</f>
        <v/>
      </c>
      <c r="L309" s="79">
        <f>IF(OR($A309="",L$23=""),"",IF(COUNTIFS('AFA Rates'!$A$5:$A$1004,$A309,'AFA Rates'!$B$5:$B$1004,L$23,'AFA Rates'!$O$5:$O$1004,"&lt;&gt;Expired")&gt;0,"✓",IF(COUNTIFS('AFA Rates'!$A$5:$A$1004,$A309,'AFA Rates'!$B$5:$B$1004,L$23)&gt;0,"Exp","")))</f>
        <v/>
      </c>
      <c r="M309" s="79">
        <f>IF(OR($A309="",M$23=""),"",IF(COUNTIFS('AFA Rates'!$A$5:$A$1004,$A309,'AFA Rates'!$B$5:$B$1004,M$23,'AFA Rates'!$O$5:$O$1004,"&lt;&gt;Expired")&gt;0,"✓",IF(COUNTIFS('AFA Rates'!$A$5:$A$1004,$A309,'AFA Rates'!$B$5:$B$1004,M$23)&gt;0,"Exp","")))</f>
        <v/>
      </c>
    </row>
    <row r="310">
      <c r="A310" s="78">
        <f>IFERROR(INDEX(Firms!$A$5:$A$1004,MATCH(287,Firms!$V$5:$V$1004,0)),"")</f>
        <v/>
      </c>
      <c r="B310" s="79">
        <f>IF($A310="","",INDEX(Firms!$B$5:$B$1004,MATCH(287,Firms!$V$5:$V$1004,0)))</f>
        <v/>
      </c>
      <c r="C310" s="79">
        <f>IF($A310="","",COUNTIFS('AFA Rates'!$A$5:$A$1004,$A310,'AFA Rates'!$O$5:$O$1004,"&lt;&gt;Expired"))</f>
        <v/>
      </c>
      <c r="D310" s="79">
        <f>IF(OR($A310="",D$23=""),"",IF(COUNTIFS('AFA Rates'!$A$5:$A$1004,$A310,'AFA Rates'!$B$5:$B$1004,D$23,'AFA Rates'!$O$5:$O$1004,"&lt;&gt;Expired")&gt;0,"✓",IF(COUNTIFS('AFA Rates'!$A$5:$A$1004,$A310,'AFA Rates'!$B$5:$B$1004,D$23)&gt;0,"Exp","")))</f>
        <v/>
      </c>
      <c r="E310" s="79">
        <f>IF(OR($A310="",E$23=""),"",IF(COUNTIFS('AFA Rates'!$A$5:$A$1004,$A310,'AFA Rates'!$B$5:$B$1004,E$23,'AFA Rates'!$O$5:$O$1004,"&lt;&gt;Expired")&gt;0,"✓",IF(COUNTIFS('AFA Rates'!$A$5:$A$1004,$A310,'AFA Rates'!$B$5:$B$1004,E$23)&gt;0,"Exp","")))</f>
        <v/>
      </c>
      <c r="F310" s="79">
        <f>IF(OR($A310="",F$23=""),"",IF(COUNTIFS('AFA Rates'!$A$5:$A$1004,$A310,'AFA Rates'!$B$5:$B$1004,F$23,'AFA Rates'!$O$5:$O$1004,"&lt;&gt;Expired")&gt;0,"✓",IF(COUNTIFS('AFA Rates'!$A$5:$A$1004,$A310,'AFA Rates'!$B$5:$B$1004,F$23)&gt;0,"Exp","")))</f>
        <v/>
      </c>
      <c r="G310" s="79">
        <f>IF(OR($A310="",G$23=""),"",IF(COUNTIFS('AFA Rates'!$A$5:$A$1004,$A310,'AFA Rates'!$B$5:$B$1004,G$23,'AFA Rates'!$O$5:$O$1004,"&lt;&gt;Expired")&gt;0,"✓",IF(COUNTIFS('AFA Rates'!$A$5:$A$1004,$A310,'AFA Rates'!$B$5:$B$1004,G$23)&gt;0,"Exp","")))</f>
        <v/>
      </c>
      <c r="H310" s="79">
        <f>IF(OR($A310="",H$23=""),"",IF(COUNTIFS('AFA Rates'!$A$5:$A$1004,$A310,'AFA Rates'!$B$5:$B$1004,H$23,'AFA Rates'!$O$5:$O$1004,"&lt;&gt;Expired")&gt;0,"✓",IF(COUNTIFS('AFA Rates'!$A$5:$A$1004,$A310,'AFA Rates'!$B$5:$B$1004,H$23)&gt;0,"Exp","")))</f>
        <v/>
      </c>
      <c r="I310" s="79">
        <f>IF(OR($A310="",I$23=""),"",IF(COUNTIFS('AFA Rates'!$A$5:$A$1004,$A310,'AFA Rates'!$B$5:$B$1004,I$23,'AFA Rates'!$O$5:$O$1004,"&lt;&gt;Expired")&gt;0,"✓",IF(COUNTIFS('AFA Rates'!$A$5:$A$1004,$A310,'AFA Rates'!$B$5:$B$1004,I$23)&gt;0,"Exp","")))</f>
        <v/>
      </c>
      <c r="J310" s="79">
        <f>IF(OR($A310="",J$23=""),"",IF(COUNTIFS('AFA Rates'!$A$5:$A$1004,$A310,'AFA Rates'!$B$5:$B$1004,J$23,'AFA Rates'!$O$5:$O$1004,"&lt;&gt;Expired")&gt;0,"✓",IF(COUNTIFS('AFA Rates'!$A$5:$A$1004,$A310,'AFA Rates'!$B$5:$B$1004,J$23)&gt;0,"Exp","")))</f>
        <v/>
      </c>
      <c r="K310" s="79">
        <f>IF(OR($A310="",K$23=""),"",IF(COUNTIFS('AFA Rates'!$A$5:$A$1004,$A310,'AFA Rates'!$B$5:$B$1004,K$23,'AFA Rates'!$O$5:$O$1004,"&lt;&gt;Expired")&gt;0,"✓",IF(COUNTIFS('AFA Rates'!$A$5:$A$1004,$A310,'AFA Rates'!$B$5:$B$1004,K$23)&gt;0,"Exp","")))</f>
        <v/>
      </c>
      <c r="L310" s="79">
        <f>IF(OR($A310="",L$23=""),"",IF(COUNTIFS('AFA Rates'!$A$5:$A$1004,$A310,'AFA Rates'!$B$5:$B$1004,L$23,'AFA Rates'!$O$5:$O$1004,"&lt;&gt;Expired")&gt;0,"✓",IF(COUNTIFS('AFA Rates'!$A$5:$A$1004,$A310,'AFA Rates'!$B$5:$B$1004,L$23)&gt;0,"Exp","")))</f>
        <v/>
      </c>
      <c r="M310" s="79">
        <f>IF(OR($A310="",M$23=""),"",IF(COUNTIFS('AFA Rates'!$A$5:$A$1004,$A310,'AFA Rates'!$B$5:$B$1004,M$23,'AFA Rates'!$O$5:$O$1004,"&lt;&gt;Expired")&gt;0,"✓",IF(COUNTIFS('AFA Rates'!$A$5:$A$1004,$A310,'AFA Rates'!$B$5:$B$1004,M$23)&gt;0,"Exp","")))</f>
        <v/>
      </c>
    </row>
    <row r="311">
      <c r="A311" s="78">
        <f>IFERROR(INDEX(Firms!$A$5:$A$1004,MATCH(288,Firms!$V$5:$V$1004,0)),"")</f>
        <v/>
      </c>
      <c r="B311" s="79">
        <f>IF($A311="","",INDEX(Firms!$B$5:$B$1004,MATCH(288,Firms!$V$5:$V$1004,0)))</f>
        <v/>
      </c>
      <c r="C311" s="79">
        <f>IF($A311="","",COUNTIFS('AFA Rates'!$A$5:$A$1004,$A311,'AFA Rates'!$O$5:$O$1004,"&lt;&gt;Expired"))</f>
        <v/>
      </c>
      <c r="D311" s="79">
        <f>IF(OR($A311="",D$23=""),"",IF(COUNTIFS('AFA Rates'!$A$5:$A$1004,$A311,'AFA Rates'!$B$5:$B$1004,D$23,'AFA Rates'!$O$5:$O$1004,"&lt;&gt;Expired")&gt;0,"✓",IF(COUNTIFS('AFA Rates'!$A$5:$A$1004,$A311,'AFA Rates'!$B$5:$B$1004,D$23)&gt;0,"Exp","")))</f>
        <v/>
      </c>
      <c r="E311" s="79">
        <f>IF(OR($A311="",E$23=""),"",IF(COUNTIFS('AFA Rates'!$A$5:$A$1004,$A311,'AFA Rates'!$B$5:$B$1004,E$23,'AFA Rates'!$O$5:$O$1004,"&lt;&gt;Expired")&gt;0,"✓",IF(COUNTIFS('AFA Rates'!$A$5:$A$1004,$A311,'AFA Rates'!$B$5:$B$1004,E$23)&gt;0,"Exp","")))</f>
        <v/>
      </c>
      <c r="F311" s="79">
        <f>IF(OR($A311="",F$23=""),"",IF(COUNTIFS('AFA Rates'!$A$5:$A$1004,$A311,'AFA Rates'!$B$5:$B$1004,F$23,'AFA Rates'!$O$5:$O$1004,"&lt;&gt;Expired")&gt;0,"✓",IF(COUNTIFS('AFA Rates'!$A$5:$A$1004,$A311,'AFA Rates'!$B$5:$B$1004,F$23)&gt;0,"Exp","")))</f>
        <v/>
      </c>
      <c r="G311" s="79">
        <f>IF(OR($A311="",G$23=""),"",IF(COUNTIFS('AFA Rates'!$A$5:$A$1004,$A311,'AFA Rates'!$B$5:$B$1004,G$23,'AFA Rates'!$O$5:$O$1004,"&lt;&gt;Expired")&gt;0,"✓",IF(COUNTIFS('AFA Rates'!$A$5:$A$1004,$A311,'AFA Rates'!$B$5:$B$1004,G$23)&gt;0,"Exp","")))</f>
        <v/>
      </c>
      <c r="H311" s="79">
        <f>IF(OR($A311="",H$23=""),"",IF(COUNTIFS('AFA Rates'!$A$5:$A$1004,$A311,'AFA Rates'!$B$5:$B$1004,H$23,'AFA Rates'!$O$5:$O$1004,"&lt;&gt;Expired")&gt;0,"✓",IF(COUNTIFS('AFA Rates'!$A$5:$A$1004,$A311,'AFA Rates'!$B$5:$B$1004,H$23)&gt;0,"Exp","")))</f>
        <v/>
      </c>
      <c r="I311" s="79">
        <f>IF(OR($A311="",I$23=""),"",IF(COUNTIFS('AFA Rates'!$A$5:$A$1004,$A311,'AFA Rates'!$B$5:$B$1004,I$23,'AFA Rates'!$O$5:$O$1004,"&lt;&gt;Expired")&gt;0,"✓",IF(COUNTIFS('AFA Rates'!$A$5:$A$1004,$A311,'AFA Rates'!$B$5:$B$1004,I$23)&gt;0,"Exp","")))</f>
        <v/>
      </c>
      <c r="J311" s="79">
        <f>IF(OR($A311="",J$23=""),"",IF(COUNTIFS('AFA Rates'!$A$5:$A$1004,$A311,'AFA Rates'!$B$5:$B$1004,J$23,'AFA Rates'!$O$5:$O$1004,"&lt;&gt;Expired")&gt;0,"✓",IF(COUNTIFS('AFA Rates'!$A$5:$A$1004,$A311,'AFA Rates'!$B$5:$B$1004,J$23)&gt;0,"Exp","")))</f>
        <v/>
      </c>
      <c r="K311" s="79">
        <f>IF(OR($A311="",K$23=""),"",IF(COUNTIFS('AFA Rates'!$A$5:$A$1004,$A311,'AFA Rates'!$B$5:$B$1004,K$23,'AFA Rates'!$O$5:$O$1004,"&lt;&gt;Expired")&gt;0,"✓",IF(COUNTIFS('AFA Rates'!$A$5:$A$1004,$A311,'AFA Rates'!$B$5:$B$1004,K$23)&gt;0,"Exp","")))</f>
        <v/>
      </c>
      <c r="L311" s="79">
        <f>IF(OR($A311="",L$23=""),"",IF(COUNTIFS('AFA Rates'!$A$5:$A$1004,$A311,'AFA Rates'!$B$5:$B$1004,L$23,'AFA Rates'!$O$5:$O$1004,"&lt;&gt;Expired")&gt;0,"✓",IF(COUNTIFS('AFA Rates'!$A$5:$A$1004,$A311,'AFA Rates'!$B$5:$B$1004,L$23)&gt;0,"Exp","")))</f>
        <v/>
      </c>
      <c r="M311" s="79">
        <f>IF(OR($A311="",M$23=""),"",IF(COUNTIFS('AFA Rates'!$A$5:$A$1004,$A311,'AFA Rates'!$B$5:$B$1004,M$23,'AFA Rates'!$O$5:$O$1004,"&lt;&gt;Expired")&gt;0,"✓",IF(COUNTIFS('AFA Rates'!$A$5:$A$1004,$A311,'AFA Rates'!$B$5:$B$1004,M$23)&gt;0,"Exp","")))</f>
        <v/>
      </c>
    </row>
    <row r="312">
      <c r="A312" s="78">
        <f>IFERROR(INDEX(Firms!$A$5:$A$1004,MATCH(289,Firms!$V$5:$V$1004,0)),"")</f>
        <v/>
      </c>
      <c r="B312" s="79">
        <f>IF($A312="","",INDEX(Firms!$B$5:$B$1004,MATCH(289,Firms!$V$5:$V$1004,0)))</f>
        <v/>
      </c>
      <c r="C312" s="79">
        <f>IF($A312="","",COUNTIFS('AFA Rates'!$A$5:$A$1004,$A312,'AFA Rates'!$O$5:$O$1004,"&lt;&gt;Expired"))</f>
        <v/>
      </c>
      <c r="D312" s="79">
        <f>IF(OR($A312="",D$23=""),"",IF(COUNTIFS('AFA Rates'!$A$5:$A$1004,$A312,'AFA Rates'!$B$5:$B$1004,D$23,'AFA Rates'!$O$5:$O$1004,"&lt;&gt;Expired")&gt;0,"✓",IF(COUNTIFS('AFA Rates'!$A$5:$A$1004,$A312,'AFA Rates'!$B$5:$B$1004,D$23)&gt;0,"Exp","")))</f>
        <v/>
      </c>
      <c r="E312" s="79">
        <f>IF(OR($A312="",E$23=""),"",IF(COUNTIFS('AFA Rates'!$A$5:$A$1004,$A312,'AFA Rates'!$B$5:$B$1004,E$23,'AFA Rates'!$O$5:$O$1004,"&lt;&gt;Expired")&gt;0,"✓",IF(COUNTIFS('AFA Rates'!$A$5:$A$1004,$A312,'AFA Rates'!$B$5:$B$1004,E$23)&gt;0,"Exp","")))</f>
        <v/>
      </c>
      <c r="F312" s="79">
        <f>IF(OR($A312="",F$23=""),"",IF(COUNTIFS('AFA Rates'!$A$5:$A$1004,$A312,'AFA Rates'!$B$5:$B$1004,F$23,'AFA Rates'!$O$5:$O$1004,"&lt;&gt;Expired")&gt;0,"✓",IF(COUNTIFS('AFA Rates'!$A$5:$A$1004,$A312,'AFA Rates'!$B$5:$B$1004,F$23)&gt;0,"Exp","")))</f>
        <v/>
      </c>
      <c r="G312" s="79">
        <f>IF(OR($A312="",G$23=""),"",IF(COUNTIFS('AFA Rates'!$A$5:$A$1004,$A312,'AFA Rates'!$B$5:$B$1004,G$23,'AFA Rates'!$O$5:$O$1004,"&lt;&gt;Expired")&gt;0,"✓",IF(COUNTIFS('AFA Rates'!$A$5:$A$1004,$A312,'AFA Rates'!$B$5:$B$1004,G$23)&gt;0,"Exp","")))</f>
        <v/>
      </c>
      <c r="H312" s="79">
        <f>IF(OR($A312="",H$23=""),"",IF(COUNTIFS('AFA Rates'!$A$5:$A$1004,$A312,'AFA Rates'!$B$5:$B$1004,H$23,'AFA Rates'!$O$5:$O$1004,"&lt;&gt;Expired")&gt;0,"✓",IF(COUNTIFS('AFA Rates'!$A$5:$A$1004,$A312,'AFA Rates'!$B$5:$B$1004,H$23)&gt;0,"Exp","")))</f>
        <v/>
      </c>
      <c r="I312" s="79">
        <f>IF(OR($A312="",I$23=""),"",IF(COUNTIFS('AFA Rates'!$A$5:$A$1004,$A312,'AFA Rates'!$B$5:$B$1004,I$23,'AFA Rates'!$O$5:$O$1004,"&lt;&gt;Expired")&gt;0,"✓",IF(COUNTIFS('AFA Rates'!$A$5:$A$1004,$A312,'AFA Rates'!$B$5:$B$1004,I$23)&gt;0,"Exp","")))</f>
        <v/>
      </c>
      <c r="J312" s="79">
        <f>IF(OR($A312="",J$23=""),"",IF(COUNTIFS('AFA Rates'!$A$5:$A$1004,$A312,'AFA Rates'!$B$5:$B$1004,J$23,'AFA Rates'!$O$5:$O$1004,"&lt;&gt;Expired")&gt;0,"✓",IF(COUNTIFS('AFA Rates'!$A$5:$A$1004,$A312,'AFA Rates'!$B$5:$B$1004,J$23)&gt;0,"Exp","")))</f>
        <v/>
      </c>
      <c r="K312" s="79">
        <f>IF(OR($A312="",K$23=""),"",IF(COUNTIFS('AFA Rates'!$A$5:$A$1004,$A312,'AFA Rates'!$B$5:$B$1004,K$23,'AFA Rates'!$O$5:$O$1004,"&lt;&gt;Expired")&gt;0,"✓",IF(COUNTIFS('AFA Rates'!$A$5:$A$1004,$A312,'AFA Rates'!$B$5:$B$1004,K$23)&gt;0,"Exp","")))</f>
        <v/>
      </c>
      <c r="L312" s="79">
        <f>IF(OR($A312="",L$23=""),"",IF(COUNTIFS('AFA Rates'!$A$5:$A$1004,$A312,'AFA Rates'!$B$5:$B$1004,L$23,'AFA Rates'!$O$5:$O$1004,"&lt;&gt;Expired")&gt;0,"✓",IF(COUNTIFS('AFA Rates'!$A$5:$A$1004,$A312,'AFA Rates'!$B$5:$B$1004,L$23)&gt;0,"Exp","")))</f>
        <v/>
      </c>
      <c r="M312" s="79">
        <f>IF(OR($A312="",M$23=""),"",IF(COUNTIFS('AFA Rates'!$A$5:$A$1004,$A312,'AFA Rates'!$B$5:$B$1004,M$23,'AFA Rates'!$O$5:$O$1004,"&lt;&gt;Expired")&gt;0,"✓",IF(COUNTIFS('AFA Rates'!$A$5:$A$1004,$A312,'AFA Rates'!$B$5:$B$1004,M$23)&gt;0,"Exp","")))</f>
        <v/>
      </c>
    </row>
    <row r="313">
      <c r="A313" s="78">
        <f>IFERROR(INDEX(Firms!$A$5:$A$1004,MATCH(290,Firms!$V$5:$V$1004,0)),"")</f>
        <v/>
      </c>
      <c r="B313" s="79">
        <f>IF($A313="","",INDEX(Firms!$B$5:$B$1004,MATCH(290,Firms!$V$5:$V$1004,0)))</f>
        <v/>
      </c>
      <c r="C313" s="79">
        <f>IF($A313="","",COUNTIFS('AFA Rates'!$A$5:$A$1004,$A313,'AFA Rates'!$O$5:$O$1004,"&lt;&gt;Expired"))</f>
        <v/>
      </c>
      <c r="D313" s="79">
        <f>IF(OR($A313="",D$23=""),"",IF(COUNTIFS('AFA Rates'!$A$5:$A$1004,$A313,'AFA Rates'!$B$5:$B$1004,D$23,'AFA Rates'!$O$5:$O$1004,"&lt;&gt;Expired")&gt;0,"✓",IF(COUNTIFS('AFA Rates'!$A$5:$A$1004,$A313,'AFA Rates'!$B$5:$B$1004,D$23)&gt;0,"Exp","")))</f>
        <v/>
      </c>
      <c r="E313" s="79">
        <f>IF(OR($A313="",E$23=""),"",IF(COUNTIFS('AFA Rates'!$A$5:$A$1004,$A313,'AFA Rates'!$B$5:$B$1004,E$23,'AFA Rates'!$O$5:$O$1004,"&lt;&gt;Expired")&gt;0,"✓",IF(COUNTIFS('AFA Rates'!$A$5:$A$1004,$A313,'AFA Rates'!$B$5:$B$1004,E$23)&gt;0,"Exp","")))</f>
        <v/>
      </c>
      <c r="F313" s="79">
        <f>IF(OR($A313="",F$23=""),"",IF(COUNTIFS('AFA Rates'!$A$5:$A$1004,$A313,'AFA Rates'!$B$5:$B$1004,F$23,'AFA Rates'!$O$5:$O$1004,"&lt;&gt;Expired")&gt;0,"✓",IF(COUNTIFS('AFA Rates'!$A$5:$A$1004,$A313,'AFA Rates'!$B$5:$B$1004,F$23)&gt;0,"Exp","")))</f>
        <v/>
      </c>
      <c r="G313" s="79">
        <f>IF(OR($A313="",G$23=""),"",IF(COUNTIFS('AFA Rates'!$A$5:$A$1004,$A313,'AFA Rates'!$B$5:$B$1004,G$23,'AFA Rates'!$O$5:$O$1004,"&lt;&gt;Expired")&gt;0,"✓",IF(COUNTIFS('AFA Rates'!$A$5:$A$1004,$A313,'AFA Rates'!$B$5:$B$1004,G$23)&gt;0,"Exp","")))</f>
        <v/>
      </c>
      <c r="H313" s="79">
        <f>IF(OR($A313="",H$23=""),"",IF(COUNTIFS('AFA Rates'!$A$5:$A$1004,$A313,'AFA Rates'!$B$5:$B$1004,H$23,'AFA Rates'!$O$5:$O$1004,"&lt;&gt;Expired")&gt;0,"✓",IF(COUNTIFS('AFA Rates'!$A$5:$A$1004,$A313,'AFA Rates'!$B$5:$B$1004,H$23)&gt;0,"Exp","")))</f>
        <v/>
      </c>
      <c r="I313" s="79">
        <f>IF(OR($A313="",I$23=""),"",IF(COUNTIFS('AFA Rates'!$A$5:$A$1004,$A313,'AFA Rates'!$B$5:$B$1004,I$23,'AFA Rates'!$O$5:$O$1004,"&lt;&gt;Expired")&gt;0,"✓",IF(COUNTIFS('AFA Rates'!$A$5:$A$1004,$A313,'AFA Rates'!$B$5:$B$1004,I$23)&gt;0,"Exp","")))</f>
        <v/>
      </c>
      <c r="J313" s="79">
        <f>IF(OR($A313="",J$23=""),"",IF(COUNTIFS('AFA Rates'!$A$5:$A$1004,$A313,'AFA Rates'!$B$5:$B$1004,J$23,'AFA Rates'!$O$5:$O$1004,"&lt;&gt;Expired")&gt;0,"✓",IF(COUNTIFS('AFA Rates'!$A$5:$A$1004,$A313,'AFA Rates'!$B$5:$B$1004,J$23)&gt;0,"Exp","")))</f>
        <v/>
      </c>
      <c r="K313" s="79">
        <f>IF(OR($A313="",K$23=""),"",IF(COUNTIFS('AFA Rates'!$A$5:$A$1004,$A313,'AFA Rates'!$B$5:$B$1004,K$23,'AFA Rates'!$O$5:$O$1004,"&lt;&gt;Expired")&gt;0,"✓",IF(COUNTIFS('AFA Rates'!$A$5:$A$1004,$A313,'AFA Rates'!$B$5:$B$1004,K$23)&gt;0,"Exp","")))</f>
        <v/>
      </c>
      <c r="L313" s="79">
        <f>IF(OR($A313="",L$23=""),"",IF(COUNTIFS('AFA Rates'!$A$5:$A$1004,$A313,'AFA Rates'!$B$5:$B$1004,L$23,'AFA Rates'!$O$5:$O$1004,"&lt;&gt;Expired")&gt;0,"✓",IF(COUNTIFS('AFA Rates'!$A$5:$A$1004,$A313,'AFA Rates'!$B$5:$B$1004,L$23)&gt;0,"Exp","")))</f>
        <v/>
      </c>
      <c r="M313" s="79">
        <f>IF(OR($A313="",M$23=""),"",IF(COUNTIFS('AFA Rates'!$A$5:$A$1004,$A313,'AFA Rates'!$B$5:$B$1004,M$23,'AFA Rates'!$O$5:$O$1004,"&lt;&gt;Expired")&gt;0,"✓",IF(COUNTIFS('AFA Rates'!$A$5:$A$1004,$A313,'AFA Rates'!$B$5:$B$1004,M$23)&gt;0,"Exp","")))</f>
        <v/>
      </c>
    </row>
    <row r="314">
      <c r="A314" s="78">
        <f>IFERROR(INDEX(Firms!$A$5:$A$1004,MATCH(291,Firms!$V$5:$V$1004,0)),"")</f>
        <v/>
      </c>
      <c r="B314" s="79">
        <f>IF($A314="","",INDEX(Firms!$B$5:$B$1004,MATCH(291,Firms!$V$5:$V$1004,0)))</f>
        <v/>
      </c>
      <c r="C314" s="79">
        <f>IF($A314="","",COUNTIFS('AFA Rates'!$A$5:$A$1004,$A314,'AFA Rates'!$O$5:$O$1004,"&lt;&gt;Expired"))</f>
        <v/>
      </c>
      <c r="D314" s="79">
        <f>IF(OR($A314="",D$23=""),"",IF(COUNTIFS('AFA Rates'!$A$5:$A$1004,$A314,'AFA Rates'!$B$5:$B$1004,D$23,'AFA Rates'!$O$5:$O$1004,"&lt;&gt;Expired")&gt;0,"✓",IF(COUNTIFS('AFA Rates'!$A$5:$A$1004,$A314,'AFA Rates'!$B$5:$B$1004,D$23)&gt;0,"Exp","")))</f>
        <v/>
      </c>
      <c r="E314" s="79">
        <f>IF(OR($A314="",E$23=""),"",IF(COUNTIFS('AFA Rates'!$A$5:$A$1004,$A314,'AFA Rates'!$B$5:$B$1004,E$23,'AFA Rates'!$O$5:$O$1004,"&lt;&gt;Expired")&gt;0,"✓",IF(COUNTIFS('AFA Rates'!$A$5:$A$1004,$A314,'AFA Rates'!$B$5:$B$1004,E$23)&gt;0,"Exp","")))</f>
        <v/>
      </c>
      <c r="F314" s="79">
        <f>IF(OR($A314="",F$23=""),"",IF(COUNTIFS('AFA Rates'!$A$5:$A$1004,$A314,'AFA Rates'!$B$5:$B$1004,F$23,'AFA Rates'!$O$5:$O$1004,"&lt;&gt;Expired")&gt;0,"✓",IF(COUNTIFS('AFA Rates'!$A$5:$A$1004,$A314,'AFA Rates'!$B$5:$B$1004,F$23)&gt;0,"Exp","")))</f>
        <v/>
      </c>
      <c r="G314" s="79">
        <f>IF(OR($A314="",G$23=""),"",IF(COUNTIFS('AFA Rates'!$A$5:$A$1004,$A314,'AFA Rates'!$B$5:$B$1004,G$23,'AFA Rates'!$O$5:$O$1004,"&lt;&gt;Expired")&gt;0,"✓",IF(COUNTIFS('AFA Rates'!$A$5:$A$1004,$A314,'AFA Rates'!$B$5:$B$1004,G$23)&gt;0,"Exp","")))</f>
        <v/>
      </c>
      <c r="H314" s="79">
        <f>IF(OR($A314="",H$23=""),"",IF(COUNTIFS('AFA Rates'!$A$5:$A$1004,$A314,'AFA Rates'!$B$5:$B$1004,H$23,'AFA Rates'!$O$5:$O$1004,"&lt;&gt;Expired")&gt;0,"✓",IF(COUNTIFS('AFA Rates'!$A$5:$A$1004,$A314,'AFA Rates'!$B$5:$B$1004,H$23)&gt;0,"Exp","")))</f>
        <v/>
      </c>
      <c r="I314" s="79">
        <f>IF(OR($A314="",I$23=""),"",IF(COUNTIFS('AFA Rates'!$A$5:$A$1004,$A314,'AFA Rates'!$B$5:$B$1004,I$23,'AFA Rates'!$O$5:$O$1004,"&lt;&gt;Expired")&gt;0,"✓",IF(COUNTIFS('AFA Rates'!$A$5:$A$1004,$A314,'AFA Rates'!$B$5:$B$1004,I$23)&gt;0,"Exp","")))</f>
        <v/>
      </c>
      <c r="J314" s="79">
        <f>IF(OR($A314="",J$23=""),"",IF(COUNTIFS('AFA Rates'!$A$5:$A$1004,$A314,'AFA Rates'!$B$5:$B$1004,J$23,'AFA Rates'!$O$5:$O$1004,"&lt;&gt;Expired")&gt;0,"✓",IF(COUNTIFS('AFA Rates'!$A$5:$A$1004,$A314,'AFA Rates'!$B$5:$B$1004,J$23)&gt;0,"Exp","")))</f>
        <v/>
      </c>
      <c r="K314" s="79">
        <f>IF(OR($A314="",K$23=""),"",IF(COUNTIFS('AFA Rates'!$A$5:$A$1004,$A314,'AFA Rates'!$B$5:$B$1004,K$23,'AFA Rates'!$O$5:$O$1004,"&lt;&gt;Expired")&gt;0,"✓",IF(COUNTIFS('AFA Rates'!$A$5:$A$1004,$A314,'AFA Rates'!$B$5:$B$1004,K$23)&gt;0,"Exp","")))</f>
        <v/>
      </c>
      <c r="L314" s="79">
        <f>IF(OR($A314="",L$23=""),"",IF(COUNTIFS('AFA Rates'!$A$5:$A$1004,$A314,'AFA Rates'!$B$5:$B$1004,L$23,'AFA Rates'!$O$5:$O$1004,"&lt;&gt;Expired")&gt;0,"✓",IF(COUNTIFS('AFA Rates'!$A$5:$A$1004,$A314,'AFA Rates'!$B$5:$B$1004,L$23)&gt;0,"Exp","")))</f>
        <v/>
      </c>
      <c r="M314" s="79">
        <f>IF(OR($A314="",M$23=""),"",IF(COUNTIFS('AFA Rates'!$A$5:$A$1004,$A314,'AFA Rates'!$B$5:$B$1004,M$23,'AFA Rates'!$O$5:$O$1004,"&lt;&gt;Expired")&gt;0,"✓",IF(COUNTIFS('AFA Rates'!$A$5:$A$1004,$A314,'AFA Rates'!$B$5:$B$1004,M$23)&gt;0,"Exp","")))</f>
        <v/>
      </c>
    </row>
    <row r="315">
      <c r="A315" s="78">
        <f>IFERROR(INDEX(Firms!$A$5:$A$1004,MATCH(292,Firms!$V$5:$V$1004,0)),"")</f>
        <v/>
      </c>
      <c r="B315" s="79">
        <f>IF($A315="","",INDEX(Firms!$B$5:$B$1004,MATCH(292,Firms!$V$5:$V$1004,0)))</f>
        <v/>
      </c>
      <c r="C315" s="79">
        <f>IF($A315="","",COUNTIFS('AFA Rates'!$A$5:$A$1004,$A315,'AFA Rates'!$O$5:$O$1004,"&lt;&gt;Expired"))</f>
        <v/>
      </c>
      <c r="D315" s="79">
        <f>IF(OR($A315="",D$23=""),"",IF(COUNTIFS('AFA Rates'!$A$5:$A$1004,$A315,'AFA Rates'!$B$5:$B$1004,D$23,'AFA Rates'!$O$5:$O$1004,"&lt;&gt;Expired")&gt;0,"✓",IF(COUNTIFS('AFA Rates'!$A$5:$A$1004,$A315,'AFA Rates'!$B$5:$B$1004,D$23)&gt;0,"Exp","")))</f>
        <v/>
      </c>
      <c r="E315" s="79">
        <f>IF(OR($A315="",E$23=""),"",IF(COUNTIFS('AFA Rates'!$A$5:$A$1004,$A315,'AFA Rates'!$B$5:$B$1004,E$23,'AFA Rates'!$O$5:$O$1004,"&lt;&gt;Expired")&gt;0,"✓",IF(COUNTIFS('AFA Rates'!$A$5:$A$1004,$A315,'AFA Rates'!$B$5:$B$1004,E$23)&gt;0,"Exp","")))</f>
        <v/>
      </c>
      <c r="F315" s="79">
        <f>IF(OR($A315="",F$23=""),"",IF(COUNTIFS('AFA Rates'!$A$5:$A$1004,$A315,'AFA Rates'!$B$5:$B$1004,F$23,'AFA Rates'!$O$5:$O$1004,"&lt;&gt;Expired")&gt;0,"✓",IF(COUNTIFS('AFA Rates'!$A$5:$A$1004,$A315,'AFA Rates'!$B$5:$B$1004,F$23)&gt;0,"Exp","")))</f>
        <v/>
      </c>
      <c r="G315" s="79">
        <f>IF(OR($A315="",G$23=""),"",IF(COUNTIFS('AFA Rates'!$A$5:$A$1004,$A315,'AFA Rates'!$B$5:$B$1004,G$23,'AFA Rates'!$O$5:$O$1004,"&lt;&gt;Expired")&gt;0,"✓",IF(COUNTIFS('AFA Rates'!$A$5:$A$1004,$A315,'AFA Rates'!$B$5:$B$1004,G$23)&gt;0,"Exp","")))</f>
        <v/>
      </c>
      <c r="H315" s="79">
        <f>IF(OR($A315="",H$23=""),"",IF(COUNTIFS('AFA Rates'!$A$5:$A$1004,$A315,'AFA Rates'!$B$5:$B$1004,H$23,'AFA Rates'!$O$5:$O$1004,"&lt;&gt;Expired")&gt;0,"✓",IF(COUNTIFS('AFA Rates'!$A$5:$A$1004,$A315,'AFA Rates'!$B$5:$B$1004,H$23)&gt;0,"Exp","")))</f>
        <v/>
      </c>
      <c r="I315" s="79">
        <f>IF(OR($A315="",I$23=""),"",IF(COUNTIFS('AFA Rates'!$A$5:$A$1004,$A315,'AFA Rates'!$B$5:$B$1004,I$23,'AFA Rates'!$O$5:$O$1004,"&lt;&gt;Expired")&gt;0,"✓",IF(COUNTIFS('AFA Rates'!$A$5:$A$1004,$A315,'AFA Rates'!$B$5:$B$1004,I$23)&gt;0,"Exp","")))</f>
        <v/>
      </c>
      <c r="J315" s="79">
        <f>IF(OR($A315="",J$23=""),"",IF(COUNTIFS('AFA Rates'!$A$5:$A$1004,$A315,'AFA Rates'!$B$5:$B$1004,J$23,'AFA Rates'!$O$5:$O$1004,"&lt;&gt;Expired")&gt;0,"✓",IF(COUNTIFS('AFA Rates'!$A$5:$A$1004,$A315,'AFA Rates'!$B$5:$B$1004,J$23)&gt;0,"Exp","")))</f>
        <v/>
      </c>
      <c r="K315" s="79">
        <f>IF(OR($A315="",K$23=""),"",IF(COUNTIFS('AFA Rates'!$A$5:$A$1004,$A315,'AFA Rates'!$B$5:$B$1004,K$23,'AFA Rates'!$O$5:$O$1004,"&lt;&gt;Expired")&gt;0,"✓",IF(COUNTIFS('AFA Rates'!$A$5:$A$1004,$A315,'AFA Rates'!$B$5:$B$1004,K$23)&gt;0,"Exp","")))</f>
        <v/>
      </c>
      <c r="L315" s="79">
        <f>IF(OR($A315="",L$23=""),"",IF(COUNTIFS('AFA Rates'!$A$5:$A$1004,$A315,'AFA Rates'!$B$5:$B$1004,L$23,'AFA Rates'!$O$5:$O$1004,"&lt;&gt;Expired")&gt;0,"✓",IF(COUNTIFS('AFA Rates'!$A$5:$A$1004,$A315,'AFA Rates'!$B$5:$B$1004,L$23)&gt;0,"Exp","")))</f>
        <v/>
      </c>
      <c r="M315" s="79">
        <f>IF(OR($A315="",M$23=""),"",IF(COUNTIFS('AFA Rates'!$A$5:$A$1004,$A315,'AFA Rates'!$B$5:$B$1004,M$23,'AFA Rates'!$O$5:$O$1004,"&lt;&gt;Expired")&gt;0,"✓",IF(COUNTIFS('AFA Rates'!$A$5:$A$1004,$A315,'AFA Rates'!$B$5:$B$1004,M$23)&gt;0,"Exp","")))</f>
        <v/>
      </c>
    </row>
    <row r="316">
      <c r="A316" s="78">
        <f>IFERROR(INDEX(Firms!$A$5:$A$1004,MATCH(293,Firms!$V$5:$V$1004,0)),"")</f>
        <v/>
      </c>
      <c r="B316" s="79">
        <f>IF($A316="","",INDEX(Firms!$B$5:$B$1004,MATCH(293,Firms!$V$5:$V$1004,0)))</f>
        <v/>
      </c>
      <c r="C316" s="79">
        <f>IF($A316="","",COUNTIFS('AFA Rates'!$A$5:$A$1004,$A316,'AFA Rates'!$O$5:$O$1004,"&lt;&gt;Expired"))</f>
        <v/>
      </c>
      <c r="D316" s="79">
        <f>IF(OR($A316="",D$23=""),"",IF(COUNTIFS('AFA Rates'!$A$5:$A$1004,$A316,'AFA Rates'!$B$5:$B$1004,D$23,'AFA Rates'!$O$5:$O$1004,"&lt;&gt;Expired")&gt;0,"✓",IF(COUNTIFS('AFA Rates'!$A$5:$A$1004,$A316,'AFA Rates'!$B$5:$B$1004,D$23)&gt;0,"Exp","")))</f>
        <v/>
      </c>
      <c r="E316" s="79">
        <f>IF(OR($A316="",E$23=""),"",IF(COUNTIFS('AFA Rates'!$A$5:$A$1004,$A316,'AFA Rates'!$B$5:$B$1004,E$23,'AFA Rates'!$O$5:$O$1004,"&lt;&gt;Expired")&gt;0,"✓",IF(COUNTIFS('AFA Rates'!$A$5:$A$1004,$A316,'AFA Rates'!$B$5:$B$1004,E$23)&gt;0,"Exp","")))</f>
        <v/>
      </c>
      <c r="F316" s="79">
        <f>IF(OR($A316="",F$23=""),"",IF(COUNTIFS('AFA Rates'!$A$5:$A$1004,$A316,'AFA Rates'!$B$5:$B$1004,F$23,'AFA Rates'!$O$5:$O$1004,"&lt;&gt;Expired")&gt;0,"✓",IF(COUNTIFS('AFA Rates'!$A$5:$A$1004,$A316,'AFA Rates'!$B$5:$B$1004,F$23)&gt;0,"Exp","")))</f>
        <v/>
      </c>
      <c r="G316" s="79">
        <f>IF(OR($A316="",G$23=""),"",IF(COUNTIFS('AFA Rates'!$A$5:$A$1004,$A316,'AFA Rates'!$B$5:$B$1004,G$23,'AFA Rates'!$O$5:$O$1004,"&lt;&gt;Expired")&gt;0,"✓",IF(COUNTIFS('AFA Rates'!$A$5:$A$1004,$A316,'AFA Rates'!$B$5:$B$1004,G$23)&gt;0,"Exp","")))</f>
        <v/>
      </c>
      <c r="H316" s="79">
        <f>IF(OR($A316="",H$23=""),"",IF(COUNTIFS('AFA Rates'!$A$5:$A$1004,$A316,'AFA Rates'!$B$5:$B$1004,H$23,'AFA Rates'!$O$5:$O$1004,"&lt;&gt;Expired")&gt;0,"✓",IF(COUNTIFS('AFA Rates'!$A$5:$A$1004,$A316,'AFA Rates'!$B$5:$B$1004,H$23)&gt;0,"Exp","")))</f>
        <v/>
      </c>
      <c r="I316" s="79">
        <f>IF(OR($A316="",I$23=""),"",IF(COUNTIFS('AFA Rates'!$A$5:$A$1004,$A316,'AFA Rates'!$B$5:$B$1004,I$23,'AFA Rates'!$O$5:$O$1004,"&lt;&gt;Expired")&gt;0,"✓",IF(COUNTIFS('AFA Rates'!$A$5:$A$1004,$A316,'AFA Rates'!$B$5:$B$1004,I$23)&gt;0,"Exp","")))</f>
        <v/>
      </c>
      <c r="J316" s="79">
        <f>IF(OR($A316="",J$23=""),"",IF(COUNTIFS('AFA Rates'!$A$5:$A$1004,$A316,'AFA Rates'!$B$5:$B$1004,J$23,'AFA Rates'!$O$5:$O$1004,"&lt;&gt;Expired")&gt;0,"✓",IF(COUNTIFS('AFA Rates'!$A$5:$A$1004,$A316,'AFA Rates'!$B$5:$B$1004,J$23)&gt;0,"Exp","")))</f>
        <v/>
      </c>
      <c r="K316" s="79">
        <f>IF(OR($A316="",K$23=""),"",IF(COUNTIFS('AFA Rates'!$A$5:$A$1004,$A316,'AFA Rates'!$B$5:$B$1004,K$23,'AFA Rates'!$O$5:$O$1004,"&lt;&gt;Expired")&gt;0,"✓",IF(COUNTIFS('AFA Rates'!$A$5:$A$1004,$A316,'AFA Rates'!$B$5:$B$1004,K$23)&gt;0,"Exp","")))</f>
        <v/>
      </c>
      <c r="L316" s="79">
        <f>IF(OR($A316="",L$23=""),"",IF(COUNTIFS('AFA Rates'!$A$5:$A$1004,$A316,'AFA Rates'!$B$5:$B$1004,L$23,'AFA Rates'!$O$5:$O$1004,"&lt;&gt;Expired")&gt;0,"✓",IF(COUNTIFS('AFA Rates'!$A$5:$A$1004,$A316,'AFA Rates'!$B$5:$B$1004,L$23)&gt;0,"Exp","")))</f>
        <v/>
      </c>
      <c r="M316" s="79">
        <f>IF(OR($A316="",M$23=""),"",IF(COUNTIFS('AFA Rates'!$A$5:$A$1004,$A316,'AFA Rates'!$B$5:$B$1004,M$23,'AFA Rates'!$O$5:$O$1004,"&lt;&gt;Expired")&gt;0,"✓",IF(COUNTIFS('AFA Rates'!$A$5:$A$1004,$A316,'AFA Rates'!$B$5:$B$1004,M$23)&gt;0,"Exp","")))</f>
        <v/>
      </c>
    </row>
    <row r="317">
      <c r="A317" s="78">
        <f>IFERROR(INDEX(Firms!$A$5:$A$1004,MATCH(294,Firms!$V$5:$V$1004,0)),"")</f>
        <v/>
      </c>
      <c r="B317" s="79">
        <f>IF($A317="","",INDEX(Firms!$B$5:$B$1004,MATCH(294,Firms!$V$5:$V$1004,0)))</f>
        <v/>
      </c>
      <c r="C317" s="79">
        <f>IF($A317="","",COUNTIFS('AFA Rates'!$A$5:$A$1004,$A317,'AFA Rates'!$O$5:$O$1004,"&lt;&gt;Expired"))</f>
        <v/>
      </c>
      <c r="D317" s="79">
        <f>IF(OR($A317="",D$23=""),"",IF(COUNTIFS('AFA Rates'!$A$5:$A$1004,$A317,'AFA Rates'!$B$5:$B$1004,D$23,'AFA Rates'!$O$5:$O$1004,"&lt;&gt;Expired")&gt;0,"✓",IF(COUNTIFS('AFA Rates'!$A$5:$A$1004,$A317,'AFA Rates'!$B$5:$B$1004,D$23)&gt;0,"Exp","")))</f>
        <v/>
      </c>
      <c r="E317" s="79">
        <f>IF(OR($A317="",E$23=""),"",IF(COUNTIFS('AFA Rates'!$A$5:$A$1004,$A317,'AFA Rates'!$B$5:$B$1004,E$23,'AFA Rates'!$O$5:$O$1004,"&lt;&gt;Expired")&gt;0,"✓",IF(COUNTIFS('AFA Rates'!$A$5:$A$1004,$A317,'AFA Rates'!$B$5:$B$1004,E$23)&gt;0,"Exp","")))</f>
        <v/>
      </c>
      <c r="F317" s="79">
        <f>IF(OR($A317="",F$23=""),"",IF(COUNTIFS('AFA Rates'!$A$5:$A$1004,$A317,'AFA Rates'!$B$5:$B$1004,F$23,'AFA Rates'!$O$5:$O$1004,"&lt;&gt;Expired")&gt;0,"✓",IF(COUNTIFS('AFA Rates'!$A$5:$A$1004,$A317,'AFA Rates'!$B$5:$B$1004,F$23)&gt;0,"Exp","")))</f>
        <v/>
      </c>
      <c r="G317" s="79">
        <f>IF(OR($A317="",G$23=""),"",IF(COUNTIFS('AFA Rates'!$A$5:$A$1004,$A317,'AFA Rates'!$B$5:$B$1004,G$23,'AFA Rates'!$O$5:$O$1004,"&lt;&gt;Expired")&gt;0,"✓",IF(COUNTIFS('AFA Rates'!$A$5:$A$1004,$A317,'AFA Rates'!$B$5:$B$1004,G$23)&gt;0,"Exp","")))</f>
        <v/>
      </c>
      <c r="H317" s="79">
        <f>IF(OR($A317="",H$23=""),"",IF(COUNTIFS('AFA Rates'!$A$5:$A$1004,$A317,'AFA Rates'!$B$5:$B$1004,H$23,'AFA Rates'!$O$5:$O$1004,"&lt;&gt;Expired")&gt;0,"✓",IF(COUNTIFS('AFA Rates'!$A$5:$A$1004,$A317,'AFA Rates'!$B$5:$B$1004,H$23)&gt;0,"Exp","")))</f>
        <v/>
      </c>
      <c r="I317" s="79">
        <f>IF(OR($A317="",I$23=""),"",IF(COUNTIFS('AFA Rates'!$A$5:$A$1004,$A317,'AFA Rates'!$B$5:$B$1004,I$23,'AFA Rates'!$O$5:$O$1004,"&lt;&gt;Expired")&gt;0,"✓",IF(COUNTIFS('AFA Rates'!$A$5:$A$1004,$A317,'AFA Rates'!$B$5:$B$1004,I$23)&gt;0,"Exp","")))</f>
        <v/>
      </c>
      <c r="J317" s="79">
        <f>IF(OR($A317="",J$23=""),"",IF(COUNTIFS('AFA Rates'!$A$5:$A$1004,$A317,'AFA Rates'!$B$5:$B$1004,J$23,'AFA Rates'!$O$5:$O$1004,"&lt;&gt;Expired")&gt;0,"✓",IF(COUNTIFS('AFA Rates'!$A$5:$A$1004,$A317,'AFA Rates'!$B$5:$B$1004,J$23)&gt;0,"Exp","")))</f>
        <v/>
      </c>
      <c r="K317" s="79">
        <f>IF(OR($A317="",K$23=""),"",IF(COUNTIFS('AFA Rates'!$A$5:$A$1004,$A317,'AFA Rates'!$B$5:$B$1004,K$23,'AFA Rates'!$O$5:$O$1004,"&lt;&gt;Expired")&gt;0,"✓",IF(COUNTIFS('AFA Rates'!$A$5:$A$1004,$A317,'AFA Rates'!$B$5:$B$1004,K$23)&gt;0,"Exp","")))</f>
        <v/>
      </c>
      <c r="L317" s="79">
        <f>IF(OR($A317="",L$23=""),"",IF(COUNTIFS('AFA Rates'!$A$5:$A$1004,$A317,'AFA Rates'!$B$5:$B$1004,L$23,'AFA Rates'!$O$5:$O$1004,"&lt;&gt;Expired")&gt;0,"✓",IF(COUNTIFS('AFA Rates'!$A$5:$A$1004,$A317,'AFA Rates'!$B$5:$B$1004,L$23)&gt;0,"Exp","")))</f>
        <v/>
      </c>
      <c r="M317" s="79">
        <f>IF(OR($A317="",M$23=""),"",IF(COUNTIFS('AFA Rates'!$A$5:$A$1004,$A317,'AFA Rates'!$B$5:$B$1004,M$23,'AFA Rates'!$O$5:$O$1004,"&lt;&gt;Expired")&gt;0,"✓",IF(COUNTIFS('AFA Rates'!$A$5:$A$1004,$A317,'AFA Rates'!$B$5:$B$1004,M$23)&gt;0,"Exp","")))</f>
        <v/>
      </c>
    </row>
    <row r="318">
      <c r="A318" s="78">
        <f>IFERROR(INDEX(Firms!$A$5:$A$1004,MATCH(295,Firms!$V$5:$V$1004,0)),"")</f>
        <v/>
      </c>
      <c r="B318" s="79">
        <f>IF($A318="","",INDEX(Firms!$B$5:$B$1004,MATCH(295,Firms!$V$5:$V$1004,0)))</f>
        <v/>
      </c>
      <c r="C318" s="79">
        <f>IF($A318="","",COUNTIFS('AFA Rates'!$A$5:$A$1004,$A318,'AFA Rates'!$O$5:$O$1004,"&lt;&gt;Expired"))</f>
        <v/>
      </c>
      <c r="D318" s="79">
        <f>IF(OR($A318="",D$23=""),"",IF(COUNTIFS('AFA Rates'!$A$5:$A$1004,$A318,'AFA Rates'!$B$5:$B$1004,D$23,'AFA Rates'!$O$5:$O$1004,"&lt;&gt;Expired")&gt;0,"✓",IF(COUNTIFS('AFA Rates'!$A$5:$A$1004,$A318,'AFA Rates'!$B$5:$B$1004,D$23)&gt;0,"Exp","")))</f>
        <v/>
      </c>
      <c r="E318" s="79">
        <f>IF(OR($A318="",E$23=""),"",IF(COUNTIFS('AFA Rates'!$A$5:$A$1004,$A318,'AFA Rates'!$B$5:$B$1004,E$23,'AFA Rates'!$O$5:$O$1004,"&lt;&gt;Expired")&gt;0,"✓",IF(COUNTIFS('AFA Rates'!$A$5:$A$1004,$A318,'AFA Rates'!$B$5:$B$1004,E$23)&gt;0,"Exp","")))</f>
        <v/>
      </c>
      <c r="F318" s="79">
        <f>IF(OR($A318="",F$23=""),"",IF(COUNTIFS('AFA Rates'!$A$5:$A$1004,$A318,'AFA Rates'!$B$5:$B$1004,F$23,'AFA Rates'!$O$5:$O$1004,"&lt;&gt;Expired")&gt;0,"✓",IF(COUNTIFS('AFA Rates'!$A$5:$A$1004,$A318,'AFA Rates'!$B$5:$B$1004,F$23)&gt;0,"Exp","")))</f>
        <v/>
      </c>
      <c r="G318" s="79">
        <f>IF(OR($A318="",G$23=""),"",IF(COUNTIFS('AFA Rates'!$A$5:$A$1004,$A318,'AFA Rates'!$B$5:$B$1004,G$23,'AFA Rates'!$O$5:$O$1004,"&lt;&gt;Expired")&gt;0,"✓",IF(COUNTIFS('AFA Rates'!$A$5:$A$1004,$A318,'AFA Rates'!$B$5:$B$1004,G$23)&gt;0,"Exp","")))</f>
        <v/>
      </c>
      <c r="H318" s="79">
        <f>IF(OR($A318="",H$23=""),"",IF(COUNTIFS('AFA Rates'!$A$5:$A$1004,$A318,'AFA Rates'!$B$5:$B$1004,H$23,'AFA Rates'!$O$5:$O$1004,"&lt;&gt;Expired")&gt;0,"✓",IF(COUNTIFS('AFA Rates'!$A$5:$A$1004,$A318,'AFA Rates'!$B$5:$B$1004,H$23)&gt;0,"Exp","")))</f>
        <v/>
      </c>
      <c r="I318" s="79">
        <f>IF(OR($A318="",I$23=""),"",IF(COUNTIFS('AFA Rates'!$A$5:$A$1004,$A318,'AFA Rates'!$B$5:$B$1004,I$23,'AFA Rates'!$O$5:$O$1004,"&lt;&gt;Expired")&gt;0,"✓",IF(COUNTIFS('AFA Rates'!$A$5:$A$1004,$A318,'AFA Rates'!$B$5:$B$1004,I$23)&gt;0,"Exp","")))</f>
        <v/>
      </c>
      <c r="J318" s="79">
        <f>IF(OR($A318="",J$23=""),"",IF(COUNTIFS('AFA Rates'!$A$5:$A$1004,$A318,'AFA Rates'!$B$5:$B$1004,J$23,'AFA Rates'!$O$5:$O$1004,"&lt;&gt;Expired")&gt;0,"✓",IF(COUNTIFS('AFA Rates'!$A$5:$A$1004,$A318,'AFA Rates'!$B$5:$B$1004,J$23)&gt;0,"Exp","")))</f>
        <v/>
      </c>
      <c r="K318" s="79">
        <f>IF(OR($A318="",K$23=""),"",IF(COUNTIFS('AFA Rates'!$A$5:$A$1004,$A318,'AFA Rates'!$B$5:$B$1004,K$23,'AFA Rates'!$O$5:$O$1004,"&lt;&gt;Expired")&gt;0,"✓",IF(COUNTIFS('AFA Rates'!$A$5:$A$1004,$A318,'AFA Rates'!$B$5:$B$1004,K$23)&gt;0,"Exp","")))</f>
        <v/>
      </c>
      <c r="L318" s="79">
        <f>IF(OR($A318="",L$23=""),"",IF(COUNTIFS('AFA Rates'!$A$5:$A$1004,$A318,'AFA Rates'!$B$5:$B$1004,L$23,'AFA Rates'!$O$5:$O$1004,"&lt;&gt;Expired")&gt;0,"✓",IF(COUNTIFS('AFA Rates'!$A$5:$A$1004,$A318,'AFA Rates'!$B$5:$B$1004,L$23)&gt;0,"Exp","")))</f>
        <v/>
      </c>
      <c r="M318" s="79">
        <f>IF(OR($A318="",M$23=""),"",IF(COUNTIFS('AFA Rates'!$A$5:$A$1004,$A318,'AFA Rates'!$B$5:$B$1004,M$23,'AFA Rates'!$O$5:$O$1004,"&lt;&gt;Expired")&gt;0,"✓",IF(COUNTIFS('AFA Rates'!$A$5:$A$1004,$A318,'AFA Rates'!$B$5:$B$1004,M$23)&gt;0,"Exp","")))</f>
        <v/>
      </c>
    </row>
    <row r="319">
      <c r="A319" s="78">
        <f>IFERROR(INDEX(Firms!$A$5:$A$1004,MATCH(296,Firms!$V$5:$V$1004,0)),"")</f>
        <v/>
      </c>
      <c r="B319" s="79">
        <f>IF($A319="","",INDEX(Firms!$B$5:$B$1004,MATCH(296,Firms!$V$5:$V$1004,0)))</f>
        <v/>
      </c>
      <c r="C319" s="79">
        <f>IF($A319="","",COUNTIFS('AFA Rates'!$A$5:$A$1004,$A319,'AFA Rates'!$O$5:$O$1004,"&lt;&gt;Expired"))</f>
        <v/>
      </c>
      <c r="D319" s="79">
        <f>IF(OR($A319="",D$23=""),"",IF(COUNTIFS('AFA Rates'!$A$5:$A$1004,$A319,'AFA Rates'!$B$5:$B$1004,D$23,'AFA Rates'!$O$5:$O$1004,"&lt;&gt;Expired")&gt;0,"✓",IF(COUNTIFS('AFA Rates'!$A$5:$A$1004,$A319,'AFA Rates'!$B$5:$B$1004,D$23)&gt;0,"Exp","")))</f>
        <v/>
      </c>
      <c r="E319" s="79">
        <f>IF(OR($A319="",E$23=""),"",IF(COUNTIFS('AFA Rates'!$A$5:$A$1004,$A319,'AFA Rates'!$B$5:$B$1004,E$23,'AFA Rates'!$O$5:$O$1004,"&lt;&gt;Expired")&gt;0,"✓",IF(COUNTIFS('AFA Rates'!$A$5:$A$1004,$A319,'AFA Rates'!$B$5:$B$1004,E$23)&gt;0,"Exp","")))</f>
        <v/>
      </c>
      <c r="F319" s="79">
        <f>IF(OR($A319="",F$23=""),"",IF(COUNTIFS('AFA Rates'!$A$5:$A$1004,$A319,'AFA Rates'!$B$5:$B$1004,F$23,'AFA Rates'!$O$5:$O$1004,"&lt;&gt;Expired")&gt;0,"✓",IF(COUNTIFS('AFA Rates'!$A$5:$A$1004,$A319,'AFA Rates'!$B$5:$B$1004,F$23)&gt;0,"Exp","")))</f>
        <v/>
      </c>
      <c r="G319" s="79">
        <f>IF(OR($A319="",G$23=""),"",IF(COUNTIFS('AFA Rates'!$A$5:$A$1004,$A319,'AFA Rates'!$B$5:$B$1004,G$23,'AFA Rates'!$O$5:$O$1004,"&lt;&gt;Expired")&gt;0,"✓",IF(COUNTIFS('AFA Rates'!$A$5:$A$1004,$A319,'AFA Rates'!$B$5:$B$1004,G$23)&gt;0,"Exp","")))</f>
        <v/>
      </c>
      <c r="H319" s="79">
        <f>IF(OR($A319="",H$23=""),"",IF(COUNTIFS('AFA Rates'!$A$5:$A$1004,$A319,'AFA Rates'!$B$5:$B$1004,H$23,'AFA Rates'!$O$5:$O$1004,"&lt;&gt;Expired")&gt;0,"✓",IF(COUNTIFS('AFA Rates'!$A$5:$A$1004,$A319,'AFA Rates'!$B$5:$B$1004,H$23)&gt;0,"Exp","")))</f>
        <v/>
      </c>
      <c r="I319" s="79">
        <f>IF(OR($A319="",I$23=""),"",IF(COUNTIFS('AFA Rates'!$A$5:$A$1004,$A319,'AFA Rates'!$B$5:$B$1004,I$23,'AFA Rates'!$O$5:$O$1004,"&lt;&gt;Expired")&gt;0,"✓",IF(COUNTIFS('AFA Rates'!$A$5:$A$1004,$A319,'AFA Rates'!$B$5:$B$1004,I$23)&gt;0,"Exp","")))</f>
        <v/>
      </c>
      <c r="J319" s="79">
        <f>IF(OR($A319="",J$23=""),"",IF(COUNTIFS('AFA Rates'!$A$5:$A$1004,$A319,'AFA Rates'!$B$5:$B$1004,J$23,'AFA Rates'!$O$5:$O$1004,"&lt;&gt;Expired")&gt;0,"✓",IF(COUNTIFS('AFA Rates'!$A$5:$A$1004,$A319,'AFA Rates'!$B$5:$B$1004,J$23)&gt;0,"Exp","")))</f>
        <v/>
      </c>
      <c r="K319" s="79">
        <f>IF(OR($A319="",K$23=""),"",IF(COUNTIFS('AFA Rates'!$A$5:$A$1004,$A319,'AFA Rates'!$B$5:$B$1004,K$23,'AFA Rates'!$O$5:$O$1004,"&lt;&gt;Expired")&gt;0,"✓",IF(COUNTIFS('AFA Rates'!$A$5:$A$1004,$A319,'AFA Rates'!$B$5:$B$1004,K$23)&gt;0,"Exp","")))</f>
        <v/>
      </c>
      <c r="L319" s="79">
        <f>IF(OR($A319="",L$23=""),"",IF(COUNTIFS('AFA Rates'!$A$5:$A$1004,$A319,'AFA Rates'!$B$5:$B$1004,L$23,'AFA Rates'!$O$5:$O$1004,"&lt;&gt;Expired")&gt;0,"✓",IF(COUNTIFS('AFA Rates'!$A$5:$A$1004,$A319,'AFA Rates'!$B$5:$B$1004,L$23)&gt;0,"Exp","")))</f>
        <v/>
      </c>
      <c r="M319" s="79">
        <f>IF(OR($A319="",M$23=""),"",IF(COUNTIFS('AFA Rates'!$A$5:$A$1004,$A319,'AFA Rates'!$B$5:$B$1004,M$23,'AFA Rates'!$O$5:$O$1004,"&lt;&gt;Expired")&gt;0,"✓",IF(COUNTIFS('AFA Rates'!$A$5:$A$1004,$A319,'AFA Rates'!$B$5:$B$1004,M$23)&gt;0,"Exp","")))</f>
        <v/>
      </c>
    </row>
    <row r="320">
      <c r="A320" s="78">
        <f>IFERROR(INDEX(Firms!$A$5:$A$1004,MATCH(297,Firms!$V$5:$V$1004,0)),"")</f>
        <v/>
      </c>
      <c r="B320" s="79">
        <f>IF($A320="","",INDEX(Firms!$B$5:$B$1004,MATCH(297,Firms!$V$5:$V$1004,0)))</f>
        <v/>
      </c>
      <c r="C320" s="79">
        <f>IF($A320="","",COUNTIFS('AFA Rates'!$A$5:$A$1004,$A320,'AFA Rates'!$O$5:$O$1004,"&lt;&gt;Expired"))</f>
        <v/>
      </c>
      <c r="D320" s="79">
        <f>IF(OR($A320="",D$23=""),"",IF(COUNTIFS('AFA Rates'!$A$5:$A$1004,$A320,'AFA Rates'!$B$5:$B$1004,D$23,'AFA Rates'!$O$5:$O$1004,"&lt;&gt;Expired")&gt;0,"✓",IF(COUNTIFS('AFA Rates'!$A$5:$A$1004,$A320,'AFA Rates'!$B$5:$B$1004,D$23)&gt;0,"Exp","")))</f>
        <v/>
      </c>
      <c r="E320" s="79">
        <f>IF(OR($A320="",E$23=""),"",IF(COUNTIFS('AFA Rates'!$A$5:$A$1004,$A320,'AFA Rates'!$B$5:$B$1004,E$23,'AFA Rates'!$O$5:$O$1004,"&lt;&gt;Expired")&gt;0,"✓",IF(COUNTIFS('AFA Rates'!$A$5:$A$1004,$A320,'AFA Rates'!$B$5:$B$1004,E$23)&gt;0,"Exp","")))</f>
        <v/>
      </c>
      <c r="F320" s="79">
        <f>IF(OR($A320="",F$23=""),"",IF(COUNTIFS('AFA Rates'!$A$5:$A$1004,$A320,'AFA Rates'!$B$5:$B$1004,F$23,'AFA Rates'!$O$5:$O$1004,"&lt;&gt;Expired")&gt;0,"✓",IF(COUNTIFS('AFA Rates'!$A$5:$A$1004,$A320,'AFA Rates'!$B$5:$B$1004,F$23)&gt;0,"Exp","")))</f>
        <v/>
      </c>
      <c r="G320" s="79">
        <f>IF(OR($A320="",G$23=""),"",IF(COUNTIFS('AFA Rates'!$A$5:$A$1004,$A320,'AFA Rates'!$B$5:$B$1004,G$23,'AFA Rates'!$O$5:$O$1004,"&lt;&gt;Expired")&gt;0,"✓",IF(COUNTIFS('AFA Rates'!$A$5:$A$1004,$A320,'AFA Rates'!$B$5:$B$1004,G$23)&gt;0,"Exp","")))</f>
        <v/>
      </c>
      <c r="H320" s="79">
        <f>IF(OR($A320="",H$23=""),"",IF(COUNTIFS('AFA Rates'!$A$5:$A$1004,$A320,'AFA Rates'!$B$5:$B$1004,H$23,'AFA Rates'!$O$5:$O$1004,"&lt;&gt;Expired")&gt;0,"✓",IF(COUNTIFS('AFA Rates'!$A$5:$A$1004,$A320,'AFA Rates'!$B$5:$B$1004,H$23)&gt;0,"Exp","")))</f>
        <v/>
      </c>
      <c r="I320" s="79">
        <f>IF(OR($A320="",I$23=""),"",IF(COUNTIFS('AFA Rates'!$A$5:$A$1004,$A320,'AFA Rates'!$B$5:$B$1004,I$23,'AFA Rates'!$O$5:$O$1004,"&lt;&gt;Expired")&gt;0,"✓",IF(COUNTIFS('AFA Rates'!$A$5:$A$1004,$A320,'AFA Rates'!$B$5:$B$1004,I$23)&gt;0,"Exp","")))</f>
        <v/>
      </c>
      <c r="J320" s="79">
        <f>IF(OR($A320="",J$23=""),"",IF(COUNTIFS('AFA Rates'!$A$5:$A$1004,$A320,'AFA Rates'!$B$5:$B$1004,J$23,'AFA Rates'!$O$5:$O$1004,"&lt;&gt;Expired")&gt;0,"✓",IF(COUNTIFS('AFA Rates'!$A$5:$A$1004,$A320,'AFA Rates'!$B$5:$B$1004,J$23)&gt;0,"Exp","")))</f>
        <v/>
      </c>
      <c r="K320" s="79">
        <f>IF(OR($A320="",K$23=""),"",IF(COUNTIFS('AFA Rates'!$A$5:$A$1004,$A320,'AFA Rates'!$B$5:$B$1004,K$23,'AFA Rates'!$O$5:$O$1004,"&lt;&gt;Expired")&gt;0,"✓",IF(COUNTIFS('AFA Rates'!$A$5:$A$1004,$A320,'AFA Rates'!$B$5:$B$1004,K$23)&gt;0,"Exp","")))</f>
        <v/>
      </c>
      <c r="L320" s="79">
        <f>IF(OR($A320="",L$23=""),"",IF(COUNTIFS('AFA Rates'!$A$5:$A$1004,$A320,'AFA Rates'!$B$5:$B$1004,L$23,'AFA Rates'!$O$5:$O$1004,"&lt;&gt;Expired")&gt;0,"✓",IF(COUNTIFS('AFA Rates'!$A$5:$A$1004,$A320,'AFA Rates'!$B$5:$B$1004,L$23)&gt;0,"Exp","")))</f>
        <v/>
      </c>
      <c r="M320" s="79">
        <f>IF(OR($A320="",M$23=""),"",IF(COUNTIFS('AFA Rates'!$A$5:$A$1004,$A320,'AFA Rates'!$B$5:$B$1004,M$23,'AFA Rates'!$O$5:$O$1004,"&lt;&gt;Expired")&gt;0,"✓",IF(COUNTIFS('AFA Rates'!$A$5:$A$1004,$A320,'AFA Rates'!$B$5:$B$1004,M$23)&gt;0,"Exp","")))</f>
        <v/>
      </c>
    </row>
    <row r="321">
      <c r="A321" s="78">
        <f>IFERROR(INDEX(Firms!$A$5:$A$1004,MATCH(298,Firms!$V$5:$V$1004,0)),"")</f>
        <v/>
      </c>
      <c r="B321" s="79">
        <f>IF($A321="","",INDEX(Firms!$B$5:$B$1004,MATCH(298,Firms!$V$5:$V$1004,0)))</f>
        <v/>
      </c>
      <c r="C321" s="79">
        <f>IF($A321="","",COUNTIFS('AFA Rates'!$A$5:$A$1004,$A321,'AFA Rates'!$O$5:$O$1004,"&lt;&gt;Expired"))</f>
        <v/>
      </c>
      <c r="D321" s="79">
        <f>IF(OR($A321="",D$23=""),"",IF(COUNTIFS('AFA Rates'!$A$5:$A$1004,$A321,'AFA Rates'!$B$5:$B$1004,D$23,'AFA Rates'!$O$5:$O$1004,"&lt;&gt;Expired")&gt;0,"✓",IF(COUNTIFS('AFA Rates'!$A$5:$A$1004,$A321,'AFA Rates'!$B$5:$B$1004,D$23)&gt;0,"Exp","")))</f>
        <v/>
      </c>
      <c r="E321" s="79">
        <f>IF(OR($A321="",E$23=""),"",IF(COUNTIFS('AFA Rates'!$A$5:$A$1004,$A321,'AFA Rates'!$B$5:$B$1004,E$23,'AFA Rates'!$O$5:$O$1004,"&lt;&gt;Expired")&gt;0,"✓",IF(COUNTIFS('AFA Rates'!$A$5:$A$1004,$A321,'AFA Rates'!$B$5:$B$1004,E$23)&gt;0,"Exp","")))</f>
        <v/>
      </c>
      <c r="F321" s="79">
        <f>IF(OR($A321="",F$23=""),"",IF(COUNTIFS('AFA Rates'!$A$5:$A$1004,$A321,'AFA Rates'!$B$5:$B$1004,F$23,'AFA Rates'!$O$5:$O$1004,"&lt;&gt;Expired")&gt;0,"✓",IF(COUNTIFS('AFA Rates'!$A$5:$A$1004,$A321,'AFA Rates'!$B$5:$B$1004,F$23)&gt;0,"Exp","")))</f>
        <v/>
      </c>
      <c r="G321" s="79">
        <f>IF(OR($A321="",G$23=""),"",IF(COUNTIFS('AFA Rates'!$A$5:$A$1004,$A321,'AFA Rates'!$B$5:$B$1004,G$23,'AFA Rates'!$O$5:$O$1004,"&lt;&gt;Expired")&gt;0,"✓",IF(COUNTIFS('AFA Rates'!$A$5:$A$1004,$A321,'AFA Rates'!$B$5:$B$1004,G$23)&gt;0,"Exp","")))</f>
        <v/>
      </c>
      <c r="H321" s="79">
        <f>IF(OR($A321="",H$23=""),"",IF(COUNTIFS('AFA Rates'!$A$5:$A$1004,$A321,'AFA Rates'!$B$5:$B$1004,H$23,'AFA Rates'!$O$5:$O$1004,"&lt;&gt;Expired")&gt;0,"✓",IF(COUNTIFS('AFA Rates'!$A$5:$A$1004,$A321,'AFA Rates'!$B$5:$B$1004,H$23)&gt;0,"Exp","")))</f>
        <v/>
      </c>
      <c r="I321" s="79">
        <f>IF(OR($A321="",I$23=""),"",IF(COUNTIFS('AFA Rates'!$A$5:$A$1004,$A321,'AFA Rates'!$B$5:$B$1004,I$23,'AFA Rates'!$O$5:$O$1004,"&lt;&gt;Expired")&gt;0,"✓",IF(COUNTIFS('AFA Rates'!$A$5:$A$1004,$A321,'AFA Rates'!$B$5:$B$1004,I$23)&gt;0,"Exp","")))</f>
        <v/>
      </c>
      <c r="J321" s="79">
        <f>IF(OR($A321="",J$23=""),"",IF(COUNTIFS('AFA Rates'!$A$5:$A$1004,$A321,'AFA Rates'!$B$5:$B$1004,J$23,'AFA Rates'!$O$5:$O$1004,"&lt;&gt;Expired")&gt;0,"✓",IF(COUNTIFS('AFA Rates'!$A$5:$A$1004,$A321,'AFA Rates'!$B$5:$B$1004,J$23)&gt;0,"Exp","")))</f>
        <v/>
      </c>
      <c r="K321" s="79">
        <f>IF(OR($A321="",K$23=""),"",IF(COUNTIFS('AFA Rates'!$A$5:$A$1004,$A321,'AFA Rates'!$B$5:$B$1004,K$23,'AFA Rates'!$O$5:$O$1004,"&lt;&gt;Expired")&gt;0,"✓",IF(COUNTIFS('AFA Rates'!$A$5:$A$1004,$A321,'AFA Rates'!$B$5:$B$1004,K$23)&gt;0,"Exp","")))</f>
        <v/>
      </c>
      <c r="L321" s="79">
        <f>IF(OR($A321="",L$23=""),"",IF(COUNTIFS('AFA Rates'!$A$5:$A$1004,$A321,'AFA Rates'!$B$5:$B$1004,L$23,'AFA Rates'!$O$5:$O$1004,"&lt;&gt;Expired")&gt;0,"✓",IF(COUNTIFS('AFA Rates'!$A$5:$A$1004,$A321,'AFA Rates'!$B$5:$B$1004,L$23)&gt;0,"Exp","")))</f>
        <v/>
      </c>
      <c r="M321" s="79">
        <f>IF(OR($A321="",M$23=""),"",IF(COUNTIFS('AFA Rates'!$A$5:$A$1004,$A321,'AFA Rates'!$B$5:$B$1004,M$23,'AFA Rates'!$O$5:$O$1004,"&lt;&gt;Expired")&gt;0,"✓",IF(COUNTIFS('AFA Rates'!$A$5:$A$1004,$A321,'AFA Rates'!$B$5:$B$1004,M$23)&gt;0,"Exp","")))</f>
        <v/>
      </c>
    </row>
    <row r="322">
      <c r="A322" s="78">
        <f>IFERROR(INDEX(Firms!$A$5:$A$1004,MATCH(299,Firms!$V$5:$V$1004,0)),"")</f>
        <v/>
      </c>
      <c r="B322" s="79">
        <f>IF($A322="","",INDEX(Firms!$B$5:$B$1004,MATCH(299,Firms!$V$5:$V$1004,0)))</f>
        <v/>
      </c>
      <c r="C322" s="79">
        <f>IF($A322="","",COUNTIFS('AFA Rates'!$A$5:$A$1004,$A322,'AFA Rates'!$O$5:$O$1004,"&lt;&gt;Expired"))</f>
        <v/>
      </c>
      <c r="D322" s="79">
        <f>IF(OR($A322="",D$23=""),"",IF(COUNTIFS('AFA Rates'!$A$5:$A$1004,$A322,'AFA Rates'!$B$5:$B$1004,D$23,'AFA Rates'!$O$5:$O$1004,"&lt;&gt;Expired")&gt;0,"✓",IF(COUNTIFS('AFA Rates'!$A$5:$A$1004,$A322,'AFA Rates'!$B$5:$B$1004,D$23)&gt;0,"Exp","")))</f>
        <v/>
      </c>
      <c r="E322" s="79">
        <f>IF(OR($A322="",E$23=""),"",IF(COUNTIFS('AFA Rates'!$A$5:$A$1004,$A322,'AFA Rates'!$B$5:$B$1004,E$23,'AFA Rates'!$O$5:$O$1004,"&lt;&gt;Expired")&gt;0,"✓",IF(COUNTIFS('AFA Rates'!$A$5:$A$1004,$A322,'AFA Rates'!$B$5:$B$1004,E$23)&gt;0,"Exp","")))</f>
        <v/>
      </c>
      <c r="F322" s="79">
        <f>IF(OR($A322="",F$23=""),"",IF(COUNTIFS('AFA Rates'!$A$5:$A$1004,$A322,'AFA Rates'!$B$5:$B$1004,F$23,'AFA Rates'!$O$5:$O$1004,"&lt;&gt;Expired")&gt;0,"✓",IF(COUNTIFS('AFA Rates'!$A$5:$A$1004,$A322,'AFA Rates'!$B$5:$B$1004,F$23)&gt;0,"Exp","")))</f>
        <v/>
      </c>
      <c r="G322" s="79">
        <f>IF(OR($A322="",G$23=""),"",IF(COUNTIFS('AFA Rates'!$A$5:$A$1004,$A322,'AFA Rates'!$B$5:$B$1004,G$23,'AFA Rates'!$O$5:$O$1004,"&lt;&gt;Expired")&gt;0,"✓",IF(COUNTIFS('AFA Rates'!$A$5:$A$1004,$A322,'AFA Rates'!$B$5:$B$1004,G$23)&gt;0,"Exp","")))</f>
        <v/>
      </c>
      <c r="H322" s="79">
        <f>IF(OR($A322="",H$23=""),"",IF(COUNTIFS('AFA Rates'!$A$5:$A$1004,$A322,'AFA Rates'!$B$5:$B$1004,H$23,'AFA Rates'!$O$5:$O$1004,"&lt;&gt;Expired")&gt;0,"✓",IF(COUNTIFS('AFA Rates'!$A$5:$A$1004,$A322,'AFA Rates'!$B$5:$B$1004,H$23)&gt;0,"Exp","")))</f>
        <v/>
      </c>
      <c r="I322" s="79">
        <f>IF(OR($A322="",I$23=""),"",IF(COUNTIFS('AFA Rates'!$A$5:$A$1004,$A322,'AFA Rates'!$B$5:$B$1004,I$23,'AFA Rates'!$O$5:$O$1004,"&lt;&gt;Expired")&gt;0,"✓",IF(COUNTIFS('AFA Rates'!$A$5:$A$1004,$A322,'AFA Rates'!$B$5:$B$1004,I$23)&gt;0,"Exp","")))</f>
        <v/>
      </c>
      <c r="J322" s="79">
        <f>IF(OR($A322="",J$23=""),"",IF(COUNTIFS('AFA Rates'!$A$5:$A$1004,$A322,'AFA Rates'!$B$5:$B$1004,J$23,'AFA Rates'!$O$5:$O$1004,"&lt;&gt;Expired")&gt;0,"✓",IF(COUNTIFS('AFA Rates'!$A$5:$A$1004,$A322,'AFA Rates'!$B$5:$B$1004,J$23)&gt;0,"Exp","")))</f>
        <v/>
      </c>
      <c r="K322" s="79">
        <f>IF(OR($A322="",K$23=""),"",IF(COUNTIFS('AFA Rates'!$A$5:$A$1004,$A322,'AFA Rates'!$B$5:$B$1004,K$23,'AFA Rates'!$O$5:$O$1004,"&lt;&gt;Expired")&gt;0,"✓",IF(COUNTIFS('AFA Rates'!$A$5:$A$1004,$A322,'AFA Rates'!$B$5:$B$1004,K$23)&gt;0,"Exp","")))</f>
        <v/>
      </c>
      <c r="L322" s="79">
        <f>IF(OR($A322="",L$23=""),"",IF(COUNTIFS('AFA Rates'!$A$5:$A$1004,$A322,'AFA Rates'!$B$5:$B$1004,L$23,'AFA Rates'!$O$5:$O$1004,"&lt;&gt;Expired")&gt;0,"✓",IF(COUNTIFS('AFA Rates'!$A$5:$A$1004,$A322,'AFA Rates'!$B$5:$B$1004,L$23)&gt;0,"Exp","")))</f>
        <v/>
      </c>
      <c r="M322" s="79">
        <f>IF(OR($A322="",M$23=""),"",IF(COUNTIFS('AFA Rates'!$A$5:$A$1004,$A322,'AFA Rates'!$B$5:$B$1004,M$23,'AFA Rates'!$O$5:$O$1004,"&lt;&gt;Expired")&gt;0,"✓",IF(COUNTIFS('AFA Rates'!$A$5:$A$1004,$A322,'AFA Rates'!$B$5:$B$1004,M$23)&gt;0,"Exp","")))</f>
        <v/>
      </c>
    </row>
    <row r="323">
      <c r="A323" s="78">
        <f>IFERROR(INDEX(Firms!$A$5:$A$1004,MATCH(300,Firms!$V$5:$V$1004,0)),"")</f>
        <v/>
      </c>
      <c r="B323" s="79">
        <f>IF($A323="","",INDEX(Firms!$B$5:$B$1004,MATCH(300,Firms!$V$5:$V$1004,0)))</f>
        <v/>
      </c>
      <c r="C323" s="79">
        <f>IF($A323="","",COUNTIFS('AFA Rates'!$A$5:$A$1004,$A323,'AFA Rates'!$O$5:$O$1004,"&lt;&gt;Expired"))</f>
        <v/>
      </c>
      <c r="D323" s="79">
        <f>IF(OR($A323="",D$23=""),"",IF(COUNTIFS('AFA Rates'!$A$5:$A$1004,$A323,'AFA Rates'!$B$5:$B$1004,D$23,'AFA Rates'!$O$5:$O$1004,"&lt;&gt;Expired")&gt;0,"✓",IF(COUNTIFS('AFA Rates'!$A$5:$A$1004,$A323,'AFA Rates'!$B$5:$B$1004,D$23)&gt;0,"Exp","")))</f>
        <v/>
      </c>
      <c r="E323" s="79">
        <f>IF(OR($A323="",E$23=""),"",IF(COUNTIFS('AFA Rates'!$A$5:$A$1004,$A323,'AFA Rates'!$B$5:$B$1004,E$23,'AFA Rates'!$O$5:$O$1004,"&lt;&gt;Expired")&gt;0,"✓",IF(COUNTIFS('AFA Rates'!$A$5:$A$1004,$A323,'AFA Rates'!$B$5:$B$1004,E$23)&gt;0,"Exp","")))</f>
        <v/>
      </c>
      <c r="F323" s="79">
        <f>IF(OR($A323="",F$23=""),"",IF(COUNTIFS('AFA Rates'!$A$5:$A$1004,$A323,'AFA Rates'!$B$5:$B$1004,F$23,'AFA Rates'!$O$5:$O$1004,"&lt;&gt;Expired")&gt;0,"✓",IF(COUNTIFS('AFA Rates'!$A$5:$A$1004,$A323,'AFA Rates'!$B$5:$B$1004,F$23)&gt;0,"Exp","")))</f>
        <v/>
      </c>
      <c r="G323" s="79">
        <f>IF(OR($A323="",G$23=""),"",IF(COUNTIFS('AFA Rates'!$A$5:$A$1004,$A323,'AFA Rates'!$B$5:$B$1004,G$23,'AFA Rates'!$O$5:$O$1004,"&lt;&gt;Expired")&gt;0,"✓",IF(COUNTIFS('AFA Rates'!$A$5:$A$1004,$A323,'AFA Rates'!$B$5:$B$1004,G$23)&gt;0,"Exp","")))</f>
        <v/>
      </c>
      <c r="H323" s="79">
        <f>IF(OR($A323="",H$23=""),"",IF(COUNTIFS('AFA Rates'!$A$5:$A$1004,$A323,'AFA Rates'!$B$5:$B$1004,H$23,'AFA Rates'!$O$5:$O$1004,"&lt;&gt;Expired")&gt;0,"✓",IF(COUNTIFS('AFA Rates'!$A$5:$A$1004,$A323,'AFA Rates'!$B$5:$B$1004,H$23)&gt;0,"Exp","")))</f>
        <v/>
      </c>
      <c r="I323" s="79">
        <f>IF(OR($A323="",I$23=""),"",IF(COUNTIFS('AFA Rates'!$A$5:$A$1004,$A323,'AFA Rates'!$B$5:$B$1004,I$23,'AFA Rates'!$O$5:$O$1004,"&lt;&gt;Expired")&gt;0,"✓",IF(COUNTIFS('AFA Rates'!$A$5:$A$1004,$A323,'AFA Rates'!$B$5:$B$1004,I$23)&gt;0,"Exp","")))</f>
        <v/>
      </c>
      <c r="J323" s="79">
        <f>IF(OR($A323="",J$23=""),"",IF(COUNTIFS('AFA Rates'!$A$5:$A$1004,$A323,'AFA Rates'!$B$5:$B$1004,J$23,'AFA Rates'!$O$5:$O$1004,"&lt;&gt;Expired")&gt;0,"✓",IF(COUNTIFS('AFA Rates'!$A$5:$A$1004,$A323,'AFA Rates'!$B$5:$B$1004,J$23)&gt;0,"Exp","")))</f>
        <v/>
      </c>
      <c r="K323" s="79">
        <f>IF(OR($A323="",K$23=""),"",IF(COUNTIFS('AFA Rates'!$A$5:$A$1004,$A323,'AFA Rates'!$B$5:$B$1004,K$23,'AFA Rates'!$O$5:$O$1004,"&lt;&gt;Expired")&gt;0,"✓",IF(COUNTIFS('AFA Rates'!$A$5:$A$1004,$A323,'AFA Rates'!$B$5:$B$1004,K$23)&gt;0,"Exp","")))</f>
        <v/>
      </c>
      <c r="L323" s="79">
        <f>IF(OR($A323="",L$23=""),"",IF(COUNTIFS('AFA Rates'!$A$5:$A$1004,$A323,'AFA Rates'!$B$5:$B$1004,L$23,'AFA Rates'!$O$5:$O$1004,"&lt;&gt;Expired")&gt;0,"✓",IF(COUNTIFS('AFA Rates'!$A$5:$A$1004,$A323,'AFA Rates'!$B$5:$B$1004,L$23)&gt;0,"Exp","")))</f>
        <v/>
      </c>
      <c r="M323" s="79">
        <f>IF(OR($A323="",M$23=""),"",IF(COUNTIFS('AFA Rates'!$A$5:$A$1004,$A323,'AFA Rates'!$B$5:$B$1004,M$23,'AFA Rates'!$O$5:$O$1004,"&lt;&gt;Expired")&gt;0,"✓",IF(COUNTIFS('AFA Rates'!$A$5:$A$1004,$A323,'AFA Rates'!$B$5:$B$1004,M$23)&gt;0,"Exp","")))</f>
        <v/>
      </c>
    </row>
    <row r="324">
      <c r="A324" s="78">
        <f>IFERROR(INDEX(Firms!$A$5:$A$1004,MATCH(301,Firms!$V$5:$V$1004,0)),"")</f>
        <v/>
      </c>
      <c r="B324" s="79">
        <f>IF($A324="","",INDEX(Firms!$B$5:$B$1004,MATCH(301,Firms!$V$5:$V$1004,0)))</f>
        <v/>
      </c>
      <c r="C324" s="79">
        <f>IF($A324="","",COUNTIFS('AFA Rates'!$A$5:$A$1004,$A324,'AFA Rates'!$O$5:$O$1004,"&lt;&gt;Expired"))</f>
        <v/>
      </c>
      <c r="D324" s="79">
        <f>IF(OR($A324="",D$23=""),"",IF(COUNTIFS('AFA Rates'!$A$5:$A$1004,$A324,'AFA Rates'!$B$5:$B$1004,D$23,'AFA Rates'!$O$5:$O$1004,"&lt;&gt;Expired")&gt;0,"✓",IF(COUNTIFS('AFA Rates'!$A$5:$A$1004,$A324,'AFA Rates'!$B$5:$B$1004,D$23)&gt;0,"Exp","")))</f>
        <v/>
      </c>
      <c r="E324" s="79">
        <f>IF(OR($A324="",E$23=""),"",IF(COUNTIFS('AFA Rates'!$A$5:$A$1004,$A324,'AFA Rates'!$B$5:$B$1004,E$23,'AFA Rates'!$O$5:$O$1004,"&lt;&gt;Expired")&gt;0,"✓",IF(COUNTIFS('AFA Rates'!$A$5:$A$1004,$A324,'AFA Rates'!$B$5:$B$1004,E$23)&gt;0,"Exp","")))</f>
        <v/>
      </c>
      <c r="F324" s="79">
        <f>IF(OR($A324="",F$23=""),"",IF(COUNTIFS('AFA Rates'!$A$5:$A$1004,$A324,'AFA Rates'!$B$5:$B$1004,F$23,'AFA Rates'!$O$5:$O$1004,"&lt;&gt;Expired")&gt;0,"✓",IF(COUNTIFS('AFA Rates'!$A$5:$A$1004,$A324,'AFA Rates'!$B$5:$B$1004,F$23)&gt;0,"Exp","")))</f>
        <v/>
      </c>
      <c r="G324" s="79">
        <f>IF(OR($A324="",G$23=""),"",IF(COUNTIFS('AFA Rates'!$A$5:$A$1004,$A324,'AFA Rates'!$B$5:$B$1004,G$23,'AFA Rates'!$O$5:$O$1004,"&lt;&gt;Expired")&gt;0,"✓",IF(COUNTIFS('AFA Rates'!$A$5:$A$1004,$A324,'AFA Rates'!$B$5:$B$1004,G$23)&gt;0,"Exp","")))</f>
        <v/>
      </c>
      <c r="H324" s="79">
        <f>IF(OR($A324="",H$23=""),"",IF(COUNTIFS('AFA Rates'!$A$5:$A$1004,$A324,'AFA Rates'!$B$5:$B$1004,H$23,'AFA Rates'!$O$5:$O$1004,"&lt;&gt;Expired")&gt;0,"✓",IF(COUNTIFS('AFA Rates'!$A$5:$A$1004,$A324,'AFA Rates'!$B$5:$B$1004,H$23)&gt;0,"Exp","")))</f>
        <v/>
      </c>
      <c r="I324" s="79">
        <f>IF(OR($A324="",I$23=""),"",IF(COUNTIFS('AFA Rates'!$A$5:$A$1004,$A324,'AFA Rates'!$B$5:$B$1004,I$23,'AFA Rates'!$O$5:$O$1004,"&lt;&gt;Expired")&gt;0,"✓",IF(COUNTIFS('AFA Rates'!$A$5:$A$1004,$A324,'AFA Rates'!$B$5:$B$1004,I$23)&gt;0,"Exp","")))</f>
        <v/>
      </c>
      <c r="J324" s="79">
        <f>IF(OR($A324="",J$23=""),"",IF(COUNTIFS('AFA Rates'!$A$5:$A$1004,$A324,'AFA Rates'!$B$5:$B$1004,J$23,'AFA Rates'!$O$5:$O$1004,"&lt;&gt;Expired")&gt;0,"✓",IF(COUNTIFS('AFA Rates'!$A$5:$A$1004,$A324,'AFA Rates'!$B$5:$B$1004,J$23)&gt;0,"Exp","")))</f>
        <v/>
      </c>
      <c r="K324" s="79">
        <f>IF(OR($A324="",K$23=""),"",IF(COUNTIFS('AFA Rates'!$A$5:$A$1004,$A324,'AFA Rates'!$B$5:$B$1004,K$23,'AFA Rates'!$O$5:$O$1004,"&lt;&gt;Expired")&gt;0,"✓",IF(COUNTIFS('AFA Rates'!$A$5:$A$1004,$A324,'AFA Rates'!$B$5:$B$1004,K$23)&gt;0,"Exp","")))</f>
        <v/>
      </c>
      <c r="L324" s="79">
        <f>IF(OR($A324="",L$23=""),"",IF(COUNTIFS('AFA Rates'!$A$5:$A$1004,$A324,'AFA Rates'!$B$5:$B$1004,L$23,'AFA Rates'!$O$5:$O$1004,"&lt;&gt;Expired")&gt;0,"✓",IF(COUNTIFS('AFA Rates'!$A$5:$A$1004,$A324,'AFA Rates'!$B$5:$B$1004,L$23)&gt;0,"Exp","")))</f>
        <v/>
      </c>
      <c r="M324" s="79">
        <f>IF(OR($A324="",M$23=""),"",IF(COUNTIFS('AFA Rates'!$A$5:$A$1004,$A324,'AFA Rates'!$B$5:$B$1004,M$23,'AFA Rates'!$O$5:$O$1004,"&lt;&gt;Expired")&gt;0,"✓",IF(COUNTIFS('AFA Rates'!$A$5:$A$1004,$A324,'AFA Rates'!$B$5:$B$1004,M$23)&gt;0,"Exp","")))</f>
        <v/>
      </c>
    </row>
    <row r="325">
      <c r="A325" s="78">
        <f>IFERROR(INDEX(Firms!$A$5:$A$1004,MATCH(302,Firms!$V$5:$V$1004,0)),"")</f>
        <v/>
      </c>
      <c r="B325" s="79">
        <f>IF($A325="","",INDEX(Firms!$B$5:$B$1004,MATCH(302,Firms!$V$5:$V$1004,0)))</f>
        <v/>
      </c>
      <c r="C325" s="79">
        <f>IF($A325="","",COUNTIFS('AFA Rates'!$A$5:$A$1004,$A325,'AFA Rates'!$O$5:$O$1004,"&lt;&gt;Expired"))</f>
        <v/>
      </c>
      <c r="D325" s="79">
        <f>IF(OR($A325="",D$23=""),"",IF(COUNTIFS('AFA Rates'!$A$5:$A$1004,$A325,'AFA Rates'!$B$5:$B$1004,D$23,'AFA Rates'!$O$5:$O$1004,"&lt;&gt;Expired")&gt;0,"✓",IF(COUNTIFS('AFA Rates'!$A$5:$A$1004,$A325,'AFA Rates'!$B$5:$B$1004,D$23)&gt;0,"Exp","")))</f>
        <v/>
      </c>
      <c r="E325" s="79">
        <f>IF(OR($A325="",E$23=""),"",IF(COUNTIFS('AFA Rates'!$A$5:$A$1004,$A325,'AFA Rates'!$B$5:$B$1004,E$23,'AFA Rates'!$O$5:$O$1004,"&lt;&gt;Expired")&gt;0,"✓",IF(COUNTIFS('AFA Rates'!$A$5:$A$1004,$A325,'AFA Rates'!$B$5:$B$1004,E$23)&gt;0,"Exp","")))</f>
        <v/>
      </c>
      <c r="F325" s="79">
        <f>IF(OR($A325="",F$23=""),"",IF(COUNTIFS('AFA Rates'!$A$5:$A$1004,$A325,'AFA Rates'!$B$5:$B$1004,F$23,'AFA Rates'!$O$5:$O$1004,"&lt;&gt;Expired")&gt;0,"✓",IF(COUNTIFS('AFA Rates'!$A$5:$A$1004,$A325,'AFA Rates'!$B$5:$B$1004,F$23)&gt;0,"Exp","")))</f>
        <v/>
      </c>
      <c r="G325" s="79">
        <f>IF(OR($A325="",G$23=""),"",IF(COUNTIFS('AFA Rates'!$A$5:$A$1004,$A325,'AFA Rates'!$B$5:$B$1004,G$23,'AFA Rates'!$O$5:$O$1004,"&lt;&gt;Expired")&gt;0,"✓",IF(COUNTIFS('AFA Rates'!$A$5:$A$1004,$A325,'AFA Rates'!$B$5:$B$1004,G$23)&gt;0,"Exp","")))</f>
        <v/>
      </c>
      <c r="H325" s="79">
        <f>IF(OR($A325="",H$23=""),"",IF(COUNTIFS('AFA Rates'!$A$5:$A$1004,$A325,'AFA Rates'!$B$5:$B$1004,H$23,'AFA Rates'!$O$5:$O$1004,"&lt;&gt;Expired")&gt;0,"✓",IF(COUNTIFS('AFA Rates'!$A$5:$A$1004,$A325,'AFA Rates'!$B$5:$B$1004,H$23)&gt;0,"Exp","")))</f>
        <v/>
      </c>
      <c r="I325" s="79">
        <f>IF(OR($A325="",I$23=""),"",IF(COUNTIFS('AFA Rates'!$A$5:$A$1004,$A325,'AFA Rates'!$B$5:$B$1004,I$23,'AFA Rates'!$O$5:$O$1004,"&lt;&gt;Expired")&gt;0,"✓",IF(COUNTIFS('AFA Rates'!$A$5:$A$1004,$A325,'AFA Rates'!$B$5:$B$1004,I$23)&gt;0,"Exp","")))</f>
        <v/>
      </c>
      <c r="J325" s="79">
        <f>IF(OR($A325="",J$23=""),"",IF(COUNTIFS('AFA Rates'!$A$5:$A$1004,$A325,'AFA Rates'!$B$5:$B$1004,J$23,'AFA Rates'!$O$5:$O$1004,"&lt;&gt;Expired")&gt;0,"✓",IF(COUNTIFS('AFA Rates'!$A$5:$A$1004,$A325,'AFA Rates'!$B$5:$B$1004,J$23)&gt;0,"Exp","")))</f>
        <v/>
      </c>
      <c r="K325" s="79">
        <f>IF(OR($A325="",K$23=""),"",IF(COUNTIFS('AFA Rates'!$A$5:$A$1004,$A325,'AFA Rates'!$B$5:$B$1004,K$23,'AFA Rates'!$O$5:$O$1004,"&lt;&gt;Expired")&gt;0,"✓",IF(COUNTIFS('AFA Rates'!$A$5:$A$1004,$A325,'AFA Rates'!$B$5:$B$1004,K$23)&gt;0,"Exp","")))</f>
        <v/>
      </c>
      <c r="L325" s="79">
        <f>IF(OR($A325="",L$23=""),"",IF(COUNTIFS('AFA Rates'!$A$5:$A$1004,$A325,'AFA Rates'!$B$5:$B$1004,L$23,'AFA Rates'!$O$5:$O$1004,"&lt;&gt;Expired")&gt;0,"✓",IF(COUNTIFS('AFA Rates'!$A$5:$A$1004,$A325,'AFA Rates'!$B$5:$B$1004,L$23)&gt;0,"Exp","")))</f>
        <v/>
      </c>
      <c r="M325" s="79">
        <f>IF(OR($A325="",M$23=""),"",IF(COUNTIFS('AFA Rates'!$A$5:$A$1004,$A325,'AFA Rates'!$B$5:$B$1004,M$23,'AFA Rates'!$O$5:$O$1004,"&lt;&gt;Expired")&gt;0,"✓",IF(COUNTIFS('AFA Rates'!$A$5:$A$1004,$A325,'AFA Rates'!$B$5:$B$1004,M$23)&gt;0,"Exp","")))</f>
        <v/>
      </c>
    </row>
    <row r="326">
      <c r="A326" s="78">
        <f>IFERROR(INDEX(Firms!$A$5:$A$1004,MATCH(303,Firms!$V$5:$V$1004,0)),"")</f>
        <v/>
      </c>
      <c r="B326" s="79">
        <f>IF($A326="","",INDEX(Firms!$B$5:$B$1004,MATCH(303,Firms!$V$5:$V$1004,0)))</f>
        <v/>
      </c>
      <c r="C326" s="79">
        <f>IF($A326="","",COUNTIFS('AFA Rates'!$A$5:$A$1004,$A326,'AFA Rates'!$O$5:$O$1004,"&lt;&gt;Expired"))</f>
        <v/>
      </c>
      <c r="D326" s="79">
        <f>IF(OR($A326="",D$23=""),"",IF(COUNTIFS('AFA Rates'!$A$5:$A$1004,$A326,'AFA Rates'!$B$5:$B$1004,D$23,'AFA Rates'!$O$5:$O$1004,"&lt;&gt;Expired")&gt;0,"✓",IF(COUNTIFS('AFA Rates'!$A$5:$A$1004,$A326,'AFA Rates'!$B$5:$B$1004,D$23)&gt;0,"Exp","")))</f>
        <v/>
      </c>
      <c r="E326" s="79">
        <f>IF(OR($A326="",E$23=""),"",IF(COUNTIFS('AFA Rates'!$A$5:$A$1004,$A326,'AFA Rates'!$B$5:$B$1004,E$23,'AFA Rates'!$O$5:$O$1004,"&lt;&gt;Expired")&gt;0,"✓",IF(COUNTIFS('AFA Rates'!$A$5:$A$1004,$A326,'AFA Rates'!$B$5:$B$1004,E$23)&gt;0,"Exp","")))</f>
        <v/>
      </c>
      <c r="F326" s="79">
        <f>IF(OR($A326="",F$23=""),"",IF(COUNTIFS('AFA Rates'!$A$5:$A$1004,$A326,'AFA Rates'!$B$5:$B$1004,F$23,'AFA Rates'!$O$5:$O$1004,"&lt;&gt;Expired")&gt;0,"✓",IF(COUNTIFS('AFA Rates'!$A$5:$A$1004,$A326,'AFA Rates'!$B$5:$B$1004,F$23)&gt;0,"Exp","")))</f>
        <v/>
      </c>
      <c r="G326" s="79">
        <f>IF(OR($A326="",G$23=""),"",IF(COUNTIFS('AFA Rates'!$A$5:$A$1004,$A326,'AFA Rates'!$B$5:$B$1004,G$23,'AFA Rates'!$O$5:$O$1004,"&lt;&gt;Expired")&gt;0,"✓",IF(COUNTIFS('AFA Rates'!$A$5:$A$1004,$A326,'AFA Rates'!$B$5:$B$1004,G$23)&gt;0,"Exp","")))</f>
        <v/>
      </c>
      <c r="H326" s="79">
        <f>IF(OR($A326="",H$23=""),"",IF(COUNTIFS('AFA Rates'!$A$5:$A$1004,$A326,'AFA Rates'!$B$5:$B$1004,H$23,'AFA Rates'!$O$5:$O$1004,"&lt;&gt;Expired")&gt;0,"✓",IF(COUNTIFS('AFA Rates'!$A$5:$A$1004,$A326,'AFA Rates'!$B$5:$B$1004,H$23)&gt;0,"Exp","")))</f>
        <v/>
      </c>
      <c r="I326" s="79">
        <f>IF(OR($A326="",I$23=""),"",IF(COUNTIFS('AFA Rates'!$A$5:$A$1004,$A326,'AFA Rates'!$B$5:$B$1004,I$23,'AFA Rates'!$O$5:$O$1004,"&lt;&gt;Expired")&gt;0,"✓",IF(COUNTIFS('AFA Rates'!$A$5:$A$1004,$A326,'AFA Rates'!$B$5:$B$1004,I$23)&gt;0,"Exp","")))</f>
        <v/>
      </c>
      <c r="J326" s="79">
        <f>IF(OR($A326="",J$23=""),"",IF(COUNTIFS('AFA Rates'!$A$5:$A$1004,$A326,'AFA Rates'!$B$5:$B$1004,J$23,'AFA Rates'!$O$5:$O$1004,"&lt;&gt;Expired")&gt;0,"✓",IF(COUNTIFS('AFA Rates'!$A$5:$A$1004,$A326,'AFA Rates'!$B$5:$B$1004,J$23)&gt;0,"Exp","")))</f>
        <v/>
      </c>
      <c r="K326" s="79">
        <f>IF(OR($A326="",K$23=""),"",IF(COUNTIFS('AFA Rates'!$A$5:$A$1004,$A326,'AFA Rates'!$B$5:$B$1004,K$23,'AFA Rates'!$O$5:$O$1004,"&lt;&gt;Expired")&gt;0,"✓",IF(COUNTIFS('AFA Rates'!$A$5:$A$1004,$A326,'AFA Rates'!$B$5:$B$1004,K$23)&gt;0,"Exp","")))</f>
        <v/>
      </c>
      <c r="L326" s="79">
        <f>IF(OR($A326="",L$23=""),"",IF(COUNTIFS('AFA Rates'!$A$5:$A$1004,$A326,'AFA Rates'!$B$5:$B$1004,L$23,'AFA Rates'!$O$5:$O$1004,"&lt;&gt;Expired")&gt;0,"✓",IF(COUNTIFS('AFA Rates'!$A$5:$A$1004,$A326,'AFA Rates'!$B$5:$B$1004,L$23)&gt;0,"Exp","")))</f>
        <v/>
      </c>
      <c r="M326" s="79">
        <f>IF(OR($A326="",M$23=""),"",IF(COUNTIFS('AFA Rates'!$A$5:$A$1004,$A326,'AFA Rates'!$B$5:$B$1004,M$23,'AFA Rates'!$O$5:$O$1004,"&lt;&gt;Expired")&gt;0,"✓",IF(COUNTIFS('AFA Rates'!$A$5:$A$1004,$A326,'AFA Rates'!$B$5:$B$1004,M$23)&gt;0,"Exp","")))</f>
        <v/>
      </c>
    </row>
    <row r="327">
      <c r="A327" s="78">
        <f>IFERROR(INDEX(Firms!$A$5:$A$1004,MATCH(304,Firms!$V$5:$V$1004,0)),"")</f>
        <v/>
      </c>
      <c r="B327" s="79">
        <f>IF($A327="","",INDEX(Firms!$B$5:$B$1004,MATCH(304,Firms!$V$5:$V$1004,0)))</f>
        <v/>
      </c>
      <c r="C327" s="79">
        <f>IF($A327="","",COUNTIFS('AFA Rates'!$A$5:$A$1004,$A327,'AFA Rates'!$O$5:$O$1004,"&lt;&gt;Expired"))</f>
        <v/>
      </c>
      <c r="D327" s="79">
        <f>IF(OR($A327="",D$23=""),"",IF(COUNTIFS('AFA Rates'!$A$5:$A$1004,$A327,'AFA Rates'!$B$5:$B$1004,D$23,'AFA Rates'!$O$5:$O$1004,"&lt;&gt;Expired")&gt;0,"✓",IF(COUNTIFS('AFA Rates'!$A$5:$A$1004,$A327,'AFA Rates'!$B$5:$B$1004,D$23)&gt;0,"Exp","")))</f>
        <v/>
      </c>
      <c r="E327" s="79">
        <f>IF(OR($A327="",E$23=""),"",IF(COUNTIFS('AFA Rates'!$A$5:$A$1004,$A327,'AFA Rates'!$B$5:$B$1004,E$23,'AFA Rates'!$O$5:$O$1004,"&lt;&gt;Expired")&gt;0,"✓",IF(COUNTIFS('AFA Rates'!$A$5:$A$1004,$A327,'AFA Rates'!$B$5:$B$1004,E$23)&gt;0,"Exp","")))</f>
        <v/>
      </c>
      <c r="F327" s="79">
        <f>IF(OR($A327="",F$23=""),"",IF(COUNTIFS('AFA Rates'!$A$5:$A$1004,$A327,'AFA Rates'!$B$5:$B$1004,F$23,'AFA Rates'!$O$5:$O$1004,"&lt;&gt;Expired")&gt;0,"✓",IF(COUNTIFS('AFA Rates'!$A$5:$A$1004,$A327,'AFA Rates'!$B$5:$B$1004,F$23)&gt;0,"Exp","")))</f>
        <v/>
      </c>
      <c r="G327" s="79">
        <f>IF(OR($A327="",G$23=""),"",IF(COUNTIFS('AFA Rates'!$A$5:$A$1004,$A327,'AFA Rates'!$B$5:$B$1004,G$23,'AFA Rates'!$O$5:$O$1004,"&lt;&gt;Expired")&gt;0,"✓",IF(COUNTIFS('AFA Rates'!$A$5:$A$1004,$A327,'AFA Rates'!$B$5:$B$1004,G$23)&gt;0,"Exp","")))</f>
        <v/>
      </c>
      <c r="H327" s="79">
        <f>IF(OR($A327="",H$23=""),"",IF(COUNTIFS('AFA Rates'!$A$5:$A$1004,$A327,'AFA Rates'!$B$5:$B$1004,H$23,'AFA Rates'!$O$5:$O$1004,"&lt;&gt;Expired")&gt;0,"✓",IF(COUNTIFS('AFA Rates'!$A$5:$A$1004,$A327,'AFA Rates'!$B$5:$B$1004,H$23)&gt;0,"Exp","")))</f>
        <v/>
      </c>
      <c r="I327" s="79">
        <f>IF(OR($A327="",I$23=""),"",IF(COUNTIFS('AFA Rates'!$A$5:$A$1004,$A327,'AFA Rates'!$B$5:$B$1004,I$23,'AFA Rates'!$O$5:$O$1004,"&lt;&gt;Expired")&gt;0,"✓",IF(COUNTIFS('AFA Rates'!$A$5:$A$1004,$A327,'AFA Rates'!$B$5:$B$1004,I$23)&gt;0,"Exp","")))</f>
        <v/>
      </c>
      <c r="J327" s="79">
        <f>IF(OR($A327="",J$23=""),"",IF(COUNTIFS('AFA Rates'!$A$5:$A$1004,$A327,'AFA Rates'!$B$5:$B$1004,J$23,'AFA Rates'!$O$5:$O$1004,"&lt;&gt;Expired")&gt;0,"✓",IF(COUNTIFS('AFA Rates'!$A$5:$A$1004,$A327,'AFA Rates'!$B$5:$B$1004,J$23)&gt;0,"Exp","")))</f>
        <v/>
      </c>
      <c r="K327" s="79">
        <f>IF(OR($A327="",K$23=""),"",IF(COUNTIFS('AFA Rates'!$A$5:$A$1004,$A327,'AFA Rates'!$B$5:$B$1004,K$23,'AFA Rates'!$O$5:$O$1004,"&lt;&gt;Expired")&gt;0,"✓",IF(COUNTIFS('AFA Rates'!$A$5:$A$1004,$A327,'AFA Rates'!$B$5:$B$1004,K$23)&gt;0,"Exp","")))</f>
        <v/>
      </c>
      <c r="L327" s="79">
        <f>IF(OR($A327="",L$23=""),"",IF(COUNTIFS('AFA Rates'!$A$5:$A$1004,$A327,'AFA Rates'!$B$5:$B$1004,L$23,'AFA Rates'!$O$5:$O$1004,"&lt;&gt;Expired")&gt;0,"✓",IF(COUNTIFS('AFA Rates'!$A$5:$A$1004,$A327,'AFA Rates'!$B$5:$B$1004,L$23)&gt;0,"Exp","")))</f>
        <v/>
      </c>
      <c r="M327" s="79">
        <f>IF(OR($A327="",M$23=""),"",IF(COUNTIFS('AFA Rates'!$A$5:$A$1004,$A327,'AFA Rates'!$B$5:$B$1004,M$23,'AFA Rates'!$O$5:$O$1004,"&lt;&gt;Expired")&gt;0,"✓",IF(COUNTIFS('AFA Rates'!$A$5:$A$1004,$A327,'AFA Rates'!$B$5:$B$1004,M$23)&gt;0,"Exp","")))</f>
        <v/>
      </c>
    </row>
    <row r="328">
      <c r="A328" s="78">
        <f>IFERROR(INDEX(Firms!$A$5:$A$1004,MATCH(305,Firms!$V$5:$V$1004,0)),"")</f>
        <v/>
      </c>
      <c r="B328" s="79">
        <f>IF($A328="","",INDEX(Firms!$B$5:$B$1004,MATCH(305,Firms!$V$5:$V$1004,0)))</f>
        <v/>
      </c>
      <c r="C328" s="79">
        <f>IF($A328="","",COUNTIFS('AFA Rates'!$A$5:$A$1004,$A328,'AFA Rates'!$O$5:$O$1004,"&lt;&gt;Expired"))</f>
        <v/>
      </c>
      <c r="D328" s="79">
        <f>IF(OR($A328="",D$23=""),"",IF(COUNTIFS('AFA Rates'!$A$5:$A$1004,$A328,'AFA Rates'!$B$5:$B$1004,D$23,'AFA Rates'!$O$5:$O$1004,"&lt;&gt;Expired")&gt;0,"✓",IF(COUNTIFS('AFA Rates'!$A$5:$A$1004,$A328,'AFA Rates'!$B$5:$B$1004,D$23)&gt;0,"Exp","")))</f>
        <v/>
      </c>
      <c r="E328" s="79">
        <f>IF(OR($A328="",E$23=""),"",IF(COUNTIFS('AFA Rates'!$A$5:$A$1004,$A328,'AFA Rates'!$B$5:$B$1004,E$23,'AFA Rates'!$O$5:$O$1004,"&lt;&gt;Expired")&gt;0,"✓",IF(COUNTIFS('AFA Rates'!$A$5:$A$1004,$A328,'AFA Rates'!$B$5:$B$1004,E$23)&gt;0,"Exp","")))</f>
        <v/>
      </c>
      <c r="F328" s="79">
        <f>IF(OR($A328="",F$23=""),"",IF(COUNTIFS('AFA Rates'!$A$5:$A$1004,$A328,'AFA Rates'!$B$5:$B$1004,F$23,'AFA Rates'!$O$5:$O$1004,"&lt;&gt;Expired")&gt;0,"✓",IF(COUNTIFS('AFA Rates'!$A$5:$A$1004,$A328,'AFA Rates'!$B$5:$B$1004,F$23)&gt;0,"Exp","")))</f>
        <v/>
      </c>
      <c r="G328" s="79">
        <f>IF(OR($A328="",G$23=""),"",IF(COUNTIFS('AFA Rates'!$A$5:$A$1004,$A328,'AFA Rates'!$B$5:$B$1004,G$23,'AFA Rates'!$O$5:$O$1004,"&lt;&gt;Expired")&gt;0,"✓",IF(COUNTIFS('AFA Rates'!$A$5:$A$1004,$A328,'AFA Rates'!$B$5:$B$1004,G$23)&gt;0,"Exp","")))</f>
        <v/>
      </c>
      <c r="H328" s="79">
        <f>IF(OR($A328="",H$23=""),"",IF(COUNTIFS('AFA Rates'!$A$5:$A$1004,$A328,'AFA Rates'!$B$5:$B$1004,H$23,'AFA Rates'!$O$5:$O$1004,"&lt;&gt;Expired")&gt;0,"✓",IF(COUNTIFS('AFA Rates'!$A$5:$A$1004,$A328,'AFA Rates'!$B$5:$B$1004,H$23)&gt;0,"Exp","")))</f>
        <v/>
      </c>
      <c r="I328" s="79">
        <f>IF(OR($A328="",I$23=""),"",IF(COUNTIFS('AFA Rates'!$A$5:$A$1004,$A328,'AFA Rates'!$B$5:$B$1004,I$23,'AFA Rates'!$O$5:$O$1004,"&lt;&gt;Expired")&gt;0,"✓",IF(COUNTIFS('AFA Rates'!$A$5:$A$1004,$A328,'AFA Rates'!$B$5:$B$1004,I$23)&gt;0,"Exp","")))</f>
        <v/>
      </c>
      <c r="J328" s="79">
        <f>IF(OR($A328="",J$23=""),"",IF(COUNTIFS('AFA Rates'!$A$5:$A$1004,$A328,'AFA Rates'!$B$5:$B$1004,J$23,'AFA Rates'!$O$5:$O$1004,"&lt;&gt;Expired")&gt;0,"✓",IF(COUNTIFS('AFA Rates'!$A$5:$A$1004,$A328,'AFA Rates'!$B$5:$B$1004,J$23)&gt;0,"Exp","")))</f>
        <v/>
      </c>
      <c r="K328" s="79">
        <f>IF(OR($A328="",K$23=""),"",IF(COUNTIFS('AFA Rates'!$A$5:$A$1004,$A328,'AFA Rates'!$B$5:$B$1004,K$23,'AFA Rates'!$O$5:$O$1004,"&lt;&gt;Expired")&gt;0,"✓",IF(COUNTIFS('AFA Rates'!$A$5:$A$1004,$A328,'AFA Rates'!$B$5:$B$1004,K$23)&gt;0,"Exp","")))</f>
        <v/>
      </c>
      <c r="L328" s="79">
        <f>IF(OR($A328="",L$23=""),"",IF(COUNTIFS('AFA Rates'!$A$5:$A$1004,$A328,'AFA Rates'!$B$5:$B$1004,L$23,'AFA Rates'!$O$5:$O$1004,"&lt;&gt;Expired")&gt;0,"✓",IF(COUNTIFS('AFA Rates'!$A$5:$A$1004,$A328,'AFA Rates'!$B$5:$B$1004,L$23)&gt;0,"Exp","")))</f>
        <v/>
      </c>
      <c r="M328" s="79">
        <f>IF(OR($A328="",M$23=""),"",IF(COUNTIFS('AFA Rates'!$A$5:$A$1004,$A328,'AFA Rates'!$B$5:$B$1004,M$23,'AFA Rates'!$O$5:$O$1004,"&lt;&gt;Expired")&gt;0,"✓",IF(COUNTIFS('AFA Rates'!$A$5:$A$1004,$A328,'AFA Rates'!$B$5:$B$1004,M$23)&gt;0,"Exp","")))</f>
        <v/>
      </c>
    </row>
    <row r="329">
      <c r="A329" s="78">
        <f>IFERROR(INDEX(Firms!$A$5:$A$1004,MATCH(306,Firms!$V$5:$V$1004,0)),"")</f>
        <v/>
      </c>
      <c r="B329" s="79">
        <f>IF($A329="","",INDEX(Firms!$B$5:$B$1004,MATCH(306,Firms!$V$5:$V$1004,0)))</f>
        <v/>
      </c>
      <c r="C329" s="79">
        <f>IF($A329="","",COUNTIFS('AFA Rates'!$A$5:$A$1004,$A329,'AFA Rates'!$O$5:$O$1004,"&lt;&gt;Expired"))</f>
        <v/>
      </c>
      <c r="D329" s="79">
        <f>IF(OR($A329="",D$23=""),"",IF(COUNTIFS('AFA Rates'!$A$5:$A$1004,$A329,'AFA Rates'!$B$5:$B$1004,D$23,'AFA Rates'!$O$5:$O$1004,"&lt;&gt;Expired")&gt;0,"✓",IF(COUNTIFS('AFA Rates'!$A$5:$A$1004,$A329,'AFA Rates'!$B$5:$B$1004,D$23)&gt;0,"Exp","")))</f>
        <v/>
      </c>
      <c r="E329" s="79">
        <f>IF(OR($A329="",E$23=""),"",IF(COUNTIFS('AFA Rates'!$A$5:$A$1004,$A329,'AFA Rates'!$B$5:$B$1004,E$23,'AFA Rates'!$O$5:$O$1004,"&lt;&gt;Expired")&gt;0,"✓",IF(COUNTIFS('AFA Rates'!$A$5:$A$1004,$A329,'AFA Rates'!$B$5:$B$1004,E$23)&gt;0,"Exp","")))</f>
        <v/>
      </c>
      <c r="F329" s="79">
        <f>IF(OR($A329="",F$23=""),"",IF(COUNTIFS('AFA Rates'!$A$5:$A$1004,$A329,'AFA Rates'!$B$5:$B$1004,F$23,'AFA Rates'!$O$5:$O$1004,"&lt;&gt;Expired")&gt;0,"✓",IF(COUNTIFS('AFA Rates'!$A$5:$A$1004,$A329,'AFA Rates'!$B$5:$B$1004,F$23)&gt;0,"Exp","")))</f>
        <v/>
      </c>
      <c r="G329" s="79">
        <f>IF(OR($A329="",G$23=""),"",IF(COUNTIFS('AFA Rates'!$A$5:$A$1004,$A329,'AFA Rates'!$B$5:$B$1004,G$23,'AFA Rates'!$O$5:$O$1004,"&lt;&gt;Expired")&gt;0,"✓",IF(COUNTIFS('AFA Rates'!$A$5:$A$1004,$A329,'AFA Rates'!$B$5:$B$1004,G$23)&gt;0,"Exp","")))</f>
        <v/>
      </c>
      <c r="H329" s="79">
        <f>IF(OR($A329="",H$23=""),"",IF(COUNTIFS('AFA Rates'!$A$5:$A$1004,$A329,'AFA Rates'!$B$5:$B$1004,H$23,'AFA Rates'!$O$5:$O$1004,"&lt;&gt;Expired")&gt;0,"✓",IF(COUNTIFS('AFA Rates'!$A$5:$A$1004,$A329,'AFA Rates'!$B$5:$B$1004,H$23)&gt;0,"Exp","")))</f>
        <v/>
      </c>
      <c r="I329" s="79">
        <f>IF(OR($A329="",I$23=""),"",IF(COUNTIFS('AFA Rates'!$A$5:$A$1004,$A329,'AFA Rates'!$B$5:$B$1004,I$23,'AFA Rates'!$O$5:$O$1004,"&lt;&gt;Expired")&gt;0,"✓",IF(COUNTIFS('AFA Rates'!$A$5:$A$1004,$A329,'AFA Rates'!$B$5:$B$1004,I$23)&gt;0,"Exp","")))</f>
        <v/>
      </c>
      <c r="J329" s="79">
        <f>IF(OR($A329="",J$23=""),"",IF(COUNTIFS('AFA Rates'!$A$5:$A$1004,$A329,'AFA Rates'!$B$5:$B$1004,J$23,'AFA Rates'!$O$5:$O$1004,"&lt;&gt;Expired")&gt;0,"✓",IF(COUNTIFS('AFA Rates'!$A$5:$A$1004,$A329,'AFA Rates'!$B$5:$B$1004,J$23)&gt;0,"Exp","")))</f>
        <v/>
      </c>
      <c r="K329" s="79">
        <f>IF(OR($A329="",K$23=""),"",IF(COUNTIFS('AFA Rates'!$A$5:$A$1004,$A329,'AFA Rates'!$B$5:$B$1004,K$23,'AFA Rates'!$O$5:$O$1004,"&lt;&gt;Expired")&gt;0,"✓",IF(COUNTIFS('AFA Rates'!$A$5:$A$1004,$A329,'AFA Rates'!$B$5:$B$1004,K$23)&gt;0,"Exp","")))</f>
        <v/>
      </c>
      <c r="L329" s="79">
        <f>IF(OR($A329="",L$23=""),"",IF(COUNTIFS('AFA Rates'!$A$5:$A$1004,$A329,'AFA Rates'!$B$5:$B$1004,L$23,'AFA Rates'!$O$5:$O$1004,"&lt;&gt;Expired")&gt;0,"✓",IF(COUNTIFS('AFA Rates'!$A$5:$A$1004,$A329,'AFA Rates'!$B$5:$B$1004,L$23)&gt;0,"Exp","")))</f>
        <v/>
      </c>
      <c r="M329" s="79">
        <f>IF(OR($A329="",M$23=""),"",IF(COUNTIFS('AFA Rates'!$A$5:$A$1004,$A329,'AFA Rates'!$B$5:$B$1004,M$23,'AFA Rates'!$O$5:$O$1004,"&lt;&gt;Expired")&gt;0,"✓",IF(COUNTIFS('AFA Rates'!$A$5:$A$1004,$A329,'AFA Rates'!$B$5:$B$1004,M$23)&gt;0,"Exp","")))</f>
        <v/>
      </c>
    </row>
    <row r="330">
      <c r="A330" s="78">
        <f>IFERROR(INDEX(Firms!$A$5:$A$1004,MATCH(307,Firms!$V$5:$V$1004,0)),"")</f>
        <v/>
      </c>
      <c r="B330" s="79">
        <f>IF($A330="","",INDEX(Firms!$B$5:$B$1004,MATCH(307,Firms!$V$5:$V$1004,0)))</f>
        <v/>
      </c>
      <c r="C330" s="79">
        <f>IF($A330="","",COUNTIFS('AFA Rates'!$A$5:$A$1004,$A330,'AFA Rates'!$O$5:$O$1004,"&lt;&gt;Expired"))</f>
        <v/>
      </c>
      <c r="D330" s="79">
        <f>IF(OR($A330="",D$23=""),"",IF(COUNTIFS('AFA Rates'!$A$5:$A$1004,$A330,'AFA Rates'!$B$5:$B$1004,D$23,'AFA Rates'!$O$5:$O$1004,"&lt;&gt;Expired")&gt;0,"✓",IF(COUNTIFS('AFA Rates'!$A$5:$A$1004,$A330,'AFA Rates'!$B$5:$B$1004,D$23)&gt;0,"Exp","")))</f>
        <v/>
      </c>
      <c r="E330" s="79">
        <f>IF(OR($A330="",E$23=""),"",IF(COUNTIFS('AFA Rates'!$A$5:$A$1004,$A330,'AFA Rates'!$B$5:$B$1004,E$23,'AFA Rates'!$O$5:$O$1004,"&lt;&gt;Expired")&gt;0,"✓",IF(COUNTIFS('AFA Rates'!$A$5:$A$1004,$A330,'AFA Rates'!$B$5:$B$1004,E$23)&gt;0,"Exp","")))</f>
        <v/>
      </c>
      <c r="F330" s="79">
        <f>IF(OR($A330="",F$23=""),"",IF(COUNTIFS('AFA Rates'!$A$5:$A$1004,$A330,'AFA Rates'!$B$5:$B$1004,F$23,'AFA Rates'!$O$5:$O$1004,"&lt;&gt;Expired")&gt;0,"✓",IF(COUNTIFS('AFA Rates'!$A$5:$A$1004,$A330,'AFA Rates'!$B$5:$B$1004,F$23)&gt;0,"Exp","")))</f>
        <v/>
      </c>
      <c r="G330" s="79">
        <f>IF(OR($A330="",G$23=""),"",IF(COUNTIFS('AFA Rates'!$A$5:$A$1004,$A330,'AFA Rates'!$B$5:$B$1004,G$23,'AFA Rates'!$O$5:$O$1004,"&lt;&gt;Expired")&gt;0,"✓",IF(COUNTIFS('AFA Rates'!$A$5:$A$1004,$A330,'AFA Rates'!$B$5:$B$1004,G$23)&gt;0,"Exp","")))</f>
        <v/>
      </c>
      <c r="H330" s="79">
        <f>IF(OR($A330="",H$23=""),"",IF(COUNTIFS('AFA Rates'!$A$5:$A$1004,$A330,'AFA Rates'!$B$5:$B$1004,H$23,'AFA Rates'!$O$5:$O$1004,"&lt;&gt;Expired")&gt;0,"✓",IF(COUNTIFS('AFA Rates'!$A$5:$A$1004,$A330,'AFA Rates'!$B$5:$B$1004,H$23)&gt;0,"Exp","")))</f>
        <v/>
      </c>
      <c r="I330" s="79">
        <f>IF(OR($A330="",I$23=""),"",IF(COUNTIFS('AFA Rates'!$A$5:$A$1004,$A330,'AFA Rates'!$B$5:$B$1004,I$23,'AFA Rates'!$O$5:$O$1004,"&lt;&gt;Expired")&gt;0,"✓",IF(COUNTIFS('AFA Rates'!$A$5:$A$1004,$A330,'AFA Rates'!$B$5:$B$1004,I$23)&gt;0,"Exp","")))</f>
        <v/>
      </c>
      <c r="J330" s="79">
        <f>IF(OR($A330="",J$23=""),"",IF(COUNTIFS('AFA Rates'!$A$5:$A$1004,$A330,'AFA Rates'!$B$5:$B$1004,J$23,'AFA Rates'!$O$5:$O$1004,"&lt;&gt;Expired")&gt;0,"✓",IF(COUNTIFS('AFA Rates'!$A$5:$A$1004,$A330,'AFA Rates'!$B$5:$B$1004,J$23)&gt;0,"Exp","")))</f>
        <v/>
      </c>
      <c r="K330" s="79">
        <f>IF(OR($A330="",K$23=""),"",IF(COUNTIFS('AFA Rates'!$A$5:$A$1004,$A330,'AFA Rates'!$B$5:$B$1004,K$23,'AFA Rates'!$O$5:$O$1004,"&lt;&gt;Expired")&gt;0,"✓",IF(COUNTIFS('AFA Rates'!$A$5:$A$1004,$A330,'AFA Rates'!$B$5:$B$1004,K$23)&gt;0,"Exp","")))</f>
        <v/>
      </c>
      <c r="L330" s="79">
        <f>IF(OR($A330="",L$23=""),"",IF(COUNTIFS('AFA Rates'!$A$5:$A$1004,$A330,'AFA Rates'!$B$5:$B$1004,L$23,'AFA Rates'!$O$5:$O$1004,"&lt;&gt;Expired")&gt;0,"✓",IF(COUNTIFS('AFA Rates'!$A$5:$A$1004,$A330,'AFA Rates'!$B$5:$B$1004,L$23)&gt;0,"Exp","")))</f>
        <v/>
      </c>
      <c r="M330" s="79">
        <f>IF(OR($A330="",M$23=""),"",IF(COUNTIFS('AFA Rates'!$A$5:$A$1004,$A330,'AFA Rates'!$B$5:$B$1004,M$23,'AFA Rates'!$O$5:$O$1004,"&lt;&gt;Expired")&gt;0,"✓",IF(COUNTIFS('AFA Rates'!$A$5:$A$1004,$A330,'AFA Rates'!$B$5:$B$1004,M$23)&gt;0,"Exp","")))</f>
        <v/>
      </c>
    </row>
    <row r="331">
      <c r="A331" s="78">
        <f>IFERROR(INDEX(Firms!$A$5:$A$1004,MATCH(308,Firms!$V$5:$V$1004,0)),"")</f>
        <v/>
      </c>
      <c r="B331" s="79">
        <f>IF($A331="","",INDEX(Firms!$B$5:$B$1004,MATCH(308,Firms!$V$5:$V$1004,0)))</f>
        <v/>
      </c>
      <c r="C331" s="79">
        <f>IF($A331="","",COUNTIFS('AFA Rates'!$A$5:$A$1004,$A331,'AFA Rates'!$O$5:$O$1004,"&lt;&gt;Expired"))</f>
        <v/>
      </c>
      <c r="D331" s="79">
        <f>IF(OR($A331="",D$23=""),"",IF(COUNTIFS('AFA Rates'!$A$5:$A$1004,$A331,'AFA Rates'!$B$5:$B$1004,D$23,'AFA Rates'!$O$5:$O$1004,"&lt;&gt;Expired")&gt;0,"✓",IF(COUNTIFS('AFA Rates'!$A$5:$A$1004,$A331,'AFA Rates'!$B$5:$B$1004,D$23)&gt;0,"Exp","")))</f>
        <v/>
      </c>
      <c r="E331" s="79">
        <f>IF(OR($A331="",E$23=""),"",IF(COUNTIFS('AFA Rates'!$A$5:$A$1004,$A331,'AFA Rates'!$B$5:$B$1004,E$23,'AFA Rates'!$O$5:$O$1004,"&lt;&gt;Expired")&gt;0,"✓",IF(COUNTIFS('AFA Rates'!$A$5:$A$1004,$A331,'AFA Rates'!$B$5:$B$1004,E$23)&gt;0,"Exp","")))</f>
        <v/>
      </c>
      <c r="F331" s="79">
        <f>IF(OR($A331="",F$23=""),"",IF(COUNTIFS('AFA Rates'!$A$5:$A$1004,$A331,'AFA Rates'!$B$5:$B$1004,F$23,'AFA Rates'!$O$5:$O$1004,"&lt;&gt;Expired")&gt;0,"✓",IF(COUNTIFS('AFA Rates'!$A$5:$A$1004,$A331,'AFA Rates'!$B$5:$B$1004,F$23)&gt;0,"Exp","")))</f>
        <v/>
      </c>
      <c r="G331" s="79">
        <f>IF(OR($A331="",G$23=""),"",IF(COUNTIFS('AFA Rates'!$A$5:$A$1004,$A331,'AFA Rates'!$B$5:$B$1004,G$23,'AFA Rates'!$O$5:$O$1004,"&lt;&gt;Expired")&gt;0,"✓",IF(COUNTIFS('AFA Rates'!$A$5:$A$1004,$A331,'AFA Rates'!$B$5:$B$1004,G$23)&gt;0,"Exp","")))</f>
        <v/>
      </c>
      <c r="H331" s="79">
        <f>IF(OR($A331="",H$23=""),"",IF(COUNTIFS('AFA Rates'!$A$5:$A$1004,$A331,'AFA Rates'!$B$5:$B$1004,H$23,'AFA Rates'!$O$5:$O$1004,"&lt;&gt;Expired")&gt;0,"✓",IF(COUNTIFS('AFA Rates'!$A$5:$A$1004,$A331,'AFA Rates'!$B$5:$B$1004,H$23)&gt;0,"Exp","")))</f>
        <v/>
      </c>
      <c r="I331" s="79">
        <f>IF(OR($A331="",I$23=""),"",IF(COUNTIFS('AFA Rates'!$A$5:$A$1004,$A331,'AFA Rates'!$B$5:$B$1004,I$23,'AFA Rates'!$O$5:$O$1004,"&lt;&gt;Expired")&gt;0,"✓",IF(COUNTIFS('AFA Rates'!$A$5:$A$1004,$A331,'AFA Rates'!$B$5:$B$1004,I$23)&gt;0,"Exp","")))</f>
        <v/>
      </c>
      <c r="J331" s="79">
        <f>IF(OR($A331="",J$23=""),"",IF(COUNTIFS('AFA Rates'!$A$5:$A$1004,$A331,'AFA Rates'!$B$5:$B$1004,J$23,'AFA Rates'!$O$5:$O$1004,"&lt;&gt;Expired")&gt;0,"✓",IF(COUNTIFS('AFA Rates'!$A$5:$A$1004,$A331,'AFA Rates'!$B$5:$B$1004,J$23)&gt;0,"Exp","")))</f>
        <v/>
      </c>
      <c r="K331" s="79">
        <f>IF(OR($A331="",K$23=""),"",IF(COUNTIFS('AFA Rates'!$A$5:$A$1004,$A331,'AFA Rates'!$B$5:$B$1004,K$23,'AFA Rates'!$O$5:$O$1004,"&lt;&gt;Expired")&gt;0,"✓",IF(COUNTIFS('AFA Rates'!$A$5:$A$1004,$A331,'AFA Rates'!$B$5:$B$1004,K$23)&gt;0,"Exp","")))</f>
        <v/>
      </c>
      <c r="L331" s="79">
        <f>IF(OR($A331="",L$23=""),"",IF(COUNTIFS('AFA Rates'!$A$5:$A$1004,$A331,'AFA Rates'!$B$5:$B$1004,L$23,'AFA Rates'!$O$5:$O$1004,"&lt;&gt;Expired")&gt;0,"✓",IF(COUNTIFS('AFA Rates'!$A$5:$A$1004,$A331,'AFA Rates'!$B$5:$B$1004,L$23)&gt;0,"Exp","")))</f>
        <v/>
      </c>
      <c r="M331" s="79">
        <f>IF(OR($A331="",M$23=""),"",IF(COUNTIFS('AFA Rates'!$A$5:$A$1004,$A331,'AFA Rates'!$B$5:$B$1004,M$23,'AFA Rates'!$O$5:$O$1004,"&lt;&gt;Expired")&gt;0,"✓",IF(COUNTIFS('AFA Rates'!$A$5:$A$1004,$A331,'AFA Rates'!$B$5:$B$1004,M$23)&gt;0,"Exp","")))</f>
        <v/>
      </c>
    </row>
    <row r="332">
      <c r="A332" s="78">
        <f>IFERROR(INDEX(Firms!$A$5:$A$1004,MATCH(309,Firms!$V$5:$V$1004,0)),"")</f>
        <v/>
      </c>
      <c r="B332" s="79">
        <f>IF($A332="","",INDEX(Firms!$B$5:$B$1004,MATCH(309,Firms!$V$5:$V$1004,0)))</f>
        <v/>
      </c>
      <c r="C332" s="79">
        <f>IF($A332="","",COUNTIFS('AFA Rates'!$A$5:$A$1004,$A332,'AFA Rates'!$O$5:$O$1004,"&lt;&gt;Expired"))</f>
        <v/>
      </c>
      <c r="D332" s="79">
        <f>IF(OR($A332="",D$23=""),"",IF(COUNTIFS('AFA Rates'!$A$5:$A$1004,$A332,'AFA Rates'!$B$5:$B$1004,D$23,'AFA Rates'!$O$5:$O$1004,"&lt;&gt;Expired")&gt;0,"✓",IF(COUNTIFS('AFA Rates'!$A$5:$A$1004,$A332,'AFA Rates'!$B$5:$B$1004,D$23)&gt;0,"Exp","")))</f>
        <v/>
      </c>
      <c r="E332" s="79">
        <f>IF(OR($A332="",E$23=""),"",IF(COUNTIFS('AFA Rates'!$A$5:$A$1004,$A332,'AFA Rates'!$B$5:$B$1004,E$23,'AFA Rates'!$O$5:$O$1004,"&lt;&gt;Expired")&gt;0,"✓",IF(COUNTIFS('AFA Rates'!$A$5:$A$1004,$A332,'AFA Rates'!$B$5:$B$1004,E$23)&gt;0,"Exp","")))</f>
        <v/>
      </c>
      <c r="F332" s="79">
        <f>IF(OR($A332="",F$23=""),"",IF(COUNTIFS('AFA Rates'!$A$5:$A$1004,$A332,'AFA Rates'!$B$5:$B$1004,F$23,'AFA Rates'!$O$5:$O$1004,"&lt;&gt;Expired")&gt;0,"✓",IF(COUNTIFS('AFA Rates'!$A$5:$A$1004,$A332,'AFA Rates'!$B$5:$B$1004,F$23)&gt;0,"Exp","")))</f>
        <v/>
      </c>
      <c r="G332" s="79">
        <f>IF(OR($A332="",G$23=""),"",IF(COUNTIFS('AFA Rates'!$A$5:$A$1004,$A332,'AFA Rates'!$B$5:$B$1004,G$23,'AFA Rates'!$O$5:$O$1004,"&lt;&gt;Expired")&gt;0,"✓",IF(COUNTIFS('AFA Rates'!$A$5:$A$1004,$A332,'AFA Rates'!$B$5:$B$1004,G$23)&gt;0,"Exp","")))</f>
        <v/>
      </c>
      <c r="H332" s="79">
        <f>IF(OR($A332="",H$23=""),"",IF(COUNTIFS('AFA Rates'!$A$5:$A$1004,$A332,'AFA Rates'!$B$5:$B$1004,H$23,'AFA Rates'!$O$5:$O$1004,"&lt;&gt;Expired")&gt;0,"✓",IF(COUNTIFS('AFA Rates'!$A$5:$A$1004,$A332,'AFA Rates'!$B$5:$B$1004,H$23)&gt;0,"Exp","")))</f>
        <v/>
      </c>
      <c r="I332" s="79">
        <f>IF(OR($A332="",I$23=""),"",IF(COUNTIFS('AFA Rates'!$A$5:$A$1004,$A332,'AFA Rates'!$B$5:$B$1004,I$23,'AFA Rates'!$O$5:$O$1004,"&lt;&gt;Expired")&gt;0,"✓",IF(COUNTIFS('AFA Rates'!$A$5:$A$1004,$A332,'AFA Rates'!$B$5:$B$1004,I$23)&gt;0,"Exp","")))</f>
        <v/>
      </c>
      <c r="J332" s="79">
        <f>IF(OR($A332="",J$23=""),"",IF(COUNTIFS('AFA Rates'!$A$5:$A$1004,$A332,'AFA Rates'!$B$5:$B$1004,J$23,'AFA Rates'!$O$5:$O$1004,"&lt;&gt;Expired")&gt;0,"✓",IF(COUNTIFS('AFA Rates'!$A$5:$A$1004,$A332,'AFA Rates'!$B$5:$B$1004,J$23)&gt;0,"Exp","")))</f>
        <v/>
      </c>
      <c r="K332" s="79">
        <f>IF(OR($A332="",K$23=""),"",IF(COUNTIFS('AFA Rates'!$A$5:$A$1004,$A332,'AFA Rates'!$B$5:$B$1004,K$23,'AFA Rates'!$O$5:$O$1004,"&lt;&gt;Expired")&gt;0,"✓",IF(COUNTIFS('AFA Rates'!$A$5:$A$1004,$A332,'AFA Rates'!$B$5:$B$1004,K$23)&gt;0,"Exp","")))</f>
        <v/>
      </c>
      <c r="L332" s="79">
        <f>IF(OR($A332="",L$23=""),"",IF(COUNTIFS('AFA Rates'!$A$5:$A$1004,$A332,'AFA Rates'!$B$5:$B$1004,L$23,'AFA Rates'!$O$5:$O$1004,"&lt;&gt;Expired")&gt;0,"✓",IF(COUNTIFS('AFA Rates'!$A$5:$A$1004,$A332,'AFA Rates'!$B$5:$B$1004,L$23)&gt;0,"Exp","")))</f>
        <v/>
      </c>
      <c r="M332" s="79">
        <f>IF(OR($A332="",M$23=""),"",IF(COUNTIFS('AFA Rates'!$A$5:$A$1004,$A332,'AFA Rates'!$B$5:$B$1004,M$23,'AFA Rates'!$O$5:$O$1004,"&lt;&gt;Expired")&gt;0,"✓",IF(COUNTIFS('AFA Rates'!$A$5:$A$1004,$A332,'AFA Rates'!$B$5:$B$1004,M$23)&gt;0,"Exp","")))</f>
        <v/>
      </c>
    </row>
    <row r="333">
      <c r="A333" s="78">
        <f>IFERROR(INDEX(Firms!$A$5:$A$1004,MATCH(310,Firms!$V$5:$V$1004,0)),"")</f>
        <v/>
      </c>
      <c r="B333" s="79">
        <f>IF($A333="","",INDEX(Firms!$B$5:$B$1004,MATCH(310,Firms!$V$5:$V$1004,0)))</f>
        <v/>
      </c>
      <c r="C333" s="79">
        <f>IF($A333="","",COUNTIFS('AFA Rates'!$A$5:$A$1004,$A333,'AFA Rates'!$O$5:$O$1004,"&lt;&gt;Expired"))</f>
        <v/>
      </c>
      <c r="D333" s="79">
        <f>IF(OR($A333="",D$23=""),"",IF(COUNTIFS('AFA Rates'!$A$5:$A$1004,$A333,'AFA Rates'!$B$5:$B$1004,D$23,'AFA Rates'!$O$5:$O$1004,"&lt;&gt;Expired")&gt;0,"✓",IF(COUNTIFS('AFA Rates'!$A$5:$A$1004,$A333,'AFA Rates'!$B$5:$B$1004,D$23)&gt;0,"Exp","")))</f>
        <v/>
      </c>
      <c r="E333" s="79">
        <f>IF(OR($A333="",E$23=""),"",IF(COUNTIFS('AFA Rates'!$A$5:$A$1004,$A333,'AFA Rates'!$B$5:$B$1004,E$23,'AFA Rates'!$O$5:$O$1004,"&lt;&gt;Expired")&gt;0,"✓",IF(COUNTIFS('AFA Rates'!$A$5:$A$1004,$A333,'AFA Rates'!$B$5:$B$1004,E$23)&gt;0,"Exp","")))</f>
        <v/>
      </c>
      <c r="F333" s="79">
        <f>IF(OR($A333="",F$23=""),"",IF(COUNTIFS('AFA Rates'!$A$5:$A$1004,$A333,'AFA Rates'!$B$5:$B$1004,F$23,'AFA Rates'!$O$5:$O$1004,"&lt;&gt;Expired")&gt;0,"✓",IF(COUNTIFS('AFA Rates'!$A$5:$A$1004,$A333,'AFA Rates'!$B$5:$B$1004,F$23)&gt;0,"Exp","")))</f>
        <v/>
      </c>
      <c r="G333" s="79">
        <f>IF(OR($A333="",G$23=""),"",IF(COUNTIFS('AFA Rates'!$A$5:$A$1004,$A333,'AFA Rates'!$B$5:$B$1004,G$23,'AFA Rates'!$O$5:$O$1004,"&lt;&gt;Expired")&gt;0,"✓",IF(COUNTIFS('AFA Rates'!$A$5:$A$1004,$A333,'AFA Rates'!$B$5:$B$1004,G$23)&gt;0,"Exp","")))</f>
        <v/>
      </c>
      <c r="H333" s="79">
        <f>IF(OR($A333="",H$23=""),"",IF(COUNTIFS('AFA Rates'!$A$5:$A$1004,$A333,'AFA Rates'!$B$5:$B$1004,H$23,'AFA Rates'!$O$5:$O$1004,"&lt;&gt;Expired")&gt;0,"✓",IF(COUNTIFS('AFA Rates'!$A$5:$A$1004,$A333,'AFA Rates'!$B$5:$B$1004,H$23)&gt;0,"Exp","")))</f>
        <v/>
      </c>
      <c r="I333" s="79">
        <f>IF(OR($A333="",I$23=""),"",IF(COUNTIFS('AFA Rates'!$A$5:$A$1004,$A333,'AFA Rates'!$B$5:$B$1004,I$23,'AFA Rates'!$O$5:$O$1004,"&lt;&gt;Expired")&gt;0,"✓",IF(COUNTIFS('AFA Rates'!$A$5:$A$1004,$A333,'AFA Rates'!$B$5:$B$1004,I$23)&gt;0,"Exp","")))</f>
        <v/>
      </c>
      <c r="J333" s="79">
        <f>IF(OR($A333="",J$23=""),"",IF(COUNTIFS('AFA Rates'!$A$5:$A$1004,$A333,'AFA Rates'!$B$5:$B$1004,J$23,'AFA Rates'!$O$5:$O$1004,"&lt;&gt;Expired")&gt;0,"✓",IF(COUNTIFS('AFA Rates'!$A$5:$A$1004,$A333,'AFA Rates'!$B$5:$B$1004,J$23)&gt;0,"Exp","")))</f>
        <v/>
      </c>
      <c r="K333" s="79">
        <f>IF(OR($A333="",K$23=""),"",IF(COUNTIFS('AFA Rates'!$A$5:$A$1004,$A333,'AFA Rates'!$B$5:$B$1004,K$23,'AFA Rates'!$O$5:$O$1004,"&lt;&gt;Expired")&gt;0,"✓",IF(COUNTIFS('AFA Rates'!$A$5:$A$1004,$A333,'AFA Rates'!$B$5:$B$1004,K$23)&gt;0,"Exp","")))</f>
        <v/>
      </c>
      <c r="L333" s="79">
        <f>IF(OR($A333="",L$23=""),"",IF(COUNTIFS('AFA Rates'!$A$5:$A$1004,$A333,'AFA Rates'!$B$5:$B$1004,L$23,'AFA Rates'!$O$5:$O$1004,"&lt;&gt;Expired")&gt;0,"✓",IF(COUNTIFS('AFA Rates'!$A$5:$A$1004,$A333,'AFA Rates'!$B$5:$B$1004,L$23)&gt;0,"Exp","")))</f>
        <v/>
      </c>
      <c r="M333" s="79">
        <f>IF(OR($A333="",M$23=""),"",IF(COUNTIFS('AFA Rates'!$A$5:$A$1004,$A333,'AFA Rates'!$B$5:$B$1004,M$23,'AFA Rates'!$O$5:$O$1004,"&lt;&gt;Expired")&gt;0,"✓",IF(COUNTIFS('AFA Rates'!$A$5:$A$1004,$A333,'AFA Rates'!$B$5:$B$1004,M$23)&gt;0,"Exp","")))</f>
        <v/>
      </c>
    </row>
    <row r="334">
      <c r="A334" s="78">
        <f>IFERROR(INDEX(Firms!$A$5:$A$1004,MATCH(311,Firms!$V$5:$V$1004,0)),"")</f>
        <v/>
      </c>
      <c r="B334" s="79">
        <f>IF($A334="","",INDEX(Firms!$B$5:$B$1004,MATCH(311,Firms!$V$5:$V$1004,0)))</f>
        <v/>
      </c>
      <c r="C334" s="79">
        <f>IF($A334="","",COUNTIFS('AFA Rates'!$A$5:$A$1004,$A334,'AFA Rates'!$O$5:$O$1004,"&lt;&gt;Expired"))</f>
        <v/>
      </c>
      <c r="D334" s="79">
        <f>IF(OR($A334="",D$23=""),"",IF(COUNTIFS('AFA Rates'!$A$5:$A$1004,$A334,'AFA Rates'!$B$5:$B$1004,D$23,'AFA Rates'!$O$5:$O$1004,"&lt;&gt;Expired")&gt;0,"✓",IF(COUNTIFS('AFA Rates'!$A$5:$A$1004,$A334,'AFA Rates'!$B$5:$B$1004,D$23)&gt;0,"Exp","")))</f>
        <v/>
      </c>
      <c r="E334" s="79">
        <f>IF(OR($A334="",E$23=""),"",IF(COUNTIFS('AFA Rates'!$A$5:$A$1004,$A334,'AFA Rates'!$B$5:$B$1004,E$23,'AFA Rates'!$O$5:$O$1004,"&lt;&gt;Expired")&gt;0,"✓",IF(COUNTIFS('AFA Rates'!$A$5:$A$1004,$A334,'AFA Rates'!$B$5:$B$1004,E$23)&gt;0,"Exp","")))</f>
        <v/>
      </c>
      <c r="F334" s="79">
        <f>IF(OR($A334="",F$23=""),"",IF(COUNTIFS('AFA Rates'!$A$5:$A$1004,$A334,'AFA Rates'!$B$5:$B$1004,F$23,'AFA Rates'!$O$5:$O$1004,"&lt;&gt;Expired")&gt;0,"✓",IF(COUNTIFS('AFA Rates'!$A$5:$A$1004,$A334,'AFA Rates'!$B$5:$B$1004,F$23)&gt;0,"Exp","")))</f>
        <v/>
      </c>
      <c r="G334" s="79">
        <f>IF(OR($A334="",G$23=""),"",IF(COUNTIFS('AFA Rates'!$A$5:$A$1004,$A334,'AFA Rates'!$B$5:$B$1004,G$23,'AFA Rates'!$O$5:$O$1004,"&lt;&gt;Expired")&gt;0,"✓",IF(COUNTIFS('AFA Rates'!$A$5:$A$1004,$A334,'AFA Rates'!$B$5:$B$1004,G$23)&gt;0,"Exp","")))</f>
        <v/>
      </c>
      <c r="H334" s="79">
        <f>IF(OR($A334="",H$23=""),"",IF(COUNTIFS('AFA Rates'!$A$5:$A$1004,$A334,'AFA Rates'!$B$5:$B$1004,H$23,'AFA Rates'!$O$5:$O$1004,"&lt;&gt;Expired")&gt;0,"✓",IF(COUNTIFS('AFA Rates'!$A$5:$A$1004,$A334,'AFA Rates'!$B$5:$B$1004,H$23)&gt;0,"Exp","")))</f>
        <v/>
      </c>
      <c r="I334" s="79">
        <f>IF(OR($A334="",I$23=""),"",IF(COUNTIFS('AFA Rates'!$A$5:$A$1004,$A334,'AFA Rates'!$B$5:$B$1004,I$23,'AFA Rates'!$O$5:$O$1004,"&lt;&gt;Expired")&gt;0,"✓",IF(COUNTIFS('AFA Rates'!$A$5:$A$1004,$A334,'AFA Rates'!$B$5:$B$1004,I$23)&gt;0,"Exp","")))</f>
        <v/>
      </c>
      <c r="J334" s="79">
        <f>IF(OR($A334="",J$23=""),"",IF(COUNTIFS('AFA Rates'!$A$5:$A$1004,$A334,'AFA Rates'!$B$5:$B$1004,J$23,'AFA Rates'!$O$5:$O$1004,"&lt;&gt;Expired")&gt;0,"✓",IF(COUNTIFS('AFA Rates'!$A$5:$A$1004,$A334,'AFA Rates'!$B$5:$B$1004,J$23)&gt;0,"Exp","")))</f>
        <v/>
      </c>
      <c r="K334" s="79">
        <f>IF(OR($A334="",K$23=""),"",IF(COUNTIFS('AFA Rates'!$A$5:$A$1004,$A334,'AFA Rates'!$B$5:$B$1004,K$23,'AFA Rates'!$O$5:$O$1004,"&lt;&gt;Expired")&gt;0,"✓",IF(COUNTIFS('AFA Rates'!$A$5:$A$1004,$A334,'AFA Rates'!$B$5:$B$1004,K$23)&gt;0,"Exp","")))</f>
        <v/>
      </c>
      <c r="L334" s="79">
        <f>IF(OR($A334="",L$23=""),"",IF(COUNTIFS('AFA Rates'!$A$5:$A$1004,$A334,'AFA Rates'!$B$5:$B$1004,L$23,'AFA Rates'!$O$5:$O$1004,"&lt;&gt;Expired")&gt;0,"✓",IF(COUNTIFS('AFA Rates'!$A$5:$A$1004,$A334,'AFA Rates'!$B$5:$B$1004,L$23)&gt;0,"Exp","")))</f>
        <v/>
      </c>
      <c r="M334" s="79">
        <f>IF(OR($A334="",M$23=""),"",IF(COUNTIFS('AFA Rates'!$A$5:$A$1004,$A334,'AFA Rates'!$B$5:$B$1004,M$23,'AFA Rates'!$O$5:$O$1004,"&lt;&gt;Expired")&gt;0,"✓",IF(COUNTIFS('AFA Rates'!$A$5:$A$1004,$A334,'AFA Rates'!$B$5:$B$1004,M$23)&gt;0,"Exp","")))</f>
        <v/>
      </c>
    </row>
    <row r="335">
      <c r="A335" s="78">
        <f>IFERROR(INDEX(Firms!$A$5:$A$1004,MATCH(312,Firms!$V$5:$V$1004,0)),"")</f>
        <v/>
      </c>
      <c r="B335" s="79">
        <f>IF($A335="","",INDEX(Firms!$B$5:$B$1004,MATCH(312,Firms!$V$5:$V$1004,0)))</f>
        <v/>
      </c>
      <c r="C335" s="79">
        <f>IF($A335="","",COUNTIFS('AFA Rates'!$A$5:$A$1004,$A335,'AFA Rates'!$O$5:$O$1004,"&lt;&gt;Expired"))</f>
        <v/>
      </c>
      <c r="D335" s="79">
        <f>IF(OR($A335="",D$23=""),"",IF(COUNTIFS('AFA Rates'!$A$5:$A$1004,$A335,'AFA Rates'!$B$5:$B$1004,D$23,'AFA Rates'!$O$5:$O$1004,"&lt;&gt;Expired")&gt;0,"✓",IF(COUNTIFS('AFA Rates'!$A$5:$A$1004,$A335,'AFA Rates'!$B$5:$B$1004,D$23)&gt;0,"Exp","")))</f>
        <v/>
      </c>
      <c r="E335" s="79">
        <f>IF(OR($A335="",E$23=""),"",IF(COUNTIFS('AFA Rates'!$A$5:$A$1004,$A335,'AFA Rates'!$B$5:$B$1004,E$23,'AFA Rates'!$O$5:$O$1004,"&lt;&gt;Expired")&gt;0,"✓",IF(COUNTIFS('AFA Rates'!$A$5:$A$1004,$A335,'AFA Rates'!$B$5:$B$1004,E$23)&gt;0,"Exp","")))</f>
        <v/>
      </c>
      <c r="F335" s="79">
        <f>IF(OR($A335="",F$23=""),"",IF(COUNTIFS('AFA Rates'!$A$5:$A$1004,$A335,'AFA Rates'!$B$5:$B$1004,F$23,'AFA Rates'!$O$5:$O$1004,"&lt;&gt;Expired")&gt;0,"✓",IF(COUNTIFS('AFA Rates'!$A$5:$A$1004,$A335,'AFA Rates'!$B$5:$B$1004,F$23)&gt;0,"Exp","")))</f>
        <v/>
      </c>
      <c r="G335" s="79">
        <f>IF(OR($A335="",G$23=""),"",IF(COUNTIFS('AFA Rates'!$A$5:$A$1004,$A335,'AFA Rates'!$B$5:$B$1004,G$23,'AFA Rates'!$O$5:$O$1004,"&lt;&gt;Expired")&gt;0,"✓",IF(COUNTIFS('AFA Rates'!$A$5:$A$1004,$A335,'AFA Rates'!$B$5:$B$1004,G$23)&gt;0,"Exp","")))</f>
        <v/>
      </c>
      <c r="H335" s="79">
        <f>IF(OR($A335="",H$23=""),"",IF(COUNTIFS('AFA Rates'!$A$5:$A$1004,$A335,'AFA Rates'!$B$5:$B$1004,H$23,'AFA Rates'!$O$5:$O$1004,"&lt;&gt;Expired")&gt;0,"✓",IF(COUNTIFS('AFA Rates'!$A$5:$A$1004,$A335,'AFA Rates'!$B$5:$B$1004,H$23)&gt;0,"Exp","")))</f>
        <v/>
      </c>
      <c r="I335" s="79">
        <f>IF(OR($A335="",I$23=""),"",IF(COUNTIFS('AFA Rates'!$A$5:$A$1004,$A335,'AFA Rates'!$B$5:$B$1004,I$23,'AFA Rates'!$O$5:$O$1004,"&lt;&gt;Expired")&gt;0,"✓",IF(COUNTIFS('AFA Rates'!$A$5:$A$1004,$A335,'AFA Rates'!$B$5:$B$1004,I$23)&gt;0,"Exp","")))</f>
        <v/>
      </c>
      <c r="J335" s="79">
        <f>IF(OR($A335="",J$23=""),"",IF(COUNTIFS('AFA Rates'!$A$5:$A$1004,$A335,'AFA Rates'!$B$5:$B$1004,J$23,'AFA Rates'!$O$5:$O$1004,"&lt;&gt;Expired")&gt;0,"✓",IF(COUNTIFS('AFA Rates'!$A$5:$A$1004,$A335,'AFA Rates'!$B$5:$B$1004,J$23)&gt;0,"Exp","")))</f>
        <v/>
      </c>
      <c r="K335" s="79">
        <f>IF(OR($A335="",K$23=""),"",IF(COUNTIFS('AFA Rates'!$A$5:$A$1004,$A335,'AFA Rates'!$B$5:$B$1004,K$23,'AFA Rates'!$O$5:$O$1004,"&lt;&gt;Expired")&gt;0,"✓",IF(COUNTIFS('AFA Rates'!$A$5:$A$1004,$A335,'AFA Rates'!$B$5:$B$1004,K$23)&gt;0,"Exp","")))</f>
        <v/>
      </c>
      <c r="L335" s="79">
        <f>IF(OR($A335="",L$23=""),"",IF(COUNTIFS('AFA Rates'!$A$5:$A$1004,$A335,'AFA Rates'!$B$5:$B$1004,L$23,'AFA Rates'!$O$5:$O$1004,"&lt;&gt;Expired")&gt;0,"✓",IF(COUNTIFS('AFA Rates'!$A$5:$A$1004,$A335,'AFA Rates'!$B$5:$B$1004,L$23)&gt;0,"Exp","")))</f>
        <v/>
      </c>
      <c r="M335" s="79">
        <f>IF(OR($A335="",M$23=""),"",IF(COUNTIFS('AFA Rates'!$A$5:$A$1004,$A335,'AFA Rates'!$B$5:$B$1004,M$23,'AFA Rates'!$O$5:$O$1004,"&lt;&gt;Expired")&gt;0,"✓",IF(COUNTIFS('AFA Rates'!$A$5:$A$1004,$A335,'AFA Rates'!$B$5:$B$1004,M$23)&gt;0,"Exp","")))</f>
        <v/>
      </c>
    </row>
    <row r="336">
      <c r="A336" s="78">
        <f>IFERROR(INDEX(Firms!$A$5:$A$1004,MATCH(313,Firms!$V$5:$V$1004,0)),"")</f>
        <v/>
      </c>
      <c r="B336" s="79">
        <f>IF($A336="","",INDEX(Firms!$B$5:$B$1004,MATCH(313,Firms!$V$5:$V$1004,0)))</f>
        <v/>
      </c>
      <c r="C336" s="79">
        <f>IF($A336="","",COUNTIFS('AFA Rates'!$A$5:$A$1004,$A336,'AFA Rates'!$O$5:$O$1004,"&lt;&gt;Expired"))</f>
        <v/>
      </c>
      <c r="D336" s="79">
        <f>IF(OR($A336="",D$23=""),"",IF(COUNTIFS('AFA Rates'!$A$5:$A$1004,$A336,'AFA Rates'!$B$5:$B$1004,D$23,'AFA Rates'!$O$5:$O$1004,"&lt;&gt;Expired")&gt;0,"✓",IF(COUNTIFS('AFA Rates'!$A$5:$A$1004,$A336,'AFA Rates'!$B$5:$B$1004,D$23)&gt;0,"Exp","")))</f>
        <v/>
      </c>
      <c r="E336" s="79">
        <f>IF(OR($A336="",E$23=""),"",IF(COUNTIFS('AFA Rates'!$A$5:$A$1004,$A336,'AFA Rates'!$B$5:$B$1004,E$23,'AFA Rates'!$O$5:$O$1004,"&lt;&gt;Expired")&gt;0,"✓",IF(COUNTIFS('AFA Rates'!$A$5:$A$1004,$A336,'AFA Rates'!$B$5:$B$1004,E$23)&gt;0,"Exp","")))</f>
        <v/>
      </c>
      <c r="F336" s="79">
        <f>IF(OR($A336="",F$23=""),"",IF(COUNTIFS('AFA Rates'!$A$5:$A$1004,$A336,'AFA Rates'!$B$5:$B$1004,F$23,'AFA Rates'!$O$5:$O$1004,"&lt;&gt;Expired")&gt;0,"✓",IF(COUNTIFS('AFA Rates'!$A$5:$A$1004,$A336,'AFA Rates'!$B$5:$B$1004,F$23)&gt;0,"Exp","")))</f>
        <v/>
      </c>
      <c r="G336" s="79">
        <f>IF(OR($A336="",G$23=""),"",IF(COUNTIFS('AFA Rates'!$A$5:$A$1004,$A336,'AFA Rates'!$B$5:$B$1004,G$23,'AFA Rates'!$O$5:$O$1004,"&lt;&gt;Expired")&gt;0,"✓",IF(COUNTIFS('AFA Rates'!$A$5:$A$1004,$A336,'AFA Rates'!$B$5:$B$1004,G$23)&gt;0,"Exp","")))</f>
        <v/>
      </c>
      <c r="H336" s="79">
        <f>IF(OR($A336="",H$23=""),"",IF(COUNTIFS('AFA Rates'!$A$5:$A$1004,$A336,'AFA Rates'!$B$5:$B$1004,H$23,'AFA Rates'!$O$5:$O$1004,"&lt;&gt;Expired")&gt;0,"✓",IF(COUNTIFS('AFA Rates'!$A$5:$A$1004,$A336,'AFA Rates'!$B$5:$B$1004,H$23)&gt;0,"Exp","")))</f>
        <v/>
      </c>
      <c r="I336" s="79">
        <f>IF(OR($A336="",I$23=""),"",IF(COUNTIFS('AFA Rates'!$A$5:$A$1004,$A336,'AFA Rates'!$B$5:$B$1004,I$23,'AFA Rates'!$O$5:$O$1004,"&lt;&gt;Expired")&gt;0,"✓",IF(COUNTIFS('AFA Rates'!$A$5:$A$1004,$A336,'AFA Rates'!$B$5:$B$1004,I$23)&gt;0,"Exp","")))</f>
        <v/>
      </c>
      <c r="J336" s="79">
        <f>IF(OR($A336="",J$23=""),"",IF(COUNTIFS('AFA Rates'!$A$5:$A$1004,$A336,'AFA Rates'!$B$5:$B$1004,J$23,'AFA Rates'!$O$5:$O$1004,"&lt;&gt;Expired")&gt;0,"✓",IF(COUNTIFS('AFA Rates'!$A$5:$A$1004,$A336,'AFA Rates'!$B$5:$B$1004,J$23)&gt;0,"Exp","")))</f>
        <v/>
      </c>
      <c r="K336" s="79">
        <f>IF(OR($A336="",K$23=""),"",IF(COUNTIFS('AFA Rates'!$A$5:$A$1004,$A336,'AFA Rates'!$B$5:$B$1004,K$23,'AFA Rates'!$O$5:$O$1004,"&lt;&gt;Expired")&gt;0,"✓",IF(COUNTIFS('AFA Rates'!$A$5:$A$1004,$A336,'AFA Rates'!$B$5:$B$1004,K$23)&gt;0,"Exp","")))</f>
        <v/>
      </c>
      <c r="L336" s="79">
        <f>IF(OR($A336="",L$23=""),"",IF(COUNTIFS('AFA Rates'!$A$5:$A$1004,$A336,'AFA Rates'!$B$5:$B$1004,L$23,'AFA Rates'!$O$5:$O$1004,"&lt;&gt;Expired")&gt;0,"✓",IF(COUNTIFS('AFA Rates'!$A$5:$A$1004,$A336,'AFA Rates'!$B$5:$B$1004,L$23)&gt;0,"Exp","")))</f>
        <v/>
      </c>
      <c r="M336" s="79">
        <f>IF(OR($A336="",M$23=""),"",IF(COUNTIFS('AFA Rates'!$A$5:$A$1004,$A336,'AFA Rates'!$B$5:$B$1004,M$23,'AFA Rates'!$O$5:$O$1004,"&lt;&gt;Expired")&gt;0,"✓",IF(COUNTIFS('AFA Rates'!$A$5:$A$1004,$A336,'AFA Rates'!$B$5:$B$1004,M$23)&gt;0,"Exp","")))</f>
        <v/>
      </c>
    </row>
    <row r="337">
      <c r="A337" s="78">
        <f>IFERROR(INDEX(Firms!$A$5:$A$1004,MATCH(314,Firms!$V$5:$V$1004,0)),"")</f>
        <v/>
      </c>
      <c r="B337" s="79">
        <f>IF($A337="","",INDEX(Firms!$B$5:$B$1004,MATCH(314,Firms!$V$5:$V$1004,0)))</f>
        <v/>
      </c>
      <c r="C337" s="79">
        <f>IF($A337="","",COUNTIFS('AFA Rates'!$A$5:$A$1004,$A337,'AFA Rates'!$O$5:$O$1004,"&lt;&gt;Expired"))</f>
        <v/>
      </c>
      <c r="D337" s="79">
        <f>IF(OR($A337="",D$23=""),"",IF(COUNTIFS('AFA Rates'!$A$5:$A$1004,$A337,'AFA Rates'!$B$5:$B$1004,D$23,'AFA Rates'!$O$5:$O$1004,"&lt;&gt;Expired")&gt;0,"✓",IF(COUNTIFS('AFA Rates'!$A$5:$A$1004,$A337,'AFA Rates'!$B$5:$B$1004,D$23)&gt;0,"Exp","")))</f>
        <v/>
      </c>
      <c r="E337" s="79">
        <f>IF(OR($A337="",E$23=""),"",IF(COUNTIFS('AFA Rates'!$A$5:$A$1004,$A337,'AFA Rates'!$B$5:$B$1004,E$23,'AFA Rates'!$O$5:$O$1004,"&lt;&gt;Expired")&gt;0,"✓",IF(COUNTIFS('AFA Rates'!$A$5:$A$1004,$A337,'AFA Rates'!$B$5:$B$1004,E$23)&gt;0,"Exp","")))</f>
        <v/>
      </c>
      <c r="F337" s="79">
        <f>IF(OR($A337="",F$23=""),"",IF(COUNTIFS('AFA Rates'!$A$5:$A$1004,$A337,'AFA Rates'!$B$5:$B$1004,F$23,'AFA Rates'!$O$5:$O$1004,"&lt;&gt;Expired")&gt;0,"✓",IF(COUNTIFS('AFA Rates'!$A$5:$A$1004,$A337,'AFA Rates'!$B$5:$B$1004,F$23)&gt;0,"Exp","")))</f>
        <v/>
      </c>
      <c r="G337" s="79">
        <f>IF(OR($A337="",G$23=""),"",IF(COUNTIFS('AFA Rates'!$A$5:$A$1004,$A337,'AFA Rates'!$B$5:$B$1004,G$23,'AFA Rates'!$O$5:$O$1004,"&lt;&gt;Expired")&gt;0,"✓",IF(COUNTIFS('AFA Rates'!$A$5:$A$1004,$A337,'AFA Rates'!$B$5:$B$1004,G$23)&gt;0,"Exp","")))</f>
        <v/>
      </c>
      <c r="H337" s="79">
        <f>IF(OR($A337="",H$23=""),"",IF(COUNTIFS('AFA Rates'!$A$5:$A$1004,$A337,'AFA Rates'!$B$5:$B$1004,H$23,'AFA Rates'!$O$5:$O$1004,"&lt;&gt;Expired")&gt;0,"✓",IF(COUNTIFS('AFA Rates'!$A$5:$A$1004,$A337,'AFA Rates'!$B$5:$B$1004,H$23)&gt;0,"Exp","")))</f>
        <v/>
      </c>
      <c r="I337" s="79">
        <f>IF(OR($A337="",I$23=""),"",IF(COUNTIFS('AFA Rates'!$A$5:$A$1004,$A337,'AFA Rates'!$B$5:$B$1004,I$23,'AFA Rates'!$O$5:$O$1004,"&lt;&gt;Expired")&gt;0,"✓",IF(COUNTIFS('AFA Rates'!$A$5:$A$1004,$A337,'AFA Rates'!$B$5:$B$1004,I$23)&gt;0,"Exp","")))</f>
        <v/>
      </c>
      <c r="J337" s="79">
        <f>IF(OR($A337="",J$23=""),"",IF(COUNTIFS('AFA Rates'!$A$5:$A$1004,$A337,'AFA Rates'!$B$5:$B$1004,J$23,'AFA Rates'!$O$5:$O$1004,"&lt;&gt;Expired")&gt;0,"✓",IF(COUNTIFS('AFA Rates'!$A$5:$A$1004,$A337,'AFA Rates'!$B$5:$B$1004,J$23)&gt;0,"Exp","")))</f>
        <v/>
      </c>
      <c r="K337" s="79">
        <f>IF(OR($A337="",K$23=""),"",IF(COUNTIFS('AFA Rates'!$A$5:$A$1004,$A337,'AFA Rates'!$B$5:$B$1004,K$23,'AFA Rates'!$O$5:$O$1004,"&lt;&gt;Expired")&gt;0,"✓",IF(COUNTIFS('AFA Rates'!$A$5:$A$1004,$A337,'AFA Rates'!$B$5:$B$1004,K$23)&gt;0,"Exp","")))</f>
        <v/>
      </c>
      <c r="L337" s="79">
        <f>IF(OR($A337="",L$23=""),"",IF(COUNTIFS('AFA Rates'!$A$5:$A$1004,$A337,'AFA Rates'!$B$5:$B$1004,L$23,'AFA Rates'!$O$5:$O$1004,"&lt;&gt;Expired")&gt;0,"✓",IF(COUNTIFS('AFA Rates'!$A$5:$A$1004,$A337,'AFA Rates'!$B$5:$B$1004,L$23)&gt;0,"Exp","")))</f>
        <v/>
      </c>
      <c r="M337" s="79">
        <f>IF(OR($A337="",M$23=""),"",IF(COUNTIFS('AFA Rates'!$A$5:$A$1004,$A337,'AFA Rates'!$B$5:$B$1004,M$23,'AFA Rates'!$O$5:$O$1004,"&lt;&gt;Expired")&gt;0,"✓",IF(COUNTIFS('AFA Rates'!$A$5:$A$1004,$A337,'AFA Rates'!$B$5:$B$1004,M$23)&gt;0,"Exp","")))</f>
        <v/>
      </c>
    </row>
    <row r="338">
      <c r="A338" s="78">
        <f>IFERROR(INDEX(Firms!$A$5:$A$1004,MATCH(315,Firms!$V$5:$V$1004,0)),"")</f>
        <v/>
      </c>
      <c r="B338" s="79">
        <f>IF($A338="","",INDEX(Firms!$B$5:$B$1004,MATCH(315,Firms!$V$5:$V$1004,0)))</f>
        <v/>
      </c>
      <c r="C338" s="79">
        <f>IF($A338="","",COUNTIFS('AFA Rates'!$A$5:$A$1004,$A338,'AFA Rates'!$O$5:$O$1004,"&lt;&gt;Expired"))</f>
        <v/>
      </c>
      <c r="D338" s="79">
        <f>IF(OR($A338="",D$23=""),"",IF(COUNTIFS('AFA Rates'!$A$5:$A$1004,$A338,'AFA Rates'!$B$5:$B$1004,D$23,'AFA Rates'!$O$5:$O$1004,"&lt;&gt;Expired")&gt;0,"✓",IF(COUNTIFS('AFA Rates'!$A$5:$A$1004,$A338,'AFA Rates'!$B$5:$B$1004,D$23)&gt;0,"Exp","")))</f>
        <v/>
      </c>
      <c r="E338" s="79">
        <f>IF(OR($A338="",E$23=""),"",IF(COUNTIFS('AFA Rates'!$A$5:$A$1004,$A338,'AFA Rates'!$B$5:$B$1004,E$23,'AFA Rates'!$O$5:$O$1004,"&lt;&gt;Expired")&gt;0,"✓",IF(COUNTIFS('AFA Rates'!$A$5:$A$1004,$A338,'AFA Rates'!$B$5:$B$1004,E$23)&gt;0,"Exp","")))</f>
        <v/>
      </c>
      <c r="F338" s="79">
        <f>IF(OR($A338="",F$23=""),"",IF(COUNTIFS('AFA Rates'!$A$5:$A$1004,$A338,'AFA Rates'!$B$5:$B$1004,F$23,'AFA Rates'!$O$5:$O$1004,"&lt;&gt;Expired")&gt;0,"✓",IF(COUNTIFS('AFA Rates'!$A$5:$A$1004,$A338,'AFA Rates'!$B$5:$B$1004,F$23)&gt;0,"Exp","")))</f>
        <v/>
      </c>
      <c r="G338" s="79">
        <f>IF(OR($A338="",G$23=""),"",IF(COUNTIFS('AFA Rates'!$A$5:$A$1004,$A338,'AFA Rates'!$B$5:$B$1004,G$23,'AFA Rates'!$O$5:$O$1004,"&lt;&gt;Expired")&gt;0,"✓",IF(COUNTIFS('AFA Rates'!$A$5:$A$1004,$A338,'AFA Rates'!$B$5:$B$1004,G$23)&gt;0,"Exp","")))</f>
        <v/>
      </c>
      <c r="H338" s="79">
        <f>IF(OR($A338="",H$23=""),"",IF(COUNTIFS('AFA Rates'!$A$5:$A$1004,$A338,'AFA Rates'!$B$5:$B$1004,H$23,'AFA Rates'!$O$5:$O$1004,"&lt;&gt;Expired")&gt;0,"✓",IF(COUNTIFS('AFA Rates'!$A$5:$A$1004,$A338,'AFA Rates'!$B$5:$B$1004,H$23)&gt;0,"Exp","")))</f>
        <v/>
      </c>
      <c r="I338" s="79">
        <f>IF(OR($A338="",I$23=""),"",IF(COUNTIFS('AFA Rates'!$A$5:$A$1004,$A338,'AFA Rates'!$B$5:$B$1004,I$23,'AFA Rates'!$O$5:$O$1004,"&lt;&gt;Expired")&gt;0,"✓",IF(COUNTIFS('AFA Rates'!$A$5:$A$1004,$A338,'AFA Rates'!$B$5:$B$1004,I$23)&gt;0,"Exp","")))</f>
        <v/>
      </c>
      <c r="J338" s="79">
        <f>IF(OR($A338="",J$23=""),"",IF(COUNTIFS('AFA Rates'!$A$5:$A$1004,$A338,'AFA Rates'!$B$5:$B$1004,J$23,'AFA Rates'!$O$5:$O$1004,"&lt;&gt;Expired")&gt;0,"✓",IF(COUNTIFS('AFA Rates'!$A$5:$A$1004,$A338,'AFA Rates'!$B$5:$B$1004,J$23)&gt;0,"Exp","")))</f>
        <v/>
      </c>
      <c r="K338" s="79">
        <f>IF(OR($A338="",K$23=""),"",IF(COUNTIFS('AFA Rates'!$A$5:$A$1004,$A338,'AFA Rates'!$B$5:$B$1004,K$23,'AFA Rates'!$O$5:$O$1004,"&lt;&gt;Expired")&gt;0,"✓",IF(COUNTIFS('AFA Rates'!$A$5:$A$1004,$A338,'AFA Rates'!$B$5:$B$1004,K$23)&gt;0,"Exp","")))</f>
        <v/>
      </c>
      <c r="L338" s="79">
        <f>IF(OR($A338="",L$23=""),"",IF(COUNTIFS('AFA Rates'!$A$5:$A$1004,$A338,'AFA Rates'!$B$5:$B$1004,L$23,'AFA Rates'!$O$5:$O$1004,"&lt;&gt;Expired")&gt;0,"✓",IF(COUNTIFS('AFA Rates'!$A$5:$A$1004,$A338,'AFA Rates'!$B$5:$B$1004,L$23)&gt;0,"Exp","")))</f>
        <v/>
      </c>
      <c r="M338" s="79">
        <f>IF(OR($A338="",M$23=""),"",IF(COUNTIFS('AFA Rates'!$A$5:$A$1004,$A338,'AFA Rates'!$B$5:$B$1004,M$23,'AFA Rates'!$O$5:$O$1004,"&lt;&gt;Expired")&gt;0,"✓",IF(COUNTIFS('AFA Rates'!$A$5:$A$1004,$A338,'AFA Rates'!$B$5:$B$1004,M$23)&gt;0,"Exp","")))</f>
        <v/>
      </c>
    </row>
    <row r="339">
      <c r="A339" s="78">
        <f>IFERROR(INDEX(Firms!$A$5:$A$1004,MATCH(316,Firms!$V$5:$V$1004,0)),"")</f>
        <v/>
      </c>
      <c r="B339" s="79">
        <f>IF($A339="","",INDEX(Firms!$B$5:$B$1004,MATCH(316,Firms!$V$5:$V$1004,0)))</f>
        <v/>
      </c>
      <c r="C339" s="79">
        <f>IF($A339="","",COUNTIFS('AFA Rates'!$A$5:$A$1004,$A339,'AFA Rates'!$O$5:$O$1004,"&lt;&gt;Expired"))</f>
        <v/>
      </c>
      <c r="D339" s="79">
        <f>IF(OR($A339="",D$23=""),"",IF(COUNTIFS('AFA Rates'!$A$5:$A$1004,$A339,'AFA Rates'!$B$5:$B$1004,D$23,'AFA Rates'!$O$5:$O$1004,"&lt;&gt;Expired")&gt;0,"✓",IF(COUNTIFS('AFA Rates'!$A$5:$A$1004,$A339,'AFA Rates'!$B$5:$B$1004,D$23)&gt;0,"Exp","")))</f>
        <v/>
      </c>
      <c r="E339" s="79">
        <f>IF(OR($A339="",E$23=""),"",IF(COUNTIFS('AFA Rates'!$A$5:$A$1004,$A339,'AFA Rates'!$B$5:$B$1004,E$23,'AFA Rates'!$O$5:$O$1004,"&lt;&gt;Expired")&gt;0,"✓",IF(COUNTIFS('AFA Rates'!$A$5:$A$1004,$A339,'AFA Rates'!$B$5:$B$1004,E$23)&gt;0,"Exp","")))</f>
        <v/>
      </c>
      <c r="F339" s="79">
        <f>IF(OR($A339="",F$23=""),"",IF(COUNTIFS('AFA Rates'!$A$5:$A$1004,$A339,'AFA Rates'!$B$5:$B$1004,F$23,'AFA Rates'!$O$5:$O$1004,"&lt;&gt;Expired")&gt;0,"✓",IF(COUNTIFS('AFA Rates'!$A$5:$A$1004,$A339,'AFA Rates'!$B$5:$B$1004,F$23)&gt;0,"Exp","")))</f>
        <v/>
      </c>
      <c r="G339" s="79">
        <f>IF(OR($A339="",G$23=""),"",IF(COUNTIFS('AFA Rates'!$A$5:$A$1004,$A339,'AFA Rates'!$B$5:$B$1004,G$23,'AFA Rates'!$O$5:$O$1004,"&lt;&gt;Expired")&gt;0,"✓",IF(COUNTIFS('AFA Rates'!$A$5:$A$1004,$A339,'AFA Rates'!$B$5:$B$1004,G$23)&gt;0,"Exp","")))</f>
        <v/>
      </c>
      <c r="H339" s="79">
        <f>IF(OR($A339="",H$23=""),"",IF(COUNTIFS('AFA Rates'!$A$5:$A$1004,$A339,'AFA Rates'!$B$5:$B$1004,H$23,'AFA Rates'!$O$5:$O$1004,"&lt;&gt;Expired")&gt;0,"✓",IF(COUNTIFS('AFA Rates'!$A$5:$A$1004,$A339,'AFA Rates'!$B$5:$B$1004,H$23)&gt;0,"Exp","")))</f>
        <v/>
      </c>
      <c r="I339" s="79">
        <f>IF(OR($A339="",I$23=""),"",IF(COUNTIFS('AFA Rates'!$A$5:$A$1004,$A339,'AFA Rates'!$B$5:$B$1004,I$23,'AFA Rates'!$O$5:$O$1004,"&lt;&gt;Expired")&gt;0,"✓",IF(COUNTIFS('AFA Rates'!$A$5:$A$1004,$A339,'AFA Rates'!$B$5:$B$1004,I$23)&gt;0,"Exp","")))</f>
        <v/>
      </c>
      <c r="J339" s="79">
        <f>IF(OR($A339="",J$23=""),"",IF(COUNTIFS('AFA Rates'!$A$5:$A$1004,$A339,'AFA Rates'!$B$5:$B$1004,J$23,'AFA Rates'!$O$5:$O$1004,"&lt;&gt;Expired")&gt;0,"✓",IF(COUNTIFS('AFA Rates'!$A$5:$A$1004,$A339,'AFA Rates'!$B$5:$B$1004,J$23)&gt;0,"Exp","")))</f>
        <v/>
      </c>
      <c r="K339" s="79">
        <f>IF(OR($A339="",K$23=""),"",IF(COUNTIFS('AFA Rates'!$A$5:$A$1004,$A339,'AFA Rates'!$B$5:$B$1004,K$23,'AFA Rates'!$O$5:$O$1004,"&lt;&gt;Expired")&gt;0,"✓",IF(COUNTIFS('AFA Rates'!$A$5:$A$1004,$A339,'AFA Rates'!$B$5:$B$1004,K$23)&gt;0,"Exp","")))</f>
        <v/>
      </c>
      <c r="L339" s="79">
        <f>IF(OR($A339="",L$23=""),"",IF(COUNTIFS('AFA Rates'!$A$5:$A$1004,$A339,'AFA Rates'!$B$5:$B$1004,L$23,'AFA Rates'!$O$5:$O$1004,"&lt;&gt;Expired")&gt;0,"✓",IF(COUNTIFS('AFA Rates'!$A$5:$A$1004,$A339,'AFA Rates'!$B$5:$B$1004,L$23)&gt;0,"Exp","")))</f>
        <v/>
      </c>
      <c r="M339" s="79">
        <f>IF(OR($A339="",M$23=""),"",IF(COUNTIFS('AFA Rates'!$A$5:$A$1004,$A339,'AFA Rates'!$B$5:$B$1004,M$23,'AFA Rates'!$O$5:$O$1004,"&lt;&gt;Expired")&gt;0,"✓",IF(COUNTIFS('AFA Rates'!$A$5:$A$1004,$A339,'AFA Rates'!$B$5:$B$1004,M$23)&gt;0,"Exp","")))</f>
        <v/>
      </c>
    </row>
    <row r="340">
      <c r="A340" s="78">
        <f>IFERROR(INDEX(Firms!$A$5:$A$1004,MATCH(317,Firms!$V$5:$V$1004,0)),"")</f>
        <v/>
      </c>
      <c r="B340" s="79">
        <f>IF($A340="","",INDEX(Firms!$B$5:$B$1004,MATCH(317,Firms!$V$5:$V$1004,0)))</f>
        <v/>
      </c>
      <c r="C340" s="79">
        <f>IF($A340="","",COUNTIFS('AFA Rates'!$A$5:$A$1004,$A340,'AFA Rates'!$O$5:$O$1004,"&lt;&gt;Expired"))</f>
        <v/>
      </c>
      <c r="D340" s="79">
        <f>IF(OR($A340="",D$23=""),"",IF(COUNTIFS('AFA Rates'!$A$5:$A$1004,$A340,'AFA Rates'!$B$5:$B$1004,D$23,'AFA Rates'!$O$5:$O$1004,"&lt;&gt;Expired")&gt;0,"✓",IF(COUNTIFS('AFA Rates'!$A$5:$A$1004,$A340,'AFA Rates'!$B$5:$B$1004,D$23)&gt;0,"Exp","")))</f>
        <v/>
      </c>
      <c r="E340" s="79">
        <f>IF(OR($A340="",E$23=""),"",IF(COUNTIFS('AFA Rates'!$A$5:$A$1004,$A340,'AFA Rates'!$B$5:$B$1004,E$23,'AFA Rates'!$O$5:$O$1004,"&lt;&gt;Expired")&gt;0,"✓",IF(COUNTIFS('AFA Rates'!$A$5:$A$1004,$A340,'AFA Rates'!$B$5:$B$1004,E$23)&gt;0,"Exp","")))</f>
        <v/>
      </c>
      <c r="F340" s="79">
        <f>IF(OR($A340="",F$23=""),"",IF(COUNTIFS('AFA Rates'!$A$5:$A$1004,$A340,'AFA Rates'!$B$5:$B$1004,F$23,'AFA Rates'!$O$5:$O$1004,"&lt;&gt;Expired")&gt;0,"✓",IF(COUNTIFS('AFA Rates'!$A$5:$A$1004,$A340,'AFA Rates'!$B$5:$B$1004,F$23)&gt;0,"Exp","")))</f>
        <v/>
      </c>
      <c r="G340" s="79">
        <f>IF(OR($A340="",G$23=""),"",IF(COUNTIFS('AFA Rates'!$A$5:$A$1004,$A340,'AFA Rates'!$B$5:$B$1004,G$23,'AFA Rates'!$O$5:$O$1004,"&lt;&gt;Expired")&gt;0,"✓",IF(COUNTIFS('AFA Rates'!$A$5:$A$1004,$A340,'AFA Rates'!$B$5:$B$1004,G$23)&gt;0,"Exp","")))</f>
        <v/>
      </c>
      <c r="H340" s="79">
        <f>IF(OR($A340="",H$23=""),"",IF(COUNTIFS('AFA Rates'!$A$5:$A$1004,$A340,'AFA Rates'!$B$5:$B$1004,H$23,'AFA Rates'!$O$5:$O$1004,"&lt;&gt;Expired")&gt;0,"✓",IF(COUNTIFS('AFA Rates'!$A$5:$A$1004,$A340,'AFA Rates'!$B$5:$B$1004,H$23)&gt;0,"Exp","")))</f>
        <v/>
      </c>
      <c r="I340" s="79">
        <f>IF(OR($A340="",I$23=""),"",IF(COUNTIFS('AFA Rates'!$A$5:$A$1004,$A340,'AFA Rates'!$B$5:$B$1004,I$23,'AFA Rates'!$O$5:$O$1004,"&lt;&gt;Expired")&gt;0,"✓",IF(COUNTIFS('AFA Rates'!$A$5:$A$1004,$A340,'AFA Rates'!$B$5:$B$1004,I$23)&gt;0,"Exp","")))</f>
        <v/>
      </c>
      <c r="J340" s="79">
        <f>IF(OR($A340="",J$23=""),"",IF(COUNTIFS('AFA Rates'!$A$5:$A$1004,$A340,'AFA Rates'!$B$5:$B$1004,J$23,'AFA Rates'!$O$5:$O$1004,"&lt;&gt;Expired")&gt;0,"✓",IF(COUNTIFS('AFA Rates'!$A$5:$A$1004,$A340,'AFA Rates'!$B$5:$B$1004,J$23)&gt;0,"Exp","")))</f>
        <v/>
      </c>
      <c r="K340" s="79">
        <f>IF(OR($A340="",K$23=""),"",IF(COUNTIFS('AFA Rates'!$A$5:$A$1004,$A340,'AFA Rates'!$B$5:$B$1004,K$23,'AFA Rates'!$O$5:$O$1004,"&lt;&gt;Expired")&gt;0,"✓",IF(COUNTIFS('AFA Rates'!$A$5:$A$1004,$A340,'AFA Rates'!$B$5:$B$1004,K$23)&gt;0,"Exp","")))</f>
        <v/>
      </c>
      <c r="L340" s="79">
        <f>IF(OR($A340="",L$23=""),"",IF(COUNTIFS('AFA Rates'!$A$5:$A$1004,$A340,'AFA Rates'!$B$5:$B$1004,L$23,'AFA Rates'!$O$5:$O$1004,"&lt;&gt;Expired")&gt;0,"✓",IF(COUNTIFS('AFA Rates'!$A$5:$A$1004,$A340,'AFA Rates'!$B$5:$B$1004,L$23)&gt;0,"Exp","")))</f>
        <v/>
      </c>
      <c r="M340" s="79">
        <f>IF(OR($A340="",M$23=""),"",IF(COUNTIFS('AFA Rates'!$A$5:$A$1004,$A340,'AFA Rates'!$B$5:$B$1004,M$23,'AFA Rates'!$O$5:$O$1004,"&lt;&gt;Expired")&gt;0,"✓",IF(COUNTIFS('AFA Rates'!$A$5:$A$1004,$A340,'AFA Rates'!$B$5:$B$1004,M$23)&gt;0,"Exp","")))</f>
        <v/>
      </c>
    </row>
    <row r="341">
      <c r="A341" s="78">
        <f>IFERROR(INDEX(Firms!$A$5:$A$1004,MATCH(318,Firms!$V$5:$V$1004,0)),"")</f>
        <v/>
      </c>
      <c r="B341" s="79">
        <f>IF($A341="","",INDEX(Firms!$B$5:$B$1004,MATCH(318,Firms!$V$5:$V$1004,0)))</f>
        <v/>
      </c>
      <c r="C341" s="79">
        <f>IF($A341="","",COUNTIFS('AFA Rates'!$A$5:$A$1004,$A341,'AFA Rates'!$O$5:$O$1004,"&lt;&gt;Expired"))</f>
        <v/>
      </c>
      <c r="D341" s="79">
        <f>IF(OR($A341="",D$23=""),"",IF(COUNTIFS('AFA Rates'!$A$5:$A$1004,$A341,'AFA Rates'!$B$5:$B$1004,D$23,'AFA Rates'!$O$5:$O$1004,"&lt;&gt;Expired")&gt;0,"✓",IF(COUNTIFS('AFA Rates'!$A$5:$A$1004,$A341,'AFA Rates'!$B$5:$B$1004,D$23)&gt;0,"Exp","")))</f>
        <v/>
      </c>
      <c r="E341" s="79">
        <f>IF(OR($A341="",E$23=""),"",IF(COUNTIFS('AFA Rates'!$A$5:$A$1004,$A341,'AFA Rates'!$B$5:$B$1004,E$23,'AFA Rates'!$O$5:$O$1004,"&lt;&gt;Expired")&gt;0,"✓",IF(COUNTIFS('AFA Rates'!$A$5:$A$1004,$A341,'AFA Rates'!$B$5:$B$1004,E$23)&gt;0,"Exp","")))</f>
        <v/>
      </c>
      <c r="F341" s="79">
        <f>IF(OR($A341="",F$23=""),"",IF(COUNTIFS('AFA Rates'!$A$5:$A$1004,$A341,'AFA Rates'!$B$5:$B$1004,F$23,'AFA Rates'!$O$5:$O$1004,"&lt;&gt;Expired")&gt;0,"✓",IF(COUNTIFS('AFA Rates'!$A$5:$A$1004,$A341,'AFA Rates'!$B$5:$B$1004,F$23)&gt;0,"Exp","")))</f>
        <v/>
      </c>
      <c r="G341" s="79">
        <f>IF(OR($A341="",G$23=""),"",IF(COUNTIFS('AFA Rates'!$A$5:$A$1004,$A341,'AFA Rates'!$B$5:$B$1004,G$23,'AFA Rates'!$O$5:$O$1004,"&lt;&gt;Expired")&gt;0,"✓",IF(COUNTIFS('AFA Rates'!$A$5:$A$1004,$A341,'AFA Rates'!$B$5:$B$1004,G$23)&gt;0,"Exp","")))</f>
        <v/>
      </c>
      <c r="H341" s="79">
        <f>IF(OR($A341="",H$23=""),"",IF(COUNTIFS('AFA Rates'!$A$5:$A$1004,$A341,'AFA Rates'!$B$5:$B$1004,H$23,'AFA Rates'!$O$5:$O$1004,"&lt;&gt;Expired")&gt;0,"✓",IF(COUNTIFS('AFA Rates'!$A$5:$A$1004,$A341,'AFA Rates'!$B$5:$B$1004,H$23)&gt;0,"Exp","")))</f>
        <v/>
      </c>
      <c r="I341" s="79">
        <f>IF(OR($A341="",I$23=""),"",IF(COUNTIFS('AFA Rates'!$A$5:$A$1004,$A341,'AFA Rates'!$B$5:$B$1004,I$23,'AFA Rates'!$O$5:$O$1004,"&lt;&gt;Expired")&gt;0,"✓",IF(COUNTIFS('AFA Rates'!$A$5:$A$1004,$A341,'AFA Rates'!$B$5:$B$1004,I$23)&gt;0,"Exp","")))</f>
        <v/>
      </c>
      <c r="J341" s="79">
        <f>IF(OR($A341="",J$23=""),"",IF(COUNTIFS('AFA Rates'!$A$5:$A$1004,$A341,'AFA Rates'!$B$5:$B$1004,J$23,'AFA Rates'!$O$5:$O$1004,"&lt;&gt;Expired")&gt;0,"✓",IF(COUNTIFS('AFA Rates'!$A$5:$A$1004,$A341,'AFA Rates'!$B$5:$B$1004,J$23)&gt;0,"Exp","")))</f>
        <v/>
      </c>
      <c r="K341" s="79">
        <f>IF(OR($A341="",K$23=""),"",IF(COUNTIFS('AFA Rates'!$A$5:$A$1004,$A341,'AFA Rates'!$B$5:$B$1004,K$23,'AFA Rates'!$O$5:$O$1004,"&lt;&gt;Expired")&gt;0,"✓",IF(COUNTIFS('AFA Rates'!$A$5:$A$1004,$A341,'AFA Rates'!$B$5:$B$1004,K$23)&gt;0,"Exp","")))</f>
        <v/>
      </c>
      <c r="L341" s="79">
        <f>IF(OR($A341="",L$23=""),"",IF(COUNTIFS('AFA Rates'!$A$5:$A$1004,$A341,'AFA Rates'!$B$5:$B$1004,L$23,'AFA Rates'!$O$5:$O$1004,"&lt;&gt;Expired")&gt;0,"✓",IF(COUNTIFS('AFA Rates'!$A$5:$A$1004,$A341,'AFA Rates'!$B$5:$B$1004,L$23)&gt;0,"Exp","")))</f>
        <v/>
      </c>
      <c r="M341" s="79">
        <f>IF(OR($A341="",M$23=""),"",IF(COUNTIFS('AFA Rates'!$A$5:$A$1004,$A341,'AFA Rates'!$B$5:$B$1004,M$23,'AFA Rates'!$O$5:$O$1004,"&lt;&gt;Expired")&gt;0,"✓",IF(COUNTIFS('AFA Rates'!$A$5:$A$1004,$A341,'AFA Rates'!$B$5:$B$1004,M$23)&gt;0,"Exp","")))</f>
        <v/>
      </c>
    </row>
    <row r="342">
      <c r="A342" s="78">
        <f>IFERROR(INDEX(Firms!$A$5:$A$1004,MATCH(319,Firms!$V$5:$V$1004,0)),"")</f>
        <v/>
      </c>
      <c r="B342" s="79">
        <f>IF($A342="","",INDEX(Firms!$B$5:$B$1004,MATCH(319,Firms!$V$5:$V$1004,0)))</f>
        <v/>
      </c>
      <c r="C342" s="79">
        <f>IF($A342="","",COUNTIFS('AFA Rates'!$A$5:$A$1004,$A342,'AFA Rates'!$O$5:$O$1004,"&lt;&gt;Expired"))</f>
        <v/>
      </c>
      <c r="D342" s="79">
        <f>IF(OR($A342="",D$23=""),"",IF(COUNTIFS('AFA Rates'!$A$5:$A$1004,$A342,'AFA Rates'!$B$5:$B$1004,D$23,'AFA Rates'!$O$5:$O$1004,"&lt;&gt;Expired")&gt;0,"✓",IF(COUNTIFS('AFA Rates'!$A$5:$A$1004,$A342,'AFA Rates'!$B$5:$B$1004,D$23)&gt;0,"Exp","")))</f>
        <v/>
      </c>
      <c r="E342" s="79">
        <f>IF(OR($A342="",E$23=""),"",IF(COUNTIFS('AFA Rates'!$A$5:$A$1004,$A342,'AFA Rates'!$B$5:$B$1004,E$23,'AFA Rates'!$O$5:$O$1004,"&lt;&gt;Expired")&gt;0,"✓",IF(COUNTIFS('AFA Rates'!$A$5:$A$1004,$A342,'AFA Rates'!$B$5:$B$1004,E$23)&gt;0,"Exp","")))</f>
        <v/>
      </c>
      <c r="F342" s="79">
        <f>IF(OR($A342="",F$23=""),"",IF(COUNTIFS('AFA Rates'!$A$5:$A$1004,$A342,'AFA Rates'!$B$5:$B$1004,F$23,'AFA Rates'!$O$5:$O$1004,"&lt;&gt;Expired")&gt;0,"✓",IF(COUNTIFS('AFA Rates'!$A$5:$A$1004,$A342,'AFA Rates'!$B$5:$B$1004,F$23)&gt;0,"Exp","")))</f>
        <v/>
      </c>
      <c r="G342" s="79">
        <f>IF(OR($A342="",G$23=""),"",IF(COUNTIFS('AFA Rates'!$A$5:$A$1004,$A342,'AFA Rates'!$B$5:$B$1004,G$23,'AFA Rates'!$O$5:$O$1004,"&lt;&gt;Expired")&gt;0,"✓",IF(COUNTIFS('AFA Rates'!$A$5:$A$1004,$A342,'AFA Rates'!$B$5:$B$1004,G$23)&gt;0,"Exp","")))</f>
        <v/>
      </c>
      <c r="H342" s="79">
        <f>IF(OR($A342="",H$23=""),"",IF(COUNTIFS('AFA Rates'!$A$5:$A$1004,$A342,'AFA Rates'!$B$5:$B$1004,H$23,'AFA Rates'!$O$5:$O$1004,"&lt;&gt;Expired")&gt;0,"✓",IF(COUNTIFS('AFA Rates'!$A$5:$A$1004,$A342,'AFA Rates'!$B$5:$B$1004,H$23)&gt;0,"Exp","")))</f>
        <v/>
      </c>
      <c r="I342" s="79">
        <f>IF(OR($A342="",I$23=""),"",IF(COUNTIFS('AFA Rates'!$A$5:$A$1004,$A342,'AFA Rates'!$B$5:$B$1004,I$23,'AFA Rates'!$O$5:$O$1004,"&lt;&gt;Expired")&gt;0,"✓",IF(COUNTIFS('AFA Rates'!$A$5:$A$1004,$A342,'AFA Rates'!$B$5:$B$1004,I$23)&gt;0,"Exp","")))</f>
        <v/>
      </c>
      <c r="J342" s="79">
        <f>IF(OR($A342="",J$23=""),"",IF(COUNTIFS('AFA Rates'!$A$5:$A$1004,$A342,'AFA Rates'!$B$5:$B$1004,J$23,'AFA Rates'!$O$5:$O$1004,"&lt;&gt;Expired")&gt;0,"✓",IF(COUNTIFS('AFA Rates'!$A$5:$A$1004,$A342,'AFA Rates'!$B$5:$B$1004,J$23)&gt;0,"Exp","")))</f>
        <v/>
      </c>
      <c r="K342" s="79">
        <f>IF(OR($A342="",K$23=""),"",IF(COUNTIFS('AFA Rates'!$A$5:$A$1004,$A342,'AFA Rates'!$B$5:$B$1004,K$23,'AFA Rates'!$O$5:$O$1004,"&lt;&gt;Expired")&gt;0,"✓",IF(COUNTIFS('AFA Rates'!$A$5:$A$1004,$A342,'AFA Rates'!$B$5:$B$1004,K$23)&gt;0,"Exp","")))</f>
        <v/>
      </c>
      <c r="L342" s="79">
        <f>IF(OR($A342="",L$23=""),"",IF(COUNTIFS('AFA Rates'!$A$5:$A$1004,$A342,'AFA Rates'!$B$5:$B$1004,L$23,'AFA Rates'!$O$5:$O$1004,"&lt;&gt;Expired")&gt;0,"✓",IF(COUNTIFS('AFA Rates'!$A$5:$A$1004,$A342,'AFA Rates'!$B$5:$B$1004,L$23)&gt;0,"Exp","")))</f>
        <v/>
      </c>
      <c r="M342" s="79">
        <f>IF(OR($A342="",M$23=""),"",IF(COUNTIFS('AFA Rates'!$A$5:$A$1004,$A342,'AFA Rates'!$B$5:$B$1004,M$23,'AFA Rates'!$O$5:$O$1004,"&lt;&gt;Expired")&gt;0,"✓",IF(COUNTIFS('AFA Rates'!$A$5:$A$1004,$A342,'AFA Rates'!$B$5:$B$1004,M$23)&gt;0,"Exp","")))</f>
        <v/>
      </c>
    </row>
    <row r="343">
      <c r="A343" s="78">
        <f>IFERROR(INDEX(Firms!$A$5:$A$1004,MATCH(320,Firms!$V$5:$V$1004,0)),"")</f>
        <v/>
      </c>
      <c r="B343" s="79">
        <f>IF($A343="","",INDEX(Firms!$B$5:$B$1004,MATCH(320,Firms!$V$5:$V$1004,0)))</f>
        <v/>
      </c>
      <c r="C343" s="79">
        <f>IF($A343="","",COUNTIFS('AFA Rates'!$A$5:$A$1004,$A343,'AFA Rates'!$O$5:$O$1004,"&lt;&gt;Expired"))</f>
        <v/>
      </c>
      <c r="D343" s="79">
        <f>IF(OR($A343="",D$23=""),"",IF(COUNTIFS('AFA Rates'!$A$5:$A$1004,$A343,'AFA Rates'!$B$5:$B$1004,D$23,'AFA Rates'!$O$5:$O$1004,"&lt;&gt;Expired")&gt;0,"✓",IF(COUNTIFS('AFA Rates'!$A$5:$A$1004,$A343,'AFA Rates'!$B$5:$B$1004,D$23)&gt;0,"Exp","")))</f>
        <v/>
      </c>
      <c r="E343" s="79">
        <f>IF(OR($A343="",E$23=""),"",IF(COUNTIFS('AFA Rates'!$A$5:$A$1004,$A343,'AFA Rates'!$B$5:$B$1004,E$23,'AFA Rates'!$O$5:$O$1004,"&lt;&gt;Expired")&gt;0,"✓",IF(COUNTIFS('AFA Rates'!$A$5:$A$1004,$A343,'AFA Rates'!$B$5:$B$1004,E$23)&gt;0,"Exp","")))</f>
        <v/>
      </c>
      <c r="F343" s="79">
        <f>IF(OR($A343="",F$23=""),"",IF(COUNTIFS('AFA Rates'!$A$5:$A$1004,$A343,'AFA Rates'!$B$5:$B$1004,F$23,'AFA Rates'!$O$5:$O$1004,"&lt;&gt;Expired")&gt;0,"✓",IF(COUNTIFS('AFA Rates'!$A$5:$A$1004,$A343,'AFA Rates'!$B$5:$B$1004,F$23)&gt;0,"Exp","")))</f>
        <v/>
      </c>
      <c r="G343" s="79">
        <f>IF(OR($A343="",G$23=""),"",IF(COUNTIFS('AFA Rates'!$A$5:$A$1004,$A343,'AFA Rates'!$B$5:$B$1004,G$23,'AFA Rates'!$O$5:$O$1004,"&lt;&gt;Expired")&gt;0,"✓",IF(COUNTIFS('AFA Rates'!$A$5:$A$1004,$A343,'AFA Rates'!$B$5:$B$1004,G$23)&gt;0,"Exp","")))</f>
        <v/>
      </c>
      <c r="H343" s="79">
        <f>IF(OR($A343="",H$23=""),"",IF(COUNTIFS('AFA Rates'!$A$5:$A$1004,$A343,'AFA Rates'!$B$5:$B$1004,H$23,'AFA Rates'!$O$5:$O$1004,"&lt;&gt;Expired")&gt;0,"✓",IF(COUNTIFS('AFA Rates'!$A$5:$A$1004,$A343,'AFA Rates'!$B$5:$B$1004,H$23)&gt;0,"Exp","")))</f>
        <v/>
      </c>
      <c r="I343" s="79">
        <f>IF(OR($A343="",I$23=""),"",IF(COUNTIFS('AFA Rates'!$A$5:$A$1004,$A343,'AFA Rates'!$B$5:$B$1004,I$23,'AFA Rates'!$O$5:$O$1004,"&lt;&gt;Expired")&gt;0,"✓",IF(COUNTIFS('AFA Rates'!$A$5:$A$1004,$A343,'AFA Rates'!$B$5:$B$1004,I$23)&gt;0,"Exp","")))</f>
        <v/>
      </c>
      <c r="J343" s="79">
        <f>IF(OR($A343="",J$23=""),"",IF(COUNTIFS('AFA Rates'!$A$5:$A$1004,$A343,'AFA Rates'!$B$5:$B$1004,J$23,'AFA Rates'!$O$5:$O$1004,"&lt;&gt;Expired")&gt;0,"✓",IF(COUNTIFS('AFA Rates'!$A$5:$A$1004,$A343,'AFA Rates'!$B$5:$B$1004,J$23)&gt;0,"Exp","")))</f>
        <v/>
      </c>
      <c r="K343" s="79">
        <f>IF(OR($A343="",K$23=""),"",IF(COUNTIFS('AFA Rates'!$A$5:$A$1004,$A343,'AFA Rates'!$B$5:$B$1004,K$23,'AFA Rates'!$O$5:$O$1004,"&lt;&gt;Expired")&gt;0,"✓",IF(COUNTIFS('AFA Rates'!$A$5:$A$1004,$A343,'AFA Rates'!$B$5:$B$1004,K$23)&gt;0,"Exp","")))</f>
        <v/>
      </c>
      <c r="L343" s="79">
        <f>IF(OR($A343="",L$23=""),"",IF(COUNTIFS('AFA Rates'!$A$5:$A$1004,$A343,'AFA Rates'!$B$5:$B$1004,L$23,'AFA Rates'!$O$5:$O$1004,"&lt;&gt;Expired")&gt;0,"✓",IF(COUNTIFS('AFA Rates'!$A$5:$A$1004,$A343,'AFA Rates'!$B$5:$B$1004,L$23)&gt;0,"Exp","")))</f>
        <v/>
      </c>
      <c r="M343" s="79">
        <f>IF(OR($A343="",M$23=""),"",IF(COUNTIFS('AFA Rates'!$A$5:$A$1004,$A343,'AFA Rates'!$B$5:$B$1004,M$23,'AFA Rates'!$O$5:$O$1004,"&lt;&gt;Expired")&gt;0,"✓",IF(COUNTIFS('AFA Rates'!$A$5:$A$1004,$A343,'AFA Rates'!$B$5:$B$1004,M$23)&gt;0,"Exp","")))</f>
        <v/>
      </c>
    </row>
    <row r="344">
      <c r="A344" s="78">
        <f>IFERROR(INDEX(Firms!$A$5:$A$1004,MATCH(321,Firms!$V$5:$V$1004,0)),"")</f>
        <v/>
      </c>
      <c r="B344" s="79">
        <f>IF($A344="","",INDEX(Firms!$B$5:$B$1004,MATCH(321,Firms!$V$5:$V$1004,0)))</f>
        <v/>
      </c>
      <c r="C344" s="79">
        <f>IF($A344="","",COUNTIFS('AFA Rates'!$A$5:$A$1004,$A344,'AFA Rates'!$O$5:$O$1004,"&lt;&gt;Expired"))</f>
        <v/>
      </c>
      <c r="D344" s="79">
        <f>IF(OR($A344="",D$23=""),"",IF(COUNTIFS('AFA Rates'!$A$5:$A$1004,$A344,'AFA Rates'!$B$5:$B$1004,D$23,'AFA Rates'!$O$5:$O$1004,"&lt;&gt;Expired")&gt;0,"✓",IF(COUNTIFS('AFA Rates'!$A$5:$A$1004,$A344,'AFA Rates'!$B$5:$B$1004,D$23)&gt;0,"Exp","")))</f>
        <v/>
      </c>
      <c r="E344" s="79">
        <f>IF(OR($A344="",E$23=""),"",IF(COUNTIFS('AFA Rates'!$A$5:$A$1004,$A344,'AFA Rates'!$B$5:$B$1004,E$23,'AFA Rates'!$O$5:$O$1004,"&lt;&gt;Expired")&gt;0,"✓",IF(COUNTIFS('AFA Rates'!$A$5:$A$1004,$A344,'AFA Rates'!$B$5:$B$1004,E$23)&gt;0,"Exp","")))</f>
        <v/>
      </c>
      <c r="F344" s="79">
        <f>IF(OR($A344="",F$23=""),"",IF(COUNTIFS('AFA Rates'!$A$5:$A$1004,$A344,'AFA Rates'!$B$5:$B$1004,F$23,'AFA Rates'!$O$5:$O$1004,"&lt;&gt;Expired")&gt;0,"✓",IF(COUNTIFS('AFA Rates'!$A$5:$A$1004,$A344,'AFA Rates'!$B$5:$B$1004,F$23)&gt;0,"Exp","")))</f>
        <v/>
      </c>
      <c r="G344" s="79">
        <f>IF(OR($A344="",G$23=""),"",IF(COUNTIFS('AFA Rates'!$A$5:$A$1004,$A344,'AFA Rates'!$B$5:$B$1004,G$23,'AFA Rates'!$O$5:$O$1004,"&lt;&gt;Expired")&gt;0,"✓",IF(COUNTIFS('AFA Rates'!$A$5:$A$1004,$A344,'AFA Rates'!$B$5:$B$1004,G$23)&gt;0,"Exp","")))</f>
        <v/>
      </c>
      <c r="H344" s="79">
        <f>IF(OR($A344="",H$23=""),"",IF(COUNTIFS('AFA Rates'!$A$5:$A$1004,$A344,'AFA Rates'!$B$5:$B$1004,H$23,'AFA Rates'!$O$5:$O$1004,"&lt;&gt;Expired")&gt;0,"✓",IF(COUNTIFS('AFA Rates'!$A$5:$A$1004,$A344,'AFA Rates'!$B$5:$B$1004,H$23)&gt;0,"Exp","")))</f>
        <v/>
      </c>
      <c r="I344" s="79">
        <f>IF(OR($A344="",I$23=""),"",IF(COUNTIFS('AFA Rates'!$A$5:$A$1004,$A344,'AFA Rates'!$B$5:$B$1004,I$23,'AFA Rates'!$O$5:$O$1004,"&lt;&gt;Expired")&gt;0,"✓",IF(COUNTIFS('AFA Rates'!$A$5:$A$1004,$A344,'AFA Rates'!$B$5:$B$1004,I$23)&gt;0,"Exp","")))</f>
        <v/>
      </c>
      <c r="J344" s="79">
        <f>IF(OR($A344="",J$23=""),"",IF(COUNTIFS('AFA Rates'!$A$5:$A$1004,$A344,'AFA Rates'!$B$5:$B$1004,J$23,'AFA Rates'!$O$5:$O$1004,"&lt;&gt;Expired")&gt;0,"✓",IF(COUNTIFS('AFA Rates'!$A$5:$A$1004,$A344,'AFA Rates'!$B$5:$B$1004,J$23)&gt;0,"Exp","")))</f>
        <v/>
      </c>
      <c r="K344" s="79">
        <f>IF(OR($A344="",K$23=""),"",IF(COUNTIFS('AFA Rates'!$A$5:$A$1004,$A344,'AFA Rates'!$B$5:$B$1004,K$23,'AFA Rates'!$O$5:$O$1004,"&lt;&gt;Expired")&gt;0,"✓",IF(COUNTIFS('AFA Rates'!$A$5:$A$1004,$A344,'AFA Rates'!$B$5:$B$1004,K$23)&gt;0,"Exp","")))</f>
        <v/>
      </c>
      <c r="L344" s="79">
        <f>IF(OR($A344="",L$23=""),"",IF(COUNTIFS('AFA Rates'!$A$5:$A$1004,$A344,'AFA Rates'!$B$5:$B$1004,L$23,'AFA Rates'!$O$5:$O$1004,"&lt;&gt;Expired")&gt;0,"✓",IF(COUNTIFS('AFA Rates'!$A$5:$A$1004,$A344,'AFA Rates'!$B$5:$B$1004,L$23)&gt;0,"Exp","")))</f>
        <v/>
      </c>
      <c r="M344" s="79">
        <f>IF(OR($A344="",M$23=""),"",IF(COUNTIFS('AFA Rates'!$A$5:$A$1004,$A344,'AFA Rates'!$B$5:$B$1004,M$23,'AFA Rates'!$O$5:$O$1004,"&lt;&gt;Expired")&gt;0,"✓",IF(COUNTIFS('AFA Rates'!$A$5:$A$1004,$A344,'AFA Rates'!$B$5:$B$1004,M$23)&gt;0,"Exp","")))</f>
        <v/>
      </c>
    </row>
    <row r="345">
      <c r="A345" s="78">
        <f>IFERROR(INDEX(Firms!$A$5:$A$1004,MATCH(322,Firms!$V$5:$V$1004,0)),"")</f>
        <v/>
      </c>
      <c r="B345" s="79">
        <f>IF($A345="","",INDEX(Firms!$B$5:$B$1004,MATCH(322,Firms!$V$5:$V$1004,0)))</f>
        <v/>
      </c>
      <c r="C345" s="79">
        <f>IF($A345="","",COUNTIFS('AFA Rates'!$A$5:$A$1004,$A345,'AFA Rates'!$O$5:$O$1004,"&lt;&gt;Expired"))</f>
        <v/>
      </c>
      <c r="D345" s="79">
        <f>IF(OR($A345="",D$23=""),"",IF(COUNTIFS('AFA Rates'!$A$5:$A$1004,$A345,'AFA Rates'!$B$5:$B$1004,D$23,'AFA Rates'!$O$5:$O$1004,"&lt;&gt;Expired")&gt;0,"✓",IF(COUNTIFS('AFA Rates'!$A$5:$A$1004,$A345,'AFA Rates'!$B$5:$B$1004,D$23)&gt;0,"Exp","")))</f>
        <v/>
      </c>
      <c r="E345" s="79">
        <f>IF(OR($A345="",E$23=""),"",IF(COUNTIFS('AFA Rates'!$A$5:$A$1004,$A345,'AFA Rates'!$B$5:$B$1004,E$23,'AFA Rates'!$O$5:$O$1004,"&lt;&gt;Expired")&gt;0,"✓",IF(COUNTIFS('AFA Rates'!$A$5:$A$1004,$A345,'AFA Rates'!$B$5:$B$1004,E$23)&gt;0,"Exp","")))</f>
        <v/>
      </c>
      <c r="F345" s="79">
        <f>IF(OR($A345="",F$23=""),"",IF(COUNTIFS('AFA Rates'!$A$5:$A$1004,$A345,'AFA Rates'!$B$5:$B$1004,F$23,'AFA Rates'!$O$5:$O$1004,"&lt;&gt;Expired")&gt;0,"✓",IF(COUNTIFS('AFA Rates'!$A$5:$A$1004,$A345,'AFA Rates'!$B$5:$B$1004,F$23)&gt;0,"Exp","")))</f>
        <v/>
      </c>
      <c r="G345" s="79">
        <f>IF(OR($A345="",G$23=""),"",IF(COUNTIFS('AFA Rates'!$A$5:$A$1004,$A345,'AFA Rates'!$B$5:$B$1004,G$23,'AFA Rates'!$O$5:$O$1004,"&lt;&gt;Expired")&gt;0,"✓",IF(COUNTIFS('AFA Rates'!$A$5:$A$1004,$A345,'AFA Rates'!$B$5:$B$1004,G$23)&gt;0,"Exp","")))</f>
        <v/>
      </c>
      <c r="H345" s="79">
        <f>IF(OR($A345="",H$23=""),"",IF(COUNTIFS('AFA Rates'!$A$5:$A$1004,$A345,'AFA Rates'!$B$5:$B$1004,H$23,'AFA Rates'!$O$5:$O$1004,"&lt;&gt;Expired")&gt;0,"✓",IF(COUNTIFS('AFA Rates'!$A$5:$A$1004,$A345,'AFA Rates'!$B$5:$B$1004,H$23)&gt;0,"Exp","")))</f>
        <v/>
      </c>
      <c r="I345" s="79">
        <f>IF(OR($A345="",I$23=""),"",IF(COUNTIFS('AFA Rates'!$A$5:$A$1004,$A345,'AFA Rates'!$B$5:$B$1004,I$23,'AFA Rates'!$O$5:$O$1004,"&lt;&gt;Expired")&gt;0,"✓",IF(COUNTIFS('AFA Rates'!$A$5:$A$1004,$A345,'AFA Rates'!$B$5:$B$1004,I$23)&gt;0,"Exp","")))</f>
        <v/>
      </c>
      <c r="J345" s="79">
        <f>IF(OR($A345="",J$23=""),"",IF(COUNTIFS('AFA Rates'!$A$5:$A$1004,$A345,'AFA Rates'!$B$5:$B$1004,J$23,'AFA Rates'!$O$5:$O$1004,"&lt;&gt;Expired")&gt;0,"✓",IF(COUNTIFS('AFA Rates'!$A$5:$A$1004,$A345,'AFA Rates'!$B$5:$B$1004,J$23)&gt;0,"Exp","")))</f>
        <v/>
      </c>
      <c r="K345" s="79">
        <f>IF(OR($A345="",K$23=""),"",IF(COUNTIFS('AFA Rates'!$A$5:$A$1004,$A345,'AFA Rates'!$B$5:$B$1004,K$23,'AFA Rates'!$O$5:$O$1004,"&lt;&gt;Expired")&gt;0,"✓",IF(COUNTIFS('AFA Rates'!$A$5:$A$1004,$A345,'AFA Rates'!$B$5:$B$1004,K$23)&gt;0,"Exp","")))</f>
        <v/>
      </c>
      <c r="L345" s="79">
        <f>IF(OR($A345="",L$23=""),"",IF(COUNTIFS('AFA Rates'!$A$5:$A$1004,$A345,'AFA Rates'!$B$5:$B$1004,L$23,'AFA Rates'!$O$5:$O$1004,"&lt;&gt;Expired")&gt;0,"✓",IF(COUNTIFS('AFA Rates'!$A$5:$A$1004,$A345,'AFA Rates'!$B$5:$B$1004,L$23)&gt;0,"Exp","")))</f>
        <v/>
      </c>
      <c r="M345" s="79">
        <f>IF(OR($A345="",M$23=""),"",IF(COUNTIFS('AFA Rates'!$A$5:$A$1004,$A345,'AFA Rates'!$B$5:$B$1004,M$23,'AFA Rates'!$O$5:$O$1004,"&lt;&gt;Expired")&gt;0,"✓",IF(COUNTIFS('AFA Rates'!$A$5:$A$1004,$A345,'AFA Rates'!$B$5:$B$1004,M$23)&gt;0,"Exp","")))</f>
        <v/>
      </c>
    </row>
    <row r="346">
      <c r="A346" s="78">
        <f>IFERROR(INDEX(Firms!$A$5:$A$1004,MATCH(323,Firms!$V$5:$V$1004,0)),"")</f>
        <v/>
      </c>
      <c r="B346" s="79">
        <f>IF($A346="","",INDEX(Firms!$B$5:$B$1004,MATCH(323,Firms!$V$5:$V$1004,0)))</f>
        <v/>
      </c>
      <c r="C346" s="79">
        <f>IF($A346="","",COUNTIFS('AFA Rates'!$A$5:$A$1004,$A346,'AFA Rates'!$O$5:$O$1004,"&lt;&gt;Expired"))</f>
        <v/>
      </c>
      <c r="D346" s="79">
        <f>IF(OR($A346="",D$23=""),"",IF(COUNTIFS('AFA Rates'!$A$5:$A$1004,$A346,'AFA Rates'!$B$5:$B$1004,D$23,'AFA Rates'!$O$5:$O$1004,"&lt;&gt;Expired")&gt;0,"✓",IF(COUNTIFS('AFA Rates'!$A$5:$A$1004,$A346,'AFA Rates'!$B$5:$B$1004,D$23)&gt;0,"Exp","")))</f>
        <v/>
      </c>
      <c r="E346" s="79">
        <f>IF(OR($A346="",E$23=""),"",IF(COUNTIFS('AFA Rates'!$A$5:$A$1004,$A346,'AFA Rates'!$B$5:$B$1004,E$23,'AFA Rates'!$O$5:$O$1004,"&lt;&gt;Expired")&gt;0,"✓",IF(COUNTIFS('AFA Rates'!$A$5:$A$1004,$A346,'AFA Rates'!$B$5:$B$1004,E$23)&gt;0,"Exp","")))</f>
        <v/>
      </c>
      <c r="F346" s="79">
        <f>IF(OR($A346="",F$23=""),"",IF(COUNTIFS('AFA Rates'!$A$5:$A$1004,$A346,'AFA Rates'!$B$5:$B$1004,F$23,'AFA Rates'!$O$5:$O$1004,"&lt;&gt;Expired")&gt;0,"✓",IF(COUNTIFS('AFA Rates'!$A$5:$A$1004,$A346,'AFA Rates'!$B$5:$B$1004,F$23)&gt;0,"Exp","")))</f>
        <v/>
      </c>
      <c r="G346" s="79">
        <f>IF(OR($A346="",G$23=""),"",IF(COUNTIFS('AFA Rates'!$A$5:$A$1004,$A346,'AFA Rates'!$B$5:$B$1004,G$23,'AFA Rates'!$O$5:$O$1004,"&lt;&gt;Expired")&gt;0,"✓",IF(COUNTIFS('AFA Rates'!$A$5:$A$1004,$A346,'AFA Rates'!$B$5:$B$1004,G$23)&gt;0,"Exp","")))</f>
        <v/>
      </c>
      <c r="H346" s="79">
        <f>IF(OR($A346="",H$23=""),"",IF(COUNTIFS('AFA Rates'!$A$5:$A$1004,$A346,'AFA Rates'!$B$5:$B$1004,H$23,'AFA Rates'!$O$5:$O$1004,"&lt;&gt;Expired")&gt;0,"✓",IF(COUNTIFS('AFA Rates'!$A$5:$A$1004,$A346,'AFA Rates'!$B$5:$B$1004,H$23)&gt;0,"Exp","")))</f>
        <v/>
      </c>
      <c r="I346" s="79">
        <f>IF(OR($A346="",I$23=""),"",IF(COUNTIFS('AFA Rates'!$A$5:$A$1004,$A346,'AFA Rates'!$B$5:$B$1004,I$23,'AFA Rates'!$O$5:$O$1004,"&lt;&gt;Expired")&gt;0,"✓",IF(COUNTIFS('AFA Rates'!$A$5:$A$1004,$A346,'AFA Rates'!$B$5:$B$1004,I$23)&gt;0,"Exp","")))</f>
        <v/>
      </c>
      <c r="J346" s="79">
        <f>IF(OR($A346="",J$23=""),"",IF(COUNTIFS('AFA Rates'!$A$5:$A$1004,$A346,'AFA Rates'!$B$5:$B$1004,J$23,'AFA Rates'!$O$5:$O$1004,"&lt;&gt;Expired")&gt;0,"✓",IF(COUNTIFS('AFA Rates'!$A$5:$A$1004,$A346,'AFA Rates'!$B$5:$B$1004,J$23)&gt;0,"Exp","")))</f>
        <v/>
      </c>
      <c r="K346" s="79">
        <f>IF(OR($A346="",K$23=""),"",IF(COUNTIFS('AFA Rates'!$A$5:$A$1004,$A346,'AFA Rates'!$B$5:$B$1004,K$23,'AFA Rates'!$O$5:$O$1004,"&lt;&gt;Expired")&gt;0,"✓",IF(COUNTIFS('AFA Rates'!$A$5:$A$1004,$A346,'AFA Rates'!$B$5:$B$1004,K$23)&gt;0,"Exp","")))</f>
        <v/>
      </c>
      <c r="L346" s="79">
        <f>IF(OR($A346="",L$23=""),"",IF(COUNTIFS('AFA Rates'!$A$5:$A$1004,$A346,'AFA Rates'!$B$5:$B$1004,L$23,'AFA Rates'!$O$5:$O$1004,"&lt;&gt;Expired")&gt;0,"✓",IF(COUNTIFS('AFA Rates'!$A$5:$A$1004,$A346,'AFA Rates'!$B$5:$B$1004,L$23)&gt;0,"Exp","")))</f>
        <v/>
      </c>
      <c r="M346" s="79">
        <f>IF(OR($A346="",M$23=""),"",IF(COUNTIFS('AFA Rates'!$A$5:$A$1004,$A346,'AFA Rates'!$B$5:$B$1004,M$23,'AFA Rates'!$O$5:$O$1004,"&lt;&gt;Expired")&gt;0,"✓",IF(COUNTIFS('AFA Rates'!$A$5:$A$1004,$A346,'AFA Rates'!$B$5:$B$1004,M$23)&gt;0,"Exp","")))</f>
        <v/>
      </c>
    </row>
    <row r="347">
      <c r="A347" s="78">
        <f>IFERROR(INDEX(Firms!$A$5:$A$1004,MATCH(324,Firms!$V$5:$V$1004,0)),"")</f>
        <v/>
      </c>
      <c r="B347" s="79">
        <f>IF($A347="","",INDEX(Firms!$B$5:$B$1004,MATCH(324,Firms!$V$5:$V$1004,0)))</f>
        <v/>
      </c>
      <c r="C347" s="79">
        <f>IF($A347="","",COUNTIFS('AFA Rates'!$A$5:$A$1004,$A347,'AFA Rates'!$O$5:$O$1004,"&lt;&gt;Expired"))</f>
        <v/>
      </c>
      <c r="D347" s="79">
        <f>IF(OR($A347="",D$23=""),"",IF(COUNTIFS('AFA Rates'!$A$5:$A$1004,$A347,'AFA Rates'!$B$5:$B$1004,D$23,'AFA Rates'!$O$5:$O$1004,"&lt;&gt;Expired")&gt;0,"✓",IF(COUNTIFS('AFA Rates'!$A$5:$A$1004,$A347,'AFA Rates'!$B$5:$B$1004,D$23)&gt;0,"Exp","")))</f>
        <v/>
      </c>
      <c r="E347" s="79">
        <f>IF(OR($A347="",E$23=""),"",IF(COUNTIFS('AFA Rates'!$A$5:$A$1004,$A347,'AFA Rates'!$B$5:$B$1004,E$23,'AFA Rates'!$O$5:$O$1004,"&lt;&gt;Expired")&gt;0,"✓",IF(COUNTIFS('AFA Rates'!$A$5:$A$1004,$A347,'AFA Rates'!$B$5:$B$1004,E$23)&gt;0,"Exp","")))</f>
        <v/>
      </c>
      <c r="F347" s="79">
        <f>IF(OR($A347="",F$23=""),"",IF(COUNTIFS('AFA Rates'!$A$5:$A$1004,$A347,'AFA Rates'!$B$5:$B$1004,F$23,'AFA Rates'!$O$5:$O$1004,"&lt;&gt;Expired")&gt;0,"✓",IF(COUNTIFS('AFA Rates'!$A$5:$A$1004,$A347,'AFA Rates'!$B$5:$B$1004,F$23)&gt;0,"Exp","")))</f>
        <v/>
      </c>
      <c r="G347" s="79">
        <f>IF(OR($A347="",G$23=""),"",IF(COUNTIFS('AFA Rates'!$A$5:$A$1004,$A347,'AFA Rates'!$B$5:$B$1004,G$23,'AFA Rates'!$O$5:$O$1004,"&lt;&gt;Expired")&gt;0,"✓",IF(COUNTIFS('AFA Rates'!$A$5:$A$1004,$A347,'AFA Rates'!$B$5:$B$1004,G$23)&gt;0,"Exp","")))</f>
        <v/>
      </c>
      <c r="H347" s="79">
        <f>IF(OR($A347="",H$23=""),"",IF(COUNTIFS('AFA Rates'!$A$5:$A$1004,$A347,'AFA Rates'!$B$5:$B$1004,H$23,'AFA Rates'!$O$5:$O$1004,"&lt;&gt;Expired")&gt;0,"✓",IF(COUNTIFS('AFA Rates'!$A$5:$A$1004,$A347,'AFA Rates'!$B$5:$B$1004,H$23)&gt;0,"Exp","")))</f>
        <v/>
      </c>
      <c r="I347" s="79">
        <f>IF(OR($A347="",I$23=""),"",IF(COUNTIFS('AFA Rates'!$A$5:$A$1004,$A347,'AFA Rates'!$B$5:$B$1004,I$23,'AFA Rates'!$O$5:$O$1004,"&lt;&gt;Expired")&gt;0,"✓",IF(COUNTIFS('AFA Rates'!$A$5:$A$1004,$A347,'AFA Rates'!$B$5:$B$1004,I$23)&gt;0,"Exp","")))</f>
        <v/>
      </c>
      <c r="J347" s="79">
        <f>IF(OR($A347="",J$23=""),"",IF(COUNTIFS('AFA Rates'!$A$5:$A$1004,$A347,'AFA Rates'!$B$5:$B$1004,J$23,'AFA Rates'!$O$5:$O$1004,"&lt;&gt;Expired")&gt;0,"✓",IF(COUNTIFS('AFA Rates'!$A$5:$A$1004,$A347,'AFA Rates'!$B$5:$B$1004,J$23)&gt;0,"Exp","")))</f>
        <v/>
      </c>
      <c r="K347" s="79">
        <f>IF(OR($A347="",K$23=""),"",IF(COUNTIFS('AFA Rates'!$A$5:$A$1004,$A347,'AFA Rates'!$B$5:$B$1004,K$23,'AFA Rates'!$O$5:$O$1004,"&lt;&gt;Expired")&gt;0,"✓",IF(COUNTIFS('AFA Rates'!$A$5:$A$1004,$A347,'AFA Rates'!$B$5:$B$1004,K$23)&gt;0,"Exp","")))</f>
        <v/>
      </c>
      <c r="L347" s="79">
        <f>IF(OR($A347="",L$23=""),"",IF(COUNTIFS('AFA Rates'!$A$5:$A$1004,$A347,'AFA Rates'!$B$5:$B$1004,L$23,'AFA Rates'!$O$5:$O$1004,"&lt;&gt;Expired")&gt;0,"✓",IF(COUNTIFS('AFA Rates'!$A$5:$A$1004,$A347,'AFA Rates'!$B$5:$B$1004,L$23)&gt;0,"Exp","")))</f>
        <v/>
      </c>
      <c r="M347" s="79">
        <f>IF(OR($A347="",M$23=""),"",IF(COUNTIFS('AFA Rates'!$A$5:$A$1004,$A347,'AFA Rates'!$B$5:$B$1004,M$23,'AFA Rates'!$O$5:$O$1004,"&lt;&gt;Expired")&gt;0,"✓",IF(COUNTIFS('AFA Rates'!$A$5:$A$1004,$A347,'AFA Rates'!$B$5:$B$1004,M$23)&gt;0,"Exp","")))</f>
        <v/>
      </c>
    </row>
    <row r="348">
      <c r="A348" s="78">
        <f>IFERROR(INDEX(Firms!$A$5:$A$1004,MATCH(325,Firms!$V$5:$V$1004,0)),"")</f>
        <v/>
      </c>
      <c r="B348" s="79">
        <f>IF($A348="","",INDEX(Firms!$B$5:$B$1004,MATCH(325,Firms!$V$5:$V$1004,0)))</f>
        <v/>
      </c>
      <c r="C348" s="79">
        <f>IF($A348="","",COUNTIFS('AFA Rates'!$A$5:$A$1004,$A348,'AFA Rates'!$O$5:$O$1004,"&lt;&gt;Expired"))</f>
        <v/>
      </c>
      <c r="D348" s="79">
        <f>IF(OR($A348="",D$23=""),"",IF(COUNTIFS('AFA Rates'!$A$5:$A$1004,$A348,'AFA Rates'!$B$5:$B$1004,D$23,'AFA Rates'!$O$5:$O$1004,"&lt;&gt;Expired")&gt;0,"✓",IF(COUNTIFS('AFA Rates'!$A$5:$A$1004,$A348,'AFA Rates'!$B$5:$B$1004,D$23)&gt;0,"Exp","")))</f>
        <v/>
      </c>
      <c r="E348" s="79">
        <f>IF(OR($A348="",E$23=""),"",IF(COUNTIFS('AFA Rates'!$A$5:$A$1004,$A348,'AFA Rates'!$B$5:$B$1004,E$23,'AFA Rates'!$O$5:$O$1004,"&lt;&gt;Expired")&gt;0,"✓",IF(COUNTIFS('AFA Rates'!$A$5:$A$1004,$A348,'AFA Rates'!$B$5:$B$1004,E$23)&gt;0,"Exp","")))</f>
        <v/>
      </c>
      <c r="F348" s="79">
        <f>IF(OR($A348="",F$23=""),"",IF(COUNTIFS('AFA Rates'!$A$5:$A$1004,$A348,'AFA Rates'!$B$5:$B$1004,F$23,'AFA Rates'!$O$5:$O$1004,"&lt;&gt;Expired")&gt;0,"✓",IF(COUNTIFS('AFA Rates'!$A$5:$A$1004,$A348,'AFA Rates'!$B$5:$B$1004,F$23)&gt;0,"Exp","")))</f>
        <v/>
      </c>
      <c r="G348" s="79">
        <f>IF(OR($A348="",G$23=""),"",IF(COUNTIFS('AFA Rates'!$A$5:$A$1004,$A348,'AFA Rates'!$B$5:$B$1004,G$23,'AFA Rates'!$O$5:$O$1004,"&lt;&gt;Expired")&gt;0,"✓",IF(COUNTIFS('AFA Rates'!$A$5:$A$1004,$A348,'AFA Rates'!$B$5:$B$1004,G$23)&gt;0,"Exp","")))</f>
        <v/>
      </c>
      <c r="H348" s="79">
        <f>IF(OR($A348="",H$23=""),"",IF(COUNTIFS('AFA Rates'!$A$5:$A$1004,$A348,'AFA Rates'!$B$5:$B$1004,H$23,'AFA Rates'!$O$5:$O$1004,"&lt;&gt;Expired")&gt;0,"✓",IF(COUNTIFS('AFA Rates'!$A$5:$A$1004,$A348,'AFA Rates'!$B$5:$B$1004,H$23)&gt;0,"Exp","")))</f>
        <v/>
      </c>
      <c r="I348" s="79">
        <f>IF(OR($A348="",I$23=""),"",IF(COUNTIFS('AFA Rates'!$A$5:$A$1004,$A348,'AFA Rates'!$B$5:$B$1004,I$23,'AFA Rates'!$O$5:$O$1004,"&lt;&gt;Expired")&gt;0,"✓",IF(COUNTIFS('AFA Rates'!$A$5:$A$1004,$A348,'AFA Rates'!$B$5:$B$1004,I$23)&gt;0,"Exp","")))</f>
        <v/>
      </c>
      <c r="J348" s="79">
        <f>IF(OR($A348="",J$23=""),"",IF(COUNTIFS('AFA Rates'!$A$5:$A$1004,$A348,'AFA Rates'!$B$5:$B$1004,J$23,'AFA Rates'!$O$5:$O$1004,"&lt;&gt;Expired")&gt;0,"✓",IF(COUNTIFS('AFA Rates'!$A$5:$A$1004,$A348,'AFA Rates'!$B$5:$B$1004,J$23)&gt;0,"Exp","")))</f>
        <v/>
      </c>
      <c r="K348" s="79">
        <f>IF(OR($A348="",K$23=""),"",IF(COUNTIFS('AFA Rates'!$A$5:$A$1004,$A348,'AFA Rates'!$B$5:$B$1004,K$23,'AFA Rates'!$O$5:$O$1004,"&lt;&gt;Expired")&gt;0,"✓",IF(COUNTIFS('AFA Rates'!$A$5:$A$1004,$A348,'AFA Rates'!$B$5:$B$1004,K$23)&gt;0,"Exp","")))</f>
        <v/>
      </c>
      <c r="L348" s="79">
        <f>IF(OR($A348="",L$23=""),"",IF(COUNTIFS('AFA Rates'!$A$5:$A$1004,$A348,'AFA Rates'!$B$5:$B$1004,L$23,'AFA Rates'!$O$5:$O$1004,"&lt;&gt;Expired")&gt;0,"✓",IF(COUNTIFS('AFA Rates'!$A$5:$A$1004,$A348,'AFA Rates'!$B$5:$B$1004,L$23)&gt;0,"Exp","")))</f>
        <v/>
      </c>
      <c r="M348" s="79">
        <f>IF(OR($A348="",M$23=""),"",IF(COUNTIFS('AFA Rates'!$A$5:$A$1004,$A348,'AFA Rates'!$B$5:$B$1004,M$23,'AFA Rates'!$O$5:$O$1004,"&lt;&gt;Expired")&gt;0,"✓",IF(COUNTIFS('AFA Rates'!$A$5:$A$1004,$A348,'AFA Rates'!$B$5:$B$1004,M$23)&gt;0,"Exp","")))</f>
        <v/>
      </c>
    </row>
    <row r="349">
      <c r="A349" s="78">
        <f>IFERROR(INDEX(Firms!$A$5:$A$1004,MATCH(326,Firms!$V$5:$V$1004,0)),"")</f>
        <v/>
      </c>
      <c r="B349" s="79">
        <f>IF($A349="","",INDEX(Firms!$B$5:$B$1004,MATCH(326,Firms!$V$5:$V$1004,0)))</f>
        <v/>
      </c>
      <c r="C349" s="79">
        <f>IF($A349="","",COUNTIFS('AFA Rates'!$A$5:$A$1004,$A349,'AFA Rates'!$O$5:$O$1004,"&lt;&gt;Expired"))</f>
        <v/>
      </c>
      <c r="D349" s="79">
        <f>IF(OR($A349="",D$23=""),"",IF(COUNTIFS('AFA Rates'!$A$5:$A$1004,$A349,'AFA Rates'!$B$5:$B$1004,D$23,'AFA Rates'!$O$5:$O$1004,"&lt;&gt;Expired")&gt;0,"✓",IF(COUNTIFS('AFA Rates'!$A$5:$A$1004,$A349,'AFA Rates'!$B$5:$B$1004,D$23)&gt;0,"Exp","")))</f>
        <v/>
      </c>
      <c r="E349" s="79">
        <f>IF(OR($A349="",E$23=""),"",IF(COUNTIFS('AFA Rates'!$A$5:$A$1004,$A349,'AFA Rates'!$B$5:$B$1004,E$23,'AFA Rates'!$O$5:$O$1004,"&lt;&gt;Expired")&gt;0,"✓",IF(COUNTIFS('AFA Rates'!$A$5:$A$1004,$A349,'AFA Rates'!$B$5:$B$1004,E$23)&gt;0,"Exp","")))</f>
        <v/>
      </c>
      <c r="F349" s="79">
        <f>IF(OR($A349="",F$23=""),"",IF(COUNTIFS('AFA Rates'!$A$5:$A$1004,$A349,'AFA Rates'!$B$5:$B$1004,F$23,'AFA Rates'!$O$5:$O$1004,"&lt;&gt;Expired")&gt;0,"✓",IF(COUNTIFS('AFA Rates'!$A$5:$A$1004,$A349,'AFA Rates'!$B$5:$B$1004,F$23)&gt;0,"Exp","")))</f>
        <v/>
      </c>
      <c r="G349" s="79">
        <f>IF(OR($A349="",G$23=""),"",IF(COUNTIFS('AFA Rates'!$A$5:$A$1004,$A349,'AFA Rates'!$B$5:$B$1004,G$23,'AFA Rates'!$O$5:$O$1004,"&lt;&gt;Expired")&gt;0,"✓",IF(COUNTIFS('AFA Rates'!$A$5:$A$1004,$A349,'AFA Rates'!$B$5:$B$1004,G$23)&gt;0,"Exp","")))</f>
        <v/>
      </c>
      <c r="H349" s="79">
        <f>IF(OR($A349="",H$23=""),"",IF(COUNTIFS('AFA Rates'!$A$5:$A$1004,$A349,'AFA Rates'!$B$5:$B$1004,H$23,'AFA Rates'!$O$5:$O$1004,"&lt;&gt;Expired")&gt;0,"✓",IF(COUNTIFS('AFA Rates'!$A$5:$A$1004,$A349,'AFA Rates'!$B$5:$B$1004,H$23)&gt;0,"Exp","")))</f>
        <v/>
      </c>
      <c r="I349" s="79">
        <f>IF(OR($A349="",I$23=""),"",IF(COUNTIFS('AFA Rates'!$A$5:$A$1004,$A349,'AFA Rates'!$B$5:$B$1004,I$23,'AFA Rates'!$O$5:$O$1004,"&lt;&gt;Expired")&gt;0,"✓",IF(COUNTIFS('AFA Rates'!$A$5:$A$1004,$A349,'AFA Rates'!$B$5:$B$1004,I$23)&gt;0,"Exp","")))</f>
        <v/>
      </c>
      <c r="J349" s="79">
        <f>IF(OR($A349="",J$23=""),"",IF(COUNTIFS('AFA Rates'!$A$5:$A$1004,$A349,'AFA Rates'!$B$5:$B$1004,J$23,'AFA Rates'!$O$5:$O$1004,"&lt;&gt;Expired")&gt;0,"✓",IF(COUNTIFS('AFA Rates'!$A$5:$A$1004,$A349,'AFA Rates'!$B$5:$B$1004,J$23)&gt;0,"Exp","")))</f>
        <v/>
      </c>
      <c r="K349" s="79">
        <f>IF(OR($A349="",K$23=""),"",IF(COUNTIFS('AFA Rates'!$A$5:$A$1004,$A349,'AFA Rates'!$B$5:$B$1004,K$23,'AFA Rates'!$O$5:$O$1004,"&lt;&gt;Expired")&gt;0,"✓",IF(COUNTIFS('AFA Rates'!$A$5:$A$1004,$A349,'AFA Rates'!$B$5:$B$1004,K$23)&gt;0,"Exp","")))</f>
        <v/>
      </c>
      <c r="L349" s="79">
        <f>IF(OR($A349="",L$23=""),"",IF(COUNTIFS('AFA Rates'!$A$5:$A$1004,$A349,'AFA Rates'!$B$5:$B$1004,L$23,'AFA Rates'!$O$5:$O$1004,"&lt;&gt;Expired")&gt;0,"✓",IF(COUNTIFS('AFA Rates'!$A$5:$A$1004,$A349,'AFA Rates'!$B$5:$B$1004,L$23)&gt;0,"Exp","")))</f>
        <v/>
      </c>
      <c r="M349" s="79">
        <f>IF(OR($A349="",M$23=""),"",IF(COUNTIFS('AFA Rates'!$A$5:$A$1004,$A349,'AFA Rates'!$B$5:$B$1004,M$23,'AFA Rates'!$O$5:$O$1004,"&lt;&gt;Expired")&gt;0,"✓",IF(COUNTIFS('AFA Rates'!$A$5:$A$1004,$A349,'AFA Rates'!$B$5:$B$1004,M$23)&gt;0,"Exp","")))</f>
        <v/>
      </c>
    </row>
    <row r="350">
      <c r="A350" s="78">
        <f>IFERROR(INDEX(Firms!$A$5:$A$1004,MATCH(327,Firms!$V$5:$V$1004,0)),"")</f>
        <v/>
      </c>
      <c r="B350" s="79">
        <f>IF($A350="","",INDEX(Firms!$B$5:$B$1004,MATCH(327,Firms!$V$5:$V$1004,0)))</f>
        <v/>
      </c>
      <c r="C350" s="79">
        <f>IF($A350="","",COUNTIFS('AFA Rates'!$A$5:$A$1004,$A350,'AFA Rates'!$O$5:$O$1004,"&lt;&gt;Expired"))</f>
        <v/>
      </c>
      <c r="D350" s="79">
        <f>IF(OR($A350="",D$23=""),"",IF(COUNTIFS('AFA Rates'!$A$5:$A$1004,$A350,'AFA Rates'!$B$5:$B$1004,D$23,'AFA Rates'!$O$5:$O$1004,"&lt;&gt;Expired")&gt;0,"✓",IF(COUNTIFS('AFA Rates'!$A$5:$A$1004,$A350,'AFA Rates'!$B$5:$B$1004,D$23)&gt;0,"Exp","")))</f>
        <v/>
      </c>
      <c r="E350" s="79">
        <f>IF(OR($A350="",E$23=""),"",IF(COUNTIFS('AFA Rates'!$A$5:$A$1004,$A350,'AFA Rates'!$B$5:$B$1004,E$23,'AFA Rates'!$O$5:$O$1004,"&lt;&gt;Expired")&gt;0,"✓",IF(COUNTIFS('AFA Rates'!$A$5:$A$1004,$A350,'AFA Rates'!$B$5:$B$1004,E$23)&gt;0,"Exp","")))</f>
        <v/>
      </c>
      <c r="F350" s="79">
        <f>IF(OR($A350="",F$23=""),"",IF(COUNTIFS('AFA Rates'!$A$5:$A$1004,$A350,'AFA Rates'!$B$5:$B$1004,F$23,'AFA Rates'!$O$5:$O$1004,"&lt;&gt;Expired")&gt;0,"✓",IF(COUNTIFS('AFA Rates'!$A$5:$A$1004,$A350,'AFA Rates'!$B$5:$B$1004,F$23)&gt;0,"Exp","")))</f>
        <v/>
      </c>
      <c r="G350" s="79">
        <f>IF(OR($A350="",G$23=""),"",IF(COUNTIFS('AFA Rates'!$A$5:$A$1004,$A350,'AFA Rates'!$B$5:$B$1004,G$23,'AFA Rates'!$O$5:$O$1004,"&lt;&gt;Expired")&gt;0,"✓",IF(COUNTIFS('AFA Rates'!$A$5:$A$1004,$A350,'AFA Rates'!$B$5:$B$1004,G$23)&gt;0,"Exp","")))</f>
        <v/>
      </c>
      <c r="H350" s="79">
        <f>IF(OR($A350="",H$23=""),"",IF(COUNTIFS('AFA Rates'!$A$5:$A$1004,$A350,'AFA Rates'!$B$5:$B$1004,H$23,'AFA Rates'!$O$5:$O$1004,"&lt;&gt;Expired")&gt;0,"✓",IF(COUNTIFS('AFA Rates'!$A$5:$A$1004,$A350,'AFA Rates'!$B$5:$B$1004,H$23)&gt;0,"Exp","")))</f>
        <v/>
      </c>
      <c r="I350" s="79">
        <f>IF(OR($A350="",I$23=""),"",IF(COUNTIFS('AFA Rates'!$A$5:$A$1004,$A350,'AFA Rates'!$B$5:$B$1004,I$23,'AFA Rates'!$O$5:$O$1004,"&lt;&gt;Expired")&gt;0,"✓",IF(COUNTIFS('AFA Rates'!$A$5:$A$1004,$A350,'AFA Rates'!$B$5:$B$1004,I$23)&gt;0,"Exp","")))</f>
        <v/>
      </c>
      <c r="J350" s="79">
        <f>IF(OR($A350="",J$23=""),"",IF(COUNTIFS('AFA Rates'!$A$5:$A$1004,$A350,'AFA Rates'!$B$5:$B$1004,J$23,'AFA Rates'!$O$5:$O$1004,"&lt;&gt;Expired")&gt;0,"✓",IF(COUNTIFS('AFA Rates'!$A$5:$A$1004,$A350,'AFA Rates'!$B$5:$B$1004,J$23)&gt;0,"Exp","")))</f>
        <v/>
      </c>
      <c r="K350" s="79">
        <f>IF(OR($A350="",K$23=""),"",IF(COUNTIFS('AFA Rates'!$A$5:$A$1004,$A350,'AFA Rates'!$B$5:$B$1004,K$23,'AFA Rates'!$O$5:$O$1004,"&lt;&gt;Expired")&gt;0,"✓",IF(COUNTIFS('AFA Rates'!$A$5:$A$1004,$A350,'AFA Rates'!$B$5:$B$1004,K$23)&gt;0,"Exp","")))</f>
        <v/>
      </c>
      <c r="L350" s="79">
        <f>IF(OR($A350="",L$23=""),"",IF(COUNTIFS('AFA Rates'!$A$5:$A$1004,$A350,'AFA Rates'!$B$5:$B$1004,L$23,'AFA Rates'!$O$5:$O$1004,"&lt;&gt;Expired")&gt;0,"✓",IF(COUNTIFS('AFA Rates'!$A$5:$A$1004,$A350,'AFA Rates'!$B$5:$B$1004,L$23)&gt;0,"Exp","")))</f>
        <v/>
      </c>
      <c r="M350" s="79">
        <f>IF(OR($A350="",M$23=""),"",IF(COUNTIFS('AFA Rates'!$A$5:$A$1004,$A350,'AFA Rates'!$B$5:$B$1004,M$23,'AFA Rates'!$O$5:$O$1004,"&lt;&gt;Expired")&gt;0,"✓",IF(COUNTIFS('AFA Rates'!$A$5:$A$1004,$A350,'AFA Rates'!$B$5:$B$1004,M$23)&gt;0,"Exp","")))</f>
        <v/>
      </c>
    </row>
    <row r="351">
      <c r="A351" s="78">
        <f>IFERROR(INDEX(Firms!$A$5:$A$1004,MATCH(328,Firms!$V$5:$V$1004,0)),"")</f>
        <v/>
      </c>
      <c r="B351" s="79">
        <f>IF($A351="","",INDEX(Firms!$B$5:$B$1004,MATCH(328,Firms!$V$5:$V$1004,0)))</f>
        <v/>
      </c>
      <c r="C351" s="79">
        <f>IF($A351="","",COUNTIFS('AFA Rates'!$A$5:$A$1004,$A351,'AFA Rates'!$O$5:$O$1004,"&lt;&gt;Expired"))</f>
        <v/>
      </c>
      <c r="D351" s="79">
        <f>IF(OR($A351="",D$23=""),"",IF(COUNTIFS('AFA Rates'!$A$5:$A$1004,$A351,'AFA Rates'!$B$5:$B$1004,D$23,'AFA Rates'!$O$5:$O$1004,"&lt;&gt;Expired")&gt;0,"✓",IF(COUNTIFS('AFA Rates'!$A$5:$A$1004,$A351,'AFA Rates'!$B$5:$B$1004,D$23)&gt;0,"Exp","")))</f>
        <v/>
      </c>
      <c r="E351" s="79">
        <f>IF(OR($A351="",E$23=""),"",IF(COUNTIFS('AFA Rates'!$A$5:$A$1004,$A351,'AFA Rates'!$B$5:$B$1004,E$23,'AFA Rates'!$O$5:$O$1004,"&lt;&gt;Expired")&gt;0,"✓",IF(COUNTIFS('AFA Rates'!$A$5:$A$1004,$A351,'AFA Rates'!$B$5:$B$1004,E$23)&gt;0,"Exp","")))</f>
        <v/>
      </c>
      <c r="F351" s="79">
        <f>IF(OR($A351="",F$23=""),"",IF(COUNTIFS('AFA Rates'!$A$5:$A$1004,$A351,'AFA Rates'!$B$5:$B$1004,F$23,'AFA Rates'!$O$5:$O$1004,"&lt;&gt;Expired")&gt;0,"✓",IF(COUNTIFS('AFA Rates'!$A$5:$A$1004,$A351,'AFA Rates'!$B$5:$B$1004,F$23)&gt;0,"Exp","")))</f>
        <v/>
      </c>
      <c r="G351" s="79">
        <f>IF(OR($A351="",G$23=""),"",IF(COUNTIFS('AFA Rates'!$A$5:$A$1004,$A351,'AFA Rates'!$B$5:$B$1004,G$23,'AFA Rates'!$O$5:$O$1004,"&lt;&gt;Expired")&gt;0,"✓",IF(COUNTIFS('AFA Rates'!$A$5:$A$1004,$A351,'AFA Rates'!$B$5:$B$1004,G$23)&gt;0,"Exp","")))</f>
        <v/>
      </c>
      <c r="H351" s="79">
        <f>IF(OR($A351="",H$23=""),"",IF(COUNTIFS('AFA Rates'!$A$5:$A$1004,$A351,'AFA Rates'!$B$5:$B$1004,H$23,'AFA Rates'!$O$5:$O$1004,"&lt;&gt;Expired")&gt;0,"✓",IF(COUNTIFS('AFA Rates'!$A$5:$A$1004,$A351,'AFA Rates'!$B$5:$B$1004,H$23)&gt;0,"Exp","")))</f>
        <v/>
      </c>
      <c r="I351" s="79">
        <f>IF(OR($A351="",I$23=""),"",IF(COUNTIFS('AFA Rates'!$A$5:$A$1004,$A351,'AFA Rates'!$B$5:$B$1004,I$23,'AFA Rates'!$O$5:$O$1004,"&lt;&gt;Expired")&gt;0,"✓",IF(COUNTIFS('AFA Rates'!$A$5:$A$1004,$A351,'AFA Rates'!$B$5:$B$1004,I$23)&gt;0,"Exp","")))</f>
        <v/>
      </c>
      <c r="J351" s="79">
        <f>IF(OR($A351="",J$23=""),"",IF(COUNTIFS('AFA Rates'!$A$5:$A$1004,$A351,'AFA Rates'!$B$5:$B$1004,J$23,'AFA Rates'!$O$5:$O$1004,"&lt;&gt;Expired")&gt;0,"✓",IF(COUNTIFS('AFA Rates'!$A$5:$A$1004,$A351,'AFA Rates'!$B$5:$B$1004,J$23)&gt;0,"Exp","")))</f>
        <v/>
      </c>
      <c r="K351" s="79">
        <f>IF(OR($A351="",K$23=""),"",IF(COUNTIFS('AFA Rates'!$A$5:$A$1004,$A351,'AFA Rates'!$B$5:$B$1004,K$23,'AFA Rates'!$O$5:$O$1004,"&lt;&gt;Expired")&gt;0,"✓",IF(COUNTIFS('AFA Rates'!$A$5:$A$1004,$A351,'AFA Rates'!$B$5:$B$1004,K$23)&gt;0,"Exp","")))</f>
        <v/>
      </c>
      <c r="L351" s="79">
        <f>IF(OR($A351="",L$23=""),"",IF(COUNTIFS('AFA Rates'!$A$5:$A$1004,$A351,'AFA Rates'!$B$5:$B$1004,L$23,'AFA Rates'!$O$5:$O$1004,"&lt;&gt;Expired")&gt;0,"✓",IF(COUNTIFS('AFA Rates'!$A$5:$A$1004,$A351,'AFA Rates'!$B$5:$B$1004,L$23)&gt;0,"Exp","")))</f>
        <v/>
      </c>
      <c r="M351" s="79">
        <f>IF(OR($A351="",M$23=""),"",IF(COUNTIFS('AFA Rates'!$A$5:$A$1004,$A351,'AFA Rates'!$B$5:$B$1004,M$23,'AFA Rates'!$O$5:$O$1004,"&lt;&gt;Expired")&gt;0,"✓",IF(COUNTIFS('AFA Rates'!$A$5:$A$1004,$A351,'AFA Rates'!$B$5:$B$1004,M$23)&gt;0,"Exp","")))</f>
        <v/>
      </c>
    </row>
    <row r="352">
      <c r="A352" s="78">
        <f>IFERROR(INDEX(Firms!$A$5:$A$1004,MATCH(329,Firms!$V$5:$V$1004,0)),"")</f>
        <v/>
      </c>
      <c r="B352" s="79">
        <f>IF($A352="","",INDEX(Firms!$B$5:$B$1004,MATCH(329,Firms!$V$5:$V$1004,0)))</f>
        <v/>
      </c>
      <c r="C352" s="79">
        <f>IF($A352="","",COUNTIFS('AFA Rates'!$A$5:$A$1004,$A352,'AFA Rates'!$O$5:$O$1004,"&lt;&gt;Expired"))</f>
        <v/>
      </c>
      <c r="D352" s="79">
        <f>IF(OR($A352="",D$23=""),"",IF(COUNTIFS('AFA Rates'!$A$5:$A$1004,$A352,'AFA Rates'!$B$5:$B$1004,D$23,'AFA Rates'!$O$5:$O$1004,"&lt;&gt;Expired")&gt;0,"✓",IF(COUNTIFS('AFA Rates'!$A$5:$A$1004,$A352,'AFA Rates'!$B$5:$B$1004,D$23)&gt;0,"Exp","")))</f>
        <v/>
      </c>
      <c r="E352" s="79">
        <f>IF(OR($A352="",E$23=""),"",IF(COUNTIFS('AFA Rates'!$A$5:$A$1004,$A352,'AFA Rates'!$B$5:$B$1004,E$23,'AFA Rates'!$O$5:$O$1004,"&lt;&gt;Expired")&gt;0,"✓",IF(COUNTIFS('AFA Rates'!$A$5:$A$1004,$A352,'AFA Rates'!$B$5:$B$1004,E$23)&gt;0,"Exp","")))</f>
        <v/>
      </c>
      <c r="F352" s="79">
        <f>IF(OR($A352="",F$23=""),"",IF(COUNTIFS('AFA Rates'!$A$5:$A$1004,$A352,'AFA Rates'!$B$5:$B$1004,F$23,'AFA Rates'!$O$5:$O$1004,"&lt;&gt;Expired")&gt;0,"✓",IF(COUNTIFS('AFA Rates'!$A$5:$A$1004,$A352,'AFA Rates'!$B$5:$B$1004,F$23)&gt;0,"Exp","")))</f>
        <v/>
      </c>
      <c r="G352" s="79">
        <f>IF(OR($A352="",G$23=""),"",IF(COUNTIFS('AFA Rates'!$A$5:$A$1004,$A352,'AFA Rates'!$B$5:$B$1004,G$23,'AFA Rates'!$O$5:$O$1004,"&lt;&gt;Expired")&gt;0,"✓",IF(COUNTIFS('AFA Rates'!$A$5:$A$1004,$A352,'AFA Rates'!$B$5:$B$1004,G$23)&gt;0,"Exp","")))</f>
        <v/>
      </c>
      <c r="H352" s="79">
        <f>IF(OR($A352="",H$23=""),"",IF(COUNTIFS('AFA Rates'!$A$5:$A$1004,$A352,'AFA Rates'!$B$5:$B$1004,H$23,'AFA Rates'!$O$5:$O$1004,"&lt;&gt;Expired")&gt;0,"✓",IF(COUNTIFS('AFA Rates'!$A$5:$A$1004,$A352,'AFA Rates'!$B$5:$B$1004,H$23)&gt;0,"Exp","")))</f>
        <v/>
      </c>
      <c r="I352" s="79">
        <f>IF(OR($A352="",I$23=""),"",IF(COUNTIFS('AFA Rates'!$A$5:$A$1004,$A352,'AFA Rates'!$B$5:$B$1004,I$23,'AFA Rates'!$O$5:$O$1004,"&lt;&gt;Expired")&gt;0,"✓",IF(COUNTIFS('AFA Rates'!$A$5:$A$1004,$A352,'AFA Rates'!$B$5:$B$1004,I$23)&gt;0,"Exp","")))</f>
        <v/>
      </c>
      <c r="J352" s="79">
        <f>IF(OR($A352="",J$23=""),"",IF(COUNTIFS('AFA Rates'!$A$5:$A$1004,$A352,'AFA Rates'!$B$5:$B$1004,J$23,'AFA Rates'!$O$5:$O$1004,"&lt;&gt;Expired")&gt;0,"✓",IF(COUNTIFS('AFA Rates'!$A$5:$A$1004,$A352,'AFA Rates'!$B$5:$B$1004,J$23)&gt;0,"Exp","")))</f>
        <v/>
      </c>
      <c r="K352" s="79">
        <f>IF(OR($A352="",K$23=""),"",IF(COUNTIFS('AFA Rates'!$A$5:$A$1004,$A352,'AFA Rates'!$B$5:$B$1004,K$23,'AFA Rates'!$O$5:$O$1004,"&lt;&gt;Expired")&gt;0,"✓",IF(COUNTIFS('AFA Rates'!$A$5:$A$1004,$A352,'AFA Rates'!$B$5:$B$1004,K$23)&gt;0,"Exp","")))</f>
        <v/>
      </c>
      <c r="L352" s="79">
        <f>IF(OR($A352="",L$23=""),"",IF(COUNTIFS('AFA Rates'!$A$5:$A$1004,$A352,'AFA Rates'!$B$5:$B$1004,L$23,'AFA Rates'!$O$5:$O$1004,"&lt;&gt;Expired")&gt;0,"✓",IF(COUNTIFS('AFA Rates'!$A$5:$A$1004,$A352,'AFA Rates'!$B$5:$B$1004,L$23)&gt;0,"Exp","")))</f>
        <v/>
      </c>
      <c r="M352" s="79">
        <f>IF(OR($A352="",M$23=""),"",IF(COUNTIFS('AFA Rates'!$A$5:$A$1004,$A352,'AFA Rates'!$B$5:$B$1004,M$23,'AFA Rates'!$O$5:$O$1004,"&lt;&gt;Expired")&gt;0,"✓",IF(COUNTIFS('AFA Rates'!$A$5:$A$1004,$A352,'AFA Rates'!$B$5:$B$1004,M$23)&gt;0,"Exp","")))</f>
        <v/>
      </c>
    </row>
    <row r="353">
      <c r="A353" s="78">
        <f>IFERROR(INDEX(Firms!$A$5:$A$1004,MATCH(330,Firms!$V$5:$V$1004,0)),"")</f>
        <v/>
      </c>
      <c r="B353" s="79">
        <f>IF($A353="","",INDEX(Firms!$B$5:$B$1004,MATCH(330,Firms!$V$5:$V$1004,0)))</f>
        <v/>
      </c>
      <c r="C353" s="79">
        <f>IF($A353="","",COUNTIFS('AFA Rates'!$A$5:$A$1004,$A353,'AFA Rates'!$O$5:$O$1004,"&lt;&gt;Expired"))</f>
        <v/>
      </c>
      <c r="D353" s="79">
        <f>IF(OR($A353="",D$23=""),"",IF(COUNTIFS('AFA Rates'!$A$5:$A$1004,$A353,'AFA Rates'!$B$5:$B$1004,D$23,'AFA Rates'!$O$5:$O$1004,"&lt;&gt;Expired")&gt;0,"✓",IF(COUNTIFS('AFA Rates'!$A$5:$A$1004,$A353,'AFA Rates'!$B$5:$B$1004,D$23)&gt;0,"Exp","")))</f>
        <v/>
      </c>
      <c r="E353" s="79">
        <f>IF(OR($A353="",E$23=""),"",IF(COUNTIFS('AFA Rates'!$A$5:$A$1004,$A353,'AFA Rates'!$B$5:$B$1004,E$23,'AFA Rates'!$O$5:$O$1004,"&lt;&gt;Expired")&gt;0,"✓",IF(COUNTIFS('AFA Rates'!$A$5:$A$1004,$A353,'AFA Rates'!$B$5:$B$1004,E$23)&gt;0,"Exp","")))</f>
        <v/>
      </c>
      <c r="F353" s="79">
        <f>IF(OR($A353="",F$23=""),"",IF(COUNTIFS('AFA Rates'!$A$5:$A$1004,$A353,'AFA Rates'!$B$5:$B$1004,F$23,'AFA Rates'!$O$5:$O$1004,"&lt;&gt;Expired")&gt;0,"✓",IF(COUNTIFS('AFA Rates'!$A$5:$A$1004,$A353,'AFA Rates'!$B$5:$B$1004,F$23)&gt;0,"Exp","")))</f>
        <v/>
      </c>
      <c r="G353" s="79">
        <f>IF(OR($A353="",G$23=""),"",IF(COUNTIFS('AFA Rates'!$A$5:$A$1004,$A353,'AFA Rates'!$B$5:$B$1004,G$23,'AFA Rates'!$O$5:$O$1004,"&lt;&gt;Expired")&gt;0,"✓",IF(COUNTIFS('AFA Rates'!$A$5:$A$1004,$A353,'AFA Rates'!$B$5:$B$1004,G$23)&gt;0,"Exp","")))</f>
        <v/>
      </c>
      <c r="H353" s="79">
        <f>IF(OR($A353="",H$23=""),"",IF(COUNTIFS('AFA Rates'!$A$5:$A$1004,$A353,'AFA Rates'!$B$5:$B$1004,H$23,'AFA Rates'!$O$5:$O$1004,"&lt;&gt;Expired")&gt;0,"✓",IF(COUNTIFS('AFA Rates'!$A$5:$A$1004,$A353,'AFA Rates'!$B$5:$B$1004,H$23)&gt;0,"Exp","")))</f>
        <v/>
      </c>
      <c r="I353" s="79">
        <f>IF(OR($A353="",I$23=""),"",IF(COUNTIFS('AFA Rates'!$A$5:$A$1004,$A353,'AFA Rates'!$B$5:$B$1004,I$23,'AFA Rates'!$O$5:$O$1004,"&lt;&gt;Expired")&gt;0,"✓",IF(COUNTIFS('AFA Rates'!$A$5:$A$1004,$A353,'AFA Rates'!$B$5:$B$1004,I$23)&gt;0,"Exp","")))</f>
        <v/>
      </c>
      <c r="J353" s="79">
        <f>IF(OR($A353="",J$23=""),"",IF(COUNTIFS('AFA Rates'!$A$5:$A$1004,$A353,'AFA Rates'!$B$5:$B$1004,J$23,'AFA Rates'!$O$5:$O$1004,"&lt;&gt;Expired")&gt;0,"✓",IF(COUNTIFS('AFA Rates'!$A$5:$A$1004,$A353,'AFA Rates'!$B$5:$B$1004,J$23)&gt;0,"Exp","")))</f>
        <v/>
      </c>
      <c r="K353" s="79">
        <f>IF(OR($A353="",K$23=""),"",IF(COUNTIFS('AFA Rates'!$A$5:$A$1004,$A353,'AFA Rates'!$B$5:$B$1004,K$23,'AFA Rates'!$O$5:$O$1004,"&lt;&gt;Expired")&gt;0,"✓",IF(COUNTIFS('AFA Rates'!$A$5:$A$1004,$A353,'AFA Rates'!$B$5:$B$1004,K$23)&gt;0,"Exp","")))</f>
        <v/>
      </c>
      <c r="L353" s="79">
        <f>IF(OR($A353="",L$23=""),"",IF(COUNTIFS('AFA Rates'!$A$5:$A$1004,$A353,'AFA Rates'!$B$5:$B$1004,L$23,'AFA Rates'!$O$5:$O$1004,"&lt;&gt;Expired")&gt;0,"✓",IF(COUNTIFS('AFA Rates'!$A$5:$A$1004,$A353,'AFA Rates'!$B$5:$B$1004,L$23)&gt;0,"Exp","")))</f>
        <v/>
      </c>
      <c r="M353" s="79">
        <f>IF(OR($A353="",M$23=""),"",IF(COUNTIFS('AFA Rates'!$A$5:$A$1004,$A353,'AFA Rates'!$B$5:$B$1004,M$23,'AFA Rates'!$O$5:$O$1004,"&lt;&gt;Expired")&gt;0,"✓",IF(COUNTIFS('AFA Rates'!$A$5:$A$1004,$A353,'AFA Rates'!$B$5:$B$1004,M$23)&gt;0,"Exp","")))</f>
        <v/>
      </c>
    </row>
    <row r="354">
      <c r="A354" s="78">
        <f>IFERROR(INDEX(Firms!$A$5:$A$1004,MATCH(331,Firms!$V$5:$V$1004,0)),"")</f>
        <v/>
      </c>
      <c r="B354" s="79">
        <f>IF($A354="","",INDEX(Firms!$B$5:$B$1004,MATCH(331,Firms!$V$5:$V$1004,0)))</f>
        <v/>
      </c>
      <c r="C354" s="79">
        <f>IF($A354="","",COUNTIFS('AFA Rates'!$A$5:$A$1004,$A354,'AFA Rates'!$O$5:$O$1004,"&lt;&gt;Expired"))</f>
        <v/>
      </c>
      <c r="D354" s="79">
        <f>IF(OR($A354="",D$23=""),"",IF(COUNTIFS('AFA Rates'!$A$5:$A$1004,$A354,'AFA Rates'!$B$5:$B$1004,D$23,'AFA Rates'!$O$5:$O$1004,"&lt;&gt;Expired")&gt;0,"✓",IF(COUNTIFS('AFA Rates'!$A$5:$A$1004,$A354,'AFA Rates'!$B$5:$B$1004,D$23)&gt;0,"Exp","")))</f>
        <v/>
      </c>
      <c r="E354" s="79">
        <f>IF(OR($A354="",E$23=""),"",IF(COUNTIFS('AFA Rates'!$A$5:$A$1004,$A354,'AFA Rates'!$B$5:$B$1004,E$23,'AFA Rates'!$O$5:$O$1004,"&lt;&gt;Expired")&gt;0,"✓",IF(COUNTIFS('AFA Rates'!$A$5:$A$1004,$A354,'AFA Rates'!$B$5:$B$1004,E$23)&gt;0,"Exp","")))</f>
        <v/>
      </c>
      <c r="F354" s="79">
        <f>IF(OR($A354="",F$23=""),"",IF(COUNTIFS('AFA Rates'!$A$5:$A$1004,$A354,'AFA Rates'!$B$5:$B$1004,F$23,'AFA Rates'!$O$5:$O$1004,"&lt;&gt;Expired")&gt;0,"✓",IF(COUNTIFS('AFA Rates'!$A$5:$A$1004,$A354,'AFA Rates'!$B$5:$B$1004,F$23)&gt;0,"Exp","")))</f>
        <v/>
      </c>
      <c r="G354" s="79">
        <f>IF(OR($A354="",G$23=""),"",IF(COUNTIFS('AFA Rates'!$A$5:$A$1004,$A354,'AFA Rates'!$B$5:$B$1004,G$23,'AFA Rates'!$O$5:$O$1004,"&lt;&gt;Expired")&gt;0,"✓",IF(COUNTIFS('AFA Rates'!$A$5:$A$1004,$A354,'AFA Rates'!$B$5:$B$1004,G$23)&gt;0,"Exp","")))</f>
        <v/>
      </c>
      <c r="H354" s="79">
        <f>IF(OR($A354="",H$23=""),"",IF(COUNTIFS('AFA Rates'!$A$5:$A$1004,$A354,'AFA Rates'!$B$5:$B$1004,H$23,'AFA Rates'!$O$5:$O$1004,"&lt;&gt;Expired")&gt;0,"✓",IF(COUNTIFS('AFA Rates'!$A$5:$A$1004,$A354,'AFA Rates'!$B$5:$B$1004,H$23)&gt;0,"Exp","")))</f>
        <v/>
      </c>
      <c r="I354" s="79">
        <f>IF(OR($A354="",I$23=""),"",IF(COUNTIFS('AFA Rates'!$A$5:$A$1004,$A354,'AFA Rates'!$B$5:$B$1004,I$23,'AFA Rates'!$O$5:$O$1004,"&lt;&gt;Expired")&gt;0,"✓",IF(COUNTIFS('AFA Rates'!$A$5:$A$1004,$A354,'AFA Rates'!$B$5:$B$1004,I$23)&gt;0,"Exp","")))</f>
        <v/>
      </c>
      <c r="J354" s="79">
        <f>IF(OR($A354="",J$23=""),"",IF(COUNTIFS('AFA Rates'!$A$5:$A$1004,$A354,'AFA Rates'!$B$5:$B$1004,J$23,'AFA Rates'!$O$5:$O$1004,"&lt;&gt;Expired")&gt;0,"✓",IF(COUNTIFS('AFA Rates'!$A$5:$A$1004,$A354,'AFA Rates'!$B$5:$B$1004,J$23)&gt;0,"Exp","")))</f>
        <v/>
      </c>
      <c r="K354" s="79">
        <f>IF(OR($A354="",K$23=""),"",IF(COUNTIFS('AFA Rates'!$A$5:$A$1004,$A354,'AFA Rates'!$B$5:$B$1004,K$23,'AFA Rates'!$O$5:$O$1004,"&lt;&gt;Expired")&gt;0,"✓",IF(COUNTIFS('AFA Rates'!$A$5:$A$1004,$A354,'AFA Rates'!$B$5:$B$1004,K$23)&gt;0,"Exp","")))</f>
        <v/>
      </c>
      <c r="L354" s="79">
        <f>IF(OR($A354="",L$23=""),"",IF(COUNTIFS('AFA Rates'!$A$5:$A$1004,$A354,'AFA Rates'!$B$5:$B$1004,L$23,'AFA Rates'!$O$5:$O$1004,"&lt;&gt;Expired")&gt;0,"✓",IF(COUNTIFS('AFA Rates'!$A$5:$A$1004,$A354,'AFA Rates'!$B$5:$B$1004,L$23)&gt;0,"Exp","")))</f>
        <v/>
      </c>
      <c r="M354" s="79">
        <f>IF(OR($A354="",M$23=""),"",IF(COUNTIFS('AFA Rates'!$A$5:$A$1004,$A354,'AFA Rates'!$B$5:$B$1004,M$23,'AFA Rates'!$O$5:$O$1004,"&lt;&gt;Expired")&gt;0,"✓",IF(COUNTIFS('AFA Rates'!$A$5:$A$1004,$A354,'AFA Rates'!$B$5:$B$1004,M$23)&gt;0,"Exp","")))</f>
        <v/>
      </c>
    </row>
    <row r="355">
      <c r="A355" s="78">
        <f>IFERROR(INDEX(Firms!$A$5:$A$1004,MATCH(332,Firms!$V$5:$V$1004,0)),"")</f>
        <v/>
      </c>
      <c r="B355" s="79">
        <f>IF($A355="","",INDEX(Firms!$B$5:$B$1004,MATCH(332,Firms!$V$5:$V$1004,0)))</f>
        <v/>
      </c>
      <c r="C355" s="79">
        <f>IF($A355="","",COUNTIFS('AFA Rates'!$A$5:$A$1004,$A355,'AFA Rates'!$O$5:$O$1004,"&lt;&gt;Expired"))</f>
        <v/>
      </c>
      <c r="D355" s="79">
        <f>IF(OR($A355="",D$23=""),"",IF(COUNTIFS('AFA Rates'!$A$5:$A$1004,$A355,'AFA Rates'!$B$5:$B$1004,D$23,'AFA Rates'!$O$5:$O$1004,"&lt;&gt;Expired")&gt;0,"✓",IF(COUNTIFS('AFA Rates'!$A$5:$A$1004,$A355,'AFA Rates'!$B$5:$B$1004,D$23)&gt;0,"Exp","")))</f>
        <v/>
      </c>
      <c r="E355" s="79">
        <f>IF(OR($A355="",E$23=""),"",IF(COUNTIFS('AFA Rates'!$A$5:$A$1004,$A355,'AFA Rates'!$B$5:$B$1004,E$23,'AFA Rates'!$O$5:$O$1004,"&lt;&gt;Expired")&gt;0,"✓",IF(COUNTIFS('AFA Rates'!$A$5:$A$1004,$A355,'AFA Rates'!$B$5:$B$1004,E$23)&gt;0,"Exp","")))</f>
        <v/>
      </c>
      <c r="F355" s="79">
        <f>IF(OR($A355="",F$23=""),"",IF(COUNTIFS('AFA Rates'!$A$5:$A$1004,$A355,'AFA Rates'!$B$5:$B$1004,F$23,'AFA Rates'!$O$5:$O$1004,"&lt;&gt;Expired")&gt;0,"✓",IF(COUNTIFS('AFA Rates'!$A$5:$A$1004,$A355,'AFA Rates'!$B$5:$B$1004,F$23)&gt;0,"Exp","")))</f>
        <v/>
      </c>
      <c r="G355" s="79">
        <f>IF(OR($A355="",G$23=""),"",IF(COUNTIFS('AFA Rates'!$A$5:$A$1004,$A355,'AFA Rates'!$B$5:$B$1004,G$23,'AFA Rates'!$O$5:$O$1004,"&lt;&gt;Expired")&gt;0,"✓",IF(COUNTIFS('AFA Rates'!$A$5:$A$1004,$A355,'AFA Rates'!$B$5:$B$1004,G$23)&gt;0,"Exp","")))</f>
        <v/>
      </c>
      <c r="H355" s="79">
        <f>IF(OR($A355="",H$23=""),"",IF(COUNTIFS('AFA Rates'!$A$5:$A$1004,$A355,'AFA Rates'!$B$5:$B$1004,H$23,'AFA Rates'!$O$5:$O$1004,"&lt;&gt;Expired")&gt;0,"✓",IF(COUNTIFS('AFA Rates'!$A$5:$A$1004,$A355,'AFA Rates'!$B$5:$B$1004,H$23)&gt;0,"Exp","")))</f>
        <v/>
      </c>
      <c r="I355" s="79">
        <f>IF(OR($A355="",I$23=""),"",IF(COUNTIFS('AFA Rates'!$A$5:$A$1004,$A355,'AFA Rates'!$B$5:$B$1004,I$23,'AFA Rates'!$O$5:$O$1004,"&lt;&gt;Expired")&gt;0,"✓",IF(COUNTIFS('AFA Rates'!$A$5:$A$1004,$A355,'AFA Rates'!$B$5:$B$1004,I$23)&gt;0,"Exp","")))</f>
        <v/>
      </c>
      <c r="J355" s="79">
        <f>IF(OR($A355="",J$23=""),"",IF(COUNTIFS('AFA Rates'!$A$5:$A$1004,$A355,'AFA Rates'!$B$5:$B$1004,J$23,'AFA Rates'!$O$5:$O$1004,"&lt;&gt;Expired")&gt;0,"✓",IF(COUNTIFS('AFA Rates'!$A$5:$A$1004,$A355,'AFA Rates'!$B$5:$B$1004,J$23)&gt;0,"Exp","")))</f>
        <v/>
      </c>
      <c r="K355" s="79">
        <f>IF(OR($A355="",K$23=""),"",IF(COUNTIFS('AFA Rates'!$A$5:$A$1004,$A355,'AFA Rates'!$B$5:$B$1004,K$23,'AFA Rates'!$O$5:$O$1004,"&lt;&gt;Expired")&gt;0,"✓",IF(COUNTIFS('AFA Rates'!$A$5:$A$1004,$A355,'AFA Rates'!$B$5:$B$1004,K$23)&gt;0,"Exp","")))</f>
        <v/>
      </c>
      <c r="L355" s="79">
        <f>IF(OR($A355="",L$23=""),"",IF(COUNTIFS('AFA Rates'!$A$5:$A$1004,$A355,'AFA Rates'!$B$5:$B$1004,L$23,'AFA Rates'!$O$5:$O$1004,"&lt;&gt;Expired")&gt;0,"✓",IF(COUNTIFS('AFA Rates'!$A$5:$A$1004,$A355,'AFA Rates'!$B$5:$B$1004,L$23)&gt;0,"Exp","")))</f>
        <v/>
      </c>
      <c r="M355" s="79">
        <f>IF(OR($A355="",M$23=""),"",IF(COUNTIFS('AFA Rates'!$A$5:$A$1004,$A355,'AFA Rates'!$B$5:$B$1004,M$23,'AFA Rates'!$O$5:$O$1004,"&lt;&gt;Expired")&gt;0,"✓",IF(COUNTIFS('AFA Rates'!$A$5:$A$1004,$A355,'AFA Rates'!$B$5:$B$1004,M$23)&gt;0,"Exp","")))</f>
        <v/>
      </c>
    </row>
    <row r="356">
      <c r="A356" s="78">
        <f>IFERROR(INDEX(Firms!$A$5:$A$1004,MATCH(333,Firms!$V$5:$V$1004,0)),"")</f>
        <v/>
      </c>
      <c r="B356" s="79">
        <f>IF($A356="","",INDEX(Firms!$B$5:$B$1004,MATCH(333,Firms!$V$5:$V$1004,0)))</f>
        <v/>
      </c>
      <c r="C356" s="79">
        <f>IF($A356="","",COUNTIFS('AFA Rates'!$A$5:$A$1004,$A356,'AFA Rates'!$O$5:$O$1004,"&lt;&gt;Expired"))</f>
        <v/>
      </c>
      <c r="D356" s="79">
        <f>IF(OR($A356="",D$23=""),"",IF(COUNTIFS('AFA Rates'!$A$5:$A$1004,$A356,'AFA Rates'!$B$5:$B$1004,D$23,'AFA Rates'!$O$5:$O$1004,"&lt;&gt;Expired")&gt;0,"✓",IF(COUNTIFS('AFA Rates'!$A$5:$A$1004,$A356,'AFA Rates'!$B$5:$B$1004,D$23)&gt;0,"Exp","")))</f>
        <v/>
      </c>
      <c r="E356" s="79">
        <f>IF(OR($A356="",E$23=""),"",IF(COUNTIFS('AFA Rates'!$A$5:$A$1004,$A356,'AFA Rates'!$B$5:$B$1004,E$23,'AFA Rates'!$O$5:$O$1004,"&lt;&gt;Expired")&gt;0,"✓",IF(COUNTIFS('AFA Rates'!$A$5:$A$1004,$A356,'AFA Rates'!$B$5:$B$1004,E$23)&gt;0,"Exp","")))</f>
        <v/>
      </c>
      <c r="F356" s="79">
        <f>IF(OR($A356="",F$23=""),"",IF(COUNTIFS('AFA Rates'!$A$5:$A$1004,$A356,'AFA Rates'!$B$5:$B$1004,F$23,'AFA Rates'!$O$5:$O$1004,"&lt;&gt;Expired")&gt;0,"✓",IF(COUNTIFS('AFA Rates'!$A$5:$A$1004,$A356,'AFA Rates'!$B$5:$B$1004,F$23)&gt;0,"Exp","")))</f>
        <v/>
      </c>
      <c r="G356" s="79">
        <f>IF(OR($A356="",G$23=""),"",IF(COUNTIFS('AFA Rates'!$A$5:$A$1004,$A356,'AFA Rates'!$B$5:$B$1004,G$23,'AFA Rates'!$O$5:$O$1004,"&lt;&gt;Expired")&gt;0,"✓",IF(COUNTIFS('AFA Rates'!$A$5:$A$1004,$A356,'AFA Rates'!$B$5:$B$1004,G$23)&gt;0,"Exp","")))</f>
        <v/>
      </c>
      <c r="H356" s="79">
        <f>IF(OR($A356="",H$23=""),"",IF(COUNTIFS('AFA Rates'!$A$5:$A$1004,$A356,'AFA Rates'!$B$5:$B$1004,H$23,'AFA Rates'!$O$5:$O$1004,"&lt;&gt;Expired")&gt;0,"✓",IF(COUNTIFS('AFA Rates'!$A$5:$A$1004,$A356,'AFA Rates'!$B$5:$B$1004,H$23)&gt;0,"Exp","")))</f>
        <v/>
      </c>
      <c r="I356" s="79">
        <f>IF(OR($A356="",I$23=""),"",IF(COUNTIFS('AFA Rates'!$A$5:$A$1004,$A356,'AFA Rates'!$B$5:$B$1004,I$23,'AFA Rates'!$O$5:$O$1004,"&lt;&gt;Expired")&gt;0,"✓",IF(COUNTIFS('AFA Rates'!$A$5:$A$1004,$A356,'AFA Rates'!$B$5:$B$1004,I$23)&gt;0,"Exp","")))</f>
        <v/>
      </c>
      <c r="J356" s="79">
        <f>IF(OR($A356="",J$23=""),"",IF(COUNTIFS('AFA Rates'!$A$5:$A$1004,$A356,'AFA Rates'!$B$5:$B$1004,J$23,'AFA Rates'!$O$5:$O$1004,"&lt;&gt;Expired")&gt;0,"✓",IF(COUNTIFS('AFA Rates'!$A$5:$A$1004,$A356,'AFA Rates'!$B$5:$B$1004,J$23)&gt;0,"Exp","")))</f>
        <v/>
      </c>
      <c r="K356" s="79">
        <f>IF(OR($A356="",K$23=""),"",IF(COUNTIFS('AFA Rates'!$A$5:$A$1004,$A356,'AFA Rates'!$B$5:$B$1004,K$23,'AFA Rates'!$O$5:$O$1004,"&lt;&gt;Expired")&gt;0,"✓",IF(COUNTIFS('AFA Rates'!$A$5:$A$1004,$A356,'AFA Rates'!$B$5:$B$1004,K$23)&gt;0,"Exp","")))</f>
        <v/>
      </c>
      <c r="L356" s="79">
        <f>IF(OR($A356="",L$23=""),"",IF(COUNTIFS('AFA Rates'!$A$5:$A$1004,$A356,'AFA Rates'!$B$5:$B$1004,L$23,'AFA Rates'!$O$5:$O$1004,"&lt;&gt;Expired")&gt;0,"✓",IF(COUNTIFS('AFA Rates'!$A$5:$A$1004,$A356,'AFA Rates'!$B$5:$B$1004,L$23)&gt;0,"Exp","")))</f>
        <v/>
      </c>
      <c r="M356" s="79">
        <f>IF(OR($A356="",M$23=""),"",IF(COUNTIFS('AFA Rates'!$A$5:$A$1004,$A356,'AFA Rates'!$B$5:$B$1004,M$23,'AFA Rates'!$O$5:$O$1004,"&lt;&gt;Expired")&gt;0,"✓",IF(COUNTIFS('AFA Rates'!$A$5:$A$1004,$A356,'AFA Rates'!$B$5:$B$1004,M$23)&gt;0,"Exp","")))</f>
        <v/>
      </c>
    </row>
    <row r="357">
      <c r="A357" s="78">
        <f>IFERROR(INDEX(Firms!$A$5:$A$1004,MATCH(334,Firms!$V$5:$V$1004,0)),"")</f>
        <v/>
      </c>
      <c r="B357" s="79">
        <f>IF($A357="","",INDEX(Firms!$B$5:$B$1004,MATCH(334,Firms!$V$5:$V$1004,0)))</f>
        <v/>
      </c>
      <c r="C357" s="79">
        <f>IF($A357="","",COUNTIFS('AFA Rates'!$A$5:$A$1004,$A357,'AFA Rates'!$O$5:$O$1004,"&lt;&gt;Expired"))</f>
        <v/>
      </c>
      <c r="D357" s="79">
        <f>IF(OR($A357="",D$23=""),"",IF(COUNTIFS('AFA Rates'!$A$5:$A$1004,$A357,'AFA Rates'!$B$5:$B$1004,D$23,'AFA Rates'!$O$5:$O$1004,"&lt;&gt;Expired")&gt;0,"✓",IF(COUNTIFS('AFA Rates'!$A$5:$A$1004,$A357,'AFA Rates'!$B$5:$B$1004,D$23)&gt;0,"Exp","")))</f>
        <v/>
      </c>
      <c r="E357" s="79">
        <f>IF(OR($A357="",E$23=""),"",IF(COUNTIFS('AFA Rates'!$A$5:$A$1004,$A357,'AFA Rates'!$B$5:$B$1004,E$23,'AFA Rates'!$O$5:$O$1004,"&lt;&gt;Expired")&gt;0,"✓",IF(COUNTIFS('AFA Rates'!$A$5:$A$1004,$A357,'AFA Rates'!$B$5:$B$1004,E$23)&gt;0,"Exp","")))</f>
        <v/>
      </c>
      <c r="F357" s="79">
        <f>IF(OR($A357="",F$23=""),"",IF(COUNTIFS('AFA Rates'!$A$5:$A$1004,$A357,'AFA Rates'!$B$5:$B$1004,F$23,'AFA Rates'!$O$5:$O$1004,"&lt;&gt;Expired")&gt;0,"✓",IF(COUNTIFS('AFA Rates'!$A$5:$A$1004,$A357,'AFA Rates'!$B$5:$B$1004,F$23)&gt;0,"Exp","")))</f>
        <v/>
      </c>
      <c r="G357" s="79">
        <f>IF(OR($A357="",G$23=""),"",IF(COUNTIFS('AFA Rates'!$A$5:$A$1004,$A357,'AFA Rates'!$B$5:$B$1004,G$23,'AFA Rates'!$O$5:$O$1004,"&lt;&gt;Expired")&gt;0,"✓",IF(COUNTIFS('AFA Rates'!$A$5:$A$1004,$A357,'AFA Rates'!$B$5:$B$1004,G$23)&gt;0,"Exp","")))</f>
        <v/>
      </c>
      <c r="H357" s="79">
        <f>IF(OR($A357="",H$23=""),"",IF(COUNTIFS('AFA Rates'!$A$5:$A$1004,$A357,'AFA Rates'!$B$5:$B$1004,H$23,'AFA Rates'!$O$5:$O$1004,"&lt;&gt;Expired")&gt;0,"✓",IF(COUNTIFS('AFA Rates'!$A$5:$A$1004,$A357,'AFA Rates'!$B$5:$B$1004,H$23)&gt;0,"Exp","")))</f>
        <v/>
      </c>
      <c r="I357" s="79">
        <f>IF(OR($A357="",I$23=""),"",IF(COUNTIFS('AFA Rates'!$A$5:$A$1004,$A357,'AFA Rates'!$B$5:$B$1004,I$23,'AFA Rates'!$O$5:$O$1004,"&lt;&gt;Expired")&gt;0,"✓",IF(COUNTIFS('AFA Rates'!$A$5:$A$1004,$A357,'AFA Rates'!$B$5:$B$1004,I$23)&gt;0,"Exp","")))</f>
        <v/>
      </c>
      <c r="J357" s="79">
        <f>IF(OR($A357="",J$23=""),"",IF(COUNTIFS('AFA Rates'!$A$5:$A$1004,$A357,'AFA Rates'!$B$5:$B$1004,J$23,'AFA Rates'!$O$5:$O$1004,"&lt;&gt;Expired")&gt;0,"✓",IF(COUNTIFS('AFA Rates'!$A$5:$A$1004,$A357,'AFA Rates'!$B$5:$B$1004,J$23)&gt;0,"Exp","")))</f>
        <v/>
      </c>
      <c r="K357" s="79">
        <f>IF(OR($A357="",K$23=""),"",IF(COUNTIFS('AFA Rates'!$A$5:$A$1004,$A357,'AFA Rates'!$B$5:$B$1004,K$23,'AFA Rates'!$O$5:$O$1004,"&lt;&gt;Expired")&gt;0,"✓",IF(COUNTIFS('AFA Rates'!$A$5:$A$1004,$A357,'AFA Rates'!$B$5:$B$1004,K$23)&gt;0,"Exp","")))</f>
        <v/>
      </c>
      <c r="L357" s="79">
        <f>IF(OR($A357="",L$23=""),"",IF(COUNTIFS('AFA Rates'!$A$5:$A$1004,$A357,'AFA Rates'!$B$5:$B$1004,L$23,'AFA Rates'!$O$5:$O$1004,"&lt;&gt;Expired")&gt;0,"✓",IF(COUNTIFS('AFA Rates'!$A$5:$A$1004,$A357,'AFA Rates'!$B$5:$B$1004,L$23)&gt;0,"Exp","")))</f>
        <v/>
      </c>
      <c r="M357" s="79">
        <f>IF(OR($A357="",M$23=""),"",IF(COUNTIFS('AFA Rates'!$A$5:$A$1004,$A357,'AFA Rates'!$B$5:$B$1004,M$23,'AFA Rates'!$O$5:$O$1004,"&lt;&gt;Expired")&gt;0,"✓",IF(COUNTIFS('AFA Rates'!$A$5:$A$1004,$A357,'AFA Rates'!$B$5:$B$1004,M$23)&gt;0,"Exp","")))</f>
        <v/>
      </c>
    </row>
    <row r="358">
      <c r="A358" s="78">
        <f>IFERROR(INDEX(Firms!$A$5:$A$1004,MATCH(335,Firms!$V$5:$V$1004,0)),"")</f>
        <v/>
      </c>
      <c r="B358" s="79">
        <f>IF($A358="","",INDEX(Firms!$B$5:$B$1004,MATCH(335,Firms!$V$5:$V$1004,0)))</f>
        <v/>
      </c>
      <c r="C358" s="79">
        <f>IF($A358="","",COUNTIFS('AFA Rates'!$A$5:$A$1004,$A358,'AFA Rates'!$O$5:$O$1004,"&lt;&gt;Expired"))</f>
        <v/>
      </c>
      <c r="D358" s="79">
        <f>IF(OR($A358="",D$23=""),"",IF(COUNTIFS('AFA Rates'!$A$5:$A$1004,$A358,'AFA Rates'!$B$5:$B$1004,D$23,'AFA Rates'!$O$5:$O$1004,"&lt;&gt;Expired")&gt;0,"✓",IF(COUNTIFS('AFA Rates'!$A$5:$A$1004,$A358,'AFA Rates'!$B$5:$B$1004,D$23)&gt;0,"Exp","")))</f>
        <v/>
      </c>
      <c r="E358" s="79">
        <f>IF(OR($A358="",E$23=""),"",IF(COUNTIFS('AFA Rates'!$A$5:$A$1004,$A358,'AFA Rates'!$B$5:$B$1004,E$23,'AFA Rates'!$O$5:$O$1004,"&lt;&gt;Expired")&gt;0,"✓",IF(COUNTIFS('AFA Rates'!$A$5:$A$1004,$A358,'AFA Rates'!$B$5:$B$1004,E$23)&gt;0,"Exp","")))</f>
        <v/>
      </c>
      <c r="F358" s="79">
        <f>IF(OR($A358="",F$23=""),"",IF(COUNTIFS('AFA Rates'!$A$5:$A$1004,$A358,'AFA Rates'!$B$5:$B$1004,F$23,'AFA Rates'!$O$5:$O$1004,"&lt;&gt;Expired")&gt;0,"✓",IF(COUNTIFS('AFA Rates'!$A$5:$A$1004,$A358,'AFA Rates'!$B$5:$B$1004,F$23)&gt;0,"Exp","")))</f>
        <v/>
      </c>
      <c r="G358" s="79">
        <f>IF(OR($A358="",G$23=""),"",IF(COUNTIFS('AFA Rates'!$A$5:$A$1004,$A358,'AFA Rates'!$B$5:$B$1004,G$23,'AFA Rates'!$O$5:$O$1004,"&lt;&gt;Expired")&gt;0,"✓",IF(COUNTIFS('AFA Rates'!$A$5:$A$1004,$A358,'AFA Rates'!$B$5:$B$1004,G$23)&gt;0,"Exp","")))</f>
        <v/>
      </c>
      <c r="H358" s="79">
        <f>IF(OR($A358="",H$23=""),"",IF(COUNTIFS('AFA Rates'!$A$5:$A$1004,$A358,'AFA Rates'!$B$5:$B$1004,H$23,'AFA Rates'!$O$5:$O$1004,"&lt;&gt;Expired")&gt;0,"✓",IF(COUNTIFS('AFA Rates'!$A$5:$A$1004,$A358,'AFA Rates'!$B$5:$B$1004,H$23)&gt;0,"Exp","")))</f>
        <v/>
      </c>
      <c r="I358" s="79">
        <f>IF(OR($A358="",I$23=""),"",IF(COUNTIFS('AFA Rates'!$A$5:$A$1004,$A358,'AFA Rates'!$B$5:$B$1004,I$23,'AFA Rates'!$O$5:$O$1004,"&lt;&gt;Expired")&gt;0,"✓",IF(COUNTIFS('AFA Rates'!$A$5:$A$1004,$A358,'AFA Rates'!$B$5:$B$1004,I$23)&gt;0,"Exp","")))</f>
        <v/>
      </c>
      <c r="J358" s="79">
        <f>IF(OR($A358="",J$23=""),"",IF(COUNTIFS('AFA Rates'!$A$5:$A$1004,$A358,'AFA Rates'!$B$5:$B$1004,J$23,'AFA Rates'!$O$5:$O$1004,"&lt;&gt;Expired")&gt;0,"✓",IF(COUNTIFS('AFA Rates'!$A$5:$A$1004,$A358,'AFA Rates'!$B$5:$B$1004,J$23)&gt;0,"Exp","")))</f>
        <v/>
      </c>
      <c r="K358" s="79">
        <f>IF(OR($A358="",K$23=""),"",IF(COUNTIFS('AFA Rates'!$A$5:$A$1004,$A358,'AFA Rates'!$B$5:$B$1004,K$23,'AFA Rates'!$O$5:$O$1004,"&lt;&gt;Expired")&gt;0,"✓",IF(COUNTIFS('AFA Rates'!$A$5:$A$1004,$A358,'AFA Rates'!$B$5:$B$1004,K$23)&gt;0,"Exp","")))</f>
        <v/>
      </c>
      <c r="L358" s="79">
        <f>IF(OR($A358="",L$23=""),"",IF(COUNTIFS('AFA Rates'!$A$5:$A$1004,$A358,'AFA Rates'!$B$5:$B$1004,L$23,'AFA Rates'!$O$5:$O$1004,"&lt;&gt;Expired")&gt;0,"✓",IF(COUNTIFS('AFA Rates'!$A$5:$A$1004,$A358,'AFA Rates'!$B$5:$B$1004,L$23)&gt;0,"Exp","")))</f>
        <v/>
      </c>
      <c r="M358" s="79">
        <f>IF(OR($A358="",M$23=""),"",IF(COUNTIFS('AFA Rates'!$A$5:$A$1004,$A358,'AFA Rates'!$B$5:$B$1004,M$23,'AFA Rates'!$O$5:$O$1004,"&lt;&gt;Expired")&gt;0,"✓",IF(COUNTIFS('AFA Rates'!$A$5:$A$1004,$A358,'AFA Rates'!$B$5:$B$1004,M$23)&gt;0,"Exp","")))</f>
        <v/>
      </c>
    </row>
    <row r="359">
      <c r="A359" s="78">
        <f>IFERROR(INDEX(Firms!$A$5:$A$1004,MATCH(336,Firms!$V$5:$V$1004,0)),"")</f>
        <v/>
      </c>
      <c r="B359" s="79">
        <f>IF($A359="","",INDEX(Firms!$B$5:$B$1004,MATCH(336,Firms!$V$5:$V$1004,0)))</f>
        <v/>
      </c>
      <c r="C359" s="79">
        <f>IF($A359="","",COUNTIFS('AFA Rates'!$A$5:$A$1004,$A359,'AFA Rates'!$O$5:$O$1004,"&lt;&gt;Expired"))</f>
        <v/>
      </c>
      <c r="D359" s="79">
        <f>IF(OR($A359="",D$23=""),"",IF(COUNTIFS('AFA Rates'!$A$5:$A$1004,$A359,'AFA Rates'!$B$5:$B$1004,D$23,'AFA Rates'!$O$5:$O$1004,"&lt;&gt;Expired")&gt;0,"✓",IF(COUNTIFS('AFA Rates'!$A$5:$A$1004,$A359,'AFA Rates'!$B$5:$B$1004,D$23)&gt;0,"Exp","")))</f>
        <v/>
      </c>
      <c r="E359" s="79">
        <f>IF(OR($A359="",E$23=""),"",IF(COUNTIFS('AFA Rates'!$A$5:$A$1004,$A359,'AFA Rates'!$B$5:$B$1004,E$23,'AFA Rates'!$O$5:$O$1004,"&lt;&gt;Expired")&gt;0,"✓",IF(COUNTIFS('AFA Rates'!$A$5:$A$1004,$A359,'AFA Rates'!$B$5:$B$1004,E$23)&gt;0,"Exp","")))</f>
        <v/>
      </c>
      <c r="F359" s="79">
        <f>IF(OR($A359="",F$23=""),"",IF(COUNTIFS('AFA Rates'!$A$5:$A$1004,$A359,'AFA Rates'!$B$5:$B$1004,F$23,'AFA Rates'!$O$5:$O$1004,"&lt;&gt;Expired")&gt;0,"✓",IF(COUNTIFS('AFA Rates'!$A$5:$A$1004,$A359,'AFA Rates'!$B$5:$B$1004,F$23)&gt;0,"Exp","")))</f>
        <v/>
      </c>
      <c r="G359" s="79">
        <f>IF(OR($A359="",G$23=""),"",IF(COUNTIFS('AFA Rates'!$A$5:$A$1004,$A359,'AFA Rates'!$B$5:$B$1004,G$23,'AFA Rates'!$O$5:$O$1004,"&lt;&gt;Expired")&gt;0,"✓",IF(COUNTIFS('AFA Rates'!$A$5:$A$1004,$A359,'AFA Rates'!$B$5:$B$1004,G$23)&gt;0,"Exp","")))</f>
        <v/>
      </c>
      <c r="H359" s="79">
        <f>IF(OR($A359="",H$23=""),"",IF(COUNTIFS('AFA Rates'!$A$5:$A$1004,$A359,'AFA Rates'!$B$5:$B$1004,H$23,'AFA Rates'!$O$5:$O$1004,"&lt;&gt;Expired")&gt;0,"✓",IF(COUNTIFS('AFA Rates'!$A$5:$A$1004,$A359,'AFA Rates'!$B$5:$B$1004,H$23)&gt;0,"Exp","")))</f>
        <v/>
      </c>
      <c r="I359" s="79">
        <f>IF(OR($A359="",I$23=""),"",IF(COUNTIFS('AFA Rates'!$A$5:$A$1004,$A359,'AFA Rates'!$B$5:$B$1004,I$23,'AFA Rates'!$O$5:$O$1004,"&lt;&gt;Expired")&gt;0,"✓",IF(COUNTIFS('AFA Rates'!$A$5:$A$1004,$A359,'AFA Rates'!$B$5:$B$1004,I$23)&gt;0,"Exp","")))</f>
        <v/>
      </c>
      <c r="J359" s="79">
        <f>IF(OR($A359="",J$23=""),"",IF(COUNTIFS('AFA Rates'!$A$5:$A$1004,$A359,'AFA Rates'!$B$5:$B$1004,J$23,'AFA Rates'!$O$5:$O$1004,"&lt;&gt;Expired")&gt;0,"✓",IF(COUNTIFS('AFA Rates'!$A$5:$A$1004,$A359,'AFA Rates'!$B$5:$B$1004,J$23)&gt;0,"Exp","")))</f>
        <v/>
      </c>
      <c r="K359" s="79">
        <f>IF(OR($A359="",K$23=""),"",IF(COUNTIFS('AFA Rates'!$A$5:$A$1004,$A359,'AFA Rates'!$B$5:$B$1004,K$23,'AFA Rates'!$O$5:$O$1004,"&lt;&gt;Expired")&gt;0,"✓",IF(COUNTIFS('AFA Rates'!$A$5:$A$1004,$A359,'AFA Rates'!$B$5:$B$1004,K$23)&gt;0,"Exp","")))</f>
        <v/>
      </c>
      <c r="L359" s="79">
        <f>IF(OR($A359="",L$23=""),"",IF(COUNTIFS('AFA Rates'!$A$5:$A$1004,$A359,'AFA Rates'!$B$5:$B$1004,L$23,'AFA Rates'!$O$5:$O$1004,"&lt;&gt;Expired")&gt;0,"✓",IF(COUNTIFS('AFA Rates'!$A$5:$A$1004,$A359,'AFA Rates'!$B$5:$B$1004,L$23)&gt;0,"Exp","")))</f>
        <v/>
      </c>
      <c r="M359" s="79">
        <f>IF(OR($A359="",M$23=""),"",IF(COUNTIFS('AFA Rates'!$A$5:$A$1004,$A359,'AFA Rates'!$B$5:$B$1004,M$23,'AFA Rates'!$O$5:$O$1004,"&lt;&gt;Expired")&gt;0,"✓",IF(COUNTIFS('AFA Rates'!$A$5:$A$1004,$A359,'AFA Rates'!$B$5:$B$1004,M$23)&gt;0,"Exp","")))</f>
        <v/>
      </c>
    </row>
    <row r="360">
      <c r="A360" s="78">
        <f>IFERROR(INDEX(Firms!$A$5:$A$1004,MATCH(337,Firms!$V$5:$V$1004,0)),"")</f>
        <v/>
      </c>
      <c r="B360" s="79">
        <f>IF($A360="","",INDEX(Firms!$B$5:$B$1004,MATCH(337,Firms!$V$5:$V$1004,0)))</f>
        <v/>
      </c>
      <c r="C360" s="79">
        <f>IF($A360="","",COUNTIFS('AFA Rates'!$A$5:$A$1004,$A360,'AFA Rates'!$O$5:$O$1004,"&lt;&gt;Expired"))</f>
        <v/>
      </c>
      <c r="D360" s="79">
        <f>IF(OR($A360="",D$23=""),"",IF(COUNTIFS('AFA Rates'!$A$5:$A$1004,$A360,'AFA Rates'!$B$5:$B$1004,D$23,'AFA Rates'!$O$5:$O$1004,"&lt;&gt;Expired")&gt;0,"✓",IF(COUNTIFS('AFA Rates'!$A$5:$A$1004,$A360,'AFA Rates'!$B$5:$B$1004,D$23)&gt;0,"Exp","")))</f>
        <v/>
      </c>
      <c r="E360" s="79">
        <f>IF(OR($A360="",E$23=""),"",IF(COUNTIFS('AFA Rates'!$A$5:$A$1004,$A360,'AFA Rates'!$B$5:$B$1004,E$23,'AFA Rates'!$O$5:$O$1004,"&lt;&gt;Expired")&gt;0,"✓",IF(COUNTIFS('AFA Rates'!$A$5:$A$1004,$A360,'AFA Rates'!$B$5:$B$1004,E$23)&gt;0,"Exp","")))</f>
        <v/>
      </c>
      <c r="F360" s="79">
        <f>IF(OR($A360="",F$23=""),"",IF(COUNTIFS('AFA Rates'!$A$5:$A$1004,$A360,'AFA Rates'!$B$5:$B$1004,F$23,'AFA Rates'!$O$5:$O$1004,"&lt;&gt;Expired")&gt;0,"✓",IF(COUNTIFS('AFA Rates'!$A$5:$A$1004,$A360,'AFA Rates'!$B$5:$B$1004,F$23)&gt;0,"Exp","")))</f>
        <v/>
      </c>
      <c r="G360" s="79">
        <f>IF(OR($A360="",G$23=""),"",IF(COUNTIFS('AFA Rates'!$A$5:$A$1004,$A360,'AFA Rates'!$B$5:$B$1004,G$23,'AFA Rates'!$O$5:$O$1004,"&lt;&gt;Expired")&gt;0,"✓",IF(COUNTIFS('AFA Rates'!$A$5:$A$1004,$A360,'AFA Rates'!$B$5:$B$1004,G$23)&gt;0,"Exp","")))</f>
        <v/>
      </c>
      <c r="H360" s="79">
        <f>IF(OR($A360="",H$23=""),"",IF(COUNTIFS('AFA Rates'!$A$5:$A$1004,$A360,'AFA Rates'!$B$5:$B$1004,H$23,'AFA Rates'!$O$5:$O$1004,"&lt;&gt;Expired")&gt;0,"✓",IF(COUNTIFS('AFA Rates'!$A$5:$A$1004,$A360,'AFA Rates'!$B$5:$B$1004,H$23)&gt;0,"Exp","")))</f>
        <v/>
      </c>
      <c r="I360" s="79">
        <f>IF(OR($A360="",I$23=""),"",IF(COUNTIFS('AFA Rates'!$A$5:$A$1004,$A360,'AFA Rates'!$B$5:$B$1004,I$23,'AFA Rates'!$O$5:$O$1004,"&lt;&gt;Expired")&gt;0,"✓",IF(COUNTIFS('AFA Rates'!$A$5:$A$1004,$A360,'AFA Rates'!$B$5:$B$1004,I$23)&gt;0,"Exp","")))</f>
        <v/>
      </c>
      <c r="J360" s="79">
        <f>IF(OR($A360="",J$23=""),"",IF(COUNTIFS('AFA Rates'!$A$5:$A$1004,$A360,'AFA Rates'!$B$5:$B$1004,J$23,'AFA Rates'!$O$5:$O$1004,"&lt;&gt;Expired")&gt;0,"✓",IF(COUNTIFS('AFA Rates'!$A$5:$A$1004,$A360,'AFA Rates'!$B$5:$B$1004,J$23)&gt;0,"Exp","")))</f>
        <v/>
      </c>
      <c r="K360" s="79">
        <f>IF(OR($A360="",K$23=""),"",IF(COUNTIFS('AFA Rates'!$A$5:$A$1004,$A360,'AFA Rates'!$B$5:$B$1004,K$23,'AFA Rates'!$O$5:$O$1004,"&lt;&gt;Expired")&gt;0,"✓",IF(COUNTIFS('AFA Rates'!$A$5:$A$1004,$A360,'AFA Rates'!$B$5:$B$1004,K$23)&gt;0,"Exp","")))</f>
        <v/>
      </c>
      <c r="L360" s="79">
        <f>IF(OR($A360="",L$23=""),"",IF(COUNTIFS('AFA Rates'!$A$5:$A$1004,$A360,'AFA Rates'!$B$5:$B$1004,L$23,'AFA Rates'!$O$5:$O$1004,"&lt;&gt;Expired")&gt;0,"✓",IF(COUNTIFS('AFA Rates'!$A$5:$A$1004,$A360,'AFA Rates'!$B$5:$B$1004,L$23)&gt;0,"Exp","")))</f>
        <v/>
      </c>
      <c r="M360" s="79">
        <f>IF(OR($A360="",M$23=""),"",IF(COUNTIFS('AFA Rates'!$A$5:$A$1004,$A360,'AFA Rates'!$B$5:$B$1004,M$23,'AFA Rates'!$O$5:$O$1004,"&lt;&gt;Expired")&gt;0,"✓",IF(COUNTIFS('AFA Rates'!$A$5:$A$1004,$A360,'AFA Rates'!$B$5:$B$1004,M$23)&gt;0,"Exp","")))</f>
        <v/>
      </c>
    </row>
    <row r="361">
      <c r="A361" s="78">
        <f>IFERROR(INDEX(Firms!$A$5:$A$1004,MATCH(338,Firms!$V$5:$V$1004,0)),"")</f>
        <v/>
      </c>
      <c r="B361" s="79">
        <f>IF($A361="","",INDEX(Firms!$B$5:$B$1004,MATCH(338,Firms!$V$5:$V$1004,0)))</f>
        <v/>
      </c>
      <c r="C361" s="79">
        <f>IF($A361="","",COUNTIFS('AFA Rates'!$A$5:$A$1004,$A361,'AFA Rates'!$O$5:$O$1004,"&lt;&gt;Expired"))</f>
        <v/>
      </c>
      <c r="D361" s="79">
        <f>IF(OR($A361="",D$23=""),"",IF(COUNTIFS('AFA Rates'!$A$5:$A$1004,$A361,'AFA Rates'!$B$5:$B$1004,D$23,'AFA Rates'!$O$5:$O$1004,"&lt;&gt;Expired")&gt;0,"✓",IF(COUNTIFS('AFA Rates'!$A$5:$A$1004,$A361,'AFA Rates'!$B$5:$B$1004,D$23)&gt;0,"Exp","")))</f>
        <v/>
      </c>
      <c r="E361" s="79">
        <f>IF(OR($A361="",E$23=""),"",IF(COUNTIFS('AFA Rates'!$A$5:$A$1004,$A361,'AFA Rates'!$B$5:$B$1004,E$23,'AFA Rates'!$O$5:$O$1004,"&lt;&gt;Expired")&gt;0,"✓",IF(COUNTIFS('AFA Rates'!$A$5:$A$1004,$A361,'AFA Rates'!$B$5:$B$1004,E$23)&gt;0,"Exp","")))</f>
        <v/>
      </c>
      <c r="F361" s="79">
        <f>IF(OR($A361="",F$23=""),"",IF(COUNTIFS('AFA Rates'!$A$5:$A$1004,$A361,'AFA Rates'!$B$5:$B$1004,F$23,'AFA Rates'!$O$5:$O$1004,"&lt;&gt;Expired")&gt;0,"✓",IF(COUNTIFS('AFA Rates'!$A$5:$A$1004,$A361,'AFA Rates'!$B$5:$B$1004,F$23)&gt;0,"Exp","")))</f>
        <v/>
      </c>
      <c r="G361" s="79">
        <f>IF(OR($A361="",G$23=""),"",IF(COUNTIFS('AFA Rates'!$A$5:$A$1004,$A361,'AFA Rates'!$B$5:$B$1004,G$23,'AFA Rates'!$O$5:$O$1004,"&lt;&gt;Expired")&gt;0,"✓",IF(COUNTIFS('AFA Rates'!$A$5:$A$1004,$A361,'AFA Rates'!$B$5:$B$1004,G$23)&gt;0,"Exp","")))</f>
        <v/>
      </c>
      <c r="H361" s="79">
        <f>IF(OR($A361="",H$23=""),"",IF(COUNTIFS('AFA Rates'!$A$5:$A$1004,$A361,'AFA Rates'!$B$5:$B$1004,H$23,'AFA Rates'!$O$5:$O$1004,"&lt;&gt;Expired")&gt;0,"✓",IF(COUNTIFS('AFA Rates'!$A$5:$A$1004,$A361,'AFA Rates'!$B$5:$B$1004,H$23)&gt;0,"Exp","")))</f>
        <v/>
      </c>
      <c r="I361" s="79">
        <f>IF(OR($A361="",I$23=""),"",IF(COUNTIFS('AFA Rates'!$A$5:$A$1004,$A361,'AFA Rates'!$B$5:$B$1004,I$23,'AFA Rates'!$O$5:$O$1004,"&lt;&gt;Expired")&gt;0,"✓",IF(COUNTIFS('AFA Rates'!$A$5:$A$1004,$A361,'AFA Rates'!$B$5:$B$1004,I$23)&gt;0,"Exp","")))</f>
        <v/>
      </c>
      <c r="J361" s="79">
        <f>IF(OR($A361="",J$23=""),"",IF(COUNTIFS('AFA Rates'!$A$5:$A$1004,$A361,'AFA Rates'!$B$5:$B$1004,J$23,'AFA Rates'!$O$5:$O$1004,"&lt;&gt;Expired")&gt;0,"✓",IF(COUNTIFS('AFA Rates'!$A$5:$A$1004,$A361,'AFA Rates'!$B$5:$B$1004,J$23)&gt;0,"Exp","")))</f>
        <v/>
      </c>
      <c r="K361" s="79">
        <f>IF(OR($A361="",K$23=""),"",IF(COUNTIFS('AFA Rates'!$A$5:$A$1004,$A361,'AFA Rates'!$B$5:$B$1004,K$23,'AFA Rates'!$O$5:$O$1004,"&lt;&gt;Expired")&gt;0,"✓",IF(COUNTIFS('AFA Rates'!$A$5:$A$1004,$A361,'AFA Rates'!$B$5:$B$1004,K$23)&gt;0,"Exp","")))</f>
        <v/>
      </c>
      <c r="L361" s="79">
        <f>IF(OR($A361="",L$23=""),"",IF(COUNTIFS('AFA Rates'!$A$5:$A$1004,$A361,'AFA Rates'!$B$5:$B$1004,L$23,'AFA Rates'!$O$5:$O$1004,"&lt;&gt;Expired")&gt;0,"✓",IF(COUNTIFS('AFA Rates'!$A$5:$A$1004,$A361,'AFA Rates'!$B$5:$B$1004,L$23)&gt;0,"Exp","")))</f>
        <v/>
      </c>
      <c r="M361" s="79">
        <f>IF(OR($A361="",M$23=""),"",IF(COUNTIFS('AFA Rates'!$A$5:$A$1004,$A361,'AFA Rates'!$B$5:$B$1004,M$23,'AFA Rates'!$O$5:$O$1004,"&lt;&gt;Expired")&gt;0,"✓",IF(COUNTIFS('AFA Rates'!$A$5:$A$1004,$A361,'AFA Rates'!$B$5:$B$1004,M$23)&gt;0,"Exp","")))</f>
        <v/>
      </c>
    </row>
    <row r="362">
      <c r="A362" s="78">
        <f>IFERROR(INDEX(Firms!$A$5:$A$1004,MATCH(339,Firms!$V$5:$V$1004,0)),"")</f>
        <v/>
      </c>
      <c r="B362" s="79">
        <f>IF($A362="","",INDEX(Firms!$B$5:$B$1004,MATCH(339,Firms!$V$5:$V$1004,0)))</f>
        <v/>
      </c>
      <c r="C362" s="79">
        <f>IF($A362="","",COUNTIFS('AFA Rates'!$A$5:$A$1004,$A362,'AFA Rates'!$O$5:$O$1004,"&lt;&gt;Expired"))</f>
        <v/>
      </c>
      <c r="D362" s="79">
        <f>IF(OR($A362="",D$23=""),"",IF(COUNTIFS('AFA Rates'!$A$5:$A$1004,$A362,'AFA Rates'!$B$5:$B$1004,D$23,'AFA Rates'!$O$5:$O$1004,"&lt;&gt;Expired")&gt;0,"✓",IF(COUNTIFS('AFA Rates'!$A$5:$A$1004,$A362,'AFA Rates'!$B$5:$B$1004,D$23)&gt;0,"Exp","")))</f>
        <v/>
      </c>
      <c r="E362" s="79">
        <f>IF(OR($A362="",E$23=""),"",IF(COUNTIFS('AFA Rates'!$A$5:$A$1004,$A362,'AFA Rates'!$B$5:$B$1004,E$23,'AFA Rates'!$O$5:$O$1004,"&lt;&gt;Expired")&gt;0,"✓",IF(COUNTIFS('AFA Rates'!$A$5:$A$1004,$A362,'AFA Rates'!$B$5:$B$1004,E$23)&gt;0,"Exp","")))</f>
        <v/>
      </c>
      <c r="F362" s="79">
        <f>IF(OR($A362="",F$23=""),"",IF(COUNTIFS('AFA Rates'!$A$5:$A$1004,$A362,'AFA Rates'!$B$5:$B$1004,F$23,'AFA Rates'!$O$5:$O$1004,"&lt;&gt;Expired")&gt;0,"✓",IF(COUNTIFS('AFA Rates'!$A$5:$A$1004,$A362,'AFA Rates'!$B$5:$B$1004,F$23)&gt;0,"Exp","")))</f>
        <v/>
      </c>
      <c r="G362" s="79">
        <f>IF(OR($A362="",G$23=""),"",IF(COUNTIFS('AFA Rates'!$A$5:$A$1004,$A362,'AFA Rates'!$B$5:$B$1004,G$23,'AFA Rates'!$O$5:$O$1004,"&lt;&gt;Expired")&gt;0,"✓",IF(COUNTIFS('AFA Rates'!$A$5:$A$1004,$A362,'AFA Rates'!$B$5:$B$1004,G$23)&gt;0,"Exp","")))</f>
        <v/>
      </c>
      <c r="H362" s="79">
        <f>IF(OR($A362="",H$23=""),"",IF(COUNTIFS('AFA Rates'!$A$5:$A$1004,$A362,'AFA Rates'!$B$5:$B$1004,H$23,'AFA Rates'!$O$5:$O$1004,"&lt;&gt;Expired")&gt;0,"✓",IF(COUNTIFS('AFA Rates'!$A$5:$A$1004,$A362,'AFA Rates'!$B$5:$B$1004,H$23)&gt;0,"Exp","")))</f>
        <v/>
      </c>
      <c r="I362" s="79">
        <f>IF(OR($A362="",I$23=""),"",IF(COUNTIFS('AFA Rates'!$A$5:$A$1004,$A362,'AFA Rates'!$B$5:$B$1004,I$23,'AFA Rates'!$O$5:$O$1004,"&lt;&gt;Expired")&gt;0,"✓",IF(COUNTIFS('AFA Rates'!$A$5:$A$1004,$A362,'AFA Rates'!$B$5:$B$1004,I$23)&gt;0,"Exp","")))</f>
        <v/>
      </c>
      <c r="J362" s="79">
        <f>IF(OR($A362="",J$23=""),"",IF(COUNTIFS('AFA Rates'!$A$5:$A$1004,$A362,'AFA Rates'!$B$5:$B$1004,J$23,'AFA Rates'!$O$5:$O$1004,"&lt;&gt;Expired")&gt;0,"✓",IF(COUNTIFS('AFA Rates'!$A$5:$A$1004,$A362,'AFA Rates'!$B$5:$B$1004,J$23)&gt;0,"Exp","")))</f>
        <v/>
      </c>
      <c r="K362" s="79">
        <f>IF(OR($A362="",K$23=""),"",IF(COUNTIFS('AFA Rates'!$A$5:$A$1004,$A362,'AFA Rates'!$B$5:$B$1004,K$23,'AFA Rates'!$O$5:$O$1004,"&lt;&gt;Expired")&gt;0,"✓",IF(COUNTIFS('AFA Rates'!$A$5:$A$1004,$A362,'AFA Rates'!$B$5:$B$1004,K$23)&gt;0,"Exp","")))</f>
        <v/>
      </c>
      <c r="L362" s="79">
        <f>IF(OR($A362="",L$23=""),"",IF(COUNTIFS('AFA Rates'!$A$5:$A$1004,$A362,'AFA Rates'!$B$5:$B$1004,L$23,'AFA Rates'!$O$5:$O$1004,"&lt;&gt;Expired")&gt;0,"✓",IF(COUNTIFS('AFA Rates'!$A$5:$A$1004,$A362,'AFA Rates'!$B$5:$B$1004,L$23)&gt;0,"Exp","")))</f>
        <v/>
      </c>
      <c r="M362" s="79">
        <f>IF(OR($A362="",M$23=""),"",IF(COUNTIFS('AFA Rates'!$A$5:$A$1004,$A362,'AFA Rates'!$B$5:$B$1004,M$23,'AFA Rates'!$O$5:$O$1004,"&lt;&gt;Expired")&gt;0,"✓",IF(COUNTIFS('AFA Rates'!$A$5:$A$1004,$A362,'AFA Rates'!$B$5:$B$1004,M$23)&gt;0,"Exp","")))</f>
        <v/>
      </c>
    </row>
    <row r="363">
      <c r="A363" s="78">
        <f>IFERROR(INDEX(Firms!$A$5:$A$1004,MATCH(340,Firms!$V$5:$V$1004,0)),"")</f>
        <v/>
      </c>
      <c r="B363" s="79">
        <f>IF($A363="","",INDEX(Firms!$B$5:$B$1004,MATCH(340,Firms!$V$5:$V$1004,0)))</f>
        <v/>
      </c>
      <c r="C363" s="79">
        <f>IF($A363="","",COUNTIFS('AFA Rates'!$A$5:$A$1004,$A363,'AFA Rates'!$O$5:$O$1004,"&lt;&gt;Expired"))</f>
        <v/>
      </c>
      <c r="D363" s="79">
        <f>IF(OR($A363="",D$23=""),"",IF(COUNTIFS('AFA Rates'!$A$5:$A$1004,$A363,'AFA Rates'!$B$5:$B$1004,D$23,'AFA Rates'!$O$5:$O$1004,"&lt;&gt;Expired")&gt;0,"✓",IF(COUNTIFS('AFA Rates'!$A$5:$A$1004,$A363,'AFA Rates'!$B$5:$B$1004,D$23)&gt;0,"Exp","")))</f>
        <v/>
      </c>
      <c r="E363" s="79">
        <f>IF(OR($A363="",E$23=""),"",IF(COUNTIFS('AFA Rates'!$A$5:$A$1004,$A363,'AFA Rates'!$B$5:$B$1004,E$23,'AFA Rates'!$O$5:$O$1004,"&lt;&gt;Expired")&gt;0,"✓",IF(COUNTIFS('AFA Rates'!$A$5:$A$1004,$A363,'AFA Rates'!$B$5:$B$1004,E$23)&gt;0,"Exp","")))</f>
        <v/>
      </c>
      <c r="F363" s="79">
        <f>IF(OR($A363="",F$23=""),"",IF(COUNTIFS('AFA Rates'!$A$5:$A$1004,$A363,'AFA Rates'!$B$5:$B$1004,F$23,'AFA Rates'!$O$5:$O$1004,"&lt;&gt;Expired")&gt;0,"✓",IF(COUNTIFS('AFA Rates'!$A$5:$A$1004,$A363,'AFA Rates'!$B$5:$B$1004,F$23)&gt;0,"Exp","")))</f>
        <v/>
      </c>
      <c r="G363" s="79">
        <f>IF(OR($A363="",G$23=""),"",IF(COUNTIFS('AFA Rates'!$A$5:$A$1004,$A363,'AFA Rates'!$B$5:$B$1004,G$23,'AFA Rates'!$O$5:$O$1004,"&lt;&gt;Expired")&gt;0,"✓",IF(COUNTIFS('AFA Rates'!$A$5:$A$1004,$A363,'AFA Rates'!$B$5:$B$1004,G$23)&gt;0,"Exp","")))</f>
        <v/>
      </c>
      <c r="H363" s="79">
        <f>IF(OR($A363="",H$23=""),"",IF(COUNTIFS('AFA Rates'!$A$5:$A$1004,$A363,'AFA Rates'!$B$5:$B$1004,H$23,'AFA Rates'!$O$5:$O$1004,"&lt;&gt;Expired")&gt;0,"✓",IF(COUNTIFS('AFA Rates'!$A$5:$A$1004,$A363,'AFA Rates'!$B$5:$B$1004,H$23)&gt;0,"Exp","")))</f>
        <v/>
      </c>
      <c r="I363" s="79">
        <f>IF(OR($A363="",I$23=""),"",IF(COUNTIFS('AFA Rates'!$A$5:$A$1004,$A363,'AFA Rates'!$B$5:$B$1004,I$23,'AFA Rates'!$O$5:$O$1004,"&lt;&gt;Expired")&gt;0,"✓",IF(COUNTIFS('AFA Rates'!$A$5:$A$1004,$A363,'AFA Rates'!$B$5:$B$1004,I$23)&gt;0,"Exp","")))</f>
        <v/>
      </c>
      <c r="J363" s="79">
        <f>IF(OR($A363="",J$23=""),"",IF(COUNTIFS('AFA Rates'!$A$5:$A$1004,$A363,'AFA Rates'!$B$5:$B$1004,J$23,'AFA Rates'!$O$5:$O$1004,"&lt;&gt;Expired")&gt;0,"✓",IF(COUNTIFS('AFA Rates'!$A$5:$A$1004,$A363,'AFA Rates'!$B$5:$B$1004,J$23)&gt;0,"Exp","")))</f>
        <v/>
      </c>
      <c r="K363" s="79">
        <f>IF(OR($A363="",K$23=""),"",IF(COUNTIFS('AFA Rates'!$A$5:$A$1004,$A363,'AFA Rates'!$B$5:$B$1004,K$23,'AFA Rates'!$O$5:$O$1004,"&lt;&gt;Expired")&gt;0,"✓",IF(COUNTIFS('AFA Rates'!$A$5:$A$1004,$A363,'AFA Rates'!$B$5:$B$1004,K$23)&gt;0,"Exp","")))</f>
        <v/>
      </c>
      <c r="L363" s="79">
        <f>IF(OR($A363="",L$23=""),"",IF(COUNTIFS('AFA Rates'!$A$5:$A$1004,$A363,'AFA Rates'!$B$5:$B$1004,L$23,'AFA Rates'!$O$5:$O$1004,"&lt;&gt;Expired")&gt;0,"✓",IF(COUNTIFS('AFA Rates'!$A$5:$A$1004,$A363,'AFA Rates'!$B$5:$B$1004,L$23)&gt;0,"Exp","")))</f>
        <v/>
      </c>
      <c r="M363" s="79">
        <f>IF(OR($A363="",M$23=""),"",IF(COUNTIFS('AFA Rates'!$A$5:$A$1004,$A363,'AFA Rates'!$B$5:$B$1004,M$23,'AFA Rates'!$O$5:$O$1004,"&lt;&gt;Expired")&gt;0,"✓",IF(COUNTIFS('AFA Rates'!$A$5:$A$1004,$A363,'AFA Rates'!$B$5:$B$1004,M$23)&gt;0,"Exp","")))</f>
        <v/>
      </c>
    </row>
    <row r="364">
      <c r="A364" s="78">
        <f>IFERROR(INDEX(Firms!$A$5:$A$1004,MATCH(341,Firms!$V$5:$V$1004,0)),"")</f>
        <v/>
      </c>
      <c r="B364" s="79">
        <f>IF($A364="","",INDEX(Firms!$B$5:$B$1004,MATCH(341,Firms!$V$5:$V$1004,0)))</f>
        <v/>
      </c>
      <c r="C364" s="79">
        <f>IF($A364="","",COUNTIFS('AFA Rates'!$A$5:$A$1004,$A364,'AFA Rates'!$O$5:$O$1004,"&lt;&gt;Expired"))</f>
        <v/>
      </c>
      <c r="D364" s="79">
        <f>IF(OR($A364="",D$23=""),"",IF(COUNTIFS('AFA Rates'!$A$5:$A$1004,$A364,'AFA Rates'!$B$5:$B$1004,D$23,'AFA Rates'!$O$5:$O$1004,"&lt;&gt;Expired")&gt;0,"✓",IF(COUNTIFS('AFA Rates'!$A$5:$A$1004,$A364,'AFA Rates'!$B$5:$B$1004,D$23)&gt;0,"Exp","")))</f>
        <v/>
      </c>
      <c r="E364" s="79">
        <f>IF(OR($A364="",E$23=""),"",IF(COUNTIFS('AFA Rates'!$A$5:$A$1004,$A364,'AFA Rates'!$B$5:$B$1004,E$23,'AFA Rates'!$O$5:$O$1004,"&lt;&gt;Expired")&gt;0,"✓",IF(COUNTIFS('AFA Rates'!$A$5:$A$1004,$A364,'AFA Rates'!$B$5:$B$1004,E$23)&gt;0,"Exp","")))</f>
        <v/>
      </c>
      <c r="F364" s="79">
        <f>IF(OR($A364="",F$23=""),"",IF(COUNTIFS('AFA Rates'!$A$5:$A$1004,$A364,'AFA Rates'!$B$5:$B$1004,F$23,'AFA Rates'!$O$5:$O$1004,"&lt;&gt;Expired")&gt;0,"✓",IF(COUNTIFS('AFA Rates'!$A$5:$A$1004,$A364,'AFA Rates'!$B$5:$B$1004,F$23)&gt;0,"Exp","")))</f>
        <v/>
      </c>
      <c r="G364" s="79">
        <f>IF(OR($A364="",G$23=""),"",IF(COUNTIFS('AFA Rates'!$A$5:$A$1004,$A364,'AFA Rates'!$B$5:$B$1004,G$23,'AFA Rates'!$O$5:$O$1004,"&lt;&gt;Expired")&gt;0,"✓",IF(COUNTIFS('AFA Rates'!$A$5:$A$1004,$A364,'AFA Rates'!$B$5:$B$1004,G$23)&gt;0,"Exp","")))</f>
        <v/>
      </c>
      <c r="H364" s="79">
        <f>IF(OR($A364="",H$23=""),"",IF(COUNTIFS('AFA Rates'!$A$5:$A$1004,$A364,'AFA Rates'!$B$5:$B$1004,H$23,'AFA Rates'!$O$5:$O$1004,"&lt;&gt;Expired")&gt;0,"✓",IF(COUNTIFS('AFA Rates'!$A$5:$A$1004,$A364,'AFA Rates'!$B$5:$B$1004,H$23)&gt;0,"Exp","")))</f>
        <v/>
      </c>
      <c r="I364" s="79">
        <f>IF(OR($A364="",I$23=""),"",IF(COUNTIFS('AFA Rates'!$A$5:$A$1004,$A364,'AFA Rates'!$B$5:$B$1004,I$23,'AFA Rates'!$O$5:$O$1004,"&lt;&gt;Expired")&gt;0,"✓",IF(COUNTIFS('AFA Rates'!$A$5:$A$1004,$A364,'AFA Rates'!$B$5:$B$1004,I$23)&gt;0,"Exp","")))</f>
        <v/>
      </c>
      <c r="J364" s="79">
        <f>IF(OR($A364="",J$23=""),"",IF(COUNTIFS('AFA Rates'!$A$5:$A$1004,$A364,'AFA Rates'!$B$5:$B$1004,J$23,'AFA Rates'!$O$5:$O$1004,"&lt;&gt;Expired")&gt;0,"✓",IF(COUNTIFS('AFA Rates'!$A$5:$A$1004,$A364,'AFA Rates'!$B$5:$B$1004,J$23)&gt;0,"Exp","")))</f>
        <v/>
      </c>
      <c r="K364" s="79">
        <f>IF(OR($A364="",K$23=""),"",IF(COUNTIFS('AFA Rates'!$A$5:$A$1004,$A364,'AFA Rates'!$B$5:$B$1004,K$23,'AFA Rates'!$O$5:$O$1004,"&lt;&gt;Expired")&gt;0,"✓",IF(COUNTIFS('AFA Rates'!$A$5:$A$1004,$A364,'AFA Rates'!$B$5:$B$1004,K$23)&gt;0,"Exp","")))</f>
        <v/>
      </c>
      <c r="L364" s="79">
        <f>IF(OR($A364="",L$23=""),"",IF(COUNTIFS('AFA Rates'!$A$5:$A$1004,$A364,'AFA Rates'!$B$5:$B$1004,L$23,'AFA Rates'!$O$5:$O$1004,"&lt;&gt;Expired")&gt;0,"✓",IF(COUNTIFS('AFA Rates'!$A$5:$A$1004,$A364,'AFA Rates'!$B$5:$B$1004,L$23)&gt;0,"Exp","")))</f>
        <v/>
      </c>
      <c r="M364" s="79">
        <f>IF(OR($A364="",M$23=""),"",IF(COUNTIFS('AFA Rates'!$A$5:$A$1004,$A364,'AFA Rates'!$B$5:$B$1004,M$23,'AFA Rates'!$O$5:$O$1004,"&lt;&gt;Expired")&gt;0,"✓",IF(COUNTIFS('AFA Rates'!$A$5:$A$1004,$A364,'AFA Rates'!$B$5:$B$1004,M$23)&gt;0,"Exp","")))</f>
        <v/>
      </c>
    </row>
    <row r="365">
      <c r="A365" s="78">
        <f>IFERROR(INDEX(Firms!$A$5:$A$1004,MATCH(342,Firms!$V$5:$V$1004,0)),"")</f>
        <v/>
      </c>
      <c r="B365" s="79">
        <f>IF($A365="","",INDEX(Firms!$B$5:$B$1004,MATCH(342,Firms!$V$5:$V$1004,0)))</f>
        <v/>
      </c>
      <c r="C365" s="79">
        <f>IF($A365="","",COUNTIFS('AFA Rates'!$A$5:$A$1004,$A365,'AFA Rates'!$O$5:$O$1004,"&lt;&gt;Expired"))</f>
        <v/>
      </c>
      <c r="D365" s="79">
        <f>IF(OR($A365="",D$23=""),"",IF(COUNTIFS('AFA Rates'!$A$5:$A$1004,$A365,'AFA Rates'!$B$5:$B$1004,D$23,'AFA Rates'!$O$5:$O$1004,"&lt;&gt;Expired")&gt;0,"✓",IF(COUNTIFS('AFA Rates'!$A$5:$A$1004,$A365,'AFA Rates'!$B$5:$B$1004,D$23)&gt;0,"Exp","")))</f>
        <v/>
      </c>
      <c r="E365" s="79">
        <f>IF(OR($A365="",E$23=""),"",IF(COUNTIFS('AFA Rates'!$A$5:$A$1004,$A365,'AFA Rates'!$B$5:$B$1004,E$23,'AFA Rates'!$O$5:$O$1004,"&lt;&gt;Expired")&gt;0,"✓",IF(COUNTIFS('AFA Rates'!$A$5:$A$1004,$A365,'AFA Rates'!$B$5:$B$1004,E$23)&gt;0,"Exp","")))</f>
        <v/>
      </c>
      <c r="F365" s="79">
        <f>IF(OR($A365="",F$23=""),"",IF(COUNTIFS('AFA Rates'!$A$5:$A$1004,$A365,'AFA Rates'!$B$5:$B$1004,F$23,'AFA Rates'!$O$5:$O$1004,"&lt;&gt;Expired")&gt;0,"✓",IF(COUNTIFS('AFA Rates'!$A$5:$A$1004,$A365,'AFA Rates'!$B$5:$B$1004,F$23)&gt;0,"Exp","")))</f>
        <v/>
      </c>
      <c r="G365" s="79">
        <f>IF(OR($A365="",G$23=""),"",IF(COUNTIFS('AFA Rates'!$A$5:$A$1004,$A365,'AFA Rates'!$B$5:$B$1004,G$23,'AFA Rates'!$O$5:$O$1004,"&lt;&gt;Expired")&gt;0,"✓",IF(COUNTIFS('AFA Rates'!$A$5:$A$1004,$A365,'AFA Rates'!$B$5:$B$1004,G$23)&gt;0,"Exp","")))</f>
        <v/>
      </c>
      <c r="H365" s="79">
        <f>IF(OR($A365="",H$23=""),"",IF(COUNTIFS('AFA Rates'!$A$5:$A$1004,$A365,'AFA Rates'!$B$5:$B$1004,H$23,'AFA Rates'!$O$5:$O$1004,"&lt;&gt;Expired")&gt;0,"✓",IF(COUNTIFS('AFA Rates'!$A$5:$A$1004,$A365,'AFA Rates'!$B$5:$B$1004,H$23)&gt;0,"Exp","")))</f>
        <v/>
      </c>
      <c r="I365" s="79">
        <f>IF(OR($A365="",I$23=""),"",IF(COUNTIFS('AFA Rates'!$A$5:$A$1004,$A365,'AFA Rates'!$B$5:$B$1004,I$23,'AFA Rates'!$O$5:$O$1004,"&lt;&gt;Expired")&gt;0,"✓",IF(COUNTIFS('AFA Rates'!$A$5:$A$1004,$A365,'AFA Rates'!$B$5:$B$1004,I$23)&gt;0,"Exp","")))</f>
        <v/>
      </c>
      <c r="J365" s="79">
        <f>IF(OR($A365="",J$23=""),"",IF(COUNTIFS('AFA Rates'!$A$5:$A$1004,$A365,'AFA Rates'!$B$5:$B$1004,J$23,'AFA Rates'!$O$5:$O$1004,"&lt;&gt;Expired")&gt;0,"✓",IF(COUNTIFS('AFA Rates'!$A$5:$A$1004,$A365,'AFA Rates'!$B$5:$B$1004,J$23)&gt;0,"Exp","")))</f>
        <v/>
      </c>
      <c r="K365" s="79">
        <f>IF(OR($A365="",K$23=""),"",IF(COUNTIFS('AFA Rates'!$A$5:$A$1004,$A365,'AFA Rates'!$B$5:$B$1004,K$23,'AFA Rates'!$O$5:$O$1004,"&lt;&gt;Expired")&gt;0,"✓",IF(COUNTIFS('AFA Rates'!$A$5:$A$1004,$A365,'AFA Rates'!$B$5:$B$1004,K$23)&gt;0,"Exp","")))</f>
        <v/>
      </c>
      <c r="L365" s="79">
        <f>IF(OR($A365="",L$23=""),"",IF(COUNTIFS('AFA Rates'!$A$5:$A$1004,$A365,'AFA Rates'!$B$5:$B$1004,L$23,'AFA Rates'!$O$5:$O$1004,"&lt;&gt;Expired")&gt;0,"✓",IF(COUNTIFS('AFA Rates'!$A$5:$A$1004,$A365,'AFA Rates'!$B$5:$B$1004,L$23)&gt;0,"Exp","")))</f>
        <v/>
      </c>
      <c r="M365" s="79">
        <f>IF(OR($A365="",M$23=""),"",IF(COUNTIFS('AFA Rates'!$A$5:$A$1004,$A365,'AFA Rates'!$B$5:$B$1004,M$23,'AFA Rates'!$O$5:$O$1004,"&lt;&gt;Expired")&gt;0,"✓",IF(COUNTIFS('AFA Rates'!$A$5:$A$1004,$A365,'AFA Rates'!$B$5:$B$1004,M$23)&gt;0,"Exp","")))</f>
        <v/>
      </c>
    </row>
    <row r="366">
      <c r="A366" s="78">
        <f>IFERROR(INDEX(Firms!$A$5:$A$1004,MATCH(343,Firms!$V$5:$V$1004,0)),"")</f>
        <v/>
      </c>
      <c r="B366" s="79">
        <f>IF($A366="","",INDEX(Firms!$B$5:$B$1004,MATCH(343,Firms!$V$5:$V$1004,0)))</f>
        <v/>
      </c>
      <c r="C366" s="79">
        <f>IF($A366="","",COUNTIFS('AFA Rates'!$A$5:$A$1004,$A366,'AFA Rates'!$O$5:$O$1004,"&lt;&gt;Expired"))</f>
        <v/>
      </c>
      <c r="D366" s="79">
        <f>IF(OR($A366="",D$23=""),"",IF(COUNTIFS('AFA Rates'!$A$5:$A$1004,$A366,'AFA Rates'!$B$5:$B$1004,D$23,'AFA Rates'!$O$5:$O$1004,"&lt;&gt;Expired")&gt;0,"✓",IF(COUNTIFS('AFA Rates'!$A$5:$A$1004,$A366,'AFA Rates'!$B$5:$B$1004,D$23)&gt;0,"Exp","")))</f>
        <v/>
      </c>
      <c r="E366" s="79">
        <f>IF(OR($A366="",E$23=""),"",IF(COUNTIFS('AFA Rates'!$A$5:$A$1004,$A366,'AFA Rates'!$B$5:$B$1004,E$23,'AFA Rates'!$O$5:$O$1004,"&lt;&gt;Expired")&gt;0,"✓",IF(COUNTIFS('AFA Rates'!$A$5:$A$1004,$A366,'AFA Rates'!$B$5:$B$1004,E$23)&gt;0,"Exp","")))</f>
        <v/>
      </c>
      <c r="F366" s="79">
        <f>IF(OR($A366="",F$23=""),"",IF(COUNTIFS('AFA Rates'!$A$5:$A$1004,$A366,'AFA Rates'!$B$5:$B$1004,F$23,'AFA Rates'!$O$5:$O$1004,"&lt;&gt;Expired")&gt;0,"✓",IF(COUNTIFS('AFA Rates'!$A$5:$A$1004,$A366,'AFA Rates'!$B$5:$B$1004,F$23)&gt;0,"Exp","")))</f>
        <v/>
      </c>
      <c r="G366" s="79">
        <f>IF(OR($A366="",G$23=""),"",IF(COUNTIFS('AFA Rates'!$A$5:$A$1004,$A366,'AFA Rates'!$B$5:$B$1004,G$23,'AFA Rates'!$O$5:$O$1004,"&lt;&gt;Expired")&gt;0,"✓",IF(COUNTIFS('AFA Rates'!$A$5:$A$1004,$A366,'AFA Rates'!$B$5:$B$1004,G$23)&gt;0,"Exp","")))</f>
        <v/>
      </c>
      <c r="H366" s="79">
        <f>IF(OR($A366="",H$23=""),"",IF(COUNTIFS('AFA Rates'!$A$5:$A$1004,$A366,'AFA Rates'!$B$5:$B$1004,H$23,'AFA Rates'!$O$5:$O$1004,"&lt;&gt;Expired")&gt;0,"✓",IF(COUNTIFS('AFA Rates'!$A$5:$A$1004,$A366,'AFA Rates'!$B$5:$B$1004,H$23)&gt;0,"Exp","")))</f>
        <v/>
      </c>
      <c r="I366" s="79">
        <f>IF(OR($A366="",I$23=""),"",IF(COUNTIFS('AFA Rates'!$A$5:$A$1004,$A366,'AFA Rates'!$B$5:$B$1004,I$23,'AFA Rates'!$O$5:$O$1004,"&lt;&gt;Expired")&gt;0,"✓",IF(COUNTIFS('AFA Rates'!$A$5:$A$1004,$A366,'AFA Rates'!$B$5:$B$1004,I$23)&gt;0,"Exp","")))</f>
        <v/>
      </c>
      <c r="J366" s="79">
        <f>IF(OR($A366="",J$23=""),"",IF(COUNTIFS('AFA Rates'!$A$5:$A$1004,$A366,'AFA Rates'!$B$5:$B$1004,J$23,'AFA Rates'!$O$5:$O$1004,"&lt;&gt;Expired")&gt;0,"✓",IF(COUNTIFS('AFA Rates'!$A$5:$A$1004,$A366,'AFA Rates'!$B$5:$B$1004,J$23)&gt;0,"Exp","")))</f>
        <v/>
      </c>
      <c r="K366" s="79">
        <f>IF(OR($A366="",K$23=""),"",IF(COUNTIFS('AFA Rates'!$A$5:$A$1004,$A366,'AFA Rates'!$B$5:$B$1004,K$23,'AFA Rates'!$O$5:$O$1004,"&lt;&gt;Expired")&gt;0,"✓",IF(COUNTIFS('AFA Rates'!$A$5:$A$1004,$A366,'AFA Rates'!$B$5:$B$1004,K$23)&gt;0,"Exp","")))</f>
        <v/>
      </c>
      <c r="L366" s="79">
        <f>IF(OR($A366="",L$23=""),"",IF(COUNTIFS('AFA Rates'!$A$5:$A$1004,$A366,'AFA Rates'!$B$5:$B$1004,L$23,'AFA Rates'!$O$5:$O$1004,"&lt;&gt;Expired")&gt;0,"✓",IF(COUNTIFS('AFA Rates'!$A$5:$A$1004,$A366,'AFA Rates'!$B$5:$B$1004,L$23)&gt;0,"Exp","")))</f>
        <v/>
      </c>
      <c r="M366" s="79">
        <f>IF(OR($A366="",M$23=""),"",IF(COUNTIFS('AFA Rates'!$A$5:$A$1004,$A366,'AFA Rates'!$B$5:$B$1004,M$23,'AFA Rates'!$O$5:$O$1004,"&lt;&gt;Expired")&gt;0,"✓",IF(COUNTIFS('AFA Rates'!$A$5:$A$1004,$A366,'AFA Rates'!$B$5:$B$1004,M$23)&gt;0,"Exp","")))</f>
        <v/>
      </c>
    </row>
    <row r="367">
      <c r="A367" s="78">
        <f>IFERROR(INDEX(Firms!$A$5:$A$1004,MATCH(344,Firms!$V$5:$V$1004,0)),"")</f>
        <v/>
      </c>
      <c r="B367" s="79">
        <f>IF($A367="","",INDEX(Firms!$B$5:$B$1004,MATCH(344,Firms!$V$5:$V$1004,0)))</f>
        <v/>
      </c>
      <c r="C367" s="79">
        <f>IF($A367="","",COUNTIFS('AFA Rates'!$A$5:$A$1004,$A367,'AFA Rates'!$O$5:$O$1004,"&lt;&gt;Expired"))</f>
        <v/>
      </c>
      <c r="D367" s="79">
        <f>IF(OR($A367="",D$23=""),"",IF(COUNTIFS('AFA Rates'!$A$5:$A$1004,$A367,'AFA Rates'!$B$5:$B$1004,D$23,'AFA Rates'!$O$5:$O$1004,"&lt;&gt;Expired")&gt;0,"✓",IF(COUNTIFS('AFA Rates'!$A$5:$A$1004,$A367,'AFA Rates'!$B$5:$B$1004,D$23)&gt;0,"Exp","")))</f>
        <v/>
      </c>
      <c r="E367" s="79">
        <f>IF(OR($A367="",E$23=""),"",IF(COUNTIFS('AFA Rates'!$A$5:$A$1004,$A367,'AFA Rates'!$B$5:$B$1004,E$23,'AFA Rates'!$O$5:$O$1004,"&lt;&gt;Expired")&gt;0,"✓",IF(COUNTIFS('AFA Rates'!$A$5:$A$1004,$A367,'AFA Rates'!$B$5:$B$1004,E$23)&gt;0,"Exp","")))</f>
        <v/>
      </c>
      <c r="F367" s="79">
        <f>IF(OR($A367="",F$23=""),"",IF(COUNTIFS('AFA Rates'!$A$5:$A$1004,$A367,'AFA Rates'!$B$5:$B$1004,F$23,'AFA Rates'!$O$5:$O$1004,"&lt;&gt;Expired")&gt;0,"✓",IF(COUNTIFS('AFA Rates'!$A$5:$A$1004,$A367,'AFA Rates'!$B$5:$B$1004,F$23)&gt;0,"Exp","")))</f>
        <v/>
      </c>
      <c r="G367" s="79">
        <f>IF(OR($A367="",G$23=""),"",IF(COUNTIFS('AFA Rates'!$A$5:$A$1004,$A367,'AFA Rates'!$B$5:$B$1004,G$23,'AFA Rates'!$O$5:$O$1004,"&lt;&gt;Expired")&gt;0,"✓",IF(COUNTIFS('AFA Rates'!$A$5:$A$1004,$A367,'AFA Rates'!$B$5:$B$1004,G$23)&gt;0,"Exp","")))</f>
        <v/>
      </c>
      <c r="H367" s="79">
        <f>IF(OR($A367="",H$23=""),"",IF(COUNTIFS('AFA Rates'!$A$5:$A$1004,$A367,'AFA Rates'!$B$5:$B$1004,H$23,'AFA Rates'!$O$5:$O$1004,"&lt;&gt;Expired")&gt;0,"✓",IF(COUNTIFS('AFA Rates'!$A$5:$A$1004,$A367,'AFA Rates'!$B$5:$B$1004,H$23)&gt;0,"Exp","")))</f>
        <v/>
      </c>
      <c r="I367" s="79">
        <f>IF(OR($A367="",I$23=""),"",IF(COUNTIFS('AFA Rates'!$A$5:$A$1004,$A367,'AFA Rates'!$B$5:$B$1004,I$23,'AFA Rates'!$O$5:$O$1004,"&lt;&gt;Expired")&gt;0,"✓",IF(COUNTIFS('AFA Rates'!$A$5:$A$1004,$A367,'AFA Rates'!$B$5:$B$1004,I$23)&gt;0,"Exp","")))</f>
        <v/>
      </c>
      <c r="J367" s="79">
        <f>IF(OR($A367="",J$23=""),"",IF(COUNTIFS('AFA Rates'!$A$5:$A$1004,$A367,'AFA Rates'!$B$5:$B$1004,J$23,'AFA Rates'!$O$5:$O$1004,"&lt;&gt;Expired")&gt;0,"✓",IF(COUNTIFS('AFA Rates'!$A$5:$A$1004,$A367,'AFA Rates'!$B$5:$B$1004,J$23)&gt;0,"Exp","")))</f>
        <v/>
      </c>
      <c r="K367" s="79">
        <f>IF(OR($A367="",K$23=""),"",IF(COUNTIFS('AFA Rates'!$A$5:$A$1004,$A367,'AFA Rates'!$B$5:$B$1004,K$23,'AFA Rates'!$O$5:$O$1004,"&lt;&gt;Expired")&gt;0,"✓",IF(COUNTIFS('AFA Rates'!$A$5:$A$1004,$A367,'AFA Rates'!$B$5:$B$1004,K$23)&gt;0,"Exp","")))</f>
        <v/>
      </c>
      <c r="L367" s="79">
        <f>IF(OR($A367="",L$23=""),"",IF(COUNTIFS('AFA Rates'!$A$5:$A$1004,$A367,'AFA Rates'!$B$5:$B$1004,L$23,'AFA Rates'!$O$5:$O$1004,"&lt;&gt;Expired")&gt;0,"✓",IF(COUNTIFS('AFA Rates'!$A$5:$A$1004,$A367,'AFA Rates'!$B$5:$B$1004,L$23)&gt;0,"Exp","")))</f>
        <v/>
      </c>
      <c r="M367" s="79">
        <f>IF(OR($A367="",M$23=""),"",IF(COUNTIFS('AFA Rates'!$A$5:$A$1004,$A367,'AFA Rates'!$B$5:$B$1004,M$23,'AFA Rates'!$O$5:$O$1004,"&lt;&gt;Expired")&gt;0,"✓",IF(COUNTIFS('AFA Rates'!$A$5:$A$1004,$A367,'AFA Rates'!$B$5:$B$1004,M$23)&gt;0,"Exp","")))</f>
        <v/>
      </c>
    </row>
    <row r="368">
      <c r="A368" s="78">
        <f>IFERROR(INDEX(Firms!$A$5:$A$1004,MATCH(345,Firms!$V$5:$V$1004,0)),"")</f>
        <v/>
      </c>
      <c r="B368" s="79">
        <f>IF($A368="","",INDEX(Firms!$B$5:$B$1004,MATCH(345,Firms!$V$5:$V$1004,0)))</f>
        <v/>
      </c>
      <c r="C368" s="79">
        <f>IF($A368="","",COUNTIFS('AFA Rates'!$A$5:$A$1004,$A368,'AFA Rates'!$O$5:$O$1004,"&lt;&gt;Expired"))</f>
        <v/>
      </c>
      <c r="D368" s="79">
        <f>IF(OR($A368="",D$23=""),"",IF(COUNTIFS('AFA Rates'!$A$5:$A$1004,$A368,'AFA Rates'!$B$5:$B$1004,D$23,'AFA Rates'!$O$5:$O$1004,"&lt;&gt;Expired")&gt;0,"✓",IF(COUNTIFS('AFA Rates'!$A$5:$A$1004,$A368,'AFA Rates'!$B$5:$B$1004,D$23)&gt;0,"Exp","")))</f>
        <v/>
      </c>
      <c r="E368" s="79">
        <f>IF(OR($A368="",E$23=""),"",IF(COUNTIFS('AFA Rates'!$A$5:$A$1004,$A368,'AFA Rates'!$B$5:$B$1004,E$23,'AFA Rates'!$O$5:$O$1004,"&lt;&gt;Expired")&gt;0,"✓",IF(COUNTIFS('AFA Rates'!$A$5:$A$1004,$A368,'AFA Rates'!$B$5:$B$1004,E$23)&gt;0,"Exp","")))</f>
        <v/>
      </c>
      <c r="F368" s="79">
        <f>IF(OR($A368="",F$23=""),"",IF(COUNTIFS('AFA Rates'!$A$5:$A$1004,$A368,'AFA Rates'!$B$5:$B$1004,F$23,'AFA Rates'!$O$5:$O$1004,"&lt;&gt;Expired")&gt;0,"✓",IF(COUNTIFS('AFA Rates'!$A$5:$A$1004,$A368,'AFA Rates'!$B$5:$B$1004,F$23)&gt;0,"Exp","")))</f>
        <v/>
      </c>
      <c r="G368" s="79">
        <f>IF(OR($A368="",G$23=""),"",IF(COUNTIFS('AFA Rates'!$A$5:$A$1004,$A368,'AFA Rates'!$B$5:$B$1004,G$23,'AFA Rates'!$O$5:$O$1004,"&lt;&gt;Expired")&gt;0,"✓",IF(COUNTIFS('AFA Rates'!$A$5:$A$1004,$A368,'AFA Rates'!$B$5:$B$1004,G$23)&gt;0,"Exp","")))</f>
        <v/>
      </c>
      <c r="H368" s="79">
        <f>IF(OR($A368="",H$23=""),"",IF(COUNTIFS('AFA Rates'!$A$5:$A$1004,$A368,'AFA Rates'!$B$5:$B$1004,H$23,'AFA Rates'!$O$5:$O$1004,"&lt;&gt;Expired")&gt;0,"✓",IF(COUNTIFS('AFA Rates'!$A$5:$A$1004,$A368,'AFA Rates'!$B$5:$B$1004,H$23)&gt;0,"Exp","")))</f>
        <v/>
      </c>
      <c r="I368" s="79">
        <f>IF(OR($A368="",I$23=""),"",IF(COUNTIFS('AFA Rates'!$A$5:$A$1004,$A368,'AFA Rates'!$B$5:$B$1004,I$23,'AFA Rates'!$O$5:$O$1004,"&lt;&gt;Expired")&gt;0,"✓",IF(COUNTIFS('AFA Rates'!$A$5:$A$1004,$A368,'AFA Rates'!$B$5:$B$1004,I$23)&gt;0,"Exp","")))</f>
        <v/>
      </c>
      <c r="J368" s="79">
        <f>IF(OR($A368="",J$23=""),"",IF(COUNTIFS('AFA Rates'!$A$5:$A$1004,$A368,'AFA Rates'!$B$5:$B$1004,J$23,'AFA Rates'!$O$5:$O$1004,"&lt;&gt;Expired")&gt;0,"✓",IF(COUNTIFS('AFA Rates'!$A$5:$A$1004,$A368,'AFA Rates'!$B$5:$B$1004,J$23)&gt;0,"Exp","")))</f>
        <v/>
      </c>
      <c r="K368" s="79">
        <f>IF(OR($A368="",K$23=""),"",IF(COUNTIFS('AFA Rates'!$A$5:$A$1004,$A368,'AFA Rates'!$B$5:$B$1004,K$23,'AFA Rates'!$O$5:$O$1004,"&lt;&gt;Expired")&gt;0,"✓",IF(COUNTIFS('AFA Rates'!$A$5:$A$1004,$A368,'AFA Rates'!$B$5:$B$1004,K$23)&gt;0,"Exp","")))</f>
        <v/>
      </c>
      <c r="L368" s="79">
        <f>IF(OR($A368="",L$23=""),"",IF(COUNTIFS('AFA Rates'!$A$5:$A$1004,$A368,'AFA Rates'!$B$5:$B$1004,L$23,'AFA Rates'!$O$5:$O$1004,"&lt;&gt;Expired")&gt;0,"✓",IF(COUNTIFS('AFA Rates'!$A$5:$A$1004,$A368,'AFA Rates'!$B$5:$B$1004,L$23)&gt;0,"Exp","")))</f>
        <v/>
      </c>
      <c r="M368" s="79">
        <f>IF(OR($A368="",M$23=""),"",IF(COUNTIFS('AFA Rates'!$A$5:$A$1004,$A368,'AFA Rates'!$B$5:$B$1004,M$23,'AFA Rates'!$O$5:$O$1004,"&lt;&gt;Expired")&gt;0,"✓",IF(COUNTIFS('AFA Rates'!$A$5:$A$1004,$A368,'AFA Rates'!$B$5:$B$1004,M$23)&gt;0,"Exp","")))</f>
        <v/>
      </c>
    </row>
    <row r="369">
      <c r="A369" s="78">
        <f>IFERROR(INDEX(Firms!$A$5:$A$1004,MATCH(346,Firms!$V$5:$V$1004,0)),"")</f>
        <v/>
      </c>
      <c r="B369" s="79">
        <f>IF($A369="","",INDEX(Firms!$B$5:$B$1004,MATCH(346,Firms!$V$5:$V$1004,0)))</f>
        <v/>
      </c>
      <c r="C369" s="79">
        <f>IF($A369="","",COUNTIFS('AFA Rates'!$A$5:$A$1004,$A369,'AFA Rates'!$O$5:$O$1004,"&lt;&gt;Expired"))</f>
        <v/>
      </c>
      <c r="D369" s="79">
        <f>IF(OR($A369="",D$23=""),"",IF(COUNTIFS('AFA Rates'!$A$5:$A$1004,$A369,'AFA Rates'!$B$5:$B$1004,D$23,'AFA Rates'!$O$5:$O$1004,"&lt;&gt;Expired")&gt;0,"✓",IF(COUNTIFS('AFA Rates'!$A$5:$A$1004,$A369,'AFA Rates'!$B$5:$B$1004,D$23)&gt;0,"Exp","")))</f>
        <v/>
      </c>
      <c r="E369" s="79">
        <f>IF(OR($A369="",E$23=""),"",IF(COUNTIFS('AFA Rates'!$A$5:$A$1004,$A369,'AFA Rates'!$B$5:$B$1004,E$23,'AFA Rates'!$O$5:$O$1004,"&lt;&gt;Expired")&gt;0,"✓",IF(COUNTIFS('AFA Rates'!$A$5:$A$1004,$A369,'AFA Rates'!$B$5:$B$1004,E$23)&gt;0,"Exp","")))</f>
        <v/>
      </c>
      <c r="F369" s="79">
        <f>IF(OR($A369="",F$23=""),"",IF(COUNTIFS('AFA Rates'!$A$5:$A$1004,$A369,'AFA Rates'!$B$5:$B$1004,F$23,'AFA Rates'!$O$5:$O$1004,"&lt;&gt;Expired")&gt;0,"✓",IF(COUNTIFS('AFA Rates'!$A$5:$A$1004,$A369,'AFA Rates'!$B$5:$B$1004,F$23)&gt;0,"Exp","")))</f>
        <v/>
      </c>
      <c r="G369" s="79">
        <f>IF(OR($A369="",G$23=""),"",IF(COUNTIFS('AFA Rates'!$A$5:$A$1004,$A369,'AFA Rates'!$B$5:$B$1004,G$23,'AFA Rates'!$O$5:$O$1004,"&lt;&gt;Expired")&gt;0,"✓",IF(COUNTIFS('AFA Rates'!$A$5:$A$1004,$A369,'AFA Rates'!$B$5:$B$1004,G$23)&gt;0,"Exp","")))</f>
        <v/>
      </c>
      <c r="H369" s="79">
        <f>IF(OR($A369="",H$23=""),"",IF(COUNTIFS('AFA Rates'!$A$5:$A$1004,$A369,'AFA Rates'!$B$5:$B$1004,H$23,'AFA Rates'!$O$5:$O$1004,"&lt;&gt;Expired")&gt;0,"✓",IF(COUNTIFS('AFA Rates'!$A$5:$A$1004,$A369,'AFA Rates'!$B$5:$B$1004,H$23)&gt;0,"Exp","")))</f>
        <v/>
      </c>
      <c r="I369" s="79">
        <f>IF(OR($A369="",I$23=""),"",IF(COUNTIFS('AFA Rates'!$A$5:$A$1004,$A369,'AFA Rates'!$B$5:$B$1004,I$23,'AFA Rates'!$O$5:$O$1004,"&lt;&gt;Expired")&gt;0,"✓",IF(COUNTIFS('AFA Rates'!$A$5:$A$1004,$A369,'AFA Rates'!$B$5:$B$1004,I$23)&gt;0,"Exp","")))</f>
        <v/>
      </c>
      <c r="J369" s="79">
        <f>IF(OR($A369="",J$23=""),"",IF(COUNTIFS('AFA Rates'!$A$5:$A$1004,$A369,'AFA Rates'!$B$5:$B$1004,J$23,'AFA Rates'!$O$5:$O$1004,"&lt;&gt;Expired")&gt;0,"✓",IF(COUNTIFS('AFA Rates'!$A$5:$A$1004,$A369,'AFA Rates'!$B$5:$B$1004,J$23)&gt;0,"Exp","")))</f>
        <v/>
      </c>
      <c r="K369" s="79">
        <f>IF(OR($A369="",K$23=""),"",IF(COUNTIFS('AFA Rates'!$A$5:$A$1004,$A369,'AFA Rates'!$B$5:$B$1004,K$23,'AFA Rates'!$O$5:$O$1004,"&lt;&gt;Expired")&gt;0,"✓",IF(COUNTIFS('AFA Rates'!$A$5:$A$1004,$A369,'AFA Rates'!$B$5:$B$1004,K$23)&gt;0,"Exp","")))</f>
        <v/>
      </c>
      <c r="L369" s="79">
        <f>IF(OR($A369="",L$23=""),"",IF(COUNTIFS('AFA Rates'!$A$5:$A$1004,$A369,'AFA Rates'!$B$5:$B$1004,L$23,'AFA Rates'!$O$5:$O$1004,"&lt;&gt;Expired")&gt;0,"✓",IF(COUNTIFS('AFA Rates'!$A$5:$A$1004,$A369,'AFA Rates'!$B$5:$B$1004,L$23)&gt;0,"Exp","")))</f>
        <v/>
      </c>
      <c r="M369" s="79">
        <f>IF(OR($A369="",M$23=""),"",IF(COUNTIFS('AFA Rates'!$A$5:$A$1004,$A369,'AFA Rates'!$B$5:$B$1004,M$23,'AFA Rates'!$O$5:$O$1004,"&lt;&gt;Expired")&gt;0,"✓",IF(COUNTIFS('AFA Rates'!$A$5:$A$1004,$A369,'AFA Rates'!$B$5:$B$1004,M$23)&gt;0,"Exp","")))</f>
        <v/>
      </c>
    </row>
    <row r="370">
      <c r="A370" s="78">
        <f>IFERROR(INDEX(Firms!$A$5:$A$1004,MATCH(347,Firms!$V$5:$V$1004,0)),"")</f>
        <v/>
      </c>
      <c r="B370" s="79">
        <f>IF($A370="","",INDEX(Firms!$B$5:$B$1004,MATCH(347,Firms!$V$5:$V$1004,0)))</f>
        <v/>
      </c>
      <c r="C370" s="79">
        <f>IF($A370="","",COUNTIFS('AFA Rates'!$A$5:$A$1004,$A370,'AFA Rates'!$O$5:$O$1004,"&lt;&gt;Expired"))</f>
        <v/>
      </c>
      <c r="D370" s="79">
        <f>IF(OR($A370="",D$23=""),"",IF(COUNTIFS('AFA Rates'!$A$5:$A$1004,$A370,'AFA Rates'!$B$5:$B$1004,D$23,'AFA Rates'!$O$5:$O$1004,"&lt;&gt;Expired")&gt;0,"✓",IF(COUNTIFS('AFA Rates'!$A$5:$A$1004,$A370,'AFA Rates'!$B$5:$B$1004,D$23)&gt;0,"Exp","")))</f>
        <v/>
      </c>
      <c r="E370" s="79">
        <f>IF(OR($A370="",E$23=""),"",IF(COUNTIFS('AFA Rates'!$A$5:$A$1004,$A370,'AFA Rates'!$B$5:$B$1004,E$23,'AFA Rates'!$O$5:$O$1004,"&lt;&gt;Expired")&gt;0,"✓",IF(COUNTIFS('AFA Rates'!$A$5:$A$1004,$A370,'AFA Rates'!$B$5:$B$1004,E$23)&gt;0,"Exp","")))</f>
        <v/>
      </c>
      <c r="F370" s="79">
        <f>IF(OR($A370="",F$23=""),"",IF(COUNTIFS('AFA Rates'!$A$5:$A$1004,$A370,'AFA Rates'!$B$5:$B$1004,F$23,'AFA Rates'!$O$5:$O$1004,"&lt;&gt;Expired")&gt;0,"✓",IF(COUNTIFS('AFA Rates'!$A$5:$A$1004,$A370,'AFA Rates'!$B$5:$B$1004,F$23)&gt;0,"Exp","")))</f>
        <v/>
      </c>
      <c r="G370" s="79">
        <f>IF(OR($A370="",G$23=""),"",IF(COUNTIFS('AFA Rates'!$A$5:$A$1004,$A370,'AFA Rates'!$B$5:$B$1004,G$23,'AFA Rates'!$O$5:$O$1004,"&lt;&gt;Expired")&gt;0,"✓",IF(COUNTIFS('AFA Rates'!$A$5:$A$1004,$A370,'AFA Rates'!$B$5:$B$1004,G$23)&gt;0,"Exp","")))</f>
        <v/>
      </c>
      <c r="H370" s="79">
        <f>IF(OR($A370="",H$23=""),"",IF(COUNTIFS('AFA Rates'!$A$5:$A$1004,$A370,'AFA Rates'!$B$5:$B$1004,H$23,'AFA Rates'!$O$5:$O$1004,"&lt;&gt;Expired")&gt;0,"✓",IF(COUNTIFS('AFA Rates'!$A$5:$A$1004,$A370,'AFA Rates'!$B$5:$B$1004,H$23)&gt;0,"Exp","")))</f>
        <v/>
      </c>
      <c r="I370" s="79">
        <f>IF(OR($A370="",I$23=""),"",IF(COUNTIFS('AFA Rates'!$A$5:$A$1004,$A370,'AFA Rates'!$B$5:$B$1004,I$23,'AFA Rates'!$O$5:$O$1004,"&lt;&gt;Expired")&gt;0,"✓",IF(COUNTIFS('AFA Rates'!$A$5:$A$1004,$A370,'AFA Rates'!$B$5:$B$1004,I$23)&gt;0,"Exp","")))</f>
        <v/>
      </c>
      <c r="J370" s="79">
        <f>IF(OR($A370="",J$23=""),"",IF(COUNTIFS('AFA Rates'!$A$5:$A$1004,$A370,'AFA Rates'!$B$5:$B$1004,J$23,'AFA Rates'!$O$5:$O$1004,"&lt;&gt;Expired")&gt;0,"✓",IF(COUNTIFS('AFA Rates'!$A$5:$A$1004,$A370,'AFA Rates'!$B$5:$B$1004,J$23)&gt;0,"Exp","")))</f>
        <v/>
      </c>
      <c r="K370" s="79">
        <f>IF(OR($A370="",K$23=""),"",IF(COUNTIFS('AFA Rates'!$A$5:$A$1004,$A370,'AFA Rates'!$B$5:$B$1004,K$23,'AFA Rates'!$O$5:$O$1004,"&lt;&gt;Expired")&gt;0,"✓",IF(COUNTIFS('AFA Rates'!$A$5:$A$1004,$A370,'AFA Rates'!$B$5:$B$1004,K$23)&gt;0,"Exp","")))</f>
        <v/>
      </c>
      <c r="L370" s="79">
        <f>IF(OR($A370="",L$23=""),"",IF(COUNTIFS('AFA Rates'!$A$5:$A$1004,$A370,'AFA Rates'!$B$5:$B$1004,L$23,'AFA Rates'!$O$5:$O$1004,"&lt;&gt;Expired")&gt;0,"✓",IF(COUNTIFS('AFA Rates'!$A$5:$A$1004,$A370,'AFA Rates'!$B$5:$B$1004,L$23)&gt;0,"Exp","")))</f>
        <v/>
      </c>
      <c r="M370" s="79">
        <f>IF(OR($A370="",M$23=""),"",IF(COUNTIFS('AFA Rates'!$A$5:$A$1004,$A370,'AFA Rates'!$B$5:$B$1004,M$23,'AFA Rates'!$O$5:$O$1004,"&lt;&gt;Expired")&gt;0,"✓",IF(COUNTIFS('AFA Rates'!$A$5:$A$1004,$A370,'AFA Rates'!$B$5:$B$1004,M$23)&gt;0,"Exp","")))</f>
        <v/>
      </c>
    </row>
    <row r="371">
      <c r="A371" s="78">
        <f>IFERROR(INDEX(Firms!$A$5:$A$1004,MATCH(348,Firms!$V$5:$V$1004,0)),"")</f>
        <v/>
      </c>
      <c r="B371" s="79">
        <f>IF($A371="","",INDEX(Firms!$B$5:$B$1004,MATCH(348,Firms!$V$5:$V$1004,0)))</f>
        <v/>
      </c>
      <c r="C371" s="79">
        <f>IF($A371="","",COUNTIFS('AFA Rates'!$A$5:$A$1004,$A371,'AFA Rates'!$O$5:$O$1004,"&lt;&gt;Expired"))</f>
        <v/>
      </c>
      <c r="D371" s="79">
        <f>IF(OR($A371="",D$23=""),"",IF(COUNTIFS('AFA Rates'!$A$5:$A$1004,$A371,'AFA Rates'!$B$5:$B$1004,D$23,'AFA Rates'!$O$5:$O$1004,"&lt;&gt;Expired")&gt;0,"✓",IF(COUNTIFS('AFA Rates'!$A$5:$A$1004,$A371,'AFA Rates'!$B$5:$B$1004,D$23)&gt;0,"Exp","")))</f>
        <v/>
      </c>
      <c r="E371" s="79">
        <f>IF(OR($A371="",E$23=""),"",IF(COUNTIFS('AFA Rates'!$A$5:$A$1004,$A371,'AFA Rates'!$B$5:$B$1004,E$23,'AFA Rates'!$O$5:$O$1004,"&lt;&gt;Expired")&gt;0,"✓",IF(COUNTIFS('AFA Rates'!$A$5:$A$1004,$A371,'AFA Rates'!$B$5:$B$1004,E$23)&gt;0,"Exp","")))</f>
        <v/>
      </c>
      <c r="F371" s="79">
        <f>IF(OR($A371="",F$23=""),"",IF(COUNTIFS('AFA Rates'!$A$5:$A$1004,$A371,'AFA Rates'!$B$5:$B$1004,F$23,'AFA Rates'!$O$5:$O$1004,"&lt;&gt;Expired")&gt;0,"✓",IF(COUNTIFS('AFA Rates'!$A$5:$A$1004,$A371,'AFA Rates'!$B$5:$B$1004,F$23)&gt;0,"Exp","")))</f>
        <v/>
      </c>
      <c r="G371" s="79">
        <f>IF(OR($A371="",G$23=""),"",IF(COUNTIFS('AFA Rates'!$A$5:$A$1004,$A371,'AFA Rates'!$B$5:$B$1004,G$23,'AFA Rates'!$O$5:$O$1004,"&lt;&gt;Expired")&gt;0,"✓",IF(COUNTIFS('AFA Rates'!$A$5:$A$1004,$A371,'AFA Rates'!$B$5:$B$1004,G$23)&gt;0,"Exp","")))</f>
        <v/>
      </c>
      <c r="H371" s="79">
        <f>IF(OR($A371="",H$23=""),"",IF(COUNTIFS('AFA Rates'!$A$5:$A$1004,$A371,'AFA Rates'!$B$5:$B$1004,H$23,'AFA Rates'!$O$5:$O$1004,"&lt;&gt;Expired")&gt;0,"✓",IF(COUNTIFS('AFA Rates'!$A$5:$A$1004,$A371,'AFA Rates'!$B$5:$B$1004,H$23)&gt;0,"Exp","")))</f>
        <v/>
      </c>
      <c r="I371" s="79">
        <f>IF(OR($A371="",I$23=""),"",IF(COUNTIFS('AFA Rates'!$A$5:$A$1004,$A371,'AFA Rates'!$B$5:$B$1004,I$23,'AFA Rates'!$O$5:$O$1004,"&lt;&gt;Expired")&gt;0,"✓",IF(COUNTIFS('AFA Rates'!$A$5:$A$1004,$A371,'AFA Rates'!$B$5:$B$1004,I$23)&gt;0,"Exp","")))</f>
        <v/>
      </c>
      <c r="J371" s="79">
        <f>IF(OR($A371="",J$23=""),"",IF(COUNTIFS('AFA Rates'!$A$5:$A$1004,$A371,'AFA Rates'!$B$5:$B$1004,J$23,'AFA Rates'!$O$5:$O$1004,"&lt;&gt;Expired")&gt;0,"✓",IF(COUNTIFS('AFA Rates'!$A$5:$A$1004,$A371,'AFA Rates'!$B$5:$B$1004,J$23)&gt;0,"Exp","")))</f>
        <v/>
      </c>
      <c r="K371" s="79">
        <f>IF(OR($A371="",K$23=""),"",IF(COUNTIFS('AFA Rates'!$A$5:$A$1004,$A371,'AFA Rates'!$B$5:$B$1004,K$23,'AFA Rates'!$O$5:$O$1004,"&lt;&gt;Expired")&gt;0,"✓",IF(COUNTIFS('AFA Rates'!$A$5:$A$1004,$A371,'AFA Rates'!$B$5:$B$1004,K$23)&gt;0,"Exp","")))</f>
        <v/>
      </c>
      <c r="L371" s="79">
        <f>IF(OR($A371="",L$23=""),"",IF(COUNTIFS('AFA Rates'!$A$5:$A$1004,$A371,'AFA Rates'!$B$5:$B$1004,L$23,'AFA Rates'!$O$5:$O$1004,"&lt;&gt;Expired")&gt;0,"✓",IF(COUNTIFS('AFA Rates'!$A$5:$A$1004,$A371,'AFA Rates'!$B$5:$B$1004,L$23)&gt;0,"Exp","")))</f>
        <v/>
      </c>
      <c r="M371" s="79">
        <f>IF(OR($A371="",M$23=""),"",IF(COUNTIFS('AFA Rates'!$A$5:$A$1004,$A371,'AFA Rates'!$B$5:$B$1004,M$23,'AFA Rates'!$O$5:$O$1004,"&lt;&gt;Expired")&gt;0,"✓",IF(COUNTIFS('AFA Rates'!$A$5:$A$1004,$A371,'AFA Rates'!$B$5:$B$1004,M$23)&gt;0,"Exp","")))</f>
        <v/>
      </c>
    </row>
    <row r="372">
      <c r="A372" s="78">
        <f>IFERROR(INDEX(Firms!$A$5:$A$1004,MATCH(349,Firms!$V$5:$V$1004,0)),"")</f>
        <v/>
      </c>
      <c r="B372" s="79">
        <f>IF($A372="","",INDEX(Firms!$B$5:$B$1004,MATCH(349,Firms!$V$5:$V$1004,0)))</f>
        <v/>
      </c>
      <c r="C372" s="79">
        <f>IF($A372="","",COUNTIFS('AFA Rates'!$A$5:$A$1004,$A372,'AFA Rates'!$O$5:$O$1004,"&lt;&gt;Expired"))</f>
        <v/>
      </c>
      <c r="D372" s="79">
        <f>IF(OR($A372="",D$23=""),"",IF(COUNTIFS('AFA Rates'!$A$5:$A$1004,$A372,'AFA Rates'!$B$5:$B$1004,D$23,'AFA Rates'!$O$5:$O$1004,"&lt;&gt;Expired")&gt;0,"✓",IF(COUNTIFS('AFA Rates'!$A$5:$A$1004,$A372,'AFA Rates'!$B$5:$B$1004,D$23)&gt;0,"Exp","")))</f>
        <v/>
      </c>
      <c r="E372" s="79">
        <f>IF(OR($A372="",E$23=""),"",IF(COUNTIFS('AFA Rates'!$A$5:$A$1004,$A372,'AFA Rates'!$B$5:$B$1004,E$23,'AFA Rates'!$O$5:$O$1004,"&lt;&gt;Expired")&gt;0,"✓",IF(COUNTIFS('AFA Rates'!$A$5:$A$1004,$A372,'AFA Rates'!$B$5:$B$1004,E$23)&gt;0,"Exp","")))</f>
        <v/>
      </c>
      <c r="F372" s="79">
        <f>IF(OR($A372="",F$23=""),"",IF(COUNTIFS('AFA Rates'!$A$5:$A$1004,$A372,'AFA Rates'!$B$5:$B$1004,F$23,'AFA Rates'!$O$5:$O$1004,"&lt;&gt;Expired")&gt;0,"✓",IF(COUNTIFS('AFA Rates'!$A$5:$A$1004,$A372,'AFA Rates'!$B$5:$B$1004,F$23)&gt;0,"Exp","")))</f>
        <v/>
      </c>
      <c r="G372" s="79">
        <f>IF(OR($A372="",G$23=""),"",IF(COUNTIFS('AFA Rates'!$A$5:$A$1004,$A372,'AFA Rates'!$B$5:$B$1004,G$23,'AFA Rates'!$O$5:$O$1004,"&lt;&gt;Expired")&gt;0,"✓",IF(COUNTIFS('AFA Rates'!$A$5:$A$1004,$A372,'AFA Rates'!$B$5:$B$1004,G$23)&gt;0,"Exp","")))</f>
        <v/>
      </c>
      <c r="H372" s="79">
        <f>IF(OR($A372="",H$23=""),"",IF(COUNTIFS('AFA Rates'!$A$5:$A$1004,$A372,'AFA Rates'!$B$5:$B$1004,H$23,'AFA Rates'!$O$5:$O$1004,"&lt;&gt;Expired")&gt;0,"✓",IF(COUNTIFS('AFA Rates'!$A$5:$A$1004,$A372,'AFA Rates'!$B$5:$B$1004,H$23)&gt;0,"Exp","")))</f>
        <v/>
      </c>
      <c r="I372" s="79">
        <f>IF(OR($A372="",I$23=""),"",IF(COUNTIFS('AFA Rates'!$A$5:$A$1004,$A372,'AFA Rates'!$B$5:$B$1004,I$23,'AFA Rates'!$O$5:$O$1004,"&lt;&gt;Expired")&gt;0,"✓",IF(COUNTIFS('AFA Rates'!$A$5:$A$1004,$A372,'AFA Rates'!$B$5:$B$1004,I$23)&gt;0,"Exp","")))</f>
        <v/>
      </c>
      <c r="J372" s="79">
        <f>IF(OR($A372="",J$23=""),"",IF(COUNTIFS('AFA Rates'!$A$5:$A$1004,$A372,'AFA Rates'!$B$5:$B$1004,J$23,'AFA Rates'!$O$5:$O$1004,"&lt;&gt;Expired")&gt;0,"✓",IF(COUNTIFS('AFA Rates'!$A$5:$A$1004,$A372,'AFA Rates'!$B$5:$B$1004,J$23)&gt;0,"Exp","")))</f>
        <v/>
      </c>
      <c r="K372" s="79">
        <f>IF(OR($A372="",K$23=""),"",IF(COUNTIFS('AFA Rates'!$A$5:$A$1004,$A372,'AFA Rates'!$B$5:$B$1004,K$23,'AFA Rates'!$O$5:$O$1004,"&lt;&gt;Expired")&gt;0,"✓",IF(COUNTIFS('AFA Rates'!$A$5:$A$1004,$A372,'AFA Rates'!$B$5:$B$1004,K$23)&gt;0,"Exp","")))</f>
        <v/>
      </c>
      <c r="L372" s="79">
        <f>IF(OR($A372="",L$23=""),"",IF(COUNTIFS('AFA Rates'!$A$5:$A$1004,$A372,'AFA Rates'!$B$5:$B$1004,L$23,'AFA Rates'!$O$5:$O$1004,"&lt;&gt;Expired")&gt;0,"✓",IF(COUNTIFS('AFA Rates'!$A$5:$A$1004,$A372,'AFA Rates'!$B$5:$B$1004,L$23)&gt;0,"Exp","")))</f>
        <v/>
      </c>
      <c r="M372" s="79">
        <f>IF(OR($A372="",M$23=""),"",IF(COUNTIFS('AFA Rates'!$A$5:$A$1004,$A372,'AFA Rates'!$B$5:$B$1004,M$23,'AFA Rates'!$O$5:$O$1004,"&lt;&gt;Expired")&gt;0,"✓",IF(COUNTIFS('AFA Rates'!$A$5:$A$1004,$A372,'AFA Rates'!$B$5:$B$1004,M$23)&gt;0,"Exp","")))</f>
        <v/>
      </c>
    </row>
    <row r="373">
      <c r="A373" s="78">
        <f>IFERROR(INDEX(Firms!$A$5:$A$1004,MATCH(350,Firms!$V$5:$V$1004,0)),"")</f>
        <v/>
      </c>
      <c r="B373" s="79">
        <f>IF($A373="","",INDEX(Firms!$B$5:$B$1004,MATCH(350,Firms!$V$5:$V$1004,0)))</f>
        <v/>
      </c>
      <c r="C373" s="79">
        <f>IF($A373="","",COUNTIFS('AFA Rates'!$A$5:$A$1004,$A373,'AFA Rates'!$O$5:$O$1004,"&lt;&gt;Expired"))</f>
        <v/>
      </c>
      <c r="D373" s="79">
        <f>IF(OR($A373="",D$23=""),"",IF(COUNTIFS('AFA Rates'!$A$5:$A$1004,$A373,'AFA Rates'!$B$5:$B$1004,D$23,'AFA Rates'!$O$5:$O$1004,"&lt;&gt;Expired")&gt;0,"✓",IF(COUNTIFS('AFA Rates'!$A$5:$A$1004,$A373,'AFA Rates'!$B$5:$B$1004,D$23)&gt;0,"Exp","")))</f>
        <v/>
      </c>
      <c r="E373" s="79">
        <f>IF(OR($A373="",E$23=""),"",IF(COUNTIFS('AFA Rates'!$A$5:$A$1004,$A373,'AFA Rates'!$B$5:$B$1004,E$23,'AFA Rates'!$O$5:$O$1004,"&lt;&gt;Expired")&gt;0,"✓",IF(COUNTIFS('AFA Rates'!$A$5:$A$1004,$A373,'AFA Rates'!$B$5:$B$1004,E$23)&gt;0,"Exp","")))</f>
        <v/>
      </c>
      <c r="F373" s="79">
        <f>IF(OR($A373="",F$23=""),"",IF(COUNTIFS('AFA Rates'!$A$5:$A$1004,$A373,'AFA Rates'!$B$5:$B$1004,F$23,'AFA Rates'!$O$5:$O$1004,"&lt;&gt;Expired")&gt;0,"✓",IF(COUNTIFS('AFA Rates'!$A$5:$A$1004,$A373,'AFA Rates'!$B$5:$B$1004,F$23)&gt;0,"Exp","")))</f>
        <v/>
      </c>
      <c r="G373" s="79">
        <f>IF(OR($A373="",G$23=""),"",IF(COUNTIFS('AFA Rates'!$A$5:$A$1004,$A373,'AFA Rates'!$B$5:$B$1004,G$23,'AFA Rates'!$O$5:$O$1004,"&lt;&gt;Expired")&gt;0,"✓",IF(COUNTIFS('AFA Rates'!$A$5:$A$1004,$A373,'AFA Rates'!$B$5:$B$1004,G$23)&gt;0,"Exp","")))</f>
        <v/>
      </c>
      <c r="H373" s="79">
        <f>IF(OR($A373="",H$23=""),"",IF(COUNTIFS('AFA Rates'!$A$5:$A$1004,$A373,'AFA Rates'!$B$5:$B$1004,H$23,'AFA Rates'!$O$5:$O$1004,"&lt;&gt;Expired")&gt;0,"✓",IF(COUNTIFS('AFA Rates'!$A$5:$A$1004,$A373,'AFA Rates'!$B$5:$B$1004,H$23)&gt;0,"Exp","")))</f>
        <v/>
      </c>
      <c r="I373" s="79">
        <f>IF(OR($A373="",I$23=""),"",IF(COUNTIFS('AFA Rates'!$A$5:$A$1004,$A373,'AFA Rates'!$B$5:$B$1004,I$23,'AFA Rates'!$O$5:$O$1004,"&lt;&gt;Expired")&gt;0,"✓",IF(COUNTIFS('AFA Rates'!$A$5:$A$1004,$A373,'AFA Rates'!$B$5:$B$1004,I$23)&gt;0,"Exp","")))</f>
        <v/>
      </c>
      <c r="J373" s="79">
        <f>IF(OR($A373="",J$23=""),"",IF(COUNTIFS('AFA Rates'!$A$5:$A$1004,$A373,'AFA Rates'!$B$5:$B$1004,J$23,'AFA Rates'!$O$5:$O$1004,"&lt;&gt;Expired")&gt;0,"✓",IF(COUNTIFS('AFA Rates'!$A$5:$A$1004,$A373,'AFA Rates'!$B$5:$B$1004,J$23)&gt;0,"Exp","")))</f>
        <v/>
      </c>
      <c r="K373" s="79">
        <f>IF(OR($A373="",K$23=""),"",IF(COUNTIFS('AFA Rates'!$A$5:$A$1004,$A373,'AFA Rates'!$B$5:$B$1004,K$23,'AFA Rates'!$O$5:$O$1004,"&lt;&gt;Expired")&gt;0,"✓",IF(COUNTIFS('AFA Rates'!$A$5:$A$1004,$A373,'AFA Rates'!$B$5:$B$1004,K$23)&gt;0,"Exp","")))</f>
        <v/>
      </c>
      <c r="L373" s="79">
        <f>IF(OR($A373="",L$23=""),"",IF(COUNTIFS('AFA Rates'!$A$5:$A$1004,$A373,'AFA Rates'!$B$5:$B$1004,L$23,'AFA Rates'!$O$5:$O$1004,"&lt;&gt;Expired")&gt;0,"✓",IF(COUNTIFS('AFA Rates'!$A$5:$A$1004,$A373,'AFA Rates'!$B$5:$B$1004,L$23)&gt;0,"Exp","")))</f>
        <v/>
      </c>
      <c r="M373" s="79">
        <f>IF(OR($A373="",M$23=""),"",IF(COUNTIFS('AFA Rates'!$A$5:$A$1004,$A373,'AFA Rates'!$B$5:$B$1004,M$23,'AFA Rates'!$O$5:$O$1004,"&lt;&gt;Expired")&gt;0,"✓",IF(COUNTIFS('AFA Rates'!$A$5:$A$1004,$A373,'AFA Rates'!$B$5:$B$1004,M$23)&gt;0,"Exp","")))</f>
        <v/>
      </c>
    </row>
    <row r="374">
      <c r="A374" s="78">
        <f>IFERROR(INDEX(Firms!$A$5:$A$1004,MATCH(351,Firms!$V$5:$V$1004,0)),"")</f>
        <v/>
      </c>
      <c r="B374" s="79">
        <f>IF($A374="","",INDEX(Firms!$B$5:$B$1004,MATCH(351,Firms!$V$5:$V$1004,0)))</f>
        <v/>
      </c>
      <c r="C374" s="79">
        <f>IF($A374="","",COUNTIFS('AFA Rates'!$A$5:$A$1004,$A374,'AFA Rates'!$O$5:$O$1004,"&lt;&gt;Expired"))</f>
        <v/>
      </c>
      <c r="D374" s="79">
        <f>IF(OR($A374="",D$23=""),"",IF(COUNTIFS('AFA Rates'!$A$5:$A$1004,$A374,'AFA Rates'!$B$5:$B$1004,D$23,'AFA Rates'!$O$5:$O$1004,"&lt;&gt;Expired")&gt;0,"✓",IF(COUNTIFS('AFA Rates'!$A$5:$A$1004,$A374,'AFA Rates'!$B$5:$B$1004,D$23)&gt;0,"Exp","")))</f>
        <v/>
      </c>
      <c r="E374" s="79">
        <f>IF(OR($A374="",E$23=""),"",IF(COUNTIFS('AFA Rates'!$A$5:$A$1004,$A374,'AFA Rates'!$B$5:$B$1004,E$23,'AFA Rates'!$O$5:$O$1004,"&lt;&gt;Expired")&gt;0,"✓",IF(COUNTIFS('AFA Rates'!$A$5:$A$1004,$A374,'AFA Rates'!$B$5:$B$1004,E$23)&gt;0,"Exp","")))</f>
        <v/>
      </c>
      <c r="F374" s="79">
        <f>IF(OR($A374="",F$23=""),"",IF(COUNTIFS('AFA Rates'!$A$5:$A$1004,$A374,'AFA Rates'!$B$5:$B$1004,F$23,'AFA Rates'!$O$5:$O$1004,"&lt;&gt;Expired")&gt;0,"✓",IF(COUNTIFS('AFA Rates'!$A$5:$A$1004,$A374,'AFA Rates'!$B$5:$B$1004,F$23)&gt;0,"Exp","")))</f>
        <v/>
      </c>
      <c r="G374" s="79">
        <f>IF(OR($A374="",G$23=""),"",IF(COUNTIFS('AFA Rates'!$A$5:$A$1004,$A374,'AFA Rates'!$B$5:$B$1004,G$23,'AFA Rates'!$O$5:$O$1004,"&lt;&gt;Expired")&gt;0,"✓",IF(COUNTIFS('AFA Rates'!$A$5:$A$1004,$A374,'AFA Rates'!$B$5:$B$1004,G$23)&gt;0,"Exp","")))</f>
        <v/>
      </c>
      <c r="H374" s="79">
        <f>IF(OR($A374="",H$23=""),"",IF(COUNTIFS('AFA Rates'!$A$5:$A$1004,$A374,'AFA Rates'!$B$5:$B$1004,H$23,'AFA Rates'!$O$5:$O$1004,"&lt;&gt;Expired")&gt;0,"✓",IF(COUNTIFS('AFA Rates'!$A$5:$A$1004,$A374,'AFA Rates'!$B$5:$B$1004,H$23)&gt;0,"Exp","")))</f>
        <v/>
      </c>
      <c r="I374" s="79">
        <f>IF(OR($A374="",I$23=""),"",IF(COUNTIFS('AFA Rates'!$A$5:$A$1004,$A374,'AFA Rates'!$B$5:$B$1004,I$23,'AFA Rates'!$O$5:$O$1004,"&lt;&gt;Expired")&gt;0,"✓",IF(COUNTIFS('AFA Rates'!$A$5:$A$1004,$A374,'AFA Rates'!$B$5:$B$1004,I$23)&gt;0,"Exp","")))</f>
        <v/>
      </c>
      <c r="J374" s="79">
        <f>IF(OR($A374="",J$23=""),"",IF(COUNTIFS('AFA Rates'!$A$5:$A$1004,$A374,'AFA Rates'!$B$5:$B$1004,J$23,'AFA Rates'!$O$5:$O$1004,"&lt;&gt;Expired")&gt;0,"✓",IF(COUNTIFS('AFA Rates'!$A$5:$A$1004,$A374,'AFA Rates'!$B$5:$B$1004,J$23)&gt;0,"Exp","")))</f>
        <v/>
      </c>
      <c r="K374" s="79">
        <f>IF(OR($A374="",K$23=""),"",IF(COUNTIFS('AFA Rates'!$A$5:$A$1004,$A374,'AFA Rates'!$B$5:$B$1004,K$23,'AFA Rates'!$O$5:$O$1004,"&lt;&gt;Expired")&gt;0,"✓",IF(COUNTIFS('AFA Rates'!$A$5:$A$1004,$A374,'AFA Rates'!$B$5:$B$1004,K$23)&gt;0,"Exp","")))</f>
        <v/>
      </c>
      <c r="L374" s="79">
        <f>IF(OR($A374="",L$23=""),"",IF(COUNTIFS('AFA Rates'!$A$5:$A$1004,$A374,'AFA Rates'!$B$5:$B$1004,L$23,'AFA Rates'!$O$5:$O$1004,"&lt;&gt;Expired")&gt;0,"✓",IF(COUNTIFS('AFA Rates'!$A$5:$A$1004,$A374,'AFA Rates'!$B$5:$B$1004,L$23)&gt;0,"Exp","")))</f>
        <v/>
      </c>
      <c r="M374" s="79">
        <f>IF(OR($A374="",M$23=""),"",IF(COUNTIFS('AFA Rates'!$A$5:$A$1004,$A374,'AFA Rates'!$B$5:$B$1004,M$23,'AFA Rates'!$O$5:$O$1004,"&lt;&gt;Expired")&gt;0,"✓",IF(COUNTIFS('AFA Rates'!$A$5:$A$1004,$A374,'AFA Rates'!$B$5:$B$1004,M$23)&gt;0,"Exp","")))</f>
        <v/>
      </c>
    </row>
    <row r="375">
      <c r="A375" s="78">
        <f>IFERROR(INDEX(Firms!$A$5:$A$1004,MATCH(352,Firms!$V$5:$V$1004,0)),"")</f>
        <v/>
      </c>
      <c r="B375" s="79">
        <f>IF($A375="","",INDEX(Firms!$B$5:$B$1004,MATCH(352,Firms!$V$5:$V$1004,0)))</f>
        <v/>
      </c>
      <c r="C375" s="79">
        <f>IF($A375="","",COUNTIFS('AFA Rates'!$A$5:$A$1004,$A375,'AFA Rates'!$O$5:$O$1004,"&lt;&gt;Expired"))</f>
        <v/>
      </c>
      <c r="D375" s="79">
        <f>IF(OR($A375="",D$23=""),"",IF(COUNTIFS('AFA Rates'!$A$5:$A$1004,$A375,'AFA Rates'!$B$5:$B$1004,D$23,'AFA Rates'!$O$5:$O$1004,"&lt;&gt;Expired")&gt;0,"✓",IF(COUNTIFS('AFA Rates'!$A$5:$A$1004,$A375,'AFA Rates'!$B$5:$B$1004,D$23)&gt;0,"Exp","")))</f>
        <v/>
      </c>
      <c r="E375" s="79">
        <f>IF(OR($A375="",E$23=""),"",IF(COUNTIFS('AFA Rates'!$A$5:$A$1004,$A375,'AFA Rates'!$B$5:$B$1004,E$23,'AFA Rates'!$O$5:$O$1004,"&lt;&gt;Expired")&gt;0,"✓",IF(COUNTIFS('AFA Rates'!$A$5:$A$1004,$A375,'AFA Rates'!$B$5:$B$1004,E$23)&gt;0,"Exp","")))</f>
        <v/>
      </c>
      <c r="F375" s="79">
        <f>IF(OR($A375="",F$23=""),"",IF(COUNTIFS('AFA Rates'!$A$5:$A$1004,$A375,'AFA Rates'!$B$5:$B$1004,F$23,'AFA Rates'!$O$5:$O$1004,"&lt;&gt;Expired")&gt;0,"✓",IF(COUNTIFS('AFA Rates'!$A$5:$A$1004,$A375,'AFA Rates'!$B$5:$B$1004,F$23)&gt;0,"Exp","")))</f>
        <v/>
      </c>
      <c r="G375" s="79">
        <f>IF(OR($A375="",G$23=""),"",IF(COUNTIFS('AFA Rates'!$A$5:$A$1004,$A375,'AFA Rates'!$B$5:$B$1004,G$23,'AFA Rates'!$O$5:$O$1004,"&lt;&gt;Expired")&gt;0,"✓",IF(COUNTIFS('AFA Rates'!$A$5:$A$1004,$A375,'AFA Rates'!$B$5:$B$1004,G$23)&gt;0,"Exp","")))</f>
        <v/>
      </c>
      <c r="H375" s="79">
        <f>IF(OR($A375="",H$23=""),"",IF(COUNTIFS('AFA Rates'!$A$5:$A$1004,$A375,'AFA Rates'!$B$5:$B$1004,H$23,'AFA Rates'!$O$5:$O$1004,"&lt;&gt;Expired")&gt;0,"✓",IF(COUNTIFS('AFA Rates'!$A$5:$A$1004,$A375,'AFA Rates'!$B$5:$B$1004,H$23)&gt;0,"Exp","")))</f>
        <v/>
      </c>
      <c r="I375" s="79">
        <f>IF(OR($A375="",I$23=""),"",IF(COUNTIFS('AFA Rates'!$A$5:$A$1004,$A375,'AFA Rates'!$B$5:$B$1004,I$23,'AFA Rates'!$O$5:$O$1004,"&lt;&gt;Expired")&gt;0,"✓",IF(COUNTIFS('AFA Rates'!$A$5:$A$1004,$A375,'AFA Rates'!$B$5:$B$1004,I$23)&gt;0,"Exp","")))</f>
        <v/>
      </c>
      <c r="J375" s="79">
        <f>IF(OR($A375="",J$23=""),"",IF(COUNTIFS('AFA Rates'!$A$5:$A$1004,$A375,'AFA Rates'!$B$5:$B$1004,J$23,'AFA Rates'!$O$5:$O$1004,"&lt;&gt;Expired")&gt;0,"✓",IF(COUNTIFS('AFA Rates'!$A$5:$A$1004,$A375,'AFA Rates'!$B$5:$B$1004,J$23)&gt;0,"Exp","")))</f>
        <v/>
      </c>
      <c r="K375" s="79">
        <f>IF(OR($A375="",K$23=""),"",IF(COUNTIFS('AFA Rates'!$A$5:$A$1004,$A375,'AFA Rates'!$B$5:$B$1004,K$23,'AFA Rates'!$O$5:$O$1004,"&lt;&gt;Expired")&gt;0,"✓",IF(COUNTIFS('AFA Rates'!$A$5:$A$1004,$A375,'AFA Rates'!$B$5:$B$1004,K$23)&gt;0,"Exp","")))</f>
        <v/>
      </c>
      <c r="L375" s="79">
        <f>IF(OR($A375="",L$23=""),"",IF(COUNTIFS('AFA Rates'!$A$5:$A$1004,$A375,'AFA Rates'!$B$5:$B$1004,L$23,'AFA Rates'!$O$5:$O$1004,"&lt;&gt;Expired")&gt;0,"✓",IF(COUNTIFS('AFA Rates'!$A$5:$A$1004,$A375,'AFA Rates'!$B$5:$B$1004,L$23)&gt;0,"Exp","")))</f>
        <v/>
      </c>
      <c r="M375" s="79">
        <f>IF(OR($A375="",M$23=""),"",IF(COUNTIFS('AFA Rates'!$A$5:$A$1004,$A375,'AFA Rates'!$B$5:$B$1004,M$23,'AFA Rates'!$O$5:$O$1004,"&lt;&gt;Expired")&gt;0,"✓",IF(COUNTIFS('AFA Rates'!$A$5:$A$1004,$A375,'AFA Rates'!$B$5:$B$1004,M$23)&gt;0,"Exp","")))</f>
        <v/>
      </c>
    </row>
    <row r="376">
      <c r="A376" s="78">
        <f>IFERROR(INDEX(Firms!$A$5:$A$1004,MATCH(353,Firms!$V$5:$V$1004,0)),"")</f>
        <v/>
      </c>
      <c r="B376" s="79">
        <f>IF($A376="","",INDEX(Firms!$B$5:$B$1004,MATCH(353,Firms!$V$5:$V$1004,0)))</f>
        <v/>
      </c>
      <c r="C376" s="79">
        <f>IF($A376="","",COUNTIFS('AFA Rates'!$A$5:$A$1004,$A376,'AFA Rates'!$O$5:$O$1004,"&lt;&gt;Expired"))</f>
        <v/>
      </c>
      <c r="D376" s="79">
        <f>IF(OR($A376="",D$23=""),"",IF(COUNTIFS('AFA Rates'!$A$5:$A$1004,$A376,'AFA Rates'!$B$5:$B$1004,D$23,'AFA Rates'!$O$5:$O$1004,"&lt;&gt;Expired")&gt;0,"✓",IF(COUNTIFS('AFA Rates'!$A$5:$A$1004,$A376,'AFA Rates'!$B$5:$B$1004,D$23)&gt;0,"Exp","")))</f>
        <v/>
      </c>
      <c r="E376" s="79">
        <f>IF(OR($A376="",E$23=""),"",IF(COUNTIFS('AFA Rates'!$A$5:$A$1004,$A376,'AFA Rates'!$B$5:$B$1004,E$23,'AFA Rates'!$O$5:$O$1004,"&lt;&gt;Expired")&gt;0,"✓",IF(COUNTIFS('AFA Rates'!$A$5:$A$1004,$A376,'AFA Rates'!$B$5:$B$1004,E$23)&gt;0,"Exp","")))</f>
        <v/>
      </c>
      <c r="F376" s="79">
        <f>IF(OR($A376="",F$23=""),"",IF(COUNTIFS('AFA Rates'!$A$5:$A$1004,$A376,'AFA Rates'!$B$5:$B$1004,F$23,'AFA Rates'!$O$5:$O$1004,"&lt;&gt;Expired")&gt;0,"✓",IF(COUNTIFS('AFA Rates'!$A$5:$A$1004,$A376,'AFA Rates'!$B$5:$B$1004,F$23)&gt;0,"Exp","")))</f>
        <v/>
      </c>
      <c r="G376" s="79">
        <f>IF(OR($A376="",G$23=""),"",IF(COUNTIFS('AFA Rates'!$A$5:$A$1004,$A376,'AFA Rates'!$B$5:$B$1004,G$23,'AFA Rates'!$O$5:$O$1004,"&lt;&gt;Expired")&gt;0,"✓",IF(COUNTIFS('AFA Rates'!$A$5:$A$1004,$A376,'AFA Rates'!$B$5:$B$1004,G$23)&gt;0,"Exp","")))</f>
        <v/>
      </c>
      <c r="H376" s="79">
        <f>IF(OR($A376="",H$23=""),"",IF(COUNTIFS('AFA Rates'!$A$5:$A$1004,$A376,'AFA Rates'!$B$5:$B$1004,H$23,'AFA Rates'!$O$5:$O$1004,"&lt;&gt;Expired")&gt;0,"✓",IF(COUNTIFS('AFA Rates'!$A$5:$A$1004,$A376,'AFA Rates'!$B$5:$B$1004,H$23)&gt;0,"Exp","")))</f>
        <v/>
      </c>
      <c r="I376" s="79">
        <f>IF(OR($A376="",I$23=""),"",IF(COUNTIFS('AFA Rates'!$A$5:$A$1004,$A376,'AFA Rates'!$B$5:$B$1004,I$23,'AFA Rates'!$O$5:$O$1004,"&lt;&gt;Expired")&gt;0,"✓",IF(COUNTIFS('AFA Rates'!$A$5:$A$1004,$A376,'AFA Rates'!$B$5:$B$1004,I$23)&gt;0,"Exp","")))</f>
        <v/>
      </c>
      <c r="J376" s="79">
        <f>IF(OR($A376="",J$23=""),"",IF(COUNTIFS('AFA Rates'!$A$5:$A$1004,$A376,'AFA Rates'!$B$5:$B$1004,J$23,'AFA Rates'!$O$5:$O$1004,"&lt;&gt;Expired")&gt;0,"✓",IF(COUNTIFS('AFA Rates'!$A$5:$A$1004,$A376,'AFA Rates'!$B$5:$B$1004,J$23)&gt;0,"Exp","")))</f>
        <v/>
      </c>
      <c r="K376" s="79">
        <f>IF(OR($A376="",K$23=""),"",IF(COUNTIFS('AFA Rates'!$A$5:$A$1004,$A376,'AFA Rates'!$B$5:$B$1004,K$23,'AFA Rates'!$O$5:$O$1004,"&lt;&gt;Expired")&gt;0,"✓",IF(COUNTIFS('AFA Rates'!$A$5:$A$1004,$A376,'AFA Rates'!$B$5:$B$1004,K$23)&gt;0,"Exp","")))</f>
        <v/>
      </c>
      <c r="L376" s="79">
        <f>IF(OR($A376="",L$23=""),"",IF(COUNTIFS('AFA Rates'!$A$5:$A$1004,$A376,'AFA Rates'!$B$5:$B$1004,L$23,'AFA Rates'!$O$5:$O$1004,"&lt;&gt;Expired")&gt;0,"✓",IF(COUNTIFS('AFA Rates'!$A$5:$A$1004,$A376,'AFA Rates'!$B$5:$B$1004,L$23)&gt;0,"Exp","")))</f>
        <v/>
      </c>
      <c r="M376" s="79">
        <f>IF(OR($A376="",M$23=""),"",IF(COUNTIFS('AFA Rates'!$A$5:$A$1004,$A376,'AFA Rates'!$B$5:$B$1004,M$23,'AFA Rates'!$O$5:$O$1004,"&lt;&gt;Expired")&gt;0,"✓",IF(COUNTIFS('AFA Rates'!$A$5:$A$1004,$A376,'AFA Rates'!$B$5:$B$1004,M$23)&gt;0,"Exp","")))</f>
        <v/>
      </c>
    </row>
    <row r="377">
      <c r="A377" s="78">
        <f>IFERROR(INDEX(Firms!$A$5:$A$1004,MATCH(354,Firms!$V$5:$V$1004,0)),"")</f>
        <v/>
      </c>
      <c r="B377" s="79">
        <f>IF($A377="","",INDEX(Firms!$B$5:$B$1004,MATCH(354,Firms!$V$5:$V$1004,0)))</f>
        <v/>
      </c>
      <c r="C377" s="79">
        <f>IF($A377="","",COUNTIFS('AFA Rates'!$A$5:$A$1004,$A377,'AFA Rates'!$O$5:$O$1004,"&lt;&gt;Expired"))</f>
        <v/>
      </c>
      <c r="D377" s="79">
        <f>IF(OR($A377="",D$23=""),"",IF(COUNTIFS('AFA Rates'!$A$5:$A$1004,$A377,'AFA Rates'!$B$5:$B$1004,D$23,'AFA Rates'!$O$5:$O$1004,"&lt;&gt;Expired")&gt;0,"✓",IF(COUNTIFS('AFA Rates'!$A$5:$A$1004,$A377,'AFA Rates'!$B$5:$B$1004,D$23)&gt;0,"Exp","")))</f>
        <v/>
      </c>
      <c r="E377" s="79">
        <f>IF(OR($A377="",E$23=""),"",IF(COUNTIFS('AFA Rates'!$A$5:$A$1004,$A377,'AFA Rates'!$B$5:$B$1004,E$23,'AFA Rates'!$O$5:$O$1004,"&lt;&gt;Expired")&gt;0,"✓",IF(COUNTIFS('AFA Rates'!$A$5:$A$1004,$A377,'AFA Rates'!$B$5:$B$1004,E$23)&gt;0,"Exp","")))</f>
        <v/>
      </c>
      <c r="F377" s="79">
        <f>IF(OR($A377="",F$23=""),"",IF(COUNTIFS('AFA Rates'!$A$5:$A$1004,$A377,'AFA Rates'!$B$5:$B$1004,F$23,'AFA Rates'!$O$5:$O$1004,"&lt;&gt;Expired")&gt;0,"✓",IF(COUNTIFS('AFA Rates'!$A$5:$A$1004,$A377,'AFA Rates'!$B$5:$B$1004,F$23)&gt;0,"Exp","")))</f>
        <v/>
      </c>
      <c r="G377" s="79">
        <f>IF(OR($A377="",G$23=""),"",IF(COUNTIFS('AFA Rates'!$A$5:$A$1004,$A377,'AFA Rates'!$B$5:$B$1004,G$23,'AFA Rates'!$O$5:$O$1004,"&lt;&gt;Expired")&gt;0,"✓",IF(COUNTIFS('AFA Rates'!$A$5:$A$1004,$A377,'AFA Rates'!$B$5:$B$1004,G$23)&gt;0,"Exp","")))</f>
        <v/>
      </c>
      <c r="H377" s="79">
        <f>IF(OR($A377="",H$23=""),"",IF(COUNTIFS('AFA Rates'!$A$5:$A$1004,$A377,'AFA Rates'!$B$5:$B$1004,H$23,'AFA Rates'!$O$5:$O$1004,"&lt;&gt;Expired")&gt;0,"✓",IF(COUNTIFS('AFA Rates'!$A$5:$A$1004,$A377,'AFA Rates'!$B$5:$B$1004,H$23)&gt;0,"Exp","")))</f>
        <v/>
      </c>
      <c r="I377" s="79">
        <f>IF(OR($A377="",I$23=""),"",IF(COUNTIFS('AFA Rates'!$A$5:$A$1004,$A377,'AFA Rates'!$B$5:$B$1004,I$23,'AFA Rates'!$O$5:$O$1004,"&lt;&gt;Expired")&gt;0,"✓",IF(COUNTIFS('AFA Rates'!$A$5:$A$1004,$A377,'AFA Rates'!$B$5:$B$1004,I$23)&gt;0,"Exp","")))</f>
        <v/>
      </c>
      <c r="J377" s="79">
        <f>IF(OR($A377="",J$23=""),"",IF(COUNTIFS('AFA Rates'!$A$5:$A$1004,$A377,'AFA Rates'!$B$5:$B$1004,J$23,'AFA Rates'!$O$5:$O$1004,"&lt;&gt;Expired")&gt;0,"✓",IF(COUNTIFS('AFA Rates'!$A$5:$A$1004,$A377,'AFA Rates'!$B$5:$B$1004,J$23)&gt;0,"Exp","")))</f>
        <v/>
      </c>
      <c r="K377" s="79">
        <f>IF(OR($A377="",K$23=""),"",IF(COUNTIFS('AFA Rates'!$A$5:$A$1004,$A377,'AFA Rates'!$B$5:$B$1004,K$23,'AFA Rates'!$O$5:$O$1004,"&lt;&gt;Expired")&gt;0,"✓",IF(COUNTIFS('AFA Rates'!$A$5:$A$1004,$A377,'AFA Rates'!$B$5:$B$1004,K$23)&gt;0,"Exp","")))</f>
        <v/>
      </c>
      <c r="L377" s="79">
        <f>IF(OR($A377="",L$23=""),"",IF(COUNTIFS('AFA Rates'!$A$5:$A$1004,$A377,'AFA Rates'!$B$5:$B$1004,L$23,'AFA Rates'!$O$5:$O$1004,"&lt;&gt;Expired")&gt;0,"✓",IF(COUNTIFS('AFA Rates'!$A$5:$A$1004,$A377,'AFA Rates'!$B$5:$B$1004,L$23)&gt;0,"Exp","")))</f>
        <v/>
      </c>
      <c r="M377" s="79">
        <f>IF(OR($A377="",M$23=""),"",IF(COUNTIFS('AFA Rates'!$A$5:$A$1004,$A377,'AFA Rates'!$B$5:$B$1004,M$23,'AFA Rates'!$O$5:$O$1004,"&lt;&gt;Expired")&gt;0,"✓",IF(COUNTIFS('AFA Rates'!$A$5:$A$1004,$A377,'AFA Rates'!$B$5:$B$1004,M$23)&gt;0,"Exp","")))</f>
        <v/>
      </c>
    </row>
    <row r="378">
      <c r="A378" s="78">
        <f>IFERROR(INDEX(Firms!$A$5:$A$1004,MATCH(355,Firms!$V$5:$V$1004,0)),"")</f>
        <v/>
      </c>
      <c r="B378" s="79">
        <f>IF($A378="","",INDEX(Firms!$B$5:$B$1004,MATCH(355,Firms!$V$5:$V$1004,0)))</f>
        <v/>
      </c>
      <c r="C378" s="79">
        <f>IF($A378="","",COUNTIFS('AFA Rates'!$A$5:$A$1004,$A378,'AFA Rates'!$O$5:$O$1004,"&lt;&gt;Expired"))</f>
        <v/>
      </c>
      <c r="D378" s="79">
        <f>IF(OR($A378="",D$23=""),"",IF(COUNTIFS('AFA Rates'!$A$5:$A$1004,$A378,'AFA Rates'!$B$5:$B$1004,D$23,'AFA Rates'!$O$5:$O$1004,"&lt;&gt;Expired")&gt;0,"✓",IF(COUNTIFS('AFA Rates'!$A$5:$A$1004,$A378,'AFA Rates'!$B$5:$B$1004,D$23)&gt;0,"Exp","")))</f>
        <v/>
      </c>
      <c r="E378" s="79">
        <f>IF(OR($A378="",E$23=""),"",IF(COUNTIFS('AFA Rates'!$A$5:$A$1004,$A378,'AFA Rates'!$B$5:$B$1004,E$23,'AFA Rates'!$O$5:$O$1004,"&lt;&gt;Expired")&gt;0,"✓",IF(COUNTIFS('AFA Rates'!$A$5:$A$1004,$A378,'AFA Rates'!$B$5:$B$1004,E$23)&gt;0,"Exp","")))</f>
        <v/>
      </c>
      <c r="F378" s="79">
        <f>IF(OR($A378="",F$23=""),"",IF(COUNTIFS('AFA Rates'!$A$5:$A$1004,$A378,'AFA Rates'!$B$5:$B$1004,F$23,'AFA Rates'!$O$5:$O$1004,"&lt;&gt;Expired")&gt;0,"✓",IF(COUNTIFS('AFA Rates'!$A$5:$A$1004,$A378,'AFA Rates'!$B$5:$B$1004,F$23)&gt;0,"Exp","")))</f>
        <v/>
      </c>
      <c r="G378" s="79">
        <f>IF(OR($A378="",G$23=""),"",IF(COUNTIFS('AFA Rates'!$A$5:$A$1004,$A378,'AFA Rates'!$B$5:$B$1004,G$23,'AFA Rates'!$O$5:$O$1004,"&lt;&gt;Expired")&gt;0,"✓",IF(COUNTIFS('AFA Rates'!$A$5:$A$1004,$A378,'AFA Rates'!$B$5:$B$1004,G$23)&gt;0,"Exp","")))</f>
        <v/>
      </c>
      <c r="H378" s="79">
        <f>IF(OR($A378="",H$23=""),"",IF(COUNTIFS('AFA Rates'!$A$5:$A$1004,$A378,'AFA Rates'!$B$5:$B$1004,H$23,'AFA Rates'!$O$5:$O$1004,"&lt;&gt;Expired")&gt;0,"✓",IF(COUNTIFS('AFA Rates'!$A$5:$A$1004,$A378,'AFA Rates'!$B$5:$B$1004,H$23)&gt;0,"Exp","")))</f>
        <v/>
      </c>
      <c r="I378" s="79">
        <f>IF(OR($A378="",I$23=""),"",IF(COUNTIFS('AFA Rates'!$A$5:$A$1004,$A378,'AFA Rates'!$B$5:$B$1004,I$23,'AFA Rates'!$O$5:$O$1004,"&lt;&gt;Expired")&gt;0,"✓",IF(COUNTIFS('AFA Rates'!$A$5:$A$1004,$A378,'AFA Rates'!$B$5:$B$1004,I$23)&gt;0,"Exp","")))</f>
        <v/>
      </c>
      <c r="J378" s="79">
        <f>IF(OR($A378="",J$23=""),"",IF(COUNTIFS('AFA Rates'!$A$5:$A$1004,$A378,'AFA Rates'!$B$5:$B$1004,J$23,'AFA Rates'!$O$5:$O$1004,"&lt;&gt;Expired")&gt;0,"✓",IF(COUNTIFS('AFA Rates'!$A$5:$A$1004,$A378,'AFA Rates'!$B$5:$B$1004,J$23)&gt;0,"Exp","")))</f>
        <v/>
      </c>
      <c r="K378" s="79">
        <f>IF(OR($A378="",K$23=""),"",IF(COUNTIFS('AFA Rates'!$A$5:$A$1004,$A378,'AFA Rates'!$B$5:$B$1004,K$23,'AFA Rates'!$O$5:$O$1004,"&lt;&gt;Expired")&gt;0,"✓",IF(COUNTIFS('AFA Rates'!$A$5:$A$1004,$A378,'AFA Rates'!$B$5:$B$1004,K$23)&gt;0,"Exp","")))</f>
        <v/>
      </c>
      <c r="L378" s="79">
        <f>IF(OR($A378="",L$23=""),"",IF(COUNTIFS('AFA Rates'!$A$5:$A$1004,$A378,'AFA Rates'!$B$5:$B$1004,L$23,'AFA Rates'!$O$5:$O$1004,"&lt;&gt;Expired")&gt;0,"✓",IF(COUNTIFS('AFA Rates'!$A$5:$A$1004,$A378,'AFA Rates'!$B$5:$B$1004,L$23)&gt;0,"Exp","")))</f>
        <v/>
      </c>
      <c r="M378" s="79">
        <f>IF(OR($A378="",M$23=""),"",IF(COUNTIFS('AFA Rates'!$A$5:$A$1004,$A378,'AFA Rates'!$B$5:$B$1004,M$23,'AFA Rates'!$O$5:$O$1004,"&lt;&gt;Expired")&gt;0,"✓",IF(COUNTIFS('AFA Rates'!$A$5:$A$1004,$A378,'AFA Rates'!$B$5:$B$1004,M$23)&gt;0,"Exp","")))</f>
        <v/>
      </c>
    </row>
    <row r="379">
      <c r="A379" s="78">
        <f>IFERROR(INDEX(Firms!$A$5:$A$1004,MATCH(356,Firms!$V$5:$V$1004,0)),"")</f>
        <v/>
      </c>
      <c r="B379" s="79">
        <f>IF($A379="","",INDEX(Firms!$B$5:$B$1004,MATCH(356,Firms!$V$5:$V$1004,0)))</f>
        <v/>
      </c>
      <c r="C379" s="79">
        <f>IF($A379="","",COUNTIFS('AFA Rates'!$A$5:$A$1004,$A379,'AFA Rates'!$O$5:$O$1004,"&lt;&gt;Expired"))</f>
        <v/>
      </c>
      <c r="D379" s="79">
        <f>IF(OR($A379="",D$23=""),"",IF(COUNTIFS('AFA Rates'!$A$5:$A$1004,$A379,'AFA Rates'!$B$5:$B$1004,D$23,'AFA Rates'!$O$5:$O$1004,"&lt;&gt;Expired")&gt;0,"✓",IF(COUNTIFS('AFA Rates'!$A$5:$A$1004,$A379,'AFA Rates'!$B$5:$B$1004,D$23)&gt;0,"Exp","")))</f>
        <v/>
      </c>
      <c r="E379" s="79">
        <f>IF(OR($A379="",E$23=""),"",IF(COUNTIFS('AFA Rates'!$A$5:$A$1004,$A379,'AFA Rates'!$B$5:$B$1004,E$23,'AFA Rates'!$O$5:$O$1004,"&lt;&gt;Expired")&gt;0,"✓",IF(COUNTIFS('AFA Rates'!$A$5:$A$1004,$A379,'AFA Rates'!$B$5:$B$1004,E$23)&gt;0,"Exp","")))</f>
        <v/>
      </c>
      <c r="F379" s="79">
        <f>IF(OR($A379="",F$23=""),"",IF(COUNTIFS('AFA Rates'!$A$5:$A$1004,$A379,'AFA Rates'!$B$5:$B$1004,F$23,'AFA Rates'!$O$5:$O$1004,"&lt;&gt;Expired")&gt;0,"✓",IF(COUNTIFS('AFA Rates'!$A$5:$A$1004,$A379,'AFA Rates'!$B$5:$B$1004,F$23)&gt;0,"Exp","")))</f>
        <v/>
      </c>
      <c r="G379" s="79">
        <f>IF(OR($A379="",G$23=""),"",IF(COUNTIFS('AFA Rates'!$A$5:$A$1004,$A379,'AFA Rates'!$B$5:$B$1004,G$23,'AFA Rates'!$O$5:$O$1004,"&lt;&gt;Expired")&gt;0,"✓",IF(COUNTIFS('AFA Rates'!$A$5:$A$1004,$A379,'AFA Rates'!$B$5:$B$1004,G$23)&gt;0,"Exp","")))</f>
        <v/>
      </c>
      <c r="H379" s="79">
        <f>IF(OR($A379="",H$23=""),"",IF(COUNTIFS('AFA Rates'!$A$5:$A$1004,$A379,'AFA Rates'!$B$5:$B$1004,H$23,'AFA Rates'!$O$5:$O$1004,"&lt;&gt;Expired")&gt;0,"✓",IF(COUNTIFS('AFA Rates'!$A$5:$A$1004,$A379,'AFA Rates'!$B$5:$B$1004,H$23)&gt;0,"Exp","")))</f>
        <v/>
      </c>
      <c r="I379" s="79">
        <f>IF(OR($A379="",I$23=""),"",IF(COUNTIFS('AFA Rates'!$A$5:$A$1004,$A379,'AFA Rates'!$B$5:$B$1004,I$23,'AFA Rates'!$O$5:$O$1004,"&lt;&gt;Expired")&gt;0,"✓",IF(COUNTIFS('AFA Rates'!$A$5:$A$1004,$A379,'AFA Rates'!$B$5:$B$1004,I$23)&gt;0,"Exp","")))</f>
        <v/>
      </c>
      <c r="J379" s="79">
        <f>IF(OR($A379="",J$23=""),"",IF(COUNTIFS('AFA Rates'!$A$5:$A$1004,$A379,'AFA Rates'!$B$5:$B$1004,J$23,'AFA Rates'!$O$5:$O$1004,"&lt;&gt;Expired")&gt;0,"✓",IF(COUNTIFS('AFA Rates'!$A$5:$A$1004,$A379,'AFA Rates'!$B$5:$B$1004,J$23)&gt;0,"Exp","")))</f>
        <v/>
      </c>
      <c r="K379" s="79">
        <f>IF(OR($A379="",K$23=""),"",IF(COUNTIFS('AFA Rates'!$A$5:$A$1004,$A379,'AFA Rates'!$B$5:$B$1004,K$23,'AFA Rates'!$O$5:$O$1004,"&lt;&gt;Expired")&gt;0,"✓",IF(COUNTIFS('AFA Rates'!$A$5:$A$1004,$A379,'AFA Rates'!$B$5:$B$1004,K$23)&gt;0,"Exp","")))</f>
        <v/>
      </c>
      <c r="L379" s="79">
        <f>IF(OR($A379="",L$23=""),"",IF(COUNTIFS('AFA Rates'!$A$5:$A$1004,$A379,'AFA Rates'!$B$5:$B$1004,L$23,'AFA Rates'!$O$5:$O$1004,"&lt;&gt;Expired")&gt;0,"✓",IF(COUNTIFS('AFA Rates'!$A$5:$A$1004,$A379,'AFA Rates'!$B$5:$B$1004,L$23)&gt;0,"Exp","")))</f>
        <v/>
      </c>
      <c r="M379" s="79">
        <f>IF(OR($A379="",M$23=""),"",IF(COUNTIFS('AFA Rates'!$A$5:$A$1004,$A379,'AFA Rates'!$B$5:$B$1004,M$23,'AFA Rates'!$O$5:$O$1004,"&lt;&gt;Expired")&gt;0,"✓",IF(COUNTIFS('AFA Rates'!$A$5:$A$1004,$A379,'AFA Rates'!$B$5:$B$1004,M$23)&gt;0,"Exp","")))</f>
        <v/>
      </c>
    </row>
    <row r="380">
      <c r="A380" s="78">
        <f>IFERROR(INDEX(Firms!$A$5:$A$1004,MATCH(357,Firms!$V$5:$V$1004,0)),"")</f>
        <v/>
      </c>
      <c r="B380" s="79">
        <f>IF($A380="","",INDEX(Firms!$B$5:$B$1004,MATCH(357,Firms!$V$5:$V$1004,0)))</f>
        <v/>
      </c>
      <c r="C380" s="79">
        <f>IF($A380="","",COUNTIFS('AFA Rates'!$A$5:$A$1004,$A380,'AFA Rates'!$O$5:$O$1004,"&lt;&gt;Expired"))</f>
        <v/>
      </c>
      <c r="D380" s="79">
        <f>IF(OR($A380="",D$23=""),"",IF(COUNTIFS('AFA Rates'!$A$5:$A$1004,$A380,'AFA Rates'!$B$5:$B$1004,D$23,'AFA Rates'!$O$5:$O$1004,"&lt;&gt;Expired")&gt;0,"✓",IF(COUNTIFS('AFA Rates'!$A$5:$A$1004,$A380,'AFA Rates'!$B$5:$B$1004,D$23)&gt;0,"Exp","")))</f>
        <v/>
      </c>
      <c r="E380" s="79">
        <f>IF(OR($A380="",E$23=""),"",IF(COUNTIFS('AFA Rates'!$A$5:$A$1004,$A380,'AFA Rates'!$B$5:$B$1004,E$23,'AFA Rates'!$O$5:$O$1004,"&lt;&gt;Expired")&gt;0,"✓",IF(COUNTIFS('AFA Rates'!$A$5:$A$1004,$A380,'AFA Rates'!$B$5:$B$1004,E$23)&gt;0,"Exp","")))</f>
        <v/>
      </c>
      <c r="F380" s="79">
        <f>IF(OR($A380="",F$23=""),"",IF(COUNTIFS('AFA Rates'!$A$5:$A$1004,$A380,'AFA Rates'!$B$5:$B$1004,F$23,'AFA Rates'!$O$5:$O$1004,"&lt;&gt;Expired")&gt;0,"✓",IF(COUNTIFS('AFA Rates'!$A$5:$A$1004,$A380,'AFA Rates'!$B$5:$B$1004,F$23)&gt;0,"Exp","")))</f>
        <v/>
      </c>
      <c r="G380" s="79">
        <f>IF(OR($A380="",G$23=""),"",IF(COUNTIFS('AFA Rates'!$A$5:$A$1004,$A380,'AFA Rates'!$B$5:$B$1004,G$23,'AFA Rates'!$O$5:$O$1004,"&lt;&gt;Expired")&gt;0,"✓",IF(COUNTIFS('AFA Rates'!$A$5:$A$1004,$A380,'AFA Rates'!$B$5:$B$1004,G$23)&gt;0,"Exp","")))</f>
        <v/>
      </c>
      <c r="H380" s="79">
        <f>IF(OR($A380="",H$23=""),"",IF(COUNTIFS('AFA Rates'!$A$5:$A$1004,$A380,'AFA Rates'!$B$5:$B$1004,H$23,'AFA Rates'!$O$5:$O$1004,"&lt;&gt;Expired")&gt;0,"✓",IF(COUNTIFS('AFA Rates'!$A$5:$A$1004,$A380,'AFA Rates'!$B$5:$B$1004,H$23)&gt;0,"Exp","")))</f>
        <v/>
      </c>
      <c r="I380" s="79">
        <f>IF(OR($A380="",I$23=""),"",IF(COUNTIFS('AFA Rates'!$A$5:$A$1004,$A380,'AFA Rates'!$B$5:$B$1004,I$23,'AFA Rates'!$O$5:$O$1004,"&lt;&gt;Expired")&gt;0,"✓",IF(COUNTIFS('AFA Rates'!$A$5:$A$1004,$A380,'AFA Rates'!$B$5:$B$1004,I$23)&gt;0,"Exp","")))</f>
        <v/>
      </c>
      <c r="J380" s="79">
        <f>IF(OR($A380="",J$23=""),"",IF(COUNTIFS('AFA Rates'!$A$5:$A$1004,$A380,'AFA Rates'!$B$5:$B$1004,J$23,'AFA Rates'!$O$5:$O$1004,"&lt;&gt;Expired")&gt;0,"✓",IF(COUNTIFS('AFA Rates'!$A$5:$A$1004,$A380,'AFA Rates'!$B$5:$B$1004,J$23)&gt;0,"Exp","")))</f>
        <v/>
      </c>
      <c r="K380" s="79">
        <f>IF(OR($A380="",K$23=""),"",IF(COUNTIFS('AFA Rates'!$A$5:$A$1004,$A380,'AFA Rates'!$B$5:$B$1004,K$23,'AFA Rates'!$O$5:$O$1004,"&lt;&gt;Expired")&gt;0,"✓",IF(COUNTIFS('AFA Rates'!$A$5:$A$1004,$A380,'AFA Rates'!$B$5:$B$1004,K$23)&gt;0,"Exp","")))</f>
        <v/>
      </c>
      <c r="L380" s="79">
        <f>IF(OR($A380="",L$23=""),"",IF(COUNTIFS('AFA Rates'!$A$5:$A$1004,$A380,'AFA Rates'!$B$5:$B$1004,L$23,'AFA Rates'!$O$5:$O$1004,"&lt;&gt;Expired")&gt;0,"✓",IF(COUNTIFS('AFA Rates'!$A$5:$A$1004,$A380,'AFA Rates'!$B$5:$B$1004,L$23)&gt;0,"Exp","")))</f>
        <v/>
      </c>
      <c r="M380" s="79">
        <f>IF(OR($A380="",M$23=""),"",IF(COUNTIFS('AFA Rates'!$A$5:$A$1004,$A380,'AFA Rates'!$B$5:$B$1004,M$23,'AFA Rates'!$O$5:$O$1004,"&lt;&gt;Expired")&gt;0,"✓",IF(COUNTIFS('AFA Rates'!$A$5:$A$1004,$A380,'AFA Rates'!$B$5:$B$1004,M$23)&gt;0,"Exp","")))</f>
        <v/>
      </c>
    </row>
    <row r="381">
      <c r="A381" s="78">
        <f>IFERROR(INDEX(Firms!$A$5:$A$1004,MATCH(358,Firms!$V$5:$V$1004,0)),"")</f>
        <v/>
      </c>
      <c r="B381" s="79">
        <f>IF($A381="","",INDEX(Firms!$B$5:$B$1004,MATCH(358,Firms!$V$5:$V$1004,0)))</f>
        <v/>
      </c>
      <c r="C381" s="79">
        <f>IF($A381="","",COUNTIFS('AFA Rates'!$A$5:$A$1004,$A381,'AFA Rates'!$O$5:$O$1004,"&lt;&gt;Expired"))</f>
        <v/>
      </c>
      <c r="D381" s="79">
        <f>IF(OR($A381="",D$23=""),"",IF(COUNTIFS('AFA Rates'!$A$5:$A$1004,$A381,'AFA Rates'!$B$5:$B$1004,D$23,'AFA Rates'!$O$5:$O$1004,"&lt;&gt;Expired")&gt;0,"✓",IF(COUNTIFS('AFA Rates'!$A$5:$A$1004,$A381,'AFA Rates'!$B$5:$B$1004,D$23)&gt;0,"Exp","")))</f>
        <v/>
      </c>
      <c r="E381" s="79">
        <f>IF(OR($A381="",E$23=""),"",IF(COUNTIFS('AFA Rates'!$A$5:$A$1004,$A381,'AFA Rates'!$B$5:$B$1004,E$23,'AFA Rates'!$O$5:$O$1004,"&lt;&gt;Expired")&gt;0,"✓",IF(COUNTIFS('AFA Rates'!$A$5:$A$1004,$A381,'AFA Rates'!$B$5:$B$1004,E$23)&gt;0,"Exp","")))</f>
        <v/>
      </c>
      <c r="F381" s="79">
        <f>IF(OR($A381="",F$23=""),"",IF(COUNTIFS('AFA Rates'!$A$5:$A$1004,$A381,'AFA Rates'!$B$5:$B$1004,F$23,'AFA Rates'!$O$5:$O$1004,"&lt;&gt;Expired")&gt;0,"✓",IF(COUNTIFS('AFA Rates'!$A$5:$A$1004,$A381,'AFA Rates'!$B$5:$B$1004,F$23)&gt;0,"Exp","")))</f>
        <v/>
      </c>
      <c r="G381" s="79">
        <f>IF(OR($A381="",G$23=""),"",IF(COUNTIFS('AFA Rates'!$A$5:$A$1004,$A381,'AFA Rates'!$B$5:$B$1004,G$23,'AFA Rates'!$O$5:$O$1004,"&lt;&gt;Expired")&gt;0,"✓",IF(COUNTIFS('AFA Rates'!$A$5:$A$1004,$A381,'AFA Rates'!$B$5:$B$1004,G$23)&gt;0,"Exp","")))</f>
        <v/>
      </c>
      <c r="H381" s="79">
        <f>IF(OR($A381="",H$23=""),"",IF(COUNTIFS('AFA Rates'!$A$5:$A$1004,$A381,'AFA Rates'!$B$5:$B$1004,H$23,'AFA Rates'!$O$5:$O$1004,"&lt;&gt;Expired")&gt;0,"✓",IF(COUNTIFS('AFA Rates'!$A$5:$A$1004,$A381,'AFA Rates'!$B$5:$B$1004,H$23)&gt;0,"Exp","")))</f>
        <v/>
      </c>
      <c r="I381" s="79">
        <f>IF(OR($A381="",I$23=""),"",IF(COUNTIFS('AFA Rates'!$A$5:$A$1004,$A381,'AFA Rates'!$B$5:$B$1004,I$23,'AFA Rates'!$O$5:$O$1004,"&lt;&gt;Expired")&gt;0,"✓",IF(COUNTIFS('AFA Rates'!$A$5:$A$1004,$A381,'AFA Rates'!$B$5:$B$1004,I$23)&gt;0,"Exp","")))</f>
        <v/>
      </c>
      <c r="J381" s="79">
        <f>IF(OR($A381="",J$23=""),"",IF(COUNTIFS('AFA Rates'!$A$5:$A$1004,$A381,'AFA Rates'!$B$5:$B$1004,J$23,'AFA Rates'!$O$5:$O$1004,"&lt;&gt;Expired")&gt;0,"✓",IF(COUNTIFS('AFA Rates'!$A$5:$A$1004,$A381,'AFA Rates'!$B$5:$B$1004,J$23)&gt;0,"Exp","")))</f>
        <v/>
      </c>
      <c r="K381" s="79">
        <f>IF(OR($A381="",K$23=""),"",IF(COUNTIFS('AFA Rates'!$A$5:$A$1004,$A381,'AFA Rates'!$B$5:$B$1004,K$23,'AFA Rates'!$O$5:$O$1004,"&lt;&gt;Expired")&gt;0,"✓",IF(COUNTIFS('AFA Rates'!$A$5:$A$1004,$A381,'AFA Rates'!$B$5:$B$1004,K$23)&gt;0,"Exp","")))</f>
        <v/>
      </c>
      <c r="L381" s="79">
        <f>IF(OR($A381="",L$23=""),"",IF(COUNTIFS('AFA Rates'!$A$5:$A$1004,$A381,'AFA Rates'!$B$5:$B$1004,L$23,'AFA Rates'!$O$5:$O$1004,"&lt;&gt;Expired")&gt;0,"✓",IF(COUNTIFS('AFA Rates'!$A$5:$A$1004,$A381,'AFA Rates'!$B$5:$B$1004,L$23)&gt;0,"Exp","")))</f>
        <v/>
      </c>
      <c r="M381" s="79">
        <f>IF(OR($A381="",M$23=""),"",IF(COUNTIFS('AFA Rates'!$A$5:$A$1004,$A381,'AFA Rates'!$B$5:$B$1004,M$23,'AFA Rates'!$O$5:$O$1004,"&lt;&gt;Expired")&gt;0,"✓",IF(COUNTIFS('AFA Rates'!$A$5:$A$1004,$A381,'AFA Rates'!$B$5:$B$1004,M$23)&gt;0,"Exp","")))</f>
        <v/>
      </c>
    </row>
    <row r="382">
      <c r="A382" s="78">
        <f>IFERROR(INDEX(Firms!$A$5:$A$1004,MATCH(359,Firms!$V$5:$V$1004,0)),"")</f>
        <v/>
      </c>
      <c r="B382" s="79">
        <f>IF($A382="","",INDEX(Firms!$B$5:$B$1004,MATCH(359,Firms!$V$5:$V$1004,0)))</f>
        <v/>
      </c>
      <c r="C382" s="79">
        <f>IF($A382="","",COUNTIFS('AFA Rates'!$A$5:$A$1004,$A382,'AFA Rates'!$O$5:$O$1004,"&lt;&gt;Expired"))</f>
        <v/>
      </c>
      <c r="D382" s="79">
        <f>IF(OR($A382="",D$23=""),"",IF(COUNTIFS('AFA Rates'!$A$5:$A$1004,$A382,'AFA Rates'!$B$5:$B$1004,D$23,'AFA Rates'!$O$5:$O$1004,"&lt;&gt;Expired")&gt;0,"✓",IF(COUNTIFS('AFA Rates'!$A$5:$A$1004,$A382,'AFA Rates'!$B$5:$B$1004,D$23)&gt;0,"Exp","")))</f>
        <v/>
      </c>
      <c r="E382" s="79">
        <f>IF(OR($A382="",E$23=""),"",IF(COUNTIFS('AFA Rates'!$A$5:$A$1004,$A382,'AFA Rates'!$B$5:$B$1004,E$23,'AFA Rates'!$O$5:$O$1004,"&lt;&gt;Expired")&gt;0,"✓",IF(COUNTIFS('AFA Rates'!$A$5:$A$1004,$A382,'AFA Rates'!$B$5:$B$1004,E$23)&gt;0,"Exp","")))</f>
        <v/>
      </c>
      <c r="F382" s="79">
        <f>IF(OR($A382="",F$23=""),"",IF(COUNTIFS('AFA Rates'!$A$5:$A$1004,$A382,'AFA Rates'!$B$5:$B$1004,F$23,'AFA Rates'!$O$5:$O$1004,"&lt;&gt;Expired")&gt;0,"✓",IF(COUNTIFS('AFA Rates'!$A$5:$A$1004,$A382,'AFA Rates'!$B$5:$B$1004,F$23)&gt;0,"Exp","")))</f>
        <v/>
      </c>
      <c r="G382" s="79">
        <f>IF(OR($A382="",G$23=""),"",IF(COUNTIFS('AFA Rates'!$A$5:$A$1004,$A382,'AFA Rates'!$B$5:$B$1004,G$23,'AFA Rates'!$O$5:$O$1004,"&lt;&gt;Expired")&gt;0,"✓",IF(COUNTIFS('AFA Rates'!$A$5:$A$1004,$A382,'AFA Rates'!$B$5:$B$1004,G$23)&gt;0,"Exp","")))</f>
        <v/>
      </c>
      <c r="H382" s="79">
        <f>IF(OR($A382="",H$23=""),"",IF(COUNTIFS('AFA Rates'!$A$5:$A$1004,$A382,'AFA Rates'!$B$5:$B$1004,H$23,'AFA Rates'!$O$5:$O$1004,"&lt;&gt;Expired")&gt;0,"✓",IF(COUNTIFS('AFA Rates'!$A$5:$A$1004,$A382,'AFA Rates'!$B$5:$B$1004,H$23)&gt;0,"Exp","")))</f>
        <v/>
      </c>
      <c r="I382" s="79">
        <f>IF(OR($A382="",I$23=""),"",IF(COUNTIFS('AFA Rates'!$A$5:$A$1004,$A382,'AFA Rates'!$B$5:$B$1004,I$23,'AFA Rates'!$O$5:$O$1004,"&lt;&gt;Expired")&gt;0,"✓",IF(COUNTIFS('AFA Rates'!$A$5:$A$1004,$A382,'AFA Rates'!$B$5:$B$1004,I$23)&gt;0,"Exp","")))</f>
        <v/>
      </c>
      <c r="J382" s="79">
        <f>IF(OR($A382="",J$23=""),"",IF(COUNTIFS('AFA Rates'!$A$5:$A$1004,$A382,'AFA Rates'!$B$5:$B$1004,J$23,'AFA Rates'!$O$5:$O$1004,"&lt;&gt;Expired")&gt;0,"✓",IF(COUNTIFS('AFA Rates'!$A$5:$A$1004,$A382,'AFA Rates'!$B$5:$B$1004,J$23)&gt;0,"Exp","")))</f>
        <v/>
      </c>
      <c r="K382" s="79">
        <f>IF(OR($A382="",K$23=""),"",IF(COUNTIFS('AFA Rates'!$A$5:$A$1004,$A382,'AFA Rates'!$B$5:$B$1004,K$23,'AFA Rates'!$O$5:$O$1004,"&lt;&gt;Expired")&gt;0,"✓",IF(COUNTIFS('AFA Rates'!$A$5:$A$1004,$A382,'AFA Rates'!$B$5:$B$1004,K$23)&gt;0,"Exp","")))</f>
        <v/>
      </c>
      <c r="L382" s="79">
        <f>IF(OR($A382="",L$23=""),"",IF(COUNTIFS('AFA Rates'!$A$5:$A$1004,$A382,'AFA Rates'!$B$5:$B$1004,L$23,'AFA Rates'!$O$5:$O$1004,"&lt;&gt;Expired")&gt;0,"✓",IF(COUNTIFS('AFA Rates'!$A$5:$A$1004,$A382,'AFA Rates'!$B$5:$B$1004,L$23)&gt;0,"Exp","")))</f>
        <v/>
      </c>
      <c r="M382" s="79">
        <f>IF(OR($A382="",M$23=""),"",IF(COUNTIFS('AFA Rates'!$A$5:$A$1004,$A382,'AFA Rates'!$B$5:$B$1004,M$23,'AFA Rates'!$O$5:$O$1004,"&lt;&gt;Expired")&gt;0,"✓",IF(COUNTIFS('AFA Rates'!$A$5:$A$1004,$A382,'AFA Rates'!$B$5:$B$1004,M$23)&gt;0,"Exp","")))</f>
        <v/>
      </c>
    </row>
    <row r="383">
      <c r="A383" s="78">
        <f>IFERROR(INDEX(Firms!$A$5:$A$1004,MATCH(360,Firms!$V$5:$V$1004,0)),"")</f>
        <v/>
      </c>
      <c r="B383" s="79">
        <f>IF($A383="","",INDEX(Firms!$B$5:$B$1004,MATCH(360,Firms!$V$5:$V$1004,0)))</f>
        <v/>
      </c>
      <c r="C383" s="79">
        <f>IF($A383="","",COUNTIFS('AFA Rates'!$A$5:$A$1004,$A383,'AFA Rates'!$O$5:$O$1004,"&lt;&gt;Expired"))</f>
        <v/>
      </c>
      <c r="D383" s="79">
        <f>IF(OR($A383="",D$23=""),"",IF(COUNTIFS('AFA Rates'!$A$5:$A$1004,$A383,'AFA Rates'!$B$5:$B$1004,D$23,'AFA Rates'!$O$5:$O$1004,"&lt;&gt;Expired")&gt;0,"✓",IF(COUNTIFS('AFA Rates'!$A$5:$A$1004,$A383,'AFA Rates'!$B$5:$B$1004,D$23)&gt;0,"Exp","")))</f>
        <v/>
      </c>
      <c r="E383" s="79">
        <f>IF(OR($A383="",E$23=""),"",IF(COUNTIFS('AFA Rates'!$A$5:$A$1004,$A383,'AFA Rates'!$B$5:$B$1004,E$23,'AFA Rates'!$O$5:$O$1004,"&lt;&gt;Expired")&gt;0,"✓",IF(COUNTIFS('AFA Rates'!$A$5:$A$1004,$A383,'AFA Rates'!$B$5:$B$1004,E$23)&gt;0,"Exp","")))</f>
        <v/>
      </c>
      <c r="F383" s="79">
        <f>IF(OR($A383="",F$23=""),"",IF(COUNTIFS('AFA Rates'!$A$5:$A$1004,$A383,'AFA Rates'!$B$5:$B$1004,F$23,'AFA Rates'!$O$5:$O$1004,"&lt;&gt;Expired")&gt;0,"✓",IF(COUNTIFS('AFA Rates'!$A$5:$A$1004,$A383,'AFA Rates'!$B$5:$B$1004,F$23)&gt;0,"Exp","")))</f>
        <v/>
      </c>
      <c r="G383" s="79">
        <f>IF(OR($A383="",G$23=""),"",IF(COUNTIFS('AFA Rates'!$A$5:$A$1004,$A383,'AFA Rates'!$B$5:$B$1004,G$23,'AFA Rates'!$O$5:$O$1004,"&lt;&gt;Expired")&gt;0,"✓",IF(COUNTIFS('AFA Rates'!$A$5:$A$1004,$A383,'AFA Rates'!$B$5:$B$1004,G$23)&gt;0,"Exp","")))</f>
        <v/>
      </c>
      <c r="H383" s="79">
        <f>IF(OR($A383="",H$23=""),"",IF(COUNTIFS('AFA Rates'!$A$5:$A$1004,$A383,'AFA Rates'!$B$5:$B$1004,H$23,'AFA Rates'!$O$5:$O$1004,"&lt;&gt;Expired")&gt;0,"✓",IF(COUNTIFS('AFA Rates'!$A$5:$A$1004,$A383,'AFA Rates'!$B$5:$B$1004,H$23)&gt;0,"Exp","")))</f>
        <v/>
      </c>
      <c r="I383" s="79">
        <f>IF(OR($A383="",I$23=""),"",IF(COUNTIFS('AFA Rates'!$A$5:$A$1004,$A383,'AFA Rates'!$B$5:$B$1004,I$23,'AFA Rates'!$O$5:$O$1004,"&lt;&gt;Expired")&gt;0,"✓",IF(COUNTIFS('AFA Rates'!$A$5:$A$1004,$A383,'AFA Rates'!$B$5:$B$1004,I$23)&gt;0,"Exp","")))</f>
        <v/>
      </c>
      <c r="J383" s="79">
        <f>IF(OR($A383="",J$23=""),"",IF(COUNTIFS('AFA Rates'!$A$5:$A$1004,$A383,'AFA Rates'!$B$5:$B$1004,J$23,'AFA Rates'!$O$5:$O$1004,"&lt;&gt;Expired")&gt;0,"✓",IF(COUNTIFS('AFA Rates'!$A$5:$A$1004,$A383,'AFA Rates'!$B$5:$B$1004,J$23)&gt;0,"Exp","")))</f>
        <v/>
      </c>
      <c r="K383" s="79">
        <f>IF(OR($A383="",K$23=""),"",IF(COUNTIFS('AFA Rates'!$A$5:$A$1004,$A383,'AFA Rates'!$B$5:$B$1004,K$23,'AFA Rates'!$O$5:$O$1004,"&lt;&gt;Expired")&gt;0,"✓",IF(COUNTIFS('AFA Rates'!$A$5:$A$1004,$A383,'AFA Rates'!$B$5:$B$1004,K$23)&gt;0,"Exp","")))</f>
        <v/>
      </c>
      <c r="L383" s="79">
        <f>IF(OR($A383="",L$23=""),"",IF(COUNTIFS('AFA Rates'!$A$5:$A$1004,$A383,'AFA Rates'!$B$5:$B$1004,L$23,'AFA Rates'!$O$5:$O$1004,"&lt;&gt;Expired")&gt;0,"✓",IF(COUNTIFS('AFA Rates'!$A$5:$A$1004,$A383,'AFA Rates'!$B$5:$B$1004,L$23)&gt;0,"Exp","")))</f>
        <v/>
      </c>
      <c r="M383" s="79">
        <f>IF(OR($A383="",M$23=""),"",IF(COUNTIFS('AFA Rates'!$A$5:$A$1004,$A383,'AFA Rates'!$B$5:$B$1004,M$23,'AFA Rates'!$O$5:$O$1004,"&lt;&gt;Expired")&gt;0,"✓",IF(COUNTIFS('AFA Rates'!$A$5:$A$1004,$A383,'AFA Rates'!$B$5:$B$1004,M$23)&gt;0,"Exp","")))</f>
        <v/>
      </c>
    </row>
    <row r="384">
      <c r="A384" s="78">
        <f>IFERROR(INDEX(Firms!$A$5:$A$1004,MATCH(361,Firms!$V$5:$V$1004,0)),"")</f>
        <v/>
      </c>
      <c r="B384" s="79">
        <f>IF($A384="","",INDEX(Firms!$B$5:$B$1004,MATCH(361,Firms!$V$5:$V$1004,0)))</f>
        <v/>
      </c>
      <c r="C384" s="79">
        <f>IF($A384="","",COUNTIFS('AFA Rates'!$A$5:$A$1004,$A384,'AFA Rates'!$O$5:$O$1004,"&lt;&gt;Expired"))</f>
        <v/>
      </c>
      <c r="D384" s="79">
        <f>IF(OR($A384="",D$23=""),"",IF(COUNTIFS('AFA Rates'!$A$5:$A$1004,$A384,'AFA Rates'!$B$5:$B$1004,D$23,'AFA Rates'!$O$5:$O$1004,"&lt;&gt;Expired")&gt;0,"✓",IF(COUNTIFS('AFA Rates'!$A$5:$A$1004,$A384,'AFA Rates'!$B$5:$B$1004,D$23)&gt;0,"Exp","")))</f>
        <v/>
      </c>
      <c r="E384" s="79">
        <f>IF(OR($A384="",E$23=""),"",IF(COUNTIFS('AFA Rates'!$A$5:$A$1004,$A384,'AFA Rates'!$B$5:$B$1004,E$23,'AFA Rates'!$O$5:$O$1004,"&lt;&gt;Expired")&gt;0,"✓",IF(COUNTIFS('AFA Rates'!$A$5:$A$1004,$A384,'AFA Rates'!$B$5:$B$1004,E$23)&gt;0,"Exp","")))</f>
        <v/>
      </c>
      <c r="F384" s="79">
        <f>IF(OR($A384="",F$23=""),"",IF(COUNTIFS('AFA Rates'!$A$5:$A$1004,$A384,'AFA Rates'!$B$5:$B$1004,F$23,'AFA Rates'!$O$5:$O$1004,"&lt;&gt;Expired")&gt;0,"✓",IF(COUNTIFS('AFA Rates'!$A$5:$A$1004,$A384,'AFA Rates'!$B$5:$B$1004,F$23)&gt;0,"Exp","")))</f>
        <v/>
      </c>
      <c r="G384" s="79">
        <f>IF(OR($A384="",G$23=""),"",IF(COUNTIFS('AFA Rates'!$A$5:$A$1004,$A384,'AFA Rates'!$B$5:$B$1004,G$23,'AFA Rates'!$O$5:$O$1004,"&lt;&gt;Expired")&gt;0,"✓",IF(COUNTIFS('AFA Rates'!$A$5:$A$1004,$A384,'AFA Rates'!$B$5:$B$1004,G$23)&gt;0,"Exp","")))</f>
        <v/>
      </c>
      <c r="H384" s="79">
        <f>IF(OR($A384="",H$23=""),"",IF(COUNTIFS('AFA Rates'!$A$5:$A$1004,$A384,'AFA Rates'!$B$5:$B$1004,H$23,'AFA Rates'!$O$5:$O$1004,"&lt;&gt;Expired")&gt;0,"✓",IF(COUNTIFS('AFA Rates'!$A$5:$A$1004,$A384,'AFA Rates'!$B$5:$B$1004,H$23)&gt;0,"Exp","")))</f>
        <v/>
      </c>
      <c r="I384" s="79">
        <f>IF(OR($A384="",I$23=""),"",IF(COUNTIFS('AFA Rates'!$A$5:$A$1004,$A384,'AFA Rates'!$B$5:$B$1004,I$23,'AFA Rates'!$O$5:$O$1004,"&lt;&gt;Expired")&gt;0,"✓",IF(COUNTIFS('AFA Rates'!$A$5:$A$1004,$A384,'AFA Rates'!$B$5:$B$1004,I$23)&gt;0,"Exp","")))</f>
        <v/>
      </c>
      <c r="J384" s="79">
        <f>IF(OR($A384="",J$23=""),"",IF(COUNTIFS('AFA Rates'!$A$5:$A$1004,$A384,'AFA Rates'!$B$5:$B$1004,J$23,'AFA Rates'!$O$5:$O$1004,"&lt;&gt;Expired")&gt;0,"✓",IF(COUNTIFS('AFA Rates'!$A$5:$A$1004,$A384,'AFA Rates'!$B$5:$B$1004,J$23)&gt;0,"Exp","")))</f>
        <v/>
      </c>
      <c r="K384" s="79">
        <f>IF(OR($A384="",K$23=""),"",IF(COUNTIFS('AFA Rates'!$A$5:$A$1004,$A384,'AFA Rates'!$B$5:$B$1004,K$23,'AFA Rates'!$O$5:$O$1004,"&lt;&gt;Expired")&gt;0,"✓",IF(COUNTIFS('AFA Rates'!$A$5:$A$1004,$A384,'AFA Rates'!$B$5:$B$1004,K$23)&gt;0,"Exp","")))</f>
        <v/>
      </c>
      <c r="L384" s="79">
        <f>IF(OR($A384="",L$23=""),"",IF(COUNTIFS('AFA Rates'!$A$5:$A$1004,$A384,'AFA Rates'!$B$5:$B$1004,L$23,'AFA Rates'!$O$5:$O$1004,"&lt;&gt;Expired")&gt;0,"✓",IF(COUNTIFS('AFA Rates'!$A$5:$A$1004,$A384,'AFA Rates'!$B$5:$B$1004,L$23)&gt;0,"Exp","")))</f>
        <v/>
      </c>
      <c r="M384" s="79">
        <f>IF(OR($A384="",M$23=""),"",IF(COUNTIFS('AFA Rates'!$A$5:$A$1004,$A384,'AFA Rates'!$B$5:$B$1004,M$23,'AFA Rates'!$O$5:$O$1004,"&lt;&gt;Expired")&gt;0,"✓",IF(COUNTIFS('AFA Rates'!$A$5:$A$1004,$A384,'AFA Rates'!$B$5:$B$1004,M$23)&gt;0,"Exp","")))</f>
        <v/>
      </c>
    </row>
    <row r="385">
      <c r="A385" s="78">
        <f>IFERROR(INDEX(Firms!$A$5:$A$1004,MATCH(362,Firms!$V$5:$V$1004,0)),"")</f>
        <v/>
      </c>
      <c r="B385" s="79">
        <f>IF($A385="","",INDEX(Firms!$B$5:$B$1004,MATCH(362,Firms!$V$5:$V$1004,0)))</f>
        <v/>
      </c>
      <c r="C385" s="79">
        <f>IF($A385="","",COUNTIFS('AFA Rates'!$A$5:$A$1004,$A385,'AFA Rates'!$O$5:$O$1004,"&lt;&gt;Expired"))</f>
        <v/>
      </c>
      <c r="D385" s="79">
        <f>IF(OR($A385="",D$23=""),"",IF(COUNTIFS('AFA Rates'!$A$5:$A$1004,$A385,'AFA Rates'!$B$5:$B$1004,D$23,'AFA Rates'!$O$5:$O$1004,"&lt;&gt;Expired")&gt;0,"✓",IF(COUNTIFS('AFA Rates'!$A$5:$A$1004,$A385,'AFA Rates'!$B$5:$B$1004,D$23)&gt;0,"Exp","")))</f>
        <v/>
      </c>
      <c r="E385" s="79">
        <f>IF(OR($A385="",E$23=""),"",IF(COUNTIFS('AFA Rates'!$A$5:$A$1004,$A385,'AFA Rates'!$B$5:$B$1004,E$23,'AFA Rates'!$O$5:$O$1004,"&lt;&gt;Expired")&gt;0,"✓",IF(COUNTIFS('AFA Rates'!$A$5:$A$1004,$A385,'AFA Rates'!$B$5:$B$1004,E$23)&gt;0,"Exp","")))</f>
        <v/>
      </c>
      <c r="F385" s="79">
        <f>IF(OR($A385="",F$23=""),"",IF(COUNTIFS('AFA Rates'!$A$5:$A$1004,$A385,'AFA Rates'!$B$5:$B$1004,F$23,'AFA Rates'!$O$5:$O$1004,"&lt;&gt;Expired")&gt;0,"✓",IF(COUNTIFS('AFA Rates'!$A$5:$A$1004,$A385,'AFA Rates'!$B$5:$B$1004,F$23)&gt;0,"Exp","")))</f>
        <v/>
      </c>
      <c r="G385" s="79">
        <f>IF(OR($A385="",G$23=""),"",IF(COUNTIFS('AFA Rates'!$A$5:$A$1004,$A385,'AFA Rates'!$B$5:$B$1004,G$23,'AFA Rates'!$O$5:$O$1004,"&lt;&gt;Expired")&gt;0,"✓",IF(COUNTIFS('AFA Rates'!$A$5:$A$1004,$A385,'AFA Rates'!$B$5:$B$1004,G$23)&gt;0,"Exp","")))</f>
        <v/>
      </c>
      <c r="H385" s="79">
        <f>IF(OR($A385="",H$23=""),"",IF(COUNTIFS('AFA Rates'!$A$5:$A$1004,$A385,'AFA Rates'!$B$5:$B$1004,H$23,'AFA Rates'!$O$5:$O$1004,"&lt;&gt;Expired")&gt;0,"✓",IF(COUNTIFS('AFA Rates'!$A$5:$A$1004,$A385,'AFA Rates'!$B$5:$B$1004,H$23)&gt;0,"Exp","")))</f>
        <v/>
      </c>
      <c r="I385" s="79">
        <f>IF(OR($A385="",I$23=""),"",IF(COUNTIFS('AFA Rates'!$A$5:$A$1004,$A385,'AFA Rates'!$B$5:$B$1004,I$23,'AFA Rates'!$O$5:$O$1004,"&lt;&gt;Expired")&gt;0,"✓",IF(COUNTIFS('AFA Rates'!$A$5:$A$1004,$A385,'AFA Rates'!$B$5:$B$1004,I$23)&gt;0,"Exp","")))</f>
        <v/>
      </c>
      <c r="J385" s="79">
        <f>IF(OR($A385="",J$23=""),"",IF(COUNTIFS('AFA Rates'!$A$5:$A$1004,$A385,'AFA Rates'!$B$5:$B$1004,J$23,'AFA Rates'!$O$5:$O$1004,"&lt;&gt;Expired")&gt;0,"✓",IF(COUNTIFS('AFA Rates'!$A$5:$A$1004,$A385,'AFA Rates'!$B$5:$B$1004,J$23)&gt;0,"Exp","")))</f>
        <v/>
      </c>
      <c r="K385" s="79">
        <f>IF(OR($A385="",K$23=""),"",IF(COUNTIFS('AFA Rates'!$A$5:$A$1004,$A385,'AFA Rates'!$B$5:$B$1004,K$23,'AFA Rates'!$O$5:$O$1004,"&lt;&gt;Expired")&gt;0,"✓",IF(COUNTIFS('AFA Rates'!$A$5:$A$1004,$A385,'AFA Rates'!$B$5:$B$1004,K$23)&gt;0,"Exp","")))</f>
        <v/>
      </c>
      <c r="L385" s="79">
        <f>IF(OR($A385="",L$23=""),"",IF(COUNTIFS('AFA Rates'!$A$5:$A$1004,$A385,'AFA Rates'!$B$5:$B$1004,L$23,'AFA Rates'!$O$5:$O$1004,"&lt;&gt;Expired")&gt;0,"✓",IF(COUNTIFS('AFA Rates'!$A$5:$A$1004,$A385,'AFA Rates'!$B$5:$B$1004,L$23)&gt;0,"Exp","")))</f>
        <v/>
      </c>
      <c r="M385" s="79">
        <f>IF(OR($A385="",M$23=""),"",IF(COUNTIFS('AFA Rates'!$A$5:$A$1004,$A385,'AFA Rates'!$B$5:$B$1004,M$23,'AFA Rates'!$O$5:$O$1004,"&lt;&gt;Expired")&gt;0,"✓",IF(COUNTIFS('AFA Rates'!$A$5:$A$1004,$A385,'AFA Rates'!$B$5:$B$1004,M$23)&gt;0,"Exp","")))</f>
        <v/>
      </c>
    </row>
    <row r="386">
      <c r="A386" s="78">
        <f>IFERROR(INDEX(Firms!$A$5:$A$1004,MATCH(363,Firms!$V$5:$V$1004,0)),"")</f>
        <v/>
      </c>
      <c r="B386" s="79">
        <f>IF($A386="","",INDEX(Firms!$B$5:$B$1004,MATCH(363,Firms!$V$5:$V$1004,0)))</f>
        <v/>
      </c>
      <c r="C386" s="79">
        <f>IF($A386="","",COUNTIFS('AFA Rates'!$A$5:$A$1004,$A386,'AFA Rates'!$O$5:$O$1004,"&lt;&gt;Expired"))</f>
        <v/>
      </c>
      <c r="D386" s="79">
        <f>IF(OR($A386="",D$23=""),"",IF(COUNTIFS('AFA Rates'!$A$5:$A$1004,$A386,'AFA Rates'!$B$5:$B$1004,D$23,'AFA Rates'!$O$5:$O$1004,"&lt;&gt;Expired")&gt;0,"✓",IF(COUNTIFS('AFA Rates'!$A$5:$A$1004,$A386,'AFA Rates'!$B$5:$B$1004,D$23)&gt;0,"Exp","")))</f>
        <v/>
      </c>
      <c r="E386" s="79">
        <f>IF(OR($A386="",E$23=""),"",IF(COUNTIFS('AFA Rates'!$A$5:$A$1004,$A386,'AFA Rates'!$B$5:$B$1004,E$23,'AFA Rates'!$O$5:$O$1004,"&lt;&gt;Expired")&gt;0,"✓",IF(COUNTIFS('AFA Rates'!$A$5:$A$1004,$A386,'AFA Rates'!$B$5:$B$1004,E$23)&gt;0,"Exp","")))</f>
        <v/>
      </c>
      <c r="F386" s="79">
        <f>IF(OR($A386="",F$23=""),"",IF(COUNTIFS('AFA Rates'!$A$5:$A$1004,$A386,'AFA Rates'!$B$5:$B$1004,F$23,'AFA Rates'!$O$5:$O$1004,"&lt;&gt;Expired")&gt;0,"✓",IF(COUNTIFS('AFA Rates'!$A$5:$A$1004,$A386,'AFA Rates'!$B$5:$B$1004,F$23)&gt;0,"Exp","")))</f>
        <v/>
      </c>
      <c r="G386" s="79">
        <f>IF(OR($A386="",G$23=""),"",IF(COUNTIFS('AFA Rates'!$A$5:$A$1004,$A386,'AFA Rates'!$B$5:$B$1004,G$23,'AFA Rates'!$O$5:$O$1004,"&lt;&gt;Expired")&gt;0,"✓",IF(COUNTIFS('AFA Rates'!$A$5:$A$1004,$A386,'AFA Rates'!$B$5:$B$1004,G$23)&gt;0,"Exp","")))</f>
        <v/>
      </c>
      <c r="H386" s="79">
        <f>IF(OR($A386="",H$23=""),"",IF(COUNTIFS('AFA Rates'!$A$5:$A$1004,$A386,'AFA Rates'!$B$5:$B$1004,H$23,'AFA Rates'!$O$5:$O$1004,"&lt;&gt;Expired")&gt;0,"✓",IF(COUNTIFS('AFA Rates'!$A$5:$A$1004,$A386,'AFA Rates'!$B$5:$B$1004,H$23)&gt;0,"Exp","")))</f>
        <v/>
      </c>
      <c r="I386" s="79">
        <f>IF(OR($A386="",I$23=""),"",IF(COUNTIFS('AFA Rates'!$A$5:$A$1004,$A386,'AFA Rates'!$B$5:$B$1004,I$23,'AFA Rates'!$O$5:$O$1004,"&lt;&gt;Expired")&gt;0,"✓",IF(COUNTIFS('AFA Rates'!$A$5:$A$1004,$A386,'AFA Rates'!$B$5:$B$1004,I$23)&gt;0,"Exp","")))</f>
        <v/>
      </c>
      <c r="J386" s="79">
        <f>IF(OR($A386="",J$23=""),"",IF(COUNTIFS('AFA Rates'!$A$5:$A$1004,$A386,'AFA Rates'!$B$5:$B$1004,J$23,'AFA Rates'!$O$5:$O$1004,"&lt;&gt;Expired")&gt;0,"✓",IF(COUNTIFS('AFA Rates'!$A$5:$A$1004,$A386,'AFA Rates'!$B$5:$B$1004,J$23)&gt;0,"Exp","")))</f>
        <v/>
      </c>
      <c r="K386" s="79">
        <f>IF(OR($A386="",K$23=""),"",IF(COUNTIFS('AFA Rates'!$A$5:$A$1004,$A386,'AFA Rates'!$B$5:$B$1004,K$23,'AFA Rates'!$O$5:$O$1004,"&lt;&gt;Expired")&gt;0,"✓",IF(COUNTIFS('AFA Rates'!$A$5:$A$1004,$A386,'AFA Rates'!$B$5:$B$1004,K$23)&gt;0,"Exp","")))</f>
        <v/>
      </c>
      <c r="L386" s="79">
        <f>IF(OR($A386="",L$23=""),"",IF(COUNTIFS('AFA Rates'!$A$5:$A$1004,$A386,'AFA Rates'!$B$5:$B$1004,L$23,'AFA Rates'!$O$5:$O$1004,"&lt;&gt;Expired")&gt;0,"✓",IF(COUNTIFS('AFA Rates'!$A$5:$A$1004,$A386,'AFA Rates'!$B$5:$B$1004,L$23)&gt;0,"Exp","")))</f>
        <v/>
      </c>
      <c r="M386" s="79">
        <f>IF(OR($A386="",M$23=""),"",IF(COUNTIFS('AFA Rates'!$A$5:$A$1004,$A386,'AFA Rates'!$B$5:$B$1004,M$23,'AFA Rates'!$O$5:$O$1004,"&lt;&gt;Expired")&gt;0,"✓",IF(COUNTIFS('AFA Rates'!$A$5:$A$1004,$A386,'AFA Rates'!$B$5:$B$1004,M$23)&gt;0,"Exp","")))</f>
        <v/>
      </c>
    </row>
    <row r="387">
      <c r="A387" s="78">
        <f>IFERROR(INDEX(Firms!$A$5:$A$1004,MATCH(364,Firms!$V$5:$V$1004,0)),"")</f>
        <v/>
      </c>
      <c r="B387" s="79">
        <f>IF($A387="","",INDEX(Firms!$B$5:$B$1004,MATCH(364,Firms!$V$5:$V$1004,0)))</f>
        <v/>
      </c>
      <c r="C387" s="79">
        <f>IF($A387="","",COUNTIFS('AFA Rates'!$A$5:$A$1004,$A387,'AFA Rates'!$O$5:$O$1004,"&lt;&gt;Expired"))</f>
        <v/>
      </c>
      <c r="D387" s="79">
        <f>IF(OR($A387="",D$23=""),"",IF(COUNTIFS('AFA Rates'!$A$5:$A$1004,$A387,'AFA Rates'!$B$5:$B$1004,D$23,'AFA Rates'!$O$5:$O$1004,"&lt;&gt;Expired")&gt;0,"✓",IF(COUNTIFS('AFA Rates'!$A$5:$A$1004,$A387,'AFA Rates'!$B$5:$B$1004,D$23)&gt;0,"Exp","")))</f>
        <v/>
      </c>
      <c r="E387" s="79">
        <f>IF(OR($A387="",E$23=""),"",IF(COUNTIFS('AFA Rates'!$A$5:$A$1004,$A387,'AFA Rates'!$B$5:$B$1004,E$23,'AFA Rates'!$O$5:$O$1004,"&lt;&gt;Expired")&gt;0,"✓",IF(COUNTIFS('AFA Rates'!$A$5:$A$1004,$A387,'AFA Rates'!$B$5:$B$1004,E$23)&gt;0,"Exp","")))</f>
        <v/>
      </c>
      <c r="F387" s="79">
        <f>IF(OR($A387="",F$23=""),"",IF(COUNTIFS('AFA Rates'!$A$5:$A$1004,$A387,'AFA Rates'!$B$5:$B$1004,F$23,'AFA Rates'!$O$5:$O$1004,"&lt;&gt;Expired")&gt;0,"✓",IF(COUNTIFS('AFA Rates'!$A$5:$A$1004,$A387,'AFA Rates'!$B$5:$B$1004,F$23)&gt;0,"Exp","")))</f>
        <v/>
      </c>
      <c r="G387" s="79">
        <f>IF(OR($A387="",G$23=""),"",IF(COUNTIFS('AFA Rates'!$A$5:$A$1004,$A387,'AFA Rates'!$B$5:$B$1004,G$23,'AFA Rates'!$O$5:$O$1004,"&lt;&gt;Expired")&gt;0,"✓",IF(COUNTIFS('AFA Rates'!$A$5:$A$1004,$A387,'AFA Rates'!$B$5:$B$1004,G$23)&gt;0,"Exp","")))</f>
        <v/>
      </c>
      <c r="H387" s="79">
        <f>IF(OR($A387="",H$23=""),"",IF(COUNTIFS('AFA Rates'!$A$5:$A$1004,$A387,'AFA Rates'!$B$5:$B$1004,H$23,'AFA Rates'!$O$5:$O$1004,"&lt;&gt;Expired")&gt;0,"✓",IF(COUNTIFS('AFA Rates'!$A$5:$A$1004,$A387,'AFA Rates'!$B$5:$B$1004,H$23)&gt;0,"Exp","")))</f>
        <v/>
      </c>
      <c r="I387" s="79">
        <f>IF(OR($A387="",I$23=""),"",IF(COUNTIFS('AFA Rates'!$A$5:$A$1004,$A387,'AFA Rates'!$B$5:$B$1004,I$23,'AFA Rates'!$O$5:$O$1004,"&lt;&gt;Expired")&gt;0,"✓",IF(COUNTIFS('AFA Rates'!$A$5:$A$1004,$A387,'AFA Rates'!$B$5:$B$1004,I$23)&gt;0,"Exp","")))</f>
        <v/>
      </c>
      <c r="J387" s="79">
        <f>IF(OR($A387="",J$23=""),"",IF(COUNTIFS('AFA Rates'!$A$5:$A$1004,$A387,'AFA Rates'!$B$5:$B$1004,J$23,'AFA Rates'!$O$5:$O$1004,"&lt;&gt;Expired")&gt;0,"✓",IF(COUNTIFS('AFA Rates'!$A$5:$A$1004,$A387,'AFA Rates'!$B$5:$B$1004,J$23)&gt;0,"Exp","")))</f>
        <v/>
      </c>
      <c r="K387" s="79">
        <f>IF(OR($A387="",K$23=""),"",IF(COUNTIFS('AFA Rates'!$A$5:$A$1004,$A387,'AFA Rates'!$B$5:$B$1004,K$23,'AFA Rates'!$O$5:$O$1004,"&lt;&gt;Expired")&gt;0,"✓",IF(COUNTIFS('AFA Rates'!$A$5:$A$1004,$A387,'AFA Rates'!$B$5:$B$1004,K$23)&gt;0,"Exp","")))</f>
        <v/>
      </c>
      <c r="L387" s="79">
        <f>IF(OR($A387="",L$23=""),"",IF(COUNTIFS('AFA Rates'!$A$5:$A$1004,$A387,'AFA Rates'!$B$5:$B$1004,L$23,'AFA Rates'!$O$5:$O$1004,"&lt;&gt;Expired")&gt;0,"✓",IF(COUNTIFS('AFA Rates'!$A$5:$A$1004,$A387,'AFA Rates'!$B$5:$B$1004,L$23)&gt;0,"Exp","")))</f>
        <v/>
      </c>
      <c r="M387" s="79">
        <f>IF(OR($A387="",M$23=""),"",IF(COUNTIFS('AFA Rates'!$A$5:$A$1004,$A387,'AFA Rates'!$B$5:$B$1004,M$23,'AFA Rates'!$O$5:$O$1004,"&lt;&gt;Expired")&gt;0,"✓",IF(COUNTIFS('AFA Rates'!$A$5:$A$1004,$A387,'AFA Rates'!$B$5:$B$1004,M$23)&gt;0,"Exp","")))</f>
        <v/>
      </c>
    </row>
    <row r="388">
      <c r="A388" s="78">
        <f>IFERROR(INDEX(Firms!$A$5:$A$1004,MATCH(365,Firms!$V$5:$V$1004,0)),"")</f>
        <v/>
      </c>
      <c r="B388" s="79">
        <f>IF($A388="","",INDEX(Firms!$B$5:$B$1004,MATCH(365,Firms!$V$5:$V$1004,0)))</f>
        <v/>
      </c>
      <c r="C388" s="79">
        <f>IF($A388="","",COUNTIFS('AFA Rates'!$A$5:$A$1004,$A388,'AFA Rates'!$O$5:$O$1004,"&lt;&gt;Expired"))</f>
        <v/>
      </c>
      <c r="D388" s="79">
        <f>IF(OR($A388="",D$23=""),"",IF(COUNTIFS('AFA Rates'!$A$5:$A$1004,$A388,'AFA Rates'!$B$5:$B$1004,D$23,'AFA Rates'!$O$5:$O$1004,"&lt;&gt;Expired")&gt;0,"✓",IF(COUNTIFS('AFA Rates'!$A$5:$A$1004,$A388,'AFA Rates'!$B$5:$B$1004,D$23)&gt;0,"Exp","")))</f>
        <v/>
      </c>
      <c r="E388" s="79">
        <f>IF(OR($A388="",E$23=""),"",IF(COUNTIFS('AFA Rates'!$A$5:$A$1004,$A388,'AFA Rates'!$B$5:$B$1004,E$23,'AFA Rates'!$O$5:$O$1004,"&lt;&gt;Expired")&gt;0,"✓",IF(COUNTIFS('AFA Rates'!$A$5:$A$1004,$A388,'AFA Rates'!$B$5:$B$1004,E$23)&gt;0,"Exp","")))</f>
        <v/>
      </c>
      <c r="F388" s="79">
        <f>IF(OR($A388="",F$23=""),"",IF(COUNTIFS('AFA Rates'!$A$5:$A$1004,$A388,'AFA Rates'!$B$5:$B$1004,F$23,'AFA Rates'!$O$5:$O$1004,"&lt;&gt;Expired")&gt;0,"✓",IF(COUNTIFS('AFA Rates'!$A$5:$A$1004,$A388,'AFA Rates'!$B$5:$B$1004,F$23)&gt;0,"Exp","")))</f>
        <v/>
      </c>
      <c r="G388" s="79">
        <f>IF(OR($A388="",G$23=""),"",IF(COUNTIFS('AFA Rates'!$A$5:$A$1004,$A388,'AFA Rates'!$B$5:$B$1004,G$23,'AFA Rates'!$O$5:$O$1004,"&lt;&gt;Expired")&gt;0,"✓",IF(COUNTIFS('AFA Rates'!$A$5:$A$1004,$A388,'AFA Rates'!$B$5:$B$1004,G$23)&gt;0,"Exp","")))</f>
        <v/>
      </c>
      <c r="H388" s="79">
        <f>IF(OR($A388="",H$23=""),"",IF(COUNTIFS('AFA Rates'!$A$5:$A$1004,$A388,'AFA Rates'!$B$5:$B$1004,H$23,'AFA Rates'!$O$5:$O$1004,"&lt;&gt;Expired")&gt;0,"✓",IF(COUNTIFS('AFA Rates'!$A$5:$A$1004,$A388,'AFA Rates'!$B$5:$B$1004,H$23)&gt;0,"Exp","")))</f>
        <v/>
      </c>
      <c r="I388" s="79">
        <f>IF(OR($A388="",I$23=""),"",IF(COUNTIFS('AFA Rates'!$A$5:$A$1004,$A388,'AFA Rates'!$B$5:$B$1004,I$23,'AFA Rates'!$O$5:$O$1004,"&lt;&gt;Expired")&gt;0,"✓",IF(COUNTIFS('AFA Rates'!$A$5:$A$1004,$A388,'AFA Rates'!$B$5:$B$1004,I$23)&gt;0,"Exp","")))</f>
        <v/>
      </c>
      <c r="J388" s="79">
        <f>IF(OR($A388="",J$23=""),"",IF(COUNTIFS('AFA Rates'!$A$5:$A$1004,$A388,'AFA Rates'!$B$5:$B$1004,J$23,'AFA Rates'!$O$5:$O$1004,"&lt;&gt;Expired")&gt;0,"✓",IF(COUNTIFS('AFA Rates'!$A$5:$A$1004,$A388,'AFA Rates'!$B$5:$B$1004,J$23)&gt;0,"Exp","")))</f>
        <v/>
      </c>
      <c r="K388" s="79">
        <f>IF(OR($A388="",K$23=""),"",IF(COUNTIFS('AFA Rates'!$A$5:$A$1004,$A388,'AFA Rates'!$B$5:$B$1004,K$23,'AFA Rates'!$O$5:$O$1004,"&lt;&gt;Expired")&gt;0,"✓",IF(COUNTIFS('AFA Rates'!$A$5:$A$1004,$A388,'AFA Rates'!$B$5:$B$1004,K$23)&gt;0,"Exp","")))</f>
        <v/>
      </c>
      <c r="L388" s="79">
        <f>IF(OR($A388="",L$23=""),"",IF(COUNTIFS('AFA Rates'!$A$5:$A$1004,$A388,'AFA Rates'!$B$5:$B$1004,L$23,'AFA Rates'!$O$5:$O$1004,"&lt;&gt;Expired")&gt;0,"✓",IF(COUNTIFS('AFA Rates'!$A$5:$A$1004,$A388,'AFA Rates'!$B$5:$B$1004,L$23)&gt;0,"Exp","")))</f>
        <v/>
      </c>
      <c r="M388" s="79">
        <f>IF(OR($A388="",M$23=""),"",IF(COUNTIFS('AFA Rates'!$A$5:$A$1004,$A388,'AFA Rates'!$B$5:$B$1004,M$23,'AFA Rates'!$O$5:$O$1004,"&lt;&gt;Expired")&gt;0,"✓",IF(COUNTIFS('AFA Rates'!$A$5:$A$1004,$A388,'AFA Rates'!$B$5:$B$1004,M$23)&gt;0,"Exp","")))</f>
        <v/>
      </c>
    </row>
    <row r="389">
      <c r="A389" s="78">
        <f>IFERROR(INDEX(Firms!$A$5:$A$1004,MATCH(366,Firms!$V$5:$V$1004,0)),"")</f>
        <v/>
      </c>
      <c r="B389" s="79">
        <f>IF($A389="","",INDEX(Firms!$B$5:$B$1004,MATCH(366,Firms!$V$5:$V$1004,0)))</f>
        <v/>
      </c>
      <c r="C389" s="79">
        <f>IF($A389="","",COUNTIFS('AFA Rates'!$A$5:$A$1004,$A389,'AFA Rates'!$O$5:$O$1004,"&lt;&gt;Expired"))</f>
        <v/>
      </c>
      <c r="D389" s="79">
        <f>IF(OR($A389="",D$23=""),"",IF(COUNTIFS('AFA Rates'!$A$5:$A$1004,$A389,'AFA Rates'!$B$5:$B$1004,D$23,'AFA Rates'!$O$5:$O$1004,"&lt;&gt;Expired")&gt;0,"✓",IF(COUNTIFS('AFA Rates'!$A$5:$A$1004,$A389,'AFA Rates'!$B$5:$B$1004,D$23)&gt;0,"Exp","")))</f>
        <v/>
      </c>
      <c r="E389" s="79">
        <f>IF(OR($A389="",E$23=""),"",IF(COUNTIFS('AFA Rates'!$A$5:$A$1004,$A389,'AFA Rates'!$B$5:$B$1004,E$23,'AFA Rates'!$O$5:$O$1004,"&lt;&gt;Expired")&gt;0,"✓",IF(COUNTIFS('AFA Rates'!$A$5:$A$1004,$A389,'AFA Rates'!$B$5:$B$1004,E$23)&gt;0,"Exp","")))</f>
        <v/>
      </c>
      <c r="F389" s="79">
        <f>IF(OR($A389="",F$23=""),"",IF(COUNTIFS('AFA Rates'!$A$5:$A$1004,$A389,'AFA Rates'!$B$5:$B$1004,F$23,'AFA Rates'!$O$5:$O$1004,"&lt;&gt;Expired")&gt;0,"✓",IF(COUNTIFS('AFA Rates'!$A$5:$A$1004,$A389,'AFA Rates'!$B$5:$B$1004,F$23)&gt;0,"Exp","")))</f>
        <v/>
      </c>
      <c r="G389" s="79">
        <f>IF(OR($A389="",G$23=""),"",IF(COUNTIFS('AFA Rates'!$A$5:$A$1004,$A389,'AFA Rates'!$B$5:$B$1004,G$23,'AFA Rates'!$O$5:$O$1004,"&lt;&gt;Expired")&gt;0,"✓",IF(COUNTIFS('AFA Rates'!$A$5:$A$1004,$A389,'AFA Rates'!$B$5:$B$1004,G$23)&gt;0,"Exp","")))</f>
        <v/>
      </c>
      <c r="H389" s="79">
        <f>IF(OR($A389="",H$23=""),"",IF(COUNTIFS('AFA Rates'!$A$5:$A$1004,$A389,'AFA Rates'!$B$5:$B$1004,H$23,'AFA Rates'!$O$5:$O$1004,"&lt;&gt;Expired")&gt;0,"✓",IF(COUNTIFS('AFA Rates'!$A$5:$A$1004,$A389,'AFA Rates'!$B$5:$B$1004,H$23)&gt;0,"Exp","")))</f>
        <v/>
      </c>
      <c r="I389" s="79">
        <f>IF(OR($A389="",I$23=""),"",IF(COUNTIFS('AFA Rates'!$A$5:$A$1004,$A389,'AFA Rates'!$B$5:$B$1004,I$23,'AFA Rates'!$O$5:$O$1004,"&lt;&gt;Expired")&gt;0,"✓",IF(COUNTIFS('AFA Rates'!$A$5:$A$1004,$A389,'AFA Rates'!$B$5:$B$1004,I$23)&gt;0,"Exp","")))</f>
        <v/>
      </c>
      <c r="J389" s="79">
        <f>IF(OR($A389="",J$23=""),"",IF(COUNTIFS('AFA Rates'!$A$5:$A$1004,$A389,'AFA Rates'!$B$5:$B$1004,J$23,'AFA Rates'!$O$5:$O$1004,"&lt;&gt;Expired")&gt;0,"✓",IF(COUNTIFS('AFA Rates'!$A$5:$A$1004,$A389,'AFA Rates'!$B$5:$B$1004,J$23)&gt;0,"Exp","")))</f>
        <v/>
      </c>
      <c r="K389" s="79">
        <f>IF(OR($A389="",K$23=""),"",IF(COUNTIFS('AFA Rates'!$A$5:$A$1004,$A389,'AFA Rates'!$B$5:$B$1004,K$23,'AFA Rates'!$O$5:$O$1004,"&lt;&gt;Expired")&gt;0,"✓",IF(COUNTIFS('AFA Rates'!$A$5:$A$1004,$A389,'AFA Rates'!$B$5:$B$1004,K$23)&gt;0,"Exp","")))</f>
        <v/>
      </c>
      <c r="L389" s="79">
        <f>IF(OR($A389="",L$23=""),"",IF(COUNTIFS('AFA Rates'!$A$5:$A$1004,$A389,'AFA Rates'!$B$5:$B$1004,L$23,'AFA Rates'!$O$5:$O$1004,"&lt;&gt;Expired")&gt;0,"✓",IF(COUNTIFS('AFA Rates'!$A$5:$A$1004,$A389,'AFA Rates'!$B$5:$B$1004,L$23)&gt;0,"Exp","")))</f>
        <v/>
      </c>
      <c r="M389" s="79">
        <f>IF(OR($A389="",M$23=""),"",IF(COUNTIFS('AFA Rates'!$A$5:$A$1004,$A389,'AFA Rates'!$B$5:$B$1004,M$23,'AFA Rates'!$O$5:$O$1004,"&lt;&gt;Expired")&gt;0,"✓",IF(COUNTIFS('AFA Rates'!$A$5:$A$1004,$A389,'AFA Rates'!$B$5:$B$1004,M$23)&gt;0,"Exp","")))</f>
        <v/>
      </c>
    </row>
    <row r="390">
      <c r="A390" s="78">
        <f>IFERROR(INDEX(Firms!$A$5:$A$1004,MATCH(367,Firms!$V$5:$V$1004,0)),"")</f>
        <v/>
      </c>
      <c r="B390" s="79">
        <f>IF($A390="","",INDEX(Firms!$B$5:$B$1004,MATCH(367,Firms!$V$5:$V$1004,0)))</f>
        <v/>
      </c>
      <c r="C390" s="79">
        <f>IF($A390="","",COUNTIFS('AFA Rates'!$A$5:$A$1004,$A390,'AFA Rates'!$O$5:$O$1004,"&lt;&gt;Expired"))</f>
        <v/>
      </c>
      <c r="D390" s="79">
        <f>IF(OR($A390="",D$23=""),"",IF(COUNTIFS('AFA Rates'!$A$5:$A$1004,$A390,'AFA Rates'!$B$5:$B$1004,D$23,'AFA Rates'!$O$5:$O$1004,"&lt;&gt;Expired")&gt;0,"✓",IF(COUNTIFS('AFA Rates'!$A$5:$A$1004,$A390,'AFA Rates'!$B$5:$B$1004,D$23)&gt;0,"Exp","")))</f>
        <v/>
      </c>
      <c r="E390" s="79">
        <f>IF(OR($A390="",E$23=""),"",IF(COUNTIFS('AFA Rates'!$A$5:$A$1004,$A390,'AFA Rates'!$B$5:$B$1004,E$23,'AFA Rates'!$O$5:$O$1004,"&lt;&gt;Expired")&gt;0,"✓",IF(COUNTIFS('AFA Rates'!$A$5:$A$1004,$A390,'AFA Rates'!$B$5:$B$1004,E$23)&gt;0,"Exp","")))</f>
        <v/>
      </c>
      <c r="F390" s="79">
        <f>IF(OR($A390="",F$23=""),"",IF(COUNTIFS('AFA Rates'!$A$5:$A$1004,$A390,'AFA Rates'!$B$5:$B$1004,F$23,'AFA Rates'!$O$5:$O$1004,"&lt;&gt;Expired")&gt;0,"✓",IF(COUNTIFS('AFA Rates'!$A$5:$A$1004,$A390,'AFA Rates'!$B$5:$B$1004,F$23)&gt;0,"Exp","")))</f>
        <v/>
      </c>
      <c r="G390" s="79">
        <f>IF(OR($A390="",G$23=""),"",IF(COUNTIFS('AFA Rates'!$A$5:$A$1004,$A390,'AFA Rates'!$B$5:$B$1004,G$23,'AFA Rates'!$O$5:$O$1004,"&lt;&gt;Expired")&gt;0,"✓",IF(COUNTIFS('AFA Rates'!$A$5:$A$1004,$A390,'AFA Rates'!$B$5:$B$1004,G$23)&gt;0,"Exp","")))</f>
        <v/>
      </c>
      <c r="H390" s="79">
        <f>IF(OR($A390="",H$23=""),"",IF(COUNTIFS('AFA Rates'!$A$5:$A$1004,$A390,'AFA Rates'!$B$5:$B$1004,H$23,'AFA Rates'!$O$5:$O$1004,"&lt;&gt;Expired")&gt;0,"✓",IF(COUNTIFS('AFA Rates'!$A$5:$A$1004,$A390,'AFA Rates'!$B$5:$B$1004,H$23)&gt;0,"Exp","")))</f>
        <v/>
      </c>
      <c r="I390" s="79">
        <f>IF(OR($A390="",I$23=""),"",IF(COUNTIFS('AFA Rates'!$A$5:$A$1004,$A390,'AFA Rates'!$B$5:$B$1004,I$23,'AFA Rates'!$O$5:$O$1004,"&lt;&gt;Expired")&gt;0,"✓",IF(COUNTIFS('AFA Rates'!$A$5:$A$1004,$A390,'AFA Rates'!$B$5:$B$1004,I$23)&gt;0,"Exp","")))</f>
        <v/>
      </c>
      <c r="J390" s="79">
        <f>IF(OR($A390="",J$23=""),"",IF(COUNTIFS('AFA Rates'!$A$5:$A$1004,$A390,'AFA Rates'!$B$5:$B$1004,J$23,'AFA Rates'!$O$5:$O$1004,"&lt;&gt;Expired")&gt;0,"✓",IF(COUNTIFS('AFA Rates'!$A$5:$A$1004,$A390,'AFA Rates'!$B$5:$B$1004,J$23)&gt;0,"Exp","")))</f>
        <v/>
      </c>
      <c r="K390" s="79">
        <f>IF(OR($A390="",K$23=""),"",IF(COUNTIFS('AFA Rates'!$A$5:$A$1004,$A390,'AFA Rates'!$B$5:$B$1004,K$23,'AFA Rates'!$O$5:$O$1004,"&lt;&gt;Expired")&gt;0,"✓",IF(COUNTIFS('AFA Rates'!$A$5:$A$1004,$A390,'AFA Rates'!$B$5:$B$1004,K$23)&gt;0,"Exp","")))</f>
        <v/>
      </c>
      <c r="L390" s="79">
        <f>IF(OR($A390="",L$23=""),"",IF(COUNTIFS('AFA Rates'!$A$5:$A$1004,$A390,'AFA Rates'!$B$5:$B$1004,L$23,'AFA Rates'!$O$5:$O$1004,"&lt;&gt;Expired")&gt;0,"✓",IF(COUNTIFS('AFA Rates'!$A$5:$A$1004,$A390,'AFA Rates'!$B$5:$B$1004,L$23)&gt;0,"Exp","")))</f>
        <v/>
      </c>
      <c r="M390" s="79">
        <f>IF(OR($A390="",M$23=""),"",IF(COUNTIFS('AFA Rates'!$A$5:$A$1004,$A390,'AFA Rates'!$B$5:$B$1004,M$23,'AFA Rates'!$O$5:$O$1004,"&lt;&gt;Expired")&gt;0,"✓",IF(COUNTIFS('AFA Rates'!$A$5:$A$1004,$A390,'AFA Rates'!$B$5:$B$1004,M$23)&gt;0,"Exp","")))</f>
        <v/>
      </c>
    </row>
    <row r="391">
      <c r="A391" s="78">
        <f>IFERROR(INDEX(Firms!$A$5:$A$1004,MATCH(368,Firms!$V$5:$V$1004,0)),"")</f>
        <v/>
      </c>
      <c r="B391" s="79">
        <f>IF($A391="","",INDEX(Firms!$B$5:$B$1004,MATCH(368,Firms!$V$5:$V$1004,0)))</f>
        <v/>
      </c>
      <c r="C391" s="79">
        <f>IF($A391="","",COUNTIFS('AFA Rates'!$A$5:$A$1004,$A391,'AFA Rates'!$O$5:$O$1004,"&lt;&gt;Expired"))</f>
        <v/>
      </c>
      <c r="D391" s="79">
        <f>IF(OR($A391="",D$23=""),"",IF(COUNTIFS('AFA Rates'!$A$5:$A$1004,$A391,'AFA Rates'!$B$5:$B$1004,D$23,'AFA Rates'!$O$5:$O$1004,"&lt;&gt;Expired")&gt;0,"✓",IF(COUNTIFS('AFA Rates'!$A$5:$A$1004,$A391,'AFA Rates'!$B$5:$B$1004,D$23)&gt;0,"Exp","")))</f>
        <v/>
      </c>
      <c r="E391" s="79">
        <f>IF(OR($A391="",E$23=""),"",IF(COUNTIFS('AFA Rates'!$A$5:$A$1004,$A391,'AFA Rates'!$B$5:$B$1004,E$23,'AFA Rates'!$O$5:$O$1004,"&lt;&gt;Expired")&gt;0,"✓",IF(COUNTIFS('AFA Rates'!$A$5:$A$1004,$A391,'AFA Rates'!$B$5:$B$1004,E$23)&gt;0,"Exp","")))</f>
        <v/>
      </c>
      <c r="F391" s="79">
        <f>IF(OR($A391="",F$23=""),"",IF(COUNTIFS('AFA Rates'!$A$5:$A$1004,$A391,'AFA Rates'!$B$5:$B$1004,F$23,'AFA Rates'!$O$5:$O$1004,"&lt;&gt;Expired")&gt;0,"✓",IF(COUNTIFS('AFA Rates'!$A$5:$A$1004,$A391,'AFA Rates'!$B$5:$B$1004,F$23)&gt;0,"Exp","")))</f>
        <v/>
      </c>
      <c r="G391" s="79">
        <f>IF(OR($A391="",G$23=""),"",IF(COUNTIFS('AFA Rates'!$A$5:$A$1004,$A391,'AFA Rates'!$B$5:$B$1004,G$23,'AFA Rates'!$O$5:$O$1004,"&lt;&gt;Expired")&gt;0,"✓",IF(COUNTIFS('AFA Rates'!$A$5:$A$1004,$A391,'AFA Rates'!$B$5:$B$1004,G$23)&gt;0,"Exp","")))</f>
        <v/>
      </c>
      <c r="H391" s="79">
        <f>IF(OR($A391="",H$23=""),"",IF(COUNTIFS('AFA Rates'!$A$5:$A$1004,$A391,'AFA Rates'!$B$5:$B$1004,H$23,'AFA Rates'!$O$5:$O$1004,"&lt;&gt;Expired")&gt;0,"✓",IF(COUNTIFS('AFA Rates'!$A$5:$A$1004,$A391,'AFA Rates'!$B$5:$B$1004,H$23)&gt;0,"Exp","")))</f>
        <v/>
      </c>
      <c r="I391" s="79">
        <f>IF(OR($A391="",I$23=""),"",IF(COUNTIFS('AFA Rates'!$A$5:$A$1004,$A391,'AFA Rates'!$B$5:$B$1004,I$23,'AFA Rates'!$O$5:$O$1004,"&lt;&gt;Expired")&gt;0,"✓",IF(COUNTIFS('AFA Rates'!$A$5:$A$1004,$A391,'AFA Rates'!$B$5:$B$1004,I$23)&gt;0,"Exp","")))</f>
        <v/>
      </c>
      <c r="J391" s="79">
        <f>IF(OR($A391="",J$23=""),"",IF(COUNTIFS('AFA Rates'!$A$5:$A$1004,$A391,'AFA Rates'!$B$5:$B$1004,J$23,'AFA Rates'!$O$5:$O$1004,"&lt;&gt;Expired")&gt;0,"✓",IF(COUNTIFS('AFA Rates'!$A$5:$A$1004,$A391,'AFA Rates'!$B$5:$B$1004,J$23)&gt;0,"Exp","")))</f>
        <v/>
      </c>
      <c r="K391" s="79">
        <f>IF(OR($A391="",K$23=""),"",IF(COUNTIFS('AFA Rates'!$A$5:$A$1004,$A391,'AFA Rates'!$B$5:$B$1004,K$23,'AFA Rates'!$O$5:$O$1004,"&lt;&gt;Expired")&gt;0,"✓",IF(COUNTIFS('AFA Rates'!$A$5:$A$1004,$A391,'AFA Rates'!$B$5:$B$1004,K$23)&gt;0,"Exp","")))</f>
        <v/>
      </c>
      <c r="L391" s="79">
        <f>IF(OR($A391="",L$23=""),"",IF(COUNTIFS('AFA Rates'!$A$5:$A$1004,$A391,'AFA Rates'!$B$5:$B$1004,L$23,'AFA Rates'!$O$5:$O$1004,"&lt;&gt;Expired")&gt;0,"✓",IF(COUNTIFS('AFA Rates'!$A$5:$A$1004,$A391,'AFA Rates'!$B$5:$B$1004,L$23)&gt;0,"Exp","")))</f>
        <v/>
      </c>
      <c r="M391" s="79">
        <f>IF(OR($A391="",M$23=""),"",IF(COUNTIFS('AFA Rates'!$A$5:$A$1004,$A391,'AFA Rates'!$B$5:$B$1004,M$23,'AFA Rates'!$O$5:$O$1004,"&lt;&gt;Expired")&gt;0,"✓",IF(COUNTIFS('AFA Rates'!$A$5:$A$1004,$A391,'AFA Rates'!$B$5:$B$1004,M$23)&gt;0,"Exp","")))</f>
        <v/>
      </c>
    </row>
    <row r="392">
      <c r="A392" s="78">
        <f>IFERROR(INDEX(Firms!$A$5:$A$1004,MATCH(369,Firms!$V$5:$V$1004,0)),"")</f>
        <v/>
      </c>
      <c r="B392" s="79">
        <f>IF($A392="","",INDEX(Firms!$B$5:$B$1004,MATCH(369,Firms!$V$5:$V$1004,0)))</f>
        <v/>
      </c>
      <c r="C392" s="79">
        <f>IF($A392="","",COUNTIFS('AFA Rates'!$A$5:$A$1004,$A392,'AFA Rates'!$O$5:$O$1004,"&lt;&gt;Expired"))</f>
        <v/>
      </c>
      <c r="D392" s="79">
        <f>IF(OR($A392="",D$23=""),"",IF(COUNTIFS('AFA Rates'!$A$5:$A$1004,$A392,'AFA Rates'!$B$5:$B$1004,D$23,'AFA Rates'!$O$5:$O$1004,"&lt;&gt;Expired")&gt;0,"✓",IF(COUNTIFS('AFA Rates'!$A$5:$A$1004,$A392,'AFA Rates'!$B$5:$B$1004,D$23)&gt;0,"Exp","")))</f>
        <v/>
      </c>
      <c r="E392" s="79">
        <f>IF(OR($A392="",E$23=""),"",IF(COUNTIFS('AFA Rates'!$A$5:$A$1004,$A392,'AFA Rates'!$B$5:$B$1004,E$23,'AFA Rates'!$O$5:$O$1004,"&lt;&gt;Expired")&gt;0,"✓",IF(COUNTIFS('AFA Rates'!$A$5:$A$1004,$A392,'AFA Rates'!$B$5:$B$1004,E$23)&gt;0,"Exp","")))</f>
        <v/>
      </c>
      <c r="F392" s="79">
        <f>IF(OR($A392="",F$23=""),"",IF(COUNTIFS('AFA Rates'!$A$5:$A$1004,$A392,'AFA Rates'!$B$5:$B$1004,F$23,'AFA Rates'!$O$5:$O$1004,"&lt;&gt;Expired")&gt;0,"✓",IF(COUNTIFS('AFA Rates'!$A$5:$A$1004,$A392,'AFA Rates'!$B$5:$B$1004,F$23)&gt;0,"Exp","")))</f>
        <v/>
      </c>
      <c r="G392" s="79">
        <f>IF(OR($A392="",G$23=""),"",IF(COUNTIFS('AFA Rates'!$A$5:$A$1004,$A392,'AFA Rates'!$B$5:$B$1004,G$23,'AFA Rates'!$O$5:$O$1004,"&lt;&gt;Expired")&gt;0,"✓",IF(COUNTIFS('AFA Rates'!$A$5:$A$1004,$A392,'AFA Rates'!$B$5:$B$1004,G$23)&gt;0,"Exp","")))</f>
        <v/>
      </c>
      <c r="H392" s="79">
        <f>IF(OR($A392="",H$23=""),"",IF(COUNTIFS('AFA Rates'!$A$5:$A$1004,$A392,'AFA Rates'!$B$5:$B$1004,H$23,'AFA Rates'!$O$5:$O$1004,"&lt;&gt;Expired")&gt;0,"✓",IF(COUNTIFS('AFA Rates'!$A$5:$A$1004,$A392,'AFA Rates'!$B$5:$B$1004,H$23)&gt;0,"Exp","")))</f>
        <v/>
      </c>
      <c r="I392" s="79">
        <f>IF(OR($A392="",I$23=""),"",IF(COUNTIFS('AFA Rates'!$A$5:$A$1004,$A392,'AFA Rates'!$B$5:$B$1004,I$23,'AFA Rates'!$O$5:$O$1004,"&lt;&gt;Expired")&gt;0,"✓",IF(COUNTIFS('AFA Rates'!$A$5:$A$1004,$A392,'AFA Rates'!$B$5:$B$1004,I$23)&gt;0,"Exp","")))</f>
        <v/>
      </c>
      <c r="J392" s="79">
        <f>IF(OR($A392="",J$23=""),"",IF(COUNTIFS('AFA Rates'!$A$5:$A$1004,$A392,'AFA Rates'!$B$5:$B$1004,J$23,'AFA Rates'!$O$5:$O$1004,"&lt;&gt;Expired")&gt;0,"✓",IF(COUNTIFS('AFA Rates'!$A$5:$A$1004,$A392,'AFA Rates'!$B$5:$B$1004,J$23)&gt;0,"Exp","")))</f>
        <v/>
      </c>
      <c r="K392" s="79">
        <f>IF(OR($A392="",K$23=""),"",IF(COUNTIFS('AFA Rates'!$A$5:$A$1004,$A392,'AFA Rates'!$B$5:$B$1004,K$23,'AFA Rates'!$O$5:$O$1004,"&lt;&gt;Expired")&gt;0,"✓",IF(COUNTIFS('AFA Rates'!$A$5:$A$1004,$A392,'AFA Rates'!$B$5:$B$1004,K$23)&gt;0,"Exp","")))</f>
        <v/>
      </c>
      <c r="L392" s="79">
        <f>IF(OR($A392="",L$23=""),"",IF(COUNTIFS('AFA Rates'!$A$5:$A$1004,$A392,'AFA Rates'!$B$5:$B$1004,L$23,'AFA Rates'!$O$5:$O$1004,"&lt;&gt;Expired")&gt;0,"✓",IF(COUNTIFS('AFA Rates'!$A$5:$A$1004,$A392,'AFA Rates'!$B$5:$B$1004,L$23)&gt;0,"Exp","")))</f>
        <v/>
      </c>
      <c r="M392" s="79">
        <f>IF(OR($A392="",M$23=""),"",IF(COUNTIFS('AFA Rates'!$A$5:$A$1004,$A392,'AFA Rates'!$B$5:$B$1004,M$23,'AFA Rates'!$O$5:$O$1004,"&lt;&gt;Expired")&gt;0,"✓",IF(COUNTIFS('AFA Rates'!$A$5:$A$1004,$A392,'AFA Rates'!$B$5:$B$1004,M$23)&gt;0,"Exp","")))</f>
        <v/>
      </c>
    </row>
    <row r="393">
      <c r="A393" s="78">
        <f>IFERROR(INDEX(Firms!$A$5:$A$1004,MATCH(370,Firms!$V$5:$V$1004,0)),"")</f>
        <v/>
      </c>
      <c r="B393" s="79">
        <f>IF($A393="","",INDEX(Firms!$B$5:$B$1004,MATCH(370,Firms!$V$5:$V$1004,0)))</f>
        <v/>
      </c>
      <c r="C393" s="79">
        <f>IF($A393="","",COUNTIFS('AFA Rates'!$A$5:$A$1004,$A393,'AFA Rates'!$O$5:$O$1004,"&lt;&gt;Expired"))</f>
        <v/>
      </c>
      <c r="D393" s="79">
        <f>IF(OR($A393="",D$23=""),"",IF(COUNTIFS('AFA Rates'!$A$5:$A$1004,$A393,'AFA Rates'!$B$5:$B$1004,D$23,'AFA Rates'!$O$5:$O$1004,"&lt;&gt;Expired")&gt;0,"✓",IF(COUNTIFS('AFA Rates'!$A$5:$A$1004,$A393,'AFA Rates'!$B$5:$B$1004,D$23)&gt;0,"Exp","")))</f>
        <v/>
      </c>
      <c r="E393" s="79">
        <f>IF(OR($A393="",E$23=""),"",IF(COUNTIFS('AFA Rates'!$A$5:$A$1004,$A393,'AFA Rates'!$B$5:$B$1004,E$23,'AFA Rates'!$O$5:$O$1004,"&lt;&gt;Expired")&gt;0,"✓",IF(COUNTIFS('AFA Rates'!$A$5:$A$1004,$A393,'AFA Rates'!$B$5:$B$1004,E$23)&gt;0,"Exp","")))</f>
        <v/>
      </c>
      <c r="F393" s="79">
        <f>IF(OR($A393="",F$23=""),"",IF(COUNTIFS('AFA Rates'!$A$5:$A$1004,$A393,'AFA Rates'!$B$5:$B$1004,F$23,'AFA Rates'!$O$5:$O$1004,"&lt;&gt;Expired")&gt;0,"✓",IF(COUNTIFS('AFA Rates'!$A$5:$A$1004,$A393,'AFA Rates'!$B$5:$B$1004,F$23)&gt;0,"Exp","")))</f>
        <v/>
      </c>
      <c r="G393" s="79">
        <f>IF(OR($A393="",G$23=""),"",IF(COUNTIFS('AFA Rates'!$A$5:$A$1004,$A393,'AFA Rates'!$B$5:$B$1004,G$23,'AFA Rates'!$O$5:$O$1004,"&lt;&gt;Expired")&gt;0,"✓",IF(COUNTIFS('AFA Rates'!$A$5:$A$1004,$A393,'AFA Rates'!$B$5:$B$1004,G$23)&gt;0,"Exp","")))</f>
        <v/>
      </c>
      <c r="H393" s="79">
        <f>IF(OR($A393="",H$23=""),"",IF(COUNTIFS('AFA Rates'!$A$5:$A$1004,$A393,'AFA Rates'!$B$5:$B$1004,H$23,'AFA Rates'!$O$5:$O$1004,"&lt;&gt;Expired")&gt;0,"✓",IF(COUNTIFS('AFA Rates'!$A$5:$A$1004,$A393,'AFA Rates'!$B$5:$B$1004,H$23)&gt;0,"Exp","")))</f>
        <v/>
      </c>
      <c r="I393" s="79">
        <f>IF(OR($A393="",I$23=""),"",IF(COUNTIFS('AFA Rates'!$A$5:$A$1004,$A393,'AFA Rates'!$B$5:$B$1004,I$23,'AFA Rates'!$O$5:$O$1004,"&lt;&gt;Expired")&gt;0,"✓",IF(COUNTIFS('AFA Rates'!$A$5:$A$1004,$A393,'AFA Rates'!$B$5:$B$1004,I$23)&gt;0,"Exp","")))</f>
        <v/>
      </c>
      <c r="J393" s="79">
        <f>IF(OR($A393="",J$23=""),"",IF(COUNTIFS('AFA Rates'!$A$5:$A$1004,$A393,'AFA Rates'!$B$5:$B$1004,J$23,'AFA Rates'!$O$5:$O$1004,"&lt;&gt;Expired")&gt;0,"✓",IF(COUNTIFS('AFA Rates'!$A$5:$A$1004,$A393,'AFA Rates'!$B$5:$B$1004,J$23)&gt;0,"Exp","")))</f>
        <v/>
      </c>
      <c r="K393" s="79">
        <f>IF(OR($A393="",K$23=""),"",IF(COUNTIFS('AFA Rates'!$A$5:$A$1004,$A393,'AFA Rates'!$B$5:$B$1004,K$23,'AFA Rates'!$O$5:$O$1004,"&lt;&gt;Expired")&gt;0,"✓",IF(COUNTIFS('AFA Rates'!$A$5:$A$1004,$A393,'AFA Rates'!$B$5:$B$1004,K$23)&gt;0,"Exp","")))</f>
        <v/>
      </c>
      <c r="L393" s="79">
        <f>IF(OR($A393="",L$23=""),"",IF(COUNTIFS('AFA Rates'!$A$5:$A$1004,$A393,'AFA Rates'!$B$5:$B$1004,L$23,'AFA Rates'!$O$5:$O$1004,"&lt;&gt;Expired")&gt;0,"✓",IF(COUNTIFS('AFA Rates'!$A$5:$A$1004,$A393,'AFA Rates'!$B$5:$B$1004,L$23)&gt;0,"Exp","")))</f>
        <v/>
      </c>
      <c r="M393" s="79">
        <f>IF(OR($A393="",M$23=""),"",IF(COUNTIFS('AFA Rates'!$A$5:$A$1004,$A393,'AFA Rates'!$B$5:$B$1004,M$23,'AFA Rates'!$O$5:$O$1004,"&lt;&gt;Expired")&gt;0,"✓",IF(COUNTIFS('AFA Rates'!$A$5:$A$1004,$A393,'AFA Rates'!$B$5:$B$1004,M$23)&gt;0,"Exp","")))</f>
        <v/>
      </c>
    </row>
    <row r="394">
      <c r="A394" s="78">
        <f>IFERROR(INDEX(Firms!$A$5:$A$1004,MATCH(371,Firms!$V$5:$V$1004,0)),"")</f>
        <v/>
      </c>
      <c r="B394" s="79">
        <f>IF($A394="","",INDEX(Firms!$B$5:$B$1004,MATCH(371,Firms!$V$5:$V$1004,0)))</f>
        <v/>
      </c>
      <c r="C394" s="79">
        <f>IF($A394="","",COUNTIFS('AFA Rates'!$A$5:$A$1004,$A394,'AFA Rates'!$O$5:$O$1004,"&lt;&gt;Expired"))</f>
        <v/>
      </c>
      <c r="D394" s="79">
        <f>IF(OR($A394="",D$23=""),"",IF(COUNTIFS('AFA Rates'!$A$5:$A$1004,$A394,'AFA Rates'!$B$5:$B$1004,D$23,'AFA Rates'!$O$5:$O$1004,"&lt;&gt;Expired")&gt;0,"✓",IF(COUNTIFS('AFA Rates'!$A$5:$A$1004,$A394,'AFA Rates'!$B$5:$B$1004,D$23)&gt;0,"Exp","")))</f>
        <v/>
      </c>
      <c r="E394" s="79">
        <f>IF(OR($A394="",E$23=""),"",IF(COUNTIFS('AFA Rates'!$A$5:$A$1004,$A394,'AFA Rates'!$B$5:$B$1004,E$23,'AFA Rates'!$O$5:$O$1004,"&lt;&gt;Expired")&gt;0,"✓",IF(COUNTIFS('AFA Rates'!$A$5:$A$1004,$A394,'AFA Rates'!$B$5:$B$1004,E$23)&gt;0,"Exp","")))</f>
        <v/>
      </c>
      <c r="F394" s="79">
        <f>IF(OR($A394="",F$23=""),"",IF(COUNTIFS('AFA Rates'!$A$5:$A$1004,$A394,'AFA Rates'!$B$5:$B$1004,F$23,'AFA Rates'!$O$5:$O$1004,"&lt;&gt;Expired")&gt;0,"✓",IF(COUNTIFS('AFA Rates'!$A$5:$A$1004,$A394,'AFA Rates'!$B$5:$B$1004,F$23)&gt;0,"Exp","")))</f>
        <v/>
      </c>
      <c r="G394" s="79">
        <f>IF(OR($A394="",G$23=""),"",IF(COUNTIFS('AFA Rates'!$A$5:$A$1004,$A394,'AFA Rates'!$B$5:$B$1004,G$23,'AFA Rates'!$O$5:$O$1004,"&lt;&gt;Expired")&gt;0,"✓",IF(COUNTIFS('AFA Rates'!$A$5:$A$1004,$A394,'AFA Rates'!$B$5:$B$1004,G$23)&gt;0,"Exp","")))</f>
        <v/>
      </c>
      <c r="H394" s="79">
        <f>IF(OR($A394="",H$23=""),"",IF(COUNTIFS('AFA Rates'!$A$5:$A$1004,$A394,'AFA Rates'!$B$5:$B$1004,H$23,'AFA Rates'!$O$5:$O$1004,"&lt;&gt;Expired")&gt;0,"✓",IF(COUNTIFS('AFA Rates'!$A$5:$A$1004,$A394,'AFA Rates'!$B$5:$B$1004,H$23)&gt;0,"Exp","")))</f>
        <v/>
      </c>
      <c r="I394" s="79">
        <f>IF(OR($A394="",I$23=""),"",IF(COUNTIFS('AFA Rates'!$A$5:$A$1004,$A394,'AFA Rates'!$B$5:$B$1004,I$23,'AFA Rates'!$O$5:$O$1004,"&lt;&gt;Expired")&gt;0,"✓",IF(COUNTIFS('AFA Rates'!$A$5:$A$1004,$A394,'AFA Rates'!$B$5:$B$1004,I$23)&gt;0,"Exp","")))</f>
        <v/>
      </c>
      <c r="J394" s="79">
        <f>IF(OR($A394="",J$23=""),"",IF(COUNTIFS('AFA Rates'!$A$5:$A$1004,$A394,'AFA Rates'!$B$5:$B$1004,J$23,'AFA Rates'!$O$5:$O$1004,"&lt;&gt;Expired")&gt;0,"✓",IF(COUNTIFS('AFA Rates'!$A$5:$A$1004,$A394,'AFA Rates'!$B$5:$B$1004,J$23)&gt;0,"Exp","")))</f>
        <v/>
      </c>
      <c r="K394" s="79">
        <f>IF(OR($A394="",K$23=""),"",IF(COUNTIFS('AFA Rates'!$A$5:$A$1004,$A394,'AFA Rates'!$B$5:$B$1004,K$23,'AFA Rates'!$O$5:$O$1004,"&lt;&gt;Expired")&gt;0,"✓",IF(COUNTIFS('AFA Rates'!$A$5:$A$1004,$A394,'AFA Rates'!$B$5:$B$1004,K$23)&gt;0,"Exp","")))</f>
        <v/>
      </c>
      <c r="L394" s="79">
        <f>IF(OR($A394="",L$23=""),"",IF(COUNTIFS('AFA Rates'!$A$5:$A$1004,$A394,'AFA Rates'!$B$5:$B$1004,L$23,'AFA Rates'!$O$5:$O$1004,"&lt;&gt;Expired")&gt;0,"✓",IF(COUNTIFS('AFA Rates'!$A$5:$A$1004,$A394,'AFA Rates'!$B$5:$B$1004,L$23)&gt;0,"Exp","")))</f>
        <v/>
      </c>
      <c r="M394" s="79">
        <f>IF(OR($A394="",M$23=""),"",IF(COUNTIFS('AFA Rates'!$A$5:$A$1004,$A394,'AFA Rates'!$B$5:$B$1004,M$23,'AFA Rates'!$O$5:$O$1004,"&lt;&gt;Expired")&gt;0,"✓",IF(COUNTIFS('AFA Rates'!$A$5:$A$1004,$A394,'AFA Rates'!$B$5:$B$1004,M$23)&gt;0,"Exp","")))</f>
        <v/>
      </c>
    </row>
    <row r="395">
      <c r="A395" s="78">
        <f>IFERROR(INDEX(Firms!$A$5:$A$1004,MATCH(372,Firms!$V$5:$V$1004,0)),"")</f>
        <v/>
      </c>
      <c r="B395" s="79">
        <f>IF($A395="","",INDEX(Firms!$B$5:$B$1004,MATCH(372,Firms!$V$5:$V$1004,0)))</f>
        <v/>
      </c>
      <c r="C395" s="79">
        <f>IF($A395="","",COUNTIFS('AFA Rates'!$A$5:$A$1004,$A395,'AFA Rates'!$O$5:$O$1004,"&lt;&gt;Expired"))</f>
        <v/>
      </c>
      <c r="D395" s="79">
        <f>IF(OR($A395="",D$23=""),"",IF(COUNTIFS('AFA Rates'!$A$5:$A$1004,$A395,'AFA Rates'!$B$5:$B$1004,D$23,'AFA Rates'!$O$5:$O$1004,"&lt;&gt;Expired")&gt;0,"✓",IF(COUNTIFS('AFA Rates'!$A$5:$A$1004,$A395,'AFA Rates'!$B$5:$B$1004,D$23)&gt;0,"Exp","")))</f>
        <v/>
      </c>
      <c r="E395" s="79">
        <f>IF(OR($A395="",E$23=""),"",IF(COUNTIFS('AFA Rates'!$A$5:$A$1004,$A395,'AFA Rates'!$B$5:$B$1004,E$23,'AFA Rates'!$O$5:$O$1004,"&lt;&gt;Expired")&gt;0,"✓",IF(COUNTIFS('AFA Rates'!$A$5:$A$1004,$A395,'AFA Rates'!$B$5:$B$1004,E$23)&gt;0,"Exp","")))</f>
        <v/>
      </c>
      <c r="F395" s="79">
        <f>IF(OR($A395="",F$23=""),"",IF(COUNTIFS('AFA Rates'!$A$5:$A$1004,$A395,'AFA Rates'!$B$5:$B$1004,F$23,'AFA Rates'!$O$5:$O$1004,"&lt;&gt;Expired")&gt;0,"✓",IF(COUNTIFS('AFA Rates'!$A$5:$A$1004,$A395,'AFA Rates'!$B$5:$B$1004,F$23)&gt;0,"Exp","")))</f>
        <v/>
      </c>
      <c r="G395" s="79">
        <f>IF(OR($A395="",G$23=""),"",IF(COUNTIFS('AFA Rates'!$A$5:$A$1004,$A395,'AFA Rates'!$B$5:$B$1004,G$23,'AFA Rates'!$O$5:$O$1004,"&lt;&gt;Expired")&gt;0,"✓",IF(COUNTIFS('AFA Rates'!$A$5:$A$1004,$A395,'AFA Rates'!$B$5:$B$1004,G$23)&gt;0,"Exp","")))</f>
        <v/>
      </c>
      <c r="H395" s="79">
        <f>IF(OR($A395="",H$23=""),"",IF(COUNTIFS('AFA Rates'!$A$5:$A$1004,$A395,'AFA Rates'!$B$5:$B$1004,H$23,'AFA Rates'!$O$5:$O$1004,"&lt;&gt;Expired")&gt;0,"✓",IF(COUNTIFS('AFA Rates'!$A$5:$A$1004,$A395,'AFA Rates'!$B$5:$B$1004,H$23)&gt;0,"Exp","")))</f>
        <v/>
      </c>
      <c r="I395" s="79">
        <f>IF(OR($A395="",I$23=""),"",IF(COUNTIFS('AFA Rates'!$A$5:$A$1004,$A395,'AFA Rates'!$B$5:$B$1004,I$23,'AFA Rates'!$O$5:$O$1004,"&lt;&gt;Expired")&gt;0,"✓",IF(COUNTIFS('AFA Rates'!$A$5:$A$1004,$A395,'AFA Rates'!$B$5:$B$1004,I$23)&gt;0,"Exp","")))</f>
        <v/>
      </c>
      <c r="J395" s="79">
        <f>IF(OR($A395="",J$23=""),"",IF(COUNTIFS('AFA Rates'!$A$5:$A$1004,$A395,'AFA Rates'!$B$5:$B$1004,J$23,'AFA Rates'!$O$5:$O$1004,"&lt;&gt;Expired")&gt;0,"✓",IF(COUNTIFS('AFA Rates'!$A$5:$A$1004,$A395,'AFA Rates'!$B$5:$B$1004,J$23)&gt;0,"Exp","")))</f>
        <v/>
      </c>
      <c r="K395" s="79">
        <f>IF(OR($A395="",K$23=""),"",IF(COUNTIFS('AFA Rates'!$A$5:$A$1004,$A395,'AFA Rates'!$B$5:$B$1004,K$23,'AFA Rates'!$O$5:$O$1004,"&lt;&gt;Expired")&gt;0,"✓",IF(COUNTIFS('AFA Rates'!$A$5:$A$1004,$A395,'AFA Rates'!$B$5:$B$1004,K$23)&gt;0,"Exp","")))</f>
        <v/>
      </c>
      <c r="L395" s="79">
        <f>IF(OR($A395="",L$23=""),"",IF(COUNTIFS('AFA Rates'!$A$5:$A$1004,$A395,'AFA Rates'!$B$5:$B$1004,L$23,'AFA Rates'!$O$5:$O$1004,"&lt;&gt;Expired")&gt;0,"✓",IF(COUNTIFS('AFA Rates'!$A$5:$A$1004,$A395,'AFA Rates'!$B$5:$B$1004,L$23)&gt;0,"Exp","")))</f>
        <v/>
      </c>
      <c r="M395" s="79">
        <f>IF(OR($A395="",M$23=""),"",IF(COUNTIFS('AFA Rates'!$A$5:$A$1004,$A395,'AFA Rates'!$B$5:$B$1004,M$23,'AFA Rates'!$O$5:$O$1004,"&lt;&gt;Expired")&gt;0,"✓",IF(COUNTIFS('AFA Rates'!$A$5:$A$1004,$A395,'AFA Rates'!$B$5:$B$1004,M$23)&gt;0,"Exp","")))</f>
        <v/>
      </c>
    </row>
    <row r="396">
      <c r="A396" s="78">
        <f>IFERROR(INDEX(Firms!$A$5:$A$1004,MATCH(373,Firms!$V$5:$V$1004,0)),"")</f>
        <v/>
      </c>
      <c r="B396" s="79">
        <f>IF($A396="","",INDEX(Firms!$B$5:$B$1004,MATCH(373,Firms!$V$5:$V$1004,0)))</f>
        <v/>
      </c>
      <c r="C396" s="79">
        <f>IF($A396="","",COUNTIFS('AFA Rates'!$A$5:$A$1004,$A396,'AFA Rates'!$O$5:$O$1004,"&lt;&gt;Expired"))</f>
        <v/>
      </c>
      <c r="D396" s="79">
        <f>IF(OR($A396="",D$23=""),"",IF(COUNTIFS('AFA Rates'!$A$5:$A$1004,$A396,'AFA Rates'!$B$5:$B$1004,D$23,'AFA Rates'!$O$5:$O$1004,"&lt;&gt;Expired")&gt;0,"✓",IF(COUNTIFS('AFA Rates'!$A$5:$A$1004,$A396,'AFA Rates'!$B$5:$B$1004,D$23)&gt;0,"Exp","")))</f>
        <v/>
      </c>
      <c r="E396" s="79">
        <f>IF(OR($A396="",E$23=""),"",IF(COUNTIFS('AFA Rates'!$A$5:$A$1004,$A396,'AFA Rates'!$B$5:$B$1004,E$23,'AFA Rates'!$O$5:$O$1004,"&lt;&gt;Expired")&gt;0,"✓",IF(COUNTIFS('AFA Rates'!$A$5:$A$1004,$A396,'AFA Rates'!$B$5:$B$1004,E$23)&gt;0,"Exp","")))</f>
        <v/>
      </c>
      <c r="F396" s="79">
        <f>IF(OR($A396="",F$23=""),"",IF(COUNTIFS('AFA Rates'!$A$5:$A$1004,$A396,'AFA Rates'!$B$5:$B$1004,F$23,'AFA Rates'!$O$5:$O$1004,"&lt;&gt;Expired")&gt;0,"✓",IF(COUNTIFS('AFA Rates'!$A$5:$A$1004,$A396,'AFA Rates'!$B$5:$B$1004,F$23)&gt;0,"Exp","")))</f>
        <v/>
      </c>
      <c r="G396" s="79">
        <f>IF(OR($A396="",G$23=""),"",IF(COUNTIFS('AFA Rates'!$A$5:$A$1004,$A396,'AFA Rates'!$B$5:$B$1004,G$23,'AFA Rates'!$O$5:$O$1004,"&lt;&gt;Expired")&gt;0,"✓",IF(COUNTIFS('AFA Rates'!$A$5:$A$1004,$A396,'AFA Rates'!$B$5:$B$1004,G$23)&gt;0,"Exp","")))</f>
        <v/>
      </c>
      <c r="H396" s="79">
        <f>IF(OR($A396="",H$23=""),"",IF(COUNTIFS('AFA Rates'!$A$5:$A$1004,$A396,'AFA Rates'!$B$5:$B$1004,H$23,'AFA Rates'!$O$5:$O$1004,"&lt;&gt;Expired")&gt;0,"✓",IF(COUNTIFS('AFA Rates'!$A$5:$A$1004,$A396,'AFA Rates'!$B$5:$B$1004,H$23)&gt;0,"Exp","")))</f>
        <v/>
      </c>
      <c r="I396" s="79">
        <f>IF(OR($A396="",I$23=""),"",IF(COUNTIFS('AFA Rates'!$A$5:$A$1004,$A396,'AFA Rates'!$B$5:$B$1004,I$23,'AFA Rates'!$O$5:$O$1004,"&lt;&gt;Expired")&gt;0,"✓",IF(COUNTIFS('AFA Rates'!$A$5:$A$1004,$A396,'AFA Rates'!$B$5:$B$1004,I$23)&gt;0,"Exp","")))</f>
        <v/>
      </c>
      <c r="J396" s="79">
        <f>IF(OR($A396="",J$23=""),"",IF(COUNTIFS('AFA Rates'!$A$5:$A$1004,$A396,'AFA Rates'!$B$5:$B$1004,J$23,'AFA Rates'!$O$5:$O$1004,"&lt;&gt;Expired")&gt;0,"✓",IF(COUNTIFS('AFA Rates'!$A$5:$A$1004,$A396,'AFA Rates'!$B$5:$B$1004,J$23)&gt;0,"Exp","")))</f>
        <v/>
      </c>
      <c r="K396" s="79">
        <f>IF(OR($A396="",K$23=""),"",IF(COUNTIFS('AFA Rates'!$A$5:$A$1004,$A396,'AFA Rates'!$B$5:$B$1004,K$23,'AFA Rates'!$O$5:$O$1004,"&lt;&gt;Expired")&gt;0,"✓",IF(COUNTIFS('AFA Rates'!$A$5:$A$1004,$A396,'AFA Rates'!$B$5:$B$1004,K$23)&gt;0,"Exp","")))</f>
        <v/>
      </c>
      <c r="L396" s="79">
        <f>IF(OR($A396="",L$23=""),"",IF(COUNTIFS('AFA Rates'!$A$5:$A$1004,$A396,'AFA Rates'!$B$5:$B$1004,L$23,'AFA Rates'!$O$5:$O$1004,"&lt;&gt;Expired")&gt;0,"✓",IF(COUNTIFS('AFA Rates'!$A$5:$A$1004,$A396,'AFA Rates'!$B$5:$B$1004,L$23)&gt;0,"Exp","")))</f>
        <v/>
      </c>
      <c r="M396" s="79">
        <f>IF(OR($A396="",M$23=""),"",IF(COUNTIFS('AFA Rates'!$A$5:$A$1004,$A396,'AFA Rates'!$B$5:$B$1004,M$23,'AFA Rates'!$O$5:$O$1004,"&lt;&gt;Expired")&gt;0,"✓",IF(COUNTIFS('AFA Rates'!$A$5:$A$1004,$A396,'AFA Rates'!$B$5:$B$1004,M$23)&gt;0,"Exp","")))</f>
        <v/>
      </c>
    </row>
    <row r="397">
      <c r="A397" s="78">
        <f>IFERROR(INDEX(Firms!$A$5:$A$1004,MATCH(374,Firms!$V$5:$V$1004,0)),"")</f>
        <v/>
      </c>
      <c r="B397" s="79">
        <f>IF($A397="","",INDEX(Firms!$B$5:$B$1004,MATCH(374,Firms!$V$5:$V$1004,0)))</f>
        <v/>
      </c>
      <c r="C397" s="79">
        <f>IF($A397="","",COUNTIFS('AFA Rates'!$A$5:$A$1004,$A397,'AFA Rates'!$O$5:$O$1004,"&lt;&gt;Expired"))</f>
        <v/>
      </c>
      <c r="D397" s="79">
        <f>IF(OR($A397="",D$23=""),"",IF(COUNTIFS('AFA Rates'!$A$5:$A$1004,$A397,'AFA Rates'!$B$5:$B$1004,D$23,'AFA Rates'!$O$5:$O$1004,"&lt;&gt;Expired")&gt;0,"✓",IF(COUNTIFS('AFA Rates'!$A$5:$A$1004,$A397,'AFA Rates'!$B$5:$B$1004,D$23)&gt;0,"Exp","")))</f>
        <v/>
      </c>
      <c r="E397" s="79">
        <f>IF(OR($A397="",E$23=""),"",IF(COUNTIFS('AFA Rates'!$A$5:$A$1004,$A397,'AFA Rates'!$B$5:$B$1004,E$23,'AFA Rates'!$O$5:$O$1004,"&lt;&gt;Expired")&gt;0,"✓",IF(COUNTIFS('AFA Rates'!$A$5:$A$1004,$A397,'AFA Rates'!$B$5:$B$1004,E$23)&gt;0,"Exp","")))</f>
        <v/>
      </c>
      <c r="F397" s="79">
        <f>IF(OR($A397="",F$23=""),"",IF(COUNTIFS('AFA Rates'!$A$5:$A$1004,$A397,'AFA Rates'!$B$5:$B$1004,F$23,'AFA Rates'!$O$5:$O$1004,"&lt;&gt;Expired")&gt;0,"✓",IF(COUNTIFS('AFA Rates'!$A$5:$A$1004,$A397,'AFA Rates'!$B$5:$B$1004,F$23)&gt;0,"Exp","")))</f>
        <v/>
      </c>
      <c r="G397" s="79">
        <f>IF(OR($A397="",G$23=""),"",IF(COUNTIFS('AFA Rates'!$A$5:$A$1004,$A397,'AFA Rates'!$B$5:$B$1004,G$23,'AFA Rates'!$O$5:$O$1004,"&lt;&gt;Expired")&gt;0,"✓",IF(COUNTIFS('AFA Rates'!$A$5:$A$1004,$A397,'AFA Rates'!$B$5:$B$1004,G$23)&gt;0,"Exp","")))</f>
        <v/>
      </c>
      <c r="H397" s="79">
        <f>IF(OR($A397="",H$23=""),"",IF(COUNTIFS('AFA Rates'!$A$5:$A$1004,$A397,'AFA Rates'!$B$5:$B$1004,H$23,'AFA Rates'!$O$5:$O$1004,"&lt;&gt;Expired")&gt;0,"✓",IF(COUNTIFS('AFA Rates'!$A$5:$A$1004,$A397,'AFA Rates'!$B$5:$B$1004,H$23)&gt;0,"Exp","")))</f>
        <v/>
      </c>
      <c r="I397" s="79">
        <f>IF(OR($A397="",I$23=""),"",IF(COUNTIFS('AFA Rates'!$A$5:$A$1004,$A397,'AFA Rates'!$B$5:$B$1004,I$23,'AFA Rates'!$O$5:$O$1004,"&lt;&gt;Expired")&gt;0,"✓",IF(COUNTIFS('AFA Rates'!$A$5:$A$1004,$A397,'AFA Rates'!$B$5:$B$1004,I$23)&gt;0,"Exp","")))</f>
        <v/>
      </c>
      <c r="J397" s="79">
        <f>IF(OR($A397="",J$23=""),"",IF(COUNTIFS('AFA Rates'!$A$5:$A$1004,$A397,'AFA Rates'!$B$5:$B$1004,J$23,'AFA Rates'!$O$5:$O$1004,"&lt;&gt;Expired")&gt;0,"✓",IF(COUNTIFS('AFA Rates'!$A$5:$A$1004,$A397,'AFA Rates'!$B$5:$B$1004,J$23)&gt;0,"Exp","")))</f>
        <v/>
      </c>
      <c r="K397" s="79">
        <f>IF(OR($A397="",K$23=""),"",IF(COUNTIFS('AFA Rates'!$A$5:$A$1004,$A397,'AFA Rates'!$B$5:$B$1004,K$23,'AFA Rates'!$O$5:$O$1004,"&lt;&gt;Expired")&gt;0,"✓",IF(COUNTIFS('AFA Rates'!$A$5:$A$1004,$A397,'AFA Rates'!$B$5:$B$1004,K$23)&gt;0,"Exp","")))</f>
        <v/>
      </c>
      <c r="L397" s="79">
        <f>IF(OR($A397="",L$23=""),"",IF(COUNTIFS('AFA Rates'!$A$5:$A$1004,$A397,'AFA Rates'!$B$5:$B$1004,L$23,'AFA Rates'!$O$5:$O$1004,"&lt;&gt;Expired")&gt;0,"✓",IF(COUNTIFS('AFA Rates'!$A$5:$A$1004,$A397,'AFA Rates'!$B$5:$B$1004,L$23)&gt;0,"Exp","")))</f>
        <v/>
      </c>
      <c r="M397" s="79">
        <f>IF(OR($A397="",M$23=""),"",IF(COUNTIFS('AFA Rates'!$A$5:$A$1004,$A397,'AFA Rates'!$B$5:$B$1004,M$23,'AFA Rates'!$O$5:$O$1004,"&lt;&gt;Expired")&gt;0,"✓",IF(COUNTIFS('AFA Rates'!$A$5:$A$1004,$A397,'AFA Rates'!$B$5:$B$1004,M$23)&gt;0,"Exp","")))</f>
        <v/>
      </c>
    </row>
    <row r="398">
      <c r="A398" s="78">
        <f>IFERROR(INDEX(Firms!$A$5:$A$1004,MATCH(375,Firms!$V$5:$V$1004,0)),"")</f>
        <v/>
      </c>
      <c r="B398" s="79">
        <f>IF($A398="","",INDEX(Firms!$B$5:$B$1004,MATCH(375,Firms!$V$5:$V$1004,0)))</f>
        <v/>
      </c>
      <c r="C398" s="79">
        <f>IF($A398="","",COUNTIFS('AFA Rates'!$A$5:$A$1004,$A398,'AFA Rates'!$O$5:$O$1004,"&lt;&gt;Expired"))</f>
        <v/>
      </c>
      <c r="D398" s="79">
        <f>IF(OR($A398="",D$23=""),"",IF(COUNTIFS('AFA Rates'!$A$5:$A$1004,$A398,'AFA Rates'!$B$5:$B$1004,D$23,'AFA Rates'!$O$5:$O$1004,"&lt;&gt;Expired")&gt;0,"✓",IF(COUNTIFS('AFA Rates'!$A$5:$A$1004,$A398,'AFA Rates'!$B$5:$B$1004,D$23)&gt;0,"Exp","")))</f>
        <v/>
      </c>
      <c r="E398" s="79">
        <f>IF(OR($A398="",E$23=""),"",IF(COUNTIFS('AFA Rates'!$A$5:$A$1004,$A398,'AFA Rates'!$B$5:$B$1004,E$23,'AFA Rates'!$O$5:$O$1004,"&lt;&gt;Expired")&gt;0,"✓",IF(COUNTIFS('AFA Rates'!$A$5:$A$1004,$A398,'AFA Rates'!$B$5:$B$1004,E$23)&gt;0,"Exp","")))</f>
        <v/>
      </c>
      <c r="F398" s="79">
        <f>IF(OR($A398="",F$23=""),"",IF(COUNTIFS('AFA Rates'!$A$5:$A$1004,$A398,'AFA Rates'!$B$5:$B$1004,F$23,'AFA Rates'!$O$5:$O$1004,"&lt;&gt;Expired")&gt;0,"✓",IF(COUNTIFS('AFA Rates'!$A$5:$A$1004,$A398,'AFA Rates'!$B$5:$B$1004,F$23)&gt;0,"Exp","")))</f>
        <v/>
      </c>
      <c r="G398" s="79">
        <f>IF(OR($A398="",G$23=""),"",IF(COUNTIFS('AFA Rates'!$A$5:$A$1004,$A398,'AFA Rates'!$B$5:$B$1004,G$23,'AFA Rates'!$O$5:$O$1004,"&lt;&gt;Expired")&gt;0,"✓",IF(COUNTIFS('AFA Rates'!$A$5:$A$1004,$A398,'AFA Rates'!$B$5:$B$1004,G$23)&gt;0,"Exp","")))</f>
        <v/>
      </c>
      <c r="H398" s="79">
        <f>IF(OR($A398="",H$23=""),"",IF(COUNTIFS('AFA Rates'!$A$5:$A$1004,$A398,'AFA Rates'!$B$5:$B$1004,H$23,'AFA Rates'!$O$5:$O$1004,"&lt;&gt;Expired")&gt;0,"✓",IF(COUNTIFS('AFA Rates'!$A$5:$A$1004,$A398,'AFA Rates'!$B$5:$B$1004,H$23)&gt;0,"Exp","")))</f>
        <v/>
      </c>
      <c r="I398" s="79">
        <f>IF(OR($A398="",I$23=""),"",IF(COUNTIFS('AFA Rates'!$A$5:$A$1004,$A398,'AFA Rates'!$B$5:$B$1004,I$23,'AFA Rates'!$O$5:$O$1004,"&lt;&gt;Expired")&gt;0,"✓",IF(COUNTIFS('AFA Rates'!$A$5:$A$1004,$A398,'AFA Rates'!$B$5:$B$1004,I$23)&gt;0,"Exp","")))</f>
        <v/>
      </c>
      <c r="J398" s="79">
        <f>IF(OR($A398="",J$23=""),"",IF(COUNTIFS('AFA Rates'!$A$5:$A$1004,$A398,'AFA Rates'!$B$5:$B$1004,J$23,'AFA Rates'!$O$5:$O$1004,"&lt;&gt;Expired")&gt;0,"✓",IF(COUNTIFS('AFA Rates'!$A$5:$A$1004,$A398,'AFA Rates'!$B$5:$B$1004,J$23)&gt;0,"Exp","")))</f>
        <v/>
      </c>
      <c r="K398" s="79">
        <f>IF(OR($A398="",K$23=""),"",IF(COUNTIFS('AFA Rates'!$A$5:$A$1004,$A398,'AFA Rates'!$B$5:$B$1004,K$23,'AFA Rates'!$O$5:$O$1004,"&lt;&gt;Expired")&gt;0,"✓",IF(COUNTIFS('AFA Rates'!$A$5:$A$1004,$A398,'AFA Rates'!$B$5:$B$1004,K$23)&gt;0,"Exp","")))</f>
        <v/>
      </c>
      <c r="L398" s="79">
        <f>IF(OR($A398="",L$23=""),"",IF(COUNTIFS('AFA Rates'!$A$5:$A$1004,$A398,'AFA Rates'!$B$5:$B$1004,L$23,'AFA Rates'!$O$5:$O$1004,"&lt;&gt;Expired")&gt;0,"✓",IF(COUNTIFS('AFA Rates'!$A$5:$A$1004,$A398,'AFA Rates'!$B$5:$B$1004,L$23)&gt;0,"Exp","")))</f>
        <v/>
      </c>
      <c r="M398" s="79">
        <f>IF(OR($A398="",M$23=""),"",IF(COUNTIFS('AFA Rates'!$A$5:$A$1004,$A398,'AFA Rates'!$B$5:$B$1004,M$23,'AFA Rates'!$O$5:$O$1004,"&lt;&gt;Expired")&gt;0,"✓",IF(COUNTIFS('AFA Rates'!$A$5:$A$1004,$A398,'AFA Rates'!$B$5:$B$1004,M$23)&gt;0,"Exp","")))</f>
        <v/>
      </c>
    </row>
    <row r="399">
      <c r="A399" s="78">
        <f>IFERROR(INDEX(Firms!$A$5:$A$1004,MATCH(376,Firms!$V$5:$V$1004,0)),"")</f>
        <v/>
      </c>
      <c r="B399" s="79">
        <f>IF($A399="","",INDEX(Firms!$B$5:$B$1004,MATCH(376,Firms!$V$5:$V$1004,0)))</f>
        <v/>
      </c>
      <c r="C399" s="79">
        <f>IF($A399="","",COUNTIFS('AFA Rates'!$A$5:$A$1004,$A399,'AFA Rates'!$O$5:$O$1004,"&lt;&gt;Expired"))</f>
        <v/>
      </c>
      <c r="D399" s="79">
        <f>IF(OR($A399="",D$23=""),"",IF(COUNTIFS('AFA Rates'!$A$5:$A$1004,$A399,'AFA Rates'!$B$5:$B$1004,D$23,'AFA Rates'!$O$5:$O$1004,"&lt;&gt;Expired")&gt;0,"✓",IF(COUNTIFS('AFA Rates'!$A$5:$A$1004,$A399,'AFA Rates'!$B$5:$B$1004,D$23)&gt;0,"Exp","")))</f>
        <v/>
      </c>
      <c r="E399" s="79">
        <f>IF(OR($A399="",E$23=""),"",IF(COUNTIFS('AFA Rates'!$A$5:$A$1004,$A399,'AFA Rates'!$B$5:$B$1004,E$23,'AFA Rates'!$O$5:$O$1004,"&lt;&gt;Expired")&gt;0,"✓",IF(COUNTIFS('AFA Rates'!$A$5:$A$1004,$A399,'AFA Rates'!$B$5:$B$1004,E$23)&gt;0,"Exp","")))</f>
        <v/>
      </c>
      <c r="F399" s="79">
        <f>IF(OR($A399="",F$23=""),"",IF(COUNTIFS('AFA Rates'!$A$5:$A$1004,$A399,'AFA Rates'!$B$5:$B$1004,F$23,'AFA Rates'!$O$5:$O$1004,"&lt;&gt;Expired")&gt;0,"✓",IF(COUNTIFS('AFA Rates'!$A$5:$A$1004,$A399,'AFA Rates'!$B$5:$B$1004,F$23)&gt;0,"Exp","")))</f>
        <v/>
      </c>
      <c r="G399" s="79">
        <f>IF(OR($A399="",G$23=""),"",IF(COUNTIFS('AFA Rates'!$A$5:$A$1004,$A399,'AFA Rates'!$B$5:$B$1004,G$23,'AFA Rates'!$O$5:$O$1004,"&lt;&gt;Expired")&gt;0,"✓",IF(COUNTIFS('AFA Rates'!$A$5:$A$1004,$A399,'AFA Rates'!$B$5:$B$1004,G$23)&gt;0,"Exp","")))</f>
        <v/>
      </c>
      <c r="H399" s="79">
        <f>IF(OR($A399="",H$23=""),"",IF(COUNTIFS('AFA Rates'!$A$5:$A$1004,$A399,'AFA Rates'!$B$5:$B$1004,H$23,'AFA Rates'!$O$5:$O$1004,"&lt;&gt;Expired")&gt;0,"✓",IF(COUNTIFS('AFA Rates'!$A$5:$A$1004,$A399,'AFA Rates'!$B$5:$B$1004,H$23)&gt;0,"Exp","")))</f>
        <v/>
      </c>
      <c r="I399" s="79">
        <f>IF(OR($A399="",I$23=""),"",IF(COUNTIFS('AFA Rates'!$A$5:$A$1004,$A399,'AFA Rates'!$B$5:$B$1004,I$23,'AFA Rates'!$O$5:$O$1004,"&lt;&gt;Expired")&gt;0,"✓",IF(COUNTIFS('AFA Rates'!$A$5:$A$1004,$A399,'AFA Rates'!$B$5:$B$1004,I$23)&gt;0,"Exp","")))</f>
        <v/>
      </c>
      <c r="J399" s="79">
        <f>IF(OR($A399="",J$23=""),"",IF(COUNTIFS('AFA Rates'!$A$5:$A$1004,$A399,'AFA Rates'!$B$5:$B$1004,J$23,'AFA Rates'!$O$5:$O$1004,"&lt;&gt;Expired")&gt;0,"✓",IF(COUNTIFS('AFA Rates'!$A$5:$A$1004,$A399,'AFA Rates'!$B$5:$B$1004,J$23)&gt;0,"Exp","")))</f>
        <v/>
      </c>
      <c r="K399" s="79">
        <f>IF(OR($A399="",K$23=""),"",IF(COUNTIFS('AFA Rates'!$A$5:$A$1004,$A399,'AFA Rates'!$B$5:$B$1004,K$23,'AFA Rates'!$O$5:$O$1004,"&lt;&gt;Expired")&gt;0,"✓",IF(COUNTIFS('AFA Rates'!$A$5:$A$1004,$A399,'AFA Rates'!$B$5:$B$1004,K$23)&gt;0,"Exp","")))</f>
        <v/>
      </c>
      <c r="L399" s="79">
        <f>IF(OR($A399="",L$23=""),"",IF(COUNTIFS('AFA Rates'!$A$5:$A$1004,$A399,'AFA Rates'!$B$5:$B$1004,L$23,'AFA Rates'!$O$5:$O$1004,"&lt;&gt;Expired")&gt;0,"✓",IF(COUNTIFS('AFA Rates'!$A$5:$A$1004,$A399,'AFA Rates'!$B$5:$B$1004,L$23)&gt;0,"Exp","")))</f>
        <v/>
      </c>
      <c r="M399" s="79">
        <f>IF(OR($A399="",M$23=""),"",IF(COUNTIFS('AFA Rates'!$A$5:$A$1004,$A399,'AFA Rates'!$B$5:$B$1004,M$23,'AFA Rates'!$O$5:$O$1004,"&lt;&gt;Expired")&gt;0,"✓",IF(COUNTIFS('AFA Rates'!$A$5:$A$1004,$A399,'AFA Rates'!$B$5:$B$1004,M$23)&gt;0,"Exp","")))</f>
        <v/>
      </c>
    </row>
    <row r="400">
      <c r="A400" s="78">
        <f>IFERROR(INDEX(Firms!$A$5:$A$1004,MATCH(377,Firms!$V$5:$V$1004,0)),"")</f>
        <v/>
      </c>
      <c r="B400" s="79">
        <f>IF($A400="","",INDEX(Firms!$B$5:$B$1004,MATCH(377,Firms!$V$5:$V$1004,0)))</f>
        <v/>
      </c>
      <c r="C400" s="79">
        <f>IF($A400="","",COUNTIFS('AFA Rates'!$A$5:$A$1004,$A400,'AFA Rates'!$O$5:$O$1004,"&lt;&gt;Expired"))</f>
        <v/>
      </c>
      <c r="D400" s="79">
        <f>IF(OR($A400="",D$23=""),"",IF(COUNTIFS('AFA Rates'!$A$5:$A$1004,$A400,'AFA Rates'!$B$5:$B$1004,D$23,'AFA Rates'!$O$5:$O$1004,"&lt;&gt;Expired")&gt;0,"✓",IF(COUNTIFS('AFA Rates'!$A$5:$A$1004,$A400,'AFA Rates'!$B$5:$B$1004,D$23)&gt;0,"Exp","")))</f>
        <v/>
      </c>
      <c r="E400" s="79">
        <f>IF(OR($A400="",E$23=""),"",IF(COUNTIFS('AFA Rates'!$A$5:$A$1004,$A400,'AFA Rates'!$B$5:$B$1004,E$23,'AFA Rates'!$O$5:$O$1004,"&lt;&gt;Expired")&gt;0,"✓",IF(COUNTIFS('AFA Rates'!$A$5:$A$1004,$A400,'AFA Rates'!$B$5:$B$1004,E$23)&gt;0,"Exp","")))</f>
        <v/>
      </c>
      <c r="F400" s="79">
        <f>IF(OR($A400="",F$23=""),"",IF(COUNTIFS('AFA Rates'!$A$5:$A$1004,$A400,'AFA Rates'!$B$5:$B$1004,F$23,'AFA Rates'!$O$5:$O$1004,"&lt;&gt;Expired")&gt;0,"✓",IF(COUNTIFS('AFA Rates'!$A$5:$A$1004,$A400,'AFA Rates'!$B$5:$B$1004,F$23)&gt;0,"Exp","")))</f>
        <v/>
      </c>
      <c r="G400" s="79">
        <f>IF(OR($A400="",G$23=""),"",IF(COUNTIFS('AFA Rates'!$A$5:$A$1004,$A400,'AFA Rates'!$B$5:$B$1004,G$23,'AFA Rates'!$O$5:$O$1004,"&lt;&gt;Expired")&gt;0,"✓",IF(COUNTIFS('AFA Rates'!$A$5:$A$1004,$A400,'AFA Rates'!$B$5:$B$1004,G$23)&gt;0,"Exp","")))</f>
        <v/>
      </c>
      <c r="H400" s="79">
        <f>IF(OR($A400="",H$23=""),"",IF(COUNTIFS('AFA Rates'!$A$5:$A$1004,$A400,'AFA Rates'!$B$5:$B$1004,H$23,'AFA Rates'!$O$5:$O$1004,"&lt;&gt;Expired")&gt;0,"✓",IF(COUNTIFS('AFA Rates'!$A$5:$A$1004,$A400,'AFA Rates'!$B$5:$B$1004,H$23)&gt;0,"Exp","")))</f>
        <v/>
      </c>
      <c r="I400" s="79">
        <f>IF(OR($A400="",I$23=""),"",IF(COUNTIFS('AFA Rates'!$A$5:$A$1004,$A400,'AFA Rates'!$B$5:$B$1004,I$23,'AFA Rates'!$O$5:$O$1004,"&lt;&gt;Expired")&gt;0,"✓",IF(COUNTIFS('AFA Rates'!$A$5:$A$1004,$A400,'AFA Rates'!$B$5:$B$1004,I$23)&gt;0,"Exp","")))</f>
        <v/>
      </c>
      <c r="J400" s="79">
        <f>IF(OR($A400="",J$23=""),"",IF(COUNTIFS('AFA Rates'!$A$5:$A$1004,$A400,'AFA Rates'!$B$5:$B$1004,J$23,'AFA Rates'!$O$5:$O$1004,"&lt;&gt;Expired")&gt;0,"✓",IF(COUNTIFS('AFA Rates'!$A$5:$A$1004,$A400,'AFA Rates'!$B$5:$B$1004,J$23)&gt;0,"Exp","")))</f>
        <v/>
      </c>
      <c r="K400" s="79">
        <f>IF(OR($A400="",K$23=""),"",IF(COUNTIFS('AFA Rates'!$A$5:$A$1004,$A400,'AFA Rates'!$B$5:$B$1004,K$23,'AFA Rates'!$O$5:$O$1004,"&lt;&gt;Expired")&gt;0,"✓",IF(COUNTIFS('AFA Rates'!$A$5:$A$1004,$A400,'AFA Rates'!$B$5:$B$1004,K$23)&gt;0,"Exp","")))</f>
        <v/>
      </c>
      <c r="L400" s="79">
        <f>IF(OR($A400="",L$23=""),"",IF(COUNTIFS('AFA Rates'!$A$5:$A$1004,$A400,'AFA Rates'!$B$5:$B$1004,L$23,'AFA Rates'!$O$5:$O$1004,"&lt;&gt;Expired")&gt;0,"✓",IF(COUNTIFS('AFA Rates'!$A$5:$A$1004,$A400,'AFA Rates'!$B$5:$B$1004,L$23)&gt;0,"Exp","")))</f>
        <v/>
      </c>
      <c r="M400" s="79">
        <f>IF(OR($A400="",M$23=""),"",IF(COUNTIFS('AFA Rates'!$A$5:$A$1004,$A400,'AFA Rates'!$B$5:$B$1004,M$23,'AFA Rates'!$O$5:$O$1004,"&lt;&gt;Expired")&gt;0,"✓",IF(COUNTIFS('AFA Rates'!$A$5:$A$1004,$A400,'AFA Rates'!$B$5:$B$1004,M$23)&gt;0,"Exp","")))</f>
        <v/>
      </c>
    </row>
    <row r="401">
      <c r="A401" s="78">
        <f>IFERROR(INDEX(Firms!$A$5:$A$1004,MATCH(378,Firms!$V$5:$V$1004,0)),"")</f>
        <v/>
      </c>
      <c r="B401" s="79">
        <f>IF($A401="","",INDEX(Firms!$B$5:$B$1004,MATCH(378,Firms!$V$5:$V$1004,0)))</f>
        <v/>
      </c>
      <c r="C401" s="79">
        <f>IF($A401="","",COUNTIFS('AFA Rates'!$A$5:$A$1004,$A401,'AFA Rates'!$O$5:$O$1004,"&lt;&gt;Expired"))</f>
        <v/>
      </c>
      <c r="D401" s="79">
        <f>IF(OR($A401="",D$23=""),"",IF(COUNTIFS('AFA Rates'!$A$5:$A$1004,$A401,'AFA Rates'!$B$5:$B$1004,D$23,'AFA Rates'!$O$5:$O$1004,"&lt;&gt;Expired")&gt;0,"✓",IF(COUNTIFS('AFA Rates'!$A$5:$A$1004,$A401,'AFA Rates'!$B$5:$B$1004,D$23)&gt;0,"Exp","")))</f>
        <v/>
      </c>
      <c r="E401" s="79">
        <f>IF(OR($A401="",E$23=""),"",IF(COUNTIFS('AFA Rates'!$A$5:$A$1004,$A401,'AFA Rates'!$B$5:$B$1004,E$23,'AFA Rates'!$O$5:$O$1004,"&lt;&gt;Expired")&gt;0,"✓",IF(COUNTIFS('AFA Rates'!$A$5:$A$1004,$A401,'AFA Rates'!$B$5:$B$1004,E$23)&gt;0,"Exp","")))</f>
        <v/>
      </c>
      <c r="F401" s="79">
        <f>IF(OR($A401="",F$23=""),"",IF(COUNTIFS('AFA Rates'!$A$5:$A$1004,$A401,'AFA Rates'!$B$5:$B$1004,F$23,'AFA Rates'!$O$5:$O$1004,"&lt;&gt;Expired")&gt;0,"✓",IF(COUNTIFS('AFA Rates'!$A$5:$A$1004,$A401,'AFA Rates'!$B$5:$B$1004,F$23)&gt;0,"Exp","")))</f>
        <v/>
      </c>
      <c r="G401" s="79">
        <f>IF(OR($A401="",G$23=""),"",IF(COUNTIFS('AFA Rates'!$A$5:$A$1004,$A401,'AFA Rates'!$B$5:$B$1004,G$23,'AFA Rates'!$O$5:$O$1004,"&lt;&gt;Expired")&gt;0,"✓",IF(COUNTIFS('AFA Rates'!$A$5:$A$1004,$A401,'AFA Rates'!$B$5:$B$1004,G$23)&gt;0,"Exp","")))</f>
        <v/>
      </c>
      <c r="H401" s="79">
        <f>IF(OR($A401="",H$23=""),"",IF(COUNTIFS('AFA Rates'!$A$5:$A$1004,$A401,'AFA Rates'!$B$5:$B$1004,H$23,'AFA Rates'!$O$5:$O$1004,"&lt;&gt;Expired")&gt;0,"✓",IF(COUNTIFS('AFA Rates'!$A$5:$A$1004,$A401,'AFA Rates'!$B$5:$B$1004,H$23)&gt;0,"Exp","")))</f>
        <v/>
      </c>
      <c r="I401" s="79">
        <f>IF(OR($A401="",I$23=""),"",IF(COUNTIFS('AFA Rates'!$A$5:$A$1004,$A401,'AFA Rates'!$B$5:$B$1004,I$23,'AFA Rates'!$O$5:$O$1004,"&lt;&gt;Expired")&gt;0,"✓",IF(COUNTIFS('AFA Rates'!$A$5:$A$1004,$A401,'AFA Rates'!$B$5:$B$1004,I$23)&gt;0,"Exp","")))</f>
        <v/>
      </c>
      <c r="J401" s="79">
        <f>IF(OR($A401="",J$23=""),"",IF(COUNTIFS('AFA Rates'!$A$5:$A$1004,$A401,'AFA Rates'!$B$5:$B$1004,J$23,'AFA Rates'!$O$5:$O$1004,"&lt;&gt;Expired")&gt;0,"✓",IF(COUNTIFS('AFA Rates'!$A$5:$A$1004,$A401,'AFA Rates'!$B$5:$B$1004,J$23)&gt;0,"Exp","")))</f>
        <v/>
      </c>
      <c r="K401" s="79">
        <f>IF(OR($A401="",K$23=""),"",IF(COUNTIFS('AFA Rates'!$A$5:$A$1004,$A401,'AFA Rates'!$B$5:$B$1004,K$23,'AFA Rates'!$O$5:$O$1004,"&lt;&gt;Expired")&gt;0,"✓",IF(COUNTIFS('AFA Rates'!$A$5:$A$1004,$A401,'AFA Rates'!$B$5:$B$1004,K$23)&gt;0,"Exp","")))</f>
        <v/>
      </c>
      <c r="L401" s="79">
        <f>IF(OR($A401="",L$23=""),"",IF(COUNTIFS('AFA Rates'!$A$5:$A$1004,$A401,'AFA Rates'!$B$5:$B$1004,L$23,'AFA Rates'!$O$5:$O$1004,"&lt;&gt;Expired")&gt;0,"✓",IF(COUNTIFS('AFA Rates'!$A$5:$A$1004,$A401,'AFA Rates'!$B$5:$B$1004,L$23)&gt;0,"Exp","")))</f>
        <v/>
      </c>
      <c r="M401" s="79">
        <f>IF(OR($A401="",M$23=""),"",IF(COUNTIFS('AFA Rates'!$A$5:$A$1004,$A401,'AFA Rates'!$B$5:$B$1004,M$23,'AFA Rates'!$O$5:$O$1004,"&lt;&gt;Expired")&gt;0,"✓",IF(COUNTIFS('AFA Rates'!$A$5:$A$1004,$A401,'AFA Rates'!$B$5:$B$1004,M$23)&gt;0,"Exp","")))</f>
        <v/>
      </c>
    </row>
    <row r="402">
      <c r="A402" s="78">
        <f>IFERROR(INDEX(Firms!$A$5:$A$1004,MATCH(379,Firms!$V$5:$V$1004,0)),"")</f>
        <v/>
      </c>
      <c r="B402" s="79">
        <f>IF($A402="","",INDEX(Firms!$B$5:$B$1004,MATCH(379,Firms!$V$5:$V$1004,0)))</f>
        <v/>
      </c>
      <c r="C402" s="79">
        <f>IF($A402="","",COUNTIFS('AFA Rates'!$A$5:$A$1004,$A402,'AFA Rates'!$O$5:$O$1004,"&lt;&gt;Expired"))</f>
        <v/>
      </c>
      <c r="D402" s="79">
        <f>IF(OR($A402="",D$23=""),"",IF(COUNTIFS('AFA Rates'!$A$5:$A$1004,$A402,'AFA Rates'!$B$5:$B$1004,D$23,'AFA Rates'!$O$5:$O$1004,"&lt;&gt;Expired")&gt;0,"✓",IF(COUNTIFS('AFA Rates'!$A$5:$A$1004,$A402,'AFA Rates'!$B$5:$B$1004,D$23)&gt;0,"Exp","")))</f>
        <v/>
      </c>
      <c r="E402" s="79">
        <f>IF(OR($A402="",E$23=""),"",IF(COUNTIFS('AFA Rates'!$A$5:$A$1004,$A402,'AFA Rates'!$B$5:$B$1004,E$23,'AFA Rates'!$O$5:$O$1004,"&lt;&gt;Expired")&gt;0,"✓",IF(COUNTIFS('AFA Rates'!$A$5:$A$1004,$A402,'AFA Rates'!$B$5:$B$1004,E$23)&gt;0,"Exp","")))</f>
        <v/>
      </c>
      <c r="F402" s="79">
        <f>IF(OR($A402="",F$23=""),"",IF(COUNTIFS('AFA Rates'!$A$5:$A$1004,$A402,'AFA Rates'!$B$5:$B$1004,F$23,'AFA Rates'!$O$5:$O$1004,"&lt;&gt;Expired")&gt;0,"✓",IF(COUNTIFS('AFA Rates'!$A$5:$A$1004,$A402,'AFA Rates'!$B$5:$B$1004,F$23)&gt;0,"Exp","")))</f>
        <v/>
      </c>
      <c r="G402" s="79">
        <f>IF(OR($A402="",G$23=""),"",IF(COUNTIFS('AFA Rates'!$A$5:$A$1004,$A402,'AFA Rates'!$B$5:$B$1004,G$23,'AFA Rates'!$O$5:$O$1004,"&lt;&gt;Expired")&gt;0,"✓",IF(COUNTIFS('AFA Rates'!$A$5:$A$1004,$A402,'AFA Rates'!$B$5:$B$1004,G$23)&gt;0,"Exp","")))</f>
        <v/>
      </c>
      <c r="H402" s="79">
        <f>IF(OR($A402="",H$23=""),"",IF(COUNTIFS('AFA Rates'!$A$5:$A$1004,$A402,'AFA Rates'!$B$5:$B$1004,H$23,'AFA Rates'!$O$5:$O$1004,"&lt;&gt;Expired")&gt;0,"✓",IF(COUNTIFS('AFA Rates'!$A$5:$A$1004,$A402,'AFA Rates'!$B$5:$B$1004,H$23)&gt;0,"Exp","")))</f>
        <v/>
      </c>
      <c r="I402" s="79">
        <f>IF(OR($A402="",I$23=""),"",IF(COUNTIFS('AFA Rates'!$A$5:$A$1004,$A402,'AFA Rates'!$B$5:$B$1004,I$23,'AFA Rates'!$O$5:$O$1004,"&lt;&gt;Expired")&gt;0,"✓",IF(COUNTIFS('AFA Rates'!$A$5:$A$1004,$A402,'AFA Rates'!$B$5:$B$1004,I$23)&gt;0,"Exp","")))</f>
        <v/>
      </c>
      <c r="J402" s="79">
        <f>IF(OR($A402="",J$23=""),"",IF(COUNTIFS('AFA Rates'!$A$5:$A$1004,$A402,'AFA Rates'!$B$5:$B$1004,J$23,'AFA Rates'!$O$5:$O$1004,"&lt;&gt;Expired")&gt;0,"✓",IF(COUNTIFS('AFA Rates'!$A$5:$A$1004,$A402,'AFA Rates'!$B$5:$B$1004,J$23)&gt;0,"Exp","")))</f>
        <v/>
      </c>
      <c r="K402" s="79">
        <f>IF(OR($A402="",K$23=""),"",IF(COUNTIFS('AFA Rates'!$A$5:$A$1004,$A402,'AFA Rates'!$B$5:$B$1004,K$23,'AFA Rates'!$O$5:$O$1004,"&lt;&gt;Expired")&gt;0,"✓",IF(COUNTIFS('AFA Rates'!$A$5:$A$1004,$A402,'AFA Rates'!$B$5:$B$1004,K$23)&gt;0,"Exp","")))</f>
        <v/>
      </c>
      <c r="L402" s="79">
        <f>IF(OR($A402="",L$23=""),"",IF(COUNTIFS('AFA Rates'!$A$5:$A$1004,$A402,'AFA Rates'!$B$5:$B$1004,L$23,'AFA Rates'!$O$5:$O$1004,"&lt;&gt;Expired")&gt;0,"✓",IF(COUNTIFS('AFA Rates'!$A$5:$A$1004,$A402,'AFA Rates'!$B$5:$B$1004,L$23)&gt;0,"Exp","")))</f>
        <v/>
      </c>
      <c r="M402" s="79">
        <f>IF(OR($A402="",M$23=""),"",IF(COUNTIFS('AFA Rates'!$A$5:$A$1004,$A402,'AFA Rates'!$B$5:$B$1004,M$23,'AFA Rates'!$O$5:$O$1004,"&lt;&gt;Expired")&gt;0,"✓",IF(COUNTIFS('AFA Rates'!$A$5:$A$1004,$A402,'AFA Rates'!$B$5:$B$1004,M$23)&gt;0,"Exp","")))</f>
        <v/>
      </c>
    </row>
    <row r="403">
      <c r="A403" s="78">
        <f>IFERROR(INDEX(Firms!$A$5:$A$1004,MATCH(380,Firms!$V$5:$V$1004,0)),"")</f>
        <v/>
      </c>
      <c r="B403" s="79">
        <f>IF($A403="","",INDEX(Firms!$B$5:$B$1004,MATCH(380,Firms!$V$5:$V$1004,0)))</f>
        <v/>
      </c>
      <c r="C403" s="79">
        <f>IF($A403="","",COUNTIFS('AFA Rates'!$A$5:$A$1004,$A403,'AFA Rates'!$O$5:$O$1004,"&lt;&gt;Expired"))</f>
        <v/>
      </c>
      <c r="D403" s="79">
        <f>IF(OR($A403="",D$23=""),"",IF(COUNTIFS('AFA Rates'!$A$5:$A$1004,$A403,'AFA Rates'!$B$5:$B$1004,D$23,'AFA Rates'!$O$5:$O$1004,"&lt;&gt;Expired")&gt;0,"✓",IF(COUNTIFS('AFA Rates'!$A$5:$A$1004,$A403,'AFA Rates'!$B$5:$B$1004,D$23)&gt;0,"Exp","")))</f>
        <v/>
      </c>
      <c r="E403" s="79">
        <f>IF(OR($A403="",E$23=""),"",IF(COUNTIFS('AFA Rates'!$A$5:$A$1004,$A403,'AFA Rates'!$B$5:$B$1004,E$23,'AFA Rates'!$O$5:$O$1004,"&lt;&gt;Expired")&gt;0,"✓",IF(COUNTIFS('AFA Rates'!$A$5:$A$1004,$A403,'AFA Rates'!$B$5:$B$1004,E$23)&gt;0,"Exp","")))</f>
        <v/>
      </c>
      <c r="F403" s="79">
        <f>IF(OR($A403="",F$23=""),"",IF(COUNTIFS('AFA Rates'!$A$5:$A$1004,$A403,'AFA Rates'!$B$5:$B$1004,F$23,'AFA Rates'!$O$5:$O$1004,"&lt;&gt;Expired")&gt;0,"✓",IF(COUNTIFS('AFA Rates'!$A$5:$A$1004,$A403,'AFA Rates'!$B$5:$B$1004,F$23)&gt;0,"Exp","")))</f>
        <v/>
      </c>
      <c r="G403" s="79">
        <f>IF(OR($A403="",G$23=""),"",IF(COUNTIFS('AFA Rates'!$A$5:$A$1004,$A403,'AFA Rates'!$B$5:$B$1004,G$23,'AFA Rates'!$O$5:$O$1004,"&lt;&gt;Expired")&gt;0,"✓",IF(COUNTIFS('AFA Rates'!$A$5:$A$1004,$A403,'AFA Rates'!$B$5:$B$1004,G$23)&gt;0,"Exp","")))</f>
        <v/>
      </c>
      <c r="H403" s="79">
        <f>IF(OR($A403="",H$23=""),"",IF(COUNTIFS('AFA Rates'!$A$5:$A$1004,$A403,'AFA Rates'!$B$5:$B$1004,H$23,'AFA Rates'!$O$5:$O$1004,"&lt;&gt;Expired")&gt;0,"✓",IF(COUNTIFS('AFA Rates'!$A$5:$A$1004,$A403,'AFA Rates'!$B$5:$B$1004,H$23)&gt;0,"Exp","")))</f>
        <v/>
      </c>
      <c r="I403" s="79">
        <f>IF(OR($A403="",I$23=""),"",IF(COUNTIFS('AFA Rates'!$A$5:$A$1004,$A403,'AFA Rates'!$B$5:$B$1004,I$23,'AFA Rates'!$O$5:$O$1004,"&lt;&gt;Expired")&gt;0,"✓",IF(COUNTIFS('AFA Rates'!$A$5:$A$1004,$A403,'AFA Rates'!$B$5:$B$1004,I$23)&gt;0,"Exp","")))</f>
        <v/>
      </c>
      <c r="J403" s="79">
        <f>IF(OR($A403="",J$23=""),"",IF(COUNTIFS('AFA Rates'!$A$5:$A$1004,$A403,'AFA Rates'!$B$5:$B$1004,J$23,'AFA Rates'!$O$5:$O$1004,"&lt;&gt;Expired")&gt;0,"✓",IF(COUNTIFS('AFA Rates'!$A$5:$A$1004,$A403,'AFA Rates'!$B$5:$B$1004,J$23)&gt;0,"Exp","")))</f>
        <v/>
      </c>
      <c r="K403" s="79">
        <f>IF(OR($A403="",K$23=""),"",IF(COUNTIFS('AFA Rates'!$A$5:$A$1004,$A403,'AFA Rates'!$B$5:$B$1004,K$23,'AFA Rates'!$O$5:$O$1004,"&lt;&gt;Expired")&gt;0,"✓",IF(COUNTIFS('AFA Rates'!$A$5:$A$1004,$A403,'AFA Rates'!$B$5:$B$1004,K$23)&gt;0,"Exp","")))</f>
        <v/>
      </c>
      <c r="L403" s="79">
        <f>IF(OR($A403="",L$23=""),"",IF(COUNTIFS('AFA Rates'!$A$5:$A$1004,$A403,'AFA Rates'!$B$5:$B$1004,L$23,'AFA Rates'!$O$5:$O$1004,"&lt;&gt;Expired")&gt;0,"✓",IF(COUNTIFS('AFA Rates'!$A$5:$A$1004,$A403,'AFA Rates'!$B$5:$B$1004,L$23)&gt;0,"Exp","")))</f>
        <v/>
      </c>
      <c r="M403" s="79">
        <f>IF(OR($A403="",M$23=""),"",IF(COUNTIFS('AFA Rates'!$A$5:$A$1004,$A403,'AFA Rates'!$B$5:$B$1004,M$23,'AFA Rates'!$O$5:$O$1004,"&lt;&gt;Expired")&gt;0,"✓",IF(COUNTIFS('AFA Rates'!$A$5:$A$1004,$A403,'AFA Rates'!$B$5:$B$1004,M$23)&gt;0,"Exp","")))</f>
        <v/>
      </c>
    </row>
    <row r="404">
      <c r="A404" s="78">
        <f>IFERROR(INDEX(Firms!$A$5:$A$1004,MATCH(381,Firms!$V$5:$V$1004,0)),"")</f>
        <v/>
      </c>
      <c r="B404" s="79">
        <f>IF($A404="","",INDEX(Firms!$B$5:$B$1004,MATCH(381,Firms!$V$5:$V$1004,0)))</f>
        <v/>
      </c>
      <c r="C404" s="79">
        <f>IF($A404="","",COUNTIFS('AFA Rates'!$A$5:$A$1004,$A404,'AFA Rates'!$O$5:$O$1004,"&lt;&gt;Expired"))</f>
        <v/>
      </c>
      <c r="D404" s="79">
        <f>IF(OR($A404="",D$23=""),"",IF(COUNTIFS('AFA Rates'!$A$5:$A$1004,$A404,'AFA Rates'!$B$5:$B$1004,D$23,'AFA Rates'!$O$5:$O$1004,"&lt;&gt;Expired")&gt;0,"✓",IF(COUNTIFS('AFA Rates'!$A$5:$A$1004,$A404,'AFA Rates'!$B$5:$B$1004,D$23)&gt;0,"Exp","")))</f>
        <v/>
      </c>
      <c r="E404" s="79">
        <f>IF(OR($A404="",E$23=""),"",IF(COUNTIFS('AFA Rates'!$A$5:$A$1004,$A404,'AFA Rates'!$B$5:$B$1004,E$23,'AFA Rates'!$O$5:$O$1004,"&lt;&gt;Expired")&gt;0,"✓",IF(COUNTIFS('AFA Rates'!$A$5:$A$1004,$A404,'AFA Rates'!$B$5:$B$1004,E$23)&gt;0,"Exp","")))</f>
        <v/>
      </c>
      <c r="F404" s="79">
        <f>IF(OR($A404="",F$23=""),"",IF(COUNTIFS('AFA Rates'!$A$5:$A$1004,$A404,'AFA Rates'!$B$5:$B$1004,F$23,'AFA Rates'!$O$5:$O$1004,"&lt;&gt;Expired")&gt;0,"✓",IF(COUNTIFS('AFA Rates'!$A$5:$A$1004,$A404,'AFA Rates'!$B$5:$B$1004,F$23)&gt;0,"Exp","")))</f>
        <v/>
      </c>
      <c r="G404" s="79">
        <f>IF(OR($A404="",G$23=""),"",IF(COUNTIFS('AFA Rates'!$A$5:$A$1004,$A404,'AFA Rates'!$B$5:$B$1004,G$23,'AFA Rates'!$O$5:$O$1004,"&lt;&gt;Expired")&gt;0,"✓",IF(COUNTIFS('AFA Rates'!$A$5:$A$1004,$A404,'AFA Rates'!$B$5:$B$1004,G$23)&gt;0,"Exp","")))</f>
        <v/>
      </c>
      <c r="H404" s="79">
        <f>IF(OR($A404="",H$23=""),"",IF(COUNTIFS('AFA Rates'!$A$5:$A$1004,$A404,'AFA Rates'!$B$5:$B$1004,H$23,'AFA Rates'!$O$5:$O$1004,"&lt;&gt;Expired")&gt;0,"✓",IF(COUNTIFS('AFA Rates'!$A$5:$A$1004,$A404,'AFA Rates'!$B$5:$B$1004,H$23)&gt;0,"Exp","")))</f>
        <v/>
      </c>
      <c r="I404" s="79">
        <f>IF(OR($A404="",I$23=""),"",IF(COUNTIFS('AFA Rates'!$A$5:$A$1004,$A404,'AFA Rates'!$B$5:$B$1004,I$23,'AFA Rates'!$O$5:$O$1004,"&lt;&gt;Expired")&gt;0,"✓",IF(COUNTIFS('AFA Rates'!$A$5:$A$1004,$A404,'AFA Rates'!$B$5:$B$1004,I$23)&gt;0,"Exp","")))</f>
        <v/>
      </c>
      <c r="J404" s="79">
        <f>IF(OR($A404="",J$23=""),"",IF(COUNTIFS('AFA Rates'!$A$5:$A$1004,$A404,'AFA Rates'!$B$5:$B$1004,J$23,'AFA Rates'!$O$5:$O$1004,"&lt;&gt;Expired")&gt;0,"✓",IF(COUNTIFS('AFA Rates'!$A$5:$A$1004,$A404,'AFA Rates'!$B$5:$B$1004,J$23)&gt;0,"Exp","")))</f>
        <v/>
      </c>
      <c r="K404" s="79">
        <f>IF(OR($A404="",K$23=""),"",IF(COUNTIFS('AFA Rates'!$A$5:$A$1004,$A404,'AFA Rates'!$B$5:$B$1004,K$23,'AFA Rates'!$O$5:$O$1004,"&lt;&gt;Expired")&gt;0,"✓",IF(COUNTIFS('AFA Rates'!$A$5:$A$1004,$A404,'AFA Rates'!$B$5:$B$1004,K$23)&gt;0,"Exp","")))</f>
        <v/>
      </c>
      <c r="L404" s="79">
        <f>IF(OR($A404="",L$23=""),"",IF(COUNTIFS('AFA Rates'!$A$5:$A$1004,$A404,'AFA Rates'!$B$5:$B$1004,L$23,'AFA Rates'!$O$5:$O$1004,"&lt;&gt;Expired")&gt;0,"✓",IF(COUNTIFS('AFA Rates'!$A$5:$A$1004,$A404,'AFA Rates'!$B$5:$B$1004,L$23)&gt;0,"Exp","")))</f>
        <v/>
      </c>
      <c r="M404" s="79">
        <f>IF(OR($A404="",M$23=""),"",IF(COUNTIFS('AFA Rates'!$A$5:$A$1004,$A404,'AFA Rates'!$B$5:$B$1004,M$23,'AFA Rates'!$O$5:$O$1004,"&lt;&gt;Expired")&gt;0,"✓",IF(COUNTIFS('AFA Rates'!$A$5:$A$1004,$A404,'AFA Rates'!$B$5:$B$1004,M$23)&gt;0,"Exp","")))</f>
        <v/>
      </c>
    </row>
    <row r="405">
      <c r="A405" s="78">
        <f>IFERROR(INDEX(Firms!$A$5:$A$1004,MATCH(382,Firms!$V$5:$V$1004,0)),"")</f>
        <v/>
      </c>
      <c r="B405" s="79">
        <f>IF($A405="","",INDEX(Firms!$B$5:$B$1004,MATCH(382,Firms!$V$5:$V$1004,0)))</f>
        <v/>
      </c>
      <c r="C405" s="79">
        <f>IF($A405="","",COUNTIFS('AFA Rates'!$A$5:$A$1004,$A405,'AFA Rates'!$O$5:$O$1004,"&lt;&gt;Expired"))</f>
        <v/>
      </c>
      <c r="D405" s="79">
        <f>IF(OR($A405="",D$23=""),"",IF(COUNTIFS('AFA Rates'!$A$5:$A$1004,$A405,'AFA Rates'!$B$5:$B$1004,D$23,'AFA Rates'!$O$5:$O$1004,"&lt;&gt;Expired")&gt;0,"✓",IF(COUNTIFS('AFA Rates'!$A$5:$A$1004,$A405,'AFA Rates'!$B$5:$B$1004,D$23)&gt;0,"Exp","")))</f>
        <v/>
      </c>
      <c r="E405" s="79">
        <f>IF(OR($A405="",E$23=""),"",IF(COUNTIFS('AFA Rates'!$A$5:$A$1004,$A405,'AFA Rates'!$B$5:$B$1004,E$23,'AFA Rates'!$O$5:$O$1004,"&lt;&gt;Expired")&gt;0,"✓",IF(COUNTIFS('AFA Rates'!$A$5:$A$1004,$A405,'AFA Rates'!$B$5:$B$1004,E$23)&gt;0,"Exp","")))</f>
        <v/>
      </c>
      <c r="F405" s="79">
        <f>IF(OR($A405="",F$23=""),"",IF(COUNTIFS('AFA Rates'!$A$5:$A$1004,$A405,'AFA Rates'!$B$5:$B$1004,F$23,'AFA Rates'!$O$5:$O$1004,"&lt;&gt;Expired")&gt;0,"✓",IF(COUNTIFS('AFA Rates'!$A$5:$A$1004,$A405,'AFA Rates'!$B$5:$B$1004,F$23)&gt;0,"Exp","")))</f>
        <v/>
      </c>
      <c r="G405" s="79">
        <f>IF(OR($A405="",G$23=""),"",IF(COUNTIFS('AFA Rates'!$A$5:$A$1004,$A405,'AFA Rates'!$B$5:$B$1004,G$23,'AFA Rates'!$O$5:$O$1004,"&lt;&gt;Expired")&gt;0,"✓",IF(COUNTIFS('AFA Rates'!$A$5:$A$1004,$A405,'AFA Rates'!$B$5:$B$1004,G$23)&gt;0,"Exp","")))</f>
        <v/>
      </c>
      <c r="H405" s="79">
        <f>IF(OR($A405="",H$23=""),"",IF(COUNTIFS('AFA Rates'!$A$5:$A$1004,$A405,'AFA Rates'!$B$5:$B$1004,H$23,'AFA Rates'!$O$5:$O$1004,"&lt;&gt;Expired")&gt;0,"✓",IF(COUNTIFS('AFA Rates'!$A$5:$A$1004,$A405,'AFA Rates'!$B$5:$B$1004,H$23)&gt;0,"Exp","")))</f>
        <v/>
      </c>
      <c r="I405" s="79">
        <f>IF(OR($A405="",I$23=""),"",IF(COUNTIFS('AFA Rates'!$A$5:$A$1004,$A405,'AFA Rates'!$B$5:$B$1004,I$23,'AFA Rates'!$O$5:$O$1004,"&lt;&gt;Expired")&gt;0,"✓",IF(COUNTIFS('AFA Rates'!$A$5:$A$1004,$A405,'AFA Rates'!$B$5:$B$1004,I$23)&gt;0,"Exp","")))</f>
        <v/>
      </c>
      <c r="J405" s="79">
        <f>IF(OR($A405="",J$23=""),"",IF(COUNTIFS('AFA Rates'!$A$5:$A$1004,$A405,'AFA Rates'!$B$5:$B$1004,J$23,'AFA Rates'!$O$5:$O$1004,"&lt;&gt;Expired")&gt;0,"✓",IF(COUNTIFS('AFA Rates'!$A$5:$A$1004,$A405,'AFA Rates'!$B$5:$B$1004,J$23)&gt;0,"Exp","")))</f>
        <v/>
      </c>
      <c r="K405" s="79">
        <f>IF(OR($A405="",K$23=""),"",IF(COUNTIFS('AFA Rates'!$A$5:$A$1004,$A405,'AFA Rates'!$B$5:$B$1004,K$23,'AFA Rates'!$O$5:$O$1004,"&lt;&gt;Expired")&gt;0,"✓",IF(COUNTIFS('AFA Rates'!$A$5:$A$1004,$A405,'AFA Rates'!$B$5:$B$1004,K$23)&gt;0,"Exp","")))</f>
        <v/>
      </c>
      <c r="L405" s="79">
        <f>IF(OR($A405="",L$23=""),"",IF(COUNTIFS('AFA Rates'!$A$5:$A$1004,$A405,'AFA Rates'!$B$5:$B$1004,L$23,'AFA Rates'!$O$5:$O$1004,"&lt;&gt;Expired")&gt;0,"✓",IF(COUNTIFS('AFA Rates'!$A$5:$A$1004,$A405,'AFA Rates'!$B$5:$B$1004,L$23)&gt;0,"Exp","")))</f>
        <v/>
      </c>
      <c r="M405" s="79">
        <f>IF(OR($A405="",M$23=""),"",IF(COUNTIFS('AFA Rates'!$A$5:$A$1004,$A405,'AFA Rates'!$B$5:$B$1004,M$23,'AFA Rates'!$O$5:$O$1004,"&lt;&gt;Expired")&gt;0,"✓",IF(COUNTIFS('AFA Rates'!$A$5:$A$1004,$A405,'AFA Rates'!$B$5:$B$1004,M$23)&gt;0,"Exp","")))</f>
        <v/>
      </c>
    </row>
    <row r="406">
      <c r="A406" s="78">
        <f>IFERROR(INDEX(Firms!$A$5:$A$1004,MATCH(383,Firms!$V$5:$V$1004,0)),"")</f>
        <v/>
      </c>
      <c r="B406" s="79">
        <f>IF($A406="","",INDEX(Firms!$B$5:$B$1004,MATCH(383,Firms!$V$5:$V$1004,0)))</f>
        <v/>
      </c>
      <c r="C406" s="79">
        <f>IF($A406="","",COUNTIFS('AFA Rates'!$A$5:$A$1004,$A406,'AFA Rates'!$O$5:$O$1004,"&lt;&gt;Expired"))</f>
        <v/>
      </c>
      <c r="D406" s="79">
        <f>IF(OR($A406="",D$23=""),"",IF(COUNTIFS('AFA Rates'!$A$5:$A$1004,$A406,'AFA Rates'!$B$5:$B$1004,D$23,'AFA Rates'!$O$5:$O$1004,"&lt;&gt;Expired")&gt;0,"✓",IF(COUNTIFS('AFA Rates'!$A$5:$A$1004,$A406,'AFA Rates'!$B$5:$B$1004,D$23)&gt;0,"Exp","")))</f>
        <v/>
      </c>
      <c r="E406" s="79">
        <f>IF(OR($A406="",E$23=""),"",IF(COUNTIFS('AFA Rates'!$A$5:$A$1004,$A406,'AFA Rates'!$B$5:$B$1004,E$23,'AFA Rates'!$O$5:$O$1004,"&lt;&gt;Expired")&gt;0,"✓",IF(COUNTIFS('AFA Rates'!$A$5:$A$1004,$A406,'AFA Rates'!$B$5:$B$1004,E$23)&gt;0,"Exp","")))</f>
        <v/>
      </c>
      <c r="F406" s="79">
        <f>IF(OR($A406="",F$23=""),"",IF(COUNTIFS('AFA Rates'!$A$5:$A$1004,$A406,'AFA Rates'!$B$5:$B$1004,F$23,'AFA Rates'!$O$5:$O$1004,"&lt;&gt;Expired")&gt;0,"✓",IF(COUNTIFS('AFA Rates'!$A$5:$A$1004,$A406,'AFA Rates'!$B$5:$B$1004,F$23)&gt;0,"Exp","")))</f>
        <v/>
      </c>
      <c r="G406" s="79">
        <f>IF(OR($A406="",G$23=""),"",IF(COUNTIFS('AFA Rates'!$A$5:$A$1004,$A406,'AFA Rates'!$B$5:$B$1004,G$23,'AFA Rates'!$O$5:$O$1004,"&lt;&gt;Expired")&gt;0,"✓",IF(COUNTIFS('AFA Rates'!$A$5:$A$1004,$A406,'AFA Rates'!$B$5:$B$1004,G$23)&gt;0,"Exp","")))</f>
        <v/>
      </c>
      <c r="H406" s="79">
        <f>IF(OR($A406="",H$23=""),"",IF(COUNTIFS('AFA Rates'!$A$5:$A$1004,$A406,'AFA Rates'!$B$5:$B$1004,H$23,'AFA Rates'!$O$5:$O$1004,"&lt;&gt;Expired")&gt;0,"✓",IF(COUNTIFS('AFA Rates'!$A$5:$A$1004,$A406,'AFA Rates'!$B$5:$B$1004,H$23)&gt;0,"Exp","")))</f>
        <v/>
      </c>
      <c r="I406" s="79">
        <f>IF(OR($A406="",I$23=""),"",IF(COUNTIFS('AFA Rates'!$A$5:$A$1004,$A406,'AFA Rates'!$B$5:$B$1004,I$23,'AFA Rates'!$O$5:$O$1004,"&lt;&gt;Expired")&gt;0,"✓",IF(COUNTIFS('AFA Rates'!$A$5:$A$1004,$A406,'AFA Rates'!$B$5:$B$1004,I$23)&gt;0,"Exp","")))</f>
        <v/>
      </c>
      <c r="J406" s="79">
        <f>IF(OR($A406="",J$23=""),"",IF(COUNTIFS('AFA Rates'!$A$5:$A$1004,$A406,'AFA Rates'!$B$5:$B$1004,J$23,'AFA Rates'!$O$5:$O$1004,"&lt;&gt;Expired")&gt;0,"✓",IF(COUNTIFS('AFA Rates'!$A$5:$A$1004,$A406,'AFA Rates'!$B$5:$B$1004,J$23)&gt;0,"Exp","")))</f>
        <v/>
      </c>
      <c r="K406" s="79">
        <f>IF(OR($A406="",K$23=""),"",IF(COUNTIFS('AFA Rates'!$A$5:$A$1004,$A406,'AFA Rates'!$B$5:$B$1004,K$23,'AFA Rates'!$O$5:$O$1004,"&lt;&gt;Expired")&gt;0,"✓",IF(COUNTIFS('AFA Rates'!$A$5:$A$1004,$A406,'AFA Rates'!$B$5:$B$1004,K$23)&gt;0,"Exp","")))</f>
        <v/>
      </c>
      <c r="L406" s="79">
        <f>IF(OR($A406="",L$23=""),"",IF(COUNTIFS('AFA Rates'!$A$5:$A$1004,$A406,'AFA Rates'!$B$5:$B$1004,L$23,'AFA Rates'!$O$5:$O$1004,"&lt;&gt;Expired")&gt;0,"✓",IF(COUNTIFS('AFA Rates'!$A$5:$A$1004,$A406,'AFA Rates'!$B$5:$B$1004,L$23)&gt;0,"Exp","")))</f>
        <v/>
      </c>
      <c r="M406" s="79">
        <f>IF(OR($A406="",M$23=""),"",IF(COUNTIFS('AFA Rates'!$A$5:$A$1004,$A406,'AFA Rates'!$B$5:$B$1004,M$23,'AFA Rates'!$O$5:$O$1004,"&lt;&gt;Expired")&gt;0,"✓",IF(COUNTIFS('AFA Rates'!$A$5:$A$1004,$A406,'AFA Rates'!$B$5:$B$1004,M$23)&gt;0,"Exp","")))</f>
        <v/>
      </c>
    </row>
    <row r="407">
      <c r="A407" s="78">
        <f>IFERROR(INDEX(Firms!$A$5:$A$1004,MATCH(384,Firms!$V$5:$V$1004,0)),"")</f>
        <v/>
      </c>
      <c r="B407" s="79">
        <f>IF($A407="","",INDEX(Firms!$B$5:$B$1004,MATCH(384,Firms!$V$5:$V$1004,0)))</f>
        <v/>
      </c>
      <c r="C407" s="79">
        <f>IF($A407="","",COUNTIFS('AFA Rates'!$A$5:$A$1004,$A407,'AFA Rates'!$O$5:$O$1004,"&lt;&gt;Expired"))</f>
        <v/>
      </c>
      <c r="D407" s="79">
        <f>IF(OR($A407="",D$23=""),"",IF(COUNTIFS('AFA Rates'!$A$5:$A$1004,$A407,'AFA Rates'!$B$5:$B$1004,D$23,'AFA Rates'!$O$5:$O$1004,"&lt;&gt;Expired")&gt;0,"✓",IF(COUNTIFS('AFA Rates'!$A$5:$A$1004,$A407,'AFA Rates'!$B$5:$B$1004,D$23)&gt;0,"Exp","")))</f>
        <v/>
      </c>
      <c r="E407" s="79">
        <f>IF(OR($A407="",E$23=""),"",IF(COUNTIFS('AFA Rates'!$A$5:$A$1004,$A407,'AFA Rates'!$B$5:$B$1004,E$23,'AFA Rates'!$O$5:$O$1004,"&lt;&gt;Expired")&gt;0,"✓",IF(COUNTIFS('AFA Rates'!$A$5:$A$1004,$A407,'AFA Rates'!$B$5:$B$1004,E$23)&gt;0,"Exp","")))</f>
        <v/>
      </c>
      <c r="F407" s="79">
        <f>IF(OR($A407="",F$23=""),"",IF(COUNTIFS('AFA Rates'!$A$5:$A$1004,$A407,'AFA Rates'!$B$5:$B$1004,F$23,'AFA Rates'!$O$5:$O$1004,"&lt;&gt;Expired")&gt;0,"✓",IF(COUNTIFS('AFA Rates'!$A$5:$A$1004,$A407,'AFA Rates'!$B$5:$B$1004,F$23)&gt;0,"Exp","")))</f>
        <v/>
      </c>
      <c r="G407" s="79">
        <f>IF(OR($A407="",G$23=""),"",IF(COUNTIFS('AFA Rates'!$A$5:$A$1004,$A407,'AFA Rates'!$B$5:$B$1004,G$23,'AFA Rates'!$O$5:$O$1004,"&lt;&gt;Expired")&gt;0,"✓",IF(COUNTIFS('AFA Rates'!$A$5:$A$1004,$A407,'AFA Rates'!$B$5:$B$1004,G$23)&gt;0,"Exp","")))</f>
        <v/>
      </c>
      <c r="H407" s="79">
        <f>IF(OR($A407="",H$23=""),"",IF(COUNTIFS('AFA Rates'!$A$5:$A$1004,$A407,'AFA Rates'!$B$5:$B$1004,H$23,'AFA Rates'!$O$5:$O$1004,"&lt;&gt;Expired")&gt;0,"✓",IF(COUNTIFS('AFA Rates'!$A$5:$A$1004,$A407,'AFA Rates'!$B$5:$B$1004,H$23)&gt;0,"Exp","")))</f>
        <v/>
      </c>
      <c r="I407" s="79">
        <f>IF(OR($A407="",I$23=""),"",IF(COUNTIFS('AFA Rates'!$A$5:$A$1004,$A407,'AFA Rates'!$B$5:$B$1004,I$23,'AFA Rates'!$O$5:$O$1004,"&lt;&gt;Expired")&gt;0,"✓",IF(COUNTIFS('AFA Rates'!$A$5:$A$1004,$A407,'AFA Rates'!$B$5:$B$1004,I$23)&gt;0,"Exp","")))</f>
        <v/>
      </c>
      <c r="J407" s="79">
        <f>IF(OR($A407="",J$23=""),"",IF(COUNTIFS('AFA Rates'!$A$5:$A$1004,$A407,'AFA Rates'!$B$5:$B$1004,J$23,'AFA Rates'!$O$5:$O$1004,"&lt;&gt;Expired")&gt;0,"✓",IF(COUNTIFS('AFA Rates'!$A$5:$A$1004,$A407,'AFA Rates'!$B$5:$B$1004,J$23)&gt;0,"Exp","")))</f>
        <v/>
      </c>
      <c r="K407" s="79">
        <f>IF(OR($A407="",K$23=""),"",IF(COUNTIFS('AFA Rates'!$A$5:$A$1004,$A407,'AFA Rates'!$B$5:$B$1004,K$23,'AFA Rates'!$O$5:$O$1004,"&lt;&gt;Expired")&gt;0,"✓",IF(COUNTIFS('AFA Rates'!$A$5:$A$1004,$A407,'AFA Rates'!$B$5:$B$1004,K$23)&gt;0,"Exp","")))</f>
        <v/>
      </c>
      <c r="L407" s="79">
        <f>IF(OR($A407="",L$23=""),"",IF(COUNTIFS('AFA Rates'!$A$5:$A$1004,$A407,'AFA Rates'!$B$5:$B$1004,L$23,'AFA Rates'!$O$5:$O$1004,"&lt;&gt;Expired")&gt;0,"✓",IF(COUNTIFS('AFA Rates'!$A$5:$A$1004,$A407,'AFA Rates'!$B$5:$B$1004,L$23)&gt;0,"Exp","")))</f>
        <v/>
      </c>
      <c r="M407" s="79">
        <f>IF(OR($A407="",M$23=""),"",IF(COUNTIFS('AFA Rates'!$A$5:$A$1004,$A407,'AFA Rates'!$B$5:$B$1004,M$23,'AFA Rates'!$O$5:$O$1004,"&lt;&gt;Expired")&gt;0,"✓",IF(COUNTIFS('AFA Rates'!$A$5:$A$1004,$A407,'AFA Rates'!$B$5:$B$1004,M$23)&gt;0,"Exp","")))</f>
        <v/>
      </c>
    </row>
    <row r="408">
      <c r="A408" s="78">
        <f>IFERROR(INDEX(Firms!$A$5:$A$1004,MATCH(385,Firms!$V$5:$V$1004,0)),"")</f>
        <v/>
      </c>
      <c r="B408" s="79">
        <f>IF($A408="","",INDEX(Firms!$B$5:$B$1004,MATCH(385,Firms!$V$5:$V$1004,0)))</f>
        <v/>
      </c>
      <c r="C408" s="79">
        <f>IF($A408="","",COUNTIFS('AFA Rates'!$A$5:$A$1004,$A408,'AFA Rates'!$O$5:$O$1004,"&lt;&gt;Expired"))</f>
        <v/>
      </c>
      <c r="D408" s="79">
        <f>IF(OR($A408="",D$23=""),"",IF(COUNTIFS('AFA Rates'!$A$5:$A$1004,$A408,'AFA Rates'!$B$5:$B$1004,D$23,'AFA Rates'!$O$5:$O$1004,"&lt;&gt;Expired")&gt;0,"✓",IF(COUNTIFS('AFA Rates'!$A$5:$A$1004,$A408,'AFA Rates'!$B$5:$B$1004,D$23)&gt;0,"Exp","")))</f>
        <v/>
      </c>
      <c r="E408" s="79">
        <f>IF(OR($A408="",E$23=""),"",IF(COUNTIFS('AFA Rates'!$A$5:$A$1004,$A408,'AFA Rates'!$B$5:$B$1004,E$23,'AFA Rates'!$O$5:$O$1004,"&lt;&gt;Expired")&gt;0,"✓",IF(COUNTIFS('AFA Rates'!$A$5:$A$1004,$A408,'AFA Rates'!$B$5:$B$1004,E$23)&gt;0,"Exp","")))</f>
        <v/>
      </c>
      <c r="F408" s="79">
        <f>IF(OR($A408="",F$23=""),"",IF(COUNTIFS('AFA Rates'!$A$5:$A$1004,$A408,'AFA Rates'!$B$5:$B$1004,F$23,'AFA Rates'!$O$5:$O$1004,"&lt;&gt;Expired")&gt;0,"✓",IF(COUNTIFS('AFA Rates'!$A$5:$A$1004,$A408,'AFA Rates'!$B$5:$B$1004,F$23)&gt;0,"Exp","")))</f>
        <v/>
      </c>
      <c r="G408" s="79">
        <f>IF(OR($A408="",G$23=""),"",IF(COUNTIFS('AFA Rates'!$A$5:$A$1004,$A408,'AFA Rates'!$B$5:$B$1004,G$23,'AFA Rates'!$O$5:$O$1004,"&lt;&gt;Expired")&gt;0,"✓",IF(COUNTIFS('AFA Rates'!$A$5:$A$1004,$A408,'AFA Rates'!$B$5:$B$1004,G$23)&gt;0,"Exp","")))</f>
        <v/>
      </c>
      <c r="H408" s="79">
        <f>IF(OR($A408="",H$23=""),"",IF(COUNTIFS('AFA Rates'!$A$5:$A$1004,$A408,'AFA Rates'!$B$5:$B$1004,H$23,'AFA Rates'!$O$5:$O$1004,"&lt;&gt;Expired")&gt;0,"✓",IF(COUNTIFS('AFA Rates'!$A$5:$A$1004,$A408,'AFA Rates'!$B$5:$B$1004,H$23)&gt;0,"Exp","")))</f>
        <v/>
      </c>
      <c r="I408" s="79">
        <f>IF(OR($A408="",I$23=""),"",IF(COUNTIFS('AFA Rates'!$A$5:$A$1004,$A408,'AFA Rates'!$B$5:$B$1004,I$23,'AFA Rates'!$O$5:$O$1004,"&lt;&gt;Expired")&gt;0,"✓",IF(COUNTIFS('AFA Rates'!$A$5:$A$1004,$A408,'AFA Rates'!$B$5:$B$1004,I$23)&gt;0,"Exp","")))</f>
        <v/>
      </c>
      <c r="J408" s="79">
        <f>IF(OR($A408="",J$23=""),"",IF(COUNTIFS('AFA Rates'!$A$5:$A$1004,$A408,'AFA Rates'!$B$5:$B$1004,J$23,'AFA Rates'!$O$5:$O$1004,"&lt;&gt;Expired")&gt;0,"✓",IF(COUNTIFS('AFA Rates'!$A$5:$A$1004,$A408,'AFA Rates'!$B$5:$B$1004,J$23)&gt;0,"Exp","")))</f>
        <v/>
      </c>
      <c r="K408" s="79">
        <f>IF(OR($A408="",K$23=""),"",IF(COUNTIFS('AFA Rates'!$A$5:$A$1004,$A408,'AFA Rates'!$B$5:$B$1004,K$23,'AFA Rates'!$O$5:$O$1004,"&lt;&gt;Expired")&gt;0,"✓",IF(COUNTIFS('AFA Rates'!$A$5:$A$1004,$A408,'AFA Rates'!$B$5:$B$1004,K$23)&gt;0,"Exp","")))</f>
        <v/>
      </c>
      <c r="L408" s="79">
        <f>IF(OR($A408="",L$23=""),"",IF(COUNTIFS('AFA Rates'!$A$5:$A$1004,$A408,'AFA Rates'!$B$5:$B$1004,L$23,'AFA Rates'!$O$5:$O$1004,"&lt;&gt;Expired")&gt;0,"✓",IF(COUNTIFS('AFA Rates'!$A$5:$A$1004,$A408,'AFA Rates'!$B$5:$B$1004,L$23)&gt;0,"Exp","")))</f>
        <v/>
      </c>
      <c r="M408" s="79">
        <f>IF(OR($A408="",M$23=""),"",IF(COUNTIFS('AFA Rates'!$A$5:$A$1004,$A408,'AFA Rates'!$B$5:$B$1004,M$23,'AFA Rates'!$O$5:$O$1004,"&lt;&gt;Expired")&gt;0,"✓",IF(COUNTIFS('AFA Rates'!$A$5:$A$1004,$A408,'AFA Rates'!$B$5:$B$1004,M$23)&gt;0,"Exp","")))</f>
        <v/>
      </c>
    </row>
    <row r="409">
      <c r="A409" s="78">
        <f>IFERROR(INDEX(Firms!$A$5:$A$1004,MATCH(386,Firms!$V$5:$V$1004,0)),"")</f>
        <v/>
      </c>
      <c r="B409" s="79">
        <f>IF($A409="","",INDEX(Firms!$B$5:$B$1004,MATCH(386,Firms!$V$5:$V$1004,0)))</f>
        <v/>
      </c>
      <c r="C409" s="79">
        <f>IF($A409="","",COUNTIFS('AFA Rates'!$A$5:$A$1004,$A409,'AFA Rates'!$O$5:$O$1004,"&lt;&gt;Expired"))</f>
        <v/>
      </c>
      <c r="D409" s="79">
        <f>IF(OR($A409="",D$23=""),"",IF(COUNTIFS('AFA Rates'!$A$5:$A$1004,$A409,'AFA Rates'!$B$5:$B$1004,D$23,'AFA Rates'!$O$5:$O$1004,"&lt;&gt;Expired")&gt;0,"✓",IF(COUNTIFS('AFA Rates'!$A$5:$A$1004,$A409,'AFA Rates'!$B$5:$B$1004,D$23)&gt;0,"Exp","")))</f>
        <v/>
      </c>
      <c r="E409" s="79">
        <f>IF(OR($A409="",E$23=""),"",IF(COUNTIFS('AFA Rates'!$A$5:$A$1004,$A409,'AFA Rates'!$B$5:$B$1004,E$23,'AFA Rates'!$O$5:$O$1004,"&lt;&gt;Expired")&gt;0,"✓",IF(COUNTIFS('AFA Rates'!$A$5:$A$1004,$A409,'AFA Rates'!$B$5:$B$1004,E$23)&gt;0,"Exp","")))</f>
        <v/>
      </c>
      <c r="F409" s="79">
        <f>IF(OR($A409="",F$23=""),"",IF(COUNTIFS('AFA Rates'!$A$5:$A$1004,$A409,'AFA Rates'!$B$5:$B$1004,F$23,'AFA Rates'!$O$5:$O$1004,"&lt;&gt;Expired")&gt;0,"✓",IF(COUNTIFS('AFA Rates'!$A$5:$A$1004,$A409,'AFA Rates'!$B$5:$B$1004,F$23)&gt;0,"Exp","")))</f>
        <v/>
      </c>
      <c r="G409" s="79">
        <f>IF(OR($A409="",G$23=""),"",IF(COUNTIFS('AFA Rates'!$A$5:$A$1004,$A409,'AFA Rates'!$B$5:$B$1004,G$23,'AFA Rates'!$O$5:$O$1004,"&lt;&gt;Expired")&gt;0,"✓",IF(COUNTIFS('AFA Rates'!$A$5:$A$1004,$A409,'AFA Rates'!$B$5:$B$1004,G$23)&gt;0,"Exp","")))</f>
        <v/>
      </c>
      <c r="H409" s="79">
        <f>IF(OR($A409="",H$23=""),"",IF(COUNTIFS('AFA Rates'!$A$5:$A$1004,$A409,'AFA Rates'!$B$5:$B$1004,H$23,'AFA Rates'!$O$5:$O$1004,"&lt;&gt;Expired")&gt;0,"✓",IF(COUNTIFS('AFA Rates'!$A$5:$A$1004,$A409,'AFA Rates'!$B$5:$B$1004,H$23)&gt;0,"Exp","")))</f>
        <v/>
      </c>
      <c r="I409" s="79">
        <f>IF(OR($A409="",I$23=""),"",IF(COUNTIFS('AFA Rates'!$A$5:$A$1004,$A409,'AFA Rates'!$B$5:$B$1004,I$23,'AFA Rates'!$O$5:$O$1004,"&lt;&gt;Expired")&gt;0,"✓",IF(COUNTIFS('AFA Rates'!$A$5:$A$1004,$A409,'AFA Rates'!$B$5:$B$1004,I$23)&gt;0,"Exp","")))</f>
        <v/>
      </c>
      <c r="J409" s="79">
        <f>IF(OR($A409="",J$23=""),"",IF(COUNTIFS('AFA Rates'!$A$5:$A$1004,$A409,'AFA Rates'!$B$5:$B$1004,J$23,'AFA Rates'!$O$5:$O$1004,"&lt;&gt;Expired")&gt;0,"✓",IF(COUNTIFS('AFA Rates'!$A$5:$A$1004,$A409,'AFA Rates'!$B$5:$B$1004,J$23)&gt;0,"Exp","")))</f>
        <v/>
      </c>
      <c r="K409" s="79">
        <f>IF(OR($A409="",K$23=""),"",IF(COUNTIFS('AFA Rates'!$A$5:$A$1004,$A409,'AFA Rates'!$B$5:$B$1004,K$23,'AFA Rates'!$O$5:$O$1004,"&lt;&gt;Expired")&gt;0,"✓",IF(COUNTIFS('AFA Rates'!$A$5:$A$1004,$A409,'AFA Rates'!$B$5:$B$1004,K$23)&gt;0,"Exp","")))</f>
        <v/>
      </c>
      <c r="L409" s="79">
        <f>IF(OR($A409="",L$23=""),"",IF(COUNTIFS('AFA Rates'!$A$5:$A$1004,$A409,'AFA Rates'!$B$5:$B$1004,L$23,'AFA Rates'!$O$5:$O$1004,"&lt;&gt;Expired")&gt;0,"✓",IF(COUNTIFS('AFA Rates'!$A$5:$A$1004,$A409,'AFA Rates'!$B$5:$B$1004,L$23)&gt;0,"Exp","")))</f>
        <v/>
      </c>
      <c r="M409" s="79">
        <f>IF(OR($A409="",M$23=""),"",IF(COUNTIFS('AFA Rates'!$A$5:$A$1004,$A409,'AFA Rates'!$B$5:$B$1004,M$23,'AFA Rates'!$O$5:$O$1004,"&lt;&gt;Expired")&gt;0,"✓",IF(COUNTIFS('AFA Rates'!$A$5:$A$1004,$A409,'AFA Rates'!$B$5:$B$1004,M$23)&gt;0,"Exp","")))</f>
        <v/>
      </c>
    </row>
    <row r="410">
      <c r="A410" s="78">
        <f>IFERROR(INDEX(Firms!$A$5:$A$1004,MATCH(387,Firms!$V$5:$V$1004,0)),"")</f>
        <v/>
      </c>
      <c r="B410" s="79">
        <f>IF($A410="","",INDEX(Firms!$B$5:$B$1004,MATCH(387,Firms!$V$5:$V$1004,0)))</f>
        <v/>
      </c>
      <c r="C410" s="79">
        <f>IF($A410="","",COUNTIFS('AFA Rates'!$A$5:$A$1004,$A410,'AFA Rates'!$O$5:$O$1004,"&lt;&gt;Expired"))</f>
        <v/>
      </c>
      <c r="D410" s="79">
        <f>IF(OR($A410="",D$23=""),"",IF(COUNTIFS('AFA Rates'!$A$5:$A$1004,$A410,'AFA Rates'!$B$5:$B$1004,D$23,'AFA Rates'!$O$5:$O$1004,"&lt;&gt;Expired")&gt;0,"✓",IF(COUNTIFS('AFA Rates'!$A$5:$A$1004,$A410,'AFA Rates'!$B$5:$B$1004,D$23)&gt;0,"Exp","")))</f>
        <v/>
      </c>
      <c r="E410" s="79">
        <f>IF(OR($A410="",E$23=""),"",IF(COUNTIFS('AFA Rates'!$A$5:$A$1004,$A410,'AFA Rates'!$B$5:$B$1004,E$23,'AFA Rates'!$O$5:$O$1004,"&lt;&gt;Expired")&gt;0,"✓",IF(COUNTIFS('AFA Rates'!$A$5:$A$1004,$A410,'AFA Rates'!$B$5:$B$1004,E$23)&gt;0,"Exp","")))</f>
        <v/>
      </c>
      <c r="F410" s="79">
        <f>IF(OR($A410="",F$23=""),"",IF(COUNTIFS('AFA Rates'!$A$5:$A$1004,$A410,'AFA Rates'!$B$5:$B$1004,F$23,'AFA Rates'!$O$5:$O$1004,"&lt;&gt;Expired")&gt;0,"✓",IF(COUNTIFS('AFA Rates'!$A$5:$A$1004,$A410,'AFA Rates'!$B$5:$B$1004,F$23)&gt;0,"Exp","")))</f>
        <v/>
      </c>
      <c r="G410" s="79">
        <f>IF(OR($A410="",G$23=""),"",IF(COUNTIFS('AFA Rates'!$A$5:$A$1004,$A410,'AFA Rates'!$B$5:$B$1004,G$23,'AFA Rates'!$O$5:$O$1004,"&lt;&gt;Expired")&gt;0,"✓",IF(COUNTIFS('AFA Rates'!$A$5:$A$1004,$A410,'AFA Rates'!$B$5:$B$1004,G$23)&gt;0,"Exp","")))</f>
        <v/>
      </c>
      <c r="H410" s="79">
        <f>IF(OR($A410="",H$23=""),"",IF(COUNTIFS('AFA Rates'!$A$5:$A$1004,$A410,'AFA Rates'!$B$5:$B$1004,H$23,'AFA Rates'!$O$5:$O$1004,"&lt;&gt;Expired")&gt;0,"✓",IF(COUNTIFS('AFA Rates'!$A$5:$A$1004,$A410,'AFA Rates'!$B$5:$B$1004,H$23)&gt;0,"Exp","")))</f>
        <v/>
      </c>
      <c r="I410" s="79">
        <f>IF(OR($A410="",I$23=""),"",IF(COUNTIFS('AFA Rates'!$A$5:$A$1004,$A410,'AFA Rates'!$B$5:$B$1004,I$23,'AFA Rates'!$O$5:$O$1004,"&lt;&gt;Expired")&gt;0,"✓",IF(COUNTIFS('AFA Rates'!$A$5:$A$1004,$A410,'AFA Rates'!$B$5:$B$1004,I$23)&gt;0,"Exp","")))</f>
        <v/>
      </c>
      <c r="J410" s="79">
        <f>IF(OR($A410="",J$23=""),"",IF(COUNTIFS('AFA Rates'!$A$5:$A$1004,$A410,'AFA Rates'!$B$5:$B$1004,J$23,'AFA Rates'!$O$5:$O$1004,"&lt;&gt;Expired")&gt;0,"✓",IF(COUNTIFS('AFA Rates'!$A$5:$A$1004,$A410,'AFA Rates'!$B$5:$B$1004,J$23)&gt;0,"Exp","")))</f>
        <v/>
      </c>
      <c r="K410" s="79">
        <f>IF(OR($A410="",K$23=""),"",IF(COUNTIFS('AFA Rates'!$A$5:$A$1004,$A410,'AFA Rates'!$B$5:$B$1004,K$23,'AFA Rates'!$O$5:$O$1004,"&lt;&gt;Expired")&gt;0,"✓",IF(COUNTIFS('AFA Rates'!$A$5:$A$1004,$A410,'AFA Rates'!$B$5:$B$1004,K$23)&gt;0,"Exp","")))</f>
        <v/>
      </c>
      <c r="L410" s="79">
        <f>IF(OR($A410="",L$23=""),"",IF(COUNTIFS('AFA Rates'!$A$5:$A$1004,$A410,'AFA Rates'!$B$5:$B$1004,L$23,'AFA Rates'!$O$5:$O$1004,"&lt;&gt;Expired")&gt;0,"✓",IF(COUNTIFS('AFA Rates'!$A$5:$A$1004,$A410,'AFA Rates'!$B$5:$B$1004,L$23)&gt;0,"Exp","")))</f>
        <v/>
      </c>
      <c r="M410" s="79">
        <f>IF(OR($A410="",M$23=""),"",IF(COUNTIFS('AFA Rates'!$A$5:$A$1004,$A410,'AFA Rates'!$B$5:$B$1004,M$23,'AFA Rates'!$O$5:$O$1004,"&lt;&gt;Expired")&gt;0,"✓",IF(COUNTIFS('AFA Rates'!$A$5:$A$1004,$A410,'AFA Rates'!$B$5:$B$1004,M$23)&gt;0,"Exp","")))</f>
        <v/>
      </c>
    </row>
    <row r="411">
      <c r="A411" s="78">
        <f>IFERROR(INDEX(Firms!$A$5:$A$1004,MATCH(388,Firms!$V$5:$V$1004,0)),"")</f>
        <v/>
      </c>
      <c r="B411" s="79">
        <f>IF($A411="","",INDEX(Firms!$B$5:$B$1004,MATCH(388,Firms!$V$5:$V$1004,0)))</f>
        <v/>
      </c>
      <c r="C411" s="79">
        <f>IF($A411="","",COUNTIFS('AFA Rates'!$A$5:$A$1004,$A411,'AFA Rates'!$O$5:$O$1004,"&lt;&gt;Expired"))</f>
        <v/>
      </c>
      <c r="D411" s="79">
        <f>IF(OR($A411="",D$23=""),"",IF(COUNTIFS('AFA Rates'!$A$5:$A$1004,$A411,'AFA Rates'!$B$5:$B$1004,D$23,'AFA Rates'!$O$5:$O$1004,"&lt;&gt;Expired")&gt;0,"✓",IF(COUNTIFS('AFA Rates'!$A$5:$A$1004,$A411,'AFA Rates'!$B$5:$B$1004,D$23)&gt;0,"Exp","")))</f>
        <v/>
      </c>
      <c r="E411" s="79">
        <f>IF(OR($A411="",E$23=""),"",IF(COUNTIFS('AFA Rates'!$A$5:$A$1004,$A411,'AFA Rates'!$B$5:$B$1004,E$23,'AFA Rates'!$O$5:$O$1004,"&lt;&gt;Expired")&gt;0,"✓",IF(COUNTIFS('AFA Rates'!$A$5:$A$1004,$A411,'AFA Rates'!$B$5:$B$1004,E$23)&gt;0,"Exp","")))</f>
        <v/>
      </c>
      <c r="F411" s="79">
        <f>IF(OR($A411="",F$23=""),"",IF(COUNTIFS('AFA Rates'!$A$5:$A$1004,$A411,'AFA Rates'!$B$5:$B$1004,F$23,'AFA Rates'!$O$5:$O$1004,"&lt;&gt;Expired")&gt;0,"✓",IF(COUNTIFS('AFA Rates'!$A$5:$A$1004,$A411,'AFA Rates'!$B$5:$B$1004,F$23)&gt;0,"Exp","")))</f>
        <v/>
      </c>
      <c r="G411" s="79">
        <f>IF(OR($A411="",G$23=""),"",IF(COUNTIFS('AFA Rates'!$A$5:$A$1004,$A411,'AFA Rates'!$B$5:$B$1004,G$23,'AFA Rates'!$O$5:$O$1004,"&lt;&gt;Expired")&gt;0,"✓",IF(COUNTIFS('AFA Rates'!$A$5:$A$1004,$A411,'AFA Rates'!$B$5:$B$1004,G$23)&gt;0,"Exp","")))</f>
        <v/>
      </c>
      <c r="H411" s="79">
        <f>IF(OR($A411="",H$23=""),"",IF(COUNTIFS('AFA Rates'!$A$5:$A$1004,$A411,'AFA Rates'!$B$5:$B$1004,H$23,'AFA Rates'!$O$5:$O$1004,"&lt;&gt;Expired")&gt;0,"✓",IF(COUNTIFS('AFA Rates'!$A$5:$A$1004,$A411,'AFA Rates'!$B$5:$B$1004,H$23)&gt;0,"Exp","")))</f>
        <v/>
      </c>
      <c r="I411" s="79">
        <f>IF(OR($A411="",I$23=""),"",IF(COUNTIFS('AFA Rates'!$A$5:$A$1004,$A411,'AFA Rates'!$B$5:$B$1004,I$23,'AFA Rates'!$O$5:$O$1004,"&lt;&gt;Expired")&gt;0,"✓",IF(COUNTIFS('AFA Rates'!$A$5:$A$1004,$A411,'AFA Rates'!$B$5:$B$1004,I$23)&gt;0,"Exp","")))</f>
        <v/>
      </c>
      <c r="J411" s="79">
        <f>IF(OR($A411="",J$23=""),"",IF(COUNTIFS('AFA Rates'!$A$5:$A$1004,$A411,'AFA Rates'!$B$5:$B$1004,J$23,'AFA Rates'!$O$5:$O$1004,"&lt;&gt;Expired")&gt;0,"✓",IF(COUNTIFS('AFA Rates'!$A$5:$A$1004,$A411,'AFA Rates'!$B$5:$B$1004,J$23)&gt;0,"Exp","")))</f>
        <v/>
      </c>
      <c r="K411" s="79">
        <f>IF(OR($A411="",K$23=""),"",IF(COUNTIFS('AFA Rates'!$A$5:$A$1004,$A411,'AFA Rates'!$B$5:$B$1004,K$23,'AFA Rates'!$O$5:$O$1004,"&lt;&gt;Expired")&gt;0,"✓",IF(COUNTIFS('AFA Rates'!$A$5:$A$1004,$A411,'AFA Rates'!$B$5:$B$1004,K$23)&gt;0,"Exp","")))</f>
        <v/>
      </c>
      <c r="L411" s="79">
        <f>IF(OR($A411="",L$23=""),"",IF(COUNTIFS('AFA Rates'!$A$5:$A$1004,$A411,'AFA Rates'!$B$5:$B$1004,L$23,'AFA Rates'!$O$5:$O$1004,"&lt;&gt;Expired")&gt;0,"✓",IF(COUNTIFS('AFA Rates'!$A$5:$A$1004,$A411,'AFA Rates'!$B$5:$B$1004,L$23)&gt;0,"Exp","")))</f>
        <v/>
      </c>
      <c r="M411" s="79">
        <f>IF(OR($A411="",M$23=""),"",IF(COUNTIFS('AFA Rates'!$A$5:$A$1004,$A411,'AFA Rates'!$B$5:$B$1004,M$23,'AFA Rates'!$O$5:$O$1004,"&lt;&gt;Expired")&gt;0,"✓",IF(COUNTIFS('AFA Rates'!$A$5:$A$1004,$A411,'AFA Rates'!$B$5:$B$1004,M$23)&gt;0,"Exp","")))</f>
        <v/>
      </c>
    </row>
    <row r="412">
      <c r="A412" s="78">
        <f>IFERROR(INDEX(Firms!$A$5:$A$1004,MATCH(389,Firms!$V$5:$V$1004,0)),"")</f>
        <v/>
      </c>
      <c r="B412" s="79">
        <f>IF($A412="","",INDEX(Firms!$B$5:$B$1004,MATCH(389,Firms!$V$5:$V$1004,0)))</f>
        <v/>
      </c>
      <c r="C412" s="79">
        <f>IF($A412="","",COUNTIFS('AFA Rates'!$A$5:$A$1004,$A412,'AFA Rates'!$O$5:$O$1004,"&lt;&gt;Expired"))</f>
        <v/>
      </c>
      <c r="D412" s="79">
        <f>IF(OR($A412="",D$23=""),"",IF(COUNTIFS('AFA Rates'!$A$5:$A$1004,$A412,'AFA Rates'!$B$5:$B$1004,D$23,'AFA Rates'!$O$5:$O$1004,"&lt;&gt;Expired")&gt;0,"✓",IF(COUNTIFS('AFA Rates'!$A$5:$A$1004,$A412,'AFA Rates'!$B$5:$B$1004,D$23)&gt;0,"Exp","")))</f>
        <v/>
      </c>
      <c r="E412" s="79">
        <f>IF(OR($A412="",E$23=""),"",IF(COUNTIFS('AFA Rates'!$A$5:$A$1004,$A412,'AFA Rates'!$B$5:$B$1004,E$23,'AFA Rates'!$O$5:$O$1004,"&lt;&gt;Expired")&gt;0,"✓",IF(COUNTIFS('AFA Rates'!$A$5:$A$1004,$A412,'AFA Rates'!$B$5:$B$1004,E$23)&gt;0,"Exp","")))</f>
        <v/>
      </c>
      <c r="F412" s="79">
        <f>IF(OR($A412="",F$23=""),"",IF(COUNTIFS('AFA Rates'!$A$5:$A$1004,$A412,'AFA Rates'!$B$5:$B$1004,F$23,'AFA Rates'!$O$5:$O$1004,"&lt;&gt;Expired")&gt;0,"✓",IF(COUNTIFS('AFA Rates'!$A$5:$A$1004,$A412,'AFA Rates'!$B$5:$B$1004,F$23)&gt;0,"Exp","")))</f>
        <v/>
      </c>
      <c r="G412" s="79">
        <f>IF(OR($A412="",G$23=""),"",IF(COUNTIFS('AFA Rates'!$A$5:$A$1004,$A412,'AFA Rates'!$B$5:$B$1004,G$23,'AFA Rates'!$O$5:$O$1004,"&lt;&gt;Expired")&gt;0,"✓",IF(COUNTIFS('AFA Rates'!$A$5:$A$1004,$A412,'AFA Rates'!$B$5:$B$1004,G$23)&gt;0,"Exp","")))</f>
        <v/>
      </c>
      <c r="H412" s="79">
        <f>IF(OR($A412="",H$23=""),"",IF(COUNTIFS('AFA Rates'!$A$5:$A$1004,$A412,'AFA Rates'!$B$5:$B$1004,H$23,'AFA Rates'!$O$5:$O$1004,"&lt;&gt;Expired")&gt;0,"✓",IF(COUNTIFS('AFA Rates'!$A$5:$A$1004,$A412,'AFA Rates'!$B$5:$B$1004,H$23)&gt;0,"Exp","")))</f>
        <v/>
      </c>
      <c r="I412" s="79">
        <f>IF(OR($A412="",I$23=""),"",IF(COUNTIFS('AFA Rates'!$A$5:$A$1004,$A412,'AFA Rates'!$B$5:$B$1004,I$23,'AFA Rates'!$O$5:$O$1004,"&lt;&gt;Expired")&gt;0,"✓",IF(COUNTIFS('AFA Rates'!$A$5:$A$1004,$A412,'AFA Rates'!$B$5:$B$1004,I$23)&gt;0,"Exp","")))</f>
        <v/>
      </c>
      <c r="J412" s="79">
        <f>IF(OR($A412="",J$23=""),"",IF(COUNTIFS('AFA Rates'!$A$5:$A$1004,$A412,'AFA Rates'!$B$5:$B$1004,J$23,'AFA Rates'!$O$5:$O$1004,"&lt;&gt;Expired")&gt;0,"✓",IF(COUNTIFS('AFA Rates'!$A$5:$A$1004,$A412,'AFA Rates'!$B$5:$B$1004,J$23)&gt;0,"Exp","")))</f>
        <v/>
      </c>
      <c r="K412" s="79">
        <f>IF(OR($A412="",K$23=""),"",IF(COUNTIFS('AFA Rates'!$A$5:$A$1004,$A412,'AFA Rates'!$B$5:$B$1004,K$23,'AFA Rates'!$O$5:$O$1004,"&lt;&gt;Expired")&gt;0,"✓",IF(COUNTIFS('AFA Rates'!$A$5:$A$1004,$A412,'AFA Rates'!$B$5:$B$1004,K$23)&gt;0,"Exp","")))</f>
        <v/>
      </c>
      <c r="L412" s="79">
        <f>IF(OR($A412="",L$23=""),"",IF(COUNTIFS('AFA Rates'!$A$5:$A$1004,$A412,'AFA Rates'!$B$5:$B$1004,L$23,'AFA Rates'!$O$5:$O$1004,"&lt;&gt;Expired")&gt;0,"✓",IF(COUNTIFS('AFA Rates'!$A$5:$A$1004,$A412,'AFA Rates'!$B$5:$B$1004,L$23)&gt;0,"Exp","")))</f>
        <v/>
      </c>
      <c r="M412" s="79">
        <f>IF(OR($A412="",M$23=""),"",IF(COUNTIFS('AFA Rates'!$A$5:$A$1004,$A412,'AFA Rates'!$B$5:$B$1004,M$23,'AFA Rates'!$O$5:$O$1004,"&lt;&gt;Expired")&gt;0,"✓",IF(COUNTIFS('AFA Rates'!$A$5:$A$1004,$A412,'AFA Rates'!$B$5:$B$1004,M$23)&gt;0,"Exp","")))</f>
        <v/>
      </c>
    </row>
    <row r="413">
      <c r="A413" s="78">
        <f>IFERROR(INDEX(Firms!$A$5:$A$1004,MATCH(390,Firms!$V$5:$V$1004,0)),"")</f>
        <v/>
      </c>
      <c r="B413" s="79">
        <f>IF($A413="","",INDEX(Firms!$B$5:$B$1004,MATCH(390,Firms!$V$5:$V$1004,0)))</f>
        <v/>
      </c>
      <c r="C413" s="79">
        <f>IF($A413="","",COUNTIFS('AFA Rates'!$A$5:$A$1004,$A413,'AFA Rates'!$O$5:$O$1004,"&lt;&gt;Expired"))</f>
        <v/>
      </c>
      <c r="D413" s="79">
        <f>IF(OR($A413="",D$23=""),"",IF(COUNTIFS('AFA Rates'!$A$5:$A$1004,$A413,'AFA Rates'!$B$5:$B$1004,D$23,'AFA Rates'!$O$5:$O$1004,"&lt;&gt;Expired")&gt;0,"✓",IF(COUNTIFS('AFA Rates'!$A$5:$A$1004,$A413,'AFA Rates'!$B$5:$B$1004,D$23)&gt;0,"Exp","")))</f>
        <v/>
      </c>
      <c r="E413" s="79">
        <f>IF(OR($A413="",E$23=""),"",IF(COUNTIFS('AFA Rates'!$A$5:$A$1004,$A413,'AFA Rates'!$B$5:$B$1004,E$23,'AFA Rates'!$O$5:$O$1004,"&lt;&gt;Expired")&gt;0,"✓",IF(COUNTIFS('AFA Rates'!$A$5:$A$1004,$A413,'AFA Rates'!$B$5:$B$1004,E$23)&gt;0,"Exp","")))</f>
        <v/>
      </c>
      <c r="F413" s="79">
        <f>IF(OR($A413="",F$23=""),"",IF(COUNTIFS('AFA Rates'!$A$5:$A$1004,$A413,'AFA Rates'!$B$5:$B$1004,F$23,'AFA Rates'!$O$5:$O$1004,"&lt;&gt;Expired")&gt;0,"✓",IF(COUNTIFS('AFA Rates'!$A$5:$A$1004,$A413,'AFA Rates'!$B$5:$B$1004,F$23)&gt;0,"Exp","")))</f>
        <v/>
      </c>
      <c r="G413" s="79">
        <f>IF(OR($A413="",G$23=""),"",IF(COUNTIFS('AFA Rates'!$A$5:$A$1004,$A413,'AFA Rates'!$B$5:$B$1004,G$23,'AFA Rates'!$O$5:$O$1004,"&lt;&gt;Expired")&gt;0,"✓",IF(COUNTIFS('AFA Rates'!$A$5:$A$1004,$A413,'AFA Rates'!$B$5:$B$1004,G$23)&gt;0,"Exp","")))</f>
        <v/>
      </c>
      <c r="H413" s="79">
        <f>IF(OR($A413="",H$23=""),"",IF(COUNTIFS('AFA Rates'!$A$5:$A$1004,$A413,'AFA Rates'!$B$5:$B$1004,H$23,'AFA Rates'!$O$5:$O$1004,"&lt;&gt;Expired")&gt;0,"✓",IF(COUNTIFS('AFA Rates'!$A$5:$A$1004,$A413,'AFA Rates'!$B$5:$B$1004,H$23)&gt;0,"Exp","")))</f>
        <v/>
      </c>
      <c r="I413" s="79">
        <f>IF(OR($A413="",I$23=""),"",IF(COUNTIFS('AFA Rates'!$A$5:$A$1004,$A413,'AFA Rates'!$B$5:$B$1004,I$23,'AFA Rates'!$O$5:$O$1004,"&lt;&gt;Expired")&gt;0,"✓",IF(COUNTIFS('AFA Rates'!$A$5:$A$1004,$A413,'AFA Rates'!$B$5:$B$1004,I$23)&gt;0,"Exp","")))</f>
        <v/>
      </c>
      <c r="J413" s="79">
        <f>IF(OR($A413="",J$23=""),"",IF(COUNTIFS('AFA Rates'!$A$5:$A$1004,$A413,'AFA Rates'!$B$5:$B$1004,J$23,'AFA Rates'!$O$5:$O$1004,"&lt;&gt;Expired")&gt;0,"✓",IF(COUNTIFS('AFA Rates'!$A$5:$A$1004,$A413,'AFA Rates'!$B$5:$B$1004,J$23)&gt;0,"Exp","")))</f>
        <v/>
      </c>
      <c r="K413" s="79">
        <f>IF(OR($A413="",K$23=""),"",IF(COUNTIFS('AFA Rates'!$A$5:$A$1004,$A413,'AFA Rates'!$B$5:$B$1004,K$23,'AFA Rates'!$O$5:$O$1004,"&lt;&gt;Expired")&gt;0,"✓",IF(COUNTIFS('AFA Rates'!$A$5:$A$1004,$A413,'AFA Rates'!$B$5:$B$1004,K$23)&gt;0,"Exp","")))</f>
        <v/>
      </c>
      <c r="L413" s="79">
        <f>IF(OR($A413="",L$23=""),"",IF(COUNTIFS('AFA Rates'!$A$5:$A$1004,$A413,'AFA Rates'!$B$5:$B$1004,L$23,'AFA Rates'!$O$5:$O$1004,"&lt;&gt;Expired")&gt;0,"✓",IF(COUNTIFS('AFA Rates'!$A$5:$A$1004,$A413,'AFA Rates'!$B$5:$B$1004,L$23)&gt;0,"Exp","")))</f>
        <v/>
      </c>
      <c r="M413" s="79">
        <f>IF(OR($A413="",M$23=""),"",IF(COUNTIFS('AFA Rates'!$A$5:$A$1004,$A413,'AFA Rates'!$B$5:$B$1004,M$23,'AFA Rates'!$O$5:$O$1004,"&lt;&gt;Expired")&gt;0,"✓",IF(COUNTIFS('AFA Rates'!$A$5:$A$1004,$A413,'AFA Rates'!$B$5:$B$1004,M$23)&gt;0,"Exp","")))</f>
        <v/>
      </c>
    </row>
    <row r="414">
      <c r="A414" s="78">
        <f>IFERROR(INDEX(Firms!$A$5:$A$1004,MATCH(391,Firms!$V$5:$V$1004,0)),"")</f>
        <v/>
      </c>
      <c r="B414" s="79">
        <f>IF($A414="","",INDEX(Firms!$B$5:$B$1004,MATCH(391,Firms!$V$5:$V$1004,0)))</f>
        <v/>
      </c>
      <c r="C414" s="79">
        <f>IF($A414="","",COUNTIFS('AFA Rates'!$A$5:$A$1004,$A414,'AFA Rates'!$O$5:$O$1004,"&lt;&gt;Expired"))</f>
        <v/>
      </c>
      <c r="D414" s="79">
        <f>IF(OR($A414="",D$23=""),"",IF(COUNTIFS('AFA Rates'!$A$5:$A$1004,$A414,'AFA Rates'!$B$5:$B$1004,D$23,'AFA Rates'!$O$5:$O$1004,"&lt;&gt;Expired")&gt;0,"✓",IF(COUNTIFS('AFA Rates'!$A$5:$A$1004,$A414,'AFA Rates'!$B$5:$B$1004,D$23)&gt;0,"Exp","")))</f>
        <v/>
      </c>
      <c r="E414" s="79">
        <f>IF(OR($A414="",E$23=""),"",IF(COUNTIFS('AFA Rates'!$A$5:$A$1004,$A414,'AFA Rates'!$B$5:$B$1004,E$23,'AFA Rates'!$O$5:$O$1004,"&lt;&gt;Expired")&gt;0,"✓",IF(COUNTIFS('AFA Rates'!$A$5:$A$1004,$A414,'AFA Rates'!$B$5:$B$1004,E$23)&gt;0,"Exp","")))</f>
        <v/>
      </c>
      <c r="F414" s="79">
        <f>IF(OR($A414="",F$23=""),"",IF(COUNTIFS('AFA Rates'!$A$5:$A$1004,$A414,'AFA Rates'!$B$5:$B$1004,F$23,'AFA Rates'!$O$5:$O$1004,"&lt;&gt;Expired")&gt;0,"✓",IF(COUNTIFS('AFA Rates'!$A$5:$A$1004,$A414,'AFA Rates'!$B$5:$B$1004,F$23)&gt;0,"Exp","")))</f>
        <v/>
      </c>
      <c r="G414" s="79">
        <f>IF(OR($A414="",G$23=""),"",IF(COUNTIFS('AFA Rates'!$A$5:$A$1004,$A414,'AFA Rates'!$B$5:$B$1004,G$23,'AFA Rates'!$O$5:$O$1004,"&lt;&gt;Expired")&gt;0,"✓",IF(COUNTIFS('AFA Rates'!$A$5:$A$1004,$A414,'AFA Rates'!$B$5:$B$1004,G$23)&gt;0,"Exp","")))</f>
        <v/>
      </c>
      <c r="H414" s="79">
        <f>IF(OR($A414="",H$23=""),"",IF(COUNTIFS('AFA Rates'!$A$5:$A$1004,$A414,'AFA Rates'!$B$5:$B$1004,H$23,'AFA Rates'!$O$5:$O$1004,"&lt;&gt;Expired")&gt;0,"✓",IF(COUNTIFS('AFA Rates'!$A$5:$A$1004,$A414,'AFA Rates'!$B$5:$B$1004,H$23)&gt;0,"Exp","")))</f>
        <v/>
      </c>
      <c r="I414" s="79">
        <f>IF(OR($A414="",I$23=""),"",IF(COUNTIFS('AFA Rates'!$A$5:$A$1004,$A414,'AFA Rates'!$B$5:$B$1004,I$23,'AFA Rates'!$O$5:$O$1004,"&lt;&gt;Expired")&gt;0,"✓",IF(COUNTIFS('AFA Rates'!$A$5:$A$1004,$A414,'AFA Rates'!$B$5:$B$1004,I$23)&gt;0,"Exp","")))</f>
        <v/>
      </c>
      <c r="J414" s="79">
        <f>IF(OR($A414="",J$23=""),"",IF(COUNTIFS('AFA Rates'!$A$5:$A$1004,$A414,'AFA Rates'!$B$5:$B$1004,J$23,'AFA Rates'!$O$5:$O$1004,"&lt;&gt;Expired")&gt;0,"✓",IF(COUNTIFS('AFA Rates'!$A$5:$A$1004,$A414,'AFA Rates'!$B$5:$B$1004,J$23)&gt;0,"Exp","")))</f>
        <v/>
      </c>
      <c r="K414" s="79">
        <f>IF(OR($A414="",K$23=""),"",IF(COUNTIFS('AFA Rates'!$A$5:$A$1004,$A414,'AFA Rates'!$B$5:$B$1004,K$23,'AFA Rates'!$O$5:$O$1004,"&lt;&gt;Expired")&gt;0,"✓",IF(COUNTIFS('AFA Rates'!$A$5:$A$1004,$A414,'AFA Rates'!$B$5:$B$1004,K$23)&gt;0,"Exp","")))</f>
        <v/>
      </c>
      <c r="L414" s="79">
        <f>IF(OR($A414="",L$23=""),"",IF(COUNTIFS('AFA Rates'!$A$5:$A$1004,$A414,'AFA Rates'!$B$5:$B$1004,L$23,'AFA Rates'!$O$5:$O$1004,"&lt;&gt;Expired")&gt;0,"✓",IF(COUNTIFS('AFA Rates'!$A$5:$A$1004,$A414,'AFA Rates'!$B$5:$B$1004,L$23)&gt;0,"Exp","")))</f>
        <v/>
      </c>
      <c r="M414" s="79">
        <f>IF(OR($A414="",M$23=""),"",IF(COUNTIFS('AFA Rates'!$A$5:$A$1004,$A414,'AFA Rates'!$B$5:$B$1004,M$23,'AFA Rates'!$O$5:$O$1004,"&lt;&gt;Expired")&gt;0,"✓",IF(COUNTIFS('AFA Rates'!$A$5:$A$1004,$A414,'AFA Rates'!$B$5:$B$1004,M$23)&gt;0,"Exp","")))</f>
        <v/>
      </c>
    </row>
    <row r="415">
      <c r="A415" s="78">
        <f>IFERROR(INDEX(Firms!$A$5:$A$1004,MATCH(392,Firms!$V$5:$V$1004,0)),"")</f>
        <v/>
      </c>
      <c r="B415" s="79">
        <f>IF($A415="","",INDEX(Firms!$B$5:$B$1004,MATCH(392,Firms!$V$5:$V$1004,0)))</f>
        <v/>
      </c>
      <c r="C415" s="79">
        <f>IF($A415="","",COUNTIFS('AFA Rates'!$A$5:$A$1004,$A415,'AFA Rates'!$O$5:$O$1004,"&lt;&gt;Expired"))</f>
        <v/>
      </c>
      <c r="D415" s="79">
        <f>IF(OR($A415="",D$23=""),"",IF(COUNTIFS('AFA Rates'!$A$5:$A$1004,$A415,'AFA Rates'!$B$5:$B$1004,D$23,'AFA Rates'!$O$5:$O$1004,"&lt;&gt;Expired")&gt;0,"✓",IF(COUNTIFS('AFA Rates'!$A$5:$A$1004,$A415,'AFA Rates'!$B$5:$B$1004,D$23)&gt;0,"Exp","")))</f>
        <v/>
      </c>
      <c r="E415" s="79">
        <f>IF(OR($A415="",E$23=""),"",IF(COUNTIFS('AFA Rates'!$A$5:$A$1004,$A415,'AFA Rates'!$B$5:$B$1004,E$23,'AFA Rates'!$O$5:$O$1004,"&lt;&gt;Expired")&gt;0,"✓",IF(COUNTIFS('AFA Rates'!$A$5:$A$1004,$A415,'AFA Rates'!$B$5:$B$1004,E$23)&gt;0,"Exp","")))</f>
        <v/>
      </c>
      <c r="F415" s="79">
        <f>IF(OR($A415="",F$23=""),"",IF(COUNTIFS('AFA Rates'!$A$5:$A$1004,$A415,'AFA Rates'!$B$5:$B$1004,F$23,'AFA Rates'!$O$5:$O$1004,"&lt;&gt;Expired")&gt;0,"✓",IF(COUNTIFS('AFA Rates'!$A$5:$A$1004,$A415,'AFA Rates'!$B$5:$B$1004,F$23)&gt;0,"Exp","")))</f>
        <v/>
      </c>
      <c r="G415" s="79">
        <f>IF(OR($A415="",G$23=""),"",IF(COUNTIFS('AFA Rates'!$A$5:$A$1004,$A415,'AFA Rates'!$B$5:$B$1004,G$23,'AFA Rates'!$O$5:$O$1004,"&lt;&gt;Expired")&gt;0,"✓",IF(COUNTIFS('AFA Rates'!$A$5:$A$1004,$A415,'AFA Rates'!$B$5:$B$1004,G$23)&gt;0,"Exp","")))</f>
        <v/>
      </c>
      <c r="H415" s="79">
        <f>IF(OR($A415="",H$23=""),"",IF(COUNTIFS('AFA Rates'!$A$5:$A$1004,$A415,'AFA Rates'!$B$5:$B$1004,H$23,'AFA Rates'!$O$5:$O$1004,"&lt;&gt;Expired")&gt;0,"✓",IF(COUNTIFS('AFA Rates'!$A$5:$A$1004,$A415,'AFA Rates'!$B$5:$B$1004,H$23)&gt;0,"Exp","")))</f>
        <v/>
      </c>
      <c r="I415" s="79">
        <f>IF(OR($A415="",I$23=""),"",IF(COUNTIFS('AFA Rates'!$A$5:$A$1004,$A415,'AFA Rates'!$B$5:$B$1004,I$23,'AFA Rates'!$O$5:$O$1004,"&lt;&gt;Expired")&gt;0,"✓",IF(COUNTIFS('AFA Rates'!$A$5:$A$1004,$A415,'AFA Rates'!$B$5:$B$1004,I$23)&gt;0,"Exp","")))</f>
        <v/>
      </c>
      <c r="J415" s="79">
        <f>IF(OR($A415="",J$23=""),"",IF(COUNTIFS('AFA Rates'!$A$5:$A$1004,$A415,'AFA Rates'!$B$5:$B$1004,J$23,'AFA Rates'!$O$5:$O$1004,"&lt;&gt;Expired")&gt;0,"✓",IF(COUNTIFS('AFA Rates'!$A$5:$A$1004,$A415,'AFA Rates'!$B$5:$B$1004,J$23)&gt;0,"Exp","")))</f>
        <v/>
      </c>
      <c r="K415" s="79">
        <f>IF(OR($A415="",K$23=""),"",IF(COUNTIFS('AFA Rates'!$A$5:$A$1004,$A415,'AFA Rates'!$B$5:$B$1004,K$23,'AFA Rates'!$O$5:$O$1004,"&lt;&gt;Expired")&gt;0,"✓",IF(COUNTIFS('AFA Rates'!$A$5:$A$1004,$A415,'AFA Rates'!$B$5:$B$1004,K$23)&gt;0,"Exp","")))</f>
        <v/>
      </c>
      <c r="L415" s="79">
        <f>IF(OR($A415="",L$23=""),"",IF(COUNTIFS('AFA Rates'!$A$5:$A$1004,$A415,'AFA Rates'!$B$5:$B$1004,L$23,'AFA Rates'!$O$5:$O$1004,"&lt;&gt;Expired")&gt;0,"✓",IF(COUNTIFS('AFA Rates'!$A$5:$A$1004,$A415,'AFA Rates'!$B$5:$B$1004,L$23)&gt;0,"Exp","")))</f>
        <v/>
      </c>
      <c r="M415" s="79">
        <f>IF(OR($A415="",M$23=""),"",IF(COUNTIFS('AFA Rates'!$A$5:$A$1004,$A415,'AFA Rates'!$B$5:$B$1004,M$23,'AFA Rates'!$O$5:$O$1004,"&lt;&gt;Expired")&gt;0,"✓",IF(COUNTIFS('AFA Rates'!$A$5:$A$1004,$A415,'AFA Rates'!$B$5:$B$1004,M$23)&gt;0,"Exp","")))</f>
        <v/>
      </c>
    </row>
    <row r="416">
      <c r="A416" s="78">
        <f>IFERROR(INDEX(Firms!$A$5:$A$1004,MATCH(393,Firms!$V$5:$V$1004,0)),"")</f>
        <v/>
      </c>
      <c r="B416" s="79">
        <f>IF($A416="","",INDEX(Firms!$B$5:$B$1004,MATCH(393,Firms!$V$5:$V$1004,0)))</f>
        <v/>
      </c>
      <c r="C416" s="79">
        <f>IF($A416="","",COUNTIFS('AFA Rates'!$A$5:$A$1004,$A416,'AFA Rates'!$O$5:$O$1004,"&lt;&gt;Expired"))</f>
        <v/>
      </c>
      <c r="D416" s="79">
        <f>IF(OR($A416="",D$23=""),"",IF(COUNTIFS('AFA Rates'!$A$5:$A$1004,$A416,'AFA Rates'!$B$5:$B$1004,D$23,'AFA Rates'!$O$5:$O$1004,"&lt;&gt;Expired")&gt;0,"✓",IF(COUNTIFS('AFA Rates'!$A$5:$A$1004,$A416,'AFA Rates'!$B$5:$B$1004,D$23)&gt;0,"Exp","")))</f>
        <v/>
      </c>
      <c r="E416" s="79">
        <f>IF(OR($A416="",E$23=""),"",IF(COUNTIFS('AFA Rates'!$A$5:$A$1004,$A416,'AFA Rates'!$B$5:$B$1004,E$23,'AFA Rates'!$O$5:$O$1004,"&lt;&gt;Expired")&gt;0,"✓",IF(COUNTIFS('AFA Rates'!$A$5:$A$1004,$A416,'AFA Rates'!$B$5:$B$1004,E$23)&gt;0,"Exp","")))</f>
        <v/>
      </c>
      <c r="F416" s="79">
        <f>IF(OR($A416="",F$23=""),"",IF(COUNTIFS('AFA Rates'!$A$5:$A$1004,$A416,'AFA Rates'!$B$5:$B$1004,F$23,'AFA Rates'!$O$5:$O$1004,"&lt;&gt;Expired")&gt;0,"✓",IF(COUNTIFS('AFA Rates'!$A$5:$A$1004,$A416,'AFA Rates'!$B$5:$B$1004,F$23)&gt;0,"Exp","")))</f>
        <v/>
      </c>
      <c r="G416" s="79">
        <f>IF(OR($A416="",G$23=""),"",IF(COUNTIFS('AFA Rates'!$A$5:$A$1004,$A416,'AFA Rates'!$B$5:$B$1004,G$23,'AFA Rates'!$O$5:$O$1004,"&lt;&gt;Expired")&gt;0,"✓",IF(COUNTIFS('AFA Rates'!$A$5:$A$1004,$A416,'AFA Rates'!$B$5:$B$1004,G$23)&gt;0,"Exp","")))</f>
        <v/>
      </c>
      <c r="H416" s="79">
        <f>IF(OR($A416="",H$23=""),"",IF(COUNTIFS('AFA Rates'!$A$5:$A$1004,$A416,'AFA Rates'!$B$5:$B$1004,H$23,'AFA Rates'!$O$5:$O$1004,"&lt;&gt;Expired")&gt;0,"✓",IF(COUNTIFS('AFA Rates'!$A$5:$A$1004,$A416,'AFA Rates'!$B$5:$B$1004,H$23)&gt;0,"Exp","")))</f>
        <v/>
      </c>
      <c r="I416" s="79">
        <f>IF(OR($A416="",I$23=""),"",IF(COUNTIFS('AFA Rates'!$A$5:$A$1004,$A416,'AFA Rates'!$B$5:$B$1004,I$23,'AFA Rates'!$O$5:$O$1004,"&lt;&gt;Expired")&gt;0,"✓",IF(COUNTIFS('AFA Rates'!$A$5:$A$1004,$A416,'AFA Rates'!$B$5:$B$1004,I$23)&gt;0,"Exp","")))</f>
        <v/>
      </c>
      <c r="J416" s="79">
        <f>IF(OR($A416="",J$23=""),"",IF(COUNTIFS('AFA Rates'!$A$5:$A$1004,$A416,'AFA Rates'!$B$5:$B$1004,J$23,'AFA Rates'!$O$5:$O$1004,"&lt;&gt;Expired")&gt;0,"✓",IF(COUNTIFS('AFA Rates'!$A$5:$A$1004,$A416,'AFA Rates'!$B$5:$B$1004,J$23)&gt;0,"Exp","")))</f>
        <v/>
      </c>
      <c r="K416" s="79">
        <f>IF(OR($A416="",K$23=""),"",IF(COUNTIFS('AFA Rates'!$A$5:$A$1004,$A416,'AFA Rates'!$B$5:$B$1004,K$23,'AFA Rates'!$O$5:$O$1004,"&lt;&gt;Expired")&gt;0,"✓",IF(COUNTIFS('AFA Rates'!$A$5:$A$1004,$A416,'AFA Rates'!$B$5:$B$1004,K$23)&gt;0,"Exp","")))</f>
        <v/>
      </c>
      <c r="L416" s="79">
        <f>IF(OR($A416="",L$23=""),"",IF(COUNTIFS('AFA Rates'!$A$5:$A$1004,$A416,'AFA Rates'!$B$5:$B$1004,L$23,'AFA Rates'!$O$5:$O$1004,"&lt;&gt;Expired")&gt;0,"✓",IF(COUNTIFS('AFA Rates'!$A$5:$A$1004,$A416,'AFA Rates'!$B$5:$B$1004,L$23)&gt;0,"Exp","")))</f>
        <v/>
      </c>
      <c r="M416" s="79">
        <f>IF(OR($A416="",M$23=""),"",IF(COUNTIFS('AFA Rates'!$A$5:$A$1004,$A416,'AFA Rates'!$B$5:$B$1004,M$23,'AFA Rates'!$O$5:$O$1004,"&lt;&gt;Expired")&gt;0,"✓",IF(COUNTIFS('AFA Rates'!$A$5:$A$1004,$A416,'AFA Rates'!$B$5:$B$1004,M$23)&gt;0,"Exp","")))</f>
        <v/>
      </c>
    </row>
    <row r="417">
      <c r="A417" s="78">
        <f>IFERROR(INDEX(Firms!$A$5:$A$1004,MATCH(394,Firms!$V$5:$V$1004,0)),"")</f>
        <v/>
      </c>
      <c r="B417" s="79">
        <f>IF($A417="","",INDEX(Firms!$B$5:$B$1004,MATCH(394,Firms!$V$5:$V$1004,0)))</f>
        <v/>
      </c>
      <c r="C417" s="79">
        <f>IF($A417="","",COUNTIFS('AFA Rates'!$A$5:$A$1004,$A417,'AFA Rates'!$O$5:$O$1004,"&lt;&gt;Expired"))</f>
        <v/>
      </c>
      <c r="D417" s="79">
        <f>IF(OR($A417="",D$23=""),"",IF(COUNTIFS('AFA Rates'!$A$5:$A$1004,$A417,'AFA Rates'!$B$5:$B$1004,D$23,'AFA Rates'!$O$5:$O$1004,"&lt;&gt;Expired")&gt;0,"✓",IF(COUNTIFS('AFA Rates'!$A$5:$A$1004,$A417,'AFA Rates'!$B$5:$B$1004,D$23)&gt;0,"Exp","")))</f>
        <v/>
      </c>
      <c r="E417" s="79">
        <f>IF(OR($A417="",E$23=""),"",IF(COUNTIFS('AFA Rates'!$A$5:$A$1004,$A417,'AFA Rates'!$B$5:$B$1004,E$23,'AFA Rates'!$O$5:$O$1004,"&lt;&gt;Expired")&gt;0,"✓",IF(COUNTIFS('AFA Rates'!$A$5:$A$1004,$A417,'AFA Rates'!$B$5:$B$1004,E$23)&gt;0,"Exp","")))</f>
        <v/>
      </c>
      <c r="F417" s="79">
        <f>IF(OR($A417="",F$23=""),"",IF(COUNTIFS('AFA Rates'!$A$5:$A$1004,$A417,'AFA Rates'!$B$5:$B$1004,F$23,'AFA Rates'!$O$5:$O$1004,"&lt;&gt;Expired")&gt;0,"✓",IF(COUNTIFS('AFA Rates'!$A$5:$A$1004,$A417,'AFA Rates'!$B$5:$B$1004,F$23)&gt;0,"Exp","")))</f>
        <v/>
      </c>
      <c r="G417" s="79">
        <f>IF(OR($A417="",G$23=""),"",IF(COUNTIFS('AFA Rates'!$A$5:$A$1004,$A417,'AFA Rates'!$B$5:$B$1004,G$23,'AFA Rates'!$O$5:$O$1004,"&lt;&gt;Expired")&gt;0,"✓",IF(COUNTIFS('AFA Rates'!$A$5:$A$1004,$A417,'AFA Rates'!$B$5:$B$1004,G$23)&gt;0,"Exp","")))</f>
        <v/>
      </c>
      <c r="H417" s="79">
        <f>IF(OR($A417="",H$23=""),"",IF(COUNTIFS('AFA Rates'!$A$5:$A$1004,$A417,'AFA Rates'!$B$5:$B$1004,H$23,'AFA Rates'!$O$5:$O$1004,"&lt;&gt;Expired")&gt;0,"✓",IF(COUNTIFS('AFA Rates'!$A$5:$A$1004,$A417,'AFA Rates'!$B$5:$B$1004,H$23)&gt;0,"Exp","")))</f>
        <v/>
      </c>
      <c r="I417" s="79">
        <f>IF(OR($A417="",I$23=""),"",IF(COUNTIFS('AFA Rates'!$A$5:$A$1004,$A417,'AFA Rates'!$B$5:$B$1004,I$23,'AFA Rates'!$O$5:$O$1004,"&lt;&gt;Expired")&gt;0,"✓",IF(COUNTIFS('AFA Rates'!$A$5:$A$1004,$A417,'AFA Rates'!$B$5:$B$1004,I$23)&gt;0,"Exp","")))</f>
        <v/>
      </c>
      <c r="J417" s="79">
        <f>IF(OR($A417="",J$23=""),"",IF(COUNTIFS('AFA Rates'!$A$5:$A$1004,$A417,'AFA Rates'!$B$5:$B$1004,J$23,'AFA Rates'!$O$5:$O$1004,"&lt;&gt;Expired")&gt;0,"✓",IF(COUNTIFS('AFA Rates'!$A$5:$A$1004,$A417,'AFA Rates'!$B$5:$B$1004,J$23)&gt;0,"Exp","")))</f>
        <v/>
      </c>
      <c r="K417" s="79">
        <f>IF(OR($A417="",K$23=""),"",IF(COUNTIFS('AFA Rates'!$A$5:$A$1004,$A417,'AFA Rates'!$B$5:$B$1004,K$23,'AFA Rates'!$O$5:$O$1004,"&lt;&gt;Expired")&gt;0,"✓",IF(COUNTIFS('AFA Rates'!$A$5:$A$1004,$A417,'AFA Rates'!$B$5:$B$1004,K$23)&gt;0,"Exp","")))</f>
        <v/>
      </c>
      <c r="L417" s="79">
        <f>IF(OR($A417="",L$23=""),"",IF(COUNTIFS('AFA Rates'!$A$5:$A$1004,$A417,'AFA Rates'!$B$5:$B$1004,L$23,'AFA Rates'!$O$5:$O$1004,"&lt;&gt;Expired")&gt;0,"✓",IF(COUNTIFS('AFA Rates'!$A$5:$A$1004,$A417,'AFA Rates'!$B$5:$B$1004,L$23)&gt;0,"Exp","")))</f>
        <v/>
      </c>
      <c r="M417" s="79">
        <f>IF(OR($A417="",M$23=""),"",IF(COUNTIFS('AFA Rates'!$A$5:$A$1004,$A417,'AFA Rates'!$B$5:$B$1004,M$23,'AFA Rates'!$O$5:$O$1004,"&lt;&gt;Expired")&gt;0,"✓",IF(COUNTIFS('AFA Rates'!$A$5:$A$1004,$A417,'AFA Rates'!$B$5:$B$1004,M$23)&gt;0,"Exp","")))</f>
        <v/>
      </c>
    </row>
    <row r="418">
      <c r="A418" s="78">
        <f>IFERROR(INDEX(Firms!$A$5:$A$1004,MATCH(395,Firms!$V$5:$V$1004,0)),"")</f>
        <v/>
      </c>
      <c r="B418" s="79">
        <f>IF($A418="","",INDEX(Firms!$B$5:$B$1004,MATCH(395,Firms!$V$5:$V$1004,0)))</f>
        <v/>
      </c>
      <c r="C418" s="79">
        <f>IF($A418="","",COUNTIFS('AFA Rates'!$A$5:$A$1004,$A418,'AFA Rates'!$O$5:$O$1004,"&lt;&gt;Expired"))</f>
        <v/>
      </c>
      <c r="D418" s="79">
        <f>IF(OR($A418="",D$23=""),"",IF(COUNTIFS('AFA Rates'!$A$5:$A$1004,$A418,'AFA Rates'!$B$5:$B$1004,D$23,'AFA Rates'!$O$5:$O$1004,"&lt;&gt;Expired")&gt;0,"✓",IF(COUNTIFS('AFA Rates'!$A$5:$A$1004,$A418,'AFA Rates'!$B$5:$B$1004,D$23)&gt;0,"Exp","")))</f>
        <v/>
      </c>
      <c r="E418" s="79">
        <f>IF(OR($A418="",E$23=""),"",IF(COUNTIFS('AFA Rates'!$A$5:$A$1004,$A418,'AFA Rates'!$B$5:$B$1004,E$23,'AFA Rates'!$O$5:$O$1004,"&lt;&gt;Expired")&gt;0,"✓",IF(COUNTIFS('AFA Rates'!$A$5:$A$1004,$A418,'AFA Rates'!$B$5:$B$1004,E$23)&gt;0,"Exp","")))</f>
        <v/>
      </c>
      <c r="F418" s="79">
        <f>IF(OR($A418="",F$23=""),"",IF(COUNTIFS('AFA Rates'!$A$5:$A$1004,$A418,'AFA Rates'!$B$5:$B$1004,F$23,'AFA Rates'!$O$5:$O$1004,"&lt;&gt;Expired")&gt;0,"✓",IF(COUNTIFS('AFA Rates'!$A$5:$A$1004,$A418,'AFA Rates'!$B$5:$B$1004,F$23)&gt;0,"Exp","")))</f>
        <v/>
      </c>
      <c r="G418" s="79">
        <f>IF(OR($A418="",G$23=""),"",IF(COUNTIFS('AFA Rates'!$A$5:$A$1004,$A418,'AFA Rates'!$B$5:$B$1004,G$23,'AFA Rates'!$O$5:$O$1004,"&lt;&gt;Expired")&gt;0,"✓",IF(COUNTIFS('AFA Rates'!$A$5:$A$1004,$A418,'AFA Rates'!$B$5:$B$1004,G$23)&gt;0,"Exp","")))</f>
        <v/>
      </c>
      <c r="H418" s="79">
        <f>IF(OR($A418="",H$23=""),"",IF(COUNTIFS('AFA Rates'!$A$5:$A$1004,$A418,'AFA Rates'!$B$5:$B$1004,H$23,'AFA Rates'!$O$5:$O$1004,"&lt;&gt;Expired")&gt;0,"✓",IF(COUNTIFS('AFA Rates'!$A$5:$A$1004,$A418,'AFA Rates'!$B$5:$B$1004,H$23)&gt;0,"Exp","")))</f>
        <v/>
      </c>
      <c r="I418" s="79">
        <f>IF(OR($A418="",I$23=""),"",IF(COUNTIFS('AFA Rates'!$A$5:$A$1004,$A418,'AFA Rates'!$B$5:$B$1004,I$23,'AFA Rates'!$O$5:$O$1004,"&lt;&gt;Expired")&gt;0,"✓",IF(COUNTIFS('AFA Rates'!$A$5:$A$1004,$A418,'AFA Rates'!$B$5:$B$1004,I$23)&gt;0,"Exp","")))</f>
        <v/>
      </c>
      <c r="J418" s="79">
        <f>IF(OR($A418="",J$23=""),"",IF(COUNTIFS('AFA Rates'!$A$5:$A$1004,$A418,'AFA Rates'!$B$5:$B$1004,J$23,'AFA Rates'!$O$5:$O$1004,"&lt;&gt;Expired")&gt;0,"✓",IF(COUNTIFS('AFA Rates'!$A$5:$A$1004,$A418,'AFA Rates'!$B$5:$B$1004,J$23)&gt;0,"Exp","")))</f>
        <v/>
      </c>
      <c r="K418" s="79">
        <f>IF(OR($A418="",K$23=""),"",IF(COUNTIFS('AFA Rates'!$A$5:$A$1004,$A418,'AFA Rates'!$B$5:$B$1004,K$23,'AFA Rates'!$O$5:$O$1004,"&lt;&gt;Expired")&gt;0,"✓",IF(COUNTIFS('AFA Rates'!$A$5:$A$1004,$A418,'AFA Rates'!$B$5:$B$1004,K$23)&gt;0,"Exp","")))</f>
        <v/>
      </c>
      <c r="L418" s="79">
        <f>IF(OR($A418="",L$23=""),"",IF(COUNTIFS('AFA Rates'!$A$5:$A$1004,$A418,'AFA Rates'!$B$5:$B$1004,L$23,'AFA Rates'!$O$5:$O$1004,"&lt;&gt;Expired")&gt;0,"✓",IF(COUNTIFS('AFA Rates'!$A$5:$A$1004,$A418,'AFA Rates'!$B$5:$B$1004,L$23)&gt;0,"Exp","")))</f>
        <v/>
      </c>
      <c r="M418" s="79">
        <f>IF(OR($A418="",M$23=""),"",IF(COUNTIFS('AFA Rates'!$A$5:$A$1004,$A418,'AFA Rates'!$B$5:$B$1004,M$23,'AFA Rates'!$O$5:$O$1004,"&lt;&gt;Expired")&gt;0,"✓",IF(COUNTIFS('AFA Rates'!$A$5:$A$1004,$A418,'AFA Rates'!$B$5:$B$1004,M$23)&gt;0,"Exp","")))</f>
        <v/>
      </c>
    </row>
    <row r="419">
      <c r="A419" s="78">
        <f>IFERROR(INDEX(Firms!$A$5:$A$1004,MATCH(396,Firms!$V$5:$V$1004,0)),"")</f>
        <v/>
      </c>
      <c r="B419" s="79">
        <f>IF($A419="","",INDEX(Firms!$B$5:$B$1004,MATCH(396,Firms!$V$5:$V$1004,0)))</f>
        <v/>
      </c>
      <c r="C419" s="79">
        <f>IF($A419="","",COUNTIFS('AFA Rates'!$A$5:$A$1004,$A419,'AFA Rates'!$O$5:$O$1004,"&lt;&gt;Expired"))</f>
        <v/>
      </c>
      <c r="D419" s="79">
        <f>IF(OR($A419="",D$23=""),"",IF(COUNTIFS('AFA Rates'!$A$5:$A$1004,$A419,'AFA Rates'!$B$5:$B$1004,D$23,'AFA Rates'!$O$5:$O$1004,"&lt;&gt;Expired")&gt;0,"✓",IF(COUNTIFS('AFA Rates'!$A$5:$A$1004,$A419,'AFA Rates'!$B$5:$B$1004,D$23)&gt;0,"Exp","")))</f>
        <v/>
      </c>
      <c r="E419" s="79">
        <f>IF(OR($A419="",E$23=""),"",IF(COUNTIFS('AFA Rates'!$A$5:$A$1004,$A419,'AFA Rates'!$B$5:$B$1004,E$23,'AFA Rates'!$O$5:$O$1004,"&lt;&gt;Expired")&gt;0,"✓",IF(COUNTIFS('AFA Rates'!$A$5:$A$1004,$A419,'AFA Rates'!$B$5:$B$1004,E$23)&gt;0,"Exp","")))</f>
        <v/>
      </c>
      <c r="F419" s="79">
        <f>IF(OR($A419="",F$23=""),"",IF(COUNTIFS('AFA Rates'!$A$5:$A$1004,$A419,'AFA Rates'!$B$5:$B$1004,F$23,'AFA Rates'!$O$5:$O$1004,"&lt;&gt;Expired")&gt;0,"✓",IF(COUNTIFS('AFA Rates'!$A$5:$A$1004,$A419,'AFA Rates'!$B$5:$B$1004,F$23)&gt;0,"Exp","")))</f>
        <v/>
      </c>
      <c r="G419" s="79">
        <f>IF(OR($A419="",G$23=""),"",IF(COUNTIFS('AFA Rates'!$A$5:$A$1004,$A419,'AFA Rates'!$B$5:$B$1004,G$23,'AFA Rates'!$O$5:$O$1004,"&lt;&gt;Expired")&gt;0,"✓",IF(COUNTIFS('AFA Rates'!$A$5:$A$1004,$A419,'AFA Rates'!$B$5:$B$1004,G$23)&gt;0,"Exp","")))</f>
        <v/>
      </c>
      <c r="H419" s="79">
        <f>IF(OR($A419="",H$23=""),"",IF(COUNTIFS('AFA Rates'!$A$5:$A$1004,$A419,'AFA Rates'!$B$5:$B$1004,H$23,'AFA Rates'!$O$5:$O$1004,"&lt;&gt;Expired")&gt;0,"✓",IF(COUNTIFS('AFA Rates'!$A$5:$A$1004,$A419,'AFA Rates'!$B$5:$B$1004,H$23)&gt;0,"Exp","")))</f>
        <v/>
      </c>
      <c r="I419" s="79">
        <f>IF(OR($A419="",I$23=""),"",IF(COUNTIFS('AFA Rates'!$A$5:$A$1004,$A419,'AFA Rates'!$B$5:$B$1004,I$23,'AFA Rates'!$O$5:$O$1004,"&lt;&gt;Expired")&gt;0,"✓",IF(COUNTIFS('AFA Rates'!$A$5:$A$1004,$A419,'AFA Rates'!$B$5:$B$1004,I$23)&gt;0,"Exp","")))</f>
        <v/>
      </c>
      <c r="J419" s="79">
        <f>IF(OR($A419="",J$23=""),"",IF(COUNTIFS('AFA Rates'!$A$5:$A$1004,$A419,'AFA Rates'!$B$5:$B$1004,J$23,'AFA Rates'!$O$5:$O$1004,"&lt;&gt;Expired")&gt;0,"✓",IF(COUNTIFS('AFA Rates'!$A$5:$A$1004,$A419,'AFA Rates'!$B$5:$B$1004,J$23)&gt;0,"Exp","")))</f>
        <v/>
      </c>
      <c r="K419" s="79">
        <f>IF(OR($A419="",K$23=""),"",IF(COUNTIFS('AFA Rates'!$A$5:$A$1004,$A419,'AFA Rates'!$B$5:$B$1004,K$23,'AFA Rates'!$O$5:$O$1004,"&lt;&gt;Expired")&gt;0,"✓",IF(COUNTIFS('AFA Rates'!$A$5:$A$1004,$A419,'AFA Rates'!$B$5:$B$1004,K$23)&gt;0,"Exp","")))</f>
        <v/>
      </c>
      <c r="L419" s="79">
        <f>IF(OR($A419="",L$23=""),"",IF(COUNTIFS('AFA Rates'!$A$5:$A$1004,$A419,'AFA Rates'!$B$5:$B$1004,L$23,'AFA Rates'!$O$5:$O$1004,"&lt;&gt;Expired")&gt;0,"✓",IF(COUNTIFS('AFA Rates'!$A$5:$A$1004,$A419,'AFA Rates'!$B$5:$B$1004,L$23)&gt;0,"Exp","")))</f>
        <v/>
      </c>
      <c r="M419" s="79">
        <f>IF(OR($A419="",M$23=""),"",IF(COUNTIFS('AFA Rates'!$A$5:$A$1004,$A419,'AFA Rates'!$B$5:$B$1004,M$23,'AFA Rates'!$O$5:$O$1004,"&lt;&gt;Expired")&gt;0,"✓",IF(COUNTIFS('AFA Rates'!$A$5:$A$1004,$A419,'AFA Rates'!$B$5:$B$1004,M$23)&gt;0,"Exp","")))</f>
        <v/>
      </c>
    </row>
    <row r="420">
      <c r="A420" s="78">
        <f>IFERROR(INDEX(Firms!$A$5:$A$1004,MATCH(397,Firms!$V$5:$V$1004,0)),"")</f>
        <v/>
      </c>
      <c r="B420" s="79">
        <f>IF($A420="","",INDEX(Firms!$B$5:$B$1004,MATCH(397,Firms!$V$5:$V$1004,0)))</f>
        <v/>
      </c>
      <c r="C420" s="79">
        <f>IF($A420="","",COUNTIFS('AFA Rates'!$A$5:$A$1004,$A420,'AFA Rates'!$O$5:$O$1004,"&lt;&gt;Expired"))</f>
        <v/>
      </c>
      <c r="D420" s="79">
        <f>IF(OR($A420="",D$23=""),"",IF(COUNTIFS('AFA Rates'!$A$5:$A$1004,$A420,'AFA Rates'!$B$5:$B$1004,D$23,'AFA Rates'!$O$5:$O$1004,"&lt;&gt;Expired")&gt;0,"✓",IF(COUNTIFS('AFA Rates'!$A$5:$A$1004,$A420,'AFA Rates'!$B$5:$B$1004,D$23)&gt;0,"Exp","")))</f>
        <v/>
      </c>
      <c r="E420" s="79">
        <f>IF(OR($A420="",E$23=""),"",IF(COUNTIFS('AFA Rates'!$A$5:$A$1004,$A420,'AFA Rates'!$B$5:$B$1004,E$23,'AFA Rates'!$O$5:$O$1004,"&lt;&gt;Expired")&gt;0,"✓",IF(COUNTIFS('AFA Rates'!$A$5:$A$1004,$A420,'AFA Rates'!$B$5:$B$1004,E$23)&gt;0,"Exp","")))</f>
        <v/>
      </c>
      <c r="F420" s="79">
        <f>IF(OR($A420="",F$23=""),"",IF(COUNTIFS('AFA Rates'!$A$5:$A$1004,$A420,'AFA Rates'!$B$5:$B$1004,F$23,'AFA Rates'!$O$5:$O$1004,"&lt;&gt;Expired")&gt;0,"✓",IF(COUNTIFS('AFA Rates'!$A$5:$A$1004,$A420,'AFA Rates'!$B$5:$B$1004,F$23)&gt;0,"Exp","")))</f>
        <v/>
      </c>
      <c r="G420" s="79">
        <f>IF(OR($A420="",G$23=""),"",IF(COUNTIFS('AFA Rates'!$A$5:$A$1004,$A420,'AFA Rates'!$B$5:$B$1004,G$23,'AFA Rates'!$O$5:$O$1004,"&lt;&gt;Expired")&gt;0,"✓",IF(COUNTIFS('AFA Rates'!$A$5:$A$1004,$A420,'AFA Rates'!$B$5:$B$1004,G$23)&gt;0,"Exp","")))</f>
        <v/>
      </c>
      <c r="H420" s="79">
        <f>IF(OR($A420="",H$23=""),"",IF(COUNTIFS('AFA Rates'!$A$5:$A$1004,$A420,'AFA Rates'!$B$5:$B$1004,H$23,'AFA Rates'!$O$5:$O$1004,"&lt;&gt;Expired")&gt;0,"✓",IF(COUNTIFS('AFA Rates'!$A$5:$A$1004,$A420,'AFA Rates'!$B$5:$B$1004,H$23)&gt;0,"Exp","")))</f>
        <v/>
      </c>
      <c r="I420" s="79">
        <f>IF(OR($A420="",I$23=""),"",IF(COUNTIFS('AFA Rates'!$A$5:$A$1004,$A420,'AFA Rates'!$B$5:$B$1004,I$23,'AFA Rates'!$O$5:$O$1004,"&lt;&gt;Expired")&gt;0,"✓",IF(COUNTIFS('AFA Rates'!$A$5:$A$1004,$A420,'AFA Rates'!$B$5:$B$1004,I$23)&gt;0,"Exp","")))</f>
        <v/>
      </c>
      <c r="J420" s="79">
        <f>IF(OR($A420="",J$23=""),"",IF(COUNTIFS('AFA Rates'!$A$5:$A$1004,$A420,'AFA Rates'!$B$5:$B$1004,J$23,'AFA Rates'!$O$5:$O$1004,"&lt;&gt;Expired")&gt;0,"✓",IF(COUNTIFS('AFA Rates'!$A$5:$A$1004,$A420,'AFA Rates'!$B$5:$B$1004,J$23)&gt;0,"Exp","")))</f>
        <v/>
      </c>
      <c r="K420" s="79">
        <f>IF(OR($A420="",K$23=""),"",IF(COUNTIFS('AFA Rates'!$A$5:$A$1004,$A420,'AFA Rates'!$B$5:$B$1004,K$23,'AFA Rates'!$O$5:$O$1004,"&lt;&gt;Expired")&gt;0,"✓",IF(COUNTIFS('AFA Rates'!$A$5:$A$1004,$A420,'AFA Rates'!$B$5:$B$1004,K$23)&gt;0,"Exp","")))</f>
        <v/>
      </c>
      <c r="L420" s="79">
        <f>IF(OR($A420="",L$23=""),"",IF(COUNTIFS('AFA Rates'!$A$5:$A$1004,$A420,'AFA Rates'!$B$5:$B$1004,L$23,'AFA Rates'!$O$5:$O$1004,"&lt;&gt;Expired")&gt;0,"✓",IF(COUNTIFS('AFA Rates'!$A$5:$A$1004,$A420,'AFA Rates'!$B$5:$B$1004,L$23)&gt;0,"Exp","")))</f>
        <v/>
      </c>
      <c r="M420" s="79">
        <f>IF(OR($A420="",M$23=""),"",IF(COUNTIFS('AFA Rates'!$A$5:$A$1004,$A420,'AFA Rates'!$B$5:$B$1004,M$23,'AFA Rates'!$O$5:$O$1004,"&lt;&gt;Expired")&gt;0,"✓",IF(COUNTIFS('AFA Rates'!$A$5:$A$1004,$A420,'AFA Rates'!$B$5:$B$1004,M$23)&gt;0,"Exp","")))</f>
        <v/>
      </c>
    </row>
    <row r="421">
      <c r="A421" s="78">
        <f>IFERROR(INDEX(Firms!$A$5:$A$1004,MATCH(398,Firms!$V$5:$V$1004,0)),"")</f>
        <v/>
      </c>
      <c r="B421" s="79">
        <f>IF($A421="","",INDEX(Firms!$B$5:$B$1004,MATCH(398,Firms!$V$5:$V$1004,0)))</f>
        <v/>
      </c>
      <c r="C421" s="79">
        <f>IF($A421="","",COUNTIFS('AFA Rates'!$A$5:$A$1004,$A421,'AFA Rates'!$O$5:$O$1004,"&lt;&gt;Expired"))</f>
        <v/>
      </c>
      <c r="D421" s="79">
        <f>IF(OR($A421="",D$23=""),"",IF(COUNTIFS('AFA Rates'!$A$5:$A$1004,$A421,'AFA Rates'!$B$5:$B$1004,D$23,'AFA Rates'!$O$5:$O$1004,"&lt;&gt;Expired")&gt;0,"✓",IF(COUNTIFS('AFA Rates'!$A$5:$A$1004,$A421,'AFA Rates'!$B$5:$B$1004,D$23)&gt;0,"Exp","")))</f>
        <v/>
      </c>
      <c r="E421" s="79">
        <f>IF(OR($A421="",E$23=""),"",IF(COUNTIFS('AFA Rates'!$A$5:$A$1004,$A421,'AFA Rates'!$B$5:$B$1004,E$23,'AFA Rates'!$O$5:$O$1004,"&lt;&gt;Expired")&gt;0,"✓",IF(COUNTIFS('AFA Rates'!$A$5:$A$1004,$A421,'AFA Rates'!$B$5:$B$1004,E$23)&gt;0,"Exp","")))</f>
        <v/>
      </c>
      <c r="F421" s="79">
        <f>IF(OR($A421="",F$23=""),"",IF(COUNTIFS('AFA Rates'!$A$5:$A$1004,$A421,'AFA Rates'!$B$5:$B$1004,F$23,'AFA Rates'!$O$5:$O$1004,"&lt;&gt;Expired")&gt;0,"✓",IF(COUNTIFS('AFA Rates'!$A$5:$A$1004,$A421,'AFA Rates'!$B$5:$B$1004,F$23)&gt;0,"Exp","")))</f>
        <v/>
      </c>
      <c r="G421" s="79">
        <f>IF(OR($A421="",G$23=""),"",IF(COUNTIFS('AFA Rates'!$A$5:$A$1004,$A421,'AFA Rates'!$B$5:$B$1004,G$23,'AFA Rates'!$O$5:$O$1004,"&lt;&gt;Expired")&gt;0,"✓",IF(COUNTIFS('AFA Rates'!$A$5:$A$1004,$A421,'AFA Rates'!$B$5:$B$1004,G$23)&gt;0,"Exp","")))</f>
        <v/>
      </c>
      <c r="H421" s="79">
        <f>IF(OR($A421="",H$23=""),"",IF(COUNTIFS('AFA Rates'!$A$5:$A$1004,$A421,'AFA Rates'!$B$5:$B$1004,H$23,'AFA Rates'!$O$5:$O$1004,"&lt;&gt;Expired")&gt;0,"✓",IF(COUNTIFS('AFA Rates'!$A$5:$A$1004,$A421,'AFA Rates'!$B$5:$B$1004,H$23)&gt;0,"Exp","")))</f>
        <v/>
      </c>
      <c r="I421" s="79">
        <f>IF(OR($A421="",I$23=""),"",IF(COUNTIFS('AFA Rates'!$A$5:$A$1004,$A421,'AFA Rates'!$B$5:$B$1004,I$23,'AFA Rates'!$O$5:$O$1004,"&lt;&gt;Expired")&gt;0,"✓",IF(COUNTIFS('AFA Rates'!$A$5:$A$1004,$A421,'AFA Rates'!$B$5:$B$1004,I$23)&gt;0,"Exp","")))</f>
        <v/>
      </c>
      <c r="J421" s="79">
        <f>IF(OR($A421="",J$23=""),"",IF(COUNTIFS('AFA Rates'!$A$5:$A$1004,$A421,'AFA Rates'!$B$5:$B$1004,J$23,'AFA Rates'!$O$5:$O$1004,"&lt;&gt;Expired")&gt;0,"✓",IF(COUNTIFS('AFA Rates'!$A$5:$A$1004,$A421,'AFA Rates'!$B$5:$B$1004,J$23)&gt;0,"Exp","")))</f>
        <v/>
      </c>
      <c r="K421" s="79">
        <f>IF(OR($A421="",K$23=""),"",IF(COUNTIFS('AFA Rates'!$A$5:$A$1004,$A421,'AFA Rates'!$B$5:$B$1004,K$23,'AFA Rates'!$O$5:$O$1004,"&lt;&gt;Expired")&gt;0,"✓",IF(COUNTIFS('AFA Rates'!$A$5:$A$1004,$A421,'AFA Rates'!$B$5:$B$1004,K$23)&gt;0,"Exp","")))</f>
        <v/>
      </c>
      <c r="L421" s="79">
        <f>IF(OR($A421="",L$23=""),"",IF(COUNTIFS('AFA Rates'!$A$5:$A$1004,$A421,'AFA Rates'!$B$5:$B$1004,L$23,'AFA Rates'!$O$5:$O$1004,"&lt;&gt;Expired")&gt;0,"✓",IF(COUNTIFS('AFA Rates'!$A$5:$A$1004,$A421,'AFA Rates'!$B$5:$B$1004,L$23)&gt;0,"Exp","")))</f>
        <v/>
      </c>
      <c r="M421" s="79">
        <f>IF(OR($A421="",M$23=""),"",IF(COUNTIFS('AFA Rates'!$A$5:$A$1004,$A421,'AFA Rates'!$B$5:$B$1004,M$23,'AFA Rates'!$O$5:$O$1004,"&lt;&gt;Expired")&gt;0,"✓",IF(COUNTIFS('AFA Rates'!$A$5:$A$1004,$A421,'AFA Rates'!$B$5:$B$1004,M$23)&gt;0,"Exp","")))</f>
        <v/>
      </c>
    </row>
    <row r="422">
      <c r="A422" s="78">
        <f>IFERROR(INDEX(Firms!$A$5:$A$1004,MATCH(399,Firms!$V$5:$V$1004,0)),"")</f>
        <v/>
      </c>
      <c r="B422" s="79">
        <f>IF($A422="","",INDEX(Firms!$B$5:$B$1004,MATCH(399,Firms!$V$5:$V$1004,0)))</f>
        <v/>
      </c>
      <c r="C422" s="79">
        <f>IF($A422="","",COUNTIFS('AFA Rates'!$A$5:$A$1004,$A422,'AFA Rates'!$O$5:$O$1004,"&lt;&gt;Expired"))</f>
        <v/>
      </c>
      <c r="D422" s="79">
        <f>IF(OR($A422="",D$23=""),"",IF(COUNTIFS('AFA Rates'!$A$5:$A$1004,$A422,'AFA Rates'!$B$5:$B$1004,D$23,'AFA Rates'!$O$5:$O$1004,"&lt;&gt;Expired")&gt;0,"✓",IF(COUNTIFS('AFA Rates'!$A$5:$A$1004,$A422,'AFA Rates'!$B$5:$B$1004,D$23)&gt;0,"Exp","")))</f>
        <v/>
      </c>
      <c r="E422" s="79">
        <f>IF(OR($A422="",E$23=""),"",IF(COUNTIFS('AFA Rates'!$A$5:$A$1004,$A422,'AFA Rates'!$B$5:$B$1004,E$23,'AFA Rates'!$O$5:$O$1004,"&lt;&gt;Expired")&gt;0,"✓",IF(COUNTIFS('AFA Rates'!$A$5:$A$1004,$A422,'AFA Rates'!$B$5:$B$1004,E$23)&gt;0,"Exp","")))</f>
        <v/>
      </c>
      <c r="F422" s="79">
        <f>IF(OR($A422="",F$23=""),"",IF(COUNTIFS('AFA Rates'!$A$5:$A$1004,$A422,'AFA Rates'!$B$5:$B$1004,F$23,'AFA Rates'!$O$5:$O$1004,"&lt;&gt;Expired")&gt;0,"✓",IF(COUNTIFS('AFA Rates'!$A$5:$A$1004,$A422,'AFA Rates'!$B$5:$B$1004,F$23)&gt;0,"Exp","")))</f>
        <v/>
      </c>
      <c r="G422" s="79">
        <f>IF(OR($A422="",G$23=""),"",IF(COUNTIFS('AFA Rates'!$A$5:$A$1004,$A422,'AFA Rates'!$B$5:$B$1004,G$23,'AFA Rates'!$O$5:$O$1004,"&lt;&gt;Expired")&gt;0,"✓",IF(COUNTIFS('AFA Rates'!$A$5:$A$1004,$A422,'AFA Rates'!$B$5:$B$1004,G$23)&gt;0,"Exp","")))</f>
        <v/>
      </c>
      <c r="H422" s="79">
        <f>IF(OR($A422="",H$23=""),"",IF(COUNTIFS('AFA Rates'!$A$5:$A$1004,$A422,'AFA Rates'!$B$5:$B$1004,H$23,'AFA Rates'!$O$5:$O$1004,"&lt;&gt;Expired")&gt;0,"✓",IF(COUNTIFS('AFA Rates'!$A$5:$A$1004,$A422,'AFA Rates'!$B$5:$B$1004,H$23)&gt;0,"Exp","")))</f>
        <v/>
      </c>
      <c r="I422" s="79">
        <f>IF(OR($A422="",I$23=""),"",IF(COUNTIFS('AFA Rates'!$A$5:$A$1004,$A422,'AFA Rates'!$B$5:$B$1004,I$23,'AFA Rates'!$O$5:$O$1004,"&lt;&gt;Expired")&gt;0,"✓",IF(COUNTIFS('AFA Rates'!$A$5:$A$1004,$A422,'AFA Rates'!$B$5:$B$1004,I$23)&gt;0,"Exp","")))</f>
        <v/>
      </c>
      <c r="J422" s="79">
        <f>IF(OR($A422="",J$23=""),"",IF(COUNTIFS('AFA Rates'!$A$5:$A$1004,$A422,'AFA Rates'!$B$5:$B$1004,J$23,'AFA Rates'!$O$5:$O$1004,"&lt;&gt;Expired")&gt;0,"✓",IF(COUNTIFS('AFA Rates'!$A$5:$A$1004,$A422,'AFA Rates'!$B$5:$B$1004,J$23)&gt;0,"Exp","")))</f>
        <v/>
      </c>
      <c r="K422" s="79">
        <f>IF(OR($A422="",K$23=""),"",IF(COUNTIFS('AFA Rates'!$A$5:$A$1004,$A422,'AFA Rates'!$B$5:$B$1004,K$23,'AFA Rates'!$O$5:$O$1004,"&lt;&gt;Expired")&gt;0,"✓",IF(COUNTIFS('AFA Rates'!$A$5:$A$1004,$A422,'AFA Rates'!$B$5:$B$1004,K$23)&gt;0,"Exp","")))</f>
        <v/>
      </c>
      <c r="L422" s="79">
        <f>IF(OR($A422="",L$23=""),"",IF(COUNTIFS('AFA Rates'!$A$5:$A$1004,$A422,'AFA Rates'!$B$5:$B$1004,L$23,'AFA Rates'!$O$5:$O$1004,"&lt;&gt;Expired")&gt;0,"✓",IF(COUNTIFS('AFA Rates'!$A$5:$A$1004,$A422,'AFA Rates'!$B$5:$B$1004,L$23)&gt;0,"Exp","")))</f>
        <v/>
      </c>
      <c r="M422" s="79">
        <f>IF(OR($A422="",M$23=""),"",IF(COUNTIFS('AFA Rates'!$A$5:$A$1004,$A422,'AFA Rates'!$B$5:$B$1004,M$23,'AFA Rates'!$O$5:$O$1004,"&lt;&gt;Expired")&gt;0,"✓",IF(COUNTIFS('AFA Rates'!$A$5:$A$1004,$A422,'AFA Rates'!$B$5:$B$1004,M$23)&gt;0,"Exp","")))</f>
        <v/>
      </c>
    </row>
    <row r="423">
      <c r="A423" s="78">
        <f>IFERROR(INDEX(Firms!$A$5:$A$1004,MATCH(400,Firms!$V$5:$V$1004,0)),"")</f>
        <v/>
      </c>
      <c r="B423" s="79">
        <f>IF($A423="","",INDEX(Firms!$B$5:$B$1004,MATCH(400,Firms!$V$5:$V$1004,0)))</f>
        <v/>
      </c>
      <c r="C423" s="79">
        <f>IF($A423="","",COUNTIFS('AFA Rates'!$A$5:$A$1004,$A423,'AFA Rates'!$O$5:$O$1004,"&lt;&gt;Expired"))</f>
        <v/>
      </c>
      <c r="D423" s="79">
        <f>IF(OR($A423="",D$23=""),"",IF(COUNTIFS('AFA Rates'!$A$5:$A$1004,$A423,'AFA Rates'!$B$5:$B$1004,D$23,'AFA Rates'!$O$5:$O$1004,"&lt;&gt;Expired")&gt;0,"✓",IF(COUNTIFS('AFA Rates'!$A$5:$A$1004,$A423,'AFA Rates'!$B$5:$B$1004,D$23)&gt;0,"Exp","")))</f>
        <v/>
      </c>
      <c r="E423" s="79">
        <f>IF(OR($A423="",E$23=""),"",IF(COUNTIFS('AFA Rates'!$A$5:$A$1004,$A423,'AFA Rates'!$B$5:$B$1004,E$23,'AFA Rates'!$O$5:$O$1004,"&lt;&gt;Expired")&gt;0,"✓",IF(COUNTIFS('AFA Rates'!$A$5:$A$1004,$A423,'AFA Rates'!$B$5:$B$1004,E$23)&gt;0,"Exp","")))</f>
        <v/>
      </c>
      <c r="F423" s="79">
        <f>IF(OR($A423="",F$23=""),"",IF(COUNTIFS('AFA Rates'!$A$5:$A$1004,$A423,'AFA Rates'!$B$5:$B$1004,F$23,'AFA Rates'!$O$5:$O$1004,"&lt;&gt;Expired")&gt;0,"✓",IF(COUNTIFS('AFA Rates'!$A$5:$A$1004,$A423,'AFA Rates'!$B$5:$B$1004,F$23)&gt;0,"Exp","")))</f>
        <v/>
      </c>
      <c r="G423" s="79">
        <f>IF(OR($A423="",G$23=""),"",IF(COUNTIFS('AFA Rates'!$A$5:$A$1004,$A423,'AFA Rates'!$B$5:$B$1004,G$23,'AFA Rates'!$O$5:$O$1004,"&lt;&gt;Expired")&gt;0,"✓",IF(COUNTIFS('AFA Rates'!$A$5:$A$1004,$A423,'AFA Rates'!$B$5:$B$1004,G$23)&gt;0,"Exp","")))</f>
        <v/>
      </c>
      <c r="H423" s="79">
        <f>IF(OR($A423="",H$23=""),"",IF(COUNTIFS('AFA Rates'!$A$5:$A$1004,$A423,'AFA Rates'!$B$5:$B$1004,H$23,'AFA Rates'!$O$5:$O$1004,"&lt;&gt;Expired")&gt;0,"✓",IF(COUNTIFS('AFA Rates'!$A$5:$A$1004,$A423,'AFA Rates'!$B$5:$B$1004,H$23)&gt;0,"Exp","")))</f>
        <v/>
      </c>
      <c r="I423" s="79">
        <f>IF(OR($A423="",I$23=""),"",IF(COUNTIFS('AFA Rates'!$A$5:$A$1004,$A423,'AFA Rates'!$B$5:$B$1004,I$23,'AFA Rates'!$O$5:$O$1004,"&lt;&gt;Expired")&gt;0,"✓",IF(COUNTIFS('AFA Rates'!$A$5:$A$1004,$A423,'AFA Rates'!$B$5:$B$1004,I$23)&gt;0,"Exp","")))</f>
        <v/>
      </c>
      <c r="J423" s="79">
        <f>IF(OR($A423="",J$23=""),"",IF(COUNTIFS('AFA Rates'!$A$5:$A$1004,$A423,'AFA Rates'!$B$5:$B$1004,J$23,'AFA Rates'!$O$5:$O$1004,"&lt;&gt;Expired")&gt;0,"✓",IF(COUNTIFS('AFA Rates'!$A$5:$A$1004,$A423,'AFA Rates'!$B$5:$B$1004,J$23)&gt;0,"Exp","")))</f>
        <v/>
      </c>
      <c r="K423" s="79">
        <f>IF(OR($A423="",K$23=""),"",IF(COUNTIFS('AFA Rates'!$A$5:$A$1004,$A423,'AFA Rates'!$B$5:$B$1004,K$23,'AFA Rates'!$O$5:$O$1004,"&lt;&gt;Expired")&gt;0,"✓",IF(COUNTIFS('AFA Rates'!$A$5:$A$1004,$A423,'AFA Rates'!$B$5:$B$1004,K$23)&gt;0,"Exp","")))</f>
        <v/>
      </c>
      <c r="L423" s="79">
        <f>IF(OR($A423="",L$23=""),"",IF(COUNTIFS('AFA Rates'!$A$5:$A$1004,$A423,'AFA Rates'!$B$5:$B$1004,L$23,'AFA Rates'!$O$5:$O$1004,"&lt;&gt;Expired")&gt;0,"✓",IF(COUNTIFS('AFA Rates'!$A$5:$A$1004,$A423,'AFA Rates'!$B$5:$B$1004,L$23)&gt;0,"Exp","")))</f>
        <v/>
      </c>
      <c r="M423" s="79">
        <f>IF(OR($A423="",M$23=""),"",IF(COUNTIFS('AFA Rates'!$A$5:$A$1004,$A423,'AFA Rates'!$B$5:$B$1004,M$23,'AFA Rates'!$O$5:$O$1004,"&lt;&gt;Expired")&gt;0,"✓",IF(COUNTIFS('AFA Rates'!$A$5:$A$1004,$A423,'AFA Rates'!$B$5:$B$1004,M$23)&gt;0,"Exp","")))</f>
        <v/>
      </c>
    </row>
    <row r="424">
      <c r="A424" s="78">
        <f>IFERROR(INDEX(Firms!$A$5:$A$1004,MATCH(401,Firms!$V$5:$V$1004,0)),"")</f>
        <v/>
      </c>
      <c r="B424" s="79">
        <f>IF($A424="","",INDEX(Firms!$B$5:$B$1004,MATCH(401,Firms!$V$5:$V$1004,0)))</f>
        <v/>
      </c>
      <c r="C424" s="79">
        <f>IF($A424="","",COUNTIFS('AFA Rates'!$A$5:$A$1004,$A424,'AFA Rates'!$O$5:$O$1004,"&lt;&gt;Expired"))</f>
        <v/>
      </c>
      <c r="D424" s="79">
        <f>IF(OR($A424="",D$23=""),"",IF(COUNTIFS('AFA Rates'!$A$5:$A$1004,$A424,'AFA Rates'!$B$5:$B$1004,D$23,'AFA Rates'!$O$5:$O$1004,"&lt;&gt;Expired")&gt;0,"✓",IF(COUNTIFS('AFA Rates'!$A$5:$A$1004,$A424,'AFA Rates'!$B$5:$B$1004,D$23)&gt;0,"Exp","")))</f>
        <v/>
      </c>
      <c r="E424" s="79">
        <f>IF(OR($A424="",E$23=""),"",IF(COUNTIFS('AFA Rates'!$A$5:$A$1004,$A424,'AFA Rates'!$B$5:$B$1004,E$23,'AFA Rates'!$O$5:$O$1004,"&lt;&gt;Expired")&gt;0,"✓",IF(COUNTIFS('AFA Rates'!$A$5:$A$1004,$A424,'AFA Rates'!$B$5:$B$1004,E$23)&gt;0,"Exp","")))</f>
        <v/>
      </c>
      <c r="F424" s="79">
        <f>IF(OR($A424="",F$23=""),"",IF(COUNTIFS('AFA Rates'!$A$5:$A$1004,$A424,'AFA Rates'!$B$5:$B$1004,F$23,'AFA Rates'!$O$5:$O$1004,"&lt;&gt;Expired")&gt;0,"✓",IF(COUNTIFS('AFA Rates'!$A$5:$A$1004,$A424,'AFA Rates'!$B$5:$B$1004,F$23)&gt;0,"Exp","")))</f>
        <v/>
      </c>
      <c r="G424" s="79">
        <f>IF(OR($A424="",G$23=""),"",IF(COUNTIFS('AFA Rates'!$A$5:$A$1004,$A424,'AFA Rates'!$B$5:$B$1004,G$23,'AFA Rates'!$O$5:$O$1004,"&lt;&gt;Expired")&gt;0,"✓",IF(COUNTIFS('AFA Rates'!$A$5:$A$1004,$A424,'AFA Rates'!$B$5:$B$1004,G$23)&gt;0,"Exp","")))</f>
        <v/>
      </c>
      <c r="H424" s="79">
        <f>IF(OR($A424="",H$23=""),"",IF(COUNTIFS('AFA Rates'!$A$5:$A$1004,$A424,'AFA Rates'!$B$5:$B$1004,H$23,'AFA Rates'!$O$5:$O$1004,"&lt;&gt;Expired")&gt;0,"✓",IF(COUNTIFS('AFA Rates'!$A$5:$A$1004,$A424,'AFA Rates'!$B$5:$B$1004,H$23)&gt;0,"Exp","")))</f>
        <v/>
      </c>
      <c r="I424" s="79">
        <f>IF(OR($A424="",I$23=""),"",IF(COUNTIFS('AFA Rates'!$A$5:$A$1004,$A424,'AFA Rates'!$B$5:$B$1004,I$23,'AFA Rates'!$O$5:$O$1004,"&lt;&gt;Expired")&gt;0,"✓",IF(COUNTIFS('AFA Rates'!$A$5:$A$1004,$A424,'AFA Rates'!$B$5:$B$1004,I$23)&gt;0,"Exp","")))</f>
        <v/>
      </c>
      <c r="J424" s="79">
        <f>IF(OR($A424="",J$23=""),"",IF(COUNTIFS('AFA Rates'!$A$5:$A$1004,$A424,'AFA Rates'!$B$5:$B$1004,J$23,'AFA Rates'!$O$5:$O$1004,"&lt;&gt;Expired")&gt;0,"✓",IF(COUNTIFS('AFA Rates'!$A$5:$A$1004,$A424,'AFA Rates'!$B$5:$B$1004,J$23)&gt;0,"Exp","")))</f>
        <v/>
      </c>
      <c r="K424" s="79">
        <f>IF(OR($A424="",K$23=""),"",IF(COUNTIFS('AFA Rates'!$A$5:$A$1004,$A424,'AFA Rates'!$B$5:$B$1004,K$23,'AFA Rates'!$O$5:$O$1004,"&lt;&gt;Expired")&gt;0,"✓",IF(COUNTIFS('AFA Rates'!$A$5:$A$1004,$A424,'AFA Rates'!$B$5:$B$1004,K$23)&gt;0,"Exp","")))</f>
        <v/>
      </c>
      <c r="L424" s="79">
        <f>IF(OR($A424="",L$23=""),"",IF(COUNTIFS('AFA Rates'!$A$5:$A$1004,$A424,'AFA Rates'!$B$5:$B$1004,L$23,'AFA Rates'!$O$5:$O$1004,"&lt;&gt;Expired")&gt;0,"✓",IF(COUNTIFS('AFA Rates'!$A$5:$A$1004,$A424,'AFA Rates'!$B$5:$B$1004,L$23)&gt;0,"Exp","")))</f>
        <v/>
      </c>
      <c r="M424" s="79">
        <f>IF(OR($A424="",M$23=""),"",IF(COUNTIFS('AFA Rates'!$A$5:$A$1004,$A424,'AFA Rates'!$B$5:$B$1004,M$23,'AFA Rates'!$O$5:$O$1004,"&lt;&gt;Expired")&gt;0,"✓",IF(COUNTIFS('AFA Rates'!$A$5:$A$1004,$A424,'AFA Rates'!$B$5:$B$1004,M$23)&gt;0,"Exp","")))</f>
        <v/>
      </c>
    </row>
    <row r="425">
      <c r="A425" s="78">
        <f>IFERROR(INDEX(Firms!$A$5:$A$1004,MATCH(402,Firms!$V$5:$V$1004,0)),"")</f>
        <v/>
      </c>
      <c r="B425" s="79">
        <f>IF($A425="","",INDEX(Firms!$B$5:$B$1004,MATCH(402,Firms!$V$5:$V$1004,0)))</f>
        <v/>
      </c>
      <c r="C425" s="79">
        <f>IF($A425="","",COUNTIFS('AFA Rates'!$A$5:$A$1004,$A425,'AFA Rates'!$O$5:$O$1004,"&lt;&gt;Expired"))</f>
        <v/>
      </c>
      <c r="D425" s="79">
        <f>IF(OR($A425="",D$23=""),"",IF(COUNTIFS('AFA Rates'!$A$5:$A$1004,$A425,'AFA Rates'!$B$5:$B$1004,D$23,'AFA Rates'!$O$5:$O$1004,"&lt;&gt;Expired")&gt;0,"✓",IF(COUNTIFS('AFA Rates'!$A$5:$A$1004,$A425,'AFA Rates'!$B$5:$B$1004,D$23)&gt;0,"Exp","")))</f>
        <v/>
      </c>
      <c r="E425" s="79">
        <f>IF(OR($A425="",E$23=""),"",IF(COUNTIFS('AFA Rates'!$A$5:$A$1004,$A425,'AFA Rates'!$B$5:$B$1004,E$23,'AFA Rates'!$O$5:$O$1004,"&lt;&gt;Expired")&gt;0,"✓",IF(COUNTIFS('AFA Rates'!$A$5:$A$1004,$A425,'AFA Rates'!$B$5:$B$1004,E$23)&gt;0,"Exp","")))</f>
        <v/>
      </c>
      <c r="F425" s="79">
        <f>IF(OR($A425="",F$23=""),"",IF(COUNTIFS('AFA Rates'!$A$5:$A$1004,$A425,'AFA Rates'!$B$5:$B$1004,F$23,'AFA Rates'!$O$5:$O$1004,"&lt;&gt;Expired")&gt;0,"✓",IF(COUNTIFS('AFA Rates'!$A$5:$A$1004,$A425,'AFA Rates'!$B$5:$B$1004,F$23)&gt;0,"Exp","")))</f>
        <v/>
      </c>
      <c r="G425" s="79">
        <f>IF(OR($A425="",G$23=""),"",IF(COUNTIFS('AFA Rates'!$A$5:$A$1004,$A425,'AFA Rates'!$B$5:$B$1004,G$23,'AFA Rates'!$O$5:$O$1004,"&lt;&gt;Expired")&gt;0,"✓",IF(COUNTIFS('AFA Rates'!$A$5:$A$1004,$A425,'AFA Rates'!$B$5:$B$1004,G$23)&gt;0,"Exp","")))</f>
        <v/>
      </c>
      <c r="H425" s="79">
        <f>IF(OR($A425="",H$23=""),"",IF(COUNTIFS('AFA Rates'!$A$5:$A$1004,$A425,'AFA Rates'!$B$5:$B$1004,H$23,'AFA Rates'!$O$5:$O$1004,"&lt;&gt;Expired")&gt;0,"✓",IF(COUNTIFS('AFA Rates'!$A$5:$A$1004,$A425,'AFA Rates'!$B$5:$B$1004,H$23)&gt;0,"Exp","")))</f>
        <v/>
      </c>
      <c r="I425" s="79">
        <f>IF(OR($A425="",I$23=""),"",IF(COUNTIFS('AFA Rates'!$A$5:$A$1004,$A425,'AFA Rates'!$B$5:$B$1004,I$23,'AFA Rates'!$O$5:$O$1004,"&lt;&gt;Expired")&gt;0,"✓",IF(COUNTIFS('AFA Rates'!$A$5:$A$1004,$A425,'AFA Rates'!$B$5:$B$1004,I$23)&gt;0,"Exp","")))</f>
        <v/>
      </c>
      <c r="J425" s="79">
        <f>IF(OR($A425="",J$23=""),"",IF(COUNTIFS('AFA Rates'!$A$5:$A$1004,$A425,'AFA Rates'!$B$5:$B$1004,J$23,'AFA Rates'!$O$5:$O$1004,"&lt;&gt;Expired")&gt;0,"✓",IF(COUNTIFS('AFA Rates'!$A$5:$A$1004,$A425,'AFA Rates'!$B$5:$B$1004,J$23)&gt;0,"Exp","")))</f>
        <v/>
      </c>
      <c r="K425" s="79">
        <f>IF(OR($A425="",K$23=""),"",IF(COUNTIFS('AFA Rates'!$A$5:$A$1004,$A425,'AFA Rates'!$B$5:$B$1004,K$23,'AFA Rates'!$O$5:$O$1004,"&lt;&gt;Expired")&gt;0,"✓",IF(COUNTIFS('AFA Rates'!$A$5:$A$1004,$A425,'AFA Rates'!$B$5:$B$1004,K$23)&gt;0,"Exp","")))</f>
        <v/>
      </c>
      <c r="L425" s="79">
        <f>IF(OR($A425="",L$23=""),"",IF(COUNTIFS('AFA Rates'!$A$5:$A$1004,$A425,'AFA Rates'!$B$5:$B$1004,L$23,'AFA Rates'!$O$5:$O$1004,"&lt;&gt;Expired")&gt;0,"✓",IF(COUNTIFS('AFA Rates'!$A$5:$A$1004,$A425,'AFA Rates'!$B$5:$B$1004,L$23)&gt;0,"Exp","")))</f>
        <v/>
      </c>
      <c r="M425" s="79">
        <f>IF(OR($A425="",M$23=""),"",IF(COUNTIFS('AFA Rates'!$A$5:$A$1004,$A425,'AFA Rates'!$B$5:$B$1004,M$23,'AFA Rates'!$O$5:$O$1004,"&lt;&gt;Expired")&gt;0,"✓",IF(COUNTIFS('AFA Rates'!$A$5:$A$1004,$A425,'AFA Rates'!$B$5:$B$1004,M$23)&gt;0,"Exp","")))</f>
        <v/>
      </c>
    </row>
    <row r="426">
      <c r="A426" s="78">
        <f>IFERROR(INDEX(Firms!$A$5:$A$1004,MATCH(403,Firms!$V$5:$V$1004,0)),"")</f>
        <v/>
      </c>
      <c r="B426" s="79">
        <f>IF($A426="","",INDEX(Firms!$B$5:$B$1004,MATCH(403,Firms!$V$5:$V$1004,0)))</f>
        <v/>
      </c>
      <c r="C426" s="79">
        <f>IF($A426="","",COUNTIFS('AFA Rates'!$A$5:$A$1004,$A426,'AFA Rates'!$O$5:$O$1004,"&lt;&gt;Expired"))</f>
        <v/>
      </c>
      <c r="D426" s="79">
        <f>IF(OR($A426="",D$23=""),"",IF(COUNTIFS('AFA Rates'!$A$5:$A$1004,$A426,'AFA Rates'!$B$5:$B$1004,D$23,'AFA Rates'!$O$5:$O$1004,"&lt;&gt;Expired")&gt;0,"✓",IF(COUNTIFS('AFA Rates'!$A$5:$A$1004,$A426,'AFA Rates'!$B$5:$B$1004,D$23)&gt;0,"Exp","")))</f>
        <v/>
      </c>
      <c r="E426" s="79">
        <f>IF(OR($A426="",E$23=""),"",IF(COUNTIFS('AFA Rates'!$A$5:$A$1004,$A426,'AFA Rates'!$B$5:$B$1004,E$23,'AFA Rates'!$O$5:$O$1004,"&lt;&gt;Expired")&gt;0,"✓",IF(COUNTIFS('AFA Rates'!$A$5:$A$1004,$A426,'AFA Rates'!$B$5:$B$1004,E$23)&gt;0,"Exp","")))</f>
        <v/>
      </c>
      <c r="F426" s="79">
        <f>IF(OR($A426="",F$23=""),"",IF(COUNTIFS('AFA Rates'!$A$5:$A$1004,$A426,'AFA Rates'!$B$5:$B$1004,F$23,'AFA Rates'!$O$5:$O$1004,"&lt;&gt;Expired")&gt;0,"✓",IF(COUNTIFS('AFA Rates'!$A$5:$A$1004,$A426,'AFA Rates'!$B$5:$B$1004,F$23)&gt;0,"Exp","")))</f>
        <v/>
      </c>
      <c r="G426" s="79">
        <f>IF(OR($A426="",G$23=""),"",IF(COUNTIFS('AFA Rates'!$A$5:$A$1004,$A426,'AFA Rates'!$B$5:$B$1004,G$23,'AFA Rates'!$O$5:$O$1004,"&lt;&gt;Expired")&gt;0,"✓",IF(COUNTIFS('AFA Rates'!$A$5:$A$1004,$A426,'AFA Rates'!$B$5:$B$1004,G$23)&gt;0,"Exp","")))</f>
        <v/>
      </c>
      <c r="H426" s="79">
        <f>IF(OR($A426="",H$23=""),"",IF(COUNTIFS('AFA Rates'!$A$5:$A$1004,$A426,'AFA Rates'!$B$5:$B$1004,H$23,'AFA Rates'!$O$5:$O$1004,"&lt;&gt;Expired")&gt;0,"✓",IF(COUNTIFS('AFA Rates'!$A$5:$A$1004,$A426,'AFA Rates'!$B$5:$B$1004,H$23)&gt;0,"Exp","")))</f>
        <v/>
      </c>
      <c r="I426" s="79">
        <f>IF(OR($A426="",I$23=""),"",IF(COUNTIFS('AFA Rates'!$A$5:$A$1004,$A426,'AFA Rates'!$B$5:$B$1004,I$23,'AFA Rates'!$O$5:$O$1004,"&lt;&gt;Expired")&gt;0,"✓",IF(COUNTIFS('AFA Rates'!$A$5:$A$1004,$A426,'AFA Rates'!$B$5:$B$1004,I$23)&gt;0,"Exp","")))</f>
        <v/>
      </c>
      <c r="J426" s="79">
        <f>IF(OR($A426="",J$23=""),"",IF(COUNTIFS('AFA Rates'!$A$5:$A$1004,$A426,'AFA Rates'!$B$5:$B$1004,J$23,'AFA Rates'!$O$5:$O$1004,"&lt;&gt;Expired")&gt;0,"✓",IF(COUNTIFS('AFA Rates'!$A$5:$A$1004,$A426,'AFA Rates'!$B$5:$B$1004,J$23)&gt;0,"Exp","")))</f>
        <v/>
      </c>
      <c r="K426" s="79">
        <f>IF(OR($A426="",K$23=""),"",IF(COUNTIFS('AFA Rates'!$A$5:$A$1004,$A426,'AFA Rates'!$B$5:$B$1004,K$23,'AFA Rates'!$O$5:$O$1004,"&lt;&gt;Expired")&gt;0,"✓",IF(COUNTIFS('AFA Rates'!$A$5:$A$1004,$A426,'AFA Rates'!$B$5:$B$1004,K$23)&gt;0,"Exp","")))</f>
        <v/>
      </c>
      <c r="L426" s="79">
        <f>IF(OR($A426="",L$23=""),"",IF(COUNTIFS('AFA Rates'!$A$5:$A$1004,$A426,'AFA Rates'!$B$5:$B$1004,L$23,'AFA Rates'!$O$5:$O$1004,"&lt;&gt;Expired")&gt;0,"✓",IF(COUNTIFS('AFA Rates'!$A$5:$A$1004,$A426,'AFA Rates'!$B$5:$B$1004,L$23)&gt;0,"Exp","")))</f>
        <v/>
      </c>
      <c r="M426" s="79">
        <f>IF(OR($A426="",M$23=""),"",IF(COUNTIFS('AFA Rates'!$A$5:$A$1004,$A426,'AFA Rates'!$B$5:$B$1004,M$23,'AFA Rates'!$O$5:$O$1004,"&lt;&gt;Expired")&gt;0,"✓",IF(COUNTIFS('AFA Rates'!$A$5:$A$1004,$A426,'AFA Rates'!$B$5:$B$1004,M$23)&gt;0,"Exp","")))</f>
        <v/>
      </c>
    </row>
    <row r="427">
      <c r="A427" s="78">
        <f>IFERROR(INDEX(Firms!$A$5:$A$1004,MATCH(404,Firms!$V$5:$V$1004,0)),"")</f>
        <v/>
      </c>
      <c r="B427" s="79">
        <f>IF($A427="","",INDEX(Firms!$B$5:$B$1004,MATCH(404,Firms!$V$5:$V$1004,0)))</f>
        <v/>
      </c>
      <c r="C427" s="79">
        <f>IF($A427="","",COUNTIFS('AFA Rates'!$A$5:$A$1004,$A427,'AFA Rates'!$O$5:$O$1004,"&lt;&gt;Expired"))</f>
        <v/>
      </c>
      <c r="D427" s="79">
        <f>IF(OR($A427="",D$23=""),"",IF(COUNTIFS('AFA Rates'!$A$5:$A$1004,$A427,'AFA Rates'!$B$5:$B$1004,D$23,'AFA Rates'!$O$5:$O$1004,"&lt;&gt;Expired")&gt;0,"✓",IF(COUNTIFS('AFA Rates'!$A$5:$A$1004,$A427,'AFA Rates'!$B$5:$B$1004,D$23)&gt;0,"Exp","")))</f>
        <v/>
      </c>
      <c r="E427" s="79">
        <f>IF(OR($A427="",E$23=""),"",IF(COUNTIFS('AFA Rates'!$A$5:$A$1004,$A427,'AFA Rates'!$B$5:$B$1004,E$23,'AFA Rates'!$O$5:$O$1004,"&lt;&gt;Expired")&gt;0,"✓",IF(COUNTIFS('AFA Rates'!$A$5:$A$1004,$A427,'AFA Rates'!$B$5:$B$1004,E$23)&gt;0,"Exp","")))</f>
        <v/>
      </c>
      <c r="F427" s="79">
        <f>IF(OR($A427="",F$23=""),"",IF(COUNTIFS('AFA Rates'!$A$5:$A$1004,$A427,'AFA Rates'!$B$5:$B$1004,F$23,'AFA Rates'!$O$5:$O$1004,"&lt;&gt;Expired")&gt;0,"✓",IF(COUNTIFS('AFA Rates'!$A$5:$A$1004,$A427,'AFA Rates'!$B$5:$B$1004,F$23)&gt;0,"Exp","")))</f>
        <v/>
      </c>
      <c r="G427" s="79">
        <f>IF(OR($A427="",G$23=""),"",IF(COUNTIFS('AFA Rates'!$A$5:$A$1004,$A427,'AFA Rates'!$B$5:$B$1004,G$23,'AFA Rates'!$O$5:$O$1004,"&lt;&gt;Expired")&gt;0,"✓",IF(COUNTIFS('AFA Rates'!$A$5:$A$1004,$A427,'AFA Rates'!$B$5:$B$1004,G$23)&gt;0,"Exp","")))</f>
        <v/>
      </c>
      <c r="H427" s="79">
        <f>IF(OR($A427="",H$23=""),"",IF(COUNTIFS('AFA Rates'!$A$5:$A$1004,$A427,'AFA Rates'!$B$5:$B$1004,H$23,'AFA Rates'!$O$5:$O$1004,"&lt;&gt;Expired")&gt;0,"✓",IF(COUNTIFS('AFA Rates'!$A$5:$A$1004,$A427,'AFA Rates'!$B$5:$B$1004,H$23)&gt;0,"Exp","")))</f>
        <v/>
      </c>
      <c r="I427" s="79">
        <f>IF(OR($A427="",I$23=""),"",IF(COUNTIFS('AFA Rates'!$A$5:$A$1004,$A427,'AFA Rates'!$B$5:$B$1004,I$23,'AFA Rates'!$O$5:$O$1004,"&lt;&gt;Expired")&gt;0,"✓",IF(COUNTIFS('AFA Rates'!$A$5:$A$1004,$A427,'AFA Rates'!$B$5:$B$1004,I$23)&gt;0,"Exp","")))</f>
        <v/>
      </c>
      <c r="J427" s="79">
        <f>IF(OR($A427="",J$23=""),"",IF(COUNTIFS('AFA Rates'!$A$5:$A$1004,$A427,'AFA Rates'!$B$5:$B$1004,J$23,'AFA Rates'!$O$5:$O$1004,"&lt;&gt;Expired")&gt;0,"✓",IF(COUNTIFS('AFA Rates'!$A$5:$A$1004,$A427,'AFA Rates'!$B$5:$B$1004,J$23)&gt;0,"Exp","")))</f>
        <v/>
      </c>
      <c r="K427" s="79">
        <f>IF(OR($A427="",K$23=""),"",IF(COUNTIFS('AFA Rates'!$A$5:$A$1004,$A427,'AFA Rates'!$B$5:$B$1004,K$23,'AFA Rates'!$O$5:$O$1004,"&lt;&gt;Expired")&gt;0,"✓",IF(COUNTIFS('AFA Rates'!$A$5:$A$1004,$A427,'AFA Rates'!$B$5:$B$1004,K$23)&gt;0,"Exp","")))</f>
        <v/>
      </c>
      <c r="L427" s="79">
        <f>IF(OR($A427="",L$23=""),"",IF(COUNTIFS('AFA Rates'!$A$5:$A$1004,$A427,'AFA Rates'!$B$5:$B$1004,L$23,'AFA Rates'!$O$5:$O$1004,"&lt;&gt;Expired")&gt;0,"✓",IF(COUNTIFS('AFA Rates'!$A$5:$A$1004,$A427,'AFA Rates'!$B$5:$B$1004,L$23)&gt;0,"Exp","")))</f>
        <v/>
      </c>
      <c r="M427" s="79">
        <f>IF(OR($A427="",M$23=""),"",IF(COUNTIFS('AFA Rates'!$A$5:$A$1004,$A427,'AFA Rates'!$B$5:$B$1004,M$23,'AFA Rates'!$O$5:$O$1004,"&lt;&gt;Expired")&gt;0,"✓",IF(COUNTIFS('AFA Rates'!$A$5:$A$1004,$A427,'AFA Rates'!$B$5:$B$1004,M$23)&gt;0,"Exp","")))</f>
        <v/>
      </c>
    </row>
    <row r="428">
      <c r="A428" s="78">
        <f>IFERROR(INDEX(Firms!$A$5:$A$1004,MATCH(405,Firms!$V$5:$V$1004,0)),"")</f>
        <v/>
      </c>
      <c r="B428" s="79">
        <f>IF($A428="","",INDEX(Firms!$B$5:$B$1004,MATCH(405,Firms!$V$5:$V$1004,0)))</f>
        <v/>
      </c>
      <c r="C428" s="79">
        <f>IF($A428="","",COUNTIFS('AFA Rates'!$A$5:$A$1004,$A428,'AFA Rates'!$O$5:$O$1004,"&lt;&gt;Expired"))</f>
        <v/>
      </c>
      <c r="D428" s="79">
        <f>IF(OR($A428="",D$23=""),"",IF(COUNTIFS('AFA Rates'!$A$5:$A$1004,$A428,'AFA Rates'!$B$5:$B$1004,D$23,'AFA Rates'!$O$5:$O$1004,"&lt;&gt;Expired")&gt;0,"✓",IF(COUNTIFS('AFA Rates'!$A$5:$A$1004,$A428,'AFA Rates'!$B$5:$B$1004,D$23)&gt;0,"Exp","")))</f>
        <v/>
      </c>
      <c r="E428" s="79">
        <f>IF(OR($A428="",E$23=""),"",IF(COUNTIFS('AFA Rates'!$A$5:$A$1004,$A428,'AFA Rates'!$B$5:$B$1004,E$23,'AFA Rates'!$O$5:$O$1004,"&lt;&gt;Expired")&gt;0,"✓",IF(COUNTIFS('AFA Rates'!$A$5:$A$1004,$A428,'AFA Rates'!$B$5:$B$1004,E$23)&gt;0,"Exp","")))</f>
        <v/>
      </c>
      <c r="F428" s="79">
        <f>IF(OR($A428="",F$23=""),"",IF(COUNTIFS('AFA Rates'!$A$5:$A$1004,$A428,'AFA Rates'!$B$5:$B$1004,F$23,'AFA Rates'!$O$5:$O$1004,"&lt;&gt;Expired")&gt;0,"✓",IF(COUNTIFS('AFA Rates'!$A$5:$A$1004,$A428,'AFA Rates'!$B$5:$B$1004,F$23)&gt;0,"Exp","")))</f>
        <v/>
      </c>
      <c r="G428" s="79">
        <f>IF(OR($A428="",G$23=""),"",IF(COUNTIFS('AFA Rates'!$A$5:$A$1004,$A428,'AFA Rates'!$B$5:$B$1004,G$23,'AFA Rates'!$O$5:$O$1004,"&lt;&gt;Expired")&gt;0,"✓",IF(COUNTIFS('AFA Rates'!$A$5:$A$1004,$A428,'AFA Rates'!$B$5:$B$1004,G$23)&gt;0,"Exp","")))</f>
        <v/>
      </c>
      <c r="H428" s="79">
        <f>IF(OR($A428="",H$23=""),"",IF(COUNTIFS('AFA Rates'!$A$5:$A$1004,$A428,'AFA Rates'!$B$5:$B$1004,H$23,'AFA Rates'!$O$5:$O$1004,"&lt;&gt;Expired")&gt;0,"✓",IF(COUNTIFS('AFA Rates'!$A$5:$A$1004,$A428,'AFA Rates'!$B$5:$B$1004,H$23)&gt;0,"Exp","")))</f>
        <v/>
      </c>
      <c r="I428" s="79">
        <f>IF(OR($A428="",I$23=""),"",IF(COUNTIFS('AFA Rates'!$A$5:$A$1004,$A428,'AFA Rates'!$B$5:$B$1004,I$23,'AFA Rates'!$O$5:$O$1004,"&lt;&gt;Expired")&gt;0,"✓",IF(COUNTIFS('AFA Rates'!$A$5:$A$1004,$A428,'AFA Rates'!$B$5:$B$1004,I$23)&gt;0,"Exp","")))</f>
        <v/>
      </c>
      <c r="J428" s="79">
        <f>IF(OR($A428="",J$23=""),"",IF(COUNTIFS('AFA Rates'!$A$5:$A$1004,$A428,'AFA Rates'!$B$5:$B$1004,J$23,'AFA Rates'!$O$5:$O$1004,"&lt;&gt;Expired")&gt;0,"✓",IF(COUNTIFS('AFA Rates'!$A$5:$A$1004,$A428,'AFA Rates'!$B$5:$B$1004,J$23)&gt;0,"Exp","")))</f>
        <v/>
      </c>
      <c r="K428" s="79">
        <f>IF(OR($A428="",K$23=""),"",IF(COUNTIFS('AFA Rates'!$A$5:$A$1004,$A428,'AFA Rates'!$B$5:$B$1004,K$23,'AFA Rates'!$O$5:$O$1004,"&lt;&gt;Expired")&gt;0,"✓",IF(COUNTIFS('AFA Rates'!$A$5:$A$1004,$A428,'AFA Rates'!$B$5:$B$1004,K$23)&gt;0,"Exp","")))</f>
        <v/>
      </c>
      <c r="L428" s="79">
        <f>IF(OR($A428="",L$23=""),"",IF(COUNTIFS('AFA Rates'!$A$5:$A$1004,$A428,'AFA Rates'!$B$5:$B$1004,L$23,'AFA Rates'!$O$5:$O$1004,"&lt;&gt;Expired")&gt;0,"✓",IF(COUNTIFS('AFA Rates'!$A$5:$A$1004,$A428,'AFA Rates'!$B$5:$B$1004,L$23)&gt;0,"Exp","")))</f>
        <v/>
      </c>
      <c r="M428" s="79">
        <f>IF(OR($A428="",M$23=""),"",IF(COUNTIFS('AFA Rates'!$A$5:$A$1004,$A428,'AFA Rates'!$B$5:$B$1004,M$23,'AFA Rates'!$O$5:$O$1004,"&lt;&gt;Expired")&gt;0,"✓",IF(COUNTIFS('AFA Rates'!$A$5:$A$1004,$A428,'AFA Rates'!$B$5:$B$1004,M$23)&gt;0,"Exp","")))</f>
        <v/>
      </c>
    </row>
    <row r="429">
      <c r="A429" s="78">
        <f>IFERROR(INDEX(Firms!$A$5:$A$1004,MATCH(406,Firms!$V$5:$V$1004,0)),"")</f>
        <v/>
      </c>
      <c r="B429" s="79">
        <f>IF($A429="","",INDEX(Firms!$B$5:$B$1004,MATCH(406,Firms!$V$5:$V$1004,0)))</f>
        <v/>
      </c>
      <c r="C429" s="79">
        <f>IF($A429="","",COUNTIFS('AFA Rates'!$A$5:$A$1004,$A429,'AFA Rates'!$O$5:$O$1004,"&lt;&gt;Expired"))</f>
        <v/>
      </c>
      <c r="D429" s="79">
        <f>IF(OR($A429="",D$23=""),"",IF(COUNTIFS('AFA Rates'!$A$5:$A$1004,$A429,'AFA Rates'!$B$5:$B$1004,D$23,'AFA Rates'!$O$5:$O$1004,"&lt;&gt;Expired")&gt;0,"✓",IF(COUNTIFS('AFA Rates'!$A$5:$A$1004,$A429,'AFA Rates'!$B$5:$B$1004,D$23)&gt;0,"Exp","")))</f>
        <v/>
      </c>
      <c r="E429" s="79">
        <f>IF(OR($A429="",E$23=""),"",IF(COUNTIFS('AFA Rates'!$A$5:$A$1004,$A429,'AFA Rates'!$B$5:$B$1004,E$23,'AFA Rates'!$O$5:$O$1004,"&lt;&gt;Expired")&gt;0,"✓",IF(COUNTIFS('AFA Rates'!$A$5:$A$1004,$A429,'AFA Rates'!$B$5:$B$1004,E$23)&gt;0,"Exp","")))</f>
        <v/>
      </c>
      <c r="F429" s="79">
        <f>IF(OR($A429="",F$23=""),"",IF(COUNTIFS('AFA Rates'!$A$5:$A$1004,$A429,'AFA Rates'!$B$5:$B$1004,F$23,'AFA Rates'!$O$5:$O$1004,"&lt;&gt;Expired")&gt;0,"✓",IF(COUNTIFS('AFA Rates'!$A$5:$A$1004,$A429,'AFA Rates'!$B$5:$B$1004,F$23)&gt;0,"Exp","")))</f>
        <v/>
      </c>
      <c r="G429" s="79">
        <f>IF(OR($A429="",G$23=""),"",IF(COUNTIFS('AFA Rates'!$A$5:$A$1004,$A429,'AFA Rates'!$B$5:$B$1004,G$23,'AFA Rates'!$O$5:$O$1004,"&lt;&gt;Expired")&gt;0,"✓",IF(COUNTIFS('AFA Rates'!$A$5:$A$1004,$A429,'AFA Rates'!$B$5:$B$1004,G$23)&gt;0,"Exp","")))</f>
        <v/>
      </c>
      <c r="H429" s="79">
        <f>IF(OR($A429="",H$23=""),"",IF(COUNTIFS('AFA Rates'!$A$5:$A$1004,$A429,'AFA Rates'!$B$5:$B$1004,H$23,'AFA Rates'!$O$5:$O$1004,"&lt;&gt;Expired")&gt;0,"✓",IF(COUNTIFS('AFA Rates'!$A$5:$A$1004,$A429,'AFA Rates'!$B$5:$B$1004,H$23)&gt;0,"Exp","")))</f>
        <v/>
      </c>
      <c r="I429" s="79">
        <f>IF(OR($A429="",I$23=""),"",IF(COUNTIFS('AFA Rates'!$A$5:$A$1004,$A429,'AFA Rates'!$B$5:$B$1004,I$23,'AFA Rates'!$O$5:$O$1004,"&lt;&gt;Expired")&gt;0,"✓",IF(COUNTIFS('AFA Rates'!$A$5:$A$1004,$A429,'AFA Rates'!$B$5:$B$1004,I$23)&gt;0,"Exp","")))</f>
        <v/>
      </c>
      <c r="J429" s="79">
        <f>IF(OR($A429="",J$23=""),"",IF(COUNTIFS('AFA Rates'!$A$5:$A$1004,$A429,'AFA Rates'!$B$5:$B$1004,J$23,'AFA Rates'!$O$5:$O$1004,"&lt;&gt;Expired")&gt;0,"✓",IF(COUNTIFS('AFA Rates'!$A$5:$A$1004,$A429,'AFA Rates'!$B$5:$B$1004,J$23)&gt;0,"Exp","")))</f>
        <v/>
      </c>
      <c r="K429" s="79">
        <f>IF(OR($A429="",K$23=""),"",IF(COUNTIFS('AFA Rates'!$A$5:$A$1004,$A429,'AFA Rates'!$B$5:$B$1004,K$23,'AFA Rates'!$O$5:$O$1004,"&lt;&gt;Expired")&gt;0,"✓",IF(COUNTIFS('AFA Rates'!$A$5:$A$1004,$A429,'AFA Rates'!$B$5:$B$1004,K$23)&gt;0,"Exp","")))</f>
        <v/>
      </c>
      <c r="L429" s="79">
        <f>IF(OR($A429="",L$23=""),"",IF(COUNTIFS('AFA Rates'!$A$5:$A$1004,$A429,'AFA Rates'!$B$5:$B$1004,L$23,'AFA Rates'!$O$5:$O$1004,"&lt;&gt;Expired")&gt;0,"✓",IF(COUNTIFS('AFA Rates'!$A$5:$A$1004,$A429,'AFA Rates'!$B$5:$B$1004,L$23)&gt;0,"Exp","")))</f>
        <v/>
      </c>
      <c r="M429" s="79">
        <f>IF(OR($A429="",M$23=""),"",IF(COUNTIFS('AFA Rates'!$A$5:$A$1004,$A429,'AFA Rates'!$B$5:$B$1004,M$23,'AFA Rates'!$O$5:$O$1004,"&lt;&gt;Expired")&gt;0,"✓",IF(COUNTIFS('AFA Rates'!$A$5:$A$1004,$A429,'AFA Rates'!$B$5:$B$1004,M$23)&gt;0,"Exp","")))</f>
        <v/>
      </c>
    </row>
    <row r="430">
      <c r="A430" s="78">
        <f>IFERROR(INDEX(Firms!$A$5:$A$1004,MATCH(407,Firms!$V$5:$V$1004,0)),"")</f>
        <v/>
      </c>
      <c r="B430" s="79">
        <f>IF($A430="","",INDEX(Firms!$B$5:$B$1004,MATCH(407,Firms!$V$5:$V$1004,0)))</f>
        <v/>
      </c>
      <c r="C430" s="79">
        <f>IF($A430="","",COUNTIFS('AFA Rates'!$A$5:$A$1004,$A430,'AFA Rates'!$O$5:$O$1004,"&lt;&gt;Expired"))</f>
        <v/>
      </c>
      <c r="D430" s="79">
        <f>IF(OR($A430="",D$23=""),"",IF(COUNTIFS('AFA Rates'!$A$5:$A$1004,$A430,'AFA Rates'!$B$5:$B$1004,D$23,'AFA Rates'!$O$5:$O$1004,"&lt;&gt;Expired")&gt;0,"✓",IF(COUNTIFS('AFA Rates'!$A$5:$A$1004,$A430,'AFA Rates'!$B$5:$B$1004,D$23)&gt;0,"Exp","")))</f>
        <v/>
      </c>
      <c r="E430" s="79">
        <f>IF(OR($A430="",E$23=""),"",IF(COUNTIFS('AFA Rates'!$A$5:$A$1004,$A430,'AFA Rates'!$B$5:$B$1004,E$23,'AFA Rates'!$O$5:$O$1004,"&lt;&gt;Expired")&gt;0,"✓",IF(COUNTIFS('AFA Rates'!$A$5:$A$1004,$A430,'AFA Rates'!$B$5:$B$1004,E$23)&gt;0,"Exp","")))</f>
        <v/>
      </c>
      <c r="F430" s="79">
        <f>IF(OR($A430="",F$23=""),"",IF(COUNTIFS('AFA Rates'!$A$5:$A$1004,$A430,'AFA Rates'!$B$5:$B$1004,F$23,'AFA Rates'!$O$5:$O$1004,"&lt;&gt;Expired")&gt;0,"✓",IF(COUNTIFS('AFA Rates'!$A$5:$A$1004,$A430,'AFA Rates'!$B$5:$B$1004,F$23)&gt;0,"Exp","")))</f>
        <v/>
      </c>
      <c r="G430" s="79">
        <f>IF(OR($A430="",G$23=""),"",IF(COUNTIFS('AFA Rates'!$A$5:$A$1004,$A430,'AFA Rates'!$B$5:$B$1004,G$23,'AFA Rates'!$O$5:$O$1004,"&lt;&gt;Expired")&gt;0,"✓",IF(COUNTIFS('AFA Rates'!$A$5:$A$1004,$A430,'AFA Rates'!$B$5:$B$1004,G$23)&gt;0,"Exp","")))</f>
        <v/>
      </c>
      <c r="H430" s="79">
        <f>IF(OR($A430="",H$23=""),"",IF(COUNTIFS('AFA Rates'!$A$5:$A$1004,$A430,'AFA Rates'!$B$5:$B$1004,H$23,'AFA Rates'!$O$5:$O$1004,"&lt;&gt;Expired")&gt;0,"✓",IF(COUNTIFS('AFA Rates'!$A$5:$A$1004,$A430,'AFA Rates'!$B$5:$B$1004,H$23)&gt;0,"Exp","")))</f>
        <v/>
      </c>
      <c r="I430" s="79">
        <f>IF(OR($A430="",I$23=""),"",IF(COUNTIFS('AFA Rates'!$A$5:$A$1004,$A430,'AFA Rates'!$B$5:$B$1004,I$23,'AFA Rates'!$O$5:$O$1004,"&lt;&gt;Expired")&gt;0,"✓",IF(COUNTIFS('AFA Rates'!$A$5:$A$1004,$A430,'AFA Rates'!$B$5:$B$1004,I$23)&gt;0,"Exp","")))</f>
        <v/>
      </c>
      <c r="J430" s="79">
        <f>IF(OR($A430="",J$23=""),"",IF(COUNTIFS('AFA Rates'!$A$5:$A$1004,$A430,'AFA Rates'!$B$5:$B$1004,J$23,'AFA Rates'!$O$5:$O$1004,"&lt;&gt;Expired")&gt;0,"✓",IF(COUNTIFS('AFA Rates'!$A$5:$A$1004,$A430,'AFA Rates'!$B$5:$B$1004,J$23)&gt;0,"Exp","")))</f>
        <v/>
      </c>
      <c r="K430" s="79">
        <f>IF(OR($A430="",K$23=""),"",IF(COUNTIFS('AFA Rates'!$A$5:$A$1004,$A430,'AFA Rates'!$B$5:$B$1004,K$23,'AFA Rates'!$O$5:$O$1004,"&lt;&gt;Expired")&gt;0,"✓",IF(COUNTIFS('AFA Rates'!$A$5:$A$1004,$A430,'AFA Rates'!$B$5:$B$1004,K$23)&gt;0,"Exp","")))</f>
        <v/>
      </c>
      <c r="L430" s="79">
        <f>IF(OR($A430="",L$23=""),"",IF(COUNTIFS('AFA Rates'!$A$5:$A$1004,$A430,'AFA Rates'!$B$5:$B$1004,L$23,'AFA Rates'!$O$5:$O$1004,"&lt;&gt;Expired")&gt;0,"✓",IF(COUNTIFS('AFA Rates'!$A$5:$A$1004,$A430,'AFA Rates'!$B$5:$B$1004,L$23)&gt;0,"Exp","")))</f>
        <v/>
      </c>
      <c r="M430" s="79">
        <f>IF(OR($A430="",M$23=""),"",IF(COUNTIFS('AFA Rates'!$A$5:$A$1004,$A430,'AFA Rates'!$B$5:$B$1004,M$23,'AFA Rates'!$O$5:$O$1004,"&lt;&gt;Expired")&gt;0,"✓",IF(COUNTIFS('AFA Rates'!$A$5:$A$1004,$A430,'AFA Rates'!$B$5:$B$1004,M$23)&gt;0,"Exp","")))</f>
        <v/>
      </c>
    </row>
    <row r="431">
      <c r="A431" s="78">
        <f>IFERROR(INDEX(Firms!$A$5:$A$1004,MATCH(408,Firms!$V$5:$V$1004,0)),"")</f>
        <v/>
      </c>
      <c r="B431" s="79">
        <f>IF($A431="","",INDEX(Firms!$B$5:$B$1004,MATCH(408,Firms!$V$5:$V$1004,0)))</f>
        <v/>
      </c>
      <c r="C431" s="79">
        <f>IF($A431="","",COUNTIFS('AFA Rates'!$A$5:$A$1004,$A431,'AFA Rates'!$O$5:$O$1004,"&lt;&gt;Expired"))</f>
        <v/>
      </c>
      <c r="D431" s="79">
        <f>IF(OR($A431="",D$23=""),"",IF(COUNTIFS('AFA Rates'!$A$5:$A$1004,$A431,'AFA Rates'!$B$5:$B$1004,D$23,'AFA Rates'!$O$5:$O$1004,"&lt;&gt;Expired")&gt;0,"✓",IF(COUNTIFS('AFA Rates'!$A$5:$A$1004,$A431,'AFA Rates'!$B$5:$B$1004,D$23)&gt;0,"Exp","")))</f>
        <v/>
      </c>
      <c r="E431" s="79">
        <f>IF(OR($A431="",E$23=""),"",IF(COUNTIFS('AFA Rates'!$A$5:$A$1004,$A431,'AFA Rates'!$B$5:$B$1004,E$23,'AFA Rates'!$O$5:$O$1004,"&lt;&gt;Expired")&gt;0,"✓",IF(COUNTIFS('AFA Rates'!$A$5:$A$1004,$A431,'AFA Rates'!$B$5:$B$1004,E$23)&gt;0,"Exp","")))</f>
        <v/>
      </c>
      <c r="F431" s="79">
        <f>IF(OR($A431="",F$23=""),"",IF(COUNTIFS('AFA Rates'!$A$5:$A$1004,$A431,'AFA Rates'!$B$5:$B$1004,F$23,'AFA Rates'!$O$5:$O$1004,"&lt;&gt;Expired")&gt;0,"✓",IF(COUNTIFS('AFA Rates'!$A$5:$A$1004,$A431,'AFA Rates'!$B$5:$B$1004,F$23)&gt;0,"Exp","")))</f>
        <v/>
      </c>
      <c r="G431" s="79">
        <f>IF(OR($A431="",G$23=""),"",IF(COUNTIFS('AFA Rates'!$A$5:$A$1004,$A431,'AFA Rates'!$B$5:$B$1004,G$23,'AFA Rates'!$O$5:$O$1004,"&lt;&gt;Expired")&gt;0,"✓",IF(COUNTIFS('AFA Rates'!$A$5:$A$1004,$A431,'AFA Rates'!$B$5:$B$1004,G$23)&gt;0,"Exp","")))</f>
        <v/>
      </c>
      <c r="H431" s="79">
        <f>IF(OR($A431="",H$23=""),"",IF(COUNTIFS('AFA Rates'!$A$5:$A$1004,$A431,'AFA Rates'!$B$5:$B$1004,H$23,'AFA Rates'!$O$5:$O$1004,"&lt;&gt;Expired")&gt;0,"✓",IF(COUNTIFS('AFA Rates'!$A$5:$A$1004,$A431,'AFA Rates'!$B$5:$B$1004,H$23)&gt;0,"Exp","")))</f>
        <v/>
      </c>
      <c r="I431" s="79">
        <f>IF(OR($A431="",I$23=""),"",IF(COUNTIFS('AFA Rates'!$A$5:$A$1004,$A431,'AFA Rates'!$B$5:$B$1004,I$23,'AFA Rates'!$O$5:$O$1004,"&lt;&gt;Expired")&gt;0,"✓",IF(COUNTIFS('AFA Rates'!$A$5:$A$1004,$A431,'AFA Rates'!$B$5:$B$1004,I$23)&gt;0,"Exp","")))</f>
        <v/>
      </c>
      <c r="J431" s="79">
        <f>IF(OR($A431="",J$23=""),"",IF(COUNTIFS('AFA Rates'!$A$5:$A$1004,$A431,'AFA Rates'!$B$5:$B$1004,J$23,'AFA Rates'!$O$5:$O$1004,"&lt;&gt;Expired")&gt;0,"✓",IF(COUNTIFS('AFA Rates'!$A$5:$A$1004,$A431,'AFA Rates'!$B$5:$B$1004,J$23)&gt;0,"Exp","")))</f>
        <v/>
      </c>
      <c r="K431" s="79">
        <f>IF(OR($A431="",K$23=""),"",IF(COUNTIFS('AFA Rates'!$A$5:$A$1004,$A431,'AFA Rates'!$B$5:$B$1004,K$23,'AFA Rates'!$O$5:$O$1004,"&lt;&gt;Expired")&gt;0,"✓",IF(COUNTIFS('AFA Rates'!$A$5:$A$1004,$A431,'AFA Rates'!$B$5:$B$1004,K$23)&gt;0,"Exp","")))</f>
        <v/>
      </c>
      <c r="L431" s="79">
        <f>IF(OR($A431="",L$23=""),"",IF(COUNTIFS('AFA Rates'!$A$5:$A$1004,$A431,'AFA Rates'!$B$5:$B$1004,L$23,'AFA Rates'!$O$5:$O$1004,"&lt;&gt;Expired")&gt;0,"✓",IF(COUNTIFS('AFA Rates'!$A$5:$A$1004,$A431,'AFA Rates'!$B$5:$B$1004,L$23)&gt;0,"Exp","")))</f>
        <v/>
      </c>
      <c r="M431" s="79">
        <f>IF(OR($A431="",M$23=""),"",IF(COUNTIFS('AFA Rates'!$A$5:$A$1004,$A431,'AFA Rates'!$B$5:$B$1004,M$23,'AFA Rates'!$O$5:$O$1004,"&lt;&gt;Expired")&gt;0,"✓",IF(COUNTIFS('AFA Rates'!$A$5:$A$1004,$A431,'AFA Rates'!$B$5:$B$1004,M$23)&gt;0,"Exp","")))</f>
        <v/>
      </c>
    </row>
    <row r="432">
      <c r="A432" s="78">
        <f>IFERROR(INDEX(Firms!$A$5:$A$1004,MATCH(409,Firms!$V$5:$V$1004,0)),"")</f>
        <v/>
      </c>
      <c r="B432" s="79">
        <f>IF($A432="","",INDEX(Firms!$B$5:$B$1004,MATCH(409,Firms!$V$5:$V$1004,0)))</f>
        <v/>
      </c>
      <c r="C432" s="79">
        <f>IF($A432="","",COUNTIFS('AFA Rates'!$A$5:$A$1004,$A432,'AFA Rates'!$O$5:$O$1004,"&lt;&gt;Expired"))</f>
        <v/>
      </c>
      <c r="D432" s="79">
        <f>IF(OR($A432="",D$23=""),"",IF(COUNTIFS('AFA Rates'!$A$5:$A$1004,$A432,'AFA Rates'!$B$5:$B$1004,D$23,'AFA Rates'!$O$5:$O$1004,"&lt;&gt;Expired")&gt;0,"✓",IF(COUNTIFS('AFA Rates'!$A$5:$A$1004,$A432,'AFA Rates'!$B$5:$B$1004,D$23)&gt;0,"Exp","")))</f>
        <v/>
      </c>
      <c r="E432" s="79">
        <f>IF(OR($A432="",E$23=""),"",IF(COUNTIFS('AFA Rates'!$A$5:$A$1004,$A432,'AFA Rates'!$B$5:$B$1004,E$23,'AFA Rates'!$O$5:$O$1004,"&lt;&gt;Expired")&gt;0,"✓",IF(COUNTIFS('AFA Rates'!$A$5:$A$1004,$A432,'AFA Rates'!$B$5:$B$1004,E$23)&gt;0,"Exp","")))</f>
        <v/>
      </c>
      <c r="F432" s="79">
        <f>IF(OR($A432="",F$23=""),"",IF(COUNTIFS('AFA Rates'!$A$5:$A$1004,$A432,'AFA Rates'!$B$5:$B$1004,F$23,'AFA Rates'!$O$5:$O$1004,"&lt;&gt;Expired")&gt;0,"✓",IF(COUNTIFS('AFA Rates'!$A$5:$A$1004,$A432,'AFA Rates'!$B$5:$B$1004,F$23)&gt;0,"Exp","")))</f>
        <v/>
      </c>
      <c r="G432" s="79">
        <f>IF(OR($A432="",G$23=""),"",IF(COUNTIFS('AFA Rates'!$A$5:$A$1004,$A432,'AFA Rates'!$B$5:$B$1004,G$23,'AFA Rates'!$O$5:$O$1004,"&lt;&gt;Expired")&gt;0,"✓",IF(COUNTIFS('AFA Rates'!$A$5:$A$1004,$A432,'AFA Rates'!$B$5:$B$1004,G$23)&gt;0,"Exp","")))</f>
        <v/>
      </c>
      <c r="H432" s="79">
        <f>IF(OR($A432="",H$23=""),"",IF(COUNTIFS('AFA Rates'!$A$5:$A$1004,$A432,'AFA Rates'!$B$5:$B$1004,H$23,'AFA Rates'!$O$5:$O$1004,"&lt;&gt;Expired")&gt;0,"✓",IF(COUNTIFS('AFA Rates'!$A$5:$A$1004,$A432,'AFA Rates'!$B$5:$B$1004,H$23)&gt;0,"Exp","")))</f>
        <v/>
      </c>
      <c r="I432" s="79">
        <f>IF(OR($A432="",I$23=""),"",IF(COUNTIFS('AFA Rates'!$A$5:$A$1004,$A432,'AFA Rates'!$B$5:$B$1004,I$23,'AFA Rates'!$O$5:$O$1004,"&lt;&gt;Expired")&gt;0,"✓",IF(COUNTIFS('AFA Rates'!$A$5:$A$1004,$A432,'AFA Rates'!$B$5:$B$1004,I$23)&gt;0,"Exp","")))</f>
        <v/>
      </c>
      <c r="J432" s="79">
        <f>IF(OR($A432="",J$23=""),"",IF(COUNTIFS('AFA Rates'!$A$5:$A$1004,$A432,'AFA Rates'!$B$5:$B$1004,J$23,'AFA Rates'!$O$5:$O$1004,"&lt;&gt;Expired")&gt;0,"✓",IF(COUNTIFS('AFA Rates'!$A$5:$A$1004,$A432,'AFA Rates'!$B$5:$B$1004,J$23)&gt;0,"Exp","")))</f>
        <v/>
      </c>
      <c r="K432" s="79">
        <f>IF(OR($A432="",K$23=""),"",IF(COUNTIFS('AFA Rates'!$A$5:$A$1004,$A432,'AFA Rates'!$B$5:$B$1004,K$23,'AFA Rates'!$O$5:$O$1004,"&lt;&gt;Expired")&gt;0,"✓",IF(COUNTIFS('AFA Rates'!$A$5:$A$1004,$A432,'AFA Rates'!$B$5:$B$1004,K$23)&gt;0,"Exp","")))</f>
        <v/>
      </c>
      <c r="L432" s="79">
        <f>IF(OR($A432="",L$23=""),"",IF(COUNTIFS('AFA Rates'!$A$5:$A$1004,$A432,'AFA Rates'!$B$5:$B$1004,L$23,'AFA Rates'!$O$5:$O$1004,"&lt;&gt;Expired")&gt;0,"✓",IF(COUNTIFS('AFA Rates'!$A$5:$A$1004,$A432,'AFA Rates'!$B$5:$B$1004,L$23)&gt;0,"Exp","")))</f>
        <v/>
      </c>
      <c r="M432" s="79">
        <f>IF(OR($A432="",M$23=""),"",IF(COUNTIFS('AFA Rates'!$A$5:$A$1004,$A432,'AFA Rates'!$B$5:$B$1004,M$23,'AFA Rates'!$O$5:$O$1004,"&lt;&gt;Expired")&gt;0,"✓",IF(COUNTIFS('AFA Rates'!$A$5:$A$1004,$A432,'AFA Rates'!$B$5:$B$1004,M$23)&gt;0,"Exp","")))</f>
        <v/>
      </c>
    </row>
    <row r="433">
      <c r="A433" s="78">
        <f>IFERROR(INDEX(Firms!$A$5:$A$1004,MATCH(410,Firms!$V$5:$V$1004,0)),"")</f>
        <v/>
      </c>
      <c r="B433" s="79">
        <f>IF($A433="","",INDEX(Firms!$B$5:$B$1004,MATCH(410,Firms!$V$5:$V$1004,0)))</f>
        <v/>
      </c>
      <c r="C433" s="79">
        <f>IF($A433="","",COUNTIFS('AFA Rates'!$A$5:$A$1004,$A433,'AFA Rates'!$O$5:$O$1004,"&lt;&gt;Expired"))</f>
        <v/>
      </c>
      <c r="D433" s="79">
        <f>IF(OR($A433="",D$23=""),"",IF(COUNTIFS('AFA Rates'!$A$5:$A$1004,$A433,'AFA Rates'!$B$5:$B$1004,D$23,'AFA Rates'!$O$5:$O$1004,"&lt;&gt;Expired")&gt;0,"✓",IF(COUNTIFS('AFA Rates'!$A$5:$A$1004,$A433,'AFA Rates'!$B$5:$B$1004,D$23)&gt;0,"Exp","")))</f>
        <v/>
      </c>
      <c r="E433" s="79">
        <f>IF(OR($A433="",E$23=""),"",IF(COUNTIFS('AFA Rates'!$A$5:$A$1004,$A433,'AFA Rates'!$B$5:$B$1004,E$23,'AFA Rates'!$O$5:$O$1004,"&lt;&gt;Expired")&gt;0,"✓",IF(COUNTIFS('AFA Rates'!$A$5:$A$1004,$A433,'AFA Rates'!$B$5:$B$1004,E$23)&gt;0,"Exp","")))</f>
        <v/>
      </c>
      <c r="F433" s="79">
        <f>IF(OR($A433="",F$23=""),"",IF(COUNTIFS('AFA Rates'!$A$5:$A$1004,$A433,'AFA Rates'!$B$5:$B$1004,F$23,'AFA Rates'!$O$5:$O$1004,"&lt;&gt;Expired")&gt;0,"✓",IF(COUNTIFS('AFA Rates'!$A$5:$A$1004,$A433,'AFA Rates'!$B$5:$B$1004,F$23)&gt;0,"Exp","")))</f>
        <v/>
      </c>
      <c r="G433" s="79">
        <f>IF(OR($A433="",G$23=""),"",IF(COUNTIFS('AFA Rates'!$A$5:$A$1004,$A433,'AFA Rates'!$B$5:$B$1004,G$23,'AFA Rates'!$O$5:$O$1004,"&lt;&gt;Expired")&gt;0,"✓",IF(COUNTIFS('AFA Rates'!$A$5:$A$1004,$A433,'AFA Rates'!$B$5:$B$1004,G$23)&gt;0,"Exp","")))</f>
        <v/>
      </c>
      <c r="H433" s="79">
        <f>IF(OR($A433="",H$23=""),"",IF(COUNTIFS('AFA Rates'!$A$5:$A$1004,$A433,'AFA Rates'!$B$5:$B$1004,H$23,'AFA Rates'!$O$5:$O$1004,"&lt;&gt;Expired")&gt;0,"✓",IF(COUNTIFS('AFA Rates'!$A$5:$A$1004,$A433,'AFA Rates'!$B$5:$B$1004,H$23)&gt;0,"Exp","")))</f>
        <v/>
      </c>
      <c r="I433" s="79">
        <f>IF(OR($A433="",I$23=""),"",IF(COUNTIFS('AFA Rates'!$A$5:$A$1004,$A433,'AFA Rates'!$B$5:$B$1004,I$23,'AFA Rates'!$O$5:$O$1004,"&lt;&gt;Expired")&gt;0,"✓",IF(COUNTIFS('AFA Rates'!$A$5:$A$1004,$A433,'AFA Rates'!$B$5:$B$1004,I$23)&gt;0,"Exp","")))</f>
        <v/>
      </c>
      <c r="J433" s="79">
        <f>IF(OR($A433="",J$23=""),"",IF(COUNTIFS('AFA Rates'!$A$5:$A$1004,$A433,'AFA Rates'!$B$5:$B$1004,J$23,'AFA Rates'!$O$5:$O$1004,"&lt;&gt;Expired")&gt;0,"✓",IF(COUNTIFS('AFA Rates'!$A$5:$A$1004,$A433,'AFA Rates'!$B$5:$B$1004,J$23)&gt;0,"Exp","")))</f>
        <v/>
      </c>
      <c r="K433" s="79">
        <f>IF(OR($A433="",K$23=""),"",IF(COUNTIFS('AFA Rates'!$A$5:$A$1004,$A433,'AFA Rates'!$B$5:$B$1004,K$23,'AFA Rates'!$O$5:$O$1004,"&lt;&gt;Expired")&gt;0,"✓",IF(COUNTIFS('AFA Rates'!$A$5:$A$1004,$A433,'AFA Rates'!$B$5:$B$1004,K$23)&gt;0,"Exp","")))</f>
        <v/>
      </c>
      <c r="L433" s="79">
        <f>IF(OR($A433="",L$23=""),"",IF(COUNTIFS('AFA Rates'!$A$5:$A$1004,$A433,'AFA Rates'!$B$5:$B$1004,L$23,'AFA Rates'!$O$5:$O$1004,"&lt;&gt;Expired")&gt;0,"✓",IF(COUNTIFS('AFA Rates'!$A$5:$A$1004,$A433,'AFA Rates'!$B$5:$B$1004,L$23)&gt;0,"Exp","")))</f>
        <v/>
      </c>
      <c r="M433" s="79">
        <f>IF(OR($A433="",M$23=""),"",IF(COUNTIFS('AFA Rates'!$A$5:$A$1004,$A433,'AFA Rates'!$B$5:$B$1004,M$23,'AFA Rates'!$O$5:$O$1004,"&lt;&gt;Expired")&gt;0,"✓",IF(COUNTIFS('AFA Rates'!$A$5:$A$1004,$A433,'AFA Rates'!$B$5:$B$1004,M$23)&gt;0,"Exp","")))</f>
        <v/>
      </c>
    </row>
    <row r="434">
      <c r="A434" s="78">
        <f>IFERROR(INDEX(Firms!$A$5:$A$1004,MATCH(411,Firms!$V$5:$V$1004,0)),"")</f>
        <v/>
      </c>
      <c r="B434" s="79">
        <f>IF($A434="","",INDEX(Firms!$B$5:$B$1004,MATCH(411,Firms!$V$5:$V$1004,0)))</f>
        <v/>
      </c>
      <c r="C434" s="79">
        <f>IF($A434="","",COUNTIFS('AFA Rates'!$A$5:$A$1004,$A434,'AFA Rates'!$O$5:$O$1004,"&lt;&gt;Expired"))</f>
        <v/>
      </c>
      <c r="D434" s="79">
        <f>IF(OR($A434="",D$23=""),"",IF(COUNTIFS('AFA Rates'!$A$5:$A$1004,$A434,'AFA Rates'!$B$5:$B$1004,D$23,'AFA Rates'!$O$5:$O$1004,"&lt;&gt;Expired")&gt;0,"✓",IF(COUNTIFS('AFA Rates'!$A$5:$A$1004,$A434,'AFA Rates'!$B$5:$B$1004,D$23)&gt;0,"Exp","")))</f>
        <v/>
      </c>
      <c r="E434" s="79">
        <f>IF(OR($A434="",E$23=""),"",IF(COUNTIFS('AFA Rates'!$A$5:$A$1004,$A434,'AFA Rates'!$B$5:$B$1004,E$23,'AFA Rates'!$O$5:$O$1004,"&lt;&gt;Expired")&gt;0,"✓",IF(COUNTIFS('AFA Rates'!$A$5:$A$1004,$A434,'AFA Rates'!$B$5:$B$1004,E$23)&gt;0,"Exp","")))</f>
        <v/>
      </c>
      <c r="F434" s="79">
        <f>IF(OR($A434="",F$23=""),"",IF(COUNTIFS('AFA Rates'!$A$5:$A$1004,$A434,'AFA Rates'!$B$5:$B$1004,F$23,'AFA Rates'!$O$5:$O$1004,"&lt;&gt;Expired")&gt;0,"✓",IF(COUNTIFS('AFA Rates'!$A$5:$A$1004,$A434,'AFA Rates'!$B$5:$B$1004,F$23)&gt;0,"Exp","")))</f>
        <v/>
      </c>
      <c r="G434" s="79">
        <f>IF(OR($A434="",G$23=""),"",IF(COUNTIFS('AFA Rates'!$A$5:$A$1004,$A434,'AFA Rates'!$B$5:$B$1004,G$23,'AFA Rates'!$O$5:$O$1004,"&lt;&gt;Expired")&gt;0,"✓",IF(COUNTIFS('AFA Rates'!$A$5:$A$1004,$A434,'AFA Rates'!$B$5:$B$1004,G$23)&gt;0,"Exp","")))</f>
        <v/>
      </c>
      <c r="H434" s="79">
        <f>IF(OR($A434="",H$23=""),"",IF(COUNTIFS('AFA Rates'!$A$5:$A$1004,$A434,'AFA Rates'!$B$5:$B$1004,H$23,'AFA Rates'!$O$5:$O$1004,"&lt;&gt;Expired")&gt;0,"✓",IF(COUNTIFS('AFA Rates'!$A$5:$A$1004,$A434,'AFA Rates'!$B$5:$B$1004,H$23)&gt;0,"Exp","")))</f>
        <v/>
      </c>
      <c r="I434" s="79">
        <f>IF(OR($A434="",I$23=""),"",IF(COUNTIFS('AFA Rates'!$A$5:$A$1004,$A434,'AFA Rates'!$B$5:$B$1004,I$23,'AFA Rates'!$O$5:$O$1004,"&lt;&gt;Expired")&gt;0,"✓",IF(COUNTIFS('AFA Rates'!$A$5:$A$1004,$A434,'AFA Rates'!$B$5:$B$1004,I$23)&gt;0,"Exp","")))</f>
        <v/>
      </c>
      <c r="J434" s="79">
        <f>IF(OR($A434="",J$23=""),"",IF(COUNTIFS('AFA Rates'!$A$5:$A$1004,$A434,'AFA Rates'!$B$5:$B$1004,J$23,'AFA Rates'!$O$5:$O$1004,"&lt;&gt;Expired")&gt;0,"✓",IF(COUNTIFS('AFA Rates'!$A$5:$A$1004,$A434,'AFA Rates'!$B$5:$B$1004,J$23)&gt;0,"Exp","")))</f>
        <v/>
      </c>
      <c r="K434" s="79">
        <f>IF(OR($A434="",K$23=""),"",IF(COUNTIFS('AFA Rates'!$A$5:$A$1004,$A434,'AFA Rates'!$B$5:$B$1004,K$23,'AFA Rates'!$O$5:$O$1004,"&lt;&gt;Expired")&gt;0,"✓",IF(COUNTIFS('AFA Rates'!$A$5:$A$1004,$A434,'AFA Rates'!$B$5:$B$1004,K$23)&gt;0,"Exp","")))</f>
        <v/>
      </c>
      <c r="L434" s="79">
        <f>IF(OR($A434="",L$23=""),"",IF(COUNTIFS('AFA Rates'!$A$5:$A$1004,$A434,'AFA Rates'!$B$5:$B$1004,L$23,'AFA Rates'!$O$5:$O$1004,"&lt;&gt;Expired")&gt;0,"✓",IF(COUNTIFS('AFA Rates'!$A$5:$A$1004,$A434,'AFA Rates'!$B$5:$B$1004,L$23)&gt;0,"Exp","")))</f>
        <v/>
      </c>
      <c r="M434" s="79">
        <f>IF(OR($A434="",M$23=""),"",IF(COUNTIFS('AFA Rates'!$A$5:$A$1004,$A434,'AFA Rates'!$B$5:$B$1004,M$23,'AFA Rates'!$O$5:$O$1004,"&lt;&gt;Expired")&gt;0,"✓",IF(COUNTIFS('AFA Rates'!$A$5:$A$1004,$A434,'AFA Rates'!$B$5:$B$1004,M$23)&gt;0,"Exp","")))</f>
        <v/>
      </c>
    </row>
    <row r="435">
      <c r="A435" s="78">
        <f>IFERROR(INDEX(Firms!$A$5:$A$1004,MATCH(412,Firms!$V$5:$V$1004,0)),"")</f>
        <v/>
      </c>
      <c r="B435" s="79">
        <f>IF($A435="","",INDEX(Firms!$B$5:$B$1004,MATCH(412,Firms!$V$5:$V$1004,0)))</f>
        <v/>
      </c>
      <c r="C435" s="79">
        <f>IF($A435="","",COUNTIFS('AFA Rates'!$A$5:$A$1004,$A435,'AFA Rates'!$O$5:$O$1004,"&lt;&gt;Expired"))</f>
        <v/>
      </c>
      <c r="D435" s="79">
        <f>IF(OR($A435="",D$23=""),"",IF(COUNTIFS('AFA Rates'!$A$5:$A$1004,$A435,'AFA Rates'!$B$5:$B$1004,D$23,'AFA Rates'!$O$5:$O$1004,"&lt;&gt;Expired")&gt;0,"✓",IF(COUNTIFS('AFA Rates'!$A$5:$A$1004,$A435,'AFA Rates'!$B$5:$B$1004,D$23)&gt;0,"Exp","")))</f>
        <v/>
      </c>
      <c r="E435" s="79">
        <f>IF(OR($A435="",E$23=""),"",IF(COUNTIFS('AFA Rates'!$A$5:$A$1004,$A435,'AFA Rates'!$B$5:$B$1004,E$23,'AFA Rates'!$O$5:$O$1004,"&lt;&gt;Expired")&gt;0,"✓",IF(COUNTIFS('AFA Rates'!$A$5:$A$1004,$A435,'AFA Rates'!$B$5:$B$1004,E$23)&gt;0,"Exp","")))</f>
        <v/>
      </c>
      <c r="F435" s="79">
        <f>IF(OR($A435="",F$23=""),"",IF(COUNTIFS('AFA Rates'!$A$5:$A$1004,$A435,'AFA Rates'!$B$5:$B$1004,F$23,'AFA Rates'!$O$5:$O$1004,"&lt;&gt;Expired")&gt;0,"✓",IF(COUNTIFS('AFA Rates'!$A$5:$A$1004,$A435,'AFA Rates'!$B$5:$B$1004,F$23)&gt;0,"Exp","")))</f>
        <v/>
      </c>
      <c r="G435" s="79">
        <f>IF(OR($A435="",G$23=""),"",IF(COUNTIFS('AFA Rates'!$A$5:$A$1004,$A435,'AFA Rates'!$B$5:$B$1004,G$23,'AFA Rates'!$O$5:$O$1004,"&lt;&gt;Expired")&gt;0,"✓",IF(COUNTIFS('AFA Rates'!$A$5:$A$1004,$A435,'AFA Rates'!$B$5:$B$1004,G$23)&gt;0,"Exp","")))</f>
        <v/>
      </c>
      <c r="H435" s="79">
        <f>IF(OR($A435="",H$23=""),"",IF(COUNTIFS('AFA Rates'!$A$5:$A$1004,$A435,'AFA Rates'!$B$5:$B$1004,H$23,'AFA Rates'!$O$5:$O$1004,"&lt;&gt;Expired")&gt;0,"✓",IF(COUNTIFS('AFA Rates'!$A$5:$A$1004,$A435,'AFA Rates'!$B$5:$B$1004,H$23)&gt;0,"Exp","")))</f>
        <v/>
      </c>
      <c r="I435" s="79">
        <f>IF(OR($A435="",I$23=""),"",IF(COUNTIFS('AFA Rates'!$A$5:$A$1004,$A435,'AFA Rates'!$B$5:$B$1004,I$23,'AFA Rates'!$O$5:$O$1004,"&lt;&gt;Expired")&gt;0,"✓",IF(COUNTIFS('AFA Rates'!$A$5:$A$1004,$A435,'AFA Rates'!$B$5:$B$1004,I$23)&gt;0,"Exp","")))</f>
        <v/>
      </c>
      <c r="J435" s="79">
        <f>IF(OR($A435="",J$23=""),"",IF(COUNTIFS('AFA Rates'!$A$5:$A$1004,$A435,'AFA Rates'!$B$5:$B$1004,J$23,'AFA Rates'!$O$5:$O$1004,"&lt;&gt;Expired")&gt;0,"✓",IF(COUNTIFS('AFA Rates'!$A$5:$A$1004,$A435,'AFA Rates'!$B$5:$B$1004,J$23)&gt;0,"Exp","")))</f>
        <v/>
      </c>
      <c r="K435" s="79">
        <f>IF(OR($A435="",K$23=""),"",IF(COUNTIFS('AFA Rates'!$A$5:$A$1004,$A435,'AFA Rates'!$B$5:$B$1004,K$23,'AFA Rates'!$O$5:$O$1004,"&lt;&gt;Expired")&gt;0,"✓",IF(COUNTIFS('AFA Rates'!$A$5:$A$1004,$A435,'AFA Rates'!$B$5:$B$1004,K$23)&gt;0,"Exp","")))</f>
        <v/>
      </c>
      <c r="L435" s="79">
        <f>IF(OR($A435="",L$23=""),"",IF(COUNTIFS('AFA Rates'!$A$5:$A$1004,$A435,'AFA Rates'!$B$5:$B$1004,L$23,'AFA Rates'!$O$5:$O$1004,"&lt;&gt;Expired")&gt;0,"✓",IF(COUNTIFS('AFA Rates'!$A$5:$A$1004,$A435,'AFA Rates'!$B$5:$B$1004,L$23)&gt;0,"Exp","")))</f>
        <v/>
      </c>
      <c r="M435" s="79">
        <f>IF(OR($A435="",M$23=""),"",IF(COUNTIFS('AFA Rates'!$A$5:$A$1004,$A435,'AFA Rates'!$B$5:$B$1004,M$23,'AFA Rates'!$O$5:$O$1004,"&lt;&gt;Expired")&gt;0,"✓",IF(COUNTIFS('AFA Rates'!$A$5:$A$1004,$A435,'AFA Rates'!$B$5:$B$1004,M$23)&gt;0,"Exp","")))</f>
        <v/>
      </c>
    </row>
    <row r="436">
      <c r="A436" s="78">
        <f>IFERROR(INDEX(Firms!$A$5:$A$1004,MATCH(413,Firms!$V$5:$V$1004,0)),"")</f>
        <v/>
      </c>
      <c r="B436" s="79">
        <f>IF($A436="","",INDEX(Firms!$B$5:$B$1004,MATCH(413,Firms!$V$5:$V$1004,0)))</f>
        <v/>
      </c>
      <c r="C436" s="79">
        <f>IF($A436="","",COUNTIFS('AFA Rates'!$A$5:$A$1004,$A436,'AFA Rates'!$O$5:$O$1004,"&lt;&gt;Expired"))</f>
        <v/>
      </c>
      <c r="D436" s="79">
        <f>IF(OR($A436="",D$23=""),"",IF(COUNTIFS('AFA Rates'!$A$5:$A$1004,$A436,'AFA Rates'!$B$5:$B$1004,D$23,'AFA Rates'!$O$5:$O$1004,"&lt;&gt;Expired")&gt;0,"✓",IF(COUNTIFS('AFA Rates'!$A$5:$A$1004,$A436,'AFA Rates'!$B$5:$B$1004,D$23)&gt;0,"Exp","")))</f>
        <v/>
      </c>
      <c r="E436" s="79">
        <f>IF(OR($A436="",E$23=""),"",IF(COUNTIFS('AFA Rates'!$A$5:$A$1004,$A436,'AFA Rates'!$B$5:$B$1004,E$23,'AFA Rates'!$O$5:$O$1004,"&lt;&gt;Expired")&gt;0,"✓",IF(COUNTIFS('AFA Rates'!$A$5:$A$1004,$A436,'AFA Rates'!$B$5:$B$1004,E$23)&gt;0,"Exp","")))</f>
        <v/>
      </c>
      <c r="F436" s="79">
        <f>IF(OR($A436="",F$23=""),"",IF(COUNTIFS('AFA Rates'!$A$5:$A$1004,$A436,'AFA Rates'!$B$5:$B$1004,F$23,'AFA Rates'!$O$5:$O$1004,"&lt;&gt;Expired")&gt;0,"✓",IF(COUNTIFS('AFA Rates'!$A$5:$A$1004,$A436,'AFA Rates'!$B$5:$B$1004,F$23)&gt;0,"Exp","")))</f>
        <v/>
      </c>
      <c r="G436" s="79">
        <f>IF(OR($A436="",G$23=""),"",IF(COUNTIFS('AFA Rates'!$A$5:$A$1004,$A436,'AFA Rates'!$B$5:$B$1004,G$23,'AFA Rates'!$O$5:$O$1004,"&lt;&gt;Expired")&gt;0,"✓",IF(COUNTIFS('AFA Rates'!$A$5:$A$1004,$A436,'AFA Rates'!$B$5:$B$1004,G$23)&gt;0,"Exp","")))</f>
        <v/>
      </c>
      <c r="H436" s="79">
        <f>IF(OR($A436="",H$23=""),"",IF(COUNTIFS('AFA Rates'!$A$5:$A$1004,$A436,'AFA Rates'!$B$5:$B$1004,H$23,'AFA Rates'!$O$5:$O$1004,"&lt;&gt;Expired")&gt;0,"✓",IF(COUNTIFS('AFA Rates'!$A$5:$A$1004,$A436,'AFA Rates'!$B$5:$B$1004,H$23)&gt;0,"Exp","")))</f>
        <v/>
      </c>
      <c r="I436" s="79">
        <f>IF(OR($A436="",I$23=""),"",IF(COUNTIFS('AFA Rates'!$A$5:$A$1004,$A436,'AFA Rates'!$B$5:$B$1004,I$23,'AFA Rates'!$O$5:$O$1004,"&lt;&gt;Expired")&gt;0,"✓",IF(COUNTIFS('AFA Rates'!$A$5:$A$1004,$A436,'AFA Rates'!$B$5:$B$1004,I$23)&gt;0,"Exp","")))</f>
        <v/>
      </c>
      <c r="J436" s="79">
        <f>IF(OR($A436="",J$23=""),"",IF(COUNTIFS('AFA Rates'!$A$5:$A$1004,$A436,'AFA Rates'!$B$5:$B$1004,J$23,'AFA Rates'!$O$5:$O$1004,"&lt;&gt;Expired")&gt;0,"✓",IF(COUNTIFS('AFA Rates'!$A$5:$A$1004,$A436,'AFA Rates'!$B$5:$B$1004,J$23)&gt;0,"Exp","")))</f>
        <v/>
      </c>
      <c r="K436" s="79">
        <f>IF(OR($A436="",K$23=""),"",IF(COUNTIFS('AFA Rates'!$A$5:$A$1004,$A436,'AFA Rates'!$B$5:$B$1004,K$23,'AFA Rates'!$O$5:$O$1004,"&lt;&gt;Expired")&gt;0,"✓",IF(COUNTIFS('AFA Rates'!$A$5:$A$1004,$A436,'AFA Rates'!$B$5:$B$1004,K$23)&gt;0,"Exp","")))</f>
        <v/>
      </c>
      <c r="L436" s="79">
        <f>IF(OR($A436="",L$23=""),"",IF(COUNTIFS('AFA Rates'!$A$5:$A$1004,$A436,'AFA Rates'!$B$5:$B$1004,L$23,'AFA Rates'!$O$5:$O$1004,"&lt;&gt;Expired")&gt;0,"✓",IF(COUNTIFS('AFA Rates'!$A$5:$A$1004,$A436,'AFA Rates'!$B$5:$B$1004,L$23)&gt;0,"Exp","")))</f>
        <v/>
      </c>
      <c r="M436" s="79">
        <f>IF(OR($A436="",M$23=""),"",IF(COUNTIFS('AFA Rates'!$A$5:$A$1004,$A436,'AFA Rates'!$B$5:$B$1004,M$23,'AFA Rates'!$O$5:$O$1004,"&lt;&gt;Expired")&gt;0,"✓",IF(COUNTIFS('AFA Rates'!$A$5:$A$1004,$A436,'AFA Rates'!$B$5:$B$1004,M$23)&gt;0,"Exp","")))</f>
        <v/>
      </c>
    </row>
    <row r="437">
      <c r="A437" s="78">
        <f>IFERROR(INDEX(Firms!$A$5:$A$1004,MATCH(414,Firms!$V$5:$V$1004,0)),"")</f>
        <v/>
      </c>
      <c r="B437" s="79">
        <f>IF($A437="","",INDEX(Firms!$B$5:$B$1004,MATCH(414,Firms!$V$5:$V$1004,0)))</f>
        <v/>
      </c>
      <c r="C437" s="79">
        <f>IF($A437="","",COUNTIFS('AFA Rates'!$A$5:$A$1004,$A437,'AFA Rates'!$O$5:$O$1004,"&lt;&gt;Expired"))</f>
        <v/>
      </c>
      <c r="D437" s="79">
        <f>IF(OR($A437="",D$23=""),"",IF(COUNTIFS('AFA Rates'!$A$5:$A$1004,$A437,'AFA Rates'!$B$5:$B$1004,D$23,'AFA Rates'!$O$5:$O$1004,"&lt;&gt;Expired")&gt;0,"✓",IF(COUNTIFS('AFA Rates'!$A$5:$A$1004,$A437,'AFA Rates'!$B$5:$B$1004,D$23)&gt;0,"Exp","")))</f>
        <v/>
      </c>
      <c r="E437" s="79">
        <f>IF(OR($A437="",E$23=""),"",IF(COUNTIFS('AFA Rates'!$A$5:$A$1004,$A437,'AFA Rates'!$B$5:$B$1004,E$23,'AFA Rates'!$O$5:$O$1004,"&lt;&gt;Expired")&gt;0,"✓",IF(COUNTIFS('AFA Rates'!$A$5:$A$1004,$A437,'AFA Rates'!$B$5:$B$1004,E$23)&gt;0,"Exp","")))</f>
        <v/>
      </c>
      <c r="F437" s="79">
        <f>IF(OR($A437="",F$23=""),"",IF(COUNTIFS('AFA Rates'!$A$5:$A$1004,$A437,'AFA Rates'!$B$5:$B$1004,F$23,'AFA Rates'!$O$5:$O$1004,"&lt;&gt;Expired")&gt;0,"✓",IF(COUNTIFS('AFA Rates'!$A$5:$A$1004,$A437,'AFA Rates'!$B$5:$B$1004,F$23)&gt;0,"Exp","")))</f>
        <v/>
      </c>
      <c r="G437" s="79">
        <f>IF(OR($A437="",G$23=""),"",IF(COUNTIFS('AFA Rates'!$A$5:$A$1004,$A437,'AFA Rates'!$B$5:$B$1004,G$23,'AFA Rates'!$O$5:$O$1004,"&lt;&gt;Expired")&gt;0,"✓",IF(COUNTIFS('AFA Rates'!$A$5:$A$1004,$A437,'AFA Rates'!$B$5:$B$1004,G$23)&gt;0,"Exp","")))</f>
        <v/>
      </c>
      <c r="H437" s="79">
        <f>IF(OR($A437="",H$23=""),"",IF(COUNTIFS('AFA Rates'!$A$5:$A$1004,$A437,'AFA Rates'!$B$5:$B$1004,H$23,'AFA Rates'!$O$5:$O$1004,"&lt;&gt;Expired")&gt;0,"✓",IF(COUNTIFS('AFA Rates'!$A$5:$A$1004,$A437,'AFA Rates'!$B$5:$B$1004,H$23)&gt;0,"Exp","")))</f>
        <v/>
      </c>
      <c r="I437" s="79">
        <f>IF(OR($A437="",I$23=""),"",IF(COUNTIFS('AFA Rates'!$A$5:$A$1004,$A437,'AFA Rates'!$B$5:$B$1004,I$23,'AFA Rates'!$O$5:$O$1004,"&lt;&gt;Expired")&gt;0,"✓",IF(COUNTIFS('AFA Rates'!$A$5:$A$1004,$A437,'AFA Rates'!$B$5:$B$1004,I$23)&gt;0,"Exp","")))</f>
        <v/>
      </c>
      <c r="J437" s="79">
        <f>IF(OR($A437="",J$23=""),"",IF(COUNTIFS('AFA Rates'!$A$5:$A$1004,$A437,'AFA Rates'!$B$5:$B$1004,J$23,'AFA Rates'!$O$5:$O$1004,"&lt;&gt;Expired")&gt;0,"✓",IF(COUNTIFS('AFA Rates'!$A$5:$A$1004,$A437,'AFA Rates'!$B$5:$B$1004,J$23)&gt;0,"Exp","")))</f>
        <v/>
      </c>
      <c r="K437" s="79">
        <f>IF(OR($A437="",K$23=""),"",IF(COUNTIFS('AFA Rates'!$A$5:$A$1004,$A437,'AFA Rates'!$B$5:$B$1004,K$23,'AFA Rates'!$O$5:$O$1004,"&lt;&gt;Expired")&gt;0,"✓",IF(COUNTIFS('AFA Rates'!$A$5:$A$1004,$A437,'AFA Rates'!$B$5:$B$1004,K$23)&gt;0,"Exp","")))</f>
        <v/>
      </c>
      <c r="L437" s="79">
        <f>IF(OR($A437="",L$23=""),"",IF(COUNTIFS('AFA Rates'!$A$5:$A$1004,$A437,'AFA Rates'!$B$5:$B$1004,L$23,'AFA Rates'!$O$5:$O$1004,"&lt;&gt;Expired")&gt;0,"✓",IF(COUNTIFS('AFA Rates'!$A$5:$A$1004,$A437,'AFA Rates'!$B$5:$B$1004,L$23)&gt;0,"Exp","")))</f>
        <v/>
      </c>
      <c r="M437" s="79">
        <f>IF(OR($A437="",M$23=""),"",IF(COUNTIFS('AFA Rates'!$A$5:$A$1004,$A437,'AFA Rates'!$B$5:$B$1004,M$23,'AFA Rates'!$O$5:$O$1004,"&lt;&gt;Expired")&gt;0,"✓",IF(COUNTIFS('AFA Rates'!$A$5:$A$1004,$A437,'AFA Rates'!$B$5:$B$1004,M$23)&gt;0,"Exp","")))</f>
        <v/>
      </c>
    </row>
    <row r="438">
      <c r="A438" s="78">
        <f>IFERROR(INDEX(Firms!$A$5:$A$1004,MATCH(415,Firms!$V$5:$V$1004,0)),"")</f>
        <v/>
      </c>
      <c r="B438" s="79">
        <f>IF($A438="","",INDEX(Firms!$B$5:$B$1004,MATCH(415,Firms!$V$5:$V$1004,0)))</f>
        <v/>
      </c>
      <c r="C438" s="79">
        <f>IF($A438="","",COUNTIFS('AFA Rates'!$A$5:$A$1004,$A438,'AFA Rates'!$O$5:$O$1004,"&lt;&gt;Expired"))</f>
        <v/>
      </c>
      <c r="D438" s="79">
        <f>IF(OR($A438="",D$23=""),"",IF(COUNTIFS('AFA Rates'!$A$5:$A$1004,$A438,'AFA Rates'!$B$5:$B$1004,D$23,'AFA Rates'!$O$5:$O$1004,"&lt;&gt;Expired")&gt;0,"✓",IF(COUNTIFS('AFA Rates'!$A$5:$A$1004,$A438,'AFA Rates'!$B$5:$B$1004,D$23)&gt;0,"Exp","")))</f>
        <v/>
      </c>
      <c r="E438" s="79">
        <f>IF(OR($A438="",E$23=""),"",IF(COUNTIFS('AFA Rates'!$A$5:$A$1004,$A438,'AFA Rates'!$B$5:$B$1004,E$23,'AFA Rates'!$O$5:$O$1004,"&lt;&gt;Expired")&gt;0,"✓",IF(COUNTIFS('AFA Rates'!$A$5:$A$1004,$A438,'AFA Rates'!$B$5:$B$1004,E$23)&gt;0,"Exp","")))</f>
        <v/>
      </c>
      <c r="F438" s="79">
        <f>IF(OR($A438="",F$23=""),"",IF(COUNTIFS('AFA Rates'!$A$5:$A$1004,$A438,'AFA Rates'!$B$5:$B$1004,F$23,'AFA Rates'!$O$5:$O$1004,"&lt;&gt;Expired")&gt;0,"✓",IF(COUNTIFS('AFA Rates'!$A$5:$A$1004,$A438,'AFA Rates'!$B$5:$B$1004,F$23)&gt;0,"Exp","")))</f>
        <v/>
      </c>
      <c r="G438" s="79">
        <f>IF(OR($A438="",G$23=""),"",IF(COUNTIFS('AFA Rates'!$A$5:$A$1004,$A438,'AFA Rates'!$B$5:$B$1004,G$23,'AFA Rates'!$O$5:$O$1004,"&lt;&gt;Expired")&gt;0,"✓",IF(COUNTIFS('AFA Rates'!$A$5:$A$1004,$A438,'AFA Rates'!$B$5:$B$1004,G$23)&gt;0,"Exp","")))</f>
        <v/>
      </c>
      <c r="H438" s="79">
        <f>IF(OR($A438="",H$23=""),"",IF(COUNTIFS('AFA Rates'!$A$5:$A$1004,$A438,'AFA Rates'!$B$5:$B$1004,H$23,'AFA Rates'!$O$5:$O$1004,"&lt;&gt;Expired")&gt;0,"✓",IF(COUNTIFS('AFA Rates'!$A$5:$A$1004,$A438,'AFA Rates'!$B$5:$B$1004,H$23)&gt;0,"Exp","")))</f>
        <v/>
      </c>
      <c r="I438" s="79">
        <f>IF(OR($A438="",I$23=""),"",IF(COUNTIFS('AFA Rates'!$A$5:$A$1004,$A438,'AFA Rates'!$B$5:$B$1004,I$23,'AFA Rates'!$O$5:$O$1004,"&lt;&gt;Expired")&gt;0,"✓",IF(COUNTIFS('AFA Rates'!$A$5:$A$1004,$A438,'AFA Rates'!$B$5:$B$1004,I$23)&gt;0,"Exp","")))</f>
        <v/>
      </c>
      <c r="J438" s="79">
        <f>IF(OR($A438="",J$23=""),"",IF(COUNTIFS('AFA Rates'!$A$5:$A$1004,$A438,'AFA Rates'!$B$5:$B$1004,J$23,'AFA Rates'!$O$5:$O$1004,"&lt;&gt;Expired")&gt;0,"✓",IF(COUNTIFS('AFA Rates'!$A$5:$A$1004,$A438,'AFA Rates'!$B$5:$B$1004,J$23)&gt;0,"Exp","")))</f>
        <v/>
      </c>
      <c r="K438" s="79">
        <f>IF(OR($A438="",K$23=""),"",IF(COUNTIFS('AFA Rates'!$A$5:$A$1004,$A438,'AFA Rates'!$B$5:$B$1004,K$23,'AFA Rates'!$O$5:$O$1004,"&lt;&gt;Expired")&gt;0,"✓",IF(COUNTIFS('AFA Rates'!$A$5:$A$1004,$A438,'AFA Rates'!$B$5:$B$1004,K$23)&gt;0,"Exp","")))</f>
        <v/>
      </c>
      <c r="L438" s="79">
        <f>IF(OR($A438="",L$23=""),"",IF(COUNTIFS('AFA Rates'!$A$5:$A$1004,$A438,'AFA Rates'!$B$5:$B$1004,L$23,'AFA Rates'!$O$5:$O$1004,"&lt;&gt;Expired")&gt;0,"✓",IF(COUNTIFS('AFA Rates'!$A$5:$A$1004,$A438,'AFA Rates'!$B$5:$B$1004,L$23)&gt;0,"Exp","")))</f>
        <v/>
      </c>
      <c r="M438" s="79">
        <f>IF(OR($A438="",M$23=""),"",IF(COUNTIFS('AFA Rates'!$A$5:$A$1004,$A438,'AFA Rates'!$B$5:$B$1004,M$23,'AFA Rates'!$O$5:$O$1004,"&lt;&gt;Expired")&gt;0,"✓",IF(COUNTIFS('AFA Rates'!$A$5:$A$1004,$A438,'AFA Rates'!$B$5:$B$1004,M$23)&gt;0,"Exp","")))</f>
        <v/>
      </c>
    </row>
    <row r="439">
      <c r="A439" s="78">
        <f>IFERROR(INDEX(Firms!$A$5:$A$1004,MATCH(416,Firms!$V$5:$V$1004,0)),"")</f>
        <v/>
      </c>
      <c r="B439" s="79">
        <f>IF($A439="","",INDEX(Firms!$B$5:$B$1004,MATCH(416,Firms!$V$5:$V$1004,0)))</f>
        <v/>
      </c>
      <c r="C439" s="79">
        <f>IF($A439="","",COUNTIFS('AFA Rates'!$A$5:$A$1004,$A439,'AFA Rates'!$O$5:$O$1004,"&lt;&gt;Expired"))</f>
        <v/>
      </c>
      <c r="D439" s="79">
        <f>IF(OR($A439="",D$23=""),"",IF(COUNTIFS('AFA Rates'!$A$5:$A$1004,$A439,'AFA Rates'!$B$5:$B$1004,D$23,'AFA Rates'!$O$5:$O$1004,"&lt;&gt;Expired")&gt;0,"✓",IF(COUNTIFS('AFA Rates'!$A$5:$A$1004,$A439,'AFA Rates'!$B$5:$B$1004,D$23)&gt;0,"Exp","")))</f>
        <v/>
      </c>
      <c r="E439" s="79">
        <f>IF(OR($A439="",E$23=""),"",IF(COUNTIFS('AFA Rates'!$A$5:$A$1004,$A439,'AFA Rates'!$B$5:$B$1004,E$23,'AFA Rates'!$O$5:$O$1004,"&lt;&gt;Expired")&gt;0,"✓",IF(COUNTIFS('AFA Rates'!$A$5:$A$1004,$A439,'AFA Rates'!$B$5:$B$1004,E$23)&gt;0,"Exp","")))</f>
        <v/>
      </c>
      <c r="F439" s="79">
        <f>IF(OR($A439="",F$23=""),"",IF(COUNTIFS('AFA Rates'!$A$5:$A$1004,$A439,'AFA Rates'!$B$5:$B$1004,F$23,'AFA Rates'!$O$5:$O$1004,"&lt;&gt;Expired")&gt;0,"✓",IF(COUNTIFS('AFA Rates'!$A$5:$A$1004,$A439,'AFA Rates'!$B$5:$B$1004,F$23)&gt;0,"Exp","")))</f>
        <v/>
      </c>
      <c r="G439" s="79">
        <f>IF(OR($A439="",G$23=""),"",IF(COUNTIFS('AFA Rates'!$A$5:$A$1004,$A439,'AFA Rates'!$B$5:$B$1004,G$23,'AFA Rates'!$O$5:$O$1004,"&lt;&gt;Expired")&gt;0,"✓",IF(COUNTIFS('AFA Rates'!$A$5:$A$1004,$A439,'AFA Rates'!$B$5:$B$1004,G$23)&gt;0,"Exp","")))</f>
        <v/>
      </c>
      <c r="H439" s="79">
        <f>IF(OR($A439="",H$23=""),"",IF(COUNTIFS('AFA Rates'!$A$5:$A$1004,$A439,'AFA Rates'!$B$5:$B$1004,H$23,'AFA Rates'!$O$5:$O$1004,"&lt;&gt;Expired")&gt;0,"✓",IF(COUNTIFS('AFA Rates'!$A$5:$A$1004,$A439,'AFA Rates'!$B$5:$B$1004,H$23)&gt;0,"Exp","")))</f>
        <v/>
      </c>
      <c r="I439" s="79">
        <f>IF(OR($A439="",I$23=""),"",IF(COUNTIFS('AFA Rates'!$A$5:$A$1004,$A439,'AFA Rates'!$B$5:$B$1004,I$23,'AFA Rates'!$O$5:$O$1004,"&lt;&gt;Expired")&gt;0,"✓",IF(COUNTIFS('AFA Rates'!$A$5:$A$1004,$A439,'AFA Rates'!$B$5:$B$1004,I$23)&gt;0,"Exp","")))</f>
        <v/>
      </c>
      <c r="J439" s="79">
        <f>IF(OR($A439="",J$23=""),"",IF(COUNTIFS('AFA Rates'!$A$5:$A$1004,$A439,'AFA Rates'!$B$5:$B$1004,J$23,'AFA Rates'!$O$5:$O$1004,"&lt;&gt;Expired")&gt;0,"✓",IF(COUNTIFS('AFA Rates'!$A$5:$A$1004,$A439,'AFA Rates'!$B$5:$B$1004,J$23)&gt;0,"Exp","")))</f>
        <v/>
      </c>
      <c r="K439" s="79">
        <f>IF(OR($A439="",K$23=""),"",IF(COUNTIFS('AFA Rates'!$A$5:$A$1004,$A439,'AFA Rates'!$B$5:$B$1004,K$23,'AFA Rates'!$O$5:$O$1004,"&lt;&gt;Expired")&gt;0,"✓",IF(COUNTIFS('AFA Rates'!$A$5:$A$1004,$A439,'AFA Rates'!$B$5:$B$1004,K$23)&gt;0,"Exp","")))</f>
        <v/>
      </c>
      <c r="L439" s="79">
        <f>IF(OR($A439="",L$23=""),"",IF(COUNTIFS('AFA Rates'!$A$5:$A$1004,$A439,'AFA Rates'!$B$5:$B$1004,L$23,'AFA Rates'!$O$5:$O$1004,"&lt;&gt;Expired")&gt;0,"✓",IF(COUNTIFS('AFA Rates'!$A$5:$A$1004,$A439,'AFA Rates'!$B$5:$B$1004,L$23)&gt;0,"Exp","")))</f>
        <v/>
      </c>
      <c r="M439" s="79">
        <f>IF(OR($A439="",M$23=""),"",IF(COUNTIFS('AFA Rates'!$A$5:$A$1004,$A439,'AFA Rates'!$B$5:$B$1004,M$23,'AFA Rates'!$O$5:$O$1004,"&lt;&gt;Expired")&gt;0,"✓",IF(COUNTIFS('AFA Rates'!$A$5:$A$1004,$A439,'AFA Rates'!$B$5:$B$1004,M$23)&gt;0,"Exp","")))</f>
        <v/>
      </c>
    </row>
    <row r="440">
      <c r="A440" s="78">
        <f>IFERROR(INDEX(Firms!$A$5:$A$1004,MATCH(417,Firms!$V$5:$V$1004,0)),"")</f>
        <v/>
      </c>
      <c r="B440" s="79">
        <f>IF($A440="","",INDEX(Firms!$B$5:$B$1004,MATCH(417,Firms!$V$5:$V$1004,0)))</f>
        <v/>
      </c>
      <c r="C440" s="79">
        <f>IF($A440="","",COUNTIFS('AFA Rates'!$A$5:$A$1004,$A440,'AFA Rates'!$O$5:$O$1004,"&lt;&gt;Expired"))</f>
        <v/>
      </c>
      <c r="D440" s="79">
        <f>IF(OR($A440="",D$23=""),"",IF(COUNTIFS('AFA Rates'!$A$5:$A$1004,$A440,'AFA Rates'!$B$5:$B$1004,D$23,'AFA Rates'!$O$5:$O$1004,"&lt;&gt;Expired")&gt;0,"✓",IF(COUNTIFS('AFA Rates'!$A$5:$A$1004,$A440,'AFA Rates'!$B$5:$B$1004,D$23)&gt;0,"Exp","")))</f>
        <v/>
      </c>
      <c r="E440" s="79">
        <f>IF(OR($A440="",E$23=""),"",IF(COUNTIFS('AFA Rates'!$A$5:$A$1004,$A440,'AFA Rates'!$B$5:$B$1004,E$23,'AFA Rates'!$O$5:$O$1004,"&lt;&gt;Expired")&gt;0,"✓",IF(COUNTIFS('AFA Rates'!$A$5:$A$1004,$A440,'AFA Rates'!$B$5:$B$1004,E$23)&gt;0,"Exp","")))</f>
        <v/>
      </c>
      <c r="F440" s="79">
        <f>IF(OR($A440="",F$23=""),"",IF(COUNTIFS('AFA Rates'!$A$5:$A$1004,$A440,'AFA Rates'!$B$5:$B$1004,F$23,'AFA Rates'!$O$5:$O$1004,"&lt;&gt;Expired")&gt;0,"✓",IF(COUNTIFS('AFA Rates'!$A$5:$A$1004,$A440,'AFA Rates'!$B$5:$B$1004,F$23)&gt;0,"Exp","")))</f>
        <v/>
      </c>
      <c r="G440" s="79">
        <f>IF(OR($A440="",G$23=""),"",IF(COUNTIFS('AFA Rates'!$A$5:$A$1004,$A440,'AFA Rates'!$B$5:$B$1004,G$23,'AFA Rates'!$O$5:$O$1004,"&lt;&gt;Expired")&gt;0,"✓",IF(COUNTIFS('AFA Rates'!$A$5:$A$1004,$A440,'AFA Rates'!$B$5:$B$1004,G$23)&gt;0,"Exp","")))</f>
        <v/>
      </c>
      <c r="H440" s="79">
        <f>IF(OR($A440="",H$23=""),"",IF(COUNTIFS('AFA Rates'!$A$5:$A$1004,$A440,'AFA Rates'!$B$5:$B$1004,H$23,'AFA Rates'!$O$5:$O$1004,"&lt;&gt;Expired")&gt;0,"✓",IF(COUNTIFS('AFA Rates'!$A$5:$A$1004,$A440,'AFA Rates'!$B$5:$B$1004,H$23)&gt;0,"Exp","")))</f>
        <v/>
      </c>
      <c r="I440" s="79">
        <f>IF(OR($A440="",I$23=""),"",IF(COUNTIFS('AFA Rates'!$A$5:$A$1004,$A440,'AFA Rates'!$B$5:$B$1004,I$23,'AFA Rates'!$O$5:$O$1004,"&lt;&gt;Expired")&gt;0,"✓",IF(COUNTIFS('AFA Rates'!$A$5:$A$1004,$A440,'AFA Rates'!$B$5:$B$1004,I$23)&gt;0,"Exp","")))</f>
        <v/>
      </c>
      <c r="J440" s="79">
        <f>IF(OR($A440="",J$23=""),"",IF(COUNTIFS('AFA Rates'!$A$5:$A$1004,$A440,'AFA Rates'!$B$5:$B$1004,J$23,'AFA Rates'!$O$5:$O$1004,"&lt;&gt;Expired")&gt;0,"✓",IF(COUNTIFS('AFA Rates'!$A$5:$A$1004,$A440,'AFA Rates'!$B$5:$B$1004,J$23)&gt;0,"Exp","")))</f>
        <v/>
      </c>
      <c r="K440" s="79">
        <f>IF(OR($A440="",K$23=""),"",IF(COUNTIFS('AFA Rates'!$A$5:$A$1004,$A440,'AFA Rates'!$B$5:$B$1004,K$23,'AFA Rates'!$O$5:$O$1004,"&lt;&gt;Expired")&gt;0,"✓",IF(COUNTIFS('AFA Rates'!$A$5:$A$1004,$A440,'AFA Rates'!$B$5:$B$1004,K$23)&gt;0,"Exp","")))</f>
        <v/>
      </c>
      <c r="L440" s="79">
        <f>IF(OR($A440="",L$23=""),"",IF(COUNTIFS('AFA Rates'!$A$5:$A$1004,$A440,'AFA Rates'!$B$5:$B$1004,L$23,'AFA Rates'!$O$5:$O$1004,"&lt;&gt;Expired")&gt;0,"✓",IF(COUNTIFS('AFA Rates'!$A$5:$A$1004,$A440,'AFA Rates'!$B$5:$B$1004,L$23)&gt;0,"Exp","")))</f>
        <v/>
      </c>
      <c r="M440" s="79">
        <f>IF(OR($A440="",M$23=""),"",IF(COUNTIFS('AFA Rates'!$A$5:$A$1004,$A440,'AFA Rates'!$B$5:$B$1004,M$23,'AFA Rates'!$O$5:$O$1004,"&lt;&gt;Expired")&gt;0,"✓",IF(COUNTIFS('AFA Rates'!$A$5:$A$1004,$A440,'AFA Rates'!$B$5:$B$1004,M$23)&gt;0,"Exp","")))</f>
        <v/>
      </c>
    </row>
    <row r="441">
      <c r="A441" s="78">
        <f>IFERROR(INDEX(Firms!$A$5:$A$1004,MATCH(418,Firms!$V$5:$V$1004,0)),"")</f>
        <v/>
      </c>
      <c r="B441" s="79">
        <f>IF($A441="","",INDEX(Firms!$B$5:$B$1004,MATCH(418,Firms!$V$5:$V$1004,0)))</f>
        <v/>
      </c>
      <c r="C441" s="79">
        <f>IF($A441="","",COUNTIFS('AFA Rates'!$A$5:$A$1004,$A441,'AFA Rates'!$O$5:$O$1004,"&lt;&gt;Expired"))</f>
        <v/>
      </c>
      <c r="D441" s="79">
        <f>IF(OR($A441="",D$23=""),"",IF(COUNTIFS('AFA Rates'!$A$5:$A$1004,$A441,'AFA Rates'!$B$5:$B$1004,D$23,'AFA Rates'!$O$5:$O$1004,"&lt;&gt;Expired")&gt;0,"✓",IF(COUNTIFS('AFA Rates'!$A$5:$A$1004,$A441,'AFA Rates'!$B$5:$B$1004,D$23)&gt;0,"Exp","")))</f>
        <v/>
      </c>
      <c r="E441" s="79">
        <f>IF(OR($A441="",E$23=""),"",IF(COUNTIFS('AFA Rates'!$A$5:$A$1004,$A441,'AFA Rates'!$B$5:$B$1004,E$23,'AFA Rates'!$O$5:$O$1004,"&lt;&gt;Expired")&gt;0,"✓",IF(COUNTIFS('AFA Rates'!$A$5:$A$1004,$A441,'AFA Rates'!$B$5:$B$1004,E$23)&gt;0,"Exp","")))</f>
        <v/>
      </c>
      <c r="F441" s="79">
        <f>IF(OR($A441="",F$23=""),"",IF(COUNTIFS('AFA Rates'!$A$5:$A$1004,$A441,'AFA Rates'!$B$5:$B$1004,F$23,'AFA Rates'!$O$5:$O$1004,"&lt;&gt;Expired")&gt;0,"✓",IF(COUNTIFS('AFA Rates'!$A$5:$A$1004,$A441,'AFA Rates'!$B$5:$B$1004,F$23)&gt;0,"Exp","")))</f>
        <v/>
      </c>
      <c r="G441" s="79">
        <f>IF(OR($A441="",G$23=""),"",IF(COUNTIFS('AFA Rates'!$A$5:$A$1004,$A441,'AFA Rates'!$B$5:$B$1004,G$23,'AFA Rates'!$O$5:$O$1004,"&lt;&gt;Expired")&gt;0,"✓",IF(COUNTIFS('AFA Rates'!$A$5:$A$1004,$A441,'AFA Rates'!$B$5:$B$1004,G$23)&gt;0,"Exp","")))</f>
        <v/>
      </c>
      <c r="H441" s="79">
        <f>IF(OR($A441="",H$23=""),"",IF(COUNTIFS('AFA Rates'!$A$5:$A$1004,$A441,'AFA Rates'!$B$5:$B$1004,H$23,'AFA Rates'!$O$5:$O$1004,"&lt;&gt;Expired")&gt;0,"✓",IF(COUNTIFS('AFA Rates'!$A$5:$A$1004,$A441,'AFA Rates'!$B$5:$B$1004,H$23)&gt;0,"Exp","")))</f>
        <v/>
      </c>
      <c r="I441" s="79">
        <f>IF(OR($A441="",I$23=""),"",IF(COUNTIFS('AFA Rates'!$A$5:$A$1004,$A441,'AFA Rates'!$B$5:$B$1004,I$23,'AFA Rates'!$O$5:$O$1004,"&lt;&gt;Expired")&gt;0,"✓",IF(COUNTIFS('AFA Rates'!$A$5:$A$1004,$A441,'AFA Rates'!$B$5:$B$1004,I$23)&gt;0,"Exp","")))</f>
        <v/>
      </c>
      <c r="J441" s="79">
        <f>IF(OR($A441="",J$23=""),"",IF(COUNTIFS('AFA Rates'!$A$5:$A$1004,$A441,'AFA Rates'!$B$5:$B$1004,J$23,'AFA Rates'!$O$5:$O$1004,"&lt;&gt;Expired")&gt;0,"✓",IF(COUNTIFS('AFA Rates'!$A$5:$A$1004,$A441,'AFA Rates'!$B$5:$B$1004,J$23)&gt;0,"Exp","")))</f>
        <v/>
      </c>
      <c r="K441" s="79">
        <f>IF(OR($A441="",K$23=""),"",IF(COUNTIFS('AFA Rates'!$A$5:$A$1004,$A441,'AFA Rates'!$B$5:$B$1004,K$23,'AFA Rates'!$O$5:$O$1004,"&lt;&gt;Expired")&gt;0,"✓",IF(COUNTIFS('AFA Rates'!$A$5:$A$1004,$A441,'AFA Rates'!$B$5:$B$1004,K$23)&gt;0,"Exp","")))</f>
        <v/>
      </c>
      <c r="L441" s="79">
        <f>IF(OR($A441="",L$23=""),"",IF(COUNTIFS('AFA Rates'!$A$5:$A$1004,$A441,'AFA Rates'!$B$5:$B$1004,L$23,'AFA Rates'!$O$5:$O$1004,"&lt;&gt;Expired")&gt;0,"✓",IF(COUNTIFS('AFA Rates'!$A$5:$A$1004,$A441,'AFA Rates'!$B$5:$B$1004,L$23)&gt;0,"Exp","")))</f>
        <v/>
      </c>
      <c r="M441" s="79">
        <f>IF(OR($A441="",M$23=""),"",IF(COUNTIFS('AFA Rates'!$A$5:$A$1004,$A441,'AFA Rates'!$B$5:$B$1004,M$23,'AFA Rates'!$O$5:$O$1004,"&lt;&gt;Expired")&gt;0,"✓",IF(COUNTIFS('AFA Rates'!$A$5:$A$1004,$A441,'AFA Rates'!$B$5:$B$1004,M$23)&gt;0,"Exp","")))</f>
        <v/>
      </c>
    </row>
    <row r="442">
      <c r="A442" s="78">
        <f>IFERROR(INDEX(Firms!$A$5:$A$1004,MATCH(419,Firms!$V$5:$V$1004,0)),"")</f>
        <v/>
      </c>
      <c r="B442" s="79">
        <f>IF($A442="","",INDEX(Firms!$B$5:$B$1004,MATCH(419,Firms!$V$5:$V$1004,0)))</f>
        <v/>
      </c>
      <c r="C442" s="79">
        <f>IF($A442="","",COUNTIFS('AFA Rates'!$A$5:$A$1004,$A442,'AFA Rates'!$O$5:$O$1004,"&lt;&gt;Expired"))</f>
        <v/>
      </c>
      <c r="D442" s="79">
        <f>IF(OR($A442="",D$23=""),"",IF(COUNTIFS('AFA Rates'!$A$5:$A$1004,$A442,'AFA Rates'!$B$5:$B$1004,D$23,'AFA Rates'!$O$5:$O$1004,"&lt;&gt;Expired")&gt;0,"✓",IF(COUNTIFS('AFA Rates'!$A$5:$A$1004,$A442,'AFA Rates'!$B$5:$B$1004,D$23)&gt;0,"Exp","")))</f>
        <v/>
      </c>
      <c r="E442" s="79">
        <f>IF(OR($A442="",E$23=""),"",IF(COUNTIFS('AFA Rates'!$A$5:$A$1004,$A442,'AFA Rates'!$B$5:$B$1004,E$23,'AFA Rates'!$O$5:$O$1004,"&lt;&gt;Expired")&gt;0,"✓",IF(COUNTIFS('AFA Rates'!$A$5:$A$1004,$A442,'AFA Rates'!$B$5:$B$1004,E$23)&gt;0,"Exp","")))</f>
        <v/>
      </c>
      <c r="F442" s="79">
        <f>IF(OR($A442="",F$23=""),"",IF(COUNTIFS('AFA Rates'!$A$5:$A$1004,$A442,'AFA Rates'!$B$5:$B$1004,F$23,'AFA Rates'!$O$5:$O$1004,"&lt;&gt;Expired")&gt;0,"✓",IF(COUNTIFS('AFA Rates'!$A$5:$A$1004,$A442,'AFA Rates'!$B$5:$B$1004,F$23)&gt;0,"Exp","")))</f>
        <v/>
      </c>
      <c r="G442" s="79">
        <f>IF(OR($A442="",G$23=""),"",IF(COUNTIFS('AFA Rates'!$A$5:$A$1004,$A442,'AFA Rates'!$B$5:$B$1004,G$23,'AFA Rates'!$O$5:$O$1004,"&lt;&gt;Expired")&gt;0,"✓",IF(COUNTIFS('AFA Rates'!$A$5:$A$1004,$A442,'AFA Rates'!$B$5:$B$1004,G$23)&gt;0,"Exp","")))</f>
        <v/>
      </c>
      <c r="H442" s="79">
        <f>IF(OR($A442="",H$23=""),"",IF(COUNTIFS('AFA Rates'!$A$5:$A$1004,$A442,'AFA Rates'!$B$5:$B$1004,H$23,'AFA Rates'!$O$5:$O$1004,"&lt;&gt;Expired")&gt;0,"✓",IF(COUNTIFS('AFA Rates'!$A$5:$A$1004,$A442,'AFA Rates'!$B$5:$B$1004,H$23)&gt;0,"Exp","")))</f>
        <v/>
      </c>
      <c r="I442" s="79">
        <f>IF(OR($A442="",I$23=""),"",IF(COUNTIFS('AFA Rates'!$A$5:$A$1004,$A442,'AFA Rates'!$B$5:$B$1004,I$23,'AFA Rates'!$O$5:$O$1004,"&lt;&gt;Expired")&gt;0,"✓",IF(COUNTIFS('AFA Rates'!$A$5:$A$1004,$A442,'AFA Rates'!$B$5:$B$1004,I$23)&gt;0,"Exp","")))</f>
        <v/>
      </c>
      <c r="J442" s="79">
        <f>IF(OR($A442="",J$23=""),"",IF(COUNTIFS('AFA Rates'!$A$5:$A$1004,$A442,'AFA Rates'!$B$5:$B$1004,J$23,'AFA Rates'!$O$5:$O$1004,"&lt;&gt;Expired")&gt;0,"✓",IF(COUNTIFS('AFA Rates'!$A$5:$A$1004,$A442,'AFA Rates'!$B$5:$B$1004,J$23)&gt;0,"Exp","")))</f>
        <v/>
      </c>
      <c r="K442" s="79">
        <f>IF(OR($A442="",K$23=""),"",IF(COUNTIFS('AFA Rates'!$A$5:$A$1004,$A442,'AFA Rates'!$B$5:$B$1004,K$23,'AFA Rates'!$O$5:$O$1004,"&lt;&gt;Expired")&gt;0,"✓",IF(COUNTIFS('AFA Rates'!$A$5:$A$1004,$A442,'AFA Rates'!$B$5:$B$1004,K$23)&gt;0,"Exp","")))</f>
        <v/>
      </c>
      <c r="L442" s="79">
        <f>IF(OR($A442="",L$23=""),"",IF(COUNTIFS('AFA Rates'!$A$5:$A$1004,$A442,'AFA Rates'!$B$5:$B$1004,L$23,'AFA Rates'!$O$5:$O$1004,"&lt;&gt;Expired")&gt;0,"✓",IF(COUNTIFS('AFA Rates'!$A$5:$A$1004,$A442,'AFA Rates'!$B$5:$B$1004,L$23)&gt;0,"Exp","")))</f>
        <v/>
      </c>
      <c r="M442" s="79">
        <f>IF(OR($A442="",M$23=""),"",IF(COUNTIFS('AFA Rates'!$A$5:$A$1004,$A442,'AFA Rates'!$B$5:$B$1004,M$23,'AFA Rates'!$O$5:$O$1004,"&lt;&gt;Expired")&gt;0,"✓",IF(COUNTIFS('AFA Rates'!$A$5:$A$1004,$A442,'AFA Rates'!$B$5:$B$1004,M$23)&gt;0,"Exp","")))</f>
        <v/>
      </c>
    </row>
    <row r="443">
      <c r="A443" s="78">
        <f>IFERROR(INDEX(Firms!$A$5:$A$1004,MATCH(420,Firms!$V$5:$V$1004,0)),"")</f>
        <v/>
      </c>
      <c r="B443" s="79">
        <f>IF($A443="","",INDEX(Firms!$B$5:$B$1004,MATCH(420,Firms!$V$5:$V$1004,0)))</f>
        <v/>
      </c>
      <c r="C443" s="79">
        <f>IF($A443="","",COUNTIFS('AFA Rates'!$A$5:$A$1004,$A443,'AFA Rates'!$O$5:$O$1004,"&lt;&gt;Expired"))</f>
        <v/>
      </c>
      <c r="D443" s="79">
        <f>IF(OR($A443="",D$23=""),"",IF(COUNTIFS('AFA Rates'!$A$5:$A$1004,$A443,'AFA Rates'!$B$5:$B$1004,D$23,'AFA Rates'!$O$5:$O$1004,"&lt;&gt;Expired")&gt;0,"✓",IF(COUNTIFS('AFA Rates'!$A$5:$A$1004,$A443,'AFA Rates'!$B$5:$B$1004,D$23)&gt;0,"Exp","")))</f>
        <v/>
      </c>
      <c r="E443" s="79">
        <f>IF(OR($A443="",E$23=""),"",IF(COUNTIFS('AFA Rates'!$A$5:$A$1004,$A443,'AFA Rates'!$B$5:$B$1004,E$23,'AFA Rates'!$O$5:$O$1004,"&lt;&gt;Expired")&gt;0,"✓",IF(COUNTIFS('AFA Rates'!$A$5:$A$1004,$A443,'AFA Rates'!$B$5:$B$1004,E$23)&gt;0,"Exp","")))</f>
        <v/>
      </c>
      <c r="F443" s="79">
        <f>IF(OR($A443="",F$23=""),"",IF(COUNTIFS('AFA Rates'!$A$5:$A$1004,$A443,'AFA Rates'!$B$5:$B$1004,F$23,'AFA Rates'!$O$5:$O$1004,"&lt;&gt;Expired")&gt;0,"✓",IF(COUNTIFS('AFA Rates'!$A$5:$A$1004,$A443,'AFA Rates'!$B$5:$B$1004,F$23)&gt;0,"Exp","")))</f>
        <v/>
      </c>
      <c r="G443" s="79">
        <f>IF(OR($A443="",G$23=""),"",IF(COUNTIFS('AFA Rates'!$A$5:$A$1004,$A443,'AFA Rates'!$B$5:$B$1004,G$23,'AFA Rates'!$O$5:$O$1004,"&lt;&gt;Expired")&gt;0,"✓",IF(COUNTIFS('AFA Rates'!$A$5:$A$1004,$A443,'AFA Rates'!$B$5:$B$1004,G$23)&gt;0,"Exp","")))</f>
        <v/>
      </c>
      <c r="H443" s="79">
        <f>IF(OR($A443="",H$23=""),"",IF(COUNTIFS('AFA Rates'!$A$5:$A$1004,$A443,'AFA Rates'!$B$5:$B$1004,H$23,'AFA Rates'!$O$5:$O$1004,"&lt;&gt;Expired")&gt;0,"✓",IF(COUNTIFS('AFA Rates'!$A$5:$A$1004,$A443,'AFA Rates'!$B$5:$B$1004,H$23)&gt;0,"Exp","")))</f>
        <v/>
      </c>
      <c r="I443" s="79">
        <f>IF(OR($A443="",I$23=""),"",IF(COUNTIFS('AFA Rates'!$A$5:$A$1004,$A443,'AFA Rates'!$B$5:$B$1004,I$23,'AFA Rates'!$O$5:$O$1004,"&lt;&gt;Expired")&gt;0,"✓",IF(COUNTIFS('AFA Rates'!$A$5:$A$1004,$A443,'AFA Rates'!$B$5:$B$1004,I$23)&gt;0,"Exp","")))</f>
        <v/>
      </c>
      <c r="J443" s="79">
        <f>IF(OR($A443="",J$23=""),"",IF(COUNTIFS('AFA Rates'!$A$5:$A$1004,$A443,'AFA Rates'!$B$5:$B$1004,J$23,'AFA Rates'!$O$5:$O$1004,"&lt;&gt;Expired")&gt;0,"✓",IF(COUNTIFS('AFA Rates'!$A$5:$A$1004,$A443,'AFA Rates'!$B$5:$B$1004,J$23)&gt;0,"Exp","")))</f>
        <v/>
      </c>
      <c r="K443" s="79">
        <f>IF(OR($A443="",K$23=""),"",IF(COUNTIFS('AFA Rates'!$A$5:$A$1004,$A443,'AFA Rates'!$B$5:$B$1004,K$23,'AFA Rates'!$O$5:$O$1004,"&lt;&gt;Expired")&gt;0,"✓",IF(COUNTIFS('AFA Rates'!$A$5:$A$1004,$A443,'AFA Rates'!$B$5:$B$1004,K$23)&gt;0,"Exp","")))</f>
        <v/>
      </c>
      <c r="L443" s="79">
        <f>IF(OR($A443="",L$23=""),"",IF(COUNTIFS('AFA Rates'!$A$5:$A$1004,$A443,'AFA Rates'!$B$5:$B$1004,L$23,'AFA Rates'!$O$5:$O$1004,"&lt;&gt;Expired")&gt;0,"✓",IF(COUNTIFS('AFA Rates'!$A$5:$A$1004,$A443,'AFA Rates'!$B$5:$B$1004,L$23)&gt;0,"Exp","")))</f>
        <v/>
      </c>
      <c r="M443" s="79">
        <f>IF(OR($A443="",M$23=""),"",IF(COUNTIFS('AFA Rates'!$A$5:$A$1004,$A443,'AFA Rates'!$B$5:$B$1004,M$23,'AFA Rates'!$O$5:$O$1004,"&lt;&gt;Expired")&gt;0,"✓",IF(COUNTIFS('AFA Rates'!$A$5:$A$1004,$A443,'AFA Rates'!$B$5:$B$1004,M$23)&gt;0,"Exp","")))</f>
        <v/>
      </c>
    </row>
    <row r="444">
      <c r="A444" s="78">
        <f>IFERROR(INDEX(Firms!$A$5:$A$1004,MATCH(421,Firms!$V$5:$V$1004,0)),"")</f>
        <v/>
      </c>
      <c r="B444" s="79">
        <f>IF($A444="","",INDEX(Firms!$B$5:$B$1004,MATCH(421,Firms!$V$5:$V$1004,0)))</f>
        <v/>
      </c>
      <c r="C444" s="79">
        <f>IF($A444="","",COUNTIFS('AFA Rates'!$A$5:$A$1004,$A444,'AFA Rates'!$O$5:$O$1004,"&lt;&gt;Expired"))</f>
        <v/>
      </c>
      <c r="D444" s="79">
        <f>IF(OR($A444="",D$23=""),"",IF(COUNTIFS('AFA Rates'!$A$5:$A$1004,$A444,'AFA Rates'!$B$5:$B$1004,D$23,'AFA Rates'!$O$5:$O$1004,"&lt;&gt;Expired")&gt;0,"✓",IF(COUNTIFS('AFA Rates'!$A$5:$A$1004,$A444,'AFA Rates'!$B$5:$B$1004,D$23)&gt;0,"Exp","")))</f>
        <v/>
      </c>
      <c r="E444" s="79">
        <f>IF(OR($A444="",E$23=""),"",IF(COUNTIFS('AFA Rates'!$A$5:$A$1004,$A444,'AFA Rates'!$B$5:$B$1004,E$23,'AFA Rates'!$O$5:$O$1004,"&lt;&gt;Expired")&gt;0,"✓",IF(COUNTIFS('AFA Rates'!$A$5:$A$1004,$A444,'AFA Rates'!$B$5:$B$1004,E$23)&gt;0,"Exp","")))</f>
        <v/>
      </c>
      <c r="F444" s="79">
        <f>IF(OR($A444="",F$23=""),"",IF(COUNTIFS('AFA Rates'!$A$5:$A$1004,$A444,'AFA Rates'!$B$5:$B$1004,F$23,'AFA Rates'!$O$5:$O$1004,"&lt;&gt;Expired")&gt;0,"✓",IF(COUNTIFS('AFA Rates'!$A$5:$A$1004,$A444,'AFA Rates'!$B$5:$B$1004,F$23)&gt;0,"Exp","")))</f>
        <v/>
      </c>
      <c r="G444" s="79">
        <f>IF(OR($A444="",G$23=""),"",IF(COUNTIFS('AFA Rates'!$A$5:$A$1004,$A444,'AFA Rates'!$B$5:$B$1004,G$23,'AFA Rates'!$O$5:$O$1004,"&lt;&gt;Expired")&gt;0,"✓",IF(COUNTIFS('AFA Rates'!$A$5:$A$1004,$A444,'AFA Rates'!$B$5:$B$1004,G$23)&gt;0,"Exp","")))</f>
        <v/>
      </c>
      <c r="H444" s="79">
        <f>IF(OR($A444="",H$23=""),"",IF(COUNTIFS('AFA Rates'!$A$5:$A$1004,$A444,'AFA Rates'!$B$5:$B$1004,H$23,'AFA Rates'!$O$5:$O$1004,"&lt;&gt;Expired")&gt;0,"✓",IF(COUNTIFS('AFA Rates'!$A$5:$A$1004,$A444,'AFA Rates'!$B$5:$B$1004,H$23)&gt;0,"Exp","")))</f>
        <v/>
      </c>
      <c r="I444" s="79">
        <f>IF(OR($A444="",I$23=""),"",IF(COUNTIFS('AFA Rates'!$A$5:$A$1004,$A444,'AFA Rates'!$B$5:$B$1004,I$23,'AFA Rates'!$O$5:$O$1004,"&lt;&gt;Expired")&gt;0,"✓",IF(COUNTIFS('AFA Rates'!$A$5:$A$1004,$A444,'AFA Rates'!$B$5:$B$1004,I$23)&gt;0,"Exp","")))</f>
        <v/>
      </c>
      <c r="J444" s="79">
        <f>IF(OR($A444="",J$23=""),"",IF(COUNTIFS('AFA Rates'!$A$5:$A$1004,$A444,'AFA Rates'!$B$5:$B$1004,J$23,'AFA Rates'!$O$5:$O$1004,"&lt;&gt;Expired")&gt;0,"✓",IF(COUNTIFS('AFA Rates'!$A$5:$A$1004,$A444,'AFA Rates'!$B$5:$B$1004,J$23)&gt;0,"Exp","")))</f>
        <v/>
      </c>
      <c r="K444" s="79">
        <f>IF(OR($A444="",K$23=""),"",IF(COUNTIFS('AFA Rates'!$A$5:$A$1004,$A444,'AFA Rates'!$B$5:$B$1004,K$23,'AFA Rates'!$O$5:$O$1004,"&lt;&gt;Expired")&gt;0,"✓",IF(COUNTIFS('AFA Rates'!$A$5:$A$1004,$A444,'AFA Rates'!$B$5:$B$1004,K$23)&gt;0,"Exp","")))</f>
        <v/>
      </c>
      <c r="L444" s="79">
        <f>IF(OR($A444="",L$23=""),"",IF(COUNTIFS('AFA Rates'!$A$5:$A$1004,$A444,'AFA Rates'!$B$5:$B$1004,L$23,'AFA Rates'!$O$5:$O$1004,"&lt;&gt;Expired")&gt;0,"✓",IF(COUNTIFS('AFA Rates'!$A$5:$A$1004,$A444,'AFA Rates'!$B$5:$B$1004,L$23)&gt;0,"Exp","")))</f>
        <v/>
      </c>
      <c r="M444" s="79">
        <f>IF(OR($A444="",M$23=""),"",IF(COUNTIFS('AFA Rates'!$A$5:$A$1004,$A444,'AFA Rates'!$B$5:$B$1004,M$23,'AFA Rates'!$O$5:$O$1004,"&lt;&gt;Expired")&gt;0,"✓",IF(COUNTIFS('AFA Rates'!$A$5:$A$1004,$A444,'AFA Rates'!$B$5:$B$1004,M$23)&gt;0,"Exp","")))</f>
        <v/>
      </c>
    </row>
    <row r="445">
      <c r="A445" s="78">
        <f>IFERROR(INDEX(Firms!$A$5:$A$1004,MATCH(422,Firms!$V$5:$V$1004,0)),"")</f>
        <v/>
      </c>
      <c r="B445" s="79">
        <f>IF($A445="","",INDEX(Firms!$B$5:$B$1004,MATCH(422,Firms!$V$5:$V$1004,0)))</f>
        <v/>
      </c>
      <c r="C445" s="79">
        <f>IF($A445="","",COUNTIFS('AFA Rates'!$A$5:$A$1004,$A445,'AFA Rates'!$O$5:$O$1004,"&lt;&gt;Expired"))</f>
        <v/>
      </c>
      <c r="D445" s="79">
        <f>IF(OR($A445="",D$23=""),"",IF(COUNTIFS('AFA Rates'!$A$5:$A$1004,$A445,'AFA Rates'!$B$5:$B$1004,D$23,'AFA Rates'!$O$5:$O$1004,"&lt;&gt;Expired")&gt;0,"✓",IF(COUNTIFS('AFA Rates'!$A$5:$A$1004,$A445,'AFA Rates'!$B$5:$B$1004,D$23)&gt;0,"Exp","")))</f>
        <v/>
      </c>
      <c r="E445" s="79">
        <f>IF(OR($A445="",E$23=""),"",IF(COUNTIFS('AFA Rates'!$A$5:$A$1004,$A445,'AFA Rates'!$B$5:$B$1004,E$23,'AFA Rates'!$O$5:$O$1004,"&lt;&gt;Expired")&gt;0,"✓",IF(COUNTIFS('AFA Rates'!$A$5:$A$1004,$A445,'AFA Rates'!$B$5:$B$1004,E$23)&gt;0,"Exp","")))</f>
        <v/>
      </c>
      <c r="F445" s="79">
        <f>IF(OR($A445="",F$23=""),"",IF(COUNTIFS('AFA Rates'!$A$5:$A$1004,$A445,'AFA Rates'!$B$5:$B$1004,F$23,'AFA Rates'!$O$5:$O$1004,"&lt;&gt;Expired")&gt;0,"✓",IF(COUNTIFS('AFA Rates'!$A$5:$A$1004,$A445,'AFA Rates'!$B$5:$B$1004,F$23)&gt;0,"Exp","")))</f>
        <v/>
      </c>
      <c r="G445" s="79">
        <f>IF(OR($A445="",G$23=""),"",IF(COUNTIFS('AFA Rates'!$A$5:$A$1004,$A445,'AFA Rates'!$B$5:$B$1004,G$23,'AFA Rates'!$O$5:$O$1004,"&lt;&gt;Expired")&gt;0,"✓",IF(COUNTIFS('AFA Rates'!$A$5:$A$1004,$A445,'AFA Rates'!$B$5:$B$1004,G$23)&gt;0,"Exp","")))</f>
        <v/>
      </c>
      <c r="H445" s="79">
        <f>IF(OR($A445="",H$23=""),"",IF(COUNTIFS('AFA Rates'!$A$5:$A$1004,$A445,'AFA Rates'!$B$5:$B$1004,H$23,'AFA Rates'!$O$5:$O$1004,"&lt;&gt;Expired")&gt;0,"✓",IF(COUNTIFS('AFA Rates'!$A$5:$A$1004,$A445,'AFA Rates'!$B$5:$B$1004,H$23)&gt;0,"Exp","")))</f>
        <v/>
      </c>
      <c r="I445" s="79">
        <f>IF(OR($A445="",I$23=""),"",IF(COUNTIFS('AFA Rates'!$A$5:$A$1004,$A445,'AFA Rates'!$B$5:$B$1004,I$23,'AFA Rates'!$O$5:$O$1004,"&lt;&gt;Expired")&gt;0,"✓",IF(COUNTIFS('AFA Rates'!$A$5:$A$1004,$A445,'AFA Rates'!$B$5:$B$1004,I$23)&gt;0,"Exp","")))</f>
        <v/>
      </c>
      <c r="J445" s="79">
        <f>IF(OR($A445="",J$23=""),"",IF(COUNTIFS('AFA Rates'!$A$5:$A$1004,$A445,'AFA Rates'!$B$5:$B$1004,J$23,'AFA Rates'!$O$5:$O$1004,"&lt;&gt;Expired")&gt;0,"✓",IF(COUNTIFS('AFA Rates'!$A$5:$A$1004,$A445,'AFA Rates'!$B$5:$B$1004,J$23)&gt;0,"Exp","")))</f>
        <v/>
      </c>
      <c r="K445" s="79">
        <f>IF(OR($A445="",K$23=""),"",IF(COUNTIFS('AFA Rates'!$A$5:$A$1004,$A445,'AFA Rates'!$B$5:$B$1004,K$23,'AFA Rates'!$O$5:$O$1004,"&lt;&gt;Expired")&gt;0,"✓",IF(COUNTIFS('AFA Rates'!$A$5:$A$1004,$A445,'AFA Rates'!$B$5:$B$1004,K$23)&gt;0,"Exp","")))</f>
        <v/>
      </c>
      <c r="L445" s="79">
        <f>IF(OR($A445="",L$23=""),"",IF(COUNTIFS('AFA Rates'!$A$5:$A$1004,$A445,'AFA Rates'!$B$5:$B$1004,L$23,'AFA Rates'!$O$5:$O$1004,"&lt;&gt;Expired")&gt;0,"✓",IF(COUNTIFS('AFA Rates'!$A$5:$A$1004,$A445,'AFA Rates'!$B$5:$B$1004,L$23)&gt;0,"Exp","")))</f>
        <v/>
      </c>
      <c r="M445" s="79">
        <f>IF(OR($A445="",M$23=""),"",IF(COUNTIFS('AFA Rates'!$A$5:$A$1004,$A445,'AFA Rates'!$B$5:$B$1004,M$23,'AFA Rates'!$O$5:$O$1004,"&lt;&gt;Expired")&gt;0,"✓",IF(COUNTIFS('AFA Rates'!$A$5:$A$1004,$A445,'AFA Rates'!$B$5:$B$1004,M$23)&gt;0,"Exp","")))</f>
        <v/>
      </c>
    </row>
    <row r="446">
      <c r="A446" s="78">
        <f>IFERROR(INDEX(Firms!$A$5:$A$1004,MATCH(423,Firms!$V$5:$V$1004,0)),"")</f>
        <v/>
      </c>
      <c r="B446" s="79">
        <f>IF($A446="","",INDEX(Firms!$B$5:$B$1004,MATCH(423,Firms!$V$5:$V$1004,0)))</f>
        <v/>
      </c>
      <c r="C446" s="79">
        <f>IF($A446="","",COUNTIFS('AFA Rates'!$A$5:$A$1004,$A446,'AFA Rates'!$O$5:$O$1004,"&lt;&gt;Expired"))</f>
        <v/>
      </c>
      <c r="D446" s="79">
        <f>IF(OR($A446="",D$23=""),"",IF(COUNTIFS('AFA Rates'!$A$5:$A$1004,$A446,'AFA Rates'!$B$5:$B$1004,D$23,'AFA Rates'!$O$5:$O$1004,"&lt;&gt;Expired")&gt;0,"✓",IF(COUNTIFS('AFA Rates'!$A$5:$A$1004,$A446,'AFA Rates'!$B$5:$B$1004,D$23)&gt;0,"Exp","")))</f>
        <v/>
      </c>
      <c r="E446" s="79">
        <f>IF(OR($A446="",E$23=""),"",IF(COUNTIFS('AFA Rates'!$A$5:$A$1004,$A446,'AFA Rates'!$B$5:$B$1004,E$23,'AFA Rates'!$O$5:$O$1004,"&lt;&gt;Expired")&gt;0,"✓",IF(COUNTIFS('AFA Rates'!$A$5:$A$1004,$A446,'AFA Rates'!$B$5:$B$1004,E$23)&gt;0,"Exp","")))</f>
        <v/>
      </c>
      <c r="F446" s="79">
        <f>IF(OR($A446="",F$23=""),"",IF(COUNTIFS('AFA Rates'!$A$5:$A$1004,$A446,'AFA Rates'!$B$5:$B$1004,F$23,'AFA Rates'!$O$5:$O$1004,"&lt;&gt;Expired")&gt;0,"✓",IF(COUNTIFS('AFA Rates'!$A$5:$A$1004,$A446,'AFA Rates'!$B$5:$B$1004,F$23)&gt;0,"Exp","")))</f>
        <v/>
      </c>
      <c r="G446" s="79">
        <f>IF(OR($A446="",G$23=""),"",IF(COUNTIFS('AFA Rates'!$A$5:$A$1004,$A446,'AFA Rates'!$B$5:$B$1004,G$23,'AFA Rates'!$O$5:$O$1004,"&lt;&gt;Expired")&gt;0,"✓",IF(COUNTIFS('AFA Rates'!$A$5:$A$1004,$A446,'AFA Rates'!$B$5:$B$1004,G$23)&gt;0,"Exp","")))</f>
        <v/>
      </c>
      <c r="H446" s="79">
        <f>IF(OR($A446="",H$23=""),"",IF(COUNTIFS('AFA Rates'!$A$5:$A$1004,$A446,'AFA Rates'!$B$5:$B$1004,H$23,'AFA Rates'!$O$5:$O$1004,"&lt;&gt;Expired")&gt;0,"✓",IF(COUNTIFS('AFA Rates'!$A$5:$A$1004,$A446,'AFA Rates'!$B$5:$B$1004,H$23)&gt;0,"Exp","")))</f>
        <v/>
      </c>
      <c r="I446" s="79">
        <f>IF(OR($A446="",I$23=""),"",IF(COUNTIFS('AFA Rates'!$A$5:$A$1004,$A446,'AFA Rates'!$B$5:$B$1004,I$23,'AFA Rates'!$O$5:$O$1004,"&lt;&gt;Expired")&gt;0,"✓",IF(COUNTIFS('AFA Rates'!$A$5:$A$1004,$A446,'AFA Rates'!$B$5:$B$1004,I$23)&gt;0,"Exp","")))</f>
        <v/>
      </c>
      <c r="J446" s="79">
        <f>IF(OR($A446="",J$23=""),"",IF(COUNTIFS('AFA Rates'!$A$5:$A$1004,$A446,'AFA Rates'!$B$5:$B$1004,J$23,'AFA Rates'!$O$5:$O$1004,"&lt;&gt;Expired")&gt;0,"✓",IF(COUNTIFS('AFA Rates'!$A$5:$A$1004,$A446,'AFA Rates'!$B$5:$B$1004,J$23)&gt;0,"Exp","")))</f>
        <v/>
      </c>
      <c r="K446" s="79">
        <f>IF(OR($A446="",K$23=""),"",IF(COUNTIFS('AFA Rates'!$A$5:$A$1004,$A446,'AFA Rates'!$B$5:$B$1004,K$23,'AFA Rates'!$O$5:$O$1004,"&lt;&gt;Expired")&gt;0,"✓",IF(COUNTIFS('AFA Rates'!$A$5:$A$1004,$A446,'AFA Rates'!$B$5:$B$1004,K$23)&gt;0,"Exp","")))</f>
        <v/>
      </c>
      <c r="L446" s="79">
        <f>IF(OR($A446="",L$23=""),"",IF(COUNTIFS('AFA Rates'!$A$5:$A$1004,$A446,'AFA Rates'!$B$5:$B$1004,L$23,'AFA Rates'!$O$5:$O$1004,"&lt;&gt;Expired")&gt;0,"✓",IF(COUNTIFS('AFA Rates'!$A$5:$A$1004,$A446,'AFA Rates'!$B$5:$B$1004,L$23)&gt;0,"Exp","")))</f>
        <v/>
      </c>
      <c r="M446" s="79">
        <f>IF(OR($A446="",M$23=""),"",IF(COUNTIFS('AFA Rates'!$A$5:$A$1004,$A446,'AFA Rates'!$B$5:$B$1004,M$23,'AFA Rates'!$O$5:$O$1004,"&lt;&gt;Expired")&gt;0,"✓",IF(COUNTIFS('AFA Rates'!$A$5:$A$1004,$A446,'AFA Rates'!$B$5:$B$1004,M$23)&gt;0,"Exp","")))</f>
        <v/>
      </c>
    </row>
    <row r="447">
      <c r="A447" s="78">
        <f>IFERROR(INDEX(Firms!$A$5:$A$1004,MATCH(424,Firms!$V$5:$V$1004,0)),"")</f>
        <v/>
      </c>
      <c r="B447" s="79">
        <f>IF($A447="","",INDEX(Firms!$B$5:$B$1004,MATCH(424,Firms!$V$5:$V$1004,0)))</f>
        <v/>
      </c>
      <c r="C447" s="79">
        <f>IF($A447="","",COUNTIFS('AFA Rates'!$A$5:$A$1004,$A447,'AFA Rates'!$O$5:$O$1004,"&lt;&gt;Expired"))</f>
        <v/>
      </c>
      <c r="D447" s="79">
        <f>IF(OR($A447="",D$23=""),"",IF(COUNTIFS('AFA Rates'!$A$5:$A$1004,$A447,'AFA Rates'!$B$5:$B$1004,D$23,'AFA Rates'!$O$5:$O$1004,"&lt;&gt;Expired")&gt;0,"✓",IF(COUNTIFS('AFA Rates'!$A$5:$A$1004,$A447,'AFA Rates'!$B$5:$B$1004,D$23)&gt;0,"Exp","")))</f>
        <v/>
      </c>
      <c r="E447" s="79">
        <f>IF(OR($A447="",E$23=""),"",IF(COUNTIFS('AFA Rates'!$A$5:$A$1004,$A447,'AFA Rates'!$B$5:$B$1004,E$23,'AFA Rates'!$O$5:$O$1004,"&lt;&gt;Expired")&gt;0,"✓",IF(COUNTIFS('AFA Rates'!$A$5:$A$1004,$A447,'AFA Rates'!$B$5:$B$1004,E$23)&gt;0,"Exp","")))</f>
        <v/>
      </c>
      <c r="F447" s="79">
        <f>IF(OR($A447="",F$23=""),"",IF(COUNTIFS('AFA Rates'!$A$5:$A$1004,$A447,'AFA Rates'!$B$5:$B$1004,F$23,'AFA Rates'!$O$5:$O$1004,"&lt;&gt;Expired")&gt;0,"✓",IF(COUNTIFS('AFA Rates'!$A$5:$A$1004,$A447,'AFA Rates'!$B$5:$B$1004,F$23)&gt;0,"Exp","")))</f>
        <v/>
      </c>
      <c r="G447" s="79">
        <f>IF(OR($A447="",G$23=""),"",IF(COUNTIFS('AFA Rates'!$A$5:$A$1004,$A447,'AFA Rates'!$B$5:$B$1004,G$23,'AFA Rates'!$O$5:$O$1004,"&lt;&gt;Expired")&gt;0,"✓",IF(COUNTIFS('AFA Rates'!$A$5:$A$1004,$A447,'AFA Rates'!$B$5:$B$1004,G$23)&gt;0,"Exp","")))</f>
        <v/>
      </c>
      <c r="H447" s="79">
        <f>IF(OR($A447="",H$23=""),"",IF(COUNTIFS('AFA Rates'!$A$5:$A$1004,$A447,'AFA Rates'!$B$5:$B$1004,H$23,'AFA Rates'!$O$5:$O$1004,"&lt;&gt;Expired")&gt;0,"✓",IF(COUNTIFS('AFA Rates'!$A$5:$A$1004,$A447,'AFA Rates'!$B$5:$B$1004,H$23)&gt;0,"Exp","")))</f>
        <v/>
      </c>
      <c r="I447" s="79">
        <f>IF(OR($A447="",I$23=""),"",IF(COUNTIFS('AFA Rates'!$A$5:$A$1004,$A447,'AFA Rates'!$B$5:$B$1004,I$23,'AFA Rates'!$O$5:$O$1004,"&lt;&gt;Expired")&gt;0,"✓",IF(COUNTIFS('AFA Rates'!$A$5:$A$1004,$A447,'AFA Rates'!$B$5:$B$1004,I$23)&gt;0,"Exp","")))</f>
        <v/>
      </c>
      <c r="J447" s="79">
        <f>IF(OR($A447="",J$23=""),"",IF(COUNTIFS('AFA Rates'!$A$5:$A$1004,$A447,'AFA Rates'!$B$5:$B$1004,J$23,'AFA Rates'!$O$5:$O$1004,"&lt;&gt;Expired")&gt;0,"✓",IF(COUNTIFS('AFA Rates'!$A$5:$A$1004,$A447,'AFA Rates'!$B$5:$B$1004,J$23)&gt;0,"Exp","")))</f>
        <v/>
      </c>
      <c r="K447" s="79">
        <f>IF(OR($A447="",K$23=""),"",IF(COUNTIFS('AFA Rates'!$A$5:$A$1004,$A447,'AFA Rates'!$B$5:$B$1004,K$23,'AFA Rates'!$O$5:$O$1004,"&lt;&gt;Expired")&gt;0,"✓",IF(COUNTIFS('AFA Rates'!$A$5:$A$1004,$A447,'AFA Rates'!$B$5:$B$1004,K$23)&gt;0,"Exp","")))</f>
        <v/>
      </c>
      <c r="L447" s="79">
        <f>IF(OR($A447="",L$23=""),"",IF(COUNTIFS('AFA Rates'!$A$5:$A$1004,$A447,'AFA Rates'!$B$5:$B$1004,L$23,'AFA Rates'!$O$5:$O$1004,"&lt;&gt;Expired")&gt;0,"✓",IF(COUNTIFS('AFA Rates'!$A$5:$A$1004,$A447,'AFA Rates'!$B$5:$B$1004,L$23)&gt;0,"Exp","")))</f>
        <v/>
      </c>
      <c r="M447" s="79">
        <f>IF(OR($A447="",M$23=""),"",IF(COUNTIFS('AFA Rates'!$A$5:$A$1004,$A447,'AFA Rates'!$B$5:$B$1004,M$23,'AFA Rates'!$O$5:$O$1004,"&lt;&gt;Expired")&gt;0,"✓",IF(COUNTIFS('AFA Rates'!$A$5:$A$1004,$A447,'AFA Rates'!$B$5:$B$1004,M$23)&gt;0,"Exp","")))</f>
        <v/>
      </c>
    </row>
    <row r="448">
      <c r="A448" s="78">
        <f>IFERROR(INDEX(Firms!$A$5:$A$1004,MATCH(425,Firms!$V$5:$V$1004,0)),"")</f>
        <v/>
      </c>
      <c r="B448" s="79">
        <f>IF($A448="","",INDEX(Firms!$B$5:$B$1004,MATCH(425,Firms!$V$5:$V$1004,0)))</f>
        <v/>
      </c>
      <c r="C448" s="79">
        <f>IF($A448="","",COUNTIFS('AFA Rates'!$A$5:$A$1004,$A448,'AFA Rates'!$O$5:$O$1004,"&lt;&gt;Expired"))</f>
        <v/>
      </c>
      <c r="D448" s="79">
        <f>IF(OR($A448="",D$23=""),"",IF(COUNTIFS('AFA Rates'!$A$5:$A$1004,$A448,'AFA Rates'!$B$5:$B$1004,D$23,'AFA Rates'!$O$5:$O$1004,"&lt;&gt;Expired")&gt;0,"✓",IF(COUNTIFS('AFA Rates'!$A$5:$A$1004,$A448,'AFA Rates'!$B$5:$B$1004,D$23)&gt;0,"Exp","")))</f>
        <v/>
      </c>
      <c r="E448" s="79">
        <f>IF(OR($A448="",E$23=""),"",IF(COUNTIFS('AFA Rates'!$A$5:$A$1004,$A448,'AFA Rates'!$B$5:$B$1004,E$23,'AFA Rates'!$O$5:$O$1004,"&lt;&gt;Expired")&gt;0,"✓",IF(COUNTIFS('AFA Rates'!$A$5:$A$1004,$A448,'AFA Rates'!$B$5:$B$1004,E$23)&gt;0,"Exp","")))</f>
        <v/>
      </c>
      <c r="F448" s="79">
        <f>IF(OR($A448="",F$23=""),"",IF(COUNTIFS('AFA Rates'!$A$5:$A$1004,$A448,'AFA Rates'!$B$5:$B$1004,F$23,'AFA Rates'!$O$5:$O$1004,"&lt;&gt;Expired")&gt;0,"✓",IF(COUNTIFS('AFA Rates'!$A$5:$A$1004,$A448,'AFA Rates'!$B$5:$B$1004,F$23)&gt;0,"Exp","")))</f>
        <v/>
      </c>
      <c r="G448" s="79">
        <f>IF(OR($A448="",G$23=""),"",IF(COUNTIFS('AFA Rates'!$A$5:$A$1004,$A448,'AFA Rates'!$B$5:$B$1004,G$23,'AFA Rates'!$O$5:$O$1004,"&lt;&gt;Expired")&gt;0,"✓",IF(COUNTIFS('AFA Rates'!$A$5:$A$1004,$A448,'AFA Rates'!$B$5:$B$1004,G$23)&gt;0,"Exp","")))</f>
        <v/>
      </c>
      <c r="H448" s="79">
        <f>IF(OR($A448="",H$23=""),"",IF(COUNTIFS('AFA Rates'!$A$5:$A$1004,$A448,'AFA Rates'!$B$5:$B$1004,H$23,'AFA Rates'!$O$5:$O$1004,"&lt;&gt;Expired")&gt;0,"✓",IF(COUNTIFS('AFA Rates'!$A$5:$A$1004,$A448,'AFA Rates'!$B$5:$B$1004,H$23)&gt;0,"Exp","")))</f>
        <v/>
      </c>
      <c r="I448" s="79">
        <f>IF(OR($A448="",I$23=""),"",IF(COUNTIFS('AFA Rates'!$A$5:$A$1004,$A448,'AFA Rates'!$B$5:$B$1004,I$23,'AFA Rates'!$O$5:$O$1004,"&lt;&gt;Expired")&gt;0,"✓",IF(COUNTIFS('AFA Rates'!$A$5:$A$1004,$A448,'AFA Rates'!$B$5:$B$1004,I$23)&gt;0,"Exp","")))</f>
        <v/>
      </c>
      <c r="J448" s="79">
        <f>IF(OR($A448="",J$23=""),"",IF(COUNTIFS('AFA Rates'!$A$5:$A$1004,$A448,'AFA Rates'!$B$5:$B$1004,J$23,'AFA Rates'!$O$5:$O$1004,"&lt;&gt;Expired")&gt;0,"✓",IF(COUNTIFS('AFA Rates'!$A$5:$A$1004,$A448,'AFA Rates'!$B$5:$B$1004,J$23)&gt;0,"Exp","")))</f>
        <v/>
      </c>
      <c r="K448" s="79">
        <f>IF(OR($A448="",K$23=""),"",IF(COUNTIFS('AFA Rates'!$A$5:$A$1004,$A448,'AFA Rates'!$B$5:$B$1004,K$23,'AFA Rates'!$O$5:$O$1004,"&lt;&gt;Expired")&gt;0,"✓",IF(COUNTIFS('AFA Rates'!$A$5:$A$1004,$A448,'AFA Rates'!$B$5:$B$1004,K$23)&gt;0,"Exp","")))</f>
        <v/>
      </c>
      <c r="L448" s="79">
        <f>IF(OR($A448="",L$23=""),"",IF(COUNTIFS('AFA Rates'!$A$5:$A$1004,$A448,'AFA Rates'!$B$5:$B$1004,L$23,'AFA Rates'!$O$5:$O$1004,"&lt;&gt;Expired")&gt;0,"✓",IF(COUNTIFS('AFA Rates'!$A$5:$A$1004,$A448,'AFA Rates'!$B$5:$B$1004,L$23)&gt;0,"Exp","")))</f>
        <v/>
      </c>
      <c r="M448" s="79">
        <f>IF(OR($A448="",M$23=""),"",IF(COUNTIFS('AFA Rates'!$A$5:$A$1004,$A448,'AFA Rates'!$B$5:$B$1004,M$23,'AFA Rates'!$O$5:$O$1004,"&lt;&gt;Expired")&gt;0,"✓",IF(COUNTIFS('AFA Rates'!$A$5:$A$1004,$A448,'AFA Rates'!$B$5:$B$1004,M$23)&gt;0,"Exp","")))</f>
        <v/>
      </c>
    </row>
    <row r="449">
      <c r="A449" s="78">
        <f>IFERROR(INDEX(Firms!$A$5:$A$1004,MATCH(426,Firms!$V$5:$V$1004,0)),"")</f>
        <v/>
      </c>
      <c r="B449" s="79">
        <f>IF($A449="","",INDEX(Firms!$B$5:$B$1004,MATCH(426,Firms!$V$5:$V$1004,0)))</f>
        <v/>
      </c>
      <c r="C449" s="79">
        <f>IF($A449="","",COUNTIFS('AFA Rates'!$A$5:$A$1004,$A449,'AFA Rates'!$O$5:$O$1004,"&lt;&gt;Expired"))</f>
        <v/>
      </c>
      <c r="D449" s="79">
        <f>IF(OR($A449="",D$23=""),"",IF(COUNTIFS('AFA Rates'!$A$5:$A$1004,$A449,'AFA Rates'!$B$5:$B$1004,D$23,'AFA Rates'!$O$5:$O$1004,"&lt;&gt;Expired")&gt;0,"✓",IF(COUNTIFS('AFA Rates'!$A$5:$A$1004,$A449,'AFA Rates'!$B$5:$B$1004,D$23)&gt;0,"Exp","")))</f>
        <v/>
      </c>
      <c r="E449" s="79">
        <f>IF(OR($A449="",E$23=""),"",IF(COUNTIFS('AFA Rates'!$A$5:$A$1004,$A449,'AFA Rates'!$B$5:$B$1004,E$23,'AFA Rates'!$O$5:$O$1004,"&lt;&gt;Expired")&gt;0,"✓",IF(COUNTIFS('AFA Rates'!$A$5:$A$1004,$A449,'AFA Rates'!$B$5:$B$1004,E$23)&gt;0,"Exp","")))</f>
        <v/>
      </c>
      <c r="F449" s="79">
        <f>IF(OR($A449="",F$23=""),"",IF(COUNTIFS('AFA Rates'!$A$5:$A$1004,$A449,'AFA Rates'!$B$5:$B$1004,F$23,'AFA Rates'!$O$5:$O$1004,"&lt;&gt;Expired")&gt;0,"✓",IF(COUNTIFS('AFA Rates'!$A$5:$A$1004,$A449,'AFA Rates'!$B$5:$B$1004,F$23)&gt;0,"Exp","")))</f>
        <v/>
      </c>
      <c r="G449" s="79">
        <f>IF(OR($A449="",G$23=""),"",IF(COUNTIFS('AFA Rates'!$A$5:$A$1004,$A449,'AFA Rates'!$B$5:$B$1004,G$23,'AFA Rates'!$O$5:$O$1004,"&lt;&gt;Expired")&gt;0,"✓",IF(COUNTIFS('AFA Rates'!$A$5:$A$1004,$A449,'AFA Rates'!$B$5:$B$1004,G$23)&gt;0,"Exp","")))</f>
        <v/>
      </c>
      <c r="H449" s="79">
        <f>IF(OR($A449="",H$23=""),"",IF(COUNTIFS('AFA Rates'!$A$5:$A$1004,$A449,'AFA Rates'!$B$5:$B$1004,H$23,'AFA Rates'!$O$5:$O$1004,"&lt;&gt;Expired")&gt;0,"✓",IF(COUNTIFS('AFA Rates'!$A$5:$A$1004,$A449,'AFA Rates'!$B$5:$B$1004,H$23)&gt;0,"Exp","")))</f>
        <v/>
      </c>
      <c r="I449" s="79">
        <f>IF(OR($A449="",I$23=""),"",IF(COUNTIFS('AFA Rates'!$A$5:$A$1004,$A449,'AFA Rates'!$B$5:$B$1004,I$23,'AFA Rates'!$O$5:$O$1004,"&lt;&gt;Expired")&gt;0,"✓",IF(COUNTIFS('AFA Rates'!$A$5:$A$1004,$A449,'AFA Rates'!$B$5:$B$1004,I$23)&gt;0,"Exp","")))</f>
        <v/>
      </c>
      <c r="J449" s="79">
        <f>IF(OR($A449="",J$23=""),"",IF(COUNTIFS('AFA Rates'!$A$5:$A$1004,$A449,'AFA Rates'!$B$5:$B$1004,J$23,'AFA Rates'!$O$5:$O$1004,"&lt;&gt;Expired")&gt;0,"✓",IF(COUNTIFS('AFA Rates'!$A$5:$A$1004,$A449,'AFA Rates'!$B$5:$B$1004,J$23)&gt;0,"Exp","")))</f>
        <v/>
      </c>
      <c r="K449" s="79">
        <f>IF(OR($A449="",K$23=""),"",IF(COUNTIFS('AFA Rates'!$A$5:$A$1004,$A449,'AFA Rates'!$B$5:$B$1004,K$23,'AFA Rates'!$O$5:$O$1004,"&lt;&gt;Expired")&gt;0,"✓",IF(COUNTIFS('AFA Rates'!$A$5:$A$1004,$A449,'AFA Rates'!$B$5:$B$1004,K$23)&gt;0,"Exp","")))</f>
        <v/>
      </c>
      <c r="L449" s="79">
        <f>IF(OR($A449="",L$23=""),"",IF(COUNTIFS('AFA Rates'!$A$5:$A$1004,$A449,'AFA Rates'!$B$5:$B$1004,L$23,'AFA Rates'!$O$5:$O$1004,"&lt;&gt;Expired")&gt;0,"✓",IF(COUNTIFS('AFA Rates'!$A$5:$A$1004,$A449,'AFA Rates'!$B$5:$B$1004,L$23)&gt;0,"Exp","")))</f>
        <v/>
      </c>
      <c r="M449" s="79">
        <f>IF(OR($A449="",M$23=""),"",IF(COUNTIFS('AFA Rates'!$A$5:$A$1004,$A449,'AFA Rates'!$B$5:$B$1004,M$23,'AFA Rates'!$O$5:$O$1004,"&lt;&gt;Expired")&gt;0,"✓",IF(COUNTIFS('AFA Rates'!$A$5:$A$1004,$A449,'AFA Rates'!$B$5:$B$1004,M$23)&gt;0,"Exp","")))</f>
        <v/>
      </c>
    </row>
    <row r="450">
      <c r="A450" s="78">
        <f>IFERROR(INDEX(Firms!$A$5:$A$1004,MATCH(427,Firms!$V$5:$V$1004,0)),"")</f>
        <v/>
      </c>
      <c r="B450" s="79">
        <f>IF($A450="","",INDEX(Firms!$B$5:$B$1004,MATCH(427,Firms!$V$5:$V$1004,0)))</f>
        <v/>
      </c>
      <c r="C450" s="79">
        <f>IF($A450="","",COUNTIFS('AFA Rates'!$A$5:$A$1004,$A450,'AFA Rates'!$O$5:$O$1004,"&lt;&gt;Expired"))</f>
        <v/>
      </c>
      <c r="D450" s="79">
        <f>IF(OR($A450="",D$23=""),"",IF(COUNTIFS('AFA Rates'!$A$5:$A$1004,$A450,'AFA Rates'!$B$5:$B$1004,D$23,'AFA Rates'!$O$5:$O$1004,"&lt;&gt;Expired")&gt;0,"✓",IF(COUNTIFS('AFA Rates'!$A$5:$A$1004,$A450,'AFA Rates'!$B$5:$B$1004,D$23)&gt;0,"Exp","")))</f>
        <v/>
      </c>
      <c r="E450" s="79">
        <f>IF(OR($A450="",E$23=""),"",IF(COUNTIFS('AFA Rates'!$A$5:$A$1004,$A450,'AFA Rates'!$B$5:$B$1004,E$23,'AFA Rates'!$O$5:$O$1004,"&lt;&gt;Expired")&gt;0,"✓",IF(COUNTIFS('AFA Rates'!$A$5:$A$1004,$A450,'AFA Rates'!$B$5:$B$1004,E$23)&gt;0,"Exp","")))</f>
        <v/>
      </c>
      <c r="F450" s="79">
        <f>IF(OR($A450="",F$23=""),"",IF(COUNTIFS('AFA Rates'!$A$5:$A$1004,$A450,'AFA Rates'!$B$5:$B$1004,F$23,'AFA Rates'!$O$5:$O$1004,"&lt;&gt;Expired")&gt;0,"✓",IF(COUNTIFS('AFA Rates'!$A$5:$A$1004,$A450,'AFA Rates'!$B$5:$B$1004,F$23)&gt;0,"Exp","")))</f>
        <v/>
      </c>
      <c r="G450" s="79">
        <f>IF(OR($A450="",G$23=""),"",IF(COUNTIFS('AFA Rates'!$A$5:$A$1004,$A450,'AFA Rates'!$B$5:$B$1004,G$23,'AFA Rates'!$O$5:$O$1004,"&lt;&gt;Expired")&gt;0,"✓",IF(COUNTIFS('AFA Rates'!$A$5:$A$1004,$A450,'AFA Rates'!$B$5:$B$1004,G$23)&gt;0,"Exp","")))</f>
        <v/>
      </c>
      <c r="H450" s="79">
        <f>IF(OR($A450="",H$23=""),"",IF(COUNTIFS('AFA Rates'!$A$5:$A$1004,$A450,'AFA Rates'!$B$5:$B$1004,H$23,'AFA Rates'!$O$5:$O$1004,"&lt;&gt;Expired")&gt;0,"✓",IF(COUNTIFS('AFA Rates'!$A$5:$A$1004,$A450,'AFA Rates'!$B$5:$B$1004,H$23)&gt;0,"Exp","")))</f>
        <v/>
      </c>
      <c r="I450" s="79">
        <f>IF(OR($A450="",I$23=""),"",IF(COUNTIFS('AFA Rates'!$A$5:$A$1004,$A450,'AFA Rates'!$B$5:$B$1004,I$23,'AFA Rates'!$O$5:$O$1004,"&lt;&gt;Expired")&gt;0,"✓",IF(COUNTIFS('AFA Rates'!$A$5:$A$1004,$A450,'AFA Rates'!$B$5:$B$1004,I$23)&gt;0,"Exp","")))</f>
        <v/>
      </c>
      <c r="J450" s="79">
        <f>IF(OR($A450="",J$23=""),"",IF(COUNTIFS('AFA Rates'!$A$5:$A$1004,$A450,'AFA Rates'!$B$5:$B$1004,J$23,'AFA Rates'!$O$5:$O$1004,"&lt;&gt;Expired")&gt;0,"✓",IF(COUNTIFS('AFA Rates'!$A$5:$A$1004,$A450,'AFA Rates'!$B$5:$B$1004,J$23)&gt;0,"Exp","")))</f>
        <v/>
      </c>
      <c r="K450" s="79">
        <f>IF(OR($A450="",K$23=""),"",IF(COUNTIFS('AFA Rates'!$A$5:$A$1004,$A450,'AFA Rates'!$B$5:$B$1004,K$23,'AFA Rates'!$O$5:$O$1004,"&lt;&gt;Expired")&gt;0,"✓",IF(COUNTIFS('AFA Rates'!$A$5:$A$1004,$A450,'AFA Rates'!$B$5:$B$1004,K$23)&gt;0,"Exp","")))</f>
        <v/>
      </c>
      <c r="L450" s="79">
        <f>IF(OR($A450="",L$23=""),"",IF(COUNTIFS('AFA Rates'!$A$5:$A$1004,$A450,'AFA Rates'!$B$5:$B$1004,L$23,'AFA Rates'!$O$5:$O$1004,"&lt;&gt;Expired")&gt;0,"✓",IF(COUNTIFS('AFA Rates'!$A$5:$A$1004,$A450,'AFA Rates'!$B$5:$B$1004,L$23)&gt;0,"Exp","")))</f>
        <v/>
      </c>
      <c r="M450" s="79">
        <f>IF(OR($A450="",M$23=""),"",IF(COUNTIFS('AFA Rates'!$A$5:$A$1004,$A450,'AFA Rates'!$B$5:$B$1004,M$23,'AFA Rates'!$O$5:$O$1004,"&lt;&gt;Expired")&gt;0,"✓",IF(COUNTIFS('AFA Rates'!$A$5:$A$1004,$A450,'AFA Rates'!$B$5:$B$1004,M$23)&gt;0,"Exp","")))</f>
        <v/>
      </c>
    </row>
    <row r="451">
      <c r="A451" s="78">
        <f>IFERROR(INDEX(Firms!$A$5:$A$1004,MATCH(428,Firms!$V$5:$V$1004,0)),"")</f>
        <v/>
      </c>
      <c r="B451" s="79">
        <f>IF($A451="","",INDEX(Firms!$B$5:$B$1004,MATCH(428,Firms!$V$5:$V$1004,0)))</f>
        <v/>
      </c>
      <c r="C451" s="79">
        <f>IF($A451="","",COUNTIFS('AFA Rates'!$A$5:$A$1004,$A451,'AFA Rates'!$O$5:$O$1004,"&lt;&gt;Expired"))</f>
        <v/>
      </c>
      <c r="D451" s="79">
        <f>IF(OR($A451="",D$23=""),"",IF(COUNTIFS('AFA Rates'!$A$5:$A$1004,$A451,'AFA Rates'!$B$5:$B$1004,D$23,'AFA Rates'!$O$5:$O$1004,"&lt;&gt;Expired")&gt;0,"✓",IF(COUNTIFS('AFA Rates'!$A$5:$A$1004,$A451,'AFA Rates'!$B$5:$B$1004,D$23)&gt;0,"Exp","")))</f>
        <v/>
      </c>
      <c r="E451" s="79">
        <f>IF(OR($A451="",E$23=""),"",IF(COUNTIFS('AFA Rates'!$A$5:$A$1004,$A451,'AFA Rates'!$B$5:$B$1004,E$23,'AFA Rates'!$O$5:$O$1004,"&lt;&gt;Expired")&gt;0,"✓",IF(COUNTIFS('AFA Rates'!$A$5:$A$1004,$A451,'AFA Rates'!$B$5:$B$1004,E$23)&gt;0,"Exp","")))</f>
        <v/>
      </c>
      <c r="F451" s="79">
        <f>IF(OR($A451="",F$23=""),"",IF(COUNTIFS('AFA Rates'!$A$5:$A$1004,$A451,'AFA Rates'!$B$5:$B$1004,F$23,'AFA Rates'!$O$5:$O$1004,"&lt;&gt;Expired")&gt;0,"✓",IF(COUNTIFS('AFA Rates'!$A$5:$A$1004,$A451,'AFA Rates'!$B$5:$B$1004,F$23)&gt;0,"Exp","")))</f>
        <v/>
      </c>
      <c r="G451" s="79">
        <f>IF(OR($A451="",G$23=""),"",IF(COUNTIFS('AFA Rates'!$A$5:$A$1004,$A451,'AFA Rates'!$B$5:$B$1004,G$23,'AFA Rates'!$O$5:$O$1004,"&lt;&gt;Expired")&gt;0,"✓",IF(COUNTIFS('AFA Rates'!$A$5:$A$1004,$A451,'AFA Rates'!$B$5:$B$1004,G$23)&gt;0,"Exp","")))</f>
        <v/>
      </c>
      <c r="H451" s="79">
        <f>IF(OR($A451="",H$23=""),"",IF(COUNTIFS('AFA Rates'!$A$5:$A$1004,$A451,'AFA Rates'!$B$5:$B$1004,H$23,'AFA Rates'!$O$5:$O$1004,"&lt;&gt;Expired")&gt;0,"✓",IF(COUNTIFS('AFA Rates'!$A$5:$A$1004,$A451,'AFA Rates'!$B$5:$B$1004,H$23)&gt;0,"Exp","")))</f>
        <v/>
      </c>
      <c r="I451" s="79">
        <f>IF(OR($A451="",I$23=""),"",IF(COUNTIFS('AFA Rates'!$A$5:$A$1004,$A451,'AFA Rates'!$B$5:$B$1004,I$23,'AFA Rates'!$O$5:$O$1004,"&lt;&gt;Expired")&gt;0,"✓",IF(COUNTIFS('AFA Rates'!$A$5:$A$1004,$A451,'AFA Rates'!$B$5:$B$1004,I$23)&gt;0,"Exp","")))</f>
        <v/>
      </c>
      <c r="J451" s="79">
        <f>IF(OR($A451="",J$23=""),"",IF(COUNTIFS('AFA Rates'!$A$5:$A$1004,$A451,'AFA Rates'!$B$5:$B$1004,J$23,'AFA Rates'!$O$5:$O$1004,"&lt;&gt;Expired")&gt;0,"✓",IF(COUNTIFS('AFA Rates'!$A$5:$A$1004,$A451,'AFA Rates'!$B$5:$B$1004,J$23)&gt;0,"Exp","")))</f>
        <v/>
      </c>
      <c r="K451" s="79">
        <f>IF(OR($A451="",K$23=""),"",IF(COUNTIFS('AFA Rates'!$A$5:$A$1004,$A451,'AFA Rates'!$B$5:$B$1004,K$23,'AFA Rates'!$O$5:$O$1004,"&lt;&gt;Expired")&gt;0,"✓",IF(COUNTIFS('AFA Rates'!$A$5:$A$1004,$A451,'AFA Rates'!$B$5:$B$1004,K$23)&gt;0,"Exp","")))</f>
        <v/>
      </c>
      <c r="L451" s="79">
        <f>IF(OR($A451="",L$23=""),"",IF(COUNTIFS('AFA Rates'!$A$5:$A$1004,$A451,'AFA Rates'!$B$5:$B$1004,L$23,'AFA Rates'!$O$5:$O$1004,"&lt;&gt;Expired")&gt;0,"✓",IF(COUNTIFS('AFA Rates'!$A$5:$A$1004,$A451,'AFA Rates'!$B$5:$B$1004,L$23)&gt;0,"Exp","")))</f>
        <v/>
      </c>
      <c r="M451" s="79">
        <f>IF(OR($A451="",M$23=""),"",IF(COUNTIFS('AFA Rates'!$A$5:$A$1004,$A451,'AFA Rates'!$B$5:$B$1004,M$23,'AFA Rates'!$O$5:$O$1004,"&lt;&gt;Expired")&gt;0,"✓",IF(COUNTIFS('AFA Rates'!$A$5:$A$1004,$A451,'AFA Rates'!$B$5:$B$1004,M$23)&gt;0,"Exp","")))</f>
        <v/>
      </c>
    </row>
    <row r="452">
      <c r="A452" s="78">
        <f>IFERROR(INDEX(Firms!$A$5:$A$1004,MATCH(429,Firms!$V$5:$V$1004,0)),"")</f>
        <v/>
      </c>
      <c r="B452" s="79">
        <f>IF($A452="","",INDEX(Firms!$B$5:$B$1004,MATCH(429,Firms!$V$5:$V$1004,0)))</f>
        <v/>
      </c>
      <c r="C452" s="79">
        <f>IF($A452="","",COUNTIFS('AFA Rates'!$A$5:$A$1004,$A452,'AFA Rates'!$O$5:$O$1004,"&lt;&gt;Expired"))</f>
        <v/>
      </c>
      <c r="D452" s="79">
        <f>IF(OR($A452="",D$23=""),"",IF(COUNTIFS('AFA Rates'!$A$5:$A$1004,$A452,'AFA Rates'!$B$5:$B$1004,D$23,'AFA Rates'!$O$5:$O$1004,"&lt;&gt;Expired")&gt;0,"✓",IF(COUNTIFS('AFA Rates'!$A$5:$A$1004,$A452,'AFA Rates'!$B$5:$B$1004,D$23)&gt;0,"Exp","")))</f>
        <v/>
      </c>
      <c r="E452" s="79">
        <f>IF(OR($A452="",E$23=""),"",IF(COUNTIFS('AFA Rates'!$A$5:$A$1004,$A452,'AFA Rates'!$B$5:$B$1004,E$23,'AFA Rates'!$O$5:$O$1004,"&lt;&gt;Expired")&gt;0,"✓",IF(COUNTIFS('AFA Rates'!$A$5:$A$1004,$A452,'AFA Rates'!$B$5:$B$1004,E$23)&gt;0,"Exp","")))</f>
        <v/>
      </c>
      <c r="F452" s="79">
        <f>IF(OR($A452="",F$23=""),"",IF(COUNTIFS('AFA Rates'!$A$5:$A$1004,$A452,'AFA Rates'!$B$5:$B$1004,F$23,'AFA Rates'!$O$5:$O$1004,"&lt;&gt;Expired")&gt;0,"✓",IF(COUNTIFS('AFA Rates'!$A$5:$A$1004,$A452,'AFA Rates'!$B$5:$B$1004,F$23)&gt;0,"Exp","")))</f>
        <v/>
      </c>
      <c r="G452" s="79">
        <f>IF(OR($A452="",G$23=""),"",IF(COUNTIFS('AFA Rates'!$A$5:$A$1004,$A452,'AFA Rates'!$B$5:$B$1004,G$23,'AFA Rates'!$O$5:$O$1004,"&lt;&gt;Expired")&gt;0,"✓",IF(COUNTIFS('AFA Rates'!$A$5:$A$1004,$A452,'AFA Rates'!$B$5:$B$1004,G$23)&gt;0,"Exp","")))</f>
        <v/>
      </c>
      <c r="H452" s="79">
        <f>IF(OR($A452="",H$23=""),"",IF(COUNTIFS('AFA Rates'!$A$5:$A$1004,$A452,'AFA Rates'!$B$5:$B$1004,H$23,'AFA Rates'!$O$5:$O$1004,"&lt;&gt;Expired")&gt;0,"✓",IF(COUNTIFS('AFA Rates'!$A$5:$A$1004,$A452,'AFA Rates'!$B$5:$B$1004,H$23)&gt;0,"Exp","")))</f>
        <v/>
      </c>
      <c r="I452" s="79">
        <f>IF(OR($A452="",I$23=""),"",IF(COUNTIFS('AFA Rates'!$A$5:$A$1004,$A452,'AFA Rates'!$B$5:$B$1004,I$23,'AFA Rates'!$O$5:$O$1004,"&lt;&gt;Expired")&gt;0,"✓",IF(COUNTIFS('AFA Rates'!$A$5:$A$1004,$A452,'AFA Rates'!$B$5:$B$1004,I$23)&gt;0,"Exp","")))</f>
        <v/>
      </c>
      <c r="J452" s="79">
        <f>IF(OR($A452="",J$23=""),"",IF(COUNTIFS('AFA Rates'!$A$5:$A$1004,$A452,'AFA Rates'!$B$5:$B$1004,J$23,'AFA Rates'!$O$5:$O$1004,"&lt;&gt;Expired")&gt;0,"✓",IF(COUNTIFS('AFA Rates'!$A$5:$A$1004,$A452,'AFA Rates'!$B$5:$B$1004,J$23)&gt;0,"Exp","")))</f>
        <v/>
      </c>
      <c r="K452" s="79">
        <f>IF(OR($A452="",K$23=""),"",IF(COUNTIFS('AFA Rates'!$A$5:$A$1004,$A452,'AFA Rates'!$B$5:$B$1004,K$23,'AFA Rates'!$O$5:$O$1004,"&lt;&gt;Expired")&gt;0,"✓",IF(COUNTIFS('AFA Rates'!$A$5:$A$1004,$A452,'AFA Rates'!$B$5:$B$1004,K$23)&gt;0,"Exp","")))</f>
        <v/>
      </c>
      <c r="L452" s="79">
        <f>IF(OR($A452="",L$23=""),"",IF(COUNTIFS('AFA Rates'!$A$5:$A$1004,$A452,'AFA Rates'!$B$5:$B$1004,L$23,'AFA Rates'!$O$5:$O$1004,"&lt;&gt;Expired")&gt;0,"✓",IF(COUNTIFS('AFA Rates'!$A$5:$A$1004,$A452,'AFA Rates'!$B$5:$B$1004,L$23)&gt;0,"Exp","")))</f>
        <v/>
      </c>
      <c r="M452" s="79">
        <f>IF(OR($A452="",M$23=""),"",IF(COUNTIFS('AFA Rates'!$A$5:$A$1004,$A452,'AFA Rates'!$B$5:$B$1004,M$23,'AFA Rates'!$O$5:$O$1004,"&lt;&gt;Expired")&gt;0,"✓",IF(COUNTIFS('AFA Rates'!$A$5:$A$1004,$A452,'AFA Rates'!$B$5:$B$1004,M$23)&gt;0,"Exp","")))</f>
        <v/>
      </c>
    </row>
    <row r="453">
      <c r="A453" s="78">
        <f>IFERROR(INDEX(Firms!$A$5:$A$1004,MATCH(430,Firms!$V$5:$V$1004,0)),"")</f>
        <v/>
      </c>
      <c r="B453" s="79">
        <f>IF($A453="","",INDEX(Firms!$B$5:$B$1004,MATCH(430,Firms!$V$5:$V$1004,0)))</f>
        <v/>
      </c>
      <c r="C453" s="79">
        <f>IF($A453="","",COUNTIFS('AFA Rates'!$A$5:$A$1004,$A453,'AFA Rates'!$O$5:$O$1004,"&lt;&gt;Expired"))</f>
        <v/>
      </c>
      <c r="D453" s="79">
        <f>IF(OR($A453="",D$23=""),"",IF(COUNTIFS('AFA Rates'!$A$5:$A$1004,$A453,'AFA Rates'!$B$5:$B$1004,D$23,'AFA Rates'!$O$5:$O$1004,"&lt;&gt;Expired")&gt;0,"✓",IF(COUNTIFS('AFA Rates'!$A$5:$A$1004,$A453,'AFA Rates'!$B$5:$B$1004,D$23)&gt;0,"Exp","")))</f>
        <v/>
      </c>
      <c r="E453" s="79">
        <f>IF(OR($A453="",E$23=""),"",IF(COUNTIFS('AFA Rates'!$A$5:$A$1004,$A453,'AFA Rates'!$B$5:$B$1004,E$23,'AFA Rates'!$O$5:$O$1004,"&lt;&gt;Expired")&gt;0,"✓",IF(COUNTIFS('AFA Rates'!$A$5:$A$1004,$A453,'AFA Rates'!$B$5:$B$1004,E$23)&gt;0,"Exp","")))</f>
        <v/>
      </c>
      <c r="F453" s="79">
        <f>IF(OR($A453="",F$23=""),"",IF(COUNTIFS('AFA Rates'!$A$5:$A$1004,$A453,'AFA Rates'!$B$5:$B$1004,F$23,'AFA Rates'!$O$5:$O$1004,"&lt;&gt;Expired")&gt;0,"✓",IF(COUNTIFS('AFA Rates'!$A$5:$A$1004,$A453,'AFA Rates'!$B$5:$B$1004,F$23)&gt;0,"Exp","")))</f>
        <v/>
      </c>
      <c r="G453" s="79">
        <f>IF(OR($A453="",G$23=""),"",IF(COUNTIFS('AFA Rates'!$A$5:$A$1004,$A453,'AFA Rates'!$B$5:$B$1004,G$23,'AFA Rates'!$O$5:$O$1004,"&lt;&gt;Expired")&gt;0,"✓",IF(COUNTIFS('AFA Rates'!$A$5:$A$1004,$A453,'AFA Rates'!$B$5:$B$1004,G$23)&gt;0,"Exp","")))</f>
        <v/>
      </c>
      <c r="H453" s="79">
        <f>IF(OR($A453="",H$23=""),"",IF(COUNTIFS('AFA Rates'!$A$5:$A$1004,$A453,'AFA Rates'!$B$5:$B$1004,H$23,'AFA Rates'!$O$5:$O$1004,"&lt;&gt;Expired")&gt;0,"✓",IF(COUNTIFS('AFA Rates'!$A$5:$A$1004,$A453,'AFA Rates'!$B$5:$B$1004,H$23)&gt;0,"Exp","")))</f>
        <v/>
      </c>
      <c r="I453" s="79">
        <f>IF(OR($A453="",I$23=""),"",IF(COUNTIFS('AFA Rates'!$A$5:$A$1004,$A453,'AFA Rates'!$B$5:$B$1004,I$23,'AFA Rates'!$O$5:$O$1004,"&lt;&gt;Expired")&gt;0,"✓",IF(COUNTIFS('AFA Rates'!$A$5:$A$1004,$A453,'AFA Rates'!$B$5:$B$1004,I$23)&gt;0,"Exp","")))</f>
        <v/>
      </c>
      <c r="J453" s="79">
        <f>IF(OR($A453="",J$23=""),"",IF(COUNTIFS('AFA Rates'!$A$5:$A$1004,$A453,'AFA Rates'!$B$5:$B$1004,J$23,'AFA Rates'!$O$5:$O$1004,"&lt;&gt;Expired")&gt;0,"✓",IF(COUNTIFS('AFA Rates'!$A$5:$A$1004,$A453,'AFA Rates'!$B$5:$B$1004,J$23)&gt;0,"Exp","")))</f>
        <v/>
      </c>
      <c r="K453" s="79">
        <f>IF(OR($A453="",K$23=""),"",IF(COUNTIFS('AFA Rates'!$A$5:$A$1004,$A453,'AFA Rates'!$B$5:$B$1004,K$23,'AFA Rates'!$O$5:$O$1004,"&lt;&gt;Expired")&gt;0,"✓",IF(COUNTIFS('AFA Rates'!$A$5:$A$1004,$A453,'AFA Rates'!$B$5:$B$1004,K$23)&gt;0,"Exp","")))</f>
        <v/>
      </c>
      <c r="L453" s="79">
        <f>IF(OR($A453="",L$23=""),"",IF(COUNTIFS('AFA Rates'!$A$5:$A$1004,$A453,'AFA Rates'!$B$5:$B$1004,L$23,'AFA Rates'!$O$5:$O$1004,"&lt;&gt;Expired")&gt;0,"✓",IF(COUNTIFS('AFA Rates'!$A$5:$A$1004,$A453,'AFA Rates'!$B$5:$B$1004,L$23)&gt;0,"Exp","")))</f>
        <v/>
      </c>
      <c r="M453" s="79">
        <f>IF(OR($A453="",M$23=""),"",IF(COUNTIFS('AFA Rates'!$A$5:$A$1004,$A453,'AFA Rates'!$B$5:$B$1004,M$23,'AFA Rates'!$O$5:$O$1004,"&lt;&gt;Expired")&gt;0,"✓",IF(COUNTIFS('AFA Rates'!$A$5:$A$1004,$A453,'AFA Rates'!$B$5:$B$1004,M$23)&gt;0,"Exp","")))</f>
        <v/>
      </c>
    </row>
    <row r="454">
      <c r="A454" s="78">
        <f>IFERROR(INDEX(Firms!$A$5:$A$1004,MATCH(431,Firms!$V$5:$V$1004,0)),"")</f>
        <v/>
      </c>
      <c r="B454" s="79">
        <f>IF($A454="","",INDEX(Firms!$B$5:$B$1004,MATCH(431,Firms!$V$5:$V$1004,0)))</f>
        <v/>
      </c>
      <c r="C454" s="79">
        <f>IF($A454="","",COUNTIFS('AFA Rates'!$A$5:$A$1004,$A454,'AFA Rates'!$O$5:$O$1004,"&lt;&gt;Expired"))</f>
        <v/>
      </c>
      <c r="D454" s="79">
        <f>IF(OR($A454="",D$23=""),"",IF(COUNTIFS('AFA Rates'!$A$5:$A$1004,$A454,'AFA Rates'!$B$5:$B$1004,D$23,'AFA Rates'!$O$5:$O$1004,"&lt;&gt;Expired")&gt;0,"✓",IF(COUNTIFS('AFA Rates'!$A$5:$A$1004,$A454,'AFA Rates'!$B$5:$B$1004,D$23)&gt;0,"Exp","")))</f>
        <v/>
      </c>
      <c r="E454" s="79">
        <f>IF(OR($A454="",E$23=""),"",IF(COUNTIFS('AFA Rates'!$A$5:$A$1004,$A454,'AFA Rates'!$B$5:$B$1004,E$23,'AFA Rates'!$O$5:$O$1004,"&lt;&gt;Expired")&gt;0,"✓",IF(COUNTIFS('AFA Rates'!$A$5:$A$1004,$A454,'AFA Rates'!$B$5:$B$1004,E$23)&gt;0,"Exp","")))</f>
        <v/>
      </c>
      <c r="F454" s="79">
        <f>IF(OR($A454="",F$23=""),"",IF(COUNTIFS('AFA Rates'!$A$5:$A$1004,$A454,'AFA Rates'!$B$5:$B$1004,F$23,'AFA Rates'!$O$5:$O$1004,"&lt;&gt;Expired")&gt;0,"✓",IF(COUNTIFS('AFA Rates'!$A$5:$A$1004,$A454,'AFA Rates'!$B$5:$B$1004,F$23)&gt;0,"Exp","")))</f>
        <v/>
      </c>
      <c r="G454" s="79">
        <f>IF(OR($A454="",G$23=""),"",IF(COUNTIFS('AFA Rates'!$A$5:$A$1004,$A454,'AFA Rates'!$B$5:$B$1004,G$23,'AFA Rates'!$O$5:$O$1004,"&lt;&gt;Expired")&gt;0,"✓",IF(COUNTIFS('AFA Rates'!$A$5:$A$1004,$A454,'AFA Rates'!$B$5:$B$1004,G$23)&gt;0,"Exp","")))</f>
        <v/>
      </c>
      <c r="H454" s="79">
        <f>IF(OR($A454="",H$23=""),"",IF(COUNTIFS('AFA Rates'!$A$5:$A$1004,$A454,'AFA Rates'!$B$5:$B$1004,H$23,'AFA Rates'!$O$5:$O$1004,"&lt;&gt;Expired")&gt;0,"✓",IF(COUNTIFS('AFA Rates'!$A$5:$A$1004,$A454,'AFA Rates'!$B$5:$B$1004,H$23)&gt;0,"Exp","")))</f>
        <v/>
      </c>
      <c r="I454" s="79">
        <f>IF(OR($A454="",I$23=""),"",IF(COUNTIFS('AFA Rates'!$A$5:$A$1004,$A454,'AFA Rates'!$B$5:$B$1004,I$23,'AFA Rates'!$O$5:$O$1004,"&lt;&gt;Expired")&gt;0,"✓",IF(COUNTIFS('AFA Rates'!$A$5:$A$1004,$A454,'AFA Rates'!$B$5:$B$1004,I$23)&gt;0,"Exp","")))</f>
        <v/>
      </c>
      <c r="J454" s="79">
        <f>IF(OR($A454="",J$23=""),"",IF(COUNTIFS('AFA Rates'!$A$5:$A$1004,$A454,'AFA Rates'!$B$5:$B$1004,J$23,'AFA Rates'!$O$5:$O$1004,"&lt;&gt;Expired")&gt;0,"✓",IF(COUNTIFS('AFA Rates'!$A$5:$A$1004,$A454,'AFA Rates'!$B$5:$B$1004,J$23)&gt;0,"Exp","")))</f>
        <v/>
      </c>
      <c r="K454" s="79">
        <f>IF(OR($A454="",K$23=""),"",IF(COUNTIFS('AFA Rates'!$A$5:$A$1004,$A454,'AFA Rates'!$B$5:$B$1004,K$23,'AFA Rates'!$O$5:$O$1004,"&lt;&gt;Expired")&gt;0,"✓",IF(COUNTIFS('AFA Rates'!$A$5:$A$1004,$A454,'AFA Rates'!$B$5:$B$1004,K$23)&gt;0,"Exp","")))</f>
        <v/>
      </c>
      <c r="L454" s="79">
        <f>IF(OR($A454="",L$23=""),"",IF(COUNTIFS('AFA Rates'!$A$5:$A$1004,$A454,'AFA Rates'!$B$5:$B$1004,L$23,'AFA Rates'!$O$5:$O$1004,"&lt;&gt;Expired")&gt;0,"✓",IF(COUNTIFS('AFA Rates'!$A$5:$A$1004,$A454,'AFA Rates'!$B$5:$B$1004,L$23)&gt;0,"Exp","")))</f>
        <v/>
      </c>
      <c r="M454" s="79">
        <f>IF(OR($A454="",M$23=""),"",IF(COUNTIFS('AFA Rates'!$A$5:$A$1004,$A454,'AFA Rates'!$B$5:$B$1004,M$23,'AFA Rates'!$O$5:$O$1004,"&lt;&gt;Expired")&gt;0,"✓",IF(COUNTIFS('AFA Rates'!$A$5:$A$1004,$A454,'AFA Rates'!$B$5:$B$1004,M$23)&gt;0,"Exp","")))</f>
        <v/>
      </c>
    </row>
    <row r="455">
      <c r="A455" s="78">
        <f>IFERROR(INDEX(Firms!$A$5:$A$1004,MATCH(432,Firms!$V$5:$V$1004,0)),"")</f>
        <v/>
      </c>
      <c r="B455" s="79">
        <f>IF($A455="","",INDEX(Firms!$B$5:$B$1004,MATCH(432,Firms!$V$5:$V$1004,0)))</f>
        <v/>
      </c>
      <c r="C455" s="79">
        <f>IF($A455="","",COUNTIFS('AFA Rates'!$A$5:$A$1004,$A455,'AFA Rates'!$O$5:$O$1004,"&lt;&gt;Expired"))</f>
        <v/>
      </c>
      <c r="D455" s="79">
        <f>IF(OR($A455="",D$23=""),"",IF(COUNTIFS('AFA Rates'!$A$5:$A$1004,$A455,'AFA Rates'!$B$5:$B$1004,D$23,'AFA Rates'!$O$5:$O$1004,"&lt;&gt;Expired")&gt;0,"✓",IF(COUNTIFS('AFA Rates'!$A$5:$A$1004,$A455,'AFA Rates'!$B$5:$B$1004,D$23)&gt;0,"Exp","")))</f>
        <v/>
      </c>
      <c r="E455" s="79">
        <f>IF(OR($A455="",E$23=""),"",IF(COUNTIFS('AFA Rates'!$A$5:$A$1004,$A455,'AFA Rates'!$B$5:$B$1004,E$23,'AFA Rates'!$O$5:$O$1004,"&lt;&gt;Expired")&gt;0,"✓",IF(COUNTIFS('AFA Rates'!$A$5:$A$1004,$A455,'AFA Rates'!$B$5:$B$1004,E$23)&gt;0,"Exp","")))</f>
        <v/>
      </c>
      <c r="F455" s="79">
        <f>IF(OR($A455="",F$23=""),"",IF(COUNTIFS('AFA Rates'!$A$5:$A$1004,$A455,'AFA Rates'!$B$5:$B$1004,F$23,'AFA Rates'!$O$5:$O$1004,"&lt;&gt;Expired")&gt;0,"✓",IF(COUNTIFS('AFA Rates'!$A$5:$A$1004,$A455,'AFA Rates'!$B$5:$B$1004,F$23)&gt;0,"Exp","")))</f>
        <v/>
      </c>
      <c r="G455" s="79">
        <f>IF(OR($A455="",G$23=""),"",IF(COUNTIFS('AFA Rates'!$A$5:$A$1004,$A455,'AFA Rates'!$B$5:$B$1004,G$23,'AFA Rates'!$O$5:$O$1004,"&lt;&gt;Expired")&gt;0,"✓",IF(COUNTIFS('AFA Rates'!$A$5:$A$1004,$A455,'AFA Rates'!$B$5:$B$1004,G$23)&gt;0,"Exp","")))</f>
        <v/>
      </c>
      <c r="H455" s="79">
        <f>IF(OR($A455="",H$23=""),"",IF(COUNTIFS('AFA Rates'!$A$5:$A$1004,$A455,'AFA Rates'!$B$5:$B$1004,H$23,'AFA Rates'!$O$5:$O$1004,"&lt;&gt;Expired")&gt;0,"✓",IF(COUNTIFS('AFA Rates'!$A$5:$A$1004,$A455,'AFA Rates'!$B$5:$B$1004,H$23)&gt;0,"Exp","")))</f>
        <v/>
      </c>
      <c r="I455" s="79">
        <f>IF(OR($A455="",I$23=""),"",IF(COUNTIFS('AFA Rates'!$A$5:$A$1004,$A455,'AFA Rates'!$B$5:$B$1004,I$23,'AFA Rates'!$O$5:$O$1004,"&lt;&gt;Expired")&gt;0,"✓",IF(COUNTIFS('AFA Rates'!$A$5:$A$1004,$A455,'AFA Rates'!$B$5:$B$1004,I$23)&gt;0,"Exp","")))</f>
        <v/>
      </c>
      <c r="J455" s="79">
        <f>IF(OR($A455="",J$23=""),"",IF(COUNTIFS('AFA Rates'!$A$5:$A$1004,$A455,'AFA Rates'!$B$5:$B$1004,J$23,'AFA Rates'!$O$5:$O$1004,"&lt;&gt;Expired")&gt;0,"✓",IF(COUNTIFS('AFA Rates'!$A$5:$A$1004,$A455,'AFA Rates'!$B$5:$B$1004,J$23)&gt;0,"Exp","")))</f>
        <v/>
      </c>
      <c r="K455" s="79">
        <f>IF(OR($A455="",K$23=""),"",IF(COUNTIFS('AFA Rates'!$A$5:$A$1004,$A455,'AFA Rates'!$B$5:$B$1004,K$23,'AFA Rates'!$O$5:$O$1004,"&lt;&gt;Expired")&gt;0,"✓",IF(COUNTIFS('AFA Rates'!$A$5:$A$1004,$A455,'AFA Rates'!$B$5:$B$1004,K$23)&gt;0,"Exp","")))</f>
        <v/>
      </c>
      <c r="L455" s="79">
        <f>IF(OR($A455="",L$23=""),"",IF(COUNTIFS('AFA Rates'!$A$5:$A$1004,$A455,'AFA Rates'!$B$5:$B$1004,L$23,'AFA Rates'!$O$5:$O$1004,"&lt;&gt;Expired")&gt;0,"✓",IF(COUNTIFS('AFA Rates'!$A$5:$A$1004,$A455,'AFA Rates'!$B$5:$B$1004,L$23)&gt;0,"Exp","")))</f>
        <v/>
      </c>
      <c r="M455" s="79">
        <f>IF(OR($A455="",M$23=""),"",IF(COUNTIFS('AFA Rates'!$A$5:$A$1004,$A455,'AFA Rates'!$B$5:$B$1004,M$23,'AFA Rates'!$O$5:$O$1004,"&lt;&gt;Expired")&gt;0,"✓",IF(COUNTIFS('AFA Rates'!$A$5:$A$1004,$A455,'AFA Rates'!$B$5:$B$1004,M$23)&gt;0,"Exp","")))</f>
        <v/>
      </c>
    </row>
    <row r="456">
      <c r="A456" s="78">
        <f>IFERROR(INDEX(Firms!$A$5:$A$1004,MATCH(433,Firms!$V$5:$V$1004,0)),"")</f>
        <v/>
      </c>
      <c r="B456" s="79">
        <f>IF($A456="","",INDEX(Firms!$B$5:$B$1004,MATCH(433,Firms!$V$5:$V$1004,0)))</f>
        <v/>
      </c>
      <c r="C456" s="79">
        <f>IF($A456="","",COUNTIFS('AFA Rates'!$A$5:$A$1004,$A456,'AFA Rates'!$O$5:$O$1004,"&lt;&gt;Expired"))</f>
        <v/>
      </c>
      <c r="D456" s="79">
        <f>IF(OR($A456="",D$23=""),"",IF(COUNTIFS('AFA Rates'!$A$5:$A$1004,$A456,'AFA Rates'!$B$5:$B$1004,D$23,'AFA Rates'!$O$5:$O$1004,"&lt;&gt;Expired")&gt;0,"✓",IF(COUNTIFS('AFA Rates'!$A$5:$A$1004,$A456,'AFA Rates'!$B$5:$B$1004,D$23)&gt;0,"Exp","")))</f>
        <v/>
      </c>
      <c r="E456" s="79">
        <f>IF(OR($A456="",E$23=""),"",IF(COUNTIFS('AFA Rates'!$A$5:$A$1004,$A456,'AFA Rates'!$B$5:$B$1004,E$23,'AFA Rates'!$O$5:$O$1004,"&lt;&gt;Expired")&gt;0,"✓",IF(COUNTIFS('AFA Rates'!$A$5:$A$1004,$A456,'AFA Rates'!$B$5:$B$1004,E$23)&gt;0,"Exp","")))</f>
        <v/>
      </c>
      <c r="F456" s="79">
        <f>IF(OR($A456="",F$23=""),"",IF(COUNTIFS('AFA Rates'!$A$5:$A$1004,$A456,'AFA Rates'!$B$5:$B$1004,F$23,'AFA Rates'!$O$5:$O$1004,"&lt;&gt;Expired")&gt;0,"✓",IF(COUNTIFS('AFA Rates'!$A$5:$A$1004,$A456,'AFA Rates'!$B$5:$B$1004,F$23)&gt;0,"Exp","")))</f>
        <v/>
      </c>
      <c r="G456" s="79">
        <f>IF(OR($A456="",G$23=""),"",IF(COUNTIFS('AFA Rates'!$A$5:$A$1004,$A456,'AFA Rates'!$B$5:$B$1004,G$23,'AFA Rates'!$O$5:$O$1004,"&lt;&gt;Expired")&gt;0,"✓",IF(COUNTIFS('AFA Rates'!$A$5:$A$1004,$A456,'AFA Rates'!$B$5:$B$1004,G$23)&gt;0,"Exp","")))</f>
        <v/>
      </c>
      <c r="H456" s="79">
        <f>IF(OR($A456="",H$23=""),"",IF(COUNTIFS('AFA Rates'!$A$5:$A$1004,$A456,'AFA Rates'!$B$5:$B$1004,H$23,'AFA Rates'!$O$5:$O$1004,"&lt;&gt;Expired")&gt;0,"✓",IF(COUNTIFS('AFA Rates'!$A$5:$A$1004,$A456,'AFA Rates'!$B$5:$B$1004,H$23)&gt;0,"Exp","")))</f>
        <v/>
      </c>
      <c r="I456" s="79">
        <f>IF(OR($A456="",I$23=""),"",IF(COUNTIFS('AFA Rates'!$A$5:$A$1004,$A456,'AFA Rates'!$B$5:$B$1004,I$23,'AFA Rates'!$O$5:$O$1004,"&lt;&gt;Expired")&gt;0,"✓",IF(COUNTIFS('AFA Rates'!$A$5:$A$1004,$A456,'AFA Rates'!$B$5:$B$1004,I$23)&gt;0,"Exp","")))</f>
        <v/>
      </c>
      <c r="J456" s="79">
        <f>IF(OR($A456="",J$23=""),"",IF(COUNTIFS('AFA Rates'!$A$5:$A$1004,$A456,'AFA Rates'!$B$5:$B$1004,J$23,'AFA Rates'!$O$5:$O$1004,"&lt;&gt;Expired")&gt;0,"✓",IF(COUNTIFS('AFA Rates'!$A$5:$A$1004,$A456,'AFA Rates'!$B$5:$B$1004,J$23)&gt;0,"Exp","")))</f>
        <v/>
      </c>
      <c r="K456" s="79">
        <f>IF(OR($A456="",K$23=""),"",IF(COUNTIFS('AFA Rates'!$A$5:$A$1004,$A456,'AFA Rates'!$B$5:$B$1004,K$23,'AFA Rates'!$O$5:$O$1004,"&lt;&gt;Expired")&gt;0,"✓",IF(COUNTIFS('AFA Rates'!$A$5:$A$1004,$A456,'AFA Rates'!$B$5:$B$1004,K$23)&gt;0,"Exp","")))</f>
        <v/>
      </c>
      <c r="L456" s="79">
        <f>IF(OR($A456="",L$23=""),"",IF(COUNTIFS('AFA Rates'!$A$5:$A$1004,$A456,'AFA Rates'!$B$5:$B$1004,L$23,'AFA Rates'!$O$5:$O$1004,"&lt;&gt;Expired")&gt;0,"✓",IF(COUNTIFS('AFA Rates'!$A$5:$A$1004,$A456,'AFA Rates'!$B$5:$B$1004,L$23)&gt;0,"Exp","")))</f>
        <v/>
      </c>
      <c r="M456" s="79">
        <f>IF(OR($A456="",M$23=""),"",IF(COUNTIFS('AFA Rates'!$A$5:$A$1004,$A456,'AFA Rates'!$B$5:$B$1004,M$23,'AFA Rates'!$O$5:$O$1004,"&lt;&gt;Expired")&gt;0,"✓",IF(COUNTIFS('AFA Rates'!$A$5:$A$1004,$A456,'AFA Rates'!$B$5:$B$1004,M$23)&gt;0,"Exp","")))</f>
        <v/>
      </c>
    </row>
    <row r="457">
      <c r="A457" s="78">
        <f>IFERROR(INDEX(Firms!$A$5:$A$1004,MATCH(434,Firms!$V$5:$V$1004,0)),"")</f>
        <v/>
      </c>
      <c r="B457" s="79">
        <f>IF($A457="","",INDEX(Firms!$B$5:$B$1004,MATCH(434,Firms!$V$5:$V$1004,0)))</f>
        <v/>
      </c>
      <c r="C457" s="79">
        <f>IF($A457="","",COUNTIFS('AFA Rates'!$A$5:$A$1004,$A457,'AFA Rates'!$O$5:$O$1004,"&lt;&gt;Expired"))</f>
        <v/>
      </c>
      <c r="D457" s="79">
        <f>IF(OR($A457="",D$23=""),"",IF(COUNTIFS('AFA Rates'!$A$5:$A$1004,$A457,'AFA Rates'!$B$5:$B$1004,D$23,'AFA Rates'!$O$5:$O$1004,"&lt;&gt;Expired")&gt;0,"✓",IF(COUNTIFS('AFA Rates'!$A$5:$A$1004,$A457,'AFA Rates'!$B$5:$B$1004,D$23)&gt;0,"Exp","")))</f>
        <v/>
      </c>
      <c r="E457" s="79">
        <f>IF(OR($A457="",E$23=""),"",IF(COUNTIFS('AFA Rates'!$A$5:$A$1004,$A457,'AFA Rates'!$B$5:$B$1004,E$23,'AFA Rates'!$O$5:$O$1004,"&lt;&gt;Expired")&gt;0,"✓",IF(COUNTIFS('AFA Rates'!$A$5:$A$1004,$A457,'AFA Rates'!$B$5:$B$1004,E$23)&gt;0,"Exp","")))</f>
        <v/>
      </c>
      <c r="F457" s="79">
        <f>IF(OR($A457="",F$23=""),"",IF(COUNTIFS('AFA Rates'!$A$5:$A$1004,$A457,'AFA Rates'!$B$5:$B$1004,F$23,'AFA Rates'!$O$5:$O$1004,"&lt;&gt;Expired")&gt;0,"✓",IF(COUNTIFS('AFA Rates'!$A$5:$A$1004,$A457,'AFA Rates'!$B$5:$B$1004,F$23)&gt;0,"Exp","")))</f>
        <v/>
      </c>
      <c r="G457" s="79">
        <f>IF(OR($A457="",G$23=""),"",IF(COUNTIFS('AFA Rates'!$A$5:$A$1004,$A457,'AFA Rates'!$B$5:$B$1004,G$23,'AFA Rates'!$O$5:$O$1004,"&lt;&gt;Expired")&gt;0,"✓",IF(COUNTIFS('AFA Rates'!$A$5:$A$1004,$A457,'AFA Rates'!$B$5:$B$1004,G$23)&gt;0,"Exp","")))</f>
        <v/>
      </c>
      <c r="H457" s="79">
        <f>IF(OR($A457="",H$23=""),"",IF(COUNTIFS('AFA Rates'!$A$5:$A$1004,$A457,'AFA Rates'!$B$5:$B$1004,H$23,'AFA Rates'!$O$5:$O$1004,"&lt;&gt;Expired")&gt;0,"✓",IF(COUNTIFS('AFA Rates'!$A$5:$A$1004,$A457,'AFA Rates'!$B$5:$B$1004,H$23)&gt;0,"Exp","")))</f>
        <v/>
      </c>
      <c r="I457" s="79">
        <f>IF(OR($A457="",I$23=""),"",IF(COUNTIFS('AFA Rates'!$A$5:$A$1004,$A457,'AFA Rates'!$B$5:$B$1004,I$23,'AFA Rates'!$O$5:$O$1004,"&lt;&gt;Expired")&gt;0,"✓",IF(COUNTIFS('AFA Rates'!$A$5:$A$1004,$A457,'AFA Rates'!$B$5:$B$1004,I$23)&gt;0,"Exp","")))</f>
        <v/>
      </c>
      <c r="J457" s="79">
        <f>IF(OR($A457="",J$23=""),"",IF(COUNTIFS('AFA Rates'!$A$5:$A$1004,$A457,'AFA Rates'!$B$5:$B$1004,J$23,'AFA Rates'!$O$5:$O$1004,"&lt;&gt;Expired")&gt;0,"✓",IF(COUNTIFS('AFA Rates'!$A$5:$A$1004,$A457,'AFA Rates'!$B$5:$B$1004,J$23)&gt;0,"Exp","")))</f>
        <v/>
      </c>
      <c r="K457" s="79">
        <f>IF(OR($A457="",K$23=""),"",IF(COUNTIFS('AFA Rates'!$A$5:$A$1004,$A457,'AFA Rates'!$B$5:$B$1004,K$23,'AFA Rates'!$O$5:$O$1004,"&lt;&gt;Expired")&gt;0,"✓",IF(COUNTIFS('AFA Rates'!$A$5:$A$1004,$A457,'AFA Rates'!$B$5:$B$1004,K$23)&gt;0,"Exp","")))</f>
        <v/>
      </c>
      <c r="L457" s="79">
        <f>IF(OR($A457="",L$23=""),"",IF(COUNTIFS('AFA Rates'!$A$5:$A$1004,$A457,'AFA Rates'!$B$5:$B$1004,L$23,'AFA Rates'!$O$5:$O$1004,"&lt;&gt;Expired")&gt;0,"✓",IF(COUNTIFS('AFA Rates'!$A$5:$A$1004,$A457,'AFA Rates'!$B$5:$B$1004,L$23)&gt;0,"Exp","")))</f>
        <v/>
      </c>
      <c r="M457" s="79">
        <f>IF(OR($A457="",M$23=""),"",IF(COUNTIFS('AFA Rates'!$A$5:$A$1004,$A457,'AFA Rates'!$B$5:$B$1004,M$23,'AFA Rates'!$O$5:$O$1004,"&lt;&gt;Expired")&gt;0,"✓",IF(COUNTIFS('AFA Rates'!$A$5:$A$1004,$A457,'AFA Rates'!$B$5:$B$1004,M$23)&gt;0,"Exp","")))</f>
        <v/>
      </c>
    </row>
    <row r="458">
      <c r="A458" s="78">
        <f>IFERROR(INDEX(Firms!$A$5:$A$1004,MATCH(435,Firms!$V$5:$V$1004,0)),"")</f>
        <v/>
      </c>
      <c r="B458" s="79">
        <f>IF($A458="","",INDEX(Firms!$B$5:$B$1004,MATCH(435,Firms!$V$5:$V$1004,0)))</f>
        <v/>
      </c>
      <c r="C458" s="79">
        <f>IF($A458="","",COUNTIFS('AFA Rates'!$A$5:$A$1004,$A458,'AFA Rates'!$O$5:$O$1004,"&lt;&gt;Expired"))</f>
        <v/>
      </c>
      <c r="D458" s="79">
        <f>IF(OR($A458="",D$23=""),"",IF(COUNTIFS('AFA Rates'!$A$5:$A$1004,$A458,'AFA Rates'!$B$5:$B$1004,D$23,'AFA Rates'!$O$5:$O$1004,"&lt;&gt;Expired")&gt;0,"✓",IF(COUNTIFS('AFA Rates'!$A$5:$A$1004,$A458,'AFA Rates'!$B$5:$B$1004,D$23)&gt;0,"Exp","")))</f>
        <v/>
      </c>
      <c r="E458" s="79">
        <f>IF(OR($A458="",E$23=""),"",IF(COUNTIFS('AFA Rates'!$A$5:$A$1004,$A458,'AFA Rates'!$B$5:$B$1004,E$23,'AFA Rates'!$O$5:$O$1004,"&lt;&gt;Expired")&gt;0,"✓",IF(COUNTIFS('AFA Rates'!$A$5:$A$1004,$A458,'AFA Rates'!$B$5:$B$1004,E$23)&gt;0,"Exp","")))</f>
        <v/>
      </c>
      <c r="F458" s="79">
        <f>IF(OR($A458="",F$23=""),"",IF(COUNTIFS('AFA Rates'!$A$5:$A$1004,$A458,'AFA Rates'!$B$5:$B$1004,F$23,'AFA Rates'!$O$5:$O$1004,"&lt;&gt;Expired")&gt;0,"✓",IF(COUNTIFS('AFA Rates'!$A$5:$A$1004,$A458,'AFA Rates'!$B$5:$B$1004,F$23)&gt;0,"Exp","")))</f>
        <v/>
      </c>
      <c r="G458" s="79">
        <f>IF(OR($A458="",G$23=""),"",IF(COUNTIFS('AFA Rates'!$A$5:$A$1004,$A458,'AFA Rates'!$B$5:$B$1004,G$23,'AFA Rates'!$O$5:$O$1004,"&lt;&gt;Expired")&gt;0,"✓",IF(COUNTIFS('AFA Rates'!$A$5:$A$1004,$A458,'AFA Rates'!$B$5:$B$1004,G$23)&gt;0,"Exp","")))</f>
        <v/>
      </c>
      <c r="H458" s="79">
        <f>IF(OR($A458="",H$23=""),"",IF(COUNTIFS('AFA Rates'!$A$5:$A$1004,$A458,'AFA Rates'!$B$5:$B$1004,H$23,'AFA Rates'!$O$5:$O$1004,"&lt;&gt;Expired")&gt;0,"✓",IF(COUNTIFS('AFA Rates'!$A$5:$A$1004,$A458,'AFA Rates'!$B$5:$B$1004,H$23)&gt;0,"Exp","")))</f>
        <v/>
      </c>
      <c r="I458" s="79">
        <f>IF(OR($A458="",I$23=""),"",IF(COUNTIFS('AFA Rates'!$A$5:$A$1004,$A458,'AFA Rates'!$B$5:$B$1004,I$23,'AFA Rates'!$O$5:$O$1004,"&lt;&gt;Expired")&gt;0,"✓",IF(COUNTIFS('AFA Rates'!$A$5:$A$1004,$A458,'AFA Rates'!$B$5:$B$1004,I$23)&gt;0,"Exp","")))</f>
        <v/>
      </c>
      <c r="J458" s="79">
        <f>IF(OR($A458="",J$23=""),"",IF(COUNTIFS('AFA Rates'!$A$5:$A$1004,$A458,'AFA Rates'!$B$5:$B$1004,J$23,'AFA Rates'!$O$5:$O$1004,"&lt;&gt;Expired")&gt;0,"✓",IF(COUNTIFS('AFA Rates'!$A$5:$A$1004,$A458,'AFA Rates'!$B$5:$B$1004,J$23)&gt;0,"Exp","")))</f>
        <v/>
      </c>
      <c r="K458" s="79">
        <f>IF(OR($A458="",K$23=""),"",IF(COUNTIFS('AFA Rates'!$A$5:$A$1004,$A458,'AFA Rates'!$B$5:$B$1004,K$23,'AFA Rates'!$O$5:$O$1004,"&lt;&gt;Expired")&gt;0,"✓",IF(COUNTIFS('AFA Rates'!$A$5:$A$1004,$A458,'AFA Rates'!$B$5:$B$1004,K$23)&gt;0,"Exp","")))</f>
        <v/>
      </c>
      <c r="L458" s="79">
        <f>IF(OR($A458="",L$23=""),"",IF(COUNTIFS('AFA Rates'!$A$5:$A$1004,$A458,'AFA Rates'!$B$5:$B$1004,L$23,'AFA Rates'!$O$5:$O$1004,"&lt;&gt;Expired")&gt;0,"✓",IF(COUNTIFS('AFA Rates'!$A$5:$A$1004,$A458,'AFA Rates'!$B$5:$B$1004,L$23)&gt;0,"Exp","")))</f>
        <v/>
      </c>
      <c r="M458" s="79">
        <f>IF(OR($A458="",M$23=""),"",IF(COUNTIFS('AFA Rates'!$A$5:$A$1004,$A458,'AFA Rates'!$B$5:$B$1004,M$23,'AFA Rates'!$O$5:$O$1004,"&lt;&gt;Expired")&gt;0,"✓",IF(COUNTIFS('AFA Rates'!$A$5:$A$1004,$A458,'AFA Rates'!$B$5:$B$1004,M$23)&gt;0,"Exp","")))</f>
        <v/>
      </c>
    </row>
    <row r="459">
      <c r="A459" s="78">
        <f>IFERROR(INDEX(Firms!$A$5:$A$1004,MATCH(436,Firms!$V$5:$V$1004,0)),"")</f>
        <v/>
      </c>
      <c r="B459" s="79">
        <f>IF($A459="","",INDEX(Firms!$B$5:$B$1004,MATCH(436,Firms!$V$5:$V$1004,0)))</f>
        <v/>
      </c>
      <c r="C459" s="79">
        <f>IF($A459="","",COUNTIFS('AFA Rates'!$A$5:$A$1004,$A459,'AFA Rates'!$O$5:$O$1004,"&lt;&gt;Expired"))</f>
        <v/>
      </c>
      <c r="D459" s="79">
        <f>IF(OR($A459="",D$23=""),"",IF(COUNTIFS('AFA Rates'!$A$5:$A$1004,$A459,'AFA Rates'!$B$5:$B$1004,D$23,'AFA Rates'!$O$5:$O$1004,"&lt;&gt;Expired")&gt;0,"✓",IF(COUNTIFS('AFA Rates'!$A$5:$A$1004,$A459,'AFA Rates'!$B$5:$B$1004,D$23)&gt;0,"Exp","")))</f>
        <v/>
      </c>
      <c r="E459" s="79">
        <f>IF(OR($A459="",E$23=""),"",IF(COUNTIFS('AFA Rates'!$A$5:$A$1004,$A459,'AFA Rates'!$B$5:$B$1004,E$23,'AFA Rates'!$O$5:$O$1004,"&lt;&gt;Expired")&gt;0,"✓",IF(COUNTIFS('AFA Rates'!$A$5:$A$1004,$A459,'AFA Rates'!$B$5:$B$1004,E$23)&gt;0,"Exp","")))</f>
        <v/>
      </c>
      <c r="F459" s="79">
        <f>IF(OR($A459="",F$23=""),"",IF(COUNTIFS('AFA Rates'!$A$5:$A$1004,$A459,'AFA Rates'!$B$5:$B$1004,F$23,'AFA Rates'!$O$5:$O$1004,"&lt;&gt;Expired")&gt;0,"✓",IF(COUNTIFS('AFA Rates'!$A$5:$A$1004,$A459,'AFA Rates'!$B$5:$B$1004,F$23)&gt;0,"Exp","")))</f>
        <v/>
      </c>
      <c r="G459" s="79">
        <f>IF(OR($A459="",G$23=""),"",IF(COUNTIFS('AFA Rates'!$A$5:$A$1004,$A459,'AFA Rates'!$B$5:$B$1004,G$23,'AFA Rates'!$O$5:$O$1004,"&lt;&gt;Expired")&gt;0,"✓",IF(COUNTIFS('AFA Rates'!$A$5:$A$1004,$A459,'AFA Rates'!$B$5:$B$1004,G$23)&gt;0,"Exp","")))</f>
        <v/>
      </c>
      <c r="H459" s="79">
        <f>IF(OR($A459="",H$23=""),"",IF(COUNTIFS('AFA Rates'!$A$5:$A$1004,$A459,'AFA Rates'!$B$5:$B$1004,H$23,'AFA Rates'!$O$5:$O$1004,"&lt;&gt;Expired")&gt;0,"✓",IF(COUNTIFS('AFA Rates'!$A$5:$A$1004,$A459,'AFA Rates'!$B$5:$B$1004,H$23)&gt;0,"Exp","")))</f>
        <v/>
      </c>
      <c r="I459" s="79">
        <f>IF(OR($A459="",I$23=""),"",IF(COUNTIFS('AFA Rates'!$A$5:$A$1004,$A459,'AFA Rates'!$B$5:$B$1004,I$23,'AFA Rates'!$O$5:$O$1004,"&lt;&gt;Expired")&gt;0,"✓",IF(COUNTIFS('AFA Rates'!$A$5:$A$1004,$A459,'AFA Rates'!$B$5:$B$1004,I$23)&gt;0,"Exp","")))</f>
        <v/>
      </c>
      <c r="J459" s="79">
        <f>IF(OR($A459="",J$23=""),"",IF(COUNTIFS('AFA Rates'!$A$5:$A$1004,$A459,'AFA Rates'!$B$5:$B$1004,J$23,'AFA Rates'!$O$5:$O$1004,"&lt;&gt;Expired")&gt;0,"✓",IF(COUNTIFS('AFA Rates'!$A$5:$A$1004,$A459,'AFA Rates'!$B$5:$B$1004,J$23)&gt;0,"Exp","")))</f>
        <v/>
      </c>
      <c r="K459" s="79">
        <f>IF(OR($A459="",K$23=""),"",IF(COUNTIFS('AFA Rates'!$A$5:$A$1004,$A459,'AFA Rates'!$B$5:$B$1004,K$23,'AFA Rates'!$O$5:$O$1004,"&lt;&gt;Expired")&gt;0,"✓",IF(COUNTIFS('AFA Rates'!$A$5:$A$1004,$A459,'AFA Rates'!$B$5:$B$1004,K$23)&gt;0,"Exp","")))</f>
        <v/>
      </c>
      <c r="L459" s="79">
        <f>IF(OR($A459="",L$23=""),"",IF(COUNTIFS('AFA Rates'!$A$5:$A$1004,$A459,'AFA Rates'!$B$5:$B$1004,L$23,'AFA Rates'!$O$5:$O$1004,"&lt;&gt;Expired")&gt;0,"✓",IF(COUNTIFS('AFA Rates'!$A$5:$A$1004,$A459,'AFA Rates'!$B$5:$B$1004,L$23)&gt;0,"Exp","")))</f>
        <v/>
      </c>
      <c r="M459" s="79">
        <f>IF(OR($A459="",M$23=""),"",IF(COUNTIFS('AFA Rates'!$A$5:$A$1004,$A459,'AFA Rates'!$B$5:$B$1004,M$23,'AFA Rates'!$O$5:$O$1004,"&lt;&gt;Expired")&gt;0,"✓",IF(COUNTIFS('AFA Rates'!$A$5:$A$1004,$A459,'AFA Rates'!$B$5:$B$1004,M$23)&gt;0,"Exp","")))</f>
        <v/>
      </c>
    </row>
    <row r="460">
      <c r="A460" s="78">
        <f>IFERROR(INDEX(Firms!$A$5:$A$1004,MATCH(437,Firms!$V$5:$V$1004,0)),"")</f>
        <v/>
      </c>
      <c r="B460" s="79">
        <f>IF($A460="","",INDEX(Firms!$B$5:$B$1004,MATCH(437,Firms!$V$5:$V$1004,0)))</f>
        <v/>
      </c>
      <c r="C460" s="79">
        <f>IF($A460="","",COUNTIFS('AFA Rates'!$A$5:$A$1004,$A460,'AFA Rates'!$O$5:$O$1004,"&lt;&gt;Expired"))</f>
        <v/>
      </c>
      <c r="D460" s="79">
        <f>IF(OR($A460="",D$23=""),"",IF(COUNTIFS('AFA Rates'!$A$5:$A$1004,$A460,'AFA Rates'!$B$5:$B$1004,D$23,'AFA Rates'!$O$5:$O$1004,"&lt;&gt;Expired")&gt;0,"✓",IF(COUNTIFS('AFA Rates'!$A$5:$A$1004,$A460,'AFA Rates'!$B$5:$B$1004,D$23)&gt;0,"Exp","")))</f>
        <v/>
      </c>
      <c r="E460" s="79">
        <f>IF(OR($A460="",E$23=""),"",IF(COUNTIFS('AFA Rates'!$A$5:$A$1004,$A460,'AFA Rates'!$B$5:$B$1004,E$23,'AFA Rates'!$O$5:$O$1004,"&lt;&gt;Expired")&gt;0,"✓",IF(COUNTIFS('AFA Rates'!$A$5:$A$1004,$A460,'AFA Rates'!$B$5:$B$1004,E$23)&gt;0,"Exp","")))</f>
        <v/>
      </c>
      <c r="F460" s="79">
        <f>IF(OR($A460="",F$23=""),"",IF(COUNTIFS('AFA Rates'!$A$5:$A$1004,$A460,'AFA Rates'!$B$5:$B$1004,F$23,'AFA Rates'!$O$5:$O$1004,"&lt;&gt;Expired")&gt;0,"✓",IF(COUNTIFS('AFA Rates'!$A$5:$A$1004,$A460,'AFA Rates'!$B$5:$B$1004,F$23)&gt;0,"Exp","")))</f>
        <v/>
      </c>
      <c r="G460" s="79">
        <f>IF(OR($A460="",G$23=""),"",IF(COUNTIFS('AFA Rates'!$A$5:$A$1004,$A460,'AFA Rates'!$B$5:$B$1004,G$23,'AFA Rates'!$O$5:$O$1004,"&lt;&gt;Expired")&gt;0,"✓",IF(COUNTIFS('AFA Rates'!$A$5:$A$1004,$A460,'AFA Rates'!$B$5:$B$1004,G$23)&gt;0,"Exp","")))</f>
        <v/>
      </c>
      <c r="H460" s="79">
        <f>IF(OR($A460="",H$23=""),"",IF(COUNTIFS('AFA Rates'!$A$5:$A$1004,$A460,'AFA Rates'!$B$5:$B$1004,H$23,'AFA Rates'!$O$5:$O$1004,"&lt;&gt;Expired")&gt;0,"✓",IF(COUNTIFS('AFA Rates'!$A$5:$A$1004,$A460,'AFA Rates'!$B$5:$B$1004,H$23)&gt;0,"Exp","")))</f>
        <v/>
      </c>
      <c r="I460" s="79">
        <f>IF(OR($A460="",I$23=""),"",IF(COUNTIFS('AFA Rates'!$A$5:$A$1004,$A460,'AFA Rates'!$B$5:$B$1004,I$23,'AFA Rates'!$O$5:$O$1004,"&lt;&gt;Expired")&gt;0,"✓",IF(COUNTIFS('AFA Rates'!$A$5:$A$1004,$A460,'AFA Rates'!$B$5:$B$1004,I$23)&gt;0,"Exp","")))</f>
        <v/>
      </c>
      <c r="J460" s="79">
        <f>IF(OR($A460="",J$23=""),"",IF(COUNTIFS('AFA Rates'!$A$5:$A$1004,$A460,'AFA Rates'!$B$5:$B$1004,J$23,'AFA Rates'!$O$5:$O$1004,"&lt;&gt;Expired")&gt;0,"✓",IF(COUNTIFS('AFA Rates'!$A$5:$A$1004,$A460,'AFA Rates'!$B$5:$B$1004,J$23)&gt;0,"Exp","")))</f>
        <v/>
      </c>
      <c r="K460" s="79">
        <f>IF(OR($A460="",K$23=""),"",IF(COUNTIFS('AFA Rates'!$A$5:$A$1004,$A460,'AFA Rates'!$B$5:$B$1004,K$23,'AFA Rates'!$O$5:$O$1004,"&lt;&gt;Expired")&gt;0,"✓",IF(COUNTIFS('AFA Rates'!$A$5:$A$1004,$A460,'AFA Rates'!$B$5:$B$1004,K$23)&gt;0,"Exp","")))</f>
        <v/>
      </c>
      <c r="L460" s="79">
        <f>IF(OR($A460="",L$23=""),"",IF(COUNTIFS('AFA Rates'!$A$5:$A$1004,$A460,'AFA Rates'!$B$5:$B$1004,L$23,'AFA Rates'!$O$5:$O$1004,"&lt;&gt;Expired")&gt;0,"✓",IF(COUNTIFS('AFA Rates'!$A$5:$A$1004,$A460,'AFA Rates'!$B$5:$B$1004,L$23)&gt;0,"Exp","")))</f>
        <v/>
      </c>
      <c r="M460" s="79">
        <f>IF(OR($A460="",M$23=""),"",IF(COUNTIFS('AFA Rates'!$A$5:$A$1004,$A460,'AFA Rates'!$B$5:$B$1004,M$23,'AFA Rates'!$O$5:$O$1004,"&lt;&gt;Expired")&gt;0,"✓",IF(COUNTIFS('AFA Rates'!$A$5:$A$1004,$A460,'AFA Rates'!$B$5:$B$1004,M$23)&gt;0,"Exp","")))</f>
        <v/>
      </c>
    </row>
    <row r="461">
      <c r="A461" s="78">
        <f>IFERROR(INDEX(Firms!$A$5:$A$1004,MATCH(438,Firms!$V$5:$V$1004,0)),"")</f>
        <v/>
      </c>
      <c r="B461" s="79">
        <f>IF($A461="","",INDEX(Firms!$B$5:$B$1004,MATCH(438,Firms!$V$5:$V$1004,0)))</f>
        <v/>
      </c>
      <c r="C461" s="79">
        <f>IF($A461="","",COUNTIFS('AFA Rates'!$A$5:$A$1004,$A461,'AFA Rates'!$O$5:$O$1004,"&lt;&gt;Expired"))</f>
        <v/>
      </c>
      <c r="D461" s="79">
        <f>IF(OR($A461="",D$23=""),"",IF(COUNTIFS('AFA Rates'!$A$5:$A$1004,$A461,'AFA Rates'!$B$5:$B$1004,D$23,'AFA Rates'!$O$5:$O$1004,"&lt;&gt;Expired")&gt;0,"✓",IF(COUNTIFS('AFA Rates'!$A$5:$A$1004,$A461,'AFA Rates'!$B$5:$B$1004,D$23)&gt;0,"Exp","")))</f>
        <v/>
      </c>
      <c r="E461" s="79">
        <f>IF(OR($A461="",E$23=""),"",IF(COUNTIFS('AFA Rates'!$A$5:$A$1004,$A461,'AFA Rates'!$B$5:$B$1004,E$23,'AFA Rates'!$O$5:$O$1004,"&lt;&gt;Expired")&gt;0,"✓",IF(COUNTIFS('AFA Rates'!$A$5:$A$1004,$A461,'AFA Rates'!$B$5:$B$1004,E$23)&gt;0,"Exp","")))</f>
        <v/>
      </c>
      <c r="F461" s="79">
        <f>IF(OR($A461="",F$23=""),"",IF(COUNTIFS('AFA Rates'!$A$5:$A$1004,$A461,'AFA Rates'!$B$5:$B$1004,F$23,'AFA Rates'!$O$5:$O$1004,"&lt;&gt;Expired")&gt;0,"✓",IF(COUNTIFS('AFA Rates'!$A$5:$A$1004,$A461,'AFA Rates'!$B$5:$B$1004,F$23)&gt;0,"Exp","")))</f>
        <v/>
      </c>
      <c r="G461" s="79">
        <f>IF(OR($A461="",G$23=""),"",IF(COUNTIFS('AFA Rates'!$A$5:$A$1004,$A461,'AFA Rates'!$B$5:$B$1004,G$23,'AFA Rates'!$O$5:$O$1004,"&lt;&gt;Expired")&gt;0,"✓",IF(COUNTIFS('AFA Rates'!$A$5:$A$1004,$A461,'AFA Rates'!$B$5:$B$1004,G$23)&gt;0,"Exp","")))</f>
        <v/>
      </c>
      <c r="H461" s="79">
        <f>IF(OR($A461="",H$23=""),"",IF(COUNTIFS('AFA Rates'!$A$5:$A$1004,$A461,'AFA Rates'!$B$5:$B$1004,H$23,'AFA Rates'!$O$5:$O$1004,"&lt;&gt;Expired")&gt;0,"✓",IF(COUNTIFS('AFA Rates'!$A$5:$A$1004,$A461,'AFA Rates'!$B$5:$B$1004,H$23)&gt;0,"Exp","")))</f>
        <v/>
      </c>
      <c r="I461" s="79">
        <f>IF(OR($A461="",I$23=""),"",IF(COUNTIFS('AFA Rates'!$A$5:$A$1004,$A461,'AFA Rates'!$B$5:$B$1004,I$23,'AFA Rates'!$O$5:$O$1004,"&lt;&gt;Expired")&gt;0,"✓",IF(COUNTIFS('AFA Rates'!$A$5:$A$1004,$A461,'AFA Rates'!$B$5:$B$1004,I$23)&gt;0,"Exp","")))</f>
        <v/>
      </c>
      <c r="J461" s="79">
        <f>IF(OR($A461="",J$23=""),"",IF(COUNTIFS('AFA Rates'!$A$5:$A$1004,$A461,'AFA Rates'!$B$5:$B$1004,J$23,'AFA Rates'!$O$5:$O$1004,"&lt;&gt;Expired")&gt;0,"✓",IF(COUNTIFS('AFA Rates'!$A$5:$A$1004,$A461,'AFA Rates'!$B$5:$B$1004,J$23)&gt;0,"Exp","")))</f>
        <v/>
      </c>
      <c r="K461" s="79">
        <f>IF(OR($A461="",K$23=""),"",IF(COUNTIFS('AFA Rates'!$A$5:$A$1004,$A461,'AFA Rates'!$B$5:$B$1004,K$23,'AFA Rates'!$O$5:$O$1004,"&lt;&gt;Expired")&gt;0,"✓",IF(COUNTIFS('AFA Rates'!$A$5:$A$1004,$A461,'AFA Rates'!$B$5:$B$1004,K$23)&gt;0,"Exp","")))</f>
        <v/>
      </c>
      <c r="L461" s="79">
        <f>IF(OR($A461="",L$23=""),"",IF(COUNTIFS('AFA Rates'!$A$5:$A$1004,$A461,'AFA Rates'!$B$5:$B$1004,L$23,'AFA Rates'!$O$5:$O$1004,"&lt;&gt;Expired")&gt;0,"✓",IF(COUNTIFS('AFA Rates'!$A$5:$A$1004,$A461,'AFA Rates'!$B$5:$B$1004,L$23)&gt;0,"Exp","")))</f>
        <v/>
      </c>
      <c r="M461" s="79">
        <f>IF(OR($A461="",M$23=""),"",IF(COUNTIFS('AFA Rates'!$A$5:$A$1004,$A461,'AFA Rates'!$B$5:$B$1004,M$23,'AFA Rates'!$O$5:$O$1004,"&lt;&gt;Expired")&gt;0,"✓",IF(COUNTIFS('AFA Rates'!$A$5:$A$1004,$A461,'AFA Rates'!$B$5:$B$1004,M$23)&gt;0,"Exp","")))</f>
        <v/>
      </c>
    </row>
    <row r="462">
      <c r="A462" s="78">
        <f>IFERROR(INDEX(Firms!$A$5:$A$1004,MATCH(439,Firms!$V$5:$V$1004,0)),"")</f>
        <v/>
      </c>
      <c r="B462" s="79">
        <f>IF($A462="","",INDEX(Firms!$B$5:$B$1004,MATCH(439,Firms!$V$5:$V$1004,0)))</f>
        <v/>
      </c>
      <c r="C462" s="79">
        <f>IF($A462="","",COUNTIFS('AFA Rates'!$A$5:$A$1004,$A462,'AFA Rates'!$O$5:$O$1004,"&lt;&gt;Expired"))</f>
        <v/>
      </c>
      <c r="D462" s="79">
        <f>IF(OR($A462="",D$23=""),"",IF(COUNTIFS('AFA Rates'!$A$5:$A$1004,$A462,'AFA Rates'!$B$5:$B$1004,D$23,'AFA Rates'!$O$5:$O$1004,"&lt;&gt;Expired")&gt;0,"✓",IF(COUNTIFS('AFA Rates'!$A$5:$A$1004,$A462,'AFA Rates'!$B$5:$B$1004,D$23)&gt;0,"Exp","")))</f>
        <v/>
      </c>
      <c r="E462" s="79">
        <f>IF(OR($A462="",E$23=""),"",IF(COUNTIFS('AFA Rates'!$A$5:$A$1004,$A462,'AFA Rates'!$B$5:$B$1004,E$23,'AFA Rates'!$O$5:$O$1004,"&lt;&gt;Expired")&gt;0,"✓",IF(COUNTIFS('AFA Rates'!$A$5:$A$1004,$A462,'AFA Rates'!$B$5:$B$1004,E$23)&gt;0,"Exp","")))</f>
        <v/>
      </c>
      <c r="F462" s="79">
        <f>IF(OR($A462="",F$23=""),"",IF(COUNTIFS('AFA Rates'!$A$5:$A$1004,$A462,'AFA Rates'!$B$5:$B$1004,F$23,'AFA Rates'!$O$5:$O$1004,"&lt;&gt;Expired")&gt;0,"✓",IF(COUNTIFS('AFA Rates'!$A$5:$A$1004,$A462,'AFA Rates'!$B$5:$B$1004,F$23)&gt;0,"Exp","")))</f>
        <v/>
      </c>
      <c r="G462" s="79">
        <f>IF(OR($A462="",G$23=""),"",IF(COUNTIFS('AFA Rates'!$A$5:$A$1004,$A462,'AFA Rates'!$B$5:$B$1004,G$23,'AFA Rates'!$O$5:$O$1004,"&lt;&gt;Expired")&gt;0,"✓",IF(COUNTIFS('AFA Rates'!$A$5:$A$1004,$A462,'AFA Rates'!$B$5:$B$1004,G$23)&gt;0,"Exp","")))</f>
        <v/>
      </c>
      <c r="H462" s="79">
        <f>IF(OR($A462="",H$23=""),"",IF(COUNTIFS('AFA Rates'!$A$5:$A$1004,$A462,'AFA Rates'!$B$5:$B$1004,H$23,'AFA Rates'!$O$5:$O$1004,"&lt;&gt;Expired")&gt;0,"✓",IF(COUNTIFS('AFA Rates'!$A$5:$A$1004,$A462,'AFA Rates'!$B$5:$B$1004,H$23)&gt;0,"Exp","")))</f>
        <v/>
      </c>
      <c r="I462" s="79">
        <f>IF(OR($A462="",I$23=""),"",IF(COUNTIFS('AFA Rates'!$A$5:$A$1004,$A462,'AFA Rates'!$B$5:$B$1004,I$23,'AFA Rates'!$O$5:$O$1004,"&lt;&gt;Expired")&gt;0,"✓",IF(COUNTIFS('AFA Rates'!$A$5:$A$1004,$A462,'AFA Rates'!$B$5:$B$1004,I$23)&gt;0,"Exp","")))</f>
        <v/>
      </c>
      <c r="J462" s="79">
        <f>IF(OR($A462="",J$23=""),"",IF(COUNTIFS('AFA Rates'!$A$5:$A$1004,$A462,'AFA Rates'!$B$5:$B$1004,J$23,'AFA Rates'!$O$5:$O$1004,"&lt;&gt;Expired")&gt;0,"✓",IF(COUNTIFS('AFA Rates'!$A$5:$A$1004,$A462,'AFA Rates'!$B$5:$B$1004,J$23)&gt;0,"Exp","")))</f>
        <v/>
      </c>
      <c r="K462" s="79">
        <f>IF(OR($A462="",K$23=""),"",IF(COUNTIFS('AFA Rates'!$A$5:$A$1004,$A462,'AFA Rates'!$B$5:$B$1004,K$23,'AFA Rates'!$O$5:$O$1004,"&lt;&gt;Expired")&gt;0,"✓",IF(COUNTIFS('AFA Rates'!$A$5:$A$1004,$A462,'AFA Rates'!$B$5:$B$1004,K$23)&gt;0,"Exp","")))</f>
        <v/>
      </c>
      <c r="L462" s="79">
        <f>IF(OR($A462="",L$23=""),"",IF(COUNTIFS('AFA Rates'!$A$5:$A$1004,$A462,'AFA Rates'!$B$5:$B$1004,L$23,'AFA Rates'!$O$5:$O$1004,"&lt;&gt;Expired")&gt;0,"✓",IF(COUNTIFS('AFA Rates'!$A$5:$A$1004,$A462,'AFA Rates'!$B$5:$B$1004,L$23)&gt;0,"Exp","")))</f>
        <v/>
      </c>
      <c r="M462" s="79">
        <f>IF(OR($A462="",M$23=""),"",IF(COUNTIFS('AFA Rates'!$A$5:$A$1004,$A462,'AFA Rates'!$B$5:$B$1004,M$23,'AFA Rates'!$O$5:$O$1004,"&lt;&gt;Expired")&gt;0,"✓",IF(COUNTIFS('AFA Rates'!$A$5:$A$1004,$A462,'AFA Rates'!$B$5:$B$1004,M$23)&gt;0,"Exp","")))</f>
        <v/>
      </c>
    </row>
    <row r="463">
      <c r="A463" s="78">
        <f>IFERROR(INDEX(Firms!$A$5:$A$1004,MATCH(440,Firms!$V$5:$V$1004,0)),"")</f>
        <v/>
      </c>
      <c r="B463" s="79">
        <f>IF($A463="","",INDEX(Firms!$B$5:$B$1004,MATCH(440,Firms!$V$5:$V$1004,0)))</f>
        <v/>
      </c>
      <c r="C463" s="79">
        <f>IF($A463="","",COUNTIFS('AFA Rates'!$A$5:$A$1004,$A463,'AFA Rates'!$O$5:$O$1004,"&lt;&gt;Expired"))</f>
        <v/>
      </c>
      <c r="D463" s="79">
        <f>IF(OR($A463="",D$23=""),"",IF(COUNTIFS('AFA Rates'!$A$5:$A$1004,$A463,'AFA Rates'!$B$5:$B$1004,D$23,'AFA Rates'!$O$5:$O$1004,"&lt;&gt;Expired")&gt;0,"✓",IF(COUNTIFS('AFA Rates'!$A$5:$A$1004,$A463,'AFA Rates'!$B$5:$B$1004,D$23)&gt;0,"Exp","")))</f>
        <v/>
      </c>
      <c r="E463" s="79">
        <f>IF(OR($A463="",E$23=""),"",IF(COUNTIFS('AFA Rates'!$A$5:$A$1004,$A463,'AFA Rates'!$B$5:$B$1004,E$23,'AFA Rates'!$O$5:$O$1004,"&lt;&gt;Expired")&gt;0,"✓",IF(COUNTIFS('AFA Rates'!$A$5:$A$1004,$A463,'AFA Rates'!$B$5:$B$1004,E$23)&gt;0,"Exp","")))</f>
        <v/>
      </c>
      <c r="F463" s="79">
        <f>IF(OR($A463="",F$23=""),"",IF(COUNTIFS('AFA Rates'!$A$5:$A$1004,$A463,'AFA Rates'!$B$5:$B$1004,F$23,'AFA Rates'!$O$5:$O$1004,"&lt;&gt;Expired")&gt;0,"✓",IF(COUNTIFS('AFA Rates'!$A$5:$A$1004,$A463,'AFA Rates'!$B$5:$B$1004,F$23)&gt;0,"Exp","")))</f>
        <v/>
      </c>
      <c r="G463" s="79">
        <f>IF(OR($A463="",G$23=""),"",IF(COUNTIFS('AFA Rates'!$A$5:$A$1004,$A463,'AFA Rates'!$B$5:$B$1004,G$23,'AFA Rates'!$O$5:$O$1004,"&lt;&gt;Expired")&gt;0,"✓",IF(COUNTIFS('AFA Rates'!$A$5:$A$1004,$A463,'AFA Rates'!$B$5:$B$1004,G$23)&gt;0,"Exp","")))</f>
        <v/>
      </c>
      <c r="H463" s="79">
        <f>IF(OR($A463="",H$23=""),"",IF(COUNTIFS('AFA Rates'!$A$5:$A$1004,$A463,'AFA Rates'!$B$5:$B$1004,H$23,'AFA Rates'!$O$5:$O$1004,"&lt;&gt;Expired")&gt;0,"✓",IF(COUNTIFS('AFA Rates'!$A$5:$A$1004,$A463,'AFA Rates'!$B$5:$B$1004,H$23)&gt;0,"Exp","")))</f>
        <v/>
      </c>
      <c r="I463" s="79">
        <f>IF(OR($A463="",I$23=""),"",IF(COUNTIFS('AFA Rates'!$A$5:$A$1004,$A463,'AFA Rates'!$B$5:$B$1004,I$23,'AFA Rates'!$O$5:$O$1004,"&lt;&gt;Expired")&gt;0,"✓",IF(COUNTIFS('AFA Rates'!$A$5:$A$1004,$A463,'AFA Rates'!$B$5:$B$1004,I$23)&gt;0,"Exp","")))</f>
        <v/>
      </c>
      <c r="J463" s="79">
        <f>IF(OR($A463="",J$23=""),"",IF(COUNTIFS('AFA Rates'!$A$5:$A$1004,$A463,'AFA Rates'!$B$5:$B$1004,J$23,'AFA Rates'!$O$5:$O$1004,"&lt;&gt;Expired")&gt;0,"✓",IF(COUNTIFS('AFA Rates'!$A$5:$A$1004,$A463,'AFA Rates'!$B$5:$B$1004,J$23)&gt;0,"Exp","")))</f>
        <v/>
      </c>
      <c r="K463" s="79">
        <f>IF(OR($A463="",K$23=""),"",IF(COUNTIFS('AFA Rates'!$A$5:$A$1004,$A463,'AFA Rates'!$B$5:$B$1004,K$23,'AFA Rates'!$O$5:$O$1004,"&lt;&gt;Expired")&gt;0,"✓",IF(COUNTIFS('AFA Rates'!$A$5:$A$1004,$A463,'AFA Rates'!$B$5:$B$1004,K$23)&gt;0,"Exp","")))</f>
        <v/>
      </c>
      <c r="L463" s="79">
        <f>IF(OR($A463="",L$23=""),"",IF(COUNTIFS('AFA Rates'!$A$5:$A$1004,$A463,'AFA Rates'!$B$5:$B$1004,L$23,'AFA Rates'!$O$5:$O$1004,"&lt;&gt;Expired")&gt;0,"✓",IF(COUNTIFS('AFA Rates'!$A$5:$A$1004,$A463,'AFA Rates'!$B$5:$B$1004,L$23)&gt;0,"Exp","")))</f>
        <v/>
      </c>
      <c r="M463" s="79">
        <f>IF(OR($A463="",M$23=""),"",IF(COUNTIFS('AFA Rates'!$A$5:$A$1004,$A463,'AFA Rates'!$B$5:$B$1004,M$23,'AFA Rates'!$O$5:$O$1004,"&lt;&gt;Expired")&gt;0,"✓",IF(COUNTIFS('AFA Rates'!$A$5:$A$1004,$A463,'AFA Rates'!$B$5:$B$1004,M$23)&gt;0,"Exp","")))</f>
        <v/>
      </c>
    </row>
    <row r="464">
      <c r="A464" s="78">
        <f>IFERROR(INDEX(Firms!$A$5:$A$1004,MATCH(441,Firms!$V$5:$V$1004,0)),"")</f>
        <v/>
      </c>
      <c r="B464" s="79">
        <f>IF($A464="","",INDEX(Firms!$B$5:$B$1004,MATCH(441,Firms!$V$5:$V$1004,0)))</f>
        <v/>
      </c>
      <c r="C464" s="79">
        <f>IF($A464="","",COUNTIFS('AFA Rates'!$A$5:$A$1004,$A464,'AFA Rates'!$O$5:$O$1004,"&lt;&gt;Expired"))</f>
        <v/>
      </c>
      <c r="D464" s="79">
        <f>IF(OR($A464="",D$23=""),"",IF(COUNTIFS('AFA Rates'!$A$5:$A$1004,$A464,'AFA Rates'!$B$5:$B$1004,D$23,'AFA Rates'!$O$5:$O$1004,"&lt;&gt;Expired")&gt;0,"✓",IF(COUNTIFS('AFA Rates'!$A$5:$A$1004,$A464,'AFA Rates'!$B$5:$B$1004,D$23)&gt;0,"Exp","")))</f>
        <v/>
      </c>
      <c r="E464" s="79">
        <f>IF(OR($A464="",E$23=""),"",IF(COUNTIFS('AFA Rates'!$A$5:$A$1004,$A464,'AFA Rates'!$B$5:$B$1004,E$23,'AFA Rates'!$O$5:$O$1004,"&lt;&gt;Expired")&gt;0,"✓",IF(COUNTIFS('AFA Rates'!$A$5:$A$1004,$A464,'AFA Rates'!$B$5:$B$1004,E$23)&gt;0,"Exp","")))</f>
        <v/>
      </c>
      <c r="F464" s="79">
        <f>IF(OR($A464="",F$23=""),"",IF(COUNTIFS('AFA Rates'!$A$5:$A$1004,$A464,'AFA Rates'!$B$5:$B$1004,F$23,'AFA Rates'!$O$5:$O$1004,"&lt;&gt;Expired")&gt;0,"✓",IF(COUNTIFS('AFA Rates'!$A$5:$A$1004,$A464,'AFA Rates'!$B$5:$B$1004,F$23)&gt;0,"Exp","")))</f>
        <v/>
      </c>
      <c r="G464" s="79">
        <f>IF(OR($A464="",G$23=""),"",IF(COUNTIFS('AFA Rates'!$A$5:$A$1004,$A464,'AFA Rates'!$B$5:$B$1004,G$23,'AFA Rates'!$O$5:$O$1004,"&lt;&gt;Expired")&gt;0,"✓",IF(COUNTIFS('AFA Rates'!$A$5:$A$1004,$A464,'AFA Rates'!$B$5:$B$1004,G$23)&gt;0,"Exp","")))</f>
        <v/>
      </c>
      <c r="H464" s="79">
        <f>IF(OR($A464="",H$23=""),"",IF(COUNTIFS('AFA Rates'!$A$5:$A$1004,$A464,'AFA Rates'!$B$5:$B$1004,H$23,'AFA Rates'!$O$5:$O$1004,"&lt;&gt;Expired")&gt;0,"✓",IF(COUNTIFS('AFA Rates'!$A$5:$A$1004,$A464,'AFA Rates'!$B$5:$B$1004,H$23)&gt;0,"Exp","")))</f>
        <v/>
      </c>
      <c r="I464" s="79">
        <f>IF(OR($A464="",I$23=""),"",IF(COUNTIFS('AFA Rates'!$A$5:$A$1004,$A464,'AFA Rates'!$B$5:$B$1004,I$23,'AFA Rates'!$O$5:$O$1004,"&lt;&gt;Expired")&gt;0,"✓",IF(COUNTIFS('AFA Rates'!$A$5:$A$1004,$A464,'AFA Rates'!$B$5:$B$1004,I$23)&gt;0,"Exp","")))</f>
        <v/>
      </c>
      <c r="J464" s="79">
        <f>IF(OR($A464="",J$23=""),"",IF(COUNTIFS('AFA Rates'!$A$5:$A$1004,$A464,'AFA Rates'!$B$5:$B$1004,J$23,'AFA Rates'!$O$5:$O$1004,"&lt;&gt;Expired")&gt;0,"✓",IF(COUNTIFS('AFA Rates'!$A$5:$A$1004,$A464,'AFA Rates'!$B$5:$B$1004,J$23)&gt;0,"Exp","")))</f>
        <v/>
      </c>
      <c r="K464" s="79">
        <f>IF(OR($A464="",K$23=""),"",IF(COUNTIFS('AFA Rates'!$A$5:$A$1004,$A464,'AFA Rates'!$B$5:$B$1004,K$23,'AFA Rates'!$O$5:$O$1004,"&lt;&gt;Expired")&gt;0,"✓",IF(COUNTIFS('AFA Rates'!$A$5:$A$1004,$A464,'AFA Rates'!$B$5:$B$1004,K$23)&gt;0,"Exp","")))</f>
        <v/>
      </c>
      <c r="L464" s="79">
        <f>IF(OR($A464="",L$23=""),"",IF(COUNTIFS('AFA Rates'!$A$5:$A$1004,$A464,'AFA Rates'!$B$5:$B$1004,L$23,'AFA Rates'!$O$5:$O$1004,"&lt;&gt;Expired")&gt;0,"✓",IF(COUNTIFS('AFA Rates'!$A$5:$A$1004,$A464,'AFA Rates'!$B$5:$B$1004,L$23)&gt;0,"Exp","")))</f>
        <v/>
      </c>
      <c r="M464" s="79">
        <f>IF(OR($A464="",M$23=""),"",IF(COUNTIFS('AFA Rates'!$A$5:$A$1004,$A464,'AFA Rates'!$B$5:$B$1004,M$23,'AFA Rates'!$O$5:$O$1004,"&lt;&gt;Expired")&gt;0,"✓",IF(COUNTIFS('AFA Rates'!$A$5:$A$1004,$A464,'AFA Rates'!$B$5:$B$1004,M$23)&gt;0,"Exp","")))</f>
        <v/>
      </c>
    </row>
    <row r="465">
      <c r="A465" s="78">
        <f>IFERROR(INDEX(Firms!$A$5:$A$1004,MATCH(442,Firms!$V$5:$V$1004,0)),"")</f>
        <v/>
      </c>
      <c r="B465" s="79">
        <f>IF($A465="","",INDEX(Firms!$B$5:$B$1004,MATCH(442,Firms!$V$5:$V$1004,0)))</f>
        <v/>
      </c>
      <c r="C465" s="79">
        <f>IF($A465="","",COUNTIFS('AFA Rates'!$A$5:$A$1004,$A465,'AFA Rates'!$O$5:$O$1004,"&lt;&gt;Expired"))</f>
        <v/>
      </c>
      <c r="D465" s="79">
        <f>IF(OR($A465="",D$23=""),"",IF(COUNTIFS('AFA Rates'!$A$5:$A$1004,$A465,'AFA Rates'!$B$5:$B$1004,D$23,'AFA Rates'!$O$5:$O$1004,"&lt;&gt;Expired")&gt;0,"✓",IF(COUNTIFS('AFA Rates'!$A$5:$A$1004,$A465,'AFA Rates'!$B$5:$B$1004,D$23)&gt;0,"Exp","")))</f>
        <v/>
      </c>
      <c r="E465" s="79">
        <f>IF(OR($A465="",E$23=""),"",IF(COUNTIFS('AFA Rates'!$A$5:$A$1004,$A465,'AFA Rates'!$B$5:$B$1004,E$23,'AFA Rates'!$O$5:$O$1004,"&lt;&gt;Expired")&gt;0,"✓",IF(COUNTIFS('AFA Rates'!$A$5:$A$1004,$A465,'AFA Rates'!$B$5:$B$1004,E$23)&gt;0,"Exp","")))</f>
        <v/>
      </c>
      <c r="F465" s="79">
        <f>IF(OR($A465="",F$23=""),"",IF(COUNTIFS('AFA Rates'!$A$5:$A$1004,$A465,'AFA Rates'!$B$5:$B$1004,F$23,'AFA Rates'!$O$5:$O$1004,"&lt;&gt;Expired")&gt;0,"✓",IF(COUNTIFS('AFA Rates'!$A$5:$A$1004,$A465,'AFA Rates'!$B$5:$B$1004,F$23)&gt;0,"Exp","")))</f>
        <v/>
      </c>
      <c r="G465" s="79">
        <f>IF(OR($A465="",G$23=""),"",IF(COUNTIFS('AFA Rates'!$A$5:$A$1004,$A465,'AFA Rates'!$B$5:$B$1004,G$23,'AFA Rates'!$O$5:$O$1004,"&lt;&gt;Expired")&gt;0,"✓",IF(COUNTIFS('AFA Rates'!$A$5:$A$1004,$A465,'AFA Rates'!$B$5:$B$1004,G$23)&gt;0,"Exp","")))</f>
        <v/>
      </c>
      <c r="H465" s="79">
        <f>IF(OR($A465="",H$23=""),"",IF(COUNTIFS('AFA Rates'!$A$5:$A$1004,$A465,'AFA Rates'!$B$5:$B$1004,H$23,'AFA Rates'!$O$5:$O$1004,"&lt;&gt;Expired")&gt;0,"✓",IF(COUNTIFS('AFA Rates'!$A$5:$A$1004,$A465,'AFA Rates'!$B$5:$B$1004,H$23)&gt;0,"Exp","")))</f>
        <v/>
      </c>
      <c r="I465" s="79">
        <f>IF(OR($A465="",I$23=""),"",IF(COUNTIFS('AFA Rates'!$A$5:$A$1004,$A465,'AFA Rates'!$B$5:$B$1004,I$23,'AFA Rates'!$O$5:$O$1004,"&lt;&gt;Expired")&gt;0,"✓",IF(COUNTIFS('AFA Rates'!$A$5:$A$1004,$A465,'AFA Rates'!$B$5:$B$1004,I$23)&gt;0,"Exp","")))</f>
        <v/>
      </c>
      <c r="J465" s="79">
        <f>IF(OR($A465="",J$23=""),"",IF(COUNTIFS('AFA Rates'!$A$5:$A$1004,$A465,'AFA Rates'!$B$5:$B$1004,J$23,'AFA Rates'!$O$5:$O$1004,"&lt;&gt;Expired")&gt;0,"✓",IF(COUNTIFS('AFA Rates'!$A$5:$A$1004,$A465,'AFA Rates'!$B$5:$B$1004,J$23)&gt;0,"Exp","")))</f>
        <v/>
      </c>
      <c r="K465" s="79">
        <f>IF(OR($A465="",K$23=""),"",IF(COUNTIFS('AFA Rates'!$A$5:$A$1004,$A465,'AFA Rates'!$B$5:$B$1004,K$23,'AFA Rates'!$O$5:$O$1004,"&lt;&gt;Expired")&gt;0,"✓",IF(COUNTIFS('AFA Rates'!$A$5:$A$1004,$A465,'AFA Rates'!$B$5:$B$1004,K$23)&gt;0,"Exp","")))</f>
        <v/>
      </c>
      <c r="L465" s="79">
        <f>IF(OR($A465="",L$23=""),"",IF(COUNTIFS('AFA Rates'!$A$5:$A$1004,$A465,'AFA Rates'!$B$5:$B$1004,L$23,'AFA Rates'!$O$5:$O$1004,"&lt;&gt;Expired")&gt;0,"✓",IF(COUNTIFS('AFA Rates'!$A$5:$A$1004,$A465,'AFA Rates'!$B$5:$B$1004,L$23)&gt;0,"Exp","")))</f>
        <v/>
      </c>
      <c r="M465" s="79">
        <f>IF(OR($A465="",M$23=""),"",IF(COUNTIFS('AFA Rates'!$A$5:$A$1004,$A465,'AFA Rates'!$B$5:$B$1004,M$23,'AFA Rates'!$O$5:$O$1004,"&lt;&gt;Expired")&gt;0,"✓",IF(COUNTIFS('AFA Rates'!$A$5:$A$1004,$A465,'AFA Rates'!$B$5:$B$1004,M$23)&gt;0,"Exp","")))</f>
        <v/>
      </c>
    </row>
    <row r="466">
      <c r="A466" s="78">
        <f>IFERROR(INDEX(Firms!$A$5:$A$1004,MATCH(443,Firms!$V$5:$V$1004,0)),"")</f>
        <v/>
      </c>
      <c r="B466" s="79">
        <f>IF($A466="","",INDEX(Firms!$B$5:$B$1004,MATCH(443,Firms!$V$5:$V$1004,0)))</f>
        <v/>
      </c>
      <c r="C466" s="79">
        <f>IF($A466="","",COUNTIFS('AFA Rates'!$A$5:$A$1004,$A466,'AFA Rates'!$O$5:$O$1004,"&lt;&gt;Expired"))</f>
        <v/>
      </c>
      <c r="D466" s="79">
        <f>IF(OR($A466="",D$23=""),"",IF(COUNTIFS('AFA Rates'!$A$5:$A$1004,$A466,'AFA Rates'!$B$5:$B$1004,D$23,'AFA Rates'!$O$5:$O$1004,"&lt;&gt;Expired")&gt;0,"✓",IF(COUNTIFS('AFA Rates'!$A$5:$A$1004,$A466,'AFA Rates'!$B$5:$B$1004,D$23)&gt;0,"Exp","")))</f>
        <v/>
      </c>
      <c r="E466" s="79">
        <f>IF(OR($A466="",E$23=""),"",IF(COUNTIFS('AFA Rates'!$A$5:$A$1004,$A466,'AFA Rates'!$B$5:$B$1004,E$23,'AFA Rates'!$O$5:$O$1004,"&lt;&gt;Expired")&gt;0,"✓",IF(COUNTIFS('AFA Rates'!$A$5:$A$1004,$A466,'AFA Rates'!$B$5:$B$1004,E$23)&gt;0,"Exp","")))</f>
        <v/>
      </c>
      <c r="F466" s="79">
        <f>IF(OR($A466="",F$23=""),"",IF(COUNTIFS('AFA Rates'!$A$5:$A$1004,$A466,'AFA Rates'!$B$5:$B$1004,F$23,'AFA Rates'!$O$5:$O$1004,"&lt;&gt;Expired")&gt;0,"✓",IF(COUNTIFS('AFA Rates'!$A$5:$A$1004,$A466,'AFA Rates'!$B$5:$B$1004,F$23)&gt;0,"Exp","")))</f>
        <v/>
      </c>
      <c r="G466" s="79">
        <f>IF(OR($A466="",G$23=""),"",IF(COUNTIFS('AFA Rates'!$A$5:$A$1004,$A466,'AFA Rates'!$B$5:$B$1004,G$23,'AFA Rates'!$O$5:$O$1004,"&lt;&gt;Expired")&gt;0,"✓",IF(COUNTIFS('AFA Rates'!$A$5:$A$1004,$A466,'AFA Rates'!$B$5:$B$1004,G$23)&gt;0,"Exp","")))</f>
        <v/>
      </c>
      <c r="H466" s="79">
        <f>IF(OR($A466="",H$23=""),"",IF(COUNTIFS('AFA Rates'!$A$5:$A$1004,$A466,'AFA Rates'!$B$5:$B$1004,H$23,'AFA Rates'!$O$5:$O$1004,"&lt;&gt;Expired")&gt;0,"✓",IF(COUNTIFS('AFA Rates'!$A$5:$A$1004,$A466,'AFA Rates'!$B$5:$B$1004,H$23)&gt;0,"Exp","")))</f>
        <v/>
      </c>
      <c r="I466" s="79">
        <f>IF(OR($A466="",I$23=""),"",IF(COUNTIFS('AFA Rates'!$A$5:$A$1004,$A466,'AFA Rates'!$B$5:$B$1004,I$23,'AFA Rates'!$O$5:$O$1004,"&lt;&gt;Expired")&gt;0,"✓",IF(COUNTIFS('AFA Rates'!$A$5:$A$1004,$A466,'AFA Rates'!$B$5:$B$1004,I$23)&gt;0,"Exp","")))</f>
        <v/>
      </c>
      <c r="J466" s="79">
        <f>IF(OR($A466="",J$23=""),"",IF(COUNTIFS('AFA Rates'!$A$5:$A$1004,$A466,'AFA Rates'!$B$5:$B$1004,J$23,'AFA Rates'!$O$5:$O$1004,"&lt;&gt;Expired")&gt;0,"✓",IF(COUNTIFS('AFA Rates'!$A$5:$A$1004,$A466,'AFA Rates'!$B$5:$B$1004,J$23)&gt;0,"Exp","")))</f>
        <v/>
      </c>
      <c r="K466" s="79">
        <f>IF(OR($A466="",K$23=""),"",IF(COUNTIFS('AFA Rates'!$A$5:$A$1004,$A466,'AFA Rates'!$B$5:$B$1004,K$23,'AFA Rates'!$O$5:$O$1004,"&lt;&gt;Expired")&gt;0,"✓",IF(COUNTIFS('AFA Rates'!$A$5:$A$1004,$A466,'AFA Rates'!$B$5:$B$1004,K$23)&gt;0,"Exp","")))</f>
        <v/>
      </c>
      <c r="L466" s="79">
        <f>IF(OR($A466="",L$23=""),"",IF(COUNTIFS('AFA Rates'!$A$5:$A$1004,$A466,'AFA Rates'!$B$5:$B$1004,L$23,'AFA Rates'!$O$5:$O$1004,"&lt;&gt;Expired")&gt;0,"✓",IF(COUNTIFS('AFA Rates'!$A$5:$A$1004,$A466,'AFA Rates'!$B$5:$B$1004,L$23)&gt;0,"Exp","")))</f>
        <v/>
      </c>
      <c r="M466" s="79">
        <f>IF(OR($A466="",M$23=""),"",IF(COUNTIFS('AFA Rates'!$A$5:$A$1004,$A466,'AFA Rates'!$B$5:$B$1004,M$23,'AFA Rates'!$O$5:$O$1004,"&lt;&gt;Expired")&gt;0,"✓",IF(COUNTIFS('AFA Rates'!$A$5:$A$1004,$A466,'AFA Rates'!$B$5:$B$1004,M$23)&gt;0,"Exp","")))</f>
        <v/>
      </c>
    </row>
    <row r="467">
      <c r="A467" s="78">
        <f>IFERROR(INDEX(Firms!$A$5:$A$1004,MATCH(444,Firms!$V$5:$V$1004,0)),"")</f>
        <v/>
      </c>
      <c r="B467" s="79">
        <f>IF($A467="","",INDEX(Firms!$B$5:$B$1004,MATCH(444,Firms!$V$5:$V$1004,0)))</f>
        <v/>
      </c>
      <c r="C467" s="79">
        <f>IF($A467="","",COUNTIFS('AFA Rates'!$A$5:$A$1004,$A467,'AFA Rates'!$O$5:$O$1004,"&lt;&gt;Expired"))</f>
        <v/>
      </c>
      <c r="D467" s="79">
        <f>IF(OR($A467="",D$23=""),"",IF(COUNTIFS('AFA Rates'!$A$5:$A$1004,$A467,'AFA Rates'!$B$5:$B$1004,D$23,'AFA Rates'!$O$5:$O$1004,"&lt;&gt;Expired")&gt;0,"✓",IF(COUNTIFS('AFA Rates'!$A$5:$A$1004,$A467,'AFA Rates'!$B$5:$B$1004,D$23)&gt;0,"Exp","")))</f>
        <v/>
      </c>
      <c r="E467" s="79">
        <f>IF(OR($A467="",E$23=""),"",IF(COUNTIFS('AFA Rates'!$A$5:$A$1004,$A467,'AFA Rates'!$B$5:$B$1004,E$23,'AFA Rates'!$O$5:$O$1004,"&lt;&gt;Expired")&gt;0,"✓",IF(COUNTIFS('AFA Rates'!$A$5:$A$1004,$A467,'AFA Rates'!$B$5:$B$1004,E$23)&gt;0,"Exp","")))</f>
        <v/>
      </c>
      <c r="F467" s="79">
        <f>IF(OR($A467="",F$23=""),"",IF(COUNTIFS('AFA Rates'!$A$5:$A$1004,$A467,'AFA Rates'!$B$5:$B$1004,F$23,'AFA Rates'!$O$5:$O$1004,"&lt;&gt;Expired")&gt;0,"✓",IF(COUNTIFS('AFA Rates'!$A$5:$A$1004,$A467,'AFA Rates'!$B$5:$B$1004,F$23)&gt;0,"Exp","")))</f>
        <v/>
      </c>
      <c r="G467" s="79">
        <f>IF(OR($A467="",G$23=""),"",IF(COUNTIFS('AFA Rates'!$A$5:$A$1004,$A467,'AFA Rates'!$B$5:$B$1004,G$23,'AFA Rates'!$O$5:$O$1004,"&lt;&gt;Expired")&gt;0,"✓",IF(COUNTIFS('AFA Rates'!$A$5:$A$1004,$A467,'AFA Rates'!$B$5:$B$1004,G$23)&gt;0,"Exp","")))</f>
        <v/>
      </c>
      <c r="H467" s="79">
        <f>IF(OR($A467="",H$23=""),"",IF(COUNTIFS('AFA Rates'!$A$5:$A$1004,$A467,'AFA Rates'!$B$5:$B$1004,H$23,'AFA Rates'!$O$5:$O$1004,"&lt;&gt;Expired")&gt;0,"✓",IF(COUNTIFS('AFA Rates'!$A$5:$A$1004,$A467,'AFA Rates'!$B$5:$B$1004,H$23)&gt;0,"Exp","")))</f>
        <v/>
      </c>
      <c r="I467" s="79">
        <f>IF(OR($A467="",I$23=""),"",IF(COUNTIFS('AFA Rates'!$A$5:$A$1004,$A467,'AFA Rates'!$B$5:$B$1004,I$23,'AFA Rates'!$O$5:$O$1004,"&lt;&gt;Expired")&gt;0,"✓",IF(COUNTIFS('AFA Rates'!$A$5:$A$1004,$A467,'AFA Rates'!$B$5:$B$1004,I$23)&gt;0,"Exp","")))</f>
        <v/>
      </c>
      <c r="J467" s="79">
        <f>IF(OR($A467="",J$23=""),"",IF(COUNTIFS('AFA Rates'!$A$5:$A$1004,$A467,'AFA Rates'!$B$5:$B$1004,J$23,'AFA Rates'!$O$5:$O$1004,"&lt;&gt;Expired")&gt;0,"✓",IF(COUNTIFS('AFA Rates'!$A$5:$A$1004,$A467,'AFA Rates'!$B$5:$B$1004,J$23)&gt;0,"Exp","")))</f>
        <v/>
      </c>
      <c r="K467" s="79">
        <f>IF(OR($A467="",K$23=""),"",IF(COUNTIFS('AFA Rates'!$A$5:$A$1004,$A467,'AFA Rates'!$B$5:$B$1004,K$23,'AFA Rates'!$O$5:$O$1004,"&lt;&gt;Expired")&gt;0,"✓",IF(COUNTIFS('AFA Rates'!$A$5:$A$1004,$A467,'AFA Rates'!$B$5:$B$1004,K$23)&gt;0,"Exp","")))</f>
        <v/>
      </c>
      <c r="L467" s="79">
        <f>IF(OR($A467="",L$23=""),"",IF(COUNTIFS('AFA Rates'!$A$5:$A$1004,$A467,'AFA Rates'!$B$5:$B$1004,L$23,'AFA Rates'!$O$5:$O$1004,"&lt;&gt;Expired")&gt;0,"✓",IF(COUNTIFS('AFA Rates'!$A$5:$A$1004,$A467,'AFA Rates'!$B$5:$B$1004,L$23)&gt;0,"Exp","")))</f>
        <v/>
      </c>
      <c r="M467" s="79">
        <f>IF(OR($A467="",M$23=""),"",IF(COUNTIFS('AFA Rates'!$A$5:$A$1004,$A467,'AFA Rates'!$B$5:$B$1004,M$23,'AFA Rates'!$O$5:$O$1004,"&lt;&gt;Expired")&gt;0,"✓",IF(COUNTIFS('AFA Rates'!$A$5:$A$1004,$A467,'AFA Rates'!$B$5:$B$1004,M$23)&gt;0,"Exp","")))</f>
        <v/>
      </c>
    </row>
    <row r="468">
      <c r="A468" s="78">
        <f>IFERROR(INDEX(Firms!$A$5:$A$1004,MATCH(445,Firms!$V$5:$V$1004,0)),"")</f>
        <v/>
      </c>
      <c r="B468" s="79">
        <f>IF($A468="","",INDEX(Firms!$B$5:$B$1004,MATCH(445,Firms!$V$5:$V$1004,0)))</f>
        <v/>
      </c>
      <c r="C468" s="79">
        <f>IF($A468="","",COUNTIFS('AFA Rates'!$A$5:$A$1004,$A468,'AFA Rates'!$O$5:$O$1004,"&lt;&gt;Expired"))</f>
        <v/>
      </c>
      <c r="D468" s="79">
        <f>IF(OR($A468="",D$23=""),"",IF(COUNTIFS('AFA Rates'!$A$5:$A$1004,$A468,'AFA Rates'!$B$5:$B$1004,D$23,'AFA Rates'!$O$5:$O$1004,"&lt;&gt;Expired")&gt;0,"✓",IF(COUNTIFS('AFA Rates'!$A$5:$A$1004,$A468,'AFA Rates'!$B$5:$B$1004,D$23)&gt;0,"Exp","")))</f>
        <v/>
      </c>
      <c r="E468" s="79">
        <f>IF(OR($A468="",E$23=""),"",IF(COUNTIFS('AFA Rates'!$A$5:$A$1004,$A468,'AFA Rates'!$B$5:$B$1004,E$23,'AFA Rates'!$O$5:$O$1004,"&lt;&gt;Expired")&gt;0,"✓",IF(COUNTIFS('AFA Rates'!$A$5:$A$1004,$A468,'AFA Rates'!$B$5:$B$1004,E$23)&gt;0,"Exp","")))</f>
        <v/>
      </c>
      <c r="F468" s="79">
        <f>IF(OR($A468="",F$23=""),"",IF(COUNTIFS('AFA Rates'!$A$5:$A$1004,$A468,'AFA Rates'!$B$5:$B$1004,F$23,'AFA Rates'!$O$5:$O$1004,"&lt;&gt;Expired")&gt;0,"✓",IF(COUNTIFS('AFA Rates'!$A$5:$A$1004,$A468,'AFA Rates'!$B$5:$B$1004,F$23)&gt;0,"Exp","")))</f>
        <v/>
      </c>
      <c r="G468" s="79">
        <f>IF(OR($A468="",G$23=""),"",IF(COUNTIFS('AFA Rates'!$A$5:$A$1004,$A468,'AFA Rates'!$B$5:$B$1004,G$23,'AFA Rates'!$O$5:$O$1004,"&lt;&gt;Expired")&gt;0,"✓",IF(COUNTIFS('AFA Rates'!$A$5:$A$1004,$A468,'AFA Rates'!$B$5:$B$1004,G$23)&gt;0,"Exp","")))</f>
        <v/>
      </c>
      <c r="H468" s="79">
        <f>IF(OR($A468="",H$23=""),"",IF(COUNTIFS('AFA Rates'!$A$5:$A$1004,$A468,'AFA Rates'!$B$5:$B$1004,H$23,'AFA Rates'!$O$5:$O$1004,"&lt;&gt;Expired")&gt;0,"✓",IF(COUNTIFS('AFA Rates'!$A$5:$A$1004,$A468,'AFA Rates'!$B$5:$B$1004,H$23)&gt;0,"Exp","")))</f>
        <v/>
      </c>
      <c r="I468" s="79">
        <f>IF(OR($A468="",I$23=""),"",IF(COUNTIFS('AFA Rates'!$A$5:$A$1004,$A468,'AFA Rates'!$B$5:$B$1004,I$23,'AFA Rates'!$O$5:$O$1004,"&lt;&gt;Expired")&gt;0,"✓",IF(COUNTIFS('AFA Rates'!$A$5:$A$1004,$A468,'AFA Rates'!$B$5:$B$1004,I$23)&gt;0,"Exp","")))</f>
        <v/>
      </c>
      <c r="J468" s="79">
        <f>IF(OR($A468="",J$23=""),"",IF(COUNTIFS('AFA Rates'!$A$5:$A$1004,$A468,'AFA Rates'!$B$5:$B$1004,J$23,'AFA Rates'!$O$5:$O$1004,"&lt;&gt;Expired")&gt;0,"✓",IF(COUNTIFS('AFA Rates'!$A$5:$A$1004,$A468,'AFA Rates'!$B$5:$B$1004,J$23)&gt;0,"Exp","")))</f>
        <v/>
      </c>
      <c r="K468" s="79">
        <f>IF(OR($A468="",K$23=""),"",IF(COUNTIFS('AFA Rates'!$A$5:$A$1004,$A468,'AFA Rates'!$B$5:$B$1004,K$23,'AFA Rates'!$O$5:$O$1004,"&lt;&gt;Expired")&gt;0,"✓",IF(COUNTIFS('AFA Rates'!$A$5:$A$1004,$A468,'AFA Rates'!$B$5:$B$1004,K$23)&gt;0,"Exp","")))</f>
        <v/>
      </c>
      <c r="L468" s="79">
        <f>IF(OR($A468="",L$23=""),"",IF(COUNTIFS('AFA Rates'!$A$5:$A$1004,$A468,'AFA Rates'!$B$5:$B$1004,L$23,'AFA Rates'!$O$5:$O$1004,"&lt;&gt;Expired")&gt;0,"✓",IF(COUNTIFS('AFA Rates'!$A$5:$A$1004,$A468,'AFA Rates'!$B$5:$B$1004,L$23)&gt;0,"Exp","")))</f>
        <v/>
      </c>
      <c r="M468" s="79">
        <f>IF(OR($A468="",M$23=""),"",IF(COUNTIFS('AFA Rates'!$A$5:$A$1004,$A468,'AFA Rates'!$B$5:$B$1004,M$23,'AFA Rates'!$O$5:$O$1004,"&lt;&gt;Expired")&gt;0,"✓",IF(COUNTIFS('AFA Rates'!$A$5:$A$1004,$A468,'AFA Rates'!$B$5:$B$1004,M$23)&gt;0,"Exp","")))</f>
        <v/>
      </c>
    </row>
    <row r="469">
      <c r="A469" s="78">
        <f>IFERROR(INDEX(Firms!$A$5:$A$1004,MATCH(446,Firms!$V$5:$V$1004,0)),"")</f>
        <v/>
      </c>
      <c r="B469" s="79">
        <f>IF($A469="","",INDEX(Firms!$B$5:$B$1004,MATCH(446,Firms!$V$5:$V$1004,0)))</f>
        <v/>
      </c>
      <c r="C469" s="79">
        <f>IF($A469="","",COUNTIFS('AFA Rates'!$A$5:$A$1004,$A469,'AFA Rates'!$O$5:$O$1004,"&lt;&gt;Expired"))</f>
        <v/>
      </c>
      <c r="D469" s="79">
        <f>IF(OR($A469="",D$23=""),"",IF(COUNTIFS('AFA Rates'!$A$5:$A$1004,$A469,'AFA Rates'!$B$5:$B$1004,D$23,'AFA Rates'!$O$5:$O$1004,"&lt;&gt;Expired")&gt;0,"✓",IF(COUNTIFS('AFA Rates'!$A$5:$A$1004,$A469,'AFA Rates'!$B$5:$B$1004,D$23)&gt;0,"Exp","")))</f>
        <v/>
      </c>
      <c r="E469" s="79">
        <f>IF(OR($A469="",E$23=""),"",IF(COUNTIFS('AFA Rates'!$A$5:$A$1004,$A469,'AFA Rates'!$B$5:$B$1004,E$23,'AFA Rates'!$O$5:$O$1004,"&lt;&gt;Expired")&gt;0,"✓",IF(COUNTIFS('AFA Rates'!$A$5:$A$1004,$A469,'AFA Rates'!$B$5:$B$1004,E$23)&gt;0,"Exp","")))</f>
        <v/>
      </c>
      <c r="F469" s="79">
        <f>IF(OR($A469="",F$23=""),"",IF(COUNTIFS('AFA Rates'!$A$5:$A$1004,$A469,'AFA Rates'!$B$5:$B$1004,F$23,'AFA Rates'!$O$5:$O$1004,"&lt;&gt;Expired")&gt;0,"✓",IF(COUNTIFS('AFA Rates'!$A$5:$A$1004,$A469,'AFA Rates'!$B$5:$B$1004,F$23)&gt;0,"Exp","")))</f>
        <v/>
      </c>
      <c r="G469" s="79">
        <f>IF(OR($A469="",G$23=""),"",IF(COUNTIFS('AFA Rates'!$A$5:$A$1004,$A469,'AFA Rates'!$B$5:$B$1004,G$23,'AFA Rates'!$O$5:$O$1004,"&lt;&gt;Expired")&gt;0,"✓",IF(COUNTIFS('AFA Rates'!$A$5:$A$1004,$A469,'AFA Rates'!$B$5:$B$1004,G$23)&gt;0,"Exp","")))</f>
        <v/>
      </c>
      <c r="H469" s="79">
        <f>IF(OR($A469="",H$23=""),"",IF(COUNTIFS('AFA Rates'!$A$5:$A$1004,$A469,'AFA Rates'!$B$5:$B$1004,H$23,'AFA Rates'!$O$5:$O$1004,"&lt;&gt;Expired")&gt;0,"✓",IF(COUNTIFS('AFA Rates'!$A$5:$A$1004,$A469,'AFA Rates'!$B$5:$B$1004,H$23)&gt;0,"Exp","")))</f>
        <v/>
      </c>
      <c r="I469" s="79">
        <f>IF(OR($A469="",I$23=""),"",IF(COUNTIFS('AFA Rates'!$A$5:$A$1004,$A469,'AFA Rates'!$B$5:$B$1004,I$23,'AFA Rates'!$O$5:$O$1004,"&lt;&gt;Expired")&gt;0,"✓",IF(COUNTIFS('AFA Rates'!$A$5:$A$1004,$A469,'AFA Rates'!$B$5:$B$1004,I$23)&gt;0,"Exp","")))</f>
        <v/>
      </c>
      <c r="J469" s="79">
        <f>IF(OR($A469="",J$23=""),"",IF(COUNTIFS('AFA Rates'!$A$5:$A$1004,$A469,'AFA Rates'!$B$5:$B$1004,J$23,'AFA Rates'!$O$5:$O$1004,"&lt;&gt;Expired")&gt;0,"✓",IF(COUNTIFS('AFA Rates'!$A$5:$A$1004,$A469,'AFA Rates'!$B$5:$B$1004,J$23)&gt;0,"Exp","")))</f>
        <v/>
      </c>
      <c r="K469" s="79">
        <f>IF(OR($A469="",K$23=""),"",IF(COUNTIFS('AFA Rates'!$A$5:$A$1004,$A469,'AFA Rates'!$B$5:$B$1004,K$23,'AFA Rates'!$O$5:$O$1004,"&lt;&gt;Expired")&gt;0,"✓",IF(COUNTIFS('AFA Rates'!$A$5:$A$1004,$A469,'AFA Rates'!$B$5:$B$1004,K$23)&gt;0,"Exp","")))</f>
        <v/>
      </c>
      <c r="L469" s="79">
        <f>IF(OR($A469="",L$23=""),"",IF(COUNTIFS('AFA Rates'!$A$5:$A$1004,$A469,'AFA Rates'!$B$5:$B$1004,L$23,'AFA Rates'!$O$5:$O$1004,"&lt;&gt;Expired")&gt;0,"✓",IF(COUNTIFS('AFA Rates'!$A$5:$A$1004,$A469,'AFA Rates'!$B$5:$B$1004,L$23)&gt;0,"Exp","")))</f>
        <v/>
      </c>
      <c r="M469" s="79">
        <f>IF(OR($A469="",M$23=""),"",IF(COUNTIFS('AFA Rates'!$A$5:$A$1004,$A469,'AFA Rates'!$B$5:$B$1004,M$23,'AFA Rates'!$O$5:$O$1004,"&lt;&gt;Expired")&gt;0,"✓",IF(COUNTIFS('AFA Rates'!$A$5:$A$1004,$A469,'AFA Rates'!$B$5:$B$1004,M$23)&gt;0,"Exp","")))</f>
        <v/>
      </c>
    </row>
    <row r="470">
      <c r="A470" s="78">
        <f>IFERROR(INDEX(Firms!$A$5:$A$1004,MATCH(447,Firms!$V$5:$V$1004,0)),"")</f>
        <v/>
      </c>
      <c r="B470" s="79">
        <f>IF($A470="","",INDEX(Firms!$B$5:$B$1004,MATCH(447,Firms!$V$5:$V$1004,0)))</f>
        <v/>
      </c>
      <c r="C470" s="79">
        <f>IF($A470="","",COUNTIFS('AFA Rates'!$A$5:$A$1004,$A470,'AFA Rates'!$O$5:$O$1004,"&lt;&gt;Expired"))</f>
        <v/>
      </c>
      <c r="D470" s="79">
        <f>IF(OR($A470="",D$23=""),"",IF(COUNTIFS('AFA Rates'!$A$5:$A$1004,$A470,'AFA Rates'!$B$5:$B$1004,D$23,'AFA Rates'!$O$5:$O$1004,"&lt;&gt;Expired")&gt;0,"✓",IF(COUNTIFS('AFA Rates'!$A$5:$A$1004,$A470,'AFA Rates'!$B$5:$B$1004,D$23)&gt;0,"Exp","")))</f>
        <v/>
      </c>
      <c r="E470" s="79">
        <f>IF(OR($A470="",E$23=""),"",IF(COUNTIFS('AFA Rates'!$A$5:$A$1004,$A470,'AFA Rates'!$B$5:$B$1004,E$23,'AFA Rates'!$O$5:$O$1004,"&lt;&gt;Expired")&gt;0,"✓",IF(COUNTIFS('AFA Rates'!$A$5:$A$1004,$A470,'AFA Rates'!$B$5:$B$1004,E$23)&gt;0,"Exp","")))</f>
        <v/>
      </c>
      <c r="F470" s="79">
        <f>IF(OR($A470="",F$23=""),"",IF(COUNTIFS('AFA Rates'!$A$5:$A$1004,$A470,'AFA Rates'!$B$5:$B$1004,F$23,'AFA Rates'!$O$5:$O$1004,"&lt;&gt;Expired")&gt;0,"✓",IF(COUNTIFS('AFA Rates'!$A$5:$A$1004,$A470,'AFA Rates'!$B$5:$B$1004,F$23)&gt;0,"Exp","")))</f>
        <v/>
      </c>
      <c r="G470" s="79">
        <f>IF(OR($A470="",G$23=""),"",IF(COUNTIFS('AFA Rates'!$A$5:$A$1004,$A470,'AFA Rates'!$B$5:$B$1004,G$23,'AFA Rates'!$O$5:$O$1004,"&lt;&gt;Expired")&gt;0,"✓",IF(COUNTIFS('AFA Rates'!$A$5:$A$1004,$A470,'AFA Rates'!$B$5:$B$1004,G$23)&gt;0,"Exp","")))</f>
        <v/>
      </c>
      <c r="H470" s="79">
        <f>IF(OR($A470="",H$23=""),"",IF(COUNTIFS('AFA Rates'!$A$5:$A$1004,$A470,'AFA Rates'!$B$5:$B$1004,H$23,'AFA Rates'!$O$5:$O$1004,"&lt;&gt;Expired")&gt;0,"✓",IF(COUNTIFS('AFA Rates'!$A$5:$A$1004,$A470,'AFA Rates'!$B$5:$B$1004,H$23)&gt;0,"Exp","")))</f>
        <v/>
      </c>
      <c r="I470" s="79">
        <f>IF(OR($A470="",I$23=""),"",IF(COUNTIFS('AFA Rates'!$A$5:$A$1004,$A470,'AFA Rates'!$B$5:$B$1004,I$23,'AFA Rates'!$O$5:$O$1004,"&lt;&gt;Expired")&gt;0,"✓",IF(COUNTIFS('AFA Rates'!$A$5:$A$1004,$A470,'AFA Rates'!$B$5:$B$1004,I$23)&gt;0,"Exp","")))</f>
        <v/>
      </c>
      <c r="J470" s="79">
        <f>IF(OR($A470="",J$23=""),"",IF(COUNTIFS('AFA Rates'!$A$5:$A$1004,$A470,'AFA Rates'!$B$5:$B$1004,J$23,'AFA Rates'!$O$5:$O$1004,"&lt;&gt;Expired")&gt;0,"✓",IF(COUNTIFS('AFA Rates'!$A$5:$A$1004,$A470,'AFA Rates'!$B$5:$B$1004,J$23)&gt;0,"Exp","")))</f>
        <v/>
      </c>
      <c r="K470" s="79">
        <f>IF(OR($A470="",K$23=""),"",IF(COUNTIFS('AFA Rates'!$A$5:$A$1004,$A470,'AFA Rates'!$B$5:$B$1004,K$23,'AFA Rates'!$O$5:$O$1004,"&lt;&gt;Expired")&gt;0,"✓",IF(COUNTIFS('AFA Rates'!$A$5:$A$1004,$A470,'AFA Rates'!$B$5:$B$1004,K$23)&gt;0,"Exp","")))</f>
        <v/>
      </c>
      <c r="L470" s="79">
        <f>IF(OR($A470="",L$23=""),"",IF(COUNTIFS('AFA Rates'!$A$5:$A$1004,$A470,'AFA Rates'!$B$5:$B$1004,L$23,'AFA Rates'!$O$5:$O$1004,"&lt;&gt;Expired")&gt;0,"✓",IF(COUNTIFS('AFA Rates'!$A$5:$A$1004,$A470,'AFA Rates'!$B$5:$B$1004,L$23)&gt;0,"Exp","")))</f>
        <v/>
      </c>
      <c r="M470" s="79">
        <f>IF(OR($A470="",M$23=""),"",IF(COUNTIFS('AFA Rates'!$A$5:$A$1004,$A470,'AFA Rates'!$B$5:$B$1004,M$23,'AFA Rates'!$O$5:$O$1004,"&lt;&gt;Expired")&gt;0,"✓",IF(COUNTIFS('AFA Rates'!$A$5:$A$1004,$A470,'AFA Rates'!$B$5:$B$1004,M$23)&gt;0,"Exp","")))</f>
        <v/>
      </c>
    </row>
    <row r="471">
      <c r="A471" s="78">
        <f>IFERROR(INDEX(Firms!$A$5:$A$1004,MATCH(448,Firms!$V$5:$V$1004,0)),"")</f>
        <v/>
      </c>
      <c r="B471" s="79">
        <f>IF($A471="","",INDEX(Firms!$B$5:$B$1004,MATCH(448,Firms!$V$5:$V$1004,0)))</f>
        <v/>
      </c>
      <c r="C471" s="79">
        <f>IF($A471="","",COUNTIFS('AFA Rates'!$A$5:$A$1004,$A471,'AFA Rates'!$O$5:$O$1004,"&lt;&gt;Expired"))</f>
        <v/>
      </c>
      <c r="D471" s="79">
        <f>IF(OR($A471="",D$23=""),"",IF(COUNTIFS('AFA Rates'!$A$5:$A$1004,$A471,'AFA Rates'!$B$5:$B$1004,D$23,'AFA Rates'!$O$5:$O$1004,"&lt;&gt;Expired")&gt;0,"✓",IF(COUNTIFS('AFA Rates'!$A$5:$A$1004,$A471,'AFA Rates'!$B$5:$B$1004,D$23)&gt;0,"Exp","")))</f>
        <v/>
      </c>
      <c r="E471" s="79">
        <f>IF(OR($A471="",E$23=""),"",IF(COUNTIFS('AFA Rates'!$A$5:$A$1004,$A471,'AFA Rates'!$B$5:$B$1004,E$23,'AFA Rates'!$O$5:$O$1004,"&lt;&gt;Expired")&gt;0,"✓",IF(COUNTIFS('AFA Rates'!$A$5:$A$1004,$A471,'AFA Rates'!$B$5:$B$1004,E$23)&gt;0,"Exp","")))</f>
        <v/>
      </c>
      <c r="F471" s="79">
        <f>IF(OR($A471="",F$23=""),"",IF(COUNTIFS('AFA Rates'!$A$5:$A$1004,$A471,'AFA Rates'!$B$5:$B$1004,F$23,'AFA Rates'!$O$5:$O$1004,"&lt;&gt;Expired")&gt;0,"✓",IF(COUNTIFS('AFA Rates'!$A$5:$A$1004,$A471,'AFA Rates'!$B$5:$B$1004,F$23)&gt;0,"Exp","")))</f>
        <v/>
      </c>
      <c r="G471" s="79">
        <f>IF(OR($A471="",G$23=""),"",IF(COUNTIFS('AFA Rates'!$A$5:$A$1004,$A471,'AFA Rates'!$B$5:$B$1004,G$23,'AFA Rates'!$O$5:$O$1004,"&lt;&gt;Expired")&gt;0,"✓",IF(COUNTIFS('AFA Rates'!$A$5:$A$1004,$A471,'AFA Rates'!$B$5:$B$1004,G$23)&gt;0,"Exp","")))</f>
        <v/>
      </c>
      <c r="H471" s="79">
        <f>IF(OR($A471="",H$23=""),"",IF(COUNTIFS('AFA Rates'!$A$5:$A$1004,$A471,'AFA Rates'!$B$5:$B$1004,H$23,'AFA Rates'!$O$5:$O$1004,"&lt;&gt;Expired")&gt;0,"✓",IF(COUNTIFS('AFA Rates'!$A$5:$A$1004,$A471,'AFA Rates'!$B$5:$B$1004,H$23)&gt;0,"Exp","")))</f>
        <v/>
      </c>
      <c r="I471" s="79">
        <f>IF(OR($A471="",I$23=""),"",IF(COUNTIFS('AFA Rates'!$A$5:$A$1004,$A471,'AFA Rates'!$B$5:$B$1004,I$23,'AFA Rates'!$O$5:$O$1004,"&lt;&gt;Expired")&gt;0,"✓",IF(COUNTIFS('AFA Rates'!$A$5:$A$1004,$A471,'AFA Rates'!$B$5:$B$1004,I$23)&gt;0,"Exp","")))</f>
        <v/>
      </c>
      <c r="J471" s="79">
        <f>IF(OR($A471="",J$23=""),"",IF(COUNTIFS('AFA Rates'!$A$5:$A$1004,$A471,'AFA Rates'!$B$5:$B$1004,J$23,'AFA Rates'!$O$5:$O$1004,"&lt;&gt;Expired")&gt;0,"✓",IF(COUNTIFS('AFA Rates'!$A$5:$A$1004,$A471,'AFA Rates'!$B$5:$B$1004,J$23)&gt;0,"Exp","")))</f>
        <v/>
      </c>
      <c r="K471" s="79">
        <f>IF(OR($A471="",K$23=""),"",IF(COUNTIFS('AFA Rates'!$A$5:$A$1004,$A471,'AFA Rates'!$B$5:$B$1004,K$23,'AFA Rates'!$O$5:$O$1004,"&lt;&gt;Expired")&gt;0,"✓",IF(COUNTIFS('AFA Rates'!$A$5:$A$1004,$A471,'AFA Rates'!$B$5:$B$1004,K$23)&gt;0,"Exp","")))</f>
        <v/>
      </c>
      <c r="L471" s="79">
        <f>IF(OR($A471="",L$23=""),"",IF(COUNTIFS('AFA Rates'!$A$5:$A$1004,$A471,'AFA Rates'!$B$5:$B$1004,L$23,'AFA Rates'!$O$5:$O$1004,"&lt;&gt;Expired")&gt;0,"✓",IF(COUNTIFS('AFA Rates'!$A$5:$A$1004,$A471,'AFA Rates'!$B$5:$B$1004,L$23)&gt;0,"Exp","")))</f>
        <v/>
      </c>
      <c r="M471" s="79">
        <f>IF(OR($A471="",M$23=""),"",IF(COUNTIFS('AFA Rates'!$A$5:$A$1004,$A471,'AFA Rates'!$B$5:$B$1004,M$23,'AFA Rates'!$O$5:$O$1004,"&lt;&gt;Expired")&gt;0,"✓",IF(COUNTIFS('AFA Rates'!$A$5:$A$1004,$A471,'AFA Rates'!$B$5:$B$1004,M$23)&gt;0,"Exp","")))</f>
        <v/>
      </c>
    </row>
    <row r="472">
      <c r="A472" s="78">
        <f>IFERROR(INDEX(Firms!$A$5:$A$1004,MATCH(449,Firms!$V$5:$V$1004,0)),"")</f>
        <v/>
      </c>
      <c r="B472" s="79">
        <f>IF($A472="","",INDEX(Firms!$B$5:$B$1004,MATCH(449,Firms!$V$5:$V$1004,0)))</f>
        <v/>
      </c>
      <c r="C472" s="79">
        <f>IF($A472="","",COUNTIFS('AFA Rates'!$A$5:$A$1004,$A472,'AFA Rates'!$O$5:$O$1004,"&lt;&gt;Expired"))</f>
        <v/>
      </c>
      <c r="D472" s="79">
        <f>IF(OR($A472="",D$23=""),"",IF(COUNTIFS('AFA Rates'!$A$5:$A$1004,$A472,'AFA Rates'!$B$5:$B$1004,D$23,'AFA Rates'!$O$5:$O$1004,"&lt;&gt;Expired")&gt;0,"✓",IF(COUNTIFS('AFA Rates'!$A$5:$A$1004,$A472,'AFA Rates'!$B$5:$B$1004,D$23)&gt;0,"Exp","")))</f>
        <v/>
      </c>
      <c r="E472" s="79">
        <f>IF(OR($A472="",E$23=""),"",IF(COUNTIFS('AFA Rates'!$A$5:$A$1004,$A472,'AFA Rates'!$B$5:$B$1004,E$23,'AFA Rates'!$O$5:$O$1004,"&lt;&gt;Expired")&gt;0,"✓",IF(COUNTIFS('AFA Rates'!$A$5:$A$1004,$A472,'AFA Rates'!$B$5:$B$1004,E$23)&gt;0,"Exp","")))</f>
        <v/>
      </c>
      <c r="F472" s="79">
        <f>IF(OR($A472="",F$23=""),"",IF(COUNTIFS('AFA Rates'!$A$5:$A$1004,$A472,'AFA Rates'!$B$5:$B$1004,F$23,'AFA Rates'!$O$5:$O$1004,"&lt;&gt;Expired")&gt;0,"✓",IF(COUNTIFS('AFA Rates'!$A$5:$A$1004,$A472,'AFA Rates'!$B$5:$B$1004,F$23)&gt;0,"Exp","")))</f>
        <v/>
      </c>
      <c r="G472" s="79">
        <f>IF(OR($A472="",G$23=""),"",IF(COUNTIFS('AFA Rates'!$A$5:$A$1004,$A472,'AFA Rates'!$B$5:$B$1004,G$23,'AFA Rates'!$O$5:$O$1004,"&lt;&gt;Expired")&gt;0,"✓",IF(COUNTIFS('AFA Rates'!$A$5:$A$1004,$A472,'AFA Rates'!$B$5:$B$1004,G$23)&gt;0,"Exp","")))</f>
        <v/>
      </c>
      <c r="H472" s="79">
        <f>IF(OR($A472="",H$23=""),"",IF(COUNTIFS('AFA Rates'!$A$5:$A$1004,$A472,'AFA Rates'!$B$5:$B$1004,H$23,'AFA Rates'!$O$5:$O$1004,"&lt;&gt;Expired")&gt;0,"✓",IF(COUNTIFS('AFA Rates'!$A$5:$A$1004,$A472,'AFA Rates'!$B$5:$B$1004,H$23)&gt;0,"Exp","")))</f>
        <v/>
      </c>
      <c r="I472" s="79">
        <f>IF(OR($A472="",I$23=""),"",IF(COUNTIFS('AFA Rates'!$A$5:$A$1004,$A472,'AFA Rates'!$B$5:$B$1004,I$23,'AFA Rates'!$O$5:$O$1004,"&lt;&gt;Expired")&gt;0,"✓",IF(COUNTIFS('AFA Rates'!$A$5:$A$1004,$A472,'AFA Rates'!$B$5:$B$1004,I$23)&gt;0,"Exp","")))</f>
        <v/>
      </c>
      <c r="J472" s="79">
        <f>IF(OR($A472="",J$23=""),"",IF(COUNTIFS('AFA Rates'!$A$5:$A$1004,$A472,'AFA Rates'!$B$5:$B$1004,J$23,'AFA Rates'!$O$5:$O$1004,"&lt;&gt;Expired")&gt;0,"✓",IF(COUNTIFS('AFA Rates'!$A$5:$A$1004,$A472,'AFA Rates'!$B$5:$B$1004,J$23)&gt;0,"Exp","")))</f>
        <v/>
      </c>
      <c r="K472" s="79">
        <f>IF(OR($A472="",K$23=""),"",IF(COUNTIFS('AFA Rates'!$A$5:$A$1004,$A472,'AFA Rates'!$B$5:$B$1004,K$23,'AFA Rates'!$O$5:$O$1004,"&lt;&gt;Expired")&gt;0,"✓",IF(COUNTIFS('AFA Rates'!$A$5:$A$1004,$A472,'AFA Rates'!$B$5:$B$1004,K$23)&gt;0,"Exp","")))</f>
        <v/>
      </c>
      <c r="L472" s="79">
        <f>IF(OR($A472="",L$23=""),"",IF(COUNTIFS('AFA Rates'!$A$5:$A$1004,$A472,'AFA Rates'!$B$5:$B$1004,L$23,'AFA Rates'!$O$5:$O$1004,"&lt;&gt;Expired")&gt;0,"✓",IF(COUNTIFS('AFA Rates'!$A$5:$A$1004,$A472,'AFA Rates'!$B$5:$B$1004,L$23)&gt;0,"Exp","")))</f>
        <v/>
      </c>
      <c r="M472" s="79">
        <f>IF(OR($A472="",M$23=""),"",IF(COUNTIFS('AFA Rates'!$A$5:$A$1004,$A472,'AFA Rates'!$B$5:$B$1004,M$23,'AFA Rates'!$O$5:$O$1004,"&lt;&gt;Expired")&gt;0,"✓",IF(COUNTIFS('AFA Rates'!$A$5:$A$1004,$A472,'AFA Rates'!$B$5:$B$1004,M$23)&gt;0,"Exp","")))</f>
        <v/>
      </c>
    </row>
    <row r="473">
      <c r="A473" s="78">
        <f>IFERROR(INDEX(Firms!$A$5:$A$1004,MATCH(450,Firms!$V$5:$V$1004,0)),"")</f>
        <v/>
      </c>
      <c r="B473" s="79">
        <f>IF($A473="","",INDEX(Firms!$B$5:$B$1004,MATCH(450,Firms!$V$5:$V$1004,0)))</f>
        <v/>
      </c>
      <c r="C473" s="79">
        <f>IF($A473="","",COUNTIFS('AFA Rates'!$A$5:$A$1004,$A473,'AFA Rates'!$O$5:$O$1004,"&lt;&gt;Expired"))</f>
        <v/>
      </c>
      <c r="D473" s="79">
        <f>IF(OR($A473="",D$23=""),"",IF(COUNTIFS('AFA Rates'!$A$5:$A$1004,$A473,'AFA Rates'!$B$5:$B$1004,D$23,'AFA Rates'!$O$5:$O$1004,"&lt;&gt;Expired")&gt;0,"✓",IF(COUNTIFS('AFA Rates'!$A$5:$A$1004,$A473,'AFA Rates'!$B$5:$B$1004,D$23)&gt;0,"Exp","")))</f>
        <v/>
      </c>
      <c r="E473" s="79">
        <f>IF(OR($A473="",E$23=""),"",IF(COUNTIFS('AFA Rates'!$A$5:$A$1004,$A473,'AFA Rates'!$B$5:$B$1004,E$23,'AFA Rates'!$O$5:$O$1004,"&lt;&gt;Expired")&gt;0,"✓",IF(COUNTIFS('AFA Rates'!$A$5:$A$1004,$A473,'AFA Rates'!$B$5:$B$1004,E$23)&gt;0,"Exp","")))</f>
        <v/>
      </c>
      <c r="F473" s="79">
        <f>IF(OR($A473="",F$23=""),"",IF(COUNTIFS('AFA Rates'!$A$5:$A$1004,$A473,'AFA Rates'!$B$5:$B$1004,F$23,'AFA Rates'!$O$5:$O$1004,"&lt;&gt;Expired")&gt;0,"✓",IF(COUNTIFS('AFA Rates'!$A$5:$A$1004,$A473,'AFA Rates'!$B$5:$B$1004,F$23)&gt;0,"Exp","")))</f>
        <v/>
      </c>
      <c r="G473" s="79">
        <f>IF(OR($A473="",G$23=""),"",IF(COUNTIFS('AFA Rates'!$A$5:$A$1004,$A473,'AFA Rates'!$B$5:$B$1004,G$23,'AFA Rates'!$O$5:$O$1004,"&lt;&gt;Expired")&gt;0,"✓",IF(COUNTIFS('AFA Rates'!$A$5:$A$1004,$A473,'AFA Rates'!$B$5:$B$1004,G$23)&gt;0,"Exp","")))</f>
        <v/>
      </c>
      <c r="H473" s="79">
        <f>IF(OR($A473="",H$23=""),"",IF(COUNTIFS('AFA Rates'!$A$5:$A$1004,$A473,'AFA Rates'!$B$5:$B$1004,H$23,'AFA Rates'!$O$5:$O$1004,"&lt;&gt;Expired")&gt;0,"✓",IF(COUNTIFS('AFA Rates'!$A$5:$A$1004,$A473,'AFA Rates'!$B$5:$B$1004,H$23)&gt;0,"Exp","")))</f>
        <v/>
      </c>
      <c r="I473" s="79">
        <f>IF(OR($A473="",I$23=""),"",IF(COUNTIFS('AFA Rates'!$A$5:$A$1004,$A473,'AFA Rates'!$B$5:$B$1004,I$23,'AFA Rates'!$O$5:$O$1004,"&lt;&gt;Expired")&gt;0,"✓",IF(COUNTIFS('AFA Rates'!$A$5:$A$1004,$A473,'AFA Rates'!$B$5:$B$1004,I$23)&gt;0,"Exp","")))</f>
        <v/>
      </c>
      <c r="J473" s="79">
        <f>IF(OR($A473="",J$23=""),"",IF(COUNTIFS('AFA Rates'!$A$5:$A$1004,$A473,'AFA Rates'!$B$5:$B$1004,J$23,'AFA Rates'!$O$5:$O$1004,"&lt;&gt;Expired")&gt;0,"✓",IF(COUNTIFS('AFA Rates'!$A$5:$A$1004,$A473,'AFA Rates'!$B$5:$B$1004,J$23)&gt;0,"Exp","")))</f>
        <v/>
      </c>
      <c r="K473" s="79">
        <f>IF(OR($A473="",K$23=""),"",IF(COUNTIFS('AFA Rates'!$A$5:$A$1004,$A473,'AFA Rates'!$B$5:$B$1004,K$23,'AFA Rates'!$O$5:$O$1004,"&lt;&gt;Expired")&gt;0,"✓",IF(COUNTIFS('AFA Rates'!$A$5:$A$1004,$A473,'AFA Rates'!$B$5:$B$1004,K$23)&gt;0,"Exp","")))</f>
        <v/>
      </c>
      <c r="L473" s="79">
        <f>IF(OR($A473="",L$23=""),"",IF(COUNTIFS('AFA Rates'!$A$5:$A$1004,$A473,'AFA Rates'!$B$5:$B$1004,L$23,'AFA Rates'!$O$5:$O$1004,"&lt;&gt;Expired")&gt;0,"✓",IF(COUNTIFS('AFA Rates'!$A$5:$A$1004,$A473,'AFA Rates'!$B$5:$B$1004,L$23)&gt;0,"Exp","")))</f>
        <v/>
      </c>
      <c r="M473" s="79">
        <f>IF(OR($A473="",M$23=""),"",IF(COUNTIFS('AFA Rates'!$A$5:$A$1004,$A473,'AFA Rates'!$B$5:$B$1004,M$23,'AFA Rates'!$O$5:$O$1004,"&lt;&gt;Expired")&gt;0,"✓",IF(COUNTIFS('AFA Rates'!$A$5:$A$1004,$A473,'AFA Rates'!$B$5:$B$1004,M$23)&gt;0,"Exp","")))</f>
        <v/>
      </c>
    </row>
    <row r="474">
      <c r="A474" s="78">
        <f>IFERROR(INDEX(Firms!$A$5:$A$1004,MATCH(451,Firms!$V$5:$V$1004,0)),"")</f>
        <v/>
      </c>
      <c r="B474" s="79">
        <f>IF($A474="","",INDEX(Firms!$B$5:$B$1004,MATCH(451,Firms!$V$5:$V$1004,0)))</f>
        <v/>
      </c>
      <c r="C474" s="79">
        <f>IF($A474="","",COUNTIFS('AFA Rates'!$A$5:$A$1004,$A474,'AFA Rates'!$O$5:$O$1004,"&lt;&gt;Expired"))</f>
        <v/>
      </c>
      <c r="D474" s="79">
        <f>IF(OR($A474="",D$23=""),"",IF(COUNTIFS('AFA Rates'!$A$5:$A$1004,$A474,'AFA Rates'!$B$5:$B$1004,D$23,'AFA Rates'!$O$5:$O$1004,"&lt;&gt;Expired")&gt;0,"✓",IF(COUNTIFS('AFA Rates'!$A$5:$A$1004,$A474,'AFA Rates'!$B$5:$B$1004,D$23)&gt;0,"Exp","")))</f>
        <v/>
      </c>
      <c r="E474" s="79">
        <f>IF(OR($A474="",E$23=""),"",IF(COUNTIFS('AFA Rates'!$A$5:$A$1004,$A474,'AFA Rates'!$B$5:$B$1004,E$23,'AFA Rates'!$O$5:$O$1004,"&lt;&gt;Expired")&gt;0,"✓",IF(COUNTIFS('AFA Rates'!$A$5:$A$1004,$A474,'AFA Rates'!$B$5:$B$1004,E$23)&gt;0,"Exp","")))</f>
        <v/>
      </c>
      <c r="F474" s="79">
        <f>IF(OR($A474="",F$23=""),"",IF(COUNTIFS('AFA Rates'!$A$5:$A$1004,$A474,'AFA Rates'!$B$5:$B$1004,F$23,'AFA Rates'!$O$5:$O$1004,"&lt;&gt;Expired")&gt;0,"✓",IF(COUNTIFS('AFA Rates'!$A$5:$A$1004,$A474,'AFA Rates'!$B$5:$B$1004,F$23)&gt;0,"Exp","")))</f>
        <v/>
      </c>
      <c r="G474" s="79">
        <f>IF(OR($A474="",G$23=""),"",IF(COUNTIFS('AFA Rates'!$A$5:$A$1004,$A474,'AFA Rates'!$B$5:$B$1004,G$23,'AFA Rates'!$O$5:$O$1004,"&lt;&gt;Expired")&gt;0,"✓",IF(COUNTIFS('AFA Rates'!$A$5:$A$1004,$A474,'AFA Rates'!$B$5:$B$1004,G$23)&gt;0,"Exp","")))</f>
        <v/>
      </c>
      <c r="H474" s="79">
        <f>IF(OR($A474="",H$23=""),"",IF(COUNTIFS('AFA Rates'!$A$5:$A$1004,$A474,'AFA Rates'!$B$5:$B$1004,H$23,'AFA Rates'!$O$5:$O$1004,"&lt;&gt;Expired")&gt;0,"✓",IF(COUNTIFS('AFA Rates'!$A$5:$A$1004,$A474,'AFA Rates'!$B$5:$B$1004,H$23)&gt;0,"Exp","")))</f>
        <v/>
      </c>
      <c r="I474" s="79">
        <f>IF(OR($A474="",I$23=""),"",IF(COUNTIFS('AFA Rates'!$A$5:$A$1004,$A474,'AFA Rates'!$B$5:$B$1004,I$23,'AFA Rates'!$O$5:$O$1004,"&lt;&gt;Expired")&gt;0,"✓",IF(COUNTIFS('AFA Rates'!$A$5:$A$1004,$A474,'AFA Rates'!$B$5:$B$1004,I$23)&gt;0,"Exp","")))</f>
        <v/>
      </c>
      <c r="J474" s="79">
        <f>IF(OR($A474="",J$23=""),"",IF(COUNTIFS('AFA Rates'!$A$5:$A$1004,$A474,'AFA Rates'!$B$5:$B$1004,J$23,'AFA Rates'!$O$5:$O$1004,"&lt;&gt;Expired")&gt;0,"✓",IF(COUNTIFS('AFA Rates'!$A$5:$A$1004,$A474,'AFA Rates'!$B$5:$B$1004,J$23)&gt;0,"Exp","")))</f>
        <v/>
      </c>
      <c r="K474" s="79">
        <f>IF(OR($A474="",K$23=""),"",IF(COUNTIFS('AFA Rates'!$A$5:$A$1004,$A474,'AFA Rates'!$B$5:$B$1004,K$23,'AFA Rates'!$O$5:$O$1004,"&lt;&gt;Expired")&gt;0,"✓",IF(COUNTIFS('AFA Rates'!$A$5:$A$1004,$A474,'AFA Rates'!$B$5:$B$1004,K$23)&gt;0,"Exp","")))</f>
        <v/>
      </c>
      <c r="L474" s="79">
        <f>IF(OR($A474="",L$23=""),"",IF(COUNTIFS('AFA Rates'!$A$5:$A$1004,$A474,'AFA Rates'!$B$5:$B$1004,L$23,'AFA Rates'!$O$5:$O$1004,"&lt;&gt;Expired")&gt;0,"✓",IF(COUNTIFS('AFA Rates'!$A$5:$A$1004,$A474,'AFA Rates'!$B$5:$B$1004,L$23)&gt;0,"Exp","")))</f>
        <v/>
      </c>
      <c r="M474" s="79">
        <f>IF(OR($A474="",M$23=""),"",IF(COUNTIFS('AFA Rates'!$A$5:$A$1004,$A474,'AFA Rates'!$B$5:$B$1004,M$23,'AFA Rates'!$O$5:$O$1004,"&lt;&gt;Expired")&gt;0,"✓",IF(COUNTIFS('AFA Rates'!$A$5:$A$1004,$A474,'AFA Rates'!$B$5:$B$1004,M$23)&gt;0,"Exp","")))</f>
        <v/>
      </c>
    </row>
    <row r="475">
      <c r="A475" s="78">
        <f>IFERROR(INDEX(Firms!$A$5:$A$1004,MATCH(452,Firms!$V$5:$V$1004,0)),"")</f>
        <v/>
      </c>
      <c r="B475" s="79">
        <f>IF($A475="","",INDEX(Firms!$B$5:$B$1004,MATCH(452,Firms!$V$5:$V$1004,0)))</f>
        <v/>
      </c>
      <c r="C475" s="79">
        <f>IF($A475="","",COUNTIFS('AFA Rates'!$A$5:$A$1004,$A475,'AFA Rates'!$O$5:$O$1004,"&lt;&gt;Expired"))</f>
        <v/>
      </c>
      <c r="D475" s="79">
        <f>IF(OR($A475="",D$23=""),"",IF(COUNTIFS('AFA Rates'!$A$5:$A$1004,$A475,'AFA Rates'!$B$5:$B$1004,D$23,'AFA Rates'!$O$5:$O$1004,"&lt;&gt;Expired")&gt;0,"✓",IF(COUNTIFS('AFA Rates'!$A$5:$A$1004,$A475,'AFA Rates'!$B$5:$B$1004,D$23)&gt;0,"Exp","")))</f>
        <v/>
      </c>
      <c r="E475" s="79">
        <f>IF(OR($A475="",E$23=""),"",IF(COUNTIFS('AFA Rates'!$A$5:$A$1004,$A475,'AFA Rates'!$B$5:$B$1004,E$23,'AFA Rates'!$O$5:$O$1004,"&lt;&gt;Expired")&gt;0,"✓",IF(COUNTIFS('AFA Rates'!$A$5:$A$1004,$A475,'AFA Rates'!$B$5:$B$1004,E$23)&gt;0,"Exp","")))</f>
        <v/>
      </c>
      <c r="F475" s="79">
        <f>IF(OR($A475="",F$23=""),"",IF(COUNTIFS('AFA Rates'!$A$5:$A$1004,$A475,'AFA Rates'!$B$5:$B$1004,F$23,'AFA Rates'!$O$5:$O$1004,"&lt;&gt;Expired")&gt;0,"✓",IF(COUNTIFS('AFA Rates'!$A$5:$A$1004,$A475,'AFA Rates'!$B$5:$B$1004,F$23)&gt;0,"Exp","")))</f>
        <v/>
      </c>
      <c r="G475" s="79">
        <f>IF(OR($A475="",G$23=""),"",IF(COUNTIFS('AFA Rates'!$A$5:$A$1004,$A475,'AFA Rates'!$B$5:$B$1004,G$23,'AFA Rates'!$O$5:$O$1004,"&lt;&gt;Expired")&gt;0,"✓",IF(COUNTIFS('AFA Rates'!$A$5:$A$1004,$A475,'AFA Rates'!$B$5:$B$1004,G$23)&gt;0,"Exp","")))</f>
        <v/>
      </c>
      <c r="H475" s="79">
        <f>IF(OR($A475="",H$23=""),"",IF(COUNTIFS('AFA Rates'!$A$5:$A$1004,$A475,'AFA Rates'!$B$5:$B$1004,H$23,'AFA Rates'!$O$5:$O$1004,"&lt;&gt;Expired")&gt;0,"✓",IF(COUNTIFS('AFA Rates'!$A$5:$A$1004,$A475,'AFA Rates'!$B$5:$B$1004,H$23)&gt;0,"Exp","")))</f>
        <v/>
      </c>
      <c r="I475" s="79">
        <f>IF(OR($A475="",I$23=""),"",IF(COUNTIFS('AFA Rates'!$A$5:$A$1004,$A475,'AFA Rates'!$B$5:$B$1004,I$23,'AFA Rates'!$O$5:$O$1004,"&lt;&gt;Expired")&gt;0,"✓",IF(COUNTIFS('AFA Rates'!$A$5:$A$1004,$A475,'AFA Rates'!$B$5:$B$1004,I$23)&gt;0,"Exp","")))</f>
        <v/>
      </c>
      <c r="J475" s="79">
        <f>IF(OR($A475="",J$23=""),"",IF(COUNTIFS('AFA Rates'!$A$5:$A$1004,$A475,'AFA Rates'!$B$5:$B$1004,J$23,'AFA Rates'!$O$5:$O$1004,"&lt;&gt;Expired")&gt;0,"✓",IF(COUNTIFS('AFA Rates'!$A$5:$A$1004,$A475,'AFA Rates'!$B$5:$B$1004,J$23)&gt;0,"Exp","")))</f>
        <v/>
      </c>
      <c r="K475" s="79">
        <f>IF(OR($A475="",K$23=""),"",IF(COUNTIFS('AFA Rates'!$A$5:$A$1004,$A475,'AFA Rates'!$B$5:$B$1004,K$23,'AFA Rates'!$O$5:$O$1004,"&lt;&gt;Expired")&gt;0,"✓",IF(COUNTIFS('AFA Rates'!$A$5:$A$1004,$A475,'AFA Rates'!$B$5:$B$1004,K$23)&gt;0,"Exp","")))</f>
        <v/>
      </c>
      <c r="L475" s="79">
        <f>IF(OR($A475="",L$23=""),"",IF(COUNTIFS('AFA Rates'!$A$5:$A$1004,$A475,'AFA Rates'!$B$5:$B$1004,L$23,'AFA Rates'!$O$5:$O$1004,"&lt;&gt;Expired")&gt;0,"✓",IF(COUNTIFS('AFA Rates'!$A$5:$A$1004,$A475,'AFA Rates'!$B$5:$B$1004,L$23)&gt;0,"Exp","")))</f>
        <v/>
      </c>
      <c r="M475" s="79">
        <f>IF(OR($A475="",M$23=""),"",IF(COUNTIFS('AFA Rates'!$A$5:$A$1004,$A475,'AFA Rates'!$B$5:$B$1004,M$23,'AFA Rates'!$O$5:$O$1004,"&lt;&gt;Expired")&gt;0,"✓",IF(COUNTIFS('AFA Rates'!$A$5:$A$1004,$A475,'AFA Rates'!$B$5:$B$1004,M$23)&gt;0,"Exp","")))</f>
        <v/>
      </c>
    </row>
    <row r="476">
      <c r="A476" s="78">
        <f>IFERROR(INDEX(Firms!$A$5:$A$1004,MATCH(453,Firms!$V$5:$V$1004,0)),"")</f>
        <v/>
      </c>
      <c r="B476" s="79">
        <f>IF($A476="","",INDEX(Firms!$B$5:$B$1004,MATCH(453,Firms!$V$5:$V$1004,0)))</f>
        <v/>
      </c>
      <c r="C476" s="79">
        <f>IF($A476="","",COUNTIFS('AFA Rates'!$A$5:$A$1004,$A476,'AFA Rates'!$O$5:$O$1004,"&lt;&gt;Expired"))</f>
        <v/>
      </c>
      <c r="D476" s="79">
        <f>IF(OR($A476="",D$23=""),"",IF(COUNTIFS('AFA Rates'!$A$5:$A$1004,$A476,'AFA Rates'!$B$5:$B$1004,D$23,'AFA Rates'!$O$5:$O$1004,"&lt;&gt;Expired")&gt;0,"✓",IF(COUNTIFS('AFA Rates'!$A$5:$A$1004,$A476,'AFA Rates'!$B$5:$B$1004,D$23)&gt;0,"Exp","")))</f>
        <v/>
      </c>
      <c r="E476" s="79">
        <f>IF(OR($A476="",E$23=""),"",IF(COUNTIFS('AFA Rates'!$A$5:$A$1004,$A476,'AFA Rates'!$B$5:$B$1004,E$23,'AFA Rates'!$O$5:$O$1004,"&lt;&gt;Expired")&gt;0,"✓",IF(COUNTIFS('AFA Rates'!$A$5:$A$1004,$A476,'AFA Rates'!$B$5:$B$1004,E$23)&gt;0,"Exp","")))</f>
        <v/>
      </c>
      <c r="F476" s="79">
        <f>IF(OR($A476="",F$23=""),"",IF(COUNTIFS('AFA Rates'!$A$5:$A$1004,$A476,'AFA Rates'!$B$5:$B$1004,F$23,'AFA Rates'!$O$5:$O$1004,"&lt;&gt;Expired")&gt;0,"✓",IF(COUNTIFS('AFA Rates'!$A$5:$A$1004,$A476,'AFA Rates'!$B$5:$B$1004,F$23)&gt;0,"Exp","")))</f>
        <v/>
      </c>
      <c r="G476" s="79">
        <f>IF(OR($A476="",G$23=""),"",IF(COUNTIFS('AFA Rates'!$A$5:$A$1004,$A476,'AFA Rates'!$B$5:$B$1004,G$23,'AFA Rates'!$O$5:$O$1004,"&lt;&gt;Expired")&gt;0,"✓",IF(COUNTIFS('AFA Rates'!$A$5:$A$1004,$A476,'AFA Rates'!$B$5:$B$1004,G$23)&gt;0,"Exp","")))</f>
        <v/>
      </c>
      <c r="H476" s="79">
        <f>IF(OR($A476="",H$23=""),"",IF(COUNTIFS('AFA Rates'!$A$5:$A$1004,$A476,'AFA Rates'!$B$5:$B$1004,H$23,'AFA Rates'!$O$5:$O$1004,"&lt;&gt;Expired")&gt;0,"✓",IF(COUNTIFS('AFA Rates'!$A$5:$A$1004,$A476,'AFA Rates'!$B$5:$B$1004,H$23)&gt;0,"Exp","")))</f>
        <v/>
      </c>
      <c r="I476" s="79">
        <f>IF(OR($A476="",I$23=""),"",IF(COUNTIFS('AFA Rates'!$A$5:$A$1004,$A476,'AFA Rates'!$B$5:$B$1004,I$23,'AFA Rates'!$O$5:$O$1004,"&lt;&gt;Expired")&gt;0,"✓",IF(COUNTIFS('AFA Rates'!$A$5:$A$1004,$A476,'AFA Rates'!$B$5:$B$1004,I$23)&gt;0,"Exp","")))</f>
        <v/>
      </c>
      <c r="J476" s="79">
        <f>IF(OR($A476="",J$23=""),"",IF(COUNTIFS('AFA Rates'!$A$5:$A$1004,$A476,'AFA Rates'!$B$5:$B$1004,J$23,'AFA Rates'!$O$5:$O$1004,"&lt;&gt;Expired")&gt;0,"✓",IF(COUNTIFS('AFA Rates'!$A$5:$A$1004,$A476,'AFA Rates'!$B$5:$B$1004,J$23)&gt;0,"Exp","")))</f>
        <v/>
      </c>
      <c r="K476" s="79">
        <f>IF(OR($A476="",K$23=""),"",IF(COUNTIFS('AFA Rates'!$A$5:$A$1004,$A476,'AFA Rates'!$B$5:$B$1004,K$23,'AFA Rates'!$O$5:$O$1004,"&lt;&gt;Expired")&gt;0,"✓",IF(COUNTIFS('AFA Rates'!$A$5:$A$1004,$A476,'AFA Rates'!$B$5:$B$1004,K$23)&gt;0,"Exp","")))</f>
        <v/>
      </c>
      <c r="L476" s="79">
        <f>IF(OR($A476="",L$23=""),"",IF(COUNTIFS('AFA Rates'!$A$5:$A$1004,$A476,'AFA Rates'!$B$5:$B$1004,L$23,'AFA Rates'!$O$5:$O$1004,"&lt;&gt;Expired")&gt;0,"✓",IF(COUNTIFS('AFA Rates'!$A$5:$A$1004,$A476,'AFA Rates'!$B$5:$B$1004,L$23)&gt;0,"Exp","")))</f>
        <v/>
      </c>
      <c r="M476" s="79">
        <f>IF(OR($A476="",M$23=""),"",IF(COUNTIFS('AFA Rates'!$A$5:$A$1004,$A476,'AFA Rates'!$B$5:$B$1004,M$23,'AFA Rates'!$O$5:$O$1004,"&lt;&gt;Expired")&gt;0,"✓",IF(COUNTIFS('AFA Rates'!$A$5:$A$1004,$A476,'AFA Rates'!$B$5:$B$1004,M$23)&gt;0,"Exp","")))</f>
        <v/>
      </c>
    </row>
    <row r="477">
      <c r="A477" s="78">
        <f>IFERROR(INDEX(Firms!$A$5:$A$1004,MATCH(454,Firms!$V$5:$V$1004,0)),"")</f>
        <v/>
      </c>
      <c r="B477" s="79">
        <f>IF($A477="","",INDEX(Firms!$B$5:$B$1004,MATCH(454,Firms!$V$5:$V$1004,0)))</f>
        <v/>
      </c>
      <c r="C477" s="79">
        <f>IF($A477="","",COUNTIFS('AFA Rates'!$A$5:$A$1004,$A477,'AFA Rates'!$O$5:$O$1004,"&lt;&gt;Expired"))</f>
        <v/>
      </c>
      <c r="D477" s="79">
        <f>IF(OR($A477="",D$23=""),"",IF(COUNTIFS('AFA Rates'!$A$5:$A$1004,$A477,'AFA Rates'!$B$5:$B$1004,D$23,'AFA Rates'!$O$5:$O$1004,"&lt;&gt;Expired")&gt;0,"✓",IF(COUNTIFS('AFA Rates'!$A$5:$A$1004,$A477,'AFA Rates'!$B$5:$B$1004,D$23)&gt;0,"Exp","")))</f>
        <v/>
      </c>
      <c r="E477" s="79">
        <f>IF(OR($A477="",E$23=""),"",IF(COUNTIFS('AFA Rates'!$A$5:$A$1004,$A477,'AFA Rates'!$B$5:$B$1004,E$23,'AFA Rates'!$O$5:$O$1004,"&lt;&gt;Expired")&gt;0,"✓",IF(COUNTIFS('AFA Rates'!$A$5:$A$1004,$A477,'AFA Rates'!$B$5:$B$1004,E$23)&gt;0,"Exp","")))</f>
        <v/>
      </c>
      <c r="F477" s="79">
        <f>IF(OR($A477="",F$23=""),"",IF(COUNTIFS('AFA Rates'!$A$5:$A$1004,$A477,'AFA Rates'!$B$5:$B$1004,F$23,'AFA Rates'!$O$5:$O$1004,"&lt;&gt;Expired")&gt;0,"✓",IF(COUNTIFS('AFA Rates'!$A$5:$A$1004,$A477,'AFA Rates'!$B$5:$B$1004,F$23)&gt;0,"Exp","")))</f>
        <v/>
      </c>
      <c r="G477" s="79">
        <f>IF(OR($A477="",G$23=""),"",IF(COUNTIFS('AFA Rates'!$A$5:$A$1004,$A477,'AFA Rates'!$B$5:$B$1004,G$23,'AFA Rates'!$O$5:$O$1004,"&lt;&gt;Expired")&gt;0,"✓",IF(COUNTIFS('AFA Rates'!$A$5:$A$1004,$A477,'AFA Rates'!$B$5:$B$1004,G$23)&gt;0,"Exp","")))</f>
        <v/>
      </c>
      <c r="H477" s="79">
        <f>IF(OR($A477="",H$23=""),"",IF(COUNTIFS('AFA Rates'!$A$5:$A$1004,$A477,'AFA Rates'!$B$5:$B$1004,H$23,'AFA Rates'!$O$5:$O$1004,"&lt;&gt;Expired")&gt;0,"✓",IF(COUNTIFS('AFA Rates'!$A$5:$A$1004,$A477,'AFA Rates'!$B$5:$B$1004,H$23)&gt;0,"Exp","")))</f>
        <v/>
      </c>
      <c r="I477" s="79">
        <f>IF(OR($A477="",I$23=""),"",IF(COUNTIFS('AFA Rates'!$A$5:$A$1004,$A477,'AFA Rates'!$B$5:$B$1004,I$23,'AFA Rates'!$O$5:$O$1004,"&lt;&gt;Expired")&gt;0,"✓",IF(COUNTIFS('AFA Rates'!$A$5:$A$1004,$A477,'AFA Rates'!$B$5:$B$1004,I$23)&gt;0,"Exp","")))</f>
        <v/>
      </c>
      <c r="J477" s="79">
        <f>IF(OR($A477="",J$23=""),"",IF(COUNTIFS('AFA Rates'!$A$5:$A$1004,$A477,'AFA Rates'!$B$5:$B$1004,J$23,'AFA Rates'!$O$5:$O$1004,"&lt;&gt;Expired")&gt;0,"✓",IF(COUNTIFS('AFA Rates'!$A$5:$A$1004,$A477,'AFA Rates'!$B$5:$B$1004,J$23)&gt;0,"Exp","")))</f>
        <v/>
      </c>
      <c r="K477" s="79">
        <f>IF(OR($A477="",K$23=""),"",IF(COUNTIFS('AFA Rates'!$A$5:$A$1004,$A477,'AFA Rates'!$B$5:$B$1004,K$23,'AFA Rates'!$O$5:$O$1004,"&lt;&gt;Expired")&gt;0,"✓",IF(COUNTIFS('AFA Rates'!$A$5:$A$1004,$A477,'AFA Rates'!$B$5:$B$1004,K$23)&gt;0,"Exp","")))</f>
        <v/>
      </c>
      <c r="L477" s="79">
        <f>IF(OR($A477="",L$23=""),"",IF(COUNTIFS('AFA Rates'!$A$5:$A$1004,$A477,'AFA Rates'!$B$5:$B$1004,L$23,'AFA Rates'!$O$5:$O$1004,"&lt;&gt;Expired")&gt;0,"✓",IF(COUNTIFS('AFA Rates'!$A$5:$A$1004,$A477,'AFA Rates'!$B$5:$B$1004,L$23)&gt;0,"Exp","")))</f>
        <v/>
      </c>
      <c r="M477" s="79">
        <f>IF(OR($A477="",M$23=""),"",IF(COUNTIFS('AFA Rates'!$A$5:$A$1004,$A477,'AFA Rates'!$B$5:$B$1004,M$23,'AFA Rates'!$O$5:$O$1004,"&lt;&gt;Expired")&gt;0,"✓",IF(COUNTIFS('AFA Rates'!$A$5:$A$1004,$A477,'AFA Rates'!$B$5:$B$1004,M$23)&gt;0,"Exp","")))</f>
        <v/>
      </c>
    </row>
    <row r="478">
      <c r="A478" s="78">
        <f>IFERROR(INDEX(Firms!$A$5:$A$1004,MATCH(455,Firms!$V$5:$V$1004,0)),"")</f>
        <v/>
      </c>
      <c r="B478" s="79">
        <f>IF($A478="","",INDEX(Firms!$B$5:$B$1004,MATCH(455,Firms!$V$5:$V$1004,0)))</f>
        <v/>
      </c>
      <c r="C478" s="79">
        <f>IF($A478="","",COUNTIFS('AFA Rates'!$A$5:$A$1004,$A478,'AFA Rates'!$O$5:$O$1004,"&lt;&gt;Expired"))</f>
        <v/>
      </c>
      <c r="D478" s="79">
        <f>IF(OR($A478="",D$23=""),"",IF(COUNTIFS('AFA Rates'!$A$5:$A$1004,$A478,'AFA Rates'!$B$5:$B$1004,D$23,'AFA Rates'!$O$5:$O$1004,"&lt;&gt;Expired")&gt;0,"✓",IF(COUNTIFS('AFA Rates'!$A$5:$A$1004,$A478,'AFA Rates'!$B$5:$B$1004,D$23)&gt;0,"Exp","")))</f>
        <v/>
      </c>
      <c r="E478" s="79">
        <f>IF(OR($A478="",E$23=""),"",IF(COUNTIFS('AFA Rates'!$A$5:$A$1004,$A478,'AFA Rates'!$B$5:$B$1004,E$23,'AFA Rates'!$O$5:$O$1004,"&lt;&gt;Expired")&gt;0,"✓",IF(COUNTIFS('AFA Rates'!$A$5:$A$1004,$A478,'AFA Rates'!$B$5:$B$1004,E$23)&gt;0,"Exp","")))</f>
        <v/>
      </c>
      <c r="F478" s="79">
        <f>IF(OR($A478="",F$23=""),"",IF(COUNTIFS('AFA Rates'!$A$5:$A$1004,$A478,'AFA Rates'!$B$5:$B$1004,F$23,'AFA Rates'!$O$5:$O$1004,"&lt;&gt;Expired")&gt;0,"✓",IF(COUNTIFS('AFA Rates'!$A$5:$A$1004,$A478,'AFA Rates'!$B$5:$B$1004,F$23)&gt;0,"Exp","")))</f>
        <v/>
      </c>
      <c r="G478" s="79">
        <f>IF(OR($A478="",G$23=""),"",IF(COUNTIFS('AFA Rates'!$A$5:$A$1004,$A478,'AFA Rates'!$B$5:$B$1004,G$23,'AFA Rates'!$O$5:$O$1004,"&lt;&gt;Expired")&gt;0,"✓",IF(COUNTIFS('AFA Rates'!$A$5:$A$1004,$A478,'AFA Rates'!$B$5:$B$1004,G$23)&gt;0,"Exp","")))</f>
        <v/>
      </c>
      <c r="H478" s="79">
        <f>IF(OR($A478="",H$23=""),"",IF(COUNTIFS('AFA Rates'!$A$5:$A$1004,$A478,'AFA Rates'!$B$5:$B$1004,H$23,'AFA Rates'!$O$5:$O$1004,"&lt;&gt;Expired")&gt;0,"✓",IF(COUNTIFS('AFA Rates'!$A$5:$A$1004,$A478,'AFA Rates'!$B$5:$B$1004,H$23)&gt;0,"Exp","")))</f>
        <v/>
      </c>
      <c r="I478" s="79">
        <f>IF(OR($A478="",I$23=""),"",IF(COUNTIFS('AFA Rates'!$A$5:$A$1004,$A478,'AFA Rates'!$B$5:$B$1004,I$23,'AFA Rates'!$O$5:$O$1004,"&lt;&gt;Expired")&gt;0,"✓",IF(COUNTIFS('AFA Rates'!$A$5:$A$1004,$A478,'AFA Rates'!$B$5:$B$1004,I$23)&gt;0,"Exp","")))</f>
        <v/>
      </c>
      <c r="J478" s="79">
        <f>IF(OR($A478="",J$23=""),"",IF(COUNTIFS('AFA Rates'!$A$5:$A$1004,$A478,'AFA Rates'!$B$5:$B$1004,J$23,'AFA Rates'!$O$5:$O$1004,"&lt;&gt;Expired")&gt;0,"✓",IF(COUNTIFS('AFA Rates'!$A$5:$A$1004,$A478,'AFA Rates'!$B$5:$B$1004,J$23)&gt;0,"Exp","")))</f>
        <v/>
      </c>
      <c r="K478" s="79">
        <f>IF(OR($A478="",K$23=""),"",IF(COUNTIFS('AFA Rates'!$A$5:$A$1004,$A478,'AFA Rates'!$B$5:$B$1004,K$23,'AFA Rates'!$O$5:$O$1004,"&lt;&gt;Expired")&gt;0,"✓",IF(COUNTIFS('AFA Rates'!$A$5:$A$1004,$A478,'AFA Rates'!$B$5:$B$1004,K$23)&gt;0,"Exp","")))</f>
        <v/>
      </c>
      <c r="L478" s="79">
        <f>IF(OR($A478="",L$23=""),"",IF(COUNTIFS('AFA Rates'!$A$5:$A$1004,$A478,'AFA Rates'!$B$5:$B$1004,L$23,'AFA Rates'!$O$5:$O$1004,"&lt;&gt;Expired")&gt;0,"✓",IF(COUNTIFS('AFA Rates'!$A$5:$A$1004,$A478,'AFA Rates'!$B$5:$B$1004,L$23)&gt;0,"Exp","")))</f>
        <v/>
      </c>
      <c r="M478" s="79">
        <f>IF(OR($A478="",M$23=""),"",IF(COUNTIFS('AFA Rates'!$A$5:$A$1004,$A478,'AFA Rates'!$B$5:$B$1004,M$23,'AFA Rates'!$O$5:$O$1004,"&lt;&gt;Expired")&gt;0,"✓",IF(COUNTIFS('AFA Rates'!$A$5:$A$1004,$A478,'AFA Rates'!$B$5:$B$1004,M$23)&gt;0,"Exp","")))</f>
        <v/>
      </c>
    </row>
    <row r="479">
      <c r="A479" s="78">
        <f>IFERROR(INDEX(Firms!$A$5:$A$1004,MATCH(456,Firms!$V$5:$V$1004,0)),"")</f>
        <v/>
      </c>
      <c r="B479" s="79">
        <f>IF($A479="","",INDEX(Firms!$B$5:$B$1004,MATCH(456,Firms!$V$5:$V$1004,0)))</f>
        <v/>
      </c>
      <c r="C479" s="79">
        <f>IF($A479="","",COUNTIFS('AFA Rates'!$A$5:$A$1004,$A479,'AFA Rates'!$O$5:$O$1004,"&lt;&gt;Expired"))</f>
        <v/>
      </c>
      <c r="D479" s="79">
        <f>IF(OR($A479="",D$23=""),"",IF(COUNTIFS('AFA Rates'!$A$5:$A$1004,$A479,'AFA Rates'!$B$5:$B$1004,D$23,'AFA Rates'!$O$5:$O$1004,"&lt;&gt;Expired")&gt;0,"✓",IF(COUNTIFS('AFA Rates'!$A$5:$A$1004,$A479,'AFA Rates'!$B$5:$B$1004,D$23)&gt;0,"Exp","")))</f>
        <v/>
      </c>
      <c r="E479" s="79">
        <f>IF(OR($A479="",E$23=""),"",IF(COUNTIFS('AFA Rates'!$A$5:$A$1004,$A479,'AFA Rates'!$B$5:$B$1004,E$23,'AFA Rates'!$O$5:$O$1004,"&lt;&gt;Expired")&gt;0,"✓",IF(COUNTIFS('AFA Rates'!$A$5:$A$1004,$A479,'AFA Rates'!$B$5:$B$1004,E$23)&gt;0,"Exp","")))</f>
        <v/>
      </c>
      <c r="F479" s="79">
        <f>IF(OR($A479="",F$23=""),"",IF(COUNTIFS('AFA Rates'!$A$5:$A$1004,$A479,'AFA Rates'!$B$5:$B$1004,F$23,'AFA Rates'!$O$5:$O$1004,"&lt;&gt;Expired")&gt;0,"✓",IF(COUNTIFS('AFA Rates'!$A$5:$A$1004,$A479,'AFA Rates'!$B$5:$B$1004,F$23)&gt;0,"Exp","")))</f>
        <v/>
      </c>
      <c r="G479" s="79">
        <f>IF(OR($A479="",G$23=""),"",IF(COUNTIFS('AFA Rates'!$A$5:$A$1004,$A479,'AFA Rates'!$B$5:$B$1004,G$23,'AFA Rates'!$O$5:$O$1004,"&lt;&gt;Expired")&gt;0,"✓",IF(COUNTIFS('AFA Rates'!$A$5:$A$1004,$A479,'AFA Rates'!$B$5:$B$1004,G$23)&gt;0,"Exp","")))</f>
        <v/>
      </c>
      <c r="H479" s="79">
        <f>IF(OR($A479="",H$23=""),"",IF(COUNTIFS('AFA Rates'!$A$5:$A$1004,$A479,'AFA Rates'!$B$5:$B$1004,H$23,'AFA Rates'!$O$5:$O$1004,"&lt;&gt;Expired")&gt;0,"✓",IF(COUNTIFS('AFA Rates'!$A$5:$A$1004,$A479,'AFA Rates'!$B$5:$B$1004,H$23)&gt;0,"Exp","")))</f>
        <v/>
      </c>
      <c r="I479" s="79">
        <f>IF(OR($A479="",I$23=""),"",IF(COUNTIFS('AFA Rates'!$A$5:$A$1004,$A479,'AFA Rates'!$B$5:$B$1004,I$23,'AFA Rates'!$O$5:$O$1004,"&lt;&gt;Expired")&gt;0,"✓",IF(COUNTIFS('AFA Rates'!$A$5:$A$1004,$A479,'AFA Rates'!$B$5:$B$1004,I$23)&gt;0,"Exp","")))</f>
        <v/>
      </c>
      <c r="J479" s="79">
        <f>IF(OR($A479="",J$23=""),"",IF(COUNTIFS('AFA Rates'!$A$5:$A$1004,$A479,'AFA Rates'!$B$5:$B$1004,J$23,'AFA Rates'!$O$5:$O$1004,"&lt;&gt;Expired")&gt;0,"✓",IF(COUNTIFS('AFA Rates'!$A$5:$A$1004,$A479,'AFA Rates'!$B$5:$B$1004,J$23)&gt;0,"Exp","")))</f>
        <v/>
      </c>
      <c r="K479" s="79">
        <f>IF(OR($A479="",K$23=""),"",IF(COUNTIFS('AFA Rates'!$A$5:$A$1004,$A479,'AFA Rates'!$B$5:$B$1004,K$23,'AFA Rates'!$O$5:$O$1004,"&lt;&gt;Expired")&gt;0,"✓",IF(COUNTIFS('AFA Rates'!$A$5:$A$1004,$A479,'AFA Rates'!$B$5:$B$1004,K$23)&gt;0,"Exp","")))</f>
        <v/>
      </c>
      <c r="L479" s="79">
        <f>IF(OR($A479="",L$23=""),"",IF(COUNTIFS('AFA Rates'!$A$5:$A$1004,$A479,'AFA Rates'!$B$5:$B$1004,L$23,'AFA Rates'!$O$5:$O$1004,"&lt;&gt;Expired")&gt;0,"✓",IF(COUNTIFS('AFA Rates'!$A$5:$A$1004,$A479,'AFA Rates'!$B$5:$B$1004,L$23)&gt;0,"Exp","")))</f>
        <v/>
      </c>
      <c r="M479" s="79">
        <f>IF(OR($A479="",M$23=""),"",IF(COUNTIFS('AFA Rates'!$A$5:$A$1004,$A479,'AFA Rates'!$B$5:$B$1004,M$23,'AFA Rates'!$O$5:$O$1004,"&lt;&gt;Expired")&gt;0,"✓",IF(COUNTIFS('AFA Rates'!$A$5:$A$1004,$A479,'AFA Rates'!$B$5:$B$1004,M$23)&gt;0,"Exp","")))</f>
        <v/>
      </c>
    </row>
    <row r="480">
      <c r="A480" s="78">
        <f>IFERROR(INDEX(Firms!$A$5:$A$1004,MATCH(457,Firms!$V$5:$V$1004,0)),"")</f>
        <v/>
      </c>
      <c r="B480" s="79">
        <f>IF($A480="","",INDEX(Firms!$B$5:$B$1004,MATCH(457,Firms!$V$5:$V$1004,0)))</f>
        <v/>
      </c>
      <c r="C480" s="79">
        <f>IF($A480="","",COUNTIFS('AFA Rates'!$A$5:$A$1004,$A480,'AFA Rates'!$O$5:$O$1004,"&lt;&gt;Expired"))</f>
        <v/>
      </c>
      <c r="D480" s="79">
        <f>IF(OR($A480="",D$23=""),"",IF(COUNTIFS('AFA Rates'!$A$5:$A$1004,$A480,'AFA Rates'!$B$5:$B$1004,D$23,'AFA Rates'!$O$5:$O$1004,"&lt;&gt;Expired")&gt;0,"✓",IF(COUNTIFS('AFA Rates'!$A$5:$A$1004,$A480,'AFA Rates'!$B$5:$B$1004,D$23)&gt;0,"Exp","")))</f>
        <v/>
      </c>
      <c r="E480" s="79">
        <f>IF(OR($A480="",E$23=""),"",IF(COUNTIFS('AFA Rates'!$A$5:$A$1004,$A480,'AFA Rates'!$B$5:$B$1004,E$23,'AFA Rates'!$O$5:$O$1004,"&lt;&gt;Expired")&gt;0,"✓",IF(COUNTIFS('AFA Rates'!$A$5:$A$1004,$A480,'AFA Rates'!$B$5:$B$1004,E$23)&gt;0,"Exp","")))</f>
        <v/>
      </c>
      <c r="F480" s="79">
        <f>IF(OR($A480="",F$23=""),"",IF(COUNTIFS('AFA Rates'!$A$5:$A$1004,$A480,'AFA Rates'!$B$5:$B$1004,F$23,'AFA Rates'!$O$5:$O$1004,"&lt;&gt;Expired")&gt;0,"✓",IF(COUNTIFS('AFA Rates'!$A$5:$A$1004,$A480,'AFA Rates'!$B$5:$B$1004,F$23)&gt;0,"Exp","")))</f>
        <v/>
      </c>
      <c r="G480" s="79">
        <f>IF(OR($A480="",G$23=""),"",IF(COUNTIFS('AFA Rates'!$A$5:$A$1004,$A480,'AFA Rates'!$B$5:$B$1004,G$23,'AFA Rates'!$O$5:$O$1004,"&lt;&gt;Expired")&gt;0,"✓",IF(COUNTIFS('AFA Rates'!$A$5:$A$1004,$A480,'AFA Rates'!$B$5:$B$1004,G$23)&gt;0,"Exp","")))</f>
        <v/>
      </c>
      <c r="H480" s="79">
        <f>IF(OR($A480="",H$23=""),"",IF(COUNTIFS('AFA Rates'!$A$5:$A$1004,$A480,'AFA Rates'!$B$5:$B$1004,H$23,'AFA Rates'!$O$5:$O$1004,"&lt;&gt;Expired")&gt;0,"✓",IF(COUNTIFS('AFA Rates'!$A$5:$A$1004,$A480,'AFA Rates'!$B$5:$B$1004,H$23)&gt;0,"Exp","")))</f>
        <v/>
      </c>
      <c r="I480" s="79">
        <f>IF(OR($A480="",I$23=""),"",IF(COUNTIFS('AFA Rates'!$A$5:$A$1004,$A480,'AFA Rates'!$B$5:$B$1004,I$23,'AFA Rates'!$O$5:$O$1004,"&lt;&gt;Expired")&gt;0,"✓",IF(COUNTIFS('AFA Rates'!$A$5:$A$1004,$A480,'AFA Rates'!$B$5:$B$1004,I$23)&gt;0,"Exp","")))</f>
        <v/>
      </c>
      <c r="J480" s="79">
        <f>IF(OR($A480="",J$23=""),"",IF(COUNTIFS('AFA Rates'!$A$5:$A$1004,$A480,'AFA Rates'!$B$5:$B$1004,J$23,'AFA Rates'!$O$5:$O$1004,"&lt;&gt;Expired")&gt;0,"✓",IF(COUNTIFS('AFA Rates'!$A$5:$A$1004,$A480,'AFA Rates'!$B$5:$B$1004,J$23)&gt;0,"Exp","")))</f>
        <v/>
      </c>
      <c r="K480" s="79">
        <f>IF(OR($A480="",K$23=""),"",IF(COUNTIFS('AFA Rates'!$A$5:$A$1004,$A480,'AFA Rates'!$B$5:$B$1004,K$23,'AFA Rates'!$O$5:$O$1004,"&lt;&gt;Expired")&gt;0,"✓",IF(COUNTIFS('AFA Rates'!$A$5:$A$1004,$A480,'AFA Rates'!$B$5:$B$1004,K$23)&gt;0,"Exp","")))</f>
        <v/>
      </c>
      <c r="L480" s="79">
        <f>IF(OR($A480="",L$23=""),"",IF(COUNTIFS('AFA Rates'!$A$5:$A$1004,$A480,'AFA Rates'!$B$5:$B$1004,L$23,'AFA Rates'!$O$5:$O$1004,"&lt;&gt;Expired")&gt;0,"✓",IF(COUNTIFS('AFA Rates'!$A$5:$A$1004,$A480,'AFA Rates'!$B$5:$B$1004,L$23)&gt;0,"Exp","")))</f>
        <v/>
      </c>
      <c r="M480" s="79">
        <f>IF(OR($A480="",M$23=""),"",IF(COUNTIFS('AFA Rates'!$A$5:$A$1004,$A480,'AFA Rates'!$B$5:$B$1004,M$23,'AFA Rates'!$O$5:$O$1004,"&lt;&gt;Expired")&gt;0,"✓",IF(COUNTIFS('AFA Rates'!$A$5:$A$1004,$A480,'AFA Rates'!$B$5:$B$1004,M$23)&gt;0,"Exp","")))</f>
        <v/>
      </c>
    </row>
    <row r="481">
      <c r="A481" s="78">
        <f>IFERROR(INDEX(Firms!$A$5:$A$1004,MATCH(458,Firms!$V$5:$V$1004,0)),"")</f>
        <v/>
      </c>
      <c r="B481" s="79">
        <f>IF($A481="","",INDEX(Firms!$B$5:$B$1004,MATCH(458,Firms!$V$5:$V$1004,0)))</f>
        <v/>
      </c>
      <c r="C481" s="79">
        <f>IF($A481="","",COUNTIFS('AFA Rates'!$A$5:$A$1004,$A481,'AFA Rates'!$O$5:$O$1004,"&lt;&gt;Expired"))</f>
        <v/>
      </c>
      <c r="D481" s="79">
        <f>IF(OR($A481="",D$23=""),"",IF(COUNTIFS('AFA Rates'!$A$5:$A$1004,$A481,'AFA Rates'!$B$5:$B$1004,D$23,'AFA Rates'!$O$5:$O$1004,"&lt;&gt;Expired")&gt;0,"✓",IF(COUNTIFS('AFA Rates'!$A$5:$A$1004,$A481,'AFA Rates'!$B$5:$B$1004,D$23)&gt;0,"Exp","")))</f>
        <v/>
      </c>
      <c r="E481" s="79">
        <f>IF(OR($A481="",E$23=""),"",IF(COUNTIFS('AFA Rates'!$A$5:$A$1004,$A481,'AFA Rates'!$B$5:$B$1004,E$23,'AFA Rates'!$O$5:$O$1004,"&lt;&gt;Expired")&gt;0,"✓",IF(COUNTIFS('AFA Rates'!$A$5:$A$1004,$A481,'AFA Rates'!$B$5:$B$1004,E$23)&gt;0,"Exp","")))</f>
        <v/>
      </c>
      <c r="F481" s="79">
        <f>IF(OR($A481="",F$23=""),"",IF(COUNTIFS('AFA Rates'!$A$5:$A$1004,$A481,'AFA Rates'!$B$5:$B$1004,F$23,'AFA Rates'!$O$5:$O$1004,"&lt;&gt;Expired")&gt;0,"✓",IF(COUNTIFS('AFA Rates'!$A$5:$A$1004,$A481,'AFA Rates'!$B$5:$B$1004,F$23)&gt;0,"Exp","")))</f>
        <v/>
      </c>
      <c r="G481" s="79">
        <f>IF(OR($A481="",G$23=""),"",IF(COUNTIFS('AFA Rates'!$A$5:$A$1004,$A481,'AFA Rates'!$B$5:$B$1004,G$23,'AFA Rates'!$O$5:$O$1004,"&lt;&gt;Expired")&gt;0,"✓",IF(COUNTIFS('AFA Rates'!$A$5:$A$1004,$A481,'AFA Rates'!$B$5:$B$1004,G$23)&gt;0,"Exp","")))</f>
        <v/>
      </c>
      <c r="H481" s="79">
        <f>IF(OR($A481="",H$23=""),"",IF(COUNTIFS('AFA Rates'!$A$5:$A$1004,$A481,'AFA Rates'!$B$5:$B$1004,H$23,'AFA Rates'!$O$5:$O$1004,"&lt;&gt;Expired")&gt;0,"✓",IF(COUNTIFS('AFA Rates'!$A$5:$A$1004,$A481,'AFA Rates'!$B$5:$B$1004,H$23)&gt;0,"Exp","")))</f>
        <v/>
      </c>
      <c r="I481" s="79">
        <f>IF(OR($A481="",I$23=""),"",IF(COUNTIFS('AFA Rates'!$A$5:$A$1004,$A481,'AFA Rates'!$B$5:$B$1004,I$23,'AFA Rates'!$O$5:$O$1004,"&lt;&gt;Expired")&gt;0,"✓",IF(COUNTIFS('AFA Rates'!$A$5:$A$1004,$A481,'AFA Rates'!$B$5:$B$1004,I$23)&gt;0,"Exp","")))</f>
        <v/>
      </c>
      <c r="J481" s="79">
        <f>IF(OR($A481="",J$23=""),"",IF(COUNTIFS('AFA Rates'!$A$5:$A$1004,$A481,'AFA Rates'!$B$5:$B$1004,J$23,'AFA Rates'!$O$5:$O$1004,"&lt;&gt;Expired")&gt;0,"✓",IF(COUNTIFS('AFA Rates'!$A$5:$A$1004,$A481,'AFA Rates'!$B$5:$B$1004,J$23)&gt;0,"Exp","")))</f>
        <v/>
      </c>
      <c r="K481" s="79">
        <f>IF(OR($A481="",K$23=""),"",IF(COUNTIFS('AFA Rates'!$A$5:$A$1004,$A481,'AFA Rates'!$B$5:$B$1004,K$23,'AFA Rates'!$O$5:$O$1004,"&lt;&gt;Expired")&gt;0,"✓",IF(COUNTIFS('AFA Rates'!$A$5:$A$1004,$A481,'AFA Rates'!$B$5:$B$1004,K$23)&gt;0,"Exp","")))</f>
        <v/>
      </c>
      <c r="L481" s="79">
        <f>IF(OR($A481="",L$23=""),"",IF(COUNTIFS('AFA Rates'!$A$5:$A$1004,$A481,'AFA Rates'!$B$5:$B$1004,L$23,'AFA Rates'!$O$5:$O$1004,"&lt;&gt;Expired")&gt;0,"✓",IF(COUNTIFS('AFA Rates'!$A$5:$A$1004,$A481,'AFA Rates'!$B$5:$B$1004,L$23)&gt;0,"Exp","")))</f>
        <v/>
      </c>
      <c r="M481" s="79">
        <f>IF(OR($A481="",M$23=""),"",IF(COUNTIFS('AFA Rates'!$A$5:$A$1004,$A481,'AFA Rates'!$B$5:$B$1004,M$23,'AFA Rates'!$O$5:$O$1004,"&lt;&gt;Expired")&gt;0,"✓",IF(COUNTIFS('AFA Rates'!$A$5:$A$1004,$A481,'AFA Rates'!$B$5:$B$1004,M$23)&gt;0,"Exp","")))</f>
        <v/>
      </c>
    </row>
    <row r="482">
      <c r="A482" s="78">
        <f>IFERROR(INDEX(Firms!$A$5:$A$1004,MATCH(459,Firms!$V$5:$V$1004,0)),"")</f>
        <v/>
      </c>
      <c r="B482" s="79">
        <f>IF($A482="","",INDEX(Firms!$B$5:$B$1004,MATCH(459,Firms!$V$5:$V$1004,0)))</f>
        <v/>
      </c>
      <c r="C482" s="79">
        <f>IF($A482="","",COUNTIFS('AFA Rates'!$A$5:$A$1004,$A482,'AFA Rates'!$O$5:$O$1004,"&lt;&gt;Expired"))</f>
        <v/>
      </c>
      <c r="D482" s="79">
        <f>IF(OR($A482="",D$23=""),"",IF(COUNTIFS('AFA Rates'!$A$5:$A$1004,$A482,'AFA Rates'!$B$5:$B$1004,D$23,'AFA Rates'!$O$5:$O$1004,"&lt;&gt;Expired")&gt;0,"✓",IF(COUNTIFS('AFA Rates'!$A$5:$A$1004,$A482,'AFA Rates'!$B$5:$B$1004,D$23)&gt;0,"Exp","")))</f>
        <v/>
      </c>
      <c r="E482" s="79">
        <f>IF(OR($A482="",E$23=""),"",IF(COUNTIFS('AFA Rates'!$A$5:$A$1004,$A482,'AFA Rates'!$B$5:$B$1004,E$23,'AFA Rates'!$O$5:$O$1004,"&lt;&gt;Expired")&gt;0,"✓",IF(COUNTIFS('AFA Rates'!$A$5:$A$1004,$A482,'AFA Rates'!$B$5:$B$1004,E$23)&gt;0,"Exp","")))</f>
        <v/>
      </c>
      <c r="F482" s="79">
        <f>IF(OR($A482="",F$23=""),"",IF(COUNTIFS('AFA Rates'!$A$5:$A$1004,$A482,'AFA Rates'!$B$5:$B$1004,F$23,'AFA Rates'!$O$5:$O$1004,"&lt;&gt;Expired")&gt;0,"✓",IF(COUNTIFS('AFA Rates'!$A$5:$A$1004,$A482,'AFA Rates'!$B$5:$B$1004,F$23)&gt;0,"Exp","")))</f>
        <v/>
      </c>
      <c r="G482" s="79">
        <f>IF(OR($A482="",G$23=""),"",IF(COUNTIFS('AFA Rates'!$A$5:$A$1004,$A482,'AFA Rates'!$B$5:$B$1004,G$23,'AFA Rates'!$O$5:$O$1004,"&lt;&gt;Expired")&gt;0,"✓",IF(COUNTIFS('AFA Rates'!$A$5:$A$1004,$A482,'AFA Rates'!$B$5:$B$1004,G$23)&gt;0,"Exp","")))</f>
        <v/>
      </c>
      <c r="H482" s="79">
        <f>IF(OR($A482="",H$23=""),"",IF(COUNTIFS('AFA Rates'!$A$5:$A$1004,$A482,'AFA Rates'!$B$5:$B$1004,H$23,'AFA Rates'!$O$5:$O$1004,"&lt;&gt;Expired")&gt;0,"✓",IF(COUNTIFS('AFA Rates'!$A$5:$A$1004,$A482,'AFA Rates'!$B$5:$B$1004,H$23)&gt;0,"Exp","")))</f>
        <v/>
      </c>
      <c r="I482" s="79">
        <f>IF(OR($A482="",I$23=""),"",IF(COUNTIFS('AFA Rates'!$A$5:$A$1004,$A482,'AFA Rates'!$B$5:$B$1004,I$23,'AFA Rates'!$O$5:$O$1004,"&lt;&gt;Expired")&gt;0,"✓",IF(COUNTIFS('AFA Rates'!$A$5:$A$1004,$A482,'AFA Rates'!$B$5:$B$1004,I$23)&gt;0,"Exp","")))</f>
        <v/>
      </c>
      <c r="J482" s="79">
        <f>IF(OR($A482="",J$23=""),"",IF(COUNTIFS('AFA Rates'!$A$5:$A$1004,$A482,'AFA Rates'!$B$5:$B$1004,J$23,'AFA Rates'!$O$5:$O$1004,"&lt;&gt;Expired")&gt;0,"✓",IF(COUNTIFS('AFA Rates'!$A$5:$A$1004,$A482,'AFA Rates'!$B$5:$B$1004,J$23)&gt;0,"Exp","")))</f>
        <v/>
      </c>
      <c r="K482" s="79">
        <f>IF(OR($A482="",K$23=""),"",IF(COUNTIFS('AFA Rates'!$A$5:$A$1004,$A482,'AFA Rates'!$B$5:$B$1004,K$23,'AFA Rates'!$O$5:$O$1004,"&lt;&gt;Expired")&gt;0,"✓",IF(COUNTIFS('AFA Rates'!$A$5:$A$1004,$A482,'AFA Rates'!$B$5:$B$1004,K$23)&gt;0,"Exp","")))</f>
        <v/>
      </c>
      <c r="L482" s="79">
        <f>IF(OR($A482="",L$23=""),"",IF(COUNTIFS('AFA Rates'!$A$5:$A$1004,$A482,'AFA Rates'!$B$5:$B$1004,L$23,'AFA Rates'!$O$5:$O$1004,"&lt;&gt;Expired")&gt;0,"✓",IF(COUNTIFS('AFA Rates'!$A$5:$A$1004,$A482,'AFA Rates'!$B$5:$B$1004,L$23)&gt;0,"Exp","")))</f>
        <v/>
      </c>
      <c r="M482" s="79">
        <f>IF(OR($A482="",M$23=""),"",IF(COUNTIFS('AFA Rates'!$A$5:$A$1004,$A482,'AFA Rates'!$B$5:$B$1004,M$23,'AFA Rates'!$O$5:$O$1004,"&lt;&gt;Expired")&gt;0,"✓",IF(COUNTIFS('AFA Rates'!$A$5:$A$1004,$A482,'AFA Rates'!$B$5:$B$1004,M$23)&gt;0,"Exp","")))</f>
        <v/>
      </c>
    </row>
    <row r="483">
      <c r="A483" s="78">
        <f>IFERROR(INDEX(Firms!$A$5:$A$1004,MATCH(460,Firms!$V$5:$V$1004,0)),"")</f>
        <v/>
      </c>
      <c r="B483" s="79">
        <f>IF($A483="","",INDEX(Firms!$B$5:$B$1004,MATCH(460,Firms!$V$5:$V$1004,0)))</f>
        <v/>
      </c>
      <c r="C483" s="79">
        <f>IF($A483="","",COUNTIFS('AFA Rates'!$A$5:$A$1004,$A483,'AFA Rates'!$O$5:$O$1004,"&lt;&gt;Expired"))</f>
        <v/>
      </c>
      <c r="D483" s="79">
        <f>IF(OR($A483="",D$23=""),"",IF(COUNTIFS('AFA Rates'!$A$5:$A$1004,$A483,'AFA Rates'!$B$5:$B$1004,D$23,'AFA Rates'!$O$5:$O$1004,"&lt;&gt;Expired")&gt;0,"✓",IF(COUNTIFS('AFA Rates'!$A$5:$A$1004,$A483,'AFA Rates'!$B$5:$B$1004,D$23)&gt;0,"Exp","")))</f>
        <v/>
      </c>
      <c r="E483" s="79">
        <f>IF(OR($A483="",E$23=""),"",IF(COUNTIFS('AFA Rates'!$A$5:$A$1004,$A483,'AFA Rates'!$B$5:$B$1004,E$23,'AFA Rates'!$O$5:$O$1004,"&lt;&gt;Expired")&gt;0,"✓",IF(COUNTIFS('AFA Rates'!$A$5:$A$1004,$A483,'AFA Rates'!$B$5:$B$1004,E$23)&gt;0,"Exp","")))</f>
        <v/>
      </c>
      <c r="F483" s="79">
        <f>IF(OR($A483="",F$23=""),"",IF(COUNTIFS('AFA Rates'!$A$5:$A$1004,$A483,'AFA Rates'!$B$5:$B$1004,F$23,'AFA Rates'!$O$5:$O$1004,"&lt;&gt;Expired")&gt;0,"✓",IF(COUNTIFS('AFA Rates'!$A$5:$A$1004,$A483,'AFA Rates'!$B$5:$B$1004,F$23)&gt;0,"Exp","")))</f>
        <v/>
      </c>
      <c r="G483" s="79">
        <f>IF(OR($A483="",G$23=""),"",IF(COUNTIFS('AFA Rates'!$A$5:$A$1004,$A483,'AFA Rates'!$B$5:$B$1004,G$23,'AFA Rates'!$O$5:$O$1004,"&lt;&gt;Expired")&gt;0,"✓",IF(COUNTIFS('AFA Rates'!$A$5:$A$1004,$A483,'AFA Rates'!$B$5:$B$1004,G$23)&gt;0,"Exp","")))</f>
        <v/>
      </c>
      <c r="H483" s="79">
        <f>IF(OR($A483="",H$23=""),"",IF(COUNTIFS('AFA Rates'!$A$5:$A$1004,$A483,'AFA Rates'!$B$5:$B$1004,H$23,'AFA Rates'!$O$5:$O$1004,"&lt;&gt;Expired")&gt;0,"✓",IF(COUNTIFS('AFA Rates'!$A$5:$A$1004,$A483,'AFA Rates'!$B$5:$B$1004,H$23)&gt;0,"Exp","")))</f>
        <v/>
      </c>
      <c r="I483" s="79">
        <f>IF(OR($A483="",I$23=""),"",IF(COUNTIFS('AFA Rates'!$A$5:$A$1004,$A483,'AFA Rates'!$B$5:$B$1004,I$23,'AFA Rates'!$O$5:$O$1004,"&lt;&gt;Expired")&gt;0,"✓",IF(COUNTIFS('AFA Rates'!$A$5:$A$1004,$A483,'AFA Rates'!$B$5:$B$1004,I$23)&gt;0,"Exp","")))</f>
        <v/>
      </c>
      <c r="J483" s="79">
        <f>IF(OR($A483="",J$23=""),"",IF(COUNTIFS('AFA Rates'!$A$5:$A$1004,$A483,'AFA Rates'!$B$5:$B$1004,J$23,'AFA Rates'!$O$5:$O$1004,"&lt;&gt;Expired")&gt;0,"✓",IF(COUNTIFS('AFA Rates'!$A$5:$A$1004,$A483,'AFA Rates'!$B$5:$B$1004,J$23)&gt;0,"Exp","")))</f>
        <v/>
      </c>
      <c r="K483" s="79">
        <f>IF(OR($A483="",K$23=""),"",IF(COUNTIFS('AFA Rates'!$A$5:$A$1004,$A483,'AFA Rates'!$B$5:$B$1004,K$23,'AFA Rates'!$O$5:$O$1004,"&lt;&gt;Expired")&gt;0,"✓",IF(COUNTIFS('AFA Rates'!$A$5:$A$1004,$A483,'AFA Rates'!$B$5:$B$1004,K$23)&gt;0,"Exp","")))</f>
        <v/>
      </c>
      <c r="L483" s="79">
        <f>IF(OR($A483="",L$23=""),"",IF(COUNTIFS('AFA Rates'!$A$5:$A$1004,$A483,'AFA Rates'!$B$5:$B$1004,L$23,'AFA Rates'!$O$5:$O$1004,"&lt;&gt;Expired")&gt;0,"✓",IF(COUNTIFS('AFA Rates'!$A$5:$A$1004,$A483,'AFA Rates'!$B$5:$B$1004,L$23)&gt;0,"Exp","")))</f>
        <v/>
      </c>
      <c r="M483" s="79">
        <f>IF(OR($A483="",M$23=""),"",IF(COUNTIFS('AFA Rates'!$A$5:$A$1004,$A483,'AFA Rates'!$B$5:$B$1004,M$23,'AFA Rates'!$O$5:$O$1004,"&lt;&gt;Expired")&gt;0,"✓",IF(COUNTIFS('AFA Rates'!$A$5:$A$1004,$A483,'AFA Rates'!$B$5:$B$1004,M$23)&gt;0,"Exp","")))</f>
        <v/>
      </c>
    </row>
    <row r="484">
      <c r="A484" s="78">
        <f>IFERROR(INDEX(Firms!$A$5:$A$1004,MATCH(461,Firms!$V$5:$V$1004,0)),"")</f>
        <v/>
      </c>
      <c r="B484" s="79">
        <f>IF($A484="","",INDEX(Firms!$B$5:$B$1004,MATCH(461,Firms!$V$5:$V$1004,0)))</f>
        <v/>
      </c>
      <c r="C484" s="79">
        <f>IF($A484="","",COUNTIFS('AFA Rates'!$A$5:$A$1004,$A484,'AFA Rates'!$O$5:$O$1004,"&lt;&gt;Expired"))</f>
        <v/>
      </c>
      <c r="D484" s="79">
        <f>IF(OR($A484="",D$23=""),"",IF(COUNTIFS('AFA Rates'!$A$5:$A$1004,$A484,'AFA Rates'!$B$5:$B$1004,D$23,'AFA Rates'!$O$5:$O$1004,"&lt;&gt;Expired")&gt;0,"✓",IF(COUNTIFS('AFA Rates'!$A$5:$A$1004,$A484,'AFA Rates'!$B$5:$B$1004,D$23)&gt;0,"Exp","")))</f>
        <v/>
      </c>
      <c r="E484" s="79">
        <f>IF(OR($A484="",E$23=""),"",IF(COUNTIFS('AFA Rates'!$A$5:$A$1004,$A484,'AFA Rates'!$B$5:$B$1004,E$23,'AFA Rates'!$O$5:$O$1004,"&lt;&gt;Expired")&gt;0,"✓",IF(COUNTIFS('AFA Rates'!$A$5:$A$1004,$A484,'AFA Rates'!$B$5:$B$1004,E$23)&gt;0,"Exp","")))</f>
        <v/>
      </c>
      <c r="F484" s="79">
        <f>IF(OR($A484="",F$23=""),"",IF(COUNTIFS('AFA Rates'!$A$5:$A$1004,$A484,'AFA Rates'!$B$5:$B$1004,F$23,'AFA Rates'!$O$5:$O$1004,"&lt;&gt;Expired")&gt;0,"✓",IF(COUNTIFS('AFA Rates'!$A$5:$A$1004,$A484,'AFA Rates'!$B$5:$B$1004,F$23)&gt;0,"Exp","")))</f>
        <v/>
      </c>
      <c r="G484" s="79">
        <f>IF(OR($A484="",G$23=""),"",IF(COUNTIFS('AFA Rates'!$A$5:$A$1004,$A484,'AFA Rates'!$B$5:$B$1004,G$23,'AFA Rates'!$O$5:$O$1004,"&lt;&gt;Expired")&gt;0,"✓",IF(COUNTIFS('AFA Rates'!$A$5:$A$1004,$A484,'AFA Rates'!$B$5:$B$1004,G$23)&gt;0,"Exp","")))</f>
        <v/>
      </c>
      <c r="H484" s="79">
        <f>IF(OR($A484="",H$23=""),"",IF(COUNTIFS('AFA Rates'!$A$5:$A$1004,$A484,'AFA Rates'!$B$5:$B$1004,H$23,'AFA Rates'!$O$5:$O$1004,"&lt;&gt;Expired")&gt;0,"✓",IF(COUNTIFS('AFA Rates'!$A$5:$A$1004,$A484,'AFA Rates'!$B$5:$B$1004,H$23)&gt;0,"Exp","")))</f>
        <v/>
      </c>
      <c r="I484" s="79">
        <f>IF(OR($A484="",I$23=""),"",IF(COUNTIFS('AFA Rates'!$A$5:$A$1004,$A484,'AFA Rates'!$B$5:$B$1004,I$23,'AFA Rates'!$O$5:$O$1004,"&lt;&gt;Expired")&gt;0,"✓",IF(COUNTIFS('AFA Rates'!$A$5:$A$1004,$A484,'AFA Rates'!$B$5:$B$1004,I$23)&gt;0,"Exp","")))</f>
        <v/>
      </c>
      <c r="J484" s="79">
        <f>IF(OR($A484="",J$23=""),"",IF(COUNTIFS('AFA Rates'!$A$5:$A$1004,$A484,'AFA Rates'!$B$5:$B$1004,J$23,'AFA Rates'!$O$5:$O$1004,"&lt;&gt;Expired")&gt;0,"✓",IF(COUNTIFS('AFA Rates'!$A$5:$A$1004,$A484,'AFA Rates'!$B$5:$B$1004,J$23)&gt;0,"Exp","")))</f>
        <v/>
      </c>
      <c r="K484" s="79">
        <f>IF(OR($A484="",K$23=""),"",IF(COUNTIFS('AFA Rates'!$A$5:$A$1004,$A484,'AFA Rates'!$B$5:$B$1004,K$23,'AFA Rates'!$O$5:$O$1004,"&lt;&gt;Expired")&gt;0,"✓",IF(COUNTIFS('AFA Rates'!$A$5:$A$1004,$A484,'AFA Rates'!$B$5:$B$1004,K$23)&gt;0,"Exp","")))</f>
        <v/>
      </c>
      <c r="L484" s="79">
        <f>IF(OR($A484="",L$23=""),"",IF(COUNTIFS('AFA Rates'!$A$5:$A$1004,$A484,'AFA Rates'!$B$5:$B$1004,L$23,'AFA Rates'!$O$5:$O$1004,"&lt;&gt;Expired")&gt;0,"✓",IF(COUNTIFS('AFA Rates'!$A$5:$A$1004,$A484,'AFA Rates'!$B$5:$B$1004,L$23)&gt;0,"Exp","")))</f>
        <v/>
      </c>
      <c r="M484" s="79">
        <f>IF(OR($A484="",M$23=""),"",IF(COUNTIFS('AFA Rates'!$A$5:$A$1004,$A484,'AFA Rates'!$B$5:$B$1004,M$23,'AFA Rates'!$O$5:$O$1004,"&lt;&gt;Expired")&gt;0,"✓",IF(COUNTIFS('AFA Rates'!$A$5:$A$1004,$A484,'AFA Rates'!$B$5:$B$1004,M$23)&gt;0,"Exp","")))</f>
        <v/>
      </c>
    </row>
    <row r="485">
      <c r="A485" s="78">
        <f>IFERROR(INDEX(Firms!$A$5:$A$1004,MATCH(462,Firms!$V$5:$V$1004,0)),"")</f>
        <v/>
      </c>
      <c r="B485" s="79">
        <f>IF($A485="","",INDEX(Firms!$B$5:$B$1004,MATCH(462,Firms!$V$5:$V$1004,0)))</f>
        <v/>
      </c>
      <c r="C485" s="79">
        <f>IF($A485="","",COUNTIFS('AFA Rates'!$A$5:$A$1004,$A485,'AFA Rates'!$O$5:$O$1004,"&lt;&gt;Expired"))</f>
        <v/>
      </c>
      <c r="D485" s="79">
        <f>IF(OR($A485="",D$23=""),"",IF(COUNTIFS('AFA Rates'!$A$5:$A$1004,$A485,'AFA Rates'!$B$5:$B$1004,D$23,'AFA Rates'!$O$5:$O$1004,"&lt;&gt;Expired")&gt;0,"✓",IF(COUNTIFS('AFA Rates'!$A$5:$A$1004,$A485,'AFA Rates'!$B$5:$B$1004,D$23)&gt;0,"Exp","")))</f>
        <v/>
      </c>
      <c r="E485" s="79">
        <f>IF(OR($A485="",E$23=""),"",IF(COUNTIFS('AFA Rates'!$A$5:$A$1004,$A485,'AFA Rates'!$B$5:$B$1004,E$23,'AFA Rates'!$O$5:$O$1004,"&lt;&gt;Expired")&gt;0,"✓",IF(COUNTIFS('AFA Rates'!$A$5:$A$1004,$A485,'AFA Rates'!$B$5:$B$1004,E$23)&gt;0,"Exp","")))</f>
        <v/>
      </c>
      <c r="F485" s="79">
        <f>IF(OR($A485="",F$23=""),"",IF(COUNTIFS('AFA Rates'!$A$5:$A$1004,$A485,'AFA Rates'!$B$5:$B$1004,F$23,'AFA Rates'!$O$5:$O$1004,"&lt;&gt;Expired")&gt;0,"✓",IF(COUNTIFS('AFA Rates'!$A$5:$A$1004,$A485,'AFA Rates'!$B$5:$B$1004,F$23)&gt;0,"Exp","")))</f>
        <v/>
      </c>
      <c r="G485" s="79">
        <f>IF(OR($A485="",G$23=""),"",IF(COUNTIFS('AFA Rates'!$A$5:$A$1004,$A485,'AFA Rates'!$B$5:$B$1004,G$23,'AFA Rates'!$O$5:$O$1004,"&lt;&gt;Expired")&gt;0,"✓",IF(COUNTIFS('AFA Rates'!$A$5:$A$1004,$A485,'AFA Rates'!$B$5:$B$1004,G$23)&gt;0,"Exp","")))</f>
        <v/>
      </c>
      <c r="H485" s="79">
        <f>IF(OR($A485="",H$23=""),"",IF(COUNTIFS('AFA Rates'!$A$5:$A$1004,$A485,'AFA Rates'!$B$5:$B$1004,H$23,'AFA Rates'!$O$5:$O$1004,"&lt;&gt;Expired")&gt;0,"✓",IF(COUNTIFS('AFA Rates'!$A$5:$A$1004,$A485,'AFA Rates'!$B$5:$B$1004,H$23)&gt;0,"Exp","")))</f>
        <v/>
      </c>
      <c r="I485" s="79">
        <f>IF(OR($A485="",I$23=""),"",IF(COUNTIFS('AFA Rates'!$A$5:$A$1004,$A485,'AFA Rates'!$B$5:$B$1004,I$23,'AFA Rates'!$O$5:$O$1004,"&lt;&gt;Expired")&gt;0,"✓",IF(COUNTIFS('AFA Rates'!$A$5:$A$1004,$A485,'AFA Rates'!$B$5:$B$1004,I$23)&gt;0,"Exp","")))</f>
        <v/>
      </c>
      <c r="J485" s="79">
        <f>IF(OR($A485="",J$23=""),"",IF(COUNTIFS('AFA Rates'!$A$5:$A$1004,$A485,'AFA Rates'!$B$5:$B$1004,J$23,'AFA Rates'!$O$5:$O$1004,"&lt;&gt;Expired")&gt;0,"✓",IF(COUNTIFS('AFA Rates'!$A$5:$A$1004,$A485,'AFA Rates'!$B$5:$B$1004,J$23)&gt;0,"Exp","")))</f>
        <v/>
      </c>
      <c r="K485" s="79">
        <f>IF(OR($A485="",K$23=""),"",IF(COUNTIFS('AFA Rates'!$A$5:$A$1004,$A485,'AFA Rates'!$B$5:$B$1004,K$23,'AFA Rates'!$O$5:$O$1004,"&lt;&gt;Expired")&gt;0,"✓",IF(COUNTIFS('AFA Rates'!$A$5:$A$1004,$A485,'AFA Rates'!$B$5:$B$1004,K$23)&gt;0,"Exp","")))</f>
        <v/>
      </c>
      <c r="L485" s="79">
        <f>IF(OR($A485="",L$23=""),"",IF(COUNTIFS('AFA Rates'!$A$5:$A$1004,$A485,'AFA Rates'!$B$5:$B$1004,L$23,'AFA Rates'!$O$5:$O$1004,"&lt;&gt;Expired")&gt;0,"✓",IF(COUNTIFS('AFA Rates'!$A$5:$A$1004,$A485,'AFA Rates'!$B$5:$B$1004,L$23)&gt;0,"Exp","")))</f>
        <v/>
      </c>
      <c r="M485" s="79">
        <f>IF(OR($A485="",M$23=""),"",IF(COUNTIFS('AFA Rates'!$A$5:$A$1004,$A485,'AFA Rates'!$B$5:$B$1004,M$23,'AFA Rates'!$O$5:$O$1004,"&lt;&gt;Expired")&gt;0,"✓",IF(COUNTIFS('AFA Rates'!$A$5:$A$1004,$A485,'AFA Rates'!$B$5:$B$1004,M$23)&gt;0,"Exp","")))</f>
        <v/>
      </c>
    </row>
    <row r="486">
      <c r="A486" s="78">
        <f>IFERROR(INDEX(Firms!$A$5:$A$1004,MATCH(463,Firms!$V$5:$V$1004,0)),"")</f>
        <v/>
      </c>
      <c r="B486" s="79">
        <f>IF($A486="","",INDEX(Firms!$B$5:$B$1004,MATCH(463,Firms!$V$5:$V$1004,0)))</f>
        <v/>
      </c>
      <c r="C486" s="79">
        <f>IF($A486="","",COUNTIFS('AFA Rates'!$A$5:$A$1004,$A486,'AFA Rates'!$O$5:$O$1004,"&lt;&gt;Expired"))</f>
        <v/>
      </c>
      <c r="D486" s="79">
        <f>IF(OR($A486="",D$23=""),"",IF(COUNTIFS('AFA Rates'!$A$5:$A$1004,$A486,'AFA Rates'!$B$5:$B$1004,D$23,'AFA Rates'!$O$5:$O$1004,"&lt;&gt;Expired")&gt;0,"✓",IF(COUNTIFS('AFA Rates'!$A$5:$A$1004,$A486,'AFA Rates'!$B$5:$B$1004,D$23)&gt;0,"Exp","")))</f>
        <v/>
      </c>
      <c r="E486" s="79">
        <f>IF(OR($A486="",E$23=""),"",IF(COUNTIFS('AFA Rates'!$A$5:$A$1004,$A486,'AFA Rates'!$B$5:$B$1004,E$23,'AFA Rates'!$O$5:$O$1004,"&lt;&gt;Expired")&gt;0,"✓",IF(COUNTIFS('AFA Rates'!$A$5:$A$1004,$A486,'AFA Rates'!$B$5:$B$1004,E$23)&gt;0,"Exp","")))</f>
        <v/>
      </c>
      <c r="F486" s="79">
        <f>IF(OR($A486="",F$23=""),"",IF(COUNTIFS('AFA Rates'!$A$5:$A$1004,$A486,'AFA Rates'!$B$5:$B$1004,F$23,'AFA Rates'!$O$5:$O$1004,"&lt;&gt;Expired")&gt;0,"✓",IF(COUNTIFS('AFA Rates'!$A$5:$A$1004,$A486,'AFA Rates'!$B$5:$B$1004,F$23)&gt;0,"Exp","")))</f>
        <v/>
      </c>
      <c r="G486" s="79">
        <f>IF(OR($A486="",G$23=""),"",IF(COUNTIFS('AFA Rates'!$A$5:$A$1004,$A486,'AFA Rates'!$B$5:$B$1004,G$23,'AFA Rates'!$O$5:$O$1004,"&lt;&gt;Expired")&gt;0,"✓",IF(COUNTIFS('AFA Rates'!$A$5:$A$1004,$A486,'AFA Rates'!$B$5:$B$1004,G$23)&gt;0,"Exp","")))</f>
        <v/>
      </c>
      <c r="H486" s="79">
        <f>IF(OR($A486="",H$23=""),"",IF(COUNTIFS('AFA Rates'!$A$5:$A$1004,$A486,'AFA Rates'!$B$5:$B$1004,H$23,'AFA Rates'!$O$5:$O$1004,"&lt;&gt;Expired")&gt;0,"✓",IF(COUNTIFS('AFA Rates'!$A$5:$A$1004,$A486,'AFA Rates'!$B$5:$B$1004,H$23)&gt;0,"Exp","")))</f>
        <v/>
      </c>
      <c r="I486" s="79">
        <f>IF(OR($A486="",I$23=""),"",IF(COUNTIFS('AFA Rates'!$A$5:$A$1004,$A486,'AFA Rates'!$B$5:$B$1004,I$23,'AFA Rates'!$O$5:$O$1004,"&lt;&gt;Expired")&gt;0,"✓",IF(COUNTIFS('AFA Rates'!$A$5:$A$1004,$A486,'AFA Rates'!$B$5:$B$1004,I$23)&gt;0,"Exp","")))</f>
        <v/>
      </c>
      <c r="J486" s="79">
        <f>IF(OR($A486="",J$23=""),"",IF(COUNTIFS('AFA Rates'!$A$5:$A$1004,$A486,'AFA Rates'!$B$5:$B$1004,J$23,'AFA Rates'!$O$5:$O$1004,"&lt;&gt;Expired")&gt;0,"✓",IF(COUNTIFS('AFA Rates'!$A$5:$A$1004,$A486,'AFA Rates'!$B$5:$B$1004,J$23)&gt;0,"Exp","")))</f>
        <v/>
      </c>
      <c r="K486" s="79">
        <f>IF(OR($A486="",K$23=""),"",IF(COUNTIFS('AFA Rates'!$A$5:$A$1004,$A486,'AFA Rates'!$B$5:$B$1004,K$23,'AFA Rates'!$O$5:$O$1004,"&lt;&gt;Expired")&gt;0,"✓",IF(COUNTIFS('AFA Rates'!$A$5:$A$1004,$A486,'AFA Rates'!$B$5:$B$1004,K$23)&gt;0,"Exp","")))</f>
        <v/>
      </c>
      <c r="L486" s="79">
        <f>IF(OR($A486="",L$23=""),"",IF(COUNTIFS('AFA Rates'!$A$5:$A$1004,$A486,'AFA Rates'!$B$5:$B$1004,L$23,'AFA Rates'!$O$5:$O$1004,"&lt;&gt;Expired")&gt;0,"✓",IF(COUNTIFS('AFA Rates'!$A$5:$A$1004,$A486,'AFA Rates'!$B$5:$B$1004,L$23)&gt;0,"Exp","")))</f>
        <v/>
      </c>
      <c r="M486" s="79">
        <f>IF(OR($A486="",M$23=""),"",IF(COUNTIFS('AFA Rates'!$A$5:$A$1004,$A486,'AFA Rates'!$B$5:$B$1004,M$23,'AFA Rates'!$O$5:$O$1004,"&lt;&gt;Expired")&gt;0,"✓",IF(COUNTIFS('AFA Rates'!$A$5:$A$1004,$A486,'AFA Rates'!$B$5:$B$1004,M$23)&gt;0,"Exp","")))</f>
        <v/>
      </c>
    </row>
    <row r="487">
      <c r="A487" s="78">
        <f>IFERROR(INDEX(Firms!$A$5:$A$1004,MATCH(464,Firms!$V$5:$V$1004,0)),"")</f>
        <v/>
      </c>
      <c r="B487" s="79">
        <f>IF($A487="","",INDEX(Firms!$B$5:$B$1004,MATCH(464,Firms!$V$5:$V$1004,0)))</f>
        <v/>
      </c>
      <c r="C487" s="79">
        <f>IF($A487="","",COUNTIFS('AFA Rates'!$A$5:$A$1004,$A487,'AFA Rates'!$O$5:$O$1004,"&lt;&gt;Expired"))</f>
        <v/>
      </c>
      <c r="D487" s="79">
        <f>IF(OR($A487="",D$23=""),"",IF(COUNTIFS('AFA Rates'!$A$5:$A$1004,$A487,'AFA Rates'!$B$5:$B$1004,D$23,'AFA Rates'!$O$5:$O$1004,"&lt;&gt;Expired")&gt;0,"✓",IF(COUNTIFS('AFA Rates'!$A$5:$A$1004,$A487,'AFA Rates'!$B$5:$B$1004,D$23)&gt;0,"Exp","")))</f>
        <v/>
      </c>
      <c r="E487" s="79">
        <f>IF(OR($A487="",E$23=""),"",IF(COUNTIFS('AFA Rates'!$A$5:$A$1004,$A487,'AFA Rates'!$B$5:$B$1004,E$23,'AFA Rates'!$O$5:$O$1004,"&lt;&gt;Expired")&gt;0,"✓",IF(COUNTIFS('AFA Rates'!$A$5:$A$1004,$A487,'AFA Rates'!$B$5:$B$1004,E$23)&gt;0,"Exp","")))</f>
        <v/>
      </c>
      <c r="F487" s="79">
        <f>IF(OR($A487="",F$23=""),"",IF(COUNTIFS('AFA Rates'!$A$5:$A$1004,$A487,'AFA Rates'!$B$5:$B$1004,F$23,'AFA Rates'!$O$5:$O$1004,"&lt;&gt;Expired")&gt;0,"✓",IF(COUNTIFS('AFA Rates'!$A$5:$A$1004,$A487,'AFA Rates'!$B$5:$B$1004,F$23)&gt;0,"Exp","")))</f>
        <v/>
      </c>
      <c r="G487" s="79">
        <f>IF(OR($A487="",G$23=""),"",IF(COUNTIFS('AFA Rates'!$A$5:$A$1004,$A487,'AFA Rates'!$B$5:$B$1004,G$23,'AFA Rates'!$O$5:$O$1004,"&lt;&gt;Expired")&gt;0,"✓",IF(COUNTIFS('AFA Rates'!$A$5:$A$1004,$A487,'AFA Rates'!$B$5:$B$1004,G$23)&gt;0,"Exp","")))</f>
        <v/>
      </c>
      <c r="H487" s="79">
        <f>IF(OR($A487="",H$23=""),"",IF(COUNTIFS('AFA Rates'!$A$5:$A$1004,$A487,'AFA Rates'!$B$5:$B$1004,H$23,'AFA Rates'!$O$5:$O$1004,"&lt;&gt;Expired")&gt;0,"✓",IF(COUNTIFS('AFA Rates'!$A$5:$A$1004,$A487,'AFA Rates'!$B$5:$B$1004,H$23)&gt;0,"Exp","")))</f>
        <v/>
      </c>
      <c r="I487" s="79">
        <f>IF(OR($A487="",I$23=""),"",IF(COUNTIFS('AFA Rates'!$A$5:$A$1004,$A487,'AFA Rates'!$B$5:$B$1004,I$23,'AFA Rates'!$O$5:$O$1004,"&lt;&gt;Expired")&gt;0,"✓",IF(COUNTIFS('AFA Rates'!$A$5:$A$1004,$A487,'AFA Rates'!$B$5:$B$1004,I$23)&gt;0,"Exp","")))</f>
        <v/>
      </c>
      <c r="J487" s="79">
        <f>IF(OR($A487="",J$23=""),"",IF(COUNTIFS('AFA Rates'!$A$5:$A$1004,$A487,'AFA Rates'!$B$5:$B$1004,J$23,'AFA Rates'!$O$5:$O$1004,"&lt;&gt;Expired")&gt;0,"✓",IF(COUNTIFS('AFA Rates'!$A$5:$A$1004,$A487,'AFA Rates'!$B$5:$B$1004,J$23)&gt;0,"Exp","")))</f>
        <v/>
      </c>
      <c r="K487" s="79">
        <f>IF(OR($A487="",K$23=""),"",IF(COUNTIFS('AFA Rates'!$A$5:$A$1004,$A487,'AFA Rates'!$B$5:$B$1004,K$23,'AFA Rates'!$O$5:$O$1004,"&lt;&gt;Expired")&gt;0,"✓",IF(COUNTIFS('AFA Rates'!$A$5:$A$1004,$A487,'AFA Rates'!$B$5:$B$1004,K$23)&gt;0,"Exp","")))</f>
        <v/>
      </c>
      <c r="L487" s="79">
        <f>IF(OR($A487="",L$23=""),"",IF(COUNTIFS('AFA Rates'!$A$5:$A$1004,$A487,'AFA Rates'!$B$5:$B$1004,L$23,'AFA Rates'!$O$5:$O$1004,"&lt;&gt;Expired")&gt;0,"✓",IF(COUNTIFS('AFA Rates'!$A$5:$A$1004,$A487,'AFA Rates'!$B$5:$B$1004,L$23)&gt;0,"Exp","")))</f>
        <v/>
      </c>
      <c r="M487" s="79">
        <f>IF(OR($A487="",M$23=""),"",IF(COUNTIFS('AFA Rates'!$A$5:$A$1004,$A487,'AFA Rates'!$B$5:$B$1004,M$23,'AFA Rates'!$O$5:$O$1004,"&lt;&gt;Expired")&gt;0,"✓",IF(COUNTIFS('AFA Rates'!$A$5:$A$1004,$A487,'AFA Rates'!$B$5:$B$1004,M$23)&gt;0,"Exp","")))</f>
        <v/>
      </c>
    </row>
    <row r="488">
      <c r="A488" s="78">
        <f>IFERROR(INDEX(Firms!$A$5:$A$1004,MATCH(465,Firms!$V$5:$V$1004,0)),"")</f>
        <v/>
      </c>
      <c r="B488" s="79">
        <f>IF($A488="","",INDEX(Firms!$B$5:$B$1004,MATCH(465,Firms!$V$5:$V$1004,0)))</f>
        <v/>
      </c>
      <c r="C488" s="79">
        <f>IF($A488="","",COUNTIFS('AFA Rates'!$A$5:$A$1004,$A488,'AFA Rates'!$O$5:$O$1004,"&lt;&gt;Expired"))</f>
        <v/>
      </c>
      <c r="D488" s="79">
        <f>IF(OR($A488="",D$23=""),"",IF(COUNTIFS('AFA Rates'!$A$5:$A$1004,$A488,'AFA Rates'!$B$5:$B$1004,D$23,'AFA Rates'!$O$5:$O$1004,"&lt;&gt;Expired")&gt;0,"✓",IF(COUNTIFS('AFA Rates'!$A$5:$A$1004,$A488,'AFA Rates'!$B$5:$B$1004,D$23)&gt;0,"Exp","")))</f>
        <v/>
      </c>
      <c r="E488" s="79">
        <f>IF(OR($A488="",E$23=""),"",IF(COUNTIFS('AFA Rates'!$A$5:$A$1004,$A488,'AFA Rates'!$B$5:$B$1004,E$23,'AFA Rates'!$O$5:$O$1004,"&lt;&gt;Expired")&gt;0,"✓",IF(COUNTIFS('AFA Rates'!$A$5:$A$1004,$A488,'AFA Rates'!$B$5:$B$1004,E$23)&gt;0,"Exp","")))</f>
        <v/>
      </c>
      <c r="F488" s="79">
        <f>IF(OR($A488="",F$23=""),"",IF(COUNTIFS('AFA Rates'!$A$5:$A$1004,$A488,'AFA Rates'!$B$5:$B$1004,F$23,'AFA Rates'!$O$5:$O$1004,"&lt;&gt;Expired")&gt;0,"✓",IF(COUNTIFS('AFA Rates'!$A$5:$A$1004,$A488,'AFA Rates'!$B$5:$B$1004,F$23)&gt;0,"Exp","")))</f>
        <v/>
      </c>
      <c r="G488" s="79">
        <f>IF(OR($A488="",G$23=""),"",IF(COUNTIFS('AFA Rates'!$A$5:$A$1004,$A488,'AFA Rates'!$B$5:$B$1004,G$23,'AFA Rates'!$O$5:$O$1004,"&lt;&gt;Expired")&gt;0,"✓",IF(COUNTIFS('AFA Rates'!$A$5:$A$1004,$A488,'AFA Rates'!$B$5:$B$1004,G$23)&gt;0,"Exp","")))</f>
        <v/>
      </c>
      <c r="H488" s="79">
        <f>IF(OR($A488="",H$23=""),"",IF(COUNTIFS('AFA Rates'!$A$5:$A$1004,$A488,'AFA Rates'!$B$5:$B$1004,H$23,'AFA Rates'!$O$5:$O$1004,"&lt;&gt;Expired")&gt;0,"✓",IF(COUNTIFS('AFA Rates'!$A$5:$A$1004,$A488,'AFA Rates'!$B$5:$B$1004,H$23)&gt;0,"Exp","")))</f>
        <v/>
      </c>
      <c r="I488" s="79">
        <f>IF(OR($A488="",I$23=""),"",IF(COUNTIFS('AFA Rates'!$A$5:$A$1004,$A488,'AFA Rates'!$B$5:$B$1004,I$23,'AFA Rates'!$O$5:$O$1004,"&lt;&gt;Expired")&gt;0,"✓",IF(COUNTIFS('AFA Rates'!$A$5:$A$1004,$A488,'AFA Rates'!$B$5:$B$1004,I$23)&gt;0,"Exp","")))</f>
        <v/>
      </c>
      <c r="J488" s="79">
        <f>IF(OR($A488="",J$23=""),"",IF(COUNTIFS('AFA Rates'!$A$5:$A$1004,$A488,'AFA Rates'!$B$5:$B$1004,J$23,'AFA Rates'!$O$5:$O$1004,"&lt;&gt;Expired")&gt;0,"✓",IF(COUNTIFS('AFA Rates'!$A$5:$A$1004,$A488,'AFA Rates'!$B$5:$B$1004,J$23)&gt;0,"Exp","")))</f>
        <v/>
      </c>
      <c r="K488" s="79">
        <f>IF(OR($A488="",K$23=""),"",IF(COUNTIFS('AFA Rates'!$A$5:$A$1004,$A488,'AFA Rates'!$B$5:$B$1004,K$23,'AFA Rates'!$O$5:$O$1004,"&lt;&gt;Expired")&gt;0,"✓",IF(COUNTIFS('AFA Rates'!$A$5:$A$1004,$A488,'AFA Rates'!$B$5:$B$1004,K$23)&gt;0,"Exp","")))</f>
        <v/>
      </c>
      <c r="L488" s="79">
        <f>IF(OR($A488="",L$23=""),"",IF(COUNTIFS('AFA Rates'!$A$5:$A$1004,$A488,'AFA Rates'!$B$5:$B$1004,L$23,'AFA Rates'!$O$5:$O$1004,"&lt;&gt;Expired")&gt;0,"✓",IF(COUNTIFS('AFA Rates'!$A$5:$A$1004,$A488,'AFA Rates'!$B$5:$B$1004,L$23)&gt;0,"Exp","")))</f>
        <v/>
      </c>
      <c r="M488" s="79">
        <f>IF(OR($A488="",M$23=""),"",IF(COUNTIFS('AFA Rates'!$A$5:$A$1004,$A488,'AFA Rates'!$B$5:$B$1004,M$23,'AFA Rates'!$O$5:$O$1004,"&lt;&gt;Expired")&gt;0,"✓",IF(COUNTIFS('AFA Rates'!$A$5:$A$1004,$A488,'AFA Rates'!$B$5:$B$1004,M$23)&gt;0,"Exp","")))</f>
        <v/>
      </c>
    </row>
    <row r="489">
      <c r="A489" s="78">
        <f>IFERROR(INDEX(Firms!$A$5:$A$1004,MATCH(466,Firms!$V$5:$V$1004,0)),"")</f>
        <v/>
      </c>
      <c r="B489" s="79">
        <f>IF($A489="","",INDEX(Firms!$B$5:$B$1004,MATCH(466,Firms!$V$5:$V$1004,0)))</f>
        <v/>
      </c>
      <c r="C489" s="79">
        <f>IF($A489="","",COUNTIFS('AFA Rates'!$A$5:$A$1004,$A489,'AFA Rates'!$O$5:$O$1004,"&lt;&gt;Expired"))</f>
        <v/>
      </c>
      <c r="D489" s="79">
        <f>IF(OR($A489="",D$23=""),"",IF(COUNTIFS('AFA Rates'!$A$5:$A$1004,$A489,'AFA Rates'!$B$5:$B$1004,D$23,'AFA Rates'!$O$5:$O$1004,"&lt;&gt;Expired")&gt;0,"✓",IF(COUNTIFS('AFA Rates'!$A$5:$A$1004,$A489,'AFA Rates'!$B$5:$B$1004,D$23)&gt;0,"Exp","")))</f>
        <v/>
      </c>
      <c r="E489" s="79">
        <f>IF(OR($A489="",E$23=""),"",IF(COUNTIFS('AFA Rates'!$A$5:$A$1004,$A489,'AFA Rates'!$B$5:$B$1004,E$23,'AFA Rates'!$O$5:$O$1004,"&lt;&gt;Expired")&gt;0,"✓",IF(COUNTIFS('AFA Rates'!$A$5:$A$1004,$A489,'AFA Rates'!$B$5:$B$1004,E$23)&gt;0,"Exp","")))</f>
        <v/>
      </c>
      <c r="F489" s="79">
        <f>IF(OR($A489="",F$23=""),"",IF(COUNTIFS('AFA Rates'!$A$5:$A$1004,$A489,'AFA Rates'!$B$5:$B$1004,F$23,'AFA Rates'!$O$5:$O$1004,"&lt;&gt;Expired")&gt;0,"✓",IF(COUNTIFS('AFA Rates'!$A$5:$A$1004,$A489,'AFA Rates'!$B$5:$B$1004,F$23)&gt;0,"Exp","")))</f>
        <v/>
      </c>
      <c r="G489" s="79">
        <f>IF(OR($A489="",G$23=""),"",IF(COUNTIFS('AFA Rates'!$A$5:$A$1004,$A489,'AFA Rates'!$B$5:$B$1004,G$23,'AFA Rates'!$O$5:$O$1004,"&lt;&gt;Expired")&gt;0,"✓",IF(COUNTIFS('AFA Rates'!$A$5:$A$1004,$A489,'AFA Rates'!$B$5:$B$1004,G$23)&gt;0,"Exp","")))</f>
        <v/>
      </c>
      <c r="H489" s="79">
        <f>IF(OR($A489="",H$23=""),"",IF(COUNTIFS('AFA Rates'!$A$5:$A$1004,$A489,'AFA Rates'!$B$5:$B$1004,H$23,'AFA Rates'!$O$5:$O$1004,"&lt;&gt;Expired")&gt;0,"✓",IF(COUNTIFS('AFA Rates'!$A$5:$A$1004,$A489,'AFA Rates'!$B$5:$B$1004,H$23)&gt;0,"Exp","")))</f>
        <v/>
      </c>
      <c r="I489" s="79">
        <f>IF(OR($A489="",I$23=""),"",IF(COUNTIFS('AFA Rates'!$A$5:$A$1004,$A489,'AFA Rates'!$B$5:$B$1004,I$23,'AFA Rates'!$O$5:$O$1004,"&lt;&gt;Expired")&gt;0,"✓",IF(COUNTIFS('AFA Rates'!$A$5:$A$1004,$A489,'AFA Rates'!$B$5:$B$1004,I$23)&gt;0,"Exp","")))</f>
        <v/>
      </c>
      <c r="J489" s="79">
        <f>IF(OR($A489="",J$23=""),"",IF(COUNTIFS('AFA Rates'!$A$5:$A$1004,$A489,'AFA Rates'!$B$5:$B$1004,J$23,'AFA Rates'!$O$5:$O$1004,"&lt;&gt;Expired")&gt;0,"✓",IF(COUNTIFS('AFA Rates'!$A$5:$A$1004,$A489,'AFA Rates'!$B$5:$B$1004,J$23)&gt;0,"Exp","")))</f>
        <v/>
      </c>
      <c r="K489" s="79">
        <f>IF(OR($A489="",K$23=""),"",IF(COUNTIFS('AFA Rates'!$A$5:$A$1004,$A489,'AFA Rates'!$B$5:$B$1004,K$23,'AFA Rates'!$O$5:$O$1004,"&lt;&gt;Expired")&gt;0,"✓",IF(COUNTIFS('AFA Rates'!$A$5:$A$1004,$A489,'AFA Rates'!$B$5:$B$1004,K$23)&gt;0,"Exp","")))</f>
        <v/>
      </c>
      <c r="L489" s="79">
        <f>IF(OR($A489="",L$23=""),"",IF(COUNTIFS('AFA Rates'!$A$5:$A$1004,$A489,'AFA Rates'!$B$5:$B$1004,L$23,'AFA Rates'!$O$5:$O$1004,"&lt;&gt;Expired")&gt;0,"✓",IF(COUNTIFS('AFA Rates'!$A$5:$A$1004,$A489,'AFA Rates'!$B$5:$B$1004,L$23)&gt;0,"Exp","")))</f>
        <v/>
      </c>
      <c r="M489" s="79">
        <f>IF(OR($A489="",M$23=""),"",IF(COUNTIFS('AFA Rates'!$A$5:$A$1004,$A489,'AFA Rates'!$B$5:$B$1004,M$23,'AFA Rates'!$O$5:$O$1004,"&lt;&gt;Expired")&gt;0,"✓",IF(COUNTIFS('AFA Rates'!$A$5:$A$1004,$A489,'AFA Rates'!$B$5:$B$1004,M$23)&gt;0,"Exp","")))</f>
        <v/>
      </c>
    </row>
    <row r="490">
      <c r="A490" s="78">
        <f>IFERROR(INDEX(Firms!$A$5:$A$1004,MATCH(467,Firms!$V$5:$V$1004,0)),"")</f>
        <v/>
      </c>
      <c r="B490" s="79">
        <f>IF($A490="","",INDEX(Firms!$B$5:$B$1004,MATCH(467,Firms!$V$5:$V$1004,0)))</f>
        <v/>
      </c>
      <c r="C490" s="79">
        <f>IF($A490="","",COUNTIFS('AFA Rates'!$A$5:$A$1004,$A490,'AFA Rates'!$O$5:$O$1004,"&lt;&gt;Expired"))</f>
        <v/>
      </c>
      <c r="D490" s="79">
        <f>IF(OR($A490="",D$23=""),"",IF(COUNTIFS('AFA Rates'!$A$5:$A$1004,$A490,'AFA Rates'!$B$5:$B$1004,D$23,'AFA Rates'!$O$5:$O$1004,"&lt;&gt;Expired")&gt;0,"✓",IF(COUNTIFS('AFA Rates'!$A$5:$A$1004,$A490,'AFA Rates'!$B$5:$B$1004,D$23)&gt;0,"Exp","")))</f>
        <v/>
      </c>
      <c r="E490" s="79">
        <f>IF(OR($A490="",E$23=""),"",IF(COUNTIFS('AFA Rates'!$A$5:$A$1004,$A490,'AFA Rates'!$B$5:$B$1004,E$23,'AFA Rates'!$O$5:$O$1004,"&lt;&gt;Expired")&gt;0,"✓",IF(COUNTIFS('AFA Rates'!$A$5:$A$1004,$A490,'AFA Rates'!$B$5:$B$1004,E$23)&gt;0,"Exp","")))</f>
        <v/>
      </c>
      <c r="F490" s="79">
        <f>IF(OR($A490="",F$23=""),"",IF(COUNTIFS('AFA Rates'!$A$5:$A$1004,$A490,'AFA Rates'!$B$5:$B$1004,F$23,'AFA Rates'!$O$5:$O$1004,"&lt;&gt;Expired")&gt;0,"✓",IF(COUNTIFS('AFA Rates'!$A$5:$A$1004,$A490,'AFA Rates'!$B$5:$B$1004,F$23)&gt;0,"Exp","")))</f>
        <v/>
      </c>
      <c r="G490" s="79">
        <f>IF(OR($A490="",G$23=""),"",IF(COUNTIFS('AFA Rates'!$A$5:$A$1004,$A490,'AFA Rates'!$B$5:$B$1004,G$23,'AFA Rates'!$O$5:$O$1004,"&lt;&gt;Expired")&gt;0,"✓",IF(COUNTIFS('AFA Rates'!$A$5:$A$1004,$A490,'AFA Rates'!$B$5:$B$1004,G$23)&gt;0,"Exp","")))</f>
        <v/>
      </c>
      <c r="H490" s="79">
        <f>IF(OR($A490="",H$23=""),"",IF(COUNTIFS('AFA Rates'!$A$5:$A$1004,$A490,'AFA Rates'!$B$5:$B$1004,H$23,'AFA Rates'!$O$5:$O$1004,"&lt;&gt;Expired")&gt;0,"✓",IF(COUNTIFS('AFA Rates'!$A$5:$A$1004,$A490,'AFA Rates'!$B$5:$B$1004,H$23)&gt;0,"Exp","")))</f>
        <v/>
      </c>
      <c r="I490" s="79">
        <f>IF(OR($A490="",I$23=""),"",IF(COUNTIFS('AFA Rates'!$A$5:$A$1004,$A490,'AFA Rates'!$B$5:$B$1004,I$23,'AFA Rates'!$O$5:$O$1004,"&lt;&gt;Expired")&gt;0,"✓",IF(COUNTIFS('AFA Rates'!$A$5:$A$1004,$A490,'AFA Rates'!$B$5:$B$1004,I$23)&gt;0,"Exp","")))</f>
        <v/>
      </c>
      <c r="J490" s="79">
        <f>IF(OR($A490="",J$23=""),"",IF(COUNTIFS('AFA Rates'!$A$5:$A$1004,$A490,'AFA Rates'!$B$5:$B$1004,J$23,'AFA Rates'!$O$5:$O$1004,"&lt;&gt;Expired")&gt;0,"✓",IF(COUNTIFS('AFA Rates'!$A$5:$A$1004,$A490,'AFA Rates'!$B$5:$B$1004,J$23)&gt;0,"Exp","")))</f>
        <v/>
      </c>
      <c r="K490" s="79">
        <f>IF(OR($A490="",K$23=""),"",IF(COUNTIFS('AFA Rates'!$A$5:$A$1004,$A490,'AFA Rates'!$B$5:$B$1004,K$23,'AFA Rates'!$O$5:$O$1004,"&lt;&gt;Expired")&gt;0,"✓",IF(COUNTIFS('AFA Rates'!$A$5:$A$1004,$A490,'AFA Rates'!$B$5:$B$1004,K$23)&gt;0,"Exp","")))</f>
        <v/>
      </c>
      <c r="L490" s="79">
        <f>IF(OR($A490="",L$23=""),"",IF(COUNTIFS('AFA Rates'!$A$5:$A$1004,$A490,'AFA Rates'!$B$5:$B$1004,L$23,'AFA Rates'!$O$5:$O$1004,"&lt;&gt;Expired")&gt;0,"✓",IF(COUNTIFS('AFA Rates'!$A$5:$A$1004,$A490,'AFA Rates'!$B$5:$B$1004,L$23)&gt;0,"Exp","")))</f>
        <v/>
      </c>
      <c r="M490" s="79">
        <f>IF(OR($A490="",M$23=""),"",IF(COUNTIFS('AFA Rates'!$A$5:$A$1004,$A490,'AFA Rates'!$B$5:$B$1004,M$23,'AFA Rates'!$O$5:$O$1004,"&lt;&gt;Expired")&gt;0,"✓",IF(COUNTIFS('AFA Rates'!$A$5:$A$1004,$A490,'AFA Rates'!$B$5:$B$1004,M$23)&gt;0,"Exp","")))</f>
        <v/>
      </c>
    </row>
    <row r="491">
      <c r="A491" s="78">
        <f>IFERROR(INDEX(Firms!$A$5:$A$1004,MATCH(468,Firms!$V$5:$V$1004,0)),"")</f>
        <v/>
      </c>
      <c r="B491" s="79">
        <f>IF($A491="","",INDEX(Firms!$B$5:$B$1004,MATCH(468,Firms!$V$5:$V$1004,0)))</f>
        <v/>
      </c>
      <c r="C491" s="79">
        <f>IF($A491="","",COUNTIFS('AFA Rates'!$A$5:$A$1004,$A491,'AFA Rates'!$O$5:$O$1004,"&lt;&gt;Expired"))</f>
        <v/>
      </c>
      <c r="D491" s="79">
        <f>IF(OR($A491="",D$23=""),"",IF(COUNTIFS('AFA Rates'!$A$5:$A$1004,$A491,'AFA Rates'!$B$5:$B$1004,D$23,'AFA Rates'!$O$5:$O$1004,"&lt;&gt;Expired")&gt;0,"✓",IF(COUNTIFS('AFA Rates'!$A$5:$A$1004,$A491,'AFA Rates'!$B$5:$B$1004,D$23)&gt;0,"Exp","")))</f>
        <v/>
      </c>
      <c r="E491" s="79">
        <f>IF(OR($A491="",E$23=""),"",IF(COUNTIFS('AFA Rates'!$A$5:$A$1004,$A491,'AFA Rates'!$B$5:$B$1004,E$23,'AFA Rates'!$O$5:$O$1004,"&lt;&gt;Expired")&gt;0,"✓",IF(COUNTIFS('AFA Rates'!$A$5:$A$1004,$A491,'AFA Rates'!$B$5:$B$1004,E$23)&gt;0,"Exp","")))</f>
        <v/>
      </c>
      <c r="F491" s="79">
        <f>IF(OR($A491="",F$23=""),"",IF(COUNTIFS('AFA Rates'!$A$5:$A$1004,$A491,'AFA Rates'!$B$5:$B$1004,F$23,'AFA Rates'!$O$5:$O$1004,"&lt;&gt;Expired")&gt;0,"✓",IF(COUNTIFS('AFA Rates'!$A$5:$A$1004,$A491,'AFA Rates'!$B$5:$B$1004,F$23)&gt;0,"Exp","")))</f>
        <v/>
      </c>
      <c r="G491" s="79">
        <f>IF(OR($A491="",G$23=""),"",IF(COUNTIFS('AFA Rates'!$A$5:$A$1004,$A491,'AFA Rates'!$B$5:$B$1004,G$23,'AFA Rates'!$O$5:$O$1004,"&lt;&gt;Expired")&gt;0,"✓",IF(COUNTIFS('AFA Rates'!$A$5:$A$1004,$A491,'AFA Rates'!$B$5:$B$1004,G$23)&gt;0,"Exp","")))</f>
        <v/>
      </c>
      <c r="H491" s="79">
        <f>IF(OR($A491="",H$23=""),"",IF(COUNTIFS('AFA Rates'!$A$5:$A$1004,$A491,'AFA Rates'!$B$5:$B$1004,H$23,'AFA Rates'!$O$5:$O$1004,"&lt;&gt;Expired")&gt;0,"✓",IF(COUNTIFS('AFA Rates'!$A$5:$A$1004,$A491,'AFA Rates'!$B$5:$B$1004,H$23)&gt;0,"Exp","")))</f>
        <v/>
      </c>
      <c r="I491" s="79">
        <f>IF(OR($A491="",I$23=""),"",IF(COUNTIFS('AFA Rates'!$A$5:$A$1004,$A491,'AFA Rates'!$B$5:$B$1004,I$23,'AFA Rates'!$O$5:$O$1004,"&lt;&gt;Expired")&gt;0,"✓",IF(COUNTIFS('AFA Rates'!$A$5:$A$1004,$A491,'AFA Rates'!$B$5:$B$1004,I$23)&gt;0,"Exp","")))</f>
        <v/>
      </c>
      <c r="J491" s="79">
        <f>IF(OR($A491="",J$23=""),"",IF(COUNTIFS('AFA Rates'!$A$5:$A$1004,$A491,'AFA Rates'!$B$5:$B$1004,J$23,'AFA Rates'!$O$5:$O$1004,"&lt;&gt;Expired")&gt;0,"✓",IF(COUNTIFS('AFA Rates'!$A$5:$A$1004,$A491,'AFA Rates'!$B$5:$B$1004,J$23)&gt;0,"Exp","")))</f>
        <v/>
      </c>
      <c r="K491" s="79">
        <f>IF(OR($A491="",K$23=""),"",IF(COUNTIFS('AFA Rates'!$A$5:$A$1004,$A491,'AFA Rates'!$B$5:$B$1004,K$23,'AFA Rates'!$O$5:$O$1004,"&lt;&gt;Expired")&gt;0,"✓",IF(COUNTIFS('AFA Rates'!$A$5:$A$1004,$A491,'AFA Rates'!$B$5:$B$1004,K$23)&gt;0,"Exp","")))</f>
        <v/>
      </c>
      <c r="L491" s="79">
        <f>IF(OR($A491="",L$23=""),"",IF(COUNTIFS('AFA Rates'!$A$5:$A$1004,$A491,'AFA Rates'!$B$5:$B$1004,L$23,'AFA Rates'!$O$5:$O$1004,"&lt;&gt;Expired")&gt;0,"✓",IF(COUNTIFS('AFA Rates'!$A$5:$A$1004,$A491,'AFA Rates'!$B$5:$B$1004,L$23)&gt;0,"Exp","")))</f>
        <v/>
      </c>
      <c r="M491" s="79">
        <f>IF(OR($A491="",M$23=""),"",IF(COUNTIFS('AFA Rates'!$A$5:$A$1004,$A491,'AFA Rates'!$B$5:$B$1004,M$23,'AFA Rates'!$O$5:$O$1004,"&lt;&gt;Expired")&gt;0,"✓",IF(COUNTIFS('AFA Rates'!$A$5:$A$1004,$A491,'AFA Rates'!$B$5:$B$1004,M$23)&gt;0,"Exp","")))</f>
        <v/>
      </c>
    </row>
    <row r="492">
      <c r="A492" s="78">
        <f>IFERROR(INDEX(Firms!$A$5:$A$1004,MATCH(469,Firms!$V$5:$V$1004,0)),"")</f>
        <v/>
      </c>
      <c r="B492" s="79">
        <f>IF($A492="","",INDEX(Firms!$B$5:$B$1004,MATCH(469,Firms!$V$5:$V$1004,0)))</f>
        <v/>
      </c>
      <c r="C492" s="79">
        <f>IF($A492="","",COUNTIFS('AFA Rates'!$A$5:$A$1004,$A492,'AFA Rates'!$O$5:$O$1004,"&lt;&gt;Expired"))</f>
        <v/>
      </c>
      <c r="D492" s="79">
        <f>IF(OR($A492="",D$23=""),"",IF(COUNTIFS('AFA Rates'!$A$5:$A$1004,$A492,'AFA Rates'!$B$5:$B$1004,D$23,'AFA Rates'!$O$5:$O$1004,"&lt;&gt;Expired")&gt;0,"✓",IF(COUNTIFS('AFA Rates'!$A$5:$A$1004,$A492,'AFA Rates'!$B$5:$B$1004,D$23)&gt;0,"Exp","")))</f>
        <v/>
      </c>
      <c r="E492" s="79">
        <f>IF(OR($A492="",E$23=""),"",IF(COUNTIFS('AFA Rates'!$A$5:$A$1004,$A492,'AFA Rates'!$B$5:$B$1004,E$23,'AFA Rates'!$O$5:$O$1004,"&lt;&gt;Expired")&gt;0,"✓",IF(COUNTIFS('AFA Rates'!$A$5:$A$1004,$A492,'AFA Rates'!$B$5:$B$1004,E$23)&gt;0,"Exp","")))</f>
        <v/>
      </c>
      <c r="F492" s="79">
        <f>IF(OR($A492="",F$23=""),"",IF(COUNTIFS('AFA Rates'!$A$5:$A$1004,$A492,'AFA Rates'!$B$5:$B$1004,F$23,'AFA Rates'!$O$5:$O$1004,"&lt;&gt;Expired")&gt;0,"✓",IF(COUNTIFS('AFA Rates'!$A$5:$A$1004,$A492,'AFA Rates'!$B$5:$B$1004,F$23)&gt;0,"Exp","")))</f>
        <v/>
      </c>
      <c r="G492" s="79">
        <f>IF(OR($A492="",G$23=""),"",IF(COUNTIFS('AFA Rates'!$A$5:$A$1004,$A492,'AFA Rates'!$B$5:$B$1004,G$23,'AFA Rates'!$O$5:$O$1004,"&lt;&gt;Expired")&gt;0,"✓",IF(COUNTIFS('AFA Rates'!$A$5:$A$1004,$A492,'AFA Rates'!$B$5:$B$1004,G$23)&gt;0,"Exp","")))</f>
        <v/>
      </c>
      <c r="H492" s="79">
        <f>IF(OR($A492="",H$23=""),"",IF(COUNTIFS('AFA Rates'!$A$5:$A$1004,$A492,'AFA Rates'!$B$5:$B$1004,H$23,'AFA Rates'!$O$5:$O$1004,"&lt;&gt;Expired")&gt;0,"✓",IF(COUNTIFS('AFA Rates'!$A$5:$A$1004,$A492,'AFA Rates'!$B$5:$B$1004,H$23)&gt;0,"Exp","")))</f>
        <v/>
      </c>
      <c r="I492" s="79">
        <f>IF(OR($A492="",I$23=""),"",IF(COUNTIFS('AFA Rates'!$A$5:$A$1004,$A492,'AFA Rates'!$B$5:$B$1004,I$23,'AFA Rates'!$O$5:$O$1004,"&lt;&gt;Expired")&gt;0,"✓",IF(COUNTIFS('AFA Rates'!$A$5:$A$1004,$A492,'AFA Rates'!$B$5:$B$1004,I$23)&gt;0,"Exp","")))</f>
        <v/>
      </c>
      <c r="J492" s="79">
        <f>IF(OR($A492="",J$23=""),"",IF(COUNTIFS('AFA Rates'!$A$5:$A$1004,$A492,'AFA Rates'!$B$5:$B$1004,J$23,'AFA Rates'!$O$5:$O$1004,"&lt;&gt;Expired")&gt;0,"✓",IF(COUNTIFS('AFA Rates'!$A$5:$A$1004,$A492,'AFA Rates'!$B$5:$B$1004,J$23)&gt;0,"Exp","")))</f>
        <v/>
      </c>
      <c r="K492" s="79">
        <f>IF(OR($A492="",K$23=""),"",IF(COUNTIFS('AFA Rates'!$A$5:$A$1004,$A492,'AFA Rates'!$B$5:$B$1004,K$23,'AFA Rates'!$O$5:$O$1004,"&lt;&gt;Expired")&gt;0,"✓",IF(COUNTIFS('AFA Rates'!$A$5:$A$1004,$A492,'AFA Rates'!$B$5:$B$1004,K$23)&gt;0,"Exp","")))</f>
        <v/>
      </c>
      <c r="L492" s="79">
        <f>IF(OR($A492="",L$23=""),"",IF(COUNTIFS('AFA Rates'!$A$5:$A$1004,$A492,'AFA Rates'!$B$5:$B$1004,L$23,'AFA Rates'!$O$5:$O$1004,"&lt;&gt;Expired")&gt;0,"✓",IF(COUNTIFS('AFA Rates'!$A$5:$A$1004,$A492,'AFA Rates'!$B$5:$B$1004,L$23)&gt;0,"Exp","")))</f>
        <v/>
      </c>
      <c r="M492" s="79">
        <f>IF(OR($A492="",M$23=""),"",IF(COUNTIFS('AFA Rates'!$A$5:$A$1004,$A492,'AFA Rates'!$B$5:$B$1004,M$23,'AFA Rates'!$O$5:$O$1004,"&lt;&gt;Expired")&gt;0,"✓",IF(COUNTIFS('AFA Rates'!$A$5:$A$1004,$A492,'AFA Rates'!$B$5:$B$1004,M$23)&gt;0,"Exp","")))</f>
        <v/>
      </c>
    </row>
    <row r="493">
      <c r="A493" s="78">
        <f>IFERROR(INDEX(Firms!$A$5:$A$1004,MATCH(470,Firms!$V$5:$V$1004,0)),"")</f>
        <v/>
      </c>
      <c r="B493" s="79">
        <f>IF($A493="","",INDEX(Firms!$B$5:$B$1004,MATCH(470,Firms!$V$5:$V$1004,0)))</f>
        <v/>
      </c>
      <c r="C493" s="79">
        <f>IF($A493="","",COUNTIFS('AFA Rates'!$A$5:$A$1004,$A493,'AFA Rates'!$O$5:$O$1004,"&lt;&gt;Expired"))</f>
        <v/>
      </c>
      <c r="D493" s="79">
        <f>IF(OR($A493="",D$23=""),"",IF(COUNTIFS('AFA Rates'!$A$5:$A$1004,$A493,'AFA Rates'!$B$5:$B$1004,D$23,'AFA Rates'!$O$5:$O$1004,"&lt;&gt;Expired")&gt;0,"✓",IF(COUNTIFS('AFA Rates'!$A$5:$A$1004,$A493,'AFA Rates'!$B$5:$B$1004,D$23)&gt;0,"Exp","")))</f>
        <v/>
      </c>
      <c r="E493" s="79">
        <f>IF(OR($A493="",E$23=""),"",IF(COUNTIFS('AFA Rates'!$A$5:$A$1004,$A493,'AFA Rates'!$B$5:$B$1004,E$23,'AFA Rates'!$O$5:$O$1004,"&lt;&gt;Expired")&gt;0,"✓",IF(COUNTIFS('AFA Rates'!$A$5:$A$1004,$A493,'AFA Rates'!$B$5:$B$1004,E$23)&gt;0,"Exp","")))</f>
        <v/>
      </c>
      <c r="F493" s="79">
        <f>IF(OR($A493="",F$23=""),"",IF(COUNTIFS('AFA Rates'!$A$5:$A$1004,$A493,'AFA Rates'!$B$5:$B$1004,F$23,'AFA Rates'!$O$5:$O$1004,"&lt;&gt;Expired")&gt;0,"✓",IF(COUNTIFS('AFA Rates'!$A$5:$A$1004,$A493,'AFA Rates'!$B$5:$B$1004,F$23)&gt;0,"Exp","")))</f>
        <v/>
      </c>
      <c r="G493" s="79">
        <f>IF(OR($A493="",G$23=""),"",IF(COUNTIFS('AFA Rates'!$A$5:$A$1004,$A493,'AFA Rates'!$B$5:$B$1004,G$23,'AFA Rates'!$O$5:$O$1004,"&lt;&gt;Expired")&gt;0,"✓",IF(COUNTIFS('AFA Rates'!$A$5:$A$1004,$A493,'AFA Rates'!$B$5:$B$1004,G$23)&gt;0,"Exp","")))</f>
        <v/>
      </c>
      <c r="H493" s="79">
        <f>IF(OR($A493="",H$23=""),"",IF(COUNTIFS('AFA Rates'!$A$5:$A$1004,$A493,'AFA Rates'!$B$5:$B$1004,H$23,'AFA Rates'!$O$5:$O$1004,"&lt;&gt;Expired")&gt;0,"✓",IF(COUNTIFS('AFA Rates'!$A$5:$A$1004,$A493,'AFA Rates'!$B$5:$B$1004,H$23)&gt;0,"Exp","")))</f>
        <v/>
      </c>
      <c r="I493" s="79">
        <f>IF(OR($A493="",I$23=""),"",IF(COUNTIFS('AFA Rates'!$A$5:$A$1004,$A493,'AFA Rates'!$B$5:$B$1004,I$23,'AFA Rates'!$O$5:$O$1004,"&lt;&gt;Expired")&gt;0,"✓",IF(COUNTIFS('AFA Rates'!$A$5:$A$1004,$A493,'AFA Rates'!$B$5:$B$1004,I$23)&gt;0,"Exp","")))</f>
        <v/>
      </c>
      <c r="J493" s="79">
        <f>IF(OR($A493="",J$23=""),"",IF(COUNTIFS('AFA Rates'!$A$5:$A$1004,$A493,'AFA Rates'!$B$5:$B$1004,J$23,'AFA Rates'!$O$5:$O$1004,"&lt;&gt;Expired")&gt;0,"✓",IF(COUNTIFS('AFA Rates'!$A$5:$A$1004,$A493,'AFA Rates'!$B$5:$B$1004,J$23)&gt;0,"Exp","")))</f>
        <v/>
      </c>
      <c r="K493" s="79">
        <f>IF(OR($A493="",K$23=""),"",IF(COUNTIFS('AFA Rates'!$A$5:$A$1004,$A493,'AFA Rates'!$B$5:$B$1004,K$23,'AFA Rates'!$O$5:$O$1004,"&lt;&gt;Expired")&gt;0,"✓",IF(COUNTIFS('AFA Rates'!$A$5:$A$1004,$A493,'AFA Rates'!$B$5:$B$1004,K$23)&gt;0,"Exp","")))</f>
        <v/>
      </c>
      <c r="L493" s="79">
        <f>IF(OR($A493="",L$23=""),"",IF(COUNTIFS('AFA Rates'!$A$5:$A$1004,$A493,'AFA Rates'!$B$5:$B$1004,L$23,'AFA Rates'!$O$5:$O$1004,"&lt;&gt;Expired")&gt;0,"✓",IF(COUNTIFS('AFA Rates'!$A$5:$A$1004,$A493,'AFA Rates'!$B$5:$B$1004,L$23)&gt;0,"Exp","")))</f>
        <v/>
      </c>
      <c r="M493" s="79">
        <f>IF(OR($A493="",M$23=""),"",IF(COUNTIFS('AFA Rates'!$A$5:$A$1004,$A493,'AFA Rates'!$B$5:$B$1004,M$23,'AFA Rates'!$O$5:$O$1004,"&lt;&gt;Expired")&gt;0,"✓",IF(COUNTIFS('AFA Rates'!$A$5:$A$1004,$A493,'AFA Rates'!$B$5:$B$1004,M$23)&gt;0,"Exp","")))</f>
        <v/>
      </c>
    </row>
    <row r="494">
      <c r="A494" s="78">
        <f>IFERROR(INDEX(Firms!$A$5:$A$1004,MATCH(471,Firms!$V$5:$V$1004,0)),"")</f>
        <v/>
      </c>
      <c r="B494" s="79">
        <f>IF($A494="","",INDEX(Firms!$B$5:$B$1004,MATCH(471,Firms!$V$5:$V$1004,0)))</f>
        <v/>
      </c>
      <c r="C494" s="79">
        <f>IF($A494="","",COUNTIFS('AFA Rates'!$A$5:$A$1004,$A494,'AFA Rates'!$O$5:$O$1004,"&lt;&gt;Expired"))</f>
        <v/>
      </c>
      <c r="D494" s="79">
        <f>IF(OR($A494="",D$23=""),"",IF(COUNTIFS('AFA Rates'!$A$5:$A$1004,$A494,'AFA Rates'!$B$5:$B$1004,D$23,'AFA Rates'!$O$5:$O$1004,"&lt;&gt;Expired")&gt;0,"✓",IF(COUNTIFS('AFA Rates'!$A$5:$A$1004,$A494,'AFA Rates'!$B$5:$B$1004,D$23)&gt;0,"Exp","")))</f>
        <v/>
      </c>
      <c r="E494" s="79">
        <f>IF(OR($A494="",E$23=""),"",IF(COUNTIFS('AFA Rates'!$A$5:$A$1004,$A494,'AFA Rates'!$B$5:$B$1004,E$23,'AFA Rates'!$O$5:$O$1004,"&lt;&gt;Expired")&gt;0,"✓",IF(COUNTIFS('AFA Rates'!$A$5:$A$1004,$A494,'AFA Rates'!$B$5:$B$1004,E$23)&gt;0,"Exp","")))</f>
        <v/>
      </c>
      <c r="F494" s="79">
        <f>IF(OR($A494="",F$23=""),"",IF(COUNTIFS('AFA Rates'!$A$5:$A$1004,$A494,'AFA Rates'!$B$5:$B$1004,F$23,'AFA Rates'!$O$5:$O$1004,"&lt;&gt;Expired")&gt;0,"✓",IF(COUNTIFS('AFA Rates'!$A$5:$A$1004,$A494,'AFA Rates'!$B$5:$B$1004,F$23)&gt;0,"Exp","")))</f>
        <v/>
      </c>
      <c r="G494" s="79">
        <f>IF(OR($A494="",G$23=""),"",IF(COUNTIFS('AFA Rates'!$A$5:$A$1004,$A494,'AFA Rates'!$B$5:$B$1004,G$23,'AFA Rates'!$O$5:$O$1004,"&lt;&gt;Expired")&gt;0,"✓",IF(COUNTIFS('AFA Rates'!$A$5:$A$1004,$A494,'AFA Rates'!$B$5:$B$1004,G$23)&gt;0,"Exp","")))</f>
        <v/>
      </c>
      <c r="H494" s="79">
        <f>IF(OR($A494="",H$23=""),"",IF(COUNTIFS('AFA Rates'!$A$5:$A$1004,$A494,'AFA Rates'!$B$5:$B$1004,H$23,'AFA Rates'!$O$5:$O$1004,"&lt;&gt;Expired")&gt;0,"✓",IF(COUNTIFS('AFA Rates'!$A$5:$A$1004,$A494,'AFA Rates'!$B$5:$B$1004,H$23)&gt;0,"Exp","")))</f>
        <v/>
      </c>
      <c r="I494" s="79">
        <f>IF(OR($A494="",I$23=""),"",IF(COUNTIFS('AFA Rates'!$A$5:$A$1004,$A494,'AFA Rates'!$B$5:$B$1004,I$23,'AFA Rates'!$O$5:$O$1004,"&lt;&gt;Expired")&gt;0,"✓",IF(COUNTIFS('AFA Rates'!$A$5:$A$1004,$A494,'AFA Rates'!$B$5:$B$1004,I$23)&gt;0,"Exp","")))</f>
        <v/>
      </c>
      <c r="J494" s="79">
        <f>IF(OR($A494="",J$23=""),"",IF(COUNTIFS('AFA Rates'!$A$5:$A$1004,$A494,'AFA Rates'!$B$5:$B$1004,J$23,'AFA Rates'!$O$5:$O$1004,"&lt;&gt;Expired")&gt;0,"✓",IF(COUNTIFS('AFA Rates'!$A$5:$A$1004,$A494,'AFA Rates'!$B$5:$B$1004,J$23)&gt;0,"Exp","")))</f>
        <v/>
      </c>
      <c r="K494" s="79">
        <f>IF(OR($A494="",K$23=""),"",IF(COUNTIFS('AFA Rates'!$A$5:$A$1004,$A494,'AFA Rates'!$B$5:$B$1004,K$23,'AFA Rates'!$O$5:$O$1004,"&lt;&gt;Expired")&gt;0,"✓",IF(COUNTIFS('AFA Rates'!$A$5:$A$1004,$A494,'AFA Rates'!$B$5:$B$1004,K$23)&gt;0,"Exp","")))</f>
        <v/>
      </c>
      <c r="L494" s="79">
        <f>IF(OR($A494="",L$23=""),"",IF(COUNTIFS('AFA Rates'!$A$5:$A$1004,$A494,'AFA Rates'!$B$5:$B$1004,L$23,'AFA Rates'!$O$5:$O$1004,"&lt;&gt;Expired")&gt;0,"✓",IF(COUNTIFS('AFA Rates'!$A$5:$A$1004,$A494,'AFA Rates'!$B$5:$B$1004,L$23)&gt;0,"Exp","")))</f>
        <v/>
      </c>
      <c r="M494" s="79">
        <f>IF(OR($A494="",M$23=""),"",IF(COUNTIFS('AFA Rates'!$A$5:$A$1004,$A494,'AFA Rates'!$B$5:$B$1004,M$23,'AFA Rates'!$O$5:$O$1004,"&lt;&gt;Expired")&gt;0,"✓",IF(COUNTIFS('AFA Rates'!$A$5:$A$1004,$A494,'AFA Rates'!$B$5:$B$1004,M$23)&gt;0,"Exp","")))</f>
        <v/>
      </c>
    </row>
    <row r="495">
      <c r="A495" s="78">
        <f>IFERROR(INDEX(Firms!$A$5:$A$1004,MATCH(472,Firms!$V$5:$V$1004,0)),"")</f>
        <v/>
      </c>
      <c r="B495" s="79">
        <f>IF($A495="","",INDEX(Firms!$B$5:$B$1004,MATCH(472,Firms!$V$5:$V$1004,0)))</f>
        <v/>
      </c>
      <c r="C495" s="79">
        <f>IF($A495="","",COUNTIFS('AFA Rates'!$A$5:$A$1004,$A495,'AFA Rates'!$O$5:$O$1004,"&lt;&gt;Expired"))</f>
        <v/>
      </c>
      <c r="D495" s="79">
        <f>IF(OR($A495="",D$23=""),"",IF(COUNTIFS('AFA Rates'!$A$5:$A$1004,$A495,'AFA Rates'!$B$5:$B$1004,D$23,'AFA Rates'!$O$5:$O$1004,"&lt;&gt;Expired")&gt;0,"✓",IF(COUNTIFS('AFA Rates'!$A$5:$A$1004,$A495,'AFA Rates'!$B$5:$B$1004,D$23)&gt;0,"Exp","")))</f>
        <v/>
      </c>
      <c r="E495" s="79">
        <f>IF(OR($A495="",E$23=""),"",IF(COUNTIFS('AFA Rates'!$A$5:$A$1004,$A495,'AFA Rates'!$B$5:$B$1004,E$23,'AFA Rates'!$O$5:$O$1004,"&lt;&gt;Expired")&gt;0,"✓",IF(COUNTIFS('AFA Rates'!$A$5:$A$1004,$A495,'AFA Rates'!$B$5:$B$1004,E$23)&gt;0,"Exp","")))</f>
        <v/>
      </c>
      <c r="F495" s="79">
        <f>IF(OR($A495="",F$23=""),"",IF(COUNTIFS('AFA Rates'!$A$5:$A$1004,$A495,'AFA Rates'!$B$5:$B$1004,F$23,'AFA Rates'!$O$5:$O$1004,"&lt;&gt;Expired")&gt;0,"✓",IF(COUNTIFS('AFA Rates'!$A$5:$A$1004,$A495,'AFA Rates'!$B$5:$B$1004,F$23)&gt;0,"Exp","")))</f>
        <v/>
      </c>
      <c r="G495" s="79">
        <f>IF(OR($A495="",G$23=""),"",IF(COUNTIFS('AFA Rates'!$A$5:$A$1004,$A495,'AFA Rates'!$B$5:$B$1004,G$23,'AFA Rates'!$O$5:$O$1004,"&lt;&gt;Expired")&gt;0,"✓",IF(COUNTIFS('AFA Rates'!$A$5:$A$1004,$A495,'AFA Rates'!$B$5:$B$1004,G$23)&gt;0,"Exp","")))</f>
        <v/>
      </c>
      <c r="H495" s="79">
        <f>IF(OR($A495="",H$23=""),"",IF(COUNTIFS('AFA Rates'!$A$5:$A$1004,$A495,'AFA Rates'!$B$5:$B$1004,H$23,'AFA Rates'!$O$5:$O$1004,"&lt;&gt;Expired")&gt;0,"✓",IF(COUNTIFS('AFA Rates'!$A$5:$A$1004,$A495,'AFA Rates'!$B$5:$B$1004,H$23)&gt;0,"Exp","")))</f>
        <v/>
      </c>
      <c r="I495" s="79">
        <f>IF(OR($A495="",I$23=""),"",IF(COUNTIFS('AFA Rates'!$A$5:$A$1004,$A495,'AFA Rates'!$B$5:$B$1004,I$23,'AFA Rates'!$O$5:$O$1004,"&lt;&gt;Expired")&gt;0,"✓",IF(COUNTIFS('AFA Rates'!$A$5:$A$1004,$A495,'AFA Rates'!$B$5:$B$1004,I$23)&gt;0,"Exp","")))</f>
        <v/>
      </c>
      <c r="J495" s="79">
        <f>IF(OR($A495="",J$23=""),"",IF(COUNTIFS('AFA Rates'!$A$5:$A$1004,$A495,'AFA Rates'!$B$5:$B$1004,J$23,'AFA Rates'!$O$5:$O$1004,"&lt;&gt;Expired")&gt;0,"✓",IF(COUNTIFS('AFA Rates'!$A$5:$A$1004,$A495,'AFA Rates'!$B$5:$B$1004,J$23)&gt;0,"Exp","")))</f>
        <v/>
      </c>
      <c r="K495" s="79">
        <f>IF(OR($A495="",K$23=""),"",IF(COUNTIFS('AFA Rates'!$A$5:$A$1004,$A495,'AFA Rates'!$B$5:$B$1004,K$23,'AFA Rates'!$O$5:$O$1004,"&lt;&gt;Expired")&gt;0,"✓",IF(COUNTIFS('AFA Rates'!$A$5:$A$1004,$A495,'AFA Rates'!$B$5:$B$1004,K$23)&gt;0,"Exp","")))</f>
        <v/>
      </c>
      <c r="L495" s="79">
        <f>IF(OR($A495="",L$23=""),"",IF(COUNTIFS('AFA Rates'!$A$5:$A$1004,$A495,'AFA Rates'!$B$5:$B$1004,L$23,'AFA Rates'!$O$5:$O$1004,"&lt;&gt;Expired")&gt;0,"✓",IF(COUNTIFS('AFA Rates'!$A$5:$A$1004,$A495,'AFA Rates'!$B$5:$B$1004,L$23)&gt;0,"Exp","")))</f>
        <v/>
      </c>
      <c r="M495" s="79">
        <f>IF(OR($A495="",M$23=""),"",IF(COUNTIFS('AFA Rates'!$A$5:$A$1004,$A495,'AFA Rates'!$B$5:$B$1004,M$23,'AFA Rates'!$O$5:$O$1004,"&lt;&gt;Expired")&gt;0,"✓",IF(COUNTIFS('AFA Rates'!$A$5:$A$1004,$A495,'AFA Rates'!$B$5:$B$1004,M$23)&gt;0,"Exp","")))</f>
        <v/>
      </c>
    </row>
    <row r="496">
      <c r="A496" s="78">
        <f>IFERROR(INDEX(Firms!$A$5:$A$1004,MATCH(473,Firms!$V$5:$V$1004,0)),"")</f>
        <v/>
      </c>
      <c r="B496" s="79">
        <f>IF($A496="","",INDEX(Firms!$B$5:$B$1004,MATCH(473,Firms!$V$5:$V$1004,0)))</f>
        <v/>
      </c>
      <c r="C496" s="79">
        <f>IF($A496="","",COUNTIFS('AFA Rates'!$A$5:$A$1004,$A496,'AFA Rates'!$O$5:$O$1004,"&lt;&gt;Expired"))</f>
        <v/>
      </c>
      <c r="D496" s="79">
        <f>IF(OR($A496="",D$23=""),"",IF(COUNTIFS('AFA Rates'!$A$5:$A$1004,$A496,'AFA Rates'!$B$5:$B$1004,D$23,'AFA Rates'!$O$5:$O$1004,"&lt;&gt;Expired")&gt;0,"✓",IF(COUNTIFS('AFA Rates'!$A$5:$A$1004,$A496,'AFA Rates'!$B$5:$B$1004,D$23)&gt;0,"Exp","")))</f>
        <v/>
      </c>
      <c r="E496" s="79">
        <f>IF(OR($A496="",E$23=""),"",IF(COUNTIFS('AFA Rates'!$A$5:$A$1004,$A496,'AFA Rates'!$B$5:$B$1004,E$23,'AFA Rates'!$O$5:$O$1004,"&lt;&gt;Expired")&gt;0,"✓",IF(COUNTIFS('AFA Rates'!$A$5:$A$1004,$A496,'AFA Rates'!$B$5:$B$1004,E$23)&gt;0,"Exp","")))</f>
        <v/>
      </c>
      <c r="F496" s="79">
        <f>IF(OR($A496="",F$23=""),"",IF(COUNTIFS('AFA Rates'!$A$5:$A$1004,$A496,'AFA Rates'!$B$5:$B$1004,F$23,'AFA Rates'!$O$5:$O$1004,"&lt;&gt;Expired")&gt;0,"✓",IF(COUNTIFS('AFA Rates'!$A$5:$A$1004,$A496,'AFA Rates'!$B$5:$B$1004,F$23)&gt;0,"Exp","")))</f>
        <v/>
      </c>
      <c r="G496" s="79">
        <f>IF(OR($A496="",G$23=""),"",IF(COUNTIFS('AFA Rates'!$A$5:$A$1004,$A496,'AFA Rates'!$B$5:$B$1004,G$23,'AFA Rates'!$O$5:$O$1004,"&lt;&gt;Expired")&gt;0,"✓",IF(COUNTIFS('AFA Rates'!$A$5:$A$1004,$A496,'AFA Rates'!$B$5:$B$1004,G$23)&gt;0,"Exp","")))</f>
        <v/>
      </c>
      <c r="H496" s="79">
        <f>IF(OR($A496="",H$23=""),"",IF(COUNTIFS('AFA Rates'!$A$5:$A$1004,$A496,'AFA Rates'!$B$5:$B$1004,H$23,'AFA Rates'!$O$5:$O$1004,"&lt;&gt;Expired")&gt;0,"✓",IF(COUNTIFS('AFA Rates'!$A$5:$A$1004,$A496,'AFA Rates'!$B$5:$B$1004,H$23)&gt;0,"Exp","")))</f>
        <v/>
      </c>
      <c r="I496" s="79">
        <f>IF(OR($A496="",I$23=""),"",IF(COUNTIFS('AFA Rates'!$A$5:$A$1004,$A496,'AFA Rates'!$B$5:$B$1004,I$23,'AFA Rates'!$O$5:$O$1004,"&lt;&gt;Expired")&gt;0,"✓",IF(COUNTIFS('AFA Rates'!$A$5:$A$1004,$A496,'AFA Rates'!$B$5:$B$1004,I$23)&gt;0,"Exp","")))</f>
        <v/>
      </c>
      <c r="J496" s="79">
        <f>IF(OR($A496="",J$23=""),"",IF(COUNTIFS('AFA Rates'!$A$5:$A$1004,$A496,'AFA Rates'!$B$5:$B$1004,J$23,'AFA Rates'!$O$5:$O$1004,"&lt;&gt;Expired")&gt;0,"✓",IF(COUNTIFS('AFA Rates'!$A$5:$A$1004,$A496,'AFA Rates'!$B$5:$B$1004,J$23)&gt;0,"Exp","")))</f>
        <v/>
      </c>
      <c r="K496" s="79">
        <f>IF(OR($A496="",K$23=""),"",IF(COUNTIFS('AFA Rates'!$A$5:$A$1004,$A496,'AFA Rates'!$B$5:$B$1004,K$23,'AFA Rates'!$O$5:$O$1004,"&lt;&gt;Expired")&gt;0,"✓",IF(COUNTIFS('AFA Rates'!$A$5:$A$1004,$A496,'AFA Rates'!$B$5:$B$1004,K$23)&gt;0,"Exp","")))</f>
        <v/>
      </c>
      <c r="L496" s="79">
        <f>IF(OR($A496="",L$23=""),"",IF(COUNTIFS('AFA Rates'!$A$5:$A$1004,$A496,'AFA Rates'!$B$5:$B$1004,L$23,'AFA Rates'!$O$5:$O$1004,"&lt;&gt;Expired")&gt;0,"✓",IF(COUNTIFS('AFA Rates'!$A$5:$A$1004,$A496,'AFA Rates'!$B$5:$B$1004,L$23)&gt;0,"Exp","")))</f>
        <v/>
      </c>
      <c r="M496" s="79">
        <f>IF(OR($A496="",M$23=""),"",IF(COUNTIFS('AFA Rates'!$A$5:$A$1004,$A496,'AFA Rates'!$B$5:$B$1004,M$23,'AFA Rates'!$O$5:$O$1004,"&lt;&gt;Expired")&gt;0,"✓",IF(COUNTIFS('AFA Rates'!$A$5:$A$1004,$A496,'AFA Rates'!$B$5:$B$1004,M$23)&gt;0,"Exp","")))</f>
        <v/>
      </c>
    </row>
    <row r="497">
      <c r="A497" s="78">
        <f>IFERROR(INDEX(Firms!$A$5:$A$1004,MATCH(474,Firms!$V$5:$V$1004,0)),"")</f>
        <v/>
      </c>
      <c r="B497" s="79">
        <f>IF($A497="","",INDEX(Firms!$B$5:$B$1004,MATCH(474,Firms!$V$5:$V$1004,0)))</f>
        <v/>
      </c>
      <c r="C497" s="79">
        <f>IF($A497="","",COUNTIFS('AFA Rates'!$A$5:$A$1004,$A497,'AFA Rates'!$O$5:$O$1004,"&lt;&gt;Expired"))</f>
        <v/>
      </c>
      <c r="D497" s="79">
        <f>IF(OR($A497="",D$23=""),"",IF(COUNTIFS('AFA Rates'!$A$5:$A$1004,$A497,'AFA Rates'!$B$5:$B$1004,D$23,'AFA Rates'!$O$5:$O$1004,"&lt;&gt;Expired")&gt;0,"✓",IF(COUNTIFS('AFA Rates'!$A$5:$A$1004,$A497,'AFA Rates'!$B$5:$B$1004,D$23)&gt;0,"Exp","")))</f>
        <v/>
      </c>
      <c r="E497" s="79">
        <f>IF(OR($A497="",E$23=""),"",IF(COUNTIFS('AFA Rates'!$A$5:$A$1004,$A497,'AFA Rates'!$B$5:$B$1004,E$23,'AFA Rates'!$O$5:$O$1004,"&lt;&gt;Expired")&gt;0,"✓",IF(COUNTIFS('AFA Rates'!$A$5:$A$1004,$A497,'AFA Rates'!$B$5:$B$1004,E$23)&gt;0,"Exp","")))</f>
        <v/>
      </c>
      <c r="F497" s="79">
        <f>IF(OR($A497="",F$23=""),"",IF(COUNTIFS('AFA Rates'!$A$5:$A$1004,$A497,'AFA Rates'!$B$5:$B$1004,F$23,'AFA Rates'!$O$5:$O$1004,"&lt;&gt;Expired")&gt;0,"✓",IF(COUNTIFS('AFA Rates'!$A$5:$A$1004,$A497,'AFA Rates'!$B$5:$B$1004,F$23)&gt;0,"Exp","")))</f>
        <v/>
      </c>
      <c r="G497" s="79">
        <f>IF(OR($A497="",G$23=""),"",IF(COUNTIFS('AFA Rates'!$A$5:$A$1004,$A497,'AFA Rates'!$B$5:$B$1004,G$23,'AFA Rates'!$O$5:$O$1004,"&lt;&gt;Expired")&gt;0,"✓",IF(COUNTIFS('AFA Rates'!$A$5:$A$1004,$A497,'AFA Rates'!$B$5:$B$1004,G$23)&gt;0,"Exp","")))</f>
        <v/>
      </c>
      <c r="H497" s="79">
        <f>IF(OR($A497="",H$23=""),"",IF(COUNTIFS('AFA Rates'!$A$5:$A$1004,$A497,'AFA Rates'!$B$5:$B$1004,H$23,'AFA Rates'!$O$5:$O$1004,"&lt;&gt;Expired")&gt;0,"✓",IF(COUNTIFS('AFA Rates'!$A$5:$A$1004,$A497,'AFA Rates'!$B$5:$B$1004,H$23)&gt;0,"Exp","")))</f>
        <v/>
      </c>
      <c r="I497" s="79">
        <f>IF(OR($A497="",I$23=""),"",IF(COUNTIFS('AFA Rates'!$A$5:$A$1004,$A497,'AFA Rates'!$B$5:$B$1004,I$23,'AFA Rates'!$O$5:$O$1004,"&lt;&gt;Expired")&gt;0,"✓",IF(COUNTIFS('AFA Rates'!$A$5:$A$1004,$A497,'AFA Rates'!$B$5:$B$1004,I$23)&gt;0,"Exp","")))</f>
        <v/>
      </c>
      <c r="J497" s="79">
        <f>IF(OR($A497="",J$23=""),"",IF(COUNTIFS('AFA Rates'!$A$5:$A$1004,$A497,'AFA Rates'!$B$5:$B$1004,J$23,'AFA Rates'!$O$5:$O$1004,"&lt;&gt;Expired")&gt;0,"✓",IF(COUNTIFS('AFA Rates'!$A$5:$A$1004,$A497,'AFA Rates'!$B$5:$B$1004,J$23)&gt;0,"Exp","")))</f>
        <v/>
      </c>
      <c r="K497" s="79">
        <f>IF(OR($A497="",K$23=""),"",IF(COUNTIFS('AFA Rates'!$A$5:$A$1004,$A497,'AFA Rates'!$B$5:$B$1004,K$23,'AFA Rates'!$O$5:$O$1004,"&lt;&gt;Expired")&gt;0,"✓",IF(COUNTIFS('AFA Rates'!$A$5:$A$1004,$A497,'AFA Rates'!$B$5:$B$1004,K$23)&gt;0,"Exp","")))</f>
        <v/>
      </c>
      <c r="L497" s="79">
        <f>IF(OR($A497="",L$23=""),"",IF(COUNTIFS('AFA Rates'!$A$5:$A$1004,$A497,'AFA Rates'!$B$5:$B$1004,L$23,'AFA Rates'!$O$5:$O$1004,"&lt;&gt;Expired")&gt;0,"✓",IF(COUNTIFS('AFA Rates'!$A$5:$A$1004,$A497,'AFA Rates'!$B$5:$B$1004,L$23)&gt;0,"Exp","")))</f>
        <v/>
      </c>
      <c r="M497" s="79">
        <f>IF(OR($A497="",M$23=""),"",IF(COUNTIFS('AFA Rates'!$A$5:$A$1004,$A497,'AFA Rates'!$B$5:$B$1004,M$23,'AFA Rates'!$O$5:$O$1004,"&lt;&gt;Expired")&gt;0,"✓",IF(COUNTIFS('AFA Rates'!$A$5:$A$1004,$A497,'AFA Rates'!$B$5:$B$1004,M$23)&gt;0,"Exp","")))</f>
        <v/>
      </c>
    </row>
    <row r="498">
      <c r="A498" s="78">
        <f>IFERROR(INDEX(Firms!$A$5:$A$1004,MATCH(475,Firms!$V$5:$V$1004,0)),"")</f>
        <v/>
      </c>
      <c r="B498" s="79">
        <f>IF($A498="","",INDEX(Firms!$B$5:$B$1004,MATCH(475,Firms!$V$5:$V$1004,0)))</f>
        <v/>
      </c>
      <c r="C498" s="79">
        <f>IF($A498="","",COUNTIFS('AFA Rates'!$A$5:$A$1004,$A498,'AFA Rates'!$O$5:$O$1004,"&lt;&gt;Expired"))</f>
        <v/>
      </c>
      <c r="D498" s="79">
        <f>IF(OR($A498="",D$23=""),"",IF(COUNTIFS('AFA Rates'!$A$5:$A$1004,$A498,'AFA Rates'!$B$5:$B$1004,D$23,'AFA Rates'!$O$5:$O$1004,"&lt;&gt;Expired")&gt;0,"✓",IF(COUNTIFS('AFA Rates'!$A$5:$A$1004,$A498,'AFA Rates'!$B$5:$B$1004,D$23)&gt;0,"Exp","")))</f>
        <v/>
      </c>
      <c r="E498" s="79">
        <f>IF(OR($A498="",E$23=""),"",IF(COUNTIFS('AFA Rates'!$A$5:$A$1004,$A498,'AFA Rates'!$B$5:$B$1004,E$23,'AFA Rates'!$O$5:$O$1004,"&lt;&gt;Expired")&gt;0,"✓",IF(COUNTIFS('AFA Rates'!$A$5:$A$1004,$A498,'AFA Rates'!$B$5:$B$1004,E$23)&gt;0,"Exp","")))</f>
        <v/>
      </c>
      <c r="F498" s="79">
        <f>IF(OR($A498="",F$23=""),"",IF(COUNTIFS('AFA Rates'!$A$5:$A$1004,$A498,'AFA Rates'!$B$5:$B$1004,F$23,'AFA Rates'!$O$5:$O$1004,"&lt;&gt;Expired")&gt;0,"✓",IF(COUNTIFS('AFA Rates'!$A$5:$A$1004,$A498,'AFA Rates'!$B$5:$B$1004,F$23)&gt;0,"Exp","")))</f>
        <v/>
      </c>
      <c r="G498" s="79">
        <f>IF(OR($A498="",G$23=""),"",IF(COUNTIFS('AFA Rates'!$A$5:$A$1004,$A498,'AFA Rates'!$B$5:$B$1004,G$23,'AFA Rates'!$O$5:$O$1004,"&lt;&gt;Expired")&gt;0,"✓",IF(COUNTIFS('AFA Rates'!$A$5:$A$1004,$A498,'AFA Rates'!$B$5:$B$1004,G$23)&gt;0,"Exp","")))</f>
        <v/>
      </c>
      <c r="H498" s="79">
        <f>IF(OR($A498="",H$23=""),"",IF(COUNTIFS('AFA Rates'!$A$5:$A$1004,$A498,'AFA Rates'!$B$5:$B$1004,H$23,'AFA Rates'!$O$5:$O$1004,"&lt;&gt;Expired")&gt;0,"✓",IF(COUNTIFS('AFA Rates'!$A$5:$A$1004,$A498,'AFA Rates'!$B$5:$B$1004,H$23)&gt;0,"Exp","")))</f>
        <v/>
      </c>
      <c r="I498" s="79">
        <f>IF(OR($A498="",I$23=""),"",IF(COUNTIFS('AFA Rates'!$A$5:$A$1004,$A498,'AFA Rates'!$B$5:$B$1004,I$23,'AFA Rates'!$O$5:$O$1004,"&lt;&gt;Expired")&gt;0,"✓",IF(COUNTIFS('AFA Rates'!$A$5:$A$1004,$A498,'AFA Rates'!$B$5:$B$1004,I$23)&gt;0,"Exp","")))</f>
        <v/>
      </c>
      <c r="J498" s="79">
        <f>IF(OR($A498="",J$23=""),"",IF(COUNTIFS('AFA Rates'!$A$5:$A$1004,$A498,'AFA Rates'!$B$5:$B$1004,J$23,'AFA Rates'!$O$5:$O$1004,"&lt;&gt;Expired")&gt;0,"✓",IF(COUNTIFS('AFA Rates'!$A$5:$A$1004,$A498,'AFA Rates'!$B$5:$B$1004,J$23)&gt;0,"Exp","")))</f>
        <v/>
      </c>
      <c r="K498" s="79">
        <f>IF(OR($A498="",K$23=""),"",IF(COUNTIFS('AFA Rates'!$A$5:$A$1004,$A498,'AFA Rates'!$B$5:$B$1004,K$23,'AFA Rates'!$O$5:$O$1004,"&lt;&gt;Expired")&gt;0,"✓",IF(COUNTIFS('AFA Rates'!$A$5:$A$1004,$A498,'AFA Rates'!$B$5:$B$1004,K$23)&gt;0,"Exp","")))</f>
        <v/>
      </c>
      <c r="L498" s="79">
        <f>IF(OR($A498="",L$23=""),"",IF(COUNTIFS('AFA Rates'!$A$5:$A$1004,$A498,'AFA Rates'!$B$5:$B$1004,L$23,'AFA Rates'!$O$5:$O$1004,"&lt;&gt;Expired")&gt;0,"✓",IF(COUNTIFS('AFA Rates'!$A$5:$A$1004,$A498,'AFA Rates'!$B$5:$B$1004,L$23)&gt;0,"Exp","")))</f>
        <v/>
      </c>
      <c r="M498" s="79">
        <f>IF(OR($A498="",M$23=""),"",IF(COUNTIFS('AFA Rates'!$A$5:$A$1004,$A498,'AFA Rates'!$B$5:$B$1004,M$23,'AFA Rates'!$O$5:$O$1004,"&lt;&gt;Expired")&gt;0,"✓",IF(COUNTIFS('AFA Rates'!$A$5:$A$1004,$A498,'AFA Rates'!$B$5:$B$1004,M$23)&gt;0,"Exp","")))</f>
        <v/>
      </c>
    </row>
    <row r="499">
      <c r="A499" s="78">
        <f>IFERROR(INDEX(Firms!$A$5:$A$1004,MATCH(476,Firms!$V$5:$V$1004,0)),"")</f>
        <v/>
      </c>
      <c r="B499" s="79">
        <f>IF($A499="","",INDEX(Firms!$B$5:$B$1004,MATCH(476,Firms!$V$5:$V$1004,0)))</f>
        <v/>
      </c>
      <c r="C499" s="79">
        <f>IF($A499="","",COUNTIFS('AFA Rates'!$A$5:$A$1004,$A499,'AFA Rates'!$O$5:$O$1004,"&lt;&gt;Expired"))</f>
        <v/>
      </c>
      <c r="D499" s="79">
        <f>IF(OR($A499="",D$23=""),"",IF(COUNTIFS('AFA Rates'!$A$5:$A$1004,$A499,'AFA Rates'!$B$5:$B$1004,D$23,'AFA Rates'!$O$5:$O$1004,"&lt;&gt;Expired")&gt;0,"✓",IF(COUNTIFS('AFA Rates'!$A$5:$A$1004,$A499,'AFA Rates'!$B$5:$B$1004,D$23)&gt;0,"Exp","")))</f>
        <v/>
      </c>
      <c r="E499" s="79">
        <f>IF(OR($A499="",E$23=""),"",IF(COUNTIFS('AFA Rates'!$A$5:$A$1004,$A499,'AFA Rates'!$B$5:$B$1004,E$23,'AFA Rates'!$O$5:$O$1004,"&lt;&gt;Expired")&gt;0,"✓",IF(COUNTIFS('AFA Rates'!$A$5:$A$1004,$A499,'AFA Rates'!$B$5:$B$1004,E$23)&gt;0,"Exp","")))</f>
        <v/>
      </c>
      <c r="F499" s="79">
        <f>IF(OR($A499="",F$23=""),"",IF(COUNTIFS('AFA Rates'!$A$5:$A$1004,$A499,'AFA Rates'!$B$5:$B$1004,F$23,'AFA Rates'!$O$5:$O$1004,"&lt;&gt;Expired")&gt;0,"✓",IF(COUNTIFS('AFA Rates'!$A$5:$A$1004,$A499,'AFA Rates'!$B$5:$B$1004,F$23)&gt;0,"Exp","")))</f>
        <v/>
      </c>
      <c r="G499" s="79">
        <f>IF(OR($A499="",G$23=""),"",IF(COUNTIFS('AFA Rates'!$A$5:$A$1004,$A499,'AFA Rates'!$B$5:$B$1004,G$23,'AFA Rates'!$O$5:$O$1004,"&lt;&gt;Expired")&gt;0,"✓",IF(COUNTIFS('AFA Rates'!$A$5:$A$1004,$A499,'AFA Rates'!$B$5:$B$1004,G$23)&gt;0,"Exp","")))</f>
        <v/>
      </c>
      <c r="H499" s="79">
        <f>IF(OR($A499="",H$23=""),"",IF(COUNTIFS('AFA Rates'!$A$5:$A$1004,$A499,'AFA Rates'!$B$5:$B$1004,H$23,'AFA Rates'!$O$5:$O$1004,"&lt;&gt;Expired")&gt;0,"✓",IF(COUNTIFS('AFA Rates'!$A$5:$A$1004,$A499,'AFA Rates'!$B$5:$B$1004,H$23)&gt;0,"Exp","")))</f>
        <v/>
      </c>
      <c r="I499" s="79">
        <f>IF(OR($A499="",I$23=""),"",IF(COUNTIFS('AFA Rates'!$A$5:$A$1004,$A499,'AFA Rates'!$B$5:$B$1004,I$23,'AFA Rates'!$O$5:$O$1004,"&lt;&gt;Expired")&gt;0,"✓",IF(COUNTIFS('AFA Rates'!$A$5:$A$1004,$A499,'AFA Rates'!$B$5:$B$1004,I$23)&gt;0,"Exp","")))</f>
        <v/>
      </c>
      <c r="J499" s="79">
        <f>IF(OR($A499="",J$23=""),"",IF(COUNTIFS('AFA Rates'!$A$5:$A$1004,$A499,'AFA Rates'!$B$5:$B$1004,J$23,'AFA Rates'!$O$5:$O$1004,"&lt;&gt;Expired")&gt;0,"✓",IF(COUNTIFS('AFA Rates'!$A$5:$A$1004,$A499,'AFA Rates'!$B$5:$B$1004,J$23)&gt;0,"Exp","")))</f>
        <v/>
      </c>
      <c r="K499" s="79">
        <f>IF(OR($A499="",K$23=""),"",IF(COUNTIFS('AFA Rates'!$A$5:$A$1004,$A499,'AFA Rates'!$B$5:$B$1004,K$23,'AFA Rates'!$O$5:$O$1004,"&lt;&gt;Expired")&gt;0,"✓",IF(COUNTIFS('AFA Rates'!$A$5:$A$1004,$A499,'AFA Rates'!$B$5:$B$1004,K$23)&gt;0,"Exp","")))</f>
        <v/>
      </c>
      <c r="L499" s="79">
        <f>IF(OR($A499="",L$23=""),"",IF(COUNTIFS('AFA Rates'!$A$5:$A$1004,$A499,'AFA Rates'!$B$5:$B$1004,L$23,'AFA Rates'!$O$5:$O$1004,"&lt;&gt;Expired")&gt;0,"✓",IF(COUNTIFS('AFA Rates'!$A$5:$A$1004,$A499,'AFA Rates'!$B$5:$B$1004,L$23)&gt;0,"Exp","")))</f>
        <v/>
      </c>
      <c r="M499" s="79">
        <f>IF(OR($A499="",M$23=""),"",IF(COUNTIFS('AFA Rates'!$A$5:$A$1004,$A499,'AFA Rates'!$B$5:$B$1004,M$23,'AFA Rates'!$O$5:$O$1004,"&lt;&gt;Expired")&gt;0,"✓",IF(COUNTIFS('AFA Rates'!$A$5:$A$1004,$A499,'AFA Rates'!$B$5:$B$1004,M$23)&gt;0,"Exp","")))</f>
        <v/>
      </c>
    </row>
    <row r="500">
      <c r="A500" s="78">
        <f>IFERROR(INDEX(Firms!$A$5:$A$1004,MATCH(477,Firms!$V$5:$V$1004,0)),"")</f>
        <v/>
      </c>
      <c r="B500" s="79">
        <f>IF($A500="","",INDEX(Firms!$B$5:$B$1004,MATCH(477,Firms!$V$5:$V$1004,0)))</f>
        <v/>
      </c>
      <c r="C500" s="79">
        <f>IF($A500="","",COUNTIFS('AFA Rates'!$A$5:$A$1004,$A500,'AFA Rates'!$O$5:$O$1004,"&lt;&gt;Expired"))</f>
        <v/>
      </c>
      <c r="D500" s="79">
        <f>IF(OR($A500="",D$23=""),"",IF(COUNTIFS('AFA Rates'!$A$5:$A$1004,$A500,'AFA Rates'!$B$5:$B$1004,D$23,'AFA Rates'!$O$5:$O$1004,"&lt;&gt;Expired")&gt;0,"✓",IF(COUNTIFS('AFA Rates'!$A$5:$A$1004,$A500,'AFA Rates'!$B$5:$B$1004,D$23)&gt;0,"Exp","")))</f>
        <v/>
      </c>
      <c r="E500" s="79">
        <f>IF(OR($A500="",E$23=""),"",IF(COUNTIFS('AFA Rates'!$A$5:$A$1004,$A500,'AFA Rates'!$B$5:$B$1004,E$23,'AFA Rates'!$O$5:$O$1004,"&lt;&gt;Expired")&gt;0,"✓",IF(COUNTIFS('AFA Rates'!$A$5:$A$1004,$A500,'AFA Rates'!$B$5:$B$1004,E$23)&gt;0,"Exp","")))</f>
        <v/>
      </c>
      <c r="F500" s="79">
        <f>IF(OR($A500="",F$23=""),"",IF(COUNTIFS('AFA Rates'!$A$5:$A$1004,$A500,'AFA Rates'!$B$5:$B$1004,F$23,'AFA Rates'!$O$5:$O$1004,"&lt;&gt;Expired")&gt;0,"✓",IF(COUNTIFS('AFA Rates'!$A$5:$A$1004,$A500,'AFA Rates'!$B$5:$B$1004,F$23)&gt;0,"Exp","")))</f>
        <v/>
      </c>
      <c r="G500" s="79">
        <f>IF(OR($A500="",G$23=""),"",IF(COUNTIFS('AFA Rates'!$A$5:$A$1004,$A500,'AFA Rates'!$B$5:$B$1004,G$23,'AFA Rates'!$O$5:$O$1004,"&lt;&gt;Expired")&gt;0,"✓",IF(COUNTIFS('AFA Rates'!$A$5:$A$1004,$A500,'AFA Rates'!$B$5:$B$1004,G$23)&gt;0,"Exp","")))</f>
        <v/>
      </c>
      <c r="H500" s="79">
        <f>IF(OR($A500="",H$23=""),"",IF(COUNTIFS('AFA Rates'!$A$5:$A$1004,$A500,'AFA Rates'!$B$5:$B$1004,H$23,'AFA Rates'!$O$5:$O$1004,"&lt;&gt;Expired")&gt;0,"✓",IF(COUNTIFS('AFA Rates'!$A$5:$A$1004,$A500,'AFA Rates'!$B$5:$B$1004,H$23)&gt;0,"Exp","")))</f>
        <v/>
      </c>
      <c r="I500" s="79">
        <f>IF(OR($A500="",I$23=""),"",IF(COUNTIFS('AFA Rates'!$A$5:$A$1004,$A500,'AFA Rates'!$B$5:$B$1004,I$23,'AFA Rates'!$O$5:$O$1004,"&lt;&gt;Expired")&gt;0,"✓",IF(COUNTIFS('AFA Rates'!$A$5:$A$1004,$A500,'AFA Rates'!$B$5:$B$1004,I$23)&gt;0,"Exp","")))</f>
        <v/>
      </c>
      <c r="J500" s="79">
        <f>IF(OR($A500="",J$23=""),"",IF(COUNTIFS('AFA Rates'!$A$5:$A$1004,$A500,'AFA Rates'!$B$5:$B$1004,J$23,'AFA Rates'!$O$5:$O$1004,"&lt;&gt;Expired")&gt;0,"✓",IF(COUNTIFS('AFA Rates'!$A$5:$A$1004,$A500,'AFA Rates'!$B$5:$B$1004,J$23)&gt;0,"Exp","")))</f>
        <v/>
      </c>
      <c r="K500" s="79">
        <f>IF(OR($A500="",K$23=""),"",IF(COUNTIFS('AFA Rates'!$A$5:$A$1004,$A500,'AFA Rates'!$B$5:$B$1004,K$23,'AFA Rates'!$O$5:$O$1004,"&lt;&gt;Expired")&gt;0,"✓",IF(COUNTIFS('AFA Rates'!$A$5:$A$1004,$A500,'AFA Rates'!$B$5:$B$1004,K$23)&gt;0,"Exp","")))</f>
        <v/>
      </c>
      <c r="L500" s="79">
        <f>IF(OR($A500="",L$23=""),"",IF(COUNTIFS('AFA Rates'!$A$5:$A$1004,$A500,'AFA Rates'!$B$5:$B$1004,L$23,'AFA Rates'!$O$5:$O$1004,"&lt;&gt;Expired")&gt;0,"✓",IF(COUNTIFS('AFA Rates'!$A$5:$A$1004,$A500,'AFA Rates'!$B$5:$B$1004,L$23)&gt;0,"Exp","")))</f>
        <v/>
      </c>
      <c r="M500" s="79">
        <f>IF(OR($A500="",M$23=""),"",IF(COUNTIFS('AFA Rates'!$A$5:$A$1004,$A500,'AFA Rates'!$B$5:$B$1004,M$23,'AFA Rates'!$O$5:$O$1004,"&lt;&gt;Expired")&gt;0,"✓",IF(COUNTIFS('AFA Rates'!$A$5:$A$1004,$A500,'AFA Rates'!$B$5:$B$1004,M$23)&gt;0,"Exp","")))</f>
        <v/>
      </c>
    </row>
    <row r="501">
      <c r="A501" s="78">
        <f>IFERROR(INDEX(Firms!$A$5:$A$1004,MATCH(478,Firms!$V$5:$V$1004,0)),"")</f>
        <v/>
      </c>
      <c r="B501" s="79">
        <f>IF($A501="","",INDEX(Firms!$B$5:$B$1004,MATCH(478,Firms!$V$5:$V$1004,0)))</f>
        <v/>
      </c>
      <c r="C501" s="79">
        <f>IF($A501="","",COUNTIFS('AFA Rates'!$A$5:$A$1004,$A501,'AFA Rates'!$O$5:$O$1004,"&lt;&gt;Expired"))</f>
        <v/>
      </c>
      <c r="D501" s="79">
        <f>IF(OR($A501="",D$23=""),"",IF(COUNTIFS('AFA Rates'!$A$5:$A$1004,$A501,'AFA Rates'!$B$5:$B$1004,D$23,'AFA Rates'!$O$5:$O$1004,"&lt;&gt;Expired")&gt;0,"✓",IF(COUNTIFS('AFA Rates'!$A$5:$A$1004,$A501,'AFA Rates'!$B$5:$B$1004,D$23)&gt;0,"Exp","")))</f>
        <v/>
      </c>
      <c r="E501" s="79">
        <f>IF(OR($A501="",E$23=""),"",IF(COUNTIFS('AFA Rates'!$A$5:$A$1004,$A501,'AFA Rates'!$B$5:$B$1004,E$23,'AFA Rates'!$O$5:$O$1004,"&lt;&gt;Expired")&gt;0,"✓",IF(COUNTIFS('AFA Rates'!$A$5:$A$1004,$A501,'AFA Rates'!$B$5:$B$1004,E$23)&gt;0,"Exp","")))</f>
        <v/>
      </c>
      <c r="F501" s="79">
        <f>IF(OR($A501="",F$23=""),"",IF(COUNTIFS('AFA Rates'!$A$5:$A$1004,$A501,'AFA Rates'!$B$5:$B$1004,F$23,'AFA Rates'!$O$5:$O$1004,"&lt;&gt;Expired")&gt;0,"✓",IF(COUNTIFS('AFA Rates'!$A$5:$A$1004,$A501,'AFA Rates'!$B$5:$B$1004,F$23)&gt;0,"Exp","")))</f>
        <v/>
      </c>
      <c r="G501" s="79">
        <f>IF(OR($A501="",G$23=""),"",IF(COUNTIFS('AFA Rates'!$A$5:$A$1004,$A501,'AFA Rates'!$B$5:$B$1004,G$23,'AFA Rates'!$O$5:$O$1004,"&lt;&gt;Expired")&gt;0,"✓",IF(COUNTIFS('AFA Rates'!$A$5:$A$1004,$A501,'AFA Rates'!$B$5:$B$1004,G$23)&gt;0,"Exp","")))</f>
        <v/>
      </c>
      <c r="H501" s="79">
        <f>IF(OR($A501="",H$23=""),"",IF(COUNTIFS('AFA Rates'!$A$5:$A$1004,$A501,'AFA Rates'!$B$5:$B$1004,H$23,'AFA Rates'!$O$5:$O$1004,"&lt;&gt;Expired")&gt;0,"✓",IF(COUNTIFS('AFA Rates'!$A$5:$A$1004,$A501,'AFA Rates'!$B$5:$B$1004,H$23)&gt;0,"Exp","")))</f>
        <v/>
      </c>
      <c r="I501" s="79">
        <f>IF(OR($A501="",I$23=""),"",IF(COUNTIFS('AFA Rates'!$A$5:$A$1004,$A501,'AFA Rates'!$B$5:$B$1004,I$23,'AFA Rates'!$O$5:$O$1004,"&lt;&gt;Expired")&gt;0,"✓",IF(COUNTIFS('AFA Rates'!$A$5:$A$1004,$A501,'AFA Rates'!$B$5:$B$1004,I$23)&gt;0,"Exp","")))</f>
        <v/>
      </c>
      <c r="J501" s="79">
        <f>IF(OR($A501="",J$23=""),"",IF(COUNTIFS('AFA Rates'!$A$5:$A$1004,$A501,'AFA Rates'!$B$5:$B$1004,J$23,'AFA Rates'!$O$5:$O$1004,"&lt;&gt;Expired")&gt;0,"✓",IF(COUNTIFS('AFA Rates'!$A$5:$A$1004,$A501,'AFA Rates'!$B$5:$B$1004,J$23)&gt;0,"Exp","")))</f>
        <v/>
      </c>
      <c r="K501" s="79">
        <f>IF(OR($A501="",K$23=""),"",IF(COUNTIFS('AFA Rates'!$A$5:$A$1004,$A501,'AFA Rates'!$B$5:$B$1004,K$23,'AFA Rates'!$O$5:$O$1004,"&lt;&gt;Expired")&gt;0,"✓",IF(COUNTIFS('AFA Rates'!$A$5:$A$1004,$A501,'AFA Rates'!$B$5:$B$1004,K$23)&gt;0,"Exp","")))</f>
        <v/>
      </c>
      <c r="L501" s="79">
        <f>IF(OR($A501="",L$23=""),"",IF(COUNTIFS('AFA Rates'!$A$5:$A$1004,$A501,'AFA Rates'!$B$5:$B$1004,L$23,'AFA Rates'!$O$5:$O$1004,"&lt;&gt;Expired")&gt;0,"✓",IF(COUNTIFS('AFA Rates'!$A$5:$A$1004,$A501,'AFA Rates'!$B$5:$B$1004,L$23)&gt;0,"Exp","")))</f>
        <v/>
      </c>
      <c r="M501" s="79">
        <f>IF(OR($A501="",M$23=""),"",IF(COUNTIFS('AFA Rates'!$A$5:$A$1004,$A501,'AFA Rates'!$B$5:$B$1004,M$23,'AFA Rates'!$O$5:$O$1004,"&lt;&gt;Expired")&gt;0,"✓",IF(COUNTIFS('AFA Rates'!$A$5:$A$1004,$A501,'AFA Rates'!$B$5:$B$1004,M$23)&gt;0,"Exp","")))</f>
        <v/>
      </c>
    </row>
    <row r="502">
      <c r="A502" s="78">
        <f>IFERROR(INDEX(Firms!$A$5:$A$1004,MATCH(479,Firms!$V$5:$V$1004,0)),"")</f>
        <v/>
      </c>
      <c r="B502" s="79">
        <f>IF($A502="","",INDEX(Firms!$B$5:$B$1004,MATCH(479,Firms!$V$5:$V$1004,0)))</f>
        <v/>
      </c>
      <c r="C502" s="79">
        <f>IF($A502="","",COUNTIFS('AFA Rates'!$A$5:$A$1004,$A502,'AFA Rates'!$O$5:$O$1004,"&lt;&gt;Expired"))</f>
        <v/>
      </c>
      <c r="D502" s="79">
        <f>IF(OR($A502="",D$23=""),"",IF(COUNTIFS('AFA Rates'!$A$5:$A$1004,$A502,'AFA Rates'!$B$5:$B$1004,D$23,'AFA Rates'!$O$5:$O$1004,"&lt;&gt;Expired")&gt;0,"✓",IF(COUNTIFS('AFA Rates'!$A$5:$A$1004,$A502,'AFA Rates'!$B$5:$B$1004,D$23)&gt;0,"Exp","")))</f>
        <v/>
      </c>
      <c r="E502" s="79">
        <f>IF(OR($A502="",E$23=""),"",IF(COUNTIFS('AFA Rates'!$A$5:$A$1004,$A502,'AFA Rates'!$B$5:$B$1004,E$23,'AFA Rates'!$O$5:$O$1004,"&lt;&gt;Expired")&gt;0,"✓",IF(COUNTIFS('AFA Rates'!$A$5:$A$1004,$A502,'AFA Rates'!$B$5:$B$1004,E$23)&gt;0,"Exp","")))</f>
        <v/>
      </c>
      <c r="F502" s="79">
        <f>IF(OR($A502="",F$23=""),"",IF(COUNTIFS('AFA Rates'!$A$5:$A$1004,$A502,'AFA Rates'!$B$5:$B$1004,F$23,'AFA Rates'!$O$5:$O$1004,"&lt;&gt;Expired")&gt;0,"✓",IF(COUNTIFS('AFA Rates'!$A$5:$A$1004,$A502,'AFA Rates'!$B$5:$B$1004,F$23)&gt;0,"Exp","")))</f>
        <v/>
      </c>
      <c r="G502" s="79">
        <f>IF(OR($A502="",G$23=""),"",IF(COUNTIFS('AFA Rates'!$A$5:$A$1004,$A502,'AFA Rates'!$B$5:$B$1004,G$23,'AFA Rates'!$O$5:$O$1004,"&lt;&gt;Expired")&gt;0,"✓",IF(COUNTIFS('AFA Rates'!$A$5:$A$1004,$A502,'AFA Rates'!$B$5:$B$1004,G$23)&gt;0,"Exp","")))</f>
        <v/>
      </c>
      <c r="H502" s="79">
        <f>IF(OR($A502="",H$23=""),"",IF(COUNTIFS('AFA Rates'!$A$5:$A$1004,$A502,'AFA Rates'!$B$5:$B$1004,H$23,'AFA Rates'!$O$5:$O$1004,"&lt;&gt;Expired")&gt;0,"✓",IF(COUNTIFS('AFA Rates'!$A$5:$A$1004,$A502,'AFA Rates'!$B$5:$B$1004,H$23)&gt;0,"Exp","")))</f>
        <v/>
      </c>
      <c r="I502" s="79">
        <f>IF(OR($A502="",I$23=""),"",IF(COUNTIFS('AFA Rates'!$A$5:$A$1004,$A502,'AFA Rates'!$B$5:$B$1004,I$23,'AFA Rates'!$O$5:$O$1004,"&lt;&gt;Expired")&gt;0,"✓",IF(COUNTIFS('AFA Rates'!$A$5:$A$1004,$A502,'AFA Rates'!$B$5:$B$1004,I$23)&gt;0,"Exp","")))</f>
        <v/>
      </c>
      <c r="J502" s="79">
        <f>IF(OR($A502="",J$23=""),"",IF(COUNTIFS('AFA Rates'!$A$5:$A$1004,$A502,'AFA Rates'!$B$5:$B$1004,J$23,'AFA Rates'!$O$5:$O$1004,"&lt;&gt;Expired")&gt;0,"✓",IF(COUNTIFS('AFA Rates'!$A$5:$A$1004,$A502,'AFA Rates'!$B$5:$B$1004,J$23)&gt;0,"Exp","")))</f>
        <v/>
      </c>
      <c r="K502" s="79">
        <f>IF(OR($A502="",K$23=""),"",IF(COUNTIFS('AFA Rates'!$A$5:$A$1004,$A502,'AFA Rates'!$B$5:$B$1004,K$23,'AFA Rates'!$O$5:$O$1004,"&lt;&gt;Expired")&gt;0,"✓",IF(COUNTIFS('AFA Rates'!$A$5:$A$1004,$A502,'AFA Rates'!$B$5:$B$1004,K$23)&gt;0,"Exp","")))</f>
        <v/>
      </c>
      <c r="L502" s="79">
        <f>IF(OR($A502="",L$23=""),"",IF(COUNTIFS('AFA Rates'!$A$5:$A$1004,$A502,'AFA Rates'!$B$5:$B$1004,L$23,'AFA Rates'!$O$5:$O$1004,"&lt;&gt;Expired")&gt;0,"✓",IF(COUNTIFS('AFA Rates'!$A$5:$A$1004,$A502,'AFA Rates'!$B$5:$B$1004,L$23)&gt;0,"Exp","")))</f>
        <v/>
      </c>
      <c r="M502" s="79">
        <f>IF(OR($A502="",M$23=""),"",IF(COUNTIFS('AFA Rates'!$A$5:$A$1004,$A502,'AFA Rates'!$B$5:$B$1004,M$23,'AFA Rates'!$O$5:$O$1004,"&lt;&gt;Expired")&gt;0,"✓",IF(COUNTIFS('AFA Rates'!$A$5:$A$1004,$A502,'AFA Rates'!$B$5:$B$1004,M$23)&gt;0,"Exp","")))</f>
        <v/>
      </c>
    </row>
    <row r="503">
      <c r="A503" s="78">
        <f>IFERROR(INDEX(Firms!$A$5:$A$1004,MATCH(480,Firms!$V$5:$V$1004,0)),"")</f>
        <v/>
      </c>
      <c r="B503" s="79">
        <f>IF($A503="","",INDEX(Firms!$B$5:$B$1004,MATCH(480,Firms!$V$5:$V$1004,0)))</f>
        <v/>
      </c>
      <c r="C503" s="79">
        <f>IF($A503="","",COUNTIFS('AFA Rates'!$A$5:$A$1004,$A503,'AFA Rates'!$O$5:$O$1004,"&lt;&gt;Expired"))</f>
        <v/>
      </c>
      <c r="D503" s="79">
        <f>IF(OR($A503="",D$23=""),"",IF(COUNTIFS('AFA Rates'!$A$5:$A$1004,$A503,'AFA Rates'!$B$5:$B$1004,D$23,'AFA Rates'!$O$5:$O$1004,"&lt;&gt;Expired")&gt;0,"✓",IF(COUNTIFS('AFA Rates'!$A$5:$A$1004,$A503,'AFA Rates'!$B$5:$B$1004,D$23)&gt;0,"Exp","")))</f>
        <v/>
      </c>
      <c r="E503" s="79">
        <f>IF(OR($A503="",E$23=""),"",IF(COUNTIFS('AFA Rates'!$A$5:$A$1004,$A503,'AFA Rates'!$B$5:$B$1004,E$23,'AFA Rates'!$O$5:$O$1004,"&lt;&gt;Expired")&gt;0,"✓",IF(COUNTIFS('AFA Rates'!$A$5:$A$1004,$A503,'AFA Rates'!$B$5:$B$1004,E$23)&gt;0,"Exp","")))</f>
        <v/>
      </c>
      <c r="F503" s="79">
        <f>IF(OR($A503="",F$23=""),"",IF(COUNTIFS('AFA Rates'!$A$5:$A$1004,$A503,'AFA Rates'!$B$5:$B$1004,F$23,'AFA Rates'!$O$5:$O$1004,"&lt;&gt;Expired")&gt;0,"✓",IF(COUNTIFS('AFA Rates'!$A$5:$A$1004,$A503,'AFA Rates'!$B$5:$B$1004,F$23)&gt;0,"Exp","")))</f>
        <v/>
      </c>
      <c r="G503" s="79">
        <f>IF(OR($A503="",G$23=""),"",IF(COUNTIFS('AFA Rates'!$A$5:$A$1004,$A503,'AFA Rates'!$B$5:$B$1004,G$23,'AFA Rates'!$O$5:$O$1004,"&lt;&gt;Expired")&gt;0,"✓",IF(COUNTIFS('AFA Rates'!$A$5:$A$1004,$A503,'AFA Rates'!$B$5:$B$1004,G$23)&gt;0,"Exp","")))</f>
        <v/>
      </c>
      <c r="H503" s="79">
        <f>IF(OR($A503="",H$23=""),"",IF(COUNTIFS('AFA Rates'!$A$5:$A$1004,$A503,'AFA Rates'!$B$5:$B$1004,H$23,'AFA Rates'!$O$5:$O$1004,"&lt;&gt;Expired")&gt;0,"✓",IF(COUNTIFS('AFA Rates'!$A$5:$A$1004,$A503,'AFA Rates'!$B$5:$B$1004,H$23)&gt;0,"Exp","")))</f>
        <v/>
      </c>
      <c r="I503" s="79">
        <f>IF(OR($A503="",I$23=""),"",IF(COUNTIFS('AFA Rates'!$A$5:$A$1004,$A503,'AFA Rates'!$B$5:$B$1004,I$23,'AFA Rates'!$O$5:$O$1004,"&lt;&gt;Expired")&gt;0,"✓",IF(COUNTIFS('AFA Rates'!$A$5:$A$1004,$A503,'AFA Rates'!$B$5:$B$1004,I$23)&gt;0,"Exp","")))</f>
        <v/>
      </c>
      <c r="J503" s="79">
        <f>IF(OR($A503="",J$23=""),"",IF(COUNTIFS('AFA Rates'!$A$5:$A$1004,$A503,'AFA Rates'!$B$5:$B$1004,J$23,'AFA Rates'!$O$5:$O$1004,"&lt;&gt;Expired")&gt;0,"✓",IF(COUNTIFS('AFA Rates'!$A$5:$A$1004,$A503,'AFA Rates'!$B$5:$B$1004,J$23)&gt;0,"Exp","")))</f>
        <v/>
      </c>
      <c r="K503" s="79">
        <f>IF(OR($A503="",K$23=""),"",IF(COUNTIFS('AFA Rates'!$A$5:$A$1004,$A503,'AFA Rates'!$B$5:$B$1004,K$23,'AFA Rates'!$O$5:$O$1004,"&lt;&gt;Expired")&gt;0,"✓",IF(COUNTIFS('AFA Rates'!$A$5:$A$1004,$A503,'AFA Rates'!$B$5:$B$1004,K$23)&gt;0,"Exp","")))</f>
        <v/>
      </c>
      <c r="L503" s="79">
        <f>IF(OR($A503="",L$23=""),"",IF(COUNTIFS('AFA Rates'!$A$5:$A$1004,$A503,'AFA Rates'!$B$5:$B$1004,L$23,'AFA Rates'!$O$5:$O$1004,"&lt;&gt;Expired")&gt;0,"✓",IF(COUNTIFS('AFA Rates'!$A$5:$A$1004,$A503,'AFA Rates'!$B$5:$B$1004,L$23)&gt;0,"Exp","")))</f>
        <v/>
      </c>
      <c r="M503" s="79">
        <f>IF(OR($A503="",M$23=""),"",IF(COUNTIFS('AFA Rates'!$A$5:$A$1004,$A503,'AFA Rates'!$B$5:$B$1004,M$23,'AFA Rates'!$O$5:$O$1004,"&lt;&gt;Expired")&gt;0,"✓",IF(COUNTIFS('AFA Rates'!$A$5:$A$1004,$A503,'AFA Rates'!$B$5:$B$1004,M$23)&gt;0,"Exp","")))</f>
        <v/>
      </c>
    </row>
    <row r="504">
      <c r="A504" s="78">
        <f>IFERROR(INDEX(Firms!$A$5:$A$1004,MATCH(481,Firms!$V$5:$V$1004,0)),"")</f>
        <v/>
      </c>
      <c r="B504" s="79">
        <f>IF($A504="","",INDEX(Firms!$B$5:$B$1004,MATCH(481,Firms!$V$5:$V$1004,0)))</f>
        <v/>
      </c>
      <c r="C504" s="79">
        <f>IF($A504="","",COUNTIFS('AFA Rates'!$A$5:$A$1004,$A504,'AFA Rates'!$O$5:$O$1004,"&lt;&gt;Expired"))</f>
        <v/>
      </c>
      <c r="D504" s="79">
        <f>IF(OR($A504="",D$23=""),"",IF(COUNTIFS('AFA Rates'!$A$5:$A$1004,$A504,'AFA Rates'!$B$5:$B$1004,D$23,'AFA Rates'!$O$5:$O$1004,"&lt;&gt;Expired")&gt;0,"✓",IF(COUNTIFS('AFA Rates'!$A$5:$A$1004,$A504,'AFA Rates'!$B$5:$B$1004,D$23)&gt;0,"Exp","")))</f>
        <v/>
      </c>
      <c r="E504" s="79">
        <f>IF(OR($A504="",E$23=""),"",IF(COUNTIFS('AFA Rates'!$A$5:$A$1004,$A504,'AFA Rates'!$B$5:$B$1004,E$23,'AFA Rates'!$O$5:$O$1004,"&lt;&gt;Expired")&gt;0,"✓",IF(COUNTIFS('AFA Rates'!$A$5:$A$1004,$A504,'AFA Rates'!$B$5:$B$1004,E$23)&gt;0,"Exp","")))</f>
        <v/>
      </c>
      <c r="F504" s="79">
        <f>IF(OR($A504="",F$23=""),"",IF(COUNTIFS('AFA Rates'!$A$5:$A$1004,$A504,'AFA Rates'!$B$5:$B$1004,F$23,'AFA Rates'!$O$5:$O$1004,"&lt;&gt;Expired")&gt;0,"✓",IF(COUNTIFS('AFA Rates'!$A$5:$A$1004,$A504,'AFA Rates'!$B$5:$B$1004,F$23)&gt;0,"Exp","")))</f>
        <v/>
      </c>
      <c r="G504" s="79">
        <f>IF(OR($A504="",G$23=""),"",IF(COUNTIFS('AFA Rates'!$A$5:$A$1004,$A504,'AFA Rates'!$B$5:$B$1004,G$23,'AFA Rates'!$O$5:$O$1004,"&lt;&gt;Expired")&gt;0,"✓",IF(COUNTIFS('AFA Rates'!$A$5:$A$1004,$A504,'AFA Rates'!$B$5:$B$1004,G$23)&gt;0,"Exp","")))</f>
        <v/>
      </c>
      <c r="H504" s="79">
        <f>IF(OR($A504="",H$23=""),"",IF(COUNTIFS('AFA Rates'!$A$5:$A$1004,$A504,'AFA Rates'!$B$5:$B$1004,H$23,'AFA Rates'!$O$5:$O$1004,"&lt;&gt;Expired")&gt;0,"✓",IF(COUNTIFS('AFA Rates'!$A$5:$A$1004,$A504,'AFA Rates'!$B$5:$B$1004,H$23)&gt;0,"Exp","")))</f>
        <v/>
      </c>
      <c r="I504" s="79">
        <f>IF(OR($A504="",I$23=""),"",IF(COUNTIFS('AFA Rates'!$A$5:$A$1004,$A504,'AFA Rates'!$B$5:$B$1004,I$23,'AFA Rates'!$O$5:$O$1004,"&lt;&gt;Expired")&gt;0,"✓",IF(COUNTIFS('AFA Rates'!$A$5:$A$1004,$A504,'AFA Rates'!$B$5:$B$1004,I$23)&gt;0,"Exp","")))</f>
        <v/>
      </c>
      <c r="J504" s="79">
        <f>IF(OR($A504="",J$23=""),"",IF(COUNTIFS('AFA Rates'!$A$5:$A$1004,$A504,'AFA Rates'!$B$5:$B$1004,J$23,'AFA Rates'!$O$5:$O$1004,"&lt;&gt;Expired")&gt;0,"✓",IF(COUNTIFS('AFA Rates'!$A$5:$A$1004,$A504,'AFA Rates'!$B$5:$B$1004,J$23)&gt;0,"Exp","")))</f>
        <v/>
      </c>
      <c r="K504" s="79">
        <f>IF(OR($A504="",K$23=""),"",IF(COUNTIFS('AFA Rates'!$A$5:$A$1004,$A504,'AFA Rates'!$B$5:$B$1004,K$23,'AFA Rates'!$O$5:$O$1004,"&lt;&gt;Expired")&gt;0,"✓",IF(COUNTIFS('AFA Rates'!$A$5:$A$1004,$A504,'AFA Rates'!$B$5:$B$1004,K$23)&gt;0,"Exp","")))</f>
        <v/>
      </c>
      <c r="L504" s="79">
        <f>IF(OR($A504="",L$23=""),"",IF(COUNTIFS('AFA Rates'!$A$5:$A$1004,$A504,'AFA Rates'!$B$5:$B$1004,L$23,'AFA Rates'!$O$5:$O$1004,"&lt;&gt;Expired")&gt;0,"✓",IF(COUNTIFS('AFA Rates'!$A$5:$A$1004,$A504,'AFA Rates'!$B$5:$B$1004,L$23)&gt;0,"Exp","")))</f>
        <v/>
      </c>
      <c r="M504" s="79">
        <f>IF(OR($A504="",M$23=""),"",IF(COUNTIFS('AFA Rates'!$A$5:$A$1004,$A504,'AFA Rates'!$B$5:$B$1004,M$23,'AFA Rates'!$O$5:$O$1004,"&lt;&gt;Expired")&gt;0,"✓",IF(COUNTIFS('AFA Rates'!$A$5:$A$1004,$A504,'AFA Rates'!$B$5:$B$1004,M$23)&gt;0,"Exp","")))</f>
        <v/>
      </c>
    </row>
    <row r="505">
      <c r="A505" s="78">
        <f>IFERROR(INDEX(Firms!$A$5:$A$1004,MATCH(482,Firms!$V$5:$V$1004,0)),"")</f>
        <v/>
      </c>
      <c r="B505" s="79">
        <f>IF($A505="","",INDEX(Firms!$B$5:$B$1004,MATCH(482,Firms!$V$5:$V$1004,0)))</f>
        <v/>
      </c>
      <c r="C505" s="79">
        <f>IF($A505="","",COUNTIFS('AFA Rates'!$A$5:$A$1004,$A505,'AFA Rates'!$O$5:$O$1004,"&lt;&gt;Expired"))</f>
        <v/>
      </c>
      <c r="D505" s="79">
        <f>IF(OR($A505="",D$23=""),"",IF(COUNTIFS('AFA Rates'!$A$5:$A$1004,$A505,'AFA Rates'!$B$5:$B$1004,D$23,'AFA Rates'!$O$5:$O$1004,"&lt;&gt;Expired")&gt;0,"✓",IF(COUNTIFS('AFA Rates'!$A$5:$A$1004,$A505,'AFA Rates'!$B$5:$B$1004,D$23)&gt;0,"Exp","")))</f>
        <v/>
      </c>
      <c r="E505" s="79">
        <f>IF(OR($A505="",E$23=""),"",IF(COUNTIFS('AFA Rates'!$A$5:$A$1004,$A505,'AFA Rates'!$B$5:$B$1004,E$23,'AFA Rates'!$O$5:$O$1004,"&lt;&gt;Expired")&gt;0,"✓",IF(COUNTIFS('AFA Rates'!$A$5:$A$1004,$A505,'AFA Rates'!$B$5:$B$1004,E$23)&gt;0,"Exp","")))</f>
        <v/>
      </c>
      <c r="F505" s="79">
        <f>IF(OR($A505="",F$23=""),"",IF(COUNTIFS('AFA Rates'!$A$5:$A$1004,$A505,'AFA Rates'!$B$5:$B$1004,F$23,'AFA Rates'!$O$5:$O$1004,"&lt;&gt;Expired")&gt;0,"✓",IF(COUNTIFS('AFA Rates'!$A$5:$A$1004,$A505,'AFA Rates'!$B$5:$B$1004,F$23)&gt;0,"Exp","")))</f>
        <v/>
      </c>
      <c r="G505" s="79">
        <f>IF(OR($A505="",G$23=""),"",IF(COUNTIFS('AFA Rates'!$A$5:$A$1004,$A505,'AFA Rates'!$B$5:$B$1004,G$23,'AFA Rates'!$O$5:$O$1004,"&lt;&gt;Expired")&gt;0,"✓",IF(COUNTIFS('AFA Rates'!$A$5:$A$1004,$A505,'AFA Rates'!$B$5:$B$1004,G$23)&gt;0,"Exp","")))</f>
        <v/>
      </c>
      <c r="H505" s="79">
        <f>IF(OR($A505="",H$23=""),"",IF(COUNTIFS('AFA Rates'!$A$5:$A$1004,$A505,'AFA Rates'!$B$5:$B$1004,H$23,'AFA Rates'!$O$5:$O$1004,"&lt;&gt;Expired")&gt;0,"✓",IF(COUNTIFS('AFA Rates'!$A$5:$A$1004,$A505,'AFA Rates'!$B$5:$B$1004,H$23)&gt;0,"Exp","")))</f>
        <v/>
      </c>
      <c r="I505" s="79">
        <f>IF(OR($A505="",I$23=""),"",IF(COUNTIFS('AFA Rates'!$A$5:$A$1004,$A505,'AFA Rates'!$B$5:$B$1004,I$23,'AFA Rates'!$O$5:$O$1004,"&lt;&gt;Expired")&gt;0,"✓",IF(COUNTIFS('AFA Rates'!$A$5:$A$1004,$A505,'AFA Rates'!$B$5:$B$1004,I$23)&gt;0,"Exp","")))</f>
        <v/>
      </c>
      <c r="J505" s="79">
        <f>IF(OR($A505="",J$23=""),"",IF(COUNTIFS('AFA Rates'!$A$5:$A$1004,$A505,'AFA Rates'!$B$5:$B$1004,J$23,'AFA Rates'!$O$5:$O$1004,"&lt;&gt;Expired")&gt;0,"✓",IF(COUNTIFS('AFA Rates'!$A$5:$A$1004,$A505,'AFA Rates'!$B$5:$B$1004,J$23)&gt;0,"Exp","")))</f>
        <v/>
      </c>
      <c r="K505" s="79">
        <f>IF(OR($A505="",K$23=""),"",IF(COUNTIFS('AFA Rates'!$A$5:$A$1004,$A505,'AFA Rates'!$B$5:$B$1004,K$23,'AFA Rates'!$O$5:$O$1004,"&lt;&gt;Expired")&gt;0,"✓",IF(COUNTIFS('AFA Rates'!$A$5:$A$1004,$A505,'AFA Rates'!$B$5:$B$1004,K$23)&gt;0,"Exp","")))</f>
        <v/>
      </c>
      <c r="L505" s="79">
        <f>IF(OR($A505="",L$23=""),"",IF(COUNTIFS('AFA Rates'!$A$5:$A$1004,$A505,'AFA Rates'!$B$5:$B$1004,L$23,'AFA Rates'!$O$5:$O$1004,"&lt;&gt;Expired")&gt;0,"✓",IF(COUNTIFS('AFA Rates'!$A$5:$A$1004,$A505,'AFA Rates'!$B$5:$B$1004,L$23)&gt;0,"Exp","")))</f>
        <v/>
      </c>
      <c r="M505" s="79">
        <f>IF(OR($A505="",M$23=""),"",IF(COUNTIFS('AFA Rates'!$A$5:$A$1004,$A505,'AFA Rates'!$B$5:$B$1004,M$23,'AFA Rates'!$O$5:$O$1004,"&lt;&gt;Expired")&gt;0,"✓",IF(COUNTIFS('AFA Rates'!$A$5:$A$1004,$A505,'AFA Rates'!$B$5:$B$1004,M$23)&gt;0,"Exp","")))</f>
        <v/>
      </c>
    </row>
    <row r="506">
      <c r="A506" s="78">
        <f>IFERROR(INDEX(Firms!$A$5:$A$1004,MATCH(483,Firms!$V$5:$V$1004,0)),"")</f>
        <v/>
      </c>
      <c r="B506" s="79">
        <f>IF($A506="","",INDEX(Firms!$B$5:$B$1004,MATCH(483,Firms!$V$5:$V$1004,0)))</f>
        <v/>
      </c>
      <c r="C506" s="79">
        <f>IF($A506="","",COUNTIFS('AFA Rates'!$A$5:$A$1004,$A506,'AFA Rates'!$O$5:$O$1004,"&lt;&gt;Expired"))</f>
        <v/>
      </c>
      <c r="D506" s="79">
        <f>IF(OR($A506="",D$23=""),"",IF(COUNTIFS('AFA Rates'!$A$5:$A$1004,$A506,'AFA Rates'!$B$5:$B$1004,D$23,'AFA Rates'!$O$5:$O$1004,"&lt;&gt;Expired")&gt;0,"✓",IF(COUNTIFS('AFA Rates'!$A$5:$A$1004,$A506,'AFA Rates'!$B$5:$B$1004,D$23)&gt;0,"Exp","")))</f>
        <v/>
      </c>
      <c r="E506" s="79">
        <f>IF(OR($A506="",E$23=""),"",IF(COUNTIFS('AFA Rates'!$A$5:$A$1004,$A506,'AFA Rates'!$B$5:$B$1004,E$23,'AFA Rates'!$O$5:$O$1004,"&lt;&gt;Expired")&gt;0,"✓",IF(COUNTIFS('AFA Rates'!$A$5:$A$1004,$A506,'AFA Rates'!$B$5:$B$1004,E$23)&gt;0,"Exp","")))</f>
        <v/>
      </c>
      <c r="F506" s="79">
        <f>IF(OR($A506="",F$23=""),"",IF(COUNTIFS('AFA Rates'!$A$5:$A$1004,$A506,'AFA Rates'!$B$5:$B$1004,F$23,'AFA Rates'!$O$5:$O$1004,"&lt;&gt;Expired")&gt;0,"✓",IF(COUNTIFS('AFA Rates'!$A$5:$A$1004,$A506,'AFA Rates'!$B$5:$B$1004,F$23)&gt;0,"Exp","")))</f>
        <v/>
      </c>
      <c r="G506" s="79">
        <f>IF(OR($A506="",G$23=""),"",IF(COUNTIFS('AFA Rates'!$A$5:$A$1004,$A506,'AFA Rates'!$B$5:$B$1004,G$23,'AFA Rates'!$O$5:$O$1004,"&lt;&gt;Expired")&gt;0,"✓",IF(COUNTIFS('AFA Rates'!$A$5:$A$1004,$A506,'AFA Rates'!$B$5:$B$1004,G$23)&gt;0,"Exp","")))</f>
        <v/>
      </c>
      <c r="H506" s="79">
        <f>IF(OR($A506="",H$23=""),"",IF(COUNTIFS('AFA Rates'!$A$5:$A$1004,$A506,'AFA Rates'!$B$5:$B$1004,H$23,'AFA Rates'!$O$5:$O$1004,"&lt;&gt;Expired")&gt;0,"✓",IF(COUNTIFS('AFA Rates'!$A$5:$A$1004,$A506,'AFA Rates'!$B$5:$B$1004,H$23)&gt;0,"Exp","")))</f>
        <v/>
      </c>
      <c r="I506" s="79">
        <f>IF(OR($A506="",I$23=""),"",IF(COUNTIFS('AFA Rates'!$A$5:$A$1004,$A506,'AFA Rates'!$B$5:$B$1004,I$23,'AFA Rates'!$O$5:$O$1004,"&lt;&gt;Expired")&gt;0,"✓",IF(COUNTIFS('AFA Rates'!$A$5:$A$1004,$A506,'AFA Rates'!$B$5:$B$1004,I$23)&gt;0,"Exp","")))</f>
        <v/>
      </c>
      <c r="J506" s="79">
        <f>IF(OR($A506="",J$23=""),"",IF(COUNTIFS('AFA Rates'!$A$5:$A$1004,$A506,'AFA Rates'!$B$5:$B$1004,J$23,'AFA Rates'!$O$5:$O$1004,"&lt;&gt;Expired")&gt;0,"✓",IF(COUNTIFS('AFA Rates'!$A$5:$A$1004,$A506,'AFA Rates'!$B$5:$B$1004,J$23)&gt;0,"Exp","")))</f>
        <v/>
      </c>
      <c r="K506" s="79">
        <f>IF(OR($A506="",K$23=""),"",IF(COUNTIFS('AFA Rates'!$A$5:$A$1004,$A506,'AFA Rates'!$B$5:$B$1004,K$23,'AFA Rates'!$O$5:$O$1004,"&lt;&gt;Expired")&gt;0,"✓",IF(COUNTIFS('AFA Rates'!$A$5:$A$1004,$A506,'AFA Rates'!$B$5:$B$1004,K$23)&gt;0,"Exp","")))</f>
        <v/>
      </c>
      <c r="L506" s="79">
        <f>IF(OR($A506="",L$23=""),"",IF(COUNTIFS('AFA Rates'!$A$5:$A$1004,$A506,'AFA Rates'!$B$5:$B$1004,L$23,'AFA Rates'!$O$5:$O$1004,"&lt;&gt;Expired")&gt;0,"✓",IF(COUNTIFS('AFA Rates'!$A$5:$A$1004,$A506,'AFA Rates'!$B$5:$B$1004,L$23)&gt;0,"Exp","")))</f>
        <v/>
      </c>
      <c r="M506" s="79">
        <f>IF(OR($A506="",M$23=""),"",IF(COUNTIFS('AFA Rates'!$A$5:$A$1004,$A506,'AFA Rates'!$B$5:$B$1004,M$23,'AFA Rates'!$O$5:$O$1004,"&lt;&gt;Expired")&gt;0,"✓",IF(COUNTIFS('AFA Rates'!$A$5:$A$1004,$A506,'AFA Rates'!$B$5:$B$1004,M$23)&gt;0,"Exp","")))</f>
        <v/>
      </c>
    </row>
    <row r="507">
      <c r="A507" s="78">
        <f>IFERROR(INDEX(Firms!$A$5:$A$1004,MATCH(484,Firms!$V$5:$V$1004,0)),"")</f>
        <v/>
      </c>
      <c r="B507" s="79">
        <f>IF($A507="","",INDEX(Firms!$B$5:$B$1004,MATCH(484,Firms!$V$5:$V$1004,0)))</f>
        <v/>
      </c>
      <c r="C507" s="79">
        <f>IF($A507="","",COUNTIFS('AFA Rates'!$A$5:$A$1004,$A507,'AFA Rates'!$O$5:$O$1004,"&lt;&gt;Expired"))</f>
        <v/>
      </c>
      <c r="D507" s="79">
        <f>IF(OR($A507="",D$23=""),"",IF(COUNTIFS('AFA Rates'!$A$5:$A$1004,$A507,'AFA Rates'!$B$5:$B$1004,D$23,'AFA Rates'!$O$5:$O$1004,"&lt;&gt;Expired")&gt;0,"✓",IF(COUNTIFS('AFA Rates'!$A$5:$A$1004,$A507,'AFA Rates'!$B$5:$B$1004,D$23)&gt;0,"Exp","")))</f>
        <v/>
      </c>
      <c r="E507" s="79">
        <f>IF(OR($A507="",E$23=""),"",IF(COUNTIFS('AFA Rates'!$A$5:$A$1004,$A507,'AFA Rates'!$B$5:$B$1004,E$23,'AFA Rates'!$O$5:$O$1004,"&lt;&gt;Expired")&gt;0,"✓",IF(COUNTIFS('AFA Rates'!$A$5:$A$1004,$A507,'AFA Rates'!$B$5:$B$1004,E$23)&gt;0,"Exp","")))</f>
        <v/>
      </c>
      <c r="F507" s="79">
        <f>IF(OR($A507="",F$23=""),"",IF(COUNTIFS('AFA Rates'!$A$5:$A$1004,$A507,'AFA Rates'!$B$5:$B$1004,F$23,'AFA Rates'!$O$5:$O$1004,"&lt;&gt;Expired")&gt;0,"✓",IF(COUNTIFS('AFA Rates'!$A$5:$A$1004,$A507,'AFA Rates'!$B$5:$B$1004,F$23)&gt;0,"Exp","")))</f>
        <v/>
      </c>
      <c r="G507" s="79">
        <f>IF(OR($A507="",G$23=""),"",IF(COUNTIFS('AFA Rates'!$A$5:$A$1004,$A507,'AFA Rates'!$B$5:$B$1004,G$23,'AFA Rates'!$O$5:$O$1004,"&lt;&gt;Expired")&gt;0,"✓",IF(COUNTIFS('AFA Rates'!$A$5:$A$1004,$A507,'AFA Rates'!$B$5:$B$1004,G$23)&gt;0,"Exp","")))</f>
        <v/>
      </c>
      <c r="H507" s="79">
        <f>IF(OR($A507="",H$23=""),"",IF(COUNTIFS('AFA Rates'!$A$5:$A$1004,$A507,'AFA Rates'!$B$5:$B$1004,H$23,'AFA Rates'!$O$5:$O$1004,"&lt;&gt;Expired")&gt;0,"✓",IF(COUNTIFS('AFA Rates'!$A$5:$A$1004,$A507,'AFA Rates'!$B$5:$B$1004,H$23)&gt;0,"Exp","")))</f>
        <v/>
      </c>
      <c r="I507" s="79">
        <f>IF(OR($A507="",I$23=""),"",IF(COUNTIFS('AFA Rates'!$A$5:$A$1004,$A507,'AFA Rates'!$B$5:$B$1004,I$23,'AFA Rates'!$O$5:$O$1004,"&lt;&gt;Expired")&gt;0,"✓",IF(COUNTIFS('AFA Rates'!$A$5:$A$1004,$A507,'AFA Rates'!$B$5:$B$1004,I$23)&gt;0,"Exp","")))</f>
        <v/>
      </c>
      <c r="J507" s="79">
        <f>IF(OR($A507="",J$23=""),"",IF(COUNTIFS('AFA Rates'!$A$5:$A$1004,$A507,'AFA Rates'!$B$5:$B$1004,J$23,'AFA Rates'!$O$5:$O$1004,"&lt;&gt;Expired")&gt;0,"✓",IF(COUNTIFS('AFA Rates'!$A$5:$A$1004,$A507,'AFA Rates'!$B$5:$B$1004,J$23)&gt;0,"Exp","")))</f>
        <v/>
      </c>
      <c r="K507" s="79">
        <f>IF(OR($A507="",K$23=""),"",IF(COUNTIFS('AFA Rates'!$A$5:$A$1004,$A507,'AFA Rates'!$B$5:$B$1004,K$23,'AFA Rates'!$O$5:$O$1004,"&lt;&gt;Expired")&gt;0,"✓",IF(COUNTIFS('AFA Rates'!$A$5:$A$1004,$A507,'AFA Rates'!$B$5:$B$1004,K$23)&gt;0,"Exp","")))</f>
        <v/>
      </c>
      <c r="L507" s="79">
        <f>IF(OR($A507="",L$23=""),"",IF(COUNTIFS('AFA Rates'!$A$5:$A$1004,$A507,'AFA Rates'!$B$5:$B$1004,L$23,'AFA Rates'!$O$5:$O$1004,"&lt;&gt;Expired")&gt;0,"✓",IF(COUNTIFS('AFA Rates'!$A$5:$A$1004,$A507,'AFA Rates'!$B$5:$B$1004,L$23)&gt;0,"Exp","")))</f>
        <v/>
      </c>
      <c r="M507" s="79">
        <f>IF(OR($A507="",M$23=""),"",IF(COUNTIFS('AFA Rates'!$A$5:$A$1004,$A507,'AFA Rates'!$B$5:$B$1004,M$23,'AFA Rates'!$O$5:$O$1004,"&lt;&gt;Expired")&gt;0,"✓",IF(COUNTIFS('AFA Rates'!$A$5:$A$1004,$A507,'AFA Rates'!$B$5:$B$1004,M$23)&gt;0,"Exp","")))</f>
        <v/>
      </c>
    </row>
    <row r="508">
      <c r="A508" s="78">
        <f>IFERROR(INDEX(Firms!$A$5:$A$1004,MATCH(485,Firms!$V$5:$V$1004,0)),"")</f>
        <v/>
      </c>
      <c r="B508" s="79">
        <f>IF($A508="","",INDEX(Firms!$B$5:$B$1004,MATCH(485,Firms!$V$5:$V$1004,0)))</f>
        <v/>
      </c>
      <c r="C508" s="79">
        <f>IF($A508="","",COUNTIFS('AFA Rates'!$A$5:$A$1004,$A508,'AFA Rates'!$O$5:$O$1004,"&lt;&gt;Expired"))</f>
        <v/>
      </c>
      <c r="D508" s="79">
        <f>IF(OR($A508="",D$23=""),"",IF(COUNTIFS('AFA Rates'!$A$5:$A$1004,$A508,'AFA Rates'!$B$5:$B$1004,D$23,'AFA Rates'!$O$5:$O$1004,"&lt;&gt;Expired")&gt;0,"✓",IF(COUNTIFS('AFA Rates'!$A$5:$A$1004,$A508,'AFA Rates'!$B$5:$B$1004,D$23)&gt;0,"Exp","")))</f>
        <v/>
      </c>
      <c r="E508" s="79">
        <f>IF(OR($A508="",E$23=""),"",IF(COUNTIFS('AFA Rates'!$A$5:$A$1004,$A508,'AFA Rates'!$B$5:$B$1004,E$23,'AFA Rates'!$O$5:$O$1004,"&lt;&gt;Expired")&gt;0,"✓",IF(COUNTIFS('AFA Rates'!$A$5:$A$1004,$A508,'AFA Rates'!$B$5:$B$1004,E$23)&gt;0,"Exp","")))</f>
        <v/>
      </c>
      <c r="F508" s="79">
        <f>IF(OR($A508="",F$23=""),"",IF(COUNTIFS('AFA Rates'!$A$5:$A$1004,$A508,'AFA Rates'!$B$5:$B$1004,F$23,'AFA Rates'!$O$5:$O$1004,"&lt;&gt;Expired")&gt;0,"✓",IF(COUNTIFS('AFA Rates'!$A$5:$A$1004,$A508,'AFA Rates'!$B$5:$B$1004,F$23)&gt;0,"Exp","")))</f>
        <v/>
      </c>
      <c r="G508" s="79">
        <f>IF(OR($A508="",G$23=""),"",IF(COUNTIFS('AFA Rates'!$A$5:$A$1004,$A508,'AFA Rates'!$B$5:$B$1004,G$23,'AFA Rates'!$O$5:$O$1004,"&lt;&gt;Expired")&gt;0,"✓",IF(COUNTIFS('AFA Rates'!$A$5:$A$1004,$A508,'AFA Rates'!$B$5:$B$1004,G$23)&gt;0,"Exp","")))</f>
        <v/>
      </c>
      <c r="H508" s="79">
        <f>IF(OR($A508="",H$23=""),"",IF(COUNTIFS('AFA Rates'!$A$5:$A$1004,$A508,'AFA Rates'!$B$5:$B$1004,H$23,'AFA Rates'!$O$5:$O$1004,"&lt;&gt;Expired")&gt;0,"✓",IF(COUNTIFS('AFA Rates'!$A$5:$A$1004,$A508,'AFA Rates'!$B$5:$B$1004,H$23)&gt;0,"Exp","")))</f>
        <v/>
      </c>
      <c r="I508" s="79">
        <f>IF(OR($A508="",I$23=""),"",IF(COUNTIFS('AFA Rates'!$A$5:$A$1004,$A508,'AFA Rates'!$B$5:$B$1004,I$23,'AFA Rates'!$O$5:$O$1004,"&lt;&gt;Expired")&gt;0,"✓",IF(COUNTIFS('AFA Rates'!$A$5:$A$1004,$A508,'AFA Rates'!$B$5:$B$1004,I$23)&gt;0,"Exp","")))</f>
        <v/>
      </c>
      <c r="J508" s="79">
        <f>IF(OR($A508="",J$23=""),"",IF(COUNTIFS('AFA Rates'!$A$5:$A$1004,$A508,'AFA Rates'!$B$5:$B$1004,J$23,'AFA Rates'!$O$5:$O$1004,"&lt;&gt;Expired")&gt;0,"✓",IF(COUNTIFS('AFA Rates'!$A$5:$A$1004,$A508,'AFA Rates'!$B$5:$B$1004,J$23)&gt;0,"Exp","")))</f>
        <v/>
      </c>
      <c r="K508" s="79">
        <f>IF(OR($A508="",K$23=""),"",IF(COUNTIFS('AFA Rates'!$A$5:$A$1004,$A508,'AFA Rates'!$B$5:$B$1004,K$23,'AFA Rates'!$O$5:$O$1004,"&lt;&gt;Expired")&gt;0,"✓",IF(COUNTIFS('AFA Rates'!$A$5:$A$1004,$A508,'AFA Rates'!$B$5:$B$1004,K$23)&gt;0,"Exp","")))</f>
        <v/>
      </c>
      <c r="L508" s="79">
        <f>IF(OR($A508="",L$23=""),"",IF(COUNTIFS('AFA Rates'!$A$5:$A$1004,$A508,'AFA Rates'!$B$5:$B$1004,L$23,'AFA Rates'!$O$5:$O$1004,"&lt;&gt;Expired")&gt;0,"✓",IF(COUNTIFS('AFA Rates'!$A$5:$A$1004,$A508,'AFA Rates'!$B$5:$B$1004,L$23)&gt;0,"Exp","")))</f>
        <v/>
      </c>
      <c r="M508" s="79">
        <f>IF(OR($A508="",M$23=""),"",IF(COUNTIFS('AFA Rates'!$A$5:$A$1004,$A508,'AFA Rates'!$B$5:$B$1004,M$23,'AFA Rates'!$O$5:$O$1004,"&lt;&gt;Expired")&gt;0,"✓",IF(COUNTIFS('AFA Rates'!$A$5:$A$1004,$A508,'AFA Rates'!$B$5:$B$1004,M$23)&gt;0,"Exp","")))</f>
        <v/>
      </c>
    </row>
    <row r="509">
      <c r="A509" s="78">
        <f>IFERROR(INDEX(Firms!$A$5:$A$1004,MATCH(486,Firms!$V$5:$V$1004,0)),"")</f>
        <v/>
      </c>
      <c r="B509" s="79">
        <f>IF($A509="","",INDEX(Firms!$B$5:$B$1004,MATCH(486,Firms!$V$5:$V$1004,0)))</f>
        <v/>
      </c>
      <c r="C509" s="79">
        <f>IF($A509="","",COUNTIFS('AFA Rates'!$A$5:$A$1004,$A509,'AFA Rates'!$O$5:$O$1004,"&lt;&gt;Expired"))</f>
        <v/>
      </c>
      <c r="D509" s="79">
        <f>IF(OR($A509="",D$23=""),"",IF(COUNTIFS('AFA Rates'!$A$5:$A$1004,$A509,'AFA Rates'!$B$5:$B$1004,D$23,'AFA Rates'!$O$5:$O$1004,"&lt;&gt;Expired")&gt;0,"✓",IF(COUNTIFS('AFA Rates'!$A$5:$A$1004,$A509,'AFA Rates'!$B$5:$B$1004,D$23)&gt;0,"Exp","")))</f>
        <v/>
      </c>
      <c r="E509" s="79">
        <f>IF(OR($A509="",E$23=""),"",IF(COUNTIFS('AFA Rates'!$A$5:$A$1004,$A509,'AFA Rates'!$B$5:$B$1004,E$23,'AFA Rates'!$O$5:$O$1004,"&lt;&gt;Expired")&gt;0,"✓",IF(COUNTIFS('AFA Rates'!$A$5:$A$1004,$A509,'AFA Rates'!$B$5:$B$1004,E$23)&gt;0,"Exp","")))</f>
        <v/>
      </c>
      <c r="F509" s="79">
        <f>IF(OR($A509="",F$23=""),"",IF(COUNTIFS('AFA Rates'!$A$5:$A$1004,$A509,'AFA Rates'!$B$5:$B$1004,F$23,'AFA Rates'!$O$5:$O$1004,"&lt;&gt;Expired")&gt;0,"✓",IF(COUNTIFS('AFA Rates'!$A$5:$A$1004,$A509,'AFA Rates'!$B$5:$B$1004,F$23)&gt;0,"Exp","")))</f>
        <v/>
      </c>
      <c r="G509" s="79">
        <f>IF(OR($A509="",G$23=""),"",IF(COUNTIFS('AFA Rates'!$A$5:$A$1004,$A509,'AFA Rates'!$B$5:$B$1004,G$23,'AFA Rates'!$O$5:$O$1004,"&lt;&gt;Expired")&gt;0,"✓",IF(COUNTIFS('AFA Rates'!$A$5:$A$1004,$A509,'AFA Rates'!$B$5:$B$1004,G$23)&gt;0,"Exp","")))</f>
        <v/>
      </c>
      <c r="H509" s="79">
        <f>IF(OR($A509="",H$23=""),"",IF(COUNTIFS('AFA Rates'!$A$5:$A$1004,$A509,'AFA Rates'!$B$5:$B$1004,H$23,'AFA Rates'!$O$5:$O$1004,"&lt;&gt;Expired")&gt;0,"✓",IF(COUNTIFS('AFA Rates'!$A$5:$A$1004,$A509,'AFA Rates'!$B$5:$B$1004,H$23)&gt;0,"Exp","")))</f>
        <v/>
      </c>
      <c r="I509" s="79">
        <f>IF(OR($A509="",I$23=""),"",IF(COUNTIFS('AFA Rates'!$A$5:$A$1004,$A509,'AFA Rates'!$B$5:$B$1004,I$23,'AFA Rates'!$O$5:$O$1004,"&lt;&gt;Expired")&gt;0,"✓",IF(COUNTIFS('AFA Rates'!$A$5:$A$1004,$A509,'AFA Rates'!$B$5:$B$1004,I$23)&gt;0,"Exp","")))</f>
        <v/>
      </c>
      <c r="J509" s="79">
        <f>IF(OR($A509="",J$23=""),"",IF(COUNTIFS('AFA Rates'!$A$5:$A$1004,$A509,'AFA Rates'!$B$5:$B$1004,J$23,'AFA Rates'!$O$5:$O$1004,"&lt;&gt;Expired")&gt;0,"✓",IF(COUNTIFS('AFA Rates'!$A$5:$A$1004,$A509,'AFA Rates'!$B$5:$B$1004,J$23)&gt;0,"Exp","")))</f>
        <v/>
      </c>
      <c r="K509" s="79">
        <f>IF(OR($A509="",K$23=""),"",IF(COUNTIFS('AFA Rates'!$A$5:$A$1004,$A509,'AFA Rates'!$B$5:$B$1004,K$23,'AFA Rates'!$O$5:$O$1004,"&lt;&gt;Expired")&gt;0,"✓",IF(COUNTIFS('AFA Rates'!$A$5:$A$1004,$A509,'AFA Rates'!$B$5:$B$1004,K$23)&gt;0,"Exp","")))</f>
        <v/>
      </c>
      <c r="L509" s="79">
        <f>IF(OR($A509="",L$23=""),"",IF(COUNTIFS('AFA Rates'!$A$5:$A$1004,$A509,'AFA Rates'!$B$5:$B$1004,L$23,'AFA Rates'!$O$5:$O$1004,"&lt;&gt;Expired")&gt;0,"✓",IF(COUNTIFS('AFA Rates'!$A$5:$A$1004,$A509,'AFA Rates'!$B$5:$B$1004,L$23)&gt;0,"Exp","")))</f>
        <v/>
      </c>
      <c r="M509" s="79">
        <f>IF(OR($A509="",M$23=""),"",IF(COUNTIFS('AFA Rates'!$A$5:$A$1004,$A509,'AFA Rates'!$B$5:$B$1004,M$23,'AFA Rates'!$O$5:$O$1004,"&lt;&gt;Expired")&gt;0,"✓",IF(COUNTIFS('AFA Rates'!$A$5:$A$1004,$A509,'AFA Rates'!$B$5:$B$1004,M$23)&gt;0,"Exp","")))</f>
        <v/>
      </c>
    </row>
    <row r="510">
      <c r="A510" s="78">
        <f>IFERROR(INDEX(Firms!$A$5:$A$1004,MATCH(487,Firms!$V$5:$V$1004,0)),"")</f>
        <v/>
      </c>
      <c r="B510" s="79">
        <f>IF($A510="","",INDEX(Firms!$B$5:$B$1004,MATCH(487,Firms!$V$5:$V$1004,0)))</f>
        <v/>
      </c>
      <c r="C510" s="79">
        <f>IF($A510="","",COUNTIFS('AFA Rates'!$A$5:$A$1004,$A510,'AFA Rates'!$O$5:$O$1004,"&lt;&gt;Expired"))</f>
        <v/>
      </c>
      <c r="D510" s="79">
        <f>IF(OR($A510="",D$23=""),"",IF(COUNTIFS('AFA Rates'!$A$5:$A$1004,$A510,'AFA Rates'!$B$5:$B$1004,D$23,'AFA Rates'!$O$5:$O$1004,"&lt;&gt;Expired")&gt;0,"✓",IF(COUNTIFS('AFA Rates'!$A$5:$A$1004,$A510,'AFA Rates'!$B$5:$B$1004,D$23)&gt;0,"Exp","")))</f>
        <v/>
      </c>
      <c r="E510" s="79">
        <f>IF(OR($A510="",E$23=""),"",IF(COUNTIFS('AFA Rates'!$A$5:$A$1004,$A510,'AFA Rates'!$B$5:$B$1004,E$23,'AFA Rates'!$O$5:$O$1004,"&lt;&gt;Expired")&gt;0,"✓",IF(COUNTIFS('AFA Rates'!$A$5:$A$1004,$A510,'AFA Rates'!$B$5:$B$1004,E$23)&gt;0,"Exp","")))</f>
        <v/>
      </c>
      <c r="F510" s="79">
        <f>IF(OR($A510="",F$23=""),"",IF(COUNTIFS('AFA Rates'!$A$5:$A$1004,$A510,'AFA Rates'!$B$5:$B$1004,F$23,'AFA Rates'!$O$5:$O$1004,"&lt;&gt;Expired")&gt;0,"✓",IF(COUNTIFS('AFA Rates'!$A$5:$A$1004,$A510,'AFA Rates'!$B$5:$B$1004,F$23)&gt;0,"Exp","")))</f>
        <v/>
      </c>
      <c r="G510" s="79">
        <f>IF(OR($A510="",G$23=""),"",IF(COUNTIFS('AFA Rates'!$A$5:$A$1004,$A510,'AFA Rates'!$B$5:$B$1004,G$23,'AFA Rates'!$O$5:$O$1004,"&lt;&gt;Expired")&gt;0,"✓",IF(COUNTIFS('AFA Rates'!$A$5:$A$1004,$A510,'AFA Rates'!$B$5:$B$1004,G$23)&gt;0,"Exp","")))</f>
        <v/>
      </c>
      <c r="H510" s="79">
        <f>IF(OR($A510="",H$23=""),"",IF(COUNTIFS('AFA Rates'!$A$5:$A$1004,$A510,'AFA Rates'!$B$5:$B$1004,H$23,'AFA Rates'!$O$5:$O$1004,"&lt;&gt;Expired")&gt;0,"✓",IF(COUNTIFS('AFA Rates'!$A$5:$A$1004,$A510,'AFA Rates'!$B$5:$B$1004,H$23)&gt;0,"Exp","")))</f>
        <v/>
      </c>
      <c r="I510" s="79">
        <f>IF(OR($A510="",I$23=""),"",IF(COUNTIFS('AFA Rates'!$A$5:$A$1004,$A510,'AFA Rates'!$B$5:$B$1004,I$23,'AFA Rates'!$O$5:$O$1004,"&lt;&gt;Expired")&gt;0,"✓",IF(COUNTIFS('AFA Rates'!$A$5:$A$1004,$A510,'AFA Rates'!$B$5:$B$1004,I$23)&gt;0,"Exp","")))</f>
        <v/>
      </c>
      <c r="J510" s="79">
        <f>IF(OR($A510="",J$23=""),"",IF(COUNTIFS('AFA Rates'!$A$5:$A$1004,$A510,'AFA Rates'!$B$5:$B$1004,J$23,'AFA Rates'!$O$5:$O$1004,"&lt;&gt;Expired")&gt;0,"✓",IF(COUNTIFS('AFA Rates'!$A$5:$A$1004,$A510,'AFA Rates'!$B$5:$B$1004,J$23)&gt;0,"Exp","")))</f>
        <v/>
      </c>
      <c r="K510" s="79">
        <f>IF(OR($A510="",K$23=""),"",IF(COUNTIFS('AFA Rates'!$A$5:$A$1004,$A510,'AFA Rates'!$B$5:$B$1004,K$23,'AFA Rates'!$O$5:$O$1004,"&lt;&gt;Expired")&gt;0,"✓",IF(COUNTIFS('AFA Rates'!$A$5:$A$1004,$A510,'AFA Rates'!$B$5:$B$1004,K$23)&gt;0,"Exp","")))</f>
        <v/>
      </c>
      <c r="L510" s="79">
        <f>IF(OR($A510="",L$23=""),"",IF(COUNTIFS('AFA Rates'!$A$5:$A$1004,$A510,'AFA Rates'!$B$5:$B$1004,L$23,'AFA Rates'!$O$5:$O$1004,"&lt;&gt;Expired")&gt;0,"✓",IF(COUNTIFS('AFA Rates'!$A$5:$A$1004,$A510,'AFA Rates'!$B$5:$B$1004,L$23)&gt;0,"Exp","")))</f>
        <v/>
      </c>
      <c r="M510" s="79">
        <f>IF(OR($A510="",M$23=""),"",IF(COUNTIFS('AFA Rates'!$A$5:$A$1004,$A510,'AFA Rates'!$B$5:$B$1004,M$23,'AFA Rates'!$O$5:$O$1004,"&lt;&gt;Expired")&gt;0,"✓",IF(COUNTIFS('AFA Rates'!$A$5:$A$1004,$A510,'AFA Rates'!$B$5:$B$1004,M$23)&gt;0,"Exp","")))</f>
        <v/>
      </c>
    </row>
    <row r="511">
      <c r="A511" s="78">
        <f>IFERROR(INDEX(Firms!$A$5:$A$1004,MATCH(488,Firms!$V$5:$V$1004,0)),"")</f>
        <v/>
      </c>
      <c r="B511" s="79">
        <f>IF($A511="","",INDEX(Firms!$B$5:$B$1004,MATCH(488,Firms!$V$5:$V$1004,0)))</f>
        <v/>
      </c>
      <c r="C511" s="79">
        <f>IF($A511="","",COUNTIFS('AFA Rates'!$A$5:$A$1004,$A511,'AFA Rates'!$O$5:$O$1004,"&lt;&gt;Expired"))</f>
        <v/>
      </c>
      <c r="D511" s="79">
        <f>IF(OR($A511="",D$23=""),"",IF(COUNTIFS('AFA Rates'!$A$5:$A$1004,$A511,'AFA Rates'!$B$5:$B$1004,D$23,'AFA Rates'!$O$5:$O$1004,"&lt;&gt;Expired")&gt;0,"✓",IF(COUNTIFS('AFA Rates'!$A$5:$A$1004,$A511,'AFA Rates'!$B$5:$B$1004,D$23)&gt;0,"Exp","")))</f>
        <v/>
      </c>
      <c r="E511" s="79">
        <f>IF(OR($A511="",E$23=""),"",IF(COUNTIFS('AFA Rates'!$A$5:$A$1004,$A511,'AFA Rates'!$B$5:$B$1004,E$23,'AFA Rates'!$O$5:$O$1004,"&lt;&gt;Expired")&gt;0,"✓",IF(COUNTIFS('AFA Rates'!$A$5:$A$1004,$A511,'AFA Rates'!$B$5:$B$1004,E$23)&gt;0,"Exp","")))</f>
        <v/>
      </c>
      <c r="F511" s="79">
        <f>IF(OR($A511="",F$23=""),"",IF(COUNTIFS('AFA Rates'!$A$5:$A$1004,$A511,'AFA Rates'!$B$5:$B$1004,F$23,'AFA Rates'!$O$5:$O$1004,"&lt;&gt;Expired")&gt;0,"✓",IF(COUNTIFS('AFA Rates'!$A$5:$A$1004,$A511,'AFA Rates'!$B$5:$B$1004,F$23)&gt;0,"Exp","")))</f>
        <v/>
      </c>
      <c r="G511" s="79">
        <f>IF(OR($A511="",G$23=""),"",IF(COUNTIFS('AFA Rates'!$A$5:$A$1004,$A511,'AFA Rates'!$B$5:$B$1004,G$23,'AFA Rates'!$O$5:$O$1004,"&lt;&gt;Expired")&gt;0,"✓",IF(COUNTIFS('AFA Rates'!$A$5:$A$1004,$A511,'AFA Rates'!$B$5:$B$1004,G$23)&gt;0,"Exp","")))</f>
        <v/>
      </c>
      <c r="H511" s="79">
        <f>IF(OR($A511="",H$23=""),"",IF(COUNTIFS('AFA Rates'!$A$5:$A$1004,$A511,'AFA Rates'!$B$5:$B$1004,H$23,'AFA Rates'!$O$5:$O$1004,"&lt;&gt;Expired")&gt;0,"✓",IF(COUNTIFS('AFA Rates'!$A$5:$A$1004,$A511,'AFA Rates'!$B$5:$B$1004,H$23)&gt;0,"Exp","")))</f>
        <v/>
      </c>
      <c r="I511" s="79">
        <f>IF(OR($A511="",I$23=""),"",IF(COUNTIFS('AFA Rates'!$A$5:$A$1004,$A511,'AFA Rates'!$B$5:$B$1004,I$23,'AFA Rates'!$O$5:$O$1004,"&lt;&gt;Expired")&gt;0,"✓",IF(COUNTIFS('AFA Rates'!$A$5:$A$1004,$A511,'AFA Rates'!$B$5:$B$1004,I$23)&gt;0,"Exp","")))</f>
        <v/>
      </c>
      <c r="J511" s="79">
        <f>IF(OR($A511="",J$23=""),"",IF(COUNTIFS('AFA Rates'!$A$5:$A$1004,$A511,'AFA Rates'!$B$5:$B$1004,J$23,'AFA Rates'!$O$5:$O$1004,"&lt;&gt;Expired")&gt;0,"✓",IF(COUNTIFS('AFA Rates'!$A$5:$A$1004,$A511,'AFA Rates'!$B$5:$B$1004,J$23)&gt;0,"Exp","")))</f>
        <v/>
      </c>
      <c r="K511" s="79">
        <f>IF(OR($A511="",K$23=""),"",IF(COUNTIFS('AFA Rates'!$A$5:$A$1004,$A511,'AFA Rates'!$B$5:$B$1004,K$23,'AFA Rates'!$O$5:$O$1004,"&lt;&gt;Expired")&gt;0,"✓",IF(COUNTIFS('AFA Rates'!$A$5:$A$1004,$A511,'AFA Rates'!$B$5:$B$1004,K$23)&gt;0,"Exp","")))</f>
        <v/>
      </c>
      <c r="L511" s="79">
        <f>IF(OR($A511="",L$23=""),"",IF(COUNTIFS('AFA Rates'!$A$5:$A$1004,$A511,'AFA Rates'!$B$5:$B$1004,L$23,'AFA Rates'!$O$5:$O$1004,"&lt;&gt;Expired")&gt;0,"✓",IF(COUNTIFS('AFA Rates'!$A$5:$A$1004,$A511,'AFA Rates'!$B$5:$B$1004,L$23)&gt;0,"Exp","")))</f>
        <v/>
      </c>
      <c r="M511" s="79">
        <f>IF(OR($A511="",M$23=""),"",IF(COUNTIFS('AFA Rates'!$A$5:$A$1004,$A511,'AFA Rates'!$B$5:$B$1004,M$23,'AFA Rates'!$O$5:$O$1004,"&lt;&gt;Expired")&gt;0,"✓",IF(COUNTIFS('AFA Rates'!$A$5:$A$1004,$A511,'AFA Rates'!$B$5:$B$1004,M$23)&gt;0,"Exp","")))</f>
        <v/>
      </c>
    </row>
    <row r="512">
      <c r="A512" s="78">
        <f>IFERROR(INDEX(Firms!$A$5:$A$1004,MATCH(489,Firms!$V$5:$V$1004,0)),"")</f>
        <v/>
      </c>
      <c r="B512" s="79">
        <f>IF($A512="","",INDEX(Firms!$B$5:$B$1004,MATCH(489,Firms!$V$5:$V$1004,0)))</f>
        <v/>
      </c>
      <c r="C512" s="79">
        <f>IF($A512="","",COUNTIFS('AFA Rates'!$A$5:$A$1004,$A512,'AFA Rates'!$O$5:$O$1004,"&lt;&gt;Expired"))</f>
        <v/>
      </c>
      <c r="D512" s="79">
        <f>IF(OR($A512="",D$23=""),"",IF(COUNTIFS('AFA Rates'!$A$5:$A$1004,$A512,'AFA Rates'!$B$5:$B$1004,D$23,'AFA Rates'!$O$5:$O$1004,"&lt;&gt;Expired")&gt;0,"✓",IF(COUNTIFS('AFA Rates'!$A$5:$A$1004,$A512,'AFA Rates'!$B$5:$B$1004,D$23)&gt;0,"Exp","")))</f>
        <v/>
      </c>
      <c r="E512" s="79">
        <f>IF(OR($A512="",E$23=""),"",IF(COUNTIFS('AFA Rates'!$A$5:$A$1004,$A512,'AFA Rates'!$B$5:$B$1004,E$23,'AFA Rates'!$O$5:$O$1004,"&lt;&gt;Expired")&gt;0,"✓",IF(COUNTIFS('AFA Rates'!$A$5:$A$1004,$A512,'AFA Rates'!$B$5:$B$1004,E$23)&gt;0,"Exp","")))</f>
        <v/>
      </c>
      <c r="F512" s="79">
        <f>IF(OR($A512="",F$23=""),"",IF(COUNTIFS('AFA Rates'!$A$5:$A$1004,$A512,'AFA Rates'!$B$5:$B$1004,F$23,'AFA Rates'!$O$5:$O$1004,"&lt;&gt;Expired")&gt;0,"✓",IF(COUNTIFS('AFA Rates'!$A$5:$A$1004,$A512,'AFA Rates'!$B$5:$B$1004,F$23)&gt;0,"Exp","")))</f>
        <v/>
      </c>
      <c r="G512" s="79">
        <f>IF(OR($A512="",G$23=""),"",IF(COUNTIFS('AFA Rates'!$A$5:$A$1004,$A512,'AFA Rates'!$B$5:$B$1004,G$23,'AFA Rates'!$O$5:$O$1004,"&lt;&gt;Expired")&gt;0,"✓",IF(COUNTIFS('AFA Rates'!$A$5:$A$1004,$A512,'AFA Rates'!$B$5:$B$1004,G$23)&gt;0,"Exp","")))</f>
        <v/>
      </c>
      <c r="H512" s="79">
        <f>IF(OR($A512="",H$23=""),"",IF(COUNTIFS('AFA Rates'!$A$5:$A$1004,$A512,'AFA Rates'!$B$5:$B$1004,H$23,'AFA Rates'!$O$5:$O$1004,"&lt;&gt;Expired")&gt;0,"✓",IF(COUNTIFS('AFA Rates'!$A$5:$A$1004,$A512,'AFA Rates'!$B$5:$B$1004,H$23)&gt;0,"Exp","")))</f>
        <v/>
      </c>
      <c r="I512" s="79">
        <f>IF(OR($A512="",I$23=""),"",IF(COUNTIFS('AFA Rates'!$A$5:$A$1004,$A512,'AFA Rates'!$B$5:$B$1004,I$23,'AFA Rates'!$O$5:$O$1004,"&lt;&gt;Expired")&gt;0,"✓",IF(COUNTIFS('AFA Rates'!$A$5:$A$1004,$A512,'AFA Rates'!$B$5:$B$1004,I$23)&gt;0,"Exp","")))</f>
        <v/>
      </c>
      <c r="J512" s="79">
        <f>IF(OR($A512="",J$23=""),"",IF(COUNTIFS('AFA Rates'!$A$5:$A$1004,$A512,'AFA Rates'!$B$5:$B$1004,J$23,'AFA Rates'!$O$5:$O$1004,"&lt;&gt;Expired")&gt;0,"✓",IF(COUNTIFS('AFA Rates'!$A$5:$A$1004,$A512,'AFA Rates'!$B$5:$B$1004,J$23)&gt;0,"Exp","")))</f>
        <v/>
      </c>
      <c r="K512" s="79">
        <f>IF(OR($A512="",K$23=""),"",IF(COUNTIFS('AFA Rates'!$A$5:$A$1004,$A512,'AFA Rates'!$B$5:$B$1004,K$23,'AFA Rates'!$O$5:$O$1004,"&lt;&gt;Expired")&gt;0,"✓",IF(COUNTIFS('AFA Rates'!$A$5:$A$1004,$A512,'AFA Rates'!$B$5:$B$1004,K$23)&gt;0,"Exp","")))</f>
        <v/>
      </c>
      <c r="L512" s="79">
        <f>IF(OR($A512="",L$23=""),"",IF(COUNTIFS('AFA Rates'!$A$5:$A$1004,$A512,'AFA Rates'!$B$5:$B$1004,L$23,'AFA Rates'!$O$5:$O$1004,"&lt;&gt;Expired")&gt;0,"✓",IF(COUNTIFS('AFA Rates'!$A$5:$A$1004,$A512,'AFA Rates'!$B$5:$B$1004,L$23)&gt;0,"Exp","")))</f>
        <v/>
      </c>
      <c r="M512" s="79">
        <f>IF(OR($A512="",M$23=""),"",IF(COUNTIFS('AFA Rates'!$A$5:$A$1004,$A512,'AFA Rates'!$B$5:$B$1004,M$23,'AFA Rates'!$O$5:$O$1004,"&lt;&gt;Expired")&gt;0,"✓",IF(COUNTIFS('AFA Rates'!$A$5:$A$1004,$A512,'AFA Rates'!$B$5:$B$1004,M$23)&gt;0,"Exp","")))</f>
        <v/>
      </c>
    </row>
    <row r="513">
      <c r="A513" s="78">
        <f>IFERROR(INDEX(Firms!$A$5:$A$1004,MATCH(490,Firms!$V$5:$V$1004,0)),"")</f>
        <v/>
      </c>
      <c r="B513" s="79">
        <f>IF($A513="","",INDEX(Firms!$B$5:$B$1004,MATCH(490,Firms!$V$5:$V$1004,0)))</f>
        <v/>
      </c>
      <c r="C513" s="79">
        <f>IF($A513="","",COUNTIFS('AFA Rates'!$A$5:$A$1004,$A513,'AFA Rates'!$O$5:$O$1004,"&lt;&gt;Expired"))</f>
        <v/>
      </c>
      <c r="D513" s="79">
        <f>IF(OR($A513="",D$23=""),"",IF(COUNTIFS('AFA Rates'!$A$5:$A$1004,$A513,'AFA Rates'!$B$5:$B$1004,D$23,'AFA Rates'!$O$5:$O$1004,"&lt;&gt;Expired")&gt;0,"✓",IF(COUNTIFS('AFA Rates'!$A$5:$A$1004,$A513,'AFA Rates'!$B$5:$B$1004,D$23)&gt;0,"Exp","")))</f>
        <v/>
      </c>
      <c r="E513" s="79">
        <f>IF(OR($A513="",E$23=""),"",IF(COUNTIFS('AFA Rates'!$A$5:$A$1004,$A513,'AFA Rates'!$B$5:$B$1004,E$23,'AFA Rates'!$O$5:$O$1004,"&lt;&gt;Expired")&gt;0,"✓",IF(COUNTIFS('AFA Rates'!$A$5:$A$1004,$A513,'AFA Rates'!$B$5:$B$1004,E$23)&gt;0,"Exp","")))</f>
        <v/>
      </c>
      <c r="F513" s="79">
        <f>IF(OR($A513="",F$23=""),"",IF(COUNTIFS('AFA Rates'!$A$5:$A$1004,$A513,'AFA Rates'!$B$5:$B$1004,F$23,'AFA Rates'!$O$5:$O$1004,"&lt;&gt;Expired")&gt;0,"✓",IF(COUNTIFS('AFA Rates'!$A$5:$A$1004,$A513,'AFA Rates'!$B$5:$B$1004,F$23)&gt;0,"Exp","")))</f>
        <v/>
      </c>
      <c r="G513" s="79">
        <f>IF(OR($A513="",G$23=""),"",IF(COUNTIFS('AFA Rates'!$A$5:$A$1004,$A513,'AFA Rates'!$B$5:$B$1004,G$23,'AFA Rates'!$O$5:$O$1004,"&lt;&gt;Expired")&gt;0,"✓",IF(COUNTIFS('AFA Rates'!$A$5:$A$1004,$A513,'AFA Rates'!$B$5:$B$1004,G$23)&gt;0,"Exp","")))</f>
        <v/>
      </c>
      <c r="H513" s="79">
        <f>IF(OR($A513="",H$23=""),"",IF(COUNTIFS('AFA Rates'!$A$5:$A$1004,$A513,'AFA Rates'!$B$5:$B$1004,H$23,'AFA Rates'!$O$5:$O$1004,"&lt;&gt;Expired")&gt;0,"✓",IF(COUNTIFS('AFA Rates'!$A$5:$A$1004,$A513,'AFA Rates'!$B$5:$B$1004,H$23)&gt;0,"Exp","")))</f>
        <v/>
      </c>
      <c r="I513" s="79">
        <f>IF(OR($A513="",I$23=""),"",IF(COUNTIFS('AFA Rates'!$A$5:$A$1004,$A513,'AFA Rates'!$B$5:$B$1004,I$23,'AFA Rates'!$O$5:$O$1004,"&lt;&gt;Expired")&gt;0,"✓",IF(COUNTIFS('AFA Rates'!$A$5:$A$1004,$A513,'AFA Rates'!$B$5:$B$1004,I$23)&gt;0,"Exp","")))</f>
        <v/>
      </c>
      <c r="J513" s="79">
        <f>IF(OR($A513="",J$23=""),"",IF(COUNTIFS('AFA Rates'!$A$5:$A$1004,$A513,'AFA Rates'!$B$5:$B$1004,J$23,'AFA Rates'!$O$5:$O$1004,"&lt;&gt;Expired")&gt;0,"✓",IF(COUNTIFS('AFA Rates'!$A$5:$A$1004,$A513,'AFA Rates'!$B$5:$B$1004,J$23)&gt;0,"Exp","")))</f>
        <v/>
      </c>
      <c r="K513" s="79">
        <f>IF(OR($A513="",K$23=""),"",IF(COUNTIFS('AFA Rates'!$A$5:$A$1004,$A513,'AFA Rates'!$B$5:$B$1004,K$23,'AFA Rates'!$O$5:$O$1004,"&lt;&gt;Expired")&gt;0,"✓",IF(COUNTIFS('AFA Rates'!$A$5:$A$1004,$A513,'AFA Rates'!$B$5:$B$1004,K$23)&gt;0,"Exp","")))</f>
        <v/>
      </c>
      <c r="L513" s="79">
        <f>IF(OR($A513="",L$23=""),"",IF(COUNTIFS('AFA Rates'!$A$5:$A$1004,$A513,'AFA Rates'!$B$5:$B$1004,L$23,'AFA Rates'!$O$5:$O$1004,"&lt;&gt;Expired")&gt;0,"✓",IF(COUNTIFS('AFA Rates'!$A$5:$A$1004,$A513,'AFA Rates'!$B$5:$B$1004,L$23)&gt;0,"Exp","")))</f>
        <v/>
      </c>
      <c r="M513" s="79">
        <f>IF(OR($A513="",M$23=""),"",IF(COUNTIFS('AFA Rates'!$A$5:$A$1004,$A513,'AFA Rates'!$B$5:$B$1004,M$23,'AFA Rates'!$O$5:$O$1004,"&lt;&gt;Expired")&gt;0,"✓",IF(COUNTIFS('AFA Rates'!$A$5:$A$1004,$A513,'AFA Rates'!$B$5:$B$1004,M$23)&gt;0,"Exp","")))</f>
        <v/>
      </c>
    </row>
    <row r="514">
      <c r="A514" s="78">
        <f>IFERROR(INDEX(Firms!$A$5:$A$1004,MATCH(491,Firms!$V$5:$V$1004,0)),"")</f>
        <v/>
      </c>
      <c r="B514" s="79">
        <f>IF($A514="","",INDEX(Firms!$B$5:$B$1004,MATCH(491,Firms!$V$5:$V$1004,0)))</f>
        <v/>
      </c>
      <c r="C514" s="79">
        <f>IF($A514="","",COUNTIFS('AFA Rates'!$A$5:$A$1004,$A514,'AFA Rates'!$O$5:$O$1004,"&lt;&gt;Expired"))</f>
        <v/>
      </c>
      <c r="D514" s="79">
        <f>IF(OR($A514="",D$23=""),"",IF(COUNTIFS('AFA Rates'!$A$5:$A$1004,$A514,'AFA Rates'!$B$5:$B$1004,D$23,'AFA Rates'!$O$5:$O$1004,"&lt;&gt;Expired")&gt;0,"✓",IF(COUNTIFS('AFA Rates'!$A$5:$A$1004,$A514,'AFA Rates'!$B$5:$B$1004,D$23)&gt;0,"Exp","")))</f>
        <v/>
      </c>
      <c r="E514" s="79">
        <f>IF(OR($A514="",E$23=""),"",IF(COUNTIFS('AFA Rates'!$A$5:$A$1004,$A514,'AFA Rates'!$B$5:$B$1004,E$23,'AFA Rates'!$O$5:$O$1004,"&lt;&gt;Expired")&gt;0,"✓",IF(COUNTIFS('AFA Rates'!$A$5:$A$1004,$A514,'AFA Rates'!$B$5:$B$1004,E$23)&gt;0,"Exp","")))</f>
        <v/>
      </c>
      <c r="F514" s="79">
        <f>IF(OR($A514="",F$23=""),"",IF(COUNTIFS('AFA Rates'!$A$5:$A$1004,$A514,'AFA Rates'!$B$5:$B$1004,F$23,'AFA Rates'!$O$5:$O$1004,"&lt;&gt;Expired")&gt;0,"✓",IF(COUNTIFS('AFA Rates'!$A$5:$A$1004,$A514,'AFA Rates'!$B$5:$B$1004,F$23)&gt;0,"Exp","")))</f>
        <v/>
      </c>
      <c r="G514" s="79">
        <f>IF(OR($A514="",G$23=""),"",IF(COUNTIFS('AFA Rates'!$A$5:$A$1004,$A514,'AFA Rates'!$B$5:$B$1004,G$23,'AFA Rates'!$O$5:$O$1004,"&lt;&gt;Expired")&gt;0,"✓",IF(COUNTIFS('AFA Rates'!$A$5:$A$1004,$A514,'AFA Rates'!$B$5:$B$1004,G$23)&gt;0,"Exp","")))</f>
        <v/>
      </c>
      <c r="H514" s="79">
        <f>IF(OR($A514="",H$23=""),"",IF(COUNTIFS('AFA Rates'!$A$5:$A$1004,$A514,'AFA Rates'!$B$5:$B$1004,H$23,'AFA Rates'!$O$5:$O$1004,"&lt;&gt;Expired")&gt;0,"✓",IF(COUNTIFS('AFA Rates'!$A$5:$A$1004,$A514,'AFA Rates'!$B$5:$B$1004,H$23)&gt;0,"Exp","")))</f>
        <v/>
      </c>
      <c r="I514" s="79">
        <f>IF(OR($A514="",I$23=""),"",IF(COUNTIFS('AFA Rates'!$A$5:$A$1004,$A514,'AFA Rates'!$B$5:$B$1004,I$23,'AFA Rates'!$O$5:$O$1004,"&lt;&gt;Expired")&gt;0,"✓",IF(COUNTIFS('AFA Rates'!$A$5:$A$1004,$A514,'AFA Rates'!$B$5:$B$1004,I$23)&gt;0,"Exp","")))</f>
        <v/>
      </c>
      <c r="J514" s="79">
        <f>IF(OR($A514="",J$23=""),"",IF(COUNTIFS('AFA Rates'!$A$5:$A$1004,$A514,'AFA Rates'!$B$5:$B$1004,J$23,'AFA Rates'!$O$5:$O$1004,"&lt;&gt;Expired")&gt;0,"✓",IF(COUNTIFS('AFA Rates'!$A$5:$A$1004,$A514,'AFA Rates'!$B$5:$B$1004,J$23)&gt;0,"Exp","")))</f>
        <v/>
      </c>
      <c r="K514" s="79">
        <f>IF(OR($A514="",K$23=""),"",IF(COUNTIFS('AFA Rates'!$A$5:$A$1004,$A514,'AFA Rates'!$B$5:$B$1004,K$23,'AFA Rates'!$O$5:$O$1004,"&lt;&gt;Expired")&gt;0,"✓",IF(COUNTIFS('AFA Rates'!$A$5:$A$1004,$A514,'AFA Rates'!$B$5:$B$1004,K$23)&gt;0,"Exp","")))</f>
        <v/>
      </c>
      <c r="L514" s="79">
        <f>IF(OR($A514="",L$23=""),"",IF(COUNTIFS('AFA Rates'!$A$5:$A$1004,$A514,'AFA Rates'!$B$5:$B$1004,L$23,'AFA Rates'!$O$5:$O$1004,"&lt;&gt;Expired")&gt;0,"✓",IF(COUNTIFS('AFA Rates'!$A$5:$A$1004,$A514,'AFA Rates'!$B$5:$B$1004,L$23)&gt;0,"Exp","")))</f>
        <v/>
      </c>
      <c r="M514" s="79">
        <f>IF(OR($A514="",M$23=""),"",IF(COUNTIFS('AFA Rates'!$A$5:$A$1004,$A514,'AFA Rates'!$B$5:$B$1004,M$23,'AFA Rates'!$O$5:$O$1004,"&lt;&gt;Expired")&gt;0,"✓",IF(COUNTIFS('AFA Rates'!$A$5:$A$1004,$A514,'AFA Rates'!$B$5:$B$1004,M$23)&gt;0,"Exp","")))</f>
        <v/>
      </c>
    </row>
    <row r="515">
      <c r="A515" s="78">
        <f>IFERROR(INDEX(Firms!$A$5:$A$1004,MATCH(492,Firms!$V$5:$V$1004,0)),"")</f>
        <v/>
      </c>
      <c r="B515" s="79">
        <f>IF($A515="","",INDEX(Firms!$B$5:$B$1004,MATCH(492,Firms!$V$5:$V$1004,0)))</f>
        <v/>
      </c>
      <c r="C515" s="79">
        <f>IF($A515="","",COUNTIFS('AFA Rates'!$A$5:$A$1004,$A515,'AFA Rates'!$O$5:$O$1004,"&lt;&gt;Expired"))</f>
        <v/>
      </c>
      <c r="D515" s="79">
        <f>IF(OR($A515="",D$23=""),"",IF(COUNTIFS('AFA Rates'!$A$5:$A$1004,$A515,'AFA Rates'!$B$5:$B$1004,D$23,'AFA Rates'!$O$5:$O$1004,"&lt;&gt;Expired")&gt;0,"✓",IF(COUNTIFS('AFA Rates'!$A$5:$A$1004,$A515,'AFA Rates'!$B$5:$B$1004,D$23)&gt;0,"Exp","")))</f>
        <v/>
      </c>
      <c r="E515" s="79">
        <f>IF(OR($A515="",E$23=""),"",IF(COUNTIFS('AFA Rates'!$A$5:$A$1004,$A515,'AFA Rates'!$B$5:$B$1004,E$23,'AFA Rates'!$O$5:$O$1004,"&lt;&gt;Expired")&gt;0,"✓",IF(COUNTIFS('AFA Rates'!$A$5:$A$1004,$A515,'AFA Rates'!$B$5:$B$1004,E$23)&gt;0,"Exp","")))</f>
        <v/>
      </c>
      <c r="F515" s="79">
        <f>IF(OR($A515="",F$23=""),"",IF(COUNTIFS('AFA Rates'!$A$5:$A$1004,$A515,'AFA Rates'!$B$5:$B$1004,F$23,'AFA Rates'!$O$5:$O$1004,"&lt;&gt;Expired")&gt;0,"✓",IF(COUNTIFS('AFA Rates'!$A$5:$A$1004,$A515,'AFA Rates'!$B$5:$B$1004,F$23)&gt;0,"Exp","")))</f>
        <v/>
      </c>
      <c r="G515" s="79">
        <f>IF(OR($A515="",G$23=""),"",IF(COUNTIFS('AFA Rates'!$A$5:$A$1004,$A515,'AFA Rates'!$B$5:$B$1004,G$23,'AFA Rates'!$O$5:$O$1004,"&lt;&gt;Expired")&gt;0,"✓",IF(COUNTIFS('AFA Rates'!$A$5:$A$1004,$A515,'AFA Rates'!$B$5:$B$1004,G$23)&gt;0,"Exp","")))</f>
        <v/>
      </c>
      <c r="H515" s="79">
        <f>IF(OR($A515="",H$23=""),"",IF(COUNTIFS('AFA Rates'!$A$5:$A$1004,$A515,'AFA Rates'!$B$5:$B$1004,H$23,'AFA Rates'!$O$5:$O$1004,"&lt;&gt;Expired")&gt;0,"✓",IF(COUNTIFS('AFA Rates'!$A$5:$A$1004,$A515,'AFA Rates'!$B$5:$B$1004,H$23)&gt;0,"Exp","")))</f>
        <v/>
      </c>
      <c r="I515" s="79">
        <f>IF(OR($A515="",I$23=""),"",IF(COUNTIFS('AFA Rates'!$A$5:$A$1004,$A515,'AFA Rates'!$B$5:$B$1004,I$23,'AFA Rates'!$O$5:$O$1004,"&lt;&gt;Expired")&gt;0,"✓",IF(COUNTIFS('AFA Rates'!$A$5:$A$1004,$A515,'AFA Rates'!$B$5:$B$1004,I$23)&gt;0,"Exp","")))</f>
        <v/>
      </c>
      <c r="J515" s="79">
        <f>IF(OR($A515="",J$23=""),"",IF(COUNTIFS('AFA Rates'!$A$5:$A$1004,$A515,'AFA Rates'!$B$5:$B$1004,J$23,'AFA Rates'!$O$5:$O$1004,"&lt;&gt;Expired")&gt;0,"✓",IF(COUNTIFS('AFA Rates'!$A$5:$A$1004,$A515,'AFA Rates'!$B$5:$B$1004,J$23)&gt;0,"Exp","")))</f>
        <v/>
      </c>
      <c r="K515" s="79">
        <f>IF(OR($A515="",K$23=""),"",IF(COUNTIFS('AFA Rates'!$A$5:$A$1004,$A515,'AFA Rates'!$B$5:$B$1004,K$23,'AFA Rates'!$O$5:$O$1004,"&lt;&gt;Expired")&gt;0,"✓",IF(COUNTIFS('AFA Rates'!$A$5:$A$1004,$A515,'AFA Rates'!$B$5:$B$1004,K$23)&gt;0,"Exp","")))</f>
        <v/>
      </c>
      <c r="L515" s="79">
        <f>IF(OR($A515="",L$23=""),"",IF(COUNTIFS('AFA Rates'!$A$5:$A$1004,$A515,'AFA Rates'!$B$5:$B$1004,L$23,'AFA Rates'!$O$5:$O$1004,"&lt;&gt;Expired")&gt;0,"✓",IF(COUNTIFS('AFA Rates'!$A$5:$A$1004,$A515,'AFA Rates'!$B$5:$B$1004,L$23)&gt;0,"Exp","")))</f>
        <v/>
      </c>
      <c r="M515" s="79">
        <f>IF(OR($A515="",M$23=""),"",IF(COUNTIFS('AFA Rates'!$A$5:$A$1004,$A515,'AFA Rates'!$B$5:$B$1004,M$23,'AFA Rates'!$O$5:$O$1004,"&lt;&gt;Expired")&gt;0,"✓",IF(COUNTIFS('AFA Rates'!$A$5:$A$1004,$A515,'AFA Rates'!$B$5:$B$1004,M$23)&gt;0,"Exp","")))</f>
        <v/>
      </c>
    </row>
    <row r="516">
      <c r="A516" s="78">
        <f>IFERROR(INDEX(Firms!$A$5:$A$1004,MATCH(493,Firms!$V$5:$V$1004,0)),"")</f>
        <v/>
      </c>
      <c r="B516" s="79">
        <f>IF($A516="","",INDEX(Firms!$B$5:$B$1004,MATCH(493,Firms!$V$5:$V$1004,0)))</f>
        <v/>
      </c>
      <c r="C516" s="79">
        <f>IF($A516="","",COUNTIFS('AFA Rates'!$A$5:$A$1004,$A516,'AFA Rates'!$O$5:$O$1004,"&lt;&gt;Expired"))</f>
        <v/>
      </c>
      <c r="D516" s="79">
        <f>IF(OR($A516="",D$23=""),"",IF(COUNTIFS('AFA Rates'!$A$5:$A$1004,$A516,'AFA Rates'!$B$5:$B$1004,D$23,'AFA Rates'!$O$5:$O$1004,"&lt;&gt;Expired")&gt;0,"✓",IF(COUNTIFS('AFA Rates'!$A$5:$A$1004,$A516,'AFA Rates'!$B$5:$B$1004,D$23)&gt;0,"Exp","")))</f>
        <v/>
      </c>
      <c r="E516" s="79">
        <f>IF(OR($A516="",E$23=""),"",IF(COUNTIFS('AFA Rates'!$A$5:$A$1004,$A516,'AFA Rates'!$B$5:$B$1004,E$23,'AFA Rates'!$O$5:$O$1004,"&lt;&gt;Expired")&gt;0,"✓",IF(COUNTIFS('AFA Rates'!$A$5:$A$1004,$A516,'AFA Rates'!$B$5:$B$1004,E$23)&gt;0,"Exp","")))</f>
        <v/>
      </c>
      <c r="F516" s="79">
        <f>IF(OR($A516="",F$23=""),"",IF(COUNTIFS('AFA Rates'!$A$5:$A$1004,$A516,'AFA Rates'!$B$5:$B$1004,F$23,'AFA Rates'!$O$5:$O$1004,"&lt;&gt;Expired")&gt;0,"✓",IF(COUNTIFS('AFA Rates'!$A$5:$A$1004,$A516,'AFA Rates'!$B$5:$B$1004,F$23)&gt;0,"Exp","")))</f>
        <v/>
      </c>
      <c r="G516" s="79">
        <f>IF(OR($A516="",G$23=""),"",IF(COUNTIFS('AFA Rates'!$A$5:$A$1004,$A516,'AFA Rates'!$B$5:$B$1004,G$23,'AFA Rates'!$O$5:$O$1004,"&lt;&gt;Expired")&gt;0,"✓",IF(COUNTIFS('AFA Rates'!$A$5:$A$1004,$A516,'AFA Rates'!$B$5:$B$1004,G$23)&gt;0,"Exp","")))</f>
        <v/>
      </c>
      <c r="H516" s="79">
        <f>IF(OR($A516="",H$23=""),"",IF(COUNTIFS('AFA Rates'!$A$5:$A$1004,$A516,'AFA Rates'!$B$5:$B$1004,H$23,'AFA Rates'!$O$5:$O$1004,"&lt;&gt;Expired")&gt;0,"✓",IF(COUNTIFS('AFA Rates'!$A$5:$A$1004,$A516,'AFA Rates'!$B$5:$B$1004,H$23)&gt;0,"Exp","")))</f>
        <v/>
      </c>
      <c r="I516" s="79">
        <f>IF(OR($A516="",I$23=""),"",IF(COUNTIFS('AFA Rates'!$A$5:$A$1004,$A516,'AFA Rates'!$B$5:$B$1004,I$23,'AFA Rates'!$O$5:$O$1004,"&lt;&gt;Expired")&gt;0,"✓",IF(COUNTIFS('AFA Rates'!$A$5:$A$1004,$A516,'AFA Rates'!$B$5:$B$1004,I$23)&gt;0,"Exp","")))</f>
        <v/>
      </c>
      <c r="J516" s="79">
        <f>IF(OR($A516="",J$23=""),"",IF(COUNTIFS('AFA Rates'!$A$5:$A$1004,$A516,'AFA Rates'!$B$5:$B$1004,J$23,'AFA Rates'!$O$5:$O$1004,"&lt;&gt;Expired")&gt;0,"✓",IF(COUNTIFS('AFA Rates'!$A$5:$A$1004,$A516,'AFA Rates'!$B$5:$B$1004,J$23)&gt;0,"Exp","")))</f>
        <v/>
      </c>
      <c r="K516" s="79">
        <f>IF(OR($A516="",K$23=""),"",IF(COUNTIFS('AFA Rates'!$A$5:$A$1004,$A516,'AFA Rates'!$B$5:$B$1004,K$23,'AFA Rates'!$O$5:$O$1004,"&lt;&gt;Expired")&gt;0,"✓",IF(COUNTIFS('AFA Rates'!$A$5:$A$1004,$A516,'AFA Rates'!$B$5:$B$1004,K$23)&gt;0,"Exp","")))</f>
        <v/>
      </c>
      <c r="L516" s="79">
        <f>IF(OR($A516="",L$23=""),"",IF(COUNTIFS('AFA Rates'!$A$5:$A$1004,$A516,'AFA Rates'!$B$5:$B$1004,L$23,'AFA Rates'!$O$5:$O$1004,"&lt;&gt;Expired")&gt;0,"✓",IF(COUNTIFS('AFA Rates'!$A$5:$A$1004,$A516,'AFA Rates'!$B$5:$B$1004,L$23)&gt;0,"Exp","")))</f>
        <v/>
      </c>
      <c r="M516" s="79">
        <f>IF(OR($A516="",M$23=""),"",IF(COUNTIFS('AFA Rates'!$A$5:$A$1004,$A516,'AFA Rates'!$B$5:$B$1004,M$23,'AFA Rates'!$O$5:$O$1004,"&lt;&gt;Expired")&gt;0,"✓",IF(COUNTIFS('AFA Rates'!$A$5:$A$1004,$A516,'AFA Rates'!$B$5:$B$1004,M$23)&gt;0,"Exp","")))</f>
        <v/>
      </c>
    </row>
    <row r="517">
      <c r="A517" s="78">
        <f>IFERROR(INDEX(Firms!$A$5:$A$1004,MATCH(494,Firms!$V$5:$V$1004,0)),"")</f>
        <v/>
      </c>
      <c r="B517" s="79">
        <f>IF($A517="","",INDEX(Firms!$B$5:$B$1004,MATCH(494,Firms!$V$5:$V$1004,0)))</f>
        <v/>
      </c>
      <c r="C517" s="79">
        <f>IF($A517="","",COUNTIFS('AFA Rates'!$A$5:$A$1004,$A517,'AFA Rates'!$O$5:$O$1004,"&lt;&gt;Expired"))</f>
        <v/>
      </c>
      <c r="D517" s="79">
        <f>IF(OR($A517="",D$23=""),"",IF(COUNTIFS('AFA Rates'!$A$5:$A$1004,$A517,'AFA Rates'!$B$5:$B$1004,D$23,'AFA Rates'!$O$5:$O$1004,"&lt;&gt;Expired")&gt;0,"✓",IF(COUNTIFS('AFA Rates'!$A$5:$A$1004,$A517,'AFA Rates'!$B$5:$B$1004,D$23)&gt;0,"Exp","")))</f>
        <v/>
      </c>
      <c r="E517" s="79">
        <f>IF(OR($A517="",E$23=""),"",IF(COUNTIFS('AFA Rates'!$A$5:$A$1004,$A517,'AFA Rates'!$B$5:$B$1004,E$23,'AFA Rates'!$O$5:$O$1004,"&lt;&gt;Expired")&gt;0,"✓",IF(COUNTIFS('AFA Rates'!$A$5:$A$1004,$A517,'AFA Rates'!$B$5:$B$1004,E$23)&gt;0,"Exp","")))</f>
        <v/>
      </c>
      <c r="F517" s="79">
        <f>IF(OR($A517="",F$23=""),"",IF(COUNTIFS('AFA Rates'!$A$5:$A$1004,$A517,'AFA Rates'!$B$5:$B$1004,F$23,'AFA Rates'!$O$5:$O$1004,"&lt;&gt;Expired")&gt;0,"✓",IF(COUNTIFS('AFA Rates'!$A$5:$A$1004,$A517,'AFA Rates'!$B$5:$B$1004,F$23)&gt;0,"Exp","")))</f>
        <v/>
      </c>
      <c r="G517" s="79">
        <f>IF(OR($A517="",G$23=""),"",IF(COUNTIFS('AFA Rates'!$A$5:$A$1004,$A517,'AFA Rates'!$B$5:$B$1004,G$23,'AFA Rates'!$O$5:$O$1004,"&lt;&gt;Expired")&gt;0,"✓",IF(COUNTIFS('AFA Rates'!$A$5:$A$1004,$A517,'AFA Rates'!$B$5:$B$1004,G$23)&gt;0,"Exp","")))</f>
        <v/>
      </c>
      <c r="H517" s="79">
        <f>IF(OR($A517="",H$23=""),"",IF(COUNTIFS('AFA Rates'!$A$5:$A$1004,$A517,'AFA Rates'!$B$5:$B$1004,H$23,'AFA Rates'!$O$5:$O$1004,"&lt;&gt;Expired")&gt;0,"✓",IF(COUNTIFS('AFA Rates'!$A$5:$A$1004,$A517,'AFA Rates'!$B$5:$B$1004,H$23)&gt;0,"Exp","")))</f>
        <v/>
      </c>
      <c r="I517" s="79">
        <f>IF(OR($A517="",I$23=""),"",IF(COUNTIFS('AFA Rates'!$A$5:$A$1004,$A517,'AFA Rates'!$B$5:$B$1004,I$23,'AFA Rates'!$O$5:$O$1004,"&lt;&gt;Expired")&gt;0,"✓",IF(COUNTIFS('AFA Rates'!$A$5:$A$1004,$A517,'AFA Rates'!$B$5:$B$1004,I$23)&gt;0,"Exp","")))</f>
        <v/>
      </c>
      <c r="J517" s="79">
        <f>IF(OR($A517="",J$23=""),"",IF(COUNTIFS('AFA Rates'!$A$5:$A$1004,$A517,'AFA Rates'!$B$5:$B$1004,J$23,'AFA Rates'!$O$5:$O$1004,"&lt;&gt;Expired")&gt;0,"✓",IF(COUNTIFS('AFA Rates'!$A$5:$A$1004,$A517,'AFA Rates'!$B$5:$B$1004,J$23)&gt;0,"Exp","")))</f>
        <v/>
      </c>
      <c r="K517" s="79">
        <f>IF(OR($A517="",K$23=""),"",IF(COUNTIFS('AFA Rates'!$A$5:$A$1004,$A517,'AFA Rates'!$B$5:$B$1004,K$23,'AFA Rates'!$O$5:$O$1004,"&lt;&gt;Expired")&gt;0,"✓",IF(COUNTIFS('AFA Rates'!$A$5:$A$1004,$A517,'AFA Rates'!$B$5:$B$1004,K$23)&gt;0,"Exp","")))</f>
        <v/>
      </c>
      <c r="L517" s="79">
        <f>IF(OR($A517="",L$23=""),"",IF(COUNTIFS('AFA Rates'!$A$5:$A$1004,$A517,'AFA Rates'!$B$5:$B$1004,L$23,'AFA Rates'!$O$5:$O$1004,"&lt;&gt;Expired")&gt;0,"✓",IF(COUNTIFS('AFA Rates'!$A$5:$A$1004,$A517,'AFA Rates'!$B$5:$B$1004,L$23)&gt;0,"Exp","")))</f>
        <v/>
      </c>
      <c r="M517" s="79">
        <f>IF(OR($A517="",M$23=""),"",IF(COUNTIFS('AFA Rates'!$A$5:$A$1004,$A517,'AFA Rates'!$B$5:$B$1004,M$23,'AFA Rates'!$O$5:$O$1004,"&lt;&gt;Expired")&gt;0,"✓",IF(COUNTIFS('AFA Rates'!$A$5:$A$1004,$A517,'AFA Rates'!$B$5:$B$1004,M$23)&gt;0,"Exp","")))</f>
        <v/>
      </c>
    </row>
    <row r="518">
      <c r="A518" s="78">
        <f>IFERROR(INDEX(Firms!$A$5:$A$1004,MATCH(495,Firms!$V$5:$V$1004,0)),"")</f>
        <v/>
      </c>
      <c r="B518" s="79">
        <f>IF($A518="","",INDEX(Firms!$B$5:$B$1004,MATCH(495,Firms!$V$5:$V$1004,0)))</f>
        <v/>
      </c>
      <c r="C518" s="79">
        <f>IF($A518="","",COUNTIFS('AFA Rates'!$A$5:$A$1004,$A518,'AFA Rates'!$O$5:$O$1004,"&lt;&gt;Expired"))</f>
        <v/>
      </c>
      <c r="D518" s="79">
        <f>IF(OR($A518="",D$23=""),"",IF(COUNTIFS('AFA Rates'!$A$5:$A$1004,$A518,'AFA Rates'!$B$5:$B$1004,D$23,'AFA Rates'!$O$5:$O$1004,"&lt;&gt;Expired")&gt;0,"✓",IF(COUNTIFS('AFA Rates'!$A$5:$A$1004,$A518,'AFA Rates'!$B$5:$B$1004,D$23)&gt;0,"Exp","")))</f>
        <v/>
      </c>
      <c r="E518" s="79">
        <f>IF(OR($A518="",E$23=""),"",IF(COUNTIFS('AFA Rates'!$A$5:$A$1004,$A518,'AFA Rates'!$B$5:$B$1004,E$23,'AFA Rates'!$O$5:$O$1004,"&lt;&gt;Expired")&gt;0,"✓",IF(COUNTIFS('AFA Rates'!$A$5:$A$1004,$A518,'AFA Rates'!$B$5:$B$1004,E$23)&gt;0,"Exp","")))</f>
        <v/>
      </c>
      <c r="F518" s="79">
        <f>IF(OR($A518="",F$23=""),"",IF(COUNTIFS('AFA Rates'!$A$5:$A$1004,$A518,'AFA Rates'!$B$5:$B$1004,F$23,'AFA Rates'!$O$5:$O$1004,"&lt;&gt;Expired")&gt;0,"✓",IF(COUNTIFS('AFA Rates'!$A$5:$A$1004,$A518,'AFA Rates'!$B$5:$B$1004,F$23)&gt;0,"Exp","")))</f>
        <v/>
      </c>
      <c r="G518" s="79">
        <f>IF(OR($A518="",G$23=""),"",IF(COUNTIFS('AFA Rates'!$A$5:$A$1004,$A518,'AFA Rates'!$B$5:$B$1004,G$23,'AFA Rates'!$O$5:$O$1004,"&lt;&gt;Expired")&gt;0,"✓",IF(COUNTIFS('AFA Rates'!$A$5:$A$1004,$A518,'AFA Rates'!$B$5:$B$1004,G$23)&gt;0,"Exp","")))</f>
        <v/>
      </c>
      <c r="H518" s="79">
        <f>IF(OR($A518="",H$23=""),"",IF(COUNTIFS('AFA Rates'!$A$5:$A$1004,$A518,'AFA Rates'!$B$5:$B$1004,H$23,'AFA Rates'!$O$5:$O$1004,"&lt;&gt;Expired")&gt;0,"✓",IF(COUNTIFS('AFA Rates'!$A$5:$A$1004,$A518,'AFA Rates'!$B$5:$B$1004,H$23)&gt;0,"Exp","")))</f>
        <v/>
      </c>
      <c r="I518" s="79">
        <f>IF(OR($A518="",I$23=""),"",IF(COUNTIFS('AFA Rates'!$A$5:$A$1004,$A518,'AFA Rates'!$B$5:$B$1004,I$23,'AFA Rates'!$O$5:$O$1004,"&lt;&gt;Expired")&gt;0,"✓",IF(COUNTIFS('AFA Rates'!$A$5:$A$1004,$A518,'AFA Rates'!$B$5:$B$1004,I$23)&gt;0,"Exp","")))</f>
        <v/>
      </c>
      <c r="J518" s="79">
        <f>IF(OR($A518="",J$23=""),"",IF(COUNTIFS('AFA Rates'!$A$5:$A$1004,$A518,'AFA Rates'!$B$5:$B$1004,J$23,'AFA Rates'!$O$5:$O$1004,"&lt;&gt;Expired")&gt;0,"✓",IF(COUNTIFS('AFA Rates'!$A$5:$A$1004,$A518,'AFA Rates'!$B$5:$B$1004,J$23)&gt;0,"Exp","")))</f>
        <v/>
      </c>
      <c r="K518" s="79">
        <f>IF(OR($A518="",K$23=""),"",IF(COUNTIFS('AFA Rates'!$A$5:$A$1004,$A518,'AFA Rates'!$B$5:$B$1004,K$23,'AFA Rates'!$O$5:$O$1004,"&lt;&gt;Expired")&gt;0,"✓",IF(COUNTIFS('AFA Rates'!$A$5:$A$1004,$A518,'AFA Rates'!$B$5:$B$1004,K$23)&gt;0,"Exp","")))</f>
        <v/>
      </c>
      <c r="L518" s="79">
        <f>IF(OR($A518="",L$23=""),"",IF(COUNTIFS('AFA Rates'!$A$5:$A$1004,$A518,'AFA Rates'!$B$5:$B$1004,L$23,'AFA Rates'!$O$5:$O$1004,"&lt;&gt;Expired")&gt;0,"✓",IF(COUNTIFS('AFA Rates'!$A$5:$A$1004,$A518,'AFA Rates'!$B$5:$B$1004,L$23)&gt;0,"Exp","")))</f>
        <v/>
      </c>
      <c r="M518" s="79">
        <f>IF(OR($A518="",M$23=""),"",IF(COUNTIFS('AFA Rates'!$A$5:$A$1004,$A518,'AFA Rates'!$B$5:$B$1004,M$23,'AFA Rates'!$O$5:$O$1004,"&lt;&gt;Expired")&gt;0,"✓",IF(COUNTIFS('AFA Rates'!$A$5:$A$1004,$A518,'AFA Rates'!$B$5:$B$1004,M$23)&gt;0,"Exp","")))</f>
        <v/>
      </c>
    </row>
    <row r="519">
      <c r="A519" s="78">
        <f>IFERROR(INDEX(Firms!$A$5:$A$1004,MATCH(496,Firms!$V$5:$V$1004,0)),"")</f>
        <v/>
      </c>
      <c r="B519" s="79">
        <f>IF($A519="","",INDEX(Firms!$B$5:$B$1004,MATCH(496,Firms!$V$5:$V$1004,0)))</f>
        <v/>
      </c>
      <c r="C519" s="79">
        <f>IF($A519="","",COUNTIFS('AFA Rates'!$A$5:$A$1004,$A519,'AFA Rates'!$O$5:$O$1004,"&lt;&gt;Expired"))</f>
        <v/>
      </c>
      <c r="D519" s="79">
        <f>IF(OR($A519="",D$23=""),"",IF(COUNTIFS('AFA Rates'!$A$5:$A$1004,$A519,'AFA Rates'!$B$5:$B$1004,D$23,'AFA Rates'!$O$5:$O$1004,"&lt;&gt;Expired")&gt;0,"✓",IF(COUNTIFS('AFA Rates'!$A$5:$A$1004,$A519,'AFA Rates'!$B$5:$B$1004,D$23)&gt;0,"Exp","")))</f>
        <v/>
      </c>
      <c r="E519" s="79">
        <f>IF(OR($A519="",E$23=""),"",IF(COUNTIFS('AFA Rates'!$A$5:$A$1004,$A519,'AFA Rates'!$B$5:$B$1004,E$23,'AFA Rates'!$O$5:$O$1004,"&lt;&gt;Expired")&gt;0,"✓",IF(COUNTIFS('AFA Rates'!$A$5:$A$1004,$A519,'AFA Rates'!$B$5:$B$1004,E$23)&gt;0,"Exp","")))</f>
        <v/>
      </c>
      <c r="F519" s="79">
        <f>IF(OR($A519="",F$23=""),"",IF(COUNTIFS('AFA Rates'!$A$5:$A$1004,$A519,'AFA Rates'!$B$5:$B$1004,F$23,'AFA Rates'!$O$5:$O$1004,"&lt;&gt;Expired")&gt;0,"✓",IF(COUNTIFS('AFA Rates'!$A$5:$A$1004,$A519,'AFA Rates'!$B$5:$B$1004,F$23)&gt;0,"Exp","")))</f>
        <v/>
      </c>
      <c r="G519" s="79">
        <f>IF(OR($A519="",G$23=""),"",IF(COUNTIFS('AFA Rates'!$A$5:$A$1004,$A519,'AFA Rates'!$B$5:$B$1004,G$23,'AFA Rates'!$O$5:$O$1004,"&lt;&gt;Expired")&gt;0,"✓",IF(COUNTIFS('AFA Rates'!$A$5:$A$1004,$A519,'AFA Rates'!$B$5:$B$1004,G$23)&gt;0,"Exp","")))</f>
        <v/>
      </c>
      <c r="H519" s="79">
        <f>IF(OR($A519="",H$23=""),"",IF(COUNTIFS('AFA Rates'!$A$5:$A$1004,$A519,'AFA Rates'!$B$5:$B$1004,H$23,'AFA Rates'!$O$5:$O$1004,"&lt;&gt;Expired")&gt;0,"✓",IF(COUNTIFS('AFA Rates'!$A$5:$A$1004,$A519,'AFA Rates'!$B$5:$B$1004,H$23)&gt;0,"Exp","")))</f>
        <v/>
      </c>
      <c r="I519" s="79">
        <f>IF(OR($A519="",I$23=""),"",IF(COUNTIFS('AFA Rates'!$A$5:$A$1004,$A519,'AFA Rates'!$B$5:$B$1004,I$23,'AFA Rates'!$O$5:$O$1004,"&lt;&gt;Expired")&gt;0,"✓",IF(COUNTIFS('AFA Rates'!$A$5:$A$1004,$A519,'AFA Rates'!$B$5:$B$1004,I$23)&gt;0,"Exp","")))</f>
        <v/>
      </c>
      <c r="J519" s="79">
        <f>IF(OR($A519="",J$23=""),"",IF(COUNTIFS('AFA Rates'!$A$5:$A$1004,$A519,'AFA Rates'!$B$5:$B$1004,J$23,'AFA Rates'!$O$5:$O$1004,"&lt;&gt;Expired")&gt;0,"✓",IF(COUNTIFS('AFA Rates'!$A$5:$A$1004,$A519,'AFA Rates'!$B$5:$B$1004,J$23)&gt;0,"Exp","")))</f>
        <v/>
      </c>
      <c r="K519" s="79">
        <f>IF(OR($A519="",K$23=""),"",IF(COUNTIFS('AFA Rates'!$A$5:$A$1004,$A519,'AFA Rates'!$B$5:$B$1004,K$23,'AFA Rates'!$O$5:$O$1004,"&lt;&gt;Expired")&gt;0,"✓",IF(COUNTIFS('AFA Rates'!$A$5:$A$1004,$A519,'AFA Rates'!$B$5:$B$1004,K$23)&gt;0,"Exp","")))</f>
        <v/>
      </c>
      <c r="L519" s="79">
        <f>IF(OR($A519="",L$23=""),"",IF(COUNTIFS('AFA Rates'!$A$5:$A$1004,$A519,'AFA Rates'!$B$5:$B$1004,L$23,'AFA Rates'!$O$5:$O$1004,"&lt;&gt;Expired")&gt;0,"✓",IF(COUNTIFS('AFA Rates'!$A$5:$A$1004,$A519,'AFA Rates'!$B$5:$B$1004,L$23)&gt;0,"Exp","")))</f>
        <v/>
      </c>
      <c r="M519" s="79">
        <f>IF(OR($A519="",M$23=""),"",IF(COUNTIFS('AFA Rates'!$A$5:$A$1004,$A519,'AFA Rates'!$B$5:$B$1004,M$23,'AFA Rates'!$O$5:$O$1004,"&lt;&gt;Expired")&gt;0,"✓",IF(COUNTIFS('AFA Rates'!$A$5:$A$1004,$A519,'AFA Rates'!$B$5:$B$1004,M$23)&gt;0,"Exp","")))</f>
        <v/>
      </c>
    </row>
    <row r="520">
      <c r="A520" s="78">
        <f>IFERROR(INDEX(Firms!$A$5:$A$1004,MATCH(497,Firms!$V$5:$V$1004,0)),"")</f>
        <v/>
      </c>
      <c r="B520" s="79">
        <f>IF($A520="","",INDEX(Firms!$B$5:$B$1004,MATCH(497,Firms!$V$5:$V$1004,0)))</f>
        <v/>
      </c>
      <c r="C520" s="79">
        <f>IF($A520="","",COUNTIFS('AFA Rates'!$A$5:$A$1004,$A520,'AFA Rates'!$O$5:$O$1004,"&lt;&gt;Expired"))</f>
        <v/>
      </c>
      <c r="D520" s="79">
        <f>IF(OR($A520="",D$23=""),"",IF(COUNTIFS('AFA Rates'!$A$5:$A$1004,$A520,'AFA Rates'!$B$5:$B$1004,D$23,'AFA Rates'!$O$5:$O$1004,"&lt;&gt;Expired")&gt;0,"✓",IF(COUNTIFS('AFA Rates'!$A$5:$A$1004,$A520,'AFA Rates'!$B$5:$B$1004,D$23)&gt;0,"Exp","")))</f>
        <v/>
      </c>
      <c r="E520" s="79">
        <f>IF(OR($A520="",E$23=""),"",IF(COUNTIFS('AFA Rates'!$A$5:$A$1004,$A520,'AFA Rates'!$B$5:$B$1004,E$23,'AFA Rates'!$O$5:$O$1004,"&lt;&gt;Expired")&gt;0,"✓",IF(COUNTIFS('AFA Rates'!$A$5:$A$1004,$A520,'AFA Rates'!$B$5:$B$1004,E$23)&gt;0,"Exp","")))</f>
        <v/>
      </c>
      <c r="F520" s="79">
        <f>IF(OR($A520="",F$23=""),"",IF(COUNTIFS('AFA Rates'!$A$5:$A$1004,$A520,'AFA Rates'!$B$5:$B$1004,F$23,'AFA Rates'!$O$5:$O$1004,"&lt;&gt;Expired")&gt;0,"✓",IF(COUNTIFS('AFA Rates'!$A$5:$A$1004,$A520,'AFA Rates'!$B$5:$B$1004,F$23)&gt;0,"Exp","")))</f>
        <v/>
      </c>
      <c r="G520" s="79">
        <f>IF(OR($A520="",G$23=""),"",IF(COUNTIFS('AFA Rates'!$A$5:$A$1004,$A520,'AFA Rates'!$B$5:$B$1004,G$23,'AFA Rates'!$O$5:$O$1004,"&lt;&gt;Expired")&gt;0,"✓",IF(COUNTIFS('AFA Rates'!$A$5:$A$1004,$A520,'AFA Rates'!$B$5:$B$1004,G$23)&gt;0,"Exp","")))</f>
        <v/>
      </c>
      <c r="H520" s="79">
        <f>IF(OR($A520="",H$23=""),"",IF(COUNTIFS('AFA Rates'!$A$5:$A$1004,$A520,'AFA Rates'!$B$5:$B$1004,H$23,'AFA Rates'!$O$5:$O$1004,"&lt;&gt;Expired")&gt;0,"✓",IF(COUNTIFS('AFA Rates'!$A$5:$A$1004,$A520,'AFA Rates'!$B$5:$B$1004,H$23)&gt;0,"Exp","")))</f>
        <v/>
      </c>
      <c r="I520" s="79">
        <f>IF(OR($A520="",I$23=""),"",IF(COUNTIFS('AFA Rates'!$A$5:$A$1004,$A520,'AFA Rates'!$B$5:$B$1004,I$23,'AFA Rates'!$O$5:$O$1004,"&lt;&gt;Expired")&gt;0,"✓",IF(COUNTIFS('AFA Rates'!$A$5:$A$1004,$A520,'AFA Rates'!$B$5:$B$1004,I$23)&gt;0,"Exp","")))</f>
        <v/>
      </c>
      <c r="J520" s="79">
        <f>IF(OR($A520="",J$23=""),"",IF(COUNTIFS('AFA Rates'!$A$5:$A$1004,$A520,'AFA Rates'!$B$5:$B$1004,J$23,'AFA Rates'!$O$5:$O$1004,"&lt;&gt;Expired")&gt;0,"✓",IF(COUNTIFS('AFA Rates'!$A$5:$A$1004,$A520,'AFA Rates'!$B$5:$B$1004,J$23)&gt;0,"Exp","")))</f>
        <v/>
      </c>
      <c r="K520" s="79">
        <f>IF(OR($A520="",K$23=""),"",IF(COUNTIFS('AFA Rates'!$A$5:$A$1004,$A520,'AFA Rates'!$B$5:$B$1004,K$23,'AFA Rates'!$O$5:$O$1004,"&lt;&gt;Expired")&gt;0,"✓",IF(COUNTIFS('AFA Rates'!$A$5:$A$1004,$A520,'AFA Rates'!$B$5:$B$1004,K$23)&gt;0,"Exp","")))</f>
        <v/>
      </c>
      <c r="L520" s="79">
        <f>IF(OR($A520="",L$23=""),"",IF(COUNTIFS('AFA Rates'!$A$5:$A$1004,$A520,'AFA Rates'!$B$5:$B$1004,L$23,'AFA Rates'!$O$5:$O$1004,"&lt;&gt;Expired")&gt;0,"✓",IF(COUNTIFS('AFA Rates'!$A$5:$A$1004,$A520,'AFA Rates'!$B$5:$B$1004,L$23)&gt;0,"Exp","")))</f>
        <v/>
      </c>
      <c r="M520" s="79">
        <f>IF(OR($A520="",M$23=""),"",IF(COUNTIFS('AFA Rates'!$A$5:$A$1004,$A520,'AFA Rates'!$B$5:$B$1004,M$23,'AFA Rates'!$O$5:$O$1004,"&lt;&gt;Expired")&gt;0,"✓",IF(COUNTIFS('AFA Rates'!$A$5:$A$1004,$A520,'AFA Rates'!$B$5:$B$1004,M$23)&gt;0,"Exp","")))</f>
        <v/>
      </c>
    </row>
    <row r="521">
      <c r="A521" s="78">
        <f>IFERROR(INDEX(Firms!$A$5:$A$1004,MATCH(498,Firms!$V$5:$V$1004,0)),"")</f>
        <v/>
      </c>
      <c r="B521" s="79">
        <f>IF($A521="","",INDEX(Firms!$B$5:$B$1004,MATCH(498,Firms!$V$5:$V$1004,0)))</f>
        <v/>
      </c>
      <c r="C521" s="79">
        <f>IF($A521="","",COUNTIFS('AFA Rates'!$A$5:$A$1004,$A521,'AFA Rates'!$O$5:$O$1004,"&lt;&gt;Expired"))</f>
        <v/>
      </c>
      <c r="D521" s="79">
        <f>IF(OR($A521="",D$23=""),"",IF(COUNTIFS('AFA Rates'!$A$5:$A$1004,$A521,'AFA Rates'!$B$5:$B$1004,D$23,'AFA Rates'!$O$5:$O$1004,"&lt;&gt;Expired")&gt;0,"✓",IF(COUNTIFS('AFA Rates'!$A$5:$A$1004,$A521,'AFA Rates'!$B$5:$B$1004,D$23)&gt;0,"Exp","")))</f>
        <v/>
      </c>
      <c r="E521" s="79">
        <f>IF(OR($A521="",E$23=""),"",IF(COUNTIFS('AFA Rates'!$A$5:$A$1004,$A521,'AFA Rates'!$B$5:$B$1004,E$23,'AFA Rates'!$O$5:$O$1004,"&lt;&gt;Expired")&gt;0,"✓",IF(COUNTIFS('AFA Rates'!$A$5:$A$1004,$A521,'AFA Rates'!$B$5:$B$1004,E$23)&gt;0,"Exp","")))</f>
        <v/>
      </c>
      <c r="F521" s="79">
        <f>IF(OR($A521="",F$23=""),"",IF(COUNTIFS('AFA Rates'!$A$5:$A$1004,$A521,'AFA Rates'!$B$5:$B$1004,F$23,'AFA Rates'!$O$5:$O$1004,"&lt;&gt;Expired")&gt;0,"✓",IF(COUNTIFS('AFA Rates'!$A$5:$A$1004,$A521,'AFA Rates'!$B$5:$B$1004,F$23)&gt;0,"Exp","")))</f>
        <v/>
      </c>
      <c r="G521" s="79">
        <f>IF(OR($A521="",G$23=""),"",IF(COUNTIFS('AFA Rates'!$A$5:$A$1004,$A521,'AFA Rates'!$B$5:$B$1004,G$23,'AFA Rates'!$O$5:$O$1004,"&lt;&gt;Expired")&gt;0,"✓",IF(COUNTIFS('AFA Rates'!$A$5:$A$1004,$A521,'AFA Rates'!$B$5:$B$1004,G$23)&gt;0,"Exp","")))</f>
        <v/>
      </c>
      <c r="H521" s="79">
        <f>IF(OR($A521="",H$23=""),"",IF(COUNTIFS('AFA Rates'!$A$5:$A$1004,$A521,'AFA Rates'!$B$5:$B$1004,H$23,'AFA Rates'!$O$5:$O$1004,"&lt;&gt;Expired")&gt;0,"✓",IF(COUNTIFS('AFA Rates'!$A$5:$A$1004,$A521,'AFA Rates'!$B$5:$B$1004,H$23)&gt;0,"Exp","")))</f>
        <v/>
      </c>
      <c r="I521" s="79">
        <f>IF(OR($A521="",I$23=""),"",IF(COUNTIFS('AFA Rates'!$A$5:$A$1004,$A521,'AFA Rates'!$B$5:$B$1004,I$23,'AFA Rates'!$O$5:$O$1004,"&lt;&gt;Expired")&gt;0,"✓",IF(COUNTIFS('AFA Rates'!$A$5:$A$1004,$A521,'AFA Rates'!$B$5:$B$1004,I$23)&gt;0,"Exp","")))</f>
        <v/>
      </c>
      <c r="J521" s="79">
        <f>IF(OR($A521="",J$23=""),"",IF(COUNTIFS('AFA Rates'!$A$5:$A$1004,$A521,'AFA Rates'!$B$5:$B$1004,J$23,'AFA Rates'!$O$5:$O$1004,"&lt;&gt;Expired")&gt;0,"✓",IF(COUNTIFS('AFA Rates'!$A$5:$A$1004,$A521,'AFA Rates'!$B$5:$B$1004,J$23)&gt;0,"Exp","")))</f>
        <v/>
      </c>
      <c r="K521" s="79">
        <f>IF(OR($A521="",K$23=""),"",IF(COUNTIFS('AFA Rates'!$A$5:$A$1004,$A521,'AFA Rates'!$B$5:$B$1004,K$23,'AFA Rates'!$O$5:$O$1004,"&lt;&gt;Expired")&gt;0,"✓",IF(COUNTIFS('AFA Rates'!$A$5:$A$1004,$A521,'AFA Rates'!$B$5:$B$1004,K$23)&gt;0,"Exp","")))</f>
        <v/>
      </c>
      <c r="L521" s="79">
        <f>IF(OR($A521="",L$23=""),"",IF(COUNTIFS('AFA Rates'!$A$5:$A$1004,$A521,'AFA Rates'!$B$5:$B$1004,L$23,'AFA Rates'!$O$5:$O$1004,"&lt;&gt;Expired")&gt;0,"✓",IF(COUNTIFS('AFA Rates'!$A$5:$A$1004,$A521,'AFA Rates'!$B$5:$B$1004,L$23)&gt;0,"Exp","")))</f>
        <v/>
      </c>
      <c r="M521" s="79">
        <f>IF(OR($A521="",M$23=""),"",IF(COUNTIFS('AFA Rates'!$A$5:$A$1004,$A521,'AFA Rates'!$B$5:$B$1004,M$23,'AFA Rates'!$O$5:$O$1004,"&lt;&gt;Expired")&gt;0,"✓",IF(COUNTIFS('AFA Rates'!$A$5:$A$1004,$A521,'AFA Rates'!$B$5:$B$1004,M$23)&gt;0,"Exp","")))</f>
        <v/>
      </c>
    </row>
    <row r="522">
      <c r="A522" s="78">
        <f>IFERROR(INDEX(Firms!$A$5:$A$1004,MATCH(499,Firms!$V$5:$V$1004,0)),"")</f>
        <v/>
      </c>
      <c r="B522" s="79">
        <f>IF($A522="","",INDEX(Firms!$B$5:$B$1004,MATCH(499,Firms!$V$5:$V$1004,0)))</f>
        <v/>
      </c>
      <c r="C522" s="79">
        <f>IF($A522="","",COUNTIFS('AFA Rates'!$A$5:$A$1004,$A522,'AFA Rates'!$O$5:$O$1004,"&lt;&gt;Expired"))</f>
        <v/>
      </c>
      <c r="D522" s="79">
        <f>IF(OR($A522="",D$23=""),"",IF(COUNTIFS('AFA Rates'!$A$5:$A$1004,$A522,'AFA Rates'!$B$5:$B$1004,D$23,'AFA Rates'!$O$5:$O$1004,"&lt;&gt;Expired")&gt;0,"✓",IF(COUNTIFS('AFA Rates'!$A$5:$A$1004,$A522,'AFA Rates'!$B$5:$B$1004,D$23)&gt;0,"Exp","")))</f>
        <v/>
      </c>
      <c r="E522" s="79">
        <f>IF(OR($A522="",E$23=""),"",IF(COUNTIFS('AFA Rates'!$A$5:$A$1004,$A522,'AFA Rates'!$B$5:$B$1004,E$23,'AFA Rates'!$O$5:$O$1004,"&lt;&gt;Expired")&gt;0,"✓",IF(COUNTIFS('AFA Rates'!$A$5:$A$1004,$A522,'AFA Rates'!$B$5:$B$1004,E$23)&gt;0,"Exp","")))</f>
        <v/>
      </c>
      <c r="F522" s="79">
        <f>IF(OR($A522="",F$23=""),"",IF(COUNTIFS('AFA Rates'!$A$5:$A$1004,$A522,'AFA Rates'!$B$5:$B$1004,F$23,'AFA Rates'!$O$5:$O$1004,"&lt;&gt;Expired")&gt;0,"✓",IF(COUNTIFS('AFA Rates'!$A$5:$A$1004,$A522,'AFA Rates'!$B$5:$B$1004,F$23)&gt;0,"Exp","")))</f>
        <v/>
      </c>
      <c r="G522" s="79">
        <f>IF(OR($A522="",G$23=""),"",IF(COUNTIFS('AFA Rates'!$A$5:$A$1004,$A522,'AFA Rates'!$B$5:$B$1004,G$23,'AFA Rates'!$O$5:$O$1004,"&lt;&gt;Expired")&gt;0,"✓",IF(COUNTIFS('AFA Rates'!$A$5:$A$1004,$A522,'AFA Rates'!$B$5:$B$1004,G$23)&gt;0,"Exp","")))</f>
        <v/>
      </c>
      <c r="H522" s="79">
        <f>IF(OR($A522="",H$23=""),"",IF(COUNTIFS('AFA Rates'!$A$5:$A$1004,$A522,'AFA Rates'!$B$5:$B$1004,H$23,'AFA Rates'!$O$5:$O$1004,"&lt;&gt;Expired")&gt;0,"✓",IF(COUNTIFS('AFA Rates'!$A$5:$A$1004,$A522,'AFA Rates'!$B$5:$B$1004,H$23)&gt;0,"Exp","")))</f>
        <v/>
      </c>
      <c r="I522" s="79">
        <f>IF(OR($A522="",I$23=""),"",IF(COUNTIFS('AFA Rates'!$A$5:$A$1004,$A522,'AFA Rates'!$B$5:$B$1004,I$23,'AFA Rates'!$O$5:$O$1004,"&lt;&gt;Expired")&gt;0,"✓",IF(COUNTIFS('AFA Rates'!$A$5:$A$1004,$A522,'AFA Rates'!$B$5:$B$1004,I$23)&gt;0,"Exp","")))</f>
        <v/>
      </c>
      <c r="J522" s="79">
        <f>IF(OR($A522="",J$23=""),"",IF(COUNTIFS('AFA Rates'!$A$5:$A$1004,$A522,'AFA Rates'!$B$5:$B$1004,J$23,'AFA Rates'!$O$5:$O$1004,"&lt;&gt;Expired")&gt;0,"✓",IF(COUNTIFS('AFA Rates'!$A$5:$A$1004,$A522,'AFA Rates'!$B$5:$B$1004,J$23)&gt;0,"Exp","")))</f>
        <v/>
      </c>
      <c r="K522" s="79">
        <f>IF(OR($A522="",K$23=""),"",IF(COUNTIFS('AFA Rates'!$A$5:$A$1004,$A522,'AFA Rates'!$B$5:$B$1004,K$23,'AFA Rates'!$O$5:$O$1004,"&lt;&gt;Expired")&gt;0,"✓",IF(COUNTIFS('AFA Rates'!$A$5:$A$1004,$A522,'AFA Rates'!$B$5:$B$1004,K$23)&gt;0,"Exp","")))</f>
        <v/>
      </c>
      <c r="L522" s="79">
        <f>IF(OR($A522="",L$23=""),"",IF(COUNTIFS('AFA Rates'!$A$5:$A$1004,$A522,'AFA Rates'!$B$5:$B$1004,L$23,'AFA Rates'!$O$5:$O$1004,"&lt;&gt;Expired")&gt;0,"✓",IF(COUNTIFS('AFA Rates'!$A$5:$A$1004,$A522,'AFA Rates'!$B$5:$B$1004,L$23)&gt;0,"Exp","")))</f>
        <v/>
      </c>
      <c r="M522" s="79">
        <f>IF(OR($A522="",M$23=""),"",IF(COUNTIFS('AFA Rates'!$A$5:$A$1004,$A522,'AFA Rates'!$B$5:$B$1004,M$23,'AFA Rates'!$O$5:$O$1004,"&lt;&gt;Expired")&gt;0,"✓",IF(COUNTIFS('AFA Rates'!$A$5:$A$1004,$A522,'AFA Rates'!$B$5:$B$1004,M$23)&gt;0,"Exp","")))</f>
        <v/>
      </c>
    </row>
    <row r="523">
      <c r="A523" s="78">
        <f>IFERROR(INDEX(Firms!$A$5:$A$1004,MATCH(500,Firms!$V$5:$V$1004,0)),"")</f>
        <v/>
      </c>
      <c r="B523" s="79">
        <f>IF($A523="","",INDEX(Firms!$B$5:$B$1004,MATCH(500,Firms!$V$5:$V$1004,0)))</f>
        <v/>
      </c>
      <c r="C523" s="79">
        <f>IF($A523="","",COUNTIFS('AFA Rates'!$A$5:$A$1004,$A523,'AFA Rates'!$O$5:$O$1004,"&lt;&gt;Expired"))</f>
        <v/>
      </c>
      <c r="D523" s="79">
        <f>IF(OR($A523="",D$23=""),"",IF(COUNTIFS('AFA Rates'!$A$5:$A$1004,$A523,'AFA Rates'!$B$5:$B$1004,D$23,'AFA Rates'!$O$5:$O$1004,"&lt;&gt;Expired")&gt;0,"✓",IF(COUNTIFS('AFA Rates'!$A$5:$A$1004,$A523,'AFA Rates'!$B$5:$B$1004,D$23)&gt;0,"Exp","")))</f>
        <v/>
      </c>
      <c r="E523" s="79">
        <f>IF(OR($A523="",E$23=""),"",IF(COUNTIFS('AFA Rates'!$A$5:$A$1004,$A523,'AFA Rates'!$B$5:$B$1004,E$23,'AFA Rates'!$O$5:$O$1004,"&lt;&gt;Expired")&gt;0,"✓",IF(COUNTIFS('AFA Rates'!$A$5:$A$1004,$A523,'AFA Rates'!$B$5:$B$1004,E$23)&gt;0,"Exp","")))</f>
        <v/>
      </c>
      <c r="F523" s="79">
        <f>IF(OR($A523="",F$23=""),"",IF(COUNTIFS('AFA Rates'!$A$5:$A$1004,$A523,'AFA Rates'!$B$5:$B$1004,F$23,'AFA Rates'!$O$5:$O$1004,"&lt;&gt;Expired")&gt;0,"✓",IF(COUNTIFS('AFA Rates'!$A$5:$A$1004,$A523,'AFA Rates'!$B$5:$B$1004,F$23)&gt;0,"Exp","")))</f>
        <v/>
      </c>
      <c r="G523" s="79">
        <f>IF(OR($A523="",G$23=""),"",IF(COUNTIFS('AFA Rates'!$A$5:$A$1004,$A523,'AFA Rates'!$B$5:$B$1004,G$23,'AFA Rates'!$O$5:$O$1004,"&lt;&gt;Expired")&gt;0,"✓",IF(COUNTIFS('AFA Rates'!$A$5:$A$1004,$A523,'AFA Rates'!$B$5:$B$1004,G$23)&gt;0,"Exp","")))</f>
        <v/>
      </c>
      <c r="H523" s="79">
        <f>IF(OR($A523="",H$23=""),"",IF(COUNTIFS('AFA Rates'!$A$5:$A$1004,$A523,'AFA Rates'!$B$5:$B$1004,H$23,'AFA Rates'!$O$5:$O$1004,"&lt;&gt;Expired")&gt;0,"✓",IF(COUNTIFS('AFA Rates'!$A$5:$A$1004,$A523,'AFA Rates'!$B$5:$B$1004,H$23)&gt;0,"Exp","")))</f>
        <v/>
      </c>
      <c r="I523" s="79">
        <f>IF(OR($A523="",I$23=""),"",IF(COUNTIFS('AFA Rates'!$A$5:$A$1004,$A523,'AFA Rates'!$B$5:$B$1004,I$23,'AFA Rates'!$O$5:$O$1004,"&lt;&gt;Expired")&gt;0,"✓",IF(COUNTIFS('AFA Rates'!$A$5:$A$1004,$A523,'AFA Rates'!$B$5:$B$1004,I$23)&gt;0,"Exp","")))</f>
        <v/>
      </c>
      <c r="J523" s="79">
        <f>IF(OR($A523="",J$23=""),"",IF(COUNTIFS('AFA Rates'!$A$5:$A$1004,$A523,'AFA Rates'!$B$5:$B$1004,J$23,'AFA Rates'!$O$5:$O$1004,"&lt;&gt;Expired")&gt;0,"✓",IF(COUNTIFS('AFA Rates'!$A$5:$A$1004,$A523,'AFA Rates'!$B$5:$B$1004,J$23)&gt;0,"Exp","")))</f>
        <v/>
      </c>
      <c r="K523" s="79">
        <f>IF(OR($A523="",K$23=""),"",IF(COUNTIFS('AFA Rates'!$A$5:$A$1004,$A523,'AFA Rates'!$B$5:$B$1004,K$23,'AFA Rates'!$O$5:$O$1004,"&lt;&gt;Expired")&gt;0,"✓",IF(COUNTIFS('AFA Rates'!$A$5:$A$1004,$A523,'AFA Rates'!$B$5:$B$1004,K$23)&gt;0,"Exp","")))</f>
        <v/>
      </c>
      <c r="L523" s="79">
        <f>IF(OR($A523="",L$23=""),"",IF(COUNTIFS('AFA Rates'!$A$5:$A$1004,$A523,'AFA Rates'!$B$5:$B$1004,L$23,'AFA Rates'!$O$5:$O$1004,"&lt;&gt;Expired")&gt;0,"✓",IF(COUNTIFS('AFA Rates'!$A$5:$A$1004,$A523,'AFA Rates'!$B$5:$B$1004,L$23)&gt;0,"Exp","")))</f>
        <v/>
      </c>
      <c r="M523" s="79">
        <f>IF(OR($A523="",M$23=""),"",IF(COUNTIFS('AFA Rates'!$A$5:$A$1004,$A523,'AFA Rates'!$B$5:$B$1004,M$23,'AFA Rates'!$O$5:$O$1004,"&lt;&gt;Expired")&gt;0,"✓",IF(COUNTIFS('AFA Rates'!$A$5:$A$1004,$A523,'AFA Rates'!$B$5:$B$1004,M$23)&gt;0,"Exp","")))</f>
        <v/>
      </c>
    </row>
    <row r="524">
      <c r="A524" s="78">
        <f>IFERROR(INDEX(Firms!$A$5:$A$1004,MATCH(501,Firms!$V$5:$V$1004,0)),"")</f>
        <v/>
      </c>
      <c r="B524" s="79">
        <f>IF($A524="","",INDEX(Firms!$B$5:$B$1004,MATCH(501,Firms!$V$5:$V$1004,0)))</f>
        <v/>
      </c>
      <c r="C524" s="79">
        <f>IF($A524="","",COUNTIFS('AFA Rates'!$A$5:$A$1004,$A524,'AFA Rates'!$O$5:$O$1004,"&lt;&gt;Expired"))</f>
        <v/>
      </c>
      <c r="D524" s="79">
        <f>IF(OR($A524="",D$23=""),"",IF(COUNTIFS('AFA Rates'!$A$5:$A$1004,$A524,'AFA Rates'!$B$5:$B$1004,D$23,'AFA Rates'!$O$5:$O$1004,"&lt;&gt;Expired")&gt;0,"✓",IF(COUNTIFS('AFA Rates'!$A$5:$A$1004,$A524,'AFA Rates'!$B$5:$B$1004,D$23)&gt;0,"Exp","")))</f>
        <v/>
      </c>
      <c r="E524" s="79">
        <f>IF(OR($A524="",E$23=""),"",IF(COUNTIFS('AFA Rates'!$A$5:$A$1004,$A524,'AFA Rates'!$B$5:$B$1004,E$23,'AFA Rates'!$O$5:$O$1004,"&lt;&gt;Expired")&gt;0,"✓",IF(COUNTIFS('AFA Rates'!$A$5:$A$1004,$A524,'AFA Rates'!$B$5:$B$1004,E$23)&gt;0,"Exp","")))</f>
        <v/>
      </c>
      <c r="F524" s="79">
        <f>IF(OR($A524="",F$23=""),"",IF(COUNTIFS('AFA Rates'!$A$5:$A$1004,$A524,'AFA Rates'!$B$5:$B$1004,F$23,'AFA Rates'!$O$5:$O$1004,"&lt;&gt;Expired")&gt;0,"✓",IF(COUNTIFS('AFA Rates'!$A$5:$A$1004,$A524,'AFA Rates'!$B$5:$B$1004,F$23)&gt;0,"Exp","")))</f>
        <v/>
      </c>
      <c r="G524" s="79">
        <f>IF(OR($A524="",G$23=""),"",IF(COUNTIFS('AFA Rates'!$A$5:$A$1004,$A524,'AFA Rates'!$B$5:$B$1004,G$23,'AFA Rates'!$O$5:$O$1004,"&lt;&gt;Expired")&gt;0,"✓",IF(COUNTIFS('AFA Rates'!$A$5:$A$1004,$A524,'AFA Rates'!$B$5:$B$1004,G$23)&gt;0,"Exp","")))</f>
        <v/>
      </c>
      <c r="H524" s="79">
        <f>IF(OR($A524="",H$23=""),"",IF(COUNTIFS('AFA Rates'!$A$5:$A$1004,$A524,'AFA Rates'!$B$5:$B$1004,H$23,'AFA Rates'!$O$5:$O$1004,"&lt;&gt;Expired")&gt;0,"✓",IF(COUNTIFS('AFA Rates'!$A$5:$A$1004,$A524,'AFA Rates'!$B$5:$B$1004,H$23)&gt;0,"Exp","")))</f>
        <v/>
      </c>
      <c r="I524" s="79">
        <f>IF(OR($A524="",I$23=""),"",IF(COUNTIFS('AFA Rates'!$A$5:$A$1004,$A524,'AFA Rates'!$B$5:$B$1004,I$23,'AFA Rates'!$O$5:$O$1004,"&lt;&gt;Expired")&gt;0,"✓",IF(COUNTIFS('AFA Rates'!$A$5:$A$1004,$A524,'AFA Rates'!$B$5:$B$1004,I$23)&gt;0,"Exp","")))</f>
        <v/>
      </c>
      <c r="J524" s="79">
        <f>IF(OR($A524="",J$23=""),"",IF(COUNTIFS('AFA Rates'!$A$5:$A$1004,$A524,'AFA Rates'!$B$5:$B$1004,J$23,'AFA Rates'!$O$5:$O$1004,"&lt;&gt;Expired")&gt;0,"✓",IF(COUNTIFS('AFA Rates'!$A$5:$A$1004,$A524,'AFA Rates'!$B$5:$B$1004,J$23)&gt;0,"Exp","")))</f>
        <v/>
      </c>
      <c r="K524" s="79">
        <f>IF(OR($A524="",K$23=""),"",IF(COUNTIFS('AFA Rates'!$A$5:$A$1004,$A524,'AFA Rates'!$B$5:$B$1004,K$23,'AFA Rates'!$O$5:$O$1004,"&lt;&gt;Expired")&gt;0,"✓",IF(COUNTIFS('AFA Rates'!$A$5:$A$1004,$A524,'AFA Rates'!$B$5:$B$1004,K$23)&gt;0,"Exp","")))</f>
        <v/>
      </c>
      <c r="L524" s="79">
        <f>IF(OR($A524="",L$23=""),"",IF(COUNTIFS('AFA Rates'!$A$5:$A$1004,$A524,'AFA Rates'!$B$5:$B$1004,L$23,'AFA Rates'!$O$5:$O$1004,"&lt;&gt;Expired")&gt;0,"✓",IF(COUNTIFS('AFA Rates'!$A$5:$A$1004,$A524,'AFA Rates'!$B$5:$B$1004,L$23)&gt;0,"Exp","")))</f>
        <v/>
      </c>
      <c r="M524" s="79">
        <f>IF(OR($A524="",M$23=""),"",IF(COUNTIFS('AFA Rates'!$A$5:$A$1004,$A524,'AFA Rates'!$B$5:$B$1004,M$23,'AFA Rates'!$O$5:$O$1004,"&lt;&gt;Expired")&gt;0,"✓",IF(COUNTIFS('AFA Rates'!$A$5:$A$1004,$A524,'AFA Rates'!$B$5:$B$1004,M$23)&gt;0,"Exp","")))</f>
        <v/>
      </c>
    </row>
    <row r="525">
      <c r="A525" s="78">
        <f>IFERROR(INDEX(Firms!$A$5:$A$1004,MATCH(502,Firms!$V$5:$V$1004,0)),"")</f>
        <v/>
      </c>
      <c r="B525" s="79">
        <f>IF($A525="","",INDEX(Firms!$B$5:$B$1004,MATCH(502,Firms!$V$5:$V$1004,0)))</f>
        <v/>
      </c>
      <c r="C525" s="79">
        <f>IF($A525="","",COUNTIFS('AFA Rates'!$A$5:$A$1004,$A525,'AFA Rates'!$O$5:$O$1004,"&lt;&gt;Expired"))</f>
        <v/>
      </c>
      <c r="D525" s="79">
        <f>IF(OR($A525="",D$23=""),"",IF(COUNTIFS('AFA Rates'!$A$5:$A$1004,$A525,'AFA Rates'!$B$5:$B$1004,D$23,'AFA Rates'!$O$5:$O$1004,"&lt;&gt;Expired")&gt;0,"✓",IF(COUNTIFS('AFA Rates'!$A$5:$A$1004,$A525,'AFA Rates'!$B$5:$B$1004,D$23)&gt;0,"Exp","")))</f>
        <v/>
      </c>
      <c r="E525" s="79">
        <f>IF(OR($A525="",E$23=""),"",IF(COUNTIFS('AFA Rates'!$A$5:$A$1004,$A525,'AFA Rates'!$B$5:$B$1004,E$23,'AFA Rates'!$O$5:$O$1004,"&lt;&gt;Expired")&gt;0,"✓",IF(COUNTIFS('AFA Rates'!$A$5:$A$1004,$A525,'AFA Rates'!$B$5:$B$1004,E$23)&gt;0,"Exp","")))</f>
        <v/>
      </c>
      <c r="F525" s="79">
        <f>IF(OR($A525="",F$23=""),"",IF(COUNTIFS('AFA Rates'!$A$5:$A$1004,$A525,'AFA Rates'!$B$5:$B$1004,F$23,'AFA Rates'!$O$5:$O$1004,"&lt;&gt;Expired")&gt;0,"✓",IF(COUNTIFS('AFA Rates'!$A$5:$A$1004,$A525,'AFA Rates'!$B$5:$B$1004,F$23)&gt;0,"Exp","")))</f>
        <v/>
      </c>
      <c r="G525" s="79">
        <f>IF(OR($A525="",G$23=""),"",IF(COUNTIFS('AFA Rates'!$A$5:$A$1004,$A525,'AFA Rates'!$B$5:$B$1004,G$23,'AFA Rates'!$O$5:$O$1004,"&lt;&gt;Expired")&gt;0,"✓",IF(COUNTIFS('AFA Rates'!$A$5:$A$1004,$A525,'AFA Rates'!$B$5:$B$1004,G$23)&gt;0,"Exp","")))</f>
        <v/>
      </c>
      <c r="H525" s="79">
        <f>IF(OR($A525="",H$23=""),"",IF(COUNTIFS('AFA Rates'!$A$5:$A$1004,$A525,'AFA Rates'!$B$5:$B$1004,H$23,'AFA Rates'!$O$5:$O$1004,"&lt;&gt;Expired")&gt;0,"✓",IF(COUNTIFS('AFA Rates'!$A$5:$A$1004,$A525,'AFA Rates'!$B$5:$B$1004,H$23)&gt;0,"Exp","")))</f>
        <v/>
      </c>
      <c r="I525" s="79">
        <f>IF(OR($A525="",I$23=""),"",IF(COUNTIFS('AFA Rates'!$A$5:$A$1004,$A525,'AFA Rates'!$B$5:$B$1004,I$23,'AFA Rates'!$O$5:$O$1004,"&lt;&gt;Expired")&gt;0,"✓",IF(COUNTIFS('AFA Rates'!$A$5:$A$1004,$A525,'AFA Rates'!$B$5:$B$1004,I$23)&gt;0,"Exp","")))</f>
        <v/>
      </c>
      <c r="J525" s="79">
        <f>IF(OR($A525="",J$23=""),"",IF(COUNTIFS('AFA Rates'!$A$5:$A$1004,$A525,'AFA Rates'!$B$5:$B$1004,J$23,'AFA Rates'!$O$5:$O$1004,"&lt;&gt;Expired")&gt;0,"✓",IF(COUNTIFS('AFA Rates'!$A$5:$A$1004,$A525,'AFA Rates'!$B$5:$B$1004,J$23)&gt;0,"Exp","")))</f>
        <v/>
      </c>
      <c r="K525" s="79">
        <f>IF(OR($A525="",K$23=""),"",IF(COUNTIFS('AFA Rates'!$A$5:$A$1004,$A525,'AFA Rates'!$B$5:$B$1004,K$23,'AFA Rates'!$O$5:$O$1004,"&lt;&gt;Expired")&gt;0,"✓",IF(COUNTIFS('AFA Rates'!$A$5:$A$1004,$A525,'AFA Rates'!$B$5:$B$1004,K$23)&gt;0,"Exp","")))</f>
        <v/>
      </c>
      <c r="L525" s="79">
        <f>IF(OR($A525="",L$23=""),"",IF(COUNTIFS('AFA Rates'!$A$5:$A$1004,$A525,'AFA Rates'!$B$5:$B$1004,L$23,'AFA Rates'!$O$5:$O$1004,"&lt;&gt;Expired")&gt;0,"✓",IF(COUNTIFS('AFA Rates'!$A$5:$A$1004,$A525,'AFA Rates'!$B$5:$B$1004,L$23)&gt;0,"Exp","")))</f>
        <v/>
      </c>
      <c r="M525" s="79">
        <f>IF(OR($A525="",M$23=""),"",IF(COUNTIFS('AFA Rates'!$A$5:$A$1004,$A525,'AFA Rates'!$B$5:$B$1004,M$23,'AFA Rates'!$O$5:$O$1004,"&lt;&gt;Expired")&gt;0,"✓",IF(COUNTIFS('AFA Rates'!$A$5:$A$1004,$A525,'AFA Rates'!$B$5:$B$1004,M$23)&gt;0,"Exp","")))</f>
        <v/>
      </c>
    </row>
    <row r="526">
      <c r="A526" s="78">
        <f>IFERROR(INDEX(Firms!$A$5:$A$1004,MATCH(503,Firms!$V$5:$V$1004,0)),"")</f>
        <v/>
      </c>
      <c r="B526" s="79">
        <f>IF($A526="","",INDEX(Firms!$B$5:$B$1004,MATCH(503,Firms!$V$5:$V$1004,0)))</f>
        <v/>
      </c>
      <c r="C526" s="79">
        <f>IF($A526="","",COUNTIFS('AFA Rates'!$A$5:$A$1004,$A526,'AFA Rates'!$O$5:$O$1004,"&lt;&gt;Expired"))</f>
        <v/>
      </c>
      <c r="D526" s="79">
        <f>IF(OR($A526="",D$23=""),"",IF(COUNTIFS('AFA Rates'!$A$5:$A$1004,$A526,'AFA Rates'!$B$5:$B$1004,D$23,'AFA Rates'!$O$5:$O$1004,"&lt;&gt;Expired")&gt;0,"✓",IF(COUNTIFS('AFA Rates'!$A$5:$A$1004,$A526,'AFA Rates'!$B$5:$B$1004,D$23)&gt;0,"Exp","")))</f>
        <v/>
      </c>
      <c r="E526" s="79">
        <f>IF(OR($A526="",E$23=""),"",IF(COUNTIFS('AFA Rates'!$A$5:$A$1004,$A526,'AFA Rates'!$B$5:$B$1004,E$23,'AFA Rates'!$O$5:$O$1004,"&lt;&gt;Expired")&gt;0,"✓",IF(COUNTIFS('AFA Rates'!$A$5:$A$1004,$A526,'AFA Rates'!$B$5:$B$1004,E$23)&gt;0,"Exp","")))</f>
        <v/>
      </c>
      <c r="F526" s="79">
        <f>IF(OR($A526="",F$23=""),"",IF(COUNTIFS('AFA Rates'!$A$5:$A$1004,$A526,'AFA Rates'!$B$5:$B$1004,F$23,'AFA Rates'!$O$5:$O$1004,"&lt;&gt;Expired")&gt;0,"✓",IF(COUNTIFS('AFA Rates'!$A$5:$A$1004,$A526,'AFA Rates'!$B$5:$B$1004,F$23)&gt;0,"Exp","")))</f>
        <v/>
      </c>
      <c r="G526" s="79">
        <f>IF(OR($A526="",G$23=""),"",IF(COUNTIFS('AFA Rates'!$A$5:$A$1004,$A526,'AFA Rates'!$B$5:$B$1004,G$23,'AFA Rates'!$O$5:$O$1004,"&lt;&gt;Expired")&gt;0,"✓",IF(COUNTIFS('AFA Rates'!$A$5:$A$1004,$A526,'AFA Rates'!$B$5:$B$1004,G$23)&gt;0,"Exp","")))</f>
        <v/>
      </c>
      <c r="H526" s="79">
        <f>IF(OR($A526="",H$23=""),"",IF(COUNTIFS('AFA Rates'!$A$5:$A$1004,$A526,'AFA Rates'!$B$5:$B$1004,H$23,'AFA Rates'!$O$5:$O$1004,"&lt;&gt;Expired")&gt;0,"✓",IF(COUNTIFS('AFA Rates'!$A$5:$A$1004,$A526,'AFA Rates'!$B$5:$B$1004,H$23)&gt;0,"Exp","")))</f>
        <v/>
      </c>
      <c r="I526" s="79">
        <f>IF(OR($A526="",I$23=""),"",IF(COUNTIFS('AFA Rates'!$A$5:$A$1004,$A526,'AFA Rates'!$B$5:$B$1004,I$23,'AFA Rates'!$O$5:$O$1004,"&lt;&gt;Expired")&gt;0,"✓",IF(COUNTIFS('AFA Rates'!$A$5:$A$1004,$A526,'AFA Rates'!$B$5:$B$1004,I$23)&gt;0,"Exp","")))</f>
        <v/>
      </c>
      <c r="J526" s="79">
        <f>IF(OR($A526="",J$23=""),"",IF(COUNTIFS('AFA Rates'!$A$5:$A$1004,$A526,'AFA Rates'!$B$5:$B$1004,J$23,'AFA Rates'!$O$5:$O$1004,"&lt;&gt;Expired")&gt;0,"✓",IF(COUNTIFS('AFA Rates'!$A$5:$A$1004,$A526,'AFA Rates'!$B$5:$B$1004,J$23)&gt;0,"Exp","")))</f>
        <v/>
      </c>
      <c r="K526" s="79">
        <f>IF(OR($A526="",K$23=""),"",IF(COUNTIFS('AFA Rates'!$A$5:$A$1004,$A526,'AFA Rates'!$B$5:$B$1004,K$23,'AFA Rates'!$O$5:$O$1004,"&lt;&gt;Expired")&gt;0,"✓",IF(COUNTIFS('AFA Rates'!$A$5:$A$1004,$A526,'AFA Rates'!$B$5:$B$1004,K$23)&gt;0,"Exp","")))</f>
        <v/>
      </c>
      <c r="L526" s="79">
        <f>IF(OR($A526="",L$23=""),"",IF(COUNTIFS('AFA Rates'!$A$5:$A$1004,$A526,'AFA Rates'!$B$5:$B$1004,L$23,'AFA Rates'!$O$5:$O$1004,"&lt;&gt;Expired")&gt;0,"✓",IF(COUNTIFS('AFA Rates'!$A$5:$A$1004,$A526,'AFA Rates'!$B$5:$B$1004,L$23)&gt;0,"Exp","")))</f>
        <v/>
      </c>
      <c r="M526" s="79">
        <f>IF(OR($A526="",M$23=""),"",IF(COUNTIFS('AFA Rates'!$A$5:$A$1004,$A526,'AFA Rates'!$B$5:$B$1004,M$23,'AFA Rates'!$O$5:$O$1004,"&lt;&gt;Expired")&gt;0,"✓",IF(COUNTIFS('AFA Rates'!$A$5:$A$1004,$A526,'AFA Rates'!$B$5:$B$1004,M$23)&gt;0,"Exp","")))</f>
        <v/>
      </c>
    </row>
    <row r="527">
      <c r="A527" s="78">
        <f>IFERROR(INDEX(Firms!$A$5:$A$1004,MATCH(504,Firms!$V$5:$V$1004,0)),"")</f>
        <v/>
      </c>
      <c r="B527" s="79">
        <f>IF($A527="","",INDEX(Firms!$B$5:$B$1004,MATCH(504,Firms!$V$5:$V$1004,0)))</f>
        <v/>
      </c>
      <c r="C527" s="79">
        <f>IF($A527="","",COUNTIFS('AFA Rates'!$A$5:$A$1004,$A527,'AFA Rates'!$O$5:$O$1004,"&lt;&gt;Expired"))</f>
        <v/>
      </c>
      <c r="D527" s="79">
        <f>IF(OR($A527="",D$23=""),"",IF(COUNTIFS('AFA Rates'!$A$5:$A$1004,$A527,'AFA Rates'!$B$5:$B$1004,D$23,'AFA Rates'!$O$5:$O$1004,"&lt;&gt;Expired")&gt;0,"✓",IF(COUNTIFS('AFA Rates'!$A$5:$A$1004,$A527,'AFA Rates'!$B$5:$B$1004,D$23)&gt;0,"Exp","")))</f>
        <v/>
      </c>
      <c r="E527" s="79">
        <f>IF(OR($A527="",E$23=""),"",IF(COUNTIFS('AFA Rates'!$A$5:$A$1004,$A527,'AFA Rates'!$B$5:$B$1004,E$23,'AFA Rates'!$O$5:$O$1004,"&lt;&gt;Expired")&gt;0,"✓",IF(COUNTIFS('AFA Rates'!$A$5:$A$1004,$A527,'AFA Rates'!$B$5:$B$1004,E$23)&gt;0,"Exp","")))</f>
        <v/>
      </c>
      <c r="F527" s="79">
        <f>IF(OR($A527="",F$23=""),"",IF(COUNTIFS('AFA Rates'!$A$5:$A$1004,$A527,'AFA Rates'!$B$5:$B$1004,F$23,'AFA Rates'!$O$5:$O$1004,"&lt;&gt;Expired")&gt;0,"✓",IF(COUNTIFS('AFA Rates'!$A$5:$A$1004,$A527,'AFA Rates'!$B$5:$B$1004,F$23)&gt;0,"Exp","")))</f>
        <v/>
      </c>
      <c r="G527" s="79">
        <f>IF(OR($A527="",G$23=""),"",IF(COUNTIFS('AFA Rates'!$A$5:$A$1004,$A527,'AFA Rates'!$B$5:$B$1004,G$23,'AFA Rates'!$O$5:$O$1004,"&lt;&gt;Expired")&gt;0,"✓",IF(COUNTIFS('AFA Rates'!$A$5:$A$1004,$A527,'AFA Rates'!$B$5:$B$1004,G$23)&gt;0,"Exp","")))</f>
        <v/>
      </c>
      <c r="H527" s="79">
        <f>IF(OR($A527="",H$23=""),"",IF(COUNTIFS('AFA Rates'!$A$5:$A$1004,$A527,'AFA Rates'!$B$5:$B$1004,H$23,'AFA Rates'!$O$5:$O$1004,"&lt;&gt;Expired")&gt;0,"✓",IF(COUNTIFS('AFA Rates'!$A$5:$A$1004,$A527,'AFA Rates'!$B$5:$B$1004,H$23)&gt;0,"Exp","")))</f>
        <v/>
      </c>
      <c r="I527" s="79">
        <f>IF(OR($A527="",I$23=""),"",IF(COUNTIFS('AFA Rates'!$A$5:$A$1004,$A527,'AFA Rates'!$B$5:$B$1004,I$23,'AFA Rates'!$O$5:$O$1004,"&lt;&gt;Expired")&gt;0,"✓",IF(COUNTIFS('AFA Rates'!$A$5:$A$1004,$A527,'AFA Rates'!$B$5:$B$1004,I$23)&gt;0,"Exp","")))</f>
        <v/>
      </c>
      <c r="J527" s="79">
        <f>IF(OR($A527="",J$23=""),"",IF(COUNTIFS('AFA Rates'!$A$5:$A$1004,$A527,'AFA Rates'!$B$5:$B$1004,J$23,'AFA Rates'!$O$5:$O$1004,"&lt;&gt;Expired")&gt;0,"✓",IF(COUNTIFS('AFA Rates'!$A$5:$A$1004,$A527,'AFA Rates'!$B$5:$B$1004,J$23)&gt;0,"Exp","")))</f>
        <v/>
      </c>
      <c r="K527" s="79">
        <f>IF(OR($A527="",K$23=""),"",IF(COUNTIFS('AFA Rates'!$A$5:$A$1004,$A527,'AFA Rates'!$B$5:$B$1004,K$23,'AFA Rates'!$O$5:$O$1004,"&lt;&gt;Expired")&gt;0,"✓",IF(COUNTIFS('AFA Rates'!$A$5:$A$1004,$A527,'AFA Rates'!$B$5:$B$1004,K$23)&gt;0,"Exp","")))</f>
        <v/>
      </c>
      <c r="L527" s="79">
        <f>IF(OR($A527="",L$23=""),"",IF(COUNTIFS('AFA Rates'!$A$5:$A$1004,$A527,'AFA Rates'!$B$5:$B$1004,L$23,'AFA Rates'!$O$5:$O$1004,"&lt;&gt;Expired")&gt;0,"✓",IF(COUNTIFS('AFA Rates'!$A$5:$A$1004,$A527,'AFA Rates'!$B$5:$B$1004,L$23)&gt;0,"Exp","")))</f>
        <v/>
      </c>
      <c r="M527" s="79">
        <f>IF(OR($A527="",M$23=""),"",IF(COUNTIFS('AFA Rates'!$A$5:$A$1004,$A527,'AFA Rates'!$B$5:$B$1004,M$23,'AFA Rates'!$O$5:$O$1004,"&lt;&gt;Expired")&gt;0,"✓",IF(COUNTIFS('AFA Rates'!$A$5:$A$1004,$A527,'AFA Rates'!$B$5:$B$1004,M$23)&gt;0,"Exp","")))</f>
        <v/>
      </c>
    </row>
    <row r="528">
      <c r="A528" s="78">
        <f>IFERROR(INDEX(Firms!$A$5:$A$1004,MATCH(505,Firms!$V$5:$V$1004,0)),"")</f>
        <v/>
      </c>
      <c r="B528" s="79">
        <f>IF($A528="","",INDEX(Firms!$B$5:$B$1004,MATCH(505,Firms!$V$5:$V$1004,0)))</f>
        <v/>
      </c>
      <c r="C528" s="79">
        <f>IF($A528="","",COUNTIFS('AFA Rates'!$A$5:$A$1004,$A528,'AFA Rates'!$O$5:$O$1004,"&lt;&gt;Expired"))</f>
        <v/>
      </c>
      <c r="D528" s="79">
        <f>IF(OR($A528="",D$23=""),"",IF(COUNTIFS('AFA Rates'!$A$5:$A$1004,$A528,'AFA Rates'!$B$5:$B$1004,D$23,'AFA Rates'!$O$5:$O$1004,"&lt;&gt;Expired")&gt;0,"✓",IF(COUNTIFS('AFA Rates'!$A$5:$A$1004,$A528,'AFA Rates'!$B$5:$B$1004,D$23)&gt;0,"Exp","")))</f>
        <v/>
      </c>
      <c r="E528" s="79">
        <f>IF(OR($A528="",E$23=""),"",IF(COUNTIFS('AFA Rates'!$A$5:$A$1004,$A528,'AFA Rates'!$B$5:$B$1004,E$23,'AFA Rates'!$O$5:$O$1004,"&lt;&gt;Expired")&gt;0,"✓",IF(COUNTIFS('AFA Rates'!$A$5:$A$1004,$A528,'AFA Rates'!$B$5:$B$1004,E$23)&gt;0,"Exp","")))</f>
        <v/>
      </c>
      <c r="F528" s="79">
        <f>IF(OR($A528="",F$23=""),"",IF(COUNTIFS('AFA Rates'!$A$5:$A$1004,$A528,'AFA Rates'!$B$5:$B$1004,F$23,'AFA Rates'!$O$5:$O$1004,"&lt;&gt;Expired")&gt;0,"✓",IF(COUNTIFS('AFA Rates'!$A$5:$A$1004,$A528,'AFA Rates'!$B$5:$B$1004,F$23)&gt;0,"Exp","")))</f>
        <v/>
      </c>
      <c r="G528" s="79">
        <f>IF(OR($A528="",G$23=""),"",IF(COUNTIFS('AFA Rates'!$A$5:$A$1004,$A528,'AFA Rates'!$B$5:$B$1004,G$23,'AFA Rates'!$O$5:$O$1004,"&lt;&gt;Expired")&gt;0,"✓",IF(COUNTIFS('AFA Rates'!$A$5:$A$1004,$A528,'AFA Rates'!$B$5:$B$1004,G$23)&gt;0,"Exp","")))</f>
        <v/>
      </c>
      <c r="H528" s="79">
        <f>IF(OR($A528="",H$23=""),"",IF(COUNTIFS('AFA Rates'!$A$5:$A$1004,$A528,'AFA Rates'!$B$5:$B$1004,H$23,'AFA Rates'!$O$5:$O$1004,"&lt;&gt;Expired")&gt;0,"✓",IF(COUNTIFS('AFA Rates'!$A$5:$A$1004,$A528,'AFA Rates'!$B$5:$B$1004,H$23)&gt;0,"Exp","")))</f>
        <v/>
      </c>
      <c r="I528" s="79">
        <f>IF(OR($A528="",I$23=""),"",IF(COUNTIFS('AFA Rates'!$A$5:$A$1004,$A528,'AFA Rates'!$B$5:$B$1004,I$23,'AFA Rates'!$O$5:$O$1004,"&lt;&gt;Expired")&gt;0,"✓",IF(COUNTIFS('AFA Rates'!$A$5:$A$1004,$A528,'AFA Rates'!$B$5:$B$1004,I$23)&gt;0,"Exp","")))</f>
        <v/>
      </c>
      <c r="J528" s="79">
        <f>IF(OR($A528="",J$23=""),"",IF(COUNTIFS('AFA Rates'!$A$5:$A$1004,$A528,'AFA Rates'!$B$5:$B$1004,J$23,'AFA Rates'!$O$5:$O$1004,"&lt;&gt;Expired")&gt;0,"✓",IF(COUNTIFS('AFA Rates'!$A$5:$A$1004,$A528,'AFA Rates'!$B$5:$B$1004,J$23)&gt;0,"Exp","")))</f>
        <v/>
      </c>
      <c r="K528" s="79">
        <f>IF(OR($A528="",K$23=""),"",IF(COUNTIFS('AFA Rates'!$A$5:$A$1004,$A528,'AFA Rates'!$B$5:$B$1004,K$23,'AFA Rates'!$O$5:$O$1004,"&lt;&gt;Expired")&gt;0,"✓",IF(COUNTIFS('AFA Rates'!$A$5:$A$1004,$A528,'AFA Rates'!$B$5:$B$1004,K$23)&gt;0,"Exp","")))</f>
        <v/>
      </c>
      <c r="L528" s="79">
        <f>IF(OR($A528="",L$23=""),"",IF(COUNTIFS('AFA Rates'!$A$5:$A$1004,$A528,'AFA Rates'!$B$5:$B$1004,L$23,'AFA Rates'!$O$5:$O$1004,"&lt;&gt;Expired")&gt;0,"✓",IF(COUNTIFS('AFA Rates'!$A$5:$A$1004,$A528,'AFA Rates'!$B$5:$B$1004,L$23)&gt;0,"Exp","")))</f>
        <v/>
      </c>
      <c r="M528" s="79">
        <f>IF(OR($A528="",M$23=""),"",IF(COUNTIFS('AFA Rates'!$A$5:$A$1004,$A528,'AFA Rates'!$B$5:$B$1004,M$23,'AFA Rates'!$O$5:$O$1004,"&lt;&gt;Expired")&gt;0,"✓",IF(COUNTIFS('AFA Rates'!$A$5:$A$1004,$A528,'AFA Rates'!$B$5:$B$1004,M$23)&gt;0,"Exp","")))</f>
        <v/>
      </c>
    </row>
    <row r="529">
      <c r="A529" s="78">
        <f>IFERROR(INDEX(Firms!$A$5:$A$1004,MATCH(506,Firms!$V$5:$V$1004,0)),"")</f>
        <v/>
      </c>
      <c r="B529" s="79">
        <f>IF($A529="","",INDEX(Firms!$B$5:$B$1004,MATCH(506,Firms!$V$5:$V$1004,0)))</f>
        <v/>
      </c>
      <c r="C529" s="79">
        <f>IF($A529="","",COUNTIFS('AFA Rates'!$A$5:$A$1004,$A529,'AFA Rates'!$O$5:$O$1004,"&lt;&gt;Expired"))</f>
        <v/>
      </c>
      <c r="D529" s="79">
        <f>IF(OR($A529="",D$23=""),"",IF(COUNTIFS('AFA Rates'!$A$5:$A$1004,$A529,'AFA Rates'!$B$5:$B$1004,D$23,'AFA Rates'!$O$5:$O$1004,"&lt;&gt;Expired")&gt;0,"✓",IF(COUNTIFS('AFA Rates'!$A$5:$A$1004,$A529,'AFA Rates'!$B$5:$B$1004,D$23)&gt;0,"Exp","")))</f>
        <v/>
      </c>
      <c r="E529" s="79">
        <f>IF(OR($A529="",E$23=""),"",IF(COUNTIFS('AFA Rates'!$A$5:$A$1004,$A529,'AFA Rates'!$B$5:$B$1004,E$23,'AFA Rates'!$O$5:$O$1004,"&lt;&gt;Expired")&gt;0,"✓",IF(COUNTIFS('AFA Rates'!$A$5:$A$1004,$A529,'AFA Rates'!$B$5:$B$1004,E$23)&gt;0,"Exp","")))</f>
        <v/>
      </c>
      <c r="F529" s="79">
        <f>IF(OR($A529="",F$23=""),"",IF(COUNTIFS('AFA Rates'!$A$5:$A$1004,$A529,'AFA Rates'!$B$5:$B$1004,F$23,'AFA Rates'!$O$5:$O$1004,"&lt;&gt;Expired")&gt;0,"✓",IF(COUNTIFS('AFA Rates'!$A$5:$A$1004,$A529,'AFA Rates'!$B$5:$B$1004,F$23)&gt;0,"Exp","")))</f>
        <v/>
      </c>
      <c r="G529" s="79">
        <f>IF(OR($A529="",G$23=""),"",IF(COUNTIFS('AFA Rates'!$A$5:$A$1004,$A529,'AFA Rates'!$B$5:$B$1004,G$23,'AFA Rates'!$O$5:$O$1004,"&lt;&gt;Expired")&gt;0,"✓",IF(COUNTIFS('AFA Rates'!$A$5:$A$1004,$A529,'AFA Rates'!$B$5:$B$1004,G$23)&gt;0,"Exp","")))</f>
        <v/>
      </c>
      <c r="H529" s="79">
        <f>IF(OR($A529="",H$23=""),"",IF(COUNTIFS('AFA Rates'!$A$5:$A$1004,$A529,'AFA Rates'!$B$5:$B$1004,H$23,'AFA Rates'!$O$5:$O$1004,"&lt;&gt;Expired")&gt;0,"✓",IF(COUNTIFS('AFA Rates'!$A$5:$A$1004,$A529,'AFA Rates'!$B$5:$B$1004,H$23)&gt;0,"Exp","")))</f>
        <v/>
      </c>
      <c r="I529" s="79">
        <f>IF(OR($A529="",I$23=""),"",IF(COUNTIFS('AFA Rates'!$A$5:$A$1004,$A529,'AFA Rates'!$B$5:$B$1004,I$23,'AFA Rates'!$O$5:$O$1004,"&lt;&gt;Expired")&gt;0,"✓",IF(COUNTIFS('AFA Rates'!$A$5:$A$1004,$A529,'AFA Rates'!$B$5:$B$1004,I$23)&gt;0,"Exp","")))</f>
        <v/>
      </c>
      <c r="J529" s="79">
        <f>IF(OR($A529="",J$23=""),"",IF(COUNTIFS('AFA Rates'!$A$5:$A$1004,$A529,'AFA Rates'!$B$5:$B$1004,J$23,'AFA Rates'!$O$5:$O$1004,"&lt;&gt;Expired")&gt;0,"✓",IF(COUNTIFS('AFA Rates'!$A$5:$A$1004,$A529,'AFA Rates'!$B$5:$B$1004,J$23)&gt;0,"Exp","")))</f>
        <v/>
      </c>
      <c r="K529" s="79">
        <f>IF(OR($A529="",K$23=""),"",IF(COUNTIFS('AFA Rates'!$A$5:$A$1004,$A529,'AFA Rates'!$B$5:$B$1004,K$23,'AFA Rates'!$O$5:$O$1004,"&lt;&gt;Expired")&gt;0,"✓",IF(COUNTIFS('AFA Rates'!$A$5:$A$1004,$A529,'AFA Rates'!$B$5:$B$1004,K$23)&gt;0,"Exp","")))</f>
        <v/>
      </c>
      <c r="L529" s="79">
        <f>IF(OR($A529="",L$23=""),"",IF(COUNTIFS('AFA Rates'!$A$5:$A$1004,$A529,'AFA Rates'!$B$5:$B$1004,L$23,'AFA Rates'!$O$5:$O$1004,"&lt;&gt;Expired")&gt;0,"✓",IF(COUNTIFS('AFA Rates'!$A$5:$A$1004,$A529,'AFA Rates'!$B$5:$B$1004,L$23)&gt;0,"Exp","")))</f>
        <v/>
      </c>
      <c r="M529" s="79">
        <f>IF(OR($A529="",M$23=""),"",IF(COUNTIFS('AFA Rates'!$A$5:$A$1004,$A529,'AFA Rates'!$B$5:$B$1004,M$23,'AFA Rates'!$O$5:$O$1004,"&lt;&gt;Expired")&gt;0,"✓",IF(COUNTIFS('AFA Rates'!$A$5:$A$1004,$A529,'AFA Rates'!$B$5:$B$1004,M$23)&gt;0,"Exp","")))</f>
        <v/>
      </c>
    </row>
    <row r="530">
      <c r="A530" s="78">
        <f>IFERROR(INDEX(Firms!$A$5:$A$1004,MATCH(507,Firms!$V$5:$V$1004,0)),"")</f>
        <v/>
      </c>
      <c r="B530" s="79">
        <f>IF($A530="","",INDEX(Firms!$B$5:$B$1004,MATCH(507,Firms!$V$5:$V$1004,0)))</f>
        <v/>
      </c>
      <c r="C530" s="79">
        <f>IF($A530="","",COUNTIFS('AFA Rates'!$A$5:$A$1004,$A530,'AFA Rates'!$O$5:$O$1004,"&lt;&gt;Expired"))</f>
        <v/>
      </c>
      <c r="D530" s="79">
        <f>IF(OR($A530="",D$23=""),"",IF(COUNTIFS('AFA Rates'!$A$5:$A$1004,$A530,'AFA Rates'!$B$5:$B$1004,D$23,'AFA Rates'!$O$5:$O$1004,"&lt;&gt;Expired")&gt;0,"✓",IF(COUNTIFS('AFA Rates'!$A$5:$A$1004,$A530,'AFA Rates'!$B$5:$B$1004,D$23)&gt;0,"Exp","")))</f>
        <v/>
      </c>
      <c r="E530" s="79">
        <f>IF(OR($A530="",E$23=""),"",IF(COUNTIFS('AFA Rates'!$A$5:$A$1004,$A530,'AFA Rates'!$B$5:$B$1004,E$23,'AFA Rates'!$O$5:$O$1004,"&lt;&gt;Expired")&gt;0,"✓",IF(COUNTIFS('AFA Rates'!$A$5:$A$1004,$A530,'AFA Rates'!$B$5:$B$1004,E$23)&gt;0,"Exp","")))</f>
        <v/>
      </c>
      <c r="F530" s="79">
        <f>IF(OR($A530="",F$23=""),"",IF(COUNTIFS('AFA Rates'!$A$5:$A$1004,$A530,'AFA Rates'!$B$5:$B$1004,F$23,'AFA Rates'!$O$5:$O$1004,"&lt;&gt;Expired")&gt;0,"✓",IF(COUNTIFS('AFA Rates'!$A$5:$A$1004,$A530,'AFA Rates'!$B$5:$B$1004,F$23)&gt;0,"Exp","")))</f>
        <v/>
      </c>
      <c r="G530" s="79">
        <f>IF(OR($A530="",G$23=""),"",IF(COUNTIFS('AFA Rates'!$A$5:$A$1004,$A530,'AFA Rates'!$B$5:$B$1004,G$23,'AFA Rates'!$O$5:$O$1004,"&lt;&gt;Expired")&gt;0,"✓",IF(COUNTIFS('AFA Rates'!$A$5:$A$1004,$A530,'AFA Rates'!$B$5:$B$1004,G$23)&gt;0,"Exp","")))</f>
        <v/>
      </c>
      <c r="H530" s="79">
        <f>IF(OR($A530="",H$23=""),"",IF(COUNTIFS('AFA Rates'!$A$5:$A$1004,$A530,'AFA Rates'!$B$5:$B$1004,H$23,'AFA Rates'!$O$5:$O$1004,"&lt;&gt;Expired")&gt;0,"✓",IF(COUNTIFS('AFA Rates'!$A$5:$A$1004,$A530,'AFA Rates'!$B$5:$B$1004,H$23)&gt;0,"Exp","")))</f>
        <v/>
      </c>
      <c r="I530" s="79">
        <f>IF(OR($A530="",I$23=""),"",IF(COUNTIFS('AFA Rates'!$A$5:$A$1004,$A530,'AFA Rates'!$B$5:$B$1004,I$23,'AFA Rates'!$O$5:$O$1004,"&lt;&gt;Expired")&gt;0,"✓",IF(COUNTIFS('AFA Rates'!$A$5:$A$1004,$A530,'AFA Rates'!$B$5:$B$1004,I$23)&gt;0,"Exp","")))</f>
        <v/>
      </c>
      <c r="J530" s="79">
        <f>IF(OR($A530="",J$23=""),"",IF(COUNTIFS('AFA Rates'!$A$5:$A$1004,$A530,'AFA Rates'!$B$5:$B$1004,J$23,'AFA Rates'!$O$5:$O$1004,"&lt;&gt;Expired")&gt;0,"✓",IF(COUNTIFS('AFA Rates'!$A$5:$A$1004,$A530,'AFA Rates'!$B$5:$B$1004,J$23)&gt;0,"Exp","")))</f>
        <v/>
      </c>
      <c r="K530" s="79">
        <f>IF(OR($A530="",K$23=""),"",IF(COUNTIFS('AFA Rates'!$A$5:$A$1004,$A530,'AFA Rates'!$B$5:$B$1004,K$23,'AFA Rates'!$O$5:$O$1004,"&lt;&gt;Expired")&gt;0,"✓",IF(COUNTIFS('AFA Rates'!$A$5:$A$1004,$A530,'AFA Rates'!$B$5:$B$1004,K$23)&gt;0,"Exp","")))</f>
        <v/>
      </c>
      <c r="L530" s="79">
        <f>IF(OR($A530="",L$23=""),"",IF(COUNTIFS('AFA Rates'!$A$5:$A$1004,$A530,'AFA Rates'!$B$5:$B$1004,L$23,'AFA Rates'!$O$5:$O$1004,"&lt;&gt;Expired")&gt;0,"✓",IF(COUNTIFS('AFA Rates'!$A$5:$A$1004,$A530,'AFA Rates'!$B$5:$B$1004,L$23)&gt;0,"Exp","")))</f>
        <v/>
      </c>
      <c r="M530" s="79">
        <f>IF(OR($A530="",M$23=""),"",IF(COUNTIFS('AFA Rates'!$A$5:$A$1004,$A530,'AFA Rates'!$B$5:$B$1004,M$23,'AFA Rates'!$O$5:$O$1004,"&lt;&gt;Expired")&gt;0,"✓",IF(COUNTIFS('AFA Rates'!$A$5:$A$1004,$A530,'AFA Rates'!$B$5:$B$1004,M$23)&gt;0,"Exp","")))</f>
        <v/>
      </c>
    </row>
    <row r="531">
      <c r="A531" s="78">
        <f>IFERROR(INDEX(Firms!$A$5:$A$1004,MATCH(508,Firms!$V$5:$V$1004,0)),"")</f>
        <v/>
      </c>
      <c r="B531" s="79">
        <f>IF($A531="","",INDEX(Firms!$B$5:$B$1004,MATCH(508,Firms!$V$5:$V$1004,0)))</f>
        <v/>
      </c>
      <c r="C531" s="79">
        <f>IF($A531="","",COUNTIFS('AFA Rates'!$A$5:$A$1004,$A531,'AFA Rates'!$O$5:$O$1004,"&lt;&gt;Expired"))</f>
        <v/>
      </c>
      <c r="D531" s="79">
        <f>IF(OR($A531="",D$23=""),"",IF(COUNTIFS('AFA Rates'!$A$5:$A$1004,$A531,'AFA Rates'!$B$5:$B$1004,D$23,'AFA Rates'!$O$5:$O$1004,"&lt;&gt;Expired")&gt;0,"✓",IF(COUNTIFS('AFA Rates'!$A$5:$A$1004,$A531,'AFA Rates'!$B$5:$B$1004,D$23)&gt;0,"Exp","")))</f>
        <v/>
      </c>
      <c r="E531" s="79">
        <f>IF(OR($A531="",E$23=""),"",IF(COUNTIFS('AFA Rates'!$A$5:$A$1004,$A531,'AFA Rates'!$B$5:$B$1004,E$23,'AFA Rates'!$O$5:$O$1004,"&lt;&gt;Expired")&gt;0,"✓",IF(COUNTIFS('AFA Rates'!$A$5:$A$1004,$A531,'AFA Rates'!$B$5:$B$1004,E$23)&gt;0,"Exp","")))</f>
        <v/>
      </c>
      <c r="F531" s="79">
        <f>IF(OR($A531="",F$23=""),"",IF(COUNTIFS('AFA Rates'!$A$5:$A$1004,$A531,'AFA Rates'!$B$5:$B$1004,F$23,'AFA Rates'!$O$5:$O$1004,"&lt;&gt;Expired")&gt;0,"✓",IF(COUNTIFS('AFA Rates'!$A$5:$A$1004,$A531,'AFA Rates'!$B$5:$B$1004,F$23)&gt;0,"Exp","")))</f>
        <v/>
      </c>
      <c r="G531" s="79">
        <f>IF(OR($A531="",G$23=""),"",IF(COUNTIFS('AFA Rates'!$A$5:$A$1004,$A531,'AFA Rates'!$B$5:$B$1004,G$23,'AFA Rates'!$O$5:$O$1004,"&lt;&gt;Expired")&gt;0,"✓",IF(COUNTIFS('AFA Rates'!$A$5:$A$1004,$A531,'AFA Rates'!$B$5:$B$1004,G$23)&gt;0,"Exp","")))</f>
        <v/>
      </c>
      <c r="H531" s="79">
        <f>IF(OR($A531="",H$23=""),"",IF(COUNTIFS('AFA Rates'!$A$5:$A$1004,$A531,'AFA Rates'!$B$5:$B$1004,H$23,'AFA Rates'!$O$5:$O$1004,"&lt;&gt;Expired")&gt;0,"✓",IF(COUNTIFS('AFA Rates'!$A$5:$A$1004,$A531,'AFA Rates'!$B$5:$B$1004,H$23)&gt;0,"Exp","")))</f>
        <v/>
      </c>
      <c r="I531" s="79">
        <f>IF(OR($A531="",I$23=""),"",IF(COUNTIFS('AFA Rates'!$A$5:$A$1004,$A531,'AFA Rates'!$B$5:$B$1004,I$23,'AFA Rates'!$O$5:$O$1004,"&lt;&gt;Expired")&gt;0,"✓",IF(COUNTIFS('AFA Rates'!$A$5:$A$1004,$A531,'AFA Rates'!$B$5:$B$1004,I$23)&gt;0,"Exp","")))</f>
        <v/>
      </c>
      <c r="J531" s="79">
        <f>IF(OR($A531="",J$23=""),"",IF(COUNTIFS('AFA Rates'!$A$5:$A$1004,$A531,'AFA Rates'!$B$5:$B$1004,J$23,'AFA Rates'!$O$5:$O$1004,"&lt;&gt;Expired")&gt;0,"✓",IF(COUNTIFS('AFA Rates'!$A$5:$A$1004,$A531,'AFA Rates'!$B$5:$B$1004,J$23)&gt;0,"Exp","")))</f>
        <v/>
      </c>
      <c r="K531" s="79">
        <f>IF(OR($A531="",K$23=""),"",IF(COUNTIFS('AFA Rates'!$A$5:$A$1004,$A531,'AFA Rates'!$B$5:$B$1004,K$23,'AFA Rates'!$O$5:$O$1004,"&lt;&gt;Expired")&gt;0,"✓",IF(COUNTIFS('AFA Rates'!$A$5:$A$1004,$A531,'AFA Rates'!$B$5:$B$1004,K$23)&gt;0,"Exp","")))</f>
        <v/>
      </c>
      <c r="L531" s="79">
        <f>IF(OR($A531="",L$23=""),"",IF(COUNTIFS('AFA Rates'!$A$5:$A$1004,$A531,'AFA Rates'!$B$5:$B$1004,L$23,'AFA Rates'!$O$5:$O$1004,"&lt;&gt;Expired")&gt;0,"✓",IF(COUNTIFS('AFA Rates'!$A$5:$A$1004,$A531,'AFA Rates'!$B$5:$B$1004,L$23)&gt;0,"Exp","")))</f>
        <v/>
      </c>
      <c r="M531" s="79">
        <f>IF(OR($A531="",M$23=""),"",IF(COUNTIFS('AFA Rates'!$A$5:$A$1004,$A531,'AFA Rates'!$B$5:$B$1004,M$23,'AFA Rates'!$O$5:$O$1004,"&lt;&gt;Expired")&gt;0,"✓",IF(COUNTIFS('AFA Rates'!$A$5:$A$1004,$A531,'AFA Rates'!$B$5:$B$1004,M$23)&gt;0,"Exp","")))</f>
        <v/>
      </c>
    </row>
    <row r="532">
      <c r="A532" s="78">
        <f>IFERROR(INDEX(Firms!$A$5:$A$1004,MATCH(509,Firms!$V$5:$V$1004,0)),"")</f>
        <v/>
      </c>
      <c r="B532" s="79">
        <f>IF($A532="","",INDEX(Firms!$B$5:$B$1004,MATCH(509,Firms!$V$5:$V$1004,0)))</f>
        <v/>
      </c>
      <c r="C532" s="79">
        <f>IF($A532="","",COUNTIFS('AFA Rates'!$A$5:$A$1004,$A532,'AFA Rates'!$O$5:$O$1004,"&lt;&gt;Expired"))</f>
        <v/>
      </c>
      <c r="D532" s="79">
        <f>IF(OR($A532="",D$23=""),"",IF(COUNTIFS('AFA Rates'!$A$5:$A$1004,$A532,'AFA Rates'!$B$5:$B$1004,D$23,'AFA Rates'!$O$5:$O$1004,"&lt;&gt;Expired")&gt;0,"✓",IF(COUNTIFS('AFA Rates'!$A$5:$A$1004,$A532,'AFA Rates'!$B$5:$B$1004,D$23)&gt;0,"Exp","")))</f>
        <v/>
      </c>
      <c r="E532" s="79">
        <f>IF(OR($A532="",E$23=""),"",IF(COUNTIFS('AFA Rates'!$A$5:$A$1004,$A532,'AFA Rates'!$B$5:$B$1004,E$23,'AFA Rates'!$O$5:$O$1004,"&lt;&gt;Expired")&gt;0,"✓",IF(COUNTIFS('AFA Rates'!$A$5:$A$1004,$A532,'AFA Rates'!$B$5:$B$1004,E$23)&gt;0,"Exp","")))</f>
        <v/>
      </c>
      <c r="F532" s="79">
        <f>IF(OR($A532="",F$23=""),"",IF(COUNTIFS('AFA Rates'!$A$5:$A$1004,$A532,'AFA Rates'!$B$5:$B$1004,F$23,'AFA Rates'!$O$5:$O$1004,"&lt;&gt;Expired")&gt;0,"✓",IF(COUNTIFS('AFA Rates'!$A$5:$A$1004,$A532,'AFA Rates'!$B$5:$B$1004,F$23)&gt;0,"Exp","")))</f>
        <v/>
      </c>
      <c r="G532" s="79">
        <f>IF(OR($A532="",G$23=""),"",IF(COUNTIFS('AFA Rates'!$A$5:$A$1004,$A532,'AFA Rates'!$B$5:$B$1004,G$23,'AFA Rates'!$O$5:$O$1004,"&lt;&gt;Expired")&gt;0,"✓",IF(COUNTIFS('AFA Rates'!$A$5:$A$1004,$A532,'AFA Rates'!$B$5:$B$1004,G$23)&gt;0,"Exp","")))</f>
        <v/>
      </c>
      <c r="H532" s="79">
        <f>IF(OR($A532="",H$23=""),"",IF(COUNTIFS('AFA Rates'!$A$5:$A$1004,$A532,'AFA Rates'!$B$5:$B$1004,H$23,'AFA Rates'!$O$5:$O$1004,"&lt;&gt;Expired")&gt;0,"✓",IF(COUNTIFS('AFA Rates'!$A$5:$A$1004,$A532,'AFA Rates'!$B$5:$B$1004,H$23)&gt;0,"Exp","")))</f>
        <v/>
      </c>
      <c r="I532" s="79">
        <f>IF(OR($A532="",I$23=""),"",IF(COUNTIFS('AFA Rates'!$A$5:$A$1004,$A532,'AFA Rates'!$B$5:$B$1004,I$23,'AFA Rates'!$O$5:$O$1004,"&lt;&gt;Expired")&gt;0,"✓",IF(COUNTIFS('AFA Rates'!$A$5:$A$1004,$A532,'AFA Rates'!$B$5:$B$1004,I$23)&gt;0,"Exp","")))</f>
        <v/>
      </c>
      <c r="J532" s="79">
        <f>IF(OR($A532="",J$23=""),"",IF(COUNTIFS('AFA Rates'!$A$5:$A$1004,$A532,'AFA Rates'!$B$5:$B$1004,J$23,'AFA Rates'!$O$5:$O$1004,"&lt;&gt;Expired")&gt;0,"✓",IF(COUNTIFS('AFA Rates'!$A$5:$A$1004,$A532,'AFA Rates'!$B$5:$B$1004,J$23)&gt;0,"Exp","")))</f>
        <v/>
      </c>
      <c r="K532" s="79">
        <f>IF(OR($A532="",K$23=""),"",IF(COUNTIFS('AFA Rates'!$A$5:$A$1004,$A532,'AFA Rates'!$B$5:$B$1004,K$23,'AFA Rates'!$O$5:$O$1004,"&lt;&gt;Expired")&gt;0,"✓",IF(COUNTIFS('AFA Rates'!$A$5:$A$1004,$A532,'AFA Rates'!$B$5:$B$1004,K$23)&gt;0,"Exp","")))</f>
        <v/>
      </c>
      <c r="L532" s="79">
        <f>IF(OR($A532="",L$23=""),"",IF(COUNTIFS('AFA Rates'!$A$5:$A$1004,$A532,'AFA Rates'!$B$5:$B$1004,L$23,'AFA Rates'!$O$5:$O$1004,"&lt;&gt;Expired")&gt;0,"✓",IF(COUNTIFS('AFA Rates'!$A$5:$A$1004,$A532,'AFA Rates'!$B$5:$B$1004,L$23)&gt;0,"Exp","")))</f>
        <v/>
      </c>
      <c r="M532" s="79">
        <f>IF(OR($A532="",M$23=""),"",IF(COUNTIFS('AFA Rates'!$A$5:$A$1004,$A532,'AFA Rates'!$B$5:$B$1004,M$23,'AFA Rates'!$O$5:$O$1004,"&lt;&gt;Expired")&gt;0,"✓",IF(COUNTIFS('AFA Rates'!$A$5:$A$1004,$A532,'AFA Rates'!$B$5:$B$1004,M$23)&gt;0,"Exp","")))</f>
        <v/>
      </c>
    </row>
    <row r="533">
      <c r="A533" s="78">
        <f>IFERROR(INDEX(Firms!$A$5:$A$1004,MATCH(510,Firms!$V$5:$V$1004,0)),"")</f>
        <v/>
      </c>
      <c r="B533" s="79">
        <f>IF($A533="","",INDEX(Firms!$B$5:$B$1004,MATCH(510,Firms!$V$5:$V$1004,0)))</f>
        <v/>
      </c>
      <c r="C533" s="79">
        <f>IF($A533="","",COUNTIFS('AFA Rates'!$A$5:$A$1004,$A533,'AFA Rates'!$O$5:$O$1004,"&lt;&gt;Expired"))</f>
        <v/>
      </c>
      <c r="D533" s="79">
        <f>IF(OR($A533="",D$23=""),"",IF(COUNTIFS('AFA Rates'!$A$5:$A$1004,$A533,'AFA Rates'!$B$5:$B$1004,D$23,'AFA Rates'!$O$5:$O$1004,"&lt;&gt;Expired")&gt;0,"✓",IF(COUNTIFS('AFA Rates'!$A$5:$A$1004,$A533,'AFA Rates'!$B$5:$B$1004,D$23)&gt;0,"Exp","")))</f>
        <v/>
      </c>
      <c r="E533" s="79">
        <f>IF(OR($A533="",E$23=""),"",IF(COUNTIFS('AFA Rates'!$A$5:$A$1004,$A533,'AFA Rates'!$B$5:$B$1004,E$23,'AFA Rates'!$O$5:$O$1004,"&lt;&gt;Expired")&gt;0,"✓",IF(COUNTIFS('AFA Rates'!$A$5:$A$1004,$A533,'AFA Rates'!$B$5:$B$1004,E$23)&gt;0,"Exp","")))</f>
        <v/>
      </c>
      <c r="F533" s="79">
        <f>IF(OR($A533="",F$23=""),"",IF(COUNTIFS('AFA Rates'!$A$5:$A$1004,$A533,'AFA Rates'!$B$5:$B$1004,F$23,'AFA Rates'!$O$5:$O$1004,"&lt;&gt;Expired")&gt;0,"✓",IF(COUNTIFS('AFA Rates'!$A$5:$A$1004,$A533,'AFA Rates'!$B$5:$B$1004,F$23)&gt;0,"Exp","")))</f>
        <v/>
      </c>
      <c r="G533" s="79">
        <f>IF(OR($A533="",G$23=""),"",IF(COUNTIFS('AFA Rates'!$A$5:$A$1004,$A533,'AFA Rates'!$B$5:$B$1004,G$23,'AFA Rates'!$O$5:$O$1004,"&lt;&gt;Expired")&gt;0,"✓",IF(COUNTIFS('AFA Rates'!$A$5:$A$1004,$A533,'AFA Rates'!$B$5:$B$1004,G$23)&gt;0,"Exp","")))</f>
        <v/>
      </c>
      <c r="H533" s="79">
        <f>IF(OR($A533="",H$23=""),"",IF(COUNTIFS('AFA Rates'!$A$5:$A$1004,$A533,'AFA Rates'!$B$5:$B$1004,H$23,'AFA Rates'!$O$5:$O$1004,"&lt;&gt;Expired")&gt;0,"✓",IF(COUNTIFS('AFA Rates'!$A$5:$A$1004,$A533,'AFA Rates'!$B$5:$B$1004,H$23)&gt;0,"Exp","")))</f>
        <v/>
      </c>
      <c r="I533" s="79">
        <f>IF(OR($A533="",I$23=""),"",IF(COUNTIFS('AFA Rates'!$A$5:$A$1004,$A533,'AFA Rates'!$B$5:$B$1004,I$23,'AFA Rates'!$O$5:$O$1004,"&lt;&gt;Expired")&gt;0,"✓",IF(COUNTIFS('AFA Rates'!$A$5:$A$1004,$A533,'AFA Rates'!$B$5:$B$1004,I$23)&gt;0,"Exp","")))</f>
        <v/>
      </c>
      <c r="J533" s="79">
        <f>IF(OR($A533="",J$23=""),"",IF(COUNTIFS('AFA Rates'!$A$5:$A$1004,$A533,'AFA Rates'!$B$5:$B$1004,J$23,'AFA Rates'!$O$5:$O$1004,"&lt;&gt;Expired")&gt;0,"✓",IF(COUNTIFS('AFA Rates'!$A$5:$A$1004,$A533,'AFA Rates'!$B$5:$B$1004,J$23)&gt;0,"Exp","")))</f>
        <v/>
      </c>
      <c r="K533" s="79">
        <f>IF(OR($A533="",K$23=""),"",IF(COUNTIFS('AFA Rates'!$A$5:$A$1004,$A533,'AFA Rates'!$B$5:$B$1004,K$23,'AFA Rates'!$O$5:$O$1004,"&lt;&gt;Expired")&gt;0,"✓",IF(COUNTIFS('AFA Rates'!$A$5:$A$1004,$A533,'AFA Rates'!$B$5:$B$1004,K$23)&gt;0,"Exp","")))</f>
        <v/>
      </c>
      <c r="L533" s="79">
        <f>IF(OR($A533="",L$23=""),"",IF(COUNTIFS('AFA Rates'!$A$5:$A$1004,$A533,'AFA Rates'!$B$5:$B$1004,L$23,'AFA Rates'!$O$5:$O$1004,"&lt;&gt;Expired")&gt;0,"✓",IF(COUNTIFS('AFA Rates'!$A$5:$A$1004,$A533,'AFA Rates'!$B$5:$B$1004,L$23)&gt;0,"Exp","")))</f>
        <v/>
      </c>
      <c r="M533" s="79">
        <f>IF(OR($A533="",M$23=""),"",IF(COUNTIFS('AFA Rates'!$A$5:$A$1004,$A533,'AFA Rates'!$B$5:$B$1004,M$23,'AFA Rates'!$O$5:$O$1004,"&lt;&gt;Expired")&gt;0,"✓",IF(COUNTIFS('AFA Rates'!$A$5:$A$1004,$A533,'AFA Rates'!$B$5:$B$1004,M$23)&gt;0,"Exp","")))</f>
        <v/>
      </c>
    </row>
    <row r="534">
      <c r="A534" s="78">
        <f>IFERROR(INDEX(Firms!$A$5:$A$1004,MATCH(511,Firms!$V$5:$V$1004,0)),"")</f>
        <v/>
      </c>
      <c r="B534" s="79">
        <f>IF($A534="","",INDEX(Firms!$B$5:$B$1004,MATCH(511,Firms!$V$5:$V$1004,0)))</f>
        <v/>
      </c>
      <c r="C534" s="79">
        <f>IF($A534="","",COUNTIFS('AFA Rates'!$A$5:$A$1004,$A534,'AFA Rates'!$O$5:$O$1004,"&lt;&gt;Expired"))</f>
        <v/>
      </c>
      <c r="D534" s="79">
        <f>IF(OR($A534="",D$23=""),"",IF(COUNTIFS('AFA Rates'!$A$5:$A$1004,$A534,'AFA Rates'!$B$5:$B$1004,D$23,'AFA Rates'!$O$5:$O$1004,"&lt;&gt;Expired")&gt;0,"✓",IF(COUNTIFS('AFA Rates'!$A$5:$A$1004,$A534,'AFA Rates'!$B$5:$B$1004,D$23)&gt;0,"Exp","")))</f>
        <v/>
      </c>
      <c r="E534" s="79">
        <f>IF(OR($A534="",E$23=""),"",IF(COUNTIFS('AFA Rates'!$A$5:$A$1004,$A534,'AFA Rates'!$B$5:$B$1004,E$23,'AFA Rates'!$O$5:$O$1004,"&lt;&gt;Expired")&gt;0,"✓",IF(COUNTIFS('AFA Rates'!$A$5:$A$1004,$A534,'AFA Rates'!$B$5:$B$1004,E$23)&gt;0,"Exp","")))</f>
        <v/>
      </c>
      <c r="F534" s="79">
        <f>IF(OR($A534="",F$23=""),"",IF(COUNTIFS('AFA Rates'!$A$5:$A$1004,$A534,'AFA Rates'!$B$5:$B$1004,F$23,'AFA Rates'!$O$5:$O$1004,"&lt;&gt;Expired")&gt;0,"✓",IF(COUNTIFS('AFA Rates'!$A$5:$A$1004,$A534,'AFA Rates'!$B$5:$B$1004,F$23)&gt;0,"Exp","")))</f>
        <v/>
      </c>
      <c r="G534" s="79">
        <f>IF(OR($A534="",G$23=""),"",IF(COUNTIFS('AFA Rates'!$A$5:$A$1004,$A534,'AFA Rates'!$B$5:$B$1004,G$23,'AFA Rates'!$O$5:$O$1004,"&lt;&gt;Expired")&gt;0,"✓",IF(COUNTIFS('AFA Rates'!$A$5:$A$1004,$A534,'AFA Rates'!$B$5:$B$1004,G$23)&gt;0,"Exp","")))</f>
        <v/>
      </c>
      <c r="H534" s="79">
        <f>IF(OR($A534="",H$23=""),"",IF(COUNTIFS('AFA Rates'!$A$5:$A$1004,$A534,'AFA Rates'!$B$5:$B$1004,H$23,'AFA Rates'!$O$5:$O$1004,"&lt;&gt;Expired")&gt;0,"✓",IF(COUNTIFS('AFA Rates'!$A$5:$A$1004,$A534,'AFA Rates'!$B$5:$B$1004,H$23)&gt;0,"Exp","")))</f>
        <v/>
      </c>
      <c r="I534" s="79">
        <f>IF(OR($A534="",I$23=""),"",IF(COUNTIFS('AFA Rates'!$A$5:$A$1004,$A534,'AFA Rates'!$B$5:$B$1004,I$23,'AFA Rates'!$O$5:$O$1004,"&lt;&gt;Expired")&gt;0,"✓",IF(COUNTIFS('AFA Rates'!$A$5:$A$1004,$A534,'AFA Rates'!$B$5:$B$1004,I$23)&gt;0,"Exp","")))</f>
        <v/>
      </c>
      <c r="J534" s="79">
        <f>IF(OR($A534="",J$23=""),"",IF(COUNTIFS('AFA Rates'!$A$5:$A$1004,$A534,'AFA Rates'!$B$5:$B$1004,J$23,'AFA Rates'!$O$5:$O$1004,"&lt;&gt;Expired")&gt;0,"✓",IF(COUNTIFS('AFA Rates'!$A$5:$A$1004,$A534,'AFA Rates'!$B$5:$B$1004,J$23)&gt;0,"Exp","")))</f>
        <v/>
      </c>
      <c r="K534" s="79">
        <f>IF(OR($A534="",K$23=""),"",IF(COUNTIFS('AFA Rates'!$A$5:$A$1004,$A534,'AFA Rates'!$B$5:$B$1004,K$23,'AFA Rates'!$O$5:$O$1004,"&lt;&gt;Expired")&gt;0,"✓",IF(COUNTIFS('AFA Rates'!$A$5:$A$1004,$A534,'AFA Rates'!$B$5:$B$1004,K$23)&gt;0,"Exp","")))</f>
        <v/>
      </c>
      <c r="L534" s="79">
        <f>IF(OR($A534="",L$23=""),"",IF(COUNTIFS('AFA Rates'!$A$5:$A$1004,$A534,'AFA Rates'!$B$5:$B$1004,L$23,'AFA Rates'!$O$5:$O$1004,"&lt;&gt;Expired")&gt;0,"✓",IF(COUNTIFS('AFA Rates'!$A$5:$A$1004,$A534,'AFA Rates'!$B$5:$B$1004,L$23)&gt;0,"Exp","")))</f>
        <v/>
      </c>
      <c r="M534" s="79">
        <f>IF(OR($A534="",M$23=""),"",IF(COUNTIFS('AFA Rates'!$A$5:$A$1004,$A534,'AFA Rates'!$B$5:$B$1004,M$23,'AFA Rates'!$O$5:$O$1004,"&lt;&gt;Expired")&gt;0,"✓",IF(COUNTIFS('AFA Rates'!$A$5:$A$1004,$A534,'AFA Rates'!$B$5:$B$1004,M$23)&gt;0,"Exp","")))</f>
        <v/>
      </c>
    </row>
    <row r="535">
      <c r="A535" s="78">
        <f>IFERROR(INDEX(Firms!$A$5:$A$1004,MATCH(512,Firms!$V$5:$V$1004,0)),"")</f>
        <v/>
      </c>
      <c r="B535" s="79">
        <f>IF($A535="","",INDEX(Firms!$B$5:$B$1004,MATCH(512,Firms!$V$5:$V$1004,0)))</f>
        <v/>
      </c>
      <c r="C535" s="79">
        <f>IF($A535="","",COUNTIFS('AFA Rates'!$A$5:$A$1004,$A535,'AFA Rates'!$O$5:$O$1004,"&lt;&gt;Expired"))</f>
        <v/>
      </c>
      <c r="D535" s="79">
        <f>IF(OR($A535="",D$23=""),"",IF(COUNTIFS('AFA Rates'!$A$5:$A$1004,$A535,'AFA Rates'!$B$5:$B$1004,D$23,'AFA Rates'!$O$5:$O$1004,"&lt;&gt;Expired")&gt;0,"✓",IF(COUNTIFS('AFA Rates'!$A$5:$A$1004,$A535,'AFA Rates'!$B$5:$B$1004,D$23)&gt;0,"Exp","")))</f>
        <v/>
      </c>
      <c r="E535" s="79">
        <f>IF(OR($A535="",E$23=""),"",IF(COUNTIFS('AFA Rates'!$A$5:$A$1004,$A535,'AFA Rates'!$B$5:$B$1004,E$23,'AFA Rates'!$O$5:$O$1004,"&lt;&gt;Expired")&gt;0,"✓",IF(COUNTIFS('AFA Rates'!$A$5:$A$1004,$A535,'AFA Rates'!$B$5:$B$1004,E$23)&gt;0,"Exp","")))</f>
        <v/>
      </c>
      <c r="F535" s="79">
        <f>IF(OR($A535="",F$23=""),"",IF(COUNTIFS('AFA Rates'!$A$5:$A$1004,$A535,'AFA Rates'!$B$5:$B$1004,F$23,'AFA Rates'!$O$5:$O$1004,"&lt;&gt;Expired")&gt;0,"✓",IF(COUNTIFS('AFA Rates'!$A$5:$A$1004,$A535,'AFA Rates'!$B$5:$B$1004,F$23)&gt;0,"Exp","")))</f>
        <v/>
      </c>
      <c r="G535" s="79">
        <f>IF(OR($A535="",G$23=""),"",IF(COUNTIFS('AFA Rates'!$A$5:$A$1004,$A535,'AFA Rates'!$B$5:$B$1004,G$23,'AFA Rates'!$O$5:$O$1004,"&lt;&gt;Expired")&gt;0,"✓",IF(COUNTIFS('AFA Rates'!$A$5:$A$1004,$A535,'AFA Rates'!$B$5:$B$1004,G$23)&gt;0,"Exp","")))</f>
        <v/>
      </c>
      <c r="H535" s="79">
        <f>IF(OR($A535="",H$23=""),"",IF(COUNTIFS('AFA Rates'!$A$5:$A$1004,$A535,'AFA Rates'!$B$5:$B$1004,H$23,'AFA Rates'!$O$5:$O$1004,"&lt;&gt;Expired")&gt;0,"✓",IF(COUNTIFS('AFA Rates'!$A$5:$A$1004,$A535,'AFA Rates'!$B$5:$B$1004,H$23)&gt;0,"Exp","")))</f>
        <v/>
      </c>
      <c r="I535" s="79">
        <f>IF(OR($A535="",I$23=""),"",IF(COUNTIFS('AFA Rates'!$A$5:$A$1004,$A535,'AFA Rates'!$B$5:$B$1004,I$23,'AFA Rates'!$O$5:$O$1004,"&lt;&gt;Expired")&gt;0,"✓",IF(COUNTIFS('AFA Rates'!$A$5:$A$1004,$A535,'AFA Rates'!$B$5:$B$1004,I$23)&gt;0,"Exp","")))</f>
        <v/>
      </c>
      <c r="J535" s="79">
        <f>IF(OR($A535="",J$23=""),"",IF(COUNTIFS('AFA Rates'!$A$5:$A$1004,$A535,'AFA Rates'!$B$5:$B$1004,J$23,'AFA Rates'!$O$5:$O$1004,"&lt;&gt;Expired")&gt;0,"✓",IF(COUNTIFS('AFA Rates'!$A$5:$A$1004,$A535,'AFA Rates'!$B$5:$B$1004,J$23)&gt;0,"Exp","")))</f>
        <v/>
      </c>
      <c r="K535" s="79">
        <f>IF(OR($A535="",K$23=""),"",IF(COUNTIFS('AFA Rates'!$A$5:$A$1004,$A535,'AFA Rates'!$B$5:$B$1004,K$23,'AFA Rates'!$O$5:$O$1004,"&lt;&gt;Expired")&gt;0,"✓",IF(COUNTIFS('AFA Rates'!$A$5:$A$1004,$A535,'AFA Rates'!$B$5:$B$1004,K$23)&gt;0,"Exp","")))</f>
        <v/>
      </c>
      <c r="L535" s="79">
        <f>IF(OR($A535="",L$23=""),"",IF(COUNTIFS('AFA Rates'!$A$5:$A$1004,$A535,'AFA Rates'!$B$5:$B$1004,L$23,'AFA Rates'!$O$5:$O$1004,"&lt;&gt;Expired")&gt;0,"✓",IF(COUNTIFS('AFA Rates'!$A$5:$A$1004,$A535,'AFA Rates'!$B$5:$B$1004,L$23)&gt;0,"Exp","")))</f>
        <v/>
      </c>
      <c r="M535" s="79">
        <f>IF(OR($A535="",M$23=""),"",IF(COUNTIFS('AFA Rates'!$A$5:$A$1004,$A535,'AFA Rates'!$B$5:$B$1004,M$23,'AFA Rates'!$O$5:$O$1004,"&lt;&gt;Expired")&gt;0,"✓",IF(COUNTIFS('AFA Rates'!$A$5:$A$1004,$A535,'AFA Rates'!$B$5:$B$1004,M$23)&gt;0,"Exp","")))</f>
        <v/>
      </c>
    </row>
    <row r="536">
      <c r="A536" s="78">
        <f>IFERROR(INDEX(Firms!$A$5:$A$1004,MATCH(513,Firms!$V$5:$V$1004,0)),"")</f>
        <v/>
      </c>
      <c r="B536" s="79">
        <f>IF($A536="","",INDEX(Firms!$B$5:$B$1004,MATCH(513,Firms!$V$5:$V$1004,0)))</f>
        <v/>
      </c>
      <c r="C536" s="79">
        <f>IF($A536="","",COUNTIFS('AFA Rates'!$A$5:$A$1004,$A536,'AFA Rates'!$O$5:$O$1004,"&lt;&gt;Expired"))</f>
        <v/>
      </c>
      <c r="D536" s="79">
        <f>IF(OR($A536="",D$23=""),"",IF(COUNTIFS('AFA Rates'!$A$5:$A$1004,$A536,'AFA Rates'!$B$5:$B$1004,D$23,'AFA Rates'!$O$5:$O$1004,"&lt;&gt;Expired")&gt;0,"✓",IF(COUNTIFS('AFA Rates'!$A$5:$A$1004,$A536,'AFA Rates'!$B$5:$B$1004,D$23)&gt;0,"Exp","")))</f>
        <v/>
      </c>
      <c r="E536" s="79">
        <f>IF(OR($A536="",E$23=""),"",IF(COUNTIFS('AFA Rates'!$A$5:$A$1004,$A536,'AFA Rates'!$B$5:$B$1004,E$23,'AFA Rates'!$O$5:$O$1004,"&lt;&gt;Expired")&gt;0,"✓",IF(COUNTIFS('AFA Rates'!$A$5:$A$1004,$A536,'AFA Rates'!$B$5:$B$1004,E$23)&gt;0,"Exp","")))</f>
        <v/>
      </c>
      <c r="F536" s="79">
        <f>IF(OR($A536="",F$23=""),"",IF(COUNTIFS('AFA Rates'!$A$5:$A$1004,$A536,'AFA Rates'!$B$5:$B$1004,F$23,'AFA Rates'!$O$5:$O$1004,"&lt;&gt;Expired")&gt;0,"✓",IF(COUNTIFS('AFA Rates'!$A$5:$A$1004,$A536,'AFA Rates'!$B$5:$B$1004,F$23)&gt;0,"Exp","")))</f>
        <v/>
      </c>
      <c r="G536" s="79">
        <f>IF(OR($A536="",G$23=""),"",IF(COUNTIFS('AFA Rates'!$A$5:$A$1004,$A536,'AFA Rates'!$B$5:$B$1004,G$23,'AFA Rates'!$O$5:$O$1004,"&lt;&gt;Expired")&gt;0,"✓",IF(COUNTIFS('AFA Rates'!$A$5:$A$1004,$A536,'AFA Rates'!$B$5:$B$1004,G$23)&gt;0,"Exp","")))</f>
        <v/>
      </c>
      <c r="H536" s="79">
        <f>IF(OR($A536="",H$23=""),"",IF(COUNTIFS('AFA Rates'!$A$5:$A$1004,$A536,'AFA Rates'!$B$5:$B$1004,H$23,'AFA Rates'!$O$5:$O$1004,"&lt;&gt;Expired")&gt;0,"✓",IF(COUNTIFS('AFA Rates'!$A$5:$A$1004,$A536,'AFA Rates'!$B$5:$B$1004,H$23)&gt;0,"Exp","")))</f>
        <v/>
      </c>
      <c r="I536" s="79">
        <f>IF(OR($A536="",I$23=""),"",IF(COUNTIFS('AFA Rates'!$A$5:$A$1004,$A536,'AFA Rates'!$B$5:$B$1004,I$23,'AFA Rates'!$O$5:$O$1004,"&lt;&gt;Expired")&gt;0,"✓",IF(COUNTIFS('AFA Rates'!$A$5:$A$1004,$A536,'AFA Rates'!$B$5:$B$1004,I$23)&gt;0,"Exp","")))</f>
        <v/>
      </c>
      <c r="J536" s="79">
        <f>IF(OR($A536="",J$23=""),"",IF(COUNTIFS('AFA Rates'!$A$5:$A$1004,$A536,'AFA Rates'!$B$5:$B$1004,J$23,'AFA Rates'!$O$5:$O$1004,"&lt;&gt;Expired")&gt;0,"✓",IF(COUNTIFS('AFA Rates'!$A$5:$A$1004,$A536,'AFA Rates'!$B$5:$B$1004,J$23)&gt;0,"Exp","")))</f>
        <v/>
      </c>
      <c r="K536" s="79">
        <f>IF(OR($A536="",K$23=""),"",IF(COUNTIFS('AFA Rates'!$A$5:$A$1004,$A536,'AFA Rates'!$B$5:$B$1004,K$23,'AFA Rates'!$O$5:$O$1004,"&lt;&gt;Expired")&gt;0,"✓",IF(COUNTIFS('AFA Rates'!$A$5:$A$1004,$A536,'AFA Rates'!$B$5:$B$1004,K$23)&gt;0,"Exp","")))</f>
        <v/>
      </c>
      <c r="L536" s="79">
        <f>IF(OR($A536="",L$23=""),"",IF(COUNTIFS('AFA Rates'!$A$5:$A$1004,$A536,'AFA Rates'!$B$5:$B$1004,L$23,'AFA Rates'!$O$5:$O$1004,"&lt;&gt;Expired")&gt;0,"✓",IF(COUNTIFS('AFA Rates'!$A$5:$A$1004,$A536,'AFA Rates'!$B$5:$B$1004,L$23)&gt;0,"Exp","")))</f>
        <v/>
      </c>
      <c r="M536" s="79">
        <f>IF(OR($A536="",M$23=""),"",IF(COUNTIFS('AFA Rates'!$A$5:$A$1004,$A536,'AFA Rates'!$B$5:$B$1004,M$23,'AFA Rates'!$O$5:$O$1004,"&lt;&gt;Expired")&gt;0,"✓",IF(COUNTIFS('AFA Rates'!$A$5:$A$1004,$A536,'AFA Rates'!$B$5:$B$1004,M$23)&gt;0,"Exp","")))</f>
        <v/>
      </c>
    </row>
    <row r="537">
      <c r="A537" s="78">
        <f>IFERROR(INDEX(Firms!$A$5:$A$1004,MATCH(514,Firms!$V$5:$V$1004,0)),"")</f>
        <v/>
      </c>
      <c r="B537" s="79">
        <f>IF($A537="","",INDEX(Firms!$B$5:$B$1004,MATCH(514,Firms!$V$5:$V$1004,0)))</f>
        <v/>
      </c>
      <c r="C537" s="79">
        <f>IF($A537="","",COUNTIFS('AFA Rates'!$A$5:$A$1004,$A537,'AFA Rates'!$O$5:$O$1004,"&lt;&gt;Expired"))</f>
        <v/>
      </c>
      <c r="D537" s="79">
        <f>IF(OR($A537="",D$23=""),"",IF(COUNTIFS('AFA Rates'!$A$5:$A$1004,$A537,'AFA Rates'!$B$5:$B$1004,D$23,'AFA Rates'!$O$5:$O$1004,"&lt;&gt;Expired")&gt;0,"✓",IF(COUNTIFS('AFA Rates'!$A$5:$A$1004,$A537,'AFA Rates'!$B$5:$B$1004,D$23)&gt;0,"Exp","")))</f>
        <v/>
      </c>
      <c r="E537" s="79">
        <f>IF(OR($A537="",E$23=""),"",IF(COUNTIFS('AFA Rates'!$A$5:$A$1004,$A537,'AFA Rates'!$B$5:$B$1004,E$23,'AFA Rates'!$O$5:$O$1004,"&lt;&gt;Expired")&gt;0,"✓",IF(COUNTIFS('AFA Rates'!$A$5:$A$1004,$A537,'AFA Rates'!$B$5:$B$1004,E$23)&gt;0,"Exp","")))</f>
        <v/>
      </c>
      <c r="F537" s="79">
        <f>IF(OR($A537="",F$23=""),"",IF(COUNTIFS('AFA Rates'!$A$5:$A$1004,$A537,'AFA Rates'!$B$5:$B$1004,F$23,'AFA Rates'!$O$5:$O$1004,"&lt;&gt;Expired")&gt;0,"✓",IF(COUNTIFS('AFA Rates'!$A$5:$A$1004,$A537,'AFA Rates'!$B$5:$B$1004,F$23)&gt;0,"Exp","")))</f>
        <v/>
      </c>
      <c r="G537" s="79">
        <f>IF(OR($A537="",G$23=""),"",IF(COUNTIFS('AFA Rates'!$A$5:$A$1004,$A537,'AFA Rates'!$B$5:$B$1004,G$23,'AFA Rates'!$O$5:$O$1004,"&lt;&gt;Expired")&gt;0,"✓",IF(COUNTIFS('AFA Rates'!$A$5:$A$1004,$A537,'AFA Rates'!$B$5:$B$1004,G$23)&gt;0,"Exp","")))</f>
        <v/>
      </c>
      <c r="H537" s="79">
        <f>IF(OR($A537="",H$23=""),"",IF(COUNTIFS('AFA Rates'!$A$5:$A$1004,$A537,'AFA Rates'!$B$5:$B$1004,H$23,'AFA Rates'!$O$5:$O$1004,"&lt;&gt;Expired")&gt;0,"✓",IF(COUNTIFS('AFA Rates'!$A$5:$A$1004,$A537,'AFA Rates'!$B$5:$B$1004,H$23)&gt;0,"Exp","")))</f>
        <v/>
      </c>
      <c r="I537" s="79">
        <f>IF(OR($A537="",I$23=""),"",IF(COUNTIFS('AFA Rates'!$A$5:$A$1004,$A537,'AFA Rates'!$B$5:$B$1004,I$23,'AFA Rates'!$O$5:$O$1004,"&lt;&gt;Expired")&gt;0,"✓",IF(COUNTIFS('AFA Rates'!$A$5:$A$1004,$A537,'AFA Rates'!$B$5:$B$1004,I$23)&gt;0,"Exp","")))</f>
        <v/>
      </c>
      <c r="J537" s="79">
        <f>IF(OR($A537="",J$23=""),"",IF(COUNTIFS('AFA Rates'!$A$5:$A$1004,$A537,'AFA Rates'!$B$5:$B$1004,J$23,'AFA Rates'!$O$5:$O$1004,"&lt;&gt;Expired")&gt;0,"✓",IF(COUNTIFS('AFA Rates'!$A$5:$A$1004,$A537,'AFA Rates'!$B$5:$B$1004,J$23)&gt;0,"Exp","")))</f>
        <v/>
      </c>
      <c r="K537" s="79">
        <f>IF(OR($A537="",K$23=""),"",IF(COUNTIFS('AFA Rates'!$A$5:$A$1004,$A537,'AFA Rates'!$B$5:$B$1004,K$23,'AFA Rates'!$O$5:$O$1004,"&lt;&gt;Expired")&gt;0,"✓",IF(COUNTIFS('AFA Rates'!$A$5:$A$1004,$A537,'AFA Rates'!$B$5:$B$1004,K$23)&gt;0,"Exp","")))</f>
        <v/>
      </c>
      <c r="L537" s="79">
        <f>IF(OR($A537="",L$23=""),"",IF(COUNTIFS('AFA Rates'!$A$5:$A$1004,$A537,'AFA Rates'!$B$5:$B$1004,L$23,'AFA Rates'!$O$5:$O$1004,"&lt;&gt;Expired")&gt;0,"✓",IF(COUNTIFS('AFA Rates'!$A$5:$A$1004,$A537,'AFA Rates'!$B$5:$B$1004,L$23)&gt;0,"Exp","")))</f>
        <v/>
      </c>
      <c r="M537" s="79">
        <f>IF(OR($A537="",M$23=""),"",IF(COUNTIFS('AFA Rates'!$A$5:$A$1004,$A537,'AFA Rates'!$B$5:$B$1004,M$23,'AFA Rates'!$O$5:$O$1004,"&lt;&gt;Expired")&gt;0,"✓",IF(COUNTIFS('AFA Rates'!$A$5:$A$1004,$A537,'AFA Rates'!$B$5:$B$1004,M$23)&gt;0,"Exp","")))</f>
        <v/>
      </c>
    </row>
    <row r="538">
      <c r="A538" s="78">
        <f>IFERROR(INDEX(Firms!$A$5:$A$1004,MATCH(515,Firms!$V$5:$V$1004,0)),"")</f>
        <v/>
      </c>
      <c r="B538" s="79">
        <f>IF($A538="","",INDEX(Firms!$B$5:$B$1004,MATCH(515,Firms!$V$5:$V$1004,0)))</f>
        <v/>
      </c>
      <c r="C538" s="79">
        <f>IF($A538="","",COUNTIFS('AFA Rates'!$A$5:$A$1004,$A538,'AFA Rates'!$O$5:$O$1004,"&lt;&gt;Expired"))</f>
        <v/>
      </c>
      <c r="D538" s="79">
        <f>IF(OR($A538="",D$23=""),"",IF(COUNTIFS('AFA Rates'!$A$5:$A$1004,$A538,'AFA Rates'!$B$5:$B$1004,D$23,'AFA Rates'!$O$5:$O$1004,"&lt;&gt;Expired")&gt;0,"✓",IF(COUNTIFS('AFA Rates'!$A$5:$A$1004,$A538,'AFA Rates'!$B$5:$B$1004,D$23)&gt;0,"Exp","")))</f>
        <v/>
      </c>
      <c r="E538" s="79">
        <f>IF(OR($A538="",E$23=""),"",IF(COUNTIFS('AFA Rates'!$A$5:$A$1004,$A538,'AFA Rates'!$B$5:$B$1004,E$23,'AFA Rates'!$O$5:$O$1004,"&lt;&gt;Expired")&gt;0,"✓",IF(COUNTIFS('AFA Rates'!$A$5:$A$1004,$A538,'AFA Rates'!$B$5:$B$1004,E$23)&gt;0,"Exp","")))</f>
        <v/>
      </c>
      <c r="F538" s="79">
        <f>IF(OR($A538="",F$23=""),"",IF(COUNTIFS('AFA Rates'!$A$5:$A$1004,$A538,'AFA Rates'!$B$5:$B$1004,F$23,'AFA Rates'!$O$5:$O$1004,"&lt;&gt;Expired")&gt;0,"✓",IF(COUNTIFS('AFA Rates'!$A$5:$A$1004,$A538,'AFA Rates'!$B$5:$B$1004,F$23)&gt;0,"Exp","")))</f>
        <v/>
      </c>
      <c r="G538" s="79">
        <f>IF(OR($A538="",G$23=""),"",IF(COUNTIFS('AFA Rates'!$A$5:$A$1004,$A538,'AFA Rates'!$B$5:$B$1004,G$23,'AFA Rates'!$O$5:$O$1004,"&lt;&gt;Expired")&gt;0,"✓",IF(COUNTIFS('AFA Rates'!$A$5:$A$1004,$A538,'AFA Rates'!$B$5:$B$1004,G$23)&gt;0,"Exp","")))</f>
        <v/>
      </c>
      <c r="H538" s="79">
        <f>IF(OR($A538="",H$23=""),"",IF(COUNTIFS('AFA Rates'!$A$5:$A$1004,$A538,'AFA Rates'!$B$5:$B$1004,H$23,'AFA Rates'!$O$5:$O$1004,"&lt;&gt;Expired")&gt;0,"✓",IF(COUNTIFS('AFA Rates'!$A$5:$A$1004,$A538,'AFA Rates'!$B$5:$B$1004,H$23)&gt;0,"Exp","")))</f>
        <v/>
      </c>
      <c r="I538" s="79">
        <f>IF(OR($A538="",I$23=""),"",IF(COUNTIFS('AFA Rates'!$A$5:$A$1004,$A538,'AFA Rates'!$B$5:$B$1004,I$23,'AFA Rates'!$O$5:$O$1004,"&lt;&gt;Expired")&gt;0,"✓",IF(COUNTIFS('AFA Rates'!$A$5:$A$1004,$A538,'AFA Rates'!$B$5:$B$1004,I$23)&gt;0,"Exp","")))</f>
        <v/>
      </c>
      <c r="J538" s="79">
        <f>IF(OR($A538="",J$23=""),"",IF(COUNTIFS('AFA Rates'!$A$5:$A$1004,$A538,'AFA Rates'!$B$5:$B$1004,J$23,'AFA Rates'!$O$5:$O$1004,"&lt;&gt;Expired")&gt;0,"✓",IF(COUNTIFS('AFA Rates'!$A$5:$A$1004,$A538,'AFA Rates'!$B$5:$B$1004,J$23)&gt;0,"Exp","")))</f>
        <v/>
      </c>
      <c r="K538" s="79">
        <f>IF(OR($A538="",K$23=""),"",IF(COUNTIFS('AFA Rates'!$A$5:$A$1004,$A538,'AFA Rates'!$B$5:$B$1004,K$23,'AFA Rates'!$O$5:$O$1004,"&lt;&gt;Expired")&gt;0,"✓",IF(COUNTIFS('AFA Rates'!$A$5:$A$1004,$A538,'AFA Rates'!$B$5:$B$1004,K$23)&gt;0,"Exp","")))</f>
        <v/>
      </c>
      <c r="L538" s="79">
        <f>IF(OR($A538="",L$23=""),"",IF(COUNTIFS('AFA Rates'!$A$5:$A$1004,$A538,'AFA Rates'!$B$5:$B$1004,L$23,'AFA Rates'!$O$5:$O$1004,"&lt;&gt;Expired")&gt;0,"✓",IF(COUNTIFS('AFA Rates'!$A$5:$A$1004,$A538,'AFA Rates'!$B$5:$B$1004,L$23)&gt;0,"Exp","")))</f>
        <v/>
      </c>
      <c r="M538" s="79">
        <f>IF(OR($A538="",M$23=""),"",IF(COUNTIFS('AFA Rates'!$A$5:$A$1004,$A538,'AFA Rates'!$B$5:$B$1004,M$23,'AFA Rates'!$O$5:$O$1004,"&lt;&gt;Expired")&gt;0,"✓",IF(COUNTIFS('AFA Rates'!$A$5:$A$1004,$A538,'AFA Rates'!$B$5:$B$1004,M$23)&gt;0,"Exp","")))</f>
        <v/>
      </c>
    </row>
    <row r="539">
      <c r="A539" s="78">
        <f>IFERROR(INDEX(Firms!$A$5:$A$1004,MATCH(516,Firms!$V$5:$V$1004,0)),"")</f>
        <v/>
      </c>
      <c r="B539" s="79">
        <f>IF($A539="","",INDEX(Firms!$B$5:$B$1004,MATCH(516,Firms!$V$5:$V$1004,0)))</f>
        <v/>
      </c>
      <c r="C539" s="79">
        <f>IF($A539="","",COUNTIFS('AFA Rates'!$A$5:$A$1004,$A539,'AFA Rates'!$O$5:$O$1004,"&lt;&gt;Expired"))</f>
        <v/>
      </c>
      <c r="D539" s="79">
        <f>IF(OR($A539="",D$23=""),"",IF(COUNTIFS('AFA Rates'!$A$5:$A$1004,$A539,'AFA Rates'!$B$5:$B$1004,D$23,'AFA Rates'!$O$5:$O$1004,"&lt;&gt;Expired")&gt;0,"✓",IF(COUNTIFS('AFA Rates'!$A$5:$A$1004,$A539,'AFA Rates'!$B$5:$B$1004,D$23)&gt;0,"Exp","")))</f>
        <v/>
      </c>
      <c r="E539" s="79">
        <f>IF(OR($A539="",E$23=""),"",IF(COUNTIFS('AFA Rates'!$A$5:$A$1004,$A539,'AFA Rates'!$B$5:$B$1004,E$23,'AFA Rates'!$O$5:$O$1004,"&lt;&gt;Expired")&gt;0,"✓",IF(COUNTIFS('AFA Rates'!$A$5:$A$1004,$A539,'AFA Rates'!$B$5:$B$1004,E$23)&gt;0,"Exp","")))</f>
        <v/>
      </c>
      <c r="F539" s="79">
        <f>IF(OR($A539="",F$23=""),"",IF(COUNTIFS('AFA Rates'!$A$5:$A$1004,$A539,'AFA Rates'!$B$5:$B$1004,F$23,'AFA Rates'!$O$5:$O$1004,"&lt;&gt;Expired")&gt;0,"✓",IF(COUNTIFS('AFA Rates'!$A$5:$A$1004,$A539,'AFA Rates'!$B$5:$B$1004,F$23)&gt;0,"Exp","")))</f>
        <v/>
      </c>
      <c r="G539" s="79">
        <f>IF(OR($A539="",G$23=""),"",IF(COUNTIFS('AFA Rates'!$A$5:$A$1004,$A539,'AFA Rates'!$B$5:$B$1004,G$23,'AFA Rates'!$O$5:$O$1004,"&lt;&gt;Expired")&gt;0,"✓",IF(COUNTIFS('AFA Rates'!$A$5:$A$1004,$A539,'AFA Rates'!$B$5:$B$1004,G$23)&gt;0,"Exp","")))</f>
        <v/>
      </c>
      <c r="H539" s="79">
        <f>IF(OR($A539="",H$23=""),"",IF(COUNTIFS('AFA Rates'!$A$5:$A$1004,$A539,'AFA Rates'!$B$5:$B$1004,H$23,'AFA Rates'!$O$5:$O$1004,"&lt;&gt;Expired")&gt;0,"✓",IF(COUNTIFS('AFA Rates'!$A$5:$A$1004,$A539,'AFA Rates'!$B$5:$B$1004,H$23)&gt;0,"Exp","")))</f>
        <v/>
      </c>
      <c r="I539" s="79">
        <f>IF(OR($A539="",I$23=""),"",IF(COUNTIFS('AFA Rates'!$A$5:$A$1004,$A539,'AFA Rates'!$B$5:$B$1004,I$23,'AFA Rates'!$O$5:$O$1004,"&lt;&gt;Expired")&gt;0,"✓",IF(COUNTIFS('AFA Rates'!$A$5:$A$1004,$A539,'AFA Rates'!$B$5:$B$1004,I$23)&gt;0,"Exp","")))</f>
        <v/>
      </c>
      <c r="J539" s="79">
        <f>IF(OR($A539="",J$23=""),"",IF(COUNTIFS('AFA Rates'!$A$5:$A$1004,$A539,'AFA Rates'!$B$5:$B$1004,J$23,'AFA Rates'!$O$5:$O$1004,"&lt;&gt;Expired")&gt;0,"✓",IF(COUNTIFS('AFA Rates'!$A$5:$A$1004,$A539,'AFA Rates'!$B$5:$B$1004,J$23)&gt;0,"Exp","")))</f>
        <v/>
      </c>
      <c r="K539" s="79">
        <f>IF(OR($A539="",K$23=""),"",IF(COUNTIFS('AFA Rates'!$A$5:$A$1004,$A539,'AFA Rates'!$B$5:$B$1004,K$23,'AFA Rates'!$O$5:$O$1004,"&lt;&gt;Expired")&gt;0,"✓",IF(COUNTIFS('AFA Rates'!$A$5:$A$1004,$A539,'AFA Rates'!$B$5:$B$1004,K$23)&gt;0,"Exp","")))</f>
        <v/>
      </c>
      <c r="L539" s="79">
        <f>IF(OR($A539="",L$23=""),"",IF(COUNTIFS('AFA Rates'!$A$5:$A$1004,$A539,'AFA Rates'!$B$5:$B$1004,L$23,'AFA Rates'!$O$5:$O$1004,"&lt;&gt;Expired")&gt;0,"✓",IF(COUNTIFS('AFA Rates'!$A$5:$A$1004,$A539,'AFA Rates'!$B$5:$B$1004,L$23)&gt;0,"Exp","")))</f>
        <v/>
      </c>
      <c r="M539" s="79">
        <f>IF(OR($A539="",M$23=""),"",IF(COUNTIFS('AFA Rates'!$A$5:$A$1004,$A539,'AFA Rates'!$B$5:$B$1004,M$23,'AFA Rates'!$O$5:$O$1004,"&lt;&gt;Expired")&gt;0,"✓",IF(COUNTIFS('AFA Rates'!$A$5:$A$1004,$A539,'AFA Rates'!$B$5:$B$1004,M$23)&gt;0,"Exp","")))</f>
        <v/>
      </c>
    </row>
    <row r="540">
      <c r="A540" s="78">
        <f>IFERROR(INDEX(Firms!$A$5:$A$1004,MATCH(517,Firms!$V$5:$V$1004,0)),"")</f>
        <v/>
      </c>
      <c r="B540" s="79">
        <f>IF($A540="","",INDEX(Firms!$B$5:$B$1004,MATCH(517,Firms!$V$5:$V$1004,0)))</f>
        <v/>
      </c>
      <c r="C540" s="79">
        <f>IF($A540="","",COUNTIFS('AFA Rates'!$A$5:$A$1004,$A540,'AFA Rates'!$O$5:$O$1004,"&lt;&gt;Expired"))</f>
        <v/>
      </c>
      <c r="D540" s="79">
        <f>IF(OR($A540="",D$23=""),"",IF(COUNTIFS('AFA Rates'!$A$5:$A$1004,$A540,'AFA Rates'!$B$5:$B$1004,D$23,'AFA Rates'!$O$5:$O$1004,"&lt;&gt;Expired")&gt;0,"✓",IF(COUNTIFS('AFA Rates'!$A$5:$A$1004,$A540,'AFA Rates'!$B$5:$B$1004,D$23)&gt;0,"Exp","")))</f>
        <v/>
      </c>
      <c r="E540" s="79">
        <f>IF(OR($A540="",E$23=""),"",IF(COUNTIFS('AFA Rates'!$A$5:$A$1004,$A540,'AFA Rates'!$B$5:$B$1004,E$23,'AFA Rates'!$O$5:$O$1004,"&lt;&gt;Expired")&gt;0,"✓",IF(COUNTIFS('AFA Rates'!$A$5:$A$1004,$A540,'AFA Rates'!$B$5:$B$1004,E$23)&gt;0,"Exp","")))</f>
        <v/>
      </c>
      <c r="F540" s="79">
        <f>IF(OR($A540="",F$23=""),"",IF(COUNTIFS('AFA Rates'!$A$5:$A$1004,$A540,'AFA Rates'!$B$5:$B$1004,F$23,'AFA Rates'!$O$5:$O$1004,"&lt;&gt;Expired")&gt;0,"✓",IF(COUNTIFS('AFA Rates'!$A$5:$A$1004,$A540,'AFA Rates'!$B$5:$B$1004,F$23)&gt;0,"Exp","")))</f>
        <v/>
      </c>
      <c r="G540" s="79">
        <f>IF(OR($A540="",G$23=""),"",IF(COUNTIFS('AFA Rates'!$A$5:$A$1004,$A540,'AFA Rates'!$B$5:$B$1004,G$23,'AFA Rates'!$O$5:$O$1004,"&lt;&gt;Expired")&gt;0,"✓",IF(COUNTIFS('AFA Rates'!$A$5:$A$1004,$A540,'AFA Rates'!$B$5:$B$1004,G$23)&gt;0,"Exp","")))</f>
        <v/>
      </c>
      <c r="H540" s="79">
        <f>IF(OR($A540="",H$23=""),"",IF(COUNTIFS('AFA Rates'!$A$5:$A$1004,$A540,'AFA Rates'!$B$5:$B$1004,H$23,'AFA Rates'!$O$5:$O$1004,"&lt;&gt;Expired")&gt;0,"✓",IF(COUNTIFS('AFA Rates'!$A$5:$A$1004,$A540,'AFA Rates'!$B$5:$B$1004,H$23)&gt;0,"Exp","")))</f>
        <v/>
      </c>
      <c r="I540" s="79">
        <f>IF(OR($A540="",I$23=""),"",IF(COUNTIFS('AFA Rates'!$A$5:$A$1004,$A540,'AFA Rates'!$B$5:$B$1004,I$23,'AFA Rates'!$O$5:$O$1004,"&lt;&gt;Expired")&gt;0,"✓",IF(COUNTIFS('AFA Rates'!$A$5:$A$1004,$A540,'AFA Rates'!$B$5:$B$1004,I$23)&gt;0,"Exp","")))</f>
        <v/>
      </c>
      <c r="J540" s="79">
        <f>IF(OR($A540="",J$23=""),"",IF(COUNTIFS('AFA Rates'!$A$5:$A$1004,$A540,'AFA Rates'!$B$5:$B$1004,J$23,'AFA Rates'!$O$5:$O$1004,"&lt;&gt;Expired")&gt;0,"✓",IF(COUNTIFS('AFA Rates'!$A$5:$A$1004,$A540,'AFA Rates'!$B$5:$B$1004,J$23)&gt;0,"Exp","")))</f>
        <v/>
      </c>
      <c r="K540" s="79">
        <f>IF(OR($A540="",K$23=""),"",IF(COUNTIFS('AFA Rates'!$A$5:$A$1004,$A540,'AFA Rates'!$B$5:$B$1004,K$23,'AFA Rates'!$O$5:$O$1004,"&lt;&gt;Expired")&gt;0,"✓",IF(COUNTIFS('AFA Rates'!$A$5:$A$1004,$A540,'AFA Rates'!$B$5:$B$1004,K$23)&gt;0,"Exp","")))</f>
        <v/>
      </c>
      <c r="L540" s="79">
        <f>IF(OR($A540="",L$23=""),"",IF(COUNTIFS('AFA Rates'!$A$5:$A$1004,$A540,'AFA Rates'!$B$5:$B$1004,L$23,'AFA Rates'!$O$5:$O$1004,"&lt;&gt;Expired")&gt;0,"✓",IF(COUNTIFS('AFA Rates'!$A$5:$A$1004,$A540,'AFA Rates'!$B$5:$B$1004,L$23)&gt;0,"Exp","")))</f>
        <v/>
      </c>
      <c r="M540" s="79">
        <f>IF(OR($A540="",M$23=""),"",IF(COUNTIFS('AFA Rates'!$A$5:$A$1004,$A540,'AFA Rates'!$B$5:$B$1004,M$23,'AFA Rates'!$O$5:$O$1004,"&lt;&gt;Expired")&gt;0,"✓",IF(COUNTIFS('AFA Rates'!$A$5:$A$1004,$A540,'AFA Rates'!$B$5:$B$1004,M$23)&gt;0,"Exp","")))</f>
        <v/>
      </c>
    </row>
    <row r="541">
      <c r="A541" s="78">
        <f>IFERROR(INDEX(Firms!$A$5:$A$1004,MATCH(518,Firms!$V$5:$V$1004,0)),"")</f>
        <v/>
      </c>
      <c r="B541" s="79">
        <f>IF($A541="","",INDEX(Firms!$B$5:$B$1004,MATCH(518,Firms!$V$5:$V$1004,0)))</f>
        <v/>
      </c>
      <c r="C541" s="79">
        <f>IF($A541="","",COUNTIFS('AFA Rates'!$A$5:$A$1004,$A541,'AFA Rates'!$O$5:$O$1004,"&lt;&gt;Expired"))</f>
        <v/>
      </c>
      <c r="D541" s="79">
        <f>IF(OR($A541="",D$23=""),"",IF(COUNTIFS('AFA Rates'!$A$5:$A$1004,$A541,'AFA Rates'!$B$5:$B$1004,D$23,'AFA Rates'!$O$5:$O$1004,"&lt;&gt;Expired")&gt;0,"✓",IF(COUNTIFS('AFA Rates'!$A$5:$A$1004,$A541,'AFA Rates'!$B$5:$B$1004,D$23)&gt;0,"Exp","")))</f>
        <v/>
      </c>
      <c r="E541" s="79">
        <f>IF(OR($A541="",E$23=""),"",IF(COUNTIFS('AFA Rates'!$A$5:$A$1004,$A541,'AFA Rates'!$B$5:$B$1004,E$23,'AFA Rates'!$O$5:$O$1004,"&lt;&gt;Expired")&gt;0,"✓",IF(COUNTIFS('AFA Rates'!$A$5:$A$1004,$A541,'AFA Rates'!$B$5:$B$1004,E$23)&gt;0,"Exp","")))</f>
        <v/>
      </c>
      <c r="F541" s="79">
        <f>IF(OR($A541="",F$23=""),"",IF(COUNTIFS('AFA Rates'!$A$5:$A$1004,$A541,'AFA Rates'!$B$5:$B$1004,F$23,'AFA Rates'!$O$5:$O$1004,"&lt;&gt;Expired")&gt;0,"✓",IF(COUNTIFS('AFA Rates'!$A$5:$A$1004,$A541,'AFA Rates'!$B$5:$B$1004,F$23)&gt;0,"Exp","")))</f>
        <v/>
      </c>
      <c r="G541" s="79">
        <f>IF(OR($A541="",G$23=""),"",IF(COUNTIFS('AFA Rates'!$A$5:$A$1004,$A541,'AFA Rates'!$B$5:$B$1004,G$23,'AFA Rates'!$O$5:$O$1004,"&lt;&gt;Expired")&gt;0,"✓",IF(COUNTIFS('AFA Rates'!$A$5:$A$1004,$A541,'AFA Rates'!$B$5:$B$1004,G$23)&gt;0,"Exp","")))</f>
        <v/>
      </c>
      <c r="H541" s="79">
        <f>IF(OR($A541="",H$23=""),"",IF(COUNTIFS('AFA Rates'!$A$5:$A$1004,$A541,'AFA Rates'!$B$5:$B$1004,H$23,'AFA Rates'!$O$5:$O$1004,"&lt;&gt;Expired")&gt;0,"✓",IF(COUNTIFS('AFA Rates'!$A$5:$A$1004,$A541,'AFA Rates'!$B$5:$B$1004,H$23)&gt;0,"Exp","")))</f>
        <v/>
      </c>
      <c r="I541" s="79">
        <f>IF(OR($A541="",I$23=""),"",IF(COUNTIFS('AFA Rates'!$A$5:$A$1004,$A541,'AFA Rates'!$B$5:$B$1004,I$23,'AFA Rates'!$O$5:$O$1004,"&lt;&gt;Expired")&gt;0,"✓",IF(COUNTIFS('AFA Rates'!$A$5:$A$1004,$A541,'AFA Rates'!$B$5:$B$1004,I$23)&gt;0,"Exp","")))</f>
        <v/>
      </c>
      <c r="J541" s="79">
        <f>IF(OR($A541="",J$23=""),"",IF(COUNTIFS('AFA Rates'!$A$5:$A$1004,$A541,'AFA Rates'!$B$5:$B$1004,J$23,'AFA Rates'!$O$5:$O$1004,"&lt;&gt;Expired")&gt;0,"✓",IF(COUNTIFS('AFA Rates'!$A$5:$A$1004,$A541,'AFA Rates'!$B$5:$B$1004,J$23)&gt;0,"Exp","")))</f>
        <v/>
      </c>
      <c r="K541" s="79">
        <f>IF(OR($A541="",K$23=""),"",IF(COUNTIFS('AFA Rates'!$A$5:$A$1004,$A541,'AFA Rates'!$B$5:$B$1004,K$23,'AFA Rates'!$O$5:$O$1004,"&lt;&gt;Expired")&gt;0,"✓",IF(COUNTIFS('AFA Rates'!$A$5:$A$1004,$A541,'AFA Rates'!$B$5:$B$1004,K$23)&gt;0,"Exp","")))</f>
        <v/>
      </c>
      <c r="L541" s="79">
        <f>IF(OR($A541="",L$23=""),"",IF(COUNTIFS('AFA Rates'!$A$5:$A$1004,$A541,'AFA Rates'!$B$5:$B$1004,L$23,'AFA Rates'!$O$5:$O$1004,"&lt;&gt;Expired")&gt;0,"✓",IF(COUNTIFS('AFA Rates'!$A$5:$A$1004,$A541,'AFA Rates'!$B$5:$B$1004,L$23)&gt;0,"Exp","")))</f>
        <v/>
      </c>
      <c r="M541" s="79">
        <f>IF(OR($A541="",M$23=""),"",IF(COUNTIFS('AFA Rates'!$A$5:$A$1004,$A541,'AFA Rates'!$B$5:$B$1004,M$23,'AFA Rates'!$O$5:$O$1004,"&lt;&gt;Expired")&gt;0,"✓",IF(COUNTIFS('AFA Rates'!$A$5:$A$1004,$A541,'AFA Rates'!$B$5:$B$1004,M$23)&gt;0,"Exp","")))</f>
        <v/>
      </c>
    </row>
    <row r="542">
      <c r="A542" s="78">
        <f>IFERROR(INDEX(Firms!$A$5:$A$1004,MATCH(519,Firms!$V$5:$V$1004,0)),"")</f>
        <v/>
      </c>
      <c r="B542" s="79">
        <f>IF($A542="","",INDEX(Firms!$B$5:$B$1004,MATCH(519,Firms!$V$5:$V$1004,0)))</f>
        <v/>
      </c>
      <c r="C542" s="79">
        <f>IF($A542="","",COUNTIFS('AFA Rates'!$A$5:$A$1004,$A542,'AFA Rates'!$O$5:$O$1004,"&lt;&gt;Expired"))</f>
        <v/>
      </c>
      <c r="D542" s="79">
        <f>IF(OR($A542="",D$23=""),"",IF(COUNTIFS('AFA Rates'!$A$5:$A$1004,$A542,'AFA Rates'!$B$5:$B$1004,D$23,'AFA Rates'!$O$5:$O$1004,"&lt;&gt;Expired")&gt;0,"✓",IF(COUNTIFS('AFA Rates'!$A$5:$A$1004,$A542,'AFA Rates'!$B$5:$B$1004,D$23)&gt;0,"Exp","")))</f>
        <v/>
      </c>
      <c r="E542" s="79">
        <f>IF(OR($A542="",E$23=""),"",IF(COUNTIFS('AFA Rates'!$A$5:$A$1004,$A542,'AFA Rates'!$B$5:$B$1004,E$23,'AFA Rates'!$O$5:$O$1004,"&lt;&gt;Expired")&gt;0,"✓",IF(COUNTIFS('AFA Rates'!$A$5:$A$1004,$A542,'AFA Rates'!$B$5:$B$1004,E$23)&gt;0,"Exp","")))</f>
        <v/>
      </c>
      <c r="F542" s="79">
        <f>IF(OR($A542="",F$23=""),"",IF(COUNTIFS('AFA Rates'!$A$5:$A$1004,$A542,'AFA Rates'!$B$5:$B$1004,F$23,'AFA Rates'!$O$5:$O$1004,"&lt;&gt;Expired")&gt;0,"✓",IF(COUNTIFS('AFA Rates'!$A$5:$A$1004,$A542,'AFA Rates'!$B$5:$B$1004,F$23)&gt;0,"Exp","")))</f>
        <v/>
      </c>
      <c r="G542" s="79">
        <f>IF(OR($A542="",G$23=""),"",IF(COUNTIFS('AFA Rates'!$A$5:$A$1004,$A542,'AFA Rates'!$B$5:$B$1004,G$23,'AFA Rates'!$O$5:$O$1004,"&lt;&gt;Expired")&gt;0,"✓",IF(COUNTIFS('AFA Rates'!$A$5:$A$1004,$A542,'AFA Rates'!$B$5:$B$1004,G$23)&gt;0,"Exp","")))</f>
        <v/>
      </c>
      <c r="H542" s="79">
        <f>IF(OR($A542="",H$23=""),"",IF(COUNTIFS('AFA Rates'!$A$5:$A$1004,$A542,'AFA Rates'!$B$5:$B$1004,H$23,'AFA Rates'!$O$5:$O$1004,"&lt;&gt;Expired")&gt;0,"✓",IF(COUNTIFS('AFA Rates'!$A$5:$A$1004,$A542,'AFA Rates'!$B$5:$B$1004,H$23)&gt;0,"Exp","")))</f>
        <v/>
      </c>
      <c r="I542" s="79">
        <f>IF(OR($A542="",I$23=""),"",IF(COUNTIFS('AFA Rates'!$A$5:$A$1004,$A542,'AFA Rates'!$B$5:$B$1004,I$23,'AFA Rates'!$O$5:$O$1004,"&lt;&gt;Expired")&gt;0,"✓",IF(COUNTIFS('AFA Rates'!$A$5:$A$1004,$A542,'AFA Rates'!$B$5:$B$1004,I$23)&gt;0,"Exp","")))</f>
        <v/>
      </c>
      <c r="J542" s="79">
        <f>IF(OR($A542="",J$23=""),"",IF(COUNTIFS('AFA Rates'!$A$5:$A$1004,$A542,'AFA Rates'!$B$5:$B$1004,J$23,'AFA Rates'!$O$5:$O$1004,"&lt;&gt;Expired")&gt;0,"✓",IF(COUNTIFS('AFA Rates'!$A$5:$A$1004,$A542,'AFA Rates'!$B$5:$B$1004,J$23)&gt;0,"Exp","")))</f>
        <v/>
      </c>
      <c r="K542" s="79">
        <f>IF(OR($A542="",K$23=""),"",IF(COUNTIFS('AFA Rates'!$A$5:$A$1004,$A542,'AFA Rates'!$B$5:$B$1004,K$23,'AFA Rates'!$O$5:$O$1004,"&lt;&gt;Expired")&gt;0,"✓",IF(COUNTIFS('AFA Rates'!$A$5:$A$1004,$A542,'AFA Rates'!$B$5:$B$1004,K$23)&gt;0,"Exp","")))</f>
        <v/>
      </c>
      <c r="L542" s="79">
        <f>IF(OR($A542="",L$23=""),"",IF(COUNTIFS('AFA Rates'!$A$5:$A$1004,$A542,'AFA Rates'!$B$5:$B$1004,L$23,'AFA Rates'!$O$5:$O$1004,"&lt;&gt;Expired")&gt;0,"✓",IF(COUNTIFS('AFA Rates'!$A$5:$A$1004,$A542,'AFA Rates'!$B$5:$B$1004,L$23)&gt;0,"Exp","")))</f>
        <v/>
      </c>
      <c r="M542" s="79">
        <f>IF(OR($A542="",M$23=""),"",IF(COUNTIFS('AFA Rates'!$A$5:$A$1004,$A542,'AFA Rates'!$B$5:$B$1004,M$23,'AFA Rates'!$O$5:$O$1004,"&lt;&gt;Expired")&gt;0,"✓",IF(COUNTIFS('AFA Rates'!$A$5:$A$1004,$A542,'AFA Rates'!$B$5:$B$1004,M$23)&gt;0,"Exp","")))</f>
        <v/>
      </c>
    </row>
    <row r="543">
      <c r="A543" s="78">
        <f>IFERROR(INDEX(Firms!$A$5:$A$1004,MATCH(520,Firms!$V$5:$V$1004,0)),"")</f>
        <v/>
      </c>
      <c r="B543" s="79">
        <f>IF($A543="","",INDEX(Firms!$B$5:$B$1004,MATCH(520,Firms!$V$5:$V$1004,0)))</f>
        <v/>
      </c>
      <c r="C543" s="79">
        <f>IF($A543="","",COUNTIFS('AFA Rates'!$A$5:$A$1004,$A543,'AFA Rates'!$O$5:$O$1004,"&lt;&gt;Expired"))</f>
        <v/>
      </c>
      <c r="D543" s="79">
        <f>IF(OR($A543="",D$23=""),"",IF(COUNTIFS('AFA Rates'!$A$5:$A$1004,$A543,'AFA Rates'!$B$5:$B$1004,D$23,'AFA Rates'!$O$5:$O$1004,"&lt;&gt;Expired")&gt;0,"✓",IF(COUNTIFS('AFA Rates'!$A$5:$A$1004,$A543,'AFA Rates'!$B$5:$B$1004,D$23)&gt;0,"Exp","")))</f>
        <v/>
      </c>
      <c r="E543" s="79">
        <f>IF(OR($A543="",E$23=""),"",IF(COUNTIFS('AFA Rates'!$A$5:$A$1004,$A543,'AFA Rates'!$B$5:$B$1004,E$23,'AFA Rates'!$O$5:$O$1004,"&lt;&gt;Expired")&gt;0,"✓",IF(COUNTIFS('AFA Rates'!$A$5:$A$1004,$A543,'AFA Rates'!$B$5:$B$1004,E$23)&gt;0,"Exp","")))</f>
        <v/>
      </c>
      <c r="F543" s="79">
        <f>IF(OR($A543="",F$23=""),"",IF(COUNTIFS('AFA Rates'!$A$5:$A$1004,$A543,'AFA Rates'!$B$5:$B$1004,F$23,'AFA Rates'!$O$5:$O$1004,"&lt;&gt;Expired")&gt;0,"✓",IF(COUNTIFS('AFA Rates'!$A$5:$A$1004,$A543,'AFA Rates'!$B$5:$B$1004,F$23)&gt;0,"Exp","")))</f>
        <v/>
      </c>
      <c r="G543" s="79">
        <f>IF(OR($A543="",G$23=""),"",IF(COUNTIFS('AFA Rates'!$A$5:$A$1004,$A543,'AFA Rates'!$B$5:$B$1004,G$23,'AFA Rates'!$O$5:$O$1004,"&lt;&gt;Expired")&gt;0,"✓",IF(COUNTIFS('AFA Rates'!$A$5:$A$1004,$A543,'AFA Rates'!$B$5:$B$1004,G$23)&gt;0,"Exp","")))</f>
        <v/>
      </c>
      <c r="H543" s="79">
        <f>IF(OR($A543="",H$23=""),"",IF(COUNTIFS('AFA Rates'!$A$5:$A$1004,$A543,'AFA Rates'!$B$5:$B$1004,H$23,'AFA Rates'!$O$5:$O$1004,"&lt;&gt;Expired")&gt;0,"✓",IF(COUNTIFS('AFA Rates'!$A$5:$A$1004,$A543,'AFA Rates'!$B$5:$B$1004,H$23)&gt;0,"Exp","")))</f>
        <v/>
      </c>
      <c r="I543" s="79">
        <f>IF(OR($A543="",I$23=""),"",IF(COUNTIFS('AFA Rates'!$A$5:$A$1004,$A543,'AFA Rates'!$B$5:$B$1004,I$23,'AFA Rates'!$O$5:$O$1004,"&lt;&gt;Expired")&gt;0,"✓",IF(COUNTIFS('AFA Rates'!$A$5:$A$1004,$A543,'AFA Rates'!$B$5:$B$1004,I$23)&gt;0,"Exp","")))</f>
        <v/>
      </c>
      <c r="J543" s="79">
        <f>IF(OR($A543="",J$23=""),"",IF(COUNTIFS('AFA Rates'!$A$5:$A$1004,$A543,'AFA Rates'!$B$5:$B$1004,J$23,'AFA Rates'!$O$5:$O$1004,"&lt;&gt;Expired")&gt;0,"✓",IF(COUNTIFS('AFA Rates'!$A$5:$A$1004,$A543,'AFA Rates'!$B$5:$B$1004,J$23)&gt;0,"Exp","")))</f>
        <v/>
      </c>
      <c r="K543" s="79">
        <f>IF(OR($A543="",K$23=""),"",IF(COUNTIFS('AFA Rates'!$A$5:$A$1004,$A543,'AFA Rates'!$B$5:$B$1004,K$23,'AFA Rates'!$O$5:$O$1004,"&lt;&gt;Expired")&gt;0,"✓",IF(COUNTIFS('AFA Rates'!$A$5:$A$1004,$A543,'AFA Rates'!$B$5:$B$1004,K$23)&gt;0,"Exp","")))</f>
        <v/>
      </c>
      <c r="L543" s="79">
        <f>IF(OR($A543="",L$23=""),"",IF(COUNTIFS('AFA Rates'!$A$5:$A$1004,$A543,'AFA Rates'!$B$5:$B$1004,L$23,'AFA Rates'!$O$5:$O$1004,"&lt;&gt;Expired")&gt;0,"✓",IF(COUNTIFS('AFA Rates'!$A$5:$A$1004,$A543,'AFA Rates'!$B$5:$B$1004,L$23)&gt;0,"Exp","")))</f>
        <v/>
      </c>
      <c r="M543" s="79">
        <f>IF(OR($A543="",M$23=""),"",IF(COUNTIFS('AFA Rates'!$A$5:$A$1004,$A543,'AFA Rates'!$B$5:$B$1004,M$23,'AFA Rates'!$O$5:$O$1004,"&lt;&gt;Expired")&gt;0,"✓",IF(COUNTIFS('AFA Rates'!$A$5:$A$1004,$A543,'AFA Rates'!$B$5:$B$1004,M$23)&gt;0,"Exp","")))</f>
        <v/>
      </c>
    </row>
    <row r="544">
      <c r="A544" s="78">
        <f>IFERROR(INDEX(Firms!$A$5:$A$1004,MATCH(521,Firms!$V$5:$V$1004,0)),"")</f>
        <v/>
      </c>
      <c r="B544" s="79">
        <f>IF($A544="","",INDEX(Firms!$B$5:$B$1004,MATCH(521,Firms!$V$5:$V$1004,0)))</f>
        <v/>
      </c>
      <c r="C544" s="79">
        <f>IF($A544="","",COUNTIFS('AFA Rates'!$A$5:$A$1004,$A544,'AFA Rates'!$O$5:$O$1004,"&lt;&gt;Expired"))</f>
        <v/>
      </c>
      <c r="D544" s="79">
        <f>IF(OR($A544="",D$23=""),"",IF(COUNTIFS('AFA Rates'!$A$5:$A$1004,$A544,'AFA Rates'!$B$5:$B$1004,D$23,'AFA Rates'!$O$5:$O$1004,"&lt;&gt;Expired")&gt;0,"✓",IF(COUNTIFS('AFA Rates'!$A$5:$A$1004,$A544,'AFA Rates'!$B$5:$B$1004,D$23)&gt;0,"Exp","")))</f>
        <v/>
      </c>
      <c r="E544" s="79">
        <f>IF(OR($A544="",E$23=""),"",IF(COUNTIFS('AFA Rates'!$A$5:$A$1004,$A544,'AFA Rates'!$B$5:$B$1004,E$23,'AFA Rates'!$O$5:$O$1004,"&lt;&gt;Expired")&gt;0,"✓",IF(COUNTIFS('AFA Rates'!$A$5:$A$1004,$A544,'AFA Rates'!$B$5:$B$1004,E$23)&gt;0,"Exp","")))</f>
        <v/>
      </c>
      <c r="F544" s="79">
        <f>IF(OR($A544="",F$23=""),"",IF(COUNTIFS('AFA Rates'!$A$5:$A$1004,$A544,'AFA Rates'!$B$5:$B$1004,F$23,'AFA Rates'!$O$5:$O$1004,"&lt;&gt;Expired")&gt;0,"✓",IF(COUNTIFS('AFA Rates'!$A$5:$A$1004,$A544,'AFA Rates'!$B$5:$B$1004,F$23)&gt;0,"Exp","")))</f>
        <v/>
      </c>
      <c r="G544" s="79">
        <f>IF(OR($A544="",G$23=""),"",IF(COUNTIFS('AFA Rates'!$A$5:$A$1004,$A544,'AFA Rates'!$B$5:$B$1004,G$23,'AFA Rates'!$O$5:$O$1004,"&lt;&gt;Expired")&gt;0,"✓",IF(COUNTIFS('AFA Rates'!$A$5:$A$1004,$A544,'AFA Rates'!$B$5:$B$1004,G$23)&gt;0,"Exp","")))</f>
        <v/>
      </c>
      <c r="H544" s="79">
        <f>IF(OR($A544="",H$23=""),"",IF(COUNTIFS('AFA Rates'!$A$5:$A$1004,$A544,'AFA Rates'!$B$5:$B$1004,H$23,'AFA Rates'!$O$5:$O$1004,"&lt;&gt;Expired")&gt;0,"✓",IF(COUNTIFS('AFA Rates'!$A$5:$A$1004,$A544,'AFA Rates'!$B$5:$B$1004,H$23)&gt;0,"Exp","")))</f>
        <v/>
      </c>
      <c r="I544" s="79">
        <f>IF(OR($A544="",I$23=""),"",IF(COUNTIFS('AFA Rates'!$A$5:$A$1004,$A544,'AFA Rates'!$B$5:$B$1004,I$23,'AFA Rates'!$O$5:$O$1004,"&lt;&gt;Expired")&gt;0,"✓",IF(COUNTIFS('AFA Rates'!$A$5:$A$1004,$A544,'AFA Rates'!$B$5:$B$1004,I$23)&gt;0,"Exp","")))</f>
        <v/>
      </c>
      <c r="J544" s="79">
        <f>IF(OR($A544="",J$23=""),"",IF(COUNTIFS('AFA Rates'!$A$5:$A$1004,$A544,'AFA Rates'!$B$5:$B$1004,J$23,'AFA Rates'!$O$5:$O$1004,"&lt;&gt;Expired")&gt;0,"✓",IF(COUNTIFS('AFA Rates'!$A$5:$A$1004,$A544,'AFA Rates'!$B$5:$B$1004,J$23)&gt;0,"Exp","")))</f>
        <v/>
      </c>
      <c r="K544" s="79">
        <f>IF(OR($A544="",K$23=""),"",IF(COUNTIFS('AFA Rates'!$A$5:$A$1004,$A544,'AFA Rates'!$B$5:$B$1004,K$23,'AFA Rates'!$O$5:$O$1004,"&lt;&gt;Expired")&gt;0,"✓",IF(COUNTIFS('AFA Rates'!$A$5:$A$1004,$A544,'AFA Rates'!$B$5:$B$1004,K$23)&gt;0,"Exp","")))</f>
        <v/>
      </c>
      <c r="L544" s="79">
        <f>IF(OR($A544="",L$23=""),"",IF(COUNTIFS('AFA Rates'!$A$5:$A$1004,$A544,'AFA Rates'!$B$5:$B$1004,L$23,'AFA Rates'!$O$5:$O$1004,"&lt;&gt;Expired")&gt;0,"✓",IF(COUNTIFS('AFA Rates'!$A$5:$A$1004,$A544,'AFA Rates'!$B$5:$B$1004,L$23)&gt;0,"Exp","")))</f>
        <v/>
      </c>
      <c r="M544" s="79">
        <f>IF(OR($A544="",M$23=""),"",IF(COUNTIFS('AFA Rates'!$A$5:$A$1004,$A544,'AFA Rates'!$B$5:$B$1004,M$23,'AFA Rates'!$O$5:$O$1004,"&lt;&gt;Expired")&gt;0,"✓",IF(COUNTIFS('AFA Rates'!$A$5:$A$1004,$A544,'AFA Rates'!$B$5:$B$1004,M$23)&gt;0,"Exp","")))</f>
        <v/>
      </c>
    </row>
    <row r="545">
      <c r="A545" s="78">
        <f>IFERROR(INDEX(Firms!$A$5:$A$1004,MATCH(522,Firms!$V$5:$V$1004,0)),"")</f>
        <v/>
      </c>
      <c r="B545" s="79">
        <f>IF($A545="","",INDEX(Firms!$B$5:$B$1004,MATCH(522,Firms!$V$5:$V$1004,0)))</f>
        <v/>
      </c>
      <c r="C545" s="79">
        <f>IF($A545="","",COUNTIFS('AFA Rates'!$A$5:$A$1004,$A545,'AFA Rates'!$O$5:$O$1004,"&lt;&gt;Expired"))</f>
        <v/>
      </c>
      <c r="D545" s="79">
        <f>IF(OR($A545="",D$23=""),"",IF(COUNTIFS('AFA Rates'!$A$5:$A$1004,$A545,'AFA Rates'!$B$5:$B$1004,D$23,'AFA Rates'!$O$5:$O$1004,"&lt;&gt;Expired")&gt;0,"✓",IF(COUNTIFS('AFA Rates'!$A$5:$A$1004,$A545,'AFA Rates'!$B$5:$B$1004,D$23)&gt;0,"Exp","")))</f>
        <v/>
      </c>
      <c r="E545" s="79">
        <f>IF(OR($A545="",E$23=""),"",IF(COUNTIFS('AFA Rates'!$A$5:$A$1004,$A545,'AFA Rates'!$B$5:$B$1004,E$23,'AFA Rates'!$O$5:$O$1004,"&lt;&gt;Expired")&gt;0,"✓",IF(COUNTIFS('AFA Rates'!$A$5:$A$1004,$A545,'AFA Rates'!$B$5:$B$1004,E$23)&gt;0,"Exp","")))</f>
        <v/>
      </c>
      <c r="F545" s="79">
        <f>IF(OR($A545="",F$23=""),"",IF(COUNTIFS('AFA Rates'!$A$5:$A$1004,$A545,'AFA Rates'!$B$5:$B$1004,F$23,'AFA Rates'!$O$5:$O$1004,"&lt;&gt;Expired")&gt;0,"✓",IF(COUNTIFS('AFA Rates'!$A$5:$A$1004,$A545,'AFA Rates'!$B$5:$B$1004,F$23)&gt;0,"Exp","")))</f>
        <v/>
      </c>
      <c r="G545" s="79">
        <f>IF(OR($A545="",G$23=""),"",IF(COUNTIFS('AFA Rates'!$A$5:$A$1004,$A545,'AFA Rates'!$B$5:$B$1004,G$23,'AFA Rates'!$O$5:$O$1004,"&lt;&gt;Expired")&gt;0,"✓",IF(COUNTIFS('AFA Rates'!$A$5:$A$1004,$A545,'AFA Rates'!$B$5:$B$1004,G$23)&gt;0,"Exp","")))</f>
        <v/>
      </c>
      <c r="H545" s="79">
        <f>IF(OR($A545="",H$23=""),"",IF(COUNTIFS('AFA Rates'!$A$5:$A$1004,$A545,'AFA Rates'!$B$5:$B$1004,H$23,'AFA Rates'!$O$5:$O$1004,"&lt;&gt;Expired")&gt;0,"✓",IF(COUNTIFS('AFA Rates'!$A$5:$A$1004,$A545,'AFA Rates'!$B$5:$B$1004,H$23)&gt;0,"Exp","")))</f>
        <v/>
      </c>
      <c r="I545" s="79">
        <f>IF(OR($A545="",I$23=""),"",IF(COUNTIFS('AFA Rates'!$A$5:$A$1004,$A545,'AFA Rates'!$B$5:$B$1004,I$23,'AFA Rates'!$O$5:$O$1004,"&lt;&gt;Expired")&gt;0,"✓",IF(COUNTIFS('AFA Rates'!$A$5:$A$1004,$A545,'AFA Rates'!$B$5:$B$1004,I$23)&gt;0,"Exp","")))</f>
        <v/>
      </c>
      <c r="J545" s="79">
        <f>IF(OR($A545="",J$23=""),"",IF(COUNTIFS('AFA Rates'!$A$5:$A$1004,$A545,'AFA Rates'!$B$5:$B$1004,J$23,'AFA Rates'!$O$5:$O$1004,"&lt;&gt;Expired")&gt;0,"✓",IF(COUNTIFS('AFA Rates'!$A$5:$A$1004,$A545,'AFA Rates'!$B$5:$B$1004,J$23)&gt;0,"Exp","")))</f>
        <v/>
      </c>
      <c r="K545" s="79">
        <f>IF(OR($A545="",K$23=""),"",IF(COUNTIFS('AFA Rates'!$A$5:$A$1004,$A545,'AFA Rates'!$B$5:$B$1004,K$23,'AFA Rates'!$O$5:$O$1004,"&lt;&gt;Expired")&gt;0,"✓",IF(COUNTIFS('AFA Rates'!$A$5:$A$1004,$A545,'AFA Rates'!$B$5:$B$1004,K$23)&gt;0,"Exp","")))</f>
        <v/>
      </c>
      <c r="L545" s="79">
        <f>IF(OR($A545="",L$23=""),"",IF(COUNTIFS('AFA Rates'!$A$5:$A$1004,$A545,'AFA Rates'!$B$5:$B$1004,L$23,'AFA Rates'!$O$5:$O$1004,"&lt;&gt;Expired")&gt;0,"✓",IF(COUNTIFS('AFA Rates'!$A$5:$A$1004,$A545,'AFA Rates'!$B$5:$B$1004,L$23)&gt;0,"Exp","")))</f>
        <v/>
      </c>
      <c r="M545" s="79">
        <f>IF(OR($A545="",M$23=""),"",IF(COUNTIFS('AFA Rates'!$A$5:$A$1004,$A545,'AFA Rates'!$B$5:$B$1004,M$23,'AFA Rates'!$O$5:$O$1004,"&lt;&gt;Expired")&gt;0,"✓",IF(COUNTIFS('AFA Rates'!$A$5:$A$1004,$A545,'AFA Rates'!$B$5:$B$1004,M$23)&gt;0,"Exp","")))</f>
        <v/>
      </c>
    </row>
    <row r="546">
      <c r="A546" s="78">
        <f>IFERROR(INDEX(Firms!$A$5:$A$1004,MATCH(523,Firms!$V$5:$V$1004,0)),"")</f>
        <v/>
      </c>
      <c r="B546" s="79">
        <f>IF($A546="","",INDEX(Firms!$B$5:$B$1004,MATCH(523,Firms!$V$5:$V$1004,0)))</f>
        <v/>
      </c>
      <c r="C546" s="79">
        <f>IF($A546="","",COUNTIFS('AFA Rates'!$A$5:$A$1004,$A546,'AFA Rates'!$O$5:$O$1004,"&lt;&gt;Expired"))</f>
        <v/>
      </c>
      <c r="D546" s="79">
        <f>IF(OR($A546="",D$23=""),"",IF(COUNTIFS('AFA Rates'!$A$5:$A$1004,$A546,'AFA Rates'!$B$5:$B$1004,D$23,'AFA Rates'!$O$5:$O$1004,"&lt;&gt;Expired")&gt;0,"✓",IF(COUNTIFS('AFA Rates'!$A$5:$A$1004,$A546,'AFA Rates'!$B$5:$B$1004,D$23)&gt;0,"Exp","")))</f>
        <v/>
      </c>
      <c r="E546" s="79">
        <f>IF(OR($A546="",E$23=""),"",IF(COUNTIFS('AFA Rates'!$A$5:$A$1004,$A546,'AFA Rates'!$B$5:$B$1004,E$23,'AFA Rates'!$O$5:$O$1004,"&lt;&gt;Expired")&gt;0,"✓",IF(COUNTIFS('AFA Rates'!$A$5:$A$1004,$A546,'AFA Rates'!$B$5:$B$1004,E$23)&gt;0,"Exp","")))</f>
        <v/>
      </c>
      <c r="F546" s="79">
        <f>IF(OR($A546="",F$23=""),"",IF(COUNTIFS('AFA Rates'!$A$5:$A$1004,$A546,'AFA Rates'!$B$5:$B$1004,F$23,'AFA Rates'!$O$5:$O$1004,"&lt;&gt;Expired")&gt;0,"✓",IF(COUNTIFS('AFA Rates'!$A$5:$A$1004,$A546,'AFA Rates'!$B$5:$B$1004,F$23)&gt;0,"Exp","")))</f>
        <v/>
      </c>
      <c r="G546" s="79">
        <f>IF(OR($A546="",G$23=""),"",IF(COUNTIFS('AFA Rates'!$A$5:$A$1004,$A546,'AFA Rates'!$B$5:$B$1004,G$23,'AFA Rates'!$O$5:$O$1004,"&lt;&gt;Expired")&gt;0,"✓",IF(COUNTIFS('AFA Rates'!$A$5:$A$1004,$A546,'AFA Rates'!$B$5:$B$1004,G$23)&gt;0,"Exp","")))</f>
        <v/>
      </c>
      <c r="H546" s="79">
        <f>IF(OR($A546="",H$23=""),"",IF(COUNTIFS('AFA Rates'!$A$5:$A$1004,$A546,'AFA Rates'!$B$5:$B$1004,H$23,'AFA Rates'!$O$5:$O$1004,"&lt;&gt;Expired")&gt;0,"✓",IF(COUNTIFS('AFA Rates'!$A$5:$A$1004,$A546,'AFA Rates'!$B$5:$B$1004,H$23)&gt;0,"Exp","")))</f>
        <v/>
      </c>
      <c r="I546" s="79">
        <f>IF(OR($A546="",I$23=""),"",IF(COUNTIFS('AFA Rates'!$A$5:$A$1004,$A546,'AFA Rates'!$B$5:$B$1004,I$23,'AFA Rates'!$O$5:$O$1004,"&lt;&gt;Expired")&gt;0,"✓",IF(COUNTIFS('AFA Rates'!$A$5:$A$1004,$A546,'AFA Rates'!$B$5:$B$1004,I$23)&gt;0,"Exp","")))</f>
        <v/>
      </c>
      <c r="J546" s="79">
        <f>IF(OR($A546="",J$23=""),"",IF(COUNTIFS('AFA Rates'!$A$5:$A$1004,$A546,'AFA Rates'!$B$5:$B$1004,J$23,'AFA Rates'!$O$5:$O$1004,"&lt;&gt;Expired")&gt;0,"✓",IF(COUNTIFS('AFA Rates'!$A$5:$A$1004,$A546,'AFA Rates'!$B$5:$B$1004,J$23)&gt;0,"Exp","")))</f>
        <v/>
      </c>
      <c r="K546" s="79">
        <f>IF(OR($A546="",K$23=""),"",IF(COUNTIFS('AFA Rates'!$A$5:$A$1004,$A546,'AFA Rates'!$B$5:$B$1004,K$23,'AFA Rates'!$O$5:$O$1004,"&lt;&gt;Expired")&gt;0,"✓",IF(COUNTIFS('AFA Rates'!$A$5:$A$1004,$A546,'AFA Rates'!$B$5:$B$1004,K$23)&gt;0,"Exp","")))</f>
        <v/>
      </c>
      <c r="L546" s="79">
        <f>IF(OR($A546="",L$23=""),"",IF(COUNTIFS('AFA Rates'!$A$5:$A$1004,$A546,'AFA Rates'!$B$5:$B$1004,L$23,'AFA Rates'!$O$5:$O$1004,"&lt;&gt;Expired")&gt;0,"✓",IF(COUNTIFS('AFA Rates'!$A$5:$A$1004,$A546,'AFA Rates'!$B$5:$B$1004,L$23)&gt;0,"Exp","")))</f>
        <v/>
      </c>
      <c r="M546" s="79">
        <f>IF(OR($A546="",M$23=""),"",IF(COUNTIFS('AFA Rates'!$A$5:$A$1004,$A546,'AFA Rates'!$B$5:$B$1004,M$23,'AFA Rates'!$O$5:$O$1004,"&lt;&gt;Expired")&gt;0,"✓",IF(COUNTIFS('AFA Rates'!$A$5:$A$1004,$A546,'AFA Rates'!$B$5:$B$1004,M$23)&gt;0,"Exp","")))</f>
        <v/>
      </c>
    </row>
    <row r="547">
      <c r="A547" s="78">
        <f>IFERROR(INDEX(Firms!$A$5:$A$1004,MATCH(524,Firms!$V$5:$V$1004,0)),"")</f>
        <v/>
      </c>
      <c r="B547" s="79">
        <f>IF($A547="","",INDEX(Firms!$B$5:$B$1004,MATCH(524,Firms!$V$5:$V$1004,0)))</f>
        <v/>
      </c>
      <c r="C547" s="79">
        <f>IF($A547="","",COUNTIFS('AFA Rates'!$A$5:$A$1004,$A547,'AFA Rates'!$O$5:$O$1004,"&lt;&gt;Expired"))</f>
        <v/>
      </c>
      <c r="D547" s="79">
        <f>IF(OR($A547="",D$23=""),"",IF(COUNTIFS('AFA Rates'!$A$5:$A$1004,$A547,'AFA Rates'!$B$5:$B$1004,D$23,'AFA Rates'!$O$5:$O$1004,"&lt;&gt;Expired")&gt;0,"✓",IF(COUNTIFS('AFA Rates'!$A$5:$A$1004,$A547,'AFA Rates'!$B$5:$B$1004,D$23)&gt;0,"Exp","")))</f>
        <v/>
      </c>
      <c r="E547" s="79">
        <f>IF(OR($A547="",E$23=""),"",IF(COUNTIFS('AFA Rates'!$A$5:$A$1004,$A547,'AFA Rates'!$B$5:$B$1004,E$23,'AFA Rates'!$O$5:$O$1004,"&lt;&gt;Expired")&gt;0,"✓",IF(COUNTIFS('AFA Rates'!$A$5:$A$1004,$A547,'AFA Rates'!$B$5:$B$1004,E$23)&gt;0,"Exp","")))</f>
        <v/>
      </c>
      <c r="F547" s="79">
        <f>IF(OR($A547="",F$23=""),"",IF(COUNTIFS('AFA Rates'!$A$5:$A$1004,$A547,'AFA Rates'!$B$5:$B$1004,F$23,'AFA Rates'!$O$5:$O$1004,"&lt;&gt;Expired")&gt;0,"✓",IF(COUNTIFS('AFA Rates'!$A$5:$A$1004,$A547,'AFA Rates'!$B$5:$B$1004,F$23)&gt;0,"Exp","")))</f>
        <v/>
      </c>
      <c r="G547" s="79">
        <f>IF(OR($A547="",G$23=""),"",IF(COUNTIFS('AFA Rates'!$A$5:$A$1004,$A547,'AFA Rates'!$B$5:$B$1004,G$23,'AFA Rates'!$O$5:$O$1004,"&lt;&gt;Expired")&gt;0,"✓",IF(COUNTIFS('AFA Rates'!$A$5:$A$1004,$A547,'AFA Rates'!$B$5:$B$1004,G$23)&gt;0,"Exp","")))</f>
        <v/>
      </c>
      <c r="H547" s="79">
        <f>IF(OR($A547="",H$23=""),"",IF(COUNTIFS('AFA Rates'!$A$5:$A$1004,$A547,'AFA Rates'!$B$5:$B$1004,H$23,'AFA Rates'!$O$5:$O$1004,"&lt;&gt;Expired")&gt;0,"✓",IF(COUNTIFS('AFA Rates'!$A$5:$A$1004,$A547,'AFA Rates'!$B$5:$B$1004,H$23)&gt;0,"Exp","")))</f>
        <v/>
      </c>
      <c r="I547" s="79">
        <f>IF(OR($A547="",I$23=""),"",IF(COUNTIFS('AFA Rates'!$A$5:$A$1004,$A547,'AFA Rates'!$B$5:$B$1004,I$23,'AFA Rates'!$O$5:$O$1004,"&lt;&gt;Expired")&gt;0,"✓",IF(COUNTIFS('AFA Rates'!$A$5:$A$1004,$A547,'AFA Rates'!$B$5:$B$1004,I$23)&gt;0,"Exp","")))</f>
        <v/>
      </c>
      <c r="J547" s="79">
        <f>IF(OR($A547="",J$23=""),"",IF(COUNTIFS('AFA Rates'!$A$5:$A$1004,$A547,'AFA Rates'!$B$5:$B$1004,J$23,'AFA Rates'!$O$5:$O$1004,"&lt;&gt;Expired")&gt;0,"✓",IF(COUNTIFS('AFA Rates'!$A$5:$A$1004,$A547,'AFA Rates'!$B$5:$B$1004,J$23)&gt;0,"Exp","")))</f>
        <v/>
      </c>
      <c r="K547" s="79">
        <f>IF(OR($A547="",K$23=""),"",IF(COUNTIFS('AFA Rates'!$A$5:$A$1004,$A547,'AFA Rates'!$B$5:$B$1004,K$23,'AFA Rates'!$O$5:$O$1004,"&lt;&gt;Expired")&gt;0,"✓",IF(COUNTIFS('AFA Rates'!$A$5:$A$1004,$A547,'AFA Rates'!$B$5:$B$1004,K$23)&gt;0,"Exp","")))</f>
        <v/>
      </c>
      <c r="L547" s="79">
        <f>IF(OR($A547="",L$23=""),"",IF(COUNTIFS('AFA Rates'!$A$5:$A$1004,$A547,'AFA Rates'!$B$5:$B$1004,L$23,'AFA Rates'!$O$5:$O$1004,"&lt;&gt;Expired")&gt;0,"✓",IF(COUNTIFS('AFA Rates'!$A$5:$A$1004,$A547,'AFA Rates'!$B$5:$B$1004,L$23)&gt;0,"Exp","")))</f>
        <v/>
      </c>
      <c r="M547" s="79">
        <f>IF(OR($A547="",M$23=""),"",IF(COUNTIFS('AFA Rates'!$A$5:$A$1004,$A547,'AFA Rates'!$B$5:$B$1004,M$23,'AFA Rates'!$O$5:$O$1004,"&lt;&gt;Expired")&gt;0,"✓",IF(COUNTIFS('AFA Rates'!$A$5:$A$1004,$A547,'AFA Rates'!$B$5:$B$1004,M$23)&gt;0,"Exp","")))</f>
        <v/>
      </c>
    </row>
    <row r="548">
      <c r="A548" s="78">
        <f>IFERROR(INDEX(Firms!$A$5:$A$1004,MATCH(525,Firms!$V$5:$V$1004,0)),"")</f>
        <v/>
      </c>
      <c r="B548" s="79">
        <f>IF($A548="","",INDEX(Firms!$B$5:$B$1004,MATCH(525,Firms!$V$5:$V$1004,0)))</f>
        <v/>
      </c>
      <c r="C548" s="79">
        <f>IF($A548="","",COUNTIFS('AFA Rates'!$A$5:$A$1004,$A548,'AFA Rates'!$O$5:$O$1004,"&lt;&gt;Expired"))</f>
        <v/>
      </c>
      <c r="D548" s="79">
        <f>IF(OR($A548="",D$23=""),"",IF(COUNTIFS('AFA Rates'!$A$5:$A$1004,$A548,'AFA Rates'!$B$5:$B$1004,D$23,'AFA Rates'!$O$5:$O$1004,"&lt;&gt;Expired")&gt;0,"✓",IF(COUNTIFS('AFA Rates'!$A$5:$A$1004,$A548,'AFA Rates'!$B$5:$B$1004,D$23)&gt;0,"Exp","")))</f>
        <v/>
      </c>
      <c r="E548" s="79">
        <f>IF(OR($A548="",E$23=""),"",IF(COUNTIFS('AFA Rates'!$A$5:$A$1004,$A548,'AFA Rates'!$B$5:$B$1004,E$23,'AFA Rates'!$O$5:$O$1004,"&lt;&gt;Expired")&gt;0,"✓",IF(COUNTIFS('AFA Rates'!$A$5:$A$1004,$A548,'AFA Rates'!$B$5:$B$1004,E$23)&gt;0,"Exp","")))</f>
        <v/>
      </c>
      <c r="F548" s="79">
        <f>IF(OR($A548="",F$23=""),"",IF(COUNTIFS('AFA Rates'!$A$5:$A$1004,$A548,'AFA Rates'!$B$5:$B$1004,F$23,'AFA Rates'!$O$5:$O$1004,"&lt;&gt;Expired")&gt;0,"✓",IF(COUNTIFS('AFA Rates'!$A$5:$A$1004,$A548,'AFA Rates'!$B$5:$B$1004,F$23)&gt;0,"Exp","")))</f>
        <v/>
      </c>
      <c r="G548" s="79">
        <f>IF(OR($A548="",G$23=""),"",IF(COUNTIFS('AFA Rates'!$A$5:$A$1004,$A548,'AFA Rates'!$B$5:$B$1004,G$23,'AFA Rates'!$O$5:$O$1004,"&lt;&gt;Expired")&gt;0,"✓",IF(COUNTIFS('AFA Rates'!$A$5:$A$1004,$A548,'AFA Rates'!$B$5:$B$1004,G$23)&gt;0,"Exp","")))</f>
        <v/>
      </c>
      <c r="H548" s="79">
        <f>IF(OR($A548="",H$23=""),"",IF(COUNTIFS('AFA Rates'!$A$5:$A$1004,$A548,'AFA Rates'!$B$5:$B$1004,H$23,'AFA Rates'!$O$5:$O$1004,"&lt;&gt;Expired")&gt;0,"✓",IF(COUNTIFS('AFA Rates'!$A$5:$A$1004,$A548,'AFA Rates'!$B$5:$B$1004,H$23)&gt;0,"Exp","")))</f>
        <v/>
      </c>
      <c r="I548" s="79">
        <f>IF(OR($A548="",I$23=""),"",IF(COUNTIFS('AFA Rates'!$A$5:$A$1004,$A548,'AFA Rates'!$B$5:$B$1004,I$23,'AFA Rates'!$O$5:$O$1004,"&lt;&gt;Expired")&gt;0,"✓",IF(COUNTIFS('AFA Rates'!$A$5:$A$1004,$A548,'AFA Rates'!$B$5:$B$1004,I$23)&gt;0,"Exp","")))</f>
        <v/>
      </c>
      <c r="J548" s="79">
        <f>IF(OR($A548="",J$23=""),"",IF(COUNTIFS('AFA Rates'!$A$5:$A$1004,$A548,'AFA Rates'!$B$5:$B$1004,J$23,'AFA Rates'!$O$5:$O$1004,"&lt;&gt;Expired")&gt;0,"✓",IF(COUNTIFS('AFA Rates'!$A$5:$A$1004,$A548,'AFA Rates'!$B$5:$B$1004,J$23)&gt;0,"Exp","")))</f>
        <v/>
      </c>
      <c r="K548" s="79">
        <f>IF(OR($A548="",K$23=""),"",IF(COUNTIFS('AFA Rates'!$A$5:$A$1004,$A548,'AFA Rates'!$B$5:$B$1004,K$23,'AFA Rates'!$O$5:$O$1004,"&lt;&gt;Expired")&gt;0,"✓",IF(COUNTIFS('AFA Rates'!$A$5:$A$1004,$A548,'AFA Rates'!$B$5:$B$1004,K$23)&gt;0,"Exp","")))</f>
        <v/>
      </c>
      <c r="L548" s="79">
        <f>IF(OR($A548="",L$23=""),"",IF(COUNTIFS('AFA Rates'!$A$5:$A$1004,$A548,'AFA Rates'!$B$5:$B$1004,L$23,'AFA Rates'!$O$5:$O$1004,"&lt;&gt;Expired")&gt;0,"✓",IF(COUNTIFS('AFA Rates'!$A$5:$A$1004,$A548,'AFA Rates'!$B$5:$B$1004,L$23)&gt;0,"Exp","")))</f>
        <v/>
      </c>
      <c r="M548" s="79">
        <f>IF(OR($A548="",M$23=""),"",IF(COUNTIFS('AFA Rates'!$A$5:$A$1004,$A548,'AFA Rates'!$B$5:$B$1004,M$23,'AFA Rates'!$O$5:$O$1004,"&lt;&gt;Expired")&gt;0,"✓",IF(COUNTIFS('AFA Rates'!$A$5:$A$1004,$A548,'AFA Rates'!$B$5:$B$1004,M$23)&gt;0,"Exp","")))</f>
        <v/>
      </c>
    </row>
    <row r="549">
      <c r="A549" s="78">
        <f>IFERROR(INDEX(Firms!$A$5:$A$1004,MATCH(526,Firms!$V$5:$V$1004,0)),"")</f>
        <v/>
      </c>
      <c r="B549" s="79">
        <f>IF($A549="","",INDEX(Firms!$B$5:$B$1004,MATCH(526,Firms!$V$5:$V$1004,0)))</f>
        <v/>
      </c>
      <c r="C549" s="79">
        <f>IF($A549="","",COUNTIFS('AFA Rates'!$A$5:$A$1004,$A549,'AFA Rates'!$O$5:$O$1004,"&lt;&gt;Expired"))</f>
        <v/>
      </c>
      <c r="D549" s="79">
        <f>IF(OR($A549="",D$23=""),"",IF(COUNTIFS('AFA Rates'!$A$5:$A$1004,$A549,'AFA Rates'!$B$5:$B$1004,D$23,'AFA Rates'!$O$5:$O$1004,"&lt;&gt;Expired")&gt;0,"✓",IF(COUNTIFS('AFA Rates'!$A$5:$A$1004,$A549,'AFA Rates'!$B$5:$B$1004,D$23)&gt;0,"Exp","")))</f>
        <v/>
      </c>
      <c r="E549" s="79">
        <f>IF(OR($A549="",E$23=""),"",IF(COUNTIFS('AFA Rates'!$A$5:$A$1004,$A549,'AFA Rates'!$B$5:$B$1004,E$23,'AFA Rates'!$O$5:$O$1004,"&lt;&gt;Expired")&gt;0,"✓",IF(COUNTIFS('AFA Rates'!$A$5:$A$1004,$A549,'AFA Rates'!$B$5:$B$1004,E$23)&gt;0,"Exp","")))</f>
        <v/>
      </c>
      <c r="F549" s="79">
        <f>IF(OR($A549="",F$23=""),"",IF(COUNTIFS('AFA Rates'!$A$5:$A$1004,$A549,'AFA Rates'!$B$5:$B$1004,F$23,'AFA Rates'!$O$5:$O$1004,"&lt;&gt;Expired")&gt;0,"✓",IF(COUNTIFS('AFA Rates'!$A$5:$A$1004,$A549,'AFA Rates'!$B$5:$B$1004,F$23)&gt;0,"Exp","")))</f>
        <v/>
      </c>
      <c r="G549" s="79">
        <f>IF(OR($A549="",G$23=""),"",IF(COUNTIFS('AFA Rates'!$A$5:$A$1004,$A549,'AFA Rates'!$B$5:$B$1004,G$23,'AFA Rates'!$O$5:$O$1004,"&lt;&gt;Expired")&gt;0,"✓",IF(COUNTIFS('AFA Rates'!$A$5:$A$1004,$A549,'AFA Rates'!$B$5:$B$1004,G$23)&gt;0,"Exp","")))</f>
        <v/>
      </c>
      <c r="H549" s="79">
        <f>IF(OR($A549="",H$23=""),"",IF(COUNTIFS('AFA Rates'!$A$5:$A$1004,$A549,'AFA Rates'!$B$5:$B$1004,H$23,'AFA Rates'!$O$5:$O$1004,"&lt;&gt;Expired")&gt;0,"✓",IF(COUNTIFS('AFA Rates'!$A$5:$A$1004,$A549,'AFA Rates'!$B$5:$B$1004,H$23)&gt;0,"Exp","")))</f>
        <v/>
      </c>
      <c r="I549" s="79">
        <f>IF(OR($A549="",I$23=""),"",IF(COUNTIFS('AFA Rates'!$A$5:$A$1004,$A549,'AFA Rates'!$B$5:$B$1004,I$23,'AFA Rates'!$O$5:$O$1004,"&lt;&gt;Expired")&gt;0,"✓",IF(COUNTIFS('AFA Rates'!$A$5:$A$1004,$A549,'AFA Rates'!$B$5:$B$1004,I$23)&gt;0,"Exp","")))</f>
        <v/>
      </c>
      <c r="J549" s="79">
        <f>IF(OR($A549="",J$23=""),"",IF(COUNTIFS('AFA Rates'!$A$5:$A$1004,$A549,'AFA Rates'!$B$5:$B$1004,J$23,'AFA Rates'!$O$5:$O$1004,"&lt;&gt;Expired")&gt;0,"✓",IF(COUNTIFS('AFA Rates'!$A$5:$A$1004,$A549,'AFA Rates'!$B$5:$B$1004,J$23)&gt;0,"Exp","")))</f>
        <v/>
      </c>
      <c r="K549" s="79">
        <f>IF(OR($A549="",K$23=""),"",IF(COUNTIFS('AFA Rates'!$A$5:$A$1004,$A549,'AFA Rates'!$B$5:$B$1004,K$23,'AFA Rates'!$O$5:$O$1004,"&lt;&gt;Expired")&gt;0,"✓",IF(COUNTIFS('AFA Rates'!$A$5:$A$1004,$A549,'AFA Rates'!$B$5:$B$1004,K$23)&gt;0,"Exp","")))</f>
        <v/>
      </c>
      <c r="L549" s="79">
        <f>IF(OR($A549="",L$23=""),"",IF(COUNTIFS('AFA Rates'!$A$5:$A$1004,$A549,'AFA Rates'!$B$5:$B$1004,L$23,'AFA Rates'!$O$5:$O$1004,"&lt;&gt;Expired")&gt;0,"✓",IF(COUNTIFS('AFA Rates'!$A$5:$A$1004,$A549,'AFA Rates'!$B$5:$B$1004,L$23)&gt;0,"Exp","")))</f>
        <v/>
      </c>
      <c r="M549" s="79">
        <f>IF(OR($A549="",M$23=""),"",IF(COUNTIFS('AFA Rates'!$A$5:$A$1004,$A549,'AFA Rates'!$B$5:$B$1004,M$23,'AFA Rates'!$O$5:$O$1004,"&lt;&gt;Expired")&gt;0,"✓",IF(COUNTIFS('AFA Rates'!$A$5:$A$1004,$A549,'AFA Rates'!$B$5:$B$1004,M$23)&gt;0,"Exp","")))</f>
        <v/>
      </c>
    </row>
    <row r="550">
      <c r="A550" s="78">
        <f>IFERROR(INDEX(Firms!$A$5:$A$1004,MATCH(527,Firms!$V$5:$V$1004,0)),"")</f>
        <v/>
      </c>
      <c r="B550" s="79">
        <f>IF($A550="","",INDEX(Firms!$B$5:$B$1004,MATCH(527,Firms!$V$5:$V$1004,0)))</f>
        <v/>
      </c>
      <c r="C550" s="79">
        <f>IF($A550="","",COUNTIFS('AFA Rates'!$A$5:$A$1004,$A550,'AFA Rates'!$O$5:$O$1004,"&lt;&gt;Expired"))</f>
        <v/>
      </c>
      <c r="D550" s="79">
        <f>IF(OR($A550="",D$23=""),"",IF(COUNTIFS('AFA Rates'!$A$5:$A$1004,$A550,'AFA Rates'!$B$5:$B$1004,D$23,'AFA Rates'!$O$5:$O$1004,"&lt;&gt;Expired")&gt;0,"✓",IF(COUNTIFS('AFA Rates'!$A$5:$A$1004,$A550,'AFA Rates'!$B$5:$B$1004,D$23)&gt;0,"Exp","")))</f>
        <v/>
      </c>
      <c r="E550" s="79">
        <f>IF(OR($A550="",E$23=""),"",IF(COUNTIFS('AFA Rates'!$A$5:$A$1004,$A550,'AFA Rates'!$B$5:$B$1004,E$23,'AFA Rates'!$O$5:$O$1004,"&lt;&gt;Expired")&gt;0,"✓",IF(COUNTIFS('AFA Rates'!$A$5:$A$1004,$A550,'AFA Rates'!$B$5:$B$1004,E$23)&gt;0,"Exp","")))</f>
        <v/>
      </c>
      <c r="F550" s="79">
        <f>IF(OR($A550="",F$23=""),"",IF(COUNTIFS('AFA Rates'!$A$5:$A$1004,$A550,'AFA Rates'!$B$5:$B$1004,F$23,'AFA Rates'!$O$5:$O$1004,"&lt;&gt;Expired")&gt;0,"✓",IF(COUNTIFS('AFA Rates'!$A$5:$A$1004,$A550,'AFA Rates'!$B$5:$B$1004,F$23)&gt;0,"Exp","")))</f>
        <v/>
      </c>
      <c r="G550" s="79">
        <f>IF(OR($A550="",G$23=""),"",IF(COUNTIFS('AFA Rates'!$A$5:$A$1004,$A550,'AFA Rates'!$B$5:$B$1004,G$23,'AFA Rates'!$O$5:$O$1004,"&lt;&gt;Expired")&gt;0,"✓",IF(COUNTIFS('AFA Rates'!$A$5:$A$1004,$A550,'AFA Rates'!$B$5:$B$1004,G$23)&gt;0,"Exp","")))</f>
        <v/>
      </c>
      <c r="H550" s="79">
        <f>IF(OR($A550="",H$23=""),"",IF(COUNTIFS('AFA Rates'!$A$5:$A$1004,$A550,'AFA Rates'!$B$5:$B$1004,H$23,'AFA Rates'!$O$5:$O$1004,"&lt;&gt;Expired")&gt;0,"✓",IF(COUNTIFS('AFA Rates'!$A$5:$A$1004,$A550,'AFA Rates'!$B$5:$B$1004,H$23)&gt;0,"Exp","")))</f>
        <v/>
      </c>
      <c r="I550" s="79">
        <f>IF(OR($A550="",I$23=""),"",IF(COUNTIFS('AFA Rates'!$A$5:$A$1004,$A550,'AFA Rates'!$B$5:$B$1004,I$23,'AFA Rates'!$O$5:$O$1004,"&lt;&gt;Expired")&gt;0,"✓",IF(COUNTIFS('AFA Rates'!$A$5:$A$1004,$A550,'AFA Rates'!$B$5:$B$1004,I$23)&gt;0,"Exp","")))</f>
        <v/>
      </c>
      <c r="J550" s="79">
        <f>IF(OR($A550="",J$23=""),"",IF(COUNTIFS('AFA Rates'!$A$5:$A$1004,$A550,'AFA Rates'!$B$5:$B$1004,J$23,'AFA Rates'!$O$5:$O$1004,"&lt;&gt;Expired")&gt;0,"✓",IF(COUNTIFS('AFA Rates'!$A$5:$A$1004,$A550,'AFA Rates'!$B$5:$B$1004,J$23)&gt;0,"Exp","")))</f>
        <v/>
      </c>
      <c r="K550" s="79">
        <f>IF(OR($A550="",K$23=""),"",IF(COUNTIFS('AFA Rates'!$A$5:$A$1004,$A550,'AFA Rates'!$B$5:$B$1004,K$23,'AFA Rates'!$O$5:$O$1004,"&lt;&gt;Expired")&gt;0,"✓",IF(COUNTIFS('AFA Rates'!$A$5:$A$1004,$A550,'AFA Rates'!$B$5:$B$1004,K$23)&gt;0,"Exp","")))</f>
        <v/>
      </c>
      <c r="L550" s="79">
        <f>IF(OR($A550="",L$23=""),"",IF(COUNTIFS('AFA Rates'!$A$5:$A$1004,$A550,'AFA Rates'!$B$5:$B$1004,L$23,'AFA Rates'!$O$5:$O$1004,"&lt;&gt;Expired")&gt;0,"✓",IF(COUNTIFS('AFA Rates'!$A$5:$A$1004,$A550,'AFA Rates'!$B$5:$B$1004,L$23)&gt;0,"Exp","")))</f>
        <v/>
      </c>
      <c r="M550" s="79">
        <f>IF(OR($A550="",M$23=""),"",IF(COUNTIFS('AFA Rates'!$A$5:$A$1004,$A550,'AFA Rates'!$B$5:$B$1004,M$23,'AFA Rates'!$O$5:$O$1004,"&lt;&gt;Expired")&gt;0,"✓",IF(COUNTIFS('AFA Rates'!$A$5:$A$1004,$A550,'AFA Rates'!$B$5:$B$1004,M$23)&gt;0,"Exp","")))</f>
        <v/>
      </c>
    </row>
    <row r="551">
      <c r="A551" s="78">
        <f>IFERROR(INDEX(Firms!$A$5:$A$1004,MATCH(528,Firms!$V$5:$V$1004,0)),"")</f>
        <v/>
      </c>
      <c r="B551" s="79">
        <f>IF($A551="","",INDEX(Firms!$B$5:$B$1004,MATCH(528,Firms!$V$5:$V$1004,0)))</f>
        <v/>
      </c>
      <c r="C551" s="79">
        <f>IF($A551="","",COUNTIFS('AFA Rates'!$A$5:$A$1004,$A551,'AFA Rates'!$O$5:$O$1004,"&lt;&gt;Expired"))</f>
        <v/>
      </c>
      <c r="D551" s="79">
        <f>IF(OR($A551="",D$23=""),"",IF(COUNTIFS('AFA Rates'!$A$5:$A$1004,$A551,'AFA Rates'!$B$5:$B$1004,D$23,'AFA Rates'!$O$5:$O$1004,"&lt;&gt;Expired")&gt;0,"✓",IF(COUNTIFS('AFA Rates'!$A$5:$A$1004,$A551,'AFA Rates'!$B$5:$B$1004,D$23)&gt;0,"Exp","")))</f>
        <v/>
      </c>
      <c r="E551" s="79">
        <f>IF(OR($A551="",E$23=""),"",IF(COUNTIFS('AFA Rates'!$A$5:$A$1004,$A551,'AFA Rates'!$B$5:$B$1004,E$23,'AFA Rates'!$O$5:$O$1004,"&lt;&gt;Expired")&gt;0,"✓",IF(COUNTIFS('AFA Rates'!$A$5:$A$1004,$A551,'AFA Rates'!$B$5:$B$1004,E$23)&gt;0,"Exp","")))</f>
        <v/>
      </c>
      <c r="F551" s="79">
        <f>IF(OR($A551="",F$23=""),"",IF(COUNTIFS('AFA Rates'!$A$5:$A$1004,$A551,'AFA Rates'!$B$5:$B$1004,F$23,'AFA Rates'!$O$5:$O$1004,"&lt;&gt;Expired")&gt;0,"✓",IF(COUNTIFS('AFA Rates'!$A$5:$A$1004,$A551,'AFA Rates'!$B$5:$B$1004,F$23)&gt;0,"Exp","")))</f>
        <v/>
      </c>
      <c r="G551" s="79">
        <f>IF(OR($A551="",G$23=""),"",IF(COUNTIFS('AFA Rates'!$A$5:$A$1004,$A551,'AFA Rates'!$B$5:$B$1004,G$23,'AFA Rates'!$O$5:$O$1004,"&lt;&gt;Expired")&gt;0,"✓",IF(COUNTIFS('AFA Rates'!$A$5:$A$1004,$A551,'AFA Rates'!$B$5:$B$1004,G$23)&gt;0,"Exp","")))</f>
        <v/>
      </c>
      <c r="H551" s="79">
        <f>IF(OR($A551="",H$23=""),"",IF(COUNTIFS('AFA Rates'!$A$5:$A$1004,$A551,'AFA Rates'!$B$5:$B$1004,H$23,'AFA Rates'!$O$5:$O$1004,"&lt;&gt;Expired")&gt;0,"✓",IF(COUNTIFS('AFA Rates'!$A$5:$A$1004,$A551,'AFA Rates'!$B$5:$B$1004,H$23)&gt;0,"Exp","")))</f>
        <v/>
      </c>
      <c r="I551" s="79">
        <f>IF(OR($A551="",I$23=""),"",IF(COUNTIFS('AFA Rates'!$A$5:$A$1004,$A551,'AFA Rates'!$B$5:$B$1004,I$23,'AFA Rates'!$O$5:$O$1004,"&lt;&gt;Expired")&gt;0,"✓",IF(COUNTIFS('AFA Rates'!$A$5:$A$1004,$A551,'AFA Rates'!$B$5:$B$1004,I$23)&gt;0,"Exp","")))</f>
        <v/>
      </c>
      <c r="J551" s="79">
        <f>IF(OR($A551="",J$23=""),"",IF(COUNTIFS('AFA Rates'!$A$5:$A$1004,$A551,'AFA Rates'!$B$5:$B$1004,J$23,'AFA Rates'!$O$5:$O$1004,"&lt;&gt;Expired")&gt;0,"✓",IF(COUNTIFS('AFA Rates'!$A$5:$A$1004,$A551,'AFA Rates'!$B$5:$B$1004,J$23)&gt;0,"Exp","")))</f>
        <v/>
      </c>
      <c r="K551" s="79">
        <f>IF(OR($A551="",K$23=""),"",IF(COUNTIFS('AFA Rates'!$A$5:$A$1004,$A551,'AFA Rates'!$B$5:$B$1004,K$23,'AFA Rates'!$O$5:$O$1004,"&lt;&gt;Expired")&gt;0,"✓",IF(COUNTIFS('AFA Rates'!$A$5:$A$1004,$A551,'AFA Rates'!$B$5:$B$1004,K$23)&gt;0,"Exp","")))</f>
        <v/>
      </c>
      <c r="L551" s="79">
        <f>IF(OR($A551="",L$23=""),"",IF(COUNTIFS('AFA Rates'!$A$5:$A$1004,$A551,'AFA Rates'!$B$5:$B$1004,L$23,'AFA Rates'!$O$5:$O$1004,"&lt;&gt;Expired")&gt;0,"✓",IF(COUNTIFS('AFA Rates'!$A$5:$A$1004,$A551,'AFA Rates'!$B$5:$B$1004,L$23)&gt;0,"Exp","")))</f>
        <v/>
      </c>
      <c r="M551" s="79">
        <f>IF(OR($A551="",M$23=""),"",IF(COUNTIFS('AFA Rates'!$A$5:$A$1004,$A551,'AFA Rates'!$B$5:$B$1004,M$23,'AFA Rates'!$O$5:$O$1004,"&lt;&gt;Expired")&gt;0,"✓",IF(COUNTIFS('AFA Rates'!$A$5:$A$1004,$A551,'AFA Rates'!$B$5:$B$1004,M$23)&gt;0,"Exp","")))</f>
        <v/>
      </c>
    </row>
    <row r="552">
      <c r="A552" s="78">
        <f>IFERROR(INDEX(Firms!$A$5:$A$1004,MATCH(529,Firms!$V$5:$V$1004,0)),"")</f>
        <v/>
      </c>
      <c r="B552" s="79">
        <f>IF($A552="","",INDEX(Firms!$B$5:$B$1004,MATCH(529,Firms!$V$5:$V$1004,0)))</f>
        <v/>
      </c>
      <c r="C552" s="79">
        <f>IF($A552="","",COUNTIFS('AFA Rates'!$A$5:$A$1004,$A552,'AFA Rates'!$O$5:$O$1004,"&lt;&gt;Expired"))</f>
        <v/>
      </c>
      <c r="D552" s="79">
        <f>IF(OR($A552="",D$23=""),"",IF(COUNTIFS('AFA Rates'!$A$5:$A$1004,$A552,'AFA Rates'!$B$5:$B$1004,D$23,'AFA Rates'!$O$5:$O$1004,"&lt;&gt;Expired")&gt;0,"✓",IF(COUNTIFS('AFA Rates'!$A$5:$A$1004,$A552,'AFA Rates'!$B$5:$B$1004,D$23)&gt;0,"Exp","")))</f>
        <v/>
      </c>
      <c r="E552" s="79">
        <f>IF(OR($A552="",E$23=""),"",IF(COUNTIFS('AFA Rates'!$A$5:$A$1004,$A552,'AFA Rates'!$B$5:$B$1004,E$23,'AFA Rates'!$O$5:$O$1004,"&lt;&gt;Expired")&gt;0,"✓",IF(COUNTIFS('AFA Rates'!$A$5:$A$1004,$A552,'AFA Rates'!$B$5:$B$1004,E$23)&gt;0,"Exp","")))</f>
        <v/>
      </c>
      <c r="F552" s="79">
        <f>IF(OR($A552="",F$23=""),"",IF(COUNTIFS('AFA Rates'!$A$5:$A$1004,$A552,'AFA Rates'!$B$5:$B$1004,F$23,'AFA Rates'!$O$5:$O$1004,"&lt;&gt;Expired")&gt;0,"✓",IF(COUNTIFS('AFA Rates'!$A$5:$A$1004,$A552,'AFA Rates'!$B$5:$B$1004,F$23)&gt;0,"Exp","")))</f>
        <v/>
      </c>
      <c r="G552" s="79">
        <f>IF(OR($A552="",G$23=""),"",IF(COUNTIFS('AFA Rates'!$A$5:$A$1004,$A552,'AFA Rates'!$B$5:$B$1004,G$23,'AFA Rates'!$O$5:$O$1004,"&lt;&gt;Expired")&gt;0,"✓",IF(COUNTIFS('AFA Rates'!$A$5:$A$1004,$A552,'AFA Rates'!$B$5:$B$1004,G$23)&gt;0,"Exp","")))</f>
        <v/>
      </c>
      <c r="H552" s="79">
        <f>IF(OR($A552="",H$23=""),"",IF(COUNTIFS('AFA Rates'!$A$5:$A$1004,$A552,'AFA Rates'!$B$5:$B$1004,H$23,'AFA Rates'!$O$5:$O$1004,"&lt;&gt;Expired")&gt;0,"✓",IF(COUNTIFS('AFA Rates'!$A$5:$A$1004,$A552,'AFA Rates'!$B$5:$B$1004,H$23)&gt;0,"Exp","")))</f>
        <v/>
      </c>
      <c r="I552" s="79">
        <f>IF(OR($A552="",I$23=""),"",IF(COUNTIFS('AFA Rates'!$A$5:$A$1004,$A552,'AFA Rates'!$B$5:$B$1004,I$23,'AFA Rates'!$O$5:$O$1004,"&lt;&gt;Expired")&gt;0,"✓",IF(COUNTIFS('AFA Rates'!$A$5:$A$1004,$A552,'AFA Rates'!$B$5:$B$1004,I$23)&gt;0,"Exp","")))</f>
        <v/>
      </c>
      <c r="J552" s="79">
        <f>IF(OR($A552="",J$23=""),"",IF(COUNTIFS('AFA Rates'!$A$5:$A$1004,$A552,'AFA Rates'!$B$5:$B$1004,J$23,'AFA Rates'!$O$5:$O$1004,"&lt;&gt;Expired")&gt;0,"✓",IF(COUNTIFS('AFA Rates'!$A$5:$A$1004,$A552,'AFA Rates'!$B$5:$B$1004,J$23)&gt;0,"Exp","")))</f>
        <v/>
      </c>
      <c r="K552" s="79">
        <f>IF(OR($A552="",K$23=""),"",IF(COUNTIFS('AFA Rates'!$A$5:$A$1004,$A552,'AFA Rates'!$B$5:$B$1004,K$23,'AFA Rates'!$O$5:$O$1004,"&lt;&gt;Expired")&gt;0,"✓",IF(COUNTIFS('AFA Rates'!$A$5:$A$1004,$A552,'AFA Rates'!$B$5:$B$1004,K$23)&gt;0,"Exp","")))</f>
        <v/>
      </c>
      <c r="L552" s="79">
        <f>IF(OR($A552="",L$23=""),"",IF(COUNTIFS('AFA Rates'!$A$5:$A$1004,$A552,'AFA Rates'!$B$5:$B$1004,L$23,'AFA Rates'!$O$5:$O$1004,"&lt;&gt;Expired")&gt;0,"✓",IF(COUNTIFS('AFA Rates'!$A$5:$A$1004,$A552,'AFA Rates'!$B$5:$B$1004,L$23)&gt;0,"Exp","")))</f>
        <v/>
      </c>
      <c r="M552" s="79">
        <f>IF(OR($A552="",M$23=""),"",IF(COUNTIFS('AFA Rates'!$A$5:$A$1004,$A552,'AFA Rates'!$B$5:$B$1004,M$23,'AFA Rates'!$O$5:$O$1004,"&lt;&gt;Expired")&gt;0,"✓",IF(COUNTIFS('AFA Rates'!$A$5:$A$1004,$A552,'AFA Rates'!$B$5:$B$1004,M$23)&gt;0,"Exp","")))</f>
        <v/>
      </c>
    </row>
    <row r="553">
      <c r="A553" s="78">
        <f>IFERROR(INDEX(Firms!$A$5:$A$1004,MATCH(530,Firms!$V$5:$V$1004,0)),"")</f>
        <v/>
      </c>
      <c r="B553" s="79">
        <f>IF($A553="","",INDEX(Firms!$B$5:$B$1004,MATCH(530,Firms!$V$5:$V$1004,0)))</f>
        <v/>
      </c>
      <c r="C553" s="79">
        <f>IF($A553="","",COUNTIFS('AFA Rates'!$A$5:$A$1004,$A553,'AFA Rates'!$O$5:$O$1004,"&lt;&gt;Expired"))</f>
        <v/>
      </c>
      <c r="D553" s="79">
        <f>IF(OR($A553="",D$23=""),"",IF(COUNTIFS('AFA Rates'!$A$5:$A$1004,$A553,'AFA Rates'!$B$5:$B$1004,D$23,'AFA Rates'!$O$5:$O$1004,"&lt;&gt;Expired")&gt;0,"✓",IF(COUNTIFS('AFA Rates'!$A$5:$A$1004,$A553,'AFA Rates'!$B$5:$B$1004,D$23)&gt;0,"Exp","")))</f>
        <v/>
      </c>
      <c r="E553" s="79">
        <f>IF(OR($A553="",E$23=""),"",IF(COUNTIFS('AFA Rates'!$A$5:$A$1004,$A553,'AFA Rates'!$B$5:$B$1004,E$23,'AFA Rates'!$O$5:$O$1004,"&lt;&gt;Expired")&gt;0,"✓",IF(COUNTIFS('AFA Rates'!$A$5:$A$1004,$A553,'AFA Rates'!$B$5:$B$1004,E$23)&gt;0,"Exp","")))</f>
        <v/>
      </c>
      <c r="F553" s="79">
        <f>IF(OR($A553="",F$23=""),"",IF(COUNTIFS('AFA Rates'!$A$5:$A$1004,$A553,'AFA Rates'!$B$5:$B$1004,F$23,'AFA Rates'!$O$5:$O$1004,"&lt;&gt;Expired")&gt;0,"✓",IF(COUNTIFS('AFA Rates'!$A$5:$A$1004,$A553,'AFA Rates'!$B$5:$B$1004,F$23)&gt;0,"Exp","")))</f>
        <v/>
      </c>
      <c r="G553" s="79">
        <f>IF(OR($A553="",G$23=""),"",IF(COUNTIFS('AFA Rates'!$A$5:$A$1004,$A553,'AFA Rates'!$B$5:$B$1004,G$23,'AFA Rates'!$O$5:$O$1004,"&lt;&gt;Expired")&gt;0,"✓",IF(COUNTIFS('AFA Rates'!$A$5:$A$1004,$A553,'AFA Rates'!$B$5:$B$1004,G$23)&gt;0,"Exp","")))</f>
        <v/>
      </c>
      <c r="H553" s="79">
        <f>IF(OR($A553="",H$23=""),"",IF(COUNTIFS('AFA Rates'!$A$5:$A$1004,$A553,'AFA Rates'!$B$5:$B$1004,H$23,'AFA Rates'!$O$5:$O$1004,"&lt;&gt;Expired")&gt;0,"✓",IF(COUNTIFS('AFA Rates'!$A$5:$A$1004,$A553,'AFA Rates'!$B$5:$B$1004,H$23)&gt;0,"Exp","")))</f>
        <v/>
      </c>
      <c r="I553" s="79">
        <f>IF(OR($A553="",I$23=""),"",IF(COUNTIFS('AFA Rates'!$A$5:$A$1004,$A553,'AFA Rates'!$B$5:$B$1004,I$23,'AFA Rates'!$O$5:$O$1004,"&lt;&gt;Expired")&gt;0,"✓",IF(COUNTIFS('AFA Rates'!$A$5:$A$1004,$A553,'AFA Rates'!$B$5:$B$1004,I$23)&gt;0,"Exp","")))</f>
        <v/>
      </c>
      <c r="J553" s="79">
        <f>IF(OR($A553="",J$23=""),"",IF(COUNTIFS('AFA Rates'!$A$5:$A$1004,$A553,'AFA Rates'!$B$5:$B$1004,J$23,'AFA Rates'!$O$5:$O$1004,"&lt;&gt;Expired")&gt;0,"✓",IF(COUNTIFS('AFA Rates'!$A$5:$A$1004,$A553,'AFA Rates'!$B$5:$B$1004,J$23)&gt;0,"Exp","")))</f>
        <v/>
      </c>
      <c r="K553" s="79">
        <f>IF(OR($A553="",K$23=""),"",IF(COUNTIFS('AFA Rates'!$A$5:$A$1004,$A553,'AFA Rates'!$B$5:$B$1004,K$23,'AFA Rates'!$O$5:$O$1004,"&lt;&gt;Expired")&gt;0,"✓",IF(COUNTIFS('AFA Rates'!$A$5:$A$1004,$A553,'AFA Rates'!$B$5:$B$1004,K$23)&gt;0,"Exp","")))</f>
        <v/>
      </c>
      <c r="L553" s="79">
        <f>IF(OR($A553="",L$23=""),"",IF(COUNTIFS('AFA Rates'!$A$5:$A$1004,$A553,'AFA Rates'!$B$5:$B$1004,L$23,'AFA Rates'!$O$5:$O$1004,"&lt;&gt;Expired")&gt;0,"✓",IF(COUNTIFS('AFA Rates'!$A$5:$A$1004,$A553,'AFA Rates'!$B$5:$B$1004,L$23)&gt;0,"Exp","")))</f>
        <v/>
      </c>
      <c r="M553" s="79">
        <f>IF(OR($A553="",M$23=""),"",IF(COUNTIFS('AFA Rates'!$A$5:$A$1004,$A553,'AFA Rates'!$B$5:$B$1004,M$23,'AFA Rates'!$O$5:$O$1004,"&lt;&gt;Expired")&gt;0,"✓",IF(COUNTIFS('AFA Rates'!$A$5:$A$1004,$A553,'AFA Rates'!$B$5:$B$1004,M$23)&gt;0,"Exp","")))</f>
        <v/>
      </c>
    </row>
    <row r="554">
      <c r="A554" s="78">
        <f>IFERROR(INDEX(Firms!$A$5:$A$1004,MATCH(531,Firms!$V$5:$V$1004,0)),"")</f>
        <v/>
      </c>
      <c r="B554" s="79">
        <f>IF($A554="","",INDEX(Firms!$B$5:$B$1004,MATCH(531,Firms!$V$5:$V$1004,0)))</f>
        <v/>
      </c>
      <c r="C554" s="79">
        <f>IF($A554="","",COUNTIFS('AFA Rates'!$A$5:$A$1004,$A554,'AFA Rates'!$O$5:$O$1004,"&lt;&gt;Expired"))</f>
        <v/>
      </c>
      <c r="D554" s="79">
        <f>IF(OR($A554="",D$23=""),"",IF(COUNTIFS('AFA Rates'!$A$5:$A$1004,$A554,'AFA Rates'!$B$5:$B$1004,D$23,'AFA Rates'!$O$5:$O$1004,"&lt;&gt;Expired")&gt;0,"✓",IF(COUNTIFS('AFA Rates'!$A$5:$A$1004,$A554,'AFA Rates'!$B$5:$B$1004,D$23)&gt;0,"Exp","")))</f>
        <v/>
      </c>
      <c r="E554" s="79">
        <f>IF(OR($A554="",E$23=""),"",IF(COUNTIFS('AFA Rates'!$A$5:$A$1004,$A554,'AFA Rates'!$B$5:$B$1004,E$23,'AFA Rates'!$O$5:$O$1004,"&lt;&gt;Expired")&gt;0,"✓",IF(COUNTIFS('AFA Rates'!$A$5:$A$1004,$A554,'AFA Rates'!$B$5:$B$1004,E$23)&gt;0,"Exp","")))</f>
        <v/>
      </c>
      <c r="F554" s="79">
        <f>IF(OR($A554="",F$23=""),"",IF(COUNTIFS('AFA Rates'!$A$5:$A$1004,$A554,'AFA Rates'!$B$5:$B$1004,F$23,'AFA Rates'!$O$5:$O$1004,"&lt;&gt;Expired")&gt;0,"✓",IF(COUNTIFS('AFA Rates'!$A$5:$A$1004,$A554,'AFA Rates'!$B$5:$B$1004,F$23)&gt;0,"Exp","")))</f>
        <v/>
      </c>
      <c r="G554" s="79">
        <f>IF(OR($A554="",G$23=""),"",IF(COUNTIFS('AFA Rates'!$A$5:$A$1004,$A554,'AFA Rates'!$B$5:$B$1004,G$23,'AFA Rates'!$O$5:$O$1004,"&lt;&gt;Expired")&gt;0,"✓",IF(COUNTIFS('AFA Rates'!$A$5:$A$1004,$A554,'AFA Rates'!$B$5:$B$1004,G$23)&gt;0,"Exp","")))</f>
        <v/>
      </c>
      <c r="H554" s="79">
        <f>IF(OR($A554="",H$23=""),"",IF(COUNTIFS('AFA Rates'!$A$5:$A$1004,$A554,'AFA Rates'!$B$5:$B$1004,H$23,'AFA Rates'!$O$5:$O$1004,"&lt;&gt;Expired")&gt;0,"✓",IF(COUNTIFS('AFA Rates'!$A$5:$A$1004,$A554,'AFA Rates'!$B$5:$B$1004,H$23)&gt;0,"Exp","")))</f>
        <v/>
      </c>
      <c r="I554" s="79">
        <f>IF(OR($A554="",I$23=""),"",IF(COUNTIFS('AFA Rates'!$A$5:$A$1004,$A554,'AFA Rates'!$B$5:$B$1004,I$23,'AFA Rates'!$O$5:$O$1004,"&lt;&gt;Expired")&gt;0,"✓",IF(COUNTIFS('AFA Rates'!$A$5:$A$1004,$A554,'AFA Rates'!$B$5:$B$1004,I$23)&gt;0,"Exp","")))</f>
        <v/>
      </c>
      <c r="J554" s="79">
        <f>IF(OR($A554="",J$23=""),"",IF(COUNTIFS('AFA Rates'!$A$5:$A$1004,$A554,'AFA Rates'!$B$5:$B$1004,J$23,'AFA Rates'!$O$5:$O$1004,"&lt;&gt;Expired")&gt;0,"✓",IF(COUNTIFS('AFA Rates'!$A$5:$A$1004,$A554,'AFA Rates'!$B$5:$B$1004,J$23)&gt;0,"Exp","")))</f>
        <v/>
      </c>
      <c r="K554" s="79">
        <f>IF(OR($A554="",K$23=""),"",IF(COUNTIFS('AFA Rates'!$A$5:$A$1004,$A554,'AFA Rates'!$B$5:$B$1004,K$23,'AFA Rates'!$O$5:$O$1004,"&lt;&gt;Expired")&gt;0,"✓",IF(COUNTIFS('AFA Rates'!$A$5:$A$1004,$A554,'AFA Rates'!$B$5:$B$1004,K$23)&gt;0,"Exp","")))</f>
        <v/>
      </c>
      <c r="L554" s="79">
        <f>IF(OR($A554="",L$23=""),"",IF(COUNTIFS('AFA Rates'!$A$5:$A$1004,$A554,'AFA Rates'!$B$5:$B$1004,L$23,'AFA Rates'!$O$5:$O$1004,"&lt;&gt;Expired")&gt;0,"✓",IF(COUNTIFS('AFA Rates'!$A$5:$A$1004,$A554,'AFA Rates'!$B$5:$B$1004,L$23)&gt;0,"Exp","")))</f>
        <v/>
      </c>
      <c r="M554" s="79">
        <f>IF(OR($A554="",M$23=""),"",IF(COUNTIFS('AFA Rates'!$A$5:$A$1004,$A554,'AFA Rates'!$B$5:$B$1004,M$23,'AFA Rates'!$O$5:$O$1004,"&lt;&gt;Expired")&gt;0,"✓",IF(COUNTIFS('AFA Rates'!$A$5:$A$1004,$A554,'AFA Rates'!$B$5:$B$1004,M$23)&gt;0,"Exp","")))</f>
        <v/>
      </c>
    </row>
    <row r="555">
      <c r="A555" s="78">
        <f>IFERROR(INDEX(Firms!$A$5:$A$1004,MATCH(532,Firms!$V$5:$V$1004,0)),"")</f>
        <v/>
      </c>
      <c r="B555" s="79">
        <f>IF($A555="","",INDEX(Firms!$B$5:$B$1004,MATCH(532,Firms!$V$5:$V$1004,0)))</f>
        <v/>
      </c>
      <c r="C555" s="79">
        <f>IF($A555="","",COUNTIFS('AFA Rates'!$A$5:$A$1004,$A555,'AFA Rates'!$O$5:$O$1004,"&lt;&gt;Expired"))</f>
        <v/>
      </c>
      <c r="D555" s="79">
        <f>IF(OR($A555="",D$23=""),"",IF(COUNTIFS('AFA Rates'!$A$5:$A$1004,$A555,'AFA Rates'!$B$5:$B$1004,D$23,'AFA Rates'!$O$5:$O$1004,"&lt;&gt;Expired")&gt;0,"✓",IF(COUNTIFS('AFA Rates'!$A$5:$A$1004,$A555,'AFA Rates'!$B$5:$B$1004,D$23)&gt;0,"Exp","")))</f>
        <v/>
      </c>
      <c r="E555" s="79">
        <f>IF(OR($A555="",E$23=""),"",IF(COUNTIFS('AFA Rates'!$A$5:$A$1004,$A555,'AFA Rates'!$B$5:$B$1004,E$23,'AFA Rates'!$O$5:$O$1004,"&lt;&gt;Expired")&gt;0,"✓",IF(COUNTIFS('AFA Rates'!$A$5:$A$1004,$A555,'AFA Rates'!$B$5:$B$1004,E$23)&gt;0,"Exp","")))</f>
        <v/>
      </c>
      <c r="F555" s="79">
        <f>IF(OR($A555="",F$23=""),"",IF(COUNTIFS('AFA Rates'!$A$5:$A$1004,$A555,'AFA Rates'!$B$5:$B$1004,F$23,'AFA Rates'!$O$5:$O$1004,"&lt;&gt;Expired")&gt;0,"✓",IF(COUNTIFS('AFA Rates'!$A$5:$A$1004,$A555,'AFA Rates'!$B$5:$B$1004,F$23)&gt;0,"Exp","")))</f>
        <v/>
      </c>
      <c r="G555" s="79">
        <f>IF(OR($A555="",G$23=""),"",IF(COUNTIFS('AFA Rates'!$A$5:$A$1004,$A555,'AFA Rates'!$B$5:$B$1004,G$23,'AFA Rates'!$O$5:$O$1004,"&lt;&gt;Expired")&gt;0,"✓",IF(COUNTIFS('AFA Rates'!$A$5:$A$1004,$A555,'AFA Rates'!$B$5:$B$1004,G$23)&gt;0,"Exp","")))</f>
        <v/>
      </c>
      <c r="H555" s="79">
        <f>IF(OR($A555="",H$23=""),"",IF(COUNTIFS('AFA Rates'!$A$5:$A$1004,$A555,'AFA Rates'!$B$5:$B$1004,H$23,'AFA Rates'!$O$5:$O$1004,"&lt;&gt;Expired")&gt;0,"✓",IF(COUNTIFS('AFA Rates'!$A$5:$A$1004,$A555,'AFA Rates'!$B$5:$B$1004,H$23)&gt;0,"Exp","")))</f>
        <v/>
      </c>
      <c r="I555" s="79">
        <f>IF(OR($A555="",I$23=""),"",IF(COUNTIFS('AFA Rates'!$A$5:$A$1004,$A555,'AFA Rates'!$B$5:$B$1004,I$23,'AFA Rates'!$O$5:$O$1004,"&lt;&gt;Expired")&gt;0,"✓",IF(COUNTIFS('AFA Rates'!$A$5:$A$1004,$A555,'AFA Rates'!$B$5:$B$1004,I$23)&gt;0,"Exp","")))</f>
        <v/>
      </c>
      <c r="J555" s="79">
        <f>IF(OR($A555="",J$23=""),"",IF(COUNTIFS('AFA Rates'!$A$5:$A$1004,$A555,'AFA Rates'!$B$5:$B$1004,J$23,'AFA Rates'!$O$5:$O$1004,"&lt;&gt;Expired")&gt;0,"✓",IF(COUNTIFS('AFA Rates'!$A$5:$A$1004,$A555,'AFA Rates'!$B$5:$B$1004,J$23)&gt;0,"Exp","")))</f>
        <v/>
      </c>
      <c r="K555" s="79">
        <f>IF(OR($A555="",K$23=""),"",IF(COUNTIFS('AFA Rates'!$A$5:$A$1004,$A555,'AFA Rates'!$B$5:$B$1004,K$23,'AFA Rates'!$O$5:$O$1004,"&lt;&gt;Expired")&gt;0,"✓",IF(COUNTIFS('AFA Rates'!$A$5:$A$1004,$A555,'AFA Rates'!$B$5:$B$1004,K$23)&gt;0,"Exp","")))</f>
        <v/>
      </c>
      <c r="L555" s="79">
        <f>IF(OR($A555="",L$23=""),"",IF(COUNTIFS('AFA Rates'!$A$5:$A$1004,$A555,'AFA Rates'!$B$5:$B$1004,L$23,'AFA Rates'!$O$5:$O$1004,"&lt;&gt;Expired")&gt;0,"✓",IF(COUNTIFS('AFA Rates'!$A$5:$A$1004,$A555,'AFA Rates'!$B$5:$B$1004,L$23)&gt;0,"Exp","")))</f>
        <v/>
      </c>
      <c r="M555" s="79">
        <f>IF(OR($A555="",M$23=""),"",IF(COUNTIFS('AFA Rates'!$A$5:$A$1004,$A555,'AFA Rates'!$B$5:$B$1004,M$23,'AFA Rates'!$O$5:$O$1004,"&lt;&gt;Expired")&gt;0,"✓",IF(COUNTIFS('AFA Rates'!$A$5:$A$1004,$A555,'AFA Rates'!$B$5:$B$1004,M$23)&gt;0,"Exp","")))</f>
        <v/>
      </c>
    </row>
    <row r="556">
      <c r="A556" s="78">
        <f>IFERROR(INDEX(Firms!$A$5:$A$1004,MATCH(533,Firms!$V$5:$V$1004,0)),"")</f>
        <v/>
      </c>
      <c r="B556" s="79">
        <f>IF($A556="","",INDEX(Firms!$B$5:$B$1004,MATCH(533,Firms!$V$5:$V$1004,0)))</f>
        <v/>
      </c>
      <c r="C556" s="79">
        <f>IF($A556="","",COUNTIFS('AFA Rates'!$A$5:$A$1004,$A556,'AFA Rates'!$O$5:$O$1004,"&lt;&gt;Expired"))</f>
        <v/>
      </c>
      <c r="D556" s="79">
        <f>IF(OR($A556="",D$23=""),"",IF(COUNTIFS('AFA Rates'!$A$5:$A$1004,$A556,'AFA Rates'!$B$5:$B$1004,D$23,'AFA Rates'!$O$5:$O$1004,"&lt;&gt;Expired")&gt;0,"✓",IF(COUNTIFS('AFA Rates'!$A$5:$A$1004,$A556,'AFA Rates'!$B$5:$B$1004,D$23)&gt;0,"Exp","")))</f>
        <v/>
      </c>
      <c r="E556" s="79">
        <f>IF(OR($A556="",E$23=""),"",IF(COUNTIFS('AFA Rates'!$A$5:$A$1004,$A556,'AFA Rates'!$B$5:$B$1004,E$23,'AFA Rates'!$O$5:$O$1004,"&lt;&gt;Expired")&gt;0,"✓",IF(COUNTIFS('AFA Rates'!$A$5:$A$1004,$A556,'AFA Rates'!$B$5:$B$1004,E$23)&gt;0,"Exp","")))</f>
        <v/>
      </c>
      <c r="F556" s="79">
        <f>IF(OR($A556="",F$23=""),"",IF(COUNTIFS('AFA Rates'!$A$5:$A$1004,$A556,'AFA Rates'!$B$5:$B$1004,F$23,'AFA Rates'!$O$5:$O$1004,"&lt;&gt;Expired")&gt;0,"✓",IF(COUNTIFS('AFA Rates'!$A$5:$A$1004,$A556,'AFA Rates'!$B$5:$B$1004,F$23)&gt;0,"Exp","")))</f>
        <v/>
      </c>
      <c r="G556" s="79">
        <f>IF(OR($A556="",G$23=""),"",IF(COUNTIFS('AFA Rates'!$A$5:$A$1004,$A556,'AFA Rates'!$B$5:$B$1004,G$23,'AFA Rates'!$O$5:$O$1004,"&lt;&gt;Expired")&gt;0,"✓",IF(COUNTIFS('AFA Rates'!$A$5:$A$1004,$A556,'AFA Rates'!$B$5:$B$1004,G$23)&gt;0,"Exp","")))</f>
        <v/>
      </c>
      <c r="H556" s="79">
        <f>IF(OR($A556="",H$23=""),"",IF(COUNTIFS('AFA Rates'!$A$5:$A$1004,$A556,'AFA Rates'!$B$5:$B$1004,H$23,'AFA Rates'!$O$5:$O$1004,"&lt;&gt;Expired")&gt;0,"✓",IF(COUNTIFS('AFA Rates'!$A$5:$A$1004,$A556,'AFA Rates'!$B$5:$B$1004,H$23)&gt;0,"Exp","")))</f>
        <v/>
      </c>
      <c r="I556" s="79">
        <f>IF(OR($A556="",I$23=""),"",IF(COUNTIFS('AFA Rates'!$A$5:$A$1004,$A556,'AFA Rates'!$B$5:$B$1004,I$23,'AFA Rates'!$O$5:$O$1004,"&lt;&gt;Expired")&gt;0,"✓",IF(COUNTIFS('AFA Rates'!$A$5:$A$1004,$A556,'AFA Rates'!$B$5:$B$1004,I$23)&gt;0,"Exp","")))</f>
        <v/>
      </c>
      <c r="J556" s="79">
        <f>IF(OR($A556="",J$23=""),"",IF(COUNTIFS('AFA Rates'!$A$5:$A$1004,$A556,'AFA Rates'!$B$5:$B$1004,J$23,'AFA Rates'!$O$5:$O$1004,"&lt;&gt;Expired")&gt;0,"✓",IF(COUNTIFS('AFA Rates'!$A$5:$A$1004,$A556,'AFA Rates'!$B$5:$B$1004,J$23)&gt;0,"Exp","")))</f>
        <v/>
      </c>
      <c r="K556" s="79">
        <f>IF(OR($A556="",K$23=""),"",IF(COUNTIFS('AFA Rates'!$A$5:$A$1004,$A556,'AFA Rates'!$B$5:$B$1004,K$23,'AFA Rates'!$O$5:$O$1004,"&lt;&gt;Expired")&gt;0,"✓",IF(COUNTIFS('AFA Rates'!$A$5:$A$1004,$A556,'AFA Rates'!$B$5:$B$1004,K$23)&gt;0,"Exp","")))</f>
        <v/>
      </c>
      <c r="L556" s="79">
        <f>IF(OR($A556="",L$23=""),"",IF(COUNTIFS('AFA Rates'!$A$5:$A$1004,$A556,'AFA Rates'!$B$5:$B$1004,L$23,'AFA Rates'!$O$5:$O$1004,"&lt;&gt;Expired")&gt;0,"✓",IF(COUNTIFS('AFA Rates'!$A$5:$A$1004,$A556,'AFA Rates'!$B$5:$B$1004,L$23)&gt;0,"Exp","")))</f>
        <v/>
      </c>
      <c r="M556" s="79">
        <f>IF(OR($A556="",M$23=""),"",IF(COUNTIFS('AFA Rates'!$A$5:$A$1004,$A556,'AFA Rates'!$B$5:$B$1004,M$23,'AFA Rates'!$O$5:$O$1004,"&lt;&gt;Expired")&gt;0,"✓",IF(COUNTIFS('AFA Rates'!$A$5:$A$1004,$A556,'AFA Rates'!$B$5:$B$1004,M$23)&gt;0,"Exp","")))</f>
        <v/>
      </c>
    </row>
    <row r="557">
      <c r="A557" s="78">
        <f>IFERROR(INDEX(Firms!$A$5:$A$1004,MATCH(534,Firms!$V$5:$V$1004,0)),"")</f>
        <v/>
      </c>
      <c r="B557" s="79">
        <f>IF($A557="","",INDEX(Firms!$B$5:$B$1004,MATCH(534,Firms!$V$5:$V$1004,0)))</f>
        <v/>
      </c>
      <c r="C557" s="79">
        <f>IF($A557="","",COUNTIFS('AFA Rates'!$A$5:$A$1004,$A557,'AFA Rates'!$O$5:$O$1004,"&lt;&gt;Expired"))</f>
        <v/>
      </c>
      <c r="D557" s="79">
        <f>IF(OR($A557="",D$23=""),"",IF(COUNTIFS('AFA Rates'!$A$5:$A$1004,$A557,'AFA Rates'!$B$5:$B$1004,D$23,'AFA Rates'!$O$5:$O$1004,"&lt;&gt;Expired")&gt;0,"✓",IF(COUNTIFS('AFA Rates'!$A$5:$A$1004,$A557,'AFA Rates'!$B$5:$B$1004,D$23)&gt;0,"Exp","")))</f>
        <v/>
      </c>
      <c r="E557" s="79">
        <f>IF(OR($A557="",E$23=""),"",IF(COUNTIFS('AFA Rates'!$A$5:$A$1004,$A557,'AFA Rates'!$B$5:$B$1004,E$23,'AFA Rates'!$O$5:$O$1004,"&lt;&gt;Expired")&gt;0,"✓",IF(COUNTIFS('AFA Rates'!$A$5:$A$1004,$A557,'AFA Rates'!$B$5:$B$1004,E$23)&gt;0,"Exp","")))</f>
        <v/>
      </c>
      <c r="F557" s="79">
        <f>IF(OR($A557="",F$23=""),"",IF(COUNTIFS('AFA Rates'!$A$5:$A$1004,$A557,'AFA Rates'!$B$5:$B$1004,F$23,'AFA Rates'!$O$5:$O$1004,"&lt;&gt;Expired")&gt;0,"✓",IF(COUNTIFS('AFA Rates'!$A$5:$A$1004,$A557,'AFA Rates'!$B$5:$B$1004,F$23)&gt;0,"Exp","")))</f>
        <v/>
      </c>
      <c r="G557" s="79">
        <f>IF(OR($A557="",G$23=""),"",IF(COUNTIFS('AFA Rates'!$A$5:$A$1004,$A557,'AFA Rates'!$B$5:$B$1004,G$23,'AFA Rates'!$O$5:$O$1004,"&lt;&gt;Expired")&gt;0,"✓",IF(COUNTIFS('AFA Rates'!$A$5:$A$1004,$A557,'AFA Rates'!$B$5:$B$1004,G$23)&gt;0,"Exp","")))</f>
        <v/>
      </c>
      <c r="H557" s="79">
        <f>IF(OR($A557="",H$23=""),"",IF(COUNTIFS('AFA Rates'!$A$5:$A$1004,$A557,'AFA Rates'!$B$5:$B$1004,H$23,'AFA Rates'!$O$5:$O$1004,"&lt;&gt;Expired")&gt;0,"✓",IF(COUNTIFS('AFA Rates'!$A$5:$A$1004,$A557,'AFA Rates'!$B$5:$B$1004,H$23)&gt;0,"Exp","")))</f>
        <v/>
      </c>
      <c r="I557" s="79">
        <f>IF(OR($A557="",I$23=""),"",IF(COUNTIFS('AFA Rates'!$A$5:$A$1004,$A557,'AFA Rates'!$B$5:$B$1004,I$23,'AFA Rates'!$O$5:$O$1004,"&lt;&gt;Expired")&gt;0,"✓",IF(COUNTIFS('AFA Rates'!$A$5:$A$1004,$A557,'AFA Rates'!$B$5:$B$1004,I$23)&gt;0,"Exp","")))</f>
        <v/>
      </c>
      <c r="J557" s="79">
        <f>IF(OR($A557="",J$23=""),"",IF(COUNTIFS('AFA Rates'!$A$5:$A$1004,$A557,'AFA Rates'!$B$5:$B$1004,J$23,'AFA Rates'!$O$5:$O$1004,"&lt;&gt;Expired")&gt;0,"✓",IF(COUNTIFS('AFA Rates'!$A$5:$A$1004,$A557,'AFA Rates'!$B$5:$B$1004,J$23)&gt;0,"Exp","")))</f>
        <v/>
      </c>
      <c r="K557" s="79">
        <f>IF(OR($A557="",K$23=""),"",IF(COUNTIFS('AFA Rates'!$A$5:$A$1004,$A557,'AFA Rates'!$B$5:$B$1004,K$23,'AFA Rates'!$O$5:$O$1004,"&lt;&gt;Expired")&gt;0,"✓",IF(COUNTIFS('AFA Rates'!$A$5:$A$1004,$A557,'AFA Rates'!$B$5:$B$1004,K$23)&gt;0,"Exp","")))</f>
        <v/>
      </c>
      <c r="L557" s="79">
        <f>IF(OR($A557="",L$23=""),"",IF(COUNTIFS('AFA Rates'!$A$5:$A$1004,$A557,'AFA Rates'!$B$5:$B$1004,L$23,'AFA Rates'!$O$5:$O$1004,"&lt;&gt;Expired")&gt;0,"✓",IF(COUNTIFS('AFA Rates'!$A$5:$A$1004,$A557,'AFA Rates'!$B$5:$B$1004,L$23)&gt;0,"Exp","")))</f>
        <v/>
      </c>
      <c r="M557" s="79">
        <f>IF(OR($A557="",M$23=""),"",IF(COUNTIFS('AFA Rates'!$A$5:$A$1004,$A557,'AFA Rates'!$B$5:$B$1004,M$23,'AFA Rates'!$O$5:$O$1004,"&lt;&gt;Expired")&gt;0,"✓",IF(COUNTIFS('AFA Rates'!$A$5:$A$1004,$A557,'AFA Rates'!$B$5:$B$1004,M$23)&gt;0,"Exp","")))</f>
        <v/>
      </c>
    </row>
    <row r="558">
      <c r="A558" s="78">
        <f>IFERROR(INDEX(Firms!$A$5:$A$1004,MATCH(535,Firms!$V$5:$V$1004,0)),"")</f>
        <v/>
      </c>
      <c r="B558" s="79">
        <f>IF($A558="","",INDEX(Firms!$B$5:$B$1004,MATCH(535,Firms!$V$5:$V$1004,0)))</f>
        <v/>
      </c>
      <c r="C558" s="79">
        <f>IF($A558="","",COUNTIFS('AFA Rates'!$A$5:$A$1004,$A558,'AFA Rates'!$O$5:$O$1004,"&lt;&gt;Expired"))</f>
        <v/>
      </c>
      <c r="D558" s="79">
        <f>IF(OR($A558="",D$23=""),"",IF(COUNTIFS('AFA Rates'!$A$5:$A$1004,$A558,'AFA Rates'!$B$5:$B$1004,D$23,'AFA Rates'!$O$5:$O$1004,"&lt;&gt;Expired")&gt;0,"✓",IF(COUNTIFS('AFA Rates'!$A$5:$A$1004,$A558,'AFA Rates'!$B$5:$B$1004,D$23)&gt;0,"Exp","")))</f>
        <v/>
      </c>
      <c r="E558" s="79">
        <f>IF(OR($A558="",E$23=""),"",IF(COUNTIFS('AFA Rates'!$A$5:$A$1004,$A558,'AFA Rates'!$B$5:$B$1004,E$23,'AFA Rates'!$O$5:$O$1004,"&lt;&gt;Expired")&gt;0,"✓",IF(COUNTIFS('AFA Rates'!$A$5:$A$1004,$A558,'AFA Rates'!$B$5:$B$1004,E$23)&gt;0,"Exp","")))</f>
        <v/>
      </c>
      <c r="F558" s="79">
        <f>IF(OR($A558="",F$23=""),"",IF(COUNTIFS('AFA Rates'!$A$5:$A$1004,$A558,'AFA Rates'!$B$5:$B$1004,F$23,'AFA Rates'!$O$5:$O$1004,"&lt;&gt;Expired")&gt;0,"✓",IF(COUNTIFS('AFA Rates'!$A$5:$A$1004,$A558,'AFA Rates'!$B$5:$B$1004,F$23)&gt;0,"Exp","")))</f>
        <v/>
      </c>
      <c r="G558" s="79">
        <f>IF(OR($A558="",G$23=""),"",IF(COUNTIFS('AFA Rates'!$A$5:$A$1004,$A558,'AFA Rates'!$B$5:$B$1004,G$23,'AFA Rates'!$O$5:$O$1004,"&lt;&gt;Expired")&gt;0,"✓",IF(COUNTIFS('AFA Rates'!$A$5:$A$1004,$A558,'AFA Rates'!$B$5:$B$1004,G$23)&gt;0,"Exp","")))</f>
        <v/>
      </c>
      <c r="H558" s="79">
        <f>IF(OR($A558="",H$23=""),"",IF(COUNTIFS('AFA Rates'!$A$5:$A$1004,$A558,'AFA Rates'!$B$5:$B$1004,H$23,'AFA Rates'!$O$5:$O$1004,"&lt;&gt;Expired")&gt;0,"✓",IF(COUNTIFS('AFA Rates'!$A$5:$A$1004,$A558,'AFA Rates'!$B$5:$B$1004,H$23)&gt;0,"Exp","")))</f>
        <v/>
      </c>
      <c r="I558" s="79">
        <f>IF(OR($A558="",I$23=""),"",IF(COUNTIFS('AFA Rates'!$A$5:$A$1004,$A558,'AFA Rates'!$B$5:$B$1004,I$23,'AFA Rates'!$O$5:$O$1004,"&lt;&gt;Expired")&gt;0,"✓",IF(COUNTIFS('AFA Rates'!$A$5:$A$1004,$A558,'AFA Rates'!$B$5:$B$1004,I$23)&gt;0,"Exp","")))</f>
        <v/>
      </c>
      <c r="J558" s="79">
        <f>IF(OR($A558="",J$23=""),"",IF(COUNTIFS('AFA Rates'!$A$5:$A$1004,$A558,'AFA Rates'!$B$5:$B$1004,J$23,'AFA Rates'!$O$5:$O$1004,"&lt;&gt;Expired")&gt;0,"✓",IF(COUNTIFS('AFA Rates'!$A$5:$A$1004,$A558,'AFA Rates'!$B$5:$B$1004,J$23)&gt;0,"Exp","")))</f>
        <v/>
      </c>
      <c r="K558" s="79">
        <f>IF(OR($A558="",K$23=""),"",IF(COUNTIFS('AFA Rates'!$A$5:$A$1004,$A558,'AFA Rates'!$B$5:$B$1004,K$23,'AFA Rates'!$O$5:$O$1004,"&lt;&gt;Expired")&gt;0,"✓",IF(COUNTIFS('AFA Rates'!$A$5:$A$1004,$A558,'AFA Rates'!$B$5:$B$1004,K$23)&gt;0,"Exp","")))</f>
        <v/>
      </c>
      <c r="L558" s="79">
        <f>IF(OR($A558="",L$23=""),"",IF(COUNTIFS('AFA Rates'!$A$5:$A$1004,$A558,'AFA Rates'!$B$5:$B$1004,L$23,'AFA Rates'!$O$5:$O$1004,"&lt;&gt;Expired")&gt;0,"✓",IF(COUNTIFS('AFA Rates'!$A$5:$A$1004,$A558,'AFA Rates'!$B$5:$B$1004,L$23)&gt;0,"Exp","")))</f>
        <v/>
      </c>
      <c r="M558" s="79">
        <f>IF(OR($A558="",M$23=""),"",IF(COUNTIFS('AFA Rates'!$A$5:$A$1004,$A558,'AFA Rates'!$B$5:$B$1004,M$23,'AFA Rates'!$O$5:$O$1004,"&lt;&gt;Expired")&gt;0,"✓",IF(COUNTIFS('AFA Rates'!$A$5:$A$1004,$A558,'AFA Rates'!$B$5:$B$1004,M$23)&gt;0,"Exp","")))</f>
        <v/>
      </c>
    </row>
    <row r="559">
      <c r="A559" s="78">
        <f>IFERROR(INDEX(Firms!$A$5:$A$1004,MATCH(536,Firms!$V$5:$V$1004,0)),"")</f>
        <v/>
      </c>
      <c r="B559" s="79">
        <f>IF($A559="","",INDEX(Firms!$B$5:$B$1004,MATCH(536,Firms!$V$5:$V$1004,0)))</f>
        <v/>
      </c>
      <c r="C559" s="79">
        <f>IF($A559="","",COUNTIFS('AFA Rates'!$A$5:$A$1004,$A559,'AFA Rates'!$O$5:$O$1004,"&lt;&gt;Expired"))</f>
        <v/>
      </c>
      <c r="D559" s="79">
        <f>IF(OR($A559="",D$23=""),"",IF(COUNTIFS('AFA Rates'!$A$5:$A$1004,$A559,'AFA Rates'!$B$5:$B$1004,D$23,'AFA Rates'!$O$5:$O$1004,"&lt;&gt;Expired")&gt;0,"✓",IF(COUNTIFS('AFA Rates'!$A$5:$A$1004,$A559,'AFA Rates'!$B$5:$B$1004,D$23)&gt;0,"Exp","")))</f>
        <v/>
      </c>
      <c r="E559" s="79">
        <f>IF(OR($A559="",E$23=""),"",IF(COUNTIFS('AFA Rates'!$A$5:$A$1004,$A559,'AFA Rates'!$B$5:$B$1004,E$23,'AFA Rates'!$O$5:$O$1004,"&lt;&gt;Expired")&gt;0,"✓",IF(COUNTIFS('AFA Rates'!$A$5:$A$1004,$A559,'AFA Rates'!$B$5:$B$1004,E$23)&gt;0,"Exp","")))</f>
        <v/>
      </c>
      <c r="F559" s="79">
        <f>IF(OR($A559="",F$23=""),"",IF(COUNTIFS('AFA Rates'!$A$5:$A$1004,$A559,'AFA Rates'!$B$5:$B$1004,F$23,'AFA Rates'!$O$5:$O$1004,"&lt;&gt;Expired")&gt;0,"✓",IF(COUNTIFS('AFA Rates'!$A$5:$A$1004,$A559,'AFA Rates'!$B$5:$B$1004,F$23)&gt;0,"Exp","")))</f>
        <v/>
      </c>
      <c r="G559" s="79">
        <f>IF(OR($A559="",G$23=""),"",IF(COUNTIFS('AFA Rates'!$A$5:$A$1004,$A559,'AFA Rates'!$B$5:$B$1004,G$23,'AFA Rates'!$O$5:$O$1004,"&lt;&gt;Expired")&gt;0,"✓",IF(COUNTIFS('AFA Rates'!$A$5:$A$1004,$A559,'AFA Rates'!$B$5:$B$1004,G$23)&gt;0,"Exp","")))</f>
        <v/>
      </c>
      <c r="H559" s="79">
        <f>IF(OR($A559="",H$23=""),"",IF(COUNTIFS('AFA Rates'!$A$5:$A$1004,$A559,'AFA Rates'!$B$5:$B$1004,H$23,'AFA Rates'!$O$5:$O$1004,"&lt;&gt;Expired")&gt;0,"✓",IF(COUNTIFS('AFA Rates'!$A$5:$A$1004,$A559,'AFA Rates'!$B$5:$B$1004,H$23)&gt;0,"Exp","")))</f>
        <v/>
      </c>
      <c r="I559" s="79">
        <f>IF(OR($A559="",I$23=""),"",IF(COUNTIFS('AFA Rates'!$A$5:$A$1004,$A559,'AFA Rates'!$B$5:$B$1004,I$23,'AFA Rates'!$O$5:$O$1004,"&lt;&gt;Expired")&gt;0,"✓",IF(COUNTIFS('AFA Rates'!$A$5:$A$1004,$A559,'AFA Rates'!$B$5:$B$1004,I$23)&gt;0,"Exp","")))</f>
        <v/>
      </c>
      <c r="J559" s="79">
        <f>IF(OR($A559="",J$23=""),"",IF(COUNTIFS('AFA Rates'!$A$5:$A$1004,$A559,'AFA Rates'!$B$5:$B$1004,J$23,'AFA Rates'!$O$5:$O$1004,"&lt;&gt;Expired")&gt;0,"✓",IF(COUNTIFS('AFA Rates'!$A$5:$A$1004,$A559,'AFA Rates'!$B$5:$B$1004,J$23)&gt;0,"Exp","")))</f>
        <v/>
      </c>
      <c r="K559" s="79">
        <f>IF(OR($A559="",K$23=""),"",IF(COUNTIFS('AFA Rates'!$A$5:$A$1004,$A559,'AFA Rates'!$B$5:$B$1004,K$23,'AFA Rates'!$O$5:$O$1004,"&lt;&gt;Expired")&gt;0,"✓",IF(COUNTIFS('AFA Rates'!$A$5:$A$1004,$A559,'AFA Rates'!$B$5:$B$1004,K$23)&gt;0,"Exp","")))</f>
        <v/>
      </c>
      <c r="L559" s="79">
        <f>IF(OR($A559="",L$23=""),"",IF(COUNTIFS('AFA Rates'!$A$5:$A$1004,$A559,'AFA Rates'!$B$5:$B$1004,L$23,'AFA Rates'!$O$5:$O$1004,"&lt;&gt;Expired")&gt;0,"✓",IF(COUNTIFS('AFA Rates'!$A$5:$A$1004,$A559,'AFA Rates'!$B$5:$B$1004,L$23)&gt;0,"Exp","")))</f>
        <v/>
      </c>
      <c r="M559" s="79">
        <f>IF(OR($A559="",M$23=""),"",IF(COUNTIFS('AFA Rates'!$A$5:$A$1004,$A559,'AFA Rates'!$B$5:$B$1004,M$23,'AFA Rates'!$O$5:$O$1004,"&lt;&gt;Expired")&gt;0,"✓",IF(COUNTIFS('AFA Rates'!$A$5:$A$1004,$A559,'AFA Rates'!$B$5:$B$1004,M$23)&gt;0,"Exp","")))</f>
        <v/>
      </c>
    </row>
    <row r="560">
      <c r="A560" s="78">
        <f>IFERROR(INDEX(Firms!$A$5:$A$1004,MATCH(537,Firms!$V$5:$V$1004,0)),"")</f>
        <v/>
      </c>
      <c r="B560" s="79">
        <f>IF($A560="","",INDEX(Firms!$B$5:$B$1004,MATCH(537,Firms!$V$5:$V$1004,0)))</f>
        <v/>
      </c>
      <c r="C560" s="79">
        <f>IF($A560="","",COUNTIFS('AFA Rates'!$A$5:$A$1004,$A560,'AFA Rates'!$O$5:$O$1004,"&lt;&gt;Expired"))</f>
        <v/>
      </c>
      <c r="D560" s="79">
        <f>IF(OR($A560="",D$23=""),"",IF(COUNTIFS('AFA Rates'!$A$5:$A$1004,$A560,'AFA Rates'!$B$5:$B$1004,D$23,'AFA Rates'!$O$5:$O$1004,"&lt;&gt;Expired")&gt;0,"✓",IF(COUNTIFS('AFA Rates'!$A$5:$A$1004,$A560,'AFA Rates'!$B$5:$B$1004,D$23)&gt;0,"Exp","")))</f>
        <v/>
      </c>
      <c r="E560" s="79">
        <f>IF(OR($A560="",E$23=""),"",IF(COUNTIFS('AFA Rates'!$A$5:$A$1004,$A560,'AFA Rates'!$B$5:$B$1004,E$23,'AFA Rates'!$O$5:$O$1004,"&lt;&gt;Expired")&gt;0,"✓",IF(COUNTIFS('AFA Rates'!$A$5:$A$1004,$A560,'AFA Rates'!$B$5:$B$1004,E$23)&gt;0,"Exp","")))</f>
        <v/>
      </c>
      <c r="F560" s="79">
        <f>IF(OR($A560="",F$23=""),"",IF(COUNTIFS('AFA Rates'!$A$5:$A$1004,$A560,'AFA Rates'!$B$5:$B$1004,F$23,'AFA Rates'!$O$5:$O$1004,"&lt;&gt;Expired")&gt;0,"✓",IF(COUNTIFS('AFA Rates'!$A$5:$A$1004,$A560,'AFA Rates'!$B$5:$B$1004,F$23)&gt;0,"Exp","")))</f>
        <v/>
      </c>
      <c r="G560" s="79">
        <f>IF(OR($A560="",G$23=""),"",IF(COUNTIFS('AFA Rates'!$A$5:$A$1004,$A560,'AFA Rates'!$B$5:$B$1004,G$23,'AFA Rates'!$O$5:$O$1004,"&lt;&gt;Expired")&gt;0,"✓",IF(COUNTIFS('AFA Rates'!$A$5:$A$1004,$A560,'AFA Rates'!$B$5:$B$1004,G$23)&gt;0,"Exp","")))</f>
        <v/>
      </c>
      <c r="H560" s="79">
        <f>IF(OR($A560="",H$23=""),"",IF(COUNTIFS('AFA Rates'!$A$5:$A$1004,$A560,'AFA Rates'!$B$5:$B$1004,H$23,'AFA Rates'!$O$5:$O$1004,"&lt;&gt;Expired")&gt;0,"✓",IF(COUNTIFS('AFA Rates'!$A$5:$A$1004,$A560,'AFA Rates'!$B$5:$B$1004,H$23)&gt;0,"Exp","")))</f>
        <v/>
      </c>
      <c r="I560" s="79">
        <f>IF(OR($A560="",I$23=""),"",IF(COUNTIFS('AFA Rates'!$A$5:$A$1004,$A560,'AFA Rates'!$B$5:$B$1004,I$23,'AFA Rates'!$O$5:$O$1004,"&lt;&gt;Expired")&gt;0,"✓",IF(COUNTIFS('AFA Rates'!$A$5:$A$1004,$A560,'AFA Rates'!$B$5:$B$1004,I$23)&gt;0,"Exp","")))</f>
        <v/>
      </c>
      <c r="J560" s="79">
        <f>IF(OR($A560="",J$23=""),"",IF(COUNTIFS('AFA Rates'!$A$5:$A$1004,$A560,'AFA Rates'!$B$5:$B$1004,J$23,'AFA Rates'!$O$5:$O$1004,"&lt;&gt;Expired")&gt;0,"✓",IF(COUNTIFS('AFA Rates'!$A$5:$A$1004,$A560,'AFA Rates'!$B$5:$B$1004,J$23)&gt;0,"Exp","")))</f>
        <v/>
      </c>
      <c r="K560" s="79">
        <f>IF(OR($A560="",K$23=""),"",IF(COUNTIFS('AFA Rates'!$A$5:$A$1004,$A560,'AFA Rates'!$B$5:$B$1004,K$23,'AFA Rates'!$O$5:$O$1004,"&lt;&gt;Expired")&gt;0,"✓",IF(COUNTIFS('AFA Rates'!$A$5:$A$1004,$A560,'AFA Rates'!$B$5:$B$1004,K$23)&gt;0,"Exp","")))</f>
        <v/>
      </c>
      <c r="L560" s="79">
        <f>IF(OR($A560="",L$23=""),"",IF(COUNTIFS('AFA Rates'!$A$5:$A$1004,$A560,'AFA Rates'!$B$5:$B$1004,L$23,'AFA Rates'!$O$5:$O$1004,"&lt;&gt;Expired")&gt;0,"✓",IF(COUNTIFS('AFA Rates'!$A$5:$A$1004,$A560,'AFA Rates'!$B$5:$B$1004,L$23)&gt;0,"Exp","")))</f>
        <v/>
      </c>
      <c r="M560" s="79">
        <f>IF(OR($A560="",M$23=""),"",IF(COUNTIFS('AFA Rates'!$A$5:$A$1004,$A560,'AFA Rates'!$B$5:$B$1004,M$23,'AFA Rates'!$O$5:$O$1004,"&lt;&gt;Expired")&gt;0,"✓",IF(COUNTIFS('AFA Rates'!$A$5:$A$1004,$A560,'AFA Rates'!$B$5:$B$1004,M$23)&gt;0,"Exp","")))</f>
        <v/>
      </c>
    </row>
    <row r="561">
      <c r="A561" s="78">
        <f>IFERROR(INDEX(Firms!$A$5:$A$1004,MATCH(538,Firms!$V$5:$V$1004,0)),"")</f>
        <v/>
      </c>
      <c r="B561" s="79">
        <f>IF($A561="","",INDEX(Firms!$B$5:$B$1004,MATCH(538,Firms!$V$5:$V$1004,0)))</f>
        <v/>
      </c>
      <c r="C561" s="79">
        <f>IF($A561="","",COUNTIFS('AFA Rates'!$A$5:$A$1004,$A561,'AFA Rates'!$O$5:$O$1004,"&lt;&gt;Expired"))</f>
        <v/>
      </c>
      <c r="D561" s="79">
        <f>IF(OR($A561="",D$23=""),"",IF(COUNTIFS('AFA Rates'!$A$5:$A$1004,$A561,'AFA Rates'!$B$5:$B$1004,D$23,'AFA Rates'!$O$5:$O$1004,"&lt;&gt;Expired")&gt;0,"✓",IF(COUNTIFS('AFA Rates'!$A$5:$A$1004,$A561,'AFA Rates'!$B$5:$B$1004,D$23)&gt;0,"Exp","")))</f>
        <v/>
      </c>
      <c r="E561" s="79">
        <f>IF(OR($A561="",E$23=""),"",IF(COUNTIFS('AFA Rates'!$A$5:$A$1004,$A561,'AFA Rates'!$B$5:$B$1004,E$23,'AFA Rates'!$O$5:$O$1004,"&lt;&gt;Expired")&gt;0,"✓",IF(COUNTIFS('AFA Rates'!$A$5:$A$1004,$A561,'AFA Rates'!$B$5:$B$1004,E$23)&gt;0,"Exp","")))</f>
        <v/>
      </c>
      <c r="F561" s="79">
        <f>IF(OR($A561="",F$23=""),"",IF(COUNTIFS('AFA Rates'!$A$5:$A$1004,$A561,'AFA Rates'!$B$5:$B$1004,F$23,'AFA Rates'!$O$5:$O$1004,"&lt;&gt;Expired")&gt;0,"✓",IF(COUNTIFS('AFA Rates'!$A$5:$A$1004,$A561,'AFA Rates'!$B$5:$B$1004,F$23)&gt;0,"Exp","")))</f>
        <v/>
      </c>
      <c r="G561" s="79">
        <f>IF(OR($A561="",G$23=""),"",IF(COUNTIFS('AFA Rates'!$A$5:$A$1004,$A561,'AFA Rates'!$B$5:$B$1004,G$23,'AFA Rates'!$O$5:$O$1004,"&lt;&gt;Expired")&gt;0,"✓",IF(COUNTIFS('AFA Rates'!$A$5:$A$1004,$A561,'AFA Rates'!$B$5:$B$1004,G$23)&gt;0,"Exp","")))</f>
        <v/>
      </c>
      <c r="H561" s="79">
        <f>IF(OR($A561="",H$23=""),"",IF(COUNTIFS('AFA Rates'!$A$5:$A$1004,$A561,'AFA Rates'!$B$5:$B$1004,H$23,'AFA Rates'!$O$5:$O$1004,"&lt;&gt;Expired")&gt;0,"✓",IF(COUNTIFS('AFA Rates'!$A$5:$A$1004,$A561,'AFA Rates'!$B$5:$B$1004,H$23)&gt;0,"Exp","")))</f>
        <v/>
      </c>
      <c r="I561" s="79">
        <f>IF(OR($A561="",I$23=""),"",IF(COUNTIFS('AFA Rates'!$A$5:$A$1004,$A561,'AFA Rates'!$B$5:$B$1004,I$23,'AFA Rates'!$O$5:$O$1004,"&lt;&gt;Expired")&gt;0,"✓",IF(COUNTIFS('AFA Rates'!$A$5:$A$1004,$A561,'AFA Rates'!$B$5:$B$1004,I$23)&gt;0,"Exp","")))</f>
        <v/>
      </c>
      <c r="J561" s="79">
        <f>IF(OR($A561="",J$23=""),"",IF(COUNTIFS('AFA Rates'!$A$5:$A$1004,$A561,'AFA Rates'!$B$5:$B$1004,J$23,'AFA Rates'!$O$5:$O$1004,"&lt;&gt;Expired")&gt;0,"✓",IF(COUNTIFS('AFA Rates'!$A$5:$A$1004,$A561,'AFA Rates'!$B$5:$B$1004,J$23)&gt;0,"Exp","")))</f>
        <v/>
      </c>
      <c r="K561" s="79">
        <f>IF(OR($A561="",K$23=""),"",IF(COUNTIFS('AFA Rates'!$A$5:$A$1004,$A561,'AFA Rates'!$B$5:$B$1004,K$23,'AFA Rates'!$O$5:$O$1004,"&lt;&gt;Expired")&gt;0,"✓",IF(COUNTIFS('AFA Rates'!$A$5:$A$1004,$A561,'AFA Rates'!$B$5:$B$1004,K$23)&gt;0,"Exp","")))</f>
        <v/>
      </c>
      <c r="L561" s="79">
        <f>IF(OR($A561="",L$23=""),"",IF(COUNTIFS('AFA Rates'!$A$5:$A$1004,$A561,'AFA Rates'!$B$5:$B$1004,L$23,'AFA Rates'!$O$5:$O$1004,"&lt;&gt;Expired")&gt;0,"✓",IF(COUNTIFS('AFA Rates'!$A$5:$A$1004,$A561,'AFA Rates'!$B$5:$B$1004,L$23)&gt;0,"Exp","")))</f>
        <v/>
      </c>
      <c r="M561" s="79">
        <f>IF(OR($A561="",M$23=""),"",IF(COUNTIFS('AFA Rates'!$A$5:$A$1004,$A561,'AFA Rates'!$B$5:$B$1004,M$23,'AFA Rates'!$O$5:$O$1004,"&lt;&gt;Expired")&gt;0,"✓",IF(COUNTIFS('AFA Rates'!$A$5:$A$1004,$A561,'AFA Rates'!$B$5:$B$1004,M$23)&gt;0,"Exp","")))</f>
        <v/>
      </c>
    </row>
    <row r="562">
      <c r="A562" s="78">
        <f>IFERROR(INDEX(Firms!$A$5:$A$1004,MATCH(539,Firms!$V$5:$V$1004,0)),"")</f>
        <v/>
      </c>
      <c r="B562" s="79">
        <f>IF($A562="","",INDEX(Firms!$B$5:$B$1004,MATCH(539,Firms!$V$5:$V$1004,0)))</f>
        <v/>
      </c>
      <c r="C562" s="79">
        <f>IF($A562="","",COUNTIFS('AFA Rates'!$A$5:$A$1004,$A562,'AFA Rates'!$O$5:$O$1004,"&lt;&gt;Expired"))</f>
        <v/>
      </c>
      <c r="D562" s="79">
        <f>IF(OR($A562="",D$23=""),"",IF(COUNTIFS('AFA Rates'!$A$5:$A$1004,$A562,'AFA Rates'!$B$5:$B$1004,D$23,'AFA Rates'!$O$5:$O$1004,"&lt;&gt;Expired")&gt;0,"✓",IF(COUNTIFS('AFA Rates'!$A$5:$A$1004,$A562,'AFA Rates'!$B$5:$B$1004,D$23)&gt;0,"Exp","")))</f>
        <v/>
      </c>
      <c r="E562" s="79">
        <f>IF(OR($A562="",E$23=""),"",IF(COUNTIFS('AFA Rates'!$A$5:$A$1004,$A562,'AFA Rates'!$B$5:$B$1004,E$23,'AFA Rates'!$O$5:$O$1004,"&lt;&gt;Expired")&gt;0,"✓",IF(COUNTIFS('AFA Rates'!$A$5:$A$1004,$A562,'AFA Rates'!$B$5:$B$1004,E$23)&gt;0,"Exp","")))</f>
        <v/>
      </c>
      <c r="F562" s="79">
        <f>IF(OR($A562="",F$23=""),"",IF(COUNTIFS('AFA Rates'!$A$5:$A$1004,$A562,'AFA Rates'!$B$5:$B$1004,F$23,'AFA Rates'!$O$5:$O$1004,"&lt;&gt;Expired")&gt;0,"✓",IF(COUNTIFS('AFA Rates'!$A$5:$A$1004,$A562,'AFA Rates'!$B$5:$B$1004,F$23)&gt;0,"Exp","")))</f>
        <v/>
      </c>
      <c r="G562" s="79">
        <f>IF(OR($A562="",G$23=""),"",IF(COUNTIFS('AFA Rates'!$A$5:$A$1004,$A562,'AFA Rates'!$B$5:$B$1004,G$23,'AFA Rates'!$O$5:$O$1004,"&lt;&gt;Expired")&gt;0,"✓",IF(COUNTIFS('AFA Rates'!$A$5:$A$1004,$A562,'AFA Rates'!$B$5:$B$1004,G$23)&gt;0,"Exp","")))</f>
        <v/>
      </c>
      <c r="H562" s="79">
        <f>IF(OR($A562="",H$23=""),"",IF(COUNTIFS('AFA Rates'!$A$5:$A$1004,$A562,'AFA Rates'!$B$5:$B$1004,H$23,'AFA Rates'!$O$5:$O$1004,"&lt;&gt;Expired")&gt;0,"✓",IF(COUNTIFS('AFA Rates'!$A$5:$A$1004,$A562,'AFA Rates'!$B$5:$B$1004,H$23)&gt;0,"Exp","")))</f>
        <v/>
      </c>
      <c r="I562" s="79">
        <f>IF(OR($A562="",I$23=""),"",IF(COUNTIFS('AFA Rates'!$A$5:$A$1004,$A562,'AFA Rates'!$B$5:$B$1004,I$23,'AFA Rates'!$O$5:$O$1004,"&lt;&gt;Expired")&gt;0,"✓",IF(COUNTIFS('AFA Rates'!$A$5:$A$1004,$A562,'AFA Rates'!$B$5:$B$1004,I$23)&gt;0,"Exp","")))</f>
        <v/>
      </c>
      <c r="J562" s="79">
        <f>IF(OR($A562="",J$23=""),"",IF(COUNTIFS('AFA Rates'!$A$5:$A$1004,$A562,'AFA Rates'!$B$5:$B$1004,J$23,'AFA Rates'!$O$5:$O$1004,"&lt;&gt;Expired")&gt;0,"✓",IF(COUNTIFS('AFA Rates'!$A$5:$A$1004,$A562,'AFA Rates'!$B$5:$B$1004,J$23)&gt;0,"Exp","")))</f>
        <v/>
      </c>
      <c r="K562" s="79">
        <f>IF(OR($A562="",K$23=""),"",IF(COUNTIFS('AFA Rates'!$A$5:$A$1004,$A562,'AFA Rates'!$B$5:$B$1004,K$23,'AFA Rates'!$O$5:$O$1004,"&lt;&gt;Expired")&gt;0,"✓",IF(COUNTIFS('AFA Rates'!$A$5:$A$1004,$A562,'AFA Rates'!$B$5:$B$1004,K$23)&gt;0,"Exp","")))</f>
        <v/>
      </c>
      <c r="L562" s="79">
        <f>IF(OR($A562="",L$23=""),"",IF(COUNTIFS('AFA Rates'!$A$5:$A$1004,$A562,'AFA Rates'!$B$5:$B$1004,L$23,'AFA Rates'!$O$5:$O$1004,"&lt;&gt;Expired")&gt;0,"✓",IF(COUNTIFS('AFA Rates'!$A$5:$A$1004,$A562,'AFA Rates'!$B$5:$B$1004,L$23)&gt;0,"Exp","")))</f>
        <v/>
      </c>
      <c r="M562" s="79">
        <f>IF(OR($A562="",M$23=""),"",IF(COUNTIFS('AFA Rates'!$A$5:$A$1004,$A562,'AFA Rates'!$B$5:$B$1004,M$23,'AFA Rates'!$O$5:$O$1004,"&lt;&gt;Expired")&gt;0,"✓",IF(COUNTIFS('AFA Rates'!$A$5:$A$1004,$A562,'AFA Rates'!$B$5:$B$1004,M$23)&gt;0,"Exp","")))</f>
        <v/>
      </c>
    </row>
    <row r="563">
      <c r="A563" s="78">
        <f>IFERROR(INDEX(Firms!$A$5:$A$1004,MATCH(540,Firms!$V$5:$V$1004,0)),"")</f>
        <v/>
      </c>
      <c r="B563" s="79">
        <f>IF($A563="","",INDEX(Firms!$B$5:$B$1004,MATCH(540,Firms!$V$5:$V$1004,0)))</f>
        <v/>
      </c>
      <c r="C563" s="79">
        <f>IF($A563="","",COUNTIFS('AFA Rates'!$A$5:$A$1004,$A563,'AFA Rates'!$O$5:$O$1004,"&lt;&gt;Expired"))</f>
        <v/>
      </c>
      <c r="D563" s="79">
        <f>IF(OR($A563="",D$23=""),"",IF(COUNTIFS('AFA Rates'!$A$5:$A$1004,$A563,'AFA Rates'!$B$5:$B$1004,D$23,'AFA Rates'!$O$5:$O$1004,"&lt;&gt;Expired")&gt;0,"✓",IF(COUNTIFS('AFA Rates'!$A$5:$A$1004,$A563,'AFA Rates'!$B$5:$B$1004,D$23)&gt;0,"Exp","")))</f>
        <v/>
      </c>
      <c r="E563" s="79">
        <f>IF(OR($A563="",E$23=""),"",IF(COUNTIFS('AFA Rates'!$A$5:$A$1004,$A563,'AFA Rates'!$B$5:$B$1004,E$23,'AFA Rates'!$O$5:$O$1004,"&lt;&gt;Expired")&gt;0,"✓",IF(COUNTIFS('AFA Rates'!$A$5:$A$1004,$A563,'AFA Rates'!$B$5:$B$1004,E$23)&gt;0,"Exp","")))</f>
        <v/>
      </c>
      <c r="F563" s="79">
        <f>IF(OR($A563="",F$23=""),"",IF(COUNTIFS('AFA Rates'!$A$5:$A$1004,$A563,'AFA Rates'!$B$5:$B$1004,F$23,'AFA Rates'!$O$5:$O$1004,"&lt;&gt;Expired")&gt;0,"✓",IF(COUNTIFS('AFA Rates'!$A$5:$A$1004,$A563,'AFA Rates'!$B$5:$B$1004,F$23)&gt;0,"Exp","")))</f>
        <v/>
      </c>
      <c r="G563" s="79">
        <f>IF(OR($A563="",G$23=""),"",IF(COUNTIFS('AFA Rates'!$A$5:$A$1004,$A563,'AFA Rates'!$B$5:$B$1004,G$23,'AFA Rates'!$O$5:$O$1004,"&lt;&gt;Expired")&gt;0,"✓",IF(COUNTIFS('AFA Rates'!$A$5:$A$1004,$A563,'AFA Rates'!$B$5:$B$1004,G$23)&gt;0,"Exp","")))</f>
        <v/>
      </c>
      <c r="H563" s="79">
        <f>IF(OR($A563="",H$23=""),"",IF(COUNTIFS('AFA Rates'!$A$5:$A$1004,$A563,'AFA Rates'!$B$5:$B$1004,H$23,'AFA Rates'!$O$5:$O$1004,"&lt;&gt;Expired")&gt;0,"✓",IF(COUNTIFS('AFA Rates'!$A$5:$A$1004,$A563,'AFA Rates'!$B$5:$B$1004,H$23)&gt;0,"Exp","")))</f>
        <v/>
      </c>
      <c r="I563" s="79">
        <f>IF(OR($A563="",I$23=""),"",IF(COUNTIFS('AFA Rates'!$A$5:$A$1004,$A563,'AFA Rates'!$B$5:$B$1004,I$23,'AFA Rates'!$O$5:$O$1004,"&lt;&gt;Expired")&gt;0,"✓",IF(COUNTIFS('AFA Rates'!$A$5:$A$1004,$A563,'AFA Rates'!$B$5:$B$1004,I$23)&gt;0,"Exp","")))</f>
        <v/>
      </c>
      <c r="J563" s="79">
        <f>IF(OR($A563="",J$23=""),"",IF(COUNTIFS('AFA Rates'!$A$5:$A$1004,$A563,'AFA Rates'!$B$5:$B$1004,J$23,'AFA Rates'!$O$5:$O$1004,"&lt;&gt;Expired")&gt;0,"✓",IF(COUNTIFS('AFA Rates'!$A$5:$A$1004,$A563,'AFA Rates'!$B$5:$B$1004,J$23)&gt;0,"Exp","")))</f>
        <v/>
      </c>
      <c r="K563" s="79">
        <f>IF(OR($A563="",K$23=""),"",IF(COUNTIFS('AFA Rates'!$A$5:$A$1004,$A563,'AFA Rates'!$B$5:$B$1004,K$23,'AFA Rates'!$O$5:$O$1004,"&lt;&gt;Expired")&gt;0,"✓",IF(COUNTIFS('AFA Rates'!$A$5:$A$1004,$A563,'AFA Rates'!$B$5:$B$1004,K$23)&gt;0,"Exp","")))</f>
        <v/>
      </c>
      <c r="L563" s="79">
        <f>IF(OR($A563="",L$23=""),"",IF(COUNTIFS('AFA Rates'!$A$5:$A$1004,$A563,'AFA Rates'!$B$5:$B$1004,L$23,'AFA Rates'!$O$5:$O$1004,"&lt;&gt;Expired")&gt;0,"✓",IF(COUNTIFS('AFA Rates'!$A$5:$A$1004,$A563,'AFA Rates'!$B$5:$B$1004,L$23)&gt;0,"Exp","")))</f>
        <v/>
      </c>
      <c r="M563" s="79">
        <f>IF(OR($A563="",M$23=""),"",IF(COUNTIFS('AFA Rates'!$A$5:$A$1004,$A563,'AFA Rates'!$B$5:$B$1004,M$23,'AFA Rates'!$O$5:$O$1004,"&lt;&gt;Expired")&gt;0,"✓",IF(COUNTIFS('AFA Rates'!$A$5:$A$1004,$A563,'AFA Rates'!$B$5:$B$1004,M$23)&gt;0,"Exp","")))</f>
        <v/>
      </c>
    </row>
    <row r="564">
      <c r="A564" s="78">
        <f>IFERROR(INDEX(Firms!$A$5:$A$1004,MATCH(541,Firms!$V$5:$V$1004,0)),"")</f>
        <v/>
      </c>
      <c r="B564" s="79">
        <f>IF($A564="","",INDEX(Firms!$B$5:$B$1004,MATCH(541,Firms!$V$5:$V$1004,0)))</f>
        <v/>
      </c>
      <c r="C564" s="79">
        <f>IF($A564="","",COUNTIFS('AFA Rates'!$A$5:$A$1004,$A564,'AFA Rates'!$O$5:$O$1004,"&lt;&gt;Expired"))</f>
        <v/>
      </c>
      <c r="D564" s="79">
        <f>IF(OR($A564="",D$23=""),"",IF(COUNTIFS('AFA Rates'!$A$5:$A$1004,$A564,'AFA Rates'!$B$5:$B$1004,D$23,'AFA Rates'!$O$5:$O$1004,"&lt;&gt;Expired")&gt;0,"✓",IF(COUNTIFS('AFA Rates'!$A$5:$A$1004,$A564,'AFA Rates'!$B$5:$B$1004,D$23)&gt;0,"Exp","")))</f>
        <v/>
      </c>
      <c r="E564" s="79">
        <f>IF(OR($A564="",E$23=""),"",IF(COUNTIFS('AFA Rates'!$A$5:$A$1004,$A564,'AFA Rates'!$B$5:$B$1004,E$23,'AFA Rates'!$O$5:$O$1004,"&lt;&gt;Expired")&gt;0,"✓",IF(COUNTIFS('AFA Rates'!$A$5:$A$1004,$A564,'AFA Rates'!$B$5:$B$1004,E$23)&gt;0,"Exp","")))</f>
        <v/>
      </c>
      <c r="F564" s="79">
        <f>IF(OR($A564="",F$23=""),"",IF(COUNTIFS('AFA Rates'!$A$5:$A$1004,$A564,'AFA Rates'!$B$5:$B$1004,F$23,'AFA Rates'!$O$5:$O$1004,"&lt;&gt;Expired")&gt;0,"✓",IF(COUNTIFS('AFA Rates'!$A$5:$A$1004,$A564,'AFA Rates'!$B$5:$B$1004,F$23)&gt;0,"Exp","")))</f>
        <v/>
      </c>
      <c r="G564" s="79">
        <f>IF(OR($A564="",G$23=""),"",IF(COUNTIFS('AFA Rates'!$A$5:$A$1004,$A564,'AFA Rates'!$B$5:$B$1004,G$23,'AFA Rates'!$O$5:$O$1004,"&lt;&gt;Expired")&gt;0,"✓",IF(COUNTIFS('AFA Rates'!$A$5:$A$1004,$A564,'AFA Rates'!$B$5:$B$1004,G$23)&gt;0,"Exp","")))</f>
        <v/>
      </c>
      <c r="H564" s="79">
        <f>IF(OR($A564="",H$23=""),"",IF(COUNTIFS('AFA Rates'!$A$5:$A$1004,$A564,'AFA Rates'!$B$5:$B$1004,H$23,'AFA Rates'!$O$5:$O$1004,"&lt;&gt;Expired")&gt;0,"✓",IF(COUNTIFS('AFA Rates'!$A$5:$A$1004,$A564,'AFA Rates'!$B$5:$B$1004,H$23)&gt;0,"Exp","")))</f>
        <v/>
      </c>
      <c r="I564" s="79">
        <f>IF(OR($A564="",I$23=""),"",IF(COUNTIFS('AFA Rates'!$A$5:$A$1004,$A564,'AFA Rates'!$B$5:$B$1004,I$23,'AFA Rates'!$O$5:$O$1004,"&lt;&gt;Expired")&gt;0,"✓",IF(COUNTIFS('AFA Rates'!$A$5:$A$1004,$A564,'AFA Rates'!$B$5:$B$1004,I$23)&gt;0,"Exp","")))</f>
        <v/>
      </c>
      <c r="J564" s="79">
        <f>IF(OR($A564="",J$23=""),"",IF(COUNTIFS('AFA Rates'!$A$5:$A$1004,$A564,'AFA Rates'!$B$5:$B$1004,J$23,'AFA Rates'!$O$5:$O$1004,"&lt;&gt;Expired")&gt;0,"✓",IF(COUNTIFS('AFA Rates'!$A$5:$A$1004,$A564,'AFA Rates'!$B$5:$B$1004,J$23)&gt;0,"Exp","")))</f>
        <v/>
      </c>
      <c r="K564" s="79">
        <f>IF(OR($A564="",K$23=""),"",IF(COUNTIFS('AFA Rates'!$A$5:$A$1004,$A564,'AFA Rates'!$B$5:$B$1004,K$23,'AFA Rates'!$O$5:$O$1004,"&lt;&gt;Expired")&gt;0,"✓",IF(COUNTIFS('AFA Rates'!$A$5:$A$1004,$A564,'AFA Rates'!$B$5:$B$1004,K$23)&gt;0,"Exp","")))</f>
        <v/>
      </c>
      <c r="L564" s="79">
        <f>IF(OR($A564="",L$23=""),"",IF(COUNTIFS('AFA Rates'!$A$5:$A$1004,$A564,'AFA Rates'!$B$5:$B$1004,L$23,'AFA Rates'!$O$5:$O$1004,"&lt;&gt;Expired")&gt;0,"✓",IF(COUNTIFS('AFA Rates'!$A$5:$A$1004,$A564,'AFA Rates'!$B$5:$B$1004,L$23)&gt;0,"Exp","")))</f>
        <v/>
      </c>
      <c r="M564" s="79">
        <f>IF(OR($A564="",M$23=""),"",IF(COUNTIFS('AFA Rates'!$A$5:$A$1004,$A564,'AFA Rates'!$B$5:$B$1004,M$23,'AFA Rates'!$O$5:$O$1004,"&lt;&gt;Expired")&gt;0,"✓",IF(COUNTIFS('AFA Rates'!$A$5:$A$1004,$A564,'AFA Rates'!$B$5:$B$1004,M$23)&gt;0,"Exp","")))</f>
        <v/>
      </c>
    </row>
    <row r="565">
      <c r="A565" s="78">
        <f>IFERROR(INDEX(Firms!$A$5:$A$1004,MATCH(542,Firms!$V$5:$V$1004,0)),"")</f>
        <v/>
      </c>
      <c r="B565" s="79">
        <f>IF($A565="","",INDEX(Firms!$B$5:$B$1004,MATCH(542,Firms!$V$5:$V$1004,0)))</f>
        <v/>
      </c>
      <c r="C565" s="79">
        <f>IF($A565="","",COUNTIFS('AFA Rates'!$A$5:$A$1004,$A565,'AFA Rates'!$O$5:$O$1004,"&lt;&gt;Expired"))</f>
        <v/>
      </c>
      <c r="D565" s="79">
        <f>IF(OR($A565="",D$23=""),"",IF(COUNTIFS('AFA Rates'!$A$5:$A$1004,$A565,'AFA Rates'!$B$5:$B$1004,D$23,'AFA Rates'!$O$5:$O$1004,"&lt;&gt;Expired")&gt;0,"✓",IF(COUNTIFS('AFA Rates'!$A$5:$A$1004,$A565,'AFA Rates'!$B$5:$B$1004,D$23)&gt;0,"Exp","")))</f>
        <v/>
      </c>
      <c r="E565" s="79">
        <f>IF(OR($A565="",E$23=""),"",IF(COUNTIFS('AFA Rates'!$A$5:$A$1004,$A565,'AFA Rates'!$B$5:$B$1004,E$23,'AFA Rates'!$O$5:$O$1004,"&lt;&gt;Expired")&gt;0,"✓",IF(COUNTIFS('AFA Rates'!$A$5:$A$1004,$A565,'AFA Rates'!$B$5:$B$1004,E$23)&gt;0,"Exp","")))</f>
        <v/>
      </c>
      <c r="F565" s="79">
        <f>IF(OR($A565="",F$23=""),"",IF(COUNTIFS('AFA Rates'!$A$5:$A$1004,$A565,'AFA Rates'!$B$5:$B$1004,F$23,'AFA Rates'!$O$5:$O$1004,"&lt;&gt;Expired")&gt;0,"✓",IF(COUNTIFS('AFA Rates'!$A$5:$A$1004,$A565,'AFA Rates'!$B$5:$B$1004,F$23)&gt;0,"Exp","")))</f>
        <v/>
      </c>
      <c r="G565" s="79">
        <f>IF(OR($A565="",G$23=""),"",IF(COUNTIFS('AFA Rates'!$A$5:$A$1004,$A565,'AFA Rates'!$B$5:$B$1004,G$23,'AFA Rates'!$O$5:$O$1004,"&lt;&gt;Expired")&gt;0,"✓",IF(COUNTIFS('AFA Rates'!$A$5:$A$1004,$A565,'AFA Rates'!$B$5:$B$1004,G$23)&gt;0,"Exp","")))</f>
        <v/>
      </c>
      <c r="H565" s="79">
        <f>IF(OR($A565="",H$23=""),"",IF(COUNTIFS('AFA Rates'!$A$5:$A$1004,$A565,'AFA Rates'!$B$5:$B$1004,H$23,'AFA Rates'!$O$5:$O$1004,"&lt;&gt;Expired")&gt;0,"✓",IF(COUNTIFS('AFA Rates'!$A$5:$A$1004,$A565,'AFA Rates'!$B$5:$B$1004,H$23)&gt;0,"Exp","")))</f>
        <v/>
      </c>
      <c r="I565" s="79">
        <f>IF(OR($A565="",I$23=""),"",IF(COUNTIFS('AFA Rates'!$A$5:$A$1004,$A565,'AFA Rates'!$B$5:$B$1004,I$23,'AFA Rates'!$O$5:$O$1004,"&lt;&gt;Expired")&gt;0,"✓",IF(COUNTIFS('AFA Rates'!$A$5:$A$1004,$A565,'AFA Rates'!$B$5:$B$1004,I$23)&gt;0,"Exp","")))</f>
        <v/>
      </c>
      <c r="J565" s="79">
        <f>IF(OR($A565="",J$23=""),"",IF(COUNTIFS('AFA Rates'!$A$5:$A$1004,$A565,'AFA Rates'!$B$5:$B$1004,J$23,'AFA Rates'!$O$5:$O$1004,"&lt;&gt;Expired")&gt;0,"✓",IF(COUNTIFS('AFA Rates'!$A$5:$A$1004,$A565,'AFA Rates'!$B$5:$B$1004,J$23)&gt;0,"Exp","")))</f>
        <v/>
      </c>
      <c r="K565" s="79">
        <f>IF(OR($A565="",K$23=""),"",IF(COUNTIFS('AFA Rates'!$A$5:$A$1004,$A565,'AFA Rates'!$B$5:$B$1004,K$23,'AFA Rates'!$O$5:$O$1004,"&lt;&gt;Expired")&gt;0,"✓",IF(COUNTIFS('AFA Rates'!$A$5:$A$1004,$A565,'AFA Rates'!$B$5:$B$1004,K$23)&gt;0,"Exp","")))</f>
        <v/>
      </c>
      <c r="L565" s="79">
        <f>IF(OR($A565="",L$23=""),"",IF(COUNTIFS('AFA Rates'!$A$5:$A$1004,$A565,'AFA Rates'!$B$5:$B$1004,L$23,'AFA Rates'!$O$5:$O$1004,"&lt;&gt;Expired")&gt;0,"✓",IF(COUNTIFS('AFA Rates'!$A$5:$A$1004,$A565,'AFA Rates'!$B$5:$B$1004,L$23)&gt;0,"Exp","")))</f>
        <v/>
      </c>
      <c r="M565" s="79">
        <f>IF(OR($A565="",M$23=""),"",IF(COUNTIFS('AFA Rates'!$A$5:$A$1004,$A565,'AFA Rates'!$B$5:$B$1004,M$23,'AFA Rates'!$O$5:$O$1004,"&lt;&gt;Expired")&gt;0,"✓",IF(COUNTIFS('AFA Rates'!$A$5:$A$1004,$A565,'AFA Rates'!$B$5:$B$1004,M$23)&gt;0,"Exp","")))</f>
        <v/>
      </c>
    </row>
    <row r="566">
      <c r="A566" s="78">
        <f>IFERROR(INDEX(Firms!$A$5:$A$1004,MATCH(543,Firms!$V$5:$V$1004,0)),"")</f>
        <v/>
      </c>
      <c r="B566" s="79">
        <f>IF($A566="","",INDEX(Firms!$B$5:$B$1004,MATCH(543,Firms!$V$5:$V$1004,0)))</f>
        <v/>
      </c>
      <c r="C566" s="79">
        <f>IF($A566="","",COUNTIFS('AFA Rates'!$A$5:$A$1004,$A566,'AFA Rates'!$O$5:$O$1004,"&lt;&gt;Expired"))</f>
        <v/>
      </c>
      <c r="D566" s="79">
        <f>IF(OR($A566="",D$23=""),"",IF(COUNTIFS('AFA Rates'!$A$5:$A$1004,$A566,'AFA Rates'!$B$5:$B$1004,D$23,'AFA Rates'!$O$5:$O$1004,"&lt;&gt;Expired")&gt;0,"✓",IF(COUNTIFS('AFA Rates'!$A$5:$A$1004,$A566,'AFA Rates'!$B$5:$B$1004,D$23)&gt;0,"Exp","")))</f>
        <v/>
      </c>
      <c r="E566" s="79">
        <f>IF(OR($A566="",E$23=""),"",IF(COUNTIFS('AFA Rates'!$A$5:$A$1004,$A566,'AFA Rates'!$B$5:$B$1004,E$23,'AFA Rates'!$O$5:$O$1004,"&lt;&gt;Expired")&gt;0,"✓",IF(COUNTIFS('AFA Rates'!$A$5:$A$1004,$A566,'AFA Rates'!$B$5:$B$1004,E$23)&gt;0,"Exp","")))</f>
        <v/>
      </c>
      <c r="F566" s="79">
        <f>IF(OR($A566="",F$23=""),"",IF(COUNTIFS('AFA Rates'!$A$5:$A$1004,$A566,'AFA Rates'!$B$5:$B$1004,F$23,'AFA Rates'!$O$5:$O$1004,"&lt;&gt;Expired")&gt;0,"✓",IF(COUNTIFS('AFA Rates'!$A$5:$A$1004,$A566,'AFA Rates'!$B$5:$B$1004,F$23)&gt;0,"Exp","")))</f>
        <v/>
      </c>
      <c r="G566" s="79">
        <f>IF(OR($A566="",G$23=""),"",IF(COUNTIFS('AFA Rates'!$A$5:$A$1004,$A566,'AFA Rates'!$B$5:$B$1004,G$23,'AFA Rates'!$O$5:$O$1004,"&lt;&gt;Expired")&gt;0,"✓",IF(COUNTIFS('AFA Rates'!$A$5:$A$1004,$A566,'AFA Rates'!$B$5:$B$1004,G$23)&gt;0,"Exp","")))</f>
        <v/>
      </c>
      <c r="H566" s="79">
        <f>IF(OR($A566="",H$23=""),"",IF(COUNTIFS('AFA Rates'!$A$5:$A$1004,$A566,'AFA Rates'!$B$5:$B$1004,H$23,'AFA Rates'!$O$5:$O$1004,"&lt;&gt;Expired")&gt;0,"✓",IF(COUNTIFS('AFA Rates'!$A$5:$A$1004,$A566,'AFA Rates'!$B$5:$B$1004,H$23)&gt;0,"Exp","")))</f>
        <v/>
      </c>
      <c r="I566" s="79">
        <f>IF(OR($A566="",I$23=""),"",IF(COUNTIFS('AFA Rates'!$A$5:$A$1004,$A566,'AFA Rates'!$B$5:$B$1004,I$23,'AFA Rates'!$O$5:$O$1004,"&lt;&gt;Expired")&gt;0,"✓",IF(COUNTIFS('AFA Rates'!$A$5:$A$1004,$A566,'AFA Rates'!$B$5:$B$1004,I$23)&gt;0,"Exp","")))</f>
        <v/>
      </c>
      <c r="J566" s="79">
        <f>IF(OR($A566="",J$23=""),"",IF(COUNTIFS('AFA Rates'!$A$5:$A$1004,$A566,'AFA Rates'!$B$5:$B$1004,J$23,'AFA Rates'!$O$5:$O$1004,"&lt;&gt;Expired")&gt;0,"✓",IF(COUNTIFS('AFA Rates'!$A$5:$A$1004,$A566,'AFA Rates'!$B$5:$B$1004,J$23)&gt;0,"Exp","")))</f>
        <v/>
      </c>
      <c r="K566" s="79">
        <f>IF(OR($A566="",K$23=""),"",IF(COUNTIFS('AFA Rates'!$A$5:$A$1004,$A566,'AFA Rates'!$B$5:$B$1004,K$23,'AFA Rates'!$O$5:$O$1004,"&lt;&gt;Expired")&gt;0,"✓",IF(COUNTIFS('AFA Rates'!$A$5:$A$1004,$A566,'AFA Rates'!$B$5:$B$1004,K$23)&gt;0,"Exp","")))</f>
        <v/>
      </c>
      <c r="L566" s="79">
        <f>IF(OR($A566="",L$23=""),"",IF(COUNTIFS('AFA Rates'!$A$5:$A$1004,$A566,'AFA Rates'!$B$5:$B$1004,L$23,'AFA Rates'!$O$5:$O$1004,"&lt;&gt;Expired")&gt;0,"✓",IF(COUNTIFS('AFA Rates'!$A$5:$A$1004,$A566,'AFA Rates'!$B$5:$B$1004,L$23)&gt;0,"Exp","")))</f>
        <v/>
      </c>
      <c r="M566" s="79">
        <f>IF(OR($A566="",M$23=""),"",IF(COUNTIFS('AFA Rates'!$A$5:$A$1004,$A566,'AFA Rates'!$B$5:$B$1004,M$23,'AFA Rates'!$O$5:$O$1004,"&lt;&gt;Expired")&gt;0,"✓",IF(COUNTIFS('AFA Rates'!$A$5:$A$1004,$A566,'AFA Rates'!$B$5:$B$1004,M$23)&gt;0,"Exp","")))</f>
        <v/>
      </c>
    </row>
    <row r="567">
      <c r="A567" s="78">
        <f>IFERROR(INDEX(Firms!$A$5:$A$1004,MATCH(544,Firms!$V$5:$V$1004,0)),"")</f>
        <v/>
      </c>
      <c r="B567" s="79">
        <f>IF($A567="","",INDEX(Firms!$B$5:$B$1004,MATCH(544,Firms!$V$5:$V$1004,0)))</f>
        <v/>
      </c>
      <c r="C567" s="79">
        <f>IF($A567="","",COUNTIFS('AFA Rates'!$A$5:$A$1004,$A567,'AFA Rates'!$O$5:$O$1004,"&lt;&gt;Expired"))</f>
        <v/>
      </c>
      <c r="D567" s="79">
        <f>IF(OR($A567="",D$23=""),"",IF(COUNTIFS('AFA Rates'!$A$5:$A$1004,$A567,'AFA Rates'!$B$5:$B$1004,D$23,'AFA Rates'!$O$5:$O$1004,"&lt;&gt;Expired")&gt;0,"✓",IF(COUNTIFS('AFA Rates'!$A$5:$A$1004,$A567,'AFA Rates'!$B$5:$B$1004,D$23)&gt;0,"Exp","")))</f>
        <v/>
      </c>
      <c r="E567" s="79">
        <f>IF(OR($A567="",E$23=""),"",IF(COUNTIFS('AFA Rates'!$A$5:$A$1004,$A567,'AFA Rates'!$B$5:$B$1004,E$23,'AFA Rates'!$O$5:$O$1004,"&lt;&gt;Expired")&gt;0,"✓",IF(COUNTIFS('AFA Rates'!$A$5:$A$1004,$A567,'AFA Rates'!$B$5:$B$1004,E$23)&gt;0,"Exp","")))</f>
        <v/>
      </c>
      <c r="F567" s="79">
        <f>IF(OR($A567="",F$23=""),"",IF(COUNTIFS('AFA Rates'!$A$5:$A$1004,$A567,'AFA Rates'!$B$5:$B$1004,F$23,'AFA Rates'!$O$5:$O$1004,"&lt;&gt;Expired")&gt;0,"✓",IF(COUNTIFS('AFA Rates'!$A$5:$A$1004,$A567,'AFA Rates'!$B$5:$B$1004,F$23)&gt;0,"Exp","")))</f>
        <v/>
      </c>
      <c r="G567" s="79">
        <f>IF(OR($A567="",G$23=""),"",IF(COUNTIFS('AFA Rates'!$A$5:$A$1004,$A567,'AFA Rates'!$B$5:$B$1004,G$23,'AFA Rates'!$O$5:$O$1004,"&lt;&gt;Expired")&gt;0,"✓",IF(COUNTIFS('AFA Rates'!$A$5:$A$1004,$A567,'AFA Rates'!$B$5:$B$1004,G$23)&gt;0,"Exp","")))</f>
        <v/>
      </c>
      <c r="H567" s="79">
        <f>IF(OR($A567="",H$23=""),"",IF(COUNTIFS('AFA Rates'!$A$5:$A$1004,$A567,'AFA Rates'!$B$5:$B$1004,H$23,'AFA Rates'!$O$5:$O$1004,"&lt;&gt;Expired")&gt;0,"✓",IF(COUNTIFS('AFA Rates'!$A$5:$A$1004,$A567,'AFA Rates'!$B$5:$B$1004,H$23)&gt;0,"Exp","")))</f>
        <v/>
      </c>
      <c r="I567" s="79">
        <f>IF(OR($A567="",I$23=""),"",IF(COUNTIFS('AFA Rates'!$A$5:$A$1004,$A567,'AFA Rates'!$B$5:$B$1004,I$23,'AFA Rates'!$O$5:$O$1004,"&lt;&gt;Expired")&gt;0,"✓",IF(COUNTIFS('AFA Rates'!$A$5:$A$1004,$A567,'AFA Rates'!$B$5:$B$1004,I$23)&gt;0,"Exp","")))</f>
        <v/>
      </c>
      <c r="J567" s="79">
        <f>IF(OR($A567="",J$23=""),"",IF(COUNTIFS('AFA Rates'!$A$5:$A$1004,$A567,'AFA Rates'!$B$5:$B$1004,J$23,'AFA Rates'!$O$5:$O$1004,"&lt;&gt;Expired")&gt;0,"✓",IF(COUNTIFS('AFA Rates'!$A$5:$A$1004,$A567,'AFA Rates'!$B$5:$B$1004,J$23)&gt;0,"Exp","")))</f>
        <v/>
      </c>
      <c r="K567" s="79">
        <f>IF(OR($A567="",K$23=""),"",IF(COUNTIFS('AFA Rates'!$A$5:$A$1004,$A567,'AFA Rates'!$B$5:$B$1004,K$23,'AFA Rates'!$O$5:$O$1004,"&lt;&gt;Expired")&gt;0,"✓",IF(COUNTIFS('AFA Rates'!$A$5:$A$1004,$A567,'AFA Rates'!$B$5:$B$1004,K$23)&gt;0,"Exp","")))</f>
        <v/>
      </c>
      <c r="L567" s="79">
        <f>IF(OR($A567="",L$23=""),"",IF(COUNTIFS('AFA Rates'!$A$5:$A$1004,$A567,'AFA Rates'!$B$5:$B$1004,L$23,'AFA Rates'!$O$5:$O$1004,"&lt;&gt;Expired")&gt;0,"✓",IF(COUNTIFS('AFA Rates'!$A$5:$A$1004,$A567,'AFA Rates'!$B$5:$B$1004,L$23)&gt;0,"Exp","")))</f>
        <v/>
      </c>
      <c r="M567" s="79">
        <f>IF(OR($A567="",M$23=""),"",IF(COUNTIFS('AFA Rates'!$A$5:$A$1004,$A567,'AFA Rates'!$B$5:$B$1004,M$23,'AFA Rates'!$O$5:$O$1004,"&lt;&gt;Expired")&gt;0,"✓",IF(COUNTIFS('AFA Rates'!$A$5:$A$1004,$A567,'AFA Rates'!$B$5:$B$1004,M$23)&gt;0,"Exp","")))</f>
        <v/>
      </c>
    </row>
    <row r="568">
      <c r="A568" s="78">
        <f>IFERROR(INDEX(Firms!$A$5:$A$1004,MATCH(545,Firms!$V$5:$V$1004,0)),"")</f>
        <v/>
      </c>
      <c r="B568" s="79">
        <f>IF($A568="","",INDEX(Firms!$B$5:$B$1004,MATCH(545,Firms!$V$5:$V$1004,0)))</f>
        <v/>
      </c>
      <c r="C568" s="79">
        <f>IF($A568="","",COUNTIFS('AFA Rates'!$A$5:$A$1004,$A568,'AFA Rates'!$O$5:$O$1004,"&lt;&gt;Expired"))</f>
        <v/>
      </c>
      <c r="D568" s="79">
        <f>IF(OR($A568="",D$23=""),"",IF(COUNTIFS('AFA Rates'!$A$5:$A$1004,$A568,'AFA Rates'!$B$5:$B$1004,D$23,'AFA Rates'!$O$5:$O$1004,"&lt;&gt;Expired")&gt;0,"✓",IF(COUNTIFS('AFA Rates'!$A$5:$A$1004,$A568,'AFA Rates'!$B$5:$B$1004,D$23)&gt;0,"Exp","")))</f>
        <v/>
      </c>
      <c r="E568" s="79">
        <f>IF(OR($A568="",E$23=""),"",IF(COUNTIFS('AFA Rates'!$A$5:$A$1004,$A568,'AFA Rates'!$B$5:$B$1004,E$23,'AFA Rates'!$O$5:$O$1004,"&lt;&gt;Expired")&gt;0,"✓",IF(COUNTIFS('AFA Rates'!$A$5:$A$1004,$A568,'AFA Rates'!$B$5:$B$1004,E$23)&gt;0,"Exp","")))</f>
        <v/>
      </c>
      <c r="F568" s="79">
        <f>IF(OR($A568="",F$23=""),"",IF(COUNTIFS('AFA Rates'!$A$5:$A$1004,$A568,'AFA Rates'!$B$5:$B$1004,F$23,'AFA Rates'!$O$5:$O$1004,"&lt;&gt;Expired")&gt;0,"✓",IF(COUNTIFS('AFA Rates'!$A$5:$A$1004,$A568,'AFA Rates'!$B$5:$B$1004,F$23)&gt;0,"Exp","")))</f>
        <v/>
      </c>
      <c r="G568" s="79">
        <f>IF(OR($A568="",G$23=""),"",IF(COUNTIFS('AFA Rates'!$A$5:$A$1004,$A568,'AFA Rates'!$B$5:$B$1004,G$23,'AFA Rates'!$O$5:$O$1004,"&lt;&gt;Expired")&gt;0,"✓",IF(COUNTIFS('AFA Rates'!$A$5:$A$1004,$A568,'AFA Rates'!$B$5:$B$1004,G$23)&gt;0,"Exp","")))</f>
        <v/>
      </c>
      <c r="H568" s="79">
        <f>IF(OR($A568="",H$23=""),"",IF(COUNTIFS('AFA Rates'!$A$5:$A$1004,$A568,'AFA Rates'!$B$5:$B$1004,H$23,'AFA Rates'!$O$5:$O$1004,"&lt;&gt;Expired")&gt;0,"✓",IF(COUNTIFS('AFA Rates'!$A$5:$A$1004,$A568,'AFA Rates'!$B$5:$B$1004,H$23)&gt;0,"Exp","")))</f>
        <v/>
      </c>
      <c r="I568" s="79">
        <f>IF(OR($A568="",I$23=""),"",IF(COUNTIFS('AFA Rates'!$A$5:$A$1004,$A568,'AFA Rates'!$B$5:$B$1004,I$23,'AFA Rates'!$O$5:$O$1004,"&lt;&gt;Expired")&gt;0,"✓",IF(COUNTIFS('AFA Rates'!$A$5:$A$1004,$A568,'AFA Rates'!$B$5:$B$1004,I$23)&gt;0,"Exp","")))</f>
        <v/>
      </c>
      <c r="J568" s="79">
        <f>IF(OR($A568="",J$23=""),"",IF(COUNTIFS('AFA Rates'!$A$5:$A$1004,$A568,'AFA Rates'!$B$5:$B$1004,J$23,'AFA Rates'!$O$5:$O$1004,"&lt;&gt;Expired")&gt;0,"✓",IF(COUNTIFS('AFA Rates'!$A$5:$A$1004,$A568,'AFA Rates'!$B$5:$B$1004,J$23)&gt;0,"Exp","")))</f>
        <v/>
      </c>
      <c r="K568" s="79">
        <f>IF(OR($A568="",K$23=""),"",IF(COUNTIFS('AFA Rates'!$A$5:$A$1004,$A568,'AFA Rates'!$B$5:$B$1004,K$23,'AFA Rates'!$O$5:$O$1004,"&lt;&gt;Expired")&gt;0,"✓",IF(COUNTIFS('AFA Rates'!$A$5:$A$1004,$A568,'AFA Rates'!$B$5:$B$1004,K$23)&gt;0,"Exp","")))</f>
        <v/>
      </c>
      <c r="L568" s="79">
        <f>IF(OR($A568="",L$23=""),"",IF(COUNTIFS('AFA Rates'!$A$5:$A$1004,$A568,'AFA Rates'!$B$5:$B$1004,L$23,'AFA Rates'!$O$5:$O$1004,"&lt;&gt;Expired")&gt;0,"✓",IF(COUNTIFS('AFA Rates'!$A$5:$A$1004,$A568,'AFA Rates'!$B$5:$B$1004,L$23)&gt;0,"Exp","")))</f>
        <v/>
      </c>
      <c r="M568" s="79">
        <f>IF(OR($A568="",M$23=""),"",IF(COUNTIFS('AFA Rates'!$A$5:$A$1004,$A568,'AFA Rates'!$B$5:$B$1004,M$23,'AFA Rates'!$O$5:$O$1004,"&lt;&gt;Expired")&gt;0,"✓",IF(COUNTIFS('AFA Rates'!$A$5:$A$1004,$A568,'AFA Rates'!$B$5:$B$1004,M$23)&gt;0,"Exp","")))</f>
        <v/>
      </c>
    </row>
    <row r="569">
      <c r="A569" s="78">
        <f>IFERROR(INDEX(Firms!$A$5:$A$1004,MATCH(546,Firms!$V$5:$V$1004,0)),"")</f>
        <v/>
      </c>
      <c r="B569" s="79">
        <f>IF($A569="","",INDEX(Firms!$B$5:$B$1004,MATCH(546,Firms!$V$5:$V$1004,0)))</f>
        <v/>
      </c>
      <c r="C569" s="79">
        <f>IF($A569="","",COUNTIFS('AFA Rates'!$A$5:$A$1004,$A569,'AFA Rates'!$O$5:$O$1004,"&lt;&gt;Expired"))</f>
        <v/>
      </c>
      <c r="D569" s="79">
        <f>IF(OR($A569="",D$23=""),"",IF(COUNTIFS('AFA Rates'!$A$5:$A$1004,$A569,'AFA Rates'!$B$5:$B$1004,D$23,'AFA Rates'!$O$5:$O$1004,"&lt;&gt;Expired")&gt;0,"✓",IF(COUNTIFS('AFA Rates'!$A$5:$A$1004,$A569,'AFA Rates'!$B$5:$B$1004,D$23)&gt;0,"Exp","")))</f>
        <v/>
      </c>
      <c r="E569" s="79">
        <f>IF(OR($A569="",E$23=""),"",IF(COUNTIFS('AFA Rates'!$A$5:$A$1004,$A569,'AFA Rates'!$B$5:$B$1004,E$23,'AFA Rates'!$O$5:$O$1004,"&lt;&gt;Expired")&gt;0,"✓",IF(COUNTIFS('AFA Rates'!$A$5:$A$1004,$A569,'AFA Rates'!$B$5:$B$1004,E$23)&gt;0,"Exp","")))</f>
        <v/>
      </c>
      <c r="F569" s="79">
        <f>IF(OR($A569="",F$23=""),"",IF(COUNTIFS('AFA Rates'!$A$5:$A$1004,$A569,'AFA Rates'!$B$5:$B$1004,F$23,'AFA Rates'!$O$5:$O$1004,"&lt;&gt;Expired")&gt;0,"✓",IF(COUNTIFS('AFA Rates'!$A$5:$A$1004,$A569,'AFA Rates'!$B$5:$B$1004,F$23)&gt;0,"Exp","")))</f>
        <v/>
      </c>
      <c r="G569" s="79">
        <f>IF(OR($A569="",G$23=""),"",IF(COUNTIFS('AFA Rates'!$A$5:$A$1004,$A569,'AFA Rates'!$B$5:$B$1004,G$23,'AFA Rates'!$O$5:$O$1004,"&lt;&gt;Expired")&gt;0,"✓",IF(COUNTIFS('AFA Rates'!$A$5:$A$1004,$A569,'AFA Rates'!$B$5:$B$1004,G$23)&gt;0,"Exp","")))</f>
        <v/>
      </c>
      <c r="H569" s="79">
        <f>IF(OR($A569="",H$23=""),"",IF(COUNTIFS('AFA Rates'!$A$5:$A$1004,$A569,'AFA Rates'!$B$5:$B$1004,H$23,'AFA Rates'!$O$5:$O$1004,"&lt;&gt;Expired")&gt;0,"✓",IF(COUNTIFS('AFA Rates'!$A$5:$A$1004,$A569,'AFA Rates'!$B$5:$B$1004,H$23)&gt;0,"Exp","")))</f>
        <v/>
      </c>
      <c r="I569" s="79">
        <f>IF(OR($A569="",I$23=""),"",IF(COUNTIFS('AFA Rates'!$A$5:$A$1004,$A569,'AFA Rates'!$B$5:$B$1004,I$23,'AFA Rates'!$O$5:$O$1004,"&lt;&gt;Expired")&gt;0,"✓",IF(COUNTIFS('AFA Rates'!$A$5:$A$1004,$A569,'AFA Rates'!$B$5:$B$1004,I$23)&gt;0,"Exp","")))</f>
        <v/>
      </c>
      <c r="J569" s="79">
        <f>IF(OR($A569="",J$23=""),"",IF(COUNTIFS('AFA Rates'!$A$5:$A$1004,$A569,'AFA Rates'!$B$5:$B$1004,J$23,'AFA Rates'!$O$5:$O$1004,"&lt;&gt;Expired")&gt;0,"✓",IF(COUNTIFS('AFA Rates'!$A$5:$A$1004,$A569,'AFA Rates'!$B$5:$B$1004,J$23)&gt;0,"Exp","")))</f>
        <v/>
      </c>
      <c r="K569" s="79">
        <f>IF(OR($A569="",K$23=""),"",IF(COUNTIFS('AFA Rates'!$A$5:$A$1004,$A569,'AFA Rates'!$B$5:$B$1004,K$23,'AFA Rates'!$O$5:$O$1004,"&lt;&gt;Expired")&gt;0,"✓",IF(COUNTIFS('AFA Rates'!$A$5:$A$1004,$A569,'AFA Rates'!$B$5:$B$1004,K$23)&gt;0,"Exp","")))</f>
        <v/>
      </c>
      <c r="L569" s="79">
        <f>IF(OR($A569="",L$23=""),"",IF(COUNTIFS('AFA Rates'!$A$5:$A$1004,$A569,'AFA Rates'!$B$5:$B$1004,L$23,'AFA Rates'!$O$5:$O$1004,"&lt;&gt;Expired")&gt;0,"✓",IF(COUNTIFS('AFA Rates'!$A$5:$A$1004,$A569,'AFA Rates'!$B$5:$B$1004,L$23)&gt;0,"Exp","")))</f>
        <v/>
      </c>
      <c r="M569" s="79">
        <f>IF(OR($A569="",M$23=""),"",IF(COUNTIFS('AFA Rates'!$A$5:$A$1004,$A569,'AFA Rates'!$B$5:$B$1004,M$23,'AFA Rates'!$O$5:$O$1004,"&lt;&gt;Expired")&gt;0,"✓",IF(COUNTIFS('AFA Rates'!$A$5:$A$1004,$A569,'AFA Rates'!$B$5:$B$1004,M$23)&gt;0,"Exp","")))</f>
        <v/>
      </c>
    </row>
    <row r="570">
      <c r="A570" s="78">
        <f>IFERROR(INDEX(Firms!$A$5:$A$1004,MATCH(547,Firms!$V$5:$V$1004,0)),"")</f>
        <v/>
      </c>
      <c r="B570" s="79">
        <f>IF($A570="","",INDEX(Firms!$B$5:$B$1004,MATCH(547,Firms!$V$5:$V$1004,0)))</f>
        <v/>
      </c>
      <c r="C570" s="79">
        <f>IF($A570="","",COUNTIFS('AFA Rates'!$A$5:$A$1004,$A570,'AFA Rates'!$O$5:$O$1004,"&lt;&gt;Expired"))</f>
        <v/>
      </c>
      <c r="D570" s="79">
        <f>IF(OR($A570="",D$23=""),"",IF(COUNTIFS('AFA Rates'!$A$5:$A$1004,$A570,'AFA Rates'!$B$5:$B$1004,D$23,'AFA Rates'!$O$5:$O$1004,"&lt;&gt;Expired")&gt;0,"✓",IF(COUNTIFS('AFA Rates'!$A$5:$A$1004,$A570,'AFA Rates'!$B$5:$B$1004,D$23)&gt;0,"Exp","")))</f>
        <v/>
      </c>
      <c r="E570" s="79">
        <f>IF(OR($A570="",E$23=""),"",IF(COUNTIFS('AFA Rates'!$A$5:$A$1004,$A570,'AFA Rates'!$B$5:$B$1004,E$23,'AFA Rates'!$O$5:$O$1004,"&lt;&gt;Expired")&gt;0,"✓",IF(COUNTIFS('AFA Rates'!$A$5:$A$1004,$A570,'AFA Rates'!$B$5:$B$1004,E$23)&gt;0,"Exp","")))</f>
        <v/>
      </c>
      <c r="F570" s="79">
        <f>IF(OR($A570="",F$23=""),"",IF(COUNTIFS('AFA Rates'!$A$5:$A$1004,$A570,'AFA Rates'!$B$5:$B$1004,F$23,'AFA Rates'!$O$5:$O$1004,"&lt;&gt;Expired")&gt;0,"✓",IF(COUNTIFS('AFA Rates'!$A$5:$A$1004,$A570,'AFA Rates'!$B$5:$B$1004,F$23)&gt;0,"Exp","")))</f>
        <v/>
      </c>
      <c r="G570" s="79">
        <f>IF(OR($A570="",G$23=""),"",IF(COUNTIFS('AFA Rates'!$A$5:$A$1004,$A570,'AFA Rates'!$B$5:$B$1004,G$23,'AFA Rates'!$O$5:$O$1004,"&lt;&gt;Expired")&gt;0,"✓",IF(COUNTIFS('AFA Rates'!$A$5:$A$1004,$A570,'AFA Rates'!$B$5:$B$1004,G$23)&gt;0,"Exp","")))</f>
        <v/>
      </c>
      <c r="H570" s="79">
        <f>IF(OR($A570="",H$23=""),"",IF(COUNTIFS('AFA Rates'!$A$5:$A$1004,$A570,'AFA Rates'!$B$5:$B$1004,H$23,'AFA Rates'!$O$5:$O$1004,"&lt;&gt;Expired")&gt;0,"✓",IF(COUNTIFS('AFA Rates'!$A$5:$A$1004,$A570,'AFA Rates'!$B$5:$B$1004,H$23)&gt;0,"Exp","")))</f>
        <v/>
      </c>
      <c r="I570" s="79">
        <f>IF(OR($A570="",I$23=""),"",IF(COUNTIFS('AFA Rates'!$A$5:$A$1004,$A570,'AFA Rates'!$B$5:$B$1004,I$23,'AFA Rates'!$O$5:$O$1004,"&lt;&gt;Expired")&gt;0,"✓",IF(COUNTIFS('AFA Rates'!$A$5:$A$1004,$A570,'AFA Rates'!$B$5:$B$1004,I$23)&gt;0,"Exp","")))</f>
        <v/>
      </c>
      <c r="J570" s="79">
        <f>IF(OR($A570="",J$23=""),"",IF(COUNTIFS('AFA Rates'!$A$5:$A$1004,$A570,'AFA Rates'!$B$5:$B$1004,J$23,'AFA Rates'!$O$5:$O$1004,"&lt;&gt;Expired")&gt;0,"✓",IF(COUNTIFS('AFA Rates'!$A$5:$A$1004,$A570,'AFA Rates'!$B$5:$B$1004,J$23)&gt;0,"Exp","")))</f>
        <v/>
      </c>
      <c r="K570" s="79">
        <f>IF(OR($A570="",K$23=""),"",IF(COUNTIFS('AFA Rates'!$A$5:$A$1004,$A570,'AFA Rates'!$B$5:$B$1004,K$23,'AFA Rates'!$O$5:$O$1004,"&lt;&gt;Expired")&gt;0,"✓",IF(COUNTIFS('AFA Rates'!$A$5:$A$1004,$A570,'AFA Rates'!$B$5:$B$1004,K$23)&gt;0,"Exp","")))</f>
        <v/>
      </c>
      <c r="L570" s="79">
        <f>IF(OR($A570="",L$23=""),"",IF(COUNTIFS('AFA Rates'!$A$5:$A$1004,$A570,'AFA Rates'!$B$5:$B$1004,L$23,'AFA Rates'!$O$5:$O$1004,"&lt;&gt;Expired")&gt;0,"✓",IF(COUNTIFS('AFA Rates'!$A$5:$A$1004,$A570,'AFA Rates'!$B$5:$B$1004,L$23)&gt;0,"Exp","")))</f>
        <v/>
      </c>
      <c r="M570" s="79">
        <f>IF(OR($A570="",M$23=""),"",IF(COUNTIFS('AFA Rates'!$A$5:$A$1004,$A570,'AFA Rates'!$B$5:$B$1004,M$23,'AFA Rates'!$O$5:$O$1004,"&lt;&gt;Expired")&gt;0,"✓",IF(COUNTIFS('AFA Rates'!$A$5:$A$1004,$A570,'AFA Rates'!$B$5:$B$1004,M$23)&gt;0,"Exp","")))</f>
        <v/>
      </c>
    </row>
    <row r="571">
      <c r="A571" s="78">
        <f>IFERROR(INDEX(Firms!$A$5:$A$1004,MATCH(548,Firms!$V$5:$V$1004,0)),"")</f>
        <v/>
      </c>
      <c r="B571" s="79">
        <f>IF($A571="","",INDEX(Firms!$B$5:$B$1004,MATCH(548,Firms!$V$5:$V$1004,0)))</f>
        <v/>
      </c>
      <c r="C571" s="79">
        <f>IF($A571="","",COUNTIFS('AFA Rates'!$A$5:$A$1004,$A571,'AFA Rates'!$O$5:$O$1004,"&lt;&gt;Expired"))</f>
        <v/>
      </c>
      <c r="D571" s="79">
        <f>IF(OR($A571="",D$23=""),"",IF(COUNTIFS('AFA Rates'!$A$5:$A$1004,$A571,'AFA Rates'!$B$5:$B$1004,D$23,'AFA Rates'!$O$5:$O$1004,"&lt;&gt;Expired")&gt;0,"✓",IF(COUNTIFS('AFA Rates'!$A$5:$A$1004,$A571,'AFA Rates'!$B$5:$B$1004,D$23)&gt;0,"Exp","")))</f>
        <v/>
      </c>
      <c r="E571" s="79">
        <f>IF(OR($A571="",E$23=""),"",IF(COUNTIFS('AFA Rates'!$A$5:$A$1004,$A571,'AFA Rates'!$B$5:$B$1004,E$23,'AFA Rates'!$O$5:$O$1004,"&lt;&gt;Expired")&gt;0,"✓",IF(COUNTIFS('AFA Rates'!$A$5:$A$1004,$A571,'AFA Rates'!$B$5:$B$1004,E$23)&gt;0,"Exp","")))</f>
        <v/>
      </c>
      <c r="F571" s="79">
        <f>IF(OR($A571="",F$23=""),"",IF(COUNTIFS('AFA Rates'!$A$5:$A$1004,$A571,'AFA Rates'!$B$5:$B$1004,F$23,'AFA Rates'!$O$5:$O$1004,"&lt;&gt;Expired")&gt;0,"✓",IF(COUNTIFS('AFA Rates'!$A$5:$A$1004,$A571,'AFA Rates'!$B$5:$B$1004,F$23)&gt;0,"Exp","")))</f>
        <v/>
      </c>
      <c r="G571" s="79">
        <f>IF(OR($A571="",G$23=""),"",IF(COUNTIFS('AFA Rates'!$A$5:$A$1004,$A571,'AFA Rates'!$B$5:$B$1004,G$23,'AFA Rates'!$O$5:$O$1004,"&lt;&gt;Expired")&gt;0,"✓",IF(COUNTIFS('AFA Rates'!$A$5:$A$1004,$A571,'AFA Rates'!$B$5:$B$1004,G$23)&gt;0,"Exp","")))</f>
        <v/>
      </c>
      <c r="H571" s="79">
        <f>IF(OR($A571="",H$23=""),"",IF(COUNTIFS('AFA Rates'!$A$5:$A$1004,$A571,'AFA Rates'!$B$5:$B$1004,H$23,'AFA Rates'!$O$5:$O$1004,"&lt;&gt;Expired")&gt;0,"✓",IF(COUNTIFS('AFA Rates'!$A$5:$A$1004,$A571,'AFA Rates'!$B$5:$B$1004,H$23)&gt;0,"Exp","")))</f>
        <v/>
      </c>
      <c r="I571" s="79">
        <f>IF(OR($A571="",I$23=""),"",IF(COUNTIFS('AFA Rates'!$A$5:$A$1004,$A571,'AFA Rates'!$B$5:$B$1004,I$23,'AFA Rates'!$O$5:$O$1004,"&lt;&gt;Expired")&gt;0,"✓",IF(COUNTIFS('AFA Rates'!$A$5:$A$1004,$A571,'AFA Rates'!$B$5:$B$1004,I$23)&gt;0,"Exp","")))</f>
        <v/>
      </c>
      <c r="J571" s="79">
        <f>IF(OR($A571="",J$23=""),"",IF(COUNTIFS('AFA Rates'!$A$5:$A$1004,$A571,'AFA Rates'!$B$5:$B$1004,J$23,'AFA Rates'!$O$5:$O$1004,"&lt;&gt;Expired")&gt;0,"✓",IF(COUNTIFS('AFA Rates'!$A$5:$A$1004,$A571,'AFA Rates'!$B$5:$B$1004,J$23)&gt;0,"Exp","")))</f>
        <v/>
      </c>
      <c r="K571" s="79">
        <f>IF(OR($A571="",K$23=""),"",IF(COUNTIFS('AFA Rates'!$A$5:$A$1004,$A571,'AFA Rates'!$B$5:$B$1004,K$23,'AFA Rates'!$O$5:$O$1004,"&lt;&gt;Expired")&gt;0,"✓",IF(COUNTIFS('AFA Rates'!$A$5:$A$1004,$A571,'AFA Rates'!$B$5:$B$1004,K$23)&gt;0,"Exp","")))</f>
        <v/>
      </c>
      <c r="L571" s="79">
        <f>IF(OR($A571="",L$23=""),"",IF(COUNTIFS('AFA Rates'!$A$5:$A$1004,$A571,'AFA Rates'!$B$5:$B$1004,L$23,'AFA Rates'!$O$5:$O$1004,"&lt;&gt;Expired")&gt;0,"✓",IF(COUNTIFS('AFA Rates'!$A$5:$A$1004,$A571,'AFA Rates'!$B$5:$B$1004,L$23)&gt;0,"Exp","")))</f>
        <v/>
      </c>
      <c r="M571" s="79">
        <f>IF(OR($A571="",M$23=""),"",IF(COUNTIFS('AFA Rates'!$A$5:$A$1004,$A571,'AFA Rates'!$B$5:$B$1004,M$23,'AFA Rates'!$O$5:$O$1004,"&lt;&gt;Expired")&gt;0,"✓",IF(COUNTIFS('AFA Rates'!$A$5:$A$1004,$A571,'AFA Rates'!$B$5:$B$1004,M$23)&gt;0,"Exp","")))</f>
        <v/>
      </c>
    </row>
    <row r="572">
      <c r="A572" s="78">
        <f>IFERROR(INDEX(Firms!$A$5:$A$1004,MATCH(549,Firms!$V$5:$V$1004,0)),"")</f>
        <v/>
      </c>
      <c r="B572" s="79">
        <f>IF($A572="","",INDEX(Firms!$B$5:$B$1004,MATCH(549,Firms!$V$5:$V$1004,0)))</f>
        <v/>
      </c>
      <c r="C572" s="79">
        <f>IF($A572="","",COUNTIFS('AFA Rates'!$A$5:$A$1004,$A572,'AFA Rates'!$O$5:$O$1004,"&lt;&gt;Expired"))</f>
        <v/>
      </c>
      <c r="D572" s="79">
        <f>IF(OR($A572="",D$23=""),"",IF(COUNTIFS('AFA Rates'!$A$5:$A$1004,$A572,'AFA Rates'!$B$5:$B$1004,D$23,'AFA Rates'!$O$5:$O$1004,"&lt;&gt;Expired")&gt;0,"✓",IF(COUNTIFS('AFA Rates'!$A$5:$A$1004,$A572,'AFA Rates'!$B$5:$B$1004,D$23)&gt;0,"Exp","")))</f>
        <v/>
      </c>
      <c r="E572" s="79">
        <f>IF(OR($A572="",E$23=""),"",IF(COUNTIFS('AFA Rates'!$A$5:$A$1004,$A572,'AFA Rates'!$B$5:$B$1004,E$23,'AFA Rates'!$O$5:$O$1004,"&lt;&gt;Expired")&gt;0,"✓",IF(COUNTIFS('AFA Rates'!$A$5:$A$1004,$A572,'AFA Rates'!$B$5:$B$1004,E$23)&gt;0,"Exp","")))</f>
        <v/>
      </c>
      <c r="F572" s="79">
        <f>IF(OR($A572="",F$23=""),"",IF(COUNTIFS('AFA Rates'!$A$5:$A$1004,$A572,'AFA Rates'!$B$5:$B$1004,F$23,'AFA Rates'!$O$5:$O$1004,"&lt;&gt;Expired")&gt;0,"✓",IF(COUNTIFS('AFA Rates'!$A$5:$A$1004,$A572,'AFA Rates'!$B$5:$B$1004,F$23)&gt;0,"Exp","")))</f>
        <v/>
      </c>
      <c r="G572" s="79">
        <f>IF(OR($A572="",G$23=""),"",IF(COUNTIFS('AFA Rates'!$A$5:$A$1004,$A572,'AFA Rates'!$B$5:$B$1004,G$23,'AFA Rates'!$O$5:$O$1004,"&lt;&gt;Expired")&gt;0,"✓",IF(COUNTIFS('AFA Rates'!$A$5:$A$1004,$A572,'AFA Rates'!$B$5:$B$1004,G$23)&gt;0,"Exp","")))</f>
        <v/>
      </c>
      <c r="H572" s="79">
        <f>IF(OR($A572="",H$23=""),"",IF(COUNTIFS('AFA Rates'!$A$5:$A$1004,$A572,'AFA Rates'!$B$5:$B$1004,H$23,'AFA Rates'!$O$5:$O$1004,"&lt;&gt;Expired")&gt;0,"✓",IF(COUNTIFS('AFA Rates'!$A$5:$A$1004,$A572,'AFA Rates'!$B$5:$B$1004,H$23)&gt;0,"Exp","")))</f>
        <v/>
      </c>
      <c r="I572" s="79">
        <f>IF(OR($A572="",I$23=""),"",IF(COUNTIFS('AFA Rates'!$A$5:$A$1004,$A572,'AFA Rates'!$B$5:$B$1004,I$23,'AFA Rates'!$O$5:$O$1004,"&lt;&gt;Expired")&gt;0,"✓",IF(COUNTIFS('AFA Rates'!$A$5:$A$1004,$A572,'AFA Rates'!$B$5:$B$1004,I$23)&gt;0,"Exp","")))</f>
        <v/>
      </c>
      <c r="J572" s="79">
        <f>IF(OR($A572="",J$23=""),"",IF(COUNTIFS('AFA Rates'!$A$5:$A$1004,$A572,'AFA Rates'!$B$5:$B$1004,J$23,'AFA Rates'!$O$5:$O$1004,"&lt;&gt;Expired")&gt;0,"✓",IF(COUNTIFS('AFA Rates'!$A$5:$A$1004,$A572,'AFA Rates'!$B$5:$B$1004,J$23)&gt;0,"Exp","")))</f>
        <v/>
      </c>
      <c r="K572" s="79">
        <f>IF(OR($A572="",K$23=""),"",IF(COUNTIFS('AFA Rates'!$A$5:$A$1004,$A572,'AFA Rates'!$B$5:$B$1004,K$23,'AFA Rates'!$O$5:$O$1004,"&lt;&gt;Expired")&gt;0,"✓",IF(COUNTIFS('AFA Rates'!$A$5:$A$1004,$A572,'AFA Rates'!$B$5:$B$1004,K$23)&gt;0,"Exp","")))</f>
        <v/>
      </c>
      <c r="L572" s="79">
        <f>IF(OR($A572="",L$23=""),"",IF(COUNTIFS('AFA Rates'!$A$5:$A$1004,$A572,'AFA Rates'!$B$5:$B$1004,L$23,'AFA Rates'!$O$5:$O$1004,"&lt;&gt;Expired")&gt;0,"✓",IF(COUNTIFS('AFA Rates'!$A$5:$A$1004,$A572,'AFA Rates'!$B$5:$B$1004,L$23)&gt;0,"Exp","")))</f>
        <v/>
      </c>
      <c r="M572" s="79">
        <f>IF(OR($A572="",M$23=""),"",IF(COUNTIFS('AFA Rates'!$A$5:$A$1004,$A572,'AFA Rates'!$B$5:$B$1004,M$23,'AFA Rates'!$O$5:$O$1004,"&lt;&gt;Expired")&gt;0,"✓",IF(COUNTIFS('AFA Rates'!$A$5:$A$1004,$A572,'AFA Rates'!$B$5:$B$1004,M$23)&gt;0,"Exp","")))</f>
        <v/>
      </c>
    </row>
    <row r="573">
      <c r="A573" s="78">
        <f>IFERROR(INDEX(Firms!$A$5:$A$1004,MATCH(550,Firms!$V$5:$V$1004,0)),"")</f>
        <v/>
      </c>
      <c r="B573" s="79">
        <f>IF($A573="","",INDEX(Firms!$B$5:$B$1004,MATCH(550,Firms!$V$5:$V$1004,0)))</f>
        <v/>
      </c>
      <c r="C573" s="79">
        <f>IF($A573="","",COUNTIFS('AFA Rates'!$A$5:$A$1004,$A573,'AFA Rates'!$O$5:$O$1004,"&lt;&gt;Expired"))</f>
        <v/>
      </c>
      <c r="D573" s="79">
        <f>IF(OR($A573="",D$23=""),"",IF(COUNTIFS('AFA Rates'!$A$5:$A$1004,$A573,'AFA Rates'!$B$5:$B$1004,D$23,'AFA Rates'!$O$5:$O$1004,"&lt;&gt;Expired")&gt;0,"✓",IF(COUNTIFS('AFA Rates'!$A$5:$A$1004,$A573,'AFA Rates'!$B$5:$B$1004,D$23)&gt;0,"Exp","")))</f>
        <v/>
      </c>
      <c r="E573" s="79">
        <f>IF(OR($A573="",E$23=""),"",IF(COUNTIFS('AFA Rates'!$A$5:$A$1004,$A573,'AFA Rates'!$B$5:$B$1004,E$23,'AFA Rates'!$O$5:$O$1004,"&lt;&gt;Expired")&gt;0,"✓",IF(COUNTIFS('AFA Rates'!$A$5:$A$1004,$A573,'AFA Rates'!$B$5:$B$1004,E$23)&gt;0,"Exp","")))</f>
        <v/>
      </c>
      <c r="F573" s="79">
        <f>IF(OR($A573="",F$23=""),"",IF(COUNTIFS('AFA Rates'!$A$5:$A$1004,$A573,'AFA Rates'!$B$5:$B$1004,F$23,'AFA Rates'!$O$5:$O$1004,"&lt;&gt;Expired")&gt;0,"✓",IF(COUNTIFS('AFA Rates'!$A$5:$A$1004,$A573,'AFA Rates'!$B$5:$B$1004,F$23)&gt;0,"Exp","")))</f>
        <v/>
      </c>
      <c r="G573" s="79">
        <f>IF(OR($A573="",G$23=""),"",IF(COUNTIFS('AFA Rates'!$A$5:$A$1004,$A573,'AFA Rates'!$B$5:$B$1004,G$23,'AFA Rates'!$O$5:$O$1004,"&lt;&gt;Expired")&gt;0,"✓",IF(COUNTIFS('AFA Rates'!$A$5:$A$1004,$A573,'AFA Rates'!$B$5:$B$1004,G$23)&gt;0,"Exp","")))</f>
        <v/>
      </c>
      <c r="H573" s="79">
        <f>IF(OR($A573="",H$23=""),"",IF(COUNTIFS('AFA Rates'!$A$5:$A$1004,$A573,'AFA Rates'!$B$5:$B$1004,H$23,'AFA Rates'!$O$5:$O$1004,"&lt;&gt;Expired")&gt;0,"✓",IF(COUNTIFS('AFA Rates'!$A$5:$A$1004,$A573,'AFA Rates'!$B$5:$B$1004,H$23)&gt;0,"Exp","")))</f>
        <v/>
      </c>
      <c r="I573" s="79">
        <f>IF(OR($A573="",I$23=""),"",IF(COUNTIFS('AFA Rates'!$A$5:$A$1004,$A573,'AFA Rates'!$B$5:$B$1004,I$23,'AFA Rates'!$O$5:$O$1004,"&lt;&gt;Expired")&gt;0,"✓",IF(COUNTIFS('AFA Rates'!$A$5:$A$1004,$A573,'AFA Rates'!$B$5:$B$1004,I$23)&gt;0,"Exp","")))</f>
        <v/>
      </c>
      <c r="J573" s="79">
        <f>IF(OR($A573="",J$23=""),"",IF(COUNTIFS('AFA Rates'!$A$5:$A$1004,$A573,'AFA Rates'!$B$5:$B$1004,J$23,'AFA Rates'!$O$5:$O$1004,"&lt;&gt;Expired")&gt;0,"✓",IF(COUNTIFS('AFA Rates'!$A$5:$A$1004,$A573,'AFA Rates'!$B$5:$B$1004,J$23)&gt;0,"Exp","")))</f>
        <v/>
      </c>
      <c r="K573" s="79">
        <f>IF(OR($A573="",K$23=""),"",IF(COUNTIFS('AFA Rates'!$A$5:$A$1004,$A573,'AFA Rates'!$B$5:$B$1004,K$23,'AFA Rates'!$O$5:$O$1004,"&lt;&gt;Expired")&gt;0,"✓",IF(COUNTIFS('AFA Rates'!$A$5:$A$1004,$A573,'AFA Rates'!$B$5:$B$1004,K$23)&gt;0,"Exp","")))</f>
        <v/>
      </c>
      <c r="L573" s="79">
        <f>IF(OR($A573="",L$23=""),"",IF(COUNTIFS('AFA Rates'!$A$5:$A$1004,$A573,'AFA Rates'!$B$5:$B$1004,L$23,'AFA Rates'!$O$5:$O$1004,"&lt;&gt;Expired")&gt;0,"✓",IF(COUNTIFS('AFA Rates'!$A$5:$A$1004,$A573,'AFA Rates'!$B$5:$B$1004,L$23)&gt;0,"Exp","")))</f>
        <v/>
      </c>
      <c r="M573" s="79">
        <f>IF(OR($A573="",M$23=""),"",IF(COUNTIFS('AFA Rates'!$A$5:$A$1004,$A573,'AFA Rates'!$B$5:$B$1004,M$23,'AFA Rates'!$O$5:$O$1004,"&lt;&gt;Expired")&gt;0,"✓",IF(COUNTIFS('AFA Rates'!$A$5:$A$1004,$A573,'AFA Rates'!$B$5:$B$1004,M$23)&gt;0,"Exp","")))</f>
        <v/>
      </c>
    </row>
    <row r="574">
      <c r="A574" s="78">
        <f>IFERROR(INDEX(Firms!$A$5:$A$1004,MATCH(551,Firms!$V$5:$V$1004,0)),"")</f>
        <v/>
      </c>
      <c r="B574" s="79">
        <f>IF($A574="","",INDEX(Firms!$B$5:$B$1004,MATCH(551,Firms!$V$5:$V$1004,0)))</f>
        <v/>
      </c>
      <c r="C574" s="79">
        <f>IF($A574="","",COUNTIFS('AFA Rates'!$A$5:$A$1004,$A574,'AFA Rates'!$O$5:$O$1004,"&lt;&gt;Expired"))</f>
        <v/>
      </c>
      <c r="D574" s="79">
        <f>IF(OR($A574="",D$23=""),"",IF(COUNTIFS('AFA Rates'!$A$5:$A$1004,$A574,'AFA Rates'!$B$5:$B$1004,D$23,'AFA Rates'!$O$5:$O$1004,"&lt;&gt;Expired")&gt;0,"✓",IF(COUNTIFS('AFA Rates'!$A$5:$A$1004,$A574,'AFA Rates'!$B$5:$B$1004,D$23)&gt;0,"Exp","")))</f>
        <v/>
      </c>
      <c r="E574" s="79">
        <f>IF(OR($A574="",E$23=""),"",IF(COUNTIFS('AFA Rates'!$A$5:$A$1004,$A574,'AFA Rates'!$B$5:$B$1004,E$23,'AFA Rates'!$O$5:$O$1004,"&lt;&gt;Expired")&gt;0,"✓",IF(COUNTIFS('AFA Rates'!$A$5:$A$1004,$A574,'AFA Rates'!$B$5:$B$1004,E$23)&gt;0,"Exp","")))</f>
        <v/>
      </c>
      <c r="F574" s="79">
        <f>IF(OR($A574="",F$23=""),"",IF(COUNTIFS('AFA Rates'!$A$5:$A$1004,$A574,'AFA Rates'!$B$5:$B$1004,F$23,'AFA Rates'!$O$5:$O$1004,"&lt;&gt;Expired")&gt;0,"✓",IF(COUNTIFS('AFA Rates'!$A$5:$A$1004,$A574,'AFA Rates'!$B$5:$B$1004,F$23)&gt;0,"Exp","")))</f>
        <v/>
      </c>
      <c r="G574" s="79">
        <f>IF(OR($A574="",G$23=""),"",IF(COUNTIFS('AFA Rates'!$A$5:$A$1004,$A574,'AFA Rates'!$B$5:$B$1004,G$23,'AFA Rates'!$O$5:$O$1004,"&lt;&gt;Expired")&gt;0,"✓",IF(COUNTIFS('AFA Rates'!$A$5:$A$1004,$A574,'AFA Rates'!$B$5:$B$1004,G$23)&gt;0,"Exp","")))</f>
        <v/>
      </c>
      <c r="H574" s="79">
        <f>IF(OR($A574="",H$23=""),"",IF(COUNTIFS('AFA Rates'!$A$5:$A$1004,$A574,'AFA Rates'!$B$5:$B$1004,H$23,'AFA Rates'!$O$5:$O$1004,"&lt;&gt;Expired")&gt;0,"✓",IF(COUNTIFS('AFA Rates'!$A$5:$A$1004,$A574,'AFA Rates'!$B$5:$B$1004,H$23)&gt;0,"Exp","")))</f>
        <v/>
      </c>
      <c r="I574" s="79">
        <f>IF(OR($A574="",I$23=""),"",IF(COUNTIFS('AFA Rates'!$A$5:$A$1004,$A574,'AFA Rates'!$B$5:$B$1004,I$23,'AFA Rates'!$O$5:$O$1004,"&lt;&gt;Expired")&gt;0,"✓",IF(COUNTIFS('AFA Rates'!$A$5:$A$1004,$A574,'AFA Rates'!$B$5:$B$1004,I$23)&gt;0,"Exp","")))</f>
        <v/>
      </c>
      <c r="J574" s="79">
        <f>IF(OR($A574="",J$23=""),"",IF(COUNTIFS('AFA Rates'!$A$5:$A$1004,$A574,'AFA Rates'!$B$5:$B$1004,J$23,'AFA Rates'!$O$5:$O$1004,"&lt;&gt;Expired")&gt;0,"✓",IF(COUNTIFS('AFA Rates'!$A$5:$A$1004,$A574,'AFA Rates'!$B$5:$B$1004,J$23)&gt;0,"Exp","")))</f>
        <v/>
      </c>
      <c r="K574" s="79">
        <f>IF(OR($A574="",K$23=""),"",IF(COUNTIFS('AFA Rates'!$A$5:$A$1004,$A574,'AFA Rates'!$B$5:$B$1004,K$23,'AFA Rates'!$O$5:$O$1004,"&lt;&gt;Expired")&gt;0,"✓",IF(COUNTIFS('AFA Rates'!$A$5:$A$1004,$A574,'AFA Rates'!$B$5:$B$1004,K$23)&gt;0,"Exp","")))</f>
        <v/>
      </c>
      <c r="L574" s="79">
        <f>IF(OR($A574="",L$23=""),"",IF(COUNTIFS('AFA Rates'!$A$5:$A$1004,$A574,'AFA Rates'!$B$5:$B$1004,L$23,'AFA Rates'!$O$5:$O$1004,"&lt;&gt;Expired")&gt;0,"✓",IF(COUNTIFS('AFA Rates'!$A$5:$A$1004,$A574,'AFA Rates'!$B$5:$B$1004,L$23)&gt;0,"Exp","")))</f>
        <v/>
      </c>
      <c r="M574" s="79">
        <f>IF(OR($A574="",M$23=""),"",IF(COUNTIFS('AFA Rates'!$A$5:$A$1004,$A574,'AFA Rates'!$B$5:$B$1004,M$23,'AFA Rates'!$O$5:$O$1004,"&lt;&gt;Expired")&gt;0,"✓",IF(COUNTIFS('AFA Rates'!$A$5:$A$1004,$A574,'AFA Rates'!$B$5:$B$1004,M$23)&gt;0,"Exp","")))</f>
        <v/>
      </c>
    </row>
    <row r="575">
      <c r="A575" s="78">
        <f>IFERROR(INDEX(Firms!$A$5:$A$1004,MATCH(552,Firms!$V$5:$V$1004,0)),"")</f>
        <v/>
      </c>
      <c r="B575" s="79">
        <f>IF($A575="","",INDEX(Firms!$B$5:$B$1004,MATCH(552,Firms!$V$5:$V$1004,0)))</f>
        <v/>
      </c>
      <c r="C575" s="79">
        <f>IF($A575="","",COUNTIFS('AFA Rates'!$A$5:$A$1004,$A575,'AFA Rates'!$O$5:$O$1004,"&lt;&gt;Expired"))</f>
        <v/>
      </c>
      <c r="D575" s="79">
        <f>IF(OR($A575="",D$23=""),"",IF(COUNTIFS('AFA Rates'!$A$5:$A$1004,$A575,'AFA Rates'!$B$5:$B$1004,D$23,'AFA Rates'!$O$5:$O$1004,"&lt;&gt;Expired")&gt;0,"✓",IF(COUNTIFS('AFA Rates'!$A$5:$A$1004,$A575,'AFA Rates'!$B$5:$B$1004,D$23)&gt;0,"Exp","")))</f>
        <v/>
      </c>
      <c r="E575" s="79">
        <f>IF(OR($A575="",E$23=""),"",IF(COUNTIFS('AFA Rates'!$A$5:$A$1004,$A575,'AFA Rates'!$B$5:$B$1004,E$23,'AFA Rates'!$O$5:$O$1004,"&lt;&gt;Expired")&gt;0,"✓",IF(COUNTIFS('AFA Rates'!$A$5:$A$1004,$A575,'AFA Rates'!$B$5:$B$1004,E$23)&gt;0,"Exp","")))</f>
        <v/>
      </c>
      <c r="F575" s="79">
        <f>IF(OR($A575="",F$23=""),"",IF(COUNTIFS('AFA Rates'!$A$5:$A$1004,$A575,'AFA Rates'!$B$5:$B$1004,F$23,'AFA Rates'!$O$5:$O$1004,"&lt;&gt;Expired")&gt;0,"✓",IF(COUNTIFS('AFA Rates'!$A$5:$A$1004,$A575,'AFA Rates'!$B$5:$B$1004,F$23)&gt;0,"Exp","")))</f>
        <v/>
      </c>
      <c r="G575" s="79">
        <f>IF(OR($A575="",G$23=""),"",IF(COUNTIFS('AFA Rates'!$A$5:$A$1004,$A575,'AFA Rates'!$B$5:$B$1004,G$23,'AFA Rates'!$O$5:$O$1004,"&lt;&gt;Expired")&gt;0,"✓",IF(COUNTIFS('AFA Rates'!$A$5:$A$1004,$A575,'AFA Rates'!$B$5:$B$1004,G$23)&gt;0,"Exp","")))</f>
        <v/>
      </c>
      <c r="H575" s="79">
        <f>IF(OR($A575="",H$23=""),"",IF(COUNTIFS('AFA Rates'!$A$5:$A$1004,$A575,'AFA Rates'!$B$5:$B$1004,H$23,'AFA Rates'!$O$5:$O$1004,"&lt;&gt;Expired")&gt;0,"✓",IF(COUNTIFS('AFA Rates'!$A$5:$A$1004,$A575,'AFA Rates'!$B$5:$B$1004,H$23)&gt;0,"Exp","")))</f>
        <v/>
      </c>
      <c r="I575" s="79">
        <f>IF(OR($A575="",I$23=""),"",IF(COUNTIFS('AFA Rates'!$A$5:$A$1004,$A575,'AFA Rates'!$B$5:$B$1004,I$23,'AFA Rates'!$O$5:$O$1004,"&lt;&gt;Expired")&gt;0,"✓",IF(COUNTIFS('AFA Rates'!$A$5:$A$1004,$A575,'AFA Rates'!$B$5:$B$1004,I$23)&gt;0,"Exp","")))</f>
        <v/>
      </c>
      <c r="J575" s="79">
        <f>IF(OR($A575="",J$23=""),"",IF(COUNTIFS('AFA Rates'!$A$5:$A$1004,$A575,'AFA Rates'!$B$5:$B$1004,J$23,'AFA Rates'!$O$5:$O$1004,"&lt;&gt;Expired")&gt;0,"✓",IF(COUNTIFS('AFA Rates'!$A$5:$A$1004,$A575,'AFA Rates'!$B$5:$B$1004,J$23)&gt;0,"Exp","")))</f>
        <v/>
      </c>
      <c r="K575" s="79">
        <f>IF(OR($A575="",K$23=""),"",IF(COUNTIFS('AFA Rates'!$A$5:$A$1004,$A575,'AFA Rates'!$B$5:$B$1004,K$23,'AFA Rates'!$O$5:$O$1004,"&lt;&gt;Expired")&gt;0,"✓",IF(COUNTIFS('AFA Rates'!$A$5:$A$1004,$A575,'AFA Rates'!$B$5:$B$1004,K$23)&gt;0,"Exp","")))</f>
        <v/>
      </c>
      <c r="L575" s="79">
        <f>IF(OR($A575="",L$23=""),"",IF(COUNTIFS('AFA Rates'!$A$5:$A$1004,$A575,'AFA Rates'!$B$5:$B$1004,L$23,'AFA Rates'!$O$5:$O$1004,"&lt;&gt;Expired")&gt;0,"✓",IF(COUNTIFS('AFA Rates'!$A$5:$A$1004,$A575,'AFA Rates'!$B$5:$B$1004,L$23)&gt;0,"Exp","")))</f>
        <v/>
      </c>
      <c r="M575" s="79">
        <f>IF(OR($A575="",M$23=""),"",IF(COUNTIFS('AFA Rates'!$A$5:$A$1004,$A575,'AFA Rates'!$B$5:$B$1004,M$23,'AFA Rates'!$O$5:$O$1004,"&lt;&gt;Expired")&gt;0,"✓",IF(COUNTIFS('AFA Rates'!$A$5:$A$1004,$A575,'AFA Rates'!$B$5:$B$1004,M$23)&gt;0,"Exp","")))</f>
        <v/>
      </c>
    </row>
    <row r="576">
      <c r="A576" s="78">
        <f>IFERROR(INDEX(Firms!$A$5:$A$1004,MATCH(553,Firms!$V$5:$V$1004,0)),"")</f>
        <v/>
      </c>
      <c r="B576" s="79">
        <f>IF($A576="","",INDEX(Firms!$B$5:$B$1004,MATCH(553,Firms!$V$5:$V$1004,0)))</f>
        <v/>
      </c>
      <c r="C576" s="79">
        <f>IF($A576="","",COUNTIFS('AFA Rates'!$A$5:$A$1004,$A576,'AFA Rates'!$O$5:$O$1004,"&lt;&gt;Expired"))</f>
        <v/>
      </c>
      <c r="D576" s="79">
        <f>IF(OR($A576="",D$23=""),"",IF(COUNTIFS('AFA Rates'!$A$5:$A$1004,$A576,'AFA Rates'!$B$5:$B$1004,D$23,'AFA Rates'!$O$5:$O$1004,"&lt;&gt;Expired")&gt;0,"✓",IF(COUNTIFS('AFA Rates'!$A$5:$A$1004,$A576,'AFA Rates'!$B$5:$B$1004,D$23)&gt;0,"Exp","")))</f>
        <v/>
      </c>
      <c r="E576" s="79">
        <f>IF(OR($A576="",E$23=""),"",IF(COUNTIFS('AFA Rates'!$A$5:$A$1004,$A576,'AFA Rates'!$B$5:$B$1004,E$23,'AFA Rates'!$O$5:$O$1004,"&lt;&gt;Expired")&gt;0,"✓",IF(COUNTIFS('AFA Rates'!$A$5:$A$1004,$A576,'AFA Rates'!$B$5:$B$1004,E$23)&gt;0,"Exp","")))</f>
        <v/>
      </c>
      <c r="F576" s="79">
        <f>IF(OR($A576="",F$23=""),"",IF(COUNTIFS('AFA Rates'!$A$5:$A$1004,$A576,'AFA Rates'!$B$5:$B$1004,F$23,'AFA Rates'!$O$5:$O$1004,"&lt;&gt;Expired")&gt;0,"✓",IF(COUNTIFS('AFA Rates'!$A$5:$A$1004,$A576,'AFA Rates'!$B$5:$B$1004,F$23)&gt;0,"Exp","")))</f>
        <v/>
      </c>
      <c r="G576" s="79">
        <f>IF(OR($A576="",G$23=""),"",IF(COUNTIFS('AFA Rates'!$A$5:$A$1004,$A576,'AFA Rates'!$B$5:$B$1004,G$23,'AFA Rates'!$O$5:$O$1004,"&lt;&gt;Expired")&gt;0,"✓",IF(COUNTIFS('AFA Rates'!$A$5:$A$1004,$A576,'AFA Rates'!$B$5:$B$1004,G$23)&gt;0,"Exp","")))</f>
        <v/>
      </c>
      <c r="H576" s="79">
        <f>IF(OR($A576="",H$23=""),"",IF(COUNTIFS('AFA Rates'!$A$5:$A$1004,$A576,'AFA Rates'!$B$5:$B$1004,H$23,'AFA Rates'!$O$5:$O$1004,"&lt;&gt;Expired")&gt;0,"✓",IF(COUNTIFS('AFA Rates'!$A$5:$A$1004,$A576,'AFA Rates'!$B$5:$B$1004,H$23)&gt;0,"Exp","")))</f>
        <v/>
      </c>
      <c r="I576" s="79">
        <f>IF(OR($A576="",I$23=""),"",IF(COUNTIFS('AFA Rates'!$A$5:$A$1004,$A576,'AFA Rates'!$B$5:$B$1004,I$23,'AFA Rates'!$O$5:$O$1004,"&lt;&gt;Expired")&gt;0,"✓",IF(COUNTIFS('AFA Rates'!$A$5:$A$1004,$A576,'AFA Rates'!$B$5:$B$1004,I$23)&gt;0,"Exp","")))</f>
        <v/>
      </c>
      <c r="J576" s="79">
        <f>IF(OR($A576="",J$23=""),"",IF(COUNTIFS('AFA Rates'!$A$5:$A$1004,$A576,'AFA Rates'!$B$5:$B$1004,J$23,'AFA Rates'!$O$5:$O$1004,"&lt;&gt;Expired")&gt;0,"✓",IF(COUNTIFS('AFA Rates'!$A$5:$A$1004,$A576,'AFA Rates'!$B$5:$B$1004,J$23)&gt;0,"Exp","")))</f>
        <v/>
      </c>
      <c r="K576" s="79">
        <f>IF(OR($A576="",K$23=""),"",IF(COUNTIFS('AFA Rates'!$A$5:$A$1004,$A576,'AFA Rates'!$B$5:$B$1004,K$23,'AFA Rates'!$O$5:$O$1004,"&lt;&gt;Expired")&gt;0,"✓",IF(COUNTIFS('AFA Rates'!$A$5:$A$1004,$A576,'AFA Rates'!$B$5:$B$1004,K$23)&gt;0,"Exp","")))</f>
        <v/>
      </c>
      <c r="L576" s="79">
        <f>IF(OR($A576="",L$23=""),"",IF(COUNTIFS('AFA Rates'!$A$5:$A$1004,$A576,'AFA Rates'!$B$5:$B$1004,L$23,'AFA Rates'!$O$5:$O$1004,"&lt;&gt;Expired")&gt;0,"✓",IF(COUNTIFS('AFA Rates'!$A$5:$A$1004,$A576,'AFA Rates'!$B$5:$B$1004,L$23)&gt;0,"Exp","")))</f>
        <v/>
      </c>
      <c r="M576" s="79">
        <f>IF(OR($A576="",M$23=""),"",IF(COUNTIFS('AFA Rates'!$A$5:$A$1004,$A576,'AFA Rates'!$B$5:$B$1004,M$23,'AFA Rates'!$O$5:$O$1004,"&lt;&gt;Expired")&gt;0,"✓",IF(COUNTIFS('AFA Rates'!$A$5:$A$1004,$A576,'AFA Rates'!$B$5:$B$1004,M$23)&gt;0,"Exp","")))</f>
        <v/>
      </c>
    </row>
    <row r="577">
      <c r="A577" s="78">
        <f>IFERROR(INDEX(Firms!$A$5:$A$1004,MATCH(554,Firms!$V$5:$V$1004,0)),"")</f>
        <v/>
      </c>
      <c r="B577" s="79">
        <f>IF($A577="","",INDEX(Firms!$B$5:$B$1004,MATCH(554,Firms!$V$5:$V$1004,0)))</f>
        <v/>
      </c>
      <c r="C577" s="79">
        <f>IF($A577="","",COUNTIFS('AFA Rates'!$A$5:$A$1004,$A577,'AFA Rates'!$O$5:$O$1004,"&lt;&gt;Expired"))</f>
        <v/>
      </c>
      <c r="D577" s="79">
        <f>IF(OR($A577="",D$23=""),"",IF(COUNTIFS('AFA Rates'!$A$5:$A$1004,$A577,'AFA Rates'!$B$5:$B$1004,D$23,'AFA Rates'!$O$5:$O$1004,"&lt;&gt;Expired")&gt;0,"✓",IF(COUNTIFS('AFA Rates'!$A$5:$A$1004,$A577,'AFA Rates'!$B$5:$B$1004,D$23)&gt;0,"Exp","")))</f>
        <v/>
      </c>
      <c r="E577" s="79">
        <f>IF(OR($A577="",E$23=""),"",IF(COUNTIFS('AFA Rates'!$A$5:$A$1004,$A577,'AFA Rates'!$B$5:$B$1004,E$23,'AFA Rates'!$O$5:$O$1004,"&lt;&gt;Expired")&gt;0,"✓",IF(COUNTIFS('AFA Rates'!$A$5:$A$1004,$A577,'AFA Rates'!$B$5:$B$1004,E$23)&gt;0,"Exp","")))</f>
        <v/>
      </c>
      <c r="F577" s="79">
        <f>IF(OR($A577="",F$23=""),"",IF(COUNTIFS('AFA Rates'!$A$5:$A$1004,$A577,'AFA Rates'!$B$5:$B$1004,F$23,'AFA Rates'!$O$5:$O$1004,"&lt;&gt;Expired")&gt;0,"✓",IF(COUNTIFS('AFA Rates'!$A$5:$A$1004,$A577,'AFA Rates'!$B$5:$B$1004,F$23)&gt;0,"Exp","")))</f>
        <v/>
      </c>
      <c r="G577" s="79">
        <f>IF(OR($A577="",G$23=""),"",IF(COUNTIFS('AFA Rates'!$A$5:$A$1004,$A577,'AFA Rates'!$B$5:$B$1004,G$23,'AFA Rates'!$O$5:$O$1004,"&lt;&gt;Expired")&gt;0,"✓",IF(COUNTIFS('AFA Rates'!$A$5:$A$1004,$A577,'AFA Rates'!$B$5:$B$1004,G$23)&gt;0,"Exp","")))</f>
        <v/>
      </c>
      <c r="H577" s="79">
        <f>IF(OR($A577="",H$23=""),"",IF(COUNTIFS('AFA Rates'!$A$5:$A$1004,$A577,'AFA Rates'!$B$5:$B$1004,H$23,'AFA Rates'!$O$5:$O$1004,"&lt;&gt;Expired")&gt;0,"✓",IF(COUNTIFS('AFA Rates'!$A$5:$A$1004,$A577,'AFA Rates'!$B$5:$B$1004,H$23)&gt;0,"Exp","")))</f>
        <v/>
      </c>
      <c r="I577" s="79">
        <f>IF(OR($A577="",I$23=""),"",IF(COUNTIFS('AFA Rates'!$A$5:$A$1004,$A577,'AFA Rates'!$B$5:$B$1004,I$23,'AFA Rates'!$O$5:$O$1004,"&lt;&gt;Expired")&gt;0,"✓",IF(COUNTIFS('AFA Rates'!$A$5:$A$1004,$A577,'AFA Rates'!$B$5:$B$1004,I$23)&gt;0,"Exp","")))</f>
        <v/>
      </c>
      <c r="J577" s="79">
        <f>IF(OR($A577="",J$23=""),"",IF(COUNTIFS('AFA Rates'!$A$5:$A$1004,$A577,'AFA Rates'!$B$5:$B$1004,J$23,'AFA Rates'!$O$5:$O$1004,"&lt;&gt;Expired")&gt;0,"✓",IF(COUNTIFS('AFA Rates'!$A$5:$A$1004,$A577,'AFA Rates'!$B$5:$B$1004,J$23)&gt;0,"Exp","")))</f>
        <v/>
      </c>
      <c r="K577" s="79">
        <f>IF(OR($A577="",K$23=""),"",IF(COUNTIFS('AFA Rates'!$A$5:$A$1004,$A577,'AFA Rates'!$B$5:$B$1004,K$23,'AFA Rates'!$O$5:$O$1004,"&lt;&gt;Expired")&gt;0,"✓",IF(COUNTIFS('AFA Rates'!$A$5:$A$1004,$A577,'AFA Rates'!$B$5:$B$1004,K$23)&gt;0,"Exp","")))</f>
        <v/>
      </c>
      <c r="L577" s="79">
        <f>IF(OR($A577="",L$23=""),"",IF(COUNTIFS('AFA Rates'!$A$5:$A$1004,$A577,'AFA Rates'!$B$5:$B$1004,L$23,'AFA Rates'!$O$5:$O$1004,"&lt;&gt;Expired")&gt;0,"✓",IF(COUNTIFS('AFA Rates'!$A$5:$A$1004,$A577,'AFA Rates'!$B$5:$B$1004,L$23)&gt;0,"Exp","")))</f>
        <v/>
      </c>
      <c r="M577" s="79">
        <f>IF(OR($A577="",M$23=""),"",IF(COUNTIFS('AFA Rates'!$A$5:$A$1004,$A577,'AFA Rates'!$B$5:$B$1004,M$23,'AFA Rates'!$O$5:$O$1004,"&lt;&gt;Expired")&gt;0,"✓",IF(COUNTIFS('AFA Rates'!$A$5:$A$1004,$A577,'AFA Rates'!$B$5:$B$1004,M$23)&gt;0,"Exp","")))</f>
        <v/>
      </c>
    </row>
    <row r="578">
      <c r="A578" s="78">
        <f>IFERROR(INDEX(Firms!$A$5:$A$1004,MATCH(555,Firms!$V$5:$V$1004,0)),"")</f>
        <v/>
      </c>
      <c r="B578" s="79">
        <f>IF($A578="","",INDEX(Firms!$B$5:$B$1004,MATCH(555,Firms!$V$5:$V$1004,0)))</f>
        <v/>
      </c>
      <c r="C578" s="79">
        <f>IF($A578="","",COUNTIFS('AFA Rates'!$A$5:$A$1004,$A578,'AFA Rates'!$O$5:$O$1004,"&lt;&gt;Expired"))</f>
        <v/>
      </c>
      <c r="D578" s="79">
        <f>IF(OR($A578="",D$23=""),"",IF(COUNTIFS('AFA Rates'!$A$5:$A$1004,$A578,'AFA Rates'!$B$5:$B$1004,D$23,'AFA Rates'!$O$5:$O$1004,"&lt;&gt;Expired")&gt;0,"✓",IF(COUNTIFS('AFA Rates'!$A$5:$A$1004,$A578,'AFA Rates'!$B$5:$B$1004,D$23)&gt;0,"Exp","")))</f>
        <v/>
      </c>
      <c r="E578" s="79">
        <f>IF(OR($A578="",E$23=""),"",IF(COUNTIFS('AFA Rates'!$A$5:$A$1004,$A578,'AFA Rates'!$B$5:$B$1004,E$23,'AFA Rates'!$O$5:$O$1004,"&lt;&gt;Expired")&gt;0,"✓",IF(COUNTIFS('AFA Rates'!$A$5:$A$1004,$A578,'AFA Rates'!$B$5:$B$1004,E$23)&gt;0,"Exp","")))</f>
        <v/>
      </c>
      <c r="F578" s="79">
        <f>IF(OR($A578="",F$23=""),"",IF(COUNTIFS('AFA Rates'!$A$5:$A$1004,$A578,'AFA Rates'!$B$5:$B$1004,F$23,'AFA Rates'!$O$5:$O$1004,"&lt;&gt;Expired")&gt;0,"✓",IF(COUNTIFS('AFA Rates'!$A$5:$A$1004,$A578,'AFA Rates'!$B$5:$B$1004,F$23)&gt;0,"Exp","")))</f>
        <v/>
      </c>
      <c r="G578" s="79">
        <f>IF(OR($A578="",G$23=""),"",IF(COUNTIFS('AFA Rates'!$A$5:$A$1004,$A578,'AFA Rates'!$B$5:$B$1004,G$23,'AFA Rates'!$O$5:$O$1004,"&lt;&gt;Expired")&gt;0,"✓",IF(COUNTIFS('AFA Rates'!$A$5:$A$1004,$A578,'AFA Rates'!$B$5:$B$1004,G$23)&gt;0,"Exp","")))</f>
        <v/>
      </c>
      <c r="H578" s="79">
        <f>IF(OR($A578="",H$23=""),"",IF(COUNTIFS('AFA Rates'!$A$5:$A$1004,$A578,'AFA Rates'!$B$5:$B$1004,H$23,'AFA Rates'!$O$5:$O$1004,"&lt;&gt;Expired")&gt;0,"✓",IF(COUNTIFS('AFA Rates'!$A$5:$A$1004,$A578,'AFA Rates'!$B$5:$B$1004,H$23)&gt;0,"Exp","")))</f>
        <v/>
      </c>
      <c r="I578" s="79">
        <f>IF(OR($A578="",I$23=""),"",IF(COUNTIFS('AFA Rates'!$A$5:$A$1004,$A578,'AFA Rates'!$B$5:$B$1004,I$23,'AFA Rates'!$O$5:$O$1004,"&lt;&gt;Expired")&gt;0,"✓",IF(COUNTIFS('AFA Rates'!$A$5:$A$1004,$A578,'AFA Rates'!$B$5:$B$1004,I$23)&gt;0,"Exp","")))</f>
        <v/>
      </c>
      <c r="J578" s="79">
        <f>IF(OR($A578="",J$23=""),"",IF(COUNTIFS('AFA Rates'!$A$5:$A$1004,$A578,'AFA Rates'!$B$5:$B$1004,J$23,'AFA Rates'!$O$5:$O$1004,"&lt;&gt;Expired")&gt;0,"✓",IF(COUNTIFS('AFA Rates'!$A$5:$A$1004,$A578,'AFA Rates'!$B$5:$B$1004,J$23)&gt;0,"Exp","")))</f>
        <v/>
      </c>
      <c r="K578" s="79">
        <f>IF(OR($A578="",K$23=""),"",IF(COUNTIFS('AFA Rates'!$A$5:$A$1004,$A578,'AFA Rates'!$B$5:$B$1004,K$23,'AFA Rates'!$O$5:$O$1004,"&lt;&gt;Expired")&gt;0,"✓",IF(COUNTIFS('AFA Rates'!$A$5:$A$1004,$A578,'AFA Rates'!$B$5:$B$1004,K$23)&gt;0,"Exp","")))</f>
        <v/>
      </c>
      <c r="L578" s="79">
        <f>IF(OR($A578="",L$23=""),"",IF(COUNTIFS('AFA Rates'!$A$5:$A$1004,$A578,'AFA Rates'!$B$5:$B$1004,L$23,'AFA Rates'!$O$5:$O$1004,"&lt;&gt;Expired")&gt;0,"✓",IF(COUNTIFS('AFA Rates'!$A$5:$A$1004,$A578,'AFA Rates'!$B$5:$B$1004,L$23)&gt;0,"Exp","")))</f>
        <v/>
      </c>
      <c r="M578" s="79">
        <f>IF(OR($A578="",M$23=""),"",IF(COUNTIFS('AFA Rates'!$A$5:$A$1004,$A578,'AFA Rates'!$B$5:$B$1004,M$23,'AFA Rates'!$O$5:$O$1004,"&lt;&gt;Expired")&gt;0,"✓",IF(COUNTIFS('AFA Rates'!$A$5:$A$1004,$A578,'AFA Rates'!$B$5:$B$1004,M$23)&gt;0,"Exp","")))</f>
        <v/>
      </c>
    </row>
    <row r="579">
      <c r="A579" s="78">
        <f>IFERROR(INDEX(Firms!$A$5:$A$1004,MATCH(556,Firms!$V$5:$V$1004,0)),"")</f>
        <v/>
      </c>
      <c r="B579" s="79">
        <f>IF($A579="","",INDEX(Firms!$B$5:$B$1004,MATCH(556,Firms!$V$5:$V$1004,0)))</f>
        <v/>
      </c>
      <c r="C579" s="79">
        <f>IF($A579="","",COUNTIFS('AFA Rates'!$A$5:$A$1004,$A579,'AFA Rates'!$O$5:$O$1004,"&lt;&gt;Expired"))</f>
        <v/>
      </c>
      <c r="D579" s="79">
        <f>IF(OR($A579="",D$23=""),"",IF(COUNTIFS('AFA Rates'!$A$5:$A$1004,$A579,'AFA Rates'!$B$5:$B$1004,D$23,'AFA Rates'!$O$5:$O$1004,"&lt;&gt;Expired")&gt;0,"✓",IF(COUNTIFS('AFA Rates'!$A$5:$A$1004,$A579,'AFA Rates'!$B$5:$B$1004,D$23)&gt;0,"Exp","")))</f>
        <v/>
      </c>
      <c r="E579" s="79">
        <f>IF(OR($A579="",E$23=""),"",IF(COUNTIFS('AFA Rates'!$A$5:$A$1004,$A579,'AFA Rates'!$B$5:$B$1004,E$23,'AFA Rates'!$O$5:$O$1004,"&lt;&gt;Expired")&gt;0,"✓",IF(COUNTIFS('AFA Rates'!$A$5:$A$1004,$A579,'AFA Rates'!$B$5:$B$1004,E$23)&gt;0,"Exp","")))</f>
        <v/>
      </c>
      <c r="F579" s="79">
        <f>IF(OR($A579="",F$23=""),"",IF(COUNTIFS('AFA Rates'!$A$5:$A$1004,$A579,'AFA Rates'!$B$5:$B$1004,F$23,'AFA Rates'!$O$5:$O$1004,"&lt;&gt;Expired")&gt;0,"✓",IF(COUNTIFS('AFA Rates'!$A$5:$A$1004,$A579,'AFA Rates'!$B$5:$B$1004,F$23)&gt;0,"Exp","")))</f>
        <v/>
      </c>
      <c r="G579" s="79">
        <f>IF(OR($A579="",G$23=""),"",IF(COUNTIFS('AFA Rates'!$A$5:$A$1004,$A579,'AFA Rates'!$B$5:$B$1004,G$23,'AFA Rates'!$O$5:$O$1004,"&lt;&gt;Expired")&gt;0,"✓",IF(COUNTIFS('AFA Rates'!$A$5:$A$1004,$A579,'AFA Rates'!$B$5:$B$1004,G$23)&gt;0,"Exp","")))</f>
        <v/>
      </c>
      <c r="H579" s="79">
        <f>IF(OR($A579="",H$23=""),"",IF(COUNTIFS('AFA Rates'!$A$5:$A$1004,$A579,'AFA Rates'!$B$5:$B$1004,H$23,'AFA Rates'!$O$5:$O$1004,"&lt;&gt;Expired")&gt;0,"✓",IF(COUNTIFS('AFA Rates'!$A$5:$A$1004,$A579,'AFA Rates'!$B$5:$B$1004,H$23)&gt;0,"Exp","")))</f>
        <v/>
      </c>
      <c r="I579" s="79">
        <f>IF(OR($A579="",I$23=""),"",IF(COUNTIFS('AFA Rates'!$A$5:$A$1004,$A579,'AFA Rates'!$B$5:$B$1004,I$23,'AFA Rates'!$O$5:$O$1004,"&lt;&gt;Expired")&gt;0,"✓",IF(COUNTIFS('AFA Rates'!$A$5:$A$1004,$A579,'AFA Rates'!$B$5:$B$1004,I$23)&gt;0,"Exp","")))</f>
        <v/>
      </c>
      <c r="J579" s="79">
        <f>IF(OR($A579="",J$23=""),"",IF(COUNTIFS('AFA Rates'!$A$5:$A$1004,$A579,'AFA Rates'!$B$5:$B$1004,J$23,'AFA Rates'!$O$5:$O$1004,"&lt;&gt;Expired")&gt;0,"✓",IF(COUNTIFS('AFA Rates'!$A$5:$A$1004,$A579,'AFA Rates'!$B$5:$B$1004,J$23)&gt;0,"Exp","")))</f>
        <v/>
      </c>
      <c r="K579" s="79">
        <f>IF(OR($A579="",K$23=""),"",IF(COUNTIFS('AFA Rates'!$A$5:$A$1004,$A579,'AFA Rates'!$B$5:$B$1004,K$23,'AFA Rates'!$O$5:$O$1004,"&lt;&gt;Expired")&gt;0,"✓",IF(COUNTIFS('AFA Rates'!$A$5:$A$1004,$A579,'AFA Rates'!$B$5:$B$1004,K$23)&gt;0,"Exp","")))</f>
        <v/>
      </c>
      <c r="L579" s="79">
        <f>IF(OR($A579="",L$23=""),"",IF(COUNTIFS('AFA Rates'!$A$5:$A$1004,$A579,'AFA Rates'!$B$5:$B$1004,L$23,'AFA Rates'!$O$5:$O$1004,"&lt;&gt;Expired")&gt;0,"✓",IF(COUNTIFS('AFA Rates'!$A$5:$A$1004,$A579,'AFA Rates'!$B$5:$B$1004,L$23)&gt;0,"Exp","")))</f>
        <v/>
      </c>
      <c r="M579" s="79">
        <f>IF(OR($A579="",M$23=""),"",IF(COUNTIFS('AFA Rates'!$A$5:$A$1004,$A579,'AFA Rates'!$B$5:$B$1004,M$23,'AFA Rates'!$O$5:$O$1004,"&lt;&gt;Expired")&gt;0,"✓",IF(COUNTIFS('AFA Rates'!$A$5:$A$1004,$A579,'AFA Rates'!$B$5:$B$1004,M$23)&gt;0,"Exp","")))</f>
        <v/>
      </c>
    </row>
    <row r="580">
      <c r="A580" s="78">
        <f>IFERROR(INDEX(Firms!$A$5:$A$1004,MATCH(557,Firms!$V$5:$V$1004,0)),"")</f>
        <v/>
      </c>
      <c r="B580" s="79">
        <f>IF($A580="","",INDEX(Firms!$B$5:$B$1004,MATCH(557,Firms!$V$5:$V$1004,0)))</f>
        <v/>
      </c>
      <c r="C580" s="79">
        <f>IF($A580="","",COUNTIFS('AFA Rates'!$A$5:$A$1004,$A580,'AFA Rates'!$O$5:$O$1004,"&lt;&gt;Expired"))</f>
        <v/>
      </c>
      <c r="D580" s="79">
        <f>IF(OR($A580="",D$23=""),"",IF(COUNTIFS('AFA Rates'!$A$5:$A$1004,$A580,'AFA Rates'!$B$5:$B$1004,D$23,'AFA Rates'!$O$5:$O$1004,"&lt;&gt;Expired")&gt;0,"✓",IF(COUNTIFS('AFA Rates'!$A$5:$A$1004,$A580,'AFA Rates'!$B$5:$B$1004,D$23)&gt;0,"Exp","")))</f>
        <v/>
      </c>
      <c r="E580" s="79">
        <f>IF(OR($A580="",E$23=""),"",IF(COUNTIFS('AFA Rates'!$A$5:$A$1004,$A580,'AFA Rates'!$B$5:$B$1004,E$23,'AFA Rates'!$O$5:$O$1004,"&lt;&gt;Expired")&gt;0,"✓",IF(COUNTIFS('AFA Rates'!$A$5:$A$1004,$A580,'AFA Rates'!$B$5:$B$1004,E$23)&gt;0,"Exp","")))</f>
        <v/>
      </c>
      <c r="F580" s="79">
        <f>IF(OR($A580="",F$23=""),"",IF(COUNTIFS('AFA Rates'!$A$5:$A$1004,$A580,'AFA Rates'!$B$5:$B$1004,F$23,'AFA Rates'!$O$5:$O$1004,"&lt;&gt;Expired")&gt;0,"✓",IF(COUNTIFS('AFA Rates'!$A$5:$A$1004,$A580,'AFA Rates'!$B$5:$B$1004,F$23)&gt;0,"Exp","")))</f>
        <v/>
      </c>
      <c r="G580" s="79">
        <f>IF(OR($A580="",G$23=""),"",IF(COUNTIFS('AFA Rates'!$A$5:$A$1004,$A580,'AFA Rates'!$B$5:$B$1004,G$23,'AFA Rates'!$O$5:$O$1004,"&lt;&gt;Expired")&gt;0,"✓",IF(COUNTIFS('AFA Rates'!$A$5:$A$1004,$A580,'AFA Rates'!$B$5:$B$1004,G$23)&gt;0,"Exp","")))</f>
        <v/>
      </c>
      <c r="H580" s="79">
        <f>IF(OR($A580="",H$23=""),"",IF(COUNTIFS('AFA Rates'!$A$5:$A$1004,$A580,'AFA Rates'!$B$5:$B$1004,H$23,'AFA Rates'!$O$5:$O$1004,"&lt;&gt;Expired")&gt;0,"✓",IF(COUNTIFS('AFA Rates'!$A$5:$A$1004,$A580,'AFA Rates'!$B$5:$B$1004,H$23)&gt;0,"Exp","")))</f>
        <v/>
      </c>
      <c r="I580" s="79">
        <f>IF(OR($A580="",I$23=""),"",IF(COUNTIFS('AFA Rates'!$A$5:$A$1004,$A580,'AFA Rates'!$B$5:$B$1004,I$23,'AFA Rates'!$O$5:$O$1004,"&lt;&gt;Expired")&gt;0,"✓",IF(COUNTIFS('AFA Rates'!$A$5:$A$1004,$A580,'AFA Rates'!$B$5:$B$1004,I$23)&gt;0,"Exp","")))</f>
        <v/>
      </c>
      <c r="J580" s="79">
        <f>IF(OR($A580="",J$23=""),"",IF(COUNTIFS('AFA Rates'!$A$5:$A$1004,$A580,'AFA Rates'!$B$5:$B$1004,J$23,'AFA Rates'!$O$5:$O$1004,"&lt;&gt;Expired")&gt;0,"✓",IF(COUNTIFS('AFA Rates'!$A$5:$A$1004,$A580,'AFA Rates'!$B$5:$B$1004,J$23)&gt;0,"Exp","")))</f>
        <v/>
      </c>
      <c r="K580" s="79">
        <f>IF(OR($A580="",K$23=""),"",IF(COUNTIFS('AFA Rates'!$A$5:$A$1004,$A580,'AFA Rates'!$B$5:$B$1004,K$23,'AFA Rates'!$O$5:$O$1004,"&lt;&gt;Expired")&gt;0,"✓",IF(COUNTIFS('AFA Rates'!$A$5:$A$1004,$A580,'AFA Rates'!$B$5:$B$1004,K$23)&gt;0,"Exp","")))</f>
        <v/>
      </c>
      <c r="L580" s="79">
        <f>IF(OR($A580="",L$23=""),"",IF(COUNTIFS('AFA Rates'!$A$5:$A$1004,$A580,'AFA Rates'!$B$5:$B$1004,L$23,'AFA Rates'!$O$5:$O$1004,"&lt;&gt;Expired")&gt;0,"✓",IF(COUNTIFS('AFA Rates'!$A$5:$A$1004,$A580,'AFA Rates'!$B$5:$B$1004,L$23)&gt;0,"Exp","")))</f>
        <v/>
      </c>
      <c r="M580" s="79">
        <f>IF(OR($A580="",M$23=""),"",IF(COUNTIFS('AFA Rates'!$A$5:$A$1004,$A580,'AFA Rates'!$B$5:$B$1004,M$23,'AFA Rates'!$O$5:$O$1004,"&lt;&gt;Expired")&gt;0,"✓",IF(COUNTIFS('AFA Rates'!$A$5:$A$1004,$A580,'AFA Rates'!$B$5:$B$1004,M$23)&gt;0,"Exp","")))</f>
        <v/>
      </c>
    </row>
    <row r="581">
      <c r="A581" s="78">
        <f>IFERROR(INDEX(Firms!$A$5:$A$1004,MATCH(558,Firms!$V$5:$V$1004,0)),"")</f>
        <v/>
      </c>
      <c r="B581" s="79">
        <f>IF($A581="","",INDEX(Firms!$B$5:$B$1004,MATCH(558,Firms!$V$5:$V$1004,0)))</f>
        <v/>
      </c>
      <c r="C581" s="79">
        <f>IF($A581="","",COUNTIFS('AFA Rates'!$A$5:$A$1004,$A581,'AFA Rates'!$O$5:$O$1004,"&lt;&gt;Expired"))</f>
        <v/>
      </c>
      <c r="D581" s="79">
        <f>IF(OR($A581="",D$23=""),"",IF(COUNTIFS('AFA Rates'!$A$5:$A$1004,$A581,'AFA Rates'!$B$5:$B$1004,D$23,'AFA Rates'!$O$5:$O$1004,"&lt;&gt;Expired")&gt;0,"✓",IF(COUNTIFS('AFA Rates'!$A$5:$A$1004,$A581,'AFA Rates'!$B$5:$B$1004,D$23)&gt;0,"Exp","")))</f>
        <v/>
      </c>
      <c r="E581" s="79">
        <f>IF(OR($A581="",E$23=""),"",IF(COUNTIFS('AFA Rates'!$A$5:$A$1004,$A581,'AFA Rates'!$B$5:$B$1004,E$23,'AFA Rates'!$O$5:$O$1004,"&lt;&gt;Expired")&gt;0,"✓",IF(COUNTIFS('AFA Rates'!$A$5:$A$1004,$A581,'AFA Rates'!$B$5:$B$1004,E$23)&gt;0,"Exp","")))</f>
        <v/>
      </c>
      <c r="F581" s="79">
        <f>IF(OR($A581="",F$23=""),"",IF(COUNTIFS('AFA Rates'!$A$5:$A$1004,$A581,'AFA Rates'!$B$5:$B$1004,F$23,'AFA Rates'!$O$5:$O$1004,"&lt;&gt;Expired")&gt;0,"✓",IF(COUNTIFS('AFA Rates'!$A$5:$A$1004,$A581,'AFA Rates'!$B$5:$B$1004,F$23)&gt;0,"Exp","")))</f>
        <v/>
      </c>
      <c r="G581" s="79">
        <f>IF(OR($A581="",G$23=""),"",IF(COUNTIFS('AFA Rates'!$A$5:$A$1004,$A581,'AFA Rates'!$B$5:$B$1004,G$23,'AFA Rates'!$O$5:$O$1004,"&lt;&gt;Expired")&gt;0,"✓",IF(COUNTIFS('AFA Rates'!$A$5:$A$1004,$A581,'AFA Rates'!$B$5:$B$1004,G$23)&gt;0,"Exp","")))</f>
        <v/>
      </c>
      <c r="H581" s="79">
        <f>IF(OR($A581="",H$23=""),"",IF(COUNTIFS('AFA Rates'!$A$5:$A$1004,$A581,'AFA Rates'!$B$5:$B$1004,H$23,'AFA Rates'!$O$5:$O$1004,"&lt;&gt;Expired")&gt;0,"✓",IF(COUNTIFS('AFA Rates'!$A$5:$A$1004,$A581,'AFA Rates'!$B$5:$B$1004,H$23)&gt;0,"Exp","")))</f>
        <v/>
      </c>
      <c r="I581" s="79">
        <f>IF(OR($A581="",I$23=""),"",IF(COUNTIFS('AFA Rates'!$A$5:$A$1004,$A581,'AFA Rates'!$B$5:$B$1004,I$23,'AFA Rates'!$O$5:$O$1004,"&lt;&gt;Expired")&gt;0,"✓",IF(COUNTIFS('AFA Rates'!$A$5:$A$1004,$A581,'AFA Rates'!$B$5:$B$1004,I$23)&gt;0,"Exp","")))</f>
        <v/>
      </c>
      <c r="J581" s="79">
        <f>IF(OR($A581="",J$23=""),"",IF(COUNTIFS('AFA Rates'!$A$5:$A$1004,$A581,'AFA Rates'!$B$5:$B$1004,J$23,'AFA Rates'!$O$5:$O$1004,"&lt;&gt;Expired")&gt;0,"✓",IF(COUNTIFS('AFA Rates'!$A$5:$A$1004,$A581,'AFA Rates'!$B$5:$B$1004,J$23)&gt;0,"Exp","")))</f>
        <v/>
      </c>
      <c r="K581" s="79">
        <f>IF(OR($A581="",K$23=""),"",IF(COUNTIFS('AFA Rates'!$A$5:$A$1004,$A581,'AFA Rates'!$B$5:$B$1004,K$23,'AFA Rates'!$O$5:$O$1004,"&lt;&gt;Expired")&gt;0,"✓",IF(COUNTIFS('AFA Rates'!$A$5:$A$1004,$A581,'AFA Rates'!$B$5:$B$1004,K$23)&gt;0,"Exp","")))</f>
        <v/>
      </c>
      <c r="L581" s="79">
        <f>IF(OR($A581="",L$23=""),"",IF(COUNTIFS('AFA Rates'!$A$5:$A$1004,$A581,'AFA Rates'!$B$5:$B$1004,L$23,'AFA Rates'!$O$5:$O$1004,"&lt;&gt;Expired")&gt;0,"✓",IF(COUNTIFS('AFA Rates'!$A$5:$A$1004,$A581,'AFA Rates'!$B$5:$B$1004,L$23)&gt;0,"Exp","")))</f>
        <v/>
      </c>
      <c r="M581" s="79">
        <f>IF(OR($A581="",M$23=""),"",IF(COUNTIFS('AFA Rates'!$A$5:$A$1004,$A581,'AFA Rates'!$B$5:$B$1004,M$23,'AFA Rates'!$O$5:$O$1004,"&lt;&gt;Expired")&gt;0,"✓",IF(COUNTIFS('AFA Rates'!$A$5:$A$1004,$A581,'AFA Rates'!$B$5:$B$1004,M$23)&gt;0,"Exp","")))</f>
        <v/>
      </c>
    </row>
    <row r="582">
      <c r="A582" s="78">
        <f>IFERROR(INDEX(Firms!$A$5:$A$1004,MATCH(559,Firms!$V$5:$V$1004,0)),"")</f>
        <v/>
      </c>
      <c r="B582" s="79">
        <f>IF($A582="","",INDEX(Firms!$B$5:$B$1004,MATCH(559,Firms!$V$5:$V$1004,0)))</f>
        <v/>
      </c>
      <c r="C582" s="79">
        <f>IF($A582="","",COUNTIFS('AFA Rates'!$A$5:$A$1004,$A582,'AFA Rates'!$O$5:$O$1004,"&lt;&gt;Expired"))</f>
        <v/>
      </c>
      <c r="D582" s="79">
        <f>IF(OR($A582="",D$23=""),"",IF(COUNTIFS('AFA Rates'!$A$5:$A$1004,$A582,'AFA Rates'!$B$5:$B$1004,D$23,'AFA Rates'!$O$5:$O$1004,"&lt;&gt;Expired")&gt;0,"✓",IF(COUNTIFS('AFA Rates'!$A$5:$A$1004,$A582,'AFA Rates'!$B$5:$B$1004,D$23)&gt;0,"Exp","")))</f>
        <v/>
      </c>
      <c r="E582" s="79">
        <f>IF(OR($A582="",E$23=""),"",IF(COUNTIFS('AFA Rates'!$A$5:$A$1004,$A582,'AFA Rates'!$B$5:$B$1004,E$23,'AFA Rates'!$O$5:$O$1004,"&lt;&gt;Expired")&gt;0,"✓",IF(COUNTIFS('AFA Rates'!$A$5:$A$1004,$A582,'AFA Rates'!$B$5:$B$1004,E$23)&gt;0,"Exp","")))</f>
        <v/>
      </c>
      <c r="F582" s="79">
        <f>IF(OR($A582="",F$23=""),"",IF(COUNTIFS('AFA Rates'!$A$5:$A$1004,$A582,'AFA Rates'!$B$5:$B$1004,F$23,'AFA Rates'!$O$5:$O$1004,"&lt;&gt;Expired")&gt;0,"✓",IF(COUNTIFS('AFA Rates'!$A$5:$A$1004,$A582,'AFA Rates'!$B$5:$B$1004,F$23)&gt;0,"Exp","")))</f>
        <v/>
      </c>
      <c r="G582" s="79">
        <f>IF(OR($A582="",G$23=""),"",IF(COUNTIFS('AFA Rates'!$A$5:$A$1004,$A582,'AFA Rates'!$B$5:$B$1004,G$23,'AFA Rates'!$O$5:$O$1004,"&lt;&gt;Expired")&gt;0,"✓",IF(COUNTIFS('AFA Rates'!$A$5:$A$1004,$A582,'AFA Rates'!$B$5:$B$1004,G$23)&gt;0,"Exp","")))</f>
        <v/>
      </c>
      <c r="H582" s="79">
        <f>IF(OR($A582="",H$23=""),"",IF(COUNTIFS('AFA Rates'!$A$5:$A$1004,$A582,'AFA Rates'!$B$5:$B$1004,H$23,'AFA Rates'!$O$5:$O$1004,"&lt;&gt;Expired")&gt;0,"✓",IF(COUNTIFS('AFA Rates'!$A$5:$A$1004,$A582,'AFA Rates'!$B$5:$B$1004,H$23)&gt;0,"Exp","")))</f>
        <v/>
      </c>
      <c r="I582" s="79">
        <f>IF(OR($A582="",I$23=""),"",IF(COUNTIFS('AFA Rates'!$A$5:$A$1004,$A582,'AFA Rates'!$B$5:$B$1004,I$23,'AFA Rates'!$O$5:$O$1004,"&lt;&gt;Expired")&gt;0,"✓",IF(COUNTIFS('AFA Rates'!$A$5:$A$1004,$A582,'AFA Rates'!$B$5:$B$1004,I$23)&gt;0,"Exp","")))</f>
        <v/>
      </c>
      <c r="J582" s="79">
        <f>IF(OR($A582="",J$23=""),"",IF(COUNTIFS('AFA Rates'!$A$5:$A$1004,$A582,'AFA Rates'!$B$5:$B$1004,J$23,'AFA Rates'!$O$5:$O$1004,"&lt;&gt;Expired")&gt;0,"✓",IF(COUNTIFS('AFA Rates'!$A$5:$A$1004,$A582,'AFA Rates'!$B$5:$B$1004,J$23)&gt;0,"Exp","")))</f>
        <v/>
      </c>
      <c r="K582" s="79">
        <f>IF(OR($A582="",K$23=""),"",IF(COUNTIFS('AFA Rates'!$A$5:$A$1004,$A582,'AFA Rates'!$B$5:$B$1004,K$23,'AFA Rates'!$O$5:$O$1004,"&lt;&gt;Expired")&gt;0,"✓",IF(COUNTIFS('AFA Rates'!$A$5:$A$1004,$A582,'AFA Rates'!$B$5:$B$1004,K$23)&gt;0,"Exp","")))</f>
        <v/>
      </c>
      <c r="L582" s="79">
        <f>IF(OR($A582="",L$23=""),"",IF(COUNTIFS('AFA Rates'!$A$5:$A$1004,$A582,'AFA Rates'!$B$5:$B$1004,L$23,'AFA Rates'!$O$5:$O$1004,"&lt;&gt;Expired")&gt;0,"✓",IF(COUNTIFS('AFA Rates'!$A$5:$A$1004,$A582,'AFA Rates'!$B$5:$B$1004,L$23)&gt;0,"Exp","")))</f>
        <v/>
      </c>
      <c r="M582" s="79">
        <f>IF(OR($A582="",M$23=""),"",IF(COUNTIFS('AFA Rates'!$A$5:$A$1004,$A582,'AFA Rates'!$B$5:$B$1004,M$23,'AFA Rates'!$O$5:$O$1004,"&lt;&gt;Expired")&gt;0,"✓",IF(COUNTIFS('AFA Rates'!$A$5:$A$1004,$A582,'AFA Rates'!$B$5:$B$1004,M$23)&gt;0,"Exp","")))</f>
        <v/>
      </c>
    </row>
    <row r="583">
      <c r="A583" s="78">
        <f>IFERROR(INDEX(Firms!$A$5:$A$1004,MATCH(560,Firms!$V$5:$V$1004,0)),"")</f>
        <v/>
      </c>
      <c r="B583" s="79">
        <f>IF($A583="","",INDEX(Firms!$B$5:$B$1004,MATCH(560,Firms!$V$5:$V$1004,0)))</f>
        <v/>
      </c>
      <c r="C583" s="79">
        <f>IF($A583="","",COUNTIFS('AFA Rates'!$A$5:$A$1004,$A583,'AFA Rates'!$O$5:$O$1004,"&lt;&gt;Expired"))</f>
        <v/>
      </c>
      <c r="D583" s="79">
        <f>IF(OR($A583="",D$23=""),"",IF(COUNTIFS('AFA Rates'!$A$5:$A$1004,$A583,'AFA Rates'!$B$5:$B$1004,D$23,'AFA Rates'!$O$5:$O$1004,"&lt;&gt;Expired")&gt;0,"✓",IF(COUNTIFS('AFA Rates'!$A$5:$A$1004,$A583,'AFA Rates'!$B$5:$B$1004,D$23)&gt;0,"Exp","")))</f>
        <v/>
      </c>
      <c r="E583" s="79">
        <f>IF(OR($A583="",E$23=""),"",IF(COUNTIFS('AFA Rates'!$A$5:$A$1004,$A583,'AFA Rates'!$B$5:$B$1004,E$23,'AFA Rates'!$O$5:$O$1004,"&lt;&gt;Expired")&gt;0,"✓",IF(COUNTIFS('AFA Rates'!$A$5:$A$1004,$A583,'AFA Rates'!$B$5:$B$1004,E$23)&gt;0,"Exp","")))</f>
        <v/>
      </c>
      <c r="F583" s="79">
        <f>IF(OR($A583="",F$23=""),"",IF(COUNTIFS('AFA Rates'!$A$5:$A$1004,$A583,'AFA Rates'!$B$5:$B$1004,F$23,'AFA Rates'!$O$5:$O$1004,"&lt;&gt;Expired")&gt;0,"✓",IF(COUNTIFS('AFA Rates'!$A$5:$A$1004,$A583,'AFA Rates'!$B$5:$B$1004,F$23)&gt;0,"Exp","")))</f>
        <v/>
      </c>
      <c r="G583" s="79">
        <f>IF(OR($A583="",G$23=""),"",IF(COUNTIFS('AFA Rates'!$A$5:$A$1004,$A583,'AFA Rates'!$B$5:$B$1004,G$23,'AFA Rates'!$O$5:$O$1004,"&lt;&gt;Expired")&gt;0,"✓",IF(COUNTIFS('AFA Rates'!$A$5:$A$1004,$A583,'AFA Rates'!$B$5:$B$1004,G$23)&gt;0,"Exp","")))</f>
        <v/>
      </c>
      <c r="H583" s="79">
        <f>IF(OR($A583="",H$23=""),"",IF(COUNTIFS('AFA Rates'!$A$5:$A$1004,$A583,'AFA Rates'!$B$5:$B$1004,H$23,'AFA Rates'!$O$5:$O$1004,"&lt;&gt;Expired")&gt;0,"✓",IF(COUNTIFS('AFA Rates'!$A$5:$A$1004,$A583,'AFA Rates'!$B$5:$B$1004,H$23)&gt;0,"Exp","")))</f>
        <v/>
      </c>
      <c r="I583" s="79">
        <f>IF(OR($A583="",I$23=""),"",IF(COUNTIFS('AFA Rates'!$A$5:$A$1004,$A583,'AFA Rates'!$B$5:$B$1004,I$23,'AFA Rates'!$O$5:$O$1004,"&lt;&gt;Expired")&gt;0,"✓",IF(COUNTIFS('AFA Rates'!$A$5:$A$1004,$A583,'AFA Rates'!$B$5:$B$1004,I$23)&gt;0,"Exp","")))</f>
        <v/>
      </c>
      <c r="J583" s="79">
        <f>IF(OR($A583="",J$23=""),"",IF(COUNTIFS('AFA Rates'!$A$5:$A$1004,$A583,'AFA Rates'!$B$5:$B$1004,J$23,'AFA Rates'!$O$5:$O$1004,"&lt;&gt;Expired")&gt;0,"✓",IF(COUNTIFS('AFA Rates'!$A$5:$A$1004,$A583,'AFA Rates'!$B$5:$B$1004,J$23)&gt;0,"Exp","")))</f>
        <v/>
      </c>
      <c r="K583" s="79">
        <f>IF(OR($A583="",K$23=""),"",IF(COUNTIFS('AFA Rates'!$A$5:$A$1004,$A583,'AFA Rates'!$B$5:$B$1004,K$23,'AFA Rates'!$O$5:$O$1004,"&lt;&gt;Expired")&gt;0,"✓",IF(COUNTIFS('AFA Rates'!$A$5:$A$1004,$A583,'AFA Rates'!$B$5:$B$1004,K$23)&gt;0,"Exp","")))</f>
        <v/>
      </c>
      <c r="L583" s="79">
        <f>IF(OR($A583="",L$23=""),"",IF(COUNTIFS('AFA Rates'!$A$5:$A$1004,$A583,'AFA Rates'!$B$5:$B$1004,L$23,'AFA Rates'!$O$5:$O$1004,"&lt;&gt;Expired")&gt;0,"✓",IF(COUNTIFS('AFA Rates'!$A$5:$A$1004,$A583,'AFA Rates'!$B$5:$B$1004,L$23)&gt;0,"Exp","")))</f>
        <v/>
      </c>
      <c r="M583" s="79">
        <f>IF(OR($A583="",M$23=""),"",IF(COUNTIFS('AFA Rates'!$A$5:$A$1004,$A583,'AFA Rates'!$B$5:$B$1004,M$23,'AFA Rates'!$O$5:$O$1004,"&lt;&gt;Expired")&gt;0,"✓",IF(COUNTIFS('AFA Rates'!$A$5:$A$1004,$A583,'AFA Rates'!$B$5:$B$1004,M$23)&gt;0,"Exp","")))</f>
        <v/>
      </c>
    </row>
    <row r="584">
      <c r="A584" s="78">
        <f>IFERROR(INDEX(Firms!$A$5:$A$1004,MATCH(561,Firms!$V$5:$V$1004,0)),"")</f>
        <v/>
      </c>
      <c r="B584" s="79">
        <f>IF($A584="","",INDEX(Firms!$B$5:$B$1004,MATCH(561,Firms!$V$5:$V$1004,0)))</f>
        <v/>
      </c>
      <c r="C584" s="79">
        <f>IF($A584="","",COUNTIFS('AFA Rates'!$A$5:$A$1004,$A584,'AFA Rates'!$O$5:$O$1004,"&lt;&gt;Expired"))</f>
        <v/>
      </c>
      <c r="D584" s="79">
        <f>IF(OR($A584="",D$23=""),"",IF(COUNTIFS('AFA Rates'!$A$5:$A$1004,$A584,'AFA Rates'!$B$5:$B$1004,D$23,'AFA Rates'!$O$5:$O$1004,"&lt;&gt;Expired")&gt;0,"✓",IF(COUNTIFS('AFA Rates'!$A$5:$A$1004,$A584,'AFA Rates'!$B$5:$B$1004,D$23)&gt;0,"Exp","")))</f>
        <v/>
      </c>
      <c r="E584" s="79">
        <f>IF(OR($A584="",E$23=""),"",IF(COUNTIFS('AFA Rates'!$A$5:$A$1004,$A584,'AFA Rates'!$B$5:$B$1004,E$23,'AFA Rates'!$O$5:$O$1004,"&lt;&gt;Expired")&gt;0,"✓",IF(COUNTIFS('AFA Rates'!$A$5:$A$1004,$A584,'AFA Rates'!$B$5:$B$1004,E$23)&gt;0,"Exp","")))</f>
        <v/>
      </c>
      <c r="F584" s="79">
        <f>IF(OR($A584="",F$23=""),"",IF(COUNTIFS('AFA Rates'!$A$5:$A$1004,$A584,'AFA Rates'!$B$5:$B$1004,F$23,'AFA Rates'!$O$5:$O$1004,"&lt;&gt;Expired")&gt;0,"✓",IF(COUNTIFS('AFA Rates'!$A$5:$A$1004,$A584,'AFA Rates'!$B$5:$B$1004,F$23)&gt;0,"Exp","")))</f>
        <v/>
      </c>
      <c r="G584" s="79">
        <f>IF(OR($A584="",G$23=""),"",IF(COUNTIFS('AFA Rates'!$A$5:$A$1004,$A584,'AFA Rates'!$B$5:$B$1004,G$23,'AFA Rates'!$O$5:$O$1004,"&lt;&gt;Expired")&gt;0,"✓",IF(COUNTIFS('AFA Rates'!$A$5:$A$1004,$A584,'AFA Rates'!$B$5:$B$1004,G$23)&gt;0,"Exp","")))</f>
        <v/>
      </c>
      <c r="H584" s="79">
        <f>IF(OR($A584="",H$23=""),"",IF(COUNTIFS('AFA Rates'!$A$5:$A$1004,$A584,'AFA Rates'!$B$5:$B$1004,H$23,'AFA Rates'!$O$5:$O$1004,"&lt;&gt;Expired")&gt;0,"✓",IF(COUNTIFS('AFA Rates'!$A$5:$A$1004,$A584,'AFA Rates'!$B$5:$B$1004,H$23)&gt;0,"Exp","")))</f>
        <v/>
      </c>
      <c r="I584" s="79">
        <f>IF(OR($A584="",I$23=""),"",IF(COUNTIFS('AFA Rates'!$A$5:$A$1004,$A584,'AFA Rates'!$B$5:$B$1004,I$23,'AFA Rates'!$O$5:$O$1004,"&lt;&gt;Expired")&gt;0,"✓",IF(COUNTIFS('AFA Rates'!$A$5:$A$1004,$A584,'AFA Rates'!$B$5:$B$1004,I$23)&gt;0,"Exp","")))</f>
        <v/>
      </c>
      <c r="J584" s="79">
        <f>IF(OR($A584="",J$23=""),"",IF(COUNTIFS('AFA Rates'!$A$5:$A$1004,$A584,'AFA Rates'!$B$5:$B$1004,J$23,'AFA Rates'!$O$5:$O$1004,"&lt;&gt;Expired")&gt;0,"✓",IF(COUNTIFS('AFA Rates'!$A$5:$A$1004,$A584,'AFA Rates'!$B$5:$B$1004,J$23)&gt;0,"Exp","")))</f>
        <v/>
      </c>
      <c r="K584" s="79">
        <f>IF(OR($A584="",K$23=""),"",IF(COUNTIFS('AFA Rates'!$A$5:$A$1004,$A584,'AFA Rates'!$B$5:$B$1004,K$23,'AFA Rates'!$O$5:$O$1004,"&lt;&gt;Expired")&gt;0,"✓",IF(COUNTIFS('AFA Rates'!$A$5:$A$1004,$A584,'AFA Rates'!$B$5:$B$1004,K$23)&gt;0,"Exp","")))</f>
        <v/>
      </c>
      <c r="L584" s="79">
        <f>IF(OR($A584="",L$23=""),"",IF(COUNTIFS('AFA Rates'!$A$5:$A$1004,$A584,'AFA Rates'!$B$5:$B$1004,L$23,'AFA Rates'!$O$5:$O$1004,"&lt;&gt;Expired")&gt;0,"✓",IF(COUNTIFS('AFA Rates'!$A$5:$A$1004,$A584,'AFA Rates'!$B$5:$B$1004,L$23)&gt;0,"Exp","")))</f>
        <v/>
      </c>
      <c r="M584" s="79">
        <f>IF(OR($A584="",M$23=""),"",IF(COUNTIFS('AFA Rates'!$A$5:$A$1004,$A584,'AFA Rates'!$B$5:$B$1004,M$23,'AFA Rates'!$O$5:$O$1004,"&lt;&gt;Expired")&gt;0,"✓",IF(COUNTIFS('AFA Rates'!$A$5:$A$1004,$A584,'AFA Rates'!$B$5:$B$1004,M$23)&gt;0,"Exp","")))</f>
        <v/>
      </c>
    </row>
    <row r="585">
      <c r="A585" s="78">
        <f>IFERROR(INDEX(Firms!$A$5:$A$1004,MATCH(562,Firms!$V$5:$V$1004,0)),"")</f>
        <v/>
      </c>
      <c r="B585" s="79">
        <f>IF($A585="","",INDEX(Firms!$B$5:$B$1004,MATCH(562,Firms!$V$5:$V$1004,0)))</f>
        <v/>
      </c>
      <c r="C585" s="79">
        <f>IF($A585="","",COUNTIFS('AFA Rates'!$A$5:$A$1004,$A585,'AFA Rates'!$O$5:$O$1004,"&lt;&gt;Expired"))</f>
        <v/>
      </c>
      <c r="D585" s="79">
        <f>IF(OR($A585="",D$23=""),"",IF(COUNTIFS('AFA Rates'!$A$5:$A$1004,$A585,'AFA Rates'!$B$5:$B$1004,D$23,'AFA Rates'!$O$5:$O$1004,"&lt;&gt;Expired")&gt;0,"✓",IF(COUNTIFS('AFA Rates'!$A$5:$A$1004,$A585,'AFA Rates'!$B$5:$B$1004,D$23)&gt;0,"Exp","")))</f>
        <v/>
      </c>
      <c r="E585" s="79">
        <f>IF(OR($A585="",E$23=""),"",IF(COUNTIFS('AFA Rates'!$A$5:$A$1004,$A585,'AFA Rates'!$B$5:$B$1004,E$23,'AFA Rates'!$O$5:$O$1004,"&lt;&gt;Expired")&gt;0,"✓",IF(COUNTIFS('AFA Rates'!$A$5:$A$1004,$A585,'AFA Rates'!$B$5:$B$1004,E$23)&gt;0,"Exp","")))</f>
        <v/>
      </c>
      <c r="F585" s="79">
        <f>IF(OR($A585="",F$23=""),"",IF(COUNTIFS('AFA Rates'!$A$5:$A$1004,$A585,'AFA Rates'!$B$5:$B$1004,F$23,'AFA Rates'!$O$5:$O$1004,"&lt;&gt;Expired")&gt;0,"✓",IF(COUNTIFS('AFA Rates'!$A$5:$A$1004,$A585,'AFA Rates'!$B$5:$B$1004,F$23)&gt;0,"Exp","")))</f>
        <v/>
      </c>
      <c r="G585" s="79">
        <f>IF(OR($A585="",G$23=""),"",IF(COUNTIFS('AFA Rates'!$A$5:$A$1004,$A585,'AFA Rates'!$B$5:$B$1004,G$23,'AFA Rates'!$O$5:$O$1004,"&lt;&gt;Expired")&gt;0,"✓",IF(COUNTIFS('AFA Rates'!$A$5:$A$1004,$A585,'AFA Rates'!$B$5:$B$1004,G$23)&gt;0,"Exp","")))</f>
        <v/>
      </c>
      <c r="H585" s="79">
        <f>IF(OR($A585="",H$23=""),"",IF(COUNTIFS('AFA Rates'!$A$5:$A$1004,$A585,'AFA Rates'!$B$5:$B$1004,H$23,'AFA Rates'!$O$5:$O$1004,"&lt;&gt;Expired")&gt;0,"✓",IF(COUNTIFS('AFA Rates'!$A$5:$A$1004,$A585,'AFA Rates'!$B$5:$B$1004,H$23)&gt;0,"Exp","")))</f>
        <v/>
      </c>
      <c r="I585" s="79">
        <f>IF(OR($A585="",I$23=""),"",IF(COUNTIFS('AFA Rates'!$A$5:$A$1004,$A585,'AFA Rates'!$B$5:$B$1004,I$23,'AFA Rates'!$O$5:$O$1004,"&lt;&gt;Expired")&gt;0,"✓",IF(COUNTIFS('AFA Rates'!$A$5:$A$1004,$A585,'AFA Rates'!$B$5:$B$1004,I$23)&gt;0,"Exp","")))</f>
        <v/>
      </c>
      <c r="J585" s="79">
        <f>IF(OR($A585="",J$23=""),"",IF(COUNTIFS('AFA Rates'!$A$5:$A$1004,$A585,'AFA Rates'!$B$5:$B$1004,J$23,'AFA Rates'!$O$5:$O$1004,"&lt;&gt;Expired")&gt;0,"✓",IF(COUNTIFS('AFA Rates'!$A$5:$A$1004,$A585,'AFA Rates'!$B$5:$B$1004,J$23)&gt;0,"Exp","")))</f>
        <v/>
      </c>
      <c r="K585" s="79">
        <f>IF(OR($A585="",K$23=""),"",IF(COUNTIFS('AFA Rates'!$A$5:$A$1004,$A585,'AFA Rates'!$B$5:$B$1004,K$23,'AFA Rates'!$O$5:$O$1004,"&lt;&gt;Expired")&gt;0,"✓",IF(COUNTIFS('AFA Rates'!$A$5:$A$1004,$A585,'AFA Rates'!$B$5:$B$1004,K$23)&gt;0,"Exp","")))</f>
        <v/>
      </c>
      <c r="L585" s="79">
        <f>IF(OR($A585="",L$23=""),"",IF(COUNTIFS('AFA Rates'!$A$5:$A$1004,$A585,'AFA Rates'!$B$5:$B$1004,L$23,'AFA Rates'!$O$5:$O$1004,"&lt;&gt;Expired")&gt;0,"✓",IF(COUNTIFS('AFA Rates'!$A$5:$A$1004,$A585,'AFA Rates'!$B$5:$B$1004,L$23)&gt;0,"Exp","")))</f>
        <v/>
      </c>
      <c r="M585" s="79">
        <f>IF(OR($A585="",M$23=""),"",IF(COUNTIFS('AFA Rates'!$A$5:$A$1004,$A585,'AFA Rates'!$B$5:$B$1004,M$23,'AFA Rates'!$O$5:$O$1004,"&lt;&gt;Expired")&gt;0,"✓",IF(COUNTIFS('AFA Rates'!$A$5:$A$1004,$A585,'AFA Rates'!$B$5:$B$1004,M$23)&gt;0,"Exp","")))</f>
        <v/>
      </c>
    </row>
    <row r="586">
      <c r="A586" s="78">
        <f>IFERROR(INDEX(Firms!$A$5:$A$1004,MATCH(563,Firms!$V$5:$V$1004,0)),"")</f>
        <v/>
      </c>
      <c r="B586" s="79">
        <f>IF($A586="","",INDEX(Firms!$B$5:$B$1004,MATCH(563,Firms!$V$5:$V$1004,0)))</f>
        <v/>
      </c>
      <c r="C586" s="79">
        <f>IF($A586="","",COUNTIFS('AFA Rates'!$A$5:$A$1004,$A586,'AFA Rates'!$O$5:$O$1004,"&lt;&gt;Expired"))</f>
        <v/>
      </c>
      <c r="D586" s="79">
        <f>IF(OR($A586="",D$23=""),"",IF(COUNTIFS('AFA Rates'!$A$5:$A$1004,$A586,'AFA Rates'!$B$5:$B$1004,D$23,'AFA Rates'!$O$5:$O$1004,"&lt;&gt;Expired")&gt;0,"✓",IF(COUNTIFS('AFA Rates'!$A$5:$A$1004,$A586,'AFA Rates'!$B$5:$B$1004,D$23)&gt;0,"Exp","")))</f>
        <v/>
      </c>
      <c r="E586" s="79">
        <f>IF(OR($A586="",E$23=""),"",IF(COUNTIFS('AFA Rates'!$A$5:$A$1004,$A586,'AFA Rates'!$B$5:$B$1004,E$23,'AFA Rates'!$O$5:$O$1004,"&lt;&gt;Expired")&gt;0,"✓",IF(COUNTIFS('AFA Rates'!$A$5:$A$1004,$A586,'AFA Rates'!$B$5:$B$1004,E$23)&gt;0,"Exp","")))</f>
        <v/>
      </c>
      <c r="F586" s="79">
        <f>IF(OR($A586="",F$23=""),"",IF(COUNTIFS('AFA Rates'!$A$5:$A$1004,$A586,'AFA Rates'!$B$5:$B$1004,F$23,'AFA Rates'!$O$5:$O$1004,"&lt;&gt;Expired")&gt;0,"✓",IF(COUNTIFS('AFA Rates'!$A$5:$A$1004,$A586,'AFA Rates'!$B$5:$B$1004,F$23)&gt;0,"Exp","")))</f>
        <v/>
      </c>
      <c r="G586" s="79">
        <f>IF(OR($A586="",G$23=""),"",IF(COUNTIFS('AFA Rates'!$A$5:$A$1004,$A586,'AFA Rates'!$B$5:$B$1004,G$23,'AFA Rates'!$O$5:$O$1004,"&lt;&gt;Expired")&gt;0,"✓",IF(COUNTIFS('AFA Rates'!$A$5:$A$1004,$A586,'AFA Rates'!$B$5:$B$1004,G$23)&gt;0,"Exp","")))</f>
        <v/>
      </c>
      <c r="H586" s="79">
        <f>IF(OR($A586="",H$23=""),"",IF(COUNTIFS('AFA Rates'!$A$5:$A$1004,$A586,'AFA Rates'!$B$5:$B$1004,H$23,'AFA Rates'!$O$5:$O$1004,"&lt;&gt;Expired")&gt;0,"✓",IF(COUNTIFS('AFA Rates'!$A$5:$A$1004,$A586,'AFA Rates'!$B$5:$B$1004,H$23)&gt;0,"Exp","")))</f>
        <v/>
      </c>
      <c r="I586" s="79">
        <f>IF(OR($A586="",I$23=""),"",IF(COUNTIFS('AFA Rates'!$A$5:$A$1004,$A586,'AFA Rates'!$B$5:$B$1004,I$23,'AFA Rates'!$O$5:$O$1004,"&lt;&gt;Expired")&gt;0,"✓",IF(COUNTIFS('AFA Rates'!$A$5:$A$1004,$A586,'AFA Rates'!$B$5:$B$1004,I$23)&gt;0,"Exp","")))</f>
        <v/>
      </c>
      <c r="J586" s="79">
        <f>IF(OR($A586="",J$23=""),"",IF(COUNTIFS('AFA Rates'!$A$5:$A$1004,$A586,'AFA Rates'!$B$5:$B$1004,J$23,'AFA Rates'!$O$5:$O$1004,"&lt;&gt;Expired")&gt;0,"✓",IF(COUNTIFS('AFA Rates'!$A$5:$A$1004,$A586,'AFA Rates'!$B$5:$B$1004,J$23)&gt;0,"Exp","")))</f>
        <v/>
      </c>
      <c r="K586" s="79">
        <f>IF(OR($A586="",K$23=""),"",IF(COUNTIFS('AFA Rates'!$A$5:$A$1004,$A586,'AFA Rates'!$B$5:$B$1004,K$23,'AFA Rates'!$O$5:$O$1004,"&lt;&gt;Expired")&gt;0,"✓",IF(COUNTIFS('AFA Rates'!$A$5:$A$1004,$A586,'AFA Rates'!$B$5:$B$1004,K$23)&gt;0,"Exp","")))</f>
        <v/>
      </c>
      <c r="L586" s="79">
        <f>IF(OR($A586="",L$23=""),"",IF(COUNTIFS('AFA Rates'!$A$5:$A$1004,$A586,'AFA Rates'!$B$5:$B$1004,L$23,'AFA Rates'!$O$5:$O$1004,"&lt;&gt;Expired")&gt;0,"✓",IF(COUNTIFS('AFA Rates'!$A$5:$A$1004,$A586,'AFA Rates'!$B$5:$B$1004,L$23)&gt;0,"Exp","")))</f>
        <v/>
      </c>
      <c r="M586" s="79">
        <f>IF(OR($A586="",M$23=""),"",IF(COUNTIFS('AFA Rates'!$A$5:$A$1004,$A586,'AFA Rates'!$B$5:$B$1004,M$23,'AFA Rates'!$O$5:$O$1004,"&lt;&gt;Expired")&gt;0,"✓",IF(COUNTIFS('AFA Rates'!$A$5:$A$1004,$A586,'AFA Rates'!$B$5:$B$1004,M$23)&gt;0,"Exp","")))</f>
        <v/>
      </c>
    </row>
    <row r="587">
      <c r="A587" s="78">
        <f>IFERROR(INDEX(Firms!$A$5:$A$1004,MATCH(564,Firms!$V$5:$V$1004,0)),"")</f>
        <v/>
      </c>
      <c r="B587" s="79">
        <f>IF($A587="","",INDEX(Firms!$B$5:$B$1004,MATCH(564,Firms!$V$5:$V$1004,0)))</f>
        <v/>
      </c>
      <c r="C587" s="79">
        <f>IF($A587="","",COUNTIFS('AFA Rates'!$A$5:$A$1004,$A587,'AFA Rates'!$O$5:$O$1004,"&lt;&gt;Expired"))</f>
        <v/>
      </c>
      <c r="D587" s="79">
        <f>IF(OR($A587="",D$23=""),"",IF(COUNTIFS('AFA Rates'!$A$5:$A$1004,$A587,'AFA Rates'!$B$5:$B$1004,D$23,'AFA Rates'!$O$5:$O$1004,"&lt;&gt;Expired")&gt;0,"✓",IF(COUNTIFS('AFA Rates'!$A$5:$A$1004,$A587,'AFA Rates'!$B$5:$B$1004,D$23)&gt;0,"Exp","")))</f>
        <v/>
      </c>
      <c r="E587" s="79">
        <f>IF(OR($A587="",E$23=""),"",IF(COUNTIFS('AFA Rates'!$A$5:$A$1004,$A587,'AFA Rates'!$B$5:$B$1004,E$23,'AFA Rates'!$O$5:$O$1004,"&lt;&gt;Expired")&gt;0,"✓",IF(COUNTIFS('AFA Rates'!$A$5:$A$1004,$A587,'AFA Rates'!$B$5:$B$1004,E$23)&gt;0,"Exp","")))</f>
        <v/>
      </c>
      <c r="F587" s="79">
        <f>IF(OR($A587="",F$23=""),"",IF(COUNTIFS('AFA Rates'!$A$5:$A$1004,$A587,'AFA Rates'!$B$5:$B$1004,F$23,'AFA Rates'!$O$5:$O$1004,"&lt;&gt;Expired")&gt;0,"✓",IF(COUNTIFS('AFA Rates'!$A$5:$A$1004,$A587,'AFA Rates'!$B$5:$B$1004,F$23)&gt;0,"Exp","")))</f>
        <v/>
      </c>
      <c r="G587" s="79">
        <f>IF(OR($A587="",G$23=""),"",IF(COUNTIFS('AFA Rates'!$A$5:$A$1004,$A587,'AFA Rates'!$B$5:$B$1004,G$23,'AFA Rates'!$O$5:$O$1004,"&lt;&gt;Expired")&gt;0,"✓",IF(COUNTIFS('AFA Rates'!$A$5:$A$1004,$A587,'AFA Rates'!$B$5:$B$1004,G$23)&gt;0,"Exp","")))</f>
        <v/>
      </c>
      <c r="H587" s="79">
        <f>IF(OR($A587="",H$23=""),"",IF(COUNTIFS('AFA Rates'!$A$5:$A$1004,$A587,'AFA Rates'!$B$5:$B$1004,H$23,'AFA Rates'!$O$5:$O$1004,"&lt;&gt;Expired")&gt;0,"✓",IF(COUNTIFS('AFA Rates'!$A$5:$A$1004,$A587,'AFA Rates'!$B$5:$B$1004,H$23)&gt;0,"Exp","")))</f>
        <v/>
      </c>
      <c r="I587" s="79">
        <f>IF(OR($A587="",I$23=""),"",IF(COUNTIFS('AFA Rates'!$A$5:$A$1004,$A587,'AFA Rates'!$B$5:$B$1004,I$23,'AFA Rates'!$O$5:$O$1004,"&lt;&gt;Expired")&gt;0,"✓",IF(COUNTIFS('AFA Rates'!$A$5:$A$1004,$A587,'AFA Rates'!$B$5:$B$1004,I$23)&gt;0,"Exp","")))</f>
        <v/>
      </c>
      <c r="J587" s="79">
        <f>IF(OR($A587="",J$23=""),"",IF(COUNTIFS('AFA Rates'!$A$5:$A$1004,$A587,'AFA Rates'!$B$5:$B$1004,J$23,'AFA Rates'!$O$5:$O$1004,"&lt;&gt;Expired")&gt;0,"✓",IF(COUNTIFS('AFA Rates'!$A$5:$A$1004,$A587,'AFA Rates'!$B$5:$B$1004,J$23)&gt;0,"Exp","")))</f>
        <v/>
      </c>
      <c r="K587" s="79">
        <f>IF(OR($A587="",K$23=""),"",IF(COUNTIFS('AFA Rates'!$A$5:$A$1004,$A587,'AFA Rates'!$B$5:$B$1004,K$23,'AFA Rates'!$O$5:$O$1004,"&lt;&gt;Expired")&gt;0,"✓",IF(COUNTIFS('AFA Rates'!$A$5:$A$1004,$A587,'AFA Rates'!$B$5:$B$1004,K$23)&gt;0,"Exp","")))</f>
        <v/>
      </c>
      <c r="L587" s="79">
        <f>IF(OR($A587="",L$23=""),"",IF(COUNTIFS('AFA Rates'!$A$5:$A$1004,$A587,'AFA Rates'!$B$5:$B$1004,L$23,'AFA Rates'!$O$5:$O$1004,"&lt;&gt;Expired")&gt;0,"✓",IF(COUNTIFS('AFA Rates'!$A$5:$A$1004,$A587,'AFA Rates'!$B$5:$B$1004,L$23)&gt;0,"Exp","")))</f>
        <v/>
      </c>
      <c r="M587" s="79">
        <f>IF(OR($A587="",M$23=""),"",IF(COUNTIFS('AFA Rates'!$A$5:$A$1004,$A587,'AFA Rates'!$B$5:$B$1004,M$23,'AFA Rates'!$O$5:$O$1004,"&lt;&gt;Expired")&gt;0,"✓",IF(COUNTIFS('AFA Rates'!$A$5:$A$1004,$A587,'AFA Rates'!$B$5:$B$1004,M$23)&gt;0,"Exp","")))</f>
        <v/>
      </c>
    </row>
    <row r="588">
      <c r="A588" s="78">
        <f>IFERROR(INDEX(Firms!$A$5:$A$1004,MATCH(565,Firms!$V$5:$V$1004,0)),"")</f>
        <v/>
      </c>
      <c r="B588" s="79">
        <f>IF($A588="","",INDEX(Firms!$B$5:$B$1004,MATCH(565,Firms!$V$5:$V$1004,0)))</f>
        <v/>
      </c>
      <c r="C588" s="79">
        <f>IF($A588="","",COUNTIFS('AFA Rates'!$A$5:$A$1004,$A588,'AFA Rates'!$O$5:$O$1004,"&lt;&gt;Expired"))</f>
        <v/>
      </c>
      <c r="D588" s="79">
        <f>IF(OR($A588="",D$23=""),"",IF(COUNTIFS('AFA Rates'!$A$5:$A$1004,$A588,'AFA Rates'!$B$5:$B$1004,D$23,'AFA Rates'!$O$5:$O$1004,"&lt;&gt;Expired")&gt;0,"✓",IF(COUNTIFS('AFA Rates'!$A$5:$A$1004,$A588,'AFA Rates'!$B$5:$B$1004,D$23)&gt;0,"Exp","")))</f>
        <v/>
      </c>
      <c r="E588" s="79">
        <f>IF(OR($A588="",E$23=""),"",IF(COUNTIFS('AFA Rates'!$A$5:$A$1004,$A588,'AFA Rates'!$B$5:$B$1004,E$23,'AFA Rates'!$O$5:$O$1004,"&lt;&gt;Expired")&gt;0,"✓",IF(COUNTIFS('AFA Rates'!$A$5:$A$1004,$A588,'AFA Rates'!$B$5:$B$1004,E$23)&gt;0,"Exp","")))</f>
        <v/>
      </c>
      <c r="F588" s="79">
        <f>IF(OR($A588="",F$23=""),"",IF(COUNTIFS('AFA Rates'!$A$5:$A$1004,$A588,'AFA Rates'!$B$5:$B$1004,F$23,'AFA Rates'!$O$5:$O$1004,"&lt;&gt;Expired")&gt;0,"✓",IF(COUNTIFS('AFA Rates'!$A$5:$A$1004,$A588,'AFA Rates'!$B$5:$B$1004,F$23)&gt;0,"Exp","")))</f>
        <v/>
      </c>
      <c r="G588" s="79">
        <f>IF(OR($A588="",G$23=""),"",IF(COUNTIFS('AFA Rates'!$A$5:$A$1004,$A588,'AFA Rates'!$B$5:$B$1004,G$23,'AFA Rates'!$O$5:$O$1004,"&lt;&gt;Expired")&gt;0,"✓",IF(COUNTIFS('AFA Rates'!$A$5:$A$1004,$A588,'AFA Rates'!$B$5:$B$1004,G$23)&gt;0,"Exp","")))</f>
        <v/>
      </c>
      <c r="H588" s="79">
        <f>IF(OR($A588="",H$23=""),"",IF(COUNTIFS('AFA Rates'!$A$5:$A$1004,$A588,'AFA Rates'!$B$5:$B$1004,H$23,'AFA Rates'!$O$5:$O$1004,"&lt;&gt;Expired")&gt;0,"✓",IF(COUNTIFS('AFA Rates'!$A$5:$A$1004,$A588,'AFA Rates'!$B$5:$B$1004,H$23)&gt;0,"Exp","")))</f>
        <v/>
      </c>
      <c r="I588" s="79">
        <f>IF(OR($A588="",I$23=""),"",IF(COUNTIFS('AFA Rates'!$A$5:$A$1004,$A588,'AFA Rates'!$B$5:$B$1004,I$23,'AFA Rates'!$O$5:$O$1004,"&lt;&gt;Expired")&gt;0,"✓",IF(COUNTIFS('AFA Rates'!$A$5:$A$1004,$A588,'AFA Rates'!$B$5:$B$1004,I$23)&gt;0,"Exp","")))</f>
        <v/>
      </c>
      <c r="J588" s="79">
        <f>IF(OR($A588="",J$23=""),"",IF(COUNTIFS('AFA Rates'!$A$5:$A$1004,$A588,'AFA Rates'!$B$5:$B$1004,J$23,'AFA Rates'!$O$5:$O$1004,"&lt;&gt;Expired")&gt;0,"✓",IF(COUNTIFS('AFA Rates'!$A$5:$A$1004,$A588,'AFA Rates'!$B$5:$B$1004,J$23)&gt;0,"Exp","")))</f>
        <v/>
      </c>
      <c r="K588" s="79">
        <f>IF(OR($A588="",K$23=""),"",IF(COUNTIFS('AFA Rates'!$A$5:$A$1004,$A588,'AFA Rates'!$B$5:$B$1004,K$23,'AFA Rates'!$O$5:$O$1004,"&lt;&gt;Expired")&gt;0,"✓",IF(COUNTIFS('AFA Rates'!$A$5:$A$1004,$A588,'AFA Rates'!$B$5:$B$1004,K$23)&gt;0,"Exp","")))</f>
        <v/>
      </c>
      <c r="L588" s="79">
        <f>IF(OR($A588="",L$23=""),"",IF(COUNTIFS('AFA Rates'!$A$5:$A$1004,$A588,'AFA Rates'!$B$5:$B$1004,L$23,'AFA Rates'!$O$5:$O$1004,"&lt;&gt;Expired")&gt;0,"✓",IF(COUNTIFS('AFA Rates'!$A$5:$A$1004,$A588,'AFA Rates'!$B$5:$B$1004,L$23)&gt;0,"Exp","")))</f>
        <v/>
      </c>
      <c r="M588" s="79">
        <f>IF(OR($A588="",M$23=""),"",IF(COUNTIFS('AFA Rates'!$A$5:$A$1004,$A588,'AFA Rates'!$B$5:$B$1004,M$23,'AFA Rates'!$O$5:$O$1004,"&lt;&gt;Expired")&gt;0,"✓",IF(COUNTIFS('AFA Rates'!$A$5:$A$1004,$A588,'AFA Rates'!$B$5:$B$1004,M$23)&gt;0,"Exp","")))</f>
        <v/>
      </c>
    </row>
    <row r="589">
      <c r="A589" s="78">
        <f>IFERROR(INDEX(Firms!$A$5:$A$1004,MATCH(566,Firms!$V$5:$V$1004,0)),"")</f>
        <v/>
      </c>
      <c r="B589" s="79">
        <f>IF($A589="","",INDEX(Firms!$B$5:$B$1004,MATCH(566,Firms!$V$5:$V$1004,0)))</f>
        <v/>
      </c>
      <c r="C589" s="79">
        <f>IF($A589="","",COUNTIFS('AFA Rates'!$A$5:$A$1004,$A589,'AFA Rates'!$O$5:$O$1004,"&lt;&gt;Expired"))</f>
        <v/>
      </c>
      <c r="D589" s="79">
        <f>IF(OR($A589="",D$23=""),"",IF(COUNTIFS('AFA Rates'!$A$5:$A$1004,$A589,'AFA Rates'!$B$5:$B$1004,D$23,'AFA Rates'!$O$5:$O$1004,"&lt;&gt;Expired")&gt;0,"✓",IF(COUNTIFS('AFA Rates'!$A$5:$A$1004,$A589,'AFA Rates'!$B$5:$B$1004,D$23)&gt;0,"Exp","")))</f>
        <v/>
      </c>
      <c r="E589" s="79">
        <f>IF(OR($A589="",E$23=""),"",IF(COUNTIFS('AFA Rates'!$A$5:$A$1004,$A589,'AFA Rates'!$B$5:$B$1004,E$23,'AFA Rates'!$O$5:$O$1004,"&lt;&gt;Expired")&gt;0,"✓",IF(COUNTIFS('AFA Rates'!$A$5:$A$1004,$A589,'AFA Rates'!$B$5:$B$1004,E$23)&gt;0,"Exp","")))</f>
        <v/>
      </c>
      <c r="F589" s="79">
        <f>IF(OR($A589="",F$23=""),"",IF(COUNTIFS('AFA Rates'!$A$5:$A$1004,$A589,'AFA Rates'!$B$5:$B$1004,F$23,'AFA Rates'!$O$5:$O$1004,"&lt;&gt;Expired")&gt;0,"✓",IF(COUNTIFS('AFA Rates'!$A$5:$A$1004,$A589,'AFA Rates'!$B$5:$B$1004,F$23)&gt;0,"Exp","")))</f>
        <v/>
      </c>
      <c r="G589" s="79">
        <f>IF(OR($A589="",G$23=""),"",IF(COUNTIFS('AFA Rates'!$A$5:$A$1004,$A589,'AFA Rates'!$B$5:$B$1004,G$23,'AFA Rates'!$O$5:$O$1004,"&lt;&gt;Expired")&gt;0,"✓",IF(COUNTIFS('AFA Rates'!$A$5:$A$1004,$A589,'AFA Rates'!$B$5:$B$1004,G$23)&gt;0,"Exp","")))</f>
        <v/>
      </c>
      <c r="H589" s="79">
        <f>IF(OR($A589="",H$23=""),"",IF(COUNTIFS('AFA Rates'!$A$5:$A$1004,$A589,'AFA Rates'!$B$5:$B$1004,H$23,'AFA Rates'!$O$5:$O$1004,"&lt;&gt;Expired")&gt;0,"✓",IF(COUNTIFS('AFA Rates'!$A$5:$A$1004,$A589,'AFA Rates'!$B$5:$B$1004,H$23)&gt;0,"Exp","")))</f>
        <v/>
      </c>
      <c r="I589" s="79">
        <f>IF(OR($A589="",I$23=""),"",IF(COUNTIFS('AFA Rates'!$A$5:$A$1004,$A589,'AFA Rates'!$B$5:$B$1004,I$23,'AFA Rates'!$O$5:$O$1004,"&lt;&gt;Expired")&gt;0,"✓",IF(COUNTIFS('AFA Rates'!$A$5:$A$1004,$A589,'AFA Rates'!$B$5:$B$1004,I$23)&gt;0,"Exp","")))</f>
        <v/>
      </c>
      <c r="J589" s="79">
        <f>IF(OR($A589="",J$23=""),"",IF(COUNTIFS('AFA Rates'!$A$5:$A$1004,$A589,'AFA Rates'!$B$5:$B$1004,J$23,'AFA Rates'!$O$5:$O$1004,"&lt;&gt;Expired")&gt;0,"✓",IF(COUNTIFS('AFA Rates'!$A$5:$A$1004,$A589,'AFA Rates'!$B$5:$B$1004,J$23)&gt;0,"Exp","")))</f>
        <v/>
      </c>
      <c r="K589" s="79">
        <f>IF(OR($A589="",K$23=""),"",IF(COUNTIFS('AFA Rates'!$A$5:$A$1004,$A589,'AFA Rates'!$B$5:$B$1004,K$23,'AFA Rates'!$O$5:$O$1004,"&lt;&gt;Expired")&gt;0,"✓",IF(COUNTIFS('AFA Rates'!$A$5:$A$1004,$A589,'AFA Rates'!$B$5:$B$1004,K$23)&gt;0,"Exp","")))</f>
        <v/>
      </c>
      <c r="L589" s="79">
        <f>IF(OR($A589="",L$23=""),"",IF(COUNTIFS('AFA Rates'!$A$5:$A$1004,$A589,'AFA Rates'!$B$5:$B$1004,L$23,'AFA Rates'!$O$5:$O$1004,"&lt;&gt;Expired")&gt;0,"✓",IF(COUNTIFS('AFA Rates'!$A$5:$A$1004,$A589,'AFA Rates'!$B$5:$B$1004,L$23)&gt;0,"Exp","")))</f>
        <v/>
      </c>
      <c r="M589" s="79">
        <f>IF(OR($A589="",M$23=""),"",IF(COUNTIFS('AFA Rates'!$A$5:$A$1004,$A589,'AFA Rates'!$B$5:$B$1004,M$23,'AFA Rates'!$O$5:$O$1004,"&lt;&gt;Expired")&gt;0,"✓",IF(COUNTIFS('AFA Rates'!$A$5:$A$1004,$A589,'AFA Rates'!$B$5:$B$1004,M$23)&gt;0,"Exp","")))</f>
        <v/>
      </c>
    </row>
    <row r="590">
      <c r="A590" s="78">
        <f>IFERROR(INDEX(Firms!$A$5:$A$1004,MATCH(567,Firms!$V$5:$V$1004,0)),"")</f>
        <v/>
      </c>
      <c r="B590" s="79">
        <f>IF($A590="","",INDEX(Firms!$B$5:$B$1004,MATCH(567,Firms!$V$5:$V$1004,0)))</f>
        <v/>
      </c>
      <c r="C590" s="79">
        <f>IF($A590="","",COUNTIFS('AFA Rates'!$A$5:$A$1004,$A590,'AFA Rates'!$O$5:$O$1004,"&lt;&gt;Expired"))</f>
        <v/>
      </c>
      <c r="D590" s="79">
        <f>IF(OR($A590="",D$23=""),"",IF(COUNTIFS('AFA Rates'!$A$5:$A$1004,$A590,'AFA Rates'!$B$5:$B$1004,D$23,'AFA Rates'!$O$5:$O$1004,"&lt;&gt;Expired")&gt;0,"✓",IF(COUNTIFS('AFA Rates'!$A$5:$A$1004,$A590,'AFA Rates'!$B$5:$B$1004,D$23)&gt;0,"Exp","")))</f>
        <v/>
      </c>
      <c r="E590" s="79">
        <f>IF(OR($A590="",E$23=""),"",IF(COUNTIFS('AFA Rates'!$A$5:$A$1004,$A590,'AFA Rates'!$B$5:$B$1004,E$23,'AFA Rates'!$O$5:$O$1004,"&lt;&gt;Expired")&gt;0,"✓",IF(COUNTIFS('AFA Rates'!$A$5:$A$1004,$A590,'AFA Rates'!$B$5:$B$1004,E$23)&gt;0,"Exp","")))</f>
        <v/>
      </c>
      <c r="F590" s="79">
        <f>IF(OR($A590="",F$23=""),"",IF(COUNTIFS('AFA Rates'!$A$5:$A$1004,$A590,'AFA Rates'!$B$5:$B$1004,F$23,'AFA Rates'!$O$5:$O$1004,"&lt;&gt;Expired")&gt;0,"✓",IF(COUNTIFS('AFA Rates'!$A$5:$A$1004,$A590,'AFA Rates'!$B$5:$B$1004,F$23)&gt;0,"Exp","")))</f>
        <v/>
      </c>
      <c r="G590" s="79">
        <f>IF(OR($A590="",G$23=""),"",IF(COUNTIFS('AFA Rates'!$A$5:$A$1004,$A590,'AFA Rates'!$B$5:$B$1004,G$23,'AFA Rates'!$O$5:$O$1004,"&lt;&gt;Expired")&gt;0,"✓",IF(COUNTIFS('AFA Rates'!$A$5:$A$1004,$A590,'AFA Rates'!$B$5:$B$1004,G$23)&gt;0,"Exp","")))</f>
        <v/>
      </c>
      <c r="H590" s="79">
        <f>IF(OR($A590="",H$23=""),"",IF(COUNTIFS('AFA Rates'!$A$5:$A$1004,$A590,'AFA Rates'!$B$5:$B$1004,H$23,'AFA Rates'!$O$5:$O$1004,"&lt;&gt;Expired")&gt;0,"✓",IF(COUNTIFS('AFA Rates'!$A$5:$A$1004,$A590,'AFA Rates'!$B$5:$B$1004,H$23)&gt;0,"Exp","")))</f>
        <v/>
      </c>
      <c r="I590" s="79">
        <f>IF(OR($A590="",I$23=""),"",IF(COUNTIFS('AFA Rates'!$A$5:$A$1004,$A590,'AFA Rates'!$B$5:$B$1004,I$23,'AFA Rates'!$O$5:$O$1004,"&lt;&gt;Expired")&gt;0,"✓",IF(COUNTIFS('AFA Rates'!$A$5:$A$1004,$A590,'AFA Rates'!$B$5:$B$1004,I$23)&gt;0,"Exp","")))</f>
        <v/>
      </c>
      <c r="J590" s="79">
        <f>IF(OR($A590="",J$23=""),"",IF(COUNTIFS('AFA Rates'!$A$5:$A$1004,$A590,'AFA Rates'!$B$5:$B$1004,J$23,'AFA Rates'!$O$5:$O$1004,"&lt;&gt;Expired")&gt;0,"✓",IF(COUNTIFS('AFA Rates'!$A$5:$A$1004,$A590,'AFA Rates'!$B$5:$B$1004,J$23)&gt;0,"Exp","")))</f>
        <v/>
      </c>
      <c r="K590" s="79">
        <f>IF(OR($A590="",K$23=""),"",IF(COUNTIFS('AFA Rates'!$A$5:$A$1004,$A590,'AFA Rates'!$B$5:$B$1004,K$23,'AFA Rates'!$O$5:$O$1004,"&lt;&gt;Expired")&gt;0,"✓",IF(COUNTIFS('AFA Rates'!$A$5:$A$1004,$A590,'AFA Rates'!$B$5:$B$1004,K$23)&gt;0,"Exp","")))</f>
        <v/>
      </c>
      <c r="L590" s="79">
        <f>IF(OR($A590="",L$23=""),"",IF(COUNTIFS('AFA Rates'!$A$5:$A$1004,$A590,'AFA Rates'!$B$5:$B$1004,L$23,'AFA Rates'!$O$5:$O$1004,"&lt;&gt;Expired")&gt;0,"✓",IF(COUNTIFS('AFA Rates'!$A$5:$A$1004,$A590,'AFA Rates'!$B$5:$B$1004,L$23)&gt;0,"Exp","")))</f>
        <v/>
      </c>
      <c r="M590" s="79">
        <f>IF(OR($A590="",M$23=""),"",IF(COUNTIFS('AFA Rates'!$A$5:$A$1004,$A590,'AFA Rates'!$B$5:$B$1004,M$23,'AFA Rates'!$O$5:$O$1004,"&lt;&gt;Expired")&gt;0,"✓",IF(COUNTIFS('AFA Rates'!$A$5:$A$1004,$A590,'AFA Rates'!$B$5:$B$1004,M$23)&gt;0,"Exp","")))</f>
        <v/>
      </c>
    </row>
    <row r="591">
      <c r="A591" s="78">
        <f>IFERROR(INDEX(Firms!$A$5:$A$1004,MATCH(568,Firms!$V$5:$V$1004,0)),"")</f>
        <v/>
      </c>
      <c r="B591" s="79">
        <f>IF($A591="","",INDEX(Firms!$B$5:$B$1004,MATCH(568,Firms!$V$5:$V$1004,0)))</f>
        <v/>
      </c>
      <c r="C591" s="79">
        <f>IF($A591="","",COUNTIFS('AFA Rates'!$A$5:$A$1004,$A591,'AFA Rates'!$O$5:$O$1004,"&lt;&gt;Expired"))</f>
        <v/>
      </c>
      <c r="D591" s="79">
        <f>IF(OR($A591="",D$23=""),"",IF(COUNTIFS('AFA Rates'!$A$5:$A$1004,$A591,'AFA Rates'!$B$5:$B$1004,D$23,'AFA Rates'!$O$5:$O$1004,"&lt;&gt;Expired")&gt;0,"✓",IF(COUNTIFS('AFA Rates'!$A$5:$A$1004,$A591,'AFA Rates'!$B$5:$B$1004,D$23)&gt;0,"Exp","")))</f>
        <v/>
      </c>
      <c r="E591" s="79">
        <f>IF(OR($A591="",E$23=""),"",IF(COUNTIFS('AFA Rates'!$A$5:$A$1004,$A591,'AFA Rates'!$B$5:$B$1004,E$23,'AFA Rates'!$O$5:$O$1004,"&lt;&gt;Expired")&gt;0,"✓",IF(COUNTIFS('AFA Rates'!$A$5:$A$1004,$A591,'AFA Rates'!$B$5:$B$1004,E$23)&gt;0,"Exp","")))</f>
        <v/>
      </c>
      <c r="F591" s="79">
        <f>IF(OR($A591="",F$23=""),"",IF(COUNTIFS('AFA Rates'!$A$5:$A$1004,$A591,'AFA Rates'!$B$5:$B$1004,F$23,'AFA Rates'!$O$5:$O$1004,"&lt;&gt;Expired")&gt;0,"✓",IF(COUNTIFS('AFA Rates'!$A$5:$A$1004,$A591,'AFA Rates'!$B$5:$B$1004,F$23)&gt;0,"Exp","")))</f>
        <v/>
      </c>
      <c r="G591" s="79">
        <f>IF(OR($A591="",G$23=""),"",IF(COUNTIFS('AFA Rates'!$A$5:$A$1004,$A591,'AFA Rates'!$B$5:$B$1004,G$23,'AFA Rates'!$O$5:$O$1004,"&lt;&gt;Expired")&gt;0,"✓",IF(COUNTIFS('AFA Rates'!$A$5:$A$1004,$A591,'AFA Rates'!$B$5:$B$1004,G$23)&gt;0,"Exp","")))</f>
        <v/>
      </c>
      <c r="H591" s="79">
        <f>IF(OR($A591="",H$23=""),"",IF(COUNTIFS('AFA Rates'!$A$5:$A$1004,$A591,'AFA Rates'!$B$5:$B$1004,H$23,'AFA Rates'!$O$5:$O$1004,"&lt;&gt;Expired")&gt;0,"✓",IF(COUNTIFS('AFA Rates'!$A$5:$A$1004,$A591,'AFA Rates'!$B$5:$B$1004,H$23)&gt;0,"Exp","")))</f>
        <v/>
      </c>
      <c r="I591" s="79">
        <f>IF(OR($A591="",I$23=""),"",IF(COUNTIFS('AFA Rates'!$A$5:$A$1004,$A591,'AFA Rates'!$B$5:$B$1004,I$23,'AFA Rates'!$O$5:$O$1004,"&lt;&gt;Expired")&gt;0,"✓",IF(COUNTIFS('AFA Rates'!$A$5:$A$1004,$A591,'AFA Rates'!$B$5:$B$1004,I$23)&gt;0,"Exp","")))</f>
        <v/>
      </c>
      <c r="J591" s="79">
        <f>IF(OR($A591="",J$23=""),"",IF(COUNTIFS('AFA Rates'!$A$5:$A$1004,$A591,'AFA Rates'!$B$5:$B$1004,J$23,'AFA Rates'!$O$5:$O$1004,"&lt;&gt;Expired")&gt;0,"✓",IF(COUNTIFS('AFA Rates'!$A$5:$A$1004,$A591,'AFA Rates'!$B$5:$B$1004,J$23)&gt;0,"Exp","")))</f>
        <v/>
      </c>
      <c r="K591" s="79">
        <f>IF(OR($A591="",K$23=""),"",IF(COUNTIFS('AFA Rates'!$A$5:$A$1004,$A591,'AFA Rates'!$B$5:$B$1004,K$23,'AFA Rates'!$O$5:$O$1004,"&lt;&gt;Expired")&gt;0,"✓",IF(COUNTIFS('AFA Rates'!$A$5:$A$1004,$A591,'AFA Rates'!$B$5:$B$1004,K$23)&gt;0,"Exp","")))</f>
        <v/>
      </c>
      <c r="L591" s="79">
        <f>IF(OR($A591="",L$23=""),"",IF(COUNTIFS('AFA Rates'!$A$5:$A$1004,$A591,'AFA Rates'!$B$5:$B$1004,L$23,'AFA Rates'!$O$5:$O$1004,"&lt;&gt;Expired")&gt;0,"✓",IF(COUNTIFS('AFA Rates'!$A$5:$A$1004,$A591,'AFA Rates'!$B$5:$B$1004,L$23)&gt;0,"Exp","")))</f>
        <v/>
      </c>
      <c r="M591" s="79">
        <f>IF(OR($A591="",M$23=""),"",IF(COUNTIFS('AFA Rates'!$A$5:$A$1004,$A591,'AFA Rates'!$B$5:$B$1004,M$23,'AFA Rates'!$O$5:$O$1004,"&lt;&gt;Expired")&gt;0,"✓",IF(COUNTIFS('AFA Rates'!$A$5:$A$1004,$A591,'AFA Rates'!$B$5:$B$1004,M$23)&gt;0,"Exp","")))</f>
        <v/>
      </c>
    </row>
    <row r="592">
      <c r="A592" s="78">
        <f>IFERROR(INDEX(Firms!$A$5:$A$1004,MATCH(569,Firms!$V$5:$V$1004,0)),"")</f>
        <v/>
      </c>
      <c r="B592" s="79">
        <f>IF($A592="","",INDEX(Firms!$B$5:$B$1004,MATCH(569,Firms!$V$5:$V$1004,0)))</f>
        <v/>
      </c>
      <c r="C592" s="79">
        <f>IF($A592="","",COUNTIFS('AFA Rates'!$A$5:$A$1004,$A592,'AFA Rates'!$O$5:$O$1004,"&lt;&gt;Expired"))</f>
        <v/>
      </c>
      <c r="D592" s="79">
        <f>IF(OR($A592="",D$23=""),"",IF(COUNTIFS('AFA Rates'!$A$5:$A$1004,$A592,'AFA Rates'!$B$5:$B$1004,D$23,'AFA Rates'!$O$5:$O$1004,"&lt;&gt;Expired")&gt;0,"✓",IF(COUNTIFS('AFA Rates'!$A$5:$A$1004,$A592,'AFA Rates'!$B$5:$B$1004,D$23)&gt;0,"Exp","")))</f>
        <v/>
      </c>
      <c r="E592" s="79">
        <f>IF(OR($A592="",E$23=""),"",IF(COUNTIFS('AFA Rates'!$A$5:$A$1004,$A592,'AFA Rates'!$B$5:$B$1004,E$23,'AFA Rates'!$O$5:$O$1004,"&lt;&gt;Expired")&gt;0,"✓",IF(COUNTIFS('AFA Rates'!$A$5:$A$1004,$A592,'AFA Rates'!$B$5:$B$1004,E$23)&gt;0,"Exp","")))</f>
        <v/>
      </c>
      <c r="F592" s="79">
        <f>IF(OR($A592="",F$23=""),"",IF(COUNTIFS('AFA Rates'!$A$5:$A$1004,$A592,'AFA Rates'!$B$5:$B$1004,F$23,'AFA Rates'!$O$5:$O$1004,"&lt;&gt;Expired")&gt;0,"✓",IF(COUNTIFS('AFA Rates'!$A$5:$A$1004,$A592,'AFA Rates'!$B$5:$B$1004,F$23)&gt;0,"Exp","")))</f>
        <v/>
      </c>
      <c r="G592" s="79">
        <f>IF(OR($A592="",G$23=""),"",IF(COUNTIFS('AFA Rates'!$A$5:$A$1004,$A592,'AFA Rates'!$B$5:$B$1004,G$23,'AFA Rates'!$O$5:$O$1004,"&lt;&gt;Expired")&gt;0,"✓",IF(COUNTIFS('AFA Rates'!$A$5:$A$1004,$A592,'AFA Rates'!$B$5:$B$1004,G$23)&gt;0,"Exp","")))</f>
        <v/>
      </c>
      <c r="H592" s="79">
        <f>IF(OR($A592="",H$23=""),"",IF(COUNTIFS('AFA Rates'!$A$5:$A$1004,$A592,'AFA Rates'!$B$5:$B$1004,H$23,'AFA Rates'!$O$5:$O$1004,"&lt;&gt;Expired")&gt;0,"✓",IF(COUNTIFS('AFA Rates'!$A$5:$A$1004,$A592,'AFA Rates'!$B$5:$B$1004,H$23)&gt;0,"Exp","")))</f>
        <v/>
      </c>
      <c r="I592" s="79">
        <f>IF(OR($A592="",I$23=""),"",IF(COUNTIFS('AFA Rates'!$A$5:$A$1004,$A592,'AFA Rates'!$B$5:$B$1004,I$23,'AFA Rates'!$O$5:$O$1004,"&lt;&gt;Expired")&gt;0,"✓",IF(COUNTIFS('AFA Rates'!$A$5:$A$1004,$A592,'AFA Rates'!$B$5:$B$1004,I$23)&gt;0,"Exp","")))</f>
        <v/>
      </c>
      <c r="J592" s="79">
        <f>IF(OR($A592="",J$23=""),"",IF(COUNTIFS('AFA Rates'!$A$5:$A$1004,$A592,'AFA Rates'!$B$5:$B$1004,J$23,'AFA Rates'!$O$5:$O$1004,"&lt;&gt;Expired")&gt;0,"✓",IF(COUNTIFS('AFA Rates'!$A$5:$A$1004,$A592,'AFA Rates'!$B$5:$B$1004,J$23)&gt;0,"Exp","")))</f>
        <v/>
      </c>
      <c r="K592" s="79">
        <f>IF(OR($A592="",K$23=""),"",IF(COUNTIFS('AFA Rates'!$A$5:$A$1004,$A592,'AFA Rates'!$B$5:$B$1004,K$23,'AFA Rates'!$O$5:$O$1004,"&lt;&gt;Expired")&gt;0,"✓",IF(COUNTIFS('AFA Rates'!$A$5:$A$1004,$A592,'AFA Rates'!$B$5:$B$1004,K$23)&gt;0,"Exp","")))</f>
        <v/>
      </c>
      <c r="L592" s="79">
        <f>IF(OR($A592="",L$23=""),"",IF(COUNTIFS('AFA Rates'!$A$5:$A$1004,$A592,'AFA Rates'!$B$5:$B$1004,L$23,'AFA Rates'!$O$5:$O$1004,"&lt;&gt;Expired")&gt;0,"✓",IF(COUNTIFS('AFA Rates'!$A$5:$A$1004,$A592,'AFA Rates'!$B$5:$B$1004,L$23)&gt;0,"Exp","")))</f>
        <v/>
      </c>
      <c r="M592" s="79">
        <f>IF(OR($A592="",M$23=""),"",IF(COUNTIFS('AFA Rates'!$A$5:$A$1004,$A592,'AFA Rates'!$B$5:$B$1004,M$23,'AFA Rates'!$O$5:$O$1004,"&lt;&gt;Expired")&gt;0,"✓",IF(COUNTIFS('AFA Rates'!$A$5:$A$1004,$A592,'AFA Rates'!$B$5:$B$1004,M$23)&gt;0,"Exp","")))</f>
        <v/>
      </c>
    </row>
    <row r="593">
      <c r="A593" s="78">
        <f>IFERROR(INDEX(Firms!$A$5:$A$1004,MATCH(570,Firms!$V$5:$V$1004,0)),"")</f>
        <v/>
      </c>
      <c r="B593" s="79">
        <f>IF($A593="","",INDEX(Firms!$B$5:$B$1004,MATCH(570,Firms!$V$5:$V$1004,0)))</f>
        <v/>
      </c>
      <c r="C593" s="79">
        <f>IF($A593="","",COUNTIFS('AFA Rates'!$A$5:$A$1004,$A593,'AFA Rates'!$O$5:$O$1004,"&lt;&gt;Expired"))</f>
        <v/>
      </c>
      <c r="D593" s="79">
        <f>IF(OR($A593="",D$23=""),"",IF(COUNTIFS('AFA Rates'!$A$5:$A$1004,$A593,'AFA Rates'!$B$5:$B$1004,D$23,'AFA Rates'!$O$5:$O$1004,"&lt;&gt;Expired")&gt;0,"✓",IF(COUNTIFS('AFA Rates'!$A$5:$A$1004,$A593,'AFA Rates'!$B$5:$B$1004,D$23)&gt;0,"Exp","")))</f>
        <v/>
      </c>
      <c r="E593" s="79">
        <f>IF(OR($A593="",E$23=""),"",IF(COUNTIFS('AFA Rates'!$A$5:$A$1004,$A593,'AFA Rates'!$B$5:$B$1004,E$23,'AFA Rates'!$O$5:$O$1004,"&lt;&gt;Expired")&gt;0,"✓",IF(COUNTIFS('AFA Rates'!$A$5:$A$1004,$A593,'AFA Rates'!$B$5:$B$1004,E$23)&gt;0,"Exp","")))</f>
        <v/>
      </c>
      <c r="F593" s="79">
        <f>IF(OR($A593="",F$23=""),"",IF(COUNTIFS('AFA Rates'!$A$5:$A$1004,$A593,'AFA Rates'!$B$5:$B$1004,F$23,'AFA Rates'!$O$5:$O$1004,"&lt;&gt;Expired")&gt;0,"✓",IF(COUNTIFS('AFA Rates'!$A$5:$A$1004,$A593,'AFA Rates'!$B$5:$B$1004,F$23)&gt;0,"Exp","")))</f>
        <v/>
      </c>
      <c r="G593" s="79">
        <f>IF(OR($A593="",G$23=""),"",IF(COUNTIFS('AFA Rates'!$A$5:$A$1004,$A593,'AFA Rates'!$B$5:$B$1004,G$23,'AFA Rates'!$O$5:$O$1004,"&lt;&gt;Expired")&gt;0,"✓",IF(COUNTIFS('AFA Rates'!$A$5:$A$1004,$A593,'AFA Rates'!$B$5:$B$1004,G$23)&gt;0,"Exp","")))</f>
        <v/>
      </c>
      <c r="H593" s="79">
        <f>IF(OR($A593="",H$23=""),"",IF(COUNTIFS('AFA Rates'!$A$5:$A$1004,$A593,'AFA Rates'!$B$5:$B$1004,H$23,'AFA Rates'!$O$5:$O$1004,"&lt;&gt;Expired")&gt;0,"✓",IF(COUNTIFS('AFA Rates'!$A$5:$A$1004,$A593,'AFA Rates'!$B$5:$B$1004,H$23)&gt;0,"Exp","")))</f>
        <v/>
      </c>
      <c r="I593" s="79">
        <f>IF(OR($A593="",I$23=""),"",IF(COUNTIFS('AFA Rates'!$A$5:$A$1004,$A593,'AFA Rates'!$B$5:$B$1004,I$23,'AFA Rates'!$O$5:$O$1004,"&lt;&gt;Expired")&gt;0,"✓",IF(COUNTIFS('AFA Rates'!$A$5:$A$1004,$A593,'AFA Rates'!$B$5:$B$1004,I$23)&gt;0,"Exp","")))</f>
        <v/>
      </c>
      <c r="J593" s="79">
        <f>IF(OR($A593="",J$23=""),"",IF(COUNTIFS('AFA Rates'!$A$5:$A$1004,$A593,'AFA Rates'!$B$5:$B$1004,J$23,'AFA Rates'!$O$5:$O$1004,"&lt;&gt;Expired")&gt;0,"✓",IF(COUNTIFS('AFA Rates'!$A$5:$A$1004,$A593,'AFA Rates'!$B$5:$B$1004,J$23)&gt;0,"Exp","")))</f>
        <v/>
      </c>
      <c r="K593" s="79">
        <f>IF(OR($A593="",K$23=""),"",IF(COUNTIFS('AFA Rates'!$A$5:$A$1004,$A593,'AFA Rates'!$B$5:$B$1004,K$23,'AFA Rates'!$O$5:$O$1004,"&lt;&gt;Expired")&gt;0,"✓",IF(COUNTIFS('AFA Rates'!$A$5:$A$1004,$A593,'AFA Rates'!$B$5:$B$1004,K$23)&gt;0,"Exp","")))</f>
        <v/>
      </c>
      <c r="L593" s="79">
        <f>IF(OR($A593="",L$23=""),"",IF(COUNTIFS('AFA Rates'!$A$5:$A$1004,$A593,'AFA Rates'!$B$5:$B$1004,L$23,'AFA Rates'!$O$5:$O$1004,"&lt;&gt;Expired")&gt;0,"✓",IF(COUNTIFS('AFA Rates'!$A$5:$A$1004,$A593,'AFA Rates'!$B$5:$B$1004,L$23)&gt;0,"Exp","")))</f>
        <v/>
      </c>
      <c r="M593" s="79">
        <f>IF(OR($A593="",M$23=""),"",IF(COUNTIFS('AFA Rates'!$A$5:$A$1004,$A593,'AFA Rates'!$B$5:$B$1004,M$23,'AFA Rates'!$O$5:$O$1004,"&lt;&gt;Expired")&gt;0,"✓",IF(COUNTIFS('AFA Rates'!$A$5:$A$1004,$A593,'AFA Rates'!$B$5:$B$1004,M$23)&gt;0,"Exp","")))</f>
        <v/>
      </c>
    </row>
    <row r="594">
      <c r="A594" s="78">
        <f>IFERROR(INDEX(Firms!$A$5:$A$1004,MATCH(571,Firms!$V$5:$V$1004,0)),"")</f>
        <v/>
      </c>
      <c r="B594" s="79">
        <f>IF($A594="","",INDEX(Firms!$B$5:$B$1004,MATCH(571,Firms!$V$5:$V$1004,0)))</f>
        <v/>
      </c>
      <c r="C594" s="79">
        <f>IF($A594="","",COUNTIFS('AFA Rates'!$A$5:$A$1004,$A594,'AFA Rates'!$O$5:$O$1004,"&lt;&gt;Expired"))</f>
        <v/>
      </c>
      <c r="D594" s="79">
        <f>IF(OR($A594="",D$23=""),"",IF(COUNTIFS('AFA Rates'!$A$5:$A$1004,$A594,'AFA Rates'!$B$5:$B$1004,D$23,'AFA Rates'!$O$5:$O$1004,"&lt;&gt;Expired")&gt;0,"✓",IF(COUNTIFS('AFA Rates'!$A$5:$A$1004,$A594,'AFA Rates'!$B$5:$B$1004,D$23)&gt;0,"Exp","")))</f>
        <v/>
      </c>
      <c r="E594" s="79">
        <f>IF(OR($A594="",E$23=""),"",IF(COUNTIFS('AFA Rates'!$A$5:$A$1004,$A594,'AFA Rates'!$B$5:$B$1004,E$23,'AFA Rates'!$O$5:$O$1004,"&lt;&gt;Expired")&gt;0,"✓",IF(COUNTIFS('AFA Rates'!$A$5:$A$1004,$A594,'AFA Rates'!$B$5:$B$1004,E$23)&gt;0,"Exp","")))</f>
        <v/>
      </c>
      <c r="F594" s="79">
        <f>IF(OR($A594="",F$23=""),"",IF(COUNTIFS('AFA Rates'!$A$5:$A$1004,$A594,'AFA Rates'!$B$5:$B$1004,F$23,'AFA Rates'!$O$5:$O$1004,"&lt;&gt;Expired")&gt;0,"✓",IF(COUNTIFS('AFA Rates'!$A$5:$A$1004,$A594,'AFA Rates'!$B$5:$B$1004,F$23)&gt;0,"Exp","")))</f>
        <v/>
      </c>
      <c r="G594" s="79">
        <f>IF(OR($A594="",G$23=""),"",IF(COUNTIFS('AFA Rates'!$A$5:$A$1004,$A594,'AFA Rates'!$B$5:$B$1004,G$23,'AFA Rates'!$O$5:$O$1004,"&lt;&gt;Expired")&gt;0,"✓",IF(COUNTIFS('AFA Rates'!$A$5:$A$1004,$A594,'AFA Rates'!$B$5:$B$1004,G$23)&gt;0,"Exp","")))</f>
        <v/>
      </c>
      <c r="H594" s="79">
        <f>IF(OR($A594="",H$23=""),"",IF(COUNTIFS('AFA Rates'!$A$5:$A$1004,$A594,'AFA Rates'!$B$5:$B$1004,H$23,'AFA Rates'!$O$5:$O$1004,"&lt;&gt;Expired")&gt;0,"✓",IF(COUNTIFS('AFA Rates'!$A$5:$A$1004,$A594,'AFA Rates'!$B$5:$B$1004,H$23)&gt;0,"Exp","")))</f>
        <v/>
      </c>
      <c r="I594" s="79">
        <f>IF(OR($A594="",I$23=""),"",IF(COUNTIFS('AFA Rates'!$A$5:$A$1004,$A594,'AFA Rates'!$B$5:$B$1004,I$23,'AFA Rates'!$O$5:$O$1004,"&lt;&gt;Expired")&gt;0,"✓",IF(COUNTIFS('AFA Rates'!$A$5:$A$1004,$A594,'AFA Rates'!$B$5:$B$1004,I$23)&gt;0,"Exp","")))</f>
        <v/>
      </c>
      <c r="J594" s="79">
        <f>IF(OR($A594="",J$23=""),"",IF(COUNTIFS('AFA Rates'!$A$5:$A$1004,$A594,'AFA Rates'!$B$5:$B$1004,J$23,'AFA Rates'!$O$5:$O$1004,"&lt;&gt;Expired")&gt;0,"✓",IF(COUNTIFS('AFA Rates'!$A$5:$A$1004,$A594,'AFA Rates'!$B$5:$B$1004,J$23)&gt;0,"Exp","")))</f>
        <v/>
      </c>
      <c r="K594" s="79">
        <f>IF(OR($A594="",K$23=""),"",IF(COUNTIFS('AFA Rates'!$A$5:$A$1004,$A594,'AFA Rates'!$B$5:$B$1004,K$23,'AFA Rates'!$O$5:$O$1004,"&lt;&gt;Expired")&gt;0,"✓",IF(COUNTIFS('AFA Rates'!$A$5:$A$1004,$A594,'AFA Rates'!$B$5:$B$1004,K$23)&gt;0,"Exp","")))</f>
        <v/>
      </c>
      <c r="L594" s="79">
        <f>IF(OR($A594="",L$23=""),"",IF(COUNTIFS('AFA Rates'!$A$5:$A$1004,$A594,'AFA Rates'!$B$5:$B$1004,L$23,'AFA Rates'!$O$5:$O$1004,"&lt;&gt;Expired")&gt;0,"✓",IF(COUNTIFS('AFA Rates'!$A$5:$A$1004,$A594,'AFA Rates'!$B$5:$B$1004,L$23)&gt;0,"Exp","")))</f>
        <v/>
      </c>
      <c r="M594" s="79">
        <f>IF(OR($A594="",M$23=""),"",IF(COUNTIFS('AFA Rates'!$A$5:$A$1004,$A594,'AFA Rates'!$B$5:$B$1004,M$23,'AFA Rates'!$O$5:$O$1004,"&lt;&gt;Expired")&gt;0,"✓",IF(COUNTIFS('AFA Rates'!$A$5:$A$1004,$A594,'AFA Rates'!$B$5:$B$1004,M$23)&gt;0,"Exp","")))</f>
        <v/>
      </c>
    </row>
    <row r="595">
      <c r="A595" s="78">
        <f>IFERROR(INDEX(Firms!$A$5:$A$1004,MATCH(572,Firms!$V$5:$V$1004,0)),"")</f>
        <v/>
      </c>
      <c r="B595" s="79">
        <f>IF($A595="","",INDEX(Firms!$B$5:$B$1004,MATCH(572,Firms!$V$5:$V$1004,0)))</f>
        <v/>
      </c>
      <c r="C595" s="79">
        <f>IF($A595="","",COUNTIFS('AFA Rates'!$A$5:$A$1004,$A595,'AFA Rates'!$O$5:$O$1004,"&lt;&gt;Expired"))</f>
        <v/>
      </c>
      <c r="D595" s="79">
        <f>IF(OR($A595="",D$23=""),"",IF(COUNTIFS('AFA Rates'!$A$5:$A$1004,$A595,'AFA Rates'!$B$5:$B$1004,D$23,'AFA Rates'!$O$5:$O$1004,"&lt;&gt;Expired")&gt;0,"✓",IF(COUNTIFS('AFA Rates'!$A$5:$A$1004,$A595,'AFA Rates'!$B$5:$B$1004,D$23)&gt;0,"Exp","")))</f>
        <v/>
      </c>
      <c r="E595" s="79">
        <f>IF(OR($A595="",E$23=""),"",IF(COUNTIFS('AFA Rates'!$A$5:$A$1004,$A595,'AFA Rates'!$B$5:$B$1004,E$23,'AFA Rates'!$O$5:$O$1004,"&lt;&gt;Expired")&gt;0,"✓",IF(COUNTIFS('AFA Rates'!$A$5:$A$1004,$A595,'AFA Rates'!$B$5:$B$1004,E$23)&gt;0,"Exp","")))</f>
        <v/>
      </c>
      <c r="F595" s="79">
        <f>IF(OR($A595="",F$23=""),"",IF(COUNTIFS('AFA Rates'!$A$5:$A$1004,$A595,'AFA Rates'!$B$5:$B$1004,F$23,'AFA Rates'!$O$5:$O$1004,"&lt;&gt;Expired")&gt;0,"✓",IF(COUNTIFS('AFA Rates'!$A$5:$A$1004,$A595,'AFA Rates'!$B$5:$B$1004,F$23)&gt;0,"Exp","")))</f>
        <v/>
      </c>
      <c r="G595" s="79">
        <f>IF(OR($A595="",G$23=""),"",IF(COUNTIFS('AFA Rates'!$A$5:$A$1004,$A595,'AFA Rates'!$B$5:$B$1004,G$23,'AFA Rates'!$O$5:$O$1004,"&lt;&gt;Expired")&gt;0,"✓",IF(COUNTIFS('AFA Rates'!$A$5:$A$1004,$A595,'AFA Rates'!$B$5:$B$1004,G$23)&gt;0,"Exp","")))</f>
        <v/>
      </c>
      <c r="H595" s="79">
        <f>IF(OR($A595="",H$23=""),"",IF(COUNTIFS('AFA Rates'!$A$5:$A$1004,$A595,'AFA Rates'!$B$5:$B$1004,H$23,'AFA Rates'!$O$5:$O$1004,"&lt;&gt;Expired")&gt;0,"✓",IF(COUNTIFS('AFA Rates'!$A$5:$A$1004,$A595,'AFA Rates'!$B$5:$B$1004,H$23)&gt;0,"Exp","")))</f>
        <v/>
      </c>
      <c r="I595" s="79">
        <f>IF(OR($A595="",I$23=""),"",IF(COUNTIFS('AFA Rates'!$A$5:$A$1004,$A595,'AFA Rates'!$B$5:$B$1004,I$23,'AFA Rates'!$O$5:$O$1004,"&lt;&gt;Expired")&gt;0,"✓",IF(COUNTIFS('AFA Rates'!$A$5:$A$1004,$A595,'AFA Rates'!$B$5:$B$1004,I$23)&gt;0,"Exp","")))</f>
        <v/>
      </c>
      <c r="J595" s="79">
        <f>IF(OR($A595="",J$23=""),"",IF(COUNTIFS('AFA Rates'!$A$5:$A$1004,$A595,'AFA Rates'!$B$5:$B$1004,J$23,'AFA Rates'!$O$5:$O$1004,"&lt;&gt;Expired")&gt;0,"✓",IF(COUNTIFS('AFA Rates'!$A$5:$A$1004,$A595,'AFA Rates'!$B$5:$B$1004,J$23)&gt;0,"Exp","")))</f>
        <v/>
      </c>
      <c r="K595" s="79">
        <f>IF(OR($A595="",K$23=""),"",IF(COUNTIFS('AFA Rates'!$A$5:$A$1004,$A595,'AFA Rates'!$B$5:$B$1004,K$23,'AFA Rates'!$O$5:$O$1004,"&lt;&gt;Expired")&gt;0,"✓",IF(COUNTIFS('AFA Rates'!$A$5:$A$1004,$A595,'AFA Rates'!$B$5:$B$1004,K$23)&gt;0,"Exp","")))</f>
        <v/>
      </c>
      <c r="L595" s="79">
        <f>IF(OR($A595="",L$23=""),"",IF(COUNTIFS('AFA Rates'!$A$5:$A$1004,$A595,'AFA Rates'!$B$5:$B$1004,L$23,'AFA Rates'!$O$5:$O$1004,"&lt;&gt;Expired")&gt;0,"✓",IF(COUNTIFS('AFA Rates'!$A$5:$A$1004,$A595,'AFA Rates'!$B$5:$B$1004,L$23)&gt;0,"Exp","")))</f>
        <v/>
      </c>
      <c r="M595" s="79">
        <f>IF(OR($A595="",M$23=""),"",IF(COUNTIFS('AFA Rates'!$A$5:$A$1004,$A595,'AFA Rates'!$B$5:$B$1004,M$23,'AFA Rates'!$O$5:$O$1004,"&lt;&gt;Expired")&gt;0,"✓",IF(COUNTIFS('AFA Rates'!$A$5:$A$1004,$A595,'AFA Rates'!$B$5:$B$1004,M$23)&gt;0,"Exp","")))</f>
        <v/>
      </c>
    </row>
    <row r="596">
      <c r="A596" s="78">
        <f>IFERROR(INDEX(Firms!$A$5:$A$1004,MATCH(573,Firms!$V$5:$V$1004,0)),"")</f>
        <v/>
      </c>
      <c r="B596" s="79">
        <f>IF($A596="","",INDEX(Firms!$B$5:$B$1004,MATCH(573,Firms!$V$5:$V$1004,0)))</f>
        <v/>
      </c>
      <c r="C596" s="79">
        <f>IF($A596="","",COUNTIFS('AFA Rates'!$A$5:$A$1004,$A596,'AFA Rates'!$O$5:$O$1004,"&lt;&gt;Expired"))</f>
        <v/>
      </c>
      <c r="D596" s="79">
        <f>IF(OR($A596="",D$23=""),"",IF(COUNTIFS('AFA Rates'!$A$5:$A$1004,$A596,'AFA Rates'!$B$5:$B$1004,D$23,'AFA Rates'!$O$5:$O$1004,"&lt;&gt;Expired")&gt;0,"✓",IF(COUNTIFS('AFA Rates'!$A$5:$A$1004,$A596,'AFA Rates'!$B$5:$B$1004,D$23)&gt;0,"Exp","")))</f>
        <v/>
      </c>
      <c r="E596" s="79">
        <f>IF(OR($A596="",E$23=""),"",IF(COUNTIFS('AFA Rates'!$A$5:$A$1004,$A596,'AFA Rates'!$B$5:$B$1004,E$23,'AFA Rates'!$O$5:$O$1004,"&lt;&gt;Expired")&gt;0,"✓",IF(COUNTIFS('AFA Rates'!$A$5:$A$1004,$A596,'AFA Rates'!$B$5:$B$1004,E$23)&gt;0,"Exp","")))</f>
        <v/>
      </c>
      <c r="F596" s="79">
        <f>IF(OR($A596="",F$23=""),"",IF(COUNTIFS('AFA Rates'!$A$5:$A$1004,$A596,'AFA Rates'!$B$5:$B$1004,F$23,'AFA Rates'!$O$5:$O$1004,"&lt;&gt;Expired")&gt;0,"✓",IF(COUNTIFS('AFA Rates'!$A$5:$A$1004,$A596,'AFA Rates'!$B$5:$B$1004,F$23)&gt;0,"Exp","")))</f>
        <v/>
      </c>
      <c r="G596" s="79">
        <f>IF(OR($A596="",G$23=""),"",IF(COUNTIFS('AFA Rates'!$A$5:$A$1004,$A596,'AFA Rates'!$B$5:$B$1004,G$23,'AFA Rates'!$O$5:$O$1004,"&lt;&gt;Expired")&gt;0,"✓",IF(COUNTIFS('AFA Rates'!$A$5:$A$1004,$A596,'AFA Rates'!$B$5:$B$1004,G$23)&gt;0,"Exp","")))</f>
        <v/>
      </c>
      <c r="H596" s="79">
        <f>IF(OR($A596="",H$23=""),"",IF(COUNTIFS('AFA Rates'!$A$5:$A$1004,$A596,'AFA Rates'!$B$5:$B$1004,H$23,'AFA Rates'!$O$5:$O$1004,"&lt;&gt;Expired")&gt;0,"✓",IF(COUNTIFS('AFA Rates'!$A$5:$A$1004,$A596,'AFA Rates'!$B$5:$B$1004,H$23)&gt;0,"Exp","")))</f>
        <v/>
      </c>
      <c r="I596" s="79">
        <f>IF(OR($A596="",I$23=""),"",IF(COUNTIFS('AFA Rates'!$A$5:$A$1004,$A596,'AFA Rates'!$B$5:$B$1004,I$23,'AFA Rates'!$O$5:$O$1004,"&lt;&gt;Expired")&gt;0,"✓",IF(COUNTIFS('AFA Rates'!$A$5:$A$1004,$A596,'AFA Rates'!$B$5:$B$1004,I$23)&gt;0,"Exp","")))</f>
        <v/>
      </c>
      <c r="J596" s="79">
        <f>IF(OR($A596="",J$23=""),"",IF(COUNTIFS('AFA Rates'!$A$5:$A$1004,$A596,'AFA Rates'!$B$5:$B$1004,J$23,'AFA Rates'!$O$5:$O$1004,"&lt;&gt;Expired")&gt;0,"✓",IF(COUNTIFS('AFA Rates'!$A$5:$A$1004,$A596,'AFA Rates'!$B$5:$B$1004,J$23)&gt;0,"Exp","")))</f>
        <v/>
      </c>
      <c r="K596" s="79">
        <f>IF(OR($A596="",K$23=""),"",IF(COUNTIFS('AFA Rates'!$A$5:$A$1004,$A596,'AFA Rates'!$B$5:$B$1004,K$23,'AFA Rates'!$O$5:$O$1004,"&lt;&gt;Expired")&gt;0,"✓",IF(COUNTIFS('AFA Rates'!$A$5:$A$1004,$A596,'AFA Rates'!$B$5:$B$1004,K$23)&gt;0,"Exp","")))</f>
        <v/>
      </c>
      <c r="L596" s="79">
        <f>IF(OR($A596="",L$23=""),"",IF(COUNTIFS('AFA Rates'!$A$5:$A$1004,$A596,'AFA Rates'!$B$5:$B$1004,L$23,'AFA Rates'!$O$5:$O$1004,"&lt;&gt;Expired")&gt;0,"✓",IF(COUNTIFS('AFA Rates'!$A$5:$A$1004,$A596,'AFA Rates'!$B$5:$B$1004,L$23)&gt;0,"Exp","")))</f>
        <v/>
      </c>
      <c r="M596" s="79">
        <f>IF(OR($A596="",M$23=""),"",IF(COUNTIFS('AFA Rates'!$A$5:$A$1004,$A596,'AFA Rates'!$B$5:$B$1004,M$23,'AFA Rates'!$O$5:$O$1004,"&lt;&gt;Expired")&gt;0,"✓",IF(COUNTIFS('AFA Rates'!$A$5:$A$1004,$A596,'AFA Rates'!$B$5:$B$1004,M$23)&gt;0,"Exp","")))</f>
        <v/>
      </c>
    </row>
    <row r="597">
      <c r="A597" s="78">
        <f>IFERROR(INDEX(Firms!$A$5:$A$1004,MATCH(574,Firms!$V$5:$V$1004,0)),"")</f>
        <v/>
      </c>
      <c r="B597" s="79">
        <f>IF($A597="","",INDEX(Firms!$B$5:$B$1004,MATCH(574,Firms!$V$5:$V$1004,0)))</f>
        <v/>
      </c>
      <c r="C597" s="79">
        <f>IF($A597="","",COUNTIFS('AFA Rates'!$A$5:$A$1004,$A597,'AFA Rates'!$O$5:$O$1004,"&lt;&gt;Expired"))</f>
        <v/>
      </c>
      <c r="D597" s="79">
        <f>IF(OR($A597="",D$23=""),"",IF(COUNTIFS('AFA Rates'!$A$5:$A$1004,$A597,'AFA Rates'!$B$5:$B$1004,D$23,'AFA Rates'!$O$5:$O$1004,"&lt;&gt;Expired")&gt;0,"✓",IF(COUNTIFS('AFA Rates'!$A$5:$A$1004,$A597,'AFA Rates'!$B$5:$B$1004,D$23)&gt;0,"Exp","")))</f>
        <v/>
      </c>
      <c r="E597" s="79">
        <f>IF(OR($A597="",E$23=""),"",IF(COUNTIFS('AFA Rates'!$A$5:$A$1004,$A597,'AFA Rates'!$B$5:$B$1004,E$23,'AFA Rates'!$O$5:$O$1004,"&lt;&gt;Expired")&gt;0,"✓",IF(COUNTIFS('AFA Rates'!$A$5:$A$1004,$A597,'AFA Rates'!$B$5:$B$1004,E$23)&gt;0,"Exp","")))</f>
        <v/>
      </c>
      <c r="F597" s="79">
        <f>IF(OR($A597="",F$23=""),"",IF(COUNTIFS('AFA Rates'!$A$5:$A$1004,$A597,'AFA Rates'!$B$5:$B$1004,F$23,'AFA Rates'!$O$5:$O$1004,"&lt;&gt;Expired")&gt;0,"✓",IF(COUNTIFS('AFA Rates'!$A$5:$A$1004,$A597,'AFA Rates'!$B$5:$B$1004,F$23)&gt;0,"Exp","")))</f>
        <v/>
      </c>
      <c r="G597" s="79">
        <f>IF(OR($A597="",G$23=""),"",IF(COUNTIFS('AFA Rates'!$A$5:$A$1004,$A597,'AFA Rates'!$B$5:$B$1004,G$23,'AFA Rates'!$O$5:$O$1004,"&lt;&gt;Expired")&gt;0,"✓",IF(COUNTIFS('AFA Rates'!$A$5:$A$1004,$A597,'AFA Rates'!$B$5:$B$1004,G$23)&gt;0,"Exp","")))</f>
        <v/>
      </c>
      <c r="H597" s="79">
        <f>IF(OR($A597="",H$23=""),"",IF(COUNTIFS('AFA Rates'!$A$5:$A$1004,$A597,'AFA Rates'!$B$5:$B$1004,H$23,'AFA Rates'!$O$5:$O$1004,"&lt;&gt;Expired")&gt;0,"✓",IF(COUNTIFS('AFA Rates'!$A$5:$A$1004,$A597,'AFA Rates'!$B$5:$B$1004,H$23)&gt;0,"Exp","")))</f>
        <v/>
      </c>
      <c r="I597" s="79">
        <f>IF(OR($A597="",I$23=""),"",IF(COUNTIFS('AFA Rates'!$A$5:$A$1004,$A597,'AFA Rates'!$B$5:$B$1004,I$23,'AFA Rates'!$O$5:$O$1004,"&lt;&gt;Expired")&gt;0,"✓",IF(COUNTIFS('AFA Rates'!$A$5:$A$1004,$A597,'AFA Rates'!$B$5:$B$1004,I$23)&gt;0,"Exp","")))</f>
        <v/>
      </c>
      <c r="J597" s="79">
        <f>IF(OR($A597="",J$23=""),"",IF(COUNTIFS('AFA Rates'!$A$5:$A$1004,$A597,'AFA Rates'!$B$5:$B$1004,J$23,'AFA Rates'!$O$5:$O$1004,"&lt;&gt;Expired")&gt;0,"✓",IF(COUNTIFS('AFA Rates'!$A$5:$A$1004,$A597,'AFA Rates'!$B$5:$B$1004,J$23)&gt;0,"Exp","")))</f>
        <v/>
      </c>
      <c r="K597" s="79">
        <f>IF(OR($A597="",K$23=""),"",IF(COUNTIFS('AFA Rates'!$A$5:$A$1004,$A597,'AFA Rates'!$B$5:$B$1004,K$23,'AFA Rates'!$O$5:$O$1004,"&lt;&gt;Expired")&gt;0,"✓",IF(COUNTIFS('AFA Rates'!$A$5:$A$1004,$A597,'AFA Rates'!$B$5:$B$1004,K$23)&gt;0,"Exp","")))</f>
        <v/>
      </c>
      <c r="L597" s="79">
        <f>IF(OR($A597="",L$23=""),"",IF(COUNTIFS('AFA Rates'!$A$5:$A$1004,$A597,'AFA Rates'!$B$5:$B$1004,L$23,'AFA Rates'!$O$5:$O$1004,"&lt;&gt;Expired")&gt;0,"✓",IF(COUNTIFS('AFA Rates'!$A$5:$A$1004,$A597,'AFA Rates'!$B$5:$B$1004,L$23)&gt;0,"Exp","")))</f>
        <v/>
      </c>
      <c r="M597" s="79">
        <f>IF(OR($A597="",M$23=""),"",IF(COUNTIFS('AFA Rates'!$A$5:$A$1004,$A597,'AFA Rates'!$B$5:$B$1004,M$23,'AFA Rates'!$O$5:$O$1004,"&lt;&gt;Expired")&gt;0,"✓",IF(COUNTIFS('AFA Rates'!$A$5:$A$1004,$A597,'AFA Rates'!$B$5:$B$1004,M$23)&gt;0,"Exp","")))</f>
        <v/>
      </c>
    </row>
    <row r="598">
      <c r="A598" s="78">
        <f>IFERROR(INDEX(Firms!$A$5:$A$1004,MATCH(575,Firms!$V$5:$V$1004,0)),"")</f>
        <v/>
      </c>
      <c r="B598" s="79">
        <f>IF($A598="","",INDEX(Firms!$B$5:$B$1004,MATCH(575,Firms!$V$5:$V$1004,0)))</f>
        <v/>
      </c>
      <c r="C598" s="79">
        <f>IF($A598="","",COUNTIFS('AFA Rates'!$A$5:$A$1004,$A598,'AFA Rates'!$O$5:$O$1004,"&lt;&gt;Expired"))</f>
        <v/>
      </c>
      <c r="D598" s="79">
        <f>IF(OR($A598="",D$23=""),"",IF(COUNTIFS('AFA Rates'!$A$5:$A$1004,$A598,'AFA Rates'!$B$5:$B$1004,D$23,'AFA Rates'!$O$5:$O$1004,"&lt;&gt;Expired")&gt;0,"✓",IF(COUNTIFS('AFA Rates'!$A$5:$A$1004,$A598,'AFA Rates'!$B$5:$B$1004,D$23)&gt;0,"Exp","")))</f>
        <v/>
      </c>
      <c r="E598" s="79">
        <f>IF(OR($A598="",E$23=""),"",IF(COUNTIFS('AFA Rates'!$A$5:$A$1004,$A598,'AFA Rates'!$B$5:$B$1004,E$23,'AFA Rates'!$O$5:$O$1004,"&lt;&gt;Expired")&gt;0,"✓",IF(COUNTIFS('AFA Rates'!$A$5:$A$1004,$A598,'AFA Rates'!$B$5:$B$1004,E$23)&gt;0,"Exp","")))</f>
        <v/>
      </c>
      <c r="F598" s="79">
        <f>IF(OR($A598="",F$23=""),"",IF(COUNTIFS('AFA Rates'!$A$5:$A$1004,$A598,'AFA Rates'!$B$5:$B$1004,F$23,'AFA Rates'!$O$5:$O$1004,"&lt;&gt;Expired")&gt;0,"✓",IF(COUNTIFS('AFA Rates'!$A$5:$A$1004,$A598,'AFA Rates'!$B$5:$B$1004,F$23)&gt;0,"Exp","")))</f>
        <v/>
      </c>
      <c r="G598" s="79">
        <f>IF(OR($A598="",G$23=""),"",IF(COUNTIFS('AFA Rates'!$A$5:$A$1004,$A598,'AFA Rates'!$B$5:$B$1004,G$23,'AFA Rates'!$O$5:$O$1004,"&lt;&gt;Expired")&gt;0,"✓",IF(COUNTIFS('AFA Rates'!$A$5:$A$1004,$A598,'AFA Rates'!$B$5:$B$1004,G$23)&gt;0,"Exp","")))</f>
        <v/>
      </c>
      <c r="H598" s="79">
        <f>IF(OR($A598="",H$23=""),"",IF(COUNTIFS('AFA Rates'!$A$5:$A$1004,$A598,'AFA Rates'!$B$5:$B$1004,H$23,'AFA Rates'!$O$5:$O$1004,"&lt;&gt;Expired")&gt;0,"✓",IF(COUNTIFS('AFA Rates'!$A$5:$A$1004,$A598,'AFA Rates'!$B$5:$B$1004,H$23)&gt;0,"Exp","")))</f>
        <v/>
      </c>
      <c r="I598" s="79">
        <f>IF(OR($A598="",I$23=""),"",IF(COUNTIFS('AFA Rates'!$A$5:$A$1004,$A598,'AFA Rates'!$B$5:$B$1004,I$23,'AFA Rates'!$O$5:$O$1004,"&lt;&gt;Expired")&gt;0,"✓",IF(COUNTIFS('AFA Rates'!$A$5:$A$1004,$A598,'AFA Rates'!$B$5:$B$1004,I$23)&gt;0,"Exp","")))</f>
        <v/>
      </c>
      <c r="J598" s="79">
        <f>IF(OR($A598="",J$23=""),"",IF(COUNTIFS('AFA Rates'!$A$5:$A$1004,$A598,'AFA Rates'!$B$5:$B$1004,J$23,'AFA Rates'!$O$5:$O$1004,"&lt;&gt;Expired")&gt;0,"✓",IF(COUNTIFS('AFA Rates'!$A$5:$A$1004,$A598,'AFA Rates'!$B$5:$B$1004,J$23)&gt;0,"Exp","")))</f>
        <v/>
      </c>
      <c r="K598" s="79">
        <f>IF(OR($A598="",K$23=""),"",IF(COUNTIFS('AFA Rates'!$A$5:$A$1004,$A598,'AFA Rates'!$B$5:$B$1004,K$23,'AFA Rates'!$O$5:$O$1004,"&lt;&gt;Expired")&gt;0,"✓",IF(COUNTIFS('AFA Rates'!$A$5:$A$1004,$A598,'AFA Rates'!$B$5:$B$1004,K$23)&gt;0,"Exp","")))</f>
        <v/>
      </c>
      <c r="L598" s="79">
        <f>IF(OR($A598="",L$23=""),"",IF(COUNTIFS('AFA Rates'!$A$5:$A$1004,$A598,'AFA Rates'!$B$5:$B$1004,L$23,'AFA Rates'!$O$5:$O$1004,"&lt;&gt;Expired")&gt;0,"✓",IF(COUNTIFS('AFA Rates'!$A$5:$A$1004,$A598,'AFA Rates'!$B$5:$B$1004,L$23)&gt;0,"Exp","")))</f>
        <v/>
      </c>
      <c r="M598" s="79">
        <f>IF(OR($A598="",M$23=""),"",IF(COUNTIFS('AFA Rates'!$A$5:$A$1004,$A598,'AFA Rates'!$B$5:$B$1004,M$23,'AFA Rates'!$O$5:$O$1004,"&lt;&gt;Expired")&gt;0,"✓",IF(COUNTIFS('AFA Rates'!$A$5:$A$1004,$A598,'AFA Rates'!$B$5:$B$1004,M$23)&gt;0,"Exp","")))</f>
        <v/>
      </c>
    </row>
    <row r="599">
      <c r="A599" s="78">
        <f>IFERROR(INDEX(Firms!$A$5:$A$1004,MATCH(576,Firms!$V$5:$V$1004,0)),"")</f>
        <v/>
      </c>
      <c r="B599" s="79">
        <f>IF($A599="","",INDEX(Firms!$B$5:$B$1004,MATCH(576,Firms!$V$5:$V$1004,0)))</f>
        <v/>
      </c>
      <c r="C599" s="79">
        <f>IF($A599="","",COUNTIFS('AFA Rates'!$A$5:$A$1004,$A599,'AFA Rates'!$O$5:$O$1004,"&lt;&gt;Expired"))</f>
        <v/>
      </c>
      <c r="D599" s="79">
        <f>IF(OR($A599="",D$23=""),"",IF(COUNTIFS('AFA Rates'!$A$5:$A$1004,$A599,'AFA Rates'!$B$5:$B$1004,D$23,'AFA Rates'!$O$5:$O$1004,"&lt;&gt;Expired")&gt;0,"✓",IF(COUNTIFS('AFA Rates'!$A$5:$A$1004,$A599,'AFA Rates'!$B$5:$B$1004,D$23)&gt;0,"Exp","")))</f>
        <v/>
      </c>
      <c r="E599" s="79">
        <f>IF(OR($A599="",E$23=""),"",IF(COUNTIFS('AFA Rates'!$A$5:$A$1004,$A599,'AFA Rates'!$B$5:$B$1004,E$23,'AFA Rates'!$O$5:$O$1004,"&lt;&gt;Expired")&gt;0,"✓",IF(COUNTIFS('AFA Rates'!$A$5:$A$1004,$A599,'AFA Rates'!$B$5:$B$1004,E$23)&gt;0,"Exp","")))</f>
        <v/>
      </c>
      <c r="F599" s="79">
        <f>IF(OR($A599="",F$23=""),"",IF(COUNTIFS('AFA Rates'!$A$5:$A$1004,$A599,'AFA Rates'!$B$5:$B$1004,F$23,'AFA Rates'!$O$5:$O$1004,"&lt;&gt;Expired")&gt;0,"✓",IF(COUNTIFS('AFA Rates'!$A$5:$A$1004,$A599,'AFA Rates'!$B$5:$B$1004,F$23)&gt;0,"Exp","")))</f>
        <v/>
      </c>
      <c r="G599" s="79">
        <f>IF(OR($A599="",G$23=""),"",IF(COUNTIFS('AFA Rates'!$A$5:$A$1004,$A599,'AFA Rates'!$B$5:$B$1004,G$23,'AFA Rates'!$O$5:$O$1004,"&lt;&gt;Expired")&gt;0,"✓",IF(COUNTIFS('AFA Rates'!$A$5:$A$1004,$A599,'AFA Rates'!$B$5:$B$1004,G$23)&gt;0,"Exp","")))</f>
        <v/>
      </c>
      <c r="H599" s="79">
        <f>IF(OR($A599="",H$23=""),"",IF(COUNTIFS('AFA Rates'!$A$5:$A$1004,$A599,'AFA Rates'!$B$5:$B$1004,H$23,'AFA Rates'!$O$5:$O$1004,"&lt;&gt;Expired")&gt;0,"✓",IF(COUNTIFS('AFA Rates'!$A$5:$A$1004,$A599,'AFA Rates'!$B$5:$B$1004,H$23)&gt;0,"Exp","")))</f>
        <v/>
      </c>
      <c r="I599" s="79">
        <f>IF(OR($A599="",I$23=""),"",IF(COUNTIFS('AFA Rates'!$A$5:$A$1004,$A599,'AFA Rates'!$B$5:$B$1004,I$23,'AFA Rates'!$O$5:$O$1004,"&lt;&gt;Expired")&gt;0,"✓",IF(COUNTIFS('AFA Rates'!$A$5:$A$1004,$A599,'AFA Rates'!$B$5:$B$1004,I$23)&gt;0,"Exp","")))</f>
        <v/>
      </c>
      <c r="J599" s="79">
        <f>IF(OR($A599="",J$23=""),"",IF(COUNTIFS('AFA Rates'!$A$5:$A$1004,$A599,'AFA Rates'!$B$5:$B$1004,J$23,'AFA Rates'!$O$5:$O$1004,"&lt;&gt;Expired")&gt;0,"✓",IF(COUNTIFS('AFA Rates'!$A$5:$A$1004,$A599,'AFA Rates'!$B$5:$B$1004,J$23)&gt;0,"Exp","")))</f>
        <v/>
      </c>
      <c r="K599" s="79">
        <f>IF(OR($A599="",K$23=""),"",IF(COUNTIFS('AFA Rates'!$A$5:$A$1004,$A599,'AFA Rates'!$B$5:$B$1004,K$23,'AFA Rates'!$O$5:$O$1004,"&lt;&gt;Expired")&gt;0,"✓",IF(COUNTIFS('AFA Rates'!$A$5:$A$1004,$A599,'AFA Rates'!$B$5:$B$1004,K$23)&gt;0,"Exp","")))</f>
        <v/>
      </c>
      <c r="L599" s="79">
        <f>IF(OR($A599="",L$23=""),"",IF(COUNTIFS('AFA Rates'!$A$5:$A$1004,$A599,'AFA Rates'!$B$5:$B$1004,L$23,'AFA Rates'!$O$5:$O$1004,"&lt;&gt;Expired")&gt;0,"✓",IF(COUNTIFS('AFA Rates'!$A$5:$A$1004,$A599,'AFA Rates'!$B$5:$B$1004,L$23)&gt;0,"Exp","")))</f>
        <v/>
      </c>
      <c r="M599" s="79">
        <f>IF(OR($A599="",M$23=""),"",IF(COUNTIFS('AFA Rates'!$A$5:$A$1004,$A599,'AFA Rates'!$B$5:$B$1004,M$23,'AFA Rates'!$O$5:$O$1004,"&lt;&gt;Expired")&gt;0,"✓",IF(COUNTIFS('AFA Rates'!$A$5:$A$1004,$A599,'AFA Rates'!$B$5:$B$1004,M$23)&gt;0,"Exp","")))</f>
        <v/>
      </c>
    </row>
    <row r="600">
      <c r="A600" s="78">
        <f>IFERROR(INDEX(Firms!$A$5:$A$1004,MATCH(577,Firms!$V$5:$V$1004,0)),"")</f>
        <v/>
      </c>
      <c r="B600" s="79">
        <f>IF($A600="","",INDEX(Firms!$B$5:$B$1004,MATCH(577,Firms!$V$5:$V$1004,0)))</f>
        <v/>
      </c>
      <c r="C600" s="79">
        <f>IF($A600="","",COUNTIFS('AFA Rates'!$A$5:$A$1004,$A600,'AFA Rates'!$O$5:$O$1004,"&lt;&gt;Expired"))</f>
        <v/>
      </c>
      <c r="D600" s="79">
        <f>IF(OR($A600="",D$23=""),"",IF(COUNTIFS('AFA Rates'!$A$5:$A$1004,$A600,'AFA Rates'!$B$5:$B$1004,D$23,'AFA Rates'!$O$5:$O$1004,"&lt;&gt;Expired")&gt;0,"✓",IF(COUNTIFS('AFA Rates'!$A$5:$A$1004,$A600,'AFA Rates'!$B$5:$B$1004,D$23)&gt;0,"Exp","")))</f>
        <v/>
      </c>
      <c r="E600" s="79">
        <f>IF(OR($A600="",E$23=""),"",IF(COUNTIFS('AFA Rates'!$A$5:$A$1004,$A600,'AFA Rates'!$B$5:$B$1004,E$23,'AFA Rates'!$O$5:$O$1004,"&lt;&gt;Expired")&gt;0,"✓",IF(COUNTIFS('AFA Rates'!$A$5:$A$1004,$A600,'AFA Rates'!$B$5:$B$1004,E$23)&gt;0,"Exp","")))</f>
        <v/>
      </c>
      <c r="F600" s="79">
        <f>IF(OR($A600="",F$23=""),"",IF(COUNTIFS('AFA Rates'!$A$5:$A$1004,$A600,'AFA Rates'!$B$5:$B$1004,F$23,'AFA Rates'!$O$5:$O$1004,"&lt;&gt;Expired")&gt;0,"✓",IF(COUNTIFS('AFA Rates'!$A$5:$A$1004,$A600,'AFA Rates'!$B$5:$B$1004,F$23)&gt;0,"Exp","")))</f>
        <v/>
      </c>
      <c r="G600" s="79">
        <f>IF(OR($A600="",G$23=""),"",IF(COUNTIFS('AFA Rates'!$A$5:$A$1004,$A600,'AFA Rates'!$B$5:$B$1004,G$23,'AFA Rates'!$O$5:$O$1004,"&lt;&gt;Expired")&gt;0,"✓",IF(COUNTIFS('AFA Rates'!$A$5:$A$1004,$A600,'AFA Rates'!$B$5:$B$1004,G$23)&gt;0,"Exp","")))</f>
        <v/>
      </c>
      <c r="H600" s="79">
        <f>IF(OR($A600="",H$23=""),"",IF(COUNTIFS('AFA Rates'!$A$5:$A$1004,$A600,'AFA Rates'!$B$5:$B$1004,H$23,'AFA Rates'!$O$5:$O$1004,"&lt;&gt;Expired")&gt;0,"✓",IF(COUNTIFS('AFA Rates'!$A$5:$A$1004,$A600,'AFA Rates'!$B$5:$B$1004,H$23)&gt;0,"Exp","")))</f>
        <v/>
      </c>
      <c r="I600" s="79">
        <f>IF(OR($A600="",I$23=""),"",IF(COUNTIFS('AFA Rates'!$A$5:$A$1004,$A600,'AFA Rates'!$B$5:$B$1004,I$23,'AFA Rates'!$O$5:$O$1004,"&lt;&gt;Expired")&gt;0,"✓",IF(COUNTIFS('AFA Rates'!$A$5:$A$1004,$A600,'AFA Rates'!$B$5:$B$1004,I$23)&gt;0,"Exp","")))</f>
        <v/>
      </c>
      <c r="J600" s="79">
        <f>IF(OR($A600="",J$23=""),"",IF(COUNTIFS('AFA Rates'!$A$5:$A$1004,$A600,'AFA Rates'!$B$5:$B$1004,J$23,'AFA Rates'!$O$5:$O$1004,"&lt;&gt;Expired")&gt;0,"✓",IF(COUNTIFS('AFA Rates'!$A$5:$A$1004,$A600,'AFA Rates'!$B$5:$B$1004,J$23)&gt;0,"Exp","")))</f>
        <v/>
      </c>
      <c r="K600" s="79">
        <f>IF(OR($A600="",K$23=""),"",IF(COUNTIFS('AFA Rates'!$A$5:$A$1004,$A600,'AFA Rates'!$B$5:$B$1004,K$23,'AFA Rates'!$O$5:$O$1004,"&lt;&gt;Expired")&gt;0,"✓",IF(COUNTIFS('AFA Rates'!$A$5:$A$1004,$A600,'AFA Rates'!$B$5:$B$1004,K$23)&gt;0,"Exp","")))</f>
        <v/>
      </c>
      <c r="L600" s="79">
        <f>IF(OR($A600="",L$23=""),"",IF(COUNTIFS('AFA Rates'!$A$5:$A$1004,$A600,'AFA Rates'!$B$5:$B$1004,L$23,'AFA Rates'!$O$5:$O$1004,"&lt;&gt;Expired")&gt;0,"✓",IF(COUNTIFS('AFA Rates'!$A$5:$A$1004,$A600,'AFA Rates'!$B$5:$B$1004,L$23)&gt;0,"Exp","")))</f>
        <v/>
      </c>
      <c r="M600" s="79">
        <f>IF(OR($A600="",M$23=""),"",IF(COUNTIFS('AFA Rates'!$A$5:$A$1004,$A600,'AFA Rates'!$B$5:$B$1004,M$23,'AFA Rates'!$O$5:$O$1004,"&lt;&gt;Expired")&gt;0,"✓",IF(COUNTIFS('AFA Rates'!$A$5:$A$1004,$A600,'AFA Rates'!$B$5:$B$1004,M$23)&gt;0,"Exp","")))</f>
        <v/>
      </c>
    </row>
    <row r="601">
      <c r="A601" s="78">
        <f>IFERROR(INDEX(Firms!$A$5:$A$1004,MATCH(578,Firms!$V$5:$V$1004,0)),"")</f>
        <v/>
      </c>
      <c r="B601" s="79">
        <f>IF($A601="","",INDEX(Firms!$B$5:$B$1004,MATCH(578,Firms!$V$5:$V$1004,0)))</f>
        <v/>
      </c>
      <c r="C601" s="79">
        <f>IF($A601="","",COUNTIFS('AFA Rates'!$A$5:$A$1004,$A601,'AFA Rates'!$O$5:$O$1004,"&lt;&gt;Expired"))</f>
        <v/>
      </c>
      <c r="D601" s="79">
        <f>IF(OR($A601="",D$23=""),"",IF(COUNTIFS('AFA Rates'!$A$5:$A$1004,$A601,'AFA Rates'!$B$5:$B$1004,D$23,'AFA Rates'!$O$5:$O$1004,"&lt;&gt;Expired")&gt;0,"✓",IF(COUNTIFS('AFA Rates'!$A$5:$A$1004,$A601,'AFA Rates'!$B$5:$B$1004,D$23)&gt;0,"Exp","")))</f>
        <v/>
      </c>
      <c r="E601" s="79">
        <f>IF(OR($A601="",E$23=""),"",IF(COUNTIFS('AFA Rates'!$A$5:$A$1004,$A601,'AFA Rates'!$B$5:$B$1004,E$23,'AFA Rates'!$O$5:$O$1004,"&lt;&gt;Expired")&gt;0,"✓",IF(COUNTIFS('AFA Rates'!$A$5:$A$1004,$A601,'AFA Rates'!$B$5:$B$1004,E$23)&gt;0,"Exp","")))</f>
        <v/>
      </c>
      <c r="F601" s="79">
        <f>IF(OR($A601="",F$23=""),"",IF(COUNTIFS('AFA Rates'!$A$5:$A$1004,$A601,'AFA Rates'!$B$5:$B$1004,F$23,'AFA Rates'!$O$5:$O$1004,"&lt;&gt;Expired")&gt;0,"✓",IF(COUNTIFS('AFA Rates'!$A$5:$A$1004,$A601,'AFA Rates'!$B$5:$B$1004,F$23)&gt;0,"Exp","")))</f>
        <v/>
      </c>
      <c r="G601" s="79">
        <f>IF(OR($A601="",G$23=""),"",IF(COUNTIFS('AFA Rates'!$A$5:$A$1004,$A601,'AFA Rates'!$B$5:$B$1004,G$23,'AFA Rates'!$O$5:$O$1004,"&lt;&gt;Expired")&gt;0,"✓",IF(COUNTIFS('AFA Rates'!$A$5:$A$1004,$A601,'AFA Rates'!$B$5:$B$1004,G$23)&gt;0,"Exp","")))</f>
        <v/>
      </c>
      <c r="H601" s="79">
        <f>IF(OR($A601="",H$23=""),"",IF(COUNTIFS('AFA Rates'!$A$5:$A$1004,$A601,'AFA Rates'!$B$5:$B$1004,H$23,'AFA Rates'!$O$5:$O$1004,"&lt;&gt;Expired")&gt;0,"✓",IF(COUNTIFS('AFA Rates'!$A$5:$A$1004,$A601,'AFA Rates'!$B$5:$B$1004,H$23)&gt;0,"Exp","")))</f>
        <v/>
      </c>
      <c r="I601" s="79">
        <f>IF(OR($A601="",I$23=""),"",IF(COUNTIFS('AFA Rates'!$A$5:$A$1004,$A601,'AFA Rates'!$B$5:$B$1004,I$23,'AFA Rates'!$O$5:$O$1004,"&lt;&gt;Expired")&gt;0,"✓",IF(COUNTIFS('AFA Rates'!$A$5:$A$1004,$A601,'AFA Rates'!$B$5:$B$1004,I$23)&gt;0,"Exp","")))</f>
        <v/>
      </c>
      <c r="J601" s="79">
        <f>IF(OR($A601="",J$23=""),"",IF(COUNTIFS('AFA Rates'!$A$5:$A$1004,$A601,'AFA Rates'!$B$5:$B$1004,J$23,'AFA Rates'!$O$5:$O$1004,"&lt;&gt;Expired")&gt;0,"✓",IF(COUNTIFS('AFA Rates'!$A$5:$A$1004,$A601,'AFA Rates'!$B$5:$B$1004,J$23)&gt;0,"Exp","")))</f>
        <v/>
      </c>
      <c r="K601" s="79">
        <f>IF(OR($A601="",K$23=""),"",IF(COUNTIFS('AFA Rates'!$A$5:$A$1004,$A601,'AFA Rates'!$B$5:$B$1004,K$23,'AFA Rates'!$O$5:$O$1004,"&lt;&gt;Expired")&gt;0,"✓",IF(COUNTIFS('AFA Rates'!$A$5:$A$1004,$A601,'AFA Rates'!$B$5:$B$1004,K$23)&gt;0,"Exp","")))</f>
        <v/>
      </c>
      <c r="L601" s="79">
        <f>IF(OR($A601="",L$23=""),"",IF(COUNTIFS('AFA Rates'!$A$5:$A$1004,$A601,'AFA Rates'!$B$5:$B$1004,L$23,'AFA Rates'!$O$5:$O$1004,"&lt;&gt;Expired")&gt;0,"✓",IF(COUNTIFS('AFA Rates'!$A$5:$A$1004,$A601,'AFA Rates'!$B$5:$B$1004,L$23)&gt;0,"Exp","")))</f>
        <v/>
      </c>
      <c r="M601" s="79">
        <f>IF(OR($A601="",M$23=""),"",IF(COUNTIFS('AFA Rates'!$A$5:$A$1004,$A601,'AFA Rates'!$B$5:$B$1004,M$23,'AFA Rates'!$O$5:$O$1004,"&lt;&gt;Expired")&gt;0,"✓",IF(COUNTIFS('AFA Rates'!$A$5:$A$1004,$A601,'AFA Rates'!$B$5:$B$1004,M$23)&gt;0,"Exp","")))</f>
        <v/>
      </c>
    </row>
    <row r="602">
      <c r="A602" s="78">
        <f>IFERROR(INDEX(Firms!$A$5:$A$1004,MATCH(579,Firms!$V$5:$V$1004,0)),"")</f>
        <v/>
      </c>
      <c r="B602" s="79">
        <f>IF($A602="","",INDEX(Firms!$B$5:$B$1004,MATCH(579,Firms!$V$5:$V$1004,0)))</f>
        <v/>
      </c>
      <c r="C602" s="79">
        <f>IF($A602="","",COUNTIFS('AFA Rates'!$A$5:$A$1004,$A602,'AFA Rates'!$O$5:$O$1004,"&lt;&gt;Expired"))</f>
        <v/>
      </c>
      <c r="D602" s="79">
        <f>IF(OR($A602="",D$23=""),"",IF(COUNTIFS('AFA Rates'!$A$5:$A$1004,$A602,'AFA Rates'!$B$5:$B$1004,D$23,'AFA Rates'!$O$5:$O$1004,"&lt;&gt;Expired")&gt;0,"✓",IF(COUNTIFS('AFA Rates'!$A$5:$A$1004,$A602,'AFA Rates'!$B$5:$B$1004,D$23)&gt;0,"Exp","")))</f>
        <v/>
      </c>
      <c r="E602" s="79">
        <f>IF(OR($A602="",E$23=""),"",IF(COUNTIFS('AFA Rates'!$A$5:$A$1004,$A602,'AFA Rates'!$B$5:$B$1004,E$23,'AFA Rates'!$O$5:$O$1004,"&lt;&gt;Expired")&gt;0,"✓",IF(COUNTIFS('AFA Rates'!$A$5:$A$1004,$A602,'AFA Rates'!$B$5:$B$1004,E$23)&gt;0,"Exp","")))</f>
        <v/>
      </c>
      <c r="F602" s="79">
        <f>IF(OR($A602="",F$23=""),"",IF(COUNTIFS('AFA Rates'!$A$5:$A$1004,$A602,'AFA Rates'!$B$5:$B$1004,F$23,'AFA Rates'!$O$5:$O$1004,"&lt;&gt;Expired")&gt;0,"✓",IF(COUNTIFS('AFA Rates'!$A$5:$A$1004,$A602,'AFA Rates'!$B$5:$B$1004,F$23)&gt;0,"Exp","")))</f>
        <v/>
      </c>
      <c r="G602" s="79">
        <f>IF(OR($A602="",G$23=""),"",IF(COUNTIFS('AFA Rates'!$A$5:$A$1004,$A602,'AFA Rates'!$B$5:$B$1004,G$23,'AFA Rates'!$O$5:$O$1004,"&lt;&gt;Expired")&gt;0,"✓",IF(COUNTIFS('AFA Rates'!$A$5:$A$1004,$A602,'AFA Rates'!$B$5:$B$1004,G$23)&gt;0,"Exp","")))</f>
        <v/>
      </c>
      <c r="H602" s="79">
        <f>IF(OR($A602="",H$23=""),"",IF(COUNTIFS('AFA Rates'!$A$5:$A$1004,$A602,'AFA Rates'!$B$5:$B$1004,H$23,'AFA Rates'!$O$5:$O$1004,"&lt;&gt;Expired")&gt;0,"✓",IF(COUNTIFS('AFA Rates'!$A$5:$A$1004,$A602,'AFA Rates'!$B$5:$B$1004,H$23)&gt;0,"Exp","")))</f>
        <v/>
      </c>
      <c r="I602" s="79">
        <f>IF(OR($A602="",I$23=""),"",IF(COUNTIFS('AFA Rates'!$A$5:$A$1004,$A602,'AFA Rates'!$B$5:$B$1004,I$23,'AFA Rates'!$O$5:$O$1004,"&lt;&gt;Expired")&gt;0,"✓",IF(COUNTIFS('AFA Rates'!$A$5:$A$1004,$A602,'AFA Rates'!$B$5:$B$1004,I$23)&gt;0,"Exp","")))</f>
        <v/>
      </c>
      <c r="J602" s="79">
        <f>IF(OR($A602="",J$23=""),"",IF(COUNTIFS('AFA Rates'!$A$5:$A$1004,$A602,'AFA Rates'!$B$5:$B$1004,J$23,'AFA Rates'!$O$5:$O$1004,"&lt;&gt;Expired")&gt;0,"✓",IF(COUNTIFS('AFA Rates'!$A$5:$A$1004,$A602,'AFA Rates'!$B$5:$B$1004,J$23)&gt;0,"Exp","")))</f>
        <v/>
      </c>
      <c r="K602" s="79">
        <f>IF(OR($A602="",K$23=""),"",IF(COUNTIFS('AFA Rates'!$A$5:$A$1004,$A602,'AFA Rates'!$B$5:$B$1004,K$23,'AFA Rates'!$O$5:$O$1004,"&lt;&gt;Expired")&gt;0,"✓",IF(COUNTIFS('AFA Rates'!$A$5:$A$1004,$A602,'AFA Rates'!$B$5:$B$1004,K$23)&gt;0,"Exp","")))</f>
        <v/>
      </c>
      <c r="L602" s="79">
        <f>IF(OR($A602="",L$23=""),"",IF(COUNTIFS('AFA Rates'!$A$5:$A$1004,$A602,'AFA Rates'!$B$5:$B$1004,L$23,'AFA Rates'!$O$5:$O$1004,"&lt;&gt;Expired")&gt;0,"✓",IF(COUNTIFS('AFA Rates'!$A$5:$A$1004,$A602,'AFA Rates'!$B$5:$B$1004,L$23)&gt;0,"Exp","")))</f>
        <v/>
      </c>
      <c r="M602" s="79">
        <f>IF(OR($A602="",M$23=""),"",IF(COUNTIFS('AFA Rates'!$A$5:$A$1004,$A602,'AFA Rates'!$B$5:$B$1004,M$23,'AFA Rates'!$O$5:$O$1004,"&lt;&gt;Expired")&gt;0,"✓",IF(COUNTIFS('AFA Rates'!$A$5:$A$1004,$A602,'AFA Rates'!$B$5:$B$1004,M$23)&gt;0,"Exp","")))</f>
        <v/>
      </c>
    </row>
    <row r="603">
      <c r="A603" s="78">
        <f>IFERROR(INDEX(Firms!$A$5:$A$1004,MATCH(580,Firms!$V$5:$V$1004,0)),"")</f>
        <v/>
      </c>
      <c r="B603" s="79">
        <f>IF($A603="","",INDEX(Firms!$B$5:$B$1004,MATCH(580,Firms!$V$5:$V$1004,0)))</f>
        <v/>
      </c>
      <c r="C603" s="79">
        <f>IF($A603="","",COUNTIFS('AFA Rates'!$A$5:$A$1004,$A603,'AFA Rates'!$O$5:$O$1004,"&lt;&gt;Expired"))</f>
        <v/>
      </c>
      <c r="D603" s="79">
        <f>IF(OR($A603="",D$23=""),"",IF(COUNTIFS('AFA Rates'!$A$5:$A$1004,$A603,'AFA Rates'!$B$5:$B$1004,D$23,'AFA Rates'!$O$5:$O$1004,"&lt;&gt;Expired")&gt;0,"✓",IF(COUNTIFS('AFA Rates'!$A$5:$A$1004,$A603,'AFA Rates'!$B$5:$B$1004,D$23)&gt;0,"Exp","")))</f>
        <v/>
      </c>
      <c r="E603" s="79">
        <f>IF(OR($A603="",E$23=""),"",IF(COUNTIFS('AFA Rates'!$A$5:$A$1004,$A603,'AFA Rates'!$B$5:$B$1004,E$23,'AFA Rates'!$O$5:$O$1004,"&lt;&gt;Expired")&gt;0,"✓",IF(COUNTIFS('AFA Rates'!$A$5:$A$1004,$A603,'AFA Rates'!$B$5:$B$1004,E$23)&gt;0,"Exp","")))</f>
        <v/>
      </c>
      <c r="F603" s="79">
        <f>IF(OR($A603="",F$23=""),"",IF(COUNTIFS('AFA Rates'!$A$5:$A$1004,$A603,'AFA Rates'!$B$5:$B$1004,F$23,'AFA Rates'!$O$5:$O$1004,"&lt;&gt;Expired")&gt;0,"✓",IF(COUNTIFS('AFA Rates'!$A$5:$A$1004,$A603,'AFA Rates'!$B$5:$B$1004,F$23)&gt;0,"Exp","")))</f>
        <v/>
      </c>
      <c r="G603" s="79">
        <f>IF(OR($A603="",G$23=""),"",IF(COUNTIFS('AFA Rates'!$A$5:$A$1004,$A603,'AFA Rates'!$B$5:$B$1004,G$23,'AFA Rates'!$O$5:$O$1004,"&lt;&gt;Expired")&gt;0,"✓",IF(COUNTIFS('AFA Rates'!$A$5:$A$1004,$A603,'AFA Rates'!$B$5:$B$1004,G$23)&gt;0,"Exp","")))</f>
        <v/>
      </c>
      <c r="H603" s="79">
        <f>IF(OR($A603="",H$23=""),"",IF(COUNTIFS('AFA Rates'!$A$5:$A$1004,$A603,'AFA Rates'!$B$5:$B$1004,H$23,'AFA Rates'!$O$5:$O$1004,"&lt;&gt;Expired")&gt;0,"✓",IF(COUNTIFS('AFA Rates'!$A$5:$A$1004,$A603,'AFA Rates'!$B$5:$B$1004,H$23)&gt;0,"Exp","")))</f>
        <v/>
      </c>
      <c r="I603" s="79">
        <f>IF(OR($A603="",I$23=""),"",IF(COUNTIFS('AFA Rates'!$A$5:$A$1004,$A603,'AFA Rates'!$B$5:$B$1004,I$23,'AFA Rates'!$O$5:$O$1004,"&lt;&gt;Expired")&gt;0,"✓",IF(COUNTIFS('AFA Rates'!$A$5:$A$1004,$A603,'AFA Rates'!$B$5:$B$1004,I$23)&gt;0,"Exp","")))</f>
        <v/>
      </c>
      <c r="J603" s="79">
        <f>IF(OR($A603="",J$23=""),"",IF(COUNTIFS('AFA Rates'!$A$5:$A$1004,$A603,'AFA Rates'!$B$5:$B$1004,J$23,'AFA Rates'!$O$5:$O$1004,"&lt;&gt;Expired")&gt;0,"✓",IF(COUNTIFS('AFA Rates'!$A$5:$A$1004,$A603,'AFA Rates'!$B$5:$B$1004,J$23)&gt;0,"Exp","")))</f>
        <v/>
      </c>
      <c r="K603" s="79">
        <f>IF(OR($A603="",K$23=""),"",IF(COUNTIFS('AFA Rates'!$A$5:$A$1004,$A603,'AFA Rates'!$B$5:$B$1004,K$23,'AFA Rates'!$O$5:$O$1004,"&lt;&gt;Expired")&gt;0,"✓",IF(COUNTIFS('AFA Rates'!$A$5:$A$1004,$A603,'AFA Rates'!$B$5:$B$1004,K$23)&gt;0,"Exp","")))</f>
        <v/>
      </c>
      <c r="L603" s="79">
        <f>IF(OR($A603="",L$23=""),"",IF(COUNTIFS('AFA Rates'!$A$5:$A$1004,$A603,'AFA Rates'!$B$5:$B$1004,L$23,'AFA Rates'!$O$5:$O$1004,"&lt;&gt;Expired")&gt;0,"✓",IF(COUNTIFS('AFA Rates'!$A$5:$A$1004,$A603,'AFA Rates'!$B$5:$B$1004,L$23)&gt;0,"Exp","")))</f>
        <v/>
      </c>
      <c r="M603" s="79">
        <f>IF(OR($A603="",M$23=""),"",IF(COUNTIFS('AFA Rates'!$A$5:$A$1004,$A603,'AFA Rates'!$B$5:$B$1004,M$23,'AFA Rates'!$O$5:$O$1004,"&lt;&gt;Expired")&gt;0,"✓",IF(COUNTIFS('AFA Rates'!$A$5:$A$1004,$A603,'AFA Rates'!$B$5:$B$1004,M$23)&gt;0,"Exp","")))</f>
        <v/>
      </c>
    </row>
    <row r="604">
      <c r="A604" s="78">
        <f>IFERROR(INDEX(Firms!$A$5:$A$1004,MATCH(581,Firms!$V$5:$V$1004,0)),"")</f>
        <v/>
      </c>
      <c r="B604" s="79">
        <f>IF($A604="","",INDEX(Firms!$B$5:$B$1004,MATCH(581,Firms!$V$5:$V$1004,0)))</f>
        <v/>
      </c>
      <c r="C604" s="79">
        <f>IF($A604="","",COUNTIFS('AFA Rates'!$A$5:$A$1004,$A604,'AFA Rates'!$O$5:$O$1004,"&lt;&gt;Expired"))</f>
        <v/>
      </c>
      <c r="D604" s="79">
        <f>IF(OR($A604="",D$23=""),"",IF(COUNTIFS('AFA Rates'!$A$5:$A$1004,$A604,'AFA Rates'!$B$5:$B$1004,D$23,'AFA Rates'!$O$5:$O$1004,"&lt;&gt;Expired")&gt;0,"✓",IF(COUNTIFS('AFA Rates'!$A$5:$A$1004,$A604,'AFA Rates'!$B$5:$B$1004,D$23)&gt;0,"Exp","")))</f>
        <v/>
      </c>
      <c r="E604" s="79">
        <f>IF(OR($A604="",E$23=""),"",IF(COUNTIFS('AFA Rates'!$A$5:$A$1004,$A604,'AFA Rates'!$B$5:$B$1004,E$23,'AFA Rates'!$O$5:$O$1004,"&lt;&gt;Expired")&gt;0,"✓",IF(COUNTIFS('AFA Rates'!$A$5:$A$1004,$A604,'AFA Rates'!$B$5:$B$1004,E$23)&gt;0,"Exp","")))</f>
        <v/>
      </c>
      <c r="F604" s="79">
        <f>IF(OR($A604="",F$23=""),"",IF(COUNTIFS('AFA Rates'!$A$5:$A$1004,$A604,'AFA Rates'!$B$5:$B$1004,F$23,'AFA Rates'!$O$5:$O$1004,"&lt;&gt;Expired")&gt;0,"✓",IF(COUNTIFS('AFA Rates'!$A$5:$A$1004,$A604,'AFA Rates'!$B$5:$B$1004,F$23)&gt;0,"Exp","")))</f>
        <v/>
      </c>
      <c r="G604" s="79">
        <f>IF(OR($A604="",G$23=""),"",IF(COUNTIFS('AFA Rates'!$A$5:$A$1004,$A604,'AFA Rates'!$B$5:$B$1004,G$23,'AFA Rates'!$O$5:$O$1004,"&lt;&gt;Expired")&gt;0,"✓",IF(COUNTIFS('AFA Rates'!$A$5:$A$1004,$A604,'AFA Rates'!$B$5:$B$1004,G$23)&gt;0,"Exp","")))</f>
        <v/>
      </c>
      <c r="H604" s="79">
        <f>IF(OR($A604="",H$23=""),"",IF(COUNTIFS('AFA Rates'!$A$5:$A$1004,$A604,'AFA Rates'!$B$5:$B$1004,H$23,'AFA Rates'!$O$5:$O$1004,"&lt;&gt;Expired")&gt;0,"✓",IF(COUNTIFS('AFA Rates'!$A$5:$A$1004,$A604,'AFA Rates'!$B$5:$B$1004,H$23)&gt;0,"Exp","")))</f>
        <v/>
      </c>
      <c r="I604" s="79">
        <f>IF(OR($A604="",I$23=""),"",IF(COUNTIFS('AFA Rates'!$A$5:$A$1004,$A604,'AFA Rates'!$B$5:$B$1004,I$23,'AFA Rates'!$O$5:$O$1004,"&lt;&gt;Expired")&gt;0,"✓",IF(COUNTIFS('AFA Rates'!$A$5:$A$1004,$A604,'AFA Rates'!$B$5:$B$1004,I$23)&gt;0,"Exp","")))</f>
        <v/>
      </c>
      <c r="J604" s="79">
        <f>IF(OR($A604="",J$23=""),"",IF(COUNTIFS('AFA Rates'!$A$5:$A$1004,$A604,'AFA Rates'!$B$5:$B$1004,J$23,'AFA Rates'!$O$5:$O$1004,"&lt;&gt;Expired")&gt;0,"✓",IF(COUNTIFS('AFA Rates'!$A$5:$A$1004,$A604,'AFA Rates'!$B$5:$B$1004,J$23)&gt;0,"Exp","")))</f>
        <v/>
      </c>
      <c r="K604" s="79">
        <f>IF(OR($A604="",K$23=""),"",IF(COUNTIFS('AFA Rates'!$A$5:$A$1004,$A604,'AFA Rates'!$B$5:$B$1004,K$23,'AFA Rates'!$O$5:$O$1004,"&lt;&gt;Expired")&gt;0,"✓",IF(COUNTIFS('AFA Rates'!$A$5:$A$1004,$A604,'AFA Rates'!$B$5:$B$1004,K$23)&gt;0,"Exp","")))</f>
        <v/>
      </c>
      <c r="L604" s="79">
        <f>IF(OR($A604="",L$23=""),"",IF(COUNTIFS('AFA Rates'!$A$5:$A$1004,$A604,'AFA Rates'!$B$5:$B$1004,L$23,'AFA Rates'!$O$5:$O$1004,"&lt;&gt;Expired")&gt;0,"✓",IF(COUNTIFS('AFA Rates'!$A$5:$A$1004,$A604,'AFA Rates'!$B$5:$B$1004,L$23)&gt;0,"Exp","")))</f>
        <v/>
      </c>
      <c r="M604" s="79">
        <f>IF(OR($A604="",M$23=""),"",IF(COUNTIFS('AFA Rates'!$A$5:$A$1004,$A604,'AFA Rates'!$B$5:$B$1004,M$23,'AFA Rates'!$O$5:$O$1004,"&lt;&gt;Expired")&gt;0,"✓",IF(COUNTIFS('AFA Rates'!$A$5:$A$1004,$A604,'AFA Rates'!$B$5:$B$1004,M$23)&gt;0,"Exp","")))</f>
        <v/>
      </c>
    </row>
    <row r="605">
      <c r="A605" s="78">
        <f>IFERROR(INDEX(Firms!$A$5:$A$1004,MATCH(582,Firms!$V$5:$V$1004,0)),"")</f>
        <v/>
      </c>
      <c r="B605" s="79">
        <f>IF($A605="","",INDEX(Firms!$B$5:$B$1004,MATCH(582,Firms!$V$5:$V$1004,0)))</f>
        <v/>
      </c>
      <c r="C605" s="79">
        <f>IF($A605="","",COUNTIFS('AFA Rates'!$A$5:$A$1004,$A605,'AFA Rates'!$O$5:$O$1004,"&lt;&gt;Expired"))</f>
        <v/>
      </c>
      <c r="D605" s="79">
        <f>IF(OR($A605="",D$23=""),"",IF(COUNTIFS('AFA Rates'!$A$5:$A$1004,$A605,'AFA Rates'!$B$5:$B$1004,D$23,'AFA Rates'!$O$5:$O$1004,"&lt;&gt;Expired")&gt;0,"✓",IF(COUNTIFS('AFA Rates'!$A$5:$A$1004,$A605,'AFA Rates'!$B$5:$B$1004,D$23)&gt;0,"Exp","")))</f>
        <v/>
      </c>
      <c r="E605" s="79">
        <f>IF(OR($A605="",E$23=""),"",IF(COUNTIFS('AFA Rates'!$A$5:$A$1004,$A605,'AFA Rates'!$B$5:$B$1004,E$23,'AFA Rates'!$O$5:$O$1004,"&lt;&gt;Expired")&gt;0,"✓",IF(COUNTIFS('AFA Rates'!$A$5:$A$1004,$A605,'AFA Rates'!$B$5:$B$1004,E$23)&gt;0,"Exp","")))</f>
        <v/>
      </c>
      <c r="F605" s="79">
        <f>IF(OR($A605="",F$23=""),"",IF(COUNTIFS('AFA Rates'!$A$5:$A$1004,$A605,'AFA Rates'!$B$5:$B$1004,F$23,'AFA Rates'!$O$5:$O$1004,"&lt;&gt;Expired")&gt;0,"✓",IF(COUNTIFS('AFA Rates'!$A$5:$A$1004,$A605,'AFA Rates'!$B$5:$B$1004,F$23)&gt;0,"Exp","")))</f>
        <v/>
      </c>
      <c r="G605" s="79">
        <f>IF(OR($A605="",G$23=""),"",IF(COUNTIFS('AFA Rates'!$A$5:$A$1004,$A605,'AFA Rates'!$B$5:$B$1004,G$23,'AFA Rates'!$O$5:$O$1004,"&lt;&gt;Expired")&gt;0,"✓",IF(COUNTIFS('AFA Rates'!$A$5:$A$1004,$A605,'AFA Rates'!$B$5:$B$1004,G$23)&gt;0,"Exp","")))</f>
        <v/>
      </c>
      <c r="H605" s="79">
        <f>IF(OR($A605="",H$23=""),"",IF(COUNTIFS('AFA Rates'!$A$5:$A$1004,$A605,'AFA Rates'!$B$5:$B$1004,H$23,'AFA Rates'!$O$5:$O$1004,"&lt;&gt;Expired")&gt;0,"✓",IF(COUNTIFS('AFA Rates'!$A$5:$A$1004,$A605,'AFA Rates'!$B$5:$B$1004,H$23)&gt;0,"Exp","")))</f>
        <v/>
      </c>
      <c r="I605" s="79">
        <f>IF(OR($A605="",I$23=""),"",IF(COUNTIFS('AFA Rates'!$A$5:$A$1004,$A605,'AFA Rates'!$B$5:$B$1004,I$23,'AFA Rates'!$O$5:$O$1004,"&lt;&gt;Expired")&gt;0,"✓",IF(COUNTIFS('AFA Rates'!$A$5:$A$1004,$A605,'AFA Rates'!$B$5:$B$1004,I$23)&gt;0,"Exp","")))</f>
        <v/>
      </c>
      <c r="J605" s="79">
        <f>IF(OR($A605="",J$23=""),"",IF(COUNTIFS('AFA Rates'!$A$5:$A$1004,$A605,'AFA Rates'!$B$5:$B$1004,J$23,'AFA Rates'!$O$5:$O$1004,"&lt;&gt;Expired")&gt;0,"✓",IF(COUNTIFS('AFA Rates'!$A$5:$A$1004,$A605,'AFA Rates'!$B$5:$B$1004,J$23)&gt;0,"Exp","")))</f>
        <v/>
      </c>
      <c r="K605" s="79">
        <f>IF(OR($A605="",K$23=""),"",IF(COUNTIFS('AFA Rates'!$A$5:$A$1004,$A605,'AFA Rates'!$B$5:$B$1004,K$23,'AFA Rates'!$O$5:$O$1004,"&lt;&gt;Expired")&gt;0,"✓",IF(COUNTIFS('AFA Rates'!$A$5:$A$1004,$A605,'AFA Rates'!$B$5:$B$1004,K$23)&gt;0,"Exp","")))</f>
        <v/>
      </c>
      <c r="L605" s="79">
        <f>IF(OR($A605="",L$23=""),"",IF(COUNTIFS('AFA Rates'!$A$5:$A$1004,$A605,'AFA Rates'!$B$5:$B$1004,L$23,'AFA Rates'!$O$5:$O$1004,"&lt;&gt;Expired")&gt;0,"✓",IF(COUNTIFS('AFA Rates'!$A$5:$A$1004,$A605,'AFA Rates'!$B$5:$B$1004,L$23)&gt;0,"Exp","")))</f>
        <v/>
      </c>
      <c r="M605" s="79">
        <f>IF(OR($A605="",M$23=""),"",IF(COUNTIFS('AFA Rates'!$A$5:$A$1004,$A605,'AFA Rates'!$B$5:$B$1004,M$23,'AFA Rates'!$O$5:$O$1004,"&lt;&gt;Expired")&gt;0,"✓",IF(COUNTIFS('AFA Rates'!$A$5:$A$1004,$A605,'AFA Rates'!$B$5:$B$1004,M$23)&gt;0,"Exp","")))</f>
        <v/>
      </c>
    </row>
    <row r="606">
      <c r="A606" s="78">
        <f>IFERROR(INDEX(Firms!$A$5:$A$1004,MATCH(583,Firms!$V$5:$V$1004,0)),"")</f>
        <v/>
      </c>
      <c r="B606" s="79">
        <f>IF($A606="","",INDEX(Firms!$B$5:$B$1004,MATCH(583,Firms!$V$5:$V$1004,0)))</f>
        <v/>
      </c>
      <c r="C606" s="79">
        <f>IF($A606="","",COUNTIFS('AFA Rates'!$A$5:$A$1004,$A606,'AFA Rates'!$O$5:$O$1004,"&lt;&gt;Expired"))</f>
        <v/>
      </c>
      <c r="D606" s="79">
        <f>IF(OR($A606="",D$23=""),"",IF(COUNTIFS('AFA Rates'!$A$5:$A$1004,$A606,'AFA Rates'!$B$5:$B$1004,D$23,'AFA Rates'!$O$5:$O$1004,"&lt;&gt;Expired")&gt;0,"✓",IF(COUNTIFS('AFA Rates'!$A$5:$A$1004,$A606,'AFA Rates'!$B$5:$B$1004,D$23)&gt;0,"Exp","")))</f>
        <v/>
      </c>
      <c r="E606" s="79">
        <f>IF(OR($A606="",E$23=""),"",IF(COUNTIFS('AFA Rates'!$A$5:$A$1004,$A606,'AFA Rates'!$B$5:$B$1004,E$23,'AFA Rates'!$O$5:$O$1004,"&lt;&gt;Expired")&gt;0,"✓",IF(COUNTIFS('AFA Rates'!$A$5:$A$1004,$A606,'AFA Rates'!$B$5:$B$1004,E$23)&gt;0,"Exp","")))</f>
        <v/>
      </c>
      <c r="F606" s="79">
        <f>IF(OR($A606="",F$23=""),"",IF(COUNTIFS('AFA Rates'!$A$5:$A$1004,$A606,'AFA Rates'!$B$5:$B$1004,F$23,'AFA Rates'!$O$5:$O$1004,"&lt;&gt;Expired")&gt;0,"✓",IF(COUNTIFS('AFA Rates'!$A$5:$A$1004,$A606,'AFA Rates'!$B$5:$B$1004,F$23)&gt;0,"Exp","")))</f>
        <v/>
      </c>
      <c r="G606" s="79">
        <f>IF(OR($A606="",G$23=""),"",IF(COUNTIFS('AFA Rates'!$A$5:$A$1004,$A606,'AFA Rates'!$B$5:$B$1004,G$23,'AFA Rates'!$O$5:$O$1004,"&lt;&gt;Expired")&gt;0,"✓",IF(COUNTIFS('AFA Rates'!$A$5:$A$1004,$A606,'AFA Rates'!$B$5:$B$1004,G$23)&gt;0,"Exp","")))</f>
        <v/>
      </c>
      <c r="H606" s="79">
        <f>IF(OR($A606="",H$23=""),"",IF(COUNTIFS('AFA Rates'!$A$5:$A$1004,$A606,'AFA Rates'!$B$5:$B$1004,H$23,'AFA Rates'!$O$5:$O$1004,"&lt;&gt;Expired")&gt;0,"✓",IF(COUNTIFS('AFA Rates'!$A$5:$A$1004,$A606,'AFA Rates'!$B$5:$B$1004,H$23)&gt;0,"Exp","")))</f>
        <v/>
      </c>
      <c r="I606" s="79">
        <f>IF(OR($A606="",I$23=""),"",IF(COUNTIFS('AFA Rates'!$A$5:$A$1004,$A606,'AFA Rates'!$B$5:$B$1004,I$23,'AFA Rates'!$O$5:$O$1004,"&lt;&gt;Expired")&gt;0,"✓",IF(COUNTIFS('AFA Rates'!$A$5:$A$1004,$A606,'AFA Rates'!$B$5:$B$1004,I$23)&gt;0,"Exp","")))</f>
        <v/>
      </c>
      <c r="J606" s="79">
        <f>IF(OR($A606="",J$23=""),"",IF(COUNTIFS('AFA Rates'!$A$5:$A$1004,$A606,'AFA Rates'!$B$5:$B$1004,J$23,'AFA Rates'!$O$5:$O$1004,"&lt;&gt;Expired")&gt;0,"✓",IF(COUNTIFS('AFA Rates'!$A$5:$A$1004,$A606,'AFA Rates'!$B$5:$B$1004,J$23)&gt;0,"Exp","")))</f>
        <v/>
      </c>
      <c r="K606" s="79">
        <f>IF(OR($A606="",K$23=""),"",IF(COUNTIFS('AFA Rates'!$A$5:$A$1004,$A606,'AFA Rates'!$B$5:$B$1004,K$23,'AFA Rates'!$O$5:$O$1004,"&lt;&gt;Expired")&gt;0,"✓",IF(COUNTIFS('AFA Rates'!$A$5:$A$1004,$A606,'AFA Rates'!$B$5:$B$1004,K$23)&gt;0,"Exp","")))</f>
        <v/>
      </c>
      <c r="L606" s="79">
        <f>IF(OR($A606="",L$23=""),"",IF(COUNTIFS('AFA Rates'!$A$5:$A$1004,$A606,'AFA Rates'!$B$5:$B$1004,L$23,'AFA Rates'!$O$5:$O$1004,"&lt;&gt;Expired")&gt;0,"✓",IF(COUNTIFS('AFA Rates'!$A$5:$A$1004,$A606,'AFA Rates'!$B$5:$B$1004,L$23)&gt;0,"Exp","")))</f>
        <v/>
      </c>
      <c r="M606" s="79">
        <f>IF(OR($A606="",M$23=""),"",IF(COUNTIFS('AFA Rates'!$A$5:$A$1004,$A606,'AFA Rates'!$B$5:$B$1004,M$23,'AFA Rates'!$O$5:$O$1004,"&lt;&gt;Expired")&gt;0,"✓",IF(COUNTIFS('AFA Rates'!$A$5:$A$1004,$A606,'AFA Rates'!$B$5:$B$1004,M$23)&gt;0,"Exp","")))</f>
        <v/>
      </c>
    </row>
    <row r="607">
      <c r="A607" s="78">
        <f>IFERROR(INDEX(Firms!$A$5:$A$1004,MATCH(584,Firms!$V$5:$V$1004,0)),"")</f>
        <v/>
      </c>
      <c r="B607" s="79">
        <f>IF($A607="","",INDEX(Firms!$B$5:$B$1004,MATCH(584,Firms!$V$5:$V$1004,0)))</f>
        <v/>
      </c>
      <c r="C607" s="79">
        <f>IF($A607="","",COUNTIFS('AFA Rates'!$A$5:$A$1004,$A607,'AFA Rates'!$O$5:$O$1004,"&lt;&gt;Expired"))</f>
        <v/>
      </c>
      <c r="D607" s="79">
        <f>IF(OR($A607="",D$23=""),"",IF(COUNTIFS('AFA Rates'!$A$5:$A$1004,$A607,'AFA Rates'!$B$5:$B$1004,D$23,'AFA Rates'!$O$5:$O$1004,"&lt;&gt;Expired")&gt;0,"✓",IF(COUNTIFS('AFA Rates'!$A$5:$A$1004,$A607,'AFA Rates'!$B$5:$B$1004,D$23)&gt;0,"Exp","")))</f>
        <v/>
      </c>
      <c r="E607" s="79">
        <f>IF(OR($A607="",E$23=""),"",IF(COUNTIFS('AFA Rates'!$A$5:$A$1004,$A607,'AFA Rates'!$B$5:$B$1004,E$23,'AFA Rates'!$O$5:$O$1004,"&lt;&gt;Expired")&gt;0,"✓",IF(COUNTIFS('AFA Rates'!$A$5:$A$1004,$A607,'AFA Rates'!$B$5:$B$1004,E$23)&gt;0,"Exp","")))</f>
        <v/>
      </c>
      <c r="F607" s="79">
        <f>IF(OR($A607="",F$23=""),"",IF(COUNTIFS('AFA Rates'!$A$5:$A$1004,$A607,'AFA Rates'!$B$5:$B$1004,F$23,'AFA Rates'!$O$5:$O$1004,"&lt;&gt;Expired")&gt;0,"✓",IF(COUNTIFS('AFA Rates'!$A$5:$A$1004,$A607,'AFA Rates'!$B$5:$B$1004,F$23)&gt;0,"Exp","")))</f>
        <v/>
      </c>
      <c r="G607" s="79">
        <f>IF(OR($A607="",G$23=""),"",IF(COUNTIFS('AFA Rates'!$A$5:$A$1004,$A607,'AFA Rates'!$B$5:$B$1004,G$23,'AFA Rates'!$O$5:$O$1004,"&lt;&gt;Expired")&gt;0,"✓",IF(COUNTIFS('AFA Rates'!$A$5:$A$1004,$A607,'AFA Rates'!$B$5:$B$1004,G$23)&gt;0,"Exp","")))</f>
        <v/>
      </c>
      <c r="H607" s="79">
        <f>IF(OR($A607="",H$23=""),"",IF(COUNTIFS('AFA Rates'!$A$5:$A$1004,$A607,'AFA Rates'!$B$5:$B$1004,H$23,'AFA Rates'!$O$5:$O$1004,"&lt;&gt;Expired")&gt;0,"✓",IF(COUNTIFS('AFA Rates'!$A$5:$A$1004,$A607,'AFA Rates'!$B$5:$B$1004,H$23)&gt;0,"Exp","")))</f>
        <v/>
      </c>
      <c r="I607" s="79">
        <f>IF(OR($A607="",I$23=""),"",IF(COUNTIFS('AFA Rates'!$A$5:$A$1004,$A607,'AFA Rates'!$B$5:$B$1004,I$23,'AFA Rates'!$O$5:$O$1004,"&lt;&gt;Expired")&gt;0,"✓",IF(COUNTIFS('AFA Rates'!$A$5:$A$1004,$A607,'AFA Rates'!$B$5:$B$1004,I$23)&gt;0,"Exp","")))</f>
        <v/>
      </c>
      <c r="J607" s="79">
        <f>IF(OR($A607="",J$23=""),"",IF(COUNTIFS('AFA Rates'!$A$5:$A$1004,$A607,'AFA Rates'!$B$5:$B$1004,J$23,'AFA Rates'!$O$5:$O$1004,"&lt;&gt;Expired")&gt;0,"✓",IF(COUNTIFS('AFA Rates'!$A$5:$A$1004,$A607,'AFA Rates'!$B$5:$B$1004,J$23)&gt;0,"Exp","")))</f>
        <v/>
      </c>
      <c r="K607" s="79">
        <f>IF(OR($A607="",K$23=""),"",IF(COUNTIFS('AFA Rates'!$A$5:$A$1004,$A607,'AFA Rates'!$B$5:$B$1004,K$23,'AFA Rates'!$O$5:$O$1004,"&lt;&gt;Expired")&gt;0,"✓",IF(COUNTIFS('AFA Rates'!$A$5:$A$1004,$A607,'AFA Rates'!$B$5:$B$1004,K$23)&gt;0,"Exp","")))</f>
        <v/>
      </c>
      <c r="L607" s="79">
        <f>IF(OR($A607="",L$23=""),"",IF(COUNTIFS('AFA Rates'!$A$5:$A$1004,$A607,'AFA Rates'!$B$5:$B$1004,L$23,'AFA Rates'!$O$5:$O$1004,"&lt;&gt;Expired")&gt;0,"✓",IF(COUNTIFS('AFA Rates'!$A$5:$A$1004,$A607,'AFA Rates'!$B$5:$B$1004,L$23)&gt;0,"Exp","")))</f>
        <v/>
      </c>
      <c r="M607" s="79">
        <f>IF(OR($A607="",M$23=""),"",IF(COUNTIFS('AFA Rates'!$A$5:$A$1004,$A607,'AFA Rates'!$B$5:$B$1004,M$23,'AFA Rates'!$O$5:$O$1004,"&lt;&gt;Expired")&gt;0,"✓",IF(COUNTIFS('AFA Rates'!$A$5:$A$1004,$A607,'AFA Rates'!$B$5:$B$1004,M$23)&gt;0,"Exp","")))</f>
        <v/>
      </c>
    </row>
    <row r="608">
      <c r="A608" s="78">
        <f>IFERROR(INDEX(Firms!$A$5:$A$1004,MATCH(585,Firms!$V$5:$V$1004,0)),"")</f>
        <v/>
      </c>
      <c r="B608" s="79">
        <f>IF($A608="","",INDEX(Firms!$B$5:$B$1004,MATCH(585,Firms!$V$5:$V$1004,0)))</f>
        <v/>
      </c>
      <c r="C608" s="79">
        <f>IF($A608="","",COUNTIFS('AFA Rates'!$A$5:$A$1004,$A608,'AFA Rates'!$O$5:$O$1004,"&lt;&gt;Expired"))</f>
        <v/>
      </c>
      <c r="D608" s="79">
        <f>IF(OR($A608="",D$23=""),"",IF(COUNTIFS('AFA Rates'!$A$5:$A$1004,$A608,'AFA Rates'!$B$5:$B$1004,D$23,'AFA Rates'!$O$5:$O$1004,"&lt;&gt;Expired")&gt;0,"✓",IF(COUNTIFS('AFA Rates'!$A$5:$A$1004,$A608,'AFA Rates'!$B$5:$B$1004,D$23)&gt;0,"Exp","")))</f>
        <v/>
      </c>
      <c r="E608" s="79">
        <f>IF(OR($A608="",E$23=""),"",IF(COUNTIFS('AFA Rates'!$A$5:$A$1004,$A608,'AFA Rates'!$B$5:$B$1004,E$23,'AFA Rates'!$O$5:$O$1004,"&lt;&gt;Expired")&gt;0,"✓",IF(COUNTIFS('AFA Rates'!$A$5:$A$1004,$A608,'AFA Rates'!$B$5:$B$1004,E$23)&gt;0,"Exp","")))</f>
        <v/>
      </c>
      <c r="F608" s="79">
        <f>IF(OR($A608="",F$23=""),"",IF(COUNTIFS('AFA Rates'!$A$5:$A$1004,$A608,'AFA Rates'!$B$5:$B$1004,F$23,'AFA Rates'!$O$5:$O$1004,"&lt;&gt;Expired")&gt;0,"✓",IF(COUNTIFS('AFA Rates'!$A$5:$A$1004,$A608,'AFA Rates'!$B$5:$B$1004,F$23)&gt;0,"Exp","")))</f>
        <v/>
      </c>
      <c r="G608" s="79">
        <f>IF(OR($A608="",G$23=""),"",IF(COUNTIFS('AFA Rates'!$A$5:$A$1004,$A608,'AFA Rates'!$B$5:$B$1004,G$23,'AFA Rates'!$O$5:$O$1004,"&lt;&gt;Expired")&gt;0,"✓",IF(COUNTIFS('AFA Rates'!$A$5:$A$1004,$A608,'AFA Rates'!$B$5:$B$1004,G$23)&gt;0,"Exp","")))</f>
        <v/>
      </c>
      <c r="H608" s="79">
        <f>IF(OR($A608="",H$23=""),"",IF(COUNTIFS('AFA Rates'!$A$5:$A$1004,$A608,'AFA Rates'!$B$5:$B$1004,H$23,'AFA Rates'!$O$5:$O$1004,"&lt;&gt;Expired")&gt;0,"✓",IF(COUNTIFS('AFA Rates'!$A$5:$A$1004,$A608,'AFA Rates'!$B$5:$B$1004,H$23)&gt;0,"Exp","")))</f>
        <v/>
      </c>
      <c r="I608" s="79">
        <f>IF(OR($A608="",I$23=""),"",IF(COUNTIFS('AFA Rates'!$A$5:$A$1004,$A608,'AFA Rates'!$B$5:$B$1004,I$23,'AFA Rates'!$O$5:$O$1004,"&lt;&gt;Expired")&gt;0,"✓",IF(COUNTIFS('AFA Rates'!$A$5:$A$1004,$A608,'AFA Rates'!$B$5:$B$1004,I$23)&gt;0,"Exp","")))</f>
        <v/>
      </c>
      <c r="J608" s="79">
        <f>IF(OR($A608="",J$23=""),"",IF(COUNTIFS('AFA Rates'!$A$5:$A$1004,$A608,'AFA Rates'!$B$5:$B$1004,J$23,'AFA Rates'!$O$5:$O$1004,"&lt;&gt;Expired")&gt;0,"✓",IF(COUNTIFS('AFA Rates'!$A$5:$A$1004,$A608,'AFA Rates'!$B$5:$B$1004,J$23)&gt;0,"Exp","")))</f>
        <v/>
      </c>
      <c r="K608" s="79">
        <f>IF(OR($A608="",K$23=""),"",IF(COUNTIFS('AFA Rates'!$A$5:$A$1004,$A608,'AFA Rates'!$B$5:$B$1004,K$23,'AFA Rates'!$O$5:$O$1004,"&lt;&gt;Expired")&gt;0,"✓",IF(COUNTIFS('AFA Rates'!$A$5:$A$1004,$A608,'AFA Rates'!$B$5:$B$1004,K$23)&gt;0,"Exp","")))</f>
        <v/>
      </c>
      <c r="L608" s="79">
        <f>IF(OR($A608="",L$23=""),"",IF(COUNTIFS('AFA Rates'!$A$5:$A$1004,$A608,'AFA Rates'!$B$5:$B$1004,L$23,'AFA Rates'!$O$5:$O$1004,"&lt;&gt;Expired")&gt;0,"✓",IF(COUNTIFS('AFA Rates'!$A$5:$A$1004,$A608,'AFA Rates'!$B$5:$B$1004,L$23)&gt;0,"Exp","")))</f>
        <v/>
      </c>
      <c r="M608" s="79">
        <f>IF(OR($A608="",M$23=""),"",IF(COUNTIFS('AFA Rates'!$A$5:$A$1004,$A608,'AFA Rates'!$B$5:$B$1004,M$23,'AFA Rates'!$O$5:$O$1004,"&lt;&gt;Expired")&gt;0,"✓",IF(COUNTIFS('AFA Rates'!$A$5:$A$1004,$A608,'AFA Rates'!$B$5:$B$1004,M$23)&gt;0,"Exp","")))</f>
        <v/>
      </c>
    </row>
    <row r="609">
      <c r="A609" s="78">
        <f>IFERROR(INDEX(Firms!$A$5:$A$1004,MATCH(586,Firms!$V$5:$V$1004,0)),"")</f>
        <v/>
      </c>
      <c r="B609" s="79">
        <f>IF($A609="","",INDEX(Firms!$B$5:$B$1004,MATCH(586,Firms!$V$5:$V$1004,0)))</f>
        <v/>
      </c>
      <c r="C609" s="79">
        <f>IF($A609="","",COUNTIFS('AFA Rates'!$A$5:$A$1004,$A609,'AFA Rates'!$O$5:$O$1004,"&lt;&gt;Expired"))</f>
        <v/>
      </c>
      <c r="D609" s="79">
        <f>IF(OR($A609="",D$23=""),"",IF(COUNTIFS('AFA Rates'!$A$5:$A$1004,$A609,'AFA Rates'!$B$5:$B$1004,D$23,'AFA Rates'!$O$5:$O$1004,"&lt;&gt;Expired")&gt;0,"✓",IF(COUNTIFS('AFA Rates'!$A$5:$A$1004,$A609,'AFA Rates'!$B$5:$B$1004,D$23)&gt;0,"Exp","")))</f>
        <v/>
      </c>
      <c r="E609" s="79">
        <f>IF(OR($A609="",E$23=""),"",IF(COUNTIFS('AFA Rates'!$A$5:$A$1004,$A609,'AFA Rates'!$B$5:$B$1004,E$23,'AFA Rates'!$O$5:$O$1004,"&lt;&gt;Expired")&gt;0,"✓",IF(COUNTIFS('AFA Rates'!$A$5:$A$1004,$A609,'AFA Rates'!$B$5:$B$1004,E$23)&gt;0,"Exp","")))</f>
        <v/>
      </c>
      <c r="F609" s="79">
        <f>IF(OR($A609="",F$23=""),"",IF(COUNTIFS('AFA Rates'!$A$5:$A$1004,$A609,'AFA Rates'!$B$5:$B$1004,F$23,'AFA Rates'!$O$5:$O$1004,"&lt;&gt;Expired")&gt;0,"✓",IF(COUNTIFS('AFA Rates'!$A$5:$A$1004,$A609,'AFA Rates'!$B$5:$B$1004,F$23)&gt;0,"Exp","")))</f>
        <v/>
      </c>
      <c r="G609" s="79">
        <f>IF(OR($A609="",G$23=""),"",IF(COUNTIFS('AFA Rates'!$A$5:$A$1004,$A609,'AFA Rates'!$B$5:$B$1004,G$23,'AFA Rates'!$O$5:$O$1004,"&lt;&gt;Expired")&gt;0,"✓",IF(COUNTIFS('AFA Rates'!$A$5:$A$1004,$A609,'AFA Rates'!$B$5:$B$1004,G$23)&gt;0,"Exp","")))</f>
        <v/>
      </c>
      <c r="H609" s="79">
        <f>IF(OR($A609="",H$23=""),"",IF(COUNTIFS('AFA Rates'!$A$5:$A$1004,$A609,'AFA Rates'!$B$5:$B$1004,H$23,'AFA Rates'!$O$5:$O$1004,"&lt;&gt;Expired")&gt;0,"✓",IF(COUNTIFS('AFA Rates'!$A$5:$A$1004,$A609,'AFA Rates'!$B$5:$B$1004,H$23)&gt;0,"Exp","")))</f>
        <v/>
      </c>
      <c r="I609" s="79">
        <f>IF(OR($A609="",I$23=""),"",IF(COUNTIFS('AFA Rates'!$A$5:$A$1004,$A609,'AFA Rates'!$B$5:$B$1004,I$23,'AFA Rates'!$O$5:$O$1004,"&lt;&gt;Expired")&gt;0,"✓",IF(COUNTIFS('AFA Rates'!$A$5:$A$1004,$A609,'AFA Rates'!$B$5:$B$1004,I$23)&gt;0,"Exp","")))</f>
        <v/>
      </c>
      <c r="J609" s="79">
        <f>IF(OR($A609="",J$23=""),"",IF(COUNTIFS('AFA Rates'!$A$5:$A$1004,$A609,'AFA Rates'!$B$5:$B$1004,J$23,'AFA Rates'!$O$5:$O$1004,"&lt;&gt;Expired")&gt;0,"✓",IF(COUNTIFS('AFA Rates'!$A$5:$A$1004,$A609,'AFA Rates'!$B$5:$B$1004,J$23)&gt;0,"Exp","")))</f>
        <v/>
      </c>
      <c r="K609" s="79">
        <f>IF(OR($A609="",K$23=""),"",IF(COUNTIFS('AFA Rates'!$A$5:$A$1004,$A609,'AFA Rates'!$B$5:$B$1004,K$23,'AFA Rates'!$O$5:$O$1004,"&lt;&gt;Expired")&gt;0,"✓",IF(COUNTIFS('AFA Rates'!$A$5:$A$1004,$A609,'AFA Rates'!$B$5:$B$1004,K$23)&gt;0,"Exp","")))</f>
        <v/>
      </c>
      <c r="L609" s="79">
        <f>IF(OR($A609="",L$23=""),"",IF(COUNTIFS('AFA Rates'!$A$5:$A$1004,$A609,'AFA Rates'!$B$5:$B$1004,L$23,'AFA Rates'!$O$5:$O$1004,"&lt;&gt;Expired")&gt;0,"✓",IF(COUNTIFS('AFA Rates'!$A$5:$A$1004,$A609,'AFA Rates'!$B$5:$B$1004,L$23)&gt;0,"Exp","")))</f>
        <v/>
      </c>
      <c r="M609" s="79">
        <f>IF(OR($A609="",M$23=""),"",IF(COUNTIFS('AFA Rates'!$A$5:$A$1004,$A609,'AFA Rates'!$B$5:$B$1004,M$23,'AFA Rates'!$O$5:$O$1004,"&lt;&gt;Expired")&gt;0,"✓",IF(COUNTIFS('AFA Rates'!$A$5:$A$1004,$A609,'AFA Rates'!$B$5:$B$1004,M$23)&gt;0,"Exp","")))</f>
        <v/>
      </c>
    </row>
    <row r="610">
      <c r="A610" s="78">
        <f>IFERROR(INDEX(Firms!$A$5:$A$1004,MATCH(587,Firms!$V$5:$V$1004,0)),"")</f>
        <v/>
      </c>
      <c r="B610" s="79">
        <f>IF($A610="","",INDEX(Firms!$B$5:$B$1004,MATCH(587,Firms!$V$5:$V$1004,0)))</f>
        <v/>
      </c>
      <c r="C610" s="79">
        <f>IF($A610="","",COUNTIFS('AFA Rates'!$A$5:$A$1004,$A610,'AFA Rates'!$O$5:$O$1004,"&lt;&gt;Expired"))</f>
        <v/>
      </c>
      <c r="D610" s="79">
        <f>IF(OR($A610="",D$23=""),"",IF(COUNTIFS('AFA Rates'!$A$5:$A$1004,$A610,'AFA Rates'!$B$5:$B$1004,D$23,'AFA Rates'!$O$5:$O$1004,"&lt;&gt;Expired")&gt;0,"✓",IF(COUNTIFS('AFA Rates'!$A$5:$A$1004,$A610,'AFA Rates'!$B$5:$B$1004,D$23)&gt;0,"Exp","")))</f>
        <v/>
      </c>
      <c r="E610" s="79">
        <f>IF(OR($A610="",E$23=""),"",IF(COUNTIFS('AFA Rates'!$A$5:$A$1004,$A610,'AFA Rates'!$B$5:$B$1004,E$23,'AFA Rates'!$O$5:$O$1004,"&lt;&gt;Expired")&gt;0,"✓",IF(COUNTIFS('AFA Rates'!$A$5:$A$1004,$A610,'AFA Rates'!$B$5:$B$1004,E$23)&gt;0,"Exp","")))</f>
        <v/>
      </c>
      <c r="F610" s="79">
        <f>IF(OR($A610="",F$23=""),"",IF(COUNTIFS('AFA Rates'!$A$5:$A$1004,$A610,'AFA Rates'!$B$5:$B$1004,F$23,'AFA Rates'!$O$5:$O$1004,"&lt;&gt;Expired")&gt;0,"✓",IF(COUNTIFS('AFA Rates'!$A$5:$A$1004,$A610,'AFA Rates'!$B$5:$B$1004,F$23)&gt;0,"Exp","")))</f>
        <v/>
      </c>
      <c r="G610" s="79">
        <f>IF(OR($A610="",G$23=""),"",IF(COUNTIFS('AFA Rates'!$A$5:$A$1004,$A610,'AFA Rates'!$B$5:$B$1004,G$23,'AFA Rates'!$O$5:$O$1004,"&lt;&gt;Expired")&gt;0,"✓",IF(COUNTIFS('AFA Rates'!$A$5:$A$1004,$A610,'AFA Rates'!$B$5:$B$1004,G$23)&gt;0,"Exp","")))</f>
        <v/>
      </c>
      <c r="H610" s="79">
        <f>IF(OR($A610="",H$23=""),"",IF(COUNTIFS('AFA Rates'!$A$5:$A$1004,$A610,'AFA Rates'!$B$5:$B$1004,H$23,'AFA Rates'!$O$5:$O$1004,"&lt;&gt;Expired")&gt;0,"✓",IF(COUNTIFS('AFA Rates'!$A$5:$A$1004,$A610,'AFA Rates'!$B$5:$B$1004,H$23)&gt;0,"Exp","")))</f>
        <v/>
      </c>
      <c r="I610" s="79">
        <f>IF(OR($A610="",I$23=""),"",IF(COUNTIFS('AFA Rates'!$A$5:$A$1004,$A610,'AFA Rates'!$B$5:$B$1004,I$23,'AFA Rates'!$O$5:$O$1004,"&lt;&gt;Expired")&gt;0,"✓",IF(COUNTIFS('AFA Rates'!$A$5:$A$1004,$A610,'AFA Rates'!$B$5:$B$1004,I$23)&gt;0,"Exp","")))</f>
        <v/>
      </c>
      <c r="J610" s="79">
        <f>IF(OR($A610="",J$23=""),"",IF(COUNTIFS('AFA Rates'!$A$5:$A$1004,$A610,'AFA Rates'!$B$5:$B$1004,J$23,'AFA Rates'!$O$5:$O$1004,"&lt;&gt;Expired")&gt;0,"✓",IF(COUNTIFS('AFA Rates'!$A$5:$A$1004,$A610,'AFA Rates'!$B$5:$B$1004,J$23)&gt;0,"Exp","")))</f>
        <v/>
      </c>
      <c r="K610" s="79">
        <f>IF(OR($A610="",K$23=""),"",IF(COUNTIFS('AFA Rates'!$A$5:$A$1004,$A610,'AFA Rates'!$B$5:$B$1004,K$23,'AFA Rates'!$O$5:$O$1004,"&lt;&gt;Expired")&gt;0,"✓",IF(COUNTIFS('AFA Rates'!$A$5:$A$1004,$A610,'AFA Rates'!$B$5:$B$1004,K$23)&gt;0,"Exp","")))</f>
        <v/>
      </c>
      <c r="L610" s="79">
        <f>IF(OR($A610="",L$23=""),"",IF(COUNTIFS('AFA Rates'!$A$5:$A$1004,$A610,'AFA Rates'!$B$5:$B$1004,L$23,'AFA Rates'!$O$5:$O$1004,"&lt;&gt;Expired")&gt;0,"✓",IF(COUNTIFS('AFA Rates'!$A$5:$A$1004,$A610,'AFA Rates'!$B$5:$B$1004,L$23)&gt;0,"Exp","")))</f>
        <v/>
      </c>
      <c r="M610" s="79">
        <f>IF(OR($A610="",M$23=""),"",IF(COUNTIFS('AFA Rates'!$A$5:$A$1004,$A610,'AFA Rates'!$B$5:$B$1004,M$23,'AFA Rates'!$O$5:$O$1004,"&lt;&gt;Expired")&gt;0,"✓",IF(COUNTIFS('AFA Rates'!$A$5:$A$1004,$A610,'AFA Rates'!$B$5:$B$1004,M$23)&gt;0,"Exp","")))</f>
        <v/>
      </c>
    </row>
    <row r="611">
      <c r="A611" s="78">
        <f>IFERROR(INDEX(Firms!$A$5:$A$1004,MATCH(588,Firms!$V$5:$V$1004,0)),"")</f>
        <v/>
      </c>
      <c r="B611" s="79">
        <f>IF($A611="","",INDEX(Firms!$B$5:$B$1004,MATCH(588,Firms!$V$5:$V$1004,0)))</f>
        <v/>
      </c>
      <c r="C611" s="79">
        <f>IF($A611="","",COUNTIFS('AFA Rates'!$A$5:$A$1004,$A611,'AFA Rates'!$O$5:$O$1004,"&lt;&gt;Expired"))</f>
        <v/>
      </c>
      <c r="D611" s="79">
        <f>IF(OR($A611="",D$23=""),"",IF(COUNTIFS('AFA Rates'!$A$5:$A$1004,$A611,'AFA Rates'!$B$5:$B$1004,D$23,'AFA Rates'!$O$5:$O$1004,"&lt;&gt;Expired")&gt;0,"✓",IF(COUNTIFS('AFA Rates'!$A$5:$A$1004,$A611,'AFA Rates'!$B$5:$B$1004,D$23)&gt;0,"Exp","")))</f>
        <v/>
      </c>
      <c r="E611" s="79">
        <f>IF(OR($A611="",E$23=""),"",IF(COUNTIFS('AFA Rates'!$A$5:$A$1004,$A611,'AFA Rates'!$B$5:$B$1004,E$23,'AFA Rates'!$O$5:$O$1004,"&lt;&gt;Expired")&gt;0,"✓",IF(COUNTIFS('AFA Rates'!$A$5:$A$1004,$A611,'AFA Rates'!$B$5:$B$1004,E$23)&gt;0,"Exp","")))</f>
        <v/>
      </c>
      <c r="F611" s="79">
        <f>IF(OR($A611="",F$23=""),"",IF(COUNTIFS('AFA Rates'!$A$5:$A$1004,$A611,'AFA Rates'!$B$5:$B$1004,F$23,'AFA Rates'!$O$5:$O$1004,"&lt;&gt;Expired")&gt;0,"✓",IF(COUNTIFS('AFA Rates'!$A$5:$A$1004,$A611,'AFA Rates'!$B$5:$B$1004,F$23)&gt;0,"Exp","")))</f>
        <v/>
      </c>
      <c r="G611" s="79">
        <f>IF(OR($A611="",G$23=""),"",IF(COUNTIFS('AFA Rates'!$A$5:$A$1004,$A611,'AFA Rates'!$B$5:$B$1004,G$23,'AFA Rates'!$O$5:$O$1004,"&lt;&gt;Expired")&gt;0,"✓",IF(COUNTIFS('AFA Rates'!$A$5:$A$1004,$A611,'AFA Rates'!$B$5:$B$1004,G$23)&gt;0,"Exp","")))</f>
        <v/>
      </c>
      <c r="H611" s="79">
        <f>IF(OR($A611="",H$23=""),"",IF(COUNTIFS('AFA Rates'!$A$5:$A$1004,$A611,'AFA Rates'!$B$5:$B$1004,H$23,'AFA Rates'!$O$5:$O$1004,"&lt;&gt;Expired")&gt;0,"✓",IF(COUNTIFS('AFA Rates'!$A$5:$A$1004,$A611,'AFA Rates'!$B$5:$B$1004,H$23)&gt;0,"Exp","")))</f>
        <v/>
      </c>
      <c r="I611" s="79">
        <f>IF(OR($A611="",I$23=""),"",IF(COUNTIFS('AFA Rates'!$A$5:$A$1004,$A611,'AFA Rates'!$B$5:$B$1004,I$23,'AFA Rates'!$O$5:$O$1004,"&lt;&gt;Expired")&gt;0,"✓",IF(COUNTIFS('AFA Rates'!$A$5:$A$1004,$A611,'AFA Rates'!$B$5:$B$1004,I$23)&gt;0,"Exp","")))</f>
        <v/>
      </c>
      <c r="J611" s="79">
        <f>IF(OR($A611="",J$23=""),"",IF(COUNTIFS('AFA Rates'!$A$5:$A$1004,$A611,'AFA Rates'!$B$5:$B$1004,J$23,'AFA Rates'!$O$5:$O$1004,"&lt;&gt;Expired")&gt;0,"✓",IF(COUNTIFS('AFA Rates'!$A$5:$A$1004,$A611,'AFA Rates'!$B$5:$B$1004,J$23)&gt;0,"Exp","")))</f>
        <v/>
      </c>
      <c r="K611" s="79">
        <f>IF(OR($A611="",K$23=""),"",IF(COUNTIFS('AFA Rates'!$A$5:$A$1004,$A611,'AFA Rates'!$B$5:$B$1004,K$23,'AFA Rates'!$O$5:$O$1004,"&lt;&gt;Expired")&gt;0,"✓",IF(COUNTIFS('AFA Rates'!$A$5:$A$1004,$A611,'AFA Rates'!$B$5:$B$1004,K$23)&gt;0,"Exp","")))</f>
        <v/>
      </c>
      <c r="L611" s="79">
        <f>IF(OR($A611="",L$23=""),"",IF(COUNTIFS('AFA Rates'!$A$5:$A$1004,$A611,'AFA Rates'!$B$5:$B$1004,L$23,'AFA Rates'!$O$5:$O$1004,"&lt;&gt;Expired")&gt;0,"✓",IF(COUNTIFS('AFA Rates'!$A$5:$A$1004,$A611,'AFA Rates'!$B$5:$B$1004,L$23)&gt;0,"Exp","")))</f>
        <v/>
      </c>
      <c r="M611" s="79">
        <f>IF(OR($A611="",M$23=""),"",IF(COUNTIFS('AFA Rates'!$A$5:$A$1004,$A611,'AFA Rates'!$B$5:$B$1004,M$23,'AFA Rates'!$O$5:$O$1004,"&lt;&gt;Expired")&gt;0,"✓",IF(COUNTIFS('AFA Rates'!$A$5:$A$1004,$A611,'AFA Rates'!$B$5:$B$1004,M$23)&gt;0,"Exp","")))</f>
        <v/>
      </c>
    </row>
    <row r="612">
      <c r="A612" s="78">
        <f>IFERROR(INDEX(Firms!$A$5:$A$1004,MATCH(589,Firms!$V$5:$V$1004,0)),"")</f>
        <v/>
      </c>
      <c r="B612" s="79">
        <f>IF($A612="","",INDEX(Firms!$B$5:$B$1004,MATCH(589,Firms!$V$5:$V$1004,0)))</f>
        <v/>
      </c>
      <c r="C612" s="79">
        <f>IF($A612="","",COUNTIFS('AFA Rates'!$A$5:$A$1004,$A612,'AFA Rates'!$O$5:$O$1004,"&lt;&gt;Expired"))</f>
        <v/>
      </c>
      <c r="D612" s="79">
        <f>IF(OR($A612="",D$23=""),"",IF(COUNTIFS('AFA Rates'!$A$5:$A$1004,$A612,'AFA Rates'!$B$5:$B$1004,D$23,'AFA Rates'!$O$5:$O$1004,"&lt;&gt;Expired")&gt;0,"✓",IF(COUNTIFS('AFA Rates'!$A$5:$A$1004,$A612,'AFA Rates'!$B$5:$B$1004,D$23)&gt;0,"Exp","")))</f>
        <v/>
      </c>
      <c r="E612" s="79">
        <f>IF(OR($A612="",E$23=""),"",IF(COUNTIFS('AFA Rates'!$A$5:$A$1004,$A612,'AFA Rates'!$B$5:$B$1004,E$23,'AFA Rates'!$O$5:$O$1004,"&lt;&gt;Expired")&gt;0,"✓",IF(COUNTIFS('AFA Rates'!$A$5:$A$1004,$A612,'AFA Rates'!$B$5:$B$1004,E$23)&gt;0,"Exp","")))</f>
        <v/>
      </c>
      <c r="F612" s="79">
        <f>IF(OR($A612="",F$23=""),"",IF(COUNTIFS('AFA Rates'!$A$5:$A$1004,$A612,'AFA Rates'!$B$5:$B$1004,F$23,'AFA Rates'!$O$5:$O$1004,"&lt;&gt;Expired")&gt;0,"✓",IF(COUNTIFS('AFA Rates'!$A$5:$A$1004,$A612,'AFA Rates'!$B$5:$B$1004,F$23)&gt;0,"Exp","")))</f>
        <v/>
      </c>
      <c r="G612" s="79">
        <f>IF(OR($A612="",G$23=""),"",IF(COUNTIFS('AFA Rates'!$A$5:$A$1004,$A612,'AFA Rates'!$B$5:$B$1004,G$23,'AFA Rates'!$O$5:$O$1004,"&lt;&gt;Expired")&gt;0,"✓",IF(COUNTIFS('AFA Rates'!$A$5:$A$1004,$A612,'AFA Rates'!$B$5:$B$1004,G$23)&gt;0,"Exp","")))</f>
        <v/>
      </c>
      <c r="H612" s="79">
        <f>IF(OR($A612="",H$23=""),"",IF(COUNTIFS('AFA Rates'!$A$5:$A$1004,$A612,'AFA Rates'!$B$5:$B$1004,H$23,'AFA Rates'!$O$5:$O$1004,"&lt;&gt;Expired")&gt;0,"✓",IF(COUNTIFS('AFA Rates'!$A$5:$A$1004,$A612,'AFA Rates'!$B$5:$B$1004,H$23)&gt;0,"Exp","")))</f>
        <v/>
      </c>
      <c r="I612" s="79">
        <f>IF(OR($A612="",I$23=""),"",IF(COUNTIFS('AFA Rates'!$A$5:$A$1004,$A612,'AFA Rates'!$B$5:$B$1004,I$23,'AFA Rates'!$O$5:$O$1004,"&lt;&gt;Expired")&gt;0,"✓",IF(COUNTIFS('AFA Rates'!$A$5:$A$1004,$A612,'AFA Rates'!$B$5:$B$1004,I$23)&gt;0,"Exp","")))</f>
        <v/>
      </c>
      <c r="J612" s="79">
        <f>IF(OR($A612="",J$23=""),"",IF(COUNTIFS('AFA Rates'!$A$5:$A$1004,$A612,'AFA Rates'!$B$5:$B$1004,J$23,'AFA Rates'!$O$5:$O$1004,"&lt;&gt;Expired")&gt;0,"✓",IF(COUNTIFS('AFA Rates'!$A$5:$A$1004,$A612,'AFA Rates'!$B$5:$B$1004,J$23)&gt;0,"Exp","")))</f>
        <v/>
      </c>
      <c r="K612" s="79">
        <f>IF(OR($A612="",K$23=""),"",IF(COUNTIFS('AFA Rates'!$A$5:$A$1004,$A612,'AFA Rates'!$B$5:$B$1004,K$23,'AFA Rates'!$O$5:$O$1004,"&lt;&gt;Expired")&gt;0,"✓",IF(COUNTIFS('AFA Rates'!$A$5:$A$1004,$A612,'AFA Rates'!$B$5:$B$1004,K$23)&gt;0,"Exp","")))</f>
        <v/>
      </c>
      <c r="L612" s="79">
        <f>IF(OR($A612="",L$23=""),"",IF(COUNTIFS('AFA Rates'!$A$5:$A$1004,$A612,'AFA Rates'!$B$5:$B$1004,L$23,'AFA Rates'!$O$5:$O$1004,"&lt;&gt;Expired")&gt;0,"✓",IF(COUNTIFS('AFA Rates'!$A$5:$A$1004,$A612,'AFA Rates'!$B$5:$B$1004,L$23)&gt;0,"Exp","")))</f>
        <v/>
      </c>
      <c r="M612" s="79">
        <f>IF(OR($A612="",M$23=""),"",IF(COUNTIFS('AFA Rates'!$A$5:$A$1004,$A612,'AFA Rates'!$B$5:$B$1004,M$23,'AFA Rates'!$O$5:$O$1004,"&lt;&gt;Expired")&gt;0,"✓",IF(COUNTIFS('AFA Rates'!$A$5:$A$1004,$A612,'AFA Rates'!$B$5:$B$1004,M$23)&gt;0,"Exp","")))</f>
        <v/>
      </c>
    </row>
    <row r="613">
      <c r="A613" s="78">
        <f>IFERROR(INDEX(Firms!$A$5:$A$1004,MATCH(590,Firms!$V$5:$V$1004,0)),"")</f>
        <v/>
      </c>
      <c r="B613" s="79">
        <f>IF($A613="","",INDEX(Firms!$B$5:$B$1004,MATCH(590,Firms!$V$5:$V$1004,0)))</f>
        <v/>
      </c>
      <c r="C613" s="79">
        <f>IF($A613="","",COUNTIFS('AFA Rates'!$A$5:$A$1004,$A613,'AFA Rates'!$O$5:$O$1004,"&lt;&gt;Expired"))</f>
        <v/>
      </c>
      <c r="D613" s="79">
        <f>IF(OR($A613="",D$23=""),"",IF(COUNTIFS('AFA Rates'!$A$5:$A$1004,$A613,'AFA Rates'!$B$5:$B$1004,D$23,'AFA Rates'!$O$5:$O$1004,"&lt;&gt;Expired")&gt;0,"✓",IF(COUNTIFS('AFA Rates'!$A$5:$A$1004,$A613,'AFA Rates'!$B$5:$B$1004,D$23)&gt;0,"Exp","")))</f>
        <v/>
      </c>
      <c r="E613" s="79">
        <f>IF(OR($A613="",E$23=""),"",IF(COUNTIFS('AFA Rates'!$A$5:$A$1004,$A613,'AFA Rates'!$B$5:$B$1004,E$23,'AFA Rates'!$O$5:$O$1004,"&lt;&gt;Expired")&gt;0,"✓",IF(COUNTIFS('AFA Rates'!$A$5:$A$1004,$A613,'AFA Rates'!$B$5:$B$1004,E$23)&gt;0,"Exp","")))</f>
        <v/>
      </c>
      <c r="F613" s="79">
        <f>IF(OR($A613="",F$23=""),"",IF(COUNTIFS('AFA Rates'!$A$5:$A$1004,$A613,'AFA Rates'!$B$5:$B$1004,F$23,'AFA Rates'!$O$5:$O$1004,"&lt;&gt;Expired")&gt;0,"✓",IF(COUNTIFS('AFA Rates'!$A$5:$A$1004,$A613,'AFA Rates'!$B$5:$B$1004,F$23)&gt;0,"Exp","")))</f>
        <v/>
      </c>
      <c r="G613" s="79">
        <f>IF(OR($A613="",G$23=""),"",IF(COUNTIFS('AFA Rates'!$A$5:$A$1004,$A613,'AFA Rates'!$B$5:$B$1004,G$23,'AFA Rates'!$O$5:$O$1004,"&lt;&gt;Expired")&gt;0,"✓",IF(COUNTIFS('AFA Rates'!$A$5:$A$1004,$A613,'AFA Rates'!$B$5:$B$1004,G$23)&gt;0,"Exp","")))</f>
        <v/>
      </c>
      <c r="H613" s="79">
        <f>IF(OR($A613="",H$23=""),"",IF(COUNTIFS('AFA Rates'!$A$5:$A$1004,$A613,'AFA Rates'!$B$5:$B$1004,H$23,'AFA Rates'!$O$5:$O$1004,"&lt;&gt;Expired")&gt;0,"✓",IF(COUNTIFS('AFA Rates'!$A$5:$A$1004,$A613,'AFA Rates'!$B$5:$B$1004,H$23)&gt;0,"Exp","")))</f>
        <v/>
      </c>
      <c r="I613" s="79">
        <f>IF(OR($A613="",I$23=""),"",IF(COUNTIFS('AFA Rates'!$A$5:$A$1004,$A613,'AFA Rates'!$B$5:$B$1004,I$23,'AFA Rates'!$O$5:$O$1004,"&lt;&gt;Expired")&gt;0,"✓",IF(COUNTIFS('AFA Rates'!$A$5:$A$1004,$A613,'AFA Rates'!$B$5:$B$1004,I$23)&gt;0,"Exp","")))</f>
        <v/>
      </c>
      <c r="J613" s="79">
        <f>IF(OR($A613="",J$23=""),"",IF(COUNTIFS('AFA Rates'!$A$5:$A$1004,$A613,'AFA Rates'!$B$5:$B$1004,J$23,'AFA Rates'!$O$5:$O$1004,"&lt;&gt;Expired")&gt;0,"✓",IF(COUNTIFS('AFA Rates'!$A$5:$A$1004,$A613,'AFA Rates'!$B$5:$B$1004,J$23)&gt;0,"Exp","")))</f>
        <v/>
      </c>
      <c r="K613" s="79">
        <f>IF(OR($A613="",K$23=""),"",IF(COUNTIFS('AFA Rates'!$A$5:$A$1004,$A613,'AFA Rates'!$B$5:$B$1004,K$23,'AFA Rates'!$O$5:$O$1004,"&lt;&gt;Expired")&gt;0,"✓",IF(COUNTIFS('AFA Rates'!$A$5:$A$1004,$A613,'AFA Rates'!$B$5:$B$1004,K$23)&gt;0,"Exp","")))</f>
        <v/>
      </c>
      <c r="L613" s="79">
        <f>IF(OR($A613="",L$23=""),"",IF(COUNTIFS('AFA Rates'!$A$5:$A$1004,$A613,'AFA Rates'!$B$5:$B$1004,L$23,'AFA Rates'!$O$5:$O$1004,"&lt;&gt;Expired")&gt;0,"✓",IF(COUNTIFS('AFA Rates'!$A$5:$A$1004,$A613,'AFA Rates'!$B$5:$B$1004,L$23)&gt;0,"Exp","")))</f>
        <v/>
      </c>
      <c r="M613" s="79">
        <f>IF(OR($A613="",M$23=""),"",IF(COUNTIFS('AFA Rates'!$A$5:$A$1004,$A613,'AFA Rates'!$B$5:$B$1004,M$23,'AFA Rates'!$O$5:$O$1004,"&lt;&gt;Expired")&gt;0,"✓",IF(COUNTIFS('AFA Rates'!$A$5:$A$1004,$A613,'AFA Rates'!$B$5:$B$1004,M$23)&gt;0,"Exp","")))</f>
        <v/>
      </c>
    </row>
    <row r="614">
      <c r="A614" s="78">
        <f>IFERROR(INDEX(Firms!$A$5:$A$1004,MATCH(591,Firms!$V$5:$V$1004,0)),"")</f>
        <v/>
      </c>
      <c r="B614" s="79">
        <f>IF($A614="","",INDEX(Firms!$B$5:$B$1004,MATCH(591,Firms!$V$5:$V$1004,0)))</f>
        <v/>
      </c>
      <c r="C614" s="79">
        <f>IF($A614="","",COUNTIFS('AFA Rates'!$A$5:$A$1004,$A614,'AFA Rates'!$O$5:$O$1004,"&lt;&gt;Expired"))</f>
        <v/>
      </c>
      <c r="D614" s="79">
        <f>IF(OR($A614="",D$23=""),"",IF(COUNTIFS('AFA Rates'!$A$5:$A$1004,$A614,'AFA Rates'!$B$5:$B$1004,D$23,'AFA Rates'!$O$5:$O$1004,"&lt;&gt;Expired")&gt;0,"✓",IF(COUNTIFS('AFA Rates'!$A$5:$A$1004,$A614,'AFA Rates'!$B$5:$B$1004,D$23)&gt;0,"Exp","")))</f>
        <v/>
      </c>
      <c r="E614" s="79">
        <f>IF(OR($A614="",E$23=""),"",IF(COUNTIFS('AFA Rates'!$A$5:$A$1004,$A614,'AFA Rates'!$B$5:$B$1004,E$23,'AFA Rates'!$O$5:$O$1004,"&lt;&gt;Expired")&gt;0,"✓",IF(COUNTIFS('AFA Rates'!$A$5:$A$1004,$A614,'AFA Rates'!$B$5:$B$1004,E$23)&gt;0,"Exp","")))</f>
        <v/>
      </c>
      <c r="F614" s="79">
        <f>IF(OR($A614="",F$23=""),"",IF(COUNTIFS('AFA Rates'!$A$5:$A$1004,$A614,'AFA Rates'!$B$5:$B$1004,F$23,'AFA Rates'!$O$5:$O$1004,"&lt;&gt;Expired")&gt;0,"✓",IF(COUNTIFS('AFA Rates'!$A$5:$A$1004,$A614,'AFA Rates'!$B$5:$B$1004,F$23)&gt;0,"Exp","")))</f>
        <v/>
      </c>
      <c r="G614" s="79">
        <f>IF(OR($A614="",G$23=""),"",IF(COUNTIFS('AFA Rates'!$A$5:$A$1004,$A614,'AFA Rates'!$B$5:$B$1004,G$23,'AFA Rates'!$O$5:$O$1004,"&lt;&gt;Expired")&gt;0,"✓",IF(COUNTIFS('AFA Rates'!$A$5:$A$1004,$A614,'AFA Rates'!$B$5:$B$1004,G$23)&gt;0,"Exp","")))</f>
        <v/>
      </c>
      <c r="H614" s="79">
        <f>IF(OR($A614="",H$23=""),"",IF(COUNTIFS('AFA Rates'!$A$5:$A$1004,$A614,'AFA Rates'!$B$5:$B$1004,H$23,'AFA Rates'!$O$5:$O$1004,"&lt;&gt;Expired")&gt;0,"✓",IF(COUNTIFS('AFA Rates'!$A$5:$A$1004,$A614,'AFA Rates'!$B$5:$B$1004,H$23)&gt;0,"Exp","")))</f>
        <v/>
      </c>
      <c r="I614" s="79">
        <f>IF(OR($A614="",I$23=""),"",IF(COUNTIFS('AFA Rates'!$A$5:$A$1004,$A614,'AFA Rates'!$B$5:$B$1004,I$23,'AFA Rates'!$O$5:$O$1004,"&lt;&gt;Expired")&gt;0,"✓",IF(COUNTIFS('AFA Rates'!$A$5:$A$1004,$A614,'AFA Rates'!$B$5:$B$1004,I$23)&gt;0,"Exp","")))</f>
        <v/>
      </c>
      <c r="J614" s="79">
        <f>IF(OR($A614="",J$23=""),"",IF(COUNTIFS('AFA Rates'!$A$5:$A$1004,$A614,'AFA Rates'!$B$5:$B$1004,J$23,'AFA Rates'!$O$5:$O$1004,"&lt;&gt;Expired")&gt;0,"✓",IF(COUNTIFS('AFA Rates'!$A$5:$A$1004,$A614,'AFA Rates'!$B$5:$B$1004,J$23)&gt;0,"Exp","")))</f>
        <v/>
      </c>
      <c r="K614" s="79">
        <f>IF(OR($A614="",K$23=""),"",IF(COUNTIFS('AFA Rates'!$A$5:$A$1004,$A614,'AFA Rates'!$B$5:$B$1004,K$23,'AFA Rates'!$O$5:$O$1004,"&lt;&gt;Expired")&gt;0,"✓",IF(COUNTIFS('AFA Rates'!$A$5:$A$1004,$A614,'AFA Rates'!$B$5:$B$1004,K$23)&gt;0,"Exp","")))</f>
        <v/>
      </c>
      <c r="L614" s="79">
        <f>IF(OR($A614="",L$23=""),"",IF(COUNTIFS('AFA Rates'!$A$5:$A$1004,$A614,'AFA Rates'!$B$5:$B$1004,L$23,'AFA Rates'!$O$5:$O$1004,"&lt;&gt;Expired")&gt;0,"✓",IF(COUNTIFS('AFA Rates'!$A$5:$A$1004,$A614,'AFA Rates'!$B$5:$B$1004,L$23)&gt;0,"Exp","")))</f>
        <v/>
      </c>
      <c r="M614" s="79">
        <f>IF(OR($A614="",M$23=""),"",IF(COUNTIFS('AFA Rates'!$A$5:$A$1004,$A614,'AFA Rates'!$B$5:$B$1004,M$23,'AFA Rates'!$O$5:$O$1004,"&lt;&gt;Expired")&gt;0,"✓",IF(COUNTIFS('AFA Rates'!$A$5:$A$1004,$A614,'AFA Rates'!$B$5:$B$1004,M$23)&gt;0,"Exp","")))</f>
        <v/>
      </c>
    </row>
    <row r="615">
      <c r="A615" s="78">
        <f>IFERROR(INDEX(Firms!$A$5:$A$1004,MATCH(592,Firms!$V$5:$V$1004,0)),"")</f>
        <v/>
      </c>
      <c r="B615" s="79">
        <f>IF($A615="","",INDEX(Firms!$B$5:$B$1004,MATCH(592,Firms!$V$5:$V$1004,0)))</f>
        <v/>
      </c>
      <c r="C615" s="79">
        <f>IF($A615="","",COUNTIFS('AFA Rates'!$A$5:$A$1004,$A615,'AFA Rates'!$O$5:$O$1004,"&lt;&gt;Expired"))</f>
        <v/>
      </c>
      <c r="D615" s="79">
        <f>IF(OR($A615="",D$23=""),"",IF(COUNTIFS('AFA Rates'!$A$5:$A$1004,$A615,'AFA Rates'!$B$5:$B$1004,D$23,'AFA Rates'!$O$5:$O$1004,"&lt;&gt;Expired")&gt;0,"✓",IF(COUNTIFS('AFA Rates'!$A$5:$A$1004,$A615,'AFA Rates'!$B$5:$B$1004,D$23)&gt;0,"Exp","")))</f>
        <v/>
      </c>
      <c r="E615" s="79">
        <f>IF(OR($A615="",E$23=""),"",IF(COUNTIFS('AFA Rates'!$A$5:$A$1004,$A615,'AFA Rates'!$B$5:$B$1004,E$23,'AFA Rates'!$O$5:$O$1004,"&lt;&gt;Expired")&gt;0,"✓",IF(COUNTIFS('AFA Rates'!$A$5:$A$1004,$A615,'AFA Rates'!$B$5:$B$1004,E$23)&gt;0,"Exp","")))</f>
        <v/>
      </c>
      <c r="F615" s="79">
        <f>IF(OR($A615="",F$23=""),"",IF(COUNTIFS('AFA Rates'!$A$5:$A$1004,$A615,'AFA Rates'!$B$5:$B$1004,F$23,'AFA Rates'!$O$5:$O$1004,"&lt;&gt;Expired")&gt;0,"✓",IF(COUNTIFS('AFA Rates'!$A$5:$A$1004,$A615,'AFA Rates'!$B$5:$B$1004,F$23)&gt;0,"Exp","")))</f>
        <v/>
      </c>
      <c r="G615" s="79">
        <f>IF(OR($A615="",G$23=""),"",IF(COUNTIFS('AFA Rates'!$A$5:$A$1004,$A615,'AFA Rates'!$B$5:$B$1004,G$23,'AFA Rates'!$O$5:$O$1004,"&lt;&gt;Expired")&gt;0,"✓",IF(COUNTIFS('AFA Rates'!$A$5:$A$1004,$A615,'AFA Rates'!$B$5:$B$1004,G$23)&gt;0,"Exp","")))</f>
        <v/>
      </c>
      <c r="H615" s="79">
        <f>IF(OR($A615="",H$23=""),"",IF(COUNTIFS('AFA Rates'!$A$5:$A$1004,$A615,'AFA Rates'!$B$5:$B$1004,H$23,'AFA Rates'!$O$5:$O$1004,"&lt;&gt;Expired")&gt;0,"✓",IF(COUNTIFS('AFA Rates'!$A$5:$A$1004,$A615,'AFA Rates'!$B$5:$B$1004,H$23)&gt;0,"Exp","")))</f>
        <v/>
      </c>
      <c r="I615" s="79">
        <f>IF(OR($A615="",I$23=""),"",IF(COUNTIFS('AFA Rates'!$A$5:$A$1004,$A615,'AFA Rates'!$B$5:$B$1004,I$23,'AFA Rates'!$O$5:$O$1004,"&lt;&gt;Expired")&gt;0,"✓",IF(COUNTIFS('AFA Rates'!$A$5:$A$1004,$A615,'AFA Rates'!$B$5:$B$1004,I$23)&gt;0,"Exp","")))</f>
        <v/>
      </c>
      <c r="J615" s="79">
        <f>IF(OR($A615="",J$23=""),"",IF(COUNTIFS('AFA Rates'!$A$5:$A$1004,$A615,'AFA Rates'!$B$5:$B$1004,J$23,'AFA Rates'!$O$5:$O$1004,"&lt;&gt;Expired")&gt;0,"✓",IF(COUNTIFS('AFA Rates'!$A$5:$A$1004,$A615,'AFA Rates'!$B$5:$B$1004,J$23)&gt;0,"Exp","")))</f>
        <v/>
      </c>
      <c r="K615" s="79">
        <f>IF(OR($A615="",K$23=""),"",IF(COUNTIFS('AFA Rates'!$A$5:$A$1004,$A615,'AFA Rates'!$B$5:$B$1004,K$23,'AFA Rates'!$O$5:$O$1004,"&lt;&gt;Expired")&gt;0,"✓",IF(COUNTIFS('AFA Rates'!$A$5:$A$1004,$A615,'AFA Rates'!$B$5:$B$1004,K$23)&gt;0,"Exp","")))</f>
        <v/>
      </c>
      <c r="L615" s="79">
        <f>IF(OR($A615="",L$23=""),"",IF(COUNTIFS('AFA Rates'!$A$5:$A$1004,$A615,'AFA Rates'!$B$5:$B$1004,L$23,'AFA Rates'!$O$5:$O$1004,"&lt;&gt;Expired")&gt;0,"✓",IF(COUNTIFS('AFA Rates'!$A$5:$A$1004,$A615,'AFA Rates'!$B$5:$B$1004,L$23)&gt;0,"Exp","")))</f>
        <v/>
      </c>
      <c r="M615" s="79">
        <f>IF(OR($A615="",M$23=""),"",IF(COUNTIFS('AFA Rates'!$A$5:$A$1004,$A615,'AFA Rates'!$B$5:$B$1004,M$23,'AFA Rates'!$O$5:$O$1004,"&lt;&gt;Expired")&gt;0,"✓",IF(COUNTIFS('AFA Rates'!$A$5:$A$1004,$A615,'AFA Rates'!$B$5:$B$1004,M$23)&gt;0,"Exp","")))</f>
        <v/>
      </c>
    </row>
    <row r="616">
      <c r="A616" s="78">
        <f>IFERROR(INDEX(Firms!$A$5:$A$1004,MATCH(593,Firms!$V$5:$V$1004,0)),"")</f>
        <v/>
      </c>
      <c r="B616" s="79">
        <f>IF($A616="","",INDEX(Firms!$B$5:$B$1004,MATCH(593,Firms!$V$5:$V$1004,0)))</f>
        <v/>
      </c>
      <c r="C616" s="79">
        <f>IF($A616="","",COUNTIFS('AFA Rates'!$A$5:$A$1004,$A616,'AFA Rates'!$O$5:$O$1004,"&lt;&gt;Expired"))</f>
        <v/>
      </c>
      <c r="D616" s="79">
        <f>IF(OR($A616="",D$23=""),"",IF(COUNTIFS('AFA Rates'!$A$5:$A$1004,$A616,'AFA Rates'!$B$5:$B$1004,D$23,'AFA Rates'!$O$5:$O$1004,"&lt;&gt;Expired")&gt;0,"✓",IF(COUNTIFS('AFA Rates'!$A$5:$A$1004,$A616,'AFA Rates'!$B$5:$B$1004,D$23)&gt;0,"Exp","")))</f>
        <v/>
      </c>
      <c r="E616" s="79">
        <f>IF(OR($A616="",E$23=""),"",IF(COUNTIFS('AFA Rates'!$A$5:$A$1004,$A616,'AFA Rates'!$B$5:$B$1004,E$23,'AFA Rates'!$O$5:$O$1004,"&lt;&gt;Expired")&gt;0,"✓",IF(COUNTIFS('AFA Rates'!$A$5:$A$1004,$A616,'AFA Rates'!$B$5:$B$1004,E$23)&gt;0,"Exp","")))</f>
        <v/>
      </c>
      <c r="F616" s="79">
        <f>IF(OR($A616="",F$23=""),"",IF(COUNTIFS('AFA Rates'!$A$5:$A$1004,$A616,'AFA Rates'!$B$5:$B$1004,F$23,'AFA Rates'!$O$5:$O$1004,"&lt;&gt;Expired")&gt;0,"✓",IF(COUNTIFS('AFA Rates'!$A$5:$A$1004,$A616,'AFA Rates'!$B$5:$B$1004,F$23)&gt;0,"Exp","")))</f>
        <v/>
      </c>
      <c r="G616" s="79">
        <f>IF(OR($A616="",G$23=""),"",IF(COUNTIFS('AFA Rates'!$A$5:$A$1004,$A616,'AFA Rates'!$B$5:$B$1004,G$23,'AFA Rates'!$O$5:$O$1004,"&lt;&gt;Expired")&gt;0,"✓",IF(COUNTIFS('AFA Rates'!$A$5:$A$1004,$A616,'AFA Rates'!$B$5:$B$1004,G$23)&gt;0,"Exp","")))</f>
        <v/>
      </c>
      <c r="H616" s="79">
        <f>IF(OR($A616="",H$23=""),"",IF(COUNTIFS('AFA Rates'!$A$5:$A$1004,$A616,'AFA Rates'!$B$5:$B$1004,H$23,'AFA Rates'!$O$5:$O$1004,"&lt;&gt;Expired")&gt;0,"✓",IF(COUNTIFS('AFA Rates'!$A$5:$A$1004,$A616,'AFA Rates'!$B$5:$B$1004,H$23)&gt;0,"Exp","")))</f>
        <v/>
      </c>
      <c r="I616" s="79">
        <f>IF(OR($A616="",I$23=""),"",IF(COUNTIFS('AFA Rates'!$A$5:$A$1004,$A616,'AFA Rates'!$B$5:$B$1004,I$23,'AFA Rates'!$O$5:$O$1004,"&lt;&gt;Expired")&gt;0,"✓",IF(COUNTIFS('AFA Rates'!$A$5:$A$1004,$A616,'AFA Rates'!$B$5:$B$1004,I$23)&gt;0,"Exp","")))</f>
        <v/>
      </c>
      <c r="J616" s="79">
        <f>IF(OR($A616="",J$23=""),"",IF(COUNTIFS('AFA Rates'!$A$5:$A$1004,$A616,'AFA Rates'!$B$5:$B$1004,J$23,'AFA Rates'!$O$5:$O$1004,"&lt;&gt;Expired")&gt;0,"✓",IF(COUNTIFS('AFA Rates'!$A$5:$A$1004,$A616,'AFA Rates'!$B$5:$B$1004,J$23)&gt;0,"Exp","")))</f>
        <v/>
      </c>
      <c r="K616" s="79">
        <f>IF(OR($A616="",K$23=""),"",IF(COUNTIFS('AFA Rates'!$A$5:$A$1004,$A616,'AFA Rates'!$B$5:$B$1004,K$23,'AFA Rates'!$O$5:$O$1004,"&lt;&gt;Expired")&gt;0,"✓",IF(COUNTIFS('AFA Rates'!$A$5:$A$1004,$A616,'AFA Rates'!$B$5:$B$1004,K$23)&gt;0,"Exp","")))</f>
        <v/>
      </c>
      <c r="L616" s="79">
        <f>IF(OR($A616="",L$23=""),"",IF(COUNTIFS('AFA Rates'!$A$5:$A$1004,$A616,'AFA Rates'!$B$5:$B$1004,L$23,'AFA Rates'!$O$5:$O$1004,"&lt;&gt;Expired")&gt;0,"✓",IF(COUNTIFS('AFA Rates'!$A$5:$A$1004,$A616,'AFA Rates'!$B$5:$B$1004,L$23)&gt;0,"Exp","")))</f>
        <v/>
      </c>
      <c r="M616" s="79">
        <f>IF(OR($A616="",M$23=""),"",IF(COUNTIFS('AFA Rates'!$A$5:$A$1004,$A616,'AFA Rates'!$B$5:$B$1004,M$23,'AFA Rates'!$O$5:$O$1004,"&lt;&gt;Expired")&gt;0,"✓",IF(COUNTIFS('AFA Rates'!$A$5:$A$1004,$A616,'AFA Rates'!$B$5:$B$1004,M$23)&gt;0,"Exp","")))</f>
        <v/>
      </c>
    </row>
    <row r="617">
      <c r="A617" s="78">
        <f>IFERROR(INDEX(Firms!$A$5:$A$1004,MATCH(594,Firms!$V$5:$V$1004,0)),"")</f>
        <v/>
      </c>
      <c r="B617" s="79">
        <f>IF($A617="","",INDEX(Firms!$B$5:$B$1004,MATCH(594,Firms!$V$5:$V$1004,0)))</f>
        <v/>
      </c>
      <c r="C617" s="79">
        <f>IF($A617="","",COUNTIFS('AFA Rates'!$A$5:$A$1004,$A617,'AFA Rates'!$O$5:$O$1004,"&lt;&gt;Expired"))</f>
        <v/>
      </c>
      <c r="D617" s="79">
        <f>IF(OR($A617="",D$23=""),"",IF(COUNTIFS('AFA Rates'!$A$5:$A$1004,$A617,'AFA Rates'!$B$5:$B$1004,D$23,'AFA Rates'!$O$5:$O$1004,"&lt;&gt;Expired")&gt;0,"✓",IF(COUNTIFS('AFA Rates'!$A$5:$A$1004,$A617,'AFA Rates'!$B$5:$B$1004,D$23)&gt;0,"Exp","")))</f>
        <v/>
      </c>
      <c r="E617" s="79">
        <f>IF(OR($A617="",E$23=""),"",IF(COUNTIFS('AFA Rates'!$A$5:$A$1004,$A617,'AFA Rates'!$B$5:$B$1004,E$23,'AFA Rates'!$O$5:$O$1004,"&lt;&gt;Expired")&gt;0,"✓",IF(COUNTIFS('AFA Rates'!$A$5:$A$1004,$A617,'AFA Rates'!$B$5:$B$1004,E$23)&gt;0,"Exp","")))</f>
        <v/>
      </c>
      <c r="F617" s="79">
        <f>IF(OR($A617="",F$23=""),"",IF(COUNTIFS('AFA Rates'!$A$5:$A$1004,$A617,'AFA Rates'!$B$5:$B$1004,F$23,'AFA Rates'!$O$5:$O$1004,"&lt;&gt;Expired")&gt;0,"✓",IF(COUNTIFS('AFA Rates'!$A$5:$A$1004,$A617,'AFA Rates'!$B$5:$B$1004,F$23)&gt;0,"Exp","")))</f>
        <v/>
      </c>
      <c r="G617" s="79">
        <f>IF(OR($A617="",G$23=""),"",IF(COUNTIFS('AFA Rates'!$A$5:$A$1004,$A617,'AFA Rates'!$B$5:$B$1004,G$23,'AFA Rates'!$O$5:$O$1004,"&lt;&gt;Expired")&gt;0,"✓",IF(COUNTIFS('AFA Rates'!$A$5:$A$1004,$A617,'AFA Rates'!$B$5:$B$1004,G$23)&gt;0,"Exp","")))</f>
        <v/>
      </c>
      <c r="H617" s="79">
        <f>IF(OR($A617="",H$23=""),"",IF(COUNTIFS('AFA Rates'!$A$5:$A$1004,$A617,'AFA Rates'!$B$5:$B$1004,H$23,'AFA Rates'!$O$5:$O$1004,"&lt;&gt;Expired")&gt;0,"✓",IF(COUNTIFS('AFA Rates'!$A$5:$A$1004,$A617,'AFA Rates'!$B$5:$B$1004,H$23)&gt;0,"Exp","")))</f>
        <v/>
      </c>
      <c r="I617" s="79">
        <f>IF(OR($A617="",I$23=""),"",IF(COUNTIFS('AFA Rates'!$A$5:$A$1004,$A617,'AFA Rates'!$B$5:$B$1004,I$23,'AFA Rates'!$O$5:$O$1004,"&lt;&gt;Expired")&gt;0,"✓",IF(COUNTIFS('AFA Rates'!$A$5:$A$1004,$A617,'AFA Rates'!$B$5:$B$1004,I$23)&gt;0,"Exp","")))</f>
        <v/>
      </c>
      <c r="J617" s="79">
        <f>IF(OR($A617="",J$23=""),"",IF(COUNTIFS('AFA Rates'!$A$5:$A$1004,$A617,'AFA Rates'!$B$5:$B$1004,J$23,'AFA Rates'!$O$5:$O$1004,"&lt;&gt;Expired")&gt;0,"✓",IF(COUNTIFS('AFA Rates'!$A$5:$A$1004,$A617,'AFA Rates'!$B$5:$B$1004,J$23)&gt;0,"Exp","")))</f>
        <v/>
      </c>
      <c r="K617" s="79">
        <f>IF(OR($A617="",K$23=""),"",IF(COUNTIFS('AFA Rates'!$A$5:$A$1004,$A617,'AFA Rates'!$B$5:$B$1004,K$23,'AFA Rates'!$O$5:$O$1004,"&lt;&gt;Expired")&gt;0,"✓",IF(COUNTIFS('AFA Rates'!$A$5:$A$1004,$A617,'AFA Rates'!$B$5:$B$1004,K$23)&gt;0,"Exp","")))</f>
        <v/>
      </c>
      <c r="L617" s="79">
        <f>IF(OR($A617="",L$23=""),"",IF(COUNTIFS('AFA Rates'!$A$5:$A$1004,$A617,'AFA Rates'!$B$5:$B$1004,L$23,'AFA Rates'!$O$5:$O$1004,"&lt;&gt;Expired")&gt;0,"✓",IF(COUNTIFS('AFA Rates'!$A$5:$A$1004,$A617,'AFA Rates'!$B$5:$B$1004,L$23)&gt;0,"Exp","")))</f>
        <v/>
      </c>
      <c r="M617" s="79">
        <f>IF(OR($A617="",M$23=""),"",IF(COUNTIFS('AFA Rates'!$A$5:$A$1004,$A617,'AFA Rates'!$B$5:$B$1004,M$23,'AFA Rates'!$O$5:$O$1004,"&lt;&gt;Expired")&gt;0,"✓",IF(COUNTIFS('AFA Rates'!$A$5:$A$1004,$A617,'AFA Rates'!$B$5:$B$1004,M$23)&gt;0,"Exp","")))</f>
        <v/>
      </c>
    </row>
    <row r="618">
      <c r="A618" s="78">
        <f>IFERROR(INDEX(Firms!$A$5:$A$1004,MATCH(595,Firms!$V$5:$V$1004,0)),"")</f>
        <v/>
      </c>
      <c r="B618" s="79">
        <f>IF($A618="","",INDEX(Firms!$B$5:$B$1004,MATCH(595,Firms!$V$5:$V$1004,0)))</f>
        <v/>
      </c>
      <c r="C618" s="79">
        <f>IF($A618="","",COUNTIFS('AFA Rates'!$A$5:$A$1004,$A618,'AFA Rates'!$O$5:$O$1004,"&lt;&gt;Expired"))</f>
        <v/>
      </c>
      <c r="D618" s="79">
        <f>IF(OR($A618="",D$23=""),"",IF(COUNTIFS('AFA Rates'!$A$5:$A$1004,$A618,'AFA Rates'!$B$5:$B$1004,D$23,'AFA Rates'!$O$5:$O$1004,"&lt;&gt;Expired")&gt;0,"✓",IF(COUNTIFS('AFA Rates'!$A$5:$A$1004,$A618,'AFA Rates'!$B$5:$B$1004,D$23)&gt;0,"Exp","")))</f>
        <v/>
      </c>
      <c r="E618" s="79">
        <f>IF(OR($A618="",E$23=""),"",IF(COUNTIFS('AFA Rates'!$A$5:$A$1004,$A618,'AFA Rates'!$B$5:$B$1004,E$23,'AFA Rates'!$O$5:$O$1004,"&lt;&gt;Expired")&gt;0,"✓",IF(COUNTIFS('AFA Rates'!$A$5:$A$1004,$A618,'AFA Rates'!$B$5:$B$1004,E$23)&gt;0,"Exp","")))</f>
        <v/>
      </c>
      <c r="F618" s="79">
        <f>IF(OR($A618="",F$23=""),"",IF(COUNTIFS('AFA Rates'!$A$5:$A$1004,$A618,'AFA Rates'!$B$5:$B$1004,F$23,'AFA Rates'!$O$5:$O$1004,"&lt;&gt;Expired")&gt;0,"✓",IF(COUNTIFS('AFA Rates'!$A$5:$A$1004,$A618,'AFA Rates'!$B$5:$B$1004,F$23)&gt;0,"Exp","")))</f>
        <v/>
      </c>
      <c r="G618" s="79">
        <f>IF(OR($A618="",G$23=""),"",IF(COUNTIFS('AFA Rates'!$A$5:$A$1004,$A618,'AFA Rates'!$B$5:$B$1004,G$23,'AFA Rates'!$O$5:$O$1004,"&lt;&gt;Expired")&gt;0,"✓",IF(COUNTIFS('AFA Rates'!$A$5:$A$1004,$A618,'AFA Rates'!$B$5:$B$1004,G$23)&gt;0,"Exp","")))</f>
        <v/>
      </c>
      <c r="H618" s="79">
        <f>IF(OR($A618="",H$23=""),"",IF(COUNTIFS('AFA Rates'!$A$5:$A$1004,$A618,'AFA Rates'!$B$5:$B$1004,H$23,'AFA Rates'!$O$5:$O$1004,"&lt;&gt;Expired")&gt;0,"✓",IF(COUNTIFS('AFA Rates'!$A$5:$A$1004,$A618,'AFA Rates'!$B$5:$B$1004,H$23)&gt;0,"Exp","")))</f>
        <v/>
      </c>
      <c r="I618" s="79">
        <f>IF(OR($A618="",I$23=""),"",IF(COUNTIFS('AFA Rates'!$A$5:$A$1004,$A618,'AFA Rates'!$B$5:$B$1004,I$23,'AFA Rates'!$O$5:$O$1004,"&lt;&gt;Expired")&gt;0,"✓",IF(COUNTIFS('AFA Rates'!$A$5:$A$1004,$A618,'AFA Rates'!$B$5:$B$1004,I$23)&gt;0,"Exp","")))</f>
        <v/>
      </c>
      <c r="J618" s="79">
        <f>IF(OR($A618="",J$23=""),"",IF(COUNTIFS('AFA Rates'!$A$5:$A$1004,$A618,'AFA Rates'!$B$5:$B$1004,J$23,'AFA Rates'!$O$5:$O$1004,"&lt;&gt;Expired")&gt;0,"✓",IF(COUNTIFS('AFA Rates'!$A$5:$A$1004,$A618,'AFA Rates'!$B$5:$B$1004,J$23)&gt;0,"Exp","")))</f>
        <v/>
      </c>
      <c r="K618" s="79">
        <f>IF(OR($A618="",K$23=""),"",IF(COUNTIFS('AFA Rates'!$A$5:$A$1004,$A618,'AFA Rates'!$B$5:$B$1004,K$23,'AFA Rates'!$O$5:$O$1004,"&lt;&gt;Expired")&gt;0,"✓",IF(COUNTIFS('AFA Rates'!$A$5:$A$1004,$A618,'AFA Rates'!$B$5:$B$1004,K$23)&gt;0,"Exp","")))</f>
        <v/>
      </c>
      <c r="L618" s="79">
        <f>IF(OR($A618="",L$23=""),"",IF(COUNTIFS('AFA Rates'!$A$5:$A$1004,$A618,'AFA Rates'!$B$5:$B$1004,L$23,'AFA Rates'!$O$5:$O$1004,"&lt;&gt;Expired")&gt;0,"✓",IF(COUNTIFS('AFA Rates'!$A$5:$A$1004,$A618,'AFA Rates'!$B$5:$B$1004,L$23)&gt;0,"Exp","")))</f>
        <v/>
      </c>
      <c r="M618" s="79">
        <f>IF(OR($A618="",M$23=""),"",IF(COUNTIFS('AFA Rates'!$A$5:$A$1004,$A618,'AFA Rates'!$B$5:$B$1004,M$23,'AFA Rates'!$O$5:$O$1004,"&lt;&gt;Expired")&gt;0,"✓",IF(COUNTIFS('AFA Rates'!$A$5:$A$1004,$A618,'AFA Rates'!$B$5:$B$1004,M$23)&gt;0,"Exp","")))</f>
        <v/>
      </c>
    </row>
    <row r="619">
      <c r="A619" s="78">
        <f>IFERROR(INDEX(Firms!$A$5:$A$1004,MATCH(596,Firms!$V$5:$V$1004,0)),"")</f>
        <v/>
      </c>
      <c r="B619" s="79">
        <f>IF($A619="","",INDEX(Firms!$B$5:$B$1004,MATCH(596,Firms!$V$5:$V$1004,0)))</f>
        <v/>
      </c>
      <c r="C619" s="79">
        <f>IF($A619="","",COUNTIFS('AFA Rates'!$A$5:$A$1004,$A619,'AFA Rates'!$O$5:$O$1004,"&lt;&gt;Expired"))</f>
        <v/>
      </c>
      <c r="D619" s="79">
        <f>IF(OR($A619="",D$23=""),"",IF(COUNTIFS('AFA Rates'!$A$5:$A$1004,$A619,'AFA Rates'!$B$5:$B$1004,D$23,'AFA Rates'!$O$5:$O$1004,"&lt;&gt;Expired")&gt;0,"✓",IF(COUNTIFS('AFA Rates'!$A$5:$A$1004,$A619,'AFA Rates'!$B$5:$B$1004,D$23)&gt;0,"Exp","")))</f>
        <v/>
      </c>
      <c r="E619" s="79">
        <f>IF(OR($A619="",E$23=""),"",IF(COUNTIFS('AFA Rates'!$A$5:$A$1004,$A619,'AFA Rates'!$B$5:$B$1004,E$23,'AFA Rates'!$O$5:$O$1004,"&lt;&gt;Expired")&gt;0,"✓",IF(COUNTIFS('AFA Rates'!$A$5:$A$1004,$A619,'AFA Rates'!$B$5:$B$1004,E$23)&gt;0,"Exp","")))</f>
        <v/>
      </c>
      <c r="F619" s="79">
        <f>IF(OR($A619="",F$23=""),"",IF(COUNTIFS('AFA Rates'!$A$5:$A$1004,$A619,'AFA Rates'!$B$5:$B$1004,F$23,'AFA Rates'!$O$5:$O$1004,"&lt;&gt;Expired")&gt;0,"✓",IF(COUNTIFS('AFA Rates'!$A$5:$A$1004,$A619,'AFA Rates'!$B$5:$B$1004,F$23)&gt;0,"Exp","")))</f>
        <v/>
      </c>
      <c r="G619" s="79">
        <f>IF(OR($A619="",G$23=""),"",IF(COUNTIFS('AFA Rates'!$A$5:$A$1004,$A619,'AFA Rates'!$B$5:$B$1004,G$23,'AFA Rates'!$O$5:$O$1004,"&lt;&gt;Expired")&gt;0,"✓",IF(COUNTIFS('AFA Rates'!$A$5:$A$1004,$A619,'AFA Rates'!$B$5:$B$1004,G$23)&gt;0,"Exp","")))</f>
        <v/>
      </c>
      <c r="H619" s="79">
        <f>IF(OR($A619="",H$23=""),"",IF(COUNTIFS('AFA Rates'!$A$5:$A$1004,$A619,'AFA Rates'!$B$5:$B$1004,H$23,'AFA Rates'!$O$5:$O$1004,"&lt;&gt;Expired")&gt;0,"✓",IF(COUNTIFS('AFA Rates'!$A$5:$A$1004,$A619,'AFA Rates'!$B$5:$B$1004,H$23)&gt;0,"Exp","")))</f>
        <v/>
      </c>
      <c r="I619" s="79">
        <f>IF(OR($A619="",I$23=""),"",IF(COUNTIFS('AFA Rates'!$A$5:$A$1004,$A619,'AFA Rates'!$B$5:$B$1004,I$23,'AFA Rates'!$O$5:$O$1004,"&lt;&gt;Expired")&gt;0,"✓",IF(COUNTIFS('AFA Rates'!$A$5:$A$1004,$A619,'AFA Rates'!$B$5:$B$1004,I$23)&gt;0,"Exp","")))</f>
        <v/>
      </c>
      <c r="J619" s="79">
        <f>IF(OR($A619="",J$23=""),"",IF(COUNTIFS('AFA Rates'!$A$5:$A$1004,$A619,'AFA Rates'!$B$5:$B$1004,J$23,'AFA Rates'!$O$5:$O$1004,"&lt;&gt;Expired")&gt;0,"✓",IF(COUNTIFS('AFA Rates'!$A$5:$A$1004,$A619,'AFA Rates'!$B$5:$B$1004,J$23)&gt;0,"Exp","")))</f>
        <v/>
      </c>
      <c r="K619" s="79">
        <f>IF(OR($A619="",K$23=""),"",IF(COUNTIFS('AFA Rates'!$A$5:$A$1004,$A619,'AFA Rates'!$B$5:$B$1004,K$23,'AFA Rates'!$O$5:$O$1004,"&lt;&gt;Expired")&gt;0,"✓",IF(COUNTIFS('AFA Rates'!$A$5:$A$1004,$A619,'AFA Rates'!$B$5:$B$1004,K$23)&gt;0,"Exp","")))</f>
        <v/>
      </c>
      <c r="L619" s="79">
        <f>IF(OR($A619="",L$23=""),"",IF(COUNTIFS('AFA Rates'!$A$5:$A$1004,$A619,'AFA Rates'!$B$5:$B$1004,L$23,'AFA Rates'!$O$5:$O$1004,"&lt;&gt;Expired")&gt;0,"✓",IF(COUNTIFS('AFA Rates'!$A$5:$A$1004,$A619,'AFA Rates'!$B$5:$B$1004,L$23)&gt;0,"Exp","")))</f>
        <v/>
      </c>
      <c r="M619" s="79">
        <f>IF(OR($A619="",M$23=""),"",IF(COUNTIFS('AFA Rates'!$A$5:$A$1004,$A619,'AFA Rates'!$B$5:$B$1004,M$23,'AFA Rates'!$O$5:$O$1004,"&lt;&gt;Expired")&gt;0,"✓",IF(COUNTIFS('AFA Rates'!$A$5:$A$1004,$A619,'AFA Rates'!$B$5:$B$1004,M$23)&gt;0,"Exp","")))</f>
        <v/>
      </c>
    </row>
    <row r="620">
      <c r="A620" s="78">
        <f>IFERROR(INDEX(Firms!$A$5:$A$1004,MATCH(597,Firms!$V$5:$V$1004,0)),"")</f>
        <v/>
      </c>
      <c r="B620" s="79">
        <f>IF($A620="","",INDEX(Firms!$B$5:$B$1004,MATCH(597,Firms!$V$5:$V$1004,0)))</f>
        <v/>
      </c>
      <c r="C620" s="79">
        <f>IF($A620="","",COUNTIFS('AFA Rates'!$A$5:$A$1004,$A620,'AFA Rates'!$O$5:$O$1004,"&lt;&gt;Expired"))</f>
        <v/>
      </c>
      <c r="D620" s="79">
        <f>IF(OR($A620="",D$23=""),"",IF(COUNTIFS('AFA Rates'!$A$5:$A$1004,$A620,'AFA Rates'!$B$5:$B$1004,D$23,'AFA Rates'!$O$5:$O$1004,"&lt;&gt;Expired")&gt;0,"✓",IF(COUNTIFS('AFA Rates'!$A$5:$A$1004,$A620,'AFA Rates'!$B$5:$B$1004,D$23)&gt;0,"Exp","")))</f>
        <v/>
      </c>
      <c r="E620" s="79">
        <f>IF(OR($A620="",E$23=""),"",IF(COUNTIFS('AFA Rates'!$A$5:$A$1004,$A620,'AFA Rates'!$B$5:$B$1004,E$23,'AFA Rates'!$O$5:$O$1004,"&lt;&gt;Expired")&gt;0,"✓",IF(COUNTIFS('AFA Rates'!$A$5:$A$1004,$A620,'AFA Rates'!$B$5:$B$1004,E$23)&gt;0,"Exp","")))</f>
        <v/>
      </c>
      <c r="F620" s="79">
        <f>IF(OR($A620="",F$23=""),"",IF(COUNTIFS('AFA Rates'!$A$5:$A$1004,$A620,'AFA Rates'!$B$5:$B$1004,F$23,'AFA Rates'!$O$5:$O$1004,"&lt;&gt;Expired")&gt;0,"✓",IF(COUNTIFS('AFA Rates'!$A$5:$A$1004,$A620,'AFA Rates'!$B$5:$B$1004,F$23)&gt;0,"Exp","")))</f>
        <v/>
      </c>
      <c r="G620" s="79">
        <f>IF(OR($A620="",G$23=""),"",IF(COUNTIFS('AFA Rates'!$A$5:$A$1004,$A620,'AFA Rates'!$B$5:$B$1004,G$23,'AFA Rates'!$O$5:$O$1004,"&lt;&gt;Expired")&gt;0,"✓",IF(COUNTIFS('AFA Rates'!$A$5:$A$1004,$A620,'AFA Rates'!$B$5:$B$1004,G$23)&gt;0,"Exp","")))</f>
        <v/>
      </c>
      <c r="H620" s="79">
        <f>IF(OR($A620="",H$23=""),"",IF(COUNTIFS('AFA Rates'!$A$5:$A$1004,$A620,'AFA Rates'!$B$5:$B$1004,H$23,'AFA Rates'!$O$5:$O$1004,"&lt;&gt;Expired")&gt;0,"✓",IF(COUNTIFS('AFA Rates'!$A$5:$A$1004,$A620,'AFA Rates'!$B$5:$B$1004,H$23)&gt;0,"Exp","")))</f>
        <v/>
      </c>
      <c r="I620" s="79">
        <f>IF(OR($A620="",I$23=""),"",IF(COUNTIFS('AFA Rates'!$A$5:$A$1004,$A620,'AFA Rates'!$B$5:$B$1004,I$23,'AFA Rates'!$O$5:$O$1004,"&lt;&gt;Expired")&gt;0,"✓",IF(COUNTIFS('AFA Rates'!$A$5:$A$1004,$A620,'AFA Rates'!$B$5:$B$1004,I$23)&gt;0,"Exp","")))</f>
        <v/>
      </c>
      <c r="J620" s="79">
        <f>IF(OR($A620="",J$23=""),"",IF(COUNTIFS('AFA Rates'!$A$5:$A$1004,$A620,'AFA Rates'!$B$5:$B$1004,J$23,'AFA Rates'!$O$5:$O$1004,"&lt;&gt;Expired")&gt;0,"✓",IF(COUNTIFS('AFA Rates'!$A$5:$A$1004,$A620,'AFA Rates'!$B$5:$B$1004,J$23)&gt;0,"Exp","")))</f>
        <v/>
      </c>
      <c r="K620" s="79">
        <f>IF(OR($A620="",K$23=""),"",IF(COUNTIFS('AFA Rates'!$A$5:$A$1004,$A620,'AFA Rates'!$B$5:$B$1004,K$23,'AFA Rates'!$O$5:$O$1004,"&lt;&gt;Expired")&gt;0,"✓",IF(COUNTIFS('AFA Rates'!$A$5:$A$1004,$A620,'AFA Rates'!$B$5:$B$1004,K$23)&gt;0,"Exp","")))</f>
        <v/>
      </c>
      <c r="L620" s="79">
        <f>IF(OR($A620="",L$23=""),"",IF(COUNTIFS('AFA Rates'!$A$5:$A$1004,$A620,'AFA Rates'!$B$5:$B$1004,L$23,'AFA Rates'!$O$5:$O$1004,"&lt;&gt;Expired")&gt;0,"✓",IF(COUNTIFS('AFA Rates'!$A$5:$A$1004,$A620,'AFA Rates'!$B$5:$B$1004,L$23)&gt;0,"Exp","")))</f>
        <v/>
      </c>
      <c r="M620" s="79">
        <f>IF(OR($A620="",M$23=""),"",IF(COUNTIFS('AFA Rates'!$A$5:$A$1004,$A620,'AFA Rates'!$B$5:$B$1004,M$23,'AFA Rates'!$O$5:$O$1004,"&lt;&gt;Expired")&gt;0,"✓",IF(COUNTIFS('AFA Rates'!$A$5:$A$1004,$A620,'AFA Rates'!$B$5:$B$1004,M$23)&gt;0,"Exp","")))</f>
        <v/>
      </c>
    </row>
    <row r="621">
      <c r="A621" s="78">
        <f>IFERROR(INDEX(Firms!$A$5:$A$1004,MATCH(598,Firms!$V$5:$V$1004,0)),"")</f>
        <v/>
      </c>
      <c r="B621" s="79">
        <f>IF($A621="","",INDEX(Firms!$B$5:$B$1004,MATCH(598,Firms!$V$5:$V$1004,0)))</f>
        <v/>
      </c>
      <c r="C621" s="79">
        <f>IF($A621="","",COUNTIFS('AFA Rates'!$A$5:$A$1004,$A621,'AFA Rates'!$O$5:$O$1004,"&lt;&gt;Expired"))</f>
        <v/>
      </c>
      <c r="D621" s="79">
        <f>IF(OR($A621="",D$23=""),"",IF(COUNTIFS('AFA Rates'!$A$5:$A$1004,$A621,'AFA Rates'!$B$5:$B$1004,D$23,'AFA Rates'!$O$5:$O$1004,"&lt;&gt;Expired")&gt;0,"✓",IF(COUNTIFS('AFA Rates'!$A$5:$A$1004,$A621,'AFA Rates'!$B$5:$B$1004,D$23)&gt;0,"Exp","")))</f>
        <v/>
      </c>
      <c r="E621" s="79">
        <f>IF(OR($A621="",E$23=""),"",IF(COUNTIFS('AFA Rates'!$A$5:$A$1004,$A621,'AFA Rates'!$B$5:$B$1004,E$23,'AFA Rates'!$O$5:$O$1004,"&lt;&gt;Expired")&gt;0,"✓",IF(COUNTIFS('AFA Rates'!$A$5:$A$1004,$A621,'AFA Rates'!$B$5:$B$1004,E$23)&gt;0,"Exp","")))</f>
        <v/>
      </c>
      <c r="F621" s="79">
        <f>IF(OR($A621="",F$23=""),"",IF(COUNTIFS('AFA Rates'!$A$5:$A$1004,$A621,'AFA Rates'!$B$5:$B$1004,F$23,'AFA Rates'!$O$5:$O$1004,"&lt;&gt;Expired")&gt;0,"✓",IF(COUNTIFS('AFA Rates'!$A$5:$A$1004,$A621,'AFA Rates'!$B$5:$B$1004,F$23)&gt;0,"Exp","")))</f>
        <v/>
      </c>
      <c r="G621" s="79">
        <f>IF(OR($A621="",G$23=""),"",IF(COUNTIFS('AFA Rates'!$A$5:$A$1004,$A621,'AFA Rates'!$B$5:$B$1004,G$23,'AFA Rates'!$O$5:$O$1004,"&lt;&gt;Expired")&gt;0,"✓",IF(COUNTIFS('AFA Rates'!$A$5:$A$1004,$A621,'AFA Rates'!$B$5:$B$1004,G$23)&gt;0,"Exp","")))</f>
        <v/>
      </c>
      <c r="H621" s="79">
        <f>IF(OR($A621="",H$23=""),"",IF(COUNTIFS('AFA Rates'!$A$5:$A$1004,$A621,'AFA Rates'!$B$5:$B$1004,H$23,'AFA Rates'!$O$5:$O$1004,"&lt;&gt;Expired")&gt;0,"✓",IF(COUNTIFS('AFA Rates'!$A$5:$A$1004,$A621,'AFA Rates'!$B$5:$B$1004,H$23)&gt;0,"Exp","")))</f>
        <v/>
      </c>
      <c r="I621" s="79">
        <f>IF(OR($A621="",I$23=""),"",IF(COUNTIFS('AFA Rates'!$A$5:$A$1004,$A621,'AFA Rates'!$B$5:$B$1004,I$23,'AFA Rates'!$O$5:$O$1004,"&lt;&gt;Expired")&gt;0,"✓",IF(COUNTIFS('AFA Rates'!$A$5:$A$1004,$A621,'AFA Rates'!$B$5:$B$1004,I$23)&gt;0,"Exp","")))</f>
        <v/>
      </c>
      <c r="J621" s="79">
        <f>IF(OR($A621="",J$23=""),"",IF(COUNTIFS('AFA Rates'!$A$5:$A$1004,$A621,'AFA Rates'!$B$5:$B$1004,J$23,'AFA Rates'!$O$5:$O$1004,"&lt;&gt;Expired")&gt;0,"✓",IF(COUNTIFS('AFA Rates'!$A$5:$A$1004,$A621,'AFA Rates'!$B$5:$B$1004,J$23)&gt;0,"Exp","")))</f>
        <v/>
      </c>
      <c r="K621" s="79">
        <f>IF(OR($A621="",K$23=""),"",IF(COUNTIFS('AFA Rates'!$A$5:$A$1004,$A621,'AFA Rates'!$B$5:$B$1004,K$23,'AFA Rates'!$O$5:$O$1004,"&lt;&gt;Expired")&gt;0,"✓",IF(COUNTIFS('AFA Rates'!$A$5:$A$1004,$A621,'AFA Rates'!$B$5:$B$1004,K$23)&gt;0,"Exp","")))</f>
        <v/>
      </c>
      <c r="L621" s="79">
        <f>IF(OR($A621="",L$23=""),"",IF(COUNTIFS('AFA Rates'!$A$5:$A$1004,$A621,'AFA Rates'!$B$5:$B$1004,L$23,'AFA Rates'!$O$5:$O$1004,"&lt;&gt;Expired")&gt;0,"✓",IF(COUNTIFS('AFA Rates'!$A$5:$A$1004,$A621,'AFA Rates'!$B$5:$B$1004,L$23)&gt;0,"Exp","")))</f>
        <v/>
      </c>
      <c r="M621" s="79">
        <f>IF(OR($A621="",M$23=""),"",IF(COUNTIFS('AFA Rates'!$A$5:$A$1004,$A621,'AFA Rates'!$B$5:$B$1004,M$23,'AFA Rates'!$O$5:$O$1004,"&lt;&gt;Expired")&gt;0,"✓",IF(COUNTIFS('AFA Rates'!$A$5:$A$1004,$A621,'AFA Rates'!$B$5:$B$1004,M$23)&gt;0,"Exp","")))</f>
        <v/>
      </c>
    </row>
    <row r="622">
      <c r="A622" s="78">
        <f>IFERROR(INDEX(Firms!$A$5:$A$1004,MATCH(599,Firms!$V$5:$V$1004,0)),"")</f>
        <v/>
      </c>
      <c r="B622" s="79">
        <f>IF($A622="","",INDEX(Firms!$B$5:$B$1004,MATCH(599,Firms!$V$5:$V$1004,0)))</f>
        <v/>
      </c>
      <c r="C622" s="79">
        <f>IF($A622="","",COUNTIFS('AFA Rates'!$A$5:$A$1004,$A622,'AFA Rates'!$O$5:$O$1004,"&lt;&gt;Expired"))</f>
        <v/>
      </c>
      <c r="D622" s="79">
        <f>IF(OR($A622="",D$23=""),"",IF(COUNTIFS('AFA Rates'!$A$5:$A$1004,$A622,'AFA Rates'!$B$5:$B$1004,D$23,'AFA Rates'!$O$5:$O$1004,"&lt;&gt;Expired")&gt;0,"✓",IF(COUNTIFS('AFA Rates'!$A$5:$A$1004,$A622,'AFA Rates'!$B$5:$B$1004,D$23)&gt;0,"Exp","")))</f>
        <v/>
      </c>
      <c r="E622" s="79">
        <f>IF(OR($A622="",E$23=""),"",IF(COUNTIFS('AFA Rates'!$A$5:$A$1004,$A622,'AFA Rates'!$B$5:$B$1004,E$23,'AFA Rates'!$O$5:$O$1004,"&lt;&gt;Expired")&gt;0,"✓",IF(COUNTIFS('AFA Rates'!$A$5:$A$1004,$A622,'AFA Rates'!$B$5:$B$1004,E$23)&gt;0,"Exp","")))</f>
        <v/>
      </c>
      <c r="F622" s="79">
        <f>IF(OR($A622="",F$23=""),"",IF(COUNTIFS('AFA Rates'!$A$5:$A$1004,$A622,'AFA Rates'!$B$5:$B$1004,F$23,'AFA Rates'!$O$5:$O$1004,"&lt;&gt;Expired")&gt;0,"✓",IF(COUNTIFS('AFA Rates'!$A$5:$A$1004,$A622,'AFA Rates'!$B$5:$B$1004,F$23)&gt;0,"Exp","")))</f>
        <v/>
      </c>
      <c r="G622" s="79">
        <f>IF(OR($A622="",G$23=""),"",IF(COUNTIFS('AFA Rates'!$A$5:$A$1004,$A622,'AFA Rates'!$B$5:$B$1004,G$23,'AFA Rates'!$O$5:$O$1004,"&lt;&gt;Expired")&gt;0,"✓",IF(COUNTIFS('AFA Rates'!$A$5:$A$1004,$A622,'AFA Rates'!$B$5:$B$1004,G$23)&gt;0,"Exp","")))</f>
        <v/>
      </c>
      <c r="H622" s="79">
        <f>IF(OR($A622="",H$23=""),"",IF(COUNTIFS('AFA Rates'!$A$5:$A$1004,$A622,'AFA Rates'!$B$5:$B$1004,H$23,'AFA Rates'!$O$5:$O$1004,"&lt;&gt;Expired")&gt;0,"✓",IF(COUNTIFS('AFA Rates'!$A$5:$A$1004,$A622,'AFA Rates'!$B$5:$B$1004,H$23)&gt;0,"Exp","")))</f>
        <v/>
      </c>
      <c r="I622" s="79">
        <f>IF(OR($A622="",I$23=""),"",IF(COUNTIFS('AFA Rates'!$A$5:$A$1004,$A622,'AFA Rates'!$B$5:$B$1004,I$23,'AFA Rates'!$O$5:$O$1004,"&lt;&gt;Expired")&gt;0,"✓",IF(COUNTIFS('AFA Rates'!$A$5:$A$1004,$A622,'AFA Rates'!$B$5:$B$1004,I$23)&gt;0,"Exp","")))</f>
        <v/>
      </c>
      <c r="J622" s="79">
        <f>IF(OR($A622="",J$23=""),"",IF(COUNTIFS('AFA Rates'!$A$5:$A$1004,$A622,'AFA Rates'!$B$5:$B$1004,J$23,'AFA Rates'!$O$5:$O$1004,"&lt;&gt;Expired")&gt;0,"✓",IF(COUNTIFS('AFA Rates'!$A$5:$A$1004,$A622,'AFA Rates'!$B$5:$B$1004,J$23)&gt;0,"Exp","")))</f>
        <v/>
      </c>
      <c r="K622" s="79">
        <f>IF(OR($A622="",K$23=""),"",IF(COUNTIFS('AFA Rates'!$A$5:$A$1004,$A622,'AFA Rates'!$B$5:$B$1004,K$23,'AFA Rates'!$O$5:$O$1004,"&lt;&gt;Expired")&gt;0,"✓",IF(COUNTIFS('AFA Rates'!$A$5:$A$1004,$A622,'AFA Rates'!$B$5:$B$1004,K$23)&gt;0,"Exp","")))</f>
        <v/>
      </c>
      <c r="L622" s="79">
        <f>IF(OR($A622="",L$23=""),"",IF(COUNTIFS('AFA Rates'!$A$5:$A$1004,$A622,'AFA Rates'!$B$5:$B$1004,L$23,'AFA Rates'!$O$5:$O$1004,"&lt;&gt;Expired")&gt;0,"✓",IF(COUNTIFS('AFA Rates'!$A$5:$A$1004,$A622,'AFA Rates'!$B$5:$B$1004,L$23)&gt;0,"Exp","")))</f>
        <v/>
      </c>
      <c r="M622" s="79">
        <f>IF(OR($A622="",M$23=""),"",IF(COUNTIFS('AFA Rates'!$A$5:$A$1004,$A622,'AFA Rates'!$B$5:$B$1004,M$23,'AFA Rates'!$O$5:$O$1004,"&lt;&gt;Expired")&gt;0,"✓",IF(COUNTIFS('AFA Rates'!$A$5:$A$1004,$A622,'AFA Rates'!$B$5:$B$1004,M$23)&gt;0,"Exp","")))</f>
        <v/>
      </c>
    </row>
    <row r="623">
      <c r="A623" s="78">
        <f>IFERROR(INDEX(Firms!$A$5:$A$1004,MATCH(600,Firms!$V$5:$V$1004,0)),"")</f>
        <v/>
      </c>
      <c r="B623" s="79">
        <f>IF($A623="","",INDEX(Firms!$B$5:$B$1004,MATCH(600,Firms!$V$5:$V$1004,0)))</f>
        <v/>
      </c>
      <c r="C623" s="79">
        <f>IF($A623="","",COUNTIFS('AFA Rates'!$A$5:$A$1004,$A623,'AFA Rates'!$O$5:$O$1004,"&lt;&gt;Expired"))</f>
        <v/>
      </c>
      <c r="D623" s="79">
        <f>IF(OR($A623="",D$23=""),"",IF(COUNTIFS('AFA Rates'!$A$5:$A$1004,$A623,'AFA Rates'!$B$5:$B$1004,D$23,'AFA Rates'!$O$5:$O$1004,"&lt;&gt;Expired")&gt;0,"✓",IF(COUNTIFS('AFA Rates'!$A$5:$A$1004,$A623,'AFA Rates'!$B$5:$B$1004,D$23)&gt;0,"Exp","")))</f>
        <v/>
      </c>
      <c r="E623" s="79">
        <f>IF(OR($A623="",E$23=""),"",IF(COUNTIFS('AFA Rates'!$A$5:$A$1004,$A623,'AFA Rates'!$B$5:$B$1004,E$23,'AFA Rates'!$O$5:$O$1004,"&lt;&gt;Expired")&gt;0,"✓",IF(COUNTIFS('AFA Rates'!$A$5:$A$1004,$A623,'AFA Rates'!$B$5:$B$1004,E$23)&gt;0,"Exp","")))</f>
        <v/>
      </c>
      <c r="F623" s="79">
        <f>IF(OR($A623="",F$23=""),"",IF(COUNTIFS('AFA Rates'!$A$5:$A$1004,$A623,'AFA Rates'!$B$5:$B$1004,F$23,'AFA Rates'!$O$5:$O$1004,"&lt;&gt;Expired")&gt;0,"✓",IF(COUNTIFS('AFA Rates'!$A$5:$A$1004,$A623,'AFA Rates'!$B$5:$B$1004,F$23)&gt;0,"Exp","")))</f>
        <v/>
      </c>
      <c r="G623" s="79">
        <f>IF(OR($A623="",G$23=""),"",IF(COUNTIFS('AFA Rates'!$A$5:$A$1004,$A623,'AFA Rates'!$B$5:$B$1004,G$23,'AFA Rates'!$O$5:$O$1004,"&lt;&gt;Expired")&gt;0,"✓",IF(COUNTIFS('AFA Rates'!$A$5:$A$1004,$A623,'AFA Rates'!$B$5:$B$1004,G$23)&gt;0,"Exp","")))</f>
        <v/>
      </c>
      <c r="H623" s="79">
        <f>IF(OR($A623="",H$23=""),"",IF(COUNTIFS('AFA Rates'!$A$5:$A$1004,$A623,'AFA Rates'!$B$5:$B$1004,H$23,'AFA Rates'!$O$5:$O$1004,"&lt;&gt;Expired")&gt;0,"✓",IF(COUNTIFS('AFA Rates'!$A$5:$A$1004,$A623,'AFA Rates'!$B$5:$B$1004,H$23)&gt;0,"Exp","")))</f>
        <v/>
      </c>
      <c r="I623" s="79">
        <f>IF(OR($A623="",I$23=""),"",IF(COUNTIFS('AFA Rates'!$A$5:$A$1004,$A623,'AFA Rates'!$B$5:$B$1004,I$23,'AFA Rates'!$O$5:$O$1004,"&lt;&gt;Expired")&gt;0,"✓",IF(COUNTIFS('AFA Rates'!$A$5:$A$1004,$A623,'AFA Rates'!$B$5:$B$1004,I$23)&gt;0,"Exp","")))</f>
        <v/>
      </c>
      <c r="J623" s="79">
        <f>IF(OR($A623="",J$23=""),"",IF(COUNTIFS('AFA Rates'!$A$5:$A$1004,$A623,'AFA Rates'!$B$5:$B$1004,J$23,'AFA Rates'!$O$5:$O$1004,"&lt;&gt;Expired")&gt;0,"✓",IF(COUNTIFS('AFA Rates'!$A$5:$A$1004,$A623,'AFA Rates'!$B$5:$B$1004,J$23)&gt;0,"Exp","")))</f>
        <v/>
      </c>
      <c r="K623" s="79">
        <f>IF(OR($A623="",K$23=""),"",IF(COUNTIFS('AFA Rates'!$A$5:$A$1004,$A623,'AFA Rates'!$B$5:$B$1004,K$23,'AFA Rates'!$O$5:$O$1004,"&lt;&gt;Expired")&gt;0,"✓",IF(COUNTIFS('AFA Rates'!$A$5:$A$1004,$A623,'AFA Rates'!$B$5:$B$1004,K$23)&gt;0,"Exp","")))</f>
        <v/>
      </c>
      <c r="L623" s="79">
        <f>IF(OR($A623="",L$23=""),"",IF(COUNTIFS('AFA Rates'!$A$5:$A$1004,$A623,'AFA Rates'!$B$5:$B$1004,L$23,'AFA Rates'!$O$5:$O$1004,"&lt;&gt;Expired")&gt;0,"✓",IF(COUNTIFS('AFA Rates'!$A$5:$A$1004,$A623,'AFA Rates'!$B$5:$B$1004,L$23)&gt;0,"Exp","")))</f>
        <v/>
      </c>
      <c r="M623" s="79">
        <f>IF(OR($A623="",M$23=""),"",IF(COUNTIFS('AFA Rates'!$A$5:$A$1004,$A623,'AFA Rates'!$B$5:$B$1004,M$23,'AFA Rates'!$O$5:$O$1004,"&lt;&gt;Expired")&gt;0,"✓",IF(COUNTIFS('AFA Rates'!$A$5:$A$1004,$A623,'AFA Rates'!$B$5:$B$1004,M$23)&gt;0,"Exp","")))</f>
        <v/>
      </c>
    </row>
    <row r="624">
      <c r="A624" s="78">
        <f>IFERROR(INDEX(Firms!$A$5:$A$1004,MATCH(601,Firms!$V$5:$V$1004,0)),"")</f>
        <v/>
      </c>
      <c r="B624" s="79">
        <f>IF($A624="","",INDEX(Firms!$B$5:$B$1004,MATCH(601,Firms!$V$5:$V$1004,0)))</f>
        <v/>
      </c>
      <c r="C624" s="79">
        <f>IF($A624="","",COUNTIFS('AFA Rates'!$A$5:$A$1004,$A624,'AFA Rates'!$O$5:$O$1004,"&lt;&gt;Expired"))</f>
        <v/>
      </c>
      <c r="D624" s="79">
        <f>IF(OR($A624="",D$23=""),"",IF(COUNTIFS('AFA Rates'!$A$5:$A$1004,$A624,'AFA Rates'!$B$5:$B$1004,D$23,'AFA Rates'!$O$5:$O$1004,"&lt;&gt;Expired")&gt;0,"✓",IF(COUNTIFS('AFA Rates'!$A$5:$A$1004,$A624,'AFA Rates'!$B$5:$B$1004,D$23)&gt;0,"Exp","")))</f>
        <v/>
      </c>
      <c r="E624" s="79">
        <f>IF(OR($A624="",E$23=""),"",IF(COUNTIFS('AFA Rates'!$A$5:$A$1004,$A624,'AFA Rates'!$B$5:$B$1004,E$23,'AFA Rates'!$O$5:$O$1004,"&lt;&gt;Expired")&gt;0,"✓",IF(COUNTIFS('AFA Rates'!$A$5:$A$1004,$A624,'AFA Rates'!$B$5:$B$1004,E$23)&gt;0,"Exp","")))</f>
        <v/>
      </c>
      <c r="F624" s="79">
        <f>IF(OR($A624="",F$23=""),"",IF(COUNTIFS('AFA Rates'!$A$5:$A$1004,$A624,'AFA Rates'!$B$5:$B$1004,F$23,'AFA Rates'!$O$5:$O$1004,"&lt;&gt;Expired")&gt;0,"✓",IF(COUNTIFS('AFA Rates'!$A$5:$A$1004,$A624,'AFA Rates'!$B$5:$B$1004,F$23)&gt;0,"Exp","")))</f>
        <v/>
      </c>
      <c r="G624" s="79">
        <f>IF(OR($A624="",G$23=""),"",IF(COUNTIFS('AFA Rates'!$A$5:$A$1004,$A624,'AFA Rates'!$B$5:$B$1004,G$23,'AFA Rates'!$O$5:$O$1004,"&lt;&gt;Expired")&gt;0,"✓",IF(COUNTIFS('AFA Rates'!$A$5:$A$1004,$A624,'AFA Rates'!$B$5:$B$1004,G$23)&gt;0,"Exp","")))</f>
        <v/>
      </c>
      <c r="H624" s="79">
        <f>IF(OR($A624="",H$23=""),"",IF(COUNTIFS('AFA Rates'!$A$5:$A$1004,$A624,'AFA Rates'!$B$5:$B$1004,H$23,'AFA Rates'!$O$5:$O$1004,"&lt;&gt;Expired")&gt;0,"✓",IF(COUNTIFS('AFA Rates'!$A$5:$A$1004,$A624,'AFA Rates'!$B$5:$B$1004,H$23)&gt;0,"Exp","")))</f>
        <v/>
      </c>
      <c r="I624" s="79">
        <f>IF(OR($A624="",I$23=""),"",IF(COUNTIFS('AFA Rates'!$A$5:$A$1004,$A624,'AFA Rates'!$B$5:$B$1004,I$23,'AFA Rates'!$O$5:$O$1004,"&lt;&gt;Expired")&gt;0,"✓",IF(COUNTIFS('AFA Rates'!$A$5:$A$1004,$A624,'AFA Rates'!$B$5:$B$1004,I$23)&gt;0,"Exp","")))</f>
        <v/>
      </c>
      <c r="J624" s="79">
        <f>IF(OR($A624="",J$23=""),"",IF(COUNTIFS('AFA Rates'!$A$5:$A$1004,$A624,'AFA Rates'!$B$5:$B$1004,J$23,'AFA Rates'!$O$5:$O$1004,"&lt;&gt;Expired")&gt;0,"✓",IF(COUNTIFS('AFA Rates'!$A$5:$A$1004,$A624,'AFA Rates'!$B$5:$B$1004,J$23)&gt;0,"Exp","")))</f>
        <v/>
      </c>
      <c r="K624" s="79">
        <f>IF(OR($A624="",K$23=""),"",IF(COUNTIFS('AFA Rates'!$A$5:$A$1004,$A624,'AFA Rates'!$B$5:$B$1004,K$23,'AFA Rates'!$O$5:$O$1004,"&lt;&gt;Expired")&gt;0,"✓",IF(COUNTIFS('AFA Rates'!$A$5:$A$1004,$A624,'AFA Rates'!$B$5:$B$1004,K$23)&gt;0,"Exp","")))</f>
        <v/>
      </c>
      <c r="L624" s="79">
        <f>IF(OR($A624="",L$23=""),"",IF(COUNTIFS('AFA Rates'!$A$5:$A$1004,$A624,'AFA Rates'!$B$5:$B$1004,L$23,'AFA Rates'!$O$5:$O$1004,"&lt;&gt;Expired")&gt;0,"✓",IF(COUNTIFS('AFA Rates'!$A$5:$A$1004,$A624,'AFA Rates'!$B$5:$B$1004,L$23)&gt;0,"Exp","")))</f>
        <v/>
      </c>
      <c r="M624" s="79">
        <f>IF(OR($A624="",M$23=""),"",IF(COUNTIFS('AFA Rates'!$A$5:$A$1004,$A624,'AFA Rates'!$B$5:$B$1004,M$23,'AFA Rates'!$O$5:$O$1004,"&lt;&gt;Expired")&gt;0,"✓",IF(COUNTIFS('AFA Rates'!$A$5:$A$1004,$A624,'AFA Rates'!$B$5:$B$1004,M$23)&gt;0,"Exp","")))</f>
        <v/>
      </c>
    </row>
    <row r="625">
      <c r="A625" s="78">
        <f>IFERROR(INDEX(Firms!$A$5:$A$1004,MATCH(602,Firms!$V$5:$V$1004,0)),"")</f>
        <v/>
      </c>
      <c r="B625" s="79">
        <f>IF($A625="","",INDEX(Firms!$B$5:$B$1004,MATCH(602,Firms!$V$5:$V$1004,0)))</f>
        <v/>
      </c>
      <c r="C625" s="79">
        <f>IF($A625="","",COUNTIFS('AFA Rates'!$A$5:$A$1004,$A625,'AFA Rates'!$O$5:$O$1004,"&lt;&gt;Expired"))</f>
        <v/>
      </c>
      <c r="D625" s="79">
        <f>IF(OR($A625="",D$23=""),"",IF(COUNTIFS('AFA Rates'!$A$5:$A$1004,$A625,'AFA Rates'!$B$5:$B$1004,D$23,'AFA Rates'!$O$5:$O$1004,"&lt;&gt;Expired")&gt;0,"✓",IF(COUNTIFS('AFA Rates'!$A$5:$A$1004,$A625,'AFA Rates'!$B$5:$B$1004,D$23)&gt;0,"Exp","")))</f>
        <v/>
      </c>
      <c r="E625" s="79">
        <f>IF(OR($A625="",E$23=""),"",IF(COUNTIFS('AFA Rates'!$A$5:$A$1004,$A625,'AFA Rates'!$B$5:$B$1004,E$23,'AFA Rates'!$O$5:$O$1004,"&lt;&gt;Expired")&gt;0,"✓",IF(COUNTIFS('AFA Rates'!$A$5:$A$1004,$A625,'AFA Rates'!$B$5:$B$1004,E$23)&gt;0,"Exp","")))</f>
        <v/>
      </c>
      <c r="F625" s="79">
        <f>IF(OR($A625="",F$23=""),"",IF(COUNTIFS('AFA Rates'!$A$5:$A$1004,$A625,'AFA Rates'!$B$5:$B$1004,F$23,'AFA Rates'!$O$5:$O$1004,"&lt;&gt;Expired")&gt;0,"✓",IF(COUNTIFS('AFA Rates'!$A$5:$A$1004,$A625,'AFA Rates'!$B$5:$B$1004,F$23)&gt;0,"Exp","")))</f>
        <v/>
      </c>
      <c r="G625" s="79">
        <f>IF(OR($A625="",G$23=""),"",IF(COUNTIFS('AFA Rates'!$A$5:$A$1004,$A625,'AFA Rates'!$B$5:$B$1004,G$23,'AFA Rates'!$O$5:$O$1004,"&lt;&gt;Expired")&gt;0,"✓",IF(COUNTIFS('AFA Rates'!$A$5:$A$1004,$A625,'AFA Rates'!$B$5:$B$1004,G$23)&gt;0,"Exp","")))</f>
        <v/>
      </c>
      <c r="H625" s="79">
        <f>IF(OR($A625="",H$23=""),"",IF(COUNTIFS('AFA Rates'!$A$5:$A$1004,$A625,'AFA Rates'!$B$5:$B$1004,H$23,'AFA Rates'!$O$5:$O$1004,"&lt;&gt;Expired")&gt;0,"✓",IF(COUNTIFS('AFA Rates'!$A$5:$A$1004,$A625,'AFA Rates'!$B$5:$B$1004,H$23)&gt;0,"Exp","")))</f>
        <v/>
      </c>
      <c r="I625" s="79">
        <f>IF(OR($A625="",I$23=""),"",IF(COUNTIFS('AFA Rates'!$A$5:$A$1004,$A625,'AFA Rates'!$B$5:$B$1004,I$23,'AFA Rates'!$O$5:$O$1004,"&lt;&gt;Expired")&gt;0,"✓",IF(COUNTIFS('AFA Rates'!$A$5:$A$1004,$A625,'AFA Rates'!$B$5:$B$1004,I$23)&gt;0,"Exp","")))</f>
        <v/>
      </c>
      <c r="J625" s="79">
        <f>IF(OR($A625="",J$23=""),"",IF(COUNTIFS('AFA Rates'!$A$5:$A$1004,$A625,'AFA Rates'!$B$5:$B$1004,J$23,'AFA Rates'!$O$5:$O$1004,"&lt;&gt;Expired")&gt;0,"✓",IF(COUNTIFS('AFA Rates'!$A$5:$A$1004,$A625,'AFA Rates'!$B$5:$B$1004,J$23)&gt;0,"Exp","")))</f>
        <v/>
      </c>
      <c r="K625" s="79">
        <f>IF(OR($A625="",K$23=""),"",IF(COUNTIFS('AFA Rates'!$A$5:$A$1004,$A625,'AFA Rates'!$B$5:$B$1004,K$23,'AFA Rates'!$O$5:$O$1004,"&lt;&gt;Expired")&gt;0,"✓",IF(COUNTIFS('AFA Rates'!$A$5:$A$1004,$A625,'AFA Rates'!$B$5:$B$1004,K$23)&gt;0,"Exp","")))</f>
        <v/>
      </c>
      <c r="L625" s="79">
        <f>IF(OR($A625="",L$23=""),"",IF(COUNTIFS('AFA Rates'!$A$5:$A$1004,$A625,'AFA Rates'!$B$5:$B$1004,L$23,'AFA Rates'!$O$5:$O$1004,"&lt;&gt;Expired")&gt;0,"✓",IF(COUNTIFS('AFA Rates'!$A$5:$A$1004,$A625,'AFA Rates'!$B$5:$B$1004,L$23)&gt;0,"Exp","")))</f>
        <v/>
      </c>
      <c r="M625" s="79">
        <f>IF(OR($A625="",M$23=""),"",IF(COUNTIFS('AFA Rates'!$A$5:$A$1004,$A625,'AFA Rates'!$B$5:$B$1004,M$23,'AFA Rates'!$O$5:$O$1004,"&lt;&gt;Expired")&gt;0,"✓",IF(COUNTIFS('AFA Rates'!$A$5:$A$1004,$A625,'AFA Rates'!$B$5:$B$1004,M$23)&gt;0,"Exp","")))</f>
        <v/>
      </c>
    </row>
    <row r="626">
      <c r="A626" s="78">
        <f>IFERROR(INDEX(Firms!$A$5:$A$1004,MATCH(603,Firms!$V$5:$V$1004,0)),"")</f>
        <v/>
      </c>
      <c r="B626" s="79">
        <f>IF($A626="","",INDEX(Firms!$B$5:$B$1004,MATCH(603,Firms!$V$5:$V$1004,0)))</f>
        <v/>
      </c>
      <c r="C626" s="79">
        <f>IF($A626="","",COUNTIFS('AFA Rates'!$A$5:$A$1004,$A626,'AFA Rates'!$O$5:$O$1004,"&lt;&gt;Expired"))</f>
        <v/>
      </c>
      <c r="D626" s="79">
        <f>IF(OR($A626="",D$23=""),"",IF(COUNTIFS('AFA Rates'!$A$5:$A$1004,$A626,'AFA Rates'!$B$5:$B$1004,D$23,'AFA Rates'!$O$5:$O$1004,"&lt;&gt;Expired")&gt;0,"✓",IF(COUNTIFS('AFA Rates'!$A$5:$A$1004,$A626,'AFA Rates'!$B$5:$B$1004,D$23)&gt;0,"Exp","")))</f>
        <v/>
      </c>
      <c r="E626" s="79">
        <f>IF(OR($A626="",E$23=""),"",IF(COUNTIFS('AFA Rates'!$A$5:$A$1004,$A626,'AFA Rates'!$B$5:$B$1004,E$23,'AFA Rates'!$O$5:$O$1004,"&lt;&gt;Expired")&gt;0,"✓",IF(COUNTIFS('AFA Rates'!$A$5:$A$1004,$A626,'AFA Rates'!$B$5:$B$1004,E$23)&gt;0,"Exp","")))</f>
        <v/>
      </c>
      <c r="F626" s="79">
        <f>IF(OR($A626="",F$23=""),"",IF(COUNTIFS('AFA Rates'!$A$5:$A$1004,$A626,'AFA Rates'!$B$5:$B$1004,F$23,'AFA Rates'!$O$5:$O$1004,"&lt;&gt;Expired")&gt;0,"✓",IF(COUNTIFS('AFA Rates'!$A$5:$A$1004,$A626,'AFA Rates'!$B$5:$B$1004,F$23)&gt;0,"Exp","")))</f>
        <v/>
      </c>
      <c r="G626" s="79">
        <f>IF(OR($A626="",G$23=""),"",IF(COUNTIFS('AFA Rates'!$A$5:$A$1004,$A626,'AFA Rates'!$B$5:$B$1004,G$23,'AFA Rates'!$O$5:$O$1004,"&lt;&gt;Expired")&gt;0,"✓",IF(COUNTIFS('AFA Rates'!$A$5:$A$1004,$A626,'AFA Rates'!$B$5:$B$1004,G$23)&gt;0,"Exp","")))</f>
        <v/>
      </c>
      <c r="H626" s="79">
        <f>IF(OR($A626="",H$23=""),"",IF(COUNTIFS('AFA Rates'!$A$5:$A$1004,$A626,'AFA Rates'!$B$5:$B$1004,H$23,'AFA Rates'!$O$5:$O$1004,"&lt;&gt;Expired")&gt;0,"✓",IF(COUNTIFS('AFA Rates'!$A$5:$A$1004,$A626,'AFA Rates'!$B$5:$B$1004,H$23)&gt;0,"Exp","")))</f>
        <v/>
      </c>
      <c r="I626" s="79">
        <f>IF(OR($A626="",I$23=""),"",IF(COUNTIFS('AFA Rates'!$A$5:$A$1004,$A626,'AFA Rates'!$B$5:$B$1004,I$23,'AFA Rates'!$O$5:$O$1004,"&lt;&gt;Expired")&gt;0,"✓",IF(COUNTIFS('AFA Rates'!$A$5:$A$1004,$A626,'AFA Rates'!$B$5:$B$1004,I$23)&gt;0,"Exp","")))</f>
        <v/>
      </c>
      <c r="J626" s="79">
        <f>IF(OR($A626="",J$23=""),"",IF(COUNTIFS('AFA Rates'!$A$5:$A$1004,$A626,'AFA Rates'!$B$5:$B$1004,J$23,'AFA Rates'!$O$5:$O$1004,"&lt;&gt;Expired")&gt;0,"✓",IF(COUNTIFS('AFA Rates'!$A$5:$A$1004,$A626,'AFA Rates'!$B$5:$B$1004,J$23)&gt;0,"Exp","")))</f>
        <v/>
      </c>
      <c r="K626" s="79">
        <f>IF(OR($A626="",K$23=""),"",IF(COUNTIFS('AFA Rates'!$A$5:$A$1004,$A626,'AFA Rates'!$B$5:$B$1004,K$23,'AFA Rates'!$O$5:$O$1004,"&lt;&gt;Expired")&gt;0,"✓",IF(COUNTIFS('AFA Rates'!$A$5:$A$1004,$A626,'AFA Rates'!$B$5:$B$1004,K$23)&gt;0,"Exp","")))</f>
        <v/>
      </c>
      <c r="L626" s="79">
        <f>IF(OR($A626="",L$23=""),"",IF(COUNTIFS('AFA Rates'!$A$5:$A$1004,$A626,'AFA Rates'!$B$5:$B$1004,L$23,'AFA Rates'!$O$5:$O$1004,"&lt;&gt;Expired")&gt;0,"✓",IF(COUNTIFS('AFA Rates'!$A$5:$A$1004,$A626,'AFA Rates'!$B$5:$B$1004,L$23)&gt;0,"Exp","")))</f>
        <v/>
      </c>
      <c r="M626" s="79">
        <f>IF(OR($A626="",M$23=""),"",IF(COUNTIFS('AFA Rates'!$A$5:$A$1004,$A626,'AFA Rates'!$B$5:$B$1004,M$23,'AFA Rates'!$O$5:$O$1004,"&lt;&gt;Expired")&gt;0,"✓",IF(COUNTIFS('AFA Rates'!$A$5:$A$1004,$A626,'AFA Rates'!$B$5:$B$1004,M$23)&gt;0,"Exp","")))</f>
        <v/>
      </c>
    </row>
    <row r="627">
      <c r="A627" s="78">
        <f>IFERROR(INDEX(Firms!$A$5:$A$1004,MATCH(604,Firms!$V$5:$V$1004,0)),"")</f>
        <v/>
      </c>
      <c r="B627" s="79">
        <f>IF($A627="","",INDEX(Firms!$B$5:$B$1004,MATCH(604,Firms!$V$5:$V$1004,0)))</f>
        <v/>
      </c>
      <c r="C627" s="79">
        <f>IF($A627="","",COUNTIFS('AFA Rates'!$A$5:$A$1004,$A627,'AFA Rates'!$O$5:$O$1004,"&lt;&gt;Expired"))</f>
        <v/>
      </c>
      <c r="D627" s="79">
        <f>IF(OR($A627="",D$23=""),"",IF(COUNTIFS('AFA Rates'!$A$5:$A$1004,$A627,'AFA Rates'!$B$5:$B$1004,D$23,'AFA Rates'!$O$5:$O$1004,"&lt;&gt;Expired")&gt;0,"✓",IF(COUNTIFS('AFA Rates'!$A$5:$A$1004,$A627,'AFA Rates'!$B$5:$B$1004,D$23)&gt;0,"Exp","")))</f>
        <v/>
      </c>
      <c r="E627" s="79">
        <f>IF(OR($A627="",E$23=""),"",IF(COUNTIFS('AFA Rates'!$A$5:$A$1004,$A627,'AFA Rates'!$B$5:$B$1004,E$23,'AFA Rates'!$O$5:$O$1004,"&lt;&gt;Expired")&gt;0,"✓",IF(COUNTIFS('AFA Rates'!$A$5:$A$1004,$A627,'AFA Rates'!$B$5:$B$1004,E$23)&gt;0,"Exp","")))</f>
        <v/>
      </c>
      <c r="F627" s="79">
        <f>IF(OR($A627="",F$23=""),"",IF(COUNTIFS('AFA Rates'!$A$5:$A$1004,$A627,'AFA Rates'!$B$5:$B$1004,F$23,'AFA Rates'!$O$5:$O$1004,"&lt;&gt;Expired")&gt;0,"✓",IF(COUNTIFS('AFA Rates'!$A$5:$A$1004,$A627,'AFA Rates'!$B$5:$B$1004,F$23)&gt;0,"Exp","")))</f>
        <v/>
      </c>
      <c r="G627" s="79">
        <f>IF(OR($A627="",G$23=""),"",IF(COUNTIFS('AFA Rates'!$A$5:$A$1004,$A627,'AFA Rates'!$B$5:$B$1004,G$23,'AFA Rates'!$O$5:$O$1004,"&lt;&gt;Expired")&gt;0,"✓",IF(COUNTIFS('AFA Rates'!$A$5:$A$1004,$A627,'AFA Rates'!$B$5:$B$1004,G$23)&gt;0,"Exp","")))</f>
        <v/>
      </c>
      <c r="H627" s="79">
        <f>IF(OR($A627="",H$23=""),"",IF(COUNTIFS('AFA Rates'!$A$5:$A$1004,$A627,'AFA Rates'!$B$5:$B$1004,H$23,'AFA Rates'!$O$5:$O$1004,"&lt;&gt;Expired")&gt;0,"✓",IF(COUNTIFS('AFA Rates'!$A$5:$A$1004,$A627,'AFA Rates'!$B$5:$B$1004,H$23)&gt;0,"Exp","")))</f>
        <v/>
      </c>
      <c r="I627" s="79">
        <f>IF(OR($A627="",I$23=""),"",IF(COUNTIFS('AFA Rates'!$A$5:$A$1004,$A627,'AFA Rates'!$B$5:$B$1004,I$23,'AFA Rates'!$O$5:$O$1004,"&lt;&gt;Expired")&gt;0,"✓",IF(COUNTIFS('AFA Rates'!$A$5:$A$1004,$A627,'AFA Rates'!$B$5:$B$1004,I$23)&gt;0,"Exp","")))</f>
        <v/>
      </c>
      <c r="J627" s="79">
        <f>IF(OR($A627="",J$23=""),"",IF(COUNTIFS('AFA Rates'!$A$5:$A$1004,$A627,'AFA Rates'!$B$5:$B$1004,J$23,'AFA Rates'!$O$5:$O$1004,"&lt;&gt;Expired")&gt;0,"✓",IF(COUNTIFS('AFA Rates'!$A$5:$A$1004,$A627,'AFA Rates'!$B$5:$B$1004,J$23)&gt;0,"Exp","")))</f>
        <v/>
      </c>
      <c r="K627" s="79">
        <f>IF(OR($A627="",K$23=""),"",IF(COUNTIFS('AFA Rates'!$A$5:$A$1004,$A627,'AFA Rates'!$B$5:$B$1004,K$23,'AFA Rates'!$O$5:$O$1004,"&lt;&gt;Expired")&gt;0,"✓",IF(COUNTIFS('AFA Rates'!$A$5:$A$1004,$A627,'AFA Rates'!$B$5:$B$1004,K$23)&gt;0,"Exp","")))</f>
        <v/>
      </c>
      <c r="L627" s="79">
        <f>IF(OR($A627="",L$23=""),"",IF(COUNTIFS('AFA Rates'!$A$5:$A$1004,$A627,'AFA Rates'!$B$5:$B$1004,L$23,'AFA Rates'!$O$5:$O$1004,"&lt;&gt;Expired")&gt;0,"✓",IF(COUNTIFS('AFA Rates'!$A$5:$A$1004,$A627,'AFA Rates'!$B$5:$B$1004,L$23)&gt;0,"Exp","")))</f>
        <v/>
      </c>
      <c r="M627" s="79">
        <f>IF(OR($A627="",M$23=""),"",IF(COUNTIFS('AFA Rates'!$A$5:$A$1004,$A627,'AFA Rates'!$B$5:$B$1004,M$23,'AFA Rates'!$O$5:$O$1004,"&lt;&gt;Expired")&gt;0,"✓",IF(COUNTIFS('AFA Rates'!$A$5:$A$1004,$A627,'AFA Rates'!$B$5:$B$1004,M$23)&gt;0,"Exp","")))</f>
        <v/>
      </c>
    </row>
    <row r="628">
      <c r="A628" s="78">
        <f>IFERROR(INDEX(Firms!$A$5:$A$1004,MATCH(605,Firms!$V$5:$V$1004,0)),"")</f>
        <v/>
      </c>
      <c r="B628" s="79">
        <f>IF($A628="","",INDEX(Firms!$B$5:$B$1004,MATCH(605,Firms!$V$5:$V$1004,0)))</f>
        <v/>
      </c>
      <c r="C628" s="79">
        <f>IF($A628="","",COUNTIFS('AFA Rates'!$A$5:$A$1004,$A628,'AFA Rates'!$O$5:$O$1004,"&lt;&gt;Expired"))</f>
        <v/>
      </c>
      <c r="D628" s="79">
        <f>IF(OR($A628="",D$23=""),"",IF(COUNTIFS('AFA Rates'!$A$5:$A$1004,$A628,'AFA Rates'!$B$5:$B$1004,D$23,'AFA Rates'!$O$5:$O$1004,"&lt;&gt;Expired")&gt;0,"✓",IF(COUNTIFS('AFA Rates'!$A$5:$A$1004,$A628,'AFA Rates'!$B$5:$B$1004,D$23)&gt;0,"Exp","")))</f>
        <v/>
      </c>
      <c r="E628" s="79">
        <f>IF(OR($A628="",E$23=""),"",IF(COUNTIFS('AFA Rates'!$A$5:$A$1004,$A628,'AFA Rates'!$B$5:$B$1004,E$23,'AFA Rates'!$O$5:$O$1004,"&lt;&gt;Expired")&gt;0,"✓",IF(COUNTIFS('AFA Rates'!$A$5:$A$1004,$A628,'AFA Rates'!$B$5:$B$1004,E$23)&gt;0,"Exp","")))</f>
        <v/>
      </c>
      <c r="F628" s="79">
        <f>IF(OR($A628="",F$23=""),"",IF(COUNTIFS('AFA Rates'!$A$5:$A$1004,$A628,'AFA Rates'!$B$5:$B$1004,F$23,'AFA Rates'!$O$5:$O$1004,"&lt;&gt;Expired")&gt;0,"✓",IF(COUNTIFS('AFA Rates'!$A$5:$A$1004,$A628,'AFA Rates'!$B$5:$B$1004,F$23)&gt;0,"Exp","")))</f>
        <v/>
      </c>
      <c r="G628" s="79">
        <f>IF(OR($A628="",G$23=""),"",IF(COUNTIFS('AFA Rates'!$A$5:$A$1004,$A628,'AFA Rates'!$B$5:$B$1004,G$23,'AFA Rates'!$O$5:$O$1004,"&lt;&gt;Expired")&gt;0,"✓",IF(COUNTIFS('AFA Rates'!$A$5:$A$1004,$A628,'AFA Rates'!$B$5:$B$1004,G$23)&gt;0,"Exp","")))</f>
        <v/>
      </c>
      <c r="H628" s="79">
        <f>IF(OR($A628="",H$23=""),"",IF(COUNTIFS('AFA Rates'!$A$5:$A$1004,$A628,'AFA Rates'!$B$5:$B$1004,H$23,'AFA Rates'!$O$5:$O$1004,"&lt;&gt;Expired")&gt;0,"✓",IF(COUNTIFS('AFA Rates'!$A$5:$A$1004,$A628,'AFA Rates'!$B$5:$B$1004,H$23)&gt;0,"Exp","")))</f>
        <v/>
      </c>
      <c r="I628" s="79">
        <f>IF(OR($A628="",I$23=""),"",IF(COUNTIFS('AFA Rates'!$A$5:$A$1004,$A628,'AFA Rates'!$B$5:$B$1004,I$23,'AFA Rates'!$O$5:$O$1004,"&lt;&gt;Expired")&gt;0,"✓",IF(COUNTIFS('AFA Rates'!$A$5:$A$1004,$A628,'AFA Rates'!$B$5:$B$1004,I$23)&gt;0,"Exp","")))</f>
        <v/>
      </c>
      <c r="J628" s="79">
        <f>IF(OR($A628="",J$23=""),"",IF(COUNTIFS('AFA Rates'!$A$5:$A$1004,$A628,'AFA Rates'!$B$5:$B$1004,J$23,'AFA Rates'!$O$5:$O$1004,"&lt;&gt;Expired")&gt;0,"✓",IF(COUNTIFS('AFA Rates'!$A$5:$A$1004,$A628,'AFA Rates'!$B$5:$B$1004,J$23)&gt;0,"Exp","")))</f>
        <v/>
      </c>
      <c r="K628" s="79">
        <f>IF(OR($A628="",K$23=""),"",IF(COUNTIFS('AFA Rates'!$A$5:$A$1004,$A628,'AFA Rates'!$B$5:$B$1004,K$23,'AFA Rates'!$O$5:$O$1004,"&lt;&gt;Expired")&gt;0,"✓",IF(COUNTIFS('AFA Rates'!$A$5:$A$1004,$A628,'AFA Rates'!$B$5:$B$1004,K$23)&gt;0,"Exp","")))</f>
        <v/>
      </c>
      <c r="L628" s="79">
        <f>IF(OR($A628="",L$23=""),"",IF(COUNTIFS('AFA Rates'!$A$5:$A$1004,$A628,'AFA Rates'!$B$5:$B$1004,L$23,'AFA Rates'!$O$5:$O$1004,"&lt;&gt;Expired")&gt;0,"✓",IF(COUNTIFS('AFA Rates'!$A$5:$A$1004,$A628,'AFA Rates'!$B$5:$B$1004,L$23)&gt;0,"Exp","")))</f>
        <v/>
      </c>
      <c r="M628" s="79">
        <f>IF(OR($A628="",M$23=""),"",IF(COUNTIFS('AFA Rates'!$A$5:$A$1004,$A628,'AFA Rates'!$B$5:$B$1004,M$23,'AFA Rates'!$O$5:$O$1004,"&lt;&gt;Expired")&gt;0,"✓",IF(COUNTIFS('AFA Rates'!$A$5:$A$1004,$A628,'AFA Rates'!$B$5:$B$1004,M$23)&gt;0,"Exp","")))</f>
        <v/>
      </c>
    </row>
    <row r="629">
      <c r="A629" s="78">
        <f>IFERROR(INDEX(Firms!$A$5:$A$1004,MATCH(606,Firms!$V$5:$V$1004,0)),"")</f>
        <v/>
      </c>
      <c r="B629" s="79">
        <f>IF($A629="","",INDEX(Firms!$B$5:$B$1004,MATCH(606,Firms!$V$5:$V$1004,0)))</f>
        <v/>
      </c>
      <c r="C629" s="79">
        <f>IF($A629="","",COUNTIFS('AFA Rates'!$A$5:$A$1004,$A629,'AFA Rates'!$O$5:$O$1004,"&lt;&gt;Expired"))</f>
        <v/>
      </c>
      <c r="D629" s="79">
        <f>IF(OR($A629="",D$23=""),"",IF(COUNTIFS('AFA Rates'!$A$5:$A$1004,$A629,'AFA Rates'!$B$5:$B$1004,D$23,'AFA Rates'!$O$5:$O$1004,"&lt;&gt;Expired")&gt;0,"✓",IF(COUNTIFS('AFA Rates'!$A$5:$A$1004,$A629,'AFA Rates'!$B$5:$B$1004,D$23)&gt;0,"Exp","")))</f>
        <v/>
      </c>
      <c r="E629" s="79">
        <f>IF(OR($A629="",E$23=""),"",IF(COUNTIFS('AFA Rates'!$A$5:$A$1004,$A629,'AFA Rates'!$B$5:$B$1004,E$23,'AFA Rates'!$O$5:$O$1004,"&lt;&gt;Expired")&gt;0,"✓",IF(COUNTIFS('AFA Rates'!$A$5:$A$1004,$A629,'AFA Rates'!$B$5:$B$1004,E$23)&gt;0,"Exp","")))</f>
        <v/>
      </c>
      <c r="F629" s="79">
        <f>IF(OR($A629="",F$23=""),"",IF(COUNTIFS('AFA Rates'!$A$5:$A$1004,$A629,'AFA Rates'!$B$5:$B$1004,F$23,'AFA Rates'!$O$5:$O$1004,"&lt;&gt;Expired")&gt;0,"✓",IF(COUNTIFS('AFA Rates'!$A$5:$A$1004,$A629,'AFA Rates'!$B$5:$B$1004,F$23)&gt;0,"Exp","")))</f>
        <v/>
      </c>
      <c r="G629" s="79">
        <f>IF(OR($A629="",G$23=""),"",IF(COUNTIFS('AFA Rates'!$A$5:$A$1004,$A629,'AFA Rates'!$B$5:$B$1004,G$23,'AFA Rates'!$O$5:$O$1004,"&lt;&gt;Expired")&gt;0,"✓",IF(COUNTIFS('AFA Rates'!$A$5:$A$1004,$A629,'AFA Rates'!$B$5:$B$1004,G$23)&gt;0,"Exp","")))</f>
        <v/>
      </c>
      <c r="H629" s="79">
        <f>IF(OR($A629="",H$23=""),"",IF(COUNTIFS('AFA Rates'!$A$5:$A$1004,$A629,'AFA Rates'!$B$5:$B$1004,H$23,'AFA Rates'!$O$5:$O$1004,"&lt;&gt;Expired")&gt;0,"✓",IF(COUNTIFS('AFA Rates'!$A$5:$A$1004,$A629,'AFA Rates'!$B$5:$B$1004,H$23)&gt;0,"Exp","")))</f>
        <v/>
      </c>
      <c r="I629" s="79">
        <f>IF(OR($A629="",I$23=""),"",IF(COUNTIFS('AFA Rates'!$A$5:$A$1004,$A629,'AFA Rates'!$B$5:$B$1004,I$23,'AFA Rates'!$O$5:$O$1004,"&lt;&gt;Expired")&gt;0,"✓",IF(COUNTIFS('AFA Rates'!$A$5:$A$1004,$A629,'AFA Rates'!$B$5:$B$1004,I$23)&gt;0,"Exp","")))</f>
        <v/>
      </c>
      <c r="J629" s="79">
        <f>IF(OR($A629="",J$23=""),"",IF(COUNTIFS('AFA Rates'!$A$5:$A$1004,$A629,'AFA Rates'!$B$5:$B$1004,J$23,'AFA Rates'!$O$5:$O$1004,"&lt;&gt;Expired")&gt;0,"✓",IF(COUNTIFS('AFA Rates'!$A$5:$A$1004,$A629,'AFA Rates'!$B$5:$B$1004,J$23)&gt;0,"Exp","")))</f>
        <v/>
      </c>
      <c r="K629" s="79">
        <f>IF(OR($A629="",K$23=""),"",IF(COUNTIFS('AFA Rates'!$A$5:$A$1004,$A629,'AFA Rates'!$B$5:$B$1004,K$23,'AFA Rates'!$O$5:$O$1004,"&lt;&gt;Expired")&gt;0,"✓",IF(COUNTIFS('AFA Rates'!$A$5:$A$1004,$A629,'AFA Rates'!$B$5:$B$1004,K$23)&gt;0,"Exp","")))</f>
        <v/>
      </c>
      <c r="L629" s="79">
        <f>IF(OR($A629="",L$23=""),"",IF(COUNTIFS('AFA Rates'!$A$5:$A$1004,$A629,'AFA Rates'!$B$5:$B$1004,L$23,'AFA Rates'!$O$5:$O$1004,"&lt;&gt;Expired")&gt;0,"✓",IF(COUNTIFS('AFA Rates'!$A$5:$A$1004,$A629,'AFA Rates'!$B$5:$B$1004,L$23)&gt;0,"Exp","")))</f>
        <v/>
      </c>
      <c r="M629" s="79">
        <f>IF(OR($A629="",M$23=""),"",IF(COUNTIFS('AFA Rates'!$A$5:$A$1004,$A629,'AFA Rates'!$B$5:$B$1004,M$23,'AFA Rates'!$O$5:$O$1004,"&lt;&gt;Expired")&gt;0,"✓",IF(COUNTIFS('AFA Rates'!$A$5:$A$1004,$A629,'AFA Rates'!$B$5:$B$1004,M$23)&gt;0,"Exp","")))</f>
        <v/>
      </c>
    </row>
    <row r="630">
      <c r="A630" s="78">
        <f>IFERROR(INDEX(Firms!$A$5:$A$1004,MATCH(607,Firms!$V$5:$V$1004,0)),"")</f>
        <v/>
      </c>
      <c r="B630" s="79">
        <f>IF($A630="","",INDEX(Firms!$B$5:$B$1004,MATCH(607,Firms!$V$5:$V$1004,0)))</f>
        <v/>
      </c>
      <c r="C630" s="79">
        <f>IF($A630="","",COUNTIFS('AFA Rates'!$A$5:$A$1004,$A630,'AFA Rates'!$O$5:$O$1004,"&lt;&gt;Expired"))</f>
        <v/>
      </c>
      <c r="D630" s="79">
        <f>IF(OR($A630="",D$23=""),"",IF(COUNTIFS('AFA Rates'!$A$5:$A$1004,$A630,'AFA Rates'!$B$5:$B$1004,D$23,'AFA Rates'!$O$5:$O$1004,"&lt;&gt;Expired")&gt;0,"✓",IF(COUNTIFS('AFA Rates'!$A$5:$A$1004,$A630,'AFA Rates'!$B$5:$B$1004,D$23)&gt;0,"Exp","")))</f>
        <v/>
      </c>
      <c r="E630" s="79">
        <f>IF(OR($A630="",E$23=""),"",IF(COUNTIFS('AFA Rates'!$A$5:$A$1004,$A630,'AFA Rates'!$B$5:$B$1004,E$23,'AFA Rates'!$O$5:$O$1004,"&lt;&gt;Expired")&gt;0,"✓",IF(COUNTIFS('AFA Rates'!$A$5:$A$1004,$A630,'AFA Rates'!$B$5:$B$1004,E$23)&gt;0,"Exp","")))</f>
        <v/>
      </c>
      <c r="F630" s="79">
        <f>IF(OR($A630="",F$23=""),"",IF(COUNTIFS('AFA Rates'!$A$5:$A$1004,$A630,'AFA Rates'!$B$5:$B$1004,F$23,'AFA Rates'!$O$5:$O$1004,"&lt;&gt;Expired")&gt;0,"✓",IF(COUNTIFS('AFA Rates'!$A$5:$A$1004,$A630,'AFA Rates'!$B$5:$B$1004,F$23)&gt;0,"Exp","")))</f>
        <v/>
      </c>
      <c r="G630" s="79">
        <f>IF(OR($A630="",G$23=""),"",IF(COUNTIFS('AFA Rates'!$A$5:$A$1004,$A630,'AFA Rates'!$B$5:$B$1004,G$23,'AFA Rates'!$O$5:$O$1004,"&lt;&gt;Expired")&gt;0,"✓",IF(COUNTIFS('AFA Rates'!$A$5:$A$1004,$A630,'AFA Rates'!$B$5:$B$1004,G$23)&gt;0,"Exp","")))</f>
        <v/>
      </c>
      <c r="H630" s="79">
        <f>IF(OR($A630="",H$23=""),"",IF(COUNTIFS('AFA Rates'!$A$5:$A$1004,$A630,'AFA Rates'!$B$5:$B$1004,H$23,'AFA Rates'!$O$5:$O$1004,"&lt;&gt;Expired")&gt;0,"✓",IF(COUNTIFS('AFA Rates'!$A$5:$A$1004,$A630,'AFA Rates'!$B$5:$B$1004,H$23)&gt;0,"Exp","")))</f>
        <v/>
      </c>
      <c r="I630" s="79">
        <f>IF(OR($A630="",I$23=""),"",IF(COUNTIFS('AFA Rates'!$A$5:$A$1004,$A630,'AFA Rates'!$B$5:$B$1004,I$23,'AFA Rates'!$O$5:$O$1004,"&lt;&gt;Expired")&gt;0,"✓",IF(COUNTIFS('AFA Rates'!$A$5:$A$1004,$A630,'AFA Rates'!$B$5:$B$1004,I$23)&gt;0,"Exp","")))</f>
        <v/>
      </c>
      <c r="J630" s="79">
        <f>IF(OR($A630="",J$23=""),"",IF(COUNTIFS('AFA Rates'!$A$5:$A$1004,$A630,'AFA Rates'!$B$5:$B$1004,J$23,'AFA Rates'!$O$5:$O$1004,"&lt;&gt;Expired")&gt;0,"✓",IF(COUNTIFS('AFA Rates'!$A$5:$A$1004,$A630,'AFA Rates'!$B$5:$B$1004,J$23)&gt;0,"Exp","")))</f>
        <v/>
      </c>
      <c r="K630" s="79">
        <f>IF(OR($A630="",K$23=""),"",IF(COUNTIFS('AFA Rates'!$A$5:$A$1004,$A630,'AFA Rates'!$B$5:$B$1004,K$23,'AFA Rates'!$O$5:$O$1004,"&lt;&gt;Expired")&gt;0,"✓",IF(COUNTIFS('AFA Rates'!$A$5:$A$1004,$A630,'AFA Rates'!$B$5:$B$1004,K$23)&gt;0,"Exp","")))</f>
        <v/>
      </c>
      <c r="L630" s="79">
        <f>IF(OR($A630="",L$23=""),"",IF(COUNTIFS('AFA Rates'!$A$5:$A$1004,$A630,'AFA Rates'!$B$5:$B$1004,L$23,'AFA Rates'!$O$5:$O$1004,"&lt;&gt;Expired")&gt;0,"✓",IF(COUNTIFS('AFA Rates'!$A$5:$A$1004,$A630,'AFA Rates'!$B$5:$B$1004,L$23)&gt;0,"Exp","")))</f>
        <v/>
      </c>
      <c r="M630" s="79">
        <f>IF(OR($A630="",M$23=""),"",IF(COUNTIFS('AFA Rates'!$A$5:$A$1004,$A630,'AFA Rates'!$B$5:$B$1004,M$23,'AFA Rates'!$O$5:$O$1004,"&lt;&gt;Expired")&gt;0,"✓",IF(COUNTIFS('AFA Rates'!$A$5:$A$1004,$A630,'AFA Rates'!$B$5:$B$1004,M$23)&gt;0,"Exp","")))</f>
        <v/>
      </c>
    </row>
    <row r="631">
      <c r="A631" s="78">
        <f>IFERROR(INDEX(Firms!$A$5:$A$1004,MATCH(608,Firms!$V$5:$V$1004,0)),"")</f>
        <v/>
      </c>
      <c r="B631" s="79">
        <f>IF($A631="","",INDEX(Firms!$B$5:$B$1004,MATCH(608,Firms!$V$5:$V$1004,0)))</f>
        <v/>
      </c>
      <c r="C631" s="79">
        <f>IF($A631="","",COUNTIFS('AFA Rates'!$A$5:$A$1004,$A631,'AFA Rates'!$O$5:$O$1004,"&lt;&gt;Expired"))</f>
        <v/>
      </c>
      <c r="D631" s="79">
        <f>IF(OR($A631="",D$23=""),"",IF(COUNTIFS('AFA Rates'!$A$5:$A$1004,$A631,'AFA Rates'!$B$5:$B$1004,D$23,'AFA Rates'!$O$5:$O$1004,"&lt;&gt;Expired")&gt;0,"✓",IF(COUNTIFS('AFA Rates'!$A$5:$A$1004,$A631,'AFA Rates'!$B$5:$B$1004,D$23)&gt;0,"Exp","")))</f>
        <v/>
      </c>
      <c r="E631" s="79">
        <f>IF(OR($A631="",E$23=""),"",IF(COUNTIFS('AFA Rates'!$A$5:$A$1004,$A631,'AFA Rates'!$B$5:$B$1004,E$23,'AFA Rates'!$O$5:$O$1004,"&lt;&gt;Expired")&gt;0,"✓",IF(COUNTIFS('AFA Rates'!$A$5:$A$1004,$A631,'AFA Rates'!$B$5:$B$1004,E$23)&gt;0,"Exp","")))</f>
        <v/>
      </c>
      <c r="F631" s="79">
        <f>IF(OR($A631="",F$23=""),"",IF(COUNTIFS('AFA Rates'!$A$5:$A$1004,$A631,'AFA Rates'!$B$5:$B$1004,F$23,'AFA Rates'!$O$5:$O$1004,"&lt;&gt;Expired")&gt;0,"✓",IF(COUNTIFS('AFA Rates'!$A$5:$A$1004,$A631,'AFA Rates'!$B$5:$B$1004,F$23)&gt;0,"Exp","")))</f>
        <v/>
      </c>
      <c r="G631" s="79">
        <f>IF(OR($A631="",G$23=""),"",IF(COUNTIFS('AFA Rates'!$A$5:$A$1004,$A631,'AFA Rates'!$B$5:$B$1004,G$23,'AFA Rates'!$O$5:$O$1004,"&lt;&gt;Expired")&gt;0,"✓",IF(COUNTIFS('AFA Rates'!$A$5:$A$1004,$A631,'AFA Rates'!$B$5:$B$1004,G$23)&gt;0,"Exp","")))</f>
        <v/>
      </c>
      <c r="H631" s="79">
        <f>IF(OR($A631="",H$23=""),"",IF(COUNTIFS('AFA Rates'!$A$5:$A$1004,$A631,'AFA Rates'!$B$5:$B$1004,H$23,'AFA Rates'!$O$5:$O$1004,"&lt;&gt;Expired")&gt;0,"✓",IF(COUNTIFS('AFA Rates'!$A$5:$A$1004,$A631,'AFA Rates'!$B$5:$B$1004,H$23)&gt;0,"Exp","")))</f>
        <v/>
      </c>
      <c r="I631" s="79">
        <f>IF(OR($A631="",I$23=""),"",IF(COUNTIFS('AFA Rates'!$A$5:$A$1004,$A631,'AFA Rates'!$B$5:$B$1004,I$23,'AFA Rates'!$O$5:$O$1004,"&lt;&gt;Expired")&gt;0,"✓",IF(COUNTIFS('AFA Rates'!$A$5:$A$1004,$A631,'AFA Rates'!$B$5:$B$1004,I$23)&gt;0,"Exp","")))</f>
        <v/>
      </c>
      <c r="J631" s="79">
        <f>IF(OR($A631="",J$23=""),"",IF(COUNTIFS('AFA Rates'!$A$5:$A$1004,$A631,'AFA Rates'!$B$5:$B$1004,J$23,'AFA Rates'!$O$5:$O$1004,"&lt;&gt;Expired")&gt;0,"✓",IF(COUNTIFS('AFA Rates'!$A$5:$A$1004,$A631,'AFA Rates'!$B$5:$B$1004,J$23)&gt;0,"Exp","")))</f>
        <v/>
      </c>
      <c r="K631" s="79">
        <f>IF(OR($A631="",K$23=""),"",IF(COUNTIFS('AFA Rates'!$A$5:$A$1004,$A631,'AFA Rates'!$B$5:$B$1004,K$23,'AFA Rates'!$O$5:$O$1004,"&lt;&gt;Expired")&gt;0,"✓",IF(COUNTIFS('AFA Rates'!$A$5:$A$1004,$A631,'AFA Rates'!$B$5:$B$1004,K$23)&gt;0,"Exp","")))</f>
        <v/>
      </c>
      <c r="L631" s="79">
        <f>IF(OR($A631="",L$23=""),"",IF(COUNTIFS('AFA Rates'!$A$5:$A$1004,$A631,'AFA Rates'!$B$5:$B$1004,L$23,'AFA Rates'!$O$5:$O$1004,"&lt;&gt;Expired")&gt;0,"✓",IF(COUNTIFS('AFA Rates'!$A$5:$A$1004,$A631,'AFA Rates'!$B$5:$B$1004,L$23)&gt;0,"Exp","")))</f>
        <v/>
      </c>
      <c r="M631" s="79">
        <f>IF(OR($A631="",M$23=""),"",IF(COUNTIFS('AFA Rates'!$A$5:$A$1004,$A631,'AFA Rates'!$B$5:$B$1004,M$23,'AFA Rates'!$O$5:$O$1004,"&lt;&gt;Expired")&gt;0,"✓",IF(COUNTIFS('AFA Rates'!$A$5:$A$1004,$A631,'AFA Rates'!$B$5:$B$1004,M$23)&gt;0,"Exp","")))</f>
        <v/>
      </c>
    </row>
    <row r="632">
      <c r="A632" s="78">
        <f>IFERROR(INDEX(Firms!$A$5:$A$1004,MATCH(609,Firms!$V$5:$V$1004,0)),"")</f>
        <v/>
      </c>
      <c r="B632" s="79">
        <f>IF($A632="","",INDEX(Firms!$B$5:$B$1004,MATCH(609,Firms!$V$5:$V$1004,0)))</f>
        <v/>
      </c>
      <c r="C632" s="79">
        <f>IF($A632="","",COUNTIFS('AFA Rates'!$A$5:$A$1004,$A632,'AFA Rates'!$O$5:$O$1004,"&lt;&gt;Expired"))</f>
        <v/>
      </c>
      <c r="D632" s="79">
        <f>IF(OR($A632="",D$23=""),"",IF(COUNTIFS('AFA Rates'!$A$5:$A$1004,$A632,'AFA Rates'!$B$5:$B$1004,D$23,'AFA Rates'!$O$5:$O$1004,"&lt;&gt;Expired")&gt;0,"✓",IF(COUNTIFS('AFA Rates'!$A$5:$A$1004,$A632,'AFA Rates'!$B$5:$B$1004,D$23)&gt;0,"Exp","")))</f>
        <v/>
      </c>
      <c r="E632" s="79">
        <f>IF(OR($A632="",E$23=""),"",IF(COUNTIFS('AFA Rates'!$A$5:$A$1004,$A632,'AFA Rates'!$B$5:$B$1004,E$23,'AFA Rates'!$O$5:$O$1004,"&lt;&gt;Expired")&gt;0,"✓",IF(COUNTIFS('AFA Rates'!$A$5:$A$1004,$A632,'AFA Rates'!$B$5:$B$1004,E$23)&gt;0,"Exp","")))</f>
        <v/>
      </c>
      <c r="F632" s="79">
        <f>IF(OR($A632="",F$23=""),"",IF(COUNTIFS('AFA Rates'!$A$5:$A$1004,$A632,'AFA Rates'!$B$5:$B$1004,F$23,'AFA Rates'!$O$5:$O$1004,"&lt;&gt;Expired")&gt;0,"✓",IF(COUNTIFS('AFA Rates'!$A$5:$A$1004,$A632,'AFA Rates'!$B$5:$B$1004,F$23)&gt;0,"Exp","")))</f>
        <v/>
      </c>
      <c r="G632" s="79">
        <f>IF(OR($A632="",G$23=""),"",IF(COUNTIFS('AFA Rates'!$A$5:$A$1004,$A632,'AFA Rates'!$B$5:$B$1004,G$23,'AFA Rates'!$O$5:$O$1004,"&lt;&gt;Expired")&gt;0,"✓",IF(COUNTIFS('AFA Rates'!$A$5:$A$1004,$A632,'AFA Rates'!$B$5:$B$1004,G$23)&gt;0,"Exp","")))</f>
        <v/>
      </c>
      <c r="H632" s="79">
        <f>IF(OR($A632="",H$23=""),"",IF(COUNTIFS('AFA Rates'!$A$5:$A$1004,$A632,'AFA Rates'!$B$5:$B$1004,H$23,'AFA Rates'!$O$5:$O$1004,"&lt;&gt;Expired")&gt;0,"✓",IF(COUNTIFS('AFA Rates'!$A$5:$A$1004,$A632,'AFA Rates'!$B$5:$B$1004,H$23)&gt;0,"Exp","")))</f>
        <v/>
      </c>
      <c r="I632" s="79">
        <f>IF(OR($A632="",I$23=""),"",IF(COUNTIFS('AFA Rates'!$A$5:$A$1004,$A632,'AFA Rates'!$B$5:$B$1004,I$23,'AFA Rates'!$O$5:$O$1004,"&lt;&gt;Expired")&gt;0,"✓",IF(COUNTIFS('AFA Rates'!$A$5:$A$1004,$A632,'AFA Rates'!$B$5:$B$1004,I$23)&gt;0,"Exp","")))</f>
        <v/>
      </c>
      <c r="J632" s="79">
        <f>IF(OR($A632="",J$23=""),"",IF(COUNTIFS('AFA Rates'!$A$5:$A$1004,$A632,'AFA Rates'!$B$5:$B$1004,J$23,'AFA Rates'!$O$5:$O$1004,"&lt;&gt;Expired")&gt;0,"✓",IF(COUNTIFS('AFA Rates'!$A$5:$A$1004,$A632,'AFA Rates'!$B$5:$B$1004,J$23)&gt;0,"Exp","")))</f>
        <v/>
      </c>
      <c r="K632" s="79">
        <f>IF(OR($A632="",K$23=""),"",IF(COUNTIFS('AFA Rates'!$A$5:$A$1004,$A632,'AFA Rates'!$B$5:$B$1004,K$23,'AFA Rates'!$O$5:$O$1004,"&lt;&gt;Expired")&gt;0,"✓",IF(COUNTIFS('AFA Rates'!$A$5:$A$1004,$A632,'AFA Rates'!$B$5:$B$1004,K$23)&gt;0,"Exp","")))</f>
        <v/>
      </c>
      <c r="L632" s="79">
        <f>IF(OR($A632="",L$23=""),"",IF(COUNTIFS('AFA Rates'!$A$5:$A$1004,$A632,'AFA Rates'!$B$5:$B$1004,L$23,'AFA Rates'!$O$5:$O$1004,"&lt;&gt;Expired")&gt;0,"✓",IF(COUNTIFS('AFA Rates'!$A$5:$A$1004,$A632,'AFA Rates'!$B$5:$B$1004,L$23)&gt;0,"Exp","")))</f>
        <v/>
      </c>
      <c r="M632" s="79">
        <f>IF(OR($A632="",M$23=""),"",IF(COUNTIFS('AFA Rates'!$A$5:$A$1004,$A632,'AFA Rates'!$B$5:$B$1004,M$23,'AFA Rates'!$O$5:$O$1004,"&lt;&gt;Expired")&gt;0,"✓",IF(COUNTIFS('AFA Rates'!$A$5:$A$1004,$A632,'AFA Rates'!$B$5:$B$1004,M$23)&gt;0,"Exp","")))</f>
        <v/>
      </c>
    </row>
    <row r="633">
      <c r="A633" s="78">
        <f>IFERROR(INDEX(Firms!$A$5:$A$1004,MATCH(610,Firms!$V$5:$V$1004,0)),"")</f>
        <v/>
      </c>
      <c r="B633" s="79">
        <f>IF($A633="","",INDEX(Firms!$B$5:$B$1004,MATCH(610,Firms!$V$5:$V$1004,0)))</f>
        <v/>
      </c>
      <c r="C633" s="79">
        <f>IF($A633="","",COUNTIFS('AFA Rates'!$A$5:$A$1004,$A633,'AFA Rates'!$O$5:$O$1004,"&lt;&gt;Expired"))</f>
        <v/>
      </c>
      <c r="D633" s="79">
        <f>IF(OR($A633="",D$23=""),"",IF(COUNTIFS('AFA Rates'!$A$5:$A$1004,$A633,'AFA Rates'!$B$5:$B$1004,D$23,'AFA Rates'!$O$5:$O$1004,"&lt;&gt;Expired")&gt;0,"✓",IF(COUNTIFS('AFA Rates'!$A$5:$A$1004,$A633,'AFA Rates'!$B$5:$B$1004,D$23)&gt;0,"Exp","")))</f>
        <v/>
      </c>
      <c r="E633" s="79">
        <f>IF(OR($A633="",E$23=""),"",IF(COUNTIFS('AFA Rates'!$A$5:$A$1004,$A633,'AFA Rates'!$B$5:$B$1004,E$23,'AFA Rates'!$O$5:$O$1004,"&lt;&gt;Expired")&gt;0,"✓",IF(COUNTIFS('AFA Rates'!$A$5:$A$1004,$A633,'AFA Rates'!$B$5:$B$1004,E$23)&gt;0,"Exp","")))</f>
        <v/>
      </c>
      <c r="F633" s="79">
        <f>IF(OR($A633="",F$23=""),"",IF(COUNTIFS('AFA Rates'!$A$5:$A$1004,$A633,'AFA Rates'!$B$5:$B$1004,F$23,'AFA Rates'!$O$5:$O$1004,"&lt;&gt;Expired")&gt;0,"✓",IF(COUNTIFS('AFA Rates'!$A$5:$A$1004,$A633,'AFA Rates'!$B$5:$B$1004,F$23)&gt;0,"Exp","")))</f>
        <v/>
      </c>
      <c r="G633" s="79">
        <f>IF(OR($A633="",G$23=""),"",IF(COUNTIFS('AFA Rates'!$A$5:$A$1004,$A633,'AFA Rates'!$B$5:$B$1004,G$23,'AFA Rates'!$O$5:$O$1004,"&lt;&gt;Expired")&gt;0,"✓",IF(COUNTIFS('AFA Rates'!$A$5:$A$1004,$A633,'AFA Rates'!$B$5:$B$1004,G$23)&gt;0,"Exp","")))</f>
        <v/>
      </c>
      <c r="H633" s="79">
        <f>IF(OR($A633="",H$23=""),"",IF(COUNTIFS('AFA Rates'!$A$5:$A$1004,$A633,'AFA Rates'!$B$5:$B$1004,H$23,'AFA Rates'!$O$5:$O$1004,"&lt;&gt;Expired")&gt;0,"✓",IF(COUNTIFS('AFA Rates'!$A$5:$A$1004,$A633,'AFA Rates'!$B$5:$B$1004,H$23)&gt;0,"Exp","")))</f>
        <v/>
      </c>
      <c r="I633" s="79">
        <f>IF(OR($A633="",I$23=""),"",IF(COUNTIFS('AFA Rates'!$A$5:$A$1004,$A633,'AFA Rates'!$B$5:$B$1004,I$23,'AFA Rates'!$O$5:$O$1004,"&lt;&gt;Expired")&gt;0,"✓",IF(COUNTIFS('AFA Rates'!$A$5:$A$1004,$A633,'AFA Rates'!$B$5:$B$1004,I$23)&gt;0,"Exp","")))</f>
        <v/>
      </c>
      <c r="J633" s="79">
        <f>IF(OR($A633="",J$23=""),"",IF(COUNTIFS('AFA Rates'!$A$5:$A$1004,$A633,'AFA Rates'!$B$5:$B$1004,J$23,'AFA Rates'!$O$5:$O$1004,"&lt;&gt;Expired")&gt;0,"✓",IF(COUNTIFS('AFA Rates'!$A$5:$A$1004,$A633,'AFA Rates'!$B$5:$B$1004,J$23)&gt;0,"Exp","")))</f>
        <v/>
      </c>
      <c r="K633" s="79">
        <f>IF(OR($A633="",K$23=""),"",IF(COUNTIFS('AFA Rates'!$A$5:$A$1004,$A633,'AFA Rates'!$B$5:$B$1004,K$23,'AFA Rates'!$O$5:$O$1004,"&lt;&gt;Expired")&gt;0,"✓",IF(COUNTIFS('AFA Rates'!$A$5:$A$1004,$A633,'AFA Rates'!$B$5:$B$1004,K$23)&gt;0,"Exp","")))</f>
        <v/>
      </c>
      <c r="L633" s="79">
        <f>IF(OR($A633="",L$23=""),"",IF(COUNTIFS('AFA Rates'!$A$5:$A$1004,$A633,'AFA Rates'!$B$5:$B$1004,L$23,'AFA Rates'!$O$5:$O$1004,"&lt;&gt;Expired")&gt;0,"✓",IF(COUNTIFS('AFA Rates'!$A$5:$A$1004,$A633,'AFA Rates'!$B$5:$B$1004,L$23)&gt;0,"Exp","")))</f>
        <v/>
      </c>
      <c r="M633" s="79">
        <f>IF(OR($A633="",M$23=""),"",IF(COUNTIFS('AFA Rates'!$A$5:$A$1004,$A633,'AFA Rates'!$B$5:$B$1004,M$23,'AFA Rates'!$O$5:$O$1004,"&lt;&gt;Expired")&gt;0,"✓",IF(COUNTIFS('AFA Rates'!$A$5:$A$1004,$A633,'AFA Rates'!$B$5:$B$1004,M$23)&gt;0,"Exp","")))</f>
        <v/>
      </c>
    </row>
    <row r="634">
      <c r="A634" s="78">
        <f>IFERROR(INDEX(Firms!$A$5:$A$1004,MATCH(611,Firms!$V$5:$V$1004,0)),"")</f>
        <v/>
      </c>
      <c r="B634" s="79">
        <f>IF($A634="","",INDEX(Firms!$B$5:$B$1004,MATCH(611,Firms!$V$5:$V$1004,0)))</f>
        <v/>
      </c>
      <c r="C634" s="79">
        <f>IF($A634="","",COUNTIFS('AFA Rates'!$A$5:$A$1004,$A634,'AFA Rates'!$O$5:$O$1004,"&lt;&gt;Expired"))</f>
        <v/>
      </c>
      <c r="D634" s="79">
        <f>IF(OR($A634="",D$23=""),"",IF(COUNTIFS('AFA Rates'!$A$5:$A$1004,$A634,'AFA Rates'!$B$5:$B$1004,D$23,'AFA Rates'!$O$5:$O$1004,"&lt;&gt;Expired")&gt;0,"✓",IF(COUNTIFS('AFA Rates'!$A$5:$A$1004,$A634,'AFA Rates'!$B$5:$B$1004,D$23)&gt;0,"Exp","")))</f>
        <v/>
      </c>
      <c r="E634" s="79">
        <f>IF(OR($A634="",E$23=""),"",IF(COUNTIFS('AFA Rates'!$A$5:$A$1004,$A634,'AFA Rates'!$B$5:$B$1004,E$23,'AFA Rates'!$O$5:$O$1004,"&lt;&gt;Expired")&gt;0,"✓",IF(COUNTIFS('AFA Rates'!$A$5:$A$1004,$A634,'AFA Rates'!$B$5:$B$1004,E$23)&gt;0,"Exp","")))</f>
        <v/>
      </c>
      <c r="F634" s="79">
        <f>IF(OR($A634="",F$23=""),"",IF(COUNTIFS('AFA Rates'!$A$5:$A$1004,$A634,'AFA Rates'!$B$5:$B$1004,F$23,'AFA Rates'!$O$5:$O$1004,"&lt;&gt;Expired")&gt;0,"✓",IF(COUNTIFS('AFA Rates'!$A$5:$A$1004,$A634,'AFA Rates'!$B$5:$B$1004,F$23)&gt;0,"Exp","")))</f>
        <v/>
      </c>
      <c r="G634" s="79">
        <f>IF(OR($A634="",G$23=""),"",IF(COUNTIFS('AFA Rates'!$A$5:$A$1004,$A634,'AFA Rates'!$B$5:$B$1004,G$23,'AFA Rates'!$O$5:$O$1004,"&lt;&gt;Expired")&gt;0,"✓",IF(COUNTIFS('AFA Rates'!$A$5:$A$1004,$A634,'AFA Rates'!$B$5:$B$1004,G$23)&gt;0,"Exp","")))</f>
        <v/>
      </c>
      <c r="H634" s="79">
        <f>IF(OR($A634="",H$23=""),"",IF(COUNTIFS('AFA Rates'!$A$5:$A$1004,$A634,'AFA Rates'!$B$5:$B$1004,H$23,'AFA Rates'!$O$5:$O$1004,"&lt;&gt;Expired")&gt;0,"✓",IF(COUNTIFS('AFA Rates'!$A$5:$A$1004,$A634,'AFA Rates'!$B$5:$B$1004,H$23)&gt;0,"Exp","")))</f>
        <v/>
      </c>
      <c r="I634" s="79">
        <f>IF(OR($A634="",I$23=""),"",IF(COUNTIFS('AFA Rates'!$A$5:$A$1004,$A634,'AFA Rates'!$B$5:$B$1004,I$23,'AFA Rates'!$O$5:$O$1004,"&lt;&gt;Expired")&gt;0,"✓",IF(COUNTIFS('AFA Rates'!$A$5:$A$1004,$A634,'AFA Rates'!$B$5:$B$1004,I$23)&gt;0,"Exp","")))</f>
        <v/>
      </c>
      <c r="J634" s="79">
        <f>IF(OR($A634="",J$23=""),"",IF(COUNTIFS('AFA Rates'!$A$5:$A$1004,$A634,'AFA Rates'!$B$5:$B$1004,J$23,'AFA Rates'!$O$5:$O$1004,"&lt;&gt;Expired")&gt;0,"✓",IF(COUNTIFS('AFA Rates'!$A$5:$A$1004,$A634,'AFA Rates'!$B$5:$B$1004,J$23)&gt;0,"Exp","")))</f>
        <v/>
      </c>
      <c r="K634" s="79">
        <f>IF(OR($A634="",K$23=""),"",IF(COUNTIFS('AFA Rates'!$A$5:$A$1004,$A634,'AFA Rates'!$B$5:$B$1004,K$23,'AFA Rates'!$O$5:$O$1004,"&lt;&gt;Expired")&gt;0,"✓",IF(COUNTIFS('AFA Rates'!$A$5:$A$1004,$A634,'AFA Rates'!$B$5:$B$1004,K$23)&gt;0,"Exp","")))</f>
        <v/>
      </c>
      <c r="L634" s="79">
        <f>IF(OR($A634="",L$23=""),"",IF(COUNTIFS('AFA Rates'!$A$5:$A$1004,$A634,'AFA Rates'!$B$5:$B$1004,L$23,'AFA Rates'!$O$5:$O$1004,"&lt;&gt;Expired")&gt;0,"✓",IF(COUNTIFS('AFA Rates'!$A$5:$A$1004,$A634,'AFA Rates'!$B$5:$B$1004,L$23)&gt;0,"Exp","")))</f>
        <v/>
      </c>
      <c r="M634" s="79">
        <f>IF(OR($A634="",M$23=""),"",IF(COUNTIFS('AFA Rates'!$A$5:$A$1004,$A634,'AFA Rates'!$B$5:$B$1004,M$23,'AFA Rates'!$O$5:$O$1004,"&lt;&gt;Expired")&gt;0,"✓",IF(COUNTIFS('AFA Rates'!$A$5:$A$1004,$A634,'AFA Rates'!$B$5:$B$1004,M$23)&gt;0,"Exp","")))</f>
        <v/>
      </c>
    </row>
    <row r="635">
      <c r="A635" s="78">
        <f>IFERROR(INDEX(Firms!$A$5:$A$1004,MATCH(612,Firms!$V$5:$V$1004,0)),"")</f>
        <v/>
      </c>
      <c r="B635" s="79">
        <f>IF($A635="","",INDEX(Firms!$B$5:$B$1004,MATCH(612,Firms!$V$5:$V$1004,0)))</f>
        <v/>
      </c>
      <c r="C635" s="79">
        <f>IF($A635="","",COUNTIFS('AFA Rates'!$A$5:$A$1004,$A635,'AFA Rates'!$O$5:$O$1004,"&lt;&gt;Expired"))</f>
        <v/>
      </c>
      <c r="D635" s="79">
        <f>IF(OR($A635="",D$23=""),"",IF(COUNTIFS('AFA Rates'!$A$5:$A$1004,$A635,'AFA Rates'!$B$5:$B$1004,D$23,'AFA Rates'!$O$5:$O$1004,"&lt;&gt;Expired")&gt;0,"✓",IF(COUNTIFS('AFA Rates'!$A$5:$A$1004,$A635,'AFA Rates'!$B$5:$B$1004,D$23)&gt;0,"Exp","")))</f>
        <v/>
      </c>
      <c r="E635" s="79">
        <f>IF(OR($A635="",E$23=""),"",IF(COUNTIFS('AFA Rates'!$A$5:$A$1004,$A635,'AFA Rates'!$B$5:$B$1004,E$23,'AFA Rates'!$O$5:$O$1004,"&lt;&gt;Expired")&gt;0,"✓",IF(COUNTIFS('AFA Rates'!$A$5:$A$1004,$A635,'AFA Rates'!$B$5:$B$1004,E$23)&gt;0,"Exp","")))</f>
        <v/>
      </c>
      <c r="F635" s="79">
        <f>IF(OR($A635="",F$23=""),"",IF(COUNTIFS('AFA Rates'!$A$5:$A$1004,$A635,'AFA Rates'!$B$5:$B$1004,F$23,'AFA Rates'!$O$5:$O$1004,"&lt;&gt;Expired")&gt;0,"✓",IF(COUNTIFS('AFA Rates'!$A$5:$A$1004,$A635,'AFA Rates'!$B$5:$B$1004,F$23)&gt;0,"Exp","")))</f>
        <v/>
      </c>
      <c r="G635" s="79">
        <f>IF(OR($A635="",G$23=""),"",IF(COUNTIFS('AFA Rates'!$A$5:$A$1004,$A635,'AFA Rates'!$B$5:$B$1004,G$23,'AFA Rates'!$O$5:$O$1004,"&lt;&gt;Expired")&gt;0,"✓",IF(COUNTIFS('AFA Rates'!$A$5:$A$1004,$A635,'AFA Rates'!$B$5:$B$1004,G$23)&gt;0,"Exp","")))</f>
        <v/>
      </c>
      <c r="H635" s="79">
        <f>IF(OR($A635="",H$23=""),"",IF(COUNTIFS('AFA Rates'!$A$5:$A$1004,$A635,'AFA Rates'!$B$5:$B$1004,H$23,'AFA Rates'!$O$5:$O$1004,"&lt;&gt;Expired")&gt;0,"✓",IF(COUNTIFS('AFA Rates'!$A$5:$A$1004,$A635,'AFA Rates'!$B$5:$B$1004,H$23)&gt;0,"Exp","")))</f>
        <v/>
      </c>
      <c r="I635" s="79">
        <f>IF(OR($A635="",I$23=""),"",IF(COUNTIFS('AFA Rates'!$A$5:$A$1004,$A635,'AFA Rates'!$B$5:$B$1004,I$23,'AFA Rates'!$O$5:$O$1004,"&lt;&gt;Expired")&gt;0,"✓",IF(COUNTIFS('AFA Rates'!$A$5:$A$1004,$A635,'AFA Rates'!$B$5:$B$1004,I$23)&gt;0,"Exp","")))</f>
        <v/>
      </c>
      <c r="J635" s="79">
        <f>IF(OR($A635="",J$23=""),"",IF(COUNTIFS('AFA Rates'!$A$5:$A$1004,$A635,'AFA Rates'!$B$5:$B$1004,J$23,'AFA Rates'!$O$5:$O$1004,"&lt;&gt;Expired")&gt;0,"✓",IF(COUNTIFS('AFA Rates'!$A$5:$A$1004,$A635,'AFA Rates'!$B$5:$B$1004,J$23)&gt;0,"Exp","")))</f>
        <v/>
      </c>
      <c r="K635" s="79">
        <f>IF(OR($A635="",K$23=""),"",IF(COUNTIFS('AFA Rates'!$A$5:$A$1004,$A635,'AFA Rates'!$B$5:$B$1004,K$23,'AFA Rates'!$O$5:$O$1004,"&lt;&gt;Expired")&gt;0,"✓",IF(COUNTIFS('AFA Rates'!$A$5:$A$1004,$A635,'AFA Rates'!$B$5:$B$1004,K$23)&gt;0,"Exp","")))</f>
        <v/>
      </c>
      <c r="L635" s="79">
        <f>IF(OR($A635="",L$23=""),"",IF(COUNTIFS('AFA Rates'!$A$5:$A$1004,$A635,'AFA Rates'!$B$5:$B$1004,L$23,'AFA Rates'!$O$5:$O$1004,"&lt;&gt;Expired")&gt;0,"✓",IF(COUNTIFS('AFA Rates'!$A$5:$A$1004,$A635,'AFA Rates'!$B$5:$B$1004,L$23)&gt;0,"Exp","")))</f>
        <v/>
      </c>
      <c r="M635" s="79">
        <f>IF(OR($A635="",M$23=""),"",IF(COUNTIFS('AFA Rates'!$A$5:$A$1004,$A635,'AFA Rates'!$B$5:$B$1004,M$23,'AFA Rates'!$O$5:$O$1004,"&lt;&gt;Expired")&gt;0,"✓",IF(COUNTIFS('AFA Rates'!$A$5:$A$1004,$A635,'AFA Rates'!$B$5:$B$1004,M$23)&gt;0,"Exp","")))</f>
        <v/>
      </c>
    </row>
    <row r="636">
      <c r="A636" s="78">
        <f>IFERROR(INDEX(Firms!$A$5:$A$1004,MATCH(613,Firms!$V$5:$V$1004,0)),"")</f>
        <v/>
      </c>
      <c r="B636" s="79">
        <f>IF($A636="","",INDEX(Firms!$B$5:$B$1004,MATCH(613,Firms!$V$5:$V$1004,0)))</f>
        <v/>
      </c>
      <c r="C636" s="79">
        <f>IF($A636="","",COUNTIFS('AFA Rates'!$A$5:$A$1004,$A636,'AFA Rates'!$O$5:$O$1004,"&lt;&gt;Expired"))</f>
        <v/>
      </c>
      <c r="D636" s="79">
        <f>IF(OR($A636="",D$23=""),"",IF(COUNTIFS('AFA Rates'!$A$5:$A$1004,$A636,'AFA Rates'!$B$5:$B$1004,D$23,'AFA Rates'!$O$5:$O$1004,"&lt;&gt;Expired")&gt;0,"✓",IF(COUNTIFS('AFA Rates'!$A$5:$A$1004,$A636,'AFA Rates'!$B$5:$B$1004,D$23)&gt;0,"Exp","")))</f>
        <v/>
      </c>
      <c r="E636" s="79">
        <f>IF(OR($A636="",E$23=""),"",IF(COUNTIFS('AFA Rates'!$A$5:$A$1004,$A636,'AFA Rates'!$B$5:$B$1004,E$23,'AFA Rates'!$O$5:$O$1004,"&lt;&gt;Expired")&gt;0,"✓",IF(COUNTIFS('AFA Rates'!$A$5:$A$1004,$A636,'AFA Rates'!$B$5:$B$1004,E$23)&gt;0,"Exp","")))</f>
        <v/>
      </c>
      <c r="F636" s="79">
        <f>IF(OR($A636="",F$23=""),"",IF(COUNTIFS('AFA Rates'!$A$5:$A$1004,$A636,'AFA Rates'!$B$5:$B$1004,F$23,'AFA Rates'!$O$5:$O$1004,"&lt;&gt;Expired")&gt;0,"✓",IF(COUNTIFS('AFA Rates'!$A$5:$A$1004,$A636,'AFA Rates'!$B$5:$B$1004,F$23)&gt;0,"Exp","")))</f>
        <v/>
      </c>
      <c r="G636" s="79">
        <f>IF(OR($A636="",G$23=""),"",IF(COUNTIFS('AFA Rates'!$A$5:$A$1004,$A636,'AFA Rates'!$B$5:$B$1004,G$23,'AFA Rates'!$O$5:$O$1004,"&lt;&gt;Expired")&gt;0,"✓",IF(COUNTIFS('AFA Rates'!$A$5:$A$1004,$A636,'AFA Rates'!$B$5:$B$1004,G$23)&gt;0,"Exp","")))</f>
        <v/>
      </c>
      <c r="H636" s="79">
        <f>IF(OR($A636="",H$23=""),"",IF(COUNTIFS('AFA Rates'!$A$5:$A$1004,$A636,'AFA Rates'!$B$5:$B$1004,H$23,'AFA Rates'!$O$5:$O$1004,"&lt;&gt;Expired")&gt;0,"✓",IF(COUNTIFS('AFA Rates'!$A$5:$A$1004,$A636,'AFA Rates'!$B$5:$B$1004,H$23)&gt;0,"Exp","")))</f>
        <v/>
      </c>
      <c r="I636" s="79">
        <f>IF(OR($A636="",I$23=""),"",IF(COUNTIFS('AFA Rates'!$A$5:$A$1004,$A636,'AFA Rates'!$B$5:$B$1004,I$23,'AFA Rates'!$O$5:$O$1004,"&lt;&gt;Expired")&gt;0,"✓",IF(COUNTIFS('AFA Rates'!$A$5:$A$1004,$A636,'AFA Rates'!$B$5:$B$1004,I$23)&gt;0,"Exp","")))</f>
        <v/>
      </c>
      <c r="J636" s="79">
        <f>IF(OR($A636="",J$23=""),"",IF(COUNTIFS('AFA Rates'!$A$5:$A$1004,$A636,'AFA Rates'!$B$5:$B$1004,J$23,'AFA Rates'!$O$5:$O$1004,"&lt;&gt;Expired")&gt;0,"✓",IF(COUNTIFS('AFA Rates'!$A$5:$A$1004,$A636,'AFA Rates'!$B$5:$B$1004,J$23)&gt;0,"Exp","")))</f>
        <v/>
      </c>
      <c r="K636" s="79">
        <f>IF(OR($A636="",K$23=""),"",IF(COUNTIFS('AFA Rates'!$A$5:$A$1004,$A636,'AFA Rates'!$B$5:$B$1004,K$23,'AFA Rates'!$O$5:$O$1004,"&lt;&gt;Expired")&gt;0,"✓",IF(COUNTIFS('AFA Rates'!$A$5:$A$1004,$A636,'AFA Rates'!$B$5:$B$1004,K$23)&gt;0,"Exp","")))</f>
        <v/>
      </c>
      <c r="L636" s="79">
        <f>IF(OR($A636="",L$23=""),"",IF(COUNTIFS('AFA Rates'!$A$5:$A$1004,$A636,'AFA Rates'!$B$5:$B$1004,L$23,'AFA Rates'!$O$5:$O$1004,"&lt;&gt;Expired")&gt;0,"✓",IF(COUNTIFS('AFA Rates'!$A$5:$A$1004,$A636,'AFA Rates'!$B$5:$B$1004,L$23)&gt;0,"Exp","")))</f>
        <v/>
      </c>
      <c r="M636" s="79">
        <f>IF(OR($A636="",M$23=""),"",IF(COUNTIFS('AFA Rates'!$A$5:$A$1004,$A636,'AFA Rates'!$B$5:$B$1004,M$23,'AFA Rates'!$O$5:$O$1004,"&lt;&gt;Expired")&gt;0,"✓",IF(COUNTIFS('AFA Rates'!$A$5:$A$1004,$A636,'AFA Rates'!$B$5:$B$1004,M$23)&gt;0,"Exp","")))</f>
        <v/>
      </c>
    </row>
    <row r="637">
      <c r="A637" s="78">
        <f>IFERROR(INDEX(Firms!$A$5:$A$1004,MATCH(614,Firms!$V$5:$V$1004,0)),"")</f>
        <v/>
      </c>
      <c r="B637" s="79">
        <f>IF($A637="","",INDEX(Firms!$B$5:$B$1004,MATCH(614,Firms!$V$5:$V$1004,0)))</f>
        <v/>
      </c>
      <c r="C637" s="79">
        <f>IF($A637="","",COUNTIFS('AFA Rates'!$A$5:$A$1004,$A637,'AFA Rates'!$O$5:$O$1004,"&lt;&gt;Expired"))</f>
        <v/>
      </c>
      <c r="D637" s="79">
        <f>IF(OR($A637="",D$23=""),"",IF(COUNTIFS('AFA Rates'!$A$5:$A$1004,$A637,'AFA Rates'!$B$5:$B$1004,D$23,'AFA Rates'!$O$5:$O$1004,"&lt;&gt;Expired")&gt;0,"✓",IF(COUNTIFS('AFA Rates'!$A$5:$A$1004,$A637,'AFA Rates'!$B$5:$B$1004,D$23)&gt;0,"Exp","")))</f>
        <v/>
      </c>
      <c r="E637" s="79">
        <f>IF(OR($A637="",E$23=""),"",IF(COUNTIFS('AFA Rates'!$A$5:$A$1004,$A637,'AFA Rates'!$B$5:$B$1004,E$23,'AFA Rates'!$O$5:$O$1004,"&lt;&gt;Expired")&gt;0,"✓",IF(COUNTIFS('AFA Rates'!$A$5:$A$1004,$A637,'AFA Rates'!$B$5:$B$1004,E$23)&gt;0,"Exp","")))</f>
        <v/>
      </c>
      <c r="F637" s="79">
        <f>IF(OR($A637="",F$23=""),"",IF(COUNTIFS('AFA Rates'!$A$5:$A$1004,$A637,'AFA Rates'!$B$5:$B$1004,F$23,'AFA Rates'!$O$5:$O$1004,"&lt;&gt;Expired")&gt;0,"✓",IF(COUNTIFS('AFA Rates'!$A$5:$A$1004,$A637,'AFA Rates'!$B$5:$B$1004,F$23)&gt;0,"Exp","")))</f>
        <v/>
      </c>
      <c r="G637" s="79">
        <f>IF(OR($A637="",G$23=""),"",IF(COUNTIFS('AFA Rates'!$A$5:$A$1004,$A637,'AFA Rates'!$B$5:$B$1004,G$23,'AFA Rates'!$O$5:$O$1004,"&lt;&gt;Expired")&gt;0,"✓",IF(COUNTIFS('AFA Rates'!$A$5:$A$1004,$A637,'AFA Rates'!$B$5:$B$1004,G$23)&gt;0,"Exp","")))</f>
        <v/>
      </c>
      <c r="H637" s="79">
        <f>IF(OR($A637="",H$23=""),"",IF(COUNTIFS('AFA Rates'!$A$5:$A$1004,$A637,'AFA Rates'!$B$5:$B$1004,H$23,'AFA Rates'!$O$5:$O$1004,"&lt;&gt;Expired")&gt;0,"✓",IF(COUNTIFS('AFA Rates'!$A$5:$A$1004,$A637,'AFA Rates'!$B$5:$B$1004,H$23)&gt;0,"Exp","")))</f>
        <v/>
      </c>
      <c r="I637" s="79">
        <f>IF(OR($A637="",I$23=""),"",IF(COUNTIFS('AFA Rates'!$A$5:$A$1004,$A637,'AFA Rates'!$B$5:$B$1004,I$23,'AFA Rates'!$O$5:$O$1004,"&lt;&gt;Expired")&gt;0,"✓",IF(COUNTIFS('AFA Rates'!$A$5:$A$1004,$A637,'AFA Rates'!$B$5:$B$1004,I$23)&gt;0,"Exp","")))</f>
        <v/>
      </c>
      <c r="J637" s="79">
        <f>IF(OR($A637="",J$23=""),"",IF(COUNTIFS('AFA Rates'!$A$5:$A$1004,$A637,'AFA Rates'!$B$5:$B$1004,J$23,'AFA Rates'!$O$5:$O$1004,"&lt;&gt;Expired")&gt;0,"✓",IF(COUNTIFS('AFA Rates'!$A$5:$A$1004,$A637,'AFA Rates'!$B$5:$B$1004,J$23)&gt;0,"Exp","")))</f>
        <v/>
      </c>
      <c r="K637" s="79">
        <f>IF(OR($A637="",K$23=""),"",IF(COUNTIFS('AFA Rates'!$A$5:$A$1004,$A637,'AFA Rates'!$B$5:$B$1004,K$23,'AFA Rates'!$O$5:$O$1004,"&lt;&gt;Expired")&gt;0,"✓",IF(COUNTIFS('AFA Rates'!$A$5:$A$1004,$A637,'AFA Rates'!$B$5:$B$1004,K$23)&gt;0,"Exp","")))</f>
        <v/>
      </c>
      <c r="L637" s="79">
        <f>IF(OR($A637="",L$23=""),"",IF(COUNTIFS('AFA Rates'!$A$5:$A$1004,$A637,'AFA Rates'!$B$5:$B$1004,L$23,'AFA Rates'!$O$5:$O$1004,"&lt;&gt;Expired")&gt;0,"✓",IF(COUNTIFS('AFA Rates'!$A$5:$A$1004,$A637,'AFA Rates'!$B$5:$B$1004,L$23)&gt;0,"Exp","")))</f>
        <v/>
      </c>
      <c r="M637" s="79">
        <f>IF(OR($A637="",M$23=""),"",IF(COUNTIFS('AFA Rates'!$A$5:$A$1004,$A637,'AFA Rates'!$B$5:$B$1004,M$23,'AFA Rates'!$O$5:$O$1004,"&lt;&gt;Expired")&gt;0,"✓",IF(COUNTIFS('AFA Rates'!$A$5:$A$1004,$A637,'AFA Rates'!$B$5:$B$1004,M$23)&gt;0,"Exp","")))</f>
        <v/>
      </c>
    </row>
    <row r="638">
      <c r="A638" s="78">
        <f>IFERROR(INDEX(Firms!$A$5:$A$1004,MATCH(615,Firms!$V$5:$V$1004,0)),"")</f>
        <v/>
      </c>
      <c r="B638" s="79">
        <f>IF($A638="","",INDEX(Firms!$B$5:$B$1004,MATCH(615,Firms!$V$5:$V$1004,0)))</f>
        <v/>
      </c>
      <c r="C638" s="79">
        <f>IF($A638="","",COUNTIFS('AFA Rates'!$A$5:$A$1004,$A638,'AFA Rates'!$O$5:$O$1004,"&lt;&gt;Expired"))</f>
        <v/>
      </c>
      <c r="D638" s="79">
        <f>IF(OR($A638="",D$23=""),"",IF(COUNTIFS('AFA Rates'!$A$5:$A$1004,$A638,'AFA Rates'!$B$5:$B$1004,D$23,'AFA Rates'!$O$5:$O$1004,"&lt;&gt;Expired")&gt;0,"✓",IF(COUNTIFS('AFA Rates'!$A$5:$A$1004,$A638,'AFA Rates'!$B$5:$B$1004,D$23)&gt;0,"Exp","")))</f>
        <v/>
      </c>
      <c r="E638" s="79">
        <f>IF(OR($A638="",E$23=""),"",IF(COUNTIFS('AFA Rates'!$A$5:$A$1004,$A638,'AFA Rates'!$B$5:$B$1004,E$23,'AFA Rates'!$O$5:$O$1004,"&lt;&gt;Expired")&gt;0,"✓",IF(COUNTIFS('AFA Rates'!$A$5:$A$1004,$A638,'AFA Rates'!$B$5:$B$1004,E$23)&gt;0,"Exp","")))</f>
        <v/>
      </c>
      <c r="F638" s="79">
        <f>IF(OR($A638="",F$23=""),"",IF(COUNTIFS('AFA Rates'!$A$5:$A$1004,$A638,'AFA Rates'!$B$5:$B$1004,F$23,'AFA Rates'!$O$5:$O$1004,"&lt;&gt;Expired")&gt;0,"✓",IF(COUNTIFS('AFA Rates'!$A$5:$A$1004,$A638,'AFA Rates'!$B$5:$B$1004,F$23)&gt;0,"Exp","")))</f>
        <v/>
      </c>
      <c r="G638" s="79">
        <f>IF(OR($A638="",G$23=""),"",IF(COUNTIFS('AFA Rates'!$A$5:$A$1004,$A638,'AFA Rates'!$B$5:$B$1004,G$23,'AFA Rates'!$O$5:$O$1004,"&lt;&gt;Expired")&gt;0,"✓",IF(COUNTIFS('AFA Rates'!$A$5:$A$1004,$A638,'AFA Rates'!$B$5:$B$1004,G$23)&gt;0,"Exp","")))</f>
        <v/>
      </c>
      <c r="H638" s="79">
        <f>IF(OR($A638="",H$23=""),"",IF(COUNTIFS('AFA Rates'!$A$5:$A$1004,$A638,'AFA Rates'!$B$5:$B$1004,H$23,'AFA Rates'!$O$5:$O$1004,"&lt;&gt;Expired")&gt;0,"✓",IF(COUNTIFS('AFA Rates'!$A$5:$A$1004,$A638,'AFA Rates'!$B$5:$B$1004,H$23)&gt;0,"Exp","")))</f>
        <v/>
      </c>
      <c r="I638" s="79">
        <f>IF(OR($A638="",I$23=""),"",IF(COUNTIFS('AFA Rates'!$A$5:$A$1004,$A638,'AFA Rates'!$B$5:$B$1004,I$23,'AFA Rates'!$O$5:$O$1004,"&lt;&gt;Expired")&gt;0,"✓",IF(COUNTIFS('AFA Rates'!$A$5:$A$1004,$A638,'AFA Rates'!$B$5:$B$1004,I$23)&gt;0,"Exp","")))</f>
        <v/>
      </c>
      <c r="J638" s="79">
        <f>IF(OR($A638="",J$23=""),"",IF(COUNTIFS('AFA Rates'!$A$5:$A$1004,$A638,'AFA Rates'!$B$5:$B$1004,J$23,'AFA Rates'!$O$5:$O$1004,"&lt;&gt;Expired")&gt;0,"✓",IF(COUNTIFS('AFA Rates'!$A$5:$A$1004,$A638,'AFA Rates'!$B$5:$B$1004,J$23)&gt;0,"Exp","")))</f>
        <v/>
      </c>
      <c r="K638" s="79">
        <f>IF(OR($A638="",K$23=""),"",IF(COUNTIFS('AFA Rates'!$A$5:$A$1004,$A638,'AFA Rates'!$B$5:$B$1004,K$23,'AFA Rates'!$O$5:$O$1004,"&lt;&gt;Expired")&gt;0,"✓",IF(COUNTIFS('AFA Rates'!$A$5:$A$1004,$A638,'AFA Rates'!$B$5:$B$1004,K$23)&gt;0,"Exp","")))</f>
        <v/>
      </c>
      <c r="L638" s="79">
        <f>IF(OR($A638="",L$23=""),"",IF(COUNTIFS('AFA Rates'!$A$5:$A$1004,$A638,'AFA Rates'!$B$5:$B$1004,L$23,'AFA Rates'!$O$5:$O$1004,"&lt;&gt;Expired")&gt;0,"✓",IF(COUNTIFS('AFA Rates'!$A$5:$A$1004,$A638,'AFA Rates'!$B$5:$B$1004,L$23)&gt;0,"Exp","")))</f>
        <v/>
      </c>
      <c r="M638" s="79">
        <f>IF(OR($A638="",M$23=""),"",IF(COUNTIFS('AFA Rates'!$A$5:$A$1004,$A638,'AFA Rates'!$B$5:$B$1004,M$23,'AFA Rates'!$O$5:$O$1004,"&lt;&gt;Expired")&gt;0,"✓",IF(COUNTIFS('AFA Rates'!$A$5:$A$1004,$A638,'AFA Rates'!$B$5:$B$1004,M$23)&gt;0,"Exp","")))</f>
        <v/>
      </c>
    </row>
    <row r="639">
      <c r="A639" s="78">
        <f>IFERROR(INDEX(Firms!$A$5:$A$1004,MATCH(616,Firms!$V$5:$V$1004,0)),"")</f>
        <v/>
      </c>
      <c r="B639" s="79">
        <f>IF($A639="","",INDEX(Firms!$B$5:$B$1004,MATCH(616,Firms!$V$5:$V$1004,0)))</f>
        <v/>
      </c>
      <c r="C639" s="79">
        <f>IF($A639="","",COUNTIFS('AFA Rates'!$A$5:$A$1004,$A639,'AFA Rates'!$O$5:$O$1004,"&lt;&gt;Expired"))</f>
        <v/>
      </c>
      <c r="D639" s="79">
        <f>IF(OR($A639="",D$23=""),"",IF(COUNTIFS('AFA Rates'!$A$5:$A$1004,$A639,'AFA Rates'!$B$5:$B$1004,D$23,'AFA Rates'!$O$5:$O$1004,"&lt;&gt;Expired")&gt;0,"✓",IF(COUNTIFS('AFA Rates'!$A$5:$A$1004,$A639,'AFA Rates'!$B$5:$B$1004,D$23)&gt;0,"Exp","")))</f>
        <v/>
      </c>
      <c r="E639" s="79">
        <f>IF(OR($A639="",E$23=""),"",IF(COUNTIFS('AFA Rates'!$A$5:$A$1004,$A639,'AFA Rates'!$B$5:$B$1004,E$23,'AFA Rates'!$O$5:$O$1004,"&lt;&gt;Expired")&gt;0,"✓",IF(COUNTIFS('AFA Rates'!$A$5:$A$1004,$A639,'AFA Rates'!$B$5:$B$1004,E$23)&gt;0,"Exp","")))</f>
        <v/>
      </c>
      <c r="F639" s="79">
        <f>IF(OR($A639="",F$23=""),"",IF(COUNTIFS('AFA Rates'!$A$5:$A$1004,$A639,'AFA Rates'!$B$5:$B$1004,F$23,'AFA Rates'!$O$5:$O$1004,"&lt;&gt;Expired")&gt;0,"✓",IF(COUNTIFS('AFA Rates'!$A$5:$A$1004,$A639,'AFA Rates'!$B$5:$B$1004,F$23)&gt;0,"Exp","")))</f>
        <v/>
      </c>
      <c r="G639" s="79">
        <f>IF(OR($A639="",G$23=""),"",IF(COUNTIFS('AFA Rates'!$A$5:$A$1004,$A639,'AFA Rates'!$B$5:$B$1004,G$23,'AFA Rates'!$O$5:$O$1004,"&lt;&gt;Expired")&gt;0,"✓",IF(COUNTIFS('AFA Rates'!$A$5:$A$1004,$A639,'AFA Rates'!$B$5:$B$1004,G$23)&gt;0,"Exp","")))</f>
        <v/>
      </c>
      <c r="H639" s="79">
        <f>IF(OR($A639="",H$23=""),"",IF(COUNTIFS('AFA Rates'!$A$5:$A$1004,$A639,'AFA Rates'!$B$5:$B$1004,H$23,'AFA Rates'!$O$5:$O$1004,"&lt;&gt;Expired")&gt;0,"✓",IF(COUNTIFS('AFA Rates'!$A$5:$A$1004,$A639,'AFA Rates'!$B$5:$B$1004,H$23)&gt;0,"Exp","")))</f>
        <v/>
      </c>
      <c r="I639" s="79">
        <f>IF(OR($A639="",I$23=""),"",IF(COUNTIFS('AFA Rates'!$A$5:$A$1004,$A639,'AFA Rates'!$B$5:$B$1004,I$23,'AFA Rates'!$O$5:$O$1004,"&lt;&gt;Expired")&gt;0,"✓",IF(COUNTIFS('AFA Rates'!$A$5:$A$1004,$A639,'AFA Rates'!$B$5:$B$1004,I$23)&gt;0,"Exp","")))</f>
        <v/>
      </c>
      <c r="J639" s="79">
        <f>IF(OR($A639="",J$23=""),"",IF(COUNTIFS('AFA Rates'!$A$5:$A$1004,$A639,'AFA Rates'!$B$5:$B$1004,J$23,'AFA Rates'!$O$5:$O$1004,"&lt;&gt;Expired")&gt;0,"✓",IF(COUNTIFS('AFA Rates'!$A$5:$A$1004,$A639,'AFA Rates'!$B$5:$B$1004,J$23)&gt;0,"Exp","")))</f>
        <v/>
      </c>
      <c r="K639" s="79">
        <f>IF(OR($A639="",K$23=""),"",IF(COUNTIFS('AFA Rates'!$A$5:$A$1004,$A639,'AFA Rates'!$B$5:$B$1004,K$23,'AFA Rates'!$O$5:$O$1004,"&lt;&gt;Expired")&gt;0,"✓",IF(COUNTIFS('AFA Rates'!$A$5:$A$1004,$A639,'AFA Rates'!$B$5:$B$1004,K$23)&gt;0,"Exp","")))</f>
        <v/>
      </c>
      <c r="L639" s="79">
        <f>IF(OR($A639="",L$23=""),"",IF(COUNTIFS('AFA Rates'!$A$5:$A$1004,$A639,'AFA Rates'!$B$5:$B$1004,L$23,'AFA Rates'!$O$5:$O$1004,"&lt;&gt;Expired")&gt;0,"✓",IF(COUNTIFS('AFA Rates'!$A$5:$A$1004,$A639,'AFA Rates'!$B$5:$B$1004,L$23)&gt;0,"Exp","")))</f>
        <v/>
      </c>
      <c r="M639" s="79">
        <f>IF(OR($A639="",M$23=""),"",IF(COUNTIFS('AFA Rates'!$A$5:$A$1004,$A639,'AFA Rates'!$B$5:$B$1004,M$23,'AFA Rates'!$O$5:$O$1004,"&lt;&gt;Expired")&gt;0,"✓",IF(COUNTIFS('AFA Rates'!$A$5:$A$1004,$A639,'AFA Rates'!$B$5:$B$1004,M$23)&gt;0,"Exp","")))</f>
        <v/>
      </c>
    </row>
    <row r="640">
      <c r="A640" s="78">
        <f>IFERROR(INDEX(Firms!$A$5:$A$1004,MATCH(617,Firms!$V$5:$V$1004,0)),"")</f>
        <v/>
      </c>
      <c r="B640" s="79">
        <f>IF($A640="","",INDEX(Firms!$B$5:$B$1004,MATCH(617,Firms!$V$5:$V$1004,0)))</f>
        <v/>
      </c>
      <c r="C640" s="79">
        <f>IF($A640="","",COUNTIFS('AFA Rates'!$A$5:$A$1004,$A640,'AFA Rates'!$O$5:$O$1004,"&lt;&gt;Expired"))</f>
        <v/>
      </c>
      <c r="D640" s="79">
        <f>IF(OR($A640="",D$23=""),"",IF(COUNTIFS('AFA Rates'!$A$5:$A$1004,$A640,'AFA Rates'!$B$5:$B$1004,D$23,'AFA Rates'!$O$5:$O$1004,"&lt;&gt;Expired")&gt;0,"✓",IF(COUNTIFS('AFA Rates'!$A$5:$A$1004,$A640,'AFA Rates'!$B$5:$B$1004,D$23)&gt;0,"Exp","")))</f>
        <v/>
      </c>
      <c r="E640" s="79">
        <f>IF(OR($A640="",E$23=""),"",IF(COUNTIFS('AFA Rates'!$A$5:$A$1004,$A640,'AFA Rates'!$B$5:$B$1004,E$23,'AFA Rates'!$O$5:$O$1004,"&lt;&gt;Expired")&gt;0,"✓",IF(COUNTIFS('AFA Rates'!$A$5:$A$1004,$A640,'AFA Rates'!$B$5:$B$1004,E$23)&gt;0,"Exp","")))</f>
        <v/>
      </c>
      <c r="F640" s="79">
        <f>IF(OR($A640="",F$23=""),"",IF(COUNTIFS('AFA Rates'!$A$5:$A$1004,$A640,'AFA Rates'!$B$5:$B$1004,F$23,'AFA Rates'!$O$5:$O$1004,"&lt;&gt;Expired")&gt;0,"✓",IF(COUNTIFS('AFA Rates'!$A$5:$A$1004,$A640,'AFA Rates'!$B$5:$B$1004,F$23)&gt;0,"Exp","")))</f>
        <v/>
      </c>
      <c r="G640" s="79">
        <f>IF(OR($A640="",G$23=""),"",IF(COUNTIFS('AFA Rates'!$A$5:$A$1004,$A640,'AFA Rates'!$B$5:$B$1004,G$23,'AFA Rates'!$O$5:$O$1004,"&lt;&gt;Expired")&gt;0,"✓",IF(COUNTIFS('AFA Rates'!$A$5:$A$1004,$A640,'AFA Rates'!$B$5:$B$1004,G$23)&gt;0,"Exp","")))</f>
        <v/>
      </c>
      <c r="H640" s="79">
        <f>IF(OR($A640="",H$23=""),"",IF(COUNTIFS('AFA Rates'!$A$5:$A$1004,$A640,'AFA Rates'!$B$5:$B$1004,H$23,'AFA Rates'!$O$5:$O$1004,"&lt;&gt;Expired")&gt;0,"✓",IF(COUNTIFS('AFA Rates'!$A$5:$A$1004,$A640,'AFA Rates'!$B$5:$B$1004,H$23)&gt;0,"Exp","")))</f>
        <v/>
      </c>
      <c r="I640" s="79">
        <f>IF(OR($A640="",I$23=""),"",IF(COUNTIFS('AFA Rates'!$A$5:$A$1004,$A640,'AFA Rates'!$B$5:$B$1004,I$23,'AFA Rates'!$O$5:$O$1004,"&lt;&gt;Expired")&gt;0,"✓",IF(COUNTIFS('AFA Rates'!$A$5:$A$1004,$A640,'AFA Rates'!$B$5:$B$1004,I$23)&gt;0,"Exp","")))</f>
        <v/>
      </c>
      <c r="J640" s="79">
        <f>IF(OR($A640="",J$23=""),"",IF(COUNTIFS('AFA Rates'!$A$5:$A$1004,$A640,'AFA Rates'!$B$5:$B$1004,J$23,'AFA Rates'!$O$5:$O$1004,"&lt;&gt;Expired")&gt;0,"✓",IF(COUNTIFS('AFA Rates'!$A$5:$A$1004,$A640,'AFA Rates'!$B$5:$B$1004,J$23)&gt;0,"Exp","")))</f>
        <v/>
      </c>
      <c r="K640" s="79">
        <f>IF(OR($A640="",K$23=""),"",IF(COUNTIFS('AFA Rates'!$A$5:$A$1004,$A640,'AFA Rates'!$B$5:$B$1004,K$23,'AFA Rates'!$O$5:$O$1004,"&lt;&gt;Expired")&gt;0,"✓",IF(COUNTIFS('AFA Rates'!$A$5:$A$1004,$A640,'AFA Rates'!$B$5:$B$1004,K$23)&gt;0,"Exp","")))</f>
        <v/>
      </c>
      <c r="L640" s="79">
        <f>IF(OR($A640="",L$23=""),"",IF(COUNTIFS('AFA Rates'!$A$5:$A$1004,$A640,'AFA Rates'!$B$5:$B$1004,L$23,'AFA Rates'!$O$5:$O$1004,"&lt;&gt;Expired")&gt;0,"✓",IF(COUNTIFS('AFA Rates'!$A$5:$A$1004,$A640,'AFA Rates'!$B$5:$B$1004,L$23)&gt;0,"Exp","")))</f>
        <v/>
      </c>
      <c r="M640" s="79">
        <f>IF(OR($A640="",M$23=""),"",IF(COUNTIFS('AFA Rates'!$A$5:$A$1004,$A640,'AFA Rates'!$B$5:$B$1004,M$23,'AFA Rates'!$O$5:$O$1004,"&lt;&gt;Expired")&gt;0,"✓",IF(COUNTIFS('AFA Rates'!$A$5:$A$1004,$A640,'AFA Rates'!$B$5:$B$1004,M$23)&gt;0,"Exp","")))</f>
        <v/>
      </c>
    </row>
    <row r="641">
      <c r="A641" s="78">
        <f>IFERROR(INDEX(Firms!$A$5:$A$1004,MATCH(618,Firms!$V$5:$V$1004,0)),"")</f>
        <v/>
      </c>
      <c r="B641" s="79">
        <f>IF($A641="","",INDEX(Firms!$B$5:$B$1004,MATCH(618,Firms!$V$5:$V$1004,0)))</f>
        <v/>
      </c>
      <c r="C641" s="79">
        <f>IF($A641="","",COUNTIFS('AFA Rates'!$A$5:$A$1004,$A641,'AFA Rates'!$O$5:$O$1004,"&lt;&gt;Expired"))</f>
        <v/>
      </c>
      <c r="D641" s="79">
        <f>IF(OR($A641="",D$23=""),"",IF(COUNTIFS('AFA Rates'!$A$5:$A$1004,$A641,'AFA Rates'!$B$5:$B$1004,D$23,'AFA Rates'!$O$5:$O$1004,"&lt;&gt;Expired")&gt;0,"✓",IF(COUNTIFS('AFA Rates'!$A$5:$A$1004,$A641,'AFA Rates'!$B$5:$B$1004,D$23)&gt;0,"Exp","")))</f>
        <v/>
      </c>
      <c r="E641" s="79">
        <f>IF(OR($A641="",E$23=""),"",IF(COUNTIFS('AFA Rates'!$A$5:$A$1004,$A641,'AFA Rates'!$B$5:$B$1004,E$23,'AFA Rates'!$O$5:$O$1004,"&lt;&gt;Expired")&gt;0,"✓",IF(COUNTIFS('AFA Rates'!$A$5:$A$1004,$A641,'AFA Rates'!$B$5:$B$1004,E$23)&gt;0,"Exp","")))</f>
        <v/>
      </c>
      <c r="F641" s="79">
        <f>IF(OR($A641="",F$23=""),"",IF(COUNTIFS('AFA Rates'!$A$5:$A$1004,$A641,'AFA Rates'!$B$5:$B$1004,F$23,'AFA Rates'!$O$5:$O$1004,"&lt;&gt;Expired")&gt;0,"✓",IF(COUNTIFS('AFA Rates'!$A$5:$A$1004,$A641,'AFA Rates'!$B$5:$B$1004,F$23)&gt;0,"Exp","")))</f>
        <v/>
      </c>
      <c r="G641" s="79">
        <f>IF(OR($A641="",G$23=""),"",IF(COUNTIFS('AFA Rates'!$A$5:$A$1004,$A641,'AFA Rates'!$B$5:$B$1004,G$23,'AFA Rates'!$O$5:$O$1004,"&lt;&gt;Expired")&gt;0,"✓",IF(COUNTIFS('AFA Rates'!$A$5:$A$1004,$A641,'AFA Rates'!$B$5:$B$1004,G$23)&gt;0,"Exp","")))</f>
        <v/>
      </c>
      <c r="H641" s="79">
        <f>IF(OR($A641="",H$23=""),"",IF(COUNTIFS('AFA Rates'!$A$5:$A$1004,$A641,'AFA Rates'!$B$5:$B$1004,H$23,'AFA Rates'!$O$5:$O$1004,"&lt;&gt;Expired")&gt;0,"✓",IF(COUNTIFS('AFA Rates'!$A$5:$A$1004,$A641,'AFA Rates'!$B$5:$B$1004,H$23)&gt;0,"Exp","")))</f>
        <v/>
      </c>
      <c r="I641" s="79">
        <f>IF(OR($A641="",I$23=""),"",IF(COUNTIFS('AFA Rates'!$A$5:$A$1004,$A641,'AFA Rates'!$B$5:$B$1004,I$23,'AFA Rates'!$O$5:$O$1004,"&lt;&gt;Expired")&gt;0,"✓",IF(COUNTIFS('AFA Rates'!$A$5:$A$1004,$A641,'AFA Rates'!$B$5:$B$1004,I$23)&gt;0,"Exp","")))</f>
        <v/>
      </c>
      <c r="J641" s="79">
        <f>IF(OR($A641="",J$23=""),"",IF(COUNTIFS('AFA Rates'!$A$5:$A$1004,$A641,'AFA Rates'!$B$5:$B$1004,J$23,'AFA Rates'!$O$5:$O$1004,"&lt;&gt;Expired")&gt;0,"✓",IF(COUNTIFS('AFA Rates'!$A$5:$A$1004,$A641,'AFA Rates'!$B$5:$B$1004,J$23)&gt;0,"Exp","")))</f>
        <v/>
      </c>
      <c r="K641" s="79">
        <f>IF(OR($A641="",K$23=""),"",IF(COUNTIFS('AFA Rates'!$A$5:$A$1004,$A641,'AFA Rates'!$B$5:$B$1004,K$23,'AFA Rates'!$O$5:$O$1004,"&lt;&gt;Expired")&gt;0,"✓",IF(COUNTIFS('AFA Rates'!$A$5:$A$1004,$A641,'AFA Rates'!$B$5:$B$1004,K$23)&gt;0,"Exp","")))</f>
        <v/>
      </c>
      <c r="L641" s="79">
        <f>IF(OR($A641="",L$23=""),"",IF(COUNTIFS('AFA Rates'!$A$5:$A$1004,$A641,'AFA Rates'!$B$5:$B$1004,L$23,'AFA Rates'!$O$5:$O$1004,"&lt;&gt;Expired")&gt;0,"✓",IF(COUNTIFS('AFA Rates'!$A$5:$A$1004,$A641,'AFA Rates'!$B$5:$B$1004,L$23)&gt;0,"Exp","")))</f>
        <v/>
      </c>
      <c r="M641" s="79">
        <f>IF(OR($A641="",M$23=""),"",IF(COUNTIFS('AFA Rates'!$A$5:$A$1004,$A641,'AFA Rates'!$B$5:$B$1004,M$23,'AFA Rates'!$O$5:$O$1004,"&lt;&gt;Expired")&gt;0,"✓",IF(COUNTIFS('AFA Rates'!$A$5:$A$1004,$A641,'AFA Rates'!$B$5:$B$1004,M$23)&gt;0,"Exp","")))</f>
        <v/>
      </c>
    </row>
    <row r="642">
      <c r="A642" s="78">
        <f>IFERROR(INDEX(Firms!$A$5:$A$1004,MATCH(619,Firms!$V$5:$V$1004,0)),"")</f>
        <v/>
      </c>
      <c r="B642" s="79">
        <f>IF($A642="","",INDEX(Firms!$B$5:$B$1004,MATCH(619,Firms!$V$5:$V$1004,0)))</f>
        <v/>
      </c>
      <c r="C642" s="79">
        <f>IF($A642="","",COUNTIFS('AFA Rates'!$A$5:$A$1004,$A642,'AFA Rates'!$O$5:$O$1004,"&lt;&gt;Expired"))</f>
        <v/>
      </c>
      <c r="D642" s="79">
        <f>IF(OR($A642="",D$23=""),"",IF(COUNTIFS('AFA Rates'!$A$5:$A$1004,$A642,'AFA Rates'!$B$5:$B$1004,D$23,'AFA Rates'!$O$5:$O$1004,"&lt;&gt;Expired")&gt;0,"✓",IF(COUNTIFS('AFA Rates'!$A$5:$A$1004,$A642,'AFA Rates'!$B$5:$B$1004,D$23)&gt;0,"Exp","")))</f>
        <v/>
      </c>
      <c r="E642" s="79">
        <f>IF(OR($A642="",E$23=""),"",IF(COUNTIFS('AFA Rates'!$A$5:$A$1004,$A642,'AFA Rates'!$B$5:$B$1004,E$23,'AFA Rates'!$O$5:$O$1004,"&lt;&gt;Expired")&gt;0,"✓",IF(COUNTIFS('AFA Rates'!$A$5:$A$1004,$A642,'AFA Rates'!$B$5:$B$1004,E$23)&gt;0,"Exp","")))</f>
        <v/>
      </c>
      <c r="F642" s="79">
        <f>IF(OR($A642="",F$23=""),"",IF(COUNTIFS('AFA Rates'!$A$5:$A$1004,$A642,'AFA Rates'!$B$5:$B$1004,F$23,'AFA Rates'!$O$5:$O$1004,"&lt;&gt;Expired")&gt;0,"✓",IF(COUNTIFS('AFA Rates'!$A$5:$A$1004,$A642,'AFA Rates'!$B$5:$B$1004,F$23)&gt;0,"Exp","")))</f>
        <v/>
      </c>
      <c r="G642" s="79">
        <f>IF(OR($A642="",G$23=""),"",IF(COUNTIFS('AFA Rates'!$A$5:$A$1004,$A642,'AFA Rates'!$B$5:$B$1004,G$23,'AFA Rates'!$O$5:$O$1004,"&lt;&gt;Expired")&gt;0,"✓",IF(COUNTIFS('AFA Rates'!$A$5:$A$1004,$A642,'AFA Rates'!$B$5:$B$1004,G$23)&gt;0,"Exp","")))</f>
        <v/>
      </c>
      <c r="H642" s="79">
        <f>IF(OR($A642="",H$23=""),"",IF(COUNTIFS('AFA Rates'!$A$5:$A$1004,$A642,'AFA Rates'!$B$5:$B$1004,H$23,'AFA Rates'!$O$5:$O$1004,"&lt;&gt;Expired")&gt;0,"✓",IF(COUNTIFS('AFA Rates'!$A$5:$A$1004,$A642,'AFA Rates'!$B$5:$B$1004,H$23)&gt;0,"Exp","")))</f>
        <v/>
      </c>
      <c r="I642" s="79">
        <f>IF(OR($A642="",I$23=""),"",IF(COUNTIFS('AFA Rates'!$A$5:$A$1004,$A642,'AFA Rates'!$B$5:$B$1004,I$23,'AFA Rates'!$O$5:$O$1004,"&lt;&gt;Expired")&gt;0,"✓",IF(COUNTIFS('AFA Rates'!$A$5:$A$1004,$A642,'AFA Rates'!$B$5:$B$1004,I$23)&gt;0,"Exp","")))</f>
        <v/>
      </c>
      <c r="J642" s="79">
        <f>IF(OR($A642="",J$23=""),"",IF(COUNTIFS('AFA Rates'!$A$5:$A$1004,$A642,'AFA Rates'!$B$5:$B$1004,J$23,'AFA Rates'!$O$5:$O$1004,"&lt;&gt;Expired")&gt;0,"✓",IF(COUNTIFS('AFA Rates'!$A$5:$A$1004,$A642,'AFA Rates'!$B$5:$B$1004,J$23)&gt;0,"Exp","")))</f>
        <v/>
      </c>
      <c r="K642" s="79">
        <f>IF(OR($A642="",K$23=""),"",IF(COUNTIFS('AFA Rates'!$A$5:$A$1004,$A642,'AFA Rates'!$B$5:$B$1004,K$23,'AFA Rates'!$O$5:$O$1004,"&lt;&gt;Expired")&gt;0,"✓",IF(COUNTIFS('AFA Rates'!$A$5:$A$1004,$A642,'AFA Rates'!$B$5:$B$1004,K$23)&gt;0,"Exp","")))</f>
        <v/>
      </c>
      <c r="L642" s="79">
        <f>IF(OR($A642="",L$23=""),"",IF(COUNTIFS('AFA Rates'!$A$5:$A$1004,$A642,'AFA Rates'!$B$5:$B$1004,L$23,'AFA Rates'!$O$5:$O$1004,"&lt;&gt;Expired")&gt;0,"✓",IF(COUNTIFS('AFA Rates'!$A$5:$A$1004,$A642,'AFA Rates'!$B$5:$B$1004,L$23)&gt;0,"Exp","")))</f>
        <v/>
      </c>
      <c r="M642" s="79">
        <f>IF(OR($A642="",M$23=""),"",IF(COUNTIFS('AFA Rates'!$A$5:$A$1004,$A642,'AFA Rates'!$B$5:$B$1004,M$23,'AFA Rates'!$O$5:$O$1004,"&lt;&gt;Expired")&gt;0,"✓",IF(COUNTIFS('AFA Rates'!$A$5:$A$1004,$A642,'AFA Rates'!$B$5:$B$1004,M$23)&gt;0,"Exp","")))</f>
        <v/>
      </c>
    </row>
    <row r="643">
      <c r="A643" s="78">
        <f>IFERROR(INDEX(Firms!$A$5:$A$1004,MATCH(620,Firms!$V$5:$V$1004,0)),"")</f>
        <v/>
      </c>
      <c r="B643" s="79">
        <f>IF($A643="","",INDEX(Firms!$B$5:$B$1004,MATCH(620,Firms!$V$5:$V$1004,0)))</f>
        <v/>
      </c>
      <c r="C643" s="79">
        <f>IF($A643="","",COUNTIFS('AFA Rates'!$A$5:$A$1004,$A643,'AFA Rates'!$O$5:$O$1004,"&lt;&gt;Expired"))</f>
        <v/>
      </c>
      <c r="D643" s="79">
        <f>IF(OR($A643="",D$23=""),"",IF(COUNTIFS('AFA Rates'!$A$5:$A$1004,$A643,'AFA Rates'!$B$5:$B$1004,D$23,'AFA Rates'!$O$5:$O$1004,"&lt;&gt;Expired")&gt;0,"✓",IF(COUNTIFS('AFA Rates'!$A$5:$A$1004,$A643,'AFA Rates'!$B$5:$B$1004,D$23)&gt;0,"Exp","")))</f>
        <v/>
      </c>
      <c r="E643" s="79">
        <f>IF(OR($A643="",E$23=""),"",IF(COUNTIFS('AFA Rates'!$A$5:$A$1004,$A643,'AFA Rates'!$B$5:$B$1004,E$23,'AFA Rates'!$O$5:$O$1004,"&lt;&gt;Expired")&gt;0,"✓",IF(COUNTIFS('AFA Rates'!$A$5:$A$1004,$A643,'AFA Rates'!$B$5:$B$1004,E$23)&gt;0,"Exp","")))</f>
        <v/>
      </c>
      <c r="F643" s="79">
        <f>IF(OR($A643="",F$23=""),"",IF(COUNTIFS('AFA Rates'!$A$5:$A$1004,$A643,'AFA Rates'!$B$5:$B$1004,F$23,'AFA Rates'!$O$5:$O$1004,"&lt;&gt;Expired")&gt;0,"✓",IF(COUNTIFS('AFA Rates'!$A$5:$A$1004,$A643,'AFA Rates'!$B$5:$B$1004,F$23)&gt;0,"Exp","")))</f>
        <v/>
      </c>
      <c r="G643" s="79">
        <f>IF(OR($A643="",G$23=""),"",IF(COUNTIFS('AFA Rates'!$A$5:$A$1004,$A643,'AFA Rates'!$B$5:$B$1004,G$23,'AFA Rates'!$O$5:$O$1004,"&lt;&gt;Expired")&gt;0,"✓",IF(COUNTIFS('AFA Rates'!$A$5:$A$1004,$A643,'AFA Rates'!$B$5:$B$1004,G$23)&gt;0,"Exp","")))</f>
        <v/>
      </c>
      <c r="H643" s="79">
        <f>IF(OR($A643="",H$23=""),"",IF(COUNTIFS('AFA Rates'!$A$5:$A$1004,$A643,'AFA Rates'!$B$5:$B$1004,H$23,'AFA Rates'!$O$5:$O$1004,"&lt;&gt;Expired")&gt;0,"✓",IF(COUNTIFS('AFA Rates'!$A$5:$A$1004,$A643,'AFA Rates'!$B$5:$B$1004,H$23)&gt;0,"Exp","")))</f>
        <v/>
      </c>
      <c r="I643" s="79">
        <f>IF(OR($A643="",I$23=""),"",IF(COUNTIFS('AFA Rates'!$A$5:$A$1004,$A643,'AFA Rates'!$B$5:$B$1004,I$23,'AFA Rates'!$O$5:$O$1004,"&lt;&gt;Expired")&gt;0,"✓",IF(COUNTIFS('AFA Rates'!$A$5:$A$1004,$A643,'AFA Rates'!$B$5:$B$1004,I$23)&gt;0,"Exp","")))</f>
        <v/>
      </c>
      <c r="J643" s="79">
        <f>IF(OR($A643="",J$23=""),"",IF(COUNTIFS('AFA Rates'!$A$5:$A$1004,$A643,'AFA Rates'!$B$5:$B$1004,J$23,'AFA Rates'!$O$5:$O$1004,"&lt;&gt;Expired")&gt;0,"✓",IF(COUNTIFS('AFA Rates'!$A$5:$A$1004,$A643,'AFA Rates'!$B$5:$B$1004,J$23)&gt;0,"Exp","")))</f>
        <v/>
      </c>
      <c r="K643" s="79">
        <f>IF(OR($A643="",K$23=""),"",IF(COUNTIFS('AFA Rates'!$A$5:$A$1004,$A643,'AFA Rates'!$B$5:$B$1004,K$23,'AFA Rates'!$O$5:$O$1004,"&lt;&gt;Expired")&gt;0,"✓",IF(COUNTIFS('AFA Rates'!$A$5:$A$1004,$A643,'AFA Rates'!$B$5:$B$1004,K$23)&gt;0,"Exp","")))</f>
        <v/>
      </c>
      <c r="L643" s="79">
        <f>IF(OR($A643="",L$23=""),"",IF(COUNTIFS('AFA Rates'!$A$5:$A$1004,$A643,'AFA Rates'!$B$5:$B$1004,L$23,'AFA Rates'!$O$5:$O$1004,"&lt;&gt;Expired")&gt;0,"✓",IF(COUNTIFS('AFA Rates'!$A$5:$A$1004,$A643,'AFA Rates'!$B$5:$B$1004,L$23)&gt;0,"Exp","")))</f>
        <v/>
      </c>
      <c r="M643" s="79">
        <f>IF(OR($A643="",M$23=""),"",IF(COUNTIFS('AFA Rates'!$A$5:$A$1004,$A643,'AFA Rates'!$B$5:$B$1004,M$23,'AFA Rates'!$O$5:$O$1004,"&lt;&gt;Expired")&gt;0,"✓",IF(COUNTIFS('AFA Rates'!$A$5:$A$1004,$A643,'AFA Rates'!$B$5:$B$1004,M$23)&gt;0,"Exp","")))</f>
        <v/>
      </c>
    </row>
    <row r="644">
      <c r="A644" s="78">
        <f>IFERROR(INDEX(Firms!$A$5:$A$1004,MATCH(621,Firms!$V$5:$V$1004,0)),"")</f>
        <v/>
      </c>
      <c r="B644" s="79">
        <f>IF($A644="","",INDEX(Firms!$B$5:$B$1004,MATCH(621,Firms!$V$5:$V$1004,0)))</f>
        <v/>
      </c>
      <c r="C644" s="79">
        <f>IF($A644="","",COUNTIFS('AFA Rates'!$A$5:$A$1004,$A644,'AFA Rates'!$O$5:$O$1004,"&lt;&gt;Expired"))</f>
        <v/>
      </c>
      <c r="D644" s="79">
        <f>IF(OR($A644="",D$23=""),"",IF(COUNTIFS('AFA Rates'!$A$5:$A$1004,$A644,'AFA Rates'!$B$5:$B$1004,D$23,'AFA Rates'!$O$5:$O$1004,"&lt;&gt;Expired")&gt;0,"✓",IF(COUNTIFS('AFA Rates'!$A$5:$A$1004,$A644,'AFA Rates'!$B$5:$B$1004,D$23)&gt;0,"Exp","")))</f>
        <v/>
      </c>
      <c r="E644" s="79">
        <f>IF(OR($A644="",E$23=""),"",IF(COUNTIFS('AFA Rates'!$A$5:$A$1004,$A644,'AFA Rates'!$B$5:$B$1004,E$23,'AFA Rates'!$O$5:$O$1004,"&lt;&gt;Expired")&gt;0,"✓",IF(COUNTIFS('AFA Rates'!$A$5:$A$1004,$A644,'AFA Rates'!$B$5:$B$1004,E$23)&gt;0,"Exp","")))</f>
        <v/>
      </c>
      <c r="F644" s="79">
        <f>IF(OR($A644="",F$23=""),"",IF(COUNTIFS('AFA Rates'!$A$5:$A$1004,$A644,'AFA Rates'!$B$5:$B$1004,F$23,'AFA Rates'!$O$5:$O$1004,"&lt;&gt;Expired")&gt;0,"✓",IF(COUNTIFS('AFA Rates'!$A$5:$A$1004,$A644,'AFA Rates'!$B$5:$B$1004,F$23)&gt;0,"Exp","")))</f>
        <v/>
      </c>
      <c r="G644" s="79">
        <f>IF(OR($A644="",G$23=""),"",IF(COUNTIFS('AFA Rates'!$A$5:$A$1004,$A644,'AFA Rates'!$B$5:$B$1004,G$23,'AFA Rates'!$O$5:$O$1004,"&lt;&gt;Expired")&gt;0,"✓",IF(COUNTIFS('AFA Rates'!$A$5:$A$1004,$A644,'AFA Rates'!$B$5:$B$1004,G$23)&gt;0,"Exp","")))</f>
        <v/>
      </c>
      <c r="H644" s="79">
        <f>IF(OR($A644="",H$23=""),"",IF(COUNTIFS('AFA Rates'!$A$5:$A$1004,$A644,'AFA Rates'!$B$5:$B$1004,H$23,'AFA Rates'!$O$5:$O$1004,"&lt;&gt;Expired")&gt;0,"✓",IF(COUNTIFS('AFA Rates'!$A$5:$A$1004,$A644,'AFA Rates'!$B$5:$B$1004,H$23)&gt;0,"Exp","")))</f>
        <v/>
      </c>
      <c r="I644" s="79">
        <f>IF(OR($A644="",I$23=""),"",IF(COUNTIFS('AFA Rates'!$A$5:$A$1004,$A644,'AFA Rates'!$B$5:$B$1004,I$23,'AFA Rates'!$O$5:$O$1004,"&lt;&gt;Expired")&gt;0,"✓",IF(COUNTIFS('AFA Rates'!$A$5:$A$1004,$A644,'AFA Rates'!$B$5:$B$1004,I$23)&gt;0,"Exp","")))</f>
        <v/>
      </c>
      <c r="J644" s="79">
        <f>IF(OR($A644="",J$23=""),"",IF(COUNTIFS('AFA Rates'!$A$5:$A$1004,$A644,'AFA Rates'!$B$5:$B$1004,J$23,'AFA Rates'!$O$5:$O$1004,"&lt;&gt;Expired")&gt;0,"✓",IF(COUNTIFS('AFA Rates'!$A$5:$A$1004,$A644,'AFA Rates'!$B$5:$B$1004,J$23)&gt;0,"Exp","")))</f>
        <v/>
      </c>
      <c r="K644" s="79">
        <f>IF(OR($A644="",K$23=""),"",IF(COUNTIFS('AFA Rates'!$A$5:$A$1004,$A644,'AFA Rates'!$B$5:$B$1004,K$23,'AFA Rates'!$O$5:$O$1004,"&lt;&gt;Expired")&gt;0,"✓",IF(COUNTIFS('AFA Rates'!$A$5:$A$1004,$A644,'AFA Rates'!$B$5:$B$1004,K$23)&gt;0,"Exp","")))</f>
        <v/>
      </c>
      <c r="L644" s="79">
        <f>IF(OR($A644="",L$23=""),"",IF(COUNTIFS('AFA Rates'!$A$5:$A$1004,$A644,'AFA Rates'!$B$5:$B$1004,L$23,'AFA Rates'!$O$5:$O$1004,"&lt;&gt;Expired")&gt;0,"✓",IF(COUNTIFS('AFA Rates'!$A$5:$A$1004,$A644,'AFA Rates'!$B$5:$B$1004,L$23)&gt;0,"Exp","")))</f>
        <v/>
      </c>
      <c r="M644" s="79">
        <f>IF(OR($A644="",M$23=""),"",IF(COUNTIFS('AFA Rates'!$A$5:$A$1004,$A644,'AFA Rates'!$B$5:$B$1004,M$23,'AFA Rates'!$O$5:$O$1004,"&lt;&gt;Expired")&gt;0,"✓",IF(COUNTIFS('AFA Rates'!$A$5:$A$1004,$A644,'AFA Rates'!$B$5:$B$1004,M$23)&gt;0,"Exp","")))</f>
        <v/>
      </c>
    </row>
    <row r="645">
      <c r="A645" s="78">
        <f>IFERROR(INDEX(Firms!$A$5:$A$1004,MATCH(622,Firms!$V$5:$V$1004,0)),"")</f>
        <v/>
      </c>
      <c r="B645" s="79">
        <f>IF($A645="","",INDEX(Firms!$B$5:$B$1004,MATCH(622,Firms!$V$5:$V$1004,0)))</f>
        <v/>
      </c>
      <c r="C645" s="79">
        <f>IF($A645="","",COUNTIFS('AFA Rates'!$A$5:$A$1004,$A645,'AFA Rates'!$O$5:$O$1004,"&lt;&gt;Expired"))</f>
        <v/>
      </c>
      <c r="D645" s="79">
        <f>IF(OR($A645="",D$23=""),"",IF(COUNTIFS('AFA Rates'!$A$5:$A$1004,$A645,'AFA Rates'!$B$5:$B$1004,D$23,'AFA Rates'!$O$5:$O$1004,"&lt;&gt;Expired")&gt;0,"✓",IF(COUNTIFS('AFA Rates'!$A$5:$A$1004,$A645,'AFA Rates'!$B$5:$B$1004,D$23)&gt;0,"Exp","")))</f>
        <v/>
      </c>
      <c r="E645" s="79">
        <f>IF(OR($A645="",E$23=""),"",IF(COUNTIFS('AFA Rates'!$A$5:$A$1004,$A645,'AFA Rates'!$B$5:$B$1004,E$23,'AFA Rates'!$O$5:$O$1004,"&lt;&gt;Expired")&gt;0,"✓",IF(COUNTIFS('AFA Rates'!$A$5:$A$1004,$A645,'AFA Rates'!$B$5:$B$1004,E$23)&gt;0,"Exp","")))</f>
        <v/>
      </c>
      <c r="F645" s="79">
        <f>IF(OR($A645="",F$23=""),"",IF(COUNTIFS('AFA Rates'!$A$5:$A$1004,$A645,'AFA Rates'!$B$5:$B$1004,F$23,'AFA Rates'!$O$5:$O$1004,"&lt;&gt;Expired")&gt;0,"✓",IF(COUNTIFS('AFA Rates'!$A$5:$A$1004,$A645,'AFA Rates'!$B$5:$B$1004,F$23)&gt;0,"Exp","")))</f>
        <v/>
      </c>
      <c r="G645" s="79">
        <f>IF(OR($A645="",G$23=""),"",IF(COUNTIFS('AFA Rates'!$A$5:$A$1004,$A645,'AFA Rates'!$B$5:$B$1004,G$23,'AFA Rates'!$O$5:$O$1004,"&lt;&gt;Expired")&gt;0,"✓",IF(COUNTIFS('AFA Rates'!$A$5:$A$1004,$A645,'AFA Rates'!$B$5:$B$1004,G$23)&gt;0,"Exp","")))</f>
        <v/>
      </c>
      <c r="H645" s="79">
        <f>IF(OR($A645="",H$23=""),"",IF(COUNTIFS('AFA Rates'!$A$5:$A$1004,$A645,'AFA Rates'!$B$5:$B$1004,H$23,'AFA Rates'!$O$5:$O$1004,"&lt;&gt;Expired")&gt;0,"✓",IF(COUNTIFS('AFA Rates'!$A$5:$A$1004,$A645,'AFA Rates'!$B$5:$B$1004,H$23)&gt;0,"Exp","")))</f>
        <v/>
      </c>
      <c r="I645" s="79">
        <f>IF(OR($A645="",I$23=""),"",IF(COUNTIFS('AFA Rates'!$A$5:$A$1004,$A645,'AFA Rates'!$B$5:$B$1004,I$23,'AFA Rates'!$O$5:$O$1004,"&lt;&gt;Expired")&gt;0,"✓",IF(COUNTIFS('AFA Rates'!$A$5:$A$1004,$A645,'AFA Rates'!$B$5:$B$1004,I$23)&gt;0,"Exp","")))</f>
        <v/>
      </c>
      <c r="J645" s="79">
        <f>IF(OR($A645="",J$23=""),"",IF(COUNTIFS('AFA Rates'!$A$5:$A$1004,$A645,'AFA Rates'!$B$5:$B$1004,J$23,'AFA Rates'!$O$5:$O$1004,"&lt;&gt;Expired")&gt;0,"✓",IF(COUNTIFS('AFA Rates'!$A$5:$A$1004,$A645,'AFA Rates'!$B$5:$B$1004,J$23)&gt;0,"Exp","")))</f>
        <v/>
      </c>
      <c r="K645" s="79">
        <f>IF(OR($A645="",K$23=""),"",IF(COUNTIFS('AFA Rates'!$A$5:$A$1004,$A645,'AFA Rates'!$B$5:$B$1004,K$23,'AFA Rates'!$O$5:$O$1004,"&lt;&gt;Expired")&gt;0,"✓",IF(COUNTIFS('AFA Rates'!$A$5:$A$1004,$A645,'AFA Rates'!$B$5:$B$1004,K$23)&gt;0,"Exp","")))</f>
        <v/>
      </c>
      <c r="L645" s="79">
        <f>IF(OR($A645="",L$23=""),"",IF(COUNTIFS('AFA Rates'!$A$5:$A$1004,$A645,'AFA Rates'!$B$5:$B$1004,L$23,'AFA Rates'!$O$5:$O$1004,"&lt;&gt;Expired")&gt;0,"✓",IF(COUNTIFS('AFA Rates'!$A$5:$A$1004,$A645,'AFA Rates'!$B$5:$B$1004,L$23)&gt;0,"Exp","")))</f>
        <v/>
      </c>
      <c r="M645" s="79">
        <f>IF(OR($A645="",M$23=""),"",IF(COUNTIFS('AFA Rates'!$A$5:$A$1004,$A645,'AFA Rates'!$B$5:$B$1004,M$23,'AFA Rates'!$O$5:$O$1004,"&lt;&gt;Expired")&gt;0,"✓",IF(COUNTIFS('AFA Rates'!$A$5:$A$1004,$A645,'AFA Rates'!$B$5:$B$1004,M$23)&gt;0,"Exp","")))</f>
        <v/>
      </c>
    </row>
    <row r="646">
      <c r="A646" s="78">
        <f>IFERROR(INDEX(Firms!$A$5:$A$1004,MATCH(623,Firms!$V$5:$V$1004,0)),"")</f>
        <v/>
      </c>
      <c r="B646" s="79">
        <f>IF($A646="","",INDEX(Firms!$B$5:$B$1004,MATCH(623,Firms!$V$5:$V$1004,0)))</f>
        <v/>
      </c>
      <c r="C646" s="79">
        <f>IF($A646="","",COUNTIFS('AFA Rates'!$A$5:$A$1004,$A646,'AFA Rates'!$O$5:$O$1004,"&lt;&gt;Expired"))</f>
        <v/>
      </c>
      <c r="D646" s="79">
        <f>IF(OR($A646="",D$23=""),"",IF(COUNTIFS('AFA Rates'!$A$5:$A$1004,$A646,'AFA Rates'!$B$5:$B$1004,D$23,'AFA Rates'!$O$5:$O$1004,"&lt;&gt;Expired")&gt;0,"✓",IF(COUNTIFS('AFA Rates'!$A$5:$A$1004,$A646,'AFA Rates'!$B$5:$B$1004,D$23)&gt;0,"Exp","")))</f>
        <v/>
      </c>
      <c r="E646" s="79">
        <f>IF(OR($A646="",E$23=""),"",IF(COUNTIFS('AFA Rates'!$A$5:$A$1004,$A646,'AFA Rates'!$B$5:$B$1004,E$23,'AFA Rates'!$O$5:$O$1004,"&lt;&gt;Expired")&gt;0,"✓",IF(COUNTIFS('AFA Rates'!$A$5:$A$1004,$A646,'AFA Rates'!$B$5:$B$1004,E$23)&gt;0,"Exp","")))</f>
        <v/>
      </c>
      <c r="F646" s="79">
        <f>IF(OR($A646="",F$23=""),"",IF(COUNTIFS('AFA Rates'!$A$5:$A$1004,$A646,'AFA Rates'!$B$5:$B$1004,F$23,'AFA Rates'!$O$5:$O$1004,"&lt;&gt;Expired")&gt;0,"✓",IF(COUNTIFS('AFA Rates'!$A$5:$A$1004,$A646,'AFA Rates'!$B$5:$B$1004,F$23)&gt;0,"Exp","")))</f>
        <v/>
      </c>
      <c r="G646" s="79">
        <f>IF(OR($A646="",G$23=""),"",IF(COUNTIFS('AFA Rates'!$A$5:$A$1004,$A646,'AFA Rates'!$B$5:$B$1004,G$23,'AFA Rates'!$O$5:$O$1004,"&lt;&gt;Expired")&gt;0,"✓",IF(COUNTIFS('AFA Rates'!$A$5:$A$1004,$A646,'AFA Rates'!$B$5:$B$1004,G$23)&gt;0,"Exp","")))</f>
        <v/>
      </c>
      <c r="H646" s="79">
        <f>IF(OR($A646="",H$23=""),"",IF(COUNTIFS('AFA Rates'!$A$5:$A$1004,$A646,'AFA Rates'!$B$5:$B$1004,H$23,'AFA Rates'!$O$5:$O$1004,"&lt;&gt;Expired")&gt;0,"✓",IF(COUNTIFS('AFA Rates'!$A$5:$A$1004,$A646,'AFA Rates'!$B$5:$B$1004,H$23)&gt;0,"Exp","")))</f>
        <v/>
      </c>
      <c r="I646" s="79">
        <f>IF(OR($A646="",I$23=""),"",IF(COUNTIFS('AFA Rates'!$A$5:$A$1004,$A646,'AFA Rates'!$B$5:$B$1004,I$23,'AFA Rates'!$O$5:$O$1004,"&lt;&gt;Expired")&gt;0,"✓",IF(COUNTIFS('AFA Rates'!$A$5:$A$1004,$A646,'AFA Rates'!$B$5:$B$1004,I$23)&gt;0,"Exp","")))</f>
        <v/>
      </c>
      <c r="J646" s="79">
        <f>IF(OR($A646="",J$23=""),"",IF(COUNTIFS('AFA Rates'!$A$5:$A$1004,$A646,'AFA Rates'!$B$5:$B$1004,J$23,'AFA Rates'!$O$5:$O$1004,"&lt;&gt;Expired")&gt;0,"✓",IF(COUNTIFS('AFA Rates'!$A$5:$A$1004,$A646,'AFA Rates'!$B$5:$B$1004,J$23)&gt;0,"Exp","")))</f>
        <v/>
      </c>
      <c r="K646" s="79">
        <f>IF(OR($A646="",K$23=""),"",IF(COUNTIFS('AFA Rates'!$A$5:$A$1004,$A646,'AFA Rates'!$B$5:$B$1004,K$23,'AFA Rates'!$O$5:$O$1004,"&lt;&gt;Expired")&gt;0,"✓",IF(COUNTIFS('AFA Rates'!$A$5:$A$1004,$A646,'AFA Rates'!$B$5:$B$1004,K$23)&gt;0,"Exp","")))</f>
        <v/>
      </c>
      <c r="L646" s="79">
        <f>IF(OR($A646="",L$23=""),"",IF(COUNTIFS('AFA Rates'!$A$5:$A$1004,$A646,'AFA Rates'!$B$5:$B$1004,L$23,'AFA Rates'!$O$5:$O$1004,"&lt;&gt;Expired")&gt;0,"✓",IF(COUNTIFS('AFA Rates'!$A$5:$A$1004,$A646,'AFA Rates'!$B$5:$B$1004,L$23)&gt;0,"Exp","")))</f>
        <v/>
      </c>
      <c r="M646" s="79">
        <f>IF(OR($A646="",M$23=""),"",IF(COUNTIFS('AFA Rates'!$A$5:$A$1004,$A646,'AFA Rates'!$B$5:$B$1004,M$23,'AFA Rates'!$O$5:$O$1004,"&lt;&gt;Expired")&gt;0,"✓",IF(COUNTIFS('AFA Rates'!$A$5:$A$1004,$A646,'AFA Rates'!$B$5:$B$1004,M$23)&gt;0,"Exp","")))</f>
        <v/>
      </c>
    </row>
    <row r="647">
      <c r="A647" s="78">
        <f>IFERROR(INDEX(Firms!$A$5:$A$1004,MATCH(624,Firms!$V$5:$V$1004,0)),"")</f>
        <v/>
      </c>
      <c r="B647" s="79">
        <f>IF($A647="","",INDEX(Firms!$B$5:$B$1004,MATCH(624,Firms!$V$5:$V$1004,0)))</f>
        <v/>
      </c>
      <c r="C647" s="79">
        <f>IF($A647="","",COUNTIFS('AFA Rates'!$A$5:$A$1004,$A647,'AFA Rates'!$O$5:$O$1004,"&lt;&gt;Expired"))</f>
        <v/>
      </c>
      <c r="D647" s="79">
        <f>IF(OR($A647="",D$23=""),"",IF(COUNTIFS('AFA Rates'!$A$5:$A$1004,$A647,'AFA Rates'!$B$5:$B$1004,D$23,'AFA Rates'!$O$5:$O$1004,"&lt;&gt;Expired")&gt;0,"✓",IF(COUNTIFS('AFA Rates'!$A$5:$A$1004,$A647,'AFA Rates'!$B$5:$B$1004,D$23)&gt;0,"Exp","")))</f>
        <v/>
      </c>
      <c r="E647" s="79">
        <f>IF(OR($A647="",E$23=""),"",IF(COUNTIFS('AFA Rates'!$A$5:$A$1004,$A647,'AFA Rates'!$B$5:$B$1004,E$23,'AFA Rates'!$O$5:$O$1004,"&lt;&gt;Expired")&gt;0,"✓",IF(COUNTIFS('AFA Rates'!$A$5:$A$1004,$A647,'AFA Rates'!$B$5:$B$1004,E$23)&gt;0,"Exp","")))</f>
        <v/>
      </c>
      <c r="F647" s="79">
        <f>IF(OR($A647="",F$23=""),"",IF(COUNTIFS('AFA Rates'!$A$5:$A$1004,$A647,'AFA Rates'!$B$5:$B$1004,F$23,'AFA Rates'!$O$5:$O$1004,"&lt;&gt;Expired")&gt;0,"✓",IF(COUNTIFS('AFA Rates'!$A$5:$A$1004,$A647,'AFA Rates'!$B$5:$B$1004,F$23)&gt;0,"Exp","")))</f>
        <v/>
      </c>
      <c r="G647" s="79">
        <f>IF(OR($A647="",G$23=""),"",IF(COUNTIFS('AFA Rates'!$A$5:$A$1004,$A647,'AFA Rates'!$B$5:$B$1004,G$23,'AFA Rates'!$O$5:$O$1004,"&lt;&gt;Expired")&gt;0,"✓",IF(COUNTIFS('AFA Rates'!$A$5:$A$1004,$A647,'AFA Rates'!$B$5:$B$1004,G$23)&gt;0,"Exp","")))</f>
        <v/>
      </c>
      <c r="H647" s="79">
        <f>IF(OR($A647="",H$23=""),"",IF(COUNTIFS('AFA Rates'!$A$5:$A$1004,$A647,'AFA Rates'!$B$5:$B$1004,H$23,'AFA Rates'!$O$5:$O$1004,"&lt;&gt;Expired")&gt;0,"✓",IF(COUNTIFS('AFA Rates'!$A$5:$A$1004,$A647,'AFA Rates'!$B$5:$B$1004,H$23)&gt;0,"Exp","")))</f>
        <v/>
      </c>
      <c r="I647" s="79">
        <f>IF(OR($A647="",I$23=""),"",IF(COUNTIFS('AFA Rates'!$A$5:$A$1004,$A647,'AFA Rates'!$B$5:$B$1004,I$23,'AFA Rates'!$O$5:$O$1004,"&lt;&gt;Expired")&gt;0,"✓",IF(COUNTIFS('AFA Rates'!$A$5:$A$1004,$A647,'AFA Rates'!$B$5:$B$1004,I$23)&gt;0,"Exp","")))</f>
        <v/>
      </c>
      <c r="J647" s="79">
        <f>IF(OR($A647="",J$23=""),"",IF(COUNTIFS('AFA Rates'!$A$5:$A$1004,$A647,'AFA Rates'!$B$5:$B$1004,J$23,'AFA Rates'!$O$5:$O$1004,"&lt;&gt;Expired")&gt;0,"✓",IF(COUNTIFS('AFA Rates'!$A$5:$A$1004,$A647,'AFA Rates'!$B$5:$B$1004,J$23)&gt;0,"Exp","")))</f>
        <v/>
      </c>
      <c r="K647" s="79">
        <f>IF(OR($A647="",K$23=""),"",IF(COUNTIFS('AFA Rates'!$A$5:$A$1004,$A647,'AFA Rates'!$B$5:$B$1004,K$23,'AFA Rates'!$O$5:$O$1004,"&lt;&gt;Expired")&gt;0,"✓",IF(COUNTIFS('AFA Rates'!$A$5:$A$1004,$A647,'AFA Rates'!$B$5:$B$1004,K$23)&gt;0,"Exp","")))</f>
        <v/>
      </c>
      <c r="L647" s="79">
        <f>IF(OR($A647="",L$23=""),"",IF(COUNTIFS('AFA Rates'!$A$5:$A$1004,$A647,'AFA Rates'!$B$5:$B$1004,L$23,'AFA Rates'!$O$5:$O$1004,"&lt;&gt;Expired")&gt;0,"✓",IF(COUNTIFS('AFA Rates'!$A$5:$A$1004,$A647,'AFA Rates'!$B$5:$B$1004,L$23)&gt;0,"Exp","")))</f>
        <v/>
      </c>
      <c r="M647" s="79">
        <f>IF(OR($A647="",M$23=""),"",IF(COUNTIFS('AFA Rates'!$A$5:$A$1004,$A647,'AFA Rates'!$B$5:$B$1004,M$23,'AFA Rates'!$O$5:$O$1004,"&lt;&gt;Expired")&gt;0,"✓",IF(COUNTIFS('AFA Rates'!$A$5:$A$1004,$A647,'AFA Rates'!$B$5:$B$1004,M$23)&gt;0,"Exp","")))</f>
        <v/>
      </c>
    </row>
    <row r="648">
      <c r="A648" s="78">
        <f>IFERROR(INDEX(Firms!$A$5:$A$1004,MATCH(625,Firms!$V$5:$V$1004,0)),"")</f>
        <v/>
      </c>
      <c r="B648" s="79">
        <f>IF($A648="","",INDEX(Firms!$B$5:$B$1004,MATCH(625,Firms!$V$5:$V$1004,0)))</f>
        <v/>
      </c>
      <c r="C648" s="79">
        <f>IF($A648="","",COUNTIFS('AFA Rates'!$A$5:$A$1004,$A648,'AFA Rates'!$O$5:$O$1004,"&lt;&gt;Expired"))</f>
        <v/>
      </c>
      <c r="D648" s="79">
        <f>IF(OR($A648="",D$23=""),"",IF(COUNTIFS('AFA Rates'!$A$5:$A$1004,$A648,'AFA Rates'!$B$5:$B$1004,D$23,'AFA Rates'!$O$5:$O$1004,"&lt;&gt;Expired")&gt;0,"✓",IF(COUNTIFS('AFA Rates'!$A$5:$A$1004,$A648,'AFA Rates'!$B$5:$B$1004,D$23)&gt;0,"Exp","")))</f>
        <v/>
      </c>
      <c r="E648" s="79">
        <f>IF(OR($A648="",E$23=""),"",IF(COUNTIFS('AFA Rates'!$A$5:$A$1004,$A648,'AFA Rates'!$B$5:$B$1004,E$23,'AFA Rates'!$O$5:$O$1004,"&lt;&gt;Expired")&gt;0,"✓",IF(COUNTIFS('AFA Rates'!$A$5:$A$1004,$A648,'AFA Rates'!$B$5:$B$1004,E$23)&gt;0,"Exp","")))</f>
        <v/>
      </c>
      <c r="F648" s="79">
        <f>IF(OR($A648="",F$23=""),"",IF(COUNTIFS('AFA Rates'!$A$5:$A$1004,$A648,'AFA Rates'!$B$5:$B$1004,F$23,'AFA Rates'!$O$5:$O$1004,"&lt;&gt;Expired")&gt;0,"✓",IF(COUNTIFS('AFA Rates'!$A$5:$A$1004,$A648,'AFA Rates'!$B$5:$B$1004,F$23)&gt;0,"Exp","")))</f>
        <v/>
      </c>
      <c r="G648" s="79">
        <f>IF(OR($A648="",G$23=""),"",IF(COUNTIFS('AFA Rates'!$A$5:$A$1004,$A648,'AFA Rates'!$B$5:$B$1004,G$23,'AFA Rates'!$O$5:$O$1004,"&lt;&gt;Expired")&gt;0,"✓",IF(COUNTIFS('AFA Rates'!$A$5:$A$1004,$A648,'AFA Rates'!$B$5:$B$1004,G$23)&gt;0,"Exp","")))</f>
        <v/>
      </c>
      <c r="H648" s="79">
        <f>IF(OR($A648="",H$23=""),"",IF(COUNTIFS('AFA Rates'!$A$5:$A$1004,$A648,'AFA Rates'!$B$5:$B$1004,H$23,'AFA Rates'!$O$5:$O$1004,"&lt;&gt;Expired")&gt;0,"✓",IF(COUNTIFS('AFA Rates'!$A$5:$A$1004,$A648,'AFA Rates'!$B$5:$B$1004,H$23)&gt;0,"Exp","")))</f>
        <v/>
      </c>
      <c r="I648" s="79">
        <f>IF(OR($A648="",I$23=""),"",IF(COUNTIFS('AFA Rates'!$A$5:$A$1004,$A648,'AFA Rates'!$B$5:$B$1004,I$23,'AFA Rates'!$O$5:$O$1004,"&lt;&gt;Expired")&gt;0,"✓",IF(COUNTIFS('AFA Rates'!$A$5:$A$1004,$A648,'AFA Rates'!$B$5:$B$1004,I$23)&gt;0,"Exp","")))</f>
        <v/>
      </c>
      <c r="J648" s="79">
        <f>IF(OR($A648="",J$23=""),"",IF(COUNTIFS('AFA Rates'!$A$5:$A$1004,$A648,'AFA Rates'!$B$5:$B$1004,J$23,'AFA Rates'!$O$5:$O$1004,"&lt;&gt;Expired")&gt;0,"✓",IF(COUNTIFS('AFA Rates'!$A$5:$A$1004,$A648,'AFA Rates'!$B$5:$B$1004,J$23)&gt;0,"Exp","")))</f>
        <v/>
      </c>
      <c r="K648" s="79">
        <f>IF(OR($A648="",K$23=""),"",IF(COUNTIFS('AFA Rates'!$A$5:$A$1004,$A648,'AFA Rates'!$B$5:$B$1004,K$23,'AFA Rates'!$O$5:$O$1004,"&lt;&gt;Expired")&gt;0,"✓",IF(COUNTIFS('AFA Rates'!$A$5:$A$1004,$A648,'AFA Rates'!$B$5:$B$1004,K$23)&gt;0,"Exp","")))</f>
        <v/>
      </c>
      <c r="L648" s="79">
        <f>IF(OR($A648="",L$23=""),"",IF(COUNTIFS('AFA Rates'!$A$5:$A$1004,$A648,'AFA Rates'!$B$5:$B$1004,L$23,'AFA Rates'!$O$5:$O$1004,"&lt;&gt;Expired")&gt;0,"✓",IF(COUNTIFS('AFA Rates'!$A$5:$A$1004,$A648,'AFA Rates'!$B$5:$B$1004,L$23)&gt;0,"Exp","")))</f>
        <v/>
      </c>
      <c r="M648" s="79">
        <f>IF(OR($A648="",M$23=""),"",IF(COUNTIFS('AFA Rates'!$A$5:$A$1004,$A648,'AFA Rates'!$B$5:$B$1004,M$23,'AFA Rates'!$O$5:$O$1004,"&lt;&gt;Expired")&gt;0,"✓",IF(COUNTIFS('AFA Rates'!$A$5:$A$1004,$A648,'AFA Rates'!$B$5:$B$1004,M$23)&gt;0,"Exp","")))</f>
        <v/>
      </c>
    </row>
    <row r="649">
      <c r="A649" s="78">
        <f>IFERROR(INDEX(Firms!$A$5:$A$1004,MATCH(626,Firms!$V$5:$V$1004,0)),"")</f>
        <v/>
      </c>
      <c r="B649" s="79">
        <f>IF($A649="","",INDEX(Firms!$B$5:$B$1004,MATCH(626,Firms!$V$5:$V$1004,0)))</f>
        <v/>
      </c>
      <c r="C649" s="79">
        <f>IF($A649="","",COUNTIFS('AFA Rates'!$A$5:$A$1004,$A649,'AFA Rates'!$O$5:$O$1004,"&lt;&gt;Expired"))</f>
        <v/>
      </c>
      <c r="D649" s="79">
        <f>IF(OR($A649="",D$23=""),"",IF(COUNTIFS('AFA Rates'!$A$5:$A$1004,$A649,'AFA Rates'!$B$5:$B$1004,D$23,'AFA Rates'!$O$5:$O$1004,"&lt;&gt;Expired")&gt;0,"✓",IF(COUNTIFS('AFA Rates'!$A$5:$A$1004,$A649,'AFA Rates'!$B$5:$B$1004,D$23)&gt;0,"Exp","")))</f>
        <v/>
      </c>
      <c r="E649" s="79">
        <f>IF(OR($A649="",E$23=""),"",IF(COUNTIFS('AFA Rates'!$A$5:$A$1004,$A649,'AFA Rates'!$B$5:$B$1004,E$23,'AFA Rates'!$O$5:$O$1004,"&lt;&gt;Expired")&gt;0,"✓",IF(COUNTIFS('AFA Rates'!$A$5:$A$1004,$A649,'AFA Rates'!$B$5:$B$1004,E$23)&gt;0,"Exp","")))</f>
        <v/>
      </c>
      <c r="F649" s="79">
        <f>IF(OR($A649="",F$23=""),"",IF(COUNTIFS('AFA Rates'!$A$5:$A$1004,$A649,'AFA Rates'!$B$5:$B$1004,F$23,'AFA Rates'!$O$5:$O$1004,"&lt;&gt;Expired")&gt;0,"✓",IF(COUNTIFS('AFA Rates'!$A$5:$A$1004,$A649,'AFA Rates'!$B$5:$B$1004,F$23)&gt;0,"Exp","")))</f>
        <v/>
      </c>
      <c r="G649" s="79">
        <f>IF(OR($A649="",G$23=""),"",IF(COUNTIFS('AFA Rates'!$A$5:$A$1004,$A649,'AFA Rates'!$B$5:$B$1004,G$23,'AFA Rates'!$O$5:$O$1004,"&lt;&gt;Expired")&gt;0,"✓",IF(COUNTIFS('AFA Rates'!$A$5:$A$1004,$A649,'AFA Rates'!$B$5:$B$1004,G$23)&gt;0,"Exp","")))</f>
        <v/>
      </c>
      <c r="H649" s="79">
        <f>IF(OR($A649="",H$23=""),"",IF(COUNTIFS('AFA Rates'!$A$5:$A$1004,$A649,'AFA Rates'!$B$5:$B$1004,H$23,'AFA Rates'!$O$5:$O$1004,"&lt;&gt;Expired")&gt;0,"✓",IF(COUNTIFS('AFA Rates'!$A$5:$A$1004,$A649,'AFA Rates'!$B$5:$B$1004,H$23)&gt;0,"Exp","")))</f>
        <v/>
      </c>
      <c r="I649" s="79">
        <f>IF(OR($A649="",I$23=""),"",IF(COUNTIFS('AFA Rates'!$A$5:$A$1004,$A649,'AFA Rates'!$B$5:$B$1004,I$23,'AFA Rates'!$O$5:$O$1004,"&lt;&gt;Expired")&gt;0,"✓",IF(COUNTIFS('AFA Rates'!$A$5:$A$1004,$A649,'AFA Rates'!$B$5:$B$1004,I$23)&gt;0,"Exp","")))</f>
        <v/>
      </c>
      <c r="J649" s="79">
        <f>IF(OR($A649="",J$23=""),"",IF(COUNTIFS('AFA Rates'!$A$5:$A$1004,$A649,'AFA Rates'!$B$5:$B$1004,J$23,'AFA Rates'!$O$5:$O$1004,"&lt;&gt;Expired")&gt;0,"✓",IF(COUNTIFS('AFA Rates'!$A$5:$A$1004,$A649,'AFA Rates'!$B$5:$B$1004,J$23)&gt;0,"Exp","")))</f>
        <v/>
      </c>
      <c r="K649" s="79">
        <f>IF(OR($A649="",K$23=""),"",IF(COUNTIFS('AFA Rates'!$A$5:$A$1004,$A649,'AFA Rates'!$B$5:$B$1004,K$23,'AFA Rates'!$O$5:$O$1004,"&lt;&gt;Expired")&gt;0,"✓",IF(COUNTIFS('AFA Rates'!$A$5:$A$1004,$A649,'AFA Rates'!$B$5:$B$1004,K$23)&gt;0,"Exp","")))</f>
        <v/>
      </c>
      <c r="L649" s="79">
        <f>IF(OR($A649="",L$23=""),"",IF(COUNTIFS('AFA Rates'!$A$5:$A$1004,$A649,'AFA Rates'!$B$5:$B$1004,L$23,'AFA Rates'!$O$5:$O$1004,"&lt;&gt;Expired")&gt;0,"✓",IF(COUNTIFS('AFA Rates'!$A$5:$A$1004,$A649,'AFA Rates'!$B$5:$B$1004,L$23)&gt;0,"Exp","")))</f>
        <v/>
      </c>
      <c r="M649" s="79">
        <f>IF(OR($A649="",M$23=""),"",IF(COUNTIFS('AFA Rates'!$A$5:$A$1004,$A649,'AFA Rates'!$B$5:$B$1004,M$23,'AFA Rates'!$O$5:$O$1004,"&lt;&gt;Expired")&gt;0,"✓",IF(COUNTIFS('AFA Rates'!$A$5:$A$1004,$A649,'AFA Rates'!$B$5:$B$1004,M$23)&gt;0,"Exp","")))</f>
        <v/>
      </c>
    </row>
    <row r="650">
      <c r="A650" s="78">
        <f>IFERROR(INDEX(Firms!$A$5:$A$1004,MATCH(627,Firms!$V$5:$V$1004,0)),"")</f>
        <v/>
      </c>
      <c r="B650" s="79">
        <f>IF($A650="","",INDEX(Firms!$B$5:$B$1004,MATCH(627,Firms!$V$5:$V$1004,0)))</f>
        <v/>
      </c>
      <c r="C650" s="79">
        <f>IF($A650="","",COUNTIFS('AFA Rates'!$A$5:$A$1004,$A650,'AFA Rates'!$O$5:$O$1004,"&lt;&gt;Expired"))</f>
        <v/>
      </c>
      <c r="D650" s="79">
        <f>IF(OR($A650="",D$23=""),"",IF(COUNTIFS('AFA Rates'!$A$5:$A$1004,$A650,'AFA Rates'!$B$5:$B$1004,D$23,'AFA Rates'!$O$5:$O$1004,"&lt;&gt;Expired")&gt;0,"✓",IF(COUNTIFS('AFA Rates'!$A$5:$A$1004,$A650,'AFA Rates'!$B$5:$B$1004,D$23)&gt;0,"Exp","")))</f>
        <v/>
      </c>
      <c r="E650" s="79">
        <f>IF(OR($A650="",E$23=""),"",IF(COUNTIFS('AFA Rates'!$A$5:$A$1004,$A650,'AFA Rates'!$B$5:$B$1004,E$23,'AFA Rates'!$O$5:$O$1004,"&lt;&gt;Expired")&gt;0,"✓",IF(COUNTIFS('AFA Rates'!$A$5:$A$1004,$A650,'AFA Rates'!$B$5:$B$1004,E$23)&gt;0,"Exp","")))</f>
        <v/>
      </c>
      <c r="F650" s="79">
        <f>IF(OR($A650="",F$23=""),"",IF(COUNTIFS('AFA Rates'!$A$5:$A$1004,$A650,'AFA Rates'!$B$5:$B$1004,F$23,'AFA Rates'!$O$5:$O$1004,"&lt;&gt;Expired")&gt;0,"✓",IF(COUNTIFS('AFA Rates'!$A$5:$A$1004,$A650,'AFA Rates'!$B$5:$B$1004,F$23)&gt;0,"Exp","")))</f>
        <v/>
      </c>
      <c r="G650" s="79">
        <f>IF(OR($A650="",G$23=""),"",IF(COUNTIFS('AFA Rates'!$A$5:$A$1004,$A650,'AFA Rates'!$B$5:$B$1004,G$23,'AFA Rates'!$O$5:$O$1004,"&lt;&gt;Expired")&gt;0,"✓",IF(COUNTIFS('AFA Rates'!$A$5:$A$1004,$A650,'AFA Rates'!$B$5:$B$1004,G$23)&gt;0,"Exp","")))</f>
        <v/>
      </c>
      <c r="H650" s="79">
        <f>IF(OR($A650="",H$23=""),"",IF(COUNTIFS('AFA Rates'!$A$5:$A$1004,$A650,'AFA Rates'!$B$5:$B$1004,H$23,'AFA Rates'!$O$5:$O$1004,"&lt;&gt;Expired")&gt;0,"✓",IF(COUNTIFS('AFA Rates'!$A$5:$A$1004,$A650,'AFA Rates'!$B$5:$B$1004,H$23)&gt;0,"Exp","")))</f>
        <v/>
      </c>
      <c r="I650" s="79">
        <f>IF(OR($A650="",I$23=""),"",IF(COUNTIFS('AFA Rates'!$A$5:$A$1004,$A650,'AFA Rates'!$B$5:$B$1004,I$23,'AFA Rates'!$O$5:$O$1004,"&lt;&gt;Expired")&gt;0,"✓",IF(COUNTIFS('AFA Rates'!$A$5:$A$1004,$A650,'AFA Rates'!$B$5:$B$1004,I$23)&gt;0,"Exp","")))</f>
        <v/>
      </c>
      <c r="J650" s="79">
        <f>IF(OR($A650="",J$23=""),"",IF(COUNTIFS('AFA Rates'!$A$5:$A$1004,$A650,'AFA Rates'!$B$5:$B$1004,J$23,'AFA Rates'!$O$5:$O$1004,"&lt;&gt;Expired")&gt;0,"✓",IF(COUNTIFS('AFA Rates'!$A$5:$A$1004,$A650,'AFA Rates'!$B$5:$B$1004,J$23)&gt;0,"Exp","")))</f>
        <v/>
      </c>
      <c r="K650" s="79">
        <f>IF(OR($A650="",K$23=""),"",IF(COUNTIFS('AFA Rates'!$A$5:$A$1004,$A650,'AFA Rates'!$B$5:$B$1004,K$23,'AFA Rates'!$O$5:$O$1004,"&lt;&gt;Expired")&gt;0,"✓",IF(COUNTIFS('AFA Rates'!$A$5:$A$1004,$A650,'AFA Rates'!$B$5:$B$1004,K$23)&gt;0,"Exp","")))</f>
        <v/>
      </c>
      <c r="L650" s="79">
        <f>IF(OR($A650="",L$23=""),"",IF(COUNTIFS('AFA Rates'!$A$5:$A$1004,$A650,'AFA Rates'!$B$5:$B$1004,L$23,'AFA Rates'!$O$5:$O$1004,"&lt;&gt;Expired")&gt;0,"✓",IF(COUNTIFS('AFA Rates'!$A$5:$A$1004,$A650,'AFA Rates'!$B$5:$B$1004,L$23)&gt;0,"Exp","")))</f>
        <v/>
      </c>
      <c r="M650" s="79">
        <f>IF(OR($A650="",M$23=""),"",IF(COUNTIFS('AFA Rates'!$A$5:$A$1004,$A650,'AFA Rates'!$B$5:$B$1004,M$23,'AFA Rates'!$O$5:$O$1004,"&lt;&gt;Expired")&gt;0,"✓",IF(COUNTIFS('AFA Rates'!$A$5:$A$1004,$A650,'AFA Rates'!$B$5:$B$1004,M$23)&gt;0,"Exp","")))</f>
        <v/>
      </c>
    </row>
    <row r="651">
      <c r="A651" s="78">
        <f>IFERROR(INDEX(Firms!$A$5:$A$1004,MATCH(628,Firms!$V$5:$V$1004,0)),"")</f>
        <v/>
      </c>
      <c r="B651" s="79">
        <f>IF($A651="","",INDEX(Firms!$B$5:$B$1004,MATCH(628,Firms!$V$5:$V$1004,0)))</f>
        <v/>
      </c>
      <c r="C651" s="79">
        <f>IF($A651="","",COUNTIFS('AFA Rates'!$A$5:$A$1004,$A651,'AFA Rates'!$O$5:$O$1004,"&lt;&gt;Expired"))</f>
        <v/>
      </c>
      <c r="D651" s="79">
        <f>IF(OR($A651="",D$23=""),"",IF(COUNTIFS('AFA Rates'!$A$5:$A$1004,$A651,'AFA Rates'!$B$5:$B$1004,D$23,'AFA Rates'!$O$5:$O$1004,"&lt;&gt;Expired")&gt;0,"✓",IF(COUNTIFS('AFA Rates'!$A$5:$A$1004,$A651,'AFA Rates'!$B$5:$B$1004,D$23)&gt;0,"Exp","")))</f>
        <v/>
      </c>
      <c r="E651" s="79">
        <f>IF(OR($A651="",E$23=""),"",IF(COUNTIFS('AFA Rates'!$A$5:$A$1004,$A651,'AFA Rates'!$B$5:$B$1004,E$23,'AFA Rates'!$O$5:$O$1004,"&lt;&gt;Expired")&gt;0,"✓",IF(COUNTIFS('AFA Rates'!$A$5:$A$1004,$A651,'AFA Rates'!$B$5:$B$1004,E$23)&gt;0,"Exp","")))</f>
        <v/>
      </c>
      <c r="F651" s="79">
        <f>IF(OR($A651="",F$23=""),"",IF(COUNTIFS('AFA Rates'!$A$5:$A$1004,$A651,'AFA Rates'!$B$5:$B$1004,F$23,'AFA Rates'!$O$5:$O$1004,"&lt;&gt;Expired")&gt;0,"✓",IF(COUNTIFS('AFA Rates'!$A$5:$A$1004,$A651,'AFA Rates'!$B$5:$B$1004,F$23)&gt;0,"Exp","")))</f>
        <v/>
      </c>
      <c r="G651" s="79">
        <f>IF(OR($A651="",G$23=""),"",IF(COUNTIFS('AFA Rates'!$A$5:$A$1004,$A651,'AFA Rates'!$B$5:$B$1004,G$23,'AFA Rates'!$O$5:$O$1004,"&lt;&gt;Expired")&gt;0,"✓",IF(COUNTIFS('AFA Rates'!$A$5:$A$1004,$A651,'AFA Rates'!$B$5:$B$1004,G$23)&gt;0,"Exp","")))</f>
        <v/>
      </c>
      <c r="H651" s="79">
        <f>IF(OR($A651="",H$23=""),"",IF(COUNTIFS('AFA Rates'!$A$5:$A$1004,$A651,'AFA Rates'!$B$5:$B$1004,H$23,'AFA Rates'!$O$5:$O$1004,"&lt;&gt;Expired")&gt;0,"✓",IF(COUNTIFS('AFA Rates'!$A$5:$A$1004,$A651,'AFA Rates'!$B$5:$B$1004,H$23)&gt;0,"Exp","")))</f>
        <v/>
      </c>
      <c r="I651" s="79">
        <f>IF(OR($A651="",I$23=""),"",IF(COUNTIFS('AFA Rates'!$A$5:$A$1004,$A651,'AFA Rates'!$B$5:$B$1004,I$23,'AFA Rates'!$O$5:$O$1004,"&lt;&gt;Expired")&gt;0,"✓",IF(COUNTIFS('AFA Rates'!$A$5:$A$1004,$A651,'AFA Rates'!$B$5:$B$1004,I$23)&gt;0,"Exp","")))</f>
        <v/>
      </c>
      <c r="J651" s="79">
        <f>IF(OR($A651="",J$23=""),"",IF(COUNTIFS('AFA Rates'!$A$5:$A$1004,$A651,'AFA Rates'!$B$5:$B$1004,J$23,'AFA Rates'!$O$5:$O$1004,"&lt;&gt;Expired")&gt;0,"✓",IF(COUNTIFS('AFA Rates'!$A$5:$A$1004,$A651,'AFA Rates'!$B$5:$B$1004,J$23)&gt;0,"Exp","")))</f>
        <v/>
      </c>
      <c r="K651" s="79">
        <f>IF(OR($A651="",K$23=""),"",IF(COUNTIFS('AFA Rates'!$A$5:$A$1004,$A651,'AFA Rates'!$B$5:$B$1004,K$23,'AFA Rates'!$O$5:$O$1004,"&lt;&gt;Expired")&gt;0,"✓",IF(COUNTIFS('AFA Rates'!$A$5:$A$1004,$A651,'AFA Rates'!$B$5:$B$1004,K$23)&gt;0,"Exp","")))</f>
        <v/>
      </c>
      <c r="L651" s="79">
        <f>IF(OR($A651="",L$23=""),"",IF(COUNTIFS('AFA Rates'!$A$5:$A$1004,$A651,'AFA Rates'!$B$5:$B$1004,L$23,'AFA Rates'!$O$5:$O$1004,"&lt;&gt;Expired")&gt;0,"✓",IF(COUNTIFS('AFA Rates'!$A$5:$A$1004,$A651,'AFA Rates'!$B$5:$B$1004,L$23)&gt;0,"Exp","")))</f>
        <v/>
      </c>
      <c r="M651" s="79">
        <f>IF(OR($A651="",M$23=""),"",IF(COUNTIFS('AFA Rates'!$A$5:$A$1004,$A651,'AFA Rates'!$B$5:$B$1004,M$23,'AFA Rates'!$O$5:$O$1004,"&lt;&gt;Expired")&gt;0,"✓",IF(COUNTIFS('AFA Rates'!$A$5:$A$1004,$A651,'AFA Rates'!$B$5:$B$1004,M$23)&gt;0,"Exp","")))</f>
        <v/>
      </c>
    </row>
    <row r="652">
      <c r="A652" s="78">
        <f>IFERROR(INDEX(Firms!$A$5:$A$1004,MATCH(629,Firms!$V$5:$V$1004,0)),"")</f>
        <v/>
      </c>
      <c r="B652" s="79">
        <f>IF($A652="","",INDEX(Firms!$B$5:$B$1004,MATCH(629,Firms!$V$5:$V$1004,0)))</f>
        <v/>
      </c>
      <c r="C652" s="79">
        <f>IF($A652="","",COUNTIFS('AFA Rates'!$A$5:$A$1004,$A652,'AFA Rates'!$O$5:$O$1004,"&lt;&gt;Expired"))</f>
        <v/>
      </c>
      <c r="D652" s="79">
        <f>IF(OR($A652="",D$23=""),"",IF(COUNTIFS('AFA Rates'!$A$5:$A$1004,$A652,'AFA Rates'!$B$5:$B$1004,D$23,'AFA Rates'!$O$5:$O$1004,"&lt;&gt;Expired")&gt;0,"✓",IF(COUNTIFS('AFA Rates'!$A$5:$A$1004,$A652,'AFA Rates'!$B$5:$B$1004,D$23)&gt;0,"Exp","")))</f>
        <v/>
      </c>
      <c r="E652" s="79">
        <f>IF(OR($A652="",E$23=""),"",IF(COUNTIFS('AFA Rates'!$A$5:$A$1004,$A652,'AFA Rates'!$B$5:$B$1004,E$23,'AFA Rates'!$O$5:$O$1004,"&lt;&gt;Expired")&gt;0,"✓",IF(COUNTIFS('AFA Rates'!$A$5:$A$1004,$A652,'AFA Rates'!$B$5:$B$1004,E$23)&gt;0,"Exp","")))</f>
        <v/>
      </c>
      <c r="F652" s="79">
        <f>IF(OR($A652="",F$23=""),"",IF(COUNTIFS('AFA Rates'!$A$5:$A$1004,$A652,'AFA Rates'!$B$5:$B$1004,F$23,'AFA Rates'!$O$5:$O$1004,"&lt;&gt;Expired")&gt;0,"✓",IF(COUNTIFS('AFA Rates'!$A$5:$A$1004,$A652,'AFA Rates'!$B$5:$B$1004,F$23)&gt;0,"Exp","")))</f>
        <v/>
      </c>
      <c r="G652" s="79">
        <f>IF(OR($A652="",G$23=""),"",IF(COUNTIFS('AFA Rates'!$A$5:$A$1004,$A652,'AFA Rates'!$B$5:$B$1004,G$23,'AFA Rates'!$O$5:$O$1004,"&lt;&gt;Expired")&gt;0,"✓",IF(COUNTIFS('AFA Rates'!$A$5:$A$1004,$A652,'AFA Rates'!$B$5:$B$1004,G$23)&gt;0,"Exp","")))</f>
        <v/>
      </c>
      <c r="H652" s="79">
        <f>IF(OR($A652="",H$23=""),"",IF(COUNTIFS('AFA Rates'!$A$5:$A$1004,$A652,'AFA Rates'!$B$5:$B$1004,H$23,'AFA Rates'!$O$5:$O$1004,"&lt;&gt;Expired")&gt;0,"✓",IF(COUNTIFS('AFA Rates'!$A$5:$A$1004,$A652,'AFA Rates'!$B$5:$B$1004,H$23)&gt;0,"Exp","")))</f>
        <v/>
      </c>
      <c r="I652" s="79">
        <f>IF(OR($A652="",I$23=""),"",IF(COUNTIFS('AFA Rates'!$A$5:$A$1004,$A652,'AFA Rates'!$B$5:$B$1004,I$23,'AFA Rates'!$O$5:$O$1004,"&lt;&gt;Expired")&gt;0,"✓",IF(COUNTIFS('AFA Rates'!$A$5:$A$1004,$A652,'AFA Rates'!$B$5:$B$1004,I$23)&gt;0,"Exp","")))</f>
        <v/>
      </c>
      <c r="J652" s="79">
        <f>IF(OR($A652="",J$23=""),"",IF(COUNTIFS('AFA Rates'!$A$5:$A$1004,$A652,'AFA Rates'!$B$5:$B$1004,J$23,'AFA Rates'!$O$5:$O$1004,"&lt;&gt;Expired")&gt;0,"✓",IF(COUNTIFS('AFA Rates'!$A$5:$A$1004,$A652,'AFA Rates'!$B$5:$B$1004,J$23)&gt;0,"Exp","")))</f>
        <v/>
      </c>
      <c r="K652" s="79">
        <f>IF(OR($A652="",K$23=""),"",IF(COUNTIFS('AFA Rates'!$A$5:$A$1004,$A652,'AFA Rates'!$B$5:$B$1004,K$23,'AFA Rates'!$O$5:$O$1004,"&lt;&gt;Expired")&gt;0,"✓",IF(COUNTIFS('AFA Rates'!$A$5:$A$1004,$A652,'AFA Rates'!$B$5:$B$1004,K$23)&gt;0,"Exp","")))</f>
        <v/>
      </c>
      <c r="L652" s="79">
        <f>IF(OR($A652="",L$23=""),"",IF(COUNTIFS('AFA Rates'!$A$5:$A$1004,$A652,'AFA Rates'!$B$5:$B$1004,L$23,'AFA Rates'!$O$5:$O$1004,"&lt;&gt;Expired")&gt;0,"✓",IF(COUNTIFS('AFA Rates'!$A$5:$A$1004,$A652,'AFA Rates'!$B$5:$B$1004,L$23)&gt;0,"Exp","")))</f>
        <v/>
      </c>
      <c r="M652" s="79">
        <f>IF(OR($A652="",M$23=""),"",IF(COUNTIFS('AFA Rates'!$A$5:$A$1004,$A652,'AFA Rates'!$B$5:$B$1004,M$23,'AFA Rates'!$O$5:$O$1004,"&lt;&gt;Expired")&gt;0,"✓",IF(COUNTIFS('AFA Rates'!$A$5:$A$1004,$A652,'AFA Rates'!$B$5:$B$1004,M$23)&gt;0,"Exp","")))</f>
        <v/>
      </c>
    </row>
    <row r="653">
      <c r="A653" s="78">
        <f>IFERROR(INDEX(Firms!$A$5:$A$1004,MATCH(630,Firms!$V$5:$V$1004,0)),"")</f>
        <v/>
      </c>
      <c r="B653" s="79">
        <f>IF($A653="","",INDEX(Firms!$B$5:$B$1004,MATCH(630,Firms!$V$5:$V$1004,0)))</f>
        <v/>
      </c>
      <c r="C653" s="79">
        <f>IF($A653="","",COUNTIFS('AFA Rates'!$A$5:$A$1004,$A653,'AFA Rates'!$O$5:$O$1004,"&lt;&gt;Expired"))</f>
        <v/>
      </c>
      <c r="D653" s="79">
        <f>IF(OR($A653="",D$23=""),"",IF(COUNTIFS('AFA Rates'!$A$5:$A$1004,$A653,'AFA Rates'!$B$5:$B$1004,D$23,'AFA Rates'!$O$5:$O$1004,"&lt;&gt;Expired")&gt;0,"✓",IF(COUNTIFS('AFA Rates'!$A$5:$A$1004,$A653,'AFA Rates'!$B$5:$B$1004,D$23)&gt;0,"Exp","")))</f>
        <v/>
      </c>
      <c r="E653" s="79">
        <f>IF(OR($A653="",E$23=""),"",IF(COUNTIFS('AFA Rates'!$A$5:$A$1004,$A653,'AFA Rates'!$B$5:$B$1004,E$23,'AFA Rates'!$O$5:$O$1004,"&lt;&gt;Expired")&gt;0,"✓",IF(COUNTIFS('AFA Rates'!$A$5:$A$1004,$A653,'AFA Rates'!$B$5:$B$1004,E$23)&gt;0,"Exp","")))</f>
        <v/>
      </c>
      <c r="F653" s="79">
        <f>IF(OR($A653="",F$23=""),"",IF(COUNTIFS('AFA Rates'!$A$5:$A$1004,$A653,'AFA Rates'!$B$5:$B$1004,F$23,'AFA Rates'!$O$5:$O$1004,"&lt;&gt;Expired")&gt;0,"✓",IF(COUNTIFS('AFA Rates'!$A$5:$A$1004,$A653,'AFA Rates'!$B$5:$B$1004,F$23)&gt;0,"Exp","")))</f>
        <v/>
      </c>
      <c r="G653" s="79">
        <f>IF(OR($A653="",G$23=""),"",IF(COUNTIFS('AFA Rates'!$A$5:$A$1004,$A653,'AFA Rates'!$B$5:$B$1004,G$23,'AFA Rates'!$O$5:$O$1004,"&lt;&gt;Expired")&gt;0,"✓",IF(COUNTIFS('AFA Rates'!$A$5:$A$1004,$A653,'AFA Rates'!$B$5:$B$1004,G$23)&gt;0,"Exp","")))</f>
        <v/>
      </c>
      <c r="H653" s="79">
        <f>IF(OR($A653="",H$23=""),"",IF(COUNTIFS('AFA Rates'!$A$5:$A$1004,$A653,'AFA Rates'!$B$5:$B$1004,H$23,'AFA Rates'!$O$5:$O$1004,"&lt;&gt;Expired")&gt;0,"✓",IF(COUNTIFS('AFA Rates'!$A$5:$A$1004,$A653,'AFA Rates'!$B$5:$B$1004,H$23)&gt;0,"Exp","")))</f>
        <v/>
      </c>
      <c r="I653" s="79">
        <f>IF(OR($A653="",I$23=""),"",IF(COUNTIFS('AFA Rates'!$A$5:$A$1004,$A653,'AFA Rates'!$B$5:$B$1004,I$23,'AFA Rates'!$O$5:$O$1004,"&lt;&gt;Expired")&gt;0,"✓",IF(COUNTIFS('AFA Rates'!$A$5:$A$1004,$A653,'AFA Rates'!$B$5:$B$1004,I$23)&gt;0,"Exp","")))</f>
        <v/>
      </c>
      <c r="J653" s="79">
        <f>IF(OR($A653="",J$23=""),"",IF(COUNTIFS('AFA Rates'!$A$5:$A$1004,$A653,'AFA Rates'!$B$5:$B$1004,J$23,'AFA Rates'!$O$5:$O$1004,"&lt;&gt;Expired")&gt;0,"✓",IF(COUNTIFS('AFA Rates'!$A$5:$A$1004,$A653,'AFA Rates'!$B$5:$B$1004,J$23)&gt;0,"Exp","")))</f>
        <v/>
      </c>
      <c r="K653" s="79">
        <f>IF(OR($A653="",K$23=""),"",IF(COUNTIFS('AFA Rates'!$A$5:$A$1004,$A653,'AFA Rates'!$B$5:$B$1004,K$23,'AFA Rates'!$O$5:$O$1004,"&lt;&gt;Expired")&gt;0,"✓",IF(COUNTIFS('AFA Rates'!$A$5:$A$1004,$A653,'AFA Rates'!$B$5:$B$1004,K$23)&gt;0,"Exp","")))</f>
        <v/>
      </c>
      <c r="L653" s="79">
        <f>IF(OR($A653="",L$23=""),"",IF(COUNTIFS('AFA Rates'!$A$5:$A$1004,$A653,'AFA Rates'!$B$5:$B$1004,L$23,'AFA Rates'!$O$5:$O$1004,"&lt;&gt;Expired")&gt;0,"✓",IF(COUNTIFS('AFA Rates'!$A$5:$A$1004,$A653,'AFA Rates'!$B$5:$B$1004,L$23)&gt;0,"Exp","")))</f>
        <v/>
      </c>
      <c r="M653" s="79">
        <f>IF(OR($A653="",M$23=""),"",IF(COUNTIFS('AFA Rates'!$A$5:$A$1004,$A653,'AFA Rates'!$B$5:$B$1004,M$23,'AFA Rates'!$O$5:$O$1004,"&lt;&gt;Expired")&gt;0,"✓",IF(COUNTIFS('AFA Rates'!$A$5:$A$1004,$A653,'AFA Rates'!$B$5:$B$1004,M$23)&gt;0,"Exp","")))</f>
        <v/>
      </c>
    </row>
    <row r="654">
      <c r="A654" s="78">
        <f>IFERROR(INDEX(Firms!$A$5:$A$1004,MATCH(631,Firms!$V$5:$V$1004,0)),"")</f>
        <v/>
      </c>
      <c r="B654" s="79">
        <f>IF($A654="","",INDEX(Firms!$B$5:$B$1004,MATCH(631,Firms!$V$5:$V$1004,0)))</f>
        <v/>
      </c>
      <c r="C654" s="79">
        <f>IF($A654="","",COUNTIFS('AFA Rates'!$A$5:$A$1004,$A654,'AFA Rates'!$O$5:$O$1004,"&lt;&gt;Expired"))</f>
        <v/>
      </c>
      <c r="D654" s="79">
        <f>IF(OR($A654="",D$23=""),"",IF(COUNTIFS('AFA Rates'!$A$5:$A$1004,$A654,'AFA Rates'!$B$5:$B$1004,D$23,'AFA Rates'!$O$5:$O$1004,"&lt;&gt;Expired")&gt;0,"✓",IF(COUNTIFS('AFA Rates'!$A$5:$A$1004,$A654,'AFA Rates'!$B$5:$B$1004,D$23)&gt;0,"Exp","")))</f>
        <v/>
      </c>
      <c r="E654" s="79">
        <f>IF(OR($A654="",E$23=""),"",IF(COUNTIFS('AFA Rates'!$A$5:$A$1004,$A654,'AFA Rates'!$B$5:$B$1004,E$23,'AFA Rates'!$O$5:$O$1004,"&lt;&gt;Expired")&gt;0,"✓",IF(COUNTIFS('AFA Rates'!$A$5:$A$1004,$A654,'AFA Rates'!$B$5:$B$1004,E$23)&gt;0,"Exp","")))</f>
        <v/>
      </c>
      <c r="F654" s="79">
        <f>IF(OR($A654="",F$23=""),"",IF(COUNTIFS('AFA Rates'!$A$5:$A$1004,$A654,'AFA Rates'!$B$5:$B$1004,F$23,'AFA Rates'!$O$5:$O$1004,"&lt;&gt;Expired")&gt;0,"✓",IF(COUNTIFS('AFA Rates'!$A$5:$A$1004,$A654,'AFA Rates'!$B$5:$B$1004,F$23)&gt;0,"Exp","")))</f>
        <v/>
      </c>
      <c r="G654" s="79">
        <f>IF(OR($A654="",G$23=""),"",IF(COUNTIFS('AFA Rates'!$A$5:$A$1004,$A654,'AFA Rates'!$B$5:$B$1004,G$23,'AFA Rates'!$O$5:$O$1004,"&lt;&gt;Expired")&gt;0,"✓",IF(COUNTIFS('AFA Rates'!$A$5:$A$1004,$A654,'AFA Rates'!$B$5:$B$1004,G$23)&gt;0,"Exp","")))</f>
        <v/>
      </c>
      <c r="H654" s="79">
        <f>IF(OR($A654="",H$23=""),"",IF(COUNTIFS('AFA Rates'!$A$5:$A$1004,$A654,'AFA Rates'!$B$5:$B$1004,H$23,'AFA Rates'!$O$5:$O$1004,"&lt;&gt;Expired")&gt;0,"✓",IF(COUNTIFS('AFA Rates'!$A$5:$A$1004,$A654,'AFA Rates'!$B$5:$B$1004,H$23)&gt;0,"Exp","")))</f>
        <v/>
      </c>
      <c r="I654" s="79">
        <f>IF(OR($A654="",I$23=""),"",IF(COUNTIFS('AFA Rates'!$A$5:$A$1004,$A654,'AFA Rates'!$B$5:$B$1004,I$23,'AFA Rates'!$O$5:$O$1004,"&lt;&gt;Expired")&gt;0,"✓",IF(COUNTIFS('AFA Rates'!$A$5:$A$1004,$A654,'AFA Rates'!$B$5:$B$1004,I$23)&gt;0,"Exp","")))</f>
        <v/>
      </c>
      <c r="J654" s="79">
        <f>IF(OR($A654="",J$23=""),"",IF(COUNTIFS('AFA Rates'!$A$5:$A$1004,$A654,'AFA Rates'!$B$5:$B$1004,J$23,'AFA Rates'!$O$5:$O$1004,"&lt;&gt;Expired")&gt;0,"✓",IF(COUNTIFS('AFA Rates'!$A$5:$A$1004,$A654,'AFA Rates'!$B$5:$B$1004,J$23)&gt;0,"Exp","")))</f>
        <v/>
      </c>
      <c r="K654" s="79">
        <f>IF(OR($A654="",K$23=""),"",IF(COUNTIFS('AFA Rates'!$A$5:$A$1004,$A654,'AFA Rates'!$B$5:$B$1004,K$23,'AFA Rates'!$O$5:$O$1004,"&lt;&gt;Expired")&gt;0,"✓",IF(COUNTIFS('AFA Rates'!$A$5:$A$1004,$A654,'AFA Rates'!$B$5:$B$1004,K$23)&gt;0,"Exp","")))</f>
        <v/>
      </c>
      <c r="L654" s="79">
        <f>IF(OR($A654="",L$23=""),"",IF(COUNTIFS('AFA Rates'!$A$5:$A$1004,$A654,'AFA Rates'!$B$5:$B$1004,L$23,'AFA Rates'!$O$5:$O$1004,"&lt;&gt;Expired")&gt;0,"✓",IF(COUNTIFS('AFA Rates'!$A$5:$A$1004,$A654,'AFA Rates'!$B$5:$B$1004,L$23)&gt;0,"Exp","")))</f>
        <v/>
      </c>
      <c r="M654" s="79">
        <f>IF(OR($A654="",M$23=""),"",IF(COUNTIFS('AFA Rates'!$A$5:$A$1004,$A654,'AFA Rates'!$B$5:$B$1004,M$23,'AFA Rates'!$O$5:$O$1004,"&lt;&gt;Expired")&gt;0,"✓",IF(COUNTIFS('AFA Rates'!$A$5:$A$1004,$A654,'AFA Rates'!$B$5:$B$1004,M$23)&gt;0,"Exp","")))</f>
        <v/>
      </c>
    </row>
    <row r="655">
      <c r="A655" s="78">
        <f>IFERROR(INDEX(Firms!$A$5:$A$1004,MATCH(632,Firms!$V$5:$V$1004,0)),"")</f>
        <v/>
      </c>
      <c r="B655" s="79">
        <f>IF($A655="","",INDEX(Firms!$B$5:$B$1004,MATCH(632,Firms!$V$5:$V$1004,0)))</f>
        <v/>
      </c>
      <c r="C655" s="79">
        <f>IF($A655="","",COUNTIFS('AFA Rates'!$A$5:$A$1004,$A655,'AFA Rates'!$O$5:$O$1004,"&lt;&gt;Expired"))</f>
        <v/>
      </c>
      <c r="D655" s="79">
        <f>IF(OR($A655="",D$23=""),"",IF(COUNTIFS('AFA Rates'!$A$5:$A$1004,$A655,'AFA Rates'!$B$5:$B$1004,D$23,'AFA Rates'!$O$5:$O$1004,"&lt;&gt;Expired")&gt;0,"✓",IF(COUNTIFS('AFA Rates'!$A$5:$A$1004,$A655,'AFA Rates'!$B$5:$B$1004,D$23)&gt;0,"Exp","")))</f>
        <v/>
      </c>
      <c r="E655" s="79">
        <f>IF(OR($A655="",E$23=""),"",IF(COUNTIFS('AFA Rates'!$A$5:$A$1004,$A655,'AFA Rates'!$B$5:$B$1004,E$23,'AFA Rates'!$O$5:$O$1004,"&lt;&gt;Expired")&gt;0,"✓",IF(COUNTIFS('AFA Rates'!$A$5:$A$1004,$A655,'AFA Rates'!$B$5:$B$1004,E$23)&gt;0,"Exp","")))</f>
        <v/>
      </c>
      <c r="F655" s="79">
        <f>IF(OR($A655="",F$23=""),"",IF(COUNTIFS('AFA Rates'!$A$5:$A$1004,$A655,'AFA Rates'!$B$5:$B$1004,F$23,'AFA Rates'!$O$5:$O$1004,"&lt;&gt;Expired")&gt;0,"✓",IF(COUNTIFS('AFA Rates'!$A$5:$A$1004,$A655,'AFA Rates'!$B$5:$B$1004,F$23)&gt;0,"Exp","")))</f>
        <v/>
      </c>
      <c r="G655" s="79">
        <f>IF(OR($A655="",G$23=""),"",IF(COUNTIFS('AFA Rates'!$A$5:$A$1004,$A655,'AFA Rates'!$B$5:$B$1004,G$23,'AFA Rates'!$O$5:$O$1004,"&lt;&gt;Expired")&gt;0,"✓",IF(COUNTIFS('AFA Rates'!$A$5:$A$1004,$A655,'AFA Rates'!$B$5:$B$1004,G$23)&gt;0,"Exp","")))</f>
        <v/>
      </c>
      <c r="H655" s="79">
        <f>IF(OR($A655="",H$23=""),"",IF(COUNTIFS('AFA Rates'!$A$5:$A$1004,$A655,'AFA Rates'!$B$5:$B$1004,H$23,'AFA Rates'!$O$5:$O$1004,"&lt;&gt;Expired")&gt;0,"✓",IF(COUNTIFS('AFA Rates'!$A$5:$A$1004,$A655,'AFA Rates'!$B$5:$B$1004,H$23)&gt;0,"Exp","")))</f>
        <v/>
      </c>
      <c r="I655" s="79">
        <f>IF(OR($A655="",I$23=""),"",IF(COUNTIFS('AFA Rates'!$A$5:$A$1004,$A655,'AFA Rates'!$B$5:$B$1004,I$23,'AFA Rates'!$O$5:$O$1004,"&lt;&gt;Expired")&gt;0,"✓",IF(COUNTIFS('AFA Rates'!$A$5:$A$1004,$A655,'AFA Rates'!$B$5:$B$1004,I$23)&gt;0,"Exp","")))</f>
        <v/>
      </c>
      <c r="J655" s="79">
        <f>IF(OR($A655="",J$23=""),"",IF(COUNTIFS('AFA Rates'!$A$5:$A$1004,$A655,'AFA Rates'!$B$5:$B$1004,J$23,'AFA Rates'!$O$5:$O$1004,"&lt;&gt;Expired")&gt;0,"✓",IF(COUNTIFS('AFA Rates'!$A$5:$A$1004,$A655,'AFA Rates'!$B$5:$B$1004,J$23)&gt;0,"Exp","")))</f>
        <v/>
      </c>
      <c r="K655" s="79">
        <f>IF(OR($A655="",K$23=""),"",IF(COUNTIFS('AFA Rates'!$A$5:$A$1004,$A655,'AFA Rates'!$B$5:$B$1004,K$23,'AFA Rates'!$O$5:$O$1004,"&lt;&gt;Expired")&gt;0,"✓",IF(COUNTIFS('AFA Rates'!$A$5:$A$1004,$A655,'AFA Rates'!$B$5:$B$1004,K$23)&gt;0,"Exp","")))</f>
        <v/>
      </c>
      <c r="L655" s="79">
        <f>IF(OR($A655="",L$23=""),"",IF(COUNTIFS('AFA Rates'!$A$5:$A$1004,$A655,'AFA Rates'!$B$5:$B$1004,L$23,'AFA Rates'!$O$5:$O$1004,"&lt;&gt;Expired")&gt;0,"✓",IF(COUNTIFS('AFA Rates'!$A$5:$A$1004,$A655,'AFA Rates'!$B$5:$B$1004,L$23)&gt;0,"Exp","")))</f>
        <v/>
      </c>
      <c r="M655" s="79">
        <f>IF(OR($A655="",M$23=""),"",IF(COUNTIFS('AFA Rates'!$A$5:$A$1004,$A655,'AFA Rates'!$B$5:$B$1004,M$23,'AFA Rates'!$O$5:$O$1004,"&lt;&gt;Expired")&gt;0,"✓",IF(COUNTIFS('AFA Rates'!$A$5:$A$1004,$A655,'AFA Rates'!$B$5:$B$1004,M$23)&gt;0,"Exp","")))</f>
        <v/>
      </c>
    </row>
    <row r="656">
      <c r="A656" s="78">
        <f>IFERROR(INDEX(Firms!$A$5:$A$1004,MATCH(633,Firms!$V$5:$V$1004,0)),"")</f>
        <v/>
      </c>
      <c r="B656" s="79">
        <f>IF($A656="","",INDEX(Firms!$B$5:$B$1004,MATCH(633,Firms!$V$5:$V$1004,0)))</f>
        <v/>
      </c>
      <c r="C656" s="79">
        <f>IF($A656="","",COUNTIFS('AFA Rates'!$A$5:$A$1004,$A656,'AFA Rates'!$O$5:$O$1004,"&lt;&gt;Expired"))</f>
        <v/>
      </c>
      <c r="D656" s="79">
        <f>IF(OR($A656="",D$23=""),"",IF(COUNTIFS('AFA Rates'!$A$5:$A$1004,$A656,'AFA Rates'!$B$5:$B$1004,D$23,'AFA Rates'!$O$5:$O$1004,"&lt;&gt;Expired")&gt;0,"✓",IF(COUNTIFS('AFA Rates'!$A$5:$A$1004,$A656,'AFA Rates'!$B$5:$B$1004,D$23)&gt;0,"Exp","")))</f>
        <v/>
      </c>
      <c r="E656" s="79">
        <f>IF(OR($A656="",E$23=""),"",IF(COUNTIFS('AFA Rates'!$A$5:$A$1004,$A656,'AFA Rates'!$B$5:$B$1004,E$23,'AFA Rates'!$O$5:$O$1004,"&lt;&gt;Expired")&gt;0,"✓",IF(COUNTIFS('AFA Rates'!$A$5:$A$1004,$A656,'AFA Rates'!$B$5:$B$1004,E$23)&gt;0,"Exp","")))</f>
        <v/>
      </c>
      <c r="F656" s="79">
        <f>IF(OR($A656="",F$23=""),"",IF(COUNTIFS('AFA Rates'!$A$5:$A$1004,$A656,'AFA Rates'!$B$5:$B$1004,F$23,'AFA Rates'!$O$5:$O$1004,"&lt;&gt;Expired")&gt;0,"✓",IF(COUNTIFS('AFA Rates'!$A$5:$A$1004,$A656,'AFA Rates'!$B$5:$B$1004,F$23)&gt;0,"Exp","")))</f>
        <v/>
      </c>
      <c r="G656" s="79">
        <f>IF(OR($A656="",G$23=""),"",IF(COUNTIFS('AFA Rates'!$A$5:$A$1004,$A656,'AFA Rates'!$B$5:$B$1004,G$23,'AFA Rates'!$O$5:$O$1004,"&lt;&gt;Expired")&gt;0,"✓",IF(COUNTIFS('AFA Rates'!$A$5:$A$1004,$A656,'AFA Rates'!$B$5:$B$1004,G$23)&gt;0,"Exp","")))</f>
        <v/>
      </c>
      <c r="H656" s="79">
        <f>IF(OR($A656="",H$23=""),"",IF(COUNTIFS('AFA Rates'!$A$5:$A$1004,$A656,'AFA Rates'!$B$5:$B$1004,H$23,'AFA Rates'!$O$5:$O$1004,"&lt;&gt;Expired")&gt;0,"✓",IF(COUNTIFS('AFA Rates'!$A$5:$A$1004,$A656,'AFA Rates'!$B$5:$B$1004,H$23)&gt;0,"Exp","")))</f>
        <v/>
      </c>
      <c r="I656" s="79">
        <f>IF(OR($A656="",I$23=""),"",IF(COUNTIFS('AFA Rates'!$A$5:$A$1004,$A656,'AFA Rates'!$B$5:$B$1004,I$23,'AFA Rates'!$O$5:$O$1004,"&lt;&gt;Expired")&gt;0,"✓",IF(COUNTIFS('AFA Rates'!$A$5:$A$1004,$A656,'AFA Rates'!$B$5:$B$1004,I$23)&gt;0,"Exp","")))</f>
        <v/>
      </c>
      <c r="J656" s="79">
        <f>IF(OR($A656="",J$23=""),"",IF(COUNTIFS('AFA Rates'!$A$5:$A$1004,$A656,'AFA Rates'!$B$5:$B$1004,J$23,'AFA Rates'!$O$5:$O$1004,"&lt;&gt;Expired")&gt;0,"✓",IF(COUNTIFS('AFA Rates'!$A$5:$A$1004,$A656,'AFA Rates'!$B$5:$B$1004,J$23)&gt;0,"Exp","")))</f>
        <v/>
      </c>
      <c r="K656" s="79">
        <f>IF(OR($A656="",K$23=""),"",IF(COUNTIFS('AFA Rates'!$A$5:$A$1004,$A656,'AFA Rates'!$B$5:$B$1004,K$23,'AFA Rates'!$O$5:$O$1004,"&lt;&gt;Expired")&gt;0,"✓",IF(COUNTIFS('AFA Rates'!$A$5:$A$1004,$A656,'AFA Rates'!$B$5:$B$1004,K$23)&gt;0,"Exp","")))</f>
        <v/>
      </c>
      <c r="L656" s="79">
        <f>IF(OR($A656="",L$23=""),"",IF(COUNTIFS('AFA Rates'!$A$5:$A$1004,$A656,'AFA Rates'!$B$5:$B$1004,L$23,'AFA Rates'!$O$5:$O$1004,"&lt;&gt;Expired")&gt;0,"✓",IF(COUNTIFS('AFA Rates'!$A$5:$A$1004,$A656,'AFA Rates'!$B$5:$B$1004,L$23)&gt;0,"Exp","")))</f>
        <v/>
      </c>
      <c r="M656" s="79">
        <f>IF(OR($A656="",M$23=""),"",IF(COUNTIFS('AFA Rates'!$A$5:$A$1004,$A656,'AFA Rates'!$B$5:$B$1004,M$23,'AFA Rates'!$O$5:$O$1004,"&lt;&gt;Expired")&gt;0,"✓",IF(COUNTIFS('AFA Rates'!$A$5:$A$1004,$A656,'AFA Rates'!$B$5:$B$1004,M$23)&gt;0,"Exp","")))</f>
        <v/>
      </c>
    </row>
    <row r="657">
      <c r="A657" s="78">
        <f>IFERROR(INDEX(Firms!$A$5:$A$1004,MATCH(634,Firms!$V$5:$V$1004,0)),"")</f>
        <v/>
      </c>
      <c r="B657" s="79">
        <f>IF($A657="","",INDEX(Firms!$B$5:$B$1004,MATCH(634,Firms!$V$5:$V$1004,0)))</f>
        <v/>
      </c>
      <c r="C657" s="79">
        <f>IF($A657="","",COUNTIFS('AFA Rates'!$A$5:$A$1004,$A657,'AFA Rates'!$O$5:$O$1004,"&lt;&gt;Expired"))</f>
        <v/>
      </c>
      <c r="D657" s="79">
        <f>IF(OR($A657="",D$23=""),"",IF(COUNTIFS('AFA Rates'!$A$5:$A$1004,$A657,'AFA Rates'!$B$5:$B$1004,D$23,'AFA Rates'!$O$5:$O$1004,"&lt;&gt;Expired")&gt;0,"✓",IF(COUNTIFS('AFA Rates'!$A$5:$A$1004,$A657,'AFA Rates'!$B$5:$B$1004,D$23)&gt;0,"Exp","")))</f>
        <v/>
      </c>
      <c r="E657" s="79">
        <f>IF(OR($A657="",E$23=""),"",IF(COUNTIFS('AFA Rates'!$A$5:$A$1004,$A657,'AFA Rates'!$B$5:$B$1004,E$23,'AFA Rates'!$O$5:$O$1004,"&lt;&gt;Expired")&gt;0,"✓",IF(COUNTIFS('AFA Rates'!$A$5:$A$1004,$A657,'AFA Rates'!$B$5:$B$1004,E$23)&gt;0,"Exp","")))</f>
        <v/>
      </c>
      <c r="F657" s="79">
        <f>IF(OR($A657="",F$23=""),"",IF(COUNTIFS('AFA Rates'!$A$5:$A$1004,$A657,'AFA Rates'!$B$5:$B$1004,F$23,'AFA Rates'!$O$5:$O$1004,"&lt;&gt;Expired")&gt;0,"✓",IF(COUNTIFS('AFA Rates'!$A$5:$A$1004,$A657,'AFA Rates'!$B$5:$B$1004,F$23)&gt;0,"Exp","")))</f>
        <v/>
      </c>
      <c r="G657" s="79">
        <f>IF(OR($A657="",G$23=""),"",IF(COUNTIFS('AFA Rates'!$A$5:$A$1004,$A657,'AFA Rates'!$B$5:$B$1004,G$23,'AFA Rates'!$O$5:$O$1004,"&lt;&gt;Expired")&gt;0,"✓",IF(COUNTIFS('AFA Rates'!$A$5:$A$1004,$A657,'AFA Rates'!$B$5:$B$1004,G$23)&gt;0,"Exp","")))</f>
        <v/>
      </c>
      <c r="H657" s="79">
        <f>IF(OR($A657="",H$23=""),"",IF(COUNTIFS('AFA Rates'!$A$5:$A$1004,$A657,'AFA Rates'!$B$5:$B$1004,H$23,'AFA Rates'!$O$5:$O$1004,"&lt;&gt;Expired")&gt;0,"✓",IF(COUNTIFS('AFA Rates'!$A$5:$A$1004,$A657,'AFA Rates'!$B$5:$B$1004,H$23)&gt;0,"Exp","")))</f>
        <v/>
      </c>
      <c r="I657" s="79">
        <f>IF(OR($A657="",I$23=""),"",IF(COUNTIFS('AFA Rates'!$A$5:$A$1004,$A657,'AFA Rates'!$B$5:$B$1004,I$23,'AFA Rates'!$O$5:$O$1004,"&lt;&gt;Expired")&gt;0,"✓",IF(COUNTIFS('AFA Rates'!$A$5:$A$1004,$A657,'AFA Rates'!$B$5:$B$1004,I$23)&gt;0,"Exp","")))</f>
        <v/>
      </c>
      <c r="J657" s="79">
        <f>IF(OR($A657="",J$23=""),"",IF(COUNTIFS('AFA Rates'!$A$5:$A$1004,$A657,'AFA Rates'!$B$5:$B$1004,J$23,'AFA Rates'!$O$5:$O$1004,"&lt;&gt;Expired")&gt;0,"✓",IF(COUNTIFS('AFA Rates'!$A$5:$A$1004,$A657,'AFA Rates'!$B$5:$B$1004,J$23)&gt;0,"Exp","")))</f>
        <v/>
      </c>
      <c r="K657" s="79">
        <f>IF(OR($A657="",K$23=""),"",IF(COUNTIFS('AFA Rates'!$A$5:$A$1004,$A657,'AFA Rates'!$B$5:$B$1004,K$23,'AFA Rates'!$O$5:$O$1004,"&lt;&gt;Expired")&gt;0,"✓",IF(COUNTIFS('AFA Rates'!$A$5:$A$1004,$A657,'AFA Rates'!$B$5:$B$1004,K$23)&gt;0,"Exp","")))</f>
        <v/>
      </c>
      <c r="L657" s="79">
        <f>IF(OR($A657="",L$23=""),"",IF(COUNTIFS('AFA Rates'!$A$5:$A$1004,$A657,'AFA Rates'!$B$5:$B$1004,L$23,'AFA Rates'!$O$5:$O$1004,"&lt;&gt;Expired")&gt;0,"✓",IF(COUNTIFS('AFA Rates'!$A$5:$A$1004,$A657,'AFA Rates'!$B$5:$B$1004,L$23)&gt;0,"Exp","")))</f>
        <v/>
      </c>
      <c r="M657" s="79">
        <f>IF(OR($A657="",M$23=""),"",IF(COUNTIFS('AFA Rates'!$A$5:$A$1004,$A657,'AFA Rates'!$B$5:$B$1004,M$23,'AFA Rates'!$O$5:$O$1004,"&lt;&gt;Expired")&gt;0,"✓",IF(COUNTIFS('AFA Rates'!$A$5:$A$1004,$A657,'AFA Rates'!$B$5:$B$1004,M$23)&gt;0,"Exp","")))</f>
        <v/>
      </c>
    </row>
    <row r="658">
      <c r="A658" s="78">
        <f>IFERROR(INDEX(Firms!$A$5:$A$1004,MATCH(635,Firms!$V$5:$V$1004,0)),"")</f>
        <v/>
      </c>
      <c r="B658" s="79">
        <f>IF($A658="","",INDEX(Firms!$B$5:$B$1004,MATCH(635,Firms!$V$5:$V$1004,0)))</f>
        <v/>
      </c>
      <c r="C658" s="79">
        <f>IF($A658="","",COUNTIFS('AFA Rates'!$A$5:$A$1004,$A658,'AFA Rates'!$O$5:$O$1004,"&lt;&gt;Expired"))</f>
        <v/>
      </c>
      <c r="D658" s="79">
        <f>IF(OR($A658="",D$23=""),"",IF(COUNTIFS('AFA Rates'!$A$5:$A$1004,$A658,'AFA Rates'!$B$5:$B$1004,D$23,'AFA Rates'!$O$5:$O$1004,"&lt;&gt;Expired")&gt;0,"✓",IF(COUNTIFS('AFA Rates'!$A$5:$A$1004,$A658,'AFA Rates'!$B$5:$B$1004,D$23)&gt;0,"Exp","")))</f>
        <v/>
      </c>
      <c r="E658" s="79">
        <f>IF(OR($A658="",E$23=""),"",IF(COUNTIFS('AFA Rates'!$A$5:$A$1004,$A658,'AFA Rates'!$B$5:$B$1004,E$23,'AFA Rates'!$O$5:$O$1004,"&lt;&gt;Expired")&gt;0,"✓",IF(COUNTIFS('AFA Rates'!$A$5:$A$1004,$A658,'AFA Rates'!$B$5:$B$1004,E$23)&gt;0,"Exp","")))</f>
        <v/>
      </c>
      <c r="F658" s="79">
        <f>IF(OR($A658="",F$23=""),"",IF(COUNTIFS('AFA Rates'!$A$5:$A$1004,$A658,'AFA Rates'!$B$5:$B$1004,F$23,'AFA Rates'!$O$5:$O$1004,"&lt;&gt;Expired")&gt;0,"✓",IF(COUNTIFS('AFA Rates'!$A$5:$A$1004,$A658,'AFA Rates'!$B$5:$B$1004,F$23)&gt;0,"Exp","")))</f>
        <v/>
      </c>
      <c r="G658" s="79">
        <f>IF(OR($A658="",G$23=""),"",IF(COUNTIFS('AFA Rates'!$A$5:$A$1004,$A658,'AFA Rates'!$B$5:$B$1004,G$23,'AFA Rates'!$O$5:$O$1004,"&lt;&gt;Expired")&gt;0,"✓",IF(COUNTIFS('AFA Rates'!$A$5:$A$1004,$A658,'AFA Rates'!$B$5:$B$1004,G$23)&gt;0,"Exp","")))</f>
        <v/>
      </c>
      <c r="H658" s="79">
        <f>IF(OR($A658="",H$23=""),"",IF(COUNTIFS('AFA Rates'!$A$5:$A$1004,$A658,'AFA Rates'!$B$5:$B$1004,H$23,'AFA Rates'!$O$5:$O$1004,"&lt;&gt;Expired")&gt;0,"✓",IF(COUNTIFS('AFA Rates'!$A$5:$A$1004,$A658,'AFA Rates'!$B$5:$B$1004,H$23)&gt;0,"Exp","")))</f>
        <v/>
      </c>
      <c r="I658" s="79">
        <f>IF(OR($A658="",I$23=""),"",IF(COUNTIFS('AFA Rates'!$A$5:$A$1004,$A658,'AFA Rates'!$B$5:$B$1004,I$23,'AFA Rates'!$O$5:$O$1004,"&lt;&gt;Expired")&gt;0,"✓",IF(COUNTIFS('AFA Rates'!$A$5:$A$1004,$A658,'AFA Rates'!$B$5:$B$1004,I$23)&gt;0,"Exp","")))</f>
        <v/>
      </c>
      <c r="J658" s="79">
        <f>IF(OR($A658="",J$23=""),"",IF(COUNTIFS('AFA Rates'!$A$5:$A$1004,$A658,'AFA Rates'!$B$5:$B$1004,J$23,'AFA Rates'!$O$5:$O$1004,"&lt;&gt;Expired")&gt;0,"✓",IF(COUNTIFS('AFA Rates'!$A$5:$A$1004,$A658,'AFA Rates'!$B$5:$B$1004,J$23)&gt;0,"Exp","")))</f>
        <v/>
      </c>
      <c r="K658" s="79">
        <f>IF(OR($A658="",K$23=""),"",IF(COUNTIFS('AFA Rates'!$A$5:$A$1004,$A658,'AFA Rates'!$B$5:$B$1004,K$23,'AFA Rates'!$O$5:$O$1004,"&lt;&gt;Expired")&gt;0,"✓",IF(COUNTIFS('AFA Rates'!$A$5:$A$1004,$A658,'AFA Rates'!$B$5:$B$1004,K$23)&gt;0,"Exp","")))</f>
        <v/>
      </c>
      <c r="L658" s="79">
        <f>IF(OR($A658="",L$23=""),"",IF(COUNTIFS('AFA Rates'!$A$5:$A$1004,$A658,'AFA Rates'!$B$5:$B$1004,L$23,'AFA Rates'!$O$5:$O$1004,"&lt;&gt;Expired")&gt;0,"✓",IF(COUNTIFS('AFA Rates'!$A$5:$A$1004,$A658,'AFA Rates'!$B$5:$B$1004,L$23)&gt;0,"Exp","")))</f>
        <v/>
      </c>
      <c r="M658" s="79">
        <f>IF(OR($A658="",M$23=""),"",IF(COUNTIFS('AFA Rates'!$A$5:$A$1004,$A658,'AFA Rates'!$B$5:$B$1004,M$23,'AFA Rates'!$O$5:$O$1004,"&lt;&gt;Expired")&gt;0,"✓",IF(COUNTIFS('AFA Rates'!$A$5:$A$1004,$A658,'AFA Rates'!$B$5:$B$1004,M$23)&gt;0,"Exp","")))</f>
        <v/>
      </c>
    </row>
    <row r="659">
      <c r="A659" s="78">
        <f>IFERROR(INDEX(Firms!$A$5:$A$1004,MATCH(636,Firms!$V$5:$V$1004,0)),"")</f>
        <v/>
      </c>
      <c r="B659" s="79">
        <f>IF($A659="","",INDEX(Firms!$B$5:$B$1004,MATCH(636,Firms!$V$5:$V$1004,0)))</f>
        <v/>
      </c>
      <c r="C659" s="79">
        <f>IF($A659="","",COUNTIFS('AFA Rates'!$A$5:$A$1004,$A659,'AFA Rates'!$O$5:$O$1004,"&lt;&gt;Expired"))</f>
        <v/>
      </c>
      <c r="D659" s="79">
        <f>IF(OR($A659="",D$23=""),"",IF(COUNTIFS('AFA Rates'!$A$5:$A$1004,$A659,'AFA Rates'!$B$5:$B$1004,D$23,'AFA Rates'!$O$5:$O$1004,"&lt;&gt;Expired")&gt;0,"✓",IF(COUNTIFS('AFA Rates'!$A$5:$A$1004,$A659,'AFA Rates'!$B$5:$B$1004,D$23)&gt;0,"Exp","")))</f>
        <v/>
      </c>
      <c r="E659" s="79">
        <f>IF(OR($A659="",E$23=""),"",IF(COUNTIFS('AFA Rates'!$A$5:$A$1004,$A659,'AFA Rates'!$B$5:$B$1004,E$23,'AFA Rates'!$O$5:$O$1004,"&lt;&gt;Expired")&gt;0,"✓",IF(COUNTIFS('AFA Rates'!$A$5:$A$1004,$A659,'AFA Rates'!$B$5:$B$1004,E$23)&gt;0,"Exp","")))</f>
        <v/>
      </c>
      <c r="F659" s="79">
        <f>IF(OR($A659="",F$23=""),"",IF(COUNTIFS('AFA Rates'!$A$5:$A$1004,$A659,'AFA Rates'!$B$5:$B$1004,F$23,'AFA Rates'!$O$5:$O$1004,"&lt;&gt;Expired")&gt;0,"✓",IF(COUNTIFS('AFA Rates'!$A$5:$A$1004,$A659,'AFA Rates'!$B$5:$B$1004,F$23)&gt;0,"Exp","")))</f>
        <v/>
      </c>
      <c r="G659" s="79">
        <f>IF(OR($A659="",G$23=""),"",IF(COUNTIFS('AFA Rates'!$A$5:$A$1004,$A659,'AFA Rates'!$B$5:$B$1004,G$23,'AFA Rates'!$O$5:$O$1004,"&lt;&gt;Expired")&gt;0,"✓",IF(COUNTIFS('AFA Rates'!$A$5:$A$1004,$A659,'AFA Rates'!$B$5:$B$1004,G$23)&gt;0,"Exp","")))</f>
        <v/>
      </c>
      <c r="H659" s="79">
        <f>IF(OR($A659="",H$23=""),"",IF(COUNTIFS('AFA Rates'!$A$5:$A$1004,$A659,'AFA Rates'!$B$5:$B$1004,H$23,'AFA Rates'!$O$5:$O$1004,"&lt;&gt;Expired")&gt;0,"✓",IF(COUNTIFS('AFA Rates'!$A$5:$A$1004,$A659,'AFA Rates'!$B$5:$B$1004,H$23)&gt;0,"Exp","")))</f>
        <v/>
      </c>
      <c r="I659" s="79">
        <f>IF(OR($A659="",I$23=""),"",IF(COUNTIFS('AFA Rates'!$A$5:$A$1004,$A659,'AFA Rates'!$B$5:$B$1004,I$23,'AFA Rates'!$O$5:$O$1004,"&lt;&gt;Expired")&gt;0,"✓",IF(COUNTIFS('AFA Rates'!$A$5:$A$1004,$A659,'AFA Rates'!$B$5:$B$1004,I$23)&gt;0,"Exp","")))</f>
        <v/>
      </c>
      <c r="J659" s="79">
        <f>IF(OR($A659="",J$23=""),"",IF(COUNTIFS('AFA Rates'!$A$5:$A$1004,$A659,'AFA Rates'!$B$5:$B$1004,J$23,'AFA Rates'!$O$5:$O$1004,"&lt;&gt;Expired")&gt;0,"✓",IF(COUNTIFS('AFA Rates'!$A$5:$A$1004,$A659,'AFA Rates'!$B$5:$B$1004,J$23)&gt;0,"Exp","")))</f>
        <v/>
      </c>
      <c r="K659" s="79">
        <f>IF(OR($A659="",K$23=""),"",IF(COUNTIFS('AFA Rates'!$A$5:$A$1004,$A659,'AFA Rates'!$B$5:$B$1004,K$23,'AFA Rates'!$O$5:$O$1004,"&lt;&gt;Expired")&gt;0,"✓",IF(COUNTIFS('AFA Rates'!$A$5:$A$1004,$A659,'AFA Rates'!$B$5:$B$1004,K$23)&gt;0,"Exp","")))</f>
        <v/>
      </c>
      <c r="L659" s="79">
        <f>IF(OR($A659="",L$23=""),"",IF(COUNTIFS('AFA Rates'!$A$5:$A$1004,$A659,'AFA Rates'!$B$5:$B$1004,L$23,'AFA Rates'!$O$5:$O$1004,"&lt;&gt;Expired")&gt;0,"✓",IF(COUNTIFS('AFA Rates'!$A$5:$A$1004,$A659,'AFA Rates'!$B$5:$B$1004,L$23)&gt;0,"Exp","")))</f>
        <v/>
      </c>
      <c r="M659" s="79">
        <f>IF(OR($A659="",M$23=""),"",IF(COUNTIFS('AFA Rates'!$A$5:$A$1004,$A659,'AFA Rates'!$B$5:$B$1004,M$23,'AFA Rates'!$O$5:$O$1004,"&lt;&gt;Expired")&gt;0,"✓",IF(COUNTIFS('AFA Rates'!$A$5:$A$1004,$A659,'AFA Rates'!$B$5:$B$1004,M$23)&gt;0,"Exp","")))</f>
        <v/>
      </c>
    </row>
    <row r="660">
      <c r="A660" s="78">
        <f>IFERROR(INDEX(Firms!$A$5:$A$1004,MATCH(637,Firms!$V$5:$V$1004,0)),"")</f>
        <v/>
      </c>
      <c r="B660" s="79">
        <f>IF($A660="","",INDEX(Firms!$B$5:$B$1004,MATCH(637,Firms!$V$5:$V$1004,0)))</f>
        <v/>
      </c>
      <c r="C660" s="79">
        <f>IF($A660="","",COUNTIFS('AFA Rates'!$A$5:$A$1004,$A660,'AFA Rates'!$O$5:$O$1004,"&lt;&gt;Expired"))</f>
        <v/>
      </c>
      <c r="D660" s="79">
        <f>IF(OR($A660="",D$23=""),"",IF(COUNTIFS('AFA Rates'!$A$5:$A$1004,$A660,'AFA Rates'!$B$5:$B$1004,D$23,'AFA Rates'!$O$5:$O$1004,"&lt;&gt;Expired")&gt;0,"✓",IF(COUNTIFS('AFA Rates'!$A$5:$A$1004,$A660,'AFA Rates'!$B$5:$B$1004,D$23)&gt;0,"Exp","")))</f>
        <v/>
      </c>
      <c r="E660" s="79">
        <f>IF(OR($A660="",E$23=""),"",IF(COUNTIFS('AFA Rates'!$A$5:$A$1004,$A660,'AFA Rates'!$B$5:$B$1004,E$23,'AFA Rates'!$O$5:$O$1004,"&lt;&gt;Expired")&gt;0,"✓",IF(COUNTIFS('AFA Rates'!$A$5:$A$1004,$A660,'AFA Rates'!$B$5:$B$1004,E$23)&gt;0,"Exp","")))</f>
        <v/>
      </c>
      <c r="F660" s="79">
        <f>IF(OR($A660="",F$23=""),"",IF(COUNTIFS('AFA Rates'!$A$5:$A$1004,$A660,'AFA Rates'!$B$5:$B$1004,F$23,'AFA Rates'!$O$5:$O$1004,"&lt;&gt;Expired")&gt;0,"✓",IF(COUNTIFS('AFA Rates'!$A$5:$A$1004,$A660,'AFA Rates'!$B$5:$B$1004,F$23)&gt;0,"Exp","")))</f>
        <v/>
      </c>
      <c r="G660" s="79">
        <f>IF(OR($A660="",G$23=""),"",IF(COUNTIFS('AFA Rates'!$A$5:$A$1004,$A660,'AFA Rates'!$B$5:$B$1004,G$23,'AFA Rates'!$O$5:$O$1004,"&lt;&gt;Expired")&gt;0,"✓",IF(COUNTIFS('AFA Rates'!$A$5:$A$1004,$A660,'AFA Rates'!$B$5:$B$1004,G$23)&gt;0,"Exp","")))</f>
        <v/>
      </c>
      <c r="H660" s="79">
        <f>IF(OR($A660="",H$23=""),"",IF(COUNTIFS('AFA Rates'!$A$5:$A$1004,$A660,'AFA Rates'!$B$5:$B$1004,H$23,'AFA Rates'!$O$5:$O$1004,"&lt;&gt;Expired")&gt;0,"✓",IF(COUNTIFS('AFA Rates'!$A$5:$A$1004,$A660,'AFA Rates'!$B$5:$B$1004,H$23)&gt;0,"Exp","")))</f>
        <v/>
      </c>
      <c r="I660" s="79">
        <f>IF(OR($A660="",I$23=""),"",IF(COUNTIFS('AFA Rates'!$A$5:$A$1004,$A660,'AFA Rates'!$B$5:$B$1004,I$23,'AFA Rates'!$O$5:$O$1004,"&lt;&gt;Expired")&gt;0,"✓",IF(COUNTIFS('AFA Rates'!$A$5:$A$1004,$A660,'AFA Rates'!$B$5:$B$1004,I$23)&gt;0,"Exp","")))</f>
        <v/>
      </c>
      <c r="J660" s="79">
        <f>IF(OR($A660="",J$23=""),"",IF(COUNTIFS('AFA Rates'!$A$5:$A$1004,$A660,'AFA Rates'!$B$5:$B$1004,J$23,'AFA Rates'!$O$5:$O$1004,"&lt;&gt;Expired")&gt;0,"✓",IF(COUNTIFS('AFA Rates'!$A$5:$A$1004,$A660,'AFA Rates'!$B$5:$B$1004,J$23)&gt;0,"Exp","")))</f>
        <v/>
      </c>
      <c r="K660" s="79">
        <f>IF(OR($A660="",K$23=""),"",IF(COUNTIFS('AFA Rates'!$A$5:$A$1004,$A660,'AFA Rates'!$B$5:$B$1004,K$23,'AFA Rates'!$O$5:$O$1004,"&lt;&gt;Expired")&gt;0,"✓",IF(COUNTIFS('AFA Rates'!$A$5:$A$1004,$A660,'AFA Rates'!$B$5:$B$1004,K$23)&gt;0,"Exp","")))</f>
        <v/>
      </c>
      <c r="L660" s="79">
        <f>IF(OR($A660="",L$23=""),"",IF(COUNTIFS('AFA Rates'!$A$5:$A$1004,$A660,'AFA Rates'!$B$5:$B$1004,L$23,'AFA Rates'!$O$5:$O$1004,"&lt;&gt;Expired")&gt;0,"✓",IF(COUNTIFS('AFA Rates'!$A$5:$A$1004,$A660,'AFA Rates'!$B$5:$B$1004,L$23)&gt;0,"Exp","")))</f>
        <v/>
      </c>
      <c r="M660" s="79">
        <f>IF(OR($A660="",M$23=""),"",IF(COUNTIFS('AFA Rates'!$A$5:$A$1004,$A660,'AFA Rates'!$B$5:$B$1004,M$23,'AFA Rates'!$O$5:$O$1004,"&lt;&gt;Expired")&gt;0,"✓",IF(COUNTIFS('AFA Rates'!$A$5:$A$1004,$A660,'AFA Rates'!$B$5:$B$1004,M$23)&gt;0,"Exp","")))</f>
        <v/>
      </c>
    </row>
    <row r="661">
      <c r="A661" s="78">
        <f>IFERROR(INDEX(Firms!$A$5:$A$1004,MATCH(638,Firms!$V$5:$V$1004,0)),"")</f>
        <v/>
      </c>
      <c r="B661" s="79">
        <f>IF($A661="","",INDEX(Firms!$B$5:$B$1004,MATCH(638,Firms!$V$5:$V$1004,0)))</f>
        <v/>
      </c>
      <c r="C661" s="79">
        <f>IF($A661="","",COUNTIFS('AFA Rates'!$A$5:$A$1004,$A661,'AFA Rates'!$O$5:$O$1004,"&lt;&gt;Expired"))</f>
        <v/>
      </c>
      <c r="D661" s="79">
        <f>IF(OR($A661="",D$23=""),"",IF(COUNTIFS('AFA Rates'!$A$5:$A$1004,$A661,'AFA Rates'!$B$5:$B$1004,D$23,'AFA Rates'!$O$5:$O$1004,"&lt;&gt;Expired")&gt;0,"✓",IF(COUNTIFS('AFA Rates'!$A$5:$A$1004,$A661,'AFA Rates'!$B$5:$B$1004,D$23)&gt;0,"Exp","")))</f>
        <v/>
      </c>
      <c r="E661" s="79">
        <f>IF(OR($A661="",E$23=""),"",IF(COUNTIFS('AFA Rates'!$A$5:$A$1004,$A661,'AFA Rates'!$B$5:$B$1004,E$23,'AFA Rates'!$O$5:$O$1004,"&lt;&gt;Expired")&gt;0,"✓",IF(COUNTIFS('AFA Rates'!$A$5:$A$1004,$A661,'AFA Rates'!$B$5:$B$1004,E$23)&gt;0,"Exp","")))</f>
        <v/>
      </c>
      <c r="F661" s="79">
        <f>IF(OR($A661="",F$23=""),"",IF(COUNTIFS('AFA Rates'!$A$5:$A$1004,$A661,'AFA Rates'!$B$5:$B$1004,F$23,'AFA Rates'!$O$5:$O$1004,"&lt;&gt;Expired")&gt;0,"✓",IF(COUNTIFS('AFA Rates'!$A$5:$A$1004,$A661,'AFA Rates'!$B$5:$B$1004,F$23)&gt;0,"Exp","")))</f>
        <v/>
      </c>
      <c r="G661" s="79">
        <f>IF(OR($A661="",G$23=""),"",IF(COUNTIFS('AFA Rates'!$A$5:$A$1004,$A661,'AFA Rates'!$B$5:$B$1004,G$23,'AFA Rates'!$O$5:$O$1004,"&lt;&gt;Expired")&gt;0,"✓",IF(COUNTIFS('AFA Rates'!$A$5:$A$1004,$A661,'AFA Rates'!$B$5:$B$1004,G$23)&gt;0,"Exp","")))</f>
        <v/>
      </c>
      <c r="H661" s="79">
        <f>IF(OR($A661="",H$23=""),"",IF(COUNTIFS('AFA Rates'!$A$5:$A$1004,$A661,'AFA Rates'!$B$5:$B$1004,H$23,'AFA Rates'!$O$5:$O$1004,"&lt;&gt;Expired")&gt;0,"✓",IF(COUNTIFS('AFA Rates'!$A$5:$A$1004,$A661,'AFA Rates'!$B$5:$B$1004,H$23)&gt;0,"Exp","")))</f>
        <v/>
      </c>
      <c r="I661" s="79">
        <f>IF(OR($A661="",I$23=""),"",IF(COUNTIFS('AFA Rates'!$A$5:$A$1004,$A661,'AFA Rates'!$B$5:$B$1004,I$23,'AFA Rates'!$O$5:$O$1004,"&lt;&gt;Expired")&gt;0,"✓",IF(COUNTIFS('AFA Rates'!$A$5:$A$1004,$A661,'AFA Rates'!$B$5:$B$1004,I$23)&gt;0,"Exp","")))</f>
        <v/>
      </c>
      <c r="J661" s="79">
        <f>IF(OR($A661="",J$23=""),"",IF(COUNTIFS('AFA Rates'!$A$5:$A$1004,$A661,'AFA Rates'!$B$5:$B$1004,J$23,'AFA Rates'!$O$5:$O$1004,"&lt;&gt;Expired")&gt;0,"✓",IF(COUNTIFS('AFA Rates'!$A$5:$A$1004,$A661,'AFA Rates'!$B$5:$B$1004,J$23)&gt;0,"Exp","")))</f>
        <v/>
      </c>
      <c r="K661" s="79">
        <f>IF(OR($A661="",K$23=""),"",IF(COUNTIFS('AFA Rates'!$A$5:$A$1004,$A661,'AFA Rates'!$B$5:$B$1004,K$23,'AFA Rates'!$O$5:$O$1004,"&lt;&gt;Expired")&gt;0,"✓",IF(COUNTIFS('AFA Rates'!$A$5:$A$1004,$A661,'AFA Rates'!$B$5:$B$1004,K$23)&gt;0,"Exp","")))</f>
        <v/>
      </c>
      <c r="L661" s="79">
        <f>IF(OR($A661="",L$23=""),"",IF(COUNTIFS('AFA Rates'!$A$5:$A$1004,$A661,'AFA Rates'!$B$5:$B$1004,L$23,'AFA Rates'!$O$5:$O$1004,"&lt;&gt;Expired")&gt;0,"✓",IF(COUNTIFS('AFA Rates'!$A$5:$A$1004,$A661,'AFA Rates'!$B$5:$B$1004,L$23)&gt;0,"Exp","")))</f>
        <v/>
      </c>
      <c r="M661" s="79">
        <f>IF(OR($A661="",M$23=""),"",IF(COUNTIFS('AFA Rates'!$A$5:$A$1004,$A661,'AFA Rates'!$B$5:$B$1004,M$23,'AFA Rates'!$O$5:$O$1004,"&lt;&gt;Expired")&gt;0,"✓",IF(COUNTIFS('AFA Rates'!$A$5:$A$1004,$A661,'AFA Rates'!$B$5:$B$1004,M$23)&gt;0,"Exp","")))</f>
        <v/>
      </c>
    </row>
    <row r="662">
      <c r="A662" s="78">
        <f>IFERROR(INDEX(Firms!$A$5:$A$1004,MATCH(639,Firms!$V$5:$V$1004,0)),"")</f>
        <v/>
      </c>
      <c r="B662" s="79">
        <f>IF($A662="","",INDEX(Firms!$B$5:$B$1004,MATCH(639,Firms!$V$5:$V$1004,0)))</f>
        <v/>
      </c>
      <c r="C662" s="79">
        <f>IF($A662="","",COUNTIFS('AFA Rates'!$A$5:$A$1004,$A662,'AFA Rates'!$O$5:$O$1004,"&lt;&gt;Expired"))</f>
        <v/>
      </c>
      <c r="D662" s="79">
        <f>IF(OR($A662="",D$23=""),"",IF(COUNTIFS('AFA Rates'!$A$5:$A$1004,$A662,'AFA Rates'!$B$5:$B$1004,D$23,'AFA Rates'!$O$5:$O$1004,"&lt;&gt;Expired")&gt;0,"✓",IF(COUNTIFS('AFA Rates'!$A$5:$A$1004,$A662,'AFA Rates'!$B$5:$B$1004,D$23)&gt;0,"Exp","")))</f>
        <v/>
      </c>
      <c r="E662" s="79">
        <f>IF(OR($A662="",E$23=""),"",IF(COUNTIFS('AFA Rates'!$A$5:$A$1004,$A662,'AFA Rates'!$B$5:$B$1004,E$23,'AFA Rates'!$O$5:$O$1004,"&lt;&gt;Expired")&gt;0,"✓",IF(COUNTIFS('AFA Rates'!$A$5:$A$1004,$A662,'AFA Rates'!$B$5:$B$1004,E$23)&gt;0,"Exp","")))</f>
        <v/>
      </c>
      <c r="F662" s="79">
        <f>IF(OR($A662="",F$23=""),"",IF(COUNTIFS('AFA Rates'!$A$5:$A$1004,$A662,'AFA Rates'!$B$5:$B$1004,F$23,'AFA Rates'!$O$5:$O$1004,"&lt;&gt;Expired")&gt;0,"✓",IF(COUNTIFS('AFA Rates'!$A$5:$A$1004,$A662,'AFA Rates'!$B$5:$B$1004,F$23)&gt;0,"Exp","")))</f>
        <v/>
      </c>
      <c r="G662" s="79">
        <f>IF(OR($A662="",G$23=""),"",IF(COUNTIFS('AFA Rates'!$A$5:$A$1004,$A662,'AFA Rates'!$B$5:$B$1004,G$23,'AFA Rates'!$O$5:$O$1004,"&lt;&gt;Expired")&gt;0,"✓",IF(COUNTIFS('AFA Rates'!$A$5:$A$1004,$A662,'AFA Rates'!$B$5:$B$1004,G$23)&gt;0,"Exp","")))</f>
        <v/>
      </c>
      <c r="H662" s="79">
        <f>IF(OR($A662="",H$23=""),"",IF(COUNTIFS('AFA Rates'!$A$5:$A$1004,$A662,'AFA Rates'!$B$5:$B$1004,H$23,'AFA Rates'!$O$5:$O$1004,"&lt;&gt;Expired")&gt;0,"✓",IF(COUNTIFS('AFA Rates'!$A$5:$A$1004,$A662,'AFA Rates'!$B$5:$B$1004,H$23)&gt;0,"Exp","")))</f>
        <v/>
      </c>
      <c r="I662" s="79">
        <f>IF(OR($A662="",I$23=""),"",IF(COUNTIFS('AFA Rates'!$A$5:$A$1004,$A662,'AFA Rates'!$B$5:$B$1004,I$23,'AFA Rates'!$O$5:$O$1004,"&lt;&gt;Expired")&gt;0,"✓",IF(COUNTIFS('AFA Rates'!$A$5:$A$1004,$A662,'AFA Rates'!$B$5:$B$1004,I$23)&gt;0,"Exp","")))</f>
        <v/>
      </c>
      <c r="J662" s="79">
        <f>IF(OR($A662="",J$23=""),"",IF(COUNTIFS('AFA Rates'!$A$5:$A$1004,$A662,'AFA Rates'!$B$5:$B$1004,J$23,'AFA Rates'!$O$5:$O$1004,"&lt;&gt;Expired")&gt;0,"✓",IF(COUNTIFS('AFA Rates'!$A$5:$A$1004,$A662,'AFA Rates'!$B$5:$B$1004,J$23)&gt;0,"Exp","")))</f>
        <v/>
      </c>
      <c r="K662" s="79">
        <f>IF(OR($A662="",K$23=""),"",IF(COUNTIFS('AFA Rates'!$A$5:$A$1004,$A662,'AFA Rates'!$B$5:$B$1004,K$23,'AFA Rates'!$O$5:$O$1004,"&lt;&gt;Expired")&gt;0,"✓",IF(COUNTIFS('AFA Rates'!$A$5:$A$1004,$A662,'AFA Rates'!$B$5:$B$1004,K$23)&gt;0,"Exp","")))</f>
        <v/>
      </c>
      <c r="L662" s="79">
        <f>IF(OR($A662="",L$23=""),"",IF(COUNTIFS('AFA Rates'!$A$5:$A$1004,$A662,'AFA Rates'!$B$5:$B$1004,L$23,'AFA Rates'!$O$5:$O$1004,"&lt;&gt;Expired")&gt;0,"✓",IF(COUNTIFS('AFA Rates'!$A$5:$A$1004,$A662,'AFA Rates'!$B$5:$B$1004,L$23)&gt;0,"Exp","")))</f>
        <v/>
      </c>
      <c r="M662" s="79">
        <f>IF(OR($A662="",M$23=""),"",IF(COUNTIFS('AFA Rates'!$A$5:$A$1004,$A662,'AFA Rates'!$B$5:$B$1004,M$23,'AFA Rates'!$O$5:$O$1004,"&lt;&gt;Expired")&gt;0,"✓",IF(COUNTIFS('AFA Rates'!$A$5:$A$1004,$A662,'AFA Rates'!$B$5:$B$1004,M$23)&gt;0,"Exp","")))</f>
        <v/>
      </c>
    </row>
    <row r="663">
      <c r="A663" s="78">
        <f>IFERROR(INDEX(Firms!$A$5:$A$1004,MATCH(640,Firms!$V$5:$V$1004,0)),"")</f>
        <v/>
      </c>
      <c r="B663" s="79">
        <f>IF($A663="","",INDEX(Firms!$B$5:$B$1004,MATCH(640,Firms!$V$5:$V$1004,0)))</f>
        <v/>
      </c>
      <c r="C663" s="79">
        <f>IF($A663="","",COUNTIFS('AFA Rates'!$A$5:$A$1004,$A663,'AFA Rates'!$O$5:$O$1004,"&lt;&gt;Expired"))</f>
        <v/>
      </c>
      <c r="D663" s="79">
        <f>IF(OR($A663="",D$23=""),"",IF(COUNTIFS('AFA Rates'!$A$5:$A$1004,$A663,'AFA Rates'!$B$5:$B$1004,D$23,'AFA Rates'!$O$5:$O$1004,"&lt;&gt;Expired")&gt;0,"✓",IF(COUNTIFS('AFA Rates'!$A$5:$A$1004,$A663,'AFA Rates'!$B$5:$B$1004,D$23)&gt;0,"Exp","")))</f>
        <v/>
      </c>
      <c r="E663" s="79">
        <f>IF(OR($A663="",E$23=""),"",IF(COUNTIFS('AFA Rates'!$A$5:$A$1004,$A663,'AFA Rates'!$B$5:$B$1004,E$23,'AFA Rates'!$O$5:$O$1004,"&lt;&gt;Expired")&gt;0,"✓",IF(COUNTIFS('AFA Rates'!$A$5:$A$1004,$A663,'AFA Rates'!$B$5:$B$1004,E$23)&gt;0,"Exp","")))</f>
        <v/>
      </c>
      <c r="F663" s="79">
        <f>IF(OR($A663="",F$23=""),"",IF(COUNTIFS('AFA Rates'!$A$5:$A$1004,$A663,'AFA Rates'!$B$5:$B$1004,F$23,'AFA Rates'!$O$5:$O$1004,"&lt;&gt;Expired")&gt;0,"✓",IF(COUNTIFS('AFA Rates'!$A$5:$A$1004,$A663,'AFA Rates'!$B$5:$B$1004,F$23)&gt;0,"Exp","")))</f>
        <v/>
      </c>
      <c r="G663" s="79">
        <f>IF(OR($A663="",G$23=""),"",IF(COUNTIFS('AFA Rates'!$A$5:$A$1004,$A663,'AFA Rates'!$B$5:$B$1004,G$23,'AFA Rates'!$O$5:$O$1004,"&lt;&gt;Expired")&gt;0,"✓",IF(COUNTIFS('AFA Rates'!$A$5:$A$1004,$A663,'AFA Rates'!$B$5:$B$1004,G$23)&gt;0,"Exp","")))</f>
        <v/>
      </c>
      <c r="H663" s="79">
        <f>IF(OR($A663="",H$23=""),"",IF(COUNTIFS('AFA Rates'!$A$5:$A$1004,$A663,'AFA Rates'!$B$5:$B$1004,H$23,'AFA Rates'!$O$5:$O$1004,"&lt;&gt;Expired")&gt;0,"✓",IF(COUNTIFS('AFA Rates'!$A$5:$A$1004,$A663,'AFA Rates'!$B$5:$B$1004,H$23)&gt;0,"Exp","")))</f>
        <v/>
      </c>
      <c r="I663" s="79">
        <f>IF(OR($A663="",I$23=""),"",IF(COUNTIFS('AFA Rates'!$A$5:$A$1004,$A663,'AFA Rates'!$B$5:$B$1004,I$23,'AFA Rates'!$O$5:$O$1004,"&lt;&gt;Expired")&gt;0,"✓",IF(COUNTIFS('AFA Rates'!$A$5:$A$1004,$A663,'AFA Rates'!$B$5:$B$1004,I$23)&gt;0,"Exp","")))</f>
        <v/>
      </c>
      <c r="J663" s="79">
        <f>IF(OR($A663="",J$23=""),"",IF(COUNTIFS('AFA Rates'!$A$5:$A$1004,$A663,'AFA Rates'!$B$5:$B$1004,J$23,'AFA Rates'!$O$5:$O$1004,"&lt;&gt;Expired")&gt;0,"✓",IF(COUNTIFS('AFA Rates'!$A$5:$A$1004,$A663,'AFA Rates'!$B$5:$B$1004,J$23)&gt;0,"Exp","")))</f>
        <v/>
      </c>
      <c r="K663" s="79">
        <f>IF(OR($A663="",K$23=""),"",IF(COUNTIFS('AFA Rates'!$A$5:$A$1004,$A663,'AFA Rates'!$B$5:$B$1004,K$23,'AFA Rates'!$O$5:$O$1004,"&lt;&gt;Expired")&gt;0,"✓",IF(COUNTIFS('AFA Rates'!$A$5:$A$1004,$A663,'AFA Rates'!$B$5:$B$1004,K$23)&gt;0,"Exp","")))</f>
        <v/>
      </c>
      <c r="L663" s="79">
        <f>IF(OR($A663="",L$23=""),"",IF(COUNTIFS('AFA Rates'!$A$5:$A$1004,$A663,'AFA Rates'!$B$5:$B$1004,L$23,'AFA Rates'!$O$5:$O$1004,"&lt;&gt;Expired")&gt;0,"✓",IF(COUNTIFS('AFA Rates'!$A$5:$A$1004,$A663,'AFA Rates'!$B$5:$B$1004,L$23)&gt;0,"Exp","")))</f>
        <v/>
      </c>
      <c r="M663" s="79">
        <f>IF(OR($A663="",M$23=""),"",IF(COUNTIFS('AFA Rates'!$A$5:$A$1004,$A663,'AFA Rates'!$B$5:$B$1004,M$23,'AFA Rates'!$O$5:$O$1004,"&lt;&gt;Expired")&gt;0,"✓",IF(COUNTIFS('AFA Rates'!$A$5:$A$1004,$A663,'AFA Rates'!$B$5:$B$1004,M$23)&gt;0,"Exp","")))</f>
        <v/>
      </c>
    </row>
    <row r="664">
      <c r="A664" s="78">
        <f>IFERROR(INDEX(Firms!$A$5:$A$1004,MATCH(641,Firms!$V$5:$V$1004,0)),"")</f>
        <v/>
      </c>
      <c r="B664" s="79">
        <f>IF($A664="","",INDEX(Firms!$B$5:$B$1004,MATCH(641,Firms!$V$5:$V$1004,0)))</f>
        <v/>
      </c>
      <c r="C664" s="79">
        <f>IF($A664="","",COUNTIFS('AFA Rates'!$A$5:$A$1004,$A664,'AFA Rates'!$O$5:$O$1004,"&lt;&gt;Expired"))</f>
        <v/>
      </c>
      <c r="D664" s="79">
        <f>IF(OR($A664="",D$23=""),"",IF(COUNTIFS('AFA Rates'!$A$5:$A$1004,$A664,'AFA Rates'!$B$5:$B$1004,D$23,'AFA Rates'!$O$5:$O$1004,"&lt;&gt;Expired")&gt;0,"✓",IF(COUNTIFS('AFA Rates'!$A$5:$A$1004,$A664,'AFA Rates'!$B$5:$B$1004,D$23)&gt;0,"Exp","")))</f>
        <v/>
      </c>
      <c r="E664" s="79">
        <f>IF(OR($A664="",E$23=""),"",IF(COUNTIFS('AFA Rates'!$A$5:$A$1004,$A664,'AFA Rates'!$B$5:$B$1004,E$23,'AFA Rates'!$O$5:$O$1004,"&lt;&gt;Expired")&gt;0,"✓",IF(COUNTIFS('AFA Rates'!$A$5:$A$1004,$A664,'AFA Rates'!$B$5:$B$1004,E$23)&gt;0,"Exp","")))</f>
        <v/>
      </c>
      <c r="F664" s="79">
        <f>IF(OR($A664="",F$23=""),"",IF(COUNTIFS('AFA Rates'!$A$5:$A$1004,$A664,'AFA Rates'!$B$5:$B$1004,F$23,'AFA Rates'!$O$5:$O$1004,"&lt;&gt;Expired")&gt;0,"✓",IF(COUNTIFS('AFA Rates'!$A$5:$A$1004,$A664,'AFA Rates'!$B$5:$B$1004,F$23)&gt;0,"Exp","")))</f>
        <v/>
      </c>
      <c r="G664" s="79">
        <f>IF(OR($A664="",G$23=""),"",IF(COUNTIFS('AFA Rates'!$A$5:$A$1004,$A664,'AFA Rates'!$B$5:$B$1004,G$23,'AFA Rates'!$O$5:$O$1004,"&lt;&gt;Expired")&gt;0,"✓",IF(COUNTIFS('AFA Rates'!$A$5:$A$1004,$A664,'AFA Rates'!$B$5:$B$1004,G$23)&gt;0,"Exp","")))</f>
        <v/>
      </c>
      <c r="H664" s="79">
        <f>IF(OR($A664="",H$23=""),"",IF(COUNTIFS('AFA Rates'!$A$5:$A$1004,$A664,'AFA Rates'!$B$5:$B$1004,H$23,'AFA Rates'!$O$5:$O$1004,"&lt;&gt;Expired")&gt;0,"✓",IF(COUNTIFS('AFA Rates'!$A$5:$A$1004,$A664,'AFA Rates'!$B$5:$B$1004,H$23)&gt;0,"Exp","")))</f>
        <v/>
      </c>
      <c r="I664" s="79">
        <f>IF(OR($A664="",I$23=""),"",IF(COUNTIFS('AFA Rates'!$A$5:$A$1004,$A664,'AFA Rates'!$B$5:$B$1004,I$23,'AFA Rates'!$O$5:$O$1004,"&lt;&gt;Expired")&gt;0,"✓",IF(COUNTIFS('AFA Rates'!$A$5:$A$1004,$A664,'AFA Rates'!$B$5:$B$1004,I$23)&gt;0,"Exp","")))</f>
        <v/>
      </c>
      <c r="J664" s="79">
        <f>IF(OR($A664="",J$23=""),"",IF(COUNTIFS('AFA Rates'!$A$5:$A$1004,$A664,'AFA Rates'!$B$5:$B$1004,J$23,'AFA Rates'!$O$5:$O$1004,"&lt;&gt;Expired")&gt;0,"✓",IF(COUNTIFS('AFA Rates'!$A$5:$A$1004,$A664,'AFA Rates'!$B$5:$B$1004,J$23)&gt;0,"Exp","")))</f>
        <v/>
      </c>
      <c r="K664" s="79">
        <f>IF(OR($A664="",K$23=""),"",IF(COUNTIFS('AFA Rates'!$A$5:$A$1004,$A664,'AFA Rates'!$B$5:$B$1004,K$23,'AFA Rates'!$O$5:$O$1004,"&lt;&gt;Expired")&gt;0,"✓",IF(COUNTIFS('AFA Rates'!$A$5:$A$1004,$A664,'AFA Rates'!$B$5:$B$1004,K$23)&gt;0,"Exp","")))</f>
        <v/>
      </c>
      <c r="L664" s="79">
        <f>IF(OR($A664="",L$23=""),"",IF(COUNTIFS('AFA Rates'!$A$5:$A$1004,$A664,'AFA Rates'!$B$5:$B$1004,L$23,'AFA Rates'!$O$5:$O$1004,"&lt;&gt;Expired")&gt;0,"✓",IF(COUNTIFS('AFA Rates'!$A$5:$A$1004,$A664,'AFA Rates'!$B$5:$B$1004,L$23)&gt;0,"Exp","")))</f>
        <v/>
      </c>
      <c r="M664" s="79">
        <f>IF(OR($A664="",M$23=""),"",IF(COUNTIFS('AFA Rates'!$A$5:$A$1004,$A664,'AFA Rates'!$B$5:$B$1004,M$23,'AFA Rates'!$O$5:$O$1004,"&lt;&gt;Expired")&gt;0,"✓",IF(COUNTIFS('AFA Rates'!$A$5:$A$1004,$A664,'AFA Rates'!$B$5:$B$1004,M$23)&gt;0,"Exp","")))</f>
        <v/>
      </c>
    </row>
    <row r="665">
      <c r="A665" s="78">
        <f>IFERROR(INDEX(Firms!$A$5:$A$1004,MATCH(642,Firms!$V$5:$V$1004,0)),"")</f>
        <v/>
      </c>
      <c r="B665" s="79">
        <f>IF($A665="","",INDEX(Firms!$B$5:$B$1004,MATCH(642,Firms!$V$5:$V$1004,0)))</f>
        <v/>
      </c>
      <c r="C665" s="79">
        <f>IF($A665="","",COUNTIFS('AFA Rates'!$A$5:$A$1004,$A665,'AFA Rates'!$O$5:$O$1004,"&lt;&gt;Expired"))</f>
        <v/>
      </c>
      <c r="D665" s="79">
        <f>IF(OR($A665="",D$23=""),"",IF(COUNTIFS('AFA Rates'!$A$5:$A$1004,$A665,'AFA Rates'!$B$5:$B$1004,D$23,'AFA Rates'!$O$5:$O$1004,"&lt;&gt;Expired")&gt;0,"✓",IF(COUNTIFS('AFA Rates'!$A$5:$A$1004,$A665,'AFA Rates'!$B$5:$B$1004,D$23)&gt;0,"Exp","")))</f>
        <v/>
      </c>
      <c r="E665" s="79">
        <f>IF(OR($A665="",E$23=""),"",IF(COUNTIFS('AFA Rates'!$A$5:$A$1004,$A665,'AFA Rates'!$B$5:$B$1004,E$23,'AFA Rates'!$O$5:$O$1004,"&lt;&gt;Expired")&gt;0,"✓",IF(COUNTIFS('AFA Rates'!$A$5:$A$1004,$A665,'AFA Rates'!$B$5:$B$1004,E$23)&gt;0,"Exp","")))</f>
        <v/>
      </c>
      <c r="F665" s="79">
        <f>IF(OR($A665="",F$23=""),"",IF(COUNTIFS('AFA Rates'!$A$5:$A$1004,$A665,'AFA Rates'!$B$5:$B$1004,F$23,'AFA Rates'!$O$5:$O$1004,"&lt;&gt;Expired")&gt;0,"✓",IF(COUNTIFS('AFA Rates'!$A$5:$A$1004,$A665,'AFA Rates'!$B$5:$B$1004,F$23)&gt;0,"Exp","")))</f>
        <v/>
      </c>
      <c r="G665" s="79">
        <f>IF(OR($A665="",G$23=""),"",IF(COUNTIFS('AFA Rates'!$A$5:$A$1004,$A665,'AFA Rates'!$B$5:$B$1004,G$23,'AFA Rates'!$O$5:$O$1004,"&lt;&gt;Expired")&gt;0,"✓",IF(COUNTIFS('AFA Rates'!$A$5:$A$1004,$A665,'AFA Rates'!$B$5:$B$1004,G$23)&gt;0,"Exp","")))</f>
        <v/>
      </c>
      <c r="H665" s="79">
        <f>IF(OR($A665="",H$23=""),"",IF(COUNTIFS('AFA Rates'!$A$5:$A$1004,$A665,'AFA Rates'!$B$5:$B$1004,H$23,'AFA Rates'!$O$5:$O$1004,"&lt;&gt;Expired")&gt;0,"✓",IF(COUNTIFS('AFA Rates'!$A$5:$A$1004,$A665,'AFA Rates'!$B$5:$B$1004,H$23)&gt;0,"Exp","")))</f>
        <v/>
      </c>
      <c r="I665" s="79">
        <f>IF(OR($A665="",I$23=""),"",IF(COUNTIFS('AFA Rates'!$A$5:$A$1004,$A665,'AFA Rates'!$B$5:$B$1004,I$23,'AFA Rates'!$O$5:$O$1004,"&lt;&gt;Expired")&gt;0,"✓",IF(COUNTIFS('AFA Rates'!$A$5:$A$1004,$A665,'AFA Rates'!$B$5:$B$1004,I$23)&gt;0,"Exp","")))</f>
        <v/>
      </c>
      <c r="J665" s="79">
        <f>IF(OR($A665="",J$23=""),"",IF(COUNTIFS('AFA Rates'!$A$5:$A$1004,$A665,'AFA Rates'!$B$5:$B$1004,J$23,'AFA Rates'!$O$5:$O$1004,"&lt;&gt;Expired")&gt;0,"✓",IF(COUNTIFS('AFA Rates'!$A$5:$A$1004,$A665,'AFA Rates'!$B$5:$B$1004,J$23)&gt;0,"Exp","")))</f>
        <v/>
      </c>
      <c r="K665" s="79">
        <f>IF(OR($A665="",K$23=""),"",IF(COUNTIFS('AFA Rates'!$A$5:$A$1004,$A665,'AFA Rates'!$B$5:$B$1004,K$23,'AFA Rates'!$O$5:$O$1004,"&lt;&gt;Expired")&gt;0,"✓",IF(COUNTIFS('AFA Rates'!$A$5:$A$1004,$A665,'AFA Rates'!$B$5:$B$1004,K$23)&gt;0,"Exp","")))</f>
        <v/>
      </c>
      <c r="L665" s="79">
        <f>IF(OR($A665="",L$23=""),"",IF(COUNTIFS('AFA Rates'!$A$5:$A$1004,$A665,'AFA Rates'!$B$5:$B$1004,L$23,'AFA Rates'!$O$5:$O$1004,"&lt;&gt;Expired")&gt;0,"✓",IF(COUNTIFS('AFA Rates'!$A$5:$A$1004,$A665,'AFA Rates'!$B$5:$B$1004,L$23)&gt;0,"Exp","")))</f>
        <v/>
      </c>
      <c r="M665" s="79">
        <f>IF(OR($A665="",M$23=""),"",IF(COUNTIFS('AFA Rates'!$A$5:$A$1004,$A665,'AFA Rates'!$B$5:$B$1004,M$23,'AFA Rates'!$O$5:$O$1004,"&lt;&gt;Expired")&gt;0,"✓",IF(COUNTIFS('AFA Rates'!$A$5:$A$1004,$A665,'AFA Rates'!$B$5:$B$1004,M$23)&gt;0,"Exp","")))</f>
        <v/>
      </c>
    </row>
    <row r="666">
      <c r="A666" s="78">
        <f>IFERROR(INDEX(Firms!$A$5:$A$1004,MATCH(643,Firms!$V$5:$V$1004,0)),"")</f>
        <v/>
      </c>
      <c r="B666" s="79">
        <f>IF($A666="","",INDEX(Firms!$B$5:$B$1004,MATCH(643,Firms!$V$5:$V$1004,0)))</f>
        <v/>
      </c>
      <c r="C666" s="79">
        <f>IF($A666="","",COUNTIFS('AFA Rates'!$A$5:$A$1004,$A666,'AFA Rates'!$O$5:$O$1004,"&lt;&gt;Expired"))</f>
        <v/>
      </c>
      <c r="D666" s="79">
        <f>IF(OR($A666="",D$23=""),"",IF(COUNTIFS('AFA Rates'!$A$5:$A$1004,$A666,'AFA Rates'!$B$5:$B$1004,D$23,'AFA Rates'!$O$5:$O$1004,"&lt;&gt;Expired")&gt;0,"✓",IF(COUNTIFS('AFA Rates'!$A$5:$A$1004,$A666,'AFA Rates'!$B$5:$B$1004,D$23)&gt;0,"Exp","")))</f>
        <v/>
      </c>
      <c r="E666" s="79">
        <f>IF(OR($A666="",E$23=""),"",IF(COUNTIFS('AFA Rates'!$A$5:$A$1004,$A666,'AFA Rates'!$B$5:$B$1004,E$23,'AFA Rates'!$O$5:$O$1004,"&lt;&gt;Expired")&gt;0,"✓",IF(COUNTIFS('AFA Rates'!$A$5:$A$1004,$A666,'AFA Rates'!$B$5:$B$1004,E$23)&gt;0,"Exp","")))</f>
        <v/>
      </c>
      <c r="F666" s="79">
        <f>IF(OR($A666="",F$23=""),"",IF(COUNTIFS('AFA Rates'!$A$5:$A$1004,$A666,'AFA Rates'!$B$5:$B$1004,F$23,'AFA Rates'!$O$5:$O$1004,"&lt;&gt;Expired")&gt;0,"✓",IF(COUNTIFS('AFA Rates'!$A$5:$A$1004,$A666,'AFA Rates'!$B$5:$B$1004,F$23)&gt;0,"Exp","")))</f>
        <v/>
      </c>
      <c r="G666" s="79">
        <f>IF(OR($A666="",G$23=""),"",IF(COUNTIFS('AFA Rates'!$A$5:$A$1004,$A666,'AFA Rates'!$B$5:$B$1004,G$23,'AFA Rates'!$O$5:$O$1004,"&lt;&gt;Expired")&gt;0,"✓",IF(COUNTIFS('AFA Rates'!$A$5:$A$1004,$A666,'AFA Rates'!$B$5:$B$1004,G$23)&gt;0,"Exp","")))</f>
        <v/>
      </c>
      <c r="H666" s="79">
        <f>IF(OR($A666="",H$23=""),"",IF(COUNTIFS('AFA Rates'!$A$5:$A$1004,$A666,'AFA Rates'!$B$5:$B$1004,H$23,'AFA Rates'!$O$5:$O$1004,"&lt;&gt;Expired")&gt;0,"✓",IF(COUNTIFS('AFA Rates'!$A$5:$A$1004,$A666,'AFA Rates'!$B$5:$B$1004,H$23)&gt;0,"Exp","")))</f>
        <v/>
      </c>
      <c r="I666" s="79">
        <f>IF(OR($A666="",I$23=""),"",IF(COUNTIFS('AFA Rates'!$A$5:$A$1004,$A666,'AFA Rates'!$B$5:$B$1004,I$23,'AFA Rates'!$O$5:$O$1004,"&lt;&gt;Expired")&gt;0,"✓",IF(COUNTIFS('AFA Rates'!$A$5:$A$1004,$A666,'AFA Rates'!$B$5:$B$1004,I$23)&gt;0,"Exp","")))</f>
        <v/>
      </c>
      <c r="J666" s="79">
        <f>IF(OR($A666="",J$23=""),"",IF(COUNTIFS('AFA Rates'!$A$5:$A$1004,$A666,'AFA Rates'!$B$5:$B$1004,J$23,'AFA Rates'!$O$5:$O$1004,"&lt;&gt;Expired")&gt;0,"✓",IF(COUNTIFS('AFA Rates'!$A$5:$A$1004,$A666,'AFA Rates'!$B$5:$B$1004,J$23)&gt;0,"Exp","")))</f>
        <v/>
      </c>
      <c r="K666" s="79">
        <f>IF(OR($A666="",K$23=""),"",IF(COUNTIFS('AFA Rates'!$A$5:$A$1004,$A666,'AFA Rates'!$B$5:$B$1004,K$23,'AFA Rates'!$O$5:$O$1004,"&lt;&gt;Expired")&gt;0,"✓",IF(COUNTIFS('AFA Rates'!$A$5:$A$1004,$A666,'AFA Rates'!$B$5:$B$1004,K$23)&gt;0,"Exp","")))</f>
        <v/>
      </c>
      <c r="L666" s="79">
        <f>IF(OR($A666="",L$23=""),"",IF(COUNTIFS('AFA Rates'!$A$5:$A$1004,$A666,'AFA Rates'!$B$5:$B$1004,L$23,'AFA Rates'!$O$5:$O$1004,"&lt;&gt;Expired")&gt;0,"✓",IF(COUNTIFS('AFA Rates'!$A$5:$A$1004,$A666,'AFA Rates'!$B$5:$B$1004,L$23)&gt;0,"Exp","")))</f>
        <v/>
      </c>
      <c r="M666" s="79">
        <f>IF(OR($A666="",M$23=""),"",IF(COUNTIFS('AFA Rates'!$A$5:$A$1004,$A666,'AFA Rates'!$B$5:$B$1004,M$23,'AFA Rates'!$O$5:$O$1004,"&lt;&gt;Expired")&gt;0,"✓",IF(COUNTIFS('AFA Rates'!$A$5:$A$1004,$A666,'AFA Rates'!$B$5:$B$1004,M$23)&gt;0,"Exp","")))</f>
        <v/>
      </c>
    </row>
    <row r="667">
      <c r="A667" s="78">
        <f>IFERROR(INDEX(Firms!$A$5:$A$1004,MATCH(644,Firms!$V$5:$V$1004,0)),"")</f>
        <v/>
      </c>
      <c r="B667" s="79">
        <f>IF($A667="","",INDEX(Firms!$B$5:$B$1004,MATCH(644,Firms!$V$5:$V$1004,0)))</f>
        <v/>
      </c>
      <c r="C667" s="79">
        <f>IF($A667="","",COUNTIFS('AFA Rates'!$A$5:$A$1004,$A667,'AFA Rates'!$O$5:$O$1004,"&lt;&gt;Expired"))</f>
        <v/>
      </c>
      <c r="D667" s="79">
        <f>IF(OR($A667="",D$23=""),"",IF(COUNTIFS('AFA Rates'!$A$5:$A$1004,$A667,'AFA Rates'!$B$5:$B$1004,D$23,'AFA Rates'!$O$5:$O$1004,"&lt;&gt;Expired")&gt;0,"✓",IF(COUNTIFS('AFA Rates'!$A$5:$A$1004,$A667,'AFA Rates'!$B$5:$B$1004,D$23)&gt;0,"Exp","")))</f>
        <v/>
      </c>
      <c r="E667" s="79">
        <f>IF(OR($A667="",E$23=""),"",IF(COUNTIFS('AFA Rates'!$A$5:$A$1004,$A667,'AFA Rates'!$B$5:$B$1004,E$23,'AFA Rates'!$O$5:$O$1004,"&lt;&gt;Expired")&gt;0,"✓",IF(COUNTIFS('AFA Rates'!$A$5:$A$1004,$A667,'AFA Rates'!$B$5:$B$1004,E$23)&gt;0,"Exp","")))</f>
        <v/>
      </c>
      <c r="F667" s="79">
        <f>IF(OR($A667="",F$23=""),"",IF(COUNTIFS('AFA Rates'!$A$5:$A$1004,$A667,'AFA Rates'!$B$5:$B$1004,F$23,'AFA Rates'!$O$5:$O$1004,"&lt;&gt;Expired")&gt;0,"✓",IF(COUNTIFS('AFA Rates'!$A$5:$A$1004,$A667,'AFA Rates'!$B$5:$B$1004,F$23)&gt;0,"Exp","")))</f>
        <v/>
      </c>
      <c r="G667" s="79">
        <f>IF(OR($A667="",G$23=""),"",IF(COUNTIFS('AFA Rates'!$A$5:$A$1004,$A667,'AFA Rates'!$B$5:$B$1004,G$23,'AFA Rates'!$O$5:$O$1004,"&lt;&gt;Expired")&gt;0,"✓",IF(COUNTIFS('AFA Rates'!$A$5:$A$1004,$A667,'AFA Rates'!$B$5:$B$1004,G$23)&gt;0,"Exp","")))</f>
        <v/>
      </c>
      <c r="H667" s="79">
        <f>IF(OR($A667="",H$23=""),"",IF(COUNTIFS('AFA Rates'!$A$5:$A$1004,$A667,'AFA Rates'!$B$5:$B$1004,H$23,'AFA Rates'!$O$5:$O$1004,"&lt;&gt;Expired")&gt;0,"✓",IF(COUNTIFS('AFA Rates'!$A$5:$A$1004,$A667,'AFA Rates'!$B$5:$B$1004,H$23)&gt;0,"Exp","")))</f>
        <v/>
      </c>
      <c r="I667" s="79">
        <f>IF(OR($A667="",I$23=""),"",IF(COUNTIFS('AFA Rates'!$A$5:$A$1004,$A667,'AFA Rates'!$B$5:$B$1004,I$23,'AFA Rates'!$O$5:$O$1004,"&lt;&gt;Expired")&gt;0,"✓",IF(COUNTIFS('AFA Rates'!$A$5:$A$1004,$A667,'AFA Rates'!$B$5:$B$1004,I$23)&gt;0,"Exp","")))</f>
        <v/>
      </c>
      <c r="J667" s="79">
        <f>IF(OR($A667="",J$23=""),"",IF(COUNTIFS('AFA Rates'!$A$5:$A$1004,$A667,'AFA Rates'!$B$5:$B$1004,J$23,'AFA Rates'!$O$5:$O$1004,"&lt;&gt;Expired")&gt;0,"✓",IF(COUNTIFS('AFA Rates'!$A$5:$A$1004,$A667,'AFA Rates'!$B$5:$B$1004,J$23)&gt;0,"Exp","")))</f>
        <v/>
      </c>
      <c r="K667" s="79">
        <f>IF(OR($A667="",K$23=""),"",IF(COUNTIFS('AFA Rates'!$A$5:$A$1004,$A667,'AFA Rates'!$B$5:$B$1004,K$23,'AFA Rates'!$O$5:$O$1004,"&lt;&gt;Expired")&gt;0,"✓",IF(COUNTIFS('AFA Rates'!$A$5:$A$1004,$A667,'AFA Rates'!$B$5:$B$1004,K$23)&gt;0,"Exp","")))</f>
        <v/>
      </c>
      <c r="L667" s="79">
        <f>IF(OR($A667="",L$23=""),"",IF(COUNTIFS('AFA Rates'!$A$5:$A$1004,$A667,'AFA Rates'!$B$5:$B$1004,L$23,'AFA Rates'!$O$5:$O$1004,"&lt;&gt;Expired")&gt;0,"✓",IF(COUNTIFS('AFA Rates'!$A$5:$A$1004,$A667,'AFA Rates'!$B$5:$B$1004,L$23)&gt;0,"Exp","")))</f>
        <v/>
      </c>
      <c r="M667" s="79">
        <f>IF(OR($A667="",M$23=""),"",IF(COUNTIFS('AFA Rates'!$A$5:$A$1004,$A667,'AFA Rates'!$B$5:$B$1004,M$23,'AFA Rates'!$O$5:$O$1004,"&lt;&gt;Expired")&gt;0,"✓",IF(COUNTIFS('AFA Rates'!$A$5:$A$1004,$A667,'AFA Rates'!$B$5:$B$1004,M$23)&gt;0,"Exp","")))</f>
        <v/>
      </c>
    </row>
    <row r="668">
      <c r="A668" s="78">
        <f>IFERROR(INDEX(Firms!$A$5:$A$1004,MATCH(645,Firms!$V$5:$V$1004,0)),"")</f>
        <v/>
      </c>
      <c r="B668" s="79">
        <f>IF($A668="","",INDEX(Firms!$B$5:$B$1004,MATCH(645,Firms!$V$5:$V$1004,0)))</f>
        <v/>
      </c>
      <c r="C668" s="79">
        <f>IF($A668="","",COUNTIFS('AFA Rates'!$A$5:$A$1004,$A668,'AFA Rates'!$O$5:$O$1004,"&lt;&gt;Expired"))</f>
        <v/>
      </c>
      <c r="D668" s="79">
        <f>IF(OR($A668="",D$23=""),"",IF(COUNTIFS('AFA Rates'!$A$5:$A$1004,$A668,'AFA Rates'!$B$5:$B$1004,D$23,'AFA Rates'!$O$5:$O$1004,"&lt;&gt;Expired")&gt;0,"✓",IF(COUNTIFS('AFA Rates'!$A$5:$A$1004,$A668,'AFA Rates'!$B$5:$B$1004,D$23)&gt;0,"Exp","")))</f>
        <v/>
      </c>
      <c r="E668" s="79">
        <f>IF(OR($A668="",E$23=""),"",IF(COUNTIFS('AFA Rates'!$A$5:$A$1004,$A668,'AFA Rates'!$B$5:$B$1004,E$23,'AFA Rates'!$O$5:$O$1004,"&lt;&gt;Expired")&gt;0,"✓",IF(COUNTIFS('AFA Rates'!$A$5:$A$1004,$A668,'AFA Rates'!$B$5:$B$1004,E$23)&gt;0,"Exp","")))</f>
        <v/>
      </c>
      <c r="F668" s="79">
        <f>IF(OR($A668="",F$23=""),"",IF(COUNTIFS('AFA Rates'!$A$5:$A$1004,$A668,'AFA Rates'!$B$5:$B$1004,F$23,'AFA Rates'!$O$5:$O$1004,"&lt;&gt;Expired")&gt;0,"✓",IF(COUNTIFS('AFA Rates'!$A$5:$A$1004,$A668,'AFA Rates'!$B$5:$B$1004,F$23)&gt;0,"Exp","")))</f>
        <v/>
      </c>
      <c r="G668" s="79">
        <f>IF(OR($A668="",G$23=""),"",IF(COUNTIFS('AFA Rates'!$A$5:$A$1004,$A668,'AFA Rates'!$B$5:$B$1004,G$23,'AFA Rates'!$O$5:$O$1004,"&lt;&gt;Expired")&gt;0,"✓",IF(COUNTIFS('AFA Rates'!$A$5:$A$1004,$A668,'AFA Rates'!$B$5:$B$1004,G$23)&gt;0,"Exp","")))</f>
        <v/>
      </c>
      <c r="H668" s="79">
        <f>IF(OR($A668="",H$23=""),"",IF(COUNTIFS('AFA Rates'!$A$5:$A$1004,$A668,'AFA Rates'!$B$5:$B$1004,H$23,'AFA Rates'!$O$5:$O$1004,"&lt;&gt;Expired")&gt;0,"✓",IF(COUNTIFS('AFA Rates'!$A$5:$A$1004,$A668,'AFA Rates'!$B$5:$B$1004,H$23)&gt;0,"Exp","")))</f>
        <v/>
      </c>
      <c r="I668" s="79">
        <f>IF(OR($A668="",I$23=""),"",IF(COUNTIFS('AFA Rates'!$A$5:$A$1004,$A668,'AFA Rates'!$B$5:$B$1004,I$23,'AFA Rates'!$O$5:$O$1004,"&lt;&gt;Expired")&gt;0,"✓",IF(COUNTIFS('AFA Rates'!$A$5:$A$1004,$A668,'AFA Rates'!$B$5:$B$1004,I$23)&gt;0,"Exp","")))</f>
        <v/>
      </c>
      <c r="J668" s="79">
        <f>IF(OR($A668="",J$23=""),"",IF(COUNTIFS('AFA Rates'!$A$5:$A$1004,$A668,'AFA Rates'!$B$5:$B$1004,J$23,'AFA Rates'!$O$5:$O$1004,"&lt;&gt;Expired")&gt;0,"✓",IF(COUNTIFS('AFA Rates'!$A$5:$A$1004,$A668,'AFA Rates'!$B$5:$B$1004,J$23)&gt;0,"Exp","")))</f>
        <v/>
      </c>
      <c r="K668" s="79">
        <f>IF(OR($A668="",K$23=""),"",IF(COUNTIFS('AFA Rates'!$A$5:$A$1004,$A668,'AFA Rates'!$B$5:$B$1004,K$23,'AFA Rates'!$O$5:$O$1004,"&lt;&gt;Expired")&gt;0,"✓",IF(COUNTIFS('AFA Rates'!$A$5:$A$1004,$A668,'AFA Rates'!$B$5:$B$1004,K$23)&gt;0,"Exp","")))</f>
        <v/>
      </c>
      <c r="L668" s="79">
        <f>IF(OR($A668="",L$23=""),"",IF(COUNTIFS('AFA Rates'!$A$5:$A$1004,$A668,'AFA Rates'!$B$5:$B$1004,L$23,'AFA Rates'!$O$5:$O$1004,"&lt;&gt;Expired")&gt;0,"✓",IF(COUNTIFS('AFA Rates'!$A$5:$A$1004,$A668,'AFA Rates'!$B$5:$B$1004,L$23)&gt;0,"Exp","")))</f>
        <v/>
      </c>
      <c r="M668" s="79">
        <f>IF(OR($A668="",M$23=""),"",IF(COUNTIFS('AFA Rates'!$A$5:$A$1004,$A668,'AFA Rates'!$B$5:$B$1004,M$23,'AFA Rates'!$O$5:$O$1004,"&lt;&gt;Expired")&gt;0,"✓",IF(COUNTIFS('AFA Rates'!$A$5:$A$1004,$A668,'AFA Rates'!$B$5:$B$1004,M$23)&gt;0,"Exp","")))</f>
        <v/>
      </c>
    </row>
    <row r="669">
      <c r="A669" s="78">
        <f>IFERROR(INDEX(Firms!$A$5:$A$1004,MATCH(646,Firms!$V$5:$V$1004,0)),"")</f>
        <v/>
      </c>
      <c r="B669" s="79">
        <f>IF($A669="","",INDEX(Firms!$B$5:$B$1004,MATCH(646,Firms!$V$5:$V$1004,0)))</f>
        <v/>
      </c>
      <c r="C669" s="79">
        <f>IF($A669="","",COUNTIFS('AFA Rates'!$A$5:$A$1004,$A669,'AFA Rates'!$O$5:$O$1004,"&lt;&gt;Expired"))</f>
        <v/>
      </c>
      <c r="D669" s="79">
        <f>IF(OR($A669="",D$23=""),"",IF(COUNTIFS('AFA Rates'!$A$5:$A$1004,$A669,'AFA Rates'!$B$5:$B$1004,D$23,'AFA Rates'!$O$5:$O$1004,"&lt;&gt;Expired")&gt;0,"✓",IF(COUNTIFS('AFA Rates'!$A$5:$A$1004,$A669,'AFA Rates'!$B$5:$B$1004,D$23)&gt;0,"Exp","")))</f>
        <v/>
      </c>
      <c r="E669" s="79">
        <f>IF(OR($A669="",E$23=""),"",IF(COUNTIFS('AFA Rates'!$A$5:$A$1004,$A669,'AFA Rates'!$B$5:$B$1004,E$23,'AFA Rates'!$O$5:$O$1004,"&lt;&gt;Expired")&gt;0,"✓",IF(COUNTIFS('AFA Rates'!$A$5:$A$1004,$A669,'AFA Rates'!$B$5:$B$1004,E$23)&gt;0,"Exp","")))</f>
        <v/>
      </c>
      <c r="F669" s="79">
        <f>IF(OR($A669="",F$23=""),"",IF(COUNTIFS('AFA Rates'!$A$5:$A$1004,$A669,'AFA Rates'!$B$5:$B$1004,F$23,'AFA Rates'!$O$5:$O$1004,"&lt;&gt;Expired")&gt;0,"✓",IF(COUNTIFS('AFA Rates'!$A$5:$A$1004,$A669,'AFA Rates'!$B$5:$B$1004,F$23)&gt;0,"Exp","")))</f>
        <v/>
      </c>
      <c r="G669" s="79">
        <f>IF(OR($A669="",G$23=""),"",IF(COUNTIFS('AFA Rates'!$A$5:$A$1004,$A669,'AFA Rates'!$B$5:$B$1004,G$23,'AFA Rates'!$O$5:$O$1004,"&lt;&gt;Expired")&gt;0,"✓",IF(COUNTIFS('AFA Rates'!$A$5:$A$1004,$A669,'AFA Rates'!$B$5:$B$1004,G$23)&gt;0,"Exp","")))</f>
        <v/>
      </c>
      <c r="H669" s="79">
        <f>IF(OR($A669="",H$23=""),"",IF(COUNTIFS('AFA Rates'!$A$5:$A$1004,$A669,'AFA Rates'!$B$5:$B$1004,H$23,'AFA Rates'!$O$5:$O$1004,"&lt;&gt;Expired")&gt;0,"✓",IF(COUNTIFS('AFA Rates'!$A$5:$A$1004,$A669,'AFA Rates'!$B$5:$B$1004,H$23)&gt;0,"Exp","")))</f>
        <v/>
      </c>
      <c r="I669" s="79">
        <f>IF(OR($A669="",I$23=""),"",IF(COUNTIFS('AFA Rates'!$A$5:$A$1004,$A669,'AFA Rates'!$B$5:$B$1004,I$23,'AFA Rates'!$O$5:$O$1004,"&lt;&gt;Expired")&gt;0,"✓",IF(COUNTIFS('AFA Rates'!$A$5:$A$1004,$A669,'AFA Rates'!$B$5:$B$1004,I$23)&gt;0,"Exp","")))</f>
        <v/>
      </c>
      <c r="J669" s="79">
        <f>IF(OR($A669="",J$23=""),"",IF(COUNTIFS('AFA Rates'!$A$5:$A$1004,$A669,'AFA Rates'!$B$5:$B$1004,J$23,'AFA Rates'!$O$5:$O$1004,"&lt;&gt;Expired")&gt;0,"✓",IF(COUNTIFS('AFA Rates'!$A$5:$A$1004,$A669,'AFA Rates'!$B$5:$B$1004,J$23)&gt;0,"Exp","")))</f>
        <v/>
      </c>
      <c r="K669" s="79">
        <f>IF(OR($A669="",K$23=""),"",IF(COUNTIFS('AFA Rates'!$A$5:$A$1004,$A669,'AFA Rates'!$B$5:$B$1004,K$23,'AFA Rates'!$O$5:$O$1004,"&lt;&gt;Expired")&gt;0,"✓",IF(COUNTIFS('AFA Rates'!$A$5:$A$1004,$A669,'AFA Rates'!$B$5:$B$1004,K$23)&gt;0,"Exp","")))</f>
        <v/>
      </c>
      <c r="L669" s="79">
        <f>IF(OR($A669="",L$23=""),"",IF(COUNTIFS('AFA Rates'!$A$5:$A$1004,$A669,'AFA Rates'!$B$5:$B$1004,L$23,'AFA Rates'!$O$5:$O$1004,"&lt;&gt;Expired")&gt;0,"✓",IF(COUNTIFS('AFA Rates'!$A$5:$A$1004,$A669,'AFA Rates'!$B$5:$B$1004,L$23)&gt;0,"Exp","")))</f>
        <v/>
      </c>
      <c r="M669" s="79">
        <f>IF(OR($A669="",M$23=""),"",IF(COUNTIFS('AFA Rates'!$A$5:$A$1004,$A669,'AFA Rates'!$B$5:$B$1004,M$23,'AFA Rates'!$O$5:$O$1004,"&lt;&gt;Expired")&gt;0,"✓",IF(COUNTIFS('AFA Rates'!$A$5:$A$1004,$A669,'AFA Rates'!$B$5:$B$1004,M$23)&gt;0,"Exp","")))</f>
        <v/>
      </c>
    </row>
    <row r="670">
      <c r="A670" s="78">
        <f>IFERROR(INDEX(Firms!$A$5:$A$1004,MATCH(647,Firms!$V$5:$V$1004,0)),"")</f>
        <v/>
      </c>
      <c r="B670" s="79">
        <f>IF($A670="","",INDEX(Firms!$B$5:$B$1004,MATCH(647,Firms!$V$5:$V$1004,0)))</f>
        <v/>
      </c>
      <c r="C670" s="79">
        <f>IF($A670="","",COUNTIFS('AFA Rates'!$A$5:$A$1004,$A670,'AFA Rates'!$O$5:$O$1004,"&lt;&gt;Expired"))</f>
        <v/>
      </c>
      <c r="D670" s="79">
        <f>IF(OR($A670="",D$23=""),"",IF(COUNTIFS('AFA Rates'!$A$5:$A$1004,$A670,'AFA Rates'!$B$5:$B$1004,D$23,'AFA Rates'!$O$5:$O$1004,"&lt;&gt;Expired")&gt;0,"✓",IF(COUNTIFS('AFA Rates'!$A$5:$A$1004,$A670,'AFA Rates'!$B$5:$B$1004,D$23)&gt;0,"Exp","")))</f>
        <v/>
      </c>
      <c r="E670" s="79">
        <f>IF(OR($A670="",E$23=""),"",IF(COUNTIFS('AFA Rates'!$A$5:$A$1004,$A670,'AFA Rates'!$B$5:$B$1004,E$23,'AFA Rates'!$O$5:$O$1004,"&lt;&gt;Expired")&gt;0,"✓",IF(COUNTIFS('AFA Rates'!$A$5:$A$1004,$A670,'AFA Rates'!$B$5:$B$1004,E$23)&gt;0,"Exp","")))</f>
        <v/>
      </c>
      <c r="F670" s="79">
        <f>IF(OR($A670="",F$23=""),"",IF(COUNTIFS('AFA Rates'!$A$5:$A$1004,$A670,'AFA Rates'!$B$5:$B$1004,F$23,'AFA Rates'!$O$5:$O$1004,"&lt;&gt;Expired")&gt;0,"✓",IF(COUNTIFS('AFA Rates'!$A$5:$A$1004,$A670,'AFA Rates'!$B$5:$B$1004,F$23)&gt;0,"Exp","")))</f>
        <v/>
      </c>
      <c r="G670" s="79">
        <f>IF(OR($A670="",G$23=""),"",IF(COUNTIFS('AFA Rates'!$A$5:$A$1004,$A670,'AFA Rates'!$B$5:$B$1004,G$23,'AFA Rates'!$O$5:$O$1004,"&lt;&gt;Expired")&gt;0,"✓",IF(COUNTIFS('AFA Rates'!$A$5:$A$1004,$A670,'AFA Rates'!$B$5:$B$1004,G$23)&gt;0,"Exp","")))</f>
        <v/>
      </c>
      <c r="H670" s="79">
        <f>IF(OR($A670="",H$23=""),"",IF(COUNTIFS('AFA Rates'!$A$5:$A$1004,$A670,'AFA Rates'!$B$5:$B$1004,H$23,'AFA Rates'!$O$5:$O$1004,"&lt;&gt;Expired")&gt;0,"✓",IF(COUNTIFS('AFA Rates'!$A$5:$A$1004,$A670,'AFA Rates'!$B$5:$B$1004,H$23)&gt;0,"Exp","")))</f>
        <v/>
      </c>
      <c r="I670" s="79">
        <f>IF(OR($A670="",I$23=""),"",IF(COUNTIFS('AFA Rates'!$A$5:$A$1004,$A670,'AFA Rates'!$B$5:$B$1004,I$23,'AFA Rates'!$O$5:$O$1004,"&lt;&gt;Expired")&gt;0,"✓",IF(COUNTIFS('AFA Rates'!$A$5:$A$1004,$A670,'AFA Rates'!$B$5:$B$1004,I$23)&gt;0,"Exp","")))</f>
        <v/>
      </c>
      <c r="J670" s="79">
        <f>IF(OR($A670="",J$23=""),"",IF(COUNTIFS('AFA Rates'!$A$5:$A$1004,$A670,'AFA Rates'!$B$5:$B$1004,J$23,'AFA Rates'!$O$5:$O$1004,"&lt;&gt;Expired")&gt;0,"✓",IF(COUNTIFS('AFA Rates'!$A$5:$A$1004,$A670,'AFA Rates'!$B$5:$B$1004,J$23)&gt;0,"Exp","")))</f>
        <v/>
      </c>
      <c r="K670" s="79">
        <f>IF(OR($A670="",K$23=""),"",IF(COUNTIFS('AFA Rates'!$A$5:$A$1004,$A670,'AFA Rates'!$B$5:$B$1004,K$23,'AFA Rates'!$O$5:$O$1004,"&lt;&gt;Expired")&gt;0,"✓",IF(COUNTIFS('AFA Rates'!$A$5:$A$1004,$A670,'AFA Rates'!$B$5:$B$1004,K$23)&gt;0,"Exp","")))</f>
        <v/>
      </c>
      <c r="L670" s="79">
        <f>IF(OR($A670="",L$23=""),"",IF(COUNTIFS('AFA Rates'!$A$5:$A$1004,$A670,'AFA Rates'!$B$5:$B$1004,L$23,'AFA Rates'!$O$5:$O$1004,"&lt;&gt;Expired")&gt;0,"✓",IF(COUNTIFS('AFA Rates'!$A$5:$A$1004,$A670,'AFA Rates'!$B$5:$B$1004,L$23)&gt;0,"Exp","")))</f>
        <v/>
      </c>
      <c r="M670" s="79">
        <f>IF(OR($A670="",M$23=""),"",IF(COUNTIFS('AFA Rates'!$A$5:$A$1004,$A670,'AFA Rates'!$B$5:$B$1004,M$23,'AFA Rates'!$O$5:$O$1004,"&lt;&gt;Expired")&gt;0,"✓",IF(COUNTIFS('AFA Rates'!$A$5:$A$1004,$A670,'AFA Rates'!$B$5:$B$1004,M$23)&gt;0,"Exp","")))</f>
        <v/>
      </c>
    </row>
    <row r="671">
      <c r="A671" s="78">
        <f>IFERROR(INDEX(Firms!$A$5:$A$1004,MATCH(648,Firms!$V$5:$V$1004,0)),"")</f>
        <v/>
      </c>
      <c r="B671" s="79">
        <f>IF($A671="","",INDEX(Firms!$B$5:$B$1004,MATCH(648,Firms!$V$5:$V$1004,0)))</f>
        <v/>
      </c>
      <c r="C671" s="79">
        <f>IF($A671="","",COUNTIFS('AFA Rates'!$A$5:$A$1004,$A671,'AFA Rates'!$O$5:$O$1004,"&lt;&gt;Expired"))</f>
        <v/>
      </c>
      <c r="D671" s="79">
        <f>IF(OR($A671="",D$23=""),"",IF(COUNTIFS('AFA Rates'!$A$5:$A$1004,$A671,'AFA Rates'!$B$5:$B$1004,D$23,'AFA Rates'!$O$5:$O$1004,"&lt;&gt;Expired")&gt;0,"✓",IF(COUNTIFS('AFA Rates'!$A$5:$A$1004,$A671,'AFA Rates'!$B$5:$B$1004,D$23)&gt;0,"Exp","")))</f>
        <v/>
      </c>
      <c r="E671" s="79">
        <f>IF(OR($A671="",E$23=""),"",IF(COUNTIFS('AFA Rates'!$A$5:$A$1004,$A671,'AFA Rates'!$B$5:$B$1004,E$23,'AFA Rates'!$O$5:$O$1004,"&lt;&gt;Expired")&gt;0,"✓",IF(COUNTIFS('AFA Rates'!$A$5:$A$1004,$A671,'AFA Rates'!$B$5:$B$1004,E$23)&gt;0,"Exp","")))</f>
        <v/>
      </c>
      <c r="F671" s="79">
        <f>IF(OR($A671="",F$23=""),"",IF(COUNTIFS('AFA Rates'!$A$5:$A$1004,$A671,'AFA Rates'!$B$5:$B$1004,F$23,'AFA Rates'!$O$5:$O$1004,"&lt;&gt;Expired")&gt;0,"✓",IF(COUNTIFS('AFA Rates'!$A$5:$A$1004,$A671,'AFA Rates'!$B$5:$B$1004,F$23)&gt;0,"Exp","")))</f>
        <v/>
      </c>
      <c r="G671" s="79">
        <f>IF(OR($A671="",G$23=""),"",IF(COUNTIFS('AFA Rates'!$A$5:$A$1004,$A671,'AFA Rates'!$B$5:$B$1004,G$23,'AFA Rates'!$O$5:$O$1004,"&lt;&gt;Expired")&gt;0,"✓",IF(COUNTIFS('AFA Rates'!$A$5:$A$1004,$A671,'AFA Rates'!$B$5:$B$1004,G$23)&gt;0,"Exp","")))</f>
        <v/>
      </c>
      <c r="H671" s="79">
        <f>IF(OR($A671="",H$23=""),"",IF(COUNTIFS('AFA Rates'!$A$5:$A$1004,$A671,'AFA Rates'!$B$5:$B$1004,H$23,'AFA Rates'!$O$5:$O$1004,"&lt;&gt;Expired")&gt;0,"✓",IF(COUNTIFS('AFA Rates'!$A$5:$A$1004,$A671,'AFA Rates'!$B$5:$B$1004,H$23)&gt;0,"Exp","")))</f>
        <v/>
      </c>
      <c r="I671" s="79">
        <f>IF(OR($A671="",I$23=""),"",IF(COUNTIFS('AFA Rates'!$A$5:$A$1004,$A671,'AFA Rates'!$B$5:$B$1004,I$23,'AFA Rates'!$O$5:$O$1004,"&lt;&gt;Expired")&gt;0,"✓",IF(COUNTIFS('AFA Rates'!$A$5:$A$1004,$A671,'AFA Rates'!$B$5:$B$1004,I$23)&gt;0,"Exp","")))</f>
        <v/>
      </c>
      <c r="J671" s="79">
        <f>IF(OR($A671="",J$23=""),"",IF(COUNTIFS('AFA Rates'!$A$5:$A$1004,$A671,'AFA Rates'!$B$5:$B$1004,J$23,'AFA Rates'!$O$5:$O$1004,"&lt;&gt;Expired")&gt;0,"✓",IF(COUNTIFS('AFA Rates'!$A$5:$A$1004,$A671,'AFA Rates'!$B$5:$B$1004,J$23)&gt;0,"Exp","")))</f>
        <v/>
      </c>
      <c r="K671" s="79">
        <f>IF(OR($A671="",K$23=""),"",IF(COUNTIFS('AFA Rates'!$A$5:$A$1004,$A671,'AFA Rates'!$B$5:$B$1004,K$23,'AFA Rates'!$O$5:$O$1004,"&lt;&gt;Expired")&gt;0,"✓",IF(COUNTIFS('AFA Rates'!$A$5:$A$1004,$A671,'AFA Rates'!$B$5:$B$1004,K$23)&gt;0,"Exp","")))</f>
        <v/>
      </c>
      <c r="L671" s="79">
        <f>IF(OR($A671="",L$23=""),"",IF(COUNTIFS('AFA Rates'!$A$5:$A$1004,$A671,'AFA Rates'!$B$5:$B$1004,L$23,'AFA Rates'!$O$5:$O$1004,"&lt;&gt;Expired")&gt;0,"✓",IF(COUNTIFS('AFA Rates'!$A$5:$A$1004,$A671,'AFA Rates'!$B$5:$B$1004,L$23)&gt;0,"Exp","")))</f>
        <v/>
      </c>
      <c r="M671" s="79">
        <f>IF(OR($A671="",M$23=""),"",IF(COUNTIFS('AFA Rates'!$A$5:$A$1004,$A671,'AFA Rates'!$B$5:$B$1004,M$23,'AFA Rates'!$O$5:$O$1004,"&lt;&gt;Expired")&gt;0,"✓",IF(COUNTIFS('AFA Rates'!$A$5:$A$1004,$A671,'AFA Rates'!$B$5:$B$1004,M$23)&gt;0,"Exp","")))</f>
        <v/>
      </c>
    </row>
    <row r="672">
      <c r="A672" s="78">
        <f>IFERROR(INDEX(Firms!$A$5:$A$1004,MATCH(649,Firms!$V$5:$V$1004,0)),"")</f>
        <v/>
      </c>
      <c r="B672" s="79">
        <f>IF($A672="","",INDEX(Firms!$B$5:$B$1004,MATCH(649,Firms!$V$5:$V$1004,0)))</f>
        <v/>
      </c>
      <c r="C672" s="79">
        <f>IF($A672="","",COUNTIFS('AFA Rates'!$A$5:$A$1004,$A672,'AFA Rates'!$O$5:$O$1004,"&lt;&gt;Expired"))</f>
        <v/>
      </c>
      <c r="D672" s="79">
        <f>IF(OR($A672="",D$23=""),"",IF(COUNTIFS('AFA Rates'!$A$5:$A$1004,$A672,'AFA Rates'!$B$5:$B$1004,D$23,'AFA Rates'!$O$5:$O$1004,"&lt;&gt;Expired")&gt;0,"✓",IF(COUNTIFS('AFA Rates'!$A$5:$A$1004,$A672,'AFA Rates'!$B$5:$B$1004,D$23)&gt;0,"Exp","")))</f>
        <v/>
      </c>
      <c r="E672" s="79">
        <f>IF(OR($A672="",E$23=""),"",IF(COUNTIFS('AFA Rates'!$A$5:$A$1004,$A672,'AFA Rates'!$B$5:$B$1004,E$23,'AFA Rates'!$O$5:$O$1004,"&lt;&gt;Expired")&gt;0,"✓",IF(COUNTIFS('AFA Rates'!$A$5:$A$1004,$A672,'AFA Rates'!$B$5:$B$1004,E$23)&gt;0,"Exp","")))</f>
        <v/>
      </c>
      <c r="F672" s="79">
        <f>IF(OR($A672="",F$23=""),"",IF(COUNTIFS('AFA Rates'!$A$5:$A$1004,$A672,'AFA Rates'!$B$5:$B$1004,F$23,'AFA Rates'!$O$5:$O$1004,"&lt;&gt;Expired")&gt;0,"✓",IF(COUNTIFS('AFA Rates'!$A$5:$A$1004,$A672,'AFA Rates'!$B$5:$B$1004,F$23)&gt;0,"Exp","")))</f>
        <v/>
      </c>
      <c r="G672" s="79">
        <f>IF(OR($A672="",G$23=""),"",IF(COUNTIFS('AFA Rates'!$A$5:$A$1004,$A672,'AFA Rates'!$B$5:$B$1004,G$23,'AFA Rates'!$O$5:$O$1004,"&lt;&gt;Expired")&gt;0,"✓",IF(COUNTIFS('AFA Rates'!$A$5:$A$1004,$A672,'AFA Rates'!$B$5:$B$1004,G$23)&gt;0,"Exp","")))</f>
        <v/>
      </c>
      <c r="H672" s="79">
        <f>IF(OR($A672="",H$23=""),"",IF(COUNTIFS('AFA Rates'!$A$5:$A$1004,$A672,'AFA Rates'!$B$5:$B$1004,H$23,'AFA Rates'!$O$5:$O$1004,"&lt;&gt;Expired")&gt;0,"✓",IF(COUNTIFS('AFA Rates'!$A$5:$A$1004,$A672,'AFA Rates'!$B$5:$B$1004,H$23)&gt;0,"Exp","")))</f>
        <v/>
      </c>
      <c r="I672" s="79">
        <f>IF(OR($A672="",I$23=""),"",IF(COUNTIFS('AFA Rates'!$A$5:$A$1004,$A672,'AFA Rates'!$B$5:$B$1004,I$23,'AFA Rates'!$O$5:$O$1004,"&lt;&gt;Expired")&gt;0,"✓",IF(COUNTIFS('AFA Rates'!$A$5:$A$1004,$A672,'AFA Rates'!$B$5:$B$1004,I$23)&gt;0,"Exp","")))</f>
        <v/>
      </c>
      <c r="J672" s="79">
        <f>IF(OR($A672="",J$23=""),"",IF(COUNTIFS('AFA Rates'!$A$5:$A$1004,$A672,'AFA Rates'!$B$5:$B$1004,J$23,'AFA Rates'!$O$5:$O$1004,"&lt;&gt;Expired")&gt;0,"✓",IF(COUNTIFS('AFA Rates'!$A$5:$A$1004,$A672,'AFA Rates'!$B$5:$B$1004,J$23)&gt;0,"Exp","")))</f>
        <v/>
      </c>
      <c r="K672" s="79">
        <f>IF(OR($A672="",K$23=""),"",IF(COUNTIFS('AFA Rates'!$A$5:$A$1004,$A672,'AFA Rates'!$B$5:$B$1004,K$23,'AFA Rates'!$O$5:$O$1004,"&lt;&gt;Expired")&gt;0,"✓",IF(COUNTIFS('AFA Rates'!$A$5:$A$1004,$A672,'AFA Rates'!$B$5:$B$1004,K$23)&gt;0,"Exp","")))</f>
        <v/>
      </c>
      <c r="L672" s="79">
        <f>IF(OR($A672="",L$23=""),"",IF(COUNTIFS('AFA Rates'!$A$5:$A$1004,$A672,'AFA Rates'!$B$5:$B$1004,L$23,'AFA Rates'!$O$5:$O$1004,"&lt;&gt;Expired")&gt;0,"✓",IF(COUNTIFS('AFA Rates'!$A$5:$A$1004,$A672,'AFA Rates'!$B$5:$B$1004,L$23)&gt;0,"Exp","")))</f>
        <v/>
      </c>
      <c r="M672" s="79">
        <f>IF(OR($A672="",M$23=""),"",IF(COUNTIFS('AFA Rates'!$A$5:$A$1004,$A672,'AFA Rates'!$B$5:$B$1004,M$23,'AFA Rates'!$O$5:$O$1004,"&lt;&gt;Expired")&gt;0,"✓",IF(COUNTIFS('AFA Rates'!$A$5:$A$1004,$A672,'AFA Rates'!$B$5:$B$1004,M$23)&gt;0,"Exp","")))</f>
        <v/>
      </c>
    </row>
    <row r="673">
      <c r="A673" s="78">
        <f>IFERROR(INDEX(Firms!$A$5:$A$1004,MATCH(650,Firms!$V$5:$V$1004,0)),"")</f>
        <v/>
      </c>
      <c r="B673" s="79">
        <f>IF($A673="","",INDEX(Firms!$B$5:$B$1004,MATCH(650,Firms!$V$5:$V$1004,0)))</f>
        <v/>
      </c>
      <c r="C673" s="79">
        <f>IF($A673="","",COUNTIFS('AFA Rates'!$A$5:$A$1004,$A673,'AFA Rates'!$O$5:$O$1004,"&lt;&gt;Expired"))</f>
        <v/>
      </c>
      <c r="D673" s="79">
        <f>IF(OR($A673="",D$23=""),"",IF(COUNTIFS('AFA Rates'!$A$5:$A$1004,$A673,'AFA Rates'!$B$5:$B$1004,D$23,'AFA Rates'!$O$5:$O$1004,"&lt;&gt;Expired")&gt;0,"✓",IF(COUNTIFS('AFA Rates'!$A$5:$A$1004,$A673,'AFA Rates'!$B$5:$B$1004,D$23)&gt;0,"Exp","")))</f>
        <v/>
      </c>
      <c r="E673" s="79">
        <f>IF(OR($A673="",E$23=""),"",IF(COUNTIFS('AFA Rates'!$A$5:$A$1004,$A673,'AFA Rates'!$B$5:$B$1004,E$23,'AFA Rates'!$O$5:$O$1004,"&lt;&gt;Expired")&gt;0,"✓",IF(COUNTIFS('AFA Rates'!$A$5:$A$1004,$A673,'AFA Rates'!$B$5:$B$1004,E$23)&gt;0,"Exp","")))</f>
        <v/>
      </c>
      <c r="F673" s="79">
        <f>IF(OR($A673="",F$23=""),"",IF(COUNTIFS('AFA Rates'!$A$5:$A$1004,$A673,'AFA Rates'!$B$5:$B$1004,F$23,'AFA Rates'!$O$5:$O$1004,"&lt;&gt;Expired")&gt;0,"✓",IF(COUNTIFS('AFA Rates'!$A$5:$A$1004,$A673,'AFA Rates'!$B$5:$B$1004,F$23)&gt;0,"Exp","")))</f>
        <v/>
      </c>
      <c r="G673" s="79">
        <f>IF(OR($A673="",G$23=""),"",IF(COUNTIFS('AFA Rates'!$A$5:$A$1004,$A673,'AFA Rates'!$B$5:$B$1004,G$23,'AFA Rates'!$O$5:$O$1004,"&lt;&gt;Expired")&gt;0,"✓",IF(COUNTIFS('AFA Rates'!$A$5:$A$1004,$A673,'AFA Rates'!$B$5:$B$1004,G$23)&gt;0,"Exp","")))</f>
        <v/>
      </c>
      <c r="H673" s="79">
        <f>IF(OR($A673="",H$23=""),"",IF(COUNTIFS('AFA Rates'!$A$5:$A$1004,$A673,'AFA Rates'!$B$5:$B$1004,H$23,'AFA Rates'!$O$5:$O$1004,"&lt;&gt;Expired")&gt;0,"✓",IF(COUNTIFS('AFA Rates'!$A$5:$A$1004,$A673,'AFA Rates'!$B$5:$B$1004,H$23)&gt;0,"Exp","")))</f>
        <v/>
      </c>
      <c r="I673" s="79">
        <f>IF(OR($A673="",I$23=""),"",IF(COUNTIFS('AFA Rates'!$A$5:$A$1004,$A673,'AFA Rates'!$B$5:$B$1004,I$23,'AFA Rates'!$O$5:$O$1004,"&lt;&gt;Expired")&gt;0,"✓",IF(COUNTIFS('AFA Rates'!$A$5:$A$1004,$A673,'AFA Rates'!$B$5:$B$1004,I$23)&gt;0,"Exp","")))</f>
        <v/>
      </c>
      <c r="J673" s="79">
        <f>IF(OR($A673="",J$23=""),"",IF(COUNTIFS('AFA Rates'!$A$5:$A$1004,$A673,'AFA Rates'!$B$5:$B$1004,J$23,'AFA Rates'!$O$5:$O$1004,"&lt;&gt;Expired")&gt;0,"✓",IF(COUNTIFS('AFA Rates'!$A$5:$A$1004,$A673,'AFA Rates'!$B$5:$B$1004,J$23)&gt;0,"Exp","")))</f>
        <v/>
      </c>
      <c r="K673" s="79">
        <f>IF(OR($A673="",K$23=""),"",IF(COUNTIFS('AFA Rates'!$A$5:$A$1004,$A673,'AFA Rates'!$B$5:$B$1004,K$23,'AFA Rates'!$O$5:$O$1004,"&lt;&gt;Expired")&gt;0,"✓",IF(COUNTIFS('AFA Rates'!$A$5:$A$1004,$A673,'AFA Rates'!$B$5:$B$1004,K$23)&gt;0,"Exp","")))</f>
        <v/>
      </c>
      <c r="L673" s="79">
        <f>IF(OR($A673="",L$23=""),"",IF(COUNTIFS('AFA Rates'!$A$5:$A$1004,$A673,'AFA Rates'!$B$5:$B$1004,L$23,'AFA Rates'!$O$5:$O$1004,"&lt;&gt;Expired")&gt;0,"✓",IF(COUNTIFS('AFA Rates'!$A$5:$A$1004,$A673,'AFA Rates'!$B$5:$B$1004,L$23)&gt;0,"Exp","")))</f>
        <v/>
      </c>
      <c r="M673" s="79">
        <f>IF(OR($A673="",M$23=""),"",IF(COUNTIFS('AFA Rates'!$A$5:$A$1004,$A673,'AFA Rates'!$B$5:$B$1004,M$23,'AFA Rates'!$O$5:$O$1004,"&lt;&gt;Expired")&gt;0,"✓",IF(COUNTIFS('AFA Rates'!$A$5:$A$1004,$A673,'AFA Rates'!$B$5:$B$1004,M$23)&gt;0,"Exp","")))</f>
        <v/>
      </c>
    </row>
    <row r="674">
      <c r="A674" s="78">
        <f>IFERROR(INDEX(Firms!$A$5:$A$1004,MATCH(651,Firms!$V$5:$V$1004,0)),"")</f>
        <v/>
      </c>
      <c r="B674" s="79">
        <f>IF($A674="","",INDEX(Firms!$B$5:$B$1004,MATCH(651,Firms!$V$5:$V$1004,0)))</f>
        <v/>
      </c>
      <c r="C674" s="79">
        <f>IF($A674="","",COUNTIFS('AFA Rates'!$A$5:$A$1004,$A674,'AFA Rates'!$O$5:$O$1004,"&lt;&gt;Expired"))</f>
        <v/>
      </c>
      <c r="D674" s="79">
        <f>IF(OR($A674="",D$23=""),"",IF(COUNTIFS('AFA Rates'!$A$5:$A$1004,$A674,'AFA Rates'!$B$5:$B$1004,D$23,'AFA Rates'!$O$5:$O$1004,"&lt;&gt;Expired")&gt;0,"✓",IF(COUNTIFS('AFA Rates'!$A$5:$A$1004,$A674,'AFA Rates'!$B$5:$B$1004,D$23)&gt;0,"Exp","")))</f>
        <v/>
      </c>
      <c r="E674" s="79">
        <f>IF(OR($A674="",E$23=""),"",IF(COUNTIFS('AFA Rates'!$A$5:$A$1004,$A674,'AFA Rates'!$B$5:$B$1004,E$23,'AFA Rates'!$O$5:$O$1004,"&lt;&gt;Expired")&gt;0,"✓",IF(COUNTIFS('AFA Rates'!$A$5:$A$1004,$A674,'AFA Rates'!$B$5:$B$1004,E$23)&gt;0,"Exp","")))</f>
        <v/>
      </c>
      <c r="F674" s="79">
        <f>IF(OR($A674="",F$23=""),"",IF(COUNTIFS('AFA Rates'!$A$5:$A$1004,$A674,'AFA Rates'!$B$5:$B$1004,F$23,'AFA Rates'!$O$5:$O$1004,"&lt;&gt;Expired")&gt;0,"✓",IF(COUNTIFS('AFA Rates'!$A$5:$A$1004,$A674,'AFA Rates'!$B$5:$B$1004,F$23)&gt;0,"Exp","")))</f>
        <v/>
      </c>
      <c r="G674" s="79">
        <f>IF(OR($A674="",G$23=""),"",IF(COUNTIFS('AFA Rates'!$A$5:$A$1004,$A674,'AFA Rates'!$B$5:$B$1004,G$23,'AFA Rates'!$O$5:$O$1004,"&lt;&gt;Expired")&gt;0,"✓",IF(COUNTIFS('AFA Rates'!$A$5:$A$1004,$A674,'AFA Rates'!$B$5:$B$1004,G$23)&gt;0,"Exp","")))</f>
        <v/>
      </c>
      <c r="H674" s="79">
        <f>IF(OR($A674="",H$23=""),"",IF(COUNTIFS('AFA Rates'!$A$5:$A$1004,$A674,'AFA Rates'!$B$5:$B$1004,H$23,'AFA Rates'!$O$5:$O$1004,"&lt;&gt;Expired")&gt;0,"✓",IF(COUNTIFS('AFA Rates'!$A$5:$A$1004,$A674,'AFA Rates'!$B$5:$B$1004,H$23)&gt;0,"Exp","")))</f>
        <v/>
      </c>
      <c r="I674" s="79">
        <f>IF(OR($A674="",I$23=""),"",IF(COUNTIFS('AFA Rates'!$A$5:$A$1004,$A674,'AFA Rates'!$B$5:$B$1004,I$23,'AFA Rates'!$O$5:$O$1004,"&lt;&gt;Expired")&gt;0,"✓",IF(COUNTIFS('AFA Rates'!$A$5:$A$1004,$A674,'AFA Rates'!$B$5:$B$1004,I$23)&gt;0,"Exp","")))</f>
        <v/>
      </c>
      <c r="J674" s="79">
        <f>IF(OR($A674="",J$23=""),"",IF(COUNTIFS('AFA Rates'!$A$5:$A$1004,$A674,'AFA Rates'!$B$5:$B$1004,J$23,'AFA Rates'!$O$5:$O$1004,"&lt;&gt;Expired")&gt;0,"✓",IF(COUNTIFS('AFA Rates'!$A$5:$A$1004,$A674,'AFA Rates'!$B$5:$B$1004,J$23)&gt;0,"Exp","")))</f>
        <v/>
      </c>
      <c r="K674" s="79">
        <f>IF(OR($A674="",K$23=""),"",IF(COUNTIFS('AFA Rates'!$A$5:$A$1004,$A674,'AFA Rates'!$B$5:$B$1004,K$23,'AFA Rates'!$O$5:$O$1004,"&lt;&gt;Expired")&gt;0,"✓",IF(COUNTIFS('AFA Rates'!$A$5:$A$1004,$A674,'AFA Rates'!$B$5:$B$1004,K$23)&gt;0,"Exp","")))</f>
        <v/>
      </c>
      <c r="L674" s="79">
        <f>IF(OR($A674="",L$23=""),"",IF(COUNTIFS('AFA Rates'!$A$5:$A$1004,$A674,'AFA Rates'!$B$5:$B$1004,L$23,'AFA Rates'!$O$5:$O$1004,"&lt;&gt;Expired")&gt;0,"✓",IF(COUNTIFS('AFA Rates'!$A$5:$A$1004,$A674,'AFA Rates'!$B$5:$B$1004,L$23)&gt;0,"Exp","")))</f>
        <v/>
      </c>
      <c r="M674" s="79">
        <f>IF(OR($A674="",M$23=""),"",IF(COUNTIFS('AFA Rates'!$A$5:$A$1004,$A674,'AFA Rates'!$B$5:$B$1004,M$23,'AFA Rates'!$O$5:$O$1004,"&lt;&gt;Expired")&gt;0,"✓",IF(COUNTIFS('AFA Rates'!$A$5:$A$1004,$A674,'AFA Rates'!$B$5:$B$1004,M$23)&gt;0,"Exp","")))</f>
        <v/>
      </c>
    </row>
    <row r="675">
      <c r="A675" s="78">
        <f>IFERROR(INDEX(Firms!$A$5:$A$1004,MATCH(652,Firms!$V$5:$V$1004,0)),"")</f>
        <v/>
      </c>
      <c r="B675" s="79">
        <f>IF($A675="","",INDEX(Firms!$B$5:$B$1004,MATCH(652,Firms!$V$5:$V$1004,0)))</f>
        <v/>
      </c>
      <c r="C675" s="79">
        <f>IF($A675="","",COUNTIFS('AFA Rates'!$A$5:$A$1004,$A675,'AFA Rates'!$O$5:$O$1004,"&lt;&gt;Expired"))</f>
        <v/>
      </c>
      <c r="D675" s="79">
        <f>IF(OR($A675="",D$23=""),"",IF(COUNTIFS('AFA Rates'!$A$5:$A$1004,$A675,'AFA Rates'!$B$5:$B$1004,D$23,'AFA Rates'!$O$5:$O$1004,"&lt;&gt;Expired")&gt;0,"✓",IF(COUNTIFS('AFA Rates'!$A$5:$A$1004,$A675,'AFA Rates'!$B$5:$B$1004,D$23)&gt;0,"Exp","")))</f>
        <v/>
      </c>
      <c r="E675" s="79">
        <f>IF(OR($A675="",E$23=""),"",IF(COUNTIFS('AFA Rates'!$A$5:$A$1004,$A675,'AFA Rates'!$B$5:$B$1004,E$23,'AFA Rates'!$O$5:$O$1004,"&lt;&gt;Expired")&gt;0,"✓",IF(COUNTIFS('AFA Rates'!$A$5:$A$1004,$A675,'AFA Rates'!$B$5:$B$1004,E$23)&gt;0,"Exp","")))</f>
        <v/>
      </c>
      <c r="F675" s="79">
        <f>IF(OR($A675="",F$23=""),"",IF(COUNTIFS('AFA Rates'!$A$5:$A$1004,$A675,'AFA Rates'!$B$5:$B$1004,F$23,'AFA Rates'!$O$5:$O$1004,"&lt;&gt;Expired")&gt;0,"✓",IF(COUNTIFS('AFA Rates'!$A$5:$A$1004,$A675,'AFA Rates'!$B$5:$B$1004,F$23)&gt;0,"Exp","")))</f>
        <v/>
      </c>
      <c r="G675" s="79">
        <f>IF(OR($A675="",G$23=""),"",IF(COUNTIFS('AFA Rates'!$A$5:$A$1004,$A675,'AFA Rates'!$B$5:$B$1004,G$23,'AFA Rates'!$O$5:$O$1004,"&lt;&gt;Expired")&gt;0,"✓",IF(COUNTIFS('AFA Rates'!$A$5:$A$1004,$A675,'AFA Rates'!$B$5:$B$1004,G$23)&gt;0,"Exp","")))</f>
        <v/>
      </c>
      <c r="H675" s="79">
        <f>IF(OR($A675="",H$23=""),"",IF(COUNTIFS('AFA Rates'!$A$5:$A$1004,$A675,'AFA Rates'!$B$5:$B$1004,H$23,'AFA Rates'!$O$5:$O$1004,"&lt;&gt;Expired")&gt;0,"✓",IF(COUNTIFS('AFA Rates'!$A$5:$A$1004,$A675,'AFA Rates'!$B$5:$B$1004,H$23)&gt;0,"Exp","")))</f>
        <v/>
      </c>
      <c r="I675" s="79">
        <f>IF(OR($A675="",I$23=""),"",IF(COUNTIFS('AFA Rates'!$A$5:$A$1004,$A675,'AFA Rates'!$B$5:$B$1004,I$23,'AFA Rates'!$O$5:$O$1004,"&lt;&gt;Expired")&gt;0,"✓",IF(COUNTIFS('AFA Rates'!$A$5:$A$1004,$A675,'AFA Rates'!$B$5:$B$1004,I$23)&gt;0,"Exp","")))</f>
        <v/>
      </c>
      <c r="J675" s="79">
        <f>IF(OR($A675="",J$23=""),"",IF(COUNTIFS('AFA Rates'!$A$5:$A$1004,$A675,'AFA Rates'!$B$5:$B$1004,J$23,'AFA Rates'!$O$5:$O$1004,"&lt;&gt;Expired")&gt;0,"✓",IF(COUNTIFS('AFA Rates'!$A$5:$A$1004,$A675,'AFA Rates'!$B$5:$B$1004,J$23)&gt;0,"Exp","")))</f>
        <v/>
      </c>
      <c r="K675" s="79">
        <f>IF(OR($A675="",K$23=""),"",IF(COUNTIFS('AFA Rates'!$A$5:$A$1004,$A675,'AFA Rates'!$B$5:$B$1004,K$23,'AFA Rates'!$O$5:$O$1004,"&lt;&gt;Expired")&gt;0,"✓",IF(COUNTIFS('AFA Rates'!$A$5:$A$1004,$A675,'AFA Rates'!$B$5:$B$1004,K$23)&gt;0,"Exp","")))</f>
        <v/>
      </c>
      <c r="L675" s="79">
        <f>IF(OR($A675="",L$23=""),"",IF(COUNTIFS('AFA Rates'!$A$5:$A$1004,$A675,'AFA Rates'!$B$5:$B$1004,L$23,'AFA Rates'!$O$5:$O$1004,"&lt;&gt;Expired")&gt;0,"✓",IF(COUNTIFS('AFA Rates'!$A$5:$A$1004,$A675,'AFA Rates'!$B$5:$B$1004,L$23)&gt;0,"Exp","")))</f>
        <v/>
      </c>
      <c r="M675" s="79">
        <f>IF(OR($A675="",M$23=""),"",IF(COUNTIFS('AFA Rates'!$A$5:$A$1004,$A675,'AFA Rates'!$B$5:$B$1004,M$23,'AFA Rates'!$O$5:$O$1004,"&lt;&gt;Expired")&gt;0,"✓",IF(COUNTIFS('AFA Rates'!$A$5:$A$1004,$A675,'AFA Rates'!$B$5:$B$1004,M$23)&gt;0,"Exp","")))</f>
        <v/>
      </c>
    </row>
    <row r="676">
      <c r="A676" s="78">
        <f>IFERROR(INDEX(Firms!$A$5:$A$1004,MATCH(653,Firms!$V$5:$V$1004,0)),"")</f>
        <v/>
      </c>
      <c r="B676" s="79">
        <f>IF($A676="","",INDEX(Firms!$B$5:$B$1004,MATCH(653,Firms!$V$5:$V$1004,0)))</f>
        <v/>
      </c>
      <c r="C676" s="79">
        <f>IF($A676="","",COUNTIFS('AFA Rates'!$A$5:$A$1004,$A676,'AFA Rates'!$O$5:$O$1004,"&lt;&gt;Expired"))</f>
        <v/>
      </c>
      <c r="D676" s="79">
        <f>IF(OR($A676="",D$23=""),"",IF(COUNTIFS('AFA Rates'!$A$5:$A$1004,$A676,'AFA Rates'!$B$5:$B$1004,D$23,'AFA Rates'!$O$5:$O$1004,"&lt;&gt;Expired")&gt;0,"✓",IF(COUNTIFS('AFA Rates'!$A$5:$A$1004,$A676,'AFA Rates'!$B$5:$B$1004,D$23)&gt;0,"Exp","")))</f>
        <v/>
      </c>
      <c r="E676" s="79">
        <f>IF(OR($A676="",E$23=""),"",IF(COUNTIFS('AFA Rates'!$A$5:$A$1004,$A676,'AFA Rates'!$B$5:$B$1004,E$23,'AFA Rates'!$O$5:$O$1004,"&lt;&gt;Expired")&gt;0,"✓",IF(COUNTIFS('AFA Rates'!$A$5:$A$1004,$A676,'AFA Rates'!$B$5:$B$1004,E$23)&gt;0,"Exp","")))</f>
        <v/>
      </c>
      <c r="F676" s="79">
        <f>IF(OR($A676="",F$23=""),"",IF(COUNTIFS('AFA Rates'!$A$5:$A$1004,$A676,'AFA Rates'!$B$5:$B$1004,F$23,'AFA Rates'!$O$5:$O$1004,"&lt;&gt;Expired")&gt;0,"✓",IF(COUNTIFS('AFA Rates'!$A$5:$A$1004,$A676,'AFA Rates'!$B$5:$B$1004,F$23)&gt;0,"Exp","")))</f>
        <v/>
      </c>
      <c r="G676" s="79">
        <f>IF(OR($A676="",G$23=""),"",IF(COUNTIFS('AFA Rates'!$A$5:$A$1004,$A676,'AFA Rates'!$B$5:$B$1004,G$23,'AFA Rates'!$O$5:$O$1004,"&lt;&gt;Expired")&gt;0,"✓",IF(COUNTIFS('AFA Rates'!$A$5:$A$1004,$A676,'AFA Rates'!$B$5:$B$1004,G$23)&gt;0,"Exp","")))</f>
        <v/>
      </c>
      <c r="H676" s="79">
        <f>IF(OR($A676="",H$23=""),"",IF(COUNTIFS('AFA Rates'!$A$5:$A$1004,$A676,'AFA Rates'!$B$5:$B$1004,H$23,'AFA Rates'!$O$5:$O$1004,"&lt;&gt;Expired")&gt;0,"✓",IF(COUNTIFS('AFA Rates'!$A$5:$A$1004,$A676,'AFA Rates'!$B$5:$B$1004,H$23)&gt;0,"Exp","")))</f>
        <v/>
      </c>
      <c r="I676" s="79">
        <f>IF(OR($A676="",I$23=""),"",IF(COUNTIFS('AFA Rates'!$A$5:$A$1004,$A676,'AFA Rates'!$B$5:$B$1004,I$23,'AFA Rates'!$O$5:$O$1004,"&lt;&gt;Expired")&gt;0,"✓",IF(COUNTIFS('AFA Rates'!$A$5:$A$1004,$A676,'AFA Rates'!$B$5:$B$1004,I$23)&gt;0,"Exp","")))</f>
        <v/>
      </c>
      <c r="J676" s="79">
        <f>IF(OR($A676="",J$23=""),"",IF(COUNTIFS('AFA Rates'!$A$5:$A$1004,$A676,'AFA Rates'!$B$5:$B$1004,J$23,'AFA Rates'!$O$5:$O$1004,"&lt;&gt;Expired")&gt;0,"✓",IF(COUNTIFS('AFA Rates'!$A$5:$A$1004,$A676,'AFA Rates'!$B$5:$B$1004,J$23)&gt;0,"Exp","")))</f>
        <v/>
      </c>
      <c r="K676" s="79">
        <f>IF(OR($A676="",K$23=""),"",IF(COUNTIFS('AFA Rates'!$A$5:$A$1004,$A676,'AFA Rates'!$B$5:$B$1004,K$23,'AFA Rates'!$O$5:$O$1004,"&lt;&gt;Expired")&gt;0,"✓",IF(COUNTIFS('AFA Rates'!$A$5:$A$1004,$A676,'AFA Rates'!$B$5:$B$1004,K$23)&gt;0,"Exp","")))</f>
        <v/>
      </c>
      <c r="L676" s="79">
        <f>IF(OR($A676="",L$23=""),"",IF(COUNTIFS('AFA Rates'!$A$5:$A$1004,$A676,'AFA Rates'!$B$5:$B$1004,L$23,'AFA Rates'!$O$5:$O$1004,"&lt;&gt;Expired")&gt;0,"✓",IF(COUNTIFS('AFA Rates'!$A$5:$A$1004,$A676,'AFA Rates'!$B$5:$B$1004,L$23)&gt;0,"Exp","")))</f>
        <v/>
      </c>
      <c r="M676" s="79">
        <f>IF(OR($A676="",M$23=""),"",IF(COUNTIFS('AFA Rates'!$A$5:$A$1004,$A676,'AFA Rates'!$B$5:$B$1004,M$23,'AFA Rates'!$O$5:$O$1004,"&lt;&gt;Expired")&gt;0,"✓",IF(COUNTIFS('AFA Rates'!$A$5:$A$1004,$A676,'AFA Rates'!$B$5:$B$1004,M$23)&gt;0,"Exp","")))</f>
        <v/>
      </c>
    </row>
    <row r="677">
      <c r="A677" s="78">
        <f>IFERROR(INDEX(Firms!$A$5:$A$1004,MATCH(654,Firms!$V$5:$V$1004,0)),"")</f>
        <v/>
      </c>
      <c r="B677" s="79">
        <f>IF($A677="","",INDEX(Firms!$B$5:$B$1004,MATCH(654,Firms!$V$5:$V$1004,0)))</f>
        <v/>
      </c>
      <c r="C677" s="79">
        <f>IF($A677="","",COUNTIFS('AFA Rates'!$A$5:$A$1004,$A677,'AFA Rates'!$O$5:$O$1004,"&lt;&gt;Expired"))</f>
        <v/>
      </c>
      <c r="D677" s="79">
        <f>IF(OR($A677="",D$23=""),"",IF(COUNTIFS('AFA Rates'!$A$5:$A$1004,$A677,'AFA Rates'!$B$5:$B$1004,D$23,'AFA Rates'!$O$5:$O$1004,"&lt;&gt;Expired")&gt;0,"✓",IF(COUNTIFS('AFA Rates'!$A$5:$A$1004,$A677,'AFA Rates'!$B$5:$B$1004,D$23)&gt;0,"Exp","")))</f>
        <v/>
      </c>
      <c r="E677" s="79">
        <f>IF(OR($A677="",E$23=""),"",IF(COUNTIFS('AFA Rates'!$A$5:$A$1004,$A677,'AFA Rates'!$B$5:$B$1004,E$23,'AFA Rates'!$O$5:$O$1004,"&lt;&gt;Expired")&gt;0,"✓",IF(COUNTIFS('AFA Rates'!$A$5:$A$1004,$A677,'AFA Rates'!$B$5:$B$1004,E$23)&gt;0,"Exp","")))</f>
        <v/>
      </c>
      <c r="F677" s="79">
        <f>IF(OR($A677="",F$23=""),"",IF(COUNTIFS('AFA Rates'!$A$5:$A$1004,$A677,'AFA Rates'!$B$5:$B$1004,F$23,'AFA Rates'!$O$5:$O$1004,"&lt;&gt;Expired")&gt;0,"✓",IF(COUNTIFS('AFA Rates'!$A$5:$A$1004,$A677,'AFA Rates'!$B$5:$B$1004,F$23)&gt;0,"Exp","")))</f>
        <v/>
      </c>
      <c r="G677" s="79">
        <f>IF(OR($A677="",G$23=""),"",IF(COUNTIFS('AFA Rates'!$A$5:$A$1004,$A677,'AFA Rates'!$B$5:$B$1004,G$23,'AFA Rates'!$O$5:$O$1004,"&lt;&gt;Expired")&gt;0,"✓",IF(COUNTIFS('AFA Rates'!$A$5:$A$1004,$A677,'AFA Rates'!$B$5:$B$1004,G$23)&gt;0,"Exp","")))</f>
        <v/>
      </c>
      <c r="H677" s="79">
        <f>IF(OR($A677="",H$23=""),"",IF(COUNTIFS('AFA Rates'!$A$5:$A$1004,$A677,'AFA Rates'!$B$5:$B$1004,H$23,'AFA Rates'!$O$5:$O$1004,"&lt;&gt;Expired")&gt;0,"✓",IF(COUNTIFS('AFA Rates'!$A$5:$A$1004,$A677,'AFA Rates'!$B$5:$B$1004,H$23)&gt;0,"Exp","")))</f>
        <v/>
      </c>
      <c r="I677" s="79">
        <f>IF(OR($A677="",I$23=""),"",IF(COUNTIFS('AFA Rates'!$A$5:$A$1004,$A677,'AFA Rates'!$B$5:$B$1004,I$23,'AFA Rates'!$O$5:$O$1004,"&lt;&gt;Expired")&gt;0,"✓",IF(COUNTIFS('AFA Rates'!$A$5:$A$1004,$A677,'AFA Rates'!$B$5:$B$1004,I$23)&gt;0,"Exp","")))</f>
        <v/>
      </c>
      <c r="J677" s="79">
        <f>IF(OR($A677="",J$23=""),"",IF(COUNTIFS('AFA Rates'!$A$5:$A$1004,$A677,'AFA Rates'!$B$5:$B$1004,J$23,'AFA Rates'!$O$5:$O$1004,"&lt;&gt;Expired")&gt;0,"✓",IF(COUNTIFS('AFA Rates'!$A$5:$A$1004,$A677,'AFA Rates'!$B$5:$B$1004,J$23)&gt;0,"Exp","")))</f>
        <v/>
      </c>
      <c r="K677" s="79">
        <f>IF(OR($A677="",K$23=""),"",IF(COUNTIFS('AFA Rates'!$A$5:$A$1004,$A677,'AFA Rates'!$B$5:$B$1004,K$23,'AFA Rates'!$O$5:$O$1004,"&lt;&gt;Expired")&gt;0,"✓",IF(COUNTIFS('AFA Rates'!$A$5:$A$1004,$A677,'AFA Rates'!$B$5:$B$1004,K$23)&gt;0,"Exp","")))</f>
        <v/>
      </c>
      <c r="L677" s="79">
        <f>IF(OR($A677="",L$23=""),"",IF(COUNTIFS('AFA Rates'!$A$5:$A$1004,$A677,'AFA Rates'!$B$5:$B$1004,L$23,'AFA Rates'!$O$5:$O$1004,"&lt;&gt;Expired")&gt;0,"✓",IF(COUNTIFS('AFA Rates'!$A$5:$A$1004,$A677,'AFA Rates'!$B$5:$B$1004,L$23)&gt;0,"Exp","")))</f>
        <v/>
      </c>
      <c r="M677" s="79">
        <f>IF(OR($A677="",M$23=""),"",IF(COUNTIFS('AFA Rates'!$A$5:$A$1004,$A677,'AFA Rates'!$B$5:$B$1004,M$23,'AFA Rates'!$O$5:$O$1004,"&lt;&gt;Expired")&gt;0,"✓",IF(COUNTIFS('AFA Rates'!$A$5:$A$1004,$A677,'AFA Rates'!$B$5:$B$1004,M$23)&gt;0,"Exp","")))</f>
        <v/>
      </c>
    </row>
    <row r="678">
      <c r="A678" s="78">
        <f>IFERROR(INDEX(Firms!$A$5:$A$1004,MATCH(655,Firms!$V$5:$V$1004,0)),"")</f>
        <v/>
      </c>
      <c r="B678" s="79">
        <f>IF($A678="","",INDEX(Firms!$B$5:$B$1004,MATCH(655,Firms!$V$5:$V$1004,0)))</f>
        <v/>
      </c>
      <c r="C678" s="79">
        <f>IF($A678="","",COUNTIFS('AFA Rates'!$A$5:$A$1004,$A678,'AFA Rates'!$O$5:$O$1004,"&lt;&gt;Expired"))</f>
        <v/>
      </c>
      <c r="D678" s="79">
        <f>IF(OR($A678="",D$23=""),"",IF(COUNTIFS('AFA Rates'!$A$5:$A$1004,$A678,'AFA Rates'!$B$5:$B$1004,D$23,'AFA Rates'!$O$5:$O$1004,"&lt;&gt;Expired")&gt;0,"✓",IF(COUNTIFS('AFA Rates'!$A$5:$A$1004,$A678,'AFA Rates'!$B$5:$B$1004,D$23)&gt;0,"Exp","")))</f>
        <v/>
      </c>
      <c r="E678" s="79">
        <f>IF(OR($A678="",E$23=""),"",IF(COUNTIFS('AFA Rates'!$A$5:$A$1004,$A678,'AFA Rates'!$B$5:$B$1004,E$23,'AFA Rates'!$O$5:$O$1004,"&lt;&gt;Expired")&gt;0,"✓",IF(COUNTIFS('AFA Rates'!$A$5:$A$1004,$A678,'AFA Rates'!$B$5:$B$1004,E$23)&gt;0,"Exp","")))</f>
        <v/>
      </c>
      <c r="F678" s="79">
        <f>IF(OR($A678="",F$23=""),"",IF(COUNTIFS('AFA Rates'!$A$5:$A$1004,$A678,'AFA Rates'!$B$5:$B$1004,F$23,'AFA Rates'!$O$5:$O$1004,"&lt;&gt;Expired")&gt;0,"✓",IF(COUNTIFS('AFA Rates'!$A$5:$A$1004,$A678,'AFA Rates'!$B$5:$B$1004,F$23)&gt;0,"Exp","")))</f>
        <v/>
      </c>
      <c r="G678" s="79">
        <f>IF(OR($A678="",G$23=""),"",IF(COUNTIFS('AFA Rates'!$A$5:$A$1004,$A678,'AFA Rates'!$B$5:$B$1004,G$23,'AFA Rates'!$O$5:$O$1004,"&lt;&gt;Expired")&gt;0,"✓",IF(COUNTIFS('AFA Rates'!$A$5:$A$1004,$A678,'AFA Rates'!$B$5:$B$1004,G$23)&gt;0,"Exp","")))</f>
        <v/>
      </c>
      <c r="H678" s="79">
        <f>IF(OR($A678="",H$23=""),"",IF(COUNTIFS('AFA Rates'!$A$5:$A$1004,$A678,'AFA Rates'!$B$5:$B$1004,H$23,'AFA Rates'!$O$5:$O$1004,"&lt;&gt;Expired")&gt;0,"✓",IF(COUNTIFS('AFA Rates'!$A$5:$A$1004,$A678,'AFA Rates'!$B$5:$B$1004,H$23)&gt;0,"Exp","")))</f>
        <v/>
      </c>
      <c r="I678" s="79">
        <f>IF(OR($A678="",I$23=""),"",IF(COUNTIFS('AFA Rates'!$A$5:$A$1004,$A678,'AFA Rates'!$B$5:$B$1004,I$23,'AFA Rates'!$O$5:$O$1004,"&lt;&gt;Expired")&gt;0,"✓",IF(COUNTIFS('AFA Rates'!$A$5:$A$1004,$A678,'AFA Rates'!$B$5:$B$1004,I$23)&gt;0,"Exp","")))</f>
        <v/>
      </c>
      <c r="J678" s="79">
        <f>IF(OR($A678="",J$23=""),"",IF(COUNTIFS('AFA Rates'!$A$5:$A$1004,$A678,'AFA Rates'!$B$5:$B$1004,J$23,'AFA Rates'!$O$5:$O$1004,"&lt;&gt;Expired")&gt;0,"✓",IF(COUNTIFS('AFA Rates'!$A$5:$A$1004,$A678,'AFA Rates'!$B$5:$B$1004,J$23)&gt;0,"Exp","")))</f>
        <v/>
      </c>
      <c r="K678" s="79">
        <f>IF(OR($A678="",K$23=""),"",IF(COUNTIFS('AFA Rates'!$A$5:$A$1004,$A678,'AFA Rates'!$B$5:$B$1004,K$23,'AFA Rates'!$O$5:$O$1004,"&lt;&gt;Expired")&gt;0,"✓",IF(COUNTIFS('AFA Rates'!$A$5:$A$1004,$A678,'AFA Rates'!$B$5:$B$1004,K$23)&gt;0,"Exp","")))</f>
        <v/>
      </c>
      <c r="L678" s="79">
        <f>IF(OR($A678="",L$23=""),"",IF(COUNTIFS('AFA Rates'!$A$5:$A$1004,$A678,'AFA Rates'!$B$5:$B$1004,L$23,'AFA Rates'!$O$5:$O$1004,"&lt;&gt;Expired")&gt;0,"✓",IF(COUNTIFS('AFA Rates'!$A$5:$A$1004,$A678,'AFA Rates'!$B$5:$B$1004,L$23)&gt;0,"Exp","")))</f>
        <v/>
      </c>
      <c r="M678" s="79">
        <f>IF(OR($A678="",M$23=""),"",IF(COUNTIFS('AFA Rates'!$A$5:$A$1004,$A678,'AFA Rates'!$B$5:$B$1004,M$23,'AFA Rates'!$O$5:$O$1004,"&lt;&gt;Expired")&gt;0,"✓",IF(COUNTIFS('AFA Rates'!$A$5:$A$1004,$A678,'AFA Rates'!$B$5:$B$1004,M$23)&gt;0,"Exp","")))</f>
        <v/>
      </c>
    </row>
    <row r="679">
      <c r="A679" s="78">
        <f>IFERROR(INDEX(Firms!$A$5:$A$1004,MATCH(656,Firms!$V$5:$V$1004,0)),"")</f>
        <v/>
      </c>
      <c r="B679" s="79">
        <f>IF($A679="","",INDEX(Firms!$B$5:$B$1004,MATCH(656,Firms!$V$5:$V$1004,0)))</f>
        <v/>
      </c>
      <c r="C679" s="79">
        <f>IF($A679="","",COUNTIFS('AFA Rates'!$A$5:$A$1004,$A679,'AFA Rates'!$O$5:$O$1004,"&lt;&gt;Expired"))</f>
        <v/>
      </c>
      <c r="D679" s="79">
        <f>IF(OR($A679="",D$23=""),"",IF(COUNTIFS('AFA Rates'!$A$5:$A$1004,$A679,'AFA Rates'!$B$5:$B$1004,D$23,'AFA Rates'!$O$5:$O$1004,"&lt;&gt;Expired")&gt;0,"✓",IF(COUNTIFS('AFA Rates'!$A$5:$A$1004,$A679,'AFA Rates'!$B$5:$B$1004,D$23)&gt;0,"Exp","")))</f>
        <v/>
      </c>
      <c r="E679" s="79">
        <f>IF(OR($A679="",E$23=""),"",IF(COUNTIFS('AFA Rates'!$A$5:$A$1004,$A679,'AFA Rates'!$B$5:$B$1004,E$23,'AFA Rates'!$O$5:$O$1004,"&lt;&gt;Expired")&gt;0,"✓",IF(COUNTIFS('AFA Rates'!$A$5:$A$1004,$A679,'AFA Rates'!$B$5:$B$1004,E$23)&gt;0,"Exp","")))</f>
        <v/>
      </c>
      <c r="F679" s="79">
        <f>IF(OR($A679="",F$23=""),"",IF(COUNTIFS('AFA Rates'!$A$5:$A$1004,$A679,'AFA Rates'!$B$5:$B$1004,F$23,'AFA Rates'!$O$5:$O$1004,"&lt;&gt;Expired")&gt;0,"✓",IF(COUNTIFS('AFA Rates'!$A$5:$A$1004,$A679,'AFA Rates'!$B$5:$B$1004,F$23)&gt;0,"Exp","")))</f>
        <v/>
      </c>
      <c r="G679" s="79">
        <f>IF(OR($A679="",G$23=""),"",IF(COUNTIFS('AFA Rates'!$A$5:$A$1004,$A679,'AFA Rates'!$B$5:$B$1004,G$23,'AFA Rates'!$O$5:$O$1004,"&lt;&gt;Expired")&gt;0,"✓",IF(COUNTIFS('AFA Rates'!$A$5:$A$1004,$A679,'AFA Rates'!$B$5:$B$1004,G$23)&gt;0,"Exp","")))</f>
        <v/>
      </c>
      <c r="H679" s="79">
        <f>IF(OR($A679="",H$23=""),"",IF(COUNTIFS('AFA Rates'!$A$5:$A$1004,$A679,'AFA Rates'!$B$5:$B$1004,H$23,'AFA Rates'!$O$5:$O$1004,"&lt;&gt;Expired")&gt;0,"✓",IF(COUNTIFS('AFA Rates'!$A$5:$A$1004,$A679,'AFA Rates'!$B$5:$B$1004,H$23)&gt;0,"Exp","")))</f>
        <v/>
      </c>
      <c r="I679" s="79">
        <f>IF(OR($A679="",I$23=""),"",IF(COUNTIFS('AFA Rates'!$A$5:$A$1004,$A679,'AFA Rates'!$B$5:$B$1004,I$23,'AFA Rates'!$O$5:$O$1004,"&lt;&gt;Expired")&gt;0,"✓",IF(COUNTIFS('AFA Rates'!$A$5:$A$1004,$A679,'AFA Rates'!$B$5:$B$1004,I$23)&gt;0,"Exp","")))</f>
        <v/>
      </c>
      <c r="J679" s="79">
        <f>IF(OR($A679="",J$23=""),"",IF(COUNTIFS('AFA Rates'!$A$5:$A$1004,$A679,'AFA Rates'!$B$5:$B$1004,J$23,'AFA Rates'!$O$5:$O$1004,"&lt;&gt;Expired")&gt;0,"✓",IF(COUNTIFS('AFA Rates'!$A$5:$A$1004,$A679,'AFA Rates'!$B$5:$B$1004,J$23)&gt;0,"Exp","")))</f>
        <v/>
      </c>
      <c r="K679" s="79">
        <f>IF(OR($A679="",K$23=""),"",IF(COUNTIFS('AFA Rates'!$A$5:$A$1004,$A679,'AFA Rates'!$B$5:$B$1004,K$23,'AFA Rates'!$O$5:$O$1004,"&lt;&gt;Expired")&gt;0,"✓",IF(COUNTIFS('AFA Rates'!$A$5:$A$1004,$A679,'AFA Rates'!$B$5:$B$1004,K$23)&gt;0,"Exp","")))</f>
        <v/>
      </c>
      <c r="L679" s="79">
        <f>IF(OR($A679="",L$23=""),"",IF(COUNTIFS('AFA Rates'!$A$5:$A$1004,$A679,'AFA Rates'!$B$5:$B$1004,L$23,'AFA Rates'!$O$5:$O$1004,"&lt;&gt;Expired")&gt;0,"✓",IF(COUNTIFS('AFA Rates'!$A$5:$A$1004,$A679,'AFA Rates'!$B$5:$B$1004,L$23)&gt;0,"Exp","")))</f>
        <v/>
      </c>
      <c r="M679" s="79">
        <f>IF(OR($A679="",M$23=""),"",IF(COUNTIFS('AFA Rates'!$A$5:$A$1004,$A679,'AFA Rates'!$B$5:$B$1004,M$23,'AFA Rates'!$O$5:$O$1004,"&lt;&gt;Expired")&gt;0,"✓",IF(COUNTIFS('AFA Rates'!$A$5:$A$1004,$A679,'AFA Rates'!$B$5:$B$1004,M$23)&gt;0,"Exp","")))</f>
        <v/>
      </c>
    </row>
    <row r="680">
      <c r="A680" s="78">
        <f>IFERROR(INDEX(Firms!$A$5:$A$1004,MATCH(657,Firms!$V$5:$V$1004,0)),"")</f>
        <v/>
      </c>
      <c r="B680" s="79">
        <f>IF($A680="","",INDEX(Firms!$B$5:$B$1004,MATCH(657,Firms!$V$5:$V$1004,0)))</f>
        <v/>
      </c>
      <c r="C680" s="79">
        <f>IF($A680="","",COUNTIFS('AFA Rates'!$A$5:$A$1004,$A680,'AFA Rates'!$O$5:$O$1004,"&lt;&gt;Expired"))</f>
        <v/>
      </c>
      <c r="D680" s="79">
        <f>IF(OR($A680="",D$23=""),"",IF(COUNTIFS('AFA Rates'!$A$5:$A$1004,$A680,'AFA Rates'!$B$5:$B$1004,D$23,'AFA Rates'!$O$5:$O$1004,"&lt;&gt;Expired")&gt;0,"✓",IF(COUNTIFS('AFA Rates'!$A$5:$A$1004,$A680,'AFA Rates'!$B$5:$B$1004,D$23)&gt;0,"Exp","")))</f>
        <v/>
      </c>
      <c r="E680" s="79">
        <f>IF(OR($A680="",E$23=""),"",IF(COUNTIFS('AFA Rates'!$A$5:$A$1004,$A680,'AFA Rates'!$B$5:$B$1004,E$23,'AFA Rates'!$O$5:$O$1004,"&lt;&gt;Expired")&gt;0,"✓",IF(COUNTIFS('AFA Rates'!$A$5:$A$1004,$A680,'AFA Rates'!$B$5:$B$1004,E$23)&gt;0,"Exp","")))</f>
        <v/>
      </c>
      <c r="F680" s="79">
        <f>IF(OR($A680="",F$23=""),"",IF(COUNTIFS('AFA Rates'!$A$5:$A$1004,$A680,'AFA Rates'!$B$5:$B$1004,F$23,'AFA Rates'!$O$5:$O$1004,"&lt;&gt;Expired")&gt;0,"✓",IF(COUNTIFS('AFA Rates'!$A$5:$A$1004,$A680,'AFA Rates'!$B$5:$B$1004,F$23)&gt;0,"Exp","")))</f>
        <v/>
      </c>
      <c r="G680" s="79">
        <f>IF(OR($A680="",G$23=""),"",IF(COUNTIFS('AFA Rates'!$A$5:$A$1004,$A680,'AFA Rates'!$B$5:$B$1004,G$23,'AFA Rates'!$O$5:$O$1004,"&lt;&gt;Expired")&gt;0,"✓",IF(COUNTIFS('AFA Rates'!$A$5:$A$1004,$A680,'AFA Rates'!$B$5:$B$1004,G$23)&gt;0,"Exp","")))</f>
        <v/>
      </c>
      <c r="H680" s="79">
        <f>IF(OR($A680="",H$23=""),"",IF(COUNTIFS('AFA Rates'!$A$5:$A$1004,$A680,'AFA Rates'!$B$5:$B$1004,H$23,'AFA Rates'!$O$5:$O$1004,"&lt;&gt;Expired")&gt;0,"✓",IF(COUNTIFS('AFA Rates'!$A$5:$A$1004,$A680,'AFA Rates'!$B$5:$B$1004,H$23)&gt;0,"Exp","")))</f>
        <v/>
      </c>
      <c r="I680" s="79">
        <f>IF(OR($A680="",I$23=""),"",IF(COUNTIFS('AFA Rates'!$A$5:$A$1004,$A680,'AFA Rates'!$B$5:$B$1004,I$23,'AFA Rates'!$O$5:$O$1004,"&lt;&gt;Expired")&gt;0,"✓",IF(COUNTIFS('AFA Rates'!$A$5:$A$1004,$A680,'AFA Rates'!$B$5:$B$1004,I$23)&gt;0,"Exp","")))</f>
        <v/>
      </c>
      <c r="J680" s="79">
        <f>IF(OR($A680="",J$23=""),"",IF(COUNTIFS('AFA Rates'!$A$5:$A$1004,$A680,'AFA Rates'!$B$5:$B$1004,J$23,'AFA Rates'!$O$5:$O$1004,"&lt;&gt;Expired")&gt;0,"✓",IF(COUNTIFS('AFA Rates'!$A$5:$A$1004,$A680,'AFA Rates'!$B$5:$B$1004,J$23)&gt;0,"Exp","")))</f>
        <v/>
      </c>
      <c r="K680" s="79">
        <f>IF(OR($A680="",K$23=""),"",IF(COUNTIFS('AFA Rates'!$A$5:$A$1004,$A680,'AFA Rates'!$B$5:$B$1004,K$23,'AFA Rates'!$O$5:$O$1004,"&lt;&gt;Expired")&gt;0,"✓",IF(COUNTIFS('AFA Rates'!$A$5:$A$1004,$A680,'AFA Rates'!$B$5:$B$1004,K$23)&gt;0,"Exp","")))</f>
        <v/>
      </c>
      <c r="L680" s="79">
        <f>IF(OR($A680="",L$23=""),"",IF(COUNTIFS('AFA Rates'!$A$5:$A$1004,$A680,'AFA Rates'!$B$5:$B$1004,L$23,'AFA Rates'!$O$5:$O$1004,"&lt;&gt;Expired")&gt;0,"✓",IF(COUNTIFS('AFA Rates'!$A$5:$A$1004,$A680,'AFA Rates'!$B$5:$B$1004,L$23)&gt;0,"Exp","")))</f>
        <v/>
      </c>
      <c r="M680" s="79">
        <f>IF(OR($A680="",M$23=""),"",IF(COUNTIFS('AFA Rates'!$A$5:$A$1004,$A680,'AFA Rates'!$B$5:$B$1004,M$23,'AFA Rates'!$O$5:$O$1004,"&lt;&gt;Expired")&gt;0,"✓",IF(COUNTIFS('AFA Rates'!$A$5:$A$1004,$A680,'AFA Rates'!$B$5:$B$1004,M$23)&gt;0,"Exp","")))</f>
        <v/>
      </c>
    </row>
    <row r="681">
      <c r="A681" s="78">
        <f>IFERROR(INDEX(Firms!$A$5:$A$1004,MATCH(658,Firms!$V$5:$V$1004,0)),"")</f>
        <v/>
      </c>
      <c r="B681" s="79">
        <f>IF($A681="","",INDEX(Firms!$B$5:$B$1004,MATCH(658,Firms!$V$5:$V$1004,0)))</f>
        <v/>
      </c>
      <c r="C681" s="79">
        <f>IF($A681="","",COUNTIFS('AFA Rates'!$A$5:$A$1004,$A681,'AFA Rates'!$O$5:$O$1004,"&lt;&gt;Expired"))</f>
        <v/>
      </c>
      <c r="D681" s="79">
        <f>IF(OR($A681="",D$23=""),"",IF(COUNTIFS('AFA Rates'!$A$5:$A$1004,$A681,'AFA Rates'!$B$5:$B$1004,D$23,'AFA Rates'!$O$5:$O$1004,"&lt;&gt;Expired")&gt;0,"✓",IF(COUNTIFS('AFA Rates'!$A$5:$A$1004,$A681,'AFA Rates'!$B$5:$B$1004,D$23)&gt;0,"Exp","")))</f>
        <v/>
      </c>
      <c r="E681" s="79">
        <f>IF(OR($A681="",E$23=""),"",IF(COUNTIFS('AFA Rates'!$A$5:$A$1004,$A681,'AFA Rates'!$B$5:$B$1004,E$23,'AFA Rates'!$O$5:$O$1004,"&lt;&gt;Expired")&gt;0,"✓",IF(COUNTIFS('AFA Rates'!$A$5:$A$1004,$A681,'AFA Rates'!$B$5:$B$1004,E$23)&gt;0,"Exp","")))</f>
        <v/>
      </c>
      <c r="F681" s="79">
        <f>IF(OR($A681="",F$23=""),"",IF(COUNTIFS('AFA Rates'!$A$5:$A$1004,$A681,'AFA Rates'!$B$5:$B$1004,F$23,'AFA Rates'!$O$5:$O$1004,"&lt;&gt;Expired")&gt;0,"✓",IF(COUNTIFS('AFA Rates'!$A$5:$A$1004,$A681,'AFA Rates'!$B$5:$B$1004,F$23)&gt;0,"Exp","")))</f>
        <v/>
      </c>
      <c r="G681" s="79">
        <f>IF(OR($A681="",G$23=""),"",IF(COUNTIFS('AFA Rates'!$A$5:$A$1004,$A681,'AFA Rates'!$B$5:$B$1004,G$23,'AFA Rates'!$O$5:$O$1004,"&lt;&gt;Expired")&gt;0,"✓",IF(COUNTIFS('AFA Rates'!$A$5:$A$1004,$A681,'AFA Rates'!$B$5:$B$1004,G$23)&gt;0,"Exp","")))</f>
        <v/>
      </c>
      <c r="H681" s="79">
        <f>IF(OR($A681="",H$23=""),"",IF(COUNTIFS('AFA Rates'!$A$5:$A$1004,$A681,'AFA Rates'!$B$5:$B$1004,H$23,'AFA Rates'!$O$5:$O$1004,"&lt;&gt;Expired")&gt;0,"✓",IF(COUNTIFS('AFA Rates'!$A$5:$A$1004,$A681,'AFA Rates'!$B$5:$B$1004,H$23)&gt;0,"Exp","")))</f>
        <v/>
      </c>
      <c r="I681" s="79">
        <f>IF(OR($A681="",I$23=""),"",IF(COUNTIFS('AFA Rates'!$A$5:$A$1004,$A681,'AFA Rates'!$B$5:$B$1004,I$23,'AFA Rates'!$O$5:$O$1004,"&lt;&gt;Expired")&gt;0,"✓",IF(COUNTIFS('AFA Rates'!$A$5:$A$1004,$A681,'AFA Rates'!$B$5:$B$1004,I$23)&gt;0,"Exp","")))</f>
        <v/>
      </c>
      <c r="J681" s="79">
        <f>IF(OR($A681="",J$23=""),"",IF(COUNTIFS('AFA Rates'!$A$5:$A$1004,$A681,'AFA Rates'!$B$5:$B$1004,J$23,'AFA Rates'!$O$5:$O$1004,"&lt;&gt;Expired")&gt;0,"✓",IF(COUNTIFS('AFA Rates'!$A$5:$A$1004,$A681,'AFA Rates'!$B$5:$B$1004,J$23)&gt;0,"Exp","")))</f>
        <v/>
      </c>
      <c r="K681" s="79">
        <f>IF(OR($A681="",K$23=""),"",IF(COUNTIFS('AFA Rates'!$A$5:$A$1004,$A681,'AFA Rates'!$B$5:$B$1004,K$23,'AFA Rates'!$O$5:$O$1004,"&lt;&gt;Expired")&gt;0,"✓",IF(COUNTIFS('AFA Rates'!$A$5:$A$1004,$A681,'AFA Rates'!$B$5:$B$1004,K$23)&gt;0,"Exp","")))</f>
        <v/>
      </c>
      <c r="L681" s="79">
        <f>IF(OR($A681="",L$23=""),"",IF(COUNTIFS('AFA Rates'!$A$5:$A$1004,$A681,'AFA Rates'!$B$5:$B$1004,L$23,'AFA Rates'!$O$5:$O$1004,"&lt;&gt;Expired")&gt;0,"✓",IF(COUNTIFS('AFA Rates'!$A$5:$A$1004,$A681,'AFA Rates'!$B$5:$B$1004,L$23)&gt;0,"Exp","")))</f>
        <v/>
      </c>
      <c r="M681" s="79">
        <f>IF(OR($A681="",M$23=""),"",IF(COUNTIFS('AFA Rates'!$A$5:$A$1004,$A681,'AFA Rates'!$B$5:$B$1004,M$23,'AFA Rates'!$O$5:$O$1004,"&lt;&gt;Expired")&gt;0,"✓",IF(COUNTIFS('AFA Rates'!$A$5:$A$1004,$A681,'AFA Rates'!$B$5:$B$1004,M$23)&gt;0,"Exp","")))</f>
        <v/>
      </c>
    </row>
    <row r="682">
      <c r="A682" s="78">
        <f>IFERROR(INDEX(Firms!$A$5:$A$1004,MATCH(659,Firms!$V$5:$V$1004,0)),"")</f>
        <v/>
      </c>
      <c r="B682" s="79">
        <f>IF($A682="","",INDEX(Firms!$B$5:$B$1004,MATCH(659,Firms!$V$5:$V$1004,0)))</f>
        <v/>
      </c>
      <c r="C682" s="79">
        <f>IF($A682="","",COUNTIFS('AFA Rates'!$A$5:$A$1004,$A682,'AFA Rates'!$O$5:$O$1004,"&lt;&gt;Expired"))</f>
        <v/>
      </c>
      <c r="D682" s="79">
        <f>IF(OR($A682="",D$23=""),"",IF(COUNTIFS('AFA Rates'!$A$5:$A$1004,$A682,'AFA Rates'!$B$5:$B$1004,D$23,'AFA Rates'!$O$5:$O$1004,"&lt;&gt;Expired")&gt;0,"✓",IF(COUNTIFS('AFA Rates'!$A$5:$A$1004,$A682,'AFA Rates'!$B$5:$B$1004,D$23)&gt;0,"Exp","")))</f>
        <v/>
      </c>
      <c r="E682" s="79">
        <f>IF(OR($A682="",E$23=""),"",IF(COUNTIFS('AFA Rates'!$A$5:$A$1004,$A682,'AFA Rates'!$B$5:$B$1004,E$23,'AFA Rates'!$O$5:$O$1004,"&lt;&gt;Expired")&gt;0,"✓",IF(COUNTIFS('AFA Rates'!$A$5:$A$1004,$A682,'AFA Rates'!$B$5:$B$1004,E$23)&gt;0,"Exp","")))</f>
        <v/>
      </c>
      <c r="F682" s="79">
        <f>IF(OR($A682="",F$23=""),"",IF(COUNTIFS('AFA Rates'!$A$5:$A$1004,$A682,'AFA Rates'!$B$5:$B$1004,F$23,'AFA Rates'!$O$5:$O$1004,"&lt;&gt;Expired")&gt;0,"✓",IF(COUNTIFS('AFA Rates'!$A$5:$A$1004,$A682,'AFA Rates'!$B$5:$B$1004,F$23)&gt;0,"Exp","")))</f>
        <v/>
      </c>
      <c r="G682" s="79">
        <f>IF(OR($A682="",G$23=""),"",IF(COUNTIFS('AFA Rates'!$A$5:$A$1004,$A682,'AFA Rates'!$B$5:$B$1004,G$23,'AFA Rates'!$O$5:$O$1004,"&lt;&gt;Expired")&gt;0,"✓",IF(COUNTIFS('AFA Rates'!$A$5:$A$1004,$A682,'AFA Rates'!$B$5:$B$1004,G$23)&gt;0,"Exp","")))</f>
        <v/>
      </c>
      <c r="H682" s="79">
        <f>IF(OR($A682="",H$23=""),"",IF(COUNTIFS('AFA Rates'!$A$5:$A$1004,$A682,'AFA Rates'!$B$5:$B$1004,H$23,'AFA Rates'!$O$5:$O$1004,"&lt;&gt;Expired")&gt;0,"✓",IF(COUNTIFS('AFA Rates'!$A$5:$A$1004,$A682,'AFA Rates'!$B$5:$B$1004,H$23)&gt;0,"Exp","")))</f>
        <v/>
      </c>
      <c r="I682" s="79">
        <f>IF(OR($A682="",I$23=""),"",IF(COUNTIFS('AFA Rates'!$A$5:$A$1004,$A682,'AFA Rates'!$B$5:$B$1004,I$23,'AFA Rates'!$O$5:$O$1004,"&lt;&gt;Expired")&gt;0,"✓",IF(COUNTIFS('AFA Rates'!$A$5:$A$1004,$A682,'AFA Rates'!$B$5:$B$1004,I$23)&gt;0,"Exp","")))</f>
        <v/>
      </c>
      <c r="J682" s="79">
        <f>IF(OR($A682="",J$23=""),"",IF(COUNTIFS('AFA Rates'!$A$5:$A$1004,$A682,'AFA Rates'!$B$5:$B$1004,J$23,'AFA Rates'!$O$5:$O$1004,"&lt;&gt;Expired")&gt;0,"✓",IF(COUNTIFS('AFA Rates'!$A$5:$A$1004,$A682,'AFA Rates'!$B$5:$B$1004,J$23)&gt;0,"Exp","")))</f>
        <v/>
      </c>
      <c r="K682" s="79">
        <f>IF(OR($A682="",K$23=""),"",IF(COUNTIFS('AFA Rates'!$A$5:$A$1004,$A682,'AFA Rates'!$B$5:$B$1004,K$23,'AFA Rates'!$O$5:$O$1004,"&lt;&gt;Expired")&gt;0,"✓",IF(COUNTIFS('AFA Rates'!$A$5:$A$1004,$A682,'AFA Rates'!$B$5:$B$1004,K$23)&gt;0,"Exp","")))</f>
        <v/>
      </c>
      <c r="L682" s="79">
        <f>IF(OR($A682="",L$23=""),"",IF(COUNTIFS('AFA Rates'!$A$5:$A$1004,$A682,'AFA Rates'!$B$5:$B$1004,L$23,'AFA Rates'!$O$5:$O$1004,"&lt;&gt;Expired")&gt;0,"✓",IF(COUNTIFS('AFA Rates'!$A$5:$A$1004,$A682,'AFA Rates'!$B$5:$B$1004,L$23)&gt;0,"Exp","")))</f>
        <v/>
      </c>
      <c r="M682" s="79">
        <f>IF(OR($A682="",M$23=""),"",IF(COUNTIFS('AFA Rates'!$A$5:$A$1004,$A682,'AFA Rates'!$B$5:$B$1004,M$23,'AFA Rates'!$O$5:$O$1004,"&lt;&gt;Expired")&gt;0,"✓",IF(COUNTIFS('AFA Rates'!$A$5:$A$1004,$A682,'AFA Rates'!$B$5:$B$1004,M$23)&gt;0,"Exp","")))</f>
        <v/>
      </c>
    </row>
    <row r="683">
      <c r="A683" s="78">
        <f>IFERROR(INDEX(Firms!$A$5:$A$1004,MATCH(660,Firms!$V$5:$V$1004,0)),"")</f>
        <v/>
      </c>
      <c r="B683" s="79">
        <f>IF($A683="","",INDEX(Firms!$B$5:$B$1004,MATCH(660,Firms!$V$5:$V$1004,0)))</f>
        <v/>
      </c>
      <c r="C683" s="79">
        <f>IF($A683="","",COUNTIFS('AFA Rates'!$A$5:$A$1004,$A683,'AFA Rates'!$O$5:$O$1004,"&lt;&gt;Expired"))</f>
        <v/>
      </c>
      <c r="D683" s="79">
        <f>IF(OR($A683="",D$23=""),"",IF(COUNTIFS('AFA Rates'!$A$5:$A$1004,$A683,'AFA Rates'!$B$5:$B$1004,D$23,'AFA Rates'!$O$5:$O$1004,"&lt;&gt;Expired")&gt;0,"✓",IF(COUNTIFS('AFA Rates'!$A$5:$A$1004,$A683,'AFA Rates'!$B$5:$B$1004,D$23)&gt;0,"Exp","")))</f>
        <v/>
      </c>
      <c r="E683" s="79">
        <f>IF(OR($A683="",E$23=""),"",IF(COUNTIFS('AFA Rates'!$A$5:$A$1004,$A683,'AFA Rates'!$B$5:$B$1004,E$23,'AFA Rates'!$O$5:$O$1004,"&lt;&gt;Expired")&gt;0,"✓",IF(COUNTIFS('AFA Rates'!$A$5:$A$1004,$A683,'AFA Rates'!$B$5:$B$1004,E$23)&gt;0,"Exp","")))</f>
        <v/>
      </c>
      <c r="F683" s="79">
        <f>IF(OR($A683="",F$23=""),"",IF(COUNTIFS('AFA Rates'!$A$5:$A$1004,$A683,'AFA Rates'!$B$5:$B$1004,F$23,'AFA Rates'!$O$5:$O$1004,"&lt;&gt;Expired")&gt;0,"✓",IF(COUNTIFS('AFA Rates'!$A$5:$A$1004,$A683,'AFA Rates'!$B$5:$B$1004,F$23)&gt;0,"Exp","")))</f>
        <v/>
      </c>
      <c r="G683" s="79">
        <f>IF(OR($A683="",G$23=""),"",IF(COUNTIFS('AFA Rates'!$A$5:$A$1004,$A683,'AFA Rates'!$B$5:$B$1004,G$23,'AFA Rates'!$O$5:$O$1004,"&lt;&gt;Expired")&gt;0,"✓",IF(COUNTIFS('AFA Rates'!$A$5:$A$1004,$A683,'AFA Rates'!$B$5:$B$1004,G$23)&gt;0,"Exp","")))</f>
        <v/>
      </c>
      <c r="H683" s="79">
        <f>IF(OR($A683="",H$23=""),"",IF(COUNTIFS('AFA Rates'!$A$5:$A$1004,$A683,'AFA Rates'!$B$5:$B$1004,H$23,'AFA Rates'!$O$5:$O$1004,"&lt;&gt;Expired")&gt;0,"✓",IF(COUNTIFS('AFA Rates'!$A$5:$A$1004,$A683,'AFA Rates'!$B$5:$B$1004,H$23)&gt;0,"Exp","")))</f>
        <v/>
      </c>
      <c r="I683" s="79">
        <f>IF(OR($A683="",I$23=""),"",IF(COUNTIFS('AFA Rates'!$A$5:$A$1004,$A683,'AFA Rates'!$B$5:$B$1004,I$23,'AFA Rates'!$O$5:$O$1004,"&lt;&gt;Expired")&gt;0,"✓",IF(COUNTIFS('AFA Rates'!$A$5:$A$1004,$A683,'AFA Rates'!$B$5:$B$1004,I$23)&gt;0,"Exp","")))</f>
        <v/>
      </c>
      <c r="J683" s="79">
        <f>IF(OR($A683="",J$23=""),"",IF(COUNTIFS('AFA Rates'!$A$5:$A$1004,$A683,'AFA Rates'!$B$5:$B$1004,J$23,'AFA Rates'!$O$5:$O$1004,"&lt;&gt;Expired")&gt;0,"✓",IF(COUNTIFS('AFA Rates'!$A$5:$A$1004,$A683,'AFA Rates'!$B$5:$B$1004,J$23)&gt;0,"Exp","")))</f>
        <v/>
      </c>
      <c r="K683" s="79">
        <f>IF(OR($A683="",K$23=""),"",IF(COUNTIFS('AFA Rates'!$A$5:$A$1004,$A683,'AFA Rates'!$B$5:$B$1004,K$23,'AFA Rates'!$O$5:$O$1004,"&lt;&gt;Expired")&gt;0,"✓",IF(COUNTIFS('AFA Rates'!$A$5:$A$1004,$A683,'AFA Rates'!$B$5:$B$1004,K$23)&gt;0,"Exp","")))</f>
        <v/>
      </c>
      <c r="L683" s="79">
        <f>IF(OR($A683="",L$23=""),"",IF(COUNTIFS('AFA Rates'!$A$5:$A$1004,$A683,'AFA Rates'!$B$5:$B$1004,L$23,'AFA Rates'!$O$5:$O$1004,"&lt;&gt;Expired")&gt;0,"✓",IF(COUNTIFS('AFA Rates'!$A$5:$A$1004,$A683,'AFA Rates'!$B$5:$B$1004,L$23)&gt;0,"Exp","")))</f>
        <v/>
      </c>
      <c r="M683" s="79">
        <f>IF(OR($A683="",M$23=""),"",IF(COUNTIFS('AFA Rates'!$A$5:$A$1004,$A683,'AFA Rates'!$B$5:$B$1004,M$23,'AFA Rates'!$O$5:$O$1004,"&lt;&gt;Expired")&gt;0,"✓",IF(COUNTIFS('AFA Rates'!$A$5:$A$1004,$A683,'AFA Rates'!$B$5:$B$1004,M$23)&gt;0,"Exp","")))</f>
        <v/>
      </c>
    </row>
    <row r="684">
      <c r="A684" s="78">
        <f>IFERROR(INDEX(Firms!$A$5:$A$1004,MATCH(661,Firms!$V$5:$V$1004,0)),"")</f>
        <v/>
      </c>
      <c r="B684" s="79">
        <f>IF($A684="","",INDEX(Firms!$B$5:$B$1004,MATCH(661,Firms!$V$5:$V$1004,0)))</f>
        <v/>
      </c>
      <c r="C684" s="79">
        <f>IF($A684="","",COUNTIFS('AFA Rates'!$A$5:$A$1004,$A684,'AFA Rates'!$O$5:$O$1004,"&lt;&gt;Expired"))</f>
        <v/>
      </c>
      <c r="D684" s="79">
        <f>IF(OR($A684="",D$23=""),"",IF(COUNTIFS('AFA Rates'!$A$5:$A$1004,$A684,'AFA Rates'!$B$5:$B$1004,D$23,'AFA Rates'!$O$5:$O$1004,"&lt;&gt;Expired")&gt;0,"✓",IF(COUNTIFS('AFA Rates'!$A$5:$A$1004,$A684,'AFA Rates'!$B$5:$B$1004,D$23)&gt;0,"Exp","")))</f>
        <v/>
      </c>
      <c r="E684" s="79">
        <f>IF(OR($A684="",E$23=""),"",IF(COUNTIFS('AFA Rates'!$A$5:$A$1004,$A684,'AFA Rates'!$B$5:$B$1004,E$23,'AFA Rates'!$O$5:$O$1004,"&lt;&gt;Expired")&gt;0,"✓",IF(COUNTIFS('AFA Rates'!$A$5:$A$1004,$A684,'AFA Rates'!$B$5:$B$1004,E$23)&gt;0,"Exp","")))</f>
        <v/>
      </c>
      <c r="F684" s="79">
        <f>IF(OR($A684="",F$23=""),"",IF(COUNTIFS('AFA Rates'!$A$5:$A$1004,$A684,'AFA Rates'!$B$5:$B$1004,F$23,'AFA Rates'!$O$5:$O$1004,"&lt;&gt;Expired")&gt;0,"✓",IF(COUNTIFS('AFA Rates'!$A$5:$A$1004,$A684,'AFA Rates'!$B$5:$B$1004,F$23)&gt;0,"Exp","")))</f>
        <v/>
      </c>
      <c r="G684" s="79">
        <f>IF(OR($A684="",G$23=""),"",IF(COUNTIFS('AFA Rates'!$A$5:$A$1004,$A684,'AFA Rates'!$B$5:$B$1004,G$23,'AFA Rates'!$O$5:$O$1004,"&lt;&gt;Expired")&gt;0,"✓",IF(COUNTIFS('AFA Rates'!$A$5:$A$1004,$A684,'AFA Rates'!$B$5:$B$1004,G$23)&gt;0,"Exp","")))</f>
        <v/>
      </c>
      <c r="H684" s="79">
        <f>IF(OR($A684="",H$23=""),"",IF(COUNTIFS('AFA Rates'!$A$5:$A$1004,$A684,'AFA Rates'!$B$5:$B$1004,H$23,'AFA Rates'!$O$5:$O$1004,"&lt;&gt;Expired")&gt;0,"✓",IF(COUNTIFS('AFA Rates'!$A$5:$A$1004,$A684,'AFA Rates'!$B$5:$B$1004,H$23)&gt;0,"Exp","")))</f>
        <v/>
      </c>
      <c r="I684" s="79">
        <f>IF(OR($A684="",I$23=""),"",IF(COUNTIFS('AFA Rates'!$A$5:$A$1004,$A684,'AFA Rates'!$B$5:$B$1004,I$23,'AFA Rates'!$O$5:$O$1004,"&lt;&gt;Expired")&gt;0,"✓",IF(COUNTIFS('AFA Rates'!$A$5:$A$1004,$A684,'AFA Rates'!$B$5:$B$1004,I$23)&gt;0,"Exp","")))</f>
        <v/>
      </c>
      <c r="J684" s="79">
        <f>IF(OR($A684="",J$23=""),"",IF(COUNTIFS('AFA Rates'!$A$5:$A$1004,$A684,'AFA Rates'!$B$5:$B$1004,J$23,'AFA Rates'!$O$5:$O$1004,"&lt;&gt;Expired")&gt;0,"✓",IF(COUNTIFS('AFA Rates'!$A$5:$A$1004,$A684,'AFA Rates'!$B$5:$B$1004,J$23)&gt;0,"Exp","")))</f>
        <v/>
      </c>
      <c r="K684" s="79">
        <f>IF(OR($A684="",K$23=""),"",IF(COUNTIFS('AFA Rates'!$A$5:$A$1004,$A684,'AFA Rates'!$B$5:$B$1004,K$23,'AFA Rates'!$O$5:$O$1004,"&lt;&gt;Expired")&gt;0,"✓",IF(COUNTIFS('AFA Rates'!$A$5:$A$1004,$A684,'AFA Rates'!$B$5:$B$1004,K$23)&gt;0,"Exp","")))</f>
        <v/>
      </c>
      <c r="L684" s="79">
        <f>IF(OR($A684="",L$23=""),"",IF(COUNTIFS('AFA Rates'!$A$5:$A$1004,$A684,'AFA Rates'!$B$5:$B$1004,L$23,'AFA Rates'!$O$5:$O$1004,"&lt;&gt;Expired")&gt;0,"✓",IF(COUNTIFS('AFA Rates'!$A$5:$A$1004,$A684,'AFA Rates'!$B$5:$B$1004,L$23)&gt;0,"Exp","")))</f>
        <v/>
      </c>
      <c r="M684" s="79">
        <f>IF(OR($A684="",M$23=""),"",IF(COUNTIFS('AFA Rates'!$A$5:$A$1004,$A684,'AFA Rates'!$B$5:$B$1004,M$23,'AFA Rates'!$O$5:$O$1004,"&lt;&gt;Expired")&gt;0,"✓",IF(COUNTIFS('AFA Rates'!$A$5:$A$1004,$A684,'AFA Rates'!$B$5:$B$1004,M$23)&gt;0,"Exp","")))</f>
        <v/>
      </c>
    </row>
    <row r="685">
      <c r="A685" s="78">
        <f>IFERROR(INDEX(Firms!$A$5:$A$1004,MATCH(662,Firms!$V$5:$V$1004,0)),"")</f>
        <v/>
      </c>
      <c r="B685" s="79">
        <f>IF($A685="","",INDEX(Firms!$B$5:$B$1004,MATCH(662,Firms!$V$5:$V$1004,0)))</f>
        <v/>
      </c>
      <c r="C685" s="79">
        <f>IF($A685="","",COUNTIFS('AFA Rates'!$A$5:$A$1004,$A685,'AFA Rates'!$O$5:$O$1004,"&lt;&gt;Expired"))</f>
        <v/>
      </c>
      <c r="D685" s="79">
        <f>IF(OR($A685="",D$23=""),"",IF(COUNTIFS('AFA Rates'!$A$5:$A$1004,$A685,'AFA Rates'!$B$5:$B$1004,D$23,'AFA Rates'!$O$5:$O$1004,"&lt;&gt;Expired")&gt;0,"✓",IF(COUNTIFS('AFA Rates'!$A$5:$A$1004,$A685,'AFA Rates'!$B$5:$B$1004,D$23)&gt;0,"Exp","")))</f>
        <v/>
      </c>
      <c r="E685" s="79">
        <f>IF(OR($A685="",E$23=""),"",IF(COUNTIFS('AFA Rates'!$A$5:$A$1004,$A685,'AFA Rates'!$B$5:$B$1004,E$23,'AFA Rates'!$O$5:$O$1004,"&lt;&gt;Expired")&gt;0,"✓",IF(COUNTIFS('AFA Rates'!$A$5:$A$1004,$A685,'AFA Rates'!$B$5:$B$1004,E$23)&gt;0,"Exp","")))</f>
        <v/>
      </c>
      <c r="F685" s="79">
        <f>IF(OR($A685="",F$23=""),"",IF(COUNTIFS('AFA Rates'!$A$5:$A$1004,$A685,'AFA Rates'!$B$5:$B$1004,F$23,'AFA Rates'!$O$5:$O$1004,"&lt;&gt;Expired")&gt;0,"✓",IF(COUNTIFS('AFA Rates'!$A$5:$A$1004,$A685,'AFA Rates'!$B$5:$B$1004,F$23)&gt;0,"Exp","")))</f>
        <v/>
      </c>
      <c r="G685" s="79">
        <f>IF(OR($A685="",G$23=""),"",IF(COUNTIFS('AFA Rates'!$A$5:$A$1004,$A685,'AFA Rates'!$B$5:$B$1004,G$23,'AFA Rates'!$O$5:$O$1004,"&lt;&gt;Expired")&gt;0,"✓",IF(COUNTIFS('AFA Rates'!$A$5:$A$1004,$A685,'AFA Rates'!$B$5:$B$1004,G$23)&gt;0,"Exp","")))</f>
        <v/>
      </c>
      <c r="H685" s="79">
        <f>IF(OR($A685="",H$23=""),"",IF(COUNTIFS('AFA Rates'!$A$5:$A$1004,$A685,'AFA Rates'!$B$5:$B$1004,H$23,'AFA Rates'!$O$5:$O$1004,"&lt;&gt;Expired")&gt;0,"✓",IF(COUNTIFS('AFA Rates'!$A$5:$A$1004,$A685,'AFA Rates'!$B$5:$B$1004,H$23)&gt;0,"Exp","")))</f>
        <v/>
      </c>
      <c r="I685" s="79">
        <f>IF(OR($A685="",I$23=""),"",IF(COUNTIFS('AFA Rates'!$A$5:$A$1004,$A685,'AFA Rates'!$B$5:$B$1004,I$23,'AFA Rates'!$O$5:$O$1004,"&lt;&gt;Expired")&gt;0,"✓",IF(COUNTIFS('AFA Rates'!$A$5:$A$1004,$A685,'AFA Rates'!$B$5:$B$1004,I$23)&gt;0,"Exp","")))</f>
        <v/>
      </c>
      <c r="J685" s="79">
        <f>IF(OR($A685="",J$23=""),"",IF(COUNTIFS('AFA Rates'!$A$5:$A$1004,$A685,'AFA Rates'!$B$5:$B$1004,J$23,'AFA Rates'!$O$5:$O$1004,"&lt;&gt;Expired")&gt;0,"✓",IF(COUNTIFS('AFA Rates'!$A$5:$A$1004,$A685,'AFA Rates'!$B$5:$B$1004,J$23)&gt;0,"Exp","")))</f>
        <v/>
      </c>
      <c r="K685" s="79">
        <f>IF(OR($A685="",K$23=""),"",IF(COUNTIFS('AFA Rates'!$A$5:$A$1004,$A685,'AFA Rates'!$B$5:$B$1004,K$23,'AFA Rates'!$O$5:$O$1004,"&lt;&gt;Expired")&gt;0,"✓",IF(COUNTIFS('AFA Rates'!$A$5:$A$1004,$A685,'AFA Rates'!$B$5:$B$1004,K$23)&gt;0,"Exp","")))</f>
        <v/>
      </c>
      <c r="L685" s="79">
        <f>IF(OR($A685="",L$23=""),"",IF(COUNTIFS('AFA Rates'!$A$5:$A$1004,$A685,'AFA Rates'!$B$5:$B$1004,L$23,'AFA Rates'!$O$5:$O$1004,"&lt;&gt;Expired")&gt;0,"✓",IF(COUNTIFS('AFA Rates'!$A$5:$A$1004,$A685,'AFA Rates'!$B$5:$B$1004,L$23)&gt;0,"Exp","")))</f>
        <v/>
      </c>
      <c r="M685" s="79">
        <f>IF(OR($A685="",M$23=""),"",IF(COUNTIFS('AFA Rates'!$A$5:$A$1004,$A685,'AFA Rates'!$B$5:$B$1004,M$23,'AFA Rates'!$O$5:$O$1004,"&lt;&gt;Expired")&gt;0,"✓",IF(COUNTIFS('AFA Rates'!$A$5:$A$1004,$A685,'AFA Rates'!$B$5:$B$1004,M$23)&gt;0,"Exp","")))</f>
        <v/>
      </c>
    </row>
    <row r="686">
      <c r="A686" s="78">
        <f>IFERROR(INDEX(Firms!$A$5:$A$1004,MATCH(663,Firms!$V$5:$V$1004,0)),"")</f>
        <v/>
      </c>
      <c r="B686" s="79">
        <f>IF($A686="","",INDEX(Firms!$B$5:$B$1004,MATCH(663,Firms!$V$5:$V$1004,0)))</f>
        <v/>
      </c>
      <c r="C686" s="79">
        <f>IF($A686="","",COUNTIFS('AFA Rates'!$A$5:$A$1004,$A686,'AFA Rates'!$O$5:$O$1004,"&lt;&gt;Expired"))</f>
        <v/>
      </c>
      <c r="D686" s="79">
        <f>IF(OR($A686="",D$23=""),"",IF(COUNTIFS('AFA Rates'!$A$5:$A$1004,$A686,'AFA Rates'!$B$5:$B$1004,D$23,'AFA Rates'!$O$5:$O$1004,"&lt;&gt;Expired")&gt;0,"✓",IF(COUNTIFS('AFA Rates'!$A$5:$A$1004,$A686,'AFA Rates'!$B$5:$B$1004,D$23)&gt;0,"Exp","")))</f>
        <v/>
      </c>
      <c r="E686" s="79">
        <f>IF(OR($A686="",E$23=""),"",IF(COUNTIFS('AFA Rates'!$A$5:$A$1004,$A686,'AFA Rates'!$B$5:$B$1004,E$23,'AFA Rates'!$O$5:$O$1004,"&lt;&gt;Expired")&gt;0,"✓",IF(COUNTIFS('AFA Rates'!$A$5:$A$1004,$A686,'AFA Rates'!$B$5:$B$1004,E$23)&gt;0,"Exp","")))</f>
        <v/>
      </c>
      <c r="F686" s="79">
        <f>IF(OR($A686="",F$23=""),"",IF(COUNTIFS('AFA Rates'!$A$5:$A$1004,$A686,'AFA Rates'!$B$5:$B$1004,F$23,'AFA Rates'!$O$5:$O$1004,"&lt;&gt;Expired")&gt;0,"✓",IF(COUNTIFS('AFA Rates'!$A$5:$A$1004,$A686,'AFA Rates'!$B$5:$B$1004,F$23)&gt;0,"Exp","")))</f>
        <v/>
      </c>
      <c r="G686" s="79">
        <f>IF(OR($A686="",G$23=""),"",IF(COUNTIFS('AFA Rates'!$A$5:$A$1004,$A686,'AFA Rates'!$B$5:$B$1004,G$23,'AFA Rates'!$O$5:$O$1004,"&lt;&gt;Expired")&gt;0,"✓",IF(COUNTIFS('AFA Rates'!$A$5:$A$1004,$A686,'AFA Rates'!$B$5:$B$1004,G$23)&gt;0,"Exp","")))</f>
        <v/>
      </c>
      <c r="H686" s="79">
        <f>IF(OR($A686="",H$23=""),"",IF(COUNTIFS('AFA Rates'!$A$5:$A$1004,$A686,'AFA Rates'!$B$5:$B$1004,H$23,'AFA Rates'!$O$5:$O$1004,"&lt;&gt;Expired")&gt;0,"✓",IF(COUNTIFS('AFA Rates'!$A$5:$A$1004,$A686,'AFA Rates'!$B$5:$B$1004,H$23)&gt;0,"Exp","")))</f>
        <v/>
      </c>
      <c r="I686" s="79">
        <f>IF(OR($A686="",I$23=""),"",IF(COUNTIFS('AFA Rates'!$A$5:$A$1004,$A686,'AFA Rates'!$B$5:$B$1004,I$23,'AFA Rates'!$O$5:$O$1004,"&lt;&gt;Expired")&gt;0,"✓",IF(COUNTIFS('AFA Rates'!$A$5:$A$1004,$A686,'AFA Rates'!$B$5:$B$1004,I$23)&gt;0,"Exp","")))</f>
        <v/>
      </c>
      <c r="J686" s="79">
        <f>IF(OR($A686="",J$23=""),"",IF(COUNTIFS('AFA Rates'!$A$5:$A$1004,$A686,'AFA Rates'!$B$5:$B$1004,J$23,'AFA Rates'!$O$5:$O$1004,"&lt;&gt;Expired")&gt;0,"✓",IF(COUNTIFS('AFA Rates'!$A$5:$A$1004,$A686,'AFA Rates'!$B$5:$B$1004,J$23)&gt;0,"Exp","")))</f>
        <v/>
      </c>
      <c r="K686" s="79">
        <f>IF(OR($A686="",K$23=""),"",IF(COUNTIFS('AFA Rates'!$A$5:$A$1004,$A686,'AFA Rates'!$B$5:$B$1004,K$23,'AFA Rates'!$O$5:$O$1004,"&lt;&gt;Expired")&gt;0,"✓",IF(COUNTIFS('AFA Rates'!$A$5:$A$1004,$A686,'AFA Rates'!$B$5:$B$1004,K$23)&gt;0,"Exp","")))</f>
        <v/>
      </c>
      <c r="L686" s="79">
        <f>IF(OR($A686="",L$23=""),"",IF(COUNTIFS('AFA Rates'!$A$5:$A$1004,$A686,'AFA Rates'!$B$5:$B$1004,L$23,'AFA Rates'!$O$5:$O$1004,"&lt;&gt;Expired")&gt;0,"✓",IF(COUNTIFS('AFA Rates'!$A$5:$A$1004,$A686,'AFA Rates'!$B$5:$B$1004,L$23)&gt;0,"Exp","")))</f>
        <v/>
      </c>
      <c r="M686" s="79">
        <f>IF(OR($A686="",M$23=""),"",IF(COUNTIFS('AFA Rates'!$A$5:$A$1004,$A686,'AFA Rates'!$B$5:$B$1004,M$23,'AFA Rates'!$O$5:$O$1004,"&lt;&gt;Expired")&gt;0,"✓",IF(COUNTIFS('AFA Rates'!$A$5:$A$1004,$A686,'AFA Rates'!$B$5:$B$1004,M$23)&gt;0,"Exp","")))</f>
        <v/>
      </c>
    </row>
    <row r="687">
      <c r="A687" s="78">
        <f>IFERROR(INDEX(Firms!$A$5:$A$1004,MATCH(664,Firms!$V$5:$V$1004,0)),"")</f>
        <v/>
      </c>
      <c r="B687" s="79">
        <f>IF($A687="","",INDEX(Firms!$B$5:$B$1004,MATCH(664,Firms!$V$5:$V$1004,0)))</f>
        <v/>
      </c>
      <c r="C687" s="79">
        <f>IF($A687="","",COUNTIFS('AFA Rates'!$A$5:$A$1004,$A687,'AFA Rates'!$O$5:$O$1004,"&lt;&gt;Expired"))</f>
        <v/>
      </c>
      <c r="D687" s="79">
        <f>IF(OR($A687="",D$23=""),"",IF(COUNTIFS('AFA Rates'!$A$5:$A$1004,$A687,'AFA Rates'!$B$5:$B$1004,D$23,'AFA Rates'!$O$5:$O$1004,"&lt;&gt;Expired")&gt;0,"✓",IF(COUNTIFS('AFA Rates'!$A$5:$A$1004,$A687,'AFA Rates'!$B$5:$B$1004,D$23)&gt;0,"Exp","")))</f>
        <v/>
      </c>
      <c r="E687" s="79">
        <f>IF(OR($A687="",E$23=""),"",IF(COUNTIFS('AFA Rates'!$A$5:$A$1004,$A687,'AFA Rates'!$B$5:$B$1004,E$23,'AFA Rates'!$O$5:$O$1004,"&lt;&gt;Expired")&gt;0,"✓",IF(COUNTIFS('AFA Rates'!$A$5:$A$1004,$A687,'AFA Rates'!$B$5:$B$1004,E$23)&gt;0,"Exp","")))</f>
        <v/>
      </c>
      <c r="F687" s="79">
        <f>IF(OR($A687="",F$23=""),"",IF(COUNTIFS('AFA Rates'!$A$5:$A$1004,$A687,'AFA Rates'!$B$5:$B$1004,F$23,'AFA Rates'!$O$5:$O$1004,"&lt;&gt;Expired")&gt;0,"✓",IF(COUNTIFS('AFA Rates'!$A$5:$A$1004,$A687,'AFA Rates'!$B$5:$B$1004,F$23)&gt;0,"Exp","")))</f>
        <v/>
      </c>
      <c r="G687" s="79">
        <f>IF(OR($A687="",G$23=""),"",IF(COUNTIFS('AFA Rates'!$A$5:$A$1004,$A687,'AFA Rates'!$B$5:$B$1004,G$23,'AFA Rates'!$O$5:$O$1004,"&lt;&gt;Expired")&gt;0,"✓",IF(COUNTIFS('AFA Rates'!$A$5:$A$1004,$A687,'AFA Rates'!$B$5:$B$1004,G$23)&gt;0,"Exp","")))</f>
        <v/>
      </c>
      <c r="H687" s="79">
        <f>IF(OR($A687="",H$23=""),"",IF(COUNTIFS('AFA Rates'!$A$5:$A$1004,$A687,'AFA Rates'!$B$5:$B$1004,H$23,'AFA Rates'!$O$5:$O$1004,"&lt;&gt;Expired")&gt;0,"✓",IF(COUNTIFS('AFA Rates'!$A$5:$A$1004,$A687,'AFA Rates'!$B$5:$B$1004,H$23)&gt;0,"Exp","")))</f>
        <v/>
      </c>
      <c r="I687" s="79">
        <f>IF(OR($A687="",I$23=""),"",IF(COUNTIFS('AFA Rates'!$A$5:$A$1004,$A687,'AFA Rates'!$B$5:$B$1004,I$23,'AFA Rates'!$O$5:$O$1004,"&lt;&gt;Expired")&gt;0,"✓",IF(COUNTIFS('AFA Rates'!$A$5:$A$1004,$A687,'AFA Rates'!$B$5:$B$1004,I$23)&gt;0,"Exp","")))</f>
        <v/>
      </c>
      <c r="J687" s="79">
        <f>IF(OR($A687="",J$23=""),"",IF(COUNTIFS('AFA Rates'!$A$5:$A$1004,$A687,'AFA Rates'!$B$5:$B$1004,J$23,'AFA Rates'!$O$5:$O$1004,"&lt;&gt;Expired")&gt;0,"✓",IF(COUNTIFS('AFA Rates'!$A$5:$A$1004,$A687,'AFA Rates'!$B$5:$B$1004,J$23)&gt;0,"Exp","")))</f>
        <v/>
      </c>
      <c r="K687" s="79">
        <f>IF(OR($A687="",K$23=""),"",IF(COUNTIFS('AFA Rates'!$A$5:$A$1004,$A687,'AFA Rates'!$B$5:$B$1004,K$23,'AFA Rates'!$O$5:$O$1004,"&lt;&gt;Expired")&gt;0,"✓",IF(COUNTIFS('AFA Rates'!$A$5:$A$1004,$A687,'AFA Rates'!$B$5:$B$1004,K$23)&gt;0,"Exp","")))</f>
        <v/>
      </c>
      <c r="L687" s="79">
        <f>IF(OR($A687="",L$23=""),"",IF(COUNTIFS('AFA Rates'!$A$5:$A$1004,$A687,'AFA Rates'!$B$5:$B$1004,L$23,'AFA Rates'!$O$5:$O$1004,"&lt;&gt;Expired")&gt;0,"✓",IF(COUNTIFS('AFA Rates'!$A$5:$A$1004,$A687,'AFA Rates'!$B$5:$B$1004,L$23)&gt;0,"Exp","")))</f>
        <v/>
      </c>
      <c r="M687" s="79">
        <f>IF(OR($A687="",M$23=""),"",IF(COUNTIFS('AFA Rates'!$A$5:$A$1004,$A687,'AFA Rates'!$B$5:$B$1004,M$23,'AFA Rates'!$O$5:$O$1004,"&lt;&gt;Expired")&gt;0,"✓",IF(COUNTIFS('AFA Rates'!$A$5:$A$1004,$A687,'AFA Rates'!$B$5:$B$1004,M$23)&gt;0,"Exp","")))</f>
        <v/>
      </c>
    </row>
    <row r="688">
      <c r="A688" s="78">
        <f>IFERROR(INDEX(Firms!$A$5:$A$1004,MATCH(665,Firms!$V$5:$V$1004,0)),"")</f>
        <v/>
      </c>
      <c r="B688" s="79">
        <f>IF($A688="","",INDEX(Firms!$B$5:$B$1004,MATCH(665,Firms!$V$5:$V$1004,0)))</f>
        <v/>
      </c>
      <c r="C688" s="79">
        <f>IF($A688="","",COUNTIFS('AFA Rates'!$A$5:$A$1004,$A688,'AFA Rates'!$O$5:$O$1004,"&lt;&gt;Expired"))</f>
        <v/>
      </c>
      <c r="D688" s="79">
        <f>IF(OR($A688="",D$23=""),"",IF(COUNTIFS('AFA Rates'!$A$5:$A$1004,$A688,'AFA Rates'!$B$5:$B$1004,D$23,'AFA Rates'!$O$5:$O$1004,"&lt;&gt;Expired")&gt;0,"✓",IF(COUNTIFS('AFA Rates'!$A$5:$A$1004,$A688,'AFA Rates'!$B$5:$B$1004,D$23)&gt;0,"Exp","")))</f>
        <v/>
      </c>
      <c r="E688" s="79">
        <f>IF(OR($A688="",E$23=""),"",IF(COUNTIFS('AFA Rates'!$A$5:$A$1004,$A688,'AFA Rates'!$B$5:$B$1004,E$23,'AFA Rates'!$O$5:$O$1004,"&lt;&gt;Expired")&gt;0,"✓",IF(COUNTIFS('AFA Rates'!$A$5:$A$1004,$A688,'AFA Rates'!$B$5:$B$1004,E$23)&gt;0,"Exp","")))</f>
        <v/>
      </c>
      <c r="F688" s="79">
        <f>IF(OR($A688="",F$23=""),"",IF(COUNTIFS('AFA Rates'!$A$5:$A$1004,$A688,'AFA Rates'!$B$5:$B$1004,F$23,'AFA Rates'!$O$5:$O$1004,"&lt;&gt;Expired")&gt;0,"✓",IF(COUNTIFS('AFA Rates'!$A$5:$A$1004,$A688,'AFA Rates'!$B$5:$B$1004,F$23)&gt;0,"Exp","")))</f>
        <v/>
      </c>
      <c r="G688" s="79">
        <f>IF(OR($A688="",G$23=""),"",IF(COUNTIFS('AFA Rates'!$A$5:$A$1004,$A688,'AFA Rates'!$B$5:$B$1004,G$23,'AFA Rates'!$O$5:$O$1004,"&lt;&gt;Expired")&gt;0,"✓",IF(COUNTIFS('AFA Rates'!$A$5:$A$1004,$A688,'AFA Rates'!$B$5:$B$1004,G$23)&gt;0,"Exp","")))</f>
        <v/>
      </c>
      <c r="H688" s="79">
        <f>IF(OR($A688="",H$23=""),"",IF(COUNTIFS('AFA Rates'!$A$5:$A$1004,$A688,'AFA Rates'!$B$5:$B$1004,H$23,'AFA Rates'!$O$5:$O$1004,"&lt;&gt;Expired")&gt;0,"✓",IF(COUNTIFS('AFA Rates'!$A$5:$A$1004,$A688,'AFA Rates'!$B$5:$B$1004,H$23)&gt;0,"Exp","")))</f>
        <v/>
      </c>
      <c r="I688" s="79">
        <f>IF(OR($A688="",I$23=""),"",IF(COUNTIFS('AFA Rates'!$A$5:$A$1004,$A688,'AFA Rates'!$B$5:$B$1004,I$23,'AFA Rates'!$O$5:$O$1004,"&lt;&gt;Expired")&gt;0,"✓",IF(COUNTIFS('AFA Rates'!$A$5:$A$1004,$A688,'AFA Rates'!$B$5:$B$1004,I$23)&gt;0,"Exp","")))</f>
        <v/>
      </c>
      <c r="J688" s="79">
        <f>IF(OR($A688="",J$23=""),"",IF(COUNTIFS('AFA Rates'!$A$5:$A$1004,$A688,'AFA Rates'!$B$5:$B$1004,J$23,'AFA Rates'!$O$5:$O$1004,"&lt;&gt;Expired")&gt;0,"✓",IF(COUNTIFS('AFA Rates'!$A$5:$A$1004,$A688,'AFA Rates'!$B$5:$B$1004,J$23)&gt;0,"Exp","")))</f>
        <v/>
      </c>
      <c r="K688" s="79">
        <f>IF(OR($A688="",K$23=""),"",IF(COUNTIFS('AFA Rates'!$A$5:$A$1004,$A688,'AFA Rates'!$B$5:$B$1004,K$23,'AFA Rates'!$O$5:$O$1004,"&lt;&gt;Expired")&gt;0,"✓",IF(COUNTIFS('AFA Rates'!$A$5:$A$1004,$A688,'AFA Rates'!$B$5:$B$1004,K$23)&gt;0,"Exp","")))</f>
        <v/>
      </c>
      <c r="L688" s="79">
        <f>IF(OR($A688="",L$23=""),"",IF(COUNTIFS('AFA Rates'!$A$5:$A$1004,$A688,'AFA Rates'!$B$5:$B$1004,L$23,'AFA Rates'!$O$5:$O$1004,"&lt;&gt;Expired")&gt;0,"✓",IF(COUNTIFS('AFA Rates'!$A$5:$A$1004,$A688,'AFA Rates'!$B$5:$B$1004,L$23)&gt;0,"Exp","")))</f>
        <v/>
      </c>
      <c r="M688" s="79">
        <f>IF(OR($A688="",M$23=""),"",IF(COUNTIFS('AFA Rates'!$A$5:$A$1004,$A688,'AFA Rates'!$B$5:$B$1004,M$23,'AFA Rates'!$O$5:$O$1004,"&lt;&gt;Expired")&gt;0,"✓",IF(COUNTIFS('AFA Rates'!$A$5:$A$1004,$A688,'AFA Rates'!$B$5:$B$1004,M$23)&gt;0,"Exp","")))</f>
        <v/>
      </c>
    </row>
    <row r="689">
      <c r="A689" s="78">
        <f>IFERROR(INDEX(Firms!$A$5:$A$1004,MATCH(666,Firms!$V$5:$V$1004,0)),"")</f>
        <v/>
      </c>
      <c r="B689" s="79">
        <f>IF($A689="","",INDEX(Firms!$B$5:$B$1004,MATCH(666,Firms!$V$5:$V$1004,0)))</f>
        <v/>
      </c>
      <c r="C689" s="79">
        <f>IF($A689="","",COUNTIFS('AFA Rates'!$A$5:$A$1004,$A689,'AFA Rates'!$O$5:$O$1004,"&lt;&gt;Expired"))</f>
        <v/>
      </c>
      <c r="D689" s="79">
        <f>IF(OR($A689="",D$23=""),"",IF(COUNTIFS('AFA Rates'!$A$5:$A$1004,$A689,'AFA Rates'!$B$5:$B$1004,D$23,'AFA Rates'!$O$5:$O$1004,"&lt;&gt;Expired")&gt;0,"✓",IF(COUNTIFS('AFA Rates'!$A$5:$A$1004,$A689,'AFA Rates'!$B$5:$B$1004,D$23)&gt;0,"Exp","")))</f>
        <v/>
      </c>
      <c r="E689" s="79">
        <f>IF(OR($A689="",E$23=""),"",IF(COUNTIFS('AFA Rates'!$A$5:$A$1004,$A689,'AFA Rates'!$B$5:$B$1004,E$23,'AFA Rates'!$O$5:$O$1004,"&lt;&gt;Expired")&gt;0,"✓",IF(COUNTIFS('AFA Rates'!$A$5:$A$1004,$A689,'AFA Rates'!$B$5:$B$1004,E$23)&gt;0,"Exp","")))</f>
        <v/>
      </c>
      <c r="F689" s="79">
        <f>IF(OR($A689="",F$23=""),"",IF(COUNTIFS('AFA Rates'!$A$5:$A$1004,$A689,'AFA Rates'!$B$5:$B$1004,F$23,'AFA Rates'!$O$5:$O$1004,"&lt;&gt;Expired")&gt;0,"✓",IF(COUNTIFS('AFA Rates'!$A$5:$A$1004,$A689,'AFA Rates'!$B$5:$B$1004,F$23)&gt;0,"Exp","")))</f>
        <v/>
      </c>
      <c r="G689" s="79">
        <f>IF(OR($A689="",G$23=""),"",IF(COUNTIFS('AFA Rates'!$A$5:$A$1004,$A689,'AFA Rates'!$B$5:$B$1004,G$23,'AFA Rates'!$O$5:$O$1004,"&lt;&gt;Expired")&gt;0,"✓",IF(COUNTIFS('AFA Rates'!$A$5:$A$1004,$A689,'AFA Rates'!$B$5:$B$1004,G$23)&gt;0,"Exp","")))</f>
        <v/>
      </c>
      <c r="H689" s="79">
        <f>IF(OR($A689="",H$23=""),"",IF(COUNTIFS('AFA Rates'!$A$5:$A$1004,$A689,'AFA Rates'!$B$5:$B$1004,H$23,'AFA Rates'!$O$5:$O$1004,"&lt;&gt;Expired")&gt;0,"✓",IF(COUNTIFS('AFA Rates'!$A$5:$A$1004,$A689,'AFA Rates'!$B$5:$B$1004,H$23)&gt;0,"Exp","")))</f>
        <v/>
      </c>
      <c r="I689" s="79">
        <f>IF(OR($A689="",I$23=""),"",IF(COUNTIFS('AFA Rates'!$A$5:$A$1004,$A689,'AFA Rates'!$B$5:$B$1004,I$23,'AFA Rates'!$O$5:$O$1004,"&lt;&gt;Expired")&gt;0,"✓",IF(COUNTIFS('AFA Rates'!$A$5:$A$1004,$A689,'AFA Rates'!$B$5:$B$1004,I$23)&gt;0,"Exp","")))</f>
        <v/>
      </c>
      <c r="J689" s="79">
        <f>IF(OR($A689="",J$23=""),"",IF(COUNTIFS('AFA Rates'!$A$5:$A$1004,$A689,'AFA Rates'!$B$5:$B$1004,J$23,'AFA Rates'!$O$5:$O$1004,"&lt;&gt;Expired")&gt;0,"✓",IF(COUNTIFS('AFA Rates'!$A$5:$A$1004,$A689,'AFA Rates'!$B$5:$B$1004,J$23)&gt;0,"Exp","")))</f>
        <v/>
      </c>
      <c r="K689" s="79">
        <f>IF(OR($A689="",K$23=""),"",IF(COUNTIFS('AFA Rates'!$A$5:$A$1004,$A689,'AFA Rates'!$B$5:$B$1004,K$23,'AFA Rates'!$O$5:$O$1004,"&lt;&gt;Expired")&gt;0,"✓",IF(COUNTIFS('AFA Rates'!$A$5:$A$1004,$A689,'AFA Rates'!$B$5:$B$1004,K$23)&gt;0,"Exp","")))</f>
        <v/>
      </c>
      <c r="L689" s="79">
        <f>IF(OR($A689="",L$23=""),"",IF(COUNTIFS('AFA Rates'!$A$5:$A$1004,$A689,'AFA Rates'!$B$5:$B$1004,L$23,'AFA Rates'!$O$5:$O$1004,"&lt;&gt;Expired")&gt;0,"✓",IF(COUNTIFS('AFA Rates'!$A$5:$A$1004,$A689,'AFA Rates'!$B$5:$B$1004,L$23)&gt;0,"Exp","")))</f>
        <v/>
      </c>
      <c r="M689" s="79">
        <f>IF(OR($A689="",M$23=""),"",IF(COUNTIFS('AFA Rates'!$A$5:$A$1004,$A689,'AFA Rates'!$B$5:$B$1004,M$23,'AFA Rates'!$O$5:$O$1004,"&lt;&gt;Expired")&gt;0,"✓",IF(COUNTIFS('AFA Rates'!$A$5:$A$1004,$A689,'AFA Rates'!$B$5:$B$1004,M$23)&gt;0,"Exp","")))</f>
        <v/>
      </c>
    </row>
    <row r="690">
      <c r="A690" s="78">
        <f>IFERROR(INDEX(Firms!$A$5:$A$1004,MATCH(667,Firms!$V$5:$V$1004,0)),"")</f>
        <v/>
      </c>
      <c r="B690" s="79">
        <f>IF($A690="","",INDEX(Firms!$B$5:$B$1004,MATCH(667,Firms!$V$5:$V$1004,0)))</f>
        <v/>
      </c>
      <c r="C690" s="79">
        <f>IF($A690="","",COUNTIFS('AFA Rates'!$A$5:$A$1004,$A690,'AFA Rates'!$O$5:$O$1004,"&lt;&gt;Expired"))</f>
        <v/>
      </c>
      <c r="D690" s="79">
        <f>IF(OR($A690="",D$23=""),"",IF(COUNTIFS('AFA Rates'!$A$5:$A$1004,$A690,'AFA Rates'!$B$5:$B$1004,D$23,'AFA Rates'!$O$5:$O$1004,"&lt;&gt;Expired")&gt;0,"✓",IF(COUNTIFS('AFA Rates'!$A$5:$A$1004,$A690,'AFA Rates'!$B$5:$B$1004,D$23)&gt;0,"Exp","")))</f>
        <v/>
      </c>
      <c r="E690" s="79">
        <f>IF(OR($A690="",E$23=""),"",IF(COUNTIFS('AFA Rates'!$A$5:$A$1004,$A690,'AFA Rates'!$B$5:$B$1004,E$23,'AFA Rates'!$O$5:$O$1004,"&lt;&gt;Expired")&gt;0,"✓",IF(COUNTIFS('AFA Rates'!$A$5:$A$1004,$A690,'AFA Rates'!$B$5:$B$1004,E$23)&gt;0,"Exp","")))</f>
        <v/>
      </c>
      <c r="F690" s="79">
        <f>IF(OR($A690="",F$23=""),"",IF(COUNTIFS('AFA Rates'!$A$5:$A$1004,$A690,'AFA Rates'!$B$5:$B$1004,F$23,'AFA Rates'!$O$5:$O$1004,"&lt;&gt;Expired")&gt;0,"✓",IF(COUNTIFS('AFA Rates'!$A$5:$A$1004,$A690,'AFA Rates'!$B$5:$B$1004,F$23)&gt;0,"Exp","")))</f>
        <v/>
      </c>
      <c r="G690" s="79">
        <f>IF(OR($A690="",G$23=""),"",IF(COUNTIFS('AFA Rates'!$A$5:$A$1004,$A690,'AFA Rates'!$B$5:$B$1004,G$23,'AFA Rates'!$O$5:$O$1004,"&lt;&gt;Expired")&gt;0,"✓",IF(COUNTIFS('AFA Rates'!$A$5:$A$1004,$A690,'AFA Rates'!$B$5:$B$1004,G$23)&gt;0,"Exp","")))</f>
        <v/>
      </c>
      <c r="H690" s="79">
        <f>IF(OR($A690="",H$23=""),"",IF(COUNTIFS('AFA Rates'!$A$5:$A$1004,$A690,'AFA Rates'!$B$5:$B$1004,H$23,'AFA Rates'!$O$5:$O$1004,"&lt;&gt;Expired")&gt;0,"✓",IF(COUNTIFS('AFA Rates'!$A$5:$A$1004,$A690,'AFA Rates'!$B$5:$B$1004,H$23)&gt;0,"Exp","")))</f>
        <v/>
      </c>
      <c r="I690" s="79">
        <f>IF(OR($A690="",I$23=""),"",IF(COUNTIFS('AFA Rates'!$A$5:$A$1004,$A690,'AFA Rates'!$B$5:$B$1004,I$23,'AFA Rates'!$O$5:$O$1004,"&lt;&gt;Expired")&gt;0,"✓",IF(COUNTIFS('AFA Rates'!$A$5:$A$1004,$A690,'AFA Rates'!$B$5:$B$1004,I$23)&gt;0,"Exp","")))</f>
        <v/>
      </c>
      <c r="J690" s="79">
        <f>IF(OR($A690="",J$23=""),"",IF(COUNTIFS('AFA Rates'!$A$5:$A$1004,$A690,'AFA Rates'!$B$5:$B$1004,J$23,'AFA Rates'!$O$5:$O$1004,"&lt;&gt;Expired")&gt;0,"✓",IF(COUNTIFS('AFA Rates'!$A$5:$A$1004,$A690,'AFA Rates'!$B$5:$B$1004,J$23)&gt;0,"Exp","")))</f>
        <v/>
      </c>
      <c r="K690" s="79">
        <f>IF(OR($A690="",K$23=""),"",IF(COUNTIFS('AFA Rates'!$A$5:$A$1004,$A690,'AFA Rates'!$B$5:$B$1004,K$23,'AFA Rates'!$O$5:$O$1004,"&lt;&gt;Expired")&gt;0,"✓",IF(COUNTIFS('AFA Rates'!$A$5:$A$1004,$A690,'AFA Rates'!$B$5:$B$1004,K$23)&gt;0,"Exp","")))</f>
        <v/>
      </c>
      <c r="L690" s="79">
        <f>IF(OR($A690="",L$23=""),"",IF(COUNTIFS('AFA Rates'!$A$5:$A$1004,$A690,'AFA Rates'!$B$5:$B$1004,L$23,'AFA Rates'!$O$5:$O$1004,"&lt;&gt;Expired")&gt;0,"✓",IF(COUNTIFS('AFA Rates'!$A$5:$A$1004,$A690,'AFA Rates'!$B$5:$B$1004,L$23)&gt;0,"Exp","")))</f>
        <v/>
      </c>
      <c r="M690" s="79">
        <f>IF(OR($A690="",M$23=""),"",IF(COUNTIFS('AFA Rates'!$A$5:$A$1004,$A690,'AFA Rates'!$B$5:$B$1004,M$23,'AFA Rates'!$O$5:$O$1004,"&lt;&gt;Expired")&gt;0,"✓",IF(COUNTIFS('AFA Rates'!$A$5:$A$1004,$A690,'AFA Rates'!$B$5:$B$1004,M$23)&gt;0,"Exp","")))</f>
        <v/>
      </c>
    </row>
    <row r="691">
      <c r="A691" s="78">
        <f>IFERROR(INDEX(Firms!$A$5:$A$1004,MATCH(668,Firms!$V$5:$V$1004,0)),"")</f>
        <v/>
      </c>
      <c r="B691" s="79">
        <f>IF($A691="","",INDEX(Firms!$B$5:$B$1004,MATCH(668,Firms!$V$5:$V$1004,0)))</f>
        <v/>
      </c>
      <c r="C691" s="79">
        <f>IF($A691="","",COUNTIFS('AFA Rates'!$A$5:$A$1004,$A691,'AFA Rates'!$O$5:$O$1004,"&lt;&gt;Expired"))</f>
        <v/>
      </c>
      <c r="D691" s="79">
        <f>IF(OR($A691="",D$23=""),"",IF(COUNTIFS('AFA Rates'!$A$5:$A$1004,$A691,'AFA Rates'!$B$5:$B$1004,D$23,'AFA Rates'!$O$5:$O$1004,"&lt;&gt;Expired")&gt;0,"✓",IF(COUNTIFS('AFA Rates'!$A$5:$A$1004,$A691,'AFA Rates'!$B$5:$B$1004,D$23)&gt;0,"Exp","")))</f>
        <v/>
      </c>
      <c r="E691" s="79">
        <f>IF(OR($A691="",E$23=""),"",IF(COUNTIFS('AFA Rates'!$A$5:$A$1004,$A691,'AFA Rates'!$B$5:$B$1004,E$23,'AFA Rates'!$O$5:$O$1004,"&lt;&gt;Expired")&gt;0,"✓",IF(COUNTIFS('AFA Rates'!$A$5:$A$1004,$A691,'AFA Rates'!$B$5:$B$1004,E$23)&gt;0,"Exp","")))</f>
        <v/>
      </c>
      <c r="F691" s="79">
        <f>IF(OR($A691="",F$23=""),"",IF(COUNTIFS('AFA Rates'!$A$5:$A$1004,$A691,'AFA Rates'!$B$5:$B$1004,F$23,'AFA Rates'!$O$5:$O$1004,"&lt;&gt;Expired")&gt;0,"✓",IF(COUNTIFS('AFA Rates'!$A$5:$A$1004,$A691,'AFA Rates'!$B$5:$B$1004,F$23)&gt;0,"Exp","")))</f>
        <v/>
      </c>
      <c r="G691" s="79">
        <f>IF(OR($A691="",G$23=""),"",IF(COUNTIFS('AFA Rates'!$A$5:$A$1004,$A691,'AFA Rates'!$B$5:$B$1004,G$23,'AFA Rates'!$O$5:$O$1004,"&lt;&gt;Expired")&gt;0,"✓",IF(COUNTIFS('AFA Rates'!$A$5:$A$1004,$A691,'AFA Rates'!$B$5:$B$1004,G$23)&gt;0,"Exp","")))</f>
        <v/>
      </c>
      <c r="H691" s="79">
        <f>IF(OR($A691="",H$23=""),"",IF(COUNTIFS('AFA Rates'!$A$5:$A$1004,$A691,'AFA Rates'!$B$5:$B$1004,H$23,'AFA Rates'!$O$5:$O$1004,"&lt;&gt;Expired")&gt;0,"✓",IF(COUNTIFS('AFA Rates'!$A$5:$A$1004,$A691,'AFA Rates'!$B$5:$B$1004,H$23)&gt;0,"Exp","")))</f>
        <v/>
      </c>
      <c r="I691" s="79">
        <f>IF(OR($A691="",I$23=""),"",IF(COUNTIFS('AFA Rates'!$A$5:$A$1004,$A691,'AFA Rates'!$B$5:$B$1004,I$23,'AFA Rates'!$O$5:$O$1004,"&lt;&gt;Expired")&gt;0,"✓",IF(COUNTIFS('AFA Rates'!$A$5:$A$1004,$A691,'AFA Rates'!$B$5:$B$1004,I$23)&gt;0,"Exp","")))</f>
        <v/>
      </c>
      <c r="J691" s="79">
        <f>IF(OR($A691="",J$23=""),"",IF(COUNTIFS('AFA Rates'!$A$5:$A$1004,$A691,'AFA Rates'!$B$5:$B$1004,J$23,'AFA Rates'!$O$5:$O$1004,"&lt;&gt;Expired")&gt;0,"✓",IF(COUNTIFS('AFA Rates'!$A$5:$A$1004,$A691,'AFA Rates'!$B$5:$B$1004,J$23)&gt;0,"Exp","")))</f>
        <v/>
      </c>
      <c r="K691" s="79">
        <f>IF(OR($A691="",K$23=""),"",IF(COUNTIFS('AFA Rates'!$A$5:$A$1004,$A691,'AFA Rates'!$B$5:$B$1004,K$23,'AFA Rates'!$O$5:$O$1004,"&lt;&gt;Expired")&gt;0,"✓",IF(COUNTIFS('AFA Rates'!$A$5:$A$1004,$A691,'AFA Rates'!$B$5:$B$1004,K$23)&gt;0,"Exp","")))</f>
        <v/>
      </c>
      <c r="L691" s="79">
        <f>IF(OR($A691="",L$23=""),"",IF(COUNTIFS('AFA Rates'!$A$5:$A$1004,$A691,'AFA Rates'!$B$5:$B$1004,L$23,'AFA Rates'!$O$5:$O$1004,"&lt;&gt;Expired")&gt;0,"✓",IF(COUNTIFS('AFA Rates'!$A$5:$A$1004,$A691,'AFA Rates'!$B$5:$B$1004,L$23)&gt;0,"Exp","")))</f>
        <v/>
      </c>
      <c r="M691" s="79">
        <f>IF(OR($A691="",M$23=""),"",IF(COUNTIFS('AFA Rates'!$A$5:$A$1004,$A691,'AFA Rates'!$B$5:$B$1004,M$23,'AFA Rates'!$O$5:$O$1004,"&lt;&gt;Expired")&gt;0,"✓",IF(COUNTIFS('AFA Rates'!$A$5:$A$1004,$A691,'AFA Rates'!$B$5:$B$1004,M$23)&gt;0,"Exp","")))</f>
        <v/>
      </c>
    </row>
    <row r="692">
      <c r="A692" s="78">
        <f>IFERROR(INDEX(Firms!$A$5:$A$1004,MATCH(669,Firms!$V$5:$V$1004,0)),"")</f>
        <v/>
      </c>
      <c r="B692" s="79">
        <f>IF($A692="","",INDEX(Firms!$B$5:$B$1004,MATCH(669,Firms!$V$5:$V$1004,0)))</f>
        <v/>
      </c>
      <c r="C692" s="79">
        <f>IF($A692="","",COUNTIFS('AFA Rates'!$A$5:$A$1004,$A692,'AFA Rates'!$O$5:$O$1004,"&lt;&gt;Expired"))</f>
        <v/>
      </c>
      <c r="D692" s="79">
        <f>IF(OR($A692="",D$23=""),"",IF(COUNTIFS('AFA Rates'!$A$5:$A$1004,$A692,'AFA Rates'!$B$5:$B$1004,D$23,'AFA Rates'!$O$5:$O$1004,"&lt;&gt;Expired")&gt;0,"✓",IF(COUNTIFS('AFA Rates'!$A$5:$A$1004,$A692,'AFA Rates'!$B$5:$B$1004,D$23)&gt;0,"Exp","")))</f>
        <v/>
      </c>
      <c r="E692" s="79">
        <f>IF(OR($A692="",E$23=""),"",IF(COUNTIFS('AFA Rates'!$A$5:$A$1004,$A692,'AFA Rates'!$B$5:$B$1004,E$23,'AFA Rates'!$O$5:$O$1004,"&lt;&gt;Expired")&gt;0,"✓",IF(COUNTIFS('AFA Rates'!$A$5:$A$1004,$A692,'AFA Rates'!$B$5:$B$1004,E$23)&gt;0,"Exp","")))</f>
        <v/>
      </c>
      <c r="F692" s="79">
        <f>IF(OR($A692="",F$23=""),"",IF(COUNTIFS('AFA Rates'!$A$5:$A$1004,$A692,'AFA Rates'!$B$5:$B$1004,F$23,'AFA Rates'!$O$5:$O$1004,"&lt;&gt;Expired")&gt;0,"✓",IF(COUNTIFS('AFA Rates'!$A$5:$A$1004,$A692,'AFA Rates'!$B$5:$B$1004,F$23)&gt;0,"Exp","")))</f>
        <v/>
      </c>
      <c r="G692" s="79">
        <f>IF(OR($A692="",G$23=""),"",IF(COUNTIFS('AFA Rates'!$A$5:$A$1004,$A692,'AFA Rates'!$B$5:$B$1004,G$23,'AFA Rates'!$O$5:$O$1004,"&lt;&gt;Expired")&gt;0,"✓",IF(COUNTIFS('AFA Rates'!$A$5:$A$1004,$A692,'AFA Rates'!$B$5:$B$1004,G$23)&gt;0,"Exp","")))</f>
        <v/>
      </c>
      <c r="H692" s="79">
        <f>IF(OR($A692="",H$23=""),"",IF(COUNTIFS('AFA Rates'!$A$5:$A$1004,$A692,'AFA Rates'!$B$5:$B$1004,H$23,'AFA Rates'!$O$5:$O$1004,"&lt;&gt;Expired")&gt;0,"✓",IF(COUNTIFS('AFA Rates'!$A$5:$A$1004,$A692,'AFA Rates'!$B$5:$B$1004,H$23)&gt;0,"Exp","")))</f>
        <v/>
      </c>
      <c r="I692" s="79">
        <f>IF(OR($A692="",I$23=""),"",IF(COUNTIFS('AFA Rates'!$A$5:$A$1004,$A692,'AFA Rates'!$B$5:$B$1004,I$23,'AFA Rates'!$O$5:$O$1004,"&lt;&gt;Expired")&gt;0,"✓",IF(COUNTIFS('AFA Rates'!$A$5:$A$1004,$A692,'AFA Rates'!$B$5:$B$1004,I$23)&gt;0,"Exp","")))</f>
        <v/>
      </c>
      <c r="J692" s="79">
        <f>IF(OR($A692="",J$23=""),"",IF(COUNTIFS('AFA Rates'!$A$5:$A$1004,$A692,'AFA Rates'!$B$5:$B$1004,J$23,'AFA Rates'!$O$5:$O$1004,"&lt;&gt;Expired")&gt;0,"✓",IF(COUNTIFS('AFA Rates'!$A$5:$A$1004,$A692,'AFA Rates'!$B$5:$B$1004,J$23)&gt;0,"Exp","")))</f>
        <v/>
      </c>
      <c r="K692" s="79">
        <f>IF(OR($A692="",K$23=""),"",IF(COUNTIFS('AFA Rates'!$A$5:$A$1004,$A692,'AFA Rates'!$B$5:$B$1004,K$23,'AFA Rates'!$O$5:$O$1004,"&lt;&gt;Expired")&gt;0,"✓",IF(COUNTIFS('AFA Rates'!$A$5:$A$1004,$A692,'AFA Rates'!$B$5:$B$1004,K$23)&gt;0,"Exp","")))</f>
        <v/>
      </c>
      <c r="L692" s="79">
        <f>IF(OR($A692="",L$23=""),"",IF(COUNTIFS('AFA Rates'!$A$5:$A$1004,$A692,'AFA Rates'!$B$5:$B$1004,L$23,'AFA Rates'!$O$5:$O$1004,"&lt;&gt;Expired")&gt;0,"✓",IF(COUNTIFS('AFA Rates'!$A$5:$A$1004,$A692,'AFA Rates'!$B$5:$B$1004,L$23)&gt;0,"Exp","")))</f>
        <v/>
      </c>
      <c r="M692" s="79">
        <f>IF(OR($A692="",M$23=""),"",IF(COUNTIFS('AFA Rates'!$A$5:$A$1004,$A692,'AFA Rates'!$B$5:$B$1004,M$23,'AFA Rates'!$O$5:$O$1004,"&lt;&gt;Expired")&gt;0,"✓",IF(COUNTIFS('AFA Rates'!$A$5:$A$1004,$A692,'AFA Rates'!$B$5:$B$1004,M$23)&gt;0,"Exp","")))</f>
        <v/>
      </c>
    </row>
    <row r="693">
      <c r="A693" s="78">
        <f>IFERROR(INDEX(Firms!$A$5:$A$1004,MATCH(670,Firms!$V$5:$V$1004,0)),"")</f>
        <v/>
      </c>
      <c r="B693" s="79">
        <f>IF($A693="","",INDEX(Firms!$B$5:$B$1004,MATCH(670,Firms!$V$5:$V$1004,0)))</f>
        <v/>
      </c>
      <c r="C693" s="79">
        <f>IF($A693="","",COUNTIFS('AFA Rates'!$A$5:$A$1004,$A693,'AFA Rates'!$O$5:$O$1004,"&lt;&gt;Expired"))</f>
        <v/>
      </c>
      <c r="D693" s="79">
        <f>IF(OR($A693="",D$23=""),"",IF(COUNTIFS('AFA Rates'!$A$5:$A$1004,$A693,'AFA Rates'!$B$5:$B$1004,D$23,'AFA Rates'!$O$5:$O$1004,"&lt;&gt;Expired")&gt;0,"✓",IF(COUNTIFS('AFA Rates'!$A$5:$A$1004,$A693,'AFA Rates'!$B$5:$B$1004,D$23)&gt;0,"Exp","")))</f>
        <v/>
      </c>
      <c r="E693" s="79">
        <f>IF(OR($A693="",E$23=""),"",IF(COUNTIFS('AFA Rates'!$A$5:$A$1004,$A693,'AFA Rates'!$B$5:$B$1004,E$23,'AFA Rates'!$O$5:$O$1004,"&lt;&gt;Expired")&gt;0,"✓",IF(COUNTIFS('AFA Rates'!$A$5:$A$1004,$A693,'AFA Rates'!$B$5:$B$1004,E$23)&gt;0,"Exp","")))</f>
        <v/>
      </c>
      <c r="F693" s="79">
        <f>IF(OR($A693="",F$23=""),"",IF(COUNTIFS('AFA Rates'!$A$5:$A$1004,$A693,'AFA Rates'!$B$5:$B$1004,F$23,'AFA Rates'!$O$5:$O$1004,"&lt;&gt;Expired")&gt;0,"✓",IF(COUNTIFS('AFA Rates'!$A$5:$A$1004,$A693,'AFA Rates'!$B$5:$B$1004,F$23)&gt;0,"Exp","")))</f>
        <v/>
      </c>
      <c r="G693" s="79">
        <f>IF(OR($A693="",G$23=""),"",IF(COUNTIFS('AFA Rates'!$A$5:$A$1004,$A693,'AFA Rates'!$B$5:$B$1004,G$23,'AFA Rates'!$O$5:$O$1004,"&lt;&gt;Expired")&gt;0,"✓",IF(COUNTIFS('AFA Rates'!$A$5:$A$1004,$A693,'AFA Rates'!$B$5:$B$1004,G$23)&gt;0,"Exp","")))</f>
        <v/>
      </c>
      <c r="H693" s="79">
        <f>IF(OR($A693="",H$23=""),"",IF(COUNTIFS('AFA Rates'!$A$5:$A$1004,$A693,'AFA Rates'!$B$5:$B$1004,H$23,'AFA Rates'!$O$5:$O$1004,"&lt;&gt;Expired")&gt;0,"✓",IF(COUNTIFS('AFA Rates'!$A$5:$A$1004,$A693,'AFA Rates'!$B$5:$B$1004,H$23)&gt;0,"Exp","")))</f>
        <v/>
      </c>
      <c r="I693" s="79">
        <f>IF(OR($A693="",I$23=""),"",IF(COUNTIFS('AFA Rates'!$A$5:$A$1004,$A693,'AFA Rates'!$B$5:$B$1004,I$23,'AFA Rates'!$O$5:$O$1004,"&lt;&gt;Expired")&gt;0,"✓",IF(COUNTIFS('AFA Rates'!$A$5:$A$1004,$A693,'AFA Rates'!$B$5:$B$1004,I$23)&gt;0,"Exp","")))</f>
        <v/>
      </c>
      <c r="J693" s="79">
        <f>IF(OR($A693="",J$23=""),"",IF(COUNTIFS('AFA Rates'!$A$5:$A$1004,$A693,'AFA Rates'!$B$5:$B$1004,J$23,'AFA Rates'!$O$5:$O$1004,"&lt;&gt;Expired")&gt;0,"✓",IF(COUNTIFS('AFA Rates'!$A$5:$A$1004,$A693,'AFA Rates'!$B$5:$B$1004,J$23)&gt;0,"Exp","")))</f>
        <v/>
      </c>
      <c r="K693" s="79">
        <f>IF(OR($A693="",K$23=""),"",IF(COUNTIFS('AFA Rates'!$A$5:$A$1004,$A693,'AFA Rates'!$B$5:$B$1004,K$23,'AFA Rates'!$O$5:$O$1004,"&lt;&gt;Expired")&gt;0,"✓",IF(COUNTIFS('AFA Rates'!$A$5:$A$1004,$A693,'AFA Rates'!$B$5:$B$1004,K$23)&gt;0,"Exp","")))</f>
        <v/>
      </c>
      <c r="L693" s="79">
        <f>IF(OR($A693="",L$23=""),"",IF(COUNTIFS('AFA Rates'!$A$5:$A$1004,$A693,'AFA Rates'!$B$5:$B$1004,L$23,'AFA Rates'!$O$5:$O$1004,"&lt;&gt;Expired")&gt;0,"✓",IF(COUNTIFS('AFA Rates'!$A$5:$A$1004,$A693,'AFA Rates'!$B$5:$B$1004,L$23)&gt;0,"Exp","")))</f>
        <v/>
      </c>
      <c r="M693" s="79">
        <f>IF(OR($A693="",M$23=""),"",IF(COUNTIFS('AFA Rates'!$A$5:$A$1004,$A693,'AFA Rates'!$B$5:$B$1004,M$23,'AFA Rates'!$O$5:$O$1004,"&lt;&gt;Expired")&gt;0,"✓",IF(COUNTIFS('AFA Rates'!$A$5:$A$1004,$A693,'AFA Rates'!$B$5:$B$1004,M$23)&gt;0,"Exp","")))</f>
        <v/>
      </c>
    </row>
    <row r="694">
      <c r="A694" s="78">
        <f>IFERROR(INDEX(Firms!$A$5:$A$1004,MATCH(671,Firms!$V$5:$V$1004,0)),"")</f>
        <v/>
      </c>
      <c r="B694" s="79">
        <f>IF($A694="","",INDEX(Firms!$B$5:$B$1004,MATCH(671,Firms!$V$5:$V$1004,0)))</f>
        <v/>
      </c>
      <c r="C694" s="79">
        <f>IF($A694="","",COUNTIFS('AFA Rates'!$A$5:$A$1004,$A694,'AFA Rates'!$O$5:$O$1004,"&lt;&gt;Expired"))</f>
        <v/>
      </c>
      <c r="D694" s="79">
        <f>IF(OR($A694="",D$23=""),"",IF(COUNTIFS('AFA Rates'!$A$5:$A$1004,$A694,'AFA Rates'!$B$5:$B$1004,D$23,'AFA Rates'!$O$5:$O$1004,"&lt;&gt;Expired")&gt;0,"✓",IF(COUNTIFS('AFA Rates'!$A$5:$A$1004,$A694,'AFA Rates'!$B$5:$B$1004,D$23)&gt;0,"Exp","")))</f>
        <v/>
      </c>
      <c r="E694" s="79">
        <f>IF(OR($A694="",E$23=""),"",IF(COUNTIFS('AFA Rates'!$A$5:$A$1004,$A694,'AFA Rates'!$B$5:$B$1004,E$23,'AFA Rates'!$O$5:$O$1004,"&lt;&gt;Expired")&gt;0,"✓",IF(COUNTIFS('AFA Rates'!$A$5:$A$1004,$A694,'AFA Rates'!$B$5:$B$1004,E$23)&gt;0,"Exp","")))</f>
        <v/>
      </c>
      <c r="F694" s="79">
        <f>IF(OR($A694="",F$23=""),"",IF(COUNTIFS('AFA Rates'!$A$5:$A$1004,$A694,'AFA Rates'!$B$5:$B$1004,F$23,'AFA Rates'!$O$5:$O$1004,"&lt;&gt;Expired")&gt;0,"✓",IF(COUNTIFS('AFA Rates'!$A$5:$A$1004,$A694,'AFA Rates'!$B$5:$B$1004,F$23)&gt;0,"Exp","")))</f>
        <v/>
      </c>
      <c r="G694" s="79">
        <f>IF(OR($A694="",G$23=""),"",IF(COUNTIFS('AFA Rates'!$A$5:$A$1004,$A694,'AFA Rates'!$B$5:$B$1004,G$23,'AFA Rates'!$O$5:$O$1004,"&lt;&gt;Expired")&gt;0,"✓",IF(COUNTIFS('AFA Rates'!$A$5:$A$1004,$A694,'AFA Rates'!$B$5:$B$1004,G$23)&gt;0,"Exp","")))</f>
        <v/>
      </c>
      <c r="H694" s="79">
        <f>IF(OR($A694="",H$23=""),"",IF(COUNTIFS('AFA Rates'!$A$5:$A$1004,$A694,'AFA Rates'!$B$5:$B$1004,H$23,'AFA Rates'!$O$5:$O$1004,"&lt;&gt;Expired")&gt;0,"✓",IF(COUNTIFS('AFA Rates'!$A$5:$A$1004,$A694,'AFA Rates'!$B$5:$B$1004,H$23)&gt;0,"Exp","")))</f>
        <v/>
      </c>
      <c r="I694" s="79">
        <f>IF(OR($A694="",I$23=""),"",IF(COUNTIFS('AFA Rates'!$A$5:$A$1004,$A694,'AFA Rates'!$B$5:$B$1004,I$23,'AFA Rates'!$O$5:$O$1004,"&lt;&gt;Expired")&gt;0,"✓",IF(COUNTIFS('AFA Rates'!$A$5:$A$1004,$A694,'AFA Rates'!$B$5:$B$1004,I$23)&gt;0,"Exp","")))</f>
        <v/>
      </c>
      <c r="J694" s="79">
        <f>IF(OR($A694="",J$23=""),"",IF(COUNTIFS('AFA Rates'!$A$5:$A$1004,$A694,'AFA Rates'!$B$5:$B$1004,J$23,'AFA Rates'!$O$5:$O$1004,"&lt;&gt;Expired")&gt;0,"✓",IF(COUNTIFS('AFA Rates'!$A$5:$A$1004,$A694,'AFA Rates'!$B$5:$B$1004,J$23)&gt;0,"Exp","")))</f>
        <v/>
      </c>
      <c r="K694" s="79">
        <f>IF(OR($A694="",K$23=""),"",IF(COUNTIFS('AFA Rates'!$A$5:$A$1004,$A694,'AFA Rates'!$B$5:$B$1004,K$23,'AFA Rates'!$O$5:$O$1004,"&lt;&gt;Expired")&gt;0,"✓",IF(COUNTIFS('AFA Rates'!$A$5:$A$1004,$A694,'AFA Rates'!$B$5:$B$1004,K$23)&gt;0,"Exp","")))</f>
        <v/>
      </c>
      <c r="L694" s="79">
        <f>IF(OR($A694="",L$23=""),"",IF(COUNTIFS('AFA Rates'!$A$5:$A$1004,$A694,'AFA Rates'!$B$5:$B$1004,L$23,'AFA Rates'!$O$5:$O$1004,"&lt;&gt;Expired")&gt;0,"✓",IF(COUNTIFS('AFA Rates'!$A$5:$A$1004,$A694,'AFA Rates'!$B$5:$B$1004,L$23)&gt;0,"Exp","")))</f>
        <v/>
      </c>
      <c r="M694" s="79">
        <f>IF(OR($A694="",M$23=""),"",IF(COUNTIFS('AFA Rates'!$A$5:$A$1004,$A694,'AFA Rates'!$B$5:$B$1004,M$23,'AFA Rates'!$O$5:$O$1004,"&lt;&gt;Expired")&gt;0,"✓",IF(COUNTIFS('AFA Rates'!$A$5:$A$1004,$A694,'AFA Rates'!$B$5:$B$1004,M$23)&gt;0,"Exp","")))</f>
        <v/>
      </c>
    </row>
    <row r="695">
      <c r="A695" s="78">
        <f>IFERROR(INDEX(Firms!$A$5:$A$1004,MATCH(672,Firms!$V$5:$V$1004,0)),"")</f>
        <v/>
      </c>
      <c r="B695" s="79">
        <f>IF($A695="","",INDEX(Firms!$B$5:$B$1004,MATCH(672,Firms!$V$5:$V$1004,0)))</f>
        <v/>
      </c>
      <c r="C695" s="79">
        <f>IF($A695="","",COUNTIFS('AFA Rates'!$A$5:$A$1004,$A695,'AFA Rates'!$O$5:$O$1004,"&lt;&gt;Expired"))</f>
        <v/>
      </c>
      <c r="D695" s="79">
        <f>IF(OR($A695="",D$23=""),"",IF(COUNTIFS('AFA Rates'!$A$5:$A$1004,$A695,'AFA Rates'!$B$5:$B$1004,D$23,'AFA Rates'!$O$5:$O$1004,"&lt;&gt;Expired")&gt;0,"✓",IF(COUNTIFS('AFA Rates'!$A$5:$A$1004,$A695,'AFA Rates'!$B$5:$B$1004,D$23)&gt;0,"Exp","")))</f>
        <v/>
      </c>
      <c r="E695" s="79">
        <f>IF(OR($A695="",E$23=""),"",IF(COUNTIFS('AFA Rates'!$A$5:$A$1004,$A695,'AFA Rates'!$B$5:$B$1004,E$23,'AFA Rates'!$O$5:$O$1004,"&lt;&gt;Expired")&gt;0,"✓",IF(COUNTIFS('AFA Rates'!$A$5:$A$1004,$A695,'AFA Rates'!$B$5:$B$1004,E$23)&gt;0,"Exp","")))</f>
        <v/>
      </c>
      <c r="F695" s="79">
        <f>IF(OR($A695="",F$23=""),"",IF(COUNTIFS('AFA Rates'!$A$5:$A$1004,$A695,'AFA Rates'!$B$5:$B$1004,F$23,'AFA Rates'!$O$5:$O$1004,"&lt;&gt;Expired")&gt;0,"✓",IF(COUNTIFS('AFA Rates'!$A$5:$A$1004,$A695,'AFA Rates'!$B$5:$B$1004,F$23)&gt;0,"Exp","")))</f>
        <v/>
      </c>
      <c r="G695" s="79">
        <f>IF(OR($A695="",G$23=""),"",IF(COUNTIFS('AFA Rates'!$A$5:$A$1004,$A695,'AFA Rates'!$B$5:$B$1004,G$23,'AFA Rates'!$O$5:$O$1004,"&lt;&gt;Expired")&gt;0,"✓",IF(COUNTIFS('AFA Rates'!$A$5:$A$1004,$A695,'AFA Rates'!$B$5:$B$1004,G$23)&gt;0,"Exp","")))</f>
        <v/>
      </c>
      <c r="H695" s="79">
        <f>IF(OR($A695="",H$23=""),"",IF(COUNTIFS('AFA Rates'!$A$5:$A$1004,$A695,'AFA Rates'!$B$5:$B$1004,H$23,'AFA Rates'!$O$5:$O$1004,"&lt;&gt;Expired")&gt;0,"✓",IF(COUNTIFS('AFA Rates'!$A$5:$A$1004,$A695,'AFA Rates'!$B$5:$B$1004,H$23)&gt;0,"Exp","")))</f>
        <v/>
      </c>
      <c r="I695" s="79">
        <f>IF(OR($A695="",I$23=""),"",IF(COUNTIFS('AFA Rates'!$A$5:$A$1004,$A695,'AFA Rates'!$B$5:$B$1004,I$23,'AFA Rates'!$O$5:$O$1004,"&lt;&gt;Expired")&gt;0,"✓",IF(COUNTIFS('AFA Rates'!$A$5:$A$1004,$A695,'AFA Rates'!$B$5:$B$1004,I$23)&gt;0,"Exp","")))</f>
        <v/>
      </c>
      <c r="J695" s="79">
        <f>IF(OR($A695="",J$23=""),"",IF(COUNTIFS('AFA Rates'!$A$5:$A$1004,$A695,'AFA Rates'!$B$5:$B$1004,J$23,'AFA Rates'!$O$5:$O$1004,"&lt;&gt;Expired")&gt;0,"✓",IF(COUNTIFS('AFA Rates'!$A$5:$A$1004,$A695,'AFA Rates'!$B$5:$B$1004,J$23)&gt;0,"Exp","")))</f>
        <v/>
      </c>
      <c r="K695" s="79">
        <f>IF(OR($A695="",K$23=""),"",IF(COUNTIFS('AFA Rates'!$A$5:$A$1004,$A695,'AFA Rates'!$B$5:$B$1004,K$23,'AFA Rates'!$O$5:$O$1004,"&lt;&gt;Expired")&gt;0,"✓",IF(COUNTIFS('AFA Rates'!$A$5:$A$1004,$A695,'AFA Rates'!$B$5:$B$1004,K$23)&gt;0,"Exp","")))</f>
        <v/>
      </c>
      <c r="L695" s="79">
        <f>IF(OR($A695="",L$23=""),"",IF(COUNTIFS('AFA Rates'!$A$5:$A$1004,$A695,'AFA Rates'!$B$5:$B$1004,L$23,'AFA Rates'!$O$5:$O$1004,"&lt;&gt;Expired")&gt;0,"✓",IF(COUNTIFS('AFA Rates'!$A$5:$A$1004,$A695,'AFA Rates'!$B$5:$B$1004,L$23)&gt;0,"Exp","")))</f>
        <v/>
      </c>
      <c r="M695" s="79">
        <f>IF(OR($A695="",M$23=""),"",IF(COUNTIFS('AFA Rates'!$A$5:$A$1004,$A695,'AFA Rates'!$B$5:$B$1004,M$23,'AFA Rates'!$O$5:$O$1004,"&lt;&gt;Expired")&gt;0,"✓",IF(COUNTIFS('AFA Rates'!$A$5:$A$1004,$A695,'AFA Rates'!$B$5:$B$1004,M$23)&gt;0,"Exp","")))</f>
        <v/>
      </c>
    </row>
    <row r="696">
      <c r="A696" s="78">
        <f>IFERROR(INDEX(Firms!$A$5:$A$1004,MATCH(673,Firms!$V$5:$V$1004,0)),"")</f>
        <v/>
      </c>
      <c r="B696" s="79">
        <f>IF($A696="","",INDEX(Firms!$B$5:$B$1004,MATCH(673,Firms!$V$5:$V$1004,0)))</f>
        <v/>
      </c>
      <c r="C696" s="79">
        <f>IF($A696="","",COUNTIFS('AFA Rates'!$A$5:$A$1004,$A696,'AFA Rates'!$O$5:$O$1004,"&lt;&gt;Expired"))</f>
        <v/>
      </c>
      <c r="D696" s="79">
        <f>IF(OR($A696="",D$23=""),"",IF(COUNTIFS('AFA Rates'!$A$5:$A$1004,$A696,'AFA Rates'!$B$5:$B$1004,D$23,'AFA Rates'!$O$5:$O$1004,"&lt;&gt;Expired")&gt;0,"✓",IF(COUNTIFS('AFA Rates'!$A$5:$A$1004,$A696,'AFA Rates'!$B$5:$B$1004,D$23)&gt;0,"Exp","")))</f>
        <v/>
      </c>
      <c r="E696" s="79">
        <f>IF(OR($A696="",E$23=""),"",IF(COUNTIFS('AFA Rates'!$A$5:$A$1004,$A696,'AFA Rates'!$B$5:$B$1004,E$23,'AFA Rates'!$O$5:$O$1004,"&lt;&gt;Expired")&gt;0,"✓",IF(COUNTIFS('AFA Rates'!$A$5:$A$1004,$A696,'AFA Rates'!$B$5:$B$1004,E$23)&gt;0,"Exp","")))</f>
        <v/>
      </c>
      <c r="F696" s="79">
        <f>IF(OR($A696="",F$23=""),"",IF(COUNTIFS('AFA Rates'!$A$5:$A$1004,$A696,'AFA Rates'!$B$5:$B$1004,F$23,'AFA Rates'!$O$5:$O$1004,"&lt;&gt;Expired")&gt;0,"✓",IF(COUNTIFS('AFA Rates'!$A$5:$A$1004,$A696,'AFA Rates'!$B$5:$B$1004,F$23)&gt;0,"Exp","")))</f>
        <v/>
      </c>
      <c r="G696" s="79">
        <f>IF(OR($A696="",G$23=""),"",IF(COUNTIFS('AFA Rates'!$A$5:$A$1004,$A696,'AFA Rates'!$B$5:$B$1004,G$23,'AFA Rates'!$O$5:$O$1004,"&lt;&gt;Expired")&gt;0,"✓",IF(COUNTIFS('AFA Rates'!$A$5:$A$1004,$A696,'AFA Rates'!$B$5:$B$1004,G$23)&gt;0,"Exp","")))</f>
        <v/>
      </c>
      <c r="H696" s="79">
        <f>IF(OR($A696="",H$23=""),"",IF(COUNTIFS('AFA Rates'!$A$5:$A$1004,$A696,'AFA Rates'!$B$5:$B$1004,H$23,'AFA Rates'!$O$5:$O$1004,"&lt;&gt;Expired")&gt;0,"✓",IF(COUNTIFS('AFA Rates'!$A$5:$A$1004,$A696,'AFA Rates'!$B$5:$B$1004,H$23)&gt;0,"Exp","")))</f>
        <v/>
      </c>
      <c r="I696" s="79">
        <f>IF(OR($A696="",I$23=""),"",IF(COUNTIFS('AFA Rates'!$A$5:$A$1004,$A696,'AFA Rates'!$B$5:$B$1004,I$23,'AFA Rates'!$O$5:$O$1004,"&lt;&gt;Expired")&gt;0,"✓",IF(COUNTIFS('AFA Rates'!$A$5:$A$1004,$A696,'AFA Rates'!$B$5:$B$1004,I$23)&gt;0,"Exp","")))</f>
        <v/>
      </c>
      <c r="J696" s="79">
        <f>IF(OR($A696="",J$23=""),"",IF(COUNTIFS('AFA Rates'!$A$5:$A$1004,$A696,'AFA Rates'!$B$5:$B$1004,J$23,'AFA Rates'!$O$5:$O$1004,"&lt;&gt;Expired")&gt;0,"✓",IF(COUNTIFS('AFA Rates'!$A$5:$A$1004,$A696,'AFA Rates'!$B$5:$B$1004,J$23)&gt;0,"Exp","")))</f>
        <v/>
      </c>
      <c r="K696" s="79">
        <f>IF(OR($A696="",K$23=""),"",IF(COUNTIFS('AFA Rates'!$A$5:$A$1004,$A696,'AFA Rates'!$B$5:$B$1004,K$23,'AFA Rates'!$O$5:$O$1004,"&lt;&gt;Expired")&gt;0,"✓",IF(COUNTIFS('AFA Rates'!$A$5:$A$1004,$A696,'AFA Rates'!$B$5:$B$1004,K$23)&gt;0,"Exp","")))</f>
        <v/>
      </c>
      <c r="L696" s="79">
        <f>IF(OR($A696="",L$23=""),"",IF(COUNTIFS('AFA Rates'!$A$5:$A$1004,$A696,'AFA Rates'!$B$5:$B$1004,L$23,'AFA Rates'!$O$5:$O$1004,"&lt;&gt;Expired")&gt;0,"✓",IF(COUNTIFS('AFA Rates'!$A$5:$A$1004,$A696,'AFA Rates'!$B$5:$B$1004,L$23)&gt;0,"Exp","")))</f>
        <v/>
      </c>
      <c r="M696" s="79">
        <f>IF(OR($A696="",M$23=""),"",IF(COUNTIFS('AFA Rates'!$A$5:$A$1004,$A696,'AFA Rates'!$B$5:$B$1004,M$23,'AFA Rates'!$O$5:$O$1004,"&lt;&gt;Expired")&gt;0,"✓",IF(COUNTIFS('AFA Rates'!$A$5:$A$1004,$A696,'AFA Rates'!$B$5:$B$1004,M$23)&gt;0,"Exp","")))</f>
        <v/>
      </c>
    </row>
    <row r="697">
      <c r="A697" s="78">
        <f>IFERROR(INDEX(Firms!$A$5:$A$1004,MATCH(674,Firms!$V$5:$V$1004,0)),"")</f>
        <v/>
      </c>
      <c r="B697" s="79">
        <f>IF($A697="","",INDEX(Firms!$B$5:$B$1004,MATCH(674,Firms!$V$5:$V$1004,0)))</f>
        <v/>
      </c>
      <c r="C697" s="79">
        <f>IF($A697="","",COUNTIFS('AFA Rates'!$A$5:$A$1004,$A697,'AFA Rates'!$O$5:$O$1004,"&lt;&gt;Expired"))</f>
        <v/>
      </c>
      <c r="D697" s="79">
        <f>IF(OR($A697="",D$23=""),"",IF(COUNTIFS('AFA Rates'!$A$5:$A$1004,$A697,'AFA Rates'!$B$5:$B$1004,D$23,'AFA Rates'!$O$5:$O$1004,"&lt;&gt;Expired")&gt;0,"✓",IF(COUNTIFS('AFA Rates'!$A$5:$A$1004,$A697,'AFA Rates'!$B$5:$B$1004,D$23)&gt;0,"Exp","")))</f>
        <v/>
      </c>
      <c r="E697" s="79">
        <f>IF(OR($A697="",E$23=""),"",IF(COUNTIFS('AFA Rates'!$A$5:$A$1004,$A697,'AFA Rates'!$B$5:$B$1004,E$23,'AFA Rates'!$O$5:$O$1004,"&lt;&gt;Expired")&gt;0,"✓",IF(COUNTIFS('AFA Rates'!$A$5:$A$1004,$A697,'AFA Rates'!$B$5:$B$1004,E$23)&gt;0,"Exp","")))</f>
        <v/>
      </c>
      <c r="F697" s="79">
        <f>IF(OR($A697="",F$23=""),"",IF(COUNTIFS('AFA Rates'!$A$5:$A$1004,$A697,'AFA Rates'!$B$5:$B$1004,F$23,'AFA Rates'!$O$5:$O$1004,"&lt;&gt;Expired")&gt;0,"✓",IF(COUNTIFS('AFA Rates'!$A$5:$A$1004,$A697,'AFA Rates'!$B$5:$B$1004,F$23)&gt;0,"Exp","")))</f>
        <v/>
      </c>
      <c r="G697" s="79">
        <f>IF(OR($A697="",G$23=""),"",IF(COUNTIFS('AFA Rates'!$A$5:$A$1004,$A697,'AFA Rates'!$B$5:$B$1004,G$23,'AFA Rates'!$O$5:$O$1004,"&lt;&gt;Expired")&gt;0,"✓",IF(COUNTIFS('AFA Rates'!$A$5:$A$1004,$A697,'AFA Rates'!$B$5:$B$1004,G$23)&gt;0,"Exp","")))</f>
        <v/>
      </c>
      <c r="H697" s="79">
        <f>IF(OR($A697="",H$23=""),"",IF(COUNTIFS('AFA Rates'!$A$5:$A$1004,$A697,'AFA Rates'!$B$5:$B$1004,H$23,'AFA Rates'!$O$5:$O$1004,"&lt;&gt;Expired")&gt;0,"✓",IF(COUNTIFS('AFA Rates'!$A$5:$A$1004,$A697,'AFA Rates'!$B$5:$B$1004,H$23)&gt;0,"Exp","")))</f>
        <v/>
      </c>
      <c r="I697" s="79">
        <f>IF(OR($A697="",I$23=""),"",IF(COUNTIFS('AFA Rates'!$A$5:$A$1004,$A697,'AFA Rates'!$B$5:$B$1004,I$23,'AFA Rates'!$O$5:$O$1004,"&lt;&gt;Expired")&gt;0,"✓",IF(COUNTIFS('AFA Rates'!$A$5:$A$1004,$A697,'AFA Rates'!$B$5:$B$1004,I$23)&gt;0,"Exp","")))</f>
        <v/>
      </c>
      <c r="J697" s="79">
        <f>IF(OR($A697="",J$23=""),"",IF(COUNTIFS('AFA Rates'!$A$5:$A$1004,$A697,'AFA Rates'!$B$5:$B$1004,J$23,'AFA Rates'!$O$5:$O$1004,"&lt;&gt;Expired")&gt;0,"✓",IF(COUNTIFS('AFA Rates'!$A$5:$A$1004,$A697,'AFA Rates'!$B$5:$B$1004,J$23)&gt;0,"Exp","")))</f>
        <v/>
      </c>
      <c r="K697" s="79">
        <f>IF(OR($A697="",K$23=""),"",IF(COUNTIFS('AFA Rates'!$A$5:$A$1004,$A697,'AFA Rates'!$B$5:$B$1004,K$23,'AFA Rates'!$O$5:$O$1004,"&lt;&gt;Expired")&gt;0,"✓",IF(COUNTIFS('AFA Rates'!$A$5:$A$1004,$A697,'AFA Rates'!$B$5:$B$1004,K$23)&gt;0,"Exp","")))</f>
        <v/>
      </c>
      <c r="L697" s="79">
        <f>IF(OR($A697="",L$23=""),"",IF(COUNTIFS('AFA Rates'!$A$5:$A$1004,$A697,'AFA Rates'!$B$5:$B$1004,L$23,'AFA Rates'!$O$5:$O$1004,"&lt;&gt;Expired")&gt;0,"✓",IF(COUNTIFS('AFA Rates'!$A$5:$A$1004,$A697,'AFA Rates'!$B$5:$B$1004,L$23)&gt;0,"Exp","")))</f>
        <v/>
      </c>
      <c r="M697" s="79">
        <f>IF(OR($A697="",M$23=""),"",IF(COUNTIFS('AFA Rates'!$A$5:$A$1004,$A697,'AFA Rates'!$B$5:$B$1004,M$23,'AFA Rates'!$O$5:$O$1004,"&lt;&gt;Expired")&gt;0,"✓",IF(COUNTIFS('AFA Rates'!$A$5:$A$1004,$A697,'AFA Rates'!$B$5:$B$1004,M$23)&gt;0,"Exp","")))</f>
        <v/>
      </c>
    </row>
    <row r="698">
      <c r="A698" s="78">
        <f>IFERROR(INDEX(Firms!$A$5:$A$1004,MATCH(675,Firms!$V$5:$V$1004,0)),"")</f>
        <v/>
      </c>
      <c r="B698" s="79">
        <f>IF($A698="","",INDEX(Firms!$B$5:$B$1004,MATCH(675,Firms!$V$5:$V$1004,0)))</f>
        <v/>
      </c>
      <c r="C698" s="79">
        <f>IF($A698="","",COUNTIFS('AFA Rates'!$A$5:$A$1004,$A698,'AFA Rates'!$O$5:$O$1004,"&lt;&gt;Expired"))</f>
        <v/>
      </c>
      <c r="D698" s="79">
        <f>IF(OR($A698="",D$23=""),"",IF(COUNTIFS('AFA Rates'!$A$5:$A$1004,$A698,'AFA Rates'!$B$5:$B$1004,D$23,'AFA Rates'!$O$5:$O$1004,"&lt;&gt;Expired")&gt;0,"✓",IF(COUNTIFS('AFA Rates'!$A$5:$A$1004,$A698,'AFA Rates'!$B$5:$B$1004,D$23)&gt;0,"Exp","")))</f>
        <v/>
      </c>
      <c r="E698" s="79">
        <f>IF(OR($A698="",E$23=""),"",IF(COUNTIFS('AFA Rates'!$A$5:$A$1004,$A698,'AFA Rates'!$B$5:$B$1004,E$23,'AFA Rates'!$O$5:$O$1004,"&lt;&gt;Expired")&gt;0,"✓",IF(COUNTIFS('AFA Rates'!$A$5:$A$1004,$A698,'AFA Rates'!$B$5:$B$1004,E$23)&gt;0,"Exp","")))</f>
        <v/>
      </c>
      <c r="F698" s="79">
        <f>IF(OR($A698="",F$23=""),"",IF(COUNTIFS('AFA Rates'!$A$5:$A$1004,$A698,'AFA Rates'!$B$5:$B$1004,F$23,'AFA Rates'!$O$5:$O$1004,"&lt;&gt;Expired")&gt;0,"✓",IF(COUNTIFS('AFA Rates'!$A$5:$A$1004,$A698,'AFA Rates'!$B$5:$B$1004,F$23)&gt;0,"Exp","")))</f>
        <v/>
      </c>
      <c r="G698" s="79">
        <f>IF(OR($A698="",G$23=""),"",IF(COUNTIFS('AFA Rates'!$A$5:$A$1004,$A698,'AFA Rates'!$B$5:$B$1004,G$23,'AFA Rates'!$O$5:$O$1004,"&lt;&gt;Expired")&gt;0,"✓",IF(COUNTIFS('AFA Rates'!$A$5:$A$1004,$A698,'AFA Rates'!$B$5:$B$1004,G$23)&gt;0,"Exp","")))</f>
        <v/>
      </c>
      <c r="H698" s="79">
        <f>IF(OR($A698="",H$23=""),"",IF(COUNTIFS('AFA Rates'!$A$5:$A$1004,$A698,'AFA Rates'!$B$5:$B$1004,H$23,'AFA Rates'!$O$5:$O$1004,"&lt;&gt;Expired")&gt;0,"✓",IF(COUNTIFS('AFA Rates'!$A$5:$A$1004,$A698,'AFA Rates'!$B$5:$B$1004,H$23)&gt;0,"Exp","")))</f>
        <v/>
      </c>
      <c r="I698" s="79">
        <f>IF(OR($A698="",I$23=""),"",IF(COUNTIFS('AFA Rates'!$A$5:$A$1004,$A698,'AFA Rates'!$B$5:$B$1004,I$23,'AFA Rates'!$O$5:$O$1004,"&lt;&gt;Expired")&gt;0,"✓",IF(COUNTIFS('AFA Rates'!$A$5:$A$1004,$A698,'AFA Rates'!$B$5:$B$1004,I$23)&gt;0,"Exp","")))</f>
        <v/>
      </c>
      <c r="J698" s="79">
        <f>IF(OR($A698="",J$23=""),"",IF(COUNTIFS('AFA Rates'!$A$5:$A$1004,$A698,'AFA Rates'!$B$5:$B$1004,J$23,'AFA Rates'!$O$5:$O$1004,"&lt;&gt;Expired")&gt;0,"✓",IF(COUNTIFS('AFA Rates'!$A$5:$A$1004,$A698,'AFA Rates'!$B$5:$B$1004,J$23)&gt;0,"Exp","")))</f>
        <v/>
      </c>
      <c r="K698" s="79">
        <f>IF(OR($A698="",K$23=""),"",IF(COUNTIFS('AFA Rates'!$A$5:$A$1004,$A698,'AFA Rates'!$B$5:$B$1004,K$23,'AFA Rates'!$O$5:$O$1004,"&lt;&gt;Expired")&gt;0,"✓",IF(COUNTIFS('AFA Rates'!$A$5:$A$1004,$A698,'AFA Rates'!$B$5:$B$1004,K$23)&gt;0,"Exp","")))</f>
        <v/>
      </c>
      <c r="L698" s="79">
        <f>IF(OR($A698="",L$23=""),"",IF(COUNTIFS('AFA Rates'!$A$5:$A$1004,$A698,'AFA Rates'!$B$5:$B$1004,L$23,'AFA Rates'!$O$5:$O$1004,"&lt;&gt;Expired")&gt;0,"✓",IF(COUNTIFS('AFA Rates'!$A$5:$A$1004,$A698,'AFA Rates'!$B$5:$B$1004,L$23)&gt;0,"Exp","")))</f>
        <v/>
      </c>
      <c r="M698" s="79">
        <f>IF(OR($A698="",M$23=""),"",IF(COUNTIFS('AFA Rates'!$A$5:$A$1004,$A698,'AFA Rates'!$B$5:$B$1004,M$23,'AFA Rates'!$O$5:$O$1004,"&lt;&gt;Expired")&gt;0,"✓",IF(COUNTIFS('AFA Rates'!$A$5:$A$1004,$A698,'AFA Rates'!$B$5:$B$1004,M$23)&gt;0,"Exp","")))</f>
        <v/>
      </c>
    </row>
    <row r="699">
      <c r="A699" s="78">
        <f>IFERROR(INDEX(Firms!$A$5:$A$1004,MATCH(676,Firms!$V$5:$V$1004,0)),"")</f>
        <v/>
      </c>
      <c r="B699" s="79">
        <f>IF($A699="","",INDEX(Firms!$B$5:$B$1004,MATCH(676,Firms!$V$5:$V$1004,0)))</f>
        <v/>
      </c>
      <c r="C699" s="79">
        <f>IF($A699="","",COUNTIFS('AFA Rates'!$A$5:$A$1004,$A699,'AFA Rates'!$O$5:$O$1004,"&lt;&gt;Expired"))</f>
        <v/>
      </c>
      <c r="D699" s="79">
        <f>IF(OR($A699="",D$23=""),"",IF(COUNTIFS('AFA Rates'!$A$5:$A$1004,$A699,'AFA Rates'!$B$5:$B$1004,D$23,'AFA Rates'!$O$5:$O$1004,"&lt;&gt;Expired")&gt;0,"✓",IF(COUNTIFS('AFA Rates'!$A$5:$A$1004,$A699,'AFA Rates'!$B$5:$B$1004,D$23)&gt;0,"Exp","")))</f>
        <v/>
      </c>
      <c r="E699" s="79">
        <f>IF(OR($A699="",E$23=""),"",IF(COUNTIFS('AFA Rates'!$A$5:$A$1004,$A699,'AFA Rates'!$B$5:$B$1004,E$23,'AFA Rates'!$O$5:$O$1004,"&lt;&gt;Expired")&gt;0,"✓",IF(COUNTIFS('AFA Rates'!$A$5:$A$1004,$A699,'AFA Rates'!$B$5:$B$1004,E$23)&gt;0,"Exp","")))</f>
        <v/>
      </c>
      <c r="F699" s="79">
        <f>IF(OR($A699="",F$23=""),"",IF(COUNTIFS('AFA Rates'!$A$5:$A$1004,$A699,'AFA Rates'!$B$5:$B$1004,F$23,'AFA Rates'!$O$5:$O$1004,"&lt;&gt;Expired")&gt;0,"✓",IF(COUNTIFS('AFA Rates'!$A$5:$A$1004,$A699,'AFA Rates'!$B$5:$B$1004,F$23)&gt;0,"Exp","")))</f>
        <v/>
      </c>
      <c r="G699" s="79">
        <f>IF(OR($A699="",G$23=""),"",IF(COUNTIFS('AFA Rates'!$A$5:$A$1004,$A699,'AFA Rates'!$B$5:$B$1004,G$23,'AFA Rates'!$O$5:$O$1004,"&lt;&gt;Expired")&gt;0,"✓",IF(COUNTIFS('AFA Rates'!$A$5:$A$1004,$A699,'AFA Rates'!$B$5:$B$1004,G$23)&gt;0,"Exp","")))</f>
        <v/>
      </c>
      <c r="H699" s="79">
        <f>IF(OR($A699="",H$23=""),"",IF(COUNTIFS('AFA Rates'!$A$5:$A$1004,$A699,'AFA Rates'!$B$5:$B$1004,H$23,'AFA Rates'!$O$5:$O$1004,"&lt;&gt;Expired")&gt;0,"✓",IF(COUNTIFS('AFA Rates'!$A$5:$A$1004,$A699,'AFA Rates'!$B$5:$B$1004,H$23)&gt;0,"Exp","")))</f>
        <v/>
      </c>
      <c r="I699" s="79">
        <f>IF(OR($A699="",I$23=""),"",IF(COUNTIFS('AFA Rates'!$A$5:$A$1004,$A699,'AFA Rates'!$B$5:$B$1004,I$23,'AFA Rates'!$O$5:$O$1004,"&lt;&gt;Expired")&gt;0,"✓",IF(COUNTIFS('AFA Rates'!$A$5:$A$1004,$A699,'AFA Rates'!$B$5:$B$1004,I$23)&gt;0,"Exp","")))</f>
        <v/>
      </c>
      <c r="J699" s="79">
        <f>IF(OR($A699="",J$23=""),"",IF(COUNTIFS('AFA Rates'!$A$5:$A$1004,$A699,'AFA Rates'!$B$5:$B$1004,J$23,'AFA Rates'!$O$5:$O$1004,"&lt;&gt;Expired")&gt;0,"✓",IF(COUNTIFS('AFA Rates'!$A$5:$A$1004,$A699,'AFA Rates'!$B$5:$B$1004,J$23)&gt;0,"Exp","")))</f>
        <v/>
      </c>
      <c r="K699" s="79">
        <f>IF(OR($A699="",K$23=""),"",IF(COUNTIFS('AFA Rates'!$A$5:$A$1004,$A699,'AFA Rates'!$B$5:$B$1004,K$23,'AFA Rates'!$O$5:$O$1004,"&lt;&gt;Expired")&gt;0,"✓",IF(COUNTIFS('AFA Rates'!$A$5:$A$1004,$A699,'AFA Rates'!$B$5:$B$1004,K$23)&gt;0,"Exp","")))</f>
        <v/>
      </c>
      <c r="L699" s="79">
        <f>IF(OR($A699="",L$23=""),"",IF(COUNTIFS('AFA Rates'!$A$5:$A$1004,$A699,'AFA Rates'!$B$5:$B$1004,L$23,'AFA Rates'!$O$5:$O$1004,"&lt;&gt;Expired")&gt;0,"✓",IF(COUNTIFS('AFA Rates'!$A$5:$A$1004,$A699,'AFA Rates'!$B$5:$B$1004,L$23)&gt;0,"Exp","")))</f>
        <v/>
      </c>
      <c r="M699" s="79">
        <f>IF(OR($A699="",M$23=""),"",IF(COUNTIFS('AFA Rates'!$A$5:$A$1004,$A699,'AFA Rates'!$B$5:$B$1004,M$23,'AFA Rates'!$O$5:$O$1004,"&lt;&gt;Expired")&gt;0,"✓",IF(COUNTIFS('AFA Rates'!$A$5:$A$1004,$A699,'AFA Rates'!$B$5:$B$1004,M$23)&gt;0,"Exp","")))</f>
        <v/>
      </c>
    </row>
    <row r="700">
      <c r="A700" s="78">
        <f>IFERROR(INDEX(Firms!$A$5:$A$1004,MATCH(677,Firms!$V$5:$V$1004,0)),"")</f>
        <v/>
      </c>
      <c r="B700" s="79">
        <f>IF($A700="","",INDEX(Firms!$B$5:$B$1004,MATCH(677,Firms!$V$5:$V$1004,0)))</f>
        <v/>
      </c>
      <c r="C700" s="79">
        <f>IF($A700="","",COUNTIFS('AFA Rates'!$A$5:$A$1004,$A700,'AFA Rates'!$O$5:$O$1004,"&lt;&gt;Expired"))</f>
        <v/>
      </c>
      <c r="D700" s="79">
        <f>IF(OR($A700="",D$23=""),"",IF(COUNTIFS('AFA Rates'!$A$5:$A$1004,$A700,'AFA Rates'!$B$5:$B$1004,D$23,'AFA Rates'!$O$5:$O$1004,"&lt;&gt;Expired")&gt;0,"✓",IF(COUNTIFS('AFA Rates'!$A$5:$A$1004,$A700,'AFA Rates'!$B$5:$B$1004,D$23)&gt;0,"Exp","")))</f>
        <v/>
      </c>
      <c r="E700" s="79">
        <f>IF(OR($A700="",E$23=""),"",IF(COUNTIFS('AFA Rates'!$A$5:$A$1004,$A700,'AFA Rates'!$B$5:$B$1004,E$23,'AFA Rates'!$O$5:$O$1004,"&lt;&gt;Expired")&gt;0,"✓",IF(COUNTIFS('AFA Rates'!$A$5:$A$1004,$A700,'AFA Rates'!$B$5:$B$1004,E$23)&gt;0,"Exp","")))</f>
        <v/>
      </c>
      <c r="F700" s="79">
        <f>IF(OR($A700="",F$23=""),"",IF(COUNTIFS('AFA Rates'!$A$5:$A$1004,$A700,'AFA Rates'!$B$5:$B$1004,F$23,'AFA Rates'!$O$5:$O$1004,"&lt;&gt;Expired")&gt;0,"✓",IF(COUNTIFS('AFA Rates'!$A$5:$A$1004,$A700,'AFA Rates'!$B$5:$B$1004,F$23)&gt;0,"Exp","")))</f>
        <v/>
      </c>
      <c r="G700" s="79">
        <f>IF(OR($A700="",G$23=""),"",IF(COUNTIFS('AFA Rates'!$A$5:$A$1004,$A700,'AFA Rates'!$B$5:$B$1004,G$23,'AFA Rates'!$O$5:$O$1004,"&lt;&gt;Expired")&gt;0,"✓",IF(COUNTIFS('AFA Rates'!$A$5:$A$1004,$A700,'AFA Rates'!$B$5:$B$1004,G$23)&gt;0,"Exp","")))</f>
        <v/>
      </c>
      <c r="H700" s="79">
        <f>IF(OR($A700="",H$23=""),"",IF(COUNTIFS('AFA Rates'!$A$5:$A$1004,$A700,'AFA Rates'!$B$5:$B$1004,H$23,'AFA Rates'!$O$5:$O$1004,"&lt;&gt;Expired")&gt;0,"✓",IF(COUNTIFS('AFA Rates'!$A$5:$A$1004,$A700,'AFA Rates'!$B$5:$B$1004,H$23)&gt;0,"Exp","")))</f>
        <v/>
      </c>
      <c r="I700" s="79">
        <f>IF(OR($A700="",I$23=""),"",IF(COUNTIFS('AFA Rates'!$A$5:$A$1004,$A700,'AFA Rates'!$B$5:$B$1004,I$23,'AFA Rates'!$O$5:$O$1004,"&lt;&gt;Expired")&gt;0,"✓",IF(COUNTIFS('AFA Rates'!$A$5:$A$1004,$A700,'AFA Rates'!$B$5:$B$1004,I$23)&gt;0,"Exp","")))</f>
        <v/>
      </c>
      <c r="J700" s="79">
        <f>IF(OR($A700="",J$23=""),"",IF(COUNTIFS('AFA Rates'!$A$5:$A$1004,$A700,'AFA Rates'!$B$5:$B$1004,J$23,'AFA Rates'!$O$5:$O$1004,"&lt;&gt;Expired")&gt;0,"✓",IF(COUNTIFS('AFA Rates'!$A$5:$A$1004,$A700,'AFA Rates'!$B$5:$B$1004,J$23)&gt;0,"Exp","")))</f>
        <v/>
      </c>
      <c r="K700" s="79">
        <f>IF(OR($A700="",K$23=""),"",IF(COUNTIFS('AFA Rates'!$A$5:$A$1004,$A700,'AFA Rates'!$B$5:$B$1004,K$23,'AFA Rates'!$O$5:$O$1004,"&lt;&gt;Expired")&gt;0,"✓",IF(COUNTIFS('AFA Rates'!$A$5:$A$1004,$A700,'AFA Rates'!$B$5:$B$1004,K$23)&gt;0,"Exp","")))</f>
        <v/>
      </c>
      <c r="L700" s="79">
        <f>IF(OR($A700="",L$23=""),"",IF(COUNTIFS('AFA Rates'!$A$5:$A$1004,$A700,'AFA Rates'!$B$5:$B$1004,L$23,'AFA Rates'!$O$5:$O$1004,"&lt;&gt;Expired")&gt;0,"✓",IF(COUNTIFS('AFA Rates'!$A$5:$A$1004,$A700,'AFA Rates'!$B$5:$B$1004,L$23)&gt;0,"Exp","")))</f>
        <v/>
      </c>
      <c r="M700" s="79">
        <f>IF(OR($A700="",M$23=""),"",IF(COUNTIFS('AFA Rates'!$A$5:$A$1004,$A700,'AFA Rates'!$B$5:$B$1004,M$23,'AFA Rates'!$O$5:$O$1004,"&lt;&gt;Expired")&gt;0,"✓",IF(COUNTIFS('AFA Rates'!$A$5:$A$1004,$A700,'AFA Rates'!$B$5:$B$1004,M$23)&gt;0,"Exp","")))</f>
        <v/>
      </c>
    </row>
    <row r="701">
      <c r="A701" s="78">
        <f>IFERROR(INDEX(Firms!$A$5:$A$1004,MATCH(678,Firms!$V$5:$V$1004,0)),"")</f>
        <v/>
      </c>
      <c r="B701" s="79">
        <f>IF($A701="","",INDEX(Firms!$B$5:$B$1004,MATCH(678,Firms!$V$5:$V$1004,0)))</f>
        <v/>
      </c>
      <c r="C701" s="79">
        <f>IF($A701="","",COUNTIFS('AFA Rates'!$A$5:$A$1004,$A701,'AFA Rates'!$O$5:$O$1004,"&lt;&gt;Expired"))</f>
        <v/>
      </c>
      <c r="D701" s="79">
        <f>IF(OR($A701="",D$23=""),"",IF(COUNTIFS('AFA Rates'!$A$5:$A$1004,$A701,'AFA Rates'!$B$5:$B$1004,D$23,'AFA Rates'!$O$5:$O$1004,"&lt;&gt;Expired")&gt;0,"✓",IF(COUNTIFS('AFA Rates'!$A$5:$A$1004,$A701,'AFA Rates'!$B$5:$B$1004,D$23)&gt;0,"Exp","")))</f>
        <v/>
      </c>
      <c r="E701" s="79">
        <f>IF(OR($A701="",E$23=""),"",IF(COUNTIFS('AFA Rates'!$A$5:$A$1004,$A701,'AFA Rates'!$B$5:$B$1004,E$23,'AFA Rates'!$O$5:$O$1004,"&lt;&gt;Expired")&gt;0,"✓",IF(COUNTIFS('AFA Rates'!$A$5:$A$1004,$A701,'AFA Rates'!$B$5:$B$1004,E$23)&gt;0,"Exp","")))</f>
        <v/>
      </c>
      <c r="F701" s="79">
        <f>IF(OR($A701="",F$23=""),"",IF(COUNTIFS('AFA Rates'!$A$5:$A$1004,$A701,'AFA Rates'!$B$5:$B$1004,F$23,'AFA Rates'!$O$5:$O$1004,"&lt;&gt;Expired")&gt;0,"✓",IF(COUNTIFS('AFA Rates'!$A$5:$A$1004,$A701,'AFA Rates'!$B$5:$B$1004,F$23)&gt;0,"Exp","")))</f>
        <v/>
      </c>
      <c r="G701" s="79">
        <f>IF(OR($A701="",G$23=""),"",IF(COUNTIFS('AFA Rates'!$A$5:$A$1004,$A701,'AFA Rates'!$B$5:$B$1004,G$23,'AFA Rates'!$O$5:$O$1004,"&lt;&gt;Expired")&gt;0,"✓",IF(COUNTIFS('AFA Rates'!$A$5:$A$1004,$A701,'AFA Rates'!$B$5:$B$1004,G$23)&gt;0,"Exp","")))</f>
        <v/>
      </c>
      <c r="H701" s="79">
        <f>IF(OR($A701="",H$23=""),"",IF(COUNTIFS('AFA Rates'!$A$5:$A$1004,$A701,'AFA Rates'!$B$5:$B$1004,H$23,'AFA Rates'!$O$5:$O$1004,"&lt;&gt;Expired")&gt;0,"✓",IF(COUNTIFS('AFA Rates'!$A$5:$A$1004,$A701,'AFA Rates'!$B$5:$B$1004,H$23)&gt;0,"Exp","")))</f>
        <v/>
      </c>
      <c r="I701" s="79">
        <f>IF(OR($A701="",I$23=""),"",IF(COUNTIFS('AFA Rates'!$A$5:$A$1004,$A701,'AFA Rates'!$B$5:$B$1004,I$23,'AFA Rates'!$O$5:$O$1004,"&lt;&gt;Expired")&gt;0,"✓",IF(COUNTIFS('AFA Rates'!$A$5:$A$1004,$A701,'AFA Rates'!$B$5:$B$1004,I$23)&gt;0,"Exp","")))</f>
        <v/>
      </c>
      <c r="J701" s="79">
        <f>IF(OR($A701="",J$23=""),"",IF(COUNTIFS('AFA Rates'!$A$5:$A$1004,$A701,'AFA Rates'!$B$5:$B$1004,J$23,'AFA Rates'!$O$5:$O$1004,"&lt;&gt;Expired")&gt;0,"✓",IF(COUNTIFS('AFA Rates'!$A$5:$A$1004,$A701,'AFA Rates'!$B$5:$B$1004,J$23)&gt;0,"Exp","")))</f>
        <v/>
      </c>
      <c r="K701" s="79">
        <f>IF(OR($A701="",K$23=""),"",IF(COUNTIFS('AFA Rates'!$A$5:$A$1004,$A701,'AFA Rates'!$B$5:$B$1004,K$23,'AFA Rates'!$O$5:$O$1004,"&lt;&gt;Expired")&gt;0,"✓",IF(COUNTIFS('AFA Rates'!$A$5:$A$1004,$A701,'AFA Rates'!$B$5:$B$1004,K$23)&gt;0,"Exp","")))</f>
        <v/>
      </c>
      <c r="L701" s="79">
        <f>IF(OR($A701="",L$23=""),"",IF(COUNTIFS('AFA Rates'!$A$5:$A$1004,$A701,'AFA Rates'!$B$5:$B$1004,L$23,'AFA Rates'!$O$5:$O$1004,"&lt;&gt;Expired")&gt;0,"✓",IF(COUNTIFS('AFA Rates'!$A$5:$A$1004,$A701,'AFA Rates'!$B$5:$B$1004,L$23)&gt;0,"Exp","")))</f>
        <v/>
      </c>
      <c r="M701" s="79">
        <f>IF(OR($A701="",M$23=""),"",IF(COUNTIFS('AFA Rates'!$A$5:$A$1004,$A701,'AFA Rates'!$B$5:$B$1004,M$23,'AFA Rates'!$O$5:$O$1004,"&lt;&gt;Expired")&gt;0,"✓",IF(COUNTIFS('AFA Rates'!$A$5:$A$1004,$A701,'AFA Rates'!$B$5:$B$1004,M$23)&gt;0,"Exp","")))</f>
        <v/>
      </c>
    </row>
    <row r="702">
      <c r="A702" s="78">
        <f>IFERROR(INDEX(Firms!$A$5:$A$1004,MATCH(679,Firms!$V$5:$V$1004,0)),"")</f>
        <v/>
      </c>
      <c r="B702" s="79">
        <f>IF($A702="","",INDEX(Firms!$B$5:$B$1004,MATCH(679,Firms!$V$5:$V$1004,0)))</f>
        <v/>
      </c>
      <c r="C702" s="79">
        <f>IF($A702="","",COUNTIFS('AFA Rates'!$A$5:$A$1004,$A702,'AFA Rates'!$O$5:$O$1004,"&lt;&gt;Expired"))</f>
        <v/>
      </c>
      <c r="D702" s="79">
        <f>IF(OR($A702="",D$23=""),"",IF(COUNTIFS('AFA Rates'!$A$5:$A$1004,$A702,'AFA Rates'!$B$5:$B$1004,D$23,'AFA Rates'!$O$5:$O$1004,"&lt;&gt;Expired")&gt;0,"✓",IF(COUNTIFS('AFA Rates'!$A$5:$A$1004,$A702,'AFA Rates'!$B$5:$B$1004,D$23)&gt;0,"Exp","")))</f>
        <v/>
      </c>
      <c r="E702" s="79">
        <f>IF(OR($A702="",E$23=""),"",IF(COUNTIFS('AFA Rates'!$A$5:$A$1004,$A702,'AFA Rates'!$B$5:$B$1004,E$23,'AFA Rates'!$O$5:$O$1004,"&lt;&gt;Expired")&gt;0,"✓",IF(COUNTIFS('AFA Rates'!$A$5:$A$1004,$A702,'AFA Rates'!$B$5:$B$1004,E$23)&gt;0,"Exp","")))</f>
        <v/>
      </c>
      <c r="F702" s="79">
        <f>IF(OR($A702="",F$23=""),"",IF(COUNTIFS('AFA Rates'!$A$5:$A$1004,$A702,'AFA Rates'!$B$5:$B$1004,F$23,'AFA Rates'!$O$5:$O$1004,"&lt;&gt;Expired")&gt;0,"✓",IF(COUNTIFS('AFA Rates'!$A$5:$A$1004,$A702,'AFA Rates'!$B$5:$B$1004,F$23)&gt;0,"Exp","")))</f>
        <v/>
      </c>
      <c r="G702" s="79">
        <f>IF(OR($A702="",G$23=""),"",IF(COUNTIFS('AFA Rates'!$A$5:$A$1004,$A702,'AFA Rates'!$B$5:$B$1004,G$23,'AFA Rates'!$O$5:$O$1004,"&lt;&gt;Expired")&gt;0,"✓",IF(COUNTIFS('AFA Rates'!$A$5:$A$1004,$A702,'AFA Rates'!$B$5:$B$1004,G$23)&gt;0,"Exp","")))</f>
        <v/>
      </c>
      <c r="H702" s="79">
        <f>IF(OR($A702="",H$23=""),"",IF(COUNTIFS('AFA Rates'!$A$5:$A$1004,$A702,'AFA Rates'!$B$5:$B$1004,H$23,'AFA Rates'!$O$5:$O$1004,"&lt;&gt;Expired")&gt;0,"✓",IF(COUNTIFS('AFA Rates'!$A$5:$A$1004,$A702,'AFA Rates'!$B$5:$B$1004,H$23)&gt;0,"Exp","")))</f>
        <v/>
      </c>
      <c r="I702" s="79">
        <f>IF(OR($A702="",I$23=""),"",IF(COUNTIFS('AFA Rates'!$A$5:$A$1004,$A702,'AFA Rates'!$B$5:$B$1004,I$23,'AFA Rates'!$O$5:$O$1004,"&lt;&gt;Expired")&gt;0,"✓",IF(COUNTIFS('AFA Rates'!$A$5:$A$1004,$A702,'AFA Rates'!$B$5:$B$1004,I$23)&gt;0,"Exp","")))</f>
        <v/>
      </c>
      <c r="J702" s="79">
        <f>IF(OR($A702="",J$23=""),"",IF(COUNTIFS('AFA Rates'!$A$5:$A$1004,$A702,'AFA Rates'!$B$5:$B$1004,J$23,'AFA Rates'!$O$5:$O$1004,"&lt;&gt;Expired")&gt;0,"✓",IF(COUNTIFS('AFA Rates'!$A$5:$A$1004,$A702,'AFA Rates'!$B$5:$B$1004,J$23)&gt;0,"Exp","")))</f>
        <v/>
      </c>
      <c r="K702" s="79">
        <f>IF(OR($A702="",K$23=""),"",IF(COUNTIFS('AFA Rates'!$A$5:$A$1004,$A702,'AFA Rates'!$B$5:$B$1004,K$23,'AFA Rates'!$O$5:$O$1004,"&lt;&gt;Expired")&gt;0,"✓",IF(COUNTIFS('AFA Rates'!$A$5:$A$1004,$A702,'AFA Rates'!$B$5:$B$1004,K$23)&gt;0,"Exp","")))</f>
        <v/>
      </c>
      <c r="L702" s="79">
        <f>IF(OR($A702="",L$23=""),"",IF(COUNTIFS('AFA Rates'!$A$5:$A$1004,$A702,'AFA Rates'!$B$5:$B$1004,L$23,'AFA Rates'!$O$5:$O$1004,"&lt;&gt;Expired")&gt;0,"✓",IF(COUNTIFS('AFA Rates'!$A$5:$A$1004,$A702,'AFA Rates'!$B$5:$B$1004,L$23)&gt;0,"Exp","")))</f>
        <v/>
      </c>
      <c r="M702" s="79">
        <f>IF(OR($A702="",M$23=""),"",IF(COUNTIFS('AFA Rates'!$A$5:$A$1004,$A702,'AFA Rates'!$B$5:$B$1004,M$23,'AFA Rates'!$O$5:$O$1004,"&lt;&gt;Expired")&gt;0,"✓",IF(COUNTIFS('AFA Rates'!$A$5:$A$1004,$A702,'AFA Rates'!$B$5:$B$1004,M$23)&gt;0,"Exp","")))</f>
        <v/>
      </c>
    </row>
    <row r="703">
      <c r="A703" s="78">
        <f>IFERROR(INDEX(Firms!$A$5:$A$1004,MATCH(680,Firms!$V$5:$V$1004,0)),"")</f>
        <v/>
      </c>
      <c r="B703" s="79">
        <f>IF($A703="","",INDEX(Firms!$B$5:$B$1004,MATCH(680,Firms!$V$5:$V$1004,0)))</f>
        <v/>
      </c>
      <c r="C703" s="79">
        <f>IF($A703="","",COUNTIFS('AFA Rates'!$A$5:$A$1004,$A703,'AFA Rates'!$O$5:$O$1004,"&lt;&gt;Expired"))</f>
        <v/>
      </c>
      <c r="D703" s="79">
        <f>IF(OR($A703="",D$23=""),"",IF(COUNTIFS('AFA Rates'!$A$5:$A$1004,$A703,'AFA Rates'!$B$5:$B$1004,D$23,'AFA Rates'!$O$5:$O$1004,"&lt;&gt;Expired")&gt;0,"✓",IF(COUNTIFS('AFA Rates'!$A$5:$A$1004,$A703,'AFA Rates'!$B$5:$B$1004,D$23)&gt;0,"Exp","")))</f>
        <v/>
      </c>
      <c r="E703" s="79">
        <f>IF(OR($A703="",E$23=""),"",IF(COUNTIFS('AFA Rates'!$A$5:$A$1004,$A703,'AFA Rates'!$B$5:$B$1004,E$23,'AFA Rates'!$O$5:$O$1004,"&lt;&gt;Expired")&gt;0,"✓",IF(COUNTIFS('AFA Rates'!$A$5:$A$1004,$A703,'AFA Rates'!$B$5:$B$1004,E$23)&gt;0,"Exp","")))</f>
        <v/>
      </c>
      <c r="F703" s="79">
        <f>IF(OR($A703="",F$23=""),"",IF(COUNTIFS('AFA Rates'!$A$5:$A$1004,$A703,'AFA Rates'!$B$5:$B$1004,F$23,'AFA Rates'!$O$5:$O$1004,"&lt;&gt;Expired")&gt;0,"✓",IF(COUNTIFS('AFA Rates'!$A$5:$A$1004,$A703,'AFA Rates'!$B$5:$B$1004,F$23)&gt;0,"Exp","")))</f>
        <v/>
      </c>
      <c r="G703" s="79">
        <f>IF(OR($A703="",G$23=""),"",IF(COUNTIFS('AFA Rates'!$A$5:$A$1004,$A703,'AFA Rates'!$B$5:$B$1004,G$23,'AFA Rates'!$O$5:$O$1004,"&lt;&gt;Expired")&gt;0,"✓",IF(COUNTIFS('AFA Rates'!$A$5:$A$1004,$A703,'AFA Rates'!$B$5:$B$1004,G$23)&gt;0,"Exp","")))</f>
        <v/>
      </c>
      <c r="H703" s="79">
        <f>IF(OR($A703="",H$23=""),"",IF(COUNTIFS('AFA Rates'!$A$5:$A$1004,$A703,'AFA Rates'!$B$5:$B$1004,H$23,'AFA Rates'!$O$5:$O$1004,"&lt;&gt;Expired")&gt;0,"✓",IF(COUNTIFS('AFA Rates'!$A$5:$A$1004,$A703,'AFA Rates'!$B$5:$B$1004,H$23)&gt;0,"Exp","")))</f>
        <v/>
      </c>
      <c r="I703" s="79">
        <f>IF(OR($A703="",I$23=""),"",IF(COUNTIFS('AFA Rates'!$A$5:$A$1004,$A703,'AFA Rates'!$B$5:$B$1004,I$23,'AFA Rates'!$O$5:$O$1004,"&lt;&gt;Expired")&gt;0,"✓",IF(COUNTIFS('AFA Rates'!$A$5:$A$1004,$A703,'AFA Rates'!$B$5:$B$1004,I$23)&gt;0,"Exp","")))</f>
        <v/>
      </c>
      <c r="J703" s="79">
        <f>IF(OR($A703="",J$23=""),"",IF(COUNTIFS('AFA Rates'!$A$5:$A$1004,$A703,'AFA Rates'!$B$5:$B$1004,J$23,'AFA Rates'!$O$5:$O$1004,"&lt;&gt;Expired")&gt;0,"✓",IF(COUNTIFS('AFA Rates'!$A$5:$A$1004,$A703,'AFA Rates'!$B$5:$B$1004,J$23)&gt;0,"Exp","")))</f>
        <v/>
      </c>
      <c r="K703" s="79">
        <f>IF(OR($A703="",K$23=""),"",IF(COUNTIFS('AFA Rates'!$A$5:$A$1004,$A703,'AFA Rates'!$B$5:$B$1004,K$23,'AFA Rates'!$O$5:$O$1004,"&lt;&gt;Expired")&gt;0,"✓",IF(COUNTIFS('AFA Rates'!$A$5:$A$1004,$A703,'AFA Rates'!$B$5:$B$1004,K$23)&gt;0,"Exp","")))</f>
        <v/>
      </c>
      <c r="L703" s="79">
        <f>IF(OR($A703="",L$23=""),"",IF(COUNTIFS('AFA Rates'!$A$5:$A$1004,$A703,'AFA Rates'!$B$5:$B$1004,L$23,'AFA Rates'!$O$5:$O$1004,"&lt;&gt;Expired")&gt;0,"✓",IF(COUNTIFS('AFA Rates'!$A$5:$A$1004,$A703,'AFA Rates'!$B$5:$B$1004,L$23)&gt;0,"Exp","")))</f>
        <v/>
      </c>
      <c r="M703" s="79">
        <f>IF(OR($A703="",M$23=""),"",IF(COUNTIFS('AFA Rates'!$A$5:$A$1004,$A703,'AFA Rates'!$B$5:$B$1004,M$23,'AFA Rates'!$O$5:$O$1004,"&lt;&gt;Expired")&gt;0,"✓",IF(COUNTIFS('AFA Rates'!$A$5:$A$1004,$A703,'AFA Rates'!$B$5:$B$1004,M$23)&gt;0,"Exp","")))</f>
        <v/>
      </c>
    </row>
    <row r="704">
      <c r="A704" s="78">
        <f>IFERROR(INDEX(Firms!$A$5:$A$1004,MATCH(681,Firms!$V$5:$V$1004,0)),"")</f>
        <v/>
      </c>
      <c r="B704" s="79">
        <f>IF($A704="","",INDEX(Firms!$B$5:$B$1004,MATCH(681,Firms!$V$5:$V$1004,0)))</f>
        <v/>
      </c>
      <c r="C704" s="79">
        <f>IF($A704="","",COUNTIFS('AFA Rates'!$A$5:$A$1004,$A704,'AFA Rates'!$O$5:$O$1004,"&lt;&gt;Expired"))</f>
        <v/>
      </c>
      <c r="D704" s="79">
        <f>IF(OR($A704="",D$23=""),"",IF(COUNTIFS('AFA Rates'!$A$5:$A$1004,$A704,'AFA Rates'!$B$5:$B$1004,D$23,'AFA Rates'!$O$5:$O$1004,"&lt;&gt;Expired")&gt;0,"✓",IF(COUNTIFS('AFA Rates'!$A$5:$A$1004,$A704,'AFA Rates'!$B$5:$B$1004,D$23)&gt;0,"Exp","")))</f>
        <v/>
      </c>
      <c r="E704" s="79">
        <f>IF(OR($A704="",E$23=""),"",IF(COUNTIFS('AFA Rates'!$A$5:$A$1004,$A704,'AFA Rates'!$B$5:$B$1004,E$23,'AFA Rates'!$O$5:$O$1004,"&lt;&gt;Expired")&gt;0,"✓",IF(COUNTIFS('AFA Rates'!$A$5:$A$1004,$A704,'AFA Rates'!$B$5:$B$1004,E$23)&gt;0,"Exp","")))</f>
        <v/>
      </c>
      <c r="F704" s="79">
        <f>IF(OR($A704="",F$23=""),"",IF(COUNTIFS('AFA Rates'!$A$5:$A$1004,$A704,'AFA Rates'!$B$5:$B$1004,F$23,'AFA Rates'!$O$5:$O$1004,"&lt;&gt;Expired")&gt;0,"✓",IF(COUNTIFS('AFA Rates'!$A$5:$A$1004,$A704,'AFA Rates'!$B$5:$B$1004,F$23)&gt;0,"Exp","")))</f>
        <v/>
      </c>
      <c r="G704" s="79">
        <f>IF(OR($A704="",G$23=""),"",IF(COUNTIFS('AFA Rates'!$A$5:$A$1004,$A704,'AFA Rates'!$B$5:$B$1004,G$23,'AFA Rates'!$O$5:$O$1004,"&lt;&gt;Expired")&gt;0,"✓",IF(COUNTIFS('AFA Rates'!$A$5:$A$1004,$A704,'AFA Rates'!$B$5:$B$1004,G$23)&gt;0,"Exp","")))</f>
        <v/>
      </c>
      <c r="H704" s="79">
        <f>IF(OR($A704="",H$23=""),"",IF(COUNTIFS('AFA Rates'!$A$5:$A$1004,$A704,'AFA Rates'!$B$5:$B$1004,H$23,'AFA Rates'!$O$5:$O$1004,"&lt;&gt;Expired")&gt;0,"✓",IF(COUNTIFS('AFA Rates'!$A$5:$A$1004,$A704,'AFA Rates'!$B$5:$B$1004,H$23)&gt;0,"Exp","")))</f>
        <v/>
      </c>
      <c r="I704" s="79">
        <f>IF(OR($A704="",I$23=""),"",IF(COUNTIFS('AFA Rates'!$A$5:$A$1004,$A704,'AFA Rates'!$B$5:$B$1004,I$23,'AFA Rates'!$O$5:$O$1004,"&lt;&gt;Expired")&gt;0,"✓",IF(COUNTIFS('AFA Rates'!$A$5:$A$1004,$A704,'AFA Rates'!$B$5:$B$1004,I$23)&gt;0,"Exp","")))</f>
        <v/>
      </c>
      <c r="J704" s="79">
        <f>IF(OR($A704="",J$23=""),"",IF(COUNTIFS('AFA Rates'!$A$5:$A$1004,$A704,'AFA Rates'!$B$5:$B$1004,J$23,'AFA Rates'!$O$5:$O$1004,"&lt;&gt;Expired")&gt;0,"✓",IF(COUNTIFS('AFA Rates'!$A$5:$A$1004,$A704,'AFA Rates'!$B$5:$B$1004,J$23)&gt;0,"Exp","")))</f>
        <v/>
      </c>
      <c r="K704" s="79">
        <f>IF(OR($A704="",K$23=""),"",IF(COUNTIFS('AFA Rates'!$A$5:$A$1004,$A704,'AFA Rates'!$B$5:$B$1004,K$23,'AFA Rates'!$O$5:$O$1004,"&lt;&gt;Expired")&gt;0,"✓",IF(COUNTIFS('AFA Rates'!$A$5:$A$1004,$A704,'AFA Rates'!$B$5:$B$1004,K$23)&gt;0,"Exp","")))</f>
        <v/>
      </c>
      <c r="L704" s="79">
        <f>IF(OR($A704="",L$23=""),"",IF(COUNTIFS('AFA Rates'!$A$5:$A$1004,$A704,'AFA Rates'!$B$5:$B$1004,L$23,'AFA Rates'!$O$5:$O$1004,"&lt;&gt;Expired")&gt;0,"✓",IF(COUNTIFS('AFA Rates'!$A$5:$A$1004,$A704,'AFA Rates'!$B$5:$B$1004,L$23)&gt;0,"Exp","")))</f>
        <v/>
      </c>
      <c r="M704" s="79">
        <f>IF(OR($A704="",M$23=""),"",IF(COUNTIFS('AFA Rates'!$A$5:$A$1004,$A704,'AFA Rates'!$B$5:$B$1004,M$23,'AFA Rates'!$O$5:$O$1004,"&lt;&gt;Expired")&gt;0,"✓",IF(COUNTIFS('AFA Rates'!$A$5:$A$1004,$A704,'AFA Rates'!$B$5:$B$1004,M$23)&gt;0,"Exp","")))</f>
        <v/>
      </c>
    </row>
    <row r="705">
      <c r="A705" s="78">
        <f>IFERROR(INDEX(Firms!$A$5:$A$1004,MATCH(682,Firms!$V$5:$V$1004,0)),"")</f>
        <v/>
      </c>
      <c r="B705" s="79">
        <f>IF($A705="","",INDEX(Firms!$B$5:$B$1004,MATCH(682,Firms!$V$5:$V$1004,0)))</f>
        <v/>
      </c>
      <c r="C705" s="79">
        <f>IF($A705="","",COUNTIFS('AFA Rates'!$A$5:$A$1004,$A705,'AFA Rates'!$O$5:$O$1004,"&lt;&gt;Expired"))</f>
        <v/>
      </c>
      <c r="D705" s="79">
        <f>IF(OR($A705="",D$23=""),"",IF(COUNTIFS('AFA Rates'!$A$5:$A$1004,$A705,'AFA Rates'!$B$5:$B$1004,D$23,'AFA Rates'!$O$5:$O$1004,"&lt;&gt;Expired")&gt;0,"✓",IF(COUNTIFS('AFA Rates'!$A$5:$A$1004,$A705,'AFA Rates'!$B$5:$B$1004,D$23)&gt;0,"Exp","")))</f>
        <v/>
      </c>
      <c r="E705" s="79">
        <f>IF(OR($A705="",E$23=""),"",IF(COUNTIFS('AFA Rates'!$A$5:$A$1004,$A705,'AFA Rates'!$B$5:$B$1004,E$23,'AFA Rates'!$O$5:$O$1004,"&lt;&gt;Expired")&gt;0,"✓",IF(COUNTIFS('AFA Rates'!$A$5:$A$1004,$A705,'AFA Rates'!$B$5:$B$1004,E$23)&gt;0,"Exp","")))</f>
        <v/>
      </c>
      <c r="F705" s="79">
        <f>IF(OR($A705="",F$23=""),"",IF(COUNTIFS('AFA Rates'!$A$5:$A$1004,$A705,'AFA Rates'!$B$5:$B$1004,F$23,'AFA Rates'!$O$5:$O$1004,"&lt;&gt;Expired")&gt;0,"✓",IF(COUNTIFS('AFA Rates'!$A$5:$A$1004,$A705,'AFA Rates'!$B$5:$B$1004,F$23)&gt;0,"Exp","")))</f>
        <v/>
      </c>
      <c r="G705" s="79">
        <f>IF(OR($A705="",G$23=""),"",IF(COUNTIFS('AFA Rates'!$A$5:$A$1004,$A705,'AFA Rates'!$B$5:$B$1004,G$23,'AFA Rates'!$O$5:$O$1004,"&lt;&gt;Expired")&gt;0,"✓",IF(COUNTIFS('AFA Rates'!$A$5:$A$1004,$A705,'AFA Rates'!$B$5:$B$1004,G$23)&gt;0,"Exp","")))</f>
        <v/>
      </c>
      <c r="H705" s="79">
        <f>IF(OR($A705="",H$23=""),"",IF(COUNTIFS('AFA Rates'!$A$5:$A$1004,$A705,'AFA Rates'!$B$5:$B$1004,H$23,'AFA Rates'!$O$5:$O$1004,"&lt;&gt;Expired")&gt;0,"✓",IF(COUNTIFS('AFA Rates'!$A$5:$A$1004,$A705,'AFA Rates'!$B$5:$B$1004,H$23)&gt;0,"Exp","")))</f>
        <v/>
      </c>
      <c r="I705" s="79">
        <f>IF(OR($A705="",I$23=""),"",IF(COUNTIFS('AFA Rates'!$A$5:$A$1004,$A705,'AFA Rates'!$B$5:$B$1004,I$23,'AFA Rates'!$O$5:$O$1004,"&lt;&gt;Expired")&gt;0,"✓",IF(COUNTIFS('AFA Rates'!$A$5:$A$1004,$A705,'AFA Rates'!$B$5:$B$1004,I$23)&gt;0,"Exp","")))</f>
        <v/>
      </c>
      <c r="J705" s="79">
        <f>IF(OR($A705="",J$23=""),"",IF(COUNTIFS('AFA Rates'!$A$5:$A$1004,$A705,'AFA Rates'!$B$5:$B$1004,J$23,'AFA Rates'!$O$5:$O$1004,"&lt;&gt;Expired")&gt;0,"✓",IF(COUNTIFS('AFA Rates'!$A$5:$A$1004,$A705,'AFA Rates'!$B$5:$B$1004,J$23)&gt;0,"Exp","")))</f>
        <v/>
      </c>
      <c r="K705" s="79">
        <f>IF(OR($A705="",K$23=""),"",IF(COUNTIFS('AFA Rates'!$A$5:$A$1004,$A705,'AFA Rates'!$B$5:$B$1004,K$23,'AFA Rates'!$O$5:$O$1004,"&lt;&gt;Expired")&gt;0,"✓",IF(COUNTIFS('AFA Rates'!$A$5:$A$1004,$A705,'AFA Rates'!$B$5:$B$1004,K$23)&gt;0,"Exp","")))</f>
        <v/>
      </c>
      <c r="L705" s="79">
        <f>IF(OR($A705="",L$23=""),"",IF(COUNTIFS('AFA Rates'!$A$5:$A$1004,$A705,'AFA Rates'!$B$5:$B$1004,L$23,'AFA Rates'!$O$5:$O$1004,"&lt;&gt;Expired")&gt;0,"✓",IF(COUNTIFS('AFA Rates'!$A$5:$A$1004,$A705,'AFA Rates'!$B$5:$B$1004,L$23)&gt;0,"Exp","")))</f>
        <v/>
      </c>
      <c r="M705" s="79">
        <f>IF(OR($A705="",M$23=""),"",IF(COUNTIFS('AFA Rates'!$A$5:$A$1004,$A705,'AFA Rates'!$B$5:$B$1004,M$23,'AFA Rates'!$O$5:$O$1004,"&lt;&gt;Expired")&gt;0,"✓",IF(COUNTIFS('AFA Rates'!$A$5:$A$1004,$A705,'AFA Rates'!$B$5:$B$1004,M$23)&gt;0,"Exp","")))</f>
        <v/>
      </c>
    </row>
    <row r="706">
      <c r="A706" s="78">
        <f>IFERROR(INDEX(Firms!$A$5:$A$1004,MATCH(683,Firms!$V$5:$V$1004,0)),"")</f>
        <v/>
      </c>
      <c r="B706" s="79">
        <f>IF($A706="","",INDEX(Firms!$B$5:$B$1004,MATCH(683,Firms!$V$5:$V$1004,0)))</f>
        <v/>
      </c>
      <c r="C706" s="79">
        <f>IF($A706="","",COUNTIFS('AFA Rates'!$A$5:$A$1004,$A706,'AFA Rates'!$O$5:$O$1004,"&lt;&gt;Expired"))</f>
        <v/>
      </c>
      <c r="D706" s="79">
        <f>IF(OR($A706="",D$23=""),"",IF(COUNTIFS('AFA Rates'!$A$5:$A$1004,$A706,'AFA Rates'!$B$5:$B$1004,D$23,'AFA Rates'!$O$5:$O$1004,"&lt;&gt;Expired")&gt;0,"✓",IF(COUNTIFS('AFA Rates'!$A$5:$A$1004,$A706,'AFA Rates'!$B$5:$B$1004,D$23)&gt;0,"Exp","")))</f>
        <v/>
      </c>
      <c r="E706" s="79">
        <f>IF(OR($A706="",E$23=""),"",IF(COUNTIFS('AFA Rates'!$A$5:$A$1004,$A706,'AFA Rates'!$B$5:$B$1004,E$23,'AFA Rates'!$O$5:$O$1004,"&lt;&gt;Expired")&gt;0,"✓",IF(COUNTIFS('AFA Rates'!$A$5:$A$1004,$A706,'AFA Rates'!$B$5:$B$1004,E$23)&gt;0,"Exp","")))</f>
        <v/>
      </c>
      <c r="F706" s="79">
        <f>IF(OR($A706="",F$23=""),"",IF(COUNTIFS('AFA Rates'!$A$5:$A$1004,$A706,'AFA Rates'!$B$5:$B$1004,F$23,'AFA Rates'!$O$5:$O$1004,"&lt;&gt;Expired")&gt;0,"✓",IF(COUNTIFS('AFA Rates'!$A$5:$A$1004,$A706,'AFA Rates'!$B$5:$B$1004,F$23)&gt;0,"Exp","")))</f>
        <v/>
      </c>
      <c r="G706" s="79">
        <f>IF(OR($A706="",G$23=""),"",IF(COUNTIFS('AFA Rates'!$A$5:$A$1004,$A706,'AFA Rates'!$B$5:$B$1004,G$23,'AFA Rates'!$O$5:$O$1004,"&lt;&gt;Expired")&gt;0,"✓",IF(COUNTIFS('AFA Rates'!$A$5:$A$1004,$A706,'AFA Rates'!$B$5:$B$1004,G$23)&gt;0,"Exp","")))</f>
        <v/>
      </c>
      <c r="H706" s="79">
        <f>IF(OR($A706="",H$23=""),"",IF(COUNTIFS('AFA Rates'!$A$5:$A$1004,$A706,'AFA Rates'!$B$5:$B$1004,H$23,'AFA Rates'!$O$5:$O$1004,"&lt;&gt;Expired")&gt;0,"✓",IF(COUNTIFS('AFA Rates'!$A$5:$A$1004,$A706,'AFA Rates'!$B$5:$B$1004,H$23)&gt;0,"Exp","")))</f>
        <v/>
      </c>
      <c r="I706" s="79">
        <f>IF(OR($A706="",I$23=""),"",IF(COUNTIFS('AFA Rates'!$A$5:$A$1004,$A706,'AFA Rates'!$B$5:$B$1004,I$23,'AFA Rates'!$O$5:$O$1004,"&lt;&gt;Expired")&gt;0,"✓",IF(COUNTIFS('AFA Rates'!$A$5:$A$1004,$A706,'AFA Rates'!$B$5:$B$1004,I$23)&gt;0,"Exp","")))</f>
        <v/>
      </c>
      <c r="J706" s="79">
        <f>IF(OR($A706="",J$23=""),"",IF(COUNTIFS('AFA Rates'!$A$5:$A$1004,$A706,'AFA Rates'!$B$5:$B$1004,J$23,'AFA Rates'!$O$5:$O$1004,"&lt;&gt;Expired")&gt;0,"✓",IF(COUNTIFS('AFA Rates'!$A$5:$A$1004,$A706,'AFA Rates'!$B$5:$B$1004,J$23)&gt;0,"Exp","")))</f>
        <v/>
      </c>
      <c r="K706" s="79">
        <f>IF(OR($A706="",K$23=""),"",IF(COUNTIFS('AFA Rates'!$A$5:$A$1004,$A706,'AFA Rates'!$B$5:$B$1004,K$23,'AFA Rates'!$O$5:$O$1004,"&lt;&gt;Expired")&gt;0,"✓",IF(COUNTIFS('AFA Rates'!$A$5:$A$1004,$A706,'AFA Rates'!$B$5:$B$1004,K$23)&gt;0,"Exp","")))</f>
        <v/>
      </c>
      <c r="L706" s="79">
        <f>IF(OR($A706="",L$23=""),"",IF(COUNTIFS('AFA Rates'!$A$5:$A$1004,$A706,'AFA Rates'!$B$5:$B$1004,L$23,'AFA Rates'!$O$5:$O$1004,"&lt;&gt;Expired")&gt;0,"✓",IF(COUNTIFS('AFA Rates'!$A$5:$A$1004,$A706,'AFA Rates'!$B$5:$B$1004,L$23)&gt;0,"Exp","")))</f>
        <v/>
      </c>
      <c r="M706" s="79">
        <f>IF(OR($A706="",M$23=""),"",IF(COUNTIFS('AFA Rates'!$A$5:$A$1004,$A706,'AFA Rates'!$B$5:$B$1004,M$23,'AFA Rates'!$O$5:$O$1004,"&lt;&gt;Expired")&gt;0,"✓",IF(COUNTIFS('AFA Rates'!$A$5:$A$1004,$A706,'AFA Rates'!$B$5:$B$1004,M$23)&gt;0,"Exp","")))</f>
        <v/>
      </c>
    </row>
    <row r="707">
      <c r="A707" s="78">
        <f>IFERROR(INDEX(Firms!$A$5:$A$1004,MATCH(684,Firms!$V$5:$V$1004,0)),"")</f>
        <v/>
      </c>
      <c r="B707" s="79">
        <f>IF($A707="","",INDEX(Firms!$B$5:$B$1004,MATCH(684,Firms!$V$5:$V$1004,0)))</f>
        <v/>
      </c>
      <c r="C707" s="79">
        <f>IF($A707="","",COUNTIFS('AFA Rates'!$A$5:$A$1004,$A707,'AFA Rates'!$O$5:$O$1004,"&lt;&gt;Expired"))</f>
        <v/>
      </c>
      <c r="D707" s="79">
        <f>IF(OR($A707="",D$23=""),"",IF(COUNTIFS('AFA Rates'!$A$5:$A$1004,$A707,'AFA Rates'!$B$5:$B$1004,D$23,'AFA Rates'!$O$5:$O$1004,"&lt;&gt;Expired")&gt;0,"✓",IF(COUNTIFS('AFA Rates'!$A$5:$A$1004,$A707,'AFA Rates'!$B$5:$B$1004,D$23)&gt;0,"Exp","")))</f>
        <v/>
      </c>
      <c r="E707" s="79">
        <f>IF(OR($A707="",E$23=""),"",IF(COUNTIFS('AFA Rates'!$A$5:$A$1004,$A707,'AFA Rates'!$B$5:$B$1004,E$23,'AFA Rates'!$O$5:$O$1004,"&lt;&gt;Expired")&gt;0,"✓",IF(COUNTIFS('AFA Rates'!$A$5:$A$1004,$A707,'AFA Rates'!$B$5:$B$1004,E$23)&gt;0,"Exp","")))</f>
        <v/>
      </c>
      <c r="F707" s="79">
        <f>IF(OR($A707="",F$23=""),"",IF(COUNTIFS('AFA Rates'!$A$5:$A$1004,$A707,'AFA Rates'!$B$5:$B$1004,F$23,'AFA Rates'!$O$5:$O$1004,"&lt;&gt;Expired")&gt;0,"✓",IF(COUNTIFS('AFA Rates'!$A$5:$A$1004,$A707,'AFA Rates'!$B$5:$B$1004,F$23)&gt;0,"Exp","")))</f>
        <v/>
      </c>
      <c r="G707" s="79">
        <f>IF(OR($A707="",G$23=""),"",IF(COUNTIFS('AFA Rates'!$A$5:$A$1004,$A707,'AFA Rates'!$B$5:$B$1004,G$23,'AFA Rates'!$O$5:$O$1004,"&lt;&gt;Expired")&gt;0,"✓",IF(COUNTIFS('AFA Rates'!$A$5:$A$1004,$A707,'AFA Rates'!$B$5:$B$1004,G$23)&gt;0,"Exp","")))</f>
        <v/>
      </c>
      <c r="H707" s="79">
        <f>IF(OR($A707="",H$23=""),"",IF(COUNTIFS('AFA Rates'!$A$5:$A$1004,$A707,'AFA Rates'!$B$5:$B$1004,H$23,'AFA Rates'!$O$5:$O$1004,"&lt;&gt;Expired")&gt;0,"✓",IF(COUNTIFS('AFA Rates'!$A$5:$A$1004,$A707,'AFA Rates'!$B$5:$B$1004,H$23)&gt;0,"Exp","")))</f>
        <v/>
      </c>
      <c r="I707" s="79">
        <f>IF(OR($A707="",I$23=""),"",IF(COUNTIFS('AFA Rates'!$A$5:$A$1004,$A707,'AFA Rates'!$B$5:$B$1004,I$23,'AFA Rates'!$O$5:$O$1004,"&lt;&gt;Expired")&gt;0,"✓",IF(COUNTIFS('AFA Rates'!$A$5:$A$1004,$A707,'AFA Rates'!$B$5:$B$1004,I$23)&gt;0,"Exp","")))</f>
        <v/>
      </c>
      <c r="J707" s="79">
        <f>IF(OR($A707="",J$23=""),"",IF(COUNTIFS('AFA Rates'!$A$5:$A$1004,$A707,'AFA Rates'!$B$5:$B$1004,J$23,'AFA Rates'!$O$5:$O$1004,"&lt;&gt;Expired")&gt;0,"✓",IF(COUNTIFS('AFA Rates'!$A$5:$A$1004,$A707,'AFA Rates'!$B$5:$B$1004,J$23)&gt;0,"Exp","")))</f>
        <v/>
      </c>
      <c r="K707" s="79">
        <f>IF(OR($A707="",K$23=""),"",IF(COUNTIFS('AFA Rates'!$A$5:$A$1004,$A707,'AFA Rates'!$B$5:$B$1004,K$23,'AFA Rates'!$O$5:$O$1004,"&lt;&gt;Expired")&gt;0,"✓",IF(COUNTIFS('AFA Rates'!$A$5:$A$1004,$A707,'AFA Rates'!$B$5:$B$1004,K$23)&gt;0,"Exp","")))</f>
        <v/>
      </c>
      <c r="L707" s="79">
        <f>IF(OR($A707="",L$23=""),"",IF(COUNTIFS('AFA Rates'!$A$5:$A$1004,$A707,'AFA Rates'!$B$5:$B$1004,L$23,'AFA Rates'!$O$5:$O$1004,"&lt;&gt;Expired")&gt;0,"✓",IF(COUNTIFS('AFA Rates'!$A$5:$A$1004,$A707,'AFA Rates'!$B$5:$B$1004,L$23)&gt;0,"Exp","")))</f>
        <v/>
      </c>
      <c r="M707" s="79">
        <f>IF(OR($A707="",M$23=""),"",IF(COUNTIFS('AFA Rates'!$A$5:$A$1004,$A707,'AFA Rates'!$B$5:$B$1004,M$23,'AFA Rates'!$O$5:$O$1004,"&lt;&gt;Expired")&gt;0,"✓",IF(COUNTIFS('AFA Rates'!$A$5:$A$1004,$A707,'AFA Rates'!$B$5:$B$1004,M$23)&gt;0,"Exp","")))</f>
        <v/>
      </c>
    </row>
    <row r="708">
      <c r="A708" s="78">
        <f>IFERROR(INDEX(Firms!$A$5:$A$1004,MATCH(685,Firms!$V$5:$V$1004,0)),"")</f>
        <v/>
      </c>
      <c r="B708" s="79">
        <f>IF($A708="","",INDEX(Firms!$B$5:$B$1004,MATCH(685,Firms!$V$5:$V$1004,0)))</f>
        <v/>
      </c>
      <c r="C708" s="79">
        <f>IF($A708="","",COUNTIFS('AFA Rates'!$A$5:$A$1004,$A708,'AFA Rates'!$O$5:$O$1004,"&lt;&gt;Expired"))</f>
        <v/>
      </c>
      <c r="D708" s="79">
        <f>IF(OR($A708="",D$23=""),"",IF(COUNTIFS('AFA Rates'!$A$5:$A$1004,$A708,'AFA Rates'!$B$5:$B$1004,D$23,'AFA Rates'!$O$5:$O$1004,"&lt;&gt;Expired")&gt;0,"✓",IF(COUNTIFS('AFA Rates'!$A$5:$A$1004,$A708,'AFA Rates'!$B$5:$B$1004,D$23)&gt;0,"Exp","")))</f>
        <v/>
      </c>
      <c r="E708" s="79">
        <f>IF(OR($A708="",E$23=""),"",IF(COUNTIFS('AFA Rates'!$A$5:$A$1004,$A708,'AFA Rates'!$B$5:$B$1004,E$23,'AFA Rates'!$O$5:$O$1004,"&lt;&gt;Expired")&gt;0,"✓",IF(COUNTIFS('AFA Rates'!$A$5:$A$1004,$A708,'AFA Rates'!$B$5:$B$1004,E$23)&gt;0,"Exp","")))</f>
        <v/>
      </c>
      <c r="F708" s="79">
        <f>IF(OR($A708="",F$23=""),"",IF(COUNTIFS('AFA Rates'!$A$5:$A$1004,$A708,'AFA Rates'!$B$5:$B$1004,F$23,'AFA Rates'!$O$5:$O$1004,"&lt;&gt;Expired")&gt;0,"✓",IF(COUNTIFS('AFA Rates'!$A$5:$A$1004,$A708,'AFA Rates'!$B$5:$B$1004,F$23)&gt;0,"Exp","")))</f>
        <v/>
      </c>
      <c r="G708" s="79">
        <f>IF(OR($A708="",G$23=""),"",IF(COUNTIFS('AFA Rates'!$A$5:$A$1004,$A708,'AFA Rates'!$B$5:$B$1004,G$23,'AFA Rates'!$O$5:$O$1004,"&lt;&gt;Expired")&gt;0,"✓",IF(COUNTIFS('AFA Rates'!$A$5:$A$1004,$A708,'AFA Rates'!$B$5:$B$1004,G$23)&gt;0,"Exp","")))</f>
        <v/>
      </c>
      <c r="H708" s="79">
        <f>IF(OR($A708="",H$23=""),"",IF(COUNTIFS('AFA Rates'!$A$5:$A$1004,$A708,'AFA Rates'!$B$5:$B$1004,H$23,'AFA Rates'!$O$5:$O$1004,"&lt;&gt;Expired")&gt;0,"✓",IF(COUNTIFS('AFA Rates'!$A$5:$A$1004,$A708,'AFA Rates'!$B$5:$B$1004,H$23)&gt;0,"Exp","")))</f>
        <v/>
      </c>
      <c r="I708" s="79">
        <f>IF(OR($A708="",I$23=""),"",IF(COUNTIFS('AFA Rates'!$A$5:$A$1004,$A708,'AFA Rates'!$B$5:$B$1004,I$23,'AFA Rates'!$O$5:$O$1004,"&lt;&gt;Expired")&gt;0,"✓",IF(COUNTIFS('AFA Rates'!$A$5:$A$1004,$A708,'AFA Rates'!$B$5:$B$1004,I$23)&gt;0,"Exp","")))</f>
        <v/>
      </c>
      <c r="J708" s="79">
        <f>IF(OR($A708="",J$23=""),"",IF(COUNTIFS('AFA Rates'!$A$5:$A$1004,$A708,'AFA Rates'!$B$5:$B$1004,J$23,'AFA Rates'!$O$5:$O$1004,"&lt;&gt;Expired")&gt;0,"✓",IF(COUNTIFS('AFA Rates'!$A$5:$A$1004,$A708,'AFA Rates'!$B$5:$B$1004,J$23)&gt;0,"Exp","")))</f>
        <v/>
      </c>
      <c r="K708" s="79">
        <f>IF(OR($A708="",K$23=""),"",IF(COUNTIFS('AFA Rates'!$A$5:$A$1004,$A708,'AFA Rates'!$B$5:$B$1004,K$23,'AFA Rates'!$O$5:$O$1004,"&lt;&gt;Expired")&gt;0,"✓",IF(COUNTIFS('AFA Rates'!$A$5:$A$1004,$A708,'AFA Rates'!$B$5:$B$1004,K$23)&gt;0,"Exp","")))</f>
        <v/>
      </c>
      <c r="L708" s="79">
        <f>IF(OR($A708="",L$23=""),"",IF(COUNTIFS('AFA Rates'!$A$5:$A$1004,$A708,'AFA Rates'!$B$5:$B$1004,L$23,'AFA Rates'!$O$5:$O$1004,"&lt;&gt;Expired")&gt;0,"✓",IF(COUNTIFS('AFA Rates'!$A$5:$A$1004,$A708,'AFA Rates'!$B$5:$B$1004,L$23)&gt;0,"Exp","")))</f>
        <v/>
      </c>
      <c r="M708" s="79">
        <f>IF(OR($A708="",M$23=""),"",IF(COUNTIFS('AFA Rates'!$A$5:$A$1004,$A708,'AFA Rates'!$B$5:$B$1004,M$23,'AFA Rates'!$O$5:$O$1004,"&lt;&gt;Expired")&gt;0,"✓",IF(COUNTIFS('AFA Rates'!$A$5:$A$1004,$A708,'AFA Rates'!$B$5:$B$1004,M$23)&gt;0,"Exp","")))</f>
        <v/>
      </c>
    </row>
    <row r="709">
      <c r="A709" s="78">
        <f>IFERROR(INDEX(Firms!$A$5:$A$1004,MATCH(686,Firms!$V$5:$V$1004,0)),"")</f>
        <v/>
      </c>
      <c r="B709" s="79">
        <f>IF($A709="","",INDEX(Firms!$B$5:$B$1004,MATCH(686,Firms!$V$5:$V$1004,0)))</f>
        <v/>
      </c>
      <c r="C709" s="79">
        <f>IF($A709="","",COUNTIFS('AFA Rates'!$A$5:$A$1004,$A709,'AFA Rates'!$O$5:$O$1004,"&lt;&gt;Expired"))</f>
        <v/>
      </c>
      <c r="D709" s="79">
        <f>IF(OR($A709="",D$23=""),"",IF(COUNTIFS('AFA Rates'!$A$5:$A$1004,$A709,'AFA Rates'!$B$5:$B$1004,D$23,'AFA Rates'!$O$5:$O$1004,"&lt;&gt;Expired")&gt;0,"✓",IF(COUNTIFS('AFA Rates'!$A$5:$A$1004,$A709,'AFA Rates'!$B$5:$B$1004,D$23)&gt;0,"Exp","")))</f>
        <v/>
      </c>
      <c r="E709" s="79">
        <f>IF(OR($A709="",E$23=""),"",IF(COUNTIFS('AFA Rates'!$A$5:$A$1004,$A709,'AFA Rates'!$B$5:$B$1004,E$23,'AFA Rates'!$O$5:$O$1004,"&lt;&gt;Expired")&gt;0,"✓",IF(COUNTIFS('AFA Rates'!$A$5:$A$1004,$A709,'AFA Rates'!$B$5:$B$1004,E$23)&gt;0,"Exp","")))</f>
        <v/>
      </c>
      <c r="F709" s="79">
        <f>IF(OR($A709="",F$23=""),"",IF(COUNTIFS('AFA Rates'!$A$5:$A$1004,$A709,'AFA Rates'!$B$5:$B$1004,F$23,'AFA Rates'!$O$5:$O$1004,"&lt;&gt;Expired")&gt;0,"✓",IF(COUNTIFS('AFA Rates'!$A$5:$A$1004,$A709,'AFA Rates'!$B$5:$B$1004,F$23)&gt;0,"Exp","")))</f>
        <v/>
      </c>
      <c r="G709" s="79">
        <f>IF(OR($A709="",G$23=""),"",IF(COUNTIFS('AFA Rates'!$A$5:$A$1004,$A709,'AFA Rates'!$B$5:$B$1004,G$23,'AFA Rates'!$O$5:$O$1004,"&lt;&gt;Expired")&gt;0,"✓",IF(COUNTIFS('AFA Rates'!$A$5:$A$1004,$A709,'AFA Rates'!$B$5:$B$1004,G$23)&gt;0,"Exp","")))</f>
        <v/>
      </c>
      <c r="H709" s="79">
        <f>IF(OR($A709="",H$23=""),"",IF(COUNTIFS('AFA Rates'!$A$5:$A$1004,$A709,'AFA Rates'!$B$5:$B$1004,H$23,'AFA Rates'!$O$5:$O$1004,"&lt;&gt;Expired")&gt;0,"✓",IF(COUNTIFS('AFA Rates'!$A$5:$A$1004,$A709,'AFA Rates'!$B$5:$B$1004,H$23)&gt;0,"Exp","")))</f>
        <v/>
      </c>
      <c r="I709" s="79">
        <f>IF(OR($A709="",I$23=""),"",IF(COUNTIFS('AFA Rates'!$A$5:$A$1004,$A709,'AFA Rates'!$B$5:$B$1004,I$23,'AFA Rates'!$O$5:$O$1004,"&lt;&gt;Expired")&gt;0,"✓",IF(COUNTIFS('AFA Rates'!$A$5:$A$1004,$A709,'AFA Rates'!$B$5:$B$1004,I$23)&gt;0,"Exp","")))</f>
        <v/>
      </c>
      <c r="J709" s="79">
        <f>IF(OR($A709="",J$23=""),"",IF(COUNTIFS('AFA Rates'!$A$5:$A$1004,$A709,'AFA Rates'!$B$5:$B$1004,J$23,'AFA Rates'!$O$5:$O$1004,"&lt;&gt;Expired")&gt;0,"✓",IF(COUNTIFS('AFA Rates'!$A$5:$A$1004,$A709,'AFA Rates'!$B$5:$B$1004,J$23)&gt;0,"Exp","")))</f>
        <v/>
      </c>
      <c r="K709" s="79">
        <f>IF(OR($A709="",K$23=""),"",IF(COUNTIFS('AFA Rates'!$A$5:$A$1004,$A709,'AFA Rates'!$B$5:$B$1004,K$23,'AFA Rates'!$O$5:$O$1004,"&lt;&gt;Expired")&gt;0,"✓",IF(COUNTIFS('AFA Rates'!$A$5:$A$1004,$A709,'AFA Rates'!$B$5:$B$1004,K$23)&gt;0,"Exp","")))</f>
        <v/>
      </c>
      <c r="L709" s="79">
        <f>IF(OR($A709="",L$23=""),"",IF(COUNTIFS('AFA Rates'!$A$5:$A$1004,$A709,'AFA Rates'!$B$5:$B$1004,L$23,'AFA Rates'!$O$5:$O$1004,"&lt;&gt;Expired")&gt;0,"✓",IF(COUNTIFS('AFA Rates'!$A$5:$A$1004,$A709,'AFA Rates'!$B$5:$B$1004,L$23)&gt;0,"Exp","")))</f>
        <v/>
      </c>
      <c r="M709" s="79">
        <f>IF(OR($A709="",M$23=""),"",IF(COUNTIFS('AFA Rates'!$A$5:$A$1004,$A709,'AFA Rates'!$B$5:$B$1004,M$23,'AFA Rates'!$O$5:$O$1004,"&lt;&gt;Expired")&gt;0,"✓",IF(COUNTIFS('AFA Rates'!$A$5:$A$1004,$A709,'AFA Rates'!$B$5:$B$1004,M$23)&gt;0,"Exp","")))</f>
        <v/>
      </c>
    </row>
    <row r="710">
      <c r="A710" s="78">
        <f>IFERROR(INDEX(Firms!$A$5:$A$1004,MATCH(687,Firms!$V$5:$V$1004,0)),"")</f>
        <v/>
      </c>
      <c r="B710" s="79">
        <f>IF($A710="","",INDEX(Firms!$B$5:$B$1004,MATCH(687,Firms!$V$5:$V$1004,0)))</f>
        <v/>
      </c>
      <c r="C710" s="79">
        <f>IF($A710="","",COUNTIFS('AFA Rates'!$A$5:$A$1004,$A710,'AFA Rates'!$O$5:$O$1004,"&lt;&gt;Expired"))</f>
        <v/>
      </c>
      <c r="D710" s="79">
        <f>IF(OR($A710="",D$23=""),"",IF(COUNTIFS('AFA Rates'!$A$5:$A$1004,$A710,'AFA Rates'!$B$5:$B$1004,D$23,'AFA Rates'!$O$5:$O$1004,"&lt;&gt;Expired")&gt;0,"✓",IF(COUNTIFS('AFA Rates'!$A$5:$A$1004,$A710,'AFA Rates'!$B$5:$B$1004,D$23)&gt;0,"Exp","")))</f>
        <v/>
      </c>
      <c r="E710" s="79">
        <f>IF(OR($A710="",E$23=""),"",IF(COUNTIFS('AFA Rates'!$A$5:$A$1004,$A710,'AFA Rates'!$B$5:$B$1004,E$23,'AFA Rates'!$O$5:$O$1004,"&lt;&gt;Expired")&gt;0,"✓",IF(COUNTIFS('AFA Rates'!$A$5:$A$1004,$A710,'AFA Rates'!$B$5:$B$1004,E$23)&gt;0,"Exp","")))</f>
        <v/>
      </c>
      <c r="F710" s="79">
        <f>IF(OR($A710="",F$23=""),"",IF(COUNTIFS('AFA Rates'!$A$5:$A$1004,$A710,'AFA Rates'!$B$5:$B$1004,F$23,'AFA Rates'!$O$5:$O$1004,"&lt;&gt;Expired")&gt;0,"✓",IF(COUNTIFS('AFA Rates'!$A$5:$A$1004,$A710,'AFA Rates'!$B$5:$B$1004,F$23)&gt;0,"Exp","")))</f>
        <v/>
      </c>
      <c r="G710" s="79">
        <f>IF(OR($A710="",G$23=""),"",IF(COUNTIFS('AFA Rates'!$A$5:$A$1004,$A710,'AFA Rates'!$B$5:$B$1004,G$23,'AFA Rates'!$O$5:$O$1004,"&lt;&gt;Expired")&gt;0,"✓",IF(COUNTIFS('AFA Rates'!$A$5:$A$1004,$A710,'AFA Rates'!$B$5:$B$1004,G$23)&gt;0,"Exp","")))</f>
        <v/>
      </c>
      <c r="H710" s="79">
        <f>IF(OR($A710="",H$23=""),"",IF(COUNTIFS('AFA Rates'!$A$5:$A$1004,$A710,'AFA Rates'!$B$5:$B$1004,H$23,'AFA Rates'!$O$5:$O$1004,"&lt;&gt;Expired")&gt;0,"✓",IF(COUNTIFS('AFA Rates'!$A$5:$A$1004,$A710,'AFA Rates'!$B$5:$B$1004,H$23)&gt;0,"Exp","")))</f>
        <v/>
      </c>
      <c r="I710" s="79">
        <f>IF(OR($A710="",I$23=""),"",IF(COUNTIFS('AFA Rates'!$A$5:$A$1004,$A710,'AFA Rates'!$B$5:$B$1004,I$23,'AFA Rates'!$O$5:$O$1004,"&lt;&gt;Expired")&gt;0,"✓",IF(COUNTIFS('AFA Rates'!$A$5:$A$1004,$A710,'AFA Rates'!$B$5:$B$1004,I$23)&gt;0,"Exp","")))</f>
        <v/>
      </c>
      <c r="J710" s="79">
        <f>IF(OR($A710="",J$23=""),"",IF(COUNTIFS('AFA Rates'!$A$5:$A$1004,$A710,'AFA Rates'!$B$5:$B$1004,J$23,'AFA Rates'!$O$5:$O$1004,"&lt;&gt;Expired")&gt;0,"✓",IF(COUNTIFS('AFA Rates'!$A$5:$A$1004,$A710,'AFA Rates'!$B$5:$B$1004,J$23)&gt;0,"Exp","")))</f>
        <v/>
      </c>
      <c r="K710" s="79">
        <f>IF(OR($A710="",K$23=""),"",IF(COUNTIFS('AFA Rates'!$A$5:$A$1004,$A710,'AFA Rates'!$B$5:$B$1004,K$23,'AFA Rates'!$O$5:$O$1004,"&lt;&gt;Expired")&gt;0,"✓",IF(COUNTIFS('AFA Rates'!$A$5:$A$1004,$A710,'AFA Rates'!$B$5:$B$1004,K$23)&gt;0,"Exp","")))</f>
        <v/>
      </c>
      <c r="L710" s="79">
        <f>IF(OR($A710="",L$23=""),"",IF(COUNTIFS('AFA Rates'!$A$5:$A$1004,$A710,'AFA Rates'!$B$5:$B$1004,L$23,'AFA Rates'!$O$5:$O$1004,"&lt;&gt;Expired")&gt;0,"✓",IF(COUNTIFS('AFA Rates'!$A$5:$A$1004,$A710,'AFA Rates'!$B$5:$B$1004,L$23)&gt;0,"Exp","")))</f>
        <v/>
      </c>
      <c r="M710" s="79">
        <f>IF(OR($A710="",M$23=""),"",IF(COUNTIFS('AFA Rates'!$A$5:$A$1004,$A710,'AFA Rates'!$B$5:$B$1004,M$23,'AFA Rates'!$O$5:$O$1004,"&lt;&gt;Expired")&gt;0,"✓",IF(COUNTIFS('AFA Rates'!$A$5:$A$1004,$A710,'AFA Rates'!$B$5:$B$1004,M$23)&gt;0,"Exp","")))</f>
        <v/>
      </c>
    </row>
    <row r="711">
      <c r="A711" s="78">
        <f>IFERROR(INDEX(Firms!$A$5:$A$1004,MATCH(688,Firms!$V$5:$V$1004,0)),"")</f>
        <v/>
      </c>
      <c r="B711" s="79">
        <f>IF($A711="","",INDEX(Firms!$B$5:$B$1004,MATCH(688,Firms!$V$5:$V$1004,0)))</f>
        <v/>
      </c>
      <c r="C711" s="79">
        <f>IF($A711="","",COUNTIFS('AFA Rates'!$A$5:$A$1004,$A711,'AFA Rates'!$O$5:$O$1004,"&lt;&gt;Expired"))</f>
        <v/>
      </c>
      <c r="D711" s="79">
        <f>IF(OR($A711="",D$23=""),"",IF(COUNTIFS('AFA Rates'!$A$5:$A$1004,$A711,'AFA Rates'!$B$5:$B$1004,D$23,'AFA Rates'!$O$5:$O$1004,"&lt;&gt;Expired")&gt;0,"✓",IF(COUNTIFS('AFA Rates'!$A$5:$A$1004,$A711,'AFA Rates'!$B$5:$B$1004,D$23)&gt;0,"Exp","")))</f>
        <v/>
      </c>
      <c r="E711" s="79">
        <f>IF(OR($A711="",E$23=""),"",IF(COUNTIFS('AFA Rates'!$A$5:$A$1004,$A711,'AFA Rates'!$B$5:$B$1004,E$23,'AFA Rates'!$O$5:$O$1004,"&lt;&gt;Expired")&gt;0,"✓",IF(COUNTIFS('AFA Rates'!$A$5:$A$1004,$A711,'AFA Rates'!$B$5:$B$1004,E$23)&gt;0,"Exp","")))</f>
        <v/>
      </c>
      <c r="F711" s="79">
        <f>IF(OR($A711="",F$23=""),"",IF(COUNTIFS('AFA Rates'!$A$5:$A$1004,$A711,'AFA Rates'!$B$5:$B$1004,F$23,'AFA Rates'!$O$5:$O$1004,"&lt;&gt;Expired")&gt;0,"✓",IF(COUNTIFS('AFA Rates'!$A$5:$A$1004,$A711,'AFA Rates'!$B$5:$B$1004,F$23)&gt;0,"Exp","")))</f>
        <v/>
      </c>
      <c r="G711" s="79">
        <f>IF(OR($A711="",G$23=""),"",IF(COUNTIFS('AFA Rates'!$A$5:$A$1004,$A711,'AFA Rates'!$B$5:$B$1004,G$23,'AFA Rates'!$O$5:$O$1004,"&lt;&gt;Expired")&gt;0,"✓",IF(COUNTIFS('AFA Rates'!$A$5:$A$1004,$A711,'AFA Rates'!$B$5:$B$1004,G$23)&gt;0,"Exp","")))</f>
        <v/>
      </c>
      <c r="H711" s="79">
        <f>IF(OR($A711="",H$23=""),"",IF(COUNTIFS('AFA Rates'!$A$5:$A$1004,$A711,'AFA Rates'!$B$5:$B$1004,H$23,'AFA Rates'!$O$5:$O$1004,"&lt;&gt;Expired")&gt;0,"✓",IF(COUNTIFS('AFA Rates'!$A$5:$A$1004,$A711,'AFA Rates'!$B$5:$B$1004,H$23)&gt;0,"Exp","")))</f>
        <v/>
      </c>
      <c r="I711" s="79">
        <f>IF(OR($A711="",I$23=""),"",IF(COUNTIFS('AFA Rates'!$A$5:$A$1004,$A711,'AFA Rates'!$B$5:$B$1004,I$23,'AFA Rates'!$O$5:$O$1004,"&lt;&gt;Expired")&gt;0,"✓",IF(COUNTIFS('AFA Rates'!$A$5:$A$1004,$A711,'AFA Rates'!$B$5:$B$1004,I$23)&gt;0,"Exp","")))</f>
        <v/>
      </c>
      <c r="J711" s="79">
        <f>IF(OR($A711="",J$23=""),"",IF(COUNTIFS('AFA Rates'!$A$5:$A$1004,$A711,'AFA Rates'!$B$5:$B$1004,J$23,'AFA Rates'!$O$5:$O$1004,"&lt;&gt;Expired")&gt;0,"✓",IF(COUNTIFS('AFA Rates'!$A$5:$A$1004,$A711,'AFA Rates'!$B$5:$B$1004,J$23)&gt;0,"Exp","")))</f>
        <v/>
      </c>
      <c r="K711" s="79">
        <f>IF(OR($A711="",K$23=""),"",IF(COUNTIFS('AFA Rates'!$A$5:$A$1004,$A711,'AFA Rates'!$B$5:$B$1004,K$23,'AFA Rates'!$O$5:$O$1004,"&lt;&gt;Expired")&gt;0,"✓",IF(COUNTIFS('AFA Rates'!$A$5:$A$1004,$A711,'AFA Rates'!$B$5:$B$1004,K$23)&gt;0,"Exp","")))</f>
        <v/>
      </c>
      <c r="L711" s="79">
        <f>IF(OR($A711="",L$23=""),"",IF(COUNTIFS('AFA Rates'!$A$5:$A$1004,$A711,'AFA Rates'!$B$5:$B$1004,L$23,'AFA Rates'!$O$5:$O$1004,"&lt;&gt;Expired")&gt;0,"✓",IF(COUNTIFS('AFA Rates'!$A$5:$A$1004,$A711,'AFA Rates'!$B$5:$B$1004,L$23)&gt;0,"Exp","")))</f>
        <v/>
      </c>
      <c r="M711" s="79">
        <f>IF(OR($A711="",M$23=""),"",IF(COUNTIFS('AFA Rates'!$A$5:$A$1004,$A711,'AFA Rates'!$B$5:$B$1004,M$23,'AFA Rates'!$O$5:$O$1004,"&lt;&gt;Expired")&gt;0,"✓",IF(COUNTIFS('AFA Rates'!$A$5:$A$1004,$A711,'AFA Rates'!$B$5:$B$1004,M$23)&gt;0,"Exp","")))</f>
        <v/>
      </c>
    </row>
    <row r="712">
      <c r="A712" s="78">
        <f>IFERROR(INDEX(Firms!$A$5:$A$1004,MATCH(689,Firms!$V$5:$V$1004,0)),"")</f>
        <v/>
      </c>
      <c r="B712" s="79">
        <f>IF($A712="","",INDEX(Firms!$B$5:$B$1004,MATCH(689,Firms!$V$5:$V$1004,0)))</f>
        <v/>
      </c>
      <c r="C712" s="79">
        <f>IF($A712="","",COUNTIFS('AFA Rates'!$A$5:$A$1004,$A712,'AFA Rates'!$O$5:$O$1004,"&lt;&gt;Expired"))</f>
        <v/>
      </c>
      <c r="D712" s="79">
        <f>IF(OR($A712="",D$23=""),"",IF(COUNTIFS('AFA Rates'!$A$5:$A$1004,$A712,'AFA Rates'!$B$5:$B$1004,D$23,'AFA Rates'!$O$5:$O$1004,"&lt;&gt;Expired")&gt;0,"✓",IF(COUNTIFS('AFA Rates'!$A$5:$A$1004,$A712,'AFA Rates'!$B$5:$B$1004,D$23)&gt;0,"Exp","")))</f>
        <v/>
      </c>
      <c r="E712" s="79">
        <f>IF(OR($A712="",E$23=""),"",IF(COUNTIFS('AFA Rates'!$A$5:$A$1004,$A712,'AFA Rates'!$B$5:$B$1004,E$23,'AFA Rates'!$O$5:$O$1004,"&lt;&gt;Expired")&gt;0,"✓",IF(COUNTIFS('AFA Rates'!$A$5:$A$1004,$A712,'AFA Rates'!$B$5:$B$1004,E$23)&gt;0,"Exp","")))</f>
        <v/>
      </c>
      <c r="F712" s="79">
        <f>IF(OR($A712="",F$23=""),"",IF(COUNTIFS('AFA Rates'!$A$5:$A$1004,$A712,'AFA Rates'!$B$5:$B$1004,F$23,'AFA Rates'!$O$5:$O$1004,"&lt;&gt;Expired")&gt;0,"✓",IF(COUNTIFS('AFA Rates'!$A$5:$A$1004,$A712,'AFA Rates'!$B$5:$B$1004,F$23)&gt;0,"Exp","")))</f>
        <v/>
      </c>
      <c r="G712" s="79">
        <f>IF(OR($A712="",G$23=""),"",IF(COUNTIFS('AFA Rates'!$A$5:$A$1004,$A712,'AFA Rates'!$B$5:$B$1004,G$23,'AFA Rates'!$O$5:$O$1004,"&lt;&gt;Expired")&gt;0,"✓",IF(COUNTIFS('AFA Rates'!$A$5:$A$1004,$A712,'AFA Rates'!$B$5:$B$1004,G$23)&gt;0,"Exp","")))</f>
        <v/>
      </c>
      <c r="H712" s="79">
        <f>IF(OR($A712="",H$23=""),"",IF(COUNTIFS('AFA Rates'!$A$5:$A$1004,$A712,'AFA Rates'!$B$5:$B$1004,H$23,'AFA Rates'!$O$5:$O$1004,"&lt;&gt;Expired")&gt;0,"✓",IF(COUNTIFS('AFA Rates'!$A$5:$A$1004,$A712,'AFA Rates'!$B$5:$B$1004,H$23)&gt;0,"Exp","")))</f>
        <v/>
      </c>
      <c r="I712" s="79">
        <f>IF(OR($A712="",I$23=""),"",IF(COUNTIFS('AFA Rates'!$A$5:$A$1004,$A712,'AFA Rates'!$B$5:$B$1004,I$23,'AFA Rates'!$O$5:$O$1004,"&lt;&gt;Expired")&gt;0,"✓",IF(COUNTIFS('AFA Rates'!$A$5:$A$1004,$A712,'AFA Rates'!$B$5:$B$1004,I$23)&gt;0,"Exp","")))</f>
        <v/>
      </c>
      <c r="J712" s="79">
        <f>IF(OR($A712="",J$23=""),"",IF(COUNTIFS('AFA Rates'!$A$5:$A$1004,$A712,'AFA Rates'!$B$5:$B$1004,J$23,'AFA Rates'!$O$5:$O$1004,"&lt;&gt;Expired")&gt;0,"✓",IF(COUNTIFS('AFA Rates'!$A$5:$A$1004,$A712,'AFA Rates'!$B$5:$B$1004,J$23)&gt;0,"Exp","")))</f>
        <v/>
      </c>
      <c r="K712" s="79">
        <f>IF(OR($A712="",K$23=""),"",IF(COUNTIFS('AFA Rates'!$A$5:$A$1004,$A712,'AFA Rates'!$B$5:$B$1004,K$23,'AFA Rates'!$O$5:$O$1004,"&lt;&gt;Expired")&gt;0,"✓",IF(COUNTIFS('AFA Rates'!$A$5:$A$1004,$A712,'AFA Rates'!$B$5:$B$1004,K$23)&gt;0,"Exp","")))</f>
        <v/>
      </c>
      <c r="L712" s="79">
        <f>IF(OR($A712="",L$23=""),"",IF(COUNTIFS('AFA Rates'!$A$5:$A$1004,$A712,'AFA Rates'!$B$5:$B$1004,L$23,'AFA Rates'!$O$5:$O$1004,"&lt;&gt;Expired")&gt;0,"✓",IF(COUNTIFS('AFA Rates'!$A$5:$A$1004,$A712,'AFA Rates'!$B$5:$B$1004,L$23)&gt;0,"Exp","")))</f>
        <v/>
      </c>
      <c r="M712" s="79">
        <f>IF(OR($A712="",M$23=""),"",IF(COUNTIFS('AFA Rates'!$A$5:$A$1004,$A712,'AFA Rates'!$B$5:$B$1004,M$23,'AFA Rates'!$O$5:$O$1004,"&lt;&gt;Expired")&gt;0,"✓",IF(COUNTIFS('AFA Rates'!$A$5:$A$1004,$A712,'AFA Rates'!$B$5:$B$1004,M$23)&gt;0,"Exp","")))</f>
        <v/>
      </c>
    </row>
    <row r="713">
      <c r="A713" s="78">
        <f>IFERROR(INDEX(Firms!$A$5:$A$1004,MATCH(690,Firms!$V$5:$V$1004,0)),"")</f>
        <v/>
      </c>
      <c r="B713" s="79">
        <f>IF($A713="","",INDEX(Firms!$B$5:$B$1004,MATCH(690,Firms!$V$5:$V$1004,0)))</f>
        <v/>
      </c>
      <c r="C713" s="79">
        <f>IF($A713="","",COUNTIFS('AFA Rates'!$A$5:$A$1004,$A713,'AFA Rates'!$O$5:$O$1004,"&lt;&gt;Expired"))</f>
        <v/>
      </c>
      <c r="D713" s="79">
        <f>IF(OR($A713="",D$23=""),"",IF(COUNTIFS('AFA Rates'!$A$5:$A$1004,$A713,'AFA Rates'!$B$5:$B$1004,D$23,'AFA Rates'!$O$5:$O$1004,"&lt;&gt;Expired")&gt;0,"✓",IF(COUNTIFS('AFA Rates'!$A$5:$A$1004,$A713,'AFA Rates'!$B$5:$B$1004,D$23)&gt;0,"Exp","")))</f>
        <v/>
      </c>
      <c r="E713" s="79">
        <f>IF(OR($A713="",E$23=""),"",IF(COUNTIFS('AFA Rates'!$A$5:$A$1004,$A713,'AFA Rates'!$B$5:$B$1004,E$23,'AFA Rates'!$O$5:$O$1004,"&lt;&gt;Expired")&gt;0,"✓",IF(COUNTIFS('AFA Rates'!$A$5:$A$1004,$A713,'AFA Rates'!$B$5:$B$1004,E$23)&gt;0,"Exp","")))</f>
        <v/>
      </c>
      <c r="F713" s="79">
        <f>IF(OR($A713="",F$23=""),"",IF(COUNTIFS('AFA Rates'!$A$5:$A$1004,$A713,'AFA Rates'!$B$5:$B$1004,F$23,'AFA Rates'!$O$5:$O$1004,"&lt;&gt;Expired")&gt;0,"✓",IF(COUNTIFS('AFA Rates'!$A$5:$A$1004,$A713,'AFA Rates'!$B$5:$B$1004,F$23)&gt;0,"Exp","")))</f>
        <v/>
      </c>
      <c r="G713" s="79">
        <f>IF(OR($A713="",G$23=""),"",IF(COUNTIFS('AFA Rates'!$A$5:$A$1004,$A713,'AFA Rates'!$B$5:$B$1004,G$23,'AFA Rates'!$O$5:$O$1004,"&lt;&gt;Expired")&gt;0,"✓",IF(COUNTIFS('AFA Rates'!$A$5:$A$1004,$A713,'AFA Rates'!$B$5:$B$1004,G$23)&gt;0,"Exp","")))</f>
        <v/>
      </c>
      <c r="H713" s="79">
        <f>IF(OR($A713="",H$23=""),"",IF(COUNTIFS('AFA Rates'!$A$5:$A$1004,$A713,'AFA Rates'!$B$5:$B$1004,H$23,'AFA Rates'!$O$5:$O$1004,"&lt;&gt;Expired")&gt;0,"✓",IF(COUNTIFS('AFA Rates'!$A$5:$A$1004,$A713,'AFA Rates'!$B$5:$B$1004,H$23)&gt;0,"Exp","")))</f>
        <v/>
      </c>
      <c r="I713" s="79">
        <f>IF(OR($A713="",I$23=""),"",IF(COUNTIFS('AFA Rates'!$A$5:$A$1004,$A713,'AFA Rates'!$B$5:$B$1004,I$23,'AFA Rates'!$O$5:$O$1004,"&lt;&gt;Expired")&gt;0,"✓",IF(COUNTIFS('AFA Rates'!$A$5:$A$1004,$A713,'AFA Rates'!$B$5:$B$1004,I$23)&gt;0,"Exp","")))</f>
        <v/>
      </c>
      <c r="J713" s="79">
        <f>IF(OR($A713="",J$23=""),"",IF(COUNTIFS('AFA Rates'!$A$5:$A$1004,$A713,'AFA Rates'!$B$5:$B$1004,J$23,'AFA Rates'!$O$5:$O$1004,"&lt;&gt;Expired")&gt;0,"✓",IF(COUNTIFS('AFA Rates'!$A$5:$A$1004,$A713,'AFA Rates'!$B$5:$B$1004,J$23)&gt;0,"Exp","")))</f>
        <v/>
      </c>
      <c r="K713" s="79">
        <f>IF(OR($A713="",K$23=""),"",IF(COUNTIFS('AFA Rates'!$A$5:$A$1004,$A713,'AFA Rates'!$B$5:$B$1004,K$23,'AFA Rates'!$O$5:$O$1004,"&lt;&gt;Expired")&gt;0,"✓",IF(COUNTIFS('AFA Rates'!$A$5:$A$1004,$A713,'AFA Rates'!$B$5:$B$1004,K$23)&gt;0,"Exp","")))</f>
        <v/>
      </c>
      <c r="L713" s="79">
        <f>IF(OR($A713="",L$23=""),"",IF(COUNTIFS('AFA Rates'!$A$5:$A$1004,$A713,'AFA Rates'!$B$5:$B$1004,L$23,'AFA Rates'!$O$5:$O$1004,"&lt;&gt;Expired")&gt;0,"✓",IF(COUNTIFS('AFA Rates'!$A$5:$A$1004,$A713,'AFA Rates'!$B$5:$B$1004,L$23)&gt;0,"Exp","")))</f>
        <v/>
      </c>
      <c r="M713" s="79">
        <f>IF(OR($A713="",M$23=""),"",IF(COUNTIFS('AFA Rates'!$A$5:$A$1004,$A713,'AFA Rates'!$B$5:$B$1004,M$23,'AFA Rates'!$O$5:$O$1004,"&lt;&gt;Expired")&gt;0,"✓",IF(COUNTIFS('AFA Rates'!$A$5:$A$1004,$A713,'AFA Rates'!$B$5:$B$1004,M$23)&gt;0,"Exp","")))</f>
        <v/>
      </c>
    </row>
    <row r="714">
      <c r="A714" s="78">
        <f>IFERROR(INDEX(Firms!$A$5:$A$1004,MATCH(691,Firms!$V$5:$V$1004,0)),"")</f>
        <v/>
      </c>
      <c r="B714" s="79">
        <f>IF($A714="","",INDEX(Firms!$B$5:$B$1004,MATCH(691,Firms!$V$5:$V$1004,0)))</f>
        <v/>
      </c>
      <c r="C714" s="79">
        <f>IF($A714="","",COUNTIFS('AFA Rates'!$A$5:$A$1004,$A714,'AFA Rates'!$O$5:$O$1004,"&lt;&gt;Expired"))</f>
        <v/>
      </c>
      <c r="D714" s="79">
        <f>IF(OR($A714="",D$23=""),"",IF(COUNTIFS('AFA Rates'!$A$5:$A$1004,$A714,'AFA Rates'!$B$5:$B$1004,D$23,'AFA Rates'!$O$5:$O$1004,"&lt;&gt;Expired")&gt;0,"✓",IF(COUNTIFS('AFA Rates'!$A$5:$A$1004,$A714,'AFA Rates'!$B$5:$B$1004,D$23)&gt;0,"Exp","")))</f>
        <v/>
      </c>
      <c r="E714" s="79">
        <f>IF(OR($A714="",E$23=""),"",IF(COUNTIFS('AFA Rates'!$A$5:$A$1004,$A714,'AFA Rates'!$B$5:$B$1004,E$23,'AFA Rates'!$O$5:$O$1004,"&lt;&gt;Expired")&gt;0,"✓",IF(COUNTIFS('AFA Rates'!$A$5:$A$1004,$A714,'AFA Rates'!$B$5:$B$1004,E$23)&gt;0,"Exp","")))</f>
        <v/>
      </c>
      <c r="F714" s="79">
        <f>IF(OR($A714="",F$23=""),"",IF(COUNTIFS('AFA Rates'!$A$5:$A$1004,$A714,'AFA Rates'!$B$5:$B$1004,F$23,'AFA Rates'!$O$5:$O$1004,"&lt;&gt;Expired")&gt;0,"✓",IF(COUNTIFS('AFA Rates'!$A$5:$A$1004,$A714,'AFA Rates'!$B$5:$B$1004,F$23)&gt;0,"Exp","")))</f>
        <v/>
      </c>
      <c r="G714" s="79">
        <f>IF(OR($A714="",G$23=""),"",IF(COUNTIFS('AFA Rates'!$A$5:$A$1004,$A714,'AFA Rates'!$B$5:$B$1004,G$23,'AFA Rates'!$O$5:$O$1004,"&lt;&gt;Expired")&gt;0,"✓",IF(COUNTIFS('AFA Rates'!$A$5:$A$1004,$A714,'AFA Rates'!$B$5:$B$1004,G$23)&gt;0,"Exp","")))</f>
        <v/>
      </c>
      <c r="H714" s="79">
        <f>IF(OR($A714="",H$23=""),"",IF(COUNTIFS('AFA Rates'!$A$5:$A$1004,$A714,'AFA Rates'!$B$5:$B$1004,H$23,'AFA Rates'!$O$5:$O$1004,"&lt;&gt;Expired")&gt;0,"✓",IF(COUNTIFS('AFA Rates'!$A$5:$A$1004,$A714,'AFA Rates'!$B$5:$B$1004,H$23)&gt;0,"Exp","")))</f>
        <v/>
      </c>
      <c r="I714" s="79">
        <f>IF(OR($A714="",I$23=""),"",IF(COUNTIFS('AFA Rates'!$A$5:$A$1004,$A714,'AFA Rates'!$B$5:$B$1004,I$23,'AFA Rates'!$O$5:$O$1004,"&lt;&gt;Expired")&gt;0,"✓",IF(COUNTIFS('AFA Rates'!$A$5:$A$1004,$A714,'AFA Rates'!$B$5:$B$1004,I$23)&gt;0,"Exp","")))</f>
        <v/>
      </c>
      <c r="J714" s="79">
        <f>IF(OR($A714="",J$23=""),"",IF(COUNTIFS('AFA Rates'!$A$5:$A$1004,$A714,'AFA Rates'!$B$5:$B$1004,J$23,'AFA Rates'!$O$5:$O$1004,"&lt;&gt;Expired")&gt;0,"✓",IF(COUNTIFS('AFA Rates'!$A$5:$A$1004,$A714,'AFA Rates'!$B$5:$B$1004,J$23)&gt;0,"Exp","")))</f>
        <v/>
      </c>
      <c r="K714" s="79">
        <f>IF(OR($A714="",K$23=""),"",IF(COUNTIFS('AFA Rates'!$A$5:$A$1004,$A714,'AFA Rates'!$B$5:$B$1004,K$23,'AFA Rates'!$O$5:$O$1004,"&lt;&gt;Expired")&gt;0,"✓",IF(COUNTIFS('AFA Rates'!$A$5:$A$1004,$A714,'AFA Rates'!$B$5:$B$1004,K$23)&gt;0,"Exp","")))</f>
        <v/>
      </c>
      <c r="L714" s="79">
        <f>IF(OR($A714="",L$23=""),"",IF(COUNTIFS('AFA Rates'!$A$5:$A$1004,$A714,'AFA Rates'!$B$5:$B$1004,L$23,'AFA Rates'!$O$5:$O$1004,"&lt;&gt;Expired")&gt;0,"✓",IF(COUNTIFS('AFA Rates'!$A$5:$A$1004,$A714,'AFA Rates'!$B$5:$B$1004,L$23)&gt;0,"Exp","")))</f>
        <v/>
      </c>
      <c r="M714" s="79">
        <f>IF(OR($A714="",M$23=""),"",IF(COUNTIFS('AFA Rates'!$A$5:$A$1004,$A714,'AFA Rates'!$B$5:$B$1004,M$23,'AFA Rates'!$O$5:$O$1004,"&lt;&gt;Expired")&gt;0,"✓",IF(COUNTIFS('AFA Rates'!$A$5:$A$1004,$A714,'AFA Rates'!$B$5:$B$1004,M$23)&gt;0,"Exp","")))</f>
        <v/>
      </c>
    </row>
    <row r="715">
      <c r="A715" s="78">
        <f>IFERROR(INDEX(Firms!$A$5:$A$1004,MATCH(692,Firms!$V$5:$V$1004,0)),"")</f>
        <v/>
      </c>
      <c r="B715" s="79">
        <f>IF($A715="","",INDEX(Firms!$B$5:$B$1004,MATCH(692,Firms!$V$5:$V$1004,0)))</f>
        <v/>
      </c>
      <c r="C715" s="79">
        <f>IF($A715="","",COUNTIFS('AFA Rates'!$A$5:$A$1004,$A715,'AFA Rates'!$O$5:$O$1004,"&lt;&gt;Expired"))</f>
        <v/>
      </c>
      <c r="D715" s="79">
        <f>IF(OR($A715="",D$23=""),"",IF(COUNTIFS('AFA Rates'!$A$5:$A$1004,$A715,'AFA Rates'!$B$5:$B$1004,D$23,'AFA Rates'!$O$5:$O$1004,"&lt;&gt;Expired")&gt;0,"✓",IF(COUNTIFS('AFA Rates'!$A$5:$A$1004,$A715,'AFA Rates'!$B$5:$B$1004,D$23)&gt;0,"Exp","")))</f>
        <v/>
      </c>
      <c r="E715" s="79">
        <f>IF(OR($A715="",E$23=""),"",IF(COUNTIFS('AFA Rates'!$A$5:$A$1004,$A715,'AFA Rates'!$B$5:$B$1004,E$23,'AFA Rates'!$O$5:$O$1004,"&lt;&gt;Expired")&gt;0,"✓",IF(COUNTIFS('AFA Rates'!$A$5:$A$1004,$A715,'AFA Rates'!$B$5:$B$1004,E$23)&gt;0,"Exp","")))</f>
        <v/>
      </c>
      <c r="F715" s="79">
        <f>IF(OR($A715="",F$23=""),"",IF(COUNTIFS('AFA Rates'!$A$5:$A$1004,$A715,'AFA Rates'!$B$5:$B$1004,F$23,'AFA Rates'!$O$5:$O$1004,"&lt;&gt;Expired")&gt;0,"✓",IF(COUNTIFS('AFA Rates'!$A$5:$A$1004,$A715,'AFA Rates'!$B$5:$B$1004,F$23)&gt;0,"Exp","")))</f>
        <v/>
      </c>
      <c r="G715" s="79">
        <f>IF(OR($A715="",G$23=""),"",IF(COUNTIFS('AFA Rates'!$A$5:$A$1004,$A715,'AFA Rates'!$B$5:$B$1004,G$23,'AFA Rates'!$O$5:$O$1004,"&lt;&gt;Expired")&gt;0,"✓",IF(COUNTIFS('AFA Rates'!$A$5:$A$1004,$A715,'AFA Rates'!$B$5:$B$1004,G$23)&gt;0,"Exp","")))</f>
        <v/>
      </c>
      <c r="H715" s="79">
        <f>IF(OR($A715="",H$23=""),"",IF(COUNTIFS('AFA Rates'!$A$5:$A$1004,$A715,'AFA Rates'!$B$5:$B$1004,H$23,'AFA Rates'!$O$5:$O$1004,"&lt;&gt;Expired")&gt;0,"✓",IF(COUNTIFS('AFA Rates'!$A$5:$A$1004,$A715,'AFA Rates'!$B$5:$B$1004,H$23)&gt;0,"Exp","")))</f>
        <v/>
      </c>
      <c r="I715" s="79">
        <f>IF(OR($A715="",I$23=""),"",IF(COUNTIFS('AFA Rates'!$A$5:$A$1004,$A715,'AFA Rates'!$B$5:$B$1004,I$23,'AFA Rates'!$O$5:$O$1004,"&lt;&gt;Expired")&gt;0,"✓",IF(COUNTIFS('AFA Rates'!$A$5:$A$1004,$A715,'AFA Rates'!$B$5:$B$1004,I$23)&gt;0,"Exp","")))</f>
        <v/>
      </c>
      <c r="J715" s="79">
        <f>IF(OR($A715="",J$23=""),"",IF(COUNTIFS('AFA Rates'!$A$5:$A$1004,$A715,'AFA Rates'!$B$5:$B$1004,J$23,'AFA Rates'!$O$5:$O$1004,"&lt;&gt;Expired")&gt;0,"✓",IF(COUNTIFS('AFA Rates'!$A$5:$A$1004,$A715,'AFA Rates'!$B$5:$B$1004,J$23)&gt;0,"Exp","")))</f>
        <v/>
      </c>
      <c r="K715" s="79">
        <f>IF(OR($A715="",K$23=""),"",IF(COUNTIFS('AFA Rates'!$A$5:$A$1004,$A715,'AFA Rates'!$B$5:$B$1004,K$23,'AFA Rates'!$O$5:$O$1004,"&lt;&gt;Expired")&gt;0,"✓",IF(COUNTIFS('AFA Rates'!$A$5:$A$1004,$A715,'AFA Rates'!$B$5:$B$1004,K$23)&gt;0,"Exp","")))</f>
        <v/>
      </c>
      <c r="L715" s="79">
        <f>IF(OR($A715="",L$23=""),"",IF(COUNTIFS('AFA Rates'!$A$5:$A$1004,$A715,'AFA Rates'!$B$5:$B$1004,L$23,'AFA Rates'!$O$5:$O$1004,"&lt;&gt;Expired")&gt;0,"✓",IF(COUNTIFS('AFA Rates'!$A$5:$A$1004,$A715,'AFA Rates'!$B$5:$B$1004,L$23)&gt;0,"Exp","")))</f>
        <v/>
      </c>
      <c r="M715" s="79">
        <f>IF(OR($A715="",M$23=""),"",IF(COUNTIFS('AFA Rates'!$A$5:$A$1004,$A715,'AFA Rates'!$B$5:$B$1004,M$23,'AFA Rates'!$O$5:$O$1004,"&lt;&gt;Expired")&gt;0,"✓",IF(COUNTIFS('AFA Rates'!$A$5:$A$1004,$A715,'AFA Rates'!$B$5:$B$1004,M$23)&gt;0,"Exp","")))</f>
        <v/>
      </c>
    </row>
    <row r="716">
      <c r="A716" s="78">
        <f>IFERROR(INDEX(Firms!$A$5:$A$1004,MATCH(693,Firms!$V$5:$V$1004,0)),"")</f>
        <v/>
      </c>
      <c r="B716" s="79">
        <f>IF($A716="","",INDEX(Firms!$B$5:$B$1004,MATCH(693,Firms!$V$5:$V$1004,0)))</f>
        <v/>
      </c>
      <c r="C716" s="79">
        <f>IF($A716="","",COUNTIFS('AFA Rates'!$A$5:$A$1004,$A716,'AFA Rates'!$O$5:$O$1004,"&lt;&gt;Expired"))</f>
        <v/>
      </c>
      <c r="D716" s="79">
        <f>IF(OR($A716="",D$23=""),"",IF(COUNTIFS('AFA Rates'!$A$5:$A$1004,$A716,'AFA Rates'!$B$5:$B$1004,D$23,'AFA Rates'!$O$5:$O$1004,"&lt;&gt;Expired")&gt;0,"✓",IF(COUNTIFS('AFA Rates'!$A$5:$A$1004,$A716,'AFA Rates'!$B$5:$B$1004,D$23)&gt;0,"Exp","")))</f>
        <v/>
      </c>
      <c r="E716" s="79">
        <f>IF(OR($A716="",E$23=""),"",IF(COUNTIFS('AFA Rates'!$A$5:$A$1004,$A716,'AFA Rates'!$B$5:$B$1004,E$23,'AFA Rates'!$O$5:$O$1004,"&lt;&gt;Expired")&gt;0,"✓",IF(COUNTIFS('AFA Rates'!$A$5:$A$1004,$A716,'AFA Rates'!$B$5:$B$1004,E$23)&gt;0,"Exp","")))</f>
        <v/>
      </c>
      <c r="F716" s="79">
        <f>IF(OR($A716="",F$23=""),"",IF(COUNTIFS('AFA Rates'!$A$5:$A$1004,$A716,'AFA Rates'!$B$5:$B$1004,F$23,'AFA Rates'!$O$5:$O$1004,"&lt;&gt;Expired")&gt;0,"✓",IF(COUNTIFS('AFA Rates'!$A$5:$A$1004,$A716,'AFA Rates'!$B$5:$B$1004,F$23)&gt;0,"Exp","")))</f>
        <v/>
      </c>
      <c r="G716" s="79">
        <f>IF(OR($A716="",G$23=""),"",IF(COUNTIFS('AFA Rates'!$A$5:$A$1004,$A716,'AFA Rates'!$B$5:$B$1004,G$23,'AFA Rates'!$O$5:$O$1004,"&lt;&gt;Expired")&gt;0,"✓",IF(COUNTIFS('AFA Rates'!$A$5:$A$1004,$A716,'AFA Rates'!$B$5:$B$1004,G$23)&gt;0,"Exp","")))</f>
        <v/>
      </c>
      <c r="H716" s="79">
        <f>IF(OR($A716="",H$23=""),"",IF(COUNTIFS('AFA Rates'!$A$5:$A$1004,$A716,'AFA Rates'!$B$5:$B$1004,H$23,'AFA Rates'!$O$5:$O$1004,"&lt;&gt;Expired")&gt;0,"✓",IF(COUNTIFS('AFA Rates'!$A$5:$A$1004,$A716,'AFA Rates'!$B$5:$B$1004,H$23)&gt;0,"Exp","")))</f>
        <v/>
      </c>
      <c r="I716" s="79">
        <f>IF(OR($A716="",I$23=""),"",IF(COUNTIFS('AFA Rates'!$A$5:$A$1004,$A716,'AFA Rates'!$B$5:$B$1004,I$23,'AFA Rates'!$O$5:$O$1004,"&lt;&gt;Expired")&gt;0,"✓",IF(COUNTIFS('AFA Rates'!$A$5:$A$1004,$A716,'AFA Rates'!$B$5:$B$1004,I$23)&gt;0,"Exp","")))</f>
        <v/>
      </c>
      <c r="J716" s="79">
        <f>IF(OR($A716="",J$23=""),"",IF(COUNTIFS('AFA Rates'!$A$5:$A$1004,$A716,'AFA Rates'!$B$5:$B$1004,J$23,'AFA Rates'!$O$5:$O$1004,"&lt;&gt;Expired")&gt;0,"✓",IF(COUNTIFS('AFA Rates'!$A$5:$A$1004,$A716,'AFA Rates'!$B$5:$B$1004,J$23)&gt;0,"Exp","")))</f>
        <v/>
      </c>
      <c r="K716" s="79">
        <f>IF(OR($A716="",K$23=""),"",IF(COUNTIFS('AFA Rates'!$A$5:$A$1004,$A716,'AFA Rates'!$B$5:$B$1004,K$23,'AFA Rates'!$O$5:$O$1004,"&lt;&gt;Expired")&gt;0,"✓",IF(COUNTIFS('AFA Rates'!$A$5:$A$1004,$A716,'AFA Rates'!$B$5:$B$1004,K$23)&gt;0,"Exp","")))</f>
        <v/>
      </c>
      <c r="L716" s="79">
        <f>IF(OR($A716="",L$23=""),"",IF(COUNTIFS('AFA Rates'!$A$5:$A$1004,$A716,'AFA Rates'!$B$5:$B$1004,L$23,'AFA Rates'!$O$5:$O$1004,"&lt;&gt;Expired")&gt;0,"✓",IF(COUNTIFS('AFA Rates'!$A$5:$A$1004,$A716,'AFA Rates'!$B$5:$B$1004,L$23)&gt;0,"Exp","")))</f>
        <v/>
      </c>
      <c r="M716" s="79">
        <f>IF(OR($A716="",M$23=""),"",IF(COUNTIFS('AFA Rates'!$A$5:$A$1004,$A716,'AFA Rates'!$B$5:$B$1004,M$23,'AFA Rates'!$O$5:$O$1004,"&lt;&gt;Expired")&gt;0,"✓",IF(COUNTIFS('AFA Rates'!$A$5:$A$1004,$A716,'AFA Rates'!$B$5:$B$1004,M$23)&gt;0,"Exp","")))</f>
        <v/>
      </c>
    </row>
    <row r="717">
      <c r="A717" s="78">
        <f>IFERROR(INDEX(Firms!$A$5:$A$1004,MATCH(694,Firms!$V$5:$V$1004,0)),"")</f>
        <v/>
      </c>
      <c r="B717" s="79">
        <f>IF($A717="","",INDEX(Firms!$B$5:$B$1004,MATCH(694,Firms!$V$5:$V$1004,0)))</f>
        <v/>
      </c>
      <c r="C717" s="79">
        <f>IF($A717="","",COUNTIFS('AFA Rates'!$A$5:$A$1004,$A717,'AFA Rates'!$O$5:$O$1004,"&lt;&gt;Expired"))</f>
        <v/>
      </c>
      <c r="D717" s="79">
        <f>IF(OR($A717="",D$23=""),"",IF(COUNTIFS('AFA Rates'!$A$5:$A$1004,$A717,'AFA Rates'!$B$5:$B$1004,D$23,'AFA Rates'!$O$5:$O$1004,"&lt;&gt;Expired")&gt;0,"✓",IF(COUNTIFS('AFA Rates'!$A$5:$A$1004,$A717,'AFA Rates'!$B$5:$B$1004,D$23)&gt;0,"Exp","")))</f>
        <v/>
      </c>
      <c r="E717" s="79">
        <f>IF(OR($A717="",E$23=""),"",IF(COUNTIFS('AFA Rates'!$A$5:$A$1004,$A717,'AFA Rates'!$B$5:$B$1004,E$23,'AFA Rates'!$O$5:$O$1004,"&lt;&gt;Expired")&gt;0,"✓",IF(COUNTIFS('AFA Rates'!$A$5:$A$1004,$A717,'AFA Rates'!$B$5:$B$1004,E$23)&gt;0,"Exp","")))</f>
        <v/>
      </c>
      <c r="F717" s="79">
        <f>IF(OR($A717="",F$23=""),"",IF(COUNTIFS('AFA Rates'!$A$5:$A$1004,$A717,'AFA Rates'!$B$5:$B$1004,F$23,'AFA Rates'!$O$5:$O$1004,"&lt;&gt;Expired")&gt;0,"✓",IF(COUNTIFS('AFA Rates'!$A$5:$A$1004,$A717,'AFA Rates'!$B$5:$B$1004,F$23)&gt;0,"Exp","")))</f>
        <v/>
      </c>
      <c r="G717" s="79">
        <f>IF(OR($A717="",G$23=""),"",IF(COUNTIFS('AFA Rates'!$A$5:$A$1004,$A717,'AFA Rates'!$B$5:$B$1004,G$23,'AFA Rates'!$O$5:$O$1004,"&lt;&gt;Expired")&gt;0,"✓",IF(COUNTIFS('AFA Rates'!$A$5:$A$1004,$A717,'AFA Rates'!$B$5:$B$1004,G$23)&gt;0,"Exp","")))</f>
        <v/>
      </c>
      <c r="H717" s="79">
        <f>IF(OR($A717="",H$23=""),"",IF(COUNTIFS('AFA Rates'!$A$5:$A$1004,$A717,'AFA Rates'!$B$5:$B$1004,H$23,'AFA Rates'!$O$5:$O$1004,"&lt;&gt;Expired")&gt;0,"✓",IF(COUNTIFS('AFA Rates'!$A$5:$A$1004,$A717,'AFA Rates'!$B$5:$B$1004,H$23)&gt;0,"Exp","")))</f>
        <v/>
      </c>
      <c r="I717" s="79">
        <f>IF(OR($A717="",I$23=""),"",IF(COUNTIFS('AFA Rates'!$A$5:$A$1004,$A717,'AFA Rates'!$B$5:$B$1004,I$23,'AFA Rates'!$O$5:$O$1004,"&lt;&gt;Expired")&gt;0,"✓",IF(COUNTIFS('AFA Rates'!$A$5:$A$1004,$A717,'AFA Rates'!$B$5:$B$1004,I$23)&gt;0,"Exp","")))</f>
        <v/>
      </c>
      <c r="J717" s="79">
        <f>IF(OR($A717="",J$23=""),"",IF(COUNTIFS('AFA Rates'!$A$5:$A$1004,$A717,'AFA Rates'!$B$5:$B$1004,J$23,'AFA Rates'!$O$5:$O$1004,"&lt;&gt;Expired")&gt;0,"✓",IF(COUNTIFS('AFA Rates'!$A$5:$A$1004,$A717,'AFA Rates'!$B$5:$B$1004,J$23)&gt;0,"Exp","")))</f>
        <v/>
      </c>
      <c r="K717" s="79">
        <f>IF(OR($A717="",K$23=""),"",IF(COUNTIFS('AFA Rates'!$A$5:$A$1004,$A717,'AFA Rates'!$B$5:$B$1004,K$23,'AFA Rates'!$O$5:$O$1004,"&lt;&gt;Expired")&gt;0,"✓",IF(COUNTIFS('AFA Rates'!$A$5:$A$1004,$A717,'AFA Rates'!$B$5:$B$1004,K$23)&gt;0,"Exp","")))</f>
        <v/>
      </c>
      <c r="L717" s="79">
        <f>IF(OR($A717="",L$23=""),"",IF(COUNTIFS('AFA Rates'!$A$5:$A$1004,$A717,'AFA Rates'!$B$5:$B$1004,L$23,'AFA Rates'!$O$5:$O$1004,"&lt;&gt;Expired")&gt;0,"✓",IF(COUNTIFS('AFA Rates'!$A$5:$A$1004,$A717,'AFA Rates'!$B$5:$B$1004,L$23)&gt;0,"Exp","")))</f>
        <v/>
      </c>
      <c r="M717" s="79">
        <f>IF(OR($A717="",M$23=""),"",IF(COUNTIFS('AFA Rates'!$A$5:$A$1004,$A717,'AFA Rates'!$B$5:$B$1004,M$23,'AFA Rates'!$O$5:$O$1004,"&lt;&gt;Expired")&gt;0,"✓",IF(COUNTIFS('AFA Rates'!$A$5:$A$1004,$A717,'AFA Rates'!$B$5:$B$1004,M$23)&gt;0,"Exp","")))</f>
        <v/>
      </c>
    </row>
    <row r="718">
      <c r="A718" s="78">
        <f>IFERROR(INDEX(Firms!$A$5:$A$1004,MATCH(695,Firms!$V$5:$V$1004,0)),"")</f>
        <v/>
      </c>
      <c r="B718" s="79">
        <f>IF($A718="","",INDEX(Firms!$B$5:$B$1004,MATCH(695,Firms!$V$5:$V$1004,0)))</f>
        <v/>
      </c>
      <c r="C718" s="79">
        <f>IF($A718="","",COUNTIFS('AFA Rates'!$A$5:$A$1004,$A718,'AFA Rates'!$O$5:$O$1004,"&lt;&gt;Expired"))</f>
        <v/>
      </c>
      <c r="D718" s="79">
        <f>IF(OR($A718="",D$23=""),"",IF(COUNTIFS('AFA Rates'!$A$5:$A$1004,$A718,'AFA Rates'!$B$5:$B$1004,D$23,'AFA Rates'!$O$5:$O$1004,"&lt;&gt;Expired")&gt;0,"✓",IF(COUNTIFS('AFA Rates'!$A$5:$A$1004,$A718,'AFA Rates'!$B$5:$B$1004,D$23)&gt;0,"Exp","")))</f>
        <v/>
      </c>
      <c r="E718" s="79">
        <f>IF(OR($A718="",E$23=""),"",IF(COUNTIFS('AFA Rates'!$A$5:$A$1004,$A718,'AFA Rates'!$B$5:$B$1004,E$23,'AFA Rates'!$O$5:$O$1004,"&lt;&gt;Expired")&gt;0,"✓",IF(COUNTIFS('AFA Rates'!$A$5:$A$1004,$A718,'AFA Rates'!$B$5:$B$1004,E$23)&gt;0,"Exp","")))</f>
        <v/>
      </c>
      <c r="F718" s="79">
        <f>IF(OR($A718="",F$23=""),"",IF(COUNTIFS('AFA Rates'!$A$5:$A$1004,$A718,'AFA Rates'!$B$5:$B$1004,F$23,'AFA Rates'!$O$5:$O$1004,"&lt;&gt;Expired")&gt;0,"✓",IF(COUNTIFS('AFA Rates'!$A$5:$A$1004,$A718,'AFA Rates'!$B$5:$B$1004,F$23)&gt;0,"Exp","")))</f>
        <v/>
      </c>
      <c r="G718" s="79">
        <f>IF(OR($A718="",G$23=""),"",IF(COUNTIFS('AFA Rates'!$A$5:$A$1004,$A718,'AFA Rates'!$B$5:$B$1004,G$23,'AFA Rates'!$O$5:$O$1004,"&lt;&gt;Expired")&gt;0,"✓",IF(COUNTIFS('AFA Rates'!$A$5:$A$1004,$A718,'AFA Rates'!$B$5:$B$1004,G$23)&gt;0,"Exp","")))</f>
        <v/>
      </c>
      <c r="H718" s="79">
        <f>IF(OR($A718="",H$23=""),"",IF(COUNTIFS('AFA Rates'!$A$5:$A$1004,$A718,'AFA Rates'!$B$5:$B$1004,H$23,'AFA Rates'!$O$5:$O$1004,"&lt;&gt;Expired")&gt;0,"✓",IF(COUNTIFS('AFA Rates'!$A$5:$A$1004,$A718,'AFA Rates'!$B$5:$B$1004,H$23)&gt;0,"Exp","")))</f>
        <v/>
      </c>
      <c r="I718" s="79">
        <f>IF(OR($A718="",I$23=""),"",IF(COUNTIFS('AFA Rates'!$A$5:$A$1004,$A718,'AFA Rates'!$B$5:$B$1004,I$23,'AFA Rates'!$O$5:$O$1004,"&lt;&gt;Expired")&gt;0,"✓",IF(COUNTIFS('AFA Rates'!$A$5:$A$1004,$A718,'AFA Rates'!$B$5:$B$1004,I$23)&gt;0,"Exp","")))</f>
        <v/>
      </c>
      <c r="J718" s="79">
        <f>IF(OR($A718="",J$23=""),"",IF(COUNTIFS('AFA Rates'!$A$5:$A$1004,$A718,'AFA Rates'!$B$5:$B$1004,J$23,'AFA Rates'!$O$5:$O$1004,"&lt;&gt;Expired")&gt;0,"✓",IF(COUNTIFS('AFA Rates'!$A$5:$A$1004,$A718,'AFA Rates'!$B$5:$B$1004,J$23)&gt;0,"Exp","")))</f>
        <v/>
      </c>
      <c r="K718" s="79">
        <f>IF(OR($A718="",K$23=""),"",IF(COUNTIFS('AFA Rates'!$A$5:$A$1004,$A718,'AFA Rates'!$B$5:$B$1004,K$23,'AFA Rates'!$O$5:$O$1004,"&lt;&gt;Expired")&gt;0,"✓",IF(COUNTIFS('AFA Rates'!$A$5:$A$1004,$A718,'AFA Rates'!$B$5:$B$1004,K$23)&gt;0,"Exp","")))</f>
        <v/>
      </c>
      <c r="L718" s="79">
        <f>IF(OR($A718="",L$23=""),"",IF(COUNTIFS('AFA Rates'!$A$5:$A$1004,$A718,'AFA Rates'!$B$5:$B$1004,L$23,'AFA Rates'!$O$5:$O$1004,"&lt;&gt;Expired")&gt;0,"✓",IF(COUNTIFS('AFA Rates'!$A$5:$A$1004,$A718,'AFA Rates'!$B$5:$B$1004,L$23)&gt;0,"Exp","")))</f>
        <v/>
      </c>
      <c r="M718" s="79">
        <f>IF(OR($A718="",M$23=""),"",IF(COUNTIFS('AFA Rates'!$A$5:$A$1004,$A718,'AFA Rates'!$B$5:$B$1004,M$23,'AFA Rates'!$O$5:$O$1004,"&lt;&gt;Expired")&gt;0,"✓",IF(COUNTIFS('AFA Rates'!$A$5:$A$1004,$A718,'AFA Rates'!$B$5:$B$1004,M$23)&gt;0,"Exp","")))</f>
        <v/>
      </c>
    </row>
    <row r="719">
      <c r="A719" s="78">
        <f>IFERROR(INDEX(Firms!$A$5:$A$1004,MATCH(696,Firms!$V$5:$V$1004,0)),"")</f>
        <v/>
      </c>
      <c r="B719" s="79">
        <f>IF($A719="","",INDEX(Firms!$B$5:$B$1004,MATCH(696,Firms!$V$5:$V$1004,0)))</f>
        <v/>
      </c>
      <c r="C719" s="79">
        <f>IF($A719="","",COUNTIFS('AFA Rates'!$A$5:$A$1004,$A719,'AFA Rates'!$O$5:$O$1004,"&lt;&gt;Expired"))</f>
        <v/>
      </c>
      <c r="D719" s="79">
        <f>IF(OR($A719="",D$23=""),"",IF(COUNTIFS('AFA Rates'!$A$5:$A$1004,$A719,'AFA Rates'!$B$5:$B$1004,D$23,'AFA Rates'!$O$5:$O$1004,"&lt;&gt;Expired")&gt;0,"✓",IF(COUNTIFS('AFA Rates'!$A$5:$A$1004,$A719,'AFA Rates'!$B$5:$B$1004,D$23)&gt;0,"Exp","")))</f>
        <v/>
      </c>
      <c r="E719" s="79">
        <f>IF(OR($A719="",E$23=""),"",IF(COUNTIFS('AFA Rates'!$A$5:$A$1004,$A719,'AFA Rates'!$B$5:$B$1004,E$23,'AFA Rates'!$O$5:$O$1004,"&lt;&gt;Expired")&gt;0,"✓",IF(COUNTIFS('AFA Rates'!$A$5:$A$1004,$A719,'AFA Rates'!$B$5:$B$1004,E$23)&gt;0,"Exp","")))</f>
        <v/>
      </c>
      <c r="F719" s="79">
        <f>IF(OR($A719="",F$23=""),"",IF(COUNTIFS('AFA Rates'!$A$5:$A$1004,$A719,'AFA Rates'!$B$5:$B$1004,F$23,'AFA Rates'!$O$5:$O$1004,"&lt;&gt;Expired")&gt;0,"✓",IF(COUNTIFS('AFA Rates'!$A$5:$A$1004,$A719,'AFA Rates'!$B$5:$B$1004,F$23)&gt;0,"Exp","")))</f>
        <v/>
      </c>
      <c r="G719" s="79">
        <f>IF(OR($A719="",G$23=""),"",IF(COUNTIFS('AFA Rates'!$A$5:$A$1004,$A719,'AFA Rates'!$B$5:$B$1004,G$23,'AFA Rates'!$O$5:$O$1004,"&lt;&gt;Expired")&gt;0,"✓",IF(COUNTIFS('AFA Rates'!$A$5:$A$1004,$A719,'AFA Rates'!$B$5:$B$1004,G$23)&gt;0,"Exp","")))</f>
        <v/>
      </c>
      <c r="H719" s="79">
        <f>IF(OR($A719="",H$23=""),"",IF(COUNTIFS('AFA Rates'!$A$5:$A$1004,$A719,'AFA Rates'!$B$5:$B$1004,H$23,'AFA Rates'!$O$5:$O$1004,"&lt;&gt;Expired")&gt;0,"✓",IF(COUNTIFS('AFA Rates'!$A$5:$A$1004,$A719,'AFA Rates'!$B$5:$B$1004,H$23)&gt;0,"Exp","")))</f>
        <v/>
      </c>
      <c r="I719" s="79">
        <f>IF(OR($A719="",I$23=""),"",IF(COUNTIFS('AFA Rates'!$A$5:$A$1004,$A719,'AFA Rates'!$B$5:$B$1004,I$23,'AFA Rates'!$O$5:$O$1004,"&lt;&gt;Expired")&gt;0,"✓",IF(COUNTIFS('AFA Rates'!$A$5:$A$1004,$A719,'AFA Rates'!$B$5:$B$1004,I$23)&gt;0,"Exp","")))</f>
        <v/>
      </c>
      <c r="J719" s="79">
        <f>IF(OR($A719="",J$23=""),"",IF(COUNTIFS('AFA Rates'!$A$5:$A$1004,$A719,'AFA Rates'!$B$5:$B$1004,J$23,'AFA Rates'!$O$5:$O$1004,"&lt;&gt;Expired")&gt;0,"✓",IF(COUNTIFS('AFA Rates'!$A$5:$A$1004,$A719,'AFA Rates'!$B$5:$B$1004,J$23)&gt;0,"Exp","")))</f>
        <v/>
      </c>
      <c r="K719" s="79">
        <f>IF(OR($A719="",K$23=""),"",IF(COUNTIFS('AFA Rates'!$A$5:$A$1004,$A719,'AFA Rates'!$B$5:$B$1004,K$23,'AFA Rates'!$O$5:$O$1004,"&lt;&gt;Expired")&gt;0,"✓",IF(COUNTIFS('AFA Rates'!$A$5:$A$1004,$A719,'AFA Rates'!$B$5:$B$1004,K$23)&gt;0,"Exp","")))</f>
        <v/>
      </c>
      <c r="L719" s="79">
        <f>IF(OR($A719="",L$23=""),"",IF(COUNTIFS('AFA Rates'!$A$5:$A$1004,$A719,'AFA Rates'!$B$5:$B$1004,L$23,'AFA Rates'!$O$5:$O$1004,"&lt;&gt;Expired")&gt;0,"✓",IF(COUNTIFS('AFA Rates'!$A$5:$A$1004,$A719,'AFA Rates'!$B$5:$B$1004,L$23)&gt;0,"Exp","")))</f>
        <v/>
      </c>
      <c r="M719" s="79">
        <f>IF(OR($A719="",M$23=""),"",IF(COUNTIFS('AFA Rates'!$A$5:$A$1004,$A719,'AFA Rates'!$B$5:$B$1004,M$23,'AFA Rates'!$O$5:$O$1004,"&lt;&gt;Expired")&gt;0,"✓",IF(COUNTIFS('AFA Rates'!$A$5:$A$1004,$A719,'AFA Rates'!$B$5:$B$1004,M$23)&gt;0,"Exp","")))</f>
        <v/>
      </c>
    </row>
    <row r="720">
      <c r="A720" s="78">
        <f>IFERROR(INDEX(Firms!$A$5:$A$1004,MATCH(697,Firms!$V$5:$V$1004,0)),"")</f>
        <v/>
      </c>
      <c r="B720" s="79">
        <f>IF($A720="","",INDEX(Firms!$B$5:$B$1004,MATCH(697,Firms!$V$5:$V$1004,0)))</f>
        <v/>
      </c>
      <c r="C720" s="79">
        <f>IF($A720="","",COUNTIFS('AFA Rates'!$A$5:$A$1004,$A720,'AFA Rates'!$O$5:$O$1004,"&lt;&gt;Expired"))</f>
        <v/>
      </c>
      <c r="D720" s="79">
        <f>IF(OR($A720="",D$23=""),"",IF(COUNTIFS('AFA Rates'!$A$5:$A$1004,$A720,'AFA Rates'!$B$5:$B$1004,D$23,'AFA Rates'!$O$5:$O$1004,"&lt;&gt;Expired")&gt;0,"✓",IF(COUNTIFS('AFA Rates'!$A$5:$A$1004,$A720,'AFA Rates'!$B$5:$B$1004,D$23)&gt;0,"Exp","")))</f>
        <v/>
      </c>
      <c r="E720" s="79">
        <f>IF(OR($A720="",E$23=""),"",IF(COUNTIFS('AFA Rates'!$A$5:$A$1004,$A720,'AFA Rates'!$B$5:$B$1004,E$23,'AFA Rates'!$O$5:$O$1004,"&lt;&gt;Expired")&gt;0,"✓",IF(COUNTIFS('AFA Rates'!$A$5:$A$1004,$A720,'AFA Rates'!$B$5:$B$1004,E$23)&gt;0,"Exp","")))</f>
        <v/>
      </c>
      <c r="F720" s="79">
        <f>IF(OR($A720="",F$23=""),"",IF(COUNTIFS('AFA Rates'!$A$5:$A$1004,$A720,'AFA Rates'!$B$5:$B$1004,F$23,'AFA Rates'!$O$5:$O$1004,"&lt;&gt;Expired")&gt;0,"✓",IF(COUNTIFS('AFA Rates'!$A$5:$A$1004,$A720,'AFA Rates'!$B$5:$B$1004,F$23)&gt;0,"Exp","")))</f>
        <v/>
      </c>
      <c r="G720" s="79">
        <f>IF(OR($A720="",G$23=""),"",IF(COUNTIFS('AFA Rates'!$A$5:$A$1004,$A720,'AFA Rates'!$B$5:$B$1004,G$23,'AFA Rates'!$O$5:$O$1004,"&lt;&gt;Expired")&gt;0,"✓",IF(COUNTIFS('AFA Rates'!$A$5:$A$1004,$A720,'AFA Rates'!$B$5:$B$1004,G$23)&gt;0,"Exp","")))</f>
        <v/>
      </c>
      <c r="H720" s="79">
        <f>IF(OR($A720="",H$23=""),"",IF(COUNTIFS('AFA Rates'!$A$5:$A$1004,$A720,'AFA Rates'!$B$5:$B$1004,H$23,'AFA Rates'!$O$5:$O$1004,"&lt;&gt;Expired")&gt;0,"✓",IF(COUNTIFS('AFA Rates'!$A$5:$A$1004,$A720,'AFA Rates'!$B$5:$B$1004,H$23)&gt;0,"Exp","")))</f>
        <v/>
      </c>
      <c r="I720" s="79">
        <f>IF(OR($A720="",I$23=""),"",IF(COUNTIFS('AFA Rates'!$A$5:$A$1004,$A720,'AFA Rates'!$B$5:$B$1004,I$23,'AFA Rates'!$O$5:$O$1004,"&lt;&gt;Expired")&gt;0,"✓",IF(COUNTIFS('AFA Rates'!$A$5:$A$1004,$A720,'AFA Rates'!$B$5:$B$1004,I$23)&gt;0,"Exp","")))</f>
        <v/>
      </c>
      <c r="J720" s="79">
        <f>IF(OR($A720="",J$23=""),"",IF(COUNTIFS('AFA Rates'!$A$5:$A$1004,$A720,'AFA Rates'!$B$5:$B$1004,J$23,'AFA Rates'!$O$5:$O$1004,"&lt;&gt;Expired")&gt;0,"✓",IF(COUNTIFS('AFA Rates'!$A$5:$A$1004,$A720,'AFA Rates'!$B$5:$B$1004,J$23)&gt;0,"Exp","")))</f>
        <v/>
      </c>
      <c r="K720" s="79">
        <f>IF(OR($A720="",K$23=""),"",IF(COUNTIFS('AFA Rates'!$A$5:$A$1004,$A720,'AFA Rates'!$B$5:$B$1004,K$23,'AFA Rates'!$O$5:$O$1004,"&lt;&gt;Expired")&gt;0,"✓",IF(COUNTIFS('AFA Rates'!$A$5:$A$1004,$A720,'AFA Rates'!$B$5:$B$1004,K$23)&gt;0,"Exp","")))</f>
        <v/>
      </c>
      <c r="L720" s="79">
        <f>IF(OR($A720="",L$23=""),"",IF(COUNTIFS('AFA Rates'!$A$5:$A$1004,$A720,'AFA Rates'!$B$5:$B$1004,L$23,'AFA Rates'!$O$5:$O$1004,"&lt;&gt;Expired")&gt;0,"✓",IF(COUNTIFS('AFA Rates'!$A$5:$A$1004,$A720,'AFA Rates'!$B$5:$B$1004,L$23)&gt;0,"Exp","")))</f>
        <v/>
      </c>
      <c r="M720" s="79">
        <f>IF(OR($A720="",M$23=""),"",IF(COUNTIFS('AFA Rates'!$A$5:$A$1004,$A720,'AFA Rates'!$B$5:$B$1004,M$23,'AFA Rates'!$O$5:$O$1004,"&lt;&gt;Expired")&gt;0,"✓",IF(COUNTIFS('AFA Rates'!$A$5:$A$1004,$A720,'AFA Rates'!$B$5:$B$1004,M$23)&gt;0,"Exp","")))</f>
        <v/>
      </c>
    </row>
    <row r="721">
      <c r="A721" s="78">
        <f>IFERROR(INDEX(Firms!$A$5:$A$1004,MATCH(698,Firms!$V$5:$V$1004,0)),"")</f>
        <v/>
      </c>
      <c r="B721" s="79">
        <f>IF($A721="","",INDEX(Firms!$B$5:$B$1004,MATCH(698,Firms!$V$5:$V$1004,0)))</f>
        <v/>
      </c>
      <c r="C721" s="79">
        <f>IF($A721="","",COUNTIFS('AFA Rates'!$A$5:$A$1004,$A721,'AFA Rates'!$O$5:$O$1004,"&lt;&gt;Expired"))</f>
        <v/>
      </c>
      <c r="D721" s="79">
        <f>IF(OR($A721="",D$23=""),"",IF(COUNTIFS('AFA Rates'!$A$5:$A$1004,$A721,'AFA Rates'!$B$5:$B$1004,D$23,'AFA Rates'!$O$5:$O$1004,"&lt;&gt;Expired")&gt;0,"✓",IF(COUNTIFS('AFA Rates'!$A$5:$A$1004,$A721,'AFA Rates'!$B$5:$B$1004,D$23)&gt;0,"Exp","")))</f>
        <v/>
      </c>
      <c r="E721" s="79">
        <f>IF(OR($A721="",E$23=""),"",IF(COUNTIFS('AFA Rates'!$A$5:$A$1004,$A721,'AFA Rates'!$B$5:$B$1004,E$23,'AFA Rates'!$O$5:$O$1004,"&lt;&gt;Expired")&gt;0,"✓",IF(COUNTIFS('AFA Rates'!$A$5:$A$1004,$A721,'AFA Rates'!$B$5:$B$1004,E$23)&gt;0,"Exp","")))</f>
        <v/>
      </c>
      <c r="F721" s="79">
        <f>IF(OR($A721="",F$23=""),"",IF(COUNTIFS('AFA Rates'!$A$5:$A$1004,$A721,'AFA Rates'!$B$5:$B$1004,F$23,'AFA Rates'!$O$5:$O$1004,"&lt;&gt;Expired")&gt;0,"✓",IF(COUNTIFS('AFA Rates'!$A$5:$A$1004,$A721,'AFA Rates'!$B$5:$B$1004,F$23)&gt;0,"Exp","")))</f>
        <v/>
      </c>
      <c r="G721" s="79">
        <f>IF(OR($A721="",G$23=""),"",IF(COUNTIFS('AFA Rates'!$A$5:$A$1004,$A721,'AFA Rates'!$B$5:$B$1004,G$23,'AFA Rates'!$O$5:$O$1004,"&lt;&gt;Expired")&gt;0,"✓",IF(COUNTIFS('AFA Rates'!$A$5:$A$1004,$A721,'AFA Rates'!$B$5:$B$1004,G$23)&gt;0,"Exp","")))</f>
        <v/>
      </c>
      <c r="H721" s="79">
        <f>IF(OR($A721="",H$23=""),"",IF(COUNTIFS('AFA Rates'!$A$5:$A$1004,$A721,'AFA Rates'!$B$5:$B$1004,H$23,'AFA Rates'!$O$5:$O$1004,"&lt;&gt;Expired")&gt;0,"✓",IF(COUNTIFS('AFA Rates'!$A$5:$A$1004,$A721,'AFA Rates'!$B$5:$B$1004,H$23)&gt;0,"Exp","")))</f>
        <v/>
      </c>
      <c r="I721" s="79">
        <f>IF(OR($A721="",I$23=""),"",IF(COUNTIFS('AFA Rates'!$A$5:$A$1004,$A721,'AFA Rates'!$B$5:$B$1004,I$23,'AFA Rates'!$O$5:$O$1004,"&lt;&gt;Expired")&gt;0,"✓",IF(COUNTIFS('AFA Rates'!$A$5:$A$1004,$A721,'AFA Rates'!$B$5:$B$1004,I$23)&gt;0,"Exp","")))</f>
        <v/>
      </c>
      <c r="J721" s="79">
        <f>IF(OR($A721="",J$23=""),"",IF(COUNTIFS('AFA Rates'!$A$5:$A$1004,$A721,'AFA Rates'!$B$5:$B$1004,J$23,'AFA Rates'!$O$5:$O$1004,"&lt;&gt;Expired")&gt;0,"✓",IF(COUNTIFS('AFA Rates'!$A$5:$A$1004,$A721,'AFA Rates'!$B$5:$B$1004,J$23)&gt;0,"Exp","")))</f>
        <v/>
      </c>
      <c r="K721" s="79">
        <f>IF(OR($A721="",K$23=""),"",IF(COUNTIFS('AFA Rates'!$A$5:$A$1004,$A721,'AFA Rates'!$B$5:$B$1004,K$23,'AFA Rates'!$O$5:$O$1004,"&lt;&gt;Expired")&gt;0,"✓",IF(COUNTIFS('AFA Rates'!$A$5:$A$1004,$A721,'AFA Rates'!$B$5:$B$1004,K$23)&gt;0,"Exp","")))</f>
        <v/>
      </c>
      <c r="L721" s="79">
        <f>IF(OR($A721="",L$23=""),"",IF(COUNTIFS('AFA Rates'!$A$5:$A$1004,$A721,'AFA Rates'!$B$5:$B$1004,L$23,'AFA Rates'!$O$5:$O$1004,"&lt;&gt;Expired")&gt;0,"✓",IF(COUNTIFS('AFA Rates'!$A$5:$A$1004,$A721,'AFA Rates'!$B$5:$B$1004,L$23)&gt;0,"Exp","")))</f>
        <v/>
      </c>
      <c r="M721" s="79">
        <f>IF(OR($A721="",M$23=""),"",IF(COUNTIFS('AFA Rates'!$A$5:$A$1004,$A721,'AFA Rates'!$B$5:$B$1004,M$23,'AFA Rates'!$O$5:$O$1004,"&lt;&gt;Expired")&gt;0,"✓",IF(COUNTIFS('AFA Rates'!$A$5:$A$1004,$A721,'AFA Rates'!$B$5:$B$1004,M$23)&gt;0,"Exp","")))</f>
        <v/>
      </c>
    </row>
    <row r="722">
      <c r="A722" s="78">
        <f>IFERROR(INDEX(Firms!$A$5:$A$1004,MATCH(699,Firms!$V$5:$V$1004,0)),"")</f>
        <v/>
      </c>
      <c r="B722" s="79">
        <f>IF($A722="","",INDEX(Firms!$B$5:$B$1004,MATCH(699,Firms!$V$5:$V$1004,0)))</f>
        <v/>
      </c>
      <c r="C722" s="79">
        <f>IF($A722="","",COUNTIFS('AFA Rates'!$A$5:$A$1004,$A722,'AFA Rates'!$O$5:$O$1004,"&lt;&gt;Expired"))</f>
        <v/>
      </c>
      <c r="D722" s="79">
        <f>IF(OR($A722="",D$23=""),"",IF(COUNTIFS('AFA Rates'!$A$5:$A$1004,$A722,'AFA Rates'!$B$5:$B$1004,D$23,'AFA Rates'!$O$5:$O$1004,"&lt;&gt;Expired")&gt;0,"✓",IF(COUNTIFS('AFA Rates'!$A$5:$A$1004,$A722,'AFA Rates'!$B$5:$B$1004,D$23)&gt;0,"Exp","")))</f>
        <v/>
      </c>
      <c r="E722" s="79">
        <f>IF(OR($A722="",E$23=""),"",IF(COUNTIFS('AFA Rates'!$A$5:$A$1004,$A722,'AFA Rates'!$B$5:$B$1004,E$23,'AFA Rates'!$O$5:$O$1004,"&lt;&gt;Expired")&gt;0,"✓",IF(COUNTIFS('AFA Rates'!$A$5:$A$1004,$A722,'AFA Rates'!$B$5:$B$1004,E$23)&gt;0,"Exp","")))</f>
        <v/>
      </c>
      <c r="F722" s="79">
        <f>IF(OR($A722="",F$23=""),"",IF(COUNTIFS('AFA Rates'!$A$5:$A$1004,$A722,'AFA Rates'!$B$5:$B$1004,F$23,'AFA Rates'!$O$5:$O$1004,"&lt;&gt;Expired")&gt;0,"✓",IF(COUNTIFS('AFA Rates'!$A$5:$A$1004,$A722,'AFA Rates'!$B$5:$B$1004,F$23)&gt;0,"Exp","")))</f>
        <v/>
      </c>
      <c r="G722" s="79">
        <f>IF(OR($A722="",G$23=""),"",IF(COUNTIFS('AFA Rates'!$A$5:$A$1004,$A722,'AFA Rates'!$B$5:$B$1004,G$23,'AFA Rates'!$O$5:$O$1004,"&lt;&gt;Expired")&gt;0,"✓",IF(COUNTIFS('AFA Rates'!$A$5:$A$1004,$A722,'AFA Rates'!$B$5:$B$1004,G$23)&gt;0,"Exp","")))</f>
        <v/>
      </c>
      <c r="H722" s="79">
        <f>IF(OR($A722="",H$23=""),"",IF(COUNTIFS('AFA Rates'!$A$5:$A$1004,$A722,'AFA Rates'!$B$5:$B$1004,H$23,'AFA Rates'!$O$5:$O$1004,"&lt;&gt;Expired")&gt;0,"✓",IF(COUNTIFS('AFA Rates'!$A$5:$A$1004,$A722,'AFA Rates'!$B$5:$B$1004,H$23)&gt;0,"Exp","")))</f>
        <v/>
      </c>
      <c r="I722" s="79">
        <f>IF(OR($A722="",I$23=""),"",IF(COUNTIFS('AFA Rates'!$A$5:$A$1004,$A722,'AFA Rates'!$B$5:$B$1004,I$23,'AFA Rates'!$O$5:$O$1004,"&lt;&gt;Expired")&gt;0,"✓",IF(COUNTIFS('AFA Rates'!$A$5:$A$1004,$A722,'AFA Rates'!$B$5:$B$1004,I$23)&gt;0,"Exp","")))</f>
        <v/>
      </c>
      <c r="J722" s="79">
        <f>IF(OR($A722="",J$23=""),"",IF(COUNTIFS('AFA Rates'!$A$5:$A$1004,$A722,'AFA Rates'!$B$5:$B$1004,J$23,'AFA Rates'!$O$5:$O$1004,"&lt;&gt;Expired")&gt;0,"✓",IF(COUNTIFS('AFA Rates'!$A$5:$A$1004,$A722,'AFA Rates'!$B$5:$B$1004,J$23)&gt;0,"Exp","")))</f>
        <v/>
      </c>
      <c r="K722" s="79">
        <f>IF(OR($A722="",K$23=""),"",IF(COUNTIFS('AFA Rates'!$A$5:$A$1004,$A722,'AFA Rates'!$B$5:$B$1004,K$23,'AFA Rates'!$O$5:$O$1004,"&lt;&gt;Expired")&gt;0,"✓",IF(COUNTIFS('AFA Rates'!$A$5:$A$1004,$A722,'AFA Rates'!$B$5:$B$1004,K$23)&gt;0,"Exp","")))</f>
        <v/>
      </c>
      <c r="L722" s="79">
        <f>IF(OR($A722="",L$23=""),"",IF(COUNTIFS('AFA Rates'!$A$5:$A$1004,$A722,'AFA Rates'!$B$5:$B$1004,L$23,'AFA Rates'!$O$5:$O$1004,"&lt;&gt;Expired")&gt;0,"✓",IF(COUNTIFS('AFA Rates'!$A$5:$A$1004,$A722,'AFA Rates'!$B$5:$B$1004,L$23)&gt;0,"Exp","")))</f>
        <v/>
      </c>
      <c r="M722" s="79">
        <f>IF(OR($A722="",M$23=""),"",IF(COUNTIFS('AFA Rates'!$A$5:$A$1004,$A722,'AFA Rates'!$B$5:$B$1004,M$23,'AFA Rates'!$O$5:$O$1004,"&lt;&gt;Expired")&gt;0,"✓",IF(COUNTIFS('AFA Rates'!$A$5:$A$1004,$A722,'AFA Rates'!$B$5:$B$1004,M$23)&gt;0,"Exp","")))</f>
        <v/>
      </c>
    </row>
    <row r="723">
      <c r="A723" s="78">
        <f>IFERROR(INDEX(Firms!$A$5:$A$1004,MATCH(700,Firms!$V$5:$V$1004,0)),"")</f>
        <v/>
      </c>
      <c r="B723" s="79">
        <f>IF($A723="","",INDEX(Firms!$B$5:$B$1004,MATCH(700,Firms!$V$5:$V$1004,0)))</f>
        <v/>
      </c>
      <c r="C723" s="79">
        <f>IF($A723="","",COUNTIFS('AFA Rates'!$A$5:$A$1004,$A723,'AFA Rates'!$O$5:$O$1004,"&lt;&gt;Expired"))</f>
        <v/>
      </c>
      <c r="D723" s="79">
        <f>IF(OR($A723="",D$23=""),"",IF(COUNTIFS('AFA Rates'!$A$5:$A$1004,$A723,'AFA Rates'!$B$5:$B$1004,D$23,'AFA Rates'!$O$5:$O$1004,"&lt;&gt;Expired")&gt;0,"✓",IF(COUNTIFS('AFA Rates'!$A$5:$A$1004,$A723,'AFA Rates'!$B$5:$B$1004,D$23)&gt;0,"Exp","")))</f>
        <v/>
      </c>
      <c r="E723" s="79">
        <f>IF(OR($A723="",E$23=""),"",IF(COUNTIFS('AFA Rates'!$A$5:$A$1004,$A723,'AFA Rates'!$B$5:$B$1004,E$23,'AFA Rates'!$O$5:$O$1004,"&lt;&gt;Expired")&gt;0,"✓",IF(COUNTIFS('AFA Rates'!$A$5:$A$1004,$A723,'AFA Rates'!$B$5:$B$1004,E$23)&gt;0,"Exp","")))</f>
        <v/>
      </c>
      <c r="F723" s="79">
        <f>IF(OR($A723="",F$23=""),"",IF(COUNTIFS('AFA Rates'!$A$5:$A$1004,$A723,'AFA Rates'!$B$5:$B$1004,F$23,'AFA Rates'!$O$5:$O$1004,"&lt;&gt;Expired")&gt;0,"✓",IF(COUNTIFS('AFA Rates'!$A$5:$A$1004,$A723,'AFA Rates'!$B$5:$B$1004,F$23)&gt;0,"Exp","")))</f>
        <v/>
      </c>
      <c r="G723" s="79">
        <f>IF(OR($A723="",G$23=""),"",IF(COUNTIFS('AFA Rates'!$A$5:$A$1004,$A723,'AFA Rates'!$B$5:$B$1004,G$23,'AFA Rates'!$O$5:$O$1004,"&lt;&gt;Expired")&gt;0,"✓",IF(COUNTIFS('AFA Rates'!$A$5:$A$1004,$A723,'AFA Rates'!$B$5:$B$1004,G$23)&gt;0,"Exp","")))</f>
        <v/>
      </c>
      <c r="H723" s="79">
        <f>IF(OR($A723="",H$23=""),"",IF(COUNTIFS('AFA Rates'!$A$5:$A$1004,$A723,'AFA Rates'!$B$5:$B$1004,H$23,'AFA Rates'!$O$5:$O$1004,"&lt;&gt;Expired")&gt;0,"✓",IF(COUNTIFS('AFA Rates'!$A$5:$A$1004,$A723,'AFA Rates'!$B$5:$B$1004,H$23)&gt;0,"Exp","")))</f>
        <v/>
      </c>
      <c r="I723" s="79">
        <f>IF(OR($A723="",I$23=""),"",IF(COUNTIFS('AFA Rates'!$A$5:$A$1004,$A723,'AFA Rates'!$B$5:$B$1004,I$23,'AFA Rates'!$O$5:$O$1004,"&lt;&gt;Expired")&gt;0,"✓",IF(COUNTIFS('AFA Rates'!$A$5:$A$1004,$A723,'AFA Rates'!$B$5:$B$1004,I$23)&gt;0,"Exp","")))</f>
        <v/>
      </c>
      <c r="J723" s="79">
        <f>IF(OR($A723="",J$23=""),"",IF(COUNTIFS('AFA Rates'!$A$5:$A$1004,$A723,'AFA Rates'!$B$5:$B$1004,J$23,'AFA Rates'!$O$5:$O$1004,"&lt;&gt;Expired")&gt;0,"✓",IF(COUNTIFS('AFA Rates'!$A$5:$A$1004,$A723,'AFA Rates'!$B$5:$B$1004,J$23)&gt;0,"Exp","")))</f>
        <v/>
      </c>
      <c r="K723" s="79">
        <f>IF(OR($A723="",K$23=""),"",IF(COUNTIFS('AFA Rates'!$A$5:$A$1004,$A723,'AFA Rates'!$B$5:$B$1004,K$23,'AFA Rates'!$O$5:$O$1004,"&lt;&gt;Expired")&gt;0,"✓",IF(COUNTIFS('AFA Rates'!$A$5:$A$1004,$A723,'AFA Rates'!$B$5:$B$1004,K$23)&gt;0,"Exp","")))</f>
        <v/>
      </c>
      <c r="L723" s="79">
        <f>IF(OR($A723="",L$23=""),"",IF(COUNTIFS('AFA Rates'!$A$5:$A$1004,$A723,'AFA Rates'!$B$5:$B$1004,L$23,'AFA Rates'!$O$5:$O$1004,"&lt;&gt;Expired")&gt;0,"✓",IF(COUNTIFS('AFA Rates'!$A$5:$A$1004,$A723,'AFA Rates'!$B$5:$B$1004,L$23)&gt;0,"Exp","")))</f>
        <v/>
      </c>
      <c r="M723" s="79">
        <f>IF(OR($A723="",M$23=""),"",IF(COUNTIFS('AFA Rates'!$A$5:$A$1004,$A723,'AFA Rates'!$B$5:$B$1004,M$23,'AFA Rates'!$O$5:$O$1004,"&lt;&gt;Expired")&gt;0,"✓",IF(COUNTIFS('AFA Rates'!$A$5:$A$1004,$A723,'AFA Rates'!$B$5:$B$1004,M$23)&gt;0,"Exp","")))</f>
        <v/>
      </c>
    </row>
    <row r="724">
      <c r="A724" s="78">
        <f>IFERROR(INDEX(Firms!$A$5:$A$1004,MATCH(701,Firms!$V$5:$V$1004,0)),"")</f>
        <v/>
      </c>
      <c r="B724" s="79">
        <f>IF($A724="","",INDEX(Firms!$B$5:$B$1004,MATCH(701,Firms!$V$5:$V$1004,0)))</f>
        <v/>
      </c>
      <c r="C724" s="79">
        <f>IF($A724="","",COUNTIFS('AFA Rates'!$A$5:$A$1004,$A724,'AFA Rates'!$O$5:$O$1004,"&lt;&gt;Expired"))</f>
        <v/>
      </c>
      <c r="D724" s="79">
        <f>IF(OR($A724="",D$23=""),"",IF(COUNTIFS('AFA Rates'!$A$5:$A$1004,$A724,'AFA Rates'!$B$5:$B$1004,D$23,'AFA Rates'!$O$5:$O$1004,"&lt;&gt;Expired")&gt;0,"✓",IF(COUNTIFS('AFA Rates'!$A$5:$A$1004,$A724,'AFA Rates'!$B$5:$B$1004,D$23)&gt;0,"Exp","")))</f>
        <v/>
      </c>
      <c r="E724" s="79">
        <f>IF(OR($A724="",E$23=""),"",IF(COUNTIFS('AFA Rates'!$A$5:$A$1004,$A724,'AFA Rates'!$B$5:$B$1004,E$23,'AFA Rates'!$O$5:$O$1004,"&lt;&gt;Expired")&gt;0,"✓",IF(COUNTIFS('AFA Rates'!$A$5:$A$1004,$A724,'AFA Rates'!$B$5:$B$1004,E$23)&gt;0,"Exp","")))</f>
        <v/>
      </c>
      <c r="F724" s="79">
        <f>IF(OR($A724="",F$23=""),"",IF(COUNTIFS('AFA Rates'!$A$5:$A$1004,$A724,'AFA Rates'!$B$5:$B$1004,F$23,'AFA Rates'!$O$5:$O$1004,"&lt;&gt;Expired")&gt;0,"✓",IF(COUNTIFS('AFA Rates'!$A$5:$A$1004,$A724,'AFA Rates'!$B$5:$B$1004,F$23)&gt;0,"Exp","")))</f>
        <v/>
      </c>
      <c r="G724" s="79">
        <f>IF(OR($A724="",G$23=""),"",IF(COUNTIFS('AFA Rates'!$A$5:$A$1004,$A724,'AFA Rates'!$B$5:$B$1004,G$23,'AFA Rates'!$O$5:$O$1004,"&lt;&gt;Expired")&gt;0,"✓",IF(COUNTIFS('AFA Rates'!$A$5:$A$1004,$A724,'AFA Rates'!$B$5:$B$1004,G$23)&gt;0,"Exp","")))</f>
        <v/>
      </c>
      <c r="H724" s="79">
        <f>IF(OR($A724="",H$23=""),"",IF(COUNTIFS('AFA Rates'!$A$5:$A$1004,$A724,'AFA Rates'!$B$5:$B$1004,H$23,'AFA Rates'!$O$5:$O$1004,"&lt;&gt;Expired")&gt;0,"✓",IF(COUNTIFS('AFA Rates'!$A$5:$A$1004,$A724,'AFA Rates'!$B$5:$B$1004,H$23)&gt;0,"Exp","")))</f>
        <v/>
      </c>
      <c r="I724" s="79">
        <f>IF(OR($A724="",I$23=""),"",IF(COUNTIFS('AFA Rates'!$A$5:$A$1004,$A724,'AFA Rates'!$B$5:$B$1004,I$23,'AFA Rates'!$O$5:$O$1004,"&lt;&gt;Expired")&gt;0,"✓",IF(COUNTIFS('AFA Rates'!$A$5:$A$1004,$A724,'AFA Rates'!$B$5:$B$1004,I$23)&gt;0,"Exp","")))</f>
        <v/>
      </c>
      <c r="J724" s="79">
        <f>IF(OR($A724="",J$23=""),"",IF(COUNTIFS('AFA Rates'!$A$5:$A$1004,$A724,'AFA Rates'!$B$5:$B$1004,J$23,'AFA Rates'!$O$5:$O$1004,"&lt;&gt;Expired")&gt;0,"✓",IF(COUNTIFS('AFA Rates'!$A$5:$A$1004,$A724,'AFA Rates'!$B$5:$B$1004,J$23)&gt;0,"Exp","")))</f>
        <v/>
      </c>
      <c r="K724" s="79">
        <f>IF(OR($A724="",K$23=""),"",IF(COUNTIFS('AFA Rates'!$A$5:$A$1004,$A724,'AFA Rates'!$B$5:$B$1004,K$23,'AFA Rates'!$O$5:$O$1004,"&lt;&gt;Expired")&gt;0,"✓",IF(COUNTIFS('AFA Rates'!$A$5:$A$1004,$A724,'AFA Rates'!$B$5:$B$1004,K$23)&gt;0,"Exp","")))</f>
        <v/>
      </c>
      <c r="L724" s="79">
        <f>IF(OR($A724="",L$23=""),"",IF(COUNTIFS('AFA Rates'!$A$5:$A$1004,$A724,'AFA Rates'!$B$5:$B$1004,L$23,'AFA Rates'!$O$5:$O$1004,"&lt;&gt;Expired")&gt;0,"✓",IF(COUNTIFS('AFA Rates'!$A$5:$A$1004,$A724,'AFA Rates'!$B$5:$B$1004,L$23)&gt;0,"Exp","")))</f>
        <v/>
      </c>
      <c r="M724" s="79">
        <f>IF(OR($A724="",M$23=""),"",IF(COUNTIFS('AFA Rates'!$A$5:$A$1004,$A724,'AFA Rates'!$B$5:$B$1004,M$23,'AFA Rates'!$O$5:$O$1004,"&lt;&gt;Expired")&gt;0,"✓",IF(COUNTIFS('AFA Rates'!$A$5:$A$1004,$A724,'AFA Rates'!$B$5:$B$1004,M$23)&gt;0,"Exp","")))</f>
        <v/>
      </c>
    </row>
    <row r="725">
      <c r="A725" s="78">
        <f>IFERROR(INDEX(Firms!$A$5:$A$1004,MATCH(702,Firms!$V$5:$V$1004,0)),"")</f>
        <v/>
      </c>
      <c r="B725" s="79">
        <f>IF($A725="","",INDEX(Firms!$B$5:$B$1004,MATCH(702,Firms!$V$5:$V$1004,0)))</f>
        <v/>
      </c>
      <c r="C725" s="79">
        <f>IF($A725="","",COUNTIFS('AFA Rates'!$A$5:$A$1004,$A725,'AFA Rates'!$O$5:$O$1004,"&lt;&gt;Expired"))</f>
        <v/>
      </c>
      <c r="D725" s="79">
        <f>IF(OR($A725="",D$23=""),"",IF(COUNTIFS('AFA Rates'!$A$5:$A$1004,$A725,'AFA Rates'!$B$5:$B$1004,D$23,'AFA Rates'!$O$5:$O$1004,"&lt;&gt;Expired")&gt;0,"✓",IF(COUNTIFS('AFA Rates'!$A$5:$A$1004,$A725,'AFA Rates'!$B$5:$B$1004,D$23)&gt;0,"Exp","")))</f>
        <v/>
      </c>
      <c r="E725" s="79">
        <f>IF(OR($A725="",E$23=""),"",IF(COUNTIFS('AFA Rates'!$A$5:$A$1004,$A725,'AFA Rates'!$B$5:$B$1004,E$23,'AFA Rates'!$O$5:$O$1004,"&lt;&gt;Expired")&gt;0,"✓",IF(COUNTIFS('AFA Rates'!$A$5:$A$1004,$A725,'AFA Rates'!$B$5:$B$1004,E$23)&gt;0,"Exp","")))</f>
        <v/>
      </c>
      <c r="F725" s="79">
        <f>IF(OR($A725="",F$23=""),"",IF(COUNTIFS('AFA Rates'!$A$5:$A$1004,$A725,'AFA Rates'!$B$5:$B$1004,F$23,'AFA Rates'!$O$5:$O$1004,"&lt;&gt;Expired")&gt;0,"✓",IF(COUNTIFS('AFA Rates'!$A$5:$A$1004,$A725,'AFA Rates'!$B$5:$B$1004,F$23)&gt;0,"Exp","")))</f>
        <v/>
      </c>
      <c r="G725" s="79">
        <f>IF(OR($A725="",G$23=""),"",IF(COUNTIFS('AFA Rates'!$A$5:$A$1004,$A725,'AFA Rates'!$B$5:$B$1004,G$23,'AFA Rates'!$O$5:$O$1004,"&lt;&gt;Expired")&gt;0,"✓",IF(COUNTIFS('AFA Rates'!$A$5:$A$1004,$A725,'AFA Rates'!$B$5:$B$1004,G$23)&gt;0,"Exp","")))</f>
        <v/>
      </c>
      <c r="H725" s="79">
        <f>IF(OR($A725="",H$23=""),"",IF(COUNTIFS('AFA Rates'!$A$5:$A$1004,$A725,'AFA Rates'!$B$5:$B$1004,H$23,'AFA Rates'!$O$5:$O$1004,"&lt;&gt;Expired")&gt;0,"✓",IF(COUNTIFS('AFA Rates'!$A$5:$A$1004,$A725,'AFA Rates'!$B$5:$B$1004,H$23)&gt;0,"Exp","")))</f>
        <v/>
      </c>
      <c r="I725" s="79">
        <f>IF(OR($A725="",I$23=""),"",IF(COUNTIFS('AFA Rates'!$A$5:$A$1004,$A725,'AFA Rates'!$B$5:$B$1004,I$23,'AFA Rates'!$O$5:$O$1004,"&lt;&gt;Expired")&gt;0,"✓",IF(COUNTIFS('AFA Rates'!$A$5:$A$1004,$A725,'AFA Rates'!$B$5:$B$1004,I$23)&gt;0,"Exp","")))</f>
        <v/>
      </c>
      <c r="J725" s="79">
        <f>IF(OR($A725="",J$23=""),"",IF(COUNTIFS('AFA Rates'!$A$5:$A$1004,$A725,'AFA Rates'!$B$5:$B$1004,J$23,'AFA Rates'!$O$5:$O$1004,"&lt;&gt;Expired")&gt;0,"✓",IF(COUNTIFS('AFA Rates'!$A$5:$A$1004,$A725,'AFA Rates'!$B$5:$B$1004,J$23)&gt;0,"Exp","")))</f>
        <v/>
      </c>
      <c r="K725" s="79">
        <f>IF(OR($A725="",K$23=""),"",IF(COUNTIFS('AFA Rates'!$A$5:$A$1004,$A725,'AFA Rates'!$B$5:$B$1004,K$23,'AFA Rates'!$O$5:$O$1004,"&lt;&gt;Expired")&gt;0,"✓",IF(COUNTIFS('AFA Rates'!$A$5:$A$1004,$A725,'AFA Rates'!$B$5:$B$1004,K$23)&gt;0,"Exp","")))</f>
        <v/>
      </c>
      <c r="L725" s="79">
        <f>IF(OR($A725="",L$23=""),"",IF(COUNTIFS('AFA Rates'!$A$5:$A$1004,$A725,'AFA Rates'!$B$5:$B$1004,L$23,'AFA Rates'!$O$5:$O$1004,"&lt;&gt;Expired")&gt;0,"✓",IF(COUNTIFS('AFA Rates'!$A$5:$A$1004,$A725,'AFA Rates'!$B$5:$B$1004,L$23)&gt;0,"Exp","")))</f>
        <v/>
      </c>
      <c r="M725" s="79">
        <f>IF(OR($A725="",M$23=""),"",IF(COUNTIFS('AFA Rates'!$A$5:$A$1004,$A725,'AFA Rates'!$B$5:$B$1004,M$23,'AFA Rates'!$O$5:$O$1004,"&lt;&gt;Expired")&gt;0,"✓",IF(COUNTIFS('AFA Rates'!$A$5:$A$1004,$A725,'AFA Rates'!$B$5:$B$1004,M$23)&gt;0,"Exp","")))</f>
        <v/>
      </c>
    </row>
    <row r="726">
      <c r="A726" s="78">
        <f>IFERROR(INDEX(Firms!$A$5:$A$1004,MATCH(703,Firms!$V$5:$V$1004,0)),"")</f>
        <v/>
      </c>
      <c r="B726" s="79">
        <f>IF($A726="","",INDEX(Firms!$B$5:$B$1004,MATCH(703,Firms!$V$5:$V$1004,0)))</f>
        <v/>
      </c>
      <c r="C726" s="79">
        <f>IF($A726="","",COUNTIFS('AFA Rates'!$A$5:$A$1004,$A726,'AFA Rates'!$O$5:$O$1004,"&lt;&gt;Expired"))</f>
        <v/>
      </c>
      <c r="D726" s="79">
        <f>IF(OR($A726="",D$23=""),"",IF(COUNTIFS('AFA Rates'!$A$5:$A$1004,$A726,'AFA Rates'!$B$5:$B$1004,D$23,'AFA Rates'!$O$5:$O$1004,"&lt;&gt;Expired")&gt;0,"✓",IF(COUNTIFS('AFA Rates'!$A$5:$A$1004,$A726,'AFA Rates'!$B$5:$B$1004,D$23)&gt;0,"Exp","")))</f>
        <v/>
      </c>
      <c r="E726" s="79">
        <f>IF(OR($A726="",E$23=""),"",IF(COUNTIFS('AFA Rates'!$A$5:$A$1004,$A726,'AFA Rates'!$B$5:$B$1004,E$23,'AFA Rates'!$O$5:$O$1004,"&lt;&gt;Expired")&gt;0,"✓",IF(COUNTIFS('AFA Rates'!$A$5:$A$1004,$A726,'AFA Rates'!$B$5:$B$1004,E$23)&gt;0,"Exp","")))</f>
        <v/>
      </c>
      <c r="F726" s="79">
        <f>IF(OR($A726="",F$23=""),"",IF(COUNTIFS('AFA Rates'!$A$5:$A$1004,$A726,'AFA Rates'!$B$5:$B$1004,F$23,'AFA Rates'!$O$5:$O$1004,"&lt;&gt;Expired")&gt;0,"✓",IF(COUNTIFS('AFA Rates'!$A$5:$A$1004,$A726,'AFA Rates'!$B$5:$B$1004,F$23)&gt;0,"Exp","")))</f>
        <v/>
      </c>
      <c r="G726" s="79">
        <f>IF(OR($A726="",G$23=""),"",IF(COUNTIFS('AFA Rates'!$A$5:$A$1004,$A726,'AFA Rates'!$B$5:$B$1004,G$23,'AFA Rates'!$O$5:$O$1004,"&lt;&gt;Expired")&gt;0,"✓",IF(COUNTIFS('AFA Rates'!$A$5:$A$1004,$A726,'AFA Rates'!$B$5:$B$1004,G$23)&gt;0,"Exp","")))</f>
        <v/>
      </c>
      <c r="H726" s="79">
        <f>IF(OR($A726="",H$23=""),"",IF(COUNTIFS('AFA Rates'!$A$5:$A$1004,$A726,'AFA Rates'!$B$5:$B$1004,H$23,'AFA Rates'!$O$5:$O$1004,"&lt;&gt;Expired")&gt;0,"✓",IF(COUNTIFS('AFA Rates'!$A$5:$A$1004,$A726,'AFA Rates'!$B$5:$B$1004,H$23)&gt;0,"Exp","")))</f>
        <v/>
      </c>
      <c r="I726" s="79">
        <f>IF(OR($A726="",I$23=""),"",IF(COUNTIFS('AFA Rates'!$A$5:$A$1004,$A726,'AFA Rates'!$B$5:$B$1004,I$23,'AFA Rates'!$O$5:$O$1004,"&lt;&gt;Expired")&gt;0,"✓",IF(COUNTIFS('AFA Rates'!$A$5:$A$1004,$A726,'AFA Rates'!$B$5:$B$1004,I$23)&gt;0,"Exp","")))</f>
        <v/>
      </c>
      <c r="J726" s="79">
        <f>IF(OR($A726="",J$23=""),"",IF(COUNTIFS('AFA Rates'!$A$5:$A$1004,$A726,'AFA Rates'!$B$5:$B$1004,J$23,'AFA Rates'!$O$5:$O$1004,"&lt;&gt;Expired")&gt;0,"✓",IF(COUNTIFS('AFA Rates'!$A$5:$A$1004,$A726,'AFA Rates'!$B$5:$B$1004,J$23)&gt;0,"Exp","")))</f>
        <v/>
      </c>
      <c r="K726" s="79">
        <f>IF(OR($A726="",K$23=""),"",IF(COUNTIFS('AFA Rates'!$A$5:$A$1004,$A726,'AFA Rates'!$B$5:$B$1004,K$23,'AFA Rates'!$O$5:$O$1004,"&lt;&gt;Expired")&gt;0,"✓",IF(COUNTIFS('AFA Rates'!$A$5:$A$1004,$A726,'AFA Rates'!$B$5:$B$1004,K$23)&gt;0,"Exp","")))</f>
        <v/>
      </c>
      <c r="L726" s="79">
        <f>IF(OR($A726="",L$23=""),"",IF(COUNTIFS('AFA Rates'!$A$5:$A$1004,$A726,'AFA Rates'!$B$5:$B$1004,L$23,'AFA Rates'!$O$5:$O$1004,"&lt;&gt;Expired")&gt;0,"✓",IF(COUNTIFS('AFA Rates'!$A$5:$A$1004,$A726,'AFA Rates'!$B$5:$B$1004,L$23)&gt;0,"Exp","")))</f>
        <v/>
      </c>
      <c r="M726" s="79">
        <f>IF(OR($A726="",M$23=""),"",IF(COUNTIFS('AFA Rates'!$A$5:$A$1004,$A726,'AFA Rates'!$B$5:$B$1004,M$23,'AFA Rates'!$O$5:$O$1004,"&lt;&gt;Expired")&gt;0,"✓",IF(COUNTIFS('AFA Rates'!$A$5:$A$1004,$A726,'AFA Rates'!$B$5:$B$1004,M$23)&gt;0,"Exp","")))</f>
        <v/>
      </c>
    </row>
    <row r="727">
      <c r="A727" s="78">
        <f>IFERROR(INDEX(Firms!$A$5:$A$1004,MATCH(704,Firms!$V$5:$V$1004,0)),"")</f>
        <v/>
      </c>
      <c r="B727" s="79">
        <f>IF($A727="","",INDEX(Firms!$B$5:$B$1004,MATCH(704,Firms!$V$5:$V$1004,0)))</f>
        <v/>
      </c>
      <c r="C727" s="79">
        <f>IF($A727="","",COUNTIFS('AFA Rates'!$A$5:$A$1004,$A727,'AFA Rates'!$O$5:$O$1004,"&lt;&gt;Expired"))</f>
        <v/>
      </c>
      <c r="D727" s="79">
        <f>IF(OR($A727="",D$23=""),"",IF(COUNTIFS('AFA Rates'!$A$5:$A$1004,$A727,'AFA Rates'!$B$5:$B$1004,D$23,'AFA Rates'!$O$5:$O$1004,"&lt;&gt;Expired")&gt;0,"✓",IF(COUNTIFS('AFA Rates'!$A$5:$A$1004,$A727,'AFA Rates'!$B$5:$B$1004,D$23)&gt;0,"Exp","")))</f>
        <v/>
      </c>
      <c r="E727" s="79">
        <f>IF(OR($A727="",E$23=""),"",IF(COUNTIFS('AFA Rates'!$A$5:$A$1004,$A727,'AFA Rates'!$B$5:$B$1004,E$23,'AFA Rates'!$O$5:$O$1004,"&lt;&gt;Expired")&gt;0,"✓",IF(COUNTIFS('AFA Rates'!$A$5:$A$1004,$A727,'AFA Rates'!$B$5:$B$1004,E$23)&gt;0,"Exp","")))</f>
        <v/>
      </c>
      <c r="F727" s="79">
        <f>IF(OR($A727="",F$23=""),"",IF(COUNTIFS('AFA Rates'!$A$5:$A$1004,$A727,'AFA Rates'!$B$5:$B$1004,F$23,'AFA Rates'!$O$5:$O$1004,"&lt;&gt;Expired")&gt;0,"✓",IF(COUNTIFS('AFA Rates'!$A$5:$A$1004,$A727,'AFA Rates'!$B$5:$B$1004,F$23)&gt;0,"Exp","")))</f>
        <v/>
      </c>
      <c r="G727" s="79">
        <f>IF(OR($A727="",G$23=""),"",IF(COUNTIFS('AFA Rates'!$A$5:$A$1004,$A727,'AFA Rates'!$B$5:$B$1004,G$23,'AFA Rates'!$O$5:$O$1004,"&lt;&gt;Expired")&gt;0,"✓",IF(COUNTIFS('AFA Rates'!$A$5:$A$1004,$A727,'AFA Rates'!$B$5:$B$1004,G$23)&gt;0,"Exp","")))</f>
        <v/>
      </c>
      <c r="H727" s="79">
        <f>IF(OR($A727="",H$23=""),"",IF(COUNTIFS('AFA Rates'!$A$5:$A$1004,$A727,'AFA Rates'!$B$5:$B$1004,H$23,'AFA Rates'!$O$5:$O$1004,"&lt;&gt;Expired")&gt;0,"✓",IF(COUNTIFS('AFA Rates'!$A$5:$A$1004,$A727,'AFA Rates'!$B$5:$B$1004,H$23)&gt;0,"Exp","")))</f>
        <v/>
      </c>
      <c r="I727" s="79">
        <f>IF(OR($A727="",I$23=""),"",IF(COUNTIFS('AFA Rates'!$A$5:$A$1004,$A727,'AFA Rates'!$B$5:$B$1004,I$23,'AFA Rates'!$O$5:$O$1004,"&lt;&gt;Expired")&gt;0,"✓",IF(COUNTIFS('AFA Rates'!$A$5:$A$1004,$A727,'AFA Rates'!$B$5:$B$1004,I$23)&gt;0,"Exp","")))</f>
        <v/>
      </c>
      <c r="J727" s="79">
        <f>IF(OR($A727="",J$23=""),"",IF(COUNTIFS('AFA Rates'!$A$5:$A$1004,$A727,'AFA Rates'!$B$5:$B$1004,J$23,'AFA Rates'!$O$5:$O$1004,"&lt;&gt;Expired")&gt;0,"✓",IF(COUNTIFS('AFA Rates'!$A$5:$A$1004,$A727,'AFA Rates'!$B$5:$B$1004,J$23)&gt;0,"Exp","")))</f>
        <v/>
      </c>
      <c r="K727" s="79">
        <f>IF(OR($A727="",K$23=""),"",IF(COUNTIFS('AFA Rates'!$A$5:$A$1004,$A727,'AFA Rates'!$B$5:$B$1004,K$23,'AFA Rates'!$O$5:$O$1004,"&lt;&gt;Expired")&gt;0,"✓",IF(COUNTIFS('AFA Rates'!$A$5:$A$1004,$A727,'AFA Rates'!$B$5:$B$1004,K$23)&gt;0,"Exp","")))</f>
        <v/>
      </c>
      <c r="L727" s="79">
        <f>IF(OR($A727="",L$23=""),"",IF(COUNTIFS('AFA Rates'!$A$5:$A$1004,$A727,'AFA Rates'!$B$5:$B$1004,L$23,'AFA Rates'!$O$5:$O$1004,"&lt;&gt;Expired")&gt;0,"✓",IF(COUNTIFS('AFA Rates'!$A$5:$A$1004,$A727,'AFA Rates'!$B$5:$B$1004,L$23)&gt;0,"Exp","")))</f>
        <v/>
      </c>
      <c r="M727" s="79">
        <f>IF(OR($A727="",M$23=""),"",IF(COUNTIFS('AFA Rates'!$A$5:$A$1004,$A727,'AFA Rates'!$B$5:$B$1004,M$23,'AFA Rates'!$O$5:$O$1004,"&lt;&gt;Expired")&gt;0,"✓",IF(COUNTIFS('AFA Rates'!$A$5:$A$1004,$A727,'AFA Rates'!$B$5:$B$1004,M$23)&gt;0,"Exp","")))</f>
        <v/>
      </c>
    </row>
    <row r="728">
      <c r="A728" s="78">
        <f>IFERROR(INDEX(Firms!$A$5:$A$1004,MATCH(705,Firms!$V$5:$V$1004,0)),"")</f>
        <v/>
      </c>
      <c r="B728" s="79">
        <f>IF($A728="","",INDEX(Firms!$B$5:$B$1004,MATCH(705,Firms!$V$5:$V$1004,0)))</f>
        <v/>
      </c>
      <c r="C728" s="79">
        <f>IF($A728="","",COUNTIFS('AFA Rates'!$A$5:$A$1004,$A728,'AFA Rates'!$O$5:$O$1004,"&lt;&gt;Expired"))</f>
        <v/>
      </c>
      <c r="D728" s="79">
        <f>IF(OR($A728="",D$23=""),"",IF(COUNTIFS('AFA Rates'!$A$5:$A$1004,$A728,'AFA Rates'!$B$5:$B$1004,D$23,'AFA Rates'!$O$5:$O$1004,"&lt;&gt;Expired")&gt;0,"✓",IF(COUNTIFS('AFA Rates'!$A$5:$A$1004,$A728,'AFA Rates'!$B$5:$B$1004,D$23)&gt;0,"Exp","")))</f>
        <v/>
      </c>
      <c r="E728" s="79">
        <f>IF(OR($A728="",E$23=""),"",IF(COUNTIFS('AFA Rates'!$A$5:$A$1004,$A728,'AFA Rates'!$B$5:$B$1004,E$23,'AFA Rates'!$O$5:$O$1004,"&lt;&gt;Expired")&gt;0,"✓",IF(COUNTIFS('AFA Rates'!$A$5:$A$1004,$A728,'AFA Rates'!$B$5:$B$1004,E$23)&gt;0,"Exp","")))</f>
        <v/>
      </c>
      <c r="F728" s="79">
        <f>IF(OR($A728="",F$23=""),"",IF(COUNTIFS('AFA Rates'!$A$5:$A$1004,$A728,'AFA Rates'!$B$5:$B$1004,F$23,'AFA Rates'!$O$5:$O$1004,"&lt;&gt;Expired")&gt;0,"✓",IF(COUNTIFS('AFA Rates'!$A$5:$A$1004,$A728,'AFA Rates'!$B$5:$B$1004,F$23)&gt;0,"Exp","")))</f>
        <v/>
      </c>
      <c r="G728" s="79">
        <f>IF(OR($A728="",G$23=""),"",IF(COUNTIFS('AFA Rates'!$A$5:$A$1004,$A728,'AFA Rates'!$B$5:$B$1004,G$23,'AFA Rates'!$O$5:$O$1004,"&lt;&gt;Expired")&gt;0,"✓",IF(COUNTIFS('AFA Rates'!$A$5:$A$1004,$A728,'AFA Rates'!$B$5:$B$1004,G$23)&gt;0,"Exp","")))</f>
        <v/>
      </c>
      <c r="H728" s="79">
        <f>IF(OR($A728="",H$23=""),"",IF(COUNTIFS('AFA Rates'!$A$5:$A$1004,$A728,'AFA Rates'!$B$5:$B$1004,H$23,'AFA Rates'!$O$5:$O$1004,"&lt;&gt;Expired")&gt;0,"✓",IF(COUNTIFS('AFA Rates'!$A$5:$A$1004,$A728,'AFA Rates'!$B$5:$B$1004,H$23)&gt;0,"Exp","")))</f>
        <v/>
      </c>
      <c r="I728" s="79">
        <f>IF(OR($A728="",I$23=""),"",IF(COUNTIFS('AFA Rates'!$A$5:$A$1004,$A728,'AFA Rates'!$B$5:$B$1004,I$23,'AFA Rates'!$O$5:$O$1004,"&lt;&gt;Expired")&gt;0,"✓",IF(COUNTIFS('AFA Rates'!$A$5:$A$1004,$A728,'AFA Rates'!$B$5:$B$1004,I$23)&gt;0,"Exp","")))</f>
        <v/>
      </c>
      <c r="J728" s="79">
        <f>IF(OR($A728="",J$23=""),"",IF(COUNTIFS('AFA Rates'!$A$5:$A$1004,$A728,'AFA Rates'!$B$5:$B$1004,J$23,'AFA Rates'!$O$5:$O$1004,"&lt;&gt;Expired")&gt;0,"✓",IF(COUNTIFS('AFA Rates'!$A$5:$A$1004,$A728,'AFA Rates'!$B$5:$B$1004,J$23)&gt;0,"Exp","")))</f>
        <v/>
      </c>
      <c r="K728" s="79">
        <f>IF(OR($A728="",K$23=""),"",IF(COUNTIFS('AFA Rates'!$A$5:$A$1004,$A728,'AFA Rates'!$B$5:$B$1004,K$23,'AFA Rates'!$O$5:$O$1004,"&lt;&gt;Expired")&gt;0,"✓",IF(COUNTIFS('AFA Rates'!$A$5:$A$1004,$A728,'AFA Rates'!$B$5:$B$1004,K$23)&gt;0,"Exp","")))</f>
        <v/>
      </c>
      <c r="L728" s="79">
        <f>IF(OR($A728="",L$23=""),"",IF(COUNTIFS('AFA Rates'!$A$5:$A$1004,$A728,'AFA Rates'!$B$5:$B$1004,L$23,'AFA Rates'!$O$5:$O$1004,"&lt;&gt;Expired")&gt;0,"✓",IF(COUNTIFS('AFA Rates'!$A$5:$A$1004,$A728,'AFA Rates'!$B$5:$B$1004,L$23)&gt;0,"Exp","")))</f>
        <v/>
      </c>
      <c r="M728" s="79">
        <f>IF(OR($A728="",M$23=""),"",IF(COUNTIFS('AFA Rates'!$A$5:$A$1004,$A728,'AFA Rates'!$B$5:$B$1004,M$23,'AFA Rates'!$O$5:$O$1004,"&lt;&gt;Expired")&gt;0,"✓",IF(COUNTIFS('AFA Rates'!$A$5:$A$1004,$A728,'AFA Rates'!$B$5:$B$1004,M$23)&gt;0,"Exp","")))</f>
        <v/>
      </c>
    </row>
    <row r="729">
      <c r="A729" s="78">
        <f>IFERROR(INDEX(Firms!$A$5:$A$1004,MATCH(706,Firms!$V$5:$V$1004,0)),"")</f>
        <v/>
      </c>
      <c r="B729" s="79">
        <f>IF($A729="","",INDEX(Firms!$B$5:$B$1004,MATCH(706,Firms!$V$5:$V$1004,0)))</f>
        <v/>
      </c>
      <c r="C729" s="79">
        <f>IF($A729="","",COUNTIFS('AFA Rates'!$A$5:$A$1004,$A729,'AFA Rates'!$O$5:$O$1004,"&lt;&gt;Expired"))</f>
        <v/>
      </c>
      <c r="D729" s="79">
        <f>IF(OR($A729="",D$23=""),"",IF(COUNTIFS('AFA Rates'!$A$5:$A$1004,$A729,'AFA Rates'!$B$5:$B$1004,D$23,'AFA Rates'!$O$5:$O$1004,"&lt;&gt;Expired")&gt;0,"✓",IF(COUNTIFS('AFA Rates'!$A$5:$A$1004,$A729,'AFA Rates'!$B$5:$B$1004,D$23)&gt;0,"Exp","")))</f>
        <v/>
      </c>
      <c r="E729" s="79">
        <f>IF(OR($A729="",E$23=""),"",IF(COUNTIFS('AFA Rates'!$A$5:$A$1004,$A729,'AFA Rates'!$B$5:$B$1004,E$23,'AFA Rates'!$O$5:$O$1004,"&lt;&gt;Expired")&gt;0,"✓",IF(COUNTIFS('AFA Rates'!$A$5:$A$1004,$A729,'AFA Rates'!$B$5:$B$1004,E$23)&gt;0,"Exp","")))</f>
        <v/>
      </c>
      <c r="F729" s="79">
        <f>IF(OR($A729="",F$23=""),"",IF(COUNTIFS('AFA Rates'!$A$5:$A$1004,$A729,'AFA Rates'!$B$5:$B$1004,F$23,'AFA Rates'!$O$5:$O$1004,"&lt;&gt;Expired")&gt;0,"✓",IF(COUNTIFS('AFA Rates'!$A$5:$A$1004,$A729,'AFA Rates'!$B$5:$B$1004,F$23)&gt;0,"Exp","")))</f>
        <v/>
      </c>
      <c r="G729" s="79">
        <f>IF(OR($A729="",G$23=""),"",IF(COUNTIFS('AFA Rates'!$A$5:$A$1004,$A729,'AFA Rates'!$B$5:$B$1004,G$23,'AFA Rates'!$O$5:$O$1004,"&lt;&gt;Expired")&gt;0,"✓",IF(COUNTIFS('AFA Rates'!$A$5:$A$1004,$A729,'AFA Rates'!$B$5:$B$1004,G$23)&gt;0,"Exp","")))</f>
        <v/>
      </c>
      <c r="H729" s="79">
        <f>IF(OR($A729="",H$23=""),"",IF(COUNTIFS('AFA Rates'!$A$5:$A$1004,$A729,'AFA Rates'!$B$5:$B$1004,H$23,'AFA Rates'!$O$5:$O$1004,"&lt;&gt;Expired")&gt;0,"✓",IF(COUNTIFS('AFA Rates'!$A$5:$A$1004,$A729,'AFA Rates'!$B$5:$B$1004,H$23)&gt;0,"Exp","")))</f>
        <v/>
      </c>
      <c r="I729" s="79">
        <f>IF(OR($A729="",I$23=""),"",IF(COUNTIFS('AFA Rates'!$A$5:$A$1004,$A729,'AFA Rates'!$B$5:$B$1004,I$23,'AFA Rates'!$O$5:$O$1004,"&lt;&gt;Expired")&gt;0,"✓",IF(COUNTIFS('AFA Rates'!$A$5:$A$1004,$A729,'AFA Rates'!$B$5:$B$1004,I$23)&gt;0,"Exp","")))</f>
        <v/>
      </c>
      <c r="J729" s="79">
        <f>IF(OR($A729="",J$23=""),"",IF(COUNTIFS('AFA Rates'!$A$5:$A$1004,$A729,'AFA Rates'!$B$5:$B$1004,J$23,'AFA Rates'!$O$5:$O$1004,"&lt;&gt;Expired")&gt;0,"✓",IF(COUNTIFS('AFA Rates'!$A$5:$A$1004,$A729,'AFA Rates'!$B$5:$B$1004,J$23)&gt;0,"Exp","")))</f>
        <v/>
      </c>
      <c r="K729" s="79">
        <f>IF(OR($A729="",K$23=""),"",IF(COUNTIFS('AFA Rates'!$A$5:$A$1004,$A729,'AFA Rates'!$B$5:$B$1004,K$23,'AFA Rates'!$O$5:$O$1004,"&lt;&gt;Expired")&gt;0,"✓",IF(COUNTIFS('AFA Rates'!$A$5:$A$1004,$A729,'AFA Rates'!$B$5:$B$1004,K$23)&gt;0,"Exp","")))</f>
        <v/>
      </c>
      <c r="L729" s="79">
        <f>IF(OR($A729="",L$23=""),"",IF(COUNTIFS('AFA Rates'!$A$5:$A$1004,$A729,'AFA Rates'!$B$5:$B$1004,L$23,'AFA Rates'!$O$5:$O$1004,"&lt;&gt;Expired")&gt;0,"✓",IF(COUNTIFS('AFA Rates'!$A$5:$A$1004,$A729,'AFA Rates'!$B$5:$B$1004,L$23)&gt;0,"Exp","")))</f>
        <v/>
      </c>
      <c r="M729" s="79">
        <f>IF(OR($A729="",M$23=""),"",IF(COUNTIFS('AFA Rates'!$A$5:$A$1004,$A729,'AFA Rates'!$B$5:$B$1004,M$23,'AFA Rates'!$O$5:$O$1004,"&lt;&gt;Expired")&gt;0,"✓",IF(COUNTIFS('AFA Rates'!$A$5:$A$1004,$A729,'AFA Rates'!$B$5:$B$1004,M$23)&gt;0,"Exp","")))</f>
        <v/>
      </c>
    </row>
    <row r="730">
      <c r="A730" s="78">
        <f>IFERROR(INDEX(Firms!$A$5:$A$1004,MATCH(707,Firms!$V$5:$V$1004,0)),"")</f>
        <v/>
      </c>
      <c r="B730" s="79">
        <f>IF($A730="","",INDEX(Firms!$B$5:$B$1004,MATCH(707,Firms!$V$5:$V$1004,0)))</f>
        <v/>
      </c>
      <c r="C730" s="79">
        <f>IF($A730="","",COUNTIFS('AFA Rates'!$A$5:$A$1004,$A730,'AFA Rates'!$O$5:$O$1004,"&lt;&gt;Expired"))</f>
        <v/>
      </c>
      <c r="D730" s="79">
        <f>IF(OR($A730="",D$23=""),"",IF(COUNTIFS('AFA Rates'!$A$5:$A$1004,$A730,'AFA Rates'!$B$5:$B$1004,D$23,'AFA Rates'!$O$5:$O$1004,"&lt;&gt;Expired")&gt;0,"✓",IF(COUNTIFS('AFA Rates'!$A$5:$A$1004,$A730,'AFA Rates'!$B$5:$B$1004,D$23)&gt;0,"Exp","")))</f>
        <v/>
      </c>
      <c r="E730" s="79">
        <f>IF(OR($A730="",E$23=""),"",IF(COUNTIFS('AFA Rates'!$A$5:$A$1004,$A730,'AFA Rates'!$B$5:$B$1004,E$23,'AFA Rates'!$O$5:$O$1004,"&lt;&gt;Expired")&gt;0,"✓",IF(COUNTIFS('AFA Rates'!$A$5:$A$1004,$A730,'AFA Rates'!$B$5:$B$1004,E$23)&gt;0,"Exp","")))</f>
        <v/>
      </c>
      <c r="F730" s="79">
        <f>IF(OR($A730="",F$23=""),"",IF(COUNTIFS('AFA Rates'!$A$5:$A$1004,$A730,'AFA Rates'!$B$5:$B$1004,F$23,'AFA Rates'!$O$5:$O$1004,"&lt;&gt;Expired")&gt;0,"✓",IF(COUNTIFS('AFA Rates'!$A$5:$A$1004,$A730,'AFA Rates'!$B$5:$B$1004,F$23)&gt;0,"Exp","")))</f>
        <v/>
      </c>
      <c r="G730" s="79">
        <f>IF(OR($A730="",G$23=""),"",IF(COUNTIFS('AFA Rates'!$A$5:$A$1004,$A730,'AFA Rates'!$B$5:$B$1004,G$23,'AFA Rates'!$O$5:$O$1004,"&lt;&gt;Expired")&gt;0,"✓",IF(COUNTIFS('AFA Rates'!$A$5:$A$1004,$A730,'AFA Rates'!$B$5:$B$1004,G$23)&gt;0,"Exp","")))</f>
        <v/>
      </c>
      <c r="H730" s="79">
        <f>IF(OR($A730="",H$23=""),"",IF(COUNTIFS('AFA Rates'!$A$5:$A$1004,$A730,'AFA Rates'!$B$5:$B$1004,H$23,'AFA Rates'!$O$5:$O$1004,"&lt;&gt;Expired")&gt;0,"✓",IF(COUNTIFS('AFA Rates'!$A$5:$A$1004,$A730,'AFA Rates'!$B$5:$B$1004,H$23)&gt;0,"Exp","")))</f>
        <v/>
      </c>
      <c r="I730" s="79">
        <f>IF(OR($A730="",I$23=""),"",IF(COUNTIFS('AFA Rates'!$A$5:$A$1004,$A730,'AFA Rates'!$B$5:$B$1004,I$23,'AFA Rates'!$O$5:$O$1004,"&lt;&gt;Expired")&gt;0,"✓",IF(COUNTIFS('AFA Rates'!$A$5:$A$1004,$A730,'AFA Rates'!$B$5:$B$1004,I$23)&gt;0,"Exp","")))</f>
        <v/>
      </c>
      <c r="J730" s="79">
        <f>IF(OR($A730="",J$23=""),"",IF(COUNTIFS('AFA Rates'!$A$5:$A$1004,$A730,'AFA Rates'!$B$5:$B$1004,J$23,'AFA Rates'!$O$5:$O$1004,"&lt;&gt;Expired")&gt;0,"✓",IF(COUNTIFS('AFA Rates'!$A$5:$A$1004,$A730,'AFA Rates'!$B$5:$B$1004,J$23)&gt;0,"Exp","")))</f>
        <v/>
      </c>
      <c r="K730" s="79">
        <f>IF(OR($A730="",K$23=""),"",IF(COUNTIFS('AFA Rates'!$A$5:$A$1004,$A730,'AFA Rates'!$B$5:$B$1004,K$23,'AFA Rates'!$O$5:$O$1004,"&lt;&gt;Expired")&gt;0,"✓",IF(COUNTIFS('AFA Rates'!$A$5:$A$1004,$A730,'AFA Rates'!$B$5:$B$1004,K$23)&gt;0,"Exp","")))</f>
        <v/>
      </c>
      <c r="L730" s="79">
        <f>IF(OR($A730="",L$23=""),"",IF(COUNTIFS('AFA Rates'!$A$5:$A$1004,$A730,'AFA Rates'!$B$5:$B$1004,L$23,'AFA Rates'!$O$5:$O$1004,"&lt;&gt;Expired")&gt;0,"✓",IF(COUNTIFS('AFA Rates'!$A$5:$A$1004,$A730,'AFA Rates'!$B$5:$B$1004,L$23)&gt;0,"Exp","")))</f>
        <v/>
      </c>
      <c r="M730" s="79">
        <f>IF(OR($A730="",M$23=""),"",IF(COUNTIFS('AFA Rates'!$A$5:$A$1004,$A730,'AFA Rates'!$B$5:$B$1004,M$23,'AFA Rates'!$O$5:$O$1004,"&lt;&gt;Expired")&gt;0,"✓",IF(COUNTIFS('AFA Rates'!$A$5:$A$1004,$A730,'AFA Rates'!$B$5:$B$1004,M$23)&gt;0,"Exp","")))</f>
        <v/>
      </c>
    </row>
    <row r="731">
      <c r="A731" s="78">
        <f>IFERROR(INDEX(Firms!$A$5:$A$1004,MATCH(708,Firms!$V$5:$V$1004,0)),"")</f>
        <v/>
      </c>
      <c r="B731" s="79">
        <f>IF($A731="","",INDEX(Firms!$B$5:$B$1004,MATCH(708,Firms!$V$5:$V$1004,0)))</f>
        <v/>
      </c>
      <c r="C731" s="79">
        <f>IF($A731="","",COUNTIFS('AFA Rates'!$A$5:$A$1004,$A731,'AFA Rates'!$O$5:$O$1004,"&lt;&gt;Expired"))</f>
        <v/>
      </c>
      <c r="D731" s="79">
        <f>IF(OR($A731="",D$23=""),"",IF(COUNTIFS('AFA Rates'!$A$5:$A$1004,$A731,'AFA Rates'!$B$5:$B$1004,D$23,'AFA Rates'!$O$5:$O$1004,"&lt;&gt;Expired")&gt;0,"✓",IF(COUNTIFS('AFA Rates'!$A$5:$A$1004,$A731,'AFA Rates'!$B$5:$B$1004,D$23)&gt;0,"Exp","")))</f>
        <v/>
      </c>
      <c r="E731" s="79">
        <f>IF(OR($A731="",E$23=""),"",IF(COUNTIFS('AFA Rates'!$A$5:$A$1004,$A731,'AFA Rates'!$B$5:$B$1004,E$23,'AFA Rates'!$O$5:$O$1004,"&lt;&gt;Expired")&gt;0,"✓",IF(COUNTIFS('AFA Rates'!$A$5:$A$1004,$A731,'AFA Rates'!$B$5:$B$1004,E$23)&gt;0,"Exp","")))</f>
        <v/>
      </c>
      <c r="F731" s="79">
        <f>IF(OR($A731="",F$23=""),"",IF(COUNTIFS('AFA Rates'!$A$5:$A$1004,$A731,'AFA Rates'!$B$5:$B$1004,F$23,'AFA Rates'!$O$5:$O$1004,"&lt;&gt;Expired")&gt;0,"✓",IF(COUNTIFS('AFA Rates'!$A$5:$A$1004,$A731,'AFA Rates'!$B$5:$B$1004,F$23)&gt;0,"Exp","")))</f>
        <v/>
      </c>
      <c r="G731" s="79">
        <f>IF(OR($A731="",G$23=""),"",IF(COUNTIFS('AFA Rates'!$A$5:$A$1004,$A731,'AFA Rates'!$B$5:$B$1004,G$23,'AFA Rates'!$O$5:$O$1004,"&lt;&gt;Expired")&gt;0,"✓",IF(COUNTIFS('AFA Rates'!$A$5:$A$1004,$A731,'AFA Rates'!$B$5:$B$1004,G$23)&gt;0,"Exp","")))</f>
        <v/>
      </c>
      <c r="H731" s="79">
        <f>IF(OR($A731="",H$23=""),"",IF(COUNTIFS('AFA Rates'!$A$5:$A$1004,$A731,'AFA Rates'!$B$5:$B$1004,H$23,'AFA Rates'!$O$5:$O$1004,"&lt;&gt;Expired")&gt;0,"✓",IF(COUNTIFS('AFA Rates'!$A$5:$A$1004,$A731,'AFA Rates'!$B$5:$B$1004,H$23)&gt;0,"Exp","")))</f>
        <v/>
      </c>
      <c r="I731" s="79">
        <f>IF(OR($A731="",I$23=""),"",IF(COUNTIFS('AFA Rates'!$A$5:$A$1004,$A731,'AFA Rates'!$B$5:$B$1004,I$23,'AFA Rates'!$O$5:$O$1004,"&lt;&gt;Expired")&gt;0,"✓",IF(COUNTIFS('AFA Rates'!$A$5:$A$1004,$A731,'AFA Rates'!$B$5:$B$1004,I$23)&gt;0,"Exp","")))</f>
        <v/>
      </c>
      <c r="J731" s="79">
        <f>IF(OR($A731="",J$23=""),"",IF(COUNTIFS('AFA Rates'!$A$5:$A$1004,$A731,'AFA Rates'!$B$5:$B$1004,J$23,'AFA Rates'!$O$5:$O$1004,"&lt;&gt;Expired")&gt;0,"✓",IF(COUNTIFS('AFA Rates'!$A$5:$A$1004,$A731,'AFA Rates'!$B$5:$B$1004,J$23)&gt;0,"Exp","")))</f>
        <v/>
      </c>
      <c r="K731" s="79">
        <f>IF(OR($A731="",K$23=""),"",IF(COUNTIFS('AFA Rates'!$A$5:$A$1004,$A731,'AFA Rates'!$B$5:$B$1004,K$23,'AFA Rates'!$O$5:$O$1004,"&lt;&gt;Expired")&gt;0,"✓",IF(COUNTIFS('AFA Rates'!$A$5:$A$1004,$A731,'AFA Rates'!$B$5:$B$1004,K$23)&gt;0,"Exp","")))</f>
        <v/>
      </c>
      <c r="L731" s="79">
        <f>IF(OR($A731="",L$23=""),"",IF(COUNTIFS('AFA Rates'!$A$5:$A$1004,$A731,'AFA Rates'!$B$5:$B$1004,L$23,'AFA Rates'!$O$5:$O$1004,"&lt;&gt;Expired")&gt;0,"✓",IF(COUNTIFS('AFA Rates'!$A$5:$A$1004,$A731,'AFA Rates'!$B$5:$B$1004,L$23)&gt;0,"Exp","")))</f>
        <v/>
      </c>
      <c r="M731" s="79">
        <f>IF(OR($A731="",M$23=""),"",IF(COUNTIFS('AFA Rates'!$A$5:$A$1004,$A731,'AFA Rates'!$B$5:$B$1004,M$23,'AFA Rates'!$O$5:$O$1004,"&lt;&gt;Expired")&gt;0,"✓",IF(COUNTIFS('AFA Rates'!$A$5:$A$1004,$A731,'AFA Rates'!$B$5:$B$1004,M$23)&gt;0,"Exp","")))</f>
        <v/>
      </c>
    </row>
    <row r="732">
      <c r="A732" s="78">
        <f>IFERROR(INDEX(Firms!$A$5:$A$1004,MATCH(709,Firms!$V$5:$V$1004,0)),"")</f>
        <v/>
      </c>
      <c r="B732" s="79">
        <f>IF($A732="","",INDEX(Firms!$B$5:$B$1004,MATCH(709,Firms!$V$5:$V$1004,0)))</f>
        <v/>
      </c>
      <c r="C732" s="79">
        <f>IF($A732="","",COUNTIFS('AFA Rates'!$A$5:$A$1004,$A732,'AFA Rates'!$O$5:$O$1004,"&lt;&gt;Expired"))</f>
        <v/>
      </c>
      <c r="D732" s="79">
        <f>IF(OR($A732="",D$23=""),"",IF(COUNTIFS('AFA Rates'!$A$5:$A$1004,$A732,'AFA Rates'!$B$5:$B$1004,D$23,'AFA Rates'!$O$5:$O$1004,"&lt;&gt;Expired")&gt;0,"✓",IF(COUNTIFS('AFA Rates'!$A$5:$A$1004,$A732,'AFA Rates'!$B$5:$B$1004,D$23)&gt;0,"Exp","")))</f>
        <v/>
      </c>
      <c r="E732" s="79">
        <f>IF(OR($A732="",E$23=""),"",IF(COUNTIFS('AFA Rates'!$A$5:$A$1004,$A732,'AFA Rates'!$B$5:$B$1004,E$23,'AFA Rates'!$O$5:$O$1004,"&lt;&gt;Expired")&gt;0,"✓",IF(COUNTIFS('AFA Rates'!$A$5:$A$1004,$A732,'AFA Rates'!$B$5:$B$1004,E$23)&gt;0,"Exp","")))</f>
        <v/>
      </c>
      <c r="F732" s="79">
        <f>IF(OR($A732="",F$23=""),"",IF(COUNTIFS('AFA Rates'!$A$5:$A$1004,$A732,'AFA Rates'!$B$5:$B$1004,F$23,'AFA Rates'!$O$5:$O$1004,"&lt;&gt;Expired")&gt;0,"✓",IF(COUNTIFS('AFA Rates'!$A$5:$A$1004,$A732,'AFA Rates'!$B$5:$B$1004,F$23)&gt;0,"Exp","")))</f>
        <v/>
      </c>
      <c r="G732" s="79">
        <f>IF(OR($A732="",G$23=""),"",IF(COUNTIFS('AFA Rates'!$A$5:$A$1004,$A732,'AFA Rates'!$B$5:$B$1004,G$23,'AFA Rates'!$O$5:$O$1004,"&lt;&gt;Expired")&gt;0,"✓",IF(COUNTIFS('AFA Rates'!$A$5:$A$1004,$A732,'AFA Rates'!$B$5:$B$1004,G$23)&gt;0,"Exp","")))</f>
        <v/>
      </c>
      <c r="H732" s="79">
        <f>IF(OR($A732="",H$23=""),"",IF(COUNTIFS('AFA Rates'!$A$5:$A$1004,$A732,'AFA Rates'!$B$5:$B$1004,H$23,'AFA Rates'!$O$5:$O$1004,"&lt;&gt;Expired")&gt;0,"✓",IF(COUNTIFS('AFA Rates'!$A$5:$A$1004,$A732,'AFA Rates'!$B$5:$B$1004,H$23)&gt;0,"Exp","")))</f>
        <v/>
      </c>
      <c r="I732" s="79">
        <f>IF(OR($A732="",I$23=""),"",IF(COUNTIFS('AFA Rates'!$A$5:$A$1004,$A732,'AFA Rates'!$B$5:$B$1004,I$23,'AFA Rates'!$O$5:$O$1004,"&lt;&gt;Expired")&gt;0,"✓",IF(COUNTIFS('AFA Rates'!$A$5:$A$1004,$A732,'AFA Rates'!$B$5:$B$1004,I$23)&gt;0,"Exp","")))</f>
        <v/>
      </c>
      <c r="J732" s="79">
        <f>IF(OR($A732="",J$23=""),"",IF(COUNTIFS('AFA Rates'!$A$5:$A$1004,$A732,'AFA Rates'!$B$5:$B$1004,J$23,'AFA Rates'!$O$5:$O$1004,"&lt;&gt;Expired")&gt;0,"✓",IF(COUNTIFS('AFA Rates'!$A$5:$A$1004,$A732,'AFA Rates'!$B$5:$B$1004,J$23)&gt;0,"Exp","")))</f>
        <v/>
      </c>
      <c r="K732" s="79">
        <f>IF(OR($A732="",K$23=""),"",IF(COUNTIFS('AFA Rates'!$A$5:$A$1004,$A732,'AFA Rates'!$B$5:$B$1004,K$23,'AFA Rates'!$O$5:$O$1004,"&lt;&gt;Expired")&gt;0,"✓",IF(COUNTIFS('AFA Rates'!$A$5:$A$1004,$A732,'AFA Rates'!$B$5:$B$1004,K$23)&gt;0,"Exp","")))</f>
        <v/>
      </c>
      <c r="L732" s="79">
        <f>IF(OR($A732="",L$23=""),"",IF(COUNTIFS('AFA Rates'!$A$5:$A$1004,$A732,'AFA Rates'!$B$5:$B$1004,L$23,'AFA Rates'!$O$5:$O$1004,"&lt;&gt;Expired")&gt;0,"✓",IF(COUNTIFS('AFA Rates'!$A$5:$A$1004,$A732,'AFA Rates'!$B$5:$B$1004,L$23)&gt;0,"Exp","")))</f>
        <v/>
      </c>
      <c r="M732" s="79">
        <f>IF(OR($A732="",M$23=""),"",IF(COUNTIFS('AFA Rates'!$A$5:$A$1004,$A732,'AFA Rates'!$B$5:$B$1004,M$23,'AFA Rates'!$O$5:$O$1004,"&lt;&gt;Expired")&gt;0,"✓",IF(COUNTIFS('AFA Rates'!$A$5:$A$1004,$A732,'AFA Rates'!$B$5:$B$1004,M$23)&gt;0,"Exp","")))</f>
        <v/>
      </c>
    </row>
    <row r="733">
      <c r="A733" s="78">
        <f>IFERROR(INDEX(Firms!$A$5:$A$1004,MATCH(710,Firms!$V$5:$V$1004,0)),"")</f>
        <v/>
      </c>
      <c r="B733" s="79">
        <f>IF($A733="","",INDEX(Firms!$B$5:$B$1004,MATCH(710,Firms!$V$5:$V$1004,0)))</f>
        <v/>
      </c>
      <c r="C733" s="79">
        <f>IF($A733="","",COUNTIFS('AFA Rates'!$A$5:$A$1004,$A733,'AFA Rates'!$O$5:$O$1004,"&lt;&gt;Expired"))</f>
        <v/>
      </c>
      <c r="D733" s="79">
        <f>IF(OR($A733="",D$23=""),"",IF(COUNTIFS('AFA Rates'!$A$5:$A$1004,$A733,'AFA Rates'!$B$5:$B$1004,D$23,'AFA Rates'!$O$5:$O$1004,"&lt;&gt;Expired")&gt;0,"✓",IF(COUNTIFS('AFA Rates'!$A$5:$A$1004,$A733,'AFA Rates'!$B$5:$B$1004,D$23)&gt;0,"Exp","")))</f>
        <v/>
      </c>
      <c r="E733" s="79">
        <f>IF(OR($A733="",E$23=""),"",IF(COUNTIFS('AFA Rates'!$A$5:$A$1004,$A733,'AFA Rates'!$B$5:$B$1004,E$23,'AFA Rates'!$O$5:$O$1004,"&lt;&gt;Expired")&gt;0,"✓",IF(COUNTIFS('AFA Rates'!$A$5:$A$1004,$A733,'AFA Rates'!$B$5:$B$1004,E$23)&gt;0,"Exp","")))</f>
        <v/>
      </c>
      <c r="F733" s="79">
        <f>IF(OR($A733="",F$23=""),"",IF(COUNTIFS('AFA Rates'!$A$5:$A$1004,$A733,'AFA Rates'!$B$5:$B$1004,F$23,'AFA Rates'!$O$5:$O$1004,"&lt;&gt;Expired")&gt;0,"✓",IF(COUNTIFS('AFA Rates'!$A$5:$A$1004,$A733,'AFA Rates'!$B$5:$B$1004,F$23)&gt;0,"Exp","")))</f>
        <v/>
      </c>
      <c r="G733" s="79">
        <f>IF(OR($A733="",G$23=""),"",IF(COUNTIFS('AFA Rates'!$A$5:$A$1004,$A733,'AFA Rates'!$B$5:$B$1004,G$23,'AFA Rates'!$O$5:$O$1004,"&lt;&gt;Expired")&gt;0,"✓",IF(COUNTIFS('AFA Rates'!$A$5:$A$1004,$A733,'AFA Rates'!$B$5:$B$1004,G$23)&gt;0,"Exp","")))</f>
        <v/>
      </c>
      <c r="H733" s="79">
        <f>IF(OR($A733="",H$23=""),"",IF(COUNTIFS('AFA Rates'!$A$5:$A$1004,$A733,'AFA Rates'!$B$5:$B$1004,H$23,'AFA Rates'!$O$5:$O$1004,"&lt;&gt;Expired")&gt;0,"✓",IF(COUNTIFS('AFA Rates'!$A$5:$A$1004,$A733,'AFA Rates'!$B$5:$B$1004,H$23)&gt;0,"Exp","")))</f>
        <v/>
      </c>
      <c r="I733" s="79">
        <f>IF(OR($A733="",I$23=""),"",IF(COUNTIFS('AFA Rates'!$A$5:$A$1004,$A733,'AFA Rates'!$B$5:$B$1004,I$23,'AFA Rates'!$O$5:$O$1004,"&lt;&gt;Expired")&gt;0,"✓",IF(COUNTIFS('AFA Rates'!$A$5:$A$1004,$A733,'AFA Rates'!$B$5:$B$1004,I$23)&gt;0,"Exp","")))</f>
        <v/>
      </c>
      <c r="J733" s="79">
        <f>IF(OR($A733="",J$23=""),"",IF(COUNTIFS('AFA Rates'!$A$5:$A$1004,$A733,'AFA Rates'!$B$5:$B$1004,J$23,'AFA Rates'!$O$5:$O$1004,"&lt;&gt;Expired")&gt;0,"✓",IF(COUNTIFS('AFA Rates'!$A$5:$A$1004,$A733,'AFA Rates'!$B$5:$B$1004,J$23)&gt;0,"Exp","")))</f>
        <v/>
      </c>
      <c r="K733" s="79">
        <f>IF(OR($A733="",K$23=""),"",IF(COUNTIFS('AFA Rates'!$A$5:$A$1004,$A733,'AFA Rates'!$B$5:$B$1004,K$23,'AFA Rates'!$O$5:$O$1004,"&lt;&gt;Expired")&gt;0,"✓",IF(COUNTIFS('AFA Rates'!$A$5:$A$1004,$A733,'AFA Rates'!$B$5:$B$1004,K$23)&gt;0,"Exp","")))</f>
        <v/>
      </c>
      <c r="L733" s="79">
        <f>IF(OR($A733="",L$23=""),"",IF(COUNTIFS('AFA Rates'!$A$5:$A$1004,$A733,'AFA Rates'!$B$5:$B$1004,L$23,'AFA Rates'!$O$5:$O$1004,"&lt;&gt;Expired")&gt;0,"✓",IF(COUNTIFS('AFA Rates'!$A$5:$A$1004,$A733,'AFA Rates'!$B$5:$B$1004,L$23)&gt;0,"Exp","")))</f>
        <v/>
      </c>
      <c r="M733" s="79">
        <f>IF(OR($A733="",M$23=""),"",IF(COUNTIFS('AFA Rates'!$A$5:$A$1004,$A733,'AFA Rates'!$B$5:$B$1004,M$23,'AFA Rates'!$O$5:$O$1004,"&lt;&gt;Expired")&gt;0,"✓",IF(COUNTIFS('AFA Rates'!$A$5:$A$1004,$A733,'AFA Rates'!$B$5:$B$1004,M$23)&gt;0,"Exp","")))</f>
        <v/>
      </c>
    </row>
    <row r="734">
      <c r="A734" s="78">
        <f>IFERROR(INDEX(Firms!$A$5:$A$1004,MATCH(711,Firms!$V$5:$V$1004,0)),"")</f>
        <v/>
      </c>
      <c r="B734" s="79">
        <f>IF($A734="","",INDEX(Firms!$B$5:$B$1004,MATCH(711,Firms!$V$5:$V$1004,0)))</f>
        <v/>
      </c>
      <c r="C734" s="79">
        <f>IF($A734="","",COUNTIFS('AFA Rates'!$A$5:$A$1004,$A734,'AFA Rates'!$O$5:$O$1004,"&lt;&gt;Expired"))</f>
        <v/>
      </c>
      <c r="D734" s="79">
        <f>IF(OR($A734="",D$23=""),"",IF(COUNTIFS('AFA Rates'!$A$5:$A$1004,$A734,'AFA Rates'!$B$5:$B$1004,D$23,'AFA Rates'!$O$5:$O$1004,"&lt;&gt;Expired")&gt;0,"✓",IF(COUNTIFS('AFA Rates'!$A$5:$A$1004,$A734,'AFA Rates'!$B$5:$B$1004,D$23)&gt;0,"Exp","")))</f>
        <v/>
      </c>
      <c r="E734" s="79">
        <f>IF(OR($A734="",E$23=""),"",IF(COUNTIFS('AFA Rates'!$A$5:$A$1004,$A734,'AFA Rates'!$B$5:$B$1004,E$23,'AFA Rates'!$O$5:$O$1004,"&lt;&gt;Expired")&gt;0,"✓",IF(COUNTIFS('AFA Rates'!$A$5:$A$1004,$A734,'AFA Rates'!$B$5:$B$1004,E$23)&gt;0,"Exp","")))</f>
        <v/>
      </c>
      <c r="F734" s="79">
        <f>IF(OR($A734="",F$23=""),"",IF(COUNTIFS('AFA Rates'!$A$5:$A$1004,$A734,'AFA Rates'!$B$5:$B$1004,F$23,'AFA Rates'!$O$5:$O$1004,"&lt;&gt;Expired")&gt;0,"✓",IF(COUNTIFS('AFA Rates'!$A$5:$A$1004,$A734,'AFA Rates'!$B$5:$B$1004,F$23)&gt;0,"Exp","")))</f>
        <v/>
      </c>
      <c r="G734" s="79">
        <f>IF(OR($A734="",G$23=""),"",IF(COUNTIFS('AFA Rates'!$A$5:$A$1004,$A734,'AFA Rates'!$B$5:$B$1004,G$23,'AFA Rates'!$O$5:$O$1004,"&lt;&gt;Expired")&gt;0,"✓",IF(COUNTIFS('AFA Rates'!$A$5:$A$1004,$A734,'AFA Rates'!$B$5:$B$1004,G$23)&gt;0,"Exp","")))</f>
        <v/>
      </c>
      <c r="H734" s="79">
        <f>IF(OR($A734="",H$23=""),"",IF(COUNTIFS('AFA Rates'!$A$5:$A$1004,$A734,'AFA Rates'!$B$5:$B$1004,H$23,'AFA Rates'!$O$5:$O$1004,"&lt;&gt;Expired")&gt;0,"✓",IF(COUNTIFS('AFA Rates'!$A$5:$A$1004,$A734,'AFA Rates'!$B$5:$B$1004,H$23)&gt;0,"Exp","")))</f>
        <v/>
      </c>
      <c r="I734" s="79">
        <f>IF(OR($A734="",I$23=""),"",IF(COUNTIFS('AFA Rates'!$A$5:$A$1004,$A734,'AFA Rates'!$B$5:$B$1004,I$23,'AFA Rates'!$O$5:$O$1004,"&lt;&gt;Expired")&gt;0,"✓",IF(COUNTIFS('AFA Rates'!$A$5:$A$1004,$A734,'AFA Rates'!$B$5:$B$1004,I$23)&gt;0,"Exp","")))</f>
        <v/>
      </c>
      <c r="J734" s="79">
        <f>IF(OR($A734="",J$23=""),"",IF(COUNTIFS('AFA Rates'!$A$5:$A$1004,$A734,'AFA Rates'!$B$5:$B$1004,J$23,'AFA Rates'!$O$5:$O$1004,"&lt;&gt;Expired")&gt;0,"✓",IF(COUNTIFS('AFA Rates'!$A$5:$A$1004,$A734,'AFA Rates'!$B$5:$B$1004,J$23)&gt;0,"Exp","")))</f>
        <v/>
      </c>
      <c r="K734" s="79">
        <f>IF(OR($A734="",K$23=""),"",IF(COUNTIFS('AFA Rates'!$A$5:$A$1004,$A734,'AFA Rates'!$B$5:$B$1004,K$23,'AFA Rates'!$O$5:$O$1004,"&lt;&gt;Expired")&gt;0,"✓",IF(COUNTIFS('AFA Rates'!$A$5:$A$1004,$A734,'AFA Rates'!$B$5:$B$1004,K$23)&gt;0,"Exp","")))</f>
        <v/>
      </c>
      <c r="L734" s="79">
        <f>IF(OR($A734="",L$23=""),"",IF(COUNTIFS('AFA Rates'!$A$5:$A$1004,$A734,'AFA Rates'!$B$5:$B$1004,L$23,'AFA Rates'!$O$5:$O$1004,"&lt;&gt;Expired")&gt;0,"✓",IF(COUNTIFS('AFA Rates'!$A$5:$A$1004,$A734,'AFA Rates'!$B$5:$B$1004,L$23)&gt;0,"Exp","")))</f>
        <v/>
      </c>
      <c r="M734" s="79">
        <f>IF(OR($A734="",M$23=""),"",IF(COUNTIFS('AFA Rates'!$A$5:$A$1004,$A734,'AFA Rates'!$B$5:$B$1004,M$23,'AFA Rates'!$O$5:$O$1004,"&lt;&gt;Expired")&gt;0,"✓",IF(COUNTIFS('AFA Rates'!$A$5:$A$1004,$A734,'AFA Rates'!$B$5:$B$1004,M$23)&gt;0,"Exp","")))</f>
        <v/>
      </c>
    </row>
    <row r="735">
      <c r="A735" s="78">
        <f>IFERROR(INDEX(Firms!$A$5:$A$1004,MATCH(712,Firms!$V$5:$V$1004,0)),"")</f>
        <v/>
      </c>
      <c r="B735" s="79">
        <f>IF($A735="","",INDEX(Firms!$B$5:$B$1004,MATCH(712,Firms!$V$5:$V$1004,0)))</f>
        <v/>
      </c>
      <c r="C735" s="79">
        <f>IF($A735="","",COUNTIFS('AFA Rates'!$A$5:$A$1004,$A735,'AFA Rates'!$O$5:$O$1004,"&lt;&gt;Expired"))</f>
        <v/>
      </c>
      <c r="D735" s="79">
        <f>IF(OR($A735="",D$23=""),"",IF(COUNTIFS('AFA Rates'!$A$5:$A$1004,$A735,'AFA Rates'!$B$5:$B$1004,D$23,'AFA Rates'!$O$5:$O$1004,"&lt;&gt;Expired")&gt;0,"✓",IF(COUNTIFS('AFA Rates'!$A$5:$A$1004,$A735,'AFA Rates'!$B$5:$B$1004,D$23)&gt;0,"Exp","")))</f>
        <v/>
      </c>
      <c r="E735" s="79">
        <f>IF(OR($A735="",E$23=""),"",IF(COUNTIFS('AFA Rates'!$A$5:$A$1004,$A735,'AFA Rates'!$B$5:$B$1004,E$23,'AFA Rates'!$O$5:$O$1004,"&lt;&gt;Expired")&gt;0,"✓",IF(COUNTIFS('AFA Rates'!$A$5:$A$1004,$A735,'AFA Rates'!$B$5:$B$1004,E$23)&gt;0,"Exp","")))</f>
        <v/>
      </c>
      <c r="F735" s="79">
        <f>IF(OR($A735="",F$23=""),"",IF(COUNTIFS('AFA Rates'!$A$5:$A$1004,$A735,'AFA Rates'!$B$5:$B$1004,F$23,'AFA Rates'!$O$5:$O$1004,"&lt;&gt;Expired")&gt;0,"✓",IF(COUNTIFS('AFA Rates'!$A$5:$A$1004,$A735,'AFA Rates'!$B$5:$B$1004,F$23)&gt;0,"Exp","")))</f>
        <v/>
      </c>
      <c r="G735" s="79">
        <f>IF(OR($A735="",G$23=""),"",IF(COUNTIFS('AFA Rates'!$A$5:$A$1004,$A735,'AFA Rates'!$B$5:$B$1004,G$23,'AFA Rates'!$O$5:$O$1004,"&lt;&gt;Expired")&gt;0,"✓",IF(COUNTIFS('AFA Rates'!$A$5:$A$1004,$A735,'AFA Rates'!$B$5:$B$1004,G$23)&gt;0,"Exp","")))</f>
        <v/>
      </c>
      <c r="H735" s="79">
        <f>IF(OR($A735="",H$23=""),"",IF(COUNTIFS('AFA Rates'!$A$5:$A$1004,$A735,'AFA Rates'!$B$5:$B$1004,H$23,'AFA Rates'!$O$5:$O$1004,"&lt;&gt;Expired")&gt;0,"✓",IF(COUNTIFS('AFA Rates'!$A$5:$A$1004,$A735,'AFA Rates'!$B$5:$B$1004,H$23)&gt;0,"Exp","")))</f>
        <v/>
      </c>
      <c r="I735" s="79">
        <f>IF(OR($A735="",I$23=""),"",IF(COUNTIFS('AFA Rates'!$A$5:$A$1004,$A735,'AFA Rates'!$B$5:$B$1004,I$23,'AFA Rates'!$O$5:$O$1004,"&lt;&gt;Expired")&gt;0,"✓",IF(COUNTIFS('AFA Rates'!$A$5:$A$1004,$A735,'AFA Rates'!$B$5:$B$1004,I$23)&gt;0,"Exp","")))</f>
        <v/>
      </c>
      <c r="J735" s="79">
        <f>IF(OR($A735="",J$23=""),"",IF(COUNTIFS('AFA Rates'!$A$5:$A$1004,$A735,'AFA Rates'!$B$5:$B$1004,J$23,'AFA Rates'!$O$5:$O$1004,"&lt;&gt;Expired")&gt;0,"✓",IF(COUNTIFS('AFA Rates'!$A$5:$A$1004,$A735,'AFA Rates'!$B$5:$B$1004,J$23)&gt;0,"Exp","")))</f>
        <v/>
      </c>
      <c r="K735" s="79">
        <f>IF(OR($A735="",K$23=""),"",IF(COUNTIFS('AFA Rates'!$A$5:$A$1004,$A735,'AFA Rates'!$B$5:$B$1004,K$23,'AFA Rates'!$O$5:$O$1004,"&lt;&gt;Expired")&gt;0,"✓",IF(COUNTIFS('AFA Rates'!$A$5:$A$1004,$A735,'AFA Rates'!$B$5:$B$1004,K$23)&gt;0,"Exp","")))</f>
        <v/>
      </c>
      <c r="L735" s="79">
        <f>IF(OR($A735="",L$23=""),"",IF(COUNTIFS('AFA Rates'!$A$5:$A$1004,$A735,'AFA Rates'!$B$5:$B$1004,L$23,'AFA Rates'!$O$5:$O$1004,"&lt;&gt;Expired")&gt;0,"✓",IF(COUNTIFS('AFA Rates'!$A$5:$A$1004,$A735,'AFA Rates'!$B$5:$B$1004,L$23)&gt;0,"Exp","")))</f>
        <v/>
      </c>
      <c r="M735" s="79">
        <f>IF(OR($A735="",M$23=""),"",IF(COUNTIFS('AFA Rates'!$A$5:$A$1004,$A735,'AFA Rates'!$B$5:$B$1004,M$23,'AFA Rates'!$O$5:$O$1004,"&lt;&gt;Expired")&gt;0,"✓",IF(COUNTIFS('AFA Rates'!$A$5:$A$1004,$A735,'AFA Rates'!$B$5:$B$1004,M$23)&gt;0,"Exp","")))</f>
        <v/>
      </c>
    </row>
    <row r="736">
      <c r="A736" s="78">
        <f>IFERROR(INDEX(Firms!$A$5:$A$1004,MATCH(713,Firms!$V$5:$V$1004,0)),"")</f>
        <v/>
      </c>
      <c r="B736" s="79">
        <f>IF($A736="","",INDEX(Firms!$B$5:$B$1004,MATCH(713,Firms!$V$5:$V$1004,0)))</f>
        <v/>
      </c>
      <c r="C736" s="79">
        <f>IF($A736="","",COUNTIFS('AFA Rates'!$A$5:$A$1004,$A736,'AFA Rates'!$O$5:$O$1004,"&lt;&gt;Expired"))</f>
        <v/>
      </c>
      <c r="D736" s="79">
        <f>IF(OR($A736="",D$23=""),"",IF(COUNTIFS('AFA Rates'!$A$5:$A$1004,$A736,'AFA Rates'!$B$5:$B$1004,D$23,'AFA Rates'!$O$5:$O$1004,"&lt;&gt;Expired")&gt;0,"✓",IF(COUNTIFS('AFA Rates'!$A$5:$A$1004,$A736,'AFA Rates'!$B$5:$B$1004,D$23)&gt;0,"Exp","")))</f>
        <v/>
      </c>
      <c r="E736" s="79">
        <f>IF(OR($A736="",E$23=""),"",IF(COUNTIFS('AFA Rates'!$A$5:$A$1004,$A736,'AFA Rates'!$B$5:$B$1004,E$23,'AFA Rates'!$O$5:$O$1004,"&lt;&gt;Expired")&gt;0,"✓",IF(COUNTIFS('AFA Rates'!$A$5:$A$1004,$A736,'AFA Rates'!$B$5:$B$1004,E$23)&gt;0,"Exp","")))</f>
        <v/>
      </c>
      <c r="F736" s="79">
        <f>IF(OR($A736="",F$23=""),"",IF(COUNTIFS('AFA Rates'!$A$5:$A$1004,$A736,'AFA Rates'!$B$5:$B$1004,F$23,'AFA Rates'!$O$5:$O$1004,"&lt;&gt;Expired")&gt;0,"✓",IF(COUNTIFS('AFA Rates'!$A$5:$A$1004,$A736,'AFA Rates'!$B$5:$B$1004,F$23)&gt;0,"Exp","")))</f>
        <v/>
      </c>
      <c r="G736" s="79">
        <f>IF(OR($A736="",G$23=""),"",IF(COUNTIFS('AFA Rates'!$A$5:$A$1004,$A736,'AFA Rates'!$B$5:$B$1004,G$23,'AFA Rates'!$O$5:$O$1004,"&lt;&gt;Expired")&gt;0,"✓",IF(COUNTIFS('AFA Rates'!$A$5:$A$1004,$A736,'AFA Rates'!$B$5:$B$1004,G$23)&gt;0,"Exp","")))</f>
        <v/>
      </c>
      <c r="H736" s="79">
        <f>IF(OR($A736="",H$23=""),"",IF(COUNTIFS('AFA Rates'!$A$5:$A$1004,$A736,'AFA Rates'!$B$5:$B$1004,H$23,'AFA Rates'!$O$5:$O$1004,"&lt;&gt;Expired")&gt;0,"✓",IF(COUNTIFS('AFA Rates'!$A$5:$A$1004,$A736,'AFA Rates'!$B$5:$B$1004,H$23)&gt;0,"Exp","")))</f>
        <v/>
      </c>
      <c r="I736" s="79">
        <f>IF(OR($A736="",I$23=""),"",IF(COUNTIFS('AFA Rates'!$A$5:$A$1004,$A736,'AFA Rates'!$B$5:$B$1004,I$23,'AFA Rates'!$O$5:$O$1004,"&lt;&gt;Expired")&gt;0,"✓",IF(COUNTIFS('AFA Rates'!$A$5:$A$1004,$A736,'AFA Rates'!$B$5:$B$1004,I$23)&gt;0,"Exp","")))</f>
        <v/>
      </c>
      <c r="J736" s="79">
        <f>IF(OR($A736="",J$23=""),"",IF(COUNTIFS('AFA Rates'!$A$5:$A$1004,$A736,'AFA Rates'!$B$5:$B$1004,J$23,'AFA Rates'!$O$5:$O$1004,"&lt;&gt;Expired")&gt;0,"✓",IF(COUNTIFS('AFA Rates'!$A$5:$A$1004,$A736,'AFA Rates'!$B$5:$B$1004,J$23)&gt;0,"Exp","")))</f>
        <v/>
      </c>
      <c r="K736" s="79">
        <f>IF(OR($A736="",K$23=""),"",IF(COUNTIFS('AFA Rates'!$A$5:$A$1004,$A736,'AFA Rates'!$B$5:$B$1004,K$23,'AFA Rates'!$O$5:$O$1004,"&lt;&gt;Expired")&gt;0,"✓",IF(COUNTIFS('AFA Rates'!$A$5:$A$1004,$A736,'AFA Rates'!$B$5:$B$1004,K$23)&gt;0,"Exp","")))</f>
        <v/>
      </c>
      <c r="L736" s="79">
        <f>IF(OR($A736="",L$23=""),"",IF(COUNTIFS('AFA Rates'!$A$5:$A$1004,$A736,'AFA Rates'!$B$5:$B$1004,L$23,'AFA Rates'!$O$5:$O$1004,"&lt;&gt;Expired")&gt;0,"✓",IF(COUNTIFS('AFA Rates'!$A$5:$A$1004,$A736,'AFA Rates'!$B$5:$B$1004,L$23)&gt;0,"Exp","")))</f>
        <v/>
      </c>
      <c r="M736" s="79">
        <f>IF(OR($A736="",M$23=""),"",IF(COUNTIFS('AFA Rates'!$A$5:$A$1004,$A736,'AFA Rates'!$B$5:$B$1004,M$23,'AFA Rates'!$O$5:$O$1004,"&lt;&gt;Expired")&gt;0,"✓",IF(COUNTIFS('AFA Rates'!$A$5:$A$1004,$A736,'AFA Rates'!$B$5:$B$1004,M$23)&gt;0,"Exp","")))</f>
        <v/>
      </c>
    </row>
    <row r="737">
      <c r="A737" s="78">
        <f>IFERROR(INDEX(Firms!$A$5:$A$1004,MATCH(714,Firms!$V$5:$V$1004,0)),"")</f>
        <v/>
      </c>
      <c r="B737" s="79">
        <f>IF($A737="","",INDEX(Firms!$B$5:$B$1004,MATCH(714,Firms!$V$5:$V$1004,0)))</f>
        <v/>
      </c>
      <c r="C737" s="79">
        <f>IF($A737="","",COUNTIFS('AFA Rates'!$A$5:$A$1004,$A737,'AFA Rates'!$O$5:$O$1004,"&lt;&gt;Expired"))</f>
        <v/>
      </c>
      <c r="D737" s="79">
        <f>IF(OR($A737="",D$23=""),"",IF(COUNTIFS('AFA Rates'!$A$5:$A$1004,$A737,'AFA Rates'!$B$5:$B$1004,D$23,'AFA Rates'!$O$5:$O$1004,"&lt;&gt;Expired")&gt;0,"✓",IF(COUNTIFS('AFA Rates'!$A$5:$A$1004,$A737,'AFA Rates'!$B$5:$B$1004,D$23)&gt;0,"Exp","")))</f>
        <v/>
      </c>
      <c r="E737" s="79">
        <f>IF(OR($A737="",E$23=""),"",IF(COUNTIFS('AFA Rates'!$A$5:$A$1004,$A737,'AFA Rates'!$B$5:$B$1004,E$23,'AFA Rates'!$O$5:$O$1004,"&lt;&gt;Expired")&gt;0,"✓",IF(COUNTIFS('AFA Rates'!$A$5:$A$1004,$A737,'AFA Rates'!$B$5:$B$1004,E$23)&gt;0,"Exp","")))</f>
        <v/>
      </c>
      <c r="F737" s="79">
        <f>IF(OR($A737="",F$23=""),"",IF(COUNTIFS('AFA Rates'!$A$5:$A$1004,$A737,'AFA Rates'!$B$5:$B$1004,F$23,'AFA Rates'!$O$5:$O$1004,"&lt;&gt;Expired")&gt;0,"✓",IF(COUNTIFS('AFA Rates'!$A$5:$A$1004,$A737,'AFA Rates'!$B$5:$B$1004,F$23)&gt;0,"Exp","")))</f>
        <v/>
      </c>
      <c r="G737" s="79">
        <f>IF(OR($A737="",G$23=""),"",IF(COUNTIFS('AFA Rates'!$A$5:$A$1004,$A737,'AFA Rates'!$B$5:$B$1004,G$23,'AFA Rates'!$O$5:$O$1004,"&lt;&gt;Expired")&gt;0,"✓",IF(COUNTIFS('AFA Rates'!$A$5:$A$1004,$A737,'AFA Rates'!$B$5:$B$1004,G$23)&gt;0,"Exp","")))</f>
        <v/>
      </c>
      <c r="H737" s="79">
        <f>IF(OR($A737="",H$23=""),"",IF(COUNTIFS('AFA Rates'!$A$5:$A$1004,$A737,'AFA Rates'!$B$5:$B$1004,H$23,'AFA Rates'!$O$5:$O$1004,"&lt;&gt;Expired")&gt;0,"✓",IF(COUNTIFS('AFA Rates'!$A$5:$A$1004,$A737,'AFA Rates'!$B$5:$B$1004,H$23)&gt;0,"Exp","")))</f>
        <v/>
      </c>
      <c r="I737" s="79">
        <f>IF(OR($A737="",I$23=""),"",IF(COUNTIFS('AFA Rates'!$A$5:$A$1004,$A737,'AFA Rates'!$B$5:$B$1004,I$23,'AFA Rates'!$O$5:$O$1004,"&lt;&gt;Expired")&gt;0,"✓",IF(COUNTIFS('AFA Rates'!$A$5:$A$1004,$A737,'AFA Rates'!$B$5:$B$1004,I$23)&gt;0,"Exp","")))</f>
        <v/>
      </c>
      <c r="J737" s="79">
        <f>IF(OR($A737="",J$23=""),"",IF(COUNTIFS('AFA Rates'!$A$5:$A$1004,$A737,'AFA Rates'!$B$5:$B$1004,J$23,'AFA Rates'!$O$5:$O$1004,"&lt;&gt;Expired")&gt;0,"✓",IF(COUNTIFS('AFA Rates'!$A$5:$A$1004,$A737,'AFA Rates'!$B$5:$B$1004,J$23)&gt;0,"Exp","")))</f>
        <v/>
      </c>
      <c r="K737" s="79">
        <f>IF(OR($A737="",K$23=""),"",IF(COUNTIFS('AFA Rates'!$A$5:$A$1004,$A737,'AFA Rates'!$B$5:$B$1004,K$23,'AFA Rates'!$O$5:$O$1004,"&lt;&gt;Expired")&gt;0,"✓",IF(COUNTIFS('AFA Rates'!$A$5:$A$1004,$A737,'AFA Rates'!$B$5:$B$1004,K$23)&gt;0,"Exp","")))</f>
        <v/>
      </c>
      <c r="L737" s="79">
        <f>IF(OR($A737="",L$23=""),"",IF(COUNTIFS('AFA Rates'!$A$5:$A$1004,$A737,'AFA Rates'!$B$5:$B$1004,L$23,'AFA Rates'!$O$5:$O$1004,"&lt;&gt;Expired")&gt;0,"✓",IF(COUNTIFS('AFA Rates'!$A$5:$A$1004,$A737,'AFA Rates'!$B$5:$B$1004,L$23)&gt;0,"Exp","")))</f>
        <v/>
      </c>
      <c r="M737" s="79">
        <f>IF(OR($A737="",M$23=""),"",IF(COUNTIFS('AFA Rates'!$A$5:$A$1004,$A737,'AFA Rates'!$B$5:$B$1004,M$23,'AFA Rates'!$O$5:$O$1004,"&lt;&gt;Expired")&gt;0,"✓",IF(COUNTIFS('AFA Rates'!$A$5:$A$1004,$A737,'AFA Rates'!$B$5:$B$1004,M$23)&gt;0,"Exp","")))</f>
        <v/>
      </c>
    </row>
    <row r="738">
      <c r="A738" s="78">
        <f>IFERROR(INDEX(Firms!$A$5:$A$1004,MATCH(715,Firms!$V$5:$V$1004,0)),"")</f>
        <v/>
      </c>
      <c r="B738" s="79">
        <f>IF($A738="","",INDEX(Firms!$B$5:$B$1004,MATCH(715,Firms!$V$5:$V$1004,0)))</f>
        <v/>
      </c>
      <c r="C738" s="79">
        <f>IF($A738="","",COUNTIFS('AFA Rates'!$A$5:$A$1004,$A738,'AFA Rates'!$O$5:$O$1004,"&lt;&gt;Expired"))</f>
        <v/>
      </c>
      <c r="D738" s="79">
        <f>IF(OR($A738="",D$23=""),"",IF(COUNTIFS('AFA Rates'!$A$5:$A$1004,$A738,'AFA Rates'!$B$5:$B$1004,D$23,'AFA Rates'!$O$5:$O$1004,"&lt;&gt;Expired")&gt;0,"✓",IF(COUNTIFS('AFA Rates'!$A$5:$A$1004,$A738,'AFA Rates'!$B$5:$B$1004,D$23)&gt;0,"Exp","")))</f>
        <v/>
      </c>
      <c r="E738" s="79">
        <f>IF(OR($A738="",E$23=""),"",IF(COUNTIFS('AFA Rates'!$A$5:$A$1004,$A738,'AFA Rates'!$B$5:$B$1004,E$23,'AFA Rates'!$O$5:$O$1004,"&lt;&gt;Expired")&gt;0,"✓",IF(COUNTIFS('AFA Rates'!$A$5:$A$1004,$A738,'AFA Rates'!$B$5:$B$1004,E$23)&gt;0,"Exp","")))</f>
        <v/>
      </c>
      <c r="F738" s="79">
        <f>IF(OR($A738="",F$23=""),"",IF(COUNTIFS('AFA Rates'!$A$5:$A$1004,$A738,'AFA Rates'!$B$5:$B$1004,F$23,'AFA Rates'!$O$5:$O$1004,"&lt;&gt;Expired")&gt;0,"✓",IF(COUNTIFS('AFA Rates'!$A$5:$A$1004,$A738,'AFA Rates'!$B$5:$B$1004,F$23)&gt;0,"Exp","")))</f>
        <v/>
      </c>
      <c r="G738" s="79">
        <f>IF(OR($A738="",G$23=""),"",IF(COUNTIFS('AFA Rates'!$A$5:$A$1004,$A738,'AFA Rates'!$B$5:$B$1004,G$23,'AFA Rates'!$O$5:$O$1004,"&lt;&gt;Expired")&gt;0,"✓",IF(COUNTIFS('AFA Rates'!$A$5:$A$1004,$A738,'AFA Rates'!$B$5:$B$1004,G$23)&gt;0,"Exp","")))</f>
        <v/>
      </c>
      <c r="H738" s="79">
        <f>IF(OR($A738="",H$23=""),"",IF(COUNTIFS('AFA Rates'!$A$5:$A$1004,$A738,'AFA Rates'!$B$5:$B$1004,H$23,'AFA Rates'!$O$5:$O$1004,"&lt;&gt;Expired")&gt;0,"✓",IF(COUNTIFS('AFA Rates'!$A$5:$A$1004,$A738,'AFA Rates'!$B$5:$B$1004,H$23)&gt;0,"Exp","")))</f>
        <v/>
      </c>
      <c r="I738" s="79">
        <f>IF(OR($A738="",I$23=""),"",IF(COUNTIFS('AFA Rates'!$A$5:$A$1004,$A738,'AFA Rates'!$B$5:$B$1004,I$23,'AFA Rates'!$O$5:$O$1004,"&lt;&gt;Expired")&gt;0,"✓",IF(COUNTIFS('AFA Rates'!$A$5:$A$1004,$A738,'AFA Rates'!$B$5:$B$1004,I$23)&gt;0,"Exp","")))</f>
        <v/>
      </c>
      <c r="J738" s="79">
        <f>IF(OR($A738="",J$23=""),"",IF(COUNTIFS('AFA Rates'!$A$5:$A$1004,$A738,'AFA Rates'!$B$5:$B$1004,J$23,'AFA Rates'!$O$5:$O$1004,"&lt;&gt;Expired")&gt;0,"✓",IF(COUNTIFS('AFA Rates'!$A$5:$A$1004,$A738,'AFA Rates'!$B$5:$B$1004,J$23)&gt;0,"Exp","")))</f>
        <v/>
      </c>
      <c r="K738" s="79">
        <f>IF(OR($A738="",K$23=""),"",IF(COUNTIFS('AFA Rates'!$A$5:$A$1004,$A738,'AFA Rates'!$B$5:$B$1004,K$23,'AFA Rates'!$O$5:$O$1004,"&lt;&gt;Expired")&gt;0,"✓",IF(COUNTIFS('AFA Rates'!$A$5:$A$1004,$A738,'AFA Rates'!$B$5:$B$1004,K$23)&gt;0,"Exp","")))</f>
        <v/>
      </c>
      <c r="L738" s="79">
        <f>IF(OR($A738="",L$23=""),"",IF(COUNTIFS('AFA Rates'!$A$5:$A$1004,$A738,'AFA Rates'!$B$5:$B$1004,L$23,'AFA Rates'!$O$5:$O$1004,"&lt;&gt;Expired")&gt;0,"✓",IF(COUNTIFS('AFA Rates'!$A$5:$A$1004,$A738,'AFA Rates'!$B$5:$B$1004,L$23)&gt;0,"Exp","")))</f>
        <v/>
      </c>
      <c r="M738" s="79">
        <f>IF(OR($A738="",M$23=""),"",IF(COUNTIFS('AFA Rates'!$A$5:$A$1004,$A738,'AFA Rates'!$B$5:$B$1004,M$23,'AFA Rates'!$O$5:$O$1004,"&lt;&gt;Expired")&gt;0,"✓",IF(COUNTIFS('AFA Rates'!$A$5:$A$1004,$A738,'AFA Rates'!$B$5:$B$1004,M$23)&gt;0,"Exp","")))</f>
        <v/>
      </c>
    </row>
    <row r="739">
      <c r="A739" s="78">
        <f>IFERROR(INDEX(Firms!$A$5:$A$1004,MATCH(716,Firms!$V$5:$V$1004,0)),"")</f>
        <v/>
      </c>
      <c r="B739" s="79">
        <f>IF($A739="","",INDEX(Firms!$B$5:$B$1004,MATCH(716,Firms!$V$5:$V$1004,0)))</f>
        <v/>
      </c>
      <c r="C739" s="79">
        <f>IF($A739="","",COUNTIFS('AFA Rates'!$A$5:$A$1004,$A739,'AFA Rates'!$O$5:$O$1004,"&lt;&gt;Expired"))</f>
        <v/>
      </c>
      <c r="D739" s="79">
        <f>IF(OR($A739="",D$23=""),"",IF(COUNTIFS('AFA Rates'!$A$5:$A$1004,$A739,'AFA Rates'!$B$5:$B$1004,D$23,'AFA Rates'!$O$5:$O$1004,"&lt;&gt;Expired")&gt;0,"✓",IF(COUNTIFS('AFA Rates'!$A$5:$A$1004,$A739,'AFA Rates'!$B$5:$B$1004,D$23)&gt;0,"Exp","")))</f>
        <v/>
      </c>
      <c r="E739" s="79">
        <f>IF(OR($A739="",E$23=""),"",IF(COUNTIFS('AFA Rates'!$A$5:$A$1004,$A739,'AFA Rates'!$B$5:$B$1004,E$23,'AFA Rates'!$O$5:$O$1004,"&lt;&gt;Expired")&gt;0,"✓",IF(COUNTIFS('AFA Rates'!$A$5:$A$1004,$A739,'AFA Rates'!$B$5:$B$1004,E$23)&gt;0,"Exp","")))</f>
        <v/>
      </c>
      <c r="F739" s="79">
        <f>IF(OR($A739="",F$23=""),"",IF(COUNTIFS('AFA Rates'!$A$5:$A$1004,$A739,'AFA Rates'!$B$5:$B$1004,F$23,'AFA Rates'!$O$5:$O$1004,"&lt;&gt;Expired")&gt;0,"✓",IF(COUNTIFS('AFA Rates'!$A$5:$A$1004,$A739,'AFA Rates'!$B$5:$B$1004,F$23)&gt;0,"Exp","")))</f>
        <v/>
      </c>
      <c r="G739" s="79">
        <f>IF(OR($A739="",G$23=""),"",IF(COUNTIFS('AFA Rates'!$A$5:$A$1004,$A739,'AFA Rates'!$B$5:$B$1004,G$23,'AFA Rates'!$O$5:$O$1004,"&lt;&gt;Expired")&gt;0,"✓",IF(COUNTIFS('AFA Rates'!$A$5:$A$1004,$A739,'AFA Rates'!$B$5:$B$1004,G$23)&gt;0,"Exp","")))</f>
        <v/>
      </c>
      <c r="H739" s="79">
        <f>IF(OR($A739="",H$23=""),"",IF(COUNTIFS('AFA Rates'!$A$5:$A$1004,$A739,'AFA Rates'!$B$5:$B$1004,H$23,'AFA Rates'!$O$5:$O$1004,"&lt;&gt;Expired")&gt;0,"✓",IF(COUNTIFS('AFA Rates'!$A$5:$A$1004,$A739,'AFA Rates'!$B$5:$B$1004,H$23)&gt;0,"Exp","")))</f>
        <v/>
      </c>
      <c r="I739" s="79">
        <f>IF(OR($A739="",I$23=""),"",IF(COUNTIFS('AFA Rates'!$A$5:$A$1004,$A739,'AFA Rates'!$B$5:$B$1004,I$23,'AFA Rates'!$O$5:$O$1004,"&lt;&gt;Expired")&gt;0,"✓",IF(COUNTIFS('AFA Rates'!$A$5:$A$1004,$A739,'AFA Rates'!$B$5:$B$1004,I$23)&gt;0,"Exp","")))</f>
        <v/>
      </c>
      <c r="J739" s="79">
        <f>IF(OR($A739="",J$23=""),"",IF(COUNTIFS('AFA Rates'!$A$5:$A$1004,$A739,'AFA Rates'!$B$5:$B$1004,J$23,'AFA Rates'!$O$5:$O$1004,"&lt;&gt;Expired")&gt;0,"✓",IF(COUNTIFS('AFA Rates'!$A$5:$A$1004,$A739,'AFA Rates'!$B$5:$B$1004,J$23)&gt;0,"Exp","")))</f>
        <v/>
      </c>
      <c r="K739" s="79">
        <f>IF(OR($A739="",K$23=""),"",IF(COUNTIFS('AFA Rates'!$A$5:$A$1004,$A739,'AFA Rates'!$B$5:$B$1004,K$23,'AFA Rates'!$O$5:$O$1004,"&lt;&gt;Expired")&gt;0,"✓",IF(COUNTIFS('AFA Rates'!$A$5:$A$1004,$A739,'AFA Rates'!$B$5:$B$1004,K$23)&gt;0,"Exp","")))</f>
        <v/>
      </c>
      <c r="L739" s="79">
        <f>IF(OR($A739="",L$23=""),"",IF(COUNTIFS('AFA Rates'!$A$5:$A$1004,$A739,'AFA Rates'!$B$5:$B$1004,L$23,'AFA Rates'!$O$5:$O$1004,"&lt;&gt;Expired")&gt;0,"✓",IF(COUNTIFS('AFA Rates'!$A$5:$A$1004,$A739,'AFA Rates'!$B$5:$B$1004,L$23)&gt;0,"Exp","")))</f>
        <v/>
      </c>
      <c r="M739" s="79">
        <f>IF(OR($A739="",M$23=""),"",IF(COUNTIFS('AFA Rates'!$A$5:$A$1004,$A739,'AFA Rates'!$B$5:$B$1004,M$23,'AFA Rates'!$O$5:$O$1004,"&lt;&gt;Expired")&gt;0,"✓",IF(COUNTIFS('AFA Rates'!$A$5:$A$1004,$A739,'AFA Rates'!$B$5:$B$1004,M$23)&gt;0,"Exp","")))</f>
        <v/>
      </c>
    </row>
    <row r="740">
      <c r="A740" s="78">
        <f>IFERROR(INDEX(Firms!$A$5:$A$1004,MATCH(717,Firms!$V$5:$V$1004,0)),"")</f>
        <v/>
      </c>
      <c r="B740" s="79">
        <f>IF($A740="","",INDEX(Firms!$B$5:$B$1004,MATCH(717,Firms!$V$5:$V$1004,0)))</f>
        <v/>
      </c>
      <c r="C740" s="79">
        <f>IF($A740="","",COUNTIFS('AFA Rates'!$A$5:$A$1004,$A740,'AFA Rates'!$O$5:$O$1004,"&lt;&gt;Expired"))</f>
        <v/>
      </c>
      <c r="D740" s="79">
        <f>IF(OR($A740="",D$23=""),"",IF(COUNTIFS('AFA Rates'!$A$5:$A$1004,$A740,'AFA Rates'!$B$5:$B$1004,D$23,'AFA Rates'!$O$5:$O$1004,"&lt;&gt;Expired")&gt;0,"✓",IF(COUNTIFS('AFA Rates'!$A$5:$A$1004,$A740,'AFA Rates'!$B$5:$B$1004,D$23)&gt;0,"Exp","")))</f>
        <v/>
      </c>
      <c r="E740" s="79">
        <f>IF(OR($A740="",E$23=""),"",IF(COUNTIFS('AFA Rates'!$A$5:$A$1004,$A740,'AFA Rates'!$B$5:$B$1004,E$23,'AFA Rates'!$O$5:$O$1004,"&lt;&gt;Expired")&gt;0,"✓",IF(COUNTIFS('AFA Rates'!$A$5:$A$1004,$A740,'AFA Rates'!$B$5:$B$1004,E$23)&gt;0,"Exp","")))</f>
        <v/>
      </c>
      <c r="F740" s="79">
        <f>IF(OR($A740="",F$23=""),"",IF(COUNTIFS('AFA Rates'!$A$5:$A$1004,$A740,'AFA Rates'!$B$5:$B$1004,F$23,'AFA Rates'!$O$5:$O$1004,"&lt;&gt;Expired")&gt;0,"✓",IF(COUNTIFS('AFA Rates'!$A$5:$A$1004,$A740,'AFA Rates'!$B$5:$B$1004,F$23)&gt;0,"Exp","")))</f>
        <v/>
      </c>
      <c r="G740" s="79">
        <f>IF(OR($A740="",G$23=""),"",IF(COUNTIFS('AFA Rates'!$A$5:$A$1004,$A740,'AFA Rates'!$B$5:$B$1004,G$23,'AFA Rates'!$O$5:$O$1004,"&lt;&gt;Expired")&gt;0,"✓",IF(COUNTIFS('AFA Rates'!$A$5:$A$1004,$A740,'AFA Rates'!$B$5:$B$1004,G$23)&gt;0,"Exp","")))</f>
        <v/>
      </c>
      <c r="H740" s="79">
        <f>IF(OR($A740="",H$23=""),"",IF(COUNTIFS('AFA Rates'!$A$5:$A$1004,$A740,'AFA Rates'!$B$5:$B$1004,H$23,'AFA Rates'!$O$5:$O$1004,"&lt;&gt;Expired")&gt;0,"✓",IF(COUNTIFS('AFA Rates'!$A$5:$A$1004,$A740,'AFA Rates'!$B$5:$B$1004,H$23)&gt;0,"Exp","")))</f>
        <v/>
      </c>
      <c r="I740" s="79">
        <f>IF(OR($A740="",I$23=""),"",IF(COUNTIFS('AFA Rates'!$A$5:$A$1004,$A740,'AFA Rates'!$B$5:$B$1004,I$23,'AFA Rates'!$O$5:$O$1004,"&lt;&gt;Expired")&gt;0,"✓",IF(COUNTIFS('AFA Rates'!$A$5:$A$1004,$A740,'AFA Rates'!$B$5:$B$1004,I$23)&gt;0,"Exp","")))</f>
        <v/>
      </c>
      <c r="J740" s="79">
        <f>IF(OR($A740="",J$23=""),"",IF(COUNTIFS('AFA Rates'!$A$5:$A$1004,$A740,'AFA Rates'!$B$5:$B$1004,J$23,'AFA Rates'!$O$5:$O$1004,"&lt;&gt;Expired")&gt;0,"✓",IF(COUNTIFS('AFA Rates'!$A$5:$A$1004,$A740,'AFA Rates'!$B$5:$B$1004,J$23)&gt;0,"Exp","")))</f>
        <v/>
      </c>
      <c r="K740" s="79">
        <f>IF(OR($A740="",K$23=""),"",IF(COUNTIFS('AFA Rates'!$A$5:$A$1004,$A740,'AFA Rates'!$B$5:$B$1004,K$23,'AFA Rates'!$O$5:$O$1004,"&lt;&gt;Expired")&gt;0,"✓",IF(COUNTIFS('AFA Rates'!$A$5:$A$1004,$A740,'AFA Rates'!$B$5:$B$1004,K$23)&gt;0,"Exp","")))</f>
        <v/>
      </c>
      <c r="L740" s="79">
        <f>IF(OR($A740="",L$23=""),"",IF(COUNTIFS('AFA Rates'!$A$5:$A$1004,$A740,'AFA Rates'!$B$5:$B$1004,L$23,'AFA Rates'!$O$5:$O$1004,"&lt;&gt;Expired")&gt;0,"✓",IF(COUNTIFS('AFA Rates'!$A$5:$A$1004,$A740,'AFA Rates'!$B$5:$B$1004,L$23)&gt;0,"Exp","")))</f>
        <v/>
      </c>
      <c r="M740" s="79">
        <f>IF(OR($A740="",M$23=""),"",IF(COUNTIFS('AFA Rates'!$A$5:$A$1004,$A740,'AFA Rates'!$B$5:$B$1004,M$23,'AFA Rates'!$O$5:$O$1004,"&lt;&gt;Expired")&gt;0,"✓",IF(COUNTIFS('AFA Rates'!$A$5:$A$1004,$A740,'AFA Rates'!$B$5:$B$1004,M$23)&gt;0,"Exp","")))</f>
        <v/>
      </c>
    </row>
    <row r="741">
      <c r="A741" s="78">
        <f>IFERROR(INDEX(Firms!$A$5:$A$1004,MATCH(718,Firms!$V$5:$V$1004,0)),"")</f>
        <v/>
      </c>
      <c r="B741" s="79">
        <f>IF($A741="","",INDEX(Firms!$B$5:$B$1004,MATCH(718,Firms!$V$5:$V$1004,0)))</f>
        <v/>
      </c>
      <c r="C741" s="79">
        <f>IF($A741="","",COUNTIFS('AFA Rates'!$A$5:$A$1004,$A741,'AFA Rates'!$O$5:$O$1004,"&lt;&gt;Expired"))</f>
        <v/>
      </c>
      <c r="D741" s="79">
        <f>IF(OR($A741="",D$23=""),"",IF(COUNTIFS('AFA Rates'!$A$5:$A$1004,$A741,'AFA Rates'!$B$5:$B$1004,D$23,'AFA Rates'!$O$5:$O$1004,"&lt;&gt;Expired")&gt;0,"✓",IF(COUNTIFS('AFA Rates'!$A$5:$A$1004,$A741,'AFA Rates'!$B$5:$B$1004,D$23)&gt;0,"Exp","")))</f>
        <v/>
      </c>
      <c r="E741" s="79">
        <f>IF(OR($A741="",E$23=""),"",IF(COUNTIFS('AFA Rates'!$A$5:$A$1004,$A741,'AFA Rates'!$B$5:$B$1004,E$23,'AFA Rates'!$O$5:$O$1004,"&lt;&gt;Expired")&gt;0,"✓",IF(COUNTIFS('AFA Rates'!$A$5:$A$1004,$A741,'AFA Rates'!$B$5:$B$1004,E$23)&gt;0,"Exp","")))</f>
        <v/>
      </c>
      <c r="F741" s="79">
        <f>IF(OR($A741="",F$23=""),"",IF(COUNTIFS('AFA Rates'!$A$5:$A$1004,$A741,'AFA Rates'!$B$5:$B$1004,F$23,'AFA Rates'!$O$5:$O$1004,"&lt;&gt;Expired")&gt;0,"✓",IF(COUNTIFS('AFA Rates'!$A$5:$A$1004,$A741,'AFA Rates'!$B$5:$B$1004,F$23)&gt;0,"Exp","")))</f>
        <v/>
      </c>
      <c r="G741" s="79">
        <f>IF(OR($A741="",G$23=""),"",IF(COUNTIFS('AFA Rates'!$A$5:$A$1004,$A741,'AFA Rates'!$B$5:$B$1004,G$23,'AFA Rates'!$O$5:$O$1004,"&lt;&gt;Expired")&gt;0,"✓",IF(COUNTIFS('AFA Rates'!$A$5:$A$1004,$A741,'AFA Rates'!$B$5:$B$1004,G$23)&gt;0,"Exp","")))</f>
        <v/>
      </c>
      <c r="H741" s="79">
        <f>IF(OR($A741="",H$23=""),"",IF(COUNTIFS('AFA Rates'!$A$5:$A$1004,$A741,'AFA Rates'!$B$5:$B$1004,H$23,'AFA Rates'!$O$5:$O$1004,"&lt;&gt;Expired")&gt;0,"✓",IF(COUNTIFS('AFA Rates'!$A$5:$A$1004,$A741,'AFA Rates'!$B$5:$B$1004,H$23)&gt;0,"Exp","")))</f>
        <v/>
      </c>
      <c r="I741" s="79">
        <f>IF(OR($A741="",I$23=""),"",IF(COUNTIFS('AFA Rates'!$A$5:$A$1004,$A741,'AFA Rates'!$B$5:$B$1004,I$23,'AFA Rates'!$O$5:$O$1004,"&lt;&gt;Expired")&gt;0,"✓",IF(COUNTIFS('AFA Rates'!$A$5:$A$1004,$A741,'AFA Rates'!$B$5:$B$1004,I$23)&gt;0,"Exp","")))</f>
        <v/>
      </c>
      <c r="J741" s="79">
        <f>IF(OR($A741="",J$23=""),"",IF(COUNTIFS('AFA Rates'!$A$5:$A$1004,$A741,'AFA Rates'!$B$5:$B$1004,J$23,'AFA Rates'!$O$5:$O$1004,"&lt;&gt;Expired")&gt;0,"✓",IF(COUNTIFS('AFA Rates'!$A$5:$A$1004,$A741,'AFA Rates'!$B$5:$B$1004,J$23)&gt;0,"Exp","")))</f>
        <v/>
      </c>
      <c r="K741" s="79">
        <f>IF(OR($A741="",K$23=""),"",IF(COUNTIFS('AFA Rates'!$A$5:$A$1004,$A741,'AFA Rates'!$B$5:$B$1004,K$23,'AFA Rates'!$O$5:$O$1004,"&lt;&gt;Expired")&gt;0,"✓",IF(COUNTIFS('AFA Rates'!$A$5:$A$1004,$A741,'AFA Rates'!$B$5:$B$1004,K$23)&gt;0,"Exp","")))</f>
        <v/>
      </c>
      <c r="L741" s="79">
        <f>IF(OR($A741="",L$23=""),"",IF(COUNTIFS('AFA Rates'!$A$5:$A$1004,$A741,'AFA Rates'!$B$5:$B$1004,L$23,'AFA Rates'!$O$5:$O$1004,"&lt;&gt;Expired")&gt;0,"✓",IF(COUNTIFS('AFA Rates'!$A$5:$A$1004,$A741,'AFA Rates'!$B$5:$B$1004,L$23)&gt;0,"Exp","")))</f>
        <v/>
      </c>
      <c r="M741" s="79">
        <f>IF(OR($A741="",M$23=""),"",IF(COUNTIFS('AFA Rates'!$A$5:$A$1004,$A741,'AFA Rates'!$B$5:$B$1004,M$23,'AFA Rates'!$O$5:$O$1004,"&lt;&gt;Expired")&gt;0,"✓",IF(COUNTIFS('AFA Rates'!$A$5:$A$1004,$A741,'AFA Rates'!$B$5:$B$1004,M$23)&gt;0,"Exp","")))</f>
        <v/>
      </c>
    </row>
    <row r="742">
      <c r="A742" s="78">
        <f>IFERROR(INDEX(Firms!$A$5:$A$1004,MATCH(719,Firms!$V$5:$V$1004,0)),"")</f>
        <v/>
      </c>
      <c r="B742" s="79">
        <f>IF($A742="","",INDEX(Firms!$B$5:$B$1004,MATCH(719,Firms!$V$5:$V$1004,0)))</f>
        <v/>
      </c>
      <c r="C742" s="79">
        <f>IF($A742="","",COUNTIFS('AFA Rates'!$A$5:$A$1004,$A742,'AFA Rates'!$O$5:$O$1004,"&lt;&gt;Expired"))</f>
        <v/>
      </c>
      <c r="D742" s="79">
        <f>IF(OR($A742="",D$23=""),"",IF(COUNTIFS('AFA Rates'!$A$5:$A$1004,$A742,'AFA Rates'!$B$5:$B$1004,D$23,'AFA Rates'!$O$5:$O$1004,"&lt;&gt;Expired")&gt;0,"✓",IF(COUNTIFS('AFA Rates'!$A$5:$A$1004,$A742,'AFA Rates'!$B$5:$B$1004,D$23)&gt;0,"Exp","")))</f>
        <v/>
      </c>
      <c r="E742" s="79">
        <f>IF(OR($A742="",E$23=""),"",IF(COUNTIFS('AFA Rates'!$A$5:$A$1004,$A742,'AFA Rates'!$B$5:$B$1004,E$23,'AFA Rates'!$O$5:$O$1004,"&lt;&gt;Expired")&gt;0,"✓",IF(COUNTIFS('AFA Rates'!$A$5:$A$1004,$A742,'AFA Rates'!$B$5:$B$1004,E$23)&gt;0,"Exp","")))</f>
        <v/>
      </c>
      <c r="F742" s="79">
        <f>IF(OR($A742="",F$23=""),"",IF(COUNTIFS('AFA Rates'!$A$5:$A$1004,$A742,'AFA Rates'!$B$5:$B$1004,F$23,'AFA Rates'!$O$5:$O$1004,"&lt;&gt;Expired")&gt;0,"✓",IF(COUNTIFS('AFA Rates'!$A$5:$A$1004,$A742,'AFA Rates'!$B$5:$B$1004,F$23)&gt;0,"Exp","")))</f>
        <v/>
      </c>
      <c r="G742" s="79">
        <f>IF(OR($A742="",G$23=""),"",IF(COUNTIFS('AFA Rates'!$A$5:$A$1004,$A742,'AFA Rates'!$B$5:$B$1004,G$23,'AFA Rates'!$O$5:$O$1004,"&lt;&gt;Expired")&gt;0,"✓",IF(COUNTIFS('AFA Rates'!$A$5:$A$1004,$A742,'AFA Rates'!$B$5:$B$1004,G$23)&gt;0,"Exp","")))</f>
        <v/>
      </c>
      <c r="H742" s="79">
        <f>IF(OR($A742="",H$23=""),"",IF(COUNTIFS('AFA Rates'!$A$5:$A$1004,$A742,'AFA Rates'!$B$5:$B$1004,H$23,'AFA Rates'!$O$5:$O$1004,"&lt;&gt;Expired")&gt;0,"✓",IF(COUNTIFS('AFA Rates'!$A$5:$A$1004,$A742,'AFA Rates'!$B$5:$B$1004,H$23)&gt;0,"Exp","")))</f>
        <v/>
      </c>
      <c r="I742" s="79">
        <f>IF(OR($A742="",I$23=""),"",IF(COUNTIFS('AFA Rates'!$A$5:$A$1004,$A742,'AFA Rates'!$B$5:$B$1004,I$23,'AFA Rates'!$O$5:$O$1004,"&lt;&gt;Expired")&gt;0,"✓",IF(COUNTIFS('AFA Rates'!$A$5:$A$1004,$A742,'AFA Rates'!$B$5:$B$1004,I$23)&gt;0,"Exp","")))</f>
        <v/>
      </c>
      <c r="J742" s="79">
        <f>IF(OR($A742="",J$23=""),"",IF(COUNTIFS('AFA Rates'!$A$5:$A$1004,$A742,'AFA Rates'!$B$5:$B$1004,J$23,'AFA Rates'!$O$5:$O$1004,"&lt;&gt;Expired")&gt;0,"✓",IF(COUNTIFS('AFA Rates'!$A$5:$A$1004,$A742,'AFA Rates'!$B$5:$B$1004,J$23)&gt;0,"Exp","")))</f>
        <v/>
      </c>
      <c r="K742" s="79">
        <f>IF(OR($A742="",K$23=""),"",IF(COUNTIFS('AFA Rates'!$A$5:$A$1004,$A742,'AFA Rates'!$B$5:$B$1004,K$23,'AFA Rates'!$O$5:$O$1004,"&lt;&gt;Expired")&gt;0,"✓",IF(COUNTIFS('AFA Rates'!$A$5:$A$1004,$A742,'AFA Rates'!$B$5:$B$1004,K$23)&gt;0,"Exp","")))</f>
        <v/>
      </c>
      <c r="L742" s="79">
        <f>IF(OR($A742="",L$23=""),"",IF(COUNTIFS('AFA Rates'!$A$5:$A$1004,$A742,'AFA Rates'!$B$5:$B$1004,L$23,'AFA Rates'!$O$5:$O$1004,"&lt;&gt;Expired")&gt;0,"✓",IF(COUNTIFS('AFA Rates'!$A$5:$A$1004,$A742,'AFA Rates'!$B$5:$B$1004,L$23)&gt;0,"Exp","")))</f>
        <v/>
      </c>
      <c r="M742" s="79">
        <f>IF(OR($A742="",M$23=""),"",IF(COUNTIFS('AFA Rates'!$A$5:$A$1004,$A742,'AFA Rates'!$B$5:$B$1004,M$23,'AFA Rates'!$O$5:$O$1004,"&lt;&gt;Expired")&gt;0,"✓",IF(COUNTIFS('AFA Rates'!$A$5:$A$1004,$A742,'AFA Rates'!$B$5:$B$1004,M$23)&gt;0,"Exp","")))</f>
        <v/>
      </c>
    </row>
    <row r="743">
      <c r="A743" s="78">
        <f>IFERROR(INDEX(Firms!$A$5:$A$1004,MATCH(720,Firms!$V$5:$V$1004,0)),"")</f>
        <v/>
      </c>
      <c r="B743" s="79">
        <f>IF($A743="","",INDEX(Firms!$B$5:$B$1004,MATCH(720,Firms!$V$5:$V$1004,0)))</f>
        <v/>
      </c>
      <c r="C743" s="79">
        <f>IF($A743="","",COUNTIFS('AFA Rates'!$A$5:$A$1004,$A743,'AFA Rates'!$O$5:$O$1004,"&lt;&gt;Expired"))</f>
        <v/>
      </c>
      <c r="D743" s="79">
        <f>IF(OR($A743="",D$23=""),"",IF(COUNTIFS('AFA Rates'!$A$5:$A$1004,$A743,'AFA Rates'!$B$5:$B$1004,D$23,'AFA Rates'!$O$5:$O$1004,"&lt;&gt;Expired")&gt;0,"✓",IF(COUNTIFS('AFA Rates'!$A$5:$A$1004,$A743,'AFA Rates'!$B$5:$B$1004,D$23)&gt;0,"Exp","")))</f>
        <v/>
      </c>
      <c r="E743" s="79">
        <f>IF(OR($A743="",E$23=""),"",IF(COUNTIFS('AFA Rates'!$A$5:$A$1004,$A743,'AFA Rates'!$B$5:$B$1004,E$23,'AFA Rates'!$O$5:$O$1004,"&lt;&gt;Expired")&gt;0,"✓",IF(COUNTIFS('AFA Rates'!$A$5:$A$1004,$A743,'AFA Rates'!$B$5:$B$1004,E$23)&gt;0,"Exp","")))</f>
        <v/>
      </c>
      <c r="F743" s="79">
        <f>IF(OR($A743="",F$23=""),"",IF(COUNTIFS('AFA Rates'!$A$5:$A$1004,$A743,'AFA Rates'!$B$5:$B$1004,F$23,'AFA Rates'!$O$5:$O$1004,"&lt;&gt;Expired")&gt;0,"✓",IF(COUNTIFS('AFA Rates'!$A$5:$A$1004,$A743,'AFA Rates'!$B$5:$B$1004,F$23)&gt;0,"Exp","")))</f>
        <v/>
      </c>
      <c r="G743" s="79">
        <f>IF(OR($A743="",G$23=""),"",IF(COUNTIFS('AFA Rates'!$A$5:$A$1004,$A743,'AFA Rates'!$B$5:$B$1004,G$23,'AFA Rates'!$O$5:$O$1004,"&lt;&gt;Expired")&gt;0,"✓",IF(COUNTIFS('AFA Rates'!$A$5:$A$1004,$A743,'AFA Rates'!$B$5:$B$1004,G$23)&gt;0,"Exp","")))</f>
        <v/>
      </c>
      <c r="H743" s="79">
        <f>IF(OR($A743="",H$23=""),"",IF(COUNTIFS('AFA Rates'!$A$5:$A$1004,$A743,'AFA Rates'!$B$5:$B$1004,H$23,'AFA Rates'!$O$5:$O$1004,"&lt;&gt;Expired")&gt;0,"✓",IF(COUNTIFS('AFA Rates'!$A$5:$A$1004,$A743,'AFA Rates'!$B$5:$B$1004,H$23)&gt;0,"Exp","")))</f>
        <v/>
      </c>
      <c r="I743" s="79">
        <f>IF(OR($A743="",I$23=""),"",IF(COUNTIFS('AFA Rates'!$A$5:$A$1004,$A743,'AFA Rates'!$B$5:$B$1004,I$23,'AFA Rates'!$O$5:$O$1004,"&lt;&gt;Expired")&gt;0,"✓",IF(COUNTIFS('AFA Rates'!$A$5:$A$1004,$A743,'AFA Rates'!$B$5:$B$1004,I$23)&gt;0,"Exp","")))</f>
        <v/>
      </c>
      <c r="J743" s="79">
        <f>IF(OR($A743="",J$23=""),"",IF(COUNTIFS('AFA Rates'!$A$5:$A$1004,$A743,'AFA Rates'!$B$5:$B$1004,J$23,'AFA Rates'!$O$5:$O$1004,"&lt;&gt;Expired")&gt;0,"✓",IF(COUNTIFS('AFA Rates'!$A$5:$A$1004,$A743,'AFA Rates'!$B$5:$B$1004,J$23)&gt;0,"Exp","")))</f>
        <v/>
      </c>
      <c r="K743" s="79">
        <f>IF(OR($A743="",K$23=""),"",IF(COUNTIFS('AFA Rates'!$A$5:$A$1004,$A743,'AFA Rates'!$B$5:$B$1004,K$23,'AFA Rates'!$O$5:$O$1004,"&lt;&gt;Expired")&gt;0,"✓",IF(COUNTIFS('AFA Rates'!$A$5:$A$1004,$A743,'AFA Rates'!$B$5:$B$1004,K$23)&gt;0,"Exp","")))</f>
        <v/>
      </c>
      <c r="L743" s="79">
        <f>IF(OR($A743="",L$23=""),"",IF(COUNTIFS('AFA Rates'!$A$5:$A$1004,$A743,'AFA Rates'!$B$5:$B$1004,L$23,'AFA Rates'!$O$5:$O$1004,"&lt;&gt;Expired")&gt;0,"✓",IF(COUNTIFS('AFA Rates'!$A$5:$A$1004,$A743,'AFA Rates'!$B$5:$B$1004,L$23)&gt;0,"Exp","")))</f>
        <v/>
      </c>
      <c r="M743" s="79">
        <f>IF(OR($A743="",M$23=""),"",IF(COUNTIFS('AFA Rates'!$A$5:$A$1004,$A743,'AFA Rates'!$B$5:$B$1004,M$23,'AFA Rates'!$O$5:$O$1004,"&lt;&gt;Expired")&gt;0,"✓",IF(COUNTIFS('AFA Rates'!$A$5:$A$1004,$A743,'AFA Rates'!$B$5:$B$1004,M$23)&gt;0,"Exp","")))</f>
        <v/>
      </c>
    </row>
    <row r="744">
      <c r="A744" s="78">
        <f>IFERROR(INDEX(Firms!$A$5:$A$1004,MATCH(721,Firms!$V$5:$V$1004,0)),"")</f>
        <v/>
      </c>
      <c r="B744" s="79">
        <f>IF($A744="","",INDEX(Firms!$B$5:$B$1004,MATCH(721,Firms!$V$5:$V$1004,0)))</f>
        <v/>
      </c>
      <c r="C744" s="79">
        <f>IF($A744="","",COUNTIFS('AFA Rates'!$A$5:$A$1004,$A744,'AFA Rates'!$O$5:$O$1004,"&lt;&gt;Expired"))</f>
        <v/>
      </c>
      <c r="D744" s="79">
        <f>IF(OR($A744="",D$23=""),"",IF(COUNTIFS('AFA Rates'!$A$5:$A$1004,$A744,'AFA Rates'!$B$5:$B$1004,D$23,'AFA Rates'!$O$5:$O$1004,"&lt;&gt;Expired")&gt;0,"✓",IF(COUNTIFS('AFA Rates'!$A$5:$A$1004,$A744,'AFA Rates'!$B$5:$B$1004,D$23)&gt;0,"Exp","")))</f>
        <v/>
      </c>
      <c r="E744" s="79">
        <f>IF(OR($A744="",E$23=""),"",IF(COUNTIFS('AFA Rates'!$A$5:$A$1004,$A744,'AFA Rates'!$B$5:$B$1004,E$23,'AFA Rates'!$O$5:$O$1004,"&lt;&gt;Expired")&gt;0,"✓",IF(COUNTIFS('AFA Rates'!$A$5:$A$1004,$A744,'AFA Rates'!$B$5:$B$1004,E$23)&gt;0,"Exp","")))</f>
        <v/>
      </c>
      <c r="F744" s="79">
        <f>IF(OR($A744="",F$23=""),"",IF(COUNTIFS('AFA Rates'!$A$5:$A$1004,$A744,'AFA Rates'!$B$5:$B$1004,F$23,'AFA Rates'!$O$5:$O$1004,"&lt;&gt;Expired")&gt;0,"✓",IF(COUNTIFS('AFA Rates'!$A$5:$A$1004,$A744,'AFA Rates'!$B$5:$B$1004,F$23)&gt;0,"Exp","")))</f>
        <v/>
      </c>
      <c r="G744" s="79">
        <f>IF(OR($A744="",G$23=""),"",IF(COUNTIFS('AFA Rates'!$A$5:$A$1004,$A744,'AFA Rates'!$B$5:$B$1004,G$23,'AFA Rates'!$O$5:$O$1004,"&lt;&gt;Expired")&gt;0,"✓",IF(COUNTIFS('AFA Rates'!$A$5:$A$1004,$A744,'AFA Rates'!$B$5:$B$1004,G$23)&gt;0,"Exp","")))</f>
        <v/>
      </c>
      <c r="H744" s="79">
        <f>IF(OR($A744="",H$23=""),"",IF(COUNTIFS('AFA Rates'!$A$5:$A$1004,$A744,'AFA Rates'!$B$5:$B$1004,H$23,'AFA Rates'!$O$5:$O$1004,"&lt;&gt;Expired")&gt;0,"✓",IF(COUNTIFS('AFA Rates'!$A$5:$A$1004,$A744,'AFA Rates'!$B$5:$B$1004,H$23)&gt;0,"Exp","")))</f>
        <v/>
      </c>
      <c r="I744" s="79">
        <f>IF(OR($A744="",I$23=""),"",IF(COUNTIFS('AFA Rates'!$A$5:$A$1004,$A744,'AFA Rates'!$B$5:$B$1004,I$23,'AFA Rates'!$O$5:$O$1004,"&lt;&gt;Expired")&gt;0,"✓",IF(COUNTIFS('AFA Rates'!$A$5:$A$1004,$A744,'AFA Rates'!$B$5:$B$1004,I$23)&gt;0,"Exp","")))</f>
        <v/>
      </c>
      <c r="J744" s="79">
        <f>IF(OR($A744="",J$23=""),"",IF(COUNTIFS('AFA Rates'!$A$5:$A$1004,$A744,'AFA Rates'!$B$5:$B$1004,J$23,'AFA Rates'!$O$5:$O$1004,"&lt;&gt;Expired")&gt;0,"✓",IF(COUNTIFS('AFA Rates'!$A$5:$A$1004,$A744,'AFA Rates'!$B$5:$B$1004,J$23)&gt;0,"Exp","")))</f>
        <v/>
      </c>
      <c r="K744" s="79">
        <f>IF(OR($A744="",K$23=""),"",IF(COUNTIFS('AFA Rates'!$A$5:$A$1004,$A744,'AFA Rates'!$B$5:$B$1004,K$23,'AFA Rates'!$O$5:$O$1004,"&lt;&gt;Expired")&gt;0,"✓",IF(COUNTIFS('AFA Rates'!$A$5:$A$1004,$A744,'AFA Rates'!$B$5:$B$1004,K$23)&gt;0,"Exp","")))</f>
        <v/>
      </c>
      <c r="L744" s="79">
        <f>IF(OR($A744="",L$23=""),"",IF(COUNTIFS('AFA Rates'!$A$5:$A$1004,$A744,'AFA Rates'!$B$5:$B$1004,L$23,'AFA Rates'!$O$5:$O$1004,"&lt;&gt;Expired")&gt;0,"✓",IF(COUNTIFS('AFA Rates'!$A$5:$A$1004,$A744,'AFA Rates'!$B$5:$B$1004,L$23)&gt;0,"Exp","")))</f>
        <v/>
      </c>
      <c r="M744" s="79">
        <f>IF(OR($A744="",M$23=""),"",IF(COUNTIFS('AFA Rates'!$A$5:$A$1004,$A744,'AFA Rates'!$B$5:$B$1004,M$23,'AFA Rates'!$O$5:$O$1004,"&lt;&gt;Expired")&gt;0,"✓",IF(COUNTIFS('AFA Rates'!$A$5:$A$1004,$A744,'AFA Rates'!$B$5:$B$1004,M$23)&gt;0,"Exp","")))</f>
        <v/>
      </c>
    </row>
    <row r="745">
      <c r="A745" s="78">
        <f>IFERROR(INDEX(Firms!$A$5:$A$1004,MATCH(722,Firms!$V$5:$V$1004,0)),"")</f>
        <v/>
      </c>
      <c r="B745" s="79">
        <f>IF($A745="","",INDEX(Firms!$B$5:$B$1004,MATCH(722,Firms!$V$5:$V$1004,0)))</f>
        <v/>
      </c>
      <c r="C745" s="79">
        <f>IF($A745="","",COUNTIFS('AFA Rates'!$A$5:$A$1004,$A745,'AFA Rates'!$O$5:$O$1004,"&lt;&gt;Expired"))</f>
        <v/>
      </c>
      <c r="D745" s="79">
        <f>IF(OR($A745="",D$23=""),"",IF(COUNTIFS('AFA Rates'!$A$5:$A$1004,$A745,'AFA Rates'!$B$5:$B$1004,D$23,'AFA Rates'!$O$5:$O$1004,"&lt;&gt;Expired")&gt;0,"✓",IF(COUNTIFS('AFA Rates'!$A$5:$A$1004,$A745,'AFA Rates'!$B$5:$B$1004,D$23)&gt;0,"Exp","")))</f>
        <v/>
      </c>
      <c r="E745" s="79">
        <f>IF(OR($A745="",E$23=""),"",IF(COUNTIFS('AFA Rates'!$A$5:$A$1004,$A745,'AFA Rates'!$B$5:$B$1004,E$23,'AFA Rates'!$O$5:$O$1004,"&lt;&gt;Expired")&gt;0,"✓",IF(COUNTIFS('AFA Rates'!$A$5:$A$1004,$A745,'AFA Rates'!$B$5:$B$1004,E$23)&gt;0,"Exp","")))</f>
        <v/>
      </c>
      <c r="F745" s="79">
        <f>IF(OR($A745="",F$23=""),"",IF(COUNTIFS('AFA Rates'!$A$5:$A$1004,$A745,'AFA Rates'!$B$5:$B$1004,F$23,'AFA Rates'!$O$5:$O$1004,"&lt;&gt;Expired")&gt;0,"✓",IF(COUNTIFS('AFA Rates'!$A$5:$A$1004,$A745,'AFA Rates'!$B$5:$B$1004,F$23)&gt;0,"Exp","")))</f>
        <v/>
      </c>
      <c r="G745" s="79">
        <f>IF(OR($A745="",G$23=""),"",IF(COUNTIFS('AFA Rates'!$A$5:$A$1004,$A745,'AFA Rates'!$B$5:$B$1004,G$23,'AFA Rates'!$O$5:$O$1004,"&lt;&gt;Expired")&gt;0,"✓",IF(COUNTIFS('AFA Rates'!$A$5:$A$1004,$A745,'AFA Rates'!$B$5:$B$1004,G$23)&gt;0,"Exp","")))</f>
        <v/>
      </c>
      <c r="H745" s="79">
        <f>IF(OR($A745="",H$23=""),"",IF(COUNTIFS('AFA Rates'!$A$5:$A$1004,$A745,'AFA Rates'!$B$5:$B$1004,H$23,'AFA Rates'!$O$5:$O$1004,"&lt;&gt;Expired")&gt;0,"✓",IF(COUNTIFS('AFA Rates'!$A$5:$A$1004,$A745,'AFA Rates'!$B$5:$B$1004,H$23)&gt;0,"Exp","")))</f>
        <v/>
      </c>
      <c r="I745" s="79">
        <f>IF(OR($A745="",I$23=""),"",IF(COUNTIFS('AFA Rates'!$A$5:$A$1004,$A745,'AFA Rates'!$B$5:$B$1004,I$23,'AFA Rates'!$O$5:$O$1004,"&lt;&gt;Expired")&gt;0,"✓",IF(COUNTIFS('AFA Rates'!$A$5:$A$1004,$A745,'AFA Rates'!$B$5:$B$1004,I$23)&gt;0,"Exp","")))</f>
        <v/>
      </c>
      <c r="J745" s="79">
        <f>IF(OR($A745="",J$23=""),"",IF(COUNTIFS('AFA Rates'!$A$5:$A$1004,$A745,'AFA Rates'!$B$5:$B$1004,J$23,'AFA Rates'!$O$5:$O$1004,"&lt;&gt;Expired")&gt;0,"✓",IF(COUNTIFS('AFA Rates'!$A$5:$A$1004,$A745,'AFA Rates'!$B$5:$B$1004,J$23)&gt;0,"Exp","")))</f>
        <v/>
      </c>
      <c r="K745" s="79">
        <f>IF(OR($A745="",K$23=""),"",IF(COUNTIFS('AFA Rates'!$A$5:$A$1004,$A745,'AFA Rates'!$B$5:$B$1004,K$23,'AFA Rates'!$O$5:$O$1004,"&lt;&gt;Expired")&gt;0,"✓",IF(COUNTIFS('AFA Rates'!$A$5:$A$1004,$A745,'AFA Rates'!$B$5:$B$1004,K$23)&gt;0,"Exp","")))</f>
        <v/>
      </c>
      <c r="L745" s="79">
        <f>IF(OR($A745="",L$23=""),"",IF(COUNTIFS('AFA Rates'!$A$5:$A$1004,$A745,'AFA Rates'!$B$5:$B$1004,L$23,'AFA Rates'!$O$5:$O$1004,"&lt;&gt;Expired")&gt;0,"✓",IF(COUNTIFS('AFA Rates'!$A$5:$A$1004,$A745,'AFA Rates'!$B$5:$B$1004,L$23)&gt;0,"Exp","")))</f>
        <v/>
      </c>
      <c r="M745" s="79">
        <f>IF(OR($A745="",M$23=""),"",IF(COUNTIFS('AFA Rates'!$A$5:$A$1004,$A745,'AFA Rates'!$B$5:$B$1004,M$23,'AFA Rates'!$O$5:$O$1004,"&lt;&gt;Expired")&gt;0,"✓",IF(COUNTIFS('AFA Rates'!$A$5:$A$1004,$A745,'AFA Rates'!$B$5:$B$1004,M$23)&gt;0,"Exp","")))</f>
        <v/>
      </c>
    </row>
    <row r="746">
      <c r="A746" s="78">
        <f>IFERROR(INDEX(Firms!$A$5:$A$1004,MATCH(723,Firms!$V$5:$V$1004,0)),"")</f>
        <v/>
      </c>
      <c r="B746" s="79">
        <f>IF($A746="","",INDEX(Firms!$B$5:$B$1004,MATCH(723,Firms!$V$5:$V$1004,0)))</f>
        <v/>
      </c>
      <c r="C746" s="79">
        <f>IF($A746="","",COUNTIFS('AFA Rates'!$A$5:$A$1004,$A746,'AFA Rates'!$O$5:$O$1004,"&lt;&gt;Expired"))</f>
        <v/>
      </c>
      <c r="D746" s="79">
        <f>IF(OR($A746="",D$23=""),"",IF(COUNTIFS('AFA Rates'!$A$5:$A$1004,$A746,'AFA Rates'!$B$5:$B$1004,D$23,'AFA Rates'!$O$5:$O$1004,"&lt;&gt;Expired")&gt;0,"✓",IF(COUNTIFS('AFA Rates'!$A$5:$A$1004,$A746,'AFA Rates'!$B$5:$B$1004,D$23)&gt;0,"Exp","")))</f>
        <v/>
      </c>
      <c r="E746" s="79">
        <f>IF(OR($A746="",E$23=""),"",IF(COUNTIFS('AFA Rates'!$A$5:$A$1004,$A746,'AFA Rates'!$B$5:$B$1004,E$23,'AFA Rates'!$O$5:$O$1004,"&lt;&gt;Expired")&gt;0,"✓",IF(COUNTIFS('AFA Rates'!$A$5:$A$1004,$A746,'AFA Rates'!$B$5:$B$1004,E$23)&gt;0,"Exp","")))</f>
        <v/>
      </c>
      <c r="F746" s="79">
        <f>IF(OR($A746="",F$23=""),"",IF(COUNTIFS('AFA Rates'!$A$5:$A$1004,$A746,'AFA Rates'!$B$5:$B$1004,F$23,'AFA Rates'!$O$5:$O$1004,"&lt;&gt;Expired")&gt;0,"✓",IF(COUNTIFS('AFA Rates'!$A$5:$A$1004,$A746,'AFA Rates'!$B$5:$B$1004,F$23)&gt;0,"Exp","")))</f>
        <v/>
      </c>
      <c r="G746" s="79">
        <f>IF(OR($A746="",G$23=""),"",IF(COUNTIFS('AFA Rates'!$A$5:$A$1004,$A746,'AFA Rates'!$B$5:$B$1004,G$23,'AFA Rates'!$O$5:$O$1004,"&lt;&gt;Expired")&gt;0,"✓",IF(COUNTIFS('AFA Rates'!$A$5:$A$1004,$A746,'AFA Rates'!$B$5:$B$1004,G$23)&gt;0,"Exp","")))</f>
        <v/>
      </c>
      <c r="H746" s="79">
        <f>IF(OR($A746="",H$23=""),"",IF(COUNTIFS('AFA Rates'!$A$5:$A$1004,$A746,'AFA Rates'!$B$5:$B$1004,H$23,'AFA Rates'!$O$5:$O$1004,"&lt;&gt;Expired")&gt;0,"✓",IF(COUNTIFS('AFA Rates'!$A$5:$A$1004,$A746,'AFA Rates'!$B$5:$B$1004,H$23)&gt;0,"Exp","")))</f>
        <v/>
      </c>
      <c r="I746" s="79">
        <f>IF(OR($A746="",I$23=""),"",IF(COUNTIFS('AFA Rates'!$A$5:$A$1004,$A746,'AFA Rates'!$B$5:$B$1004,I$23,'AFA Rates'!$O$5:$O$1004,"&lt;&gt;Expired")&gt;0,"✓",IF(COUNTIFS('AFA Rates'!$A$5:$A$1004,$A746,'AFA Rates'!$B$5:$B$1004,I$23)&gt;0,"Exp","")))</f>
        <v/>
      </c>
      <c r="J746" s="79">
        <f>IF(OR($A746="",J$23=""),"",IF(COUNTIFS('AFA Rates'!$A$5:$A$1004,$A746,'AFA Rates'!$B$5:$B$1004,J$23,'AFA Rates'!$O$5:$O$1004,"&lt;&gt;Expired")&gt;0,"✓",IF(COUNTIFS('AFA Rates'!$A$5:$A$1004,$A746,'AFA Rates'!$B$5:$B$1004,J$23)&gt;0,"Exp","")))</f>
        <v/>
      </c>
      <c r="K746" s="79">
        <f>IF(OR($A746="",K$23=""),"",IF(COUNTIFS('AFA Rates'!$A$5:$A$1004,$A746,'AFA Rates'!$B$5:$B$1004,K$23,'AFA Rates'!$O$5:$O$1004,"&lt;&gt;Expired")&gt;0,"✓",IF(COUNTIFS('AFA Rates'!$A$5:$A$1004,$A746,'AFA Rates'!$B$5:$B$1004,K$23)&gt;0,"Exp","")))</f>
        <v/>
      </c>
      <c r="L746" s="79">
        <f>IF(OR($A746="",L$23=""),"",IF(COUNTIFS('AFA Rates'!$A$5:$A$1004,$A746,'AFA Rates'!$B$5:$B$1004,L$23,'AFA Rates'!$O$5:$O$1004,"&lt;&gt;Expired")&gt;0,"✓",IF(COUNTIFS('AFA Rates'!$A$5:$A$1004,$A746,'AFA Rates'!$B$5:$B$1004,L$23)&gt;0,"Exp","")))</f>
        <v/>
      </c>
      <c r="M746" s="79">
        <f>IF(OR($A746="",M$23=""),"",IF(COUNTIFS('AFA Rates'!$A$5:$A$1004,$A746,'AFA Rates'!$B$5:$B$1004,M$23,'AFA Rates'!$O$5:$O$1004,"&lt;&gt;Expired")&gt;0,"✓",IF(COUNTIFS('AFA Rates'!$A$5:$A$1004,$A746,'AFA Rates'!$B$5:$B$1004,M$23)&gt;0,"Exp","")))</f>
        <v/>
      </c>
    </row>
    <row r="747">
      <c r="A747" s="78">
        <f>IFERROR(INDEX(Firms!$A$5:$A$1004,MATCH(724,Firms!$V$5:$V$1004,0)),"")</f>
        <v/>
      </c>
      <c r="B747" s="79">
        <f>IF($A747="","",INDEX(Firms!$B$5:$B$1004,MATCH(724,Firms!$V$5:$V$1004,0)))</f>
        <v/>
      </c>
      <c r="C747" s="79">
        <f>IF($A747="","",COUNTIFS('AFA Rates'!$A$5:$A$1004,$A747,'AFA Rates'!$O$5:$O$1004,"&lt;&gt;Expired"))</f>
        <v/>
      </c>
      <c r="D747" s="79">
        <f>IF(OR($A747="",D$23=""),"",IF(COUNTIFS('AFA Rates'!$A$5:$A$1004,$A747,'AFA Rates'!$B$5:$B$1004,D$23,'AFA Rates'!$O$5:$O$1004,"&lt;&gt;Expired")&gt;0,"✓",IF(COUNTIFS('AFA Rates'!$A$5:$A$1004,$A747,'AFA Rates'!$B$5:$B$1004,D$23)&gt;0,"Exp","")))</f>
        <v/>
      </c>
      <c r="E747" s="79">
        <f>IF(OR($A747="",E$23=""),"",IF(COUNTIFS('AFA Rates'!$A$5:$A$1004,$A747,'AFA Rates'!$B$5:$B$1004,E$23,'AFA Rates'!$O$5:$O$1004,"&lt;&gt;Expired")&gt;0,"✓",IF(COUNTIFS('AFA Rates'!$A$5:$A$1004,$A747,'AFA Rates'!$B$5:$B$1004,E$23)&gt;0,"Exp","")))</f>
        <v/>
      </c>
      <c r="F747" s="79">
        <f>IF(OR($A747="",F$23=""),"",IF(COUNTIFS('AFA Rates'!$A$5:$A$1004,$A747,'AFA Rates'!$B$5:$B$1004,F$23,'AFA Rates'!$O$5:$O$1004,"&lt;&gt;Expired")&gt;0,"✓",IF(COUNTIFS('AFA Rates'!$A$5:$A$1004,$A747,'AFA Rates'!$B$5:$B$1004,F$23)&gt;0,"Exp","")))</f>
        <v/>
      </c>
      <c r="G747" s="79">
        <f>IF(OR($A747="",G$23=""),"",IF(COUNTIFS('AFA Rates'!$A$5:$A$1004,$A747,'AFA Rates'!$B$5:$B$1004,G$23,'AFA Rates'!$O$5:$O$1004,"&lt;&gt;Expired")&gt;0,"✓",IF(COUNTIFS('AFA Rates'!$A$5:$A$1004,$A747,'AFA Rates'!$B$5:$B$1004,G$23)&gt;0,"Exp","")))</f>
        <v/>
      </c>
      <c r="H747" s="79">
        <f>IF(OR($A747="",H$23=""),"",IF(COUNTIFS('AFA Rates'!$A$5:$A$1004,$A747,'AFA Rates'!$B$5:$B$1004,H$23,'AFA Rates'!$O$5:$O$1004,"&lt;&gt;Expired")&gt;0,"✓",IF(COUNTIFS('AFA Rates'!$A$5:$A$1004,$A747,'AFA Rates'!$B$5:$B$1004,H$23)&gt;0,"Exp","")))</f>
        <v/>
      </c>
      <c r="I747" s="79">
        <f>IF(OR($A747="",I$23=""),"",IF(COUNTIFS('AFA Rates'!$A$5:$A$1004,$A747,'AFA Rates'!$B$5:$B$1004,I$23,'AFA Rates'!$O$5:$O$1004,"&lt;&gt;Expired")&gt;0,"✓",IF(COUNTIFS('AFA Rates'!$A$5:$A$1004,$A747,'AFA Rates'!$B$5:$B$1004,I$23)&gt;0,"Exp","")))</f>
        <v/>
      </c>
      <c r="J747" s="79">
        <f>IF(OR($A747="",J$23=""),"",IF(COUNTIFS('AFA Rates'!$A$5:$A$1004,$A747,'AFA Rates'!$B$5:$B$1004,J$23,'AFA Rates'!$O$5:$O$1004,"&lt;&gt;Expired")&gt;0,"✓",IF(COUNTIFS('AFA Rates'!$A$5:$A$1004,$A747,'AFA Rates'!$B$5:$B$1004,J$23)&gt;0,"Exp","")))</f>
        <v/>
      </c>
      <c r="K747" s="79">
        <f>IF(OR($A747="",K$23=""),"",IF(COUNTIFS('AFA Rates'!$A$5:$A$1004,$A747,'AFA Rates'!$B$5:$B$1004,K$23,'AFA Rates'!$O$5:$O$1004,"&lt;&gt;Expired")&gt;0,"✓",IF(COUNTIFS('AFA Rates'!$A$5:$A$1004,$A747,'AFA Rates'!$B$5:$B$1004,K$23)&gt;0,"Exp","")))</f>
        <v/>
      </c>
      <c r="L747" s="79">
        <f>IF(OR($A747="",L$23=""),"",IF(COUNTIFS('AFA Rates'!$A$5:$A$1004,$A747,'AFA Rates'!$B$5:$B$1004,L$23,'AFA Rates'!$O$5:$O$1004,"&lt;&gt;Expired")&gt;0,"✓",IF(COUNTIFS('AFA Rates'!$A$5:$A$1004,$A747,'AFA Rates'!$B$5:$B$1004,L$23)&gt;0,"Exp","")))</f>
        <v/>
      </c>
      <c r="M747" s="79">
        <f>IF(OR($A747="",M$23=""),"",IF(COUNTIFS('AFA Rates'!$A$5:$A$1004,$A747,'AFA Rates'!$B$5:$B$1004,M$23,'AFA Rates'!$O$5:$O$1004,"&lt;&gt;Expired")&gt;0,"✓",IF(COUNTIFS('AFA Rates'!$A$5:$A$1004,$A747,'AFA Rates'!$B$5:$B$1004,M$23)&gt;0,"Exp","")))</f>
        <v/>
      </c>
    </row>
    <row r="748">
      <c r="A748" s="78">
        <f>IFERROR(INDEX(Firms!$A$5:$A$1004,MATCH(725,Firms!$V$5:$V$1004,0)),"")</f>
        <v/>
      </c>
      <c r="B748" s="79">
        <f>IF($A748="","",INDEX(Firms!$B$5:$B$1004,MATCH(725,Firms!$V$5:$V$1004,0)))</f>
        <v/>
      </c>
      <c r="C748" s="79">
        <f>IF($A748="","",COUNTIFS('AFA Rates'!$A$5:$A$1004,$A748,'AFA Rates'!$O$5:$O$1004,"&lt;&gt;Expired"))</f>
        <v/>
      </c>
      <c r="D748" s="79">
        <f>IF(OR($A748="",D$23=""),"",IF(COUNTIFS('AFA Rates'!$A$5:$A$1004,$A748,'AFA Rates'!$B$5:$B$1004,D$23,'AFA Rates'!$O$5:$O$1004,"&lt;&gt;Expired")&gt;0,"✓",IF(COUNTIFS('AFA Rates'!$A$5:$A$1004,$A748,'AFA Rates'!$B$5:$B$1004,D$23)&gt;0,"Exp","")))</f>
        <v/>
      </c>
      <c r="E748" s="79">
        <f>IF(OR($A748="",E$23=""),"",IF(COUNTIFS('AFA Rates'!$A$5:$A$1004,$A748,'AFA Rates'!$B$5:$B$1004,E$23,'AFA Rates'!$O$5:$O$1004,"&lt;&gt;Expired")&gt;0,"✓",IF(COUNTIFS('AFA Rates'!$A$5:$A$1004,$A748,'AFA Rates'!$B$5:$B$1004,E$23)&gt;0,"Exp","")))</f>
        <v/>
      </c>
      <c r="F748" s="79">
        <f>IF(OR($A748="",F$23=""),"",IF(COUNTIFS('AFA Rates'!$A$5:$A$1004,$A748,'AFA Rates'!$B$5:$B$1004,F$23,'AFA Rates'!$O$5:$O$1004,"&lt;&gt;Expired")&gt;0,"✓",IF(COUNTIFS('AFA Rates'!$A$5:$A$1004,$A748,'AFA Rates'!$B$5:$B$1004,F$23)&gt;0,"Exp","")))</f>
        <v/>
      </c>
      <c r="G748" s="79">
        <f>IF(OR($A748="",G$23=""),"",IF(COUNTIFS('AFA Rates'!$A$5:$A$1004,$A748,'AFA Rates'!$B$5:$B$1004,G$23,'AFA Rates'!$O$5:$O$1004,"&lt;&gt;Expired")&gt;0,"✓",IF(COUNTIFS('AFA Rates'!$A$5:$A$1004,$A748,'AFA Rates'!$B$5:$B$1004,G$23)&gt;0,"Exp","")))</f>
        <v/>
      </c>
      <c r="H748" s="79">
        <f>IF(OR($A748="",H$23=""),"",IF(COUNTIFS('AFA Rates'!$A$5:$A$1004,$A748,'AFA Rates'!$B$5:$B$1004,H$23,'AFA Rates'!$O$5:$O$1004,"&lt;&gt;Expired")&gt;0,"✓",IF(COUNTIFS('AFA Rates'!$A$5:$A$1004,$A748,'AFA Rates'!$B$5:$B$1004,H$23)&gt;0,"Exp","")))</f>
        <v/>
      </c>
      <c r="I748" s="79">
        <f>IF(OR($A748="",I$23=""),"",IF(COUNTIFS('AFA Rates'!$A$5:$A$1004,$A748,'AFA Rates'!$B$5:$B$1004,I$23,'AFA Rates'!$O$5:$O$1004,"&lt;&gt;Expired")&gt;0,"✓",IF(COUNTIFS('AFA Rates'!$A$5:$A$1004,$A748,'AFA Rates'!$B$5:$B$1004,I$23)&gt;0,"Exp","")))</f>
        <v/>
      </c>
      <c r="J748" s="79">
        <f>IF(OR($A748="",J$23=""),"",IF(COUNTIFS('AFA Rates'!$A$5:$A$1004,$A748,'AFA Rates'!$B$5:$B$1004,J$23,'AFA Rates'!$O$5:$O$1004,"&lt;&gt;Expired")&gt;0,"✓",IF(COUNTIFS('AFA Rates'!$A$5:$A$1004,$A748,'AFA Rates'!$B$5:$B$1004,J$23)&gt;0,"Exp","")))</f>
        <v/>
      </c>
      <c r="K748" s="79">
        <f>IF(OR($A748="",K$23=""),"",IF(COUNTIFS('AFA Rates'!$A$5:$A$1004,$A748,'AFA Rates'!$B$5:$B$1004,K$23,'AFA Rates'!$O$5:$O$1004,"&lt;&gt;Expired")&gt;0,"✓",IF(COUNTIFS('AFA Rates'!$A$5:$A$1004,$A748,'AFA Rates'!$B$5:$B$1004,K$23)&gt;0,"Exp","")))</f>
        <v/>
      </c>
      <c r="L748" s="79">
        <f>IF(OR($A748="",L$23=""),"",IF(COUNTIFS('AFA Rates'!$A$5:$A$1004,$A748,'AFA Rates'!$B$5:$B$1004,L$23,'AFA Rates'!$O$5:$O$1004,"&lt;&gt;Expired")&gt;0,"✓",IF(COUNTIFS('AFA Rates'!$A$5:$A$1004,$A748,'AFA Rates'!$B$5:$B$1004,L$23)&gt;0,"Exp","")))</f>
        <v/>
      </c>
      <c r="M748" s="79">
        <f>IF(OR($A748="",M$23=""),"",IF(COUNTIFS('AFA Rates'!$A$5:$A$1004,$A748,'AFA Rates'!$B$5:$B$1004,M$23,'AFA Rates'!$O$5:$O$1004,"&lt;&gt;Expired")&gt;0,"✓",IF(COUNTIFS('AFA Rates'!$A$5:$A$1004,$A748,'AFA Rates'!$B$5:$B$1004,M$23)&gt;0,"Exp","")))</f>
        <v/>
      </c>
    </row>
    <row r="749">
      <c r="A749" s="78">
        <f>IFERROR(INDEX(Firms!$A$5:$A$1004,MATCH(726,Firms!$V$5:$V$1004,0)),"")</f>
        <v/>
      </c>
      <c r="B749" s="79">
        <f>IF($A749="","",INDEX(Firms!$B$5:$B$1004,MATCH(726,Firms!$V$5:$V$1004,0)))</f>
        <v/>
      </c>
      <c r="C749" s="79">
        <f>IF($A749="","",COUNTIFS('AFA Rates'!$A$5:$A$1004,$A749,'AFA Rates'!$O$5:$O$1004,"&lt;&gt;Expired"))</f>
        <v/>
      </c>
      <c r="D749" s="79">
        <f>IF(OR($A749="",D$23=""),"",IF(COUNTIFS('AFA Rates'!$A$5:$A$1004,$A749,'AFA Rates'!$B$5:$B$1004,D$23,'AFA Rates'!$O$5:$O$1004,"&lt;&gt;Expired")&gt;0,"✓",IF(COUNTIFS('AFA Rates'!$A$5:$A$1004,$A749,'AFA Rates'!$B$5:$B$1004,D$23)&gt;0,"Exp","")))</f>
        <v/>
      </c>
      <c r="E749" s="79">
        <f>IF(OR($A749="",E$23=""),"",IF(COUNTIFS('AFA Rates'!$A$5:$A$1004,$A749,'AFA Rates'!$B$5:$B$1004,E$23,'AFA Rates'!$O$5:$O$1004,"&lt;&gt;Expired")&gt;0,"✓",IF(COUNTIFS('AFA Rates'!$A$5:$A$1004,$A749,'AFA Rates'!$B$5:$B$1004,E$23)&gt;0,"Exp","")))</f>
        <v/>
      </c>
      <c r="F749" s="79">
        <f>IF(OR($A749="",F$23=""),"",IF(COUNTIFS('AFA Rates'!$A$5:$A$1004,$A749,'AFA Rates'!$B$5:$B$1004,F$23,'AFA Rates'!$O$5:$O$1004,"&lt;&gt;Expired")&gt;0,"✓",IF(COUNTIFS('AFA Rates'!$A$5:$A$1004,$A749,'AFA Rates'!$B$5:$B$1004,F$23)&gt;0,"Exp","")))</f>
        <v/>
      </c>
      <c r="G749" s="79">
        <f>IF(OR($A749="",G$23=""),"",IF(COUNTIFS('AFA Rates'!$A$5:$A$1004,$A749,'AFA Rates'!$B$5:$B$1004,G$23,'AFA Rates'!$O$5:$O$1004,"&lt;&gt;Expired")&gt;0,"✓",IF(COUNTIFS('AFA Rates'!$A$5:$A$1004,$A749,'AFA Rates'!$B$5:$B$1004,G$23)&gt;0,"Exp","")))</f>
        <v/>
      </c>
      <c r="H749" s="79">
        <f>IF(OR($A749="",H$23=""),"",IF(COUNTIFS('AFA Rates'!$A$5:$A$1004,$A749,'AFA Rates'!$B$5:$B$1004,H$23,'AFA Rates'!$O$5:$O$1004,"&lt;&gt;Expired")&gt;0,"✓",IF(COUNTIFS('AFA Rates'!$A$5:$A$1004,$A749,'AFA Rates'!$B$5:$B$1004,H$23)&gt;0,"Exp","")))</f>
        <v/>
      </c>
      <c r="I749" s="79">
        <f>IF(OR($A749="",I$23=""),"",IF(COUNTIFS('AFA Rates'!$A$5:$A$1004,$A749,'AFA Rates'!$B$5:$B$1004,I$23,'AFA Rates'!$O$5:$O$1004,"&lt;&gt;Expired")&gt;0,"✓",IF(COUNTIFS('AFA Rates'!$A$5:$A$1004,$A749,'AFA Rates'!$B$5:$B$1004,I$23)&gt;0,"Exp","")))</f>
        <v/>
      </c>
      <c r="J749" s="79">
        <f>IF(OR($A749="",J$23=""),"",IF(COUNTIFS('AFA Rates'!$A$5:$A$1004,$A749,'AFA Rates'!$B$5:$B$1004,J$23,'AFA Rates'!$O$5:$O$1004,"&lt;&gt;Expired")&gt;0,"✓",IF(COUNTIFS('AFA Rates'!$A$5:$A$1004,$A749,'AFA Rates'!$B$5:$B$1004,J$23)&gt;0,"Exp","")))</f>
        <v/>
      </c>
      <c r="K749" s="79">
        <f>IF(OR($A749="",K$23=""),"",IF(COUNTIFS('AFA Rates'!$A$5:$A$1004,$A749,'AFA Rates'!$B$5:$B$1004,K$23,'AFA Rates'!$O$5:$O$1004,"&lt;&gt;Expired")&gt;0,"✓",IF(COUNTIFS('AFA Rates'!$A$5:$A$1004,$A749,'AFA Rates'!$B$5:$B$1004,K$23)&gt;0,"Exp","")))</f>
        <v/>
      </c>
      <c r="L749" s="79">
        <f>IF(OR($A749="",L$23=""),"",IF(COUNTIFS('AFA Rates'!$A$5:$A$1004,$A749,'AFA Rates'!$B$5:$B$1004,L$23,'AFA Rates'!$O$5:$O$1004,"&lt;&gt;Expired")&gt;0,"✓",IF(COUNTIFS('AFA Rates'!$A$5:$A$1004,$A749,'AFA Rates'!$B$5:$B$1004,L$23)&gt;0,"Exp","")))</f>
        <v/>
      </c>
      <c r="M749" s="79">
        <f>IF(OR($A749="",M$23=""),"",IF(COUNTIFS('AFA Rates'!$A$5:$A$1004,$A749,'AFA Rates'!$B$5:$B$1004,M$23,'AFA Rates'!$O$5:$O$1004,"&lt;&gt;Expired")&gt;0,"✓",IF(COUNTIFS('AFA Rates'!$A$5:$A$1004,$A749,'AFA Rates'!$B$5:$B$1004,M$23)&gt;0,"Exp","")))</f>
        <v/>
      </c>
    </row>
    <row r="750">
      <c r="A750" s="78">
        <f>IFERROR(INDEX(Firms!$A$5:$A$1004,MATCH(727,Firms!$V$5:$V$1004,0)),"")</f>
        <v/>
      </c>
      <c r="B750" s="79">
        <f>IF($A750="","",INDEX(Firms!$B$5:$B$1004,MATCH(727,Firms!$V$5:$V$1004,0)))</f>
        <v/>
      </c>
      <c r="C750" s="79">
        <f>IF($A750="","",COUNTIFS('AFA Rates'!$A$5:$A$1004,$A750,'AFA Rates'!$O$5:$O$1004,"&lt;&gt;Expired"))</f>
        <v/>
      </c>
      <c r="D750" s="79">
        <f>IF(OR($A750="",D$23=""),"",IF(COUNTIFS('AFA Rates'!$A$5:$A$1004,$A750,'AFA Rates'!$B$5:$B$1004,D$23,'AFA Rates'!$O$5:$O$1004,"&lt;&gt;Expired")&gt;0,"✓",IF(COUNTIFS('AFA Rates'!$A$5:$A$1004,$A750,'AFA Rates'!$B$5:$B$1004,D$23)&gt;0,"Exp","")))</f>
        <v/>
      </c>
      <c r="E750" s="79">
        <f>IF(OR($A750="",E$23=""),"",IF(COUNTIFS('AFA Rates'!$A$5:$A$1004,$A750,'AFA Rates'!$B$5:$B$1004,E$23,'AFA Rates'!$O$5:$O$1004,"&lt;&gt;Expired")&gt;0,"✓",IF(COUNTIFS('AFA Rates'!$A$5:$A$1004,$A750,'AFA Rates'!$B$5:$B$1004,E$23)&gt;0,"Exp","")))</f>
        <v/>
      </c>
      <c r="F750" s="79">
        <f>IF(OR($A750="",F$23=""),"",IF(COUNTIFS('AFA Rates'!$A$5:$A$1004,$A750,'AFA Rates'!$B$5:$B$1004,F$23,'AFA Rates'!$O$5:$O$1004,"&lt;&gt;Expired")&gt;0,"✓",IF(COUNTIFS('AFA Rates'!$A$5:$A$1004,$A750,'AFA Rates'!$B$5:$B$1004,F$23)&gt;0,"Exp","")))</f>
        <v/>
      </c>
      <c r="G750" s="79">
        <f>IF(OR($A750="",G$23=""),"",IF(COUNTIFS('AFA Rates'!$A$5:$A$1004,$A750,'AFA Rates'!$B$5:$B$1004,G$23,'AFA Rates'!$O$5:$O$1004,"&lt;&gt;Expired")&gt;0,"✓",IF(COUNTIFS('AFA Rates'!$A$5:$A$1004,$A750,'AFA Rates'!$B$5:$B$1004,G$23)&gt;0,"Exp","")))</f>
        <v/>
      </c>
      <c r="H750" s="79">
        <f>IF(OR($A750="",H$23=""),"",IF(COUNTIFS('AFA Rates'!$A$5:$A$1004,$A750,'AFA Rates'!$B$5:$B$1004,H$23,'AFA Rates'!$O$5:$O$1004,"&lt;&gt;Expired")&gt;0,"✓",IF(COUNTIFS('AFA Rates'!$A$5:$A$1004,$A750,'AFA Rates'!$B$5:$B$1004,H$23)&gt;0,"Exp","")))</f>
        <v/>
      </c>
      <c r="I750" s="79">
        <f>IF(OR($A750="",I$23=""),"",IF(COUNTIFS('AFA Rates'!$A$5:$A$1004,$A750,'AFA Rates'!$B$5:$B$1004,I$23,'AFA Rates'!$O$5:$O$1004,"&lt;&gt;Expired")&gt;0,"✓",IF(COUNTIFS('AFA Rates'!$A$5:$A$1004,$A750,'AFA Rates'!$B$5:$B$1004,I$23)&gt;0,"Exp","")))</f>
        <v/>
      </c>
      <c r="J750" s="79">
        <f>IF(OR($A750="",J$23=""),"",IF(COUNTIFS('AFA Rates'!$A$5:$A$1004,$A750,'AFA Rates'!$B$5:$B$1004,J$23,'AFA Rates'!$O$5:$O$1004,"&lt;&gt;Expired")&gt;0,"✓",IF(COUNTIFS('AFA Rates'!$A$5:$A$1004,$A750,'AFA Rates'!$B$5:$B$1004,J$23)&gt;0,"Exp","")))</f>
        <v/>
      </c>
      <c r="K750" s="79">
        <f>IF(OR($A750="",K$23=""),"",IF(COUNTIFS('AFA Rates'!$A$5:$A$1004,$A750,'AFA Rates'!$B$5:$B$1004,K$23,'AFA Rates'!$O$5:$O$1004,"&lt;&gt;Expired")&gt;0,"✓",IF(COUNTIFS('AFA Rates'!$A$5:$A$1004,$A750,'AFA Rates'!$B$5:$B$1004,K$23)&gt;0,"Exp","")))</f>
        <v/>
      </c>
      <c r="L750" s="79">
        <f>IF(OR($A750="",L$23=""),"",IF(COUNTIFS('AFA Rates'!$A$5:$A$1004,$A750,'AFA Rates'!$B$5:$B$1004,L$23,'AFA Rates'!$O$5:$O$1004,"&lt;&gt;Expired")&gt;0,"✓",IF(COUNTIFS('AFA Rates'!$A$5:$A$1004,$A750,'AFA Rates'!$B$5:$B$1004,L$23)&gt;0,"Exp","")))</f>
        <v/>
      </c>
      <c r="M750" s="79">
        <f>IF(OR($A750="",M$23=""),"",IF(COUNTIFS('AFA Rates'!$A$5:$A$1004,$A750,'AFA Rates'!$B$5:$B$1004,M$23,'AFA Rates'!$O$5:$O$1004,"&lt;&gt;Expired")&gt;0,"✓",IF(COUNTIFS('AFA Rates'!$A$5:$A$1004,$A750,'AFA Rates'!$B$5:$B$1004,M$23)&gt;0,"Exp","")))</f>
        <v/>
      </c>
    </row>
    <row r="751">
      <c r="A751" s="78">
        <f>IFERROR(INDEX(Firms!$A$5:$A$1004,MATCH(728,Firms!$V$5:$V$1004,0)),"")</f>
        <v/>
      </c>
      <c r="B751" s="79">
        <f>IF($A751="","",INDEX(Firms!$B$5:$B$1004,MATCH(728,Firms!$V$5:$V$1004,0)))</f>
        <v/>
      </c>
      <c r="C751" s="79">
        <f>IF($A751="","",COUNTIFS('AFA Rates'!$A$5:$A$1004,$A751,'AFA Rates'!$O$5:$O$1004,"&lt;&gt;Expired"))</f>
        <v/>
      </c>
      <c r="D751" s="79">
        <f>IF(OR($A751="",D$23=""),"",IF(COUNTIFS('AFA Rates'!$A$5:$A$1004,$A751,'AFA Rates'!$B$5:$B$1004,D$23,'AFA Rates'!$O$5:$O$1004,"&lt;&gt;Expired")&gt;0,"✓",IF(COUNTIFS('AFA Rates'!$A$5:$A$1004,$A751,'AFA Rates'!$B$5:$B$1004,D$23)&gt;0,"Exp","")))</f>
        <v/>
      </c>
      <c r="E751" s="79">
        <f>IF(OR($A751="",E$23=""),"",IF(COUNTIFS('AFA Rates'!$A$5:$A$1004,$A751,'AFA Rates'!$B$5:$B$1004,E$23,'AFA Rates'!$O$5:$O$1004,"&lt;&gt;Expired")&gt;0,"✓",IF(COUNTIFS('AFA Rates'!$A$5:$A$1004,$A751,'AFA Rates'!$B$5:$B$1004,E$23)&gt;0,"Exp","")))</f>
        <v/>
      </c>
      <c r="F751" s="79">
        <f>IF(OR($A751="",F$23=""),"",IF(COUNTIFS('AFA Rates'!$A$5:$A$1004,$A751,'AFA Rates'!$B$5:$B$1004,F$23,'AFA Rates'!$O$5:$O$1004,"&lt;&gt;Expired")&gt;0,"✓",IF(COUNTIFS('AFA Rates'!$A$5:$A$1004,$A751,'AFA Rates'!$B$5:$B$1004,F$23)&gt;0,"Exp","")))</f>
        <v/>
      </c>
      <c r="G751" s="79">
        <f>IF(OR($A751="",G$23=""),"",IF(COUNTIFS('AFA Rates'!$A$5:$A$1004,$A751,'AFA Rates'!$B$5:$B$1004,G$23,'AFA Rates'!$O$5:$O$1004,"&lt;&gt;Expired")&gt;0,"✓",IF(COUNTIFS('AFA Rates'!$A$5:$A$1004,$A751,'AFA Rates'!$B$5:$B$1004,G$23)&gt;0,"Exp","")))</f>
        <v/>
      </c>
      <c r="H751" s="79">
        <f>IF(OR($A751="",H$23=""),"",IF(COUNTIFS('AFA Rates'!$A$5:$A$1004,$A751,'AFA Rates'!$B$5:$B$1004,H$23,'AFA Rates'!$O$5:$O$1004,"&lt;&gt;Expired")&gt;0,"✓",IF(COUNTIFS('AFA Rates'!$A$5:$A$1004,$A751,'AFA Rates'!$B$5:$B$1004,H$23)&gt;0,"Exp","")))</f>
        <v/>
      </c>
      <c r="I751" s="79">
        <f>IF(OR($A751="",I$23=""),"",IF(COUNTIFS('AFA Rates'!$A$5:$A$1004,$A751,'AFA Rates'!$B$5:$B$1004,I$23,'AFA Rates'!$O$5:$O$1004,"&lt;&gt;Expired")&gt;0,"✓",IF(COUNTIFS('AFA Rates'!$A$5:$A$1004,$A751,'AFA Rates'!$B$5:$B$1004,I$23)&gt;0,"Exp","")))</f>
        <v/>
      </c>
      <c r="J751" s="79">
        <f>IF(OR($A751="",J$23=""),"",IF(COUNTIFS('AFA Rates'!$A$5:$A$1004,$A751,'AFA Rates'!$B$5:$B$1004,J$23,'AFA Rates'!$O$5:$O$1004,"&lt;&gt;Expired")&gt;0,"✓",IF(COUNTIFS('AFA Rates'!$A$5:$A$1004,$A751,'AFA Rates'!$B$5:$B$1004,J$23)&gt;0,"Exp","")))</f>
        <v/>
      </c>
      <c r="K751" s="79">
        <f>IF(OR($A751="",K$23=""),"",IF(COUNTIFS('AFA Rates'!$A$5:$A$1004,$A751,'AFA Rates'!$B$5:$B$1004,K$23,'AFA Rates'!$O$5:$O$1004,"&lt;&gt;Expired")&gt;0,"✓",IF(COUNTIFS('AFA Rates'!$A$5:$A$1004,$A751,'AFA Rates'!$B$5:$B$1004,K$23)&gt;0,"Exp","")))</f>
        <v/>
      </c>
      <c r="L751" s="79">
        <f>IF(OR($A751="",L$23=""),"",IF(COUNTIFS('AFA Rates'!$A$5:$A$1004,$A751,'AFA Rates'!$B$5:$B$1004,L$23,'AFA Rates'!$O$5:$O$1004,"&lt;&gt;Expired")&gt;0,"✓",IF(COUNTIFS('AFA Rates'!$A$5:$A$1004,$A751,'AFA Rates'!$B$5:$B$1004,L$23)&gt;0,"Exp","")))</f>
        <v/>
      </c>
      <c r="M751" s="79">
        <f>IF(OR($A751="",M$23=""),"",IF(COUNTIFS('AFA Rates'!$A$5:$A$1004,$A751,'AFA Rates'!$B$5:$B$1004,M$23,'AFA Rates'!$O$5:$O$1004,"&lt;&gt;Expired")&gt;0,"✓",IF(COUNTIFS('AFA Rates'!$A$5:$A$1004,$A751,'AFA Rates'!$B$5:$B$1004,M$23)&gt;0,"Exp","")))</f>
        <v/>
      </c>
    </row>
    <row r="752">
      <c r="A752" s="78">
        <f>IFERROR(INDEX(Firms!$A$5:$A$1004,MATCH(729,Firms!$V$5:$V$1004,0)),"")</f>
        <v/>
      </c>
      <c r="B752" s="79">
        <f>IF($A752="","",INDEX(Firms!$B$5:$B$1004,MATCH(729,Firms!$V$5:$V$1004,0)))</f>
        <v/>
      </c>
      <c r="C752" s="79">
        <f>IF($A752="","",COUNTIFS('AFA Rates'!$A$5:$A$1004,$A752,'AFA Rates'!$O$5:$O$1004,"&lt;&gt;Expired"))</f>
        <v/>
      </c>
      <c r="D752" s="79">
        <f>IF(OR($A752="",D$23=""),"",IF(COUNTIFS('AFA Rates'!$A$5:$A$1004,$A752,'AFA Rates'!$B$5:$B$1004,D$23,'AFA Rates'!$O$5:$O$1004,"&lt;&gt;Expired")&gt;0,"✓",IF(COUNTIFS('AFA Rates'!$A$5:$A$1004,$A752,'AFA Rates'!$B$5:$B$1004,D$23)&gt;0,"Exp","")))</f>
        <v/>
      </c>
      <c r="E752" s="79">
        <f>IF(OR($A752="",E$23=""),"",IF(COUNTIFS('AFA Rates'!$A$5:$A$1004,$A752,'AFA Rates'!$B$5:$B$1004,E$23,'AFA Rates'!$O$5:$O$1004,"&lt;&gt;Expired")&gt;0,"✓",IF(COUNTIFS('AFA Rates'!$A$5:$A$1004,$A752,'AFA Rates'!$B$5:$B$1004,E$23)&gt;0,"Exp","")))</f>
        <v/>
      </c>
      <c r="F752" s="79">
        <f>IF(OR($A752="",F$23=""),"",IF(COUNTIFS('AFA Rates'!$A$5:$A$1004,$A752,'AFA Rates'!$B$5:$B$1004,F$23,'AFA Rates'!$O$5:$O$1004,"&lt;&gt;Expired")&gt;0,"✓",IF(COUNTIFS('AFA Rates'!$A$5:$A$1004,$A752,'AFA Rates'!$B$5:$B$1004,F$23)&gt;0,"Exp","")))</f>
        <v/>
      </c>
      <c r="G752" s="79">
        <f>IF(OR($A752="",G$23=""),"",IF(COUNTIFS('AFA Rates'!$A$5:$A$1004,$A752,'AFA Rates'!$B$5:$B$1004,G$23,'AFA Rates'!$O$5:$O$1004,"&lt;&gt;Expired")&gt;0,"✓",IF(COUNTIFS('AFA Rates'!$A$5:$A$1004,$A752,'AFA Rates'!$B$5:$B$1004,G$23)&gt;0,"Exp","")))</f>
        <v/>
      </c>
      <c r="H752" s="79">
        <f>IF(OR($A752="",H$23=""),"",IF(COUNTIFS('AFA Rates'!$A$5:$A$1004,$A752,'AFA Rates'!$B$5:$B$1004,H$23,'AFA Rates'!$O$5:$O$1004,"&lt;&gt;Expired")&gt;0,"✓",IF(COUNTIFS('AFA Rates'!$A$5:$A$1004,$A752,'AFA Rates'!$B$5:$B$1004,H$23)&gt;0,"Exp","")))</f>
        <v/>
      </c>
      <c r="I752" s="79">
        <f>IF(OR($A752="",I$23=""),"",IF(COUNTIFS('AFA Rates'!$A$5:$A$1004,$A752,'AFA Rates'!$B$5:$B$1004,I$23,'AFA Rates'!$O$5:$O$1004,"&lt;&gt;Expired")&gt;0,"✓",IF(COUNTIFS('AFA Rates'!$A$5:$A$1004,$A752,'AFA Rates'!$B$5:$B$1004,I$23)&gt;0,"Exp","")))</f>
        <v/>
      </c>
      <c r="J752" s="79">
        <f>IF(OR($A752="",J$23=""),"",IF(COUNTIFS('AFA Rates'!$A$5:$A$1004,$A752,'AFA Rates'!$B$5:$B$1004,J$23,'AFA Rates'!$O$5:$O$1004,"&lt;&gt;Expired")&gt;0,"✓",IF(COUNTIFS('AFA Rates'!$A$5:$A$1004,$A752,'AFA Rates'!$B$5:$B$1004,J$23)&gt;0,"Exp","")))</f>
        <v/>
      </c>
      <c r="K752" s="79">
        <f>IF(OR($A752="",K$23=""),"",IF(COUNTIFS('AFA Rates'!$A$5:$A$1004,$A752,'AFA Rates'!$B$5:$B$1004,K$23,'AFA Rates'!$O$5:$O$1004,"&lt;&gt;Expired")&gt;0,"✓",IF(COUNTIFS('AFA Rates'!$A$5:$A$1004,$A752,'AFA Rates'!$B$5:$B$1004,K$23)&gt;0,"Exp","")))</f>
        <v/>
      </c>
      <c r="L752" s="79">
        <f>IF(OR($A752="",L$23=""),"",IF(COUNTIFS('AFA Rates'!$A$5:$A$1004,$A752,'AFA Rates'!$B$5:$B$1004,L$23,'AFA Rates'!$O$5:$O$1004,"&lt;&gt;Expired")&gt;0,"✓",IF(COUNTIFS('AFA Rates'!$A$5:$A$1004,$A752,'AFA Rates'!$B$5:$B$1004,L$23)&gt;0,"Exp","")))</f>
        <v/>
      </c>
      <c r="M752" s="79">
        <f>IF(OR($A752="",M$23=""),"",IF(COUNTIFS('AFA Rates'!$A$5:$A$1004,$A752,'AFA Rates'!$B$5:$B$1004,M$23,'AFA Rates'!$O$5:$O$1004,"&lt;&gt;Expired")&gt;0,"✓",IF(COUNTIFS('AFA Rates'!$A$5:$A$1004,$A752,'AFA Rates'!$B$5:$B$1004,M$23)&gt;0,"Exp","")))</f>
        <v/>
      </c>
    </row>
    <row r="753">
      <c r="A753" s="78">
        <f>IFERROR(INDEX(Firms!$A$5:$A$1004,MATCH(730,Firms!$V$5:$V$1004,0)),"")</f>
        <v/>
      </c>
      <c r="B753" s="79">
        <f>IF($A753="","",INDEX(Firms!$B$5:$B$1004,MATCH(730,Firms!$V$5:$V$1004,0)))</f>
        <v/>
      </c>
      <c r="C753" s="79">
        <f>IF($A753="","",COUNTIFS('AFA Rates'!$A$5:$A$1004,$A753,'AFA Rates'!$O$5:$O$1004,"&lt;&gt;Expired"))</f>
        <v/>
      </c>
      <c r="D753" s="79">
        <f>IF(OR($A753="",D$23=""),"",IF(COUNTIFS('AFA Rates'!$A$5:$A$1004,$A753,'AFA Rates'!$B$5:$B$1004,D$23,'AFA Rates'!$O$5:$O$1004,"&lt;&gt;Expired")&gt;0,"✓",IF(COUNTIFS('AFA Rates'!$A$5:$A$1004,$A753,'AFA Rates'!$B$5:$B$1004,D$23)&gt;0,"Exp","")))</f>
        <v/>
      </c>
      <c r="E753" s="79">
        <f>IF(OR($A753="",E$23=""),"",IF(COUNTIFS('AFA Rates'!$A$5:$A$1004,$A753,'AFA Rates'!$B$5:$B$1004,E$23,'AFA Rates'!$O$5:$O$1004,"&lt;&gt;Expired")&gt;0,"✓",IF(COUNTIFS('AFA Rates'!$A$5:$A$1004,$A753,'AFA Rates'!$B$5:$B$1004,E$23)&gt;0,"Exp","")))</f>
        <v/>
      </c>
      <c r="F753" s="79">
        <f>IF(OR($A753="",F$23=""),"",IF(COUNTIFS('AFA Rates'!$A$5:$A$1004,$A753,'AFA Rates'!$B$5:$B$1004,F$23,'AFA Rates'!$O$5:$O$1004,"&lt;&gt;Expired")&gt;0,"✓",IF(COUNTIFS('AFA Rates'!$A$5:$A$1004,$A753,'AFA Rates'!$B$5:$B$1004,F$23)&gt;0,"Exp","")))</f>
        <v/>
      </c>
      <c r="G753" s="79">
        <f>IF(OR($A753="",G$23=""),"",IF(COUNTIFS('AFA Rates'!$A$5:$A$1004,$A753,'AFA Rates'!$B$5:$B$1004,G$23,'AFA Rates'!$O$5:$O$1004,"&lt;&gt;Expired")&gt;0,"✓",IF(COUNTIFS('AFA Rates'!$A$5:$A$1004,$A753,'AFA Rates'!$B$5:$B$1004,G$23)&gt;0,"Exp","")))</f>
        <v/>
      </c>
      <c r="H753" s="79">
        <f>IF(OR($A753="",H$23=""),"",IF(COUNTIFS('AFA Rates'!$A$5:$A$1004,$A753,'AFA Rates'!$B$5:$B$1004,H$23,'AFA Rates'!$O$5:$O$1004,"&lt;&gt;Expired")&gt;0,"✓",IF(COUNTIFS('AFA Rates'!$A$5:$A$1004,$A753,'AFA Rates'!$B$5:$B$1004,H$23)&gt;0,"Exp","")))</f>
        <v/>
      </c>
      <c r="I753" s="79">
        <f>IF(OR($A753="",I$23=""),"",IF(COUNTIFS('AFA Rates'!$A$5:$A$1004,$A753,'AFA Rates'!$B$5:$B$1004,I$23,'AFA Rates'!$O$5:$O$1004,"&lt;&gt;Expired")&gt;0,"✓",IF(COUNTIFS('AFA Rates'!$A$5:$A$1004,$A753,'AFA Rates'!$B$5:$B$1004,I$23)&gt;0,"Exp","")))</f>
        <v/>
      </c>
      <c r="J753" s="79">
        <f>IF(OR($A753="",J$23=""),"",IF(COUNTIFS('AFA Rates'!$A$5:$A$1004,$A753,'AFA Rates'!$B$5:$B$1004,J$23,'AFA Rates'!$O$5:$O$1004,"&lt;&gt;Expired")&gt;0,"✓",IF(COUNTIFS('AFA Rates'!$A$5:$A$1004,$A753,'AFA Rates'!$B$5:$B$1004,J$23)&gt;0,"Exp","")))</f>
        <v/>
      </c>
      <c r="K753" s="79">
        <f>IF(OR($A753="",K$23=""),"",IF(COUNTIFS('AFA Rates'!$A$5:$A$1004,$A753,'AFA Rates'!$B$5:$B$1004,K$23,'AFA Rates'!$O$5:$O$1004,"&lt;&gt;Expired")&gt;0,"✓",IF(COUNTIFS('AFA Rates'!$A$5:$A$1004,$A753,'AFA Rates'!$B$5:$B$1004,K$23)&gt;0,"Exp","")))</f>
        <v/>
      </c>
      <c r="L753" s="79">
        <f>IF(OR($A753="",L$23=""),"",IF(COUNTIFS('AFA Rates'!$A$5:$A$1004,$A753,'AFA Rates'!$B$5:$B$1004,L$23,'AFA Rates'!$O$5:$O$1004,"&lt;&gt;Expired")&gt;0,"✓",IF(COUNTIFS('AFA Rates'!$A$5:$A$1004,$A753,'AFA Rates'!$B$5:$B$1004,L$23)&gt;0,"Exp","")))</f>
        <v/>
      </c>
      <c r="M753" s="79">
        <f>IF(OR($A753="",M$23=""),"",IF(COUNTIFS('AFA Rates'!$A$5:$A$1004,$A753,'AFA Rates'!$B$5:$B$1004,M$23,'AFA Rates'!$O$5:$O$1004,"&lt;&gt;Expired")&gt;0,"✓",IF(COUNTIFS('AFA Rates'!$A$5:$A$1004,$A753,'AFA Rates'!$B$5:$B$1004,M$23)&gt;0,"Exp","")))</f>
        <v/>
      </c>
    </row>
    <row r="754">
      <c r="A754" s="78">
        <f>IFERROR(INDEX(Firms!$A$5:$A$1004,MATCH(731,Firms!$V$5:$V$1004,0)),"")</f>
        <v/>
      </c>
      <c r="B754" s="79">
        <f>IF($A754="","",INDEX(Firms!$B$5:$B$1004,MATCH(731,Firms!$V$5:$V$1004,0)))</f>
        <v/>
      </c>
      <c r="C754" s="79">
        <f>IF($A754="","",COUNTIFS('AFA Rates'!$A$5:$A$1004,$A754,'AFA Rates'!$O$5:$O$1004,"&lt;&gt;Expired"))</f>
        <v/>
      </c>
      <c r="D754" s="79">
        <f>IF(OR($A754="",D$23=""),"",IF(COUNTIFS('AFA Rates'!$A$5:$A$1004,$A754,'AFA Rates'!$B$5:$B$1004,D$23,'AFA Rates'!$O$5:$O$1004,"&lt;&gt;Expired")&gt;0,"✓",IF(COUNTIFS('AFA Rates'!$A$5:$A$1004,$A754,'AFA Rates'!$B$5:$B$1004,D$23)&gt;0,"Exp","")))</f>
        <v/>
      </c>
      <c r="E754" s="79">
        <f>IF(OR($A754="",E$23=""),"",IF(COUNTIFS('AFA Rates'!$A$5:$A$1004,$A754,'AFA Rates'!$B$5:$B$1004,E$23,'AFA Rates'!$O$5:$O$1004,"&lt;&gt;Expired")&gt;0,"✓",IF(COUNTIFS('AFA Rates'!$A$5:$A$1004,$A754,'AFA Rates'!$B$5:$B$1004,E$23)&gt;0,"Exp","")))</f>
        <v/>
      </c>
      <c r="F754" s="79">
        <f>IF(OR($A754="",F$23=""),"",IF(COUNTIFS('AFA Rates'!$A$5:$A$1004,$A754,'AFA Rates'!$B$5:$B$1004,F$23,'AFA Rates'!$O$5:$O$1004,"&lt;&gt;Expired")&gt;0,"✓",IF(COUNTIFS('AFA Rates'!$A$5:$A$1004,$A754,'AFA Rates'!$B$5:$B$1004,F$23)&gt;0,"Exp","")))</f>
        <v/>
      </c>
      <c r="G754" s="79">
        <f>IF(OR($A754="",G$23=""),"",IF(COUNTIFS('AFA Rates'!$A$5:$A$1004,$A754,'AFA Rates'!$B$5:$B$1004,G$23,'AFA Rates'!$O$5:$O$1004,"&lt;&gt;Expired")&gt;0,"✓",IF(COUNTIFS('AFA Rates'!$A$5:$A$1004,$A754,'AFA Rates'!$B$5:$B$1004,G$23)&gt;0,"Exp","")))</f>
        <v/>
      </c>
      <c r="H754" s="79">
        <f>IF(OR($A754="",H$23=""),"",IF(COUNTIFS('AFA Rates'!$A$5:$A$1004,$A754,'AFA Rates'!$B$5:$B$1004,H$23,'AFA Rates'!$O$5:$O$1004,"&lt;&gt;Expired")&gt;0,"✓",IF(COUNTIFS('AFA Rates'!$A$5:$A$1004,$A754,'AFA Rates'!$B$5:$B$1004,H$23)&gt;0,"Exp","")))</f>
        <v/>
      </c>
      <c r="I754" s="79">
        <f>IF(OR($A754="",I$23=""),"",IF(COUNTIFS('AFA Rates'!$A$5:$A$1004,$A754,'AFA Rates'!$B$5:$B$1004,I$23,'AFA Rates'!$O$5:$O$1004,"&lt;&gt;Expired")&gt;0,"✓",IF(COUNTIFS('AFA Rates'!$A$5:$A$1004,$A754,'AFA Rates'!$B$5:$B$1004,I$23)&gt;0,"Exp","")))</f>
        <v/>
      </c>
      <c r="J754" s="79">
        <f>IF(OR($A754="",J$23=""),"",IF(COUNTIFS('AFA Rates'!$A$5:$A$1004,$A754,'AFA Rates'!$B$5:$B$1004,J$23,'AFA Rates'!$O$5:$O$1004,"&lt;&gt;Expired")&gt;0,"✓",IF(COUNTIFS('AFA Rates'!$A$5:$A$1004,$A754,'AFA Rates'!$B$5:$B$1004,J$23)&gt;0,"Exp","")))</f>
        <v/>
      </c>
      <c r="K754" s="79">
        <f>IF(OR($A754="",K$23=""),"",IF(COUNTIFS('AFA Rates'!$A$5:$A$1004,$A754,'AFA Rates'!$B$5:$B$1004,K$23,'AFA Rates'!$O$5:$O$1004,"&lt;&gt;Expired")&gt;0,"✓",IF(COUNTIFS('AFA Rates'!$A$5:$A$1004,$A754,'AFA Rates'!$B$5:$B$1004,K$23)&gt;0,"Exp","")))</f>
        <v/>
      </c>
      <c r="L754" s="79">
        <f>IF(OR($A754="",L$23=""),"",IF(COUNTIFS('AFA Rates'!$A$5:$A$1004,$A754,'AFA Rates'!$B$5:$B$1004,L$23,'AFA Rates'!$O$5:$O$1004,"&lt;&gt;Expired")&gt;0,"✓",IF(COUNTIFS('AFA Rates'!$A$5:$A$1004,$A754,'AFA Rates'!$B$5:$B$1004,L$23)&gt;0,"Exp","")))</f>
        <v/>
      </c>
      <c r="M754" s="79">
        <f>IF(OR($A754="",M$23=""),"",IF(COUNTIFS('AFA Rates'!$A$5:$A$1004,$A754,'AFA Rates'!$B$5:$B$1004,M$23,'AFA Rates'!$O$5:$O$1004,"&lt;&gt;Expired")&gt;0,"✓",IF(COUNTIFS('AFA Rates'!$A$5:$A$1004,$A754,'AFA Rates'!$B$5:$B$1004,M$23)&gt;0,"Exp","")))</f>
        <v/>
      </c>
    </row>
    <row r="755">
      <c r="A755" s="78">
        <f>IFERROR(INDEX(Firms!$A$5:$A$1004,MATCH(732,Firms!$V$5:$V$1004,0)),"")</f>
        <v/>
      </c>
      <c r="B755" s="79">
        <f>IF($A755="","",INDEX(Firms!$B$5:$B$1004,MATCH(732,Firms!$V$5:$V$1004,0)))</f>
        <v/>
      </c>
      <c r="C755" s="79">
        <f>IF($A755="","",COUNTIFS('AFA Rates'!$A$5:$A$1004,$A755,'AFA Rates'!$O$5:$O$1004,"&lt;&gt;Expired"))</f>
        <v/>
      </c>
      <c r="D755" s="79">
        <f>IF(OR($A755="",D$23=""),"",IF(COUNTIFS('AFA Rates'!$A$5:$A$1004,$A755,'AFA Rates'!$B$5:$B$1004,D$23,'AFA Rates'!$O$5:$O$1004,"&lt;&gt;Expired")&gt;0,"✓",IF(COUNTIFS('AFA Rates'!$A$5:$A$1004,$A755,'AFA Rates'!$B$5:$B$1004,D$23)&gt;0,"Exp","")))</f>
        <v/>
      </c>
      <c r="E755" s="79">
        <f>IF(OR($A755="",E$23=""),"",IF(COUNTIFS('AFA Rates'!$A$5:$A$1004,$A755,'AFA Rates'!$B$5:$B$1004,E$23,'AFA Rates'!$O$5:$O$1004,"&lt;&gt;Expired")&gt;0,"✓",IF(COUNTIFS('AFA Rates'!$A$5:$A$1004,$A755,'AFA Rates'!$B$5:$B$1004,E$23)&gt;0,"Exp","")))</f>
        <v/>
      </c>
      <c r="F755" s="79">
        <f>IF(OR($A755="",F$23=""),"",IF(COUNTIFS('AFA Rates'!$A$5:$A$1004,$A755,'AFA Rates'!$B$5:$B$1004,F$23,'AFA Rates'!$O$5:$O$1004,"&lt;&gt;Expired")&gt;0,"✓",IF(COUNTIFS('AFA Rates'!$A$5:$A$1004,$A755,'AFA Rates'!$B$5:$B$1004,F$23)&gt;0,"Exp","")))</f>
        <v/>
      </c>
      <c r="G755" s="79">
        <f>IF(OR($A755="",G$23=""),"",IF(COUNTIFS('AFA Rates'!$A$5:$A$1004,$A755,'AFA Rates'!$B$5:$B$1004,G$23,'AFA Rates'!$O$5:$O$1004,"&lt;&gt;Expired")&gt;0,"✓",IF(COUNTIFS('AFA Rates'!$A$5:$A$1004,$A755,'AFA Rates'!$B$5:$B$1004,G$23)&gt;0,"Exp","")))</f>
        <v/>
      </c>
      <c r="H755" s="79">
        <f>IF(OR($A755="",H$23=""),"",IF(COUNTIFS('AFA Rates'!$A$5:$A$1004,$A755,'AFA Rates'!$B$5:$B$1004,H$23,'AFA Rates'!$O$5:$O$1004,"&lt;&gt;Expired")&gt;0,"✓",IF(COUNTIFS('AFA Rates'!$A$5:$A$1004,$A755,'AFA Rates'!$B$5:$B$1004,H$23)&gt;0,"Exp","")))</f>
        <v/>
      </c>
      <c r="I755" s="79">
        <f>IF(OR($A755="",I$23=""),"",IF(COUNTIFS('AFA Rates'!$A$5:$A$1004,$A755,'AFA Rates'!$B$5:$B$1004,I$23,'AFA Rates'!$O$5:$O$1004,"&lt;&gt;Expired")&gt;0,"✓",IF(COUNTIFS('AFA Rates'!$A$5:$A$1004,$A755,'AFA Rates'!$B$5:$B$1004,I$23)&gt;0,"Exp","")))</f>
        <v/>
      </c>
      <c r="J755" s="79">
        <f>IF(OR($A755="",J$23=""),"",IF(COUNTIFS('AFA Rates'!$A$5:$A$1004,$A755,'AFA Rates'!$B$5:$B$1004,J$23,'AFA Rates'!$O$5:$O$1004,"&lt;&gt;Expired")&gt;0,"✓",IF(COUNTIFS('AFA Rates'!$A$5:$A$1004,$A755,'AFA Rates'!$B$5:$B$1004,J$23)&gt;0,"Exp","")))</f>
        <v/>
      </c>
      <c r="K755" s="79">
        <f>IF(OR($A755="",K$23=""),"",IF(COUNTIFS('AFA Rates'!$A$5:$A$1004,$A755,'AFA Rates'!$B$5:$B$1004,K$23,'AFA Rates'!$O$5:$O$1004,"&lt;&gt;Expired")&gt;0,"✓",IF(COUNTIFS('AFA Rates'!$A$5:$A$1004,$A755,'AFA Rates'!$B$5:$B$1004,K$23)&gt;0,"Exp","")))</f>
        <v/>
      </c>
      <c r="L755" s="79">
        <f>IF(OR($A755="",L$23=""),"",IF(COUNTIFS('AFA Rates'!$A$5:$A$1004,$A755,'AFA Rates'!$B$5:$B$1004,L$23,'AFA Rates'!$O$5:$O$1004,"&lt;&gt;Expired")&gt;0,"✓",IF(COUNTIFS('AFA Rates'!$A$5:$A$1004,$A755,'AFA Rates'!$B$5:$B$1004,L$23)&gt;0,"Exp","")))</f>
        <v/>
      </c>
      <c r="M755" s="79">
        <f>IF(OR($A755="",M$23=""),"",IF(COUNTIFS('AFA Rates'!$A$5:$A$1004,$A755,'AFA Rates'!$B$5:$B$1004,M$23,'AFA Rates'!$O$5:$O$1004,"&lt;&gt;Expired")&gt;0,"✓",IF(COUNTIFS('AFA Rates'!$A$5:$A$1004,$A755,'AFA Rates'!$B$5:$B$1004,M$23)&gt;0,"Exp","")))</f>
        <v/>
      </c>
    </row>
    <row r="756">
      <c r="A756" s="78">
        <f>IFERROR(INDEX(Firms!$A$5:$A$1004,MATCH(733,Firms!$V$5:$V$1004,0)),"")</f>
        <v/>
      </c>
      <c r="B756" s="79">
        <f>IF($A756="","",INDEX(Firms!$B$5:$B$1004,MATCH(733,Firms!$V$5:$V$1004,0)))</f>
        <v/>
      </c>
      <c r="C756" s="79">
        <f>IF($A756="","",COUNTIFS('AFA Rates'!$A$5:$A$1004,$A756,'AFA Rates'!$O$5:$O$1004,"&lt;&gt;Expired"))</f>
        <v/>
      </c>
      <c r="D756" s="79">
        <f>IF(OR($A756="",D$23=""),"",IF(COUNTIFS('AFA Rates'!$A$5:$A$1004,$A756,'AFA Rates'!$B$5:$B$1004,D$23,'AFA Rates'!$O$5:$O$1004,"&lt;&gt;Expired")&gt;0,"✓",IF(COUNTIFS('AFA Rates'!$A$5:$A$1004,$A756,'AFA Rates'!$B$5:$B$1004,D$23)&gt;0,"Exp","")))</f>
        <v/>
      </c>
      <c r="E756" s="79">
        <f>IF(OR($A756="",E$23=""),"",IF(COUNTIFS('AFA Rates'!$A$5:$A$1004,$A756,'AFA Rates'!$B$5:$B$1004,E$23,'AFA Rates'!$O$5:$O$1004,"&lt;&gt;Expired")&gt;0,"✓",IF(COUNTIFS('AFA Rates'!$A$5:$A$1004,$A756,'AFA Rates'!$B$5:$B$1004,E$23)&gt;0,"Exp","")))</f>
        <v/>
      </c>
      <c r="F756" s="79">
        <f>IF(OR($A756="",F$23=""),"",IF(COUNTIFS('AFA Rates'!$A$5:$A$1004,$A756,'AFA Rates'!$B$5:$B$1004,F$23,'AFA Rates'!$O$5:$O$1004,"&lt;&gt;Expired")&gt;0,"✓",IF(COUNTIFS('AFA Rates'!$A$5:$A$1004,$A756,'AFA Rates'!$B$5:$B$1004,F$23)&gt;0,"Exp","")))</f>
        <v/>
      </c>
      <c r="G756" s="79">
        <f>IF(OR($A756="",G$23=""),"",IF(COUNTIFS('AFA Rates'!$A$5:$A$1004,$A756,'AFA Rates'!$B$5:$B$1004,G$23,'AFA Rates'!$O$5:$O$1004,"&lt;&gt;Expired")&gt;0,"✓",IF(COUNTIFS('AFA Rates'!$A$5:$A$1004,$A756,'AFA Rates'!$B$5:$B$1004,G$23)&gt;0,"Exp","")))</f>
        <v/>
      </c>
      <c r="H756" s="79">
        <f>IF(OR($A756="",H$23=""),"",IF(COUNTIFS('AFA Rates'!$A$5:$A$1004,$A756,'AFA Rates'!$B$5:$B$1004,H$23,'AFA Rates'!$O$5:$O$1004,"&lt;&gt;Expired")&gt;0,"✓",IF(COUNTIFS('AFA Rates'!$A$5:$A$1004,$A756,'AFA Rates'!$B$5:$B$1004,H$23)&gt;0,"Exp","")))</f>
        <v/>
      </c>
      <c r="I756" s="79">
        <f>IF(OR($A756="",I$23=""),"",IF(COUNTIFS('AFA Rates'!$A$5:$A$1004,$A756,'AFA Rates'!$B$5:$B$1004,I$23,'AFA Rates'!$O$5:$O$1004,"&lt;&gt;Expired")&gt;0,"✓",IF(COUNTIFS('AFA Rates'!$A$5:$A$1004,$A756,'AFA Rates'!$B$5:$B$1004,I$23)&gt;0,"Exp","")))</f>
        <v/>
      </c>
      <c r="J756" s="79">
        <f>IF(OR($A756="",J$23=""),"",IF(COUNTIFS('AFA Rates'!$A$5:$A$1004,$A756,'AFA Rates'!$B$5:$B$1004,J$23,'AFA Rates'!$O$5:$O$1004,"&lt;&gt;Expired")&gt;0,"✓",IF(COUNTIFS('AFA Rates'!$A$5:$A$1004,$A756,'AFA Rates'!$B$5:$B$1004,J$23)&gt;0,"Exp","")))</f>
        <v/>
      </c>
      <c r="K756" s="79">
        <f>IF(OR($A756="",K$23=""),"",IF(COUNTIFS('AFA Rates'!$A$5:$A$1004,$A756,'AFA Rates'!$B$5:$B$1004,K$23,'AFA Rates'!$O$5:$O$1004,"&lt;&gt;Expired")&gt;0,"✓",IF(COUNTIFS('AFA Rates'!$A$5:$A$1004,$A756,'AFA Rates'!$B$5:$B$1004,K$23)&gt;0,"Exp","")))</f>
        <v/>
      </c>
      <c r="L756" s="79">
        <f>IF(OR($A756="",L$23=""),"",IF(COUNTIFS('AFA Rates'!$A$5:$A$1004,$A756,'AFA Rates'!$B$5:$B$1004,L$23,'AFA Rates'!$O$5:$O$1004,"&lt;&gt;Expired")&gt;0,"✓",IF(COUNTIFS('AFA Rates'!$A$5:$A$1004,$A756,'AFA Rates'!$B$5:$B$1004,L$23)&gt;0,"Exp","")))</f>
        <v/>
      </c>
      <c r="M756" s="79">
        <f>IF(OR($A756="",M$23=""),"",IF(COUNTIFS('AFA Rates'!$A$5:$A$1004,$A756,'AFA Rates'!$B$5:$B$1004,M$23,'AFA Rates'!$O$5:$O$1004,"&lt;&gt;Expired")&gt;0,"✓",IF(COUNTIFS('AFA Rates'!$A$5:$A$1004,$A756,'AFA Rates'!$B$5:$B$1004,M$23)&gt;0,"Exp","")))</f>
        <v/>
      </c>
    </row>
    <row r="757">
      <c r="A757" s="78">
        <f>IFERROR(INDEX(Firms!$A$5:$A$1004,MATCH(734,Firms!$V$5:$V$1004,0)),"")</f>
        <v/>
      </c>
      <c r="B757" s="79">
        <f>IF($A757="","",INDEX(Firms!$B$5:$B$1004,MATCH(734,Firms!$V$5:$V$1004,0)))</f>
        <v/>
      </c>
      <c r="C757" s="79">
        <f>IF($A757="","",COUNTIFS('AFA Rates'!$A$5:$A$1004,$A757,'AFA Rates'!$O$5:$O$1004,"&lt;&gt;Expired"))</f>
        <v/>
      </c>
      <c r="D757" s="79">
        <f>IF(OR($A757="",D$23=""),"",IF(COUNTIFS('AFA Rates'!$A$5:$A$1004,$A757,'AFA Rates'!$B$5:$B$1004,D$23,'AFA Rates'!$O$5:$O$1004,"&lt;&gt;Expired")&gt;0,"✓",IF(COUNTIFS('AFA Rates'!$A$5:$A$1004,$A757,'AFA Rates'!$B$5:$B$1004,D$23)&gt;0,"Exp","")))</f>
        <v/>
      </c>
      <c r="E757" s="79">
        <f>IF(OR($A757="",E$23=""),"",IF(COUNTIFS('AFA Rates'!$A$5:$A$1004,$A757,'AFA Rates'!$B$5:$B$1004,E$23,'AFA Rates'!$O$5:$O$1004,"&lt;&gt;Expired")&gt;0,"✓",IF(COUNTIFS('AFA Rates'!$A$5:$A$1004,$A757,'AFA Rates'!$B$5:$B$1004,E$23)&gt;0,"Exp","")))</f>
        <v/>
      </c>
      <c r="F757" s="79">
        <f>IF(OR($A757="",F$23=""),"",IF(COUNTIFS('AFA Rates'!$A$5:$A$1004,$A757,'AFA Rates'!$B$5:$B$1004,F$23,'AFA Rates'!$O$5:$O$1004,"&lt;&gt;Expired")&gt;0,"✓",IF(COUNTIFS('AFA Rates'!$A$5:$A$1004,$A757,'AFA Rates'!$B$5:$B$1004,F$23)&gt;0,"Exp","")))</f>
        <v/>
      </c>
      <c r="G757" s="79">
        <f>IF(OR($A757="",G$23=""),"",IF(COUNTIFS('AFA Rates'!$A$5:$A$1004,$A757,'AFA Rates'!$B$5:$B$1004,G$23,'AFA Rates'!$O$5:$O$1004,"&lt;&gt;Expired")&gt;0,"✓",IF(COUNTIFS('AFA Rates'!$A$5:$A$1004,$A757,'AFA Rates'!$B$5:$B$1004,G$23)&gt;0,"Exp","")))</f>
        <v/>
      </c>
      <c r="H757" s="79">
        <f>IF(OR($A757="",H$23=""),"",IF(COUNTIFS('AFA Rates'!$A$5:$A$1004,$A757,'AFA Rates'!$B$5:$B$1004,H$23,'AFA Rates'!$O$5:$O$1004,"&lt;&gt;Expired")&gt;0,"✓",IF(COUNTIFS('AFA Rates'!$A$5:$A$1004,$A757,'AFA Rates'!$B$5:$B$1004,H$23)&gt;0,"Exp","")))</f>
        <v/>
      </c>
      <c r="I757" s="79">
        <f>IF(OR($A757="",I$23=""),"",IF(COUNTIFS('AFA Rates'!$A$5:$A$1004,$A757,'AFA Rates'!$B$5:$B$1004,I$23,'AFA Rates'!$O$5:$O$1004,"&lt;&gt;Expired")&gt;0,"✓",IF(COUNTIFS('AFA Rates'!$A$5:$A$1004,$A757,'AFA Rates'!$B$5:$B$1004,I$23)&gt;0,"Exp","")))</f>
        <v/>
      </c>
      <c r="J757" s="79">
        <f>IF(OR($A757="",J$23=""),"",IF(COUNTIFS('AFA Rates'!$A$5:$A$1004,$A757,'AFA Rates'!$B$5:$B$1004,J$23,'AFA Rates'!$O$5:$O$1004,"&lt;&gt;Expired")&gt;0,"✓",IF(COUNTIFS('AFA Rates'!$A$5:$A$1004,$A757,'AFA Rates'!$B$5:$B$1004,J$23)&gt;0,"Exp","")))</f>
        <v/>
      </c>
      <c r="K757" s="79">
        <f>IF(OR($A757="",K$23=""),"",IF(COUNTIFS('AFA Rates'!$A$5:$A$1004,$A757,'AFA Rates'!$B$5:$B$1004,K$23,'AFA Rates'!$O$5:$O$1004,"&lt;&gt;Expired")&gt;0,"✓",IF(COUNTIFS('AFA Rates'!$A$5:$A$1004,$A757,'AFA Rates'!$B$5:$B$1004,K$23)&gt;0,"Exp","")))</f>
        <v/>
      </c>
      <c r="L757" s="79">
        <f>IF(OR($A757="",L$23=""),"",IF(COUNTIFS('AFA Rates'!$A$5:$A$1004,$A757,'AFA Rates'!$B$5:$B$1004,L$23,'AFA Rates'!$O$5:$O$1004,"&lt;&gt;Expired")&gt;0,"✓",IF(COUNTIFS('AFA Rates'!$A$5:$A$1004,$A757,'AFA Rates'!$B$5:$B$1004,L$23)&gt;0,"Exp","")))</f>
        <v/>
      </c>
      <c r="M757" s="79">
        <f>IF(OR($A757="",M$23=""),"",IF(COUNTIFS('AFA Rates'!$A$5:$A$1004,$A757,'AFA Rates'!$B$5:$B$1004,M$23,'AFA Rates'!$O$5:$O$1004,"&lt;&gt;Expired")&gt;0,"✓",IF(COUNTIFS('AFA Rates'!$A$5:$A$1004,$A757,'AFA Rates'!$B$5:$B$1004,M$23)&gt;0,"Exp","")))</f>
        <v/>
      </c>
    </row>
    <row r="758">
      <c r="A758" s="78">
        <f>IFERROR(INDEX(Firms!$A$5:$A$1004,MATCH(735,Firms!$V$5:$V$1004,0)),"")</f>
        <v/>
      </c>
      <c r="B758" s="79">
        <f>IF($A758="","",INDEX(Firms!$B$5:$B$1004,MATCH(735,Firms!$V$5:$V$1004,0)))</f>
        <v/>
      </c>
      <c r="C758" s="79">
        <f>IF($A758="","",COUNTIFS('AFA Rates'!$A$5:$A$1004,$A758,'AFA Rates'!$O$5:$O$1004,"&lt;&gt;Expired"))</f>
        <v/>
      </c>
      <c r="D758" s="79">
        <f>IF(OR($A758="",D$23=""),"",IF(COUNTIFS('AFA Rates'!$A$5:$A$1004,$A758,'AFA Rates'!$B$5:$B$1004,D$23,'AFA Rates'!$O$5:$O$1004,"&lt;&gt;Expired")&gt;0,"✓",IF(COUNTIFS('AFA Rates'!$A$5:$A$1004,$A758,'AFA Rates'!$B$5:$B$1004,D$23)&gt;0,"Exp","")))</f>
        <v/>
      </c>
      <c r="E758" s="79">
        <f>IF(OR($A758="",E$23=""),"",IF(COUNTIFS('AFA Rates'!$A$5:$A$1004,$A758,'AFA Rates'!$B$5:$B$1004,E$23,'AFA Rates'!$O$5:$O$1004,"&lt;&gt;Expired")&gt;0,"✓",IF(COUNTIFS('AFA Rates'!$A$5:$A$1004,$A758,'AFA Rates'!$B$5:$B$1004,E$23)&gt;0,"Exp","")))</f>
        <v/>
      </c>
      <c r="F758" s="79">
        <f>IF(OR($A758="",F$23=""),"",IF(COUNTIFS('AFA Rates'!$A$5:$A$1004,$A758,'AFA Rates'!$B$5:$B$1004,F$23,'AFA Rates'!$O$5:$O$1004,"&lt;&gt;Expired")&gt;0,"✓",IF(COUNTIFS('AFA Rates'!$A$5:$A$1004,$A758,'AFA Rates'!$B$5:$B$1004,F$23)&gt;0,"Exp","")))</f>
        <v/>
      </c>
      <c r="G758" s="79">
        <f>IF(OR($A758="",G$23=""),"",IF(COUNTIFS('AFA Rates'!$A$5:$A$1004,$A758,'AFA Rates'!$B$5:$B$1004,G$23,'AFA Rates'!$O$5:$O$1004,"&lt;&gt;Expired")&gt;0,"✓",IF(COUNTIFS('AFA Rates'!$A$5:$A$1004,$A758,'AFA Rates'!$B$5:$B$1004,G$23)&gt;0,"Exp","")))</f>
        <v/>
      </c>
      <c r="H758" s="79">
        <f>IF(OR($A758="",H$23=""),"",IF(COUNTIFS('AFA Rates'!$A$5:$A$1004,$A758,'AFA Rates'!$B$5:$B$1004,H$23,'AFA Rates'!$O$5:$O$1004,"&lt;&gt;Expired")&gt;0,"✓",IF(COUNTIFS('AFA Rates'!$A$5:$A$1004,$A758,'AFA Rates'!$B$5:$B$1004,H$23)&gt;0,"Exp","")))</f>
        <v/>
      </c>
      <c r="I758" s="79">
        <f>IF(OR($A758="",I$23=""),"",IF(COUNTIFS('AFA Rates'!$A$5:$A$1004,$A758,'AFA Rates'!$B$5:$B$1004,I$23,'AFA Rates'!$O$5:$O$1004,"&lt;&gt;Expired")&gt;0,"✓",IF(COUNTIFS('AFA Rates'!$A$5:$A$1004,$A758,'AFA Rates'!$B$5:$B$1004,I$23)&gt;0,"Exp","")))</f>
        <v/>
      </c>
      <c r="J758" s="79">
        <f>IF(OR($A758="",J$23=""),"",IF(COUNTIFS('AFA Rates'!$A$5:$A$1004,$A758,'AFA Rates'!$B$5:$B$1004,J$23,'AFA Rates'!$O$5:$O$1004,"&lt;&gt;Expired")&gt;0,"✓",IF(COUNTIFS('AFA Rates'!$A$5:$A$1004,$A758,'AFA Rates'!$B$5:$B$1004,J$23)&gt;0,"Exp","")))</f>
        <v/>
      </c>
      <c r="K758" s="79">
        <f>IF(OR($A758="",K$23=""),"",IF(COUNTIFS('AFA Rates'!$A$5:$A$1004,$A758,'AFA Rates'!$B$5:$B$1004,K$23,'AFA Rates'!$O$5:$O$1004,"&lt;&gt;Expired")&gt;0,"✓",IF(COUNTIFS('AFA Rates'!$A$5:$A$1004,$A758,'AFA Rates'!$B$5:$B$1004,K$23)&gt;0,"Exp","")))</f>
        <v/>
      </c>
      <c r="L758" s="79">
        <f>IF(OR($A758="",L$23=""),"",IF(COUNTIFS('AFA Rates'!$A$5:$A$1004,$A758,'AFA Rates'!$B$5:$B$1004,L$23,'AFA Rates'!$O$5:$O$1004,"&lt;&gt;Expired")&gt;0,"✓",IF(COUNTIFS('AFA Rates'!$A$5:$A$1004,$A758,'AFA Rates'!$B$5:$B$1004,L$23)&gt;0,"Exp","")))</f>
        <v/>
      </c>
      <c r="M758" s="79">
        <f>IF(OR($A758="",M$23=""),"",IF(COUNTIFS('AFA Rates'!$A$5:$A$1004,$A758,'AFA Rates'!$B$5:$B$1004,M$23,'AFA Rates'!$O$5:$O$1004,"&lt;&gt;Expired")&gt;0,"✓",IF(COUNTIFS('AFA Rates'!$A$5:$A$1004,$A758,'AFA Rates'!$B$5:$B$1004,M$23)&gt;0,"Exp","")))</f>
        <v/>
      </c>
    </row>
    <row r="759">
      <c r="A759" s="78">
        <f>IFERROR(INDEX(Firms!$A$5:$A$1004,MATCH(736,Firms!$V$5:$V$1004,0)),"")</f>
        <v/>
      </c>
      <c r="B759" s="79">
        <f>IF($A759="","",INDEX(Firms!$B$5:$B$1004,MATCH(736,Firms!$V$5:$V$1004,0)))</f>
        <v/>
      </c>
      <c r="C759" s="79">
        <f>IF($A759="","",COUNTIFS('AFA Rates'!$A$5:$A$1004,$A759,'AFA Rates'!$O$5:$O$1004,"&lt;&gt;Expired"))</f>
        <v/>
      </c>
      <c r="D759" s="79">
        <f>IF(OR($A759="",D$23=""),"",IF(COUNTIFS('AFA Rates'!$A$5:$A$1004,$A759,'AFA Rates'!$B$5:$B$1004,D$23,'AFA Rates'!$O$5:$O$1004,"&lt;&gt;Expired")&gt;0,"✓",IF(COUNTIFS('AFA Rates'!$A$5:$A$1004,$A759,'AFA Rates'!$B$5:$B$1004,D$23)&gt;0,"Exp","")))</f>
        <v/>
      </c>
      <c r="E759" s="79">
        <f>IF(OR($A759="",E$23=""),"",IF(COUNTIFS('AFA Rates'!$A$5:$A$1004,$A759,'AFA Rates'!$B$5:$B$1004,E$23,'AFA Rates'!$O$5:$O$1004,"&lt;&gt;Expired")&gt;0,"✓",IF(COUNTIFS('AFA Rates'!$A$5:$A$1004,$A759,'AFA Rates'!$B$5:$B$1004,E$23)&gt;0,"Exp","")))</f>
        <v/>
      </c>
      <c r="F759" s="79">
        <f>IF(OR($A759="",F$23=""),"",IF(COUNTIFS('AFA Rates'!$A$5:$A$1004,$A759,'AFA Rates'!$B$5:$B$1004,F$23,'AFA Rates'!$O$5:$O$1004,"&lt;&gt;Expired")&gt;0,"✓",IF(COUNTIFS('AFA Rates'!$A$5:$A$1004,$A759,'AFA Rates'!$B$5:$B$1004,F$23)&gt;0,"Exp","")))</f>
        <v/>
      </c>
      <c r="G759" s="79">
        <f>IF(OR($A759="",G$23=""),"",IF(COUNTIFS('AFA Rates'!$A$5:$A$1004,$A759,'AFA Rates'!$B$5:$B$1004,G$23,'AFA Rates'!$O$5:$O$1004,"&lt;&gt;Expired")&gt;0,"✓",IF(COUNTIFS('AFA Rates'!$A$5:$A$1004,$A759,'AFA Rates'!$B$5:$B$1004,G$23)&gt;0,"Exp","")))</f>
        <v/>
      </c>
      <c r="H759" s="79">
        <f>IF(OR($A759="",H$23=""),"",IF(COUNTIFS('AFA Rates'!$A$5:$A$1004,$A759,'AFA Rates'!$B$5:$B$1004,H$23,'AFA Rates'!$O$5:$O$1004,"&lt;&gt;Expired")&gt;0,"✓",IF(COUNTIFS('AFA Rates'!$A$5:$A$1004,$A759,'AFA Rates'!$B$5:$B$1004,H$23)&gt;0,"Exp","")))</f>
        <v/>
      </c>
      <c r="I759" s="79">
        <f>IF(OR($A759="",I$23=""),"",IF(COUNTIFS('AFA Rates'!$A$5:$A$1004,$A759,'AFA Rates'!$B$5:$B$1004,I$23,'AFA Rates'!$O$5:$O$1004,"&lt;&gt;Expired")&gt;0,"✓",IF(COUNTIFS('AFA Rates'!$A$5:$A$1004,$A759,'AFA Rates'!$B$5:$B$1004,I$23)&gt;0,"Exp","")))</f>
        <v/>
      </c>
      <c r="J759" s="79">
        <f>IF(OR($A759="",J$23=""),"",IF(COUNTIFS('AFA Rates'!$A$5:$A$1004,$A759,'AFA Rates'!$B$5:$B$1004,J$23,'AFA Rates'!$O$5:$O$1004,"&lt;&gt;Expired")&gt;0,"✓",IF(COUNTIFS('AFA Rates'!$A$5:$A$1004,$A759,'AFA Rates'!$B$5:$B$1004,J$23)&gt;0,"Exp","")))</f>
        <v/>
      </c>
      <c r="K759" s="79">
        <f>IF(OR($A759="",K$23=""),"",IF(COUNTIFS('AFA Rates'!$A$5:$A$1004,$A759,'AFA Rates'!$B$5:$B$1004,K$23,'AFA Rates'!$O$5:$O$1004,"&lt;&gt;Expired")&gt;0,"✓",IF(COUNTIFS('AFA Rates'!$A$5:$A$1004,$A759,'AFA Rates'!$B$5:$B$1004,K$23)&gt;0,"Exp","")))</f>
        <v/>
      </c>
      <c r="L759" s="79">
        <f>IF(OR($A759="",L$23=""),"",IF(COUNTIFS('AFA Rates'!$A$5:$A$1004,$A759,'AFA Rates'!$B$5:$B$1004,L$23,'AFA Rates'!$O$5:$O$1004,"&lt;&gt;Expired")&gt;0,"✓",IF(COUNTIFS('AFA Rates'!$A$5:$A$1004,$A759,'AFA Rates'!$B$5:$B$1004,L$23)&gt;0,"Exp","")))</f>
        <v/>
      </c>
      <c r="M759" s="79">
        <f>IF(OR($A759="",M$23=""),"",IF(COUNTIFS('AFA Rates'!$A$5:$A$1004,$A759,'AFA Rates'!$B$5:$B$1004,M$23,'AFA Rates'!$O$5:$O$1004,"&lt;&gt;Expired")&gt;0,"✓",IF(COUNTIFS('AFA Rates'!$A$5:$A$1004,$A759,'AFA Rates'!$B$5:$B$1004,M$23)&gt;0,"Exp","")))</f>
        <v/>
      </c>
    </row>
    <row r="760">
      <c r="A760" s="78">
        <f>IFERROR(INDEX(Firms!$A$5:$A$1004,MATCH(737,Firms!$V$5:$V$1004,0)),"")</f>
        <v/>
      </c>
      <c r="B760" s="79">
        <f>IF($A760="","",INDEX(Firms!$B$5:$B$1004,MATCH(737,Firms!$V$5:$V$1004,0)))</f>
        <v/>
      </c>
      <c r="C760" s="79">
        <f>IF($A760="","",COUNTIFS('AFA Rates'!$A$5:$A$1004,$A760,'AFA Rates'!$O$5:$O$1004,"&lt;&gt;Expired"))</f>
        <v/>
      </c>
      <c r="D760" s="79">
        <f>IF(OR($A760="",D$23=""),"",IF(COUNTIFS('AFA Rates'!$A$5:$A$1004,$A760,'AFA Rates'!$B$5:$B$1004,D$23,'AFA Rates'!$O$5:$O$1004,"&lt;&gt;Expired")&gt;0,"✓",IF(COUNTIFS('AFA Rates'!$A$5:$A$1004,$A760,'AFA Rates'!$B$5:$B$1004,D$23)&gt;0,"Exp","")))</f>
        <v/>
      </c>
      <c r="E760" s="79">
        <f>IF(OR($A760="",E$23=""),"",IF(COUNTIFS('AFA Rates'!$A$5:$A$1004,$A760,'AFA Rates'!$B$5:$B$1004,E$23,'AFA Rates'!$O$5:$O$1004,"&lt;&gt;Expired")&gt;0,"✓",IF(COUNTIFS('AFA Rates'!$A$5:$A$1004,$A760,'AFA Rates'!$B$5:$B$1004,E$23)&gt;0,"Exp","")))</f>
        <v/>
      </c>
      <c r="F760" s="79">
        <f>IF(OR($A760="",F$23=""),"",IF(COUNTIFS('AFA Rates'!$A$5:$A$1004,$A760,'AFA Rates'!$B$5:$B$1004,F$23,'AFA Rates'!$O$5:$O$1004,"&lt;&gt;Expired")&gt;0,"✓",IF(COUNTIFS('AFA Rates'!$A$5:$A$1004,$A760,'AFA Rates'!$B$5:$B$1004,F$23)&gt;0,"Exp","")))</f>
        <v/>
      </c>
      <c r="G760" s="79">
        <f>IF(OR($A760="",G$23=""),"",IF(COUNTIFS('AFA Rates'!$A$5:$A$1004,$A760,'AFA Rates'!$B$5:$B$1004,G$23,'AFA Rates'!$O$5:$O$1004,"&lt;&gt;Expired")&gt;0,"✓",IF(COUNTIFS('AFA Rates'!$A$5:$A$1004,$A760,'AFA Rates'!$B$5:$B$1004,G$23)&gt;0,"Exp","")))</f>
        <v/>
      </c>
      <c r="H760" s="79">
        <f>IF(OR($A760="",H$23=""),"",IF(COUNTIFS('AFA Rates'!$A$5:$A$1004,$A760,'AFA Rates'!$B$5:$B$1004,H$23,'AFA Rates'!$O$5:$O$1004,"&lt;&gt;Expired")&gt;0,"✓",IF(COUNTIFS('AFA Rates'!$A$5:$A$1004,$A760,'AFA Rates'!$B$5:$B$1004,H$23)&gt;0,"Exp","")))</f>
        <v/>
      </c>
      <c r="I760" s="79">
        <f>IF(OR($A760="",I$23=""),"",IF(COUNTIFS('AFA Rates'!$A$5:$A$1004,$A760,'AFA Rates'!$B$5:$B$1004,I$23,'AFA Rates'!$O$5:$O$1004,"&lt;&gt;Expired")&gt;0,"✓",IF(COUNTIFS('AFA Rates'!$A$5:$A$1004,$A760,'AFA Rates'!$B$5:$B$1004,I$23)&gt;0,"Exp","")))</f>
        <v/>
      </c>
      <c r="J760" s="79">
        <f>IF(OR($A760="",J$23=""),"",IF(COUNTIFS('AFA Rates'!$A$5:$A$1004,$A760,'AFA Rates'!$B$5:$B$1004,J$23,'AFA Rates'!$O$5:$O$1004,"&lt;&gt;Expired")&gt;0,"✓",IF(COUNTIFS('AFA Rates'!$A$5:$A$1004,$A760,'AFA Rates'!$B$5:$B$1004,J$23)&gt;0,"Exp","")))</f>
        <v/>
      </c>
      <c r="K760" s="79">
        <f>IF(OR($A760="",K$23=""),"",IF(COUNTIFS('AFA Rates'!$A$5:$A$1004,$A760,'AFA Rates'!$B$5:$B$1004,K$23,'AFA Rates'!$O$5:$O$1004,"&lt;&gt;Expired")&gt;0,"✓",IF(COUNTIFS('AFA Rates'!$A$5:$A$1004,$A760,'AFA Rates'!$B$5:$B$1004,K$23)&gt;0,"Exp","")))</f>
        <v/>
      </c>
      <c r="L760" s="79">
        <f>IF(OR($A760="",L$23=""),"",IF(COUNTIFS('AFA Rates'!$A$5:$A$1004,$A760,'AFA Rates'!$B$5:$B$1004,L$23,'AFA Rates'!$O$5:$O$1004,"&lt;&gt;Expired")&gt;0,"✓",IF(COUNTIFS('AFA Rates'!$A$5:$A$1004,$A760,'AFA Rates'!$B$5:$B$1004,L$23)&gt;0,"Exp","")))</f>
        <v/>
      </c>
      <c r="M760" s="79">
        <f>IF(OR($A760="",M$23=""),"",IF(COUNTIFS('AFA Rates'!$A$5:$A$1004,$A760,'AFA Rates'!$B$5:$B$1004,M$23,'AFA Rates'!$O$5:$O$1004,"&lt;&gt;Expired")&gt;0,"✓",IF(COUNTIFS('AFA Rates'!$A$5:$A$1004,$A760,'AFA Rates'!$B$5:$B$1004,M$23)&gt;0,"Exp","")))</f>
        <v/>
      </c>
    </row>
    <row r="761">
      <c r="A761" s="78">
        <f>IFERROR(INDEX(Firms!$A$5:$A$1004,MATCH(738,Firms!$V$5:$V$1004,0)),"")</f>
        <v/>
      </c>
      <c r="B761" s="79">
        <f>IF($A761="","",INDEX(Firms!$B$5:$B$1004,MATCH(738,Firms!$V$5:$V$1004,0)))</f>
        <v/>
      </c>
      <c r="C761" s="79">
        <f>IF($A761="","",COUNTIFS('AFA Rates'!$A$5:$A$1004,$A761,'AFA Rates'!$O$5:$O$1004,"&lt;&gt;Expired"))</f>
        <v/>
      </c>
      <c r="D761" s="79">
        <f>IF(OR($A761="",D$23=""),"",IF(COUNTIFS('AFA Rates'!$A$5:$A$1004,$A761,'AFA Rates'!$B$5:$B$1004,D$23,'AFA Rates'!$O$5:$O$1004,"&lt;&gt;Expired")&gt;0,"✓",IF(COUNTIFS('AFA Rates'!$A$5:$A$1004,$A761,'AFA Rates'!$B$5:$B$1004,D$23)&gt;0,"Exp","")))</f>
        <v/>
      </c>
      <c r="E761" s="79">
        <f>IF(OR($A761="",E$23=""),"",IF(COUNTIFS('AFA Rates'!$A$5:$A$1004,$A761,'AFA Rates'!$B$5:$B$1004,E$23,'AFA Rates'!$O$5:$O$1004,"&lt;&gt;Expired")&gt;0,"✓",IF(COUNTIFS('AFA Rates'!$A$5:$A$1004,$A761,'AFA Rates'!$B$5:$B$1004,E$23)&gt;0,"Exp","")))</f>
        <v/>
      </c>
      <c r="F761" s="79">
        <f>IF(OR($A761="",F$23=""),"",IF(COUNTIFS('AFA Rates'!$A$5:$A$1004,$A761,'AFA Rates'!$B$5:$B$1004,F$23,'AFA Rates'!$O$5:$O$1004,"&lt;&gt;Expired")&gt;0,"✓",IF(COUNTIFS('AFA Rates'!$A$5:$A$1004,$A761,'AFA Rates'!$B$5:$B$1004,F$23)&gt;0,"Exp","")))</f>
        <v/>
      </c>
      <c r="G761" s="79">
        <f>IF(OR($A761="",G$23=""),"",IF(COUNTIFS('AFA Rates'!$A$5:$A$1004,$A761,'AFA Rates'!$B$5:$B$1004,G$23,'AFA Rates'!$O$5:$O$1004,"&lt;&gt;Expired")&gt;0,"✓",IF(COUNTIFS('AFA Rates'!$A$5:$A$1004,$A761,'AFA Rates'!$B$5:$B$1004,G$23)&gt;0,"Exp","")))</f>
        <v/>
      </c>
      <c r="H761" s="79">
        <f>IF(OR($A761="",H$23=""),"",IF(COUNTIFS('AFA Rates'!$A$5:$A$1004,$A761,'AFA Rates'!$B$5:$B$1004,H$23,'AFA Rates'!$O$5:$O$1004,"&lt;&gt;Expired")&gt;0,"✓",IF(COUNTIFS('AFA Rates'!$A$5:$A$1004,$A761,'AFA Rates'!$B$5:$B$1004,H$23)&gt;0,"Exp","")))</f>
        <v/>
      </c>
      <c r="I761" s="79">
        <f>IF(OR($A761="",I$23=""),"",IF(COUNTIFS('AFA Rates'!$A$5:$A$1004,$A761,'AFA Rates'!$B$5:$B$1004,I$23,'AFA Rates'!$O$5:$O$1004,"&lt;&gt;Expired")&gt;0,"✓",IF(COUNTIFS('AFA Rates'!$A$5:$A$1004,$A761,'AFA Rates'!$B$5:$B$1004,I$23)&gt;0,"Exp","")))</f>
        <v/>
      </c>
      <c r="J761" s="79">
        <f>IF(OR($A761="",J$23=""),"",IF(COUNTIFS('AFA Rates'!$A$5:$A$1004,$A761,'AFA Rates'!$B$5:$B$1004,J$23,'AFA Rates'!$O$5:$O$1004,"&lt;&gt;Expired")&gt;0,"✓",IF(COUNTIFS('AFA Rates'!$A$5:$A$1004,$A761,'AFA Rates'!$B$5:$B$1004,J$23)&gt;0,"Exp","")))</f>
        <v/>
      </c>
      <c r="K761" s="79">
        <f>IF(OR($A761="",K$23=""),"",IF(COUNTIFS('AFA Rates'!$A$5:$A$1004,$A761,'AFA Rates'!$B$5:$B$1004,K$23,'AFA Rates'!$O$5:$O$1004,"&lt;&gt;Expired")&gt;0,"✓",IF(COUNTIFS('AFA Rates'!$A$5:$A$1004,$A761,'AFA Rates'!$B$5:$B$1004,K$23)&gt;0,"Exp","")))</f>
        <v/>
      </c>
      <c r="L761" s="79">
        <f>IF(OR($A761="",L$23=""),"",IF(COUNTIFS('AFA Rates'!$A$5:$A$1004,$A761,'AFA Rates'!$B$5:$B$1004,L$23,'AFA Rates'!$O$5:$O$1004,"&lt;&gt;Expired")&gt;0,"✓",IF(COUNTIFS('AFA Rates'!$A$5:$A$1004,$A761,'AFA Rates'!$B$5:$B$1004,L$23)&gt;0,"Exp","")))</f>
        <v/>
      </c>
      <c r="M761" s="79">
        <f>IF(OR($A761="",M$23=""),"",IF(COUNTIFS('AFA Rates'!$A$5:$A$1004,$A761,'AFA Rates'!$B$5:$B$1004,M$23,'AFA Rates'!$O$5:$O$1004,"&lt;&gt;Expired")&gt;0,"✓",IF(COUNTIFS('AFA Rates'!$A$5:$A$1004,$A761,'AFA Rates'!$B$5:$B$1004,M$23)&gt;0,"Exp","")))</f>
        <v/>
      </c>
    </row>
    <row r="762">
      <c r="A762" s="78">
        <f>IFERROR(INDEX(Firms!$A$5:$A$1004,MATCH(739,Firms!$V$5:$V$1004,0)),"")</f>
        <v/>
      </c>
      <c r="B762" s="79">
        <f>IF($A762="","",INDEX(Firms!$B$5:$B$1004,MATCH(739,Firms!$V$5:$V$1004,0)))</f>
        <v/>
      </c>
      <c r="C762" s="79">
        <f>IF($A762="","",COUNTIFS('AFA Rates'!$A$5:$A$1004,$A762,'AFA Rates'!$O$5:$O$1004,"&lt;&gt;Expired"))</f>
        <v/>
      </c>
      <c r="D762" s="79">
        <f>IF(OR($A762="",D$23=""),"",IF(COUNTIFS('AFA Rates'!$A$5:$A$1004,$A762,'AFA Rates'!$B$5:$B$1004,D$23,'AFA Rates'!$O$5:$O$1004,"&lt;&gt;Expired")&gt;0,"✓",IF(COUNTIFS('AFA Rates'!$A$5:$A$1004,$A762,'AFA Rates'!$B$5:$B$1004,D$23)&gt;0,"Exp","")))</f>
        <v/>
      </c>
      <c r="E762" s="79">
        <f>IF(OR($A762="",E$23=""),"",IF(COUNTIFS('AFA Rates'!$A$5:$A$1004,$A762,'AFA Rates'!$B$5:$B$1004,E$23,'AFA Rates'!$O$5:$O$1004,"&lt;&gt;Expired")&gt;0,"✓",IF(COUNTIFS('AFA Rates'!$A$5:$A$1004,$A762,'AFA Rates'!$B$5:$B$1004,E$23)&gt;0,"Exp","")))</f>
        <v/>
      </c>
      <c r="F762" s="79">
        <f>IF(OR($A762="",F$23=""),"",IF(COUNTIFS('AFA Rates'!$A$5:$A$1004,$A762,'AFA Rates'!$B$5:$B$1004,F$23,'AFA Rates'!$O$5:$O$1004,"&lt;&gt;Expired")&gt;0,"✓",IF(COUNTIFS('AFA Rates'!$A$5:$A$1004,$A762,'AFA Rates'!$B$5:$B$1004,F$23)&gt;0,"Exp","")))</f>
        <v/>
      </c>
      <c r="G762" s="79">
        <f>IF(OR($A762="",G$23=""),"",IF(COUNTIFS('AFA Rates'!$A$5:$A$1004,$A762,'AFA Rates'!$B$5:$B$1004,G$23,'AFA Rates'!$O$5:$O$1004,"&lt;&gt;Expired")&gt;0,"✓",IF(COUNTIFS('AFA Rates'!$A$5:$A$1004,$A762,'AFA Rates'!$B$5:$B$1004,G$23)&gt;0,"Exp","")))</f>
        <v/>
      </c>
      <c r="H762" s="79">
        <f>IF(OR($A762="",H$23=""),"",IF(COUNTIFS('AFA Rates'!$A$5:$A$1004,$A762,'AFA Rates'!$B$5:$B$1004,H$23,'AFA Rates'!$O$5:$O$1004,"&lt;&gt;Expired")&gt;0,"✓",IF(COUNTIFS('AFA Rates'!$A$5:$A$1004,$A762,'AFA Rates'!$B$5:$B$1004,H$23)&gt;0,"Exp","")))</f>
        <v/>
      </c>
      <c r="I762" s="79">
        <f>IF(OR($A762="",I$23=""),"",IF(COUNTIFS('AFA Rates'!$A$5:$A$1004,$A762,'AFA Rates'!$B$5:$B$1004,I$23,'AFA Rates'!$O$5:$O$1004,"&lt;&gt;Expired")&gt;0,"✓",IF(COUNTIFS('AFA Rates'!$A$5:$A$1004,$A762,'AFA Rates'!$B$5:$B$1004,I$23)&gt;0,"Exp","")))</f>
        <v/>
      </c>
      <c r="J762" s="79">
        <f>IF(OR($A762="",J$23=""),"",IF(COUNTIFS('AFA Rates'!$A$5:$A$1004,$A762,'AFA Rates'!$B$5:$B$1004,J$23,'AFA Rates'!$O$5:$O$1004,"&lt;&gt;Expired")&gt;0,"✓",IF(COUNTIFS('AFA Rates'!$A$5:$A$1004,$A762,'AFA Rates'!$B$5:$B$1004,J$23)&gt;0,"Exp","")))</f>
        <v/>
      </c>
      <c r="K762" s="79">
        <f>IF(OR($A762="",K$23=""),"",IF(COUNTIFS('AFA Rates'!$A$5:$A$1004,$A762,'AFA Rates'!$B$5:$B$1004,K$23,'AFA Rates'!$O$5:$O$1004,"&lt;&gt;Expired")&gt;0,"✓",IF(COUNTIFS('AFA Rates'!$A$5:$A$1004,$A762,'AFA Rates'!$B$5:$B$1004,K$23)&gt;0,"Exp","")))</f>
        <v/>
      </c>
      <c r="L762" s="79">
        <f>IF(OR($A762="",L$23=""),"",IF(COUNTIFS('AFA Rates'!$A$5:$A$1004,$A762,'AFA Rates'!$B$5:$B$1004,L$23,'AFA Rates'!$O$5:$O$1004,"&lt;&gt;Expired")&gt;0,"✓",IF(COUNTIFS('AFA Rates'!$A$5:$A$1004,$A762,'AFA Rates'!$B$5:$B$1004,L$23)&gt;0,"Exp","")))</f>
        <v/>
      </c>
      <c r="M762" s="79">
        <f>IF(OR($A762="",M$23=""),"",IF(COUNTIFS('AFA Rates'!$A$5:$A$1004,$A762,'AFA Rates'!$B$5:$B$1004,M$23,'AFA Rates'!$O$5:$O$1004,"&lt;&gt;Expired")&gt;0,"✓",IF(COUNTIFS('AFA Rates'!$A$5:$A$1004,$A762,'AFA Rates'!$B$5:$B$1004,M$23)&gt;0,"Exp","")))</f>
        <v/>
      </c>
    </row>
    <row r="763">
      <c r="A763" s="78">
        <f>IFERROR(INDEX(Firms!$A$5:$A$1004,MATCH(740,Firms!$V$5:$V$1004,0)),"")</f>
        <v/>
      </c>
      <c r="B763" s="79">
        <f>IF($A763="","",INDEX(Firms!$B$5:$B$1004,MATCH(740,Firms!$V$5:$V$1004,0)))</f>
        <v/>
      </c>
      <c r="C763" s="79">
        <f>IF($A763="","",COUNTIFS('AFA Rates'!$A$5:$A$1004,$A763,'AFA Rates'!$O$5:$O$1004,"&lt;&gt;Expired"))</f>
        <v/>
      </c>
      <c r="D763" s="79">
        <f>IF(OR($A763="",D$23=""),"",IF(COUNTIFS('AFA Rates'!$A$5:$A$1004,$A763,'AFA Rates'!$B$5:$B$1004,D$23,'AFA Rates'!$O$5:$O$1004,"&lt;&gt;Expired")&gt;0,"✓",IF(COUNTIFS('AFA Rates'!$A$5:$A$1004,$A763,'AFA Rates'!$B$5:$B$1004,D$23)&gt;0,"Exp","")))</f>
        <v/>
      </c>
      <c r="E763" s="79">
        <f>IF(OR($A763="",E$23=""),"",IF(COUNTIFS('AFA Rates'!$A$5:$A$1004,$A763,'AFA Rates'!$B$5:$B$1004,E$23,'AFA Rates'!$O$5:$O$1004,"&lt;&gt;Expired")&gt;0,"✓",IF(COUNTIFS('AFA Rates'!$A$5:$A$1004,$A763,'AFA Rates'!$B$5:$B$1004,E$23)&gt;0,"Exp","")))</f>
        <v/>
      </c>
      <c r="F763" s="79">
        <f>IF(OR($A763="",F$23=""),"",IF(COUNTIFS('AFA Rates'!$A$5:$A$1004,$A763,'AFA Rates'!$B$5:$B$1004,F$23,'AFA Rates'!$O$5:$O$1004,"&lt;&gt;Expired")&gt;0,"✓",IF(COUNTIFS('AFA Rates'!$A$5:$A$1004,$A763,'AFA Rates'!$B$5:$B$1004,F$23)&gt;0,"Exp","")))</f>
        <v/>
      </c>
      <c r="G763" s="79">
        <f>IF(OR($A763="",G$23=""),"",IF(COUNTIFS('AFA Rates'!$A$5:$A$1004,$A763,'AFA Rates'!$B$5:$B$1004,G$23,'AFA Rates'!$O$5:$O$1004,"&lt;&gt;Expired")&gt;0,"✓",IF(COUNTIFS('AFA Rates'!$A$5:$A$1004,$A763,'AFA Rates'!$B$5:$B$1004,G$23)&gt;0,"Exp","")))</f>
        <v/>
      </c>
      <c r="H763" s="79">
        <f>IF(OR($A763="",H$23=""),"",IF(COUNTIFS('AFA Rates'!$A$5:$A$1004,$A763,'AFA Rates'!$B$5:$B$1004,H$23,'AFA Rates'!$O$5:$O$1004,"&lt;&gt;Expired")&gt;0,"✓",IF(COUNTIFS('AFA Rates'!$A$5:$A$1004,$A763,'AFA Rates'!$B$5:$B$1004,H$23)&gt;0,"Exp","")))</f>
        <v/>
      </c>
      <c r="I763" s="79">
        <f>IF(OR($A763="",I$23=""),"",IF(COUNTIFS('AFA Rates'!$A$5:$A$1004,$A763,'AFA Rates'!$B$5:$B$1004,I$23,'AFA Rates'!$O$5:$O$1004,"&lt;&gt;Expired")&gt;0,"✓",IF(COUNTIFS('AFA Rates'!$A$5:$A$1004,$A763,'AFA Rates'!$B$5:$B$1004,I$23)&gt;0,"Exp","")))</f>
        <v/>
      </c>
      <c r="J763" s="79">
        <f>IF(OR($A763="",J$23=""),"",IF(COUNTIFS('AFA Rates'!$A$5:$A$1004,$A763,'AFA Rates'!$B$5:$B$1004,J$23,'AFA Rates'!$O$5:$O$1004,"&lt;&gt;Expired")&gt;0,"✓",IF(COUNTIFS('AFA Rates'!$A$5:$A$1004,$A763,'AFA Rates'!$B$5:$B$1004,J$23)&gt;0,"Exp","")))</f>
        <v/>
      </c>
      <c r="K763" s="79">
        <f>IF(OR($A763="",K$23=""),"",IF(COUNTIFS('AFA Rates'!$A$5:$A$1004,$A763,'AFA Rates'!$B$5:$B$1004,K$23,'AFA Rates'!$O$5:$O$1004,"&lt;&gt;Expired")&gt;0,"✓",IF(COUNTIFS('AFA Rates'!$A$5:$A$1004,$A763,'AFA Rates'!$B$5:$B$1004,K$23)&gt;0,"Exp","")))</f>
        <v/>
      </c>
      <c r="L763" s="79">
        <f>IF(OR($A763="",L$23=""),"",IF(COUNTIFS('AFA Rates'!$A$5:$A$1004,$A763,'AFA Rates'!$B$5:$B$1004,L$23,'AFA Rates'!$O$5:$O$1004,"&lt;&gt;Expired")&gt;0,"✓",IF(COUNTIFS('AFA Rates'!$A$5:$A$1004,$A763,'AFA Rates'!$B$5:$B$1004,L$23)&gt;0,"Exp","")))</f>
        <v/>
      </c>
      <c r="M763" s="79">
        <f>IF(OR($A763="",M$23=""),"",IF(COUNTIFS('AFA Rates'!$A$5:$A$1004,$A763,'AFA Rates'!$B$5:$B$1004,M$23,'AFA Rates'!$O$5:$O$1004,"&lt;&gt;Expired")&gt;0,"✓",IF(COUNTIFS('AFA Rates'!$A$5:$A$1004,$A763,'AFA Rates'!$B$5:$B$1004,M$23)&gt;0,"Exp","")))</f>
        <v/>
      </c>
    </row>
    <row r="764">
      <c r="A764" s="78">
        <f>IFERROR(INDEX(Firms!$A$5:$A$1004,MATCH(741,Firms!$V$5:$V$1004,0)),"")</f>
        <v/>
      </c>
      <c r="B764" s="79">
        <f>IF($A764="","",INDEX(Firms!$B$5:$B$1004,MATCH(741,Firms!$V$5:$V$1004,0)))</f>
        <v/>
      </c>
      <c r="C764" s="79">
        <f>IF($A764="","",COUNTIFS('AFA Rates'!$A$5:$A$1004,$A764,'AFA Rates'!$O$5:$O$1004,"&lt;&gt;Expired"))</f>
        <v/>
      </c>
      <c r="D764" s="79">
        <f>IF(OR($A764="",D$23=""),"",IF(COUNTIFS('AFA Rates'!$A$5:$A$1004,$A764,'AFA Rates'!$B$5:$B$1004,D$23,'AFA Rates'!$O$5:$O$1004,"&lt;&gt;Expired")&gt;0,"✓",IF(COUNTIFS('AFA Rates'!$A$5:$A$1004,$A764,'AFA Rates'!$B$5:$B$1004,D$23)&gt;0,"Exp","")))</f>
        <v/>
      </c>
      <c r="E764" s="79">
        <f>IF(OR($A764="",E$23=""),"",IF(COUNTIFS('AFA Rates'!$A$5:$A$1004,$A764,'AFA Rates'!$B$5:$B$1004,E$23,'AFA Rates'!$O$5:$O$1004,"&lt;&gt;Expired")&gt;0,"✓",IF(COUNTIFS('AFA Rates'!$A$5:$A$1004,$A764,'AFA Rates'!$B$5:$B$1004,E$23)&gt;0,"Exp","")))</f>
        <v/>
      </c>
      <c r="F764" s="79">
        <f>IF(OR($A764="",F$23=""),"",IF(COUNTIFS('AFA Rates'!$A$5:$A$1004,$A764,'AFA Rates'!$B$5:$B$1004,F$23,'AFA Rates'!$O$5:$O$1004,"&lt;&gt;Expired")&gt;0,"✓",IF(COUNTIFS('AFA Rates'!$A$5:$A$1004,$A764,'AFA Rates'!$B$5:$B$1004,F$23)&gt;0,"Exp","")))</f>
        <v/>
      </c>
      <c r="G764" s="79">
        <f>IF(OR($A764="",G$23=""),"",IF(COUNTIFS('AFA Rates'!$A$5:$A$1004,$A764,'AFA Rates'!$B$5:$B$1004,G$23,'AFA Rates'!$O$5:$O$1004,"&lt;&gt;Expired")&gt;0,"✓",IF(COUNTIFS('AFA Rates'!$A$5:$A$1004,$A764,'AFA Rates'!$B$5:$B$1004,G$23)&gt;0,"Exp","")))</f>
        <v/>
      </c>
      <c r="H764" s="79">
        <f>IF(OR($A764="",H$23=""),"",IF(COUNTIFS('AFA Rates'!$A$5:$A$1004,$A764,'AFA Rates'!$B$5:$B$1004,H$23,'AFA Rates'!$O$5:$O$1004,"&lt;&gt;Expired")&gt;0,"✓",IF(COUNTIFS('AFA Rates'!$A$5:$A$1004,$A764,'AFA Rates'!$B$5:$B$1004,H$23)&gt;0,"Exp","")))</f>
        <v/>
      </c>
      <c r="I764" s="79">
        <f>IF(OR($A764="",I$23=""),"",IF(COUNTIFS('AFA Rates'!$A$5:$A$1004,$A764,'AFA Rates'!$B$5:$B$1004,I$23,'AFA Rates'!$O$5:$O$1004,"&lt;&gt;Expired")&gt;0,"✓",IF(COUNTIFS('AFA Rates'!$A$5:$A$1004,$A764,'AFA Rates'!$B$5:$B$1004,I$23)&gt;0,"Exp","")))</f>
        <v/>
      </c>
      <c r="J764" s="79">
        <f>IF(OR($A764="",J$23=""),"",IF(COUNTIFS('AFA Rates'!$A$5:$A$1004,$A764,'AFA Rates'!$B$5:$B$1004,J$23,'AFA Rates'!$O$5:$O$1004,"&lt;&gt;Expired")&gt;0,"✓",IF(COUNTIFS('AFA Rates'!$A$5:$A$1004,$A764,'AFA Rates'!$B$5:$B$1004,J$23)&gt;0,"Exp","")))</f>
        <v/>
      </c>
      <c r="K764" s="79">
        <f>IF(OR($A764="",K$23=""),"",IF(COUNTIFS('AFA Rates'!$A$5:$A$1004,$A764,'AFA Rates'!$B$5:$B$1004,K$23,'AFA Rates'!$O$5:$O$1004,"&lt;&gt;Expired")&gt;0,"✓",IF(COUNTIFS('AFA Rates'!$A$5:$A$1004,$A764,'AFA Rates'!$B$5:$B$1004,K$23)&gt;0,"Exp","")))</f>
        <v/>
      </c>
      <c r="L764" s="79">
        <f>IF(OR($A764="",L$23=""),"",IF(COUNTIFS('AFA Rates'!$A$5:$A$1004,$A764,'AFA Rates'!$B$5:$B$1004,L$23,'AFA Rates'!$O$5:$O$1004,"&lt;&gt;Expired")&gt;0,"✓",IF(COUNTIFS('AFA Rates'!$A$5:$A$1004,$A764,'AFA Rates'!$B$5:$B$1004,L$23)&gt;0,"Exp","")))</f>
        <v/>
      </c>
      <c r="M764" s="79">
        <f>IF(OR($A764="",M$23=""),"",IF(COUNTIFS('AFA Rates'!$A$5:$A$1004,$A764,'AFA Rates'!$B$5:$B$1004,M$23,'AFA Rates'!$O$5:$O$1004,"&lt;&gt;Expired")&gt;0,"✓",IF(COUNTIFS('AFA Rates'!$A$5:$A$1004,$A764,'AFA Rates'!$B$5:$B$1004,M$23)&gt;0,"Exp","")))</f>
        <v/>
      </c>
    </row>
    <row r="765">
      <c r="A765" s="78">
        <f>IFERROR(INDEX(Firms!$A$5:$A$1004,MATCH(742,Firms!$V$5:$V$1004,0)),"")</f>
        <v/>
      </c>
      <c r="B765" s="79">
        <f>IF($A765="","",INDEX(Firms!$B$5:$B$1004,MATCH(742,Firms!$V$5:$V$1004,0)))</f>
        <v/>
      </c>
      <c r="C765" s="79">
        <f>IF($A765="","",COUNTIFS('AFA Rates'!$A$5:$A$1004,$A765,'AFA Rates'!$O$5:$O$1004,"&lt;&gt;Expired"))</f>
        <v/>
      </c>
      <c r="D765" s="79">
        <f>IF(OR($A765="",D$23=""),"",IF(COUNTIFS('AFA Rates'!$A$5:$A$1004,$A765,'AFA Rates'!$B$5:$B$1004,D$23,'AFA Rates'!$O$5:$O$1004,"&lt;&gt;Expired")&gt;0,"✓",IF(COUNTIFS('AFA Rates'!$A$5:$A$1004,$A765,'AFA Rates'!$B$5:$B$1004,D$23)&gt;0,"Exp","")))</f>
        <v/>
      </c>
      <c r="E765" s="79">
        <f>IF(OR($A765="",E$23=""),"",IF(COUNTIFS('AFA Rates'!$A$5:$A$1004,$A765,'AFA Rates'!$B$5:$B$1004,E$23,'AFA Rates'!$O$5:$O$1004,"&lt;&gt;Expired")&gt;0,"✓",IF(COUNTIFS('AFA Rates'!$A$5:$A$1004,$A765,'AFA Rates'!$B$5:$B$1004,E$23)&gt;0,"Exp","")))</f>
        <v/>
      </c>
      <c r="F765" s="79">
        <f>IF(OR($A765="",F$23=""),"",IF(COUNTIFS('AFA Rates'!$A$5:$A$1004,$A765,'AFA Rates'!$B$5:$B$1004,F$23,'AFA Rates'!$O$5:$O$1004,"&lt;&gt;Expired")&gt;0,"✓",IF(COUNTIFS('AFA Rates'!$A$5:$A$1004,$A765,'AFA Rates'!$B$5:$B$1004,F$23)&gt;0,"Exp","")))</f>
        <v/>
      </c>
      <c r="G765" s="79">
        <f>IF(OR($A765="",G$23=""),"",IF(COUNTIFS('AFA Rates'!$A$5:$A$1004,$A765,'AFA Rates'!$B$5:$B$1004,G$23,'AFA Rates'!$O$5:$O$1004,"&lt;&gt;Expired")&gt;0,"✓",IF(COUNTIFS('AFA Rates'!$A$5:$A$1004,$A765,'AFA Rates'!$B$5:$B$1004,G$23)&gt;0,"Exp","")))</f>
        <v/>
      </c>
      <c r="H765" s="79">
        <f>IF(OR($A765="",H$23=""),"",IF(COUNTIFS('AFA Rates'!$A$5:$A$1004,$A765,'AFA Rates'!$B$5:$B$1004,H$23,'AFA Rates'!$O$5:$O$1004,"&lt;&gt;Expired")&gt;0,"✓",IF(COUNTIFS('AFA Rates'!$A$5:$A$1004,$A765,'AFA Rates'!$B$5:$B$1004,H$23)&gt;0,"Exp","")))</f>
        <v/>
      </c>
      <c r="I765" s="79">
        <f>IF(OR($A765="",I$23=""),"",IF(COUNTIFS('AFA Rates'!$A$5:$A$1004,$A765,'AFA Rates'!$B$5:$B$1004,I$23,'AFA Rates'!$O$5:$O$1004,"&lt;&gt;Expired")&gt;0,"✓",IF(COUNTIFS('AFA Rates'!$A$5:$A$1004,$A765,'AFA Rates'!$B$5:$B$1004,I$23)&gt;0,"Exp","")))</f>
        <v/>
      </c>
      <c r="J765" s="79">
        <f>IF(OR($A765="",J$23=""),"",IF(COUNTIFS('AFA Rates'!$A$5:$A$1004,$A765,'AFA Rates'!$B$5:$B$1004,J$23,'AFA Rates'!$O$5:$O$1004,"&lt;&gt;Expired")&gt;0,"✓",IF(COUNTIFS('AFA Rates'!$A$5:$A$1004,$A765,'AFA Rates'!$B$5:$B$1004,J$23)&gt;0,"Exp","")))</f>
        <v/>
      </c>
      <c r="K765" s="79">
        <f>IF(OR($A765="",K$23=""),"",IF(COUNTIFS('AFA Rates'!$A$5:$A$1004,$A765,'AFA Rates'!$B$5:$B$1004,K$23,'AFA Rates'!$O$5:$O$1004,"&lt;&gt;Expired")&gt;0,"✓",IF(COUNTIFS('AFA Rates'!$A$5:$A$1004,$A765,'AFA Rates'!$B$5:$B$1004,K$23)&gt;0,"Exp","")))</f>
        <v/>
      </c>
      <c r="L765" s="79">
        <f>IF(OR($A765="",L$23=""),"",IF(COUNTIFS('AFA Rates'!$A$5:$A$1004,$A765,'AFA Rates'!$B$5:$B$1004,L$23,'AFA Rates'!$O$5:$O$1004,"&lt;&gt;Expired")&gt;0,"✓",IF(COUNTIFS('AFA Rates'!$A$5:$A$1004,$A765,'AFA Rates'!$B$5:$B$1004,L$23)&gt;0,"Exp","")))</f>
        <v/>
      </c>
      <c r="M765" s="79">
        <f>IF(OR($A765="",M$23=""),"",IF(COUNTIFS('AFA Rates'!$A$5:$A$1004,$A765,'AFA Rates'!$B$5:$B$1004,M$23,'AFA Rates'!$O$5:$O$1004,"&lt;&gt;Expired")&gt;0,"✓",IF(COUNTIFS('AFA Rates'!$A$5:$A$1004,$A765,'AFA Rates'!$B$5:$B$1004,M$23)&gt;0,"Exp","")))</f>
        <v/>
      </c>
    </row>
    <row r="766">
      <c r="A766" s="78">
        <f>IFERROR(INDEX(Firms!$A$5:$A$1004,MATCH(743,Firms!$V$5:$V$1004,0)),"")</f>
        <v/>
      </c>
      <c r="B766" s="79">
        <f>IF($A766="","",INDEX(Firms!$B$5:$B$1004,MATCH(743,Firms!$V$5:$V$1004,0)))</f>
        <v/>
      </c>
      <c r="C766" s="79">
        <f>IF($A766="","",COUNTIFS('AFA Rates'!$A$5:$A$1004,$A766,'AFA Rates'!$O$5:$O$1004,"&lt;&gt;Expired"))</f>
        <v/>
      </c>
      <c r="D766" s="79">
        <f>IF(OR($A766="",D$23=""),"",IF(COUNTIFS('AFA Rates'!$A$5:$A$1004,$A766,'AFA Rates'!$B$5:$B$1004,D$23,'AFA Rates'!$O$5:$O$1004,"&lt;&gt;Expired")&gt;0,"✓",IF(COUNTIFS('AFA Rates'!$A$5:$A$1004,$A766,'AFA Rates'!$B$5:$B$1004,D$23)&gt;0,"Exp","")))</f>
        <v/>
      </c>
      <c r="E766" s="79">
        <f>IF(OR($A766="",E$23=""),"",IF(COUNTIFS('AFA Rates'!$A$5:$A$1004,$A766,'AFA Rates'!$B$5:$B$1004,E$23,'AFA Rates'!$O$5:$O$1004,"&lt;&gt;Expired")&gt;0,"✓",IF(COUNTIFS('AFA Rates'!$A$5:$A$1004,$A766,'AFA Rates'!$B$5:$B$1004,E$23)&gt;0,"Exp","")))</f>
        <v/>
      </c>
      <c r="F766" s="79">
        <f>IF(OR($A766="",F$23=""),"",IF(COUNTIFS('AFA Rates'!$A$5:$A$1004,$A766,'AFA Rates'!$B$5:$B$1004,F$23,'AFA Rates'!$O$5:$O$1004,"&lt;&gt;Expired")&gt;0,"✓",IF(COUNTIFS('AFA Rates'!$A$5:$A$1004,$A766,'AFA Rates'!$B$5:$B$1004,F$23)&gt;0,"Exp","")))</f>
        <v/>
      </c>
      <c r="G766" s="79">
        <f>IF(OR($A766="",G$23=""),"",IF(COUNTIFS('AFA Rates'!$A$5:$A$1004,$A766,'AFA Rates'!$B$5:$B$1004,G$23,'AFA Rates'!$O$5:$O$1004,"&lt;&gt;Expired")&gt;0,"✓",IF(COUNTIFS('AFA Rates'!$A$5:$A$1004,$A766,'AFA Rates'!$B$5:$B$1004,G$23)&gt;0,"Exp","")))</f>
        <v/>
      </c>
      <c r="H766" s="79">
        <f>IF(OR($A766="",H$23=""),"",IF(COUNTIFS('AFA Rates'!$A$5:$A$1004,$A766,'AFA Rates'!$B$5:$B$1004,H$23,'AFA Rates'!$O$5:$O$1004,"&lt;&gt;Expired")&gt;0,"✓",IF(COUNTIFS('AFA Rates'!$A$5:$A$1004,$A766,'AFA Rates'!$B$5:$B$1004,H$23)&gt;0,"Exp","")))</f>
        <v/>
      </c>
      <c r="I766" s="79">
        <f>IF(OR($A766="",I$23=""),"",IF(COUNTIFS('AFA Rates'!$A$5:$A$1004,$A766,'AFA Rates'!$B$5:$B$1004,I$23,'AFA Rates'!$O$5:$O$1004,"&lt;&gt;Expired")&gt;0,"✓",IF(COUNTIFS('AFA Rates'!$A$5:$A$1004,$A766,'AFA Rates'!$B$5:$B$1004,I$23)&gt;0,"Exp","")))</f>
        <v/>
      </c>
      <c r="J766" s="79">
        <f>IF(OR($A766="",J$23=""),"",IF(COUNTIFS('AFA Rates'!$A$5:$A$1004,$A766,'AFA Rates'!$B$5:$B$1004,J$23,'AFA Rates'!$O$5:$O$1004,"&lt;&gt;Expired")&gt;0,"✓",IF(COUNTIFS('AFA Rates'!$A$5:$A$1004,$A766,'AFA Rates'!$B$5:$B$1004,J$23)&gt;0,"Exp","")))</f>
        <v/>
      </c>
      <c r="K766" s="79">
        <f>IF(OR($A766="",K$23=""),"",IF(COUNTIFS('AFA Rates'!$A$5:$A$1004,$A766,'AFA Rates'!$B$5:$B$1004,K$23,'AFA Rates'!$O$5:$O$1004,"&lt;&gt;Expired")&gt;0,"✓",IF(COUNTIFS('AFA Rates'!$A$5:$A$1004,$A766,'AFA Rates'!$B$5:$B$1004,K$23)&gt;0,"Exp","")))</f>
        <v/>
      </c>
      <c r="L766" s="79">
        <f>IF(OR($A766="",L$23=""),"",IF(COUNTIFS('AFA Rates'!$A$5:$A$1004,$A766,'AFA Rates'!$B$5:$B$1004,L$23,'AFA Rates'!$O$5:$O$1004,"&lt;&gt;Expired")&gt;0,"✓",IF(COUNTIFS('AFA Rates'!$A$5:$A$1004,$A766,'AFA Rates'!$B$5:$B$1004,L$23)&gt;0,"Exp","")))</f>
        <v/>
      </c>
      <c r="M766" s="79">
        <f>IF(OR($A766="",M$23=""),"",IF(COUNTIFS('AFA Rates'!$A$5:$A$1004,$A766,'AFA Rates'!$B$5:$B$1004,M$23,'AFA Rates'!$O$5:$O$1004,"&lt;&gt;Expired")&gt;0,"✓",IF(COUNTIFS('AFA Rates'!$A$5:$A$1004,$A766,'AFA Rates'!$B$5:$B$1004,M$23)&gt;0,"Exp","")))</f>
        <v/>
      </c>
    </row>
    <row r="767">
      <c r="A767" s="78">
        <f>IFERROR(INDEX(Firms!$A$5:$A$1004,MATCH(744,Firms!$V$5:$V$1004,0)),"")</f>
        <v/>
      </c>
      <c r="B767" s="79">
        <f>IF($A767="","",INDEX(Firms!$B$5:$B$1004,MATCH(744,Firms!$V$5:$V$1004,0)))</f>
        <v/>
      </c>
      <c r="C767" s="79">
        <f>IF($A767="","",COUNTIFS('AFA Rates'!$A$5:$A$1004,$A767,'AFA Rates'!$O$5:$O$1004,"&lt;&gt;Expired"))</f>
        <v/>
      </c>
      <c r="D767" s="79">
        <f>IF(OR($A767="",D$23=""),"",IF(COUNTIFS('AFA Rates'!$A$5:$A$1004,$A767,'AFA Rates'!$B$5:$B$1004,D$23,'AFA Rates'!$O$5:$O$1004,"&lt;&gt;Expired")&gt;0,"✓",IF(COUNTIFS('AFA Rates'!$A$5:$A$1004,$A767,'AFA Rates'!$B$5:$B$1004,D$23)&gt;0,"Exp","")))</f>
        <v/>
      </c>
      <c r="E767" s="79">
        <f>IF(OR($A767="",E$23=""),"",IF(COUNTIFS('AFA Rates'!$A$5:$A$1004,$A767,'AFA Rates'!$B$5:$B$1004,E$23,'AFA Rates'!$O$5:$O$1004,"&lt;&gt;Expired")&gt;0,"✓",IF(COUNTIFS('AFA Rates'!$A$5:$A$1004,$A767,'AFA Rates'!$B$5:$B$1004,E$23)&gt;0,"Exp","")))</f>
        <v/>
      </c>
      <c r="F767" s="79">
        <f>IF(OR($A767="",F$23=""),"",IF(COUNTIFS('AFA Rates'!$A$5:$A$1004,$A767,'AFA Rates'!$B$5:$B$1004,F$23,'AFA Rates'!$O$5:$O$1004,"&lt;&gt;Expired")&gt;0,"✓",IF(COUNTIFS('AFA Rates'!$A$5:$A$1004,$A767,'AFA Rates'!$B$5:$B$1004,F$23)&gt;0,"Exp","")))</f>
        <v/>
      </c>
      <c r="G767" s="79">
        <f>IF(OR($A767="",G$23=""),"",IF(COUNTIFS('AFA Rates'!$A$5:$A$1004,$A767,'AFA Rates'!$B$5:$B$1004,G$23,'AFA Rates'!$O$5:$O$1004,"&lt;&gt;Expired")&gt;0,"✓",IF(COUNTIFS('AFA Rates'!$A$5:$A$1004,$A767,'AFA Rates'!$B$5:$B$1004,G$23)&gt;0,"Exp","")))</f>
        <v/>
      </c>
      <c r="H767" s="79">
        <f>IF(OR($A767="",H$23=""),"",IF(COUNTIFS('AFA Rates'!$A$5:$A$1004,$A767,'AFA Rates'!$B$5:$B$1004,H$23,'AFA Rates'!$O$5:$O$1004,"&lt;&gt;Expired")&gt;0,"✓",IF(COUNTIFS('AFA Rates'!$A$5:$A$1004,$A767,'AFA Rates'!$B$5:$B$1004,H$23)&gt;0,"Exp","")))</f>
        <v/>
      </c>
      <c r="I767" s="79">
        <f>IF(OR($A767="",I$23=""),"",IF(COUNTIFS('AFA Rates'!$A$5:$A$1004,$A767,'AFA Rates'!$B$5:$B$1004,I$23,'AFA Rates'!$O$5:$O$1004,"&lt;&gt;Expired")&gt;0,"✓",IF(COUNTIFS('AFA Rates'!$A$5:$A$1004,$A767,'AFA Rates'!$B$5:$B$1004,I$23)&gt;0,"Exp","")))</f>
        <v/>
      </c>
      <c r="J767" s="79">
        <f>IF(OR($A767="",J$23=""),"",IF(COUNTIFS('AFA Rates'!$A$5:$A$1004,$A767,'AFA Rates'!$B$5:$B$1004,J$23,'AFA Rates'!$O$5:$O$1004,"&lt;&gt;Expired")&gt;0,"✓",IF(COUNTIFS('AFA Rates'!$A$5:$A$1004,$A767,'AFA Rates'!$B$5:$B$1004,J$23)&gt;0,"Exp","")))</f>
        <v/>
      </c>
      <c r="K767" s="79">
        <f>IF(OR($A767="",K$23=""),"",IF(COUNTIFS('AFA Rates'!$A$5:$A$1004,$A767,'AFA Rates'!$B$5:$B$1004,K$23,'AFA Rates'!$O$5:$O$1004,"&lt;&gt;Expired")&gt;0,"✓",IF(COUNTIFS('AFA Rates'!$A$5:$A$1004,$A767,'AFA Rates'!$B$5:$B$1004,K$23)&gt;0,"Exp","")))</f>
        <v/>
      </c>
      <c r="L767" s="79">
        <f>IF(OR($A767="",L$23=""),"",IF(COUNTIFS('AFA Rates'!$A$5:$A$1004,$A767,'AFA Rates'!$B$5:$B$1004,L$23,'AFA Rates'!$O$5:$O$1004,"&lt;&gt;Expired")&gt;0,"✓",IF(COUNTIFS('AFA Rates'!$A$5:$A$1004,$A767,'AFA Rates'!$B$5:$B$1004,L$23)&gt;0,"Exp","")))</f>
        <v/>
      </c>
      <c r="M767" s="79">
        <f>IF(OR($A767="",M$23=""),"",IF(COUNTIFS('AFA Rates'!$A$5:$A$1004,$A767,'AFA Rates'!$B$5:$B$1004,M$23,'AFA Rates'!$O$5:$O$1004,"&lt;&gt;Expired")&gt;0,"✓",IF(COUNTIFS('AFA Rates'!$A$5:$A$1004,$A767,'AFA Rates'!$B$5:$B$1004,M$23)&gt;0,"Exp","")))</f>
        <v/>
      </c>
    </row>
    <row r="768">
      <c r="A768" s="78">
        <f>IFERROR(INDEX(Firms!$A$5:$A$1004,MATCH(745,Firms!$V$5:$V$1004,0)),"")</f>
        <v/>
      </c>
      <c r="B768" s="79">
        <f>IF($A768="","",INDEX(Firms!$B$5:$B$1004,MATCH(745,Firms!$V$5:$V$1004,0)))</f>
        <v/>
      </c>
      <c r="C768" s="79">
        <f>IF($A768="","",COUNTIFS('AFA Rates'!$A$5:$A$1004,$A768,'AFA Rates'!$O$5:$O$1004,"&lt;&gt;Expired"))</f>
        <v/>
      </c>
      <c r="D768" s="79">
        <f>IF(OR($A768="",D$23=""),"",IF(COUNTIFS('AFA Rates'!$A$5:$A$1004,$A768,'AFA Rates'!$B$5:$B$1004,D$23,'AFA Rates'!$O$5:$O$1004,"&lt;&gt;Expired")&gt;0,"✓",IF(COUNTIFS('AFA Rates'!$A$5:$A$1004,$A768,'AFA Rates'!$B$5:$B$1004,D$23)&gt;0,"Exp","")))</f>
        <v/>
      </c>
      <c r="E768" s="79">
        <f>IF(OR($A768="",E$23=""),"",IF(COUNTIFS('AFA Rates'!$A$5:$A$1004,$A768,'AFA Rates'!$B$5:$B$1004,E$23,'AFA Rates'!$O$5:$O$1004,"&lt;&gt;Expired")&gt;0,"✓",IF(COUNTIFS('AFA Rates'!$A$5:$A$1004,$A768,'AFA Rates'!$B$5:$B$1004,E$23)&gt;0,"Exp","")))</f>
        <v/>
      </c>
      <c r="F768" s="79">
        <f>IF(OR($A768="",F$23=""),"",IF(COUNTIFS('AFA Rates'!$A$5:$A$1004,$A768,'AFA Rates'!$B$5:$B$1004,F$23,'AFA Rates'!$O$5:$O$1004,"&lt;&gt;Expired")&gt;0,"✓",IF(COUNTIFS('AFA Rates'!$A$5:$A$1004,$A768,'AFA Rates'!$B$5:$B$1004,F$23)&gt;0,"Exp","")))</f>
        <v/>
      </c>
      <c r="G768" s="79">
        <f>IF(OR($A768="",G$23=""),"",IF(COUNTIFS('AFA Rates'!$A$5:$A$1004,$A768,'AFA Rates'!$B$5:$B$1004,G$23,'AFA Rates'!$O$5:$O$1004,"&lt;&gt;Expired")&gt;0,"✓",IF(COUNTIFS('AFA Rates'!$A$5:$A$1004,$A768,'AFA Rates'!$B$5:$B$1004,G$23)&gt;0,"Exp","")))</f>
        <v/>
      </c>
      <c r="H768" s="79">
        <f>IF(OR($A768="",H$23=""),"",IF(COUNTIFS('AFA Rates'!$A$5:$A$1004,$A768,'AFA Rates'!$B$5:$B$1004,H$23,'AFA Rates'!$O$5:$O$1004,"&lt;&gt;Expired")&gt;0,"✓",IF(COUNTIFS('AFA Rates'!$A$5:$A$1004,$A768,'AFA Rates'!$B$5:$B$1004,H$23)&gt;0,"Exp","")))</f>
        <v/>
      </c>
      <c r="I768" s="79">
        <f>IF(OR($A768="",I$23=""),"",IF(COUNTIFS('AFA Rates'!$A$5:$A$1004,$A768,'AFA Rates'!$B$5:$B$1004,I$23,'AFA Rates'!$O$5:$O$1004,"&lt;&gt;Expired")&gt;0,"✓",IF(COUNTIFS('AFA Rates'!$A$5:$A$1004,$A768,'AFA Rates'!$B$5:$B$1004,I$23)&gt;0,"Exp","")))</f>
        <v/>
      </c>
      <c r="J768" s="79">
        <f>IF(OR($A768="",J$23=""),"",IF(COUNTIFS('AFA Rates'!$A$5:$A$1004,$A768,'AFA Rates'!$B$5:$B$1004,J$23,'AFA Rates'!$O$5:$O$1004,"&lt;&gt;Expired")&gt;0,"✓",IF(COUNTIFS('AFA Rates'!$A$5:$A$1004,$A768,'AFA Rates'!$B$5:$B$1004,J$23)&gt;0,"Exp","")))</f>
        <v/>
      </c>
      <c r="K768" s="79">
        <f>IF(OR($A768="",K$23=""),"",IF(COUNTIFS('AFA Rates'!$A$5:$A$1004,$A768,'AFA Rates'!$B$5:$B$1004,K$23,'AFA Rates'!$O$5:$O$1004,"&lt;&gt;Expired")&gt;0,"✓",IF(COUNTIFS('AFA Rates'!$A$5:$A$1004,$A768,'AFA Rates'!$B$5:$B$1004,K$23)&gt;0,"Exp","")))</f>
        <v/>
      </c>
      <c r="L768" s="79">
        <f>IF(OR($A768="",L$23=""),"",IF(COUNTIFS('AFA Rates'!$A$5:$A$1004,$A768,'AFA Rates'!$B$5:$B$1004,L$23,'AFA Rates'!$O$5:$O$1004,"&lt;&gt;Expired")&gt;0,"✓",IF(COUNTIFS('AFA Rates'!$A$5:$A$1004,$A768,'AFA Rates'!$B$5:$B$1004,L$23)&gt;0,"Exp","")))</f>
        <v/>
      </c>
      <c r="M768" s="79">
        <f>IF(OR($A768="",M$23=""),"",IF(COUNTIFS('AFA Rates'!$A$5:$A$1004,$A768,'AFA Rates'!$B$5:$B$1004,M$23,'AFA Rates'!$O$5:$O$1004,"&lt;&gt;Expired")&gt;0,"✓",IF(COUNTIFS('AFA Rates'!$A$5:$A$1004,$A768,'AFA Rates'!$B$5:$B$1004,M$23)&gt;0,"Exp","")))</f>
        <v/>
      </c>
    </row>
    <row r="769">
      <c r="A769" s="78">
        <f>IFERROR(INDEX(Firms!$A$5:$A$1004,MATCH(746,Firms!$V$5:$V$1004,0)),"")</f>
        <v/>
      </c>
      <c r="B769" s="79">
        <f>IF($A769="","",INDEX(Firms!$B$5:$B$1004,MATCH(746,Firms!$V$5:$V$1004,0)))</f>
        <v/>
      </c>
      <c r="C769" s="79">
        <f>IF($A769="","",COUNTIFS('AFA Rates'!$A$5:$A$1004,$A769,'AFA Rates'!$O$5:$O$1004,"&lt;&gt;Expired"))</f>
        <v/>
      </c>
      <c r="D769" s="79">
        <f>IF(OR($A769="",D$23=""),"",IF(COUNTIFS('AFA Rates'!$A$5:$A$1004,$A769,'AFA Rates'!$B$5:$B$1004,D$23,'AFA Rates'!$O$5:$O$1004,"&lt;&gt;Expired")&gt;0,"✓",IF(COUNTIFS('AFA Rates'!$A$5:$A$1004,$A769,'AFA Rates'!$B$5:$B$1004,D$23)&gt;0,"Exp","")))</f>
        <v/>
      </c>
      <c r="E769" s="79">
        <f>IF(OR($A769="",E$23=""),"",IF(COUNTIFS('AFA Rates'!$A$5:$A$1004,$A769,'AFA Rates'!$B$5:$B$1004,E$23,'AFA Rates'!$O$5:$O$1004,"&lt;&gt;Expired")&gt;0,"✓",IF(COUNTIFS('AFA Rates'!$A$5:$A$1004,$A769,'AFA Rates'!$B$5:$B$1004,E$23)&gt;0,"Exp","")))</f>
        <v/>
      </c>
      <c r="F769" s="79">
        <f>IF(OR($A769="",F$23=""),"",IF(COUNTIFS('AFA Rates'!$A$5:$A$1004,$A769,'AFA Rates'!$B$5:$B$1004,F$23,'AFA Rates'!$O$5:$O$1004,"&lt;&gt;Expired")&gt;0,"✓",IF(COUNTIFS('AFA Rates'!$A$5:$A$1004,$A769,'AFA Rates'!$B$5:$B$1004,F$23)&gt;0,"Exp","")))</f>
        <v/>
      </c>
      <c r="G769" s="79">
        <f>IF(OR($A769="",G$23=""),"",IF(COUNTIFS('AFA Rates'!$A$5:$A$1004,$A769,'AFA Rates'!$B$5:$B$1004,G$23,'AFA Rates'!$O$5:$O$1004,"&lt;&gt;Expired")&gt;0,"✓",IF(COUNTIFS('AFA Rates'!$A$5:$A$1004,$A769,'AFA Rates'!$B$5:$B$1004,G$23)&gt;0,"Exp","")))</f>
        <v/>
      </c>
      <c r="H769" s="79">
        <f>IF(OR($A769="",H$23=""),"",IF(COUNTIFS('AFA Rates'!$A$5:$A$1004,$A769,'AFA Rates'!$B$5:$B$1004,H$23,'AFA Rates'!$O$5:$O$1004,"&lt;&gt;Expired")&gt;0,"✓",IF(COUNTIFS('AFA Rates'!$A$5:$A$1004,$A769,'AFA Rates'!$B$5:$B$1004,H$23)&gt;0,"Exp","")))</f>
        <v/>
      </c>
      <c r="I769" s="79">
        <f>IF(OR($A769="",I$23=""),"",IF(COUNTIFS('AFA Rates'!$A$5:$A$1004,$A769,'AFA Rates'!$B$5:$B$1004,I$23,'AFA Rates'!$O$5:$O$1004,"&lt;&gt;Expired")&gt;0,"✓",IF(COUNTIFS('AFA Rates'!$A$5:$A$1004,$A769,'AFA Rates'!$B$5:$B$1004,I$23)&gt;0,"Exp","")))</f>
        <v/>
      </c>
      <c r="J769" s="79">
        <f>IF(OR($A769="",J$23=""),"",IF(COUNTIFS('AFA Rates'!$A$5:$A$1004,$A769,'AFA Rates'!$B$5:$B$1004,J$23,'AFA Rates'!$O$5:$O$1004,"&lt;&gt;Expired")&gt;0,"✓",IF(COUNTIFS('AFA Rates'!$A$5:$A$1004,$A769,'AFA Rates'!$B$5:$B$1004,J$23)&gt;0,"Exp","")))</f>
        <v/>
      </c>
      <c r="K769" s="79">
        <f>IF(OR($A769="",K$23=""),"",IF(COUNTIFS('AFA Rates'!$A$5:$A$1004,$A769,'AFA Rates'!$B$5:$B$1004,K$23,'AFA Rates'!$O$5:$O$1004,"&lt;&gt;Expired")&gt;0,"✓",IF(COUNTIFS('AFA Rates'!$A$5:$A$1004,$A769,'AFA Rates'!$B$5:$B$1004,K$23)&gt;0,"Exp","")))</f>
        <v/>
      </c>
      <c r="L769" s="79">
        <f>IF(OR($A769="",L$23=""),"",IF(COUNTIFS('AFA Rates'!$A$5:$A$1004,$A769,'AFA Rates'!$B$5:$B$1004,L$23,'AFA Rates'!$O$5:$O$1004,"&lt;&gt;Expired")&gt;0,"✓",IF(COUNTIFS('AFA Rates'!$A$5:$A$1004,$A769,'AFA Rates'!$B$5:$B$1004,L$23)&gt;0,"Exp","")))</f>
        <v/>
      </c>
      <c r="M769" s="79">
        <f>IF(OR($A769="",M$23=""),"",IF(COUNTIFS('AFA Rates'!$A$5:$A$1004,$A769,'AFA Rates'!$B$5:$B$1004,M$23,'AFA Rates'!$O$5:$O$1004,"&lt;&gt;Expired")&gt;0,"✓",IF(COUNTIFS('AFA Rates'!$A$5:$A$1004,$A769,'AFA Rates'!$B$5:$B$1004,M$23)&gt;0,"Exp","")))</f>
        <v/>
      </c>
    </row>
    <row r="770">
      <c r="A770" s="78">
        <f>IFERROR(INDEX(Firms!$A$5:$A$1004,MATCH(747,Firms!$V$5:$V$1004,0)),"")</f>
        <v/>
      </c>
      <c r="B770" s="79">
        <f>IF($A770="","",INDEX(Firms!$B$5:$B$1004,MATCH(747,Firms!$V$5:$V$1004,0)))</f>
        <v/>
      </c>
      <c r="C770" s="79">
        <f>IF($A770="","",COUNTIFS('AFA Rates'!$A$5:$A$1004,$A770,'AFA Rates'!$O$5:$O$1004,"&lt;&gt;Expired"))</f>
        <v/>
      </c>
      <c r="D770" s="79">
        <f>IF(OR($A770="",D$23=""),"",IF(COUNTIFS('AFA Rates'!$A$5:$A$1004,$A770,'AFA Rates'!$B$5:$B$1004,D$23,'AFA Rates'!$O$5:$O$1004,"&lt;&gt;Expired")&gt;0,"✓",IF(COUNTIFS('AFA Rates'!$A$5:$A$1004,$A770,'AFA Rates'!$B$5:$B$1004,D$23)&gt;0,"Exp","")))</f>
        <v/>
      </c>
      <c r="E770" s="79">
        <f>IF(OR($A770="",E$23=""),"",IF(COUNTIFS('AFA Rates'!$A$5:$A$1004,$A770,'AFA Rates'!$B$5:$B$1004,E$23,'AFA Rates'!$O$5:$O$1004,"&lt;&gt;Expired")&gt;0,"✓",IF(COUNTIFS('AFA Rates'!$A$5:$A$1004,$A770,'AFA Rates'!$B$5:$B$1004,E$23)&gt;0,"Exp","")))</f>
        <v/>
      </c>
      <c r="F770" s="79">
        <f>IF(OR($A770="",F$23=""),"",IF(COUNTIFS('AFA Rates'!$A$5:$A$1004,$A770,'AFA Rates'!$B$5:$B$1004,F$23,'AFA Rates'!$O$5:$O$1004,"&lt;&gt;Expired")&gt;0,"✓",IF(COUNTIFS('AFA Rates'!$A$5:$A$1004,$A770,'AFA Rates'!$B$5:$B$1004,F$23)&gt;0,"Exp","")))</f>
        <v/>
      </c>
      <c r="G770" s="79">
        <f>IF(OR($A770="",G$23=""),"",IF(COUNTIFS('AFA Rates'!$A$5:$A$1004,$A770,'AFA Rates'!$B$5:$B$1004,G$23,'AFA Rates'!$O$5:$O$1004,"&lt;&gt;Expired")&gt;0,"✓",IF(COUNTIFS('AFA Rates'!$A$5:$A$1004,$A770,'AFA Rates'!$B$5:$B$1004,G$23)&gt;0,"Exp","")))</f>
        <v/>
      </c>
      <c r="H770" s="79">
        <f>IF(OR($A770="",H$23=""),"",IF(COUNTIFS('AFA Rates'!$A$5:$A$1004,$A770,'AFA Rates'!$B$5:$B$1004,H$23,'AFA Rates'!$O$5:$O$1004,"&lt;&gt;Expired")&gt;0,"✓",IF(COUNTIFS('AFA Rates'!$A$5:$A$1004,$A770,'AFA Rates'!$B$5:$B$1004,H$23)&gt;0,"Exp","")))</f>
        <v/>
      </c>
      <c r="I770" s="79">
        <f>IF(OR($A770="",I$23=""),"",IF(COUNTIFS('AFA Rates'!$A$5:$A$1004,$A770,'AFA Rates'!$B$5:$B$1004,I$23,'AFA Rates'!$O$5:$O$1004,"&lt;&gt;Expired")&gt;0,"✓",IF(COUNTIFS('AFA Rates'!$A$5:$A$1004,$A770,'AFA Rates'!$B$5:$B$1004,I$23)&gt;0,"Exp","")))</f>
        <v/>
      </c>
      <c r="J770" s="79">
        <f>IF(OR($A770="",J$23=""),"",IF(COUNTIFS('AFA Rates'!$A$5:$A$1004,$A770,'AFA Rates'!$B$5:$B$1004,J$23,'AFA Rates'!$O$5:$O$1004,"&lt;&gt;Expired")&gt;0,"✓",IF(COUNTIFS('AFA Rates'!$A$5:$A$1004,$A770,'AFA Rates'!$B$5:$B$1004,J$23)&gt;0,"Exp","")))</f>
        <v/>
      </c>
      <c r="K770" s="79">
        <f>IF(OR($A770="",K$23=""),"",IF(COUNTIFS('AFA Rates'!$A$5:$A$1004,$A770,'AFA Rates'!$B$5:$B$1004,K$23,'AFA Rates'!$O$5:$O$1004,"&lt;&gt;Expired")&gt;0,"✓",IF(COUNTIFS('AFA Rates'!$A$5:$A$1004,$A770,'AFA Rates'!$B$5:$B$1004,K$23)&gt;0,"Exp","")))</f>
        <v/>
      </c>
      <c r="L770" s="79">
        <f>IF(OR($A770="",L$23=""),"",IF(COUNTIFS('AFA Rates'!$A$5:$A$1004,$A770,'AFA Rates'!$B$5:$B$1004,L$23,'AFA Rates'!$O$5:$O$1004,"&lt;&gt;Expired")&gt;0,"✓",IF(COUNTIFS('AFA Rates'!$A$5:$A$1004,$A770,'AFA Rates'!$B$5:$B$1004,L$23)&gt;0,"Exp","")))</f>
        <v/>
      </c>
      <c r="M770" s="79">
        <f>IF(OR($A770="",M$23=""),"",IF(COUNTIFS('AFA Rates'!$A$5:$A$1004,$A770,'AFA Rates'!$B$5:$B$1004,M$23,'AFA Rates'!$O$5:$O$1004,"&lt;&gt;Expired")&gt;0,"✓",IF(COUNTIFS('AFA Rates'!$A$5:$A$1004,$A770,'AFA Rates'!$B$5:$B$1004,M$23)&gt;0,"Exp","")))</f>
        <v/>
      </c>
    </row>
    <row r="771">
      <c r="A771" s="78">
        <f>IFERROR(INDEX(Firms!$A$5:$A$1004,MATCH(748,Firms!$V$5:$V$1004,0)),"")</f>
        <v/>
      </c>
      <c r="B771" s="79">
        <f>IF($A771="","",INDEX(Firms!$B$5:$B$1004,MATCH(748,Firms!$V$5:$V$1004,0)))</f>
        <v/>
      </c>
      <c r="C771" s="79">
        <f>IF($A771="","",COUNTIFS('AFA Rates'!$A$5:$A$1004,$A771,'AFA Rates'!$O$5:$O$1004,"&lt;&gt;Expired"))</f>
        <v/>
      </c>
      <c r="D771" s="79">
        <f>IF(OR($A771="",D$23=""),"",IF(COUNTIFS('AFA Rates'!$A$5:$A$1004,$A771,'AFA Rates'!$B$5:$B$1004,D$23,'AFA Rates'!$O$5:$O$1004,"&lt;&gt;Expired")&gt;0,"✓",IF(COUNTIFS('AFA Rates'!$A$5:$A$1004,$A771,'AFA Rates'!$B$5:$B$1004,D$23)&gt;0,"Exp","")))</f>
        <v/>
      </c>
      <c r="E771" s="79">
        <f>IF(OR($A771="",E$23=""),"",IF(COUNTIFS('AFA Rates'!$A$5:$A$1004,$A771,'AFA Rates'!$B$5:$B$1004,E$23,'AFA Rates'!$O$5:$O$1004,"&lt;&gt;Expired")&gt;0,"✓",IF(COUNTIFS('AFA Rates'!$A$5:$A$1004,$A771,'AFA Rates'!$B$5:$B$1004,E$23)&gt;0,"Exp","")))</f>
        <v/>
      </c>
      <c r="F771" s="79">
        <f>IF(OR($A771="",F$23=""),"",IF(COUNTIFS('AFA Rates'!$A$5:$A$1004,$A771,'AFA Rates'!$B$5:$B$1004,F$23,'AFA Rates'!$O$5:$O$1004,"&lt;&gt;Expired")&gt;0,"✓",IF(COUNTIFS('AFA Rates'!$A$5:$A$1004,$A771,'AFA Rates'!$B$5:$B$1004,F$23)&gt;0,"Exp","")))</f>
        <v/>
      </c>
      <c r="G771" s="79">
        <f>IF(OR($A771="",G$23=""),"",IF(COUNTIFS('AFA Rates'!$A$5:$A$1004,$A771,'AFA Rates'!$B$5:$B$1004,G$23,'AFA Rates'!$O$5:$O$1004,"&lt;&gt;Expired")&gt;0,"✓",IF(COUNTIFS('AFA Rates'!$A$5:$A$1004,$A771,'AFA Rates'!$B$5:$B$1004,G$23)&gt;0,"Exp","")))</f>
        <v/>
      </c>
      <c r="H771" s="79">
        <f>IF(OR($A771="",H$23=""),"",IF(COUNTIFS('AFA Rates'!$A$5:$A$1004,$A771,'AFA Rates'!$B$5:$B$1004,H$23,'AFA Rates'!$O$5:$O$1004,"&lt;&gt;Expired")&gt;0,"✓",IF(COUNTIFS('AFA Rates'!$A$5:$A$1004,$A771,'AFA Rates'!$B$5:$B$1004,H$23)&gt;0,"Exp","")))</f>
        <v/>
      </c>
      <c r="I771" s="79">
        <f>IF(OR($A771="",I$23=""),"",IF(COUNTIFS('AFA Rates'!$A$5:$A$1004,$A771,'AFA Rates'!$B$5:$B$1004,I$23,'AFA Rates'!$O$5:$O$1004,"&lt;&gt;Expired")&gt;0,"✓",IF(COUNTIFS('AFA Rates'!$A$5:$A$1004,$A771,'AFA Rates'!$B$5:$B$1004,I$23)&gt;0,"Exp","")))</f>
        <v/>
      </c>
      <c r="J771" s="79">
        <f>IF(OR($A771="",J$23=""),"",IF(COUNTIFS('AFA Rates'!$A$5:$A$1004,$A771,'AFA Rates'!$B$5:$B$1004,J$23,'AFA Rates'!$O$5:$O$1004,"&lt;&gt;Expired")&gt;0,"✓",IF(COUNTIFS('AFA Rates'!$A$5:$A$1004,$A771,'AFA Rates'!$B$5:$B$1004,J$23)&gt;0,"Exp","")))</f>
        <v/>
      </c>
      <c r="K771" s="79">
        <f>IF(OR($A771="",K$23=""),"",IF(COUNTIFS('AFA Rates'!$A$5:$A$1004,$A771,'AFA Rates'!$B$5:$B$1004,K$23,'AFA Rates'!$O$5:$O$1004,"&lt;&gt;Expired")&gt;0,"✓",IF(COUNTIFS('AFA Rates'!$A$5:$A$1004,$A771,'AFA Rates'!$B$5:$B$1004,K$23)&gt;0,"Exp","")))</f>
        <v/>
      </c>
      <c r="L771" s="79">
        <f>IF(OR($A771="",L$23=""),"",IF(COUNTIFS('AFA Rates'!$A$5:$A$1004,$A771,'AFA Rates'!$B$5:$B$1004,L$23,'AFA Rates'!$O$5:$O$1004,"&lt;&gt;Expired")&gt;0,"✓",IF(COUNTIFS('AFA Rates'!$A$5:$A$1004,$A771,'AFA Rates'!$B$5:$B$1004,L$23)&gt;0,"Exp","")))</f>
        <v/>
      </c>
      <c r="M771" s="79">
        <f>IF(OR($A771="",M$23=""),"",IF(COUNTIFS('AFA Rates'!$A$5:$A$1004,$A771,'AFA Rates'!$B$5:$B$1004,M$23,'AFA Rates'!$O$5:$O$1004,"&lt;&gt;Expired")&gt;0,"✓",IF(COUNTIFS('AFA Rates'!$A$5:$A$1004,$A771,'AFA Rates'!$B$5:$B$1004,M$23)&gt;0,"Exp","")))</f>
        <v/>
      </c>
    </row>
    <row r="772">
      <c r="A772" s="78">
        <f>IFERROR(INDEX(Firms!$A$5:$A$1004,MATCH(749,Firms!$V$5:$V$1004,0)),"")</f>
        <v/>
      </c>
      <c r="B772" s="79">
        <f>IF($A772="","",INDEX(Firms!$B$5:$B$1004,MATCH(749,Firms!$V$5:$V$1004,0)))</f>
        <v/>
      </c>
      <c r="C772" s="79">
        <f>IF($A772="","",COUNTIFS('AFA Rates'!$A$5:$A$1004,$A772,'AFA Rates'!$O$5:$O$1004,"&lt;&gt;Expired"))</f>
        <v/>
      </c>
      <c r="D772" s="79">
        <f>IF(OR($A772="",D$23=""),"",IF(COUNTIFS('AFA Rates'!$A$5:$A$1004,$A772,'AFA Rates'!$B$5:$B$1004,D$23,'AFA Rates'!$O$5:$O$1004,"&lt;&gt;Expired")&gt;0,"✓",IF(COUNTIFS('AFA Rates'!$A$5:$A$1004,$A772,'AFA Rates'!$B$5:$B$1004,D$23)&gt;0,"Exp","")))</f>
        <v/>
      </c>
      <c r="E772" s="79">
        <f>IF(OR($A772="",E$23=""),"",IF(COUNTIFS('AFA Rates'!$A$5:$A$1004,$A772,'AFA Rates'!$B$5:$B$1004,E$23,'AFA Rates'!$O$5:$O$1004,"&lt;&gt;Expired")&gt;0,"✓",IF(COUNTIFS('AFA Rates'!$A$5:$A$1004,$A772,'AFA Rates'!$B$5:$B$1004,E$23)&gt;0,"Exp","")))</f>
        <v/>
      </c>
      <c r="F772" s="79">
        <f>IF(OR($A772="",F$23=""),"",IF(COUNTIFS('AFA Rates'!$A$5:$A$1004,$A772,'AFA Rates'!$B$5:$B$1004,F$23,'AFA Rates'!$O$5:$O$1004,"&lt;&gt;Expired")&gt;0,"✓",IF(COUNTIFS('AFA Rates'!$A$5:$A$1004,$A772,'AFA Rates'!$B$5:$B$1004,F$23)&gt;0,"Exp","")))</f>
        <v/>
      </c>
      <c r="G772" s="79">
        <f>IF(OR($A772="",G$23=""),"",IF(COUNTIFS('AFA Rates'!$A$5:$A$1004,$A772,'AFA Rates'!$B$5:$B$1004,G$23,'AFA Rates'!$O$5:$O$1004,"&lt;&gt;Expired")&gt;0,"✓",IF(COUNTIFS('AFA Rates'!$A$5:$A$1004,$A772,'AFA Rates'!$B$5:$B$1004,G$23)&gt;0,"Exp","")))</f>
        <v/>
      </c>
      <c r="H772" s="79">
        <f>IF(OR($A772="",H$23=""),"",IF(COUNTIFS('AFA Rates'!$A$5:$A$1004,$A772,'AFA Rates'!$B$5:$B$1004,H$23,'AFA Rates'!$O$5:$O$1004,"&lt;&gt;Expired")&gt;0,"✓",IF(COUNTIFS('AFA Rates'!$A$5:$A$1004,$A772,'AFA Rates'!$B$5:$B$1004,H$23)&gt;0,"Exp","")))</f>
        <v/>
      </c>
      <c r="I772" s="79">
        <f>IF(OR($A772="",I$23=""),"",IF(COUNTIFS('AFA Rates'!$A$5:$A$1004,$A772,'AFA Rates'!$B$5:$B$1004,I$23,'AFA Rates'!$O$5:$O$1004,"&lt;&gt;Expired")&gt;0,"✓",IF(COUNTIFS('AFA Rates'!$A$5:$A$1004,$A772,'AFA Rates'!$B$5:$B$1004,I$23)&gt;0,"Exp","")))</f>
        <v/>
      </c>
      <c r="J772" s="79">
        <f>IF(OR($A772="",J$23=""),"",IF(COUNTIFS('AFA Rates'!$A$5:$A$1004,$A772,'AFA Rates'!$B$5:$B$1004,J$23,'AFA Rates'!$O$5:$O$1004,"&lt;&gt;Expired")&gt;0,"✓",IF(COUNTIFS('AFA Rates'!$A$5:$A$1004,$A772,'AFA Rates'!$B$5:$B$1004,J$23)&gt;0,"Exp","")))</f>
        <v/>
      </c>
      <c r="K772" s="79">
        <f>IF(OR($A772="",K$23=""),"",IF(COUNTIFS('AFA Rates'!$A$5:$A$1004,$A772,'AFA Rates'!$B$5:$B$1004,K$23,'AFA Rates'!$O$5:$O$1004,"&lt;&gt;Expired")&gt;0,"✓",IF(COUNTIFS('AFA Rates'!$A$5:$A$1004,$A772,'AFA Rates'!$B$5:$B$1004,K$23)&gt;0,"Exp","")))</f>
        <v/>
      </c>
      <c r="L772" s="79">
        <f>IF(OR($A772="",L$23=""),"",IF(COUNTIFS('AFA Rates'!$A$5:$A$1004,$A772,'AFA Rates'!$B$5:$B$1004,L$23,'AFA Rates'!$O$5:$O$1004,"&lt;&gt;Expired")&gt;0,"✓",IF(COUNTIFS('AFA Rates'!$A$5:$A$1004,$A772,'AFA Rates'!$B$5:$B$1004,L$23)&gt;0,"Exp","")))</f>
        <v/>
      </c>
      <c r="M772" s="79">
        <f>IF(OR($A772="",M$23=""),"",IF(COUNTIFS('AFA Rates'!$A$5:$A$1004,$A772,'AFA Rates'!$B$5:$B$1004,M$23,'AFA Rates'!$O$5:$O$1004,"&lt;&gt;Expired")&gt;0,"✓",IF(COUNTIFS('AFA Rates'!$A$5:$A$1004,$A772,'AFA Rates'!$B$5:$B$1004,M$23)&gt;0,"Exp","")))</f>
        <v/>
      </c>
    </row>
    <row r="773">
      <c r="A773" s="78">
        <f>IFERROR(INDEX(Firms!$A$5:$A$1004,MATCH(750,Firms!$V$5:$V$1004,0)),"")</f>
        <v/>
      </c>
      <c r="B773" s="79">
        <f>IF($A773="","",INDEX(Firms!$B$5:$B$1004,MATCH(750,Firms!$V$5:$V$1004,0)))</f>
        <v/>
      </c>
      <c r="C773" s="79">
        <f>IF($A773="","",COUNTIFS('AFA Rates'!$A$5:$A$1004,$A773,'AFA Rates'!$O$5:$O$1004,"&lt;&gt;Expired"))</f>
        <v/>
      </c>
      <c r="D773" s="79">
        <f>IF(OR($A773="",D$23=""),"",IF(COUNTIFS('AFA Rates'!$A$5:$A$1004,$A773,'AFA Rates'!$B$5:$B$1004,D$23,'AFA Rates'!$O$5:$O$1004,"&lt;&gt;Expired")&gt;0,"✓",IF(COUNTIFS('AFA Rates'!$A$5:$A$1004,$A773,'AFA Rates'!$B$5:$B$1004,D$23)&gt;0,"Exp","")))</f>
        <v/>
      </c>
      <c r="E773" s="79">
        <f>IF(OR($A773="",E$23=""),"",IF(COUNTIFS('AFA Rates'!$A$5:$A$1004,$A773,'AFA Rates'!$B$5:$B$1004,E$23,'AFA Rates'!$O$5:$O$1004,"&lt;&gt;Expired")&gt;0,"✓",IF(COUNTIFS('AFA Rates'!$A$5:$A$1004,$A773,'AFA Rates'!$B$5:$B$1004,E$23)&gt;0,"Exp","")))</f>
        <v/>
      </c>
      <c r="F773" s="79">
        <f>IF(OR($A773="",F$23=""),"",IF(COUNTIFS('AFA Rates'!$A$5:$A$1004,$A773,'AFA Rates'!$B$5:$B$1004,F$23,'AFA Rates'!$O$5:$O$1004,"&lt;&gt;Expired")&gt;0,"✓",IF(COUNTIFS('AFA Rates'!$A$5:$A$1004,$A773,'AFA Rates'!$B$5:$B$1004,F$23)&gt;0,"Exp","")))</f>
        <v/>
      </c>
      <c r="G773" s="79">
        <f>IF(OR($A773="",G$23=""),"",IF(COUNTIFS('AFA Rates'!$A$5:$A$1004,$A773,'AFA Rates'!$B$5:$B$1004,G$23,'AFA Rates'!$O$5:$O$1004,"&lt;&gt;Expired")&gt;0,"✓",IF(COUNTIFS('AFA Rates'!$A$5:$A$1004,$A773,'AFA Rates'!$B$5:$B$1004,G$23)&gt;0,"Exp","")))</f>
        <v/>
      </c>
      <c r="H773" s="79">
        <f>IF(OR($A773="",H$23=""),"",IF(COUNTIFS('AFA Rates'!$A$5:$A$1004,$A773,'AFA Rates'!$B$5:$B$1004,H$23,'AFA Rates'!$O$5:$O$1004,"&lt;&gt;Expired")&gt;0,"✓",IF(COUNTIFS('AFA Rates'!$A$5:$A$1004,$A773,'AFA Rates'!$B$5:$B$1004,H$23)&gt;0,"Exp","")))</f>
        <v/>
      </c>
      <c r="I773" s="79">
        <f>IF(OR($A773="",I$23=""),"",IF(COUNTIFS('AFA Rates'!$A$5:$A$1004,$A773,'AFA Rates'!$B$5:$B$1004,I$23,'AFA Rates'!$O$5:$O$1004,"&lt;&gt;Expired")&gt;0,"✓",IF(COUNTIFS('AFA Rates'!$A$5:$A$1004,$A773,'AFA Rates'!$B$5:$B$1004,I$23)&gt;0,"Exp","")))</f>
        <v/>
      </c>
      <c r="J773" s="79">
        <f>IF(OR($A773="",J$23=""),"",IF(COUNTIFS('AFA Rates'!$A$5:$A$1004,$A773,'AFA Rates'!$B$5:$B$1004,J$23,'AFA Rates'!$O$5:$O$1004,"&lt;&gt;Expired")&gt;0,"✓",IF(COUNTIFS('AFA Rates'!$A$5:$A$1004,$A773,'AFA Rates'!$B$5:$B$1004,J$23)&gt;0,"Exp","")))</f>
        <v/>
      </c>
      <c r="K773" s="79">
        <f>IF(OR($A773="",K$23=""),"",IF(COUNTIFS('AFA Rates'!$A$5:$A$1004,$A773,'AFA Rates'!$B$5:$B$1004,K$23,'AFA Rates'!$O$5:$O$1004,"&lt;&gt;Expired")&gt;0,"✓",IF(COUNTIFS('AFA Rates'!$A$5:$A$1004,$A773,'AFA Rates'!$B$5:$B$1004,K$23)&gt;0,"Exp","")))</f>
        <v/>
      </c>
      <c r="L773" s="79">
        <f>IF(OR($A773="",L$23=""),"",IF(COUNTIFS('AFA Rates'!$A$5:$A$1004,$A773,'AFA Rates'!$B$5:$B$1004,L$23,'AFA Rates'!$O$5:$O$1004,"&lt;&gt;Expired")&gt;0,"✓",IF(COUNTIFS('AFA Rates'!$A$5:$A$1004,$A773,'AFA Rates'!$B$5:$B$1004,L$23)&gt;0,"Exp","")))</f>
        <v/>
      </c>
      <c r="M773" s="79">
        <f>IF(OR($A773="",M$23=""),"",IF(COUNTIFS('AFA Rates'!$A$5:$A$1004,$A773,'AFA Rates'!$B$5:$B$1004,M$23,'AFA Rates'!$O$5:$O$1004,"&lt;&gt;Expired")&gt;0,"✓",IF(COUNTIFS('AFA Rates'!$A$5:$A$1004,$A773,'AFA Rates'!$B$5:$B$1004,M$23)&gt;0,"Exp","")))</f>
        <v/>
      </c>
    </row>
    <row r="774">
      <c r="A774" s="78">
        <f>IFERROR(INDEX(Firms!$A$5:$A$1004,MATCH(751,Firms!$V$5:$V$1004,0)),"")</f>
        <v/>
      </c>
      <c r="B774" s="79">
        <f>IF($A774="","",INDEX(Firms!$B$5:$B$1004,MATCH(751,Firms!$V$5:$V$1004,0)))</f>
        <v/>
      </c>
      <c r="C774" s="79">
        <f>IF($A774="","",COUNTIFS('AFA Rates'!$A$5:$A$1004,$A774,'AFA Rates'!$O$5:$O$1004,"&lt;&gt;Expired"))</f>
        <v/>
      </c>
      <c r="D774" s="79">
        <f>IF(OR($A774="",D$23=""),"",IF(COUNTIFS('AFA Rates'!$A$5:$A$1004,$A774,'AFA Rates'!$B$5:$B$1004,D$23,'AFA Rates'!$O$5:$O$1004,"&lt;&gt;Expired")&gt;0,"✓",IF(COUNTIFS('AFA Rates'!$A$5:$A$1004,$A774,'AFA Rates'!$B$5:$B$1004,D$23)&gt;0,"Exp","")))</f>
        <v/>
      </c>
      <c r="E774" s="79">
        <f>IF(OR($A774="",E$23=""),"",IF(COUNTIFS('AFA Rates'!$A$5:$A$1004,$A774,'AFA Rates'!$B$5:$B$1004,E$23,'AFA Rates'!$O$5:$O$1004,"&lt;&gt;Expired")&gt;0,"✓",IF(COUNTIFS('AFA Rates'!$A$5:$A$1004,$A774,'AFA Rates'!$B$5:$B$1004,E$23)&gt;0,"Exp","")))</f>
        <v/>
      </c>
      <c r="F774" s="79">
        <f>IF(OR($A774="",F$23=""),"",IF(COUNTIFS('AFA Rates'!$A$5:$A$1004,$A774,'AFA Rates'!$B$5:$B$1004,F$23,'AFA Rates'!$O$5:$O$1004,"&lt;&gt;Expired")&gt;0,"✓",IF(COUNTIFS('AFA Rates'!$A$5:$A$1004,$A774,'AFA Rates'!$B$5:$B$1004,F$23)&gt;0,"Exp","")))</f>
        <v/>
      </c>
      <c r="G774" s="79">
        <f>IF(OR($A774="",G$23=""),"",IF(COUNTIFS('AFA Rates'!$A$5:$A$1004,$A774,'AFA Rates'!$B$5:$B$1004,G$23,'AFA Rates'!$O$5:$O$1004,"&lt;&gt;Expired")&gt;0,"✓",IF(COUNTIFS('AFA Rates'!$A$5:$A$1004,$A774,'AFA Rates'!$B$5:$B$1004,G$23)&gt;0,"Exp","")))</f>
        <v/>
      </c>
      <c r="H774" s="79">
        <f>IF(OR($A774="",H$23=""),"",IF(COUNTIFS('AFA Rates'!$A$5:$A$1004,$A774,'AFA Rates'!$B$5:$B$1004,H$23,'AFA Rates'!$O$5:$O$1004,"&lt;&gt;Expired")&gt;0,"✓",IF(COUNTIFS('AFA Rates'!$A$5:$A$1004,$A774,'AFA Rates'!$B$5:$B$1004,H$23)&gt;0,"Exp","")))</f>
        <v/>
      </c>
      <c r="I774" s="79">
        <f>IF(OR($A774="",I$23=""),"",IF(COUNTIFS('AFA Rates'!$A$5:$A$1004,$A774,'AFA Rates'!$B$5:$B$1004,I$23,'AFA Rates'!$O$5:$O$1004,"&lt;&gt;Expired")&gt;0,"✓",IF(COUNTIFS('AFA Rates'!$A$5:$A$1004,$A774,'AFA Rates'!$B$5:$B$1004,I$23)&gt;0,"Exp","")))</f>
        <v/>
      </c>
      <c r="J774" s="79">
        <f>IF(OR($A774="",J$23=""),"",IF(COUNTIFS('AFA Rates'!$A$5:$A$1004,$A774,'AFA Rates'!$B$5:$B$1004,J$23,'AFA Rates'!$O$5:$O$1004,"&lt;&gt;Expired")&gt;0,"✓",IF(COUNTIFS('AFA Rates'!$A$5:$A$1004,$A774,'AFA Rates'!$B$5:$B$1004,J$23)&gt;0,"Exp","")))</f>
        <v/>
      </c>
      <c r="K774" s="79">
        <f>IF(OR($A774="",K$23=""),"",IF(COUNTIFS('AFA Rates'!$A$5:$A$1004,$A774,'AFA Rates'!$B$5:$B$1004,K$23,'AFA Rates'!$O$5:$O$1004,"&lt;&gt;Expired")&gt;0,"✓",IF(COUNTIFS('AFA Rates'!$A$5:$A$1004,$A774,'AFA Rates'!$B$5:$B$1004,K$23)&gt;0,"Exp","")))</f>
        <v/>
      </c>
      <c r="L774" s="79">
        <f>IF(OR($A774="",L$23=""),"",IF(COUNTIFS('AFA Rates'!$A$5:$A$1004,$A774,'AFA Rates'!$B$5:$B$1004,L$23,'AFA Rates'!$O$5:$O$1004,"&lt;&gt;Expired")&gt;0,"✓",IF(COUNTIFS('AFA Rates'!$A$5:$A$1004,$A774,'AFA Rates'!$B$5:$B$1004,L$23)&gt;0,"Exp","")))</f>
        <v/>
      </c>
      <c r="M774" s="79">
        <f>IF(OR($A774="",M$23=""),"",IF(COUNTIFS('AFA Rates'!$A$5:$A$1004,$A774,'AFA Rates'!$B$5:$B$1004,M$23,'AFA Rates'!$O$5:$O$1004,"&lt;&gt;Expired")&gt;0,"✓",IF(COUNTIFS('AFA Rates'!$A$5:$A$1004,$A774,'AFA Rates'!$B$5:$B$1004,M$23)&gt;0,"Exp","")))</f>
        <v/>
      </c>
    </row>
    <row r="775">
      <c r="A775" s="78">
        <f>IFERROR(INDEX(Firms!$A$5:$A$1004,MATCH(752,Firms!$V$5:$V$1004,0)),"")</f>
        <v/>
      </c>
      <c r="B775" s="79">
        <f>IF($A775="","",INDEX(Firms!$B$5:$B$1004,MATCH(752,Firms!$V$5:$V$1004,0)))</f>
        <v/>
      </c>
      <c r="C775" s="79">
        <f>IF($A775="","",COUNTIFS('AFA Rates'!$A$5:$A$1004,$A775,'AFA Rates'!$O$5:$O$1004,"&lt;&gt;Expired"))</f>
        <v/>
      </c>
      <c r="D775" s="79">
        <f>IF(OR($A775="",D$23=""),"",IF(COUNTIFS('AFA Rates'!$A$5:$A$1004,$A775,'AFA Rates'!$B$5:$B$1004,D$23,'AFA Rates'!$O$5:$O$1004,"&lt;&gt;Expired")&gt;0,"✓",IF(COUNTIFS('AFA Rates'!$A$5:$A$1004,$A775,'AFA Rates'!$B$5:$B$1004,D$23)&gt;0,"Exp","")))</f>
        <v/>
      </c>
      <c r="E775" s="79">
        <f>IF(OR($A775="",E$23=""),"",IF(COUNTIFS('AFA Rates'!$A$5:$A$1004,$A775,'AFA Rates'!$B$5:$B$1004,E$23,'AFA Rates'!$O$5:$O$1004,"&lt;&gt;Expired")&gt;0,"✓",IF(COUNTIFS('AFA Rates'!$A$5:$A$1004,$A775,'AFA Rates'!$B$5:$B$1004,E$23)&gt;0,"Exp","")))</f>
        <v/>
      </c>
      <c r="F775" s="79">
        <f>IF(OR($A775="",F$23=""),"",IF(COUNTIFS('AFA Rates'!$A$5:$A$1004,$A775,'AFA Rates'!$B$5:$B$1004,F$23,'AFA Rates'!$O$5:$O$1004,"&lt;&gt;Expired")&gt;0,"✓",IF(COUNTIFS('AFA Rates'!$A$5:$A$1004,$A775,'AFA Rates'!$B$5:$B$1004,F$23)&gt;0,"Exp","")))</f>
        <v/>
      </c>
      <c r="G775" s="79">
        <f>IF(OR($A775="",G$23=""),"",IF(COUNTIFS('AFA Rates'!$A$5:$A$1004,$A775,'AFA Rates'!$B$5:$B$1004,G$23,'AFA Rates'!$O$5:$O$1004,"&lt;&gt;Expired")&gt;0,"✓",IF(COUNTIFS('AFA Rates'!$A$5:$A$1004,$A775,'AFA Rates'!$B$5:$B$1004,G$23)&gt;0,"Exp","")))</f>
        <v/>
      </c>
      <c r="H775" s="79">
        <f>IF(OR($A775="",H$23=""),"",IF(COUNTIFS('AFA Rates'!$A$5:$A$1004,$A775,'AFA Rates'!$B$5:$B$1004,H$23,'AFA Rates'!$O$5:$O$1004,"&lt;&gt;Expired")&gt;0,"✓",IF(COUNTIFS('AFA Rates'!$A$5:$A$1004,$A775,'AFA Rates'!$B$5:$B$1004,H$23)&gt;0,"Exp","")))</f>
        <v/>
      </c>
      <c r="I775" s="79">
        <f>IF(OR($A775="",I$23=""),"",IF(COUNTIFS('AFA Rates'!$A$5:$A$1004,$A775,'AFA Rates'!$B$5:$B$1004,I$23,'AFA Rates'!$O$5:$O$1004,"&lt;&gt;Expired")&gt;0,"✓",IF(COUNTIFS('AFA Rates'!$A$5:$A$1004,$A775,'AFA Rates'!$B$5:$B$1004,I$23)&gt;0,"Exp","")))</f>
        <v/>
      </c>
      <c r="J775" s="79">
        <f>IF(OR($A775="",J$23=""),"",IF(COUNTIFS('AFA Rates'!$A$5:$A$1004,$A775,'AFA Rates'!$B$5:$B$1004,J$23,'AFA Rates'!$O$5:$O$1004,"&lt;&gt;Expired")&gt;0,"✓",IF(COUNTIFS('AFA Rates'!$A$5:$A$1004,$A775,'AFA Rates'!$B$5:$B$1004,J$23)&gt;0,"Exp","")))</f>
        <v/>
      </c>
      <c r="K775" s="79">
        <f>IF(OR($A775="",K$23=""),"",IF(COUNTIFS('AFA Rates'!$A$5:$A$1004,$A775,'AFA Rates'!$B$5:$B$1004,K$23,'AFA Rates'!$O$5:$O$1004,"&lt;&gt;Expired")&gt;0,"✓",IF(COUNTIFS('AFA Rates'!$A$5:$A$1004,$A775,'AFA Rates'!$B$5:$B$1004,K$23)&gt;0,"Exp","")))</f>
        <v/>
      </c>
      <c r="L775" s="79">
        <f>IF(OR($A775="",L$23=""),"",IF(COUNTIFS('AFA Rates'!$A$5:$A$1004,$A775,'AFA Rates'!$B$5:$B$1004,L$23,'AFA Rates'!$O$5:$O$1004,"&lt;&gt;Expired")&gt;0,"✓",IF(COUNTIFS('AFA Rates'!$A$5:$A$1004,$A775,'AFA Rates'!$B$5:$B$1004,L$23)&gt;0,"Exp","")))</f>
        <v/>
      </c>
      <c r="M775" s="79">
        <f>IF(OR($A775="",M$23=""),"",IF(COUNTIFS('AFA Rates'!$A$5:$A$1004,$A775,'AFA Rates'!$B$5:$B$1004,M$23,'AFA Rates'!$O$5:$O$1004,"&lt;&gt;Expired")&gt;0,"✓",IF(COUNTIFS('AFA Rates'!$A$5:$A$1004,$A775,'AFA Rates'!$B$5:$B$1004,M$23)&gt;0,"Exp","")))</f>
        <v/>
      </c>
    </row>
    <row r="776">
      <c r="A776" s="78">
        <f>IFERROR(INDEX(Firms!$A$5:$A$1004,MATCH(753,Firms!$V$5:$V$1004,0)),"")</f>
        <v/>
      </c>
      <c r="B776" s="79">
        <f>IF($A776="","",INDEX(Firms!$B$5:$B$1004,MATCH(753,Firms!$V$5:$V$1004,0)))</f>
        <v/>
      </c>
      <c r="C776" s="79">
        <f>IF($A776="","",COUNTIFS('AFA Rates'!$A$5:$A$1004,$A776,'AFA Rates'!$O$5:$O$1004,"&lt;&gt;Expired"))</f>
        <v/>
      </c>
      <c r="D776" s="79">
        <f>IF(OR($A776="",D$23=""),"",IF(COUNTIFS('AFA Rates'!$A$5:$A$1004,$A776,'AFA Rates'!$B$5:$B$1004,D$23,'AFA Rates'!$O$5:$O$1004,"&lt;&gt;Expired")&gt;0,"✓",IF(COUNTIFS('AFA Rates'!$A$5:$A$1004,$A776,'AFA Rates'!$B$5:$B$1004,D$23)&gt;0,"Exp","")))</f>
        <v/>
      </c>
      <c r="E776" s="79">
        <f>IF(OR($A776="",E$23=""),"",IF(COUNTIFS('AFA Rates'!$A$5:$A$1004,$A776,'AFA Rates'!$B$5:$B$1004,E$23,'AFA Rates'!$O$5:$O$1004,"&lt;&gt;Expired")&gt;0,"✓",IF(COUNTIFS('AFA Rates'!$A$5:$A$1004,$A776,'AFA Rates'!$B$5:$B$1004,E$23)&gt;0,"Exp","")))</f>
        <v/>
      </c>
      <c r="F776" s="79">
        <f>IF(OR($A776="",F$23=""),"",IF(COUNTIFS('AFA Rates'!$A$5:$A$1004,$A776,'AFA Rates'!$B$5:$B$1004,F$23,'AFA Rates'!$O$5:$O$1004,"&lt;&gt;Expired")&gt;0,"✓",IF(COUNTIFS('AFA Rates'!$A$5:$A$1004,$A776,'AFA Rates'!$B$5:$B$1004,F$23)&gt;0,"Exp","")))</f>
        <v/>
      </c>
      <c r="G776" s="79">
        <f>IF(OR($A776="",G$23=""),"",IF(COUNTIFS('AFA Rates'!$A$5:$A$1004,$A776,'AFA Rates'!$B$5:$B$1004,G$23,'AFA Rates'!$O$5:$O$1004,"&lt;&gt;Expired")&gt;0,"✓",IF(COUNTIFS('AFA Rates'!$A$5:$A$1004,$A776,'AFA Rates'!$B$5:$B$1004,G$23)&gt;0,"Exp","")))</f>
        <v/>
      </c>
      <c r="H776" s="79">
        <f>IF(OR($A776="",H$23=""),"",IF(COUNTIFS('AFA Rates'!$A$5:$A$1004,$A776,'AFA Rates'!$B$5:$B$1004,H$23,'AFA Rates'!$O$5:$O$1004,"&lt;&gt;Expired")&gt;0,"✓",IF(COUNTIFS('AFA Rates'!$A$5:$A$1004,$A776,'AFA Rates'!$B$5:$B$1004,H$23)&gt;0,"Exp","")))</f>
        <v/>
      </c>
      <c r="I776" s="79">
        <f>IF(OR($A776="",I$23=""),"",IF(COUNTIFS('AFA Rates'!$A$5:$A$1004,$A776,'AFA Rates'!$B$5:$B$1004,I$23,'AFA Rates'!$O$5:$O$1004,"&lt;&gt;Expired")&gt;0,"✓",IF(COUNTIFS('AFA Rates'!$A$5:$A$1004,$A776,'AFA Rates'!$B$5:$B$1004,I$23)&gt;0,"Exp","")))</f>
        <v/>
      </c>
      <c r="J776" s="79">
        <f>IF(OR($A776="",J$23=""),"",IF(COUNTIFS('AFA Rates'!$A$5:$A$1004,$A776,'AFA Rates'!$B$5:$B$1004,J$23,'AFA Rates'!$O$5:$O$1004,"&lt;&gt;Expired")&gt;0,"✓",IF(COUNTIFS('AFA Rates'!$A$5:$A$1004,$A776,'AFA Rates'!$B$5:$B$1004,J$23)&gt;0,"Exp","")))</f>
        <v/>
      </c>
      <c r="K776" s="79">
        <f>IF(OR($A776="",K$23=""),"",IF(COUNTIFS('AFA Rates'!$A$5:$A$1004,$A776,'AFA Rates'!$B$5:$B$1004,K$23,'AFA Rates'!$O$5:$O$1004,"&lt;&gt;Expired")&gt;0,"✓",IF(COUNTIFS('AFA Rates'!$A$5:$A$1004,$A776,'AFA Rates'!$B$5:$B$1004,K$23)&gt;0,"Exp","")))</f>
        <v/>
      </c>
      <c r="L776" s="79">
        <f>IF(OR($A776="",L$23=""),"",IF(COUNTIFS('AFA Rates'!$A$5:$A$1004,$A776,'AFA Rates'!$B$5:$B$1004,L$23,'AFA Rates'!$O$5:$O$1004,"&lt;&gt;Expired")&gt;0,"✓",IF(COUNTIFS('AFA Rates'!$A$5:$A$1004,$A776,'AFA Rates'!$B$5:$B$1004,L$23)&gt;0,"Exp","")))</f>
        <v/>
      </c>
      <c r="M776" s="79">
        <f>IF(OR($A776="",M$23=""),"",IF(COUNTIFS('AFA Rates'!$A$5:$A$1004,$A776,'AFA Rates'!$B$5:$B$1004,M$23,'AFA Rates'!$O$5:$O$1004,"&lt;&gt;Expired")&gt;0,"✓",IF(COUNTIFS('AFA Rates'!$A$5:$A$1004,$A776,'AFA Rates'!$B$5:$B$1004,M$23)&gt;0,"Exp","")))</f>
        <v/>
      </c>
    </row>
    <row r="777">
      <c r="A777" s="78">
        <f>IFERROR(INDEX(Firms!$A$5:$A$1004,MATCH(754,Firms!$V$5:$V$1004,0)),"")</f>
        <v/>
      </c>
      <c r="B777" s="79">
        <f>IF($A777="","",INDEX(Firms!$B$5:$B$1004,MATCH(754,Firms!$V$5:$V$1004,0)))</f>
        <v/>
      </c>
      <c r="C777" s="79">
        <f>IF($A777="","",COUNTIFS('AFA Rates'!$A$5:$A$1004,$A777,'AFA Rates'!$O$5:$O$1004,"&lt;&gt;Expired"))</f>
        <v/>
      </c>
      <c r="D777" s="79">
        <f>IF(OR($A777="",D$23=""),"",IF(COUNTIFS('AFA Rates'!$A$5:$A$1004,$A777,'AFA Rates'!$B$5:$B$1004,D$23,'AFA Rates'!$O$5:$O$1004,"&lt;&gt;Expired")&gt;0,"✓",IF(COUNTIFS('AFA Rates'!$A$5:$A$1004,$A777,'AFA Rates'!$B$5:$B$1004,D$23)&gt;0,"Exp","")))</f>
        <v/>
      </c>
      <c r="E777" s="79">
        <f>IF(OR($A777="",E$23=""),"",IF(COUNTIFS('AFA Rates'!$A$5:$A$1004,$A777,'AFA Rates'!$B$5:$B$1004,E$23,'AFA Rates'!$O$5:$O$1004,"&lt;&gt;Expired")&gt;0,"✓",IF(COUNTIFS('AFA Rates'!$A$5:$A$1004,$A777,'AFA Rates'!$B$5:$B$1004,E$23)&gt;0,"Exp","")))</f>
        <v/>
      </c>
      <c r="F777" s="79">
        <f>IF(OR($A777="",F$23=""),"",IF(COUNTIFS('AFA Rates'!$A$5:$A$1004,$A777,'AFA Rates'!$B$5:$B$1004,F$23,'AFA Rates'!$O$5:$O$1004,"&lt;&gt;Expired")&gt;0,"✓",IF(COUNTIFS('AFA Rates'!$A$5:$A$1004,$A777,'AFA Rates'!$B$5:$B$1004,F$23)&gt;0,"Exp","")))</f>
        <v/>
      </c>
      <c r="G777" s="79">
        <f>IF(OR($A777="",G$23=""),"",IF(COUNTIFS('AFA Rates'!$A$5:$A$1004,$A777,'AFA Rates'!$B$5:$B$1004,G$23,'AFA Rates'!$O$5:$O$1004,"&lt;&gt;Expired")&gt;0,"✓",IF(COUNTIFS('AFA Rates'!$A$5:$A$1004,$A777,'AFA Rates'!$B$5:$B$1004,G$23)&gt;0,"Exp","")))</f>
        <v/>
      </c>
      <c r="H777" s="79">
        <f>IF(OR($A777="",H$23=""),"",IF(COUNTIFS('AFA Rates'!$A$5:$A$1004,$A777,'AFA Rates'!$B$5:$B$1004,H$23,'AFA Rates'!$O$5:$O$1004,"&lt;&gt;Expired")&gt;0,"✓",IF(COUNTIFS('AFA Rates'!$A$5:$A$1004,$A777,'AFA Rates'!$B$5:$B$1004,H$23)&gt;0,"Exp","")))</f>
        <v/>
      </c>
      <c r="I777" s="79">
        <f>IF(OR($A777="",I$23=""),"",IF(COUNTIFS('AFA Rates'!$A$5:$A$1004,$A777,'AFA Rates'!$B$5:$B$1004,I$23,'AFA Rates'!$O$5:$O$1004,"&lt;&gt;Expired")&gt;0,"✓",IF(COUNTIFS('AFA Rates'!$A$5:$A$1004,$A777,'AFA Rates'!$B$5:$B$1004,I$23)&gt;0,"Exp","")))</f>
        <v/>
      </c>
      <c r="J777" s="79">
        <f>IF(OR($A777="",J$23=""),"",IF(COUNTIFS('AFA Rates'!$A$5:$A$1004,$A777,'AFA Rates'!$B$5:$B$1004,J$23,'AFA Rates'!$O$5:$O$1004,"&lt;&gt;Expired")&gt;0,"✓",IF(COUNTIFS('AFA Rates'!$A$5:$A$1004,$A777,'AFA Rates'!$B$5:$B$1004,J$23)&gt;0,"Exp","")))</f>
        <v/>
      </c>
      <c r="K777" s="79">
        <f>IF(OR($A777="",K$23=""),"",IF(COUNTIFS('AFA Rates'!$A$5:$A$1004,$A777,'AFA Rates'!$B$5:$B$1004,K$23,'AFA Rates'!$O$5:$O$1004,"&lt;&gt;Expired")&gt;0,"✓",IF(COUNTIFS('AFA Rates'!$A$5:$A$1004,$A777,'AFA Rates'!$B$5:$B$1004,K$23)&gt;0,"Exp","")))</f>
        <v/>
      </c>
      <c r="L777" s="79">
        <f>IF(OR($A777="",L$23=""),"",IF(COUNTIFS('AFA Rates'!$A$5:$A$1004,$A777,'AFA Rates'!$B$5:$B$1004,L$23,'AFA Rates'!$O$5:$O$1004,"&lt;&gt;Expired")&gt;0,"✓",IF(COUNTIFS('AFA Rates'!$A$5:$A$1004,$A777,'AFA Rates'!$B$5:$B$1004,L$23)&gt;0,"Exp","")))</f>
        <v/>
      </c>
      <c r="M777" s="79">
        <f>IF(OR($A777="",M$23=""),"",IF(COUNTIFS('AFA Rates'!$A$5:$A$1004,$A777,'AFA Rates'!$B$5:$B$1004,M$23,'AFA Rates'!$O$5:$O$1004,"&lt;&gt;Expired")&gt;0,"✓",IF(COUNTIFS('AFA Rates'!$A$5:$A$1004,$A777,'AFA Rates'!$B$5:$B$1004,M$23)&gt;0,"Exp","")))</f>
        <v/>
      </c>
    </row>
    <row r="778">
      <c r="A778" s="78">
        <f>IFERROR(INDEX(Firms!$A$5:$A$1004,MATCH(755,Firms!$V$5:$V$1004,0)),"")</f>
        <v/>
      </c>
      <c r="B778" s="79">
        <f>IF($A778="","",INDEX(Firms!$B$5:$B$1004,MATCH(755,Firms!$V$5:$V$1004,0)))</f>
        <v/>
      </c>
      <c r="C778" s="79">
        <f>IF($A778="","",COUNTIFS('AFA Rates'!$A$5:$A$1004,$A778,'AFA Rates'!$O$5:$O$1004,"&lt;&gt;Expired"))</f>
        <v/>
      </c>
      <c r="D778" s="79">
        <f>IF(OR($A778="",D$23=""),"",IF(COUNTIFS('AFA Rates'!$A$5:$A$1004,$A778,'AFA Rates'!$B$5:$B$1004,D$23,'AFA Rates'!$O$5:$O$1004,"&lt;&gt;Expired")&gt;0,"✓",IF(COUNTIFS('AFA Rates'!$A$5:$A$1004,$A778,'AFA Rates'!$B$5:$B$1004,D$23)&gt;0,"Exp","")))</f>
        <v/>
      </c>
      <c r="E778" s="79">
        <f>IF(OR($A778="",E$23=""),"",IF(COUNTIFS('AFA Rates'!$A$5:$A$1004,$A778,'AFA Rates'!$B$5:$B$1004,E$23,'AFA Rates'!$O$5:$O$1004,"&lt;&gt;Expired")&gt;0,"✓",IF(COUNTIFS('AFA Rates'!$A$5:$A$1004,$A778,'AFA Rates'!$B$5:$B$1004,E$23)&gt;0,"Exp","")))</f>
        <v/>
      </c>
      <c r="F778" s="79">
        <f>IF(OR($A778="",F$23=""),"",IF(COUNTIFS('AFA Rates'!$A$5:$A$1004,$A778,'AFA Rates'!$B$5:$B$1004,F$23,'AFA Rates'!$O$5:$O$1004,"&lt;&gt;Expired")&gt;0,"✓",IF(COUNTIFS('AFA Rates'!$A$5:$A$1004,$A778,'AFA Rates'!$B$5:$B$1004,F$23)&gt;0,"Exp","")))</f>
        <v/>
      </c>
      <c r="G778" s="79">
        <f>IF(OR($A778="",G$23=""),"",IF(COUNTIFS('AFA Rates'!$A$5:$A$1004,$A778,'AFA Rates'!$B$5:$B$1004,G$23,'AFA Rates'!$O$5:$O$1004,"&lt;&gt;Expired")&gt;0,"✓",IF(COUNTIFS('AFA Rates'!$A$5:$A$1004,$A778,'AFA Rates'!$B$5:$B$1004,G$23)&gt;0,"Exp","")))</f>
        <v/>
      </c>
      <c r="H778" s="79">
        <f>IF(OR($A778="",H$23=""),"",IF(COUNTIFS('AFA Rates'!$A$5:$A$1004,$A778,'AFA Rates'!$B$5:$B$1004,H$23,'AFA Rates'!$O$5:$O$1004,"&lt;&gt;Expired")&gt;0,"✓",IF(COUNTIFS('AFA Rates'!$A$5:$A$1004,$A778,'AFA Rates'!$B$5:$B$1004,H$23)&gt;0,"Exp","")))</f>
        <v/>
      </c>
      <c r="I778" s="79">
        <f>IF(OR($A778="",I$23=""),"",IF(COUNTIFS('AFA Rates'!$A$5:$A$1004,$A778,'AFA Rates'!$B$5:$B$1004,I$23,'AFA Rates'!$O$5:$O$1004,"&lt;&gt;Expired")&gt;0,"✓",IF(COUNTIFS('AFA Rates'!$A$5:$A$1004,$A778,'AFA Rates'!$B$5:$B$1004,I$23)&gt;0,"Exp","")))</f>
        <v/>
      </c>
      <c r="J778" s="79">
        <f>IF(OR($A778="",J$23=""),"",IF(COUNTIFS('AFA Rates'!$A$5:$A$1004,$A778,'AFA Rates'!$B$5:$B$1004,J$23,'AFA Rates'!$O$5:$O$1004,"&lt;&gt;Expired")&gt;0,"✓",IF(COUNTIFS('AFA Rates'!$A$5:$A$1004,$A778,'AFA Rates'!$B$5:$B$1004,J$23)&gt;0,"Exp","")))</f>
        <v/>
      </c>
      <c r="K778" s="79">
        <f>IF(OR($A778="",K$23=""),"",IF(COUNTIFS('AFA Rates'!$A$5:$A$1004,$A778,'AFA Rates'!$B$5:$B$1004,K$23,'AFA Rates'!$O$5:$O$1004,"&lt;&gt;Expired")&gt;0,"✓",IF(COUNTIFS('AFA Rates'!$A$5:$A$1004,$A778,'AFA Rates'!$B$5:$B$1004,K$23)&gt;0,"Exp","")))</f>
        <v/>
      </c>
      <c r="L778" s="79">
        <f>IF(OR($A778="",L$23=""),"",IF(COUNTIFS('AFA Rates'!$A$5:$A$1004,$A778,'AFA Rates'!$B$5:$B$1004,L$23,'AFA Rates'!$O$5:$O$1004,"&lt;&gt;Expired")&gt;0,"✓",IF(COUNTIFS('AFA Rates'!$A$5:$A$1004,$A778,'AFA Rates'!$B$5:$B$1004,L$23)&gt;0,"Exp","")))</f>
        <v/>
      </c>
      <c r="M778" s="79">
        <f>IF(OR($A778="",M$23=""),"",IF(COUNTIFS('AFA Rates'!$A$5:$A$1004,$A778,'AFA Rates'!$B$5:$B$1004,M$23,'AFA Rates'!$O$5:$O$1004,"&lt;&gt;Expired")&gt;0,"✓",IF(COUNTIFS('AFA Rates'!$A$5:$A$1004,$A778,'AFA Rates'!$B$5:$B$1004,M$23)&gt;0,"Exp","")))</f>
        <v/>
      </c>
    </row>
    <row r="779">
      <c r="A779" s="78">
        <f>IFERROR(INDEX(Firms!$A$5:$A$1004,MATCH(756,Firms!$V$5:$V$1004,0)),"")</f>
        <v/>
      </c>
      <c r="B779" s="79">
        <f>IF($A779="","",INDEX(Firms!$B$5:$B$1004,MATCH(756,Firms!$V$5:$V$1004,0)))</f>
        <v/>
      </c>
      <c r="C779" s="79">
        <f>IF($A779="","",COUNTIFS('AFA Rates'!$A$5:$A$1004,$A779,'AFA Rates'!$O$5:$O$1004,"&lt;&gt;Expired"))</f>
        <v/>
      </c>
      <c r="D779" s="79">
        <f>IF(OR($A779="",D$23=""),"",IF(COUNTIFS('AFA Rates'!$A$5:$A$1004,$A779,'AFA Rates'!$B$5:$B$1004,D$23,'AFA Rates'!$O$5:$O$1004,"&lt;&gt;Expired")&gt;0,"✓",IF(COUNTIFS('AFA Rates'!$A$5:$A$1004,$A779,'AFA Rates'!$B$5:$B$1004,D$23)&gt;0,"Exp","")))</f>
        <v/>
      </c>
      <c r="E779" s="79">
        <f>IF(OR($A779="",E$23=""),"",IF(COUNTIFS('AFA Rates'!$A$5:$A$1004,$A779,'AFA Rates'!$B$5:$B$1004,E$23,'AFA Rates'!$O$5:$O$1004,"&lt;&gt;Expired")&gt;0,"✓",IF(COUNTIFS('AFA Rates'!$A$5:$A$1004,$A779,'AFA Rates'!$B$5:$B$1004,E$23)&gt;0,"Exp","")))</f>
        <v/>
      </c>
      <c r="F779" s="79">
        <f>IF(OR($A779="",F$23=""),"",IF(COUNTIFS('AFA Rates'!$A$5:$A$1004,$A779,'AFA Rates'!$B$5:$B$1004,F$23,'AFA Rates'!$O$5:$O$1004,"&lt;&gt;Expired")&gt;0,"✓",IF(COUNTIFS('AFA Rates'!$A$5:$A$1004,$A779,'AFA Rates'!$B$5:$B$1004,F$23)&gt;0,"Exp","")))</f>
        <v/>
      </c>
      <c r="G779" s="79">
        <f>IF(OR($A779="",G$23=""),"",IF(COUNTIFS('AFA Rates'!$A$5:$A$1004,$A779,'AFA Rates'!$B$5:$B$1004,G$23,'AFA Rates'!$O$5:$O$1004,"&lt;&gt;Expired")&gt;0,"✓",IF(COUNTIFS('AFA Rates'!$A$5:$A$1004,$A779,'AFA Rates'!$B$5:$B$1004,G$23)&gt;0,"Exp","")))</f>
        <v/>
      </c>
      <c r="H779" s="79">
        <f>IF(OR($A779="",H$23=""),"",IF(COUNTIFS('AFA Rates'!$A$5:$A$1004,$A779,'AFA Rates'!$B$5:$B$1004,H$23,'AFA Rates'!$O$5:$O$1004,"&lt;&gt;Expired")&gt;0,"✓",IF(COUNTIFS('AFA Rates'!$A$5:$A$1004,$A779,'AFA Rates'!$B$5:$B$1004,H$23)&gt;0,"Exp","")))</f>
        <v/>
      </c>
      <c r="I779" s="79">
        <f>IF(OR($A779="",I$23=""),"",IF(COUNTIFS('AFA Rates'!$A$5:$A$1004,$A779,'AFA Rates'!$B$5:$B$1004,I$23,'AFA Rates'!$O$5:$O$1004,"&lt;&gt;Expired")&gt;0,"✓",IF(COUNTIFS('AFA Rates'!$A$5:$A$1004,$A779,'AFA Rates'!$B$5:$B$1004,I$23)&gt;0,"Exp","")))</f>
        <v/>
      </c>
      <c r="J779" s="79">
        <f>IF(OR($A779="",J$23=""),"",IF(COUNTIFS('AFA Rates'!$A$5:$A$1004,$A779,'AFA Rates'!$B$5:$B$1004,J$23,'AFA Rates'!$O$5:$O$1004,"&lt;&gt;Expired")&gt;0,"✓",IF(COUNTIFS('AFA Rates'!$A$5:$A$1004,$A779,'AFA Rates'!$B$5:$B$1004,J$23)&gt;0,"Exp","")))</f>
        <v/>
      </c>
      <c r="K779" s="79">
        <f>IF(OR($A779="",K$23=""),"",IF(COUNTIFS('AFA Rates'!$A$5:$A$1004,$A779,'AFA Rates'!$B$5:$B$1004,K$23,'AFA Rates'!$O$5:$O$1004,"&lt;&gt;Expired")&gt;0,"✓",IF(COUNTIFS('AFA Rates'!$A$5:$A$1004,$A779,'AFA Rates'!$B$5:$B$1004,K$23)&gt;0,"Exp","")))</f>
        <v/>
      </c>
      <c r="L779" s="79">
        <f>IF(OR($A779="",L$23=""),"",IF(COUNTIFS('AFA Rates'!$A$5:$A$1004,$A779,'AFA Rates'!$B$5:$B$1004,L$23,'AFA Rates'!$O$5:$O$1004,"&lt;&gt;Expired")&gt;0,"✓",IF(COUNTIFS('AFA Rates'!$A$5:$A$1004,$A779,'AFA Rates'!$B$5:$B$1004,L$23)&gt;0,"Exp","")))</f>
        <v/>
      </c>
      <c r="M779" s="79">
        <f>IF(OR($A779="",M$23=""),"",IF(COUNTIFS('AFA Rates'!$A$5:$A$1004,$A779,'AFA Rates'!$B$5:$B$1004,M$23,'AFA Rates'!$O$5:$O$1004,"&lt;&gt;Expired")&gt;0,"✓",IF(COUNTIFS('AFA Rates'!$A$5:$A$1004,$A779,'AFA Rates'!$B$5:$B$1004,M$23)&gt;0,"Exp","")))</f>
        <v/>
      </c>
    </row>
    <row r="780">
      <c r="A780" s="78">
        <f>IFERROR(INDEX(Firms!$A$5:$A$1004,MATCH(757,Firms!$V$5:$V$1004,0)),"")</f>
        <v/>
      </c>
      <c r="B780" s="79">
        <f>IF($A780="","",INDEX(Firms!$B$5:$B$1004,MATCH(757,Firms!$V$5:$V$1004,0)))</f>
        <v/>
      </c>
      <c r="C780" s="79">
        <f>IF($A780="","",COUNTIFS('AFA Rates'!$A$5:$A$1004,$A780,'AFA Rates'!$O$5:$O$1004,"&lt;&gt;Expired"))</f>
        <v/>
      </c>
      <c r="D780" s="79">
        <f>IF(OR($A780="",D$23=""),"",IF(COUNTIFS('AFA Rates'!$A$5:$A$1004,$A780,'AFA Rates'!$B$5:$B$1004,D$23,'AFA Rates'!$O$5:$O$1004,"&lt;&gt;Expired")&gt;0,"✓",IF(COUNTIFS('AFA Rates'!$A$5:$A$1004,$A780,'AFA Rates'!$B$5:$B$1004,D$23)&gt;0,"Exp","")))</f>
        <v/>
      </c>
      <c r="E780" s="79">
        <f>IF(OR($A780="",E$23=""),"",IF(COUNTIFS('AFA Rates'!$A$5:$A$1004,$A780,'AFA Rates'!$B$5:$B$1004,E$23,'AFA Rates'!$O$5:$O$1004,"&lt;&gt;Expired")&gt;0,"✓",IF(COUNTIFS('AFA Rates'!$A$5:$A$1004,$A780,'AFA Rates'!$B$5:$B$1004,E$23)&gt;0,"Exp","")))</f>
        <v/>
      </c>
      <c r="F780" s="79">
        <f>IF(OR($A780="",F$23=""),"",IF(COUNTIFS('AFA Rates'!$A$5:$A$1004,$A780,'AFA Rates'!$B$5:$B$1004,F$23,'AFA Rates'!$O$5:$O$1004,"&lt;&gt;Expired")&gt;0,"✓",IF(COUNTIFS('AFA Rates'!$A$5:$A$1004,$A780,'AFA Rates'!$B$5:$B$1004,F$23)&gt;0,"Exp","")))</f>
        <v/>
      </c>
      <c r="G780" s="79">
        <f>IF(OR($A780="",G$23=""),"",IF(COUNTIFS('AFA Rates'!$A$5:$A$1004,$A780,'AFA Rates'!$B$5:$B$1004,G$23,'AFA Rates'!$O$5:$O$1004,"&lt;&gt;Expired")&gt;0,"✓",IF(COUNTIFS('AFA Rates'!$A$5:$A$1004,$A780,'AFA Rates'!$B$5:$B$1004,G$23)&gt;0,"Exp","")))</f>
        <v/>
      </c>
      <c r="H780" s="79">
        <f>IF(OR($A780="",H$23=""),"",IF(COUNTIFS('AFA Rates'!$A$5:$A$1004,$A780,'AFA Rates'!$B$5:$B$1004,H$23,'AFA Rates'!$O$5:$O$1004,"&lt;&gt;Expired")&gt;0,"✓",IF(COUNTIFS('AFA Rates'!$A$5:$A$1004,$A780,'AFA Rates'!$B$5:$B$1004,H$23)&gt;0,"Exp","")))</f>
        <v/>
      </c>
      <c r="I780" s="79">
        <f>IF(OR($A780="",I$23=""),"",IF(COUNTIFS('AFA Rates'!$A$5:$A$1004,$A780,'AFA Rates'!$B$5:$B$1004,I$23,'AFA Rates'!$O$5:$O$1004,"&lt;&gt;Expired")&gt;0,"✓",IF(COUNTIFS('AFA Rates'!$A$5:$A$1004,$A780,'AFA Rates'!$B$5:$B$1004,I$23)&gt;0,"Exp","")))</f>
        <v/>
      </c>
      <c r="J780" s="79">
        <f>IF(OR($A780="",J$23=""),"",IF(COUNTIFS('AFA Rates'!$A$5:$A$1004,$A780,'AFA Rates'!$B$5:$B$1004,J$23,'AFA Rates'!$O$5:$O$1004,"&lt;&gt;Expired")&gt;0,"✓",IF(COUNTIFS('AFA Rates'!$A$5:$A$1004,$A780,'AFA Rates'!$B$5:$B$1004,J$23)&gt;0,"Exp","")))</f>
        <v/>
      </c>
      <c r="K780" s="79">
        <f>IF(OR($A780="",K$23=""),"",IF(COUNTIFS('AFA Rates'!$A$5:$A$1004,$A780,'AFA Rates'!$B$5:$B$1004,K$23,'AFA Rates'!$O$5:$O$1004,"&lt;&gt;Expired")&gt;0,"✓",IF(COUNTIFS('AFA Rates'!$A$5:$A$1004,$A780,'AFA Rates'!$B$5:$B$1004,K$23)&gt;0,"Exp","")))</f>
        <v/>
      </c>
      <c r="L780" s="79">
        <f>IF(OR($A780="",L$23=""),"",IF(COUNTIFS('AFA Rates'!$A$5:$A$1004,$A780,'AFA Rates'!$B$5:$B$1004,L$23,'AFA Rates'!$O$5:$O$1004,"&lt;&gt;Expired")&gt;0,"✓",IF(COUNTIFS('AFA Rates'!$A$5:$A$1004,$A780,'AFA Rates'!$B$5:$B$1004,L$23)&gt;0,"Exp","")))</f>
        <v/>
      </c>
      <c r="M780" s="79">
        <f>IF(OR($A780="",M$23=""),"",IF(COUNTIFS('AFA Rates'!$A$5:$A$1004,$A780,'AFA Rates'!$B$5:$B$1004,M$23,'AFA Rates'!$O$5:$O$1004,"&lt;&gt;Expired")&gt;0,"✓",IF(COUNTIFS('AFA Rates'!$A$5:$A$1004,$A780,'AFA Rates'!$B$5:$B$1004,M$23)&gt;0,"Exp","")))</f>
        <v/>
      </c>
    </row>
    <row r="781">
      <c r="A781" s="78">
        <f>IFERROR(INDEX(Firms!$A$5:$A$1004,MATCH(758,Firms!$V$5:$V$1004,0)),"")</f>
        <v/>
      </c>
      <c r="B781" s="79">
        <f>IF($A781="","",INDEX(Firms!$B$5:$B$1004,MATCH(758,Firms!$V$5:$V$1004,0)))</f>
        <v/>
      </c>
      <c r="C781" s="79">
        <f>IF($A781="","",COUNTIFS('AFA Rates'!$A$5:$A$1004,$A781,'AFA Rates'!$O$5:$O$1004,"&lt;&gt;Expired"))</f>
        <v/>
      </c>
      <c r="D781" s="79">
        <f>IF(OR($A781="",D$23=""),"",IF(COUNTIFS('AFA Rates'!$A$5:$A$1004,$A781,'AFA Rates'!$B$5:$B$1004,D$23,'AFA Rates'!$O$5:$O$1004,"&lt;&gt;Expired")&gt;0,"✓",IF(COUNTIFS('AFA Rates'!$A$5:$A$1004,$A781,'AFA Rates'!$B$5:$B$1004,D$23)&gt;0,"Exp","")))</f>
        <v/>
      </c>
      <c r="E781" s="79">
        <f>IF(OR($A781="",E$23=""),"",IF(COUNTIFS('AFA Rates'!$A$5:$A$1004,$A781,'AFA Rates'!$B$5:$B$1004,E$23,'AFA Rates'!$O$5:$O$1004,"&lt;&gt;Expired")&gt;0,"✓",IF(COUNTIFS('AFA Rates'!$A$5:$A$1004,$A781,'AFA Rates'!$B$5:$B$1004,E$23)&gt;0,"Exp","")))</f>
        <v/>
      </c>
      <c r="F781" s="79">
        <f>IF(OR($A781="",F$23=""),"",IF(COUNTIFS('AFA Rates'!$A$5:$A$1004,$A781,'AFA Rates'!$B$5:$B$1004,F$23,'AFA Rates'!$O$5:$O$1004,"&lt;&gt;Expired")&gt;0,"✓",IF(COUNTIFS('AFA Rates'!$A$5:$A$1004,$A781,'AFA Rates'!$B$5:$B$1004,F$23)&gt;0,"Exp","")))</f>
        <v/>
      </c>
      <c r="G781" s="79">
        <f>IF(OR($A781="",G$23=""),"",IF(COUNTIFS('AFA Rates'!$A$5:$A$1004,$A781,'AFA Rates'!$B$5:$B$1004,G$23,'AFA Rates'!$O$5:$O$1004,"&lt;&gt;Expired")&gt;0,"✓",IF(COUNTIFS('AFA Rates'!$A$5:$A$1004,$A781,'AFA Rates'!$B$5:$B$1004,G$23)&gt;0,"Exp","")))</f>
        <v/>
      </c>
      <c r="H781" s="79">
        <f>IF(OR($A781="",H$23=""),"",IF(COUNTIFS('AFA Rates'!$A$5:$A$1004,$A781,'AFA Rates'!$B$5:$B$1004,H$23,'AFA Rates'!$O$5:$O$1004,"&lt;&gt;Expired")&gt;0,"✓",IF(COUNTIFS('AFA Rates'!$A$5:$A$1004,$A781,'AFA Rates'!$B$5:$B$1004,H$23)&gt;0,"Exp","")))</f>
        <v/>
      </c>
      <c r="I781" s="79">
        <f>IF(OR($A781="",I$23=""),"",IF(COUNTIFS('AFA Rates'!$A$5:$A$1004,$A781,'AFA Rates'!$B$5:$B$1004,I$23,'AFA Rates'!$O$5:$O$1004,"&lt;&gt;Expired")&gt;0,"✓",IF(COUNTIFS('AFA Rates'!$A$5:$A$1004,$A781,'AFA Rates'!$B$5:$B$1004,I$23)&gt;0,"Exp","")))</f>
        <v/>
      </c>
      <c r="J781" s="79">
        <f>IF(OR($A781="",J$23=""),"",IF(COUNTIFS('AFA Rates'!$A$5:$A$1004,$A781,'AFA Rates'!$B$5:$B$1004,J$23,'AFA Rates'!$O$5:$O$1004,"&lt;&gt;Expired")&gt;0,"✓",IF(COUNTIFS('AFA Rates'!$A$5:$A$1004,$A781,'AFA Rates'!$B$5:$B$1004,J$23)&gt;0,"Exp","")))</f>
        <v/>
      </c>
      <c r="K781" s="79">
        <f>IF(OR($A781="",K$23=""),"",IF(COUNTIFS('AFA Rates'!$A$5:$A$1004,$A781,'AFA Rates'!$B$5:$B$1004,K$23,'AFA Rates'!$O$5:$O$1004,"&lt;&gt;Expired")&gt;0,"✓",IF(COUNTIFS('AFA Rates'!$A$5:$A$1004,$A781,'AFA Rates'!$B$5:$B$1004,K$23)&gt;0,"Exp","")))</f>
        <v/>
      </c>
      <c r="L781" s="79">
        <f>IF(OR($A781="",L$23=""),"",IF(COUNTIFS('AFA Rates'!$A$5:$A$1004,$A781,'AFA Rates'!$B$5:$B$1004,L$23,'AFA Rates'!$O$5:$O$1004,"&lt;&gt;Expired")&gt;0,"✓",IF(COUNTIFS('AFA Rates'!$A$5:$A$1004,$A781,'AFA Rates'!$B$5:$B$1004,L$23)&gt;0,"Exp","")))</f>
        <v/>
      </c>
      <c r="M781" s="79">
        <f>IF(OR($A781="",M$23=""),"",IF(COUNTIFS('AFA Rates'!$A$5:$A$1004,$A781,'AFA Rates'!$B$5:$B$1004,M$23,'AFA Rates'!$O$5:$O$1004,"&lt;&gt;Expired")&gt;0,"✓",IF(COUNTIFS('AFA Rates'!$A$5:$A$1004,$A781,'AFA Rates'!$B$5:$B$1004,M$23)&gt;0,"Exp","")))</f>
        <v/>
      </c>
    </row>
    <row r="782">
      <c r="A782" s="78">
        <f>IFERROR(INDEX(Firms!$A$5:$A$1004,MATCH(759,Firms!$V$5:$V$1004,0)),"")</f>
        <v/>
      </c>
      <c r="B782" s="79">
        <f>IF($A782="","",INDEX(Firms!$B$5:$B$1004,MATCH(759,Firms!$V$5:$V$1004,0)))</f>
        <v/>
      </c>
      <c r="C782" s="79">
        <f>IF($A782="","",COUNTIFS('AFA Rates'!$A$5:$A$1004,$A782,'AFA Rates'!$O$5:$O$1004,"&lt;&gt;Expired"))</f>
        <v/>
      </c>
      <c r="D782" s="79">
        <f>IF(OR($A782="",D$23=""),"",IF(COUNTIFS('AFA Rates'!$A$5:$A$1004,$A782,'AFA Rates'!$B$5:$B$1004,D$23,'AFA Rates'!$O$5:$O$1004,"&lt;&gt;Expired")&gt;0,"✓",IF(COUNTIFS('AFA Rates'!$A$5:$A$1004,$A782,'AFA Rates'!$B$5:$B$1004,D$23)&gt;0,"Exp","")))</f>
        <v/>
      </c>
      <c r="E782" s="79">
        <f>IF(OR($A782="",E$23=""),"",IF(COUNTIFS('AFA Rates'!$A$5:$A$1004,$A782,'AFA Rates'!$B$5:$B$1004,E$23,'AFA Rates'!$O$5:$O$1004,"&lt;&gt;Expired")&gt;0,"✓",IF(COUNTIFS('AFA Rates'!$A$5:$A$1004,$A782,'AFA Rates'!$B$5:$B$1004,E$23)&gt;0,"Exp","")))</f>
        <v/>
      </c>
      <c r="F782" s="79">
        <f>IF(OR($A782="",F$23=""),"",IF(COUNTIFS('AFA Rates'!$A$5:$A$1004,$A782,'AFA Rates'!$B$5:$B$1004,F$23,'AFA Rates'!$O$5:$O$1004,"&lt;&gt;Expired")&gt;0,"✓",IF(COUNTIFS('AFA Rates'!$A$5:$A$1004,$A782,'AFA Rates'!$B$5:$B$1004,F$23)&gt;0,"Exp","")))</f>
        <v/>
      </c>
      <c r="G782" s="79">
        <f>IF(OR($A782="",G$23=""),"",IF(COUNTIFS('AFA Rates'!$A$5:$A$1004,$A782,'AFA Rates'!$B$5:$B$1004,G$23,'AFA Rates'!$O$5:$O$1004,"&lt;&gt;Expired")&gt;0,"✓",IF(COUNTIFS('AFA Rates'!$A$5:$A$1004,$A782,'AFA Rates'!$B$5:$B$1004,G$23)&gt;0,"Exp","")))</f>
        <v/>
      </c>
      <c r="H782" s="79">
        <f>IF(OR($A782="",H$23=""),"",IF(COUNTIFS('AFA Rates'!$A$5:$A$1004,$A782,'AFA Rates'!$B$5:$B$1004,H$23,'AFA Rates'!$O$5:$O$1004,"&lt;&gt;Expired")&gt;0,"✓",IF(COUNTIFS('AFA Rates'!$A$5:$A$1004,$A782,'AFA Rates'!$B$5:$B$1004,H$23)&gt;0,"Exp","")))</f>
        <v/>
      </c>
      <c r="I782" s="79">
        <f>IF(OR($A782="",I$23=""),"",IF(COUNTIFS('AFA Rates'!$A$5:$A$1004,$A782,'AFA Rates'!$B$5:$B$1004,I$23,'AFA Rates'!$O$5:$O$1004,"&lt;&gt;Expired")&gt;0,"✓",IF(COUNTIFS('AFA Rates'!$A$5:$A$1004,$A782,'AFA Rates'!$B$5:$B$1004,I$23)&gt;0,"Exp","")))</f>
        <v/>
      </c>
      <c r="J782" s="79">
        <f>IF(OR($A782="",J$23=""),"",IF(COUNTIFS('AFA Rates'!$A$5:$A$1004,$A782,'AFA Rates'!$B$5:$B$1004,J$23,'AFA Rates'!$O$5:$O$1004,"&lt;&gt;Expired")&gt;0,"✓",IF(COUNTIFS('AFA Rates'!$A$5:$A$1004,$A782,'AFA Rates'!$B$5:$B$1004,J$23)&gt;0,"Exp","")))</f>
        <v/>
      </c>
      <c r="K782" s="79">
        <f>IF(OR($A782="",K$23=""),"",IF(COUNTIFS('AFA Rates'!$A$5:$A$1004,$A782,'AFA Rates'!$B$5:$B$1004,K$23,'AFA Rates'!$O$5:$O$1004,"&lt;&gt;Expired")&gt;0,"✓",IF(COUNTIFS('AFA Rates'!$A$5:$A$1004,$A782,'AFA Rates'!$B$5:$B$1004,K$23)&gt;0,"Exp","")))</f>
        <v/>
      </c>
      <c r="L782" s="79">
        <f>IF(OR($A782="",L$23=""),"",IF(COUNTIFS('AFA Rates'!$A$5:$A$1004,$A782,'AFA Rates'!$B$5:$B$1004,L$23,'AFA Rates'!$O$5:$O$1004,"&lt;&gt;Expired")&gt;0,"✓",IF(COUNTIFS('AFA Rates'!$A$5:$A$1004,$A782,'AFA Rates'!$B$5:$B$1004,L$23)&gt;0,"Exp","")))</f>
        <v/>
      </c>
      <c r="M782" s="79">
        <f>IF(OR($A782="",M$23=""),"",IF(COUNTIFS('AFA Rates'!$A$5:$A$1004,$A782,'AFA Rates'!$B$5:$B$1004,M$23,'AFA Rates'!$O$5:$O$1004,"&lt;&gt;Expired")&gt;0,"✓",IF(COUNTIFS('AFA Rates'!$A$5:$A$1004,$A782,'AFA Rates'!$B$5:$B$1004,M$23)&gt;0,"Exp","")))</f>
        <v/>
      </c>
    </row>
    <row r="783">
      <c r="A783" s="78">
        <f>IFERROR(INDEX(Firms!$A$5:$A$1004,MATCH(760,Firms!$V$5:$V$1004,0)),"")</f>
        <v/>
      </c>
      <c r="B783" s="79">
        <f>IF($A783="","",INDEX(Firms!$B$5:$B$1004,MATCH(760,Firms!$V$5:$V$1004,0)))</f>
        <v/>
      </c>
      <c r="C783" s="79">
        <f>IF($A783="","",COUNTIFS('AFA Rates'!$A$5:$A$1004,$A783,'AFA Rates'!$O$5:$O$1004,"&lt;&gt;Expired"))</f>
        <v/>
      </c>
      <c r="D783" s="79">
        <f>IF(OR($A783="",D$23=""),"",IF(COUNTIFS('AFA Rates'!$A$5:$A$1004,$A783,'AFA Rates'!$B$5:$B$1004,D$23,'AFA Rates'!$O$5:$O$1004,"&lt;&gt;Expired")&gt;0,"✓",IF(COUNTIFS('AFA Rates'!$A$5:$A$1004,$A783,'AFA Rates'!$B$5:$B$1004,D$23)&gt;0,"Exp","")))</f>
        <v/>
      </c>
      <c r="E783" s="79">
        <f>IF(OR($A783="",E$23=""),"",IF(COUNTIFS('AFA Rates'!$A$5:$A$1004,$A783,'AFA Rates'!$B$5:$B$1004,E$23,'AFA Rates'!$O$5:$O$1004,"&lt;&gt;Expired")&gt;0,"✓",IF(COUNTIFS('AFA Rates'!$A$5:$A$1004,$A783,'AFA Rates'!$B$5:$B$1004,E$23)&gt;0,"Exp","")))</f>
        <v/>
      </c>
      <c r="F783" s="79">
        <f>IF(OR($A783="",F$23=""),"",IF(COUNTIFS('AFA Rates'!$A$5:$A$1004,$A783,'AFA Rates'!$B$5:$B$1004,F$23,'AFA Rates'!$O$5:$O$1004,"&lt;&gt;Expired")&gt;0,"✓",IF(COUNTIFS('AFA Rates'!$A$5:$A$1004,$A783,'AFA Rates'!$B$5:$B$1004,F$23)&gt;0,"Exp","")))</f>
        <v/>
      </c>
      <c r="G783" s="79">
        <f>IF(OR($A783="",G$23=""),"",IF(COUNTIFS('AFA Rates'!$A$5:$A$1004,$A783,'AFA Rates'!$B$5:$B$1004,G$23,'AFA Rates'!$O$5:$O$1004,"&lt;&gt;Expired")&gt;0,"✓",IF(COUNTIFS('AFA Rates'!$A$5:$A$1004,$A783,'AFA Rates'!$B$5:$B$1004,G$23)&gt;0,"Exp","")))</f>
        <v/>
      </c>
      <c r="H783" s="79">
        <f>IF(OR($A783="",H$23=""),"",IF(COUNTIFS('AFA Rates'!$A$5:$A$1004,$A783,'AFA Rates'!$B$5:$B$1004,H$23,'AFA Rates'!$O$5:$O$1004,"&lt;&gt;Expired")&gt;0,"✓",IF(COUNTIFS('AFA Rates'!$A$5:$A$1004,$A783,'AFA Rates'!$B$5:$B$1004,H$23)&gt;0,"Exp","")))</f>
        <v/>
      </c>
      <c r="I783" s="79">
        <f>IF(OR($A783="",I$23=""),"",IF(COUNTIFS('AFA Rates'!$A$5:$A$1004,$A783,'AFA Rates'!$B$5:$B$1004,I$23,'AFA Rates'!$O$5:$O$1004,"&lt;&gt;Expired")&gt;0,"✓",IF(COUNTIFS('AFA Rates'!$A$5:$A$1004,$A783,'AFA Rates'!$B$5:$B$1004,I$23)&gt;0,"Exp","")))</f>
        <v/>
      </c>
      <c r="J783" s="79">
        <f>IF(OR($A783="",J$23=""),"",IF(COUNTIFS('AFA Rates'!$A$5:$A$1004,$A783,'AFA Rates'!$B$5:$B$1004,J$23,'AFA Rates'!$O$5:$O$1004,"&lt;&gt;Expired")&gt;0,"✓",IF(COUNTIFS('AFA Rates'!$A$5:$A$1004,$A783,'AFA Rates'!$B$5:$B$1004,J$23)&gt;0,"Exp","")))</f>
        <v/>
      </c>
      <c r="K783" s="79">
        <f>IF(OR($A783="",K$23=""),"",IF(COUNTIFS('AFA Rates'!$A$5:$A$1004,$A783,'AFA Rates'!$B$5:$B$1004,K$23,'AFA Rates'!$O$5:$O$1004,"&lt;&gt;Expired")&gt;0,"✓",IF(COUNTIFS('AFA Rates'!$A$5:$A$1004,$A783,'AFA Rates'!$B$5:$B$1004,K$23)&gt;0,"Exp","")))</f>
        <v/>
      </c>
      <c r="L783" s="79">
        <f>IF(OR($A783="",L$23=""),"",IF(COUNTIFS('AFA Rates'!$A$5:$A$1004,$A783,'AFA Rates'!$B$5:$B$1004,L$23,'AFA Rates'!$O$5:$O$1004,"&lt;&gt;Expired")&gt;0,"✓",IF(COUNTIFS('AFA Rates'!$A$5:$A$1004,$A783,'AFA Rates'!$B$5:$B$1004,L$23)&gt;0,"Exp","")))</f>
        <v/>
      </c>
      <c r="M783" s="79">
        <f>IF(OR($A783="",M$23=""),"",IF(COUNTIFS('AFA Rates'!$A$5:$A$1004,$A783,'AFA Rates'!$B$5:$B$1004,M$23,'AFA Rates'!$O$5:$O$1004,"&lt;&gt;Expired")&gt;0,"✓",IF(COUNTIFS('AFA Rates'!$A$5:$A$1004,$A783,'AFA Rates'!$B$5:$B$1004,M$23)&gt;0,"Exp","")))</f>
        <v/>
      </c>
    </row>
    <row r="784">
      <c r="A784" s="78">
        <f>IFERROR(INDEX(Firms!$A$5:$A$1004,MATCH(761,Firms!$V$5:$V$1004,0)),"")</f>
        <v/>
      </c>
      <c r="B784" s="79">
        <f>IF($A784="","",INDEX(Firms!$B$5:$B$1004,MATCH(761,Firms!$V$5:$V$1004,0)))</f>
        <v/>
      </c>
      <c r="C784" s="79">
        <f>IF($A784="","",COUNTIFS('AFA Rates'!$A$5:$A$1004,$A784,'AFA Rates'!$O$5:$O$1004,"&lt;&gt;Expired"))</f>
        <v/>
      </c>
      <c r="D784" s="79">
        <f>IF(OR($A784="",D$23=""),"",IF(COUNTIFS('AFA Rates'!$A$5:$A$1004,$A784,'AFA Rates'!$B$5:$B$1004,D$23,'AFA Rates'!$O$5:$O$1004,"&lt;&gt;Expired")&gt;0,"✓",IF(COUNTIFS('AFA Rates'!$A$5:$A$1004,$A784,'AFA Rates'!$B$5:$B$1004,D$23)&gt;0,"Exp","")))</f>
        <v/>
      </c>
      <c r="E784" s="79">
        <f>IF(OR($A784="",E$23=""),"",IF(COUNTIFS('AFA Rates'!$A$5:$A$1004,$A784,'AFA Rates'!$B$5:$B$1004,E$23,'AFA Rates'!$O$5:$O$1004,"&lt;&gt;Expired")&gt;0,"✓",IF(COUNTIFS('AFA Rates'!$A$5:$A$1004,$A784,'AFA Rates'!$B$5:$B$1004,E$23)&gt;0,"Exp","")))</f>
        <v/>
      </c>
      <c r="F784" s="79">
        <f>IF(OR($A784="",F$23=""),"",IF(COUNTIFS('AFA Rates'!$A$5:$A$1004,$A784,'AFA Rates'!$B$5:$B$1004,F$23,'AFA Rates'!$O$5:$O$1004,"&lt;&gt;Expired")&gt;0,"✓",IF(COUNTIFS('AFA Rates'!$A$5:$A$1004,$A784,'AFA Rates'!$B$5:$B$1004,F$23)&gt;0,"Exp","")))</f>
        <v/>
      </c>
      <c r="G784" s="79">
        <f>IF(OR($A784="",G$23=""),"",IF(COUNTIFS('AFA Rates'!$A$5:$A$1004,$A784,'AFA Rates'!$B$5:$B$1004,G$23,'AFA Rates'!$O$5:$O$1004,"&lt;&gt;Expired")&gt;0,"✓",IF(COUNTIFS('AFA Rates'!$A$5:$A$1004,$A784,'AFA Rates'!$B$5:$B$1004,G$23)&gt;0,"Exp","")))</f>
        <v/>
      </c>
      <c r="H784" s="79">
        <f>IF(OR($A784="",H$23=""),"",IF(COUNTIFS('AFA Rates'!$A$5:$A$1004,$A784,'AFA Rates'!$B$5:$B$1004,H$23,'AFA Rates'!$O$5:$O$1004,"&lt;&gt;Expired")&gt;0,"✓",IF(COUNTIFS('AFA Rates'!$A$5:$A$1004,$A784,'AFA Rates'!$B$5:$B$1004,H$23)&gt;0,"Exp","")))</f>
        <v/>
      </c>
      <c r="I784" s="79">
        <f>IF(OR($A784="",I$23=""),"",IF(COUNTIFS('AFA Rates'!$A$5:$A$1004,$A784,'AFA Rates'!$B$5:$B$1004,I$23,'AFA Rates'!$O$5:$O$1004,"&lt;&gt;Expired")&gt;0,"✓",IF(COUNTIFS('AFA Rates'!$A$5:$A$1004,$A784,'AFA Rates'!$B$5:$B$1004,I$23)&gt;0,"Exp","")))</f>
        <v/>
      </c>
      <c r="J784" s="79">
        <f>IF(OR($A784="",J$23=""),"",IF(COUNTIFS('AFA Rates'!$A$5:$A$1004,$A784,'AFA Rates'!$B$5:$B$1004,J$23,'AFA Rates'!$O$5:$O$1004,"&lt;&gt;Expired")&gt;0,"✓",IF(COUNTIFS('AFA Rates'!$A$5:$A$1004,$A784,'AFA Rates'!$B$5:$B$1004,J$23)&gt;0,"Exp","")))</f>
        <v/>
      </c>
      <c r="K784" s="79">
        <f>IF(OR($A784="",K$23=""),"",IF(COUNTIFS('AFA Rates'!$A$5:$A$1004,$A784,'AFA Rates'!$B$5:$B$1004,K$23,'AFA Rates'!$O$5:$O$1004,"&lt;&gt;Expired")&gt;0,"✓",IF(COUNTIFS('AFA Rates'!$A$5:$A$1004,$A784,'AFA Rates'!$B$5:$B$1004,K$23)&gt;0,"Exp","")))</f>
        <v/>
      </c>
      <c r="L784" s="79">
        <f>IF(OR($A784="",L$23=""),"",IF(COUNTIFS('AFA Rates'!$A$5:$A$1004,$A784,'AFA Rates'!$B$5:$B$1004,L$23,'AFA Rates'!$O$5:$O$1004,"&lt;&gt;Expired")&gt;0,"✓",IF(COUNTIFS('AFA Rates'!$A$5:$A$1004,$A784,'AFA Rates'!$B$5:$B$1004,L$23)&gt;0,"Exp","")))</f>
        <v/>
      </c>
      <c r="M784" s="79">
        <f>IF(OR($A784="",M$23=""),"",IF(COUNTIFS('AFA Rates'!$A$5:$A$1004,$A784,'AFA Rates'!$B$5:$B$1004,M$23,'AFA Rates'!$O$5:$O$1004,"&lt;&gt;Expired")&gt;0,"✓",IF(COUNTIFS('AFA Rates'!$A$5:$A$1004,$A784,'AFA Rates'!$B$5:$B$1004,M$23)&gt;0,"Exp","")))</f>
        <v/>
      </c>
    </row>
    <row r="785">
      <c r="A785" s="78">
        <f>IFERROR(INDEX(Firms!$A$5:$A$1004,MATCH(762,Firms!$V$5:$V$1004,0)),"")</f>
        <v/>
      </c>
      <c r="B785" s="79">
        <f>IF($A785="","",INDEX(Firms!$B$5:$B$1004,MATCH(762,Firms!$V$5:$V$1004,0)))</f>
        <v/>
      </c>
      <c r="C785" s="79">
        <f>IF($A785="","",COUNTIFS('AFA Rates'!$A$5:$A$1004,$A785,'AFA Rates'!$O$5:$O$1004,"&lt;&gt;Expired"))</f>
        <v/>
      </c>
      <c r="D785" s="79">
        <f>IF(OR($A785="",D$23=""),"",IF(COUNTIFS('AFA Rates'!$A$5:$A$1004,$A785,'AFA Rates'!$B$5:$B$1004,D$23,'AFA Rates'!$O$5:$O$1004,"&lt;&gt;Expired")&gt;0,"✓",IF(COUNTIFS('AFA Rates'!$A$5:$A$1004,$A785,'AFA Rates'!$B$5:$B$1004,D$23)&gt;0,"Exp","")))</f>
        <v/>
      </c>
      <c r="E785" s="79">
        <f>IF(OR($A785="",E$23=""),"",IF(COUNTIFS('AFA Rates'!$A$5:$A$1004,$A785,'AFA Rates'!$B$5:$B$1004,E$23,'AFA Rates'!$O$5:$O$1004,"&lt;&gt;Expired")&gt;0,"✓",IF(COUNTIFS('AFA Rates'!$A$5:$A$1004,$A785,'AFA Rates'!$B$5:$B$1004,E$23)&gt;0,"Exp","")))</f>
        <v/>
      </c>
      <c r="F785" s="79">
        <f>IF(OR($A785="",F$23=""),"",IF(COUNTIFS('AFA Rates'!$A$5:$A$1004,$A785,'AFA Rates'!$B$5:$B$1004,F$23,'AFA Rates'!$O$5:$O$1004,"&lt;&gt;Expired")&gt;0,"✓",IF(COUNTIFS('AFA Rates'!$A$5:$A$1004,$A785,'AFA Rates'!$B$5:$B$1004,F$23)&gt;0,"Exp","")))</f>
        <v/>
      </c>
      <c r="G785" s="79">
        <f>IF(OR($A785="",G$23=""),"",IF(COUNTIFS('AFA Rates'!$A$5:$A$1004,$A785,'AFA Rates'!$B$5:$B$1004,G$23,'AFA Rates'!$O$5:$O$1004,"&lt;&gt;Expired")&gt;0,"✓",IF(COUNTIFS('AFA Rates'!$A$5:$A$1004,$A785,'AFA Rates'!$B$5:$B$1004,G$23)&gt;0,"Exp","")))</f>
        <v/>
      </c>
      <c r="H785" s="79">
        <f>IF(OR($A785="",H$23=""),"",IF(COUNTIFS('AFA Rates'!$A$5:$A$1004,$A785,'AFA Rates'!$B$5:$B$1004,H$23,'AFA Rates'!$O$5:$O$1004,"&lt;&gt;Expired")&gt;0,"✓",IF(COUNTIFS('AFA Rates'!$A$5:$A$1004,$A785,'AFA Rates'!$B$5:$B$1004,H$23)&gt;0,"Exp","")))</f>
        <v/>
      </c>
      <c r="I785" s="79">
        <f>IF(OR($A785="",I$23=""),"",IF(COUNTIFS('AFA Rates'!$A$5:$A$1004,$A785,'AFA Rates'!$B$5:$B$1004,I$23,'AFA Rates'!$O$5:$O$1004,"&lt;&gt;Expired")&gt;0,"✓",IF(COUNTIFS('AFA Rates'!$A$5:$A$1004,$A785,'AFA Rates'!$B$5:$B$1004,I$23)&gt;0,"Exp","")))</f>
        <v/>
      </c>
      <c r="J785" s="79">
        <f>IF(OR($A785="",J$23=""),"",IF(COUNTIFS('AFA Rates'!$A$5:$A$1004,$A785,'AFA Rates'!$B$5:$B$1004,J$23,'AFA Rates'!$O$5:$O$1004,"&lt;&gt;Expired")&gt;0,"✓",IF(COUNTIFS('AFA Rates'!$A$5:$A$1004,$A785,'AFA Rates'!$B$5:$B$1004,J$23)&gt;0,"Exp","")))</f>
        <v/>
      </c>
      <c r="K785" s="79">
        <f>IF(OR($A785="",K$23=""),"",IF(COUNTIFS('AFA Rates'!$A$5:$A$1004,$A785,'AFA Rates'!$B$5:$B$1004,K$23,'AFA Rates'!$O$5:$O$1004,"&lt;&gt;Expired")&gt;0,"✓",IF(COUNTIFS('AFA Rates'!$A$5:$A$1004,$A785,'AFA Rates'!$B$5:$B$1004,K$23)&gt;0,"Exp","")))</f>
        <v/>
      </c>
      <c r="L785" s="79">
        <f>IF(OR($A785="",L$23=""),"",IF(COUNTIFS('AFA Rates'!$A$5:$A$1004,$A785,'AFA Rates'!$B$5:$B$1004,L$23,'AFA Rates'!$O$5:$O$1004,"&lt;&gt;Expired")&gt;0,"✓",IF(COUNTIFS('AFA Rates'!$A$5:$A$1004,$A785,'AFA Rates'!$B$5:$B$1004,L$23)&gt;0,"Exp","")))</f>
        <v/>
      </c>
      <c r="M785" s="79">
        <f>IF(OR($A785="",M$23=""),"",IF(COUNTIFS('AFA Rates'!$A$5:$A$1004,$A785,'AFA Rates'!$B$5:$B$1004,M$23,'AFA Rates'!$O$5:$O$1004,"&lt;&gt;Expired")&gt;0,"✓",IF(COUNTIFS('AFA Rates'!$A$5:$A$1004,$A785,'AFA Rates'!$B$5:$B$1004,M$23)&gt;0,"Exp","")))</f>
        <v/>
      </c>
    </row>
    <row r="786">
      <c r="A786" s="78">
        <f>IFERROR(INDEX(Firms!$A$5:$A$1004,MATCH(763,Firms!$V$5:$V$1004,0)),"")</f>
        <v/>
      </c>
      <c r="B786" s="79">
        <f>IF($A786="","",INDEX(Firms!$B$5:$B$1004,MATCH(763,Firms!$V$5:$V$1004,0)))</f>
        <v/>
      </c>
      <c r="C786" s="79">
        <f>IF($A786="","",COUNTIFS('AFA Rates'!$A$5:$A$1004,$A786,'AFA Rates'!$O$5:$O$1004,"&lt;&gt;Expired"))</f>
        <v/>
      </c>
      <c r="D786" s="79">
        <f>IF(OR($A786="",D$23=""),"",IF(COUNTIFS('AFA Rates'!$A$5:$A$1004,$A786,'AFA Rates'!$B$5:$B$1004,D$23,'AFA Rates'!$O$5:$O$1004,"&lt;&gt;Expired")&gt;0,"✓",IF(COUNTIFS('AFA Rates'!$A$5:$A$1004,$A786,'AFA Rates'!$B$5:$B$1004,D$23)&gt;0,"Exp","")))</f>
        <v/>
      </c>
      <c r="E786" s="79">
        <f>IF(OR($A786="",E$23=""),"",IF(COUNTIFS('AFA Rates'!$A$5:$A$1004,$A786,'AFA Rates'!$B$5:$B$1004,E$23,'AFA Rates'!$O$5:$O$1004,"&lt;&gt;Expired")&gt;0,"✓",IF(COUNTIFS('AFA Rates'!$A$5:$A$1004,$A786,'AFA Rates'!$B$5:$B$1004,E$23)&gt;0,"Exp","")))</f>
        <v/>
      </c>
      <c r="F786" s="79">
        <f>IF(OR($A786="",F$23=""),"",IF(COUNTIFS('AFA Rates'!$A$5:$A$1004,$A786,'AFA Rates'!$B$5:$B$1004,F$23,'AFA Rates'!$O$5:$O$1004,"&lt;&gt;Expired")&gt;0,"✓",IF(COUNTIFS('AFA Rates'!$A$5:$A$1004,$A786,'AFA Rates'!$B$5:$B$1004,F$23)&gt;0,"Exp","")))</f>
        <v/>
      </c>
      <c r="G786" s="79">
        <f>IF(OR($A786="",G$23=""),"",IF(COUNTIFS('AFA Rates'!$A$5:$A$1004,$A786,'AFA Rates'!$B$5:$B$1004,G$23,'AFA Rates'!$O$5:$O$1004,"&lt;&gt;Expired")&gt;0,"✓",IF(COUNTIFS('AFA Rates'!$A$5:$A$1004,$A786,'AFA Rates'!$B$5:$B$1004,G$23)&gt;0,"Exp","")))</f>
        <v/>
      </c>
      <c r="H786" s="79">
        <f>IF(OR($A786="",H$23=""),"",IF(COUNTIFS('AFA Rates'!$A$5:$A$1004,$A786,'AFA Rates'!$B$5:$B$1004,H$23,'AFA Rates'!$O$5:$O$1004,"&lt;&gt;Expired")&gt;0,"✓",IF(COUNTIFS('AFA Rates'!$A$5:$A$1004,$A786,'AFA Rates'!$B$5:$B$1004,H$23)&gt;0,"Exp","")))</f>
        <v/>
      </c>
      <c r="I786" s="79">
        <f>IF(OR($A786="",I$23=""),"",IF(COUNTIFS('AFA Rates'!$A$5:$A$1004,$A786,'AFA Rates'!$B$5:$B$1004,I$23,'AFA Rates'!$O$5:$O$1004,"&lt;&gt;Expired")&gt;0,"✓",IF(COUNTIFS('AFA Rates'!$A$5:$A$1004,$A786,'AFA Rates'!$B$5:$B$1004,I$23)&gt;0,"Exp","")))</f>
        <v/>
      </c>
      <c r="J786" s="79">
        <f>IF(OR($A786="",J$23=""),"",IF(COUNTIFS('AFA Rates'!$A$5:$A$1004,$A786,'AFA Rates'!$B$5:$B$1004,J$23,'AFA Rates'!$O$5:$O$1004,"&lt;&gt;Expired")&gt;0,"✓",IF(COUNTIFS('AFA Rates'!$A$5:$A$1004,$A786,'AFA Rates'!$B$5:$B$1004,J$23)&gt;0,"Exp","")))</f>
        <v/>
      </c>
      <c r="K786" s="79">
        <f>IF(OR($A786="",K$23=""),"",IF(COUNTIFS('AFA Rates'!$A$5:$A$1004,$A786,'AFA Rates'!$B$5:$B$1004,K$23,'AFA Rates'!$O$5:$O$1004,"&lt;&gt;Expired")&gt;0,"✓",IF(COUNTIFS('AFA Rates'!$A$5:$A$1004,$A786,'AFA Rates'!$B$5:$B$1004,K$23)&gt;0,"Exp","")))</f>
        <v/>
      </c>
      <c r="L786" s="79">
        <f>IF(OR($A786="",L$23=""),"",IF(COUNTIFS('AFA Rates'!$A$5:$A$1004,$A786,'AFA Rates'!$B$5:$B$1004,L$23,'AFA Rates'!$O$5:$O$1004,"&lt;&gt;Expired")&gt;0,"✓",IF(COUNTIFS('AFA Rates'!$A$5:$A$1004,$A786,'AFA Rates'!$B$5:$B$1004,L$23)&gt;0,"Exp","")))</f>
        <v/>
      </c>
      <c r="M786" s="79">
        <f>IF(OR($A786="",M$23=""),"",IF(COUNTIFS('AFA Rates'!$A$5:$A$1004,$A786,'AFA Rates'!$B$5:$B$1004,M$23,'AFA Rates'!$O$5:$O$1004,"&lt;&gt;Expired")&gt;0,"✓",IF(COUNTIFS('AFA Rates'!$A$5:$A$1004,$A786,'AFA Rates'!$B$5:$B$1004,M$23)&gt;0,"Exp","")))</f>
        <v/>
      </c>
    </row>
    <row r="787">
      <c r="A787" s="78">
        <f>IFERROR(INDEX(Firms!$A$5:$A$1004,MATCH(764,Firms!$V$5:$V$1004,0)),"")</f>
        <v/>
      </c>
      <c r="B787" s="79">
        <f>IF($A787="","",INDEX(Firms!$B$5:$B$1004,MATCH(764,Firms!$V$5:$V$1004,0)))</f>
        <v/>
      </c>
      <c r="C787" s="79">
        <f>IF($A787="","",COUNTIFS('AFA Rates'!$A$5:$A$1004,$A787,'AFA Rates'!$O$5:$O$1004,"&lt;&gt;Expired"))</f>
        <v/>
      </c>
      <c r="D787" s="79">
        <f>IF(OR($A787="",D$23=""),"",IF(COUNTIFS('AFA Rates'!$A$5:$A$1004,$A787,'AFA Rates'!$B$5:$B$1004,D$23,'AFA Rates'!$O$5:$O$1004,"&lt;&gt;Expired")&gt;0,"✓",IF(COUNTIFS('AFA Rates'!$A$5:$A$1004,$A787,'AFA Rates'!$B$5:$B$1004,D$23)&gt;0,"Exp","")))</f>
        <v/>
      </c>
      <c r="E787" s="79">
        <f>IF(OR($A787="",E$23=""),"",IF(COUNTIFS('AFA Rates'!$A$5:$A$1004,$A787,'AFA Rates'!$B$5:$B$1004,E$23,'AFA Rates'!$O$5:$O$1004,"&lt;&gt;Expired")&gt;0,"✓",IF(COUNTIFS('AFA Rates'!$A$5:$A$1004,$A787,'AFA Rates'!$B$5:$B$1004,E$23)&gt;0,"Exp","")))</f>
        <v/>
      </c>
      <c r="F787" s="79">
        <f>IF(OR($A787="",F$23=""),"",IF(COUNTIFS('AFA Rates'!$A$5:$A$1004,$A787,'AFA Rates'!$B$5:$B$1004,F$23,'AFA Rates'!$O$5:$O$1004,"&lt;&gt;Expired")&gt;0,"✓",IF(COUNTIFS('AFA Rates'!$A$5:$A$1004,$A787,'AFA Rates'!$B$5:$B$1004,F$23)&gt;0,"Exp","")))</f>
        <v/>
      </c>
      <c r="G787" s="79">
        <f>IF(OR($A787="",G$23=""),"",IF(COUNTIFS('AFA Rates'!$A$5:$A$1004,$A787,'AFA Rates'!$B$5:$B$1004,G$23,'AFA Rates'!$O$5:$O$1004,"&lt;&gt;Expired")&gt;0,"✓",IF(COUNTIFS('AFA Rates'!$A$5:$A$1004,$A787,'AFA Rates'!$B$5:$B$1004,G$23)&gt;0,"Exp","")))</f>
        <v/>
      </c>
      <c r="H787" s="79">
        <f>IF(OR($A787="",H$23=""),"",IF(COUNTIFS('AFA Rates'!$A$5:$A$1004,$A787,'AFA Rates'!$B$5:$B$1004,H$23,'AFA Rates'!$O$5:$O$1004,"&lt;&gt;Expired")&gt;0,"✓",IF(COUNTIFS('AFA Rates'!$A$5:$A$1004,$A787,'AFA Rates'!$B$5:$B$1004,H$23)&gt;0,"Exp","")))</f>
        <v/>
      </c>
      <c r="I787" s="79">
        <f>IF(OR($A787="",I$23=""),"",IF(COUNTIFS('AFA Rates'!$A$5:$A$1004,$A787,'AFA Rates'!$B$5:$B$1004,I$23,'AFA Rates'!$O$5:$O$1004,"&lt;&gt;Expired")&gt;0,"✓",IF(COUNTIFS('AFA Rates'!$A$5:$A$1004,$A787,'AFA Rates'!$B$5:$B$1004,I$23)&gt;0,"Exp","")))</f>
        <v/>
      </c>
      <c r="J787" s="79">
        <f>IF(OR($A787="",J$23=""),"",IF(COUNTIFS('AFA Rates'!$A$5:$A$1004,$A787,'AFA Rates'!$B$5:$B$1004,J$23,'AFA Rates'!$O$5:$O$1004,"&lt;&gt;Expired")&gt;0,"✓",IF(COUNTIFS('AFA Rates'!$A$5:$A$1004,$A787,'AFA Rates'!$B$5:$B$1004,J$23)&gt;0,"Exp","")))</f>
        <v/>
      </c>
      <c r="K787" s="79">
        <f>IF(OR($A787="",K$23=""),"",IF(COUNTIFS('AFA Rates'!$A$5:$A$1004,$A787,'AFA Rates'!$B$5:$B$1004,K$23,'AFA Rates'!$O$5:$O$1004,"&lt;&gt;Expired")&gt;0,"✓",IF(COUNTIFS('AFA Rates'!$A$5:$A$1004,$A787,'AFA Rates'!$B$5:$B$1004,K$23)&gt;0,"Exp","")))</f>
        <v/>
      </c>
      <c r="L787" s="79">
        <f>IF(OR($A787="",L$23=""),"",IF(COUNTIFS('AFA Rates'!$A$5:$A$1004,$A787,'AFA Rates'!$B$5:$B$1004,L$23,'AFA Rates'!$O$5:$O$1004,"&lt;&gt;Expired")&gt;0,"✓",IF(COUNTIFS('AFA Rates'!$A$5:$A$1004,$A787,'AFA Rates'!$B$5:$B$1004,L$23)&gt;0,"Exp","")))</f>
        <v/>
      </c>
      <c r="M787" s="79">
        <f>IF(OR($A787="",M$23=""),"",IF(COUNTIFS('AFA Rates'!$A$5:$A$1004,$A787,'AFA Rates'!$B$5:$B$1004,M$23,'AFA Rates'!$O$5:$O$1004,"&lt;&gt;Expired")&gt;0,"✓",IF(COUNTIFS('AFA Rates'!$A$5:$A$1004,$A787,'AFA Rates'!$B$5:$B$1004,M$23)&gt;0,"Exp","")))</f>
        <v/>
      </c>
    </row>
    <row r="788">
      <c r="A788" s="78">
        <f>IFERROR(INDEX(Firms!$A$5:$A$1004,MATCH(765,Firms!$V$5:$V$1004,0)),"")</f>
        <v/>
      </c>
      <c r="B788" s="79">
        <f>IF($A788="","",INDEX(Firms!$B$5:$B$1004,MATCH(765,Firms!$V$5:$V$1004,0)))</f>
        <v/>
      </c>
      <c r="C788" s="79">
        <f>IF($A788="","",COUNTIFS('AFA Rates'!$A$5:$A$1004,$A788,'AFA Rates'!$O$5:$O$1004,"&lt;&gt;Expired"))</f>
        <v/>
      </c>
      <c r="D788" s="79">
        <f>IF(OR($A788="",D$23=""),"",IF(COUNTIFS('AFA Rates'!$A$5:$A$1004,$A788,'AFA Rates'!$B$5:$B$1004,D$23,'AFA Rates'!$O$5:$O$1004,"&lt;&gt;Expired")&gt;0,"✓",IF(COUNTIFS('AFA Rates'!$A$5:$A$1004,$A788,'AFA Rates'!$B$5:$B$1004,D$23)&gt;0,"Exp","")))</f>
        <v/>
      </c>
      <c r="E788" s="79">
        <f>IF(OR($A788="",E$23=""),"",IF(COUNTIFS('AFA Rates'!$A$5:$A$1004,$A788,'AFA Rates'!$B$5:$B$1004,E$23,'AFA Rates'!$O$5:$O$1004,"&lt;&gt;Expired")&gt;0,"✓",IF(COUNTIFS('AFA Rates'!$A$5:$A$1004,$A788,'AFA Rates'!$B$5:$B$1004,E$23)&gt;0,"Exp","")))</f>
        <v/>
      </c>
      <c r="F788" s="79">
        <f>IF(OR($A788="",F$23=""),"",IF(COUNTIFS('AFA Rates'!$A$5:$A$1004,$A788,'AFA Rates'!$B$5:$B$1004,F$23,'AFA Rates'!$O$5:$O$1004,"&lt;&gt;Expired")&gt;0,"✓",IF(COUNTIFS('AFA Rates'!$A$5:$A$1004,$A788,'AFA Rates'!$B$5:$B$1004,F$23)&gt;0,"Exp","")))</f>
        <v/>
      </c>
      <c r="G788" s="79">
        <f>IF(OR($A788="",G$23=""),"",IF(COUNTIFS('AFA Rates'!$A$5:$A$1004,$A788,'AFA Rates'!$B$5:$B$1004,G$23,'AFA Rates'!$O$5:$O$1004,"&lt;&gt;Expired")&gt;0,"✓",IF(COUNTIFS('AFA Rates'!$A$5:$A$1004,$A788,'AFA Rates'!$B$5:$B$1004,G$23)&gt;0,"Exp","")))</f>
        <v/>
      </c>
      <c r="H788" s="79">
        <f>IF(OR($A788="",H$23=""),"",IF(COUNTIFS('AFA Rates'!$A$5:$A$1004,$A788,'AFA Rates'!$B$5:$B$1004,H$23,'AFA Rates'!$O$5:$O$1004,"&lt;&gt;Expired")&gt;0,"✓",IF(COUNTIFS('AFA Rates'!$A$5:$A$1004,$A788,'AFA Rates'!$B$5:$B$1004,H$23)&gt;0,"Exp","")))</f>
        <v/>
      </c>
      <c r="I788" s="79">
        <f>IF(OR($A788="",I$23=""),"",IF(COUNTIFS('AFA Rates'!$A$5:$A$1004,$A788,'AFA Rates'!$B$5:$B$1004,I$23,'AFA Rates'!$O$5:$O$1004,"&lt;&gt;Expired")&gt;0,"✓",IF(COUNTIFS('AFA Rates'!$A$5:$A$1004,$A788,'AFA Rates'!$B$5:$B$1004,I$23)&gt;0,"Exp","")))</f>
        <v/>
      </c>
      <c r="J788" s="79">
        <f>IF(OR($A788="",J$23=""),"",IF(COUNTIFS('AFA Rates'!$A$5:$A$1004,$A788,'AFA Rates'!$B$5:$B$1004,J$23,'AFA Rates'!$O$5:$O$1004,"&lt;&gt;Expired")&gt;0,"✓",IF(COUNTIFS('AFA Rates'!$A$5:$A$1004,$A788,'AFA Rates'!$B$5:$B$1004,J$23)&gt;0,"Exp","")))</f>
        <v/>
      </c>
      <c r="K788" s="79">
        <f>IF(OR($A788="",K$23=""),"",IF(COUNTIFS('AFA Rates'!$A$5:$A$1004,$A788,'AFA Rates'!$B$5:$B$1004,K$23,'AFA Rates'!$O$5:$O$1004,"&lt;&gt;Expired")&gt;0,"✓",IF(COUNTIFS('AFA Rates'!$A$5:$A$1004,$A788,'AFA Rates'!$B$5:$B$1004,K$23)&gt;0,"Exp","")))</f>
        <v/>
      </c>
      <c r="L788" s="79">
        <f>IF(OR($A788="",L$23=""),"",IF(COUNTIFS('AFA Rates'!$A$5:$A$1004,$A788,'AFA Rates'!$B$5:$B$1004,L$23,'AFA Rates'!$O$5:$O$1004,"&lt;&gt;Expired")&gt;0,"✓",IF(COUNTIFS('AFA Rates'!$A$5:$A$1004,$A788,'AFA Rates'!$B$5:$B$1004,L$23)&gt;0,"Exp","")))</f>
        <v/>
      </c>
      <c r="M788" s="79">
        <f>IF(OR($A788="",M$23=""),"",IF(COUNTIFS('AFA Rates'!$A$5:$A$1004,$A788,'AFA Rates'!$B$5:$B$1004,M$23,'AFA Rates'!$O$5:$O$1004,"&lt;&gt;Expired")&gt;0,"✓",IF(COUNTIFS('AFA Rates'!$A$5:$A$1004,$A788,'AFA Rates'!$B$5:$B$1004,M$23)&gt;0,"Exp","")))</f>
        <v/>
      </c>
    </row>
    <row r="789">
      <c r="A789" s="78">
        <f>IFERROR(INDEX(Firms!$A$5:$A$1004,MATCH(766,Firms!$V$5:$V$1004,0)),"")</f>
        <v/>
      </c>
      <c r="B789" s="79">
        <f>IF($A789="","",INDEX(Firms!$B$5:$B$1004,MATCH(766,Firms!$V$5:$V$1004,0)))</f>
        <v/>
      </c>
      <c r="C789" s="79">
        <f>IF($A789="","",COUNTIFS('AFA Rates'!$A$5:$A$1004,$A789,'AFA Rates'!$O$5:$O$1004,"&lt;&gt;Expired"))</f>
        <v/>
      </c>
      <c r="D789" s="79">
        <f>IF(OR($A789="",D$23=""),"",IF(COUNTIFS('AFA Rates'!$A$5:$A$1004,$A789,'AFA Rates'!$B$5:$B$1004,D$23,'AFA Rates'!$O$5:$O$1004,"&lt;&gt;Expired")&gt;0,"✓",IF(COUNTIFS('AFA Rates'!$A$5:$A$1004,$A789,'AFA Rates'!$B$5:$B$1004,D$23)&gt;0,"Exp","")))</f>
        <v/>
      </c>
      <c r="E789" s="79">
        <f>IF(OR($A789="",E$23=""),"",IF(COUNTIFS('AFA Rates'!$A$5:$A$1004,$A789,'AFA Rates'!$B$5:$B$1004,E$23,'AFA Rates'!$O$5:$O$1004,"&lt;&gt;Expired")&gt;0,"✓",IF(COUNTIFS('AFA Rates'!$A$5:$A$1004,$A789,'AFA Rates'!$B$5:$B$1004,E$23)&gt;0,"Exp","")))</f>
        <v/>
      </c>
      <c r="F789" s="79">
        <f>IF(OR($A789="",F$23=""),"",IF(COUNTIFS('AFA Rates'!$A$5:$A$1004,$A789,'AFA Rates'!$B$5:$B$1004,F$23,'AFA Rates'!$O$5:$O$1004,"&lt;&gt;Expired")&gt;0,"✓",IF(COUNTIFS('AFA Rates'!$A$5:$A$1004,$A789,'AFA Rates'!$B$5:$B$1004,F$23)&gt;0,"Exp","")))</f>
        <v/>
      </c>
      <c r="G789" s="79">
        <f>IF(OR($A789="",G$23=""),"",IF(COUNTIFS('AFA Rates'!$A$5:$A$1004,$A789,'AFA Rates'!$B$5:$B$1004,G$23,'AFA Rates'!$O$5:$O$1004,"&lt;&gt;Expired")&gt;0,"✓",IF(COUNTIFS('AFA Rates'!$A$5:$A$1004,$A789,'AFA Rates'!$B$5:$B$1004,G$23)&gt;0,"Exp","")))</f>
        <v/>
      </c>
      <c r="H789" s="79">
        <f>IF(OR($A789="",H$23=""),"",IF(COUNTIFS('AFA Rates'!$A$5:$A$1004,$A789,'AFA Rates'!$B$5:$B$1004,H$23,'AFA Rates'!$O$5:$O$1004,"&lt;&gt;Expired")&gt;0,"✓",IF(COUNTIFS('AFA Rates'!$A$5:$A$1004,$A789,'AFA Rates'!$B$5:$B$1004,H$23)&gt;0,"Exp","")))</f>
        <v/>
      </c>
      <c r="I789" s="79">
        <f>IF(OR($A789="",I$23=""),"",IF(COUNTIFS('AFA Rates'!$A$5:$A$1004,$A789,'AFA Rates'!$B$5:$B$1004,I$23,'AFA Rates'!$O$5:$O$1004,"&lt;&gt;Expired")&gt;0,"✓",IF(COUNTIFS('AFA Rates'!$A$5:$A$1004,$A789,'AFA Rates'!$B$5:$B$1004,I$23)&gt;0,"Exp","")))</f>
        <v/>
      </c>
      <c r="J789" s="79">
        <f>IF(OR($A789="",J$23=""),"",IF(COUNTIFS('AFA Rates'!$A$5:$A$1004,$A789,'AFA Rates'!$B$5:$B$1004,J$23,'AFA Rates'!$O$5:$O$1004,"&lt;&gt;Expired")&gt;0,"✓",IF(COUNTIFS('AFA Rates'!$A$5:$A$1004,$A789,'AFA Rates'!$B$5:$B$1004,J$23)&gt;0,"Exp","")))</f>
        <v/>
      </c>
      <c r="K789" s="79">
        <f>IF(OR($A789="",K$23=""),"",IF(COUNTIFS('AFA Rates'!$A$5:$A$1004,$A789,'AFA Rates'!$B$5:$B$1004,K$23,'AFA Rates'!$O$5:$O$1004,"&lt;&gt;Expired")&gt;0,"✓",IF(COUNTIFS('AFA Rates'!$A$5:$A$1004,$A789,'AFA Rates'!$B$5:$B$1004,K$23)&gt;0,"Exp","")))</f>
        <v/>
      </c>
      <c r="L789" s="79">
        <f>IF(OR($A789="",L$23=""),"",IF(COUNTIFS('AFA Rates'!$A$5:$A$1004,$A789,'AFA Rates'!$B$5:$B$1004,L$23,'AFA Rates'!$O$5:$O$1004,"&lt;&gt;Expired")&gt;0,"✓",IF(COUNTIFS('AFA Rates'!$A$5:$A$1004,$A789,'AFA Rates'!$B$5:$B$1004,L$23)&gt;0,"Exp","")))</f>
        <v/>
      </c>
      <c r="M789" s="79">
        <f>IF(OR($A789="",M$23=""),"",IF(COUNTIFS('AFA Rates'!$A$5:$A$1004,$A789,'AFA Rates'!$B$5:$B$1004,M$23,'AFA Rates'!$O$5:$O$1004,"&lt;&gt;Expired")&gt;0,"✓",IF(COUNTIFS('AFA Rates'!$A$5:$A$1004,$A789,'AFA Rates'!$B$5:$B$1004,M$23)&gt;0,"Exp","")))</f>
        <v/>
      </c>
    </row>
    <row r="790">
      <c r="A790" s="78">
        <f>IFERROR(INDEX(Firms!$A$5:$A$1004,MATCH(767,Firms!$V$5:$V$1004,0)),"")</f>
        <v/>
      </c>
      <c r="B790" s="79">
        <f>IF($A790="","",INDEX(Firms!$B$5:$B$1004,MATCH(767,Firms!$V$5:$V$1004,0)))</f>
        <v/>
      </c>
      <c r="C790" s="79">
        <f>IF($A790="","",COUNTIFS('AFA Rates'!$A$5:$A$1004,$A790,'AFA Rates'!$O$5:$O$1004,"&lt;&gt;Expired"))</f>
        <v/>
      </c>
      <c r="D790" s="79">
        <f>IF(OR($A790="",D$23=""),"",IF(COUNTIFS('AFA Rates'!$A$5:$A$1004,$A790,'AFA Rates'!$B$5:$B$1004,D$23,'AFA Rates'!$O$5:$O$1004,"&lt;&gt;Expired")&gt;0,"✓",IF(COUNTIFS('AFA Rates'!$A$5:$A$1004,$A790,'AFA Rates'!$B$5:$B$1004,D$23)&gt;0,"Exp","")))</f>
        <v/>
      </c>
      <c r="E790" s="79">
        <f>IF(OR($A790="",E$23=""),"",IF(COUNTIFS('AFA Rates'!$A$5:$A$1004,$A790,'AFA Rates'!$B$5:$B$1004,E$23,'AFA Rates'!$O$5:$O$1004,"&lt;&gt;Expired")&gt;0,"✓",IF(COUNTIFS('AFA Rates'!$A$5:$A$1004,$A790,'AFA Rates'!$B$5:$B$1004,E$23)&gt;0,"Exp","")))</f>
        <v/>
      </c>
      <c r="F790" s="79">
        <f>IF(OR($A790="",F$23=""),"",IF(COUNTIFS('AFA Rates'!$A$5:$A$1004,$A790,'AFA Rates'!$B$5:$B$1004,F$23,'AFA Rates'!$O$5:$O$1004,"&lt;&gt;Expired")&gt;0,"✓",IF(COUNTIFS('AFA Rates'!$A$5:$A$1004,$A790,'AFA Rates'!$B$5:$B$1004,F$23)&gt;0,"Exp","")))</f>
        <v/>
      </c>
      <c r="G790" s="79">
        <f>IF(OR($A790="",G$23=""),"",IF(COUNTIFS('AFA Rates'!$A$5:$A$1004,$A790,'AFA Rates'!$B$5:$B$1004,G$23,'AFA Rates'!$O$5:$O$1004,"&lt;&gt;Expired")&gt;0,"✓",IF(COUNTIFS('AFA Rates'!$A$5:$A$1004,$A790,'AFA Rates'!$B$5:$B$1004,G$23)&gt;0,"Exp","")))</f>
        <v/>
      </c>
      <c r="H790" s="79">
        <f>IF(OR($A790="",H$23=""),"",IF(COUNTIFS('AFA Rates'!$A$5:$A$1004,$A790,'AFA Rates'!$B$5:$B$1004,H$23,'AFA Rates'!$O$5:$O$1004,"&lt;&gt;Expired")&gt;0,"✓",IF(COUNTIFS('AFA Rates'!$A$5:$A$1004,$A790,'AFA Rates'!$B$5:$B$1004,H$23)&gt;0,"Exp","")))</f>
        <v/>
      </c>
      <c r="I790" s="79">
        <f>IF(OR($A790="",I$23=""),"",IF(COUNTIFS('AFA Rates'!$A$5:$A$1004,$A790,'AFA Rates'!$B$5:$B$1004,I$23,'AFA Rates'!$O$5:$O$1004,"&lt;&gt;Expired")&gt;0,"✓",IF(COUNTIFS('AFA Rates'!$A$5:$A$1004,$A790,'AFA Rates'!$B$5:$B$1004,I$23)&gt;0,"Exp","")))</f>
        <v/>
      </c>
      <c r="J790" s="79">
        <f>IF(OR($A790="",J$23=""),"",IF(COUNTIFS('AFA Rates'!$A$5:$A$1004,$A790,'AFA Rates'!$B$5:$B$1004,J$23,'AFA Rates'!$O$5:$O$1004,"&lt;&gt;Expired")&gt;0,"✓",IF(COUNTIFS('AFA Rates'!$A$5:$A$1004,$A790,'AFA Rates'!$B$5:$B$1004,J$23)&gt;0,"Exp","")))</f>
        <v/>
      </c>
      <c r="K790" s="79">
        <f>IF(OR($A790="",K$23=""),"",IF(COUNTIFS('AFA Rates'!$A$5:$A$1004,$A790,'AFA Rates'!$B$5:$B$1004,K$23,'AFA Rates'!$O$5:$O$1004,"&lt;&gt;Expired")&gt;0,"✓",IF(COUNTIFS('AFA Rates'!$A$5:$A$1004,$A790,'AFA Rates'!$B$5:$B$1004,K$23)&gt;0,"Exp","")))</f>
        <v/>
      </c>
      <c r="L790" s="79">
        <f>IF(OR($A790="",L$23=""),"",IF(COUNTIFS('AFA Rates'!$A$5:$A$1004,$A790,'AFA Rates'!$B$5:$B$1004,L$23,'AFA Rates'!$O$5:$O$1004,"&lt;&gt;Expired")&gt;0,"✓",IF(COUNTIFS('AFA Rates'!$A$5:$A$1004,$A790,'AFA Rates'!$B$5:$B$1004,L$23)&gt;0,"Exp","")))</f>
        <v/>
      </c>
      <c r="M790" s="79">
        <f>IF(OR($A790="",M$23=""),"",IF(COUNTIFS('AFA Rates'!$A$5:$A$1004,$A790,'AFA Rates'!$B$5:$B$1004,M$23,'AFA Rates'!$O$5:$O$1004,"&lt;&gt;Expired")&gt;0,"✓",IF(COUNTIFS('AFA Rates'!$A$5:$A$1004,$A790,'AFA Rates'!$B$5:$B$1004,M$23)&gt;0,"Exp","")))</f>
        <v/>
      </c>
    </row>
    <row r="791">
      <c r="A791" s="78">
        <f>IFERROR(INDEX(Firms!$A$5:$A$1004,MATCH(768,Firms!$V$5:$V$1004,0)),"")</f>
        <v/>
      </c>
      <c r="B791" s="79">
        <f>IF($A791="","",INDEX(Firms!$B$5:$B$1004,MATCH(768,Firms!$V$5:$V$1004,0)))</f>
        <v/>
      </c>
      <c r="C791" s="79">
        <f>IF($A791="","",COUNTIFS('AFA Rates'!$A$5:$A$1004,$A791,'AFA Rates'!$O$5:$O$1004,"&lt;&gt;Expired"))</f>
        <v/>
      </c>
      <c r="D791" s="79">
        <f>IF(OR($A791="",D$23=""),"",IF(COUNTIFS('AFA Rates'!$A$5:$A$1004,$A791,'AFA Rates'!$B$5:$B$1004,D$23,'AFA Rates'!$O$5:$O$1004,"&lt;&gt;Expired")&gt;0,"✓",IF(COUNTIFS('AFA Rates'!$A$5:$A$1004,$A791,'AFA Rates'!$B$5:$B$1004,D$23)&gt;0,"Exp","")))</f>
        <v/>
      </c>
      <c r="E791" s="79">
        <f>IF(OR($A791="",E$23=""),"",IF(COUNTIFS('AFA Rates'!$A$5:$A$1004,$A791,'AFA Rates'!$B$5:$B$1004,E$23,'AFA Rates'!$O$5:$O$1004,"&lt;&gt;Expired")&gt;0,"✓",IF(COUNTIFS('AFA Rates'!$A$5:$A$1004,$A791,'AFA Rates'!$B$5:$B$1004,E$23)&gt;0,"Exp","")))</f>
        <v/>
      </c>
      <c r="F791" s="79">
        <f>IF(OR($A791="",F$23=""),"",IF(COUNTIFS('AFA Rates'!$A$5:$A$1004,$A791,'AFA Rates'!$B$5:$B$1004,F$23,'AFA Rates'!$O$5:$O$1004,"&lt;&gt;Expired")&gt;0,"✓",IF(COUNTIFS('AFA Rates'!$A$5:$A$1004,$A791,'AFA Rates'!$B$5:$B$1004,F$23)&gt;0,"Exp","")))</f>
        <v/>
      </c>
      <c r="G791" s="79">
        <f>IF(OR($A791="",G$23=""),"",IF(COUNTIFS('AFA Rates'!$A$5:$A$1004,$A791,'AFA Rates'!$B$5:$B$1004,G$23,'AFA Rates'!$O$5:$O$1004,"&lt;&gt;Expired")&gt;0,"✓",IF(COUNTIFS('AFA Rates'!$A$5:$A$1004,$A791,'AFA Rates'!$B$5:$B$1004,G$23)&gt;0,"Exp","")))</f>
        <v/>
      </c>
      <c r="H791" s="79">
        <f>IF(OR($A791="",H$23=""),"",IF(COUNTIFS('AFA Rates'!$A$5:$A$1004,$A791,'AFA Rates'!$B$5:$B$1004,H$23,'AFA Rates'!$O$5:$O$1004,"&lt;&gt;Expired")&gt;0,"✓",IF(COUNTIFS('AFA Rates'!$A$5:$A$1004,$A791,'AFA Rates'!$B$5:$B$1004,H$23)&gt;0,"Exp","")))</f>
        <v/>
      </c>
      <c r="I791" s="79">
        <f>IF(OR($A791="",I$23=""),"",IF(COUNTIFS('AFA Rates'!$A$5:$A$1004,$A791,'AFA Rates'!$B$5:$B$1004,I$23,'AFA Rates'!$O$5:$O$1004,"&lt;&gt;Expired")&gt;0,"✓",IF(COUNTIFS('AFA Rates'!$A$5:$A$1004,$A791,'AFA Rates'!$B$5:$B$1004,I$23)&gt;0,"Exp","")))</f>
        <v/>
      </c>
      <c r="J791" s="79">
        <f>IF(OR($A791="",J$23=""),"",IF(COUNTIFS('AFA Rates'!$A$5:$A$1004,$A791,'AFA Rates'!$B$5:$B$1004,J$23,'AFA Rates'!$O$5:$O$1004,"&lt;&gt;Expired")&gt;0,"✓",IF(COUNTIFS('AFA Rates'!$A$5:$A$1004,$A791,'AFA Rates'!$B$5:$B$1004,J$23)&gt;0,"Exp","")))</f>
        <v/>
      </c>
      <c r="K791" s="79">
        <f>IF(OR($A791="",K$23=""),"",IF(COUNTIFS('AFA Rates'!$A$5:$A$1004,$A791,'AFA Rates'!$B$5:$B$1004,K$23,'AFA Rates'!$O$5:$O$1004,"&lt;&gt;Expired")&gt;0,"✓",IF(COUNTIFS('AFA Rates'!$A$5:$A$1004,$A791,'AFA Rates'!$B$5:$B$1004,K$23)&gt;0,"Exp","")))</f>
        <v/>
      </c>
      <c r="L791" s="79">
        <f>IF(OR($A791="",L$23=""),"",IF(COUNTIFS('AFA Rates'!$A$5:$A$1004,$A791,'AFA Rates'!$B$5:$B$1004,L$23,'AFA Rates'!$O$5:$O$1004,"&lt;&gt;Expired")&gt;0,"✓",IF(COUNTIFS('AFA Rates'!$A$5:$A$1004,$A791,'AFA Rates'!$B$5:$B$1004,L$23)&gt;0,"Exp","")))</f>
        <v/>
      </c>
      <c r="M791" s="79">
        <f>IF(OR($A791="",M$23=""),"",IF(COUNTIFS('AFA Rates'!$A$5:$A$1004,$A791,'AFA Rates'!$B$5:$B$1004,M$23,'AFA Rates'!$O$5:$O$1004,"&lt;&gt;Expired")&gt;0,"✓",IF(COUNTIFS('AFA Rates'!$A$5:$A$1004,$A791,'AFA Rates'!$B$5:$B$1004,M$23)&gt;0,"Exp","")))</f>
        <v/>
      </c>
    </row>
    <row r="792">
      <c r="A792" s="78">
        <f>IFERROR(INDEX(Firms!$A$5:$A$1004,MATCH(769,Firms!$V$5:$V$1004,0)),"")</f>
        <v/>
      </c>
      <c r="B792" s="79">
        <f>IF($A792="","",INDEX(Firms!$B$5:$B$1004,MATCH(769,Firms!$V$5:$V$1004,0)))</f>
        <v/>
      </c>
      <c r="C792" s="79">
        <f>IF($A792="","",COUNTIFS('AFA Rates'!$A$5:$A$1004,$A792,'AFA Rates'!$O$5:$O$1004,"&lt;&gt;Expired"))</f>
        <v/>
      </c>
      <c r="D792" s="79">
        <f>IF(OR($A792="",D$23=""),"",IF(COUNTIFS('AFA Rates'!$A$5:$A$1004,$A792,'AFA Rates'!$B$5:$B$1004,D$23,'AFA Rates'!$O$5:$O$1004,"&lt;&gt;Expired")&gt;0,"✓",IF(COUNTIFS('AFA Rates'!$A$5:$A$1004,$A792,'AFA Rates'!$B$5:$B$1004,D$23)&gt;0,"Exp","")))</f>
        <v/>
      </c>
      <c r="E792" s="79">
        <f>IF(OR($A792="",E$23=""),"",IF(COUNTIFS('AFA Rates'!$A$5:$A$1004,$A792,'AFA Rates'!$B$5:$B$1004,E$23,'AFA Rates'!$O$5:$O$1004,"&lt;&gt;Expired")&gt;0,"✓",IF(COUNTIFS('AFA Rates'!$A$5:$A$1004,$A792,'AFA Rates'!$B$5:$B$1004,E$23)&gt;0,"Exp","")))</f>
        <v/>
      </c>
      <c r="F792" s="79">
        <f>IF(OR($A792="",F$23=""),"",IF(COUNTIFS('AFA Rates'!$A$5:$A$1004,$A792,'AFA Rates'!$B$5:$B$1004,F$23,'AFA Rates'!$O$5:$O$1004,"&lt;&gt;Expired")&gt;0,"✓",IF(COUNTIFS('AFA Rates'!$A$5:$A$1004,$A792,'AFA Rates'!$B$5:$B$1004,F$23)&gt;0,"Exp","")))</f>
        <v/>
      </c>
      <c r="G792" s="79">
        <f>IF(OR($A792="",G$23=""),"",IF(COUNTIFS('AFA Rates'!$A$5:$A$1004,$A792,'AFA Rates'!$B$5:$B$1004,G$23,'AFA Rates'!$O$5:$O$1004,"&lt;&gt;Expired")&gt;0,"✓",IF(COUNTIFS('AFA Rates'!$A$5:$A$1004,$A792,'AFA Rates'!$B$5:$B$1004,G$23)&gt;0,"Exp","")))</f>
        <v/>
      </c>
      <c r="H792" s="79">
        <f>IF(OR($A792="",H$23=""),"",IF(COUNTIFS('AFA Rates'!$A$5:$A$1004,$A792,'AFA Rates'!$B$5:$B$1004,H$23,'AFA Rates'!$O$5:$O$1004,"&lt;&gt;Expired")&gt;0,"✓",IF(COUNTIFS('AFA Rates'!$A$5:$A$1004,$A792,'AFA Rates'!$B$5:$B$1004,H$23)&gt;0,"Exp","")))</f>
        <v/>
      </c>
      <c r="I792" s="79">
        <f>IF(OR($A792="",I$23=""),"",IF(COUNTIFS('AFA Rates'!$A$5:$A$1004,$A792,'AFA Rates'!$B$5:$B$1004,I$23,'AFA Rates'!$O$5:$O$1004,"&lt;&gt;Expired")&gt;0,"✓",IF(COUNTIFS('AFA Rates'!$A$5:$A$1004,$A792,'AFA Rates'!$B$5:$B$1004,I$23)&gt;0,"Exp","")))</f>
        <v/>
      </c>
      <c r="J792" s="79">
        <f>IF(OR($A792="",J$23=""),"",IF(COUNTIFS('AFA Rates'!$A$5:$A$1004,$A792,'AFA Rates'!$B$5:$B$1004,J$23,'AFA Rates'!$O$5:$O$1004,"&lt;&gt;Expired")&gt;0,"✓",IF(COUNTIFS('AFA Rates'!$A$5:$A$1004,$A792,'AFA Rates'!$B$5:$B$1004,J$23)&gt;0,"Exp","")))</f>
        <v/>
      </c>
      <c r="K792" s="79">
        <f>IF(OR($A792="",K$23=""),"",IF(COUNTIFS('AFA Rates'!$A$5:$A$1004,$A792,'AFA Rates'!$B$5:$B$1004,K$23,'AFA Rates'!$O$5:$O$1004,"&lt;&gt;Expired")&gt;0,"✓",IF(COUNTIFS('AFA Rates'!$A$5:$A$1004,$A792,'AFA Rates'!$B$5:$B$1004,K$23)&gt;0,"Exp","")))</f>
        <v/>
      </c>
      <c r="L792" s="79">
        <f>IF(OR($A792="",L$23=""),"",IF(COUNTIFS('AFA Rates'!$A$5:$A$1004,$A792,'AFA Rates'!$B$5:$B$1004,L$23,'AFA Rates'!$O$5:$O$1004,"&lt;&gt;Expired")&gt;0,"✓",IF(COUNTIFS('AFA Rates'!$A$5:$A$1004,$A792,'AFA Rates'!$B$5:$B$1004,L$23)&gt;0,"Exp","")))</f>
        <v/>
      </c>
      <c r="M792" s="79">
        <f>IF(OR($A792="",M$23=""),"",IF(COUNTIFS('AFA Rates'!$A$5:$A$1004,$A792,'AFA Rates'!$B$5:$B$1004,M$23,'AFA Rates'!$O$5:$O$1004,"&lt;&gt;Expired")&gt;0,"✓",IF(COUNTIFS('AFA Rates'!$A$5:$A$1004,$A792,'AFA Rates'!$B$5:$B$1004,M$23)&gt;0,"Exp","")))</f>
        <v/>
      </c>
    </row>
    <row r="793">
      <c r="A793" s="78">
        <f>IFERROR(INDEX(Firms!$A$5:$A$1004,MATCH(770,Firms!$V$5:$V$1004,0)),"")</f>
        <v/>
      </c>
      <c r="B793" s="79">
        <f>IF($A793="","",INDEX(Firms!$B$5:$B$1004,MATCH(770,Firms!$V$5:$V$1004,0)))</f>
        <v/>
      </c>
      <c r="C793" s="79">
        <f>IF($A793="","",COUNTIFS('AFA Rates'!$A$5:$A$1004,$A793,'AFA Rates'!$O$5:$O$1004,"&lt;&gt;Expired"))</f>
        <v/>
      </c>
      <c r="D793" s="79">
        <f>IF(OR($A793="",D$23=""),"",IF(COUNTIFS('AFA Rates'!$A$5:$A$1004,$A793,'AFA Rates'!$B$5:$B$1004,D$23,'AFA Rates'!$O$5:$O$1004,"&lt;&gt;Expired")&gt;0,"✓",IF(COUNTIFS('AFA Rates'!$A$5:$A$1004,$A793,'AFA Rates'!$B$5:$B$1004,D$23)&gt;0,"Exp","")))</f>
        <v/>
      </c>
      <c r="E793" s="79">
        <f>IF(OR($A793="",E$23=""),"",IF(COUNTIFS('AFA Rates'!$A$5:$A$1004,$A793,'AFA Rates'!$B$5:$B$1004,E$23,'AFA Rates'!$O$5:$O$1004,"&lt;&gt;Expired")&gt;0,"✓",IF(COUNTIFS('AFA Rates'!$A$5:$A$1004,$A793,'AFA Rates'!$B$5:$B$1004,E$23)&gt;0,"Exp","")))</f>
        <v/>
      </c>
      <c r="F793" s="79">
        <f>IF(OR($A793="",F$23=""),"",IF(COUNTIFS('AFA Rates'!$A$5:$A$1004,$A793,'AFA Rates'!$B$5:$B$1004,F$23,'AFA Rates'!$O$5:$O$1004,"&lt;&gt;Expired")&gt;0,"✓",IF(COUNTIFS('AFA Rates'!$A$5:$A$1004,$A793,'AFA Rates'!$B$5:$B$1004,F$23)&gt;0,"Exp","")))</f>
        <v/>
      </c>
      <c r="G793" s="79">
        <f>IF(OR($A793="",G$23=""),"",IF(COUNTIFS('AFA Rates'!$A$5:$A$1004,$A793,'AFA Rates'!$B$5:$B$1004,G$23,'AFA Rates'!$O$5:$O$1004,"&lt;&gt;Expired")&gt;0,"✓",IF(COUNTIFS('AFA Rates'!$A$5:$A$1004,$A793,'AFA Rates'!$B$5:$B$1004,G$23)&gt;0,"Exp","")))</f>
        <v/>
      </c>
      <c r="H793" s="79">
        <f>IF(OR($A793="",H$23=""),"",IF(COUNTIFS('AFA Rates'!$A$5:$A$1004,$A793,'AFA Rates'!$B$5:$B$1004,H$23,'AFA Rates'!$O$5:$O$1004,"&lt;&gt;Expired")&gt;0,"✓",IF(COUNTIFS('AFA Rates'!$A$5:$A$1004,$A793,'AFA Rates'!$B$5:$B$1004,H$23)&gt;0,"Exp","")))</f>
        <v/>
      </c>
      <c r="I793" s="79">
        <f>IF(OR($A793="",I$23=""),"",IF(COUNTIFS('AFA Rates'!$A$5:$A$1004,$A793,'AFA Rates'!$B$5:$B$1004,I$23,'AFA Rates'!$O$5:$O$1004,"&lt;&gt;Expired")&gt;0,"✓",IF(COUNTIFS('AFA Rates'!$A$5:$A$1004,$A793,'AFA Rates'!$B$5:$B$1004,I$23)&gt;0,"Exp","")))</f>
        <v/>
      </c>
      <c r="J793" s="79">
        <f>IF(OR($A793="",J$23=""),"",IF(COUNTIFS('AFA Rates'!$A$5:$A$1004,$A793,'AFA Rates'!$B$5:$B$1004,J$23,'AFA Rates'!$O$5:$O$1004,"&lt;&gt;Expired")&gt;0,"✓",IF(COUNTIFS('AFA Rates'!$A$5:$A$1004,$A793,'AFA Rates'!$B$5:$B$1004,J$23)&gt;0,"Exp","")))</f>
        <v/>
      </c>
      <c r="K793" s="79">
        <f>IF(OR($A793="",K$23=""),"",IF(COUNTIFS('AFA Rates'!$A$5:$A$1004,$A793,'AFA Rates'!$B$5:$B$1004,K$23,'AFA Rates'!$O$5:$O$1004,"&lt;&gt;Expired")&gt;0,"✓",IF(COUNTIFS('AFA Rates'!$A$5:$A$1004,$A793,'AFA Rates'!$B$5:$B$1004,K$23)&gt;0,"Exp","")))</f>
        <v/>
      </c>
      <c r="L793" s="79">
        <f>IF(OR($A793="",L$23=""),"",IF(COUNTIFS('AFA Rates'!$A$5:$A$1004,$A793,'AFA Rates'!$B$5:$B$1004,L$23,'AFA Rates'!$O$5:$O$1004,"&lt;&gt;Expired")&gt;0,"✓",IF(COUNTIFS('AFA Rates'!$A$5:$A$1004,$A793,'AFA Rates'!$B$5:$B$1004,L$23)&gt;0,"Exp","")))</f>
        <v/>
      </c>
      <c r="M793" s="79">
        <f>IF(OR($A793="",M$23=""),"",IF(COUNTIFS('AFA Rates'!$A$5:$A$1004,$A793,'AFA Rates'!$B$5:$B$1004,M$23,'AFA Rates'!$O$5:$O$1004,"&lt;&gt;Expired")&gt;0,"✓",IF(COUNTIFS('AFA Rates'!$A$5:$A$1004,$A793,'AFA Rates'!$B$5:$B$1004,M$23)&gt;0,"Exp","")))</f>
        <v/>
      </c>
    </row>
    <row r="794">
      <c r="A794" s="78">
        <f>IFERROR(INDEX(Firms!$A$5:$A$1004,MATCH(771,Firms!$V$5:$V$1004,0)),"")</f>
        <v/>
      </c>
      <c r="B794" s="79">
        <f>IF($A794="","",INDEX(Firms!$B$5:$B$1004,MATCH(771,Firms!$V$5:$V$1004,0)))</f>
        <v/>
      </c>
      <c r="C794" s="79">
        <f>IF($A794="","",COUNTIFS('AFA Rates'!$A$5:$A$1004,$A794,'AFA Rates'!$O$5:$O$1004,"&lt;&gt;Expired"))</f>
        <v/>
      </c>
      <c r="D794" s="79">
        <f>IF(OR($A794="",D$23=""),"",IF(COUNTIFS('AFA Rates'!$A$5:$A$1004,$A794,'AFA Rates'!$B$5:$B$1004,D$23,'AFA Rates'!$O$5:$O$1004,"&lt;&gt;Expired")&gt;0,"✓",IF(COUNTIFS('AFA Rates'!$A$5:$A$1004,$A794,'AFA Rates'!$B$5:$B$1004,D$23)&gt;0,"Exp","")))</f>
        <v/>
      </c>
      <c r="E794" s="79">
        <f>IF(OR($A794="",E$23=""),"",IF(COUNTIFS('AFA Rates'!$A$5:$A$1004,$A794,'AFA Rates'!$B$5:$B$1004,E$23,'AFA Rates'!$O$5:$O$1004,"&lt;&gt;Expired")&gt;0,"✓",IF(COUNTIFS('AFA Rates'!$A$5:$A$1004,$A794,'AFA Rates'!$B$5:$B$1004,E$23)&gt;0,"Exp","")))</f>
        <v/>
      </c>
      <c r="F794" s="79">
        <f>IF(OR($A794="",F$23=""),"",IF(COUNTIFS('AFA Rates'!$A$5:$A$1004,$A794,'AFA Rates'!$B$5:$B$1004,F$23,'AFA Rates'!$O$5:$O$1004,"&lt;&gt;Expired")&gt;0,"✓",IF(COUNTIFS('AFA Rates'!$A$5:$A$1004,$A794,'AFA Rates'!$B$5:$B$1004,F$23)&gt;0,"Exp","")))</f>
        <v/>
      </c>
      <c r="G794" s="79">
        <f>IF(OR($A794="",G$23=""),"",IF(COUNTIFS('AFA Rates'!$A$5:$A$1004,$A794,'AFA Rates'!$B$5:$B$1004,G$23,'AFA Rates'!$O$5:$O$1004,"&lt;&gt;Expired")&gt;0,"✓",IF(COUNTIFS('AFA Rates'!$A$5:$A$1004,$A794,'AFA Rates'!$B$5:$B$1004,G$23)&gt;0,"Exp","")))</f>
        <v/>
      </c>
      <c r="H794" s="79">
        <f>IF(OR($A794="",H$23=""),"",IF(COUNTIFS('AFA Rates'!$A$5:$A$1004,$A794,'AFA Rates'!$B$5:$B$1004,H$23,'AFA Rates'!$O$5:$O$1004,"&lt;&gt;Expired")&gt;0,"✓",IF(COUNTIFS('AFA Rates'!$A$5:$A$1004,$A794,'AFA Rates'!$B$5:$B$1004,H$23)&gt;0,"Exp","")))</f>
        <v/>
      </c>
      <c r="I794" s="79">
        <f>IF(OR($A794="",I$23=""),"",IF(COUNTIFS('AFA Rates'!$A$5:$A$1004,$A794,'AFA Rates'!$B$5:$B$1004,I$23,'AFA Rates'!$O$5:$O$1004,"&lt;&gt;Expired")&gt;0,"✓",IF(COUNTIFS('AFA Rates'!$A$5:$A$1004,$A794,'AFA Rates'!$B$5:$B$1004,I$23)&gt;0,"Exp","")))</f>
        <v/>
      </c>
      <c r="J794" s="79">
        <f>IF(OR($A794="",J$23=""),"",IF(COUNTIFS('AFA Rates'!$A$5:$A$1004,$A794,'AFA Rates'!$B$5:$B$1004,J$23,'AFA Rates'!$O$5:$O$1004,"&lt;&gt;Expired")&gt;0,"✓",IF(COUNTIFS('AFA Rates'!$A$5:$A$1004,$A794,'AFA Rates'!$B$5:$B$1004,J$23)&gt;0,"Exp","")))</f>
        <v/>
      </c>
      <c r="K794" s="79">
        <f>IF(OR($A794="",K$23=""),"",IF(COUNTIFS('AFA Rates'!$A$5:$A$1004,$A794,'AFA Rates'!$B$5:$B$1004,K$23,'AFA Rates'!$O$5:$O$1004,"&lt;&gt;Expired")&gt;0,"✓",IF(COUNTIFS('AFA Rates'!$A$5:$A$1004,$A794,'AFA Rates'!$B$5:$B$1004,K$23)&gt;0,"Exp","")))</f>
        <v/>
      </c>
      <c r="L794" s="79">
        <f>IF(OR($A794="",L$23=""),"",IF(COUNTIFS('AFA Rates'!$A$5:$A$1004,$A794,'AFA Rates'!$B$5:$B$1004,L$23,'AFA Rates'!$O$5:$O$1004,"&lt;&gt;Expired")&gt;0,"✓",IF(COUNTIFS('AFA Rates'!$A$5:$A$1004,$A794,'AFA Rates'!$B$5:$B$1004,L$23)&gt;0,"Exp","")))</f>
        <v/>
      </c>
      <c r="M794" s="79">
        <f>IF(OR($A794="",M$23=""),"",IF(COUNTIFS('AFA Rates'!$A$5:$A$1004,$A794,'AFA Rates'!$B$5:$B$1004,M$23,'AFA Rates'!$O$5:$O$1004,"&lt;&gt;Expired")&gt;0,"✓",IF(COUNTIFS('AFA Rates'!$A$5:$A$1004,$A794,'AFA Rates'!$B$5:$B$1004,M$23)&gt;0,"Exp","")))</f>
        <v/>
      </c>
    </row>
    <row r="795">
      <c r="A795" s="78">
        <f>IFERROR(INDEX(Firms!$A$5:$A$1004,MATCH(772,Firms!$V$5:$V$1004,0)),"")</f>
        <v/>
      </c>
      <c r="B795" s="79">
        <f>IF($A795="","",INDEX(Firms!$B$5:$B$1004,MATCH(772,Firms!$V$5:$V$1004,0)))</f>
        <v/>
      </c>
      <c r="C795" s="79">
        <f>IF($A795="","",COUNTIFS('AFA Rates'!$A$5:$A$1004,$A795,'AFA Rates'!$O$5:$O$1004,"&lt;&gt;Expired"))</f>
        <v/>
      </c>
      <c r="D795" s="79">
        <f>IF(OR($A795="",D$23=""),"",IF(COUNTIFS('AFA Rates'!$A$5:$A$1004,$A795,'AFA Rates'!$B$5:$B$1004,D$23,'AFA Rates'!$O$5:$O$1004,"&lt;&gt;Expired")&gt;0,"✓",IF(COUNTIFS('AFA Rates'!$A$5:$A$1004,$A795,'AFA Rates'!$B$5:$B$1004,D$23)&gt;0,"Exp","")))</f>
        <v/>
      </c>
      <c r="E795" s="79">
        <f>IF(OR($A795="",E$23=""),"",IF(COUNTIFS('AFA Rates'!$A$5:$A$1004,$A795,'AFA Rates'!$B$5:$B$1004,E$23,'AFA Rates'!$O$5:$O$1004,"&lt;&gt;Expired")&gt;0,"✓",IF(COUNTIFS('AFA Rates'!$A$5:$A$1004,$A795,'AFA Rates'!$B$5:$B$1004,E$23)&gt;0,"Exp","")))</f>
        <v/>
      </c>
      <c r="F795" s="79">
        <f>IF(OR($A795="",F$23=""),"",IF(COUNTIFS('AFA Rates'!$A$5:$A$1004,$A795,'AFA Rates'!$B$5:$B$1004,F$23,'AFA Rates'!$O$5:$O$1004,"&lt;&gt;Expired")&gt;0,"✓",IF(COUNTIFS('AFA Rates'!$A$5:$A$1004,$A795,'AFA Rates'!$B$5:$B$1004,F$23)&gt;0,"Exp","")))</f>
        <v/>
      </c>
      <c r="G795" s="79">
        <f>IF(OR($A795="",G$23=""),"",IF(COUNTIFS('AFA Rates'!$A$5:$A$1004,$A795,'AFA Rates'!$B$5:$B$1004,G$23,'AFA Rates'!$O$5:$O$1004,"&lt;&gt;Expired")&gt;0,"✓",IF(COUNTIFS('AFA Rates'!$A$5:$A$1004,$A795,'AFA Rates'!$B$5:$B$1004,G$23)&gt;0,"Exp","")))</f>
        <v/>
      </c>
      <c r="H795" s="79">
        <f>IF(OR($A795="",H$23=""),"",IF(COUNTIFS('AFA Rates'!$A$5:$A$1004,$A795,'AFA Rates'!$B$5:$B$1004,H$23,'AFA Rates'!$O$5:$O$1004,"&lt;&gt;Expired")&gt;0,"✓",IF(COUNTIFS('AFA Rates'!$A$5:$A$1004,$A795,'AFA Rates'!$B$5:$B$1004,H$23)&gt;0,"Exp","")))</f>
        <v/>
      </c>
      <c r="I795" s="79">
        <f>IF(OR($A795="",I$23=""),"",IF(COUNTIFS('AFA Rates'!$A$5:$A$1004,$A795,'AFA Rates'!$B$5:$B$1004,I$23,'AFA Rates'!$O$5:$O$1004,"&lt;&gt;Expired")&gt;0,"✓",IF(COUNTIFS('AFA Rates'!$A$5:$A$1004,$A795,'AFA Rates'!$B$5:$B$1004,I$23)&gt;0,"Exp","")))</f>
        <v/>
      </c>
      <c r="J795" s="79">
        <f>IF(OR($A795="",J$23=""),"",IF(COUNTIFS('AFA Rates'!$A$5:$A$1004,$A795,'AFA Rates'!$B$5:$B$1004,J$23,'AFA Rates'!$O$5:$O$1004,"&lt;&gt;Expired")&gt;0,"✓",IF(COUNTIFS('AFA Rates'!$A$5:$A$1004,$A795,'AFA Rates'!$B$5:$B$1004,J$23)&gt;0,"Exp","")))</f>
        <v/>
      </c>
      <c r="K795" s="79">
        <f>IF(OR($A795="",K$23=""),"",IF(COUNTIFS('AFA Rates'!$A$5:$A$1004,$A795,'AFA Rates'!$B$5:$B$1004,K$23,'AFA Rates'!$O$5:$O$1004,"&lt;&gt;Expired")&gt;0,"✓",IF(COUNTIFS('AFA Rates'!$A$5:$A$1004,$A795,'AFA Rates'!$B$5:$B$1004,K$23)&gt;0,"Exp","")))</f>
        <v/>
      </c>
      <c r="L795" s="79">
        <f>IF(OR($A795="",L$23=""),"",IF(COUNTIFS('AFA Rates'!$A$5:$A$1004,$A795,'AFA Rates'!$B$5:$B$1004,L$23,'AFA Rates'!$O$5:$O$1004,"&lt;&gt;Expired")&gt;0,"✓",IF(COUNTIFS('AFA Rates'!$A$5:$A$1004,$A795,'AFA Rates'!$B$5:$B$1004,L$23)&gt;0,"Exp","")))</f>
        <v/>
      </c>
      <c r="M795" s="79">
        <f>IF(OR($A795="",M$23=""),"",IF(COUNTIFS('AFA Rates'!$A$5:$A$1004,$A795,'AFA Rates'!$B$5:$B$1004,M$23,'AFA Rates'!$O$5:$O$1004,"&lt;&gt;Expired")&gt;0,"✓",IF(COUNTIFS('AFA Rates'!$A$5:$A$1004,$A795,'AFA Rates'!$B$5:$B$1004,M$23)&gt;0,"Exp","")))</f>
        <v/>
      </c>
    </row>
    <row r="796">
      <c r="A796" s="78">
        <f>IFERROR(INDEX(Firms!$A$5:$A$1004,MATCH(773,Firms!$V$5:$V$1004,0)),"")</f>
        <v/>
      </c>
      <c r="B796" s="79">
        <f>IF($A796="","",INDEX(Firms!$B$5:$B$1004,MATCH(773,Firms!$V$5:$V$1004,0)))</f>
        <v/>
      </c>
      <c r="C796" s="79">
        <f>IF($A796="","",COUNTIFS('AFA Rates'!$A$5:$A$1004,$A796,'AFA Rates'!$O$5:$O$1004,"&lt;&gt;Expired"))</f>
        <v/>
      </c>
      <c r="D796" s="79">
        <f>IF(OR($A796="",D$23=""),"",IF(COUNTIFS('AFA Rates'!$A$5:$A$1004,$A796,'AFA Rates'!$B$5:$B$1004,D$23,'AFA Rates'!$O$5:$O$1004,"&lt;&gt;Expired")&gt;0,"✓",IF(COUNTIFS('AFA Rates'!$A$5:$A$1004,$A796,'AFA Rates'!$B$5:$B$1004,D$23)&gt;0,"Exp","")))</f>
        <v/>
      </c>
      <c r="E796" s="79">
        <f>IF(OR($A796="",E$23=""),"",IF(COUNTIFS('AFA Rates'!$A$5:$A$1004,$A796,'AFA Rates'!$B$5:$B$1004,E$23,'AFA Rates'!$O$5:$O$1004,"&lt;&gt;Expired")&gt;0,"✓",IF(COUNTIFS('AFA Rates'!$A$5:$A$1004,$A796,'AFA Rates'!$B$5:$B$1004,E$23)&gt;0,"Exp","")))</f>
        <v/>
      </c>
      <c r="F796" s="79">
        <f>IF(OR($A796="",F$23=""),"",IF(COUNTIFS('AFA Rates'!$A$5:$A$1004,$A796,'AFA Rates'!$B$5:$B$1004,F$23,'AFA Rates'!$O$5:$O$1004,"&lt;&gt;Expired")&gt;0,"✓",IF(COUNTIFS('AFA Rates'!$A$5:$A$1004,$A796,'AFA Rates'!$B$5:$B$1004,F$23)&gt;0,"Exp","")))</f>
        <v/>
      </c>
      <c r="G796" s="79">
        <f>IF(OR($A796="",G$23=""),"",IF(COUNTIFS('AFA Rates'!$A$5:$A$1004,$A796,'AFA Rates'!$B$5:$B$1004,G$23,'AFA Rates'!$O$5:$O$1004,"&lt;&gt;Expired")&gt;0,"✓",IF(COUNTIFS('AFA Rates'!$A$5:$A$1004,$A796,'AFA Rates'!$B$5:$B$1004,G$23)&gt;0,"Exp","")))</f>
        <v/>
      </c>
      <c r="H796" s="79">
        <f>IF(OR($A796="",H$23=""),"",IF(COUNTIFS('AFA Rates'!$A$5:$A$1004,$A796,'AFA Rates'!$B$5:$B$1004,H$23,'AFA Rates'!$O$5:$O$1004,"&lt;&gt;Expired")&gt;0,"✓",IF(COUNTIFS('AFA Rates'!$A$5:$A$1004,$A796,'AFA Rates'!$B$5:$B$1004,H$23)&gt;0,"Exp","")))</f>
        <v/>
      </c>
      <c r="I796" s="79">
        <f>IF(OR($A796="",I$23=""),"",IF(COUNTIFS('AFA Rates'!$A$5:$A$1004,$A796,'AFA Rates'!$B$5:$B$1004,I$23,'AFA Rates'!$O$5:$O$1004,"&lt;&gt;Expired")&gt;0,"✓",IF(COUNTIFS('AFA Rates'!$A$5:$A$1004,$A796,'AFA Rates'!$B$5:$B$1004,I$23)&gt;0,"Exp","")))</f>
        <v/>
      </c>
      <c r="J796" s="79">
        <f>IF(OR($A796="",J$23=""),"",IF(COUNTIFS('AFA Rates'!$A$5:$A$1004,$A796,'AFA Rates'!$B$5:$B$1004,J$23,'AFA Rates'!$O$5:$O$1004,"&lt;&gt;Expired")&gt;0,"✓",IF(COUNTIFS('AFA Rates'!$A$5:$A$1004,$A796,'AFA Rates'!$B$5:$B$1004,J$23)&gt;0,"Exp","")))</f>
        <v/>
      </c>
      <c r="K796" s="79">
        <f>IF(OR($A796="",K$23=""),"",IF(COUNTIFS('AFA Rates'!$A$5:$A$1004,$A796,'AFA Rates'!$B$5:$B$1004,K$23,'AFA Rates'!$O$5:$O$1004,"&lt;&gt;Expired")&gt;0,"✓",IF(COUNTIFS('AFA Rates'!$A$5:$A$1004,$A796,'AFA Rates'!$B$5:$B$1004,K$23)&gt;0,"Exp","")))</f>
        <v/>
      </c>
      <c r="L796" s="79">
        <f>IF(OR($A796="",L$23=""),"",IF(COUNTIFS('AFA Rates'!$A$5:$A$1004,$A796,'AFA Rates'!$B$5:$B$1004,L$23,'AFA Rates'!$O$5:$O$1004,"&lt;&gt;Expired")&gt;0,"✓",IF(COUNTIFS('AFA Rates'!$A$5:$A$1004,$A796,'AFA Rates'!$B$5:$B$1004,L$23)&gt;0,"Exp","")))</f>
        <v/>
      </c>
      <c r="M796" s="79">
        <f>IF(OR($A796="",M$23=""),"",IF(COUNTIFS('AFA Rates'!$A$5:$A$1004,$A796,'AFA Rates'!$B$5:$B$1004,M$23,'AFA Rates'!$O$5:$O$1004,"&lt;&gt;Expired")&gt;0,"✓",IF(COUNTIFS('AFA Rates'!$A$5:$A$1004,$A796,'AFA Rates'!$B$5:$B$1004,M$23)&gt;0,"Exp","")))</f>
        <v/>
      </c>
    </row>
    <row r="797">
      <c r="A797" s="78">
        <f>IFERROR(INDEX(Firms!$A$5:$A$1004,MATCH(774,Firms!$V$5:$V$1004,0)),"")</f>
        <v/>
      </c>
      <c r="B797" s="79">
        <f>IF($A797="","",INDEX(Firms!$B$5:$B$1004,MATCH(774,Firms!$V$5:$V$1004,0)))</f>
        <v/>
      </c>
      <c r="C797" s="79">
        <f>IF($A797="","",COUNTIFS('AFA Rates'!$A$5:$A$1004,$A797,'AFA Rates'!$O$5:$O$1004,"&lt;&gt;Expired"))</f>
        <v/>
      </c>
      <c r="D797" s="79">
        <f>IF(OR($A797="",D$23=""),"",IF(COUNTIFS('AFA Rates'!$A$5:$A$1004,$A797,'AFA Rates'!$B$5:$B$1004,D$23,'AFA Rates'!$O$5:$O$1004,"&lt;&gt;Expired")&gt;0,"✓",IF(COUNTIFS('AFA Rates'!$A$5:$A$1004,$A797,'AFA Rates'!$B$5:$B$1004,D$23)&gt;0,"Exp","")))</f>
        <v/>
      </c>
      <c r="E797" s="79">
        <f>IF(OR($A797="",E$23=""),"",IF(COUNTIFS('AFA Rates'!$A$5:$A$1004,$A797,'AFA Rates'!$B$5:$B$1004,E$23,'AFA Rates'!$O$5:$O$1004,"&lt;&gt;Expired")&gt;0,"✓",IF(COUNTIFS('AFA Rates'!$A$5:$A$1004,$A797,'AFA Rates'!$B$5:$B$1004,E$23)&gt;0,"Exp","")))</f>
        <v/>
      </c>
      <c r="F797" s="79">
        <f>IF(OR($A797="",F$23=""),"",IF(COUNTIFS('AFA Rates'!$A$5:$A$1004,$A797,'AFA Rates'!$B$5:$B$1004,F$23,'AFA Rates'!$O$5:$O$1004,"&lt;&gt;Expired")&gt;0,"✓",IF(COUNTIFS('AFA Rates'!$A$5:$A$1004,$A797,'AFA Rates'!$B$5:$B$1004,F$23)&gt;0,"Exp","")))</f>
        <v/>
      </c>
      <c r="G797" s="79">
        <f>IF(OR($A797="",G$23=""),"",IF(COUNTIFS('AFA Rates'!$A$5:$A$1004,$A797,'AFA Rates'!$B$5:$B$1004,G$23,'AFA Rates'!$O$5:$O$1004,"&lt;&gt;Expired")&gt;0,"✓",IF(COUNTIFS('AFA Rates'!$A$5:$A$1004,$A797,'AFA Rates'!$B$5:$B$1004,G$23)&gt;0,"Exp","")))</f>
        <v/>
      </c>
      <c r="H797" s="79">
        <f>IF(OR($A797="",H$23=""),"",IF(COUNTIFS('AFA Rates'!$A$5:$A$1004,$A797,'AFA Rates'!$B$5:$B$1004,H$23,'AFA Rates'!$O$5:$O$1004,"&lt;&gt;Expired")&gt;0,"✓",IF(COUNTIFS('AFA Rates'!$A$5:$A$1004,$A797,'AFA Rates'!$B$5:$B$1004,H$23)&gt;0,"Exp","")))</f>
        <v/>
      </c>
      <c r="I797" s="79">
        <f>IF(OR($A797="",I$23=""),"",IF(COUNTIFS('AFA Rates'!$A$5:$A$1004,$A797,'AFA Rates'!$B$5:$B$1004,I$23,'AFA Rates'!$O$5:$O$1004,"&lt;&gt;Expired")&gt;0,"✓",IF(COUNTIFS('AFA Rates'!$A$5:$A$1004,$A797,'AFA Rates'!$B$5:$B$1004,I$23)&gt;0,"Exp","")))</f>
        <v/>
      </c>
      <c r="J797" s="79">
        <f>IF(OR($A797="",J$23=""),"",IF(COUNTIFS('AFA Rates'!$A$5:$A$1004,$A797,'AFA Rates'!$B$5:$B$1004,J$23,'AFA Rates'!$O$5:$O$1004,"&lt;&gt;Expired")&gt;0,"✓",IF(COUNTIFS('AFA Rates'!$A$5:$A$1004,$A797,'AFA Rates'!$B$5:$B$1004,J$23)&gt;0,"Exp","")))</f>
        <v/>
      </c>
      <c r="K797" s="79">
        <f>IF(OR($A797="",K$23=""),"",IF(COUNTIFS('AFA Rates'!$A$5:$A$1004,$A797,'AFA Rates'!$B$5:$B$1004,K$23,'AFA Rates'!$O$5:$O$1004,"&lt;&gt;Expired")&gt;0,"✓",IF(COUNTIFS('AFA Rates'!$A$5:$A$1004,$A797,'AFA Rates'!$B$5:$B$1004,K$23)&gt;0,"Exp","")))</f>
        <v/>
      </c>
      <c r="L797" s="79">
        <f>IF(OR($A797="",L$23=""),"",IF(COUNTIFS('AFA Rates'!$A$5:$A$1004,$A797,'AFA Rates'!$B$5:$B$1004,L$23,'AFA Rates'!$O$5:$O$1004,"&lt;&gt;Expired")&gt;0,"✓",IF(COUNTIFS('AFA Rates'!$A$5:$A$1004,$A797,'AFA Rates'!$B$5:$B$1004,L$23)&gt;0,"Exp","")))</f>
        <v/>
      </c>
      <c r="M797" s="79">
        <f>IF(OR($A797="",M$23=""),"",IF(COUNTIFS('AFA Rates'!$A$5:$A$1004,$A797,'AFA Rates'!$B$5:$B$1004,M$23,'AFA Rates'!$O$5:$O$1004,"&lt;&gt;Expired")&gt;0,"✓",IF(COUNTIFS('AFA Rates'!$A$5:$A$1004,$A797,'AFA Rates'!$B$5:$B$1004,M$23)&gt;0,"Exp","")))</f>
        <v/>
      </c>
    </row>
    <row r="798">
      <c r="A798" s="78">
        <f>IFERROR(INDEX(Firms!$A$5:$A$1004,MATCH(775,Firms!$V$5:$V$1004,0)),"")</f>
        <v/>
      </c>
      <c r="B798" s="79">
        <f>IF($A798="","",INDEX(Firms!$B$5:$B$1004,MATCH(775,Firms!$V$5:$V$1004,0)))</f>
        <v/>
      </c>
      <c r="C798" s="79">
        <f>IF($A798="","",COUNTIFS('AFA Rates'!$A$5:$A$1004,$A798,'AFA Rates'!$O$5:$O$1004,"&lt;&gt;Expired"))</f>
        <v/>
      </c>
      <c r="D798" s="79">
        <f>IF(OR($A798="",D$23=""),"",IF(COUNTIFS('AFA Rates'!$A$5:$A$1004,$A798,'AFA Rates'!$B$5:$B$1004,D$23,'AFA Rates'!$O$5:$O$1004,"&lt;&gt;Expired")&gt;0,"✓",IF(COUNTIFS('AFA Rates'!$A$5:$A$1004,$A798,'AFA Rates'!$B$5:$B$1004,D$23)&gt;0,"Exp","")))</f>
        <v/>
      </c>
      <c r="E798" s="79">
        <f>IF(OR($A798="",E$23=""),"",IF(COUNTIFS('AFA Rates'!$A$5:$A$1004,$A798,'AFA Rates'!$B$5:$B$1004,E$23,'AFA Rates'!$O$5:$O$1004,"&lt;&gt;Expired")&gt;0,"✓",IF(COUNTIFS('AFA Rates'!$A$5:$A$1004,$A798,'AFA Rates'!$B$5:$B$1004,E$23)&gt;0,"Exp","")))</f>
        <v/>
      </c>
      <c r="F798" s="79">
        <f>IF(OR($A798="",F$23=""),"",IF(COUNTIFS('AFA Rates'!$A$5:$A$1004,$A798,'AFA Rates'!$B$5:$B$1004,F$23,'AFA Rates'!$O$5:$O$1004,"&lt;&gt;Expired")&gt;0,"✓",IF(COUNTIFS('AFA Rates'!$A$5:$A$1004,$A798,'AFA Rates'!$B$5:$B$1004,F$23)&gt;0,"Exp","")))</f>
        <v/>
      </c>
      <c r="G798" s="79">
        <f>IF(OR($A798="",G$23=""),"",IF(COUNTIFS('AFA Rates'!$A$5:$A$1004,$A798,'AFA Rates'!$B$5:$B$1004,G$23,'AFA Rates'!$O$5:$O$1004,"&lt;&gt;Expired")&gt;0,"✓",IF(COUNTIFS('AFA Rates'!$A$5:$A$1004,$A798,'AFA Rates'!$B$5:$B$1004,G$23)&gt;0,"Exp","")))</f>
        <v/>
      </c>
      <c r="H798" s="79">
        <f>IF(OR($A798="",H$23=""),"",IF(COUNTIFS('AFA Rates'!$A$5:$A$1004,$A798,'AFA Rates'!$B$5:$B$1004,H$23,'AFA Rates'!$O$5:$O$1004,"&lt;&gt;Expired")&gt;0,"✓",IF(COUNTIFS('AFA Rates'!$A$5:$A$1004,$A798,'AFA Rates'!$B$5:$B$1004,H$23)&gt;0,"Exp","")))</f>
        <v/>
      </c>
      <c r="I798" s="79">
        <f>IF(OR($A798="",I$23=""),"",IF(COUNTIFS('AFA Rates'!$A$5:$A$1004,$A798,'AFA Rates'!$B$5:$B$1004,I$23,'AFA Rates'!$O$5:$O$1004,"&lt;&gt;Expired")&gt;0,"✓",IF(COUNTIFS('AFA Rates'!$A$5:$A$1004,$A798,'AFA Rates'!$B$5:$B$1004,I$23)&gt;0,"Exp","")))</f>
        <v/>
      </c>
      <c r="J798" s="79">
        <f>IF(OR($A798="",J$23=""),"",IF(COUNTIFS('AFA Rates'!$A$5:$A$1004,$A798,'AFA Rates'!$B$5:$B$1004,J$23,'AFA Rates'!$O$5:$O$1004,"&lt;&gt;Expired")&gt;0,"✓",IF(COUNTIFS('AFA Rates'!$A$5:$A$1004,$A798,'AFA Rates'!$B$5:$B$1004,J$23)&gt;0,"Exp","")))</f>
        <v/>
      </c>
      <c r="K798" s="79">
        <f>IF(OR($A798="",K$23=""),"",IF(COUNTIFS('AFA Rates'!$A$5:$A$1004,$A798,'AFA Rates'!$B$5:$B$1004,K$23,'AFA Rates'!$O$5:$O$1004,"&lt;&gt;Expired")&gt;0,"✓",IF(COUNTIFS('AFA Rates'!$A$5:$A$1004,$A798,'AFA Rates'!$B$5:$B$1004,K$23)&gt;0,"Exp","")))</f>
        <v/>
      </c>
      <c r="L798" s="79">
        <f>IF(OR($A798="",L$23=""),"",IF(COUNTIFS('AFA Rates'!$A$5:$A$1004,$A798,'AFA Rates'!$B$5:$B$1004,L$23,'AFA Rates'!$O$5:$O$1004,"&lt;&gt;Expired")&gt;0,"✓",IF(COUNTIFS('AFA Rates'!$A$5:$A$1004,$A798,'AFA Rates'!$B$5:$B$1004,L$23)&gt;0,"Exp","")))</f>
        <v/>
      </c>
      <c r="M798" s="79">
        <f>IF(OR($A798="",M$23=""),"",IF(COUNTIFS('AFA Rates'!$A$5:$A$1004,$A798,'AFA Rates'!$B$5:$B$1004,M$23,'AFA Rates'!$O$5:$O$1004,"&lt;&gt;Expired")&gt;0,"✓",IF(COUNTIFS('AFA Rates'!$A$5:$A$1004,$A798,'AFA Rates'!$B$5:$B$1004,M$23)&gt;0,"Exp","")))</f>
        <v/>
      </c>
    </row>
    <row r="799">
      <c r="A799" s="78">
        <f>IFERROR(INDEX(Firms!$A$5:$A$1004,MATCH(776,Firms!$V$5:$V$1004,0)),"")</f>
        <v/>
      </c>
      <c r="B799" s="79">
        <f>IF($A799="","",INDEX(Firms!$B$5:$B$1004,MATCH(776,Firms!$V$5:$V$1004,0)))</f>
        <v/>
      </c>
      <c r="C799" s="79">
        <f>IF($A799="","",COUNTIFS('AFA Rates'!$A$5:$A$1004,$A799,'AFA Rates'!$O$5:$O$1004,"&lt;&gt;Expired"))</f>
        <v/>
      </c>
      <c r="D799" s="79">
        <f>IF(OR($A799="",D$23=""),"",IF(COUNTIFS('AFA Rates'!$A$5:$A$1004,$A799,'AFA Rates'!$B$5:$B$1004,D$23,'AFA Rates'!$O$5:$O$1004,"&lt;&gt;Expired")&gt;0,"✓",IF(COUNTIFS('AFA Rates'!$A$5:$A$1004,$A799,'AFA Rates'!$B$5:$B$1004,D$23)&gt;0,"Exp","")))</f>
        <v/>
      </c>
      <c r="E799" s="79">
        <f>IF(OR($A799="",E$23=""),"",IF(COUNTIFS('AFA Rates'!$A$5:$A$1004,$A799,'AFA Rates'!$B$5:$B$1004,E$23,'AFA Rates'!$O$5:$O$1004,"&lt;&gt;Expired")&gt;0,"✓",IF(COUNTIFS('AFA Rates'!$A$5:$A$1004,$A799,'AFA Rates'!$B$5:$B$1004,E$23)&gt;0,"Exp","")))</f>
        <v/>
      </c>
      <c r="F799" s="79">
        <f>IF(OR($A799="",F$23=""),"",IF(COUNTIFS('AFA Rates'!$A$5:$A$1004,$A799,'AFA Rates'!$B$5:$B$1004,F$23,'AFA Rates'!$O$5:$O$1004,"&lt;&gt;Expired")&gt;0,"✓",IF(COUNTIFS('AFA Rates'!$A$5:$A$1004,$A799,'AFA Rates'!$B$5:$B$1004,F$23)&gt;0,"Exp","")))</f>
        <v/>
      </c>
      <c r="G799" s="79">
        <f>IF(OR($A799="",G$23=""),"",IF(COUNTIFS('AFA Rates'!$A$5:$A$1004,$A799,'AFA Rates'!$B$5:$B$1004,G$23,'AFA Rates'!$O$5:$O$1004,"&lt;&gt;Expired")&gt;0,"✓",IF(COUNTIFS('AFA Rates'!$A$5:$A$1004,$A799,'AFA Rates'!$B$5:$B$1004,G$23)&gt;0,"Exp","")))</f>
        <v/>
      </c>
      <c r="H799" s="79">
        <f>IF(OR($A799="",H$23=""),"",IF(COUNTIFS('AFA Rates'!$A$5:$A$1004,$A799,'AFA Rates'!$B$5:$B$1004,H$23,'AFA Rates'!$O$5:$O$1004,"&lt;&gt;Expired")&gt;0,"✓",IF(COUNTIFS('AFA Rates'!$A$5:$A$1004,$A799,'AFA Rates'!$B$5:$B$1004,H$23)&gt;0,"Exp","")))</f>
        <v/>
      </c>
      <c r="I799" s="79">
        <f>IF(OR($A799="",I$23=""),"",IF(COUNTIFS('AFA Rates'!$A$5:$A$1004,$A799,'AFA Rates'!$B$5:$B$1004,I$23,'AFA Rates'!$O$5:$O$1004,"&lt;&gt;Expired")&gt;0,"✓",IF(COUNTIFS('AFA Rates'!$A$5:$A$1004,$A799,'AFA Rates'!$B$5:$B$1004,I$23)&gt;0,"Exp","")))</f>
        <v/>
      </c>
      <c r="J799" s="79">
        <f>IF(OR($A799="",J$23=""),"",IF(COUNTIFS('AFA Rates'!$A$5:$A$1004,$A799,'AFA Rates'!$B$5:$B$1004,J$23,'AFA Rates'!$O$5:$O$1004,"&lt;&gt;Expired")&gt;0,"✓",IF(COUNTIFS('AFA Rates'!$A$5:$A$1004,$A799,'AFA Rates'!$B$5:$B$1004,J$23)&gt;0,"Exp","")))</f>
        <v/>
      </c>
      <c r="K799" s="79">
        <f>IF(OR($A799="",K$23=""),"",IF(COUNTIFS('AFA Rates'!$A$5:$A$1004,$A799,'AFA Rates'!$B$5:$B$1004,K$23,'AFA Rates'!$O$5:$O$1004,"&lt;&gt;Expired")&gt;0,"✓",IF(COUNTIFS('AFA Rates'!$A$5:$A$1004,$A799,'AFA Rates'!$B$5:$B$1004,K$23)&gt;0,"Exp","")))</f>
        <v/>
      </c>
      <c r="L799" s="79">
        <f>IF(OR($A799="",L$23=""),"",IF(COUNTIFS('AFA Rates'!$A$5:$A$1004,$A799,'AFA Rates'!$B$5:$B$1004,L$23,'AFA Rates'!$O$5:$O$1004,"&lt;&gt;Expired")&gt;0,"✓",IF(COUNTIFS('AFA Rates'!$A$5:$A$1004,$A799,'AFA Rates'!$B$5:$B$1004,L$23)&gt;0,"Exp","")))</f>
        <v/>
      </c>
      <c r="M799" s="79">
        <f>IF(OR($A799="",M$23=""),"",IF(COUNTIFS('AFA Rates'!$A$5:$A$1004,$A799,'AFA Rates'!$B$5:$B$1004,M$23,'AFA Rates'!$O$5:$O$1004,"&lt;&gt;Expired")&gt;0,"✓",IF(COUNTIFS('AFA Rates'!$A$5:$A$1004,$A799,'AFA Rates'!$B$5:$B$1004,M$23)&gt;0,"Exp","")))</f>
        <v/>
      </c>
    </row>
    <row r="800">
      <c r="A800" s="78">
        <f>IFERROR(INDEX(Firms!$A$5:$A$1004,MATCH(777,Firms!$V$5:$V$1004,0)),"")</f>
        <v/>
      </c>
      <c r="B800" s="79">
        <f>IF($A800="","",INDEX(Firms!$B$5:$B$1004,MATCH(777,Firms!$V$5:$V$1004,0)))</f>
        <v/>
      </c>
      <c r="C800" s="79">
        <f>IF($A800="","",COUNTIFS('AFA Rates'!$A$5:$A$1004,$A800,'AFA Rates'!$O$5:$O$1004,"&lt;&gt;Expired"))</f>
        <v/>
      </c>
      <c r="D800" s="79">
        <f>IF(OR($A800="",D$23=""),"",IF(COUNTIFS('AFA Rates'!$A$5:$A$1004,$A800,'AFA Rates'!$B$5:$B$1004,D$23,'AFA Rates'!$O$5:$O$1004,"&lt;&gt;Expired")&gt;0,"✓",IF(COUNTIFS('AFA Rates'!$A$5:$A$1004,$A800,'AFA Rates'!$B$5:$B$1004,D$23)&gt;0,"Exp","")))</f>
        <v/>
      </c>
      <c r="E800" s="79">
        <f>IF(OR($A800="",E$23=""),"",IF(COUNTIFS('AFA Rates'!$A$5:$A$1004,$A800,'AFA Rates'!$B$5:$B$1004,E$23,'AFA Rates'!$O$5:$O$1004,"&lt;&gt;Expired")&gt;0,"✓",IF(COUNTIFS('AFA Rates'!$A$5:$A$1004,$A800,'AFA Rates'!$B$5:$B$1004,E$23)&gt;0,"Exp","")))</f>
        <v/>
      </c>
      <c r="F800" s="79">
        <f>IF(OR($A800="",F$23=""),"",IF(COUNTIFS('AFA Rates'!$A$5:$A$1004,$A800,'AFA Rates'!$B$5:$B$1004,F$23,'AFA Rates'!$O$5:$O$1004,"&lt;&gt;Expired")&gt;0,"✓",IF(COUNTIFS('AFA Rates'!$A$5:$A$1004,$A800,'AFA Rates'!$B$5:$B$1004,F$23)&gt;0,"Exp","")))</f>
        <v/>
      </c>
      <c r="G800" s="79">
        <f>IF(OR($A800="",G$23=""),"",IF(COUNTIFS('AFA Rates'!$A$5:$A$1004,$A800,'AFA Rates'!$B$5:$B$1004,G$23,'AFA Rates'!$O$5:$O$1004,"&lt;&gt;Expired")&gt;0,"✓",IF(COUNTIFS('AFA Rates'!$A$5:$A$1004,$A800,'AFA Rates'!$B$5:$B$1004,G$23)&gt;0,"Exp","")))</f>
        <v/>
      </c>
      <c r="H800" s="79">
        <f>IF(OR($A800="",H$23=""),"",IF(COUNTIFS('AFA Rates'!$A$5:$A$1004,$A800,'AFA Rates'!$B$5:$B$1004,H$23,'AFA Rates'!$O$5:$O$1004,"&lt;&gt;Expired")&gt;0,"✓",IF(COUNTIFS('AFA Rates'!$A$5:$A$1004,$A800,'AFA Rates'!$B$5:$B$1004,H$23)&gt;0,"Exp","")))</f>
        <v/>
      </c>
      <c r="I800" s="79">
        <f>IF(OR($A800="",I$23=""),"",IF(COUNTIFS('AFA Rates'!$A$5:$A$1004,$A800,'AFA Rates'!$B$5:$B$1004,I$23,'AFA Rates'!$O$5:$O$1004,"&lt;&gt;Expired")&gt;0,"✓",IF(COUNTIFS('AFA Rates'!$A$5:$A$1004,$A800,'AFA Rates'!$B$5:$B$1004,I$23)&gt;0,"Exp","")))</f>
        <v/>
      </c>
      <c r="J800" s="79">
        <f>IF(OR($A800="",J$23=""),"",IF(COUNTIFS('AFA Rates'!$A$5:$A$1004,$A800,'AFA Rates'!$B$5:$B$1004,J$23,'AFA Rates'!$O$5:$O$1004,"&lt;&gt;Expired")&gt;0,"✓",IF(COUNTIFS('AFA Rates'!$A$5:$A$1004,$A800,'AFA Rates'!$B$5:$B$1004,J$23)&gt;0,"Exp","")))</f>
        <v/>
      </c>
      <c r="K800" s="79">
        <f>IF(OR($A800="",K$23=""),"",IF(COUNTIFS('AFA Rates'!$A$5:$A$1004,$A800,'AFA Rates'!$B$5:$B$1004,K$23,'AFA Rates'!$O$5:$O$1004,"&lt;&gt;Expired")&gt;0,"✓",IF(COUNTIFS('AFA Rates'!$A$5:$A$1004,$A800,'AFA Rates'!$B$5:$B$1004,K$23)&gt;0,"Exp","")))</f>
        <v/>
      </c>
      <c r="L800" s="79">
        <f>IF(OR($A800="",L$23=""),"",IF(COUNTIFS('AFA Rates'!$A$5:$A$1004,$A800,'AFA Rates'!$B$5:$B$1004,L$23,'AFA Rates'!$O$5:$O$1004,"&lt;&gt;Expired")&gt;0,"✓",IF(COUNTIFS('AFA Rates'!$A$5:$A$1004,$A800,'AFA Rates'!$B$5:$B$1004,L$23)&gt;0,"Exp","")))</f>
        <v/>
      </c>
      <c r="M800" s="79">
        <f>IF(OR($A800="",M$23=""),"",IF(COUNTIFS('AFA Rates'!$A$5:$A$1004,$A800,'AFA Rates'!$B$5:$B$1004,M$23,'AFA Rates'!$O$5:$O$1004,"&lt;&gt;Expired")&gt;0,"✓",IF(COUNTIFS('AFA Rates'!$A$5:$A$1004,$A800,'AFA Rates'!$B$5:$B$1004,M$23)&gt;0,"Exp","")))</f>
        <v/>
      </c>
    </row>
    <row r="801">
      <c r="A801" s="78">
        <f>IFERROR(INDEX(Firms!$A$5:$A$1004,MATCH(778,Firms!$V$5:$V$1004,0)),"")</f>
        <v/>
      </c>
      <c r="B801" s="79">
        <f>IF($A801="","",INDEX(Firms!$B$5:$B$1004,MATCH(778,Firms!$V$5:$V$1004,0)))</f>
        <v/>
      </c>
      <c r="C801" s="79">
        <f>IF($A801="","",COUNTIFS('AFA Rates'!$A$5:$A$1004,$A801,'AFA Rates'!$O$5:$O$1004,"&lt;&gt;Expired"))</f>
        <v/>
      </c>
      <c r="D801" s="79">
        <f>IF(OR($A801="",D$23=""),"",IF(COUNTIFS('AFA Rates'!$A$5:$A$1004,$A801,'AFA Rates'!$B$5:$B$1004,D$23,'AFA Rates'!$O$5:$O$1004,"&lt;&gt;Expired")&gt;0,"✓",IF(COUNTIFS('AFA Rates'!$A$5:$A$1004,$A801,'AFA Rates'!$B$5:$B$1004,D$23)&gt;0,"Exp","")))</f>
        <v/>
      </c>
      <c r="E801" s="79">
        <f>IF(OR($A801="",E$23=""),"",IF(COUNTIFS('AFA Rates'!$A$5:$A$1004,$A801,'AFA Rates'!$B$5:$B$1004,E$23,'AFA Rates'!$O$5:$O$1004,"&lt;&gt;Expired")&gt;0,"✓",IF(COUNTIFS('AFA Rates'!$A$5:$A$1004,$A801,'AFA Rates'!$B$5:$B$1004,E$23)&gt;0,"Exp","")))</f>
        <v/>
      </c>
      <c r="F801" s="79">
        <f>IF(OR($A801="",F$23=""),"",IF(COUNTIFS('AFA Rates'!$A$5:$A$1004,$A801,'AFA Rates'!$B$5:$B$1004,F$23,'AFA Rates'!$O$5:$O$1004,"&lt;&gt;Expired")&gt;0,"✓",IF(COUNTIFS('AFA Rates'!$A$5:$A$1004,$A801,'AFA Rates'!$B$5:$B$1004,F$23)&gt;0,"Exp","")))</f>
        <v/>
      </c>
      <c r="G801" s="79">
        <f>IF(OR($A801="",G$23=""),"",IF(COUNTIFS('AFA Rates'!$A$5:$A$1004,$A801,'AFA Rates'!$B$5:$B$1004,G$23,'AFA Rates'!$O$5:$O$1004,"&lt;&gt;Expired")&gt;0,"✓",IF(COUNTIFS('AFA Rates'!$A$5:$A$1004,$A801,'AFA Rates'!$B$5:$B$1004,G$23)&gt;0,"Exp","")))</f>
        <v/>
      </c>
      <c r="H801" s="79">
        <f>IF(OR($A801="",H$23=""),"",IF(COUNTIFS('AFA Rates'!$A$5:$A$1004,$A801,'AFA Rates'!$B$5:$B$1004,H$23,'AFA Rates'!$O$5:$O$1004,"&lt;&gt;Expired")&gt;0,"✓",IF(COUNTIFS('AFA Rates'!$A$5:$A$1004,$A801,'AFA Rates'!$B$5:$B$1004,H$23)&gt;0,"Exp","")))</f>
        <v/>
      </c>
      <c r="I801" s="79">
        <f>IF(OR($A801="",I$23=""),"",IF(COUNTIFS('AFA Rates'!$A$5:$A$1004,$A801,'AFA Rates'!$B$5:$B$1004,I$23,'AFA Rates'!$O$5:$O$1004,"&lt;&gt;Expired")&gt;0,"✓",IF(COUNTIFS('AFA Rates'!$A$5:$A$1004,$A801,'AFA Rates'!$B$5:$B$1004,I$23)&gt;0,"Exp","")))</f>
        <v/>
      </c>
      <c r="J801" s="79">
        <f>IF(OR($A801="",J$23=""),"",IF(COUNTIFS('AFA Rates'!$A$5:$A$1004,$A801,'AFA Rates'!$B$5:$B$1004,J$23,'AFA Rates'!$O$5:$O$1004,"&lt;&gt;Expired")&gt;0,"✓",IF(COUNTIFS('AFA Rates'!$A$5:$A$1004,$A801,'AFA Rates'!$B$5:$B$1004,J$23)&gt;0,"Exp","")))</f>
        <v/>
      </c>
      <c r="K801" s="79">
        <f>IF(OR($A801="",K$23=""),"",IF(COUNTIFS('AFA Rates'!$A$5:$A$1004,$A801,'AFA Rates'!$B$5:$B$1004,K$23,'AFA Rates'!$O$5:$O$1004,"&lt;&gt;Expired")&gt;0,"✓",IF(COUNTIFS('AFA Rates'!$A$5:$A$1004,$A801,'AFA Rates'!$B$5:$B$1004,K$23)&gt;0,"Exp","")))</f>
        <v/>
      </c>
      <c r="L801" s="79">
        <f>IF(OR($A801="",L$23=""),"",IF(COUNTIFS('AFA Rates'!$A$5:$A$1004,$A801,'AFA Rates'!$B$5:$B$1004,L$23,'AFA Rates'!$O$5:$O$1004,"&lt;&gt;Expired")&gt;0,"✓",IF(COUNTIFS('AFA Rates'!$A$5:$A$1004,$A801,'AFA Rates'!$B$5:$B$1004,L$23)&gt;0,"Exp","")))</f>
        <v/>
      </c>
      <c r="M801" s="79">
        <f>IF(OR($A801="",M$23=""),"",IF(COUNTIFS('AFA Rates'!$A$5:$A$1004,$A801,'AFA Rates'!$B$5:$B$1004,M$23,'AFA Rates'!$O$5:$O$1004,"&lt;&gt;Expired")&gt;0,"✓",IF(COUNTIFS('AFA Rates'!$A$5:$A$1004,$A801,'AFA Rates'!$B$5:$B$1004,M$23)&gt;0,"Exp","")))</f>
        <v/>
      </c>
    </row>
    <row r="802">
      <c r="A802" s="78">
        <f>IFERROR(INDEX(Firms!$A$5:$A$1004,MATCH(779,Firms!$V$5:$V$1004,0)),"")</f>
        <v/>
      </c>
      <c r="B802" s="79">
        <f>IF($A802="","",INDEX(Firms!$B$5:$B$1004,MATCH(779,Firms!$V$5:$V$1004,0)))</f>
        <v/>
      </c>
      <c r="C802" s="79">
        <f>IF($A802="","",COUNTIFS('AFA Rates'!$A$5:$A$1004,$A802,'AFA Rates'!$O$5:$O$1004,"&lt;&gt;Expired"))</f>
        <v/>
      </c>
      <c r="D802" s="79">
        <f>IF(OR($A802="",D$23=""),"",IF(COUNTIFS('AFA Rates'!$A$5:$A$1004,$A802,'AFA Rates'!$B$5:$B$1004,D$23,'AFA Rates'!$O$5:$O$1004,"&lt;&gt;Expired")&gt;0,"✓",IF(COUNTIFS('AFA Rates'!$A$5:$A$1004,$A802,'AFA Rates'!$B$5:$B$1004,D$23)&gt;0,"Exp","")))</f>
        <v/>
      </c>
      <c r="E802" s="79">
        <f>IF(OR($A802="",E$23=""),"",IF(COUNTIFS('AFA Rates'!$A$5:$A$1004,$A802,'AFA Rates'!$B$5:$B$1004,E$23,'AFA Rates'!$O$5:$O$1004,"&lt;&gt;Expired")&gt;0,"✓",IF(COUNTIFS('AFA Rates'!$A$5:$A$1004,$A802,'AFA Rates'!$B$5:$B$1004,E$23)&gt;0,"Exp","")))</f>
        <v/>
      </c>
      <c r="F802" s="79">
        <f>IF(OR($A802="",F$23=""),"",IF(COUNTIFS('AFA Rates'!$A$5:$A$1004,$A802,'AFA Rates'!$B$5:$B$1004,F$23,'AFA Rates'!$O$5:$O$1004,"&lt;&gt;Expired")&gt;0,"✓",IF(COUNTIFS('AFA Rates'!$A$5:$A$1004,$A802,'AFA Rates'!$B$5:$B$1004,F$23)&gt;0,"Exp","")))</f>
        <v/>
      </c>
      <c r="G802" s="79">
        <f>IF(OR($A802="",G$23=""),"",IF(COUNTIFS('AFA Rates'!$A$5:$A$1004,$A802,'AFA Rates'!$B$5:$B$1004,G$23,'AFA Rates'!$O$5:$O$1004,"&lt;&gt;Expired")&gt;0,"✓",IF(COUNTIFS('AFA Rates'!$A$5:$A$1004,$A802,'AFA Rates'!$B$5:$B$1004,G$23)&gt;0,"Exp","")))</f>
        <v/>
      </c>
      <c r="H802" s="79">
        <f>IF(OR($A802="",H$23=""),"",IF(COUNTIFS('AFA Rates'!$A$5:$A$1004,$A802,'AFA Rates'!$B$5:$B$1004,H$23,'AFA Rates'!$O$5:$O$1004,"&lt;&gt;Expired")&gt;0,"✓",IF(COUNTIFS('AFA Rates'!$A$5:$A$1004,$A802,'AFA Rates'!$B$5:$B$1004,H$23)&gt;0,"Exp","")))</f>
        <v/>
      </c>
      <c r="I802" s="79">
        <f>IF(OR($A802="",I$23=""),"",IF(COUNTIFS('AFA Rates'!$A$5:$A$1004,$A802,'AFA Rates'!$B$5:$B$1004,I$23,'AFA Rates'!$O$5:$O$1004,"&lt;&gt;Expired")&gt;0,"✓",IF(COUNTIFS('AFA Rates'!$A$5:$A$1004,$A802,'AFA Rates'!$B$5:$B$1004,I$23)&gt;0,"Exp","")))</f>
        <v/>
      </c>
      <c r="J802" s="79">
        <f>IF(OR($A802="",J$23=""),"",IF(COUNTIFS('AFA Rates'!$A$5:$A$1004,$A802,'AFA Rates'!$B$5:$B$1004,J$23,'AFA Rates'!$O$5:$O$1004,"&lt;&gt;Expired")&gt;0,"✓",IF(COUNTIFS('AFA Rates'!$A$5:$A$1004,$A802,'AFA Rates'!$B$5:$B$1004,J$23)&gt;0,"Exp","")))</f>
        <v/>
      </c>
      <c r="K802" s="79">
        <f>IF(OR($A802="",K$23=""),"",IF(COUNTIFS('AFA Rates'!$A$5:$A$1004,$A802,'AFA Rates'!$B$5:$B$1004,K$23,'AFA Rates'!$O$5:$O$1004,"&lt;&gt;Expired")&gt;0,"✓",IF(COUNTIFS('AFA Rates'!$A$5:$A$1004,$A802,'AFA Rates'!$B$5:$B$1004,K$23)&gt;0,"Exp","")))</f>
        <v/>
      </c>
      <c r="L802" s="79">
        <f>IF(OR($A802="",L$23=""),"",IF(COUNTIFS('AFA Rates'!$A$5:$A$1004,$A802,'AFA Rates'!$B$5:$B$1004,L$23,'AFA Rates'!$O$5:$O$1004,"&lt;&gt;Expired")&gt;0,"✓",IF(COUNTIFS('AFA Rates'!$A$5:$A$1004,$A802,'AFA Rates'!$B$5:$B$1004,L$23)&gt;0,"Exp","")))</f>
        <v/>
      </c>
      <c r="M802" s="79">
        <f>IF(OR($A802="",M$23=""),"",IF(COUNTIFS('AFA Rates'!$A$5:$A$1004,$A802,'AFA Rates'!$B$5:$B$1004,M$23,'AFA Rates'!$O$5:$O$1004,"&lt;&gt;Expired")&gt;0,"✓",IF(COUNTIFS('AFA Rates'!$A$5:$A$1004,$A802,'AFA Rates'!$B$5:$B$1004,M$23)&gt;0,"Exp","")))</f>
        <v/>
      </c>
    </row>
    <row r="803">
      <c r="A803" s="78">
        <f>IFERROR(INDEX(Firms!$A$5:$A$1004,MATCH(780,Firms!$V$5:$V$1004,0)),"")</f>
        <v/>
      </c>
      <c r="B803" s="79">
        <f>IF($A803="","",INDEX(Firms!$B$5:$B$1004,MATCH(780,Firms!$V$5:$V$1004,0)))</f>
        <v/>
      </c>
      <c r="C803" s="79">
        <f>IF($A803="","",COUNTIFS('AFA Rates'!$A$5:$A$1004,$A803,'AFA Rates'!$O$5:$O$1004,"&lt;&gt;Expired"))</f>
        <v/>
      </c>
      <c r="D803" s="79">
        <f>IF(OR($A803="",D$23=""),"",IF(COUNTIFS('AFA Rates'!$A$5:$A$1004,$A803,'AFA Rates'!$B$5:$B$1004,D$23,'AFA Rates'!$O$5:$O$1004,"&lt;&gt;Expired")&gt;0,"✓",IF(COUNTIFS('AFA Rates'!$A$5:$A$1004,$A803,'AFA Rates'!$B$5:$B$1004,D$23)&gt;0,"Exp","")))</f>
        <v/>
      </c>
      <c r="E803" s="79">
        <f>IF(OR($A803="",E$23=""),"",IF(COUNTIFS('AFA Rates'!$A$5:$A$1004,$A803,'AFA Rates'!$B$5:$B$1004,E$23,'AFA Rates'!$O$5:$O$1004,"&lt;&gt;Expired")&gt;0,"✓",IF(COUNTIFS('AFA Rates'!$A$5:$A$1004,$A803,'AFA Rates'!$B$5:$B$1004,E$23)&gt;0,"Exp","")))</f>
        <v/>
      </c>
      <c r="F803" s="79">
        <f>IF(OR($A803="",F$23=""),"",IF(COUNTIFS('AFA Rates'!$A$5:$A$1004,$A803,'AFA Rates'!$B$5:$B$1004,F$23,'AFA Rates'!$O$5:$O$1004,"&lt;&gt;Expired")&gt;0,"✓",IF(COUNTIFS('AFA Rates'!$A$5:$A$1004,$A803,'AFA Rates'!$B$5:$B$1004,F$23)&gt;0,"Exp","")))</f>
        <v/>
      </c>
      <c r="G803" s="79">
        <f>IF(OR($A803="",G$23=""),"",IF(COUNTIFS('AFA Rates'!$A$5:$A$1004,$A803,'AFA Rates'!$B$5:$B$1004,G$23,'AFA Rates'!$O$5:$O$1004,"&lt;&gt;Expired")&gt;0,"✓",IF(COUNTIFS('AFA Rates'!$A$5:$A$1004,$A803,'AFA Rates'!$B$5:$B$1004,G$23)&gt;0,"Exp","")))</f>
        <v/>
      </c>
      <c r="H803" s="79">
        <f>IF(OR($A803="",H$23=""),"",IF(COUNTIFS('AFA Rates'!$A$5:$A$1004,$A803,'AFA Rates'!$B$5:$B$1004,H$23,'AFA Rates'!$O$5:$O$1004,"&lt;&gt;Expired")&gt;0,"✓",IF(COUNTIFS('AFA Rates'!$A$5:$A$1004,$A803,'AFA Rates'!$B$5:$B$1004,H$23)&gt;0,"Exp","")))</f>
        <v/>
      </c>
      <c r="I803" s="79">
        <f>IF(OR($A803="",I$23=""),"",IF(COUNTIFS('AFA Rates'!$A$5:$A$1004,$A803,'AFA Rates'!$B$5:$B$1004,I$23,'AFA Rates'!$O$5:$O$1004,"&lt;&gt;Expired")&gt;0,"✓",IF(COUNTIFS('AFA Rates'!$A$5:$A$1004,$A803,'AFA Rates'!$B$5:$B$1004,I$23)&gt;0,"Exp","")))</f>
        <v/>
      </c>
      <c r="J803" s="79">
        <f>IF(OR($A803="",J$23=""),"",IF(COUNTIFS('AFA Rates'!$A$5:$A$1004,$A803,'AFA Rates'!$B$5:$B$1004,J$23,'AFA Rates'!$O$5:$O$1004,"&lt;&gt;Expired")&gt;0,"✓",IF(COUNTIFS('AFA Rates'!$A$5:$A$1004,$A803,'AFA Rates'!$B$5:$B$1004,J$23)&gt;0,"Exp","")))</f>
        <v/>
      </c>
      <c r="K803" s="79">
        <f>IF(OR($A803="",K$23=""),"",IF(COUNTIFS('AFA Rates'!$A$5:$A$1004,$A803,'AFA Rates'!$B$5:$B$1004,K$23,'AFA Rates'!$O$5:$O$1004,"&lt;&gt;Expired")&gt;0,"✓",IF(COUNTIFS('AFA Rates'!$A$5:$A$1004,$A803,'AFA Rates'!$B$5:$B$1004,K$23)&gt;0,"Exp","")))</f>
        <v/>
      </c>
      <c r="L803" s="79">
        <f>IF(OR($A803="",L$23=""),"",IF(COUNTIFS('AFA Rates'!$A$5:$A$1004,$A803,'AFA Rates'!$B$5:$B$1004,L$23,'AFA Rates'!$O$5:$O$1004,"&lt;&gt;Expired")&gt;0,"✓",IF(COUNTIFS('AFA Rates'!$A$5:$A$1004,$A803,'AFA Rates'!$B$5:$B$1004,L$23)&gt;0,"Exp","")))</f>
        <v/>
      </c>
      <c r="M803" s="79">
        <f>IF(OR($A803="",M$23=""),"",IF(COUNTIFS('AFA Rates'!$A$5:$A$1004,$A803,'AFA Rates'!$B$5:$B$1004,M$23,'AFA Rates'!$O$5:$O$1004,"&lt;&gt;Expired")&gt;0,"✓",IF(COUNTIFS('AFA Rates'!$A$5:$A$1004,$A803,'AFA Rates'!$B$5:$B$1004,M$23)&gt;0,"Exp","")))</f>
        <v/>
      </c>
    </row>
    <row r="804">
      <c r="A804" s="78">
        <f>IFERROR(INDEX(Firms!$A$5:$A$1004,MATCH(781,Firms!$V$5:$V$1004,0)),"")</f>
        <v/>
      </c>
      <c r="B804" s="79">
        <f>IF($A804="","",INDEX(Firms!$B$5:$B$1004,MATCH(781,Firms!$V$5:$V$1004,0)))</f>
        <v/>
      </c>
      <c r="C804" s="79">
        <f>IF($A804="","",COUNTIFS('AFA Rates'!$A$5:$A$1004,$A804,'AFA Rates'!$O$5:$O$1004,"&lt;&gt;Expired"))</f>
        <v/>
      </c>
      <c r="D804" s="79">
        <f>IF(OR($A804="",D$23=""),"",IF(COUNTIFS('AFA Rates'!$A$5:$A$1004,$A804,'AFA Rates'!$B$5:$B$1004,D$23,'AFA Rates'!$O$5:$O$1004,"&lt;&gt;Expired")&gt;0,"✓",IF(COUNTIFS('AFA Rates'!$A$5:$A$1004,$A804,'AFA Rates'!$B$5:$B$1004,D$23)&gt;0,"Exp","")))</f>
        <v/>
      </c>
      <c r="E804" s="79">
        <f>IF(OR($A804="",E$23=""),"",IF(COUNTIFS('AFA Rates'!$A$5:$A$1004,$A804,'AFA Rates'!$B$5:$B$1004,E$23,'AFA Rates'!$O$5:$O$1004,"&lt;&gt;Expired")&gt;0,"✓",IF(COUNTIFS('AFA Rates'!$A$5:$A$1004,$A804,'AFA Rates'!$B$5:$B$1004,E$23)&gt;0,"Exp","")))</f>
        <v/>
      </c>
      <c r="F804" s="79">
        <f>IF(OR($A804="",F$23=""),"",IF(COUNTIFS('AFA Rates'!$A$5:$A$1004,$A804,'AFA Rates'!$B$5:$B$1004,F$23,'AFA Rates'!$O$5:$O$1004,"&lt;&gt;Expired")&gt;0,"✓",IF(COUNTIFS('AFA Rates'!$A$5:$A$1004,$A804,'AFA Rates'!$B$5:$B$1004,F$23)&gt;0,"Exp","")))</f>
        <v/>
      </c>
      <c r="G804" s="79">
        <f>IF(OR($A804="",G$23=""),"",IF(COUNTIFS('AFA Rates'!$A$5:$A$1004,$A804,'AFA Rates'!$B$5:$B$1004,G$23,'AFA Rates'!$O$5:$O$1004,"&lt;&gt;Expired")&gt;0,"✓",IF(COUNTIFS('AFA Rates'!$A$5:$A$1004,$A804,'AFA Rates'!$B$5:$B$1004,G$23)&gt;0,"Exp","")))</f>
        <v/>
      </c>
      <c r="H804" s="79">
        <f>IF(OR($A804="",H$23=""),"",IF(COUNTIFS('AFA Rates'!$A$5:$A$1004,$A804,'AFA Rates'!$B$5:$B$1004,H$23,'AFA Rates'!$O$5:$O$1004,"&lt;&gt;Expired")&gt;0,"✓",IF(COUNTIFS('AFA Rates'!$A$5:$A$1004,$A804,'AFA Rates'!$B$5:$B$1004,H$23)&gt;0,"Exp","")))</f>
        <v/>
      </c>
      <c r="I804" s="79">
        <f>IF(OR($A804="",I$23=""),"",IF(COUNTIFS('AFA Rates'!$A$5:$A$1004,$A804,'AFA Rates'!$B$5:$B$1004,I$23,'AFA Rates'!$O$5:$O$1004,"&lt;&gt;Expired")&gt;0,"✓",IF(COUNTIFS('AFA Rates'!$A$5:$A$1004,$A804,'AFA Rates'!$B$5:$B$1004,I$23)&gt;0,"Exp","")))</f>
        <v/>
      </c>
      <c r="J804" s="79">
        <f>IF(OR($A804="",J$23=""),"",IF(COUNTIFS('AFA Rates'!$A$5:$A$1004,$A804,'AFA Rates'!$B$5:$B$1004,J$23,'AFA Rates'!$O$5:$O$1004,"&lt;&gt;Expired")&gt;0,"✓",IF(COUNTIFS('AFA Rates'!$A$5:$A$1004,$A804,'AFA Rates'!$B$5:$B$1004,J$23)&gt;0,"Exp","")))</f>
        <v/>
      </c>
      <c r="K804" s="79">
        <f>IF(OR($A804="",K$23=""),"",IF(COUNTIFS('AFA Rates'!$A$5:$A$1004,$A804,'AFA Rates'!$B$5:$B$1004,K$23,'AFA Rates'!$O$5:$O$1004,"&lt;&gt;Expired")&gt;0,"✓",IF(COUNTIFS('AFA Rates'!$A$5:$A$1004,$A804,'AFA Rates'!$B$5:$B$1004,K$23)&gt;0,"Exp","")))</f>
        <v/>
      </c>
      <c r="L804" s="79">
        <f>IF(OR($A804="",L$23=""),"",IF(COUNTIFS('AFA Rates'!$A$5:$A$1004,$A804,'AFA Rates'!$B$5:$B$1004,L$23,'AFA Rates'!$O$5:$O$1004,"&lt;&gt;Expired")&gt;0,"✓",IF(COUNTIFS('AFA Rates'!$A$5:$A$1004,$A804,'AFA Rates'!$B$5:$B$1004,L$23)&gt;0,"Exp","")))</f>
        <v/>
      </c>
      <c r="M804" s="79">
        <f>IF(OR($A804="",M$23=""),"",IF(COUNTIFS('AFA Rates'!$A$5:$A$1004,$A804,'AFA Rates'!$B$5:$B$1004,M$23,'AFA Rates'!$O$5:$O$1004,"&lt;&gt;Expired")&gt;0,"✓",IF(COUNTIFS('AFA Rates'!$A$5:$A$1004,$A804,'AFA Rates'!$B$5:$B$1004,M$23)&gt;0,"Exp","")))</f>
        <v/>
      </c>
    </row>
    <row r="805">
      <c r="A805" s="78">
        <f>IFERROR(INDEX(Firms!$A$5:$A$1004,MATCH(782,Firms!$V$5:$V$1004,0)),"")</f>
        <v/>
      </c>
      <c r="B805" s="79">
        <f>IF($A805="","",INDEX(Firms!$B$5:$B$1004,MATCH(782,Firms!$V$5:$V$1004,0)))</f>
        <v/>
      </c>
      <c r="C805" s="79">
        <f>IF($A805="","",COUNTIFS('AFA Rates'!$A$5:$A$1004,$A805,'AFA Rates'!$O$5:$O$1004,"&lt;&gt;Expired"))</f>
        <v/>
      </c>
      <c r="D805" s="79">
        <f>IF(OR($A805="",D$23=""),"",IF(COUNTIFS('AFA Rates'!$A$5:$A$1004,$A805,'AFA Rates'!$B$5:$B$1004,D$23,'AFA Rates'!$O$5:$O$1004,"&lt;&gt;Expired")&gt;0,"✓",IF(COUNTIFS('AFA Rates'!$A$5:$A$1004,$A805,'AFA Rates'!$B$5:$B$1004,D$23)&gt;0,"Exp","")))</f>
        <v/>
      </c>
      <c r="E805" s="79">
        <f>IF(OR($A805="",E$23=""),"",IF(COUNTIFS('AFA Rates'!$A$5:$A$1004,$A805,'AFA Rates'!$B$5:$B$1004,E$23,'AFA Rates'!$O$5:$O$1004,"&lt;&gt;Expired")&gt;0,"✓",IF(COUNTIFS('AFA Rates'!$A$5:$A$1004,$A805,'AFA Rates'!$B$5:$B$1004,E$23)&gt;0,"Exp","")))</f>
        <v/>
      </c>
      <c r="F805" s="79">
        <f>IF(OR($A805="",F$23=""),"",IF(COUNTIFS('AFA Rates'!$A$5:$A$1004,$A805,'AFA Rates'!$B$5:$B$1004,F$23,'AFA Rates'!$O$5:$O$1004,"&lt;&gt;Expired")&gt;0,"✓",IF(COUNTIFS('AFA Rates'!$A$5:$A$1004,$A805,'AFA Rates'!$B$5:$B$1004,F$23)&gt;0,"Exp","")))</f>
        <v/>
      </c>
      <c r="G805" s="79">
        <f>IF(OR($A805="",G$23=""),"",IF(COUNTIFS('AFA Rates'!$A$5:$A$1004,$A805,'AFA Rates'!$B$5:$B$1004,G$23,'AFA Rates'!$O$5:$O$1004,"&lt;&gt;Expired")&gt;0,"✓",IF(COUNTIFS('AFA Rates'!$A$5:$A$1004,$A805,'AFA Rates'!$B$5:$B$1004,G$23)&gt;0,"Exp","")))</f>
        <v/>
      </c>
      <c r="H805" s="79">
        <f>IF(OR($A805="",H$23=""),"",IF(COUNTIFS('AFA Rates'!$A$5:$A$1004,$A805,'AFA Rates'!$B$5:$B$1004,H$23,'AFA Rates'!$O$5:$O$1004,"&lt;&gt;Expired")&gt;0,"✓",IF(COUNTIFS('AFA Rates'!$A$5:$A$1004,$A805,'AFA Rates'!$B$5:$B$1004,H$23)&gt;0,"Exp","")))</f>
        <v/>
      </c>
      <c r="I805" s="79">
        <f>IF(OR($A805="",I$23=""),"",IF(COUNTIFS('AFA Rates'!$A$5:$A$1004,$A805,'AFA Rates'!$B$5:$B$1004,I$23,'AFA Rates'!$O$5:$O$1004,"&lt;&gt;Expired")&gt;0,"✓",IF(COUNTIFS('AFA Rates'!$A$5:$A$1004,$A805,'AFA Rates'!$B$5:$B$1004,I$23)&gt;0,"Exp","")))</f>
        <v/>
      </c>
      <c r="J805" s="79">
        <f>IF(OR($A805="",J$23=""),"",IF(COUNTIFS('AFA Rates'!$A$5:$A$1004,$A805,'AFA Rates'!$B$5:$B$1004,J$23,'AFA Rates'!$O$5:$O$1004,"&lt;&gt;Expired")&gt;0,"✓",IF(COUNTIFS('AFA Rates'!$A$5:$A$1004,$A805,'AFA Rates'!$B$5:$B$1004,J$23)&gt;0,"Exp","")))</f>
        <v/>
      </c>
      <c r="K805" s="79">
        <f>IF(OR($A805="",K$23=""),"",IF(COUNTIFS('AFA Rates'!$A$5:$A$1004,$A805,'AFA Rates'!$B$5:$B$1004,K$23,'AFA Rates'!$O$5:$O$1004,"&lt;&gt;Expired")&gt;0,"✓",IF(COUNTIFS('AFA Rates'!$A$5:$A$1004,$A805,'AFA Rates'!$B$5:$B$1004,K$23)&gt;0,"Exp","")))</f>
        <v/>
      </c>
      <c r="L805" s="79">
        <f>IF(OR($A805="",L$23=""),"",IF(COUNTIFS('AFA Rates'!$A$5:$A$1004,$A805,'AFA Rates'!$B$5:$B$1004,L$23,'AFA Rates'!$O$5:$O$1004,"&lt;&gt;Expired")&gt;0,"✓",IF(COUNTIFS('AFA Rates'!$A$5:$A$1004,$A805,'AFA Rates'!$B$5:$B$1004,L$23)&gt;0,"Exp","")))</f>
        <v/>
      </c>
      <c r="M805" s="79">
        <f>IF(OR($A805="",M$23=""),"",IF(COUNTIFS('AFA Rates'!$A$5:$A$1004,$A805,'AFA Rates'!$B$5:$B$1004,M$23,'AFA Rates'!$O$5:$O$1004,"&lt;&gt;Expired")&gt;0,"✓",IF(COUNTIFS('AFA Rates'!$A$5:$A$1004,$A805,'AFA Rates'!$B$5:$B$1004,M$23)&gt;0,"Exp","")))</f>
        <v/>
      </c>
    </row>
    <row r="806">
      <c r="A806" s="78">
        <f>IFERROR(INDEX(Firms!$A$5:$A$1004,MATCH(783,Firms!$V$5:$V$1004,0)),"")</f>
        <v/>
      </c>
      <c r="B806" s="79">
        <f>IF($A806="","",INDEX(Firms!$B$5:$B$1004,MATCH(783,Firms!$V$5:$V$1004,0)))</f>
        <v/>
      </c>
      <c r="C806" s="79">
        <f>IF($A806="","",COUNTIFS('AFA Rates'!$A$5:$A$1004,$A806,'AFA Rates'!$O$5:$O$1004,"&lt;&gt;Expired"))</f>
        <v/>
      </c>
      <c r="D806" s="79">
        <f>IF(OR($A806="",D$23=""),"",IF(COUNTIFS('AFA Rates'!$A$5:$A$1004,$A806,'AFA Rates'!$B$5:$B$1004,D$23,'AFA Rates'!$O$5:$O$1004,"&lt;&gt;Expired")&gt;0,"✓",IF(COUNTIFS('AFA Rates'!$A$5:$A$1004,$A806,'AFA Rates'!$B$5:$B$1004,D$23)&gt;0,"Exp","")))</f>
        <v/>
      </c>
      <c r="E806" s="79">
        <f>IF(OR($A806="",E$23=""),"",IF(COUNTIFS('AFA Rates'!$A$5:$A$1004,$A806,'AFA Rates'!$B$5:$B$1004,E$23,'AFA Rates'!$O$5:$O$1004,"&lt;&gt;Expired")&gt;0,"✓",IF(COUNTIFS('AFA Rates'!$A$5:$A$1004,$A806,'AFA Rates'!$B$5:$B$1004,E$23)&gt;0,"Exp","")))</f>
        <v/>
      </c>
      <c r="F806" s="79">
        <f>IF(OR($A806="",F$23=""),"",IF(COUNTIFS('AFA Rates'!$A$5:$A$1004,$A806,'AFA Rates'!$B$5:$B$1004,F$23,'AFA Rates'!$O$5:$O$1004,"&lt;&gt;Expired")&gt;0,"✓",IF(COUNTIFS('AFA Rates'!$A$5:$A$1004,$A806,'AFA Rates'!$B$5:$B$1004,F$23)&gt;0,"Exp","")))</f>
        <v/>
      </c>
      <c r="G806" s="79">
        <f>IF(OR($A806="",G$23=""),"",IF(COUNTIFS('AFA Rates'!$A$5:$A$1004,$A806,'AFA Rates'!$B$5:$B$1004,G$23,'AFA Rates'!$O$5:$O$1004,"&lt;&gt;Expired")&gt;0,"✓",IF(COUNTIFS('AFA Rates'!$A$5:$A$1004,$A806,'AFA Rates'!$B$5:$B$1004,G$23)&gt;0,"Exp","")))</f>
        <v/>
      </c>
      <c r="H806" s="79">
        <f>IF(OR($A806="",H$23=""),"",IF(COUNTIFS('AFA Rates'!$A$5:$A$1004,$A806,'AFA Rates'!$B$5:$B$1004,H$23,'AFA Rates'!$O$5:$O$1004,"&lt;&gt;Expired")&gt;0,"✓",IF(COUNTIFS('AFA Rates'!$A$5:$A$1004,$A806,'AFA Rates'!$B$5:$B$1004,H$23)&gt;0,"Exp","")))</f>
        <v/>
      </c>
      <c r="I806" s="79">
        <f>IF(OR($A806="",I$23=""),"",IF(COUNTIFS('AFA Rates'!$A$5:$A$1004,$A806,'AFA Rates'!$B$5:$B$1004,I$23,'AFA Rates'!$O$5:$O$1004,"&lt;&gt;Expired")&gt;0,"✓",IF(COUNTIFS('AFA Rates'!$A$5:$A$1004,$A806,'AFA Rates'!$B$5:$B$1004,I$23)&gt;0,"Exp","")))</f>
        <v/>
      </c>
      <c r="J806" s="79">
        <f>IF(OR($A806="",J$23=""),"",IF(COUNTIFS('AFA Rates'!$A$5:$A$1004,$A806,'AFA Rates'!$B$5:$B$1004,J$23,'AFA Rates'!$O$5:$O$1004,"&lt;&gt;Expired")&gt;0,"✓",IF(COUNTIFS('AFA Rates'!$A$5:$A$1004,$A806,'AFA Rates'!$B$5:$B$1004,J$23)&gt;0,"Exp","")))</f>
        <v/>
      </c>
      <c r="K806" s="79">
        <f>IF(OR($A806="",K$23=""),"",IF(COUNTIFS('AFA Rates'!$A$5:$A$1004,$A806,'AFA Rates'!$B$5:$B$1004,K$23,'AFA Rates'!$O$5:$O$1004,"&lt;&gt;Expired")&gt;0,"✓",IF(COUNTIFS('AFA Rates'!$A$5:$A$1004,$A806,'AFA Rates'!$B$5:$B$1004,K$23)&gt;0,"Exp","")))</f>
        <v/>
      </c>
      <c r="L806" s="79">
        <f>IF(OR($A806="",L$23=""),"",IF(COUNTIFS('AFA Rates'!$A$5:$A$1004,$A806,'AFA Rates'!$B$5:$B$1004,L$23,'AFA Rates'!$O$5:$O$1004,"&lt;&gt;Expired")&gt;0,"✓",IF(COUNTIFS('AFA Rates'!$A$5:$A$1004,$A806,'AFA Rates'!$B$5:$B$1004,L$23)&gt;0,"Exp","")))</f>
        <v/>
      </c>
      <c r="M806" s="79">
        <f>IF(OR($A806="",M$23=""),"",IF(COUNTIFS('AFA Rates'!$A$5:$A$1004,$A806,'AFA Rates'!$B$5:$B$1004,M$23,'AFA Rates'!$O$5:$O$1004,"&lt;&gt;Expired")&gt;0,"✓",IF(COUNTIFS('AFA Rates'!$A$5:$A$1004,$A806,'AFA Rates'!$B$5:$B$1004,M$23)&gt;0,"Exp","")))</f>
        <v/>
      </c>
    </row>
    <row r="807">
      <c r="A807" s="78">
        <f>IFERROR(INDEX(Firms!$A$5:$A$1004,MATCH(784,Firms!$V$5:$V$1004,0)),"")</f>
        <v/>
      </c>
      <c r="B807" s="79">
        <f>IF($A807="","",INDEX(Firms!$B$5:$B$1004,MATCH(784,Firms!$V$5:$V$1004,0)))</f>
        <v/>
      </c>
      <c r="C807" s="79">
        <f>IF($A807="","",COUNTIFS('AFA Rates'!$A$5:$A$1004,$A807,'AFA Rates'!$O$5:$O$1004,"&lt;&gt;Expired"))</f>
        <v/>
      </c>
      <c r="D807" s="79">
        <f>IF(OR($A807="",D$23=""),"",IF(COUNTIFS('AFA Rates'!$A$5:$A$1004,$A807,'AFA Rates'!$B$5:$B$1004,D$23,'AFA Rates'!$O$5:$O$1004,"&lt;&gt;Expired")&gt;0,"✓",IF(COUNTIFS('AFA Rates'!$A$5:$A$1004,$A807,'AFA Rates'!$B$5:$B$1004,D$23)&gt;0,"Exp","")))</f>
        <v/>
      </c>
      <c r="E807" s="79">
        <f>IF(OR($A807="",E$23=""),"",IF(COUNTIFS('AFA Rates'!$A$5:$A$1004,$A807,'AFA Rates'!$B$5:$B$1004,E$23,'AFA Rates'!$O$5:$O$1004,"&lt;&gt;Expired")&gt;0,"✓",IF(COUNTIFS('AFA Rates'!$A$5:$A$1004,$A807,'AFA Rates'!$B$5:$B$1004,E$23)&gt;0,"Exp","")))</f>
        <v/>
      </c>
      <c r="F807" s="79">
        <f>IF(OR($A807="",F$23=""),"",IF(COUNTIFS('AFA Rates'!$A$5:$A$1004,$A807,'AFA Rates'!$B$5:$B$1004,F$23,'AFA Rates'!$O$5:$O$1004,"&lt;&gt;Expired")&gt;0,"✓",IF(COUNTIFS('AFA Rates'!$A$5:$A$1004,$A807,'AFA Rates'!$B$5:$B$1004,F$23)&gt;0,"Exp","")))</f>
        <v/>
      </c>
      <c r="G807" s="79">
        <f>IF(OR($A807="",G$23=""),"",IF(COUNTIFS('AFA Rates'!$A$5:$A$1004,$A807,'AFA Rates'!$B$5:$B$1004,G$23,'AFA Rates'!$O$5:$O$1004,"&lt;&gt;Expired")&gt;0,"✓",IF(COUNTIFS('AFA Rates'!$A$5:$A$1004,$A807,'AFA Rates'!$B$5:$B$1004,G$23)&gt;0,"Exp","")))</f>
        <v/>
      </c>
      <c r="H807" s="79">
        <f>IF(OR($A807="",H$23=""),"",IF(COUNTIFS('AFA Rates'!$A$5:$A$1004,$A807,'AFA Rates'!$B$5:$B$1004,H$23,'AFA Rates'!$O$5:$O$1004,"&lt;&gt;Expired")&gt;0,"✓",IF(COUNTIFS('AFA Rates'!$A$5:$A$1004,$A807,'AFA Rates'!$B$5:$B$1004,H$23)&gt;0,"Exp","")))</f>
        <v/>
      </c>
      <c r="I807" s="79">
        <f>IF(OR($A807="",I$23=""),"",IF(COUNTIFS('AFA Rates'!$A$5:$A$1004,$A807,'AFA Rates'!$B$5:$B$1004,I$23,'AFA Rates'!$O$5:$O$1004,"&lt;&gt;Expired")&gt;0,"✓",IF(COUNTIFS('AFA Rates'!$A$5:$A$1004,$A807,'AFA Rates'!$B$5:$B$1004,I$23)&gt;0,"Exp","")))</f>
        <v/>
      </c>
      <c r="J807" s="79">
        <f>IF(OR($A807="",J$23=""),"",IF(COUNTIFS('AFA Rates'!$A$5:$A$1004,$A807,'AFA Rates'!$B$5:$B$1004,J$23,'AFA Rates'!$O$5:$O$1004,"&lt;&gt;Expired")&gt;0,"✓",IF(COUNTIFS('AFA Rates'!$A$5:$A$1004,$A807,'AFA Rates'!$B$5:$B$1004,J$23)&gt;0,"Exp","")))</f>
        <v/>
      </c>
      <c r="K807" s="79">
        <f>IF(OR($A807="",K$23=""),"",IF(COUNTIFS('AFA Rates'!$A$5:$A$1004,$A807,'AFA Rates'!$B$5:$B$1004,K$23,'AFA Rates'!$O$5:$O$1004,"&lt;&gt;Expired")&gt;0,"✓",IF(COUNTIFS('AFA Rates'!$A$5:$A$1004,$A807,'AFA Rates'!$B$5:$B$1004,K$23)&gt;0,"Exp","")))</f>
        <v/>
      </c>
      <c r="L807" s="79">
        <f>IF(OR($A807="",L$23=""),"",IF(COUNTIFS('AFA Rates'!$A$5:$A$1004,$A807,'AFA Rates'!$B$5:$B$1004,L$23,'AFA Rates'!$O$5:$O$1004,"&lt;&gt;Expired")&gt;0,"✓",IF(COUNTIFS('AFA Rates'!$A$5:$A$1004,$A807,'AFA Rates'!$B$5:$B$1004,L$23)&gt;0,"Exp","")))</f>
        <v/>
      </c>
      <c r="M807" s="79">
        <f>IF(OR($A807="",M$23=""),"",IF(COUNTIFS('AFA Rates'!$A$5:$A$1004,$A807,'AFA Rates'!$B$5:$B$1004,M$23,'AFA Rates'!$O$5:$O$1004,"&lt;&gt;Expired")&gt;0,"✓",IF(COUNTIFS('AFA Rates'!$A$5:$A$1004,$A807,'AFA Rates'!$B$5:$B$1004,M$23)&gt;0,"Exp","")))</f>
        <v/>
      </c>
    </row>
    <row r="808">
      <c r="A808" s="78">
        <f>IFERROR(INDEX(Firms!$A$5:$A$1004,MATCH(785,Firms!$V$5:$V$1004,0)),"")</f>
        <v/>
      </c>
      <c r="B808" s="79">
        <f>IF($A808="","",INDEX(Firms!$B$5:$B$1004,MATCH(785,Firms!$V$5:$V$1004,0)))</f>
        <v/>
      </c>
      <c r="C808" s="79">
        <f>IF($A808="","",COUNTIFS('AFA Rates'!$A$5:$A$1004,$A808,'AFA Rates'!$O$5:$O$1004,"&lt;&gt;Expired"))</f>
        <v/>
      </c>
      <c r="D808" s="79">
        <f>IF(OR($A808="",D$23=""),"",IF(COUNTIFS('AFA Rates'!$A$5:$A$1004,$A808,'AFA Rates'!$B$5:$B$1004,D$23,'AFA Rates'!$O$5:$O$1004,"&lt;&gt;Expired")&gt;0,"✓",IF(COUNTIFS('AFA Rates'!$A$5:$A$1004,$A808,'AFA Rates'!$B$5:$B$1004,D$23)&gt;0,"Exp","")))</f>
        <v/>
      </c>
      <c r="E808" s="79">
        <f>IF(OR($A808="",E$23=""),"",IF(COUNTIFS('AFA Rates'!$A$5:$A$1004,$A808,'AFA Rates'!$B$5:$B$1004,E$23,'AFA Rates'!$O$5:$O$1004,"&lt;&gt;Expired")&gt;0,"✓",IF(COUNTIFS('AFA Rates'!$A$5:$A$1004,$A808,'AFA Rates'!$B$5:$B$1004,E$23)&gt;0,"Exp","")))</f>
        <v/>
      </c>
      <c r="F808" s="79">
        <f>IF(OR($A808="",F$23=""),"",IF(COUNTIFS('AFA Rates'!$A$5:$A$1004,$A808,'AFA Rates'!$B$5:$B$1004,F$23,'AFA Rates'!$O$5:$O$1004,"&lt;&gt;Expired")&gt;0,"✓",IF(COUNTIFS('AFA Rates'!$A$5:$A$1004,$A808,'AFA Rates'!$B$5:$B$1004,F$23)&gt;0,"Exp","")))</f>
        <v/>
      </c>
      <c r="G808" s="79">
        <f>IF(OR($A808="",G$23=""),"",IF(COUNTIFS('AFA Rates'!$A$5:$A$1004,$A808,'AFA Rates'!$B$5:$B$1004,G$23,'AFA Rates'!$O$5:$O$1004,"&lt;&gt;Expired")&gt;0,"✓",IF(COUNTIFS('AFA Rates'!$A$5:$A$1004,$A808,'AFA Rates'!$B$5:$B$1004,G$23)&gt;0,"Exp","")))</f>
        <v/>
      </c>
      <c r="H808" s="79">
        <f>IF(OR($A808="",H$23=""),"",IF(COUNTIFS('AFA Rates'!$A$5:$A$1004,$A808,'AFA Rates'!$B$5:$B$1004,H$23,'AFA Rates'!$O$5:$O$1004,"&lt;&gt;Expired")&gt;0,"✓",IF(COUNTIFS('AFA Rates'!$A$5:$A$1004,$A808,'AFA Rates'!$B$5:$B$1004,H$23)&gt;0,"Exp","")))</f>
        <v/>
      </c>
      <c r="I808" s="79">
        <f>IF(OR($A808="",I$23=""),"",IF(COUNTIFS('AFA Rates'!$A$5:$A$1004,$A808,'AFA Rates'!$B$5:$B$1004,I$23,'AFA Rates'!$O$5:$O$1004,"&lt;&gt;Expired")&gt;0,"✓",IF(COUNTIFS('AFA Rates'!$A$5:$A$1004,$A808,'AFA Rates'!$B$5:$B$1004,I$23)&gt;0,"Exp","")))</f>
        <v/>
      </c>
      <c r="J808" s="79">
        <f>IF(OR($A808="",J$23=""),"",IF(COUNTIFS('AFA Rates'!$A$5:$A$1004,$A808,'AFA Rates'!$B$5:$B$1004,J$23,'AFA Rates'!$O$5:$O$1004,"&lt;&gt;Expired")&gt;0,"✓",IF(COUNTIFS('AFA Rates'!$A$5:$A$1004,$A808,'AFA Rates'!$B$5:$B$1004,J$23)&gt;0,"Exp","")))</f>
        <v/>
      </c>
      <c r="K808" s="79">
        <f>IF(OR($A808="",K$23=""),"",IF(COUNTIFS('AFA Rates'!$A$5:$A$1004,$A808,'AFA Rates'!$B$5:$B$1004,K$23,'AFA Rates'!$O$5:$O$1004,"&lt;&gt;Expired")&gt;0,"✓",IF(COUNTIFS('AFA Rates'!$A$5:$A$1004,$A808,'AFA Rates'!$B$5:$B$1004,K$23)&gt;0,"Exp","")))</f>
        <v/>
      </c>
      <c r="L808" s="79">
        <f>IF(OR($A808="",L$23=""),"",IF(COUNTIFS('AFA Rates'!$A$5:$A$1004,$A808,'AFA Rates'!$B$5:$B$1004,L$23,'AFA Rates'!$O$5:$O$1004,"&lt;&gt;Expired")&gt;0,"✓",IF(COUNTIFS('AFA Rates'!$A$5:$A$1004,$A808,'AFA Rates'!$B$5:$B$1004,L$23)&gt;0,"Exp","")))</f>
        <v/>
      </c>
      <c r="M808" s="79">
        <f>IF(OR($A808="",M$23=""),"",IF(COUNTIFS('AFA Rates'!$A$5:$A$1004,$A808,'AFA Rates'!$B$5:$B$1004,M$23,'AFA Rates'!$O$5:$O$1004,"&lt;&gt;Expired")&gt;0,"✓",IF(COUNTIFS('AFA Rates'!$A$5:$A$1004,$A808,'AFA Rates'!$B$5:$B$1004,M$23)&gt;0,"Exp","")))</f>
        <v/>
      </c>
    </row>
    <row r="809">
      <c r="A809" s="78">
        <f>IFERROR(INDEX(Firms!$A$5:$A$1004,MATCH(786,Firms!$V$5:$V$1004,0)),"")</f>
        <v/>
      </c>
      <c r="B809" s="79">
        <f>IF($A809="","",INDEX(Firms!$B$5:$B$1004,MATCH(786,Firms!$V$5:$V$1004,0)))</f>
        <v/>
      </c>
      <c r="C809" s="79">
        <f>IF($A809="","",COUNTIFS('AFA Rates'!$A$5:$A$1004,$A809,'AFA Rates'!$O$5:$O$1004,"&lt;&gt;Expired"))</f>
        <v/>
      </c>
      <c r="D809" s="79">
        <f>IF(OR($A809="",D$23=""),"",IF(COUNTIFS('AFA Rates'!$A$5:$A$1004,$A809,'AFA Rates'!$B$5:$B$1004,D$23,'AFA Rates'!$O$5:$O$1004,"&lt;&gt;Expired")&gt;0,"✓",IF(COUNTIFS('AFA Rates'!$A$5:$A$1004,$A809,'AFA Rates'!$B$5:$B$1004,D$23)&gt;0,"Exp","")))</f>
        <v/>
      </c>
      <c r="E809" s="79">
        <f>IF(OR($A809="",E$23=""),"",IF(COUNTIFS('AFA Rates'!$A$5:$A$1004,$A809,'AFA Rates'!$B$5:$B$1004,E$23,'AFA Rates'!$O$5:$O$1004,"&lt;&gt;Expired")&gt;0,"✓",IF(COUNTIFS('AFA Rates'!$A$5:$A$1004,$A809,'AFA Rates'!$B$5:$B$1004,E$23)&gt;0,"Exp","")))</f>
        <v/>
      </c>
      <c r="F809" s="79">
        <f>IF(OR($A809="",F$23=""),"",IF(COUNTIFS('AFA Rates'!$A$5:$A$1004,$A809,'AFA Rates'!$B$5:$B$1004,F$23,'AFA Rates'!$O$5:$O$1004,"&lt;&gt;Expired")&gt;0,"✓",IF(COUNTIFS('AFA Rates'!$A$5:$A$1004,$A809,'AFA Rates'!$B$5:$B$1004,F$23)&gt;0,"Exp","")))</f>
        <v/>
      </c>
      <c r="G809" s="79">
        <f>IF(OR($A809="",G$23=""),"",IF(COUNTIFS('AFA Rates'!$A$5:$A$1004,$A809,'AFA Rates'!$B$5:$B$1004,G$23,'AFA Rates'!$O$5:$O$1004,"&lt;&gt;Expired")&gt;0,"✓",IF(COUNTIFS('AFA Rates'!$A$5:$A$1004,$A809,'AFA Rates'!$B$5:$B$1004,G$23)&gt;0,"Exp","")))</f>
        <v/>
      </c>
      <c r="H809" s="79">
        <f>IF(OR($A809="",H$23=""),"",IF(COUNTIFS('AFA Rates'!$A$5:$A$1004,$A809,'AFA Rates'!$B$5:$B$1004,H$23,'AFA Rates'!$O$5:$O$1004,"&lt;&gt;Expired")&gt;0,"✓",IF(COUNTIFS('AFA Rates'!$A$5:$A$1004,$A809,'AFA Rates'!$B$5:$B$1004,H$23)&gt;0,"Exp","")))</f>
        <v/>
      </c>
      <c r="I809" s="79">
        <f>IF(OR($A809="",I$23=""),"",IF(COUNTIFS('AFA Rates'!$A$5:$A$1004,$A809,'AFA Rates'!$B$5:$B$1004,I$23,'AFA Rates'!$O$5:$O$1004,"&lt;&gt;Expired")&gt;0,"✓",IF(COUNTIFS('AFA Rates'!$A$5:$A$1004,$A809,'AFA Rates'!$B$5:$B$1004,I$23)&gt;0,"Exp","")))</f>
        <v/>
      </c>
      <c r="J809" s="79">
        <f>IF(OR($A809="",J$23=""),"",IF(COUNTIFS('AFA Rates'!$A$5:$A$1004,$A809,'AFA Rates'!$B$5:$B$1004,J$23,'AFA Rates'!$O$5:$O$1004,"&lt;&gt;Expired")&gt;0,"✓",IF(COUNTIFS('AFA Rates'!$A$5:$A$1004,$A809,'AFA Rates'!$B$5:$B$1004,J$23)&gt;0,"Exp","")))</f>
        <v/>
      </c>
      <c r="K809" s="79">
        <f>IF(OR($A809="",K$23=""),"",IF(COUNTIFS('AFA Rates'!$A$5:$A$1004,$A809,'AFA Rates'!$B$5:$B$1004,K$23,'AFA Rates'!$O$5:$O$1004,"&lt;&gt;Expired")&gt;0,"✓",IF(COUNTIFS('AFA Rates'!$A$5:$A$1004,$A809,'AFA Rates'!$B$5:$B$1004,K$23)&gt;0,"Exp","")))</f>
        <v/>
      </c>
      <c r="L809" s="79">
        <f>IF(OR($A809="",L$23=""),"",IF(COUNTIFS('AFA Rates'!$A$5:$A$1004,$A809,'AFA Rates'!$B$5:$B$1004,L$23,'AFA Rates'!$O$5:$O$1004,"&lt;&gt;Expired")&gt;0,"✓",IF(COUNTIFS('AFA Rates'!$A$5:$A$1004,$A809,'AFA Rates'!$B$5:$B$1004,L$23)&gt;0,"Exp","")))</f>
        <v/>
      </c>
      <c r="M809" s="79">
        <f>IF(OR($A809="",M$23=""),"",IF(COUNTIFS('AFA Rates'!$A$5:$A$1004,$A809,'AFA Rates'!$B$5:$B$1004,M$23,'AFA Rates'!$O$5:$O$1004,"&lt;&gt;Expired")&gt;0,"✓",IF(COUNTIFS('AFA Rates'!$A$5:$A$1004,$A809,'AFA Rates'!$B$5:$B$1004,M$23)&gt;0,"Exp","")))</f>
        <v/>
      </c>
    </row>
    <row r="810">
      <c r="A810" s="78">
        <f>IFERROR(INDEX(Firms!$A$5:$A$1004,MATCH(787,Firms!$V$5:$V$1004,0)),"")</f>
        <v/>
      </c>
      <c r="B810" s="79">
        <f>IF($A810="","",INDEX(Firms!$B$5:$B$1004,MATCH(787,Firms!$V$5:$V$1004,0)))</f>
        <v/>
      </c>
      <c r="C810" s="79">
        <f>IF($A810="","",COUNTIFS('AFA Rates'!$A$5:$A$1004,$A810,'AFA Rates'!$O$5:$O$1004,"&lt;&gt;Expired"))</f>
        <v/>
      </c>
      <c r="D810" s="79">
        <f>IF(OR($A810="",D$23=""),"",IF(COUNTIFS('AFA Rates'!$A$5:$A$1004,$A810,'AFA Rates'!$B$5:$B$1004,D$23,'AFA Rates'!$O$5:$O$1004,"&lt;&gt;Expired")&gt;0,"✓",IF(COUNTIFS('AFA Rates'!$A$5:$A$1004,$A810,'AFA Rates'!$B$5:$B$1004,D$23)&gt;0,"Exp","")))</f>
        <v/>
      </c>
      <c r="E810" s="79">
        <f>IF(OR($A810="",E$23=""),"",IF(COUNTIFS('AFA Rates'!$A$5:$A$1004,$A810,'AFA Rates'!$B$5:$B$1004,E$23,'AFA Rates'!$O$5:$O$1004,"&lt;&gt;Expired")&gt;0,"✓",IF(COUNTIFS('AFA Rates'!$A$5:$A$1004,$A810,'AFA Rates'!$B$5:$B$1004,E$23)&gt;0,"Exp","")))</f>
        <v/>
      </c>
      <c r="F810" s="79">
        <f>IF(OR($A810="",F$23=""),"",IF(COUNTIFS('AFA Rates'!$A$5:$A$1004,$A810,'AFA Rates'!$B$5:$B$1004,F$23,'AFA Rates'!$O$5:$O$1004,"&lt;&gt;Expired")&gt;0,"✓",IF(COUNTIFS('AFA Rates'!$A$5:$A$1004,$A810,'AFA Rates'!$B$5:$B$1004,F$23)&gt;0,"Exp","")))</f>
        <v/>
      </c>
      <c r="G810" s="79">
        <f>IF(OR($A810="",G$23=""),"",IF(COUNTIFS('AFA Rates'!$A$5:$A$1004,$A810,'AFA Rates'!$B$5:$B$1004,G$23,'AFA Rates'!$O$5:$O$1004,"&lt;&gt;Expired")&gt;0,"✓",IF(COUNTIFS('AFA Rates'!$A$5:$A$1004,$A810,'AFA Rates'!$B$5:$B$1004,G$23)&gt;0,"Exp","")))</f>
        <v/>
      </c>
      <c r="H810" s="79">
        <f>IF(OR($A810="",H$23=""),"",IF(COUNTIFS('AFA Rates'!$A$5:$A$1004,$A810,'AFA Rates'!$B$5:$B$1004,H$23,'AFA Rates'!$O$5:$O$1004,"&lt;&gt;Expired")&gt;0,"✓",IF(COUNTIFS('AFA Rates'!$A$5:$A$1004,$A810,'AFA Rates'!$B$5:$B$1004,H$23)&gt;0,"Exp","")))</f>
        <v/>
      </c>
      <c r="I810" s="79">
        <f>IF(OR($A810="",I$23=""),"",IF(COUNTIFS('AFA Rates'!$A$5:$A$1004,$A810,'AFA Rates'!$B$5:$B$1004,I$23,'AFA Rates'!$O$5:$O$1004,"&lt;&gt;Expired")&gt;0,"✓",IF(COUNTIFS('AFA Rates'!$A$5:$A$1004,$A810,'AFA Rates'!$B$5:$B$1004,I$23)&gt;0,"Exp","")))</f>
        <v/>
      </c>
      <c r="J810" s="79">
        <f>IF(OR($A810="",J$23=""),"",IF(COUNTIFS('AFA Rates'!$A$5:$A$1004,$A810,'AFA Rates'!$B$5:$B$1004,J$23,'AFA Rates'!$O$5:$O$1004,"&lt;&gt;Expired")&gt;0,"✓",IF(COUNTIFS('AFA Rates'!$A$5:$A$1004,$A810,'AFA Rates'!$B$5:$B$1004,J$23)&gt;0,"Exp","")))</f>
        <v/>
      </c>
      <c r="K810" s="79">
        <f>IF(OR($A810="",K$23=""),"",IF(COUNTIFS('AFA Rates'!$A$5:$A$1004,$A810,'AFA Rates'!$B$5:$B$1004,K$23,'AFA Rates'!$O$5:$O$1004,"&lt;&gt;Expired")&gt;0,"✓",IF(COUNTIFS('AFA Rates'!$A$5:$A$1004,$A810,'AFA Rates'!$B$5:$B$1004,K$23)&gt;0,"Exp","")))</f>
        <v/>
      </c>
      <c r="L810" s="79">
        <f>IF(OR($A810="",L$23=""),"",IF(COUNTIFS('AFA Rates'!$A$5:$A$1004,$A810,'AFA Rates'!$B$5:$B$1004,L$23,'AFA Rates'!$O$5:$O$1004,"&lt;&gt;Expired")&gt;0,"✓",IF(COUNTIFS('AFA Rates'!$A$5:$A$1004,$A810,'AFA Rates'!$B$5:$B$1004,L$23)&gt;0,"Exp","")))</f>
        <v/>
      </c>
      <c r="M810" s="79">
        <f>IF(OR($A810="",M$23=""),"",IF(COUNTIFS('AFA Rates'!$A$5:$A$1004,$A810,'AFA Rates'!$B$5:$B$1004,M$23,'AFA Rates'!$O$5:$O$1004,"&lt;&gt;Expired")&gt;0,"✓",IF(COUNTIFS('AFA Rates'!$A$5:$A$1004,$A810,'AFA Rates'!$B$5:$B$1004,M$23)&gt;0,"Exp","")))</f>
        <v/>
      </c>
    </row>
    <row r="811">
      <c r="A811" s="78">
        <f>IFERROR(INDEX(Firms!$A$5:$A$1004,MATCH(788,Firms!$V$5:$V$1004,0)),"")</f>
        <v/>
      </c>
      <c r="B811" s="79">
        <f>IF($A811="","",INDEX(Firms!$B$5:$B$1004,MATCH(788,Firms!$V$5:$V$1004,0)))</f>
        <v/>
      </c>
      <c r="C811" s="79">
        <f>IF($A811="","",COUNTIFS('AFA Rates'!$A$5:$A$1004,$A811,'AFA Rates'!$O$5:$O$1004,"&lt;&gt;Expired"))</f>
        <v/>
      </c>
      <c r="D811" s="79">
        <f>IF(OR($A811="",D$23=""),"",IF(COUNTIFS('AFA Rates'!$A$5:$A$1004,$A811,'AFA Rates'!$B$5:$B$1004,D$23,'AFA Rates'!$O$5:$O$1004,"&lt;&gt;Expired")&gt;0,"✓",IF(COUNTIFS('AFA Rates'!$A$5:$A$1004,$A811,'AFA Rates'!$B$5:$B$1004,D$23)&gt;0,"Exp","")))</f>
        <v/>
      </c>
      <c r="E811" s="79">
        <f>IF(OR($A811="",E$23=""),"",IF(COUNTIFS('AFA Rates'!$A$5:$A$1004,$A811,'AFA Rates'!$B$5:$B$1004,E$23,'AFA Rates'!$O$5:$O$1004,"&lt;&gt;Expired")&gt;0,"✓",IF(COUNTIFS('AFA Rates'!$A$5:$A$1004,$A811,'AFA Rates'!$B$5:$B$1004,E$23)&gt;0,"Exp","")))</f>
        <v/>
      </c>
      <c r="F811" s="79">
        <f>IF(OR($A811="",F$23=""),"",IF(COUNTIFS('AFA Rates'!$A$5:$A$1004,$A811,'AFA Rates'!$B$5:$B$1004,F$23,'AFA Rates'!$O$5:$O$1004,"&lt;&gt;Expired")&gt;0,"✓",IF(COUNTIFS('AFA Rates'!$A$5:$A$1004,$A811,'AFA Rates'!$B$5:$B$1004,F$23)&gt;0,"Exp","")))</f>
        <v/>
      </c>
      <c r="G811" s="79">
        <f>IF(OR($A811="",G$23=""),"",IF(COUNTIFS('AFA Rates'!$A$5:$A$1004,$A811,'AFA Rates'!$B$5:$B$1004,G$23,'AFA Rates'!$O$5:$O$1004,"&lt;&gt;Expired")&gt;0,"✓",IF(COUNTIFS('AFA Rates'!$A$5:$A$1004,$A811,'AFA Rates'!$B$5:$B$1004,G$23)&gt;0,"Exp","")))</f>
        <v/>
      </c>
      <c r="H811" s="79">
        <f>IF(OR($A811="",H$23=""),"",IF(COUNTIFS('AFA Rates'!$A$5:$A$1004,$A811,'AFA Rates'!$B$5:$B$1004,H$23,'AFA Rates'!$O$5:$O$1004,"&lt;&gt;Expired")&gt;0,"✓",IF(COUNTIFS('AFA Rates'!$A$5:$A$1004,$A811,'AFA Rates'!$B$5:$B$1004,H$23)&gt;0,"Exp","")))</f>
        <v/>
      </c>
      <c r="I811" s="79">
        <f>IF(OR($A811="",I$23=""),"",IF(COUNTIFS('AFA Rates'!$A$5:$A$1004,$A811,'AFA Rates'!$B$5:$B$1004,I$23,'AFA Rates'!$O$5:$O$1004,"&lt;&gt;Expired")&gt;0,"✓",IF(COUNTIFS('AFA Rates'!$A$5:$A$1004,$A811,'AFA Rates'!$B$5:$B$1004,I$23)&gt;0,"Exp","")))</f>
        <v/>
      </c>
      <c r="J811" s="79">
        <f>IF(OR($A811="",J$23=""),"",IF(COUNTIFS('AFA Rates'!$A$5:$A$1004,$A811,'AFA Rates'!$B$5:$B$1004,J$23,'AFA Rates'!$O$5:$O$1004,"&lt;&gt;Expired")&gt;0,"✓",IF(COUNTIFS('AFA Rates'!$A$5:$A$1004,$A811,'AFA Rates'!$B$5:$B$1004,J$23)&gt;0,"Exp","")))</f>
        <v/>
      </c>
      <c r="K811" s="79">
        <f>IF(OR($A811="",K$23=""),"",IF(COUNTIFS('AFA Rates'!$A$5:$A$1004,$A811,'AFA Rates'!$B$5:$B$1004,K$23,'AFA Rates'!$O$5:$O$1004,"&lt;&gt;Expired")&gt;0,"✓",IF(COUNTIFS('AFA Rates'!$A$5:$A$1004,$A811,'AFA Rates'!$B$5:$B$1004,K$23)&gt;0,"Exp","")))</f>
        <v/>
      </c>
      <c r="L811" s="79">
        <f>IF(OR($A811="",L$23=""),"",IF(COUNTIFS('AFA Rates'!$A$5:$A$1004,$A811,'AFA Rates'!$B$5:$B$1004,L$23,'AFA Rates'!$O$5:$O$1004,"&lt;&gt;Expired")&gt;0,"✓",IF(COUNTIFS('AFA Rates'!$A$5:$A$1004,$A811,'AFA Rates'!$B$5:$B$1004,L$23)&gt;0,"Exp","")))</f>
        <v/>
      </c>
      <c r="M811" s="79">
        <f>IF(OR($A811="",M$23=""),"",IF(COUNTIFS('AFA Rates'!$A$5:$A$1004,$A811,'AFA Rates'!$B$5:$B$1004,M$23,'AFA Rates'!$O$5:$O$1004,"&lt;&gt;Expired")&gt;0,"✓",IF(COUNTIFS('AFA Rates'!$A$5:$A$1004,$A811,'AFA Rates'!$B$5:$B$1004,M$23)&gt;0,"Exp","")))</f>
        <v/>
      </c>
    </row>
    <row r="812">
      <c r="A812" s="78">
        <f>IFERROR(INDEX(Firms!$A$5:$A$1004,MATCH(789,Firms!$V$5:$V$1004,0)),"")</f>
        <v/>
      </c>
      <c r="B812" s="79">
        <f>IF($A812="","",INDEX(Firms!$B$5:$B$1004,MATCH(789,Firms!$V$5:$V$1004,0)))</f>
        <v/>
      </c>
      <c r="C812" s="79">
        <f>IF($A812="","",COUNTIFS('AFA Rates'!$A$5:$A$1004,$A812,'AFA Rates'!$O$5:$O$1004,"&lt;&gt;Expired"))</f>
        <v/>
      </c>
      <c r="D812" s="79">
        <f>IF(OR($A812="",D$23=""),"",IF(COUNTIFS('AFA Rates'!$A$5:$A$1004,$A812,'AFA Rates'!$B$5:$B$1004,D$23,'AFA Rates'!$O$5:$O$1004,"&lt;&gt;Expired")&gt;0,"✓",IF(COUNTIFS('AFA Rates'!$A$5:$A$1004,$A812,'AFA Rates'!$B$5:$B$1004,D$23)&gt;0,"Exp","")))</f>
        <v/>
      </c>
      <c r="E812" s="79">
        <f>IF(OR($A812="",E$23=""),"",IF(COUNTIFS('AFA Rates'!$A$5:$A$1004,$A812,'AFA Rates'!$B$5:$B$1004,E$23,'AFA Rates'!$O$5:$O$1004,"&lt;&gt;Expired")&gt;0,"✓",IF(COUNTIFS('AFA Rates'!$A$5:$A$1004,$A812,'AFA Rates'!$B$5:$B$1004,E$23)&gt;0,"Exp","")))</f>
        <v/>
      </c>
      <c r="F812" s="79">
        <f>IF(OR($A812="",F$23=""),"",IF(COUNTIFS('AFA Rates'!$A$5:$A$1004,$A812,'AFA Rates'!$B$5:$B$1004,F$23,'AFA Rates'!$O$5:$O$1004,"&lt;&gt;Expired")&gt;0,"✓",IF(COUNTIFS('AFA Rates'!$A$5:$A$1004,$A812,'AFA Rates'!$B$5:$B$1004,F$23)&gt;0,"Exp","")))</f>
        <v/>
      </c>
      <c r="G812" s="79">
        <f>IF(OR($A812="",G$23=""),"",IF(COUNTIFS('AFA Rates'!$A$5:$A$1004,$A812,'AFA Rates'!$B$5:$B$1004,G$23,'AFA Rates'!$O$5:$O$1004,"&lt;&gt;Expired")&gt;0,"✓",IF(COUNTIFS('AFA Rates'!$A$5:$A$1004,$A812,'AFA Rates'!$B$5:$B$1004,G$23)&gt;0,"Exp","")))</f>
        <v/>
      </c>
      <c r="H812" s="79">
        <f>IF(OR($A812="",H$23=""),"",IF(COUNTIFS('AFA Rates'!$A$5:$A$1004,$A812,'AFA Rates'!$B$5:$B$1004,H$23,'AFA Rates'!$O$5:$O$1004,"&lt;&gt;Expired")&gt;0,"✓",IF(COUNTIFS('AFA Rates'!$A$5:$A$1004,$A812,'AFA Rates'!$B$5:$B$1004,H$23)&gt;0,"Exp","")))</f>
        <v/>
      </c>
      <c r="I812" s="79">
        <f>IF(OR($A812="",I$23=""),"",IF(COUNTIFS('AFA Rates'!$A$5:$A$1004,$A812,'AFA Rates'!$B$5:$B$1004,I$23,'AFA Rates'!$O$5:$O$1004,"&lt;&gt;Expired")&gt;0,"✓",IF(COUNTIFS('AFA Rates'!$A$5:$A$1004,$A812,'AFA Rates'!$B$5:$B$1004,I$23)&gt;0,"Exp","")))</f>
        <v/>
      </c>
      <c r="J812" s="79">
        <f>IF(OR($A812="",J$23=""),"",IF(COUNTIFS('AFA Rates'!$A$5:$A$1004,$A812,'AFA Rates'!$B$5:$B$1004,J$23,'AFA Rates'!$O$5:$O$1004,"&lt;&gt;Expired")&gt;0,"✓",IF(COUNTIFS('AFA Rates'!$A$5:$A$1004,$A812,'AFA Rates'!$B$5:$B$1004,J$23)&gt;0,"Exp","")))</f>
        <v/>
      </c>
      <c r="K812" s="79">
        <f>IF(OR($A812="",K$23=""),"",IF(COUNTIFS('AFA Rates'!$A$5:$A$1004,$A812,'AFA Rates'!$B$5:$B$1004,K$23,'AFA Rates'!$O$5:$O$1004,"&lt;&gt;Expired")&gt;0,"✓",IF(COUNTIFS('AFA Rates'!$A$5:$A$1004,$A812,'AFA Rates'!$B$5:$B$1004,K$23)&gt;0,"Exp","")))</f>
        <v/>
      </c>
      <c r="L812" s="79">
        <f>IF(OR($A812="",L$23=""),"",IF(COUNTIFS('AFA Rates'!$A$5:$A$1004,$A812,'AFA Rates'!$B$5:$B$1004,L$23,'AFA Rates'!$O$5:$O$1004,"&lt;&gt;Expired")&gt;0,"✓",IF(COUNTIFS('AFA Rates'!$A$5:$A$1004,$A812,'AFA Rates'!$B$5:$B$1004,L$23)&gt;0,"Exp","")))</f>
        <v/>
      </c>
      <c r="M812" s="79">
        <f>IF(OR($A812="",M$23=""),"",IF(COUNTIFS('AFA Rates'!$A$5:$A$1004,$A812,'AFA Rates'!$B$5:$B$1004,M$23,'AFA Rates'!$O$5:$O$1004,"&lt;&gt;Expired")&gt;0,"✓",IF(COUNTIFS('AFA Rates'!$A$5:$A$1004,$A812,'AFA Rates'!$B$5:$B$1004,M$23)&gt;0,"Exp","")))</f>
        <v/>
      </c>
    </row>
    <row r="813">
      <c r="A813" s="78">
        <f>IFERROR(INDEX(Firms!$A$5:$A$1004,MATCH(790,Firms!$V$5:$V$1004,0)),"")</f>
        <v/>
      </c>
      <c r="B813" s="79">
        <f>IF($A813="","",INDEX(Firms!$B$5:$B$1004,MATCH(790,Firms!$V$5:$V$1004,0)))</f>
        <v/>
      </c>
      <c r="C813" s="79">
        <f>IF($A813="","",COUNTIFS('AFA Rates'!$A$5:$A$1004,$A813,'AFA Rates'!$O$5:$O$1004,"&lt;&gt;Expired"))</f>
        <v/>
      </c>
      <c r="D813" s="79">
        <f>IF(OR($A813="",D$23=""),"",IF(COUNTIFS('AFA Rates'!$A$5:$A$1004,$A813,'AFA Rates'!$B$5:$B$1004,D$23,'AFA Rates'!$O$5:$O$1004,"&lt;&gt;Expired")&gt;0,"✓",IF(COUNTIFS('AFA Rates'!$A$5:$A$1004,$A813,'AFA Rates'!$B$5:$B$1004,D$23)&gt;0,"Exp","")))</f>
        <v/>
      </c>
      <c r="E813" s="79">
        <f>IF(OR($A813="",E$23=""),"",IF(COUNTIFS('AFA Rates'!$A$5:$A$1004,$A813,'AFA Rates'!$B$5:$B$1004,E$23,'AFA Rates'!$O$5:$O$1004,"&lt;&gt;Expired")&gt;0,"✓",IF(COUNTIFS('AFA Rates'!$A$5:$A$1004,$A813,'AFA Rates'!$B$5:$B$1004,E$23)&gt;0,"Exp","")))</f>
        <v/>
      </c>
      <c r="F813" s="79">
        <f>IF(OR($A813="",F$23=""),"",IF(COUNTIFS('AFA Rates'!$A$5:$A$1004,$A813,'AFA Rates'!$B$5:$B$1004,F$23,'AFA Rates'!$O$5:$O$1004,"&lt;&gt;Expired")&gt;0,"✓",IF(COUNTIFS('AFA Rates'!$A$5:$A$1004,$A813,'AFA Rates'!$B$5:$B$1004,F$23)&gt;0,"Exp","")))</f>
        <v/>
      </c>
      <c r="G813" s="79">
        <f>IF(OR($A813="",G$23=""),"",IF(COUNTIFS('AFA Rates'!$A$5:$A$1004,$A813,'AFA Rates'!$B$5:$B$1004,G$23,'AFA Rates'!$O$5:$O$1004,"&lt;&gt;Expired")&gt;0,"✓",IF(COUNTIFS('AFA Rates'!$A$5:$A$1004,$A813,'AFA Rates'!$B$5:$B$1004,G$23)&gt;0,"Exp","")))</f>
        <v/>
      </c>
      <c r="H813" s="79">
        <f>IF(OR($A813="",H$23=""),"",IF(COUNTIFS('AFA Rates'!$A$5:$A$1004,$A813,'AFA Rates'!$B$5:$B$1004,H$23,'AFA Rates'!$O$5:$O$1004,"&lt;&gt;Expired")&gt;0,"✓",IF(COUNTIFS('AFA Rates'!$A$5:$A$1004,$A813,'AFA Rates'!$B$5:$B$1004,H$23)&gt;0,"Exp","")))</f>
        <v/>
      </c>
      <c r="I813" s="79">
        <f>IF(OR($A813="",I$23=""),"",IF(COUNTIFS('AFA Rates'!$A$5:$A$1004,$A813,'AFA Rates'!$B$5:$B$1004,I$23,'AFA Rates'!$O$5:$O$1004,"&lt;&gt;Expired")&gt;0,"✓",IF(COUNTIFS('AFA Rates'!$A$5:$A$1004,$A813,'AFA Rates'!$B$5:$B$1004,I$23)&gt;0,"Exp","")))</f>
        <v/>
      </c>
      <c r="J813" s="79">
        <f>IF(OR($A813="",J$23=""),"",IF(COUNTIFS('AFA Rates'!$A$5:$A$1004,$A813,'AFA Rates'!$B$5:$B$1004,J$23,'AFA Rates'!$O$5:$O$1004,"&lt;&gt;Expired")&gt;0,"✓",IF(COUNTIFS('AFA Rates'!$A$5:$A$1004,$A813,'AFA Rates'!$B$5:$B$1004,J$23)&gt;0,"Exp","")))</f>
        <v/>
      </c>
      <c r="K813" s="79">
        <f>IF(OR($A813="",K$23=""),"",IF(COUNTIFS('AFA Rates'!$A$5:$A$1004,$A813,'AFA Rates'!$B$5:$B$1004,K$23,'AFA Rates'!$O$5:$O$1004,"&lt;&gt;Expired")&gt;0,"✓",IF(COUNTIFS('AFA Rates'!$A$5:$A$1004,$A813,'AFA Rates'!$B$5:$B$1004,K$23)&gt;0,"Exp","")))</f>
        <v/>
      </c>
      <c r="L813" s="79">
        <f>IF(OR($A813="",L$23=""),"",IF(COUNTIFS('AFA Rates'!$A$5:$A$1004,$A813,'AFA Rates'!$B$5:$B$1004,L$23,'AFA Rates'!$O$5:$O$1004,"&lt;&gt;Expired")&gt;0,"✓",IF(COUNTIFS('AFA Rates'!$A$5:$A$1004,$A813,'AFA Rates'!$B$5:$B$1004,L$23)&gt;0,"Exp","")))</f>
        <v/>
      </c>
      <c r="M813" s="79">
        <f>IF(OR($A813="",M$23=""),"",IF(COUNTIFS('AFA Rates'!$A$5:$A$1004,$A813,'AFA Rates'!$B$5:$B$1004,M$23,'AFA Rates'!$O$5:$O$1004,"&lt;&gt;Expired")&gt;0,"✓",IF(COUNTIFS('AFA Rates'!$A$5:$A$1004,$A813,'AFA Rates'!$B$5:$B$1004,M$23)&gt;0,"Exp","")))</f>
        <v/>
      </c>
    </row>
    <row r="814">
      <c r="A814" s="78">
        <f>IFERROR(INDEX(Firms!$A$5:$A$1004,MATCH(791,Firms!$V$5:$V$1004,0)),"")</f>
        <v/>
      </c>
      <c r="B814" s="79">
        <f>IF($A814="","",INDEX(Firms!$B$5:$B$1004,MATCH(791,Firms!$V$5:$V$1004,0)))</f>
        <v/>
      </c>
      <c r="C814" s="79">
        <f>IF($A814="","",COUNTIFS('AFA Rates'!$A$5:$A$1004,$A814,'AFA Rates'!$O$5:$O$1004,"&lt;&gt;Expired"))</f>
        <v/>
      </c>
      <c r="D814" s="79">
        <f>IF(OR($A814="",D$23=""),"",IF(COUNTIFS('AFA Rates'!$A$5:$A$1004,$A814,'AFA Rates'!$B$5:$B$1004,D$23,'AFA Rates'!$O$5:$O$1004,"&lt;&gt;Expired")&gt;0,"✓",IF(COUNTIFS('AFA Rates'!$A$5:$A$1004,$A814,'AFA Rates'!$B$5:$B$1004,D$23)&gt;0,"Exp","")))</f>
        <v/>
      </c>
      <c r="E814" s="79">
        <f>IF(OR($A814="",E$23=""),"",IF(COUNTIFS('AFA Rates'!$A$5:$A$1004,$A814,'AFA Rates'!$B$5:$B$1004,E$23,'AFA Rates'!$O$5:$O$1004,"&lt;&gt;Expired")&gt;0,"✓",IF(COUNTIFS('AFA Rates'!$A$5:$A$1004,$A814,'AFA Rates'!$B$5:$B$1004,E$23)&gt;0,"Exp","")))</f>
        <v/>
      </c>
      <c r="F814" s="79">
        <f>IF(OR($A814="",F$23=""),"",IF(COUNTIFS('AFA Rates'!$A$5:$A$1004,$A814,'AFA Rates'!$B$5:$B$1004,F$23,'AFA Rates'!$O$5:$O$1004,"&lt;&gt;Expired")&gt;0,"✓",IF(COUNTIFS('AFA Rates'!$A$5:$A$1004,$A814,'AFA Rates'!$B$5:$B$1004,F$23)&gt;0,"Exp","")))</f>
        <v/>
      </c>
      <c r="G814" s="79">
        <f>IF(OR($A814="",G$23=""),"",IF(COUNTIFS('AFA Rates'!$A$5:$A$1004,$A814,'AFA Rates'!$B$5:$B$1004,G$23,'AFA Rates'!$O$5:$O$1004,"&lt;&gt;Expired")&gt;0,"✓",IF(COUNTIFS('AFA Rates'!$A$5:$A$1004,$A814,'AFA Rates'!$B$5:$B$1004,G$23)&gt;0,"Exp","")))</f>
        <v/>
      </c>
      <c r="H814" s="79">
        <f>IF(OR($A814="",H$23=""),"",IF(COUNTIFS('AFA Rates'!$A$5:$A$1004,$A814,'AFA Rates'!$B$5:$B$1004,H$23,'AFA Rates'!$O$5:$O$1004,"&lt;&gt;Expired")&gt;0,"✓",IF(COUNTIFS('AFA Rates'!$A$5:$A$1004,$A814,'AFA Rates'!$B$5:$B$1004,H$23)&gt;0,"Exp","")))</f>
        <v/>
      </c>
      <c r="I814" s="79">
        <f>IF(OR($A814="",I$23=""),"",IF(COUNTIFS('AFA Rates'!$A$5:$A$1004,$A814,'AFA Rates'!$B$5:$B$1004,I$23,'AFA Rates'!$O$5:$O$1004,"&lt;&gt;Expired")&gt;0,"✓",IF(COUNTIFS('AFA Rates'!$A$5:$A$1004,$A814,'AFA Rates'!$B$5:$B$1004,I$23)&gt;0,"Exp","")))</f>
        <v/>
      </c>
      <c r="J814" s="79">
        <f>IF(OR($A814="",J$23=""),"",IF(COUNTIFS('AFA Rates'!$A$5:$A$1004,$A814,'AFA Rates'!$B$5:$B$1004,J$23,'AFA Rates'!$O$5:$O$1004,"&lt;&gt;Expired")&gt;0,"✓",IF(COUNTIFS('AFA Rates'!$A$5:$A$1004,$A814,'AFA Rates'!$B$5:$B$1004,J$23)&gt;0,"Exp","")))</f>
        <v/>
      </c>
      <c r="K814" s="79">
        <f>IF(OR($A814="",K$23=""),"",IF(COUNTIFS('AFA Rates'!$A$5:$A$1004,$A814,'AFA Rates'!$B$5:$B$1004,K$23,'AFA Rates'!$O$5:$O$1004,"&lt;&gt;Expired")&gt;0,"✓",IF(COUNTIFS('AFA Rates'!$A$5:$A$1004,$A814,'AFA Rates'!$B$5:$B$1004,K$23)&gt;0,"Exp","")))</f>
        <v/>
      </c>
      <c r="L814" s="79">
        <f>IF(OR($A814="",L$23=""),"",IF(COUNTIFS('AFA Rates'!$A$5:$A$1004,$A814,'AFA Rates'!$B$5:$B$1004,L$23,'AFA Rates'!$O$5:$O$1004,"&lt;&gt;Expired")&gt;0,"✓",IF(COUNTIFS('AFA Rates'!$A$5:$A$1004,$A814,'AFA Rates'!$B$5:$B$1004,L$23)&gt;0,"Exp","")))</f>
        <v/>
      </c>
      <c r="M814" s="79">
        <f>IF(OR($A814="",M$23=""),"",IF(COUNTIFS('AFA Rates'!$A$5:$A$1004,$A814,'AFA Rates'!$B$5:$B$1004,M$23,'AFA Rates'!$O$5:$O$1004,"&lt;&gt;Expired")&gt;0,"✓",IF(COUNTIFS('AFA Rates'!$A$5:$A$1004,$A814,'AFA Rates'!$B$5:$B$1004,M$23)&gt;0,"Exp","")))</f>
        <v/>
      </c>
    </row>
    <row r="815">
      <c r="A815" s="78">
        <f>IFERROR(INDEX(Firms!$A$5:$A$1004,MATCH(792,Firms!$V$5:$V$1004,0)),"")</f>
        <v/>
      </c>
      <c r="B815" s="79">
        <f>IF($A815="","",INDEX(Firms!$B$5:$B$1004,MATCH(792,Firms!$V$5:$V$1004,0)))</f>
        <v/>
      </c>
      <c r="C815" s="79">
        <f>IF($A815="","",COUNTIFS('AFA Rates'!$A$5:$A$1004,$A815,'AFA Rates'!$O$5:$O$1004,"&lt;&gt;Expired"))</f>
        <v/>
      </c>
      <c r="D815" s="79">
        <f>IF(OR($A815="",D$23=""),"",IF(COUNTIFS('AFA Rates'!$A$5:$A$1004,$A815,'AFA Rates'!$B$5:$B$1004,D$23,'AFA Rates'!$O$5:$O$1004,"&lt;&gt;Expired")&gt;0,"✓",IF(COUNTIFS('AFA Rates'!$A$5:$A$1004,$A815,'AFA Rates'!$B$5:$B$1004,D$23)&gt;0,"Exp","")))</f>
        <v/>
      </c>
      <c r="E815" s="79">
        <f>IF(OR($A815="",E$23=""),"",IF(COUNTIFS('AFA Rates'!$A$5:$A$1004,$A815,'AFA Rates'!$B$5:$B$1004,E$23,'AFA Rates'!$O$5:$O$1004,"&lt;&gt;Expired")&gt;0,"✓",IF(COUNTIFS('AFA Rates'!$A$5:$A$1004,$A815,'AFA Rates'!$B$5:$B$1004,E$23)&gt;0,"Exp","")))</f>
        <v/>
      </c>
      <c r="F815" s="79">
        <f>IF(OR($A815="",F$23=""),"",IF(COUNTIFS('AFA Rates'!$A$5:$A$1004,$A815,'AFA Rates'!$B$5:$B$1004,F$23,'AFA Rates'!$O$5:$O$1004,"&lt;&gt;Expired")&gt;0,"✓",IF(COUNTIFS('AFA Rates'!$A$5:$A$1004,$A815,'AFA Rates'!$B$5:$B$1004,F$23)&gt;0,"Exp","")))</f>
        <v/>
      </c>
      <c r="G815" s="79">
        <f>IF(OR($A815="",G$23=""),"",IF(COUNTIFS('AFA Rates'!$A$5:$A$1004,$A815,'AFA Rates'!$B$5:$B$1004,G$23,'AFA Rates'!$O$5:$O$1004,"&lt;&gt;Expired")&gt;0,"✓",IF(COUNTIFS('AFA Rates'!$A$5:$A$1004,$A815,'AFA Rates'!$B$5:$B$1004,G$23)&gt;0,"Exp","")))</f>
        <v/>
      </c>
      <c r="H815" s="79">
        <f>IF(OR($A815="",H$23=""),"",IF(COUNTIFS('AFA Rates'!$A$5:$A$1004,$A815,'AFA Rates'!$B$5:$B$1004,H$23,'AFA Rates'!$O$5:$O$1004,"&lt;&gt;Expired")&gt;0,"✓",IF(COUNTIFS('AFA Rates'!$A$5:$A$1004,$A815,'AFA Rates'!$B$5:$B$1004,H$23)&gt;0,"Exp","")))</f>
        <v/>
      </c>
      <c r="I815" s="79">
        <f>IF(OR($A815="",I$23=""),"",IF(COUNTIFS('AFA Rates'!$A$5:$A$1004,$A815,'AFA Rates'!$B$5:$B$1004,I$23,'AFA Rates'!$O$5:$O$1004,"&lt;&gt;Expired")&gt;0,"✓",IF(COUNTIFS('AFA Rates'!$A$5:$A$1004,$A815,'AFA Rates'!$B$5:$B$1004,I$23)&gt;0,"Exp","")))</f>
        <v/>
      </c>
      <c r="J815" s="79">
        <f>IF(OR($A815="",J$23=""),"",IF(COUNTIFS('AFA Rates'!$A$5:$A$1004,$A815,'AFA Rates'!$B$5:$B$1004,J$23,'AFA Rates'!$O$5:$O$1004,"&lt;&gt;Expired")&gt;0,"✓",IF(COUNTIFS('AFA Rates'!$A$5:$A$1004,$A815,'AFA Rates'!$B$5:$B$1004,J$23)&gt;0,"Exp","")))</f>
        <v/>
      </c>
      <c r="K815" s="79">
        <f>IF(OR($A815="",K$23=""),"",IF(COUNTIFS('AFA Rates'!$A$5:$A$1004,$A815,'AFA Rates'!$B$5:$B$1004,K$23,'AFA Rates'!$O$5:$O$1004,"&lt;&gt;Expired")&gt;0,"✓",IF(COUNTIFS('AFA Rates'!$A$5:$A$1004,$A815,'AFA Rates'!$B$5:$B$1004,K$23)&gt;0,"Exp","")))</f>
        <v/>
      </c>
      <c r="L815" s="79">
        <f>IF(OR($A815="",L$23=""),"",IF(COUNTIFS('AFA Rates'!$A$5:$A$1004,$A815,'AFA Rates'!$B$5:$B$1004,L$23,'AFA Rates'!$O$5:$O$1004,"&lt;&gt;Expired")&gt;0,"✓",IF(COUNTIFS('AFA Rates'!$A$5:$A$1004,$A815,'AFA Rates'!$B$5:$B$1004,L$23)&gt;0,"Exp","")))</f>
        <v/>
      </c>
      <c r="M815" s="79">
        <f>IF(OR($A815="",M$23=""),"",IF(COUNTIFS('AFA Rates'!$A$5:$A$1004,$A815,'AFA Rates'!$B$5:$B$1004,M$23,'AFA Rates'!$O$5:$O$1004,"&lt;&gt;Expired")&gt;0,"✓",IF(COUNTIFS('AFA Rates'!$A$5:$A$1004,$A815,'AFA Rates'!$B$5:$B$1004,M$23)&gt;0,"Exp","")))</f>
        <v/>
      </c>
    </row>
    <row r="816">
      <c r="A816" s="78">
        <f>IFERROR(INDEX(Firms!$A$5:$A$1004,MATCH(793,Firms!$V$5:$V$1004,0)),"")</f>
        <v/>
      </c>
      <c r="B816" s="79">
        <f>IF($A816="","",INDEX(Firms!$B$5:$B$1004,MATCH(793,Firms!$V$5:$V$1004,0)))</f>
        <v/>
      </c>
      <c r="C816" s="79">
        <f>IF($A816="","",COUNTIFS('AFA Rates'!$A$5:$A$1004,$A816,'AFA Rates'!$O$5:$O$1004,"&lt;&gt;Expired"))</f>
        <v/>
      </c>
      <c r="D816" s="79">
        <f>IF(OR($A816="",D$23=""),"",IF(COUNTIFS('AFA Rates'!$A$5:$A$1004,$A816,'AFA Rates'!$B$5:$B$1004,D$23,'AFA Rates'!$O$5:$O$1004,"&lt;&gt;Expired")&gt;0,"✓",IF(COUNTIFS('AFA Rates'!$A$5:$A$1004,$A816,'AFA Rates'!$B$5:$B$1004,D$23)&gt;0,"Exp","")))</f>
        <v/>
      </c>
      <c r="E816" s="79">
        <f>IF(OR($A816="",E$23=""),"",IF(COUNTIFS('AFA Rates'!$A$5:$A$1004,$A816,'AFA Rates'!$B$5:$B$1004,E$23,'AFA Rates'!$O$5:$O$1004,"&lt;&gt;Expired")&gt;0,"✓",IF(COUNTIFS('AFA Rates'!$A$5:$A$1004,$A816,'AFA Rates'!$B$5:$B$1004,E$23)&gt;0,"Exp","")))</f>
        <v/>
      </c>
      <c r="F816" s="79">
        <f>IF(OR($A816="",F$23=""),"",IF(COUNTIFS('AFA Rates'!$A$5:$A$1004,$A816,'AFA Rates'!$B$5:$B$1004,F$23,'AFA Rates'!$O$5:$O$1004,"&lt;&gt;Expired")&gt;0,"✓",IF(COUNTIFS('AFA Rates'!$A$5:$A$1004,$A816,'AFA Rates'!$B$5:$B$1004,F$23)&gt;0,"Exp","")))</f>
        <v/>
      </c>
      <c r="G816" s="79">
        <f>IF(OR($A816="",G$23=""),"",IF(COUNTIFS('AFA Rates'!$A$5:$A$1004,$A816,'AFA Rates'!$B$5:$B$1004,G$23,'AFA Rates'!$O$5:$O$1004,"&lt;&gt;Expired")&gt;0,"✓",IF(COUNTIFS('AFA Rates'!$A$5:$A$1004,$A816,'AFA Rates'!$B$5:$B$1004,G$23)&gt;0,"Exp","")))</f>
        <v/>
      </c>
      <c r="H816" s="79">
        <f>IF(OR($A816="",H$23=""),"",IF(COUNTIFS('AFA Rates'!$A$5:$A$1004,$A816,'AFA Rates'!$B$5:$B$1004,H$23,'AFA Rates'!$O$5:$O$1004,"&lt;&gt;Expired")&gt;0,"✓",IF(COUNTIFS('AFA Rates'!$A$5:$A$1004,$A816,'AFA Rates'!$B$5:$B$1004,H$23)&gt;0,"Exp","")))</f>
        <v/>
      </c>
      <c r="I816" s="79">
        <f>IF(OR($A816="",I$23=""),"",IF(COUNTIFS('AFA Rates'!$A$5:$A$1004,$A816,'AFA Rates'!$B$5:$B$1004,I$23,'AFA Rates'!$O$5:$O$1004,"&lt;&gt;Expired")&gt;0,"✓",IF(COUNTIFS('AFA Rates'!$A$5:$A$1004,$A816,'AFA Rates'!$B$5:$B$1004,I$23)&gt;0,"Exp","")))</f>
        <v/>
      </c>
      <c r="J816" s="79">
        <f>IF(OR($A816="",J$23=""),"",IF(COUNTIFS('AFA Rates'!$A$5:$A$1004,$A816,'AFA Rates'!$B$5:$B$1004,J$23,'AFA Rates'!$O$5:$O$1004,"&lt;&gt;Expired")&gt;0,"✓",IF(COUNTIFS('AFA Rates'!$A$5:$A$1004,$A816,'AFA Rates'!$B$5:$B$1004,J$23)&gt;0,"Exp","")))</f>
        <v/>
      </c>
      <c r="K816" s="79">
        <f>IF(OR($A816="",K$23=""),"",IF(COUNTIFS('AFA Rates'!$A$5:$A$1004,$A816,'AFA Rates'!$B$5:$B$1004,K$23,'AFA Rates'!$O$5:$O$1004,"&lt;&gt;Expired")&gt;0,"✓",IF(COUNTIFS('AFA Rates'!$A$5:$A$1004,$A816,'AFA Rates'!$B$5:$B$1004,K$23)&gt;0,"Exp","")))</f>
        <v/>
      </c>
      <c r="L816" s="79">
        <f>IF(OR($A816="",L$23=""),"",IF(COUNTIFS('AFA Rates'!$A$5:$A$1004,$A816,'AFA Rates'!$B$5:$B$1004,L$23,'AFA Rates'!$O$5:$O$1004,"&lt;&gt;Expired")&gt;0,"✓",IF(COUNTIFS('AFA Rates'!$A$5:$A$1004,$A816,'AFA Rates'!$B$5:$B$1004,L$23)&gt;0,"Exp","")))</f>
        <v/>
      </c>
      <c r="M816" s="79">
        <f>IF(OR($A816="",M$23=""),"",IF(COUNTIFS('AFA Rates'!$A$5:$A$1004,$A816,'AFA Rates'!$B$5:$B$1004,M$23,'AFA Rates'!$O$5:$O$1004,"&lt;&gt;Expired")&gt;0,"✓",IF(COUNTIFS('AFA Rates'!$A$5:$A$1004,$A816,'AFA Rates'!$B$5:$B$1004,M$23)&gt;0,"Exp","")))</f>
        <v/>
      </c>
    </row>
    <row r="817">
      <c r="A817" s="78">
        <f>IFERROR(INDEX(Firms!$A$5:$A$1004,MATCH(794,Firms!$V$5:$V$1004,0)),"")</f>
        <v/>
      </c>
      <c r="B817" s="79">
        <f>IF($A817="","",INDEX(Firms!$B$5:$B$1004,MATCH(794,Firms!$V$5:$V$1004,0)))</f>
        <v/>
      </c>
      <c r="C817" s="79">
        <f>IF($A817="","",COUNTIFS('AFA Rates'!$A$5:$A$1004,$A817,'AFA Rates'!$O$5:$O$1004,"&lt;&gt;Expired"))</f>
        <v/>
      </c>
      <c r="D817" s="79">
        <f>IF(OR($A817="",D$23=""),"",IF(COUNTIFS('AFA Rates'!$A$5:$A$1004,$A817,'AFA Rates'!$B$5:$B$1004,D$23,'AFA Rates'!$O$5:$O$1004,"&lt;&gt;Expired")&gt;0,"✓",IF(COUNTIFS('AFA Rates'!$A$5:$A$1004,$A817,'AFA Rates'!$B$5:$B$1004,D$23)&gt;0,"Exp","")))</f>
        <v/>
      </c>
      <c r="E817" s="79">
        <f>IF(OR($A817="",E$23=""),"",IF(COUNTIFS('AFA Rates'!$A$5:$A$1004,$A817,'AFA Rates'!$B$5:$B$1004,E$23,'AFA Rates'!$O$5:$O$1004,"&lt;&gt;Expired")&gt;0,"✓",IF(COUNTIFS('AFA Rates'!$A$5:$A$1004,$A817,'AFA Rates'!$B$5:$B$1004,E$23)&gt;0,"Exp","")))</f>
        <v/>
      </c>
      <c r="F817" s="79">
        <f>IF(OR($A817="",F$23=""),"",IF(COUNTIFS('AFA Rates'!$A$5:$A$1004,$A817,'AFA Rates'!$B$5:$B$1004,F$23,'AFA Rates'!$O$5:$O$1004,"&lt;&gt;Expired")&gt;0,"✓",IF(COUNTIFS('AFA Rates'!$A$5:$A$1004,$A817,'AFA Rates'!$B$5:$B$1004,F$23)&gt;0,"Exp","")))</f>
        <v/>
      </c>
      <c r="G817" s="79">
        <f>IF(OR($A817="",G$23=""),"",IF(COUNTIFS('AFA Rates'!$A$5:$A$1004,$A817,'AFA Rates'!$B$5:$B$1004,G$23,'AFA Rates'!$O$5:$O$1004,"&lt;&gt;Expired")&gt;0,"✓",IF(COUNTIFS('AFA Rates'!$A$5:$A$1004,$A817,'AFA Rates'!$B$5:$B$1004,G$23)&gt;0,"Exp","")))</f>
        <v/>
      </c>
      <c r="H817" s="79">
        <f>IF(OR($A817="",H$23=""),"",IF(COUNTIFS('AFA Rates'!$A$5:$A$1004,$A817,'AFA Rates'!$B$5:$B$1004,H$23,'AFA Rates'!$O$5:$O$1004,"&lt;&gt;Expired")&gt;0,"✓",IF(COUNTIFS('AFA Rates'!$A$5:$A$1004,$A817,'AFA Rates'!$B$5:$B$1004,H$23)&gt;0,"Exp","")))</f>
        <v/>
      </c>
      <c r="I817" s="79">
        <f>IF(OR($A817="",I$23=""),"",IF(COUNTIFS('AFA Rates'!$A$5:$A$1004,$A817,'AFA Rates'!$B$5:$B$1004,I$23,'AFA Rates'!$O$5:$O$1004,"&lt;&gt;Expired")&gt;0,"✓",IF(COUNTIFS('AFA Rates'!$A$5:$A$1004,$A817,'AFA Rates'!$B$5:$B$1004,I$23)&gt;0,"Exp","")))</f>
        <v/>
      </c>
      <c r="J817" s="79">
        <f>IF(OR($A817="",J$23=""),"",IF(COUNTIFS('AFA Rates'!$A$5:$A$1004,$A817,'AFA Rates'!$B$5:$B$1004,J$23,'AFA Rates'!$O$5:$O$1004,"&lt;&gt;Expired")&gt;0,"✓",IF(COUNTIFS('AFA Rates'!$A$5:$A$1004,$A817,'AFA Rates'!$B$5:$B$1004,J$23)&gt;0,"Exp","")))</f>
        <v/>
      </c>
      <c r="K817" s="79">
        <f>IF(OR($A817="",K$23=""),"",IF(COUNTIFS('AFA Rates'!$A$5:$A$1004,$A817,'AFA Rates'!$B$5:$B$1004,K$23,'AFA Rates'!$O$5:$O$1004,"&lt;&gt;Expired")&gt;0,"✓",IF(COUNTIFS('AFA Rates'!$A$5:$A$1004,$A817,'AFA Rates'!$B$5:$B$1004,K$23)&gt;0,"Exp","")))</f>
        <v/>
      </c>
      <c r="L817" s="79">
        <f>IF(OR($A817="",L$23=""),"",IF(COUNTIFS('AFA Rates'!$A$5:$A$1004,$A817,'AFA Rates'!$B$5:$B$1004,L$23,'AFA Rates'!$O$5:$O$1004,"&lt;&gt;Expired")&gt;0,"✓",IF(COUNTIFS('AFA Rates'!$A$5:$A$1004,$A817,'AFA Rates'!$B$5:$B$1004,L$23)&gt;0,"Exp","")))</f>
        <v/>
      </c>
      <c r="M817" s="79">
        <f>IF(OR($A817="",M$23=""),"",IF(COUNTIFS('AFA Rates'!$A$5:$A$1004,$A817,'AFA Rates'!$B$5:$B$1004,M$23,'AFA Rates'!$O$5:$O$1004,"&lt;&gt;Expired")&gt;0,"✓",IF(COUNTIFS('AFA Rates'!$A$5:$A$1004,$A817,'AFA Rates'!$B$5:$B$1004,M$23)&gt;0,"Exp","")))</f>
        <v/>
      </c>
    </row>
    <row r="818">
      <c r="A818" s="78">
        <f>IFERROR(INDEX(Firms!$A$5:$A$1004,MATCH(795,Firms!$V$5:$V$1004,0)),"")</f>
        <v/>
      </c>
      <c r="B818" s="79">
        <f>IF($A818="","",INDEX(Firms!$B$5:$B$1004,MATCH(795,Firms!$V$5:$V$1004,0)))</f>
        <v/>
      </c>
      <c r="C818" s="79">
        <f>IF($A818="","",COUNTIFS('AFA Rates'!$A$5:$A$1004,$A818,'AFA Rates'!$O$5:$O$1004,"&lt;&gt;Expired"))</f>
        <v/>
      </c>
      <c r="D818" s="79">
        <f>IF(OR($A818="",D$23=""),"",IF(COUNTIFS('AFA Rates'!$A$5:$A$1004,$A818,'AFA Rates'!$B$5:$B$1004,D$23,'AFA Rates'!$O$5:$O$1004,"&lt;&gt;Expired")&gt;0,"✓",IF(COUNTIFS('AFA Rates'!$A$5:$A$1004,$A818,'AFA Rates'!$B$5:$B$1004,D$23)&gt;0,"Exp","")))</f>
        <v/>
      </c>
      <c r="E818" s="79">
        <f>IF(OR($A818="",E$23=""),"",IF(COUNTIFS('AFA Rates'!$A$5:$A$1004,$A818,'AFA Rates'!$B$5:$B$1004,E$23,'AFA Rates'!$O$5:$O$1004,"&lt;&gt;Expired")&gt;0,"✓",IF(COUNTIFS('AFA Rates'!$A$5:$A$1004,$A818,'AFA Rates'!$B$5:$B$1004,E$23)&gt;0,"Exp","")))</f>
        <v/>
      </c>
      <c r="F818" s="79">
        <f>IF(OR($A818="",F$23=""),"",IF(COUNTIFS('AFA Rates'!$A$5:$A$1004,$A818,'AFA Rates'!$B$5:$B$1004,F$23,'AFA Rates'!$O$5:$O$1004,"&lt;&gt;Expired")&gt;0,"✓",IF(COUNTIFS('AFA Rates'!$A$5:$A$1004,$A818,'AFA Rates'!$B$5:$B$1004,F$23)&gt;0,"Exp","")))</f>
        <v/>
      </c>
      <c r="G818" s="79">
        <f>IF(OR($A818="",G$23=""),"",IF(COUNTIFS('AFA Rates'!$A$5:$A$1004,$A818,'AFA Rates'!$B$5:$B$1004,G$23,'AFA Rates'!$O$5:$O$1004,"&lt;&gt;Expired")&gt;0,"✓",IF(COUNTIFS('AFA Rates'!$A$5:$A$1004,$A818,'AFA Rates'!$B$5:$B$1004,G$23)&gt;0,"Exp","")))</f>
        <v/>
      </c>
      <c r="H818" s="79">
        <f>IF(OR($A818="",H$23=""),"",IF(COUNTIFS('AFA Rates'!$A$5:$A$1004,$A818,'AFA Rates'!$B$5:$B$1004,H$23,'AFA Rates'!$O$5:$O$1004,"&lt;&gt;Expired")&gt;0,"✓",IF(COUNTIFS('AFA Rates'!$A$5:$A$1004,$A818,'AFA Rates'!$B$5:$B$1004,H$23)&gt;0,"Exp","")))</f>
        <v/>
      </c>
      <c r="I818" s="79">
        <f>IF(OR($A818="",I$23=""),"",IF(COUNTIFS('AFA Rates'!$A$5:$A$1004,$A818,'AFA Rates'!$B$5:$B$1004,I$23,'AFA Rates'!$O$5:$O$1004,"&lt;&gt;Expired")&gt;0,"✓",IF(COUNTIFS('AFA Rates'!$A$5:$A$1004,$A818,'AFA Rates'!$B$5:$B$1004,I$23)&gt;0,"Exp","")))</f>
        <v/>
      </c>
      <c r="J818" s="79">
        <f>IF(OR($A818="",J$23=""),"",IF(COUNTIFS('AFA Rates'!$A$5:$A$1004,$A818,'AFA Rates'!$B$5:$B$1004,J$23,'AFA Rates'!$O$5:$O$1004,"&lt;&gt;Expired")&gt;0,"✓",IF(COUNTIFS('AFA Rates'!$A$5:$A$1004,$A818,'AFA Rates'!$B$5:$B$1004,J$23)&gt;0,"Exp","")))</f>
        <v/>
      </c>
      <c r="K818" s="79">
        <f>IF(OR($A818="",K$23=""),"",IF(COUNTIFS('AFA Rates'!$A$5:$A$1004,$A818,'AFA Rates'!$B$5:$B$1004,K$23,'AFA Rates'!$O$5:$O$1004,"&lt;&gt;Expired")&gt;0,"✓",IF(COUNTIFS('AFA Rates'!$A$5:$A$1004,$A818,'AFA Rates'!$B$5:$B$1004,K$23)&gt;0,"Exp","")))</f>
        <v/>
      </c>
      <c r="L818" s="79">
        <f>IF(OR($A818="",L$23=""),"",IF(COUNTIFS('AFA Rates'!$A$5:$A$1004,$A818,'AFA Rates'!$B$5:$B$1004,L$23,'AFA Rates'!$O$5:$O$1004,"&lt;&gt;Expired")&gt;0,"✓",IF(COUNTIFS('AFA Rates'!$A$5:$A$1004,$A818,'AFA Rates'!$B$5:$B$1004,L$23)&gt;0,"Exp","")))</f>
        <v/>
      </c>
      <c r="M818" s="79">
        <f>IF(OR($A818="",M$23=""),"",IF(COUNTIFS('AFA Rates'!$A$5:$A$1004,$A818,'AFA Rates'!$B$5:$B$1004,M$23,'AFA Rates'!$O$5:$O$1004,"&lt;&gt;Expired")&gt;0,"✓",IF(COUNTIFS('AFA Rates'!$A$5:$A$1004,$A818,'AFA Rates'!$B$5:$B$1004,M$23)&gt;0,"Exp","")))</f>
        <v/>
      </c>
    </row>
    <row r="819">
      <c r="A819" s="78">
        <f>IFERROR(INDEX(Firms!$A$5:$A$1004,MATCH(796,Firms!$V$5:$V$1004,0)),"")</f>
        <v/>
      </c>
      <c r="B819" s="79">
        <f>IF($A819="","",INDEX(Firms!$B$5:$B$1004,MATCH(796,Firms!$V$5:$V$1004,0)))</f>
        <v/>
      </c>
      <c r="C819" s="79">
        <f>IF($A819="","",COUNTIFS('AFA Rates'!$A$5:$A$1004,$A819,'AFA Rates'!$O$5:$O$1004,"&lt;&gt;Expired"))</f>
        <v/>
      </c>
      <c r="D819" s="79">
        <f>IF(OR($A819="",D$23=""),"",IF(COUNTIFS('AFA Rates'!$A$5:$A$1004,$A819,'AFA Rates'!$B$5:$B$1004,D$23,'AFA Rates'!$O$5:$O$1004,"&lt;&gt;Expired")&gt;0,"✓",IF(COUNTIFS('AFA Rates'!$A$5:$A$1004,$A819,'AFA Rates'!$B$5:$B$1004,D$23)&gt;0,"Exp","")))</f>
        <v/>
      </c>
      <c r="E819" s="79">
        <f>IF(OR($A819="",E$23=""),"",IF(COUNTIFS('AFA Rates'!$A$5:$A$1004,$A819,'AFA Rates'!$B$5:$B$1004,E$23,'AFA Rates'!$O$5:$O$1004,"&lt;&gt;Expired")&gt;0,"✓",IF(COUNTIFS('AFA Rates'!$A$5:$A$1004,$A819,'AFA Rates'!$B$5:$B$1004,E$23)&gt;0,"Exp","")))</f>
        <v/>
      </c>
      <c r="F819" s="79">
        <f>IF(OR($A819="",F$23=""),"",IF(COUNTIFS('AFA Rates'!$A$5:$A$1004,$A819,'AFA Rates'!$B$5:$B$1004,F$23,'AFA Rates'!$O$5:$O$1004,"&lt;&gt;Expired")&gt;0,"✓",IF(COUNTIFS('AFA Rates'!$A$5:$A$1004,$A819,'AFA Rates'!$B$5:$B$1004,F$23)&gt;0,"Exp","")))</f>
        <v/>
      </c>
      <c r="G819" s="79">
        <f>IF(OR($A819="",G$23=""),"",IF(COUNTIFS('AFA Rates'!$A$5:$A$1004,$A819,'AFA Rates'!$B$5:$B$1004,G$23,'AFA Rates'!$O$5:$O$1004,"&lt;&gt;Expired")&gt;0,"✓",IF(COUNTIFS('AFA Rates'!$A$5:$A$1004,$A819,'AFA Rates'!$B$5:$B$1004,G$23)&gt;0,"Exp","")))</f>
        <v/>
      </c>
      <c r="H819" s="79">
        <f>IF(OR($A819="",H$23=""),"",IF(COUNTIFS('AFA Rates'!$A$5:$A$1004,$A819,'AFA Rates'!$B$5:$B$1004,H$23,'AFA Rates'!$O$5:$O$1004,"&lt;&gt;Expired")&gt;0,"✓",IF(COUNTIFS('AFA Rates'!$A$5:$A$1004,$A819,'AFA Rates'!$B$5:$B$1004,H$23)&gt;0,"Exp","")))</f>
        <v/>
      </c>
      <c r="I819" s="79">
        <f>IF(OR($A819="",I$23=""),"",IF(COUNTIFS('AFA Rates'!$A$5:$A$1004,$A819,'AFA Rates'!$B$5:$B$1004,I$23,'AFA Rates'!$O$5:$O$1004,"&lt;&gt;Expired")&gt;0,"✓",IF(COUNTIFS('AFA Rates'!$A$5:$A$1004,$A819,'AFA Rates'!$B$5:$B$1004,I$23)&gt;0,"Exp","")))</f>
        <v/>
      </c>
      <c r="J819" s="79">
        <f>IF(OR($A819="",J$23=""),"",IF(COUNTIFS('AFA Rates'!$A$5:$A$1004,$A819,'AFA Rates'!$B$5:$B$1004,J$23,'AFA Rates'!$O$5:$O$1004,"&lt;&gt;Expired")&gt;0,"✓",IF(COUNTIFS('AFA Rates'!$A$5:$A$1004,$A819,'AFA Rates'!$B$5:$B$1004,J$23)&gt;0,"Exp","")))</f>
        <v/>
      </c>
      <c r="K819" s="79">
        <f>IF(OR($A819="",K$23=""),"",IF(COUNTIFS('AFA Rates'!$A$5:$A$1004,$A819,'AFA Rates'!$B$5:$B$1004,K$23,'AFA Rates'!$O$5:$O$1004,"&lt;&gt;Expired")&gt;0,"✓",IF(COUNTIFS('AFA Rates'!$A$5:$A$1004,$A819,'AFA Rates'!$B$5:$B$1004,K$23)&gt;0,"Exp","")))</f>
        <v/>
      </c>
      <c r="L819" s="79">
        <f>IF(OR($A819="",L$23=""),"",IF(COUNTIFS('AFA Rates'!$A$5:$A$1004,$A819,'AFA Rates'!$B$5:$B$1004,L$23,'AFA Rates'!$O$5:$O$1004,"&lt;&gt;Expired")&gt;0,"✓",IF(COUNTIFS('AFA Rates'!$A$5:$A$1004,$A819,'AFA Rates'!$B$5:$B$1004,L$23)&gt;0,"Exp","")))</f>
        <v/>
      </c>
      <c r="M819" s="79">
        <f>IF(OR($A819="",M$23=""),"",IF(COUNTIFS('AFA Rates'!$A$5:$A$1004,$A819,'AFA Rates'!$B$5:$B$1004,M$23,'AFA Rates'!$O$5:$O$1004,"&lt;&gt;Expired")&gt;0,"✓",IF(COUNTIFS('AFA Rates'!$A$5:$A$1004,$A819,'AFA Rates'!$B$5:$B$1004,M$23)&gt;0,"Exp","")))</f>
        <v/>
      </c>
    </row>
    <row r="820">
      <c r="A820" s="78">
        <f>IFERROR(INDEX(Firms!$A$5:$A$1004,MATCH(797,Firms!$V$5:$V$1004,0)),"")</f>
        <v/>
      </c>
      <c r="B820" s="79">
        <f>IF($A820="","",INDEX(Firms!$B$5:$B$1004,MATCH(797,Firms!$V$5:$V$1004,0)))</f>
        <v/>
      </c>
      <c r="C820" s="79">
        <f>IF($A820="","",COUNTIFS('AFA Rates'!$A$5:$A$1004,$A820,'AFA Rates'!$O$5:$O$1004,"&lt;&gt;Expired"))</f>
        <v/>
      </c>
      <c r="D820" s="79">
        <f>IF(OR($A820="",D$23=""),"",IF(COUNTIFS('AFA Rates'!$A$5:$A$1004,$A820,'AFA Rates'!$B$5:$B$1004,D$23,'AFA Rates'!$O$5:$O$1004,"&lt;&gt;Expired")&gt;0,"✓",IF(COUNTIFS('AFA Rates'!$A$5:$A$1004,$A820,'AFA Rates'!$B$5:$B$1004,D$23)&gt;0,"Exp","")))</f>
        <v/>
      </c>
      <c r="E820" s="79">
        <f>IF(OR($A820="",E$23=""),"",IF(COUNTIFS('AFA Rates'!$A$5:$A$1004,$A820,'AFA Rates'!$B$5:$B$1004,E$23,'AFA Rates'!$O$5:$O$1004,"&lt;&gt;Expired")&gt;0,"✓",IF(COUNTIFS('AFA Rates'!$A$5:$A$1004,$A820,'AFA Rates'!$B$5:$B$1004,E$23)&gt;0,"Exp","")))</f>
        <v/>
      </c>
      <c r="F820" s="79">
        <f>IF(OR($A820="",F$23=""),"",IF(COUNTIFS('AFA Rates'!$A$5:$A$1004,$A820,'AFA Rates'!$B$5:$B$1004,F$23,'AFA Rates'!$O$5:$O$1004,"&lt;&gt;Expired")&gt;0,"✓",IF(COUNTIFS('AFA Rates'!$A$5:$A$1004,$A820,'AFA Rates'!$B$5:$B$1004,F$23)&gt;0,"Exp","")))</f>
        <v/>
      </c>
      <c r="G820" s="79">
        <f>IF(OR($A820="",G$23=""),"",IF(COUNTIFS('AFA Rates'!$A$5:$A$1004,$A820,'AFA Rates'!$B$5:$B$1004,G$23,'AFA Rates'!$O$5:$O$1004,"&lt;&gt;Expired")&gt;0,"✓",IF(COUNTIFS('AFA Rates'!$A$5:$A$1004,$A820,'AFA Rates'!$B$5:$B$1004,G$23)&gt;0,"Exp","")))</f>
        <v/>
      </c>
      <c r="H820" s="79">
        <f>IF(OR($A820="",H$23=""),"",IF(COUNTIFS('AFA Rates'!$A$5:$A$1004,$A820,'AFA Rates'!$B$5:$B$1004,H$23,'AFA Rates'!$O$5:$O$1004,"&lt;&gt;Expired")&gt;0,"✓",IF(COUNTIFS('AFA Rates'!$A$5:$A$1004,$A820,'AFA Rates'!$B$5:$B$1004,H$23)&gt;0,"Exp","")))</f>
        <v/>
      </c>
      <c r="I820" s="79">
        <f>IF(OR($A820="",I$23=""),"",IF(COUNTIFS('AFA Rates'!$A$5:$A$1004,$A820,'AFA Rates'!$B$5:$B$1004,I$23,'AFA Rates'!$O$5:$O$1004,"&lt;&gt;Expired")&gt;0,"✓",IF(COUNTIFS('AFA Rates'!$A$5:$A$1004,$A820,'AFA Rates'!$B$5:$B$1004,I$23)&gt;0,"Exp","")))</f>
        <v/>
      </c>
      <c r="J820" s="79">
        <f>IF(OR($A820="",J$23=""),"",IF(COUNTIFS('AFA Rates'!$A$5:$A$1004,$A820,'AFA Rates'!$B$5:$B$1004,J$23,'AFA Rates'!$O$5:$O$1004,"&lt;&gt;Expired")&gt;0,"✓",IF(COUNTIFS('AFA Rates'!$A$5:$A$1004,$A820,'AFA Rates'!$B$5:$B$1004,J$23)&gt;0,"Exp","")))</f>
        <v/>
      </c>
      <c r="K820" s="79">
        <f>IF(OR($A820="",K$23=""),"",IF(COUNTIFS('AFA Rates'!$A$5:$A$1004,$A820,'AFA Rates'!$B$5:$B$1004,K$23,'AFA Rates'!$O$5:$O$1004,"&lt;&gt;Expired")&gt;0,"✓",IF(COUNTIFS('AFA Rates'!$A$5:$A$1004,$A820,'AFA Rates'!$B$5:$B$1004,K$23)&gt;0,"Exp","")))</f>
        <v/>
      </c>
      <c r="L820" s="79">
        <f>IF(OR($A820="",L$23=""),"",IF(COUNTIFS('AFA Rates'!$A$5:$A$1004,$A820,'AFA Rates'!$B$5:$B$1004,L$23,'AFA Rates'!$O$5:$O$1004,"&lt;&gt;Expired")&gt;0,"✓",IF(COUNTIFS('AFA Rates'!$A$5:$A$1004,$A820,'AFA Rates'!$B$5:$B$1004,L$23)&gt;0,"Exp","")))</f>
        <v/>
      </c>
      <c r="M820" s="79">
        <f>IF(OR($A820="",M$23=""),"",IF(COUNTIFS('AFA Rates'!$A$5:$A$1004,$A820,'AFA Rates'!$B$5:$B$1004,M$23,'AFA Rates'!$O$5:$O$1004,"&lt;&gt;Expired")&gt;0,"✓",IF(COUNTIFS('AFA Rates'!$A$5:$A$1004,$A820,'AFA Rates'!$B$5:$B$1004,M$23)&gt;0,"Exp","")))</f>
        <v/>
      </c>
    </row>
    <row r="821">
      <c r="A821" s="78">
        <f>IFERROR(INDEX(Firms!$A$5:$A$1004,MATCH(798,Firms!$V$5:$V$1004,0)),"")</f>
        <v/>
      </c>
      <c r="B821" s="79">
        <f>IF($A821="","",INDEX(Firms!$B$5:$B$1004,MATCH(798,Firms!$V$5:$V$1004,0)))</f>
        <v/>
      </c>
      <c r="C821" s="79">
        <f>IF($A821="","",COUNTIFS('AFA Rates'!$A$5:$A$1004,$A821,'AFA Rates'!$O$5:$O$1004,"&lt;&gt;Expired"))</f>
        <v/>
      </c>
      <c r="D821" s="79">
        <f>IF(OR($A821="",D$23=""),"",IF(COUNTIFS('AFA Rates'!$A$5:$A$1004,$A821,'AFA Rates'!$B$5:$B$1004,D$23,'AFA Rates'!$O$5:$O$1004,"&lt;&gt;Expired")&gt;0,"✓",IF(COUNTIFS('AFA Rates'!$A$5:$A$1004,$A821,'AFA Rates'!$B$5:$B$1004,D$23)&gt;0,"Exp","")))</f>
        <v/>
      </c>
      <c r="E821" s="79">
        <f>IF(OR($A821="",E$23=""),"",IF(COUNTIFS('AFA Rates'!$A$5:$A$1004,$A821,'AFA Rates'!$B$5:$B$1004,E$23,'AFA Rates'!$O$5:$O$1004,"&lt;&gt;Expired")&gt;0,"✓",IF(COUNTIFS('AFA Rates'!$A$5:$A$1004,$A821,'AFA Rates'!$B$5:$B$1004,E$23)&gt;0,"Exp","")))</f>
        <v/>
      </c>
      <c r="F821" s="79">
        <f>IF(OR($A821="",F$23=""),"",IF(COUNTIFS('AFA Rates'!$A$5:$A$1004,$A821,'AFA Rates'!$B$5:$B$1004,F$23,'AFA Rates'!$O$5:$O$1004,"&lt;&gt;Expired")&gt;0,"✓",IF(COUNTIFS('AFA Rates'!$A$5:$A$1004,$A821,'AFA Rates'!$B$5:$B$1004,F$23)&gt;0,"Exp","")))</f>
        <v/>
      </c>
      <c r="G821" s="79">
        <f>IF(OR($A821="",G$23=""),"",IF(COUNTIFS('AFA Rates'!$A$5:$A$1004,$A821,'AFA Rates'!$B$5:$B$1004,G$23,'AFA Rates'!$O$5:$O$1004,"&lt;&gt;Expired")&gt;0,"✓",IF(COUNTIFS('AFA Rates'!$A$5:$A$1004,$A821,'AFA Rates'!$B$5:$B$1004,G$23)&gt;0,"Exp","")))</f>
        <v/>
      </c>
      <c r="H821" s="79">
        <f>IF(OR($A821="",H$23=""),"",IF(COUNTIFS('AFA Rates'!$A$5:$A$1004,$A821,'AFA Rates'!$B$5:$B$1004,H$23,'AFA Rates'!$O$5:$O$1004,"&lt;&gt;Expired")&gt;0,"✓",IF(COUNTIFS('AFA Rates'!$A$5:$A$1004,$A821,'AFA Rates'!$B$5:$B$1004,H$23)&gt;0,"Exp","")))</f>
        <v/>
      </c>
      <c r="I821" s="79">
        <f>IF(OR($A821="",I$23=""),"",IF(COUNTIFS('AFA Rates'!$A$5:$A$1004,$A821,'AFA Rates'!$B$5:$B$1004,I$23,'AFA Rates'!$O$5:$O$1004,"&lt;&gt;Expired")&gt;0,"✓",IF(COUNTIFS('AFA Rates'!$A$5:$A$1004,$A821,'AFA Rates'!$B$5:$B$1004,I$23)&gt;0,"Exp","")))</f>
        <v/>
      </c>
      <c r="J821" s="79">
        <f>IF(OR($A821="",J$23=""),"",IF(COUNTIFS('AFA Rates'!$A$5:$A$1004,$A821,'AFA Rates'!$B$5:$B$1004,J$23,'AFA Rates'!$O$5:$O$1004,"&lt;&gt;Expired")&gt;0,"✓",IF(COUNTIFS('AFA Rates'!$A$5:$A$1004,$A821,'AFA Rates'!$B$5:$B$1004,J$23)&gt;0,"Exp","")))</f>
        <v/>
      </c>
      <c r="K821" s="79">
        <f>IF(OR($A821="",K$23=""),"",IF(COUNTIFS('AFA Rates'!$A$5:$A$1004,$A821,'AFA Rates'!$B$5:$B$1004,K$23,'AFA Rates'!$O$5:$O$1004,"&lt;&gt;Expired")&gt;0,"✓",IF(COUNTIFS('AFA Rates'!$A$5:$A$1004,$A821,'AFA Rates'!$B$5:$B$1004,K$23)&gt;0,"Exp","")))</f>
        <v/>
      </c>
      <c r="L821" s="79">
        <f>IF(OR($A821="",L$23=""),"",IF(COUNTIFS('AFA Rates'!$A$5:$A$1004,$A821,'AFA Rates'!$B$5:$B$1004,L$23,'AFA Rates'!$O$5:$O$1004,"&lt;&gt;Expired")&gt;0,"✓",IF(COUNTIFS('AFA Rates'!$A$5:$A$1004,$A821,'AFA Rates'!$B$5:$B$1004,L$23)&gt;0,"Exp","")))</f>
        <v/>
      </c>
      <c r="M821" s="79">
        <f>IF(OR($A821="",M$23=""),"",IF(COUNTIFS('AFA Rates'!$A$5:$A$1004,$A821,'AFA Rates'!$B$5:$B$1004,M$23,'AFA Rates'!$O$5:$O$1004,"&lt;&gt;Expired")&gt;0,"✓",IF(COUNTIFS('AFA Rates'!$A$5:$A$1004,$A821,'AFA Rates'!$B$5:$B$1004,M$23)&gt;0,"Exp","")))</f>
        <v/>
      </c>
    </row>
    <row r="822">
      <c r="A822" s="78">
        <f>IFERROR(INDEX(Firms!$A$5:$A$1004,MATCH(799,Firms!$V$5:$V$1004,0)),"")</f>
        <v/>
      </c>
      <c r="B822" s="79">
        <f>IF($A822="","",INDEX(Firms!$B$5:$B$1004,MATCH(799,Firms!$V$5:$V$1004,0)))</f>
        <v/>
      </c>
      <c r="C822" s="79">
        <f>IF($A822="","",COUNTIFS('AFA Rates'!$A$5:$A$1004,$A822,'AFA Rates'!$O$5:$O$1004,"&lt;&gt;Expired"))</f>
        <v/>
      </c>
      <c r="D822" s="79">
        <f>IF(OR($A822="",D$23=""),"",IF(COUNTIFS('AFA Rates'!$A$5:$A$1004,$A822,'AFA Rates'!$B$5:$B$1004,D$23,'AFA Rates'!$O$5:$O$1004,"&lt;&gt;Expired")&gt;0,"✓",IF(COUNTIFS('AFA Rates'!$A$5:$A$1004,$A822,'AFA Rates'!$B$5:$B$1004,D$23)&gt;0,"Exp","")))</f>
        <v/>
      </c>
      <c r="E822" s="79">
        <f>IF(OR($A822="",E$23=""),"",IF(COUNTIFS('AFA Rates'!$A$5:$A$1004,$A822,'AFA Rates'!$B$5:$B$1004,E$23,'AFA Rates'!$O$5:$O$1004,"&lt;&gt;Expired")&gt;0,"✓",IF(COUNTIFS('AFA Rates'!$A$5:$A$1004,$A822,'AFA Rates'!$B$5:$B$1004,E$23)&gt;0,"Exp","")))</f>
        <v/>
      </c>
      <c r="F822" s="79">
        <f>IF(OR($A822="",F$23=""),"",IF(COUNTIFS('AFA Rates'!$A$5:$A$1004,$A822,'AFA Rates'!$B$5:$B$1004,F$23,'AFA Rates'!$O$5:$O$1004,"&lt;&gt;Expired")&gt;0,"✓",IF(COUNTIFS('AFA Rates'!$A$5:$A$1004,$A822,'AFA Rates'!$B$5:$B$1004,F$23)&gt;0,"Exp","")))</f>
        <v/>
      </c>
      <c r="G822" s="79">
        <f>IF(OR($A822="",G$23=""),"",IF(COUNTIFS('AFA Rates'!$A$5:$A$1004,$A822,'AFA Rates'!$B$5:$B$1004,G$23,'AFA Rates'!$O$5:$O$1004,"&lt;&gt;Expired")&gt;0,"✓",IF(COUNTIFS('AFA Rates'!$A$5:$A$1004,$A822,'AFA Rates'!$B$5:$B$1004,G$23)&gt;0,"Exp","")))</f>
        <v/>
      </c>
      <c r="H822" s="79">
        <f>IF(OR($A822="",H$23=""),"",IF(COUNTIFS('AFA Rates'!$A$5:$A$1004,$A822,'AFA Rates'!$B$5:$B$1004,H$23,'AFA Rates'!$O$5:$O$1004,"&lt;&gt;Expired")&gt;0,"✓",IF(COUNTIFS('AFA Rates'!$A$5:$A$1004,$A822,'AFA Rates'!$B$5:$B$1004,H$23)&gt;0,"Exp","")))</f>
        <v/>
      </c>
      <c r="I822" s="79">
        <f>IF(OR($A822="",I$23=""),"",IF(COUNTIFS('AFA Rates'!$A$5:$A$1004,$A822,'AFA Rates'!$B$5:$B$1004,I$23,'AFA Rates'!$O$5:$O$1004,"&lt;&gt;Expired")&gt;0,"✓",IF(COUNTIFS('AFA Rates'!$A$5:$A$1004,$A822,'AFA Rates'!$B$5:$B$1004,I$23)&gt;0,"Exp","")))</f>
        <v/>
      </c>
      <c r="J822" s="79">
        <f>IF(OR($A822="",J$23=""),"",IF(COUNTIFS('AFA Rates'!$A$5:$A$1004,$A822,'AFA Rates'!$B$5:$B$1004,J$23,'AFA Rates'!$O$5:$O$1004,"&lt;&gt;Expired")&gt;0,"✓",IF(COUNTIFS('AFA Rates'!$A$5:$A$1004,$A822,'AFA Rates'!$B$5:$B$1004,J$23)&gt;0,"Exp","")))</f>
        <v/>
      </c>
      <c r="K822" s="79">
        <f>IF(OR($A822="",K$23=""),"",IF(COUNTIFS('AFA Rates'!$A$5:$A$1004,$A822,'AFA Rates'!$B$5:$B$1004,K$23,'AFA Rates'!$O$5:$O$1004,"&lt;&gt;Expired")&gt;0,"✓",IF(COUNTIFS('AFA Rates'!$A$5:$A$1004,$A822,'AFA Rates'!$B$5:$B$1004,K$23)&gt;0,"Exp","")))</f>
        <v/>
      </c>
      <c r="L822" s="79">
        <f>IF(OR($A822="",L$23=""),"",IF(COUNTIFS('AFA Rates'!$A$5:$A$1004,$A822,'AFA Rates'!$B$5:$B$1004,L$23,'AFA Rates'!$O$5:$O$1004,"&lt;&gt;Expired")&gt;0,"✓",IF(COUNTIFS('AFA Rates'!$A$5:$A$1004,$A822,'AFA Rates'!$B$5:$B$1004,L$23)&gt;0,"Exp","")))</f>
        <v/>
      </c>
      <c r="M822" s="79">
        <f>IF(OR($A822="",M$23=""),"",IF(COUNTIFS('AFA Rates'!$A$5:$A$1004,$A822,'AFA Rates'!$B$5:$B$1004,M$23,'AFA Rates'!$O$5:$O$1004,"&lt;&gt;Expired")&gt;0,"✓",IF(COUNTIFS('AFA Rates'!$A$5:$A$1004,$A822,'AFA Rates'!$B$5:$B$1004,M$23)&gt;0,"Exp","")))</f>
        <v/>
      </c>
    </row>
    <row r="823">
      <c r="A823" s="78">
        <f>IFERROR(INDEX(Firms!$A$5:$A$1004,MATCH(800,Firms!$V$5:$V$1004,0)),"")</f>
        <v/>
      </c>
      <c r="B823" s="79">
        <f>IF($A823="","",INDEX(Firms!$B$5:$B$1004,MATCH(800,Firms!$V$5:$V$1004,0)))</f>
        <v/>
      </c>
      <c r="C823" s="79">
        <f>IF($A823="","",COUNTIFS('AFA Rates'!$A$5:$A$1004,$A823,'AFA Rates'!$O$5:$O$1004,"&lt;&gt;Expired"))</f>
        <v/>
      </c>
      <c r="D823" s="79">
        <f>IF(OR($A823="",D$23=""),"",IF(COUNTIFS('AFA Rates'!$A$5:$A$1004,$A823,'AFA Rates'!$B$5:$B$1004,D$23,'AFA Rates'!$O$5:$O$1004,"&lt;&gt;Expired")&gt;0,"✓",IF(COUNTIFS('AFA Rates'!$A$5:$A$1004,$A823,'AFA Rates'!$B$5:$B$1004,D$23)&gt;0,"Exp","")))</f>
        <v/>
      </c>
      <c r="E823" s="79">
        <f>IF(OR($A823="",E$23=""),"",IF(COUNTIFS('AFA Rates'!$A$5:$A$1004,$A823,'AFA Rates'!$B$5:$B$1004,E$23,'AFA Rates'!$O$5:$O$1004,"&lt;&gt;Expired")&gt;0,"✓",IF(COUNTIFS('AFA Rates'!$A$5:$A$1004,$A823,'AFA Rates'!$B$5:$B$1004,E$23)&gt;0,"Exp","")))</f>
        <v/>
      </c>
      <c r="F823" s="79">
        <f>IF(OR($A823="",F$23=""),"",IF(COUNTIFS('AFA Rates'!$A$5:$A$1004,$A823,'AFA Rates'!$B$5:$B$1004,F$23,'AFA Rates'!$O$5:$O$1004,"&lt;&gt;Expired")&gt;0,"✓",IF(COUNTIFS('AFA Rates'!$A$5:$A$1004,$A823,'AFA Rates'!$B$5:$B$1004,F$23)&gt;0,"Exp","")))</f>
        <v/>
      </c>
      <c r="G823" s="79">
        <f>IF(OR($A823="",G$23=""),"",IF(COUNTIFS('AFA Rates'!$A$5:$A$1004,$A823,'AFA Rates'!$B$5:$B$1004,G$23,'AFA Rates'!$O$5:$O$1004,"&lt;&gt;Expired")&gt;0,"✓",IF(COUNTIFS('AFA Rates'!$A$5:$A$1004,$A823,'AFA Rates'!$B$5:$B$1004,G$23)&gt;0,"Exp","")))</f>
        <v/>
      </c>
      <c r="H823" s="79">
        <f>IF(OR($A823="",H$23=""),"",IF(COUNTIFS('AFA Rates'!$A$5:$A$1004,$A823,'AFA Rates'!$B$5:$B$1004,H$23,'AFA Rates'!$O$5:$O$1004,"&lt;&gt;Expired")&gt;0,"✓",IF(COUNTIFS('AFA Rates'!$A$5:$A$1004,$A823,'AFA Rates'!$B$5:$B$1004,H$23)&gt;0,"Exp","")))</f>
        <v/>
      </c>
      <c r="I823" s="79">
        <f>IF(OR($A823="",I$23=""),"",IF(COUNTIFS('AFA Rates'!$A$5:$A$1004,$A823,'AFA Rates'!$B$5:$B$1004,I$23,'AFA Rates'!$O$5:$O$1004,"&lt;&gt;Expired")&gt;0,"✓",IF(COUNTIFS('AFA Rates'!$A$5:$A$1004,$A823,'AFA Rates'!$B$5:$B$1004,I$23)&gt;0,"Exp","")))</f>
        <v/>
      </c>
      <c r="J823" s="79">
        <f>IF(OR($A823="",J$23=""),"",IF(COUNTIFS('AFA Rates'!$A$5:$A$1004,$A823,'AFA Rates'!$B$5:$B$1004,J$23,'AFA Rates'!$O$5:$O$1004,"&lt;&gt;Expired")&gt;0,"✓",IF(COUNTIFS('AFA Rates'!$A$5:$A$1004,$A823,'AFA Rates'!$B$5:$B$1004,J$23)&gt;0,"Exp","")))</f>
        <v/>
      </c>
      <c r="K823" s="79">
        <f>IF(OR($A823="",K$23=""),"",IF(COUNTIFS('AFA Rates'!$A$5:$A$1004,$A823,'AFA Rates'!$B$5:$B$1004,K$23,'AFA Rates'!$O$5:$O$1004,"&lt;&gt;Expired")&gt;0,"✓",IF(COUNTIFS('AFA Rates'!$A$5:$A$1004,$A823,'AFA Rates'!$B$5:$B$1004,K$23)&gt;0,"Exp","")))</f>
        <v/>
      </c>
      <c r="L823" s="79">
        <f>IF(OR($A823="",L$23=""),"",IF(COUNTIFS('AFA Rates'!$A$5:$A$1004,$A823,'AFA Rates'!$B$5:$B$1004,L$23,'AFA Rates'!$O$5:$O$1004,"&lt;&gt;Expired")&gt;0,"✓",IF(COUNTIFS('AFA Rates'!$A$5:$A$1004,$A823,'AFA Rates'!$B$5:$B$1004,L$23)&gt;0,"Exp","")))</f>
        <v/>
      </c>
      <c r="M823" s="79">
        <f>IF(OR($A823="",M$23=""),"",IF(COUNTIFS('AFA Rates'!$A$5:$A$1004,$A823,'AFA Rates'!$B$5:$B$1004,M$23,'AFA Rates'!$O$5:$O$1004,"&lt;&gt;Expired")&gt;0,"✓",IF(COUNTIFS('AFA Rates'!$A$5:$A$1004,$A823,'AFA Rates'!$B$5:$B$1004,M$23)&gt;0,"Exp","")))</f>
        <v/>
      </c>
    </row>
    <row r="824">
      <c r="A824" s="78">
        <f>IFERROR(INDEX(Firms!$A$5:$A$1004,MATCH(801,Firms!$V$5:$V$1004,0)),"")</f>
        <v/>
      </c>
      <c r="B824" s="79">
        <f>IF($A824="","",INDEX(Firms!$B$5:$B$1004,MATCH(801,Firms!$V$5:$V$1004,0)))</f>
        <v/>
      </c>
      <c r="C824" s="79">
        <f>IF($A824="","",COUNTIFS('AFA Rates'!$A$5:$A$1004,$A824,'AFA Rates'!$O$5:$O$1004,"&lt;&gt;Expired"))</f>
        <v/>
      </c>
      <c r="D824" s="79">
        <f>IF(OR($A824="",D$23=""),"",IF(COUNTIFS('AFA Rates'!$A$5:$A$1004,$A824,'AFA Rates'!$B$5:$B$1004,D$23,'AFA Rates'!$O$5:$O$1004,"&lt;&gt;Expired")&gt;0,"✓",IF(COUNTIFS('AFA Rates'!$A$5:$A$1004,$A824,'AFA Rates'!$B$5:$B$1004,D$23)&gt;0,"Exp","")))</f>
        <v/>
      </c>
      <c r="E824" s="79">
        <f>IF(OR($A824="",E$23=""),"",IF(COUNTIFS('AFA Rates'!$A$5:$A$1004,$A824,'AFA Rates'!$B$5:$B$1004,E$23,'AFA Rates'!$O$5:$O$1004,"&lt;&gt;Expired")&gt;0,"✓",IF(COUNTIFS('AFA Rates'!$A$5:$A$1004,$A824,'AFA Rates'!$B$5:$B$1004,E$23)&gt;0,"Exp","")))</f>
        <v/>
      </c>
      <c r="F824" s="79">
        <f>IF(OR($A824="",F$23=""),"",IF(COUNTIFS('AFA Rates'!$A$5:$A$1004,$A824,'AFA Rates'!$B$5:$B$1004,F$23,'AFA Rates'!$O$5:$O$1004,"&lt;&gt;Expired")&gt;0,"✓",IF(COUNTIFS('AFA Rates'!$A$5:$A$1004,$A824,'AFA Rates'!$B$5:$B$1004,F$23)&gt;0,"Exp","")))</f>
        <v/>
      </c>
      <c r="G824" s="79">
        <f>IF(OR($A824="",G$23=""),"",IF(COUNTIFS('AFA Rates'!$A$5:$A$1004,$A824,'AFA Rates'!$B$5:$B$1004,G$23,'AFA Rates'!$O$5:$O$1004,"&lt;&gt;Expired")&gt;0,"✓",IF(COUNTIFS('AFA Rates'!$A$5:$A$1004,$A824,'AFA Rates'!$B$5:$B$1004,G$23)&gt;0,"Exp","")))</f>
        <v/>
      </c>
      <c r="H824" s="79">
        <f>IF(OR($A824="",H$23=""),"",IF(COUNTIFS('AFA Rates'!$A$5:$A$1004,$A824,'AFA Rates'!$B$5:$B$1004,H$23,'AFA Rates'!$O$5:$O$1004,"&lt;&gt;Expired")&gt;0,"✓",IF(COUNTIFS('AFA Rates'!$A$5:$A$1004,$A824,'AFA Rates'!$B$5:$B$1004,H$23)&gt;0,"Exp","")))</f>
        <v/>
      </c>
      <c r="I824" s="79">
        <f>IF(OR($A824="",I$23=""),"",IF(COUNTIFS('AFA Rates'!$A$5:$A$1004,$A824,'AFA Rates'!$B$5:$B$1004,I$23,'AFA Rates'!$O$5:$O$1004,"&lt;&gt;Expired")&gt;0,"✓",IF(COUNTIFS('AFA Rates'!$A$5:$A$1004,$A824,'AFA Rates'!$B$5:$B$1004,I$23)&gt;0,"Exp","")))</f>
        <v/>
      </c>
      <c r="J824" s="79">
        <f>IF(OR($A824="",J$23=""),"",IF(COUNTIFS('AFA Rates'!$A$5:$A$1004,$A824,'AFA Rates'!$B$5:$B$1004,J$23,'AFA Rates'!$O$5:$O$1004,"&lt;&gt;Expired")&gt;0,"✓",IF(COUNTIFS('AFA Rates'!$A$5:$A$1004,$A824,'AFA Rates'!$B$5:$B$1004,J$23)&gt;0,"Exp","")))</f>
        <v/>
      </c>
      <c r="K824" s="79">
        <f>IF(OR($A824="",K$23=""),"",IF(COUNTIFS('AFA Rates'!$A$5:$A$1004,$A824,'AFA Rates'!$B$5:$B$1004,K$23,'AFA Rates'!$O$5:$O$1004,"&lt;&gt;Expired")&gt;0,"✓",IF(COUNTIFS('AFA Rates'!$A$5:$A$1004,$A824,'AFA Rates'!$B$5:$B$1004,K$23)&gt;0,"Exp","")))</f>
        <v/>
      </c>
      <c r="L824" s="79">
        <f>IF(OR($A824="",L$23=""),"",IF(COUNTIFS('AFA Rates'!$A$5:$A$1004,$A824,'AFA Rates'!$B$5:$B$1004,L$23,'AFA Rates'!$O$5:$O$1004,"&lt;&gt;Expired")&gt;0,"✓",IF(COUNTIFS('AFA Rates'!$A$5:$A$1004,$A824,'AFA Rates'!$B$5:$B$1004,L$23)&gt;0,"Exp","")))</f>
        <v/>
      </c>
      <c r="M824" s="79">
        <f>IF(OR($A824="",M$23=""),"",IF(COUNTIFS('AFA Rates'!$A$5:$A$1004,$A824,'AFA Rates'!$B$5:$B$1004,M$23,'AFA Rates'!$O$5:$O$1004,"&lt;&gt;Expired")&gt;0,"✓",IF(COUNTIFS('AFA Rates'!$A$5:$A$1004,$A824,'AFA Rates'!$B$5:$B$1004,M$23)&gt;0,"Exp","")))</f>
        <v/>
      </c>
    </row>
    <row r="825">
      <c r="A825" s="78">
        <f>IFERROR(INDEX(Firms!$A$5:$A$1004,MATCH(802,Firms!$V$5:$V$1004,0)),"")</f>
        <v/>
      </c>
      <c r="B825" s="79">
        <f>IF($A825="","",INDEX(Firms!$B$5:$B$1004,MATCH(802,Firms!$V$5:$V$1004,0)))</f>
        <v/>
      </c>
      <c r="C825" s="79">
        <f>IF($A825="","",COUNTIFS('AFA Rates'!$A$5:$A$1004,$A825,'AFA Rates'!$O$5:$O$1004,"&lt;&gt;Expired"))</f>
        <v/>
      </c>
      <c r="D825" s="79">
        <f>IF(OR($A825="",D$23=""),"",IF(COUNTIFS('AFA Rates'!$A$5:$A$1004,$A825,'AFA Rates'!$B$5:$B$1004,D$23,'AFA Rates'!$O$5:$O$1004,"&lt;&gt;Expired")&gt;0,"✓",IF(COUNTIFS('AFA Rates'!$A$5:$A$1004,$A825,'AFA Rates'!$B$5:$B$1004,D$23)&gt;0,"Exp","")))</f>
        <v/>
      </c>
      <c r="E825" s="79">
        <f>IF(OR($A825="",E$23=""),"",IF(COUNTIFS('AFA Rates'!$A$5:$A$1004,$A825,'AFA Rates'!$B$5:$B$1004,E$23,'AFA Rates'!$O$5:$O$1004,"&lt;&gt;Expired")&gt;0,"✓",IF(COUNTIFS('AFA Rates'!$A$5:$A$1004,$A825,'AFA Rates'!$B$5:$B$1004,E$23)&gt;0,"Exp","")))</f>
        <v/>
      </c>
      <c r="F825" s="79">
        <f>IF(OR($A825="",F$23=""),"",IF(COUNTIFS('AFA Rates'!$A$5:$A$1004,$A825,'AFA Rates'!$B$5:$B$1004,F$23,'AFA Rates'!$O$5:$O$1004,"&lt;&gt;Expired")&gt;0,"✓",IF(COUNTIFS('AFA Rates'!$A$5:$A$1004,$A825,'AFA Rates'!$B$5:$B$1004,F$23)&gt;0,"Exp","")))</f>
        <v/>
      </c>
      <c r="G825" s="79">
        <f>IF(OR($A825="",G$23=""),"",IF(COUNTIFS('AFA Rates'!$A$5:$A$1004,$A825,'AFA Rates'!$B$5:$B$1004,G$23,'AFA Rates'!$O$5:$O$1004,"&lt;&gt;Expired")&gt;0,"✓",IF(COUNTIFS('AFA Rates'!$A$5:$A$1004,$A825,'AFA Rates'!$B$5:$B$1004,G$23)&gt;0,"Exp","")))</f>
        <v/>
      </c>
      <c r="H825" s="79">
        <f>IF(OR($A825="",H$23=""),"",IF(COUNTIFS('AFA Rates'!$A$5:$A$1004,$A825,'AFA Rates'!$B$5:$B$1004,H$23,'AFA Rates'!$O$5:$O$1004,"&lt;&gt;Expired")&gt;0,"✓",IF(COUNTIFS('AFA Rates'!$A$5:$A$1004,$A825,'AFA Rates'!$B$5:$B$1004,H$23)&gt;0,"Exp","")))</f>
        <v/>
      </c>
      <c r="I825" s="79">
        <f>IF(OR($A825="",I$23=""),"",IF(COUNTIFS('AFA Rates'!$A$5:$A$1004,$A825,'AFA Rates'!$B$5:$B$1004,I$23,'AFA Rates'!$O$5:$O$1004,"&lt;&gt;Expired")&gt;0,"✓",IF(COUNTIFS('AFA Rates'!$A$5:$A$1004,$A825,'AFA Rates'!$B$5:$B$1004,I$23)&gt;0,"Exp","")))</f>
        <v/>
      </c>
      <c r="J825" s="79">
        <f>IF(OR($A825="",J$23=""),"",IF(COUNTIFS('AFA Rates'!$A$5:$A$1004,$A825,'AFA Rates'!$B$5:$B$1004,J$23,'AFA Rates'!$O$5:$O$1004,"&lt;&gt;Expired")&gt;0,"✓",IF(COUNTIFS('AFA Rates'!$A$5:$A$1004,$A825,'AFA Rates'!$B$5:$B$1004,J$23)&gt;0,"Exp","")))</f>
        <v/>
      </c>
      <c r="K825" s="79">
        <f>IF(OR($A825="",K$23=""),"",IF(COUNTIFS('AFA Rates'!$A$5:$A$1004,$A825,'AFA Rates'!$B$5:$B$1004,K$23,'AFA Rates'!$O$5:$O$1004,"&lt;&gt;Expired")&gt;0,"✓",IF(COUNTIFS('AFA Rates'!$A$5:$A$1004,$A825,'AFA Rates'!$B$5:$B$1004,K$23)&gt;0,"Exp","")))</f>
        <v/>
      </c>
      <c r="L825" s="79">
        <f>IF(OR($A825="",L$23=""),"",IF(COUNTIFS('AFA Rates'!$A$5:$A$1004,$A825,'AFA Rates'!$B$5:$B$1004,L$23,'AFA Rates'!$O$5:$O$1004,"&lt;&gt;Expired")&gt;0,"✓",IF(COUNTIFS('AFA Rates'!$A$5:$A$1004,$A825,'AFA Rates'!$B$5:$B$1004,L$23)&gt;0,"Exp","")))</f>
        <v/>
      </c>
      <c r="M825" s="79">
        <f>IF(OR($A825="",M$23=""),"",IF(COUNTIFS('AFA Rates'!$A$5:$A$1004,$A825,'AFA Rates'!$B$5:$B$1004,M$23,'AFA Rates'!$O$5:$O$1004,"&lt;&gt;Expired")&gt;0,"✓",IF(COUNTIFS('AFA Rates'!$A$5:$A$1004,$A825,'AFA Rates'!$B$5:$B$1004,M$23)&gt;0,"Exp","")))</f>
        <v/>
      </c>
    </row>
    <row r="826">
      <c r="A826" s="78">
        <f>IFERROR(INDEX(Firms!$A$5:$A$1004,MATCH(803,Firms!$V$5:$V$1004,0)),"")</f>
        <v/>
      </c>
      <c r="B826" s="79">
        <f>IF($A826="","",INDEX(Firms!$B$5:$B$1004,MATCH(803,Firms!$V$5:$V$1004,0)))</f>
        <v/>
      </c>
      <c r="C826" s="79">
        <f>IF($A826="","",COUNTIFS('AFA Rates'!$A$5:$A$1004,$A826,'AFA Rates'!$O$5:$O$1004,"&lt;&gt;Expired"))</f>
        <v/>
      </c>
      <c r="D826" s="79">
        <f>IF(OR($A826="",D$23=""),"",IF(COUNTIFS('AFA Rates'!$A$5:$A$1004,$A826,'AFA Rates'!$B$5:$B$1004,D$23,'AFA Rates'!$O$5:$O$1004,"&lt;&gt;Expired")&gt;0,"✓",IF(COUNTIFS('AFA Rates'!$A$5:$A$1004,$A826,'AFA Rates'!$B$5:$B$1004,D$23)&gt;0,"Exp","")))</f>
        <v/>
      </c>
      <c r="E826" s="79">
        <f>IF(OR($A826="",E$23=""),"",IF(COUNTIFS('AFA Rates'!$A$5:$A$1004,$A826,'AFA Rates'!$B$5:$B$1004,E$23,'AFA Rates'!$O$5:$O$1004,"&lt;&gt;Expired")&gt;0,"✓",IF(COUNTIFS('AFA Rates'!$A$5:$A$1004,$A826,'AFA Rates'!$B$5:$B$1004,E$23)&gt;0,"Exp","")))</f>
        <v/>
      </c>
      <c r="F826" s="79">
        <f>IF(OR($A826="",F$23=""),"",IF(COUNTIFS('AFA Rates'!$A$5:$A$1004,$A826,'AFA Rates'!$B$5:$B$1004,F$23,'AFA Rates'!$O$5:$O$1004,"&lt;&gt;Expired")&gt;0,"✓",IF(COUNTIFS('AFA Rates'!$A$5:$A$1004,$A826,'AFA Rates'!$B$5:$B$1004,F$23)&gt;0,"Exp","")))</f>
        <v/>
      </c>
      <c r="G826" s="79">
        <f>IF(OR($A826="",G$23=""),"",IF(COUNTIFS('AFA Rates'!$A$5:$A$1004,$A826,'AFA Rates'!$B$5:$B$1004,G$23,'AFA Rates'!$O$5:$O$1004,"&lt;&gt;Expired")&gt;0,"✓",IF(COUNTIFS('AFA Rates'!$A$5:$A$1004,$A826,'AFA Rates'!$B$5:$B$1004,G$23)&gt;0,"Exp","")))</f>
        <v/>
      </c>
      <c r="H826" s="79">
        <f>IF(OR($A826="",H$23=""),"",IF(COUNTIFS('AFA Rates'!$A$5:$A$1004,$A826,'AFA Rates'!$B$5:$B$1004,H$23,'AFA Rates'!$O$5:$O$1004,"&lt;&gt;Expired")&gt;0,"✓",IF(COUNTIFS('AFA Rates'!$A$5:$A$1004,$A826,'AFA Rates'!$B$5:$B$1004,H$23)&gt;0,"Exp","")))</f>
        <v/>
      </c>
      <c r="I826" s="79">
        <f>IF(OR($A826="",I$23=""),"",IF(COUNTIFS('AFA Rates'!$A$5:$A$1004,$A826,'AFA Rates'!$B$5:$B$1004,I$23,'AFA Rates'!$O$5:$O$1004,"&lt;&gt;Expired")&gt;0,"✓",IF(COUNTIFS('AFA Rates'!$A$5:$A$1004,$A826,'AFA Rates'!$B$5:$B$1004,I$23)&gt;0,"Exp","")))</f>
        <v/>
      </c>
      <c r="J826" s="79">
        <f>IF(OR($A826="",J$23=""),"",IF(COUNTIFS('AFA Rates'!$A$5:$A$1004,$A826,'AFA Rates'!$B$5:$B$1004,J$23,'AFA Rates'!$O$5:$O$1004,"&lt;&gt;Expired")&gt;0,"✓",IF(COUNTIFS('AFA Rates'!$A$5:$A$1004,$A826,'AFA Rates'!$B$5:$B$1004,J$23)&gt;0,"Exp","")))</f>
        <v/>
      </c>
      <c r="K826" s="79">
        <f>IF(OR($A826="",K$23=""),"",IF(COUNTIFS('AFA Rates'!$A$5:$A$1004,$A826,'AFA Rates'!$B$5:$B$1004,K$23,'AFA Rates'!$O$5:$O$1004,"&lt;&gt;Expired")&gt;0,"✓",IF(COUNTIFS('AFA Rates'!$A$5:$A$1004,$A826,'AFA Rates'!$B$5:$B$1004,K$23)&gt;0,"Exp","")))</f>
        <v/>
      </c>
      <c r="L826" s="79">
        <f>IF(OR($A826="",L$23=""),"",IF(COUNTIFS('AFA Rates'!$A$5:$A$1004,$A826,'AFA Rates'!$B$5:$B$1004,L$23,'AFA Rates'!$O$5:$O$1004,"&lt;&gt;Expired")&gt;0,"✓",IF(COUNTIFS('AFA Rates'!$A$5:$A$1004,$A826,'AFA Rates'!$B$5:$B$1004,L$23)&gt;0,"Exp","")))</f>
        <v/>
      </c>
      <c r="M826" s="79">
        <f>IF(OR($A826="",M$23=""),"",IF(COUNTIFS('AFA Rates'!$A$5:$A$1004,$A826,'AFA Rates'!$B$5:$B$1004,M$23,'AFA Rates'!$O$5:$O$1004,"&lt;&gt;Expired")&gt;0,"✓",IF(COUNTIFS('AFA Rates'!$A$5:$A$1004,$A826,'AFA Rates'!$B$5:$B$1004,M$23)&gt;0,"Exp","")))</f>
        <v/>
      </c>
    </row>
    <row r="827">
      <c r="A827" s="78">
        <f>IFERROR(INDEX(Firms!$A$5:$A$1004,MATCH(804,Firms!$V$5:$V$1004,0)),"")</f>
        <v/>
      </c>
      <c r="B827" s="79">
        <f>IF($A827="","",INDEX(Firms!$B$5:$B$1004,MATCH(804,Firms!$V$5:$V$1004,0)))</f>
        <v/>
      </c>
      <c r="C827" s="79">
        <f>IF($A827="","",COUNTIFS('AFA Rates'!$A$5:$A$1004,$A827,'AFA Rates'!$O$5:$O$1004,"&lt;&gt;Expired"))</f>
        <v/>
      </c>
      <c r="D827" s="79">
        <f>IF(OR($A827="",D$23=""),"",IF(COUNTIFS('AFA Rates'!$A$5:$A$1004,$A827,'AFA Rates'!$B$5:$B$1004,D$23,'AFA Rates'!$O$5:$O$1004,"&lt;&gt;Expired")&gt;0,"✓",IF(COUNTIFS('AFA Rates'!$A$5:$A$1004,$A827,'AFA Rates'!$B$5:$B$1004,D$23)&gt;0,"Exp","")))</f>
        <v/>
      </c>
      <c r="E827" s="79">
        <f>IF(OR($A827="",E$23=""),"",IF(COUNTIFS('AFA Rates'!$A$5:$A$1004,$A827,'AFA Rates'!$B$5:$B$1004,E$23,'AFA Rates'!$O$5:$O$1004,"&lt;&gt;Expired")&gt;0,"✓",IF(COUNTIFS('AFA Rates'!$A$5:$A$1004,$A827,'AFA Rates'!$B$5:$B$1004,E$23)&gt;0,"Exp","")))</f>
        <v/>
      </c>
      <c r="F827" s="79">
        <f>IF(OR($A827="",F$23=""),"",IF(COUNTIFS('AFA Rates'!$A$5:$A$1004,$A827,'AFA Rates'!$B$5:$B$1004,F$23,'AFA Rates'!$O$5:$O$1004,"&lt;&gt;Expired")&gt;0,"✓",IF(COUNTIFS('AFA Rates'!$A$5:$A$1004,$A827,'AFA Rates'!$B$5:$B$1004,F$23)&gt;0,"Exp","")))</f>
        <v/>
      </c>
      <c r="G827" s="79">
        <f>IF(OR($A827="",G$23=""),"",IF(COUNTIFS('AFA Rates'!$A$5:$A$1004,$A827,'AFA Rates'!$B$5:$B$1004,G$23,'AFA Rates'!$O$5:$O$1004,"&lt;&gt;Expired")&gt;0,"✓",IF(COUNTIFS('AFA Rates'!$A$5:$A$1004,$A827,'AFA Rates'!$B$5:$B$1004,G$23)&gt;0,"Exp","")))</f>
        <v/>
      </c>
      <c r="H827" s="79">
        <f>IF(OR($A827="",H$23=""),"",IF(COUNTIFS('AFA Rates'!$A$5:$A$1004,$A827,'AFA Rates'!$B$5:$B$1004,H$23,'AFA Rates'!$O$5:$O$1004,"&lt;&gt;Expired")&gt;0,"✓",IF(COUNTIFS('AFA Rates'!$A$5:$A$1004,$A827,'AFA Rates'!$B$5:$B$1004,H$23)&gt;0,"Exp","")))</f>
        <v/>
      </c>
      <c r="I827" s="79">
        <f>IF(OR($A827="",I$23=""),"",IF(COUNTIFS('AFA Rates'!$A$5:$A$1004,$A827,'AFA Rates'!$B$5:$B$1004,I$23,'AFA Rates'!$O$5:$O$1004,"&lt;&gt;Expired")&gt;0,"✓",IF(COUNTIFS('AFA Rates'!$A$5:$A$1004,$A827,'AFA Rates'!$B$5:$B$1004,I$23)&gt;0,"Exp","")))</f>
        <v/>
      </c>
      <c r="J827" s="79">
        <f>IF(OR($A827="",J$23=""),"",IF(COUNTIFS('AFA Rates'!$A$5:$A$1004,$A827,'AFA Rates'!$B$5:$B$1004,J$23,'AFA Rates'!$O$5:$O$1004,"&lt;&gt;Expired")&gt;0,"✓",IF(COUNTIFS('AFA Rates'!$A$5:$A$1004,$A827,'AFA Rates'!$B$5:$B$1004,J$23)&gt;0,"Exp","")))</f>
        <v/>
      </c>
      <c r="K827" s="79">
        <f>IF(OR($A827="",K$23=""),"",IF(COUNTIFS('AFA Rates'!$A$5:$A$1004,$A827,'AFA Rates'!$B$5:$B$1004,K$23,'AFA Rates'!$O$5:$O$1004,"&lt;&gt;Expired")&gt;0,"✓",IF(COUNTIFS('AFA Rates'!$A$5:$A$1004,$A827,'AFA Rates'!$B$5:$B$1004,K$23)&gt;0,"Exp","")))</f>
        <v/>
      </c>
      <c r="L827" s="79">
        <f>IF(OR($A827="",L$23=""),"",IF(COUNTIFS('AFA Rates'!$A$5:$A$1004,$A827,'AFA Rates'!$B$5:$B$1004,L$23,'AFA Rates'!$O$5:$O$1004,"&lt;&gt;Expired")&gt;0,"✓",IF(COUNTIFS('AFA Rates'!$A$5:$A$1004,$A827,'AFA Rates'!$B$5:$B$1004,L$23)&gt;0,"Exp","")))</f>
        <v/>
      </c>
      <c r="M827" s="79">
        <f>IF(OR($A827="",M$23=""),"",IF(COUNTIFS('AFA Rates'!$A$5:$A$1004,$A827,'AFA Rates'!$B$5:$B$1004,M$23,'AFA Rates'!$O$5:$O$1004,"&lt;&gt;Expired")&gt;0,"✓",IF(COUNTIFS('AFA Rates'!$A$5:$A$1004,$A827,'AFA Rates'!$B$5:$B$1004,M$23)&gt;0,"Exp","")))</f>
        <v/>
      </c>
    </row>
    <row r="828">
      <c r="A828" s="78">
        <f>IFERROR(INDEX(Firms!$A$5:$A$1004,MATCH(805,Firms!$V$5:$V$1004,0)),"")</f>
        <v/>
      </c>
      <c r="B828" s="79">
        <f>IF($A828="","",INDEX(Firms!$B$5:$B$1004,MATCH(805,Firms!$V$5:$V$1004,0)))</f>
        <v/>
      </c>
      <c r="C828" s="79">
        <f>IF($A828="","",COUNTIFS('AFA Rates'!$A$5:$A$1004,$A828,'AFA Rates'!$O$5:$O$1004,"&lt;&gt;Expired"))</f>
        <v/>
      </c>
      <c r="D828" s="79">
        <f>IF(OR($A828="",D$23=""),"",IF(COUNTIFS('AFA Rates'!$A$5:$A$1004,$A828,'AFA Rates'!$B$5:$B$1004,D$23,'AFA Rates'!$O$5:$O$1004,"&lt;&gt;Expired")&gt;0,"✓",IF(COUNTIFS('AFA Rates'!$A$5:$A$1004,$A828,'AFA Rates'!$B$5:$B$1004,D$23)&gt;0,"Exp","")))</f>
        <v/>
      </c>
      <c r="E828" s="79">
        <f>IF(OR($A828="",E$23=""),"",IF(COUNTIFS('AFA Rates'!$A$5:$A$1004,$A828,'AFA Rates'!$B$5:$B$1004,E$23,'AFA Rates'!$O$5:$O$1004,"&lt;&gt;Expired")&gt;0,"✓",IF(COUNTIFS('AFA Rates'!$A$5:$A$1004,$A828,'AFA Rates'!$B$5:$B$1004,E$23)&gt;0,"Exp","")))</f>
        <v/>
      </c>
      <c r="F828" s="79">
        <f>IF(OR($A828="",F$23=""),"",IF(COUNTIFS('AFA Rates'!$A$5:$A$1004,$A828,'AFA Rates'!$B$5:$B$1004,F$23,'AFA Rates'!$O$5:$O$1004,"&lt;&gt;Expired")&gt;0,"✓",IF(COUNTIFS('AFA Rates'!$A$5:$A$1004,$A828,'AFA Rates'!$B$5:$B$1004,F$23)&gt;0,"Exp","")))</f>
        <v/>
      </c>
      <c r="G828" s="79">
        <f>IF(OR($A828="",G$23=""),"",IF(COUNTIFS('AFA Rates'!$A$5:$A$1004,$A828,'AFA Rates'!$B$5:$B$1004,G$23,'AFA Rates'!$O$5:$O$1004,"&lt;&gt;Expired")&gt;0,"✓",IF(COUNTIFS('AFA Rates'!$A$5:$A$1004,$A828,'AFA Rates'!$B$5:$B$1004,G$23)&gt;0,"Exp","")))</f>
        <v/>
      </c>
      <c r="H828" s="79">
        <f>IF(OR($A828="",H$23=""),"",IF(COUNTIFS('AFA Rates'!$A$5:$A$1004,$A828,'AFA Rates'!$B$5:$B$1004,H$23,'AFA Rates'!$O$5:$O$1004,"&lt;&gt;Expired")&gt;0,"✓",IF(COUNTIFS('AFA Rates'!$A$5:$A$1004,$A828,'AFA Rates'!$B$5:$B$1004,H$23)&gt;0,"Exp","")))</f>
        <v/>
      </c>
      <c r="I828" s="79">
        <f>IF(OR($A828="",I$23=""),"",IF(COUNTIFS('AFA Rates'!$A$5:$A$1004,$A828,'AFA Rates'!$B$5:$B$1004,I$23,'AFA Rates'!$O$5:$O$1004,"&lt;&gt;Expired")&gt;0,"✓",IF(COUNTIFS('AFA Rates'!$A$5:$A$1004,$A828,'AFA Rates'!$B$5:$B$1004,I$23)&gt;0,"Exp","")))</f>
        <v/>
      </c>
      <c r="J828" s="79">
        <f>IF(OR($A828="",J$23=""),"",IF(COUNTIFS('AFA Rates'!$A$5:$A$1004,$A828,'AFA Rates'!$B$5:$B$1004,J$23,'AFA Rates'!$O$5:$O$1004,"&lt;&gt;Expired")&gt;0,"✓",IF(COUNTIFS('AFA Rates'!$A$5:$A$1004,$A828,'AFA Rates'!$B$5:$B$1004,J$23)&gt;0,"Exp","")))</f>
        <v/>
      </c>
      <c r="K828" s="79">
        <f>IF(OR($A828="",K$23=""),"",IF(COUNTIFS('AFA Rates'!$A$5:$A$1004,$A828,'AFA Rates'!$B$5:$B$1004,K$23,'AFA Rates'!$O$5:$O$1004,"&lt;&gt;Expired")&gt;0,"✓",IF(COUNTIFS('AFA Rates'!$A$5:$A$1004,$A828,'AFA Rates'!$B$5:$B$1004,K$23)&gt;0,"Exp","")))</f>
        <v/>
      </c>
      <c r="L828" s="79">
        <f>IF(OR($A828="",L$23=""),"",IF(COUNTIFS('AFA Rates'!$A$5:$A$1004,$A828,'AFA Rates'!$B$5:$B$1004,L$23,'AFA Rates'!$O$5:$O$1004,"&lt;&gt;Expired")&gt;0,"✓",IF(COUNTIFS('AFA Rates'!$A$5:$A$1004,$A828,'AFA Rates'!$B$5:$B$1004,L$23)&gt;0,"Exp","")))</f>
        <v/>
      </c>
      <c r="M828" s="79">
        <f>IF(OR($A828="",M$23=""),"",IF(COUNTIFS('AFA Rates'!$A$5:$A$1004,$A828,'AFA Rates'!$B$5:$B$1004,M$23,'AFA Rates'!$O$5:$O$1004,"&lt;&gt;Expired")&gt;0,"✓",IF(COUNTIFS('AFA Rates'!$A$5:$A$1004,$A828,'AFA Rates'!$B$5:$B$1004,M$23)&gt;0,"Exp","")))</f>
        <v/>
      </c>
    </row>
    <row r="829">
      <c r="A829" s="78">
        <f>IFERROR(INDEX(Firms!$A$5:$A$1004,MATCH(806,Firms!$V$5:$V$1004,0)),"")</f>
        <v/>
      </c>
      <c r="B829" s="79">
        <f>IF($A829="","",INDEX(Firms!$B$5:$B$1004,MATCH(806,Firms!$V$5:$V$1004,0)))</f>
        <v/>
      </c>
      <c r="C829" s="79">
        <f>IF($A829="","",COUNTIFS('AFA Rates'!$A$5:$A$1004,$A829,'AFA Rates'!$O$5:$O$1004,"&lt;&gt;Expired"))</f>
        <v/>
      </c>
      <c r="D829" s="79">
        <f>IF(OR($A829="",D$23=""),"",IF(COUNTIFS('AFA Rates'!$A$5:$A$1004,$A829,'AFA Rates'!$B$5:$B$1004,D$23,'AFA Rates'!$O$5:$O$1004,"&lt;&gt;Expired")&gt;0,"✓",IF(COUNTIFS('AFA Rates'!$A$5:$A$1004,$A829,'AFA Rates'!$B$5:$B$1004,D$23)&gt;0,"Exp","")))</f>
        <v/>
      </c>
      <c r="E829" s="79">
        <f>IF(OR($A829="",E$23=""),"",IF(COUNTIFS('AFA Rates'!$A$5:$A$1004,$A829,'AFA Rates'!$B$5:$B$1004,E$23,'AFA Rates'!$O$5:$O$1004,"&lt;&gt;Expired")&gt;0,"✓",IF(COUNTIFS('AFA Rates'!$A$5:$A$1004,$A829,'AFA Rates'!$B$5:$B$1004,E$23)&gt;0,"Exp","")))</f>
        <v/>
      </c>
      <c r="F829" s="79">
        <f>IF(OR($A829="",F$23=""),"",IF(COUNTIFS('AFA Rates'!$A$5:$A$1004,$A829,'AFA Rates'!$B$5:$B$1004,F$23,'AFA Rates'!$O$5:$O$1004,"&lt;&gt;Expired")&gt;0,"✓",IF(COUNTIFS('AFA Rates'!$A$5:$A$1004,$A829,'AFA Rates'!$B$5:$B$1004,F$23)&gt;0,"Exp","")))</f>
        <v/>
      </c>
      <c r="G829" s="79">
        <f>IF(OR($A829="",G$23=""),"",IF(COUNTIFS('AFA Rates'!$A$5:$A$1004,$A829,'AFA Rates'!$B$5:$B$1004,G$23,'AFA Rates'!$O$5:$O$1004,"&lt;&gt;Expired")&gt;0,"✓",IF(COUNTIFS('AFA Rates'!$A$5:$A$1004,$A829,'AFA Rates'!$B$5:$B$1004,G$23)&gt;0,"Exp","")))</f>
        <v/>
      </c>
      <c r="H829" s="79">
        <f>IF(OR($A829="",H$23=""),"",IF(COUNTIFS('AFA Rates'!$A$5:$A$1004,$A829,'AFA Rates'!$B$5:$B$1004,H$23,'AFA Rates'!$O$5:$O$1004,"&lt;&gt;Expired")&gt;0,"✓",IF(COUNTIFS('AFA Rates'!$A$5:$A$1004,$A829,'AFA Rates'!$B$5:$B$1004,H$23)&gt;0,"Exp","")))</f>
        <v/>
      </c>
      <c r="I829" s="79">
        <f>IF(OR($A829="",I$23=""),"",IF(COUNTIFS('AFA Rates'!$A$5:$A$1004,$A829,'AFA Rates'!$B$5:$B$1004,I$23,'AFA Rates'!$O$5:$O$1004,"&lt;&gt;Expired")&gt;0,"✓",IF(COUNTIFS('AFA Rates'!$A$5:$A$1004,$A829,'AFA Rates'!$B$5:$B$1004,I$23)&gt;0,"Exp","")))</f>
        <v/>
      </c>
      <c r="J829" s="79">
        <f>IF(OR($A829="",J$23=""),"",IF(COUNTIFS('AFA Rates'!$A$5:$A$1004,$A829,'AFA Rates'!$B$5:$B$1004,J$23,'AFA Rates'!$O$5:$O$1004,"&lt;&gt;Expired")&gt;0,"✓",IF(COUNTIFS('AFA Rates'!$A$5:$A$1004,$A829,'AFA Rates'!$B$5:$B$1004,J$23)&gt;0,"Exp","")))</f>
        <v/>
      </c>
      <c r="K829" s="79">
        <f>IF(OR($A829="",K$23=""),"",IF(COUNTIFS('AFA Rates'!$A$5:$A$1004,$A829,'AFA Rates'!$B$5:$B$1004,K$23,'AFA Rates'!$O$5:$O$1004,"&lt;&gt;Expired")&gt;0,"✓",IF(COUNTIFS('AFA Rates'!$A$5:$A$1004,$A829,'AFA Rates'!$B$5:$B$1004,K$23)&gt;0,"Exp","")))</f>
        <v/>
      </c>
      <c r="L829" s="79">
        <f>IF(OR($A829="",L$23=""),"",IF(COUNTIFS('AFA Rates'!$A$5:$A$1004,$A829,'AFA Rates'!$B$5:$B$1004,L$23,'AFA Rates'!$O$5:$O$1004,"&lt;&gt;Expired")&gt;0,"✓",IF(COUNTIFS('AFA Rates'!$A$5:$A$1004,$A829,'AFA Rates'!$B$5:$B$1004,L$23)&gt;0,"Exp","")))</f>
        <v/>
      </c>
      <c r="M829" s="79">
        <f>IF(OR($A829="",M$23=""),"",IF(COUNTIFS('AFA Rates'!$A$5:$A$1004,$A829,'AFA Rates'!$B$5:$B$1004,M$23,'AFA Rates'!$O$5:$O$1004,"&lt;&gt;Expired")&gt;0,"✓",IF(COUNTIFS('AFA Rates'!$A$5:$A$1004,$A829,'AFA Rates'!$B$5:$B$1004,M$23)&gt;0,"Exp","")))</f>
        <v/>
      </c>
    </row>
    <row r="830">
      <c r="A830" s="78">
        <f>IFERROR(INDEX(Firms!$A$5:$A$1004,MATCH(807,Firms!$V$5:$V$1004,0)),"")</f>
        <v/>
      </c>
      <c r="B830" s="79">
        <f>IF($A830="","",INDEX(Firms!$B$5:$B$1004,MATCH(807,Firms!$V$5:$V$1004,0)))</f>
        <v/>
      </c>
      <c r="C830" s="79">
        <f>IF($A830="","",COUNTIFS('AFA Rates'!$A$5:$A$1004,$A830,'AFA Rates'!$O$5:$O$1004,"&lt;&gt;Expired"))</f>
        <v/>
      </c>
      <c r="D830" s="79">
        <f>IF(OR($A830="",D$23=""),"",IF(COUNTIFS('AFA Rates'!$A$5:$A$1004,$A830,'AFA Rates'!$B$5:$B$1004,D$23,'AFA Rates'!$O$5:$O$1004,"&lt;&gt;Expired")&gt;0,"✓",IF(COUNTIFS('AFA Rates'!$A$5:$A$1004,$A830,'AFA Rates'!$B$5:$B$1004,D$23)&gt;0,"Exp","")))</f>
        <v/>
      </c>
      <c r="E830" s="79">
        <f>IF(OR($A830="",E$23=""),"",IF(COUNTIFS('AFA Rates'!$A$5:$A$1004,$A830,'AFA Rates'!$B$5:$B$1004,E$23,'AFA Rates'!$O$5:$O$1004,"&lt;&gt;Expired")&gt;0,"✓",IF(COUNTIFS('AFA Rates'!$A$5:$A$1004,$A830,'AFA Rates'!$B$5:$B$1004,E$23)&gt;0,"Exp","")))</f>
        <v/>
      </c>
      <c r="F830" s="79">
        <f>IF(OR($A830="",F$23=""),"",IF(COUNTIFS('AFA Rates'!$A$5:$A$1004,$A830,'AFA Rates'!$B$5:$B$1004,F$23,'AFA Rates'!$O$5:$O$1004,"&lt;&gt;Expired")&gt;0,"✓",IF(COUNTIFS('AFA Rates'!$A$5:$A$1004,$A830,'AFA Rates'!$B$5:$B$1004,F$23)&gt;0,"Exp","")))</f>
        <v/>
      </c>
      <c r="G830" s="79">
        <f>IF(OR($A830="",G$23=""),"",IF(COUNTIFS('AFA Rates'!$A$5:$A$1004,$A830,'AFA Rates'!$B$5:$B$1004,G$23,'AFA Rates'!$O$5:$O$1004,"&lt;&gt;Expired")&gt;0,"✓",IF(COUNTIFS('AFA Rates'!$A$5:$A$1004,$A830,'AFA Rates'!$B$5:$B$1004,G$23)&gt;0,"Exp","")))</f>
        <v/>
      </c>
      <c r="H830" s="79">
        <f>IF(OR($A830="",H$23=""),"",IF(COUNTIFS('AFA Rates'!$A$5:$A$1004,$A830,'AFA Rates'!$B$5:$B$1004,H$23,'AFA Rates'!$O$5:$O$1004,"&lt;&gt;Expired")&gt;0,"✓",IF(COUNTIFS('AFA Rates'!$A$5:$A$1004,$A830,'AFA Rates'!$B$5:$B$1004,H$23)&gt;0,"Exp","")))</f>
        <v/>
      </c>
      <c r="I830" s="79">
        <f>IF(OR($A830="",I$23=""),"",IF(COUNTIFS('AFA Rates'!$A$5:$A$1004,$A830,'AFA Rates'!$B$5:$B$1004,I$23,'AFA Rates'!$O$5:$O$1004,"&lt;&gt;Expired")&gt;0,"✓",IF(COUNTIFS('AFA Rates'!$A$5:$A$1004,$A830,'AFA Rates'!$B$5:$B$1004,I$23)&gt;0,"Exp","")))</f>
        <v/>
      </c>
      <c r="J830" s="79">
        <f>IF(OR($A830="",J$23=""),"",IF(COUNTIFS('AFA Rates'!$A$5:$A$1004,$A830,'AFA Rates'!$B$5:$B$1004,J$23,'AFA Rates'!$O$5:$O$1004,"&lt;&gt;Expired")&gt;0,"✓",IF(COUNTIFS('AFA Rates'!$A$5:$A$1004,$A830,'AFA Rates'!$B$5:$B$1004,J$23)&gt;0,"Exp","")))</f>
        <v/>
      </c>
      <c r="K830" s="79">
        <f>IF(OR($A830="",K$23=""),"",IF(COUNTIFS('AFA Rates'!$A$5:$A$1004,$A830,'AFA Rates'!$B$5:$B$1004,K$23,'AFA Rates'!$O$5:$O$1004,"&lt;&gt;Expired")&gt;0,"✓",IF(COUNTIFS('AFA Rates'!$A$5:$A$1004,$A830,'AFA Rates'!$B$5:$B$1004,K$23)&gt;0,"Exp","")))</f>
        <v/>
      </c>
      <c r="L830" s="79">
        <f>IF(OR($A830="",L$23=""),"",IF(COUNTIFS('AFA Rates'!$A$5:$A$1004,$A830,'AFA Rates'!$B$5:$B$1004,L$23,'AFA Rates'!$O$5:$O$1004,"&lt;&gt;Expired")&gt;0,"✓",IF(COUNTIFS('AFA Rates'!$A$5:$A$1004,$A830,'AFA Rates'!$B$5:$B$1004,L$23)&gt;0,"Exp","")))</f>
        <v/>
      </c>
      <c r="M830" s="79">
        <f>IF(OR($A830="",M$23=""),"",IF(COUNTIFS('AFA Rates'!$A$5:$A$1004,$A830,'AFA Rates'!$B$5:$B$1004,M$23,'AFA Rates'!$O$5:$O$1004,"&lt;&gt;Expired")&gt;0,"✓",IF(COUNTIFS('AFA Rates'!$A$5:$A$1004,$A830,'AFA Rates'!$B$5:$B$1004,M$23)&gt;0,"Exp","")))</f>
        <v/>
      </c>
    </row>
    <row r="831">
      <c r="A831" s="78">
        <f>IFERROR(INDEX(Firms!$A$5:$A$1004,MATCH(808,Firms!$V$5:$V$1004,0)),"")</f>
        <v/>
      </c>
      <c r="B831" s="79">
        <f>IF($A831="","",INDEX(Firms!$B$5:$B$1004,MATCH(808,Firms!$V$5:$V$1004,0)))</f>
        <v/>
      </c>
      <c r="C831" s="79">
        <f>IF($A831="","",COUNTIFS('AFA Rates'!$A$5:$A$1004,$A831,'AFA Rates'!$O$5:$O$1004,"&lt;&gt;Expired"))</f>
        <v/>
      </c>
      <c r="D831" s="79">
        <f>IF(OR($A831="",D$23=""),"",IF(COUNTIFS('AFA Rates'!$A$5:$A$1004,$A831,'AFA Rates'!$B$5:$B$1004,D$23,'AFA Rates'!$O$5:$O$1004,"&lt;&gt;Expired")&gt;0,"✓",IF(COUNTIFS('AFA Rates'!$A$5:$A$1004,$A831,'AFA Rates'!$B$5:$B$1004,D$23)&gt;0,"Exp","")))</f>
        <v/>
      </c>
      <c r="E831" s="79">
        <f>IF(OR($A831="",E$23=""),"",IF(COUNTIFS('AFA Rates'!$A$5:$A$1004,$A831,'AFA Rates'!$B$5:$B$1004,E$23,'AFA Rates'!$O$5:$O$1004,"&lt;&gt;Expired")&gt;0,"✓",IF(COUNTIFS('AFA Rates'!$A$5:$A$1004,$A831,'AFA Rates'!$B$5:$B$1004,E$23)&gt;0,"Exp","")))</f>
        <v/>
      </c>
      <c r="F831" s="79">
        <f>IF(OR($A831="",F$23=""),"",IF(COUNTIFS('AFA Rates'!$A$5:$A$1004,$A831,'AFA Rates'!$B$5:$B$1004,F$23,'AFA Rates'!$O$5:$O$1004,"&lt;&gt;Expired")&gt;0,"✓",IF(COUNTIFS('AFA Rates'!$A$5:$A$1004,$A831,'AFA Rates'!$B$5:$B$1004,F$23)&gt;0,"Exp","")))</f>
        <v/>
      </c>
      <c r="G831" s="79">
        <f>IF(OR($A831="",G$23=""),"",IF(COUNTIFS('AFA Rates'!$A$5:$A$1004,$A831,'AFA Rates'!$B$5:$B$1004,G$23,'AFA Rates'!$O$5:$O$1004,"&lt;&gt;Expired")&gt;0,"✓",IF(COUNTIFS('AFA Rates'!$A$5:$A$1004,$A831,'AFA Rates'!$B$5:$B$1004,G$23)&gt;0,"Exp","")))</f>
        <v/>
      </c>
      <c r="H831" s="79">
        <f>IF(OR($A831="",H$23=""),"",IF(COUNTIFS('AFA Rates'!$A$5:$A$1004,$A831,'AFA Rates'!$B$5:$B$1004,H$23,'AFA Rates'!$O$5:$O$1004,"&lt;&gt;Expired")&gt;0,"✓",IF(COUNTIFS('AFA Rates'!$A$5:$A$1004,$A831,'AFA Rates'!$B$5:$B$1004,H$23)&gt;0,"Exp","")))</f>
        <v/>
      </c>
      <c r="I831" s="79">
        <f>IF(OR($A831="",I$23=""),"",IF(COUNTIFS('AFA Rates'!$A$5:$A$1004,$A831,'AFA Rates'!$B$5:$B$1004,I$23,'AFA Rates'!$O$5:$O$1004,"&lt;&gt;Expired")&gt;0,"✓",IF(COUNTIFS('AFA Rates'!$A$5:$A$1004,$A831,'AFA Rates'!$B$5:$B$1004,I$23)&gt;0,"Exp","")))</f>
        <v/>
      </c>
      <c r="J831" s="79">
        <f>IF(OR($A831="",J$23=""),"",IF(COUNTIFS('AFA Rates'!$A$5:$A$1004,$A831,'AFA Rates'!$B$5:$B$1004,J$23,'AFA Rates'!$O$5:$O$1004,"&lt;&gt;Expired")&gt;0,"✓",IF(COUNTIFS('AFA Rates'!$A$5:$A$1004,$A831,'AFA Rates'!$B$5:$B$1004,J$23)&gt;0,"Exp","")))</f>
        <v/>
      </c>
      <c r="K831" s="79">
        <f>IF(OR($A831="",K$23=""),"",IF(COUNTIFS('AFA Rates'!$A$5:$A$1004,$A831,'AFA Rates'!$B$5:$B$1004,K$23,'AFA Rates'!$O$5:$O$1004,"&lt;&gt;Expired")&gt;0,"✓",IF(COUNTIFS('AFA Rates'!$A$5:$A$1004,$A831,'AFA Rates'!$B$5:$B$1004,K$23)&gt;0,"Exp","")))</f>
        <v/>
      </c>
      <c r="L831" s="79">
        <f>IF(OR($A831="",L$23=""),"",IF(COUNTIFS('AFA Rates'!$A$5:$A$1004,$A831,'AFA Rates'!$B$5:$B$1004,L$23,'AFA Rates'!$O$5:$O$1004,"&lt;&gt;Expired")&gt;0,"✓",IF(COUNTIFS('AFA Rates'!$A$5:$A$1004,$A831,'AFA Rates'!$B$5:$B$1004,L$23)&gt;0,"Exp","")))</f>
        <v/>
      </c>
      <c r="M831" s="79">
        <f>IF(OR($A831="",M$23=""),"",IF(COUNTIFS('AFA Rates'!$A$5:$A$1004,$A831,'AFA Rates'!$B$5:$B$1004,M$23,'AFA Rates'!$O$5:$O$1004,"&lt;&gt;Expired")&gt;0,"✓",IF(COUNTIFS('AFA Rates'!$A$5:$A$1004,$A831,'AFA Rates'!$B$5:$B$1004,M$23)&gt;0,"Exp","")))</f>
        <v/>
      </c>
    </row>
    <row r="832">
      <c r="A832" s="78">
        <f>IFERROR(INDEX(Firms!$A$5:$A$1004,MATCH(809,Firms!$V$5:$V$1004,0)),"")</f>
        <v/>
      </c>
      <c r="B832" s="79">
        <f>IF($A832="","",INDEX(Firms!$B$5:$B$1004,MATCH(809,Firms!$V$5:$V$1004,0)))</f>
        <v/>
      </c>
      <c r="C832" s="79">
        <f>IF($A832="","",COUNTIFS('AFA Rates'!$A$5:$A$1004,$A832,'AFA Rates'!$O$5:$O$1004,"&lt;&gt;Expired"))</f>
        <v/>
      </c>
      <c r="D832" s="79">
        <f>IF(OR($A832="",D$23=""),"",IF(COUNTIFS('AFA Rates'!$A$5:$A$1004,$A832,'AFA Rates'!$B$5:$B$1004,D$23,'AFA Rates'!$O$5:$O$1004,"&lt;&gt;Expired")&gt;0,"✓",IF(COUNTIFS('AFA Rates'!$A$5:$A$1004,$A832,'AFA Rates'!$B$5:$B$1004,D$23)&gt;0,"Exp","")))</f>
        <v/>
      </c>
      <c r="E832" s="79">
        <f>IF(OR($A832="",E$23=""),"",IF(COUNTIFS('AFA Rates'!$A$5:$A$1004,$A832,'AFA Rates'!$B$5:$B$1004,E$23,'AFA Rates'!$O$5:$O$1004,"&lt;&gt;Expired")&gt;0,"✓",IF(COUNTIFS('AFA Rates'!$A$5:$A$1004,$A832,'AFA Rates'!$B$5:$B$1004,E$23)&gt;0,"Exp","")))</f>
        <v/>
      </c>
      <c r="F832" s="79">
        <f>IF(OR($A832="",F$23=""),"",IF(COUNTIFS('AFA Rates'!$A$5:$A$1004,$A832,'AFA Rates'!$B$5:$B$1004,F$23,'AFA Rates'!$O$5:$O$1004,"&lt;&gt;Expired")&gt;0,"✓",IF(COUNTIFS('AFA Rates'!$A$5:$A$1004,$A832,'AFA Rates'!$B$5:$B$1004,F$23)&gt;0,"Exp","")))</f>
        <v/>
      </c>
      <c r="G832" s="79">
        <f>IF(OR($A832="",G$23=""),"",IF(COUNTIFS('AFA Rates'!$A$5:$A$1004,$A832,'AFA Rates'!$B$5:$B$1004,G$23,'AFA Rates'!$O$5:$O$1004,"&lt;&gt;Expired")&gt;0,"✓",IF(COUNTIFS('AFA Rates'!$A$5:$A$1004,$A832,'AFA Rates'!$B$5:$B$1004,G$23)&gt;0,"Exp","")))</f>
        <v/>
      </c>
      <c r="H832" s="79">
        <f>IF(OR($A832="",H$23=""),"",IF(COUNTIFS('AFA Rates'!$A$5:$A$1004,$A832,'AFA Rates'!$B$5:$B$1004,H$23,'AFA Rates'!$O$5:$O$1004,"&lt;&gt;Expired")&gt;0,"✓",IF(COUNTIFS('AFA Rates'!$A$5:$A$1004,$A832,'AFA Rates'!$B$5:$B$1004,H$23)&gt;0,"Exp","")))</f>
        <v/>
      </c>
      <c r="I832" s="79">
        <f>IF(OR($A832="",I$23=""),"",IF(COUNTIFS('AFA Rates'!$A$5:$A$1004,$A832,'AFA Rates'!$B$5:$B$1004,I$23,'AFA Rates'!$O$5:$O$1004,"&lt;&gt;Expired")&gt;0,"✓",IF(COUNTIFS('AFA Rates'!$A$5:$A$1004,$A832,'AFA Rates'!$B$5:$B$1004,I$23)&gt;0,"Exp","")))</f>
        <v/>
      </c>
      <c r="J832" s="79">
        <f>IF(OR($A832="",J$23=""),"",IF(COUNTIFS('AFA Rates'!$A$5:$A$1004,$A832,'AFA Rates'!$B$5:$B$1004,J$23,'AFA Rates'!$O$5:$O$1004,"&lt;&gt;Expired")&gt;0,"✓",IF(COUNTIFS('AFA Rates'!$A$5:$A$1004,$A832,'AFA Rates'!$B$5:$B$1004,J$23)&gt;0,"Exp","")))</f>
        <v/>
      </c>
      <c r="K832" s="79">
        <f>IF(OR($A832="",K$23=""),"",IF(COUNTIFS('AFA Rates'!$A$5:$A$1004,$A832,'AFA Rates'!$B$5:$B$1004,K$23,'AFA Rates'!$O$5:$O$1004,"&lt;&gt;Expired")&gt;0,"✓",IF(COUNTIFS('AFA Rates'!$A$5:$A$1004,$A832,'AFA Rates'!$B$5:$B$1004,K$23)&gt;0,"Exp","")))</f>
        <v/>
      </c>
      <c r="L832" s="79">
        <f>IF(OR($A832="",L$23=""),"",IF(COUNTIFS('AFA Rates'!$A$5:$A$1004,$A832,'AFA Rates'!$B$5:$B$1004,L$23,'AFA Rates'!$O$5:$O$1004,"&lt;&gt;Expired")&gt;0,"✓",IF(COUNTIFS('AFA Rates'!$A$5:$A$1004,$A832,'AFA Rates'!$B$5:$B$1004,L$23)&gt;0,"Exp","")))</f>
        <v/>
      </c>
      <c r="M832" s="79">
        <f>IF(OR($A832="",M$23=""),"",IF(COUNTIFS('AFA Rates'!$A$5:$A$1004,$A832,'AFA Rates'!$B$5:$B$1004,M$23,'AFA Rates'!$O$5:$O$1004,"&lt;&gt;Expired")&gt;0,"✓",IF(COUNTIFS('AFA Rates'!$A$5:$A$1004,$A832,'AFA Rates'!$B$5:$B$1004,M$23)&gt;0,"Exp","")))</f>
        <v/>
      </c>
    </row>
    <row r="833">
      <c r="A833" s="78">
        <f>IFERROR(INDEX(Firms!$A$5:$A$1004,MATCH(810,Firms!$V$5:$V$1004,0)),"")</f>
        <v/>
      </c>
      <c r="B833" s="79">
        <f>IF($A833="","",INDEX(Firms!$B$5:$B$1004,MATCH(810,Firms!$V$5:$V$1004,0)))</f>
        <v/>
      </c>
      <c r="C833" s="79">
        <f>IF($A833="","",COUNTIFS('AFA Rates'!$A$5:$A$1004,$A833,'AFA Rates'!$O$5:$O$1004,"&lt;&gt;Expired"))</f>
        <v/>
      </c>
      <c r="D833" s="79">
        <f>IF(OR($A833="",D$23=""),"",IF(COUNTIFS('AFA Rates'!$A$5:$A$1004,$A833,'AFA Rates'!$B$5:$B$1004,D$23,'AFA Rates'!$O$5:$O$1004,"&lt;&gt;Expired")&gt;0,"✓",IF(COUNTIFS('AFA Rates'!$A$5:$A$1004,$A833,'AFA Rates'!$B$5:$B$1004,D$23)&gt;0,"Exp","")))</f>
        <v/>
      </c>
      <c r="E833" s="79">
        <f>IF(OR($A833="",E$23=""),"",IF(COUNTIFS('AFA Rates'!$A$5:$A$1004,$A833,'AFA Rates'!$B$5:$B$1004,E$23,'AFA Rates'!$O$5:$O$1004,"&lt;&gt;Expired")&gt;0,"✓",IF(COUNTIFS('AFA Rates'!$A$5:$A$1004,$A833,'AFA Rates'!$B$5:$B$1004,E$23)&gt;0,"Exp","")))</f>
        <v/>
      </c>
      <c r="F833" s="79">
        <f>IF(OR($A833="",F$23=""),"",IF(COUNTIFS('AFA Rates'!$A$5:$A$1004,$A833,'AFA Rates'!$B$5:$B$1004,F$23,'AFA Rates'!$O$5:$O$1004,"&lt;&gt;Expired")&gt;0,"✓",IF(COUNTIFS('AFA Rates'!$A$5:$A$1004,$A833,'AFA Rates'!$B$5:$B$1004,F$23)&gt;0,"Exp","")))</f>
        <v/>
      </c>
      <c r="G833" s="79">
        <f>IF(OR($A833="",G$23=""),"",IF(COUNTIFS('AFA Rates'!$A$5:$A$1004,$A833,'AFA Rates'!$B$5:$B$1004,G$23,'AFA Rates'!$O$5:$O$1004,"&lt;&gt;Expired")&gt;0,"✓",IF(COUNTIFS('AFA Rates'!$A$5:$A$1004,$A833,'AFA Rates'!$B$5:$B$1004,G$23)&gt;0,"Exp","")))</f>
        <v/>
      </c>
      <c r="H833" s="79">
        <f>IF(OR($A833="",H$23=""),"",IF(COUNTIFS('AFA Rates'!$A$5:$A$1004,$A833,'AFA Rates'!$B$5:$B$1004,H$23,'AFA Rates'!$O$5:$O$1004,"&lt;&gt;Expired")&gt;0,"✓",IF(COUNTIFS('AFA Rates'!$A$5:$A$1004,$A833,'AFA Rates'!$B$5:$B$1004,H$23)&gt;0,"Exp","")))</f>
        <v/>
      </c>
      <c r="I833" s="79">
        <f>IF(OR($A833="",I$23=""),"",IF(COUNTIFS('AFA Rates'!$A$5:$A$1004,$A833,'AFA Rates'!$B$5:$B$1004,I$23,'AFA Rates'!$O$5:$O$1004,"&lt;&gt;Expired")&gt;0,"✓",IF(COUNTIFS('AFA Rates'!$A$5:$A$1004,$A833,'AFA Rates'!$B$5:$B$1004,I$23)&gt;0,"Exp","")))</f>
        <v/>
      </c>
      <c r="J833" s="79">
        <f>IF(OR($A833="",J$23=""),"",IF(COUNTIFS('AFA Rates'!$A$5:$A$1004,$A833,'AFA Rates'!$B$5:$B$1004,J$23,'AFA Rates'!$O$5:$O$1004,"&lt;&gt;Expired")&gt;0,"✓",IF(COUNTIFS('AFA Rates'!$A$5:$A$1004,$A833,'AFA Rates'!$B$5:$B$1004,J$23)&gt;0,"Exp","")))</f>
        <v/>
      </c>
      <c r="K833" s="79">
        <f>IF(OR($A833="",K$23=""),"",IF(COUNTIFS('AFA Rates'!$A$5:$A$1004,$A833,'AFA Rates'!$B$5:$B$1004,K$23,'AFA Rates'!$O$5:$O$1004,"&lt;&gt;Expired")&gt;0,"✓",IF(COUNTIFS('AFA Rates'!$A$5:$A$1004,$A833,'AFA Rates'!$B$5:$B$1004,K$23)&gt;0,"Exp","")))</f>
        <v/>
      </c>
      <c r="L833" s="79">
        <f>IF(OR($A833="",L$23=""),"",IF(COUNTIFS('AFA Rates'!$A$5:$A$1004,$A833,'AFA Rates'!$B$5:$B$1004,L$23,'AFA Rates'!$O$5:$O$1004,"&lt;&gt;Expired")&gt;0,"✓",IF(COUNTIFS('AFA Rates'!$A$5:$A$1004,$A833,'AFA Rates'!$B$5:$B$1004,L$23)&gt;0,"Exp","")))</f>
        <v/>
      </c>
      <c r="M833" s="79">
        <f>IF(OR($A833="",M$23=""),"",IF(COUNTIFS('AFA Rates'!$A$5:$A$1004,$A833,'AFA Rates'!$B$5:$B$1004,M$23,'AFA Rates'!$O$5:$O$1004,"&lt;&gt;Expired")&gt;0,"✓",IF(COUNTIFS('AFA Rates'!$A$5:$A$1004,$A833,'AFA Rates'!$B$5:$B$1004,M$23)&gt;0,"Exp","")))</f>
        <v/>
      </c>
    </row>
    <row r="834">
      <c r="A834" s="78">
        <f>IFERROR(INDEX(Firms!$A$5:$A$1004,MATCH(811,Firms!$V$5:$V$1004,0)),"")</f>
        <v/>
      </c>
      <c r="B834" s="79">
        <f>IF($A834="","",INDEX(Firms!$B$5:$B$1004,MATCH(811,Firms!$V$5:$V$1004,0)))</f>
        <v/>
      </c>
      <c r="C834" s="79">
        <f>IF($A834="","",COUNTIFS('AFA Rates'!$A$5:$A$1004,$A834,'AFA Rates'!$O$5:$O$1004,"&lt;&gt;Expired"))</f>
        <v/>
      </c>
      <c r="D834" s="79">
        <f>IF(OR($A834="",D$23=""),"",IF(COUNTIFS('AFA Rates'!$A$5:$A$1004,$A834,'AFA Rates'!$B$5:$B$1004,D$23,'AFA Rates'!$O$5:$O$1004,"&lt;&gt;Expired")&gt;0,"✓",IF(COUNTIFS('AFA Rates'!$A$5:$A$1004,$A834,'AFA Rates'!$B$5:$B$1004,D$23)&gt;0,"Exp","")))</f>
        <v/>
      </c>
      <c r="E834" s="79">
        <f>IF(OR($A834="",E$23=""),"",IF(COUNTIFS('AFA Rates'!$A$5:$A$1004,$A834,'AFA Rates'!$B$5:$B$1004,E$23,'AFA Rates'!$O$5:$O$1004,"&lt;&gt;Expired")&gt;0,"✓",IF(COUNTIFS('AFA Rates'!$A$5:$A$1004,$A834,'AFA Rates'!$B$5:$B$1004,E$23)&gt;0,"Exp","")))</f>
        <v/>
      </c>
      <c r="F834" s="79">
        <f>IF(OR($A834="",F$23=""),"",IF(COUNTIFS('AFA Rates'!$A$5:$A$1004,$A834,'AFA Rates'!$B$5:$B$1004,F$23,'AFA Rates'!$O$5:$O$1004,"&lt;&gt;Expired")&gt;0,"✓",IF(COUNTIFS('AFA Rates'!$A$5:$A$1004,$A834,'AFA Rates'!$B$5:$B$1004,F$23)&gt;0,"Exp","")))</f>
        <v/>
      </c>
      <c r="G834" s="79">
        <f>IF(OR($A834="",G$23=""),"",IF(COUNTIFS('AFA Rates'!$A$5:$A$1004,$A834,'AFA Rates'!$B$5:$B$1004,G$23,'AFA Rates'!$O$5:$O$1004,"&lt;&gt;Expired")&gt;0,"✓",IF(COUNTIFS('AFA Rates'!$A$5:$A$1004,$A834,'AFA Rates'!$B$5:$B$1004,G$23)&gt;0,"Exp","")))</f>
        <v/>
      </c>
      <c r="H834" s="79">
        <f>IF(OR($A834="",H$23=""),"",IF(COUNTIFS('AFA Rates'!$A$5:$A$1004,$A834,'AFA Rates'!$B$5:$B$1004,H$23,'AFA Rates'!$O$5:$O$1004,"&lt;&gt;Expired")&gt;0,"✓",IF(COUNTIFS('AFA Rates'!$A$5:$A$1004,$A834,'AFA Rates'!$B$5:$B$1004,H$23)&gt;0,"Exp","")))</f>
        <v/>
      </c>
      <c r="I834" s="79">
        <f>IF(OR($A834="",I$23=""),"",IF(COUNTIFS('AFA Rates'!$A$5:$A$1004,$A834,'AFA Rates'!$B$5:$B$1004,I$23,'AFA Rates'!$O$5:$O$1004,"&lt;&gt;Expired")&gt;0,"✓",IF(COUNTIFS('AFA Rates'!$A$5:$A$1004,$A834,'AFA Rates'!$B$5:$B$1004,I$23)&gt;0,"Exp","")))</f>
        <v/>
      </c>
      <c r="J834" s="79">
        <f>IF(OR($A834="",J$23=""),"",IF(COUNTIFS('AFA Rates'!$A$5:$A$1004,$A834,'AFA Rates'!$B$5:$B$1004,J$23,'AFA Rates'!$O$5:$O$1004,"&lt;&gt;Expired")&gt;0,"✓",IF(COUNTIFS('AFA Rates'!$A$5:$A$1004,$A834,'AFA Rates'!$B$5:$B$1004,J$23)&gt;0,"Exp","")))</f>
        <v/>
      </c>
      <c r="K834" s="79">
        <f>IF(OR($A834="",K$23=""),"",IF(COUNTIFS('AFA Rates'!$A$5:$A$1004,$A834,'AFA Rates'!$B$5:$B$1004,K$23,'AFA Rates'!$O$5:$O$1004,"&lt;&gt;Expired")&gt;0,"✓",IF(COUNTIFS('AFA Rates'!$A$5:$A$1004,$A834,'AFA Rates'!$B$5:$B$1004,K$23)&gt;0,"Exp","")))</f>
        <v/>
      </c>
      <c r="L834" s="79">
        <f>IF(OR($A834="",L$23=""),"",IF(COUNTIFS('AFA Rates'!$A$5:$A$1004,$A834,'AFA Rates'!$B$5:$B$1004,L$23,'AFA Rates'!$O$5:$O$1004,"&lt;&gt;Expired")&gt;0,"✓",IF(COUNTIFS('AFA Rates'!$A$5:$A$1004,$A834,'AFA Rates'!$B$5:$B$1004,L$23)&gt;0,"Exp","")))</f>
        <v/>
      </c>
      <c r="M834" s="79">
        <f>IF(OR($A834="",M$23=""),"",IF(COUNTIFS('AFA Rates'!$A$5:$A$1004,$A834,'AFA Rates'!$B$5:$B$1004,M$23,'AFA Rates'!$O$5:$O$1004,"&lt;&gt;Expired")&gt;0,"✓",IF(COUNTIFS('AFA Rates'!$A$5:$A$1004,$A834,'AFA Rates'!$B$5:$B$1004,M$23)&gt;0,"Exp","")))</f>
        <v/>
      </c>
    </row>
    <row r="835">
      <c r="A835" s="78">
        <f>IFERROR(INDEX(Firms!$A$5:$A$1004,MATCH(812,Firms!$V$5:$V$1004,0)),"")</f>
        <v/>
      </c>
      <c r="B835" s="79">
        <f>IF($A835="","",INDEX(Firms!$B$5:$B$1004,MATCH(812,Firms!$V$5:$V$1004,0)))</f>
        <v/>
      </c>
      <c r="C835" s="79">
        <f>IF($A835="","",COUNTIFS('AFA Rates'!$A$5:$A$1004,$A835,'AFA Rates'!$O$5:$O$1004,"&lt;&gt;Expired"))</f>
        <v/>
      </c>
      <c r="D835" s="79">
        <f>IF(OR($A835="",D$23=""),"",IF(COUNTIFS('AFA Rates'!$A$5:$A$1004,$A835,'AFA Rates'!$B$5:$B$1004,D$23,'AFA Rates'!$O$5:$O$1004,"&lt;&gt;Expired")&gt;0,"✓",IF(COUNTIFS('AFA Rates'!$A$5:$A$1004,$A835,'AFA Rates'!$B$5:$B$1004,D$23)&gt;0,"Exp","")))</f>
        <v/>
      </c>
      <c r="E835" s="79">
        <f>IF(OR($A835="",E$23=""),"",IF(COUNTIFS('AFA Rates'!$A$5:$A$1004,$A835,'AFA Rates'!$B$5:$B$1004,E$23,'AFA Rates'!$O$5:$O$1004,"&lt;&gt;Expired")&gt;0,"✓",IF(COUNTIFS('AFA Rates'!$A$5:$A$1004,$A835,'AFA Rates'!$B$5:$B$1004,E$23)&gt;0,"Exp","")))</f>
        <v/>
      </c>
      <c r="F835" s="79">
        <f>IF(OR($A835="",F$23=""),"",IF(COUNTIFS('AFA Rates'!$A$5:$A$1004,$A835,'AFA Rates'!$B$5:$B$1004,F$23,'AFA Rates'!$O$5:$O$1004,"&lt;&gt;Expired")&gt;0,"✓",IF(COUNTIFS('AFA Rates'!$A$5:$A$1004,$A835,'AFA Rates'!$B$5:$B$1004,F$23)&gt;0,"Exp","")))</f>
        <v/>
      </c>
      <c r="G835" s="79">
        <f>IF(OR($A835="",G$23=""),"",IF(COUNTIFS('AFA Rates'!$A$5:$A$1004,$A835,'AFA Rates'!$B$5:$B$1004,G$23,'AFA Rates'!$O$5:$O$1004,"&lt;&gt;Expired")&gt;0,"✓",IF(COUNTIFS('AFA Rates'!$A$5:$A$1004,$A835,'AFA Rates'!$B$5:$B$1004,G$23)&gt;0,"Exp","")))</f>
        <v/>
      </c>
      <c r="H835" s="79">
        <f>IF(OR($A835="",H$23=""),"",IF(COUNTIFS('AFA Rates'!$A$5:$A$1004,$A835,'AFA Rates'!$B$5:$B$1004,H$23,'AFA Rates'!$O$5:$O$1004,"&lt;&gt;Expired")&gt;0,"✓",IF(COUNTIFS('AFA Rates'!$A$5:$A$1004,$A835,'AFA Rates'!$B$5:$B$1004,H$23)&gt;0,"Exp","")))</f>
        <v/>
      </c>
      <c r="I835" s="79">
        <f>IF(OR($A835="",I$23=""),"",IF(COUNTIFS('AFA Rates'!$A$5:$A$1004,$A835,'AFA Rates'!$B$5:$B$1004,I$23,'AFA Rates'!$O$5:$O$1004,"&lt;&gt;Expired")&gt;0,"✓",IF(COUNTIFS('AFA Rates'!$A$5:$A$1004,$A835,'AFA Rates'!$B$5:$B$1004,I$23)&gt;0,"Exp","")))</f>
        <v/>
      </c>
      <c r="J835" s="79">
        <f>IF(OR($A835="",J$23=""),"",IF(COUNTIFS('AFA Rates'!$A$5:$A$1004,$A835,'AFA Rates'!$B$5:$B$1004,J$23,'AFA Rates'!$O$5:$O$1004,"&lt;&gt;Expired")&gt;0,"✓",IF(COUNTIFS('AFA Rates'!$A$5:$A$1004,$A835,'AFA Rates'!$B$5:$B$1004,J$23)&gt;0,"Exp","")))</f>
        <v/>
      </c>
      <c r="K835" s="79">
        <f>IF(OR($A835="",K$23=""),"",IF(COUNTIFS('AFA Rates'!$A$5:$A$1004,$A835,'AFA Rates'!$B$5:$B$1004,K$23,'AFA Rates'!$O$5:$O$1004,"&lt;&gt;Expired")&gt;0,"✓",IF(COUNTIFS('AFA Rates'!$A$5:$A$1004,$A835,'AFA Rates'!$B$5:$B$1004,K$23)&gt;0,"Exp","")))</f>
        <v/>
      </c>
      <c r="L835" s="79">
        <f>IF(OR($A835="",L$23=""),"",IF(COUNTIFS('AFA Rates'!$A$5:$A$1004,$A835,'AFA Rates'!$B$5:$B$1004,L$23,'AFA Rates'!$O$5:$O$1004,"&lt;&gt;Expired")&gt;0,"✓",IF(COUNTIFS('AFA Rates'!$A$5:$A$1004,$A835,'AFA Rates'!$B$5:$B$1004,L$23)&gt;0,"Exp","")))</f>
        <v/>
      </c>
      <c r="M835" s="79">
        <f>IF(OR($A835="",M$23=""),"",IF(COUNTIFS('AFA Rates'!$A$5:$A$1004,$A835,'AFA Rates'!$B$5:$B$1004,M$23,'AFA Rates'!$O$5:$O$1004,"&lt;&gt;Expired")&gt;0,"✓",IF(COUNTIFS('AFA Rates'!$A$5:$A$1004,$A835,'AFA Rates'!$B$5:$B$1004,M$23)&gt;0,"Exp","")))</f>
        <v/>
      </c>
    </row>
    <row r="836">
      <c r="A836" s="78">
        <f>IFERROR(INDEX(Firms!$A$5:$A$1004,MATCH(813,Firms!$V$5:$V$1004,0)),"")</f>
        <v/>
      </c>
      <c r="B836" s="79">
        <f>IF($A836="","",INDEX(Firms!$B$5:$B$1004,MATCH(813,Firms!$V$5:$V$1004,0)))</f>
        <v/>
      </c>
      <c r="C836" s="79">
        <f>IF($A836="","",COUNTIFS('AFA Rates'!$A$5:$A$1004,$A836,'AFA Rates'!$O$5:$O$1004,"&lt;&gt;Expired"))</f>
        <v/>
      </c>
      <c r="D836" s="79">
        <f>IF(OR($A836="",D$23=""),"",IF(COUNTIFS('AFA Rates'!$A$5:$A$1004,$A836,'AFA Rates'!$B$5:$B$1004,D$23,'AFA Rates'!$O$5:$O$1004,"&lt;&gt;Expired")&gt;0,"✓",IF(COUNTIFS('AFA Rates'!$A$5:$A$1004,$A836,'AFA Rates'!$B$5:$B$1004,D$23)&gt;0,"Exp","")))</f>
        <v/>
      </c>
      <c r="E836" s="79">
        <f>IF(OR($A836="",E$23=""),"",IF(COUNTIFS('AFA Rates'!$A$5:$A$1004,$A836,'AFA Rates'!$B$5:$B$1004,E$23,'AFA Rates'!$O$5:$O$1004,"&lt;&gt;Expired")&gt;0,"✓",IF(COUNTIFS('AFA Rates'!$A$5:$A$1004,$A836,'AFA Rates'!$B$5:$B$1004,E$23)&gt;0,"Exp","")))</f>
        <v/>
      </c>
      <c r="F836" s="79">
        <f>IF(OR($A836="",F$23=""),"",IF(COUNTIFS('AFA Rates'!$A$5:$A$1004,$A836,'AFA Rates'!$B$5:$B$1004,F$23,'AFA Rates'!$O$5:$O$1004,"&lt;&gt;Expired")&gt;0,"✓",IF(COUNTIFS('AFA Rates'!$A$5:$A$1004,$A836,'AFA Rates'!$B$5:$B$1004,F$23)&gt;0,"Exp","")))</f>
        <v/>
      </c>
      <c r="G836" s="79">
        <f>IF(OR($A836="",G$23=""),"",IF(COUNTIFS('AFA Rates'!$A$5:$A$1004,$A836,'AFA Rates'!$B$5:$B$1004,G$23,'AFA Rates'!$O$5:$O$1004,"&lt;&gt;Expired")&gt;0,"✓",IF(COUNTIFS('AFA Rates'!$A$5:$A$1004,$A836,'AFA Rates'!$B$5:$B$1004,G$23)&gt;0,"Exp","")))</f>
        <v/>
      </c>
      <c r="H836" s="79">
        <f>IF(OR($A836="",H$23=""),"",IF(COUNTIFS('AFA Rates'!$A$5:$A$1004,$A836,'AFA Rates'!$B$5:$B$1004,H$23,'AFA Rates'!$O$5:$O$1004,"&lt;&gt;Expired")&gt;0,"✓",IF(COUNTIFS('AFA Rates'!$A$5:$A$1004,$A836,'AFA Rates'!$B$5:$B$1004,H$23)&gt;0,"Exp","")))</f>
        <v/>
      </c>
      <c r="I836" s="79">
        <f>IF(OR($A836="",I$23=""),"",IF(COUNTIFS('AFA Rates'!$A$5:$A$1004,$A836,'AFA Rates'!$B$5:$B$1004,I$23,'AFA Rates'!$O$5:$O$1004,"&lt;&gt;Expired")&gt;0,"✓",IF(COUNTIFS('AFA Rates'!$A$5:$A$1004,$A836,'AFA Rates'!$B$5:$B$1004,I$23)&gt;0,"Exp","")))</f>
        <v/>
      </c>
      <c r="J836" s="79">
        <f>IF(OR($A836="",J$23=""),"",IF(COUNTIFS('AFA Rates'!$A$5:$A$1004,$A836,'AFA Rates'!$B$5:$B$1004,J$23,'AFA Rates'!$O$5:$O$1004,"&lt;&gt;Expired")&gt;0,"✓",IF(COUNTIFS('AFA Rates'!$A$5:$A$1004,$A836,'AFA Rates'!$B$5:$B$1004,J$23)&gt;0,"Exp","")))</f>
        <v/>
      </c>
      <c r="K836" s="79">
        <f>IF(OR($A836="",K$23=""),"",IF(COUNTIFS('AFA Rates'!$A$5:$A$1004,$A836,'AFA Rates'!$B$5:$B$1004,K$23,'AFA Rates'!$O$5:$O$1004,"&lt;&gt;Expired")&gt;0,"✓",IF(COUNTIFS('AFA Rates'!$A$5:$A$1004,$A836,'AFA Rates'!$B$5:$B$1004,K$23)&gt;0,"Exp","")))</f>
        <v/>
      </c>
      <c r="L836" s="79">
        <f>IF(OR($A836="",L$23=""),"",IF(COUNTIFS('AFA Rates'!$A$5:$A$1004,$A836,'AFA Rates'!$B$5:$B$1004,L$23,'AFA Rates'!$O$5:$O$1004,"&lt;&gt;Expired")&gt;0,"✓",IF(COUNTIFS('AFA Rates'!$A$5:$A$1004,$A836,'AFA Rates'!$B$5:$B$1004,L$23)&gt;0,"Exp","")))</f>
        <v/>
      </c>
      <c r="M836" s="79">
        <f>IF(OR($A836="",M$23=""),"",IF(COUNTIFS('AFA Rates'!$A$5:$A$1004,$A836,'AFA Rates'!$B$5:$B$1004,M$23,'AFA Rates'!$O$5:$O$1004,"&lt;&gt;Expired")&gt;0,"✓",IF(COUNTIFS('AFA Rates'!$A$5:$A$1004,$A836,'AFA Rates'!$B$5:$B$1004,M$23)&gt;0,"Exp","")))</f>
        <v/>
      </c>
    </row>
    <row r="837">
      <c r="A837" s="78">
        <f>IFERROR(INDEX(Firms!$A$5:$A$1004,MATCH(814,Firms!$V$5:$V$1004,0)),"")</f>
        <v/>
      </c>
      <c r="B837" s="79">
        <f>IF($A837="","",INDEX(Firms!$B$5:$B$1004,MATCH(814,Firms!$V$5:$V$1004,0)))</f>
        <v/>
      </c>
      <c r="C837" s="79">
        <f>IF($A837="","",COUNTIFS('AFA Rates'!$A$5:$A$1004,$A837,'AFA Rates'!$O$5:$O$1004,"&lt;&gt;Expired"))</f>
        <v/>
      </c>
      <c r="D837" s="79">
        <f>IF(OR($A837="",D$23=""),"",IF(COUNTIFS('AFA Rates'!$A$5:$A$1004,$A837,'AFA Rates'!$B$5:$B$1004,D$23,'AFA Rates'!$O$5:$O$1004,"&lt;&gt;Expired")&gt;0,"✓",IF(COUNTIFS('AFA Rates'!$A$5:$A$1004,$A837,'AFA Rates'!$B$5:$B$1004,D$23)&gt;0,"Exp","")))</f>
        <v/>
      </c>
      <c r="E837" s="79">
        <f>IF(OR($A837="",E$23=""),"",IF(COUNTIFS('AFA Rates'!$A$5:$A$1004,$A837,'AFA Rates'!$B$5:$B$1004,E$23,'AFA Rates'!$O$5:$O$1004,"&lt;&gt;Expired")&gt;0,"✓",IF(COUNTIFS('AFA Rates'!$A$5:$A$1004,$A837,'AFA Rates'!$B$5:$B$1004,E$23)&gt;0,"Exp","")))</f>
        <v/>
      </c>
      <c r="F837" s="79">
        <f>IF(OR($A837="",F$23=""),"",IF(COUNTIFS('AFA Rates'!$A$5:$A$1004,$A837,'AFA Rates'!$B$5:$B$1004,F$23,'AFA Rates'!$O$5:$O$1004,"&lt;&gt;Expired")&gt;0,"✓",IF(COUNTIFS('AFA Rates'!$A$5:$A$1004,$A837,'AFA Rates'!$B$5:$B$1004,F$23)&gt;0,"Exp","")))</f>
        <v/>
      </c>
      <c r="G837" s="79">
        <f>IF(OR($A837="",G$23=""),"",IF(COUNTIFS('AFA Rates'!$A$5:$A$1004,$A837,'AFA Rates'!$B$5:$B$1004,G$23,'AFA Rates'!$O$5:$O$1004,"&lt;&gt;Expired")&gt;0,"✓",IF(COUNTIFS('AFA Rates'!$A$5:$A$1004,$A837,'AFA Rates'!$B$5:$B$1004,G$23)&gt;0,"Exp","")))</f>
        <v/>
      </c>
      <c r="H837" s="79">
        <f>IF(OR($A837="",H$23=""),"",IF(COUNTIFS('AFA Rates'!$A$5:$A$1004,$A837,'AFA Rates'!$B$5:$B$1004,H$23,'AFA Rates'!$O$5:$O$1004,"&lt;&gt;Expired")&gt;0,"✓",IF(COUNTIFS('AFA Rates'!$A$5:$A$1004,$A837,'AFA Rates'!$B$5:$B$1004,H$23)&gt;0,"Exp","")))</f>
        <v/>
      </c>
      <c r="I837" s="79">
        <f>IF(OR($A837="",I$23=""),"",IF(COUNTIFS('AFA Rates'!$A$5:$A$1004,$A837,'AFA Rates'!$B$5:$B$1004,I$23,'AFA Rates'!$O$5:$O$1004,"&lt;&gt;Expired")&gt;0,"✓",IF(COUNTIFS('AFA Rates'!$A$5:$A$1004,$A837,'AFA Rates'!$B$5:$B$1004,I$23)&gt;0,"Exp","")))</f>
        <v/>
      </c>
      <c r="J837" s="79">
        <f>IF(OR($A837="",J$23=""),"",IF(COUNTIFS('AFA Rates'!$A$5:$A$1004,$A837,'AFA Rates'!$B$5:$B$1004,J$23,'AFA Rates'!$O$5:$O$1004,"&lt;&gt;Expired")&gt;0,"✓",IF(COUNTIFS('AFA Rates'!$A$5:$A$1004,$A837,'AFA Rates'!$B$5:$B$1004,J$23)&gt;0,"Exp","")))</f>
        <v/>
      </c>
      <c r="K837" s="79">
        <f>IF(OR($A837="",K$23=""),"",IF(COUNTIFS('AFA Rates'!$A$5:$A$1004,$A837,'AFA Rates'!$B$5:$B$1004,K$23,'AFA Rates'!$O$5:$O$1004,"&lt;&gt;Expired")&gt;0,"✓",IF(COUNTIFS('AFA Rates'!$A$5:$A$1004,$A837,'AFA Rates'!$B$5:$B$1004,K$23)&gt;0,"Exp","")))</f>
        <v/>
      </c>
      <c r="L837" s="79">
        <f>IF(OR($A837="",L$23=""),"",IF(COUNTIFS('AFA Rates'!$A$5:$A$1004,$A837,'AFA Rates'!$B$5:$B$1004,L$23,'AFA Rates'!$O$5:$O$1004,"&lt;&gt;Expired")&gt;0,"✓",IF(COUNTIFS('AFA Rates'!$A$5:$A$1004,$A837,'AFA Rates'!$B$5:$B$1004,L$23)&gt;0,"Exp","")))</f>
        <v/>
      </c>
      <c r="M837" s="79">
        <f>IF(OR($A837="",M$23=""),"",IF(COUNTIFS('AFA Rates'!$A$5:$A$1004,$A837,'AFA Rates'!$B$5:$B$1004,M$23,'AFA Rates'!$O$5:$O$1004,"&lt;&gt;Expired")&gt;0,"✓",IF(COUNTIFS('AFA Rates'!$A$5:$A$1004,$A837,'AFA Rates'!$B$5:$B$1004,M$23)&gt;0,"Exp","")))</f>
        <v/>
      </c>
    </row>
    <row r="838">
      <c r="A838" s="78">
        <f>IFERROR(INDEX(Firms!$A$5:$A$1004,MATCH(815,Firms!$V$5:$V$1004,0)),"")</f>
        <v/>
      </c>
      <c r="B838" s="79">
        <f>IF($A838="","",INDEX(Firms!$B$5:$B$1004,MATCH(815,Firms!$V$5:$V$1004,0)))</f>
        <v/>
      </c>
      <c r="C838" s="79">
        <f>IF($A838="","",COUNTIFS('AFA Rates'!$A$5:$A$1004,$A838,'AFA Rates'!$O$5:$O$1004,"&lt;&gt;Expired"))</f>
        <v/>
      </c>
      <c r="D838" s="79">
        <f>IF(OR($A838="",D$23=""),"",IF(COUNTIFS('AFA Rates'!$A$5:$A$1004,$A838,'AFA Rates'!$B$5:$B$1004,D$23,'AFA Rates'!$O$5:$O$1004,"&lt;&gt;Expired")&gt;0,"✓",IF(COUNTIFS('AFA Rates'!$A$5:$A$1004,$A838,'AFA Rates'!$B$5:$B$1004,D$23)&gt;0,"Exp","")))</f>
        <v/>
      </c>
      <c r="E838" s="79">
        <f>IF(OR($A838="",E$23=""),"",IF(COUNTIFS('AFA Rates'!$A$5:$A$1004,$A838,'AFA Rates'!$B$5:$B$1004,E$23,'AFA Rates'!$O$5:$O$1004,"&lt;&gt;Expired")&gt;0,"✓",IF(COUNTIFS('AFA Rates'!$A$5:$A$1004,$A838,'AFA Rates'!$B$5:$B$1004,E$23)&gt;0,"Exp","")))</f>
        <v/>
      </c>
      <c r="F838" s="79">
        <f>IF(OR($A838="",F$23=""),"",IF(COUNTIFS('AFA Rates'!$A$5:$A$1004,$A838,'AFA Rates'!$B$5:$B$1004,F$23,'AFA Rates'!$O$5:$O$1004,"&lt;&gt;Expired")&gt;0,"✓",IF(COUNTIFS('AFA Rates'!$A$5:$A$1004,$A838,'AFA Rates'!$B$5:$B$1004,F$23)&gt;0,"Exp","")))</f>
        <v/>
      </c>
      <c r="G838" s="79">
        <f>IF(OR($A838="",G$23=""),"",IF(COUNTIFS('AFA Rates'!$A$5:$A$1004,$A838,'AFA Rates'!$B$5:$B$1004,G$23,'AFA Rates'!$O$5:$O$1004,"&lt;&gt;Expired")&gt;0,"✓",IF(COUNTIFS('AFA Rates'!$A$5:$A$1004,$A838,'AFA Rates'!$B$5:$B$1004,G$23)&gt;0,"Exp","")))</f>
        <v/>
      </c>
      <c r="H838" s="79">
        <f>IF(OR($A838="",H$23=""),"",IF(COUNTIFS('AFA Rates'!$A$5:$A$1004,$A838,'AFA Rates'!$B$5:$B$1004,H$23,'AFA Rates'!$O$5:$O$1004,"&lt;&gt;Expired")&gt;0,"✓",IF(COUNTIFS('AFA Rates'!$A$5:$A$1004,$A838,'AFA Rates'!$B$5:$B$1004,H$23)&gt;0,"Exp","")))</f>
        <v/>
      </c>
      <c r="I838" s="79">
        <f>IF(OR($A838="",I$23=""),"",IF(COUNTIFS('AFA Rates'!$A$5:$A$1004,$A838,'AFA Rates'!$B$5:$B$1004,I$23,'AFA Rates'!$O$5:$O$1004,"&lt;&gt;Expired")&gt;0,"✓",IF(COUNTIFS('AFA Rates'!$A$5:$A$1004,$A838,'AFA Rates'!$B$5:$B$1004,I$23)&gt;0,"Exp","")))</f>
        <v/>
      </c>
      <c r="J838" s="79">
        <f>IF(OR($A838="",J$23=""),"",IF(COUNTIFS('AFA Rates'!$A$5:$A$1004,$A838,'AFA Rates'!$B$5:$B$1004,J$23,'AFA Rates'!$O$5:$O$1004,"&lt;&gt;Expired")&gt;0,"✓",IF(COUNTIFS('AFA Rates'!$A$5:$A$1004,$A838,'AFA Rates'!$B$5:$B$1004,J$23)&gt;0,"Exp","")))</f>
        <v/>
      </c>
      <c r="K838" s="79">
        <f>IF(OR($A838="",K$23=""),"",IF(COUNTIFS('AFA Rates'!$A$5:$A$1004,$A838,'AFA Rates'!$B$5:$B$1004,K$23,'AFA Rates'!$O$5:$O$1004,"&lt;&gt;Expired")&gt;0,"✓",IF(COUNTIFS('AFA Rates'!$A$5:$A$1004,$A838,'AFA Rates'!$B$5:$B$1004,K$23)&gt;0,"Exp","")))</f>
        <v/>
      </c>
      <c r="L838" s="79">
        <f>IF(OR($A838="",L$23=""),"",IF(COUNTIFS('AFA Rates'!$A$5:$A$1004,$A838,'AFA Rates'!$B$5:$B$1004,L$23,'AFA Rates'!$O$5:$O$1004,"&lt;&gt;Expired")&gt;0,"✓",IF(COUNTIFS('AFA Rates'!$A$5:$A$1004,$A838,'AFA Rates'!$B$5:$B$1004,L$23)&gt;0,"Exp","")))</f>
        <v/>
      </c>
      <c r="M838" s="79">
        <f>IF(OR($A838="",M$23=""),"",IF(COUNTIFS('AFA Rates'!$A$5:$A$1004,$A838,'AFA Rates'!$B$5:$B$1004,M$23,'AFA Rates'!$O$5:$O$1004,"&lt;&gt;Expired")&gt;0,"✓",IF(COUNTIFS('AFA Rates'!$A$5:$A$1004,$A838,'AFA Rates'!$B$5:$B$1004,M$23)&gt;0,"Exp","")))</f>
        <v/>
      </c>
    </row>
    <row r="839">
      <c r="A839" s="78">
        <f>IFERROR(INDEX(Firms!$A$5:$A$1004,MATCH(816,Firms!$V$5:$V$1004,0)),"")</f>
        <v/>
      </c>
      <c r="B839" s="79">
        <f>IF($A839="","",INDEX(Firms!$B$5:$B$1004,MATCH(816,Firms!$V$5:$V$1004,0)))</f>
        <v/>
      </c>
      <c r="C839" s="79">
        <f>IF($A839="","",COUNTIFS('AFA Rates'!$A$5:$A$1004,$A839,'AFA Rates'!$O$5:$O$1004,"&lt;&gt;Expired"))</f>
        <v/>
      </c>
      <c r="D839" s="79">
        <f>IF(OR($A839="",D$23=""),"",IF(COUNTIFS('AFA Rates'!$A$5:$A$1004,$A839,'AFA Rates'!$B$5:$B$1004,D$23,'AFA Rates'!$O$5:$O$1004,"&lt;&gt;Expired")&gt;0,"✓",IF(COUNTIFS('AFA Rates'!$A$5:$A$1004,$A839,'AFA Rates'!$B$5:$B$1004,D$23)&gt;0,"Exp","")))</f>
        <v/>
      </c>
      <c r="E839" s="79">
        <f>IF(OR($A839="",E$23=""),"",IF(COUNTIFS('AFA Rates'!$A$5:$A$1004,$A839,'AFA Rates'!$B$5:$B$1004,E$23,'AFA Rates'!$O$5:$O$1004,"&lt;&gt;Expired")&gt;0,"✓",IF(COUNTIFS('AFA Rates'!$A$5:$A$1004,$A839,'AFA Rates'!$B$5:$B$1004,E$23)&gt;0,"Exp","")))</f>
        <v/>
      </c>
      <c r="F839" s="79">
        <f>IF(OR($A839="",F$23=""),"",IF(COUNTIFS('AFA Rates'!$A$5:$A$1004,$A839,'AFA Rates'!$B$5:$B$1004,F$23,'AFA Rates'!$O$5:$O$1004,"&lt;&gt;Expired")&gt;0,"✓",IF(COUNTIFS('AFA Rates'!$A$5:$A$1004,$A839,'AFA Rates'!$B$5:$B$1004,F$23)&gt;0,"Exp","")))</f>
        <v/>
      </c>
      <c r="G839" s="79">
        <f>IF(OR($A839="",G$23=""),"",IF(COUNTIFS('AFA Rates'!$A$5:$A$1004,$A839,'AFA Rates'!$B$5:$B$1004,G$23,'AFA Rates'!$O$5:$O$1004,"&lt;&gt;Expired")&gt;0,"✓",IF(COUNTIFS('AFA Rates'!$A$5:$A$1004,$A839,'AFA Rates'!$B$5:$B$1004,G$23)&gt;0,"Exp","")))</f>
        <v/>
      </c>
      <c r="H839" s="79">
        <f>IF(OR($A839="",H$23=""),"",IF(COUNTIFS('AFA Rates'!$A$5:$A$1004,$A839,'AFA Rates'!$B$5:$B$1004,H$23,'AFA Rates'!$O$5:$O$1004,"&lt;&gt;Expired")&gt;0,"✓",IF(COUNTIFS('AFA Rates'!$A$5:$A$1004,$A839,'AFA Rates'!$B$5:$B$1004,H$23)&gt;0,"Exp","")))</f>
        <v/>
      </c>
      <c r="I839" s="79">
        <f>IF(OR($A839="",I$23=""),"",IF(COUNTIFS('AFA Rates'!$A$5:$A$1004,$A839,'AFA Rates'!$B$5:$B$1004,I$23,'AFA Rates'!$O$5:$O$1004,"&lt;&gt;Expired")&gt;0,"✓",IF(COUNTIFS('AFA Rates'!$A$5:$A$1004,$A839,'AFA Rates'!$B$5:$B$1004,I$23)&gt;0,"Exp","")))</f>
        <v/>
      </c>
      <c r="J839" s="79">
        <f>IF(OR($A839="",J$23=""),"",IF(COUNTIFS('AFA Rates'!$A$5:$A$1004,$A839,'AFA Rates'!$B$5:$B$1004,J$23,'AFA Rates'!$O$5:$O$1004,"&lt;&gt;Expired")&gt;0,"✓",IF(COUNTIFS('AFA Rates'!$A$5:$A$1004,$A839,'AFA Rates'!$B$5:$B$1004,J$23)&gt;0,"Exp","")))</f>
        <v/>
      </c>
      <c r="K839" s="79">
        <f>IF(OR($A839="",K$23=""),"",IF(COUNTIFS('AFA Rates'!$A$5:$A$1004,$A839,'AFA Rates'!$B$5:$B$1004,K$23,'AFA Rates'!$O$5:$O$1004,"&lt;&gt;Expired")&gt;0,"✓",IF(COUNTIFS('AFA Rates'!$A$5:$A$1004,$A839,'AFA Rates'!$B$5:$B$1004,K$23)&gt;0,"Exp","")))</f>
        <v/>
      </c>
      <c r="L839" s="79">
        <f>IF(OR($A839="",L$23=""),"",IF(COUNTIFS('AFA Rates'!$A$5:$A$1004,$A839,'AFA Rates'!$B$5:$B$1004,L$23,'AFA Rates'!$O$5:$O$1004,"&lt;&gt;Expired")&gt;0,"✓",IF(COUNTIFS('AFA Rates'!$A$5:$A$1004,$A839,'AFA Rates'!$B$5:$B$1004,L$23)&gt;0,"Exp","")))</f>
        <v/>
      </c>
      <c r="M839" s="79">
        <f>IF(OR($A839="",M$23=""),"",IF(COUNTIFS('AFA Rates'!$A$5:$A$1004,$A839,'AFA Rates'!$B$5:$B$1004,M$23,'AFA Rates'!$O$5:$O$1004,"&lt;&gt;Expired")&gt;0,"✓",IF(COUNTIFS('AFA Rates'!$A$5:$A$1004,$A839,'AFA Rates'!$B$5:$B$1004,M$23)&gt;0,"Exp","")))</f>
        <v/>
      </c>
    </row>
    <row r="840">
      <c r="A840" s="78">
        <f>IFERROR(INDEX(Firms!$A$5:$A$1004,MATCH(817,Firms!$V$5:$V$1004,0)),"")</f>
        <v/>
      </c>
      <c r="B840" s="79">
        <f>IF($A840="","",INDEX(Firms!$B$5:$B$1004,MATCH(817,Firms!$V$5:$V$1004,0)))</f>
        <v/>
      </c>
      <c r="C840" s="79">
        <f>IF($A840="","",COUNTIFS('AFA Rates'!$A$5:$A$1004,$A840,'AFA Rates'!$O$5:$O$1004,"&lt;&gt;Expired"))</f>
        <v/>
      </c>
      <c r="D840" s="79">
        <f>IF(OR($A840="",D$23=""),"",IF(COUNTIFS('AFA Rates'!$A$5:$A$1004,$A840,'AFA Rates'!$B$5:$B$1004,D$23,'AFA Rates'!$O$5:$O$1004,"&lt;&gt;Expired")&gt;0,"✓",IF(COUNTIFS('AFA Rates'!$A$5:$A$1004,$A840,'AFA Rates'!$B$5:$B$1004,D$23)&gt;0,"Exp","")))</f>
        <v/>
      </c>
      <c r="E840" s="79">
        <f>IF(OR($A840="",E$23=""),"",IF(COUNTIFS('AFA Rates'!$A$5:$A$1004,$A840,'AFA Rates'!$B$5:$B$1004,E$23,'AFA Rates'!$O$5:$O$1004,"&lt;&gt;Expired")&gt;0,"✓",IF(COUNTIFS('AFA Rates'!$A$5:$A$1004,$A840,'AFA Rates'!$B$5:$B$1004,E$23)&gt;0,"Exp","")))</f>
        <v/>
      </c>
      <c r="F840" s="79">
        <f>IF(OR($A840="",F$23=""),"",IF(COUNTIFS('AFA Rates'!$A$5:$A$1004,$A840,'AFA Rates'!$B$5:$B$1004,F$23,'AFA Rates'!$O$5:$O$1004,"&lt;&gt;Expired")&gt;0,"✓",IF(COUNTIFS('AFA Rates'!$A$5:$A$1004,$A840,'AFA Rates'!$B$5:$B$1004,F$23)&gt;0,"Exp","")))</f>
        <v/>
      </c>
      <c r="G840" s="79">
        <f>IF(OR($A840="",G$23=""),"",IF(COUNTIFS('AFA Rates'!$A$5:$A$1004,$A840,'AFA Rates'!$B$5:$B$1004,G$23,'AFA Rates'!$O$5:$O$1004,"&lt;&gt;Expired")&gt;0,"✓",IF(COUNTIFS('AFA Rates'!$A$5:$A$1004,$A840,'AFA Rates'!$B$5:$B$1004,G$23)&gt;0,"Exp","")))</f>
        <v/>
      </c>
      <c r="H840" s="79">
        <f>IF(OR($A840="",H$23=""),"",IF(COUNTIFS('AFA Rates'!$A$5:$A$1004,$A840,'AFA Rates'!$B$5:$B$1004,H$23,'AFA Rates'!$O$5:$O$1004,"&lt;&gt;Expired")&gt;0,"✓",IF(COUNTIFS('AFA Rates'!$A$5:$A$1004,$A840,'AFA Rates'!$B$5:$B$1004,H$23)&gt;0,"Exp","")))</f>
        <v/>
      </c>
      <c r="I840" s="79">
        <f>IF(OR($A840="",I$23=""),"",IF(COUNTIFS('AFA Rates'!$A$5:$A$1004,$A840,'AFA Rates'!$B$5:$B$1004,I$23,'AFA Rates'!$O$5:$O$1004,"&lt;&gt;Expired")&gt;0,"✓",IF(COUNTIFS('AFA Rates'!$A$5:$A$1004,$A840,'AFA Rates'!$B$5:$B$1004,I$23)&gt;0,"Exp","")))</f>
        <v/>
      </c>
      <c r="J840" s="79">
        <f>IF(OR($A840="",J$23=""),"",IF(COUNTIFS('AFA Rates'!$A$5:$A$1004,$A840,'AFA Rates'!$B$5:$B$1004,J$23,'AFA Rates'!$O$5:$O$1004,"&lt;&gt;Expired")&gt;0,"✓",IF(COUNTIFS('AFA Rates'!$A$5:$A$1004,$A840,'AFA Rates'!$B$5:$B$1004,J$23)&gt;0,"Exp","")))</f>
        <v/>
      </c>
      <c r="K840" s="79">
        <f>IF(OR($A840="",K$23=""),"",IF(COUNTIFS('AFA Rates'!$A$5:$A$1004,$A840,'AFA Rates'!$B$5:$B$1004,K$23,'AFA Rates'!$O$5:$O$1004,"&lt;&gt;Expired")&gt;0,"✓",IF(COUNTIFS('AFA Rates'!$A$5:$A$1004,$A840,'AFA Rates'!$B$5:$B$1004,K$23)&gt;0,"Exp","")))</f>
        <v/>
      </c>
      <c r="L840" s="79">
        <f>IF(OR($A840="",L$23=""),"",IF(COUNTIFS('AFA Rates'!$A$5:$A$1004,$A840,'AFA Rates'!$B$5:$B$1004,L$23,'AFA Rates'!$O$5:$O$1004,"&lt;&gt;Expired")&gt;0,"✓",IF(COUNTIFS('AFA Rates'!$A$5:$A$1004,$A840,'AFA Rates'!$B$5:$B$1004,L$23)&gt;0,"Exp","")))</f>
        <v/>
      </c>
      <c r="M840" s="79">
        <f>IF(OR($A840="",M$23=""),"",IF(COUNTIFS('AFA Rates'!$A$5:$A$1004,$A840,'AFA Rates'!$B$5:$B$1004,M$23,'AFA Rates'!$O$5:$O$1004,"&lt;&gt;Expired")&gt;0,"✓",IF(COUNTIFS('AFA Rates'!$A$5:$A$1004,$A840,'AFA Rates'!$B$5:$B$1004,M$23)&gt;0,"Exp","")))</f>
        <v/>
      </c>
    </row>
    <row r="841">
      <c r="A841" s="78">
        <f>IFERROR(INDEX(Firms!$A$5:$A$1004,MATCH(818,Firms!$V$5:$V$1004,0)),"")</f>
        <v/>
      </c>
      <c r="B841" s="79">
        <f>IF($A841="","",INDEX(Firms!$B$5:$B$1004,MATCH(818,Firms!$V$5:$V$1004,0)))</f>
        <v/>
      </c>
      <c r="C841" s="79">
        <f>IF($A841="","",COUNTIFS('AFA Rates'!$A$5:$A$1004,$A841,'AFA Rates'!$O$5:$O$1004,"&lt;&gt;Expired"))</f>
        <v/>
      </c>
      <c r="D841" s="79">
        <f>IF(OR($A841="",D$23=""),"",IF(COUNTIFS('AFA Rates'!$A$5:$A$1004,$A841,'AFA Rates'!$B$5:$B$1004,D$23,'AFA Rates'!$O$5:$O$1004,"&lt;&gt;Expired")&gt;0,"✓",IF(COUNTIFS('AFA Rates'!$A$5:$A$1004,$A841,'AFA Rates'!$B$5:$B$1004,D$23)&gt;0,"Exp","")))</f>
        <v/>
      </c>
      <c r="E841" s="79">
        <f>IF(OR($A841="",E$23=""),"",IF(COUNTIFS('AFA Rates'!$A$5:$A$1004,$A841,'AFA Rates'!$B$5:$B$1004,E$23,'AFA Rates'!$O$5:$O$1004,"&lt;&gt;Expired")&gt;0,"✓",IF(COUNTIFS('AFA Rates'!$A$5:$A$1004,$A841,'AFA Rates'!$B$5:$B$1004,E$23)&gt;0,"Exp","")))</f>
        <v/>
      </c>
      <c r="F841" s="79">
        <f>IF(OR($A841="",F$23=""),"",IF(COUNTIFS('AFA Rates'!$A$5:$A$1004,$A841,'AFA Rates'!$B$5:$B$1004,F$23,'AFA Rates'!$O$5:$O$1004,"&lt;&gt;Expired")&gt;0,"✓",IF(COUNTIFS('AFA Rates'!$A$5:$A$1004,$A841,'AFA Rates'!$B$5:$B$1004,F$23)&gt;0,"Exp","")))</f>
        <v/>
      </c>
      <c r="G841" s="79">
        <f>IF(OR($A841="",G$23=""),"",IF(COUNTIFS('AFA Rates'!$A$5:$A$1004,$A841,'AFA Rates'!$B$5:$B$1004,G$23,'AFA Rates'!$O$5:$O$1004,"&lt;&gt;Expired")&gt;0,"✓",IF(COUNTIFS('AFA Rates'!$A$5:$A$1004,$A841,'AFA Rates'!$B$5:$B$1004,G$23)&gt;0,"Exp","")))</f>
        <v/>
      </c>
      <c r="H841" s="79">
        <f>IF(OR($A841="",H$23=""),"",IF(COUNTIFS('AFA Rates'!$A$5:$A$1004,$A841,'AFA Rates'!$B$5:$B$1004,H$23,'AFA Rates'!$O$5:$O$1004,"&lt;&gt;Expired")&gt;0,"✓",IF(COUNTIFS('AFA Rates'!$A$5:$A$1004,$A841,'AFA Rates'!$B$5:$B$1004,H$23)&gt;0,"Exp","")))</f>
        <v/>
      </c>
      <c r="I841" s="79">
        <f>IF(OR($A841="",I$23=""),"",IF(COUNTIFS('AFA Rates'!$A$5:$A$1004,$A841,'AFA Rates'!$B$5:$B$1004,I$23,'AFA Rates'!$O$5:$O$1004,"&lt;&gt;Expired")&gt;0,"✓",IF(COUNTIFS('AFA Rates'!$A$5:$A$1004,$A841,'AFA Rates'!$B$5:$B$1004,I$23)&gt;0,"Exp","")))</f>
        <v/>
      </c>
      <c r="J841" s="79">
        <f>IF(OR($A841="",J$23=""),"",IF(COUNTIFS('AFA Rates'!$A$5:$A$1004,$A841,'AFA Rates'!$B$5:$B$1004,J$23,'AFA Rates'!$O$5:$O$1004,"&lt;&gt;Expired")&gt;0,"✓",IF(COUNTIFS('AFA Rates'!$A$5:$A$1004,$A841,'AFA Rates'!$B$5:$B$1004,J$23)&gt;0,"Exp","")))</f>
        <v/>
      </c>
      <c r="K841" s="79">
        <f>IF(OR($A841="",K$23=""),"",IF(COUNTIFS('AFA Rates'!$A$5:$A$1004,$A841,'AFA Rates'!$B$5:$B$1004,K$23,'AFA Rates'!$O$5:$O$1004,"&lt;&gt;Expired")&gt;0,"✓",IF(COUNTIFS('AFA Rates'!$A$5:$A$1004,$A841,'AFA Rates'!$B$5:$B$1004,K$23)&gt;0,"Exp","")))</f>
        <v/>
      </c>
      <c r="L841" s="79">
        <f>IF(OR($A841="",L$23=""),"",IF(COUNTIFS('AFA Rates'!$A$5:$A$1004,$A841,'AFA Rates'!$B$5:$B$1004,L$23,'AFA Rates'!$O$5:$O$1004,"&lt;&gt;Expired")&gt;0,"✓",IF(COUNTIFS('AFA Rates'!$A$5:$A$1004,$A841,'AFA Rates'!$B$5:$B$1004,L$23)&gt;0,"Exp","")))</f>
        <v/>
      </c>
      <c r="M841" s="79">
        <f>IF(OR($A841="",M$23=""),"",IF(COUNTIFS('AFA Rates'!$A$5:$A$1004,$A841,'AFA Rates'!$B$5:$B$1004,M$23,'AFA Rates'!$O$5:$O$1004,"&lt;&gt;Expired")&gt;0,"✓",IF(COUNTIFS('AFA Rates'!$A$5:$A$1004,$A841,'AFA Rates'!$B$5:$B$1004,M$23)&gt;0,"Exp","")))</f>
        <v/>
      </c>
    </row>
    <row r="842">
      <c r="A842" s="78">
        <f>IFERROR(INDEX(Firms!$A$5:$A$1004,MATCH(819,Firms!$V$5:$V$1004,0)),"")</f>
        <v/>
      </c>
      <c r="B842" s="79">
        <f>IF($A842="","",INDEX(Firms!$B$5:$B$1004,MATCH(819,Firms!$V$5:$V$1004,0)))</f>
        <v/>
      </c>
      <c r="C842" s="79">
        <f>IF($A842="","",COUNTIFS('AFA Rates'!$A$5:$A$1004,$A842,'AFA Rates'!$O$5:$O$1004,"&lt;&gt;Expired"))</f>
        <v/>
      </c>
      <c r="D842" s="79">
        <f>IF(OR($A842="",D$23=""),"",IF(COUNTIFS('AFA Rates'!$A$5:$A$1004,$A842,'AFA Rates'!$B$5:$B$1004,D$23,'AFA Rates'!$O$5:$O$1004,"&lt;&gt;Expired")&gt;0,"✓",IF(COUNTIFS('AFA Rates'!$A$5:$A$1004,$A842,'AFA Rates'!$B$5:$B$1004,D$23)&gt;0,"Exp","")))</f>
        <v/>
      </c>
      <c r="E842" s="79">
        <f>IF(OR($A842="",E$23=""),"",IF(COUNTIFS('AFA Rates'!$A$5:$A$1004,$A842,'AFA Rates'!$B$5:$B$1004,E$23,'AFA Rates'!$O$5:$O$1004,"&lt;&gt;Expired")&gt;0,"✓",IF(COUNTIFS('AFA Rates'!$A$5:$A$1004,$A842,'AFA Rates'!$B$5:$B$1004,E$23)&gt;0,"Exp","")))</f>
        <v/>
      </c>
      <c r="F842" s="79">
        <f>IF(OR($A842="",F$23=""),"",IF(COUNTIFS('AFA Rates'!$A$5:$A$1004,$A842,'AFA Rates'!$B$5:$B$1004,F$23,'AFA Rates'!$O$5:$O$1004,"&lt;&gt;Expired")&gt;0,"✓",IF(COUNTIFS('AFA Rates'!$A$5:$A$1004,$A842,'AFA Rates'!$B$5:$B$1004,F$23)&gt;0,"Exp","")))</f>
        <v/>
      </c>
      <c r="G842" s="79">
        <f>IF(OR($A842="",G$23=""),"",IF(COUNTIFS('AFA Rates'!$A$5:$A$1004,$A842,'AFA Rates'!$B$5:$B$1004,G$23,'AFA Rates'!$O$5:$O$1004,"&lt;&gt;Expired")&gt;0,"✓",IF(COUNTIFS('AFA Rates'!$A$5:$A$1004,$A842,'AFA Rates'!$B$5:$B$1004,G$23)&gt;0,"Exp","")))</f>
        <v/>
      </c>
      <c r="H842" s="79">
        <f>IF(OR($A842="",H$23=""),"",IF(COUNTIFS('AFA Rates'!$A$5:$A$1004,$A842,'AFA Rates'!$B$5:$B$1004,H$23,'AFA Rates'!$O$5:$O$1004,"&lt;&gt;Expired")&gt;0,"✓",IF(COUNTIFS('AFA Rates'!$A$5:$A$1004,$A842,'AFA Rates'!$B$5:$B$1004,H$23)&gt;0,"Exp","")))</f>
        <v/>
      </c>
      <c r="I842" s="79">
        <f>IF(OR($A842="",I$23=""),"",IF(COUNTIFS('AFA Rates'!$A$5:$A$1004,$A842,'AFA Rates'!$B$5:$B$1004,I$23,'AFA Rates'!$O$5:$O$1004,"&lt;&gt;Expired")&gt;0,"✓",IF(COUNTIFS('AFA Rates'!$A$5:$A$1004,$A842,'AFA Rates'!$B$5:$B$1004,I$23)&gt;0,"Exp","")))</f>
        <v/>
      </c>
      <c r="J842" s="79">
        <f>IF(OR($A842="",J$23=""),"",IF(COUNTIFS('AFA Rates'!$A$5:$A$1004,$A842,'AFA Rates'!$B$5:$B$1004,J$23,'AFA Rates'!$O$5:$O$1004,"&lt;&gt;Expired")&gt;0,"✓",IF(COUNTIFS('AFA Rates'!$A$5:$A$1004,$A842,'AFA Rates'!$B$5:$B$1004,J$23)&gt;0,"Exp","")))</f>
        <v/>
      </c>
      <c r="K842" s="79">
        <f>IF(OR($A842="",K$23=""),"",IF(COUNTIFS('AFA Rates'!$A$5:$A$1004,$A842,'AFA Rates'!$B$5:$B$1004,K$23,'AFA Rates'!$O$5:$O$1004,"&lt;&gt;Expired")&gt;0,"✓",IF(COUNTIFS('AFA Rates'!$A$5:$A$1004,$A842,'AFA Rates'!$B$5:$B$1004,K$23)&gt;0,"Exp","")))</f>
        <v/>
      </c>
      <c r="L842" s="79">
        <f>IF(OR($A842="",L$23=""),"",IF(COUNTIFS('AFA Rates'!$A$5:$A$1004,$A842,'AFA Rates'!$B$5:$B$1004,L$23,'AFA Rates'!$O$5:$O$1004,"&lt;&gt;Expired")&gt;0,"✓",IF(COUNTIFS('AFA Rates'!$A$5:$A$1004,$A842,'AFA Rates'!$B$5:$B$1004,L$23)&gt;0,"Exp","")))</f>
        <v/>
      </c>
      <c r="M842" s="79">
        <f>IF(OR($A842="",M$23=""),"",IF(COUNTIFS('AFA Rates'!$A$5:$A$1004,$A842,'AFA Rates'!$B$5:$B$1004,M$23,'AFA Rates'!$O$5:$O$1004,"&lt;&gt;Expired")&gt;0,"✓",IF(COUNTIFS('AFA Rates'!$A$5:$A$1004,$A842,'AFA Rates'!$B$5:$B$1004,M$23)&gt;0,"Exp","")))</f>
        <v/>
      </c>
    </row>
    <row r="843">
      <c r="A843" s="78">
        <f>IFERROR(INDEX(Firms!$A$5:$A$1004,MATCH(820,Firms!$V$5:$V$1004,0)),"")</f>
        <v/>
      </c>
      <c r="B843" s="79">
        <f>IF($A843="","",INDEX(Firms!$B$5:$B$1004,MATCH(820,Firms!$V$5:$V$1004,0)))</f>
        <v/>
      </c>
      <c r="C843" s="79">
        <f>IF($A843="","",COUNTIFS('AFA Rates'!$A$5:$A$1004,$A843,'AFA Rates'!$O$5:$O$1004,"&lt;&gt;Expired"))</f>
        <v/>
      </c>
      <c r="D843" s="79">
        <f>IF(OR($A843="",D$23=""),"",IF(COUNTIFS('AFA Rates'!$A$5:$A$1004,$A843,'AFA Rates'!$B$5:$B$1004,D$23,'AFA Rates'!$O$5:$O$1004,"&lt;&gt;Expired")&gt;0,"✓",IF(COUNTIFS('AFA Rates'!$A$5:$A$1004,$A843,'AFA Rates'!$B$5:$B$1004,D$23)&gt;0,"Exp","")))</f>
        <v/>
      </c>
      <c r="E843" s="79">
        <f>IF(OR($A843="",E$23=""),"",IF(COUNTIFS('AFA Rates'!$A$5:$A$1004,$A843,'AFA Rates'!$B$5:$B$1004,E$23,'AFA Rates'!$O$5:$O$1004,"&lt;&gt;Expired")&gt;0,"✓",IF(COUNTIFS('AFA Rates'!$A$5:$A$1004,$A843,'AFA Rates'!$B$5:$B$1004,E$23)&gt;0,"Exp","")))</f>
        <v/>
      </c>
      <c r="F843" s="79">
        <f>IF(OR($A843="",F$23=""),"",IF(COUNTIFS('AFA Rates'!$A$5:$A$1004,$A843,'AFA Rates'!$B$5:$B$1004,F$23,'AFA Rates'!$O$5:$O$1004,"&lt;&gt;Expired")&gt;0,"✓",IF(COUNTIFS('AFA Rates'!$A$5:$A$1004,$A843,'AFA Rates'!$B$5:$B$1004,F$23)&gt;0,"Exp","")))</f>
        <v/>
      </c>
      <c r="G843" s="79">
        <f>IF(OR($A843="",G$23=""),"",IF(COUNTIFS('AFA Rates'!$A$5:$A$1004,$A843,'AFA Rates'!$B$5:$B$1004,G$23,'AFA Rates'!$O$5:$O$1004,"&lt;&gt;Expired")&gt;0,"✓",IF(COUNTIFS('AFA Rates'!$A$5:$A$1004,$A843,'AFA Rates'!$B$5:$B$1004,G$23)&gt;0,"Exp","")))</f>
        <v/>
      </c>
      <c r="H843" s="79">
        <f>IF(OR($A843="",H$23=""),"",IF(COUNTIFS('AFA Rates'!$A$5:$A$1004,$A843,'AFA Rates'!$B$5:$B$1004,H$23,'AFA Rates'!$O$5:$O$1004,"&lt;&gt;Expired")&gt;0,"✓",IF(COUNTIFS('AFA Rates'!$A$5:$A$1004,$A843,'AFA Rates'!$B$5:$B$1004,H$23)&gt;0,"Exp","")))</f>
        <v/>
      </c>
      <c r="I843" s="79">
        <f>IF(OR($A843="",I$23=""),"",IF(COUNTIFS('AFA Rates'!$A$5:$A$1004,$A843,'AFA Rates'!$B$5:$B$1004,I$23,'AFA Rates'!$O$5:$O$1004,"&lt;&gt;Expired")&gt;0,"✓",IF(COUNTIFS('AFA Rates'!$A$5:$A$1004,$A843,'AFA Rates'!$B$5:$B$1004,I$23)&gt;0,"Exp","")))</f>
        <v/>
      </c>
      <c r="J843" s="79">
        <f>IF(OR($A843="",J$23=""),"",IF(COUNTIFS('AFA Rates'!$A$5:$A$1004,$A843,'AFA Rates'!$B$5:$B$1004,J$23,'AFA Rates'!$O$5:$O$1004,"&lt;&gt;Expired")&gt;0,"✓",IF(COUNTIFS('AFA Rates'!$A$5:$A$1004,$A843,'AFA Rates'!$B$5:$B$1004,J$23)&gt;0,"Exp","")))</f>
        <v/>
      </c>
      <c r="K843" s="79">
        <f>IF(OR($A843="",K$23=""),"",IF(COUNTIFS('AFA Rates'!$A$5:$A$1004,$A843,'AFA Rates'!$B$5:$B$1004,K$23,'AFA Rates'!$O$5:$O$1004,"&lt;&gt;Expired")&gt;0,"✓",IF(COUNTIFS('AFA Rates'!$A$5:$A$1004,$A843,'AFA Rates'!$B$5:$B$1004,K$23)&gt;0,"Exp","")))</f>
        <v/>
      </c>
      <c r="L843" s="79">
        <f>IF(OR($A843="",L$23=""),"",IF(COUNTIFS('AFA Rates'!$A$5:$A$1004,$A843,'AFA Rates'!$B$5:$B$1004,L$23,'AFA Rates'!$O$5:$O$1004,"&lt;&gt;Expired")&gt;0,"✓",IF(COUNTIFS('AFA Rates'!$A$5:$A$1004,$A843,'AFA Rates'!$B$5:$B$1004,L$23)&gt;0,"Exp","")))</f>
        <v/>
      </c>
      <c r="M843" s="79">
        <f>IF(OR($A843="",M$23=""),"",IF(COUNTIFS('AFA Rates'!$A$5:$A$1004,$A843,'AFA Rates'!$B$5:$B$1004,M$23,'AFA Rates'!$O$5:$O$1004,"&lt;&gt;Expired")&gt;0,"✓",IF(COUNTIFS('AFA Rates'!$A$5:$A$1004,$A843,'AFA Rates'!$B$5:$B$1004,M$23)&gt;0,"Exp","")))</f>
        <v/>
      </c>
    </row>
    <row r="844">
      <c r="A844" s="78">
        <f>IFERROR(INDEX(Firms!$A$5:$A$1004,MATCH(821,Firms!$V$5:$V$1004,0)),"")</f>
        <v/>
      </c>
      <c r="B844" s="79">
        <f>IF($A844="","",INDEX(Firms!$B$5:$B$1004,MATCH(821,Firms!$V$5:$V$1004,0)))</f>
        <v/>
      </c>
      <c r="C844" s="79">
        <f>IF($A844="","",COUNTIFS('AFA Rates'!$A$5:$A$1004,$A844,'AFA Rates'!$O$5:$O$1004,"&lt;&gt;Expired"))</f>
        <v/>
      </c>
      <c r="D844" s="79">
        <f>IF(OR($A844="",D$23=""),"",IF(COUNTIFS('AFA Rates'!$A$5:$A$1004,$A844,'AFA Rates'!$B$5:$B$1004,D$23,'AFA Rates'!$O$5:$O$1004,"&lt;&gt;Expired")&gt;0,"✓",IF(COUNTIFS('AFA Rates'!$A$5:$A$1004,$A844,'AFA Rates'!$B$5:$B$1004,D$23)&gt;0,"Exp","")))</f>
        <v/>
      </c>
      <c r="E844" s="79">
        <f>IF(OR($A844="",E$23=""),"",IF(COUNTIFS('AFA Rates'!$A$5:$A$1004,$A844,'AFA Rates'!$B$5:$B$1004,E$23,'AFA Rates'!$O$5:$O$1004,"&lt;&gt;Expired")&gt;0,"✓",IF(COUNTIFS('AFA Rates'!$A$5:$A$1004,$A844,'AFA Rates'!$B$5:$B$1004,E$23)&gt;0,"Exp","")))</f>
        <v/>
      </c>
      <c r="F844" s="79">
        <f>IF(OR($A844="",F$23=""),"",IF(COUNTIFS('AFA Rates'!$A$5:$A$1004,$A844,'AFA Rates'!$B$5:$B$1004,F$23,'AFA Rates'!$O$5:$O$1004,"&lt;&gt;Expired")&gt;0,"✓",IF(COUNTIFS('AFA Rates'!$A$5:$A$1004,$A844,'AFA Rates'!$B$5:$B$1004,F$23)&gt;0,"Exp","")))</f>
        <v/>
      </c>
      <c r="G844" s="79">
        <f>IF(OR($A844="",G$23=""),"",IF(COUNTIFS('AFA Rates'!$A$5:$A$1004,$A844,'AFA Rates'!$B$5:$B$1004,G$23,'AFA Rates'!$O$5:$O$1004,"&lt;&gt;Expired")&gt;0,"✓",IF(COUNTIFS('AFA Rates'!$A$5:$A$1004,$A844,'AFA Rates'!$B$5:$B$1004,G$23)&gt;0,"Exp","")))</f>
        <v/>
      </c>
      <c r="H844" s="79">
        <f>IF(OR($A844="",H$23=""),"",IF(COUNTIFS('AFA Rates'!$A$5:$A$1004,$A844,'AFA Rates'!$B$5:$B$1004,H$23,'AFA Rates'!$O$5:$O$1004,"&lt;&gt;Expired")&gt;0,"✓",IF(COUNTIFS('AFA Rates'!$A$5:$A$1004,$A844,'AFA Rates'!$B$5:$B$1004,H$23)&gt;0,"Exp","")))</f>
        <v/>
      </c>
      <c r="I844" s="79">
        <f>IF(OR($A844="",I$23=""),"",IF(COUNTIFS('AFA Rates'!$A$5:$A$1004,$A844,'AFA Rates'!$B$5:$B$1004,I$23,'AFA Rates'!$O$5:$O$1004,"&lt;&gt;Expired")&gt;0,"✓",IF(COUNTIFS('AFA Rates'!$A$5:$A$1004,$A844,'AFA Rates'!$B$5:$B$1004,I$23)&gt;0,"Exp","")))</f>
        <v/>
      </c>
      <c r="J844" s="79">
        <f>IF(OR($A844="",J$23=""),"",IF(COUNTIFS('AFA Rates'!$A$5:$A$1004,$A844,'AFA Rates'!$B$5:$B$1004,J$23,'AFA Rates'!$O$5:$O$1004,"&lt;&gt;Expired")&gt;0,"✓",IF(COUNTIFS('AFA Rates'!$A$5:$A$1004,$A844,'AFA Rates'!$B$5:$B$1004,J$23)&gt;0,"Exp","")))</f>
        <v/>
      </c>
      <c r="K844" s="79">
        <f>IF(OR($A844="",K$23=""),"",IF(COUNTIFS('AFA Rates'!$A$5:$A$1004,$A844,'AFA Rates'!$B$5:$B$1004,K$23,'AFA Rates'!$O$5:$O$1004,"&lt;&gt;Expired")&gt;0,"✓",IF(COUNTIFS('AFA Rates'!$A$5:$A$1004,$A844,'AFA Rates'!$B$5:$B$1004,K$23)&gt;0,"Exp","")))</f>
        <v/>
      </c>
      <c r="L844" s="79">
        <f>IF(OR($A844="",L$23=""),"",IF(COUNTIFS('AFA Rates'!$A$5:$A$1004,$A844,'AFA Rates'!$B$5:$B$1004,L$23,'AFA Rates'!$O$5:$O$1004,"&lt;&gt;Expired")&gt;0,"✓",IF(COUNTIFS('AFA Rates'!$A$5:$A$1004,$A844,'AFA Rates'!$B$5:$B$1004,L$23)&gt;0,"Exp","")))</f>
        <v/>
      </c>
      <c r="M844" s="79">
        <f>IF(OR($A844="",M$23=""),"",IF(COUNTIFS('AFA Rates'!$A$5:$A$1004,$A844,'AFA Rates'!$B$5:$B$1004,M$23,'AFA Rates'!$O$5:$O$1004,"&lt;&gt;Expired")&gt;0,"✓",IF(COUNTIFS('AFA Rates'!$A$5:$A$1004,$A844,'AFA Rates'!$B$5:$B$1004,M$23)&gt;0,"Exp","")))</f>
        <v/>
      </c>
    </row>
    <row r="845">
      <c r="A845" s="78">
        <f>IFERROR(INDEX(Firms!$A$5:$A$1004,MATCH(822,Firms!$V$5:$V$1004,0)),"")</f>
        <v/>
      </c>
      <c r="B845" s="79">
        <f>IF($A845="","",INDEX(Firms!$B$5:$B$1004,MATCH(822,Firms!$V$5:$V$1004,0)))</f>
        <v/>
      </c>
      <c r="C845" s="79">
        <f>IF($A845="","",COUNTIFS('AFA Rates'!$A$5:$A$1004,$A845,'AFA Rates'!$O$5:$O$1004,"&lt;&gt;Expired"))</f>
        <v/>
      </c>
      <c r="D845" s="79">
        <f>IF(OR($A845="",D$23=""),"",IF(COUNTIFS('AFA Rates'!$A$5:$A$1004,$A845,'AFA Rates'!$B$5:$B$1004,D$23,'AFA Rates'!$O$5:$O$1004,"&lt;&gt;Expired")&gt;0,"✓",IF(COUNTIFS('AFA Rates'!$A$5:$A$1004,$A845,'AFA Rates'!$B$5:$B$1004,D$23)&gt;0,"Exp","")))</f>
        <v/>
      </c>
      <c r="E845" s="79">
        <f>IF(OR($A845="",E$23=""),"",IF(COUNTIFS('AFA Rates'!$A$5:$A$1004,$A845,'AFA Rates'!$B$5:$B$1004,E$23,'AFA Rates'!$O$5:$O$1004,"&lt;&gt;Expired")&gt;0,"✓",IF(COUNTIFS('AFA Rates'!$A$5:$A$1004,$A845,'AFA Rates'!$B$5:$B$1004,E$23)&gt;0,"Exp","")))</f>
        <v/>
      </c>
      <c r="F845" s="79">
        <f>IF(OR($A845="",F$23=""),"",IF(COUNTIFS('AFA Rates'!$A$5:$A$1004,$A845,'AFA Rates'!$B$5:$B$1004,F$23,'AFA Rates'!$O$5:$O$1004,"&lt;&gt;Expired")&gt;0,"✓",IF(COUNTIFS('AFA Rates'!$A$5:$A$1004,$A845,'AFA Rates'!$B$5:$B$1004,F$23)&gt;0,"Exp","")))</f>
        <v/>
      </c>
      <c r="G845" s="79">
        <f>IF(OR($A845="",G$23=""),"",IF(COUNTIFS('AFA Rates'!$A$5:$A$1004,$A845,'AFA Rates'!$B$5:$B$1004,G$23,'AFA Rates'!$O$5:$O$1004,"&lt;&gt;Expired")&gt;0,"✓",IF(COUNTIFS('AFA Rates'!$A$5:$A$1004,$A845,'AFA Rates'!$B$5:$B$1004,G$23)&gt;0,"Exp","")))</f>
        <v/>
      </c>
      <c r="H845" s="79">
        <f>IF(OR($A845="",H$23=""),"",IF(COUNTIFS('AFA Rates'!$A$5:$A$1004,$A845,'AFA Rates'!$B$5:$B$1004,H$23,'AFA Rates'!$O$5:$O$1004,"&lt;&gt;Expired")&gt;0,"✓",IF(COUNTIFS('AFA Rates'!$A$5:$A$1004,$A845,'AFA Rates'!$B$5:$B$1004,H$23)&gt;0,"Exp","")))</f>
        <v/>
      </c>
      <c r="I845" s="79">
        <f>IF(OR($A845="",I$23=""),"",IF(COUNTIFS('AFA Rates'!$A$5:$A$1004,$A845,'AFA Rates'!$B$5:$B$1004,I$23,'AFA Rates'!$O$5:$O$1004,"&lt;&gt;Expired")&gt;0,"✓",IF(COUNTIFS('AFA Rates'!$A$5:$A$1004,$A845,'AFA Rates'!$B$5:$B$1004,I$23)&gt;0,"Exp","")))</f>
        <v/>
      </c>
      <c r="J845" s="79">
        <f>IF(OR($A845="",J$23=""),"",IF(COUNTIFS('AFA Rates'!$A$5:$A$1004,$A845,'AFA Rates'!$B$5:$B$1004,J$23,'AFA Rates'!$O$5:$O$1004,"&lt;&gt;Expired")&gt;0,"✓",IF(COUNTIFS('AFA Rates'!$A$5:$A$1004,$A845,'AFA Rates'!$B$5:$B$1004,J$23)&gt;0,"Exp","")))</f>
        <v/>
      </c>
      <c r="K845" s="79">
        <f>IF(OR($A845="",K$23=""),"",IF(COUNTIFS('AFA Rates'!$A$5:$A$1004,$A845,'AFA Rates'!$B$5:$B$1004,K$23,'AFA Rates'!$O$5:$O$1004,"&lt;&gt;Expired")&gt;0,"✓",IF(COUNTIFS('AFA Rates'!$A$5:$A$1004,$A845,'AFA Rates'!$B$5:$B$1004,K$23)&gt;0,"Exp","")))</f>
        <v/>
      </c>
      <c r="L845" s="79">
        <f>IF(OR($A845="",L$23=""),"",IF(COUNTIFS('AFA Rates'!$A$5:$A$1004,$A845,'AFA Rates'!$B$5:$B$1004,L$23,'AFA Rates'!$O$5:$O$1004,"&lt;&gt;Expired")&gt;0,"✓",IF(COUNTIFS('AFA Rates'!$A$5:$A$1004,$A845,'AFA Rates'!$B$5:$B$1004,L$23)&gt;0,"Exp","")))</f>
        <v/>
      </c>
      <c r="M845" s="79">
        <f>IF(OR($A845="",M$23=""),"",IF(COUNTIFS('AFA Rates'!$A$5:$A$1004,$A845,'AFA Rates'!$B$5:$B$1004,M$23,'AFA Rates'!$O$5:$O$1004,"&lt;&gt;Expired")&gt;0,"✓",IF(COUNTIFS('AFA Rates'!$A$5:$A$1004,$A845,'AFA Rates'!$B$5:$B$1004,M$23)&gt;0,"Exp","")))</f>
        <v/>
      </c>
    </row>
    <row r="846">
      <c r="A846" s="78">
        <f>IFERROR(INDEX(Firms!$A$5:$A$1004,MATCH(823,Firms!$V$5:$V$1004,0)),"")</f>
        <v/>
      </c>
      <c r="B846" s="79">
        <f>IF($A846="","",INDEX(Firms!$B$5:$B$1004,MATCH(823,Firms!$V$5:$V$1004,0)))</f>
        <v/>
      </c>
      <c r="C846" s="79">
        <f>IF($A846="","",COUNTIFS('AFA Rates'!$A$5:$A$1004,$A846,'AFA Rates'!$O$5:$O$1004,"&lt;&gt;Expired"))</f>
        <v/>
      </c>
      <c r="D846" s="79">
        <f>IF(OR($A846="",D$23=""),"",IF(COUNTIFS('AFA Rates'!$A$5:$A$1004,$A846,'AFA Rates'!$B$5:$B$1004,D$23,'AFA Rates'!$O$5:$O$1004,"&lt;&gt;Expired")&gt;0,"✓",IF(COUNTIFS('AFA Rates'!$A$5:$A$1004,$A846,'AFA Rates'!$B$5:$B$1004,D$23)&gt;0,"Exp","")))</f>
        <v/>
      </c>
      <c r="E846" s="79">
        <f>IF(OR($A846="",E$23=""),"",IF(COUNTIFS('AFA Rates'!$A$5:$A$1004,$A846,'AFA Rates'!$B$5:$B$1004,E$23,'AFA Rates'!$O$5:$O$1004,"&lt;&gt;Expired")&gt;0,"✓",IF(COUNTIFS('AFA Rates'!$A$5:$A$1004,$A846,'AFA Rates'!$B$5:$B$1004,E$23)&gt;0,"Exp","")))</f>
        <v/>
      </c>
      <c r="F846" s="79">
        <f>IF(OR($A846="",F$23=""),"",IF(COUNTIFS('AFA Rates'!$A$5:$A$1004,$A846,'AFA Rates'!$B$5:$B$1004,F$23,'AFA Rates'!$O$5:$O$1004,"&lt;&gt;Expired")&gt;0,"✓",IF(COUNTIFS('AFA Rates'!$A$5:$A$1004,$A846,'AFA Rates'!$B$5:$B$1004,F$23)&gt;0,"Exp","")))</f>
        <v/>
      </c>
      <c r="G846" s="79">
        <f>IF(OR($A846="",G$23=""),"",IF(COUNTIFS('AFA Rates'!$A$5:$A$1004,$A846,'AFA Rates'!$B$5:$B$1004,G$23,'AFA Rates'!$O$5:$O$1004,"&lt;&gt;Expired")&gt;0,"✓",IF(COUNTIFS('AFA Rates'!$A$5:$A$1004,$A846,'AFA Rates'!$B$5:$B$1004,G$23)&gt;0,"Exp","")))</f>
        <v/>
      </c>
      <c r="H846" s="79">
        <f>IF(OR($A846="",H$23=""),"",IF(COUNTIFS('AFA Rates'!$A$5:$A$1004,$A846,'AFA Rates'!$B$5:$B$1004,H$23,'AFA Rates'!$O$5:$O$1004,"&lt;&gt;Expired")&gt;0,"✓",IF(COUNTIFS('AFA Rates'!$A$5:$A$1004,$A846,'AFA Rates'!$B$5:$B$1004,H$23)&gt;0,"Exp","")))</f>
        <v/>
      </c>
      <c r="I846" s="79">
        <f>IF(OR($A846="",I$23=""),"",IF(COUNTIFS('AFA Rates'!$A$5:$A$1004,$A846,'AFA Rates'!$B$5:$B$1004,I$23,'AFA Rates'!$O$5:$O$1004,"&lt;&gt;Expired")&gt;0,"✓",IF(COUNTIFS('AFA Rates'!$A$5:$A$1004,$A846,'AFA Rates'!$B$5:$B$1004,I$23)&gt;0,"Exp","")))</f>
        <v/>
      </c>
      <c r="J846" s="79">
        <f>IF(OR($A846="",J$23=""),"",IF(COUNTIFS('AFA Rates'!$A$5:$A$1004,$A846,'AFA Rates'!$B$5:$B$1004,J$23,'AFA Rates'!$O$5:$O$1004,"&lt;&gt;Expired")&gt;0,"✓",IF(COUNTIFS('AFA Rates'!$A$5:$A$1004,$A846,'AFA Rates'!$B$5:$B$1004,J$23)&gt;0,"Exp","")))</f>
        <v/>
      </c>
      <c r="K846" s="79">
        <f>IF(OR($A846="",K$23=""),"",IF(COUNTIFS('AFA Rates'!$A$5:$A$1004,$A846,'AFA Rates'!$B$5:$B$1004,K$23,'AFA Rates'!$O$5:$O$1004,"&lt;&gt;Expired")&gt;0,"✓",IF(COUNTIFS('AFA Rates'!$A$5:$A$1004,$A846,'AFA Rates'!$B$5:$B$1004,K$23)&gt;0,"Exp","")))</f>
        <v/>
      </c>
      <c r="L846" s="79">
        <f>IF(OR($A846="",L$23=""),"",IF(COUNTIFS('AFA Rates'!$A$5:$A$1004,$A846,'AFA Rates'!$B$5:$B$1004,L$23,'AFA Rates'!$O$5:$O$1004,"&lt;&gt;Expired")&gt;0,"✓",IF(COUNTIFS('AFA Rates'!$A$5:$A$1004,$A846,'AFA Rates'!$B$5:$B$1004,L$23)&gt;0,"Exp","")))</f>
        <v/>
      </c>
      <c r="M846" s="79">
        <f>IF(OR($A846="",M$23=""),"",IF(COUNTIFS('AFA Rates'!$A$5:$A$1004,$A846,'AFA Rates'!$B$5:$B$1004,M$23,'AFA Rates'!$O$5:$O$1004,"&lt;&gt;Expired")&gt;0,"✓",IF(COUNTIFS('AFA Rates'!$A$5:$A$1004,$A846,'AFA Rates'!$B$5:$B$1004,M$23)&gt;0,"Exp","")))</f>
        <v/>
      </c>
    </row>
    <row r="847">
      <c r="A847" s="78">
        <f>IFERROR(INDEX(Firms!$A$5:$A$1004,MATCH(824,Firms!$V$5:$V$1004,0)),"")</f>
        <v/>
      </c>
      <c r="B847" s="79">
        <f>IF($A847="","",INDEX(Firms!$B$5:$B$1004,MATCH(824,Firms!$V$5:$V$1004,0)))</f>
        <v/>
      </c>
      <c r="C847" s="79">
        <f>IF($A847="","",COUNTIFS('AFA Rates'!$A$5:$A$1004,$A847,'AFA Rates'!$O$5:$O$1004,"&lt;&gt;Expired"))</f>
        <v/>
      </c>
      <c r="D847" s="79">
        <f>IF(OR($A847="",D$23=""),"",IF(COUNTIFS('AFA Rates'!$A$5:$A$1004,$A847,'AFA Rates'!$B$5:$B$1004,D$23,'AFA Rates'!$O$5:$O$1004,"&lt;&gt;Expired")&gt;0,"✓",IF(COUNTIFS('AFA Rates'!$A$5:$A$1004,$A847,'AFA Rates'!$B$5:$B$1004,D$23)&gt;0,"Exp","")))</f>
        <v/>
      </c>
      <c r="E847" s="79">
        <f>IF(OR($A847="",E$23=""),"",IF(COUNTIFS('AFA Rates'!$A$5:$A$1004,$A847,'AFA Rates'!$B$5:$B$1004,E$23,'AFA Rates'!$O$5:$O$1004,"&lt;&gt;Expired")&gt;0,"✓",IF(COUNTIFS('AFA Rates'!$A$5:$A$1004,$A847,'AFA Rates'!$B$5:$B$1004,E$23)&gt;0,"Exp","")))</f>
        <v/>
      </c>
      <c r="F847" s="79">
        <f>IF(OR($A847="",F$23=""),"",IF(COUNTIFS('AFA Rates'!$A$5:$A$1004,$A847,'AFA Rates'!$B$5:$B$1004,F$23,'AFA Rates'!$O$5:$O$1004,"&lt;&gt;Expired")&gt;0,"✓",IF(COUNTIFS('AFA Rates'!$A$5:$A$1004,$A847,'AFA Rates'!$B$5:$B$1004,F$23)&gt;0,"Exp","")))</f>
        <v/>
      </c>
      <c r="G847" s="79">
        <f>IF(OR($A847="",G$23=""),"",IF(COUNTIFS('AFA Rates'!$A$5:$A$1004,$A847,'AFA Rates'!$B$5:$B$1004,G$23,'AFA Rates'!$O$5:$O$1004,"&lt;&gt;Expired")&gt;0,"✓",IF(COUNTIFS('AFA Rates'!$A$5:$A$1004,$A847,'AFA Rates'!$B$5:$B$1004,G$23)&gt;0,"Exp","")))</f>
        <v/>
      </c>
      <c r="H847" s="79">
        <f>IF(OR($A847="",H$23=""),"",IF(COUNTIFS('AFA Rates'!$A$5:$A$1004,$A847,'AFA Rates'!$B$5:$B$1004,H$23,'AFA Rates'!$O$5:$O$1004,"&lt;&gt;Expired")&gt;0,"✓",IF(COUNTIFS('AFA Rates'!$A$5:$A$1004,$A847,'AFA Rates'!$B$5:$B$1004,H$23)&gt;0,"Exp","")))</f>
        <v/>
      </c>
      <c r="I847" s="79">
        <f>IF(OR($A847="",I$23=""),"",IF(COUNTIFS('AFA Rates'!$A$5:$A$1004,$A847,'AFA Rates'!$B$5:$B$1004,I$23,'AFA Rates'!$O$5:$O$1004,"&lt;&gt;Expired")&gt;0,"✓",IF(COUNTIFS('AFA Rates'!$A$5:$A$1004,$A847,'AFA Rates'!$B$5:$B$1004,I$23)&gt;0,"Exp","")))</f>
        <v/>
      </c>
      <c r="J847" s="79">
        <f>IF(OR($A847="",J$23=""),"",IF(COUNTIFS('AFA Rates'!$A$5:$A$1004,$A847,'AFA Rates'!$B$5:$B$1004,J$23,'AFA Rates'!$O$5:$O$1004,"&lt;&gt;Expired")&gt;0,"✓",IF(COUNTIFS('AFA Rates'!$A$5:$A$1004,$A847,'AFA Rates'!$B$5:$B$1004,J$23)&gt;0,"Exp","")))</f>
        <v/>
      </c>
      <c r="K847" s="79">
        <f>IF(OR($A847="",K$23=""),"",IF(COUNTIFS('AFA Rates'!$A$5:$A$1004,$A847,'AFA Rates'!$B$5:$B$1004,K$23,'AFA Rates'!$O$5:$O$1004,"&lt;&gt;Expired")&gt;0,"✓",IF(COUNTIFS('AFA Rates'!$A$5:$A$1004,$A847,'AFA Rates'!$B$5:$B$1004,K$23)&gt;0,"Exp","")))</f>
        <v/>
      </c>
      <c r="L847" s="79">
        <f>IF(OR($A847="",L$23=""),"",IF(COUNTIFS('AFA Rates'!$A$5:$A$1004,$A847,'AFA Rates'!$B$5:$B$1004,L$23,'AFA Rates'!$O$5:$O$1004,"&lt;&gt;Expired")&gt;0,"✓",IF(COUNTIFS('AFA Rates'!$A$5:$A$1004,$A847,'AFA Rates'!$B$5:$B$1004,L$23)&gt;0,"Exp","")))</f>
        <v/>
      </c>
      <c r="M847" s="79">
        <f>IF(OR($A847="",M$23=""),"",IF(COUNTIFS('AFA Rates'!$A$5:$A$1004,$A847,'AFA Rates'!$B$5:$B$1004,M$23,'AFA Rates'!$O$5:$O$1004,"&lt;&gt;Expired")&gt;0,"✓",IF(COUNTIFS('AFA Rates'!$A$5:$A$1004,$A847,'AFA Rates'!$B$5:$B$1004,M$23)&gt;0,"Exp","")))</f>
        <v/>
      </c>
    </row>
    <row r="848">
      <c r="A848" s="78">
        <f>IFERROR(INDEX(Firms!$A$5:$A$1004,MATCH(825,Firms!$V$5:$V$1004,0)),"")</f>
        <v/>
      </c>
      <c r="B848" s="79">
        <f>IF($A848="","",INDEX(Firms!$B$5:$B$1004,MATCH(825,Firms!$V$5:$V$1004,0)))</f>
        <v/>
      </c>
      <c r="C848" s="79">
        <f>IF($A848="","",COUNTIFS('AFA Rates'!$A$5:$A$1004,$A848,'AFA Rates'!$O$5:$O$1004,"&lt;&gt;Expired"))</f>
        <v/>
      </c>
      <c r="D848" s="79">
        <f>IF(OR($A848="",D$23=""),"",IF(COUNTIFS('AFA Rates'!$A$5:$A$1004,$A848,'AFA Rates'!$B$5:$B$1004,D$23,'AFA Rates'!$O$5:$O$1004,"&lt;&gt;Expired")&gt;0,"✓",IF(COUNTIFS('AFA Rates'!$A$5:$A$1004,$A848,'AFA Rates'!$B$5:$B$1004,D$23)&gt;0,"Exp","")))</f>
        <v/>
      </c>
      <c r="E848" s="79">
        <f>IF(OR($A848="",E$23=""),"",IF(COUNTIFS('AFA Rates'!$A$5:$A$1004,$A848,'AFA Rates'!$B$5:$B$1004,E$23,'AFA Rates'!$O$5:$O$1004,"&lt;&gt;Expired")&gt;0,"✓",IF(COUNTIFS('AFA Rates'!$A$5:$A$1004,$A848,'AFA Rates'!$B$5:$B$1004,E$23)&gt;0,"Exp","")))</f>
        <v/>
      </c>
      <c r="F848" s="79">
        <f>IF(OR($A848="",F$23=""),"",IF(COUNTIFS('AFA Rates'!$A$5:$A$1004,$A848,'AFA Rates'!$B$5:$B$1004,F$23,'AFA Rates'!$O$5:$O$1004,"&lt;&gt;Expired")&gt;0,"✓",IF(COUNTIFS('AFA Rates'!$A$5:$A$1004,$A848,'AFA Rates'!$B$5:$B$1004,F$23)&gt;0,"Exp","")))</f>
        <v/>
      </c>
      <c r="G848" s="79">
        <f>IF(OR($A848="",G$23=""),"",IF(COUNTIFS('AFA Rates'!$A$5:$A$1004,$A848,'AFA Rates'!$B$5:$B$1004,G$23,'AFA Rates'!$O$5:$O$1004,"&lt;&gt;Expired")&gt;0,"✓",IF(COUNTIFS('AFA Rates'!$A$5:$A$1004,$A848,'AFA Rates'!$B$5:$B$1004,G$23)&gt;0,"Exp","")))</f>
        <v/>
      </c>
      <c r="H848" s="79">
        <f>IF(OR($A848="",H$23=""),"",IF(COUNTIFS('AFA Rates'!$A$5:$A$1004,$A848,'AFA Rates'!$B$5:$B$1004,H$23,'AFA Rates'!$O$5:$O$1004,"&lt;&gt;Expired")&gt;0,"✓",IF(COUNTIFS('AFA Rates'!$A$5:$A$1004,$A848,'AFA Rates'!$B$5:$B$1004,H$23)&gt;0,"Exp","")))</f>
        <v/>
      </c>
      <c r="I848" s="79">
        <f>IF(OR($A848="",I$23=""),"",IF(COUNTIFS('AFA Rates'!$A$5:$A$1004,$A848,'AFA Rates'!$B$5:$B$1004,I$23,'AFA Rates'!$O$5:$O$1004,"&lt;&gt;Expired")&gt;0,"✓",IF(COUNTIFS('AFA Rates'!$A$5:$A$1004,$A848,'AFA Rates'!$B$5:$B$1004,I$23)&gt;0,"Exp","")))</f>
        <v/>
      </c>
      <c r="J848" s="79">
        <f>IF(OR($A848="",J$23=""),"",IF(COUNTIFS('AFA Rates'!$A$5:$A$1004,$A848,'AFA Rates'!$B$5:$B$1004,J$23,'AFA Rates'!$O$5:$O$1004,"&lt;&gt;Expired")&gt;0,"✓",IF(COUNTIFS('AFA Rates'!$A$5:$A$1004,$A848,'AFA Rates'!$B$5:$B$1004,J$23)&gt;0,"Exp","")))</f>
        <v/>
      </c>
      <c r="K848" s="79">
        <f>IF(OR($A848="",K$23=""),"",IF(COUNTIFS('AFA Rates'!$A$5:$A$1004,$A848,'AFA Rates'!$B$5:$B$1004,K$23,'AFA Rates'!$O$5:$O$1004,"&lt;&gt;Expired")&gt;0,"✓",IF(COUNTIFS('AFA Rates'!$A$5:$A$1004,$A848,'AFA Rates'!$B$5:$B$1004,K$23)&gt;0,"Exp","")))</f>
        <v/>
      </c>
      <c r="L848" s="79">
        <f>IF(OR($A848="",L$23=""),"",IF(COUNTIFS('AFA Rates'!$A$5:$A$1004,$A848,'AFA Rates'!$B$5:$B$1004,L$23,'AFA Rates'!$O$5:$O$1004,"&lt;&gt;Expired")&gt;0,"✓",IF(COUNTIFS('AFA Rates'!$A$5:$A$1004,$A848,'AFA Rates'!$B$5:$B$1004,L$23)&gt;0,"Exp","")))</f>
        <v/>
      </c>
      <c r="M848" s="79">
        <f>IF(OR($A848="",M$23=""),"",IF(COUNTIFS('AFA Rates'!$A$5:$A$1004,$A848,'AFA Rates'!$B$5:$B$1004,M$23,'AFA Rates'!$O$5:$O$1004,"&lt;&gt;Expired")&gt;0,"✓",IF(COUNTIFS('AFA Rates'!$A$5:$A$1004,$A848,'AFA Rates'!$B$5:$B$1004,M$23)&gt;0,"Exp","")))</f>
        <v/>
      </c>
    </row>
    <row r="849">
      <c r="A849" s="78">
        <f>IFERROR(INDEX(Firms!$A$5:$A$1004,MATCH(826,Firms!$V$5:$V$1004,0)),"")</f>
        <v/>
      </c>
      <c r="B849" s="79">
        <f>IF($A849="","",INDEX(Firms!$B$5:$B$1004,MATCH(826,Firms!$V$5:$V$1004,0)))</f>
        <v/>
      </c>
      <c r="C849" s="79">
        <f>IF($A849="","",COUNTIFS('AFA Rates'!$A$5:$A$1004,$A849,'AFA Rates'!$O$5:$O$1004,"&lt;&gt;Expired"))</f>
        <v/>
      </c>
      <c r="D849" s="79">
        <f>IF(OR($A849="",D$23=""),"",IF(COUNTIFS('AFA Rates'!$A$5:$A$1004,$A849,'AFA Rates'!$B$5:$B$1004,D$23,'AFA Rates'!$O$5:$O$1004,"&lt;&gt;Expired")&gt;0,"✓",IF(COUNTIFS('AFA Rates'!$A$5:$A$1004,$A849,'AFA Rates'!$B$5:$B$1004,D$23)&gt;0,"Exp","")))</f>
        <v/>
      </c>
      <c r="E849" s="79">
        <f>IF(OR($A849="",E$23=""),"",IF(COUNTIFS('AFA Rates'!$A$5:$A$1004,$A849,'AFA Rates'!$B$5:$B$1004,E$23,'AFA Rates'!$O$5:$O$1004,"&lt;&gt;Expired")&gt;0,"✓",IF(COUNTIFS('AFA Rates'!$A$5:$A$1004,$A849,'AFA Rates'!$B$5:$B$1004,E$23)&gt;0,"Exp","")))</f>
        <v/>
      </c>
      <c r="F849" s="79">
        <f>IF(OR($A849="",F$23=""),"",IF(COUNTIFS('AFA Rates'!$A$5:$A$1004,$A849,'AFA Rates'!$B$5:$B$1004,F$23,'AFA Rates'!$O$5:$O$1004,"&lt;&gt;Expired")&gt;0,"✓",IF(COUNTIFS('AFA Rates'!$A$5:$A$1004,$A849,'AFA Rates'!$B$5:$B$1004,F$23)&gt;0,"Exp","")))</f>
        <v/>
      </c>
      <c r="G849" s="79">
        <f>IF(OR($A849="",G$23=""),"",IF(COUNTIFS('AFA Rates'!$A$5:$A$1004,$A849,'AFA Rates'!$B$5:$B$1004,G$23,'AFA Rates'!$O$5:$O$1004,"&lt;&gt;Expired")&gt;0,"✓",IF(COUNTIFS('AFA Rates'!$A$5:$A$1004,$A849,'AFA Rates'!$B$5:$B$1004,G$23)&gt;0,"Exp","")))</f>
        <v/>
      </c>
      <c r="H849" s="79">
        <f>IF(OR($A849="",H$23=""),"",IF(COUNTIFS('AFA Rates'!$A$5:$A$1004,$A849,'AFA Rates'!$B$5:$B$1004,H$23,'AFA Rates'!$O$5:$O$1004,"&lt;&gt;Expired")&gt;0,"✓",IF(COUNTIFS('AFA Rates'!$A$5:$A$1004,$A849,'AFA Rates'!$B$5:$B$1004,H$23)&gt;0,"Exp","")))</f>
        <v/>
      </c>
      <c r="I849" s="79">
        <f>IF(OR($A849="",I$23=""),"",IF(COUNTIFS('AFA Rates'!$A$5:$A$1004,$A849,'AFA Rates'!$B$5:$B$1004,I$23,'AFA Rates'!$O$5:$O$1004,"&lt;&gt;Expired")&gt;0,"✓",IF(COUNTIFS('AFA Rates'!$A$5:$A$1004,$A849,'AFA Rates'!$B$5:$B$1004,I$23)&gt;0,"Exp","")))</f>
        <v/>
      </c>
      <c r="J849" s="79">
        <f>IF(OR($A849="",J$23=""),"",IF(COUNTIFS('AFA Rates'!$A$5:$A$1004,$A849,'AFA Rates'!$B$5:$B$1004,J$23,'AFA Rates'!$O$5:$O$1004,"&lt;&gt;Expired")&gt;0,"✓",IF(COUNTIFS('AFA Rates'!$A$5:$A$1004,$A849,'AFA Rates'!$B$5:$B$1004,J$23)&gt;0,"Exp","")))</f>
        <v/>
      </c>
      <c r="K849" s="79">
        <f>IF(OR($A849="",K$23=""),"",IF(COUNTIFS('AFA Rates'!$A$5:$A$1004,$A849,'AFA Rates'!$B$5:$B$1004,K$23,'AFA Rates'!$O$5:$O$1004,"&lt;&gt;Expired")&gt;0,"✓",IF(COUNTIFS('AFA Rates'!$A$5:$A$1004,$A849,'AFA Rates'!$B$5:$B$1004,K$23)&gt;0,"Exp","")))</f>
        <v/>
      </c>
      <c r="L849" s="79">
        <f>IF(OR($A849="",L$23=""),"",IF(COUNTIFS('AFA Rates'!$A$5:$A$1004,$A849,'AFA Rates'!$B$5:$B$1004,L$23,'AFA Rates'!$O$5:$O$1004,"&lt;&gt;Expired")&gt;0,"✓",IF(COUNTIFS('AFA Rates'!$A$5:$A$1004,$A849,'AFA Rates'!$B$5:$B$1004,L$23)&gt;0,"Exp","")))</f>
        <v/>
      </c>
      <c r="M849" s="79">
        <f>IF(OR($A849="",M$23=""),"",IF(COUNTIFS('AFA Rates'!$A$5:$A$1004,$A849,'AFA Rates'!$B$5:$B$1004,M$23,'AFA Rates'!$O$5:$O$1004,"&lt;&gt;Expired")&gt;0,"✓",IF(COUNTIFS('AFA Rates'!$A$5:$A$1004,$A849,'AFA Rates'!$B$5:$B$1004,M$23)&gt;0,"Exp","")))</f>
        <v/>
      </c>
    </row>
    <row r="850">
      <c r="A850" s="78">
        <f>IFERROR(INDEX(Firms!$A$5:$A$1004,MATCH(827,Firms!$V$5:$V$1004,0)),"")</f>
        <v/>
      </c>
      <c r="B850" s="79">
        <f>IF($A850="","",INDEX(Firms!$B$5:$B$1004,MATCH(827,Firms!$V$5:$V$1004,0)))</f>
        <v/>
      </c>
      <c r="C850" s="79">
        <f>IF($A850="","",COUNTIFS('AFA Rates'!$A$5:$A$1004,$A850,'AFA Rates'!$O$5:$O$1004,"&lt;&gt;Expired"))</f>
        <v/>
      </c>
      <c r="D850" s="79">
        <f>IF(OR($A850="",D$23=""),"",IF(COUNTIFS('AFA Rates'!$A$5:$A$1004,$A850,'AFA Rates'!$B$5:$B$1004,D$23,'AFA Rates'!$O$5:$O$1004,"&lt;&gt;Expired")&gt;0,"✓",IF(COUNTIFS('AFA Rates'!$A$5:$A$1004,$A850,'AFA Rates'!$B$5:$B$1004,D$23)&gt;0,"Exp","")))</f>
        <v/>
      </c>
      <c r="E850" s="79">
        <f>IF(OR($A850="",E$23=""),"",IF(COUNTIFS('AFA Rates'!$A$5:$A$1004,$A850,'AFA Rates'!$B$5:$B$1004,E$23,'AFA Rates'!$O$5:$O$1004,"&lt;&gt;Expired")&gt;0,"✓",IF(COUNTIFS('AFA Rates'!$A$5:$A$1004,$A850,'AFA Rates'!$B$5:$B$1004,E$23)&gt;0,"Exp","")))</f>
        <v/>
      </c>
      <c r="F850" s="79">
        <f>IF(OR($A850="",F$23=""),"",IF(COUNTIFS('AFA Rates'!$A$5:$A$1004,$A850,'AFA Rates'!$B$5:$B$1004,F$23,'AFA Rates'!$O$5:$O$1004,"&lt;&gt;Expired")&gt;0,"✓",IF(COUNTIFS('AFA Rates'!$A$5:$A$1004,$A850,'AFA Rates'!$B$5:$B$1004,F$23)&gt;0,"Exp","")))</f>
        <v/>
      </c>
      <c r="G850" s="79">
        <f>IF(OR($A850="",G$23=""),"",IF(COUNTIFS('AFA Rates'!$A$5:$A$1004,$A850,'AFA Rates'!$B$5:$B$1004,G$23,'AFA Rates'!$O$5:$O$1004,"&lt;&gt;Expired")&gt;0,"✓",IF(COUNTIFS('AFA Rates'!$A$5:$A$1004,$A850,'AFA Rates'!$B$5:$B$1004,G$23)&gt;0,"Exp","")))</f>
        <v/>
      </c>
      <c r="H850" s="79">
        <f>IF(OR($A850="",H$23=""),"",IF(COUNTIFS('AFA Rates'!$A$5:$A$1004,$A850,'AFA Rates'!$B$5:$B$1004,H$23,'AFA Rates'!$O$5:$O$1004,"&lt;&gt;Expired")&gt;0,"✓",IF(COUNTIFS('AFA Rates'!$A$5:$A$1004,$A850,'AFA Rates'!$B$5:$B$1004,H$23)&gt;0,"Exp","")))</f>
        <v/>
      </c>
      <c r="I850" s="79">
        <f>IF(OR($A850="",I$23=""),"",IF(COUNTIFS('AFA Rates'!$A$5:$A$1004,$A850,'AFA Rates'!$B$5:$B$1004,I$23,'AFA Rates'!$O$5:$O$1004,"&lt;&gt;Expired")&gt;0,"✓",IF(COUNTIFS('AFA Rates'!$A$5:$A$1004,$A850,'AFA Rates'!$B$5:$B$1004,I$23)&gt;0,"Exp","")))</f>
        <v/>
      </c>
      <c r="J850" s="79">
        <f>IF(OR($A850="",J$23=""),"",IF(COUNTIFS('AFA Rates'!$A$5:$A$1004,$A850,'AFA Rates'!$B$5:$B$1004,J$23,'AFA Rates'!$O$5:$O$1004,"&lt;&gt;Expired")&gt;0,"✓",IF(COUNTIFS('AFA Rates'!$A$5:$A$1004,$A850,'AFA Rates'!$B$5:$B$1004,J$23)&gt;0,"Exp","")))</f>
        <v/>
      </c>
      <c r="K850" s="79">
        <f>IF(OR($A850="",K$23=""),"",IF(COUNTIFS('AFA Rates'!$A$5:$A$1004,$A850,'AFA Rates'!$B$5:$B$1004,K$23,'AFA Rates'!$O$5:$O$1004,"&lt;&gt;Expired")&gt;0,"✓",IF(COUNTIFS('AFA Rates'!$A$5:$A$1004,$A850,'AFA Rates'!$B$5:$B$1004,K$23)&gt;0,"Exp","")))</f>
        <v/>
      </c>
      <c r="L850" s="79">
        <f>IF(OR($A850="",L$23=""),"",IF(COUNTIFS('AFA Rates'!$A$5:$A$1004,$A850,'AFA Rates'!$B$5:$B$1004,L$23,'AFA Rates'!$O$5:$O$1004,"&lt;&gt;Expired")&gt;0,"✓",IF(COUNTIFS('AFA Rates'!$A$5:$A$1004,$A850,'AFA Rates'!$B$5:$B$1004,L$23)&gt;0,"Exp","")))</f>
        <v/>
      </c>
      <c r="M850" s="79">
        <f>IF(OR($A850="",M$23=""),"",IF(COUNTIFS('AFA Rates'!$A$5:$A$1004,$A850,'AFA Rates'!$B$5:$B$1004,M$23,'AFA Rates'!$O$5:$O$1004,"&lt;&gt;Expired")&gt;0,"✓",IF(COUNTIFS('AFA Rates'!$A$5:$A$1004,$A850,'AFA Rates'!$B$5:$B$1004,M$23)&gt;0,"Exp","")))</f>
        <v/>
      </c>
    </row>
    <row r="851">
      <c r="A851" s="78">
        <f>IFERROR(INDEX(Firms!$A$5:$A$1004,MATCH(828,Firms!$V$5:$V$1004,0)),"")</f>
        <v/>
      </c>
      <c r="B851" s="79">
        <f>IF($A851="","",INDEX(Firms!$B$5:$B$1004,MATCH(828,Firms!$V$5:$V$1004,0)))</f>
        <v/>
      </c>
      <c r="C851" s="79">
        <f>IF($A851="","",COUNTIFS('AFA Rates'!$A$5:$A$1004,$A851,'AFA Rates'!$O$5:$O$1004,"&lt;&gt;Expired"))</f>
        <v/>
      </c>
      <c r="D851" s="79">
        <f>IF(OR($A851="",D$23=""),"",IF(COUNTIFS('AFA Rates'!$A$5:$A$1004,$A851,'AFA Rates'!$B$5:$B$1004,D$23,'AFA Rates'!$O$5:$O$1004,"&lt;&gt;Expired")&gt;0,"✓",IF(COUNTIFS('AFA Rates'!$A$5:$A$1004,$A851,'AFA Rates'!$B$5:$B$1004,D$23)&gt;0,"Exp","")))</f>
        <v/>
      </c>
      <c r="E851" s="79">
        <f>IF(OR($A851="",E$23=""),"",IF(COUNTIFS('AFA Rates'!$A$5:$A$1004,$A851,'AFA Rates'!$B$5:$B$1004,E$23,'AFA Rates'!$O$5:$O$1004,"&lt;&gt;Expired")&gt;0,"✓",IF(COUNTIFS('AFA Rates'!$A$5:$A$1004,$A851,'AFA Rates'!$B$5:$B$1004,E$23)&gt;0,"Exp","")))</f>
        <v/>
      </c>
      <c r="F851" s="79">
        <f>IF(OR($A851="",F$23=""),"",IF(COUNTIFS('AFA Rates'!$A$5:$A$1004,$A851,'AFA Rates'!$B$5:$B$1004,F$23,'AFA Rates'!$O$5:$O$1004,"&lt;&gt;Expired")&gt;0,"✓",IF(COUNTIFS('AFA Rates'!$A$5:$A$1004,$A851,'AFA Rates'!$B$5:$B$1004,F$23)&gt;0,"Exp","")))</f>
        <v/>
      </c>
      <c r="G851" s="79">
        <f>IF(OR($A851="",G$23=""),"",IF(COUNTIFS('AFA Rates'!$A$5:$A$1004,$A851,'AFA Rates'!$B$5:$B$1004,G$23,'AFA Rates'!$O$5:$O$1004,"&lt;&gt;Expired")&gt;0,"✓",IF(COUNTIFS('AFA Rates'!$A$5:$A$1004,$A851,'AFA Rates'!$B$5:$B$1004,G$23)&gt;0,"Exp","")))</f>
        <v/>
      </c>
      <c r="H851" s="79">
        <f>IF(OR($A851="",H$23=""),"",IF(COUNTIFS('AFA Rates'!$A$5:$A$1004,$A851,'AFA Rates'!$B$5:$B$1004,H$23,'AFA Rates'!$O$5:$O$1004,"&lt;&gt;Expired")&gt;0,"✓",IF(COUNTIFS('AFA Rates'!$A$5:$A$1004,$A851,'AFA Rates'!$B$5:$B$1004,H$23)&gt;0,"Exp","")))</f>
        <v/>
      </c>
      <c r="I851" s="79">
        <f>IF(OR($A851="",I$23=""),"",IF(COUNTIFS('AFA Rates'!$A$5:$A$1004,$A851,'AFA Rates'!$B$5:$B$1004,I$23,'AFA Rates'!$O$5:$O$1004,"&lt;&gt;Expired")&gt;0,"✓",IF(COUNTIFS('AFA Rates'!$A$5:$A$1004,$A851,'AFA Rates'!$B$5:$B$1004,I$23)&gt;0,"Exp","")))</f>
        <v/>
      </c>
      <c r="J851" s="79">
        <f>IF(OR($A851="",J$23=""),"",IF(COUNTIFS('AFA Rates'!$A$5:$A$1004,$A851,'AFA Rates'!$B$5:$B$1004,J$23,'AFA Rates'!$O$5:$O$1004,"&lt;&gt;Expired")&gt;0,"✓",IF(COUNTIFS('AFA Rates'!$A$5:$A$1004,$A851,'AFA Rates'!$B$5:$B$1004,J$23)&gt;0,"Exp","")))</f>
        <v/>
      </c>
      <c r="K851" s="79">
        <f>IF(OR($A851="",K$23=""),"",IF(COUNTIFS('AFA Rates'!$A$5:$A$1004,$A851,'AFA Rates'!$B$5:$B$1004,K$23,'AFA Rates'!$O$5:$O$1004,"&lt;&gt;Expired")&gt;0,"✓",IF(COUNTIFS('AFA Rates'!$A$5:$A$1004,$A851,'AFA Rates'!$B$5:$B$1004,K$23)&gt;0,"Exp","")))</f>
        <v/>
      </c>
      <c r="L851" s="79">
        <f>IF(OR($A851="",L$23=""),"",IF(COUNTIFS('AFA Rates'!$A$5:$A$1004,$A851,'AFA Rates'!$B$5:$B$1004,L$23,'AFA Rates'!$O$5:$O$1004,"&lt;&gt;Expired")&gt;0,"✓",IF(COUNTIFS('AFA Rates'!$A$5:$A$1004,$A851,'AFA Rates'!$B$5:$B$1004,L$23)&gt;0,"Exp","")))</f>
        <v/>
      </c>
      <c r="M851" s="79">
        <f>IF(OR($A851="",M$23=""),"",IF(COUNTIFS('AFA Rates'!$A$5:$A$1004,$A851,'AFA Rates'!$B$5:$B$1004,M$23,'AFA Rates'!$O$5:$O$1004,"&lt;&gt;Expired")&gt;0,"✓",IF(COUNTIFS('AFA Rates'!$A$5:$A$1004,$A851,'AFA Rates'!$B$5:$B$1004,M$23)&gt;0,"Exp","")))</f>
        <v/>
      </c>
    </row>
    <row r="852">
      <c r="A852" s="78">
        <f>IFERROR(INDEX(Firms!$A$5:$A$1004,MATCH(829,Firms!$V$5:$V$1004,0)),"")</f>
        <v/>
      </c>
      <c r="B852" s="79">
        <f>IF($A852="","",INDEX(Firms!$B$5:$B$1004,MATCH(829,Firms!$V$5:$V$1004,0)))</f>
        <v/>
      </c>
      <c r="C852" s="79">
        <f>IF($A852="","",COUNTIFS('AFA Rates'!$A$5:$A$1004,$A852,'AFA Rates'!$O$5:$O$1004,"&lt;&gt;Expired"))</f>
        <v/>
      </c>
      <c r="D852" s="79">
        <f>IF(OR($A852="",D$23=""),"",IF(COUNTIFS('AFA Rates'!$A$5:$A$1004,$A852,'AFA Rates'!$B$5:$B$1004,D$23,'AFA Rates'!$O$5:$O$1004,"&lt;&gt;Expired")&gt;0,"✓",IF(COUNTIFS('AFA Rates'!$A$5:$A$1004,$A852,'AFA Rates'!$B$5:$B$1004,D$23)&gt;0,"Exp","")))</f>
        <v/>
      </c>
      <c r="E852" s="79">
        <f>IF(OR($A852="",E$23=""),"",IF(COUNTIFS('AFA Rates'!$A$5:$A$1004,$A852,'AFA Rates'!$B$5:$B$1004,E$23,'AFA Rates'!$O$5:$O$1004,"&lt;&gt;Expired")&gt;0,"✓",IF(COUNTIFS('AFA Rates'!$A$5:$A$1004,$A852,'AFA Rates'!$B$5:$B$1004,E$23)&gt;0,"Exp","")))</f>
        <v/>
      </c>
      <c r="F852" s="79">
        <f>IF(OR($A852="",F$23=""),"",IF(COUNTIFS('AFA Rates'!$A$5:$A$1004,$A852,'AFA Rates'!$B$5:$B$1004,F$23,'AFA Rates'!$O$5:$O$1004,"&lt;&gt;Expired")&gt;0,"✓",IF(COUNTIFS('AFA Rates'!$A$5:$A$1004,$A852,'AFA Rates'!$B$5:$B$1004,F$23)&gt;0,"Exp","")))</f>
        <v/>
      </c>
      <c r="G852" s="79">
        <f>IF(OR($A852="",G$23=""),"",IF(COUNTIFS('AFA Rates'!$A$5:$A$1004,$A852,'AFA Rates'!$B$5:$B$1004,G$23,'AFA Rates'!$O$5:$O$1004,"&lt;&gt;Expired")&gt;0,"✓",IF(COUNTIFS('AFA Rates'!$A$5:$A$1004,$A852,'AFA Rates'!$B$5:$B$1004,G$23)&gt;0,"Exp","")))</f>
        <v/>
      </c>
      <c r="H852" s="79">
        <f>IF(OR($A852="",H$23=""),"",IF(COUNTIFS('AFA Rates'!$A$5:$A$1004,$A852,'AFA Rates'!$B$5:$B$1004,H$23,'AFA Rates'!$O$5:$O$1004,"&lt;&gt;Expired")&gt;0,"✓",IF(COUNTIFS('AFA Rates'!$A$5:$A$1004,$A852,'AFA Rates'!$B$5:$B$1004,H$23)&gt;0,"Exp","")))</f>
        <v/>
      </c>
      <c r="I852" s="79">
        <f>IF(OR($A852="",I$23=""),"",IF(COUNTIFS('AFA Rates'!$A$5:$A$1004,$A852,'AFA Rates'!$B$5:$B$1004,I$23,'AFA Rates'!$O$5:$O$1004,"&lt;&gt;Expired")&gt;0,"✓",IF(COUNTIFS('AFA Rates'!$A$5:$A$1004,$A852,'AFA Rates'!$B$5:$B$1004,I$23)&gt;0,"Exp","")))</f>
        <v/>
      </c>
      <c r="J852" s="79">
        <f>IF(OR($A852="",J$23=""),"",IF(COUNTIFS('AFA Rates'!$A$5:$A$1004,$A852,'AFA Rates'!$B$5:$B$1004,J$23,'AFA Rates'!$O$5:$O$1004,"&lt;&gt;Expired")&gt;0,"✓",IF(COUNTIFS('AFA Rates'!$A$5:$A$1004,$A852,'AFA Rates'!$B$5:$B$1004,J$23)&gt;0,"Exp","")))</f>
        <v/>
      </c>
      <c r="K852" s="79">
        <f>IF(OR($A852="",K$23=""),"",IF(COUNTIFS('AFA Rates'!$A$5:$A$1004,$A852,'AFA Rates'!$B$5:$B$1004,K$23,'AFA Rates'!$O$5:$O$1004,"&lt;&gt;Expired")&gt;0,"✓",IF(COUNTIFS('AFA Rates'!$A$5:$A$1004,$A852,'AFA Rates'!$B$5:$B$1004,K$23)&gt;0,"Exp","")))</f>
        <v/>
      </c>
      <c r="L852" s="79">
        <f>IF(OR($A852="",L$23=""),"",IF(COUNTIFS('AFA Rates'!$A$5:$A$1004,$A852,'AFA Rates'!$B$5:$B$1004,L$23,'AFA Rates'!$O$5:$O$1004,"&lt;&gt;Expired")&gt;0,"✓",IF(COUNTIFS('AFA Rates'!$A$5:$A$1004,$A852,'AFA Rates'!$B$5:$B$1004,L$23)&gt;0,"Exp","")))</f>
        <v/>
      </c>
      <c r="M852" s="79">
        <f>IF(OR($A852="",M$23=""),"",IF(COUNTIFS('AFA Rates'!$A$5:$A$1004,$A852,'AFA Rates'!$B$5:$B$1004,M$23,'AFA Rates'!$O$5:$O$1004,"&lt;&gt;Expired")&gt;0,"✓",IF(COUNTIFS('AFA Rates'!$A$5:$A$1004,$A852,'AFA Rates'!$B$5:$B$1004,M$23)&gt;0,"Exp","")))</f>
        <v/>
      </c>
    </row>
    <row r="853">
      <c r="A853" s="78">
        <f>IFERROR(INDEX(Firms!$A$5:$A$1004,MATCH(830,Firms!$V$5:$V$1004,0)),"")</f>
        <v/>
      </c>
      <c r="B853" s="79">
        <f>IF($A853="","",INDEX(Firms!$B$5:$B$1004,MATCH(830,Firms!$V$5:$V$1004,0)))</f>
        <v/>
      </c>
      <c r="C853" s="79">
        <f>IF($A853="","",COUNTIFS('AFA Rates'!$A$5:$A$1004,$A853,'AFA Rates'!$O$5:$O$1004,"&lt;&gt;Expired"))</f>
        <v/>
      </c>
      <c r="D853" s="79">
        <f>IF(OR($A853="",D$23=""),"",IF(COUNTIFS('AFA Rates'!$A$5:$A$1004,$A853,'AFA Rates'!$B$5:$B$1004,D$23,'AFA Rates'!$O$5:$O$1004,"&lt;&gt;Expired")&gt;0,"✓",IF(COUNTIFS('AFA Rates'!$A$5:$A$1004,$A853,'AFA Rates'!$B$5:$B$1004,D$23)&gt;0,"Exp","")))</f>
        <v/>
      </c>
      <c r="E853" s="79">
        <f>IF(OR($A853="",E$23=""),"",IF(COUNTIFS('AFA Rates'!$A$5:$A$1004,$A853,'AFA Rates'!$B$5:$B$1004,E$23,'AFA Rates'!$O$5:$O$1004,"&lt;&gt;Expired")&gt;0,"✓",IF(COUNTIFS('AFA Rates'!$A$5:$A$1004,$A853,'AFA Rates'!$B$5:$B$1004,E$23)&gt;0,"Exp","")))</f>
        <v/>
      </c>
      <c r="F853" s="79">
        <f>IF(OR($A853="",F$23=""),"",IF(COUNTIFS('AFA Rates'!$A$5:$A$1004,$A853,'AFA Rates'!$B$5:$B$1004,F$23,'AFA Rates'!$O$5:$O$1004,"&lt;&gt;Expired")&gt;0,"✓",IF(COUNTIFS('AFA Rates'!$A$5:$A$1004,$A853,'AFA Rates'!$B$5:$B$1004,F$23)&gt;0,"Exp","")))</f>
        <v/>
      </c>
      <c r="G853" s="79">
        <f>IF(OR($A853="",G$23=""),"",IF(COUNTIFS('AFA Rates'!$A$5:$A$1004,$A853,'AFA Rates'!$B$5:$B$1004,G$23,'AFA Rates'!$O$5:$O$1004,"&lt;&gt;Expired")&gt;0,"✓",IF(COUNTIFS('AFA Rates'!$A$5:$A$1004,$A853,'AFA Rates'!$B$5:$B$1004,G$23)&gt;0,"Exp","")))</f>
        <v/>
      </c>
      <c r="H853" s="79">
        <f>IF(OR($A853="",H$23=""),"",IF(COUNTIFS('AFA Rates'!$A$5:$A$1004,$A853,'AFA Rates'!$B$5:$B$1004,H$23,'AFA Rates'!$O$5:$O$1004,"&lt;&gt;Expired")&gt;0,"✓",IF(COUNTIFS('AFA Rates'!$A$5:$A$1004,$A853,'AFA Rates'!$B$5:$B$1004,H$23)&gt;0,"Exp","")))</f>
        <v/>
      </c>
      <c r="I853" s="79">
        <f>IF(OR($A853="",I$23=""),"",IF(COUNTIFS('AFA Rates'!$A$5:$A$1004,$A853,'AFA Rates'!$B$5:$B$1004,I$23,'AFA Rates'!$O$5:$O$1004,"&lt;&gt;Expired")&gt;0,"✓",IF(COUNTIFS('AFA Rates'!$A$5:$A$1004,$A853,'AFA Rates'!$B$5:$B$1004,I$23)&gt;0,"Exp","")))</f>
        <v/>
      </c>
      <c r="J853" s="79">
        <f>IF(OR($A853="",J$23=""),"",IF(COUNTIFS('AFA Rates'!$A$5:$A$1004,$A853,'AFA Rates'!$B$5:$B$1004,J$23,'AFA Rates'!$O$5:$O$1004,"&lt;&gt;Expired")&gt;0,"✓",IF(COUNTIFS('AFA Rates'!$A$5:$A$1004,$A853,'AFA Rates'!$B$5:$B$1004,J$23)&gt;0,"Exp","")))</f>
        <v/>
      </c>
      <c r="K853" s="79">
        <f>IF(OR($A853="",K$23=""),"",IF(COUNTIFS('AFA Rates'!$A$5:$A$1004,$A853,'AFA Rates'!$B$5:$B$1004,K$23,'AFA Rates'!$O$5:$O$1004,"&lt;&gt;Expired")&gt;0,"✓",IF(COUNTIFS('AFA Rates'!$A$5:$A$1004,$A853,'AFA Rates'!$B$5:$B$1004,K$23)&gt;0,"Exp","")))</f>
        <v/>
      </c>
      <c r="L853" s="79">
        <f>IF(OR($A853="",L$23=""),"",IF(COUNTIFS('AFA Rates'!$A$5:$A$1004,$A853,'AFA Rates'!$B$5:$B$1004,L$23,'AFA Rates'!$O$5:$O$1004,"&lt;&gt;Expired")&gt;0,"✓",IF(COUNTIFS('AFA Rates'!$A$5:$A$1004,$A853,'AFA Rates'!$B$5:$B$1004,L$23)&gt;0,"Exp","")))</f>
        <v/>
      </c>
      <c r="M853" s="79">
        <f>IF(OR($A853="",M$23=""),"",IF(COUNTIFS('AFA Rates'!$A$5:$A$1004,$A853,'AFA Rates'!$B$5:$B$1004,M$23,'AFA Rates'!$O$5:$O$1004,"&lt;&gt;Expired")&gt;0,"✓",IF(COUNTIFS('AFA Rates'!$A$5:$A$1004,$A853,'AFA Rates'!$B$5:$B$1004,M$23)&gt;0,"Exp","")))</f>
        <v/>
      </c>
    </row>
    <row r="854">
      <c r="A854" s="78">
        <f>IFERROR(INDEX(Firms!$A$5:$A$1004,MATCH(831,Firms!$V$5:$V$1004,0)),"")</f>
        <v/>
      </c>
      <c r="B854" s="79">
        <f>IF($A854="","",INDEX(Firms!$B$5:$B$1004,MATCH(831,Firms!$V$5:$V$1004,0)))</f>
        <v/>
      </c>
      <c r="C854" s="79">
        <f>IF($A854="","",COUNTIFS('AFA Rates'!$A$5:$A$1004,$A854,'AFA Rates'!$O$5:$O$1004,"&lt;&gt;Expired"))</f>
        <v/>
      </c>
      <c r="D854" s="79">
        <f>IF(OR($A854="",D$23=""),"",IF(COUNTIFS('AFA Rates'!$A$5:$A$1004,$A854,'AFA Rates'!$B$5:$B$1004,D$23,'AFA Rates'!$O$5:$O$1004,"&lt;&gt;Expired")&gt;0,"✓",IF(COUNTIFS('AFA Rates'!$A$5:$A$1004,$A854,'AFA Rates'!$B$5:$B$1004,D$23)&gt;0,"Exp","")))</f>
        <v/>
      </c>
      <c r="E854" s="79">
        <f>IF(OR($A854="",E$23=""),"",IF(COUNTIFS('AFA Rates'!$A$5:$A$1004,$A854,'AFA Rates'!$B$5:$B$1004,E$23,'AFA Rates'!$O$5:$O$1004,"&lt;&gt;Expired")&gt;0,"✓",IF(COUNTIFS('AFA Rates'!$A$5:$A$1004,$A854,'AFA Rates'!$B$5:$B$1004,E$23)&gt;0,"Exp","")))</f>
        <v/>
      </c>
      <c r="F854" s="79">
        <f>IF(OR($A854="",F$23=""),"",IF(COUNTIFS('AFA Rates'!$A$5:$A$1004,$A854,'AFA Rates'!$B$5:$B$1004,F$23,'AFA Rates'!$O$5:$O$1004,"&lt;&gt;Expired")&gt;0,"✓",IF(COUNTIFS('AFA Rates'!$A$5:$A$1004,$A854,'AFA Rates'!$B$5:$B$1004,F$23)&gt;0,"Exp","")))</f>
        <v/>
      </c>
      <c r="G854" s="79">
        <f>IF(OR($A854="",G$23=""),"",IF(COUNTIFS('AFA Rates'!$A$5:$A$1004,$A854,'AFA Rates'!$B$5:$B$1004,G$23,'AFA Rates'!$O$5:$O$1004,"&lt;&gt;Expired")&gt;0,"✓",IF(COUNTIFS('AFA Rates'!$A$5:$A$1004,$A854,'AFA Rates'!$B$5:$B$1004,G$23)&gt;0,"Exp","")))</f>
        <v/>
      </c>
      <c r="H854" s="79">
        <f>IF(OR($A854="",H$23=""),"",IF(COUNTIFS('AFA Rates'!$A$5:$A$1004,$A854,'AFA Rates'!$B$5:$B$1004,H$23,'AFA Rates'!$O$5:$O$1004,"&lt;&gt;Expired")&gt;0,"✓",IF(COUNTIFS('AFA Rates'!$A$5:$A$1004,$A854,'AFA Rates'!$B$5:$B$1004,H$23)&gt;0,"Exp","")))</f>
        <v/>
      </c>
      <c r="I854" s="79">
        <f>IF(OR($A854="",I$23=""),"",IF(COUNTIFS('AFA Rates'!$A$5:$A$1004,$A854,'AFA Rates'!$B$5:$B$1004,I$23,'AFA Rates'!$O$5:$O$1004,"&lt;&gt;Expired")&gt;0,"✓",IF(COUNTIFS('AFA Rates'!$A$5:$A$1004,$A854,'AFA Rates'!$B$5:$B$1004,I$23)&gt;0,"Exp","")))</f>
        <v/>
      </c>
      <c r="J854" s="79">
        <f>IF(OR($A854="",J$23=""),"",IF(COUNTIFS('AFA Rates'!$A$5:$A$1004,$A854,'AFA Rates'!$B$5:$B$1004,J$23,'AFA Rates'!$O$5:$O$1004,"&lt;&gt;Expired")&gt;0,"✓",IF(COUNTIFS('AFA Rates'!$A$5:$A$1004,$A854,'AFA Rates'!$B$5:$B$1004,J$23)&gt;0,"Exp","")))</f>
        <v/>
      </c>
      <c r="K854" s="79">
        <f>IF(OR($A854="",K$23=""),"",IF(COUNTIFS('AFA Rates'!$A$5:$A$1004,$A854,'AFA Rates'!$B$5:$B$1004,K$23,'AFA Rates'!$O$5:$O$1004,"&lt;&gt;Expired")&gt;0,"✓",IF(COUNTIFS('AFA Rates'!$A$5:$A$1004,$A854,'AFA Rates'!$B$5:$B$1004,K$23)&gt;0,"Exp","")))</f>
        <v/>
      </c>
      <c r="L854" s="79">
        <f>IF(OR($A854="",L$23=""),"",IF(COUNTIFS('AFA Rates'!$A$5:$A$1004,$A854,'AFA Rates'!$B$5:$B$1004,L$23,'AFA Rates'!$O$5:$O$1004,"&lt;&gt;Expired")&gt;0,"✓",IF(COUNTIFS('AFA Rates'!$A$5:$A$1004,$A854,'AFA Rates'!$B$5:$B$1004,L$23)&gt;0,"Exp","")))</f>
        <v/>
      </c>
      <c r="M854" s="79">
        <f>IF(OR($A854="",M$23=""),"",IF(COUNTIFS('AFA Rates'!$A$5:$A$1004,$A854,'AFA Rates'!$B$5:$B$1004,M$23,'AFA Rates'!$O$5:$O$1004,"&lt;&gt;Expired")&gt;0,"✓",IF(COUNTIFS('AFA Rates'!$A$5:$A$1004,$A854,'AFA Rates'!$B$5:$B$1004,M$23)&gt;0,"Exp","")))</f>
        <v/>
      </c>
    </row>
    <row r="855">
      <c r="A855" s="78">
        <f>IFERROR(INDEX(Firms!$A$5:$A$1004,MATCH(832,Firms!$V$5:$V$1004,0)),"")</f>
        <v/>
      </c>
      <c r="B855" s="79">
        <f>IF($A855="","",INDEX(Firms!$B$5:$B$1004,MATCH(832,Firms!$V$5:$V$1004,0)))</f>
        <v/>
      </c>
      <c r="C855" s="79">
        <f>IF($A855="","",COUNTIFS('AFA Rates'!$A$5:$A$1004,$A855,'AFA Rates'!$O$5:$O$1004,"&lt;&gt;Expired"))</f>
        <v/>
      </c>
      <c r="D855" s="79">
        <f>IF(OR($A855="",D$23=""),"",IF(COUNTIFS('AFA Rates'!$A$5:$A$1004,$A855,'AFA Rates'!$B$5:$B$1004,D$23,'AFA Rates'!$O$5:$O$1004,"&lt;&gt;Expired")&gt;0,"✓",IF(COUNTIFS('AFA Rates'!$A$5:$A$1004,$A855,'AFA Rates'!$B$5:$B$1004,D$23)&gt;0,"Exp","")))</f>
        <v/>
      </c>
      <c r="E855" s="79">
        <f>IF(OR($A855="",E$23=""),"",IF(COUNTIFS('AFA Rates'!$A$5:$A$1004,$A855,'AFA Rates'!$B$5:$B$1004,E$23,'AFA Rates'!$O$5:$O$1004,"&lt;&gt;Expired")&gt;0,"✓",IF(COUNTIFS('AFA Rates'!$A$5:$A$1004,$A855,'AFA Rates'!$B$5:$B$1004,E$23)&gt;0,"Exp","")))</f>
        <v/>
      </c>
      <c r="F855" s="79">
        <f>IF(OR($A855="",F$23=""),"",IF(COUNTIFS('AFA Rates'!$A$5:$A$1004,$A855,'AFA Rates'!$B$5:$B$1004,F$23,'AFA Rates'!$O$5:$O$1004,"&lt;&gt;Expired")&gt;0,"✓",IF(COUNTIFS('AFA Rates'!$A$5:$A$1004,$A855,'AFA Rates'!$B$5:$B$1004,F$23)&gt;0,"Exp","")))</f>
        <v/>
      </c>
      <c r="G855" s="79">
        <f>IF(OR($A855="",G$23=""),"",IF(COUNTIFS('AFA Rates'!$A$5:$A$1004,$A855,'AFA Rates'!$B$5:$B$1004,G$23,'AFA Rates'!$O$5:$O$1004,"&lt;&gt;Expired")&gt;0,"✓",IF(COUNTIFS('AFA Rates'!$A$5:$A$1004,$A855,'AFA Rates'!$B$5:$B$1004,G$23)&gt;0,"Exp","")))</f>
        <v/>
      </c>
      <c r="H855" s="79">
        <f>IF(OR($A855="",H$23=""),"",IF(COUNTIFS('AFA Rates'!$A$5:$A$1004,$A855,'AFA Rates'!$B$5:$B$1004,H$23,'AFA Rates'!$O$5:$O$1004,"&lt;&gt;Expired")&gt;0,"✓",IF(COUNTIFS('AFA Rates'!$A$5:$A$1004,$A855,'AFA Rates'!$B$5:$B$1004,H$23)&gt;0,"Exp","")))</f>
        <v/>
      </c>
      <c r="I855" s="79">
        <f>IF(OR($A855="",I$23=""),"",IF(COUNTIFS('AFA Rates'!$A$5:$A$1004,$A855,'AFA Rates'!$B$5:$B$1004,I$23,'AFA Rates'!$O$5:$O$1004,"&lt;&gt;Expired")&gt;0,"✓",IF(COUNTIFS('AFA Rates'!$A$5:$A$1004,$A855,'AFA Rates'!$B$5:$B$1004,I$23)&gt;0,"Exp","")))</f>
        <v/>
      </c>
      <c r="J855" s="79">
        <f>IF(OR($A855="",J$23=""),"",IF(COUNTIFS('AFA Rates'!$A$5:$A$1004,$A855,'AFA Rates'!$B$5:$B$1004,J$23,'AFA Rates'!$O$5:$O$1004,"&lt;&gt;Expired")&gt;0,"✓",IF(COUNTIFS('AFA Rates'!$A$5:$A$1004,$A855,'AFA Rates'!$B$5:$B$1004,J$23)&gt;0,"Exp","")))</f>
        <v/>
      </c>
      <c r="K855" s="79">
        <f>IF(OR($A855="",K$23=""),"",IF(COUNTIFS('AFA Rates'!$A$5:$A$1004,$A855,'AFA Rates'!$B$5:$B$1004,K$23,'AFA Rates'!$O$5:$O$1004,"&lt;&gt;Expired")&gt;0,"✓",IF(COUNTIFS('AFA Rates'!$A$5:$A$1004,$A855,'AFA Rates'!$B$5:$B$1004,K$23)&gt;0,"Exp","")))</f>
        <v/>
      </c>
      <c r="L855" s="79">
        <f>IF(OR($A855="",L$23=""),"",IF(COUNTIFS('AFA Rates'!$A$5:$A$1004,$A855,'AFA Rates'!$B$5:$B$1004,L$23,'AFA Rates'!$O$5:$O$1004,"&lt;&gt;Expired")&gt;0,"✓",IF(COUNTIFS('AFA Rates'!$A$5:$A$1004,$A855,'AFA Rates'!$B$5:$B$1004,L$23)&gt;0,"Exp","")))</f>
        <v/>
      </c>
      <c r="M855" s="79">
        <f>IF(OR($A855="",M$23=""),"",IF(COUNTIFS('AFA Rates'!$A$5:$A$1004,$A855,'AFA Rates'!$B$5:$B$1004,M$23,'AFA Rates'!$O$5:$O$1004,"&lt;&gt;Expired")&gt;0,"✓",IF(COUNTIFS('AFA Rates'!$A$5:$A$1004,$A855,'AFA Rates'!$B$5:$B$1004,M$23)&gt;0,"Exp","")))</f>
        <v/>
      </c>
    </row>
    <row r="856">
      <c r="A856" s="78">
        <f>IFERROR(INDEX(Firms!$A$5:$A$1004,MATCH(833,Firms!$V$5:$V$1004,0)),"")</f>
        <v/>
      </c>
      <c r="B856" s="79">
        <f>IF($A856="","",INDEX(Firms!$B$5:$B$1004,MATCH(833,Firms!$V$5:$V$1004,0)))</f>
        <v/>
      </c>
      <c r="C856" s="79">
        <f>IF($A856="","",COUNTIFS('AFA Rates'!$A$5:$A$1004,$A856,'AFA Rates'!$O$5:$O$1004,"&lt;&gt;Expired"))</f>
        <v/>
      </c>
      <c r="D856" s="79">
        <f>IF(OR($A856="",D$23=""),"",IF(COUNTIFS('AFA Rates'!$A$5:$A$1004,$A856,'AFA Rates'!$B$5:$B$1004,D$23,'AFA Rates'!$O$5:$O$1004,"&lt;&gt;Expired")&gt;0,"✓",IF(COUNTIFS('AFA Rates'!$A$5:$A$1004,$A856,'AFA Rates'!$B$5:$B$1004,D$23)&gt;0,"Exp","")))</f>
        <v/>
      </c>
      <c r="E856" s="79">
        <f>IF(OR($A856="",E$23=""),"",IF(COUNTIFS('AFA Rates'!$A$5:$A$1004,$A856,'AFA Rates'!$B$5:$B$1004,E$23,'AFA Rates'!$O$5:$O$1004,"&lt;&gt;Expired")&gt;0,"✓",IF(COUNTIFS('AFA Rates'!$A$5:$A$1004,$A856,'AFA Rates'!$B$5:$B$1004,E$23)&gt;0,"Exp","")))</f>
        <v/>
      </c>
      <c r="F856" s="79">
        <f>IF(OR($A856="",F$23=""),"",IF(COUNTIFS('AFA Rates'!$A$5:$A$1004,$A856,'AFA Rates'!$B$5:$B$1004,F$23,'AFA Rates'!$O$5:$O$1004,"&lt;&gt;Expired")&gt;0,"✓",IF(COUNTIFS('AFA Rates'!$A$5:$A$1004,$A856,'AFA Rates'!$B$5:$B$1004,F$23)&gt;0,"Exp","")))</f>
        <v/>
      </c>
      <c r="G856" s="79">
        <f>IF(OR($A856="",G$23=""),"",IF(COUNTIFS('AFA Rates'!$A$5:$A$1004,$A856,'AFA Rates'!$B$5:$B$1004,G$23,'AFA Rates'!$O$5:$O$1004,"&lt;&gt;Expired")&gt;0,"✓",IF(COUNTIFS('AFA Rates'!$A$5:$A$1004,$A856,'AFA Rates'!$B$5:$B$1004,G$23)&gt;0,"Exp","")))</f>
        <v/>
      </c>
      <c r="H856" s="79">
        <f>IF(OR($A856="",H$23=""),"",IF(COUNTIFS('AFA Rates'!$A$5:$A$1004,$A856,'AFA Rates'!$B$5:$B$1004,H$23,'AFA Rates'!$O$5:$O$1004,"&lt;&gt;Expired")&gt;0,"✓",IF(COUNTIFS('AFA Rates'!$A$5:$A$1004,$A856,'AFA Rates'!$B$5:$B$1004,H$23)&gt;0,"Exp","")))</f>
        <v/>
      </c>
      <c r="I856" s="79">
        <f>IF(OR($A856="",I$23=""),"",IF(COUNTIFS('AFA Rates'!$A$5:$A$1004,$A856,'AFA Rates'!$B$5:$B$1004,I$23,'AFA Rates'!$O$5:$O$1004,"&lt;&gt;Expired")&gt;0,"✓",IF(COUNTIFS('AFA Rates'!$A$5:$A$1004,$A856,'AFA Rates'!$B$5:$B$1004,I$23)&gt;0,"Exp","")))</f>
        <v/>
      </c>
      <c r="J856" s="79">
        <f>IF(OR($A856="",J$23=""),"",IF(COUNTIFS('AFA Rates'!$A$5:$A$1004,$A856,'AFA Rates'!$B$5:$B$1004,J$23,'AFA Rates'!$O$5:$O$1004,"&lt;&gt;Expired")&gt;0,"✓",IF(COUNTIFS('AFA Rates'!$A$5:$A$1004,$A856,'AFA Rates'!$B$5:$B$1004,J$23)&gt;0,"Exp","")))</f>
        <v/>
      </c>
      <c r="K856" s="79">
        <f>IF(OR($A856="",K$23=""),"",IF(COUNTIFS('AFA Rates'!$A$5:$A$1004,$A856,'AFA Rates'!$B$5:$B$1004,K$23,'AFA Rates'!$O$5:$O$1004,"&lt;&gt;Expired")&gt;0,"✓",IF(COUNTIFS('AFA Rates'!$A$5:$A$1004,$A856,'AFA Rates'!$B$5:$B$1004,K$23)&gt;0,"Exp","")))</f>
        <v/>
      </c>
      <c r="L856" s="79">
        <f>IF(OR($A856="",L$23=""),"",IF(COUNTIFS('AFA Rates'!$A$5:$A$1004,$A856,'AFA Rates'!$B$5:$B$1004,L$23,'AFA Rates'!$O$5:$O$1004,"&lt;&gt;Expired")&gt;0,"✓",IF(COUNTIFS('AFA Rates'!$A$5:$A$1004,$A856,'AFA Rates'!$B$5:$B$1004,L$23)&gt;0,"Exp","")))</f>
        <v/>
      </c>
      <c r="M856" s="79">
        <f>IF(OR($A856="",M$23=""),"",IF(COUNTIFS('AFA Rates'!$A$5:$A$1004,$A856,'AFA Rates'!$B$5:$B$1004,M$23,'AFA Rates'!$O$5:$O$1004,"&lt;&gt;Expired")&gt;0,"✓",IF(COUNTIFS('AFA Rates'!$A$5:$A$1004,$A856,'AFA Rates'!$B$5:$B$1004,M$23)&gt;0,"Exp","")))</f>
        <v/>
      </c>
    </row>
    <row r="857">
      <c r="A857" s="78">
        <f>IFERROR(INDEX(Firms!$A$5:$A$1004,MATCH(834,Firms!$V$5:$V$1004,0)),"")</f>
        <v/>
      </c>
      <c r="B857" s="79">
        <f>IF($A857="","",INDEX(Firms!$B$5:$B$1004,MATCH(834,Firms!$V$5:$V$1004,0)))</f>
        <v/>
      </c>
      <c r="C857" s="79">
        <f>IF($A857="","",COUNTIFS('AFA Rates'!$A$5:$A$1004,$A857,'AFA Rates'!$O$5:$O$1004,"&lt;&gt;Expired"))</f>
        <v/>
      </c>
      <c r="D857" s="79">
        <f>IF(OR($A857="",D$23=""),"",IF(COUNTIFS('AFA Rates'!$A$5:$A$1004,$A857,'AFA Rates'!$B$5:$B$1004,D$23,'AFA Rates'!$O$5:$O$1004,"&lt;&gt;Expired")&gt;0,"✓",IF(COUNTIFS('AFA Rates'!$A$5:$A$1004,$A857,'AFA Rates'!$B$5:$B$1004,D$23)&gt;0,"Exp","")))</f>
        <v/>
      </c>
      <c r="E857" s="79">
        <f>IF(OR($A857="",E$23=""),"",IF(COUNTIFS('AFA Rates'!$A$5:$A$1004,$A857,'AFA Rates'!$B$5:$B$1004,E$23,'AFA Rates'!$O$5:$O$1004,"&lt;&gt;Expired")&gt;0,"✓",IF(COUNTIFS('AFA Rates'!$A$5:$A$1004,$A857,'AFA Rates'!$B$5:$B$1004,E$23)&gt;0,"Exp","")))</f>
        <v/>
      </c>
      <c r="F857" s="79">
        <f>IF(OR($A857="",F$23=""),"",IF(COUNTIFS('AFA Rates'!$A$5:$A$1004,$A857,'AFA Rates'!$B$5:$B$1004,F$23,'AFA Rates'!$O$5:$O$1004,"&lt;&gt;Expired")&gt;0,"✓",IF(COUNTIFS('AFA Rates'!$A$5:$A$1004,$A857,'AFA Rates'!$B$5:$B$1004,F$23)&gt;0,"Exp","")))</f>
        <v/>
      </c>
      <c r="G857" s="79">
        <f>IF(OR($A857="",G$23=""),"",IF(COUNTIFS('AFA Rates'!$A$5:$A$1004,$A857,'AFA Rates'!$B$5:$B$1004,G$23,'AFA Rates'!$O$5:$O$1004,"&lt;&gt;Expired")&gt;0,"✓",IF(COUNTIFS('AFA Rates'!$A$5:$A$1004,$A857,'AFA Rates'!$B$5:$B$1004,G$23)&gt;0,"Exp","")))</f>
        <v/>
      </c>
      <c r="H857" s="79">
        <f>IF(OR($A857="",H$23=""),"",IF(COUNTIFS('AFA Rates'!$A$5:$A$1004,$A857,'AFA Rates'!$B$5:$B$1004,H$23,'AFA Rates'!$O$5:$O$1004,"&lt;&gt;Expired")&gt;0,"✓",IF(COUNTIFS('AFA Rates'!$A$5:$A$1004,$A857,'AFA Rates'!$B$5:$B$1004,H$23)&gt;0,"Exp","")))</f>
        <v/>
      </c>
      <c r="I857" s="79">
        <f>IF(OR($A857="",I$23=""),"",IF(COUNTIFS('AFA Rates'!$A$5:$A$1004,$A857,'AFA Rates'!$B$5:$B$1004,I$23,'AFA Rates'!$O$5:$O$1004,"&lt;&gt;Expired")&gt;0,"✓",IF(COUNTIFS('AFA Rates'!$A$5:$A$1004,$A857,'AFA Rates'!$B$5:$B$1004,I$23)&gt;0,"Exp","")))</f>
        <v/>
      </c>
      <c r="J857" s="79">
        <f>IF(OR($A857="",J$23=""),"",IF(COUNTIFS('AFA Rates'!$A$5:$A$1004,$A857,'AFA Rates'!$B$5:$B$1004,J$23,'AFA Rates'!$O$5:$O$1004,"&lt;&gt;Expired")&gt;0,"✓",IF(COUNTIFS('AFA Rates'!$A$5:$A$1004,$A857,'AFA Rates'!$B$5:$B$1004,J$23)&gt;0,"Exp","")))</f>
        <v/>
      </c>
      <c r="K857" s="79">
        <f>IF(OR($A857="",K$23=""),"",IF(COUNTIFS('AFA Rates'!$A$5:$A$1004,$A857,'AFA Rates'!$B$5:$B$1004,K$23,'AFA Rates'!$O$5:$O$1004,"&lt;&gt;Expired")&gt;0,"✓",IF(COUNTIFS('AFA Rates'!$A$5:$A$1004,$A857,'AFA Rates'!$B$5:$B$1004,K$23)&gt;0,"Exp","")))</f>
        <v/>
      </c>
      <c r="L857" s="79">
        <f>IF(OR($A857="",L$23=""),"",IF(COUNTIFS('AFA Rates'!$A$5:$A$1004,$A857,'AFA Rates'!$B$5:$B$1004,L$23,'AFA Rates'!$O$5:$O$1004,"&lt;&gt;Expired")&gt;0,"✓",IF(COUNTIFS('AFA Rates'!$A$5:$A$1004,$A857,'AFA Rates'!$B$5:$B$1004,L$23)&gt;0,"Exp","")))</f>
        <v/>
      </c>
      <c r="M857" s="79">
        <f>IF(OR($A857="",M$23=""),"",IF(COUNTIFS('AFA Rates'!$A$5:$A$1004,$A857,'AFA Rates'!$B$5:$B$1004,M$23,'AFA Rates'!$O$5:$O$1004,"&lt;&gt;Expired")&gt;0,"✓",IF(COUNTIFS('AFA Rates'!$A$5:$A$1004,$A857,'AFA Rates'!$B$5:$B$1004,M$23)&gt;0,"Exp","")))</f>
        <v/>
      </c>
    </row>
    <row r="858">
      <c r="A858" s="78">
        <f>IFERROR(INDEX(Firms!$A$5:$A$1004,MATCH(835,Firms!$V$5:$V$1004,0)),"")</f>
        <v/>
      </c>
      <c r="B858" s="79">
        <f>IF($A858="","",INDEX(Firms!$B$5:$B$1004,MATCH(835,Firms!$V$5:$V$1004,0)))</f>
        <v/>
      </c>
      <c r="C858" s="79">
        <f>IF($A858="","",COUNTIFS('AFA Rates'!$A$5:$A$1004,$A858,'AFA Rates'!$O$5:$O$1004,"&lt;&gt;Expired"))</f>
        <v/>
      </c>
      <c r="D858" s="79">
        <f>IF(OR($A858="",D$23=""),"",IF(COUNTIFS('AFA Rates'!$A$5:$A$1004,$A858,'AFA Rates'!$B$5:$B$1004,D$23,'AFA Rates'!$O$5:$O$1004,"&lt;&gt;Expired")&gt;0,"✓",IF(COUNTIFS('AFA Rates'!$A$5:$A$1004,$A858,'AFA Rates'!$B$5:$B$1004,D$23)&gt;0,"Exp","")))</f>
        <v/>
      </c>
      <c r="E858" s="79">
        <f>IF(OR($A858="",E$23=""),"",IF(COUNTIFS('AFA Rates'!$A$5:$A$1004,$A858,'AFA Rates'!$B$5:$B$1004,E$23,'AFA Rates'!$O$5:$O$1004,"&lt;&gt;Expired")&gt;0,"✓",IF(COUNTIFS('AFA Rates'!$A$5:$A$1004,$A858,'AFA Rates'!$B$5:$B$1004,E$23)&gt;0,"Exp","")))</f>
        <v/>
      </c>
      <c r="F858" s="79">
        <f>IF(OR($A858="",F$23=""),"",IF(COUNTIFS('AFA Rates'!$A$5:$A$1004,$A858,'AFA Rates'!$B$5:$B$1004,F$23,'AFA Rates'!$O$5:$O$1004,"&lt;&gt;Expired")&gt;0,"✓",IF(COUNTIFS('AFA Rates'!$A$5:$A$1004,$A858,'AFA Rates'!$B$5:$B$1004,F$23)&gt;0,"Exp","")))</f>
        <v/>
      </c>
      <c r="G858" s="79">
        <f>IF(OR($A858="",G$23=""),"",IF(COUNTIFS('AFA Rates'!$A$5:$A$1004,$A858,'AFA Rates'!$B$5:$B$1004,G$23,'AFA Rates'!$O$5:$O$1004,"&lt;&gt;Expired")&gt;0,"✓",IF(COUNTIFS('AFA Rates'!$A$5:$A$1004,$A858,'AFA Rates'!$B$5:$B$1004,G$23)&gt;0,"Exp","")))</f>
        <v/>
      </c>
      <c r="H858" s="79">
        <f>IF(OR($A858="",H$23=""),"",IF(COUNTIFS('AFA Rates'!$A$5:$A$1004,$A858,'AFA Rates'!$B$5:$B$1004,H$23,'AFA Rates'!$O$5:$O$1004,"&lt;&gt;Expired")&gt;0,"✓",IF(COUNTIFS('AFA Rates'!$A$5:$A$1004,$A858,'AFA Rates'!$B$5:$B$1004,H$23)&gt;0,"Exp","")))</f>
        <v/>
      </c>
      <c r="I858" s="79">
        <f>IF(OR($A858="",I$23=""),"",IF(COUNTIFS('AFA Rates'!$A$5:$A$1004,$A858,'AFA Rates'!$B$5:$B$1004,I$23,'AFA Rates'!$O$5:$O$1004,"&lt;&gt;Expired")&gt;0,"✓",IF(COUNTIFS('AFA Rates'!$A$5:$A$1004,$A858,'AFA Rates'!$B$5:$B$1004,I$23)&gt;0,"Exp","")))</f>
        <v/>
      </c>
      <c r="J858" s="79">
        <f>IF(OR($A858="",J$23=""),"",IF(COUNTIFS('AFA Rates'!$A$5:$A$1004,$A858,'AFA Rates'!$B$5:$B$1004,J$23,'AFA Rates'!$O$5:$O$1004,"&lt;&gt;Expired")&gt;0,"✓",IF(COUNTIFS('AFA Rates'!$A$5:$A$1004,$A858,'AFA Rates'!$B$5:$B$1004,J$23)&gt;0,"Exp","")))</f>
        <v/>
      </c>
      <c r="K858" s="79">
        <f>IF(OR($A858="",K$23=""),"",IF(COUNTIFS('AFA Rates'!$A$5:$A$1004,$A858,'AFA Rates'!$B$5:$B$1004,K$23,'AFA Rates'!$O$5:$O$1004,"&lt;&gt;Expired")&gt;0,"✓",IF(COUNTIFS('AFA Rates'!$A$5:$A$1004,$A858,'AFA Rates'!$B$5:$B$1004,K$23)&gt;0,"Exp","")))</f>
        <v/>
      </c>
      <c r="L858" s="79">
        <f>IF(OR($A858="",L$23=""),"",IF(COUNTIFS('AFA Rates'!$A$5:$A$1004,$A858,'AFA Rates'!$B$5:$B$1004,L$23,'AFA Rates'!$O$5:$O$1004,"&lt;&gt;Expired")&gt;0,"✓",IF(COUNTIFS('AFA Rates'!$A$5:$A$1004,$A858,'AFA Rates'!$B$5:$B$1004,L$23)&gt;0,"Exp","")))</f>
        <v/>
      </c>
      <c r="M858" s="79">
        <f>IF(OR($A858="",M$23=""),"",IF(COUNTIFS('AFA Rates'!$A$5:$A$1004,$A858,'AFA Rates'!$B$5:$B$1004,M$23,'AFA Rates'!$O$5:$O$1004,"&lt;&gt;Expired")&gt;0,"✓",IF(COUNTIFS('AFA Rates'!$A$5:$A$1004,$A858,'AFA Rates'!$B$5:$B$1004,M$23)&gt;0,"Exp","")))</f>
        <v/>
      </c>
    </row>
    <row r="859">
      <c r="A859" s="78">
        <f>IFERROR(INDEX(Firms!$A$5:$A$1004,MATCH(836,Firms!$V$5:$V$1004,0)),"")</f>
        <v/>
      </c>
      <c r="B859" s="79">
        <f>IF($A859="","",INDEX(Firms!$B$5:$B$1004,MATCH(836,Firms!$V$5:$V$1004,0)))</f>
        <v/>
      </c>
      <c r="C859" s="79">
        <f>IF($A859="","",COUNTIFS('AFA Rates'!$A$5:$A$1004,$A859,'AFA Rates'!$O$5:$O$1004,"&lt;&gt;Expired"))</f>
        <v/>
      </c>
      <c r="D859" s="79">
        <f>IF(OR($A859="",D$23=""),"",IF(COUNTIFS('AFA Rates'!$A$5:$A$1004,$A859,'AFA Rates'!$B$5:$B$1004,D$23,'AFA Rates'!$O$5:$O$1004,"&lt;&gt;Expired")&gt;0,"✓",IF(COUNTIFS('AFA Rates'!$A$5:$A$1004,$A859,'AFA Rates'!$B$5:$B$1004,D$23)&gt;0,"Exp","")))</f>
        <v/>
      </c>
      <c r="E859" s="79">
        <f>IF(OR($A859="",E$23=""),"",IF(COUNTIFS('AFA Rates'!$A$5:$A$1004,$A859,'AFA Rates'!$B$5:$B$1004,E$23,'AFA Rates'!$O$5:$O$1004,"&lt;&gt;Expired")&gt;0,"✓",IF(COUNTIFS('AFA Rates'!$A$5:$A$1004,$A859,'AFA Rates'!$B$5:$B$1004,E$23)&gt;0,"Exp","")))</f>
        <v/>
      </c>
      <c r="F859" s="79">
        <f>IF(OR($A859="",F$23=""),"",IF(COUNTIFS('AFA Rates'!$A$5:$A$1004,$A859,'AFA Rates'!$B$5:$B$1004,F$23,'AFA Rates'!$O$5:$O$1004,"&lt;&gt;Expired")&gt;0,"✓",IF(COUNTIFS('AFA Rates'!$A$5:$A$1004,$A859,'AFA Rates'!$B$5:$B$1004,F$23)&gt;0,"Exp","")))</f>
        <v/>
      </c>
      <c r="G859" s="79">
        <f>IF(OR($A859="",G$23=""),"",IF(COUNTIFS('AFA Rates'!$A$5:$A$1004,$A859,'AFA Rates'!$B$5:$B$1004,G$23,'AFA Rates'!$O$5:$O$1004,"&lt;&gt;Expired")&gt;0,"✓",IF(COUNTIFS('AFA Rates'!$A$5:$A$1004,$A859,'AFA Rates'!$B$5:$B$1004,G$23)&gt;0,"Exp","")))</f>
        <v/>
      </c>
      <c r="H859" s="79">
        <f>IF(OR($A859="",H$23=""),"",IF(COUNTIFS('AFA Rates'!$A$5:$A$1004,$A859,'AFA Rates'!$B$5:$B$1004,H$23,'AFA Rates'!$O$5:$O$1004,"&lt;&gt;Expired")&gt;0,"✓",IF(COUNTIFS('AFA Rates'!$A$5:$A$1004,$A859,'AFA Rates'!$B$5:$B$1004,H$23)&gt;0,"Exp","")))</f>
        <v/>
      </c>
      <c r="I859" s="79">
        <f>IF(OR($A859="",I$23=""),"",IF(COUNTIFS('AFA Rates'!$A$5:$A$1004,$A859,'AFA Rates'!$B$5:$B$1004,I$23,'AFA Rates'!$O$5:$O$1004,"&lt;&gt;Expired")&gt;0,"✓",IF(COUNTIFS('AFA Rates'!$A$5:$A$1004,$A859,'AFA Rates'!$B$5:$B$1004,I$23)&gt;0,"Exp","")))</f>
        <v/>
      </c>
      <c r="J859" s="79">
        <f>IF(OR($A859="",J$23=""),"",IF(COUNTIFS('AFA Rates'!$A$5:$A$1004,$A859,'AFA Rates'!$B$5:$B$1004,J$23,'AFA Rates'!$O$5:$O$1004,"&lt;&gt;Expired")&gt;0,"✓",IF(COUNTIFS('AFA Rates'!$A$5:$A$1004,$A859,'AFA Rates'!$B$5:$B$1004,J$23)&gt;0,"Exp","")))</f>
        <v/>
      </c>
      <c r="K859" s="79">
        <f>IF(OR($A859="",K$23=""),"",IF(COUNTIFS('AFA Rates'!$A$5:$A$1004,$A859,'AFA Rates'!$B$5:$B$1004,K$23,'AFA Rates'!$O$5:$O$1004,"&lt;&gt;Expired")&gt;0,"✓",IF(COUNTIFS('AFA Rates'!$A$5:$A$1004,$A859,'AFA Rates'!$B$5:$B$1004,K$23)&gt;0,"Exp","")))</f>
        <v/>
      </c>
      <c r="L859" s="79">
        <f>IF(OR($A859="",L$23=""),"",IF(COUNTIFS('AFA Rates'!$A$5:$A$1004,$A859,'AFA Rates'!$B$5:$B$1004,L$23,'AFA Rates'!$O$5:$O$1004,"&lt;&gt;Expired")&gt;0,"✓",IF(COUNTIFS('AFA Rates'!$A$5:$A$1004,$A859,'AFA Rates'!$B$5:$B$1004,L$23)&gt;0,"Exp","")))</f>
        <v/>
      </c>
      <c r="M859" s="79">
        <f>IF(OR($A859="",M$23=""),"",IF(COUNTIFS('AFA Rates'!$A$5:$A$1004,$A859,'AFA Rates'!$B$5:$B$1004,M$23,'AFA Rates'!$O$5:$O$1004,"&lt;&gt;Expired")&gt;0,"✓",IF(COUNTIFS('AFA Rates'!$A$5:$A$1004,$A859,'AFA Rates'!$B$5:$B$1004,M$23)&gt;0,"Exp","")))</f>
        <v/>
      </c>
    </row>
    <row r="860">
      <c r="A860" s="78">
        <f>IFERROR(INDEX(Firms!$A$5:$A$1004,MATCH(837,Firms!$V$5:$V$1004,0)),"")</f>
        <v/>
      </c>
      <c r="B860" s="79">
        <f>IF($A860="","",INDEX(Firms!$B$5:$B$1004,MATCH(837,Firms!$V$5:$V$1004,0)))</f>
        <v/>
      </c>
      <c r="C860" s="79">
        <f>IF($A860="","",COUNTIFS('AFA Rates'!$A$5:$A$1004,$A860,'AFA Rates'!$O$5:$O$1004,"&lt;&gt;Expired"))</f>
        <v/>
      </c>
      <c r="D860" s="79">
        <f>IF(OR($A860="",D$23=""),"",IF(COUNTIFS('AFA Rates'!$A$5:$A$1004,$A860,'AFA Rates'!$B$5:$B$1004,D$23,'AFA Rates'!$O$5:$O$1004,"&lt;&gt;Expired")&gt;0,"✓",IF(COUNTIFS('AFA Rates'!$A$5:$A$1004,$A860,'AFA Rates'!$B$5:$B$1004,D$23)&gt;0,"Exp","")))</f>
        <v/>
      </c>
      <c r="E860" s="79">
        <f>IF(OR($A860="",E$23=""),"",IF(COUNTIFS('AFA Rates'!$A$5:$A$1004,$A860,'AFA Rates'!$B$5:$B$1004,E$23,'AFA Rates'!$O$5:$O$1004,"&lt;&gt;Expired")&gt;0,"✓",IF(COUNTIFS('AFA Rates'!$A$5:$A$1004,$A860,'AFA Rates'!$B$5:$B$1004,E$23)&gt;0,"Exp","")))</f>
        <v/>
      </c>
      <c r="F860" s="79">
        <f>IF(OR($A860="",F$23=""),"",IF(COUNTIFS('AFA Rates'!$A$5:$A$1004,$A860,'AFA Rates'!$B$5:$B$1004,F$23,'AFA Rates'!$O$5:$O$1004,"&lt;&gt;Expired")&gt;0,"✓",IF(COUNTIFS('AFA Rates'!$A$5:$A$1004,$A860,'AFA Rates'!$B$5:$B$1004,F$23)&gt;0,"Exp","")))</f>
        <v/>
      </c>
      <c r="G860" s="79">
        <f>IF(OR($A860="",G$23=""),"",IF(COUNTIFS('AFA Rates'!$A$5:$A$1004,$A860,'AFA Rates'!$B$5:$B$1004,G$23,'AFA Rates'!$O$5:$O$1004,"&lt;&gt;Expired")&gt;0,"✓",IF(COUNTIFS('AFA Rates'!$A$5:$A$1004,$A860,'AFA Rates'!$B$5:$B$1004,G$23)&gt;0,"Exp","")))</f>
        <v/>
      </c>
      <c r="H860" s="79">
        <f>IF(OR($A860="",H$23=""),"",IF(COUNTIFS('AFA Rates'!$A$5:$A$1004,$A860,'AFA Rates'!$B$5:$B$1004,H$23,'AFA Rates'!$O$5:$O$1004,"&lt;&gt;Expired")&gt;0,"✓",IF(COUNTIFS('AFA Rates'!$A$5:$A$1004,$A860,'AFA Rates'!$B$5:$B$1004,H$23)&gt;0,"Exp","")))</f>
        <v/>
      </c>
      <c r="I860" s="79">
        <f>IF(OR($A860="",I$23=""),"",IF(COUNTIFS('AFA Rates'!$A$5:$A$1004,$A860,'AFA Rates'!$B$5:$B$1004,I$23,'AFA Rates'!$O$5:$O$1004,"&lt;&gt;Expired")&gt;0,"✓",IF(COUNTIFS('AFA Rates'!$A$5:$A$1004,$A860,'AFA Rates'!$B$5:$B$1004,I$23)&gt;0,"Exp","")))</f>
        <v/>
      </c>
      <c r="J860" s="79">
        <f>IF(OR($A860="",J$23=""),"",IF(COUNTIFS('AFA Rates'!$A$5:$A$1004,$A860,'AFA Rates'!$B$5:$B$1004,J$23,'AFA Rates'!$O$5:$O$1004,"&lt;&gt;Expired")&gt;0,"✓",IF(COUNTIFS('AFA Rates'!$A$5:$A$1004,$A860,'AFA Rates'!$B$5:$B$1004,J$23)&gt;0,"Exp","")))</f>
        <v/>
      </c>
      <c r="K860" s="79">
        <f>IF(OR($A860="",K$23=""),"",IF(COUNTIFS('AFA Rates'!$A$5:$A$1004,$A860,'AFA Rates'!$B$5:$B$1004,K$23,'AFA Rates'!$O$5:$O$1004,"&lt;&gt;Expired")&gt;0,"✓",IF(COUNTIFS('AFA Rates'!$A$5:$A$1004,$A860,'AFA Rates'!$B$5:$B$1004,K$23)&gt;0,"Exp","")))</f>
        <v/>
      </c>
      <c r="L860" s="79">
        <f>IF(OR($A860="",L$23=""),"",IF(COUNTIFS('AFA Rates'!$A$5:$A$1004,$A860,'AFA Rates'!$B$5:$B$1004,L$23,'AFA Rates'!$O$5:$O$1004,"&lt;&gt;Expired")&gt;0,"✓",IF(COUNTIFS('AFA Rates'!$A$5:$A$1004,$A860,'AFA Rates'!$B$5:$B$1004,L$23)&gt;0,"Exp","")))</f>
        <v/>
      </c>
      <c r="M860" s="79">
        <f>IF(OR($A860="",M$23=""),"",IF(COUNTIFS('AFA Rates'!$A$5:$A$1004,$A860,'AFA Rates'!$B$5:$B$1004,M$23,'AFA Rates'!$O$5:$O$1004,"&lt;&gt;Expired")&gt;0,"✓",IF(COUNTIFS('AFA Rates'!$A$5:$A$1004,$A860,'AFA Rates'!$B$5:$B$1004,M$23)&gt;0,"Exp","")))</f>
        <v/>
      </c>
    </row>
    <row r="861">
      <c r="A861" s="78">
        <f>IFERROR(INDEX(Firms!$A$5:$A$1004,MATCH(838,Firms!$V$5:$V$1004,0)),"")</f>
        <v/>
      </c>
      <c r="B861" s="79">
        <f>IF($A861="","",INDEX(Firms!$B$5:$B$1004,MATCH(838,Firms!$V$5:$V$1004,0)))</f>
        <v/>
      </c>
      <c r="C861" s="79">
        <f>IF($A861="","",COUNTIFS('AFA Rates'!$A$5:$A$1004,$A861,'AFA Rates'!$O$5:$O$1004,"&lt;&gt;Expired"))</f>
        <v/>
      </c>
      <c r="D861" s="79">
        <f>IF(OR($A861="",D$23=""),"",IF(COUNTIFS('AFA Rates'!$A$5:$A$1004,$A861,'AFA Rates'!$B$5:$B$1004,D$23,'AFA Rates'!$O$5:$O$1004,"&lt;&gt;Expired")&gt;0,"✓",IF(COUNTIFS('AFA Rates'!$A$5:$A$1004,$A861,'AFA Rates'!$B$5:$B$1004,D$23)&gt;0,"Exp","")))</f>
        <v/>
      </c>
      <c r="E861" s="79">
        <f>IF(OR($A861="",E$23=""),"",IF(COUNTIFS('AFA Rates'!$A$5:$A$1004,$A861,'AFA Rates'!$B$5:$B$1004,E$23,'AFA Rates'!$O$5:$O$1004,"&lt;&gt;Expired")&gt;0,"✓",IF(COUNTIFS('AFA Rates'!$A$5:$A$1004,$A861,'AFA Rates'!$B$5:$B$1004,E$23)&gt;0,"Exp","")))</f>
        <v/>
      </c>
      <c r="F861" s="79">
        <f>IF(OR($A861="",F$23=""),"",IF(COUNTIFS('AFA Rates'!$A$5:$A$1004,$A861,'AFA Rates'!$B$5:$B$1004,F$23,'AFA Rates'!$O$5:$O$1004,"&lt;&gt;Expired")&gt;0,"✓",IF(COUNTIFS('AFA Rates'!$A$5:$A$1004,$A861,'AFA Rates'!$B$5:$B$1004,F$23)&gt;0,"Exp","")))</f>
        <v/>
      </c>
      <c r="G861" s="79">
        <f>IF(OR($A861="",G$23=""),"",IF(COUNTIFS('AFA Rates'!$A$5:$A$1004,$A861,'AFA Rates'!$B$5:$B$1004,G$23,'AFA Rates'!$O$5:$O$1004,"&lt;&gt;Expired")&gt;0,"✓",IF(COUNTIFS('AFA Rates'!$A$5:$A$1004,$A861,'AFA Rates'!$B$5:$B$1004,G$23)&gt;0,"Exp","")))</f>
        <v/>
      </c>
      <c r="H861" s="79">
        <f>IF(OR($A861="",H$23=""),"",IF(COUNTIFS('AFA Rates'!$A$5:$A$1004,$A861,'AFA Rates'!$B$5:$B$1004,H$23,'AFA Rates'!$O$5:$O$1004,"&lt;&gt;Expired")&gt;0,"✓",IF(COUNTIFS('AFA Rates'!$A$5:$A$1004,$A861,'AFA Rates'!$B$5:$B$1004,H$23)&gt;0,"Exp","")))</f>
        <v/>
      </c>
      <c r="I861" s="79">
        <f>IF(OR($A861="",I$23=""),"",IF(COUNTIFS('AFA Rates'!$A$5:$A$1004,$A861,'AFA Rates'!$B$5:$B$1004,I$23,'AFA Rates'!$O$5:$O$1004,"&lt;&gt;Expired")&gt;0,"✓",IF(COUNTIFS('AFA Rates'!$A$5:$A$1004,$A861,'AFA Rates'!$B$5:$B$1004,I$23)&gt;0,"Exp","")))</f>
        <v/>
      </c>
      <c r="J861" s="79">
        <f>IF(OR($A861="",J$23=""),"",IF(COUNTIFS('AFA Rates'!$A$5:$A$1004,$A861,'AFA Rates'!$B$5:$B$1004,J$23,'AFA Rates'!$O$5:$O$1004,"&lt;&gt;Expired")&gt;0,"✓",IF(COUNTIFS('AFA Rates'!$A$5:$A$1004,$A861,'AFA Rates'!$B$5:$B$1004,J$23)&gt;0,"Exp","")))</f>
        <v/>
      </c>
      <c r="K861" s="79">
        <f>IF(OR($A861="",K$23=""),"",IF(COUNTIFS('AFA Rates'!$A$5:$A$1004,$A861,'AFA Rates'!$B$5:$B$1004,K$23,'AFA Rates'!$O$5:$O$1004,"&lt;&gt;Expired")&gt;0,"✓",IF(COUNTIFS('AFA Rates'!$A$5:$A$1004,$A861,'AFA Rates'!$B$5:$B$1004,K$23)&gt;0,"Exp","")))</f>
        <v/>
      </c>
      <c r="L861" s="79">
        <f>IF(OR($A861="",L$23=""),"",IF(COUNTIFS('AFA Rates'!$A$5:$A$1004,$A861,'AFA Rates'!$B$5:$B$1004,L$23,'AFA Rates'!$O$5:$O$1004,"&lt;&gt;Expired")&gt;0,"✓",IF(COUNTIFS('AFA Rates'!$A$5:$A$1004,$A861,'AFA Rates'!$B$5:$B$1004,L$23)&gt;0,"Exp","")))</f>
        <v/>
      </c>
      <c r="M861" s="79">
        <f>IF(OR($A861="",M$23=""),"",IF(COUNTIFS('AFA Rates'!$A$5:$A$1004,$A861,'AFA Rates'!$B$5:$B$1004,M$23,'AFA Rates'!$O$5:$O$1004,"&lt;&gt;Expired")&gt;0,"✓",IF(COUNTIFS('AFA Rates'!$A$5:$A$1004,$A861,'AFA Rates'!$B$5:$B$1004,M$23)&gt;0,"Exp","")))</f>
        <v/>
      </c>
    </row>
    <row r="862">
      <c r="A862" s="78">
        <f>IFERROR(INDEX(Firms!$A$5:$A$1004,MATCH(839,Firms!$V$5:$V$1004,0)),"")</f>
        <v/>
      </c>
      <c r="B862" s="79">
        <f>IF($A862="","",INDEX(Firms!$B$5:$B$1004,MATCH(839,Firms!$V$5:$V$1004,0)))</f>
        <v/>
      </c>
      <c r="C862" s="79">
        <f>IF($A862="","",COUNTIFS('AFA Rates'!$A$5:$A$1004,$A862,'AFA Rates'!$O$5:$O$1004,"&lt;&gt;Expired"))</f>
        <v/>
      </c>
      <c r="D862" s="79">
        <f>IF(OR($A862="",D$23=""),"",IF(COUNTIFS('AFA Rates'!$A$5:$A$1004,$A862,'AFA Rates'!$B$5:$B$1004,D$23,'AFA Rates'!$O$5:$O$1004,"&lt;&gt;Expired")&gt;0,"✓",IF(COUNTIFS('AFA Rates'!$A$5:$A$1004,$A862,'AFA Rates'!$B$5:$B$1004,D$23)&gt;0,"Exp","")))</f>
        <v/>
      </c>
      <c r="E862" s="79">
        <f>IF(OR($A862="",E$23=""),"",IF(COUNTIFS('AFA Rates'!$A$5:$A$1004,$A862,'AFA Rates'!$B$5:$B$1004,E$23,'AFA Rates'!$O$5:$O$1004,"&lt;&gt;Expired")&gt;0,"✓",IF(COUNTIFS('AFA Rates'!$A$5:$A$1004,$A862,'AFA Rates'!$B$5:$B$1004,E$23)&gt;0,"Exp","")))</f>
        <v/>
      </c>
      <c r="F862" s="79">
        <f>IF(OR($A862="",F$23=""),"",IF(COUNTIFS('AFA Rates'!$A$5:$A$1004,$A862,'AFA Rates'!$B$5:$B$1004,F$23,'AFA Rates'!$O$5:$O$1004,"&lt;&gt;Expired")&gt;0,"✓",IF(COUNTIFS('AFA Rates'!$A$5:$A$1004,$A862,'AFA Rates'!$B$5:$B$1004,F$23)&gt;0,"Exp","")))</f>
        <v/>
      </c>
      <c r="G862" s="79">
        <f>IF(OR($A862="",G$23=""),"",IF(COUNTIFS('AFA Rates'!$A$5:$A$1004,$A862,'AFA Rates'!$B$5:$B$1004,G$23,'AFA Rates'!$O$5:$O$1004,"&lt;&gt;Expired")&gt;0,"✓",IF(COUNTIFS('AFA Rates'!$A$5:$A$1004,$A862,'AFA Rates'!$B$5:$B$1004,G$23)&gt;0,"Exp","")))</f>
        <v/>
      </c>
      <c r="H862" s="79">
        <f>IF(OR($A862="",H$23=""),"",IF(COUNTIFS('AFA Rates'!$A$5:$A$1004,$A862,'AFA Rates'!$B$5:$B$1004,H$23,'AFA Rates'!$O$5:$O$1004,"&lt;&gt;Expired")&gt;0,"✓",IF(COUNTIFS('AFA Rates'!$A$5:$A$1004,$A862,'AFA Rates'!$B$5:$B$1004,H$23)&gt;0,"Exp","")))</f>
        <v/>
      </c>
      <c r="I862" s="79">
        <f>IF(OR($A862="",I$23=""),"",IF(COUNTIFS('AFA Rates'!$A$5:$A$1004,$A862,'AFA Rates'!$B$5:$B$1004,I$23,'AFA Rates'!$O$5:$O$1004,"&lt;&gt;Expired")&gt;0,"✓",IF(COUNTIFS('AFA Rates'!$A$5:$A$1004,$A862,'AFA Rates'!$B$5:$B$1004,I$23)&gt;0,"Exp","")))</f>
        <v/>
      </c>
      <c r="J862" s="79">
        <f>IF(OR($A862="",J$23=""),"",IF(COUNTIFS('AFA Rates'!$A$5:$A$1004,$A862,'AFA Rates'!$B$5:$B$1004,J$23,'AFA Rates'!$O$5:$O$1004,"&lt;&gt;Expired")&gt;0,"✓",IF(COUNTIFS('AFA Rates'!$A$5:$A$1004,$A862,'AFA Rates'!$B$5:$B$1004,J$23)&gt;0,"Exp","")))</f>
        <v/>
      </c>
      <c r="K862" s="79">
        <f>IF(OR($A862="",K$23=""),"",IF(COUNTIFS('AFA Rates'!$A$5:$A$1004,$A862,'AFA Rates'!$B$5:$B$1004,K$23,'AFA Rates'!$O$5:$O$1004,"&lt;&gt;Expired")&gt;0,"✓",IF(COUNTIFS('AFA Rates'!$A$5:$A$1004,$A862,'AFA Rates'!$B$5:$B$1004,K$23)&gt;0,"Exp","")))</f>
        <v/>
      </c>
      <c r="L862" s="79">
        <f>IF(OR($A862="",L$23=""),"",IF(COUNTIFS('AFA Rates'!$A$5:$A$1004,$A862,'AFA Rates'!$B$5:$B$1004,L$23,'AFA Rates'!$O$5:$O$1004,"&lt;&gt;Expired")&gt;0,"✓",IF(COUNTIFS('AFA Rates'!$A$5:$A$1004,$A862,'AFA Rates'!$B$5:$B$1004,L$23)&gt;0,"Exp","")))</f>
        <v/>
      </c>
      <c r="M862" s="79">
        <f>IF(OR($A862="",M$23=""),"",IF(COUNTIFS('AFA Rates'!$A$5:$A$1004,$A862,'AFA Rates'!$B$5:$B$1004,M$23,'AFA Rates'!$O$5:$O$1004,"&lt;&gt;Expired")&gt;0,"✓",IF(COUNTIFS('AFA Rates'!$A$5:$A$1004,$A862,'AFA Rates'!$B$5:$B$1004,M$23)&gt;0,"Exp","")))</f>
        <v/>
      </c>
    </row>
    <row r="863">
      <c r="A863" s="78">
        <f>IFERROR(INDEX(Firms!$A$5:$A$1004,MATCH(840,Firms!$V$5:$V$1004,0)),"")</f>
        <v/>
      </c>
      <c r="B863" s="79">
        <f>IF($A863="","",INDEX(Firms!$B$5:$B$1004,MATCH(840,Firms!$V$5:$V$1004,0)))</f>
        <v/>
      </c>
      <c r="C863" s="79">
        <f>IF($A863="","",COUNTIFS('AFA Rates'!$A$5:$A$1004,$A863,'AFA Rates'!$O$5:$O$1004,"&lt;&gt;Expired"))</f>
        <v/>
      </c>
      <c r="D863" s="79">
        <f>IF(OR($A863="",D$23=""),"",IF(COUNTIFS('AFA Rates'!$A$5:$A$1004,$A863,'AFA Rates'!$B$5:$B$1004,D$23,'AFA Rates'!$O$5:$O$1004,"&lt;&gt;Expired")&gt;0,"✓",IF(COUNTIFS('AFA Rates'!$A$5:$A$1004,$A863,'AFA Rates'!$B$5:$B$1004,D$23)&gt;0,"Exp","")))</f>
        <v/>
      </c>
      <c r="E863" s="79">
        <f>IF(OR($A863="",E$23=""),"",IF(COUNTIFS('AFA Rates'!$A$5:$A$1004,$A863,'AFA Rates'!$B$5:$B$1004,E$23,'AFA Rates'!$O$5:$O$1004,"&lt;&gt;Expired")&gt;0,"✓",IF(COUNTIFS('AFA Rates'!$A$5:$A$1004,$A863,'AFA Rates'!$B$5:$B$1004,E$23)&gt;0,"Exp","")))</f>
        <v/>
      </c>
      <c r="F863" s="79">
        <f>IF(OR($A863="",F$23=""),"",IF(COUNTIFS('AFA Rates'!$A$5:$A$1004,$A863,'AFA Rates'!$B$5:$B$1004,F$23,'AFA Rates'!$O$5:$O$1004,"&lt;&gt;Expired")&gt;0,"✓",IF(COUNTIFS('AFA Rates'!$A$5:$A$1004,$A863,'AFA Rates'!$B$5:$B$1004,F$23)&gt;0,"Exp","")))</f>
        <v/>
      </c>
      <c r="G863" s="79">
        <f>IF(OR($A863="",G$23=""),"",IF(COUNTIFS('AFA Rates'!$A$5:$A$1004,$A863,'AFA Rates'!$B$5:$B$1004,G$23,'AFA Rates'!$O$5:$O$1004,"&lt;&gt;Expired")&gt;0,"✓",IF(COUNTIFS('AFA Rates'!$A$5:$A$1004,$A863,'AFA Rates'!$B$5:$B$1004,G$23)&gt;0,"Exp","")))</f>
        <v/>
      </c>
      <c r="H863" s="79">
        <f>IF(OR($A863="",H$23=""),"",IF(COUNTIFS('AFA Rates'!$A$5:$A$1004,$A863,'AFA Rates'!$B$5:$B$1004,H$23,'AFA Rates'!$O$5:$O$1004,"&lt;&gt;Expired")&gt;0,"✓",IF(COUNTIFS('AFA Rates'!$A$5:$A$1004,$A863,'AFA Rates'!$B$5:$B$1004,H$23)&gt;0,"Exp","")))</f>
        <v/>
      </c>
      <c r="I863" s="79">
        <f>IF(OR($A863="",I$23=""),"",IF(COUNTIFS('AFA Rates'!$A$5:$A$1004,$A863,'AFA Rates'!$B$5:$B$1004,I$23,'AFA Rates'!$O$5:$O$1004,"&lt;&gt;Expired")&gt;0,"✓",IF(COUNTIFS('AFA Rates'!$A$5:$A$1004,$A863,'AFA Rates'!$B$5:$B$1004,I$23)&gt;0,"Exp","")))</f>
        <v/>
      </c>
      <c r="J863" s="79">
        <f>IF(OR($A863="",J$23=""),"",IF(COUNTIFS('AFA Rates'!$A$5:$A$1004,$A863,'AFA Rates'!$B$5:$B$1004,J$23,'AFA Rates'!$O$5:$O$1004,"&lt;&gt;Expired")&gt;0,"✓",IF(COUNTIFS('AFA Rates'!$A$5:$A$1004,$A863,'AFA Rates'!$B$5:$B$1004,J$23)&gt;0,"Exp","")))</f>
        <v/>
      </c>
      <c r="K863" s="79">
        <f>IF(OR($A863="",K$23=""),"",IF(COUNTIFS('AFA Rates'!$A$5:$A$1004,$A863,'AFA Rates'!$B$5:$B$1004,K$23,'AFA Rates'!$O$5:$O$1004,"&lt;&gt;Expired")&gt;0,"✓",IF(COUNTIFS('AFA Rates'!$A$5:$A$1004,$A863,'AFA Rates'!$B$5:$B$1004,K$23)&gt;0,"Exp","")))</f>
        <v/>
      </c>
      <c r="L863" s="79">
        <f>IF(OR($A863="",L$23=""),"",IF(COUNTIFS('AFA Rates'!$A$5:$A$1004,$A863,'AFA Rates'!$B$5:$B$1004,L$23,'AFA Rates'!$O$5:$O$1004,"&lt;&gt;Expired")&gt;0,"✓",IF(COUNTIFS('AFA Rates'!$A$5:$A$1004,$A863,'AFA Rates'!$B$5:$B$1004,L$23)&gt;0,"Exp","")))</f>
        <v/>
      </c>
      <c r="M863" s="79">
        <f>IF(OR($A863="",M$23=""),"",IF(COUNTIFS('AFA Rates'!$A$5:$A$1004,$A863,'AFA Rates'!$B$5:$B$1004,M$23,'AFA Rates'!$O$5:$O$1004,"&lt;&gt;Expired")&gt;0,"✓",IF(COUNTIFS('AFA Rates'!$A$5:$A$1004,$A863,'AFA Rates'!$B$5:$B$1004,M$23)&gt;0,"Exp","")))</f>
        <v/>
      </c>
    </row>
    <row r="864">
      <c r="A864" s="78">
        <f>IFERROR(INDEX(Firms!$A$5:$A$1004,MATCH(841,Firms!$V$5:$V$1004,0)),"")</f>
        <v/>
      </c>
      <c r="B864" s="79">
        <f>IF($A864="","",INDEX(Firms!$B$5:$B$1004,MATCH(841,Firms!$V$5:$V$1004,0)))</f>
        <v/>
      </c>
      <c r="C864" s="79">
        <f>IF($A864="","",COUNTIFS('AFA Rates'!$A$5:$A$1004,$A864,'AFA Rates'!$O$5:$O$1004,"&lt;&gt;Expired"))</f>
        <v/>
      </c>
      <c r="D864" s="79">
        <f>IF(OR($A864="",D$23=""),"",IF(COUNTIFS('AFA Rates'!$A$5:$A$1004,$A864,'AFA Rates'!$B$5:$B$1004,D$23,'AFA Rates'!$O$5:$O$1004,"&lt;&gt;Expired")&gt;0,"✓",IF(COUNTIFS('AFA Rates'!$A$5:$A$1004,$A864,'AFA Rates'!$B$5:$B$1004,D$23)&gt;0,"Exp","")))</f>
        <v/>
      </c>
      <c r="E864" s="79">
        <f>IF(OR($A864="",E$23=""),"",IF(COUNTIFS('AFA Rates'!$A$5:$A$1004,$A864,'AFA Rates'!$B$5:$B$1004,E$23,'AFA Rates'!$O$5:$O$1004,"&lt;&gt;Expired")&gt;0,"✓",IF(COUNTIFS('AFA Rates'!$A$5:$A$1004,$A864,'AFA Rates'!$B$5:$B$1004,E$23)&gt;0,"Exp","")))</f>
        <v/>
      </c>
      <c r="F864" s="79">
        <f>IF(OR($A864="",F$23=""),"",IF(COUNTIFS('AFA Rates'!$A$5:$A$1004,$A864,'AFA Rates'!$B$5:$B$1004,F$23,'AFA Rates'!$O$5:$O$1004,"&lt;&gt;Expired")&gt;0,"✓",IF(COUNTIFS('AFA Rates'!$A$5:$A$1004,$A864,'AFA Rates'!$B$5:$B$1004,F$23)&gt;0,"Exp","")))</f>
        <v/>
      </c>
      <c r="G864" s="79">
        <f>IF(OR($A864="",G$23=""),"",IF(COUNTIFS('AFA Rates'!$A$5:$A$1004,$A864,'AFA Rates'!$B$5:$B$1004,G$23,'AFA Rates'!$O$5:$O$1004,"&lt;&gt;Expired")&gt;0,"✓",IF(COUNTIFS('AFA Rates'!$A$5:$A$1004,$A864,'AFA Rates'!$B$5:$B$1004,G$23)&gt;0,"Exp","")))</f>
        <v/>
      </c>
      <c r="H864" s="79">
        <f>IF(OR($A864="",H$23=""),"",IF(COUNTIFS('AFA Rates'!$A$5:$A$1004,$A864,'AFA Rates'!$B$5:$B$1004,H$23,'AFA Rates'!$O$5:$O$1004,"&lt;&gt;Expired")&gt;0,"✓",IF(COUNTIFS('AFA Rates'!$A$5:$A$1004,$A864,'AFA Rates'!$B$5:$B$1004,H$23)&gt;0,"Exp","")))</f>
        <v/>
      </c>
      <c r="I864" s="79">
        <f>IF(OR($A864="",I$23=""),"",IF(COUNTIFS('AFA Rates'!$A$5:$A$1004,$A864,'AFA Rates'!$B$5:$B$1004,I$23,'AFA Rates'!$O$5:$O$1004,"&lt;&gt;Expired")&gt;0,"✓",IF(COUNTIFS('AFA Rates'!$A$5:$A$1004,$A864,'AFA Rates'!$B$5:$B$1004,I$23)&gt;0,"Exp","")))</f>
        <v/>
      </c>
      <c r="J864" s="79">
        <f>IF(OR($A864="",J$23=""),"",IF(COUNTIFS('AFA Rates'!$A$5:$A$1004,$A864,'AFA Rates'!$B$5:$B$1004,J$23,'AFA Rates'!$O$5:$O$1004,"&lt;&gt;Expired")&gt;0,"✓",IF(COUNTIFS('AFA Rates'!$A$5:$A$1004,$A864,'AFA Rates'!$B$5:$B$1004,J$23)&gt;0,"Exp","")))</f>
        <v/>
      </c>
      <c r="K864" s="79">
        <f>IF(OR($A864="",K$23=""),"",IF(COUNTIFS('AFA Rates'!$A$5:$A$1004,$A864,'AFA Rates'!$B$5:$B$1004,K$23,'AFA Rates'!$O$5:$O$1004,"&lt;&gt;Expired")&gt;0,"✓",IF(COUNTIFS('AFA Rates'!$A$5:$A$1004,$A864,'AFA Rates'!$B$5:$B$1004,K$23)&gt;0,"Exp","")))</f>
        <v/>
      </c>
      <c r="L864" s="79">
        <f>IF(OR($A864="",L$23=""),"",IF(COUNTIFS('AFA Rates'!$A$5:$A$1004,$A864,'AFA Rates'!$B$5:$B$1004,L$23,'AFA Rates'!$O$5:$O$1004,"&lt;&gt;Expired")&gt;0,"✓",IF(COUNTIFS('AFA Rates'!$A$5:$A$1004,$A864,'AFA Rates'!$B$5:$B$1004,L$23)&gt;0,"Exp","")))</f>
        <v/>
      </c>
      <c r="M864" s="79">
        <f>IF(OR($A864="",M$23=""),"",IF(COUNTIFS('AFA Rates'!$A$5:$A$1004,$A864,'AFA Rates'!$B$5:$B$1004,M$23,'AFA Rates'!$O$5:$O$1004,"&lt;&gt;Expired")&gt;0,"✓",IF(COUNTIFS('AFA Rates'!$A$5:$A$1004,$A864,'AFA Rates'!$B$5:$B$1004,M$23)&gt;0,"Exp","")))</f>
        <v/>
      </c>
    </row>
    <row r="865">
      <c r="A865" s="78">
        <f>IFERROR(INDEX(Firms!$A$5:$A$1004,MATCH(842,Firms!$V$5:$V$1004,0)),"")</f>
        <v/>
      </c>
      <c r="B865" s="79">
        <f>IF($A865="","",INDEX(Firms!$B$5:$B$1004,MATCH(842,Firms!$V$5:$V$1004,0)))</f>
        <v/>
      </c>
      <c r="C865" s="79">
        <f>IF($A865="","",COUNTIFS('AFA Rates'!$A$5:$A$1004,$A865,'AFA Rates'!$O$5:$O$1004,"&lt;&gt;Expired"))</f>
        <v/>
      </c>
      <c r="D865" s="79">
        <f>IF(OR($A865="",D$23=""),"",IF(COUNTIFS('AFA Rates'!$A$5:$A$1004,$A865,'AFA Rates'!$B$5:$B$1004,D$23,'AFA Rates'!$O$5:$O$1004,"&lt;&gt;Expired")&gt;0,"✓",IF(COUNTIFS('AFA Rates'!$A$5:$A$1004,$A865,'AFA Rates'!$B$5:$B$1004,D$23)&gt;0,"Exp","")))</f>
        <v/>
      </c>
      <c r="E865" s="79">
        <f>IF(OR($A865="",E$23=""),"",IF(COUNTIFS('AFA Rates'!$A$5:$A$1004,$A865,'AFA Rates'!$B$5:$B$1004,E$23,'AFA Rates'!$O$5:$O$1004,"&lt;&gt;Expired")&gt;0,"✓",IF(COUNTIFS('AFA Rates'!$A$5:$A$1004,$A865,'AFA Rates'!$B$5:$B$1004,E$23)&gt;0,"Exp","")))</f>
        <v/>
      </c>
      <c r="F865" s="79">
        <f>IF(OR($A865="",F$23=""),"",IF(COUNTIFS('AFA Rates'!$A$5:$A$1004,$A865,'AFA Rates'!$B$5:$B$1004,F$23,'AFA Rates'!$O$5:$O$1004,"&lt;&gt;Expired")&gt;0,"✓",IF(COUNTIFS('AFA Rates'!$A$5:$A$1004,$A865,'AFA Rates'!$B$5:$B$1004,F$23)&gt;0,"Exp","")))</f>
        <v/>
      </c>
      <c r="G865" s="79">
        <f>IF(OR($A865="",G$23=""),"",IF(COUNTIFS('AFA Rates'!$A$5:$A$1004,$A865,'AFA Rates'!$B$5:$B$1004,G$23,'AFA Rates'!$O$5:$O$1004,"&lt;&gt;Expired")&gt;0,"✓",IF(COUNTIFS('AFA Rates'!$A$5:$A$1004,$A865,'AFA Rates'!$B$5:$B$1004,G$23)&gt;0,"Exp","")))</f>
        <v/>
      </c>
      <c r="H865" s="79">
        <f>IF(OR($A865="",H$23=""),"",IF(COUNTIFS('AFA Rates'!$A$5:$A$1004,$A865,'AFA Rates'!$B$5:$B$1004,H$23,'AFA Rates'!$O$5:$O$1004,"&lt;&gt;Expired")&gt;0,"✓",IF(COUNTIFS('AFA Rates'!$A$5:$A$1004,$A865,'AFA Rates'!$B$5:$B$1004,H$23)&gt;0,"Exp","")))</f>
        <v/>
      </c>
      <c r="I865" s="79">
        <f>IF(OR($A865="",I$23=""),"",IF(COUNTIFS('AFA Rates'!$A$5:$A$1004,$A865,'AFA Rates'!$B$5:$B$1004,I$23,'AFA Rates'!$O$5:$O$1004,"&lt;&gt;Expired")&gt;0,"✓",IF(COUNTIFS('AFA Rates'!$A$5:$A$1004,$A865,'AFA Rates'!$B$5:$B$1004,I$23)&gt;0,"Exp","")))</f>
        <v/>
      </c>
      <c r="J865" s="79">
        <f>IF(OR($A865="",J$23=""),"",IF(COUNTIFS('AFA Rates'!$A$5:$A$1004,$A865,'AFA Rates'!$B$5:$B$1004,J$23,'AFA Rates'!$O$5:$O$1004,"&lt;&gt;Expired")&gt;0,"✓",IF(COUNTIFS('AFA Rates'!$A$5:$A$1004,$A865,'AFA Rates'!$B$5:$B$1004,J$23)&gt;0,"Exp","")))</f>
        <v/>
      </c>
      <c r="K865" s="79">
        <f>IF(OR($A865="",K$23=""),"",IF(COUNTIFS('AFA Rates'!$A$5:$A$1004,$A865,'AFA Rates'!$B$5:$B$1004,K$23,'AFA Rates'!$O$5:$O$1004,"&lt;&gt;Expired")&gt;0,"✓",IF(COUNTIFS('AFA Rates'!$A$5:$A$1004,$A865,'AFA Rates'!$B$5:$B$1004,K$23)&gt;0,"Exp","")))</f>
        <v/>
      </c>
      <c r="L865" s="79">
        <f>IF(OR($A865="",L$23=""),"",IF(COUNTIFS('AFA Rates'!$A$5:$A$1004,$A865,'AFA Rates'!$B$5:$B$1004,L$23,'AFA Rates'!$O$5:$O$1004,"&lt;&gt;Expired")&gt;0,"✓",IF(COUNTIFS('AFA Rates'!$A$5:$A$1004,$A865,'AFA Rates'!$B$5:$B$1004,L$23)&gt;0,"Exp","")))</f>
        <v/>
      </c>
      <c r="M865" s="79">
        <f>IF(OR($A865="",M$23=""),"",IF(COUNTIFS('AFA Rates'!$A$5:$A$1004,$A865,'AFA Rates'!$B$5:$B$1004,M$23,'AFA Rates'!$O$5:$O$1004,"&lt;&gt;Expired")&gt;0,"✓",IF(COUNTIFS('AFA Rates'!$A$5:$A$1004,$A865,'AFA Rates'!$B$5:$B$1004,M$23)&gt;0,"Exp","")))</f>
        <v/>
      </c>
    </row>
    <row r="866">
      <c r="A866" s="78">
        <f>IFERROR(INDEX(Firms!$A$5:$A$1004,MATCH(843,Firms!$V$5:$V$1004,0)),"")</f>
        <v/>
      </c>
      <c r="B866" s="79">
        <f>IF($A866="","",INDEX(Firms!$B$5:$B$1004,MATCH(843,Firms!$V$5:$V$1004,0)))</f>
        <v/>
      </c>
      <c r="C866" s="79">
        <f>IF($A866="","",COUNTIFS('AFA Rates'!$A$5:$A$1004,$A866,'AFA Rates'!$O$5:$O$1004,"&lt;&gt;Expired"))</f>
        <v/>
      </c>
      <c r="D866" s="79">
        <f>IF(OR($A866="",D$23=""),"",IF(COUNTIFS('AFA Rates'!$A$5:$A$1004,$A866,'AFA Rates'!$B$5:$B$1004,D$23,'AFA Rates'!$O$5:$O$1004,"&lt;&gt;Expired")&gt;0,"✓",IF(COUNTIFS('AFA Rates'!$A$5:$A$1004,$A866,'AFA Rates'!$B$5:$B$1004,D$23)&gt;0,"Exp","")))</f>
        <v/>
      </c>
      <c r="E866" s="79">
        <f>IF(OR($A866="",E$23=""),"",IF(COUNTIFS('AFA Rates'!$A$5:$A$1004,$A866,'AFA Rates'!$B$5:$B$1004,E$23,'AFA Rates'!$O$5:$O$1004,"&lt;&gt;Expired")&gt;0,"✓",IF(COUNTIFS('AFA Rates'!$A$5:$A$1004,$A866,'AFA Rates'!$B$5:$B$1004,E$23)&gt;0,"Exp","")))</f>
        <v/>
      </c>
      <c r="F866" s="79">
        <f>IF(OR($A866="",F$23=""),"",IF(COUNTIFS('AFA Rates'!$A$5:$A$1004,$A866,'AFA Rates'!$B$5:$B$1004,F$23,'AFA Rates'!$O$5:$O$1004,"&lt;&gt;Expired")&gt;0,"✓",IF(COUNTIFS('AFA Rates'!$A$5:$A$1004,$A866,'AFA Rates'!$B$5:$B$1004,F$23)&gt;0,"Exp","")))</f>
        <v/>
      </c>
      <c r="G866" s="79">
        <f>IF(OR($A866="",G$23=""),"",IF(COUNTIFS('AFA Rates'!$A$5:$A$1004,$A866,'AFA Rates'!$B$5:$B$1004,G$23,'AFA Rates'!$O$5:$O$1004,"&lt;&gt;Expired")&gt;0,"✓",IF(COUNTIFS('AFA Rates'!$A$5:$A$1004,$A866,'AFA Rates'!$B$5:$B$1004,G$23)&gt;0,"Exp","")))</f>
        <v/>
      </c>
      <c r="H866" s="79">
        <f>IF(OR($A866="",H$23=""),"",IF(COUNTIFS('AFA Rates'!$A$5:$A$1004,$A866,'AFA Rates'!$B$5:$B$1004,H$23,'AFA Rates'!$O$5:$O$1004,"&lt;&gt;Expired")&gt;0,"✓",IF(COUNTIFS('AFA Rates'!$A$5:$A$1004,$A866,'AFA Rates'!$B$5:$B$1004,H$23)&gt;0,"Exp","")))</f>
        <v/>
      </c>
      <c r="I866" s="79">
        <f>IF(OR($A866="",I$23=""),"",IF(COUNTIFS('AFA Rates'!$A$5:$A$1004,$A866,'AFA Rates'!$B$5:$B$1004,I$23,'AFA Rates'!$O$5:$O$1004,"&lt;&gt;Expired")&gt;0,"✓",IF(COUNTIFS('AFA Rates'!$A$5:$A$1004,$A866,'AFA Rates'!$B$5:$B$1004,I$23)&gt;0,"Exp","")))</f>
        <v/>
      </c>
      <c r="J866" s="79">
        <f>IF(OR($A866="",J$23=""),"",IF(COUNTIFS('AFA Rates'!$A$5:$A$1004,$A866,'AFA Rates'!$B$5:$B$1004,J$23,'AFA Rates'!$O$5:$O$1004,"&lt;&gt;Expired")&gt;0,"✓",IF(COUNTIFS('AFA Rates'!$A$5:$A$1004,$A866,'AFA Rates'!$B$5:$B$1004,J$23)&gt;0,"Exp","")))</f>
        <v/>
      </c>
      <c r="K866" s="79">
        <f>IF(OR($A866="",K$23=""),"",IF(COUNTIFS('AFA Rates'!$A$5:$A$1004,$A866,'AFA Rates'!$B$5:$B$1004,K$23,'AFA Rates'!$O$5:$O$1004,"&lt;&gt;Expired")&gt;0,"✓",IF(COUNTIFS('AFA Rates'!$A$5:$A$1004,$A866,'AFA Rates'!$B$5:$B$1004,K$23)&gt;0,"Exp","")))</f>
        <v/>
      </c>
      <c r="L866" s="79">
        <f>IF(OR($A866="",L$23=""),"",IF(COUNTIFS('AFA Rates'!$A$5:$A$1004,$A866,'AFA Rates'!$B$5:$B$1004,L$23,'AFA Rates'!$O$5:$O$1004,"&lt;&gt;Expired")&gt;0,"✓",IF(COUNTIFS('AFA Rates'!$A$5:$A$1004,$A866,'AFA Rates'!$B$5:$B$1004,L$23)&gt;0,"Exp","")))</f>
        <v/>
      </c>
      <c r="M866" s="79">
        <f>IF(OR($A866="",M$23=""),"",IF(COUNTIFS('AFA Rates'!$A$5:$A$1004,$A866,'AFA Rates'!$B$5:$B$1004,M$23,'AFA Rates'!$O$5:$O$1004,"&lt;&gt;Expired")&gt;0,"✓",IF(COUNTIFS('AFA Rates'!$A$5:$A$1004,$A866,'AFA Rates'!$B$5:$B$1004,M$23)&gt;0,"Exp","")))</f>
        <v/>
      </c>
    </row>
    <row r="867">
      <c r="A867" s="78">
        <f>IFERROR(INDEX(Firms!$A$5:$A$1004,MATCH(844,Firms!$V$5:$V$1004,0)),"")</f>
        <v/>
      </c>
      <c r="B867" s="79">
        <f>IF($A867="","",INDEX(Firms!$B$5:$B$1004,MATCH(844,Firms!$V$5:$V$1004,0)))</f>
        <v/>
      </c>
      <c r="C867" s="79">
        <f>IF($A867="","",COUNTIFS('AFA Rates'!$A$5:$A$1004,$A867,'AFA Rates'!$O$5:$O$1004,"&lt;&gt;Expired"))</f>
        <v/>
      </c>
      <c r="D867" s="79">
        <f>IF(OR($A867="",D$23=""),"",IF(COUNTIFS('AFA Rates'!$A$5:$A$1004,$A867,'AFA Rates'!$B$5:$B$1004,D$23,'AFA Rates'!$O$5:$O$1004,"&lt;&gt;Expired")&gt;0,"✓",IF(COUNTIFS('AFA Rates'!$A$5:$A$1004,$A867,'AFA Rates'!$B$5:$B$1004,D$23)&gt;0,"Exp","")))</f>
        <v/>
      </c>
      <c r="E867" s="79">
        <f>IF(OR($A867="",E$23=""),"",IF(COUNTIFS('AFA Rates'!$A$5:$A$1004,$A867,'AFA Rates'!$B$5:$B$1004,E$23,'AFA Rates'!$O$5:$O$1004,"&lt;&gt;Expired")&gt;0,"✓",IF(COUNTIFS('AFA Rates'!$A$5:$A$1004,$A867,'AFA Rates'!$B$5:$B$1004,E$23)&gt;0,"Exp","")))</f>
        <v/>
      </c>
      <c r="F867" s="79">
        <f>IF(OR($A867="",F$23=""),"",IF(COUNTIFS('AFA Rates'!$A$5:$A$1004,$A867,'AFA Rates'!$B$5:$B$1004,F$23,'AFA Rates'!$O$5:$O$1004,"&lt;&gt;Expired")&gt;0,"✓",IF(COUNTIFS('AFA Rates'!$A$5:$A$1004,$A867,'AFA Rates'!$B$5:$B$1004,F$23)&gt;0,"Exp","")))</f>
        <v/>
      </c>
      <c r="G867" s="79">
        <f>IF(OR($A867="",G$23=""),"",IF(COUNTIFS('AFA Rates'!$A$5:$A$1004,$A867,'AFA Rates'!$B$5:$B$1004,G$23,'AFA Rates'!$O$5:$O$1004,"&lt;&gt;Expired")&gt;0,"✓",IF(COUNTIFS('AFA Rates'!$A$5:$A$1004,$A867,'AFA Rates'!$B$5:$B$1004,G$23)&gt;0,"Exp","")))</f>
        <v/>
      </c>
      <c r="H867" s="79">
        <f>IF(OR($A867="",H$23=""),"",IF(COUNTIFS('AFA Rates'!$A$5:$A$1004,$A867,'AFA Rates'!$B$5:$B$1004,H$23,'AFA Rates'!$O$5:$O$1004,"&lt;&gt;Expired")&gt;0,"✓",IF(COUNTIFS('AFA Rates'!$A$5:$A$1004,$A867,'AFA Rates'!$B$5:$B$1004,H$23)&gt;0,"Exp","")))</f>
        <v/>
      </c>
      <c r="I867" s="79">
        <f>IF(OR($A867="",I$23=""),"",IF(COUNTIFS('AFA Rates'!$A$5:$A$1004,$A867,'AFA Rates'!$B$5:$B$1004,I$23,'AFA Rates'!$O$5:$O$1004,"&lt;&gt;Expired")&gt;0,"✓",IF(COUNTIFS('AFA Rates'!$A$5:$A$1004,$A867,'AFA Rates'!$B$5:$B$1004,I$23)&gt;0,"Exp","")))</f>
        <v/>
      </c>
      <c r="J867" s="79">
        <f>IF(OR($A867="",J$23=""),"",IF(COUNTIFS('AFA Rates'!$A$5:$A$1004,$A867,'AFA Rates'!$B$5:$B$1004,J$23,'AFA Rates'!$O$5:$O$1004,"&lt;&gt;Expired")&gt;0,"✓",IF(COUNTIFS('AFA Rates'!$A$5:$A$1004,$A867,'AFA Rates'!$B$5:$B$1004,J$23)&gt;0,"Exp","")))</f>
        <v/>
      </c>
      <c r="K867" s="79">
        <f>IF(OR($A867="",K$23=""),"",IF(COUNTIFS('AFA Rates'!$A$5:$A$1004,$A867,'AFA Rates'!$B$5:$B$1004,K$23,'AFA Rates'!$O$5:$O$1004,"&lt;&gt;Expired")&gt;0,"✓",IF(COUNTIFS('AFA Rates'!$A$5:$A$1004,$A867,'AFA Rates'!$B$5:$B$1004,K$23)&gt;0,"Exp","")))</f>
        <v/>
      </c>
      <c r="L867" s="79">
        <f>IF(OR($A867="",L$23=""),"",IF(COUNTIFS('AFA Rates'!$A$5:$A$1004,$A867,'AFA Rates'!$B$5:$B$1004,L$23,'AFA Rates'!$O$5:$O$1004,"&lt;&gt;Expired")&gt;0,"✓",IF(COUNTIFS('AFA Rates'!$A$5:$A$1004,$A867,'AFA Rates'!$B$5:$B$1004,L$23)&gt;0,"Exp","")))</f>
        <v/>
      </c>
      <c r="M867" s="79">
        <f>IF(OR($A867="",M$23=""),"",IF(COUNTIFS('AFA Rates'!$A$5:$A$1004,$A867,'AFA Rates'!$B$5:$B$1004,M$23,'AFA Rates'!$O$5:$O$1004,"&lt;&gt;Expired")&gt;0,"✓",IF(COUNTIFS('AFA Rates'!$A$5:$A$1004,$A867,'AFA Rates'!$B$5:$B$1004,M$23)&gt;0,"Exp","")))</f>
        <v/>
      </c>
    </row>
    <row r="868">
      <c r="A868" s="78">
        <f>IFERROR(INDEX(Firms!$A$5:$A$1004,MATCH(845,Firms!$V$5:$V$1004,0)),"")</f>
        <v/>
      </c>
      <c r="B868" s="79">
        <f>IF($A868="","",INDEX(Firms!$B$5:$B$1004,MATCH(845,Firms!$V$5:$V$1004,0)))</f>
        <v/>
      </c>
      <c r="C868" s="79">
        <f>IF($A868="","",COUNTIFS('AFA Rates'!$A$5:$A$1004,$A868,'AFA Rates'!$O$5:$O$1004,"&lt;&gt;Expired"))</f>
        <v/>
      </c>
      <c r="D868" s="79">
        <f>IF(OR($A868="",D$23=""),"",IF(COUNTIFS('AFA Rates'!$A$5:$A$1004,$A868,'AFA Rates'!$B$5:$B$1004,D$23,'AFA Rates'!$O$5:$O$1004,"&lt;&gt;Expired")&gt;0,"✓",IF(COUNTIFS('AFA Rates'!$A$5:$A$1004,$A868,'AFA Rates'!$B$5:$B$1004,D$23)&gt;0,"Exp","")))</f>
        <v/>
      </c>
      <c r="E868" s="79">
        <f>IF(OR($A868="",E$23=""),"",IF(COUNTIFS('AFA Rates'!$A$5:$A$1004,$A868,'AFA Rates'!$B$5:$B$1004,E$23,'AFA Rates'!$O$5:$O$1004,"&lt;&gt;Expired")&gt;0,"✓",IF(COUNTIFS('AFA Rates'!$A$5:$A$1004,$A868,'AFA Rates'!$B$5:$B$1004,E$23)&gt;0,"Exp","")))</f>
        <v/>
      </c>
      <c r="F868" s="79">
        <f>IF(OR($A868="",F$23=""),"",IF(COUNTIFS('AFA Rates'!$A$5:$A$1004,$A868,'AFA Rates'!$B$5:$B$1004,F$23,'AFA Rates'!$O$5:$O$1004,"&lt;&gt;Expired")&gt;0,"✓",IF(COUNTIFS('AFA Rates'!$A$5:$A$1004,$A868,'AFA Rates'!$B$5:$B$1004,F$23)&gt;0,"Exp","")))</f>
        <v/>
      </c>
      <c r="G868" s="79">
        <f>IF(OR($A868="",G$23=""),"",IF(COUNTIFS('AFA Rates'!$A$5:$A$1004,$A868,'AFA Rates'!$B$5:$B$1004,G$23,'AFA Rates'!$O$5:$O$1004,"&lt;&gt;Expired")&gt;0,"✓",IF(COUNTIFS('AFA Rates'!$A$5:$A$1004,$A868,'AFA Rates'!$B$5:$B$1004,G$23)&gt;0,"Exp","")))</f>
        <v/>
      </c>
      <c r="H868" s="79">
        <f>IF(OR($A868="",H$23=""),"",IF(COUNTIFS('AFA Rates'!$A$5:$A$1004,$A868,'AFA Rates'!$B$5:$B$1004,H$23,'AFA Rates'!$O$5:$O$1004,"&lt;&gt;Expired")&gt;0,"✓",IF(COUNTIFS('AFA Rates'!$A$5:$A$1004,$A868,'AFA Rates'!$B$5:$B$1004,H$23)&gt;0,"Exp","")))</f>
        <v/>
      </c>
      <c r="I868" s="79">
        <f>IF(OR($A868="",I$23=""),"",IF(COUNTIFS('AFA Rates'!$A$5:$A$1004,$A868,'AFA Rates'!$B$5:$B$1004,I$23,'AFA Rates'!$O$5:$O$1004,"&lt;&gt;Expired")&gt;0,"✓",IF(COUNTIFS('AFA Rates'!$A$5:$A$1004,$A868,'AFA Rates'!$B$5:$B$1004,I$23)&gt;0,"Exp","")))</f>
        <v/>
      </c>
      <c r="J868" s="79">
        <f>IF(OR($A868="",J$23=""),"",IF(COUNTIFS('AFA Rates'!$A$5:$A$1004,$A868,'AFA Rates'!$B$5:$B$1004,J$23,'AFA Rates'!$O$5:$O$1004,"&lt;&gt;Expired")&gt;0,"✓",IF(COUNTIFS('AFA Rates'!$A$5:$A$1004,$A868,'AFA Rates'!$B$5:$B$1004,J$23)&gt;0,"Exp","")))</f>
        <v/>
      </c>
      <c r="K868" s="79">
        <f>IF(OR($A868="",K$23=""),"",IF(COUNTIFS('AFA Rates'!$A$5:$A$1004,$A868,'AFA Rates'!$B$5:$B$1004,K$23,'AFA Rates'!$O$5:$O$1004,"&lt;&gt;Expired")&gt;0,"✓",IF(COUNTIFS('AFA Rates'!$A$5:$A$1004,$A868,'AFA Rates'!$B$5:$B$1004,K$23)&gt;0,"Exp","")))</f>
        <v/>
      </c>
      <c r="L868" s="79">
        <f>IF(OR($A868="",L$23=""),"",IF(COUNTIFS('AFA Rates'!$A$5:$A$1004,$A868,'AFA Rates'!$B$5:$B$1004,L$23,'AFA Rates'!$O$5:$O$1004,"&lt;&gt;Expired")&gt;0,"✓",IF(COUNTIFS('AFA Rates'!$A$5:$A$1004,$A868,'AFA Rates'!$B$5:$B$1004,L$23)&gt;0,"Exp","")))</f>
        <v/>
      </c>
      <c r="M868" s="79">
        <f>IF(OR($A868="",M$23=""),"",IF(COUNTIFS('AFA Rates'!$A$5:$A$1004,$A868,'AFA Rates'!$B$5:$B$1004,M$23,'AFA Rates'!$O$5:$O$1004,"&lt;&gt;Expired")&gt;0,"✓",IF(COUNTIFS('AFA Rates'!$A$5:$A$1004,$A868,'AFA Rates'!$B$5:$B$1004,M$23)&gt;0,"Exp","")))</f>
        <v/>
      </c>
    </row>
    <row r="869">
      <c r="A869" s="78">
        <f>IFERROR(INDEX(Firms!$A$5:$A$1004,MATCH(846,Firms!$V$5:$V$1004,0)),"")</f>
        <v/>
      </c>
      <c r="B869" s="79">
        <f>IF($A869="","",INDEX(Firms!$B$5:$B$1004,MATCH(846,Firms!$V$5:$V$1004,0)))</f>
        <v/>
      </c>
      <c r="C869" s="79">
        <f>IF($A869="","",COUNTIFS('AFA Rates'!$A$5:$A$1004,$A869,'AFA Rates'!$O$5:$O$1004,"&lt;&gt;Expired"))</f>
        <v/>
      </c>
      <c r="D869" s="79">
        <f>IF(OR($A869="",D$23=""),"",IF(COUNTIFS('AFA Rates'!$A$5:$A$1004,$A869,'AFA Rates'!$B$5:$B$1004,D$23,'AFA Rates'!$O$5:$O$1004,"&lt;&gt;Expired")&gt;0,"✓",IF(COUNTIFS('AFA Rates'!$A$5:$A$1004,$A869,'AFA Rates'!$B$5:$B$1004,D$23)&gt;0,"Exp","")))</f>
        <v/>
      </c>
      <c r="E869" s="79">
        <f>IF(OR($A869="",E$23=""),"",IF(COUNTIFS('AFA Rates'!$A$5:$A$1004,$A869,'AFA Rates'!$B$5:$B$1004,E$23,'AFA Rates'!$O$5:$O$1004,"&lt;&gt;Expired")&gt;0,"✓",IF(COUNTIFS('AFA Rates'!$A$5:$A$1004,$A869,'AFA Rates'!$B$5:$B$1004,E$23)&gt;0,"Exp","")))</f>
        <v/>
      </c>
      <c r="F869" s="79">
        <f>IF(OR($A869="",F$23=""),"",IF(COUNTIFS('AFA Rates'!$A$5:$A$1004,$A869,'AFA Rates'!$B$5:$B$1004,F$23,'AFA Rates'!$O$5:$O$1004,"&lt;&gt;Expired")&gt;0,"✓",IF(COUNTIFS('AFA Rates'!$A$5:$A$1004,$A869,'AFA Rates'!$B$5:$B$1004,F$23)&gt;0,"Exp","")))</f>
        <v/>
      </c>
      <c r="G869" s="79">
        <f>IF(OR($A869="",G$23=""),"",IF(COUNTIFS('AFA Rates'!$A$5:$A$1004,$A869,'AFA Rates'!$B$5:$B$1004,G$23,'AFA Rates'!$O$5:$O$1004,"&lt;&gt;Expired")&gt;0,"✓",IF(COUNTIFS('AFA Rates'!$A$5:$A$1004,$A869,'AFA Rates'!$B$5:$B$1004,G$23)&gt;0,"Exp","")))</f>
        <v/>
      </c>
      <c r="H869" s="79">
        <f>IF(OR($A869="",H$23=""),"",IF(COUNTIFS('AFA Rates'!$A$5:$A$1004,$A869,'AFA Rates'!$B$5:$B$1004,H$23,'AFA Rates'!$O$5:$O$1004,"&lt;&gt;Expired")&gt;0,"✓",IF(COUNTIFS('AFA Rates'!$A$5:$A$1004,$A869,'AFA Rates'!$B$5:$B$1004,H$23)&gt;0,"Exp","")))</f>
        <v/>
      </c>
      <c r="I869" s="79">
        <f>IF(OR($A869="",I$23=""),"",IF(COUNTIFS('AFA Rates'!$A$5:$A$1004,$A869,'AFA Rates'!$B$5:$B$1004,I$23,'AFA Rates'!$O$5:$O$1004,"&lt;&gt;Expired")&gt;0,"✓",IF(COUNTIFS('AFA Rates'!$A$5:$A$1004,$A869,'AFA Rates'!$B$5:$B$1004,I$23)&gt;0,"Exp","")))</f>
        <v/>
      </c>
      <c r="J869" s="79">
        <f>IF(OR($A869="",J$23=""),"",IF(COUNTIFS('AFA Rates'!$A$5:$A$1004,$A869,'AFA Rates'!$B$5:$B$1004,J$23,'AFA Rates'!$O$5:$O$1004,"&lt;&gt;Expired")&gt;0,"✓",IF(COUNTIFS('AFA Rates'!$A$5:$A$1004,$A869,'AFA Rates'!$B$5:$B$1004,J$23)&gt;0,"Exp","")))</f>
        <v/>
      </c>
      <c r="K869" s="79">
        <f>IF(OR($A869="",K$23=""),"",IF(COUNTIFS('AFA Rates'!$A$5:$A$1004,$A869,'AFA Rates'!$B$5:$B$1004,K$23,'AFA Rates'!$O$5:$O$1004,"&lt;&gt;Expired")&gt;0,"✓",IF(COUNTIFS('AFA Rates'!$A$5:$A$1004,$A869,'AFA Rates'!$B$5:$B$1004,K$23)&gt;0,"Exp","")))</f>
        <v/>
      </c>
      <c r="L869" s="79">
        <f>IF(OR($A869="",L$23=""),"",IF(COUNTIFS('AFA Rates'!$A$5:$A$1004,$A869,'AFA Rates'!$B$5:$B$1004,L$23,'AFA Rates'!$O$5:$O$1004,"&lt;&gt;Expired")&gt;0,"✓",IF(COUNTIFS('AFA Rates'!$A$5:$A$1004,$A869,'AFA Rates'!$B$5:$B$1004,L$23)&gt;0,"Exp","")))</f>
        <v/>
      </c>
      <c r="M869" s="79">
        <f>IF(OR($A869="",M$23=""),"",IF(COUNTIFS('AFA Rates'!$A$5:$A$1004,$A869,'AFA Rates'!$B$5:$B$1004,M$23,'AFA Rates'!$O$5:$O$1004,"&lt;&gt;Expired")&gt;0,"✓",IF(COUNTIFS('AFA Rates'!$A$5:$A$1004,$A869,'AFA Rates'!$B$5:$B$1004,M$23)&gt;0,"Exp","")))</f>
        <v/>
      </c>
    </row>
    <row r="870">
      <c r="A870" s="78">
        <f>IFERROR(INDEX(Firms!$A$5:$A$1004,MATCH(847,Firms!$V$5:$V$1004,0)),"")</f>
        <v/>
      </c>
      <c r="B870" s="79">
        <f>IF($A870="","",INDEX(Firms!$B$5:$B$1004,MATCH(847,Firms!$V$5:$V$1004,0)))</f>
        <v/>
      </c>
      <c r="C870" s="79">
        <f>IF($A870="","",COUNTIFS('AFA Rates'!$A$5:$A$1004,$A870,'AFA Rates'!$O$5:$O$1004,"&lt;&gt;Expired"))</f>
        <v/>
      </c>
      <c r="D870" s="79">
        <f>IF(OR($A870="",D$23=""),"",IF(COUNTIFS('AFA Rates'!$A$5:$A$1004,$A870,'AFA Rates'!$B$5:$B$1004,D$23,'AFA Rates'!$O$5:$O$1004,"&lt;&gt;Expired")&gt;0,"✓",IF(COUNTIFS('AFA Rates'!$A$5:$A$1004,$A870,'AFA Rates'!$B$5:$B$1004,D$23)&gt;0,"Exp","")))</f>
        <v/>
      </c>
      <c r="E870" s="79">
        <f>IF(OR($A870="",E$23=""),"",IF(COUNTIFS('AFA Rates'!$A$5:$A$1004,$A870,'AFA Rates'!$B$5:$B$1004,E$23,'AFA Rates'!$O$5:$O$1004,"&lt;&gt;Expired")&gt;0,"✓",IF(COUNTIFS('AFA Rates'!$A$5:$A$1004,$A870,'AFA Rates'!$B$5:$B$1004,E$23)&gt;0,"Exp","")))</f>
        <v/>
      </c>
      <c r="F870" s="79">
        <f>IF(OR($A870="",F$23=""),"",IF(COUNTIFS('AFA Rates'!$A$5:$A$1004,$A870,'AFA Rates'!$B$5:$B$1004,F$23,'AFA Rates'!$O$5:$O$1004,"&lt;&gt;Expired")&gt;0,"✓",IF(COUNTIFS('AFA Rates'!$A$5:$A$1004,$A870,'AFA Rates'!$B$5:$B$1004,F$23)&gt;0,"Exp","")))</f>
        <v/>
      </c>
      <c r="G870" s="79">
        <f>IF(OR($A870="",G$23=""),"",IF(COUNTIFS('AFA Rates'!$A$5:$A$1004,$A870,'AFA Rates'!$B$5:$B$1004,G$23,'AFA Rates'!$O$5:$O$1004,"&lt;&gt;Expired")&gt;0,"✓",IF(COUNTIFS('AFA Rates'!$A$5:$A$1004,$A870,'AFA Rates'!$B$5:$B$1004,G$23)&gt;0,"Exp","")))</f>
        <v/>
      </c>
      <c r="H870" s="79">
        <f>IF(OR($A870="",H$23=""),"",IF(COUNTIFS('AFA Rates'!$A$5:$A$1004,$A870,'AFA Rates'!$B$5:$B$1004,H$23,'AFA Rates'!$O$5:$O$1004,"&lt;&gt;Expired")&gt;0,"✓",IF(COUNTIFS('AFA Rates'!$A$5:$A$1004,$A870,'AFA Rates'!$B$5:$B$1004,H$23)&gt;0,"Exp","")))</f>
        <v/>
      </c>
      <c r="I870" s="79">
        <f>IF(OR($A870="",I$23=""),"",IF(COUNTIFS('AFA Rates'!$A$5:$A$1004,$A870,'AFA Rates'!$B$5:$B$1004,I$23,'AFA Rates'!$O$5:$O$1004,"&lt;&gt;Expired")&gt;0,"✓",IF(COUNTIFS('AFA Rates'!$A$5:$A$1004,$A870,'AFA Rates'!$B$5:$B$1004,I$23)&gt;0,"Exp","")))</f>
        <v/>
      </c>
      <c r="J870" s="79">
        <f>IF(OR($A870="",J$23=""),"",IF(COUNTIFS('AFA Rates'!$A$5:$A$1004,$A870,'AFA Rates'!$B$5:$B$1004,J$23,'AFA Rates'!$O$5:$O$1004,"&lt;&gt;Expired")&gt;0,"✓",IF(COUNTIFS('AFA Rates'!$A$5:$A$1004,$A870,'AFA Rates'!$B$5:$B$1004,J$23)&gt;0,"Exp","")))</f>
        <v/>
      </c>
      <c r="K870" s="79">
        <f>IF(OR($A870="",K$23=""),"",IF(COUNTIFS('AFA Rates'!$A$5:$A$1004,$A870,'AFA Rates'!$B$5:$B$1004,K$23,'AFA Rates'!$O$5:$O$1004,"&lt;&gt;Expired")&gt;0,"✓",IF(COUNTIFS('AFA Rates'!$A$5:$A$1004,$A870,'AFA Rates'!$B$5:$B$1004,K$23)&gt;0,"Exp","")))</f>
        <v/>
      </c>
      <c r="L870" s="79">
        <f>IF(OR($A870="",L$23=""),"",IF(COUNTIFS('AFA Rates'!$A$5:$A$1004,$A870,'AFA Rates'!$B$5:$B$1004,L$23,'AFA Rates'!$O$5:$O$1004,"&lt;&gt;Expired")&gt;0,"✓",IF(COUNTIFS('AFA Rates'!$A$5:$A$1004,$A870,'AFA Rates'!$B$5:$B$1004,L$23)&gt;0,"Exp","")))</f>
        <v/>
      </c>
      <c r="M870" s="79">
        <f>IF(OR($A870="",M$23=""),"",IF(COUNTIFS('AFA Rates'!$A$5:$A$1004,$A870,'AFA Rates'!$B$5:$B$1004,M$23,'AFA Rates'!$O$5:$O$1004,"&lt;&gt;Expired")&gt;0,"✓",IF(COUNTIFS('AFA Rates'!$A$5:$A$1004,$A870,'AFA Rates'!$B$5:$B$1004,M$23)&gt;0,"Exp","")))</f>
        <v/>
      </c>
    </row>
    <row r="871">
      <c r="A871" s="78">
        <f>IFERROR(INDEX(Firms!$A$5:$A$1004,MATCH(848,Firms!$V$5:$V$1004,0)),"")</f>
        <v/>
      </c>
      <c r="B871" s="79">
        <f>IF($A871="","",INDEX(Firms!$B$5:$B$1004,MATCH(848,Firms!$V$5:$V$1004,0)))</f>
        <v/>
      </c>
      <c r="C871" s="79">
        <f>IF($A871="","",COUNTIFS('AFA Rates'!$A$5:$A$1004,$A871,'AFA Rates'!$O$5:$O$1004,"&lt;&gt;Expired"))</f>
        <v/>
      </c>
      <c r="D871" s="79">
        <f>IF(OR($A871="",D$23=""),"",IF(COUNTIFS('AFA Rates'!$A$5:$A$1004,$A871,'AFA Rates'!$B$5:$B$1004,D$23,'AFA Rates'!$O$5:$O$1004,"&lt;&gt;Expired")&gt;0,"✓",IF(COUNTIFS('AFA Rates'!$A$5:$A$1004,$A871,'AFA Rates'!$B$5:$B$1004,D$23)&gt;0,"Exp","")))</f>
        <v/>
      </c>
      <c r="E871" s="79">
        <f>IF(OR($A871="",E$23=""),"",IF(COUNTIFS('AFA Rates'!$A$5:$A$1004,$A871,'AFA Rates'!$B$5:$B$1004,E$23,'AFA Rates'!$O$5:$O$1004,"&lt;&gt;Expired")&gt;0,"✓",IF(COUNTIFS('AFA Rates'!$A$5:$A$1004,$A871,'AFA Rates'!$B$5:$B$1004,E$23)&gt;0,"Exp","")))</f>
        <v/>
      </c>
      <c r="F871" s="79">
        <f>IF(OR($A871="",F$23=""),"",IF(COUNTIFS('AFA Rates'!$A$5:$A$1004,$A871,'AFA Rates'!$B$5:$B$1004,F$23,'AFA Rates'!$O$5:$O$1004,"&lt;&gt;Expired")&gt;0,"✓",IF(COUNTIFS('AFA Rates'!$A$5:$A$1004,$A871,'AFA Rates'!$B$5:$B$1004,F$23)&gt;0,"Exp","")))</f>
        <v/>
      </c>
      <c r="G871" s="79">
        <f>IF(OR($A871="",G$23=""),"",IF(COUNTIFS('AFA Rates'!$A$5:$A$1004,$A871,'AFA Rates'!$B$5:$B$1004,G$23,'AFA Rates'!$O$5:$O$1004,"&lt;&gt;Expired")&gt;0,"✓",IF(COUNTIFS('AFA Rates'!$A$5:$A$1004,$A871,'AFA Rates'!$B$5:$B$1004,G$23)&gt;0,"Exp","")))</f>
        <v/>
      </c>
      <c r="H871" s="79">
        <f>IF(OR($A871="",H$23=""),"",IF(COUNTIFS('AFA Rates'!$A$5:$A$1004,$A871,'AFA Rates'!$B$5:$B$1004,H$23,'AFA Rates'!$O$5:$O$1004,"&lt;&gt;Expired")&gt;0,"✓",IF(COUNTIFS('AFA Rates'!$A$5:$A$1004,$A871,'AFA Rates'!$B$5:$B$1004,H$23)&gt;0,"Exp","")))</f>
        <v/>
      </c>
      <c r="I871" s="79">
        <f>IF(OR($A871="",I$23=""),"",IF(COUNTIFS('AFA Rates'!$A$5:$A$1004,$A871,'AFA Rates'!$B$5:$B$1004,I$23,'AFA Rates'!$O$5:$O$1004,"&lt;&gt;Expired")&gt;0,"✓",IF(COUNTIFS('AFA Rates'!$A$5:$A$1004,$A871,'AFA Rates'!$B$5:$B$1004,I$23)&gt;0,"Exp","")))</f>
        <v/>
      </c>
      <c r="J871" s="79">
        <f>IF(OR($A871="",J$23=""),"",IF(COUNTIFS('AFA Rates'!$A$5:$A$1004,$A871,'AFA Rates'!$B$5:$B$1004,J$23,'AFA Rates'!$O$5:$O$1004,"&lt;&gt;Expired")&gt;0,"✓",IF(COUNTIFS('AFA Rates'!$A$5:$A$1004,$A871,'AFA Rates'!$B$5:$B$1004,J$23)&gt;0,"Exp","")))</f>
        <v/>
      </c>
      <c r="K871" s="79">
        <f>IF(OR($A871="",K$23=""),"",IF(COUNTIFS('AFA Rates'!$A$5:$A$1004,$A871,'AFA Rates'!$B$5:$B$1004,K$23,'AFA Rates'!$O$5:$O$1004,"&lt;&gt;Expired")&gt;0,"✓",IF(COUNTIFS('AFA Rates'!$A$5:$A$1004,$A871,'AFA Rates'!$B$5:$B$1004,K$23)&gt;0,"Exp","")))</f>
        <v/>
      </c>
      <c r="L871" s="79">
        <f>IF(OR($A871="",L$23=""),"",IF(COUNTIFS('AFA Rates'!$A$5:$A$1004,$A871,'AFA Rates'!$B$5:$B$1004,L$23,'AFA Rates'!$O$5:$O$1004,"&lt;&gt;Expired")&gt;0,"✓",IF(COUNTIFS('AFA Rates'!$A$5:$A$1004,$A871,'AFA Rates'!$B$5:$B$1004,L$23)&gt;0,"Exp","")))</f>
        <v/>
      </c>
      <c r="M871" s="79">
        <f>IF(OR($A871="",M$23=""),"",IF(COUNTIFS('AFA Rates'!$A$5:$A$1004,$A871,'AFA Rates'!$B$5:$B$1004,M$23,'AFA Rates'!$O$5:$O$1004,"&lt;&gt;Expired")&gt;0,"✓",IF(COUNTIFS('AFA Rates'!$A$5:$A$1004,$A871,'AFA Rates'!$B$5:$B$1004,M$23)&gt;0,"Exp","")))</f>
        <v/>
      </c>
    </row>
    <row r="872">
      <c r="A872" s="78">
        <f>IFERROR(INDEX(Firms!$A$5:$A$1004,MATCH(849,Firms!$V$5:$V$1004,0)),"")</f>
        <v/>
      </c>
      <c r="B872" s="79">
        <f>IF($A872="","",INDEX(Firms!$B$5:$B$1004,MATCH(849,Firms!$V$5:$V$1004,0)))</f>
        <v/>
      </c>
      <c r="C872" s="79">
        <f>IF($A872="","",COUNTIFS('AFA Rates'!$A$5:$A$1004,$A872,'AFA Rates'!$O$5:$O$1004,"&lt;&gt;Expired"))</f>
        <v/>
      </c>
      <c r="D872" s="79">
        <f>IF(OR($A872="",D$23=""),"",IF(COUNTIFS('AFA Rates'!$A$5:$A$1004,$A872,'AFA Rates'!$B$5:$B$1004,D$23,'AFA Rates'!$O$5:$O$1004,"&lt;&gt;Expired")&gt;0,"✓",IF(COUNTIFS('AFA Rates'!$A$5:$A$1004,$A872,'AFA Rates'!$B$5:$B$1004,D$23)&gt;0,"Exp","")))</f>
        <v/>
      </c>
      <c r="E872" s="79">
        <f>IF(OR($A872="",E$23=""),"",IF(COUNTIFS('AFA Rates'!$A$5:$A$1004,$A872,'AFA Rates'!$B$5:$B$1004,E$23,'AFA Rates'!$O$5:$O$1004,"&lt;&gt;Expired")&gt;0,"✓",IF(COUNTIFS('AFA Rates'!$A$5:$A$1004,$A872,'AFA Rates'!$B$5:$B$1004,E$23)&gt;0,"Exp","")))</f>
        <v/>
      </c>
      <c r="F872" s="79">
        <f>IF(OR($A872="",F$23=""),"",IF(COUNTIFS('AFA Rates'!$A$5:$A$1004,$A872,'AFA Rates'!$B$5:$B$1004,F$23,'AFA Rates'!$O$5:$O$1004,"&lt;&gt;Expired")&gt;0,"✓",IF(COUNTIFS('AFA Rates'!$A$5:$A$1004,$A872,'AFA Rates'!$B$5:$B$1004,F$23)&gt;0,"Exp","")))</f>
        <v/>
      </c>
      <c r="G872" s="79">
        <f>IF(OR($A872="",G$23=""),"",IF(COUNTIFS('AFA Rates'!$A$5:$A$1004,$A872,'AFA Rates'!$B$5:$B$1004,G$23,'AFA Rates'!$O$5:$O$1004,"&lt;&gt;Expired")&gt;0,"✓",IF(COUNTIFS('AFA Rates'!$A$5:$A$1004,$A872,'AFA Rates'!$B$5:$B$1004,G$23)&gt;0,"Exp","")))</f>
        <v/>
      </c>
      <c r="H872" s="79">
        <f>IF(OR($A872="",H$23=""),"",IF(COUNTIFS('AFA Rates'!$A$5:$A$1004,$A872,'AFA Rates'!$B$5:$B$1004,H$23,'AFA Rates'!$O$5:$O$1004,"&lt;&gt;Expired")&gt;0,"✓",IF(COUNTIFS('AFA Rates'!$A$5:$A$1004,$A872,'AFA Rates'!$B$5:$B$1004,H$23)&gt;0,"Exp","")))</f>
        <v/>
      </c>
      <c r="I872" s="79">
        <f>IF(OR($A872="",I$23=""),"",IF(COUNTIFS('AFA Rates'!$A$5:$A$1004,$A872,'AFA Rates'!$B$5:$B$1004,I$23,'AFA Rates'!$O$5:$O$1004,"&lt;&gt;Expired")&gt;0,"✓",IF(COUNTIFS('AFA Rates'!$A$5:$A$1004,$A872,'AFA Rates'!$B$5:$B$1004,I$23)&gt;0,"Exp","")))</f>
        <v/>
      </c>
      <c r="J872" s="79">
        <f>IF(OR($A872="",J$23=""),"",IF(COUNTIFS('AFA Rates'!$A$5:$A$1004,$A872,'AFA Rates'!$B$5:$B$1004,J$23,'AFA Rates'!$O$5:$O$1004,"&lt;&gt;Expired")&gt;0,"✓",IF(COUNTIFS('AFA Rates'!$A$5:$A$1004,$A872,'AFA Rates'!$B$5:$B$1004,J$23)&gt;0,"Exp","")))</f>
        <v/>
      </c>
      <c r="K872" s="79">
        <f>IF(OR($A872="",K$23=""),"",IF(COUNTIFS('AFA Rates'!$A$5:$A$1004,$A872,'AFA Rates'!$B$5:$B$1004,K$23,'AFA Rates'!$O$5:$O$1004,"&lt;&gt;Expired")&gt;0,"✓",IF(COUNTIFS('AFA Rates'!$A$5:$A$1004,$A872,'AFA Rates'!$B$5:$B$1004,K$23)&gt;0,"Exp","")))</f>
        <v/>
      </c>
      <c r="L872" s="79">
        <f>IF(OR($A872="",L$23=""),"",IF(COUNTIFS('AFA Rates'!$A$5:$A$1004,$A872,'AFA Rates'!$B$5:$B$1004,L$23,'AFA Rates'!$O$5:$O$1004,"&lt;&gt;Expired")&gt;0,"✓",IF(COUNTIFS('AFA Rates'!$A$5:$A$1004,$A872,'AFA Rates'!$B$5:$B$1004,L$23)&gt;0,"Exp","")))</f>
        <v/>
      </c>
      <c r="M872" s="79">
        <f>IF(OR($A872="",M$23=""),"",IF(COUNTIFS('AFA Rates'!$A$5:$A$1004,$A872,'AFA Rates'!$B$5:$B$1004,M$23,'AFA Rates'!$O$5:$O$1004,"&lt;&gt;Expired")&gt;0,"✓",IF(COUNTIFS('AFA Rates'!$A$5:$A$1004,$A872,'AFA Rates'!$B$5:$B$1004,M$23)&gt;0,"Exp","")))</f>
        <v/>
      </c>
    </row>
    <row r="873">
      <c r="A873" s="78">
        <f>IFERROR(INDEX(Firms!$A$5:$A$1004,MATCH(850,Firms!$V$5:$V$1004,0)),"")</f>
        <v/>
      </c>
      <c r="B873" s="79">
        <f>IF($A873="","",INDEX(Firms!$B$5:$B$1004,MATCH(850,Firms!$V$5:$V$1004,0)))</f>
        <v/>
      </c>
      <c r="C873" s="79">
        <f>IF($A873="","",COUNTIFS('AFA Rates'!$A$5:$A$1004,$A873,'AFA Rates'!$O$5:$O$1004,"&lt;&gt;Expired"))</f>
        <v/>
      </c>
      <c r="D873" s="79">
        <f>IF(OR($A873="",D$23=""),"",IF(COUNTIFS('AFA Rates'!$A$5:$A$1004,$A873,'AFA Rates'!$B$5:$B$1004,D$23,'AFA Rates'!$O$5:$O$1004,"&lt;&gt;Expired")&gt;0,"✓",IF(COUNTIFS('AFA Rates'!$A$5:$A$1004,$A873,'AFA Rates'!$B$5:$B$1004,D$23)&gt;0,"Exp","")))</f>
        <v/>
      </c>
      <c r="E873" s="79">
        <f>IF(OR($A873="",E$23=""),"",IF(COUNTIFS('AFA Rates'!$A$5:$A$1004,$A873,'AFA Rates'!$B$5:$B$1004,E$23,'AFA Rates'!$O$5:$O$1004,"&lt;&gt;Expired")&gt;0,"✓",IF(COUNTIFS('AFA Rates'!$A$5:$A$1004,$A873,'AFA Rates'!$B$5:$B$1004,E$23)&gt;0,"Exp","")))</f>
        <v/>
      </c>
      <c r="F873" s="79">
        <f>IF(OR($A873="",F$23=""),"",IF(COUNTIFS('AFA Rates'!$A$5:$A$1004,$A873,'AFA Rates'!$B$5:$B$1004,F$23,'AFA Rates'!$O$5:$O$1004,"&lt;&gt;Expired")&gt;0,"✓",IF(COUNTIFS('AFA Rates'!$A$5:$A$1004,$A873,'AFA Rates'!$B$5:$B$1004,F$23)&gt;0,"Exp","")))</f>
        <v/>
      </c>
      <c r="G873" s="79">
        <f>IF(OR($A873="",G$23=""),"",IF(COUNTIFS('AFA Rates'!$A$5:$A$1004,$A873,'AFA Rates'!$B$5:$B$1004,G$23,'AFA Rates'!$O$5:$O$1004,"&lt;&gt;Expired")&gt;0,"✓",IF(COUNTIFS('AFA Rates'!$A$5:$A$1004,$A873,'AFA Rates'!$B$5:$B$1004,G$23)&gt;0,"Exp","")))</f>
        <v/>
      </c>
      <c r="H873" s="79">
        <f>IF(OR($A873="",H$23=""),"",IF(COUNTIFS('AFA Rates'!$A$5:$A$1004,$A873,'AFA Rates'!$B$5:$B$1004,H$23,'AFA Rates'!$O$5:$O$1004,"&lt;&gt;Expired")&gt;0,"✓",IF(COUNTIFS('AFA Rates'!$A$5:$A$1004,$A873,'AFA Rates'!$B$5:$B$1004,H$23)&gt;0,"Exp","")))</f>
        <v/>
      </c>
      <c r="I873" s="79">
        <f>IF(OR($A873="",I$23=""),"",IF(COUNTIFS('AFA Rates'!$A$5:$A$1004,$A873,'AFA Rates'!$B$5:$B$1004,I$23,'AFA Rates'!$O$5:$O$1004,"&lt;&gt;Expired")&gt;0,"✓",IF(COUNTIFS('AFA Rates'!$A$5:$A$1004,$A873,'AFA Rates'!$B$5:$B$1004,I$23)&gt;0,"Exp","")))</f>
        <v/>
      </c>
      <c r="J873" s="79">
        <f>IF(OR($A873="",J$23=""),"",IF(COUNTIFS('AFA Rates'!$A$5:$A$1004,$A873,'AFA Rates'!$B$5:$B$1004,J$23,'AFA Rates'!$O$5:$O$1004,"&lt;&gt;Expired")&gt;0,"✓",IF(COUNTIFS('AFA Rates'!$A$5:$A$1004,$A873,'AFA Rates'!$B$5:$B$1004,J$23)&gt;0,"Exp","")))</f>
        <v/>
      </c>
      <c r="K873" s="79">
        <f>IF(OR($A873="",K$23=""),"",IF(COUNTIFS('AFA Rates'!$A$5:$A$1004,$A873,'AFA Rates'!$B$5:$B$1004,K$23,'AFA Rates'!$O$5:$O$1004,"&lt;&gt;Expired")&gt;0,"✓",IF(COUNTIFS('AFA Rates'!$A$5:$A$1004,$A873,'AFA Rates'!$B$5:$B$1004,K$23)&gt;0,"Exp","")))</f>
        <v/>
      </c>
      <c r="L873" s="79">
        <f>IF(OR($A873="",L$23=""),"",IF(COUNTIFS('AFA Rates'!$A$5:$A$1004,$A873,'AFA Rates'!$B$5:$B$1004,L$23,'AFA Rates'!$O$5:$O$1004,"&lt;&gt;Expired")&gt;0,"✓",IF(COUNTIFS('AFA Rates'!$A$5:$A$1004,$A873,'AFA Rates'!$B$5:$B$1004,L$23)&gt;0,"Exp","")))</f>
        <v/>
      </c>
      <c r="M873" s="79">
        <f>IF(OR($A873="",M$23=""),"",IF(COUNTIFS('AFA Rates'!$A$5:$A$1004,$A873,'AFA Rates'!$B$5:$B$1004,M$23,'AFA Rates'!$O$5:$O$1004,"&lt;&gt;Expired")&gt;0,"✓",IF(COUNTIFS('AFA Rates'!$A$5:$A$1004,$A873,'AFA Rates'!$B$5:$B$1004,M$23)&gt;0,"Exp","")))</f>
        <v/>
      </c>
    </row>
    <row r="874">
      <c r="A874" s="78">
        <f>IFERROR(INDEX(Firms!$A$5:$A$1004,MATCH(851,Firms!$V$5:$V$1004,0)),"")</f>
        <v/>
      </c>
      <c r="B874" s="79">
        <f>IF($A874="","",INDEX(Firms!$B$5:$B$1004,MATCH(851,Firms!$V$5:$V$1004,0)))</f>
        <v/>
      </c>
      <c r="C874" s="79">
        <f>IF($A874="","",COUNTIFS('AFA Rates'!$A$5:$A$1004,$A874,'AFA Rates'!$O$5:$O$1004,"&lt;&gt;Expired"))</f>
        <v/>
      </c>
      <c r="D874" s="79">
        <f>IF(OR($A874="",D$23=""),"",IF(COUNTIFS('AFA Rates'!$A$5:$A$1004,$A874,'AFA Rates'!$B$5:$B$1004,D$23,'AFA Rates'!$O$5:$O$1004,"&lt;&gt;Expired")&gt;0,"✓",IF(COUNTIFS('AFA Rates'!$A$5:$A$1004,$A874,'AFA Rates'!$B$5:$B$1004,D$23)&gt;0,"Exp","")))</f>
        <v/>
      </c>
      <c r="E874" s="79">
        <f>IF(OR($A874="",E$23=""),"",IF(COUNTIFS('AFA Rates'!$A$5:$A$1004,$A874,'AFA Rates'!$B$5:$B$1004,E$23,'AFA Rates'!$O$5:$O$1004,"&lt;&gt;Expired")&gt;0,"✓",IF(COUNTIFS('AFA Rates'!$A$5:$A$1004,$A874,'AFA Rates'!$B$5:$B$1004,E$23)&gt;0,"Exp","")))</f>
        <v/>
      </c>
      <c r="F874" s="79">
        <f>IF(OR($A874="",F$23=""),"",IF(COUNTIFS('AFA Rates'!$A$5:$A$1004,$A874,'AFA Rates'!$B$5:$B$1004,F$23,'AFA Rates'!$O$5:$O$1004,"&lt;&gt;Expired")&gt;0,"✓",IF(COUNTIFS('AFA Rates'!$A$5:$A$1004,$A874,'AFA Rates'!$B$5:$B$1004,F$23)&gt;0,"Exp","")))</f>
        <v/>
      </c>
      <c r="G874" s="79">
        <f>IF(OR($A874="",G$23=""),"",IF(COUNTIFS('AFA Rates'!$A$5:$A$1004,$A874,'AFA Rates'!$B$5:$B$1004,G$23,'AFA Rates'!$O$5:$O$1004,"&lt;&gt;Expired")&gt;0,"✓",IF(COUNTIFS('AFA Rates'!$A$5:$A$1004,$A874,'AFA Rates'!$B$5:$B$1004,G$23)&gt;0,"Exp","")))</f>
        <v/>
      </c>
      <c r="H874" s="79">
        <f>IF(OR($A874="",H$23=""),"",IF(COUNTIFS('AFA Rates'!$A$5:$A$1004,$A874,'AFA Rates'!$B$5:$B$1004,H$23,'AFA Rates'!$O$5:$O$1004,"&lt;&gt;Expired")&gt;0,"✓",IF(COUNTIFS('AFA Rates'!$A$5:$A$1004,$A874,'AFA Rates'!$B$5:$B$1004,H$23)&gt;0,"Exp","")))</f>
        <v/>
      </c>
      <c r="I874" s="79">
        <f>IF(OR($A874="",I$23=""),"",IF(COUNTIFS('AFA Rates'!$A$5:$A$1004,$A874,'AFA Rates'!$B$5:$B$1004,I$23,'AFA Rates'!$O$5:$O$1004,"&lt;&gt;Expired")&gt;0,"✓",IF(COUNTIFS('AFA Rates'!$A$5:$A$1004,$A874,'AFA Rates'!$B$5:$B$1004,I$23)&gt;0,"Exp","")))</f>
        <v/>
      </c>
      <c r="J874" s="79">
        <f>IF(OR($A874="",J$23=""),"",IF(COUNTIFS('AFA Rates'!$A$5:$A$1004,$A874,'AFA Rates'!$B$5:$B$1004,J$23,'AFA Rates'!$O$5:$O$1004,"&lt;&gt;Expired")&gt;0,"✓",IF(COUNTIFS('AFA Rates'!$A$5:$A$1004,$A874,'AFA Rates'!$B$5:$B$1004,J$23)&gt;0,"Exp","")))</f>
        <v/>
      </c>
      <c r="K874" s="79">
        <f>IF(OR($A874="",K$23=""),"",IF(COUNTIFS('AFA Rates'!$A$5:$A$1004,$A874,'AFA Rates'!$B$5:$B$1004,K$23,'AFA Rates'!$O$5:$O$1004,"&lt;&gt;Expired")&gt;0,"✓",IF(COUNTIFS('AFA Rates'!$A$5:$A$1004,$A874,'AFA Rates'!$B$5:$B$1004,K$23)&gt;0,"Exp","")))</f>
        <v/>
      </c>
      <c r="L874" s="79">
        <f>IF(OR($A874="",L$23=""),"",IF(COUNTIFS('AFA Rates'!$A$5:$A$1004,$A874,'AFA Rates'!$B$5:$B$1004,L$23,'AFA Rates'!$O$5:$O$1004,"&lt;&gt;Expired")&gt;0,"✓",IF(COUNTIFS('AFA Rates'!$A$5:$A$1004,$A874,'AFA Rates'!$B$5:$B$1004,L$23)&gt;0,"Exp","")))</f>
        <v/>
      </c>
      <c r="M874" s="79">
        <f>IF(OR($A874="",M$23=""),"",IF(COUNTIFS('AFA Rates'!$A$5:$A$1004,$A874,'AFA Rates'!$B$5:$B$1004,M$23,'AFA Rates'!$O$5:$O$1004,"&lt;&gt;Expired")&gt;0,"✓",IF(COUNTIFS('AFA Rates'!$A$5:$A$1004,$A874,'AFA Rates'!$B$5:$B$1004,M$23)&gt;0,"Exp","")))</f>
        <v/>
      </c>
    </row>
    <row r="875">
      <c r="A875" s="78">
        <f>IFERROR(INDEX(Firms!$A$5:$A$1004,MATCH(852,Firms!$V$5:$V$1004,0)),"")</f>
        <v/>
      </c>
      <c r="B875" s="79">
        <f>IF($A875="","",INDEX(Firms!$B$5:$B$1004,MATCH(852,Firms!$V$5:$V$1004,0)))</f>
        <v/>
      </c>
      <c r="C875" s="79">
        <f>IF($A875="","",COUNTIFS('AFA Rates'!$A$5:$A$1004,$A875,'AFA Rates'!$O$5:$O$1004,"&lt;&gt;Expired"))</f>
        <v/>
      </c>
      <c r="D875" s="79">
        <f>IF(OR($A875="",D$23=""),"",IF(COUNTIFS('AFA Rates'!$A$5:$A$1004,$A875,'AFA Rates'!$B$5:$B$1004,D$23,'AFA Rates'!$O$5:$O$1004,"&lt;&gt;Expired")&gt;0,"✓",IF(COUNTIFS('AFA Rates'!$A$5:$A$1004,$A875,'AFA Rates'!$B$5:$B$1004,D$23)&gt;0,"Exp","")))</f>
        <v/>
      </c>
      <c r="E875" s="79">
        <f>IF(OR($A875="",E$23=""),"",IF(COUNTIFS('AFA Rates'!$A$5:$A$1004,$A875,'AFA Rates'!$B$5:$B$1004,E$23,'AFA Rates'!$O$5:$O$1004,"&lt;&gt;Expired")&gt;0,"✓",IF(COUNTIFS('AFA Rates'!$A$5:$A$1004,$A875,'AFA Rates'!$B$5:$B$1004,E$23)&gt;0,"Exp","")))</f>
        <v/>
      </c>
      <c r="F875" s="79">
        <f>IF(OR($A875="",F$23=""),"",IF(COUNTIFS('AFA Rates'!$A$5:$A$1004,$A875,'AFA Rates'!$B$5:$B$1004,F$23,'AFA Rates'!$O$5:$O$1004,"&lt;&gt;Expired")&gt;0,"✓",IF(COUNTIFS('AFA Rates'!$A$5:$A$1004,$A875,'AFA Rates'!$B$5:$B$1004,F$23)&gt;0,"Exp","")))</f>
        <v/>
      </c>
      <c r="G875" s="79">
        <f>IF(OR($A875="",G$23=""),"",IF(COUNTIFS('AFA Rates'!$A$5:$A$1004,$A875,'AFA Rates'!$B$5:$B$1004,G$23,'AFA Rates'!$O$5:$O$1004,"&lt;&gt;Expired")&gt;0,"✓",IF(COUNTIFS('AFA Rates'!$A$5:$A$1004,$A875,'AFA Rates'!$B$5:$B$1004,G$23)&gt;0,"Exp","")))</f>
        <v/>
      </c>
      <c r="H875" s="79">
        <f>IF(OR($A875="",H$23=""),"",IF(COUNTIFS('AFA Rates'!$A$5:$A$1004,$A875,'AFA Rates'!$B$5:$B$1004,H$23,'AFA Rates'!$O$5:$O$1004,"&lt;&gt;Expired")&gt;0,"✓",IF(COUNTIFS('AFA Rates'!$A$5:$A$1004,$A875,'AFA Rates'!$B$5:$B$1004,H$23)&gt;0,"Exp","")))</f>
        <v/>
      </c>
      <c r="I875" s="79">
        <f>IF(OR($A875="",I$23=""),"",IF(COUNTIFS('AFA Rates'!$A$5:$A$1004,$A875,'AFA Rates'!$B$5:$B$1004,I$23,'AFA Rates'!$O$5:$O$1004,"&lt;&gt;Expired")&gt;0,"✓",IF(COUNTIFS('AFA Rates'!$A$5:$A$1004,$A875,'AFA Rates'!$B$5:$B$1004,I$23)&gt;0,"Exp","")))</f>
        <v/>
      </c>
      <c r="J875" s="79">
        <f>IF(OR($A875="",J$23=""),"",IF(COUNTIFS('AFA Rates'!$A$5:$A$1004,$A875,'AFA Rates'!$B$5:$B$1004,J$23,'AFA Rates'!$O$5:$O$1004,"&lt;&gt;Expired")&gt;0,"✓",IF(COUNTIFS('AFA Rates'!$A$5:$A$1004,$A875,'AFA Rates'!$B$5:$B$1004,J$23)&gt;0,"Exp","")))</f>
        <v/>
      </c>
      <c r="K875" s="79">
        <f>IF(OR($A875="",K$23=""),"",IF(COUNTIFS('AFA Rates'!$A$5:$A$1004,$A875,'AFA Rates'!$B$5:$B$1004,K$23,'AFA Rates'!$O$5:$O$1004,"&lt;&gt;Expired")&gt;0,"✓",IF(COUNTIFS('AFA Rates'!$A$5:$A$1004,$A875,'AFA Rates'!$B$5:$B$1004,K$23)&gt;0,"Exp","")))</f>
        <v/>
      </c>
      <c r="L875" s="79">
        <f>IF(OR($A875="",L$23=""),"",IF(COUNTIFS('AFA Rates'!$A$5:$A$1004,$A875,'AFA Rates'!$B$5:$B$1004,L$23,'AFA Rates'!$O$5:$O$1004,"&lt;&gt;Expired")&gt;0,"✓",IF(COUNTIFS('AFA Rates'!$A$5:$A$1004,$A875,'AFA Rates'!$B$5:$B$1004,L$23)&gt;0,"Exp","")))</f>
        <v/>
      </c>
      <c r="M875" s="79">
        <f>IF(OR($A875="",M$23=""),"",IF(COUNTIFS('AFA Rates'!$A$5:$A$1004,$A875,'AFA Rates'!$B$5:$B$1004,M$23,'AFA Rates'!$O$5:$O$1004,"&lt;&gt;Expired")&gt;0,"✓",IF(COUNTIFS('AFA Rates'!$A$5:$A$1004,$A875,'AFA Rates'!$B$5:$B$1004,M$23)&gt;0,"Exp","")))</f>
        <v/>
      </c>
    </row>
    <row r="876">
      <c r="A876" s="78">
        <f>IFERROR(INDEX(Firms!$A$5:$A$1004,MATCH(853,Firms!$V$5:$V$1004,0)),"")</f>
        <v/>
      </c>
      <c r="B876" s="79">
        <f>IF($A876="","",INDEX(Firms!$B$5:$B$1004,MATCH(853,Firms!$V$5:$V$1004,0)))</f>
        <v/>
      </c>
      <c r="C876" s="79">
        <f>IF($A876="","",COUNTIFS('AFA Rates'!$A$5:$A$1004,$A876,'AFA Rates'!$O$5:$O$1004,"&lt;&gt;Expired"))</f>
        <v/>
      </c>
      <c r="D876" s="79">
        <f>IF(OR($A876="",D$23=""),"",IF(COUNTIFS('AFA Rates'!$A$5:$A$1004,$A876,'AFA Rates'!$B$5:$B$1004,D$23,'AFA Rates'!$O$5:$O$1004,"&lt;&gt;Expired")&gt;0,"✓",IF(COUNTIFS('AFA Rates'!$A$5:$A$1004,$A876,'AFA Rates'!$B$5:$B$1004,D$23)&gt;0,"Exp","")))</f>
        <v/>
      </c>
      <c r="E876" s="79">
        <f>IF(OR($A876="",E$23=""),"",IF(COUNTIFS('AFA Rates'!$A$5:$A$1004,$A876,'AFA Rates'!$B$5:$B$1004,E$23,'AFA Rates'!$O$5:$O$1004,"&lt;&gt;Expired")&gt;0,"✓",IF(COUNTIFS('AFA Rates'!$A$5:$A$1004,$A876,'AFA Rates'!$B$5:$B$1004,E$23)&gt;0,"Exp","")))</f>
        <v/>
      </c>
      <c r="F876" s="79">
        <f>IF(OR($A876="",F$23=""),"",IF(COUNTIFS('AFA Rates'!$A$5:$A$1004,$A876,'AFA Rates'!$B$5:$B$1004,F$23,'AFA Rates'!$O$5:$O$1004,"&lt;&gt;Expired")&gt;0,"✓",IF(COUNTIFS('AFA Rates'!$A$5:$A$1004,$A876,'AFA Rates'!$B$5:$B$1004,F$23)&gt;0,"Exp","")))</f>
        <v/>
      </c>
      <c r="G876" s="79">
        <f>IF(OR($A876="",G$23=""),"",IF(COUNTIFS('AFA Rates'!$A$5:$A$1004,$A876,'AFA Rates'!$B$5:$B$1004,G$23,'AFA Rates'!$O$5:$O$1004,"&lt;&gt;Expired")&gt;0,"✓",IF(COUNTIFS('AFA Rates'!$A$5:$A$1004,$A876,'AFA Rates'!$B$5:$B$1004,G$23)&gt;0,"Exp","")))</f>
        <v/>
      </c>
      <c r="H876" s="79">
        <f>IF(OR($A876="",H$23=""),"",IF(COUNTIFS('AFA Rates'!$A$5:$A$1004,$A876,'AFA Rates'!$B$5:$B$1004,H$23,'AFA Rates'!$O$5:$O$1004,"&lt;&gt;Expired")&gt;0,"✓",IF(COUNTIFS('AFA Rates'!$A$5:$A$1004,$A876,'AFA Rates'!$B$5:$B$1004,H$23)&gt;0,"Exp","")))</f>
        <v/>
      </c>
      <c r="I876" s="79">
        <f>IF(OR($A876="",I$23=""),"",IF(COUNTIFS('AFA Rates'!$A$5:$A$1004,$A876,'AFA Rates'!$B$5:$B$1004,I$23,'AFA Rates'!$O$5:$O$1004,"&lt;&gt;Expired")&gt;0,"✓",IF(COUNTIFS('AFA Rates'!$A$5:$A$1004,$A876,'AFA Rates'!$B$5:$B$1004,I$23)&gt;0,"Exp","")))</f>
        <v/>
      </c>
      <c r="J876" s="79">
        <f>IF(OR($A876="",J$23=""),"",IF(COUNTIFS('AFA Rates'!$A$5:$A$1004,$A876,'AFA Rates'!$B$5:$B$1004,J$23,'AFA Rates'!$O$5:$O$1004,"&lt;&gt;Expired")&gt;0,"✓",IF(COUNTIFS('AFA Rates'!$A$5:$A$1004,$A876,'AFA Rates'!$B$5:$B$1004,J$23)&gt;0,"Exp","")))</f>
        <v/>
      </c>
      <c r="K876" s="79">
        <f>IF(OR($A876="",K$23=""),"",IF(COUNTIFS('AFA Rates'!$A$5:$A$1004,$A876,'AFA Rates'!$B$5:$B$1004,K$23,'AFA Rates'!$O$5:$O$1004,"&lt;&gt;Expired")&gt;0,"✓",IF(COUNTIFS('AFA Rates'!$A$5:$A$1004,$A876,'AFA Rates'!$B$5:$B$1004,K$23)&gt;0,"Exp","")))</f>
        <v/>
      </c>
      <c r="L876" s="79">
        <f>IF(OR($A876="",L$23=""),"",IF(COUNTIFS('AFA Rates'!$A$5:$A$1004,$A876,'AFA Rates'!$B$5:$B$1004,L$23,'AFA Rates'!$O$5:$O$1004,"&lt;&gt;Expired")&gt;0,"✓",IF(COUNTIFS('AFA Rates'!$A$5:$A$1004,$A876,'AFA Rates'!$B$5:$B$1004,L$23)&gt;0,"Exp","")))</f>
        <v/>
      </c>
      <c r="M876" s="79">
        <f>IF(OR($A876="",M$23=""),"",IF(COUNTIFS('AFA Rates'!$A$5:$A$1004,$A876,'AFA Rates'!$B$5:$B$1004,M$23,'AFA Rates'!$O$5:$O$1004,"&lt;&gt;Expired")&gt;0,"✓",IF(COUNTIFS('AFA Rates'!$A$5:$A$1004,$A876,'AFA Rates'!$B$5:$B$1004,M$23)&gt;0,"Exp","")))</f>
        <v/>
      </c>
    </row>
    <row r="877">
      <c r="A877" s="78">
        <f>IFERROR(INDEX(Firms!$A$5:$A$1004,MATCH(854,Firms!$V$5:$V$1004,0)),"")</f>
        <v/>
      </c>
      <c r="B877" s="79">
        <f>IF($A877="","",INDEX(Firms!$B$5:$B$1004,MATCH(854,Firms!$V$5:$V$1004,0)))</f>
        <v/>
      </c>
      <c r="C877" s="79">
        <f>IF($A877="","",COUNTIFS('AFA Rates'!$A$5:$A$1004,$A877,'AFA Rates'!$O$5:$O$1004,"&lt;&gt;Expired"))</f>
        <v/>
      </c>
      <c r="D877" s="79">
        <f>IF(OR($A877="",D$23=""),"",IF(COUNTIFS('AFA Rates'!$A$5:$A$1004,$A877,'AFA Rates'!$B$5:$B$1004,D$23,'AFA Rates'!$O$5:$O$1004,"&lt;&gt;Expired")&gt;0,"✓",IF(COUNTIFS('AFA Rates'!$A$5:$A$1004,$A877,'AFA Rates'!$B$5:$B$1004,D$23)&gt;0,"Exp","")))</f>
        <v/>
      </c>
      <c r="E877" s="79">
        <f>IF(OR($A877="",E$23=""),"",IF(COUNTIFS('AFA Rates'!$A$5:$A$1004,$A877,'AFA Rates'!$B$5:$B$1004,E$23,'AFA Rates'!$O$5:$O$1004,"&lt;&gt;Expired")&gt;0,"✓",IF(COUNTIFS('AFA Rates'!$A$5:$A$1004,$A877,'AFA Rates'!$B$5:$B$1004,E$23)&gt;0,"Exp","")))</f>
        <v/>
      </c>
      <c r="F877" s="79">
        <f>IF(OR($A877="",F$23=""),"",IF(COUNTIFS('AFA Rates'!$A$5:$A$1004,$A877,'AFA Rates'!$B$5:$B$1004,F$23,'AFA Rates'!$O$5:$O$1004,"&lt;&gt;Expired")&gt;0,"✓",IF(COUNTIFS('AFA Rates'!$A$5:$A$1004,$A877,'AFA Rates'!$B$5:$B$1004,F$23)&gt;0,"Exp","")))</f>
        <v/>
      </c>
      <c r="G877" s="79">
        <f>IF(OR($A877="",G$23=""),"",IF(COUNTIFS('AFA Rates'!$A$5:$A$1004,$A877,'AFA Rates'!$B$5:$B$1004,G$23,'AFA Rates'!$O$5:$O$1004,"&lt;&gt;Expired")&gt;0,"✓",IF(COUNTIFS('AFA Rates'!$A$5:$A$1004,$A877,'AFA Rates'!$B$5:$B$1004,G$23)&gt;0,"Exp","")))</f>
        <v/>
      </c>
      <c r="H877" s="79">
        <f>IF(OR($A877="",H$23=""),"",IF(COUNTIFS('AFA Rates'!$A$5:$A$1004,$A877,'AFA Rates'!$B$5:$B$1004,H$23,'AFA Rates'!$O$5:$O$1004,"&lt;&gt;Expired")&gt;0,"✓",IF(COUNTIFS('AFA Rates'!$A$5:$A$1004,$A877,'AFA Rates'!$B$5:$B$1004,H$23)&gt;0,"Exp","")))</f>
        <v/>
      </c>
      <c r="I877" s="79">
        <f>IF(OR($A877="",I$23=""),"",IF(COUNTIFS('AFA Rates'!$A$5:$A$1004,$A877,'AFA Rates'!$B$5:$B$1004,I$23,'AFA Rates'!$O$5:$O$1004,"&lt;&gt;Expired")&gt;0,"✓",IF(COUNTIFS('AFA Rates'!$A$5:$A$1004,$A877,'AFA Rates'!$B$5:$B$1004,I$23)&gt;0,"Exp","")))</f>
        <v/>
      </c>
      <c r="J877" s="79">
        <f>IF(OR($A877="",J$23=""),"",IF(COUNTIFS('AFA Rates'!$A$5:$A$1004,$A877,'AFA Rates'!$B$5:$B$1004,J$23,'AFA Rates'!$O$5:$O$1004,"&lt;&gt;Expired")&gt;0,"✓",IF(COUNTIFS('AFA Rates'!$A$5:$A$1004,$A877,'AFA Rates'!$B$5:$B$1004,J$23)&gt;0,"Exp","")))</f>
        <v/>
      </c>
      <c r="K877" s="79">
        <f>IF(OR($A877="",K$23=""),"",IF(COUNTIFS('AFA Rates'!$A$5:$A$1004,$A877,'AFA Rates'!$B$5:$B$1004,K$23,'AFA Rates'!$O$5:$O$1004,"&lt;&gt;Expired")&gt;0,"✓",IF(COUNTIFS('AFA Rates'!$A$5:$A$1004,$A877,'AFA Rates'!$B$5:$B$1004,K$23)&gt;0,"Exp","")))</f>
        <v/>
      </c>
      <c r="L877" s="79">
        <f>IF(OR($A877="",L$23=""),"",IF(COUNTIFS('AFA Rates'!$A$5:$A$1004,$A877,'AFA Rates'!$B$5:$B$1004,L$23,'AFA Rates'!$O$5:$O$1004,"&lt;&gt;Expired")&gt;0,"✓",IF(COUNTIFS('AFA Rates'!$A$5:$A$1004,$A877,'AFA Rates'!$B$5:$B$1004,L$23)&gt;0,"Exp","")))</f>
        <v/>
      </c>
      <c r="M877" s="79">
        <f>IF(OR($A877="",M$23=""),"",IF(COUNTIFS('AFA Rates'!$A$5:$A$1004,$A877,'AFA Rates'!$B$5:$B$1004,M$23,'AFA Rates'!$O$5:$O$1004,"&lt;&gt;Expired")&gt;0,"✓",IF(COUNTIFS('AFA Rates'!$A$5:$A$1004,$A877,'AFA Rates'!$B$5:$B$1004,M$23)&gt;0,"Exp","")))</f>
        <v/>
      </c>
    </row>
    <row r="878">
      <c r="A878" s="78">
        <f>IFERROR(INDEX(Firms!$A$5:$A$1004,MATCH(855,Firms!$V$5:$V$1004,0)),"")</f>
        <v/>
      </c>
      <c r="B878" s="79">
        <f>IF($A878="","",INDEX(Firms!$B$5:$B$1004,MATCH(855,Firms!$V$5:$V$1004,0)))</f>
        <v/>
      </c>
      <c r="C878" s="79">
        <f>IF($A878="","",COUNTIFS('AFA Rates'!$A$5:$A$1004,$A878,'AFA Rates'!$O$5:$O$1004,"&lt;&gt;Expired"))</f>
        <v/>
      </c>
      <c r="D878" s="79">
        <f>IF(OR($A878="",D$23=""),"",IF(COUNTIFS('AFA Rates'!$A$5:$A$1004,$A878,'AFA Rates'!$B$5:$B$1004,D$23,'AFA Rates'!$O$5:$O$1004,"&lt;&gt;Expired")&gt;0,"✓",IF(COUNTIFS('AFA Rates'!$A$5:$A$1004,$A878,'AFA Rates'!$B$5:$B$1004,D$23)&gt;0,"Exp","")))</f>
        <v/>
      </c>
      <c r="E878" s="79">
        <f>IF(OR($A878="",E$23=""),"",IF(COUNTIFS('AFA Rates'!$A$5:$A$1004,$A878,'AFA Rates'!$B$5:$B$1004,E$23,'AFA Rates'!$O$5:$O$1004,"&lt;&gt;Expired")&gt;0,"✓",IF(COUNTIFS('AFA Rates'!$A$5:$A$1004,$A878,'AFA Rates'!$B$5:$B$1004,E$23)&gt;0,"Exp","")))</f>
        <v/>
      </c>
      <c r="F878" s="79">
        <f>IF(OR($A878="",F$23=""),"",IF(COUNTIFS('AFA Rates'!$A$5:$A$1004,$A878,'AFA Rates'!$B$5:$B$1004,F$23,'AFA Rates'!$O$5:$O$1004,"&lt;&gt;Expired")&gt;0,"✓",IF(COUNTIFS('AFA Rates'!$A$5:$A$1004,$A878,'AFA Rates'!$B$5:$B$1004,F$23)&gt;0,"Exp","")))</f>
        <v/>
      </c>
      <c r="G878" s="79">
        <f>IF(OR($A878="",G$23=""),"",IF(COUNTIFS('AFA Rates'!$A$5:$A$1004,$A878,'AFA Rates'!$B$5:$B$1004,G$23,'AFA Rates'!$O$5:$O$1004,"&lt;&gt;Expired")&gt;0,"✓",IF(COUNTIFS('AFA Rates'!$A$5:$A$1004,$A878,'AFA Rates'!$B$5:$B$1004,G$23)&gt;0,"Exp","")))</f>
        <v/>
      </c>
      <c r="H878" s="79">
        <f>IF(OR($A878="",H$23=""),"",IF(COUNTIFS('AFA Rates'!$A$5:$A$1004,$A878,'AFA Rates'!$B$5:$B$1004,H$23,'AFA Rates'!$O$5:$O$1004,"&lt;&gt;Expired")&gt;0,"✓",IF(COUNTIFS('AFA Rates'!$A$5:$A$1004,$A878,'AFA Rates'!$B$5:$B$1004,H$23)&gt;0,"Exp","")))</f>
        <v/>
      </c>
      <c r="I878" s="79">
        <f>IF(OR($A878="",I$23=""),"",IF(COUNTIFS('AFA Rates'!$A$5:$A$1004,$A878,'AFA Rates'!$B$5:$B$1004,I$23,'AFA Rates'!$O$5:$O$1004,"&lt;&gt;Expired")&gt;0,"✓",IF(COUNTIFS('AFA Rates'!$A$5:$A$1004,$A878,'AFA Rates'!$B$5:$B$1004,I$23)&gt;0,"Exp","")))</f>
        <v/>
      </c>
      <c r="J878" s="79">
        <f>IF(OR($A878="",J$23=""),"",IF(COUNTIFS('AFA Rates'!$A$5:$A$1004,$A878,'AFA Rates'!$B$5:$B$1004,J$23,'AFA Rates'!$O$5:$O$1004,"&lt;&gt;Expired")&gt;0,"✓",IF(COUNTIFS('AFA Rates'!$A$5:$A$1004,$A878,'AFA Rates'!$B$5:$B$1004,J$23)&gt;0,"Exp","")))</f>
        <v/>
      </c>
      <c r="K878" s="79">
        <f>IF(OR($A878="",K$23=""),"",IF(COUNTIFS('AFA Rates'!$A$5:$A$1004,$A878,'AFA Rates'!$B$5:$B$1004,K$23,'AFA Rates'!$O$5:$O$1004,"&lt;&gt;Expired")&gt;0,"✓",IF(COUNTIFS('AFA Rates'!$A$5:$A$1004,$A878,'AFA Rates'!$B$5:$B$1004,K$23)&gt;0,"Exp","")))</f>
        <v/>
      </c>
      <c r="L878" s="79">
        <f>IF(OR($A878="",L$23=""),"",IF(COUNTIFS('AFA Rates'!$A$5:$A$1004,$A878,'AFA Rates'!$B$5:$B$1004,L$23,'AFA Rates'!$O$5:$O$1004,"&lt;&gt;Expired")&gt;0,"✓",IF(COUNTIFS('AFA Rates'!$A$5:$A$1004,$A878,'AFA Rates'!$B$5:$B$1004,L$23)&gt;0,"Exp","")))</f>
        <v/>
      </c>
      <c r="M878" s="79">
        <f>IF(OR($A878="",M$23=""),"",IF(COUNTIFS('AFA Rates'!$A$5:$A$1004,$A878,'AFA Rates'!$B$5:$B$1004,M$23,'AFA Rates'!$O$5:$O$1004,"&lt;&gt;Expired")&gt;0,"✓",IF(COUNTIFS('AFA Rates'!$A$5:$A$1004,$A878,'AFA Rates'!$B$5:$B$1004,M$23)&gt;0,"Exp","")))</f>
        <v/>
      </c>
    </row>
    <row r="879">
      <c r="A879" s="78">
        <f>IFERROR(INDEX(Firms!$A$5:$A$1004,MATCH(856,Firms!$V$5:$V$1004,0)),"")</f>
        <v/>
      </c>
      <c r="B879" s="79">
        <f>IF($A879="","",INDEX(Firms!$B$5:$B$1004,MATCH(856,Firms!$V$5:$V$1004,0)))</f>
        <v/>
      </c>
      <c r="C879" s="79">
        <f>IF($A879="","",COUNTIFS('AFA Rates'!$A$5:$A$1004,$A879,'AFA Rates'!$O$5:$O$1004,"&lt;&gt;Expired"))</f>
        <v/>
      </c>
      <c r="D879" s="79">
        <f>IF(OR($A879="",D$23=""),"",IF(COUNTIFS('AFA Rates'!$A$5:$A$1004,$A879,'AFA Rates'!$B$5:$B$1004,D$23,'AFA Rates'!$O$5:$O$1004,"&lt;&gt;Expired")&gt;0,"✓",IF(COUNTIFS('AFA Rates'!$A$5:$A$1004,$A879,'AFA Rates'!$B$5:$B$1004,D$23)&gt;0,"Exp","")))</f>
        <v/>
      </c>
      <c r="E879" s="79">
        <f>IF(OR($A879="",E$23=""),"",IF(COUNTIFS('AFA Rates'!$A$5:$A$1004,$A879,'AFA Rates'!$B$5:$B$1004,E$23,'AFA Rates'!$O$5:$O$1004,"&lt;&gt;Expired")&gt;0,"✓",IF(COUNTIFS('AFA Rates'!$A$5:$A$1004,$A879,'AFA Rates'!$B$5:$B$1004,E$23)&gt;0,"Exp","")))</f>
        <v/>
      </c>
      <c r="F879" s="79">
        <f>IF(OR($A879="",F$23=""),"",IF(COUNTIFS('AFA Rates'!$A$5:$A$1004,$A879,'AFA Rates'!$B$5:$B$1004,F$23,'AFA Rates'!$O$5:$O$1004,"&lt;&gt;Expired")&gt;0,"✓",IF(COUNTIFS('AFA Rates'!$A$5:$A$1004,$A879,'AFA Rates'!$B$5:$B$1004,F$23)&gt;0,"Exp","")))</f>
        <v/>
      </c>
      <c r="G879" s="79">
        <f>IF(OR($A879="",G$23=""),"",IF(COUNTIFS('AFA Rates'!$A$5:$A$1004,$A879,'AFA Rates'!$B$5:$B$1004,G$23,'AFA Rates'!$O$5:$O$1004,"&lt;&gt;Expired")&gt;0,"✓",IF(COUNTIFS('AFA Rates'!$A$5:$A$1004,$A879,'AFA Rates'!$B$5:$B$1004,G$23)&gt;0,"Exp","")))</f>
        <v/>
      </c>
      <c r="H879" s="79">
        <f>IF(OR($A879="",H$23=""),"",IF(COUNTIFS('AFA Rates'!$A$5:$A$1004,$A879,'AFA Rates'!$B$5:$B$1004,H$23,'AFA Rates'!$O$5:$O$1004,"&lt;&gt;Expired")&gt;0,"✓",IF(COUNTIFS('AFA Rates'!$A$5:$A$1004,$A879,'AFA Rates'!$B$5:$B$1004,H$23)&gt;0,"Exp","")))</f>
        <v/>
      </c>
      <c r="I879" s="79">
        <f>IF(OR($A879="",I$23=""),"",IF(COUNTIFS('AFA Rates'!$A$5:$A$1004,$A879,'AFA Rates'!$B$5:$B$1004,I$23,'AFA Rates'!$O$5:$O$1004,"&lt;&gt;Expired")&gt;0,"✓",IF(COUNTIFS('AFA Rates'!$A$5:$A$1004,$A879,'AFA Rates'!$B$5:$B$1004,I$23)&gt;0,"Exp","")))</f>
        <v/>
      </c>
      <c r="J879" s="79">
        <f>IF(OR($A879="",J$23=""),"",IF(COUNTIFS('AFA Rates'!$A$5:$A$1004,$A879,'AFA Rates'!$B$5:$B$1004,J$23,'AFA Rates'!$O$5:$O$1004,"&lt;&gt;Expired")&gt;0,"✓",IF(COUNTIFS('AFA Rates'!$A$5:$A$1004,$A879,'AFA Rates'!$B$5:$B$1004,J$23)&gt;0,"Exp","")))</f>
        <v/>
      </c>
      <c r="K879" s="79">
        <f>IF(OR($A879="",K$23=""),"",IF(COUNTIFS('AFA Rates'!$A$5:$A$1004,$A879,'AFA Rates'!$B$5:$B$1004,K$23,'AFA Rates'!$O$5:$O$1004,"&lt;&gt;Expired")&gt;0,"✓",IF(COUNTIFS('AFA Rates'!$A$5:$A$1004,$A879,'AFA Rates'!$B$5:$B$1004,K$23)&gt;0,"Exp","")))</f>
        <v/>
      </c>
      <c r="L879" s="79">
        <f>IF(OR($A879="",L$23=""),"",IF(COUNTIFS('AFA Rates'!$A$5:$A$1004,$A879,'AFA Rates'!$B$5:$B$1004,L$23,'AFA Rates'!$O$5:$O$1004,"&lt;&gt;Expired")&gt;0,"✓",IF(COUNTIFS('AFA Rates'!$A$5:$A$1004,$A879,'AFA Rates'!$B$5:$B$1004,L$23)&gt;0,"Exp","")))</f>
        <v/>
      </c>
      <c r="M879" s="79">
        <f>IF(OR($A879="",M$23=""),"",IF(COUNTIFS('AFA Rates'!$A$5:$A$1004,$A879,'AFA Rates'!$B$5:$B$1004,M$23,'AFA Rates'!$O$5:$O$1004,"&lt;&gt;Expired")&gt;0,"✓",IF(COUNTIFS('AFA Rates'!$A$5:$A$1004,$A879,'AFA Rates'!$B$5:$B$1004,M$23)&gt;0,"Exp","")))</f>
        <v/>
      </c>
    </row>
    <row r="880">
      <c r="A880" s="78">
        <f>IFERROR(INDEX(Firms!$A$5:$A$1004,MATCH(857,Firms!$V$5:$V$1004,0)),"")</f>
        <v/>
      </c>
      <c r="B880" s="79">
        <f>IF($A880="","",INDEX(Firms!$B$5:$B$1004,MATCH(857,Firms!$V$5:$V$1004,0)))</f>
        <v/>
      </c>
      <c r="C880" s="79">
        <f>IF($A880="","",COUNTIFS('AFA Rates'!$A$5:$A$1004,$A880,'AFA Rates'!$O$5:$O$1004,"&lt;&gt;Expired"))</f>
        <v/>
      </c>
      <c r="D880" s="79">
        <f>IF(OR($A880="",D$23=""),"",IF(COUNTIFS('AFA Rates'!$A$5:$A$1004,$A880,'AFA Rates'!$B$5:$B$1004,D$23,'AFA Rates'!$O$5:$O$1004,"&lt;&gt;Expired")&gt;0,"✓",IF(COUNTIFS('AFA Rates'!$A$5:$A$1004,$A880,'AFA Rates'!$B$5:$B$1004,D$23)&gt;0,"Exp","")))</f>
        <v/>
      </c>
      <c r="E880" s="79">
        <f>IF(OR($A880="",E$23=""),"",IF(COUNTIFS('AFA Rates'!$A$5:$A$1004,$A880,'AFA Rates'!$B$5:$B$1004,E$23,'AFA Rates'!$O$5:$O$1004,"&lt;&gt;Expired")&gt;0,"✓",IF(COUNTIFS('AFA Rates'!$A$5:$A$1004,$A880,'AFA Rates'!$B$5:$B$1004,E$23)&gt;0,"Exp","")))</f>
        <v/>
      </c>
      <c r="F880" s="79">
        <f>IF(OR($A880="",F$23=""),"",IF(COUNTIFS('AFA Rates'!$A$5:$A$1004,$A880,'AFA Rates'!$B$5:$B$1004,F$23,'AFA Rates'!$O$5:$O$1004,"&lt;&gt;Expired")&gt;0,"✓",IF(COUNTIFS('AFA Rates'!$A$5:$A$1004,$A880,'AFA Rates'!$B$5:$B$1004,F$23)&gt;0,"Exp","")))</f>
        <v/>
      </c>
      <c r="G880" s="79">
        <f>IF(OR($A880="",G$23=""),"",IF(COUNTIFS('AFA Rates'!$A$5:$A$1004,$A880,'AFA Rates'!$B$5:$B$1004,G$23,'AFA Rates'!$O$5:$O$1004,"&lt;&gt;Expired")&gt;0,"✓",IF(COUNTIFS('AFA Rates'!$A$5:$A$1004,$A880,'AFA Rates'!$B$5:$B$1004,G$23)&gt;0,"Exp","")))</f>
        <v/>
      </c>
      <c r="H880" s="79">
        <f>IF(OR($A880="",H$23=""),"",IF(COUNTIFS('AFA Rates'!$A$5:$A$1004,$A880,'AFA Rates'!$B$5:$B$1004,H$23,'AFA Rates'!$O$5:$O$1004,"&lt;&gt;Expired")&gt;0,"✓",IF(COUNTIFS('AFA Rates'!$A$5:$A$1004,$A880,'AFA Rates'!$B$5:$B$1004,H$23)&gt;0,"Exp","")))</f>
        <v/>
      </c>
      <c r="I880" s="79">
        <f>IF(OR($A880="",I$23=""),"",IF(COUNTIFS('AFA Rates'!$A$5:$A$1004,$A880,'AFA Rates'!$B$5:$B$1004,I$23,'AFA Rates'!$O$5:$O$1004,"&lt;&gt;Expired")&gt;0,"✓",IF(COUNTIFS('AFA Rates'!$A$5:$A$1004,$A880,'AFA Rates'!$B$5:$B$1004,I$23)&gt;0,"Exp","")))</f>
        <v/>
      </c>
      <c r="J880" s="79">
        <f>IF(OR($A880="",J$23=""),"",IF(COUNTIFS('AFA Rates'!$A$5:$A$1004,$A880,'AFA Rates'!$B$5:$B$1004,J$23,'AFA Rates'!$O$5:$O$1004,"&lt;&gt;Expired")&gt;0,"✓",IF(COUNTIFS('AFA Rates'!$A$5:$A$1004,$A880,'AFA Rates'!$B$5:$B$1004,J$23)&gt;0,"Exp","")))</f>
        <v/>
      </c>
      <c r="K880" s="79">
        <f>IF(OR($A880="",K$23=""),"",IF(COUNTIFS('AFA Rates'!$A$5:$A$1004,$A880,'AFA Rates'!$B$5:$B$1004,K$23,'AFA Rates'!$O$5:$O$1004,"&lt;&gt;Expired")&gt;0,"✓",IF(COUNTIFS('AFA Rates'!$A$5:$A$1004,$A880,'AFA Rates'!$B$5:$B$1004,K$23)&gt;0,"Exp","")))</f>
        <v/>
      </c>
      <c r="L880" s="79">
        <f>IF(OR($A880="",L$23=""),"",IF(COUNTIFS('AFA Rates'!$A$5:$A$1004,$A880,'AFA Rates'!$B$5:$B$1004,L$23,'AFA Rates'!$O$5:$O$1004,"&lt;&gt;Expired")&gt;0,"✓",IF(COUNTIFS('AFA Rates'!$A$5:$A$1004,$A880,'AFA Rates'!$B$5:$B$1004,L$23)&gt;0,"Exp","")))</f>
        <v/>
      </c>
      <c r="M880" s="79">
        <f>IF(OR($A880="",M$23=""),"",IF(COUNTIFS('AFA Rates'!$A$5:$A$1004,$A880,'AFA Rates'!$B$5:$B$1004,M$23,'AFA Rates'!$O$5:$O$1004,"&lt;&gt;Expired")&gt;0,"✓",IF(COUNTIFS('AFA Rates'!$A$5:$A$1004,$A880,'AFA Rates'!$B$5:$B$1004,M$23)&gt;0,"Exp","")))</f>
        <v/>
      </c>
    </row>
    <row r="881">
      <c r="A881" s="78">
        <f>IFERROR(INDEX(Firms!$A$5:$A$1004,MATCH(858,Firms!$V$5:$V$1004,0)),"")</f>
        <v/>
      </c>
      <c r="B881" s="79">
        <f>IF($A881="","",INDEX(Firms!$B$5:$B$1004,MATCH(858,Firms!$V$5:$V$1004,0)))</f>
        <v/>
      </c>
      <c r="C881" s="79">
        <f>IF($A881="","",COUNTIFS('AFA Rates'!$A$5:$A$1004,$A881,'AFA Rates'!$O$5:$O$1004,"&lt;&gt;Expired"))</f>
        <v/>
      </c>
      <c r="D881" s="79">
        <f>IF(OR($A881="",D$23=""),"",IF(COUNTIFS('AFA Rates'!$A$5:$A$1004,$A881,'AFA Rates'!$B$5:$B$1004,D$23,'AFA Rates'!$O$5:$O$1004,"&lt;&gt;Expired")&gt;0,"✓",IF(COUNTIFS('AFA Rates'!$A$5:$A$1004,$A881,'AFA Rates'!$B$5:$B$1004,D$23)&gt;0,"Exp","")))</f>
        <v/>
      </c>
      <c r="E881" s="79">
        <f>IF(OR($A881="",E$23=""),"",IF(COUNTIFS('AFA Rates'!$A$5:$A$1004,$A881,'AFA Rates'!$B$5:$B$1004,E$23,'AFA Rates'!$O$5:$O$1004,"&lt;&gt;Expired")&gt;0,"✓",IF(COUNTIFS('AFA Rates'!$A$5:$A$1004,$A881,'AFA Rates'!$B$5:$B$1004,E$23)&gt;0,"Exp","")))</f>
        <v/>
      </c>
      <c r="F881" s="79">
        <f>IF(OR($A881="",F$23=""),"",IF(COUNTIFS('AFA Rates'!$A$5:$A$1004,$A881,'AFA Rates'!$B$5:$B$1004,F$23,'AFA Rates'!$O$5:$O$1004,"&lt;&gt;Expired")&gt;0,"✓",IF(COUNTIFS('AFA Rates'!$A$5:$A$1004,$A881,'AFA Rates'!$B$5:$B$1004,F$23)&gt;0,"Exp","")))</f>
        <v/>
      </c>
      <c r="G881" s="79">
        <f>IF(OR($A881="",G$23=""),"",IF(COUNTIFS('AFA Rates'!$A$5:$A$1004,$A881,'AFA Rates'!$B$5:$B$1004,G$23,'AFA Rates'!$O$5:$O$1004,"&lt;&gt;Expired")&gt;0,"✓",IF(COUNTIFS('AFA Rates'!$A$5:$A$1004,$A881,'AFA Rates'!$B$5:$B$1004,G$23)&gt;0,"Exp","")))</f>
        <v/>
      </c>
      <c r="H881" s="79">
        <f>IF(OR($A881="",H$23=""),"",IF(COUNTIFS('AFA Rates'!$A$5:$A$1004,$A881,'AFA Rates'!$B$5:$B$1004,H$23,'AFA Rates'!$O$5:$O$1004,"&lt;&gt;Expired")&gt;0,"✓",IF(COUNTIFS('AFA Rates'!$A$5:$A$1004,$A881,'AFA Rates'!$B$5:$B$1004,H$23)&gt;0,"Exp","")))</f>
        <v/>
      </c>
      <c r="I881" s="79">
        <f>IF(OR($A881="",I$23=""),"",IF(COUNTIFS('AFA Rates'!$A$5:$A$1004,$A881,'AFA Rates'!$B$5:$B$1004,I$23,'AFA Rates'!$O$5:$O$1004,"&lt;&gt;Expired")&gt;0,"✓",IF(COUNTIFS('AFA Rates'!$A$5:$A$1004,$A881,'AFA Rates'!$B$5:$B$1004,I$23)&gt;0,"Exp","")))</f>
        <v/>
      </c>
      <c r="J881" s="79">
        <f>IF(OR($A881="",J$23=""),"",IF(COUNTIFS('AFA Rates'!$A$5:$A$1004,$A881,'AFA Rates'!$B$5:$B$1004,J$23,'AFA Rates'!$O$5:$O$1004,"&lt;&gt;Expired")&gt;0,"✓",IF(COUNTIFS('AFA Rates'!$A$5:$A$1004,$A881,'AFA Rates'!$B$5:$B$1004,J$23)&gt;0,"Exp","")))</f>
        <v/>
      </c>
      <c r="K881" s="79">
        <f>IF(OR($A881="",K$23=""),"",IF(COUNTIFS('AFA Rates'!$A$5:$A$1004,$A881,'AFA Rates'!$B$5:$B$1004,K$23,'AFA Rates'!$O$5:$O$1004,"&lt;&gt;Expired")&gt;0,"✓",IF(COUNTIFS('AFA Rates'!$A$5:$A$1004,$A881,'AFA Rates'!$B$5:$B$1004,K$23)&gt;0,"Exp","")))</f>
        <v/>
      </c>
      <c r="L881" s="79">
        <f>IF(OR($A881="",L$23=""),"",IF(COUNTIFS('AFA Rates'!$A$5:$A$1004,$A881,'AFA Rates'!$B$5:$B$1004,L$23,'AFA Rates'!$O$5:$O$1004,"&lt;&gt;Expired")&gt;0,"✓",IF(COUNTIFS('AFA Rates'!$A$5:$A$1004,$A881,'AFA Rates'!$B$5:$B$1004,L$23)&gt;0,"Exp","")))</f>
        <v/>
      </c>
      <c r="M881" s="79">
        <f>IF(OR($A881="",M$23=""),"",IF(COUNTIFS('AFA Rates'!$A$5:$A$1004,$A881,'AFA Rates'!$B$5:$B$1004,M$23,'AFA Rates'!$O$5:$O$1004,"&lt;&gt;Expired")&gt;0,"✓",IF(COUNTIFS('AFA Rates'!$A$5:$A$1004,$A881,'AFA Rates'!$B$5:$B$1004,M$23)&gt;0,"Exp","")))</f>
        <v/>
      </c>
    </row>
    <row r="882">
      <c r="A882" s="78">
        <f>IFERROR(INDEX(Firms!$A$5:$A$1004,MATCH(859,Firms!$V$5:$V$1004,0)),"")</f>
        <v/>
      </c>
      <c r="B882" s="79">
        <f>IF($A882="","",INDEX(Firms!$B$5:$B$1004,MATCH(859,Firms!$V$5:$V$1004,0)))</f>
        <v/>
      </c>
      <c r="C882" s="79">
        <f>IF($A882="","",COUNTIFS('AFA Rates'!$A$5:$A$1004,$A882,'AFA Rates'!$O$5:$O$1004,"&lt;&gt;Expired"))</f>
        <v/>
      </c>
      <c r="D882" s="79">
        <f>IF(OR($A882="",D$23=""),"",IF(COUNTIFS('AFA Rates'!$A$5:$A$1004,$A882,'AFA Rates'!$B$5:$B$1004,D$23,'AFA Rates'!$O$5:$O$1004,"&lt;&gt;Expired")&gt;0,"✓",IF(COUNTIFS('AFA Rates'!$A$5:$A$1004,$A882,'AFA Rates'!$B$5:$B$1004,D$23)&gt;0,"Exp","")))</f>
        <v/>
      </c>
      <c r="E882" s="79">
        <f>IF(OR($A882="",E$23=""),"",IF(COUNTIFS('AFA Rates'!$A$5:$A$1004,$A882,'AFA Rates'!$B$5:$B$1004,E$23,'AFA Rates'!$O$5:$O$1004,"&lt;&gt;Expired")&gt;0,"✓",IF(COUNTIFS('AFA Rates'!$A$5:$A$1004,$A882,'AFA Rates'!$B$5:$B$1004,E$23)&gt;0,"Exp","")))</f>
        <v/>
      </c>
      <c r="F882" s="79">
        <f>IF(OR($A882="",F$23=""),"",IF(COUNTIFS('AFA Rates'!$A$5:$A$1004,$A882,'AFA Rates'!$B$5:$B$1004,F$23,'AFA Rates'!$O$5:$O$1004,"&lt;&gt;Expired")&gt;0,"✓",IF(COUNTIFS('AFA Rates'!$A$5:$A$1004,$A882,'AFA Rates'!$B$5:$B$1004,F$23)&gt;0,"Exp","")))</f>
        <v/>
      </c>
      <c r="G882" s="79">
        <f>IF(OR($A882="",G$23=""),"",IF(COUNTIFS('AFA Rates'!$A$5:$A$1004,$A882,'AFA Rates'!$B$5:$B$1004,G$23,'AFA Rates'!$O$5:$O$1004,"&lt;&gt;Expired")&gt;0,"✓",IF(COUNTIFS('AFA Rates'!$A$5:$A$1004,$A882,'AFA Rates'!$B$5:$B$1004,G$23)&gt;0,"Exp","")))</f>
        <v/>
      </c>
      <c r="H882" s="79">
        <f>IF(OR($A882="",H$23=""),"",IF(COUNTIFS('AFA Rates'!$A$5:$A$1004,$A882,'AFA Rates'!$B$5:$B$1004,H$23,'AFA Rates'!$O$5:$O$1004,"&lt;&gt;Expired")&gt;0,"✓",IF(COUNTIFS('AFA Rates'!$A$5:$A$1004,$A882,'AFA Rates'!$B$5:$B$1004,H$23)&gt;0,"Exp","")))</f>
        <v/>
      </c>
      <c r="I882" s="79">
        <f>IF(OR($A882="",I$23=""),"",IF(COUNTIFS('AFA Rates'!$A$5:$A$1004,$A882,'AFA Rates'!$B$5:$B$1004,I$23,'AFA Rates'!$O$5:$O$1004,"&lt;&gt;Expired")&gt;0,"✓",IF(COUNTIFS('AFA Rates'!$A$5:$A$1004,$A882,'AFA Rates'!$B$5:$B$1004,I$23)&gt;0,"Exp","")))</f>
        <v/>
      </c>
      <c r="J882" s="79">
        <f>IF(OR($A882="",J$23=""),"",IF(COUNTIFS('AFA Rates'!$A$5:$A$1004,$A882,'AFA Rates'!$B$5:$B$1004,J$23,'AFA Rates'!$O$5:$O$1004,"&lt;&gt;Expired")&gt;0,"✓",IF(COUNTIFS('AFA Rates'!$A$5:$A$1004,$A882,'AFA Rates'!$B$5:$B$1004,J$23)&gt;0,"Exp","")))</f>
        <v/>
      </c>
      <c r="K882" s="79">
        <f>IF(OR($A882="",K$23=""),"",IF(COUNTIFS('AFA Rates'!$A$5:$A$1004,$A882,'AFA Rates'!$B$5:$B$1004,K$23,'AFA Rates'!$O$5:$O$1004,"&lt;&gt;Expired")&gt;0,"✓",IF(COUNTIFS('AFA Rates'!$A$5:$A$1004,$A882,'AFA Rates'!$B$5:$B$1004,K$23)&gt;0,"Exp","")))</f>
        <v/>
      </c>
      <c r="L882" s="79">
        <f>IF(OR($A882="",L$23=""),"",IF(COUNTIFS('AFA Rates'!$A$5:$A$1004,$A882,'AFA Rates'!$B$5:$B$1004,L$23,'AFA Rates'!$O$5:$O$1004,"&lt;&gt;Expired")&gt;0,"✓",IF(COUNTIFS('AFA Rates'!$A$5:$A$1004,$A882,'AFA Rates'!$B$5:$B$1004,L$23)&gt;0,"Exp","")))</f>
        <v/>
      </c>
      <c r="M882" s="79">
        <f>IF(OR($A882="",M$23=""),"",IF(COUNTIFS('AFA Rates'!$A$5:$A$1004,$A882,'AFA Rates'!$B$5:$B$1004,M$23,'AFA Rates'!$O$5:$O$1004,"&lt;&gt;Expired")&gt;0,"✓",IF(COUNTIFS('AFA Rates'!$A$5:$A$1004,$A882,'AFA Rates'!$B$5:$B$1004,M$23)&gt;0,"Exp","")))</f>
        <v/>
      </c>
    </row>
    <row r="883">
      <c r="A883" s="78">
        <f>IFERROR(INDEX(Firms!$A$5:$A$1004,MATCH(860,Firms!$V$5:$V$1004,0)),"")</f>
        <v/>
      </c>
      <c r="B883" s="79">
        <f>IF($A883="","",INDEX(Firms!$B$5:$B$1004,MATCH(860,Firms!$V$5:$V$1004,0)))</f>
        <v/>
      </c>
      <c r="C883" s="79">
        <f>IF($A883="","",COUNTIFS('AFA Rates'!$A$5:$A$1004,$A883,'AFA Rates'!$O$5:$O$1004,"&lt;&gt;Expired"))</f>
        <v/>
      </c>
      <c r="D883" s="79">
        <f>IF(OR($A883="",D$23=""),"",IF(COUNTIFS('AFA Rates'!$A$5:$A$1004,$A883,'AFA Rates'!$B$5:$B$1004,D$23,'AFA Rates'!$O$5:$O$1004,"&lt;&gt;Expired")&gt;0,"✓",IF(COUNTIFS('AFA Rates'!$A$5:$A$1004,$A883,'AFA Rates'!$B$5:$B$1004,D$23)&gt;0,"Exp","")))</f>
        <v/>
      </c>
      <c r="E883" s="79">
        <f>IF(OR($A883="",E$23=""),"",IF(COUNTIFS('AFA Rates'!$A$5:$A$1004,$A883,'AFA Rates'!$B$5:$B$1004,E$23,'AFA Rates'!$O$5:$O$1004,"&lt;&gt;Expired")&gt;0,"✓",IF(COUNTIFS('AFA Rates'!$A$5:$A$1004,$A883,'AFA Rates'!$B$5:$B$1004,E$23)&gt;0,"Exp","")))</f>
        <v/>
      </c>
      <c r="F883" s="79">
        <f>IF(OR($A883="",F$23=""),"",IF(COUNTIFS('AFA Rates'!$A$5:$A$1004,$A883,'AFA Rates'!$B$5:$B$1004,F$23,'AFA Rates'!$O$5:$O$1004,"&lt;&gt;Expired")&gt;0,"✓",IF(COUNTIFS('AFA Rates'!$A$5:$A$1004,$A883,'AFA Rates'!$B$5:$B$1004,F$23)&gt;0,"Exp","")))</f>
        <v/>
      </c>
      <c r="G883" s="79">
        <f>IF(OR($A883="",G$23=""),"",IF(COUNTIFS('AFA Rates'!$A$5:$A$1004,$A883,'AFA Rates'!$B$5:$B$1004,G$23,'AFA Rates'!$O$5:$O$1004,"&lt;&gt;Expired")&gt;0,"✓",IF(COUNTIFS('AFA Rates'!$A$5:$A$1004,$A883,'AFA Rates'!$B$5:$B$1004,G$23)&gt;0,"Exp","")))</f>
        <v/>
      </c>
      <c r="H883" s="79">
        <f>IF(OR($A883="",H$23=""),"",IF(COUNTIFS('AFA Rates'!$A$5:$A$1004,$A883,'AFA Rates'!$B$5:$B$1004,H$23,'AFA Rates'!$O$5:$O$1004,"&lt;&gt;Expired")&gt;0,"✓",IF(COUNTIFS('AFA Rates'!$A$5:$A$1004,$A883,'AFA Rates'!$B$5:$B$1004,H$23)&gt;0,"Exp","")))</f>
        <v/>
      </c>
      <c r="I883" s="79">
        <f>IF(OR($A883="",I$23=""),"",IF(COUNTIFS('AFA Rates'!$A$5:$A$1004,$A883,'AFA Rates'!$B$5:$B$1004,I$23,'AFA Rates'!$O$5:$O$1004,"&lt;&gt;Expired")&gt;0,"✓",IF(COUNTIFS('AFA Rates'!$A$5:$A$1004,$A883,'AFA Rates'!$B$5:$B$1004,I$23)&gt;0,"Exp","")))</f>
        <v/>
      </c>
      <c r="J883" s="79">
        <f>IF(OR($A883="",J$23=""),"",IF(COUNTIFS('AFA Rates'!$A$5:$A$1004,$A883,'AFA Rates'!$B$5:$B$1004,J$23,'AFA Rates'!$O$5:$O$1004,"&lt;&gt;Expired")&gt;0,"✓",IF(COUNTIFS('AFA Rates'!$A$5:$A$1004,$A883,'AFA Rates'!$B$5:$B$1004,J$23)&gt;0,"Exp","")))</f>
        <v/>
      </c>
      <c r="K883" s="79">
        <f>IF(OR($A883="",K$23=""),"",IF(COUNTIFS('AFA Rates'!$A$5:$A$1004,$A883,'AFA Rates'!$B$5:$B$1004,K$23,'AFA Rates'!$O$5:$O$1004,"&lt;&gt;Expired")&gt;0,"✓",IF(COUNTIFS('AFA Rates'!$A$5:$A$1004,$A883,'AFA Rates'!$B$5:$B$1004,K$23)&gt;0,"Exp","")))</f>
        <v/>
      </c>
      <c r="L883" s="79">
        <f>IF(OR($A883="",L$23=""),"",IF(COUNTIFS('AFA Rates'!$A$5:$A$1004,$A883,'AFA Rates'!$B$5:$B$1004,L$23,'AFA Rates'!$O$5:$O$1004,"&lt;&gt;Expired")&gt;0,"✓",IF(COUNTIFS('AFA Rates'!$A$5:$A$1004,$A883,'AFA Rates'!$B$5:$B$1004,L$23)&gt;0,"Exp","")))</f>
        <v/>
      </c>
      <c r="M883" s="79">
        <f>IF(OR($A883="",M$23=""),"",IF(COUNTIFS('AFA Rates'!$A$5:$A$1004,$A883,'AFA Rates'!$B$5:$B$1004,M$23,'AFA Rates'!$O$5:$O$1004,"&lt;&gt;Expired")&gt;0,"✓",IF(COUNTIFS('AFA Rates'!$A$5:$A$1004,$A883,'AFA Rates'!$B$5:$B$1004,M$23)&gt;0,"Exp","")))</f>
        <v/>
      </c>
    </row>
    <row r="884">
      <c r="A884" s="78">
        <f>IFERROR(INDEX(Firms!$A$5:$A$1004,MATCH(861,Firms!$V$5:$V$1004,0)),"")</f>
        <v/>
      </c>
      <c r="B884" s="79">
        <f>IF($A884="","",INDEX(Firms!$B$5:$B$1004,MATCH(861,Firms!$V$5:$V$1004,0)))</f>
        <v/>
      </c>
      <c r="C884" s="79">
        <f>IF($A884="","",COUNTIFS('AFA Rates'!$A$5:$A$1004,$A884,'AFA Rates'!$O$5:$O$1004,"&lt;&gt;Expired"))</f>
        <v/>
      </c>
      <c r="D884" s="79">
        <f>IF(OR($A884="",D$23=""),"",IF(COUNTIFS('AFA Rates'!$A$5:$A$1004,$A884,'AFA Rates'!$B$5:$B$1004,D$23,'AFA Rates'!$O$5:$O$1004,"&lt;&gt;Expired")&gt;0,"✓",IF(COUNTIFS('AFA Rates'!$A$5:$A$1004,$A884,'AFA Rates'!$B$5:$B$1004,D$23)&gt;0,"Exp","")))</f>
        <v/>
      </c>
      <c r="E884" s="79">
        <f>IF(OR($A884="",E$23=""),"",IF(COUNTIFS('AFA Rates'!$A$5:$A$1004,$A884,'AFA Rates'!$B$5:$B$1004,E$23,'AFA Rates'!$O$5:$O$1004,"&lt;&gt;Expired")&gt;0,"✓",IF(COUNTIFS('AFA Rates'!$A$5:$A$1004,$A884,'AFA Rates'!$B$5:$B$1004,E$23)&gt;0,"Exp","")))</f>
        <v/>
      </c>
      <c r="F884" s="79">
        <f>IF(OR($A884="",F$23=""),"",IF(COUNTIFS('AFA Rates'!$A$5:$A$1004,$A884,'AFA Rates'!$B$5:$B$1004,F$23,'AFA Rates'!$O$5:$O$1004,"&lt;&gt;Expired")&gt;0,"✓",IF(COUNTIFS('AFA Rates'!$A$5:$A$1004,$A884,'AFA Rates'!$B$5:$B$1004,F$23)&gt;0,"Exp","")))</f>
        <v/>
      </c>
      <c r="G884" s="79">
        <f>IF(OR($A884="",G$23=""),"",IF(COUNTIFS('AFA Rates'!$A$5:$A$1004,$A884,'AFA Rates'!$B$5:$B$1004,G$23,'AFA Rates'!$O$5:$O$1004,"&lt;&gt;Expired")&gt;0,"✓",IF(COUNTIFS('AFA Rates'!$A$5:$A$1004,$A884,'AFA Rates'!$B$5:$B$1004,G$23)&gt;0,"Exp","")))</f>
        <v/>
      </c>
      <c r="H884" s="79">
        <f>IF(OR($A884="",H$23=""),"",IF(COUNTIFS('AFA Rates'!$A$5:$A$1004,$A884,'AFA Rates'!$B$5:$B$1004,H$23,'AFA Rates'!$O$5:$O$1004,"&lt;&gt;Expired")&gt;0,"✓",IF(COUNTIFS('AFA Rates'!$A$5:$A$1004,$A884,'AFA Rates'!$B$5:$B$1004,H$23)&gt;0,"Exp","")))</f>
        <v/>
      </c>
      <c r="I884" s="79">
        <f>IF(OR($A884="",I$23=""),"",IF(COUNTIFS('AFA Rates'!$A$5:$A$1004,$A884,'AFA Rates'!$B$5:$B$1004,I$23,'AFA Rates'!$O$5:$O$1004,"&lt;&gt;Expired")&gt;0,"✓",IF(COUNTIFS('AFA Rates'!$A$5:$A$1004,$A884,'AFA Rates'!$B$5:$B$1004,I$23)&gt;0,"Exp","")))</f>
        <v/>
      </c>
      <c r="J884" s="79">
        <f>IF(OR($A884="",J$23=""),"",IF(COUNTIFS('AFA Rates'!$A$5:$A$1004,$A884,'AFA Rates'!$B$5:$B$1004,J$23,'AFA Rates'!$O$5:$O$1004,"&lt;&gt;Expired")&gt;0,"✓",IF(COUNTIFS('AFA Rates'!$A$5:$A$1004,$A884,'AFA Rates'!$B$5:$B$1004,J$23)&gt;0,"Exp","")))</f>
        <v/>
      </c>
      <c r="K884" s="79">
        <f>IF(OR($A884="",K$23=""),"",IF(COUNTIFS('AFA Rates'!$A$5:$A$1004,$A884,'AFA Rates'!$B$5:$B$1004,K$23,'AFA Rates'!$O$5:$O$1004,"&lt;&gt;Expired")&gt;0,"✓",IF(COUNTIFS('AFA Rates'!$A$5:$A$1004,$A884,'AFA Rates'!$B$5:$B$1004,K$23)&gt;0,"Exp","")))</f>
        <v/>
      </c>
      <c r="L884" s="79">
        <f>IF(OR($A884="",L$23=""),"",IF(COUNTIFS('AFA Rates'!$A$5:$A$1004,$A884,'AFA Rates'!$B$5:$B$1004,L$23,'AFA Rates'!$O$5:$O$1004,"&lt;&gt;Expired")&gt;0,"✓",IF(COUNTIFS('AFA Rates'!$A$5:$A$1004,$A884,'AFA Rates'!$B$5:$B$1004,L$23)&gt;0,"Exp","")))</f>
        <v/>
      </c>
      <c r="M884" s="79">
        <f>IF(OR($A884="",M$23=""),"",IF(COUNTIFS('AFA Rates'!$A$5:$A$1004,$A884,'AFA Rates'!$B$5:$B$1004,M$23,'AFA Rates'!$O$5:$O$1004,"&lt;&gt;Expired")&gt;0,"✓",IF(COUNTIFS('AFA Rates'!$A$5:$A$1004,$A884,'AFA Rates'!$B$5:$B$1004,M$23)&gt;0,"Exp","")))</f>
        <v/>
      </c>
    </row>
    <row r="885">
      <c r="A885" s="78">
        <f>IFERROR(INDEX(Firms!$A$5:$A$1004,MATCH(862,Firms!$V$5:$V$1004,0)),"")</f>
        <v/>
      </c>
      <c r="B885" s="79">
        <f>IF($A885="","",INDEX(Firms!$B$5:$B$1004,MATCH(862,Firms!$V$5:$V$1004,0)))</f>
        <v/>
      </c>
      <c r="C885" s="79">
        <f>IF($A885="","",COUNTIFS('AFA Rates'!$A$5:$A$1004,$A885,'AFA Rates'!$O$5:$O$1004,"&lt;&gt;Expired"))</f>
        <v/>
      </c>
      <c r="D885" s="79">
        <f>IF(OR($A885="",D$23=""),"",IF(COUNTIFS('AFA Rates'!$A$5:$A$1004,$A885,'AFA Rates'!$B$5:$B$1004,D$23,'AFA Rates'!$O$5:$O$1004,"&lt;&gt;Expired")&gt;0,"✓",IF(COUNTIFS('AFA Rates'!$A$5:$A$1004,$A885,'AFA Rates'!$B$5:$B$1004,D$23)&gt;0,"Exp","")))</f>
        <v/>
      </c>
      <c r="E885" s="79">
        <f>IF(OR($A885="",E$23=""),"",IF(COUNTIFS('AFA Rates'!$A$5:$A$1004,$A885,'AFA Rates'!$B$5:$B$1004,E$23,'AFA Rates'!$O$5:$O$1004,"&lt;&gt;Expired")&gt;0,"✓",IF(COUNTIFS('AFA Rates'!$A$5:$A$1004,$A885,'AFA Rates'!$B$5:$B$1004,E$23)&gt;0,"Exp","")))</f>
        <v/>
      </c>
      <c r="F885" s="79">
        <f>IF(OR($A885="",F$23=""),"",IF(COUNTIFS('AFA Rates'!$A$5:$A$1004,$A885,'AFA Rates'!$B$5:$B$1004,F$23,'AFA Rates'!$O$5:$O$1004,"&lt;&gt;Expired")&gt;0,"✓",IF(COUNTIFS('AFA Rates'!$A$5:$A$1004,$A885,'AFA Rates'!$B$5:$B$1004,F$23)&gt;0,"Exp","")))</f>
        <v/>
      </c>
      <c r="G885" s="79">
        <f>IF(OR($A885="",G$23=""),"",IF(COUNTIFS('AFA Rates'!$A$5:$A$1004,$A885,'AFA Rates'!$B$5:$B$1004,G$23,'AFA Rates'!$O$5:$O$1004,"&lt;&gt;Expired")&gt;0,"✓",IF(COUNTIFS('AFA Rates'!$A$5:$A$1004,$A885,'AFA Rates'!$B$5:$B$1004,G$23)&gt;0,"Exp","")))</f>
        <v/>
      </c>
      <c r="H885" s="79">
        <f>IF(OR($A885="",H$23=""),"",IF(COUNTIFS('AFA Rates'!$A$5:$A$1004,$A885,'AFA Rates'!$B$5:$B$1004,H$23,'AFA Rates'!$O$5:$O$1004,"&lt;&gt;Expired")&gt;0,"✓",IF(COUNTIFS('AFA Rates'!$A$5:$A$1004,$A885,'AFA Rates'!$B$5:$B$1004,H$23)&gt;0,"Exp","")))</f>
        <v/>
      </c>
      <c r="I885" s="79">
        <f>IF(OR($A885="",I$23=""),"",IF(COUNTIFS('AFA Rates'!$A$5:$A$1004,$A885,'AFA Rates'!$B$5:$B$1004,I$23,'AFA Rates'!$O$5:$O$1004,"&lt;&gt;Expired")&gt;0,"✓",IF(COUNTIFS('AFA Rates'!$A$5:$A$1004,$A885,'AFA Rates'!$B$5:$B$1004,I$23)&gt;0,"Exp","")))</f>
        <v/>
      </c>
      <c r="J885" s="79">
        <f>IF(OR($A885="",J$23=""),"",IF(COUNTIFS('AFA Rates'!$A$5:$A$1004,$A885,'AFA Rates'!$B$5:$B$1004,J$23,'AFA Rates'!$O$5:$O$1004,"&lt;&gt;Expired")&gt;0,"✓",IF(COUNTIFS('AFA Rates'!$A$5:$A$1004,$A885,'AFA Rates'!$B$5:$B$1004,J$23)&gt;0,"Exp","")))</f>
        <v/>
      </c>
      <c r="K885" s="79">
        <f>IF(OR($A885="",K$23=""),"",IF(COUNTIFS('AFA Rates'!$A$5:$A$1004,$A885,'AFA Rates'!$B$5:$B$1004,K$23,'AFA Rates'!$O$5:$O$1004,"&lt;&gt;Expired")&gt;0,"✓",IF(COUNTIFS('AFA Rates'!$A$5:$A$1004,$A885,'AFA Rates'!$B$5:$B$1004,K$23)&gt;0,"Exp","")))</f>
        <v/>
      </c>
      <c r="L885" s="79">
        <f>IF(OR($A885="",L$23=""),"",IF(COUNTIFS('AFA Rates'!$A$5:$A$1004,$A885,'AFA Rates'!$B$5:$B$1004,L$23,'AFA Rates'!$O$5:$O$1004,"&lt;&gt;Expired")&gt;0,"✓",IF(COUNTIFS('AFA Rates'!$A$5:$A$1004,$A885,'AFA Rates'!$B$5:$B$1004,L$23)&gt;0,"Exp","")))</f>
        <v/>
      </c>
      <c r="M885" s="79">
        <f>IF(OR($A885="",M$23=""),"",IF(COUNTIFS('AFA Rates'!$A$5:$A$1004,$A885,'AFA Rates'!$B$5:$B$1004,M$23,'AFA Rates'!$O$5:$O$1004,"&lt;&gt;Expired")&gt;0,"✓",IF(COUNTIFS('AFA Rates'!$A$5:$A$1004,$A885,'AFA Rates'!$B$5:$B$1004,M$23)&gt;0,"Exp","")))</f>
        <v/>
      </c>
    </row>
    <row r="886">
      <c r="A886" s="78">
        <f>IFERROR(INDEX(Firms!$A$5:$A$1004,MATCH(863,Firms!$V$5:$V$1004,0)),"")</f>
        <v/>
      </c>
      <c r="B886" s="79">
        <f>IF($A886="","",INDEX(Firms!$B$5:$B$1004,MATCH(863,Firms!$V$5:$V$1004,0)))</f>
        <v/>
      </c>
      <c r="C886" s="79">
        <f>IF($A886="","",COUNTIFS('AFA Rates'!$A$5:$A$1004,$A886,'AFA Rates'!$O$5:$O$1004,"&lt;&gt;Expired"))</f>
        <v/>
      </c>
      <c r="D886" s="79">
        <f>IF(OR($A886="",D$23=""),"",IF(COUNTIFS('AFA Rates'!$A$5:$A$1004,$A886,'AFA Rates'!$B$5:$B$1004,D$23,'AFA Rates'!$O$5:$O$1004,"&lt;&gt;Expired")&gt;0,"✓",IF(COUNTIFS('AFA Rates'!$A$5:$A$1004,$A886,'AFA Rates'!$B$5:$B$1004,D$23)&gt;0,"Exp","")))</f>
        <v/>
      </c>
      <c r="E886" s="79">
        <f>IF(OR($A886="",E$23=""),"",IF(COUNTIFS('AFA Rates'!$A$5:$A$1004,$A886,'AFA Rates'!$B$5:$B$1004,E$23,'AFA Rates'!$O$5:$O$1004,"&lt;&gt;Expired")&gt;0,"✓",IF(COUNTIFS('AFA Rates'!$A$5:$A$1004,$A886,'AFA Rates'!$B$5:$B$1004,E$23)&gt;0,"Exp","")))</f>
        <v/>
      </c>
      <c r="F886" s="79">
        <f>IF(OR($A886="",F$23=""),"",IF(COUNTIFS('AFA Rates'!$A$5:$A$1004,$A886,'AFA Rates'!$B$5:$B$1004,F$23,'AFA Rates'!$O$5:$O$1004,"&lt;&gt;Expired")&gt;0,"✓",IF(COUNTIFS('AFA Rates'!$A$5:$A$1004,$A886,'AFA Rates'!$B$5:$B$1004,F$23)&gt;0,"Exp","")))</f>
        <v/>
      </c>
      <c r="G886" s="79">
        <f>IF(OR($A886="",G$23=""),"",IF(COUNTIFS('AFA Rates'!$A$5:$A$1004,$A886,'AFA Rates'!$B$5:$B$1004,G$23,'AFA Rates'!$O$5:$O$1004,"&lt;&gt;Expired")&gt;0,"✓",IF(COUNTIFS('AFA Rates'!$A$5:$A$1004,$A886,'AFA Rates'!$B$5:$B$1004,G$23)&gt;0,"Exp","")))</f>
        <v/>
      </c>
      <c r="H886" s="79">
        <f>IF(OR($A886="",H$23=""),"",IF(COUNTIFS('AFA Rates'!$A$5:$A$1004,$A886,'AFA Rates'!$B$5:$B$1004,H$23,'AFA Rates'!$O$5:$O$1004,"&lt;&gt;Expired")&gt;0,"✓",IF(COUNTIFS('AFA Rates'!$A$5:$A$1004,$A886,'AFA Rates'!$B$5:$B$1004,H$23)&gt;0,"Exp","")))</f>
        <v/>
      </c>
      <c r="I886" s="79">
        <f>IF(OR($A886="",I$23=""),"",IF(COUNTIFS('AFA Rates'!$A$5:$A$1004,$A886,'AFA Rates'!$B$5:$B$1004,I$23,'AFA Rates'!$O$5:$O$1004,"&lt;&gt;Expired")&gt;0,"✓",IF(COUNTIFS('AFA Rates'!$A$5:$A$1004,$A886,'AFA Rates'!$B$5:$B$1004,I$23)&gt;0,"Exp","")))</f>
        <v/>
      </c>
      <c r="J886" s="79">
        <f>IF(OR($A886="",J$23=""),"",IF(COUNTIFS('AFA Rates'!$A$5:$A$1004,$A886,'AFA Rates'!$B$5:$B$1004,J$23,'AFA Rates'!$O$5:$O$1004,"&lt;&gt;Expired")&gt;0,"✓",IF(COUNTIFS('AFA Rates'!$A$5:$A$1004,$A886,'AFA Rates'!$B$5:$B$1004,J$23)&gt;0,"Exp","")))</f>
        <v/>
      </c>
      <c r="K886" s="79">
        <f>IF(OR($A886="",K$23=""),"",IF(COUNTIFS('AFA Rates'!$A$5:$A$1004,$A886,'AFA Rates'!$B$5:$B$1004,K$23,'AFA Rates'!$O$5:$O$1004,"&lt;&gt;Expired")&gt;0,"✓",IF(COUNTIFS('AFA Rates'!$A$5:$A$1004,$A886,'AFA Rates'!$B$5:$B$1004,K$23)&gt;0,"Exp","")))</f>
        <v/>
      </c>
      <c r="L886" s="79">
        <f>IF(OR($A886="",L$23=""),"",IF(COUNTIFS('AFA Rates'!$A$5:$A$1004,$A886,'AFA Rates'!$B$5:$B$1004,L$23,'AFA Rates'!$O$5:$O$1004,"&lt;&gt;Expired")&gt;0,"✓",IF(COUNTIFS('AFA Rates'!$A$5:$A$1004,$A886,'AFA Rates'!$B$5:$B$1004,L$23)&gt;0,"Exp","")))</f>
        <v/>
      </c>
      <c r="M886" s="79">
        <f>IF(OR($A886="",M$23=""),"",IF(COUNTIFS('AFA Rates'!$A$5:$A$1004,$A886,'AFA Rates'!$B$5:$B$1004,M$23,'AFA Rates'!$O$5:$O$1004,"&lt;&gt;Expired")&gt;0,"✓",IF(COUNTIFS('AFA Rates'!$A$5:$A$1004,$A886,'AFA Rates'!$B$5:$B$1004,M$23)&gt;0,"Exp","")))</f>
        <v/>
      </c>
    </row>
    <row r="887">
      <c r="A887" s="78">
        <f>IFERROR(INDEX(Firms!$A$5:$A$1004,MATCH(864,Firms!$V$5:$V$1004,0)),"")</f>
        <v/>
      </c>
      <c r="B887" s="79">
        <f>IF($A887="","",INDEX(Firms!$B$5:$B$1004,MATCH(864,Firms!$V$5:$V$1004,0)))</f>
        <v/>
      </c>
      <c r="C887" s="79">
        <f>IF($A887="","",COUNTIFS('AFA Rates'!$A$5:$A$1004,$A887,'AFA Rates'!$O$5:$O$1004,"&lt;&gt;Expired"))</f>
        <v/>
      </c>
      <c r="D887" s="79">
        <f>IF(OR($A887="",D$23=""),"",IF(COUNTIFS('AFA Rates'!$A$5:$A$1004,$A887,'AFA Rates'!$B$5:$B$1004,D$23,'AFA Rates'!$O$5:$O$1004,"&lt;&gt;Expired")&gt;0,"✓",IF(COUNTIFS('AFA Rates'!$A$5:$A$1004,$A887,'AFA Rates'!$B$5:$B$1004,D$23)&gt;0,"Exp","")))</f>
        <v/>
      </c>
      <c r="E887" s="79">
        <f>IF(OR($A887="",E$23=""),"",IF(COUNTIFS('AFA Rates'!$A$5:$A$1004,$A887,'AFA Rates'!$B$5:$B$1004,E$23,'AFA Rates'!$O$5:$O$1004,"&lt;&gt;Expired")&gt;0,"✓",IF(COUNTIFS('AFA Rates'!$A$5:$A$1004,$A887,'AFA Rates'!$B$5:$B$1004,E$23)&gt;0,"Exp","")))</f>
        <v/>
      </c>
      <c r="F887" s="79">
        <f>IF(OR($A887="",F$23=""),"",IF(COUNTIFS('AFA Rates'!$A$5:$A$1004,$A887,'AFA Rates'!$B$5:$B$1004,F$23,'AFA Rates'!$O$5:$O$1004,"&lt;&gt;Expired")&gt;0,"✓",IF(COUNTIFS('AFA Rates'!$A$5:$A$1004,$A887,'AFA Rates'!$B$5:$B$1004,F$23)&gt;0,"Exp","")))</f>
        <v/>
      </c>
      <c r="G887" s="79">
        <f>IF(OR($A887="",G$23=""),"",IF(COUNTIFS('AFA Rates'!$A$5:$A$1004,$A887,'AFA Rates'!$B$5:$B$1004,G$23,'AFA Rates'!$O$5:$O$1004,"&lt;&gt;Expired")&gt;0,"✓",IF(COUNTIFS('AFA Rates'!$A$5:$A$1004,$A887,'AFA Rates'!$B$5:$B$1004,G$23)&gt;0,"Exp","")))</f>
        <v/>
      </c>
      <c r="H887" s="79">
        <f>IF(OR($A887="",H$23=""),"",IF(COUNTIFS('AFA Rates'!$A$5:$A$1004,$A887,'AFA Rates'!$B$5:$B$1004,H$23,'AFA Rates'!$O$5:$O$1004,"&lt;&gt;Expired")&gt;0,"✓",IF(COUNTIFS('AFA Rates'!$A$5:$A$1004,$A887,'AFA Rates'!$B$5:$B$1004,H$23)&gt;0,"Exp","")))</f>
        <v/>
      </c>
      <c r="I887" s="79">
        <f>IF(OR($A887="",I$23=""),"",IF(COUNTIFS('AFA Rates'!$A$5:$A$1004,$A887,'AFA Rates'!$B$5:$B$1004,I$23,'AFA Rates'!$O$5:$O$1004,"&lt;&gt;Expired")&gt;0,"✓",IF(COUNTIFS('AFA Rates'!$A$5:$A$1004,$A887,'AFA Rates'!$B$5:$B$1004,I$23)&gt;0,"Exp","")))</f>
        <v/>
      </c>
      <c r="J887" s="79">
        <f>IF(OR($A887="",J$23=""),"",IF(COUNTIFS('AFA Rates'!$A$5:$A$1004,$A887,'AFA Rates'!$B$5:$B$1004,J$23,'AFA Rates'!$O$5:$O$1004,"&lt;&gt;Expired")&gt;0,"✓",IF(COUNTIFS('AFA Rates'!$A$5:$A$1004,$A887,'AFA Rates'!$B$5:$B$1004,J$23)&gt;0,"Exp","")))</f>
        <v/>
      </c>
      <c r="K887" s="79">
        <f>IF(OR($A887="",K$23=""),"",IF(COUNTIFS('AFA Rates'!$A$5:$A$1004,$A887,'AFA Rates'!$B$5:$B$1004,K$23,'AFA Rates'!$O$5:$O$1004,"&lt;&gt;Expired")&gt;0,"✓",IF(COUNTIFS('AFA Rates'!$A$5:$A$1004,$A887,'AFA Rates'!$B$5:$B$1004,K$23)&gt;0,"Exp","")))</f>
        <v/>
      </c>
      <c r="L887" s="79">
        <f>IF(OR($A887="",L$23=""),"",IF(COUNTIFS('AFA Rates'!$A$5:$A$1004,$A887,'AFA Rates'!$B$5:$B$1004,L$23,'AFA Rates'!$O$5:$O$1004,"&lt;&gt;Expired")&gt;0,"✓",IF(COUNTIFS('AFA Rates'!$A$5:$A$1004,$A887,'AFA Rates'!$B$5:$B$1004,L$23)&gt;0,"Exp","")))</f>
        <v/>
      </c>
      <c r="M887" s="79">
        <f>IF(OR($A887="",M$23=""),"",IF(COUNTIFS('AFA Rates'!$A$5:$A$1004,$A887,'AFA Rates'!$B$5:$B$1004,M$23,'AFA Rates'!$O$5:$O$1004,"&lt;&gt;Expired")&gt;0,"✓",IF(COUNTIFS('AFA Rates'!$A$5:$A$1004,$A887,'AFA Rates'!$B$5:$B$1004,M$23)&gt;0,"Exp","")))</f>
        <v/>
      </c>
    </row>
    <row r="888">
      <c r="A888" s="78">
        <f>IFERROR(INDEX(Firms!$A$5:$A$1004,MATCH(865,Firms!$V$5:$V$1004,0)),"")</f>
        <v/>
      </c>
      <c r="B888" s="79">
        <f>IF($A888="","",INDEX(Firms!$B$5:$B$1004,MATCH(865,Firms!$V$5:$V$1004,0)))</f>
        <v/>
      </c>
      <c r="C888" s="79">
        <f>IF($A888="","",COUNTIFS('AFA Rates'!$A$5:$A$1004,$A888,'AFA Rates'!$O$5:$O$1004,"&lt;&gt;Expired"))</f>
        <v/>
      </c>
      <c r="D888" s="79">
        <f>IF(OR($A888="",D$23=""),"",IF(COUNTIFS('AFA Rates'!$A$5:$A$1004,$A888,'AFA Rates'!$B$5:$B$1004,D$23,'AFA Rates'!$O$5:$O$1004,"&lt;&gt;Expired")&gt;0,"✓",IF(COUNTIFS('AFA Rates'!$A$5:$A$1004,$A888,'AFA Rates'!$B$5:$B$1004,D$23)&gt;0,"Exp","")))</f>
        <v/>
      </c>
      <c r="E888" s="79">
        <f>IF(OR($A888="",E$23=""),"",IF(COUNTIFS('AFA Rates'!$A$5:$A$1004,$A888,'AFA Rates'!$B$5:$B$1004,E$23,'AFA Rates'!$O$5:$O$1004,"&lt;&gt;Expired")&gt;0,"✓",IF(COUNTIFS('AFA Rates'!$A$5:$A$1004,$A888,'AFA Rates'!$B$5:$B$1004,E$23)&gt;0,"Exp","")))</f>
        <v/>
      </c>
      <c r="F888" s="79">
        <f>IF(OR($A888="",F$23=""),"",IF(COUNTIFS('AFA Rates'!$A$5:$A$1004,$A888,'AFA Rates'!$B$5:$B$1004,F$23,'AFA Rates'!$O$5:$O$1004,"&lt;&gt;Expired")&gt;0,"✓",IF(COUNTIFS('AFA Rates'!$A$5:$A$1004,$A888,'AFA Rates'!$B$5:$B$1004,F$23)&gt;0,"Exp","")))</f>
        <v/>
      </c>
      <c r="G888" s="79">
        <f>IF(OR($A888="",G$23=""),"",IF(COUNTIFS('AFA Rates'!$A$5:$A$1004,$A888,'AFA Rates'!$B$5:$B$1004,G$23,'AFA Rates'!$O$5:$O$1004,"&lt;&gt;Expired")&gt;0,"✓",IF(COUNTIFS('AFA Rates'!$A$5:$A$1004,$A888,'AFA Rates'!$B$5:$B$1004,G$23)&gt;0,"Exp","")))</f>
        <v/>
      </c>
      <c r="H888" s="79">
        <f>IF(OR($A888="",H$23=""),"",IF(COUNTIFS('AFA Rates'!$A$5:$A$1004,$A888,'AFA Rates'!$B$5:$B$1004,H$23,'AFA Rates'!$O$5:$O$1004,"&lt;&gt;Expired")&gt;0,"✓",IF(COUNTIFS('AFA Rates'!$A$5:$A$1004,$A888,'AFA Rates'!$B$5:$B$1004,H$23)&gt;0,"Exp","")))</f>
        <v/>
      </c>
      <c r="I888" s="79">
        <f>IF(OR($A888="",I$23=""),"",IF(COUNTIFS('AFA Rates'!$A$5:$A$1004,$A888,'AFA Rates'!$B$5:$B$1004,I$23,'AFA Rates'!$O$5:$O$1004,"&lt;&gt;Expired")&gt;0,"✓",IF(COUNTIFS('AFA Rates'!$A$5:$A$1004,$A888,'AFA Rates'!$B$5:$B$1004,I$23)&gt;0,"Exp","")))</f>
        <v/>
      </c>
      <c r="J888" s="79">
        <f>IF(OR($A888="",J$23=""),"",IF(COUNTIFS('AFA Rates'!$A$5:$A$1004,$A888,'AFA Rates'!$B$5:$B$1004,J$23,'AFA Rates'!$O$5:$O$1004,"&lt;&gt;Expired")&gt;0,"✓",IF(COUNTIFS('AFA Rates'!$A$5:$A$1004,$A888,'AFA Rates'!$B$5:$B$1004,J$23)&gt;0,"Exp","")))</f>
        <v/>
      </c>
      <c r="K888" s="79">
        <f>IF(OR($A888="",K$23=""),"",IF(COUNTIFS('AFA Rates'!$A$5:$A$1004,$A888,'AFA Rates'!$B$5:$B$1004,K$23,'AFA Rates'!$O$5:$O$1004,"&lt;&gt;Expired")&gt;0,"✓",IF(COUNTIFS('AFA Rates'!$A$5:$A$1004,$A888,'AFA Rates'!$B$5:$B$1004,K$23)&gt;0,"Exp","")))</f>
        <v/>
      </c>
      <c r="L888" s="79">
        <f>IF(OR($A888="",L$23=""),"",IF(COUNTIFS('AFA Rates'!$A$5:$A$1004,$A888,'AFA Rates'!$B$5:$B$1004,L$23,'AFA Rates'!$O$5:$O$1004,"&lt;&gt;Expired")&gt;0,"✓",IF(COUNTIFS('AFA Rates'!$A$5:$A$1004,$A888,'AFA Rates'!$B$5:$B$1004,L$23)&gt;0,"Exp","")))</f>
        <v/>
      </c>
      <c r="M888" s="79">
        <f>IF(OR($A888="",M$23=""),"",IF(COUNTIFS('AFA Rates'!$A$5:$A$1004,$A888,'AFA Rates'!$B$5:$B$1004,M$23,'AFA Rates'!$O$5:$O$1004,"&lt;&gt;Expired")&gt;0,"✓",IF(COUNTIFS('AFA Rates'!$A$5:$A$1004,$A888,'AFA Rates'!$B$5:$B$1004,M$23)&gt;0,"Exp","")))</f>
        <v/>
      </c>
    </row>
    <row r="889">
      <c r="A889" s="78">
        <f>IFERROR(INDEX(Firms!$A$5:$A$1004,MATCH(866,Firms!$V$5:$V$1004,0)),"")</f>
        <v/>
      </c>
      <c r="B889" s="79">
        <f>IF($A889="","",INDEX(Firms!$B$5:$B$1004,MATCH(866,Firms!$V$5:$V$1004,0)))</f>
        <v/>
      </c>
      <c r="C889" s="79">
        <f>IF($A889="","",COUNTIFS('AFA Rates'!$A$5:$A$1004,$A889,'AFA Rates'!$O$5:$O$1004,"&lt;&gt;Expired"))</f>
        <v/>
      </c>
      <c r="D889" s="79">
        <f>IF(OR($A889="",D$23=""),"",IF(COUNTIFS('AFA Rates'!$A$5:$A$1004,$A889,'AFA Rates'!$B$5:$B$1004,D$23,'AFA Rates'!$O$5:$O$1004,"&lt;&gt;Expired")&gt;0,"✓",IF(COUNTIFS('AFA Rates'!$A$5:$A$1004,$A889,'AFA Rates'!$B$5:$B$1004,D$23)&gt;0,"Exp","")))</f>
        <v/>
      </c>
      <c r="E889" s="79">
        <f>IF(OR($A889="",E$23=""),"",IF(COUNTIFS('AFA Rates'!$A$5:$A$1004,$A889,'AFA Rates'!$B$5:$B$1004,E$23,'AFA Rates'!$O$5:$O$1004,"&lt;&gt;Expired")&gt;0,"✓",IF(COUNTIFS('AFA Rates'!$A$5:$A$1004,$A889,'AFA Rates'!$B$5:$B$1004,E$23)&gt;0,"Exp","")))</f>
        <v/>
      </c>
      <c r="F889" s="79">
        <f>IF(OR($A889="",F$23=""),"",IF(COUNTIFS('AFA Rates'!$A$5:$A$1004,$A889,'AFA Rates'!$B$5:$B$1004,F$23,'AFA Rates'!$O$5:$O$1004,"&lt;&gt;Expired")&gt;0,"✓",IF(COUNTIFS('AFA Rates'!$A$5:$A$1004,$A889,'AFA Rates'!$B$5:$B$1004,F$23)&gt;0,"Exp","")))</f>
        <v/>
      </c>
      <c r="G889" s="79">
        <f>IF(OR($A889="",G$23=""),"",IF(COUNTIFS('AFA Rates'!$A$5:$A$1004,$A889,'AFA Rates'!$B$5:$B$1004,G$23,'AFA Rates'!$O$5:$O$1004,"&lt;&gt;Expired")&gt;0,"✓",IF(COUNTIFS('AFA Rates'!$A$5:$A$1004,$A889,'AFA Rates'!$B$5:$B$1004,G$23)&gt;0,"Exp","")))</f>
        <v/>
      </c>
      <c r="H889" s="79">
        <f>IF(OR($A889="",H$23=""),"",IF(COUNTIFS('AFA Rates'!$A$5:$A$1004,$A889,'AFA Rates'!$B$5:$B$1004,H$23,'AFA Rates'!$O$5:$O$1004,"&lt;&gt;Expired")&gt;0,"✓",IF(COUNTIFS('AFA Rates'!$A$5:$A$1004,$A889,'AFA Rates'!$B$5:$B$1004,H$23)&gt;0,"Exp","")))</f>
        <v/>
      </c>
      <c r="I889" s="79">
        <f>IF(OR($A889="",I$23=""),"",IF(COUNTIFS('AFA Rates'!$A$5:$A$1004,$A889,'AFA Rates'!$B$5:$B$1004,I$23,'AFA Rates'!$O$5:$O$1004,"&lt;&gt;Expired")&gt;0,"✓",IF(COUNTIFS('AFA Rates'!$A$5:$A$1004,$A889,'AFA Rates'!$B$5:$B$1004,I$23)&gt;0,"Exp","")))</f>
        <v/>
      </c>
      <c r="J889" s="79">
        <f>IF(OR($A889="",J$23=""),"",IF(COUNTIFS('AFA Rates'!$A$5:$A$1004,$A889,'AFA Rates'!$B$5:$B$1004,J$23,'AFA Rates'!$O$5:$O$1004,"&lt;&gt;Expired")&gt;0,"✓",IF(COUNTIFS('AFA Rates'!$A$5:$A$1004,$A889,'AFA Rates'!$B$5:$B$1004,J$23)&gt;0,"Exp","")))</f>
        <v/>
      </c>
      <c r="K889" s="79">
        <f>IF(OR($A889="",K$23=""),"",IF(COUNTIFS('AFA Rates'!$A$5:$A$1004,$A889,'AFA Rates'!$B$5:$B$1004,K$23,'AFA Rates'!$O$5:$O$1004,"&lt;&gt;Expired")&gt;0,"✓",IF(COUNTIFS('AFA Rates'!$A$5:$A$1004,$A889,'AFA Rates'!$B$5:$B$1004,K$23)&gt;0,"Exp","")))</f>
        <v/>
      </c>
      <c r="L889" s="79">
        <f>IF(OR($A889="",L$23=""),"",IF(COUNTIFS('AFA Rates'!$A$5:$A$1004,$A889,'AFA Rates'!$B$5:$B$1004,L$23,'AFA Rates'!$O$5:$O$1004,"&lt;&gt;Expired")&gt;0,"✓",IF(COUNTIFS('AFA Rates'!$A$5:$A$1004,$A889,'AFA Rates'!$B$5:$B$1004,L$23)&gt;0,"Exp","")))</f>
        <v/>
      </c>
      <c r="M889" s="79">
        <f>IF(OR($A889="",M$23=""),"",IF(COUNTIFS('AFA Rates'!$A$5:$A$1004,$A889,'AFA Rates'!$B$5:$B$1004,M$23,'AFA Rates'!$O$5:$O$1004,"&lt;&gt;Expired")&gt;0,"✓",IF(COUNTIFS('AFA Rates'!$A$5:$A$1004,$A889,'AFA Rates'!$B$5:$B$1004,M$23)&gt;0,"Exp","")))</f>
        <v/>
      </c>
    </row>
    <row r="890">
      <c r="A890" s="78">
        <f>IFERROR(INDEX(Firms!$A$5:$A$1004,MATCH(867,Firms!$V$5:$V$1004,0)),"")</f>
        <v/>
      </c>
      <c r="B890" s="79">
        <f>IF($A890="","",INDEX(Firms!$B$5:$B$1004,MATCH(867,Firms!$V$5:$V$1004,0)))</f>
        <v/>
      </c>
      <c r="C890" s="79">
        <f>IF($A890="","",COUNTIFS('AFA Rates'!$A$5:$A$1004,$A890,'AFA Rates'!$O$5:$O$1004,"&lt;&gt;Expired"))</f>
        <v/>
      </c>
      <c r="D890" s="79">
        <f>IF(OR($A890="",D$23=""),"",IF(COUNTIFS('AFA Rates'!$A$5:$A$1004,$A890,'AFA Rates'!$B$5:$B$1004,D$23,'AFA Rates'!$O$5:$O$1004,"&lt;&gt;Expired")&gt;0,"✓",IF(COUNTIFS('AFA Rates'!$A$5:$A$1004,$A890,'AFA Rates'!$B$5:$B$1004,D$23)&gt;0,"Exp","")))</f>
        <v/>
      </c>
      <c r="E890" s="79">
        <f>IF(OR($A890="",E$23=""),"",IF(COUNTIFS('AFA Rates'!$A$5:$A$1004,$A890,'AFA Rates'!$B$5:$B$1004,E$23,'AFA Rates'!$O$5:$O$1004,"&lt;&gt;Expired")&gt;0,"✓",IF(COUNTIFS('AFA Rates'!$A$5:$A$1004,$A890,'AFA Rates'!$B$5:$B$1004,E$23)&gt;0,"Exp","")))</f>
        <v/>
      </c>
      <c r="F890" s="79">
        <f>IF(OR($A890="",F$23=""),"",IF(COUNTIFS('AFA Rates'!$A$5:$A$1004,$A890,'AFA Rates'!$B$5:$B$1004,F$23,'AFA Rates'!$O$5:$O$1004,"&lt;&gt;Expired")&gt;0,"✓",IF(COUNTIFS('AFA Rates'!$A$5:$A$1004,$A890,'AFA Rates'!$B$5:$B$1004,F$23)&gt;0,"Exp","")))</f>
        <v/>
      </c>
      <c r="G890" s="79">
        <f>IF(OR($A890="",G$23=""),"",IF(COUNTIFS('AFA Rates'!$A$5:$A$1004,$A890,'AFA Rates'!$B$5:$B$1004,G$23,'AFA Rates'!$O$5:$O$1004,"&lt;&gt;Expired")&gt;0,"✓",IF(COUNTIFS('AFA Rates'!$A$5:$A$1004,$A890,'AFA Rates'!$B$5:$B$1004,G$23)&gt;0,"Exp","")))</f>
        <v/>
      </c>
      <c r="H890" s="79">
        <f>IF(OR($A890="",H$23=""),"",IF(COUNTIFS('AFA Rates'!$A$5:$A$1004,$A890,'AFA Rates'!$B$5:$B$1004,H$23,'AFA Rates'!$O$5:$O$1004,"&lt;&gt;Expired")&gt;0,"✓",IF(COUNTIFS('AFA Rates'!$A$5:$A$1004,$A890,'AFA Rates'!$B$5:$B$1004,H$23)&gt;0,"Exp","")))</f>
        <v/>
      </c>
      <c r="I890" s="79">
        <f>IF(OR($A890="",I$23=""),"",IF(COUNTIFS('AFA Rates'!$A$5:$A$1004,$A890,'AFA Rates'!$B$5:$B$1004,I$23,'AFA Rates'!$O$5:$O$1004,"&lt;&gt;Expired")&gt;0,"✓",IF(COUNTIFS('AFA Rates'!$A$5:$A$1004,$A890,'AFA Rates'!$B$5:$B$1004,I$23)&gt;0,"Exp","")))</f>
        <v/>
      </c>
      <c r="J890" s="79">
        <f>IF(OR($A890="",J$23=""),"",IF(COUNTIFS('AFA Rates'!$A$5:$A$1004,$A890,'AFA Rates'!$B$5:$B$1004,J$23,'AFA Rates'!$O$5:$O$1004,"&lt;&gt;Expired")&gt;0,"✓",IF(COUNTIFS('AFA Rates'!$A$5:$A$1004,$A890,'AFA Rates'!$B$5:$B$1004,J$23)&gt;0,"Exp","")))</f>
        <v/>
      </c>
      <c r="K890" s="79">
        <f>IF(OR($A890="",K$23=""),"",IF(COUNTIFS('AFA Rates'!$A$5:$A$1004,$A890,'AFA Rates'!$B$5:$B$1004,K$23,'AFA Rates'!$O$5:$O$1004,"&lt;&gt;Expired")&gt;0,"✓",IF(COUNTIFS('AFA Rates'!$A$5:$A$1004,$A890,'AFA Rates'!$B$5:$B$1004,K$23)&gt;0,"Exp","")))</f>
        <v/>
      </c>
      <c r="L890" s="79">
        <f>IF(OR($A890="",L$23=""),"",IF(COUNTIFS('AFA Rates'!$A$5:$A$1004,$A890,'AFA Rates'!$B$5:$B$1004,L$23,'AFA Rates'!$O$5:$O$1004,"&lt;&gt;Expired")&gt;0,"✓",IF(COUNTIFS('AFA Rates'!$A$5:$A$1004,$A890,'AFA Rates'!$B$5:$B$1004,L$23)&gt;0,"Exp","")))</f>
        <v/>
      </c>
      <c r="M890" s="79">
        <f>IF(OR($A890="",M$23=""),"",IF(COUNTIFS('AFA Rates'!$A$5:$A$1004,$A890,'AFA Rates'!$B$5:$B$1004,M$23,'AFA Rates'!$O$5:$O$1004,"&lt;&gt;Expired")&gt;0,"✓",IF(COUNTIFS('AFA Rates'!$A$5:$A$1004,$A890,'AFA Rates'!$B$5:$B$1004,M$23)&gt;0,"Exp","")))</f>
        <v/>
      </c>
    </row>
    <row r="891">
      <c r="A891" s="78">
        <f>IFERROR(INDEX(Firms!$A$5:$A$1004,MATCH(868,Firms!$V$5:$V$1004,0)),"")</f>
        <v/>
      </c>
      <c r="B891" s="79">
        <f>IF($A891="","",INDEX(Firms!$B$5:$B$1004,MATCH(868,Firms!$V$5:$V$1004,0)))</f>
        <v/>
      </c>
      <c r="C891" s="79">
        <f>IF($A891="","",COUNTIFS('AFA Rates'!$A$5:$A$1004,$A891,'AFA Rates'!$O$5:$O$1004,"&lt;&gt;Expired"))</f>
        <v/>
      </c>
      <c r="D891" s="79">
        <f>IF(OR($A891="",D$23=""),"",IF(COUNTIFS('AFA Rates'!$A$5:$A$1004,$A891,'AFA Rates'!$B$5:$B$1004,D$23,'AFA Rates'!$O$5:$O$1004,"&lt;&gt;Expired")&gt;0,"✓",IF(COUNTIFS('AFA Rates'!$A$5:$A$1004,$A891,'AFA Rates'!$B$5:$B$1004,D$23)&gt;0,"Exp","")))</f>
        <v/>
      </c>
      <c r="E891" s="79">
        <f>IF(OR($A891="",E$23=""),"",IF(COUNTIFS('AFA Rates'!$A$5:$A$1004,$A891,'AFA Rates'!$B$5:$B$1004,E$23,'AFA Rates'!$O$5:$O$1004,"&lt;&gt;Expired")&gt;0,"✓",IF(COUNTIFS('AFA Rates'!$A$5:$A$1004,$A891,'AFA Rates'!$B$5:$B$1004,E$23)&gt;0,"Exp","")))</f>
        <v/>
      </c>
      <c r="F891" s="79">
        <f>IF(OR($A891="",F$23=""),"",IF(COUNTIFS('AFA Rates'!$A$5:$A$1004,$A891,'AFA Rates'!$B$5:$B$1004,F$23,'AFA Rates'!$O$5:$O$1004,"&lt;&gt;Expired")&gt;0,"✓",IF(COUNTIFS('AFA Rates'!$A$5:$A$1004,$A891,'AFA Rates'!$B$5:$B$1004,F$23)&gt;0,"Exp","")))</f>
        <v/>
      </c>
      <c r="G891" s="79">
        <f>IF(OR($A891="",G$23=""),"",IF(COUNTIFS('AFA Rates'!$A$5:$A$1004,$A891,'AFA Rates'!$B$5:$B$1004,G$23,'AFA Rates'!$O$5:$O$1004,"&lt;&gt;Expired")&gt;0,"✓",IF(COUNTIFS('AFA Rates'!$A$5:$A$1004,$A891,'AFA Rates'!$B$5:$B$1004,G$23)&gt;0,"Exp","")))</f>
        <v/>
      </c>
      <c r="H891" s="79">
        <f>IF(OR($A891="",H$23=""),"",IF(COUNTIFS('AFA Rates'!$A$5:$A$1004,$A891,'AFA Rates'!$B$5:$B$1004,H$23,'AFA Rates'!$O$5:$O$1004,"&lt;&gt;Expired")&gt;0,"✓",IF(COUNTIFS('AFA Rates'!$A$5:$A$1004,$A891,'AFA Rates'!$B$5:$B$1004,H$23)&gt;0,"Exp","")))</f>
        <v/>
      </c>
      <c r="I891" s="79">
        <f>IF(OR($A891="",I$23=""),"",IF(COUNTIFS('AFA Rates'!$A$5:$A$1004,$A891,'AFA Rates'!$B$5:$B$1004,I$23,'AFA Rates'!$O$5:$O$1004,"&lt;&gt;Expired")&gt;0,"✓",IF(COUNTIFS('AFA Rates'!$A$5:$A$1004,$A891,'AFA Rates'!$B$5:$B$1004,I$23)&gt;0,"Exp","")))</f>
        <v/>
      </c>
      <c r="J891" s="79">
        <f>IF(OR($A891="",J$23=""),"",IF(COUNTIFS('AFA Rates'!$A$5:$A$1004,$A891,'AFA Rates'!$B$5:$B$1004,J$23,'AFA Rates'!$O$5:$O$1004,"&lt;&gt;Expired")&gt;0,"✓",IF(COUNTIFS('AFA Rates'!$A$5:$A$1004,$A891,'AFA Rates'!$B$5:$B$1004,J$23)&gt;0,"Exp","")))</f>
        <v/>
      </c>
      <c r="K891" s="79">
        <f>IF(OR($A891="",K$23=""),"",IF(COUNTIFS('AFA Rates'!$A$5:$A$1004,$A891,'AFA Rates'!$B$5:$B$1004,K$23,'AFA Rates'!$O$5:$O$1004,"&lt;&gt;Expired")&gt;0,"✓",IF(COUNTIFS('AFA Rates'!$A$5:$A$1004,$A891,'AFA Rates'!$B$5:$B$1004,K$23)&gt;0,"Exp","")))</f>
        <v/>
      </c>
      <c r="L891" s="79">
        <f>IF(OR($A891="",L$23=""),"",IF(COUNTIFS('AFA Rates'!$A$5:$A$1004,$A891,'AFA Rates'!$B$5:$B$1004,L$23,'AFA Rates'!$O$5:$O$1004,"&lt;&gt;Expired")&gt;0,"✓",IF(COUNTIFS('AFA Rates'!$A$5:$A$1004,$A891,'AFA Rates'!$B$5:$B$1004,L$23)&gt;0,"Exp","")))</f>
        <v/>
      </c>
      <c r="M891" s="79">
        <f>IF(OR($A891="",M$23=""),"",IF(COUNTIFS('AFA Rates'!$A$5:$A$1004,$A891,'AFA Rates'!$B$5:$B$1004,M$23,'AFA Rates'!$O$5:$O$1004,"&lt;&gt;Expired")&gt;0,"✓",IF(COUNTIFS('AFA Rates'!$A$5:$A$1004,$A891,'AFA Rates'!$B$5:$B$1004,M$23)&gt;0,"Exp","")))</f>
        <v/>
      </c>
    </row>
    <row r="892">
      <c r="A892" s="78">
        <f>IFERROR(INDEX(Firms!$A$5:$A$1004,MATCH(869,Firms!$V$5:$V$1004,0)),"")</f>
        <v/>
      </c>
      <c r="B892" s="79">
        <f>IF($A892="","",INDEX(Firms!$B$5:$B$1004,MATCH(869,Firms!$V$5:$V$1004,0)))</f>
        <v/>
      </c>
      <c r="C892" s="79">
        <f>IF($A892="","",COUNTIFS('AFA Rates'!$A$5:$A$1004,$A892,'AFA Rates'!$O$5:$O$1004,"&lt;&gt;Expired"))</f>
        <v/>
      </c>
      <c r="D892" s="79">
        <f>IF(OR($A892="",D$23=""),"",IF(COUNTIFS('AFA Rates'!$A$5:$A$1004,$A892,'AFA Rates'!$B$5:$B$1004,D$23,'AFA Rates'!$O$5:$O$1004,"&lt;&gt;Expired")&gt;0,"✓",IF(COUNTIFS('AFA Rates'!$A$5:$A$1004,$A892,'AFA Rates'!$B$5:$B$1004,D$23)&gt;0,"Exp","")))</f>
        <v/>
      </c>
      <c r="E892" s="79">
        <f>IF(OR($A892="",E$23=""),"",IF(COUNTIFS('AFA Rates'!$A$5:$A$1004,$A892,'AFA Rates'!$B$5:$B$1004,E$23,'AFA Rates'!$O$5:$O$1004,"&lt;&gt;Expired")&gt;0,"✓",IF(COUNTIFS('AFA Rates'!$A$5:$A$1004,$A892,'AFA Rates'!$B$5:$B$1004,E$23)&gt;0,"Exp","")))</f>
        <v/>
      </c>
      <c r="F892" s="79">
        <f>IF(OR($A892="",F$23=""),"",IF(COUNTIFS('AFA Rates'!$A$5:$A$1004,$A892,'AFA Rates'!$B$5:$B$1004,F$23,'AFA Rates'!$O$5:$O$1004,"&lt;&gt;Expired")&gt;0,"✓",IF(COUNTIFS('AFA Rates'!$A$5:$A$1004,$A892,'AFA Rates'!$B$5:$B$1004,F$23)&gt;0,"Exp","")))</f>
        <v/>
      </c>
      <c r="G892" s="79">
        <f>IF(OR($A892="",G$23=""),"",IF(COUNTIFS('AFA Rates'!$A$5:$A$1004,$A892,'AFA Rates'!$B$5:$B$1004,G$23,'AFA Rates'!$O$5:$O$1004,"&lt;&gt;Expired")&gt;0,"✓",IF(COUNTIFS('AFA Rates'!$A$5:$A$1004,$A892,'AFA Rates'!$B$5:$B$1004,G$23)&gt;0,"Exp","")))</f>
        <v/>
      </c>
      <c r="H892" s="79">
        <f>IF(OR($A892="",H$23=""),"",IF(COUNTIFS('AFA Rates'!$A$5:$A$1004,$A892,'AFA Rates'!$B$5:$B$1004,H$23,'AFA Rates'!$O$5:$O$1004,"&lt;&gt;Expired")&gt;0,"✓",IF(COUNTIFS('AFA Rates'!$A$5:$A$1004,$A892,'AFA Rates'!$B$5:$B$1004,H$23)&gt;0,"Exp","")))</f>
        <v/>
      </c>
      <c r="I892" s="79">
        <f>IF(OR($A892="",I$23=""),"",IF(COUNTIFS('AFA Rates'!$A$5:$A$1004,$A892,'AFA Rates'!$B$5:$B$1004,I$23,'AFA Rates'!$O$5:$O$1004,"&lt;&gt;Expired")&gt;0,"✓",IF(COUNTIFS('AFA Rates'!$A$5:$A$1004,$A892,'AFA Rates'!$B$5:$B$1004,I$23)&gt;0,"Exp","")))</f>
        <v/>
      </c>
      <c r="J892" s="79">
        <f>IF(OR($A892="",J$23=""),"",IF(COUNTIFS('AFA Rates'!$A$5:$A$1004,$A892,'AFA Rates'!$B$5:$B$1004,J$23,'AFA Rates'!$O$5:$O$1004,"&lt;&gt;Expired")&gt;0,"✓",IF(COUNTIFS('AFA Rates'!$A$5:$A$1004,$A892,'AFA Rates'!$B$5:$B$1004,J$23)&gt;0,"Exp","")))</f>
        <v/>
      </c>
      <c r="K892" s="79">
        <f>IF(OR($A892="",K$23=""),"",IF(COUNTIFS('AFA Rates'!$A$5:$A$1004,$A892,'AFA Rates'!$B$5:$B$1004,K$23,'AFA Rates'!$O$5:$O$1004,"&lt;&gt;Expired")&gt;0,"✓",IF(COUNTIFS('AFA Rates'!$A$5:$A$1004,$A892,'AFA Rates'!$B$5:$B$1004,K$23)&gt;0,"Exp","")))</f>
        <v/>
      </c>
      <c r="L892" s="79">
        <f>IF(OR($A892="",L$23=""),"",IF(COUNTIFS('AFA Rates'!$A$5:$A$1004,$A892,'AFA Rates'!$B$5:$B$1004,L$23,'AFA Rates'!$O$5:$O$1004,"&lt;&gt;Expired")&gt;0,"✓",IF(COUNTIFS('AFA Rates'!$A$5:$A$1004,$A892,'AFA Rates'!$B$5:$B$1004,L$23)&gt;0,"Exp","")))</f>
        <v/>
      </c>
      <c r="M892" s="79">
        <f>IF(OR($A892="",M$23=""),"",IF(COUNTIFS('AFA Rates'!$A$5:$A$1004,$A892,'AFA Rates'!$B$5:$B$1004,M$23,'AFA Rates'!$O$5:$O$1004,"&lt;&gt;Expired")&gt;0,"✓",IF(COUNTIFS('AFA Rates'!$A$5:$A$1004,$A892,'AFA Rates'!$B$5:$B$1004,M$23)&gt;0,"Exp","")))</f>
        <v/>
      </c>
    </row>
    <row r="893">
      <c r="A893" s="78">
        <f>IFERROR(INDEX(Firms!$A$5:$A$1004,MATCH(870,Firms!$V$5:$V$1004,0)),"")</f>
        <v/>
      </c>
      <c r="B893" s="79">
        <f>IF($A893="","",INDEX(Firms!$B$5:$B$1004,MATCH(870,Firms!$V$5:$V$1004,0)))</f>
        <v/>
      </c>
      <c r="C893" s="79">
        <f>IF($A893="","",COUNTIFS('AFA Rates'!$A$5:$A$1004,$A893,'AFA Rates'!$O$5:$O$1004,"&lt;&gt;Expired"))</f>
        <v/>
      </c>
      <c r="D893" s="79">
        <f>IF(OR($A893="",D$23=""),"",IF(COUNTIFS('AFA Rates'!$A$5:$A$1004,$A893,'AFA Rates'!$B$5:$B$1004,D$23,'AFA Rates'!$O$5:$O$1004,"&lt;&gt;Expired")&gt;0,"✓",IF(COUNTIFS('AFA Rates'!$A$5:$A$1004,$A893,'AFA Rates'!$B$5:$B$1004,D$23)&gt;0,"Exp","")))</f>
        <v/>
      </c>
      <c r="E893" s="79">
        <f>IF(OR($A893="",E$23=""),"",IF(COUNTIFS('AFA Rates'!$A$5:$A$1004,$A893,'AFA Rates'!$B$5:$B$1004,E$23,'AFA Rates'!$O$5:$O$1004,"&lt;&gt;Expired")&gt;0,"✓",IF(COUNTIFS('AFA Rates'!$A$5:$A$1004,$A893,'AFA Rates'!$B$5:$B$1004,E$23)&gt;0,"Exp","")))</f>
        <v/>
      </c>
      <c r="F893" s="79">
        <f>IF(OR($A893="",F$23=""),"",IF(COUNTIFS('AFA Rates'!$A$5:$A$1004,$A893,'AFA Rates'!$B$5:$B$1004,F$23,'AFA Rates'!$O$5:$O$1004,"&lt;&gt;Expired")&gt;0,"✓",IF(COUNTIFS('AFA Rates'!$A$5:$A$1004,$A893,'AFA Rates'!$B$5:$B$1004,F$23)&gt;0,"Exp","")))</f>
        <v/>
      </c>
      <c r="G893" s="79">
        <f>IF(OR($A893="",G$23=""),"",IF(COUNTIFS('AFA Rates'!$A$5:$A$1004,$A893,'AFA Rates'!$B$5:$B$1004,G$23,'AFA Rates'!$O$5:$O$1004,"&lt;&gt;Expired")&gt;0,"✓",IF(COUNTIFS('AFA Rates'!$A$5:$A$1004,$A893,'AFA Rates'!$B$5:$B$1004,G$23)&gt;0,"Exp","")))</f>
        <v/>
      </c>
      <c r="H893" s="79">
        <f>IF(OR($A893="",H$23=""),"",IF(COUNTIFS('AFA Rates'!$A$5:$A$1004,$A893,'AFA Rates'!$B$5:$B$1004,H$23,'AFA Rates'!$O$5:$O$1004,"&lt;&gt;Expired")&gt;0,"✓",IF(COUNTIFS('AFA Rates'!$A$5:$A$1004,$A893,'AFA Rates'!$B$5:$B$1004,H$23)&gt;0,"Exp","")))</f>
        <v/>
      </c>
      <c r="I893" s="79">
        <f>IF(OR($A893="",I$23=""),"",IF(COUNTIFS('AFA Rates'!$A$5:$A$1004,$A893,'AFA Rates'!$B$5:$B$1004,I$23,'AFA Rates'!$O$5:$O$1004,"&lt;&gt;Expired")&gt;0,"✓",IF(COUNTIFS('AFA Rates'!$A$5:$A$1004,$A893,'AFA Rates'!$B$5:$B$1004,I$23)&gt;0,"Exp","")))</f>
        <v/>
      </c>
      <c r="J893" s="79">
        <f>IF(OR($A893="",J$23=""),"",IF(COUNTIFS('AFA Rates'!$A$5:$A$1004,$A893,'AFA Rates'!$B$5:$B$1004,J$23,'AFA Rates'!$O$5:$O$1004,"&lt;&gt;Expired")&gt;0,"✓",IF(COUNTIFS('AFA Rates'!$A$5:$A$1004,$A893,'AFA Rates'!$B$5:$B$1004,J$23)&gt;0,"Exp","")))</f>
        <v/>
      </c>
      <c r="K893" s="79">
        <f>IF(OR($A893="",K$23=""),"",IF(COUNTIFS('AFA Rates'!$A$5:$A$1004,$A893,'AFA Rates'!$B$5:$B$1004,K$23,'AFA Rates'!$O$5:$O$1004,"&lt;&gt;Expired")&gt;0,"✓",IF(COUNTIFS('AFA Rates'!$A$5:$A$1004,$A893,'AFA Rates'!$B$5:$B$1004,K$23)&gt;0,"Exp","")))</f>
        <v/>
      </c>
      <c r="L893" s="79">
        <f>IF(OR($A893="",L$23=""),"",IF(COUNTIFS('AFA Rates'!$A$5:$A$1004,$A893,'AFA Rates'!$B$5:$B$1004,L$23,'AFA Rates'!$O$5:$O$1004,"&lt;&gt;Expired")&gt;0,"✓",IF(COUNTIFS('AFA Rates'!$A$5:$A$1004,$A893,'AFA Rates'!$B$5:$B$1004,L$23)&gt;0,"Exp","")))</f>
        <v/>
      </c>
      <c r="M893" s="79">
        <f>IF(OR($A893="",M$23=""),"",IF(COUNTIFS('AFA Rates'!$A$5:$A$1004,$A893,'AFA Rates'!$B$5:$B$1004,M$23,'AFA Rates'!$O$5:$O$1004,"&lt;&gt;Expired")&gt;0,"✓",IF(COUNTIFS('AFA Rates'!$A$5:$A$1004,$A893,'AFA Rates'!$B$5:$B$1004,M$23)&gt;0,"Exp","")))</f>
        <v/>
      </c>
    </row>
    <row r="894">
      <c r="A894" s="78">
        <f>IFERROR(INDEX(Firms!$A$5:$A$1004,MATCH(871,Firms!$V$5:$V$1004,0)),"")</f>
        <v/>
      </c>
      <c r="B894" s="79">
        <f>IF($A894="","",INDEX(Firms!$B$5:$B$1004,MATCH(871,Firms!$V$5:$V$1004,0)))</f>
        <v/>
      </c>
      <c r="C894" s="79">
        <f>IF($A894="","",COUNTIFS('AFA Rates'!$A$5:$A$1004,$A894,'AFA Rates'!$O$5:$O$1004,"&lt;&gt;Expired"))</f>
        <v/>
      </c>
      <c r="D894" s="79">
        <f>IF(OR($A894="",D$23=""),"",IF(COUNTIFS('AFA Rates'!$A$5:$A$1004,$A894,'AFA Rates'!$B$5:$B$1004,D$23,'AFA Rates'!$O$5:$O$1004,"&lt;&gt;Expired")&gt;0,"✓",IF(COUNTIFS('AFA Rates'!$A$5:$A$1004,$A894,'AFA Rates'!$B$5:$B$1004,D$23)&gt;0,"Exp","")))</f>
        <v/>
      </c>
      <c r="E894" s="79">
        <f>IF(OR($A894="",E$23=""),"",IF(COUNTIFS('AFA Rates'!$A$5:$A$1004,$A894,'AFA Rates'!$B$5:$B$1004,E$23,'AFA Rates'!$O$5:$O$1004,"&lt;&gt;Expired")&gt;0,"✓",IF(COUNTIFS('AFA Rates'!$A$5:$A$1004,$A894,'AFA Rates'!$B$5:$B$1004,E$23)&gt;0,"Exp","")))</f>
        <v/>
      </c>
      <c r="F894" s="79">
        <f>IF(OR($A894="",F$23=""),"",IF(COUNTIFS('AFA Rates'!$A$5:$A$1004,$A894,'AFA Rates'!$B$5:$B$1004,F$23,'AFA Rates'!$O$5:$O$1004,"&lt;&gt;Expired")&gt;0,"✓",IF(COUNTIFS('AFA Rates'!$A$5:$A$1004,$A894,'AFA Rates'!$B$5:$B$1004,F$23)&gt;0,"Exp","")))</f>
        <v/>
      </c>
      <c r="G894" s="79">
        <f>IF(OR($A894="",G$23=""),"",IF(COUNTIFS('AFA Rates'!$A$5:$A$1004,$A894,'AFA Rates'!$B$5:$B$1004,G$23,'AFA Rates'!$O$5:$O$1004,"&lt;&gt;Expired")&gt;0,"✓",IF(COUNTIFS('AFA Rates'!$A$5:$A$1004,$A894,'AFA Rates'!$B$5:$B$1004,G$23)&gt;0,"Exp","")))</f>
        <v/>
      </c>
      <c r="H894" s="79">
        <f>IF(OR($A894="",H$23=""),"",IF(COUNTIFS('AFA Rates'!$A$5:$A$1004,$A894,'AFA Rates'!$B$5:$B$1004,H$23,'AFA Rates'!$O$5:$O$1004,"&lt;&gt;Expired")&gt;0,"✓",IF(COUNTIFS('AFA Rates'!$A$5:$A$1004,$A894,'AFA Rates'!$B$5:$B$1004,H$23)&gt;0,"Exp","")))</f>
        <v/>
      </c>
      <c r="I894" s="79">
        <f>IF(OR($A894="",I$23=""),"",IF(COUNTIFS('AFA Rates'!$A$5:$A$1004,$A894,'AFA Rates'!$B$5:$B$1004,I$23,'AFA Rates'!$O$5:$O$1004,"&lt;&gt;Expired")&gt;0,"✓",IF(COUNTIFS('AFA Rates'!$A$5:$A$1004,$A894,'AFA Rates'!$B$5:$B$1004,I$23)&gt;0,"Exp","")))</f>
        <v/>
      </c>
      <c r="J894" s="79">
        <f>IF(OR($A894="",J$23=""),"",IF(COUNTIFS('AFA Rates'!$A$5:$A$1004,$A894,'AFA Rates'!$B$5:$B$1004,J$23,'AFA Rates'!$O$5:$O$1004,"&lt;&gt;Expired")&gt;0,"✓",IF(COUNTIFS('AFA Rates'!$A$5:$A$1004,$A894,'AFA Rates'!$B$5:$B$1004,J$23)&gt;0,"Exp","")))</f>
        <v/>
      </c>
      <c r="K894" s="79">
        <f>IF(OR($A894="",K$23=""),"",IF(COUNTIFS('AFA Rates'!$A$5:$A$1004,$A894,'AFA Rates'!$B$5:$B$1004,K$23,'AFA Rates'!$O$5:$O$1004,"&lt;&gt;Expired")&gt;0,"✓",IF(COUNTIFS('AFA Rates'!$A$5:$A$1004,$A894,'AFA Rates'!$B$5:$B$1004,K$23)&gt;0,"Exp","")))</f>
        <v/>
      </c>
      <c r="L894" s="79">
        <f>IF(OR($A894="",L$23=""),"",IF(COUNTIFS('AFA Rates'!$A$5:$A$1004,$A894,'AFA Rates'!$B$5:$B$1004,L$23,'AFA Rates'!$O$5:$O$1004,"&lt;&gt;Expired")&gt;0,"✓",IF(COUNTIFS('AFA Rates'!$A$5:$A$1004,$A894,'AFA Rates'!$B$5:$B$1004,L$23)&gt;0,"Exp","")))</f>
        <v/>
      </c>
      <c r="M894" s="79">
        <f>IF(OR($A894="",M$23=""),"",IF(COUNTIFS('AFA Rates'!$A$5:$A$1004,$A894,'AFA Rates'!$B$5:$B$1004,M$23,'AFA Rates'!$O$5:$O$1004,"&lt;&gt;Expired")&gt;0,"✓",IF(COUNTIFS('AFA Rates'!$A$5:$A$1004,$A894,'AFA Rates'!$B$5:$B$1004,M$23)&gt;0,"Exp","")))</f>
        <v/>
      </c>
    </row>
    <row r="895">
      <c r="A895" s="78">
        <f>IFERROR(INDEX(Firms!$A$5:$A$1004,MATCH(872,Firms!$V$5:$V$1004,0)),"")</f>
        <v/>
      </c>
      <c r="B895" s="79">
        <f>IF($A895="","",INDEX(Firms!$B$5:$B$1004,MATCH(872,Firms!$V$5:$V$1004,0)))</f>
        <v/>
      </c>
      <c r="C895" s="79">
        <f>IF($A895="","",COUNTIFS('AFA Rates'!$A$5:$A$1004,$A895,'AFA Rates'!$O$5:$O$1004,"&lt;&gt;Expired"))</f>
        <v/>
      </c>
      <c r="D895" s="79">
        <f>IF(OR($A895="",D$23=""),"",IF(COUNTIFS('AFA Rates'!$A$5:$A$1004,$A895,'AFA Rates'!$B$5:$B$1004,D$23,'AFA Rates'!$O$5:$O$1004,"&lt;&gt;Expired")&gt;0,"✓",IF(COUNTIFS('AFA Rates'!$A$5:$A$1004,$A895,'AFA Rates'!$B$5:$B$1004,D$23)&gt;0,"Exp","")))</f>
        <v/>
      </c>
      <c r="E895" s="79">
        <f>IF(OR($A895="",E$23=""),"",IF(COUNTIFS('AFA Rates'!$A$5:$A$1004,$A895,'AFA Rates'!$B$5:$B$1004,E$23,'AFA Rates'!$O$5:$O$1004,"&lt;&gt;Expired")&gt;0,"✓",IF(COUNTIFS('AFA Rates'!$A$5:$A$1004,$A895,'AFA Rates'!$B$5:$B$1004,E$23)&gt;0,"Exp","")))</f>
        <v/>
      </c>
      <c r="F895" s="79">
        <f>IF(OR($A895="",F$23=""),"",IF(COUNTIFS('AFA Rates'!$A$5:$A$1004,$A895,'AFA Rates'!$B$5:$B$1004,F$23,'AFA Rates'!$O$5:$O$1004,"&lt;&gt;Expired")&gt;0,"✓",IF(COUNTIFS('AFA Rates'!$A$5:$A$1004,$A895,'AFA Rates'!$B$5:$B$1004,F$23)&gt;0,"Exp","")))</f>
        <v/>
      </c>
      <c r="G895" s="79">
        <f>IF(OR($A895="",G$23=""),"",IF(COUNTIFS('AFA Rates'!$A$5:$A$1004,$A895,'AFA Rates'!$B$5:$B$1004,G$23,'AFA Rates'!$O$5:$O$1004,"&lt;&gt;Expired")&gt;0,"✓",IF(COUNTIFS('AFA Rates'!$A$5:$A$1004,$A895,'AFA Rates'!$B$5:$B$1004,G$23)&gt;0,"Exp","")))</f>
        <v/>
      </c>
      <c r="H895" s="79">
        <f>IF(OR($A895="",H$23=""),"",IF(COUNTIFS('AFA Rates'!$A$5:$A$1004,$A895,'AFA Rates'!$B$5:$B$1004,H$23,'AFA Rates'!$O$5:$O$1004,"&lt;&gt;Expired")&gt;0,"✓",IF(COUNTIFS('AFA Rates'!$A$5:$A$1004,$A895,'AFA Rates'!$B$5:$B$1004,H$23)&gt;0,"Exp","")))</f>
        <v/>
      </c>
      <c r="I895" s="79">
        <f>IF(OR($A895="",I$23=""),"",IF(COUNTIFS('AFA Rates'!$A$5:$A$1004,$A895,'AFA Rates'!$B$5:$B$1004,I$23,'AFA Rates'!$O$5:$O$1004,"&lt;&gt;Expired")&gt;0,"✓",IF(COUNTIFS('AFA Rates'!$A$5:$A$1004,$A895,'AFA Rates'!$B$5:$B$1004,I$23)&gt;0,"Exp","")))</f>
        <v/>
      </c>
      <c r="J895" s="79">
        <f>IF(OR($A895="",J$23=""),"",IF(COUNTIFS('AFA Rates'!$A$5:$A$1004,$A895,'AFA Rates'!$B$5:$B$1004,J$23,'AFA Rates'!$O$5:$O$1004,"&lt;&gt;Expired")&gt;0,"✓",IF(COUNTIFS('AFA Rates'!$A$5:$A$1004,$A895,'AFA Rates'!$B$5:$B$1004,J$23)&gt;0,"Exp","")))</f>
        <v/>
      </c>
      <c r="K895" s="79">
        <f>IF(OR($A895="",K$23=""),"",IF(COUNTIFS('AFA Rates'!$A$5:$A$1004,$A895,'AFA Rates'!$B$5:$B$1004,K$23,'AFA Rates'!$O$5:$O$1004,"&lt;&gt;Expired")&gt;0,"✓",IF(COUNTIFS('AFA Rates'!$A$5:$A$1004,$A895,'AFA Rates'!$B$5:$B$1004,K$23)&gt;0,"Exp","")))</f>
        <v/>
      </c>
      <c r="L895" s="79">
        <f>IF(OR($A895="",L$23=""),"",IF(COUNTIFS('AFA Rates'!$A$5:$A$1004,$A895,'AFA Rates'!$B$5:$B$1004,L$23,'AFA Rates'!$O$5:$O$1004,"&lt;&gt;Expired")&gt;0,"✓",IF(COUNTIFS('AFA Rates'!$A$5:$A$1004,$A895,'AFA Rates'!$B$5:$B$1004,L$23)&gt;0,"Exp","")))</f>
        <v/>
      </c>
      <c r="M895" s="79">
        <f>IF(OR($A895="",M$23=""),"",IF(COUNTIFS('AFA Rates'!$A$5:$A$1004,$A895,'AFA Rates'!$B$5:$B$1004,M$23,'AFA Rates'!$O$5:$O$1004,"&lt;&gt;Expired")&gt;0,"✓",IF(COUNTIFS('AFA Rates'!$A$5:$A$1004,$A895,'AFA Rates'!$B$5:$B$1004,M$23)&gt;0,"Exp","")))</f>
        <v/>
      </c>
    </row>
    <row r="896">
      <c r="A896" s="78">
        <f>IFERROR(INDEX(Firms!$A$5:$A$1004,MATCH(873,Firms!$V$5:$V$1004,0)),"")</f>
        <v/>
      </c>
      <c r="B896" s="79">
        <f>IF($A896="","",INDEX(Firms!$B$5:$B$1004,MATCH(873,Firms!$V$5:$V$1004,0)))</f>
        <v/>
      </c>
      <c r="C896" s="79">
        <f>IF($A896="","",COUNTIFS('AFA Rates'!$A$5:$A$1004,$A896,'AFA Rates'!$O$5:$O$1004,"&lt;&gt;Expired"))</f>
        <v/>
      </c>
      <c r="D896" s="79">
        <f>IF(OR($A896="",D$23=""),"",IF(COUNTIFS('AFA Rates'!$A$5:$A$1004,$A896,'AFA Rates'!$B$5:$B$1004,D$23,'AFA Rates'!$O$5:$O$1004,"&lt;&gt;Expired")&gt;0,"✓",IF(COUNTIFS('AFA Rates'!$A$5:$A$1004,$A896,'AFA Rates'!$B$5:$B$1004,D$23)&gt;0,"Exp","")))</f>
        <v/>
      </c>
      <c r="E896" s="79">
        <f>IF(OR($A896="",E$23=""),"",IF(COUNTIFS('AFA Rates'!$A$5:$A$1004,$A896,'AFA Rates'!$B$5:$B$1004,E$23,'AFA Rates'!$O$5:$O$1004,"&lt;&gt;Expired")&gt;0,"✓",IF(COUNTIFS('AFA Rates'!$A$5:$A$1004,$A896,'AFA Rates'!$B$5:$B$1004,E$23)&gt;0,"Exp","")))</f>
        <v/>
      </c>
      <c r="F896" s="79">
        <f>IF(OR($A896="",F$23=""),"",IF(COUNTIFS('AFA Rates'!$A$5:$A$1004,$A896,'AFA Rates'!$B$5:$B$1004,F$23,'AFA Rates'!$O$5:$O$1004,"&lt;&gt;Expired")&gt;0,"✓",IF(COUNTIFS('AFA Rates'!$A$5:$A$1004,$A896,'AFA Rates'!$B$5:$B$1004,F$23)&gt;0,"Exp","")))</f>
        <v/>
      </c>
      <c r="G896" s="79">
        <f>IF(OR($A896="",G$23=""),"",IF(COUNTIFS('AFA Rates'!$A$5:$A$1004,$A896,'AFA Rates'!$B$5:$B$1004,G$23,'AFA Rates'!$O$5:$O$1004,"&lt;&gt;Expired")&gt;0,"✓",IF(COUNTIFS('AFA Rates'!$A$5:$A$1004,$A896,'AFA Rates'!$B$5:$B$1004,G$23)&gt;0,"Exp","")))</f>
        <v/>
      </c>
      <c r="H896" s="79">
        <f>IF(OR($A896="",H$23=""),"",IF(COUNTIFS('AFA Rates'!$A$5:$A$1004,$A896,'AFA Rates'!$B$5:$B$1004,H$23,'AFA Rates'!$O$5:$O$1004,"&lt;&gt;Expired")&gt;0,"✓",IF(COUNTIFS('AFA Rates'!$A$5:$A$1004,$A896,'AFA Rates'!$B$5:$B$1004,H$23)&gt;0,"Exp","")))</f>
        <v/>
      </c>
      <c r="I896" s="79">
        <f>IF(OR($A896="",I$23=""),"",IF(COUNTIFS('AFA Rates'!$A$5:$A$1004,$A896,'AFA Rates'!$B$5:$B$1004,I$23,'AFA Rates'!$O$5:$O$1004,"&lt;&gt;Expired")&gt;0,"✓",IF(COUNTIFS('AFA Rates'!$A$5:$A$1004,$A896,'AFA Rates'!$B$5:$B$1004,I$23)&gt;0,"Exp","")))</f>
        <v/>
      </c>
      <c r="J896" s="79">
        <f>IF(OR($A896="",J$23=""),"",IF(COUNTIFS('AFA Rates'!$A$5:$A$1004,$A896,'AFA Rates'!$B$5:$B$1004,J$23,'AFA Rates'!$O$5:$O$1004,"&lt;&gt;Expired")&gt;0,"✓",IF(COUNTIFS('AFA Rates'!$A$5:$A$1004,$A896,'AFA Rates'!$B$5:$B$1004,J$23)&gt;0,"Exp","")))</f>
        <v/>
      </c>
      <c r="K896" s="79">
        <f>IF(OR($A896="",K$23=""),"",IF(COUNTIFS('AFA Rates'!$A$5:$A$1004,$A896,'AFA Rates'!$B$5:$B$1004,K$23,'AFA Rates'!$O$5:$O$1004,"&lt;&gt;Expired")&gt;0,"✓",IF(COUNTIFS('AFA Rates'!$A$5:$A$1004,$A896,'AFA Rates'!$B$5:$B$1004,K$23)&gt;0,"Exp","")))</f>
        <v/>
      </c>
      <c r="L896" s="79">
        <f>IF(OR($A896="",L$23=""),"",IF(COUNTIFS('AFA Rates'!$A$5:$A$1004,$A896,'AFA Rates'!$B$5:$B$1004,L$23,'AFA Rates'!$O$5:$O$1004,"&lt;&gt;Expired")&gt;0,"✓",IF(COUNTIFS('AFA Rates'!$A$5:$A$1004,$A896,'AFA Rates'!$B$5:$B$1004,L$23)&gt;0,"Exp","")))</f>
        <v/>
      </c>
      <c r="M896" s="79">
        <f>IF(OR($A896="",M$23=""),"",IF(COUNTIFS('AFA Rates'!$A$5:$A$1004,$A896,'AFA Rates'!$B$5:$B$1004,M$23,'AFA Rates'!$O$5:$O$1004,"&lt;&gt;Expired")&gt;0,"✓",IF(COUNTIFS('AFA Rates'!$A$5:$A$1004,$A896,'AFA Rates'!$B$5:$B$1004,M$23)&gt;0,"Exp","")))</f>
        <v/>
      </c>
    </row>
    <row r="897">
      <c r="A897" s="78">
        <f>IFERROR(INDEX(Firms!$A$5:$A$1004,MATCH(874,Firms!$V$5:$V$1004,0)),"")</f>
        <v/>
      </c>
      <c r="B897" s="79">
        <f>IF($A897="","",INDEX(Firms!$B$5:$B$1004,MATCH(874,Firms!$V$5:$V$1004,0)))</f>
        <v/>
      </c>
      <c r="C897" s="79">
        <f>IF($A897="","",COUNTIFS('AFA Rates'!$A$5:$A$1004,$A897,'AFA Rates'!$O$5:$O$1004,"&lt;&gt;Expired"))</f>
        <v/>
      </c>
      <c r="D897" s="79">
        <f>IF(OR($A897="",D$23=""),"",IF(COUNTIFS('AFA Rates'!$A$5:$A$1004,$A897,'AFA Rates'!$B$5:$B$1004,D$23,'AFA Rates'!$O$5:$O$1004,"&lt;&gt;Expired")&gt;0,"✓",IF(COUNTIFS('AFA Rates'!$A$5:$A$1004,$A897,'AFA Rates'!$B$5:$B$1004,D$23)&gt;0,"Exp","")))</f>
        <v/>
      </c>
      <c r="E897" s="79">
        <f>IF(OR($A897="",E$23=""),"",IF(COUNTIFS('AFA Rates'!$A$5:$A$1004,$A897,'AFA Rates'!$B$5:$B$1004,E$23,'AFA Rates'!$O$5:$O$1004,"&lt;&gt;Expired")&gt;0,"✓",IF(COUNTIFS('AFA Rates'!$A$5:$A$1004,$A897,'AFA Rates'!$B$5:$B$1004,E$23)&gt;0,"Exp","")))</f>
        <v/>
      </c>
      <c r="F897" s="79">
        <f>IF(OR($A897="",F$23=""),"",IF(COUNTIFS('AFA Rates'!$A$5:$A$1004,$A897,'AFA Rates'!$B$5:$B$1004,F$23,'AFA Rates'!$O$5:$O$1004,"&lt;&gt;Expired")&gt;0,"✓",IF(COUNTIFS('AFA Rates'!$A$5:$A$1004,$A897,'AFA Rates'!$B$5:$B$1004,F$23)&gt;0,"Exp","")))</f>
        <v/>
      </c>
      <c r="G897" s="79">
        <f>IF(OR($A897="",G$23=""),"",IF(COUNTIFS('AFA Rates'!$A$5:$A$1004,$A897,'AFA Rates'!$B$5:$B$1004,G$23,'AFA Rates'!$O$5:$O$1004,"&lt;&gt;Expired")&gt;0,"✓",IF(COUNTIFS('AFA Rates'!$A$5:$A$1004,$A897,'AFA Rates'!$B$5:$B$1004,G$23)&gt;0,"Exp","")))</f>
        <v/>
      </c>
      <c r="H897" s="79">
        <f>IF(OR($A897="",H$23=""),"",IF(COUNTIFS('AFA Rates'!$A$5:$A$1004,$A897,'AFA Rates'!$B$5:$B$1004,H$23,'AFA Rates'!$O$5:$O$1004,"&lt;&gt;Expired")&gt;0,"✓",IF(COUNTIFS('AFA Rates'!$A$5:$A$1004,$A897,'AFA Rates'!$B$5:$B$1004,H$23)&gt;0,"Exp","")))</f>
        <v/>
      </c>
      <c r="I897" s="79">
        <f>IF(OR($A897="",I$23=""),"",IF(COUNTIFS('AFA Rates'!$A$5:$A$1004,$A897,'AFA Rates'!$B$5:$B$1004,I$23,'AFA Rates'!$O$5:$O$1004,"&lt;&gt;Expired")&gt;0,"✓",IF(COUNTIFS('AFA Rates'!$A$5:$A$1004,$A897,'AFA Rates'!$B$5:$B$1004,I$23)&gt;0,"Exp","")))</f>
        <v/>
      </c>
      <c r="J897" s="79">
        <f>IF(OR($A897="",J$23=""),"",IF(COUNTIFS('AFA Rates'!$A$5:$A$1004,$A897,'AFA Rates'!$B$5:$B$1004,J$23,'AFA Rates'!$O$5:$O$1004,"&lt;&gt;Expired")&gt;0,"✓",IF(COUNTIFS('AFA Rates'!$A$5:$A$1004,$A897,'AFA Rates'!$B$5:$B$1004,J$23)&gt;0,"Exp","")))</f>
        <v/>
      </c>
      <c r="K897" s="79">
        <f>IF(OR($A897="",K$23=""),"",IF(COUNTIFS('AFA Rates'!$A$5:$A$1004,$A897,'AFA Rates'!$B$5:$B$1004,K$23,'AFA Rates'!$O$5:$O$1004,"&lt;&gt;Expired")&gt;0,"✓",IF(COUNTIFS('AFA Rates'!$A$5:$A$1004,$A897,'AFA Rates'!$B$5:$B$1004,K$23)&gt;0,"Exp","")))</f>
        <v/>
      </c>
      <c r="L897" s="79">
        <f>IF(OR($A897="",L$23=""),"",IF(COUNTIFS('AFA Rates'!$A$5:$A$1004,$A897,'AFA Rates'!$B$5:$B$1004,L$23,'AFA Rates'!$O$5:$O$1004,"&lt;&gt;Expired")&gt;0,"✓",IF(COUNTIFS('AFA Rates'!$A$5:$A$1004,$A897,'AFA Rates'!$B$5:$B$1004,L$23)&gt;0,"Exp","")))</f>
        <v/>
      </c>
      <c r="M897" s="79">
        <f>IF(OR($A897="",M$23=""),"",IF(COUNTIFS('AFA Rates'!$A$5:$A$1004,$A897,'AFA Rates'!$B$5:$B$1004,M$23,'AFA Rates'!$O$5:$O$1004,"&lt;&gt;Expired")&gt;0,"✓",IF(COUNTIFS('AFA Rates'!$A$5:$A$1004,$A897,'AFA Rates'!$B$5:$B$1004,M$23)&gt;0,"Exp","")))</f>
        <v/>
      </c>
    </row>
    <row r="898">
      <c r="A898" s="78">
        <f>IFERROR(INDEX(Firms!$A$5:$A$1004,MATCH(875,Firms!$V$5:$V$1004,0)),"")</f>
        <v/>
      </c>
      <c r="B898" s="79">
        <f>IF($A898="","",INDEX(Firms!$B$5:$B$1004,MATCH(875,Firms!$V$5:$V$1004,0)))</f>
        <v/>
      </c>
      <c r="C898" s="79">
        <f>IF($A898="","",COUNTIFS('AFA Rates'!$A$5:$A$1004,$A898,'AFA Rates'!$O$5:$O$1004,"&lt;&gt;Expired"))</f>
        <v/>
      </c>
      <c r="D898" s="79">
        <f>IF(OR($A898="",D$23=""),"",IF(COUNTIFS('AFA Rates'!$A$5:$A$1004,$A898,'AFA Rates'!$B$5:$B$1004,D$23,'AFA Rates'!$O$5:$O$1004,"&lt;&gt;Expired")&gt;0,"✓",IF(COUNTIFS('AFA Rates'!$A$5:$A$1004,$A898,'AFA Rates'!$B$5:$B$1004,D$23)&gt;0,"Exp","")))</f>
        <v/>
      </c>
      <c r="E898" s="79">
        <f>IF(OR($A898="",E$23=""),"",IF(COUNTIFS('AFA Rates'!$A$5:$A$1004,$A898,'AFA Rates'!$B$5:$B$1004,E$23,'AFA Rates'!$O$5:$O$1004,"&lt;&gt;Expired")&gt;0,"✓",IF(COUNTIFS('AFA Rates'!$A$5:$A$1004,$A898,'AFA Rates'!$B$5:$B$1004,E$23)&gt;0,"Exp","")))</f>
        <v/>
      </c>
      <c r="F898" s="79">
        <f>IF(OR($A898="",F$23=""),"",IF(COUNTIFS('AFA Rates'!$A$5:$A$1004,$A898,'AFA Rates'!$B$5:$B$1004,F$23,'AFA Rates'!$O$5:$O$1004,"&lt;&gt;Expired")&gt;0,"✓",IF(COUNTIFS('AFA Rates'!$A$5:$A$1004,$A898,'AFA Rates'!$B$5:$B$1004,F$23)&gt;0,"Exp","")))</f>
        <v/>
      </c>
      <c r="G898" s="79">
        <f>IF(OR($A898="",G$23=""),"",IF(COUNTIFS('AFA Rates'!$A$5:$A$1004,$A898,'AFA Rates'!$B$5:$B$1004,G$23,'AFA Rates'!$O$5:$O$1004,"&lt;&gt;Expired")&gt;0,"✓",IF(COUNTIFS('AFA Rates'!$A$5:$A$1004,$A898,'AFA Rates'!$B$5:$B$1004,G$23)&gt;0,"Exp","")))</f>
        <v/>
      </c>
      <c r="H898" s="79">
        <f>IF(OR($A898="",H$23=""),"",IF(COUNTIFS('AFA Rates'!$A$5:$A$1004,$A898,'AFA Rates'!$B$5:$B$1004,H$23,'AFA Rates'!$O$5:$O$1004,"&lt;&gt;Expired")&gt;0,"✓",IF(COUNTIFS('AFA Rates'!$A$5:$A$1004,$A898,'AFA Rates'!$B$5:$B$1004,H$23)&gt;0,"Exp","")))</f>
        <v/>
      </c>
      <c r="I898" s="79">
        <f>IF(OR($A898="",I$23=""),"",IF(COUNTIFS('AFA Rates'!$A$5:$A$1004,$A898,'AFA Rates'!$B$5:$B$1004,I$23,'AFA Rates'!$O$5:$O$1004,"&lt;&gt;Expired")&gt;0,"✓",IF(COUNTIFS('AFA Rates'!$A$5:$A$1004,$A898,'AFA Rates'!$B$5:$B$1004,I$23)&gt;0,"Exp","")))</f>
        <v/>
      </c>
      <c r="J898" s="79">
        <f>IF(OR($A898="",J$23=""),"",IF(COUNTIFS('AFA Rates'!$A$5:$A$1004,$A898,'AFA Rates'!$B$5:$B$1004,J$23,'AFA Rates'!$O$5:$O$1004,"&lt;&gt;Expired")&gt;0,"✓",IF(COUNTIFS('AFA Rates'!$A$5:$A$1004,$A898,'AFA Rates'!$B$5:$B$1004,J$23)&gt;0,"Exp","")))</f>
        <v/>
      </c>
      <c r="K898" s="79">
        <f>IF(OR($A898="",K$23=""),"",IF(COUNTIFS('AFA Rates'!$A$5:$A$1004,$A898,'AFA Rates'!$B$5:$B$1004,K$23,'AFA Rates'!$O$5:$O$1004,"&lt;&gt;Expired")&gt;0,"✓",IF(COUNTIFS('AFA Rates'!$A$5:$A$1004,$A898,'AFA Rates'!$B$5:$B$1004,K$23)&gt;0,"Exp","")))</f>
        <v/>
      </c>
      <c r="L898" s="79">
        <f>IF(OR($A898="",L$23=""),"",IF(COUNTIFS('AFA Rates'!$A$5:$A$1004,$A898,'AFA Rates'!$B$5:$B$1004,L$23,'AFA Rates'!$O$5:$O$1004,"&lt;&gt;Expired")&gt;0,"✓",IF(COUNTIFS('AFA Rates'!$A$5:$A$1004,$A898,'AFA Rates'!$B$5:$B$1004,L$23)&gt;0,"Exp","")))</f>
        <v/>
      </c>
      <c r="M898" s="79">
        <f>IF(OR($A898="",M$23=""),"",IF(COUNTIFS('AFA Rates'!$A$5:$A$1004,$A898,'AFA Rates'!$B$5:$B$1004,M$23,'AFA Rates'!$O$5:$O$1004,"&lt;&gt;Expired")&gt;0,"✓",IF(COUNTIFS('AFA Rates'!$A$5:$A$1004,$A898,'AFA Rates'!$B$5:$B$1004,M$23)&gt;0,"Exp","")))</f>
        <v/>
      </c>
    </row>
    <row r="899">
      <c r="A899" s="78">
        <f>IFERROR(INDEX(Firms!$A$5:$A$1004,MATCH(876,Firms!$V$5:$V$1004,0)),"")</f>
        <v/>
      </c>
      <c r="B899" s="79">
        <f>IF($A899="","",INDEX(Firms!$B$5:$B$1004,MATCH(876,Firms!$V$5:$V$1004,0)))</f>
        <v/>
      </c>
      <c r="C899" s="79">
        <f>IF($A899="","",COUNTIFS('AFA Rates'!$A$5:$A$1004,$A899,'AFA Rates'!$O$5:$O$1004,"&lt;&gt;Expired"))</f>
        <v/>
      </c>
      <c r="D899" s="79">
        <f>IF(OR($A899="",D$23=""),"",IF(COUNTIFS('AFA Rates'!$A$5:$A$1004,$A899,'AFA Rates'!$B$5:$B$1004,D$23,'AFA Rates'!$O$5:$O$1004,"&lt;&gt;Expired")&gt;0,"✓",IF(COUNTIFS('AFA Rates'!$A$5:$A$1004,$A899,'AFA Rates'!$B$5:$B$1004,D$23)&gt;0,"Exp","")))</f>
        <v/>
      </c>
      <c r="E899" s="79">
        <f>IF(OR($A899="",E$23=""),"",IF(COUNTIFS('AFA Rates'!$A$5:$A$1004,$A899,'AFA Rates'!$B$5:$B$1004,E$23,'AFA Rates'!$O$5:$O$1004,"&lt;&gt;Expired")&gt;0,"✓",IF(COUNTIFS('AFA Rates'!$A$5:$A$1004,$A899,'AFA Rates'!$B$5:$B$1004,E$23)&gt;0,"Exp","")))</f>
        <v/>
      </c>
      <c r="F899" s="79">
        <f>IF(OR($A899="",F$23=""),"",IF(COUNTIFS('AFA Rates'!$A$5:$A$1004,$A899,'AFA Rates'!$B$5:$B$1004,F$23,'AFA Rates'!$O$5:$O$1004,"&lt;&gt;Expired")&gt;0,"✓",IF(COUNTIFS('AFA Rates'!$A$5:$A$1004,$A899,'AFA Rates'!$B$5:$B$1004,F$23)&gt;0,"Exp","")))</f>
        <v/>
      </c>
      <c r="G899" s="79">
        <f>IF(OR($A899="",G$23=""),"",IF(COUNTIFS('AFA Rates'!$A$5:$A$1004,$A899,'AFA Rates'!$B$5:$B$1004,G$23,'AFA Rates'!$O$5:$O$1004,"&lt;&gt;Expired")&gt;0,"✓",IF(COUNTIFS('AFA Rates'!$A$5:$A$1004,$A899,'AFA Rates'!$B$5:$B$1004,G$23)&gt;0,"Exp","")))</f>
        <v/>
      </c>
      <c r="H899" s="79">
        <f>IF(OR($A899="",H$23=""),"",IF(COUNTIFS('AFA Rates'!$A$5:$A$1004,$A899,'AFA Rates'!$B$5:$B$1004,H$23,'AFA Rates'!$O$5:$O$1004,"&lt;&gt;Expired")&gt;0,"✓",IF(COUNTIFS('AFA Rates'!$A$5:$A$1004,$A899,'AFA Rates'!$B$5:$B$1004,H$23)&gt;0,"Exp","")))</f>
        <v/>
      </c>
      <c r="I899" s="79">
        <f>IF(OR($A899="",I$23=""),"",IF(COUNTIFS('AFA Rates'!$A$5:$A$1004,$A899,'AFA Rates'!$B$5:$B$1004,I$23,'AFA Rates'!$O$5:$O$1004,"&lt;&gt;Expired")&gt;0,"✓",IF(COUNTIFS('AFA Rates'!$A$5:$A$1004,$A899,'AFA Rates'!$B$5:$B$1004,I$23)&gt;0,"Exp","")))</f>
        <v/>
      </c>
      <c r="J899" s="79">
        <f>IF(OR($A899="",J$23=""),"",IF(COUNTIFS('AFA Rates'!$A$5:$A$1004,$A899,'AFA Rates'!$B$5:$B$1004,J$23,'AFA Rates'!$O$5:$O$1004,"&lt;&gt;Expired")&gt;0,"✓",IF(COUNTIFS('AFA Rates'!$A$5:$A$1004,$A899,'AFA Rates'!$B$5:$B$1004,J$23)&gt;0,"Exp","")))</f>
        <v/>
      </c>
      <c r="K899" s="79">
        <f>IF(OR($A899="",K$23=""),"",IF(COUNTIFS('AFA Rates'!$A$5:$A$1004,$A899,'AFA Rates'!$B$5:$B$1004,K$23,'AFA Rates'!$O$5:$O$1004,"&lt;&gt;Expired")&gt;0,"✓",IF(COUNTIFS('AFA Rates'!$A$5:$A$1004,$A899,'AFA Rates'!$B$5:$B$1004,K$23)&gt;0,"Exp","")))</f>
        <v/>
      </c>
      <c r="L899" s="79">
        <f>IF(OR($A899="",L$23=""),"",IF(COUNTIFS('AFA Rates'!$A$5:$A$1004,$A899,'AFA Rates'!$B$5:$B$1004,L$23,'AFA Rates'!$O$5:$O$1004,"&lt;&gt;Expired")&gt;0,"✓",IF(COUNTIFS('AFA Rates'!$A$5:$A$1004,$A899,'AFA Rates'!$B$5:$B$1004,L$23)&gt;0,"Exp","")))</f>
        <v/>
      </c>
      <c r="M899" s="79">
        <f>IF(OR($A899="",M$23=""),"",IF(COUNTIFS('AFA Rates'!$A$5:$A$1004,$A899,'AFA Rates'!$B$5:$B$1004,M$23,'AFA Rates'!$O$5:$O$1004,"&lt;&gt;Expired")&gt;0,"✓",IF(COUNTIFS('AFA Rates'!$A$5:$A$1004,$A899,'AFA Rates'!$B$5:$B$1004,M$23)&gt;0,"Exp","")))</f>
        <v/>
      </c>
    </row>
    <row r="900">
      <c r="A900" s="78">
        <f>IFERROR(INDEX(Firms!$A$5:$A$1004,MATCH(877,Firms!$V$5:$V$1004,0)),"")</f>
        <v/>
      </c>
      <c r="B900" s="79">
        <f>IF($A900="","",INDEX(Firms!$B$5:$B$1004,MATCH(877,Firms!$V$5:$V$1004,0)))</f>
        <v/>
      </c>
      <c r="C900" s="79">
        <f>IF($A900="","",COUNTIFS('AFA Rates'!$A$5:$A$1004,$A900,'AFA Rates'!$O$5:$O$1004,"&lt;&gt;Expired"))</f>
        <v/>
      </c>
      <c r="D900" s="79">
        <f>IF(OR($A900="",D$23=""),"",IF(COUNTIFS('AFA Rates'!$A$5:$A$1004,$A900,'AFA Rates'!$B$5:$B$1004,D$23,'AFA Rates'!$O$5:$O$1004,"&lt;&gt;Expired")&gt;0,"✓",IF(COUNTIFS('AFA Rates'!$A$5:$A$1004,$A900,'AFA Rates'!$B$5:$B$1004,D$23)&gt;0,"Exp","")))</f>
        <v/>
      </c>
      <c r="E900" s="79">
        <f>IF(OR($A900="",E$23=""),"",IF(COUNTIFS('AFA Rates'!$A$5:$A$1004,$A900,'AFA Rates'!$B$5:$B$1004,E$23,'AFA Rates'!$O$5:$O$1004,"&lt;&gt;Expired")&gt;0,"✓",IF(COUNTIFS('AFA Rates'!$A$5:$A$1004,$A900,'AFA Rates'!$B$5:$B$1004,E$23)&gt;0,"Exp","")))</f>
        <v/>
      </c>
      <c r="F900" s="79">
        <f>IF(OR($A900="",F$23=""),"",IF(COUNTIFS('AFA Rates'!$A$5:$A$1004,$A900,'AFA Rates'!$B$5:$B$1004,F$23,'AFA Rates'!$O$5:$O$1004,"&lt;&gt;Expired")&gt;0,"✓",IF(COUNTIFS('AFA Rates'!$A$5:$A$1004,$A900,'AFA Rates'!$B$5:$B$1004,F$23)&gt;0,"Exp","")))</f>
        <v/>
      </c>
      <c r="G900" s="79">
        <f>IF(OR($A900="",G$23=""),"",IF(COUNTIFS('AFA Rates'!$A$5:$A$1004,$A900,'AFA Rates'!$B$5:$B$1004,G$23,'AFA Rates'!$O$5:$O$1004,"&lt;&gt;Expired")&gt;0,"✓",IF(COUNTIFS('AFA Rates'!$A$5:$A$1004,$A900,'AFA Rates'!$B$5:$B$1004,G$23)&gt;0,"Exp","")))</f>
        <v/>
      </c>
      <c r="H900" s="79">
        <f>IF(OR($A900="",H$23=""),"",IF(COUNTIFS('AFA Rates'!$A$5:$A$1004,$A900,'AFA Rates'!$B$5:$B$1004,H$23,'AFA Rates'!$O$5:$O$1004,"&lt;&gt;Expired")&gt;0,"✓",IF(COUNTIFS('AFA Rates'!$A$5:$A$1004,$A900,'AFA Rates'!$B$5:$B$1004,H$23)&gt;0,"Exp","")))</f>
        <v/>
      </c>
      <c r="I900" s="79">
        <f>IF(OR($A900="",I$23=""),"",IF(COUNTIFS('AFA Rates'!$A$5:$A$1004,$A900,'AFA Rates'!$B$5:$B$1004,I$23,'AFA Rates'!$O$5:$O$1004,"&lt;&gt;Expired")&gt;0,"✓",IF(COUNTIFS('AFA Rates'!$A$5:$A$1004,$A900,'AFA Rates'!$B$5:$B$1004,I$23)&gt;0,"Exp","")))</f>
        <v/>
      </c>
      <c r="J900" s="79">
        <f>IF(OR($A900="",J$23=""),"",IF(COUNTIFS('AFA Rates'!$A$5:$A$1004,$A900,'AFA Rates'!$B$5:$B$1004,J$23,'AFA Rates'!$O$5:$O$1004,"&lt;&gt;Expired")&gt;0,"✓",IF(COUNTIFS('AFA Rates'!$A$5:$A$1004,$A900,'AFA Rates'!$B$5:$B$1004,J$23)&gt;0,"Exp","")))</f>
        <v/>
      </c>
      <c r="K900" s="79">
        <f>IF(OR($A900="",K$23=""),"",IF(COUNTIFS('AFA Rates'!$A$5:$A$1004,$A900,'AFA Rates'!$B$5:$B$1004,K$23,'AFA Rates'!$O$5:$O$1004,"&lt;&gt;Expired")&gt;0,"✓",IF(COUNTIFS('AFA Rates'!$A$5:$A$1004,$A900,'AFA Rates'!$B$5:$B$1004,K$23)&gt;0,"Exp","")))</f>
        <v/>
      </c>
      <c r="L900" s="79">
        <f>IF(OR($A900="",L$23=""),"",IF(COUNTIFS('AFA Rates'!$A$5:$A$1004,$A900,'AFA Rates'!$B$5:$B$1004,L$23,'AFA Rates'!$O$5:$O$1004,"&lt;&gt;Expired")&gt;0,"✓",IF(COUNTIFS('AFA Rates'!$A$5:$A$1004,$A900,'AFA Rates'!$B$5:$B$1004,L$23)&gt;0,"Exp","")))</f>
        <v/>
      </c>
      <c r="M900" s="79">
        <f>IF(OR($A900="",M$23=""),"",IF(COUNTIFS('AFA Rates'!$A$5:$A$1004,$A900,'AFA Rates'!$B$5:$B$1004,M$23,'AFA Rates'!$O$5:$O$1004,"&lt;&gt;Expired")&gt;0,"✓",IF(COUNTIFS('AFA Rates'!$A$5:$A$1004,$A900,'AFA Rates'!$B$5:$B$1004,M$23)&gt;0,"Exp","")))</f>
        <v/>
      </c>
    </row>
    <row r="901">
      <c r="A901" s="78">
        <f>IFERROR(INDEX(Firms!$A$5:$A$1004,MATCH(878,Firms!$V$5:$V$1004,0)),"")</f>
        <v/>
      </c>
      <c r="B901" s="79">
        <f>IF($A901="","",INDEX(Firms!$B$5:$B$1004,MATCH(878,Firms!$V$5:$V$1004,0)))</f>
        <v/>
      </c>
      <c r="C901" s="79">
        <f>IF($A901="","",COUNTIFS('AFA Rates'!$A$5:$A$1004,$A901,'AFA Rates'!$O$5:$O$1004,"&lt;&gt;Expired"))</f>
        <v/>
      </c>
      <c r="D901" s="79">
        <f>IF(OR($A901="",D$23=""),"",IF(COUNTIFS('AFA Rates'!$A$5:$A$1004,$A901,'AFA Rates'!$B$5:$B$1004,D$23,'AFA Rates'!$O$5:$O$1004,"&lt;&gt;Expired")&gt;0,"✓",IF(COUNTIFS('AFA Rates'!$A$5:$A$1004,$A901,'AFA Rates'!$B$5:$B$1004,D$23)&gt;0,"Exp","")))</f>
        <v/>
      </c>
      <c r="E901" s="79">
        <f>IF(OR($A901="",E$23=""),"",IF(COUNTIFS('AFA Rates'!$A$5:$A$1004,$A901,'AFA Rates'!$B$5:$B$1004,E$23,'AFA Rates'!$O$5:$O$1004,"&lt;&gt;Expired")&gt;0,"✓",IF(COUNTIFS('AFA Rates'!$A$5:$A$1004,$A901,'AFA Rates'!$B$5:$B$1004,E$23)&gt;0,"Exp","")))</f>
        <v/>
      </c>
      <c r="F901" s="79">
        <f>IF(OR($A901="",F$23=""),"",IF(COUNTIFS('AFA Rates'!$A$5:$A$1004,$A901,'AFA Rates'!$B$5:$B$1004,F$23,'AFA Rates'!$O$5:$O$1004,"&lt;&gt;Expired")&gt;0,"✓",IF(COUNTIFS('AFA Rates'!$A$5:$A$1004,$A901,'AFA Rates'!$B$5:$B$1004,F$23)&gt;0,"Exp","")))</f>
        <v/>
      </c>
      <c r="G901" s="79">
        <f>IF(OR($A901="",G$23=""),"",IF(COUNTIFS('AFA Rates'!$A$5:$A$1004,$A901,'AFA Rates'!$B$5:$B$1004,G$23,'AFA Rates'!$O$5:$O$1004,"&lt;&gt;Expired")&gt;0,"✓",IF(COUNTIFS('AFA Rates'!$A$5:$A$1004,$A901,'AFA Rates'!$B$5:$B$1004,G$23)&gt;0,"Exp","")))</f>
        <v/>
      </c>
      <c r="H901" s="79">
        <f>IF(OR($A901="",H$23=""),"",IF(COUNTIFS('AFA Rates'!$A$5:$A$1004,$A901,'AFA Rates'!$B$5:$B$1004,H$23,'AFA Rates'!$O$5:$O$1004,"&lt;&gt;Expired")&gt;0,"✓",IF(COUNTIFS('AFA Rates'!$A$5:$A$1004,$A901,'AFA Rates'!$B$5:$B$1004,H$23)&gt;0,"Exp","")))</f>
        <v/>
      </c>
      <c r="I901" s="79">
        <f>IF(OR($A901="",I$23=""),"",IF(COUNTIFS('AFA Rates'!$A$5:$A$1004,$A901,'AFA Rates'!$B$5:$B$1004,I$23,'AFA Rates'!$O$5:$O$1004,"&lt;&gt;Expired")&gt;0,"✓",IF(COUNTIFS('AFA Rates'!$A$5:$A$1004,$A901,'AFA Rates'!$B$5:$B$1004,I$23)&gt;0,"Exp","")))</f>
        <v/>
      </c>
      <c r="J901" s="79">
        <f>IF(OR($A901="",J$23=""),"",IF(COUNTIFS('AFA Rates'!$A$5:$A$1004,$A901,'AFA Rates'!$B$5:$B$1004,J$23,'AFA Rates'!$O$5:$O$1004,"&lt;&gt;Expired")&gt;0,"✓",IF(COUNTIFS('AFA Rates'!$A$5:$A$1004,$A901,'AFA Rates'!$B$5:$B$1004,J$23)&gt;0,"Exp","")))</f>
        <v/>
      </c>
      <c r="K901" s="79">
        <f>IF(OR($A901="",K$23=""),"",IF(COUNTIFS('AFA Rates'!$A$5:$A$1004,$A901,'AFA Rates'!$B$5:$B$1004,K$23,'AFA Rates'!$O$5:$O$1004,"&lt;&gt;Expired")&gt;0,"✓",IF(COUNTIFS('AFA Rates'!$A$5:$A$1004,$A901,'AFA Rates'!$B$5:$B$1004,K$23)&gt;0,"Exp","")))</f>
        <v/>
      </c>
      <c r="L901" s="79">
        <f>IF(OR($A901="",L$23=""),"",IF(COUNTIFS('AFA Rates'!$A$5:$A$1004,$A901,'AFA Rates'!$B$5:$B$1004,L$23,'AFA Rates'!$O$5:$O$1004,"&lt;&gt;Expired")&gt;0,"✓",IF(COUNTIFS('AFA Rates'!$A$5:$A$1004,$A901,'AFA Rates'!$B$5:$B$1004,L$23)&gt;0,"Exp","")))</f>
        <v/>
      </c>
      <c r="M901" s="79">
        <f>IF(OR($A901="",M$23=""),"",IF(COUNTIFS('AFA Rates'!$A$5:$A$1004,$A901,'AFA Rates'!$B$5:$B$1004,M$23,'AFA Rates'!$O$5:$O$1004,"&lt;&gt;Expired")&gt;0,"✓",IF(COUNTIFS('AFA Rates'!$A$5:$A$1004,$A901,'AFA Rates'!$B$5:$B$1004,M$23)&gt;0,"Exp","")))</f>
        <v/>
      </c>
    </row>
    <row r="902">
      <c r="A902" s="78">
        <f>IFERROR(INDEX(Firms!$A$5:$A$1004,MATCH(879,Firms!$V$5:$V$1004,0)),"")</f>
        <v/>
      </c>
      <c r="B902" s="79">
        <f>IF($A902="","",INDEX(Firms!$B$5:$B$1004,MATCH(879,Firms!$V$5:$V$1004,0)))</f>
        <v/>
      </c>
      <c r="C902" s="79">
        <f>IF($A902="","",COUNTIFS('AFA Rates'!$A$5:$A$1004,$A902,'AFA Rates'!$O$5:$O$1004,"&lt;&gt;Expired"))</f>
        <v/>
      </c>
      <c r="D902" s="79">
        <f>IF(OR($A902="",D$23=""),"",IF(COUNTIFS('AFA Rates'!$A$5:$A$1004,$A902,'AFA Rates'!$B$5:$B$1004,D$23,'AFA Rates'!$O$5:$O$1004,"&lt;&gt;Expired")&gt;0,"✓",IF(COUNTIFS('AFA Rates'!$A$5:$A$1004,$A902,'AFA Rates'!$B$5:$B$1004,D$23)&gt;0,"Exp","")))</f>
        <v/>
      </c>
      <c r="E902" s="79">
        <f>IF(OR($A902="",E$23=""),"",IF(COUNTIFS('AFA Rates'!$A$5:$A$1004,$A902,'AFA Rates'!$B$5:$B$1004,E$23,'AFA Rates'!$O$5:$O$1004,"&lt;&gt;Expired")&gt;0,"✓",IF(COUNTIFS('AFA Rates'!$A$5:$A$1004,$A902,'AFA Rates'!$B$5:$B$1004,E$23)&gt;0,"Exp","")))</f>
        <v/>
      </c>
      <c r="F902" s="79">
        <f>IF(OR($A902="",F$23=""),"",IF(COUNTIFS('AFA Rates'!$A$5:$A$1004,$A902,'AFA Rates'!$B$5:$B$1004,F$23,'AFA Rates'!$O$5:$O$1004,"&lt;&gt;Expired")&gt;0,"✓",IF(COUNTIFS('AFA Rates'!$A$5:$A$1004,$A902,'AFA Rates'!$B$5:$B$1004,F$23)&gt;0,"Exp","")))</f>
        <v/>
      </c>
      <c r="G902" s="79">
        <f>IF(OR($A902="",G$23=""),"",IF(COUNTIFS('AFA Rates'!$A$5:$A$1004,$A902,'AFA Rates'!$B$5:$B$1004,G$23,'AFA Rates'!$O$5:$O$1004,"&lt;&gt;Expired")&gt;0,"✓",IF(COUNTIFS('AFA Rates'!$A$5:$A$1004,$A902,'AFA Rates'!$B$5:$B$1004,G$23)&gt;0,"Exp","")))</f>
        <v/>
      </c>
      <c r="H902" s="79">
        <f>IF(OR($A902="",H$23=""),"",IF(COUNTIFS('AFA Rates'!$A$5:$A$1004,$A902,'AFA Rates'!$B$5:$B$1004,H$23,'AFA Rates'!$O$5:$O$1004,"&lt;&gt;Expired")&gt;0,"✓",IF(COUNTIFS('AFA Rates'!$A$5:$A$1004,$A902,'AFA Rates'!$B$5:$B$1004,H$23)&gt;0,"Exp","")))</f>
        <v/>
      </c>
      <c r="I902" s="79">
        <f>IF(OR($A902="",I$23=""),"",IF(COUNTIFS('AFA Rates'!$A$5:$A$1004,$A902,'AFA Rates'!$B$5:$B$1004,I$23,'AFA Rates'!$O$5:$O$1004,"&lt;&gt;Expired")&gt;0,"✓",IF(COUNTIFS('AFA Rates'!$A$5:$A$1004,$A902,'AFA Rates'!$B$5:$B$1004,I$23)&gt;0,"Exp","")))</f>
        <v/>
      </c>
      <c r="J902" s="79">
        <f>IF(OR($A902="",J$23=""),"",IF(COUNTIFS('AFA Rates'!$A$5:$A$1004,$A902,'AFA Rates'!$B$5:$B$1004,J$23,'AFA Rates'!$O$5:$O$1004,"&lt;&gt;Expired")&gt;0,"✓",IF(COUNTIFS('AFA Rates'!$A$5:$A$1004,$A902,'AFA Rates'!$B$5:$B$1004,J$23)&gt;0,"Exp","")))</f>
        <v/>
      </c>
      <c r="K902" s="79">
        <f>IF(OR($A902="",K$23=""),"",IF(COUNTIFS('AFA Rates'!$A$5:$A$1004,$A902,'AFA Rates'!$B$5:$B$1004,K$23,'AFA Rates'!$O$5:$O$1004,"&lt;&gt;Expired")&gt;0,"✓",IF(COUNTIFS('AFA Rates'!$A$5:$A$1004,$A902,'AFA Rates'!$B$5:$B$1004,K$23)&gt;0,"Exp","")))</f>
        <v/>
      </c>
      <c r="L902" s="79">
        <f>IF(OR($A902="",L$23=""),"",IF(COUNTIFS('AFA Rates'!$A$5:$A$1004,$A902,'AFA Rates'!$B$5:$B$1004,L$23,'AFA Rates'!$O$5:$O$1004,"&lt;&gt;Expired")&gt;0,"✓",IF(COUNTIFS('AFA Rates'!$A$5:$A$1004,$A902,'AFA Rates'!$B$5:$B$1004,L$23)&gt;0,"Exp","")))</f>
        <v/>
      </c>
      <c r="M902" s="79">
        <f>IF(OR($A902="",M$23=""),"",IF(COUNTIFS('AFA Rates'!$A$5:$A$1004,$A902,'AFA Rates'!$B$5:$B$1004,M$23,'AFA Rates'!$O$5:$O$1004,"&lt;&gt;Expired")&gt;0,"✓",IF(COUNTIFS('AFA Rates'!$A$5:$A$1004,$A902,'AFA Rates'!$B$5:$B$1004,M$23)&gt;0,"Exp","")))</f>
        <v/>
      </c>
    </row>
    <row r="903">
      <c r="A903" s="78">
        <f>IFERROR(INDEX(Firms!$A$5:$A$1004,MATCH(880,Firms!$V$5:$V$1004,0)),"")</f>
        <v/>
      </c>
      <c r="B903" s="79">
        <f>IF($A903="","",INDEX(Firms!$B$5:$B$1004,MATCH(880,Firms!$V$5:$V$1004,0)))</f>
        <v/>
      </c>
      <c r="C903" s="79">
        <f>IF($A903="","",COUNTIFS('AFA Rates'!$A$5:$A$1004,$A903,'AFA Rates'!$O$5:$O$1004,"&lt;&gt;Expired"))</f>
        <v/>
      </c>
      <c r="D903" s="79">
        <f>IF(OR($A903="",D$23=""),"",IF(COUNTIFS('AFA Rates'!$A$5:$A$1004,$A903,'AFA Rates'!$B$5:$B$1004,D$23,'AFA Rates'!$O$5:$O$1004,"&lt;&gt;Expired")&gt;0,"✓",IF(COUNTIFS('AFA Rates'!$A$5:$A$1004,$A903,'AFA Rates'!$B$5:$B$1004,D$23)&gt;0,"Exp","")))</f>
        <v/>
      </c>
      <c r="E903" s="79">
        <f>IF(OR($A903="",E$23=""),"",IF(COUNTIFS('AFA Rates'!$A$5:$A$1004,$A903,'AFA Rates'!$B$5:$B$1004,E$23,'AFA Rates'!$O$5:$O$1004,"&lt;&gt;Expired")&gt;0,"✓",IF(COUNTIFS('AFA Rates'!$A$5:$A$1004,$A903,'AFA Rates'!$B$5:$B$1004,E$23)&gt;0,"Exp","")))</f>
        <v/>
      </c>
      <c r="F903" s="79">
        <f>IF(OR($A903="",F$23=""),"",IF(COUNTIFS('AFA Rates'!$A$5:$A$1004,$A903,'AFA Rates'!$B$5:$B$1004,F$23,'AFA Rates'!$O$5:$O$1004,"&lt;&gt;Expired")&gt;0,"✓",IF(COUNTIFS('AFA Rates'!$A$5:$A$1004,$A903,'AFA Rates'!$B$5:$B$1004,F$23)&gt;0,"Exp","")))</f>
        <v/>
      </c>
      <c r="G903" s="79">
        <f>IF(OR($A903="",G$23=""),"",IF(COUNTIFS('AFA Rates'!$A$5:$A$1004,$A903,'AFA Rates'!$B$5:$B$1004,G$23,'AFA Rates'!$O$5:$O$1004,"&lt;&gt;Expired")&gt;0,"✓",IF(COUNTIFS('AFA Rates'!$A$5:$A$1004,$A903,'AFA Rates'!$B$5:$B$1004,G$23)&gt;0,"Exp","")))</f>
        <v/>
      </c>
      <c r="H903" s="79">
        <f>IF(OR($A903="",H$23=""),"",IF(COUNTIFS('AFA Rates'!$A$5:$A$1004,$A903,'AFA Rates'!$B$5:$B$1004,H$23,'AFA Rates'!$O$5:$O$1004,"&lt;&gt;Expired")&gt;0,"✓",IF(COUNTIFS('AFA Rates'!$A$5:$A$1004,$A903,'AFA Rates'!$B$5:$B$1004,H$23)&gt;0,"Exp","")))</f>
        <v/>
      </c>
      <c r="I903" s="79">
        <f>IF(OR($A903="",I$23=""),"",IF(COUNTIFS('AFA Rates'!$A$5:$A$1004,$A903,'AFA Rates'!$B$5:$B$1004,I$23,'AFA Rates'!$O$5:$O$1004,"&lt;&gt;Expired")&gt;0,"✓",IF(COUNTIFS('AFA Rates'!$A$5:$A$1004,$A903,'AFA Rates'!$B$5:$B$1004,I$23)&gt;0,"Exp","")))</f>
        <v/>
      </c>
      <c r="J903" s="79">
        <f>IF(OR($A903="",J$23=""),"",IF(COUNTIFS('AFA Rates'!$A$5:$A$1004,$A903,'AFA Rates'!$B$5:$B$1004,J$23,'AFA Rates'!$O$5:$O$1004,"&lt;&gt;Expired")&gt;0,"✓",IF(COUNTIFS('AFA Rates'!$A$5:$A$1004,$A903,'AFA Rates'!$B$5:$B$1004,J$23)&gt;0,"Exp","")))</f>
        <v/>
      </c>
      <c r="K903" s="79">
        <f>IF(OR($A903="",K$23=""),"",IF(COUNTIFS('AFA Rates'!$A$5:$A$1004,$A903,'AFA Rates'!$B$5:$B$1004,K$23,'AFA Rates'!$O$5:$O$1004,"&lt;&gt;Expired")&gt;0,"✓",IF(COUNTIFS('AFA Rates'!$A$5:$A$1004,$A903,'AFA Rates'!$B$5:$B$1004,K$23)&gt;0,"Exp","")))</f>
        <v/>
      </c>
      <c r="L903" s="79">
        <f>IF(OR($A903="",L$23=""),"",IF(COUNTIFS('AFA Rates'!$A$5:$A$1004,$A903,'AFA Rates'!$B$5:$B$1004,L$23,'AFA Rates'!$O$5:$O$1004,"&lt;&gt;Expired")&gt;0,"✓",IF(COUNTIFS('AFA Rates'!$A$5:$A$1004,$A903,'AFA Rates'!$B$5:$B$1004,L$23)&gt;0,"Exp","")))</f>
        <v/>
      </c>
      <c r="M903" s="79">
        <f>IF(OR($A903="",M$23=""),"",IF(COUNTIFS('AFA Rates'!$A$5:$A$1004,$A903,'AFA Rates'!$B$5:$B$1004,M$23,'AFA Rates'!$O$5:$O$1004,"&lt;&gt;Expired")&gt;0,"✓",IF(COUNTIFS('AFA Rates'!$A$5:$A$1004,$A903,'AFA Rates'!$B$5:$B$1004,M$23)&gt;0,"Exp","")))</f>
        <v/>
      </c>
    </row>
    <row r="904">
      <c r="A904" s="78">
        <f>IFERROR(INDEX(Firms!$A$5:$A$1004,MATCH(881,Firms!$V$5:$V$1004,0)),"")</f>
        <v/>
      </c>
      <c r="B904" s="79">
        <f>IF($A904="","",INDEX(Firms!$B$5:$B$1004,MATCH(881,Firms!$V$5:$V$1004,0)))</f>
        <v/>
      </c>
      <c r="C904" s="79">
        <f>IF($A904="","",COUNTIFS('AFA Rates'!$A$5:$A$1004,$A904,'AFA Rates'!$O$5:$O$1004,"&lt;&gt;Expired"))</f>
        <v/>
      </c>
      <c r="D904" s="79">
        <f>IF(OR($A904="",D$23=""),"",IF(COUNTIFS('AFA Rates'!$A$5:$A$1004,$A904,'AFA Rates'!$B$5:$B$1004,D$23,'AFA Rates'!$O$5:$O$1004,"&lt;&gt;Expired")&gt;0,"✓",IF(COUNTIFS('AFA Rates'!$A$5:$A$1004,$A904,'AFA Rates'!$B$5:$B$1004,D$23)&gt;0,"Exp","")))</f>
        <v/>
      </c>
      <c r="E904" s="79">
        <f>IF(OR($A904="",E$23=""),"",IF(COUNTIFS('AFA Rates'!$A$5:$A$1004,$A904,'AFA Rates'!$B$5:$B$1004,E$23,'AFA Rates'!$O$5:$O$1004,"&lt;&gt;Expired")&gt;0,"✓",IF(COUNTIFS('AFA Rates'!$A$5:$A$1004,$A904,'AFA Rates'!$B$5:$B$1004,E$23)&gt;0,"Exp","")))</f>
        <v/>
      </c>
      <c r="F904" s="79">
        <f>IF(OR($A904="",F$23=""),"",IF(COUNTIFS('AFA Rates'!$A$5:$A$1004,$A904,'AFA Rates'!$B$5:$B$1004,F$23,'AFA Rates'!$O$5:$O$1004,"&lt;&gt;Expired")&gt;0,"✓",IF(COUNTIFS('AFA Rates'!$A$5:$A$1004,$A904,'AFA Rates'!$B$5:$B$1004,F$23)&gt;0,"Exp","")))</f>
        <v/>
      </c>
      <c r="G904" s="79">
        <f>IF(OR($A904="",G$23=""),"",IF(COUNTIFS('AFA Rates'!$A$5:$A$1004,$A904,'AFA Rates'!$B$5:$B$1004,G$23,'AFA Rates'!$O$5:$O$1004,"&lt;&gt;Expired")&gt;0,"✓",IF(COUNTIFS('AFA Rates'!$A$5:$A$1004,$A904,'AFA Rates'!$B$5:$B$1004,G$23)&gt;0,"Exp","")))</f>
        <v/>
      </c>
      <c r="H904" s="79">
        <f>IF(OR($A904="",H$23=""),"",IF(COUNTIFS('AFA Rates'!$A$5:$A$1004,$A904,'AFA Rates'!$B$5:$B$1004,H$23,'AFA Rates'!$O$5:$O$1004,"&lt;&gt;Expired")&gt;0,"✓",IF(COUNTIFS('AFA Rates'!$A$5:$A$1004,$A904,'AFA Rates'!$B$5:$B$1004,H$23)&gt;0,"Exp","")))</f>
        <v/>
      </c>
      <c r="I904" s="79">
        <f>IF(OR($A904="",I$23=""),"",IF(COUNTIFS('AFA Rates'!$A$5:$A$1004,$A904,'AFA Rates'!$B$5:$B$1004,I$23,'AFA Rates'!$O$5:$O$1004,"&lt;&gt;Expired")&gt;0,"✓",IF(COUNTIFS('AFA Rates'!$A$5:$A$1004,$A904,'AFA Rates'!$B$5:$B$1004,I$23)&gt;0,"Exp","")))</f>
        <v/>
      </c>
      <c r="J904" s="79">
        <f>IF(OR($A904="",J$23=""),"",IF(COUNTIFS('AFA Rates'!$A$5:$A$1004,$A904,'AFA Rates'!$B$5:$B$1004,J$23,'AFA Rates'!$O$5:$O$1004,"&lt;&gt;Expired")&gt;0,"✓",IF(COUNTIFS('AFA Rates'!$A$5:$A$1004,$A904,'AFA Rates'!$B$5:$B$1004,J$23)&gt;0,"Exp","")))</f>
        <v/>
      </c>
      <c r="K904" s="79">
        <f>IF(OR($A904="",K$23=""),"",IF(COUNTIFS('AFA Rates'!$A$5:$A$1004,$A904,'AFA Rates'!$B$5:$B$1004,K$23,'AFA Rates'!$O$5:$O$1004,"&lt;&gt;Expired")&gt;0,"✓",IF(COUNTIFS('AFA Rates'!$A$5:$A$1004,$A904,'AFA Rates'!$B$5:$B$1004,K$23)&gt;0,"Exp","")))</f>
        <v/>
      </c>
      <c r="L904" s="79">
        <f>IF(OR($A904="",L$23=""),"",IF(COUNTIFS('AFA Rates'!$A$5:$A$1004,$A904,'AFA Rates'!$B$5:$B$1004,L$23,'AFA Rates'!$O$5:$O$1004,"&lt;&gt;Expired")&gt;0,"✓",IF(COUNTIFS('AFA Rates'!$A$5:$A$1004,$A904,'AFA Rates'!$B$5:$B$1004,L$23)&gt;0,"Exp","")))</f>
        <v/>
      </c>
      <c r="M904" s="79">
        <f>IF(OR($A904="",M$23=""),"",IF(COUNTIFS('AFA Rates'!$A$5:$A$1004,$A904,'AFA Rates'!$B$5:$B$1004,M$23,'AFA Rates'!$O$5:$O$1004,"&lt;&gt;Expired")&gt;0,"✓",IF(COUNTIFS('AFA Rates'!$A$5:$A$1004,$A904,'AFA Rates'!$B$5:$B$1004,M$23)&gt;0,"Exp","")))</f>
        <v/>
      </c>
    </row>
    <row r="905">
      <c r="A905" s="78">
        <f>IFERROR(INDEX(Firms!$A$5:$A$1004,MATCH(882,Firms!$V$5:$V$1004,0)),"")</f>
        <v/>
      </c>
      <c r="B905" s="79">
        <f>IF($A905="","",INDEX(Firms!$B$5:$B$1004,MATCH(882,Firms!$V$5:$V$1004,0)))</f>
        <v/>
      </c>
      <c r="C905" s="79">
        <f>IF($A905="","",COUNTIFS('AFA Rates'!$A$5:$A$1004,$A905,'AFA Rates'!$O$5:$O$1004,"&lt;&gt;Expired"))</f>
        <v/>
      </c>
      <c r="D905" s="79">
        <f>IF(OR($A905="",D$23=""),"",IF(COUNTIFS('AFA Rates'!$A$5:$A$1004,$A905,'AFA Rates'!$B$5:$B$1004,D$23,'AFA Rates'!$O$5:$O$1004,"&lt;&gt;Expired")&gt;0,"✓",IF(COUNTIFS('AFA Rates'!$A$5:$A$1004,$A905,'AFA Rates'!$B$5:$B$1004,D$23)&gt;0,"Exp","")))</f>
        <v/>
      </c>
      <c r="E905" s="79">
        <f>IF(OR($A905="",E$23=""),"",IF(COUNTIFS('AFA Rates'!$A$5:$A$1004,$A905,'AFA Rates'!$B$5:$B$1004,E$23,'AFA Rates'!$O$5:$O$1004,"&lt;&gt;Expired")&gt;0,"✓",IF(COUNTIFS('AFA Rates'!$A$5:$A$1004,$A905,'AFA Rates'!$B$5:$B$1004,E$23)&gt;0,"Exp","")))</f>
        <v/>
      </c>
      <c r="F905" s="79">
        <f>IF(OR($A905="",F$23=""),"",IF(COUNTIFS('AFA Rates'!$A$5:$A$1004,$A905,'AFA Rates'!$B$5:$B$1004,F$23,'AFA Rates'!$O$5:$O$1004,"&lt;&gt;Expired")&gt;0,"✓",IF(COUNTIFS('AFA Rates'!$A$5:$A$1004,$A905,'AFA Rates'!$B$5:$B$1004,F$23)&gt;0,"Exp","")))</f>
        <v/>
      </c>
      <c r="G905" s="79">
        <f>IF(OR($A905="",G$23=""),"",IF(COUNTIFS('AFA Rates'!$A$5:$A$1004,$A905,'AFA Rates'!$B$5:$B$1004,G$23,'AFA Rates'!$O$5:$O$1004,"&lt;&gt;Expired")&gt;0,"✓",IF(COUNTIFS('AFA Rates'!$A$5:$A$1004,$A905,'AFA Rates'!$B$5:$B$1004,G$23)&gt;0,"Exp","")))</f>
        <v/>
      </c>
      <c r="H905" s="79">
        <f>IF(OR($A905="",H$23=""),"",IF(COUNTIFS('AFA Rates'!$A$5:$A$1004,$A905,'AFA Rates'!$B$5:$B$1004,H$23,'AFA Rates'!$O$5:$O$1004,"&lt;&gt;Expired")&gt;0,"✓",IF(COUNTIFS('AFA Rates'!$A$5:$A$1004,$A905,'AFA Rates'!$B$5:$B$1004,H$23)&gt;0,"Exp","")))</f>
        <v/>
      </c>
      <c r="I905" s="79">
        <f>IF(OR($A905="",I$23=""),"",IF(COUNTIFS('AFA Rates'!$A$5:$A$1004,$A905,'AFA Rates'!$B$5:$B$1004,I$23,'AFA Rates'!$O$5:$O$1004,"&lt;&gt;Expired")&gt;0,"✓",IF(COUNTIFS('AFA Rates'!$A$5:$A$1004,$A905,'AFA Rates'!$B$5:$B$1004,I$23)&gt;0,"Exp","")))</f>
        <v/>
      </c>
      <c r="J905" s="79">
        <f>IF(OR($A905="",J$23=""),"",IF(COUNTIFS('AFA Rates'!$A$5:$A$1004,$A905,'AFA Rates'!$B$5:$B$1004,J$23,'AFA Rates'!$O$5:$O$1004,"&lt;&gt;Expired")&gt;0,"✓",IF(COUNTIFS('AFA Rates'!$A$5:$A$1004,$A905,'AFA Rates'!$B$5:$B$1004,J$23)&gt;0,"Exp","")))</f>
        <v/>
      </c>
      <c r="K905" s="79">
        <f>IF(OR($A905="",K$23=""),"",IF(COUNTIFS('AFA Rates'!$A$5:$A$1004,$A905,'AFA Rates'!$B$5:$B$1004,K$23,'AFA Rates'!$O$5:$O$1004,"&lt;&gt;Expired")&gt;0,"✓",IF(COUNTIFS('AFA Rates'!$A$5:$A$1004,$A905,'AFA Rates'!$B$5:$B$1004,K$23)&gt;0,"Exp","")))</f>
        <v/>
      </c>
      <c r="L905" s="79">
        <f>IF(OR($A905="",L$23=""),"",IF(COUNTIFS('AFA Rates'!$A$5:$A$1004,$A905,'AFA Rates'!$B$5:$B$1004,L$23,'AFA Rates'!$O$5:$O$1004,"&lt;&gt;Expired")&gt;0,"✓",IF(COUNTIFS('AFA Rates'!$A$5:$A$1004,$A905,'AFA Rates'!$B$5:$B$1004,L$23)&gt;0,"Exp","")))</f>
        <v/>
      </c>
      <c r="M905" s="79">
        <f>IF(OR($A905="",M$23=""),"",IF(COUNTIFS('AFA Rates'!$A$5:$A$1004,$A905,'AFA Rates'!$B$5:$B$1004,M$23,'AFA Rates'!$O$5:$O$1004,"&lt;&gt;Expired")&gt;0,"✓",IF(COUNTIFS('AFA Rates'!$A$5:$A$1004,$A905,'AFA Rates'!$B$5:$B$1004,M$23)&gt;0,"Exp","")))</f>
        <v/>
      </c>
    </row>
    <row r="906">
      <c r="A906" s="78">
        <f>IFERROR(INDEX(Firms!$A$5:$A$1004,MATCH(883,Firms!$V$5:$V$1004,0)),"")</f>
        <v/>
      </c>
      <c r="B906" s="79">
        <f>IF($A906="","",INDEX(Firms!$B$5:$B$1004,MATCH(883,Firms!$V$5:$V$1004,0)))</f>
        <v/>
      </c>
      <c r="C906" s="79">
        <f>IF($A906="","",COUNTIFS('AFA Rates'!$A$5:$A$1004,$A906,'AFA Rates'!$O$5:$O$1004,"&lt;&gt;Expired"))</f>
        <v/>
      </c>
      <c r="D906" s="79">
        <f>IF(OR($A906="",D$23=""),"",IF(COUNTIFS('AFA Rates'!$A$5:$A$1004,$A906,'AFA Rates'!$B$5:$B$1004,D$23,'AFA Rates'!$O$5:$O$1004,"&lt;&gt;Expired")&gt;0,"✓",IF(COUNTIFS('AFA Rates'!$A$5:$A$1004,$A906,'AFA Rates'!$B$5:$B$1004,D$23)&gt;0,"Exp","")))</f>
        <v/>
      </c>
      <c r="E906" s="79">
        <f>IF(OR($A906="",E$23=""),"",IF(COUNTIFS('AFA Rates'!$A$5:$A$1004,$A906,'AFA Rates'!$B$5:$B$1004,E$23,'AFA Rates'!$O$5:$O$1004,"&lt;&gt;Expired")&gt;0,"✓",IF(COUNTIFS('AFA Rates'!$A$5:$A$1004,$A906,'AFA Rates'!$B$5:$B$1004,E$23)&gt;0,"Exp","")))</f>
        <v/>
      </c>
      <c r="F906" s="79">
        <f>IF(OR($A906="",F$23=""),"",IF(COUNTIFS('AFA Rates'!$A$5:$A$1004,$A906,'AFA Rates'!$B$5:$B$1004,F$23,'AFA Rates'!$O$5:$O$1004,"&lt;&gt;Expired")&gt;0,"✓",IF(COUNTIFS('AFA Rates'!$A$5:$A$1004,$A906,'AFA Rates'!$B$5:$B$1004,F$23)&gt;0,"Exp","")))</f>
        <v/>
      </c>
      <c r="G906" s="79">
        <f>IF(OR($A906="",G$23=""),"",IF(COUNTIFS('AFA Rates'!$A$5:$A$1004,$A906,'AFA Rates'!$B$5:$B$1004,G$23,'AFA Rates'!$O$5:$O$1004,"&lt;&gt;Expired")&gt;0,"✓",IF(COUNTIFS('AFA Rates'!$A$5:$A$1004,$A906,'AFA Rates'!$B$5:$B$1004,G$23)&gt;0,"Exp","")))</f>
        <v/>
      </c>
      <c r="H906" s="79">
        <f>IF(OR($A906="",H$23=""),"",IF(COUNTIFS('AFA Rates'!$A$5:$A$1004,$A906,'AFA Rates'!$B$5:$B$1004,H$23,'AFA Rates'!$O$5:$O$1004,"&lt;&gt;Expired")&gt;0,"✓",IF(COUNTIFS('AFA Rates'!$A$5:$A$1004,$A906,'AFA Rates'!$B$5:$B$1004,H$23)&gt;0,"Exp","")))</f>
        <v/>
      </c>
      <c r="I906" s="79">
        <f>IF(OR($A906="",I$23=""),"",IF(COUNTIFS('AFA Rates'!$A$5:$A$1004,$A906,'AFA Rates'!$B$5:$B$1004,I$23,'AFA Rates'!$O$5:$O$1004,"&lt;&gt;Expired")&gt;0,"✓",IF(COUNTIFS('AFA Rates'!$A$5:$A$1004,$A906,'AFA Rates'!$B$5:$B$1004,I$23)&gt;0,"Exp","")))</f>
        <v/>
      </c>
      <c r="J906" s="79">
        <f>IF(OR($A906="",J$23=""),"",IF(COUNTIFS('AFA Rates'!$A$5:$A$1004,$A906,'AFA Rates'!$B$5:$B$1004,J$23,'AFA Rates'!$O$5:$O$1004,"&lt;&gt;Expired")&gt;0,"✓",IF(COUNTIFS('AFA Rates'!$A$5:$A$1004,$A906,'AFA Rates'!$B$5:$B$1004,J$23)&gt;0,"Exp","")))</f>
        <v/>
      </c>
      <c r="K906" s="79">
        <f>IF(OR($A906="",K$23=""),"",IF(COUNTIFS('AFA Rates'!$A$5:$A$1004,$A906,'AFA Rates'!$B$5:$B$1004,K$23,'AFA Rates'!$O$5:$O$1004,"&lt;&gt;Expired")&gt;0,"✓",IF(COUNTIFS('AFA Rates'!$A$5:$A$1004,$A906,'AFA Rates'!$B$5:$B$1004,K$23)&gt;0,"Exp","")))</f>
        <v/>
      </c>
      <c r="L906" s="79">
        <f>IF(OR($A906="",L$23=""),"",IF(COUNTIFS('AFA Rates'!$A$5:$A$1004,$A906,'AFA Rates'!$B$5:$B$1004,L$23,'AFA Rates'!$O$5:$O$1004,"&lt;&gt;Expired")&gt;0,"✓",IF(COUNTIFS('AFA Rates'!$A$5:$A$1004,$A906,'AFA Rates'!$B$5:$B$1004,L$23)&gt;0,"Exp","")))</f>
        <v/>
      </c>
      <c r="M906" s="79">
        <f>IF(OR($A906="",M$23=""),"",IF(COUNTIFS('AFA Rates'!$A$5:$A$1004,$A906,'AFA Rates'!$B$5:$B$1004,M$23,'AFA Rates'!$O$5:$O$1004,"&lt;&gt;Expired")&gt;0,"✓",IF(COUNTIFS('AFA Rates'!$A$5:$A$1004,$A906,'AFA Rates'!$B$5:$B$1004,M$23)&gt;0,"Exp","")))</f>
        <v/>
      </c>
    </row>
    <row r="907">
      <c r="A907" s="78">
        <f>IFERROR(INDEX(Firms!$A$5:$A$1004,MATCH(884,Firms!$V$5:$V$1004,0)),"")</f>
        <v/>
      </c>
      <c r="B907" s="79">
        <f>IF($A907="","",INDEX(Firms!$B$5:$B$1004,MATCH(884,Firms!$V$5:$V$1004,0)))</f>
        <v/>
      </c>
      <c r="C907" s="79">
        <f>IF($A907="","",COUNTIFS('AFA Rates'!$A$5:$A$1004,$A907,'AFA Rates'!$O$5:$O$1004,"&lt;&gt;Expired"))</f>
        <v/>
      </c>
      <c r="D907" s="79">
        <f>IF(OR($A907="",D$23=""),"",IF(COUNTIFS('AFA Rates'!$A$5:$A$1004,$A907,'AFA Rates'!$B$5:$B$1004,D$23,'AFA Rates'!$O$5:$O$1004,"&lt;&gt;Expired")&gt;0,"✓",IF(COUNTIFS('AFA Rates'!$A$5:$A$1004,$A907,'AFA Rates'!$B$5:$B$1004,D$23)&gt;0,"Exp","")))</f>
        <v/>
      </c>
      <c r="E907" s="79">
        <f>IF(OR($A907="",E$23=""),"",IF(COUNTIFS('AFA Rates'!$A$5:$A$1004,$A907,'AFA Rates'!$B$5:$B$1004,E$23,'AFA Rates'!$O$5:$O$1004,"&lt;&gt;Expired")&gt;0,"✓",IF(COUNTIFS('AFA Rates'!$A$5:$A$1004,$A907,'AFA Rates'!$B$5:$B$1004,E$23)&gt;0,"Exp","")))</f>
        <v/>
      </c>
      <c r="F907" s="79">
        <f>IF(OR($A907="",F$23=""),"",IF(COUNTIFS('AFA Rates'!$A$5:$A$1004,$A907,'AFA Rates'!$B$5:$B$1004,F$23,'AFA Rates'!$O$5:$O$1004,"&lt;&gt;Expired")&gt;0,"✓",IF(COUNTIFS('AFA Rates'!$A$5:$A$1004,$A907,'AFA Rates'!$B$5:$B$1004,F$23)&gt;0,"Exp","")))</f>
        <v/>
      </c>
      <c r="G907" s="79">
        <f>IF(OR($A907="",G$23=""),"",IF(COUNTIFS('AFA Rates'!$A$5:$A$1004,$A907,'AFA Rates'!$B$5:$B$1004,G$23,'AFA Rates'!$O$5:$O$1004,"&lt;&gt;Expired")&gt;0,"✓",IF(COUNTIFS('AFA Rates'!$A$5:$A$1004,$A907,'AFA Rates'!$B$5:$B$1004,G$23)&gt;0,"Exp","")))</f>
        <v/>
      </c>
      <c r="H907" s="79">
        <f>IF(OR($A907="",H$23=""),"",IF(COUNTIFS('AFA Rates'!$A$5:$A$1004,$A907,'AFA Rates'!$B$5:$B$1004,H$23,'AFA Rates'!$O$5:$O$1004,"&lt;&gt;Expired")&gt;0,"✓",IF(COUNTIFS('AFA Rates'!$A$5:$A$1004,$A907,'AFA Rates'!$B$5:$B$1004,H$23)&gt;0,"Exp","")))</f>
        <v/>
      </c>
      <c r="I907" s="79">
        <f>IF(OR($A907="",I$23=""),"",IF(COUNTIFS('AFA Rates'!$A$5:$A$1004,$A907,'AFA Rates'!$B$5:$B$1004,I$23,'AFA Rates'!$O$5:$O$1004,"&lt;&gt;Expired")&gt;0,"✓",IF(COUNTIFS('AFA Rates'!$A$5:$A$1004,$A907,'AFA Rates'!$B$5:$B$1004,I$23)&gt;0,"Exp","")))</f>
        <v/>
      </c>
      <c r="J907" s="79">
        <f>IF(OR($A907="",J$23=""),"",IF(COUNTIFS('AFA Rates'!$A$5:$A$1004,$A907,'AFA Rates'!$B$5:$B$1004,J$23,'AFA Rates'!$O$5:$O$1004,"&lt;&gt;Expired")&gt;0,"✓",IF(COUNTIFS('AFA Rates'!$A$5:$A$1004,$A907,'AFA Rates'!$B$5:$B$1004,J$23)&gt;0,"Exp","")))</f>
        <v/>
      </c>
      <c r="K907" s="79">
        <f>IF(OR($A907="",K$23=""),"",IF(COUNTIFS('AFA Rates'!$A$5:$A$1004,$A907,'AFA Rates'!$B$5:$B$1004,K$23,'AFA Rates'!$O$5:$O$1004,"&lt;&gt;Expired")&gt;0,"✓",IF(COUNTIFS('AFA Rates'!$A$5:$A$1004,$A907,'AFA Rates'!$B$5:$B$1004,K$23)&gt;0,"Exp","")))</f>
        <v/>
      </c>
      <c r="L907" s="79">
        <f>IF(OR($A907="",L$23=""),"",IF(COUNTIFS('AFA Rates'!$A$5:$A$1004,$A907,'AFA Rates'!$B$5:$B$1004,L$23,'AFA Rates'!$O$5:$O$1004,"&lt;&gt;Expired")&gt;0,"✓",IF(COUNTIFS('AFA Rates'!$A$5:$A$1004,$A907,'AFA Rates'!$B$5:$B$1004,L$23)&gt;0,"Exp","")))</f>
        <v/>
      </c>
      <c r="M907" s="79">
        <f>IF(OR($A907="",M$23=""),"",IF(COUNTIFS('AFA Rates'!$A$5:$A$1004,$A907,'AFA Rates'!$B$5:$B$1004,M$23,'AFA Rates'!$O$5:$O$1004,"&lt;&gt;Expired")&gt;0,"✓",IF(COUNTIFS('AFA Rates'!$A$5:$A$1004,$A907,'AFA Rates'!$B$5:$B$1004,M$23)&gt;0,"Exp","")))</f>
        <v/>
      </c>
    </row>
    <row r="908">
      <c r="A908" s="78">
        <f>IFERROR(INDEX(Firms!$A$5:$A$1004,MATCH(885,Firms!$V$5:$V$1004,0)),"")</f>
        <v/>
      </c>
      <c r="B908" s="79">
        <f>IF($A908="","",INDEX(Firms!$B$5:$B$1004,MATCH(885,Firms!$V$5:$V$1004,0)))</f>
        <v/>
      </c>
      <c r="C908" s="79">
        <f>IF($A908="","",COUNTIFS('AFA Rates'!$A$5:$A$1004,$A908,'AFA Rates'!$O$5:$O$1004,"&lt;&gt;Expired"))</f>
        <v/>
      </c>
      <c r="D908" s="79">
        <f>IF(OR($A908="",D$23=""),"",IF(COUNTIFS('AFA Rates'!$A$5:$A$1004,$A908,'AFA Rates'!$B$5:$B$1004,D$23,'AFA Rates'!$O$5:$O$1004,"&lt;&gt;Expired")&gt;0,"✓",IF(COUNTIFS('AFA Rates'!$A$5:$A$1004,$A908,'AFA Rates'!$B$5:$B$1004,D$23)&gt;0,"Exp","")))</f>
        <v/>
      </c>
      <c r="E908" s="79">
        <f>IF(OR($A908="",E$23=""),"",IF(COUNTIFS('AFA Rates'!$A$5:$A$1004,$A908,'AFA Rates'!$B$5:$B$1004,E$23,'AFA Rates'!$O$5:$O$1004,"&lt;&gt;Expired")&gt;0,"✓",IF(COUNTIFS('AFA Rates'!$A$5:$A$1004,$A908,'AFA Rates'!$B$5:$B$1004,E$23)&gt;0,"Exp","")))</f>
        <v/>
      </c>
      <c r="F908" s="79">
        <f>IF(OR($A908="",F$23=""),"",IF(COUNTIFS('AFA Rates'!$A$5:$A$1004,$A908,'AFA Rates'!$B$5:$B$1004,F$23,'AFA Rates'!$O$5:$O$1004,"&lt;&gt;Expired")&gt;0,"✓",IF(COUNTIFS('AFA Rates'!$A$5:$A$1004,$A908,'AFA Rates'!$B$5:$B$1004,F$23)&gt;0,"Exp","")))</f>
        <v/>
      </c>
      <c r="G908" s="79">
        <f>IF(OR($A908="",G$23=""),"",IF(COUNTIFS('AFA Rates'!$A$5:$A$1004,$A908,'AFA Rates'!$B$5:$B$1004,G$23,'AFA Rates'!$O$5:$O$1004,"&lt;&gt;Expired")&gt;0,"✓",IF(COUNTIFS('AFA Rates'!$A$5:$A$1004,$A908,'AFA Rates'!$B$5:$B$1004,G$23)&gt;0,"Exp","")))</f>
        <v/>
      </c>
      <c r="H908" s="79">
        <f>IF(OR($A908="",H$23=""),"",IF(COUNTIFS('AFA Rates'!$A$5:$A$1004,$A908,'AFA Rates'!$B$5:$B$1004,H$23,'AFA Rates'!$O$5:$O$1004,"&lt;&gt;Expired")&gt;0,"✓",IF(COUNTIFS('AFA Rates'!$A$5:$A$1004,$A908,'AFA Rates'!$B$5:$B$1004,H$23)&gt;0,"Exp","")))</f>
        <v/>
      </c>
      <c r="I908" s="79">
        <f>IF(OR($A908="",I$23=""),"",IF(COUNTIFS('AFA Rates'!$A$5:$A$1004,$A908,'AFA Rates'!$B$5:$B$1004,I$23,'AFA Rates'!$O$5:$O$1004,"&lt;&gt;Expired")&gt;0,"✓",IF(COUNTIFS('AFA Rates'!$A$5:$A$1004,$A908,'AFA Rates'!$B$5:$B$1004,I$23)&gt;0,"Exp","")))</f>
        <v/>
      </c>
      <c r="J908" s="79">
        <f>IF(OR($A908="",J$23=""),"",IF(COUNTIFS('AFA Rates'!$A$5:$A$1004,$A908,'AFA Rates'!$B$5:$B$1004,J$23,'AFA Rates'!$O$5:$O$1004,"&lt;&gt;Expired")&gt;0,"✓",IF(COUNTIFS('AFA Rates'!$A$5:$A$1004,$A908,'AFA Rates'!$B$5:$B$1004,J$23)&gt;0,"Exp","")))</f>
        <v/>
      </c>
      <c r="K908" s="79">
        <f>IF(OR($A908="",K$23=""),"",IF(COUNTIFS('AFA Rates'!$A$5:$A$1004,$A908,'AFA Rates'!$B$5:$B$1004,K$23,'AFA Rates'!$O$5:$O$1004,"&lt;&gt;Expired")&gt;0,"✓",IF(COUNTIFS('AFA Rates'!$A$5:$A$1004,$A908,'AFA Rates'!$B$5:$B$1004,K$23)&gt;0,"Exp","")))</f>
        <v/>
      </c>
      <c r="L908" s="79">
        <f>IF(OR($A908="",L$23=""),"",IF(COUNTIFS('AFA Rates'!$A$5:$A$1004,$A908,'AFA Rates'!$B$5:$B$1004,L$23,'AFA Rates'!$O$5:$O$1004,"&lt;&gt;Expired")&gt;0,"✓",IF(COUNTIFS('AFA Rates'!$A$5:$A$1004,$A908,'AFA Rates'!$B$5:$B$1004,L$23)&gt;0,"Exp","")))</f>
        <v/>
      </c>
      <c r="M908" s="79">
        <f>IF(OR($A908="",M$23=""),"",IF(COUNTIFS('AFA Rates'!$A$5:$A$1004,$A908,'AFA Rates'!$B$5:$B$1004,M$23,'AFA Rates'!$O$5:$O$1004,"&lt;&gt;Expired")&gt;0,"✓",IF(COUNTIFS('AFA Rates'!$A$5:$A$1004,$A908,'AFA Rates'!$B$5:$B$1004,M$23)&gt;0,"Exp","")))</f>
        <v/>
      </c>
    </row>
    <row r="909">
      <c r="A909" s="78">
        <f>IFERROR(INDEX(Firms!$A$5:$A$1004,MATCH(886,Firms!$V$5:$V$1004,0)),"")</f>
        <v/>
      </c>
      <c r="B909" s="79">
        <f>IF($A909="","",INDEX(Firms!$B$5:$B$1004,MATCH(886,Firms!$V$5:$V$1004,0)))</f>
        <v/>
      </c>
      <c r="C909" s="79">
        <f>IF($A909="","",COUNTIFS('AFA Rates'!$A$5:$A$1004,$A909,'AFA Rates'!$O$5:$O$1004,"&lt;&gt;Expired"))</f>
        <v/>
      </c>
      <c r="D909" s="79">
        <f>IF(OR($A909="",D$23=""),"",IF(COUNTIFS('AFA Rates'!$A$5:$A$1004,$A909,'AFA Rates'!$B$5:$B$1004,D$23,'AFA Rates'!$O$5:$O$1004,"&lt;&gt;Expired")&gt;0,"✓",IF(COUNTIFS('AFA Rates'!$A$5:$A$1004,$A909,'AFA Rates'!$B$5:$B$1004,D$23)&gt;0,"Exp","")))</f>
        <v/>
      </c>
      <c r="E909" s="79">
        <f>IF(OR($A909="",E$23=""),"",IF(COUNTIFS('AFA Rates'!$A$5:$A$1004,$A909,'AFA Rates'!$B$5:$B$1004,E$23,'AFA Rates'!$O$5:$O$1004,"&lt;&gt;Expired")&gt;0,"✓",IF(COUNTIFS('AFA Rates'!$A$5:$A$1004,$A909,'AFA Rates'!$B$5:$B$1004,E$23)&gt;0,"Exp","")))</f>
        <v/>
      </c>
      <c r="F909" s="79">
        <f>IF(OR($A909="",F$23=""),"",IF(COUNTIFS('AFA Rates'!$A$5:$A$1004,$A909,'AFA Rates'!$B$5:$B$1004,F$23,'AFA Rates'!$O$5:$O$1004,"&lt;&gt;Expired")&gt;0,"✓",IF(COUNTIFS('AFA Rates'!$A$5:$A$1004,$A909,'AFA Rates'!$B$5:$B$1004,F$23)&gt;0,"Exp","")))</f>
        <v/>
      </c>
      <c r="G909" s="79">
        <f>IF(OR($A909="",G$23=""),"",IF(COUNTIFS('AFA Rates'!$A$5:$A$1004,$A909,'AFA Rates'!$B$5:$B$1004,G$23,'AFA Rates'!$O$5:$O$1004,"&lt;&gt;Expired")&gt;0,"✓",IF(COUNTIFS('AFA Rates'!$A$5:$A$1004,$A909,'AFA Rates'!$B$5:$B$1004,G$23)&gt;0,"Exp","")))</f>
        <v/>
      </c>
      <c r="H909" s="79">
        <f>IF(OR($A909="",H$23=""),"",IF(COUNTIFS('AFA Rates'!$A$5:$A$1004,$A909,'AFA Rates'!$B$5:$B$1004,H$23,'AFA Rates'!$O$5:$O$1004,"&lt;&gt;Expired")&gt;0,"✓",IF(COUNTIFS('AFA Rates'!$A$5:$A$1004,$A909,'AFA Rates'!$B$5:$B$1004,H$23)&gt;0,"Exp","")))</f>
        <v/>
      </c>
      <c r="I909" s="79">
        <f>IF(OR($A909="",I$23=""),"",IF(COUNTIFS('AFA Rates'!$A$5:$A$1004,$A909,'AFA Rates'!$B$5:$B$1004,I$23,'AFA Rates'!$O$5:$O$1004,"&lt;&gt;Expired")&gt;0,"✓",IF(COUNTIFS('AFA Rates'!$A$5:$A$1004,$A909,'AFA Rates'!$B$5:$B$1004,I$23)&gt;0,"Exp","")))</f>
        <v/>
      </c>
      <c r="J909" s="79">
        <f>IF(OR($A909="",J$23=""),"",IF(COUNTIFS('AFA Rates'!$A$5:$A$1004,$A909,'AFA Rates'!$B$5:$B$1004,J$23,'AFA Rates'!$O$5:$O$1004,"&lt;&gt;Expired")&gt;0,"✓",IF(COUNTIFS('AFA Rates'!$A$5:$A$1004,$A909,'AFA Rates'!$B$5:$B$1004,J$23)&gt;0,"Exp","")))</f>
        <v/>
      </c>
      <c r="K909" s="79">
        <f>IF(OR($A909="",K$23=""),"",IF(COUNTIFS('AFA Rates'!$A$5:$A$1004,$A909,'AFA Rates'!$B$5:$B$1004,K$23,'AFA Rates'!$O$5:$O$1004,"&lt;&gt;Expired")&gt;0,"✓",IF(COUNTIFS('AFA Rates'!$A$5:$A$1004,$A909,'AFA Rates'!$B$5:$B$1004,K$23)&gt;0,"Exp","")))</f>
        <v/>
      </c>
      <c r="L909" s="79">
        <f>IF(OR($A909="",L$23=""),"",IF(COUNTIFS('AFA Rates'!$A$5:$A$1004,$A909,'AFA Rates'!$B$5:$B$1004,L$23,'AFA Rates'!$O$5:$O$1004,"&lt;&gt;Expired")&gt;0,"✓",IF(COUNTIFS('AFA Rates'!$A$5:$A$1004,$A909,'AFA Rates'!$B$5:$B$1004,L$23)&gt;0,"Exp","")))</f>
        <v/>
      </c>
      <c r="M909" s="79">
        <f>IF(OR($A909="",M$23=""),"",IF(COUNTIFS('AFA Rates'!$A$5:$A$1004,$A909,'AFA Rates'!$B$5:$B$1004,M$23,'AFA Rates'!$O$5:$O$1004,"&lt;&gt;Expired")&gt;0,"✓",IF(COUNTIFS('AFA Rates'!$A$5:$A$1004,$A909,'AFA Rates'!$B$5:$B$1004,M$23)&gt;0,"Exp","")))</f>
        <v/>
      </c>
    </row>
    <row r="910">
      <c r="A910" s="78">
        <f>IFERROR(INDEX(Firms!$A$5:$A$1004,MATCH(887,Firms!$V$5:$V$1004,0)),"")</f>
        <v/>
      </c>
      <c r="B910" s="79">
        <f>IF($A910="","",INDEX(Firms!$B$5:$B$1004,MATCH(887,Firms!$V$5:$V$1004,0)))</f>
        <v/>
      </c>
      <c r="C910" s="79">
        <f>IF($A910="","",COUNTIFS('AFA Rates'!$A$5:$A$1004,$A910,'AFA Rates'!$O$5:$O$1004,"&lt;&gt;Expired"))</f>
        <v/>
      </c>
      <c r="D910" s="79">
        <f>IF(OR($A910="",D$23=""),"",IF(COUNTIFS('AFA Rates'!$A$5:$A$1004,$A910,'AFA Rates'!$B$5:$B$1004,D$23,'AFA Rates'!$O$5:$O$1004,"&lt;&gt;Expired")&gt;0,"✓",IF(COUNTIFS('AFA Rates'!$A$5:$A$1004,$A910,'AFA Rates'!$B$5:$B$1004,D$23)&gt;0,"Exp","")))</f>
        <v/>
      </c>
      <c r="E910" s="79">
        <f>IF(OR($A910="",E$23=""),"",IF(COUNTIFS('AFA Rates'!$A$5:$A$1004,$A910,'AFA Rates'!$B$5:$B$1004,E$23,'AFA Rates'!$O$5:$O$1004,"&lt;&gt;Expired")&gt;0,"✓",IF(COUNTIFS('AFA Rates'!$A$5:$A$1004,$A910,'AFA Rates'!$B$5:$B$1004,E$23)&gt;0,"Exp","")))</f>
        <v/>
      </c>
      <c r="F910" s="79">
        <f>IF(OR($A910="",F$23=""),"",IF(COUNTIFS('AFA Rates'!$A$5:$A$1004,$A910,'AFA Rates'!$B$5:$B$1004,F$23,'AFA Rates'!$O$5:$O$1004,"&lt;&gt;Expired")&gt;0,"✓",IF(COUNTIFS('AFA Rates'!$A$5:$A$1004,$A910,'AFA Rates'!$B$5:$B$1004,F$23)&gt;0,"Exp","")))</f>
        <v/>
      </c>
      <c r="G910" s="79">
        <f>IF(OR($A910="",G$23=""),"",IF(COUNTIFS('AFA Rates'!$A$5:$A$1004,$A910,'AFA Rates'!$B$5:$B$1004,G$23,'AFA Rates'!$O$5:$O$1004,"&lt;&gt;Expired")&gt;0,"✓",IF(COUNTIFS('AFA Rates'!$A$5:$A$1004,$A910,'AFA Rates'!$B$5:$B$1004,G$23)&gt;0,"Exp","")))</f>
        <v/>
      </c>
      <c r="H910" s="79">
        <f>IF(OR($A910="",H$23=""),"",IF(COUNTIFS('AFA Rates'!$A$5:$A$1004,$A910,'AFA Rates'!$B$5:$B$1004,H$23,'AFA Rates'!$O$5:$O$1004,"&lt;&gt;Expired")&gt;0,"✓",IF(COUNTIFS('AFA Rates'!$A$5:$A$1004,$A910,'AFA Rates'!$B$5:$B$1004,H$23)&gt;0,"Exp","")))</f>
        <v/>
      </c>
      <c r="I910" s="79">
        <f>IF(OR($A910="",I$23=""),"",IF(COUNTIFS('AFA Rates'!$A$5:$A$1004,$A910,'AFA Rates'!$B$5:$B$1004,I$23,'AFA Rates'!$O$5:$O$1004,"&lt;&gt;Expired")&gt;0,"✓",IF(COUNTIFS('AFA Rates'!$A$5:$A$1004,$A910,'AFA Rates'!$B$5:$B$1004,I$23)&gt;0,"Exp","")))</f>
        <v/>
      </c>
      <c r="J910" s="79">
        <f>IF(OR($A910="",J$23=""),"",IF(COUNTIFS('AFA Rates'!$A$5:$A$1004,$A910,'AFA Rates'!$B$5:$B$1004,J$23,'AFA Rates'!$O$5:$O$1004,"&lt;&gt;Expired")&gt;0,"✓",IF(COUNTIFS('AFA Rates'!$A$5:$A$1004,$A910,'AFA Rates'!$B$5:$B$1004,J$23)&gt;0,"Exp","")))</f>
        <v/>
      </c>
      <c r="K910" s="79">
        <f>IF(OR($A910="",K$23=""),"",IF(COUNTIFS('AFA Rates'!$A$5:$A$1004,$A910,'AFA Rates'!$B$5:$B$1004,K$23,'AFA Rates'!$O$5:$O$1004,"&lt;&gt;Expired")&gt;0,"✓",IF(COUNTIFS('AFA Rates'!$A$5:$A$1004,$A910,'AFA Rates'!$B$5:$B$1004,K$23)&gt;0,"Exp","")))</f>
        <v/>
      </c>
      <c r="L910" s="79">
        <f>IF(OR($A910="",L$23=""),"",IF(COUNTIFS('AFA Rates'!$A$5:$A$1004,$A910,'AFA Rates'!$B$5:$B$1004,L$23,'AFA Rates'!$O$5:$O$1004,"&lt;&gt;Expired")&gt;0,"✓",IF(COUNTIFS('AFA Rates'!$A$5:$A$1004,$A910,'AFA Rates'!$B$5:$B$1004,L$23)&gt;0,"Exp","")))</f>
        <v/>
      </c>
      <c r="M910" s="79">
        <f>IF(OR($A910="",M$23=""),"",IF(COUNTIFS('AFA Rates'!$A$5:$A$1004,$A910,'AFA Rates'!$B$5:$B$1004,M$23,'AFA Rates'!$O$5:$O$1004,"&lt;&gt;Expired")&gt;0,"✓",IF(COUNTIFS('AFA Rates'!$A$5:$A$1004,$A910,'AFA Rates'!$B$5:$B$1004,M$23)&gt;0,"Exp","")))</f>
        <v/>
      </c>
    </row>
    <row r="911">
      <c r="A911" s="78">
        <f>IFERROR(INDEX(Firms!$A$5:$A$1004,MATCH(888,Firms!$V$5:$V$1004,0)),"")</f>
        <v/>
      </c>
      <c r="B911" s="79">
        <f>IF($A911="","",INDEX(Firms!$B$5:$B$1004,MATCH(888,Firms!$V$5:$V$1004,0)))</f>
        <v/>
      </c>
      <c r="C911" s="79">
        <f>IF($A911="","",COUNTIFS('AFA Rates'!$A$5:$A$1004,$A911,'AFA Rates'!$O$5:$O$1004,"&lt;&gt;Expired"))</f>
        <v/>
      </c>
      <c r="D911" s="79">
        <f>IF(OR($A911="",D$23=""),"",IF(COUNTIFS('AFA Rates'!$A$5:$A$1004,$A911,'AFA Rates'!$B$5:$B$1004,D$23,'AFA Rates'!$O$5:$O$1004,"&lt;&gt;Expired")&gt;0,"✓",IF(COUNTIFS('AFA Rates'!$A$5:$A$1004,$A911,'AFA Rates'!$B$5:$B$1004,D$23)&gt;0,"Exp","")))</f>
        <v/>
      </c>
      <c r="E911" s="79">
        <f>IF(OR($A911="",E$23=""),"",IF(COUNTIFS('AFA Rates'!$A$5:$A$1004,$A911,'AFA Rates'!$B$5:$B$1004,E$23,'AFA Rates'!$O$5:$O$1004,"&lt;&gt;Expired")&gt;0,"✓",IF(COUNTIFS('AFA Rates'!$A$5:$A$1004,$A911,'AFA Rates'!$B$5:$B$1004,E$23)&gt;0,"Exp","")))</f>
        <v/>
      </c>
      <c r="F911" s="79">
        <f>IF(OR($A911="",F$23=""),"",IF(COUNTIFS('AFA Rates'!$A$5:$A$1004,$A911,'AFA Rates'!$B$5:$B$1004,F$23,'AFA Rates'!$O$5:$O$1004,"&lt;&gt;Expired")&gt;0,"✓",IF(COUNTIFS('AFA Rates'!$A$5:$A$1004,$A911,'AFA Rates'!$B$5:$B$1004,F$23)&gt;0,"Exp","")))</f>
        <v/>
      </c>
      <c r="G911" s="79">
        <f>IF(OR($A911="",G$23=""),"",IF(COUNTIFS('AFA Rates'!$A$5:$A$1004,$A911,'AFA Rates'!$B$5:$B$1004,G$23,'AFA Rates'!$O$5:$O$1004,"&lt;&gt;Expired")&gt;0,"✓",IF(COUNTIFS('AFA Rates'!$A$5:$A$1004,$A911,'AFA Rates'!$B$5:$B$1004,G$23)&gt;0,"Exp","")))</f>
        <v/>
      </c>
      <c r="H911" s="79">
        <f>IF(OR($A911="",H$23=""),"",IF(COUNTIFS('AFA Rates'!$A$5:$A$1004,$A911,'AFA Rates'!$B$5:$B$1004,H$23,'AFA Rates'!$O$5:$O$1004,"&lt;&gt;Expired")&gt;0,"✓",IF(COUNTIFS('AFA Rates'!$A$5:$A$1004,$A911,'AFA Rates'!$B$5:$B$1004,H$23)&gt;0,"Exp","")))</f>
        <v/>
      </c>
      <c r="I911" s="79">
        <f>IF(OR($A911="",I$23=""),"",IF(COUNTIFS('AFA Rates'!$A$5:$A$1004,$A911,'AFA Rates'!$B$5:$B$1004,I$23,'AFA Rates'!$O$5:$O$1004,"&lt;&gt;Expired")&gt;0,"✓",IF(COUNTIFS('AFA Rates'!$A$5:$A$1004,$A911,'AFA Rates'!$B$5:$B$1004,I$23)&gt;0,"Exp","")))</f>
        <v/>
      </c>
      <c r="J911" s="79">
        <f>IF(OR($A911="",J$23=""),"",IF(COUNTIFS('AFA Rates'!$A$5:$A$1004,$A911,'AFA Rates'!$B$5:$B$1004,J$23,'AFA Rates'!$O$5:$O$1004,"&lt;&gt;Expired")&gt;0,"✓",IF(COUNTIFS('AFA Rates'!$A$5:$A$1004,$A911,'AFA Rates'!$B$5:$B$1004,J$23)&gt;0,"Exp","")))</f>
        <v/>
      </c>
      <c r="K911" s="79">
        <f>IF(OR($A911="",K$23=""),"",IF(COUNTIFS('AFA Rates'!$A$5:$A$1004,$A911,'AFA Rates'!$B$5:$B$1004,K$23,'AFA Rates'!$O$5:$O$1004,"&lt;&gt;Expired")&gt;0,"✓",IF(COUNTIFS('AFA Rates'!$A$5:$A$1004,$A911,'AFA Rates'!$B$5:$B$1004,K$23)&gt;0,"Exp","")))</f>
        <v/>
      </c>
      <c r="L911" s="79">
        <f>IF(OR($A911="",L$23=""),"",IF(COUNTIFS('AFA Rates'!$A$5:$A$1004,$A911,'AFA Rates'!$B$5:$B$1004,L$23,'AFA Rates'!$O$5:$O$1004,"&lt;&gt;Expired")&gt;0,"✓",IF(COUNTIFS('AFA Rates'!$A$5:$A$1004,$A911,'AFA Rates'!$B$5:$B$1004,L$23)&gt;0,"Exp","")))</f>
        <v/>
      </c>
      <c r="M911" s="79">
        <f>IF(OR($A911="",M$23=""),"",IF(COUNTIFS('AFA Rates'!$A$5:$A$1004,$A911,'AFA Rates'!$B$5:$B$1004,M$23,'AFA Rates'!$O$5:$O$1004,"&lt;&gt;Expired")&gt;0,"✓",IF(COUNTIFS('AFA Rates'!$A$5:$A$1004,$A911,'AFA Rates'!$B$5:$B$1004,M$23)&gt;0,"Exp","")))</f>
        <v/>
      </c>
    </row>
    <row r="912">
      <c r="A912" s="78">
        <f>IFERROR(INDEX(Firms!$A$5:$A$1004,MATCH(889,Firms!$V$5:$V$1004,0)),"")</f>
        <v/>
      </c>
      <c r="B912" s="79">
        <f>IF($A912="","",INDEX(Firms!$B$5:$B$1004,MATCH(889,Firms!$V$5:$V$1004,0)))</f>
        <v/>
      </c>
      <c r="C912" s="79">
        <f>IF($A912="","",COUNTIFS('AFA Rates'!$A$5:$A$1004,$A912,'AFA Rates'!$O$5:$O$1004,"&lt;&gt;Expired"))</f>
        <v/>
      </c>
      <c r="D912" s="79">
        <f>IF(OR($A912="",D$23=""),"",IF(COUNTIFS('AFA Rates'!$A$5:$A$1004,$A912,'AFA Rates'!$B$5:$B$1004,D$23,'AFA Rates'!$O$5:$O$1004,"&lt;&gt;Expired")&gt;0,"✓",IF(COUNTIFS('AFA Rates'!$A$5:$A$1004,$A912,'AFA Rates'!$B$5:$B$1004,D$23)&gt;0,"Exp","")))</f>
        <v/>
      </c>
      <c r="E912" s="79">
        <f>IF(OR($A912="",E$23=""),"",IF(COUNTIFS('AFA Rates'!$A$5:$A$1004,$A912,'AFA Rates'!$B$5:$B$1004,E$23,'AFA Rates'!$O$5:$O$1004,"&lt;&gt;Expired")&gt;0,"✓",IF(COUNTIFS('AFA Rates'!$A$5:$A$1004,$A912,'AFA Rates'!$B$5:$B$1004,E$23)&gt;0,"Exp","")))</f>
        <v/>
      </c>
      <c r="F912" s="79">
        <f>IF(OR($A912="",F$23=""),"",IF(COUNTIFS('AFA Rates'!$A$5:$A$1004,$A912,'AFA Rates'!$B$5:$B$1004,F$23,'AFA Rates'!$O$5:$O$1004,"&lt;&gt;Expired")&gt;0,"✓",IF(COUNTIFS('AFA Rates'!$A$5:$A$1004,$A912,'AFA Rates'!$B$5:$B$1004,F$23)&gt;0,"Exp","")))</f>
        <v/>
      </c>
      <c r="G912" s="79">
        <f>IF(OR($A912="",G$23=""),"",IF(COUNTIFS('AFA Rates'!$A$5:$A$1004,$A912,'AFA Rates'!$B$5:$B$1004,G$23,'AFA Rates'!$O$5:$O$1004,"&lt;&gt;Expired")&gt;0,"✓",IF(COUNTIFS('AFA Rates'!$A$5:$A$1004,$A912,'AFA Rates'!$B$5:$B$1004,G$23)&gt;0,"Exp","")))</f>
        <v/>
      </c>
      <c r="H912" s="79">
        <f>IF(OR($A912="",H$23=""),"",IF(COUNTIFS('AFA Rates'!$A$5:$A$1004,$A912,'AFA Rates'!$B$5:$B$1004,H$23,'AFA Rates'!$O$5:$O$1004,"&lt;&gt;Expired")&gt;0,"✓",IF(COUNTIFS('AFA Rates'!$A$5:$A$1004,$A912,'AFA Rates'!$B$5:$B$1004,H$23)&gt;0,"Exp","")))</f>
        <v/>
      </c>
      <c r="I912" s="79">
        <f>IF(OR($A912="",I$23=""),"",IF(COUNTIFS('AFA Rates'!$A$5:$A$1004,$A912,'AFA Rates'!$B$5:$B$1004,I$23,'AFA Rates'!$O$5:$O$1004,"&lt;&gt;Expired")&gt;0,"✓",IF(COUNTIFS('AFA Rates'!$A$5:$A$1004,$A912,'AFA Rates'!$B$5:$B$1004,I$23)&gt;0,"Exp","")))</f>
        <v/>
      </c>
      <c r="J912" s="79">
        <f>IF(OR($A912="",J$23=""),"",IF(COUNTIFS('AFA Rates'!$A$5:$A$1004,$A912,'AFA Rates'!$B$5:$B$1004,J$23,'AFA Rates'!$O$5:$O$1004,"&lt;&gt;Expired")&gt;0,"✓",IF(COUNTIFS('AFA Rates'!$A$5:$A$1004,$A912,'AFA Rates'!$B$5:$B$1004,J$23)&gt;0,"Exp","")))</f>
        <v/>
      </c>
      <c r="K912" s="79">
        <f>IF(OR($A912="",K$23=""),"",IF(COUNTIFS('AFA Rates'!$A$5:$A$1004,$A912,'AFA Rates'!$B$5:$B$1004,K$23,'AFA Rates'!$O$5:$O$1004,"&lt;&gt;Expired")&gt;0,"✓",IF(COUNTIFS('AFA Rates'!$A$5:$A$1004,$A912,'AFA Rates'!$B$5:$B$1004,K$23)&gt;0,"Exp","")))</f>
        <v/>
      </c>
      <c r="L912" s="79">
        <f>IF(OR($A912="",L$23=""),"",IF(COUNTIFS('AFA Rates'!$A$5:$A$1004,$A912,'AFA Rates'!$B$5:$B$1004,L$23,'AFA Rates'!$O$5:$O$1004,"&lt;&gt;Expired")&gt;0,"✓",IF(COUNTIFS('AFA Rates'!$A$5:$A$1004,$A912,'AFA Rates'!$B$5:$B$1004,L$23)&gt;0,"Exp","")))</f>
        <v/>
      </c>
      <c r="M912" s="79">
        <f>IF(OR($A912="",M$23=""),"",IF(COUNTIFS('AFA Rates'!$A$5:$A$1004,$A912,'AFA Rates'!$B$5:$B$1004,M$23,'AFA Rates'!$O$5:$O$1004,"&lt;&gt;Expired")&gt;0,"✓",IF(COUNTIFS('AFA Rates'!$A$5:$A$1004,$A912,'AFA Rates'!$B$5:$B$1004,M$23)&gt;0,"Exp","")))</f>
        <v/>
      </c>
    </row>
    <row r="913">
      <c r="A913" s="78">
        <f>IFERROR(INDEX(Firms!$A$5:$A$1004,MATCH(890,Firms!$V$5:$V$1004,0)),"")</f>
        <v/>
      </c>
      <c r="B913" s="79">
        <f>IF($A913="","",INDEX(Firms!$B$5:$B$1004,MATCH(890,Firms!$V$5:$V$1004,0)))</f>
        <v/>
      </c>
      <c r="C913" s="79">
        <f>IF($A913="","",COUNTIFS('AFA Rates'!$A$5:$A$1004,$A913,'AFA Rates'!$O$5:$O$1004,"&lt;&gt;Expired"))</f>
        <v/>
      </c>
      <c r="D913" s="79">
        <f>IF(OR($A913="",D$23=""),"",IF(COUNTIFS('AFA Rates'!$A$5:$A$1004,$A913,'AFA Rates'!$B$5:$B$1004,D$23,'AFA Rates'!$O$5:$O$1004,"&lt;&gt;Expired")&gt;0,"✓",IF(COUNTIFS('AFA Rates'!$A$5:$A$1004,$A913,'AFA Rates'!$B$5:$B$1004,D$23)&gt;0,"Exp","")))</f>
        <v/>
      </c>
      <c r="E913" s="79">
        <f>IF(OR($A913="",E$23=""),"",IF(COUNTIFS('AFA Rates'!$A$5:$A$1004,$A913,'AFA Rates'!$B$5:$B$1004,E$23,'AFA Rates'!$O$5:$O$1004,"&lt;&gt;Expired")&gt;0,"✓",IF(COUNTIFS('AFA Rates'!$A$5:$A$1004,$A913,'AFA Rates'!$B$5:$B$1004,E$23)&gt;0,"Exp","")))</f>
        <v/>
      </c>
      <c r="F913" s="79">
        <f>IF(OR($A913="",F$23=""),"",IF(COUNTIFS('AFA Rates'!$A$5:$A$1004,$A913,'AFA Rates'!$B$5:$B$1004,F$23,'AFA Rates'!$O$5:$O$1004,"&lt;&gt;Expired")&gt;0,"✓",IF(COUNTIFS('AFA Rates'!$A$5:$A$1004,$A913,'AFA Rates'!$B$5:$B$1004,F$23)&gt;0,"Exp","")))</f>
        <v/>
      </c>
      <c r="G913" s="79">
        <f>IF(OR($A913="",G$23=""),"",IF(COUNTIFS('AFA Rates'!$A$5:$A$1004,$A913,'AFA Rates'!$B$5:$B$1004,G$23,'AFA Rates'!$O$5:$O$1004,"&lt;&gt;Expired")&gt;0,"✓",IF(COUNTIFS('AFA Rates'!$A$5:$A$1004,$A913,'AFA Rates'!$B$5:$B$1004,G$23)&gt;0,"Exp","")))</f>
        <v/>
      </c>
      <c r="H913" s="79">
        <f>IF(OR($A913="",H$23=""),"",IF(COUNTIFS('AFA Rates'!$A$5:$A$1004,$A913,'AFA Rates'!$B$5:$B$1004,H$23,'AFA Rates'!$O$5:$O$1004,"&lt;&gt;Expired")&gt;0,"✓",IF(COUNTIFS('AFA Rates'!$A$5:$A$1004,$A913,'AFA Rates'!$B$5:$B$1004,H$23)&gt;0,"Exp","")))</f>
        <v/>
      </c>
      <c r="I913" s="79">
        <f>IF(OR($A913="",I$23=""),"",IF(COUNTIFS('AFA Rates'!$A$5:$A$1004,$A913,'AFA Rates'!$B$5:$B$1004,I$23,'AFA Rates'!$O$5:$O$1004,"&lt;&gt;Expired")&gt;0,"✓",IF(COUNTIFS('AFA Rates'!$A$5:$A$1004,$A913,'AFA Rates'!$B$5:$B$1004,I$23)&gt;0,"Exp","")))</f>
        <v/>
      </c>
      <c r="J913" s="79">
        <f>IF(OR($A913="",J$23=""),"",IF(COUNTIFS('AFA Rates'!$A$5:$A$1004,$A913,'AFA Rates'!$B$5:$B$1004,J$23,'AFA Rates'!$O$5:$O$1004,"&lt;&gt;Expired")&gt;0,"✓",IF(COUNTIFS('AFA Rates'!$A$5:$A$1004,$A913,'AFA Rates'!$B$5:$B$1004,J$23)&gt;0,"Exp","")))</f>
        <v/>
      </c>
      <c r="K913" s="79">
        <f>IF(OR($A913="",K$23=""),"",IF(COUNTIFS('AFA Rates'!$A$5:$A$1004,$A913,'AFA Rates'!$B$5:$B$1004,K$23,'AFA Rates'!$O$5:$O$1004,"&lt;&gt;Expired")&gt;0,"✓",IF(COUNTIFS('AFA Rates'!$A$5:$A$1004,$A913,'AFA Rates'!$B$5:$B$1004,K$23)&gt;0,"Exp","")))</f>
        <v/>
      </c>
      <c r="L913" s="79">
        <f>IF(OR($A913="",L$23=""),"",IF(COUNTIFS('AFA Rates'!$A$5:$A$1004,$A913,'AFA Rates'!$B$5:$B$1004,L$23,'AFA Rates'!$O$5:$O$1004,"&lt;&gt;Expired")&gt;0,"✓",IF(COUNTIFS('AFA Rates'!$A$5:$A$1004,$A913,'AFA Rates'!$B$5:$B$1004,L$23)&gt;0,"Exp","")))</f>
        <v/>
      </c>
      <c r="M913" s="79">
        <f>IF(OR($A913="",M$23=""),"",IF(COUNTIFS('AFA Rates'!$A$5:$A$1004,$A913,'AFA Rates'!$B$5:$B$1004,M$23,'AFA Rates'!$O$5:$O$1004,"&lt;&gt;Expired")&gt;0,"✓",IF(COUNTIFS('AFA Rates'!$A$5:$A$1004,$A913,'AFA Rates'!$B$5:$B$1004,M$23)&gt;0,"Exp","")))</f>
        <v/>
      </c>
    </row>
    <row r="914">
      <c r="A914" s="78">
        <f>IFERROR(INDEX(Firms!$A$5:$A$1004,MATCH(891,Firms!$V$5:$V$1004,0)),"")</f>
        <v/>
      </c>
      <c r="B914" s="79">
        <f>IF($A914="","",INDEX(Firms!$B$5:$B$1004,MATCH(891,Firms!$V$5:$V$1004,0)))</f>
        <v/>
      </c>
      <c r="C914" s="79">
        <f>IF($A914="","",COUNTIFS('AFA Rates'!$A$5:$A$1004,$A914,'AFA Rates'!$O$5:$O$1004,"&lt;&gt;Expired"))</f>
        <v/>
      </c>
      <c r="D914" s="79">
        <f>IF(OR($A914="",D$23=""),"",IF(COUNTIFS('AFA Rates'!$A$5:$A$1004,$A914,'AFA Rates'!$B$5:$B$1004,D$23,'AFA Rates'!$O$5:$O$1004,"&lt;&gt;Expired")&gt;0,"✓",IF(COUNTIFS('AFA Rates'!$A$5:$A$1004,$A914,'AFA Rates'!$B$5:$B$1004,D$23)&gt;0,"Exp","")))</f>
        <v/>
      </c>
      <c r="E914" s="79">
        <f>IF(OR($A914="",E$23=""),"",IF(COUNTIFS('AFA Rates'!$A$5:$A$1004,$A914,'AFA Rates'!$B$5:$B$1004,E$23,'AFA Rates'!$O$5:$O$1004,"&lt;&gt;Expired")&gt;0,"✓",IF(COUNTIFS('AFA Rates'!$A$5:$A$1004,$A914,'AFA Rates'!$B$5:$B$1004,E$23)&gt;0,"Exp","")))</f>
        <v/>
      </c>
      <c r="F914" s="79">
        <f>IF(OR($A914="",F$23=""),"",IF(COUNTIFS('AFA Rates'!$A$5:$A$1004,$A914,'AFA Rates'!$B$5:$B$1004,F$23,'AFA Rates'!$O$5:$O$1004,"&lt;&gt;Expired")&gt;0,"✓",IF(COUNTIFS('AFA Rates'!$A$5:$A$1004,$A914,'AFA Rates'!$B$5:$B$1004,F$23)&gt;0,"Exp","")))</f>
        <v/>
      </c>
      <c r="G914" s="79">
        <f>IF(OR($A914="",G$23=""),"",IF(COUNTIFS('AFA Rates'!$A$5:$A$1004,$A914,'AFA Rates'!$B$5:$B$1004,G$23,'AFA Rates'!$O$5:$O$1004,"&lt;&gt;Expired")&gt;0,"✓",IF(COUNTIFS('AFA Rates'!$A$5:$A$1004,$A914,'AFA Rates'!$B$5:$B$1004,G$23)&gt;0,"Exp","")))</f>
        <v/>
      </c>
      <c r="H914" s="79">
        <f>IF(OR($A914="",H$23=""),"",IF(COUNTIFS('AFA Rates'!$A$5:$A$1004,$A914,'AFA Rates'!$B$5:$B$1004,H$23,'AFA Rates'!$O$5:$O$1004,"&lt;&gt;Expired")&gt;0,"✓",IF(COUNTIFS('AFA Rates'!$A$5:$A$1004,$A914,'AFA Rates'!$B$5:$B$1004,H$23)&gt;0,"Exp","")))</f>
        <v/>
      </c>
      <c r="I914" s="79">
        <f>IF(OR($A914="",I$23=""),"",IF(COUNTIFS('AFA Rates'!$A$5:$A$1004,$A914,'AFA Rates'!$B$5:$B$1004,I$23,'AFA Rates'!$O$5:$O$1004,"&lt;&gt;Expired")&gt;0,"✓",IF(COUNTIFS('AFA Rates'!$A$5:$A$1004,$A914,'AFA Rates'!$B$5:$B$1004,I$23)&gt;0,"Exp","")))</f>
        <v/>
      </c>
      <c r="J914" s="79">
        <f>IF(OR($A914="",J$23=""),"",IF(COUNTIFS('AFA Rates'!$A$5:$A$1004,$A914,'AFA Rates'!$B$5:$B$1004,J$23,'AFA Rates'!$O$5:$O$1004,"&lt;&gt;Expired")&gt;0,"✓",IF(COUNTIFS('AFA Rates'!$A$5:$A$1004,$A914,'AFA Rates'!$B$5:$B$1004,J$23)&gt;0,"Exp","")))</f>
        <v/>
      </c>
      <c r="K914" s="79">
        <f>IF(OR($A914="",K$23=""),"",IF(COUNTIFS('AFA Rates'!$A$5:$A$1004,$A914,'AFA Rates'!$B$5:$B$1004,K$23,'AFA Rates'!$O$5:$O$1004,"&lt;&gt;Expired")&gt;0,"✓",IF(COUNTIFS('AFA Rates'!$A$5:$A$1004,$A914,'AFA Rates'!$B$5:$B$1004,K$23)&gt;0,"Exp","")))</f>
        <v/>
      </c>
      <c r="L914" s="79">
        <f>IF(OR($A914="",L$23=""),"",IF(COUNTIFS('AFA Rates'!$A$5:$A$1004,$A914,'AFA Rates'!$B$5:$B$1004,L$23,'AFA Rates'!$O$5:$O$1004,"&lt;&gt;Expired")&gt;0,"✓",IF(COUNTIFS('AFA Rates'!$A$5:$A$1004,$A914,'AFA Rates'!$B$5:$B$1004,L$23)&gt;0,"Exp","")))</f>
        <v/>
      </c>
      <c r="M914" s="79">
        <f>IF(OR($A914="",M$23=""),"",IF(COUNTIFS('AFA Rates'!$A$5:$A$1004,$A914,'AFA Rates'!$B$5:$B$1004,M$23,'AFA Rates'!$O$5:$O$1004,"&lt;&gt;Expired")&gt;0,"✓",IF(COUNTIFS('AFA Rates'!$A$5:$A$1004,$A914,'AFA Rates'!$B$5:$B$1004,M$23)&gt;0,"Exp","")))</f>
        <v/>
      </c>
    </row>
    <row r="915">
      <c r="A915" s="78">
        <f>IFERROR(INDEX(Firms!$A$5:$A$1004,MATCH(892,Firms!$V$5:$V$1004,0)),"")</f>
        <v/>
      </c>
      <c r="B915" s="79">
        <f>IF($A915="","",INDEX(Firms!$B$5:$B$1004,MATCH(892,Firms!$V$5:$V$1004,0)))</f>
        <v/>
      </c>
      <c r="C915" s="79">
        <f>IF($A915="","",COUNTIFS('AFA Rates'!$A$5:$A$1004,$A915,'AFA Rates'!$O$5:$O$1004,"&lt;&gt;Expired"))</f>
        <v/>
      </c>
      <c r="D915" s="79">
        <f>IF(OR($A915="",D$23=""),"",IF(COUNTIFS('AFA Rates'!$A$5:$A$1004,$A915,'AFA Rates'!$B$5:$B$1004,D$23,'AFA Rates'!$O$5:$O$1004,"&lt;&gt;Expired")&gt;0,"✓",IF(COUNTIFS('AFA Rates'!$A$5:$A$1004,$A915,'AFA Rates'!$B$5:$B$1004,D$23)&gt;0,"Exp","")))</f>
        <v/>
      </c>
      <c r="E915" s="79">
        <f>IF(OR($A915="",E$23=""),"",IF(COUNTIFS('AFA Rates'!$A$5:$A$1004,$A915,'AFA Rates'!$B$5:$B$1004,E$23,'AFA Rates'!$O$5:$O$1004,"&lt;&gt;Expired")&gt;0,"✓",IF(COUNTIFS('AFA Rates'!$A$5:$A$1004,$A915,'AFA Rates'!$B$5:$B$1004,E$23)&gt;0,"Exp","")))</f>
        <v/>
      </c>
      <c r="F915" s="79">
        <f>IF(OR($A915="",F$23=""),"",IF(COUNTIFS('AFA Rates'!$A$5:$A$1004,$A915,'AFA Rates'!$B$5:$B$1004,F$23,'AFA Rates'!$O$5:$O$1004,"&lt;&gt;Expired")&gt;0,"✓",IF(COUNTIFS('AFA Rates'!$A$5:$A$1004,$A915,'AFA Rates'!$B$5:$B$1004,F$23)&gt;0,"Exp","")))</f>
        <v/>
      </c>
      <c r="G915" s="79">
        <f>IF(OR($A915="",G$23=""),"",IF(COUNTIFS('AFA Rates'!$A$5:$A$1004,$A915,'AFA Rates'!$B$5:$B$1004,G$23,'AFA Rates'!$O$5:$O$1004,"&lt;&gt;Expired")&gt;0,"✓",IF(COUNTIFS('AFA Rates'!$A$5:$A$1004,$A915,'AFA Rates'!$B$5:$B$1004,G$23)&gt;0,"Exp","")))</f>
        <v/>
      </c>
      <c r="H915" s="79">
        <f>IF(OR($A915="",H$23=""),"",IF(COUNTIFS('AFA Rates'!$A$5:$A$1004,$A915,'AFA Rates'!$B$5:$B$1004,H$23,'AFA Rates'!$O$5:$O$1004,"&lt;&gt;Expired")&gt;0,"✓",IF(COUNTIFS('AFA Rates'!$A$5:$A$1004,$A915,'AFA Rates'!$B$5:$B$1004,H$23)&gt;0,"Exp","")))</f>
        <v/>
      </c>
      <c r="I915" s="79">
        <f>IF(OR($A915="",I$23=""),"",IF(COUNTIFS('AFA Rates'!$A$5:$A$1004,$A915,'AFA Rates'!$B$5:$B$1004,I$23,'AFA Rates'!$O$5:$O$1004,"&lt;&gt;Expired")&gt;0,"✓",IF(COUNTIFS('AFA Rates'!$A$5:$A$1004,$A915,'AFA Rates'!$B$5:$B$1004,I$23)&gt;0,"Exp","")))</f>
        <v/>
      </c>
      <c r="J915" s="79">
        <f>IF(OR($A915="",J$23=""),"",IF(COUNTIFS('AFA Rates'!$A$5:$A$1004,$A915,'AFA Rates'!$B$5:$B$1004,J$23,'AFA Rates'!$O$5:$O$1004,"&lt;&gt;Expired")&gt;0,"✓",IF(COUNTIFS('AFA Rates'!$A$5:$A$1004,$A915,'AFA Rates'!$B$5:$B$1004,J$23)&gt;0,"Exp","")))</f>
        <v/>
      </c>
      <c r="K915" s="79">
        <f>IF(OR($A915="",K$23=""),"",IF(COUNTIFS('AFA Rates'!$A$5:$A$1004,$A915,'AFA Rates'!$B$5:$B$1004,K$23,'AFA Rates'!$O$5:$O$1004,"&lt;&gt;Expired")&gt;0,"✓",IF(COUNTIFS('AFA Rates'!$A$5:$A$1004,$A915,'AFA Rates'!$B$5:$B$1004,K$23)&gt;0,"Exp","")))</f>
        <v/>
      </c>
      <c r="L915" s="79">
        <f>IF(OR($A915="",L$23=""),"",IF(COUNTIFS('AFA Rates'!$A$5:$A$1004,$A915,'AFA Rates'!$B$5:$B$1004,L$23,'AFA Rates'!$O$5:$O$1004,"&lt;&gt;Expired")&gt;0,"✓",IF(COUNTIFS('AFA Rates'!$A$5:$A$1004,$A915,'AFA Rates'!$B$5:$B$1004,L$23)&gt;0,"Exp","")))</f>
        <v/>
      </c>
      <c r="M915" s="79">
        <f>IF(OR($A915="",M$23=""),"",IF(COUNTIFS('AFA Rates'!$A$5:$A$1004,$A915,'AFA Rates'!$B$5:$B$1004,M$23,'AFA Rates'!$O$5:$O$1004,"&lt;&gt;Expired")&gt;0,"✓",IF(COUNTIFS('AFA Rates'!$A$5:$A$1004,$A915,'AFA Rates'!$B$5:$B$1004,M$23)&gt;0,"Exp","")))</f>
        <v/>
      </c>
    </row>
    <row r="916">
      <c r="A916" s="78">
        <f>IFERROR(INDEX(Firms!$A$5:$A$1004,MATCH(893,Firms!$V$5:$V$1004,0)),"")</f>
        <v/>
      </c>
      <c r="B916" s="79">
        <f>IF($A916="","",INDEX(Firms!$B$5:$B$1004,MATCH(893,Firms!$V$5:$V$1004,0)))</f>
        <v/>
      </c>
      <c r="C916" s="79">
        <f>IF($A916="","",COUNTIFS('AFA Rates'!$A$5:$A$1004,$A916,'AFA Rates'!$O$5:$O$1004,"&lt;&gt;Expired"))</f>
        <v/>
      </c>
      <c r="D916" s="79">
        <f>IF(OR($A916="",D$23=""),"",IF(COUNTIFS('AFA Rates'!$A$5:$A$1004,$A916,'AFA Rates'!$B$5:$B$1004,D$23,'AFA Rates'!$O$5:$O$1004,"&lt;&gt;Expired")&gt;0,"✓",IF(COUNTIFS('AFA Rates'!$A$5:$A$1004,$A916,'AFA Rates'!$B$5:$B$1004,D$23)&gt;0,"Exp","")))</f>
        <v/>
      </c>
      <c r="E916" s="79">
        <f>IF(OR($A916="",E$23=""),"",IF(COUNTIFS('AFA Rates'!$A$5:$A$1004,$A916,'AFA Rates'!$B$5:$B$1004,E$23,'AFA Rates'!$O$5:$O$1004,"&lt;&gt;Expired")&gt;0,"✓",IF(COUNTIFS('AFA Rates'!$A$5:$A$1004,$A916,'AFA Rates'!$B$5:$B$1004,E$23)&gt;0,"Exp","")))</f>
        <v/>
      </c>
      <c r="F916" s="79">
        <f>IF(OR($A916="",F$23=""),"",IF(COUNTIFS('AFA Rates'!$A$5:$A$1004,$A916,'AFA Rates'!$B$5:$B$1004,F$23,'AFA Rates'!$O$5:$O$1004,"&lt;&gt;Expired")&gt;0,"✓",IF(COUNTIFS('AFA Rates'!$A$5:$A$1004,$A916,'AFA Rates'!$B$5:$B$1004,F$23)&gt;0,"Exp","")))</f>
        <v/>
      </c>
      <c r="G916" s="79">
        <f>IF(OR($A916="",G$23=""),"",IF(COUNTIFS('AFA Rates'!$A$5:$A$1004,$A916,'AFA Rates'!$B$5:$B$1004,G$23,'AFA Rates'!$O$5:$O$1004,"&lt;&gt;Expired")&gt;0,"✓",IF(COUNTIFS('AFA Rates'!$A$5:$A$1004,$A916,'AFA Rates'!$B$5:$B$1004,G$23)&gt;0,"Exp","")))</f>
        <v/>
      </c>
      <c r="H916" s="79">
        <f>IF(OR($A916="",H$23=""),"",IF(COUNTIFS('AFA Rates'!$A$5:$A$1004,$A916,'AFA Rates'!$B$5:$B$1004,H$23,'AFA Rates'!$O$5:$O$1004,"&lt;&gt;Expired")&gt;0,"✓",IF(COUNTIFS('AFA Rates'!$A$5:$A$1004,$A916,'AFA Rates'!$B$5:$B$1004,H$23)&gt;0,"Exp","")))</f>
        <v/>
      </c>
      <c r="I916" s="79">
        <f>IF(OR($A916="",I$23=""),"",IF(COUNTIFS('AFA Rates'!$A$5:$A$1004,$A916,'AFA Rates'!$B$5:$B$1004,I$23,'AFA Rates'!$O$5:$O$1004,"&lt;&gt;Expired")&gt;0,"✓",IF(COUNTIFS('AFA Rates'!$A$5:$A$1004,$A916,'AFA Rates'!$B$5:$B$1004,I$23)&gt;0,"Exp","")))</f>
        <v/>
      </c>
      <c r="J916" s="79">
        <f>IF(OR($A916="",J$23=""),"",IF(COUNTIFS('AFA Rates'!$A$5:$A$1004,$A916,'AFA Rates'!$B$5:$B$1004,J$23,'AFA Rates'!$O$5:$O$1004,"&lt;&gt;Expired")&gt;0,"✓",IF(COUNTIFS('AFA Rates'!$A$5:$A$1004,$A916,'AFA Rates'!$B$5:$B$1004,J$23)&gt;0,"Exp","")))</f>
        <v/>
      </c>
      <c r="K916" s="79">
        <f>IF(OR($A916="",K$23=""),"",IF(COUNTIFS('AFA Rates'!$A$5:$A$1004,$A916,'AFA Rates'!$B$5:$B$1004,K$23,'AFA Rates'!$O$5:$O$1004,"&lt;&gt;Expired")&gt;0,"✓",IF(COUNTIFS('AFA Rates'!$A$5:$A$1004,$A916,'AFA Rates'!$B$5:$B$1004,K$23)&gt;0,"Exp","")))</f>
        <v/>
      </c>
      <c r="L916" s="79">
        <f>IF(OR($A916="",L$23=""),"",IF(COUNTIFS('AFA Rates'!$A$5:$A$1004,$A916,'AFA Rates'!$B$5:$B$1004,L$23,'AFA Rates'!$O$5:$O$1004,"&lt;&gt;Expired")&gt;0,"✓",IF(COUNTIFS('AFA Rates'!$A$5:$A$1004,$A916,'AFA Rates'!$B$5:$B$1004,L$23)&gt;0,"Exp","")))</f>
        <v/>
      </c>
      <c r="M916" s="79">
        <f>IF(OR($A916="",M$23=""),"",IF(COUNTIFS('AFA Rates'!$A$5:$A$1004,$A916,'AFA Rates'!$B$5:$B$1004,M$23,'AFA Rates'!$O$5:$O$1004,"&lt;&gt;Expired")&gt;0,"✓",IF(COUNTIFS('AFA Rates'!$A$5:$A$1004,$A916,'AFA Rates'!$B$5:$B$1004,M$23)&gt;0,"Exp","")))</f>
        <v/>
      </c>
    </row>
    <row r="917">
      <c r="A917" s="78">
        <f>IFERROR(INDEX(Firms!$A$5:$A$1004,MATCH(894,Firms!$V$5:$V$1004,0)),"")</f>
        <v/>
      </c>
      <c r="B917" s="79">
        <f>IF($A917="","",INDEX(Firms!$B$5:$B$1004,MATCH(894,Firms!$V$5:$V$1004,0)))</f>
        <v/>
      </c>
      <c r="C917" s="79">
        <f>IF($A917="","",COUNTIFS('AFA Rates'!$A$5:$A$1004,$A917,'AFA Rates'!$O$5:$O$1004,"&lt;&gt;Expired"))</f>
        <v/>
      </c>
      <c r="D917" s="79">
        <f>IF(OR($A917="",D$23=""),"",IF(COUNTIFS('AFA Rates'!$A$5:$A$1004,$A917,'AFA Rates'!$B$5:$B$1004,D$23,'AFA Rates'!$O$5:$O$1004,"&lt;&gt;Expired")&gt;0,"✓",IF(COUNTIFS('AFA Rates'!$A$5:$A$1004,$A917,'AFA Rates'!$B$5:$B$1004,D$23)&gt;0,"Exp","")))</f>
        <v/>
      </c>
      <c r="E917" s="79">
        <f>IF(OR($A917="",E$23=""),"",IF(COUNTIFS('AFA Rates'!$A$5:$A$1004,$A917,'AFA Rates'!$B$5:$B$1004,E$23,'AFA Rates'!$O$5:$O$1004,"&lt;&gt;Expired")&gt;0,"✓",IF(COUNTIFS('AFA Rates'!$A$5:$A$1004,$A917,'AFA Rates'!$B$5:$B$1004,E$23)&gt;0,"Exp","")))</f>
        <v/>
      </c>
      <c r="F917" s="79">
        <f>IF(OR($A917="",F$23=""),"",IF(COUNTIFS('AFA Rates'!$A$5:$A$1004,$A917,'AFA Rates'!$B$5:$B$1004,F$23,'AFA Rates'!$O$5:$O$1004,"&lt;&gt;Expired")&gt;0,"✓",IF(COUNTIFS('AFA Rates'!$A$5:$A$1004,$A917,'AFA Rates'!$B$5:$B$1004,F$23)&gt;0,"Exp","")))</f>
        <v/>
      </c>
      <c r="G917" s="79">
        <f>IF(OR($A917="",G$23=""),"",IF(COUNTIFS('AFA Rates'!$A$5:$A$1004,$A917,'AFA Rates'!$B$5:$B$1004,G$23,'AFA Rates'!$O$5:$O$1004,"&lt;&gt;Expired")&gt;0,"✓",IF(COUNTIFS('AFA Rates'!$A$5:$A$1004,$A917,'AFA Rates'!$B$5:$B$1004,G$23)&gt;0,"Exp","")))</f>
        <v/>
      </c>
      <c r="H917" s="79">
        <f>IF(OR($A917="",H$23=""),"",IF(COUNTIFS('AFA Rates'!$A$5:$A$1004,$A917,'AFA Rates'!$B$5:$B$1004,H$23,'AFA Rates'!$O$5:$O$1004,"&lt;&gt;Expired")&gt;0,"✓",IF(COUNTIFS('AFA Rates'!$A$5:$A$1004,$A917,'AFA Rates'!$B$5:$B$1004,H$23)&gt;0,"Exp","")))</f>
        <v/>
      </c>
      <c r="I917" s="79">
        <f>IF(OR($A917="",I$23=""),"",IF(COUNTIFS('AFA Rates'!$A$5:$A$1004,$A917,'AFA Rates'!$B$5:$B$1004,I$23,'AFA Rates'!$O$5:$O$1004,"&lt;&gt;Expired")&gt;0,"✓",IF(COUNTIFS('AFA Rates'!$A$5:$A$1004,$A917,'AFA Rates'!$B$5:$B$1004,I$23)&gt;0,"Exp","")))</f>
        <v/>
      </c>
      <c r="J917" s="79">
        <f>IF(OR($A917="",J$23=""),"",IF(COUNTIFS('AFA Rates'!$A$5:$A$1004,$A917,'AFA Rates'!$B$5:$B$1004,J$23,'AFA Rates'!$O$5:$O$1004,"&lt;&gt;Expired")&gt;0,"✓",IF(COUNTIFS('AFA Rates'!$A$5:$A$1004,$A917,'AFA Rates'!$B$5:$B$1004,J$23)&gt;0,"Exp","")))</f>
        <v/>
      </c>
      <c r="K917" s="79">
        <f>IF(OR($A917="",K$23=""),"",IF(COUNTIFS('AFA Rates'!$A$5:$A$1004,$A917,'AFA Rates'!$B$5:$B$1004,K$23,'AFA Rates'!$O$5:$O$1004,"&lt;&gt;Expired")&gt;0,"✓",IF(COUNTIFS('AFA Rates'!$A$5:$A$1004,$A917,'AFA Rates'!$B$5:$B$1004,K$23)&gt;0,"Exp","")))</f>
        <v/>
      </c>
      <c r="L917" s="79">
        <f>IF(OR($A917="",L$23=""),"",IF(COUNTIFS('AFA Rates'!$A$5:$A$1004,$A917,'AFA Rates'!$B$5:$B$1004,L$23,'AFA Rates'!$O$5:$O$1004,"&lt;&gt;Expired")&gt;0,"✓",IF(COUNTIFS('AFA Rates'!$A$5:$A$1004,$A917,'AFA Rates'!$B$5:$B$1004,L$23)&gt;0,"Exp","")))</f>
        <v/>
      </c>
      <c r="M917" s="79">
        <f>IF(OR($A917="",M$23=""),"",IF(COUNTIFS('AFA Rates'!$A$5:$A$1004,$A917,'AFA Rates'!$B$5:$B$1004,M$23,'AFA Rates'!$O$5:$O$1004,"&lt;&gt;Expired")&gt;0,"✓",IF(COUNTIFS('AFA Rates'!$A$5:$A$1004,$A917,'AFA Rates'!$B$5:$B$1004,M$23)&gt;0,"Exp","")))</f>
        <v/>
      </c>
    </row>
    <row r="918">
      <c r="A918" s="78">
        <f>IFERROR(INDEX(Firms!$A$5:$A$1004,MATCH(895,Firms!$V$5:$V$1004,0)),"")</f>
        <v/>
      </c>
      <c r="B918" s="79">
        <f>IF($A918="","",INDEX(Firms!$B$5:$B$1004,MATCH(895,Firms!$V$5:$V$1004,0)))</f>
        <v/>
      </c>
      <c r="C918" s="79">
        <f>IF($A918="","",COUNTIFS('AFA Rates'!$A$5:$A$1004,$A918,'AFA Rates'!$O$5:$O$1004,"&lt;&gt;Expired"))</f>
        <v/>
      </c>
      <c r="D918" s="79">
        <f>IF(OR($A918="",D$23=""),"",IF(COUNTIFS('AFA Rates'!$A$5:$A$1004,$A918,'AFA Rates'!$B$5:$B$1004,D$23,'AFA Rates'!$O$5:$O$1004,"&lt;&gt;Expired")&gt;0,"✓",IF(COUNTIFS('AFA Rates'!$A$5:$A$1004,$A918,'AFA Rates'!$B$5:$B$1004,D$23)&gt;0,"Exp","")))</f>
        <v/>
      </c>
      <c r="E918" s="79">
        <f>IF(OR($A918="",E$23=""),"",IF(COUNTIFS('AFA Rates'!$A$5:$A$1004,$A918,'AFA Rates'!$B$5:$B$1004,E$23,'AFA Rates'!$O$5:$O$1004,"&lt;&gt;Expired")&gt;0,"✓",IF(COUNTIFS('AFA Rates'!$A$5:$A$1004,$A918,'AFA Rates'!$B$5:$B$1004,E$23)&gt;0,"Exp","")))</f>
        <v/>
      </c>
      <c r="F918" s="79">
        <f>IF(OR($A918="",F$23=""),"",IF(COUNTIFS('AFA Rates'!$A$5:$A$1004,$A918,'AFA Rates'!$B$5:$B$1004,F$23,'AFA Rates'!$O$5:$O$1004,"&lt;&gt;Expired")&gt;0,"✓",IF(COUNTIFS('AFA Rates'!$A$5:$A$1004,$A918,'AFA Rates'!$B$5:$B$1004,F$23)&gt;0,"Exp","")))</f>
        <v/>
      </c>
      <c r="G918" s="79">
        <f>IF(OR($A918="",G$23=""),"",IF(COUNTIFS('AFA Rates'!$A$5:$A$1004,$A918,'AFA Rates'!$B$5:$B$1004,G$23,'AFA Rates'!$O$5:$O$1004,"&lt;&gt;Expired")&gt;0,"✓",IF(COUNTIFS('AFA Rates'!$A$5:$A$1004,$A918,'AFA Rates'!$B$5:$B$1004,G$23)&gt;0,"Exp","")))</f>
        <v/>
      </c>
      <c r="H918" s="79">
        <f>IF(OR($A918="",H$23=""),"",IF(COUNTIFS('AFA Rates'!$A$5:$A$1004,$A918,'AFA Rates'!$B$5:$B$1004,H$23,'AFA Rates'!$O$5:$O$1004,"&lt;&gt;Expired")&gt;0,"✓",IF(COUNTIFS('AFA Rates'!$A$5:$A$1004,$A918,'AFA Rates'!$B$5:$B$1004,H$23)&gt;0,"Exp","")))</f>
        <v/>
      </c>
      <c r="I918" s="79">
        <f>IF(OR($A918="",I$23=""),"",IF(COUNTIFS('AFA Rates'!$A$5:$A$1004,$A918,'AFA Rates'!$B$5:$B$1004,I$23,'AFA Rates'!$O$5:$O$1004,"&lt;&gt;Expired")&gt;0,"✓",IF(COUNTIFS('AFA Rates'!$A$5:$A$1004,$A918,'AFA Rates'!$B$5:$B$1004,I$23)&gt;0,"Exp","")))</f>
        <v/>
      </c>
      <c r="J918" s="79">
        <f>IF(OR($A918="",J$23=""),"",IF(COUNTIFS('AFA Rates'!$A$5:$A$1004,$A918,'AFA Rates'!$B$5:$B$1004,J$23,'AFA Rates'!$O$5:$O$1004,"&lt;&gt;Expired")&gt;0,"✓",IF(COUNTIFS('AFA Rates'!$A$5:$A$1004,$A918,'AFA Rates'!$B$5:$B$1004,J$23)&gt;0,"Exp","")))</f>
        <v/>
      </c>
      <c r="K918" s="79">
        <f>IF(OR($A918="",K$23=""),"",IF(COUNTIFS('AFA Rates'!$A$5:$A$1004,$A918,'AFA Rates'!$B$5:$B$1004,K$23,'AFA Rates'!$O$5:$O$1004,"&lt;&gt;Expired")&gt;0,"✓",IF(COUNTIFS('AFA Rates'!$A$5:$A$1004,$A918,'AFA Rates'!$B$5:$B$1004,K$23)&gt;0,"Exp","")))</f>
        <v/>
      </c>
      <c r="L918" s="79">
        <f>IF(OR($A918="",L$23=""),"",IF(COUNTIFS('AFA Rates'!$A$5:$A$1004,$A918,'AFA Rates'!$B$5:$B$1004,L$23,'AFA Rates'!$O$5:$O$1004,"&lt;&gt;Expired")&gt;0,"✓",IF(COUNTIFS('AFA Rates'!$A$5:$A$1004,$A918,'AFA Rates'!$B$5:$B$1004,L$23)&gt;0,"Exp","")))</f>
        <v/>
      </c>
      <c r="M918" s="79">
        <f>IF(OR($A918="",M$23=""),"",IF(COUNTIFS('AFA Rates'!$A$5:$A$1004,$A918,'AFA Rates'!$B$5:$B$1004,M$23,'AFA Rates'!$O$5:$O$1004,"&lt;&gt;Expired")&gt;0,"✓",IF(COUNTIFS('AFA Rates'!$A$5:$A$1004,$A918,'AFA Rates'!$B$5:$B$1004,M$23)&gt;0,"Exp","")))</f>
        <v/>
      </c>
    </row>
    <row r="919">
      <c r="A919" s="78">
        <f>IFERROR(INDEX(Firms!$A$5:$A$1004,MATCH(896,Firms!$V$5:$V$1004,0)),"")</f>
        <v/>
      </c>
      <c r="B919" s="79">
        <f>IF($A919="","",INDEX(Firms!$B$5:$B$1004,MATCH(896,Firms!$V$5:$V$1004,0)))</f>
        <v/>
      </c>
      <c r="C919" s="79">
        <f>IF($A919="","",COUNTIFS('AFA Rates'!$A$5:$A$1004,$A919,'AFA Rates'!$O$5:$O$1004,"&lt;&gt;Expired"))</f>
        <v/>
      </c>
      <c r="D919" s="79">
        <f>IF(OR($A919="",D$23=""),"",IF(COUNTIFS('AFA Rates'!$A$5:$A$1004,$A919,'AFA Rates'!$B$5:$B$1004,D$23,'AFA Rates'!$O$5:$O$1004,"&lt;&gt;Expired")&gt;0,"✓",IF(COUNTIFS('AFA Rates'!$A$5:$A$1004,$A919,'AFA Rates'!$B$5:$B$1004,D$23)&gt;0,"Exp","")))</f>
        <v/>
      </c>
      <c r="E919" s="79">
        <f>IF(OR($A919="",E$23=""),"",IF(COUNTIFS('AFA Rates'!$A$5:$A$1004,$A919,'AFA Rates'!$B$5:$B$1004,E$23,'AFA Rates'!$O$5:$O$1004,"&lt;&gt;Expired")&gt;0,"✓",IF(COUNTIFS('AFA Rates'!$A$5:$A$1004,$A919,'AFA Rates'!$B$5:$B$1004,E$23)&gt;0,"Exp","")))</f>
        <v/>
      </c>
      <c r="F919" s="79">
        <f>IF(OR($A919="",F$23=""),"",IF(COUNTIFS('AFA Rates'!$A$5:$A$1004,$A919,'AFA Rates'!$B$5:$B$1004,F$23,'AFA Rates'!$O$5:$O$1004,"&lt;&gt;Expired")&gt;0,"✓",IF(COUNTIFS('AFA Rates'!$A$5:$A$1004,$A919,'AFA Rates'!$B$5:$B$1004,F$23)&gt;0,"Exp","")))</f>
        <v/>
      </c>
      <c r="G919" s="79">
        <f>IF(OR($A919="",G$23=""),"",IF(COUNTIFS('AFA Rates'!$A$5:$A$1004,$A919,'AFA Rates'!$B$5:$B$1004,G$23,'AFA Rates'!$O$5:$O$1004,"&lt;&gt;Expired")&gt;0,"✓",IF(COUNTIFS('AFA Rates'!$A$5:$A$1004,$A919,'AFA Rates'!$B$5:$B$1004,G$23)&gt;0,"Exp","")))</f>
        <v/>
      </c>
      <c r="H919" s="79">
        <f>IF(OR($A919="",H$23=""),"",IF(COUNTIFS('AFA Rates'!$A$5:$A$1004,$A919,'AFA Rates'!$B$5:$B$1004,H$23,'AFA Rates'!$O$5:$O$1004,"&lt;&gt;Expired")&gt;0,"✓",IF(COUNTIFS('AFA Rates'!$A$5:$A$1004,$A919,'AFA Rates'!$B$5:$B$1004,H$23)&gt;0,"Exp","")))</f>
        <v/>
      </c>
      <c r="I919" s="79">
        <f>IF(OR($A919="",I$23=""),"",IF(COUNTIFS('AFA Rates'!$A$5:$A$1004,$A919,'AFA Rates'!$B$5:$B$1004,I$23,'AFA Rates'!$O$5:$O$1004,"&lt;&gt;Expired")&gt;0,"✓",IF(COUNTIFS('AFA Rates'!$A$5:$A$1004,$A919,'AFA Rates'!$B$5:$B$1004,I$23)&gt;0,"Exp","")))</f>
        <v/>
      </c>
      <c r="J919" s="79">
        <f>IF(OR($A919="",J$23=""),"",IF(COUNTIFS('AFA Rates'!$A$5:$A$1004,$A919,'AFA Rates'!$B$5:$B$1004,J$23,'AFA Rates'!$O$5:$O$1004,"&lt;&gt;Expired")&gt;0,"✓",IF(COUNTIFS('AFA Rates'!$A$5:$A$1004,$A919,'AFA Rates'!$B$5:$B$1004,J$23)&gt;0,"Exp","")))</f>
        <v/>
      </c>
      <c r="K919" s="79">
        <f>IF(OR($A919="",K$23=""),"",IF(COUNTIFS('AFA Rates'!$A$5:$A$1004,$A919,'AFA Rates'!$B$5:$B$1004,K$23,'AFA Rates'!$O$5:$O$1004,"&lt;&gt;Expired")&gt;0,"✓",IF(COUNTIFS('AFA Rates'!$A$5:$A$1004,$A919,'AFA Rates'!$B$5:$B$1004,K$23)&gt;0,"Exp","")))</f>
        <v/>
      </c>
      <c r="L919" s="79">
        <f>IF(OR($A919="",L$23=""),"",IF(COUNTIFS('AFA Rates'!$A$5:$A$1004,$A919,'AFA Rates'!$B$5:$B$1004,L$23,'AFA Rates'!$O$5:$O$1004,"&lt;&gt;Expired")&gt;0,"✓",IF(COUNTIFS('AFA Rates'!$A$5:$A$1004,$A919,'AFA Rates'!$B$5:$B$1004,L$23)&gt;0,"Exp","")))</f>
        <v/>
      </c>
      <c r="M919" s="79">
        <f>IF(OR($A919="",M$23=""),"",IF(COUNTIFS('AFA Rates'!$A$5:$A$1004,$A919,'AFA Rates'!$B$5:$B$1004,M$23,'AFA Rates'!$O$5:$O$1004,"&lt;&gt;Expired")&gt;0,"✓",IF(COUNTIFS('AFA Rates'!$A$5:$A$1004,$A919,'AFA Rates'!$B$5:$B$1004,M$23)&gt;0,"Exp","")))</f>
        <v/>
      </c>
    </row>
    <row r="920">
      <c r="A920" s="78">
        <f>IFERROR(INDEX(Firms!$A$5:$A$1004,MATCH(897,Firms!$V$5:$V$1004,0)),"")</f>
        <v/>
      </c>
      <c r="B920" s="79">
        <f>IF($A920="","",INDEX(Firms!$B$5:$B$1004,MATCH(897,Firms!$V$5:$V$1004,0)))</f>
        <v/>
      </c>
      <c r="C920" s="79">
        <f>IF($A920="","",COUNTIFS('AFA Rates'!$A$5:$A$1004,$A920,'AFA Rates'!$O$5:$O$1004,"&lt;&gt;Expired"))</f>
        <v/>
      </c>
      <c r="D920" s="79">
        <f>IF(OR($A920="",D$23=""),"",IF(COUNTIFS('AFA Rates'!$A$5:$A$1004,$A920,'AFA Rates'!$B$5:$B$1004,D$23,'AFA Rates'!$O$5:$O$1004,"&lt;&gt;Expired")&gt;0,"✓",IF(COUNTIFS('AFA Rates'!$A$5:$A$1004,$A920,'AFA Rates'!$B$5:$B$1004,D$23)&gt;0,"Exp","")))</f>
        <v/>
      </c>
      <c r="E920" s="79">
        <f>IF(OR($A920="",E$23=""),"",IF(COUNTIFS('AFA Rates'!$A$5:$A$1004,$A920,'AFA Rates'!$B$5:$B$1004,E$23,'AFA Rates'!$O$5:$O$1004,"&lt;&gt;Expired")&gt;0,"✓",IF(COUNTIFS('AFA Rates'!$A$5:$A$1004,$A920,'AFA Rates'!$B$5:$B$1004,E$23)&gt;0,"Exp","")))</f>
        <v/>
      </c>
      <c r="F920" s="79">
        <f>IF(OR($A920="",F$23=""),"",IF(COUNTIFS('AFA Rates'!$A$5:$A$1004,$A920,'AFA Rates'!$B$5:$B$1004,F$23,'AFA Rates'!$O$5:$O$1004,"&lt;&gt;Expired")&gt;0,"✓",IF(COUNTIFS('AFA Rates'!$A$5:$A$1004,$A920,'AFA Rates'!$B$5:$B$1004,F$23)&gt;0,"Exp","")))</f>
        <v/>
      </c>
      <c r="G920" s="79">
        <f>IF(OR($A920="",G$23=""),"",IF(COUNTIFS('AFA Rates'!$A$5:$A$1004,$A920,'AFA Rates'!$B$5:$B$1004,G$23,'AFA Rates'!$O$5:$O$1004,"&lt;&gt;Expired")&gt;0,"✓",IF(COUNTIFS('AFA Rates'!$A$5:$A$1004,$A920,'AFA Rates'!$B$5:$B$1004,G$23)&gt;0,"Exp","")))</f>
        <v/>
      </c>
      <c r="H920" s="79">
        <f>IF(OR($A920="",H$23=""),"",IF(COUNTIFS('AFA Rates'!$A$5:$A$1004,$A920,'AFA Rates'!$B$5:$B$1004,H$23,'AFA Rates'!$O$5:$O$1004,"&lt;&gt;Expired")&gt;0,"✓",IF(COUNTIFS('AFA Rates'!$A$5:$A$1004,$A920,'AFA Rates'!$B$5:$B$1004,H$23)&gt;0,"Exp","")))</f>
        <v/>
      </c>
      <c r="I920" s="79">
        <f>IF(OR($A920="",I$23=""),"",IF(COUNTIFS('AFA Rates'!$A$5:$A$1004,$A920,'AFA Rates'!$B$5:$B$1004,I$23,'AFA Rates'!$O$5:$O$1004,"&lt;&gt;Expired")&gt;0,"✓",IF(COUNTIFS('AFA Rates'!$A$5:$A$1004,$A920,'AFA Rates'!$B$5:$B$1004,I$23)&gt;0,"Exp","")))</f>
        <v/>
      </c>
      <c r="J920" s="79">
        <f>IF(OR($A920="",J$23=""),"",IF(COUNTIFS('AFA Rates'!$A$5:$A$1004,$A920,'AFA Rates'!$B$5:$B$1004,J$23,'AFA Rates'!$O$5:$O$1004,"&lt;&gt;Expired")&gt;0,"✓",IF(COUNTIFS('AFA Rates'!$A$5:$A$1004,$A920,'AFA Rates'!$B$5:$B$1004,J$23)&gt;0,"Exp","")))</f>
        <v/>
      </c>
      <c r="K920" s="79">
        <f>IF(OR($A920="",K$23=""),"",IF(COUNTIFS('AFA Rates'!$A$5:$A$1004,$A920,'AFA Rates'!$B$5:$B$1004,K$23,'AFA Rates'!$O$5:$O$1004,"&lt;&gt;Expired")&gt;0,"✓",IF(COUNTIFS('AFA Rates'!$A$5:$A$1004,$A920,'AFA Rates'!$B$5:$B$1004,K$23)&gt;0,"Exp","")))</f>
        <v/>
      </c>
      <c r="L920" s="79">
        <f>IF(OR($A920="",L$23=""),"",IF(COUNTIFS('AFA Rates'!$A$5:$A$1004,$A920,'AFA Rates'!$B$5:$B$1004,L$23,'AFA Rates'!$O$5:$O$1004,"&lt;&gt;Expired")&gt;0,"✓",IF(COUNTIFS('AFA Rates'!$A$5:$A$1004,$A920,'AFA Rates'!$B$5:$B$1004,L$23)&gt;0,"Exp","")))</f>
        <v/>
      </c>
      <c r="M920" s="79">
        <f>IF(OR($A920="",M$23=""),"",IF(COUNTIFS('AFA Rates'!$A$5:$A$1004,$A920,'AFA Rates'!$B$5:$B$1004,M$23,'AFA Rates'!$O$5:$O$1004,"&lt;&gt;Expired")&gt;0,"✓",IF(COUNTIFS('AFA Rates'!$A$5:$A$1004,$A920,'AFA Rates'!$B$5:$B$1004,M$23)&gt;0,"Exp","")))</f>
        <v/>
      </c>
    </row>
    <row r="921">
      <c r="A921" s="78">
        <f>IFERROR(INDEX(Firms!$A$5:$A$1004,MATCH(898,Firms!$V$5:$V$1004,0)),"")</f>
        <v/>
      </c>
      <c r="B921" s="79">
        <f>IF($A921="","",INDEX(Firms!$B$5:$B$1004,MATCH(898,Firms!$V$5:$V$1004,0)))</f>
        <v/>
      </c>
      <c r="C921" s="79">
        <f>IF($A921="","",COUNTIFS('AFA Rates'!$A$5:$A$1004,$A921,'AFA Rates'!$O$5:$O$1004,"&lt;&gt;Expired"))</f>
        <v/>
      </c>
      <c r="D921" s="79">
        <f>IF(OR($A921="",D$23=""),"",IF(COUNTIFS('AFA Rates'!$A$5:$A$1004,$A921,'AFA Rates'!$B$5:$B$1004,D$23,'AFA Rates'!$O$5:$O$1004,"&lt;&gt;Expired")&gt;0,"✓",IF(COUNTIFS('AFA Rates'!$A$5:$A$1004,$A921,'AFA Rates'!$B$5:$B$1004,D$23)&gt;0,"Exp","")))</f>
        <v/>
      </c>
      <c r="E921" s="79">
        <f>IF(OR($A921="",E$23=""),"",IF(COUNTIFS('AFA Rates'!$A$5:$A$1004,$A921,'AFA Rates'!$B$5:$B$1004,E$23,'AFA Rates'!$O$5:$O$1004,"&lt;&gt;Expired")&gt;0,"✓",IF(COUNTIFS('AFA Rates'!$A$5:$A$1004,$A921,'AFA Rates'!$B$5:$B$1004,E$23)&gt;0,"Exp","")))</f>
        <v/>
      </c>
      <c r="F921" s="79">
        <f>IF(OR($A921="",F$23=""),"",IF(COUNTIFS('AFA Rates'!$A$5:$A$1004,$A921,'AFA Rates'!$B$5:$B$1004,F$23,'AFA Rates'!$O$5:$O$1004,"&lt;&gt;Expired")&gt;0,"✓",IF(COUNTIFS('AFA Rates'!$A$5:$A$1004,$A921,'AFA Rates'!$B$5:$B$1004,F$23)&gt;0,"Exp","")))</f>
        <v/>
      </c>
      <c r="G921" s="79">
        <f>IF(OR($A921="",G$23=""),"",IF(COUNTIFS('AFA Rates'!$A$5:$A$1004,$A921,'AFA Rates'!$B$5:$B$1004,G$23,'AFA Rates'!$O$5:$O$1004,"&lt;&gt;Expired")&gt;0,"✓",IF(COUNTIFS('AFA Rates'!$A$5:$A$1004,$A921,'AFA Rates'!$B$5:$B$1004,G$23)&gt;0,"Exp","")))</f>
        <v/>
      </c>
      <c r="H921" s="79">
        <f>IF(OR($A921="",H$23=""),"",IF(COUNTIFS('AFA Rates'!$A$5:$A$1004,$A921,'AFA Rates'!$B$5:$B$1004,H$23,'AFA Rates'!$O$5:$O$1004,"&lt;&gt;Expired")&gt;0,"✓",IF(COUNTIFS('AFA Rates'!$A$5:$A$1004,$A921,'AFA Rates'!$B$5:$B$1004,H$23)&gt;0,"Exp","")))</f>
        <v/>
      </c>
      <c r="I921" s="79">
        <f>IF(OR($A921="",I$23=""),"",IF(COUNTIFS('AFA Rates'!$A$5:$A$1004,$A921,'AFA Rates'!$B$5:$B$1004,I$23,'AFA Rates'!$O$5:$O$1004,"&lt;&gt;Expired")&gt;0,"✓",IF(COUNTIFS('AFA Rates'!$A$5:$A$1004,$A921,'AFA Rates'!$B$5:$B$1004,I$23)&gt;0,"Exp","")))</f>
        <v/>
      </c>
      <c r="J921" s="79">
        <f>IF(OR($A921="",J$23=""),"",IF(COUNTIFS('AFA Rates'!$A$5:$A$1004,$A921,'AFA Rates'!$B$5:$B$1004,J$23,'AFA Rates'!$O$5:$O$1004,"&lt;&gt;Expired")&gt;0,"✓",IF(COUNTIFS('AFA Rates'!$A$5:$A$1004,$A921,'AFA Rates'!$B$5:$B$1004,J$23)&gt;0,"Exp","")))</f>
        <v/>
      </c>
      <c r="K921" s="79">
        <f>IF(OR($A921="",K$23=""),"",IF(COUNTIFS('AFA Rates'!$A$5:$A$1004,$A921,'AFA Rates'!$B$5:$B$1004,K$23,'AFA Rates'!$O$5:$O$1004,"&lt;&gt;Expired")&gt;0,"✓",IF(COUNTIFS('AFA Rates'!$A$5:$A$1004,$A921,'AFA Rates'!$B$5:$B$1004,K$23)&gt;0,"Exp","")))</f>
        <v/>
      </c>
      <c r="L921" s="79">
        <f>IF(OR($A921="",L$23=""),"",IF(COUNTIFS('AFA Rates'!$A$5:$A$1004,$A921,'AFA Rates'!$B$5:$B$1004,L$23,'AFA Rates'!$O$5:$O$1004,"&lt;&gt;Expired")&gt;0,"✓",IF(COUNTIFS('AFA Rates'!$A$5:$A$1004,$A921,'AFA Rates'!$B$5:$B$1004,L$23)&gt;0,"Exp","")))</f>
        <v/>
      </c>
      <c r="M921" s="79">
        <f>IF(OR($A921="",M$23=""),"",IF(COUNTIFS('AFA Rates'!$A$5:$A$1004,$A921,'AFA Rates'!$B$5:$B$1004,M$23,'AFA Rates'!$O$5:$O$1004,"&lt;&gt;Expired")&gt;0,"✓",IF(COUNTIFS('AFA Rates'!$A$5:$A$1004,$A921,'AFA Rates'!$B$5:$B$1004,M$23)&gt;0,"Exp","")))</f>
        <v/>
      </c>
    </row>
    <row r="922">
      <c r="A922" s="78">
        <f>IFERROR(INDEX(Firms!$A$5:$A$1004,MATCH(899,Firms!$V$5:$V$1004,0)),"")</f>
        <v/>
      </c>
      <c r="B922" s="79">
        <f>IF($A922="","",INDEX(Firms!$B$5:$B$1004,MATCH(899,Firms!$V$5:$V$1004,0)))</f>
        <v/>
      </c>
      <c r="C922" s="79">
        <f>IF($A922="","",COUNTIFS('AFA Rates'!$A$5:$A$1004,$A922,'AFA Rates'!$O$5:$O$1004,"&lt;&gt;Expired"))</f>
        <v/>
      </c>
      <c r="D922" s="79">
        <f>IF(OR($A922="",D$23=""),"",IF(COUNTIFS('AFA Rates'!$A$5:$A$1004,$A922,'AFA Rates'!$B$5:$B$1004,D$23,'AFA Rates'!$O$5:$O$1004,"&lt;&gt;Expired")&gt;0,"✓",IF(COUNTIFS('AFA Rates'!$A$5:$A$1004,$A922,'AFA Rates'!$B$5:$B$1004,D$23)&gt;0,"Exp","")))</f>
        <v/>
      </c>
      <c r="E922" s="79">
        <f>IF(OR($A922="",E$23=""),"",IF(COUNTIFS('AFA Rates'!$A$5:$A$1004,$A922,'AFA Rates'!$B$5:$B$1004,E$23,'AFA Rates'!$O$5:$O$1004,"&lt;&gt;Expired")&gt;0,"✓",IF(COUNTIFS('AFA Rates'!$A$5:$A$1004,$A922,'AFA Rates'!$B$5:$B$1004,E$23)&gt;0,"Exp","")))</f>
        <v/>
      </c>
      <c r="F922" s="79">
        <f>IF(OR($A922="",F$23=""),"",IF(COUNTIFS('AFA Rates'!$A$5:$A$1004,$A922,'AFA Rates'!$B$5:$B$1004,F$23,'AFA Rates'!$O$5:$O$1004,"&lt;&gt;Expired")&gt;0,"✓",IF(COUNTIFS('AFA Rates'!$A$5:$A$1004,$A922,'AFA Rates'!$B$5:$B$1004,F$23)&gt;0,"Exp","")))</f>
        <v/>
      </c>
      <c r="G922" s="79">
        <f>IF(OR($A922="",G$23=""),"",IF(COUNTIFS('AFA Rates'!$A$5:$A$1004,$A922,'AFA Rates'!$B$5:$B$1004,G$23,'AFA Rates'!$O$5:$O$1004,"&lt;&gt;Expired")&gt;0,"✓",IF(COUNTIFS('AFA Rates'!$A$5:$A$1004,$A922,'AFA Rates'!$B$5:$B$1004,G$23)&gt;0,"Exp","")))</f>
        <v/>
      </c>
      <c r="H922" s="79">
        <f>IF(OR($A922="",H$23=""),"",IF(COUNTIFS('AFA Rates'!$A$5:$A$1004,$A922,'AFA Rates'!$B$5:$B$1004,H$23,'AFA Rates'!$O$5:$O$1004,"&lt;&gt;Expired")&gt;0,"✓",IF(COUNTIFS('AFA Rates'!$A$5:$A$1004,$A922,'AFA Rates'!$B$5:$B$1004,H$23)&gt;0,"Exp","")))</f>
        <v/>
      </c>
      <c r="I922" s="79">
        <f>IF(OR($A922="",I$23=""),"",IF(COUNTIFS('AFA Rates'!$A$5:$A$1004,$A922,'AFA Rates'!$B$5:$B$1004,I$23,'AFA Rates'!$O$5:$O$1004,"&lt;&gt;Expired")&gt;0,"✓",IF(COUNTIFS('AFA Rates'!$A$5:$A$1004,$A922,'AFA Rates'!$B$5:$B$1004,I$23)&gt;0,"Exp","")))</f>
        <v/>
      </c>
      <c r="J922" s="79">
        <f>IF(OR($A922="",J$23=""),"",IF(COUNTIFS('AFA Rates'!$A$5:$A$1004,$A922,'AFA Rates'!$B$5:$B$1004,J$23,'AFA Rates'!$O$5:$O$1004,"&lt;&gt;Expired")&gt;0,"✓",IF(COUNTIFS('AFA Rates'!$A$5:$A$1004,$A922,'AFA Rates'!$B$5:$B$1004,J$23)&gt;0,"Exp","")))</f>
        <v/>
      </c>
      <c r="K922" s="79">
        <f>IF(OR($A922="",K$23=""),"",IF(COUNTIFS('AFA Rates'!$A$5:$A$1004,$A922,'AFA Rates'!$B$5:$B$1004,K$23,'AFA Rates'!$O$5:$O$1004,"&lt;&gt;Expired")&gt;0,"✓",IF(COUNTIFS('AFA Rates'!$A$5:$A$1004,$A922,'AFA Rates'!$B$5:$B$1004,K$23)&gt;0,"Exp","")))</f>
        <v/>
      </c>
      <c r="L922" s="79">
        <f>IF(OR($A922="",L$23=""),"",IF(COUNTIFS('AFA Rates'!$A$5:$A$1004,$A922,'AFA Rates'!$B$5:$B$1004,L$23,'AFA Rates'!$O$5:$O$1004,"&lt;&gt;Expired")&gt;0,"✓",IF(COUNTIFS('AFA Rates'!$A$5:$A$1004,$A922,'AFA Rates'!$B$5:$B$1004,L$23)&gt;0,"Exp","")))</f>
        <v/>
      </c>
      <c r="M922" s="79">
        <f>IF(OR($A922="",M$23=""),"",IF(COUNTIFS('AFA Rates'!$A$5:$A$1004,$A922,'AFA Rates'!$B$5:$B$1004,M$23,'AFA Rates'!$O$5:$O$1004,"&lt;&gt;Expired")&gt;0,"✓",IF(COUNTIFS('AFA Rates'!$A$5:$A$1004,$A922,'AFA Rates'!$B$5:$B$1004,M$23)&gt;0,"Exp","")))</f>
        <v/>
      </c>
    </row>
    <row r="923">
      <c r="A923" s="78">
        <f>IFERROR(INDEX(Firms!$A$5:$A$1004,MATCH(900,Firms!$V$5:$V$1004,0)),"")</f>
        <v/>
      </c>
      <c r="B923" s="79">
        <f>IF($A923="","",INDEX(Firms!$B$5:$B$1004,MATCH(900,Firms!$V$5:$V$1004,0)))</f>
        <v/>
      </c>
      <c r="C923" s="79">
        <f>IF($A923="","",COUNTIFS('AFA Rates'!$A$5:$A$1004,$A923,'AFA Rates'!$O$5:$O$1004,"&lt;&gt;Expired"))</f>
        <v/>
      </c>
      <c r="D923" s="79">
        <f>IF(OR($A923="",D$23=""),"",IF(COUNTIFS('AFA Rates'!$A$5:$A$1004,$A923,'AFA Rates'!$B$5:$B$1004,D$23,'AFA Rates'!$O$5:$O$1004,"&lt;&gt;Expired")&gt;0,"✓",IF(COUNTIFS('AFA Rates'!$A$5:$A$1004,$A923,'AFA Rates'!$B$5:$B$1004,D$23)&gt;0,"Exp","")))</f>
        <v/>
      </c>
      <c r="E923" s="79">
        <f>IF(OR($A923="",E$23=""),"",IF(COUNTIFS('AFA Rates'!$A$5:$A$1004,$A923,'AFA Rates'!$B$5:$B$1004,E$23,'AFA Rates'!$O$5:$O$1004,"&lt;&gt;Expired")&gt;0,"✓",IF(COUNTIFS('AFA Rates'!$A$5:$A$1004,$A923,'AFA Rates'!$B$5:$B$1004,E$23)&gt;0,"Exp","")))</f>
        <v/>
      </c>
      <c r="F923" s="79">
        <f>IF(OR($A923="",F$23=""),"",IF(COUNTIFS('AFA Rates'!$A$5:$A$1004,$A923,'AFA Rates'!$B$5:$B$1004,F$23,'AFA Rates'!$O$5:$O$1004,"&lt;&gt;Expired")&gt;0,"✓",IF(COUNTIFS('AFA Rates'!$A$5:$A$1004,$A923,'AFA Rates'!$B$5:$B$1004,F$23)&gt;0,"Exp","")))</f>
        <v/>
      </c>
      <c r="G923" s="79">
        <f>IF(OR($A923="",G$23=""),"",IF(COUNTIFS('AFA Rates'!$A$5:$A$1004,$A923,'AFA Rates'!$B$5:$B$1004,G$23,'AFA Rates'!$O$5:$O$1004,"&lt;&gt;Expired")&gt;0,"✓",IF(COUNTIFS('AFA Rates'!$A$5:$A$1004,$A923,'AFA Rates'!$B$5:$B$1004,G$23)&gt;0,"Exp","")))</f>
        <v/>
      </c>
      <c r="H923" s="79">
        <f>IF(OR($A923="",H$23=""),"",IF(COUNTIFS('AFA Rates'!$A$5:$A$1004,$A923,'AFA Rates'!$B$5:$B$1004,H$23,'AFA Rates'!$O$5:$O$1004,"&lt;&gt;Expired")&gt;0,"✓",IF(COUNTIFS('AFA Rates'!$A$5:$A$1004,$A923,'AFA Rates'!$B$5:$B$1004,H$23)&gt;0,"Exp","")))</f>
        <v/>
      </c>
      <c r="I923" s="79">
        <f>IF(OR($A923="",I$23=""),"",IF(COUNTIFS('AFA Rates'!$A$5:$A$1004,$A923,'AFA Rates'!$B$5:$B$1004,I$23,'AFA Rates'!$O$5:$O$1004,"&lt;&gt;Expired")&gt;0,"✓",IF(COUNTIFS('AFA Rates'!$A$5:$A$1004,$A923,'AFA Rates'!$B$5:$B$1004,I$23)&gt;0,"Exp","")))</f>
        <v/>
      </c>
      <c r="J923" s="79">
        <f>IF(OR($A923="",J$23=""),"",IF(COUNTIFS('AFA Rates'!$A$5:$A$1004,$A923,'AFA Rates'!$B$5:$B$1004,J$23,'AFA Rates'!$O$5:$O$1004,"&lt;&gt;Expired")&gt;0,"✓",IF(COUNTIFS('AFA Rates'!$A$5:$A$1004,$A923,'AFA Rates'!$B$5:$B$1004,J$23)&gt;0,"Exp","")))</f>
        <v/>
      </c>
      <c r="K923" s="79">
        <f>IF(OR($A923="",K$23=""),"",IF(COUNTIFS('AFA Rates'!$A$5:$A$1004,$A923,'AFA Rates'!$B$5:$B$1004,K$23,'AFA Rates'!$O$5:$O$1004,"&lt;&gt;Expired")&gt;0,"✓",IF(COUNTIFS('AFA Rates'!$A$5:$A$1004,$A923,'AFA Rates'!$B$5:$B$1004,K$23)&gt;0,"Exp","")))</f>
        <v/>
      </c>
      <c r="L923" s="79">
        <f>IF(OR($A923="",L$23=""),"",IF(COUNTIFS('AFA Rates'!$A$5:$A$1004,$A923,'AFA Rates'!$B$5:$B$1004,L$23,'AFA Rates'!$O$5:$O$1004,"&lt;&gt;Expired")&gt;0,"✓",IF(COUNTIFS('AFA Rates'!$A$5:$A$1004,$A923,'AFA Rates'!$B$5:$B$1004,L$23)&gt;0,"Exp","")))</f>
        <v/>
      </c>
      <c r="M923" s="79">
        <f>IF(OR($A923="",M$23=""),"",IF(COUNTIFS('AFA Rates'!$A$5:$A$1004,$A923,'AFA Rates'!$B$5:$B$1004,M$23,'AFA Rates'!$O$5:$O$1004,"&lt;&gt;Expired")&gt;0,"✓",IF(COUNTIFS('AFA Rates'!$A$5:$A$1004,$A923,'AFA Rates'!$B$5:$B$1004,M$23)&gt;0,"Exp","")))</f>
        <v/>
      </c>
    </row>
    <row r="924">
      <c r="A924" s="78">
        <f>IFERROR(INDEX(Firms!$A$5:$A$1004,MATCH(901,Firms!$V$5:$V$1004,0)),"")</f>
        <v/>
      </c>
      <c r="B924" s="79">
        <f>IF($A924="","",INDEX(Firms!$B$5:$B$1004,MATCH(901,Firms!$V$5:$V$1004,0)))</f>
        <v/>
      </c>
      <c r="C924" s="79">
        <f>IF($A924="","",COUNTIFS('AFA Rates'!$A$5:$A$1004,$A924,'AFA Rates'!$O$5:$O$1004,"&lt;&gt;Expired"))</f>
        <v/>
      </c>
      <c r="D924" s="79">
        <f>IF(OR($A924="",D$23=""),"",IF(COUNTIFS('AFA Rates'!$A$5:$A$1004,$A924,'AFA Rates'!$B$5:$B$1004,D$23,'AFA Rates'!$O$5:$O$1004,"&lt;&gt;Expired")&gt;0,"✓",IF(COUNTIFS('AFA Rates'!$A$5:$A$1004,$A924,'AFA Rates'!$B$5:$B$1004,D$23)&gt;0,"Exp","")))</f>
        <v/>
      </c>
      <c r="E924" s="79">
        <f>IF(OR($A924="",E$23=""),"",IF(COUNTIFS('AFA Rates'!$A$5:$A$1004,$A924,'AFA Rates'!$B$5:$B$1004,E$23,'AFA Rates'!$O$5:$O$1004,"&lt;&gt;Expired")&gt;0,"✓",IF(COUNTIFS('AFA Rates'!$A$5:$A$1004,$A924,'AFA Rates'!$B$5:$B$1004,E$23)&gt;0,"Exp","")))</f>
        <v/>
      </c>
      <c r="F924" s="79">
        <f>IF(OR($A924="",F$23=""),"",IF(COUNTIFS('AFA Rates'!$A$5:$A$1004,$A924,'AFA Rates'!$B$5:$B$1004,F$23,'AFA Rates'!$O$5:$O$1004,"&lt;&gt;Expired")&gt;0,"✓",IF(COUNTIFS('AFA Rates'!$A$5:$A$1004,$A924,'AFA Rates'!$B$5:$B$1004,F$23)&gt;0,"Exp","")))</f>
        <v/>
      </c>
      <c r="G924" s="79">
        <f>IF(OR($A924="",G$23=""),"",IF(COUNTIFS('AFA Rates'!$A$5:$A$1004,$A924,'AFA Rates'!$B$5:$B$1004,G$23,'AFA Rates'!$O$5:$O$1004,"&lt;&gt;Expired")&gt;0,"✓",IF(COUNTIFS('AFA Rates'!$A$5:$A$1004,$A924,'AFA Rates'!$B$5:$B$1004,G$23)&gt;0,"Exp","")))</f>
        <v/>
      </c>
      <c r="H924" s="79">
        <f>IF(OR($A924="",H$23=""),"",IF(COUNTIFS('AFA Rates'!$A$5:$A$1004,$A924,'AFA Rates'!$B$5:$B$1004,H$23,'AFA Rates'!$O$5:$O$1004,"&lt;&gt;Expired")&gt;0,"✓",IF(COUNTIFS('AFA Rates'!$A$5:$A$1004,$A924,'AFA Rates'!$B$5:$B$1004,H$23)&gt;0,"Exp","")))</f>
        <v/>
      </c>
      <c r="I924" s="79">
        <f>IF(OR($A924="",I$23=""),"",IF(COUNTIFS('AFA Rates'!$A$5:$A$1004,$A924,'AFA Rates'!$B$5:$B$1004,I$23,'AFA Rates'!$O$5:$O$1004,"&lt;&gt;Expired")&gt;0,"✓",IF(COUNTIFS('AFA Rates'!$A$5:$A$1004,$A924,'AFA Rates'!$B$5:$B$1004,I$23)&gt;0,"Exp","")))</f>
        <v/>
      </c>
      <c r="J924" s="79">
        <f>IF(OR($A924="",J$23=""),"",IF(COUNTIFS('AFA Rates'!$A$5:$A$1004,$A924,'AFA Rates'!$B$5:$B$1004,J$23,'AFA Rates'!$O$5:$O$1004,"&lt;&gt;Expired")&gt;0,"✓",IF(COUNTIFS('AFA Rates'!$A$5:$A$1004,$A924,'AFA Rates'!$B$5:$B$1004,J$23)&gt;0,"Exp","")))</f>
        <v/>
      </c>
      <c r="K924" s="79">
        <f>IF(OR($A924="",K$23=""),"",IF(COUNTIFS('AFA Rates'!$A$5:$A$1004,$A924,'AFA Rates'!$B$5:$B$1004,K$23,'AFA Rates'!$O$5:$O$1004,"&lt;&gt;Expired")&gt;0,"✓",IF(COUNTIFS('AFA Rates'!$A$5:$A$1004,$A924,'AFA Rates'!$B$5:$B$1004,K$23)&gt;0,"Exp","")))</f>
        <v/>
      </c>
      <c r="L924" s="79">
        <f>IF(OR($A924="",L$23=""),"",IF(COUNTIFS('AFA Rates'!$A$5:$A$1004,$A924,'AFA Rates'!$B$5:$B$1004,L$23,'AFA Rates'!$O$5:$O$1004,"&lt;&gt;Expired")&gt;0,"✓",IF(COUNTIFS('AFA Rates'!$A$5:$A$1004,$A924,'AFA Rates'!$B$5:$B$1004,L$23)&gt;0,"Exp","")))</f>
        <v/>
      </c>
      <c r="M924" s="79">
        <f>IF(OR($A924="",M$23=""),"",IF(COUNTIFS('AFA Rates'!$A$5:$A$1004,$A924,'AFA Rates'!$B$5:$B$1004,M$23,'AFA Rates'!$O$5:$O$1004,"&lt;&gt;Expired")&gt;0,"✓",IF(COUNTIFS('AFA Rates'!$A$5:$A$1004,$A924,'AFA Rates'!$B$5:$B$1004,M$23)&gt;0,"Exp","")))</f>
        <v/>
      </c>
    </row>
    <row r="925">
      <c r="A925" s="78">
        <f>IFERROR(INDEX(Firms!$A$5:$A$1004,MATCH(902,Firms!$V$5:$V$1004,0)),"")</f>
        <v/>
      </c>
      <c r="B925" s="79">
        <f>IF($A925="","",INDEX(Firms!$B$5:$B$1004,MATCH(902,Firms!$V$5:$V$1004,0)))</f>
        <v/>
      </c>
      <c r="C925" s="79">
        <f>IF($A925="","",COUNTIFS('AFA Rates'!$A$5:$A$1004,$A925,'AFA Rates'!$O$5:$O$1004,"&lt;&gt;Expired"))</f>
        <v/>
      </c>
      <c r="D925" s="79">
        <f>IF(OR($A925="",D$23=""),"",IF(COUNTIFS('AFA Rates'!$A$5:$A$1004,$A925,'AFA Rates'!$B$5:$B$1004,D$23,'AFA Rates'!$O$5:$O$1004,"&lt;&gt;Expired")&gt;0,"✓",IF(COUNTIFS('AFA Rates'!$A$5:$A$1004,$A925,'AFA Rates'!$B$5:$B$1004,D$23)&gt;0,"Exp","")))</f>
        <v/>
      </c>
      <c r="E925" s="79">
        <f>IF(OR($A925="",E$23=""),"",IF(COUNTIFS('AFA Rates'!$A$5:$A$1004,$A925,'AFA Rates'!$B$5:$B$1004,E$23,'AFA Rates'!$O$5:$O$1004,"&lt;&gt;Expired")&gt;0,"✓",IF(COUNTIFS('AFA Rates'!$A$5:$A$1004,$A925,'AFA Rates'!$B$5:$B$1004,E$23)&gt;0,"Exp","")))</f>
        <v/>
      </c>
      <c r="F925" s="79">
        <f>IF(OR($A925="",F$23=""),"",IF(COUNTIFS('AFA Rates'!$A$5:$A$1004,$A925,'AFA Rates'!$B$5:$B$1004,F$23,'AFA Rates'!$O$5:$O$1004,"&lt;&gt;Expired")&gt;0,"✓",IF(COUNTIFS('AFA Rates'!$A$5:$A$1004,$A925,'AFA Rates'!$B$5:$B$1004,F$23)&gt;0,"Exp","")))</f>
        <v/>
      </c>
      <c r="G925" s="79">
        <f>IF(OR($A925="",G$23=""),"",IF(COUNTIFS('AFA Rates'!$A$5:$A$1004,$A925,'AFA Rates'!$B$5:$B$1004,G$23,'AFA Rates'!$O$5:$O$1004,"&lt;&gt;Expired")&gt;0,"✓",IF(COUNTIFS('AFA Rates'!$A$5:$A$1004,$A925,'AFA Rates'!$B$5:$B$1004,G$23)&gt;0,"Exp","")))</f>
        <v/>
      </c>
      <c r="H925" s="79">
        <f>IF(OR($A925="",H$23=""),"",IF(COUNTIFS('AFA Rates'!$A$5:$A$1004,$A925,'AFA Rates'!$B$5:$B$1004,H$23,'AFA Rates'!$O$5:$O$1004,"&lt;&gt;Expired")&gt;0,"✓",IF(COUNTIFS('AFA Rates'!$A$5:$A$1004,$A925,'AFA Rates'!$B$5:$B$1004,H$23)&gt;0,"Exp","")))</f>
        <v/>
      </c>
      <c r="I925" s="79">
        <f>IF(OR($A925="",I$23=""),"",IF(COUNTIFS('AFA Rates'!$A$5:$A$1004,$A925,'AFA Rates'!$B$5:$B$1004,I$23,'AFA Rates'!$O$5:$O$1004,"&lt;&gt;Expired")&gt;0,"✓",IF(COUNTIFS('AFA Rates'!$A$5:$A$1004,$A925,'AFA Rates'!$B$5:$B$1004,I$23)&gt;0,"Exp","")))</f>
        <v/>
      </c>
      <c r="J925" s="79">
        <f>IF(OR($A925="",J$23=""),"",IF(COUNTIFS('AFA Rates'!$A$5:$A$1004,$A925,'AFA Rates'!$B$5:$B$1004,J$23,'AFA Rates'!$O$5:$O$1004,"&lt;&gt;Expired")&gt;0,"✓",IF(COUNTIFS('AFA Rates'!$A$5:$A$1004,$A925,'AFA Rates'!$B$5:$B$1004,J$23)&gt;0,"Exp","")))</f>
        <v/>
      </c>
      <c r="K925" s="79">
        <f>IF(OR($A925="",K$23=""),"",IF(COUNTIFS('AFA Rates'!$A$5:$A$1004,$A925,'AFA Rates'!$B$5:$B$1004,K$23,'AFA Rates'!$O$5:$O$1004,"&lt;&gt;Expired")&gt;0,"✓",IF(COUNTIFS('AFA Rates'!$A$5:$A$1004,$A925,'AFA Rates'!$B$5:$B$1004,K$23)&gt;0,"Exp","")))</f>
        <v/>
      </c>
      <c r="L925" s="79">
        <f>IF(OR($A925="",L$23=""),"",IF(COUNTIFS('AFA Rates'!$A$5:$A$1004,$A925,'AFA Rates'!$B$5:$B$1004,L$23,'AFA Rates'!$O$5:$O$1004,"&lt;&gt;Expired")&gt;0,"✓",IF(COUNTIFS('AFA Rates'!$A$5:$A$1004,$A925,'AFA Rates'!$B$5:$B$1004,L$23)&gt;0,"Exp","")))</f>
        <v/>
      </c>
      <c r="M925" s="79">
        <f>IF(OR($A925="",M$23=""),"",IF(COUNTIFS('AFA Rates'!$A$5:$A$1004,$A925,'AFA Rates'!$B$5:$B$1004,M$23,'AFA Rates'!$O$5:$O$1004,"&lt;&gt;Expired")&gt;0,"✓",IF(COUNTIFS('AFA Rates'!$A$5:$A$1004,$A925,'AFA Rates'!$B$5:$B$1004,M$23)&gt;0,"Exp","")))</f>
        <v/>
      </c>
    </row>
    <row r="926">
      <c r="A926" s="78">
        <f>IFERROR(INDEX(Firms!$A$5:$A$1004,MATCH(903,Firms!$V$5:$V$1004,0)),"")</f>
        <v/>
      </c>
      <c r="B926" s="79">
        <f>IF($A926="","",INDEX(Firms!$B$5:$B$1004,MATCH(903,Firms!$V$5:$V$1004,0)))</f>
        <v/>
      </c>
      <c r="C926" s="79">
        <f>IF($A926="","",COUNTIFS('AFA Rates'!$A$5:$A$1004,$A926,'AFA Rates'!$O$5:$O$1004,"&lt;&gt;Expired"))</f>
        <v/>
      </c>
      <c r="D926" s="79">
        <f>IF(OR($A926="",D$23=""),"",IF(COUNTIFS('AFA Rates'!$A$5:$A$1004,$A926,'AFA Rates'!$B$5:$B$1004,D$23,'AFA Rates'!$O$5:$O$1004,"&lt;&gt;Expired")&gt;0,"✓",IF(COUNTIFS('AFA Rates'!$A$5:$A$1004,$A926,'AFA Rates'!$B$5:$B$1004,D$23)&gt;0,"Exp","")))</f>
        <v/>
      </c>
      <c r="E926" s="79">
        <f>IF(OR($A926="",E$23=""),"",IF(COUNTIFS('AFA Rates'!$A$5:$A$1004,$A926,'AFA Rates'!$B$5:$B$1004,E$23,'AFA Rates'!$O$5:$O$1004,"&lt;&gt;Expired")&gt;0,"✓",IF(COUNTIFS('AFA Rates'!$A$5:$A$1004,$A926,'AFA Rates'!$B$5:$B$1004,E$23)&gt;0,"Exp","")))</f>
        <v/>
      </c>
      <c r="F926" s="79">
        <f>IF(OR($A926="",F$23=""),"",IF(COUNTIFS('AFA Rates'!$A$5:$A$1004,$A926,'AFA Rates'!$B$5:$B$1004,F$23,'AFA Rates'!$O$5:$O$1004,"&lt;&gt;Expired")&gt;0,"✓",IF(COUNTIFS('AFA Rates'!$A$5:$A$1004,$A926,'AFA Rates'!$B$5:$B$1004,F$23)&gt;0,"Exp","")))</f>
        <v/>
      </c>
      <c r="G926" s="79">
        <f>IF(OR($A926="",G$23=""),"",IF(COUNTIFS('AFA Rates'!$A$5:$A$1004,$A926,'AFA Rates'!$B$5:$B$1004,G$23,'AFA Rates'!$O$5:$O$1004,"&lt;&gt;Expired")&gt;0,"✓",IF(COUNTIFS('AFA Rates'!$A$5:$A$1004,$A926,'AFA Rates'!$B$5:$B$1004,G$23)&gt;0,"Exp","")))</f>
        <v/>
      </c>
      <c r="H926" s="79">
        <f>IF(OR($A926="",H$23=""),"",IF(COUNTIFS('AFA Rates'!$A$5:$A$1004,$A926,'AFA Rates'!$B$5:$B$1004,H$23,'AFA Rates'!$O$5:$O$1004,"&lt;&gt;Expired")&gt;0,"✓",IF(COUNTIFS('AFA Rates'!$A$5:$A$1004,$A926,'AFA Rates'!$B$5:$B$1004,H$23)&gt;0,"Exp","")))</f>
        <v/>
      </c>
      <c r="I926" s="79">
        <f>IF(OR($A926="",I$23=""),"",IF(COUNTIFS('AFA Rates'!$A$5:$A$1004,$A926,'AFA Rates'!$B$5:$B$1004,I$23,'AFA Rates'!$O$5:$O$1004,"&lt;&gt;Expired")&gt;0,"✓",IF(COUNTIFS('AFA Rates'!$A$5:$A$1004,$A926,'AFA Rates'!$B$5:$B$1004,I$23)&gt;0,"Exp","")))</f>
        <v/>
      </c>
      <c r="J926" s="79">
        <f>IF(OR($A926="",J$23=""),"",IF(COUNTIFS('AFA Rates'!$A$5:$A$1004,$A926,'AFA Rates'!$B$5:$B$1004,J$23,'AFA Rates'!$O$5:$O$1004,"&lt;&gt;Expired")&gt;0,"✓",IF(COUNTIFS('AFA Rates'!$A$5:$A$1004,$A926,'AFA Rates'!$B$5:$B$1004,J$23)&gt;0,"Exp","")))</f>
        <v/>
      </c>
      <c r="K926" s="79">
        <f>IF(OR($A926="",K$23=""),"",IF(COUNTIFS('AFA Rates'!$A$5:$A$1004,$A926,'AFA Rates'!$B$5:$B$1004,K$23,'AFA Rates'!$O$5:$O$1004,"&lt;&gt;Expired")&gt;0,"✓",IF(COUNTIFS('AFA Rates'!$A$5:$A$1004,$A926,'AFA Rates'!$B$5:$B$1004,K$23)&gt;0,"Exp","")))</f>
        <v/>
      </c>
      <c r="L926" s="79">
        <f>IF(OR($A926="",L$23=""),"",IF(COUNTIFS('AFA Rates'!$A$5:$A$1004,$A926,'AFA Rates'!$B$5:$B$1004,L$23,'AFA Rates'!$O$5:$O$1004,"&lt;&gt;Expired")&gt;0,"✓",IF(COUNTIFS('AFA Rates'!$A$5:$A$1004,$A926,'AFA Rates'!$B$5:$B$1004,L$23)&gt;0,"Exp","")))</f>
        <v/>
      </c>
      <c r="M926" s="79">
        <f>IF(OR($A926="",M$23=""),"",IF(COUNTIFS('AFA Rates'!$A$5:$A$1004,$A926,'AFA Rates'!$B$5:$B$1004,M$23,'AFA Rates'!$O$5:$O$1004,"&lt;&gt;Expired")&gt;0,"✓",IF(COUNTIFS('AFA Rates'!$A$5:$A$1004,$A926,'AFA Rates'!$B$5:$B$1004,M$23)&gt;0,"Exp","")))</f>
        <v/>
      </c>
    </row>
    <row r="927">
      <c r="A927" s="78">
        <f>IFERROR(INDEX(Firms!$A$5:$A$1004,MATCH(904,Firms!$V$5:$V$1004,0)),"")</f>
        <v/>
      </c>
      <c r="B927" s="79">
        <f>IF($A927="","",INDEX(Firms!$B$5:$B$1004,MATCH(904,Firms!$V$5:$V$1004,0)))</f>
        <v/>
      </c>
      <c r="C927" s="79">
        <f>IF($A927="","",COUNTIFS('AFA Rates'!$A$5:$A$1004,$A927,'AFA Rates'!$O$5:$O$1004,"&lt;&gt;Expired"))</f>
        <v/>
      </c>
      <c r="D927" s="79">
        <f>IF(OR($A927="",D$23=""),"",IF(COUNTIFS('AFA Rates'!$A$5:$A$1004,$A927,'AFA Rates'!$B$5:$B$1004,D$23,'AFA Rates'!$O$5:$O$1004,"&lt;&gt;Expired")&gt;0,"✓",IF(COUNTIFS('AFA Rates'!$A$5:$A$1004,$A927,'AFA Rates'!$B$5:$B$1004,D$23)&gt;0,"Exp","")))</f>
        <v/>
      </c>
      <c r="E927" s="79">
        <f>IF(OR($A927="",E$23=""),"",IF(COUNTIFS('AFA Rates'!$A$5:$A$1004,$A927,'AFA Rates'!$B$5:$B$1004,E$23,'AFA Rates'!$O$5:$O$1004,"&lt;&gt;Expired")&gt;0,"✓",IF(COUNTIFS('AFA Rates'!$A$5:$A$1004,$A927,'AFA Rates'!$B$5:$B$1004,E$23)&gt;0,"Exp","")))</f>
        <v/>
      </c>
      <c r="F927" s="79">
        <f>IF(OR($A927="",F$23=""),"",IF(COUNTIFS('AFA Rates'!$A$5:$A$1004,$A927,'AFA Rates'!$B$5:$B$1004,F$23,'AFA Rates'!$O$5:$O$1004,"&lt;&gt;Expired")&gt;0,"✓",IF(COUNTIFS('AFA Rates'!$A$5:$A$1004,$A927,'AFA Rates'!$B$5:$B$1004,F$23)&gt;0,"Exp","")))</f>
        <v/>
      </c>
      <c r="G927" s="79">
        <f>IF(OR($A927="",G$23=""),"",IF(COUNTIFS('AFA Rates'!$A$5:$A$1004,$A927,'AFA Rates'!$B$5:$B$1004,G$23,'AFA Rates'!$O$5:$O$1004,"&lt;&gt;Expired")&gt;0,"✓",IF(COUNTIFS('AFA Rates'!$A$5:$A$1004,$A927,'AFA Rates'!$B$5:$B$1004,G$23)&gt;0,"Exp","")))</f>
        <v/>
      </c>
      <c r="H927" s="79">
        <f>IF(OR($A927="",H$23=""),"",IF(COUNTIFS('AFA Rates'!$A$5:$A$1004,$A927,'AFA Rates'!$B$5:$B$1004,H$23,'AFA Rates'!$O$5:$O$1004,"&lt;&gt;Expired")&gt;0,"✓",IF(COUNTIFS('AFA Rates'!$A$5:$A$1004,$A927,'AFA Rates'!$B$5:$B$1004,H$23)&gt;0,"Exp","")))</f>
        <v/>
      </c>
      <c r="I927" s="79">
        <f>IF(OR($A927="",I$23=""),"",IF(COUNTIFS('AFA Rates'!$A$5:$A$1004,$A927,'AFA Rates'!$B$5:$B$1004,I$23,'AFA Rates'!$O$5:$O$1004,"&lt;&gt;Expired")&gt;0,"✓",IF(COUNTIFS('AFA Rates'!$A$5:$A$1004,$A927,'AFA Rates'!$B$5:$B$1004,I$23)&gt;0,"Exp","")))</f>
        <v/>
      </c>
      <c r="J927" s="79">
        <f>IF(OR($A927="",J$23=""),"",IF(COUNTIFS('AFA Rates'!$A$5:$A$1004,$A927,'AFA Rates'!$B$5:$B$1004,J$23,'AFA Rates'!$O$5:$O$1004,"&lt;&gt;Expired")&gt;0,"✓",IF(COUNTIFS('AFA Rates'!$A$5:$A$1004,$A927,'AFA Rates'!$B$5:$B$1004,J$23)&gt;0,"Exp","")))</f>
        <v/>
      </c>
      <c r="K927" s="79">
        <f>IF(OR($A927="",K$23=""),"",IF(COUNTIFS('AFA Rates'!$A$5:$A$1004,$A927,'AFA Rates'!$B$5:$B$1004,K$23,'AFA Rates'!$O$5:$O$1004,"&lt;&gt;Expired")&gt;0,"✓",IF(COUNTIFS('AFA Rates'!$A$5:$A$1004,$A927,'AFA Rates'!$B$5:$B$1004,K$23)&gt;0,"Exp","")))</f>
        <v/>
      </c>
      <c r="L927" s="79">
        <f>IF(OR($A927="",L$23=""),"",IF(COUNTIFS('AFA Rates'!$A$5:$A$1004,$A927,'AFA Rates'!$B$5:$B$1004,L$23,'AFA Rates'!$O$5:$O$1004,"&lt;&gt;Expired")&gt;0,"✓",IF(COUNTIFS('AFA Rates'!$A$5:$A$1004,$A927,'AFA Rates'!$B$5:$B$1004,L$23)&gt;0,"Exp","")))</f>
        <v/>
      </c>
      <c r="M927" s="79">
        <f>IF(OR($A927="",M$23=""),"",IF(COUNTIFS('AFA Rates'!$A$5:$A$1004,$A927,'AFA Rates'!$B$5:$B$1004,M$23,'AFA Rates'!$O$5:$O$1004,"&lt;&gt;Expired")&gt;0,"✓",IF(COUNTIFS('AFA Rates'!$A$5:$A$1004,$A927,'AFA Rates'!$B$5:$B$1004,M$23)&gt;0,"Exp","")))</f>
        <v/>
      </c>
    </row>
    <row r="928">
      <c r="A928" s="78">
        <f>IFERROR(INDEX(Firms!$A$5:$A$1004,MATCH(905,Firms!$V$5:$V$1004,0)),"")</f>
        <v/>
      </c>
      <c r="B928" s="79">
        <f>IF($A928="","",INDEX(Firms!$B$5:$B$1004,MATCH(905,Firms!$V$5:$V$1004,0)))</f>
        <v/>
      </c>
      <c r="C928" s="79">
        <f>IF($A928="","",COUNTIFS('AFA Rates'!$A$5:$A$1004,$A928,'AFA Rates'!$O$5:$O$1004,"&lt;&gt;Expired"))</f>
        <v/>
      </c>
      <c r="D928" s="79">
        <f>IF(OR($A928="",D$23=""),"",IF(COUNTIFS('AFA Rates'!$A$5:$A$1004,$A928,'AFA Rates'!$B$5:$B$1004,D$23,'AFA Rates'!$O$5:$O$1004,"&lt;&gt;Expired")&gt;0,"✓",IF(COUNTIFS('AFA Rates'!$A$5:$A$1004,$A928,'AFA Rates'!$B$5:$B$1004,D$23)&gt;0,"Exp","")))</f>
        <v/>
      </c>
      <c r="E928" s="79">
        <f>IF(OR($A928="",E$23=""),"",IF(COUNTIFS('AFA Rates'!$A$5:$A$1004,$A928,'AFA Rates'!$B$5:$B$1004,E$23,'AFA Rates'!$O$5:$O$1004,"&lt;&gt;Expired")&gt;0,"✓",IF(COUNTIFS('AFA Rates'!$A$5:$A$1004,$A928,'AFA Rates'!$B$5:$B$1004,E$23)&gt;0,"Exp","")))</f>
        <v/>
      </c>
      <c r="F928" s="79">
        <f>IF(OR($A928="",F$23=""),"",IF(COUNTIFS('AFA Rates'!$A$5:$A$1004,$A928,'AFA Rates'!$B$5:$B$1004,F$23,'AFA Rates'!$O$5:$O$1004,"&lt;&gt;Expired")&gt;0,"✓",IF(COUNTIFS('AFA Rates'!$A$5:$A$1004,$A928,'AFA Rates'!$B$5:$B$1004,F$23)&gt;0,"Exp","")))</f>
        <v/>
      </c>
      <c r="G928" s="79">
        <f>IF(OR($A928="",G$23=""),"",IF(COUNTIFS('AFA Rates'!$A$5:$A$1004,$A928,'AFA Rates'!$B$5:$B$1004,G$23,'AFA Rates'!$O$5:$O$1004,"&lt;&gt;Expired")&gt;0,"✓",IF(COUNTIFS('AFA Rates'!$A$5:$A$1004,$A928,'AFA Rates'!$B$5:$B$1004,G$23)&gt;0,"Exp","")))</f>
        <v/>
      </c>
      <c r="H928" s="79">
        <f>IF(OR($A928="",H$23=""),"",IF(COUNTIFS('AFA Rates'!$A$5:$A$1004,$A928,'AFA Rates'!$B$5:$B$1004,H$23,'AFA Rates'!$O$5:$O$1004,"&lt;&gt;Expired")&gt;0,"✓",IF(COUNTIFS('AFA Rates'!$A$5:$A$1004,$A928,'AFA Rates'!$B$5:$B$1004,H$23)&gt;0,"Exp","")))</f>
        <v/>
      </c>
      <c r="I928" s="79">
        <f>IF(OR($A928="",I$23=""),"",IF(COUNTIFS('AFA Rates'!$A$5:$A$1004,$A928,'AFA Rates'!$B$5:$B$1004,I$23,'AFA Rates'!$O$5:$O$1004,"&lt;&gt;Expired")&gt;0,"✓",IF(COUNTIFS('AFA Rates'!$A$5:$A$1004,$A928,'AFA Rates'!$B$5:$B$1004,I$23)&gt;0,"Exp","")))</f>
        <v/>
      </c>
      <c r="J928" s="79">
        <f>IF(OR($A928="",J$23=""),"",IF(COUNTIFS('AFA Rates'!$A$5:$A$1004,$A928,'AFA Rates'!$B$5:$B$1004,J$23,'AFA Rates'!$O$5:$O$1004,"&lt;&gt;Expired")&gt;0,"✓",IF(COUNTIFS('AFA Rates'!$A$5:$A$1004,$A928,'AFA Rates'!$B$5:$B$1004,J$23)&gt;0,"Exp","")))</f>
        <v/>
      </c>
      <c r="K928" s="79">
        <f>IF(OR($A928="",K$23=""),"",IF(COUNTIFS('AFA Rates'!$A$5:$A$1004,$A928,'AFA Rates'!$B$5:$B$1004,K$23,'AFA Rates'!$O$5:$O$1004,"&lt;&gt;Expired")&gt;0,"✓",IF(COUNTIFS('AFA Rates'!$A$5:$A$1004,$A928,'AFA Rates'!$B$5:$B$1004,K$23)&gt;0,"Exp","")))</f>
        <v/>
      </c>
      <c r="L928" s="79">
        <f>IF(OR($A928="",L$23=""),"",IF(COUNTIFS('AFA Rates'!$A$5:$A$1004,$A928,'AFA Rates'!$B$5:$B$1004,L$23,'AFA Rates'!$O$5:$O$1004,"&lt;&gt;Expired")&gt;0,"✓",IF(COUNTIFS('AFA Rates'!$A$5:$A$1004,$A928,'AFA Rates'!$B$5:$B$1004,L$23)&gt;0,"Exp","")))</f>
        <v/>
      </c>
      <c r="M928" s="79">
        <f>IF(OR($A928="",M$23=""),"",IF(COUNTIFS('AFA Rates'!$A$5:$A$1004,$A928,'AFA Rates'!$B$5:$B$1004,M$23,'AFA Rates'!$O$5:$O$1004,"&lt;&gt;Expired")&gt;0,"✓",IF(COUNTIFS('AFA Rates'!$A$5:$A$1004,$A928,'AFA Rates'!$B$5:$B$1004,M$23)&gt;0,"Exp","")))</f>
        <v/>
      </c>
    </row>
    <row r="929">
      <c r="A929" s="78">
        <f>IFERROR(INDEX(Firms!$A$5:$A$1004,MATCH(906,Firms!$V$5:$V$1004,0)),"")</f>
        <v/>
      </c>
      <c r="B929" s="79">
        <f>IF($A929="","",INDEX(Firms!$B$5:$B$1004,MATCH(906,Firms!$V$5:$V$1004,0)))</f>
        <v/>
      </c>
      <c r="C929" s="79">
        <f>IF($A929="","",COUNTIFS('AFA Rates'!$A$5:$A$1004,$A929,'AFA Rates'!$O$5:$O$1004,"&lt;&gt;Expired"))</f>
        <v/>
      </c>
      <c r="D929" s="79">
        <f>IF(OR($A929="",D$23=""),"",IF(COUNTIFS('AFA Rates'!$A$5:$A$1004,$A929,'AFA Rates'!$B$5:$B$1004,D$23,'AFA Rates'!$O$5:$O$1004,"&lt;&gt;Expired")&gt;0,"✓",IF(COUNTIFS('AFA Rates'!$A$5:$A$1004,$A929,'AFA Rates'!$B$5:$B$1004,D$23)&gt;0,"Exp","")))</f>
        <v/>
      </c>
      <c r="E929" s="79">
        <f>IF(OR($A929="",E$23=""),"",IF(COUNTIFS('AFA Rates'!$A$5:$A$1004,$A929,'AFA Rates'!$B$5:$B$1004,E$23,'AFA Rates'!$O$5:$O$1004,"&lt;&gt;Expired")&gt;0,"✓",IF(COUNTIFS('AFA Rates'!$A$5:$A$1004,$A929,'AFA Rates'!$B$5:$B$1004,E$23)&gt;0,"Exp","")))</f>
        <v/>
      </c>
      <c r="F929" s="79">
        <f>IF(OR($A929="",F$23=""),"",IF(COUNTIFS('AFA Rates'!$A$5:$A$1004,$A929,'AFA Rates'!$B$5:$B$1004,F$23,'AFA Rates'!$O$5:$O$1004,"&lt;&gt;Expired")&gt;0,"✓",IF(COUNTIFS('AFA Rates'!$A$5:$A$1004,$A929,'AFA Rates'!$B$5:$B$1004,F$23)&gt;0,"Exp","")))</f>
        <v/>
      </c>
      <c r="G929" s="79">
        <f>IF(OR($A929="",G$23=""),"",IF(COUNTIFS('AFA Rates'!$A$5:$A$1004,$A929,'AFA Rates'!$B$5:$B$1004,G$23,'AFA Rates'!$O$5:$O$1004,"&lt;&gt;Expired")&gt;0,"✓",IF(COUNTIFS('AFA Rates'!$A$5:$A$1004,$A929,'AFA Rates'!$B$5:$B$1004,G$23)&gt;0,"Exp","")))</f>
        <v/>
      </c>
      <c r="H929" s="79">
        <f>IF(OR($A929="",H$23=""),"",IF(COUNTIFS('AFA Rates'!$A$5:$A$1004,$A929,'AFA Rates'!$B$5:$B$1004,H$23,'AFA Rates'!$O$5:$O$1004,"&lt;&gt;Expired")&gt;0,"✓",IF(COUNTIFS('AFA Rates'!$A$5:$A$1004,$A929,'AFA Rates'!$B$5:$B$1004,H$23)&gt;0,"Exp","")))</f>
        <v/>
      </c>
      <c r="I929" s="79">
        <f>IF(OR($A929="",I$23=""),"",IF(COUNTIFS('AFA Rates'!$A$5:$A$1004,$A929,'AFA Rates'!$B$5:$B$1004,I$23,'AFA Rates'!$O$5:$O$1004,"&lt;&gt;Expired")&gt;0,"✓",IF(COUNTIFS('AFA Rates'!$A$5:$A$1004,$A929,'AFA Rates'!$B$5:$B$1004,I$23)&gt;0,"Exp","")))</f>
        <v/>
      </c>
      <c r="J929" s="79">
        <f>IF(OR($A929="",J$23=""),"",IF(COUNTIFS('AFA Rates'!$A$5:$A$1004,$A929,'AFA Rates'!$B$5:$B$1004,J$23,'AFA Rates'!$O$5:$O$1004,"&lt;&gt;Expired")&gt;0,"✓",IF(COUNTIFS('AFA Rates'!$A$5:$A$1004,$A929,'AFA Rates'!$B$5:$B$1004,J$23)&gt;0,"Exp","")))</f>
        <v/>
      </c>
      <c r="K929" s="79">
        <f>IF(OR($A929="",K$23=""),"",IF(COUNTIFS('AFA Rates'!$A$5:$A$1004,$A929,'AFA Rates'!$B$5:$B$1004,K$23,'AFA Rates'!$O$5:$O$1004,"&lt;&gt;Expired")&gt;0,"✓",IF(COUNTIFS('AFA Rates'!$A$5:$A$1004,$A929,'AFA Rates'!$B$5:$B$1004,K$23)&gt;0,"Exp","")))</f>
        <v/>
      </c>
      <c r="L929" s="79">
        <f>IF(OR($A929="",L$23=""),"",IF(COUNTIFS('AFA Rates'!$A$5:$A$1004,$A929,'AFA Rates'!$B$5:$B$1004,L$23,'AFA Rates'!$O$5:$O$1004,"&lt;&gt;Expired")&gt;0,"✓",IF(COUNTIFS('AFA Rates'!$A$5:$A$1004,$A929,'AFA Rates'!$B$5:$B$1004,L$23)&gt;0,"Exp","")))</f>
        <v/>
      </c>
      <c r="M929" s="79">
        <f>IF(OR($A929="",M$23=""),"",IF(COUNTIFS('AFA Rates'!$A$5:$A$1004,$A929,'AFA Rates'!$B$5:$B$1004,M$23,'AFA Rates'!$O$5:$O$1004,"&lt;&gt;Expired")&gt;0,"✓",IF(COUNTIFS('AFA Rates'!$A$5:$A$1004,$A929,'AFA Rates'!$B$5:$B$1004,M$23)&gt;0,"Exp","")))</f>
        <v/>
      </c>
    </row>
    <row r="930">
      <c r="A930" s="78">
        <f>IFERROR(INDEX(Firms!$A$5:$A$1004,MATCH(907,Firms!$V$5:$V$1004,0)),"")</f>
        <v/>
      </c>
      <c r="B930" s="79">
        <f>IF($A930="","",INDEX(Firms!$B$5:$B$1004,MATCH(907,Firms!$V$5:$V$1004,0)))</f>
        <v/>
      </c>
      <c r="C930" s="79">
        <f>IF($A930="","",COUNTIFS('AFA Rates'!$A$5:$A$1004,$A930,'AFA Rates'!$O$5:$O$1004,"&lt;&gt;Expired"))</f>
        <v/>
      </c>
      <c r="D930" s="79">
        <f>IF(OR($A930="",D$23=""),"",IF(COUNTIFS('AFA Rates'!$A$5:$A$1004,$A930,'AFA Rates'!$B$5:$B$1004,D$23,'AFA Rates'!$O$5:$O$1004,"&lt;&gt;Expired")&gt;0,"✓",IF(COUNTIFS('AFA Rates'!$A$5:$A$1004,$A930,'AFA Rates'!$B$5:$B$1004,D$23)&gt;0,"Exp","")))</f>
        <v/>
      </c>
      <c r="E930" s="79">
        <f>IF(OR($A930="",E$23=""),"",IF(COUNTIFS('AFA Rates'!$A$5:$A$1004,$A930,'AFA Rates'!$B$5:$B$1004,E$23,'AFA Rates'!$O$5:$O$1004,"&lt;&gt;Expired")&gt;0,"✓",IF(COUNTIFS('AFA Rates'!$A$5:$A$1004,$A930,'AFA Rates'!$B$5:$B$1004,E$23)&gt;0,"Exp","")))</f>
        <v/>
      </c>
      <c r="F930" s="79">
        <f>IF(OR($A930="",F$23=""),"",IF(COUNTIFS('AFA Rates'!$A$5:$A$1004,$A930,'AFA Rates'!$B$5:$B$1004,F$23,'AFA Rates'!$O$5:$O$1004,"&lt;&gt;Expired")&gt;0,"✓",IF(COUNTIFS('AFA Rates'!$A$5:$A$1004,$A930,'AFA Rates'!$B$5:$B$1004,F$23)&gt;0,"Exp","")))</f>
        <v/>
      </c>
      <c r="G930" s="79">
        <f>IF(OR($A930="",G$23=""),"",IF(COUNTIFS('AFA Rates'!$A$5:$A$1004,$A930,'AFA Rates'!$B$5:$B$1004,G$23,'AFA Rates'!$O$5:$O$1004,"&lt;&gt;Expired")&gt;0,"✓",IF(COUNTIFS('AFA Rates'!$A$5:$A$1004,$A930,'AFA Rates'!$B$5:$B$1004,G$23)&gt;0,"Exp","")))</f>
        <v/>
      </c>
      <c r="H930" s="79">
        <f>IF(OR($A930="",H$23=""),"",IF(COUNTIFS('AFA Rates'!$A$5:$A$1004,$A930,'AFA Rates'!$B$5:$B$1004,H$23,'AFA Rates'!$O$5:$O$1004,"&lt;&gt;Expired")&gt;0,"✓",IF(COUNTIFS('AFA Rates'!$A$5:$A$1004,$A930,'AFA Rates'!$B$5:$B$1004,H$23)&gt;0,"Exp","")))</f>
        <v/>
      </c>
      <c r="I930" s="79">
        <f>IF(OR($A930="",I$23=""),"",IF(COUNTIFS('AFA Rates'!$A$5:$A$1004,$A930,'AFA Rates'!$B$5:$B$1004,I$23,'AFA Rates'!$O$5:$O$1004,"&lt;&gt;Expired")&gt;0,"✓",IF(COUNTIFS('AFA Rates'!$A$5:$A$1004,$A930,'AFA Rates'!$B$5:$B$1004,I$23)&gt;0,"Exp","")))</f>
        <v/>
      </c>
      <c r="J930" s="79">
        <f>IF(OR($A930="",J$23=""),"",IF(COUNTIFS('AFA Rates'!$A$5:$A$1004,$A930,'AFA Rates'!$B$5:$B$1004,J$23,'AFA Rates'!$O$5:$O$1004,"&lt;&gt;Expired")&gt;0,"✓",IF(COUNTIFS('AFA Rates'!$A$5:$A$1004,$A930,'AFA Rates'!$B$5:$B$1004,J$23)&gt;0,"Exp","")))</f>
        <v/>
      </c>
      <c r="K930" s="79">
        <f>IF(OR($A930="",K$23=""),"",IF(COUNTIFS('AFA Rates'!$A$5:$A$1004,$A930,'AFA Rates'!$B$5:$B$1004,K$23,'AFA Rates'!$O$5:$O$1004,"&lt;&gt;Expired")&gt;0,"✓",IF(COUNTIFS('AFA Rates'!$A$5:$A$1004,$A930,'AFA Rates'!$B$5:$B$1004,K$23)&gt;0,"Exp","")))</f>
        <v/>
      </c>
      <c r="L930" s="79">
        <f>IF(OR($A930="",L$23=""),"",IF(COUNTIFS('AFA Rates'!$A$5:$A$1004,$A930,'AFA Rates'!$B$5:$B$1004,L$23,'AFA Rates'!$O$5:$O$1004,"&lt;&gt;Expired")&gt;0,"✓",IF(COUNTIFS('AFA Rates'!$A$5:$A$1004,$A930,'AFA Rates'!$B$5:$B$1004,L$23)&gt;0,"Exp","")))</f>
        <v/>
      </c>
      <c r="M930" s="79">
        <f>IF(OR($A930="",M$23=""),"",IF(COUNTIFS('AFA Rates'!$A$5:$A$1004,$A930,'AFA Rates'!$B$5:$B$1004,M$23,'AFA Rates'!$O$5:$O$1004,"&lt;&gt;Expired")&gt;0,"✓",IF(COUNTIFS('AFA Rates'!$A$5:$A$1004,$A930,'AFA Rates'!$B$5:$B$1004,M$23)&gt;0,"Exp","")))</f>
        <v/>
      </c>
    </row>
    <row r="931">
      <c r="A931" s="78">
        <f>IFERROR(INDEX(Firms!$A$5:$A$1004,MATCH(908,Firms!$V$5:$V$1004,0)),"")</f>
        <v/>
      </c>
      <c r="B931" s="79">
        <f>IF($A931="","",INDEX(Firms!$B$5:$B$1004,MATCH(908,Firms!$V$5:$V$1004,0)))</f>
        <v/>
      </c>
      <c r="C931" s="79">
        <f>IF($A931="","",COUNTIFS('AFA Rates'!$A$5:$A$1004,$A931,'AFA Rates'!$O$5:$O$1004,"&lt;&gt;Expired"))</f>
        <v/>
      </c>
      <c r="D931" s="79">
        <f>IF(OR($A931="",D$23=""),"",IF(COUNTIFS('AFA Rates'!$A$5:$A$1004,$A931,'AFA Rates'!$B$5:$B$1004,D$23,'AFA Rates'!$O$5:$O$1004,"&lt;&gt;Expired")&gt;0,"✓",IF(COUNTIFS('AFA Rates'!$A$5:$A$1004,$A931,'AFA Rates'!$B$5:$B$1004,D$23)&gt;0,"Exp","")))</f>
        <v/>
      </c>
      <c r="E931" s="79">
        <f>IF(OR($A931="",E$23=""),"",IF(COUNTIFS('AFA Rates'!$A$5:$A$1004,$A931,'AFA Rates'!$B$5:$B$1004,E$23,'AFA Rates'!$O$5:$O$1004,"&lt;&gt;Expired")&gt;0,"✓",IF(COUNTIFS('AFA Rates'!$A$5:$A$1004,$A931,'AFA Rates'!$B$5:$B$1004,E$23)&gt;0,"Exp","")))</f>
        <v/>
      </c>
      <c r="F931" s="79">
        <f>IF(OR($A931="",F$23=""),"",IF(COUNTIFS('AFA Rates'!$A$5:$A$1004,$A931,'AFA Rates'!$B$5:$B$1004,F$23,'AFA Rates'!$O$5:$O$1004,"&lt;&gt;Expired")&gt;0,"✓",IF(COUNTIFS('AFA Rates'!$A$5:$A$1004,$A931,'AFA Rates'!$B$5:$B$1004,F$23)&gt;0,"Exp","")))</f>
        <v/>
      </c>
      <c r="G931" s="79">
        <f>IF(OR($A931="",G$23=""),"",IF(COUNTIFS('AFA Rates'!$A$5:$A$1004,$A931,'AFA Rates'!$B$5:$B$1004,G$23,'AFA Rates'!$O$5:$O$1004,"&lt;&gt;Expired")&gt;0,"✓",IF(COUNTIFS('AFA Rates'!$A$5:$A$1004,$A931,'AFA Rates'!$B$5:$B$1004,G$23)&gt;0,"Exp","")))</f>
        <v/>
      </c>
      <c r="H931" s="79">
        <f>IF(OR($A931="",H$23=""),"",IF(COUNTIFS('AFA Rates'!$A$5:$A$1004,$A931,'AFA Rates'!$B$5:$B$1004,H$23,'AFA Rates'!$O$5:$O$1004,"&lt;&gt;Expired")&gt;0,"✓",IF(COUNTIFS('AFA Rates'!$A$5:$A$1004,$A931,'AFA Rates'!$B$5:$B$1004,H$23)&gt;0,"Exp","")))</f>
        <v/>
      </c>
      <c r="I931" s="79">
        <f>IF(OR($A931="",I$23=""),"",IF(COUNTIFS('AFA Rates'!$A$5:$A$1004,$A931,'AFA Rates'!$B$5:$B$1004,I$23,'AFA Rates'!$O$5:$O$1004,"&lt;&gt;Expired")&gt;0,"✓",IF(COUNTIFS('AFA Rates'!$A$5:$A$1004,$A931,'AFA Rates'!$B$5:$B$1004,I$23)&gt;0,"Exp","")))</f>
        <v/>
      </c>
      <c r="J931" s="79">
        <f>IF(OR($A931="",J$23=""),"",IF(COUNTIFS('AFA Rates'!$A$5:$A$1004,$A931,'AFA Rates'!$B$5:$B$1004,J$23,'AFA Rates'!$O$5:$O$1004,"&lt;&gt;Expired")&gt;0,"✓",IF(COUNTIFS('AFA Rates'!$A$5:$A$1004,$A931,'AFA Rates'!$B$5:$B$1004,J$23)&gt;0,"Exp","")))</f>
        <v/>
      </c>
      <c r="K931" s="79">
        <f>IF(OR($A931="",K$23=""),"",IF(COUNTIFS('AFA Rates'!$A$5:$A$1004,$A931,'AFA Rates'!$B$5:$B$1004,K$23,'AFA Rates'!$O$5:$O$1004,"&lt;&gt;Expired")&gt;0,"✓",IF(COUNTIFS('AFA Rates'!$A$5:$A$1004,$A931,'AFA Rates'!$B$5:$B$1004,K$23)&gt;0,"Exp","")))</f>
        <v/>
      </c>
      <c r="L931" s="79">
        <f>IF(OR($A931="",L$23=""),"",IF(COUNTIFS('AFA Rates'!$A$5:$A$1004,$A931,'AFA Rates'!$B$5:$B$1004,L$23,'AFA Rates'!$O$5:$O$1004,"&lt;&gt;Expired")&gt;0,"✓",IF(COUNTIFS('AFA Rates'!$A$5:$A$1004,$A931,'AFA Rates'!$B$5:$B$1004,L$23)&gt;0,"Exp","")))</f>
        <v/>
      </c>
      <c r="M931" s="79">
        <f>IF(OR($A931="",M$23=""),"",IF(COUNTIFS('AFA Rates'!$A$5:$A$1004,$A931,'AFA Rates'!$B$5:$B$1004,M$23,'AFA Rates'!$O$5:$O$1004,"&lt;&gt;Expired")&gt;0,"✓",IF(COUNTIFS('AFA Rates'!$A$5:$A$1004,$A931,'AFA Rates'!$B$5:$B$1004,M$23)&gt;0,"Exp","")))</f>
        <v/>
      </c>
    </row>
    <row r="932">
      <c r="A932" s="78">
        <f>IFERROR(INDEX(Firms!$A$5:$A$1004,MATCH(909,Firms!$V$5:$V$1004,0)),"")</f>
        <v/>
      </c>
      <c r="B932" s="79">
        <f>IF($A932="","",INDEX(Firms!$B$5:$B$1004,MATCH(909,Firms!$V$5:$V$1004,0)))</f>
        <v/>
      </c>
      <c r="C932" s="79">
        <f>IF($A932="","",COUNTIFS('AFA Rates'!$A$5:$A$1004,$A932,'AFA Rates'!$O$5:$O$1004,"&lt;&gt;Expired"))</f>
        <v/>
      </c>
      <c r="D932" s="79">
        <f>IF(OR($A932="",D$23=""),"",IF(COUNTIFS('AFA Rates'!$A$5:$A$1004,$A932,'AFA Rates'!$B$5:$B$1004,D$23,'AFA Rates'!$O$5:$O$1004,"&lt;&gt;Expired")&gt;0,"✓",IF(COUNTIFS('AFA Rates'!$A$5:$A$1004,$A932,'AFA Rates'!$B$5:$B$1004,D$23)&gt;0,"Exp","")))</f>
        <v/>
      </c>
      <c r="E932" s="79">
        <f>IF(OR($A932="",E$23=""),"",IF(COUNTIFS('AFA Rates'!$A$5:$A$1004,$A932,'AFA Rates'!$B$5:$B$1004,E$23,'AFA Rates'!$O$5:$O$1004,"&lt;&gt;Expired")&gt;0,"✓",IF(COUNTIFS('AFA Rates'!$A$5:$A$1004,$A932,'AFA Rates'!$B$5:$B$1004,E$23)&gt;0,"Exp","")))</f>
        <v/>
      </c>
      <c r="F932" s="79">
        <f>IF(OR($A932="",F$23=""),"",IF(COUNTIFS('AFA Rates'!$A$5:$A$1004,$A932,'AFA Rates'!$B$5:$B$1004,F$23,'AFA Rates'!$O$5:$O$1004,"&lt;&gt;Expired")&gt;0,"✓",IF(COUNTIFS('AFA Rates'!$A$5:$A$1004,$A932,'AFA Rates'!$B$5:$B$1004,F$23)&gt;0,"Exp","")))</f>
        <v/>
      </c>
      <c r="G932" s="79">
        <f>IF(OR($A932="",G$23=""),"",IF(COUNTIFS('AFA Rates'!$A$5:$A$1004,$A932,'AFA Rates'!$B$5:$B$1004,G$23,'AFA Rates'!$O$5:$O$1004,"&lt;&gt;Expired")&gt;0,"✓",IF(COUNTIFS('AFA Rates'!$A$5:$A$1004,$A932,'AFA Rates'!$B$5:$B$1004,G$23)&gt;0,"Exp","")))</f>
        <v/>
      </c>
      <c r="H932" s="79">
        <f>IF(OR($A932="",H$23=""),"",IF(COUNTIFS('AFA Rates'!$A$5:$A$1004,$A932,'AFA Rates'!$B$5:$B$1004,H$23,'AFA Rates'!$O$5:$O$1004,"&lt;&gt;Expired")&gt;0,"✓",IF(COUNTIFS('AFA Rates'!$A$5:$A$1004,$A932,'AFA Rates'!$B$5:$B$1004,H$23)&gt;0,"Exp","")))</f>
        <v/>
      </c>
      <c r="I932" s="79">
        <f>IF(OR($A932="",I$23=""),"",IF(COUNTIFS('AFA Rates'!$A$5:$A$1004,$A932,'AFA Rates'!$B$5:$B$1004,I$23,'AFA Rates'!$O$5:$O$1004,"&lt;&gt;Expired")&gt;0,"✓",IF(COUNTIFS('AFA Rates'!$A$5:$A$1004,$A932,'AFA Rates'!$B$5:$B$1004,I$23)&gt;0,"Exp","")))</f>
        <v/>
      </c>
      <c r="J932" s="79">
        <f>IF(OR($A932="",J$23=""),"",IF(COUNTIFS('AFA Rates'!$A$5:$A$1004,$A932,'AFA Rates'!$B$5:$B$1004,J$23,'AFA Rates'!$O$5:$O$1004,"&lt;&gt;Expired")&gt;0,"✓",IF(COUNTIFS('AFA Rates'!$A$5:$A$1004,$A932,'AFA Rates'!$B$5:$B$1004,J$23)&gt;0,"Exp","")))</f>
        <v/>
      </c>
      <c r="K932" s="79">
        <f>IF(OR($A932="",K$23=""),"",IF(COUNTIFS('AFA Rates'!$A$5:$A$1004,$A932,'AFA Rates'!$B$5:$B$1004,K$23,'AFA Rates'!$O$5:$O$1004,"&lt;&gt;Expired")&gt;0,"✓",IF(COUNTIFS('AFA Rates'!$A$5:$A$1004,$A932,'AFA Rates'!$B$5:$B$1004,K$23)&gt;0,"Exp","")))</f>
        <v/>
      </c>
      <c r="L932" s="79">
        <f>IF(OR($A932="",L$23=""),"",IF(COUNTIFS('AFA Rates'!$A$5:$A$1004,$A932,'AFA Rates'!$B$5:$B$1004,L$23,'AFA Rates'!$O$5:$O$1004,"&lt;&gt;Expired")&gt;0,"✓",IF(COUNTIFS('AFA Rates'!$A$5:$A$1004,$A932,'AFA Rates'!$B$5:$B$1004,L$23)&gt;0,"Exp","")))</f>
        <v/>
      </c>
      <c r="M932" s="79">
        <f>IF(OR($A932="",M$23=""),"",IF(COUNTIFS('AFA Rates'!$A$5:$A$1004,$A932,'AFA Rates'!$B$5:$B$1004,M$23,'AFA Rates'!$O$5:$O$1004,"&lt;&gt;Expired")&gt;0,"✓",IF(COUNTIFS('AFA Rates'!$A$5:$A$1004,$A932,'AFA Rates'!$B$5:$B$1004,M$23)&gt;0,"Exp","")))</f>
        <v/>
      </c>
    </row>
    <row r="933">
      <c r="A933" s="78">
        <f>IFERROR(INDEX(Firms!$A$5:$A$1004,MATCH(910,Firms!$V$5:$V$1004,0)),"")</f>
        <v/>
      </c>
      <c r="B933" s="79">
        <f>IF($A933="","",INDEX(Firms!$B$5:$B$1004,MATCH(910,Firms!$V$5:$V$1004,0)))</f>
        <v/>
      </c>
      <c r="C933" s="79">
        <f>IF($A933="","",COUNTIFS('AFA Rates'!$A$5:$A$1004,$A933,'AFA Rates'!$O$5:$O$1004,"&lt;&gt;Expired"))</f>
        <v/>
      </c>
      <c r="D933" s="79">
        <f>IF(OR($A933="",D$23=""),"",IF(COUNTIFS('AFA Rates'!$A$5:$A$1004,$A933,'AFA Rates'!$B$5:$B$1004,D$23,'AFA Rates'!$O$5:$O$1004,"&lt;&gt;Expired")&gt;0,"✓",IF(COUNTIFS('AFA Rates'!$A$5:$A$1004,$A933,'AFA Rates'!$B$5:$B$1004,D$23)&gt;0,"Exp","")))</f>
        <v/>
      </c>
      <c r="E933" s="79">
        <f>IF(OR($A933="",E$23=""),"",IF(COUNTIFS('AFA Rates'!$A$5:$A$1004,$A933,'AFA Rates'!$B$5:$B$1004,E$23,'AFA Rates'!$O$5:$O$1004,"&lt;&gt;Expired")&gt;0,"✓",IF(COUNTIFS('AFA Rates'!$A$5:$A$1004,$A933,'AFA Rates'!$B$5:$B$1004,E$23)&gt;0,"Exp","")))</f>
        <v/>
      </c>
      <c r="F933" s="79">
        <f>IF(OR($A933="",F$23=""),"",IF(COUNTIFS('AFA Rates'!$A$5:$A$1004,$A933,'AFA Rates'!$B$5:$B$1004,F$23,'AFA Rates'!$O$5:$O$1004,"&lt;&gt;Expired")&gt;0,"✓",IF(COUNTIFS('AFA Rates'!$A$5:$A$1004,$A933,'AFA Rates'!$B$5:$B$1004,F$23)&gt;0,"Exp","")))</f>
        <v/>
      </c>
      <c r="G933" s="79">
        <f>IF(OR($A933="",G$23=""),"",IF(COUNTIFS('AFA Rates'!$A$5:$A$1004,$A933,'AFA Rates'!$B$5:$B$1004,G$23,'AFA Rates'!$O$5:$O$1004,"&lt;&gt;Expired")&gt;0,"✓",IF(COUNTIFS('AFA Rates'!$A$5:$A$1004,$A933,'AFA Rates'!$B$5:$B$1004,G$23)&gt;0,"Exp","")))</f>
        <v/>
      </c>
      <c r="H933" s="79">
        <f>IF(OR($A933="",H$23=""),"",IF(COUNTIFS('AFA Rates'!$A$5:$A$1004,$A933,'AFA Rates'!$B$5:$B$1004,H$23,'AFA Rates'!$O$5:$O$1004,"&lt;&gt;Expired")&gt;0,"✓",IF(COUNTIFS('AFA Rates'!$A$5:$A$1004,$A933,'AFA Rates'!$B$5:$B$1004,H$23)&gt;0,"Exp","")))</f>
        <v/>
      </c>
      <c r="I933" s="79">
        <f>IF(OR($A933="",I$23=""),"",IF(COUNTIFS('AFA Rates'!$A$5:$A$1004,$A933,'AFA Rates'!$B$5:$B$1004,I$23,'AFA Rates'!$O$5:$O$1004,"&lt;&gt;Expired")&gt;0,"✓",IF(COUNTIFS('AFA Rates'!$A$5:$A$1004,$A933,'AFA Rates'!$B$5:$B$1004,I$23)&gt;0,"Exp","")))</f>
        <v/>
      </c>
      <c r="J933" s="79">
        <f>IF(OR($A933="",J$23=""),"",IF(COUNTIFS('AFA Rates'!$A$5:$A$1004,$A933,'AFA Rates'!$B$5:$B$1004,J$23,'AFA Rates'!$O$5:$O$1004,"&lt;&gt;Expired")&gt;0,"✓",IF(COUNTIFS('AFA Rates'!$A$5:$A$1004,$A933,'AFA Rates'!$B$5:$B$1004,J$23)&gt;0,"Exp","")))</f>
        <v/>
      </c>
      <c r="K933" s="79">
        <f>IF(OR($A933="",K$23=""),"",IF(COUNTIFS('AFA Rates'!$A$5:$A$1004,$A933,'AFA Rates'!$B$5:$B$1004,K$23,'AFA Rates'!$O$5:$O$1004,"&lt;&gt;Expired")&gt;0,"✓",IF(COUNTIFS('AFA Rates'!$A$5:$A$1004,$A933,'AFA Rates'!$B$5:$B$1004,K$23)&gt;0,"Exp","")))</f>
        <v/>
      </c>
      <c r="L933" s="79">
        <f>IF(OR($A933="",L$23=""),"",IF(COUNTIFS('AFA Rates'!$A$5:$A$1004,$A933,'AFA Rates'!$B$5:$B$1004,L$23,'AFA Rates'!$O$5:$O$1004,"&lt;&gt;Expired")&gt;0,"✓",IF(COUNTIFS('AFA Rates'!$A$5:$A$1004,$A933,'AFA Rates'!$B$5:$B$1004,L$23)&gt;0,"Exp","")))</f>
        <v/>
      </c>
      <c r="M933" s="79">
        <f>IF(OR($A933="",M$23=""),"",IF(COUNTIFS('AFA Rates'!$A$5:$A$1004,$A933,'AFA Rates'!$B$5:$B$1004,M$23,'AFA Rates'!$O$5:$O$1004,"&lt;&gt;Expired")&gt;0,"✓",IF(COUNTIFS('AFA Rates'!$A$5:$A$1004,$A933,'AFA Rates'!$B$5:$B$1004,M$23)&gt;0,"Exp","")))</f>
        <v/>
      </c>
    </row>
    <row r="934">
      <c r="A934" s="78">
        <f>IFERROR(INDEX(Firms!$A$5:$A$1004,MATCH(911,Firms!$V$5:$V$1004,0)),"")</f>
        <v/>
      </c>
      <c r="B934" s="79">
        <f>IF($A934="","",INDEX(Firms!$B$5:$B$1004,MATCH(911,Firms!$V$5:$V$1004,0)))</f>
        <v/>
      </c>
      <c r="C934" s="79">
        <f>IF($A934="","",COUNTIFS('AFA Rates'!$A$5:$A$1004,$A934,'AFA Rates'!$O$5:$O$1004,"&lt;&gt;Expired"))</f>
        <v/>
      </c>
      <c r="D934" s="79">
        <f>IF(OR($A934="",D$23=""),"",IF(COUNTIFS('AFA Rates'!$A$5:$A$1004,$A934,'AFA Rates'!$B$5:$B$1004,D$23,'AFA Rates'!$O$5:$O$1004,"&lt;&gt;Expired")&gt;0,"✓",IF(COUNTIFS('AFA Rates'!$A$5:$A$1004,$A934,'AFA Rates'!$B$5:$B$1004,D$23)&gt;0,"Exp","")))</f>
        <v/>
      </c>
      <c r="E934" s="79">
        <f>IF(OR($A934="",E$23=""),"",IF(COUNTIFS('AFA Rates'!$A$5:$A$1004,$A934,'AFA Rates'!$B$5:$B$1004,E$23,'AFA Rates'!$O$5:$O$1004,"&lt;&gt;Expired")&gt;0,"✓",IF(COUNTIFS('AFA Rates'!$A$5:$A$1004,$A934,'AFA Rates'!$B$5:$B$1004,E$23)&gt;0,"Exp","")))</f>
        <v/>
      </c>
      <c r="F934" s="79">
        <f>IF(OR($A934="",F$23=""),"",IF(COUNTIFS('AFA Rates'!$A$5:$A$1004,$A934,'AFA Rates'!$B$5:$B$1004,F$23,'AFA Rates'!$O$5:$O$1004,"&lt;&gt;Expired")&gt;0,"✓",IF(COUNTIFS('AFA Rates'!$A$5:$A$1004,$A934,'AFA Rates'!$B$5:$B$1004,F$23)&gt;0,"Exp","")))</f>
        <v/>
      </c>
      <c r="G934" s="79">
        <f>IF(OR($A934="",G$23=""),"",IF(COUNTIFS('AFA Rates'!$A$5:$A$1004,$A934,'AFA Rates'!$B$5:$B$1004,G$23,'AFA Rates'!$O$5:$O$1004,"&lt;&gt;Expired")&gt;0,"✓",IF(COUNTIFS('AFA Rates'!$A$5:$A$1004,$A934,'AFA Rates'!$B$5:$B$1004,G$23)&gt;0,"Exp","")))</f>
        <v/>
      </c>
      <c r="H934" s="79">
        <f>IF(OR($A934="",H$23=""),"",IF(COUNTIFS('AFA Rates'!$A$5:$A$1004,$A934,'AFA Rates'!$B$5:$B$1004,H$23,'AFA Rates'!$O$5:$O$1004,"&lt;&gt;Expired")&gt;0,"✓",IF(COUNTIFS('AFA Rates'!$A$5:$A$1004,$A934,'AFA Rates'!$B$5:$B$1004,H$23)&gt;0,"Exp","")))</f>
        <v/>
      </c>
      <c r="I934" s="79">
        <f>IF(OR($A934="",I$23=""),"",IF(COUNTIFS('AFA Rates'!$A$5:$A$1004,$A934,'AFA Rates'!$B$5:$B$1004,I$23,'AFA Rates'!$O$5:$O$1004,"&lt;&gt;Expired")&gt;0,"✓",IF(COUNTIFS('AFA Rates'!$A$5:$A$1004,$A934,'AFA Rates'!$B$5:$B$1004,I$23)&gt;0,"Exp","")))</f>
        <v/>
      </c>
      <c r="J934" s="79">
        <f>IF(OR($A934="",J$23=""),"",IF(COUNTIFS('AFA Rates'!$A$5:$A$1004,$A934,'AFA Rates'!$B$5:$B$1004,J$23,'AFA Rates'!$O$5:$O$1004,"&lt;&gt;Expired")&gt;0,"✓",IF(COUNTIFS('AFA Rates'!$A$5:$A$1004,$A934,'AFA Rates'!$B$5:$B$1004,J$23)&gt;0,"Exp","")))</f>
        <v/>
      </c>
      <c r="K934" s="79">
        <f>IF(OR($A934="",K$23=""),"",IF(COUNTIFS('AFA Rates'!$A$5:$A$1004,$A934,'AFA Rates'!$B$5:$B$1004,K$23,'AFA Rates'!$O$5:$O$1004,"&lt;&gt;Expired")&gt;0,"✓",IF(COUNTIFS('AFA Rates'!$A$5:$A$1004,$A934,'AFA Rates'!$B$5:$B$1004,K$23)&gt;0,"Exp","")))</f>
        <v/>
      </c>
      <c r="L934" s="79">
        <f>IF(OR($A934="",L$23=""),"",IF(COUNTIFS('AFA Rates'!$A$5:$A$1004,$A934,'AFA Rates'!$B$5:$B$1004,L$23,'AFA Rates'!$O$5:$O$1004,"&lt;&gt;Expired")&gt;0,"✓",IF(COUNTIFS('AFA Rates'!$A$5:$A$1004,$A934,'AFA Rates'!$B$5:$B$1004,L$23)&gt;0,"Exp","")))</f>
        <v/>
      </c>
      <c r="M934" s="79">
        <f>IF(OR($A934="",M$23=""),"",IF(COUNTIFS('AFA Rates'!$A$5:$A$1004,$A934,'AFA Rates'!$B$5:$B$1004,M$23,'AFA Rates'!$O$5:$O$1004,"&lt;&gt;Expired")&gt;0,"✓",IF(COUNTIFS('AFA Rates'!$A$5:$A$1004,$A934,'AFA Rates'!$B$5:$B$1004,M$23)&gt;0,"Exp","")))</f>
        <v/>
      </c>
    </row>
    <row r="935">
      <c r="A935" s="78">
        <f>IFERROR(INDEX(Firms!$A$5:$A$1004,MATCH(912,Firms!$V$5:$V$1004,0)),"")</f>
        <v/>
      </c>
      <c r="B935" s="79">
        <f>IF($A935="","",INDEX(Firms!$B$5:$B$1004,MATCH(912,Firms!$V$5:$V$1004,0)))</f>
        <v/>
      </c>
      <c r="C935" s="79">
        <f>IF($A935="","",COUNTIFS('AFA Rates'!$A$5:$A$1004,$A935,'AFA Rates'!$O$5:$O$1004,"&lt;&gt;Expired"))</f>
        <v/>
      </c>
      <c r="D935" s="79">
        <f>IF(OR($A935="",D$23=""),"",IF(COUNTIFS('AFA Rates'!$A$5:$A$1004,$A935,'AFA Rates'!$B$5:$B$1004,D$23,'AFA Rates'!$O$5:$O$1004,"&lt;&gt;Expired")&gt;0,"✓",IF(COUNTIFS('AFA Rates'!$A$5:$A$1004,$A935,'AFA Rates'!$B$5:$B$1004,D$23)&gt;0,"Exp","")))</f>
        <v/>
      </c>
      <c r="E935" s="79">
        <f>IF(OR($A935="",E$23=""),"",IF(COUNTIFS('AFA Rates'!$A$5:$A$1004,$A935,'AFA Rates'!$B$5:$B$1004,E$23,'AFA Rates'!$O$5:$O$1004,"&lt;&gt;Expired")&gt;0,"✓",IF(COUNTIFS('AFA Rates'!$A$5:$A$1004,$A935,'AFA Rates'!$B$5:$B$1004,E$23)&gt;0,"Exp","")))</f>
        <v/>
      </c>
      <c r="F935" s="79">
        <f>IF(OR($A935="",F$23=""),"",IF(COUNTIFS('AFA Rates'!$A$5:$A$1004,$A935,'AFA Rates'!$B$5:$B$1004,F$23,'AFA Rates'!$O$5:$O$1004,"&lt;&gt;Expired")&gt;0,"✓",IF(COUNTIFS('AFA Rates'!$A$5:$A$1004,$A935,'AFA Rates'!$B$5:$B$1004,F$23)&gt;0,"Exp","")))</f>
        <v/>
      </c>
      <c r="G935" s="79">
        <f>IF(OR($A935="",G$23=""),"",IF(COUNTIFS('AFA Rates'!$A$5:$A$1004,$A935,'AFA Rates'!$B$5:$B$1004,G$23,'AFA Rates'!$O$5:$O$1004,"&lt;&gt;Expired")&gt;0,"✓",IF(COUNTIFS('AFA Rates'!$A$5:$A$1004,$A935,'AFA Rates'!$B$5:$B$1004,G$23)&gt;0,"Exp","")))</f>
        <v/>
      </c>
      <c r="H935" s="79">
        <f>IF(OR($A935="",H$23=""),"",IF(COUNTIFS('AFA Rates'!$A$5:$A$1004,$A935,'AFA Rates'!$B$5:$B$1004,H$23,'AFA Rates'!$O$5:$O$1004,"&lt;&gt;Expired")&gt;0,"✓",IF(COUNTIFS('AFA Rates'!$A$5:$A$1004,$A935,'AFA Rates'!$B$5:$B$1004,H$23)&gt;0,"Exp","")))</f>
        <v/>
      </c>
      <c r="I935" s="79">
        <f>IF(OR($A935="",I$23=""),"",IF(COUNTIFS('AFA Rates'!$A$5:$A$1004,$A935,'AFA Rates'!$B$5:$B$1004,I$23,'AFA Rates'!$O$5:$O$1004,"&lt;&gt;Expired")&gt;0,"✓",IF(COUNTIFS('AFA Rates'!$A$5:$A$1004,$A935,'AFA Rates'!$B$5:$B$1004,I$23)&gt;0,"Exp","")))</f>
        <v/>
      </c>
      <c r="J935" s="79">
        <f>IF(OR($A935="",J$23=""),"",IF(COUNTIFS('AFA Rates'!$A$5:$A$1004,$A935,'AFA Rates'!$B$5:$B$1004,J$23,'AFA Rates'!$O$5:$O$1004,"&lt;&gt;Expired")&gt;0,"✓",IF(COUNTIFS('AFA Rates'!$A$5:$A$1004,$A935,'AFA Rates'!$B$5:$B$1004,J$23)&gt;0,"Exp","")))</f>
        <v/>
      </c>
      <c r="K935" s="79">
        <f>IF(OR($A935="",K$23=""),"",IF(COUNTIFS('AFA Rates'!$A$5:$A$1004,$A935,'AFA Rates'!$B$5:$B$1004,K$23,'AFA Rates'!$O$5:$O$1004,"&lt;&gt;Expired")&gt;0,"✓",IF(COUNTIFS('AFA Rates'!$A$5:$A$1004,$A935,'AFA Rates'!$B$5:$B$1004,K$23)&gt;0,"Exp","")))</f>
        <v/>
      </c>
      <c r="L935" s="79">
        <f>IF(OR($A935="",L$23=""),"",IF(COUNTIFS('AFA Rates'!$A$5:$A$1004,$A935,'AFA Rates'!$B$5:$B$1004,L$23,'AFA Rates'!$O$5:$O$1004,"&lt;&gt;Expired")&gt;0,"✓",IF(COUNTIFS('AFA Rates'!$A$5:$A$1004,$A935,'AFA Rates'!$B$5:$B$1004,L$23)&gt;0,"Exp","")))</f>
        <v/>
      </c>
      <c r="M935" s="79">
        <f>IF(OR($A935="",M$23=""),"",IF(COUNTIFS('AFA Rates'!$A$5:$A$1004,$A935,'AFA Rates'!$B$5:$B$1004,M$23,'AFA Rates'!$O$5:$O$1004,"&lt;&gt;Expired")&gt;0,"✓",IF(COUNTIFS('AFA Rates'!$A$5:$A$1004,$A935,'AFA Rates'!$B$5:$B$1004,M$23)&gt;0,"Exp","")))</f>
        <v/>
      </c>
    </row>
    <row r="936">
      <c r="A936" s="78">
        <f>IFERROR(INDEX(Firms!$A$5:$A$1004,MATCH(913,Firms!$V$5:$V$1004,0)),"")</f>
        <v/>
      </c>
      <c r="B936" s="79">
        <f>IF($A936="","",INDEX(Firms!$B$5:$B$1004,MATCH(913,Firms!$V$5:$V$1004,0)))</f>
        <v/>
      </c>
      <c r="C936" s="79">
        <f>IF($A936="","",COUNTIFS('AFA Rates'!$A$5:$A$1004,$A936,'AFA Rates'!$O$5:$O$1004,"&lt;&gt;Expired"))</f>
        <v/>
      </c>
      <c r="D936" s="79">
        <f>IF(OR($A936="",D$23=""),"",IF(COUNTIFS('AFA Rates'!$A$5:$A$1004,$A936,'AFA Rates'!$B$5:$B$1004,D$23,'AFA Rates'!$O$5:$O$1004,"&lt;&gt;Expired")&gt;0,"✓",IF(COUNTIFS('AFA Rates'!$A$5:$A$1004,$A936,'AFA Rates'!$B$5:$B$1004,D$23)&gt;0,"Exp","")))</f>
        <v/>
      </c>
      <c r="E936" s="79">
        <f>IF(OR($A936="",E$23=""),"",IF(COUNTIFS('AFA Rates'!$A$5:$A$1004,$A936,'AFA Rates'!$B$5:$B$1004,E$23,'AFA Rates'!$O$5:$O$1004,"&lt;&gt;Expired")&gt;0,"✓",IF(COUNTIFS('AFA Rates'!$A$5:$A$1004,$A936,'AFA Rates'!$B$5:$B$1004,E$23)&gt;0,"Exp","")))</f>
        <v/>
      </c>
      <c r="F936" s="79">
        <f>IF(OR($A936="",F$23=""),"",IF(COUNTIFS('AFA Rates'!$A$5:$A$1004,$A936,'AFA Rates'!$B$5:$B$1004,F$23,'AFA Rates'!$O$5:$O$1004,"&lt;&gt;Expired")&gt;0,"✓",IF(COUNTIFS('AFA Rates'!$A$5:$A$1004,$A936,'AFA Rates'!$B$5:$B$1004,F$23)&gt;0,"Exp","")))</f>
        <v/>
      </c>
      <c r="G936" s="79">
        <f>IF(OR($A936="",G$23=""),"",IF(COUNTIFS('AFA Rates'!$A$5:$A$1004,$A936,'AFA Rates'!$B$5:$B$1004,G$23,'AFA Rates'!$O$5:$O$1004,"&lt;&gt;Expired")&gt;0,"✓",IF(COUNTIFS('AFA Rates'!$A$5:$A$1004,$A936,'AFA Rates'!$B$5:$B$1004,G$23)&gt;0,"Exp","")))</f>
        <v/>
      </c>
      <c r="H936" s="79">
        <f>IF(OR($A936="",H$23=""),"",IF(COUNTIFS('AFA Rates'!$A$5:$A$1004,$A936,'AFA Rates'!$B$5:$B$1004,H$23,'AFA Rates'!$O$5:$O$1004,"&lt;&gt;Expired")&gt;0,"✓",IF(COUNTIFS('AFA Rates'!$A$5:$A$1004,$A936,'AFA Rates'!$B$5:$B$1004,H$23)&gt;0,"Exp","")))</f>
        <v/>
      </c>
      <c r="I936" s="79">
        <f>IF(OR($A936="",I$23=""),"",IF(COUNTIFS('AFA Rates'!$A$5:$A$1004,$A936,'AFA Rates'!$B$5:$B$1004,I$23,'AFA Rates'!$O$5:$O$1004,"&lt;&gt;Expired")&gt;0,"✓",IF(COUNTIFS('AFA Rates'!$A$5:$A$1004,$A936,'AFA Rates'!$B$5:$B$1004,I$23)&gt;0,"Exp","")))</f>
        <v/>
      </c>
      <c r="J936" s="79">
        <f>IF(OR($A936="",J$23=""),"",IF(COUNTIFS('AFA Rates'!$A$5:$A$1004,$A936,'AFA Rates'!$B$5:$B$1004,J$23,'AFA Rates'!$O$5:$O$1004,"&lt;&gt;Expired")&gt;0,"✓",IF(COUNTIFS('AFA Rates'!$A$5:$A$1004,$A936,'AFA Rates'!$B$5:$B$1004,J$23)&gt;0,"Exp","")))</f>
        <v/>
      </c>
      <c r="K936" s="79">
        <f>IF(OR($A936="",K$23=""),"",IF(COUNTIFS('AFA Rates'!$A$5:$A$1004,$A936,'AFA Rates'!$B$5:$B$1004,K$23,'AFA Rates'!$O$5:$O$1004,"&lt;&gt;Expired")&gt;0,"✓",IF(COUNTIFS('AFA Rates'!$A$5:$A$1004,$A936,'AFA Rates'!$B$5:$B$1004,K$23)&gt;0,"Exp","")))</f>
        <v/>
      </c>
      <c r="L936" s="79">
        <f>IF(OR($A936="",L$23=""),"",IF(COUNTIFS('AFA Rates'!$A$5:$A$1004,$A936,'AFA Rates'!$B$5:$B$1004,L$23,'AFA Rates'!$O$5:$O$1004,"&lt;&gt;Expired")&gt;0,"✓",IF(COUNTIFS('AFA Rates'!$A$5:$A$1004,$A936,'AFA Rates'!$B$5:$B$1004,L$23)&gt;0,"Exp","")))</f>
        <v/>
      </c>
      <c r="M936" s="79">
        <f>IF(OR($A936="",M$23=""),"",IF(COUNTIFS('AFA Rates'!$A$5:$A$1004,$A936,'AFA Rates'!$B$5:$B$1004,M$23,'AFA Rates'!$O$5:$O$1004,"&lt;&gt;Expired")&gt;0,"✓",IF(COUNTIFS('AFA Rates'!$A$5:$A$1004,$A936,'AFA Rates'!$B$5:$B$1004,M$23)&gt;0,"Exp","")))</f>
        <v/>
      </c>
    </row>
    <row r="937">
      <c r="A937" s="78">
        <f>IFERROR(INDEX(Firms!$A$5:$A$1004,MATCH(914,Firms!$V$5:$V$1004,0)),"")</f>
        <v/>
      </c>
      <c r="B937" s="79">
        <f>IF($A937="","",INDEX(Firms!$B$5:$B$1004,MATCH(914,Firms!$V$5:$V$1004,0)))</f>
        <v/>
      </c>
      <c r="C937" s="79">
        <f>IF($A937="","",COUNTIFS('AFA Rates'!$A$5:$A$1004,$A937,'AFA Rates'!$O$5:$O$1004,"&lt;&gt;Expired"))</f>
        <v/>
      </c>
      <c r="D937" s="79">
        <f>IF(OR($A937="",D$23=""),"",IF(COUNTIFS('AFA Rates'!$A$5:$A$1004,$A937,'AFA Rates'!$B$5:$B$1004,D$23,'AFA Rates'!$O$5:$O$1004,"&lt;&gt;Expired")&gt;0,"✓",IF(COUNTIFS('AFA Rates'!$A$5:$A$1004,$A937,'AFA Rates'!$B$5:$B$1004,D$23)&gt;0,"Exp","")))</f>
        <v/>
      </c>
      <c r="E937" s="79">
        <f>IF(OR($A937="",E$23=""),"",IF(COUNTIFS('AFA Rates'!$A$5:$A$1004,$A937,'AFA Rates'!$B$5:$B$1004,E$23,'AFA Rates'!$O$5:$O$1004,"&lt;&gt;Expired")&gt;0,"✓",IF(COUNTIFS('AFA Rates'!$A$5:$A$1004,$A937,'AFA Rates'!$B$5:$B$1004,E$23)&gt;0,"Exp","")))</f>
        <v/>
      </c>
      <c r="F937" s="79">
        <f>IF(OR($A937="",F$23=""),"",IF(COUNTIFS('AFA Rates'!$A$5:$A$1004,$A937,'AFA Rates'!$B$5:$B$1004,F$23,'AFA Rates'!$O$5:$O$1004,"&lt;&gt;Expired")&gt;0,"✓",IF(COUNTIFS('AFA Rates'!$A$5:$A$1004,$A937,'AFA Rates'!$B$5:$B$1004,F$23)&gt;0,"Exp","")))</f>
        <v/>
      </c>
      <c r="G937" s="79">
        <f>IF(OR($A937="",G$23=""),"",IF(COUNTIFS('AFA Rates'!$A$5:$A$1004,$A937,'AFA Rates'!$B$5:$B$1004,G$23,'AFA Rates'!$O$5:$O$1004,"&lt;&gt;Expired")&gt;0,"✓",IF(COUNTIFS('AFA Rates'!$A$5:$A$1004,$A937,'AFA Rates'!$B$5:$B$1004,G$23)&gt;0,"Exp","")))</f>
        <v/>
      </c>
      <c r="H937" s="79">
        <f>IF(OR($A937="",H$23=""),"",IF(COUNTIFS('AFA Rates'!$A$5:$A$1004,$A937,'AFA Rates'!$B$5:$B$1004,H$23,'AFA Rates'!$O$5:$O$1004,"&lt;&gt;Expired")&gt;0,"✓",IF(COUNTIFS('AFA Rates'!$A$5:$A$1004,$A937,'AFA Rates'!$B$5:$B$1004,H$23)&gt;0,"Exp","")))</f>
        <v/>
      </c>
      <c r="I937" s="79">
        <f>IF(OR($A937="",I$23=""),"",IF(COUNTIFS('AFA Rates'!$A$5:$A$1004,$A937,'AFA Rates'!$B$5:$B$1004,I$23,'AFA Rates'!$O$5:$O$1004,"&lt;&gt;Expired")&gt;0,"✓",IF(COUNTIFS('AFA Rates'!$A$5:$A$1004,$A937,'AFA Rates'!$B$5:$B$1004,I$23)&gt;0,"Exp","")))</f>
        <v/>
      </c>
      <c r="J937" s="79">
        <f>IF(OR($A937="",J$23=""),"",IF(COUNTIFS('AFA Rates'!$A$5:$A$1004,$A937,'AFA Rates'!$B$5:$B$1004,J$23,'AFA Rates'!$O$5:$O$1004,"&lt;&gt;Expired")&gt;0,"✓",IF(COUNTIFS('AFA Rates'!$A$5:$A$1004,$A937,'AFA Rates'!$B$5:$B$1004,J$23)&gt;0,"Exp","")))</f>
        <v/>
      </c>
      <c r="K937" s="79">
        <f>IF(OR($A937="",K$23=""),"",IF(COUNTIFS('AFA Rates'!$A$5:$A$1004,$A937,'AFA Rates'!$B$5:$B$1004,K$23,'AFA Rates'!$O$5:$O$1004,"&lt;&gt;Expired")&gt;0,"✓",IF(COUNTIFS('AFA Rates'!$A$5:$A$1004,$A937,'AFA Rates'!$B$5:$B$1004,K$23)&gt;0,"Exp","")))</f>
        <v/>
      </c>
      <c r="L937" s="79">
        <f>IF(OR($A937="",L$23=""),"",IF(COUNTIFS('AFA Rates'!$A$5:$A$1004,$A937,'AFA Rates'!$B$5:$B$1004,L$23,'AFA Rates'!$O$5:$O$1004,"&lt;&gt;Expired")&gt;0,"✓",IF(COUNTIFS('AFA Rates'!$A$5:$A$1004,$A937,'AFA Rates'!$B$5:$B$1004,L$23)&gt;0,"Exp","")))</f>
        <v/>
      </c>
      <c r="M937" s="79">
        <f>IF(OR($A937="",M$23=""),"",IF(COUNTIFS('AFA Rates'!$A$5:$A$1004,$A937,'AFA Rates'!$B$5:$B$1004,M$23,'AFA Rates'!$O$5:$O$1004,"&lt;&gt;Expired")&gt;0,"✓",IF(COUNTIFS('AFA Rates'!$A$5:$A$1004,$A937,'AFA Rates'!$B$5:$B$1004,M$23)&gt;0,"Exp","")))</f>
        <v/>
      </c>
    </row>
    <row r="938">
      <c r="A938" s="78">
        <f>IFERROR(INDEX(Firms!$A$5:$A$1004,MATCH(915,Firms!$V$5:$V$1004,0)),"")</f>
        <v/>
      </c>
      <c r="B938" s="79">
        <f>IF($A938="","",INDEX(Firms!$B$5:$B$1004,MATCH(915,Firms!$V$5:$V$1004,0)))</f>
        <v/>
      </c>
      <c r="C938" s="79">
        <f>IF($A938="","",COUNTIFS('AFA Rates'!$A$5:$A$1004,$A938,'AFA Rates'!$O$5:$O$1004,"&lt;&gt;Expired"))</f>
        <v/>
      </c>
      <c r="D938" s="79">
        <f>IF(OR($A938="",D$23=""),"",IF(COUNTIFS('AFA Rates'!$A$5:$A$1004,$A938,'AFA Rates'!$B$5:$B$1004,D$23,'AFA Rates'!$O$5:$O$1004,"&lt;&gt;Expired")&gt;0,"✓",IF(COUNTIFS('AFA Rates'!$A$5:$A$1004,$A938,'AFA Rates'!$B$5:$B$1004,D$23)&gt;0,"Exp","")))</f>
        <v/>
      </c>
      <c r="E938" s="79">
        <f>IF(OR($A938="",E$23=""),"",IF(COUNTIFS('AFA Rates'!$A$5:$A$1004,$A938,'AFA Rates'!$B$5:$B$1004,E$23,'AFA Rates'!$O$5:$O$1004,"&lt;&gt;Expired")&gt;0,"✓",IF(COUNTIFS('AFA Rates'!$A$5:$A$1004,$A938,'AFA Rates'!$B$5:$B$1004,E$23)&gt;0,"Exp","")))</f>
        <v/>
      </c>
      <c r="F938" s="79">
        <f>IF(OR($A938="",F$23=""),"",IF(COUNTIFS('AFA Rates'!$A$5:$A$1004,$A938,'AFA Rates'!$B$5:$B$1004,F$23,'AFA Rates'!$O$5:$O$1004,"&lt;&gt;Expired")&gt;0,"✓",IF(COUNTIFS('AFA Rates'!$A$5:$A$1004,$A938,'AFA Rates'!$B$5:$B$1004,F$23)&gt;0,"Exp","")))</f>
        <v/>
      </c>
      <c r="G938" s="79">
        <f>IF(OR($A938="",G$23=""),"",IF(COUNTIFS('AFA Rates'!$A$5:$A$1004,$A938,'AFA Rates'!$B$5:$B$1004,G$23,'AFA Rates'!$O$5:$O$1004,"&lt;&gt;Expired")&gt;0,"✓",IF(COUNTIFS('AFA Rates'!$A$5:$A$1004,$A938,'AFA Rates'!$B$5:$B$1004,G$23)&gt;0,"Exp","")))</f>
        <v/>
      </c>
      <c r="H938" s="79">
        <f>IF(OR($A938="",H$23=""),"",IF(COUNTIFS('AFA Rates'!$A$5:$A$1004,$A938,'AFA Rates'!$B$5:$B$1004,H$23,'AFA Rates'!$O$5:$O$1004,"&lt;&gt;Expired")&gt;0,"✓",IF(COUNTIFS('AFA Rates'!$A$5:$A$1004,$A938,'AFA Rates'!$B$5:$B$1004,H$23)&gt;0,"Exp","")))</f>
        <v/>
      </c>
      <c r="I938" s="79">
        <f>IF(OR($A938="",I$23=""),"",IF(COUNTIFS('AFA Rates'!$A$5:$A$1004,$A938,'AFA Rates'!$B$5:$B$1004,I$23,'AFA Rates'!$O$5:$O$1004,"&lt;&gt;Expired")&gt;0,"✓",IF(COUNTIFS('AFA Rates'!$A$5:$A$1004,$A938,'AFA Rates'!$B$5:$B$1004,I$23)&gt;0,"Exp","")))</f>
        <v/>
      </c>
      <c r="J938" s="79">
        <f>IF(OR($A938="",J$23=""),"",IF(COUNTIFS('AFA Rates'!$A$5:$A$1004,$A938,'AFA Rates'!$B$5:$B$1004,J$23,'AFA Rates'!$O$5:$O$1004,"&lt;&gt;Expired")&gt;0,"✓",IF(COUNTIFS('AFA Rates'!$A$5:$A$1004,$A938,'AFA Rates'!$B$5:$B$1004,J$23)&gt;0,"Exp","")))</f>
        <v/>
      </c>
      <c r="K938" s="79">
        <f>IF(OR($A938="",K$23=""),"",IF(COUNTIFS('AFA Rates'!$A$5:$A$1004,$A938,'AFA Rates'!$B$5:$B$1004,K$23,'AFA Rates'!$O$5:$O$1004,"&lt;&gt;Expired")&gt;0,"✓",IF(COUNTIFS('AFA Rates'!$A$5:$A$1004,$A938,'AFA Rates'!$B$5:$B$1004,K$23)&gt;0,"Exp","")))</f>
        <v/>
      </c>
      <c r="L938" s="79">
        <f>IF(OR($A938="",L$23=""),"",IF(COUNTIFS('AFA Rates'!$A$5:$A$1004,$A938,'AFA Rates'!$B$5:$B$1004,L$23,'AFA Rates'!$O$5:$O$1004,"&lt;&gt;Expired")&gt;0,"✓",IF(COUNTIFS('AFA Rates'!$A$5:$A$1004,$A938,'AFA Rates'!$B$5:$B$1004,L$23)&gt;0,"Exp","")))</f>
        <v/>
      </c>
      <c r="M938" s="79">
        <f>IF(OR($A938="",M$23=""),"",IF(COUNTIFS('AFA Rates'!$A$5:$A$1004,$A938,'AFA Rates'!$B$5:$B$1004,M$23,'AFA Rates'!$O$5:$O$1004,"&lt;&gt;Expired")&gt;0,"✓",IF(COUNTIFS('AFA Rates'!$A$5:$A$1004,$A938,'AFA Rates'!$B$5:$B$1004,M$23)&gt;0,"Exp","")))</f>
        <v/>
      </c>
    </row>
    <row r="939">
      <c r="A939" s="78">
        <f>IFERROR(INDEX(Firms!$A$5:$A$1004,MATCH(916,Firms!$V$5:$V$1004,0)),"")</f>
        <v/>
      </c>
      <c r="B939" s="79">
        <f>IF($A939="","",INDEX(Firms!$B$5:$B$1004,MATCH(916,Firms!$V$5:$V$1004,0)))</f>
        <v/>
      </c>
      <c r="C939" s="79">
        <f>IF($A939="","",COUNTIFS('AFA Rates'!$A$5:$A$1004,$A939,'AFA Rates'!$O$5:$O$1004,"&lt;&gt;Expired"))</f>
        <v/>
      </c>
      <c r="D939" s="79">
        <f>IF(OR($A939="",D$23=""),"",IF(COUNTIFS('AFA Rates'!$A$5:$A$1004,$A939,'AFA Rates'!$B$5:$B$1004,D$23,'AFA Rates'!$O$5:$O$1004,"&lt;&gt;Expired")&gt;0,"✓",IF(COUNTIFS('AFA Rates'!$A$5:$A$1004,$A939,'AFA Rates'!$B$5:$B$1004,D$23)&gt;0,"Exp","")))</f>
        <v/>
      </c>
      <c r="E939" s="79">
        <f>IF(OR($A939="",E$23=""),"",IF(COUNTIFS('AFA Rates'!$A$5:$A$1004,$A939,'AFA Rates'!$B$5:$B$1004,E$23,'AFA Rates'!$O$5:$O$1004,"&lt;&gt;Expired")&gt;0,"✓",IF(COUNTIFS('AFA Rates'!$A$5:$A$1004,$A939,'AFA Rates'!$B$5:$B$1004,E$23)&gt;0,"Exp","")))</f>
        <v/>
      </c>
      <c r="F939" s="79">
        <f>IF(OR($A939="",F$23=""),"",IF(COUNTIFS('AFA Rates'!$A$5:$A$1004,$A939,'AFA Rates'!$B$5:$B$1004,F$23,'AFA Rates'!$O$5:$O$1004,"&lt;&gt;Expired")&gt;0,"✓",IF(COUNTIFS('AFA Rates'!$A$5:$A$1004,$A939,'AFA Rates'!$B$5:$B$1004,F$23)&gt;0,"Exp","")))</f>
        <v/>
      </c>
      <c r="G939" s="79">
        <f>IF(OR($A939="",G$23=""),"",IF(COUNTIFS('AFA Rates'!$A$5:$A$1004,$A939,'AFA Rates'!$B$5:$B$1004,G$23,'AFA Rates'!$O$5:$O$1004,"&lt;&gt;Expired")&gt;0,"✓",IF(COUNTIFS('AFA Rates'!$A$5:$A$1004,$A939,'AFA Rates'!$B$5:$B$1004,G$23)&gt;0,"Exp","")))</f>
        <v/>
      </c>
      <c r="H939" s="79">
        <f>IF(OR($A939="",H$23=""),"",IF(COUNTIFS('AFA Rates'!$A$5:$A$1004,$A939,'AFA Rates'!$B$5:$B$1004,H$23,'AFA Rates'!$O$5:$O$1004,"&lt;&gt;Expired")&gt;0,"✓",IF(COUNTIFS('AFA Rates'!$A$5:$A$1004,$A939,'AFA Rates'!$B$5:$B$1004,H$23)&gt;0,"Exp","")))</f>
        <v/>
      </c>
      <c r="I939" s="79">
        <f>IF(OR($A939="",I$23=""),"",IF(COUNTIFS('AFA Rates'!$A$5:$A$1004,$A939,'AFA Rates'!$B$5:$B$1004,I$23,'AFA Rates'!$O$5:$O$1004,"&lt;&gt;Expired")&gt;0,"✓",IF(COUNTIFS('AFA Rates'!$A$5:$A$1004,$A939,'AFA Rates'!$B$5:$B$1004,I$23)&gt;0,"Exp","")))</f>
        <v/>
      </c>
      <c r="J939" s="79">
        <f>IF(OR($A939="",J$23=""),"",IF(COUNTIFS('AFA Rates'!$A$5:$A$1004,$A939,'AFA Rates'!$B$5:$B$1004,J$23,'AFA Rates'!$O$5:$O$1004,"&lt;&gt;Expired")&gt;0,"✓",IF(COUNTIFS('AFA Rates'!$A$5:$A$1004,$A939,'AFA Rates'!$B$5:$B$1004,J$23)&gt;0,"Exp","")))</f>
        <v/>
      </c>
      <c r="K939" s="79">
        <f>IF(OR($A939="",K$23=""),"",IF(COUNTIFS('AFA Rates'!$A$5:$A$1004,$A939,'AFA Rates'!$B$5:$B$1004,K$23,'AFA Rates'!$O$5:$O$1004,"&lt;&gt;Expired")&gt;0,"✓",IF(COUNTIFS('AFA Rates'!$A$5:$A$1004,$A939,'AFA Rates'!$B$5:$B$1004,K$23)&gt;0,"Exp","")))</f>
        <v/>
      </c>
      <c r="L939" s="79">
        <f>IF(OR($A939="",L$23=""),"",IF(COUNTIFS('AFA Rates'!$A$5:$A$1004,$A939,'AFA Rates'!$B$5:$B$1004,L$23,'AFA Rates'!$O$5:$O$1004,"&lt;&gt;Expired")&gt;0,"✓",IF(COUNTIFS('AFA Rates'!$A$5:$A$1004,$A939,'AFA Rates'!$B$5:$B$1004,L$23)&gt;0,"Exp","")))</f>
        <v/>
      </c>
      <c r="M939" s="79">
        <f>IF(OR($A939="",M$23=""),"",IF(COUNTIFS('AFA Rates'!$A$5:$A$1004,$A939,'AFA Rates'!$B$5:$B$1004,M$23,'AFA Rates'!$O$5:$O$1004,"&lt;&gt;Expired")&gt;0,"✓",IF(COUNTIFS('AFA Rates'!$A$5:$A$1004,$A939,'AFA Rates'!$B$5:$B$1004,M$23)&gt;0,"Exp","")))</f>
        <v/>
      </c>
    </row>
    <row r="940">
      <c r="A940" s="78">
        <f>IFERROR(INDEX(Firms!$A$5:$A$1004,MATCH(917,Firms!$V$5:$V$1004,0)),"")</f>
        <v/>
      </c>
      <c r="B940" s="79">
        <f>IF($A940="","",INDEX(Firms!$B$5:$B$1004,MATCH(917,Firms!$V$5:$V$1004,0)))</f>
        <v/>
      </c>
      <c r="C940" s="79">
        <f>IF($A940="","",COUNTIFS('AFA Rates'!$A$5:$A$1004,$A940,'AFA Rates'!$O$5:$O$1004,"&lt;&gt;Expired"))</f>
        <v/>
      </c>
      <c r="D940" s="79">
        <f>IF(OR($A940="",D$23=""),"",IF(COUNTIFS('AFA Rates'!$A$5:$A$1004,$A940,'AFA Rates'!$B$5:$B$1004,D$23,'AFA Rates'!$O$5:$O$1004,"&lt;&gt;Expired")&gt;0,"✓",IF(COUNTIFS('AFA Rates'!$A$5:$A$1004,$A940,'AFA Rates'!$B$5:$B$1004,D$23)&gt;0,"Exp","")))</f>
        <v/>
      </c>
      <c r="E940" s="79">
        <f>IF(OR($A940="",E$23=""),"",IF(COUNTIFS('AFA Rates'!$A$5:$A$1004,$A940,'AFA Rates'!$B$5:$B$1004,E$23,'AFA Rates'!$O$5:$O$1004,"&lt;&gt;Expired")&gt;0,"✓",IF(COUNTIFS('AFA Rates'!$A$5:$A$1004,$A940,'AFA Rates'!$B$5:$B$1004,E$23)&gt;0,"Exp","")))</f>
        <v/>
      </c>
      <c r="F940" s="79">
        <f>IF(OR($A940="",F$23=""),"",IF(COUNTIFS('AFA Rates'!$A$5:$A$1004,$A940,'AFA Rates'!$B$5:$B$1004,F$23,'AFA Rates'!$O$5:$O$1004,"&lt;&gt;Expired")&gt;0,"✓",IF(COUNTIFS('AFA Rates'!$A$5:$A$1004,$A940,'AFA Rates'!$B$5:$B$1004,F$23)&gt;0,"Exp","")))</f>
        <v/>
      </c>
      <c r="G940" s="79">
        <f>IF(OR($A940="",G$23=""),"",IF(COUNTIFS('AFA Rates'!$A$5:$A$1004,$A940,'AFA Rates'!$B$5:$B$1004,G$23,'AFA Rates'!$O$5:$O$1004,"&lt;&gt;Expired")&gt;0,"✓",IF(COUNTIFS('AFA Rates'!$A$5:$A$1004,$A940,'AFA Rates'!$B$5:$B$1004,G$23)&gt;0,"Exp","")))</f>
        <v/>
      </c>
      <c r="H940" s="79">
        <f>IF(OR($A940="",H$23=""),"",IF(COUNTIFS('AFA Rates'!$A$5:$A$1004,$A940,'AFA Rates'!$B$5:$B$1004,H$23,'AFA Rates'!$O$5:$O$1004,"&lt;&gt;Expired")&gt;0,"✓",IF(COUNTIFS('AFA Rates'!$A$5:$A$1004,$A940,'AFA Rates'!$B$5:$B$1004,H$23)&gt;0,"Exp","")))</f>
        <v/>
      </c>
      <c r="I940" s="79">
        <f>IF(OR($A940="",I$23=""),"",IF(COUNTIFS('AFA Rates'!$A$5:$A$1004,$A940,'AFA Rates'!$B$5:$B$1004,I$23,'AFA Rates'!$O$5:$O$1004,"&lt;&gt;Expired")&gt;0,"✓",IF(COUNTIFS('AFA Rates'!$A$5:$A$1004,$A940,'AFA Rates'!$B$5:$B$1004,I$23)&gt;0,"Exp","")))</f>
        <v/>
      </c>
      <c r="J940" s="79">
        <f>IF(OR($A940="",J$23=""),"",IF(COUNTIFS('AFA Rates'!$A$5:$A$1004,$A940,'AFA Rates'!$B$5:$B$1004,J$23,'AFA Rates'!$O$5:$O$1004,"&lt;&gt;Expired")&gt;0,"✓",IF(COUNTIFS('AFA Rates'!$A$5:$A$1004,$A940,'AFA Rates'!$B$5:$B$1004,J$23)&gt;0,"Exp","")))</f>
        <v/>
      </c>
      <c r="K940" s="79">
        <f>IF(OR($A940="",K$23=""),"",IF(COUNTIFS('AFA Rates'!$A$5:$A$1004,$A940,'AFA Rates'!$B$5:$B$1004,K$23,'AFA Rates'!$O$5:$O$1004,"&lt;&gt;Expired")&gt;0,"✓",IF(COUNTIFS('AFA Rates'!$A$5:$A$1004,$A940,'AFA Rates'!$B$5:$B$1004,K$23)&gt;0,"Exp","")))</f>
        <v/>
      </c>
      <c r="L940" s="79">
        <f>IF(OR($A940="",L$23=""),"",IF(COUNTIFS('AFA Rates'!$A$5:$A$1004,$A940,'AFA Rates'!$B$5:$B$1004,L$23,'AFA Rates'!$O$5:$O$1004,"&lt;&gt;Expired")&gt;0,"✓",IF(COUNTIFS('AFA Rates'!$A$5:$A$1004,$A940,'AFA Rates'!$B$5:$B$1004,L$23)&gt;0,"Exp","")))</f>
        <v/>
      </c>
      <c r="M940" s="79">
        <f>IF(OR($A940="",M$23=""),"",IF(COUNTIFS('AFA Rates'!$A$5:$A$1004,$A940,'AFA Rates'!$B$5:$B$1004,M$23,'AFA Rates'!$O$5:$O$1004,"&lt;&gt;Expired")&gt;0,"✓",IF(COUNTIFS('AFA Rates'!$A$5:$A$1004,$A940,'AFA Rates'!$B$5:$B$1004,M$23)&gt;0,"Exp","")))</f>
        <v/>
      </c>
    </row>
    <row r="941">
      <c r="A941" s="78">
        <f>IFERROR(INDEX(Firms!$A$5:$A$1004,MATCH(918,Firms!$V$5:$V$1004,0)),"")</f>
        <v/>
      </c>
      <c r="B941" s="79">
        <f>IF($A941="","",INDEX(Firms!$B$5:$B$1004,MATCH(918,Firms!$V$5:$V$1004,0)))</f>
        <v/>
      </c>
      <c r="C941" s="79">
        <f>IF($A941="","",COUNTIFS('AFA Rates'!$A$5:$A$1004,$A941,'AFA Rates'!$O$5:$O$1004,"&lt;&gt;Expired"))</f>
        <v/>
      </c>
      <c r="D941" s="79">
        <f>IF(OR($A941="",D$23=""),"",IF(COUNTIFS('AFA Rates'!$A$5:$A$1004,$A941,'AFA Rates'!$B$5:$B$1004,D$23,'AFA Rates'!$O$5:$O$1004,"&lt;&gt;Expired")&gt;0,"✓",IF(COUNTIFS('AFA Rates'!$A$5:$A$1004,$A941,'AFA Rates'!$B$5:$B$1004,D$23)&gt;0,"Exp","")))</f>
        <v/>
      </c>
      <c r="E941" s="79">
        <f>IF(OR($A941="",E$23=""),"",IF(COUNTIFS('AFA Rates'!$A$5:$A$1004,$A941,'AFA Rates'!$B$5:$B$1004,E$23,'AFA Rates'!$O$5:$O$1004,"&lt;&gt;Expired")&gt;0,"✓",IF(COUNTIFS('AFA Rates'!$A$5:$A$1004,$A941,'AFA Rates'!$B$5:$B$1004,E$23)&gt;0,"Exp","")))</f>
        <v/>
      </c>
      <c r="F941" s="79">
        <f>IF(OR($A941="",F$23=""),"",IF(COUNTIFS('AFA Rates'!$A$5:$A$1004,$A941,'AFA Rates'!$B$5:$B$1004,F$23,'AFA Rates'!$O$5:$O$1004,"&lt;&gt;Expired")&gt;0,"✓",IF(COUNTIFS('AFA Rates'!$A$5:$A$1004,$A941,'AFA Rates'!$B$5:$B$1004,F$23)&gt;0,"Exp","")))</f>
        <v/>
      </c>
      <c r="G941" s="79">
        <f>IF(OR($A941="",G$23=""),"",IF(COUNTIFS('AFA Rates'!$A$5:$A$1004,$A941,'AFA Rates'!$B$5:$B$1004,G$23,'AFA Rates'!$O$5:$O$1004,"&lt;&gt;Expired")&gt;0,"✓",IF(COUNTIFS('AFA Rates'!$A$5:$A$1004,$A941,'AFA Rates'!$B$5:$B$1004,G$23)&gt;0,"Exp","")))</f>
        <v/>
      </c>
      <c r="H941" s="79">
        <f>IF(OR($A941="",H$23=""),"",IF(COUNTIFS('AFA Rates'!$A$5:$A$1004,$A941,'AFA Rates'!$B$5:$B$1004,H$23,'AFA Rates'!$O$5:$O$1004,"&lt;&gt;Expired")&gt;0,"✓",IF(COUNTIFS('AFA Rates'!$A$5:$A$1004,$A941,'AFA Rates'!$B$5:$B$1004,H$23)&gt;0,"Exp","")))</f>
        <v/>
      </c>
      <c r="I941" s="79">
        <f>IF(OR($A941="",I$23=""),"",IF(COUNTIFS('AFA Rates'!$A$5:$A$1004,$A941,'AFA Rates'!$B$5:$B$1004,I$23,'AFA Rates'!$O$5:$O$1004,"&lt;&gt;Expired")&gt;0,"✓",IF(COUNTIFS('AFA Rates'!$A$5:$A$1004,$A941,'AFA Rates'!$B$5:$B$1004,I$23)&gt;0,"Exp","")))</f>
        <v/>
      </c>
      <c r="J941" s="79">
        <f>IF(OR($A941="",J$23=""),"",IF(COUNTIFS('AFA Rates'!$A$5:$A$1004,$A941,'AFA Rates'!$B$5:$B$1004,J$23,'AFA Rates'!$O$5:$O$1004,"&lt;&gt;Expired")&gt;0,"✓",IF(COUNTIFS('AFA Rates'!$A$5:$A$1004,$A941,'AFA Rates'!$B$5:$B$1004,J$23)&gt;0,"Exp","")))</f>
        <v/>
      </c>
      <c r="K941" s="79">
        <f>IF(OR($A941="",K$23=""),"",IF(COUNTIFS('AFA Rates'!$A$5:$A$1004,$A941,'AFA Rates'!$B$5:$B$1004,K$23,'AFA Rates'!$O$5:$O$1004,"&lt;&gt;Expired")&gt;0,"✓",IF(COUNTIFS('AFA Rates'!$A$5:$A$1004,$A941,'AFA Rates'!$B$5:$B$1004,K$23)&gt;0,"Exp","")))</f>
        <v/>
      </c>
      <c r="L941" s="79">
        <f>IF(OR($A941="",L$23=""),"",IF(COUNTIFS('AFA Rates'!$A$5:$A$1004,$A941,'AFA Rates'!$B$5:$B$1004,L$23,'AFA Rates'!$O$5:$O$1004,"&lt;&gt;Expired")&gt;0,"✓",IF(COUNTIFS('AFA Rates'!$A$5:$A$1004,$A941,'AFA Rates'!$B$5:$B$1004,L$23)&gt;0,"Exp","")))</f>
        <v/>
      </c>
      <c r="M941" s="79">
        <f>IF(OR($A941="",M$23=""),"",IF(COUNTIFS('AFA Rates'!$A$5:$A$1004,$A941,'AFA Rates'!$B$5:$B$1004,M$23,'AFA Rates'!$O$5:$O$1004,"&lt;&gt;Expired")&gt;0,"✓",IF(COUNTIFS('AFA Rates'!$A$5:$A$1004,$A941,'AFA Rates'!$B$5:$B$1004,M$23)&gt;0,"Exp","")))</f>
        <v/>
      </c>
    </row>
    <row r="942">
      <c r="A942" s="78">
        <f>IFERROR(INDEX(Firms!$A$5:$A$1004,MATCH(919,Firms!$V$5:$V$1004,0)),"")</f>
        <v/>
      </c>
      <c r="B942" s="79">
        <f>IF($A942="","",INDEX(Firms!$B$5:$B$1004,MATCH(919,Firms!$V$5:$V$1004,0)))</f>
        <v/>
      </c>
      <c r="C942" s="79">
        <f>IF($A942="","",COUNTIFS('AFA Rates'!$A$5:$A$1004,$A942,'AFA Rates'!$O$5:$O$1004,"&lt;&gt;Expired"))</f>
        <v/>
      </c>
      <c r="D942" s="79">
        <f>IF(OR($A942="",D$23=""),"",IF(COUNTIFS('AFA Rates'!$A$5:$A$1004,$A942,'AFA Rates'!$B$5:$B$1004,D$23,'AFA Rates'!$O$5:$O$1004,"&lt;&gt;Expired")&gt;0,"✓",IF(COUNTIFS('AFA Rates'!$A$5:$A$1004,$A942,'AFA Rates'!$B$5:$B$1004,D$23)&gt;0,"Exp","")))</f>
        <v/>
      </c>
      <c r="E942" s="79">
        <f>IF(OR($A942="",E$23=""),"",IF(COUNTIFS('AFA Rates'!$A$5:$A$1004,$A942,'AFA Rates'!$B$5:$B$1004,E$23,'AFA Rates'!$O$5:$O$1004,"&lt;&gt;Expired")&gt;0,"✓",IF(COUNTIFS('AFA Rates'!$A$5:$A$1004,$A942,'AFA Rates'!$B$5:$B$1004,E$23)&gt;0,"Exp","")))</f>
        <v/>
      </c>
      <c r="F942" s="79">
        <f>IF(OR($A942="",F$23=""),"",IF(COUNTIFS('AFA Rates'!$A$5:$A$1004,$A942,'AFA Rates'!$B$5:$B$1004,F$23,'AFA Rates'!$O$5:$O$1004,"&lt;&gt;Expired")&gt;0,"✓",IF(COUNTIFS('AFA Rates'!$A$5:$A$1004,$A942,'AFA Rates'!$B$5:$B$1004,F$23)&gt;0,"Exp","")))</f>
        <v/>
      </c>
      <c r="G942" s="79">
        <f>IF(OR($A942="",G$23=""),"",IF(COUNTIFS('AFA Rates'!$A$5:$A$1004,$A942,'AFA Rates'!$B$5:$B$1004,G$23,'AFA Rates'!$O$5:$O$1004,"&lt;&gt;Expired")&gt;0,"✓",IF(COUNTIFS('AFA Rates'!$A$5:$A$1004,$A942,'AFA Rates'!$B$5:$B$1004,G$23)&gt;0,"Exp","")))</f>
        <v/>
      </c>
      <c r="H942" s="79">
        <f>IF(OR($A942="",H$23=""),"",IF(COUNTIFS('AFA Rates'!$A$5:$A$1004,$A942,'AFA Rates'!$B$5:$B$1004,H$23,'AFA Rates'!$O$5:$O$1004,"&lt;&gt;Expired")&gt;0,"✓",IF(COUNTIFS('AFA Rates'!$A$5:$A$1004,$A942,'AFA Rates'!$B$5:$B$1004,H$23)&gt;0,"Exp","")))</f>
        <v/>
      </c>
      <c r="I942" s="79">
        <f>IF(OR($A942="",I$23=""),"",IF(COUNTIFS('AFA Rates'!$A$5:$A$1004,$A942,'AFA Rates'!$B$5:$B$1004,I$23,'AFA Rates'!$O$5:$O$1004,"&lt;&gt;Expired")&gt;0,"✓",IF(COUNTIFS('AFA Rates'!$A$5:$A$1004,$A942,'AFA Rates'!$B$5:$B$1004,I$23)&gt;0,"Exp","")))</f>
        <v/>
      </c>
      <c r="J942" s="79">
        <f>IF(OR($A942="",J$23=""),"",IF(COUNTIFS('AFA Rates'!$A$5:$A$1004,$A942,'AFA Rates'!$B$5:$B$1004,J$23,'AFA Rates'!$O$5:$O$1004,"&lt;&gt;Expired")&gt;0,"✓",IF(COUNTIFS('AFA Rates'!$A$5:$A$1004,$A942,'AFA Rates'!$B$5:$B$1004,J$23)&gt;0,"Exp","")))</f>
        <v/>
      </c>
      <c r="K942" s="79">
        <f>IF(OR($A942="",K$23=""),"",IF(COUNTIFS('AFA Rates'!$A$5:$A$1004,$A942,'AFA Rates'!$B$5:$B$1004,K$23,'AFA Rates'!$O$5:$O$1004,"&lt;&gt;Expired")&gt;0,"✓",IF(COUNTIFS('AFA Rates'!$A$5:$A$1004,$A942,'AFA Rates'!$B$5:$B$1004,K$23)&gt;0,"Exp","")))</f>
        <v/>
      </c>
      <c r="L942" s="79">
        <f>IF(OR($A942="",L$23=""),"",IF(COUNTIFS('AFA Rates'!$A$5:$A$1004,$A942,'AFA Rates'!$B$5:$B$1004,L$23,'AFA Rates'!$O$5:$O$1004,"&lt;&gt;Expired")&gt;0,"✓",IF(COUNTIFS('AFA Rates'!$A$5:$A$1004,$A942,'AFA Rates'!$B$5:$B$1004,L$23)&gt;0,"Exp","")))</f>
        <v/>
      </c>
      <c r="M942" s="79">
        <f>IF(OR($A942="",M$23=""),"",IF(COUNTIFS('AFA Rates'!$A$5:$A$1004,$A942,'AFA Rates'!$B$5:$B$1004,M$23,'AFA Rates'!$O$5:$O$1004,"&lt;&gt;Expired")&gt;0,"✓",IF(COUNTIFS('AFA Rates'!$A$5:$A$1004,$A942,'AFA Rates'!$B$5:$B$1004,M$23)&gt;0,"Exp","")))</f>
        <v/>
      </c>
    </row>
    <row r="943">
      <c r="A943" s="78">
        <f>IFERROR(INDEX(Firms!$A$5:$A$1004,MATCH(920,Firms!$V$5:$V$1004,0)),"")</f>
        <v/>
      </c>
      <c r="B943" s="79">
        <f>IF($A943="","",INDEX(Firms!$B$5:$B$1004,MATCH(920,Firms!$V$5:$V$1004,0)))</f>
        <v/>
      </c>
      <c r="C943" s="79">
        <f>IF($A943="","",COUNTIFS('AFA Rates'!$A$5:$A$1004,$A943,'AFA Rates'!$O$5:$O$1004,"&lt;&gt;Expired"))</f>
        <v/>
      </c>
      <c r="D943" s="79">
        <f>IF(OR($A943="",D$23=""),"",IF(COUNTIFS('AFA Rates'!$A$5:$A$1004,$A943,'AFA Rates'!$B$5:$B$1004,D$23,'AFA Rates'!$O$5:$O$1004,"&lt;&gt;Expired")&gt;0,"✓",IF(COUNTIFS('AFA Rates'!$A$5:$A$1004,$A943,'AFA Rates'!$B$5:$B$1004,D$23)&gt;0,"Exp","")))</f>
        <v/>
      </c>
      <c r="E943" s="79">
        <f>IF(OR($A943="",E$23=""),"",IF(COUNTIFS('AFA Rates'!$A$5:$A$1004,$A943,'AFA Rates'!$B$5:$B$1004,E$23,'AFA Rates'!$O$5:$O$1004,"&lt;&gt;Expired")&gt;0,"✓",IF(COUNTIFS('AFA Rates'!$A$5:$A$1004,$A943,'AFA Rates'!$B$5:$B$1004,E$23)&gt;0,"Exp","")))</f>
        <v/>
      </c>
      <c r="F943" s="79">
        <f>IF(OR($A943="",F$23=""),"",IF(COUNTIFS('AFA Rates'!$A$5:$A$1004,$A943,'AFA Rates'!$B$5:$B$1004,F$23,'AFA Rates'!$O$5:$O$1004,"&lt;&gt;Expired")&gt;0,"✓",IF(COUNTIFS('AFA Rates'!$A$5:$A$1004,$A943,'AFA Rates'!$B$5:$B$1004,F$23)&gt;0,"Exp","")))</f>
        <v/>
      </c>
      <c r="G943" s="79">
        <f>IF(OR($A943="",G$23=""),"",IF(COUNTIFS('AFA Rates'!$A$5:$A$1004,$A943,'AFA Rates'!$B$5:$B$1004,G$23,'AFA Rates'!$O$5:$O$1004,"&lt;&gt;Expired")&gt;0,"✓",IF(COUNTIFS('AFA Rates'!$A$5:$A$1004,$A943,'AFA Rates'!$B$5:$B$1004,G$23)&gt;0,"Exp","")))</f>
        <v/>
      </c>
      <c r="H943" s="79">
        <f>IF(OR($A943="",H$23=""),"",IF(COUNTIFS('AFA Rates'!$A$5:$A$1004,$A943,'AFA Rates'!$B$5:$B$1004,H$23,'AFA Rates'!$O$5:$O$1004,"&lt;&gt;Expired")&gt;0,"✓",IF(COUNTIFS('AFA Rates'!$A$5:$A$1004,$A943,'AFA Rates'!$B$5:$B$1004,H$23)&gt;0,"Exp","")))</f>
        <v/>
      </c>
      <c r="I943" s="79">
        <f>IF(OR($A943="",I$23=""),"",IF(COUNTIFS('AFA Rates'!$A$5:$A$1004,$A943,'AFA Rates'!$B$5:$B$1004,I$23,'AFA Rates'!$O$5:$O$1004,"&lt;&gt;Expired")&gt;0,"✓",IF(COUNTIFS('AFA Rates'!$A$5:$A$1004,$A943,'AFA Rates'!$B$5:$B$1004,I$23)&gt;0,"Exp","")))</f>
        <v/>
      </c>
      <c r="J943" s="79">
        <f>IF(OR($A943="",J$23=""),"",IF(COUNTIFS('AFA Rates'!$A$5:$A$1004,$A943,'AFA Rates'!$B$5:$B$1004,J$23,'AFA Rates'!$O$5:$O$1004,"&lt;&gt;Expired")&gt;0,"✓",IF(COUNTIFS('AFA Rates'!$A$5:$A$1004,$A943,'AFA Rates'!$B$5:$B$1004,J$23)&gt;0,"Exp","")))</f>
        <v/>
      </c>
      <c r="K943" s="79">
        <f>IF(OR($A943="",K$23=""),"",IF(COUNTIFS('AFA Rates'!$A$5:$A$1004,$A943,'AFA Rates'!$B$5:$B$1004,K$23,'AFA Rates'!$O$5:$O$1004,"&lt;&gt;Expired")&gt;0,"✓",IF(COUNTIFS('AFA Rates'!$A$5:$A$1004,$A943,'AFA Rates'!$B$5:$B$1004,K$23)&gt;0,"Exp","")))</f>
        <v/>
      </c>
      <c r="L943" s="79">
        <f>IF(OR($A943="",L$23=""),"",IF(COUNTIFS('AFA Rates'!$A$5:$A$1004,$A943,'AFA Rates'!$B$5:$B$1004,L$23,'AFA Rates'!$O$5:$O$1004,"&lt;&gt;Expired")&gt;0,"✓",IF(COUNTIFS('AFA Rates'!$A$5:$A$1004,$A943,'AFA Rates'!$B$5:$B$1004,L$23)&gt;0,"Exp","")))</f>
        <v/>
      </c>
      <c r="M943" s="79">
        <f>IF(OR($A943="",M$23=""),"",IF(COUNTIFS('AFA Rates'!$A$5:$A$1004,$A943,'AFA Rates'!$B$5:$B$1004,M$23,'AFA Rates'!$O$5:$O$1004,"&lt;&gt;Expired")&gt;0,"✓",IF(COUNTIFS('AFA Rates'!$A$5:$A$1004,$A943,'AFA Rates'!$B$5:$B$1004,M$23)&gt;0,"Exp","")))</f>
        <v/>
      </c>
    </row>
    <row r="944">
      <c r="A944" s="78">
        <f>IFERROR(INDEX(Firms!$A$5:$A$1004,MATCH(921,Firms!$V$5:$V$1004,0)),"")</f>
        <v/>
      </c>
      <c r="B944" s="79">
        <f>IF($A944="","",INDEX(Firms!$B$5:$B$1004,MATCH(921,Firms!$V$5:$V$1004,0)))</f>
        <v/>
      </c>
      <c r="C944" s="79">
        <f>IF($A944="","",COUNTIFS('AFA Rates'!$A$5:$A$1004,$A944,'AFA Rates'!$O$5:$O$1004,"&lt;&gt;Expired"))</f>
        <v/>
      </c>
      <c r="D944" s="79">
        <f>IF(OR($A944="",D$23=""),"",IF(COUNTIFS('AFA Rates'!$A$5:$A$1004,$A944,'AFA Rates'!$B$5:$B$1004,D$23,'AFA Rates'!$O$5:$O$1004,"&lt;&gt;Expired")&gt;0,"✓",IF(COUNTIFS('AFA Rates'!$A$5:$A$1004,$A944,'AFA Rates'!$B$5:$B$1004,D$23)&gt;0,"Exp","")))</f>
        <v/>
      </c>
      <c r="E944" s="79">
        <f>IF(OR($A944="",E$23=""),"",IF(COUNTIFS('AFA Rates'!$A$5:$A$1004,$A944,'AFA Rates'!$B$5:$B$1004,E$23,'AFA Rates'!$O$5:$O$1004,"&lt;&gt;Expired")&gt;0,"✓",IF(COUNTIFS('AFA Rates'!$A$5:$A$1004,$A944,'AFA Rates'!$B$5:$B$1004,E$23)&gt;0,"Exp","")))</f>
        <v/>
      </c>
      <c r="F944" s="79">
        <f>IF(OR($A944="",F$23=""),"",IF(COUNTIFS('AFA Rates'!$A$5:$A$1004,$A944,'AFA Rates'!$B$5:$B$1004,F$23,'AFA Rates'!$O$5:$O$1004,"&lt;&gt;Expired")&gt;0,"✓",IF(COUNTIFS('AFA Rates'!$A$5:$A$1004,$A944,'AFA Rates'!$B$5:$B$1004,F$23)&gt;0,"Exp","")))</f>
        <v/>
      </c>
      <c r="G944" s="79">
        <f>IF(OR($A944="",G$23=""),"",IF(COUNTIFS('AFA Rates'!$A$5:$A$1004,$A944,'AFA Rates'!$B$5:$B$1004,G$23,'AFA Rates'!$O$5:$O$1004,"&lt;&gt;Expired")&gt;0,"✓",IF(COUNTIFS('AFA Rates'!$A$5:$A$1004,$A944,'AFA Rates'!$B$5:$B$1004,G$23)&gt;0,"Exp","")))</f>
        <v/>
      </c>
      <c r="H944" s="79">
        <f>IF(OR($A944="",H$23=""),"",IF(COUNTIFS('AFA Rates'!$A$5:$A$1004,$A944,'AFA Rates'!$B$5:$B$1004,H$23,'AFA Rates'!$O$5:$O$1004,"&lt;&gt;Expired")&gt;0,"✓",IF(COUNTIFS('AFA Rates'!$A$5:$A$1004,$A944,'AFA Rates'!$B$5:$B$1004,H$23)&gt;0,"Exp","")))</f>
        <v/>
      </c>
      <c r="I944" s="79">
        <f>IF(OR($A944="",I$23=""),"",IF(COUNTIFS('AFA Rates'!$A$5:$A$1004,$A944,'AFA Rates'!$B$5:$B$1004,I$23,'AFA Rates'!$O$5:$O$1004,"&lt;&gt;Expired")&gt;0,"✓",IF(COUNTIFS('AFA Rates'!$A$5:$A$1004,$A944,'AFA Rates'!$B$5:$B$1004,I$23)&gt;0,"Exp","")))</f>
        <v/>
      </c>
      <c r="J944" s="79">
        <f>IF(OR($A944="",J$23=""),"",IF(COUNTIFS('AFA Rates'!$A$5:$A$1004,$A944,'AFA Rates'!$B$5:$B$1004,J$23,'AFA Rates'!$O$5:$O$1004,"&lt;&gt;Expired")&gt;0,"✓",IF(COUNTIFS('AFA Rates'!$A$5:$A$1004,$A944,'AFA Rates'!$B$5:$B$1004,J$23)&gt;0,"Exp","")))</f>
        <v/>
      </c>
      <c r="K944" s="79">
        <f>IF(OR($A944="",K$23=""),"",IF(COUNTIFS('AFA Rates'!$A$5:$A$1004,$A944,'AFA Rates'!$B$5:$B$1004,K$23,'AFA Rates'!$O$5:$O$1004,"&lt;&gt;Expired")&gt;0,"✓",IF(COUNTIFS('AFA Rates'!$A$5:$A$1004,$A944,'AFA Rates'!$B$5:$B$1004,K$23)&gt;0,"Exp","")))</f>
        <v/>
      </c>
      <c r="L944" s="79">
        <f>IF(OR($A944="",L$23=""),"",IF(COUNTIFS('AFA Rates'!$A$5:$A$1004,$A944,'AFA Rates'!$B$5:$B$1004,L$23,'AFA Rates'!$O$5:$O$1004,"&lt;&gt;Expired")&gt;0,"✓",IF(COUNTIFS('AFA Rates'!$A$5:$A$1004,$A944,'AFA Rates'!$B$5:$B$1004,L$23)&gt;0,"Exp","")))</f>
        <v/>
      </c>
      <c r="M944" s="79">
        <f>IF(OR($A944="",M$23=""),"",IF(COUNTIFS('AFA Rates'!$A$5:$A$1004,$A944,'AFA Rates'!$B$5:$B$1004,M$23,'AFA Rates'!$O$5:$O$1004,"&lt;&gt;Expired")&gt;0,"✓",IF(COUNTIFS('AFA Rates'!$A$5:$A$1004,$A944,'AFA Rates'!$B$5:$B$1004,M$23)&gt;0,"Exp","")))</f>
        <v/>
      </c>
    </row>
    <row r="945">
      <c r="A945" s="78">
        <f>IFERROR(INDEX(Firms!$A$5:$A$1004,MATCH(922,Firms!$V$5:$V$1004,0)),"")</f>
        <v/>
      </c>
      <c r="B945" s="79">
        <f>IF($A945="","",INDEX(Firms!$B$5:$B$1004,MATCH(922,Firms!$V$5:$V$1004,0)))</f>
        <v/>
      </c>
      <c r="C945" s="79">
        <f>IF($A945="","",COUNTIFS('AFA Rates'!$A$5:$A$1004,$A945,'AFA Rates'!$O$5:$O$1004,"&lt;&gt;Expired"))</f>
        <v/>
      </c>
      <c r="D945" s="79">
        <f>IF(OR($A945="",D$23=""),"",IF(COUNTIFS('AFA Rates'!$A$5:$A$1004,$A945,'AFA Rates'!$B$5:$B$1004,D$23,'AFA Rates'!$O$5:$O$1004,"&lt;&gt;Expired")&gt;0,"✓",IF(COUNTIFS('AFA Rates'!$A$5:$A$1004,$A945,'AFA Rates'!$B$5:$B$1004,D$23)&gt;0,"Exp","")))</f>
        <v/>
      </c>
      <c r="E945" s="79">
        <f>IF(OR($A945="",E$23=""),"",IF(COUNTIFS('AFA Rates'!$A$5:$A$1004,$A945,'AFA Rates'!$B$5:$B$1004,E$23,'AFA Rates'!$O$5:$O$1004,"&lt;&gt;Expired")&gt;0,"✓",IF(COUNTIFS('AFA Rates'!$A$5:$A$1004,$A945,'AFA Rates'!$B$5:$B$1004,E$23)&gt;0,"Exp","")))</f>
        <v/>
      </c>
      <c r="F945" s="79">
        <f>IF(OR($A945="",F$23=""),"",IF(COUNTIFS('AFA Rates'!$A$5:$A$1004,$A945,'AFA Rates'!$B$5:$B$1004,F$23,'AFA Rates'!$O$5:$O$1004,"&lt;&gt;Expired")&gt;0,"✓",IF(COUNTIFS('AFA Rates'!$A$5:$A$1004,$A945,'AFA Rates'!$B$5:$B$1004,F$23)&gt;0,"Exp","")))</f>
        <v/>
      </c>
      <c r="G945" s="79">
        <f>IF(OR($A945="",G$23=""),"",IF(COUNTIFS('AFA Rates'!$A$5:$A$1004,$A945,'AFA Rates'!$B$5:$B$1004,G$23,'AFA Rates'!$O$5:$O$1004,"&lt;&gt;Expired")&gt;0,"✓",IF(COUNTIFS('AFA Rates'!$A$5:$A$1004,$A945,'AFA Rates'!$B$5:$B$1004,G$23)&gt;0,"Exp","")))</f>
        <v/>
      </c>
      <c r="H945" s="79">
        <f>IF(OR($A945="",H$23=""),"",IF(COUNTIFS('AFA Rates'!$A$5:$A$1004,$A945,'AFA Rates'!$B$5:$B$1004,H$23,'AFA Rates'!$O$5:$O$1004,"&lt;&gt;Expired")&gt;0,"✓",IF(COUNTIFS('AFA Rates'!$A$5:$A$1004,$A945,'AFA Rates'!$B$5:$B$1004,H$23)&gt;0,"Exp","")))</f>
        <v/>
      </c>
      <c r="I945" s="79">
        <f>IF(OR($A945="",I$23=""),"",IF(COUNTIFS('AFA Rates'!$A$5:$A$1004,$A945,'AFA Rates'!$B$5:$B$1004,I$23,'AFA Rates'!$O$5:$O$1004,"&lt;&gt;Expired")&gt;0,"✓",IF(COUNTIFS('AFA Rates'!$A$5:$A$1004,$A945,'AFA Rates'!$B$5:$B$1004,I$23)&gt;0,"Exp","")))</f>
        <v/>
      </c>
      <c r="J945" s="79">
        <f>IF(OR($A945="",J$23=""),"",IF(COUNTIFS('AFA Rates'!$A$5:$A$1004,$A945,'AFA Rates'!$B$5:$B$1004,J$23,'AFA Rates'!$O$5:$O$1004,"&lt;&gt;Expired")&gt;0,"✓",IF(COUNTIFS('AFA Rates'!$A$5:$A$1004,$A945,'AFA Rates'!$B$5:$B$1004,J$23)&gt;0,"Exp","")))</f>
        <v/>
      </c>
      <c r="K945" s="79">
        <f>IF(OR($A945="",K$23=""),"",IF(COUNTIFS('AFA Rates'!$A$5:$A$1004,$A945,'AFA Rates'!$B$5:$B$1004,K$23,'AFA Rates'!$O$5:$O$1004,"&lt;&gt;Expired")&gt;0,"✓",IF(COUNTIFS('AFA Rates'!$A$5:$A$1004,$A945,'AFA Rates'!$B$5:$B$1004,K$23)&gt;0,"Exp","")))</f>
        <v/>
      </c>
      <c r="L945" s="79">
        <f>IF(OR($A945="",L$23=""),"",IF(COUNTIFS('AFA Rates'!$A$5:$A$1004,$A945,'AFA Rates'!$B$5:$B$1004,L$23,'AFA Rates'!$O$5:$O$1004,"&lt;&gt;Expired")&gt;0,"✓",IF(COUNTIFS('AFA Rates'!$A$5:$A$1004,$A945,'AFA Rates'!$B$5:$B$1004,L$23)&gt;0,"Exp","")))</f>
        <v/>
      </c>
      <c r="M945" s="79">
        <f>IF(OR($A945="",M$23=""),"",IF(COUNTIFS('AFA Rates'!$A$5:$A$1004,$A945,'AFA Rates'!$B$5:$B$1004,M$23,'AFA Rates'!$O$5:$O$1004,"&lt;&gt;Expired")&gt;0,"✓",IF(COUNTIFS('AFA Rates'!$A$5:$A$1004,$A945,'AFA Rates'!$B$5:$B$1004,M$23)&gt;0,"Exp","")))</f>
        <v/>
      </c>
    </row>
    <row r="946">
      <c r="A946" s="78">
        <f>IFERROR(INDEX(Firms!$A$5:$A$1004,MATCH(923,Firms!$V$5:$V$1004,0)),"")</f>
        <v/>
      </c>
      <c r="B946" s="79">
        <f>IF($A946="","",INDEX(Firms!$B$5:$B$1004,MATCH(923,Firms!$V$5:$V$1004,0)))</f>
        <v/>
      </c>
      <c r="C946" s="79">
        <f>IF($A946="","",COUNTIFS('AFA Rates'!$A$5:$A$1004,$A946,'AFA Rates'!$O$5:$O$1004,"&lt;&gt;Expired"))</f>
        <v/>
      </c>
      <c r="D946" s="79">
        <f>IF(OR($A946="",D$23=""),"",IF(COUNTIFS('AFA Rates'!$A$5:$A$1004,$A946,'AFA Rates'!$B$5:$B$1004,D$23,'AFA Rates'!$O$5:$O$1004,"&lt;&gt;Expired")&gt;0,"✓",IF(COUNTIFS('AFA Rates'!$A$5:$A$1004,$A946,'AFA Rates'!$B$5:$B$1004,D$23)&gt;0,"Exp","")))</f>
        <v/>
      </c>
      <c r="E946" s="79">
        <f>IF(OR($A946="",E$23=""),"",IF(COUNTIFS('AFA Rates'!$A$5:$A$1004,$A946,'AFA Rates'!$B$5:$B$1004,E$23,'AFA Rates'!$O$5:$O$1004,"&lt;&gt;Expired")&gt;0,"✓",IF(COUNTIFS('AFA Rates'!$A$5:$A$1004,$A946,'AFA Rates'!$B$5:$B$1004,E$23)&gt;0,"Exp","")))</f>
        <v/>
      </c>
      <c r="F946" s="79">
        <f>IF(OR($A946="",F$23=""),"",IF(COUNTIFS('AFA Rates'!$A$5:$A$1004,$A946,'AFA Rates'!$B$5:$B$1004,F$23,'AFA Rates'!$O$5:$O$1004,"&lt;&gt;Expired")&gt;0,"✓",IF(COUNTIFS('AFA Rates'!$A$5:$A$1004,$A946,'AFA Rates'!$B$5:$B$1004,F$23)&gt;0,"Exp","")))</f>
        <v/>
      </c>
      <c r="G946" s="79">
        <f>IF(OR($A946="",G$23=""),"",IF(COUNTIFS('AFA Rates'!$A$5:$A$1004,$A946,'AFA Rates'!$B$5:$B$1004,G$23,'AFA Rates'!$O$5:$O$1004,"&lt;&gt;Expired")&gt;0,"✓",IF(COUNTIFS('AFA Rates'!$A$5:$A$1004,$A946,'AFA Rates'!$B$5:$B$1004,G$23)&gt;0,"Exp","")))</f>
        <v/>
      </c>
      <c r="H946" s="79">
        <f>IF(OR($A946="",H$23=""),"",IF(COUNTIFS('AFA Rates'!$A$5:$A$1004,$A946,'AFA Rates'!$B$5:$B$1004,H$23,'AFA Rates'!$O$5:$O$1004,"&lt;&gt;Expired")&gt;0,"✓",IF(COUNTIFS('AFA Rates'!$A$5:$A$1004,$A946,'AFA Rates'!$B$5:$B$1004,H$23)&gt;0,"Exp","")))</f>
        <v/>
      </c>
      <c r="I946" s="79">
        <f>IF(OR($A946="",I$23=""),"",IF(COUNTIFS('AFA Rates'!$A$5:$A$1004,$A946,'AFA Rates'!$B$5:$B$1004,I$23,'AFA Rates'!$O$5:$O$1004,"&lt;&gt;Expired")&gt;0,"✓",IF(COUNTIFS('AFA Rates'!$A$5:$A$1004,$A946,'AFA Rates'!$B$5:$B$1004,I$23)&gt;0,"Exp","")))</f>
        <v/>
      </c>
      <c r="J946" s="79">
        <f>IF(OR($A946="",J$23=""),"",IF(COUNTIFS('AFA Rates'!$A$5:$A$1004,$A946,'AFA Rates'!$B$5:$B$1004,J$23,'AFA Rates'!$O$5:$O$1004,"&lt;&gt;Expired")&gt;0,"✓",IF(COUNTIFS('AFA Rates'!$A$5:$A$1004,$A946,'AFA Rates'!$B$5:$B$1004,J$23)&gt;0,"Exp","")))</f>
        <v/>
      </c>
      <c r="K946" s="79">
        <f>IF(OR($A946="",K$23=""),"",IF(COUNTIFS('AFA Rates'!$A$5:$A$1004,$A946,'AFA Rates'!$B$5:$B$1004,K$23,'AFA Rates'!$O$5:$O$1004,"&lt;&gt;Expired")&gt;0,"✓",IF(COUNTIFS('AFA Rates'!$A$5:$A$1004,$A946,'AFA Rates'!$B$5:$B$1004,K$23)&gt;0,"Exp","")))</f>
        <v/>
      </c>
      <c r="L946" s="79">
        <f>IF(OR($A946="",L$23=""),"",IF(COUNTIFS('AFA Rates'!$A$5:$A$1004,$A946,'AFA Rates'!$B$5:$B$1004,L$23,'AFA Rates'!$O$5:$O$1004,"&lt;&gt;Expired")&gt;0,"✓",IF(COUNTIFS('AFA Rates'!$A$5:$A$1004,$A946,'AFA Rates'!$B$5:$B$1004,L$23)&gt;0,"Exp","")))</f>
        <v/>
      </c>
      <c r="M946" s="79">
        <f>IF(OR($A946="",M$23=""),"",IF(COUNTIFS('AFA Rates'!$A$5:$A$1004,$A946,'AFA Rates'!$B$5:$B$1004,M$23,'AFA Rates'!$O$5:$O$1004,"&lt;&gt;Expired")&gt;0,"✓",IF(COUNTIFS('AFA Rates'!$A$5:$A$1004,$A946,'AFA Rates'!$B$5:$B$1004,M$23)&gt;0,"Exp","")))</f>
        <v/>
      </c>
    </row>
    <row r="947">
      <c r="A947" s="78">
        <f>IFERROR(INDEX(Firms!$A$5:$A$1004,MATCH(924,Firms!$V$5:$V$1004,0)),"")</f>
        <v/>
      </c>
      <c r="B947" s="79">
        <f>IF($A947="","",INDEX(Firms!$B$5:$B$1004,MATCH(924,Firms!$V$5:$V$1004,0)))</f>
        <v/>
      </c>
      <c r="C947" s="79">
        <f>IF($A947="","",COUNTIFS('AFA Rates'!$A$5:$A$1004,$A947,'AFA Rates'!$O$5:$O$1004,"&lt;&gt;Expired"))</f>
        <v/>
      </c>
      <c r="D947" s="79">
        <f>IF(OR($A947="",D$23=""),"",IF(COUNTIFS('AFA Rates'!$A$5:$A$1004,$A947,'AFA Rates'!$B$5:$B$1004,D$23,'AFA Rates'!$O$5:$O$1004,"&lt;&gt;Expired")&gt;0,"✓",IF(COUNTIFS('AFA Rates'!$A$5:$A$1004,$A947,'AFA Rates'!$B$5:$B$1004,D$23)&gt;0,"Exp","")))</f>
        <v/>
      </c>
      <c r="E947" s="79">
        <f>IF(OR($A947="",E$23=""),"",IF(COUNTIFS('AFA Rates'!$A$5:$A$1004,$A947,'AFA Rates'!$B$5:$B$1004,E$23,'AFA Rates'!$O$5:$O$1004,"&lt;&gt;Expired")&gt;0,"✓",IF(COUNTIFS('AFA Rates'!$A$5:$A$1004,$A947,'AFA Rates'!$B$5:$B$1004,E$23)&gt;0,"Exp","")))</f>
        <v/>
      </c>
      <c r="F947" s="79">
        <f>IF(OR($A947="",F$23=""),"",IF(COUNTIFS('AFA Rates'!$A$5:$A$1004,$A947,'AFA Rates'!$B$5:$B$1004,F$23,'AFA Rates'!$O$5:$O$1004,"&lt;&gt;Expired")&gt;0,"✓",IF(COUNTIFS('AFA Rates'!$A$5:$A$1004,$A947,'AFA Rates'!$B$5:$B$1004,F$23)&gt;0,"Exp","")))</f>
        <v/>
      </c>
      <c r="G947" s="79">
        <f>IF(OR($A947="",G$23=""),"",IF(COUNTIFS('AFA Rates'!$A$5:$A$1004,$A947,'AFA Rates'!$B$5:$B$1004,G$23,'AFA Rates'!$O$5:$O$1004,"&lt;&gt;Expired")&gt;0,"✓",IF(COUNTIFS('AFA Rates'!$A$5:$A$1004,$A947,'AFA Rates'!$B$5:$B$1004,G$23)&gt;0,"Exp","")))</f>
        <v/>
      </c>
      <c r="H947" s="79">
        <f>IF(OR($A947="",H$23=""),"",IF(COUNTIFS('AFA Rates'!$A$5:$A$1004,$A947,'AFA Rates'!$B$5:$B$1004,H$23,'AFA Rates'!$O$5:$O$1004,"&lt;&gt;Expired")&gt;0,"✓",IF(COUNTIFS('AFA Rates'!$A$5:$A$1004,$A947,'AFA Rates'!$B$5:$B$1004,H$23)&gt;0,"Exp","")))</f>
        <v/>
      </c>
      <c r="I947" s="79">
        <f>IF(OR($A947="",I$23=""),"",IF(COUNTIFS('AFA Rates'!$A$5:$A$1004,$A947,'AFA Rates'!$B$5:$B$1004,I$23,'AFA Rates'!$O$5:$O$1004,"&lt;&gt;Expired")&gt;0,"✓",IF(COUNTIFS('AFA Rates'!$A$5:$A$1004,$A947,'AFA Rates'!$B$5:$B$1004,I$23)&gt;0,"Exp","")))</f>
        <v/>
      </c>
      <c r="J947" s="79">
        <f>IF(OR($A947="",J$23=""),"",IF(COUNTIFS('AFA Rates'!$A$5:$A$1004,$A947,'AFA Rates'!$B$5:$B$1004,J$23,'AFA Rates'!$O$5:$O$1004,"&lt;&gt;Expired")&gt;0,"✓",IF(COUNTIFS('AFA Rates'!$A$5:$A$1004,$A947,'AFA Rates'!$B$5:$B$1004,J$23)&gt;0,"Exp","")))</f>
        <v/>
      </c>
      <c r="K947" s="79">
        <f>IF(OR($A947="",K$23=""),"",IF(COUNTIFS('AFA Rates'!$A$5:$A$1004,$A947,'AFA Rates'!$B$5:$B$1004,K$23,'AFA Rates'!$O$5:$O$1004,"&lt;&gt;Expired")&gt;0,"✓",IF(COUNTIFS('AFA Rates'!$A$5:$A$1004,$A947,'AFA Rates'!$B$5:$B$1004,K$23)&gt;0,"Exp","")))</f>
        <v/>
      </c>
      <c r="L947" s="79">
        <f>IF(OR($A947="",L$23=""),"",IF(COUNTIFS('AFA Rates'!$A$5:$A$1004,$A947,'AFA Rates'!$B$5:$B$1004,L$23,'AFA Rates'!$O$5:$O$1004,"&lt;&gt;Expired")&gt;0,"✓",IF(COUNTIFS('AFA Rates'!$A$5:$A$1004,$A947,'AFA Rates'!$B$5:$B$1004,L$23)&gt;0,"Exp","")))</f>
        <v/>
      </c>
      <c r="M947" s="79">
        <f>IF(OR($A947="",M$23=""),"",IF(COUNTIFS('AFA Rates'!$A$5:$A$1004,$A947,'AFA Rates'!$B$5:$B$1004,M$23,'AFA Rates'!$O$5:$O$1004,"&lt;&gt;Expired")&gt;0,"✓",IF(COUNTIFS('AFA Rates'!$A$5:$A$1004,$A947,'AFA Rates'!$B$5:$B$1004,M$23)&gt;0,"Exp","")))</f>
        <v/>
      </c>
    </row>
    <row r="948">
      <c r="A948" s="78">
        <f>IFERROR(INDEX(Firms!$A$5:$A$1004,MATCH(925,Firms!$V$5:$V$1004,0)),"")</f>
        <v/>
      </c>
      <c r="B948" s="79">
        <f>IF($A948="","",INDEX(Firms!$B$5:$B$1004,MATCH(925,Firms!$V$5:$V$1004,0)))</f>
        <v/>
      </c>
      <c r="C948" s="79">
        <f>IF($A948="","",COUNTIFS('AFA Rates'!$A$5:$A$1004,$A948,'AFA Rates'!$O$5:$O$1004,"&lt;&gt;Expired"))</f>
        <v/>
      </c>
      <c r="D948" s="79">
        <f>IF(OR($A948="",D$23=""),"",IF(COUNTIFS('AFA Rates'!$A$5:$A$1004,$A948,'AFA Rates'!$B$5:$B$1004,D$23,'AFA Rates'!$O$5:$O$1004,"&lt;&gt;Expired")&gt;0,"✓",IF(COUNTIFS('AFA Rates'!$A$5:$A$1004,$A948,'AFA Rates'!$B$5:$B$1004,D$23)&gt;0,"Exp","")))</f>
        <v/>
      </c>
      <c r="E948" s="79">
        <f>IF(OR($A948="",E$23=""),"",IF(COUNTIFS('AFA Rates'!$A$5:$A$1004,$A948,'AFA Rates'!$B$5:$B$1004,E$23,'AFA Rates'!$O$5:$O$1004,"&lt;&gt;Expired")&gt;0,"✓",IF(COUNTIFS('AFA Rates'!$A$5:$A$1004,$A948,'AFA Rates'!$B$5:$B$1004,E$23)&gt;0,"Exp","")))</f>
        <v/>
      </c>
      <c r="F948" s="79">
        <f>IF(OR($A948="",F$23=""),"",IF(COUNTIFS('AFA Rates'!$A$5:$A$1004,$A948,'AFA Rates'!$B$5:$B$1004,F$23,'AFA Rates'!$O$5:$O$1004,"&lt;&gt;Expired")&gt;0,"✓",IF(COUNTIFS('AFA Rates'!$A$5:$A$1004,$A948,'AFA Rates'!$B$5:$B$1004,F$23)&gt;0,"Exp","")))</f>
        <v/>
      </c>
      <c r="G948" s="79">
        <f>IF(OR($A948="",G$23=""),"",IF(COUNTIFS('AFA Rates'!$A$5:$A$1004,$A948,'AFA Rates'!$B$5:$B$1004,G$23,'AFA Rates'!$O$5:$O$1004,"&lt;&gt;Expired")&gt;0,"✓",IF(COUNTIFS('AFA Rates'!$A$5:$A$1004,$A948,'AFA Rates'!$B$5:$B$1004,G$23)&gt;0,"Exp","")))</f>
        <v/>
      </c>
      <c r="H948" s="79">
        <f>IF(OR($A948="",H$23=""),"",IF(COUNTIFS('AFA Rates'!$A$5:$A$1004,$A948,'AFA Rates'!$B$5:$B$1004,H$23,'AFA Rates'!$O$5:$O$1004,"&lt;&gt;Expired")&gt;0,"✓",IF(COUNTIFS('AFA Rates'!$A$5:$A$1004,$A948,'AFA Rates'!$B$5:$B$1004,H$23)&gt;0,"Exp","")))</f>
        <v/>
      </c>
      <c r="I948" s="79">
        <f>IF(OR($A948="",I$23=""),"",IF(COUNTIFS('AFA Rates'!$A$5:$A$1004,$A948,'AFA Rates'!$B$5:$B$1004,I$23,'AFA Rates'!$O$5:$O$1004,"&lt;&gt;Expired")&gt;0,"✓",IF(COUNTIFS('AFA Rates'!$A$5:$A$1004,$A948,'AFA Rates'!$B$5:$B$1004,I$23)&gt;0,"Exp","")))</f>
        <v/>
      </c>
      <c r="J948" s="79">
        <f>IF(OR($A948="",J$23=""),"",IF(COUNTIFS('AFA Rates'!$A$5:$A$1004,$A948,'AFA Rates'!$B$5:$B$1004,J$23,'AFA Rates'!$O$5:$O$1004,"&lt;&gt;Expired")&gt;0,"✓",IF(COUNTIFS('AFA Rates'!$A$5:$A$1004,$A948,'AFA Rates'!$B$5:$B$1004,J$23)&gt;0,"Exp","")))</f>
        <v/>
      </c>
      <c r="K948" s="79">
        <f>IF(OR($A948="",K$23=""),"",IF(COUNTIFS('AFA Rates'!$A$5:$A$1004,$A948,'AFA Rates'!$B$5:$B$1004,K$23,'AFA Rates'!$O$5:$O$1004,"&lt;&gt;Expired")&gt;0,"✓",IF(COUNTIFS('AFA Rates'!$A$5:$A$1004,$A948,'AFA Rates'!$B$5:$B$1004,K$23)&gt;0,"Exp","")))</f>
        <v/>
      </c>
      <c r="L948" s="79">
        <f>IF(OR($A948="",L$23=""),"",IF(COUNTIFS('AFA Rates'!$A$5:$A$1004,$A948,'AFA Rates'!$B$5:$B$1004,L$23,'AFA Rates'!$O$5:$O$1004,"&lt;&gt;Expired")&gt;0,"✓",IF(COUNTIFS('AFA Rates'!$A$5:$A$1004,$A948,'AFA Rates'!$B$5:$B$1004,L$23)&gt;0,"Exp","")))</f>
        <v/>
      </c>
      <c r="M948" s="79">
        <f>IF(OR($A948="",M$23=""),"",IF(COUNTIFS('AFA Rates'!$A$5:$A$1004,$A948,'AFA Rates'!$B$5:$B$1004,M$23,'AFA Rates'!$O$5:$O$1004,"&lt;&gt;Expired")&gt;0,"✓",IF(COUNTIFS('AFA Rates'!$A$5:$A$1004,$A948,'AFA Rates'!$B$5:$B$1004,M$23)&gt;0,"Exp","")))</f>
        <v/>
      </c>
    </row>
    <row r="949">
      <c r="A949" s="78">
        <f>IFERROR(INDEX(Firms!$A$5:$A$1004,MATCH(926,Firms!$V$5:$V$1004,0)),"")</f>
        <v/>
      </c>
      <c r="B949" s="79">
        <f>IF($A949="","",INDEX(Firms!$B$5:$B$1004,MATCH(926,Firms!$V$5:$V$1004,0)))</f>
        <v/>
      </c>
      <c r="C949" s="79">
        <f>IF($A949="","",COUNTIFS('AFA Rates'!$A$5:$A$1004,$A949,'AFA Rates'!$O$5:$O$1004,"&lt;&gt;Expired"))</f>
        <v/>
      </c>
      <c r="D949" s="79">
        <f>IF(OR($A949="",D$23=""),"",IF(COUNTIFS('AFA Rates'!$A$5:$A$1004,$A949,'AFA Rates'!$B$5:$B$1004,D$23,'AFA Rates'!$O$5:$O$1004,"&lt;&gt;Expired")&gt;0,"✓",IF(COUNTIFS('AFA Rates'!$A$5:$A$1004,$A949,'AFA Rates'!$B$5:$B$1004,D$23)&gt;0,"Exp","")))</f>
        <v/>
      </c>
      <c r="E949" s="79">
        <f>IF(OR($A949="",E$23=""),"",IF(COUNTIFS('AFA Rates'!$A$5:$A$1004,$A949,'AFA Rates'!$B$5:$B$1004,E$23,'AFA Rates'!$O$5:$O$1004,"&lt;&gt;Expired")&gt;0,"✓",IF(COUNTIFS('AFA Rates'!$A$5:$A$1004,$A949,'AFA Rates'!$B$5:$B$1004,E$23)&gt;0,"Exp","")))</f>
        <v/>
      </c>
      <c r="F949" s="79">
        <f>IF(OR($A949="",F$23=""),"",IF(COUNTIFS('AFA Rates'!$A$5:$A$1004,$A949,'AFA Rates'!$B$5:$B$1004,F$23,'AFA Rates'!$O$5:$O$1004,"&lt;&gt;Expired")&gt;0,"✓",IF(COUNTIFS('AFA Rates'!$A$5:$A$1004,$A949,'AFA Rates'!$B$5:$B$1004,F$23)&gt;0,"Exp","")))</f>
        <v/>
      </c>
      <c r="G949" s="79">
        <f>IF(OR($A949="",G$23=""),"",IF(COUNTIFS('AFA Rates'!$A$5:$A$1004,$A949,'AFA Rates'!$B$5:$B$1004,G$23,'AFA Rates'!$O$5:$O$1004,"&lt;&gt;Expired")&gt;0,"✓",IF(COUNTIFS('AFA Rates'!$A$5:$A$1004,$A949,'AFA Rates'!$B$5:$B$1004,G$23)&gt;0,"Exp","")))</f>
        <v/>
      </c>
      <c r="H949" s="79">
        <f>IF(OR($A949="",H$23=""),"",IF(COUNTIFS('AFA Rates'!$A$5:$A$1004,$A949,'AFA Rates'!$B$5:$B$1004,H$23,'AFA Rates'!$O$5:$O$1004,"&lt;&gt;Expired")&gt;0,"✓",IF(COUNTIFS('AFA Rates'!$A$5:$A$1004,$A949,'AFA Rates'!$B$5:$B$1004,H$23)&gt;0,"Exp","")))</f>
        <v/>
      </c>
      <c r="I949" s="79">
        <f>IF(OR($A949="",I$23=""),"",IF(COUNTIFS('AFA Rates'!$A$5:$A$1004,$A949,'AFA Rates'!$B$5:$B$1004,I$23,'AFA Rates'!$O$5:$O$1004,"&lt;&gt;Expired")&gt;0,"✓",IF(COUNTIFS('AFA Rates'!$A$5:$A$1004,$A949,'AFA Rates'!$B$5:$B$1004,I$23)&gt;0,"Exp","")))</f>
        <v/>
      </c>
      <c r="J949" s="79">
        <f>IF(OR($A949="",J$23=""),"",IF(COUNTIFS('AFA Rates'!$A$5:$A$1004,$A949,'AFA Rates'!$B$5:$B$1004,J$23,'AFA Rates'!$O$5:$O$1004,"&lt;&gt;Expired")&gt;0,"✓",IF(COUNTIFS('AFA Rates'!$A$5:$A$1004,$A949,'AFA Rates'!$B$5:$B$1004,J$23)&gt;0,"Exp","")))</f>
        <v/>
      </c>
      <c r="K949" s="79">
        <f>IF(OR($A949="",K$23=""),"",IF(COUNTIFS('AFA Rates'!$A$5:$A$1004,$A949,'AFA Rates'!$B$5:$B$1004,K$23,'AFA Rates'!$O$5:$O$1004,"&lt;&gt;Expired")&gt;0,"✓",IF(COUNTIFS('AFA Rates'!$A$5:$A$1004,$A949,'AFA Rates'!$B$5:$B$1004,K$23)&gt;0,"Exp","")))</f>
        <v/>
      </c>
      <c r="L949" s="79">
        <f>IF(OR($A949="",L$23=""),"",IF(COUNTIFS('AFA Rates'!$A$5:$A$1004,$A949,'AFA Rates'!$B$5:$B$1004,L$23,'AFA Rates'!$O$5:$O$1004,"&lt;&gt;Expired")&gt;0,"✓",IF(COUNTIFS('AFA Rates'!$A$5:$A$1004,$A949,'AFA Rates'!$B$5:$B$1004,L$23)&gt;0,"Exp","")))</f>
        <v/>
      </c>
      <c r="M949" s="79">
        <f>IF(OR($A949="",M$23=""),"",IF(COUNTIFS('AFA Rates'!$A$5:$A$1004,$A949,'AFA Rates'!$B$5:$B$1004,M$23,'AFA Rates'!$O$5:$O$1004,"&lt;&gt;Expired")&gt;0,"✓",IF(COUNTIFS('AFA Rates'!$A$5:$A$1004,$A949,'AFA Rates'!$B$5:$B$1004,M$23)&gt;0,"Exp","")))</f>
        <v/>
      </c>
    </row>
    <row r="950">
      <c r="A950" s="78">
        <f>IFERROR(INDEX(Firms!$A$5:$A$1004,MATCH(927,Firms!$V$5:$V$1004,0)),"")</f>
        <v/>
      </c>
      <c r="B950" s="79">
        <f>IF($A950="","",INDEX(Firms!$B$5:$B$1004,MATCH(927,Firms!$V$5:$V$1004,0)))</f>
        <v/>
      </c>
      <c r="C950" s="79">
        <f>IF($A950="","",COUNTIFS('AFA Rates'!$A$5:$A$1004,$A950,'AFA Rates'!$O$5:$O$1004,"&lt;&gt;Expired"))</f>
        <v/>
      </c>
      <c r="D950" s="79">
        <f>IF(OR($A950="",D$23=""),"",IF(COUNTIFS('AFA Rates'!$A$5:$A$1004,$A950,'AFA Rates'!$B$5:$B$1004,D$23,'AFA Rates'!$O$5:$O$1004,"&lt;&gt;Expired")&gt;0,"✓",IF(COUNTIFS('AFA Rates'!$A$5:$A$1004,$A950,'AFA Rates'!$B$5:$B$1004,D$23)&gt;0,"Exp","")))</f>
        <v/>
      </c>
      <c r="E950" s="79">
        <f>IF(OR($A950="",E$23=""),"",IF(COUNTIFS('AFA Rates'!$A$5:$A$1004,$A950,'AFA Rates'!$B$5:$B$1004,E$23,'AFA Rates'!$O$5:$O$1004,"&lt;&gt;Expired")&gt;0,"✓",IF(COUNTIFS('AFA Rates'!$A$5:$A$1004,$A950,'AFA Rates'!$B$5:$B$1004,E$23)&gt;0,"Exp","")))</f>
        <v/>
      </c>
      <c r="F950" s="79">
        <f>IF(OR($A950="",F$23=""),"",IF(COUNTIFS('AFA Rates'!$A$5:$A$1004,$A950,'AFA Rates'!$B$5:$B$1004,F$23,'AFA Rates'!$O$5:$O$1004,"&lt;&gt;Expired")&gt;0,"✓",IF(COUNTIFS('AFA Rates'!$A$5:$A$1004,$A950,'AFA Rates'!$B$5:$B$1004,F$23)&gt;0,"Exp","")))</f>
        <v/>
      </c>
      <c r="G950" s="79">
        <f>IF(OR($A950="",G$23=""),"",IF(COUNTIFS('AFA Rates'!$A$5:$A$1004,$A950,'AFA Rates'!$B$5:$B$1004,G$23,'AFA Rates'!$O$5:$O$1004,"&lt;&gt;Expired")&gt;0,"✓",IF(COUNTIFS('AFA Rates'!$A$5:$A$1004,$A950,'AFA Rates'!$B$5:$B$1004,G$23)&gt;0,"Exp","")))</f>
        <v/>
      </c>
      <c r="H950" s="79">
        <f>IF(OR($A950="",H$23=""),"",IF(COUNTIFS('AFA Rates'!$A$5:$A$1004,$A950,'AFA Rates'!$B$5:$B$1004,H$23,'AFA Rates'!$O$5:$O$1004,"&lt;&gt;Expired")&gt;0,"✓",IF(COUNTIFS('AFA Rates'!$A$5:$A$1004,$A950,'AFA Rates'!$B$5:$B$1004,H$23)&gt;0,"Exp","")))</f>
        <v/>
      </c>
      <c r="I950" s="79">
        <f>IF(OR($A950="",I$23=""),"",IF(COUNTIFS('AFA Rates'!$A$5:$A$1004,$A950,'AFA Rates'!$B$5:$B$1004,I$23,'AFA Rates'!$O$5:$O$1004,"&lt;&gt;Expired")&gt;0,"✓",IF(COUNTIFS('AFA Rates'!$A$5:$A$1004,$A950,'AFA Rates'!$B$5:$B$1004,I$23)&gt;0,"Exp","")))</f>
        <v/>
      </c>
      <c r="J950" s="79">
        <f>IF(OR($A950="",J$23=""),"",IF(COUNTIFS('AFA Rates'!$A$5:$A$1004,$A950,'AFA Rates'!$B$5:$B$1004,J$23,'AFA Rates'!$O$5:$O$1004,"&lt;&gt;Expired")&gt;0,"✓",IF(COUNTIFS('AFA Rates'!$A$5:$A$1004,$A950,'AFA Rates'!$B$5:$B$1004,J$23)&gt;0,"Exp","")))</f>
        <v/>
      </c>
      <c r="K950" s="79">
        <f>IF(OR($A950="",K$23=""),"",IF(COUNTIFS('AFA Rates'!$A$5:$A$1004,$A950,'AFA Rates'!$B$5:$B$1004,K$23,'AFA Rates'!$O$5:$O$1004,"&lt;&gt;Expired")&gt;0,"✓",IF(COUNTIFS('AFA Rates'!$A$5:$A$1004,$A950,'AFA Rates'!$B$5:$B$1004,K$23)&gt;0,"Exp","")))</f>
        <v/>
      </c>
      <c r="L950" s="79">
        <f>IF(OR($A950="",L$23=""),"",IF(COUNTIFS('AFA Rates'!$A$5:$A$1004,$A950,'AFA Rates'!$B$5:$B$1004,L$23,'AFA Rates'!$O$5:$O$1004,"&lt;&gt;Expired")&gt;0,"✓",IF(COUNTIFS('AFA Rates'!$A$5:$A$1004,$A950,'AFA Rates'!$B$5:$B$1004,L$23)&gt;0,"Exp","")))</f>
        <v/>
      </c>
      <c r="M950" s="79">
        <f>IF(OR($A950="",M$23=""),"",IF(COUNTIFS('AFA Rates'!$A$5:$A$1004,$A950,'AFA Rates'!$B$5:$B$1004,M$23,'AFA Rates'!$O$5:$O$1004,"&lt;&gt;Expired")&gt;0,"✓",IF(COUNTIFS('AFA Rates'!$A$5:$A$1004,$A950,'AFA Rates'!$B$5:$B$1004,M$23)&gt;0,"Exp","")))</f>
        <v/>
      </c>
    </row>
    <row r="951">
      <c r="A951" s="78">
        <f>IFERROR(INDEX(Firms!$A$5:$A$1004,MATCH(928,Firms!$V$5:$V$1004,0)),"")</f>
        <v/>
      </c>
      <c r="B951" s="79">
        <f>IF($A951="","",INDEX(Firms!$B$5:$B$1004,MATCH(928,Firms!$V$5:$V$1004,0)))</f>
        <v/>
      </c>
      <c r="C951" s="79">
        <f>IF($A951="","",COUNTIFS('AFA Rates'!$A$5:$A$1004,$A951,'AFA Rates'!$O$5:$O$1004,"&lt;&gt;Expired"))</f>
        <v/>
      </c>
      <c r="D951" s="79">
        <f>IF(OR($A951="",D$23=""),"",IF(COUNTIFS('AFA Rates'!$A$5:$A$1004,$A951,'AFA Rates'!$B$5:$B$1004,D$23,'AFA Rates'!$O$5:$O$1004,"&lt;&gt;Expired")&gt;0,"✓",IF(COUNTIFS('AFA Rates'!$A$5:$A$1004,$A951,'AFA Rates'!$B$5:$B$1004,D$23)&gt;0,"Exp","")))</f>
        <v/>
      </c>
      <c r="E951" s="79">
        <f>IF(OR($A951="",E$23=""),"",IF(COUNTIFS('AFA Rates'!$A$5:$A$1004,$A951,'AFA Rates'!$B$5:$B$1004,E$23,'AFA Rates'!$O$5:$O$1004,"&lt;&gt;Expired")&gt;0,"✓",IF(COUNTIFS('AFA Rates'!$A$5:$A$1004,$A951,'AFA Rates'!$B$5:$B$1004,E$23)&gt;0,"Exp","")))</f>
        <v/>
      </c>
      <c r="F951" s="79">
        <f>IF(OR($A951="",F$23=""),"",IF(COUNTIFS('AFA Rates'!$A$5:$A$1004,$A951,'AFA Rates'!$B$5:$B$1004,F$23,'AFA Rates'!$O$5:$O$1004,"&lt;&gt;Expired")&gt;0,"✓",IF(COUNTIFS('AFA Rates'!$A$5:$A$1004,$A951,'AFA Rates'!$B$5:$B$1004,F$23)&gt;0,"Exp","")))</f>
        <v/>
      </c>
      <c r="G951" s="79">
        <f>IF(OR($A951="",G$23=""),"",IF(COUNTIFS('AFA Rates'!$A$5:$A$1004,$A951,'AFA Rates'!$B$5:$B$1004,G$23,'AFA Rates'!$O$5:$O$1004,"&lt;&gt;Expired")&gt;0,"✓",IF(COUNTIFS('AFA Rates'!$A$5:$A$1004,$A951,'AFA Rates'!$B$5:$B$1004,G$23)&gt;0,"Exp","")))</f>
        <v/>
      </c>
      <c r="H951" s="79">
        <f>IF(OR($A951="",H$23=""),"",IF(COUNTIFS('AFA Rates'!$A$5:$A$1004,$A951,'AFA Rates'!$B$5:$B$1004,H$23,'AFA Rates'!$O$5:$O$1004,"&lt;&gt;Expired")&gt;0,"✓",IF(COUNTIFS('AFA Rates'!$A$5:$A$1004,$A951,'AFA Rates'!$B$5:$B$1004,H$23)&gt;0,"Exp","")))</f>
        <v/>
      </c>
      <c r="I951" s="79">
        <f>IF(OR($A951="",I$23=""),"",IF(COUNTIFS('AFA Rates'!$A$5:$A$1004,$A951,'AFA Rates'!$B$5:$B$1004,I$23,'AFA Rates'!$O$5:$O$1004,"&lt;&gt;Expired")&gt;0,"✓",IF(COUNTIFS('AFA Rates'!$A$5:$A$1004,$A951,'AFA Rates'!$B$5:$B$1004,I$23)&gt;0,"Exp","")))</f>
        <v/>
      </c>
      <c r="J951" s="79">
        <f>IF(OR($A951="",J$23=""),"",IF(COUNTIFS('AFA Rates'!$A$5:$A$1004,$A951,'AFA Rates'!$B$5:$B$1004,J$23,'AFA Rates'!$O$5:$O$1004,"&lt;&gt;Expired")&gt;0,"✓",IF(COUNTIFS('AFA Rates'!$A$5:$A$1004,$A951,'AFA Rates'!$B$5:$B$1004,J$23)&gt;0,"Exp","")))</f>
        <v/>
      </c>
      <c r="K951" s="79">
        <f>IF(OR($A951="",K$23=""),"",IF(COUNTIFS('AFA Rates'!$A$5:$A$1004,$A951,'AFA Rates'!$B$5:$B$1004,K$23,'AFA Rates'!$O$5:$O$1004,"&lt;&gt;Expired")&gt;0,"✓",IF(COUNTIFS('AFA Rates'!$A$5:$A$1004,$A951,'AFA Rates'!$B$5:$B$1004,K$23)&gt;0,"Exp","")))</f>
        <v/>
      </c>
      <c r="L951" s="79">
        <f>IF(OR($A951="",L$23=""),"",IF(COUNTIFS('AFA Rates'!$A$5:$A$1004,$A951,'AFA Rates'!$B$5:$B$1004,L$23,'AFA Rates'!$O$5:$O$1004,"&lt;&gt;Expired")&gt;0,"✓",IF(COUNTIFS('AFA Rates'!$A$5:$A$1004,$A951,'AFA Rates'!$B$5:$B$1004,L$23)&gt;0,"Exp","")))</f>
        <v/>
      </c>
      <c r="M951" s="79">
        <f>IF(OR($A951="",M$23=""),"",IF(COUNTIFS('AFA Rates'!$A$5:$A$1004,$A951,'AFA Rates'!$B$5:$B$1004,M$23,'AFA Rates'!$O$5:$O$1004,"&lt;&gt;Expired")&gt;0,"✓",IF(COUNTIFS('AFA Rates'!$A$5:$A$1004,$A951,'AFA Rates'!$B$5:$B$1004,M$23)&gt;0,"Exp","")))</f>
        <v/>
      </c>
    </row>
    <row r="952">
      <c r="A952" s="78">
        <f>IFERROR(INDEX(Firms!$A$5:$A$1004,MATCH(929,Firms!$V$5:$V$1004,0)),"")</f>
        <v/>
      </c>
      <c r="B952" s="79">
        <f>IF($A952="","",INDEX(Firms!$B$5:$B$1004,MATCH(929,Firms!$V$5:$V$1004,0)))</f>
        <v/>
      </c>
      <c r="C952" s="79">
        <f>IF($A952="","",COUNTIFS('AFA Rates'!$A$5:$A$1004,$A952,'AFA Rates'!$O$5:$O$1004,"&lt;&gt;Expired"))</f>
        <v/>
      </c>
      <c r="D952" s="79">
        <f>IF(OR($A952="",D$23=""),"",IF(COUNTIFS('AFA Rates'!$A$5:$A$1004,$A952,'AFA Rates'!$B$5:$B$1004,D$23,'AFA Rates'!$O$5:$O$1004,"&lt;&gt;Expired")&gt;0,"✓",IF(COUNTIFS('AFA Rates'!$A$5:$A$1004,$A952,'AFA Rates'!$B$5:$B$1004,D$23)&gt;0,"Exp","")))</f>
        <v/>
      </c>
      <c r="E952" s="79">
        <f>IF(OR($A952="",E$23=""),"",IF(COUNTIFS('AFA Rates'!$A$5:$A$1004,$A952,'AFA Rates'!$B$5:$B$1004,E$23,'AFA Rates'!$O$5:$O$1004,"&lt;&gt;Expired")&gt;0,"✓",IF(COUNTIFS('AFA Rates'!$A$5:$A$1004,$A952,'AFA Rates'!$B$5:$B$1004,E$23)&gt;0,"Exp","")))</f>
        <v/>
      </c>
      <c r="F952" s="79">
        <f>IF(OR($A952="",F$23=""),"",IF(COUNTIFS('AFA Rates'!$A$5:$A$1004,$A952,'AFA Rates'!$B$5:$B$1004,F$23,'AFA Rates'!$O$5:$O$1004,"&lt;&gt;Expired")&gt;0,"✓",IF(COUNTIFS('AFA Rates'!$A$5:$A$1004,$A952,'AFA Rates'!$B$5:$B$1004,F$23)&gt;0,"Exp","")))</f>
        <v/>
      </c>
      <c r="G952" s="79">
        <f>IF(OR($A952="",G$23=""),"",IF(COUNTIFS('AFA Rates'!$A$5:$A$1004,$A952,'AFA Rates'!$B$5:$B$1004,G$23,'AFA Rates'!$O$5:$O$1004,"&lt;&gt;Expired")&gt;0,"✓",IF(COUNTIFS('AFA Rates'!$A$5:$A$1004,$A952,'AFA Rates'!$B$5:$B$1004,G$23)&gt;0,"Exp","")))</f>
        <v/>
      </c>
      <c r="H952" s="79">
        <f>IF(OR($A952="",H$23=""),"",IF(COUNTIFS('AFA Rates'!$A$5:$A$1004,$A952,'AFA Rates'!$B$5:$B$1004,H$23,'AFA Rates'!$O$5:$O$1004,"&lt;&gt;Expired")&gt;0,"✓",IF(COUNTIFS('AFA Rates'!$A$5:$A$1004,$A952,'AFA Rates'!$B$5:$B$1004,H$23)&gt;0,"Exp","")))</f>
        <v/>
      </c>
      <c r="I952" s="79">
        <f>IF(OR($A952="",I$23=""),"",IF(COUNTIFS('AFA Rates'!$A$5:$A$1004,$A952,'AFA Rates'!$B$5:$B$1004,I$23,'AFA Rates'!$O$5:$O$1004,"&lt;&gt;Expired")&gt;0,"✓",IF(COUNTIFS('AFA Rates'!$A$5:$A$1004,$A952,'AFA Rates'!$B$5:$B$1004,I$23)&gt;0,"Exp","")))</f>
        <v/>
      </c>
      <c r="J952" s="79">
        <f>IF(OR($A952="",J$23=""),"",IF(COUNTIFS('AFA Rates'!$A$5:$A$1004,$A952,'AFA Rates'!$B$5:$B$1004,J$23,'AFA Rates'!$O$5:$O$1004,"&lt;&gt;Expired")&gt;0,"✓",IF(COUNTIFS('AFA Rates'!$A$5:$A$1004,$A952,'AFA Rates'!$B$5:$B$1004,J$23)&gt;0,"Exp","")))</f>
        <v/>
      </c>
      <c r="K952" s="79">
        <f>IF(OR($A952="",K$23=""),"",IF(COUNTIFS('AFA Rates'!$A$5:$A$1004,$A952,'AFA Rates'!$B$5:$B$1004,K$23,'AFA Rates'!$O$5:$O$1004,"&lt;&gt;Expired")&gt;0,"✓",IF(COUNTIFS('AFA Rates'!$A$5:$A$1004,$A952,'AFA Rates'!$B$5:$B$1004,K$23)&gt;0,"Exp","")))</f>
        <v/>
      </c>
      <c r="L952" s="79">
        <f>IF(OR($A952="",L$23=""),"",IF(COUNTIFS('AFA Rates'!$A$5:$A$1004,$A952,'AFA Rates'!$B$5:$B$1004,L$23,'AFA Rates'!$O$5:$O$1004,"&lt;&gt;Expired")&gt;0,"✓",IF(COUNTIFS('AFA Rates'!$A$5:$A$1004,$A952,'AFA Rates'!$B$5:$B$1004,L$23)&gt;0,"Exp","")))</f>
        <v/>
      </c>
      <c r="M952" s="79">
        <f>IF(OR($A952="",M$23=""),"",IF(COUNTIFS('AFA Rates'!$A$5:$A$1004,$A952,'AFA Rates'!$B$5:$B$1004,M$23,'AFA Rates'!$O$5:$O$1004,"&lt;&gt;Expired")&gt;0,"✓",IF(COUNTIFS('AFA Rates'!$A$5:$A$1004,$A952,'AFA Rates'!$B$5:$B$1004,M$23)&gt;0,"Exp","")))</f>
        <v/>
      </c>
    </row>
    <row r="953">
      <c r="A953" s="78">
        <f>IFERROR(INDEX(Firms!$A$5:$A$1004,MATCH(930,Firms!$V$5:$V$1004,0)),"")</f>
        <v/>
      </c>
      <c r="B953" s="79">
        <f>IF($A953="","",INDEX(Firms!$B$5:$B$1004,MATCH(930,Firms!$V$5:$V$1004,0)))</f>
        <v/>
      </c>
      <c r="C953" s="79">
        <f>IF($A953="","",COUNTIFS('AFA Rates'!$A$5:$A$1004,$A953,'AFA Rates'!$O$5:$O$1004,"&lt;&gt;Expired"))</f>
        <v/>
      </c>
      <c r="D953" s="79">
        <f>IF(OR($A953="",D$23=""),"",IF(COUNTIFS('AFA Rates'!$A$5:$A$1004,$A953,'AFA Rates'!$B$5:$B$1004,D$23,'AFA Rates'!$O$5:$O$1004,"&lt;&gt;Expired")&gt;0,"✓",IF(COUNTIFS('AFA Rates'!$A$5:$A$1004,$A953,'AFA Rates'!$B$5:$B$1004,D$23)&gt;0,"Exp","")))</f>
        <v/>
      </c>
      <c r="E953" s="79">
        <f>IF(OR($A953="",E$23=""),"",IF(COUNTIFS('AFA Rates'!$A$5:$A$1004,$A953,'AFA Rates'!$B$5:$B$1004,E$23,'AFA Rates'!$O$5:$O$1004,"&lt;&gt;Expired")&gt;0,"✓",IF(COUNTIFS('AFA Rates'!$A$5:$A$1004,$A953,'AFA Rates'!$B$5:$B$1004,E$23)&gt;0,"Exp","")))</f>
        <v/>
      </c>
      <c r="F953" s="79">
        <f>IF(OR($A953="",F$23=""),"",IF(COUNTIFS('AFA Rates'!$A$5:$A$1004,$A953,'AFA Rates'!$B$5:$B$1004,F$23,'AFA Rates'!$O$5:$O$1004,"&lt;&gt;Expired")&gt;0,"✓",IF(COUNTIFS('AFA Rates'!$A$5:$A$1004,$A953,'AFA Rates'!$B$5:$B$1004,F$23)&gt;0,"Exp","")))</f>
        <v/>
      </c>
      <c r="G953" s="79">
        <f>IF(OR($A953="",G$23=""),"",IF(COUNTIFS('AFA Rates'!$A$5:$A$1004,$A953,'AFA Rates'!$B$5:$B$1004,G$23,'AFA Rates'!$O$5:$O$1004,"&lt;&gt;Expired")&gt;0,"✓",IF(COUNTIFS('AFA Rates'!$A$5:$A$1004,$A953,'AFA Rates'!$B$5:$B$1004,G$23)&gt;0,"Exp","")))</f>
        <v/>
      </c>
      <c r="H953" s="79">
        <f>IF(OR($A953="",H$23=""),"",IF(COUNTIFS('AFA Rates'!$A$5:$A$1004,$A953,'AFA Rates'!$B$5:$B$1004,H$23,'AFA Rates'!$O$5:$O$1004,"&lt;&gt;Expired")&gt;0,"✓",IF(COUNTIFS('AFA Rates'!$A$5:$A$1004,$A953,'AFA Rates'!$B$5:$B$1004,H$23)&gt;0,"Exp","")))</f>
        <v/>
      </c>
      <c r="I953" s="79">
        <f>IF(OR($A953="",I$23=""),"",IF(COUNTIFS('AFA Rates'!$A$5:$A$1004,$A953,'AFA Rates'!$B$5:$B$1004,I$23,'AFA Rates'!$O$5:$O$1004,"&lt;&gt;Expired")&gt;0,"✓",IF(COUNTIFS('AFA Rates'!$A$5:$A$1004,$A953,'AFA Rates'!$B$5:$B$1004,I$23)&gt;0,"Exp","")))</f>
        <v/>
      </c>
      <c r="J953" s="79">
        <f>IF(OR($A953="",J$23=""),"",IF(COUNTIFS('AFA Rates'!$A$5:$A$1004,$A953,'AFA Rates'!$B$5:$B$1004,J$23,'AFA Rates'!$O$5:$O$1004,"&lt;&gt;Expired")&gt;0,"✓",IF(COUNTIFS('AFA Rates'!$A$5:$A$1004,$A953,'AFA Rates'!$B$5:$B$1004,J$23)&gt;0,"Exp","")))</f>
        <v/>
      </c>
      <c r="K953" s="79">
        <f>IF(OR($A953="",K$23=""),"",IF(COUNTIFS('AFA Rates'!$A$5:$A$1004,$A953,'AFA Rates'!$B$5:$B$1004,K$23,'AFA Rates'!$O$5:$O$1004,"&lt;&gt;Expired")&gt;0,"✓",IF(COUNTIFS('AFA Rates'!$A$5:$A$1004,$A953,'AFA Rates'!$B$5:$B$1004,K$23)&gt;0,"Exp","")))</f>
        <v/>
      </c>
      <c r="L953" s="79">
        <f>IF(OR($A953="",L$23=""),"",IF(COUNTIFS('AFA Rates'!$A$5:$A$1004,$A953,'AFA Rates'!$B$5:$B$1004,L$23,'AFA Rates'!$O$5:$O$1004,"&lt;&gt;Expired")&gt;0,"✓",IF(COUNTIFS('AFA Rates'!$A$5:$A$1004,$A953,'AFA Rates'!$B$5:$B$1004,L$23)&gt;0,"Exp","")))</f>
        <v/>
      </c>
      <c r="M953" s="79">
        <f>IF(OR($A953="",M$23=""),"",IF(COUNTIFS('AFA Rates'!$A$5:$A$1004,$A953,'AFA Rates'!$B$5:$B$1004,M$23,'AFA Rates'!$O$5:$O$1004,"&lt;&gt;Expired")&gt;0,"✓",IF(COUNTIFS('AFA Rates'!$A$5:$A$1004,$A953,'AFA Rates'!$B$5:$B$1004,M$23)&gt;0,"Exp","")))</f>
        <v/>
      </c>
    </row>
    <row r="954">
      <c r="A954" s="78">
        <f>IFERROR(INDEX(Firms!$A$5:$A$1004,MATCH(931,Firms!$V$5:$V$1004,0)),"")</f>
        <v/>
      </c>
      <c r="B954" s="79">
        <f>IF($A954="","",INDEX(Firms!$B$5:$B$1004,MATCH(931,Firms!$V$5:$V$1004,0)))</f>
        <v/>
      </c>
      <c r="C954" s="79">
        <f>IF($A954="","",COUNTIFS('AFA Rates'!$A$5:$A$1004,$A954,'AFA Rates'!$O$5:$O$1004,"&lt;&gt;Expired"))</f>
        <v/>
      </c>
      <c r="D954" s="79">
        <f>IF(OR($A954="",D$23=""),"",IF(COUNTIFS('AFA Rates'!$A$5:$A$1004,$A954,'AFA Rates'!$B$5:$B$1004,D$23,'AFA Rates'!$O$5:$O$1004,"&lt;&gt;Expired")&gt;0,"✓",IF(COUNTIFS('AFA Rates'!$A$5:$A$1004,$A954,'AFA Rates'!$B$5:$B$1004,D$23)&gt;0,"Exp","")))</f>
        <v/>
      </c>
      <c r="E954" s="79">
        <f>IF(OR($A954="",E$23=""),"",IF(COUNTIFS('AFA Rates'!$A$5:$A$1004,$A954,'AFA Rates'!$B$5:$B$1004,E$23,'AFA Rates'!$O$5:$O$1004,"&lt;&gt;Expired")&gt;0,"✓",IF(COUNTIFS('AFA Rates'!$A$5:$A$1004,$A954,'AFA Rates'!$B$5:$B$1004,E$23)&gt;0,"Exp","")))</f>
        <v/>
      </c>
      <c r="F954" s="79">
        <f>IF(OR($A954="",F$23=""),"",IF(COUNTIFS('AFA Rates'!$A$5:$A$1004,$A954,'AFA Rates'!$B$5:$B$1004,F$23,'AFA Rates'!$O$5:$O$1004,"&lt;&gt;Expired")&gt;0,"✓",IF(COUNTIFS('AFA Rates'!$A$5:$A$1004,$A954,'AFA Rates'!$B$5:$B$1004,F$23)&gt;0,"Exp","")))</f>
        <v/>
      </c>
      <c r="G954" s="79">
        <f>IF(OR($A954="",G$23=""),"",IF(COUNTIFS('AFA Rates'!$A$5:$A$1004,$A954,'AFA Rates'!$B$5:$B$1004,G$23,'AFA Rates'!$O$5:$O$1004,"&lt;&gt;Expired")&gt;0,"✓",IF(COUNTIFS('AFA Rates'!$A$5:$A$1004,$A954,'AFA Rates'!$B$5:$B$1004,G$23)&gt;0,"Exp","")))</f>
        <v/>
      </c>
      <c r="H954" s="79">
        <f>IF(OR($A954="",H$23=""),"",IF(COUNTIFS('AFA Rates'!$A$5:$A$1004,$A954,'AFA Rates'!$B$5:$B$1004,H$23,'AFA Rates'!$O$5:$O$1004,"&lt;&gt;Expired")&gt;0,"✓",IF(COUNTIFS('AFA Rates'!$A$5:$A$1004,$A954,'AFA Rates'!$B$5:$B$1004,H$23)&gt;0,"Exp","")))</f>
        <v/>
      </c>
      <c r="I954" s="79">
        <f>IF(OR($A954="",I$23=""),"",IF(COUNTIFS('AFA Rates'!$A$5:$A$1004,$A954,'AFA Rates'!$B$5:$B$1004,I$23,'AFA Rates'!$O$5:$O$1004,"&lt;&gt;Expired")&gt;0,"✓",IF(COUNTIFS('AFA Rates'!$A$5:$A$1004,$A954,'AFA Rates'!$B$5:$B$1004,I$23)&gt;0,"Exp","")))</f>
        <v/>
      </c>
      <c r="J954" s="79">
        <f>IF(OR($A954="",J$23=""),"",IF(COUNTIFS('AFA Rates'!$A$5:$A$1004,$A954,'AFA Rates'!$B$5:$B$1004,J$23,'AFA Rates'!$O$5:$O$1004,"&lt;&gt;Expired")&gt;0,"✓",IF(COUNTIFS('AFA Rates'!$A$5:$A$1004,$A954,'AFA Rates'!$B$5:$B$1004,J$23)&gt;0,"Exp","")))</f>
        <v/>
      </c>
      <c r="K954" s="79">
        <f>IF(OR($A954="",K$23=""),"",IF(COUNTIFS('AFA Rates'!$A$5:$A$1004,$A954,'AFA Rates'!$B$5:$B$1004,K$23,'AFA Rates'!$O$5:$O$1004,"&lt;&gt;Expired")&gt;0,"✓",IF(COUNTIFS('AFA Rates'!$A$5:$A$1004,$A954,'AFA Rates'!$B$5:$B$1004,K$23)&gt;0,"Exp","")))</f>
        <v/>
      </c>
      <c r="L954" s="79">
        <f>IF(OR($A954="",L$23=""),"",IF(COUNTIFS('AFA Rates'!$A$5:$A$1004,$A954,'AFA Rates'!$B$5:$B$1004,L$23,'AFA Rates'!$O$5:$O$1004,"&lt;&gt;Expired")&gt;0,"✓",IF(COUNTIFS('AFA Rates'!$A$5:$A$1004,$A954,'AFA Rates'!$B$5:$B$1004,L$23)&gt;0,"Exp","")))</f>
        <v/>
      </c>
      <c r="M954" s="79">
        <f>IF(OR($A954="",M$23=""),"",IF(COUNTIFS('AFA Rates'!$A$5:$A$1004,$A954,'AFA Rates'!$B$5:$B$1004,M$23,'AFA Rates'!$O$5:$O$1004,"&lt;&gt;Expired")&gt;0,"✓",IF(COUNTIFS('AFA Rates'!$A$5:$A$1004,$A954,'AFA Rates'!$B$5:$B$1004,M$23)&gt;0,"Exp","")))</f>
        <v/>
      </c>
    </row>
    <row r="955">
      <c r="A955" s="78">
        <f>IFERROR(INDEX(Firms!$A$5:$A$1004,MATCH(932,Firms!$V$5:$V$1004,0)),"")</f>
        <v/>
      </c>
      <c r="B955" s="79">
        <f>IF($A955="","",INDEX(Firms!$B$5:$B$1004,MATCH(932,Firms!$V$5:$V$1004,0)))</f>
        <v/>
      </c>
      <c r="C955" s="79">
        <f>IF($A955="","",COUNTIFS('AFA Rates'!$A$5:$A$1004,$A955,'AFA Rates'!$O$5:$O$1004,"&lt;&gt;Expired"))</f>
        <v/>
      </c>
      <c r="D955" s="79">
        <f>IF(OR($A955="",D$23=""),"",IF(COUNTIFS('AFA Rates'!$A$5:$A$1004,$A955,'AFA Rates'!$B$5:$B$1004,D$23,'AFA Rates'!$O$5:$O$1004,"&lt;&gt;Expired")&gt;0,"✓",IF(COUNTIFS('AFA Rates'!$A$5:$A$1004,$A955,'AFA Rates'!$B$5:$B$1004,D$23)&gt;0,"Exp","")))</f>
        <v/>
      </c>
      <c r="E955" s="79">
        <f>IF(OR($A955="",E$23=""),"",IF(COUNTIFS('AFA Rates'!$A$5:$A$1004,$A955,'AFA Rates'!$B$5:$B$1004,E$23,'AFA Rates'!$O$5:$O$1004,"&lt;&gt;Expired")&gt;0,"✓",IF(COUNTIFS('AFA Rates'!$A$5:$A$1004,$A955,'AFA Rates'!$B$5:$B$1004,E$23)&gt;0,"Exp","")))</f>
        <v/>
      </c>
      <c r="F955" s="79">
        <f>IF(OR($A955="",F$23=""),"",IF(COUNTIFS('AFA Rates'!$A$5:$A$1004,$A955,'AFA Rates'!$B$5:$B$1004,F$23,'AFA Rates'!$O$5:$O$1004,"&lt;&gt;Expired")&gt;0,"✓",IF(COUNTIFS('AFA Rates'!$A$5:$A$1004,$A955,'AFA Rates'!$B$5:$B$1004,F$23)&gt;0,"Exp","")))</f>
        <v/>
      </c>
      <c r="G955" s="79">
        <f>IF(OR($A955="",G$23=""),"",IF(COUNTIFS('AFA Rates'!$A$5:$A$1004,$A955,'AFA Rates'!$B$5:$B$1004,G$23,'AFA Rates'!$O$5:$O$1004,"&lt;&gt;Expired")&gt;0,"✓",IF(COUNTIFS('AFA Rates'!$A$5:$A$1004,$A955,'AFA Rates'!$B$5:$B$1004,G$23)&gt;0,"Exp","")))</f>
        <v/>
      </c>
      <c r="H955" s="79">
        <f>IF(OR($A955="",H$23=""),"",IF(COUNTIFS('AFA Rates'!$A$5:$A$1004,$A955,'AFA Rates'!$B$5:$B$1004,H$23,'AFA Rates'!$O$5:$O$1004,"&lt;&gt;Expired")&gt;0,"✓",IF(COUNTIFS('AFA Rates'!$A$5:$A$1004,$A955,'AFA Rates'!$B$5:$B$1004,H$23)&gt;0,"Exp","")))</f>
        <v/>
      </c>
      <c r="I955" s="79">
        <f>IF(OR($A955="",I$23=""),"",IF(COUNTIFS('AFA Rates'!$A$5:$A$1004,$A955,'AFA Rates'!$B$5:$B$1004,I$23,'AFA Rates'!$O$5:$O$1004,"&lt;&gt;Expired")&gt;0,"✓",IF(COUNTIFS('AFA Rates'!$A$5:$A$1004,$A955,'AFA Rates'!$B$5:$B$1004,I$23)&gt;0,"Exp","")))</f>
        <v/>
      </c>
      <c r="J955" s="79">
        <f>IF(OR($A955="",J$23=""),"",IF(COUNTIFS('AFA Rates'!$A$5:$A$1004,$A955,'AFA Rates'!$B$5:$B$1004,J$23,'AFA Rates'!$O$5:$O$1004,"&lt;&gt;Expired")&gt;0,"✓",IF(COUNTIFS('AFA Rates'!$A$5:$A$1004,$A955,'AFA Rates'!$B$5:$B$1004,J$23)&gt;0,"Exp","")))</f>
        <v/>
      </c>
      <c r="K955" s="79">
        <f>IF(OR($A955="",K$23=""),"",IF(COUNTIFS('AFA Rates'!$A$5:$A$1004,$A955,'AFA Rates'!$B$5:$B$1004,K$23,'AFA Rates'!$O$5:$O$1004,"&lt;&gt;Expired")&gt;0,"✓",IF(COUNTIFS('AFA Rates'!$A$5:$A$1004,$A955,'AFA Rates'!$B$5:$B$1004,K$23)&gt;0,"Exp","")))</f>
        <v/>
      </c>
      <c r="L955" s="79">
        <f>IF(OR($A955="",L$23=""),"",IF(COUNTIFS('AFA Rates'!$A$5:$A$1004,$A955,'AFA Rates'!$B$5:$B$1004,L$23,'AFA Rates'!$O$5:$O$1004,"&lt;&gt;Expired")&gt;0,"✓",IF(COUNTIFS('AFA Rates'!$A$5:$A$1004,$A955,'AFA Rates'!$B$5:$B$1004,L$23)&gt;0,"Exp","")))</f>
        <v/>
      </c>
      <c r="M955" s="79">
        <f>IF(OR($A955="",M$23=""),"",IF(COUNTIFS('AFA Rates'!$A$5:$A$1004,$A955,'AFA Rates'!$B$5:$B$1004,M$23,'AFA Rates'!$O$5:$O$1004,"&lt;&gt;Expired")&gt;0,"✓",IF(COUNTIFS('AFA Rates'!$A$5:$A$1004,$A955,'AFA Rates'!$B$5:$B$1004,M$23)&gt;0,"Exp","")))</f>
        <v/>
      </c>
    </row>
    <row r="956">
      <c r="A956" s="78">
        <f>IFERROR(INDEX(Firms!$A$5:$A$1004,MATCH(933,Firms!$V$5:$V$1004,0)),"")</f>
        <v/>
      </c>
      <c r="B956" s="79">
        <f>IF($A956="","",INDEX(Firms!$B$5:$B$1004,MATCH(933,Firms!$V$5:$V$1004,0)))</f>
        <v/>
      </c>
      <c r="C956" s="79">
        <f>IF($A956="","",COUNTIFS('AFA Rates'!$A$5:$A$1004,$A956,'AFA Rates'!$O$5:$O$1004,"&lt;&gt;Expired"))</f>
        <v/>
      </c>
      <c r="D956" s="79">
        <f>IF(OR($A956="",D$23=""),"",IF(COUNTIFS('AFA Rates'!$A$5:$A$1004,$A956,'AFA Rates'!$B$5:$B$1004,D$23,'AFA Rates'!$O$5:$O$1004,"&lt;&gt;Expired")&gt;0,"✓",IF(COUNTIFS('AFA Rates'!$A$5:$A$1004,$A956,'AFA Rates'!$B$5:$B$1004,D$23)&gt;0,"Exp","")))</f>
        <v/>
      </c>
      <c r="E956" s="79">
        <f>IF(OR($A956="",E$23=""),"",IF(COUNTIFS('AFA Rates'!$A$5:$A$1004,$A956,'AFA Rates'!$B$5:$B$1004,E$23,'AFA Rates'!$O$5:$O$1004,"&lt;&gt;Expired")&gt;0,"✓",IF(COUNTIFS('AFA Rates'!$A$5:$A$1004,$A956,'AFA Rates'!$B$5:$B$1004,E$23)&gt;0,"Exp","")))</f>
        <v/>
      </c>
      <c r="F956" s="79">
        <f>IF(OR($A956="",F$23=""),"",IF(COUNTIFS('AFA Rates'!$A$5:$A$1004,$A956,'AFA Rates'!$B$5:$B$1004,F$23,'AFA Rates'!$O$5:$O$1004,"&lt;&gt;Expired")&gt;0,"✓",IF(COUNTIFS('AFA Rates'!$A$5:$A$1004,$A956,'AFA Rates'!$B$5:$B$1004,F$23)&gt;0,"Exp","")))</f>
        <v/>
      </c>
      <c r="G956" s="79">
        <f>IF(OR($A956="",G$23=""),"",IF(COUNTIFS('AFA Rates'!$A$5:$A$1004,$A956,'AFA Rates'!$B$5:$B$1004,G$23,'AFA Rates'!$O$5:$O$1004,"&lt;&gt;Expired")&gt;0,"✓",IF(COUNTIFS('AFA Rates'!$A$5:$A$1004,$A956,'AFA Rates'!$B$5:$B$1004,G$23)&gt;0,"Exp","")))</f>
        <v/>
      </c>
      <c r="H956" s="79">
        <f>IF(OR($A956="",H$23=""),"",IF(COUNTIFS('AFA Rates'!$A$5:$A$1004,$A956,'AFA Rates'!$B$5:$B$1004,H$23,'AFA Rates'!$O$5:$O$1004,"&lt;&gt;Expired")&gt;0,"✓",IF(COUNTIFS('AFA Rates'!$A$5:$A$1004,$A956,'AFA Rates'!$B$5:$B$1004,H$23)&gt;0,"Exp","")))</f>
        <v/>
      </c>
      <c r="I956" s="79">
        <f>IF(OR($A956="",I$23=""),"",IF(COUNTIFS('AFA Rates'!$A$5:$A$1004,$A956,'AFA Rates'!$B$5:$B$1004,I$23,'AFA Rates'!$O$5:$O$1004,"&lt;&gt;Expired")&gt;0,"✓",IF(COUNTIFS('AFA Rates'!$A$5:$A$1004,$A956,'AFA Rates'!$B$5:$B$1004,I$23)&gt;0,"Exp","")))</f>
        <v/>
      </c>
      <c r="J956" s="79">
        <f>IF(OR($A956="",J$23=""),"",IF(COUNTIFS('AFA Rates'!$A$5:$A$1004,$A956,'AFA Rates'!$B$5:$B$1004,J$23,'AFA Rates'!$O$5:$O$1004,"&lt;&gt;Expired")&gt;0,"✓",IF(COUNTIFS('AFA Rates'!$A$5:$A$1004,$A956,'AFA Rates'!$B$5:$B$1004,J$23)&gt;0,"Exp","")))</f>
        <v/>
      </c>
      <c r="K956" s="79">
        <f>IF(OR($A956="",K$23=""),"",IF(COUNTIFS('AFA Rates'!$A$5:$A$1004,$A956,'AFA Rates'!$B$5:$B$1004,K$23,'AFA Rates'!$O$5:$O$1004,"&lt;&gt;Expired")&gt;0,"✓",IF(COUNTIFS('AFA Rates'!$A$5:$A$1004,$A956,'AFA Rates'!$B$5:$B$1004,K$23)&gt;0,"Exp","")))</f>
        <v/>
      </c>
      <c r="L956" s="79">
        <f>IF(OR($A956="",L$23=""),"",IF(COUNTIFS('AFA Rates'!$A$5:$A$1004,$A956,'AFA Rates'!$B$5:$B$1004,L$23,'AFA Rates'!$O$5:$O$1004,"&lt;&gt;Expired")&gt;0,"✓",IF(COUNTIFS('AFA Rates'!$A$5:$A$1004,$A956,'AFA Rates'!$B$5:$B$1004,L$23)&gt;0,"Exp","")))</f>
        <v/>
      </c>
      <c r="M956" s="79">
        <f>IF(OR($A956="",M$23=""),"",IF(COUNTIFS('AFA Rates'!$A$5:$A$1004,$A956,'AFA Rates'!$B$5:$B$1004,M$23,'AFA Rates'!$O$5:$O$1004,"&lt;&gt;Expired")&gt;0,"✓",IF(COUNTIFS('AFA Rates'!$A$5:$A$1004,$A956,'AFA Rates'!$B$5:$B$1004,M$23)&gt;0,"Exp","")))</f>
        <v/>
      </c>
    </row>
    <row r="957">
      <c r="A957" s="78">
        <f>IFERROR(INDEX(Firms!$A$5:$A$1004,MATCH(934,Firms!$V$5:$V$1004,0)),"")</f>
        <v/>
      </c>
      <c r="B957" s="79">
        <f>IF($A957="","",INDEX(Firms!$B$5:$B$1004,MATCH(934,Firms!$V$5:$V$1004,0)))</f>
        <v/>
      </c>
      <c r="C957" s="79">
        <f>IF($A957="","",COUNTIFS('AFA Rates'!$A$5:$A$1004,$A957,'AFA Rates'!$O$5:$O$1004,"&lt;&gt;Expired"))</f>
        <v/>
      </c>
      <c r="D957" s="79">
        <f>IF(OR($A957="",D$23=""),"",IF(COUNTIFS('AFA Rates'!$A$5:$A$1004,$A957,'AFA Rates'!$B$5:$B$1004,D$23,'AFA Rates'!$O$5:$O$1004,"&lt;&gt;Expired")&gt;0,"✓",IF(COUNTIFS('AFA Rates'!$A$5:$A$1004,$A957,'AFA Rates'!$B$5:$B$1004,D$23)&gt;0,"Exp","")))</f>
        <v/>
      </c>
      <c r="E957" s="79">
        <f>IF(OR($A957="",E$23=""),"",IF(COUNTIFS('AFA Rates'!$A$5:$A$1004,$A957,'AFA Rates'!$B$5:$B$1004,E$23,'AFA Rates'!$O$5:$O$1004,"&lt;&gt;Expired")&gt;0,"✓",IF(COUNTIFS('AFA Rates'!$A$5:$A$1004,$A957,'AFA Rates'!$B$5:$B$1004,E$23)&gt;0,"Exp","")))</f>
        <v/>
      </c>
      <c r="F957" s="79">
        <f>IF(OR($A957="",F$23=""),"",IF(COUNTIFS('AFA Rates'!$A$5:$A$1004,$A957,'AFA Rates'!$B$5:$B$1004,F$23,'AFA Rates'!$O$5:$O$1004,"&lt;&gt;Expired")&gt;0,"✓",IF(COUNTIFS('AFA Rates'!$A$5:$A$1004,$A957,'AFA Rates'!$B$5:$B$1004,F$23)&gt;0,"Exp","")))</f>
        <v/>
      </c>
      <c r="G957" s="79">
        <f>IF(OR($A957="",G$23=""),"",IF(COUNTIFS('AFA Rates'!$A$5:$A$1004,$A957,'AFA Rates'!$B$5:$B$1004,G$23,'AFA Rates'!$O$5:$O$1004,"&lt;&gt;Expired")&gt;0,"✓",IF(COUNTIFS('AFA Rates'!$A$5:$A$1004,$A957,'AFA Rates'!$B$5:$B$1004,G$23)&gt;0,"Exp","")))</f>
        <v/>
      </c>
      <c r="H957" s="79">
        <f>IF(OR($A957="",H$23=""),"",IF(COUNTIFS('AFA Rates'!$A$5:$A$1004,$A957,'AFA Rates'!$B$5:$B$1004,H$23,'AFA Rates'!$O$5:$O$1004,"&lt;&gt;Expired")&gt;0,"✓",IF(COUNTIFS('AFA Rates'!$A$5:$A$1004,$A957,'AFA Rates'!$B$5:$B$1004,H$23)&gt;0,"Exp","")))</f>
        <v/>
      </c>
      <c r="I957" s="79">
        <f>IF(OR($A957="",I$23=""),"",IF(COUNTIFS('AFA Rates'!$A$5:$A$1004,$A957,'AFA Rates'!$B$5:$B$1004,I$23,'AFA Rates'!$O$5:$O$1004,"&lt;&gt;Expired")&gt;0,"✓",IF(COUNTIFS('AFA Rates'!$A$5:$A$1004,$A957,'AFA Rates'!$B$5:$B$1004,I$23)&gt;0,"Exp","")))</f>
        <v/>
      </c>
      <c r="J957" s="79">
        <f>IF(OR($A957="",J$23=""),"",IF(COUNTIFS('AFA Rates'!$A$5:$A$1004,$A957,'AFA Rates'!$B$5:$B$1004,J$23,'AFA Rates'!$O$5:$O$1004,"&lt;&gt;Expired")&gt;0,"✓",IF(COUNTIFS('AFA Rates'!$A$5:$A$1004,$A957,'AFA Rates'!$B$5:$B$1004,J$23)&gt;0,"Exp","")))</f>
        <v/>
      </c>
      <c r="K957" s="79">
        <f>IF(OR($A957="",K$23=""),"",IF(COUNTIFS('AFA Rates'!$A$5:$A$1004,$A957,'AFA Rates'!$B$5:$B$1004,K$23,'AFA Rates'!$O$5:$O$1004,"&lt;&gt;Expired")&gt;0,"✓",IF(COUNTIFS('AFA Rates'!$A$5:$A$1004,$A957,'AFA Rates'!$B$5:$B$1004,K$23)&gt;0,"Exp","")))</f>
        <v/>
      </c>
      <c r="L957" s="79">
        <f>IF(OR($A957="",L$23=""),"",IF(COUNTIFS('AFA Rates'!$A$5:$A$1004,$A957,'AFA Rates'!$B$5:$B$1004,L$23,'AFA Rates'!$O$5:$O$1004,"&lt;&gt;Expired")&gt;0,"✓",IF(COUNTIFS('AFA Rates'!$A$5:$A$1004,$A957,'AFA Rates'!$B$5:$B$1004,L$23)&gt;0,"Exp","")))</f>
        <v/>
      </c>
      <c r="M957" s="79">
        <f>IF(OR($A957="",M$23=""),"",IF(COUNTIFS('AFA Rates'!$A$5:$A$1004,$A957,'AFA Rates'!$B$5:$B$1004,M$23,'AFA Rates'!$O$5:$O$1004,"&lt;&gt;Expired")&gt;0,"✓",IF(COUNTIFS('AFA Rates'!$A$5:$A$1004,$A957,'AFA Rates'!$B$5:$B$1004,M$23)&gt;0,"Exp","")))</f>
        <v/>
      </c>
    </row>
    <row r="958">
      <c r="A958" s="78">
        <f>IFERROR(INDEX(Firms!$A$5:$A$1004,MATCH(935,Firms!$V$5:$V$1004,0)),"")</f>
        <v/>
      </c>
      <c r="B958" s="79">
        <f>IF($A958="","",INDEX(Firms!$B$5:$B$1004,MATCH(935,Firms!$V$5:$V$1004,0)))</f>
        <v/>
      </c>
      <c r="C958" s="79">
        <f>IF($A958="","",COUNTIFS('AFA Rates'!$A$5:$A$1004,$A958,'AFA Rates'!$O$5:$O$1004,"&lt;&gt;Expired"))</f>
        <v/>
      </c>
      <c r="D958" s="79">
        <f>IF(OR($A958="",D$23=""),"",IF(COUNTIFS('AFA Rates'!$A$5:$A$1004,$A958,'AFA Rates'!$B$5:$B$1004,D$23,'AFA Rates'!$O$5:$O$1004,"&lt;&gt;Expired")&gt;0,"✓",IF(COUNTIFS('AFA Rates'!$A$5:$A$1004,$A958,'AFA Rates'!$B$5:$B$1004,D$23)&gt;0,"Exp","")))</f>
        <v/>
      </c>
      <c r="E958" s="79">
        <f>IF(OR($A958="",E$23=""),"",IF(COUNTIFS('AFA Rates'!$A$5:$A$1004,$A958,'AFA Rates'!$B$5:$B$1004,E$23,'AFA Rates'!$O$5:$O$1004,"&lt;&gt;Expired")&gt;0,"✓",IF(COUNTIFS('AFA Rates'!$A$5:$A$1004,$A958,'AFA Rates'!$B$5:$B$1004,E$23)&gt;0,"Exp","")))</f>
        <v/>
      </c>
      <c r="F958" s="79">
        <f>IF(OR($A958="",F$23=""),"",IF(COUNTIFS('AFA Rates'!$A$5:$A$1004,$A958,'AFA Rates'!$B$5:$B$1004,F$23,'AFA Rates'!$O$5:$O$1004,"&lt;&gt;Expired")&gt;0,"✓",IF(COUNTIFS('AFA Rates'!$A$5:$A$1004,$A958,'AFA Rates'!$B$5:$B$1004,F$23)&gt;0,"Exp","")))</f>
        <v/>
      </c>
      <c r="G958" s="79">
        <f>IF(OR($A958="",G$23=""),"",IF(COUNTIFS('AFA Rates'!$A$5:$A$1004,$A958,'AFA Rates'!$B$5:$B$1004,G$23,'AFA Rates'!$O$5:$O$1004,"&lt;&gt;Expired")&gt;0,"✓",IF(COUNTIFS('AFA Rates'!$A$5:$A$1004,$A958,'AFA Rates'!$B$5:$B$1004,G$23)&gt;0,"Exp","")))</f>
        <v/>
      </c>
      <c r="H958" s="79">
        <f>IF(OR($A958="",H$23=""),"",IF(COUNTIFS('AFA Rates'!$A$5:$A$1004,$A958,'AFA Rates'!$B$5:$B$1004,H$23,'AFA Rates'!$O$5:$O$1004,"&lt;&gt;Expired")&gt;0,"✓",IF(COUNTIFS('AFA Rates'!$A$5:$A$1004,$A958,'AFA Rates'!$B$5:$B$1004,H$23)&gt;0,"Exp","")))</f>
        <v/>
      </c>
      <c r="I958" s="79">
        <f>IF(OR($A958="",I$23=""),"",IF(COUNTIFS('AFA Rates'!$A$5:$A$1004,$A958,'AFA Rates'!$B$5:$B$1004,I$23,'AFA Rates'!$O$5:$O$1004,"&lt;&gt;Expired")&gt;0,"✓",IF(COUNTIFS('AFA Rates'!$A$5:$A$1004,$A958,'AFA Rates'!$B$5:$B$1004,I$23)&gt;0,"Exp","")))</f>
        <v/>
      </c>
      <c r="J958" s="79">
        <f>IF(OR($A958="",J$23=""),"",IF(COUNTIFS('AFA Rates'!$A$5:$A$1004,$A958,'AFA Rates'!$B$5:$B$1004,J$23,'AFA Rates'!$O$5:$O$1004,"&lt;&gt;Expired")&gt;0,"✓",IF(COUNTIFS('AFA Rates'!$A$5:$A$1004,$A958,'AFA Rates'!$B$5:$B$1004,J$23)&gt;0,"Exp","")))</f>
        <v/>
      </c>
      <c r="K958" s="79">
        <f>IF(OR($A958="",K$23=""),"",IF(COUNTIFS('AFA Rates'!$A$5:$A$1004,$A958,'AFA Rates'!$B$5:$B$1004,K$23,'AFA Rates'!$O$5:$O$1004,"&lt;&gt;Expired")&gt;0,"✓",IF(COUNTIFS('AFA Rates'!$A$5:$A$1004,$A958,'AFA Rates'!$B$5:$B$1004,K$23)&gt;0,"Exp","")))</f>
        <v/>
      </c>
      <c r="L958" s="79">
        <f>IF(OR($A958="",L$23=""),"",IF(COUNTIFS('AFA Rates'!$A$5:$A$1004,$A958,'AFA Rates'!$B$5:$B$1004,L$23,'AFA Rates'!$O$5:$O$1004,"&lt;&gt;Expired")&gt;0,"✓",IF(COUNTIFS('AFA Rates'!$A$5:$A$1004,$A958,'AFA Rates'!$B$5:$B$1004,L$23)&gt;0,"Exp","")))</f>
        <v/>
      </c>
      <c r="M958" s="79">
        <f>IF(OR($A958="",M$23=""),"",IF(COUNTIFS('AFA Rates'!$A$5:$A$1004,$A958,'AFA Rates'!$B$5:$B$1004,M$23,'AFA Rates'!$O$5:$O$1004,"&lt;&gt;Expired")&gt;0,"✓",IF(COUNTIFS('AFA Rates'!$A$5:$A$1004,$A958,'AFA Rates'!$B$5:$B$1004,M$23)&gt;0,"Exp","")))</f>
        <v/>
      </c>
    </row>
    <row r="959">
      <c r="A959" s="78">
        <f>IFERROR(INDEX(Firms!$A$5:$A$1004,MATCH(936,Firms!$V$5:$V$1004,0)),"")</f>
        <v/>
      </c>
      <c r="B959" s="79">
        <f>IF($A959="","",INDEX(Firms!$B$5:$B$1004,MATCH(936,Firms!$V$5:$V$1004,0)))</f>
        <v/>
      </c>
      <c r="C959" s="79">
        <f>IF($A959="","",COUNTIFS('AFA Rates'!$A$5:$A$1004,$A959,'AFA Rates'!$O$5:$O$1004,"&lt;&gt;Expired"))</f>
        <v/>
      </c>
      <c r="D959" s="79">
        <f>IF(OR($A959="",D$23=""),"",IF(COUNTIFS('AFA Rates'!$A$5:$A$1004,$A959,'AFA Rates'!$B$5:$B$1004,D$23,'AFA Rates'!$O$5:$O$1004,"&lt;&gt;Expired")&gt;0,"✓",IF(COUNTIFS('AFA Rates'!$A$5:$A$1004,$A959,'AFA Rates'!$B$5:$B$1004,D$23)&gt;0,"Exp","")))</f>
        <v/>
      </c>
      <c r="E959" s="79">
        <f>IF(OR($A959="",E$23=""),"",IF(COUNTIFS('AFA Rates'!$A$5:$A$1004,$A959,'AFA Rates'!$B$5:$B$1004,E$23,'AFA Rates'!$O$5:$O$1004,"&lt;&gt;Expired")&gt;0,"✓",IF(COUNTIFS('AFA Rates'!$A$5:$A$1004,$A959,'AFA Rates'!$B$5:$B$1004,E$23)&gt;0,"Exp","")))</f>
        <v/>
      </c>
      <c r="F959" s="79">
        <f>IF(OR($A959="",F$23=""),"",IF(COUNTIFS('AFA Rates'!$A$5:$A$1004,$A959,'AFA Rates'!$B$5:$B$1004,F$23,'AFA Rates'!$O$5:$O$1004,"&lt;&gt;Expired")&gt;0,"✓",IF(COUNTIFS('AFA Rates'!$A$5:$A$1004,$A959,'AFA Rates'!$B$5:$B$1004,F$23)&gt;0,"Exp","")))</f>
        <v/>
      </c>
      <c r="G959" s="79">
        <f>IF(OR($A959="",G$23=""),"",IF(COUNTIFS('AFA Rates'!$A$5:$A$1004,$A959,'AFA Rates'!$B$5:$B$1004,G$23,'AFA Rates'!$O$5:$O$1004,"&lt;&gt;Expired")&gt;0,"✓",IF(COUNTIFS('AFA Rates'!$A$5:$A$1004,$A959,'AFA Rates'!$B$5:$B$1004,G$23)&gt;0,"Exp","")))</f>
        <v/>
      </c>
      <c r="H959" s="79">
        <f>IF(OR($A959="",H$23=""),"",IF(COUNTIFS('AFA Rates'!$A$5:$A$1004,$A959,'AFA Rates'!$B$5:$B$1004,H$23,'AFA Rates'!$O$5:$O$1004,"&lt;&gt;Expired")&gt;0,"✓",IF(COUNTIFS('AFA Rates'!$A$5:$A$1004,$A959,'AFA Rates'!$B$5:$B$1004,H$23)&gt;0,"Exp","")))</f>
        <v/>
      </c>
      <c r="I959" s="79">
        <f>IF(OR($A959="",I$23=""),"",IF(COUNTIFS('AFA Rates'!$A$5:$A$1004,$A959,'AFA Rates'!$B$5:$B$1004,I$23,'AFA Rates'!$O$5:$O$1004,"&lt;&gt;Expired")&gt;0,"✓",IF(COUNTIFS('AFA Rates'!$A$5:$A$1004,$A959,'AFA Rates'!$B$5:$B$1004,I$23)&gt;0,"Exp","")))</f>
        <v/>
      </c>
      <c r="J959" s="79">
        <f>IF(OR($A959="",J$23=""),"",IF(COUNTIFS('AFA Rates'!$A$5:$A$1004,$A959,'AFA Rates'!$B$5:$B$1004,J$23,'AFA Rates'!$O$5:$O$1004,"&lt;&gt;Expired")&gt;0,"✓",IF(COUNTIFS('AFA Rates'!$A$5:$A$1004,$A959,'AFA Rates'!$B$5:$B$1004,J$23)&gt;0,"Exp","")))</f>
        <v/>
      </c>
      <c r="K959" s="79">
        <f>IF(OR($A959="",K$23=""),"",IF(COUNTIFS('AFA Rates'!$A$5:$A$1004,$A959,'AFA Rates'!$B$5:$B$1004,K$23,'AFA Rates'!$O$5:$O$1004,"&lt;&gt;Expired")&gt;0,"✓",IF(COUNTIFS('AFA Rates'!$A$5:$A$1004,$A959,'AFA Rates'!$B$5:$B$1004,K$23)&gt;0,"Exp","")))</f>
        <v/>
      </c>
      <c r="L959" s="79">
        <f>IF(OR($A959="",L$23=""),"",IF(COUNTIFS('AFA Rates'!$A$5:$A$1004,$A959,'AFA Rates'!$B$5:$B$1004,L$23,'AFA Rates'!$O$5:$O$1004,"&lt;&gt;Expired")&gt;0,"✓",IF(COUNTIFS('AFA Rates'!$A$5:$A$1004,$A959,'AFA Rates'!$B$5:$B$1004,L$23)&gt;0,"Exp","")))</f>
        <v/>
      </c>
      <c r="M959" s="79">
        <f>IF(OR($A959="",M$23=""),"",IF(COUNTIFS('AFA Rates'!$A$5:$A$1004,$A959,'AFA Rates'!$B$5:$B$1004,M$23,'AFA Rates'!$O$5:$O$1004,"&lt;&gt;Expired")&gt;0,"✓",IF(COUNTIFS('AFA Rates'!$A$5:$A$1004,$A959,'AFA Rates'!$B$5:$B$1004,M$23)&gt;0,"Exp","")))</f>
        <v/>
      </c>
    </row>
    <row r="960">
      <c r="A960" s="78">
        <f>IFERROR(INDEX(Firms!$A$5:$A$1004,MATCH(937,Firms!$V$5:$V$1004,0)),"")</f>
        <v/>
      </c>
      <c r="B960" s="79">
        <f>IF($A960="","",INDEX(Firms!$B$5:$B$1004,MATCH(937,Firms!$V$5:$V$1004,0)))</f>
        <v/>
      </c>
      <c r="C960" s="79">
        <f>IF($A960="","",COUNTIFS('AFA Rates'!$A$5:$A$1004,$A960,'AFA Rates'!$O$5:$O$1004,"&lt;&gt;Expired"))</f>
        <v/>
      </c>
      <c r="D960" s="79">
        <f>IF(OR($A960="",D$23=""),"",IF(COUNTIFS('AFA Rates'!$A$5:$A$1004,$A960,'AFA Rates'!$B$5:$B$1004,D$23,'AFA Rates'!$O$5:$O$1004,"&lt;&gt;Expired")&gt;0,"✓",IF(COUNTIFS('AFA Rates'!$A$5:$A$1004,$A960,'AFA Rates'!$B$5:$B$1004,D$23)&gt;0,"Exp","")))</f>
        <v/>
      </c>
      <c r="E960" s="79">
        <f>IF(OR($A960="",E$23=""),"",IF(COUNTIFS('AFA Rates'!$A$5:$A$1004,$A960,'AFA Rates'!$B$5:$B$1004,E$23,'AFA Rates'!$O$5:$O$1004,"&lt;&gt;Expired")&gt;0,"✓",IF(COUNTIFS('AFA Rates'!$A$5:$A$1004,$A960,'AFA Rates'!$B$5:$B$1004,E$23)&gt;0,"Exp","")))</f>
        <v/>
      </c>
      <c r="F960" s="79">
        <f>IF(OR($A960="",F$23=""),"",IF(COUNTIFS('AFA Rates'!$A$5:$A$1004,$A960,'AFA Rates'!$B$5:$B$1004,F$23,'AFA Rates'!$O$5:$O$1004,"&lt;&gt;Expired")&gt;0,"✓",IF(COUNTIFS('AFA Rates'!$A$5:$A$1004,$A960,'AFA Rates'!$B$5:$B$1004,F$23)&gt;0,"Exp","")))</f>
        <v/>
      </c>
      <c r="G960" s="79">
        <f>IF(OR($A960="",G$23=""),"",IF(COUNTIFS('AFA Rates'!$A$5:$A$1004,$A960,'AFA Rates'!$B$5:$B$1004,G$23,'AFA Rates'!$O$5:$O$1004,"&lt;&gt;Expired")&gt;0,"✓",IF(COUNTIFS('AFA Rates'!$A$5:$A$1004,$A960,'AFA Rates'!$B$5:$B$1004,G$23)&gt;0,"Exp","")))</f>
        <v/>
      </c>
      <c r="H960" s="79">
        <f>IF(OR($A960="",H$23=""),"",IF(COUNTIFS('AFA Rates'!$A$5:$A$1004,$A960,'AFA Rates'!$B$5:$B$1004,H$23,'AFA Rates'!$O$5:$O$1004,"&lt;&gt;Expired")&gt;0,"✓",IF(COUNTIFS('AFA Rates'!$A$5:$A$1004,$A960,'AFA Rates'!$B$5:$B$1004,H$23)&gt;0,"Exp","")))</f>
        <v/>
      </c>
      <c r="I960" s="79">
        <f>IF(OR($A960="",I$23=""),"",IF(COUNTIFS('AFA Rates'!$A$5:$A$1004,$A960,'AFA Rates'!$B$5:$B$1004,I$23,'AFA Rates'!$O$5:$O$1004,"&lt;&gt;Expired")&gt;0,"✓",IF(COUNTIFS('AFA Rates'!$A$5:$A$1004,$A960,'AFA Rates'!$B$5:$B$1004,I$23)&gt;0,"Exp","")))</f>
        <v/>
      </c>
      <c r="J960" s="79">
        <f>IF(OR($A960="",J$23=""),"",IF(COUNTIFS('AFA Rates'!$A$5:$A$1004,$A960,'AFA Rates'!$B$5:$B$1004,J$23,'AFA Rates'!$O$5:$O$1004,"&lt;&gt;Expired")&gt;0,"✓",IF(COUNTIFS('AFA Rates'!$A$5:$A$1004,$A960,'AFA Rates'!$B$5:$B$1004,J$23)&gt;0,"Exp","")))</f>
        <v/>
      </c>
      <c r="K960" s="79">
        <f>IF(OR($A960="",K$23=""),"",IF(COUNTIFS('AFA Rates'!$A$5:$A$1004,$A960,'AFA Rates'!$B$5:$B$1004,K$23,'AFA Rates'!$O$5:$O$1004,"&lt;&gt;Expired")&gt;0,"✓",IF(COUNTIFS('AFA Rates'!$A$5:$A$1004,$A960,'AFA Rates'!$B$5:$B$1004,K$23)&gt;0,"Exp","")))</f>
        <v/>
      </c>
      <c r="L960" s="79">
        <f>IF(OR($A960="",L$23=""),"",IF(COUNTIFS('AFA Rates'!$A$5:$A$1004,$A960,'AFA Rates'!$B$5:$B$1004,L$23,'AFA Rates'!$O$5:$O$1004,"&lt;&gt;Expired")&gt;0,"✓",IF(COUNTIFS('AFA Rates'!$A$5:$A$1004,$A960,'AFA Rates'!$B$5:$B$1004,L$23)&gt;0,"Exp","")))</f>
        <v/>
      </c>
      <c r="M960" s="79">
        <f>IF(OR($A960="",M$23=""),"",IF(COUNTIFS('AFA Rates'!$A$5:$A$1004,$A960,'AFA Rates'!$B$5:$B$1004,M$23,'AFA Rates'!$O$5:$O$1004,"&lt;&gt;Expired")&gt;0,"✓",IF(COUNTIFS('AFA Rates'!$A$5:$A$1004,$A960,'AFA Rates'!$B$5:$B$1004,M$23)&gt;0,"Exp","")))</f>
        <v/>
      </c>
    </row>
    <row r="961">
      <c r="A961" s="78">
        <f>IFERROR(INDEX(Firms!$A$5:$A$1004,MATCH(938,Firms!$V$5:$V$1004,0)),"")</f>
        <v/>
      </c>
      <c r="B961" s="79">
        <f>IF($A961="","",INDEX(Firms!$B$5:$B$1004,MATCH(938,Firms!$V$5:$V$1004,0)))</f>
        <v/>
      </c>
      <c r="C961" s="79">
        <f>IF($A961="","",COUNTIFS('AFA Rates'!$A$5:$A$1004,$A961,'AFA Rates'!$O$5:$O$1004,"&lt;&gt;Expired"))</f>
        <v/>
      </c>
      <c r="D961" s="79">
        <f>IF(OR($A961="",D$23=""),"",IF(COUNTIFS('AFA Rates'!$A$5:$A$1004,$A961,'AFA Rates'!$B$5:$B$1004,D$23,'AFA Rates'!$O$5:$O$1004,"&lt;&gt;Expired")&gt;0,"✓",IF(COUNTIFS('AFA Rates'!$A$5:$A$1004,$A961,'AFA Rates'!$B$5:$B$1004,D$23)&gt;0,"Exp","")))</f>
        <v/>
      </c>
      <c r="E961" s="79">
        <f>IF(OR($A961="",E$23=""),"",IF(COUNTIFS('AFA Rates'!$A$5:$A$1004,$A961,'AFA Rates'!$B$5:$B$1004,E$23,'AFA Rates'!$O$5:$O$1004,"&lt;&gt;Expired")&gt;0,"✓",IF(COUNTIFS('AFA Rates'!$A$5:$A$1004,$A961,'AFA Rates'!$B$5:$B$1004,E$23)&gt;0,"Exp","")))</f>
        <v/>
      </c>
      <c r="F961" s="79">
        <f>IF(OR($A961="",F$23=""),"",IF(COUNTIFS('AFA Rates'!$A$5:$A$1004,$A961,'AFA Rates'!$B$5:$B$1004,F$23,'AFA Rates'!$O$5:$O$1004,"&lt;&gt;Expired")&gt;0,"✓",IF(COUNTIFS('AFA Rates'!$A$5:$A$1004,$A961,'AFA Rates'!$B$5:$B$1004,F$23)&gt;0,"Exp","")))</f>
        <v/>
      </c>
      <c r="G961" s="79">
        <f>IF(OR($A961="",G$23=""),"",IF(COUNTIFS('AFA Rates'!$A$5:$A$1004,$A961,'AFA Rates'!$B$5:$B$1004,G$23,'AFA Rates'!$O$5:$O$1004,"&lt;&gt;Expired")&gt;0,"✓",IF(COUNTIFS('AFA Rates'!$A$5:$A$1004,$A961,'AFA Rates'!$B$5:$B$1004,G$23)&gt;0,"Exp","")))</f>
        <v/>
      </c>
      <c r="H961" s="79">
        <f>IF(OR($A961="",H$23=""),"",IF(COUNTIFS('AFA Rates'!$A$5:$A$1004,$A961,'AFA Rates'!$B$5:$B$1004,H$23,'AFA Rates'!$O$5:$O$1004,"&lt;&gt;Expired")&gt;0,"✓",IF(COUNTIFS('AFA Rates'!$A$5:$A$1004,$A961,'AFA Rates'!$B$5:$B$1004,H$23)&gt;0,"Exp","")))</f>
        <v/>
      </c>
      <c r="I961" s="79">
        <f>IF(OR($A961="",I$23=""),"",IF(COUNTIFS('AFA Rates'!$A$5:$A$1004,$A961,'AFA Rates'!$B$5:$B$1004,I$23,'AFA Rates'!$O$5:$O$1004,"&lt;&gt;Expired")&gt;0,"✓",IF(COUNTIFS('AFA Rates'!$A$5:$A$1004,$A961,'AFA Rates'!$B$5:$B$1004,I$23)&gt;0,"Exp","")))</f>
        <v/>
      </c>
      <c r="J961" s="79">
        <f>IF(OR($A961="",J$23=""),"",IF(COUNTIFS('AFA Rates'!$A$5:$A$1004,$A961,'AFA Rates'!$B$5:$B$1004,J$23,'AFA Rates'!$O$5:$O$1004,"&lt;&gt;Expired")&gt;0,"✓",IF(COUNTIFS('AFA Rates'!$A$5:$A$1004,$A961,'AFA Rates'!$B$5:$B$1004,J$23)&gt;0,"Exp","")))</f>
        <v/>
      </c>
      <c r="K961" s="79">
        <f>IF(OR($A961="",K$23=""),"",IF(COUNTIFS('AFA Rates'!$A$5:$A$1004,$A961,'AFA Rates'!$B$5:$B$1004,K$23,'AFA Rates'!$O$5:$O$1004,"&lt;&gt;Expired")&gt;0,"✓",IF(COUNTIFS('AFA Rates'!$A$5:$A$1004,$A961,'AFA Rates'!$B$5:$B$1004,K$23)&gt;0,"Exp","")))</f>
        <v/>
      </c>
      <c r="L961" s="79">
        <f>IF(OR($A961="",L$23=""),"",IF(COUNTIFS('AFA Rates'!$A$5:$A$1004,$A961,'AFA Rates'!$B$5:$B$1004,L$23,'AFA Rates'!$O$5:$O$1004,"&lt;&gt;Expired")&gt;0,"✓",IF(COUNTIFS('AFA Rates'!$A$5:$A$1004,$A961,'AFA Rates'!$B$5:$B$1004,L$23)&gt;0,"Exp","")))</f>
        <v/>
      </c>
      <c r="M961" s="79">
        <f>IF(OR($A961="",M$23=""),"",IF(COUNTIFS('AFA Rates'!$A$5:$A$1004,$A961,'AFA Rates'!$B$5:$B$1004,M$23,'AFA Rates'!$O$5:$O$1004,"&lt;&gt;Expired")&gt;0,"✓",IF(COUNTIFS('AFA Rates'!$A$5:$A$1004,$A961,'AFA Rates'!$B$5:$B$1004,M$23)&gt;0,"Exp","")))</f>
        <v/>
      </c>
    </row>
    <row r="962">
      <c r="A962" s="78">
        <f>IFERROR(INDEX(Firms!$A$5:$A$1004,MATCH(939,Firms!$V$5:$V$1004,0)),"")</f>
        <v/>
      </c>
      <c r="B962" s="79">
        <f>IF($A962="","",INDEX(Firms!$B$5:$B$1004,MATCH(939,Firms!$V$5:$V$1004,0)))</f>
        <v/>
      </c>
      <c r="C962" s="79">
        <f>IF($A962="","",COUNTIFS('AFA Rates'!$A$5:$A$1004,$A962,'AFA Rates'!$O$5:$O$1004,"&lt;&gt;Expired"))</f>
        <v/>
      </c>
      <c r="D962" s="79">
        <f>IF(OR($A962="",D$23=""),"",IF(COUNTIFS('AFA Rates'!$A$5:$A$1004,$A962,'AFA Rates'!$B$5:$B$1004,D$23,'AFA Rates'!$O$5:$O$1004,"&lt;&gt;Expired")&gt;0,"✓",IF(COUNTIFS('AFA Rates'!$A$5:$A$1004,$A962,'AFA Rates'!$B$5:$B$1004,D$23)&gt;0,"Exp","")))</f>
        <v/>
      </c>
      <c r="E962" s="79">
        <f>IF(OR($A962="",E$23=""),"",IF(COUNTIFS('AFA Rates'!$A$5:$A$1004,$A962,'AFA Rates'!$B$5:$B$1004,E$23,'AFA Rates'!$O$5:$O$1004,"&lt;&gt;Expired")&gt;0,"✓",IF(COUNTIFS('AFA Rates'!$A$5:$A$1004,$A962,'AFA Rates'!$B$5:$B$1004,E$23)&gt;0,"Exp","")))</f>
        <v/>
      </c>
      <c r="F962" s="79">
        <f>IF(OR($A962="",F$23=""),"",IF(COUNTIFS('AFA Rates'!$A$5:$A$1004,$A962,'AFA Rates'!$B$5:$B$1004,F$23,'AFA Rates'!$O$5:$O$1004,"&lt;&gt;Expired")&gt;0,"✓",IF(COUNTIFS('AFA Rates'!$A$5:$A$1004,$A962,'AFA Rates'!$B$5:$B$1004,F$23)&gt;0,"Exp","")))</f>
        <v/>
      </c>
      <c r="G962" s="79">
        <f>IF(OR($A962="",G$23=""),"",IF(COUNTIFS('AFA Rates'!$A$5:$A$1004,$A962,'AFA Rates'!$B$5:$B$1004,G$23,'AFA Rates'!$O$5:$O$1004,"&lt;&gt;Expired")&gt;0,"✓",IF(COUNTIFS('AFA Rates'!$A$5:$A$1004,$A962,'AFA Rates'!$B$5:$B$1004,G$23)&gt;0,"Exp","")))</f>
        <v/>
      </c>
      <c r="H962" s="79">
        <f>IF(OR($A962="",H$23=""),"",IF(COUNTIFS('AFA Rates'!$A$5:$A$1004,$A962,'AFA Rates'!$B$5:$B$1004,H$23,'AFA Rates'!$O$5:$O$1004,"&lt;&gt;Expired")&gt;0,"✓",IF(COUNTIFS('AFA Rates'!$A$5:$A$1004,$A962,'AFA Rates'!$B$5:$B$1004,H$23)&gt;0,"Exp","")))</f>
        <v/>
      </c>
      <c r="I962" s="79">
        <f>IF(OR($A962="",I$23=""),"",IF(COUNTIFS('AFA Rates'!$A$5:$A$1004,$A962,'AFA Rates'!$B$5:$B$1004,I$23,'AFA Rates'!$O$5:$O$1004,"&lt;&gt;Expired")&gt;0,"✓",IF(COUNTIFS('AFA Rates'!$A$5:$A$1004,$A962,'AFA Rates'!$B$5:$B$1004,I$23)&gt;0,"Exp","")))</f>
        <v/>
      </c>
      <c r="J962" s="79">
        <f>IF(OR($A962="",J$23=""),"",IF(COUNTIFS('AFA Rates'!$A$5:$A$1004,$A962,'AFA Rates'!$B$5:$B$1004,J$23,'AFA Rates'!$O$5:$O$1004,"&lt;&gt;Expired")&gt;0,"✓",IF(COUNTIFS('AFA Rates'!$A$5:$A$1004,$A962,'AFA Rates'!$B$5:$B$1004,J$23)&gt;0,"Exp","")))</f>
        <v/>
      </c>
      <c r="K962" s="79">
        <f>IF(OR($A962="",K$23=""),"",IF(COUNTIFS('AFA Rates'!$A$5:$A$1004,$A962,'AFA Rates'!$B$5:$B$1004,K$23,'AFA Rates'!$O$5:$O$1004,"&lt;&gt;Expired")&gt;0,"✓",IF(COUNTIFS('AFA Rates'!$A$5:$A$1004,$A962,'AFA Rates'!$B$5:$B$1004,K$23)&gt;0,"Exp","")))</f>
        <v/>
      </c>
      <c r="L962" s="79">
        <f>IF(OR($A962="",L$23=""),"",IF(COUNTIFS('AFA Rates'!$A$5:$A$1004,$A962,'AFA Rates'!$B$5:$B$1004,L$23,'AFA Rates'!$O$5:$O$1004,"&lt;&gt;Expired")&gt;0,"✓",IF(COUNTIFS('AFA Rates'!$A$5:$A$1004,$A962,'AFA Rates'!$B$5:$B$1004,L$23)&gt;0,"Exp","")))</f>
        <v/>
      </c>
      <c r="M962" s="79">
        <f>IF(OR($A962="",M$23=""),"",IF(COUNTIFS('AFA Rates'!$A$5:$A$1004,$A962,'AFA Rates'!$B$5:$B$1004,M$23,'AFA Rates'!$O$5:$O$1004,"&lt;&gt;Expired")&gt;0,"✓",IF(COUNTIFS('AFA Rates'!$A$5:$A$1004,$A962,'AFA Rates'!$B$5:$B$1004,M$23)&gt;0,"Exp","")))</f>
        <v/>
      </c>
    </row>
    <row r="963">
      <c r="A963" s="78">
        <f>IFERROR(INDEX(Firms!$A$5:$A$1004,MATCH(940,Firms!$V$5:$V$1004,0)),"")</f>
        <v/>
      </c>
      <c r="B963" s="79">
        <f>IF($A963="","",INDEX(Firms!$B$5:$B$1004,MATCH(940,Firms!$V$5:$V$1004,0)))</f>
        <v/>
      </c>
      <c r="C963" s="79">
        <f>IF($A963="","",COUNTIFS('AFA Rates'!$A$5:$A$1004,$A963,'AFA Rates'!$O$5:$O$1004,"&lt;&gt;Expired"))</f>
        <v/>
      </c>
      <c r="D963" s="79">
        <f>IF(OR($A963="",D$23=""),"",IF(COUNTIFS('AFA Rates'!$A$5:$A$1004,$A963,'AFA Rates'!$B$5:$B$1004,D$23,'AFA Rates'!$O$5:$O$1004,"&lt;&gt;Expired")&gt;0,"✓",IF(COUNTIFS('AFA Rates'!$A$5:$A$1004,$A963,'AFA Rates'!$B$5:$B$1004,D$23)&gt;0,"Exp","")))</f>
        <v/>
      </c>
      <c r="E963" s="79">
        <f>IF(OR($A963="",E$23=""),"",IF(COUNTIFS('AFA Rates'!$A$5:$A$1004,$A963,'AFA Rates'!$B$5:$B$1004,E$23,'AFA Rates'!$O$5:$O$1004,"&lt;&gt;Expired")&gt;0,"✓",IF(COUNTIFS('AFA Rates'!$A$5:$A$1004,$A963,'AFA Rates'!$B$5:$B$1004,E$23)&gt;0,"Exp","")))</f>
        <v/>
      </c>
      <c r="F963" s="79">
        <f>IF(OR($A963="",F$23=""),"",IF(COUNTIFS('AFA Rates'!$A$5:$A$1004,$A963,'AFA Rates'!$B$5:$B$1004,F$23,'AFA Rates'!$O$5:$O$1004,"&lt;&gt;Expired")&gt;0,"✓",IF(COUNTIFS('AFA Rates'!$A$5:$A$1004,$A963,'AFA Rates'!$B$5:$B$1004,F$23)&gt;0,"Exp","")))</f>
        <v/>
      </c>
      <c r="G963" s="79">
        <f>IF(OR($A963="",G$23=""),"",IF(COUNTIFS('AFA Rates'!$A$5:$A$1004,$A963,'AFA Rates'!$B$5:$B$1004,G$23,'AFA Rates'!$O$5:$O$1004,"&lt;&gt;Expired")&gt;0,"✓",IF(COUNTIFS('AFA Rates'!$A$5:$A$1004,$A963,'AFA Rates'!$B$5:$B$1004,G$23)&gt;0,"Exp","")))</f>
        <v/>
      </c>
      <c r="H963" s="79">
        <f>IF(OR($A963="",H$23=""),"",IF(COUNTIFS('AFA Rates'!$A$5:$A$1004,$A963,'AFA Rates'!$B$5:$B$1004,H$23,'AFA Rates'!$O$5:$O$1004,"&lt;&gt;Expired")&gt;0,"✓",IF(COUNTIFS('AFA Rates'!$A$5:$A$1004,$A963,'AFA Rates'!$B$5:$B$1004,H$23)&gt;0,"Exp","")))</f>
        <v/>
      </c>
      <c r="I963" s="79">
        <f>IF(OR($A963="",I$23=""),"",IF(COUNTIFS('AFA Rates'!$A$5:$A$1004,$A963,'AFA Rates'!$B$5:$B$1004,I$23,'AFA Rates'!$O$5:$O$1004,"&lt;&gt;Expired")&gt;0,"✓",IF(COUNTIFS('AFA Rates'!$A$5:$A$1004,$A963,'AFA Rates'!$B$5:$B$1004,I$23)&gt;0,"Exp","")))</f>
        <v/>
      </c>
      <c r="J963" s="79">
        <f>IF(OR($A963="",J$23=""),"",IF(COUNTIFS('AFA Rates'!$A$5:$A$1004,$A963,'AFA Rates'!$B$5:$B$1004,J$23,'AFA Rates'!$O$5:$O$1004,"&lt;&gt;Expired")&gt;0,"✓",IF(COUNTIFS('AFA Rates'!$A$5:$A$1004,$A963,'AFA Rates'!$B$5:$B$1004,J$23)&gt;0,"Exp","")))</f>
        <v/>
      </c>
      <c r="K963" s="79">
        <f>IF(OR($A963="",K$23=""),"",IF(COUNTIFS('AFA Rates'!$A$5:$A$1004,$A963,'AFA Rates'!$B$5:$B$1004,K$23,'AFA Rates'!$O$5:$O$1004,"&lt;&gt;Expired")&gt;0,"✓",IF(COUNTIFS('AFA Rates'!$A$5:$A$1004,$A963,'AFA Rates'!$B$5:$B$1004,K$23)&gt;0,"Exp","")))</f>
        <v/>
      </c>
      <c r="L963" s="79">
        <f>IF(OR($A963="",L$23=""),"",IF(COUNTIFS('AFA Rates'!$A$5:$A$1004,$A963,'AFA Rates'!$B$5:$B$1004,L$23,'AFA Rates'!$O$5:$O$1004,"&lt;&gt;Expired")&gt;0,"✓",IF(COUNTIFS('AFA Rates'!$A$5:$A$1004,$A963,'AFA Rates'!$B$5:$B$1004,L$23)&gt;0,"Exp","")))</f>
        <v/>
      </c>
      <c r="M963" s="79">
        <f>IF(OR($A963="",M$23=""),"",IF(COUNTIFS('AFA Rates'!$A$5:$A$1004,$A963,'AFA Rates'!$B$5:$B$1004,M$23,'AFA Rates'!$O$5:$O$1004,"&lt;&gt;Expired")&gt;0,"✓",IF(COUNTIFS('AFA Rates'!$A$5:$A$1004,$A963,'AFA Rates'!$B$5:$B$1004,M$23)&gt;0,"Exp","")))</f>
        <v/>
      </c>
    </row>
    <row r="964">
      <c r="A964" s="78">
        <f>IFERROR(INDEX(Firms!$A$5:$A$1004,MATCH(941,Firms!$V$5:$V$1004,0)),"")</f>
        <v/>
      </c>
      <c r="B964" s="79">
        <f>IF($A964="","",INDEX(Firms!$B$5:$B$1004,MATCH(941,Firms!$V$5:$V$1004,0)))</f>
        <v/>
      </c>
      <c r="C964" s="79">
        <f>IF($A964="","",COUNTIFS('AFA Rates'!$A$5:$A$1004,$A964,'AFA Rates'!$O$5:$O$1004,"&lt;&gt;Expired"))</f>
        <v/>
      </c>
      <c r="D964" s="79">
        <f>IF(OR($A964="",D$23=""),"",IF(COUNTIFS('AFA Rates'!$A$5:$A$1004,$A964,'AFA Rates'!$B$5:$B$1004,D$23,'AFA Rates'!$O$5:$O$1004,"&lt;&gt;Expired")&gt;0,"✓",IF(COUNTIFS('AFA Rates'!$A$5:$A$1004,$A964,'AFA Rates'!$B$5:$B$1004,D$23)&gt;0,"Exp","")))</f>
        <v/>
      </c>
      <c r="E964" s="79">
        <f>IF(OR($A964="",E$23=""),"",IF(COUNTIFS('AFA Rates'!$A$5:$A$1004,$A964,'AFA Rates'!$B$5:$B$1004,E$23,'AFA Rates'!$O$5:$O$1004,"&lt;&gt;Expired")&gt;0,"✓",IF(COUNTIFS('AFA Rates'!$A$5:$A$1004,$A964,'AFA Rates'!$B$5:$B$1004,E$23)&gt;0,"Exp","")))</f>
        <v/>
      </c>
      <c r="F964" s="79">
        <f>IF(OR($A964="",F$23=""),"",IF(COUNTIFS('AFA Rates'!$A$5:$A$1004,$A964,'AFA Rates'!$B$5:$B$1004,F$23,'AFA Rates'!$O$5:$O$1004,"&lt;&gt;Expired")&gt;0,"✓",IF(COUNTIFS('AFA Rates'!$A$5:$A$1004,$A964,'AFA Rates'!$B$5:$B$1004,F$23)&gt;0,"Exp","")))</f>
        <v/>
      </c>
      <c r="G964" s="79">
        <f>IF(OR($A964="",G$23=""),"",IF(COUNTIFS('AFA Rates'!$A$5:$A$1004,$A964,'AFA Rates'!$B$5:$B$1004,G$23,'AFA Rates'!$O$5:$O$1004,"&lt;&gt;Expired")&gt;0,"✓",IF(COUNTIFS('AFA Rates'!$A$5:$A$1004,$A964,'AFA Rates'!$B$5:$B$1004,G$23)&gt;0,"Exp","")))</f>
        <v/>
      </c>
      <c r="H964" s="79">
        <f>IF(OR($A964="",H$23=""),"",IF(COUNTIFS('AFA Rates'!$A$5:$A$1004,$A964,'AFA Rates'!$B$5:$B$1004,H$23,'AFA Rates'!$O$5:$O$1004,"&lt;&gt;Expired")&gt;0,"✓",IF(COUNTIFS('AFA Rates'!$A$5:$A$1004,$A964,'AFA Rates'!$B$5:$B$1004,H$23)&gt;0,"Exp","")))</f>
        <v/>
      </c>
      <c r="I964" s="79">
        <f>IF(OR($A964="",I$23=""),"",IF(COUNTIFS('AFA Rates'!$A$5:$A$1004,$A964,'AFA Rates'!$B$5:$B$1004,I$23,'AFA Rates'!$O$5:$O$1004,"&lt;&gt;Expired")&gt;0,"✓",IF(COUNTIFS('AFA Rates'!$A$5:$A$1004,$A964,'AFA Rates'!$B$5:$B$1004,I$23)&gt;0,"Exp","")))</f>
        <v/>
      </c>
      <c r="J964" s="79">
        <f>IF(OR($A964="",J$23=""),"",IF(COUNTIFS('AFA Rates'!$A$5:$A$1004,$A964,'AFA Rates'!$B$5:$B$1004,J$23,'AFA Rates'!$O$5:$O$1004,"&lt;&gt;Expired")&gt;0,"✓",IF(COUNTIFS('AFA Rates'!$A$5:$A$1004,$A964,'AFA Rates'!$B$5:$B$1004,J$23)&gt;0,"Exp","")))</f>
        <v/>
      </c>
      <c r="K964" s="79">
        <f>IF(OR($A964="",K$23=""),"",IF(COUNTIFS('AFA Rates'!$A$5:$A$1004,$A964,'AFA Rates'!$B$5:$B$1004,K$23,'AFA Rates'!$O$5:$O$1004,"&lt;&gt;Expired")&gt;0,"✓",IF(COUNTIFS('AFA Rates'!$A$5:$A$1004,$A964,'AFA Rates'!$B$5:$B$1004,K$23)&gt;0,"Exp","")))</f>
        <v/>
      </c>
      <c r="L964" s="79">
        <f>IF(OR($A964="",L$23=""),"",IF(COUNTIFS('AFA Rates'!$A$5:$A$1004,$A964,'AFA Rates'!$B$5:$B$1004,L$23,'AFA Rates'!$O$5:$O$1004,"&lt;&gt;Expired")&gt;0,"✓",IF(COUNTIFS('AFA Rates'!$A$5:$A$1004,$A964,'AFA Rates'!$B$5:$B$1004,L$23)&gt;0,"Exp","")))</f>
        <v/>
      </c>
      <c r="M964" s="79">
        <f>IF(OR($A964="",M$23=""),"",IF(COUNTIFS('AFA Rates'!$A$5:$A$1004,$A964,'AFA Rates'!$B$5:$B$1004,M$23,'AFA Rates'!$O$5:$O$1004,"&lt;&gt;Expired")&gt;0,"✓",IF(COUNTIFS('AFA Rates'!$A$5:$A$1004,$A964,'AFA Rates'!$B$5:$B$1004,M$23)&gt;0,"Exp","")))</f>
        <v/>
      </c>
    </row>
    <row r="965">
      <c r="A965" s="78">
        <f>IFERROR(INDEX(Firms!$A$5:$A$1004,MATCH(942,Firms!$V$5:$V$1004,0)),"")</f>
        <v/>
      </c>
      <c r="B965" s="79">
        <f>IF($A965="","",INDEX(Firms!$B$5:$B$1004,MATCH(942,Firms!$V$5:$V$1004,0)))</f>
        <v/>
      </c>
      <c r="C965" s="79">
        <f>IF($A965="","",COUNTIFS('AFA Rates'!$A$5:$A$1004,$A965,'AFA Rates'!$O$5:$O$1004,"&lt;&gt;Expired"))</f>
        <v/>
      </c>
      <c r="D965" s="79">
        <f>IF(OR($A965="",D$23=""),"",IF(COUNTIFS('AFA Rates'!$A$5:$A$1004,$A965,'AFA Rates'!$B$5:$B$1004,D$23,'AFA Rates'!$O$5:$O$1004,"&lt;&gt;Expired")&gt;0,"✓",IF(COUNTIFS('AFA Rates'!$A$5:$A$1004,$A965,'AFA Rates'!$B$5:$B$1004,D$23)&gt;0,"Exp","")))</f>
        <v/>
      </c>
      <c r="E965" s="79">
        <f>IF(OR($A965="",E$23=""),"",IF(COUNTIFS('AFA Rates'!$A$5:$A$1004,$A965,'AFA Rates'!$B$5:$B$1004,E$23,'AFA Rates'!$O$5:$O$1004,"&lt;&gt;Expired")&gt;0,"✓",IF(COUNTIFS('AFA Rates'!$A$5:$A$1004,$A965,'AFA Rates'!$B$5:$B$1004,E$23)&gt;0,"Exp","")))</f>
        <v/>
      </c>
      <c r="F965" s="79">
        <f>IF(OR($A965="",F$23=""),"",IF(COUNTIFS('AFA Rates'!$A$5:$A$1004,$A965,'AFA Rates'!$B$5:$B$1004,F$23,'AFA Rates'!$O$5:$O$1004,"&lt;&gt;Expired")&gt;0,"✓",IF(COUNTIFS('AFA Rates'!$A$5:$A$1004,$A965,'AFA Rates'!$B$5:$B$1004,F$23)&gt;0,"Exp","")))</f>
        <v/>
      </c>
      <c r="G965" s="79">
        <f>IF(OR($A965="",G$23=""),"",IF(COUNTIFS('AFA Rates'!$A$5:$A$1004,$A965,'AFA Rates'!$B$5:$B$1004,G$23,'AFA Rates'!$O$5:$O$1004,"&lt;&gt;Expired")&gt;0,"✓",IF(COUNTIFS('AFA Rates'!$A$5:$A$1004,$A965,'AFA Rates'!$B$5:$B$1004,G$23)&gt;0,"Exp","")))</f>
        <v/>
      </c>
      <c r="H965" s="79">
        <f>IF(OR($A965="",H$23=""),"",IF(COUNTIFS('AFA Rates'!$A$5:$A$1004,$A965,'AFA Rates'!$B$5:$B$1004,H$23,'AFA Rates'!$O$5:$O$1004,"&lt;&gt;Expired")&gt;0,"✓",IF(COUNTIFS('AFA Rates'!$A$5:$A$1004,$A965,'AFA Rates'!$B$5:$B$1004,H$23)&gt;0,"Exp","")))</f>
        <v/>
      </c>
      <c r="I965" s="79">
        <f>IF(OR($A965="",I$23=""),"",IF(COUNTIFS('AFA Rates'!$A$5:$A$1004,$A965,'AFA Rates'!$B$5:$B$1004,I$23,'AFA Rates'!$O$5:$O$1004,"&lt;&gt;Expired")&gt;0,"✓",IF(COUNTIFS('AFA Rates'!$A$5:$A$1004,$A965,'AFA Rates'!$B$5:$B$1004,I$23)&gt;0,"Exp","")))</f>
        <v/>
      </c>
      <c r="J965" s="79">
        <f>IF(OR($A965="",J$23=""),"",IF(COUNTIFS('AFA Rates'!$A$5:$A$1004,$A965,'AFA Rates'!$B$5:$B$1004,J$23,'AFA Rates'!$O$5:$O$1004,"&lt;&gt;Expired")&gt;0,"✓",IF(COUNTIFS('AFA Rates'!$A$5:$A$1004,$A965,'AFA Rates'!$B$5:$B$1004,J$23)&gt;0,"Exp","")))</f>
        <v/>
      </c>
      <c r="K965" s="79">
        <f>IF(OR($A965="",K$23=""),"",IF(COUNTIFS('AFA Rates'!$A$5:$A$1004,$A965,'AFA Rates'!$B$5:$B$1004,K$23,'AFA Rates'!$O$5:$O$1004,"&lt;&gt;Expired")&gt;0,"✓",IF(COUNTIFS('AFA Rates'!$A$5:$A$1004,$A965,'AFA Rates'!$B$5:$B$1004,K$23)&gt;0,"Exp","")))</f>
        <v/>
      </c>
      <c r="L965" s="79">
        <f>IF(OR($A965="",L$23=""),"",IF(COUNTIFS('AFA Rates'!$A$5:$A$1004,$A965,'AFA Rates'!$B$5:$B$1004,L$23,'AFA Rates'!$O$5:$O$1004,"&lt;&gt;Expired")&gt;0,"✓",IF(COUNTIFS('AFA Rates'!$A$5:$A$1004,$A965,'AFA Rates'!$B$5:$B$1004,L$23)&gt;0,"Exp","")))</f>
        <v/>
      </c>
      <c r="M965" s="79">
        <f>IF(OR($A965="",M$23=""),"",IF(COUNTIFS('AFA Rates'!$A$5:$A$1004,$A965,'AFA Rates'!$B$5:$B$1004,M$23,'AFA Rates'!$O$5:$O$1004,"&lt;&gt;Expired")&gt;0,"✓",IF(COUNTIFS('AFA Rates'!$A$5:$A$1004,$A965,'AFA Rates'!$B$5:$B$1004,M$23)&gt;0,"Exp","")))</f>
        <v/>
      </c>
    </row>
    <row r="966">
      <c r="A966" s="78">
        <f>IFERROR(INDEX(Firms!$A$5:$A$1004,MATCH(943,Firms!$V$5:$V$1004,0)),"")</f>
        <v/>
      </c>
      <c r="B966" s="79">
        <f>IF($A966="","",INDEX(Firms!$B$5:$B$1004,MATCH(943,Firms!$V$5:$V$1004,0)))</f>
        <v/>
      </c>
      <c r="C966" s="79">
        <f>IF($A966="","",COUNTIFS('AFA Rates'!$A$5:$A$1004,$A966,'AFA Rates'!$O$5:$O$1004,"&lt;&gt;Expired"))</f>
        <v/>
      </c>
      <c r="D966" s="79">
        <f>IF(OR($A966="",D$23=""),"",IF(COUNTIFS('AFA Rates'!$A$5:$A$1004,$A966,'AFA Rates'!$B$5:$B$1004,D$23,'AFA Rates'!$O$5:$O$1004,"&lt;&gt;Expired")&gt;0,"✓",IF(COUNTIFS('AFA Rates'!$A$5:$A$1004,$A966,'AFA Rates'!$B$5:$B$1004,D$23)&gt;0,"Exp","")))</f>
        <v/>
      </c>
      <c r="E966" s="79">
        <f>IF(OR($A966="",E$23=""),"",IF(COUNTIFS('AFA Rates'!$A$5:$A$1004,$A966,'AFA Rates'!$B$5:$B$1004,E$23,'AFA Rates'!$O$5:$O$1004,"&lt;&gt;Expired")&gt;0,"✓",IF(COUNTIFS('AFA Rates'!$A$5:$A$1004,$A966,'AFA Rates'!$B$5:$B$1004,E$23)&gt;0,"Exp","")))</f>
        <v/>
      </c>
      <c r="F966" s="79">
        <f>IF(OR($A966="",F$23=""),"",IF(COUNTIFS('AFA Rates'!$A$5:$A$1004,$A966,'AFA Rates'!$B$5:$B$1004,F$23,'AFA Rates'!$O$5:$O$1004,"&lt;&gt;Expired")&gt;0,"✓",IF(COUNTIFS('AFA Rates'!$A$5:$A$1004,$A966,'AFA Rates'!$B$5:$B$1004,F$23)&gt;0,"Exp","")))</f>
        <v/>
      </c>
      <c r="G966" s="79">
        <f>IF(OR($A966="",G$23=""),"",IF(COUNTIFS('AFA Rates'!$A$5:$A$1004,$A966,'AFA Rates'!$B$5:$B$1004,G$23,'AFA Rates'!$O$5:$O$1004,"&lt;&gt;Expired")&gt;0,"✓",IF(COUNTIFS('AFA Rates'!$A$5:$A$1004,$A966,'AFA Rates'!$B$5:$B$1004,G$23)&gt;0,"Exp","")))</f>
        <v/>
      </c>
      <c r="H966" s="79">
        <f>IF(OR($A966="",H$23=""),"",IF(COUNTIFS('AFA Rates'!$A$5:$A$1004,$A966,'AFA Rates'!$B$5:$B$1004,H$23,'AFA Rates'!$O$5:$O$1004,"&lt;&gt;Expired")&gt;0,"✓",IF(COUNTIFS('AFA Rates'!$A$5:$A$1004,$A966,'AFA Rates'!$B$5:$B$1004,H$23)&gt;0,"Exp","")))</f>
        <v/>
      </c>
      <c r="I966" s="79">
        <f>IF(OR($A966="",I$23=""),"",IF(COUNTIFS('AFA Rates'!$A$5:$A$1004,$A966,'AFA Rates'!$B$5:$B$1004,I$23,'AFA Rates'!$O$5:$O$1004,"&lt;&gt;Expired")&gt;0,"✓",IF(COUNTIFS('AFA Rates'!$A$5:$A$1004,$A966,'AFA Rates'!$B$5:$B$1004,I$23)&gt;0,"Exp","")))</f>
        <v/>
      </c>
      <c r="J966" s="79">
        <f>IF(OR($A966="",J$23=""),"",IF(COUNTIFS('AFA Rates'!$A$5:$A$1004,$A966,'AFA Rates'!$B$5:$B$1004,J$23,'AFA Rates'!$O$5:$O$1004,"&lt;&gt;Expired")&gt;0,"✓",IF(COUNTIFS('AFA Rates'!$A$5:$A$1004,$A966,'AFA Rates'!$B$5:$B$1004,J$23)&gt;0,"Exp","")))</f>
        <v/>
      </c>
      <c r="K966" s="79">
        <f>IF(OR($A966="",K$23=""),"",IF(COUNTIFS('AFA Rates'!$A$5:$A$1004,$A966,'AFA Rates'!$B$5:$B$1004,K$23,'AFA Rates'!$O$5:$O$1004,"&lt;&gt;Expired")&gt;0,"✓",IF(COUNTIFS('AFA Rates'!$A$5:$A$1004,$A966,'AFA Rates'!$B$5:$B$1004,K$23)&gt;0,"Exp","")))</f>
        <v/>
      </c>
      <c r="L966" s="79">
        <f>IF(OR($A966="",L$23=""),"",IF(COUNTIFS('AFA Rates'!$A$5:$A$1004,$A966,'AFA Rates'!$B$5:$B$1004,L$23,'AFA Rates'!$O$5:$O$1004,"&lt;&gt;Expired")&gt;0,"✓",IF(COUNTIFS('AFA Rates'!$A$5:$A$1004,$A966,'AFA Rates'!$B$5:$B$1004,L$23)&gt;0,"Exp","")))</f>
        <v/>
      </c>
      <c r="M966" s="79">
        <f>IF(OR($A966="",M$23=""),"",IF(COUNTIFS('AFA Rates'!$A$5:$A$1004,$A966,'AFA Rates'!$B$5:$B$1004,M$23,'AFA Rates'!$O$5:$O$1004,"&lt;&gt;Expired")&gt;0,"✓",IF(COUNTIFS('AFA Rates'!$A$5:$A$1004,$A966,'AFA Rates'!$B$5:$B$1004,M$23)&gt;0,"Exp","")))</f>
        <v/>
      </c>
    </row>
    <row r="967">
      <c r="A967" s="78">
        <f>IFERROR(INDEX(Firms!$A$5:$A$1004,MATCH(944,Firms!$V$5:$V$1004,0)),"")</f>
        <v/>
      </c>
      <c r="B967" s="79">
        <f>IF($A967="","",INDEX(Firms!$B$5:$B$1004,MATCH(944,Firms!$V$5:$V$1004,0)))</f>
        <v/>
      </c>
      <c r="C967" s="79">
        <f>IF($A967="","",COUNTIFS('AFA Rates'!$A$5:$A$1004,$A967,'AFA Rates'!$O$5:$O$1004,"&lt;&gt;Expired"))</f>
        <v/>
      </c>
      <c r="D967" s="79">
        <f>IF(OR($A967="",D$23=""),"",IF(COUNTIFS('AFA Rates'!$A$5:$A$1004,$A967,'AFA Rates'!$B$5:$B$1004,D$23,'AFA Rates'!$O$5:$O$1004,"&lt;&gt;Expired")&gt;0,"✓",IF(COUNTIFS('AFA Rates'!$A$5:$A$1004,$A967,'AFA Rates'!$B$5:$B$1004,D$23)&gt;0,"Exp","")))</f>
        <v/>
      </c>
      <c r="E967" s="79">
        <f>IF(OR($A967="",E$23=""),"",IF(COUNTIFS('AFA Rates'!$A$5:$A$1004,$A967,'AFA Rates'!$B$5:$B$1004,E$23,'AFA Rates'!$O$5:$O$1004,"&lt;&gt;Expired")&gt;0,"✓",IF(COUNTIFS('AFA Rates'!$A$5:$A$1004,$A967,'AFA Rates'!$B$5:$B$1004,E$23)&gt;0,"Exp","")))</f>
        <v/>
      </c>
      <c r="F967" s="79">
        <f>IF(OR($A967="",F$23=""),"",IF(COUNTIFS('AFA Rates'!$A$5:$A$1004,$A967,'AFA Rates'!$B$5:$B$1004,F$23,'AFA Rates'!$O$5:$O$1004,"&lt;&gt;Expired")&gt;0,"✓",IF(COUNTIFS('AFA Rates'!$A$5:$A$1004,$A967,'AFA Rates'!$B$5:$B$1004,F$23)&gt;0,"Exp","")))</f>
        <v/>
      </c>
      <c r="G967" s="79">
        <f>IF(OR($A967="",G$23=""),"",IF(COUNTIFS('AFA Rates'!$A$5:$A$1004,$A967,'AFA Rates'!$B$5:$B$1004,G$23,'AFA Rates'!$O$5:$O$1004,"&lt;&gt;Expired")&gt;0,"✓",IF(COUNTIFS('AFA Rates'!$A$5:$A$1004,$A967,'AFA Rates'!$B$5:$B$1004,G$23)&gt;0,"Exp","")))</f>
        <v/>
      </c>
      <c r="H967" s="79">
        <f>IF(OR($A967="",H$23=""),"",IF(COUNTIFS('AFA Rates'!$A$5:$A$1004,$A967,'AFA Rates'!$B$5:$B$1004,H$23,'AFA Rates'!$O$5:$O$1004,"&lt;&gt;Expired")&gt;0,"✓",IF(COUNTIFS('AFA Rates'!$A$5:$A$1004,$A967,'AFA Rates'!$B$5:$B$1004,H$23)&gt;0,"Exp","")))</f>
        <v/>
      </c>
      <c r="I967" s="79">
        <f>IF(OR($A967="",I$23=""),"",IF(COUNTIFS('AFA Rates'!$A$5:$A$1004,$A967,'AFA Rates'!$B$5:$B$1004,I$23,'AFA Rates'!$O$5:$O$1004,"&lt;&gt;Expired")&gt;0,"✓",IF(COUNTIFS('AFA Rates'!$A$5:$A$1004,$A967,'AFA Rates'!$B$5:$B$1004,I$23)&gt;0,"Exp","")))</f>
        <v/>
      </c>
      <c r="J967" s="79">
        <f>IF(OR($A967="",J$23=""),"",IF(COUNTIFS('AFA Rates'!$A$5:$A$1004,$A967,'AFA Rates'!$B$5:$B$1004,J$23,'AFA Rates'!$O$5:$O$1004,"&lt;&gt;Expired")&gt;0,"✓",IF(COUNTIFS('AFA Rates'!$A$5:$A$1004,$A967,'AFA Rates'!$B$5:$B$1004,J$23)&gt;0,"Exp","")))</f>
        <v/>
      </c>
      <c r="K967" s="79">
        <f>IF(OR($A967="",K$23=""),"",IF(COUNTIFS('AFA Rates'!$A$5:$A$1004,$A967,'AFA Rates'!$B$5:$B$1004,K$23,'AFA Rates'!$O$5:$O$1004,"&lt;&gt;Expired")&gt;0,"✓",IF(COUNTIFS('AFA Rates'!$A$5:$A$1004,$A967,'AFA Rates'!$B$5:$B$1004,K$23)&gt;0,"Exp","")))</f>
        <v/>
      </c>
      <c r="L967" s="79">
        <f>IF(OR($A967="",L$23=""),"",IF(COUNTIFS('AFA Rates'!$A$5:$A$1004,$A967,'AFA Rates'!$B$5:$B$1004,L$23,'AFA Rates'!$O$5:$O$1004,"&lt;&gt;Expired")&gt;0,"✓",IF(COUNTIFS('AFA Rates'!$A$5:$A$1004,$A967,'AFA Rates'!$B$5:$B$1004,L$23)&gt;0,"Exp","")))</f>
        <v/>
      </c>
      <c r="M967" s="79">
        <f>IF(OR($A967="",M$23=""),"",IF(COUNTIFS('AFA Rates'!$A$5:$A$1004,$A967,'AFA Rates'!$B$5:$B$1004,M$23,'AFA Rates'!$O$5:$O$1004,"&lt;&gt;Expired")&gt;0,"✓",IF(COUNTIFS('AFA Rates'!$A$5:$A$1004,$A967,'AFA Rates'!$B$5:$B$1004,M$23)&gt;0,"Exp","")))</f>
        <v/>
      </c>
    </row>
    <row r="968">
      <c r="A968" s="78">
        <f>IFERROR(INDEX(Firms!$A$5:$A$1004,MATCH(945,Firms!$V$5:$V$1004,0)),"")</f>
        <v/>
      </c>
      <c r="B968" s="79">
        <f>IF($A968="","",INDEX(Firms!$B$5:$B$1004,MATCH(945,Firms!$V$5:$V$1004,0)))</f>
        <v/>
      </c>
      <c r="C968" s="79">
        <f>IF($A968="","",COUNTIFS('AFA Rates'!$A$5:$A$1004,$A968,'AFA Rates'!$O$5:$O$1004,"&lt;&gt;Expired"))</f>
        <v/>
      </c>
      <c r="D968" s="79">
        <f>IF(OR($A968="",D$23=""),"",IF(COUNTIFS('AFA Rates'!$A$5:$A$1004,$A968,'AFA Rates'!$B$5:$B$1004,D$23,'AFA Rates'!$O$5:$O$1004,"&lt;&gt;Expired")&gt;0,"✓",IF(COUNTIFS('AFA Rates'!$A$5:$A$1004,$A968,'AFA Rates'!$B$5:$B$1004,D$23)&gt;0,"Exp","")))</f>
        <v/>
      </c>
      <c r="E968" s="79">
        <f>IF(OR($A968="",E$23=""),"",IF(COUNTIFS('AFA Rates'!$A$5:$A$1004,$A968,'AFA Rates'!$B$5:$B$1004,E$23,'AFA Rates'!$O$5:$O$1004,"&lt;&gt;Expired")&gt;0,"✓",IF(COUNTIFS('AFA Rates'!$A$5:$A$1004,$A968,'AFA Rates'!$B$5:$B$1004,E$23)&gt;0,"Exp","")))</f>
        <v/>
      </c>
      <c r="F968" s="79">
        <f>IF(OR($A968="",F$23=""),"",IF(COUNTIFS('AFA Rates'!$A$5:$A$1004,$A968,'AFA Rates'!$B$5:$B$1004,F$23,'AFA Rates'!$O$5:$O$1004,"&lt;&gt;Expired")&gt;0,"✓",IF(COUNTIFS('AFA Rates'!$A$5:$A$1004,$A968,'AFA Rates'!$B$5:$B$1004,F$23)&gt;0,"Exp","")))</f>
        <v/>
      </c>
      <c r="G968" s="79">
        <f>IF(OR($A968="",G$23=""),"",IF(COUNTIFS('AFA Rates'!$A$5:$A$1004,$A968,'AFA Rates'!$B$5:$B$1004,G$23,'AFA Rates'!$O$5:$O$1004,"&lt;&gt;Expired")&gt;0,"✓",IF(COUNTIFS('AFA Rates'!$A$5:$A$1004,$A968,'AFA Rates'!$B$5:$B$1004,G$23)&gt;0,"Exp","")))</f>
        <v/>
      </c>
      <c r="H968" s="79">
        <f>IF(OR($A968="",H$23=""),"",IF(COUNTIFS('AFA Rates'!$A$5:$A$1004,$A968,'AFA Rates'!$B$5:$B$1004,H$23,'AFA Rates'!$O$5:$O$1004,"&lt;&gt;Expired")&gt;0,"✓",IF(COUNTIFS('AFA Rates'!$A$5:$A$1004,$A968,'AFA Rates'!$B$5:$B$1004,H$23)&gt;0,"Exp","")))</f>
        <v/>
      </c>
      <c r="I968" s="79">
        <f>IF(OR($A968="",I$23=""),"",IF(COUNTIFS('AFA Rates'!$A$5:$A$1004,$A968,'AFA Rates'!$B$5:$B$1004,I$23,'AFA Rates'!$O$5:$O$1004,"&lt;&gt;Expired")&gt;0,"✓",IF(COUNTIFS('AFA Rates'!$A$5:$A$1004,$A968,'AFA Rates'!$B$5:$B$1004,I$23)&gt;0,"Exp","")))</f>
        <v/>
      </c>
      <c r="J968" s="79">
        <f>IF(OR($A968="",J$23=""),"",IF(COUNTIFS('AFA Rates'!$A$5:$A$1004,$A968,'AFA Rates'!$B$5:$B$1004,J$23,'AFA Rates'!$O$5:$O$1004,"&lt;&gt;Expired")&gt;0,"✓",IF(COUNTIFS('AFA Rates'!$A$5:$A$1004,$A968,'AFA Rates'!$B$5:$B$1004,J$23)&gt;0,"Exp","")))</f>
        <v/>
      </c>
      <c r="K968" s="79">
        <f>IF(OR($A968="",K$23=""),"",IF(COUNTIFS('AFA Rates'!$A$5:$A$1004,$A968,'AFA Rates'!$B$5:$B$1004,K$23,'AFA Rates'!$O$5:$O$1004,"&lt;&gt;Expired")&gt;0,"✓",IF(COUNTIFS('AFA Rates'!$A$5:$A$1004,$A968,'AFA Rates'!$B$5:$B$1004,K$23)&gt;0,"Exp","")))</f>
        <v/>
      </c>
      <c r="L968" s="79">
        <f>IF(OR($A968="",L$23=""),"",IF(COUNTIFS('AFA Rates'!$A$5:$A$1004,$A968,'AFA Rates'!$B$5:$B$1004,L$23,'AFA Rates'!$O$5:$O$1004,"&lt;&gt;Expired")&gt;0,"✓",IF(COUNTIFS('AFA Rates'!$A$5:$A$1004,$A968,'AFA Rates'!$B$5:$B$1004,L$23)&gt;0,"Exp","")))</f>
        <v/>
      </c>
      <c r="M968" s="79">
        <f>IF(OR($A968="",M$23=""),"",IF(COUNTIFS('AFA Rates'!$A$5:$A$1004,$A968,'AFA Rates'!$B$5:$B$1004,M$23,'AFA Rates'!$O$5:$O$1004,"&lt;&gt;Expired")&gt;0,"✓",IF(COUNTIFS('AFA Rates'!$A$5:$A$1004,$A968,'AFA Rates'!$B$5:$B$1004,M$23)&gt;0,"Exp","")))</f>
        <v/>
      </c>
    </row>
    <row r="969">
      <c r="A969" s="78">
        <f>IFERROR(INDEX(Firms!$A$5:$A$1004,MATCH(946,Firms!$V$5:$V$1004,0)),"")</f>
        <v/>
      </c>
      <c r="B969" s="79">
        <f>IF($A969="","",INDEX(Firms!$B$5:$B$1004,MATCH(946,Firms!$V$5:$V$1004,0)))</f>
        <v/>
      </c>
      <c r="C969" s="79">
        <f>IF($A969="","",COUNTIFS('AFA Rates'!$A$5:$A$1004,$A969,'AFA Rates'!$O$5:$O$1004,"&lt;&gt;Expired"))</f>
        <v/>
      </c>
      <c r="D969" s="79">
        <f>IF(OR($A969="",D$23=""),"",IF(COUNTIFS('AFA Rates'!$A$5:$A$1004,$A969,'AFA Rates'!$B$5:$B$1004,D$23,'AFA Rates'!$O$5:$O$1004,"&lt;&gt;Expired")&gt;0,"✓",IF(COUNTIFS('AFA Rates'!$A$5:$A$1004,$A969,'AFA Rates'!$B$5:$B$1004,D$23)&gt;0,"Exp","")))</f>
        <v/>
      </c>
      <c r="E969" s="79">
        <f>IF(OR($A969="",E$23=""),"",IF(COUNTIFS('AFA Rates'!$A$5:$A$1004,$A969,'AFA Rates'!$B$5:$B$1004,E$23,'AFA Rates'!$O$5:$O$1004,"&lt;&gt;Expired")&gt;0,"✓",IF(COUNTIFS('AFA Rates'!$A$5:$A$1004,$A969,'AFA Rates'!$B$5:$B$1004,E$23)&gt;0,"Exp","")))</f>
        <v/>
      </c>
      <c r="F969" s="79">
        <f>IF(OR($A969="",F$23=""),"",IF(COUNTIFS('AFA Rates'!$A$5:$A$1004,$A969,'AFA Rates'!$B$5:$B$1004,F$23,'AFA Rates'!$O$5:$O$1004,"&lt;&gt;Expired")&gt;0,"✓",IF(COUNTIFS('AFA Rates'!$A$5:$A$1004,$A969,'AFA Rates'!$B$5:$B$1004,F$23)&gt;0,"Exp","")))</f>
        <v/>
      </c>
      <c r="G969" s="79">
        <f>IF(OR($A969="",G$23=""),"",IF(COUNTIFS('AFA Rates'!$A$5:$A$1004,$A969,'AFA Rates'!$B$5:$B$1004,G$23,'AFA Rates'!$O$5:$O$1004,"&lt;&gt;Expired")&gt;0,"✓",IF(COUNTIFS('AFA Rates'!$A$5:$A$1004,$A969,'AFA Rates'!$B$5:$B$1004,G$23)&gt;0,"Exp","")))</f>
        <v/>
      </c>
      <c r="H969" s="79">
        <f>IF(OR($A969="",H$23=""),"",IF(COUNTIFS('AFA Rates'!$A$5:$A$1004,$A969,'AFA Rates'!$B$5:$B$1004,H$23,'AFA Rates'!$O$5:$O$1004,"&lt;&gt;Expired")&gt;0,"✓",IF(COUNTIFS('AFA Rates'!$A$5:$A$1004,$A969,'AFA Rates'!$B$5:$B$1004,H$23)&gt;0,"Exp","")))</f>
        <v/>
      </c>
      <c r="I969" s="79">
        <f>IF(OR($A969="",I$23=""),"",IF(COUNTIFS('AFA Rates'!$A$5:$A$1004,$A969,'AFA Rates'!$B$5:$B$1004,I$23,'AFA Rates'!$O$5:$O$1004,"&lt;&gt;Expired")&gt;0,"✓",IF(COUNTIFS('AFA Rates'!$A$5:$A$1004,$A969,'AFA Rates'!$B$5:$B$1004,I$23)&gt;0,"Exp","")))</f>
        <v/>
      </c>
      <c r="J969" s="79">
        <f>IF(OR($A969="",J$23=""),"",IF(COUNTIFS('AFA Rates'!$A$5:$A$1004,$A969,'AFA Rates'!$B$5:$B$1004,J$23,'AFA Rates'!$O$5:$O$1004,"&lt;&gt;Expired")&gt;0,"✓",IF(COUNTIFS('AFA Rates'!$A$5:$A$1004,$A969,'AFA Rates'!$B$5:$B$1004,J$23)&gt;0,"Exp","")))</f>
        <v/>
      </c>
      <c r="K969" s="79">
        <f>IF(OR($A969="",K$23=""),"",IF(COUNTIFS('AFA Rates'!$A$5:$A$1004,$A969,'AFA Rates'!$B$5:$B$1004,K$23,'AFA Rates'!$O$5:$O$1004,"&lt;&gt;Expired")&gt;0,"✓",IF(COUNTIFS('AFA Rates'!$A$5:$A$1004,$A969,'AFA Rates'!$B$5:$B$1004,K$23)&gt;0,"Exp","")))</f>
        <v/>
      </c>
      <c r="L969" s="79">
        <f>IF(OR($A969="",L$23=""),"",IF(COUNTIFS('AFA Rates'!$A$5:$A$1004,$A969,'AFA Rates'!$B$5:$B$1004,L$23,'AFA Rates'!$O$5:$O$1004,"&lt;&gt;Expired")&gt;0,"✓",IF(COUNTIFS('AFA Rates'!$A$5:$A$1004,$A969,'AFA Rates'!$B$5:$B$1004,L$23)&gt;0,"Exp","")))</f>
        <v/>
      </c>
      <c r="M969" s="79">
        <f>IF(OR($A969="",M$23=""),"",IF(COUNTIFS('AFA Rates'!$A$5:$A$1004,$A969,'AFA Rates'!$B$5:$B$1004,M$23,'AFA Rates'!$O$5:$O$1004,"&lt;&gt;Expired")&gt;0,"✓",IF(COUNTIFS('AFA Rates'!$A$5:$A$1004,$A969,'AFA Rates'!$B$5:$B$1004,M$23)&gt;0,"Exp","")))</f>
        <v/>
      </c>
    </row>
    <row r="970">
      <c r="A970" s="78">
        <f>IFERROR(INDEX(Firms!$A$5:$A$1004,MATCH(947,Firms!$V$5:$V$1004,0)),"")</f>
        <v/>
      </c>
      <c r="B970" s="79">
        <f>IF($A970="","",INDEX(Firms!$B$5:$B$1004,MATCH(947,Firms!$V$5:$V$1004,0)))</f>
        <v/>
      </c>
      <c r="C970" s="79">
        <f>IF($A970="","",COUNTIFS('AFA Rates'!$A$5:$A$1004,$A970,'AFA Rates'!$O$5:$O$1004,"&lt;&gt;Expired"))</f>
        <v/>
      </c>
      <c r="D970" s="79">
        <f>IF(OR($A970="",D$23=""),"",IF(COUNTIFS('AFA Rates'!$A$5:$A$1004,$A970,'AFA Rates'!$B$5:$B$1004,D$23,'AFA Rates'!$O$5:$O$1004,"&lt;&gt;Expired")&gt;0,"✓",IF(COUNTIFS('AFA Rates'!$A$5:$A$1004,$A970,'AFA Rates'!$B$5:$B$1004,D$23)&gt;0,"Exp","")))</f>
        <v/>
      </c>
      <c r="E970" s="79">
        <f>IF(OR($A970="",E$23=""),"",IF(COUNTIFS('AFA Rates'!$A$5:$A$1004,$A970,'AFA Rates'!$B$5:$B$1004,E$23,'AFA Rates'!$O$5:$O$1004,"&lt;&gt;Expired")&gt;0,"✓",IF(COUNTIFS('AFA Rates'!$A$5:$A$1004,$A970,'AFA Rates'!$B$5:$B$1004,E$23)&gt;0,"Exp","")))</f>
        <v/>
      </c>
      <c r="F970" s="79">
        <f>IF(OR($A970="",F$23=""),"",IF(COUNTIFS('AFA Rates'!$A$5:$A$1004,$A970,'AFA Rates'!$B$5:$B$1004,F$23,'AFA Rates'!$O$5:$O$1004,"&lt;&gt;Expired")&gt;0,"✓",IF(COUNTIFS('AFA Rates'!$A$5:$A$1004,$A970,'AFA Rates'!$B$5:$B$1004,F$23)&gt;0,"Exp","")))</f>
        <v/>
      </c>
      <c r="G970" s="79">
        <f>IF(OR($A970="",G$23=""),"",IF(COUNTIFS('AFA Rates'!$A$5:$A$1004,$A970,'AFA Rates'!$B$5:$B$1004,G$23,'AFA Rates'!$O$5:$O$1004,"&lt;&gt;Expired")&gt;0,"✓",IF(COUNTIFS('AFA Rates'!$A$5:$A$1004,$A970,'AFA Rates'!$B$5:$B$1004,G$23)&gt;0,"Exp","")))</f>
        <v/>
      </c>
      <c r="H970" s="79">
        <f>IF(OR($A970="",H$23=""),"",IF(COUNTIFS('AFA Rates'!$A$5:$A$1004,$A970,'AFA Rates'!$B$5:$B$1004,H$23,'AFA Rates'!$O$5:$O$1004,"&lt;&gt;Expired")&gt;0,"✓",IF(COUNTIFS('AFA Rates'!$A$5:$A$1004,$A970,'AFA Rates'!$B$5:$B$1004,H$23)&gt;0,"Exp","")))</f>
        <v/>
      </c>
      <c r="I970" s="79">
        <f>IF(OR($A970="",I$23=""),"",IF(COUNTIFS('AFA Rates'!$A$5:$A$1004,$A970,'AFA Rates'!$B$5:$B$1004,I$23,'AFA Rates'!$O$5:$O$1004,"&lt;&gt;Expired")&gt;0,"✓",IF(COUNTIFS('AFA Rates'!$A$5:$A$1004,$A970,'AFA Rates'!$B$5:$B$1004,I$23)&gt;0,"Exp","")))</f>
        <v/>
      </c>
      <c r="J970" s="79">
        <f>IF(OR($A970="",J$23=""),"",IF(COUNTIFS('AFA Rates'!$A$5:$A$1004,$A970,'AFA Rates'!$B$5:$B$1004,J$23,'AFA Rates'!$O$5:$O$1004,"&lt;&gt;Expired")&gt;0,"✓",IF(COUNTIFS('AFA Rates'!$A$5:$A$1004,$A970,'AFA Rates'!$B$5:$B$1004,J$23)&gt;0,"Exp","")))</f>
        <v/>
      </c>
      <c r="K970" s="79">
        <f>IF(OR($A970="",K$23=""),"",IF(COUNTIFS('AFA Rates'!$A$5:$A$1004,$A970,'AFA Rates'!$B$5:$B$1004,K$23,'AFA Rates'!$O$5:$O$1004,"&lt;&gt;Expired")&gt;0,"✓",IF(COUNTIFS('AFA Rates'!$A$5:$A$1004,$A970,'AFA Rates'!$B$5:$B$1004,K$23)&gt;0,"Exp","")))</f>
        <v/>
      </c>
      <c r="L970" s="79">
        <f>IF(OR($A970="",L$23=""),"",IF(COUNTIFS('AFA Rates'!$A$5:$A$1004,$A970,'AFA Rates'!$B$5:$B$1004,L$23,'AFA Rates'!$O$5:$O$1004,"&lt;&gt;Expired")&gt;0,"✓",IF(COUNTIFS('AFA Rates'!$A$5:$A$1004,$A970,'AFA Rates'!$B$5:$B$1004,L$23)&gt;0,"Exp","")))</f>
        <v/>
      </c>
      <c r="M970" s="79">
        <f>IF(OR($A970="",M$23=""),"",IF(COUNTIFS('AFA Rates'!$A$5:$A$1004,$A970,'AFA Rates'!$B$5:$B$1004,M$23,'AFA Rates'!$O$5:$O$1004,"&lt;&gt;Expired")&gt;0,"✓",IF(COUNTIFS('AFA Rates'!$A$5:$A$1004,$A970,'AFA Rates'!$B$5:$B$1004,M$23)&gt;0,"Exp","")))</f>
        <v/>
      </c>
    </row>
    <row r="971">
      <c r="A971" s="78">
        <f>IFERROR(INDEX(Firms!$A$5:$A$1004,MATCH(948,Firms!$V$5:$V$1004,0)),"")</f>
        <v/>
      </c>
      <c r="B971" s="79">
        <f>IF($A971="","",INDEX(Firms!$B$5:$B$1004,MATCH(948,Firms!$V$5:$V$1004,0)))</f>
        <v/>
      </c>
      <c r="C971" s="79">
        <f>IF($A971="","",COUNTIFS('AFA Rates'!$A$5:$A$1004,$A971,'AFA Rates'!$O$5:$O$1004,"&lt;&gt;Expired"))</f>
        <v/>
      </c>
      <c r="D971" s="79">
        <f>IF(OR($A971="",D$23=""),"",IF(COUNTIFS('AFA Rates'!$A$5:$A$1004,$A971,'AFA Rates'!$B$5:$B$1004,D$23,'AFA Rates'!$O$5:$O$1004,"&lt;&gt;Expired")&gt;0,"✓",IF(COUNTIFS('AFA Rates'!$A$5:$A$1004,$A971,'AFA Rates'!$B$5:$B$1004,D$23)&gt;0,"Exp","")))</f>
        <v/>
      </c>
      <c r="E971" s="79">
        <f>IF(OR($A971="",E$23=""),"",IF(COUNTIFS('AFA Rates'!$A$5:$A$1004,$A971,'AFA Rates'!$B$5:$B$1004,E$23,'AFA Rates'!$O$5:$O$1004,"&lt;&gt;Expired")&gt;0,"✓",IF(COUNTIFS('AFA Rates'!$A$5:$A$1004,$A971,'AFA Rates'!$B$5:$B$1004,E$23)&gt;0,"Exp","")))</f>
        <v/>
      </c>
      <c r="F971" s="79">
        <f>IF(OR($A971="",F$23=""),"",IF(COUNTIFS('AFA Rates'!$A$5:$A$1004,$A971,'AFA Rates'!$B$5:$B$1004,F$23,'AFA Rates'!$O$5:$O$1004,"&lt;&gt;Expired")&gt;0,"✓",IF(COUNTIFS('AFA Rates'!$A$5:$A$1004,$A971,'AFA Rates'!$B$5:$B$1004,F$23)&gt;0,"Exp","")))</f>
        <v/>
      </c>
      <c r="G971" s="79">
        <f>IF(OR($A971="",G$23=""),"",IF(COUNTIFS('AFA Rates'!$A$5:$A$1004,$A971,'AFA Rates'!$B$5:$B$1004,G$23,'AFA Rates'!$O$5:$O$1004,"&lt;&gt;Expired")&gt;0,"✓",IF(COUNTIFS('AFA Rates'!$A$5:$A$1004,$A971,'AFA Rates'!$B$5:$B$1004,G$23)&gt;0,"Exp","")))</f>
        <v/>
      </c>
      <c r="H971" s="79">
        <f>IF(OR($A971="",H$23=""),"",IF(COUNTIFS('AFA Rates'!$A$5:$A$1004,$A971,'AFA Rates'!$B$5:$B$1004,H$23,'AFA Rates'!$O$5:$O$1004,"&lt;&gt;Expired")&gt;0,"✓",IF(COUNTIFS('AFA Rates'!$A$5:$A$1004,$A971,'AFA Rates'!$B$5:$B$1004,H$23)&gt;0,"Exp","")))</f>
        <v/>
      </c>
      <c r="I971" s="79">
        <f>IF(OR($A971="",I$23=""),"",IF(COUNTIFS('AFA Rates'!$A$5:$A$1004,$A971,'AFA Rates'!$B$5:$B$1004,I$23,'AFA Rates'!$O$5:$O$1004,"&lt;&gt;Expired")&gt;0,"✓",IF(COUNTIFS('AFA Rates'!$A$5:$A$1004,$A971,'AFA Rates'!$B$5:$B$1004,I$23)&gt;0,"Exp","")))</f>
        <v/>
      </c>
      <c r="J971" s="79">
        <f>IF(OR($A971="",J$23=""),"",IF(COUNTIFS('AFA Rates'!$A$5:$A$1004,$A971,'AFA Rates'!$B$5:$B$1004,J$23,'AFA Rates'!$O$5:$O$1004,"&lt;&gt;Expired")&gt;0,"✓",IF(COUNTIFS('AFA Rates'!$A$5:$A$1004,$A971,'AFA Rates'!$B$5:$B$1004,J$23)&gt;0,"Exp","")))</f>
        <v/>
      </c>
      <c r="K971" s="79">
        <f>IF(OR($A971="",K$23=""),"",IF(COUNTIFS('AFA Rates'!$A$5:$A$1004,$A971,'AFA Rates'!$B$5:$B$1004,K$23,'AFA Rates'!$O$5:$O$1004,"&lt;&gt;Expired")&gt;0,"✓",IF(COUNTIFS('AFA Rates'!$A$5:$A$1004,$A971,'AFA Rates'!$B$5:$B$1004,K$23)&gt;0,"Exp","")))</f>
        <v/>
      </c>
      <c r="L971" s="79">
        <f>IF(OR($A971="",L$23=""),"",IF(COUNTIFS('AFA Rates'!$A$5:$A$1004,$A971,'AFA Rates'!$B$5:$B$1004,L$23,'AFA Rates'!$O$5:$O$1004,"&lt;&gt;Expired")&gt;0,"✓",IF(COUNTIFS('AFA Rates'!$A$5:$A$1004,$A971,'AFA Rates'!$B$5:$B$1004,L$23)&gt;0,"Exp","")))</f>
        <v/>
      </c>
      <c r="M971" s="79">
        <f>IF(OR($A971="",M$23=""),"",IF(COUNTIFS('AFA Rates'!$A$5:$A$1004,$A971,'AFA Rates'!$B$5:$B$1004,M$23,'AFA Rates'!$O$5:$O$1004,"&lt;&gt;Expired")&gt;0,"✓",IF(COUNTIFS('AFA Rates'!$A$5:$A$1004,$A971,'AFA Rates'!$B$5:$B$1004,M$23)&gt;0,"Exp","")))</f>
        <v/>
      </c>
    </row>
    <row r="972">
      <c r="A972" s="78">
        <f>IFERROR(INDEX(Firms!$A$5:$A$1004,MATCH(949,Firms!$V$5:$V$1004,0)),"")</f>
        <v/>
      </c>
      <c r="B972" s="79">
        <f>IF($A972="","",INDEX(Firms!$B$5:$B$1004,MATCH(949,Firms!$V$5:$V$1004,0)))</f>
        <v/>
      </c>
      <c r="C972" s="79">
        <f>IF($A972="","",COUNTIFS('AFA Rates'!$A$5:$A$1004,$A972,'AFA Rates'!$O$5:$O$1004,"&lt;&gt;Expired"))</f>
        <v/>
      </c>
      <c r="D972" s="79">
        <f>IF(OR($A972="",D$23=""),"",IF(COUNTIFS('AFA Rates'!$A$5:$A$1004,$A972,'AFA Rates'!$B$5:$B$1004,D$23,'AFA Rates'!$O$5:$O$1004,"&lt;&gt;Expired")&gt;0,"✓",IF(COUNTIFS('AFA Rates'!$A$5:$A$1004,$A972,'AFA Rates'!$B$5:$B$1004,D$23)&gt;0,"Exp","")))</f>
        <v/>
      </c>
      <c r="E972" s="79">
        <f>IF(OR($A972="",E$23=""),"",IF(COUNTIFS('AFA Rates'!$A$5:$A$1004,$A972,'AFA Rates'!$B$5:$B$1004,E$23,'AFA Rates'!$O$5:$O$1004,"&lt;&gt;Expired")&gt;0,"✓",IF(COUNTIFS('AFA Rates'!$A$5:$A$1004,$A972,'AFA Rates'!$B$5:$B$1004,E$23)&gt;0,"Exp","")))</f>
        <v/>
      </c>
      <c r="F972" s="79">
        <f>IF(OR($A972="",F$23=""),"",IF(COUNTIFS('AFA Rates'!$A$5:$A$1004,$A972,'AFA Rates'!$B$5:$B$1004,F$23,'AFA Rates'!$O$5:$O$1004,"&lt;&gt;Expired")&gt;0,"✓",IF(COUNTIFS('AFA Rates'!$A$5:$A$1004,$A972,'AFA Rates'!$B$5:$B$1004,F$23)&gt;0,"Exp","")))</f>
        <v/>
      </c>
      <c r="G972" s="79">
        <f>IF(OR($A972="",G$23=""),"",IF(COUNTIFS('AFA Rates'!$A$5:$A$1004,$A972,'AFA Rates'!$B$5:$B$1004,G$23,'AFA Rates'!$O$5:$O$1004,"&lt;&gt;Expired")&gt;0,"✓",IF(COUNTIFS('AFA Rates'!$A$5:$A$1004,$A972,'AFA Rates'!$B$5:$B$1004,G$23)&gt;0,"Exp","")))</f>
        <v/>
      </c>
      <c r="H972" s="79">
        <f>IF(OR($A972="",H$23=""),"",IF(COUNTIFS('AFA Rates'!$A$5:$A$1004,$A972,'AFA Rates'!$B$5:$B$1004,H$23,'AFA Rates'!$O$5:$O$1004,"&lt;&gt;Expired")&gt;0,"✓",IF(COUNTIFS('AFA Rates'!$A$5:$A$1004,$A972,'AFA Rates'!$B$5:$B$1004,H$23)&gt;0,"Exp","")))</f>
        <v/>
      </c>
      <c r="I972" s="79">
        <f>IF(OR($A972="",I$23=""),"",IF(COUNTIFS('AFA Rates'!$A$5:$A$1004,$A972,'AFA Rates'!$B$5:$B$1004,I$23,'AFA Rates'!$O$5:$O$1004,"&lt;&gt;Expired")&gt;0,"✓",IF(COUNTIFS('AFA Rates'!$A$5:$A$1004,$A972,'AFA Rates'!$B$5:$B$1004,I$23)&gt;0,"Exp","")))</f>
        <v/>
      </c>
      <c r="J972" s="79">
        <f>IF(OR($A972="",J$23=""),"",IF(COUNTIFS('AFA Rates'!$A$5:$A$1004,$A972,'AFA Rates'!$B$5:$B$1004,J$23,'AFA Rates'!$O$5:$O$1004,"&lt;&gt;Expired")&gt;0,"✓",IF(COUNTIFS('AFA Rates'!$A$5:$A$1004,$A972,'AFA Rates'!$B$5:$B$1004,J$23)&gt;0,"Exp","")))</f>
        <v/>
      </c>
      <c r="K972" s="79">
        <f>IF(OR($A972="",K$23=""),"",IF(COUNTIFS('AFA Rates'!$A$5:$A$1004,$A972,'AFA Rates'!$B$5:$B$1004,K$23,'AFA Rates'!$O$5:$O$1004,"&lt;&gt;Expired")&gt;0,"✓",IF(COUNTIFS('AFA Rates'!$A$5:$A$1004,$A972,'AFA Rates'!$B$5:$B$1004,K$23)&gt;0,"Exp","")))</f>
        <v/>
      </c>
      <c r="L972" s="79">
        <f>IF(OR($A972="",L$23=""),"",IF(COUNTIFS('AFA Rates'!$A$5:$A$1004,$A972,'AFA Rates'!$B$5:$B$1004,L$23,'AFA Rates'!$O$5:$O$1004,"&lt;&gt;Expired")&gt;0,"✓",IF(COUNTIFS('AFA Rates'!$A$5:$A$1004,$A972,'AFA Rates'!$B$5:$B$1004,L$23)&gt;0,"Exp","")))</f>
        <v/>
      </c>
      <c r="M972" s="79">
        <f>IF(OR($A972="",M$23=""),"",IF(COUNTIFS('AFA Rates'!$A$5:$A$1004,$A972,'AFA Rates'!$B$5:$B$1004,M$23,'AFA Rates'!$O$5:$O$1004,"&lt;&gt;Expired")&gt;0,"✓",IF(COUNTIFS('AFA Rates'!$A$5:$A$1004,$A972,'AFA Rates'!$B$5:$B$1004,M$23)&gt;0,"Exp","")))</f>
        <v/>
      </c>
    </row>
    <row r="973">
      <c r="A973" s="78">
        <f>IFERROR(INDEX(Firms!$A$5:$A$1004,MATCH(950,Firms!$V$5:$V$1004,0)),"")</f>
        <v/>
      </c>
      <c r="B973" s="79">
        <f>IF($A973="","",INDEX(Firms!$B$5:$B$1004,MATCH(950,Firms!$V$5:$V$1004,0)))</f>
        <v/>
      </c>
      <c r="C973" s="79">
        <f>IF($A973="","",COUNTIFS('AFA Rates'!$A$5:$A$1004,$A973,'AFA Rates'!$O$5:$O$1004,"&lt;&gt;Expired"))</f>
        <v/>
      </c>
      <c r="D973" s="79">
        <f>IF(OR($A973="",D$23=""),"",IF(COUNTIFS('AFA Rates'!$A$5:$A$1004,$A973,'AFA Rates'!$B$5:$B$1004,D$23,'AFA Rates'!$O$5:$O$1004,"&lt;&gt;Expired")&gt;0,"✓",IF(COUNTIFS('AFA Rates'!$A$5:$A$1004,$A973,'AFA Rates'!$B$5:$B$1004,D$23)&gt;0,"Exp","")))</f>
        <v/>
      </c>
      <c r="E973" s="79">
        <f>IF(OR($A973="",E$23=""),"",IF(COUNTIFS('AFA Rates'!$A$5:$A$1004,$A973,'AFA Rates'!$B$5:$B$1004,E$23,'AFA Rates'!$O$5:$O$1004,"&lt;&gt;Expired")&gt;0,"✓",IF(COUNTIFS('AFA Rates'!$A$5:$A$1004,$A973,'AFA Rates'!$B$5:$B$1004,E$23)&gt;0,"Exp","")))</f>
        <v/>
      </c>
      <c r="F973" s="79">
        <f>IF(OR($A973="",F$23=""),"",IF(COUNTIFS('AFA Rates'!$A$5:$A$1004,$A973,'AFA Rates'!$B$5:$B$1004,F$23,'AFA Rates'!$O$5:$O$1004,"&lt;&gt;Expired")&gt;0,"✓",IF(COUNTIFS('AFA Rates'!$A$5:$A$1004,$A973,'AFA Rates'!$B$5:$B$1004,F$23)&gt;0,"Exp","")))</f>
        <v/>
      </c>
      <c r="G973" s="79">
        <f>IF(OR($A973="",G$23=""),"",IF(COUNTIFS('AFA Rates'!$A$5:$A$1004,$A973,'AFA Rates'!$B$5:$B$1004,G$23,'AFA Rates'!$O$5:$O$1004,"&lt;&gt;Expired")&gt;0,"✓",IF(COUNTIFS('AFA Rates'!$A$5:$A$1004,$A973,'AFA Rates'!$B$5:$B$1004,G$23)&gt;0,"Exp","")))</f>
        <v/>
      </c>
      <c r="H973" s="79">
        <f>IF(OR($A973="",H$23=""),"",IF(COUNTIFS('AFA Rates'!$A$5:$A$1004,$A973,'AFA Rates'!$B$5:$B$1004,H$23,'AFA Rates'!$O$5:$O$1004,"&lt;&gt;Expired")&gt;0,"✓",IF(COUNTIFS('AFA Rates'!$A$5:$A$1004,$A973,'AFA Rates'!$B$5:$B$1004,H$23)&gt;0,"Exp","")))</f>
        <v/>
      </c>
      <c r="I973" s="79">
        <f>IF(OR($A973="",I$23=""),"",IF(COUNTIFS('AFA Rates'!$A$5:$A$1004,$A973,'AFA Rates'!$B$5:$B$1004,I$23,'AFA Rates'!$O$5:$O$1004,"&lt;&gt;Expired")&gt;0,"✓",IF(COUNTIFS('AFA Rates'!$A$5:$A$1004,$A973,'AFA Rates'!$B$5:$B$1004,I$23)&gt;0,"Exp","")))</f>
        <v/>
      </c>
      <c r="J973" s="79">
        <f>IF(OR($A973="",J$23=""),"",IF(COUNTIFS('AFA Rates'!$A$5:$A$1004,$A973,'AFA Rates'!$B$5:$B$1004,J$23,'AFA Rates'!$O$5:$O$1004,"&lt;&gt;Expired")&gt;0,"✓",IF(COUNTIFS('AFA Rates'!$A$5:$A$1004,$A973,'AFA Rates'!$B$5:$B$1004,J$23)&gt;0,"Exp","")))</f>
        <v/>
      </c>
      <c r="K973" s="79">
        <f>IF(OR($A973="",K$23=""),"",IF(COUNTIFS('AFA Rates'!$A$5:$A$1004,$A973,'AFA Rates'!$B$5:$B$1004,K$23,'AFA Rates'!$O$5:$O$1004,"&lt;&gt;Expired")&gt;0,"✓",IF(COUNTIFS('AFA Rates'!$A$5:$A$1004,$A973,'AFA Rates'!$B$5:$B$1004,K$23)&gt;0,"Exp","")))</f>
        <v/>
      </c>
      <c r="L973" s="79">
        <f>IF(OR($A973="",L$23=""),"",IF(COUNTIFS('AFA Rates'!$A$5:$A$1004,$A973,'AFA Rates'!$B$5:$B$1004,L$23,'AFA Rates'!$O$5:$O$1004,"&lt;&gt;Expired")&gt;0,"✓",IF(COUNTIFS('AFA Rates'!$A$5:$A$1004,$A973,'AFA Rates'!$B$5:$B$1004,L$23)&gt;0,"Exp","")))</f>
        <v/>
      </c>
      <c r="M973" s="79">
        <f>IF(OR($A973="",M$23=""),"",IF(COUNTIFS('AFA Rates'!$A$5:$A$1004,$A973,'AFA Rates'!$B$5:$B$1004,M$23,'AFA Rates'!$O$5:$O$1004,"&lt;&gt;Expired")&gt;0,"✓",IF(COUNTIFS('AFA Rates'!$A$5:$A$1004,$A973,'AFA Rates'!$B$5:$B$1004,M$23)&gt;0,"Exp","")))</f>
        <v/>
      </c>
    </row>
    <row r="974">
      <c r="A974" s="78">
        <f>IFERROR(INDEX(Firms!$A$5:$A$1004,MATCH(951,Firms!$V$5:$V$1004,0)),"")</f>
        <v/>
      </c>
      <c r="B974" s="79">
        <f>IF($A974="","",INDEX(Firms!$B$5:$B$1004,MATCH(951,Firms!$V$5:$V$1004,0)))</f>
        <v/>
      </c>
      <c r="C974" s="79">
        <f>IF($A974="","",COUNTIFS('AFA Rates'!$A$5:$A$1004,$A974,'AFA Rates'!$O$5:$O$1004,"&lt;&gt;Expired"))</f>
        <v/>
      </c>
      <c r="D974" s="79">
        <f>IF(OR($A974="",D$23=""),"",IF(COUNTIFS('AFA Rates'!$A$5:$A$1004,$A974,'AFA Rates'!$B$5:$B$1004,D$23,'AFA Rates'!$O$5:$O$1004,"&lt;&gt;Expired")&gt;0,"✓",IF(COUNTIFS('AFA Rates'!$A$5:$A$1004,$A974,'AFA Rates'!$B$5:$B$1004,D$23)&gt;0,"Exp","")))</f>
        <v/>
      </c>
      <c r="E974" s="79">
        <f>IF(OR($A974="",E$23=""),"",IF(COUNTIFS('AFA Rates'!$A$5:$A$1004,$A974,'AFA Rates'!$B$5:$B$1004,E$23,'AFA Rates'!$O$5:$O$1004,"&lt;&gt;Expired")&gt;0,"✓",IF(COUNTIFS('AFA Rates'!$A$5:$A$1004,$A974,'AFA Rates'!$B$5:$B$1004,E$23)&gt;0,"Exp","")))</f>
        <v/>
      </c>
      <c r="F974" s="79">
        <f>IF(OR($A974="",F$23=""),"",IF(COUNTIFS('AFA Rates'!$A$5:$A$1004,$A974,'AFA Rates'!$B$5:$B$1004,F$23,'AFA Rates'!$O$5:$O$1004,"&lt;&gt;Expired")&gt;0,"✓",IF(COUNTIFS('AFA Rates'!$A$5:$A$1004,$A974,'AFA Rates'!$B$5:$B$1004,F$23)&gt;0,"Exp","")))</f>
        <v/>
      </c>
      <c r="G974" s="79">
        <f>IF(OR($A974="",G$23=""),"",IF(COUNTIFS('AFA Rates'!$A$5:$A$1004,$A974,'AFA Rates'!$B$5:$B$1004,G$23,'AFA Rates'!$O$5:$O$1004,"&lt;&gt;Expired")&gt;0,"✓",IF(COUNTIFS('AFA Rates'!$A$5:$A$1004,$A974,'AFA Rates'!$B$5:$B$1004,G$23)&gt;0,"Exp","")))</f>
        <v/>
      </c>
      <c r="H974" s="79">
        <f>IF(OR($A974="",H$23=""),"",IF(COUNTIFS('AFA Rates'!$A$5:$A$1004,$A974,'AFA Rates'!$B$5:$B$1004,H$23,'AFA Rates'!$O$5:$O$1004,"&lt;&gt;Expired")&gt;0,"✓",IF(COUNTIFS('AFA Rates'!$A$5:$A$1004,$A974,'AFA Rates'!$B$5:$B$1004,H$23)&gt;0,"Exp","")))</f>
        <v/>
      </c>
      <c r="I974" s="79">
        <f>IF(OR($A974="",I$23=""),"",IF(COUNTIFS('AFA Rates'!$A$5:$A$1004,$A974,'AFA Rates'!$B$5:$B$1004,I$23,'AFA Rates'!$O$5:$O$1004,"&lt;&gt;Expired")&gt;0,"✓",IF(COUNTIFS('AFA Rates'!$A$5:$A$1004,$A974,'AFA Rates'!$B$5:$B$1004,I$23)&gt;0,"Exp","")))</f>
        <v/>
      </c>
      <c r="J974" s="79">
        <f>IF(OR($A974="",J$23=""),"",IF(COUNTIFS('AFA Rates'!$A$5:$A$1004,$A974,'AFA Rates'!$B$5:$B$1004,J$23,'AFA Rates'!$O$5:$O$1004,"&lt;&gt;Expired")&gt;0,"✓",IF(COUNTIFS('AFA Rates'!$A$5:$A$1004,$A974,'AFA Rates'!$B$5:$B$1004,J$23)&gt;0,"Exp","")))</f>
        <v/>
      </c>
      <c r="K974" s="79">
        <f>IF(OR($A974="",K$23=""),"",IF(COUNTIFS('AFA Rates'!$A$5:$A$1004,$A974,'AFA Rates'!$B$5:$B$1004,K$23,'AFA Rates'!$O$5:$O$1004,"&lt;&gt;Expired")&gt;0,"✓",IF(COUNTIFS('AFA Rates'!$A$5:$A$1004,$A974,'AFA Rates'!$B$5:$B$1004,K$23)&gt;0,"Exp","")))</f>
        <v/>
      </c>
      <c r="L974" s="79">
        <f>IF(OR($A974="",L$23=""),"",IF(COUNTIFS('AFA Rates'!$A$5:$A$1004,$A974,'AFA Rates'!$B$5:$B$1004,L$23,'AFA Rates'!$O$5:$O$1004,"&lt;&gt;Expired")&gt;0,"✓",IF(COUNTIFS('AFA Rates'!$A$5:$A$1004,$A974,'AFA Rates'!$B$5:$B$1004,L$23)&gt;0,"Exp","")))</f>
        <v/>
      </c>
      <c r="M974" s="79">
        <f>IF(OR($A974="",M$23=""),"",IF(COUNTIFS('AFA Rates'!$A$5:$A$1004,$A974,'AFA Rates'!$B$5:$B$1004,M$23,'AFA Rates'!$O$5:$O$1004,"&lt;&gt;Expired")&gt;0,"✓",IF(COUNTIFS('AFA Rates'!$A$5:$A$1004,$A974,'AFA Rates'!$B$5:$B$1004,M$23)&gt;0,"Exp","")))</f>
        <v/>
      </c>
    </row>
    <row r="975">
      <c r="A975" s="78">
        <f>IFERROR(INDEX(Firms!$A$5:$A$1004,MATCH(952,Firms!$V$5:$V$1004,0)),"")</f>
        <v/>
      </c>
      <c r="B975" s="79">
        <f>IF($A975="","",INDEX(Firms!$B$5:$B$1004,MATCH(952,Firms!$V$5:$V$1004,0)))</f>
        <v/>
      </c>
      <c r="C975" s="79">
        <f>IF($A975="","",COUNTIFS('AFA Rates'!$A$5:$A$1004,$A975,'AFA Rates'!$O$5:$O$1004,"&lt;&gt;Expired"))</f>
        <v/>
      </c>
      <c r="D975" s="79">
        <f>IF(OR($A975="",D$23=""),"",IF(COUNTIFS('AFA Rates'!$A$5:$A$1004,$A975,'AFA Rates'!$B$5:$B$1004,D$23,'AFA Rates'!$O$5:$O$1004,"&lt;&gt;Expired")&gt;0,"✓",IF(COUNTIFS('AFA Rates'!$A$5:$A$1004,$A975,'AFA Rates'!$B$5:$B$1004,D$23)&gt;0,"Exp","")))</f>
        <v/>
      </c>
      <c r="E975" s="79">
        <f>IF(OR($A975="",E$23=""),"",IF(COUNTIFS('AFA Rates'!$A$5:$A$1004,$A975,'AFA Rates'!$B$5:$B$1004,E$23,'AFA Rates'!$O$5:$O$1004,"&lt;&gt;Expired")&gt;0,"✓",IF(COUNTIFS('AFA Rates'!$A$5:$A$1004,$A975,'AFA Rates'!$B$5:$B$1004,E$23)&gt;0,"Exp","")))</f>
        <v/>
      </c>
      <c r="F975" s="79">
        <f>IF(OR($A975="",F$23=""),"",IF(COUNTIFS('AFA Rates'!$A$5:$A$1004,$A975,'AFA Rates'!$B$5:$B$1004,F$23,'AFA Rates'!$O$5:$O$1004,"&lt;&gt;Expired")&gt;0,"✓",IF(COUNTIFS('AFA Rates'!$A$5:$A$1004,$A975,'AFA Rates'!$B$5:$B$1004,F$23)&gt;0,"Exp","")))</f>
        <v/>
      </c>
      <c r="G975" s="79">
        <f>IF(OR($A975="",G$23=""),"",IF(COUNTIFS('AFA Rates'!$A$5:$A$1004,$A975,'AFA Rates'!$B$5:$B$1004,G$23,'AFA Rates'!$O$5:$O$1004,"&lt;&gt;Expired")&gt;0,"✓",IF(COUNTIFS('AFA Rates'!$A$5:$A$1004,$A975,'AFA Rates'!$B$5:$B$1004,G$23)&gt;0,"Exp","")))</f>
        <v/>
      </c>
      <c r="H975" s="79">
        <f>IF(OR($A975="",H$23=""),"",IF(COUNTIFS('AFA Rates'!$A$5:$A$1004,$A975,'AFA Rates'!$B$5:$B$1004,H$23,'AFA Rates'!$O$5:$O$1004,"&lt;&gt;Expired")&gt;0,"✓",IF(COUNTIFS('AFA Rates'!$A$5:$A$1004,$A975,'AFA Rates'!$B$5:$B$1004,H$23)&gt;0,"Exp","")))</f>
        <v/>
      </c>
      <c r="I975" s="79">
        <f>IF(OR($A975="",I$23=""),"",IF(COUNTIFS('AFA Rates'!$A$5:$A$1004,$A975,'AFA Rates'!$B$5:$B$1004,I$23,'AFA Rates'!$O$5:$O$1004,"&lt;&gt;Expired")&gt;0,"✓",IF(COUNTIFS('AFA Rates'!$A$5:$A$1004,$A975,'AFA Rates'!$B$5:$B$1004,I$23)&gt;0,"Exp","")))</f>
        <v/>
      </c>
      <c r="J975" s="79">
        <f>IF(OR($A975="",J$23=""),"",IF(COUNTIFS('AFA Rates'!$A$5:$A$1004,$A975,'AFA Rates'!$B$5:$B$1004,J$23,'AFA Rates'!$O$5:$O$1004,"&lt;&gt;Expired")&gt;0,"✓",IF(COUNTIFS('AFA Rates'!$A$5:$A$1004,$A975,'AFA Rates'!$B$5:$B$1004,J$23)&gt;0,"Exp","")))</f>
        <v/>
      </c>
      <c r="K975" s="79">
        <f>IF(OR($A975="",K$23=""),"",IF(COUNTIFS('AFA Rates'!$A$5:$A$1004,$A975,'AFA Rates'!$B$5:$B$1004,K$23,'AFA Rates'!$O$5:$O$1004,"&lt;&gt;Expired")&gt;0,"✓",IF(COUNTIFS('AFA Rates'!$A$5:$A$1004,$A975,'AFA Rates'!$B$5:$B$1004,K$23)&gt;0,"Exp","")))</f>
        <v/>
      </c>
      <c r="L975" s="79">
        <f>IF(OR($A975="",L$23=""),"",IF(COUNTIFS('AFA Rates'!$A$5:$A$1004,$A975,'AFA Rates'!$B$5:$B$1004,L$23,'AFA Rates'!$O$5:$O$1004,"&lt;&gt;Expired")&gt;0,"✓",IF(COUNTIFS('AFA Rates'!$A$5:$A$1004,$A975,'AFA Rates'!$B$5:$B$1004,L$23)&gt;0,"Exp","")))</f>
        <v/>
      </c>
      <c r="M975" s="79">
        <f>IF(OR($A975="",M$23=""),"",IF(COUNTIFS('AFA Rates'!$A$5:$A$1004,$A975,'AFA Rates'!$B$5:$B$1004,M$23,'AFA Rates'!$O$5:$O$1004,"&lt;&gt;Expired")&gt;0,"✓",IF(COUNTIFS('AFA Rates'!$A$5:$A$1004,$A975,'AFA Rates'!$B$5:$B$1004,M$23)&gt;0,"Exp","")))</f>
        <v/>
      </c>
    </row>
    <row r="976">
      <c r="A976" s="78">
        <f>IFERROR(INDEX(Firms!$A$5:$A$1004,MATCH(953,Firms!$V$5:$V$1004,0)),"")</f>
        <v/>
      </c>
      <c r="B976" s="79">
        <f>IF($A976="","",INDEX(Firms!$B$5:$B$1004,MATCH(953,Firms!$V$5:$V$1004,0)))</f>
        <v/>
      </c>
      <c r="C976" s="79">
        <f>IF($A976="","",COUNTIFS('AFA Rates'!$A$5:$A$1004,$A976,'AFA Rates'!$O$5:$O$1004,"&lt;&gt;Expired"))</f>
        <v/>
      </c>
      <c r="D976" s="79">
        <f>IF(OR($A976="",D$23=""),"",IF(COUNTIFS('AFA Rates'!$A$5:$A$1004,$A976,'AFA Rates'!$B$5:$B$1004,D$23,'AFA Rates'!$O$5:$O$1004,"&lt;&gt;Expired")&gt;0,"✓",IF(COUNTIFS('AFA Rates'!$A$5:$A$1004,$A976,'AFA Rates'!$B$5:$B$1004,D$23)&gt;0,"Exp","")))</f>
        <v/>
      </c>
      <c r="E976" s="79">
        <f>IF(OR($A976="",E$23=""),"",IF(COUNTIFS('AFA Rates'!$A$5:$A$1004,$A976,'AFA Rates'!$B$5:$B$1004,E$23,'AFA Rates'!$O$5:$O$1004,"&lt;&gt;Expired")&gt;0,"✓",IF(COUNTIFS('AFA Rates'!$A$5:$A$1004,$A976,'AFA Rates'!$B$5:$B$1004,E$23)&gt;0,"Exp","")))</f>
        <v/>
      </c>
      <c r="F976" s="79">
        <f>IF(OR($A976="",F$23=""),"",IF(COUNTIFS('AFA Rates'!$A$5:$A$1004,$A976,'AFA Rates'!$B$5:$B$1004,F$23,'AFA Rates'!$O$5:$O$1004,"&lt;&gt;Expired")&gt;0,"✓",IF(COUNTIFS('AFA Rates'!$A$5:$A$1004,$A976,'AFA Rates'!$B$5:$B$1004,F$23)&gt;0,"Exp","")))</f>
        <v/>
      </c>
      <c r="G976" s="79">
        <f>IF(OR($A976="",G$23=""),"",IF(COUNTIFS('AFA Rates'!$A$5:$A$1004,$A976,'AFA Rates'!$B$5:$B$1004,G$23,'AFA Rates'!$O$5:$O$1004,"&lt;&gt;Expired")&gt;0,"✓",IF(COUNTIFS('AFA Rates'!$A$5:$A$1004,$A976,'AFA Rates'!$B$5:$B$1004,G$23)&gt;0,"Exp","")))</f>
        <v/>
      </c>
      <c r="H976" s="79">
        <f>IF(OR($A976="",H$23=""),"",IF(COUNTIFS('AFA Rates'!$A$5:$A$1004,$A976,'AFA Rates'!$B$5:$B$1004,H$23,'AFA Rates'!$O$5:$O$1004,"&lt;&gt;Expired")&gt;0,"✓",IF(COUNTIFS('AFA Rates'!$A$5:$A$1004,$A976,'AFA Rates'!$B$5:$B$1004,H$23)&gt;0,"Exp","")))</f>
        <v/>
      </c>
      <c r="I976" s="79">
        <f>IF(OR($A976="",I$23=""),"",IF(COUNTIFS('AFA Rates'!$A$5:$A$1004,$A976,'AFA Rates'!$B$5:$B$1004,I$23,'AFA Rates'!$O$5:$O$1004,"&lt;&gt;Expired")&gt;0,"✓",IF(COUNTIFS('AFA Rates'!$A$5:$A$1004,$A976,'AFA Rates'!$B$5:$B$1004,I$23)&gt;0,"Exp","")))</f>
        <v/>
      </c>
      <c r="J976" s="79">
        <f>IF(OR($A976="",J$23=""),"",IF(COUNTIFS('AFA Rates'!$A$5:$A$1004,$A976,'AFA Rates'!$B$5:$B$1004,J$23,'AFA Rates'!$O$5:$O$1004,"&lt;&gt;Expired")&gt;0,"✓",IF(COUNTIFS('AFA Rates'!$A$5:$A$1004,$A976,'AFA Rates'!$B$5:$B$1004,J$23)&gt;0,"Exp","")))</f>
        <v/>
      </c>
      <c r="K976" s="79">
        <f>IF(OR($A976="",K$23=""),"",IF(COUNTIFS('AFA Rates'!$A$5:$A$1004,$A976,'AFA Rates'!$B$5:$B$1004,K$23,'AFA Rates'!$O$5:$O$1004,"&lt;&gt;Expired")&gt;0,"✓",IF(COUNTIFS('AFA Rates'!$A$5:$A$1004,$A976,'AFA Rates'!$B$5:$B$1004,K$23)&gt;0,"Exp","")))</f>
        <v/>
      </c>
      <c r="L976" s="79">
        <f>IF(OR($A976="",L$23=""),"",IF(COUNTIFS('AFA Rates'!$A$5:$A$1004,$A976,'AFA Rates'!$B$5:$B$1004,L$23,'AFA Rates'!$O$5:$O$1004,"&lt;&gt;Expired")&gt;0,"✓",IF(COUNTIFS('AFA Rates'!$A$5:$A$1004,$A976,'AFA Rates'!$B$5:$B$1004,L$23)&gt;0,"Exp","")))</f>
        <v/>
      </c>
      <c r="M976" s="79">
        <f>IF(OR($A976="",M$23=""),"",IF(COUNTIFS('AFA Rates'!$A$5:$A$1004,$A976,'AFA Rates'!$B$5:$B$1004,M$23,'AFA Rates'!$O$5:$O$1004,"&lt;&gt;Expired")&gt;0,"✓",IF(COUNTIFS('AFA Rates'!$A$5:$A$1004,$A976,'AFA Rates'!$B$5:$B$1004,M$23)&gt;0,"Exp","")))</f>
        <v/>
      </c>
    </row>
    <row r="977">
      <c r="A977" s="78">
        <f>IFERROR(INDEX(Firms!$A$5:$A$1004,MATCH(954,Firms!$V$5:$V$1004,0)),"")</f>
        <v/>
      </c>
      <c r="B977" s="79">
        <f>IF($A977="","",INDEX(Firms!$B$5:$B$1004,MATCH(954,Firms!$V$5:$V$1004,0)))</f>
        <v/>
      </c>
      <c r="C977" s="79">
        <f>IF($A977="","",COUNTIFS('AFA Rates'!$A$5:$A$1004,$A977,'AFA Rates'!$O$5:$O$1004,"&lt;&gt;Expired"))</f>
        <v/>
      </c>
      <c r="D977" s="79">
        <f>IF(OR($A977="",D$23=""),"",IF(COUNTIFS('AFA Rates'!$A$5:$A$1004,$A977,'AFA Rates'!$B$5:$B$1004,D$23,'AFA Rates'!$O$5:$O$1004,"&lt;&gt;Expired")&gt;0,"✓",IF(COUNTIFS('AFA Rates'!$A$5:$A$1004,$A977,'AFA Rates'!$B$5:$B$1004,D$23)&gt;0,"Exp","")))</f>
        <v/>
      </c>
      <c r="E977" s="79">
        <f>IF(OR($A977="",E$23=""),"",IF(COUNTIFS('AFA Rates'!$A$5:$A$1004,$A977,'AFA Rates'!$B$5:$B$1004,E$23,'AFA Rates'!$O$5:$O$1004,"&lt;&gt;Expired")&gt;0,"✓",IF(COUNTIFS('AFA Rates'!$A$5:$A$1004,$A977,'AFA Rates'!$B$5:$B$1004,E$23)&gt;0,"Exp","")))</f>
        <v/>
      </c>
      <c r="F977" s="79">
        <f>IF(OR($A977="",F$23=""),"",IF(COUNTIFS('AFA Rates'!$A$5:$A$1004,$A977,'AFA Rates'!$B$5:$B$1004,F$23,'AFA Rates'!$O$5:$O$1004,"&lt;&gt;Expired")&gt;0,"✓",IF(COUNTIFS('AFA Rates'!$A$5:$A$1004,$A977,'AFA Rates'!$B$5:$B$1004,F$23)&gt;0,"Exp","")))</f>
        <v/>
      </c>
      <c r="G977" s="79">
        <f>IF(OR($A977="",G$23=""),"",IF(COUNTIFS('AFA Rates'!$A$5:$A$1004,$A977,'AFA Rates'!$B$5:$B$1004,G$23,'AFA Rates'!$O$5:$O$1004,"&lt;&gt;Expired")&gt;0,"✓",IF(COUNTIFS('AFA Rates'!$A$5:$A$1004,$A977,'AFA Rates'!$B$5:$B$1004,G$23)&gt;0,"Exp","")))</f>
        <v/>
      </c>
      <c r="H977" s="79">
        <f>IF(OR($A977="",H$23=""),"",IF(COUNTIFS('AFA Rates'!$A$5:$A$1004,$A977,'AFA Rates'!$B$5:$B$1004,H$23,'AFA Rates'!$O$5:$O$1004,"&lt;&gt;Expired")&gt;0,"✓",IF(COUNTIFS('AFA Rates'!$A$5:$A$1004,$A977,'AFA Rates'!$B$5:$B$1004,H$23)&gt;0,"Exp","")))</f>
        <v/>
      </c>
      <c r="I977" s="79">
        <f>IF(OR($A977="",I$23=""),"",IF(COUNTIFS('AFA Rates'!$A$5:$A$1004,$A977,'AFA Rates'!$B$5:$B$1004,I$23,'AFA Rates'!$O$5:$O$1004,"&lt;&gt;Expired")&gt;0,"✓",IF(COUNTIFS('AFA Rates'!$A$5:$A$1004,$A977,'AFA Rates'!$B$5:$B$1004,I$23)&gt;0,"Exp","")))</f>
        <v/>
      </c>
      <c r="J977" s="79">
        <f>IF(OR($A977="",J$23=""),"",IF(COUNTIFS('AFA Rates'!$A$5:$A$1004,$A977,'AFA Rates'!$B$5:$B$1004,J$23,'AFA Rates'!$O$5:$O$1004,"&lt;&gt;Expired")&gt;0,"✓",IF(COUNTIFS('AFA Rates'!$A$5:$A$1004,$A977,'AFA Rates'!$B$5:$B$1004,J$23)&gt;0,"Exp","")))</f>
        <v/>
      </c>
      <c r="K977" s="79">
        <f>IF(OR($A977="",K$23=""),"",IF(COUNTIFS('AFA Rates'!$A$5:$A$1004,$A977,'AFA Rates'!$B$5:$B$1004,K$23,'AFA Rates'!$O$5:$O$1004,"&lt;&gt;Expired")&gt;0,"✓",IF(COUNTIFS('AFA Rates'!$A$5:$A$1004,$A977,'AFA Rates'!$B$5:$B$1004,K$23)&gt;0,"Exp","")))</f>
        <v/>
      </c>
      <c r="L977" s="79">
        <f>IF(OR($A977="",L$23=""),"",IF(COUNTIFS('AFA Rates'!$A$5:$A$1004,$A977,'AFA Rates'!$B$5:$B$1004,L$23,'AFA Rates'!$O$5:$O$1004,"&lt;&gt;Expired")&gt;0,"✓",IF(COUNTIFS('AFA Rates'!$A$5:$A$1004,$A977,'AFA Rates'!$B$5:$B$1004,L$23)&gt;0,"Exp","")))</f>
        <v/>
      </c>
      <c r="M977" s="79">
        <f>IF(OR($A977="",M$23=""),"",IF(COUNTIFS('AFA Rates'!$A$5:$A$1004,$A977,'AFA Rates'!$B$5:$B$1004,M$23,'AFA Rates'!$O$5:$O$1004,"&lt;&gt;Expired")&gt;0,"✓",IF(COUNTIFS('AFA Rates'!$A$5:$A$1004,$A977,'AFA Rates'!$B$5:$B$1004,M$23)&gt;0,"Exp","")))</f>
        <v/>
      </c>
    </row>
    <row r="978">
      <c r="A978" s="78">
        <f>IFERROR(INDEX(Firms!$A$5:$A$1004,MATCH(955,Firms!$V$5:$V$1004,0)),"")</f>
        <v/>
      </c>
      <c r="B978" s="79">
        <f>IF($A978="","",INDEX(Firms!$B$5:$B$1004,MATCH(955,Firms!$V$5:$V$1004,0)))</f>
        <v/>
      </c>
      <c r="C978" s="79">
        <f>IF($A978="","",COUNTIFS('AFA Rates'!$A$5:$A$1004,$A978,'AFA Rates'!$O$5:$O$1004,"&lt;&gt;Expired"))</f>
        <v/>
      </c>
      <c r="D978" s="79">
        <f>IF(OR($A978="",D$23=""),"",IF(COUNTIFS('AFA Rates'!$A$5:$A$1004,$A978,'AFA Rates'!$B$5:$B$1004,D$23,'AFA Rates'!$O$5:$O$1004,"&lt;&gt;Expired")&gt;0,"✓",IF(COUNTIFS('AFA Rates'!$A$5:$A$1004,$A978,'AFA Rates'!$B$5:$B$1004,D$23)&gt;0,"Exp","")))</f>
        <v/>
      </c>
      <c r="E978" s="79">
        <f>IF(OR($A978="",E$23=""),"",IF(COUNTIFS('AFA Rates'!$A$5:$A$1004,$A978,'AFA Rates'!$B$5:$B$1004,E$23,'AFA Rates'!$O$5:$O$1004,"&lt;&gt;Expired")&gt;0,"✓",IF(COUNTIFS('AFA Rates'!$A$5:$A$1004,$A978,'AFA Rates'!$B$5:$B$1004,E$23)&gt;0,"Exp","")))</f>
        <v/>
      </c>
      <c r="F978" s="79">
        <f>IF(OR($A978="",F$23=""),"",IF(COUNTIFS('AFA Rates'!$A$5:$A$1004,$A978,'AFA Rates'!$B$5:$B$1004,F$23,'AFA Rates'!$O$5:$O$1004,"&lt;&gt;Expired")&gt;0,"✓",IF(COUNTIFS('AFA Rates'!$A$5:$A$1004,$A978,'AFA Rates'!$B$5:$B$1004,F$23)&gt;0,"Exp","")))</f>
        <v/>
      </c>
      <c r="G978" s="79">
        <f>IF(OR($A978="",G$23=""),"",IF(COUNTIFS('AFA Rates'!$A$5:$A$1004,$A978,'AFA Rates'!$B$5:$B$1004,G$23,'AFA Rates'!$O$5:$O$1004,"&lt;&gt;Expired")&gt;0,"✓",IF(COUNTIFS('AFA Rates'!$A$5:$A$1004,$A978,'AFA Rates'!$B$5:$B$1004,G$23)&gt;0,"Exp","")))</f>
        <v/>
      </c>
      <c r="H978" s="79">
        <f>IF(OR($A978="",H$23=""),"",IF(COUNTIFS('AFA Rates'!$A$5:$A$1004,$A978,'AFA Rates'!$B$5:$B$1004,H$23,'AFA Rates'!$O$5:$O$1004,"&lt;&gt;Expired")&gt;0,"✓",IF(COUNTIFS('AFA Rates'!$A$5:$A$1004,$A978,'AFA Rates'!$B$5:$B$1004,H$23)&gt;0,"Exp","")))</f>
        <v/>
      </c>
      <c r="I978" s="79">
        <f>IF(OR($A978="",I$23=""),"",IF(COUNTIFS('AFA Rates'!$A$5:$A$1004,$A978,'AFA Rates'!$B$5:$B$1004,I$23,'AFA Rates'!$O$5:$O$1004,"&lt;&gt;Expired")&gt;0,"✓",IF(COUNTIFS('AFA Rates'!$A$5:$A$1004,$A978,'AFA Rates'!$B$5:$B$1004,I$23)&gt;0,"Exp","")))</f>
        <v/>
      </c>
      <c r="J978" s="79">
        <f>IF(OR($A978="",J$23=""),"",IF(COUNTIFS('AFA Rates'!$A$5:$A$1004,$A978,'AFA Rates'!$B$5:$B$1004,J$23,'AFA Rates'!$O$5:$O$1004,"&lt;&gt;Expired")&gt;0,"✓",IF(COUNTIFS('AFA Rates'!$A$5:$A$1004,$A978,'AFA Rates'!$B$5:$B$1004,J$23)&gt;0,"Exp","")))</f>
        <v/>
      </c>
      <c r="K978" s="79">
        <f>IF(OR($A978="",K$23=""),"",IF(COUNTIFS('AFA Rates'!$A$5:$A$1004,$A978,'AFA Rates'!$B$5:$B$1004,K$23,'AFA Rates'!$O$5:$O$1004,"&lt;&gt;Expired")&gt;0,"✓",IF(COUNTIFS('AFA Rates'!$A$5:$A$1004,$A978,'AFA Rates'!$B$5:$B$1004,K$23)&gt;0,"Exp","")))</f>
        <v/>
      </c>
      <c r="L978" s="79">
        <f>IF(OR($A978="",L$23=""),"",IF(COUNTIFS('AFA Rates'!$A$5:$A$1004,$A978,'AFA Rates'!$B$5:$B$1004,L$23,'AFA Rates'!$O$5:$O$1004,"&lt;&gt;Expired")&gt;0,"✓",IF(COUNTIFS('AFA Rates'!$A$5:$A$1004,$A978,'AFA Rates'!$B$5:$B$1004,L$23)&gt;0,"Exp","")))</f>
        <v/>
      </c>
      <c r="M978" s="79">
        <f>IF(OR($A978="",M$23=""),"",IF(COUNTIFS('AFA Rates'!$A$5:$A$1004,$A978,'AFA Rates'!$B$5:$B$1004,M$23,'AFA Rates'!$O$5:$O$1004,"&lt;&gt;Expired")&gt;0,"✓",IF(COUNTIFS('AFA Rates'!$A$5:$A$1004,$A978,'AFA Rates'!$B$5:$B$1004,M$23)&gt;0,"Exp","")))</f>
        <v/>
      </c>
    </row>
    <row r="979">
      <c r="A979" s="78">
        <f>IFERROR(INDEX(Firms!$A$5:$A$1004,MATCH(956,Firms!$V$5:$V$1004,0)),"")</f>
        <v/>
      </c>
      <c r="B979" s="79">
        <f>IF($A979="","",INDEX(Firms!$B$5:$B$1004,MATCH(956,Firms!$V$5:$V$1004,0)))</f>
        <v/>
      </c>
      <c r="C979" s="79">
        <f>IF($A979="","",COUNTIFS('AFA Rates'!$A$5:$A$1004,$A979,'AFA Rates'!$O$5:$O$1004,"&lt;&gt;Expired"))</f>
        <v/>
      </c>
      <c r="D979" s="79">
        <f>IF(OR($A979="",D$23=""),"",IF(COUNTIFS('AFA Rates'!$A$5:$A$1004,$A979,'AFA Rates'!$B$5:$B$1004,D$23,'AFA Rates'!$O$5:$O$1004,"&lt;&gt;Expired")&gt;0,"✓",IF(COUNTIFS('AFA Rates'!$A$5:$A$1004,$A979,'AFA Rates'!$B$5:$B$1004,D$23)&gt;0,"Exp","")))</f>
        <v/>
      </c>
      <c r="E979" s="79">
        <f>IF(OR($A979="",E$23=""),"",IF(COUNTIFS('AFA Rates'!$A$5:$A$1004,$A979,'AFA Rates'!$B$5:$B$1004,E$23,'AFA Rates'!$O$5:$O$1004,"&lt;&gt;Expired")&gt;0,"✓",IF(COUNTIFS('AFA Rates'!$A$5:$A$1004,$A979,'AFA Rates'!$B$5:$B$1004,E$23)&gt;0,"Exp","")))</f>
        <v/>
      </c>
      <c r="F979" s="79">
        <f>IF(OR($A979="",F$23=""),"",IF(COUNTIFS('AFA Rates'!$A$5:$A$1004,$A979,'AFA Rates'!$B$5:$B$1004,F$23,'AFA Rates'!$O$5:$O$1004,"&lt;&gt;Expired")&gt;0,"✓",IF(COUNTIFS('AFA Rates'!$A$5:$A$1004,$A979,'AFA Rates'!$B$5:$B$1004,F$23)&gt;0,"Exp","")))</f>
        <v/>
      </c>
      <c r="G979" s="79">
        <f>IF(OR($A979="",G$23=""),"",IF(COUNTIFS('AFA Rates'!$A$5:$A$1004,$A979,'AFA Rates'!$B$5:$B$1004,G$23,'AFA Rates'!$O$5:$O$1004,"&lt;&gt;Expired")&gt;0,"✓",IF(COUNTIFS('AFA Rates'!$A$5:$A$1004,$A979,'AFA Rates'!$B$5:$B$1004,G$23)&gt;0,"Exp","")))</f>
        <v/>
      </c>
      <c r="H979" s="79">
        <f>IF(OR($A979="",H$23=""),"",IF(COUNTIFS('AFA Rates'!$A$5:$A$1004,$A979,'AFA Rates'!$B$5:$B$1004,H$23,'AFA Rates'!$O$5:$O$1004,"&lt;&gt;Expired")&gt;0,"✓",IF(COUNTIFS('AFA Rates'!$A$5:$A$1004,$A979,'AFA Rates'!$B$5:$B$1004,H$23)&gt;0,"Exp","")))</f>
        <v/>
      </c>
      <c r="I979" s="79">
        <f>IF(OR($A979="",I$23=""),"",IF(COUNTIFS('AFA Rates'!$A$5:$A$1004,$A979,'AFA Rates'!$B$5:$B$1004,I$23,'AFA Rates'!$O$5:$O$1004,"&lt;&gt;Expired")&gt;0,"✓",IF(COUNTIFS('AFA Rates'!$A$5:$A$1004,$A979,'AFA Rates'!$B$5:$B$1004,I$23)&gt;0,"Exp","")))</f>
        <v/>
      </c>
      <c r="J979" s="79">
        <f>IF(OR($A979="",J$23=""),"",IF(COUNTIFS('AFA Rates'!$A$5:$A$1004,$A979,'AFA Rates'!$B$5:$B$1004,J$23,'AFA Rates'!$O$5:$O$1004,"&lt;&gt;Expired")&gt;0,"✓",IF(COUNTIFS('AFA Rates'!$A$5:$A$1004,$A979,'AFA Rates'!$B$5:$B$1004,J$23)&gt;0,"Exp","")))</f>
        <v/>
      </c>
      <c r="K979" s="79">
        <f>IF(OR($A979="",K$23=""),"",IF(COUNTIFS('AFA Rates'!$A$5:$A$1004,$A979,'AFA Rates'!$B$5:$B$1004,K$23,'AFA Rates'!$O$5:$O$1004,"&lt;&gt;Expired")&gt;0,"✓",IF(COUNTIFS('AFA Rates'!$A$5:$A$1004,$A979,'AFA Rates'!$B$5:$B$1004,K$23)&gt;0,"Exp","")))</f>
        <v/>
      </c>
      <c r="L979" s="79">
        <f>IF(OR($A979="",L$23=""),"",IF(COUNTIFS('AFA Rates'!$A$5:$A$1004,$A979,'AFA Rates'!$B$5:$B$1004,L$23,'AFA Rates'!$O$5:$O$1004,"&lt;&gt;Expired")&gt;0,"✓",IF(COUNTIFS('AFA Rates'!$A$5:$A$1004,$A979,'AFA Rates'!$B$5:$B$1004,L$23)&gt;0,"Exp","")))</f>
        <v/>
      </c>
      <c r="M979" s="79">
        <f>IF(OR($A979="",M$23=""),"",IF(COUNTIFS('AFA Rates'!$A$5:$A$1004,$A979,'AFA Rates'!$B$5:$B$1004,M$23,'AFA Rates'!$O$5:$O$1004,"&lt;&gt;Expired")&gt;0,"✓",IF(COUNTIFS('AFA Rates'!$A$5:$A$1004,$A979,'AFA Rates'!$B$5:$B$1004,M$23)&gt;0,"Exp","")))</f>
        <v/>
      </c>
    </row>
    <row r="980">
      <c r="A980" s="78">
        <f>IFERROR(INDEX(Firms!$A$5:$A$1004,MATCH(957,Firms!$V$5:$V$1004,0)),"")</f>
        <v/>
      </c>
      <c r="B980" s="79">
        <f>IF($A980="","",INDEX(Firms!$B$5:$B$1004,MATCH(957,Firms!$V$5:$V$1004,0)))</f>
        <v/>
      </c>
      <c r="C980" s="79">
        <f>IF($A980="","",COUNTIFS('AFA Rates'!$A$5:$A$1004,$A980,'AFA Rates'!$O$5:$O$1004,"&lt;&gt;Expired"))</f>
        <v/>
      </c>
      <c r="D980" s="79">
        <f>IF(OR($A980="",D$23=""),"",IF(COUNTIFS('AFA Rates'!$A$5:$A$1004,$A980,'AFA Rates'!$B$5:$B$1004,D$23,'AFA Rates'!$O$5:$O$1004,"&lt;&gt;Expired")&gt;0,"✓",IF(COUNTIFS('AFA Rates'!$A$5:$A$1004,$A980,'AFA Rates'!$B$5:$B$1004,D$23)&gt;0,"Exp","")))</f>
        <v/>
      </c>
      <c r="E980" s="79">
        <f>IF(OR($A980="",E$23=""),"",IF(COUNTIFS('AFA Rates'!$A$5:$A$1004,$A980,'AFA Rates'!$B$5:$B$1004,E$23,'AFA Rates'!$O$5:$O$1004,"&lt;&gt;Expired")&gt;0,"✓",IF(COUNTIFS('AFA Rates'!$A$5:$A$1004,$A980,'AFA Rates'!$B$5:$B$1004,E$23)&gt;0,"Exp","")))</f>
        <v/>
      </c>
      <c r="F980" s="79">
        <f>IF(OR($A980="",F$23=""),"",IF(COUNTIFS('AFA Rates'!$A$5:$A$1004,$A980,'AFA Rates'!$B$5:$B$1004,F$23,'AFA Rates'!$O$5:$O$1004,"&lt;&gt;Expired")&gt;0,"✓",IF(COUNTIFS('AFA Rates'!$A$5:$A$1004,$A980,'AFA Rates'!$B$5:$B$1004,F$23)&gt;0,"Exp","")))</f>
        <v/>
      </c>
      <c r="G980" s="79">
        <f>IF(OR($A980="",G$23=""),"",IF(COUNTIFS('AFA Rates'!$A$5:$A$1004,$A980,'AFA Rates'!$B$5:$B$1004,G$23,'AFA Rates'!$O$5:$O$1004,"&lt;&gt;Expired")&gt;0,"✓",IF(COUNTIFS('AFA Rates'!$A$5:$A$1004,$A980,'AFA Rates'!$B$5:$B$1004,G$23)&gt;0,"Exp","")))</f>
        <v/>
      </c>
      <c r="H980" s="79">
        <f>IF(OR($A980="",H$23=""),"",IF(COUNTIFS('AFA Rates'!$A$5:$A$1004,$A980,'AFA Rates'!$B$5:$B$1004,H$23,'AFA Rates'!$O$5:$O$1004,"&lt;&gt;Expired")&gt;0,"✓",IF(COUNTIFS('AFA Rates'!$A$5:$A$1004,$A980,'AFA Rates'!$B$5:$B$1004,H$23)&gt;0,"Exp","")))</f>
        <v/>
      </c>
      <c r="I980" s="79">
        <f>IF(OR($A980="",I$23=""),"",IF(COUNTIFS('AFA Rates'!$A$5:$A$1004,$A980,'AFA Rates'!$B$5:$B$1004,I$23,'AFA Rates'!$O$5:$O$1004,"&lt;&gt;Expired")&gt;0,"✓",IF(COUNTIFS('AFA Rates'!$A$5:$A$1004,$A980,'AFA Rates'!$B$5:$B$1004,I$23)&gt;0,"Exp","")))</f>
        <v/>
      </c>
      <c r="J980" s="79">
        <f>IF(OR($A980="",J$23=""),"",IF(COUNTIFS('AFA Rates'!$A$5:$A$1004,$A980,'AFA Rates'!$B$5:$B$1004,J$23,'AFA Rates'!$O$5:$O$1004,"&lt;&gt;Expired")&gt;0,"✓",IF(COUNTIFS('AFA Rates'!$A$5:$A$1004,$A980,'AFA Rates'!$B$5:$B$1004,J$23)&gt;0,"Exp","")))</f>
        <v/>
      </c>
      <c r="K980" s="79">
        <f>IF(OR($A980="",K$23=""),"",IF(COUNTIFS('AFA Rates'!$A$5:$A$1004,$A980,'AFA Rates'!$B$5:$B$1004,K$23,'AFA Rates'!$O$5:$O$1004,"&lt;&gt;Expired")&gt;0,"✓",IF(COUNTIFS('AFA Rates'!$A$5:$A$1004,$A980,'AFA Rates'!$B$5:$B$1004,K$23)&gt;0,"Exp","")))</f>
        <v/>
      </c>
      <c r="L980" s="79">
        <f>IF(OR($A980="",L$23=""),"",IF(COUNTIFS('AFA Rates'!$A$5:$A$1004,$A980,'AFA Rates'!$B$5:$B$1004,L$23,'AFA Rates'!$O$5:$O$1004,"&lt;&gt;Expired")&gt;0,"✓",IF(COUNTIFS('AFA Rates'!$A$5:$A$1004,$A980,'AFA Rates'!$B$5:$B$1004,L$23)&gt;0,"Exp","")))</f>
        <v/>
      </c>
      <c r="M980" s="79">
        <f>IF(OR($A980="",M$23=""),"",IF(COUNTIFS('AFA Rates'!$A$5:$A$1004,$A980,'AFA Rates'!$B$5:$B$1004,M$23,'AFA Rates'!$O$5:$O$1004,"&lt;&gt;Expired")&gt;0,"✓",IF(COUNTIFS('AFA Rates'!$A$5:$A$1004,$A980,'AFA Rates'!$B$5:$B$1004,M$23)&gt;0,"Exp","")))</f>
        <v/>
      </c>
    </row>
    <row r="981">
      <c r="A981" s="78">
        <f>IFERROR(INDEX(Firms!$A$5:$A$1004,MATCH(958,Firms!$V$5:$V$1004,0)),"")</f>
        <v/>
      </c>
      <c r="B981" s="79">
        <f>IF($A981="","",INDEX(Firms!$B$5:$B$1004,MATCH(958,Firms!$V$5:$V$1004,0)))</f>
        <v/>
      </c>
      <c r="C981" s="79">
        <f>IF($A981="","",COUNTIFS('AFA Rates'!$A$5:$A$1004,$A981,'AFA Rates'!$O$5:$O$1004,"&lt;&gt;Expired"))</f>
        <v/>
      </c>
      <c r="D981" s="79">
        <f>IF(OR($A981="",D$23=""),"",IF(COUNTIFS('AFA Rates'!$A$5:$A$1004,$A981,'AFA Rates'!$B$5:$B$1004,D$23,'AFA Rates'!$O$5:$O$1004,"&lt;&gt;Expired")&gt;0,"✓",IF(COUNTIFS('AFA Rates'!$A$5:$A$1004,$A981,'AFA Rates'!$B$5:$B$1004,D$23)&gt;0,"Exp","")))</f>
        <v/>
      </c>
      <c r="E981" s="79">
        <f>IF(OR($A981="",E$23=""),"",IF(COUNTIFS('AFA Rates'!$A$5:$A$1004,$A981,'AFA Rates'!$B$5:$B$1004,E$23,'AFA Rates'!$O$5:$O$1004,"&lt;&gt;Expired")&gt;0,"✓",IF(COUNTIFS('AFA Rates'!$A$5:$A$1004,$A981,'AFA Rates'!$B$5:$B$1004,E$23)&gt;0,"Exp","")))</f>
        <v/>
      </c>
      <c r="F981" s="79">
        <f>IF(OR($A981="",F$23=""),"",IF(COUNTIFS('AFA Rates'!$A$5:$A$1004,$A981,'AFA Rates'!$B$5:$B$1004,F$23,'AFA Rates'!$O$5:$O$1004,"&lt;&gt;Expired")&gt;0,"✓",IF(COUNTIFS('AFA Rates'!$A$5:$A$1004,$A981,'AFA Rates'!$B$5:$B$1004,F$23)&gt;0,"Exp","")))</f>
        <v/>
      </c>
      <c r="G981" s="79">
        <f>IF(OR($A981="",G$23=""),"",IF(COUNTIFS('AFA Rates'!$A$5:$A$1004,$A981,'AFA Rates'!$B$5:$B$1004,G$23,'AFA Rates'!$O$5:$O$1004,"&lt;&gt;Expired")&gt;0,"✓",IF(COUNTIFS('AFA Rates'!$A$5:$A$1004,$A981,'AFA Rates'!$B$5:$B$1004,G$23)&gt;0,"Exp","")))</f>
        <v/>
      </c>
      <c r="H981" s="79">
        <f>IF(OR($A981="",H$23=""),"",IF(COUNTIFS('AFA Rates'!$A$5:$A$1004,$A981,'AFA Rates'!$B$5:$B$1004,H$23,'AFA Rates'!$O$5:$O$1004,"&lt;&gt;Expired")&gt;0,"✓",IF(COUNTIFS('AFA Rates'!$A$5:$A$1004,$A981,'AFA Rates'!$B$5:$B$1004,H$23)&gt;0,"Exp","")))</f>
        <v/>
      </c>
      <c r="I981" s="79">
        <f>IF(OR($A981="",I$23=""),"",IF(COUNTIFS('AFA Rates'!$A$5:$A$1004,$A981,'AFA Rates'!$B$5:$B$1004,I$23,'AFA Rates'!$O$5:$O$1004,"&lt;&gt;Expired")&gt;0,"✓",IF(COUNTIFS('AFA Rates'!$A$5:$A$1004,$A981,'AFA Rates'!$B$5:$B$1004,I$23)&gt;0,"Exp","")))</f>
        <v/>
      </c>
      <c r="J981" s="79">
        <f>IF(OR($A981="",J$23=""),"",IF(COUNTIFS('AFA Rates'!$A$5:$A$1004,$A981,'AFA Rates'!$B$5:$B$1004,J$23,'AFA Rates'!$O$5:$O$1004,"&lt;&gt;Expired")&gt;0,"✓",IF(COUNTIFS('AFA Rates'!$A$5:$A$1004,$A981,'AFA Rates'!$B$5:$B$1004,J$23)&gt;0,"Exp","")))</f>
        <v/>
      </c>
      <c r="K981" s="79">
        <f>IF(OR($A981="",K$23=""),"",IF(COUNTIFS('AFA Rates'!$A$5:$A$1004,$A981,'AFA Rates'!$B$5:$B$1004,K$23,'AFA Rates'!$O$5:$O$1004,"&lt;&gt;Expired")&gt;0,"✓",IF(COUNTIFS('AFA Rates'!$A$5:$A$1004,$A981,'AFA Rates'!$B$5:$B$1004,K$23)&gt;0,"Exp","")))</f>
        <v/>
      </c>
      <c r="L981" s="79">
        <f>IF(OR($A981="",L$23=""),"",IF(COUNTIFS('AFA Rates'!$A$5:$A$1004,$A981,'AFA Rates'!$B$5:$B$1004,L$23,'AFA Rates'!$O$5:$O$1004,"&lt;&gt;Expired")&gt;0,"✓",IF(COUNTIFS('AFA Rates'!$A$5:$A$1004,$A981,'AFA Rates'!$B$5:$B$1004,L$23)&gt;0,"Exp","")))</f>
        <v/>
      </c>
      <c r="M981" s="79">
        <f>IF(OR($A981="",M$23=""),"",IF(COUNTIFS('AFA Rates'!$A$5:$A$1004,$A981,'AFA Rates'!$B$5:$B$1004,M$23,'AFA Rates'!$O$5:$O$1004,"&lt;&gt;Expired")&gt;0,"✓",IF(COUNTIFS('AFA Rates'!$A$5:$A$1004,$A981,'AFA Rates'!$B$5:$B$1004,M$23)&gt;0,"Exp","")))</f>
        <v/>
      </c>
    </row>
    <row r="982">
      <c r="A982" s="78">
        <f>IFERROR(INDEX(Firms!$A$5:$A$1004,MATCH(959,Firms!$V$5:$V$1004,0)),"")</f>
        <v/>
      </c>
      <c r="B982" s="79">
        <f>IF($A982="","",INDEX(Firms!$B$5:$B$1004,MATCH(959,Firms!$V$5:$V$1004,0)))</f>
        <v/>
      </c>
      <c r="C982" s="79">
        <f>IF($A982="","",COUNTIFS('AFA Rates'!$A$5:$A$1004,$A982,'AFA Rates'!$O$5:$O$1004,"&lt;&gt;Expired"))</f>
        <v/>
      </c>
      <c r="D982" s="79">
        <f>IF(OR($A982="",D$23=""),"",IF(COUNTIFS('AFA Rates'!$A$5:$A$1004,$A982,'AFA Rates'!$B$5:$B$1004,D$23,'AFA Rates'!$O$5:$O$1004,"&lt;&gt;Expired")&gt;0,"✓",IF(COUNTIFS('AFA Rates'!$A$5:$A$1004,$A982,'AFA Rates'!$B$5:$B$1004,D$23)&gt;0,"Exp","")))</f>
        <v/>
      </c>
      <c r="E982" s="79">
        <f>IF(OR($A982="",E$23=""),"",IF(COUNTIFS('AFA Rates'!$A$5:$A$1004,$A982,'AFA Rates'!$B$5:$B$1004,E$23,'AFA Rates'!$O$5:$O$1004,"&lt;&gt;Expired")&gt;0,"✓",IF(COUNTIFS('AFA Rates'!$A$5:$A$1004,$A982,'AFA Rates'!$B$5:$B$1004,E$23)&gt;0,"Exp","")))</f>
        <v/>
      </c>
      <c r="F982" s="79">
        <f>IF(OR($A982="",F$23=""),"",IF(COUNTIFS('AFA Rates'!$A$5:$A$1004,$A982,'AFA Rates'!$B$5:$B$1004,F$23,'AFA Rates'!$O$5:$O$1004,"&lt;&gt;Expired")&gt;0,"✓",IF(COUNTIFS('AFA Rates'!$A$5:$A$1004,$A982,'AFA Rates'!$B$5:$B$1004,F$23)&gt;0,"Exp","")))</f>
        <v/>
      </c>
      <c r="G982" s="79">
        <f>IF(OR($A982="",G$23=""),"",IF(COUNTIFS('AFA Rates'!$A$5:$A$1004,$A982,'AFA Rates'!$B$5:$B$1004,G$23,'AFA Rates'!$O$5:$O$1004,"&lt;&gt;Expired")&gt;0,"✓",IF(COUNTIFS('AFA Rates'!$A$5:$A$1004,$A982,'AFA Rates'!$B$5:$B$1004,G$23)&gt;0,"Exp","")))</f>
        <v/>
      </c>
      <c r="H982" s="79">
        <f>IF(OR($A982="",H$23=""),"",IF(COUNTIFS('AFA Rates'!$A$5:$A$1004,$A982,'AFA Rates'!$B$5:$B$1004,H$23,'AFA Rates'!$O$5:$O$1004,"&lt;&gt;Expired")&gt;0,"✓",IF(COUNTIFS('AFA Rates'!$A$5:$A$1004,$A982,'AFA Rates'!$B$5:$B$1004,H$23)&gt;0,"Exp","")))</f>
        <v/>
      </c>
      <c r="I982" s="79">
        <f>IF(OR($A982="",I$23=""),"",IF(COUNTIFS('AFA Rates'!$A$5:$A$1004,$A982,'AFA Rates'!$B$5:$B$1004,I$23,'AFA Rates'!$O$5:$O$1004,"&lt;&gt;Expired")&gt;0,"✓",IF(COUNTIFS('AFA Rates'!$A$5:$A$1004,$A982,'AFA Rates'!$B$5:$B$1004,I$23)&gt;0,"Exp","")))</f>
        <v/>
      </c>
      <c r="J982" s="79">
        <f>IF(OR($A982="",J$23=""),"",IF(COUNTIFS('AFA Rates'!$A$5:$A$1004,$A982,'AFA Rates'!$B$5:$B$1004,J$23,'AFA Rates'!$O$5:$O$1004,"&lt;&gt;Expired")&gt;0,"✓",IF(COUNTIFS('AFA Rates'!$A$5:$A$1004,$A982,'AFA Rates'!$B$5:$B$1004,J$23)&gt;0,"Exp","")))</f>
        <v/>
      </c>
      <c r="K982" s="79">
        <f>IF(OR($A982="",K$23=""),"",IF(COUNTIFS('AFA Rates'!$A$5:$A$1004,$A982,'AFA Rates'!$B$5:$B$1004,K$23,'AFA Rates'!$O$5:$O$1004,"&lt;&gt;Expired")&gt;0,"✓",IF(COUNTIFS('AFA Rates'!$A$5:$A$1004,$A982,'AFA Rates'!$B$5:$B$1004,K$23)&gt;0,"Exp","")))</f>
        <v/>
      </c>
      <c r="L982" s="79">
        <f>IF(OR($A982="",L$23=""),"",IF(COUNTIFS('AFA Rates'!$A$5:$A$1004,$A982,'AFA Rates'!$B$5:$B$1004,L$23,'AFA Rates'!$O$5:$O$1004,"&lt;&gt;Expired")&gt;0,"✓",IF(COUNTIFS('AFA Rates'!$A$5:$A$1004,$A982,'AFA Rates'!$B$5:$B$1004,L$23)&gt;0,"Exp","")))</f>
        <v/>
      </c>
      <c r="M982" s="79">
        <f>IF(OR($A982="",M$23=""),"",IF(COUNTIFS('AFA Rates'!$A$5:$A$1004,$A982,'AFA Rates'!$B$5:$B$1004,M$23,'AFA Rates'!$O$5:$O$1004,"&lt;&gt;Expired")&gt;0,"✓",IF(COUNTIFS('AFA Rates'!$A$5:$A$1004,$A982,'AFA Rates'!$B$5:$B$1004,M$23)&gt;0,"Exp","")))</f>
        <v/>
      </c>
    </row>
    <row r="983">
      <c r="A983" s="78">
        <f>IFERROR(INDEX(Firms!$A$5:$A$1004,MATCH(960,Firms!$V$5:$V$1004,0)),"")</f>
        <v/>
      </c>
      <c r="B983" s="79">
        <f>IF($A983="","",INDEX(Firms!$B$5:$B$1004,MATCH(960,Firms!$V$5:$V$1004,0)))</f>
        <v/>
      </c>
      <c r="C983" s="79">
        <f>IF($A983="","",COUNTIFS('AFA Rates'!$A$5:$A$1004,$A983,'AFA Rates'!$O$5:$O$1004,"&lt;&gt;Expired"))</f>
        <v/>
      </c>
      <c r="D983" s="79">
        <f>IF(OR($A983="",D$23=""),"",IF(COUNTIFS('AFA Rates'!$A$5:$A$1004,$A983,'AFA Rates'!$B$5:$B$1004,D$23,'AFA Rates'!$O$5:$O$1004,"&lt;&gt;Expired")&gt;0,"✓",IF(COUNTIFS('AFA Rates'!$A$5:$A$1004,$A983,'AFA Rates'!$B$5:$B$1004,D$23)&gt;0,"Exp","")))</f>
        <v/>
      </c>
      <c r="E983" s="79">
        <f>IF(OR($A983="",E$23=""),"",IF(COUNTIFS('AFA Rates'!$A$5:$A$1004,$A983,'AFA Rates'!$B$5:$B$1004,E$23,'AFA Rates'!$O$5:$O$1004,"&lt;&gt;Expired")&gt;0,"✓",IF(COUNTIFS('AFA Rates'!$A$5:$A$1004,$A983,'AFA Rates'!$B$5:$B$1004,E$23)&gt;0,"Exp","")))</f>
        <v/>
      </c>
      <c r="F983" s="79">
        <f>IF(OR($A983="",F$23=""),"",IF(COUNTIFS('AFA Rates'!$A$5:$A$1004,$A983,'AFA Rates'!$B$5:$B$1004,F$23,'AFA Rates'!$O$5:$O$1004,"&lt;&gt;Expired")&gt;0,"✓",IF(COUNTIFS('AFA Rates'!$A$5:$A$1004,$A983,'AFA Rates'!$B$5:$B$1004,F$23)&gt;0,"Exp","")))</f>
        <v/>
      </c>
      <c r="G983" s="79">
        <f>IF(OR($A983="",G$23=""),"",IF(COUNTIFS('AFA Rates'!$A$5:$A$1004,$A983,'AFA Rates'!$B$5:$B$1004,G$23,'AFA Rates'!$O$5:$O$1004,"&lt;&gt;Expired")&gt;0,"✓",IF(COUNTIFS('AFA Rates'!$A$5:$A$1004,$A983,'AFA Rates'!$B$5:$B$1004,G$23)&gt;0,"Exp","")))</f>
        <v/>
      </c>
      <c r="H983" s="79">
        <f>IF(OR($A983="",H$23=""),"",IF(COUNTIFS('AFA Rates'!$A$5:$A$1004,$A983,'AFA Rates'!$B$5:$B$1004,H$23,'AFA Rates'!$O$5:$O$1004,"&lt;&gt;Expired")&gt;0,"✓",IF(COUNTIFS('AFA Rates'!$A$5:$A$1004,$A983,'AFA Rates'!$B$5:$B$1004,H$23)&gt;0,"Exp","")))</f>
        <v/>
      </c>
      <c r="I983" s="79">
        <f>IF(OR($A983="",I$23=""),"",IF(COUNTIFS('AFA Rates'!$A$5:$A$1004,$A983,'AFA Rates'!$B$5:$B$1004,I$23,'AFA Rates'!$O$5:$O$1004,"&lt;&gt;Expired")&gt;0,"✓",IF(COUNTIFS('AFA Rates'!$A$5:$A$1004,$A983,'AFA Rates'!$B$5:$B$1004,I$23)&gt;0,"Exp","")))</f>
        <v/>
      </c>
      <c r="J983" s="79">
        <f>IF(OR($A983="",J$23=""),"",IF(COUNTIFS('AFA Rates'!$A$5:$A$1004,$A983,'AFA Rates'!$B$5:$B$1004,J$23,'AFA Rates'!$O$5:$O$1004,"&lt;&gt;Expired")&gt;0,"✓",IF(COUNTIFS('AFA Rates'!$A$5:$A$1004,$A983,'AFA Rates'!$B$5:$B$1004,J$23)&gt;0,"Exp","")))</f>
        <v/>
      </c>
      <c r="K983" s="79">
        <f>IF(OR($A983="",K$23=""),"",IF(COUNTIFS('AFA Rates'!$A$5:$A$1004,$A983,'AFA Rates'!$B$5:$B$1004,K$23,'AFA Rates'!$O$5:$O$1004,"&lt;&gt;Expired")&gt;0,"✓",IF(COUNTIFS('AFA Rates'!$A$5:$A$1004,$A983,'AFA Rates'!$B$5:$B$1004,K$23)&gt;0,"Exp","")))</f>
        <v/>
      </c>
      <c r="L983" s="79">
        <f>IF(OR($A983="",L$23=""),"",IF(COUNTIFS('AFA Rates'!$A$5:$A$1004,$A983,'AFA Rates'!$B$5:$B$1004,L$23,'AFA Rates'!$O$5:$O$1004,"&lt;&gt;Expired")&gt;0,"✓",IF(COUNTIFS('AFA Rates'!$A$5:$A$1004,$A983,'AFA Rates'!$B$5:$B$1004,L$23)&gt;0,"Exp","")))</f>
        <v/>
      </c>
      <c r="M983" s="79">
        <f>IF(OR($A983="",M$23=""),"",IF(COUNTIFS('AFA Rates'!$A$5:$A$1004,$A983,'AFA Rates'!$B$5:$B$1004,M$23,'AFA Rates'!$O$5:$O$1004,"&lt;&gt;Expired")&gt;0,"✓",IF(COUNTIFS('AFA Rates'!$A$5:$A$1004,$A983,'AFA Rates'!$B$5:$B$1004,M$23)&gt;0,"Exp","")))</f>
        <v/>
      </c>
    </row>
    <row r="984">
      <c r="A984" s="78">
        <f>IFERROR(INDEX(Firms!$A$5:$A$1004,MATCH(961,Firms!$V$5:$V$1004,0)),"")</f>
        <v/>
      </c>
      <c r="B984" s="79">
        <f>IF($A984="","",INDEX(Firms!$B$5:$B$1004,MATCH(961,Firms!$V$5:$V$1004,0)))</f>
        <v/>
      </c>
      <c r="C984" s="79">
        <f>IF($A984="","",COUNTIFS('AFA Rates'!$A$5:$A$1004,$A984,'AFA Rates'!$O$5:$O$1004,"&lt;&gt;Expired"))</f>
        <v/>
      </c>
      <c r="D984" s="79">
        <f>IF(OR($A984="",D$23=""),"",IF(COUNTIFS('AFA Rates'!$A$5:$A$1004,$A984,'AFA Rates'!$B$5:$B$1004,D$23,'AFA Rates'!$O$5:$O$1004,"&lt;&gt;Expired")&gt;0,"✓",IF(COUNTIFS('AFA Rates'!$A$5:$A$1004,$A984,'AFA Rates'!$B$5:$B$1004,D$23)&gt;0,"Exp","")))</f>
        <v/>
      </c>
      <c r="E984" s="79">
        <f>IF(OR($A984="",E$23=""),"",IF(COUNTIFS('AFA Rates'!$A$5:$A$1004,$A984,'AFA Rates'!$B$5:$B$1004,E$23,'AFA Rates'!$O$5:$O$1004,"&lt;&gt;Expired")&gt;0,"✓",IF(COUNTIFS('AFA Rates'!$A$5:$A$1004,$A984,'AFA Rates'!$B$5:$B$1004,E$23)&gt;0,"Exp","")))</f>
        <v/>
      </c>
      <c r="F984" s="79">
        <f>IF(OR($A984="",F$23=""),"",IF(COUNTIFS('AFA Rates'!$A$5:$A$1004,$A984,'AFA Rates'!$B$5:$B$1004,F$23,'AFA Rates'!$O$5:$O$1004,"&lt;&gt;Expired")&gt;0,"✓",IF(COUNTIFS('AFA Rates'!$A$5:$A$1004,$A984,'AFA Rates'!$B$5:$B$1004,F$23)&gt;0,"Exp","")))</f>
        <v/>
      </c>
      <c r="G984" s="79">
        <f>IF(OR($A984="",G$23=""),"",IF(COUNTIFS('AFA Rates'!$A$5:$A$1004,$A984,'AFA Rates'!$B$5:$B$1004,G$23,'AFA Rates'!$O$5:$O$1004,"&lt;&gt;Expired")&gt;0,"✓",IF(COUNTIFS('AFA Rates'!$A$5:$A$1004,$A984,'AFA Rates'!$B$5:$B$1004,G$23)&gt;0,"Exp","")))</f>
        <v/>
      </c>
      <c r="H984" s="79">
        <f>IF(OR($A984="",H$23=""),"",IF(COUNTIFS('AFA Rates'!$A$5:$A$1004,$A984,'AFA Rates'!$B$5:$B$1004,H$23,'AFA Rates'!$O$5:$O$1004,"&lt;&gt;Expired")&gt;0,"✓",IF(COUNTIFS('AFA Rates'!$A$5:$A$1004,$A984,'AFA Rates'!$B$5:$B$1004,H$23)&gt;0,"Exp","")))</f>
        <v/>
      </c>
      <c r="I984" s="79">
        <f>IF(OR($A984="",I$23=""),"",IF(COUNTIFS('AFA Rates'!$A$5:$A$1004,$A984,'AFA Rates'!$B$5:$B$1004,I$23,'AFA Rates'!$O$5:$O$1004,"&lt;&gt;Expired")&gt;0,"✓",IF(COUNTIFS('AFA Rates'!$A$5:$A$1004,$A984,'AFA Rates'!$B$5:$B$1004,I$23)&gt;0,"Exp","")))</f>
        <v/>
      </c>
      <c r="J984" s="79">
        <f>IF(OR($A984="",J$23=""),"",IF(COUNTIFS('AFA Rates'!$A$5:$A$1004,$A984,'AFA Rates'!$B$5:$B$1004,J$23,'AFA Rates'!$O$5:$O$1004,"&lt;&gt;Expired")&gt;0,"✓",IF(COUNTIFS('AFA Rates'!$A$5:$A$1004,$A984,'AFA Rates'!$B$5:$B$1004,J$23)&gt;0,"Exp","")))</f>
        <v/>
      </c>
      <c r="K984" s="79">
        <f>IF(OR($A984="",K$23=""),"",IF(COUNTIFS('AFA Rates'!$A$5:$A$1004,$A984,'AFA Rates'!$B$5:$B$1004,K$23,'AFA Rates'!$O$5:$O$1004,"&lt;&gt;Expired")&gt;0,"✓",IF(COUNTIFS('AFA Rates'!$A$5:$A$1004,$A984,'AFA Rates'!$B$5:$B$1004,K$23)&gt;0,"Exp","")))</f>
        <v/>
      </c>
      <c r="L984" s="79">
        <f>IF(OR($A984="",L$23=""),"",IF(COUNTIFS('AFA Rates'!$A$5:$A$1004,$A984,'AFA Rates'!$B$5:$B$1004,L$23,'AFA Rates'!$O$5:$O$1004,"&lt;&gt;Expired")&gt;0,"✓",IF(COUNTIFS('AFA Rates'!$A$5:$A$1004,$A984,'AFA Rates'!$B$5:$B$1004,L$23)&gt;0,"Exp","")))</f>
        <v/>
      </c>
      <c r="M984" s="79">
        <f>IF(OR($A984="",M$23=""),"",IF(COUNTIFS('AFA Rates'!$A$5:$A$1004,$A984,'AFA Rates'!$B$5:$B$1004,M$23,'AFA Rates'!$O$5:$O$1004,"&lt;&gt;Expired")&gt;0,"✓",IF(COUNTIFS('AFA Rates'!$A$5:$A$1004,$A984,'AFA Rates'!$B$5:$B$1004,M$23)&gt;0,"Exp","")))</f>
        <v/>
      </c>
    </row>
    <row r="985">
      <c r="A985" s="78">
        <f>IFERROR(INDEX(Firms!$A$5:$A$1004,MATCH(962,Firms!$V$5:$V$1004,0)),"")</f>
        <v/>
      </c>
      <c r="B985" s="79">
        <f>IF($A985="","",INDEX(Firms!$B$5:$B$1004,MATCH(962,Firms!$V$5:$V$1004,0)))</f>
        <v/>
      </c>
      <c r="C985" s="79">
        <f>IF($A985="","",COUNTIFS('AFA Rates'!$A$5:$A$1004,$A985,'AFA Rates'!$O$5:$O$1004,"&lt;&gt;Expired"))</f>
        <v/>
      </c>
      <c r="D985" s="79">
        <f>IF(OR($A985="",D$23=""),"",IF(COUNTIFS('AFA Rates'!$A$5:$A$1004,$A985,'AFA Rates'!$B$5:$B$1004,D$23,'AFA Rates'!$O$5:$O$1004,"&lt;&gt;Expired")&gt;0,"✓",IF(COUNTIFS('AFA Rates'!$A$5:$A$1004,$A985,'AFA Rates'!$B$5:$B$1004,D$23)&gt;0,"Exp","")))</f>
        <v/>
      </c>
      <c r="E985" s="79">
        <f>IF(OR($A985="",E$23=""),"",IF(COUNTIFS('AFA Rates'!$A$5:$A$1004,$A985,'AFA Rates'!$B$5:$B$1004,E$23,'AFA Rates'!$O$5:$O$1004,"&lt;&gt;Expired")&gt;0,"✓",IF(COUNTIFS('AFA Rates'!$A$5:$A$1004,$A985,'AFA Rates'!$B$5:$B$1004,E$23)&gt;0,"Exp","")))</f>
        <v/>
      </c>
      <c r="F985" s="79">
        <f>IF(OR($A985="",F$23=""),"",IF(COUNTIFS('AFA Rates'!$A$5:$A$1004,$A985,'AFA Rates'!$B$5:$B$1004,F$23,'AFA Rates'!$O$5:$O$1004,"&lt;&gt;Expired")&gt;0,"✓",IF(COUNTIFS('AFA Rates'!$A$5:$A$1004,$A985,'AFA Rates'!$B$5:$B$1004,F$23)&gt;0,"Exp","")))</f>
        <v/>
      </c>
      <c r="G985" s="79">
        <f>IF(OR($A985="",G$23=""),"",IF(COUNTIFS('AFA Rates'!$A$5:$A$1004,$A985,'AFA Rates'!$B$5:$B$1004,G$23,'AFA Rates'!$O$5:$O$1004,"&lt;&gt;Expired")&gt;0,"✓",IF(COUNTIFS('AFA Rates'!$A$5:$A$1004,$A985,'AFA Rates'!$B$5:$B$1004,G$23)&gt;0,"Exp","")))</f>
        <v/>
      </c>
      <c r="H985" s="79">
        <f>IF(OR($A985="",H$23=""),"",IF(COUNTIFS('AFA Rates'!$A$5:$A$1004,$A985,'AFA Rates'!$B$5:$B$1004,H$23,'AFA Rates'!$O$5:$O$1004,"&lt;&gt;Expired")&gt;0,"✓",IF(COUNTIFS('AFA Rates'!$A$5:$A$1004,$A985,'AFA Rates'!$B$5:$B$1004,H$23)&gt;0,"Exp","")))</f>
        <v/>
      </c>
      <c r="I985" s="79">
        <f>IF(OR($A985="",I$23=""),"",IF(COUNTIFS('AFA Rates'!$A$5:$A$1004,$A985,'AFA Rates'!$B$5:$B$1004,I$23,'AFA Rates'!$O$5:$O$1004,"&lt;&gt;Expired")&gt;0,"✓",IF(COUNTIFS('AFA Rates'!$A$5:$A$1004,$A985,'AFA Rates'!$B$5:$B$1004,I$23)&gt;0,"Exp","")))</f>
        <v/>
      </c>
      <c r="J985" s="79">
        <f>IF(OR($A985="",J$23=""),"",IF(COUNTIFS('AFA Rates'!$A$5:$A$1004,$A985,'AFA Rates'!$B$5:$B$1004,J$23,'AFA Rates'!$O$5:$O$1004,"&lt;&gt;Expired")&gt;0,"✓",IF(COUNTIFS('AFA Rates'!$A$5:$A$1004,$A985,'AFA Rates'!$B$5:$B$1004,J$23)&gt;0,"Exp","")))</f>
        <v/>
      </c>
      <c r="K985" s="79">
        <f>IF(OR($A985="",K$23=""),"",IF(COUNTIFS('AFA Rates'!$A$5:$A$1004,$A985,'AFA Rates'!$B$5:$B$1004,K$23,'AFA Rates'!$O$5:$O$1004,"&lt;&gt;Expired")&gt;0,"✓",IF(COUNTIFS('AFA Rates'!$A$5:$A$1004,$A985,'AFA Rates'!$B$5:$B$1004,K$23)&gt;0,"Exp","")))</f>
        <v/>
      </c>
      <c r="L985" s="79">
        <f>IF(OR($A985="",L$23=""),"",IF(COUNTIFS('AFA Rates'!$A$5:$A$1004,$A985,'AFA Rates'!$B$5:$B$1004,L$23,'AFA Rates'!$O$5:$O$1004,"&lt;&gt;Expired")&gt;0,"✓",IF(COUNTIFS('AFA Rates'!$A$5:$A$1004,$A985,'AFA Rates'!$B$5:$B$1004,L$23)&gt;0,"Exp","")))</f>
        <v/>
      </c>
      <c r="M985" s="79">
        <f>IF(OR($A985="",M$23=""),"",IF(COUNTIFS('AFA Rates'!$A$5:$A$1004,$A985,'AFA Rates'!$B$5:$B$1004,M$23,'AFA Rates'!$O$5:$O$1004,"&lt;&gt;Expired")&gt;0,"✓",IF(COUNTIFS('AFA Rates'!$A$5:$A$1004,$A985,'AFA Rates'!$B$5:$B$1004,M$23)&gt;0,"Exp","")))</f>
        <v/>
      </c>
    </row>
    <row r="986">
      <c r="A986" s="78">
        <f>IFERROR(INDEX(Firms!$A$5:$A$1004,MATCH(963,Firms!$V$5:$V$1004,0)),"")</f>
        <v/>
      </c>
      <c r="B986" s="79">
        <f>IF($A986="","",INDEX(Firms!$B$5:$B$1004,MATCH(963,Firms!$V$5:$V$1004,0)))</f>
        <v/>
      </c>
      <c r="C986" s="79">
        <f>IF($A986="","",COUNTIFS('AFA Rates'!$A$5:$A$1004,$A986,'AFA Rates'!$O$5:$O$1004,"&lt;&gt;Expired"))</f>
        <v/>
      </c>
      <c r="D986" s="79">
        <f>IF(OR($A986="",D$23=""),"",IF(COUNTIFS('AFA Rates'!$A$5:$A$1004,$A986,'AFA Rates'!$B$5:$B$1004,D$23,'AFA Rates'!$O$5:$O$1004,"&lt;&gt;Expired")&gt;0,"✓",IF(COUNTIFS('AFA Rates'!$A$5:$A$1004,$A986,'AFA Rates'!$B$5:$B$1004,D$23)&gt;0,"Exp","")))</f>
        <v/>
      </c>
      <c r="E986" s="79">
        <f>IF(OR($A986="",E$23=""),"",IF(COUNTIFS('AFA Rates'!$A$5:$A$1004,$A986,'AFA Rates'!$B$5:$B$1004,E$23,'AFA Rates'!$O$5:$O$1004,"&lt;&gt;Expired")&gt;0,"✓",IF(COUNTIFS('AFA Rates'!$A$5:$A$1004,$A986,'AFA Rates'!$B$5:$B$1004,E$23)&gt;0,"Exp","")))</f>
        <v/>
      </c>
      <c r="F986" s="79">
        <f>IF(OR($A986="",F$23=""),"",IF(COUNTIFS('AFA Rates'!$A$5:$A$1004,$A986,'AFA Rates'!$B$5:$B$1004,F$23,'AFA Rates'!$O$5:$O$1004,"&lt;&gt;Expired")&gt;0,"✓",IF(COUNTIFS('AFA Rates'!$A$5:$A$1004,$A986,'AFA Rates'!$B$5:$B$1004,F$23)&gt;0,"Exp","")))</f>
        <v/>
      </c>
      <c r="G986" s="79">
        <f>IF(OR($A986="",G$23=""),"",IF(COUNTIFS('AFA Rates'!$A$5:$A$1004,$A986,'AFA Rates'!$B$5:$B$1004,G$23,'AFA Rates'!$O$5:$O$1004,"&lt;&gt;Expired")&gt;0,"✓",IF(COUNTIFS('AFA Rates'!$A$5:$A$1004,$A986,'AFA Rates'!$B$5:$B$1004,G$23)&gt;0,"Exp","")))</f>
        <v/>
      </c>
      <c r="H986" s="79">
        <f>IF(OR($A986="",H$23=""),"",IF(COUNTIFS('AFA Rates'!$A$5:$A$1004,$A986,'AFA Rates'!$B$5:$B$1004,H$23,'AFA Rates'!$O$5:$O$1004,"&lt;&gt;Expired")&gt;0,"✓",IF(COUNTIFS('AFA Rates'!$A$5:$A$1004,$A986,'AFA Rates'!$B$5:$B$1004,H$23)&gt;0,"Exp","")))</f>
        <v/>
      </c>
      <c r="I986" s="79">
        <f>IF(OR($A986="",I$23=""),"",IF(COUNTIFS('AFA Rates'!$A$5:$A$1004,$A986,'AFA Rates'!$B$5:$B$1004,I$23,'AFA Rates'!$O$5:$O$1004,"&lt;&gt;Expired")&gt;0,"✓",IF(COUNTIFS('AFA Rates'!$A$5:$A$1004,$A986,'AFA Rates'!$B$5:$B$1004,I$23)&gt;0,"Exp","")))</f>
        <v/>
      </c>
      <c r="J986" s="79">
        <f>IF(OR($A986="",J$23=""),"",IF(COUNTIFS('AFA Rates'!$A$5:$A$1004,$A986,'AFA Rates'!$B$5:$B$1004,J$23,'AFA Rates'!$O$5:$O$1004,"&lt;&gt;Expired")&gt;0,"✓",IF(COUNTIFS('AFA Rates'!$A$5:$A$1004,$A986,'AFA Rates'!$B$5:$B$1004,J$23)&gt;0,"Exp","")))</f>
        <v/>
      </c>
      <c r="K986" s="79">
        <f>IF(OR($A986="",K$23=""),"",IF(COUNTIFS('AFA Rates'!$A$5:$A$1004,$A986,'AFA Rates'!$B$5:$B$1004,K$23,'AFA Rates'!$O$5:$O$1004,"&lt;&gt;Expired")&gt;0,"✓",IF(COUNTIFS('AFA Rates'!$A$5:$A$1004,$A986,'AFA Rates'!$B$5:$B$1004,K$23)&gt;0,"Exp","")))</f>
        <v/>
      </c>
      <c r="L986" s="79">
        <f>IF(OR($A986="",L$23=""),"",IF(COUNTIFS('AFA Rates'!$A$5:$A$1004,$A986,'AFA Rates'!$B$5:$B$1004,L$23,'AFA Rates'!$O$5:$O$1004,"&lt;&gt;Expired")&gt;0,"✓",IF(COUNTIFS('AFA Rates'!$A$5:$A$1004,$A986,'AFA Rates'!$B$5:$B$1004,L$23)&gt;0,"Exp","")))</f>
        <v/>
      </c>
      <c r="M986" s="79">
        <f>IF(OR($A986="",M$23=""),"",IF(COUNTIFS('AFA Rates'!$A$5:$A$1004,$A986,'AFA Rates'!$B$5:$B$1004,M$23,'AFA Rates'!$O$5:$O$1004,"&lt;&gt;Expired")&gt;0,"✓",IF(COUNTIFS('AFA Rates'!$A$5:$A$1004,$A986,'AFA Rates'!$B$5:$B$1004,M$23)&gt;0,"Exp","")))</f>
        <v/>
      </c>
    </row>
    <row r="987">
      <c r="A987" s="78">
        <f>IFERROR(INDEX(Firms!$A$5:$A$1004,MATCH(964,Firms!$V$5:$V$1004,0)),"")</f>
        <v/>
      </c>
      <c r="B987" s="79">
        <f>IF($A987="","",INDEX(Firms!$B$5:$B$1004,MATCH(964,Firms!$V$5:$V$1004,0)))</f>
        <v/>
      </c>
      <c r="C987" s="79">
        <f>IF($A987="","",COUNTIFS('AFA Rates'!$A$5:$A$1004,$A987,'AFA Rates'!$O$5:$O$1004,"&lt;&gt;Expired"))</f>
        <v/>
      </c>
      <c r="D987" s="79">
        <f>IF(OR($A987="",D$23=""),"",IF(COUNTIFS('AFA Rates'!$A$5:$A$1004,$A987,'AFA Rates'!$B$5:$B$1004,D$23,'AFA Rates'!$O$5:$O$1004,"&lt;&gt;Expired")&gt;0,"✓",IF(COUNTIFS('AFA Rates'!$A$5:$A$1004,$A987,'AFA Rates'!$B$5:$B$1004,D$23)&gt;0,"Exp","")))</f>
        <v/>
      </c>
      <c r="E987" s="79">
        <f>IF(OR($A987="",E$23=""),"",IF(COUNTIFS('AFA Rates'!$A$5:$A$1004,$A987,'AFA Rates'!$B$5:$B$1004,E$23,'AFA Rates'!$O$5:$O$1004,"&lt;&gt;Expired")&gt;0,"✓",IF(COUNTIFS('AFA Rates'!$A$5:$A$1004,$A987,'AFA Rates'!$B$5:$B$1004,E$23)&gt;0,"Exp","")))</f>
        <v/>
      </c>
      <c r="F987" s="79">
        <f>IF(OR($A987="",F$23=""),"",IF(COUNTIFS('AFA Rates'!$A$5:$A$1004,$A987,'AFA Rates'!$B$5:$B$1004,F$23,'AFA Rates'!$O$5:$O$1004,"&lt;&gt;Expired")&gt;0,"✓",IF(COUNTIFS('AFA Rates'!$A$5:$A$1004,$A987,'AFA Rates'!$B$5:$B$1004,F$23)&gt;0,"Exp","")))</f>
        <v/>
      </c>
      <c r="G987" s="79">
        <f>IF(OR($A987="",G$23=""),"",IF(COUNTIFS('AFA Rates'!$A$5:$A$1004,$A987,'AFA Rates'!$B$5:$B$1004,G$23,'AFA Rates'!$O$5:$O$1004,"&lt;&gt;Expired")&gt;0,"✓",IF(COUNTIFS('AFA Rates'!$A$5:$A$1004,$A987,'AFA Rates'!$B$5:$B$1004,G$23)&gt;0,"Exp","")))</f>
        <v/>
      </c>
      <c r="H987" s="79">
        <f>IF(OR($A987="",H$23=""),"",IF(COUNTIFS('AFA Rates'!$A$5:$A$1004,$A987,'AFA Rates'!$B$5:$B$1004,H$23,'AFA Rates'!$O$5:$O$1004,"&lt;&gt;Expired")&gt;0,"✓",IF(COUNTIFS('AFA Rates'!$A$5:$A$1004,$A987,'AFA Rates'!$B$5:$B$1004,H$23)&gt;0,"Exp","")))</f>
        <v/>
      </c>
      <c r="I987" s="79">
        <f>IF(OR($A987="",I$23=""),"",IF(COUNTIFS('AFA Rates'!$A$5:$A$1004,$A987,'AFA Rates'!$B$5:$B$1004,I$23,'AFA Rates'!$O$5:$O$1004,"&lt;&gt;Expired")&gt;0,"✓",IF(COUNTIFS('AFA Rates'!$A$5:$A$1004,$A987,'AFA Rates'!$B$5:$B$1004,I$23)&gt;0,"Exp","")))</f>
        <v/>
      </c>
      <c r="J987" s="79">
        <f>IF(OR($A987="",J$23=""),"",IF(COUNTIFS('AFA Rates'!$A$5:$A$1004,$A987,'AFA Rates'!$B$5:$B$1004,J$23,'AFA Rates'!$O$5:$O$1004,"&lt;&gt;Expired")&gt;0,"✓",IF(COUNTIFS('AFA Rates'!$A$5:$A$1004,$A987,'AFA Rates'!$B$5:$B$1004,J$23)&gt;0,"Exp","")))</f>
        <v/>
      </c>
      <c r="K987" s="79">
        <f>IF(OR($A987="",K$23=""),"",IF(COUNTIFS('AFA Rates'!$A$5:$A$1004,$A987,'AFA Rates'!$B$5:$B$1004,K$23,'AFA Rates'!$O$5:$O$1004,"&lt;&gt;Expired")&gt;0,"✓",IF(COUNTIFS('AFA Rates'!$A$5:$A$1004,$A987,'AFA Rates'!$B$5:$B$1004,K$23)&gt;0,"Exp","")))</f>
        <v/>
      </c>
      <c r="L987" s="79">
        <f>IF(OR($A987="",L$23=""),"",IF(COUNTIFS('AFA Rates'!$A$5:$A$1004,$A987,'AFA Rates'!$B$5:$B$1004,L$23,'AFA Rates'!$O$5:$O$1004,"&lt;&gt;Expired")&gt;0,"✓",IF(COUNTIFS('AFA Rates'!$A$5:$A$1004,$A987,'AFA Rates'!$B$5:$B$1004,L$23)&gt;0,"Exp","")))</f>
        <v/>
      </c>
      <c r="M987" s="79">
        <f>IF(OR($A987="",M$23=""),"",IF(COUNTIFS('AFA Rates'!$A$5:$A$1004,$A987,'AFA Rates'!$B$5:$B$1004,M$23,'AFA Rates'!$O$5:$O$1004,"&lt;&gt;Expired")&gt;0,"✓",IF(COUNTIFS('AFA Rates'!$A$5:$A$1004,$A987,'AFA Rates'!$B$5:$B$1004,M$23)&gt;0,"Exp","")))</f>
        <v/>
      </c>
    </row>
    <row r="988">
      <c r="A988" s="78">
        <f>IFERROR(INDEX(Firms!$A$5:$A$1004,MATCH(965,Firms!$V$5:$V$1004,0)),"")</f>
        <v/>
      </c>
      <c r="B988" s="79">
        <f>IF($A988="","",INDEX(Firms!$B$5:$B$1004,MATCH(965,Firms!$V$5:$V$1004,0)))</f>
        <v/>
      </c>
      <c r="C988" s="79">
        <f>IF($A988="","",COUNTIFS('AFA Rates'!$A$5:$A$1004,$A988,'AFA Rates'!$O$5:$O$1004,"&lt;&gt;Expired"))</f>
        <v/>
      </c>
      <c r="D988" s="79">
        <f>IF(OR($A988="",D$23=""),"",IF(COUNTIFS('AFA Rates'!$A$5:$A$1004,$A988,'AFA Rates'!$B$5:$B$1004,D$23,'AFA Rates'!$O$5:$O$1004,"&lt;&gt;Expired")&gt;0,"✓",IF(COUNTIFS('AFA Rates'!$A$5:$A$1004,$A988,'AFA Rates'!$B$5:$B$1004,D$23)&gt;0,"Exp","")))</f>
        <v/>
      </c>
      <c r="E988" s="79">
        <f>IF(OR($A988="",E$23=""),"",IF(COUNTIFS('AFA Rates'!$A$5:$A$1004,$A988,'AFA Rates'!$B$5:$B$1004,E$23,'AFA Rates'!$O$5:$O$1004,"&lt;&gt;Expired")&gt;0,"✓",IF(COUNTIFS('AFA Rates'!$A$5:$A$1004,$A988,'AFA Rates'!$B$5:$B$1004,E$23)&gt;0,"Exp","")))</f>
        <v/>
      </c>
      <c r="F988" s="79">
        <f>IF(OR($A988="",F$23=""),"",IF(COUNTIFS('AFA Rates'!$A$5:$A$1004,$A988,'AFA Rates'!$B$5:$B$1004,F$23,'AFA Rates'!$O$5:$O$1004,"&lt;&gt;Expired")&gt;0,"✓",IF(COUNTIFS('AFA Rates'!$A$5:$A$1004,$A988,'AFA Rates'!$B$5:$B$1004,F$23)&gt;0,"Exp","")))</f>
        <v/>
      </c>
      <c r="G988" s="79">
        <f>IF(OR($A988="",G$23=""),"",IF(COUNTIFS('AFA Rates'!$A$5:$A$1004,$A988,'AFA Rates'!$B$5:$B$1004,G$23,'AFA Rates'!$O$5:$O$1004,"&lt;&gt;Expired")&gt;0,"✓",IF(COUNTIFS('AFA Rates'!$A$5:$A$1004,$A988,'AFA Rates'!$B$5:$B$1004,G$23)&gt;0,"Exp","")))</f>
        <v/>
      </c>
      <c r="H988" s="79">
        <f>IF(OR($A988="",H$23=""),"",IF(COUNTIFS('AFA Rates'!$A$5:$A$1004,$A988,'AFA Rates'!$B$5:$B$1004,H$23,'AFA Rates'!$O$5:$O$1004,"&lt;&gt;Expired")&gt;0,"✓",IF(COUNTIFS('AFA Rates'!$A$5:$A$1004,$A988,'AFA Rates'!$B$5:$B$1004,H$23)&gt;0,"Exp","")))</f>
        <v/>
      </c>
      <c r="I988" s="79">
        <f>IF(OR($A988="",I$23=""),"",IF(COUNTIFS('AFA Rates'!$A$5:$A$1004,$A988,'AFA Rates'!$B$5:$B$1004,I$23,'AFA Rates'!$O$5:$O$1004,"&lt;&gt;Expired")&gt;0,"✓",IF(COUNTIFS('AFA Rates'!$A$5:$A$1004,$A988,'AFA Rates'!$B$5:$B$1004,I$23)&gt;0,"Exp","")))</f>
        <v/>
      </c>
      <c r="J988" s="79">
        <f>IF(OR($A988="",J$23=""),"",IF(COUNTIFS('AFA Rates'!$A$5:$A$1004,$A988,'AFA Rates'!$B$5:$B$1004,J$23,'AFA Rates'!$O$5:$O$1004,"&lt;&gt;Expired")&gt;0,"✓",IF(COUNTIFS('AFA Rates'!$A$5:$A$1004,$A988,'AFA Rates'!$B$5:$B$1004,J$23)&gt;0,"Exp","")))</f>
        <v/>
      </c>
      <c r="K988" s="79">
        <f>IF(OR($A988="",K$23=""),"",IF(COUNTIFS('AFA Rates'!$A$5:$A$1004,$A988,'AFA Rates'!$B$5:$B$1004,K$23,'AFA Rates'!$O$5:$O$1004,"&lt;&gt;Expired")&gt;0,"✓",IF(COUNTIFS('AFA Rates'!$A$5:$A$1004,$A988,'AFA Rates'!$B$5:$B$1004,K$23)&gt;0,"Exp","")))</f>
        <v/>
      </c>
      <c r="L988" s="79">
        <f>IF(OR($A988="",L$23=""),"",IF(COUNTIFS('AFA Rates'!$A$5:$A$1004,$A988,'AFA Rates'!$B$5:$B$1004,L$23,'AFA Rates'!$O$5:$O$1004,"&lt;&gt;Expired")&gt;0,"✓",IF(COUNTIFS('AFA Rates'!$A$5:$A$1004,$A988,'AFA Rates'!$B$5:$B$1004,L$23)&gt;0,"Exp","")))</f>
        <v/>
      </c>
      <c r="M988" s="79">
        <f>IF(OR($A988="",M$23=""),"",IF(COUNTIFS('AFA Rates'!$A$5:$A$1004,$A988,'AFA Rates'!$B$5:$B$1004,M$23,'AFA Rates'!$O$5:$O$1004,"&lt;&gt;Expired")&gt;0,"✓",IF(COUNTIFS('AFA Rates'!$A$5:$A$1004,$A988,'AFA Rates'!$B$5:$B$1004,M$23)&gt;0,"Exp","")))</f>
        <v/>
      </c>
    </row>
    <row r="989">
      <c r="A989" s="78">
        <f>IFERROR(INDEX(Firms!$A$5:$A$1004,MATCH(966,Firms!$V$5:$V$1004,0)),"")</f>
        <v/>
      </c>
      <c r="B989" s="79">
        <f>IF($A989="","",INDEX(Firms!$B$5:$B$1004,MATCH(966,Firms!$V$5:$V$1004,0)))</f>
        <v/>
      </c>
      <c r="C989" s="79">
        <f>IF($A989="","",COUNTIFS('AFA Rates'!$A$5:$A$1004,$A989,'AFA Rates'!$O$5:$O$1004,"&lt;&gt;Expired"))</f>
        <v/>
      </c>
      <c r="D989" s="79">
        <f>IF(OR($A989="",D$23=""),"",IF(COUNTIFS('AFA Rates'!$A$5:$A$1004,$A989,'AFA Rates'!$B$5:$B$1004,D$23,'AFA Rates'!$O$5:$O$1004,"&lt;&gt;Expired")&gt;0,"✓",IF(COUNTIFS('AFA Rates'!$A$5:$A$1004,$A989,'AFA Rates'!$B$5:$B$1004,D$23)&gt;0,"Exp","")))</f>
        <v/>
      </c>
      <c r="E989" s="79">
        <f>IF(OR($A989="",E$23=""),"",IF(COUNTIFS('AFA Rates'!$A$5:$A$1004,$A989,'AFA Rates'!$B$5:$B$1004,E$23,'AFA Rates'!$O$5:$O$1004,"&lt;&gt;Expired")&gt;0,"✓",IF(COUNTIFS('AFA Rates'!$A$5:$A$1004,$A989,'AFA Rates'!$B$5:$B$1004,E$23)&gt;0,"Exp","")))</f>
        <v/>
      </c>
      <c r="F989" s="79">
        <f>IF(OR($A989="",F$23=""),"",IF(COUNTIFS('AFA Rates'!$A$5:$A$1004,$A989,'AFA Rates'!$B$5:$B$1004,F$23,'AFA Rates'!$O$5:$O$1004,"&lt;&gt;Expired")&gt;0,"✓",IF(COUNTIFS('AFA Rates'!$A$5:$A$1004,$A989,'AFA Rates'!$B$5:$B$1004,F$23)&gt;0,"Exp","")))</f>
        <v/>
      </c>
      <c r="G989" s="79">
        <f>IF(OR($A989="",G$23=""),"",IF(COUNTIFS('AFA Rates'!$A$5:$A$1004,$A989,'AFA Rates'!$B$5:$B$1004,G$23,'AFA Rates'!$O$5:$O$1004,"&lt;&gt;Expired")&gt;0,"✓",IF(COUNTIFS('AFA Rates'!$A$5:$A$1004,$A989,'AFA Rates'!$B$5:$B$1004,G$23)&gt;0,"Exp","")))</f>
        <v/>
      </c>
      <c r="H989" s="79">
        <f>IF(OR($A989="",H$23=""),"",IF(COUNTIFS('AFA Rates'!$A$5:$A$1004,$A989,'AFA Rates'!$B$5:$B$1004,H$23,'AFA Rates'!$O$5:$O$1004,"&lt;&gt;Expired")&gt;0,"✓",IF(COUNTIFS('AFA Rates'!$A$5:$A$1004,$A989,'AFA Rates'!$B$5:$B$1004,H$23)&gt;0,"Exp","")))</f>
        <v/>
      </c>
      <c r="I989" s="79">
        <f>IF(OR($A989="",I$23=""),"",IF(COUNTIFS('AFA Rates'!$A$5:$A$1004,$A989,'AFA Rates'!$B$5:$B$1004,I$23,'AFA Rates'!$O$5:$O$1004,"&lt;&gt;Expired")&gt;0,"✓",IF(COUNTIFS('AFA Rates'!$A$5:$A$1004,$A989,'AFA Rates'!$B$5:$B$1004,I$23)&gt;0,"Exp","")))</f>
        <v/>
      </c>
      <c r="J989" s="79">
        <f>IF(OR($A989="",J$23=""),"",IF(COUNTIFS('AFA Rates'!$A$5:$A$1004,$A989,'AFA Rates'!$B$5:$B$1004,J$23,'AFA Rates'!$O$5:$O$1004,"&lt;&gt;Expired")&gt;0,"✓",IF(COUNTIFS('AFA Rates'!$A$5:$A$1004,$A989,'AFA Rates'!$B$5:$B$1004,J$23)&gt;0,"Exp","")))</f>
        <v/>
      </c>
      <c r="K989" s="79">
        <f>IF(OR($A989="",K$23=""),"",IF(COUNTIFS('AFA Rates'!$A$5:$A$1004,$A989,'AFA Rates'!$B$5:$B$1004,K$23,'AFA Rates'!$O$5:$O$1004,"&lt;&gt;Expired")&gt;0,"✓",IF(COUNTIFS('AFA Rates'!$A$5:$A$1004,$A989,'AFA Rates'!$B$5:$B$1004,K$23)&gt;0,"Exp","")))</f>
        <v/>
      </c>
      <c r="L989" s="79">
        <f>IF(OR($A989="",L$23=""),"",IF(COUNTIFS('AFA Rates'!$A$5:$A$1004,$A989,'AFA Rates'!$B$5:$B$1004,L$23,'AFA Rates'!$O$5:$O$1004,"&lt;&gt;Expired")&gt;0,"✓",IF(COUNTIFS('AFA Rates'!$A$5:$A$1004,$A989,'AFA Rates'!$B$5:$B$1004,L$23)&gt;0,"Exp","")))</f>
        <v/>
      </c>
      <c r="M989" s="79">
        <f>IF(OR($A989="",M$23=""),"",IF(COUNTIFS('AFA Rates'!$A$5:$A$1004,$A989,'AFA Rates'!$B$5:$B$1004,M$23,'AFA Rates'!$O$5:$O$1004,"&lt;&gt;Expired")&gt;0,"✓",IF(COUNTIFS('AFA Rates'!$A$5:$A$1004,$A989,'AFA Rates'!$B$5:$B$1004,M$23)&gt;0,"Exp","")))</f>
        <v/>
      </c>
    </row>
    <row r="990">
      <c r="A990" s="78">
        <f>IFERROR(INDEX(Firms!$A$5:$A$1004,MATCH(967,Firms!$V$5:$V$1004,0)),"")</f>
        <v/>
      </c>
      <c r="B990" s="79">
        <f>IF($A990="","",INDEX(Firms!$B$5:$B$1004,MATCH(967,Firms!$V$5:$V$1004,0)))</f>
        <v/>
      </c>
      <c r="C990" s="79">
        <f>IF($A990="","",COUNTIFS('AFA Rates'!$A$5:$A$1004,$A990,'AFA Rates'!$O$5:$O$1004,"&lt;&gt;Expired"))</f>
        <v/>
      </c>
      <c r="D990" s="79">
        <f>IF(OR($A990="",D$23=""),"",IF(COUNTIFS('AFA Rates'!$A$5:$A$1004,$A990,'AFA Rates'!$B$5:$B$1004,D$23,'AFA Rates'!$O$5:$O$1004,"&lt;&gt;Expired")&gt;0,"✓",IF(COUNTIFS('AFA Rates'!$A$5:$A$1004,$A990,'AFA Rates'!$B$5:$B$1004,D$23)&gt;0,"Exp","")))</f>
        <v/>
      </c>
      <c r="E990" s="79">
        <f>IF(OR($A990="",E$23=""),"",IF(COUNTIFS('AFA Rates'!$A$5:$A$1004,$A990,'AFA Rates'!$B$5:$B$1004,E$23,'AFA Rates'!$O$5:$O$1004,"&lt;&gt;Expired")&gt;0,"✓",IF(COUNTIFS('AFA Rates'!$A$5:$A$1004,$A990,'AFA Rates'!$B$5:$B$1004,E$23)&gt;0,"Exp","")))</f>
        <v/>
      </c>
      <c r="F990" s="79">
        <f>IF(OR($A990="",F$23=""),"",IF(COUNTIFS('AFA Rates'!$A$5:$A$1004,$A990,'AFA Rates'!$B$5:$B$1004,F$23,'AFA Rates'!$O$5:$O$1004,"&lt;&gt;Expired")&gt;0,"✓",IF(COUNTIFS('AFA Rates'!$A$5:$A$1004,$A990,'AFA Rates'!$B$5:$B$1004,F$23)&gt;0,"Exp","")))</f>
        <v/>
      </c>
      <c r="G990" s="79">
        <f>IF(OR($A990="",G$23=""),"",IF(COUNTIFS('AFA Rates'!$A$5:$A$1004,$A990,'AFA Rates'!$B$5:$B$1004,G$23,'AFA Rates'!$O$5:$O$1004,"&lt;&gt;Expired")&gt;0,"✓",IF(COUNTIFS('AFA Rates'!$A$5:$A$1004,$A990,'AFA Rates'!$B$5:$B$1004,G$23)&gt;0,"Exp","")))</f>
        <v/>
      </c>
      <c r="H990" s="79">
        <f>IF(OR($A990="",H$23=""),"",IF(COUNTIFS('AFA Rates'!$A$5:$A$1004,$A990,'AFA Rates'!$B$5:$B$1004,H$23,'AFA Rates'!$O$5:$O$1004,"&lt;&gt;Expired")&gt;0,"✓",IF(COUNTIFS('AFA Rates'!$A$5:$A$1004,$A990,'AFA Rates'!$B$5:$B$1004,H$23)&gt;0,"Exp","")))</f>
        <v/>
      </c>
      <c r="I990" s="79">
        <f>IF(OR($A990="",I$23=""),"",IF(COUNTIFS('AFA Rates'!$A$5:$A$1004,$A990,'AFA Rates'!$B$5:$B$1004,I$23,'AFA Rates'!$O$5:$O$1004,"&lt;&gt;Expired")&gt;0,"✓",IF(COUNTIFS('AFA Rates'!$A$5:$A$1004,$A990,'AFA Rates'!$B$5:$B$1004,I$23)&gt;0,"Exp","")))</f>
        <v/>
      </c>
      <c r="J990" s="79">
        <f>IF(OR($A990="",J$23=""),"",IF(COUNTIFS('AFA Rates'!$A$5:$A$1004,$A990,'AFA Rates'!$B$5:$B$1004,J$23,'AFA Rates'!$O$5:$O$1004,"&lt;&gt;Expired")&gt;0,"✓",IF(COUNTIFS('AFA Rates'!$A$5:$A$1004,$A990,'AFA Rates'!$B$5:$B$1004,J$23)&gt;0,"Exp","")))</f>
        <v/>
      </c>
      <c r="K990" s="79">
        <f>IF(OR($A990="",K$23=""),"",IF(COUNTIFS('AFA Rates'!$A$5:$A$1004,$A990,'AFA Rates'!$B$5:$B$1004,K$23,'AFA Rates'!$O$5:$O$1004,"&lt;&gt;Expired")&gt;0,"✓",IF(COUNTIFS('AFA Rates'!$A$5:$A$1004,$A990,'AFA Rates'!$B$5:$B$1004,K$23)&gt;0,"Exp","")))</f>
        <v/>
      </c>
      <c r="L990" s="79">
        <f>IF(OR($A990="",L$23=""),"",IF(COUNTIFS('AFA Rates'!$A$5:$A$1004,$A990,'AFA Rates'!$B$5:$B$1004,L$23,'AFA Rates'!$O$5:$O$1004,"&lt;&gt;Expired")&gt;0,"✓",IF(COUNTIFS('AFA Rates'!$A$5:$A$1004,$A990,'AFA Rates'!$B$5:$B$1004,L$23)&gt;0,"Exp","")))</f>
        <v/>
      </c>
      <c r="M990" s="79">
        <f>IF(OR($A990="",M$23=""),"",IF(COUNTIFS('AFA Rates'!$A$5:$A$1004,$A990,'AFA Rates'!$B$5:$B$1004,M$23,'AFA Rates'!$O$5:$O$1004,"&lt;&gt;Expired")&gt;0,"✓",IF(COUNTIFS('AFA Rates'!$A$5:$A$1004,$A990,'AFA Rates'!$B$5:$B$1004,M$23)&gt;0,"Exp","")))</f>
        <v/>
      </c>
    </row>
    <row r="991">
      <c r="A991" s="78">
        <f>IFERROR(INDEX(Firms!$A$5:$A$1004,MATCH(968,Firms!$V$5:$V$1004,0)),"")</f>
        <v/>
      </c>
      <c r="B991" s="79">
        <f>IF($A991="","",INDEX(Firms!$B$5:$B$1004,MATCH(968,Firms!$V$5:$V$1004,0)))</f>
        <v/>
      </c>
      <c r="C991" s="79">
        <f>IF($A991="","",COUNTIFS('AFA Rates'!$A$5:$A$1004,$A991,'AFA Rates'!$O$5:$O$1004,"&lt;&gt;Expired"))</f>
        <v/>
      </c>
      <c r="D991" s="79">
        <f>IF(OR($A991="",D$23=""),"",IF(COUNTIFS('AFA Rates'!$A$5:$A$1004,$A991,'AFA Rates'!$B$5:$B$1004,D$23,'AFA Rates'!$O$5:$O$1004,"&lt;&gt;Expired")&gt;0,"✓",IF(COUNTIFS('AFA Rates'!$A$5:$A$1004,$A991,'AFA Rates'!$B$5:$B$1004,D$23)&gt;0,"Exp","")))</f>
        <v/>
      </c>
      <c r="E991" s="79">
        <f>IF(OR($A991="",E$23=""),"",IF(COUNTIFS('AFA Rates'!$A$5:$A$1004,$A991,'AFA Rates'!$B$5:$B$1004,E$23,'AFA Rates'!$O$5:$O$1004,"&lt;&gt;Expired")&gt;0,"✓",IF(COUNTIFS('AFA Rates'!$A$5:$A$1004,$A991,'AFA Rates'!$B$5:$B$1004,E$23)&gt;0,"Exp","")))</f>
        <v/>
      </c>
      <c r="F991" s="79">
        <f>IF(OR($A991="",F$23=""),"",IF(COUNTIFS('AFA Rates'!$A$5:$A$1004,$A991,'AFA Rates'!$B$5:$B$1004,F$23,'AFA Rates'!$O$5:$O$1004,"&lt;&gt;Expired")&gt;0,"✓",IF(COUNTIFS('AFA Rates'!$A$5:$A$1004,$A991,'AFA Rates'!$B$5:$B$1004,F$23)&gt;0,"Exp","")))</f>
        <v/>
      </c>
      <c r="G991" s="79">
        <f>IF(OR($A991="",G$23=""),"",IF(COUNTIFS('AFA Rates'!$A$5:$A$1004,$A991,'AFA Rates'!$B$5:$B$1004,G$23,'AFA Rates'!$O$5:$O$1004,"&lt;&gt;Expired")&gt;0,"✓",IF(COUNTIFS('AFA Rates'!$A$5:$A$1004,$A991,'AFA Rates'!$B$5:$B$1004,G$23)&gt;0,"Exp","")))</f>
        <v/>
      </c>
      <c r="H991" s="79">
        <f>IF(OR($A991="",H$23=""),"",IF(COUNTIFS('AFA Rates'!$A$5:$A$1004,$A991,'AFA Rates'!$B$5:$B$1004,H$23,'AFA Rates'!$O$5:$O$1004,"&lt;&gt;Expired")&gt;0,"✓",IF(COUNTIFS('AFA Rates'!$A$5:$A$1004,$A991,'AFA Rates'!$B$5:$B$1004,H$23)&gt;0,"Exp","")))</f>
        <v/>
      </c>
      <c r="I991" s="79">
        <f>IF(OR($A991="",I$23=""),"",IF(COUNTIFS('AFA Rates'!$A$5:$A$1004,$A991,'AFA Rates'!$B$5:$B$1004,I$23,'AFA Rates'!$O$5:$O$1004,"&lt;&gt;Expired")&gt;0,"✓",IF(COUNTIFS('AFA Rates'!$A$5:$A$1004,$A991,'AFA Rates'!$B$5:$B$1004,I$23)&gt;0,"Exp","")))</f>
        <v/>
      </c>
      <c r="J991" s="79">
        <f>IF(OR($A991="",J$23=""),"",IF(COUNTIFS('AFA Rates'!$A$5:$A$1004,$A991,'AFA Rates'!$B$5:$B$1004,J$23,'AFA Rates'!$O$5:$O$1004,"&lt;&gt;Expired")&gt;0,"✓",IF(COUNTIFS('AFA Rates'!$A$5:$A$1004,$A991,'AFA Rates'!$B$5:$B$1004,J$23)&gt;0,"Exp","")))</f>
        <v/>
      </c>
      <c r="K991" s="79">
        <f>IF(OR($A991="",K$23=""),"",IF(COUNTIFS('AFA Rates'!$A$5:$A$1004,$A991,'AFA Rates'!$B$5:$B$1004,K$23,'AFA Rates'!$O$5:$O$1004,"&lt;&gt;Expired")&gt;0,"✓",IF(COUNTIFS('AFA Rates'!$A$5:$A$1004,$A991,'AFA Rates'!$B$5:$B$1004,K$23)&gt;0,"Exp","")))</f>
        <v/>
      </c>
      <c r="L991" s="79">
        <f>IF(OR($A991="",L$23=""),"",IF(COUNTIFS('AFA Rates'!$A$5:$A$1004,$A991,'AFA Rates'!$B$5:$B$1004,L$23,'AFA Rates'!$O$5:$O$1004,"&lt;&gt;Expired")&gt;0,"✓",IF(COUNTIFS('AFA Rates'!$A$5:$A$1004,$A991,'AFA Rates'!$B$5:$B$1004,L$23)&gt;0,"Exp","")))</f>
        <v/>
      </c>
      <c r="M991" s="79">
        <f>IF(OR($A991="",M$23=""),"",IF(COUNTIFS('AFA Rates'!$A$5:$A$1004,$A991,'AFA Rates'!$B$5:$B$1004,M$23,'AFA Rates'!$O$5:$O$1004,"&lt;&gt;Expired")&gt;0,"✓",IF(COUNTIFS('AFA Rates'!$A$5:$A$1004,$A991,'AFA Rates'!$B$5:$B$1004,M$23)&gt;0,"Exp","")))</f>
        <v/>
      </c>
    </row>
    <row r="992">
      <c r="A992" s="78">
        <f>IFERROR(INDEX(Firms!$A$5:$A$1004,MATCH(969,Firms!$V$5:$V$1004,0)),"")</f>
        <v/>
      </c>
      <c r="B992" s="79">
        <f>IF($A992="","",INDEX(Firms!$B$5:$B$1004,MATCH(969,Firms!$V$5:$V$1004,0)))</f>
        <v/>
      </c>
      <c r="C992" s="79">
        <f>IF($A992="","",COUNTIFS('AFA Rates'!$A$5:$A$1004,$A992,'AFA Rates'!$O$5:$O$1004,"&lt;&gt;Expired"))</f>
        <v/>
      </c>
      <c r="D992" s="79">
        <f>IF(OR($A992="",D$23=""),"",IF(COUNTIFS('AFA Rates'!$A$5:$A$1004,$A992,'AFA Rates'!$B$5:$B$1004,D$23,'AFA Rates'!$O$5:$O$1004,"&lt;&gt;Expired")&gt;0,"✓",IF(COUNTIFS('AFA Rates'!$A$5:$A$1004,$A992,'AFA Rates'!$B$5:$B$1004,D$23)&gt;0,"Exp","")))</f>
        <v/>
      </c>
      <c r="E992" s="79">
        <f>IF(OR($A992="",E$23=""),"",IF(COUNTIFS('AFA Rates'!$A$5:$A$1004,$A992,'AFA Rates'!$B$5:$B$1004,E$23,'AFA Rates'!$O$5:$O$1004,"&lt;&gt;Expired")&gt;0,"✓",IF(COUNTIFS('AFA Rates'!$A$5:$A$1004,$A992,'AFA Rates'!$B$5:$B$1004,E$23)&gt;0,"Exp","")))</f>
        <v/>
      </c>
      <c r="F992" s="79">
        <f>IF(OR($A992="",F$23=""),"",IF(COUNTIFS('AFA Rates'!$A$5:$A$1004,$A992,'AFA Rates'!$B$5:$B$1004,F$23,'AFA Rates'!$O$5:$O$1004,"&lt;&gt;Expired")&gt;0,"✓",IF(COUNTIFS('AFA Rates'!$A$5:$A$1004,$A992,'AFA Rates'!$B$5:$B$1004,F$23)&gt;0,"Exp","")))</f>
        <v/>
      </c>
      <c r="G992" s="79">
        <f>IF(OR($A992="",G$23=""),"",IF(COUNTIFS('AFA Rates'!$A$5:$A$1004,$A992,'AFA Rates'!$B$5:$B$1004,G$23,'AFA Rates'!$O$5:$O$1004,"&lt;&gt;Expired")&gt;0,"✓",IF(COUNTIFS('AFA Rates'!$A$5:$A$1004,$A992,'AFA Rates'!$B$5:$B$1004,G$23)&gt;0,"Exp","")))</f>
        <v/>
      </c>
      <c r="H992" s="79">
        <f>IF(OR($A992="",H$23=""),"",IF(COUNTIFS('AFA Rates'!$A$5:$A$1004,$A992,'AFA Rates'!$B$5:$B$1004,H$23,'AFA Rates'!$O$5:$O$1004,"&lt;&gt;Expired")&gt;0,"✓",IF(COUNTIFS('AFA Rates'!$A$5:$A$1004,$A992,'AFA Rates'!$B$5:$B$1004,H$23)&gt;0,"Exp","")))</f>
        <v/>
      </c>
      <c r="I992" s="79">
        <f>IF(OR($A992="",I$23=""),"",IF(COUNTIFS('AFA Rates'!$A$5:$A$1004,$A992,'AFA Rates'!$B$5:$B$1004,I$23,'AFA Rates'!$O$5:$O$1004,"&lt;&gt;Expired")&gt;0,"✓",IF(COUNTIFS('AFA Rates'!$A$5:$A$1004,$A992,'AFA Rates'!$B$5:$B$1004,I$23)&gt;0,"Exp","")))</f>
        <v/>
      </c>
      <c r="J992" s="79">
        <f>IF(OR($A992="",J$23=""),"",IF(COUNTIFS('AFA Rates'!$A$5:$A$1004,$A992,'AFA Rates'!$B$5:$B$1004,J$23,'AFA Rates'!$O$5:$O$1004,"&lt;&gt;Expired")&gt;0,"✓",IF(COUNTIFS('AFA Rates'!$A$5:$A$1004,$A992,'AFA Rates'!$B$5:$B$1004,J$23)&gt;0,"Exp","")))</f>
        <v/>
      </c>
      <c r="K992" s="79">
        <f>IF(OR($A992="",K$23=""),"",IF(COUNTIFS('AFA Rates'!$A$5:$A$1004,$A992,'AFA Rates'!$B$5:$B$1004,K$23,'AFA Rates'!$O$5:$O$1004,"&lt;&gt;Expired")&gt;0,"✓",IF(COUNTIFS('AFA Rates'!$A$5:$A$1004,$A992,'AFA Rates'!$B$5:$B$1004,K$23)&gt;0,"Exp","")))</f>
        <v/>
      </c>
      <c r="L992" s="79">
        <f>IF(OR($A992="",L$23=""),"",IF(COUNTIFS('AFA Rates'!$A$5:$A$1004,$A992,'AFA Rates'!$B$5:$B$1004,L$23,'AFA Rates'!$O$5:$O$1004,"&lt;&gt;Expired")&gt;0,"✓",IF(COUNTIFS('AFA Rates'!$A$5:$A$1004,$A992,'AFA Rates'!$B$5:$B$1004,L$23)&gt;0,"Exp","")))</f>
        <v/>
      </c>
      <c r="M992" s="79">
        <f>IF(OR($A992="",M$23=""),"",IF(COUNTIFS('AFA Rates'!$A$5:$A$1004,$A992,'AFA Rates'!$B$5:$B$1004,M$23,'AFA Rates'!$O$5:$O$1004,"&lt;&gt;Expired")&gt;0,"✓",IF(COUNTIFS('AFA Rates'!$A$5:$A$1004,$A992,'AFA Rates'!$B$5:$B$1004,M$23)&gt;0,"Exp","")))</f>
        <v/>
      </c>
    </row>
    <row r="993">
      <c r="A993" s="78">
        <f>IFERROR(INDEX(Firms!$A$5:$A$1004,MATCH(970,Firms!$V$5:$V$1004,0)),"")</f>
        <v/>
      </c>
      <c r="B993" s="79">
        <f>IF($A993="","",INDEX(Firms!$B$5:$B$1004,MATCH(970,Firms!$V$5:$V$1004,0)))</f>
        <v/>
      </c>
      <c r="C993" s="79">
        <f>IF($A993="","",COUNTIFS('AFA Rates'!$A$5:$A$1004,$A993,'AFA Rates'!$O$5:$O$1004,"&lt;&gt;Expired"))</f>
        <v/>
      </c>
      <c r="D993" s="79">
        <f>IF(OR($A993="",D$23=""),"",IF(COUNTIFS('AFA Rates'!$A$5:$A$1004,$A993,'AFA Rates'!$B$5:$B$1004,D$23,'AFA Rates'!$O$5:$O$1004,"&lt;&gt;Expired")&gt;0,"✓",IF(COUNTIFS('AFA Rates'!$A$5:$A$1004,$A993,'AFA Rates'!$B$5:$B$1004,D$23)&gt;0,"Exp","")))</f>
        <v/>
      </c>
      <c r="E993" s="79">
        <f>IF(OR($A993="",E$23=""),"",IF(COUNTIFS('AFA Rates'!$A$5:$A$1004,$A993,'AFA Rates'!$B$5:$B$1004,E$23,'AFA Rates'!$O$5:$O$1004,"&lt;&gt;Expired")&gt;0,"✓",IF(COUNTIFS('AFA Rates'!$A$5:$A$1004,$A993,'AFA Rates'!$B$5:$B$1004,E$23)&gt;0,"Exp","")))</f>
        <v/>
      </c>
      <c r="F993" s="79">
        <f>IF(OR($A993="",F$23=""),"",IF(COUNTIFS('AFA Rates'!$A$5:$A$1004,$A993,'AFA Rates'!$B$5:$B$1004,F$23,'AFA Rates'!$O$5:$O$1004,"&lt;&gt;Expired")&gt;0,"✓",IF(COUNTIFS('AFA Rates'!$A$5:$A$1004,$A993,'AFA Rates'!$B$5:$B$1004,F$23)&gt;0,"Exp","")))</f>
        <v/>
      </c>
      <c r="G993" s="79">
        <f>IF(OR($A993="",G$23=""),"",IF(COUNTIFS('AFA Rates'!$A$5:$A$1004,$A993,'AFA Rates'!$B$5:$B$1004,G$23,'AFA Rates'!$O$5:$O$1004,"&lt;&gt;Expired")&gt;0,"✓",IF(COUNTIFS('AFA Rates'!$A$5:$A$1004,$A993,'AFA Rates'!$B$5:$B$1004,G$23)&gt;0,"Exp","")))</f>
        <v/>
      </c>
      <c r="H993" s="79">
        <f>IF(OR($A993="",H$23=""),"",IF(COUNTIFS('AFA Rates'!$A$5:$A$1004,$A993,'AFA Rates'!$B$5:$B$1004,H$23,'AFA Rates'!$O$5:$O$1004,"&lt;&gt;Expired")&gt;0,"✓",IF(COUNTIFS('AFA Rates'!$A$5:$A$1004,$A993,'AFA Rates'!$B$5:$B$1004,H$23)&gt;0,"Exp","")))</f>
        <v/>
      </c>
      <c r="I993" s="79">
        <f>IF(OR($A993="",I$23=""),"",IF(COUNTIFS('AFA Rates'!$A$5:$A$1004,$A993,'AFA Rates'!$B$5:$B$1004,I$23,'AFA Rates'!$O$5:$O$1004,"&lt;&gt;Expired")&gt;0,"✓",IF(COUNTIFS('AFA Rates'!$A$5:$A$1004,$A993,'AFA Rates'!$B$5:$B$1004,I$23)&gt;0,"Exp","")))</f>
        <v/>
      </c>
      <c r="J993" s="79">
        <f>IF(OR($A993="",J$23=""),"",IF(COUNTIFS('AFA Rates'!$A$5:$A$1004,$A993,'AFA Rates'!$B$5:$B$1004,J$23,'AFA Rates'!$O$5:$O$1004,"&lt;&gt;Expired")&gt;0,"✓",IF(COUNTIFS('AFA Rates'!$A$5:$A$1004,$A993,'AFA Rates'!$B$5:$B$1004,J$23)&gt;0,"Exp","")))</f>
        <v/>
      </c>
      <c r="K993" s="79">
        <f>IF(OR($A993="",K$23=""),"",IF(COUNTIFS('AFA Rates'!$A$5:$A$1004,$A993,'AFA Rates'!$B$5:$B$1004,K$23,'AFA Rates'!$O$5:$O$1004,"&lt;&gt;Expired")&gt;0,"✓",IF(COUNTIFS('AFA Rates'!$A$5:$A$1004,$A993,'AFA Rates'!$B$5:$B$1004,K$23)&gt;0,"Exp","")))</f>
        <v/>
      </c>
      <c r="L993" s="79">
        <f>IF(OR($A993="",L$23=""),"",IF(COUNTIFS('AFA Rates'!$A$5:$A$1004,$A993,'AFA Rates'!$B$5:$B$1004,L$23,'AFA Rates'!$O$5:$O$1004,"&lt;&gt;Expired")&gt;0,"✓",IF(COUNTIFS('AFA Rates'!$A$5:$A$1004,$A993,'AFA Rates'!$B$5:$B$1004,L$23)&gt;0,"Exp","")))</f>
        <v/>
      </c>
      <c r="M993" s="79">
        <f>IF(OR($A993="",M$23=""),"",IF(COUNTIFS('AFA Rates'!$A$5:$A$1004,$A993,'AFA Rates'!$B$5:$B$1004,M$23,'AFA Rates'!$O$5:$O$1004,"&lt;&gt;Expired")&gt;0,"✓",IF(COUNTIFS('AFA Rates'!$A$5:$A$1004,$A993,'AFA Rates'!$B$5:$B$1004,M$23)&gt;0,"Exp","")))</f>
        <v/>
      </c>
    </row>
    <row r="994">
      <c r="A994" s="78">
        <f>IFERROR(INDEX(Firms!$A$5:$A$1004,MATCH(971,Firms!$V$5:$V$1004,0)),"")</f>
        <v/>
      </c>
      <c r="B994" s="79">
        <f>IF($A994="","",INDEX(Firms!$B$5:$B$1004,MATCH(971,Firms!$V$5:$V$1004,0)))</f>
        <v/>
      </c>
      <c r="C994" s="79">
        <f>IF($A994="","",COUNTIFS('AFA Rates'!$A$5:$A$1004,$A994,'AFA Rates'!$O$5:$O$1004,"&lt;&gt;Expired"))</f>
        <v/>
      </c>
      <c r="D994" s="79">
        <f>IF(OR($A994="",D$23=""),"",IF(COUNTIFS('AFA Rates'!$A$5:$A$1004,$A994,'AFA Rates'!$B$5:$B$1004,D$23,'AFA Rates'!$O$5:$O$1004,"&lt;&gt;Expired")&gt;0,"✓",IF(COUNTIFS('AFA Rates'!$A$5:$A$1004,$A994,'AFA Rates'!$B$5:$B$1004,D$23)&gt;0,"Exp","")))</f>
        <v/>
      </c>
      <c r="E994" s="79">
        <f>IF(OR($A994="",E$23=""),"",IF(COUNTIFS('AFA Rates'!$A$5:$A$1004,$A994,'AFA Rates'!$B$5:$B$1004,E$23,'AFA Rates'!$O$5:$O$1004,"&lt;&gt;Expired")&gt;0,"✓",IF(COUNTIFS('AFA Rates'!$A$5:$A$1004,$A994,'AFA Rates'!$B$5:$B$1004,E$23)&gt;0,"Exp","")))</f>
        <v/>
      </c>
      <c r="F994" s="79">
        <f>IF(OR($A994="",F$23=""),"",IF(COUNTIFS('AFA Rates'!$A$5:$A$1004,$A994,'AFA Rates'!$B$5:$B$1004,F$23,'AFA Rates'!$O$5:$O$1004,"&lt;&gt;Expired")&gt;0,"✓",IF(COUNTIFS('AFA Rates'!$A$5:$A$1004,$A994,'AFA Rates'!$B$5:$B$1004,F$23)&gt;0,"Exp","")))</f>
        <v/>
      </c>
      <c r="G994" s="79">
        <f>IF(OR($A994="",G$23=""),"",IF(COUNTIFS('AFA Rates'!$A$5:$A$1004,$A994,'AFA Rates'!$B$5:$B$1004,G$23,'AFA Rates'!$O$5:$O$1004,"&lt;&gt;Expired")&gt;0,"✓",IF(COUNTIFS('AFA Rates'!$A$5:$A$1004,$A994,'AFA Rates'!$B$5:$B$1004,G$23)&gt;0,"Exp","")))</f>
        <v/>
      </c>
      <c r="H994" s="79">
        <f>IF(OR($A994="",H$23=""),"",IF(COUNTIFS('AFA Rates'!$A$5:$A$1004,$A994,'AFA Rates'!$B$5:$B$1004,H$23,'AFA Rates'!$O$5:$O$1004,"&lt;&gt;Expired")&gt;0,"✓",IF(COUNTIFS('AFA Rates'!$A$5:$A$1004,$A994,'AFA Rates'!$B$5:$B$1004,H$23)&gt;0,"Exp","")))</f>
        <v/>
      </c>
      <c r="I994" s="79">
        <f>IF(OR($A994="",I$23=""),"",IF(COUNTIFS('AFA Rates'!$A$5:$A$1004,$A994,'AFA Rates'!$B$5:$B$1004,I$23,'AFA Rates'!$O$5:$O$1004,"&lt;&gt;Expired")&gt;0,"✓",IF(COUNTIFS('AFA Rates'!$A$5:$A$1004,$A994,'AFA Rates'!$B$5:$B$1004,I$23)&gt;0,"Exp","")))</f>
        <v/>
      </c>
      <c r="J994" s="79">
        <f>IF(OR($A994="",J$23=""),"",IF(COUNTIFS('AFA Rates'!$A$5:$A$1004,$A994,'AFA Rates'!$B$5:$B$1004,J$23,'AFA Rates'!$O$5:$O$1004,"&lt;&gt;Expired")&gt;0,"✓",IF(COUNTIFS('AFA Rates'!$A$5:$A$1004,$A994,'AFA Rates'!$B$5:$B$1004,J$23)&gt;0,"Exp","")))</f>
        <v/>
      </c>
      <c r="K994" s="79">
        <f>IF(OR($A994="",K$23=""),"",IF(COUNTIFS('AFA Rates'!$A$5:$A$1004,$A994,'AFA Rates'!$B$5:$B$1004,K$23,'AFA Rates'!$O$5:$O$1004,"&lt;&gt;Expired")&gt;0,"✓",IF(COUNTIFS('AFA Rates'!$A$5:$A$1004,$A994,'AFA Rates'!$B$5:$B$1004,K$23)&gt;0,"Exp","")))</f>
        <v/>
      </c>
      <c r="L994" s="79">
        <f>IF(OR($A994="",L$23=""),"",IF(COUNTIFS('AFA Rates'!$A$5:$A$1004,$A994,'AFA Rates'!$B$5:$B$1004,L$23,'AFA Rates'!$O$5:$O$1004,"&lt;&gt;Expired")&gt;0,"✓",IF(COUNTIFS('AFA Rates'!$A$5:$A$1004,$A994,'AFA Rates'!$B$5:$B$1004,L$23)&gt;0,"Exp","")))</f>
        <v/>
      </c>
      <c r="M994" s="79">
        <f>IF(OR($A994="",M$23=""),"",IF(COUNTIFS('AFA Rates'!$A$5:$A$1004,$A994,'AFA Rates'!$B$5:$B$1004,M$23,'AFA Rates'!$O$5:$O$1004,"&lt;&gt;Expired")&gt;0,"✓",IF(COUNTIFS('AFA Rates'!$A$5:$A$1004,$A994,'AFA Rates'!$B$5:$B$1004,M$23)&gt;0,"Exp","")))</f>
        <v/>
      </c>
    </row>
    <row r="995">
      <c r="A995" s="78">
        <f>IFERROR(INDEX(Firms!$A$5:$A$1004,MATCH(972,Firms!$V$5:$V$1004,0)),"")</f>
        <v/>
      </c>
      <c r="B995" s="79">
        <f>IF($A995="","",INDEX(Firms!$B$5:$B$1004,MATCH(972,Firms!$V$5:$V$1004,0)))</f>
        <v/>
      </c>
      <c r="C995" s="79">
        <f>IF($A995="","",COUNTIFS('AFA Rates'!$A$5:$A$1004,$A995,'AFA Rates'!$O$5:$O$1004,"&lt;&gt;Expired"))</f>
        <v/>
      </c>
      <c r="D995" s="79">
        <f>IF(OR($A995="",D$23=""),"",IF(COUNTIFS('AFA Rates'!$A$5:$A$1004,$A995,'AFA Rates'!$B$5:$B$1004,D$23,'AFA Rates'!$O$5:$O$1004,"&lt;&gt;Expired")&gt;0,"✓",IF(COUNTIFS('AFA Rates'!$A$5:$A$1004,$A995,'AFA Rates'!$B$5:$B$1004,D$23)&gt;0,"Exp","")))</f>
        <v/>
      </c>
      <c r="E995" s="79">
        <f>IF(OR($A995="",E$23=""),"",IF(COUNTIFS('AFA Rates'!$A$5:$A$1004,$A995,'AFA Rates'!$B$5:$B$1004,E$23,'AFA Rates'!$O$5:$O$1004,"&lt;&gt;Expired")&gt;0,"✓",IF(COUNTIFS('AFA Rates'!$A$5:$A$1004,$A995,'AFA Rates'!$B$5:$B$1004,E$23)&gt;0,"Exp","")))</f>
        <v/>
      </c>
      <c r="F995" s="79">
        <f>IF(OR($A995="",F$23=""),"",IF(COUNTIFS('AFA Rates'!$A$5:$A$1004,$A995,'AFA Rates'!$B$5:$B$1004,F$23,'AFA Rates'!$O$5:$O$1004,"&lt;&gt;Expired")&gt;0,"✓",IF(COUNTIFS('AFA Rates'!$A$5:$A$1004,$A995,'AFA Rates'!$B$5:$B$1004,F$23)&gt;0,"Exp","")))</f>
        <v/>
      </c>
      <c r="G995" s="79">
        <f>IF(OR($A995="",G$23=""),"",IF(COUNTIFS('AFA Rates'!$A$5:$A$1004,$A995,'AFA Rates'!$B$5:$B$1004,G$23,'AFA Rates'!$O$5:$O$1004,"&lt;&gt;Expired")&gt;0,"✓",IF(COUNTIFS('AFA Rates'!$A$5:$A$1004,$A995,'AFA Rates'!$B$5:$B$1004,G$23)&gt;0,"Exp","")))</f>
        <v/>
      </c>
      <c r="H995" s="79">
        <f>IF(OR($A995="",H$23=""),"",IF(COUNTIFS('AFA Rates'!$A$5:$A$1004,$A995,'AFA Rates'!$B$5:$B$1004,H$23,'AFA Rates'!$O$5:$O$1004,"&lt;&gt;Expired")&gt;0,"✓",IF(COUNTIFS('AFA Rates'!$A$5:$A$1004,$A995,'AFA Rates'!$B$5:$B$1004,H$23)&gt;0,"Exp","")))</f>
        <v/>
      </c>
      <c r="I995" s="79">
        <f>IF(OR($A995="",I$23=""),"",IF(COUNTIFS('AFA Rates'!$A$5:$A$1004,$A995,'AFA Rates'!$B$5:$B$1004,I$23,'AFA Rates'!$O$5:$O$1004,"&lt;&gt;Expired")&gt;0,"✓",IF(COUNTIFS('AFA Rates'!$A$5:$A$1004,$A995,'AFA Rates'!$B$5:$B$1004,I$23)&gt;0,"Exp","")))</f>
        <v/>
      </c>
      <c r="J995" s="79">
        <f>IF(OR($A995="",J$23=""),"",IF(COUNTIFS('AFA Rates'!$A$5:$A$1004,$A995,'AFA Rates'!$B$5:$B$1004,J$23,'AFA Rates'!$O$5:$O$1004,"&lt;&gt;Expired")&gt;0,"✓",IF(COUNTIFS('AFA Rates'!$A$5:$A$1004,$A995,'AFA Rates'!$B$5:$B$1004,J$23)&gt;0,"Exp","")))</f>
        <v/>
      </c>
      <c r="K995" s="79">
        <f>IF(OR($A995="",K$23=""),"",IF(COUNTIFS('AFA Rates'!$A$5:$A$1004,$A995,'AFA Rates'!$B$5:$B$1004,K$23,'AFA Rates'!$O$5:$O$1004,"&lt;&gt;Expired")&gt;0,"✓",IF(COUNTIFS('AFA Rates'!$A$5:$A$1004,$A995,'AFA Rates'!$B$5:$B$1004,K$23)&gt;0,"Exp","")))</f>
        <v/>
      </c>
      <c r="L995" s="79">
        <f>IF(OR($A995="",L$23=""),"",IF(COUNTIFS('AFA Rates'!$A$5:$A$1004,$A995,'AFA Rates'!$B$5:$B$1004,L$23,'AFA Rates'!$O$5:$O$1004,"&lt;&gt;Expired")&gt;0,"✓",IF(COUNTIFS('AFA Rates'!$A$5:$A$1004,$A995,'AFA Rates'!$B$5:$B$1004,L$23)&gt;0,"Exp","")))</f>
        <v/>
      </c>
      <c r="M995" s="79">
        <f>IF(OR($A995="",M$23=""),"",IF(COUNTIFS('AFA Rates'!$A$5:$A$1004,$A995,'AFA Rates'!$B$5:$B$1004,M$23,'AFA Rates'!$O$5:$O$1004,"&lt;&gt;Expired")&gt;0,"✓",IF(COUNTIFS('AFA Rates'!$A$5:$A$1004,$A995,'AFA Rates'!$B$5:$B$1004,M$23)&gt;0,"Exp","")))</f>
        <v/>
      </c>
    </row>
    <row r="996">
      <c r="A996" s="78">
        <f>IFERROR(INDEX(Firms!$A$5:$A$1004,MATCH(973,Firms!$V$5:$V$1004,0)),"")</f>
        <v/>
      </c>
      <c r="B996" s="79">
        <f>IF($A996="","",INDEX(Firms!$B$5:$B$1004,MATCH(973,Firms!$V$5:$V$1004,0)))</f>
        <v/>
      </c>
      <c r="C996" s="79">
        <f>IF($A996="","",COUNTIFS('AFA Rates'!$A$5:$A$1004,$A996,'AFA Rates'!$O$5:$O$1004,"&lt;&gt;Expired"))</f>
        <v/>
      </c>
      <c r="D996" s="79">
        <f>IF(OR($A996="",D$23=""),"",IF(COUNTIFS('AFA Rates'!$A$5:$A$1004,$A996,'AFA Rates'!$B$5:$B$1004,D$23,'AFA Rates'!$O$5:$O$1004,"&lt;&gt;Expired")&gt;0,"✓",IF(COUNTIFS('AFA Rates'!$A$5:$A$1004,$A996,'AFA Rates'!$B$5:$B$1004,D$23)&gt;0,"Exp","")))</f>
        <v/>
      </c>
      <c r="E996" s="79">
        <f>IF(OR($A996="",E$23=""),"",IF(COUNTIFS('AFA Rates'!$A$5:$A$1004,$A996,'AFA Rates'!$B$5:$B$1004,E$23,'AFA Rates'!$O$5:$O$1004,"&lt;&gt;Expired")&gt;0,"✓",IF(COUNTIFS('AFA Rates'!$A$5:$A$1004,$A996,'AFA Rates'!$B$5:$B$1004,E$23)&gt;0,"Exp","")))</f>
        <v/>
      </c>
      <c r="F996" s="79">
        <f>IF(OR($A996="",F$23=""),"",IF(COUNTIFS('AFA Rates'!$A$5:$A$1004,$A996,'AFA Rates'!$B$5:$B$1004,F$23,'AFA Rates'!$O$5:$O$1004,"&lt;&gt;Expired")&gt;0,"✓",IF(COUNTIFS('AFA Rates'!$A$5:$A$1004,$A996,'AFA Rates'!$B$5:$B$1004,F$23)&gt;0,"Exp","")))</f>
        <v/>
      </c>
      <c r="G996" s="79">
        <f>IF(OR($A996="",G$23=""),"",IF(COUNTIFS('AFA Rates'!$A$5:$A$1004,$A996,'AFA Rates'!$B$5:$B$1004,G$23,'AFA Rates'!$O$5:$O$1004,"&lt;&gt;Expired")&gt;0,"✓",IF(COUNTIFS('AFA Rates'!$A$5:$A$1004,$A996,'AFA Rates'!$B$5:$B$1004,G$23)&gt;0,"Exp","")))</f>
        <v/>
      </c>
      <c r="H996" s="79">
        <f>IF(OR($A996="",H$23=""),"",IF(COUNTIFS('AFA Rates'!$A$5:$A$1004,$A996,'AFA Rates'!$B$5:$B$1004,H$23,'AFA Rates'!$O$5:$O$1004,"&lt;&gt;Expired")&gt;0,"✓",IF(COUNTIFS('AFA Rates'!$A$5:$A$1004,$A996,'AFA Rates'!$B$5:$B$1004,H$23)&gt;0,"Exp","")))</f>
        <v/>
      </c>
      <c r="I996" s="79">
        <f>IF(OR($A996="",I$23=""),"",IF(COUNTIFS('AFA Rates'!$A$5:$A$1004,$A996,'AFA Rates'!$B$5:$B$1004,I$23,'AFA Rates'!$O$5:$O$1004,"&lt;&gt;Expired")&gt;0,"✓",IF(COUNTIFS('AFA Rates'!$A$5:$A$1004,$A996,'AFA Rates'!$B$5:$B$1004,I$23)&gt;0,"Exp","")))</f>
        <v/>
      </c>
      <c r="J996" s="79">
        <f>IF(OR($A996="",J$23=""),"",IF(COUNTIFS('AFA Rates'!$A$5:$A$1004,$A996,'AFA Rates'!$B$5:$B$1004,J$23,'AFA Rates'!$O$5:$O$1004,"&lt;&gt;Expired")&gt;0,"✓",IF(COUNTIFS('AFA Rates'!$A$5:$A$1004,$A996,'AFA Rates'!$B$5:$B$1004,J$23)&gt;0,"Exp","")))</f>
        <v/>
      </c>
      <c r="K996" s="79">
        <f>IF(OR($A996="",K$23=""),"",IF(COUNTIFS('AFA Rates'!$A$5:$A$1004,$A996,'AFA Rates'!$B$5:$B$1004,K$23,'AFA Rates'!$O$5:$O$1004,"&lt;&gt;Expired")&gt;0,"✓",IF(COUNTIFS('AFA Rates'!$A$5:$A$1004,$A996,'AFA Rates'!$B$5:$B$1004,K$23)&gt;0,"Exp","")))</f>
        <v/>
      </c>
      <c r="L996" s="79">
        <f>IF(OR($A996="",L$23=""),"",IF(COUNTIFS('AFA Rates'!$A$5:$A$1004,$A996,'AFA Rates'!$B$5:$B$1004,L$23,'AFA Rates'!$O$5:$O$1004,"&lt;&gt;Expired")&gt;0,"✓",IF(COUNTIFS('AFA Rates'!$A$5:$A$1004,$A996,'AFA Rates'!$B$5:$B$1004,L$23)&gt;0,"Exp","")))</f>
        <v/>
      </c>
      <c r="M996" s="79">
        <f>IF(OR($A996="",M$23=""),"",IF(COUNTIFS('AFA Rates'!$A$5:$A$1004,$A996,'AFA Rates'!$B$5:$B$1004,M$23,'AFA Rates'!$O$5:$O$1004,"&lt;&gt;Expired")&gt;0,"✓",IF(COUNTIFS('AFA Rates'!$A$5:$A$1004,$A996,'AFA Rates'!$B$5:$B$1004,M$23)&gt;0,"Exp","")))</f>
        <v/>
      </c>
    </row>
    <row r="997">
      <c r="A997" s="78">
        <f>IFERROR(INDEX(Firms!$A$5:$A$1004,MATCH(974,Firms!$V$5:$V$1004,0)),"")</f>
        <v/>
      </c>
      <c r="B997" s="79">
        <f>IF($A997="","",INDEX(Firms!$B$5:$B$1004,MATCH(974,Firms!$V$5:$V$1004,0)))</f>
        <v/>
      </c>
      <c r="C997" s="79">
        <f>IF($A997="","",COUNTIFS('AFA Rates'!$A$5:$A$1004,$A997,'AFA Rates'!$O$5:$O$1004,"&lt;&gt;Expired"))</f>
        <v/>
      </c>
      <c r="D997" s="79">
        <f>IF(OR($A997="",D$23=""),"",IF(COUNTIFS('AFA Rates'!$A$5:$A$1004,$A997,'AFA Rates'!$B$5:$B$1004,D$23,'AFA Rates'!$O$5:$O$1004,"&lt;&gt;Expired")&gt;0,"✓",IF(COUNTIFS('AFA Rates'!$A$5:$A$1004,$A997,'AFA Rates'!$B$5:$B$1004,D$23)&gt;0,"Exp","")))</f>
        <v/>
      </c>
      <c r="E997" s="79">
        <f>IF(OR($A997="",E$23=""),"",IF(COUNTIFS('AFA Rates'!$A$5:$A$1004,$A997,'AFA Rates'!$B$5:$B$1004,E$23,'AFA Rates'!$O$5:$O$1004,"&lt;&gt;Expired")&gt;0,"✓",IF(COUNTIFS('AFA Rates'!$A$5:$A$1004,$A997,'AFA Rates'!$B$5:$B$1004,E$23)&gt;0,"Exp","")))</f>
        <v/>
      </c>
      <c r="F997" s="79">
        <f>IF(OR($A997="",F$23=""),"",IF(COUNTIFS('AFA Rates'!$A$5:$A$1004,$A997,'AFA Rates'!$B$5:$B$1004,F$23,'AFA Rates'!$O$5:$O$1004,"&lt;&gt;Expired")&gt;0,"✓",IF(COUNTIFS('AFA Rates'!$A$5:$A$1004,$A997,'AFA Rates'!$B$5:$B$1004,F$23)&gt;0,"Exp","")))</f>
        <v/>
      </c>
      <c r="G997" s="79">
        <f>IF(OR($A997="",G$23=""),"",IF(COUNTIFS('AFA Rates'!$A$5:$A$1004,$A997,'AFA Rates'!$B$5:$B$1004,G$23,'AFA Rates'!$O$5:$O$1004,"&lt;&gt;Expired")&gt;0,"✓",IF(COUNTIFS('AFA Rates'!$A$5:$A$1004,$A997,'AFA Rates'!$B$5:$B$1004,G$23)&gt;0,"Exp","")))</f>
        <v/>
      </c>
      <c r="H997" s="79">
        <f>IF(OR($A997="",H$23=""),"",IF(COUNTIFS('AFA Rates'!$A$5:$A$1004,$A997,'AFA Rates'!$B$5:$B$1004,H$23,'AFA Rates'!$O$5:$O$1004,"&lt;&gt;Expired")&gt;0,"✓",IF(COUNTIFS('AFA Rates'!$A$5:$A$1004,$A997,'AFA Rates'!$B$5:$B$1004,H$23)&gt;0,"Exp","")))</f>
        <v/>
      </c>
      <c r="I997" s="79">
        <f>IF(OR($A997="",I$23=""),"",IF(COUNTIFS('AFA Rates'!$A$5:$A$1004,$A997,'AFA Rates'!$B$5:$B$1004,I$23,'AFA Rates'!$O$5:$O$1004,"&lt;&gt;Expired")&gt;0,"✓",IF(COUNTIFS('AFA Rates'!$A$5:$A$1004,$A997,'AFA Rates'!$B$5:$B$1004,I$23)&gt;0,"Exp","")))</f>
        <v/>
      </c>
      <c r="J997" s="79">
        <f>IF(OR($A997="",J$23=""),"",IF(COUNTIFS('AFA Rates'!$A$5:$A$1004,$A997,'AFA Rates'!$B$5:$B$1004,J$23,'AFA Rates'!$O$5:$O$1004,"&lt;&gt;Expired")&gt;0,"✓",IF(COUNTIFS('AFA Rates'!$A$5:$A$1004,$A997,'AFA Rates'!$B$5:$B$1004,J$23)&gt;0,"Exp","")))</f>
        <v/>
      </c>
      <c r="K997" s="79">
        <f>IF(OR($A997="",K$23=""),"",IF(COUNTIFS('AFA Rates'!$A$5:$A$1004,$A997,'AFA Rates'!$B$5:$B$1004,K$23,'AFA Rates'!$O$5:$O$1004,"&lt;&gt;Expired")&gt;0,"✓",IF(COUNTIFS('AFA Rates'!$A$5:$A$1004,$A997,'AFA Rates'!$B$5:$B$1004,K$23)&gt;0,"Exp","")))</f>
        <v/>
      </c>
      <c r="L997" s="79">
        <f>IF(OR($A997="",L$23=""),"",IF(COUNTIFS('AFA Rates'!$A$5:$A$1004,$A997,'AFA Rates'!$B$5:$B$1004,L$23,'AFA Rates'!$O$5:$O$1004,"&lt;&gt;Expired")&gt;0,"✓",IF(COUNTIFS('AFA Rates'!$A$5:$A$1004,$A997,'AFA Rates'!$B$5:$B$1004,L$23)&gt;0,"Exp","")))</f>
        <v/>
      </c>
      <c r="M997" s="79">
        <f>IF(OR($A997="",M$23=""),"",IF(COUNTIFS('AFA Rates'!$A$5:$A$1004,$A997,'AFA Rates'!$B$5:$B$1004,M$23,'AFA Rates'!$O$5:$O$1004,"&lt;&gt;Expired")&gt;0,"✓",IF(COUNTIFS('AFA Rates'!$A$5:$A$1004,$A997,'AFA Rates'!$B$5:$B$1004,M$23)&gt;0,"Exp","")))</f>
        <v/>
      </c>
    </row>
    <row r="998">
      <c r="A998" s="78">
        <f>IFERROR(INDEX(Firms!$A$5:$A$1004,MATCH(975,Firms!$V$5:$V$1004,0)),"")</f>
        <v/>
      </c>
      <c r="B998" s="79">
        <f>IF($A998="","",INDEX(Firms!$B$5:$B$1004,MATCH(975,Firms!$V$5:$V$1004,0)))</f>
        <v/>
      </c>
      <c r="C998" s="79">
        <f>IF($A998="","",COUNTIFS('AFA Rates'!$A$5:$A$1004,$A998,'AFA Rates'!$O$5:$O$1004,"&lt;&gt;Expired"))</f>
        <v/>
      </c>
      <c r="D998" s="79">
        <f>IF(OR($A998="",D$23=""),"",IF(COUNTIFS('AFA Rates'!$A$5:$A$1004,$A998,'AFA Rates'!$B$5:$B$1004,D$23,'AFA Rates'!$O$5:$O$1004,"&lt;&gt;Expired")&gt;0,"✓",IF(COUNTIFS('AFA Rates'!$A$5:$A$1004,$A998,'AFA Rates'!$B$5:$B$1004,D$23)&gt;0,"Exp","")))</f>
        <v/>
      </c>
      <c r="E998" s="79">
        <f>IF(OR($A998="",E$23=""),"",IF(COUNTIFS('AFA Rates'!$A$5:$A$1004,$A998,'AFA Rates'!$B$5:$B$1004,E$23,'AFA Rates'!$O$5:$O$1004,"&lt;&gt;Expired")&gt;0,"✓",IF(COUNTIFS('AFA Rates'!$A$5:$A$1004,$A998,'AFA Rates'!$B$5:$B$1004,E$23)&gt;0,"Exp","")))</f>
        <v/>
      </c>
      <c r="F998" s="79">
        <f>IF(OR($A998="",F$23=""),"",IF(COUNTIFS('AFA Rates'!$A$5:$A$1004,$A998,'AFA Rates'!$B$5:$B$1004,F$23,'AFA Rates'!$O$5:$O$1004,"&lt;&gt;Expired")&gt;0,"✓",IF(COUNTIFS('AFA Rates'!$A$5:$A$1004,$A998,'AFA Rates'!$B$5:$B$1004,F$23)&gt;0,"Exp","")))</f>
        <v/>
      </c>
      <c r="G998" s="79">
        <f>IF(OR($A998="",G$23=""),"",IF(COUNTIFS('AFA Rates'!$A$5:$A$1004,$A998,'AFA Rates'!$B$5:$B$1004,G$23,'AFA Rates'!$O$5:$O$1004,"&lt;&gt;Expired")&gt;0,"✓",IF(COUNTIFS('AFA Rates'!$A$5:$A$1004,$A998,'AFA Rates'!$B$5:$B$1004,G$23)&gt;0,"Exp","")))</f>
        <v/>
      </c>
      <c r="H998" s="79">
        <f>IF(OR($A998="",H$23=""),"",IF(COUNTIFS('AFA Rates'!$A$5:$A$1004,$A998,'AFA Rates'!$B$5:$B$1004,H$23,'AFA Rates'!$O$5:$O$1004,"&lt;&gt;Expired")&gt;0,"✓",IF(COUNTIFS('AFA Rates'!$A$5:$A$1004,$A998,'AFA Rates'!$B$5:$B$1004,H$23)&gt;0,"Exp","")))</f>
        <v/>
      </c>
      <c r="I998" s="79">
        <f>IF(OR($A998="",I$23=""),"",IF(COUNTIFS('AFA Rates'!$A$5:$A$1004,$A998,'AFA Rates'!$B$5:$B$1004,I$23,'AFA Rates'!$O$5:$O$1004,"&lt;&gt;Expired")&gt;0,"✓",IF(COUNTIFS('AFA Rates'!$A$5:$A$1004,$A998,'AFA Rates'!$B$5:$B$1004,I$23)&gt;0,"Exp","")))</f>
        <v/>
      </c>
      <c r="J998" s="79">
        <f>IF(OR($A998="",J$23=""),"",IF(COUNTIFS('AFA Rates'!$A$5:$A$1004,$A998,'AFA Rates'!$B$5:$B$1004,J$23,'AFA Rates'!$O$5:$O$1004,"&lt;&gt;Expired")&gt;0,"✓",IF(COUNTIFS('AFA Rates'!$A$5:$A$1004,$A998,'AFA Rates'!$B$5:$B$1004,J$23)&gt;0,"Exp","")))</f>
        <v/>
      </c>
      <c r="K998" s="79">
        <f>IF(OR($A998="",K$23=""),"",IF(COUNTIFS('AFA Rates'!$A$5:$A$1004,$A998,'AFA Rates'!$B$5:$B$1004,K$23,'AFA Rates'!$O$5:$O$1004,"&lt;&gt;Expired")&gt;0,"✓",IF(COUNTIFS('AFA Rates'!$A$5:$A$1004,$A998,'AFA Rates'!$B$5:$B$1004,K$23)&gt;0,"Exp","")))</f>
        <v/>
      </c>
      <c r="L998" s="79">
        <f>IF(OR($A998="",L$23=""),"",IF(COUNTIFS('AFA Rates'!$A$5:$A$1004,$A998,'AFA Rates'!$B$5:$B$1004,L$23,'AFA Rates'!$O$5:$O$1004,"&lt;&gt;Expired")&gt;0,"✓",IF(COUNTIFS('AFA Rates'!$A$5:$A$1004,$A998,'AFA Rates'!$B$5:$B$1004,L$23)&gt;0,"Exp","")))</f>
        <v/>
      </c>
      <c r="M998" s="79">
        <f>IF(OR($A998="",M$23=""),"",IF(COUNTIFS('AFA Rates'!$A$5:$A$1004,$A998,'AFA Rates'!$B$5:$B$1004,M$23,'AFA Rates'!$O$5:$O$1004,"&lt;&gt;Expired")&gt;0,"✓",IF(COUNTIFS('AFA Rates'!$A$5:$A$1004,$A998,'AFA Rates'!$B$5:$B$1004,M$23)&gt;0,"Exp","")))</f>
        <v/>
      </c>
    </row>
    <row r="999">
      <c r="A999" s="78">
        <f>IFERROR(INDEX(Firms!$A$5:$A$1004,MATCH(976,Firms!$V$5:$V$1004,0)),"")</f>
        <v/>
      </c>
      <c r="B999" s="79">
        <f>IF($A999="","",INDEX(Firms!$B$5:$B$1004,MATCH(976,Firms!$V$5:$V$1004,0)))</f>
        <v/>
      </c>
      <c r="C999" s="79">
        <f>IF($A999="","",COUNTIFS('AFA Rates'!$A$5:$A$1004,$A999,'AFA Rates'!$O$5:$O$1004,"&lt;&gt;Expired"))</f>
        <v/>
      </c>
      <c r="D999" s="79">
        <f>IF(OR($A999="",D$23=""),"",IF(COUNTIFS('AFA Rates'!$A$5:$A$1004,$A999,'AFA Rates'!$B$5:$B$1004,D$23,'AFA Rates'!$O$5:$O$1004,"&lt;&gt;Expired")&gt;0,"✓",IF(COUNTIFS('AFA Rates'!$A$5:$A$1004,$A999,'AFA Rates'!$B$5:$B$1004,D$23)&gt;0,"Exp","")))</f>
        <v/>
      </c>
      <c r="E999" s="79">
        <f>IF(OR($A999="",E$23=""),"",IF(COUNTIFS('AFA Rates'!$A$5:$A$1004,$A999,'AFA Rates'!$B$5:$B$1004,E$23,'AFA Rates'!$O$5:$O$1004,"&lt;&gt;Expired")&gt;0,"✓",IF(COUNTIFS('AFA Rates'!$A$5:$A$1004,$A999,'AFA Rates'!$B$5:$B$1004,E$23)&gt;0,"Exp","")))</f>
        <v/>
      </c>
      <c r="F999" s="79">
        <f>IF(OR($A999="",F$23=""),"",IF(COUNTIFS('AFA Rates'!$A$5:$A$1004,$A999,'AFA Rates'!$B$5:$B$1004,F$23,'AFA Rates'!$O$5:$O$1004,"&lt;&gt;Expired")&gt;0,"✓",IF(COUNTIFS('AFA Rates'!$A$5:$A$1004,$A999,'AFA Rates'!$B$5:$B$1004,F$23)&gt;0,"Exp","")))</f>
        <v/>
      </c>
      <c r="G999" s="79">
        <f>IF(OR($A999="",G$23=""),"",IF(COUNTIFS('AFA Rates'!$A$5:$A$1004,$A999,'AFA Rates'!$B$5:$B$1004,G$23,'AFA Rates'!$O$5:$O$1004,"&lt;&gt;Expired")&gt;0,"✓",IF(COUNTIFS('AFA Rates'!$A$5:$A$1004,$A999,'AFA Rates'!$B$5:$B$1004,G$23)&gt;0,"Exp","")))</f>
        <v/>
      </c>
      <c r="H999" s="79">
        <f>IF(OR($A999="",H$23=""),"",IF(COUNTIFS('AFA Rates'!$A$5:$A$1004,$A999,'AFA Rates'!$B$5:$B$1004,H$23,'AFA Rates'!$O$5:$O$1004,"&lt;&gt;Expired")&gt;0,"✓",IF(COUNTIFS('AFA Rates'!$A$5:$A$1004,$A999,'AFA Rates'!$B$5:$B$1004,H$23)&gt;0,"Exp","")))</f>
        <v/>
      </c>
      <c r="I999" s="79">
        <f>IF(OR($A999="",I$23=""),"",IF(COUNTIFS('AFA Rates'!$A$5:$A$1004,$A999,'AFA Rates'!$B$5:$B$1004,I$23,'AFA Rates'!$O$5:$O$1004,"&lt;&gt;Expired")&gt;0,"✓",IF(COUNTIFS('AFA Rates'!$A$5:$A$1004,$A999,'AFA Rates'!$B$5:$B$1004,I$23)&gt;0,"Exp","")))</f>
        <v/>
      </c>
      <c r="J999" s="79">
        <f>IF(OR($A999="",J$23=""),"",IF(COUNTIFS('AFA Rates'!$A$5:$A$1004,$A999,'AFA Rates'!$B$5:$B$1004,J$23,'AFA Rates'!$O$5:$O$1004,"&lt;&gt;Expired")&gt;0,"✓",IF(COUNTIFS('AFA Rates'!$A$5:$A$1004,$A999,'AFA Rates'!$B$5:$B$1004,J$23)&gt;0,"Exp","")))</f>
        <v/>
      </c>
      <c r="K999" s="79">
        <f>IF(OR($A999="",K$23=""),"",IF(COUNTIFS('AFA Rates'!$A$5:$A$1004,$A999,'AFA Rates'!$B$5:$B$1004,K$23,'AFA Rates'!$O$5:$O$1004,"&lt;&gt;Expired")&gt;0,"✓",IF(COUNTIFS('AFA Rates'!$A$5:$A$1004,$A999,'AFA Rates'!$B$5:$B$1004,K$23)&gt;0,"Exp","")))</f>
        <v/>
      </c>
      <c r="L999" s="79">
        <f>IF(OR($A999="",L$23=""),"",IF(COUNTIFS('AFA Rates'!$A$5:$A$1004,$A999,'AFA Rates'!$B$5:$B$1004,L$23,'AFA Rates'!$O$5:$O$1004,"&lt;&gt;Expired")&gt;0,"✓",IF(COUNTIFS('AFA Rates'!$A$5:$A$1004,$A999,'AFA Rates'!$B$5:$B$1004,L$23)&gt;0,"Exp","")))</f>
        <v/>
      </c>
      <c r="M999" s="79">
        <f>IF(OR($A999="",M$23=""),"",IF(COUNTIFS('AFA Rates'!$A$5:$A$1004,$A999,'AFA Rates'!$B$5:$B$1004,M$23,'AFA Rates'!$O$5:$O$1004,"&lt;&gt;Expired")&gt;0,"✓",IF(COUNTIFS('AFA Rates'!$A$5:$A$1004,$A999,'AFA Rates'!$B$5:$B$1004,M$23)&gt;0,"Exp","")))</f>
        <v/>
      </c>
    </row>
    <row r="1000">
      <c r="A1000" s="78">
        <f>IFERROR(INDEX(Firms!$A$5:$A$1004,MATCH(977,Firms!$V$5:$V$1004,0)),"")</f>
        <v/>
      </c>
      <c r="B1000" s="79">
        <f>IF($A1000="","",INDEX(Firms!$B$5:$B$1004,MATCH(977,Firms!$V$5:$V$1004,0)))</f>
        <v/>
      </c>
      <c r="C1000" s="79">
        <f>IF($A1000="","",COUNTIFS('AFA Rates'!$A$5:$A$1004,$A1000,'AFA Rates'!$O$5:$O$1004,"&lt;&gt;Expired"))</f>
        <v/>
      </c>
      <c r="D1000" s="79">
        <f>IF(OR($A1000="",D$23=""),"",IF(COUNTIFS('AFA Rates'!$A$5:$A$1004,$A1000,'AFA Rates'!$B$5:$B$1004,D$23,'AFA Rates'!$O$5:$O$1004,"&lt;&gt;Expired")&gt;0,"✓",IF(COUNTIFS('AFA Rates'!$A$5:$A$1004,$A1000,'AFA Rates'!$B$5:$B$1004,D$23)&gt;0,"Exp","")))</f>
        <v/>
      </c>
      <c r="E1000" s="79">
        <f>IF(OR($A1000="",E$23=""),"",IF(COUNTIFS('AFA Rates'!$A$5:$A$1004,$A1000,'AFA Rates'!$B$5:$B$1004,E$23,'AFA Rates'!$O$5:$O$1004,"&lt;&gt;Expired")&gt;0,"✓",IF(COUNTIFS('AFA Rates'!$A$5:$A$1004,$A1000,'AFA Rates'!$B$5:$B$1004,E$23)&gt;0,"Exp","")))</f>
        <v/>
      </c>
      <c r="F1000" s="79">
        <f>IF(OR($A1000="",F$23=""),"",IF(COUNTIFS('AFA Rates'!$A$5:$A$1004,$A1000,'AFA Rates'!$B$5:$B$1004,F$23,'AFA Rates'!$O$5:$O$1004,"&lt;&gt;Expired")&gt;0,"✓",IF(COUNTIFS('AFA Rates'!$A$5:$A$1004,$A1000,'AFA Rates'!$B$5:$B$1004,F$23)&gt;0,"Exp","")))</f>
        <v/>
      </c>
      <c r="G1000" s="79">
        <f>IF(OR($A1000="",G$23=""),"",IF(COUNTIFS('AFA Rates'!$A$5:$A$1004,$A1000,'AFA Rates'!$B$5:$B$1004,G$23,'AFA Rates'!$O$5:$O$1004,"&lt;&gt;Expired")&gt;0,"✓",IF(COUNTIFS('AFA Rates'!$A$5:$A$1004,$A1000,'AFA Rates'!$B$5:$B$1004,G$23)&gt;0,"Exp","")))</f>
        <v/>
      </c>
      <c r="H1000" s="79">
        <f>IF(OR($A1000="",H$23=""),"",IF(COUNTIFS('AFA Rates'!$A$5:$A$1004,$A1000,'AFA Rates'!$B$5:$B$1004,H$23,'AFA Rates'!$O$5:$O$1004,"&lt;&gt;Expired")&gt;0,"✓",IF(COUNTIFS('AFA Rates'!$A$5:$A$1004,$A1000,'AFA Rates'!$B$5:$B$1004,H$23)&gt;0,"Exp","")))</f>
        <v/>
      </c>
      <c r="I1000" s="79">
        <f>IF(OR($A1000="",I$23=""),"",IF(COUNTIFS('AFA Rates'!$A$5:$A$1004,$A1000,'AFA Rates'!$B$5:$B$1004,I$23,'AFA Rates'!$O$5:$O$1004,"&lt;&gt;Expired")&gt;0,"✓",IF(COUNTIFS('AFA Rates'!$A$5:$A$1004,$A1000,'AFA Rates'!$B$5:$B$1004,I$23)&gt;0,"Exp","")))</f>
        <v/>
      </c>
      <c r="J1000" s="79">
        <f>IF(OR($A1000="",J$23=""),"",IF(COUNTIFS('AFA Rates'!$A$5:$A$1004,$A1000,'AFA Rates'!$B$5:$B$1004,J$23,'AFA Rates'!$O$5:$O$1004,"&lt;&gt;Expired")&gt;0,"✓",IF(COUNTIFS('AFA Rates'!$A$5:$A$1004,$A1000,'AFA Rates'!$B$5:$B$1004,J$23)&gt;0,"Exp","")))</f>
        <v/>
      </c>
      <c r="K1000" s="79">
        <f>IF(OR($A1000="",K$23=""),"",IF(COUNTIFS('AFA Rates'!$A$5:$A$1004,$A1000,'AFA Rates'!$B$5:$B$1004,K$23,'AFA Rates'!$O$5:$O$1004,"&lt;&gt;Expired")&gt;0,"✓",IF(COUNTIFS('AFA Rates'!$A$5:$A$1004,$A1000,'AFA Rates'!$B$5:$B$1004,K$23)&gt;0,"Exp","")))</f>
        <v/>
      </c>
      <c r="L1000" s="79">
        <f>IF(OR($A1000="",L$23=""),"",IF(COUNTIFS('AFA Rates'!$A$5:$A$1004,$A1000,'AFA Rates'!$B$5:$B$1004,L$23,'AFA Rates'!$O$5:$O$1004,"&lt;&gt;Expired")&gt;0,"✓",IF(COUNTIFS('AFA Rates'!$A$5:$A$1004,$A1000,'AFA Rates'!$B$5:$B$1004,L$23)&gt;0,"Exp","")))</f>
        <v/>
      </c>
      <c r="M1000" s="79">
        <f>IF(OR($A1000="",M$23=""),"",IF(COUNTIFS('AFA Rates'!$A$5:$A$1004,$A1000,'AFA Rates'!$B$5:$B$1004,M$23,'AFA Rates'!$O$5:$O$1004,"&lt;&gt;Expired")&gt;0,"✓",IF(COUNTIFS('AFA Rates'!$A$5:$A$1004,$A1000,'AFA Rates'!$B$5:$B$1004,M$23)&gt;0,"Exp","")))</f>
        <v/>
      </c>
    </row>
    <row r="1001">
      <c r="A1001" s="78">
        <f>IFERROR(INDEX(Firms!$A$5:$A$1004,MATCH(978,Firms!$V$5:$V$1004,0)),"")</f>
        <v/>
      </c>
      <c r="B1001" s="79">
        <f>IF($A1001="","",INDEX(Firms!$B$5:$B$1004,MATCH(978,Firms!$V$5:$V$1004,0)))</f>
        <v/>
      </c>
      <c r="C1001" s="79">
        <f>IF($A1001="","",COUNTIFS('AFA Rates'!$A$5:$A$1004,$A1001,'AFA Rates'!$O$5:$O$1004,"&lt;&gt;Expired"))</f>
        <v/>
      </c>
      <c r="D1001" s="79">
        <f>IF(OR($A1001="",D$23=""),"",IF(COUNTIFS('AFA Rates'!$A$5:$A$1004,$A1001,'AFA Rates'!$B$5:$B$1004,D$23,'AFA Rates'!$O$5:$O$1004,"&lt;&gt;Expired")&gt;0,"✓",IF(COUNTIFS('AFA Rates'!$A$5:$A$1004,$A1001,'AFA Rates'!$B$5:$B$1004,D$23)&gt;0,"Exp","")))</f>
        <v/>
      </c>
      <c r="E1001" s="79">
        <f>IF(OR($A1001="",E$23=""),"",IF(COUNTIFS('AFA Rates'!$A$5:$A$1004,$A1001,'AFA Rates'!$B$5:$B$1004,E$23,'AFA Rates'!$O$5:$O$1004,"&lt;&gt;Expired")&gt;0,"✓",IF(COUNTIFS('AFA Rates'!$A$5:$A$1004,$A1001,'AFA Rates'!$B$5:$B$1004,E$23)&gt;0,"Exp","")))</f>
        <v/>
      </c>
      <c r="F1001" s="79">
        <f>IF(OR($A1001="",F$23=""),"",IF(COUNTIFS('AFA Rates'!$A$5:$A$1004,$A1001,'AFA Rates'!$B$5:$B$1004,F$23,'AFA Rates'!$O$5:$O$1004,"&lt;&gt;Expired")&gt;0,"✓",IF(COUNTIFS('AFA Rates'!$A$5:$A$1004,$A1001,'AFA Rates'!$B$5:$B$1004,F$23)&gt;0,"Exp","")))</f>
        <v/>
      </c>
      <c r="G1001" s="79">
        <f>IF(OR($A1001="",G$23=""),"",IF(COUNTIFS('AFA Rates'!$A$5:$A$1004,$A1001,'AFA Rates'!$B$5:$B$1004,G$23,'AFA Rates'!$O$5:$O$1004,"&lt;&gt;Expired")&gt;0,"✓",IF(COUNTIFS('AFA Rates'!$A$5:$A$1004,$A1001,'AFA Rates'!$B$5:$B$1004,G$23)&gt;0,"Exp","")))</f>
        <v/>
      </c>
      <c r="H1001" s="79">
        <f>IF(OR($A1001="",H$23=""),"",IF(COUNTIFS('AFA Rates'!$A$5:$A$1004,$A1001,'AFA Rates'!$B$5:$B$1004,H$23,'AFA Rates'!$O$5:$O$1004,"&lt;&gt;Expired")&gt;0,"✓",IF(COUNTIFS('AFA Rates'!$A$5:$A$1004,$A1001,'AFA Rates'!$B$5:$B$1004,H$23)&gt;0,"Exp","")))</f>
        <v/>
      </c>
      <c r="I1001" s="79">
        <f>IF(OR($A1001="",I$23=""),"",IF(COUNTIFS('AFA Rates'!$A$5:$A$1004,$A1001,'AFA Rates'!$B$5:$B$1004,I$23,'AFA Rates'!$O$5:$O$1004,"&lt;&gt;Expired")&gt;0,"✓",IF(COUNTIFS('AFA Rates'!$A$5:$A$1004,$A1001,'AFA Rates'!$B$5:$B$1004,I$23)&gt;0,"Exp","")))</f>
        <v/>
      </c>
      <c r="J1001" s="79">
        <f>IF(OR($A1001="",J$23=""),"",IF(COUNTIFS('AFA Rates'!$A$5:$A$1004,$A1001,'AFA Rates'!$B$5:$B$1004,J$23,'AFA Rates'!$O$5:$O$1004,"&lt;&gt;Expired")&gt;0,"✓",IF(COUNTIFS('AFA Rates'!$A$5:$A$1004,$A1001,'AFA Rates'!$B$5:$B$1004,J$23)&gt;0,"Exp","")))</f>
        <v/>
      </c>
      <c r="K1001" s="79">
        <f>IF(OR($A1001="",K$23=""),"",IF(COUNTIFS('AFA Rates'!$A$5:$A$1004,$A1001,'AFA Rates'!$B$5:$B$1004,K$23,'AFA Rates'!$O$5:$O$1004,"&lt;&gt;Expired")&gt;0,"✓",IF(COUNTIFS('AFA Rates'!$A$5:$A$1004,$A1001,'AFA Rates'!$B$5:$B$1004,K$23)&gt;0,"Exp","")))</f>
        <v/>
      </c>
      <c r="L1001" s="79">
        <f>IF(OR($A1001="",L$23=""),"",IF(COUNTIFS('AFA Rates'!$A$5:$A$1004,$A1001,'AFA Rates'!$B$5:$B$1004,L$23,'AFA Rates'!$O$5:$O$1004,"&lt;&gt;Expired")&gt;0,"✓",IF(COUNTIFS('AFA Rates'!$A$5:$A$1004,$A1001,'AFA Rates'!$B$5:$B$1004,L$23)&gt;0,"Exp","")))</f>
        <v/>
      </c>
      <c r="M1001" s="79">
        <f>IF(OR($A1001="",M$23=""),"",IF(COUNTIFS('AFA Rates'!$A$5:$A$1004,$A1001,'AFA Rates'!$B$5:$B$1004,M$23,'AFA Rates'!$O$5:$O$1004,"&lt;&gt;Expired")&gt;0,"✓",IF(COUNTIFS('AFA Rates'!$A$5:$A$1004,$A1001,'AFA Rates'!$B$5:$B$1004,M$23)&gt;0,"Exp","")))</f>
        <v/>
      </c>
    </row>
    <row r="1002">
      <c r="A1002" s="78">
        <f>IFERROR(INDEX(Firms!$A$5:$A$1004,MATCH(979,Firms!$V$5:$V$1004,0)),"")</f>
        <v/>
      </c>
      <c r="B1002" s="79">
        <f>IF($A1002="","",INDEX(Firms!$B$5:$B$1004,MATCH(979,Firms!$V$5:$V$1004,0)))</f>
        <v/>
      </c>
      <c r="C1002" s="79">
        <f>IF($A1002="","",COUNTIFS('AFA Rates'!$A$5:$A$1004,$A1002,'AFA Rates'!$O$5:$O$1004,"&lt;&gt;Expired"))</f>
        <v/>
      </c>
      <c r="D1002" s="79">
        <f>IF(OR($A1002="",D$23=""),"",IF(COUNTIFS('AFA Rates'!$A$5:$A$1004,$A1002,'AFA Rates'!$B$5:$B$1004,D$23,'AFA Rates'!$O$5:$O$1004,"&lt;&gt;Expired")&gt;0,"✓",IF(COUNTIFS('AFA Rates'!$A$5:$A$1004,$A1002,'AFA Rates'!$B$5:$B$1004,D$23)&gt;0,"Exp","")))</f>
        <v/>
      </c>
      <c r="E1002" s="79">
        <f>IF(OR($A1002="",E$23=""),"",IF(COUNTIFS('AFA Rates'!$A$5:$A$1004,$A1002,'AFA Rates'!$B$5:$B$1004,E$23,'AFA Rates'!$O$5:$O$1004,"&lt;&gt;Expired")&gt;0,"✓",IF(COUNTIFS('AFA Rates'!$A$5:$A$1004,$A1002,'AFA Rates'!$B$5:$B$1004,E$23)&gt;0,"Exp","")))</f>
        <v/>
      </c>
      <c r="F1002" s="79">
        <f>IF(OR($A1002="",F$23=""),"",IF(COUNTIFS('AFA Rates'!$A$5:$A$1004,$A1002,'AFA Rates'!$B$5:$B$1004,F$23,'AFA Rates'!$O$5:$O$1004,"&lt;&gt;Expired")&gt;0,"✓",IF(COUNTIFS('AFA Rates'!$A$5:$A$1004,$A1002,'AFA Rates'!$B$5:$B$1004,F$23)&gt;0,"Exp","")))</f>
        <v/>
      </c>
      <c r="G1002" s="79">
        <f>IF(OR($A1002="",G$23=""),"",IF(COUNTIFS('AFA Rates'!$A$5:$A$1004,$A1002,'AFA Rates'!$B$5:$B$1004,G$23,'AFA Rates'!$O$5:$O$1004,"&lt;&gt;Expired")&gt;0,"✓",IF(COUNTIFS('AFA Rates'!$A$5:$A$1004,$A1002,'AFA Rates'!$B$5:$B$1004,G$23)&gt;0,"Exp","")))</f>
        <v/>
      </c>
      <c r="H1002" s="79">
        <f>IF(OR($A1002="",H$23=""),"",IF(COUNTIFS('AFA Rates'!$A$5:$A$1004,$A1002,'AFA Rates'!$B$5:$B$1004,H$23,'AFA Rates'!$O$5:$O$1004,"&lt;&gt;Expired")&gt;0,"✓",IF(COUNTIFS('AFA Rates'!$A$5:$A$1004,$A1002,'AFA Rates'!$B$5:$B$1004,H$23)&gt;0,"Exp","")))</f>
        <v/>
      </c>
      <c r="I1002" s="79">
        <f>IF(OR($A1002="",I$23=""),"",IF(COUNTIFS('AFA Rates'!$A$5:$A$1004,$A1002,'AFA Rates'!$B$5:$B$1004,I$23,'AFA Rates'!$O$5:$O$1004,"&lt;&gt;Expired")&gt;0,"✓",IF(COUNTIFS('AFA Rates'!$A$5:$A$1004,$A1002,'AFA Rates'!$B$5:$B$1004,I$23)&gt;0,"Exp","")))</f>
        <v/>
      </c>
      <c r="J1002" s="79">
        <f>IF(OR($A1002="",J$23=""),"",IF(COUNTIFS('AFA Rates'!$A$5:$A$1004,$A1002,'AFA Rates'!$B$5:$B$1004,J$23,'AFA Rates'!$O$5:$O$1004,"&lt;&gt;Expired")&gt;0,"✓",IF(COUNTIFS('AFA Rates'!$A$5:$A$1004,$A1002,'AFA Rates'!$B$5:$B$1004,J$23)&gt;0,"Exp","")))</f>
        <v/>
      </c>
      <c r="K1002" s="79">
        <f>IF(OR($A1002="",K$23=""),"",IF(COUNTIFS('AFA Rates'!$A$5:$A$1004,$A1002,'AFA Rates'!$B$5:$B$1004,K$23,'AFA Rates'!$O$5:$O$1004,"&lt;&gt;Expired")&gt;0,"✓",IF(COUNTIFS('AFA Rates'!$A$5:$A$1004,$A1002,'AFA Rates'!$B$5:$B$1004,K$23)&gt;0,"Exp","")))</f>
        <v/>
      </c>
      <c r="L1002" s="79">
        <f>IF(OR($A1002="",L$23=""),"",IF(COUNTIFS('AFA Rates'!$A$5:$A$1004,$A1002,'AFA Rates'!$B$5:$B$1004,L$23,'AFA Rates'!$O$5:$O$1004,"&lt;&gt;Expired")&gt;0,"✓",IF(COUNTIFS('AFA Rates'!$A$5:$A$1004,$A1002,'AFA Rates'!$B$5:$B$1004,L$23)&gt;0,"Exp","")))</f>
        <v/>
      </c>
      <c r="M1002" s="79">
        <f>IF(OR($A1002="",M$23=""),"",IF(COUNTIFS('AFA Rates'!$A$5:$A$1004,$A1002,'AFA Rates'!$B$5:$B$1004,M$23,'AFA Rates'!$O$5:$O$1004,"&lt;&gt;Expired")&gt;0,"✓",IF(COUNTIFS('AFA Rates'!$A$5:$A$1004,$A1002,'AFA Rates'!$B$5:$B$1004,M$23)&gt;0,"Exp","")))</f>
        <v/>
      </c>
    </row>
    <row r="1003">
      <c r="A1003" s="78">
        <f>IFERROR(INDEX(Firms!$A$5:$A$1004,MATCH(980,Firms!$V$5:$V$1004,0)),"")</f>
        <v/>
      </c>
      <c r="B1003" s="79">
        <f>IF($A1003="","",INDEX(Firms!$B$5:$B$1004,MATCH(980,Firms!$V$5:$V$1004,0)))</f>
        <v/>
      </c>
      <c r="C1003" s="79">
        <f>IF($A1003="","",COUNTIFS('AFA Rates'!$A$5:$A$1004,$A1003,'AFA Rates'!$O$5:$O$1004,"&lt;&gt;Expired"))</f>
        <v/>
      </c>
      <c r="D1003" s="79">
        <f>IF(OR($A1003="",D$23=""),"",IF(COUNTIFS('AFA Rates'!$A$5:$A$1004,$A1003,'AFA Rates'!$B$5:$B$1004,D$23,'AFA Rates'!$O$5:$O$1004,"&lt;&gt;Expired")&gt;0,"✓",IF(COUNTIFS('AFA Rates'!$A$5:$A$1004,$A1003,'AFA Rates'!$B$5:$B$1004,D$23)&gt;0,"Exp","")))</f>
        <v/>
      </c>
      <c r="E1003" s="79">
        <f>IF(OR($A1003="",E$23=""),"",IF(COUNTIFS('AFA Rates'!$A$5:$A$1004,$A1003,'AFA Rates'!$B$5:$B$1004,E$23,'AFA Rates'!$O$5:$O$1004,"&lt;&gt;Expired")&gt;0,"✓",IF(COUNTIFS('AFA Rates'!$A$5:$A$1004,$A1003,'AFA Rates'!$B$5:$B$1004,E$23)&gt;0,"Exp","")))</f>
        <v/>
      </c>
      <c r="F1003" s="79">
        <f>IF(OR($A1003="",F$23=""),"",IF(COUNTIFS('AFA Rates'!$A$5:$A$1004,$A1003,'AFA Rates'!$B$5:$B$1004,F$23,'AFA Rates'!$O$5:$O$1004,"&lt;&gt;Expired")&gt;0,"✓",IF(COUNTIFS('AFA Rates'!$A$5:$A$1004,$A1003,'AFA Rates'!$B$5:$B$1004,F$23)&gt;0,"Exp","")))</f>
        <v/>
      </c>
      <c r="G1003" s="79">
        <f>IF(OR($A1003="",G$23=""),"",IF(COUNTIFS('AFA Rates'!$A$5:$A$1004,$A1003,'AFA Rates'!$B$5:$B$1004,G$23,'AFA Rates'!$O$5:$O$1004,"&lt;&gt;Expired")&gt;0,"✓",IF(COUNTIFS('AFA Rates'!$A$5:$A$1004,$A1003,'AFA Rates'!$B$5:$B$1004,G$23)&gt;0,"Exp","")))</f>
        <v/>
      </c>
      <c r="H1003" s="79">
        <f>IF(OR($A1003="",H$23=""),"",IF(COUNTIFS('AFA Rates'!$A$5:$A$1004,$A1003,'AFA Rates'!$B$5:$B$1004,H$23,'AFA Rates'!$O$5:$O$1004,"&lt;&gt;Expired")&gt;0,"✓",IF(COUNTIFS('AFA Rates'!$A$5:$A$1004,$A1003,'AFA Rates'!$B$5:$B$1004,H$23)&gt;0,"Exp","")))</f>
        <v/>
      </c>
      <c r="I1003" s="79">
        <f>IF(OR($A1003="",I$23=""),"",IF(COUNTIFS('AFA Rates'!$A$5:$A$1004,$A1003,'AFA Rates'!$B$5:$B$1004,I$23,'AFA Rates'!$O$5:$O$1004,"&lt;&gt;Expired")&gt;0,"✓",IF(COUNTIFS('AFA Rates'!$A$5:$A$1004,$A1003,'AFA Rates'!$B$5:$B$1004,I$23)&gt;0,"Exp","")))</f>
        <v/>
      </c>
      <c r="J1003" s="79">
        <f>IF(OR($A1003="",J$23=""),"",IF(COUNTIFS('AFA Rates'!$A$5:$A$1004,$A1003,'AFA Rates'!$B$5:$B$1004,J$23,'AFA Rates'!$O$5:$O$1004,"&lt;&gt;Expired")&gt;0,"✓",IF(COUNTIFS('AFA Rates'!$A$5:$A$1004,$A1003,'AFA Rates'!$B$5:$B$1004,J$23)&gt;0,"Exp","")))</f>
        <v/>
      </c>
      <c r="K1003" s="79">
        <f>IF(OR($A1003="",K$23=""),"",IF(COUNTIFS('AFA Rates'!$A$5:$A$1004,$A1003,'AFA Rates'!$B$5:$B$1004,K$23,'AFA Rates'!$O$5:$O$1004,"&lt;&gt;Expired")&gt;0,"✓",IF(COUNTIFS('AFA Rates'!$A$5:$A$1004,$A1003,'AFA Rates'!$B$5:$B$1004,K$23)&gt;0,"Exp","")))</f>
        <v/>
      </c>
      <c r="L1003" s="79">
        <f>IF(OR($A1003="",L$23=""),"",IF(COUNTIFS('AFA Rates'!$A$5:$A$1004,$A1003,'AFA Rates'!$B$5:$B$1004,L$23,'AFA Rates'!$O$5:$O$1004,"&lt;&gt;Expired")&gt;0,"✓",IF(COUNTIFS('AFA Rates'!$A$5:$A$1004,$A1003,'AFA Rates'!$B$5:$B$1004,L$23)&gt;0,"Exp","")))</f>
        <v/>
      </c>
      <c r="M1003" s="79">
        <f>IF(OR($A1003="",M$23=""),"",IF(COUNTIFS('AFA Rates'!$A$5:$A$1004,$A1003,'AFA Rates'!$B$5:$B$1004,M$23,'AFA Rates'!$O$5:$O$1004,"&lt;&gt;Expired")&gt;0,"✓",IF(COUNTIFS('AFA Rates'!$A$5:$A$1004,$A1003,'AFA Rates'!$B$5:$B$1004,M$23)&gt;0,"Exp","")))</f>
        <v/>
      </c>
    </row>
    <row r="1004">
      <c r="A1004" s="78">
        <f>IFERROR(INDEX(Firms!$A$5:$A$1004,MATCH(981,Firms!$V$5:$V$1004,0)),"")</f>
        <v/>
      </c>
      <c r="B1004" s="79">
        <f>IF($A1004="","",INDEX(Firms!$B$5:$B$1004,MATCH(981,Firms!$V$5:$V$1004,0)))</f>
        <v/>
      </c>
      <c r="C1004" s="79">
        <f>IF($A1004="","",COUNTIFS('AFA Rates'!$A$5:$A$1004,$A1004,'AFA Rates'!$O$5:$O$1004,"&lt;&gt;Expired"))</f>
        <v/>
      </c>
      <c r="D1004" s="79">
        <f>IF(OR($A1004="",D$23=""),"",IF(COUNTIFS('AFA Rates'!$A$5:$A$1004,$A1004,'AFA Rates'!$B$5:$B$1004,D$23,'AFA Rates'!$O$5:$O$1004,"&lt;&gt;Expired")&gt;0,"✓",IF(COUNTIFS('AFA Rates'!$A$5:$A$1004,$A1004,'AFA Rates'!$B$5:$B$1004,D$23)&gt;0,"Exp","")))</f>
        <v/>
      </c>
      <c r="E1004" s="79">
        <f>IF(OR($A1004="",E$23=""),"",IF(COUNTIFS('AFA Rates'!$A$5:$A$1004,$A1004,'AFA Rates'!$B$5:$B$1004,E$23,'AFA Rates'!$O$5:$O$1004,"&lt;&gt;Expired")&gt;0,"✓",IF(COUNTIFS('AFA Rates'!$A$5:$A$1004,$A1004,'AFA Rates'!$B$5:$B$1004,E$23)&gt;0,"Exp","")))</f>
        <v/>
      </c>
      <c r="F1004" s="79">
        <f>IF(OR($A1004="",F$23=""),"",IF(COUNTIFS('AFA Rates'!$A$5:$A$1004,$A1004,'AFA Rates'!$B$5:$B$1004,F$23,'AFA Rates'!$O$5:$O$1004,"&lt;&gt;Expired")&gt;0,"✓",IF(COUNTIFS('AFA Rates'!$A$5:$A$1004,$A1004,'AFA Rates'!$B$5:$B$1004,F$23)&gt;0,"Exp","")))</f>
        <v/>
      </c>
      <c r="G1004" s="79">
        <f>IF(OR($A1004="",G$23=""),"",IF(COUNTIFS('AFA Rates'!$A$5:$A$1004,$A1004,'AFA Rates'!$B$5:$B$1004,G$23,'AFA Rates'!$O$5:$O$1004,"&lt;&gt;Expired")&gt;0,"✓",IF(COUNTIFS('AFA Rates'!$A$5:$A$1004,$A1004,'AFA Rates'!$B$5:$B$1004,G$23)&gt;0,"Exp","")))</f>
        <v/>
      </c>
      <c r="H1004" s="79">
        <f>IF(OR($A1004="",H$23=""),"",IF(COUNTIFS('AFA Rates'!$A$5:$A$1004,$A1004,'AFA Rates'!$B$5:$B$1004,H$23,'AFA Rates'!$O$5:$O$1004,"&lt;&gt;Expired")&gt;0,"✓",IF(COUNTIFS('AFA Rates'!$A$5:$A$1004,$A1004,'AFA Rates'!$B$5:$B$1004,H$23)&gt;0,"Exp","")))</f>
        <v/>
      </c>
      <c r="I1004" s="79">
        <f>IF(OR($A1004="",I$23=""),"",IF(COUNTIFS('AFA Rates'!$A$5:$A$1004,$A1004,'AFA Rates'!$B$5:$B$1004,I$23,'AFA Rates'!$O$5:$O$1004,"&lt;&gt;Expired")&gt;0,"✓",IF(COUNTIFS('AFA Rates'!$A$5:$A$1004,$A1004,'AFA Rates'!$B$5:$B$1004,I$23)&gt;0,"Exp","")))</f>
        <v/>
      </c>
      <c r="J1004" s="79">
        <f>IF(OR($A1004="",J$23=""),"",IF(COUNTIFS('AFA Rates'!$A$5:$A$1004,$A1004,'AFA Rates'!$B$5:$B$1004,J$23,'AFA Rates'!$O$5:$O$1004,"&lt;&gt;Expired")&gt;0,"✓",IF(COUNTIFS('AFA Rates'!$A$5:$A$1004,$A1004,'AFA Rates'!$B$5:$B$1004,J$23)&gt;0,"Exp","")))</f>
        <v/>
      </c>
      <c r="K1004" s="79">
        <f>IF(OR($A1004="",K$23=""),"",IF(COUNTIFS('AFA Rates'!$A$5:$A$1004,$A1004,'AFA Rates'!$B$5:$B$1004,K$23,'AFA Rates'!$O$5:$O$1004,"&lt;&gt;Expired")&gt;0,"✓",IF(COUNTIFS('AFA Rates'!$A$5:$A$1004,$A1004,'AFA Rates'!$B$5:$B$1004,K$23)&gt;0,"Exp","")))</f>
        <v/>
      </c>
      <c r="L1004" s="79">
        <f>IF(OR($A1004="",L$23=""),"",IF(COUNTIFS('AFA Rates'!$A$5:$A$1004,$A1004,'AFA Rates'!$B$5:$B$1004,L$23,'AFA Rates'!$O$5:$O$1004,"&lt;&gt;Expired")&gt;0,"✓",IF(COUNTIFS('AFA Rates'!$A$5:$A$1004,$A1004,'AFA Rates'!$B$5:$B$1004,L$23)&gt;0,"Exp","")))</f>
        <v/>
      </c>
      <c r="M1004" s="79">
        <f>IF(OR($A1004="",M$23=""),"",IF(COUNTIFS('AFA Rates'!$A$5:$A$1004,$A1004,'AFA Rates'!$B$5:$B$1004,M$23,'AFA Rates'!$O$5:$O$1004,"&lt;&gt;Expired")&gt;0,"✓",IF(COUNTIFS('AFA Rates'!$A$5:$A$1004,$A1004,'AFA Rates'!$B$5:$B$1004,M$23)&gt;0,"Exp","")))</f>
        <v/>
      </c>
    </row>
    <row r="1005">
      <c r="A1005" s="78">
        <f>IFERROR(INDEX(Firms!$A$5:$A$1004,MATCH(982,Firms!$V$5:$V$1004,0)),"")</f>
        <v/>
      </c>
      <c r="B1005" s="79">
        <f>IF($A1005="","",INDEX(Firms!$B$5:$B$1004,MATCH(982,Firms!$V$5:$V$1004,0)))</f>
        <v/>
      </c>
      <c r="C1005" s="79">
        <f>IF($A1005="","",COUNTIFS('AFA Rates'!$A$5:$A$1004,$A1005,'AFA Rates'!$O$5:$O$1004,"&lt;&gt;Expired"))</f>
        <v/>
      </c>
      <c r="D1005" s="79">
        <f>IF(OR($A1005="",D$23=""),"",IF(COUNTIFS('AFA Rates'!$A$5:$A$1004,$A1005,'AFA Rates'!$B$5:$B$1004,D$23,'AFA Rates'!$O$5:$O$1004,"&lt;&gt;Expired")&gt;0,"✓",IF(COUNTIFS('AFA Rates'!$A$5:$A$1004,$A1005,'AFA Rates'!$B$5:$B$1004,D$23)&gt;0,"Exp","")))</f>
        <v/>
      </c>
      <c r="E1005" s="79">
        <f>IF(OR($A1005="",E$23=""),"",IF(COUNTIFS('AFA Rates'!$A$5:$A$1004,$A1005,'AFA Rates'!$B$5:$B$1004,E$23,'AFA Rates'!$O$5:$O$1004,"&lt;&gt;Expired")&gt;0,"✓",IF(COUNTIFS('AFA Rates'!$A$5:$A$1004,$A1005,'AFA Rates'!$B$5:$B$1004,E$23)&gt;0,"Exp","")))</f>
        <v/>
      </c>
      <c r="F1005" s="79">
        <f>IF(OR($A1005="",F$23=""),"",IF(COUNTIFS('AFA Rates'!$A$5:$A$1004,$A1005,'AFA Rates'!$B$5:$B$1004,F$23,'AFA Rates'!$O$5:$O$1004,"&lt;&gt;Expired")&gt;0,"✓",IF(COUNTIFS('AFA Rates'!$A$5:$A$1004,$A1005,'AFA Rates'!$B$5:$B$1004,F$23)&gt;0,"Exp","")))</f>
        <v/>
      </c>
      <c r="G1005" s="79">
        <f>IF(OR($A1005="",G$23=""),"",IF(COUNTIFS('AFA Rates'!$A$5:$A$1004,$A1005,'AFA Rates'!$B$5:$B$1004,G$23,'AFA Rates'!$O$5:$O$1004,"&lt;&gt;Expired")&gt;0,"✓",IF(COUNTIFS('AFA Rates'!$A$5:$A$1004,$A1005,'AFA Rates'!$B$5:$B$1004,G$23)&gt;0,"Exp","")))</f>
        <v/>
      </c>
      <c r="H1005" s="79">
        <f>IF(OR($A1005="",H$23=""),"",IF(COUNTIFS('AFA Rates'!$A$5:$A$1004,$A1005,'AFA Rates'!$B$5:$B$1004,H$23,'AFA Rates'!$O$5:$O$1004,"&lt;&gt;Expired")&gt;0,"✓",IF(COUNTIFS('AFA Rates'!$A$5:$A$1004,$A1005,'AFA Rates'!$B$5:$B$1004,H$23)&gt;0,"Exp","")))</f>
        <v/>
      </c>
      <c r="I1005" s="79">
        <f>IF(OR($A1005="",I$23=""),"",IF(COUNTIFS('AFA Rates'!$A$5:$A$1004,$A1005,'AFA Rates'!$B$5:$B$1004,I$23,'AFA Rates'!$O$5:$O$1004,"&lt;&gt;Expired")&gt;0,"✓",IF(COUNTIFS('AFA Rates'!$A$5:$A$1004,$A1005,'AFA Rates'!$B$5:$B$1004,I$23)&gt;0,"Exp","")))</f>
        <v/>
      </c>
      <c r="J1005" s="79">
        <f>IF(OR($A1005="",J$23=""),"",IF(COUNTIFS('AFA Rates'!$A$5:$A$1004,$A1005,'AFA Rates'!$B$5:$B$1004,J$23,'AFA Rates'!$O$5:$O$1004,"&lt;&gt;Expired")&gt;0,"✓",IF(COUNTIFS('AFA Rates'!$A$5:$A$1004,$A1005,'AFA Rates'!$B$5:$B$1004,J$23)&gt;0,"Exp","")))</f>
        <v/>
      </c>
      <c r="K1005" s="79">
        <f>IF(OR($A1005="",K$23=""),"",IF(COUNTIFS('AFA Rates'!$A$5:$A$1004,$A1005,'AFA Rates'!$B$5:$B$1004,K$23,'AFA Rates'!$O$5:$O$1004,"&lt;&gt;Expired")&gt;0,"✓",IF(COUNTIFS('AFA Rates'!$A$5:$A$1004,$A1005,'AFA Rates'!$B$5:$B$1004,K$23)&gt;0,"Exp","")))</f>
        <v/>
      </c>
      <c r="L1005" s="79">
        <f>IF(OR($A1005="",L$23=""),"",IF(COUNTIFS('AFA Rates'!$A$5:$A$1004,$A1005,'AFA Rates'!$B$5:$B$1004,L$23,'AFA Rates'!$O$5:$O$1004,"&lt;&gt;Expired")&gt;0,"✓",IF(COUNTIFS('AFA Rates'!$A$5:$A$1004,$A1005,'AFA Rates'!$B$5:$B$1004,L$23)&gt;0,"Exp","")))</f>
        <v/>
      </c>
      <c r="M1005" s="79">
        <f>IF(OR($A1005="",M$23=""),"",IF(COUNTIFS('AFA Rates'!$A$5:$A$1004,$A1005,'AFA Rates'!$B$5:$B$1004,M$23,'AFA Rates'!$O$5:$O$1004,"&lt;&gt;Expired")&gt;0,"✓",IF(COUNTIFS('AFA Rates'!$A$5:$A$1004,$A1005,'AFA Rates'!$B$5:$B$1004,M$23)&gt;0,"Exp","")))</f>
        <v/>
      </c>
    </row>
    <row r="1006">
      <c r="A1006" s="78">
        <f>IFERROR(INDEX(Firms!$A$5:$A$1004,MATCH(983,Firms!$V$5:$V$1004,0)),"")</f>
        <v/>
      </c>
      <c r="B1006" s="79">
        <f>IF($A1006="","",INDEX(Firms!$B$5:$B$1004,MATCH(983,Firms!$V$5:$V$1004,0)))</f>
        <v/>
      </c>
      <c r="C1006" s="79">
        <f>IF($A1006="","",COUNTIFS('AFA Rates'!$A$5:$A$1004,$A1006,'AFA Rates'!$O$5:$O$1004,"&lt;&gt;Expired"))</f>
        <v/>
      </c>
      <c r="D1006" s="79">
        <f>IF(OR($A1006="",D$23=""),"",IF(COUNTIFS('AFA Rates'!$A$5:$A$1004,$A1006,'AFA Rates'!$B$5:$B$1004,D$23,'AFA Rates'!$O$5:$O$1004,"&lt;&gt;Expired")&gt;0,"✓",IF(COUNTIFS('AFA Rates'!$A$5:$A$1004,$A1006,'AFA Rates'!$B$5:$B$1004,D$23)&gt;0,"Exp","")))</f>
        <v/>
      </c>
      <c r="E1006" s="79">
        <f>IF(OR($A1006="",E$23=""),"",IF(COUNTIFS('AFA Rates'!$A$5:$A$1004,$A1006,'AFA Rates'!$B$5:$B$1004,E$23,'AFA Rates'!$O$5:$O$1004,"&lt;&gt;Expired")&gt;0,"✓",IF(COUNTIFS('AFA Rates'!$A$5:$A$1004,$A1006,'AFA Rates'!$B$5:$B$1004,E$23)&gt;0,"Exp","")))</f>
        <v/>
      </c>
      <c r="F1006" s="79">
        <f>IF(OR($A1006="",F$23=""),"",IF(COUNTIFS('AFA Rates'!$A$5:$A$1004,$A1006,'AFA Rates'!$B$5:$B$1004,F$23,'AFA Rates'!$O$5:$O$1004,"&lt;&gt;Expired")&gt;0,"✓",IF(COUNTIFS('AFA Rates'!$A$5:$A$1004,$A1006,'AFA Rates'!$B$5:$B$1004,F$23)&gt;0,"Exp","")))</f>
        <v/>
      </c>
      <c r="G1006" s="79">
        <f>IF(OR($A1006="",G$23=""),"",IF(COUNTIFS('AFA Rates'!$A$5:$A$1004,$A1006,'AFA Rates'!$B$5:$B$1004,G$23,'AFA Rates'!$O$5:$O$1004,"&lt;&gt;Expired")&gt;0,"✓",IF(COUNTIFS('AFA Rates'!$A$5:$A$1004,$A1006,'AFA Rates'!$B$5:$B$1004,G$23)&gt;0,"Exp","")))</f>
        <v/>
      </c>
      <c r="H1006" s="79">
        <f>IF(OR($A1006="",H$23=""),"",IF(COUNTIFS('AFA Rates'!$A$5:$A$1004,$A1006,'AFA Rates'!$B$5:$B$1004,H$23,'AFA Rates'!$O$5:$O$1004,"&lt;&gt;Expired")&gt;0,"✓",IF(COUNTIFS('AFA Rates'!$A$5:$A$1004,$A1006,'AFA Rates'!$B$5:$B$1004,H$23)&gt;0,"Exp","")))</f>
        <v/>
      </c>
      <c r="I1006" s="79">
        <f>IF(OR($A1006="",I$23=""),"",IF(COUNTIFS('AFA Rates'!$A$5:$A$1004,$A1006,'AFA Rates'!$B$5:$B$1004,I$23,'AFA Rates'!$O$5:$O$1004,"&lt;&gt;Expired")&gt;0,"✓",IF(COUNTIFS('AFA Rates'!$A$5:$A$1004,$A1006,'AFA Rates'!$B$5:$B$1004,I$23)&gt;0,"Exp","")))</f>
        <v/>
      </c>
      <c r="J1006" s="79">
        <f>IF(OR($A1006="",J$23=""),"",IF(COUNTIFS('AFA Rates'!$A$5:$A$1004,$A1006,'AFA Rates'!$B$5:$B$1004,J$23,'AFA Rates'!$O$5:$O$1004,"&lt;&gt;Expired")&gt;0,"✓",IF(COUNTIFS('AFA Rates'!$A$5:$A$1004,$A1006,'AFA Rates'!$B$5:$B$1004,J$23)&gt;0,"Exp","")))</f>
        <v/>
      </c>
      <c r="K1006" s="79">
        <f>IF(OR($A1006="",K$23=""),"",IF(COUNTIFS('AFA Rates'!$A$5:$A$1004,$A1006,'AFA Rates'!$B$5:$B$1004,K$23,'AFA Rates'!$O$5:$O$1004,"&lt;&gt;Expired")&gt;0,"✓",IF(COUNTIFS('AFA Rates'!$A$5:$A$1004,$A1006,'AFA Rates'!$B$5:$B$1004,K$23)&gt;0,"Exp","")))</f>
        <v/>
      </c>
      <c r="L1006" s="79">
        <f>IF(OR($A1006="",L$23=""),"",IF(COUNTIFS('AFA Rates'!$A$5:$A$1004,$A1006,'AFA Rates'!$B$5:$B$1004,L$23,'AFA Rates'!$O$5:$O$1004,"&lt;&gt;Expired")&gt;0,"✓",IF(COUNTIFS('AFA Rates'!$A$5:$A$1004,$A1006,'AFA Rates'!$B$5:$B$1004,L$23)&gt;0,"Exp","")))</f>
        <v/>
      </c>
      <c r="M1006" s="79">
        <f>IF(OR($A1006="",M$23=""),"",IF(COUNTIFS('AFA Rates'!$A$5:$A$1004,$A1006,'AFA Rates'!$B$5:$B$1004,M$23,'AFA Rates'!$O$5:$O$1004,"&lt;&gt;Expired")&gt;0,"✓",IF(COUNTIFS('AFA Rates'!$A$5:$A$1004,$A1006,'AFA Rates'!$B$5:$B$1004,M$23)&gt;0,"Exp","")))</f>
        <v/>
      </c>
    </row>
    <row r="1007">
      <c r="A1007" s="78">
        <f>IFERROR(INDEX(Firms!$A$5:$A$1004,MATCH(984,Firms!$V$5:$V$1004,0)),"")</f>
        <v/>
      </c>
      <c r="B1007" s="79">
        <f>IF($A1007="","",INDEX(Firms!$B$5:$B$1004,MATCH(984,Firms!$V$5:$V$1004,0)))</f>
        <v/>
      </c>
      <c r="C1007" s="79">
        <f>IF($A1007="","",COUNTIFS('AFA Rates'!$A$5:$A$1004,$A1007,'AFA Rates'!$O$5:$O$1004,"&lt;&gt;Expired"))</f>
        <v/>
      </c>
      <c r="D1007" s="79">
        <f>IF(OR($A1007="",D$23=""),"",IF(COUNTIFS('AFA Rates'!$A$5:$A$1004,$A1007,'AFA Rates'!$B$5:$B$1004,D$23,'AFA Rates'!$O$5:$O$1004,"&lt;&gt;Expired")&gt;0,"✓",IF(COUNTIFS('AFA Rates'!$A$5:$A$1004,$A1007,'AFA Rates'!$B$5:$B$1004,D$23)&gt;0,"Exp","")))</f>
        <v/>
      </c>
      <c r="E1007" s="79">
        <f>IF(OR($A1007="",E$23=""),"",IF(COUNTIFS('AFA Rates'!$A$5:$A$1004,$A1007,'AFA Rates'!$B$5:$B$1004,E$23,'AFA Rates'!$O$5:$O$1004,"&lt;&gt;Expired")&gt;0,"✓",IF(COUNTIFS('AFA Rates'!$A$5:$A$1004,$A1007,'AFA Rates'!$B$5:$B$1004,E$23)&gt;0,"Exp","")))</f>
        <v/>
      </c>
      <c r="F1007" s="79">
        <f>IF(OR($A1007="",F$23=""),"",IF(COUNTIFS('AFA Rates'!$A$5:$A$1004,$A1007,'AFA Rates'!$B$5:$B$1004,F$23,'AFA Rates'!$O$5:$O$1004,"&lt;&gt;Expired")&gt;0,"✓",IF(COUNTIFS('AFA Rates'!$A$5:$A$1004,$A1007,'AFA Rates'!$B$5:$B$1004,F$23)&gt;0,"Exp","")))</f>
        <v/>
      </c>
      <c r="G1007" s="79">
        <f>IF(OR($A1007="",G$23=""),"",IF(COUNTIFS('AFA Rates'!$A$5:$A$1004,$A1007,'AFA Rates'!$B$5:$B$1004,G$23,'AFA Rates'!$O$5:$O$1004,"&lt;&gt;Expired")&gt;0,"✓",IF(COUNTIFS('AFA Rates'!$A$5:$A$1004,$A1007,'AFA Rates'!$B$5:$B$1004,G$23)&gt;0,"Exp","")))</f>
        <v/>
      </c>
      <c r="H1007" s="79">
        <f>IF(OR($A1007="",H$23=""),"",IF(COUNTIFS('AFA Rates'!$A$5:$A$1004,$A1007,'AFA Rates'!$B$5:$B$1004,H$23,'AFA Rates'!$O$5:$O$1004,"&lt;&gt;Expired")&gt;0,"✓",IF(COUNTIFS('AFA Rates'!$A$5:$A$1004,$A1007,'AFA Rates'!$B$5:$B$1004,H$23)&gt;0,"Exp","")))</f>
        <v/>
      </c>
      <c r="I1007" s="79">
        <f>IF(OR($A1007="",I$23=""),"",IF(COUNTIFS('AFA Rates'!$A$5:$A$1004,$A1007,'AFA Rates'!$B$5:$B$1004,I$23,'AFA Rates'!$O$5:$O$1004,"&lt;&gt;Expired")&gt;0,"✓",IF(COUNTIFS('AFA Rates'!$A$5:$A$1004,$A1007,'AFA Rates'!$B$5:$B$1004,I$23)&gt;0,"Exp","")))</f>
        <v/>
      </c>
      <c r="J1007" s="79">
        <f>IF(OR($A1007="",J$23=""),"",IF(COUNTIFS('AFA Rates'!$A$5:$A$1004,$A1007,'AFA Rates'!$B$5:$B$1004,J$23,'AFA Rates'!$O$5:$O$1004,"&lt;&gt;Expired")&gt;0,"✓",IF(COUNTIFS('AFA Rates'!$A$5:$A$1004,$A1007,'AFA Rates'!$B$5:$B$1004,J$23)&gt;0,"Exp","")))</f>
        <v/>
      </c>
      <c r="K1007" s="79">
        <f>IF(OR($A1007="",K$23=""),"",IF(COUNTIFS('AFA Rates'!$A$5:$A$1004,$A1007,'AFA Rates'!$B$5:$B$1004,K$23,'AFA Rates'!$O$5:$O$1004,"&lt;&gt;Expired")&gt;0,"✓",IF(COUNTIFS('AFA Rates'!$A$5:$A$1004,$A1007,'AFA Rates'!$B$5:$B$1004,K$23)&gt;0,"Exp","")))</f>
        <v/>
      </c>
      <c r="L1007" s="79">
        <f>IF(OR($A1007="",L$23=""),"",IF(COUNTIFS('AFA Rates'!$A$5:$A$1004,$A1007,'AFA Rates'!$B$5:$B$1004,L$23,'AFA Rates'!$O$5:$O$1004,"&lt;&gt;Expired")&gt;0,"✓",IF(COUNTIFS('AFA Rates'!$A$5:$A$1004,$A1007,'AFA Rates'!$B$5:$B$1004,L$23)&gt;0,"Exp","")))</f>
        <v/>
      </c>
      <c r="M1007" s="79">
        <f>IF(OR($A1007="",M$23=""),"",IF(COUNTIFS('AFA Rates'!$A$5:$A$1004,$A1007,'AFA Rates'!$B$5:$B$1004,M$23,'AFA Rates'!$O$5:$O$1004,"&lt;&gt;Expired")&gt;0,"✓",IF(COUNTIFS('AFA Rates'!$A$5:$A$1004,$A1007,'AFA Rates'!$B$5:$B$1004,M$23)&gt;0,"Exp","")))</f>
        <v/>
      </c>
    </row>
    <row r="1008">
      <c r="A1008" s="78">
        <f>IFERROR(INDEX(Firms!$A$5:$A$1004,MATCH(985,Firms!$V$5:$V$1004,0)),"")</f>
        <v/>
      </c>
      <c r="B1008" s="79">
        <f>IF($A1008="","",INDEX(Firms!$B$5:$B$1004,MATCH(985,Firms!$V$5:$V$1004,0)))</f>
        <v/>
      </c>
      <c r="C1008" s="79">
        <f>IF($A1008="","",COUNTIFS('AFA Rates'!$A$5:$A$1004,$A1008,'AFA Rates'!$O$5:$O$1004,"&lt;&gt;Expired"))</f>
        <v/>
      </c>
      <c r="D1008" s="79">
        <f>IF(OR($A1008="",D$23=""),"",IF(COUNTIFS('AFA Rates'!$A$5:$A$1004,$A1008,'AFA Rates'!$B$5:$B$1004,D$23,'AFA Rates'!$O$5:$O$1004,"&lt;&gt;Expired")&gt;0,"✓",IF(COUNTIFS('AFA Rates'!$A$5:$A$1004,$A1008,'AFA Rates'!$B$5:$B$1004,D$23)&gt;0,"Exp","")))</f>
        <v/>
      </c>
      <c r="E1008" s="79">
        <f>IF(OR($A1008="",E$23=""),"",IF(COUNTIFS('AFA Rates'!$A$5:$A$1004,$A1008,'AFA Rates'!$B$5:$B$1004,E$23,'AFA Rates'!$O$5:$O$1004,"&lt;&gt;Expired")&gt;0,"✓",IF(COUNTIFS('AFA Rates'!$A$5:$A$1004,$A1008,'AFA Rates'!$B$5:$B$1004,E$23)&gt;0,"Exp","")))</f>
        <v/>
      </c>
      <c r="F1008" s="79">
        <f>IF(OR($A1008="",F$23=""),"",IF(COUNTIFS('AFA Rates'!$A$5:$A$1004,$A1008,'AFA Rates'!$B$5:$B$1004,F$23,'AFA Rates'!$O$5:$O$1004,"&lt;&gt;Expired")&gt;0,"✓",IF(COUNTIFS('AFA Rates'!$A$5:$A$1004,$A1008,'AFA Rates'!$B$5:$B$1004,F$23)&gt;0,"Exp","")))</f>
        <v/>
      </c>
      <c r="G1008" s="79">
        <f>IF(OR($A1008="",G$23=""),"",IF(COUNTIFS('AFA Rates'!$A$5:$A$1004,$A1008,'AFA Rates'!$B$5:$B$1004,G$23,'AFA Rates'!$O$5:$O$1004,"&lt;&gt;Expired")&gt;0,"✓",IF(COUNTIFS('AFA Rates'!$A$5:$A$1004,$A1008,'AFA Rates'!$B$5:$B$1004,G$23)&gt;0,"Exp","")))</f>
        <v/>
      </c>
      <c r="H1008" s="79">
        <f>IF(OR($A1008="",H$23=""),"",IF(COUNTIFS('AFA Rates'!$A$5:$A$1004,$A1008,'AFA Rates'!$B$5:$B$1004,H$23,'AFA Rates'!$O$5:$O$1004,"&lt;&gt;Expired")&gt;0,"✓",IF(COUNTIFS('AFA Rates'!$A$5:$A$1004,$A1008,'AFA Rates'!$B$5:$B$1004,H$23)&gt;0,"Exp","")))</f>
        <v/>
      </c>
      <c r="I1008" s="79">
        <f>IF(OR($A1008="",I$23=""),"",IF(COUNTIFS('AFA Rates'!$A$5:$A$1004,$A1008,'AFA Rates'!$B$5:$B$1004,I$23,'AFA Rates'!$O$5:$O$1004,"&lt;&gt;Expired")&gt;0,"✓",IF(COUNTIFS('AFA Rates'!$A$5:$A$1004,$A1008,'AFA Rates'!$B$5:$B$1004,I$23)&gt;0,"Exp","")))</f>
        <v/>
      </c>
      <c r="J1008" s="79">
        <f>IF(OR($A1008="",J$23=""),"",IF(COUNTIFS('AFA Rates'!$A$5:$A$1004,$A1008,'AFA Rates'!$B$5:$B$1004,J$23,'AFA Rates'!$O$5:$O$1004,"&lt;&gt;Expired")&gt;0,"✓",IF(COUNTIFS('AFA Rates'!$A$5:$A$1004,$A1008,'AFA Rates'!$B$5:$B$1004,J$23)&gt;0,"Exp","")))</f>
        <v/>
      </c>
      <c r="K1008" s="79">
        <f>IF(OR($A1008="",K$23=""),"",IF(COUNTIFS('AFA Rates'!$A$5:$A$1004,$A1008,'AFA Rates'!$B$5:$B$1004,K$23,'AFA Rates'!$O$5:$O$1004,"&lt;&gt;Expired")&gt;0,"✓",IF(COUNTIFS('AFA Rates'!$A$5:$A$1004,$A1008,'AFA Rates'!$B$5:$B$1004,K$23)&gt;0,"Exp","")))</f>
        <v/>
      </c>
      <c r="L1008" s="79">
        <f>IF(OR($A1008="",L$23=""),"",IF(COUNTIFS('AFA Rates'!$A$5:$A$1004,$A1008,'AFA Rates'!$B$5:$B$1004,L$23,'AFA Rates'!$O$5:$O$1004,"&lt;&gt;Expired")&gt;0,"✓",IF(COUNTIFS('AFA Rates'!$A$5:$A$1004,$A1008,'AFA Rates'!$B$5:$B$1004,L$23)&gt;0,"Exp","")))</f>
        <v/>
      </c>
      <c r="M1008" s="79">
        <f>IF(OR($A1008="",M$23=""),"",IF(COUNTIFS('AFA Rates'!$A$5:$A$1004,$A1008,'AFA Rates'!$B$5:$B$1004,M$23,'AFA Rates'!$O$5:$O$1004,"&lt;&gt;Expired")&gt;0,"✓",IF(COUNTIFS('AFA Rates'!$A$5:$A$1004,$A1008,'AFA Rates'!$B$5:$B$1004,M$23)&gt;0,"Exp","")))</f>
        <v/>
      </c>
    </row>
    <row r="1009">
      <c r="A1009" s="78">
        <f>IFERROR(INDEX(Firms!$A$5:$A$1004,MATCH(986,Firms!$V$5:$V$1004,0)),"")</f>
        <v/>
      </c>
      <c r="B1009" s="79">
        <f>IF($A1009="","",INDEX(Firms!$B$5:$B$1004,MATCH(986,Firms!$V$5:$V$1004,0)))</f>
        <v/>
      </c>
      <c r="C1009" s="79">
        <f>IF($A1009="","",COUNTIFS('AFA Rates'!$A$5:$A$1004,$A1009,'AFA Rates'!$O$5:$O$1004,"&lt;&gt;Expired"))</f>
        <v/>
      </c>
      <c r="D1009" s="79">
        <f>IF(OR($A1009="",D$23=""),"",IF(COUNTIFS('AFA Rates'!$A$5:$A$1004,$A1009,'AFA Rates'!$B$5:$B$1004,D$23,'AFA Rates'!$O$5:$O$1004,"&lt;&gt;Expired")&gt;0,"✓",IF(COUNTIFS('AFA Rates'!$A$5:$A$1004,$A1009,'AFA Rates'!$B$5:$B$1004,D$23)&gt;0,"Exp","")))</f>
        <v/>
      </c>
      <c r="E1009" s="79">
        <f>IF(OR($A1009="",E$23=""),"",IF(COUNTIFS('AFA Rates'!$A$5:$A$1004,$A1009,'AFA Rates'!$B$5:$B$1004,E$23,'AFA Rates'!$O$5:$O$1004,"&lt;&gt;Expired")&gt;0,"✓",IF(COUNTIFS('AFA Rates'!$A$5:$A$1004,$A1009,'AFA Rates'!$B$5:$B$1004,E$23)&gt;0,"Exp","")))</f>
        <v/>
      </c>
      <c r="F1009" s="79">
        <f>IF(OR($A1009="",F$23=""),"",IF(COUNTIFS('AFA Rates'!$A$5:$A$1004,$A1009,'AFA Rates'!$B$5:$B$1004,F$23,'AFA Rates'!$O$5:$O$1004,"&lt;&gt;Expired")&gt;0,"✓",IF(COUNTIFS('AFA Rates'!$A$5:$A$1004,$A1009,'AFA Rates'!$B$5:$B$1004,F$23)&gt;0,"Exp","")))</f>
        <v/>
      </c>
      <c r="G1009" s="79">
        <f>IF(OR($A1009="",G$23=""),"",IF(COUNTIFS('AFA Rates'!$A$5:$A$1004,$A1009,'AFA Rates'!$B$5:$B$1004,G$23,'AFA Rates'!$O$5:$O$1004,"&lt;&gt;Expired")&gt;0,"✓",IF(COUNTIFS('AFA Rates'!$A$5:$A$1004,$A1009,'AFA Rates'!$B$5:$B$1004,G$23)&gt;0,"Exp","")))</f>
        <v/>
      </c>
      <c r="H1009" s="79">
        <f>IF(OR($A1009="",H$23=""),"",IF(COUNTIFS('AFA Rates'!$A$5:$A$1004,$A1009,'AFA Rates'!$B$5:$B$1004,H$23,'AFA Rates'!$O$5:$O$1004,"&lt;&gt;Expired")&gt;0,"✓",IF(COUNTIFS('AFA Rates'!$A$5:$A$1004,$A1009,'AFA Rates'!$B$5:$B$1004,H$23)&gt;0,"Exp","")))</f>
        <v/>
      </c>
      <c r="I1009" s="79">
        <f>IF(OR($A1009="",I$23=""),"",IF(COUNTIFS('AFA Rates'!$A$5:$A$1004,$A1009,'AFA Rates'!$B$5:$B$1004,I$23,'AFA Rates'!$O$5:$O$1004,"&lt;&gt;Expired")&gt;0,"✓",IF(COUNTIFS('AFA Rates'!$A$5:$A$1004,$A1009,'AFA Rates'!$B$5:$B$1004,I$23)&gt;0,"Exp","")))</f>
        <v/>
      </c>
      <c r="J1009" s="79">
        <f>IF(OR($A1009="",J$23=""),"",IF(COUNTIFS('AFA Rates'!$A$5:$A$1004,$A1009,'AFA Rates'!$B$5:$B$1004,J$23,'AFA Rates'!$O$5:$O$1004,"&lt;&gt;Expired")&gt;0,"✓",IF(COUNTIFS('AFA Rates'!$A$5:$A$1004,$A1009,'AFA Rates'!$B$5:$B$1004,J$23)&gt;0,"Exp","")))</f>
        <v/>
      </c>
      <c r="K1009" s="79">
        <f>IF(OR($A1009="",K$23=""),"",IF(COUNTIFS('AFA Rates'!$A$5:$A$1004,$A1009,'AFA Rates'!$B$5:$B$1004,K$23,'AFA Rates'!$O$5:$O$1004,"&lt;&gt;Expired")&gt;0,"✓",IF(COUNTIFS('AFA Rates'!$A$5:$A$1004,$A1009,'AFA Rates'!$B$5:$B$1004,K$23)&gt;0,"Exp","")))</f>
        <v/>
      </c>
      <c r="L1009" s="79">
        <f>IF(OR($A1009="",L$23=""),"",IF(COUNTIFS('AFA Rates'!$A$5:$A$1004,$A1009,'AFA Rates'!$B$5:$B$1004,L$23,'AFA Rates'!$O$5:$O$1004,"&lt;&gt;Expired")&gt;0,"✓",IF(COUNTIFS('AFA Rates'!$A$5:$A$1004,$A1009,'AFA Rates'!$B$5:$B$1004,L$23)&gt;0,"Exp","")))</f>
        <v/>
      </c>
      <c r="M1009" s="79">
        <f>IF(OR($A1009="",M$23=""),"",IF(COUNTIFS('AFA Rates'!$A$5:$A$1004,$A1009,'AFA Rates'!$B$5:$B$1004,M$23,'AFA Rates'!$O$5:$O$1004,"&lt;&gt;Expired")&gt;0,"✓",IF(COUNTIFS('AFA Rates'!$A$5:$A$1004,$A1009,'AFA Rates'!$B$5:$B$1004,M$23)&gt;0,"Exp","")))</f>
        <v/>
      </c>
    </row>
    <row r="1010">
      <c r="A1010" s="78">
        <f>IFERROR(INDEX(Firms!$A$5:$A$1004,MATCH(987,Firms!$V$5:$V$1004,0)),"")</f>
        <v/>
      </c>
      <c r="B1010" s="79">
        <f>IF($A1010="","",INDEX(Firms!$B$5:$B$1004,MATCH(987,Firms!$V$5:$V$1004,0)))</f>
        <v/>
      </c>
      <c r="C1010" s="79">
        <f>IF($A1010="","",COUNTIFS('AFA Rates'!$A$5:$A$1004,$A1010,'AFA Rates'!$O$5:$O$1004,"&lt;&gt;Expired"))</f>
        <v/>
      </c>
      <c r="D1010" s="79">
        <f>IF(OR($A1010="",D$23=""),"",IF(COUNTIFS('AFA Rates'!$A$5:$A$1004,$A1010,'AFA Rates'!$B$5:$B$1004,D$23,'AFA Rates'!$O$5:$O$1004,"&lt;&gt;Expired")&gt;0,"✓",IF(COUNTIFS('AFA Rates'!$A$5:$A$1004,$A1010,'AFA Rates'!$B$5:$B$1004,D$23)&gt;0,"Exp","")))</f>
        <v/>
      </c>
      <c r="E1010" s="79">
        <f>IF(OR($A1010="",E$23=""),"",IF(COUNTIFS('AFA Rates'!$A$5:$A$1004,$A1010,'AFA Rates'!$B$5:$B$1004,E$23,'AFA Rates'!$O$5:$O$1004,"&lt;&gt;Expired")&gt;0,"✓",IF(COUNTIFS('AFA Rates'!$A$5:$A$1004,$A1010,'AFA Rates'!$B$5:$B$1004,E$23)&gt;0,"Exp","")))</f>
        <v/>
      </c>
      <c r="F1010" s="79">
        <f>IF(OR($A1010="",F$23=""),"",IF(COUNTIFS('AFA Rates'!$A$5:$A$1004,$A1010,'AFA Rates'!$B$5:$B$1004,F$23,'AFA Rates'!$O$5:$O$1004,"&lt;&gt;Expired")&gt;0,"✓",IF(COUNTIFS('AFA Rates'!$A$5:$A$1004,$A1010,'AFA Rates'!$B$5:$B$1004,F$23)&gt;0,"Exp","")))</f>
        <v/>
      </c>
      <c r="G1010" s="79">
        <f>IF(OR($A1010="",G$23=""),"",IF(COUNTIFS('AFA Rates'!$A$5:$A$1004,$A1010,'AFA Rates'!$B$5:$B$1004,G$23,'AFA Rates'!$O$5:$O$1004,"&lt;&gt;Expired")&gt;0,"✓",IF(COUNTIFS('AFA Rates'!$A$5:$A$1004,$A1010,'AFA Rates'!$B$5:$B$1004,G$23)&gt;0,"Exp","")))</f>
        <v/>
      </c>
      <c r="H1010" s="79">
        <f>IF(OR($A1010="",H$23=""),"",IF(COUNTIFS('AFA Rates'!$A$5:$A$1004,$A1010,'AFA Rates'!$B$5:$B$1004,H$23,'AFA Rates'!$O$5:$O$1004,"&lt;&gt;Expired")&gt;0,"✓",IF(COUNTIFS('AFA Rates'!$A$5:$A$1004,$A1010,'AFA Rates'!$B$5:$B$1004,H$23)&gt;0,"Exp","")))</f>
        <v/>
      </c>
      <c r="I1010" s="79">
        <f>IF(OR($A1010="",I$23=""),"",IF(COUNTIFS('AFA Rates'!$A$5:$A$1004,$A1010,'AFA Rates'!$B$5:$B$1004,I$23,'AFA Rates'!$O$5:$O$1004,"&lt;&gt;Expired")&gt;0,"✓",IF(COUNTIFS('AFA Rates'!$A$5:$A$1004,$A1010,'AFA Rates'!$B$5:$B$1004,I$23)&gt;0,"Exp","")))</f>
        <v/>
      </c>
      <c r="J1010" s="79">
        <f>IF(OR($A1010="",J$23=""),"",IF(COUNTIFS('AFA Rates'!$A$5:$A$1004,$A1010,'AFA Rates'!$B$5:$B$1004,J$23,'AFA Rates'!$O$5:$O$1004,"&lt;&gt;Expired")&gt;0,"✓",IF(COUNTIFS('AFA Rates'!$A$5:$A$1004,$A1010,'AFA Rates'!$B$5:$B$1004,J$23)&gt;0,"Exp","")))</f>
        <v/>
      </c>
      <c r="K1010" s="79">
        <f>IF(OR($A1010="",K$23=""),"",IF(COUNTIFS('AFA Rates'!$A$5:$A$1004,$A1010,'AFA Rates'!$B$5:$B$1004,K$23,'AFA Rates'!$O$5:$O$1004,"&lt;&gt;Expired")&gt;0,"✓",IF(COUNTIFS('AFA Rates'!$A$5:$A$1004,$A1010,'AFA Rates'!$B$5:$B$1004,K$23)&gt;0,"Exp","")))</f>
        <v/>
      </c>
      <c r="L1010" s="79">
        <f>IF(OR($A1010="",L$23=""),"",IF(COUNTIFS('AFA Rates'!$A$5:$A$1004,$A1010,'AFA Rates'!$B$5:$B$1004,L$23,'AFA Rates'!$O$5:$O$1004,"&lt;&gt;Expired")&gt;0,"✓",IF(COUNTIFS('AFA Rates'!$A$5:$A$1004,$A1010,'AFA Rates'!$B$5:$B$1004,L$23)&gt;0,"Exp","")))</f>
        <v/>
      </c>
      <c r="M1010" s="79">
        <f>IF(OR($A1010="",M$23=""),"",IF(COUNTIFS('AFA Rates'!$A$5:$A$1004,$A1010,'AFA Rates'!$B$5:$B$1004,M$23,'AFA Rates'!$O$5:$O$1004,"&lt;&gt;Expired")&gt;0,"✓",IF(COUNTIFS('AFA Rates'!$A$5:$A$1004,$A1010,'AFA Rates'!$B$5:$B$1004,M$23)&gt;0,"Exp","")))</f>
        <v/>
      </c>
    </row>
    <row r="1011">
      <c r="A1011" s="78">
        <f>IFERROR(INDEX(Firms!$A$5:$A$1004,MATCH(988,Firms!$V$5:$V$1004,0)),"")</f>
        <v/>
      </c>
      <c r="B1011" s="79">
        <f>IF($A1011="","",INDEX(Firms!$B$5:$B$1004,MATCH(988,Firms!$V$5:$V$1004,0)))</f>
        <v/>
      </c>
      <c r="C1011" s="79">
        <f>IF($A1011="","",COUNTIFS('AFA Rates'!$A$5:$A$1004,$A1011,'AFA Rates'!$O$5:$O$1004,"&lt;&gt;Expired"))</f>
        <v/>
      </c>
      <c r="D1011" s="79">
        <f>IF(OR($A1011="",D$23=""),"",IF(COUNTIFS('AFA Rates'!$A$5:$A$1004,$A1011,'AFA Rates'!$B$5:$B$1004,D$23,'AFA Rates'!$O$5:$O$1004,"&lt;&gt;Expired")&gt;0,"✓",IF(COUNTIFS('AFA Rates'!$A$5:$A$1004,$A1011,'AFA Rates'!$B$5:$B$1004,D$23)&gt;0,"Exp","")))</f>
        <v/>
      </c>
      <c r="E1011" s="79">
        <f>IF(OR($A1011="",E$23=""),"",IF(COUNTIFS('AFA Rates'!$A$5:$A$1004,$A1011,'AFA Rates'!$B$5:$B$1004,E$23,'AFA Rates'!$O$5:$O$1004,"&lt;&gt;Expired")&gt;0,"✓",IF(COUNTIFS('AFA Rates'!$A$5:$A$1004,$A1011,'AFA Rates'!$B$5:$B$1004,E$23)&gt;0,"Exp","")))</f>
        <v/>
      </c>
      <c r="F1011" s="79">
        <f>IF(OR($A1011="",F$23=""),"",IF(COUNTIFS('AFA Rates'!$A$5:$A$1004,$A1011,'AFA Rates'!$B$5:$B$1004,F$23,'AFA Rates'!$O$5:$O$1004,"&lt;&gt;Expired")&gt;0,"✓",IF(COUNTIFS('AFA Rates'!$A$5:$A$1004,$A1011,'AFA Rates'!$B$5:$B$1004,F$23)&gt;0,"Exp","")))</f>
        <v/>
      </c>
      <c r="G1011" s="79">
        <f>IF(OR($A1011="",G$23=""),"",IF(COUNTIFS('AFA Rates'!$A$5:$A$1004,$A1011,'AFA Rates'!$B$5:$B$1004,G$23,'AFA Rates'!$O$5:$O$1004,"&lt;&gt;Expired")&gt;0,"✓",IF(COUNTIFS('AFA Rates'!$A$5:$A$1004,$A1011,'AFA Rates'!$B$5:$B$1004,G$23)&gt;0,"Exp","")))</f>
        <v/>
      </c>
      <c r="H1011" s="79">
        <f>IF(OR($A1011="",H$23=""),"",IF(COUNTIFS('AFA Rates'!$A$5:$A$1004,$A1011,'AFA Rates'!$B$5:$B$1004,H$23,'AFA Rates'!$O$5:$O$1004,"&lt;&gt;Expired")&gt;0,"✓",IF(COUNTIFS('AFA Rates'!$A$5:$A$1004,$A1011,'AFA Rates'!$B$5:$B$1004,H$23)&gt;0,"Exp","")))</f>
        <v/>
      </c>
      <c r="I1011" s="79">
        <f>IF(OR($A1011="",I$23=""),"",IF(COUNTIFS('AFA Rates'!$A$5:$A$1004,$A1011,'AFA Rates'!$B$5:$B$1004,I$23,'AFA Rates'!$O$5:$O$1004,"&lt;&gt;Expired")&gt;0,"✓",IF(COUNTIFS('AFA Rates'!$A$5:$A$1004,$A1011,'AFA Rates'!$B$5:$B$1004,I$23)&gt;0,"Exp","")))</f>
        <v/>
      </c>
      <c r="J1011" s="79">
        <f>IF(OR($A1011="",J$23=""),"",IF(COUNTIFS('AFA Rates'!$A$5:$A$1004,$A1011,'AFA Rates'!$B$5:$B$1004,J$23,'AFA Rates'!$O$5:$O$1004,"&lt;&gt;Expired")&gt;0,"✓",IF(COUNTIFS('AFA Rates'!$A$5:$A$1004,$A1011,'AFA Rates'!$B$5:$B$1004,J$23)&gt;0,"Exp","")))</f>
        <v/>
      </c>
      <c r="K1011" s="79">
        <f>IF(OR($A1011="",K$23=""),"",IF(COUNTIFS('AFA Rates'!$A$5:$A$1004,$A1011,'AFA Rates'!$B$5:$B$1004,K$23,'AFA Rates'!$O$5:$O$1004,"&lt;&gt;Expired")&gt;0,"✓",IF(COUNTIFS('AFA Rates'!$A$5:$A$1004,$A1011,'AFA Rates'!$B$5:$B$1004,K$23)&gt;0,"Exp","")))</f>
        <v/>
      </c>
      <c r="L1011" s="79">
        <f>IF(OR($A1011="",L$23=""),"",IF(COUNTIFS('AFA Rates'!$A$5:$A$1004,$A1011,'AFA Rates'!$B$5:$B$1004,L$23,'AFA Rates'!$O$5:$O$1004,"&lt;&gt;Expired")&gt;0,"✓",IF(COUNTIFS('AFA Rates'!$A$5:$A$1004,$A1011,'AFA Rates'!$B$5:$B$1004,L$23)&gt;0,"Exp","")))</f>
        <v/>
      </c>
      <c r="M1011" s="79">
        <f>IF(OR($A1011="",M$23=""),"",IF(COUNTIFS('AFA Rates'!$A$5:$A$1004,$A1011,'AFA Rates'!$B$5:$B$1004,M$23,'AFA Rates'!$O$5:$O$1004,"&lt;&gt;Expired")&gt;0,"✓",IF(COUNTIFS('AFA Rates'!$A$5:$A$1004,$A1011,'AFA Rates'!$B$5:$B$1004,M$23)&gt;0,"Exp","")))</f>
        <v/>
      </c>
    </row>
    <row r="1012">
      <c r="A1012" s="78">
        <f>IFERROR(INDEX(Firms!$A$5:$A$1004,MATCH(989,Firms!$V$5:$V$1004,0)),"")</f>
        <v/>
      </c>
      <c r="B1012" s="79">
        <f>IF($A1012="","",INDEX(Firms!$B$5:$B$1004,MATCH(989,Firms!$V$5:$V$1004,0)))</f>
        <v/>
      </c>
      <c r="C1012" s="79">
        <f>IF($A1012="","",COUNTIFS('AFA Rates'!$A$5:$A$1004,$A1012,'AFA Rates'!$O$5:$O$1004,"&lt;&gt;Expired"))</f>
        <v/>
      </c>
      <c r="D1012" s="79">
        <f>IF(OR($A1012="",D$23=""),"",IF(COUNTIFS('AFA Rates'!$A$5:$A$1004,$A1012,'AFA Rates'!$B$5:$B$1004,D$23,'AFA Rates'!$O$5:$O$1004,"&lt;&gt;Expired")&gt;0,"✓",IF(COUNTIFS('AFA Rates'!$A$5:$A$1004,$A1012,'AFA Rates'!$B$5:$B$1004,D$23)&gt;0,"Exp","")))</f>
        <v/>
      </c>
      <c r="E1012" s="79">
        <f>IF(OR($A1012="",E$23=""),"",IF(COUNTIFS('AFA Rates'!$A$5:$A$1004,$A1012,'AFA Rates'!$B$5:$B$1004,E$23,'AFA Rates'!$O$5:$O$1004,"&lt;&gt;Expired")&gt;0,"✓",IF(COUNTIFS('AFA Rates'!$A$5:$A$1004,$A1012,'AFA Rates'!$B$5:$B$1004,E$23)&gt;0,"Exp","")))</f>
        <v/>
      </c>
      <c r="F1012" s="79">
        <f>IF(OR($A1012="",F$23=""),"",IF(COUNTIFS('AFA Rates'!$A$5:$A$1004,$A1012,'AFA Rates'!$B$5:$B$1004,F$23,'AFA Rates'!$O$5:$O$1004,"&lt;&gt;Expired")&gt;0,"✓",IF(COUNTIFS('AFA Rates'!$A$5:$A$1004,$A1012,'AFA Rates'!$B$5:$B$1004,F$23)&gt;0,"Exp","")))</f>
        <v/>
      </c>
      <c r="G1012" s="79">
        <f>IF(OR($A1012="",G$23=""),"",IF(COUNTIFS('AFA Rates'!$A$5:$A$1004,$A1012,'AFA Rates'!$B$5:$B$1004,G$23,'AFA Rates'!$O$5:$O$1004,"&lt;&gt;Expired")&gt;0,"✓",IF(COUNTIFS('AFA Rates'!$A$5:$A$1004,$A1012,'AFA Rates'!$B$5:$B$1004,G$23)&gt;0,"Exp","")))</f>
        <v/>
      </c>
      <c r="H1012" s="79">
        <f>IF(OR($A1012="",H$23=""),"",IF(COUNTIFS('AFA Rates'!$A$5:$A$1004,$A1012,'AFA Rates'!$B$5:$B$1004,H$23,'AFA Rates'!$O$5:$O$1004,"&lt;&gt;Expired")&gt;0,"✓",IF(COUNTIFS('AFA Rates'!$A$5:$A$1004,$A1012,'AFA Rates'!$B$5:$B$1004,H$23)&gt;0,"Exp","")))</f>
        <v/>
      </c>
      <c r="I1012" s="79">
        <f>IF(OR($A1012="",I$23=""),"",IF(COUNTIFS('AFA Rates'!$A$5:$A$1004,$A1012,'AFA Rates'!$B$5:$B$1004,I$23,'AFA Rates'!$O$5:$O$1004,"&lt;&gt;Expired")&gt;0,"✓",IF(COUNTIFS('AFA Rates'!$A$5:$A$1004,$A1012,'AFA Rates'!$B$5:$B$1004,I$23)&gt;0,"Exp","")))</f>
        <v/>
      </c>
      <c r="J1012" s="79">
        <f>IF(OR($A1012="",J$23=""),"",IF(COUNTIFS('AFA Rates'!$A$5:$A$1004,$A1012,'AFA Rates'!$B$5:$B$1004,J$23,'AFA Rates'!$O$5:$O$1004,"&lt;&gt;Expired")&gt;0,"✓",IF(COUNTIFS('AFA Rates'!$A$5:$A$1004,$A1012,'AFA Rates'!$B$5:$B$1004,J$23)&gt;0,"Exp","")))</f>
        <v/>
      </c>
      <c r="K1012" s="79">
        <f>IF(OR($A1012="",K$23=""),"",IF(COUNTIFS('AFA Rates'!$A$5:$A$1004,$A1012,'AFA Rates'!$B$5:$B$1004,K$23,'AFA Rates'!$O$5:$O$1004,"&lt;&gt;Expired")&gt;0,"✓",IF(COUNTIFS('AFA Rates'!$A$5:$A$1004,$A1012,'AFA Rates'!$B$5:$B$1004,K$23)&gt;0,"Exp","")))</f>
        <v/>
      </c>
      <c r="L1012" s="79">
        <f>IF(OR($A1012="",L$23=""),"",IF(COUNTIFS('AFA Rates'!$A$5:$A$1004,$A1012,'AFA Rates'!$B$5:$B$1004,L$23,'AFA Rates'!$O$5:$O$1004,"&lt;&gt;Expired")&gt;0,"✓",IF(COUNTIFS('AFA Rates'!$A$5:$A$1004,$A1012,'AFA Rates'!$B$5:$B$1004,L$23)&gt;0,"Exp","")))</f>
        <v/>
      </c>
      <c r="M1012" s="79">
        <f>IF(OR($A1012="",M$23=""),"",IF(COUNTIFS('AFA Rates'!$A$5:$A$1004,$A1012,'AFA Rates'!$B$5:$B$1004,M$23,'AFA Rates'!$O$5:$O$1004,"&lt;&gt;Expired")&gt;0,"✓",IF(COUNTIFS('AFA Rates'!$A$5:$A$1004,$A1012,'AFA Rates'!$B$5:$B$1004,M$23)&gt;0,"Exp","")))</f>
        <v/>
      </c>
    </row>
    <row r="1013">
      <c r="A1013" s="78">
        <f>IFERROR(INDEX(Firms!$A$5:$A$1004,MATCH(990,Firms!$V$5:$V$1004,0)),"")</f>
        <v/>
      </c>
      <c r="B1013" s="79">
        <f>IF($A1013="","",INDEX(Firms!$B$5:$B$1004,MATCH(990,Firms!$V$5:$V$1004,0)))</f>
        <v/>
      </c>
      <c r="C1013" s="79">
        <f>IF($A1013="","",COUNTIFS('AFA Rates'!$A$5:$A$1004,$A1013,'AFA Rates'!$O$5:$O$1004,"&lt;&gt;Expired"))</f>
        <v/>
      </c>
      <c r="D1013" s="79">
        <f>IF(OR($A1013="",D$23=""),"",IF(COUNTIFS('AFA Rates'!$A$5:$A$1004,$A1013,'AFA Rates'!$B$5:$B$1004,D$23,'AFA Rates'!$O$5:$O$1004,"&lt;&gt;Expired")&gt;0,"✓",IF(COUNTIFS('AFA Rates'!$A$5:$A$1004,$A1013,'AFA Rates'!$B$5:$B$1004,D$23)&gt;0,"Exp","")))</f>
        <v/>
      </c>
      <c r="E1013" s="79">
        <f>IF(OR($A1013="",E$23=""),"",IF(COUNTIFS('AFA Rates'!$A$5:$A$1004,$A1013,'AFA Rates'!$B$5:$B$1004,E$23,'AFA Rates'!$O$5:$O$1004,"&lt;&gt;Expired")&gt;0,"✓",IF(COUNTIFS('AFA Rates'!$A$5:$A$1004,$A1013,'AFA Rates'!$B$5:$B$1004,E$23)&gt;0,"Exp","")))</f>
        <v/>
      </c>
      <c r="F1013" s="79">
        <f>IF(OR($A1013="",F$23=""),"",IF(COUNTIFS('AFA Rates'!$A$5:$A$1004,$A1013,'AFA Rates'!$B$5:$B$1004,F$23,'AFA Rates'!$O$5:$O$1004,"&lt;&gt;Expired")&gt;0,"✓",IF(COUNTIFS('AFA Rates'!$A$5:$A$1004,$A1013,'AFA Rates'!$B$5:$B$1004,F$23)&gt;0,"Exp","")))</f>
        <v/>
      </c>
      <c r="G1013" s="79">
        <f>IF(OR($A1013="",G$23=""),"",IF(COUNTIFS('AFA Rates'!$A$5:$A$1004,$A1013,'AFA Rates'!$B$5:$B$1004,G$23,'AFA Rates'!$O$5:$O$1004,"&lt;&gt;Expired")&gt;0,"✓",IF(COUNTIFS('AFA Rates'!$A$5:$A$1004,$A1013,'AFA Rates'!$B$5:$B$1004,G$23)&gt;0,"Exp","")))</f>
        <v/>
      </c>
      <c r="H1013" s="79">
        <f>IF(OR($A1013="",H$23=""),"",IF(COUNTIFS('AFA Rates'!$A$5:$A$1004,$A1013,'AFA Rates'!$B$5:$B$1004,H$23,'AFA Rates'!$O$5:$O$1004,"&lt;&gt;Expired")&gt;0,"✓",IF(COUNTIFS('AFA Rates'!$A$5:$A$1004,$A1013,'AFA Rates'!$B$5:$B$1004,H$23)&gt;0,"Exp","")))</f>
        <v/>
      </c>
      <c r="I1013" s="79">
        <f>IF(OR($A1013="",I$23=""),"",IF(COUNTIFS('AFA Rates'!$A$5:$A$1004,$A1013,'AFA Rates'!$B$5:$B$1004,I$23,'AFA Rates'!$O$5:$O$1004,"&lt;&gt;Expired")&gt;0,"✓",IF(COUNTIFS('AFA Rates'!$A$5:$A$1004,$A1013,'AFA Rates'!$B$5:$B$1004,I$23)&gt;0,"Exp","")))</f>
        <v/>
      </c>
      <c r="J1013" s="79">
        <f>IF(OR($A1013="",J$23=""),"",IF(COUNTIFS('AFA Rates'!$A$5:$A$1004,$A1013,'AFA Rates'!$B$5:$B$1004,J$23,'AFA Rates'!$O$5:$O$1004,"&lt;&gt;Expired")&gt;0,"✓",IF(COUNTIFS('AFA Rates'!$A$5:$A$1004,$A1013,'AFA Rates'!$B$5:$B$1004,J$23)&gt;0,"Exp","")))</f>
        <v/>
      </c>
      <c r="K1013" s="79">
        <f>IF(OR($A1013="",K$23=""),"",IF(COUNTIFS('AFA Rates'!$A$5:$A$1004,$A1013,'AFA Rates'!$B$5:$B$1004,K$23,'AFA Rates'!$O$5:$O$1004,"&lt;&gt;Expired")&gt;0,"✓",IF(COUNTIFS('AFA Rates'!$A$5:$A$1004,$A1013,'AFA Rates'!$B$5:$B$1004,K$23)&gt;0,"Exp","")))</f>
        <v/>
      </c>
      <c r="L1013" s="79">
        <f>IF(OR($A1013="",L$23=""),"",IF(COUNTIFS('AFA Rates'!$A$5:$A$1004,$A1013,'AFA Rates'!$B$5:$B$1004,L$23,'AFA Rates'!$O$5:$O$1004,"&lt;&gt;Expired")&gt;0,"✓",IF(COUNTIFS('AFA Rates'!$A$5:$A$1004,$A1013,'AFA Rates'!$B$5:$B$1004,L$23)&gt;0,"Exp","")))</f>
        <v/>
      </c>
      <c r="M1013" s="79">
        <f>IF(OR($A1013="",M$23=""),"",IF(COUNTIFS('AFA Rates'!$A$5:$A$1004,$A1013,'AFA Rates'!$B$5:$B$1004,M$23,'AFA Rates'!$O$5:$O$1004,"&lt;&gt;Expired")&gt;0,"✓",IF(COUNTIFS('AFA Rates'!$A$5:$A$1004,$A1013,'AFA Rates'!$B$5:$B$1004,M$23)&gt;0,"Exp","")))</f>
        <v/>
      </c>
    </row>
    <row r="1014">
      <c r="A1014" s="78">
        <f>IFERROR(INDEX(Firms!$A$5:$A$1004,MATCH(991,Firms!$V$5:$V$1004,0)),"")</f>
        <v/>
      </c>
      <c r="B1014" s="79">
        <f>IF($A1014="","",INDEX(Firms!$B$5:$B$1004,MATCH(991,Firms!$V$5:$V$1004,0)))</f>
        <v/>
      </c>
      <c r="C1014" s="79">
        <f>IF($A1014="","",COUNTIFS('AFA Rates'!$A$5:$A$1004,$A1014,'AFA Rates'!$O$5:$O$1004,"&lt;&gt;Expired"))</f>
        <v/>
      </c>
      <c r="D1014" s="79">
        <f>IF(OR($A1014="",D$23=""),"",IF(COUNTIFS('AFA Rates'!$A$5:$A$1004,$A1014,'AFA Rates'!$B$5:$B$1004,D$23,'AFA Rates'!$O$5:$O$1004,"&lt;&gt;Expired")&gt;0,"✓",IF(COUNTIFS('AFA Rates'!$A$5:$A$1004,$A1014,'AFA Rates'!$B$5:$B$1004,D$23)&gt;0,"Exp","")))</f>
        <v/>
      </c>
      <c r="E1014" s="79">
        <f>IF(OR($A1014="",E$23=""),"",IF(COUNTIFS('AFA Rates'!$A$5:$A$1004,$A1014,'AFA Rates'!$B$5:$B$1004,E$23,'AFA Rates'!$O$5:$O$1004,"&lt;&gt;Expired")&gt;0,"✓",IF(COUNTIFS('AFA Rates'!$A$5:$A$1004,$A1014,'AFA Rates'!$B$5:$B$1004,E$23)&gt;0,"Exp","")))</f>
        <v/>
      </c>
      <c r="F1014" s="79">
        <f>IF(OR($A1014="",F$23=""),"",IF(COUNTIFS('AFA Rates'!$A$5:$A$1004,$A1014,'AFA Rates'!$B$5:$B$1004,F$23,'AFA Rates'!$O$5:$O$1004,"&lt;&gt;Expired")&gt;0,"✓",IF(COUNTIFS('AFA Rates'!$A$5:$A$1004,$A1014,'AFA Rates'!$B$5:$B$1004,F$23)&gt;0,"Exp","")))</f>
        <v/>
      </c>
      <c r="G1014" s="79">
        <f>IF(OR($A1014="",G$23=""),"",IF(COUNTIFS('AFA Rates'!$A$5:$A$1004,$A1014,'AFA Rates'!$B$5:$B$1004,G$23,'AFA Rates'!$O$5:$O$1004,"&lt;&gt;Expired")&gt;0,"✓",IF(COUNTIFS('AFA Rates'!$A$5:$A$1004,$A1014,'AFA Rates'!$B$5:$B$1004,G$23)&gt;0,"Exp","")))</f>
        <v/>
      </c>
      <c r="H1014" s="79">
        <f>IF(OR($A1014="",H$23=""),"",IF(COUNTIFS('AFA Rates'!$A$5:$A$1004,$A1014,'AFA Rates'!$B$5:$B$1004,H$23,'AFA Rates'!$O$5:$O$1004,"&lt;&gt;Expired")&gt;0,"✓",IF(COUNTIFS('AFA Rates'!$A$5:$A$1004,$A1014,'AFA Rates'!$B$5:$B$1004,H$23)&gt;0,"Exp","")))</f>
        <v/>
      </c>
      <c r="I1014" s="79">
        <f>IF(OR($A1014="",I$23=""),"",IF(COUNTIFS('AFA Rates'!$A$5:$A$1004,$A1014,'AFA Rates'!$B$5:$B$1004,I$23,'AFA Rates'!$O$5:$O$1004,"&lt;&gt;Expired")&gt;0,"✓",IF(COUNTIFS('AFA Rates'!$A$5:$A$1004,$A1014,'AFA Rates'!$B$5:$B$1004,I$23)&gt;0,"Exp","")))</f>
        <v/>
      </c>
      <c r="J1014" s="79">
        <f>IF(OR($A1014="",J$23=""),"",IF(COUNTIFS('AFA Rates'!$A$5:$A$1004,$A1014,'AFA Rates'!$B$5:$B$1004,J$23,'AFA Rates'!$O$5:$O$1004,"&lt;&gt;Expired")&gt;0,"✓",IF(COUNTIFS('AFA Rates'!$A$5:$A$1004,$A1014,'AFA Rates'!$B$5:$B$1004,J$23)&gt;0,"Exp","")))</f>
        <v/>
      </c>
      <c r="K1014" s="79">
        <f>IF(OR($A1014="",K$23=""),"",IF(COUNTIFS('AFA Rates'!$A$5:$A$1004,$A1014,'AFA Rates'!$B$5:$B$1004,K$23,'AFA Rates'!$O$5:$O$1004,"&lt;&gt;Expired")&gt;0,"✓",IF(COUNTIFS('AFA Rates'!$A$5:$A$1004,$A1014,'AFA Rates'!$B$5:$B$1004,K$23)&gt;0,"Exp","")))</f>
        <v/>
      </c>
      <c r="L1014" s="79">
        <f>IF(OR($A1014="",L$23=""),"",IF(COUNTIFS('AFA Rates'!$A$5:$A$1004,$A1014,'AFA Rates'!$B$5:$B$1004,L$23,'AFA Rates'!$O$5:$O$1004,"&lt;&gt;Expired")&gt;0,"✓",IF(COUNTIFS('AFA Rates'!$A$5:$A$1004,$A1014,'AFA Rates'!$B$5:$B$1004,L$23)&gt;0,"Exp","")))</f>
        <v/>
      </c>
      <c r="M1014" s="79">
        <f>IF(OR($A1014="",M$23=""),"",IF(COUNTIFS('AFA Rates'!$A$5:$A$1004,$A1014,'AFA Rates'!$B$5:$B$1004,M$23,'AFA Rates'!$O$5:$O$1004,"&lt;&gt;Expired")&gt;0,"✓",IF(COUNTIFS('AFA Rates'!$A$5:$A$1004,$A1014,'AFA Rates'!$B$5:$B$1004,M$23)&gt;0,"Exp","")))</f>
        <v/>
      </c>
    </row>
    <row r="1015">
      <c r="A1015" s="78">
        <f>IFERROR(INDEX(Firms!$A$5:$A$1004,MATCH(992,Firms!$V$5:$V$1004,0)),"")</f>
        <v/>
      </c>
      <c r="B1015" s="79">
        <f>IF($A1015="","",INDEX(Firms!$B$5:$B$1004,MATCH(992,Firms!$V$5:$V$1004,0)))</f>
        <v/>
      </c>
      <c r="C1015" s="79">
        <f>IF($A1015="","",COUNTIFS('AFA Rates'!$A$5:$A$1004,$A1015,'AFA Rates'!$O$5:$O$1004,"&lt;&gt;Expired"))</f>
        <v/>
      </c>
      <c r="D1015" s="79">
        <f>IF(OR($A1015="",D$23=""),"",IF(COUNTIFS('AFA Rates'!$A$5:$A$1004,$A1015,'AFA Rates'!$B$5:$B$1004,D$23,'AFA Rates'!$O$5:$O$1004,"&lt;&gt;Expired")&gt;0,"✓",IF(COUNTIFS('AFA Rates'!$A$5:$A$1004,$A1015,'AFA Rates'!$B$5:$B$1004,D$23)&gt;0,"Exp","")))</f>
        <v/>
      </c>
      <c r="E1015" s="79">
        <f>IF(OR($A1015="",E$23=""),"",IF(COUNTIFS('AFA Rates'!$A$5:$A$1004,$A1015,'AFA Rates'!$B$5:$B$1004,E$23,'AFA Rates'!$O$5:$O$1004,"&lt;&gt;Expired")&gt;0,"✓",IF(COUNTIFS('AFA Rates'!$A$5:$A$1004,$A1015,'AFA Rates'!$B$5:$B$1004,E$23)&gt;0,"Exp","")))</f>
        <v/>
      </c>
      <c r="F1015" s="79">
        <f>IF(OR($A1015="",F$23=""),"",IF(COUNTIFS('AFA Rates'!$A$5:$A$1004,$A1015,'AFA Rates'!$B$5:$B$1004,F$23,'AFA Rates'!$O$5:$O$1004,"&lt;&gt;Expired")&gt;0,"✓",IF(COUNTIFS('AFA Rates'!$A$5:$A$1004,$A1015,'AFA Rates'!$B$5:$B$1004,F$23)&gt;0,"Exp","")))</f>
        <v/>
      </c>
      <c r="G1015" s="79">
        <f>IF(OR($A1015="",G$23=""),"",IF(COUNTIFS('AFA Rates'!$A$5:$A$1004,$A1015,'AFA Rates'!$B$5:$B$1004,G$23,'AFA Rates'!$O$5:$O$1004,"&lt;&gt;Expired")&gt;0,"✓",IF(COUNTIFS('AFA Rates'!$A$5:$A$1004,$A1015,'AFA Rates'!$B$5:$B$1004,G$23)&gt;0,"Exp","")))</f>
        <v/>
      </c>
      <c r="H1015" s="79">
        <f>IF(OR($A1015="",H$23=""),"",IF(COUNTIFS('AFA Rates'!$A$5:$A$1004,$A1015,'AFA Rates'!$B$5:$B$1004,H$23,'AFA Rates'!$O$5:$O$1004,"&lt;&gt;Expired")&gt;0,"✓",IF(COUNTIFS('AFA Rates'!$A$5:$A$1004,$A1015,'AFA Rates'!$B$5:$B$1004,H$23)&gt;0,"Exp","")))</f>
        <v/>
      </c>
      <c r="I1015" s="79">
        <f>IF(OR($A1015="",I$23=""),"",IF(COUNTIFS('AFA Rates'!$A$5:$A$1004,$A1015,'AFA Rates'!$B$5:$B$1004,I$23,'AFA Rates'!$O$5:$O$1004,"&lt;&gt;Expired")&gt;0,"✓",IF(COUNTIFS('AFA Rates'!$A$5:$A$1004,$A1015,'AFA Rates'!$B$5:$B$1004,I$23)&gt;0,"Exp","")))</f>
        <v/>
      </c>
      <c r="J1015" s="79">
        <f>IF(OR($A1015="",J$23=""),"",IF(COUNTIFS('AFA Rates'!$A$5:$A$1004,$A1015,'AFA Rates'!$B$5:$B$1004,J$23,'AFA Rates'!$O$5:$O$1004,"&lt;&gt;Expired")&gt;0,"✓",IF(COUNTIFS('AFA Rates'!$A$5:$A$1004,$A1015,'AFA Rates'!$B$5:$B$1004,J$23)&gt;0,"Exp","")))</f>
        <v/>
      </c>
      <c r="K1015" s="79">
        <f>IF(OR($A1015="",K$23=""),"",IF(COUNTIFS('AFA Rates'!$A$5:$A$1004,$A1015,'AFA Rates'!$B$5:$B$1004,K$23,'AFA Rates'!$O$5:$O$1004,"&lt;&gt;Expired")&gt;0,"✓",IF(COUNTIFS('AFA Rates'!$A$5:$A$1004,$A1015,'AFA Rates'!$B$5:$B$1004,K$23)&gt;0,"Exp","")))</f>
        <v/>
      </c>
      <c r="L1015" s="79">
        <f>IF(OR($A1015="",L$23=""),"",IF(COUNTIFS('AFA Rates'!$A$5:$A$1004,$A1015,'AFA Rates'!$B$5:$B$1004,L$23,'AFA Rates'!$O$5:$O$1004,"&lt;&gt;Expired")&gt;0,"✓",IF(COUNTIFS('AFA Rates'!$A$5:$A$1004,$A1015,'AFA Rates'!$B$5:$B$1004,L$23)&gt;0,"Exp","")))</f>
        <v/>
      </c>
      <c r="M1015" s="79">
        <f>IF(OR($A1015="",M$23=""),"",IF(COUNTIFS('AFA Rates'!$A$5:$A$1004,$A1015,'AFA Rates'!$B$5:$B$1004,M$23,'AFA Rates'!$O$5:$O$1004,"&lt;&gt;Expired")&gt;0,"✓",IF(COUNTIFS('AFA Rates'!$A$5:$A$1004,$A1015,'AFA Rates'!$B$5:$B$1004,M$23)&gt;0,"Exp","")))</f>
        <v/>
      </c>
    </row>
    <row r="1016">
      <c r="A1016" s="78">
        <f>IFERROR(INDEX(Firms!$A$5:$A$1004,MATCH(993,Firms!$V$5:$V$1004,0)),"")</f>
        <v/>
      </c>
      <c r="B1016" s="79">
        <f>IF($A1016="","",INDEX(Firms!$B$5:$B$1004,MATCH(993,Firms!$V$5:$V$1004,0)))</f>
        <v/>
      </c>
      <c r="C1016" s="79">
        <f>IF($A1016="","",COUNTIFS('AFA Rates'!$A$5:$A$1004,$A1016,'AFA Rates'!$O$5:$O$1004,"&lt;&gt;Expired"))</f>
        <v/>
      </c>
      <c r="D1016" s="79">
        <f>IF(OR($A1016="",D$23=""),"",IF(COUNTIFS('AFA Rates'!$A$5:$A$1004,$A1016,'AFA Rates'!$B$5:$B$1004,D$23,'AFA Rates'!$O$5:$O$1004,"&lt;&gt;Expired")&gt;0,"✓",IF(COUNTIFS('AFA Rates'!$A$5:$A$1004,$A1016,'AFA Rates'!$B$5:$B$1004,D$23)&gt;0,"Exp","")))</f>
        <v/>
      </c>
      <c r="E1016" s="79">
        <f>IF(OR($A1016="",E$23=""),"",IF(COUNTIFS('AFA Rates'!$A$5:$A$1004,$A1016,'AFA Rates'!$B$5:$B$1004,E$23,'AFA Rates'!$O$5:$O$1004,"&lt;&gt;Expired")&gt;0,"✓",IF(COUNTIFS('AFA Rates'!$A$5:$A$1004,$A1016,'AFA Rates'!$B$5:$B$1004,E$23)&gt;0,"Exp","")))</f>
        <v/>
      </c>
      <c r="F1016" s="79">
        <f>IF(OR($A1016="",F$23=""),"",IF(COUNTIFS('AFA Rates'!$A$5:$A$1004,$A1016,'AFA Rates'!$B$5:$B$1004,F$23,'AFA Rates'!$O$5:$O$1004,"&lt;&gt;Expired")&gt;0,"✓",IF(COUNTIFS('AFA Rates'!$A$5:$A$1004,$A1016,'AFA Rates'!$B$5:$B$1004,F$23)&gt;0,"Exp","")))</f>
        <v/>
      </c>
      <c r="G1016" s="79">
        <f>IF(OR($A1016="",G$23=""),"",IF(COUNTIFS('AFA Rates'!$A$5:$A$1004,$A1016,'AFA Rates'!$B$5:$B$1004,G$23,'AFA Rates'!$O$5:$O$1004,"&lt;&gt;Expired")&gt;0,"✓",IF(COUNTIFS('AFA Rates'!$A$5:$A$1004,$A1016,'AFA Rates'!$B$5:$B$1004,G$23)&gt;0,"Exp","")))</f>
        <v/>
      </c>
      <c r="H1016" s="79">
        <f>IF(OR($A1016="",H$23=""),"",IF(COUNTIFS('AFA Rates'!$A$5:$A$1004,$A1016,'AFA Rates'!$B$5:$B$1004,H$23,'AFA Rates'!$O$5:$O$1004,"&lt;&gt;Expired")&gt;0,"✓",IF(COUNTIFS('AFA Rates'!$A$5:$A$1004,$A1016,'AFA Rates'!$B$5:$B$1004,H$23)&gt;0,"Exp","")))</f>
        <v/>
      </c>
      <c r="I1016" s="79">
        <f>IF(OR($A1016="",I$23=""),"",IF(COUNTIFS('AFA Rates'!$A$5:$A$1004,$A1016,'AFA Rates'!$B$5:$B$1004,I$23,'AFA Rates'!$O$5:$O$1004,"&lt;&gt;Expired")&gt;0,"✓",IF(COUNTIFS('AFA Rates'!$A$5:$A$1004,$A1016,'AFA Rates'!$B$5:$B$1004,I$23)&gt;0,"Exp","")))</f>
        <v/>
      </c>
      <c r="J1016" s="79">
        <f>IF(OR($A1016="",J$23=""),"",IF(COUNTIFS('AFA Rates'!$A$5:$A$1004,$A1016,'AFA Rates'!$B$5:$B$1004,J$23,'AFA Rates'!$O$5:$O$1004,"&lt;&gt;Expired")&gt;0,"✓",IF(COUNTIFS('AFA Rates'!$A$5:$A$1004,$A1016,'AFA Rates'!$B$5:$B$1004,J$23)&gt;0,"Exp","")))</f>
        <v/>
      </c>
      <c r="K1016" s="79">
        <f>IF(OR($A1016="",K$23=""),"",IF(COUNTIFS('AFA Rates'!$A$5:$A$1004,$A1016,'AFA Rates'!$B$5:$B$1004,K$23,'AFA Rates'!$O$5:$O$1004,"&lt;&gt;Expired")&gt;0,"✓",IF(COUNTIFS('AFA Rates'!$A$5:$A$1004,$A1016,'AFA Rates'!$B$5:$B$1004,K$23)&gt;0,"Exp","")))</f>
        <v/>
      </c>
      <c r="L1016" s="79">
        <f>IF(OR($A1016="",L$23=""),"",IF(COUNTIFS('AFA Rates'!$A$5:$A$1004,$A1016,'AFA Rates'!$B$5:$B$1004,L$23,'AFA Rates'!$O$5:$O$1004,"&lt;&gt;Expired")&gt;0,"✓",IF(COUNTIFS('AFA Rates'!$A$5:$A$1004,$A1016,'AFA Rates'!$B$5:$B$1004,L$23)&gt;0,"Exp","")))</f>
        <v/>
      </c>
      <c r="M1016" s="79">
        <f>IF(OR($A1016="",M$23=""),"",IF(COUNTIFS('AFA Rates'!$A$5:$A$1004,$A1016,'AFA Rates'!$B$5:$B$1004,M$23,'AFA Rates'!$O$5:$O$1004,"&lt;&gt;Expired")&gt;0,"✓",IF(COUNTIFS('AFA Rates'!$A$5:$A$1004,$A1016,'AFA Rates'!$B$5:$B$1004,M$23)&gt;0,"Exp","")))</f>
        <v/>
      </c>
    </row>
    <row r="1017">
      <c r="A1017" s="78">
        <f>IFERROR(INDEX(Firms!$A$5:$A$1004,MATCH(994,Firms!$V$5:$V$1004,0)),"")</f>
        <v/>
      </c>
      <c r="B1017" s="79">
        <f>IF($A1017="","",INDEX(Firms!$B$5:$B$1004,MATCH(994,Firms!$V$5:$V$1004,0)))</f>
        <v/>
      </c>
      <c r="C1017" s="79">
        <f>IF($A1017="","",COUNTIFS('AFA Rates'!$A$5:$A$1004,$A1017,'AFA Rates'!$O$5:$O$1004,"&lt;&gt;Expired"))</f>
        <v/>
      </c>
      <c r="D1017" s="79">
        <f>IF(OR($A1017="",D$23=""),"",IF(COUNTIFS('AFA Rates'!$A$5:$A$1004,$A1017,'AFA Rates'!$B$5:$B$1004,D$23,'AFA Rates'!$O$5:$O$1004,"&lt;&gt;Expired")&gt;0,"✓",IF(COUNTIFS('AFA Rates'!$A$5:$A$1004,$A1017,'AFA Rates'!$B$5:$B$1004,D$23)&gt;0,"Exp","")))</f>
        <v/>
      </c>
      <c r="E1017" s="79">
        <f>IF(OR($A1017="",E$23=""),"",IF(COUNTIFS('AFA Rates'!$A$5:$A$1004,$A1017,'AFA Rates'!$B$5:$B$1004,E$23,'AFA Rates'!$O$5:$O$1004,"&lt;&gt;Expired")&gt;0,"✓",IF(COUNTIFS('AFA Rates'!$A$5:$A$1004,$A1017,'AFA Rates'!$B$5:$B$1004,E$23)&gt;0,"Exp","")))</f>
        <v/>
      </c>
      <c r="F1017" s="79">
        <f>IF(OR($A1017="",F$23=""),"",IF(COUNTIFS('AFA Rates'!$A$5:$A$1004,$A1017,'AFA Rates'!$B$5:$B$1004,F$23,'AFA Rates'!$O$5:$O$1004,"&lt;&gt;Expired")&gt;0,"✓",IF(COUNTIFS('AFA Rates'!$A$5:$A$1004,$A1017,'AFA Rates'!$B$5:$B$1004,F$23)&gt;0,"Exp","")))</f>
        <v/>
      </c>
      <c r="G1017" s="79">
        <f>IF(OR($A1017="",G$23=""),"",IF(COUNTIFS('AFA Rates'!$A$5:$A$1004,$A1017,'AFA Rates'!$B$5:$B$1004,G$23,'AFA Rates'!$O$5:$O$1004,"&lt;&gt;Expired")&gt;0,"✓",IF(COUNTIFS('AFA Rates'!$A$5:$A$1004,$A1017,'AFA Rates'!$B$5:$B$1004,G$23)&gt;0,"Exp","")))</f>
        <v/>
      </c>
      <c r="H1017" s="79">
        <f>IF(OR($A1017="",H$23=""),"",IF(COUNTIFS('AFA Rates'!$A$5:$A$1004,$A1017,'AFA Rates'!$B$5:$B$1004,H$23,'AFA Rates'!$O$5:$O$1004,"&lt;&gt;Expired")&gt;0,"✓",IF(COUNTIFS('AFA Rates'!$A$5:$A$1004,$A1017,'AFA Rates'!$B$5:$B$1004,H$23)&gt;0,"Exp","")))</f>
        <v/>
      </c>
      <c r="I1017" s="79">
        <f>IF(OR($A1017="",I$23=""),"",IF(COUNTIFS('AFA Rates'!$A$5:$A$1004,$A1017,'AFA Rates'!$B$5:$B$1004,I$23,'AFA Rates'!$O$5:$O$1004,"&lt;&gt;Expired")&gt;0,"✓",IF(COUNTIFS('AFA Rates'!$A$5:$A$1004,$A1017,'AFA Rates'!$B$5:$B$1004,I$23)&gt;0,"Exp","")))</f>
        <v/>
      </c>
      <c r="J1017" s="79">
        <f>IF(OR($A1017="",J$23=""),"",IF(COUNTIFS('AFA Rates'!$A$5:$A$1004,$A1017,'AFA Rates'!$B$5:$B$1004,J$23,'AFA Rates'!$O$5:$O$1004,"&lt;&gt;Expired")&gt;0,"✓",IF(COUNTIFS('AFA Rates'!$A$5:$A$1004,$A1017,'AFA Rates'!$B$5:$B$1004,J$23)&gt;0,"Exp","")))</f>
        <v/>
      </c>
      <c r="K1017" s="79">
        <f>IF(OR($A1017="",K$23=""),"",IF(COUNTIFS('AFA Rates'!$A$5:$A$1004,$A1017,'AFA Rates'!$B$5:$B$1004,K$23,'AFA Rates'!$O$5:$O$1004,"&lt;&gt;Expired")&gt;0,"✓",IF(COUNTIFS('AFA Rates'!$A$5:$A$1004,$A1017,'AFA Rates'!$B$5:$B$1004,K$23)&gt;0,"Exp","")))</f>
        <v/>
      </c>
      <c r="L1017" s="79">
        <f>IF(OR($A1017="",L$23=""),"",IF(COUNTIFS('AFA Rates'!$A$5:$A$1004,$A1017,'AFA Rates'!$B$5:$B$1004,L$23,'AFA Rates'!$O$5:$O$1004,"&lt;&gt;Expired")&gt;0,"✓",IF(COUNTIFS('AFA Rates'!$A$5:$A$1004,$A1017,'AFA Rates'!$B$5:$B$1004,L$23)&gt;0,"Exp","")))</f>
        <v/>
      </c>
      <c r="M1017" s="79">
        <f>IF(OR($A1017="",M$23=""),"",IF(COUNTIFS('AFA Rates'!$A$5:$A$1004,$A1017,'AFA Rates'!$B$5:$B$1004,M$23,'AFA Rates'!$O$5:$O$1004,"&lt;&gt;Expired")&gt;0,"✓",IF(COUNTIFS('AFA Rates'!$A$5:$A$1004,$A1017,'AFA Rates'!$B$5:$B$1004,M$23)&gt;0,"Exp","")))</f>
        <v/>
      </c>
    </row>
    <row r="1018">
      <c r="A1018" s="78">
        <f>IFERROR(INDEX(Firms!$A$5:$A$1004,MATCH(995,Firms!$V$5:$V$1004,0)),"")</f>
        <v/>
      </c>
      <c r="B1018" s="79">
        <f>IF($A1018="","",INDEX(Firms!$B$5:$B$1004,MATCH(995,Firms!$V$5:$V$1004,0)))</f>
        <v/>
      </c>
      <c r="C1018" s="79">
        <f>IF($A1018="","",COUNTIFS('AFA Rates'!$A$5:$A$1004,$A1018,'AFA Rates'!$O$5:$O$1004,"&lt;&gt;Expired"))</f>
        <v/>
      </c>
      <c r="D1018" s="79">
        <f>IF(OR($A1018="",D$23=""),"",IF(COUNTIFS('AFA Rates'!$A$5:$A$1004,$A1018,'AFA Rates'!$B$5:$B$1004,D$23,'AFA Rates'!$O$5:$O$1004,"&lt;&gt;Expired")&gt;0,"✓",IF(COUNTIFS('AFA Rates'!$A$5:$A$1004,$A1018,'AFA Rates'!$B$5:$B$1004,D$23)&gt;0,"Exp","")))</f>
        <v/>
      </c>
      <c r="E1018" s="79">
        <f>IF(OR($A1018="",E$23=""),"",IF(COUNTIFS('AFA Rates'!$A$5:$A$1004,$A1018,'AFA Rates'!$B$5:$B$1004,E$23,'AFA Rates'!$O$5:$O$1004,"&lt;&gt;Expired")&gt;0,"✓",IF(COUNTIFS('AFA Rates'!$A$5:$A$1004,$A1018,'AFA Rates'!$B$5:$B$1004,E$23)&gt;0,"Exp","")))</f>
        <v/>
      </c>
      <c r="F1018" s="79">
        <f>IF(OR($A1018="",F$23=""),"",IF(COUNTIFS('AFA Rates'!$A$5:$A$1004,$A1018,'AFA Rates'!$B$5:$B$1004,F$23,'AFA Rates'!$O$5:$O$1004,"&lt;&gt;Expired")&gt;0,"✓",IF(COUNTIFS('AFA Rates'!$A$5:$A$1004,$A1018,'AFA Rates'!$B$5:$B$1004,F$23)&gt;0,"Exp","")))</f>
        <v/>
      </c>
      <c r="G1018" s="79">
        <f>IF(OR($A1018="",G$23=""),"",IF(COUNTIFS('AFA Rates'!$A$5:$A$1004,$A1018,'AFA Rates'!$B$5:$B$1004,G$23,'AFA Rates'!$O$5:$O$1004,"&lt;&gt;Expired")&gt;0,"✓",IF(COUNTIFS('AFA Rates'!$A$5:$A$1004,$A1018,'AFA Rates'!$B$5:$B$1004,G$23)&gt;0,"Exp","")))</f>
        <v/>
      </c>
      <c r="H1018" s="79">
        <f>IF(OR($A1018="",H$23=""),"",IF(COUNTIFS('AFA Rates'!$A$5:$A$1004,$A1018,'AFA Rates'!$B$5:$B$1004,H$23,'AFA Rates'!$O$5:$O$1004,"&lt;&gt;Expired")&gt;0,"✓",IF(COUNTIFS('AFA Rates'!$A$5:$A$1004,$A1018,'AFA Rates'!$B$5:$B$1004,H$23)&gt;0,"Exp","")))</f>
        <v/>
      </c>
      <c r="I1018" s="79">
        <f>IF(OR($A1018="",I$23=""),"",IF(COUNTIFS('AFA Rates'!$A$5:$A$1004,$A1018,'AFA Rates'!$B$5:$B$1004,I$23,'AFA Rates'!$O$5:$O$1004,"&lt;&gt;Expired")&gt;0,"✓",IF(COUNTIFS('AFA Rates'!$A$5:$A$1004,$A1018,'AFA Rates'!$B$5:$B$1004,I$23)&gt;0,"Exp","")))</f>
        <v/>
      </c>
      <c r="J1018" s="79">
        <f>IF(OR($A1018="",J$23=""),"",IF(COUNTIFS('AFA Rates'!$A$5:$A$1004,$A1018,'AFA Rates'!$B$5:$B$1004,J$23,'AFA Rates'!$O$5:$O$1004,"&lt;&gt;Expired")&gt;0,"✓",IF(COUNTIFS('AFA Rates'!$A$5:$A$1004,$A1018,'AFA Rates'!$B$5:$B$1004,J$23)&gt;0,"Exp","")))</f>
        <v/>
      </c>
      <c r="K1018" s="79">
        <f>IF(OR($A1018="",K$23=""),"",IF(COUNTIFS('AFA Rates'!$A$5:$A$1004,$A1018,'AFA Rates'!$B$5:$B$1004,K$23,'AFA Rates'!$O$5:$O$1004,"&lt;&gt;Expired")&gt;0,"✓",IF(COUNTIFS('AFA Rates'!$A$5:$A$1004,$A1018,'AFA Rates'!$B$5:$B$1004,K$23)&gt;0,"Exp","")))</f>
        <v/>
      </c>
      <c r="L1018" s="79">
        <f>IF(OR($A1018="",L$23=""),"",IF(COUNTIFS('AFA Rates'!$A$5:$A$1004,$A1018,'AFA Rates'!$B$5:$B$1004,L$23,'AFA Rates'!$O$5:$O$1004,"&lt;&gt;Expired")&gt;0,"✓",IF(COUNTIFS('AFA Rates'!$A$5:$A$1004,$A1018,'AFA Rates'!$B$5:$B$1004,L$23)&gt;0,"Exp","")))</f>
        <v/>
      </c>
      <c r="M1018" s="79">
        <f>IF(OR($A1018="",M$23=""),"",IF(COUNTIFS('AFA Rates'!$A$5:$A$1004,$A1018,'AFA Rates'!$B$5:$B$1004,M$23,'AFA Rates'!$O$5:$O$1004,"&lt;&gt;Expired")&gt;0,"✓",IF(COUNTIFS('AFA Rates'!$A$5:$A$1004,$A1018,'AFA Rates'!$B$5:$B$1004,M$23)&gt;0,"Exp","")))</f>
        <v/>
      </c>
    </row>
    <row r="1019">
      <c r="A1019" s="78">
        <f>IFERROR(INDEX(Firms!$A$5:$A$1004,MATCH(996,Firms!$V$5:$V$1004,0)),"")</f>
        <v/>
      </c>
      <c r="B1019" s="79">
        <f>IF($A1019="","",INDEX(Firms!$B$5:$B$1004,MATCH(996,Firms!$V$5:$V$1004,0)))</f>
        <v/>
      </c>
      <c r="C1019" s="79">
        <f>IF($A1019="","",COUNTIFS('AFA Rates'!$A$5:$A$1004,$A1019,'AFA Rates'!$O$5:$O$1004,"&lt;&gt;Expired"))</f>
        <v/>
      </c>
      <c r="D1019" s="79">
        <f>IF(OR($A1019="",D$23=""),"",IF(COUNTIFS('AFA Rates'!$A$5:$A$1004,$A1019,'AFA Rates'!$B$5:$B$1004,D$23,'AFA Rates'!$O$5:$O$1004,"&lt;&gt;Expired")&gt;0,"✓",IF(COUNTIFS('AFA Rates'!$A$5:$A$1004,$A1019,'AFA Rates'!$B$5:$B$1004,D$23)&gt;0,"Exp","")))</f>
        <v/>
      </c>
      <c r="E1019" s="79">
        <f>IF(OR($A1019="",E$23=""),"",IF(COUNTIFS('AFA Rates'!$A$5:$A$1004,$A1019,'AFA Rates'!$B$5:$B$1004,E$23,'AFA Rates'!$O$5:$O$1004,"&lt;&gt;Expired")&gt;0,"✓",IF(COUNTIFS('AFA Rates'!$A$5:$A$1004,$A1019,'AFA Rates'!$B$5:$B$1004,E$23)&gt;0,"Exp","")))</f>
        <v/>
      </c>
      <c r="F1019" s="79">
        <f>IF(OR($A1019="",F$23=""),"",IF(COUNTIFS('AFA Rates'!$A$5:$A$1004,$A1019,'AFA Rates'!$B$5:$B$1004,F$23,'AFA Rates'!$O$5:$O$1004,"&lt;&gt;Expired")&gt;0,"✓",IF(COUNTIFS('AFA Rates'!$A$5:$A$1004,$A1019,'AFA Rates'!$B$5:$B$1004,F$23)&gt;0,"Exp","")))</f>
        <v/>
      </c>
      <c r="G1019" s="79">
        <f>IF(OR($A1019="",G$23=""),"",IF(COUNTIFS('AFA Rates'!$A$5:$A$1004,$A1019,'AFA Rates'!$B$5:$B$1004,G$23,'AFA Rates'!$O$5:$O$1004,"&lt;&gt;Expired")&gt;0,"✓",IF(COUNTIFS('AFA Rates'!$A$5:$A$1004,$A1019,'AFA Rates'!$B$5:$B$1004,G$23)&gt;0,"Exp","")))</f>
        <v/>
      </c>
      <c r="H1019" s="79">
        <f>IF(OR($A1019="",H$23=""),"",IF(COUNTIFS('AFA Rates'!$A$5:$A$1004,$A1019,'AFA Rates'!$B$5:$B$1004,H$23,'AFA Rates'!$O$5:$O$1004,"&lt;&gt;Expired")&gt;0,"✓",IF(COUNTIFS('AFA Rates'!$A$5:$A$1004,$A1019,'AFA Rates'!$B$5:$B$1004,H$23)&gt;0,"Exp","")))</f>
        <v/>
      </c>
      <c r="I1019" s="79">
        <f>IF(OR($A1019="",I$23=""),"",IF(COUNTIFS('AFA Rates'!$A$5:$A$1004,$A1019,'AFA Rates'!$B$5:$B$1004,I$23,'AFA Rates'!$O$5:$O$1004,"&lt;&gt;Expired")&gt;0,"✓",IF(COUNTIFS('AFA Rates'!$A$5:$A$1004,$A1019,'AFA Rates'!$B$5:$B$1004,I$23)&gt;0,"Exp","")))</f>
        <v/>
      </c>
      <c r="J1019" s="79">
        <f>IF(OR($A1019="",J$23=""),"",IF(COUNTIFS('AFA Rates'!$A$5:$A$1004,$A1019,'AFA Rates'!$B$5:$B$1004,J$23,'AFA Rates'!$O$5:$O$1004,"&lt;&gt;Expired")&gt;0,"✓",IF(COUNTIFS('AFA Rates'!$A$5:$A$1004,$A1019,'AFA Rates'!$B$5:$B$1004,J$23)&gt;0,"Exp","")))</f>
        <v/>
      </c>
      <c r="K1019" s="79">
        <f>IF(OR($A1019="",K$23=""),"",IF(COUNTIFS('AFA Rates'!$A$5:$A$1004,$A1019,'AFA Rates'!$B$5:$B$1004,K$23,'AFA Rates'!$O$5:$O$1004,"&lt;&gt;Expired")&gt;0,"✓",IF(COUNTIFS('AFA Rates'!$A$5:$A$1004,$A1019,'AFA Rates'!$B$5:$B$1004,K$23)&gt;0,"Exp","")))</f>
        <v/>
      </c>
      <c r="L1019" s="79">
        <f>IF(OR($A1019="",L$23=""),"",IF(COUNTIFS('AFA Rates'!$A$5:$A$1004,$A1019,'AFA Rates'!$B$5:$B$1004,L$23,'AFA Rates'!$O$5:$O$1004,"&lt;&gt;Expired")&gt;0,"✓",IF(COUNTIFS('AFA Rates'!$A$5:$A$1004,$A1019,'AFA Rates'!$B$5:$B$1004,L$23)&gt;0,"Exp","")))</f>
        <v/>
      </c>
      <c r="M1019" s="79">
        <f>IF(OR($A1019="",M$23=""),"",IF(COUNTIFS('AFA Rates'!$A$5:$A$1004,$A1019,'AFA Rates'!$B$5:$B$1004,M$23,'AFA Rates'!$O$5:$O$1004,"&lt;&gt;Expired")&gt;0,"✓",IF(COUNTIFS('AFA Rates'!$A$5:$A$1004,$A1019,'AFA Rates'!$B$5:$B$1004,M$23)&gt;0,"Exp","")))</f>
        <v/>
      </c>
    </row>
    <row r="1020">
      <c r="A1020" s="78">
        <f>IFERROR(INDEX(Firms!$A$5:$A$1004,MATCH(997,Firms!$V$5:$V$1004,0)),"")</f>
        <v/>
      </c>
      <c r="B1020" s="79">
        <f>IF($A1020="","",INDEX(Firms!$B$5:$B$1004,MATCH(997,Firms!$V$5:$V$1004,0)))</f>
        <v/>
      </c>
      <c r="C1020" s="79">
        <f>IF($A1020="","",COUNTIFS('AFA Rates'!$A$5:$A$1004,$A1020,'AFA Rates'!$O$5:$O$1004,"&lt;&gt;Expired"))</f>
        <v/>
      </c>
      <c r="D1020" s="79">
        <f>IF(OR($A1020="",D$23=""),"",IF(COUNTIFS('AFA Rates'!$A$5:$A$1004,$A1020,'AFA Rates'!$B$5:$B$1004,D$23,'AFA Rates'!$O$5:$O$1004,"&lt;&gt;Expired")&gt;0,"✓",IF(COUNTIFS('AFA Rates'!$A$5:$A$1004,$A1020,'AFA Rates'!$B$5:$B$1004,D$23)&gt;0,"Exp","")))</f>
        <v/>
      </c>
      <c r="E1020" s="79">
        <f>IF(OR($A1020="",E$23=""),"",IF(COUNTIFS('AFA Rates'!$A$5:$A$1004,$A1020,'AFA Rates'!$B$5:$B$1004,E$23,'AFA Rates'!$O$5:$O$1004,"&lt;&gt;Expired")&gt;0,"✓",IF(COUNTIFS('AFA Rates'!$A$5:$A$1004,$A1020,'AFA Rates'!$B$5:$B$1004,E$23)&gt;0,"Exp","")))</f>
        <v/>
      </c>
      <c r="F1020" s="79">
        <f>IF(OR($A1020="",F$23=""),"",IF(COUNTIFS('AFA Rates'!$A$5:$A$1004,$A1020,'AFA Rates'!$B$5:$B$1004,F$23,'AFA Rates'!$O$5:$O$1004,"&lt;&gt;Expired")&gt;0,"✓",IF(COUNTIFS('AFA Rates'!$A$5:$A$1004,$A1020,'AFA Rates'!$B$5:$B$1004,F$23)&gt;0,"Exp","")))</f>
        <v/>
      </c>
      <c r="G1020" s="79">
        <f>IF(OR($A1020="",G$23=""),"",IF(COUNTIFS('AFA Rates'!$A$5:$A$1004,$A1020,'AFA Rates'!$B$5:$B$1004,G$23,'AFA Rates'!$O$5:$O$1004,"&lt;&gt;Expired")&gt;0,"✓",IF(COUNTIFS('AFA Rates'!$A$5:$A$1004,$A1020,'AFA Rates'!$B$5:$B$1004,G$23)&gt;0,"Exp","")))</f>
        <v/>
      </c>
      <c r="H1020" s="79">
        <f>IF(OR($A1020="",H$23=""),"",IF(COUNTIFS('AFA Rates'!$A$5:$A$1004,$A1020,'AFA Rates'!$B$5:$B$1004,H$23,'AFA Rates'!$O$5:$O$1004,"&lt;&gt;Expired")&gt;0,"✓",IF(COUNTIFS('AFA Rates'!$A$5:$A$1004,$A1020,'AFA Rates'!$B$5:$B$1004,H$23)&gt;0,"Exp","")))</f>
        <v/>
      </c>
      <c r="I1020" s="79">
        <f>IF(OR($A1020="",I$23=""),"",IF(COUNTIFS('AFA Rates'!$A$5:$A$1004,$A1020,'AFA Rates'!$B$5:$B$1004,I$23,'AFA Rates'!$O$5:$O$1004,"&lt;&gt;Expired")&gt;0,"✓",IF(COUNTIFS('AFA Rates'!$A$5:$A$1004,$A1020,'AFA Rates'!$B$5:$B$1004,I$23)&gt;0,"Exp","")))</f>
        <v/>
      </c>
      <c r="J1020" s="79">
        <f>IF(OR($A1020="",J$23=""),"",IF(COUNTIFS('AFA Rates'!$A$5:$A$1004,$A1020,'AFA Rates'!$B$5:$B$1004,J$23,'AFA Rates'!$O$5:$O$1004,"&lt;&gt;Expired")&gt;0,"✓",IF(COUNTIFS('AFA Rates'!$A$5:$A$1004,$A1020,'AFA Rates'!$B$5:$B$1004,J$23)&gt;0,"Exp","")))</f>
        <v/>
      </c>
      <c r="K1020" s="79">
        <f>IF(OR($A1020="",K$23=""),"",IF(COUNTIFS('AFA Rates'!$A$5:$A$1004,$A1020,'AFA Rates'!$B$5:$B$1004,K$23,'AFA Rates'!$O$5:$O$1004,"&lt;&gt;Expired")&gt;0,"✓",IF(COUNTIFS('AFA Rates'!$A$5:$A$1004,$A1020,'AFA Rates'!$B$5:$B$1004,K$23)&gt;0,"Exp","")))</f>
        <v/>
      </c>
      <c r="L1020" s="79">
        <f>IF(OR($A1020="",L$23=""),"",IF(COUNTIFS('AFA Rates'!$A$5:$A$1004,$A1020,'AFA Rates'!$B$5:$B$1004,L$23,'AFA Rates'!$O$5:$O$1004,"&lt;&gt;Expired")&gt;0,"✓",IF(COUNTIFS('AFA Rates'!$A$5:$A$1004,$A1020,'AFA Rates'!$B$5:$B$1004,L$23)&gt;0,"Exp","")))</f>
        <v/>
      </c>
      <c r="M1020" s="79">
        <f>IF(OR($A1020="",M$23=""),"",IF(COUNTIFS('AFA Rates'!$A$5:$A$1004,$A1020,'AFA Rates'!$B$5:$B$1004,M$23,'AFA Rates'!$O$5:$O$1004,"&lt;&gt;Expired")&gt;0,"✓",IF(COUNTIFS('AFA Rates'!$A$5:$A$1004,$A1020,'AFA Rates'!$B$5:$B$1004,M$23)&gt;0,"Exp","")))</f>
        <v/>
      </c>
    </row>
    <row r="1021">
      <c r="A1021" s="78">
        <f>IFERROR(INDEX(Firms!$A$5:$A$1004,MATCH(998,Firms!$V$5:$V$1004,0)),"")</f>
        <v/>
      </c>
      <c r="B1021" s="79">
        <f>IF($A1021="","",INDEX(Firms!$B$5:$B$1004,MATCH(998,Firms!$V$5:$V$1004,0)))</f>
        <v/>
      </c>
      <c r="C1021" s="79">
        <f>IF($A1021="","",COUNTIFS('AFA Rates'!$A$5:$A$1004,$A1021,'AFA Rates'!$O$5:$O$1004,"&lt;&gt;Expired"))</f>
        <v/>
      </c>
      <c r="D1021" s="79">
        <f>IF(OR($A1021="",D$23=""),"",IF(COUNTIFS('AFA Rates'!$A$5:$A$1004,$A1021,'AFA Rates'!$B$5:$B$1004,D$23,'AFA Rates'!$O$5:$O$1004,"&lt;&gt;Expired")&gt;0,"✓",IF(COUNTIFS('AFA Rates'!$A$5:$A$1004,$A1021,'AFA Rates'!$B$5:$B$1004,D$23)&gt;0,"Exp","")))</f>
        <v/>
      </c>
      <c r="E1021" s="79">
        <f>IF(OR($A1021="",E$23=""),"",IF(COUNTIFS('AFA Rates'!$A$5:$A$1004,$A1021,'AFA Rates'!$B$5:$B$1004,E$23,'AFA Rates'!$O$5:$O$1004,"&lt;&gt;Expired")&gt;0,"✓",IF(COUNTIFS('AFA Rates'!$A$5:$A$1004,$A1021,'AFA Rates'!$B$5:$B$1004,E$23)&gt;0,"Exp","")))</f>
        <v/>
      </c>
      <c r="F1021" s="79">
        <f>IF(OR($A1021="",F$23=""),"",IF(COUNTIFS('AFA Rates'!$A$5:$A$1004,$A1021,'AFA Rates'!$B$5:$B$1004,F$23,'AFA Rates'!$O$5:$O$1004,"&lt;&gt;Expired")&gt;0,"✓",IF(COUNTIFS('AFA Rates'!$A$5:$A$1004,$A1021,'AFA Rates'!$B$5:$B$1004,F$23)&gt;0,"Exp","")))</f>
        <v/>
      </c>
      <c r="G1021" s="79">
        <f>IF(OR($A1021="",G$23=""),"",IF(COUNTIFS('AFA Rates'!$A$5:$A$1004,$A1021,'AFA Rates'!$B$5:$B$1004,G$23,'AFA Rates'!$O$5:$O$1004,"&lt;&gt;Expired")&gt;0,"✓",IF(COUNTIFS('AFA Rates'!$A$5:$A$1004,$A1021,'AFA Rates'!$B$5:$B$1004,G$23)&gt;0,"Exp","")))</f>
        <v/>
      </c>
      <c r="H1021" s="79">
        <f>IF(OR($A1021="",H$23=""),"",IF(COUNTIFS('AFA Rates'!$A$5:$A$1004,$A1021,'AFA Rates'!$B$5:$B$1004,H$23,'AFA Rates'!$O$5:$O$1004,"&lt;&gt;Expired")&gt;0,"✓",IF(COUNTIFS('AFA Rates'!$A$5:$A$1004,$A1021,'AFA Rates'!$B$5:$B$1004,H$23)&gt;0,"Exp","")))</f>
        <v/>
      </c>
      <c r="I1021" s="79">
        <f>IF(OR($A1021="",I$23=""),"",IF(COUNTIFS('AFA Rates'!$A$5:$A$1004,$A1021,'AFA Rates'!$B$5:$B$1004,I$23,'AFA Rates'!$O$5:$O$1004,"&lt;&gt;Expired")&gt;0,"✓",IF(COUNTIFS('AFA Rates'!$A$5:$A$1004,$A1021,'AFA Rates'!$B$5:$B$1004,I$23)&gt;0,"Exp","")))</f>
        <v/>
      </c>
      <c r="J1021" s="79">
        <f>IF(OR($A1021="",J$23=""),"",IF(COUNTIFS('AFA Rates'!$A$5:$A$1004,$A1021,'AFA Rates'!$B$5:$B$1004,J$23,'AFA Rates'!$O$5:$O$1004,"&lt;&gt;Expired")&gt;0,"✓",IF(COUNTIFS('AFA Rates'!$A$5:$A$1004,$A1021,'AFA Rates'!$B$5:$B$1004,J$23)&gt;0,"Exp","")))</f>
        <v/>
      </c>
      <c r="K1021" s="79">
        <f>IF(OR($A1021="",K$23=""),"",IF(COUNTIFS('AFA Rates'!$A$5:$A$1004,$A1021,'AFA Rates'!$B$5:$B$1004,K$23,'AFA Rates'!$O$5:$O$1004,"&lt;&gt;Expired")&gt;0,"✓",IF(COUNTIFS('AFA Rates'!$A$5:$A$1004,$A1021,'AFA Rates'!$B$5:$B$1004,K$23)&gt;0,"Exp","")))</f>
        <v/>
      </c>
      <c r="L1021" s="79">
        <f>IF(OR($A1021="",L$23=""),"",IF(COUNTIFS('AFA Rates'!$A$5:$A$1004,$A1021,'AFA Rates'!$B$5:$B$1004,L$23,'AFA Rates'!$O$5:$O$1004,"&lt;&gt;Expired")&gt;0,"✓",IF(COUNTIFS('AFA Rates'!$A$5:$A$1004,$A1021,'AFA Rates'!$B$5:$B$1004,L$23)&gt;0,"Exp","")))</f>
        <v/>
      </c>
      <c r="M1021" s="79">
        <f>IF(OR($A1021="",M$23=""),"",IF(COUNTIFS('AFA Rates'!$A$5:$A$1004,$A1021,'AFA Rates'!$B$5:$B$1004,M$23,'AFA Rates'!$O$5:$O$1004,"&lt;&gt;Expired")&gt;0,"✓",IF(COUNTIFS('AFA Rates'!$A$5:$A$1004,$A1021,'AFA Rates'!$B$5:$B$1004,M$23)&gt;0,"Exp","")))</f>
        <v/>
      </c>
    </row>
    <row r="1022">
      <c r="A1022" s="78">
        <f>IFERROR(INDEX(Firms!$A$5:$A$1004,MATCH(999,Firms!$V$5:$V$1004,0)),"")</f>
        <v/>
      </c>
      <c r="B1022" s="79">
        <f>IF($A1022="","",INDEX(Firms!$B$5:$B$1004,MATCH(999,Firms!$V$5:$V$1004,0)))</f>
        <v/>
      </c>
      <c r="C1022" s="79">
        <f>IF($A1022="","",COUNTIFS('AFA Rates'!$A$5:$A$1004,$A1022,'AFA Rates'!$O$5:$O$1004,"&lt;&gt;Expired"))</f>
        <v/>
      </c>
      <c r="D1022" s="79">
        <f>IF(OR($A1022="",D$23=""),"",IF(COUNTIFS('AFA Rates'!$A$5:$A$1004,$A1022,'AFA Rates'!$B$5:$B$1004,D$23,'AFA Rates'!$O$5:$O$1004,"&lt;&gt;Expired")&gt;0,"✓",IF(COUNTIFS('AFA Rates'!$A$5:$A$1004,$A1022,'AFA Rates'!$B$5:$B$1004,D$23)&gt;0,"Exp","")))</f>
        <v/>
      </c>
      <c r="E1022" s="79">
        <f>IF(OR($A1022="",E$23=""),"",IF(COUNTIFS('AFA Rates'!$A$5:$A$1004,$A1022,'AFA Rates'!$B$5:$B$1004,E$23,'AFA Rates'!$O$5:$O$1004,"&lt;&gt;Expired")&gt;0,"✓",IF(COUNTIFS('AFA Rates'!$A$5:$A$1004,$A1022,'AFA Rates'!$B$5:$B$1004,E$23)&gt;0,"Exp","")))</f>
        <v/>
      </c>
      <c r="F1022" s="79">
        <f>IF(OR($A1022="",F$23=""),"",IF(COUNTIFS('AFA Rates'!$A$5:$A$1004,$A1022,'AFA Rates'!$B$5:$B$1004,F$23,'AFA Rates'!$O$5:$O$1004,"&lt;&gt;Expired")&gt;0,"✓",IF(COUNTIFS('AFA Rates'!$A$5:$A$1004,$A1022,'AFA Rates'!$B$5:$B$1004,F$23)&gt;0,"Exp","")))</f>
        <v/>
      </c>
      <c r="G1022" s="79">
        <f>IF(OR($A1022="",G$23=""),"",IF(COUNTIFS('AFA Rates'!$A$5:$A$1004,$A1022,'AFA Rates'!$B$5:$B$1004,G$23,'AFA Rates'!$O$5:$O$1004,"&lt;&gt;Expired")&gt;0,"✓",IF(COUNTIFS('AFA Rates'!$A$5:$A$1004,$A1022,'AFA Rates'!$B$5:$B$1004,G$23)&gt;0,"Exp","")))</f>
        <v/>
      </c>
      <c r="H1022" s="79">
        <f>IF(OR($A1022="",H$23=""),"",IF(COUNTIFS('AFA Rates'!$A$5:$A$1004,$A1022,'AFA Rates'!$B$5:$B$1004,H$23,'AFA Rates'!$O$5:$O$1004,"&lt;&gt;Expired")&gt;0,"✓",IF(COUNTIFS('AFA Rates'!$A$5:$A$1004,$A1022,'AFA Rates'!$B$5:$B$1004,H$23)&gt;0,"Exp","")))</f>
        <v/>
      </c>
      <c r="I1022" s="79">
        <f>IF(OR($A1022="",I$23=""),"",IF(COUNTIFS('AFA Rates'!$A$5:$A$1004,$A1022,'AFA Rates'!$B$5:$B$1004,I$23,'AFA Rates'!$O$5:$O$1004,"&lt;&gt;Expired")&gt;0,"✓",IF(COUNTIFS('AFA Rates'!$A$5:$A$1004,$A1022,'AFA Rates'!$B$5:$B$1004,I$23)&gt;0,"Exp","")))</f>
        <v/>
      </c>
      <c r="J1022" s="79">
        <f>IF(OR($A1022="",J$23=""),"",IF(COUNTIFS('AFA Rates'!$A$5:$A$1004,$A1022,'AFA Rates'!$B$5:$B$1004,J$23,'AFA Rates'!$O$5:$O$1004,"&lt;&gt;Expired")&gt;0,"✓",IF(COUNTIFS('AFA Rates'!$A$5:$A$1004,$A1022,'AFA Rates'!$B$5:$B$1004,J$23)&gt;0,"Exp","")))</f>
        <v/>
      </c>
      <c r="K1022" s="79">
        <f>IF(OR($A1022="",K$23=""),"",IF(COUNTIFS('AFA Rates'!$A$5:$A$1004,$A1022,'AFA Rates'!$B$5:$B$1004,K$23,'AFA Rates'!$O$5:$O$1004,"&lt;&gt;Expired")&gt;0,"✓",IF(COUNTIFS('AFA Rates'!$A$5:$A$1004,$A1022,'AFA Rates'!$B$5:$B$1004,K$23)&gt;0,"Exp","")))</f>
        <v/>
      </c>
      <c r="L1022" s="79">
        <f>IF(OR($A1022="",L$23=""),"",IF(COUNTIFS('AFA Rates'!$A$5:$A$1004,$A1022,'AFA Rates'!$B$5:$B$1004,L$23,'AFA Rates'!$O$5:$O$1004,"&lt;&gt;Expired")&gt;0,"✓",IF(COUNTIFS('AFA Rates'!$A$5:$A$1004,$A1022,'AFA Rates'!$B$5:$B$1004,L$23)&gt;0,"Exp","")))</f>
        <v/>
      </c>
      <c r="M1022" s="79">
        <f>IF(OR($A1022="",M$23=""),"",IF(COUNTIFS('AFA Rates'!$A$5:$A$1004,$A1022,'AFA Rates'!$B$5:$B$1004,M$23,'AFA Rates'!$O$5:$O$1004,"&lt;&gt;Expired")&gt;0,"✓",IF(COUNTIFS('AFA Rates'!$A$5:$A$1004,$A1022,'AFA Rates'!$B$5:$B$1004,M$23)&gt;0,"Exp","")))</f>
        <v/>
      </c>
    </row>
    <row r="1023">
      <c r="A1023" s="78">
        <f>IFERROR(INDEX(Firms!$A$5:$A$1004,MATCH(1000,Firms!$V$5:$V$1004,0)),"")</f>
        <v/>
      </c>
      <c r="B1023" s="79">
        <f>IF($A1023="","",INDEX(Firms!$B$5:$B$1004,MATCH(1000,Firms!$V$5:$V$1004,0)))</f>
        <v/>
      </c>
      <c r="C1023" s="79">
        <f>IF($A1023="","",COUNTIFS('AFA Rates'!$A$5:$A$1004,$A1023,'AFA Rates'!$O$5:$O$1004,"&lt;&gt;Expired"))</f>
        <v/>
      </c>
      <c r="D1023" s="79">
        <f>IF(OR($A1023="",D$23=""),"",IF(COUNTIFS('AFA Rates'!$A$5:$A$1004,$A1023,'AFA Rates'!$B$5:$B$1004,D$23,'AFA Rates'!$O$5:$O$1004,"&lt;&gt;Expired")&gt;0,"✓",IF(COUNTIFS('AFA Rates'!$A$5:$A$1004,$A1023,'AFA Rates'!$B$5:$B$1004,D$23)&gt;0,"Exp","")))</f>
        <v/>
      </c>
      <c r="E1023" s="79">
        <f>IF(OR($A1023="",E$23=""),"",IF(COUNTIFS('AFA Rates'!$A$5:$A$1004,$A1023,'AFA Rates'!$B$5:$B$1004,E$23,'AFA Rates'!$O$5:$O$1004,"&lt;&gt;Expired")&gt;0,"✓",IF(COUNTIFS('AFA Rates'!$A$5:$A$1004,$A1023,'AFA Rates'!$B$5:$B$1004,E$23)&gt;0,"Exp","")))</f>
        <v/>
      </c>
      <c r="F1023" s="79">
        <f>IF(OR($A1023="",F$23=""),"",IF(COUNTIFS('AFA Rates'!$A$5:$A$1004,$A1023,'AFA Rates'!$B$5:$B$1004,F$23,'AFA Rates'!$O$5:$O$1004,"&lt;&gt;Expired")&gt;0,"✓",IF(COUNTIFS('AFA Rates'!$A$5:$A$1004,$A1023,'AFA Rates'!$B$5:$B$1004,F$23)&gt;0,"Exp","")))</f>
        <v/>
      </c>
      <c r="G1023" s="79">
        <f>IF(OR($A1023="",G$23=""),"",IF(COUNTIFS('AFA Rates'!$A$5:$A$1004,$A1023,'AFA Rates'!$B$5:$B$1004,G$23,'AFA Rates'!$O$5:$O$1004,"&lt;&gt;Expired")&gt;0,"✓",IF(COUNTIFS('AFA Rates'!$A$5:$A$1004,$A1023,'AFA Rates'!$B$5:$B$1004,G$23)&gt;0,"Exp","")))</f>
        <v/>
      </c>
      <c r="H1023" s="79">
        <f>IF(OR($A1023="",H$23=""),"",IF(COUNTIFS('AFA Rates'!$A$5:$A$1004,$A1023,'AFA Rates'!$B$5:$B$1004,H$23,'AFA Rates'!$O$5:$O$1004,"&lt;&gt;Expired")&gt;0,"✓",IF(COUNTIFS('AFA Rates'!$A$5:$A$1004,$A1023,'AFA Rates'!$B$5:$B$1004,H$23)&gt;0,"Exp","")))</f>
        <v/>
      </c>
      <c r="I1023" s="79">
        <f>IF(OR($A1023="",I$23=""),"",IF(COUNTIFS('AFA Rates'!$A$5:$A$1004,$A1023,'AFA Rates'!$B$5:$B$1004,I$23,'AFA Rates'!$O$5:$O$1004,"&lt;&gt;Expired")&gt;0,"✓",IF(COUNTIFS('AFA Rates'!$A$5:$A$1004,$A1023,'AFA Rates'!$B$5:$B$1004,I$23)&gt;0,"Exp","")))</f>
        <v/>
      </c>
      <c r="J1023" s="79">
        <f>IF(OR($A1023="",J$23=""),"",IF(COUNTIFS('AFA Rates'!$A$5:$A$1004,$A1023,'AFA Rates'!$B$5:$B$1004,J$23,'AFA Rates'!$O$5:$O$1004,"&lt;&gt;Expired")&gt;0,"✓",IF(COUNTIFS('AFA Rates'!$A$5:$A$1004,$A1023,'AFA Rates'!$B$5:$B$1004,J$23)&gt;0,"Exp","")))</f>
        <v/>
      </c>
      <c r="K1023" s="79">
        <f>IF(OR($A1023="",K$23=""),"",IF(COUNTIFS('AFA Rates'!$A$5:$A$1004,$A1023,'AFA Rates'!$B$5:$B$1004,K$23,'AFA Rates'!$O$5:$O$1004,"&lt;&gt;Expired")&gt;0,"✓",IF(COUNTIFS('AFA Rates'!$A$5:$A$1004,$A1023,'AFA Rates'!$B$5:$B$1004,K$23)&gt;0,"Exp","")))</f>
        <v/>
      </c>
      <c r="L1023" s="79">
        <f>IF(OR($A1023="",L$23=""),"",IF(COUNTIFS('AFA Rates'!$A$5:$A$1004,$A1023,'AFA Rates'!$B$5:$B$1004,L$23,'AFA Rates'!$O$5:$O$1004,"&lt;&gt;Expired")&gt;0,"✓",IF(COUNTIFS('AFA Rates'!$A$5:$A$1004,$A1023,'AFA Rates'!$B$5:$B$1004,L$23)&gt;0,"Exp","")))</f>
        <v/>
      </c>
      <c r="M1023" s="79">
        <f>IF(OR($A1023="",M$23=""),"",IF(COUNTIFS('AFA Rates'!$A$5:$A$1004,$A1023,'AFA Rates'!$B$5:$B$1004,M$23,'AFA Rates'!$O$5:$O$1004,"&lt;&gt;Expired")&gt;0,"✓",IF(COUNTIFS('AFA Rates'!$A$5:$A$1004,$A1023,'AFA Rates'!$B$5:$B$1004,M$23)&gt;0,"Exp","")))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6">
    <mergeCell ref="D20:E20"/>
    <mergeCell ref="D10:E10"/>
    <mergeCell ref="I6:J6"/>
    <mergeCell ref="D19:E19"/>
    <mergeCell ref="I11:J11"/>
    <mergeCell ref="D6:E6"/>
    <mergeCell ref="D11:E11"/>
    <mergeCell ref="D13:E13"/>
    <mergeCell ref="I7:J7"/>
    <mergeCell ref="D17:E17"/>
    <mergeCell ref="D16:E16"/>
    <mergeCell ref="I12:J12"/>
    <mergeCell ref="D7:E7"/>
    <mergeCell ref="I5:J5"/>
    <mergeCell ref="D18:E18"/>
    <mergeCell ref="I8:J8"/>
    <mergeCell ref="I14:J14"/>
    <mergeCell ref="D9:E9"/>
    <mergeCell ref="D12:E12"/>
    <mergeCell ref="D8:E8"/>
    <mergeCell ref="D15:E15"/>
    <mergeCell ref="I10:J10"/>
    <mergeCell ref="D5:E5"/>
    <mergeCell ref="D14:E14"/>
    <mergeCell ref="I13:J13"/>
    <mergeCell ref="I9:J9"/>
  </mergeCells>
  <conditionalFormatting sqref="D6:G20">
    <cfRule type="expression" priority="1" dxfId="18">
      <formula>$D6&lt;&gt;""</formula>
    </cfRule>
  </conditionalFormatting>
  <conditionalFormatting sqref="I6:K14">
    <cfRule type="expression" priority="2" dxfId="19">
      <formula>$I6&lt;&gt;""</formula>
    </cfRule>
  </conditionalFormatting>
  <conditionalFormatting sqref="Q6:Q56">
    <cfRule type="cellIs" priority="3" operator="equal" dxfId="0">
      <formula>0</formula>
    </cfRule>
  </conditionalFormatting>
  <conditionalFormatting sqref="O6:P56">
    <cfRule type="expression" priority="4" dxfId="20">
      <formula>$Q6=0</formula>
    </cfRule>
  </conditionalFormatting>
  <conditionalFormatting sqref="A24:M1023">
    <cfRule type="expression" priority="5" dxfId="21">
      <formula>$A24&lt;&gt;""</formula>
    </cfRule>
  </conditionalFormatting>
  <conditionalFormatting sqref="D24:M1023">
    <cfRule type="cellIs" priority="6" operator="equal" dxfId="1">
      <formula>"✓"</formula>
    </cfRule>
    <cfRule type="cellIs" priority="7" operator="equal" dxfId="0">
      <formula>"Exp"</formula>
    </cfRule>
  </conditionalFormatting>
  <conditionalFormatting sqref="B24:B1023">
    <cfRule type="cellIs" priority="8" operator="equal" dxfId="1">
      <formula>"Current"</formula>
    </cfRule>
    <cfRule type="cellIs" priority="9" operator="equal" dxfId="1">
      <formula>"Active"</formula>
    </cfRule>
    <cfRule type="cellIs" priority="10" operator="equal" dxfId="4">
      <formula>"Review Due"</formula>
    </cfRule>
    <cfRule type="cellIs" priority="11" operator="equal" dxfId="0">
      <formula>"Expired"</formula>
    </cfRule>
    <cfRule type="cellIs" priority="12" operator="equal" dxfId="0">
      <formula>"Paused"</formula>
    </cfRule>
    <cfRule type="cellIs" priority="13" operator="equal" dxfId="5">
      <formula>"Not yet effective"</formula>
    </cfRule>
    <cfRule type="cellIs" priority="14" operator="equal" dxfId="6">
      <formula>"No date"</formula>
    </cfRule>
    <cfRule type="cellIs" priority="15" operator="equal" dxfId="7">
      <formula>"Not on Firms tab"</formula>
    </cfRule>
  </conditionalFormatting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BFBFBF"/>
    <outlinePr summaryBelow="1" summaryRight="1"/>
    <pageSetUpPr/>
  </sheetPr>
  <dimension ref="A1:R10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hidden="1" width="13" customWidth="1" min="2" max="2"/>
    <col width="3" customWidth="1" min="3" max="3"/>
    <col width="20" customWidth="1" min="4" max="4"/>
    <col width="3" customWidth="1" min="5" max="5"/>
    <col width="12" customWidth="1" min="6" max="6"/>
    <col width="3" customWidth="1" min="7" max="7"/>
    <col width="24" customWidth="1" min="8" max="8"/>
    <col width="3" customWidth="1" min="9" max="9"/>
    <col width="18" customWidth="1" min="10" max="10"/>
    <col width="3" customWidth="1" min="11" max="11"/>
    <col width="8" customWidth="1" min="12" max="12"/>
    <col width="20" customWidth="1" min="13" max="13"/>
    <col width="3" customWidth="1" min="14" max="14"/>
    <col width="34" customWidth="1" min="15" max="15"/>
    <col width="3" customWidth="1" min="16" max="16"/>
    <col width="30" customWidth="1" min="17" max="17"/>
    <col width="10" customWidth="1" min="18" max="18"/>
  </cols>
  <sheetData>
    <row r="1" ht="34" customHeight="1">
      <c r="A1" s="80" t="inlineStr">
        <is>
          <t>Lists, Dropdown Options &amp; Settings</t>
        </is>
      </c>
    </row>
    <row r="2" ht="22" customHeight="1">
      <c r="A2" s="81" t="inlineStr">
        <is>
          <t>Edit the yellow cells. Add a new AFA type in the next empty yellow cell — it appears everywhere automatically. Gray columns are automatic.</t>
        </is>
      </c>
    </row>
    <row r="4" ht="34" customHeight="1">
      <c r="A4" s="82" t="inlineStr">
        <is>
          <t>AFA Types
(editable)</t>
        </is>
      </c>
      <c r="D4" s="82" t="inlineStr">
        <is>
          <t>Cyber Status
(editable)</t>
        </is>
      </c>
      <c r="F4" s="83" t="inlineStr">
        <is>
          <t>Firm Status
(fixed)</t>
        </is>
      </c>
      <c r="H4" s="83" t="inlineStr">
        <is>
          <t>Rate Schedules
(auto)</t>
        </is>
      </c>
      <c r="J4" s="83" t="inlineStr">
        <is>
          <t>Roles
(fixed)</t>
        </is>
      </c>
      <c r="L4" s="83" t="inlineStr">
        <is>
          <t>State
Code</t>
        </is>
      </c>
      <c r="M4" s="83" t="inlineStr">
        <is>
          <t>State Name</t>
        </is>
      </c>
      <c r="O4" s="83" t="inlineStr">
        <is>
          <t>Firms A–Z
(auto)</t>
        </is>
      </c>
      <c r="Q4" s="82" t="inlineStr">
        <is>
          <t>Setting</t>
        </is>
      </c>
      <c r="R4" s="82" t="inlineStr">
        <is>
          <t>Value</t>
        </is>
      </c>
    </row>
    <row r="5">
      <c r="A5" s="113" t="inlineStr">
        <is>
          <t>Commercial Auto</t>
        </is>
      </c>
      <c r="B5">
        <f>IF(A5="","",COUNTIF($A$5:A5,"&lt;&gt;"))</f>
        <v/>
      </c>
      <c r="D5" s="113" t="inlineStr">
        <is>
          <t>Compliant</t>
        </is>
      </c>
      <c r="F5" s="18" t="inlineStr">
        <is>
          <t>Active</t>
        </is>
      </c>
      <c r="H5" s="114" t="inlineStr">
        <is>
          <t>Standard</t>
        </is>
      </c>
      <c r="J5" s="18" t="inlineStr">
        <is>
          <t>Counsel</t>
        </is>
      </c>
      <c r="L5" s="115" t="inlineStr">
        <is>
          <t>AL</t>
        </is>
      </c>
      <c r="M5" s="115" t="inlineStr">
        <is>
          <t>Alabama</t>
        </is>
      </c>
      <c r="O5" s="116">
        <f>IFERROR(INDEX(Firms!$A$5:$A$1004,MATCH(1,Firms!$W$5:$W$1004,0)),"")</f>
        <v/>
      </c>
      <c r="Q5" s="117" t="inlineStr">
        <is>
          <t>Rate review period (months)</t>
        </is>
      </c>
      <c r="R5" s="118" t="n">
        <v>12</v>
      </c>
    </row>
    <row r="6">
      <c r="A6" s="113" t="inlineStr">
        <is>
          <t>Commercial Trucking</t>
        </is>
      </c>
      <c r="B6">
        <f>IF(A6="","",COUNTIF($A$5:A6,"&lt;&gt;"))</f>
        <v/>
      </c>
      <c r="D6" s="113" t="inlineStr">
        <is>
          <t>Pending Review</t>
        </is>
      </c>
      <c r="F6" s="18" t="inlineStr">
        <is>
          <t>Paused</t>
        </is>
      </c>
      <c r="H6" s="114">
        <f>IFERROR(INDEX($A$5:$A$34,MATCH(1,$B$5:$B$34,0)),"")</f>
        <v/>
      </c>
      <c r="J6" s="18" t="inlineStr">
        <is>
          <t>Senior Partner</t>
        </is>
      </c>
      <c r="L6" s="115" t="inlineStr">
        <is>
          <t>AK</t>
        </is>
      </c>
      <c r="M6" s="115" t="inlineStr">
        <is>
          <t>Alaska</t>
        </is>
      </c>
      <c r="O6" s="116">
        <f>IFERROR(INDEX(Firms!$A$5:$A$1004,MATCH(2,Firms!$W$5:$W$1004,0)),"")</f>
        <v/>
      </c>
      <c r="Q6" s="119" t="inlineStr">
        <is>
          <t>Rates with an effective date older than this are flagged “Review Due”.</t>
        </is>
      </c>
    </row>
    <row r="7">
      <c r="A7" s="113" t="inlineStr">
        <is>
          <t>Bad Faith</t>
        </is>
      </c>
      <c r="B7">
        <f>IF(A7="","",COUNTIF($A$5:A7,"&lt;&gt;"))</f>
        <v/>
      </c>
      <c r="D7" s="113" t="inlineStr">
        <is>
          <t>Non-Compliant</t>
        </is>
      </c>
      <c r="H7" s="114">
        <f>IFERROR(INDEX($A$5:$A$34,MATCH(2,$B$5:$B$34,0)),"")</f>
        <v/>
      </c>
      <c r="J7" s="18" t="inlineStr">
        <is>
          <t>Junior Partner</t>
        </is>
      </c>
      <c r="L7" s="115" t="inlineStr">
        <is>
          <t>AZ</t>
        </is>
      </c>
      <c r="M7" s="115" t="inlineStr">
        <is>
          <t>Arizona</t>
        </is>
      </c>
      <c r="O7" s="116">
        <f>IFERROR(INDEX(Firms!$A$5:$A$1004,MATCH(3,Firms!$W$5:$W$1004,0)),"")</f>
        <v/>
      </c>
    </row>
    <row r="8">
      <c r="A8" s="113" t="inlineStr">
        <is>
          <t>Company Counsel</t>
        </is>
      </c>
      <c r="B8">
        <f>IF(A8="","",COUNTIF($A$5:A8,"&lt;&gt;"))</f>
        <v/>
      </c>
      <c r="D8" s="113" t="inlineStr">
        <is>
          <t>Expired</t>
        </is>
      </c>
      <c r="H8" s="114">
        <f>IFERROR(INDEX($A$5:$A$34,MATCH(3,$B$5:$B$34,0)),"")</f>
        <v/>
      </c>
      <c r="J8" s="18" t="inlineStr">
        <is>
          <t>Partner</t>
        </is>
      </c>
      <c r="L8" s="115" t="inlineStr">
        <is>
          <t>AR</t>
        </is>
      </c>
      <c r="M8" s="115" t="inlineStr">
        <is>
          <t>Arkansas</t>
        </is>
      </c>
      <c r="O8" s="116">
        <f>IFERROR(INDEX(Firms!$A$5:$A$1004,MATCH(4,Firms!$W$5:$W$1004,0)),"")</f>
        <v/>
      </c>
    </row>
    <row r="9">
      <c r="A9" s="113" t="inlineStr">
        <is>
          <t>Appellate</t>
        </is>
      </c>
      <c r="B9">
        <f>IF(A9="","",COUNTIF($A$5:A9,"&lt;&gt;"))</f>
        <v/>
      </c>
      <c r="D9" s="113" t="inlineStr">
        <is>
          <t>Not Assessed</t>
        </is>
      </c>
      <c r="H9" s="114">
        <f>IFERROR(INDEX($A$5:$A$34,MATCH(4,$B$5:$B$34,0)),"")</f>
        <v/>
      </c>
      <c r="J9" s="18" t="inlineStr">
        <is>
          <t>Senior Associate</t>
        </is>
      </c>
      <c r="L9" s="115" t="inlineStr">
        <is>
          <t>CA</t>
        </is>
      </c>
      <c r="M9" s="115" t="inlineStr">
        <is>
          <t>California</t>
        </is>
      </c>
      <c r="O9" s="116">
        <f>IFERROR(INDEX(Firms!$A$5:$A$1004,MATCH(5,Firms!$W$5:$W$1004,0)),"")</f>
        <v/>
      </c>
    </row>
    <row r="10">
      <c r="A10" s="113" t="n"/>
      <c r="B10">
        <f>IF(A10="","",COUNTIF($A$5:A10,"&lt;&gt;"))</f>
        <v/>
      </c>
      <c r="D10" s="113" t="n"/>
      <c r="H10" s="114">
        <f>IFERROR(INDEX($A$5:$A$34,MATCH(5,$B$5:$B$34,0)),"")</f>
        <v/>
      </c>
      <c r="J10" s="18" t="inlineStr">
        <is>
          <t>Junior Associate</t>
        </is>
      </c>
      <c r="L10" s="115" t="inlineStr">
        <is>
          <t>CO</t>
        </is>
      </c>
      <c r="M10" s="115" t="inlineStr">
        <is>
          <t>Colorado</t>
        </is>
      </c>
      <c r="O10" s="116">
        <f>IFERROR(INDEX(Firms!$A$5:$A$1004,MATCH(6,Firms!$W$5:$W$1004,0)),"")</f>
        <v/>
      </c>
    </row>
    <row r="11">
      <c r="A11" s="113" t="n"/>
      <c r="B11">
        <f>IF(A11="","",COUNTIF($A$5:A11,"&lt;&gt;"))</f>
        <v/>
      </c>
      <c r="D11" s="113" t="n"/>
      <c r="H11" s="114">
        <f>IFERROR(INDEX($A$5:$A$34,MATCH(6,$B$5:$B$34,0)),"")</f>
        <v/>
      </c>
      <c r="J11" s="18" t="inlineStr">
        <is>
          <t>Associate</t>
        </is>
      </c>
      <c r="L11" s="115" t="inlineStr">
        <is>
          <t>CT</t>
        </is>
      </c>
      <c r="M11" s="115" t="inlineStr">
        <is>
          <t>Connecticut</t>
        </is>
      </c>
      <c r="O11" s="116">
        <f>IFERROR(INDEX(Firms!$A$5:$A$1004,MATCH(7,Firms!$W$5:$W$1004,0)),"")</f>
        <v/>
      </c>
    </row>
    <row r="12">
      <c r="A12" s="113" t="n"/>
      <c r="B12">
        <f>IF(A12="","",COUNTIF($A$5:A12,"&lt;&gt;"))</f>
        <v/>
      </c>
      <c r="D12" s="113" t="n"/>
      <c r="H12" s="114">
        <f>IFERROR(INDEX($A$5:$A$34,MATCH(7,$B$5:$B$34,0)),"")</f>
        <v/>
      </c>
      <c r="J12" s="18" t="inlineStr">
        <is>
          <t>Paralegal</t>
        </is>
      </c>
      <c r="L12" s="115" t="inlineStr">
        <is>
          <t>DE</t>
        </is>
      </c>
      <c r="M12" s="115" t="inlineStr">
        <is>
          <t>Delaware</t>
        </is>
      </c>
      <c r="O12" s="116">
        <f>IFERROR(INDEX(Firms!$A$5:$A$1004,MATCH(8,Firms!$W$5:$W$1004,0)),"")</f>
        <v/>
      </c>
    </row>
    <row r="13">
      <c r="A13" s="113" t="n"/>
      <c r="B13">
        <f>IF(A13="","",COUNTIF($A$5:A13,"&lt;&gt;"))</f>
        <v/>
      </c>
      <c r="D13" s="113" t="n"/>
      <c r="H13" s="114">
        <f>IFERROR(INDEX($A$5:$A$34,MATCH(8,$B$5:$B$34,0)),"")</f>
        <v/>
      </c>
      <c r="L13" s="115" t="inlineStr">
        <is>
          <t>DC</t>
        </is>
      </c>
      <c r="M13" s="115" t="inlineStr">
        <is>
          <t>District of Columbia</t>
        </is>
      </c>
      <c r="O13" s="116">
        <f>IFERROR(INDEX(Firms!$A$5:$A$1004,MATCH(9,Firms!$W$5:$W$1004,0)),"")</f>
        <v/>
      </c>
    </row>
    <row r="14">
      <c r="A14" s="113" t="n"/>
      <c r="B14">
        <f>IF(A14="","",COUNTIF($A$5:A14,"&lt;&gt;"))</f>
        <v/>
      </c>
      <c r="D14" s="113" t="n"/>
      <c r="H14" s="114">
        <f>IFERROR(INDEX($A$5:$A$34,MATCH(9,$B$5:$B$34,0)),"")</f>
        <v/>
      </c>
      <c r="L14" s="115" t="inlineStr">
        <is>
          <t>FL</t>
        </is>
      </c>
      <c r="M14" s="115" t="inlineStr">
        <is>
          <t>Florida</t>
        </is>
      </c>
      <c r="O14" s="116">
        <f>IFERROR(INDEX(Firms!$A$5:$A$1004,MATCH(10,Firms!$W$5:$W$1004,0)),"")</f>
        <v/>
      </c>
    </row>
    <row r="15">
      <c r="A15" s="113" t="n"/>
      <c r="B15">
        <f>IF(A15="","",COUNTIF($A$5:A15,"&lt;&gt;"))</f>
        <v/>
      </c>
      <c r="D15" s="113" t="n"/>
      <c r="H15" s="114">
        <f>IFERROR(INDEX($A$5:$A$34,MATCH(10,$B$5:$B$34,0)),"")</f>
        <v/>
      </c>
      <c r="L15" s="115" t="inlineStr">
        <is>
          <t>GA</t>
        </is>
      </c>
      <c r="M15" s="115" t="inlineStr">
        <is>
          <t>Georgia</t>
        </is>
      </c>
      <c r="O15" s="116">
        <f>IFERROR(INDEX(Firms!$A$5:$A$1004,MATCH(11,Firms!$W$5:$W$1004,0)),"")</f>
        <v/>
      </c>
    </row>
    <row r="16">
      <c r="A16" s="113" t="n"/>
      <c r="B16">
        <f>IF(A16="","",COUNTIF($A$5:A16,"&lt;&gt;"))</f>
        <v/>
      </c>
      <c r="D16" s="113" t="n"/>
      <c r="H16" s="114">
        <f>IFERROR(INDEX($A$5:$A$34,MATCH(11,$B$5:$B$34,0)),"")</f>
        <v/>
      </c>
      <c r="L16" s="115" t="inlineStr">
        <is>
          <t>HI</t>
        </is>
      </c>
      <c r="M16" s="115" t="inlineStr">
        <is>
          <t>Hawaii</t>
        </is>
      </c>
      <c r="O16" s="116">
        <f>IFERROR(INDEX(Firms!$A$5:$A$1004,MATCH(12,Firms!$W$5:$W$1004,0)),"")</f>
        <v/>
      </c>
    </row>
    <row r="17">
      <c r="A17" s="113" t="n"/>
      <c r="B17">
        <f>IF(A17="","",COUNTIF($A$5:A17,"&lt;&gt;"))</f>
        <v/>
      </c>
      <c r="D17" s="113" t="n"/>
      <c r="H17" s="114">
        <f>IFERROR(INDEX($A$5:$A$34,MATCH(12,$B$5:$B$34,0)),"")</f>
        <v/>
      </c>
      <c r="L17" s="115" t="inlineStr">
        <is>
          <t>ID</t>
        </is>
      </c>
      <c r="M17" s="115" t="inlineStr">
        <is>
          <t>Idaho</t>
        </is>
      </c>
      <c r="O17" s="116">
        <f>IFERROR(INDEX(Firms!$A$5:$A$1004,MATCH(13,Firms!$W$5:$W$1004,0)),"")</f>
        <v/>
      </c>
    </row>
    <row r="18">
      <c r="A18" s="113" t="n"/>
      <c r="B18">
        <f>IF(A18="","",COUNTIF($A$5:A18,"&lt;&gt;"))</f>
        <v/>
      </c>
      <c r="D18" s="113" t="n"/>
      <c r="H18" s="114">
        <f>IFERROR(INDEX($A$5:$A$34,MATCH(13,$B$5:$B$34,0)),"")</f>
        <v/>
      </c>
      <c r="L18" s="115" t="inlineStr">
        <is>
          <t>IL</t>
        </is>
      </c>
      <c r="M18" s="115" t="inlineStr">
        <is>
          <t>Illinois</t>
        </is>
      </c>
      <c r="O18" s="116">
        <f>IFERROR(INDEX(Firms!$A$5:$A$1004,MATCH(14,Firms!$W$5:$W$1004,0)),"")</f>
        <v/>
      </c>
    </row>
    <row r="19">
      <c r="A19" s="113" t="n"/>
      <c r="B19">
        <f>IF(A19="","",COUNTIF($A$5:A19,"&lt;&gt;"))</f>
        <v/>
      </c>
      <c r="D19" s="113" t="n"/>
      <c r="H19" s="114">
        <f>IFERROR(INDEX($A$5:$A$34,MATCH(14,$B$5:$B$34,0)),"")</f>
        <v/>
      </c>
      <c r="L19" s="115" t="inlineStr">
        <is>
          <t>IN</t>
        </is>
      </c>
      <c r="M19" s="115" t="inlineStr">
        <is>
          <t>Indiana</t>
        </is>
      </c>
      <c r="O19" s="116">
        <f>IFERROR(INDEX(Firms!$A$5:$A$1004,MATCH(15,Firms!$W$5:$W$1004,0)),"")</f>
        <v/>
      </c>
    </row>
    <row r="20">
      <c r="A20" s="113" t="n"/>
      <c r="B20">
        <f>IF(A20="","",COUNTIF($A$5:A20,"&lt;&gt;"))</f>
        <v/>
      </c>
      <c r="H20" s="114">
        <f>IFERROR(INDEX($A$5:$A$34,MATCH(15,$B$5:$B$34,0)),"")</f>
        <v/>
      </c>
      <c r="L20" s="115" t="inlineStr">
        <is>
          <t>IA</t>
        </is>
      </c>
      <c r="M20" s="115" t="inlineStr">
        <is>
          <t>Iowa</t>
        </is>
      </c>
      <c r="O20" s="116">
        <f>IFERROR(INDEX(Firms!$A$5:$A$1004,MATCH(16,Firms!$W$5:$W$1004,0)),"")</f>
        <v/>
      </c>
    </row>
    <row r="21">
      <c r="A21" s="113" t="n"/>
      <c r="B21">
        <f>IF(A21="","",COUNTIF($A$5:A21,"&lt;&gt;"))</f>
        <v/>
      </c>
      <c r="H21" s="114">
        <f>IFERROR(INDEX($A$5:$A$34,MATCH(16,$B$5:$B$34,0)),"")</f>
        <v/>
      </c>
      <c r="L21" s="115" t="inlineStr">
        <is>
          <t>KS</t>
        </is>
      </c>
      <c r="M21" s="115" t="inlineStr">
        <is>
          <t>Kansas</t>
        </is>
      </c>
      <c r="O21" s="116">
        <f>IFERROR(INDEX(Firms!$A$5:$A$1004,MATCH(17,Firms!$W$5:$W$1004,0)),"")</f>
        <v/>
      </c>
    </row>
    <row r="22">
      <c r="A22" s="113" t="n"/>
      <c r="B22">
        <f>IF(A22="","",COUNTIF($A$5:A22,"&lt;&gt;"))</f>
        <v/>
      </c>
      <c r="H22" s="114">
        <f>IFERROR(INDEX($A$5:$A$34,MATCH(17,$B$5:$B$34,0)),"")</f>
        <v/>
      </c>
      <c r="L22" s="115" t="inlineStr">
        <is>
          <t>KY</t>
        </is>
      </c>
      <c r="M22" s="115" t="inlineStr">
        <is>
          <t>Kentucky</t>
        </is>
      </c>
      <c r="O22" s="116">
        <f>IFERROR(INDEX(Firms!$A$5:$A$1004,MATCH(18,Firms!$W$5:$W$1004,0)),"")</f>
        <v/>
      </c>
    </row>
    <row r="23">
      <c r="A23" s="113" t="n"/>
      <c r="B23">
        <f>IF(A23="","",COUNTIF($A$5:A23,"&lt;&gt;"))</f>
        <v/>
      </c>
      <c r="H23" s="114">
        <f>IFERROR(INDEX($A$5:$A$34,MATCH(18,$B$5:$B$34,0)),"")</f>
        <v/>
      </c>
      <c r="L23" s="115" t="inlineStr">
        <is>
          <t>LA</t>
        </is>
      </c>
      <c r="M23" s="115" t="inlineStr">
        <is>
          <t>Louisiana</t>
        </is>
      </c>
      <c r="O23" s="116">
        <f>IFERROR(INDEX(Firms!$A$5:$A$1004,MATCH(19,Firms!$W$5:$W$1004,0)),"")</f>
        <v/>
      </c>
    </row>
    <row r="24">
      <c r="A24" s="113" t="n"/>
      <c r="B24">
        <f>IF(A24="","",COUNTIF($A$5:A24,"&lt;&gt;"))</f>
        <v/>
      </c>
      <c r="H24" s="114">
        <f>IFERROR(INDEX($A$5:$A$34,MATCH(19,$B$5:$B$34,0)),"")</f>
        <v/>
      </c>
      <c r="L24" s="115" t="inlineStr">
        <is>
          <t>ME</t>
        </is>
      </c>
      <c r="M24" s="115" t="inlineStr">
        <is>
          <t>Maine</t>
        </is>
      </c>
      <c r="O24" s="116">
        <f>IFERROR(INDEX(Firms!$A$5:$A$1004,MATCH(20,Firms!$W$5:$W$1004,0)),"")</f>
        <v/>
      </c>
    </row>
    <row r="25">
      <c r="A25" s="113" t="n"/>
      <c r="B25">
        <f>IF(A25="","",COUNTIF($A$5:A25,"&lt;&gt;"))</f>
        <v/>
      </c>
      <c r="H25" s="114">
        <f>IFERROR(INDEX($A$5:$A$34,MATCH(20,$B$5:$B$34,0)),"")</f>
        <v/>
      </c>
      <c r="L25" s="115" t="inlineStr">
        <is>
          <t>MD</t>
        </is>
      </c>
      <c r="M25" s="115" t="inlineStr">
        <is>
          <t>Maryland</t>
        </is>
      </c>
      <c r="O25" s="116">
        <f>IFERROR(INDEX(Firms!$A$5:$A$1004,MATCH(21,Firms!$W$5:$W$1004,0)),"")</f>
        <v/>
      </c>
    </row>
    <row r="26">
      <c r="A26" s="113" t="n"/>
      <c r="B26">
        <f>IF(A26="","",COUNTIF($A$5:A26,"&lt;&gt;"))</f>
        <v/>
      </c>
      <c r="H26" s="114">
        <f>IFERROR(INDEX($A$5:$A$34,MATCH(21,$B$5:$B$34,0)),"")</f>
        <v/>
      </c>
      <c r="L26" s="115" t="inlineStr">
        <is>
          <t>MA</t>
        </is>
      </c>
      <c r="M26" s="115" t="inlineStr">
        <is>
          <t>Massachusetts</t>
        </is>
      </c>
      <c r="O26" s="116">
        <f>IFERROR(INDEX(Firms!$A$5:$A$1004,MATCH(22,Firms!$W$5:$W$1004,0)),"")</f>
        <v/>
      </c>
    </row>
    <row r="27">
      <c r="A27" s="113" t="n"/>
      <c r="B27">
        <f>IF(A27="","",COUNTIF($A$5:A27,"&lt;&gt;"))</f>
        <v/>
      </c>
      <c r="H27" s="114">
        <f>IFERROR(INDEX($A$5:$A$34,MATCH(22,$B$5:$B$34,0)),"")</f>
        <v/>
      </c>
      <c r="L27" s="115" t="inlineStr">
        <is>
          <t>MI</t>
        </is>
      </c>
      <c r="M27" s="115" t="inlineStr">
        <is>
          <t>Michigan</t>
        </is>
      </c>
      <c r="O27" s="116">
        <f>IFERROR(INDEX(Firms!$A$5:$A$1004,MATCH(23,Firms!$W$5:$W$1004,0)),"")</f>
        <v/>
      </c>
    </row>
    <row r="28">
      <c r="A28" s="113" t="n"/>
      <c r="B28">
        <f>IF(A28="","",COUNTIF($A$5:A28,"&lt;&gt;"))</f>
        <v/>
      </c>
      <c r="H28" s="114">
        <f>IFERROR(INDEX($A$5:$A$34,MATCH(23,$B$5:$B$34,0)),"")</f>
        <v/>
      </c>
      <c r="L28" s="115" t="inlineStr">
        <is>
          <t>MN</t>
        </is>
      </c>
      <c r="M28" s="115" t="inlineStr">
        <is>
          <t>Minnesota</t>
        </is>
      </c>
      <c r="O28" s="116">
        <f>IFERROR(INDEX(Firms!$A$5:$A$1004,MATCH(24,Firms!$W$5:$W$1004,0)),"")</f>
        <v/>
      </c>
    </row>
    <row r="29">
      <c r="A29" s="113" t="n"/>
      <c r="B29">
        <f>IF(A29="","",COUNTIF($A$5:A29,"&lt;&gt;"))</f>
        <v/>
      </c>
      <c r="H29" s="114">
        <f>IFERROR(INDEX($A$5:$A$34,MATCH(24,$B$5:$B$34,0)),"")</f>
        <v/>
      </c>
      <c r="L29" s="115" t="inlineStr">
        <is>
          <t>MS</t>
        </is>
      </c>
      <c r="M29" s="115" t="inlineStr">
        <is>
          <t>Mississippi</t>
        </is>
      </c>
      <c r="O29" s="116">
        <f>IFERROR(INDEX(Firms!$A$5:$A$1004,MATCH(25,Firms!$W$5:$W$1004,0)),"")</f>
        <v/>
      </c>
    </row>
    <row r="30">
      <c r="A30" s="113" t="n"/>
      <c r="B30">
        <f>IF(A30="","",COUNTIF($A$5:A30,"&lt;&gt;"))</f>
        <v/>
      </c>
      <c r="H30" s="114">
        <f>IFERROR(INDEX($A$5:$A$34,MATCH(25,$B$5:$B$34,0)),"")</f>
        <v/>
      </c>
      <c r="L30" s="115" t="inlineStr">
        <is>
          <t>MO</t>
        </is>
      </c>
      <c r="M30" s="115" t="inlineStr">
        <is>
          <t>Missouri</t>
        </is>
      </c>
      <c r="O30" s="116">
        <f>IFERROR(INDEX(Firms!$A$5:$A$1004,MATCH(26,Firms!$W$5:$W$1004,0)),"")</f>
        <v/>
      </c>
    </row>
    <row r="31">
      <c r="A31" s="113" t="n"/>
      <c r="B31">
        <f>IF(A31="","",COUNTIF($A$5:A31,"&lt;&gt;"))</f>
        <v/>
      </c>
      <c r="H31" s="114">
        <f>IFERROR(INDEX($A$5:$A$34,MATCH(26,$B$5:$B$34,0)),"")</f>
        <v/>
      </c>
      <c r="L31" s="115" t="inlineStr">
        <is>
          <t>MT</t>
        </is>
      </c>
      <c r="M31" s="115" t="inlineStr">
        <is>
          <t>Montana</t>
        </is>
      </c>
      <c r="O31" s="116">
        <f>IFERROR(INDEX(Firms!$A$5:$A$1004,MATCH(27,Firms!$W$5:$W$1004,0)),"")</f>
        <v/>
      </c>
    </row>
    <row r="32">
      <c r="A32" s="113" t="n"/>
      <c r="B32">
        <f>IF(A32="","",COUNTIF($A$5:A32,"&lt;&gt;"))</f>
        <v/>
      </c>
      <c r="H32" s="114">
        <f>IFERROR(INDEX($A$5:$A$34,MATCH(27,$B$5:$B$34,0)),"")</f>
        <v/>
      </c>
      <c r="L32" s="115" t="inlineStr">
        <is>
          <t>NE</t>
        </is>
      </c>
      <c r="M32" s="115" t="inlineStr">
        <is>
          <t>Nebraska</t>
        </is>
      </c>
      <c r="O32" s="116">
        <f>IFERROR(INDEX(Firms!$A$5:$A$1004,MATCH(28,Firms!$W$5:$W$1004,0)),"")</f>
        <v/>
      </c>
    </row>
    <row r="33">
      <c r="A33" s="113" t="n"/>
      <c r="B33">
        <f>IF(A33="","",COUNTIF($A$5:A33,"&lt;&gt;"))</f>
        <v/>
      </c>
      <c r="H33" s="114">
        <f>IFERROR(INDEX($A$5:$A$34,MATCH(28,$B$5:$B$34,0)),"")</f>
        <v/>
      </c>
      <c r="L33" s="115" t="inlineStr">
        <is>
          <t>NV</t>
        </is>
      </c>
      <c r="M33" s="115" t="inlineStr">
        <is>
          <t>Nevada</t>
        </is>
      </c>
      <c r="O33" s="116">
        <f>IFERROR(INDEX(Firms!$A$5:$A$1004,MATCH(29,Firms!$W$5:$W$1004,0)),"")</f>
        <v/>
      </c>
    </row>
    <row r="34">
      <c r="A34" s="113" t="n"/>
      <c r="B34">
        <f>IF(A34="","",COUNTIF($A$5:A34,"&lt;&gt;"))</f>
        <v/>
      </c>
      <c r="H34" s="114">
        <f>IFERROR(INDEX($A$5:$A$34,MATCH(29,$B$5:$B$34,0)),"")</f>
        <v/>
      </c>
      <c r="L34" s="115" t="inlineStr">
        <is>
          <t>NH</t>
        </is>
      </c>
      <c r="M34" s="115" t="inlineStr">
        <is>
          <t>New Hampshire</t>
        </is>
      </c>
      <c r="O34" s="116">
        <f>IFERROR(INDEX(Firms!$A$5:$A$1004,MATCH(30,Firms!$W$5:$W$1004,0)),"")</f>
        <v/>
      </c>
    </row>
    <row r="35">
      <c r="H35" s="114">
        <f>IFERROR(INDEX($A$5:$A$34,MATCH(30,$B$5:$B$34,0)),"")</f>
        <v/>
      </c>
      <c r="L35" s="115" t="inlineStr">
        <is>
          <t>NJ</t>
        </is>
      </c>
      <c r="M35" s="115" t="inlineStr">
        <is>
          <t>New Jersey</t>
        </is>
      </c>
      <c r="O35" s="116">
        <f>IFERROR(INDEX(Firms!$A$5:$A$1004,MATCH(31,Firms!$W$5:$W$1004,0)),"")</f>
        <v/>
      </c>
    </row>
    <row r="36">
      <c r="L36" s="115" t="inlineStr">
        <is>
          <t>NM</t>
        </is>
      </c>
      <c r="M36" s="115" t="inlineStr">
        <is>
          <t>New Mexico</t>
        </is>
      </c>
      <c r="O36" s="116">
        <f>IFERROR(INDEX(Firms!$A$5:$A$1004,MATCH(32,Firms!$W$5:$W$1004,0)),"")</f>
        <v/>
      </c>
    </row>
    <row r="37">
      <c r="L37" s="115" t="inlineStr">
        <is>
          <t>NY</t>
        </is>
      </c>
      <c r="M37" s="115" t="inlineStr">
        <is>
          <t>New York</t>
        </is>
      </c>
      <c r="O37" s="116">
        <f>IFERROR(INDEX(Firms!$A$5:$A$1004,MATCH(33,Firms!$W$5:$W$1004,0)),"")</f>
        <v/>
      </c>
    </row>
    <row r="38">
      <c r="L38" s="115" t="inlineStr">
        <is>
          <t>NC</t>
        </is>
      </c>
      <c r="M38" s="115" t="inlineStr">
        <is>
          <t>North Carolina</t>
        </is>
      </c>
      <c r="O38" s="116">
        <f>IFERROR(INDEX(Firms!$A$5:$A$1004,MATCH(34,Firms!$W$5:$W$1004,0)),"")</f>
        <v/>
      </c>
    </row>
    <row r="39">
      <c r="L39" s="115" t="inlineStr">
        <is>
          <t>ND</t>
        </is>
      </c>
      <c r="M39" s="115" t="inlineStr">
        <is>
          <t>North Dakota</t>
        </is>
      </c>
      <c r="O39" s="116">
        <f>IFERROR(INDEX(Firms!$A$5:$A$1004,MATCH(35,Firms!$W$5:$W$1004,0)),"")</f>
        <v/>
      </c>
    </row>
    <row r="40">
      <c r="L40" s="115" t="inlineStr">
        <is>
          <t>OH</t>
        </is>
      </c>
      <c r="M40" s="115" t="inlineStr">
        <is>
          <t>Ohio</t>
        </is>
      </c>
      <c r="O40" s="116">
        <f>IFERROR(INDEX(Firms!$A$5:$A$1004,MATCH(36,Firms!$W$5:$W$1004,0)),"")</f>
        <v/>
      </c>
    </row>
    <row r="41">
      <c r="L41" s="115" t="inlineStr">
        <is>
          <t>OK</t>
        </is>
      </c>
      <c r="M41" s="115" t="inlineStr">
        <is>
          <t>Oklahoma</t>
        </is>
      </c>
      <c r="O41" s="116">
        <f>IFERROR(INDEX(Firms!$A$5:$A$1004,MATCH(37,Firms!$W$5:$W$1004,0)),"")</f>
        <v/>
      </c>
    </row>
    <row r="42">
      <c r="L42" s="115" t="inlineStr">
        <is>
          <t>OR</t>
        </is>
      </c>
      <c r="M42" s="115" t="inlineStr">
        <is>
          <t>Oregon</t>
        </is>
      </c>
      <c r="O42" s="116">
        <f>IFERROR(INDEX(Firms!$A$5:$A$1004,MATCH(38,Firms!$W$5:$W$1004,0)),"")</f>
        <v/>
      </c>
    </row>
    <row r="43">
      <c r="L43" s="115" t="inlineStr">
        <is>
          <t>PA</t>
        </is>
      </c>
      <c r="M43" s="115" t="inlineStr">
        <is>
          <t>Pennsylvania</t>
        </is>
      </c>
      <c r="O43" s="116">
        <f>IFERROR(INDEX(Firms!$A$5:$A$1004,MATCH(39,Firms!$W$5:$W$1004,0)),"")</f>
        <v/>
      </c>
    </row>
    <row r="44">
      <c r="L44" s="115" t="inlineStr">
        <is>
          <t>RI</t>
        </is>
      </c>
      <c r="M44" s="115" t="inlineStr">
        <is>
          <t>Rhode Island</t>
        </is>
      </c>
      <c r="O44" s="116">
        <f>IFERROR(INDEX(Firms!$A$5:$A$1004,MATCH(40,Firms!$W$5:$W$1004,0)),"")</f>
        <v/>
      </c>
    </row>
    <row r="45">
      <c r="L45" s="115" t="inlineStr">
        <is>
          <t>SC</t>
        </is>
      </c>
      <c r="M45" s="115" t="inlineStr">
        <is>
          <t>South Carolina</t>
        </is>
      </c>
      <c r="O45" s="116">
        <f>IFERROR(INDEX(Firms!$A$5:$A$1004,MATCH(41,Firms!$W$5:$W$1004,0)),"")</f>
        <v/>
      </c>
    </row>
    <row r="46">
      <c r="L46" s="115" t="inlineStr">
        <is>
          <t>SD</t>
        </is>
      </c>
      <c r="M46" s="115" t="inlineStr">
        <is>
          <t>South Dakota</t>
        </is>
      </c>
      <c r="O46" s="116">
        <f>IFERROR(INDEX(Firms!$A$5:$A$1004,MATCH(42,Firms!$W$5:$W$1004,0)),"")</f>
        <v/>
      </c>
    </row>
    <row r="47">
      <c r="L47" s="115" t="inlineStr">
        <is>
          <t>TN</t>
        </is>
      </c>
      <c r="M47" s="115" t="inlineStr">
        <is>
          <t>Tennessee</t>
        </is>
      </c>
      <c r="O47" s="116">
        <f>IFERROR(INDEX(Firms!$A$5:$A$1004,MATCH(43,Firms!$W$5:$W$1004,0)),"")</f>
        <v/>
      </c>
    </row>
    <row r="48">
      <c r="L48" s="115" t="inlineStr">
        <is>
          <t>TX</t>
        </is>
      </c>
      <c r="M48" s="115" t="inlineStr">
        <is>
          <t>Texas</t>
        </is>
      </c>
      <c r="O48" s="116">
        <f>IFERROR(INDEX(Firms!$A$5:$A$1004,MATCH(44,Firms!$W$5:$W$1004,0)),"")</f>
        <v/>
      </c>
    </row>
    <row r="49">
      <c r="L49" s="115" t="inlineStr">
        <is>
          <t>UT</t>
        </is>
      </c>
      <c r="M49" s="115" t="inlineStr">
        <is>
          <t>Utah</t>
        </is>
      </c>
      <c r="O49" s="116">
        <f>IFERROR(INDEX(Firms!$A$5:$A$1004,MATCH(45,Firms!$W$5:$W$1004,0)),"")</f>
        <v/>
      </c>
    </row>
    <row r="50">
      <c r="L50" s="115" t="inlineStr">
        <is>
          <t>VT</t>
        </is>
      </c>
      <c r="M50" s="115" t="inlineStr">
        <is>
          <t>Vermont</t>
        </is>
      </c>
      <c r="O50" s="116">
        <f>IFERROR(INDEX(Firms!$A$5:$A$1004,MATCH(46,Firms!$W$5:$W$1004,0)),"")</f>
        <v/>
      </c>
    </row>
    <row r="51">
      <c r="L51" s="115" t="inlineStr">
        <is>
          <t>VA</t>
        </is>
      </c>
      <c r="M51" s="115" t="inlineStr">
        <is>
          <t>Virginia</t>
        </is>
      </c>
      <c r="O51" s="116">
        <f>IFERROR(INDEX(Firms!$A$5:$A$1004,MATCH(47,Firms!$W$5:$W$1004,0)),"")</f>
        <v/>
      </c>
    </row>
    <row r="52">
      <c r="L52" s="115" t="inlineStr">
        <is>
          <t>WA</t>
        </is>
      </c>
      <c r="M52" s="115" t="inlineStr">
        <is>
          <t>Washington</t>
        </is>
      </c>
      <c r="O52" s="116">
        <f>IFERROR(INDEX(Firms!$A$5:$A$1004,MATCH(48,Firms!$W$5:$W$1004,0)),"")</f>
        <v/>
      </c>
    </row>
    <row r="53">
      <c r="L53" s="115" t="inlineStr">
        <is>
          <t>WV</t>
        </is>
      </c>
      <c r="M53" s="115" t="inlineStr">
        <is>
          <t>West Virginia</t>
        </is>
      </c>
      <c r="O53" s="116">
        <f>IFERROR(INDEX(Firms!$A$5:$A$1004,MATCH(49,Firms!$W$5:$W$1004,0)),"")</f>
        <v/>
      </c>
    </row>
    <row r="54">
      <c r="L54" s="115" t="inlineStr">
        <is>
          <t>WI</t>
        </is>
      </c>
      <c r="M54" s="115" t="inlineStr">
        <is>
          <t>Wisconsin</t>
        </is>
      </c>
      <c r="O54" s="116">
        <f>IFERROR(INDEX(Firms!$A$5:$A$1004,MATCH(50,Firms!$W$5:$W$1004,0)),"")</f>
        <v/>
      </c>
    </row>
    <row r="55">
      <c r="L55" s="115" t="inlineStr">
        <is>
          <t>WY</t>
        </is>
      </c>
      <c r="M55" s="115" t="inlineStr">
        <is>
          <t>Wyoming</t>
        </is>
      </c>
      <c r="O55" s="116">
        <f>IFERROR(INDEX(Firms!$A$5:$A$1004,MATCH(51,Firms!$W$5:$W$1004,0)),"")</f>
        <v/>
      </c>
    </row>
    <row r="56">
      <c r="O56" s="116">
        <f>IFERROR(INDEX(Firms!$A$5:$A$1004,MATCH(52,Firms!$W$5:$W$1004,0)),"")</f>
        <v/>
      </c>
    </row>
    <row r="57">
      <c r="O57" s="116">
        <f>IFERROR(INDEX(Firms!$A$5:$A$1004,MATCH(53,Firms!$W$5:$W$1004,0)),"")</f>
        <v/>
      </c>
    </row>
    <row r="58">
      <c r="O58" s="116">
        <f>IFERROR(INDEX(Firms!$A$5:$A$1004,MATCH(54,Firms!$W$5:$W$1004,0)),"")</f>
        <v/>
      </c>
    </row>
    <row r="59">
      <c r="O59" s="116">
        <f>IFERROR(INDEX(Firms!$A$5:$A$1004,MATCH(55,Firms!$W$5:$W$1004,0)),"")</f>
        <v/>
      </c>
    </row>
    <row r="60">
      <c r="O60" s="116">
        <f>IFERROR(INDEX(Firms!$A$5:$A$1004,MATCH(56,Firms!$W$5:$W$1004,0)),"")</f>
        <v/>
      </c>
    </row>
    <row r="61">
      <c r="O61" s="116">
        <f>IFERROR(INDEX(Firms!$A$5:$A$1004,MATCH(57,Firms!$W$5:$W$1004,0)),"")</f>
        <v/>
      </c>
    </row>
    <row r="62">
      <c r="O62" s="116">
        <f>IFERROR(INDEX(Firms!$A$5:$A$1004,MATCH(58,Firms!$W$5:$W$1004,0)),"")</f>
        <v/>
      </c>
    </row>
    <row r="63">
      <c r="O63" s="116">
        <f>IFERROR(INDEX(Firms!$A$5:$A$1004,MATCH(59,Firms!$W$5:$W$1004,0)),"")</f>
        <v/>
      </c>
    </row>
    <row r="64">
      <c r="O64" s="116">
        <f>IFERROR(INDEX(Firms!$A$5:$A$1004,MATCH(60,Firms!$W$5:$W$1004,0)),"")</f>
        <v/>
      </c>
    </row>
    <row r="65">
      <c r="O65" s="116">
        <f>IFERROR(INDEX(Firms!$A$5:$A$1004,MATCH(61,Firms!$W$5:$W$1004,0)),"")</f>
        <v/>
      </c>
    </row>
    <row r="66">
      <c r="O66" s="116">
        <f>IFERROR(INDEX(Firms!$A$5:$A$1004,MATCH(62,Firms!$W$5:$W$1004,0)),"")</f>
        <v/>
      </c>
    </row>
    <row r="67">
      <c r="O67" s="116">
        <f>IFERROR(INDEX(Firms!$A$5:$A$1004,MATCH(63,Firms!$W$5:$W$1004,0)),"")</f>
        <v/>
      </c>
    </row>
    <row r="68">
      <c r="O68" s="116">
        <f>IFERROR(INDEX(Firms!$A$5:$A$1004,MATCH(64,Firms!$W$5:$W$1004,0)),"")</f>
        <v/>
      </c>
    </row>
    <row r="69">
      <c r="O69" s="116">
        <f>IFERROR(INDEX(Firms!$A$5:$A$1004,MATCH(65,Firms!$W$5:$W$1004,0)),"")</f>
        <v/>
      </c>
    </row>
    <row r="70">
      <c r="O70" s="116">
        <f>IFERROR(INDEX(Firms!$A$5:$A$1004,MATCH(66,Firms!$W$5:$W$1004,0)),"")</f>
        <v/>
      </c>
    </row>
    <row r="71">
      <c r="O71" s="116">
        <f>IFERROR(INDEX(Firms!$A$5:$A$1004,MATCH(67,Firms!$W$5:$W$1004,0)),"")</f>
        <v/>
      </c>
    </row>
    <row r="72">
      <c r="O72" s="116">
        <f>IFERROR(INDEX(Firms!$A$5:$A$1004,MATCH(68,Firms!$W$5:$W$1004,0)),"")</f>
        <v/>
      </c>
    </row>
    <row r="73">
      <c r="O73" s="116">
        <f>IFERROR(INDEX(Firms!$A$5:$A$1004,MATCH(69,Firms!$W$5:$W$1004,0)),"")</f>
        <v/>
      </c>
    </row>
    <row r="74">
      <c r="O74" s="116">
        <f>IFERROR(INDEX(Firms!$A$5:$A$1004,MATCH(70,Firms!$W$5:$W$1004,0)),"")</f>
        <v/>
      </c>
    </row>
    <row r="75">
      <c r="O75" s="116">
        <f>IFERROR(INDEX(Firms!$A$5:$A$1004,MATCH(71,Firms!$W$5:$W$1004,0)),"")</f>
        <v/>
      </c>
    </row>
    <row r="76">
      <c r="O76" s="116">
        <f>IFERROR(INDEX(Firms!$A$5:$A$1004,MATCH(72,Firms!$W$5:$W$1004,0)),"")</f>
        <v/>
      </c>
    </row>
    <row r="77">
      <c r="O77" s="116">
        <f>IFERROR(INDEX(Firms!$A$5:$A$1004,MATCH(73,Firms!$W$5:$W$1004,0)),"")</f>
        <v/>
      </c>
    </row>
    <row r="78">
      <c r="O78" s="116">
        <f>IFERROR(INDEX(Firms!$A$5:$A$1004,MATCH(74,Firms!$W$5:$W$1004,0)),"")</f>
        <v/>
      </c>
    </row>
    <row r="79">
      <c r="O79" s="116">
        <f>IFERROR(INDEX(Firms!$A$5:$A$1004,MATCH(75,Firms!$W$5:$W$1004,0)),"")</f>
        <v/>
      </c>
    </row>
    <row r="80">
      <c r="O80" s="116">
        <f>IFERROR(INDEX(Firms!$A$5:$A$1004,MATCH(76,Firms!$W$5:$W$1004,0)),"")</f>
        <v/>
      </c>
    </row>
    <row r="81">
      <c r="O81" s="116">
        <f>IFERROR(INDEX(Firms!$A$5:$A$1004,MATCH(77,Firms!$W$5:$W$1004,0)),"")</f>
        <v/>
      </c>
    </row>
    <row r="82">
      <c r="O82" s="116">
        <f>IFERROR(INDEX(Firms!$A$5:$A$1004,MATCH(78,Firms!$W$5:$W$1004,0)),"")</f>
        <v/>
      </c>
    </row>
    <row r="83">
      <c r="O83" s="116">
        <f>IFERROR(INDEX(Firms!$A$5:$A$1004,MATCH(79,Firms!$W$5:$W$1004,0)),"")</f>
        <v/>
      </c>
    </row>
    <row r="84">
      <c r="O84" s="116">
        <f>IFERROR(INDEX(Firms!$A$5:$A$1004,MATCH(80,Firms!$W$5:$W$1004,0)),"")</f>
        <v/>
      </c>
    </row>
    <row r="85">
      <c r="O85" s="116">
        <f>IFERROR(INDEX(Firms!$A$5:$A$1004,MATCH(81,Firms!$W$5:$W$1004,0)),"")</f>
        <v/>
      </c>
    </row>
    <row r="86">
      <c r="O86" s="116">
        <f>IFERROR(INDEX(Firms!$A$5:$A$1004,MATCH(82,Firms!$W$5:$W$1004,0)),"")</f>
        <v/>
      </c>
    </row>
    <row r="87">
      <c r="O87" s="116">
        <f>IFERROR(INDEX(Firms!$A$5:$A$1004,MATCH(83,Firms!$W$5:$W$1004,0)),"")</f>
        <v/>
      </c>
    </row>
    <row r="88">
      <c r="O88" s="116">
        <f>IFERROR(INDEX(Firms!$A$5:$A$1004,MATCH(84,Firms!$W$5:$W$1004,0)),"")</f>
        <v/>
      </c>
    </row>
    <row r="89">
      <c r="O89" s="116">
        <f>IFERROR(INDEX(Firms!$A$5:$A$1004,MATCH(85,Firms!$W$5:$W$1004,0)),"")</f>
        <v/>
      </c>
    </row>
    <row r="90">
      <c r="O90" s="116">
        <f>IFERROR(INDEX(Firms!$A$5:$A$1004,MATCH(86,Firms!$W$5:$W$1004,0)),"")</f>
        <v/>
      </c>
    </row>
    <row r="91">
      <c r="O91" s="116">
        <f>IFERROR(INDEX(Firms!$A$5:$A$1004,MATCH(87,Firms!$W$5:$W$1004,0)),"")</f>
        <v/>
      </c>
    </row>
    <row r="92">
      <c r="O92" s="116">
        <f>IFERROR(INDEX(Firms!$A$5:$A$1004,MATCH(88,Firms!$W$5:$W$1004,0)),"")</f>
        <v/>
      </c>
    </row>
    <row r="93">
      <c r="O93" s="116">
        <f>IFERROR(INDEX(Firms!$A$5:$A$1004,MATCH(89,Firms!$W$5:$W$1004,0)),"")</f>
        <v/>
      </c>
    </row>
    <row r="94">
      <c r="O94" s="116">
        <f>IFERROR(INDEX(Firms!$A$5:$A$1004,MATCH(90,Firms!$W$5:$W$1004,0)),"")</f>
        <v/>
      </c>
    </row>
    <row r="95">
      <c r="O95" s="116">
        <f>IFERROR(INDEX(Firms!$A$5:$A$1004,MATCH(91,Firms!$W$5:$W$1004,0)),"")</f>
        <v/>
      </c>
    </row>
    <row r="96">
      <c r="O96" s="116">
        <f>IFERROR(INDEX(Firms!$A$5:$A$1004,MATCH(92,Firms!$W$5:$W$1004,0)),"")</f>
        <v/>
      </c>
    </row>
    <row r="97">
      <c r="O97" s="116">
        <f>IFERROR(INDEX(Firms!$A$5:$A$1004,MATCH(93,Firms!$W$5:$W$1004,0)),"")</f>
        <v/>
      </c>
    </row>
    <row r="98">
      <c r="O98" s="116">
        <f>IFERROR(INDEX(Firms!$A$5:$A$1004,MATCH(94,Firms!$W$5:$W$1004,0)),"")</f>
        <v/>
      </c>
    </row>
    <row r="99">
      <c r="O99" s="116">
        <f>IFERROR(INDEX(Firms!$A$5:$A$1004,MATCH(95,Firms!$W$5:$W$1004,0)),"")</f>
        <v/>
      </c>
    </row>
    <row r="100">
      <c r="O100" s="116">
        <f>IFERROR(INDEX(Firms!$A$5:$A$1004,MATCH(96,Firms!$W$5:$W$1004,0)),"")</f>
        <v/>
      </c>
    </row>
    <row r="101">
      <c r="O101" s="116">
        <f>IFERROR(INDEX(Firms!$A$5:$A$1004,MATCH(97,Firms!$W$5:$W$1004,0)),"")</f>
        <v/>
      </c>
    </row>
    <row r="102">
      <c r="O102" s="116">
        <f>IFERROR(INDEX(Firms!$A$5:$A$1004,MATCH(98,Firms!$W$5:$W$1004,0)),"")</f>
        <v/>
      </c>
    </row>
    <row r="103">
      <c r="O103" s="116">
        <f>IFERROR(INDEX(Firms!$A$5:$A$1004,MATCH(99,Firms!$W$5:$W$1004,0)),"")</f>
        <v/>
      </c>
    </row>
    <row r="104">
      <c r="O104" s="116">
        <f>IFERROR(INDEX(Firms!$A$5:$A$1004,MATCH(100,Firms!$W$5:$W$1004,0)),"")</f>
        <v/>
      </c>
    </row>
    <row r="105">
      <c r="O105" s="116">
        <f>IFERROR(INDEX(Firms!$A$5:$A$1004,MATCH(101,Firms!$W$5:$W$1004,0)),"")</f>
        <v/>
      </c>
    </row>
    <row r="106">
      <c r="O106" s="116">
        <f>IFERROR(INDEX(Firms!$A$5:$A$1004,MATCH(102,Firms!$W$5:$W$1004,0)),"")</f>
        <v/>
      </c>
    </row>
    <row r="107">
      <c r="O107" s="116">
        <f>IFERROR(INDEX(Firms!$A$5:$A$1004,MATCH(103,Firms!$W$5:$W$1004,0)),"")</f>
        <v/>
      </c>
    </row>
    <row r="108">
      <c r="O108" s="116">
        <f>IFERROR(INDEX(Firms!$A$5:$A$1004,MATCH(104,Firms!$W$5:$W$1004,0)),"")</f>
        <v/>
      </c>
    </row>
    <row r="109">
      <c r="O109" s="116">
        <f>IFERROR(INDEX(Firms!$A$5:$A$1004,MATCH(105,Firms!$W$5:$W$1004,0)),"")</f>
        <v/>
      </c>
    </row>
    <row r="110">
      <c r="O110" s="116">
        <f>IFERROR(INDEX(Firms!$A$5:$A$1004,MATCH(106,Firms!$W$5:$W$1004,0)),"")</f>
        <v/>
      </c>
    </row>
    <row r="111">
      <c r="O111" s="116">
        <f>IFERROR(INDEX(Firms!$A$5:$A$1004,MATCH(107,Firms!$W$5:$W$1004,0)),"")</f>
        <v/>
      </c>
    </row>
    <row r="112">
      <c r="O112" s="116">
        <f>IFERROR(INDEX(Firms!$A$5:$A$1004,MATCH(108,Firms!$W$5:$W$1004,0)),"")</f>
        <v/>
      </c>
    </row>
    <row r="113">
      <c r="O113" s="116">
        <f>IFERROR(INDEX(Firms!$A$5:$A$1004,MATCH(109,Firms!$W$5:$W$1004,0)),"")</f>
        <v/>
      </c>
    </row>
    <row r="114">
      <c r="O114" s="116">
        <f>IFERROR(INDEX(Firms!$A$5:$A$1004,MATCH(110,Firms!$W$5:$W$1004,0)),"")</f>
        <v/>
      </c>
    </row>
    <row r="115">
      <c r="O115" s="116">
        <f>IFERROR(INDEX(Firms!$A$5:$A$1004,MATCH(111,Firms!$W$5:$W$1004,0)),"")</f>
        <v/>
      </c>
    </row>
    <row r="116">
      <c r="O116" s="116">
        <f>IFERROR(INDEX(Firms!$A$5:$A$1004,MATCH(112,Firms!$W$5:$W$1004,0)),"")</f>
        <v/>
      </c>
    </row>
    <row r="117">
      <c r="O117" s="116">
        <f>IFERROR(INDEX(Firms!$A$5:$A$1004,MATCH(113,Firms!$W$5:$W$1004,0)),"")</f>
        <v/>
      </c>
    </row>
    <row r="118">
      <c r="O118" s="116">
        <f>IFERROR(INDEX(Firms!$A$5:$A$1004,MATCH(114,Firms!$W$5:$W$1004,0)),"")</f>
        <v/>
      </c>
    </row>
    <row r="119">
      <c r="O119" s="116">
        <f>IFERROR(INDEX(Firms!$A$5:$A$1004,MATCH(115,Firms!$W$5:$W$1004,0)),"")</f>
        <v/>
      </c>
    </row>
    <row r="120">
      <c r="O120" s="116">
        <f>IFERROR(INDEX(Firms!$A$5:$A$1004,MATCH(116,Firms!$W$5:$W$1004,0)),"")</f>
        <v/>
      </c>
    </row>
    <row r="121">
      <c r="O121" s="116">
        <f>IFERROR(INDEX(Firms!$A$5:$A$1004,MATCH(117,Firms!$W$5:$W$1004,0)),"")</f>
        <v/>
      </c>
    </row>
    <row r="122">
      <c r="O122" s="116">
        <f>IFERROR(INDEX(Firms!$A$5:$A$1004,MATCH(118,Firms!$W$5:$W$1004,0)),"")</f>
        <v/>
      </c>
    </row>
    <row r="123">
      <c r="O123" s="116">
        <f>IFERROR(INDEX(Firms!$A$5:$A$1004,MATCH(119,Firms!$W$5:$W$1004,0)),"")</f>
        <v/>
      </c>
    </row>
    <row r="124">
      <c r="O124" s="116">
        <f>IFERROR(INDEX(Firms!$A$5:$A$1004,MATCH(120,Firms!$W$5:$W$1004,0)),"")</f>
        <v/>
      </c>
    </row>
    <row r="125">
      <c r="O125" s="116">
        <f>IFERROR(INDEX(Firms!$A$5:$A$1004,MATCH(121,Firms!$W$5:$W$1004,0)),"")</f>
        <v/>
      </c>
    </row>
    <row r="126">
      <c r="O126" s="116">
        <f>IFERROR(INDEX(Firms!$A$5:$A$1004,MATCH(122,Firms!$W$5:$W$1004,0)),"")</f>
        <v/>
      </c>
    </row>
    <row r="127">
      <c r="O127" s="116">
        <f>IFERROR(INDEX(Firms!$A$5:$A$1004,MATCH(123,Firms!$W$5:$W$1004,0)),"")</f>
        <v/>
      </c>
    </row>
    <row r="128">
      <c r="O128" s="116">
        <f>IFERROR(INDEX(Firms!$A$5:$A$1004,MATCH(124,Firms!$W$5:$W$1004,0)),"")</f>
        <v/>
      </c>
    </row>
    <row r="129">
      <c r="O129" s="116">
        <f>IFERROR(INDEX(Firms!$A$5:$A$1004,MATCH(125,Firms!$W$5:$W$1004,0)),"")</f>
        <v/>
      </c>
    </row>
    <row r="130">
      <c r="O130" s="116">
        <f>IFERROR(INDEX(Firms!$A$5:$A$1004,MATCH(126,Firms!$W$5:$W$1004,0)),"")</f>
        <v/>
      </c>
    </row>
    <row r="131">
      <c r="O131" s="116">
        <f>IFERROR(INDEX(Firms!$A$5:$A$1004,MATCH(127,Firms!$W$5:$W$1004,0)),"")</f>
        <v/>
      </c>
    </row>
    <row r="132">
      <c r="O132" s="116">
        <f>IFERROR(INDEX(Firms!$A$5:$A$1004,MATCH(128,Firms!$W$5:$W$1004,0)),"")</f>
        <v/>
      </c>
    </row>
    <row r="133">
      <c r="O133" s="116">
        <f>IFERROR(INDEX(Firms!$A$5:$A$1004,MATCH(129,Firms!$W$5:$W$1004,0)),"")</f>
        <v/>
      </c>
    </row>
    <row r="134">
      <c r="O134" s="116">
        <f>IFERROR(INDEX(Firms!$A$5:$A$1004,MATCH(130,Firms!$W$5:$W$1004,0)),"")</f>
        <v/>
      </c>
    </row>
    <row r="135">
      <c r="O135" s="116">
        <f>IFERROR(INDEX(Firms!$A$5:$A$1004,MATCH(131,Firms!$W$5:$W$1004,0)),"")</f>
        <v/>
      </c>
    </row>
    <row r="136">
      <c r="O136" s="116">
        <f>IFERROR(INDEX(Firms!$A$5:$A$1004,MATCH(132,Firms!$W$5:$W$1004,0)),"")</f>
        <v/>
      </c>
    </row>
    <row r="137">
      <c r="O137" s="116">
        <f>IFERROR(INDEX(Firms!$A$5:$A$1004,MATCH(133,Firms!$W$5:$W$1004,0)),"")</f>
        <v/>
      </c>
    </row>
    <row r="138">
      <c r="O138" s="116">
        <f>IFERROR(INDEX(Firms!$A$5:$A$1004,MATCH(134,Firms!$W$5:$W$1004,0)),"")</f>
        <v/>
      </c>
    </row>
    <row r="139">
      <c r="O139" s="116">
        <f>IFERROR(INDEX(Firms!$A$5:$A$1004,MATCH(135,Firms!$W$5:$W$1004,0)),"")</f>
        <v/>
      </c>
    </row>
    <row r="140">
      <c r="O140" s="116">
        <f>IFERROR(INDEX(Firms!$A$5:$A$1004,MATCH(136,Firms!$W$5:$W$1004,0)),"")</f>
        <v/>
      </c>
    </row>
    <row r="141">
      <c r="O141" s="116">
        <f>IFERROR(INDEX(Firms!$A$5:$A$1004,MATCH(137,Firms!$W$5:$W$1004,0)),"")</f>
        <v/>
      </c>
    </row>
    <row r="142">
      <c r="O142" s="116">
        <f>IFERROR(INDEX(Firms!$A$5:$A$1004,MATCH(138,Firms!$W$5:$W$1004,0)),"")</f>
        <v/>
      </c>
    </row>
    <row r="143">
      <c r="O143" s="116">
        <f>IFERROR(INDEX(Firms!$A$5:$A$1004,MATCH(139,Firms!$W$5:$W$1004,0)),"")</f>
        <v/>
      </c>
    </row>
    <row r="144">
      <c r="O144" s="116">
        <f>IFERROR(INDEX(Firms!$A$5:$A$1004,MATCH(140,Firms!$W$5:$W$1004,0)),"")</f>
        <v/>
      </c>
    </row>
    <row r="145">
      <c r="O145" s="116">
        <f>IFERROR(INDEX(Firms!$A$5:$A$1004,MATCH(141,Firms!$W$5:$W$1004,0)),"")</f>
        <v/>
      </c>
    </row>
    <row r="146">
      <c r="O146" s="116">
        <f>IFERROR(INDEX(Firms!$A$5:$A$1004,MATCH(142,Firms!$W$5:$W$1004,0)),"")</f>
        <v/>
      </c>
    </row>
    <row r="147">
      <c r="O147" s="116">
        <f>IFERROR(INDEX(Firms!$A$5:$A$1004,MATCH(143,Firms!$W$5:$W$1004,0)),"")</f>
        <v/>
      </c>
    </row>
    <row r="148">
      <c r="O148" s="116">
        <f>IFERROR(INDEX(Firms!$A$5:$A$1004,MATCH(144,Firms!$W$5:$W$1004,0)),"")</f>
        <v/>
      </c>
    </row>
    <row r="149">
      <c r="O149" s="116">
        <f>IFERROR(INDEX(Firms!$A$5:$A$1004,MATCH(145,Firms!$W$5:$W$1004,0)),"")</f>
        <v/>
      </c>
    </row>
    <row r="150">
      <c r="O150" s="116">
        <f>IFERROR(INDEX(Firms!$A$5:$A$1004,MATCH(146,Firms!$W$5:$W$1004,0)),"")</f>
        <v/>
      </c>
    </row>
    <row r="151">
      <c r="O151" s="116">
        <f>IFERROR(INDEX(Firms!$A$5:$A$1004,MATCH(147,Firms!$W$5:$W$1004,0)),"")</f>
        <v/>
      </c>
    </row>
    <row r="152">
      <c r="O152" s="116">
        <f>IFERROR(INDEX(Firms!$A$5:$A$1004,MATCH(148,Firms!$W$5:$W$1004,0)),"")</f>
        <v/>
      </c>
    </row>
    <row r="153">
      <c r="O153" s="116">
        <f>IFERROR(INDEX(Firms!$A$5:$A$1004,MATCH(149,Firms!$W$5:$W$1004,0)),"")</f>
        <v/>
      </c>
    </row>
    <row r="154">
      <c r="O154" s="116">
        <f>IFERROR(INDEX(Firms!$A$5:$A$1004,MATCH(150,Firms!$W$5:$W$1004,0)),"")</f>
        <v/>
      </c>
    </row>
    <row r="155">
      <c r="O155" s="116">
        <f>IFERROR(INDEX(Firms!$A$5:$A$1004,MATCH(151,Firms!$W$5:$W$1004,0)),"")</f>
        <v/>
      </c>
    </row>
    <row r="156">
      <c r="O156" s="116">
        <f>IFERROR(INDEX(Firms!$A$5:$A$1004,MATCH(152,Firms!$W$5:$W$1004,0)),"")</f>
        <v/>
      </c>
    </row>
    <row r="157">
      <c r="O157" s="116">
        <f>IFERROR(INDEX(Firms!$A$5:$A$1004,MATCH(153,Firms!$W$5:$W$1004,0)),"")</f>
        <v/>
      </c>
    </row>
    <row r="158">
      <c r="O158" s="116">
        <f>IFERROR(INDEX(Firms!$A$5:$A$1004,MATCH(154,Firms!$W$5:$W$1004,0)),"")</f>
        <v/>
      </c>
    </row>
    <row r="159">
      <c r="O159" s="116">
        <f>IFERROR(INDEX(Firms!$A$5:$A$1004,MATCH(155,Firms!$W$5:$W$1004,0)),"")</f>
        <v/>
      </c>
    </row>
    <row r="160">
      <c r="O160" s="116">
        <f>IFERROR(INDEX(Firms!$A$5:$A$1004,MATCH(156,Firms!$W$5:$W$1004,0)),"")</f>
        <v/>
      </c>
    </row>
    <row r="161">
      <c r="O161" s="116">
        <f>IFERROR(INDEX(Firms!$A$5:$A$1004,MATCH(157,Firms!$W$5:$W$1004,0)),"")</f>
        <v/>
      </c>
    </row>
    <row r="162">
      <c r="O162" s="116">
        <f>IFERROR(INDEX(Firms!$A$5:$A$1004,MATCH(158,Firms!$W$5:$W$1004,0)),"")</f>
        <v/>
      </c>
    </row>
    <row r="163">
      <c r="O163" s="116">
        <f>IFERROR(INDEX(Firms!$A$5:$A$1004,MATCH(159,Firms!$W$5:$W$1004,0)),"")</f>
        <v/>
      </c>
    </row>
    <row r="164">
      <c r="O164" s="116">
        <f>IFERROR(INDEX(Firms!$A$5:$A$1004,MATCH(160,Firms!$W$5:$W$1004,0)),"")</f>
        <v/>
      </c>
    </row>
    <row r="165">
      <c r="O165" s="116">
        <f>IFERROR(INDEX(Firms!$A$5:$A$1004,MATCH(161,Firms!$W$5:$W$1004,0)),"")</f>
        <v/>
      </c>
    </row>
    <row r="166">
      <c r="O166" s="116">
        <f>IFERROR(INDEX(Firms!$A$5:$A$1004,MATCH(162,Firms!$W$5:$W$1004,0)),"")</f>
        <v/>
      </c>
    </row>
    <row r="167">
      <c r="O167" s="116">
        <f>IFERROR(INDEX(Firms!$A$5:$A$1004,MATCH(163,Firms!$W$5:$W$1004,0)),"")</f>
        <v/>
      </c>
    </row>
    <row r="168">
      <c r="O168" s="116">
        <f>IFERROR(INDEX(Firms!$A$5:$A$1004,MATCH(164,Firms!$W$5:$W$1004,0)),"")</f>
        <v/>
      </c>
    </row>
    <row r="169">
      <c r="O169" s="116">
        <f>IFERROR(INDEX(Firms!$A$5:$A$1004,MATCH(165,Firms!$W$5:$W$1004,0)),"")</f>
        <v/>
      </c>
    </row>
    <row r="170">
      <c r="O170" s="116">
        <f>IFERROR(INDEX(Firms!$A$5:$A$1004,MATCH(166,Firms!$W$5:$W$1004,0)),"")</f>
        <v/>
      </c>
    </row>
    <row r="171">
      <c r="O171" s="116">
        <f>IFERROR(INDEX(Firms!$A$5:$A$1004,MATCH(167,Firms!$W$5:$W$1004,0)),"")</f>
        <v/>
      </c>
    </row>
    <row r="172">
      <c r="O172" s="116">
        <f>IFERROR(INDEX(Firms!$A$5:$A$1004,MATCH(168,Firms!$W$5:$W$1004,0)),"")</f>
        <v/>
      </c>
    </row>
    <row r="173">
      <c r="O173" s="116">
        <f>IFERROR(INDEX(Firms!$A$5:$A$1004,MATCH(169,Firms!$W$5:$W$1004,0)),"")</f>
        <v/>
      </c>
    </row>
    <row r="174">
      <c r="O174" s="116">
        <f>IFERROR(INDEX(Firms!$A$5:$A$1004,MATCH(170,Firms!$W$5:$W$1004,0)),"")</f>
        <v/>
      </c>
    </row>
    <row r="175">
      <c r="O175" s="116">
        <f>IFERROR(INDEX(Firms!$A$5:$A$1004,MATCH(171,Firms!$W$5:$W$1004,0)),"")</f>
        <v/>
      </c>
    </row>
    <row r="176">
      <c r="O176" s="116">
        <f>IFERROR(INDEX(Firms!$A$5:$A$1004,MATCH(172,Firms!$W$5:$W$1004,0)),"")</f>
        <v/>
      </c>
    </row>
    <row r="177">
      <c r="O177" s="116">
        <f>IFERROR(INDEX(Firms!$A$5:$A$1004,MATCH(173,Firms!$W$5:$W$1004,0)),"")</f>
        <v/>
      </c>
    </row>
    <row r="178">
      <c r="O178" s="116">
        <f>IFERROR(INDEX(Firms!$A$5:$A$1004,MATCH(174,Firms!$W$5:$W$1004,0)),"")</f>
        <v/>
      </c>
    </row>
    <row r="179">
      <c r="O179" s="116">
        <f>IFERROR(INDEX(Firms!$A$5:$A$1004,MATCH(175,Firms!$W$5:$W$1004,0)),"")</f>
        <v/>
      </c>
    </row>
    <row r="180">
      <c r="O180" s="116">
        <f>IFERROR(INDEX(Firms!$A$5:$A$1004,MATCH(176,Firms!$W$5:$W$1004,0)),"")</f>
        <v/>
      </c>
    </row>
    <row r="181">
      <c r="O181" s="116">
        <f>IFERROR(INDEX(Firms!$A$5:$A$1004,MATCH(177,Firms!$W$5:$W$1004,0)),"")</f>
        <v/>
      </c>
    </row>
    <row r="182">
      <c r="O182" s="116">
        <f>IFERROR(INDEX(Firms!$A$5:$A$1004,MATCH(178,Firms!$W$5:$W$1004,0)),"")</f>
        <v/>
      </c>
    </row>
    <row r="183">
      <c r="O183" s="116">
        <f>IFERROR(INDEX(Firms!$A$5:$A$1004,MATCH(179,Firms!$W$5:$W$1004,0)),"")</f>
        <v/>
      </c>
    </row>
    <row r="184">
      <c r="O184" s="116">
        <f>IFERROR(INDEX(Firms!$A$5:$A$1004,MATCH(180,Firms!$W$5:$W$1004,0)),"")</f>
        <v/>
      </c>
    </row>
    <row r="185">
      <c r="O185" s="116">
        <f>IFERROR(INDEX(Firms!$A$5:$A$1004,MATCH(181,Firms!$W$5:$W$1004,0)),"")</f>
        <v/>
      </c>
    </row>
    <row r="186">
      <c r="O186" s="116">
        <f>IFERROR(INDEX(Firms!$A$5:$A$1004,MATCH(182,Firms!$W$5:$W$1004,0)),"")</f>
        <v/>
      </c>
    </row>
    <row r="187">
      <c r="O187" s="116">
        <f>IFERROR(INDEX(Firms!$A$5:$A$1004,MATCH(183,Firms!$W$5:$W$1004,0)),"")</f>
        <v/>
      </c>
    </row>
    <row r="188">
      <c r="O188" s="116">
        <f>IFERROR(INDEX(Firms!$A$5:$A$1004,MATCH(184,Firms!$W$5:$W$1004,0)),"")</f>
        <v/>
      </c>
    </row>
    <row r="189">
      <c r="O189" s="116">
        <f>IFERROR(INDEX(Firms!$A$5:$A$1004,MATCH(185,Firms!$W$5:$W$1004,0)),"")</f>
        <v/>
      </c>
    </row>
    <row r="190">
      <c r="O190" s="116">
        <f>IFERROR(INDEX(Firms!$A$5:$A$1004,MATCH(186,Firms!$W$5:$W$1004,0)),"")</f>
        <v/>
      </c>
    </row>
    <row r="191">
      <c r="O191" s="116">
        <f>IFERROR(INDEX(Firms!$A$5:$A$1004,MATCH(187,Firms!$W$5:$W$1004,0)),"")</f>
        <v/>
      </c>
    </row>
    <row r="192">
      <c r="O192" s="116">
        <f>IFERROR(INDEX(Firms!$A$5:$A$1004,MATCH(188,Firms!$W$5:$W$1004,0)),"")</f>
        <v/>
      </c>
    </row>
    <row r="193">
      <c r="O193" s="116">
        <f>IFERROR(INDEX(Firms!$A$5:$A$1004,MATCH(189,Firms!$W$5:$W$1004,0)),"")</f>
        <v/>
      </c>
    </row>
    <row r="194">
      <c r="O194" s="116">
        <f>IFERROR(INDEX(Firms!$A$5:$A$1004,MATCH(190,Firms!$W$5:$W$1004,0)),"")</f>
        <v/>
      </c>
    </row>
    <row r="195">
      <c r="O195" s="116">
        <f>IFERROR(INDEX(Firms!$A$5:$A$1004,MATCH(191,Firms!$W$5:$W$1004,0)),"")</f>
        <v/>
      </c>
    </row>
    <row r="196">
      <c r="O196" s="116">
        <f>IFERROR(INDEX(Firms!$A$5:$A$1004,MATCH(192,Firms!$W$5:$W$1004,0)),"")</f>
        <v/>
      </c>
    </row>
    <row r="197">
      <c r="O197" s="116">
        <f>IFERROR(INDEX(Firms!$A$5:$A$1004,MATCH(193,Firms!$W$5:$W$1004,0)),"")</f>
        <v/>
      </c>
    </row>
    <row r="198">
      <c r="O198" s="116">
        <f>IFERROR(INDEX(Firms!$A$5:$A$1004,MATCH(194,Firms!$W$5:$W$1004,0)),"")</f>
        <v/>
      </c>
    </row>
    <row r="199">
      <c r="O199" s="116">
        <f>IFERROR(INDEX(Firms!$A$5:$A$1004,MATCH(195,Firms!$W$5:$W$1004,0)),"")</f>
        <v/>
      </c>
    </row>
    <row r="200">
      <c r="O200" s="116">
        <f>IFERROR(INDEX(Firms!$A$5:$A$1004,MATCH(196,Firms!$W$5:$W$1004,0)),"")</f>
        <v/>
      </c>
    </row>
    <row r="201">
      <c r="O201" s="116">
        <f>IFERROR(INDEX(Firms!$A$5:$A$1004,MATCH(197,Firms!$W$5:$W$1004,0)),"")</f>
        <v/>
      </c>
    </row>
    <row r="202">
      <c r="O202" s="116">
        <f>IFERROR(INDEX(Firms!$A$5:$A$1004,MATCH(198,Firms!$W$5:$W$1004,0)),"")</f>
        <v/>
      </c>
    </row>
    <row r="203">
      <c r="O203" s="116">
        <f>IFERROR(INDEX(Firms!$A$5:$A$1004,MATCH(199,Firms!$W$5:$W$1004,0)),"")</f>
        <v/>
      </c>
    </row>
    <row r="204">
      <c r="O204" s="116">
        <f>IFERROR(INDEX(Firms!$A$5:$A$1004,MATCH(200,Firms!$W$5:$W$1004,0)),"")</f>
        <v/>
      </c>
    </row>
    <row r="205">
      <c r="O205" s="116">
        <f>IFERROR(INDEX(Firms!$A$5:$A$1004,MATCH(201,Firms!$W$5:$W$1004,0)),"")</f>
        <v/>
      </c>
    </row>
    <row r="206">
      <c r="O206" s="116">
        <f>IFERROR(INDEX(Firms!$A$5:$A$1004,MATCH(202,Firms!$W$5:$W$1004,0)),"")</f>
        <v/>
      </c>
    </row>
    <row r="207">
      <c r="O207" s="116">
        <f>IFERROR(INDEX(Firms!$A$5:$A$1004,MATCH(203,Firms!$W$5:$W$1004,0)),"")</f>
        <v/>
      </c>
    </row>
    <row r="208">
      <c r="O208" s="116">
        <f>IFERROR(INDEX(Firms!$A$5:$A$1004,MATCH(204,Firms!$W$5:$W$1004,0)),"")</f>
        <v/>
      </c>
    </row>
    <row r="209">
      <c r="O209" s="116">
        <f>IFERROR(INDEX(Firms!$A$5:$A$1004,MATCH(205,Firms!$W$5:$W$1004,0)),"")</f>
        <v/>
      </c>
    </row>
    <row r="210">
      <c r="O210" s="116">
        <f>IFERROR(INDEX(Firms!$A$5:$A$1004,MATCH(206,Firms!$W$5:$W$1004,0)),"")</f>
        <v/>
      </c>
    </row>
    <row r="211">
      <c r="O211" s="116">
        <f>IFERROR(INDEX(Firms!$A$5:$A$1004,MATCH(207,Firms!$W$5:$W$1004,0)),"")</f>
        <v/>
      </c>
    </row>
    <row r="212">
      <c r="O212" s="116">
        <f>IFERROR(INDEX(Firms!$A$5:$A$1004,MATCH(208,Firms!$W$5:$W$1004,0)),"")</f>
        <v/>
      </c>
    </row>
    <row r="213">
      <c r="O213" s="116">
        <f>IFERROR(INDEX(Firms!$A$5:$A$1004,MATCH(209,Firms!$W$5:$W$1004,0)),"")</f>
        <v/>
      </c>
    </row>
    <row r="214">
      <c r="O214" s="116">
        <f>IFERROR(INDEX(Firms!$A$5:$A$1004,MATCH(210,Firms!$W$5:$W$1004,0)),"")</f>
        <v/>
      </c>
    </row>
    <row r="215">
      <c r="O215" s="116">
        <f>IFERROR(INDEX(Firms!$A$5:$A$1004,MATCH(211,Firms!$W$5:$W$1004,0)),"")</f>
        <v/>
      </c>
    </row>
    <row r="216">
      <c r="O216" s="116">
        <f>IFERROR(INDEX(Firms!$A$5:$A$1004,MATCH(212,Firms!$W$5:$W$1004,0)),"")</f>
        <v/>
      </c>
    </row>
    <row r="217">
      <c r="O217" s="116">
        <f>IFERROR(INDEX(Firms!$A$5:$A$1004,MATCH(213,Firms!$W$5:$W$1004,0)),"")</f>
        <v/>
      </c>
    </row>
    <row r="218">
      <c r="O218" s="116">
        <f>IFERROR(INDEX(Firms!$A$5:$A$1004,MATCH(214,Firms!$W$5:$W$1004,0)),"")</f>
        <v/>
      </c>
    </row>
    <row r="219">
      <c r="O219" s="116">
        <f>IFERROR(INDEX(Firms!$A$5:$A$1004,MATCH(215,Firms!$W$5:$W$1004,0)),"")</f>
        <v/>
      </c>
    </row>
    <row r="220">
      <c r="O220" s="116">
        <f>IFERROR(INDEX(Firms!$A$5:$A$1004,MATCH(216,Firms!$W$5:$W$1004,0)),"")</f>
        <v/>
      </c>
    </row>
    <row r="221">
      <c r="O221" s="116">
        <f>IFERROR(INDEX(Firms!$A$5:$A$1004,MATCH(217,Firms!$W$5:$W$1004,0)),"")</f>
        <v/>
      </c>
    </row>
    <row r="222">
      <c r="O222" s="116">
        <f>IFERROR(INDEX(Firms!$A$5:$A$1004,MATCH(218,Firms!$W$5:$W$1004,0)),"")</f>
        <v/>
      </c>
    </row>
    <row r="223">
      <c r="O223" s="116">
        <f>IFERROR(INDEX(Firms!$A$5:$A$1004,MATCH(219,Firms!$W$5:$W$1004,0)),"")</f>
        <v/>
      </c>
    </row>
    <row r="224">
      <c r="O224" s="116">
        <f>IFERROR(INDEX(Firms!$A$5:$A$1004,MATCH(220,Firms!$W$5:$W$1004,0)),"")</f>
        <v/>
      </c>
    </row>
    <row r="225">
      <c r="O225" s="116">
        <f>IFERROR(INDEX(Firms!$A$5:$A$1004,MATCH(221,Firms!$W$5:$W$1004,0)),"")</f>
        <v/>
      </c>
    </row>
    <row r="226">
      <c r="O226" s="116">
        <f>IFERROR(INDEX(Firms!$A$5:$A$1004,MATCH(222,Firms!$W$5:$W$1004,0)),"")</f>
        <v/>
      </c>
    </row>
    <row r="227">
      <c r="O227" s="116">
        <f>IFERROR(INDEX(Firms!$A$5:$A$1004,MATCH(223,Firms!$W$5:$W$1004,0)),"")</f>
        <v/>
      </c>
    </row>
    <row r="228">
      <c r="O228" s="116">
        <f>IFERROR(INDEX(Firms!$A$5:$A$1004,MATCH(224,Firms!$W$5:$W$1004,0)),"")</f>
        <v/>
      </c>
    </row>
    <row r="229">
      <c r="O229" s="116">
        <f>IFERROR(INDEX(Firms!$A$5:$A$1004,MATCH(225,Firms!$W$5:$W$1004,0)),"")</f>
        <v/>
      </c>
    </row>
    <row r="230">
      <c r="O230" s="116">
        <f>IFERROR(INDEX(Firms!$A$5:$A$1004,MATCH(226,Firms!$W$5:$W$1004,0)),"")</f>
        <v/>
      </c>
    </row>
    <row r="231">
      <c r="O231" s="116">
        <f>IFERROR(INDEX(Firms!$A$5:$A$1004,MATCH(227,Firms!$W$5:$W$1004,0)),"")</f>
        <v/>
      </c>
    </row>
    <row r="232">
      <c r="O232" s="116">
        <f>IFERROR(INDEX(Firms!$A$5:$A$1004,MATCH(228,Firms!$W$5:$W$1004,0)),"")</f>
        <v/>
      </c>
    </row>
    <row r="233">
      <c r="O233" s="116">
        <f>IFERROR(INDEX(Firms!$A$5:$A$1004,MATCH(229,Firms!$W$5:$W$1004,0)),"")</f>
        <v/>
      </c>
    </row>
    <row r="234">
      <c r="O234" s="116">
        <f>IFERROR(INDEX(Firms!$A$5:$A$1004,MATCH(230,Firms!$W$5:$W$1004,0)),"")</f>
        <v/>
      </c>
    </row>
    <row r="235">
      <c r="O235" s="116">
        <f>IFERROR(INDEX(Firms!$A$5:$A$1004,MATCH(231,Firms!$W$5:$W$1004,0)),"")</f>
        <v/>
      </c>
    </row>
    <row r="236">
      <c r="O236" s="116">
        <f>IFERROR(INDEX(Firms!$A$5:$A$1004,MATCH(232,Firms!$W$5:$W$1004,0)),"")</f>
        <v/>
      </c>
    </row>
    <row r="237">
      <c r="O237" s="116">
        <f>IFERROR(INDEX(Firms!$A$5:$A$1004,MATCH(233,Firms!$W$5:$W$1004,0)),"")</f>
        <v/>
      </c>
    </row>
    <row r="238">
      <c r="O238" s="116">
        <f>IFERROR(INDEX(Firms!$A$5:$A$1004,MATCH(234,Firms!$W$5:$W$1004,0)),"")</f>
        <v/>
      </c>
    </row>
    <row r="239">
      <c r="O239" s="116">
        <f>IFERROR(INDEX(Firms!$A$5:$A$1004,MATCH(235,Firms!$W$5:$W$1004,0)),"")</f>
        <v/>
      </c>
    </row>
    <row r="240">
      <c r="O240" s="116">
        <f>IFERROR(INDEX(Firms!$A$5:$A$1004,MATCH(236,Firms!$W$5:$W$1004,0)),"")</f>
        <v/>
      </c>
    </row>
    <row r="241">
      <c r="O241" s="116">
        <f>IFERROR(INDEX(Firms!$A$5:$A$1004,MATCH(237,Firms!$W$5:$W$1004,0)),"")</f>
        <v/>
      </c>
    </row>
    <row r="242">
      <c r="O242" s="116">
        <f>IFERROR(INDEX(Firms!$A$5:$A$1004,MATCH(238,Firms!$W$5:$W$1004,0)),"")</f>
        <v/>
      </c>
    </row>
    <row r="243">
      <c r="O243" s="116">
        <f>IFERROR(INDEX(Firms!$A$5:$A$1004,MATCH(239,Firms!$W$5:$W$1004,0)),"")</f>
        <v/>
      </c>
    </row>
    <row r="244">
      <c r="O244" s="116">
        <f>IFERROR(INDEX(Firms!$A$5:$A$1004,MATCH(240,Firms!$W$5:$W$1004,0)),"")</f>
        <v/>
      </c>
    </row>
    <row r="245">
      <c r="O245" s="116">
        <f>IFERROR(INDEX(Firms!$A$5:$A$1004,MATCH(241,Firms!$W$5:$W$1004,0)),"")</f>
        <v/>
      </c>
    </row>
    <row r="246">
      <c r="O246" s="116">
        <f>IFERROR(INDEX(Firms!$A$5:$A$1004,MATCH(242,Firms!$W$5:$W$1004,0)),"")</f>
        <v/>
      </c>
    </row>
    <row r="247">
      <c r="O247" s="116">
        <f>IFERROR(INDEX(Firms!$A$5:$A$1004,MATCH(243,Firms!$W$5:$W$1004,0)),"")</f>
        <v/>
      </c>
    </row>
    <row r="248">
      <c r="O248" s="116">
        <f>IFERROR(INDEX(Firms!$A$5:$A$1004,MATCH(244,Firms!$W$5:$W$1004,0)),"")</f>
        <v/>
      </c>
    </row>
    <row r="249">
      <c r="O249" s="116">
        <f>IFERROR(INDEX(Firms!$A$5:$A$1004,MATCH(245,Firms!$W$5:$W$1004,0)),"")</f>
        <v/>
      </c>
    </row>
    <row r="250">
      <c r="O250" s="116">
        <f>IFERROR(INDEX(Firms!$A$5:$A$1004,MATCH(246,Firms!$W$5:$W$1004,0)),"")</f>
        <v/>
      </c>
    </row>
    <row r="251">
      <c r="O251" s="116">
        <f>IFERROR(INDEX(Firms!$A$5:$A$1004,MATCH(247,Firms!$W$5:$W$1004,0)),"")</f>
        <v/>
      </c>
    </row>
    <row r="252">
      <c r="O252" s="116">
        <f>IFERROR(INDEX(Firms!$A$5:$A$1004,MATCH(248,Firms!$W$5:$W$1004,0)),"")</f>
        <v/>
      </c>
    </row>
    <row r="253">
      <c r="O253" s="116">
        <f>IFERROR(INDEX(Firms!$A$5:$A$1004,MATCH(249,Firms!$W$5:$W$1004,0)),"")</f>
        <v/>
      </c>
    </row>
    <row r="254">
      <c r="O254" s="116">
        <f>IFERROR(INDEX(Firms!$A$5:$A$1004,MATCH(250,Firms!$W$5:$W$1004,0)),"")</f>
        <v/>
      </c>
    </row>
    <row r="255">
      <c r="O255" s="116">
        <f>IFERROR(INDEX(Firms!$A$5:$A$1004,MATCH(251,Firms!$W$5:$W$1004,0)),"")</f>
        <v/>
      </c>
    </row>
    <row r="256">
      <c r="O256" s="116">
        <f>IFERROR(INDEX(Firms!$A$5:$A$1004,MATCH(252,Firms!$W$5:$W$1004,0)),"")</f>
        <v/>
      </c>
    </row>
    <row r="257">
      <c r="O257" s="116">
        <f>IFERROR(INDEX(Firms!$A$5:$A$1004,MATCH(253,Firms!$W$5:$W$1004,0)),"")</f>
        <v/>
      </c>
    </row>
    <row r="258">
      <c r="O258" s="116">
        <f>IFERROR(INDEX(Firms!$A$5:$A$1004,MATCH(254,Firms!$W$5:$W$1004,0)),"")</f>
        <v/>
      </c>
    </row>
    <row r="259">
      <c r="O259" s="116">
        <f>IFERROR(INDEX(Firms!$A$5:$A$1004,MATCH(255,Firms!$W$5:$W$1004,0)),"")</f>
        <v/>
      </c>
    </row>
    <row r="260">
      <c r="O260" s="116">
        <f>IFERROR(INDEX(Firms!$A$5:$A$1004,MATCH(256,Firms!$W$5:$W$1004,0)),"")</f>
        <v/>
      </c>
    </row>
    <row r="261">
      <c r="O261" s="116">
        <f>IFERROR(INDEX(Firms!$A$5:$A$1004,MATCH(257,Firms!$W$5:$W$1004,0)),"")</f>
        <v/>
      </c>
    </row>
    <row r="262">
      <c r="O262" s="116">
        <f>IFERROR(INDEX(Firms!$A$5:$A$1004,MATCH(258,Firms!$W$5:$W$1004,0)),"")</f>
        <v/>
      </c>
    </row>
    <row r="263">
      <c r="O263" s="116">
        <f>IFERROR(INDEX(Firms!$A$5:$A$1004,MATCH(259,Firms!$W$5:$W$1004,0)),"")</f>
        <v/>
      </c>
    </row>
    <row r="264">
      <c r="O264" s="116">
        <f>IFERROR(INDEX(Firms!$A$5:$A$1004,MATCH(260,Firms!$W$5:$W$1004,0)),"")</f>
        <v/>
      </c>
    </row>
    <row r="265">
      <c r="O265" s="116">
        <f>IFERROR(INDEX(Firms!$A$5:$A$1004,MATCH(261,Firms!$W$5:$W$1004,0)),"")</f>
        <v/>
      </c>
    </row>
    <row r="266">
      <c r="O266" s="116">
        <f>IFERROR(INDEX(Firms!$A$5:$A$1004,MATCH(262,Firms!$W$5:$W$1004,0)),"")</f>
        <v/>
      </c>
    </row>
    <row r="267">
      <c r="O267" s="116">
        <f>IFERROR(INDEX(Firms!$A$5:$A$1004,MATCH(263,Firms!$W$5:$W$1004,0)),"")</f>
        <v/>
      </c>
    </row>
    <row r="268">
      <c r="O268" s="116">
        <f>IFERROR(INDEX(Firms!$A$5:$A$1004,MATCH(264,Firms!$W$5:$W$1004,0)),"")</f>
        <v/>
      </c>
    </row>
    <row r="269">
      <c r="O269" s="116">
        <f>IFERROR(INDEX(Firms!$A$5:$A$1004,MATCH(265,Firms!$W$5:$W$1004,0)),"")</f>
        <v/>
      </c>
    </row>
    <row r="270">
      <c r="O270" s="116">
        <f>IFERROR(INDEX(Firms!$A$5:$A$1004,MATCH(266,Firms!$W$5:$W$1004,0)),"")</f>
        <v/>
      </c>
    </row>
    <row r="271">
      <c r="O271" s="116">
        <f>IFERROR(INDEX(Firms!$A$5:$A$1004,MATCH(267,Firms!$W$5:$W$1004,0)),"")</f>
        <v/>
      </c>
    </row>
    <row r="272">
      <c r="O272" s="116">
        <f>IFERROR(INDEX(Firms!$A$5:$A$1004,MATCH(268,Firms!$W$5:$W$1004,0)),"")</f>
        <v/>
      </c>
    </row>
    <row r="273">
      <c r="O273" s="116">
        <f>IFERROR(INDEX(Firms!$A$5:$A$1004,MATCH(269,Firms!$W$5:$W$1004,0)),"")</f>
        <v/>
      </c>
    </row>
    <row r="274">
      <c r="O274" s="116">
        <f>IFERROR(INDEX(Firms!$A$5:$A$1004,MATCH(270,Firms!$W$5:$W$1004,0)),"")</f>
        <v/>
      </c>
    </row>
    <row r="275">
      <c r="O275" s="116">
        <f>IFERROR(INDEX(Firms!$A$5:$A$1004,MATCH(271,Firms!$W$5:$W$1004,0)),"")</f>
        <v/>
      </c>
    </row>
    <row r="276">
      <c r="O276" s="116">
        <f>IFERROR(INDEX(Firms!$A$5:$A$1004,MATCH(272,Firms!$W$5:$W$1004,0)),"")</f>
        <v/>
      </c>
    </row>
    <row r="277">
      <c r="O277" s="116">
        <f>IFERROR(INDEX(Firms!$A$5:$A$1004,MATCH(273,Firms!$W$5:$W$1004,0)),"")</f>
        <v/>
      </c>
    </row>
    <row r="278">
      <c r="O278" s="116">
        <f>IFERROR(INDEX(Firms!$A$5:$A$1004,MATCH(274,Firms!$W$5:$W$1004,0)),"")</f>
        <v/>
      </c>
    </row>
    <row r="279">
      <c r="O279" s="116">
        <f>IFERROR(INDEX(Firms!$A$5:$A$1004,MATCH(275,Firms!$W$5:$W$1004,0)),"")</f>
        <v/>
      </c>
    </row>
    <row r="280">
      <c r="O280" s="116">
        <f>IFERROR(INDEX(Firms!$A$5:$A$1004,MATCH(276,Firms!$W$5:$W$1004,0)),"")</f>
        <v/>
      </c>
    </row>
    <row r="281">
      <c r="O281" s="116">
        <f>IFERROR(INDEX(Firms!$A$5:$A$1004,MATCH(277,Firms!$W$5:$W$1004,0)),"")</f>
        <v/>
      </c>
    </row>
    <row r="282">
      <c r="O282" s="116">
        <f>IFERROR(INDEX(Firms!$A$5:$A$1004,MATCH(278,Firms!$W$5:$W$1004,0)),"")</f>
        <v/>
      </c>
    </row>
    <row r="283">
      <c r="O283" s="116">
        <f>IFERROR(INDEX(Firms!$A$5:$A$1004,MATCH(279,Firms!$W$5:$W$1004,0)),"")</f>
        <v/>
      </c>
    </row>
    <row r="284">
      <c r="O284" s="116">
        <f>IFERROR(INDEX(Firms!$A$5:$A$1004,MATCH(280,Firms!$W$5:$W$1004,0)),"")</f>
        <v/>
      </c>
    </row>
    <row r="285">
      <c r="O285" s="116">
        <f>IFERROR(INDEX(Firms!$A$5:$A$1004,MATCH(281,Firms!$W$5:$W$1004,0)),"")</f>
        <v/>
      </c>
    </row>
    <row r="286">
      <c r="O286" s="116">
        <f>IFERROR(INDEX(Firms!$A$5:$A$1004,MATCH(282,Firms!$W$5:$W$1004,0)),"")</f>
        <v/>
      </c>
    </row>
    <row r="287">
      <c r="O287" s="116">
        <f>IFERROR(INDEX(Firms!$A$5:$A$1004,MATCH(283,Firms!$W$5:$W$1004,0)),"")</f>
        <v/>
      </c>
    </row>
    <row r="288">
      <c r="O288" s="116">
        <f>IFERROR(INDEX(Firms!$A$5:$A$1004,MATCH(284,Firms!$W$5:$W$1004,0)),"")</f>
        <v/>
      </c>
    </row>
    <row r="289">
      <c r="O289" s="116">
        <f>IFERROR(INDEX(Firms!$A$5:$A$1004,MATCH(285,Firms!$W$5:$W$1004,0)),"")</f>
        <v/>
      </c>
    </row>
    <row r="290">
      <c r="O290" s="116">
        <f>IFERROR(INDEX(Firms!$A$5:$A$1004,MATCH(286,Firms!$W$5:$W$1004,0)),"")</f>
        <v/>
      </c>
    </row>
    <row r="291">
      <c r="O291" s="116">
        <f>IFERROR(INDEX(Firms!$A$5:$A$1004,MATCH(287,Firms!$W$5:$W$1004,0)),"")</f>
        <v/>
      </c>
    </row>
    <row r="292">
      <c r="O292" s="116">
        <f>IFERROR(INDEX(Firms!$A$5:$A$1004,MATCH(288,Firms!$W$5:$W$1004,0)),"")</f>
        <v/>
      </c>
    </row>
    <row r="293">
      <c r="O293" s="116">
        <f>IFERROR(INDEX(Firms!$A$5:$A$1004,MATCH(289,Firms!$W$5:$W$1004,0)),"")</f>
        <v/>
      </c>
    </row>
    <row r="294">
      <c r="O294" s="116">
        <f>IFERROR(INDEX(Firms!$A$5:$A$1004,MATCH(290,Firms!$W$5:$W$1004,0)),"")</f>
        <v/>
      </c>
    </row>
    <row r="295">
      <c r="O295" s="116">
        <f>IFERROR(INDEX(Firms!$A$5:$A$1004,MATCH(291,Firms!$W$5:$W$1004,0)),"")</f>
        <v/>
      </c>
    </row>
    <row r="296">
      <c r="O296" s="116">
        <f>IFERROR(INDEX(Firms!$A$5:$A$1004,MATCH(292,Firms!$W$5:$W$1004,0)),"")</f>
        <v/>
      </c>
    </row>
    <row r="297">
      <c r="O297" s="116">
        <f>IFERROR(INDEX(Firms!$A$5:$A$1004,MATCH(293,Firms!$W$5:$W$1004,0)),"")</f>
        <v/>
      </c>
    </row>
    <row r="298">
      <c r="O298" s="116">
        <f>IFERROR(INDEX(Firms!$A$5:$A$1004,MATCH(294,Firms!$W$5:$W$1004,0)),"")</f>
        <v/>
      </c>
    </row>
    <row r="299">
      <c r="O299" s="116">
        <f>IFERROR(INDEX(Firms!$A$5:$A$1004,MATCH(295,Firms!$W$5:$W$1004,0)),"")</f>
        <v/>
      </c>
    </row>
    <row r="300">
      <c r="O300" s="116">
        <f>IFERROR(INDEX(Firms!$A$5:$A$1004,MATCH(296,Firms!$W$5:$W$1004,0)),"")</f>
        <v/>
      </c>
    </row>
    <row r="301">
      <c r="O301" s="116">
        <f>IFERROR(INDEX(Firms!$A$5:$A$1004,MATCH(297,Firms!$W$5:$W$1004,0)),"")</f>
        <v/>
      </c>
    </row>
    <row r="302">
      <c r="O302" s="116">
        <f>IFERROR(INDEX(Firms!$A$5:$A$1004,MATCH(298,Firms!$W$5:$W$1004,0)),"")</f>
        <v/>
      </c>
    </row>
    <row r="303">
      <c r="O303" s="116">
        <f>IFERROR(INDEX(Firms!$A$5:$A$1004,MATCH(299,Firms!$W$5:$W$1004,0)),"")</f>
        <v/>
      </c>
    </row>
    <row r="304">
      <c r="O304" s="116">
        <f>IFERROR(INDEX(Firms!$A$5:$A$1004,MATCH(300,Firms!$W$5:$W$1004,0)),"")</f>
        <v/>
      </c>
    </row>
    <row r="305">
      <c r="O305" s="116">
        <f>IFERROR(INDEX(Firms!$A$5:$A$1004,MATCH(301,Firms!$W$5:$W$1004,0)),"")</f>
        <v/>
      </c>
    </row>
    <row r="306">
      <c r="O306" s="116">
        <f>IFERROR(INDEX(Firms!$A$5:$A$1004,MATCH(302,Firms!$W$5:$W$1004,0)),"")</f>
        <v/>
      </c>
    </row>
    <row r="307">
      <c r="O307" s="116">
        <f>IFERROR(INDEX(Firms!$A$5:$A$1004,MATCH(303,Firms!$W$5:$W$1004,0)),"")</f>
        <v/>
      </c>
    </row>
    <row r="308">
      <c r="O308" s="116">
        <f>IFERROR(INDEX(Firms!$A$5:$A$1004,MATCH(304,Firms!$W$5:$W$1004,0)),"")</f>
        <v/>
      </c>
    </row>
    <row r="309">
      <c r="O309" s="116">
        <f>IFERROR(INDEX(Firms!$A$5:$A$1004,MATCH(305,Firms!$W$5:$W$1004,0)),"")</f>
        <v/>
      </c>
    </row>
    <row r="310">
      <c r="O310" s="116">
        <f>IFERROR(INDEX(Firms!$A$5:$A$1004,MATCH(306,Firms!$W$5:$W$1004,0)),"")</f>
        <v/>
      </c>
    </row>
    <row r="311">
      <c r="O311" s="116">
        <f>IFERROR(INDEX(Firms!$A$5:$A$1004,MATCH(307,Firms!$W$5:$W$1004,0)),"")</f>
        <v/>
      </c>
    </row>
    <row r="312">
      <c r="O312" s="116">
        <f>IFERROR(INDEX(Firms!$A$5:$A$1004,MATCH(308,Firms!$W$5:$W$1004,0)),"")</f>
        <v/>
      </c>
    </row>
    <row r="313">
      <c r="O313" s="116">
        <f>IFERROR(INDEX(Firms!$A$5:$A$1004,MATCH(309,Firms!$W$5:$W$1004,0)),"")</f>
        <v/>
      </c>
    </row>
    <row r="314">
      <c r="O314" s="116">
        <f>IFERROR(INDEX(Firms!$A$5:$A$1004,MATCH(310,Firms!$W$5:$W$1004,0)),"")</f>
        <v/>
      </c>
    </row>
    <row r="315">
      <c r="O315" s="116">
        <f>IFERROR(INDEX(Firms!$A$5:$A$1004,MATCH(311,Firms!$W$5:$W$1004,0)),"")</f>
        <v/>
      </c>
    </row>
    <row r="316">
      <c r="O316" s="116">
        <f>IFERROR(INDEX(Firms!$A$5:$A$1004,MATCH(312,Firms!$W$5:$W$1004,0)),"")</f>
        <v/>
      </c>
    </row>
    <row r="317">
      <c r="O317" s="116">
        <f>IFERROR(INDEX(Firms!$A$5:$A$1004,MATCH(313,Firms!$W$5:$W$1004,0)),"")</f>
        <v/>
      </c>
    </row>
    <row r="318">
      <c r="O318" s="116">
        <f>IFERROR(INDEX(Firms!$A$5:$A$1004,MATCH(314,Firms!$W$5:$W$1004,0)),"")</f>
        <v/>
      </c>
    </row>
    <row r="319">
      <c r="O319" s="116">
        <f>IFERROR(INDEX(Firms!$A$5:$A$1004,MATCH(315,Firms!$W$5:$W$1004,0)),"")</f>
        <v/>
      </c>
    </row>
    <row r="320">
      <c r="O320" s="116">
        <f>IFERROR(INDEX(Firms!$A$5:$A$1004,MATCH(316,Firms!$W$5:$W$1004,0)),"")</f>
        <v/>
      </c>
    </row>
    <row r="321">
      <c r="O321" s="116">
        <f>IFERROR(INDEX(Firms!$A$5:$A$1004,MATCH(317,Firms!$W$5:$W$1004,0)),"")</f>
        <v/>
      </c>
    </row>
    <row r="322">
      <c r="O322" s="116">
        <f>IFERROR(INDEX(Firms!$A$5:$A$1004,MATCH(318,Firms!$W$5:$W$1004,0)),"")</f>
        <v/>
      </c>
    </row>
    <row r="323">
      <c r="O323" s="116">
        <f>IFERROR(INDEX(Firms!$A$5:$A$1004,MATCH(319,Firms!$W$5:$W$1004,0)),"")</f>
        <v/>
      </c>
    </row>
    <row r="324">
      <c r="O324" s="116">
        <f>IFERROR(INDEX(Firms!$A$5:$A$1004,MATCH(320,Firms!$W$5:$W$1004,0)),"")</f>
        <v/>
      </c>
    </row>
    <row r="325">
      <c r="O325" s="116">
        <f>IFERROR(INDEX(Firms!$A$5:$A$1004,MATCH(321,Firms!$W$5:$W$1004,0)),"")</f>
        <v/>
      </c>
    </row>
    <row r="326">
      <c r="O326" s="116">
        <f>IFERROR(INDEX(Firms!$A$5:$A$1004,MATCH(322,Firms!$W$5:$W$1004,0)),"")</f>
        <v/>
      </c>
    </row>
    <row r="327">
      <c r="O327" s="116">
        <f>IFERROR(INDEX(Firms!$A$5:$A$1004,MATCH(323,Firms!$W$5:$W$1004,0)),"")</f>
        <v/>
      </c>
    </row>
    <row r="328">
      <c r="O328" s="116">
        <f>IFERROR(INDEX(Firms!$A$5:$A$1004,MATCH(324,Firms!$W$5:$W$1004,0)),"")</f>
        <v/>
      </c>
    </row>
    <row r="329">
      <c r="O329" s="116">
        <f>IFERROR(INDEX(Firms!$A$5:$A$1004,MATCH(325,Firms!$W$5:$W$1004,0)),"")</f>
        <v/>
      </c>
    </row>
    <row r="330">
      <c r="O330" s="116">
        <f>IFERROR(INDEX(Firms!$A$5:$A$1004,MATCH(326,Firms!$W$5:$W$1004,0)),"")</f>
        <v/>
      </c>
    </row>
    <row r="331">
      <c r="O331" s="116">
        <f>IFERROR(INDEX(Firms!$A$5:$A$1004,MATCH(327,Firms!$W$5:$W$1004,0)),"")</f>
        <v/>
      </c>
    </row>
    <row r="332">
      <c r="O332" s="116">
        <f>IFERROR(INDEX(Firms!$A$5:$A$1004,MATCH(328,Firms!$W$5:$W$1004,0)),"")</f>
        <v/>
      </c>
    </row>
    <row r="333">
      <c r="O333" s="116">
        <f>IFERROR(INDEX(Firms!$A$5:$A$1004,MATCH(329,Firms!$W$5:$W$1004,0)),"")</f>
        <v/>
      </c>
    </row>
    <row r="334">
      <c r="O334" s="116">
        <f>IFERROR(INDEX(Firms!$A$5:$A$1004,MATCH(330,Firms!$W$5:$W$1004,0)),"")</f>
        <v/>
      </c>
    </row>
    <row r="335">
      <c r="O335" s="116">
        <f>IFERROR(INDEX(Firms!$A$5:$A$1004,MATCH(331,Firms!$W$5:$W$1004,0)),"")</f>
        <v/>
      </c>
    </row>
    <row r="336">
      <c r="O336" s="116">
        <f>IFERROR(INDEX(Firms!$A$5:$A$1004,MATCH(332,Firms!$W$5:$W$1004,0)),"")</f>
        <v/>
      </c>
    </row>
    <row r="337">
      <c r="O337" s="116">
        <f>IFERROR(INDEX(Firms!$A$5:$A$1004,MATCH(333,Firms!$W$5:$W$1004,0)),"")</f>
        <v/>
      </c>
    </row>
    <row r="338">
      <c r="O338" s="116">
        <f>IFERROR(INDEX(Firms!$A$5:$A$1004,MATCH(334,Firms!$W$5:$W$1004,0)),"")</f>
        <v/>
      </c>
    </row>
    <row r="339">
      <c r="O339" s="116">
        <f>IFERROR(INDEX(Firms!$A$5:$A$1004,MATCH(335,Firms!$W$5:$W$1004,0)),"")</f>
        <v/>
      </c>
    </row>
    <row r="340">
      <c r="O340" s="116">
        <f>IFERROR(INDEX(Firms!$A$5:$A$1004,MATCH(336,Firms!$W$5:$W$1004,0)),"")</f>
        <v/>
      </c>
    </row>
    <row r="341">
      <c r="O341" s="116">
        <f>IFERROR(INDEX(Firms!$A$5:$A$1004,MATCH(337,Firms!$W$5:$W$1004,0)),"")</f>
        <v/>
      </c>
    </row>
    <row r="342">
      <c r="O342" s="116">
        <f>IFERROR(INDEX(Firms!$A$5:$A$1004,MATCH(338,Firms!$W$5:$W$1004,0)),"")</f>
        <v/>
      </c>
    </row>
    <row r="343">
      <c r="O343" s="116">
        <f>IFERROR(INDEX(Firms!$A$5:$A$1004,MATCH(339,Firms!$W$5:$W$1004,0)),"")</f>
        <v/>
      </c>
    </row>
    <row r="344">
      <c r="O344" s="116">
        <f>IFERROR(INDEX(Firms!$A$5:$A$1004,MATCH(340,Firms!$W$5:$W$1004,0)),"")</f>
        <v/>
      </c>
    </row>
    <row r="345">
      <c r="O345" s="116">
        <f>IFERROR(INDEX(Firms!$A$5:$A$1004,MATCH(341,Firms!$W$5:$W$1004,0)),"")</f>
        <v/>
      </c>
    </row>
    <row r="346">
      <c r="O346" s="116">
        <f>IFERROR(INDEX(Firms!$A$5:$A$1004,MATCH(342,Firms!$W$5:$W$1004,0)),"")</f>
        <v/>
      </c>
    </row>
    <row r="347">
      <c r="O347" s="116">
        <f>IFERROR(INDEX(Firms!$A$5:$A$1004,MATCH(343,Firms!$W$5:$W$1004,0)),"")</f>
        <v/>
      </c>
    </row>
    <row r="348">
      <c r="O348" s="116">
        <f>IFERROR(INDEX(Firms!$A$5:$A$1004,MATCH(344,Firms!$W$5:$W$1004,0)),"")</f>
        <v/>
      </c>
    </row>
    <row r="349">
      <c r="O349" s="116">
        <f>IFERROR(INDEX(Firms!$A$5:$A$1004,MATCH(345,Firms!$W$5:$W$1004,0)),"")</f>
        <v/>
      </c>
    </row>
    <row r="350">
      <c r="O350" s="116">
        <f>IFERROR(INDEX(Firms!$A$5:$A$1004,MATCH(346,Firms!$W$5:$W$1004,0)),"")</f>
        <v/>
      </c>
    </row>
    <row r="351">
      <c r="O351" s="116">
        <f>IFERROR(INDEX(Firms!$A$5:$A$1004,MATCH(347,Firms!$W$5:$W$1004,0)),"")</f>
        <v/>
      </c>
    </row>
    <row r="352">
      <c r="O352" s="116">
        <f>IFERROR(INDEX(Firms!$A$5:$A$1004,MATCH(348,Firms!$W$5:$W$1004,0)),"")</f>
        <v/>
      </c>
    </row>
    <row r="353">
      <c r="O353" s="116">
        <f>IFERROR(INDEX(Firms!$A$5:$A$1004,MATCH(349,Firms!$W$5:$W$1004,0)),"")</f>
        <v/>
      </c>
    </row>
    <row r="354">
      <c r="O354" s="116">
        <f>IFERROR(INDEX(Firms!$A$5:$A$1004,MATCH(350,Firms!$W$5:$W$1004,0)),"")</f>
        <v/>
      </c>
    </row>
    <row r="355">
      <c r="O355" s="116">
        <f>IFERROR(INDEX(Firms!$A$5:$A$1004,MATCH(351,Firms!$W$5:$W$1004,0)),"")</f>
        <v/>
      </c>
    </row>
    <row r="356">
      <c r="O356" s="116">
        <f>IFERROR(INDEX(Firms!$A$5:$A$1004,MATCH(352,Firms!$W$5:$W$1004,0)),"")</f>
        <v/>
      </c>
    </row>
    <row r="357">
      <c r="O357" s="116">
        <f>IFERROR(INDEX(Firms!$A$5:$A$1004,MATCH(353,Firms!$W$5:$W$1004,0)),"")</f>
        <v/>
      </c>
    </row>
    <row r="358">
      <c r="O358" s="116">
        <f>IFERROR(INDEX(Firms!$A$5:$A$1004,MATCH(354,Firms!$W$5:$W$1004,0)),"")</f>
        <v/>
      </c>
    </row>
    <row r="359">
      <c r="O359" s="116">
        <f>IFERROR(INDEX(Firms!$A$5:$A$1004,MATCH(355,Firms!$W$5:$W$1004,0)),"")</f>
        <v/>
      </c>
    </row>
    <row r="360">
      <c r="O360" s="116">
        <f>IFERROR(INDEX(Firms!$A$5:$A$1004,MATCH(356,Firms!$W$5:$W$1004,0)),"")</f>
        <v/>
      </c>
    </row>
    <row r="361">
      <c r="O361" s="116">
        <f>IFERROR(INDEX(Firms!$A$5:$A$1004,MATCH(357,Firms!$W$5:$W$1004,0)),"")</f>
        <v/>
      </c>
    </row>
    <row r="362">
      <c r="O362" s="116">
        <f>IFERROR(INDEX(Firms!$A$5:$A$1004,MATCH(358,Firms!$W$5:$W$1004,0)),"")</f>
        <v/>
      </c>
    </row>
    <row r="363">
      <c r="O363" s="116">
        <f>IFERROR(INDEX(Firms!$A$5:$A$1004,MATCH(359,Firms!$W$5:$W$1004,0)),"")</f>
        <v/>
      </c>
    </row>
    <row r="364">
      <c r="O364" s="116">
        <f>IFERROR(INDEX(Firms!$A$5:$A$1004,MATCH(360,Firms!$W$5:$W$1004,0)),"")</f>
        <v/>
      </c>
    </row>
    <row r="365">
      <c r="O365" s="116">
        <f>IFERROR(INDEX(Firms!$A$5:$A$1004,MATCH(361,Firms!$W$5:$W$1004,0)),"")</f>
        <v/>
      </c>
    </row>
    <row r="366">
      <c r="O366" s="116">
        <f>IFERROR(INDEX(Firms!$A$5:$A$1004,MATCH(362,Firms!$W$5:$W$1004,0)),"")</f>
        <v/>
      </c>
    </row>
    <row r="367">
      <c r="O367" s="116">
        <f>IFERROR(INDEX(Firms!$A$5:$A$1004,MATCH(363,Firms!$W$5:$W$1004,0)),"")</f>
        <v/>
      </c>
    </row>
    <row r="368">
      <c r="O368" s="116">
        <f>IFERROR(INDEX(Firms!$A$5:$A$1004,MATCH(364,Firms!$W$5:$W$1004,0)),"")</f>
        <v/>
      </c>
    </row>
    <row r="369">
      <c r="O369" s="116">
        <f>IFERROR(INDEX(Firms!$A$5:$A$1004,MATCH(365,Firms!$W$5:$W$1004,0)),"")</f>
        <v/>
      </c>
    </row>
    <row r="370">
      <c r="O370" s="116">
        <f>IFERROR(INDEX(Firms!$A$5:$A$1004,MATCH(366,Firms!$W$5:$W$1004,0)),"")</f>
        <v/>
      </c>
    </row>
    <row r="371">
      <c r="O371" s="116">
        <f>IFERROR(INDEX(Firms!$A$5:$A$1004,MATCH(367,Firms!$W$5:$W$1004,0)),"")</f>
        <v/>
      </c>
    </row>
    <row r="372">
      <c r="O372" s="116">
        <f>IFERROR(INDEX(Firms!$A$5:$A$1004,MATCH(368,Firms!$W$5:$W$1004,0)),"")</f>
        <v/>
      </c>
    </row>
    <row r="373">
      <c r="O373" s="116">
        <f>IFERROR(INDEX(Firms!$A$5:$A$1004,MATCH(369,Firms!$W$5:$W$1004,0)),"")</f>
        <v/>
      </c>
    </row>
    <row r="374">
      <c r="O374" s="116">
        <f>IFERROR(INDEX(Firms!$A$5:$A$1004,MATCH(370,Firms!$W$5:$W$1004,0)),"")</f>
        <v/>
      </c>
    </row>
    <row r="375">
      <c r="O375" s="116">
        <f>IFERROR(INDEX(Firms!$A$5:$A$1004,MATCH(371,Firms!$W$5:$W$1004,0)),"")</f>
        <v/>
      </c>
    </row>
    <row r="376">
      <c r="O376" s="116">
        <f>IFERROR(INDEX(Firms!$A$5:$A$1004,MATCH(372,Firms!$W$5:$W$1004,0)),"")</f>
        <v/>
      </c>
    </row>
    <row r="377">
      <c r="O377" s="116">
        <f>IFERROR(INDEX(Firms!$A$5:$A$1004,MATCH(373,Firms!$W$5:$W$1004,0)),"")</f>
        <v/>
      </c>
    </row>
    <row r="378">
      <c r="O378" s="116">
        <f>IFERROR(INDEX(Firms!$A$5:$A$1004,MATCH(374,Firms!$W$5:$W$1004,0)),"")</f>
        <v/>
      </c>
    </row>
    <row r="379">
      <c r="O379" s="116">
        <f>IFERROR(INDEX(Firms!$A$5:$A$1004,MATCH(375,Firms!$W$5:$W$1004,0)),"")</f>
        <v/>
      </c>
    </row>
    <row r="380">
      <c r="O380" s="116">
        <f>IFERROR(INDEX(Firms!$A$5:$A$1004,MATCH(376,Firms!$W$5:$W$1004,0)),"")</f>
        <v/>
      </c>
    </row>
    <row r="381">
      <c r="O381" s="116">
        <f>IFERROR(INDEX(Firms!$A$5:$A$1004,MATCH(377,Firms!$W$5:$W$1004,0)),"")</f>
        <v/>
      </c>
    </row>
    <row r="382">
      <c r="O382" s="116">
        <f>IFERROR(INDEX(Firms!$A$5:$A$1004,MATCH(378,Firms!$W$5:$W$1004,0)),"")</f>
        <v/>
      </c>
    </row>
    <row r="383">
      <c r="O383" s="116">
        <f>IFERROR(INDEX(Firms!$A$5:$A$1004,MATCH(379,Firms!$W$5:$W$1004,0)),"")</f>
        <v/>
      </c>
    </row>
    <row r="384">
      <c r="O384" s="116">
        <f>IFERROR(INDEX(Firms!$A$5:$A$1004,MATCH(380,Firms!$W$5:$W$1004,0)),"")</f>
        <v/>
      </c>
    </row>
    <row r="385">
      <c r="O385" s="116">
        <f>IFERROR(INDEX(Firms!$A$5:$A$1004,MATCH(381,Firms!$W$5:$W$1004,0)),"")</f>
        <v/>
      </c>
    </row>
    <row r="386">
      <c r="O386" s="116">
        <f>IFERROR(INDEX(Firms!$A$5:$A$1004,MATCH(382,Firms!$W$5:$W$1004,0)),"")</f>
        <v/>
      </c>
    </row>
    <row r="387">
      <c r="O387" s="116">
        <f>IFERROR(INDEX(Firms!$A$5:$A$1004,MATCH(383,Firms!$W$5:$W$1004,0)),"")</f>
        <v/>
      </c>
    </row>
    <row r="388">
      <c r="O388" s="116">
        <f>IFERROR(INDEX(Firms!$A$5:$A$1004,MATCH(384,Firms!$W$5:$W$1004,0)),"")</f>
        <v/>
      </c>
    </row>
    <row r="389">
      <c r="O389" s="116">
        <f>IFERROR(INDEX(Firms!$A$5:$A$1004,MATCH(385,Firms!$W$5:$W$1004,0)),"")</f>
        <v/>
      </c>
    </row>
    <row r="390">
      <c r="O390" s="116">
        <f>IFERROR(INDEX(Firms!$A$5:$A$1004,MATCH(386,Firms!$W$5:$W$1004,0)),"")</f>
        <v/>
      </c>
    </row>
    <row r="391">
      <c r="O391" s="116">
        <f>IFERROR(INDEX(Firms!$A$5:$A$1004,MATCH(387,Firms!$W$5:$W$1004,0)),"")</f>
        <v/>
      </c>
    </row>
    <row r="392">
      <c r="O392" s="116">
        <f>IFERROR(INDEX(Firms!$A$5:$A$1004,MATCH(388,Firms!$W$5:$W$1004,0)),"")</f>
        <v/>
      </c>
    </row>
    <row r="393">
      <c r="O393" s="116">
        <f>IFERROR(INDEX(Firms!$A$5:$A$1004,MATCH(389,Firms!$W$5:$W$1004,0)),"")</f>
        <v/>
      </c>
    </row>
    <row r="394">
      <c r="O394" s="116">
        <f>IFERROR(INDEX(Firms!$A$5:$A$1004,MATCH(390,Firms!$W$5:$W$1004,0)),"")</f>
        <v/>
      </c>
    </row>
    <row r="395">
      <c r="O395" s="116">
        <f>IFERROR(INDEX(Firms!$A$5:$A$1004,MATCH(391,Firms!$W$5:$W$1004,0)),"")</f>
        <v/>
      </c>
    </row>
    <row r="396">
      <c r="O396" s="116">
        <f>IFERROR(INDEX(Firms!$A$5:$A$1004,MATCH(392,Firms!$W$5:$W$1004,0)),"")</f>
        <v/>
      </c>
    </row>
    <row r="397">
      <c r="O397" s="116">
        <f>IFERROR(INDEX(Firms!$A$5:$A$1004,MATCH(393,Firms!$W$5:$W$1004,0)),"")</f>
        <v/>
      </c>
    </row>
    <row r="398">
      <c r="O398" s="116">
        <f>IFERROR(INDEX(Firms!$A$5:$A$1004,MATCH(394,Firms!$W$5:$W$1004,0)),"")</f>
        <v/>
      </c>
    </row>
    <row r="399">
      <c r="O399" s="116">
        <f>IFERROR(INDEX(Firms!$A$5:$A$1004,MATCH(395,Firms!$W$5:$W$1004,0)),"")</f>
        <v/>
      </c>
    </row>
    <row r="400">
      <c r="O400" s="116">
        <f>IFERROR(INDEX(Firms!$A$5:$A$1004,MATCH(396,Firms!$W$5:$W$1004,0)),"")</f>
        <v/>
      </c>
    </row>
    <row r="401">
      <c r="O401" s="116">
        <f>IFERROR(INDEX(Firms!$A$5:$A$1004,MATCH(397,Firms!$W$5:$W$1004,0)),"")</f>
        <v/>
      </c>
    </row>
    <row r="402">
      <c r="O402" s="116">
        <f>IFERROR(INDEX(Firms!$A$5:$A$1004,MATCH(398,Firms!$W$5:$W$1004,0)),"")</f>
        <v/>
      </c>
    </row>
    <row r="403">
      <c r="O403" s="116">
        <f>IFERROR(INDEX(Firms!$A$5:$A$1004,MATCH(399,Firms!$W$5:$W$1004,0)),"")</f>
        <v/>
      </c>
    </row>
    <row r="404">
      <c r="O404" s="116">
        <f>IFERROR(INDEX(Firms!$A$5:$A$1004,MATCH(400,Firms!$W$5:$W$1004,0)),"")</f>
        <v/>
      </c>
    </row>
    <row r="405">
      <c r="O405" s="116">
        <f>IFERROR(INDEX(Firms!$A$5:$A$1004,MATCH(401,Firms!$W$5:$W$1004,0)),"")</f>
        <v/>
      </c>
    </row>
    <row r="406">
      <c r="O406" s="116">
        <f>IFERROR(INDEX(Firms!$A$5:$A$1004,MATCH(402,Firms!$W$5:$W$1004,0)),"")</f>
        <v/>
      </c>
    </row>
    <row r="407">
      <c r="O407" s="116">
        <f>IFERROR(INDEX(Firms!$A$5:$A$1004,MATCH(403,Firms!$W$5:$W$1004,0)),"")</f>
        <v/>
      </c>
    </row>
    <row r="408">
      <c r="O408" s="116">
        <f>IFERROR(INDEX(Firms!$A$5:$A$1004,MATCH(404,Firms!$W$5:$W$1004,0)),"")</f>
        <v/>
      </c>
    </row>
    <row r="409">
      <c r="O409" s="116">
        <f>IFERROR(INDEX(Firms!$A$5:$A$1004,MATCH(405,Firms!$W$5:$W$1004,0)),"")</f>
        <v/>
      </c>
    </row>
    <row r="410">
      <c r="O410" s="116">
        <f>IFERROR(INDEX(Firms!$A$5:$A$1004,MATCH(406,Firms!$W$5:$W$1004,0)),"")</f>
        <v/>
      </c>
    </row>
    <row r="411">
      <c r="O411" s="116">
        <f>IFERROR(INDEX(Firms!$A$5:$A$1004,MATCH(407,Firms!$W$5:$W$1004,0)),"")</f>
        <v/>
      </c>
    </row>
    <row r="412">
      <c r="O412" s="116">
        <f>IFERROR(INDEX(Firms!$A$5:$A$1004,MATCH(408,Firms!$W$5:$W$1004,0)),"")</f>
        <v/>
      </c>
    </row>
    <row r="413">
      <c r="O413" s="116">
        <f>IFERROR(INDEX(Firms!$A$5:$A$1004,MATCH(409,Firms!$W$5:$W$1004,0)),"")</f>
        <v/>
      </c>
    </row>
    <row r="414">
      <c r="O414" s="116">
        <f>IFERROR(INDEX(Firms!$A$5:$A$1004,MATCH(410,Firms!$W$5:$W$1004,0)),"")</f>
        <v/>
      </c>
    </row>
    <row r="415">
      <c r="O415" s="116">
        <f>IFERROR(INDEX(Firms!$A$5:$A$1004,MATCH(411,Firms!$W$5:$W$1004,0)),"")</f>
        <v/>
      </c>
    </row>
    <row r="416">
      <c r="O416" s="116">
        <f>IFERROR(INDEX(Firms!$A$5:$A$1004,MATCH(412,Firms!$W$5:$W$1004,0)),"")</f>
        <v/>
      </c>
    </row>
    <row r="417">
      <c r="O417" s="116">
        <f>IFERROR(INDEX(Firms!$A$5:$A$1004,MATCH(413,Firms!$W$5:$W$1004,0)),"")</f>
        <v/>
      </c>
    </row>
    <row r="418">
      <c r="O418" s="116">
        <f>IFERROR(INDEX(Firms!$A$5:$A$1004,MATCH(414,Firms!$W$5:$W$1004,0)),"")</f>
        <v/>
      </c>
    </row>
    <row r="419">
      <c r="O419" s="116">
        <f>IFERROR(INDEX(Firms!$A$5:$A$1004,MATCH(415,Firms!$W$5:$W$1004,0)),"")</f>
        <v/>
      </c>
    </row>
    <row r="420">
      <c r="O420" s="116">
        <f>IFERROR(INDEX(Firms!$A$5:$A$1004,MATCH(416,Firms!$W$5:$W$1004,0)),"")</f>
        <v/>
      </c>
    </row>
    <row r="421">
      <c r="O421" s="116">
        <f>IFERROR(INDEX(Firms!$A$5:$A$1004,MATCH(417,Firms!$W$5:$W$1004,0)),"")</f>
        <v/>
      </c>
    </row>
    <row r="422">
      <c r="O422" s="116">
        <f>IFERROR(INDEX(Firms!$A$5:$A$1004,MATCH(418,Firms!$W$5:$W$1004,0)),"")</f>
        <v/>
      </c>
    </row>
    <row r="423">
      <c r="O423" s="116">
        <f>IFERROR(INDEX(Firms!$A$5:$A$1004,MATCH(419,Firms!$W$5:$W$1004,0)),"")</f>
        <v/>
      </c>
    </row>
    <row r="424">
      <c r="O424" s="116">
        <f>IFERROR(INDEX(Firms!$A$5:$A$1004,MATCH(420,Firms!$W$5:$W$1004,0)),"")</f>
        <v/>
      </c>
    </row>
    <row r="425">
      <c r="O425" s="116">
        <f>IFERROR(INDEX(Firms!$A$5:$A$1004,MATCH(421,Firms!$W$5:$W$1004,0)),"")</f>
        <v/>
      </c>
    </row>
    <row r="426">
      <c r="O426" s="116">
        <f>IFERROR(INDEX(Firms!$A$5:$A$1004,MATCH(422,Firms!$W$5:$W$1004,0)),"")</f>
        <v/>
      </c>
    </row>
    <row r="427">
      <c r="O427" s="116">
        <f>IFERROR(INDEX(Firms!$A$5:$A$1004,MATCH(423,Firms!$W$5:$W$1004,0)),"")</f>
        <v/>
      </c>
    </row>
    <row r="428">
      <c r="O428" s="116">
        <f>IFERROR(INDEX(Firms!$A$5:$A$1004,MATCH(424,Firms!$W$5:$W$1004,0)),"")</f>
        <v/>
      </c>
    </row>
    <row r="429">
      <c r="O429" s="116">
        <f>IFERROR(INDEX(Firms!$A$5:$A$1004,MATCH(425,Firms!$W$5:$W$1004,0)),"")</f>
        <v/>
      </c>
    </row>
    <row r="430">
      <c r="O430" s="116">
        <f>IFERROR(INDEX(Firms!$A$5:$A$1004,MATCH(426,Firms!$W$5:$W$1004,0)),"")</f>
        <v/>
      </c>
    </row>
    <row r="431">
      <c r="O431" s="116">
        <f>IFERROR(INDEX(Firms!$A$5:$A$1004,MATCH(427,Firms!$W$5:$W$1004,0)),"")</f>
        <v/>
      </c>
    </row>
    <row r="432">
      <c r="O432" s="116">
        <f>IFERROR(INDEX(Firms!$A$5:$A$1004,MATCH(428,Firms!$W$5:$W$1004,0)),"")</f>
        <v/>
      </c>
    </row>
    <row r="433">
      <c r="O433" s="116">
        <f>IFERROR(INDEX(Firms!$A$5:$A$1004,MATCH(429,Firms!$W$5:$W$1004,0)),"")</f>
        <v/>
      </c>
    </row>
    <row r="434">
      <c r="O434" s="116">
        <f>IFERROR(INDEX(Firms!$A$5:$A$1004,MATCH(430,Firms!$W$5:$W$1004,0)),"")</f>
        <v/>
      </c>
    </row>
    <row r="435">
      <c r="O435" s="116">
        <f>IFERROR(INDEX(Firms!$A$5:$A$1004,MATCH(431,Firms!$W$5:$W$1004,0)),"")</f>
        <v/>
      </c>
    </row>
    <row r="436">
      <c r="O436" s="116">
        <f>IFERROR(INDEX(Firms!$A$5:$A$1004,MATCH(432,Firms!$W$5:$W$1004,0)),"")</f>
        <v/>
      </c>
    </row>
    <row r="437">
      <c r="O437" s="116">
        <f>IFERROR(INDEX(Firms!$A$5:$A$1004,MATCH(433,Firms!$W$5:$W$1004,0)),"")</f>
        <v/>
      </c>
    </row>
    <row r="438">
      <c r="O438" s="116">
        <f>IFERROR(INDEX(Firms!$A$5:$A$1004,MATCH(434,Firms!$W$5:$W$1004,0)),"")</f>
        <v/>
      </c>
    </row>
    <row r="439">
      <c r="O439" s="116">
        <f>IFERROR(INDEX(Firms!$A$5:$A$1004,MATCH(435,Firms!$W$5:$W$1004,0)),"")</f>
        <v/>
      </c>
    </row>
    <row r="440">
      <c r="O440" s="116">
        <f>IFERROR(INDEX(Firms!$A$5:$A$1004,MATCH(436,Firms!$W$5:$W$1004,0)),"")</f>
        <v/>
      </c>
    </row>
    <row r="441">
      <c r="O441" s="116">
        <f>IFERROR(INDEX(Firms!$A$5:$A$1004,MATCH(437,Firms!$W$5:$W$1004,0)),"")</f>
        <v/>
      </c>
    </row>
    <row r="442">
      <c r="O442" s="116">
        <f>IFERROR(INDEX(Firms!$A$5:$A$1004,MATCH(438,Firms!$W$5:$W$1004,0)),"")</f>
        <v/>
      </c>
    </row>
    <row r="443">
      <c r="O443" s="116">
        <f>IFERROR(INDEX(Firms!$A$5:$A$1004,MATCH(439,Firms!$W$5:$W$1004,0)),"")</f>
        <v/>
      </c>
    </row>
    <row r="444">
      <c r="O444" s="116">
        <f>IFERROR(INDEX(Firms!$A$5:$A$1004,MATCH(440,Firms!$W$5:$W$1004,0)),"")</f>
        <v/>
      </c>
    </row>
    <row r="445">
      <c r="O445" s="116">
        <f>IFERROR(INDEX(Firms!$A$5:$A$1004,MATCH(441,Firms!$W$5:$W$1004,0)),"")</f>
        <v/>
      </c>
    </row>
    <row r="446">
      <c r="O446" s="116">
        <f>IFERROR(INDEX(Firms!$A$5:$A$1004,MATCH(442,Firms!$W$5:$W$1004,0)),"")</f>
        <v/>
      </c>
    </row>
    <row r="447">
      <c r="O447" s="116">
        <f>IFERROR(INDEX(Firms!$A$5:$A$1004,MATCH(443,Firms!$W$5:$W$1004,0)),"")</f>
        <v/>
      </c>
    </row>
    <row r="448">
      <c r="O448" s="116">
        <f>IFERROR(INDEX(Firms!$A$5:$A$1004,MATCH(444,Firms!$W$5:$W$1004,0)),"")</f>
        <v/>
      </c>
    </row>
    <row r="449">
      <c r="O449" s="116">
        <f>IFERROR(INDEX(Firms!$A$5:$A$1004,MATCH(445,Firms!$W$5:$W$1004,0)),"")</f>
        <v/>
      </c>
    </row>
    <row r="450">
      <c r="O450" s="116">
        <f>IFERROR(INDEX(Firms!$A$5:$A$1004,MATCH(446,Firms!$W$5:$W$1004,0)),"")</f>
        <v/>
      </c>
    </row>
    <row r="451">
      <c r="O451" s="116">
        <f>IFERROR(INDEX(Firms!$A$5:$A$1004,MATCH(447,Firms!$W$5:$W$1004,0)),"")</f>
        <v/>
      </c>
    </row>
    <row r="452">
      <c r="O452" s="116">
        <f>IFERROR(INDEX(Firms!$A$5:$A$1004,MATCH(448,Firms!$W$5:$W$1004,0)),"")</f>
        <v/>
      </c>
    </row>
    <row r="453">
      <c r="O453" s="116">
        <f>IFERROR(INDEX(Firms!$A$5:$A$1004,MATCH(449,Firms!$W$5:$W$1004,0)),"")</f>
        <v/>
      </c>
    </row>
    <row r="454">
      <c r="O454" s="116">
        <f>IFERROR(INDEX(Firms!$A$5:$A$1004,MATCH(450,Firms!$W$5:$W$1004,0)),"")</f>
        <v/>
      </c>
    </row>
    <row r="455">
      <c r="O455" s="116">
        <f>IFERROR(INDEX(Firms!$A$5:$A$1004,MATCH(451,Firms!$W$5:$W$1004,0)),"")</f>
        <v/>
      </c>
    </row>
    <row r="456">
      <c r="O456" s="116">
        <f>IFERROR(INDEX(Firms!$A$5:$A$1004,MATCH(452,Firms!$W$5:$W$1004,0)),"")</f>
        <v/>
      </c>
    </row>
    <row r="457">
      <c r="O457" s="116">
        <f>IFERROR(INDEX(Firms!$A$5:$A$1004,MATCH(453,Firms!$W$5:$W$1004,0)),"")</f>
        <v/>
      </c>
    </row>
    <row r="458">
      <c r="O458" s="116">
        <f>IFERROR(INDEX(Firms!$A$5:$A$1004,MATCH(454,Firms!$W$5:$W$1004,0)),"")</f>
        <v/>
      </c>
    </row>
    <row r="459">
      <c r="O459" s="116">
        <f>IFERROR(INDEX(Firms!$A$5:$A$1004,MATCH(455,Firms!$W$5:$W$1004,0)),"")</f>
        <v/>
      </c>
    </row>
    <row r="460">
      <c r="O460" s="116">
        <f>IFERROR(INDEX(Firms!$A$5:$A$1004,MATCH(456,Firms!$W$5:$W$1004,0)),"")</f>
        <v/>
      </c>
    </row>
    <row r="461">
      <c r="O461" s="116">
        <f>IFERROR(INDEX(Firms!$A$5:$A$1004,MATCH(457,Firms!$W$5:$W$1004,0)),"")</f>
        <v/>
      </c>
    </row>
    <row r="462">
      <c r="O462" s="116">
        <f>IFERROR(INDEX(Firms!$A$5:$A$1004,MATCH(458,Firms!$W$5:$W$1004,0)),"")</f>
        <v/>
      </c>
    </row>
    <row r="463">
      <c r="O463" s="116">
        <f>IFERROR(INDEX(Firms!$A$5:$A$1004,MATCH(459,Firms!$W$5:$W$1004,0)),"")</f>
        <v/>
      </c>
    </row>
    <row r="464">
      <c r="O464" s="116">
        <f>IFERROR(INDEX(Firms!$A$5:$A$1004,MATCH(460,Firms!$W$5:$W$1004,0)),"")</f>
        <v/>
      </c>
    </row>
    <row r="465">
      <c r="O465" s="116">
        <f>IFERROR(INDEX(Firms!$A$5:$A$1004,MATCH(461,Firms!$W$5:$W$1004,0)),"")</f>
        <v/>
      </c>
    </row>
    <row r="466">
      <c r="O466" s="116">
        <f>IFERROR(INDEX(Firms!$A$5:$A$1004,MATCH(462,Firms!$W$5:$W$1004,0)),"")</f>
        <v/>
      </c>
    </row>
    <row r="467">
      <c r="O467" s="116">
        <f>IFERROR(INDEX(Firms!$A$5:$A$1004,MATCH(463,Firms!$W$5:$W$1004,0)),"")</f>
        <v/>
      </c>
    </row>
    <row r="468">
      <c r="O468" s="116">
        <f>IFERROR(INDEX(Firms!$A$5:$A$1004,MATCH(464,Firms!$W$5:$W$1004,0)),"")</f>
        <v/>
      </c>
    </row>
    <row r="469">
      <c r="O469" s="116">
        <f>IFERROR(INDEX(Firms!$A$5:$A$1004,MATCH(465,Firms!$W$5:$W$1004,0)),"")</f>
        <v/>
      </c>
    </row>
    <row r="470">
      <c r="O470" s="116">
        <f>IFERROR(INDEX(Firms!$A$5:$A$1004,MATCH(466,Firms!$W$5:$W$1004,0)),"")</f>
        <v/>
      </c>
    </row>
    <row r="471">
      <c r="O471" s="116">
        <f>IFERROR(INDEX(Firms!$A$5:$A$1004,MATCH(467,Firms!$W$5:$W$1004,0)),"")</f>
        <v/>
      </c>
    </row>
    <row r="472">
      <c r="O472" s="116">
        <f>IFERROR(INDEX(Firms!$A$5:$A$1004,MATCH(468,Firms!$W$5:$W$1004,0)),"")</f>
        <v/>
      </c>
    </row>
    <row r="473">
      <c r="O473" s="116">
        <f>IFERROR(INDEX(Firms!$A$5:$A$1004,MATCH(469,Firms!$W$5:$W$1004,0)),"")</f>
        <v/>
      </c>
    </row>
    <row r="474">
      <c r="O474" s="116">
        <f>IFERROR(INDEX(Firms!$A$5:$A$1004,MATCH(470,Firms!$W$5:$W$1004,0)),"")</f>
        <v/>
      </c>
    </row>
    <row r="475">
      <c r="O475" s="116">
        <f>IFERROR(INDEX(Firms!$A$5:$A$1004,MATCH(471,Firms!$W$5:$W$1004,0)),"")</f>
        <v/>
      </c>
    </row>
    <row r="476">
      <c r="O476" s="116">
        <f>IFERROR(INDEX(Firms!$A$5:$A$1004,MATCH(472,Firms!$W$5:$W$1004,0)),"")</f>
        <v/>
      </c>
    </row>
    <row r="477">
      <c r="O477" s="116">
        <f>IFERROR(INDEX(Firms!$A$5:$A$1004,MATCH(473,Firms!$W$5:$W$1004,0)),"")</f>
        <v/>
      </c>
    </row>
    <row r="478">
      <c r="O478" s="116">
        <f>IFERROR(INDEX(Firms!$A$5:$A$1004,MATCH(474,Firms!$W$5:$W$1004,0)),"")</f>
        <v/>
      </c>
    </row>
    <row r="479">
      <c r="O479" s="116">
        <f>IFERROR(INDEX(Firms!$A$5:$A$1004,MATCH(475,Firms!$W$5:$W$1004,0)),"")</f>
        <v/>
      </c>
    </row>
    <row r="480">
      <c r="O480" s="116">
        <f>IFERROR(INDEX(Firms!$A$5:$A$1004,MATCH(476,Firms!$W$5:$W$1004,0)),"")</f>
        <v/>
      </c>
    </row>
    <row r="481">
      <c r="O481" s="116">
        <f>IFERROR(INDEX(Firms!$A$5:$A$1004,MATCH(477,Firms!$W$5:$W$1004,0)),"")</f>
        <v/>
      </c>
    </row>
    <row r="482">
      <c r="O482" s="116">
        <f>IFERROR(INDEX(Firms!$A$5:$A$1004,MATCH(478,Firms!$W$5:$W$1004,0)),"")</f>
        <v/>
      </c>
    </row>
    <row r="483">
      <c r="O483" s="116">
        <f>IFERROR(INDEX(Firms!$A$5:$A$1004,MATCH(479,Firms!$W$5:$W$1004,0)),"")</f>
        <v/>
      </c>
    </row>
    <row r="484">
      <c r="O484" s="116">
        <f>IFERROR(INDEX(Firms!$A$5:$A$1004,MATCH(480,Firms!$W$5:$W$1004,0)),"")</f>
        <v/>
      </c>
    </row>
    <row r="485">
      <c r="O485" s="116">
        <f>IFERROR(INDEX(Firms!$A$5:$A$1004,MATCH(481,Firms!$W$5:$W$1004,0)),"")</f>
        <v/>
      </c>
    </row>
    <row r="486">
      <c r="O486" s="116">
        <f>IFERROR(INDEX(Firms!$A$5:$A$1004,MATCH(482,Firms!$W$5:$W$1004,0)),"")</f>
        <v/>
      </c>
    </row>
    <row r="487">
      <c r="O487" s="116">
        <f>IFERROR(INDEX(Firms!$A$5:$A$1004,MATCH(483,Firms!$W$5:$W$1004,0)),"")</f>
        <v/>
      </c>
    </row>
    <row r="488">
      <c r="O488" s="116">
        <f>IFERROR(INDEX(Firms!$A$5:$A$1004,MATCH(484,Firms!$W$5:$W$1004,0)),"")</f>
        <v/>
      </c>
    </row>
    <row r="489">
      <c r="O489" s="116">
        <f>IFERROR(INDEX(Firms!$A$5:$A$1004,MATCH(485,Firms!$W$5:$W$1004,0)),"")</f>
        <v/>
      </c>
    </row>
    <row r="490">
      <c r="O490" s="116">
        <f>IFERROR(INDEX(Firms!$A$5:$A$1004,MATCH(486,Firms!$W$5:$W$1004,0)),"")</f>
        <v/>
      </c>
    </row>
    <row r="491">
      <c r="O491" s="116">
        <f>IFERROR(INDEX(Firms!$A$5:$A$1004,MATCH(487,Firms!$W$5:$W$1004,0)),"")</f>
        <v/>
      </c>
    </row>
    <row r="492">
      <c r="O492" s="116">
        <f>IFERROR(INDEX(Firms!$A$5:$A$1004,MATCH(488,Firms!$W$5:$W$1004,0)),"")</f>
        <v/>
      </c>
    </row>
    <row r="493">
      <c r="O493" s="116">
        <f>IFERROR(INDEX(Firms!$A$5:$A$1004,MATCH(489,Firms!$W$5:$W$1004,0)),"")</f>
        <v/>
      </c>
    </row>
    <row r="494">
      <c r="O494" s="116">
        <f>IFERROR(INDEX(Firms!$A$5:$A$1004,MATCH(490,Firms!$W$5:$W$1004,0)),"")</f>
        <v/>
      </c>
    </row>
    <row r="495">
      <c r="O495" s="116">
        <f>IFERROR(INDEX(Firms!$A$5:$A$1004,MATCH(491,Firms!$W$5:$W$1004,0)),"")</f>
        <v/>
      </c>
    </row>
    <row r="496">
      <c r="O496" s="116">
        <f>IFERROR(INDEX(Firms!$A$5:$A$1004,MATCH(492,Firms!$W$5:$W$1004,0)),"")</f>
        <v/>
      </c>
    </row>
    <row r="497">
      <c r="O497" s="116">
        <f>IFERROR(INDEX(Firms!$A$5:$A$1004,MATCH(493,Firms!$W$5:$W$1004,0)),"")</f>
        <v/>
      </c>
    </row>
    <row r="498">
      <c r="O498" s="116">
        <f>IFERROR(INDEX(Firms!$A$5:$A$1004,MATCH(494,Firms!$W$5:$W$1004,0)),"")</f>
        <v/>
      </c>
    </row>
    <row r="499">
      <c r="O499" s="116">
        <f>IFERROR(INDEX(Firms!$A$5:$A$1004,MATCH(495,Firms!$W$5:$W$1004,0)),"")</f>
        <v/>
      </c>
    </row>
    <row r="500">
      <c r="O500" s="116">
        <f>IFERROR(INDEX(Firms!$A$5:$A$1004,MATCH(496,Firms!$W$5:$W$1004,0)),"")</f>
        <v/>
      </c>
    </row>
    <row r="501">
      <c r="O501" s="116">
        <f>IFERROR(INDEX(Firms!$A$5:$A$1004,MATCH(497,Firms!$W$5:$W$1004,0)),"")</f>
        <v/>
      </c>
    </row>
    <row r="502">
      <c r="O502" s="116">
        <f>IFERROR(INDEX(Firms!$A$5:$A$1004,MATCH(498,Firms!$W$5:$W$1004,0)),"")</f>
        <v/>
      </c>
    </row>
    <row r="503">
      <c r="O503" s="116">
        <f>IFERROR(INDEX(Firms!$A$5:$A$1004,MATCH(499,Firms!$W$5:$W$1004,0)),"")</f>
        <v/>
      </c>
    </row>
    <row r="504">
      <c r="O504" s="116">
        <f>IFERROR(INDEX(Firms!$A$5:$A$1004,MATCH(500,Firms!$W$5:$W$1004,0)),"")</f>
        <v/>
      </c>
    </row>
    <row r="505">
      <c r="O505" s="116">
        <f>IFERROR(INDEX(Firms!$A$5:$A$1004,MATCH(501,Firms!$W$5:$W$1004,0)),"")</f>
        <v/>
      </c>
    </row>
    <row r="506">
      <c r="O506" s="116">
        <f>IFERROR(INDEX(Firms!$A$5:$A$1004,MATCH(502,Firms!$W$5:$W$1004,0)),"")</f>
        <v/>
      </c>
    </row>
    <row r="507">
      <c r="O507" s="116">
        <f>IFERROR(INDEX(Firms!$A$5:$A$1004,MATCH(503,Firms!$W$5:$W$1004,0)),"")</f>
        <v/>
      </c>
    </row>
    <row r="508">
      <c r="O508" s="116">
        <f>IFERROR(INDEX(Firms!$A$5:$A$1004,MATCH(504,Firms!$W$5:$W$1004,0)),"")</f>
        <v/>
      </c>
    </row>
    <row r="509">
      <c r="O509" s="116">
        <f>IFERROR(INDEX(Firms!$A$5:$A$1004,MATCH(505,Firms!$W$5:$W$1004,0)),"")</f>
        <v/>
      </c>
    </row>
    <row r="510">
      <c r="O510" s="116">
        <f>IFERROR(INDEX(Firms!$A$5:$A$1004,MATCH(506,Firms!$W$5:$W$1004,0)),"")</f>
        <v/>
      </c>
    </row>
    <row r="511">
      <c r="O511" s="116">
        <f>IFERROR(INDEX(Firms!$A$5:$A$1004,MATCH(507,Firms!$W$5:$W$1004,0)),"")</f>
        <v/>
      </c>
    </row>
    <row r="512">
      <c r="O512" s="116">
        <f>IFERROR(INDEX(Firms!$A$5:$A$1004,MATCH(508,Firms!$W$5:$W$1004,0)),"")</f>
        <v/>
      </c>
    </row>
    <row r="513">
      <c r="O513" s="116">
        <f>IFERROR(INDEX(Firms!$A$5:$A$1004,MATCH(509,Firms!$W$5:$W$1004,0)),"")</f>
        <v/>
      </c>
    </row>
    <row r="514">
      <c r="O514" s="116">
        <f>IFERROR(INDEX(Firms!$A$5:$A$1004,MATCH(510,Firms!$W$5:$W$1004,0)),"")</f>
        <v/>
      </c>
    </row>
    <row r="515">
      <c r="O515" s="116">
        <f>IFERROR(INDEX(Firms!$A$5:$A$1004,MATCH(511,Firms!$W$5:$W$1004,0)),"")</f>
        <v/>
      </c>
    </row>
    <row r="516">
      <c r="O516" s="116">
        <f>IFERROR(INDEX(Firms!$A$5:$A$1004,MATCH(512,Firms!$W$5:$W$1004,0)),"")</f>
        <v/>
      </c>
    </row>
    <row r="517">
      <c r="O517" s="116">
        <f>IFERROR(INDEX(Firms!$A$5:$A$1004,MATCH(513,Firms!$W$5:$W$1004,0)),"")</f>
        <v/>
      </c>
    </row>
    <row r="518">
      <c r="O518" s="116">
        <f>IFERROR(INDEX(Firms!$A$5:$A$1004,MATCH(514,Firms!$W$5:$W$1004,0)),"")</f>
        <v/>
      </c>
    </row>
    <row r="519">
      <c r="O519" s="116">
        <f>IFERROR(INDEX(Firms!$A$5:$A$1004,MATCH(515,Firms!$W$5:$W$1004,0)),"")</f>
        <v/>
      </c>
    </row>
    <row r="520">
      <c r="O520" s="116">
        <f>IFERROR(INDEX(Firms!$A$5:$A$1004,MATCH(516,Firms!$W$5:$W$1004,0)),"")</f>
        <v/>
      </c>
    </row>
    <row r="521">
      <c r="O521" s="116">
        <f>IFERROR(INDEX(Firms!$A$5:$A$1004,MATCH(517,Firms!$W$5:$W$1004,0)),"")</f>
        <v/>
      </c>
    </row>
    <row r="522">
      <c r="O522" s="116">
        <f>IFERROR(INDEX(Firms!$A$5:$A$1004,MATCH(518,Firms!$W$5:$W$1004,0)),"")</f>
        <v/>
      </c>
    </row>
    <row r="523">
      <c r="O523" s="116">
        <f>IFERROR(INDEX(Firms!$A$5:$A$1004,MATCH(519,Firms!$W$5:$W$1004,0)),"")</f>
        <v/>
      </c>
    </row>
    <row r="524">
      <c r="O524" s="116">
        <f>IFERROR(INDEX(Firms!$A$5:$A$1004,MATCH(520,Firms!$W$5:$W$1004,0)),"")</f>
        <v/>
      </c>
    </row>
    <row r="525">
      <c r="O525" s="116">
        <f>IFERROR(INDEX(Firms!$A$5:$A$1004,MATCH(521,Firms!$W$5:$W$1004,0)),"")</f>
        <v/>
      </c>
    </row>
    <row r="526">
      <c r="O526" s="116">
        <f>IFERROR(INDEX(Firms!$A$5:$A$1004,MATCH(522,Firms!$W$5:$W$1004,0)),"")</f>
        <v/>
      </c>
    </row>
    <row r="527">
      <c r="O527" s="116">
        <f>IFERROR(INDEX(Firms!$A$5:$A$1004,MATCH(523,Firms!$W$5:$W$1004,0)),"")</f>
        <v/>
      </c>
    </row>
    <row r="528">
      <c r="O528" s="116">
        <f>IFERROR(INDEX(Firms!$A$5:$A$1004,MATCH(524,Firms!$W$5:$W$1004,0)),"")</f>
        <v/>
      </c>
    </row>
    <row r="529">
      <c r="O529" s="116">
        <f>IFERROR(INDEX(Firms!$A$5:$A$1004,MATCH(525,Firms!$W$5:$W$1004,0)),"")</f>
        <v/>
      </c>
    </row>
    <row r="530">
      <c r="O530" s="116">
        <f>IFERROR(INDEX(Firms!$A$5:$A$1004,MATCH(526,Firms!$W$5:$W$1004,0)),"")</f>
        <v/>
      </c>
    </row>
    <row r="531">
      <c r="O531" s="116">
        <f>IFERROR(INDEX(Firms!$A$5:$A$1004,MATCH(527,Firms!$W$5:$W$1004,0)),"")</f>
        <v/>
      </c>
    </row>
    <row r="532">
      <c r="O532" s="116">
        <f>IFERROR(INDEX(Firms!$A$5:$A$1004,MATCH(528,Firms!$W$5:$W$1004,0)),"")</f>
        <v/>
      </c>
    </row>
    <row r="533">
      <c r="O533" s="116">
        <f>IFERROR(INDEX(Firms!$A$5:$A$1004,MATCH(529,Firms!$W$5:$W$1004,0)),"")</f>
        <v/>
      </c>
    </row>
    <row r="534">
      <c r="O534" s="116">
        <f>IFERROR(INDEX(Firms!$A$5:$A$1004,MATCH(530,Firms!$W$5:$W$1004,0)),"")</f>
        <v/>
      </c>
    </row>
    <row r="535">
      <c r="O535" s="116">
        <f>IFERROR(INDEX(Firms!$A$5:$A$1004,MATCH(531,Firms!$W$5:$W$1004,0)),"")</f>
        <v/>
      </c>
    </row>
    <row r="536">
      <c r="O536" s="116">
        <f>IFERROR(INDEX(Firms!$A$5:$A$1004,MATCH(532,Firms!$W$5:$W$1004,0)),"")</f>
        <v/>
      </c>
    </row>
    <row r="537">
      <c r="O537" s="116">
        <f>IFERROR(INDEX(Firms!$A$5:$A$1004,MATCH(533,Firms!$W$5:$W$1004,0)),"")</f>
        <v/>
      </c>
    </row>
    <row r="538">
      <c r="O538" s="116">
        <f>IFERROR(INDEX(Firms!$A$5:$A$1004,MATCH(534,Firms!$W$5:$W$1004,0)),"")</f>
        <v/>
      </c>
    </row>
    <row r="539">
      <c r="O539" s="116">
        <f>IFERROR(INDEX(Firms!$A$5:$A$1004,MATCH(535,Firms!$W$5:$W$1004,0)),"")</f>
        <v/>
      </c>
    </row>
    <row r="540">
      <c r="O540" s="116">
        <f>IFERROR(INDEX(Firms!$A$5:$A$1004,MATCH(536,Firms!$W$5:$W$1004,0)),"")</f>
        <v/>
      </c>
    </row>
    <row r="541">
      <c r="O541" s="116">
        <f>IFERROR(INDEX(Firms!$A$5:$A$1004,MATCH(537,Firms!$W$5:$W$1004,0)),"")</f>
        <v/>
      </c>
    </row>
    <row r="542">
      <c r="O542" s="116">
        <f>IFERROR(INDEX(Firms!$A$5:$A$1004,MATCH(538,Firms!$W$5:$W$1004,0)),"")</f>
        <v/>
      </c>
    </row>
    <row r="543">
      <c r="O543" s="116">
        <f>IFERROR(INDEX(Firms!$A$5:$A$1004,MATCH(539,Firms!$W$5:$W$1004,0)),"")</f>
        <v/>
      </c>
    </row>
    <row r="544">
      <c r="O544" s="116">
        <f>IFERROR(INDEX(Firms!$A$5:$A$1004,MATCH(540,Firms!$W$5:$W$1004,0)),"")</f>
        <v/>
      </c>
    </row>
    <row r="545">
      <c r="O545" s="116">
        <f>IFERROR(INDEX(Firms!$A$5:$A$1004,MATCH(541,Firms!$W$5:$W$1004,0)),"")</f>
        <v/>
      </c>
    </row>
    <row r="546">
      <c r="O546" s="116">
        <f>IFERROR(INDEX(Firms!$A$5:$A$1004,MATCH(542,Firms!$W$5:$W$1004,0)),"")</f>
        <v/>
      </c>
    </row>
    <row r="547">
      <c r="O547" s="116">
        <f>IFERROR(INDEX(Firms!$A$5:$A$1004,MATCH(543,Firms!$W$5:$W$1004,0)),"")</f>
        <v/>
      </c>
    </row>
    <row r="548">
      <c r="O548" s="116">
        <f>IFERROR(INDEX(Firms!$A$5:$A$1004,MATCH(544,Firms!$W$5:$W$1004,0)),"")</f>
        <v/>
      </c>
    </row>
    <row r="549">
      <c r="O549" s="116">
        <f>IFERROR(INDEX(Firms!$A$5:$A$1004,MATCH(545,Firms!$W$5:$W$1004,0)),"")</f>
        <v/>
      </c>
    </row>
    <row r="550">
      <c r="O550" s="116">
        <f>IFERROR(INDEX(Firms!$A$5:$A$1004,MATCH(546,Firms!$W$5:$W$1004,0)),"")</f>
        <v/>
      </c>
    </row>
    <row r="551">
      <c r="O551" s="116">
        <f>IFERROR(INDEX(Firms!$A$5:$A$1004,MATCH(547,Firms!$W$5:$W$1004,0)),"")</f>
        <v/>
      </c>
    </row>
    <row r="552">
      <c r="O552" s="116">
        <f>IFERROR(INDEX(Firms!$A$5:$A$1004,MATCH(548,Firms!$W$5:$W$1004,0)),"")</f>
        <v/>
      </c>
    </row>
    <row r="553">
      <c r="O553" s="116">
        <f>IFERROR(INDEX(Firms!$A$5:$A$1004,MATCH(549,Firms!$W$5:$W$1004,0)),"")</f>
        <v/>
      </c>
    </row>
    <row r="554">
      <c r="O554" s="116">
        <f>IFERROR(INDEX(Firms!$A$5:$A$1004,MATCH(550,Firms!$W$5:$W$1004,0)),"")</f>
        <v/>
      </c>
    </row>
    <row r="555">
      <c r="O555" s="116">
        <f>IFERROR(INDEX(Firms!$A$5:$A$1004,MATCH(551,Firms!$W$5:$W$1004,0)),"")</f>
        <v/>
      </c>
    </row>
    <row r="556">
      <c r="O556" s="116">
        <f>IFERROR(INDEX(Firms!$A$5:$A$1004,MATCH(552,Firms!$W$5:$W$1004,0)),"")</f>
        <v/>
      </c>
    </row>
    <row r="557">
      <c r="O557" s="116">
        <f>IFERROR(INDEX(Firms!$A$5:$A$1004,MATCH(553,Firms!$W$5:$W$1004,0)),"")</f>
        <v/>
      </c>
    </row>
    <row r="558">
      <c r="O558" s="116">
        <f>IFERROR(INDEX(Firms!$A$5:$A$1004,MATCH(554,Firms!$W$5:$W$1004,0)),"")</f>
        <v/>
      </c>
    </row>
    <row r="559">
      <c r="O559" s="116">
        <f>IFERROR(INDEX(Firms!$A$5:$A$1004,MATCH(555,Firms!$W$5:$W$1004,0)),"")</f>
        <v/>
      </c>
    </row>
    <row r="560">
      <c r="O560" s="116">
        <f>IFERROR(INDEX(Firms!$A$5:$A$1004,MATCH(556,Firms!$W$5:$W$1004,0)),"")</f>
        <v/>
      </c>
    </row>
    <row r="561">
      <c r="O561" s="116">
        <f>IFERROR(INDEX(Firms!$A$5:$A$1004,MATCH(557,Firms!$W$5:$W$1004,0)),"")</f>
        <v/>
      </c>
    </row>
    <row r="562">
      <c r="O562" s="116">
        <f>IFERROR(INDEX(Firms!$A$5:$A$1004,MATCH(558,Firms!$W$5:$W$1004,0)),"")</f>
        <v/>
      </c>
    </row>
    <row r="563">
      <c r="O563" s="116">
        <f>IFERROR(INDEX(Firms!$A$5:$A$1004,MATCH(559,Firms!$W$5:$W$1004,0)),"")</f>
        <v/>
      </c>
    </row>
    <row r="564">
      <c r="O564" s="116">
        <f>IFERROR(INDEX(Firms!$A$5:$A$1004,MATCH(560,Firms!$W$5:$W$1004,0)),"")</f>
        <v/>
      </c>
    </row>
    <row r="565">
      <c r="O565" s="116">
        <f>IFERROR(INDEX(Firms!$A$5:$A$1004,MATCH(561,Firms!$W$5:$W$1004,0)),"")</f>
        <v/>
      </c>
    </row>
    <row r="566">
      <c r="O566" s="116">
        <f>IFERROR(INDEX(Firms!$A$5:$A$1004,MATCH(562,Firms!$W$5:$W$1004,0)),"")</f>
        <v/>
      </c>
    </row>
    <row r="567">
      <c r="O567" s="116">
        <f>IFERROR(INDEX(Firms!$A$5:$A$1004,MATCH(563,Firms!$W$5:$W$1004,0)),"")</f>
        <v/>
      </c>
    </row>
    <row r="568">
      <c r="O568" s="116">
        <f>IFERROR(INDEX(Firms!$A$5:$A$1004,MATCH(564,Firms!$W$5:$W$1004,0)),"")</f>
        <v/>
      </c>
    </row>
    <row r="569">
      <c r="O569" s="116">
        <f>IFERROR(INDEX(Firms!$A$5:$A$1004,MATCH(565,Firms!$W$5:$W$1004,0)),"")</f>
        <v/>
      </c>
    </row>
    <row r="570">
      <c r="O570" s="116">
        <f>IFERROR(INDEX(Firms!$A$5:$A$1004,MATCH(566,Firms!$W$5:$W$1004,0)),"")</f>
        <v/>
      </c>
    </row>
    <row r="571">
      <c r="O571" s="116">
        <f>IFERROR(INDEX(Firms!$A$5:$A$1004,MATCH(567,Firms!$W$5:$W$1004,0)),"")</f>
        <v/>
      </c>
    </row>
    <row r="572">
      <c r="O572" s="116">
        <f>IFERROR(INDEX(Firms!$A$5:$A$1004,MATCH(568,Firms!$W$5:$W$1004,0)),"")</f>
        <v/>
      </c>
    </row>
    <row r="573">
      <c r="O573" s="116">
        <f>IFERROR(INDEX(Firms!$A$5:$A$1004,MATCH(569,Firms!$W$5:$W$1004,0)),"")</f>
        <v/>
      </c>
    </row>
    <row r="574">
      <c r="O574" s="116">
        <f>IFERROR(INDEX(Firms!$A$5:$A$1004,MATCH(570,Firms!$W$5:$W$1004,0)),"")</f>
        <v/>
      </c>
    </row>
    <row r="575">
      <c r="O575" s="116">
        <f>IFERROR(INDEX(Firms!$A$5:$A$1004,MATCH(571,Firms!$W$5:$W$1004,0)),"")</f>
        <v/>
      </c>
    </row>
    <row r="576">
      <c r="O576" s="116">
        <f>IFERROR(INDEX(Firms!$A$5:$A$1004,MATCH(572,Firms!$W$5:$W$1004,0)),"")</f>
        <v/>
      </c>
    </row>
    <row r="577">
      <c r="O577" s="116">
        <f>IFERROR(INDEX(Firms!$A$5:$A$1004,MATCH(573,Firms!$W$5:$W$1004,0)),"")</f>
        <v/>
      </c>
    </row>
    <row r="578">
      <c r="O578" s="116">
        <f>IFERROR(INDEX(Firms!$A$5:$A$1004,MATCH(574,Firms!$W$5:$W$1004,0)),"")</f>
        <v/>
      </c>
    </row>
    <row r="579">
      <c r="O579" s="116">
        <f>IFERROR(INDEX(Firms!$A$5:$A$1004,MATCH(575,Firms!$W$5:$W$1004,0)),"")</f>
        <v/>
      </c>
    </row>
    <row r="580">
      <c r="O580" s="116">
        <f>IFERROR(INDEX(Firms!$A$5:$A$1004,MATCH(576,Firms!$W$5:$W$1004,0)),"")</f>
        <v/>
      </c>
    </row>
    <row r="581">
      <c r="O581" s="116">
        <f>IFERROR(INDEX(Firms!$A$5:$A$1004,MATCH(577,Firms!$W$5:$W$1004,0)),"")</f>
        <v/>
      </c>
    </row>
    <row r="582">
      <c r="O582" s="116">
        <f>IFERROR(INDEX(Firms!$A$5:$A$1004,MATCH(578,Firms!$W$5:$W$1004,0)),"")</f>
        <v/>
      </c>
    </row>
    <row r="583">
      <c r="O583" s="116">
        <f>IFERROR(INDEX(Firms!$A$5:$A$1004,MATCH(579,Firms!$W$5:$W$1004,0)),"")</f>
        <v/>
      </c>
    </row>
    <row r="584">
      <c r="O584" s="116">
        <f>IFERROR(INDEX(Firms!$A$5:$A$1004,MATCH(580,Firms!$W$5:$W$1004,0)),"")</f>
        <v/>
      </c>
    </row>
    <row r="585">
      <c r="O585" s="116">
        <f>IFERROR(INDEX(Firms!$A$5:$A$1004,MATCH(581,Firms!$W$5:$W$1004,0)),"")</f>
        <v/>
      </c>
    </row>
    <row r="586">
      <c r="O586" s="116">
        <f>IFERROR(INDEX(Firms!$A$5:$A$1004,MATCH(582,Firms!$W$5:$W$1004,0)),"")</f>
        <v/>
      </c>
    </row>
    <row r="587">
      <c r="O587" s="116">
        <f>IFERROR(INDEX(Firms!$A$5:$A$1004,MATCH(583,Firms!$W$5:$W$1004,0)),"")</f>
        <v/>
      </c>
    </row>
    <row r="588">
      <c r="O588" s="116">
        <f>IFERROR(INDEX(Firms!$A$5:$A$1004,MATCH(584,Firms!$W$5:$W$1004,0)),"")</f>
        <v/>
      </c>
    </row>
    <row r="589">
      <c r="O589" s="116">
        <f>IFERROR(INDEX(Firms!$A$5:$A$1004,MATCH(585,Firms!$W$5:$W$1004,0)),"")</f>
        <v/>
      </c>
    </row>
    <row r="590">
      <c r="O590" s="116">
        <f>IFERROR(INDEX(Firms!$A$5:$A$1004,MATCH(586,Firms!$W$5:$W$1004,0)),"")</f>
        <v/>
      </c>
    </row>
    <row r="591">
      <c r="O591" s="116">
        <f>IFERROR(INDEX(Firms!$A$5:$A$1004,MATCH(587,Firms!$W$5:$W$1004,0)),"")</f>
        <v/>
      </c>
    </row>
    <row r="592">
      <c r="O592" s="116">
        <f>IFERROR(INDEX(Firms!$A$5:$A$1004,MATCH(588,Firms!$W$5:$W$1004,0)),"")</f>
        <v/>
      </c>
    </row>
    <row r="593">
      <c r="O593" s="116">
        <f>IFERROR(INDEX(Firms!$A$5:$A$1004,MATCH(589,Firms!$W$5:$W$1004,0)),"")</f>
        <v/>
      </c>
    </row>
    <row r="594">
      <c r="O594" s="116">
        <f>IFERROR(INDEX(Firms!$A$5:$A$1004,MATCH(590,Firms!$W$5:$W$1004,0)),"")</f>
        <v/>
      </c>
    </row>
    <row r="595">
      <c r="O595" s="116">
        <f>IFERROR(INDEX(Firms!$A$5:$A$1004,MATCH(591,Firms!$W$5:$W$1004,0)),"")</f>
        <v/>
      </c>
    </row>
    <row r="596">
      <c r="O596" s="116">
        <f>IFERROR(INDEX(Firms!$A$5:$A$1004,MATCH(592,Firms!$W$5:$W$1004,0)),"")</f>
        <v/>
      </c>
    </row>
    <row r="597">
      <c r="O597" s="116">
        <f>IFERROR(INDEX(Firms!$A$5:$A$1004,MATCH(593,Firms!$W$5:$W$1004,0)),"")</f>
        <v/>
      </c>
    </row>
    <row r="598">
      <c r="O598" s="116">
        <f>IFERROR(INDEX(Firms!$A$5:$A$1004,MATCH(594,Firms!$W$5:$W$1004,0)),"")</f>
        <v/>
      </c>
    </row>
    <row r="599">
      <c r="O599" s="116">
        <f>IFERROR(INDEX(Firms!$A$5:$A$1004,MATCH(595,Firms!$W$5:$W$1004,0)),"")</f>
        <v/>
      </c>
    </row>
    <row r="600">
      <c r="O600" s="116">
        <f>IFERROR(INDEX(Firms!$A$5:$A$1004,MATCH(596,Firms!$W$5:$W$1004,0)),"")</f>
        <v/>
      </c>
    </row>
    <row r="601">
      <c r="O601" s="116">
        <f>IFERROR(INDEX(Firms!$A$5:$A$1004,MATCH(597,Firms!$W$5:$W$1004,0)),"")</f>
        <v/>
      </c>
    </row>
    <row r="602">
      <c r="O602" s="116">
        <f>IFERROR(INDEX(Firms!$A$5:$A$1004,MATCH(598,Firms!$W$5:$W$1004,0)),"")</f>
        <v/>
      </c>
    </row>
    <row r="603">
      <c r="O603" s="116">
        <f>IFERROR(INDEX(Firms!$A$5:$A$1004,MATCH(599,Firms!$W$5:$W$1004,0)),"")</f>
        <v/>
      </c>
    </row>
    <row r="604">
      <c r="O604" s="116">
        <f>IFERROR(INDEX(Firms!$A$5:$A$1004,MATCH(600,Firms!$W$5:$W$1004,0)),"")</f>
        <v/>
      </c>
    </row>
    <row r="605">
      <c r="O605" s="116">
        <f>IFERROR(INDEX(Firms!$A$5:$A$1004,MATCH(601,Firms!$W$5:$W$1004,0)),"")</f>
        <v/>
      </c>
    </row>
    <row r="606">
      <c r="O606" s="116">
        <f>IFERROR(INDEX(Firms!$A$5:$A$1004,MATCH(602,Firms!$W$5:$W$1004,0)),"")</f>
        <v/>
      </c>
    </row>
    <row r="607">
      <c r="O607" s="116">
        <f>IFERROR(INDEX(Firms!$A$5:$A$1004,MATCH(603,Firms!$W$5:$W$1004,0)),"")</f>
        <v/>
      </c>
    </row>
    <row r="608">
      <c r="O608" s="116">
        <f>IFERROR(INDEX(Firms!$A$5:$A$1004,MATCH(604,Firms!$W$5:$W$1004,0)),"")</f>
        <v/>
      </c>
    </row>
    <row r="609">
      <c r="O609" s="116">
        <f>IFERROR(INDEX(Firms!$A$5:$A$1004,MATCH(605,Firms!$W$5:$W$1004,0)),"")</f>
        <v/>
      </c>
    </row>
    <row r="610">
      <c r="O610" s="116">
        <f>IFERROR(INDEX(Firms!$A$5:$A$1004,MATCH(606,Firms!$W$5:$W$1004,0)),"")</f>
        <v/>
      </c>
    </row>
    <row r="611">
      <c r="O611" s="116">
        <f>IFERROR(INDEX(Firms!$A$5:$A$1004,MATCH(607,Firms!$W$5:$W$1004,0)),"")</f>
        <v/>
      </c>
    </row>
    <row r="612">
      <c r="O612" s="116">
        <f>IFERROR(INDEX(Firms!$A$5:$A$1004,MATCH(608,Firms!$W$5:$W$1004,0)),"")</f>
        <v/>
      </c>
    </row>
    <row r="613">
      <c r="O613" s="116">
        <f>IFERROR(INDEX(Firms!$A$5:$A$1004,MATCH(609,Firms!$W$5:$W$1004,0)),"")</f>
        <v/>
      </c>
    </row>
    <row r="614">
      <c r="O614" s="116">
        <f>IFERROR(INDEX(Firms!$A$5:$A$1004,MATCH(610,Firms!$W$5:$W$1004,0)),"")</f>
        <v/>
      </c>
    </row>
    <row r="615">
      <c r="O615" s="116">
        <f>IFERROR(INDEX(Firms!$A$5:$A$1004,MATCH(611,Firms!$W$5:$W$1004,0)),"")</f>
        <v/>
      </c>
    </row>
    <row r="616">
      <c r="O616" s="116">
        <f>IFERROR(INDEX(Firms!$A$5:$A$1004,MATCH(612,Firms!$W$5:$W$1004,0)),"")</f>
        <v/>
      </c>
    </row>
    <row r="617">
      <c r="O617" s="116">
        <f>IFERROR(INDEX(Firms!$A$5:$A$1004,MATCH(613,Firms!$W$5:$W$1004,0)),"")</f>
        <v/>
      </c>
    </row>
    <row r="618">
      <c r="O618" s="116">
        <f>IFERROR(INDEX(Firms!$A$5:$A$1004,MATCH(614,Firms!$W$5:$W$1004,0)),"")</f>
        <v/>
      </c>
    </row>
    <row r="619">
      <c r="O619" s="116">
        <f>IFERROR(INDEX(Firms!$A$5:$A$1004,MATCH(615,Firms!$W$5:$W$1004,0)),"")</f>
        <v/>
      </c>
    </row>
    <row r="620">
      <c r="O620" s="116">
        <f>IFERROR(INDEX(Firms!$A$5:$A$1004,MATCH(616,Firms!$W$5:$W$1004,0)),"")</f>
        <v/>
      </c>
    </row>
    <row r="621">
      <c r="O621" s="116">
        <f>IFERROR(INDEX(Firms!$A$5:$A$1004,MATCH(617,Firms!$W$5:$W$1004,0)),"")</f>
        <v/>
      </c>
    </row>
    <row r="622">
      <c r="O622" s="116">
        <f>IFERROR(INDEX(Firms!$A$5:$A$1004,MATCH(618,Firms!$W$5:$W$1004,0)),"")</f>
        <v/>
      </c>
    </row>
    <row r="623">
      <c r="O623" s="116">
        <f>IFERROR(INDEX(Firms!$A$5:$A$1004,MATCH(619,Firms!$W$5:$W$1004,0)),"")</f>
        <v/>
      </c>
    </row>
    <row r="624">
      <c r="O624" s="116">
        <f>IFERROR(INDEX(Firms!$A$5:$A$1004,MATCH(620,Firms!$W$5:$W$1004,0)),"")</f>
        <v/>
      </c>
    </row>
    <row r="625">
      <c r="O625" s="116">
        <f>IFERROR(INDEX(Firms!$A$5:$A$1004,MATCH(621,Firms!$W$5:$W$1004,0)),"")</f>
        <v/>
      </c>
    </row>
    <row r="626">
      <c r="O626" s="116">
        <f>IFERROR(INDEX(Firms!$A$5:$A$1004,MATCH(622,Firms!$W$5:$W$1004,0)),"")</f>
        <v/>
      </c>
    </row>
    <row r="627">
      <c r="O627" s="116">
        <f>IFERROR(INDEX(Firms!$A$5:$A$1004,MATCH(623,Firms!$W$5:$W$1004,0)),"")</f>
        <v/>
      </c>
    </row>
    <row r="628">
      <c r="O628" s="116">
        <f>IFERROR(INDEX(Firms!$A$5:$A$1004,MATCH(624,Firms!$W$5:$W$1004,0)),"")</f>
        <v/>
      </c>
    </row>
    <row r="629">
      <c r="O629" s="116">
        <f>IFERROR(INDEX(Firms!$A$5:$A$1004,MATCH(625,Firms!$W$5:$W$1004,0)),"")</f>
        <v/>
      </c>
    </row>
    <row r="630">
      <c r="O630" s="116">
        <f>IFERROR(INDEX(Firms!$A$5:$A$1004,MATCH(626,Firms!$W$5:$W$1004,0)),"")</f>
        <v/>
      </c>
    </row>
    <row r="631">
      <c r="O631" s="116">
        <f>IFERROR(INDEX(Firms!$A$5:$A$1004,MATCH(627,Firms!$W$5:$W$1004,0)),"")</f>
        <v/>
      </c>
    </row>
    <row r="632">
      <c r="O632" s="116">
        <f>IFERROR(INDEX(Firms!$A$5:$A$1004,MATCH(628,Firms!$W$5:$W$1004,0)),"")</f>
        <v/>
      </c>
    </row>
    <row r="633">
      <c r="O633" s="116">
        <f>IFERROR(INDEX(Firms!$A$5:$A$1004,MATCH(629,Firms!$W$5:$W$1004,0)),"")</f>
        <v/>
      </c>
    </row>
    <row r="634">
      <c r="O634" s="116">
        <f>IFERROR(INDEX(Firms!$A$5:$A$1004,MATCH(630,Firms!$W$5:$W$1004,0)),"")</f>
        <v/>
      </c>
    </row>
    <row r="635">
      <c r="O635" s="116">
        <f>IFERROR(INDEX(Firms!$A$5:$A$1004,MATCH(631,Firms!$W$5:$W$1004,0)),"")</f>
        <v/>
      </c>
    </row>
    <row r="636">
      <c r="O636" s="116">
        <f>IFERROR(INDEX(Firms!$A$5:$A$1004,MATCH(632,Firms!$W$5:$W$1004,0)),"")</f>
        <v/>
      </c>
    </row>
    <row r="637">
      <c r="O637" s="116">
        <f>IFERROR(INDEX(Firms!$A$5:$A$1004,MATCH(633,Firms!$W$5:$W$1004,0)),"")</f>
        <v/>
      </c>
    </row>
    <row r="638">
      <c r="O638" s="116">
        <f>IFERROR(INDEX(Firms!$A$5:$A$1004,MATCH(634,Firms!$W$5:$W$1004,0)),"")</f>
        <v/>
      </c>
    </row>
    <row r="639">
      <c r="O639" s="116">
        <f>IFERROR(INDEX(Firms!$A$5:$A$1004,MATCH(635,Firms!$W$5:$W$1004,0)),"")</f>
        <v/>
      </c>
    </row>
    <row r="640">
      <c r="O640" s="116">
        <f>IFERROR(INDEX(Firms!$A$5:$A$1004,MATCH(636,Firms!$W$5:$W$1004,0)),"")</f>
        <v/>
      </c>
    </row>
    <row r="641">
      <c r="O641" s="116">
        <f>IFERROR(INDEX(Firms!$A$5:$A$1004,MATCH(637,Firms!$W$5:$W$1004,0)),"")</f>
        <v/>
      </c>
    </row>
    <row r="642">
      <c r="O642" s="116">
        <f>IFERROR(INDEX(Firms!$A$5:$A$1004,MATCH(638,Firms!$W$5:$W$1004,0)),"")</f>
        <v/>
      </c>
    </row>
    <row r="643">
      <c r="O643" s="116">
        <f>IFERROR(INDEX(Firms!$A$5:$A$1004,MATCH(639,Firms!$W$5:$W$1004,0)),"")</f>
        <v/>
      </c>
    </row>
    <row r="644">
      <c r="O644" s="116">
        <f>IFERROR(INDEX(Firms!$A$5:$A$1004,MATCH(640,Firms!$W$5:$W$1004,0)),"")</f>
        <v/>
      </c>
    </row>
    <row r="645">
      <c r="O645" s="116">
        <f>IFERROR(INDEX(Firms!$A$5:$A$1004,MATCH(641,Firms!$W$5:$W$1004,0)),"")</f>
        <v/>
      </c>
    </row>
    <row r="646">
      <c r="O646" s="116">
        <f>IFERROR(INDEX(Firms!$A$5:$A$1004,MATCH(642,Firms!$W$5:$W$1004,0)),"")</f>
        <v/>
      </c>
    </row>
    <row r="647">
      <c r="O647" s="116">
        <f>IFERROR(INDEX(Firms!$A$5:$A$1004,MATCH(643,Firms!$W$5:$W$1004,0)),"")</f>
        <v/>
      </c>
    </row>
    <row r="648">
      <c r="O648" s="116">
        <f>IFERROR(INDEX(Firms!$A$5:$A$1004,MATCH(644,Firms!$W$5:$W$1004,0)),"")</f>
        <v/>
      </c>
    </row>
    <row r="649">
      <c r="O649" s="116">
        <f>IFERROR(INDEX(Firms!$A$5:$A$1004,MATCH(645,Firms!$W$5:$W$1004,0)),"")</f>
        <v/>
      </c>
    </row>
    <row r="650">
      <c r="O650" s="116">
        <f>IFERROR(INDEX(Firms!$A$5:$A$1004,MATCH(646,Firms!$W$5:$W$1004,0)),"")</f>
        <v/>
      </c>
    </row>
    <row r="651">
      <c r="O651" s="116">
        <f>IFERROR(INDEX(Firms!$A$5:$A$1004,MATCH(647,Firms!$W$5:$W$1004,0)),"")</f>
        <v/>
      </c>
    </row>
    <row r="652">
      <c r="O652" s="116">
        <f>IFERROR(INDEX(Firms!$A$5:$A$1004,MATCH(648,Firms!$W$5:$W$1004,0)),"")</f>
        <v/>
      </c>
    </row>
    <row r="653">
      <c r="O653" s="116">
        <f>IFERROR(INDEX(Firms!$A$5:$A$1004,MATCH(649,Firms!$W$5:$W$1004,0)),"")</f>
        <v/>
      </c>
    </row>
    <row r="654">
      <c r="O654" s="116">
        <f>IFERROR(INDEX(Firms!$A$5:$A$1004,MATCH(650,Firms!$W$5:$W$1004,0)),"")</f>
        <v/>
      </c>
    </row>
    <row r="655">
      <c r="O655" s="116">
        <f>IFERROR(INDEX(Firms!$A$5:$A$1004,MATCH(651,Firms!$W$5:$W$1004,0)),"")</f>
        <v/>
      </c>
    </row>
    <row r="656">
      <c r="O656" s="116">
        <f>IFERROR(INDEX(Firms!$A$5:$A$1004,MATCH(652,Firms!$W$5:$W$1004,0)),"")</f>
        <v/>
      </c>
    </row>
    <row r="657">
      <c r="O657" s="116">
        <f>IFERROR(INDEX(Firms!$A$5:$A$1004,MATCH(653,Firms!$W$5:$W$1004,0)),"")</f>
        <v/>
      </c>
    </row>
    <row r="658">
      <c r="O658" s="116">
        <f>IFERROR(INDEX(Firms!$A$5:$A$1004,MATCH(654,Firms!$W$5:$W$1004,0)),"")</f>
        <v/>
      </c>
    </row>
    <row r="659">
      <c r="O659" s="116">
        <f>IFERROR(INDEX(Firms!$A$5:$A$1004,MATCH(655,Firms!$W$5:$W$1004,0)),"")</f>
        <v/>
      </c>
    </row>
    <row r="660">
      <c r="O660" s="116">
        <f>IFERROR(INDEX(Firms!$A$5:$A$1004,MATCH(656,Firms!$W$5:$W$1004,0)),"")</f>
        <v/>
      </c>
    </row>
    <row r="661">
      <c r="O661" s="116">
        <f>IFERROR(INDEX(Firms!$A$5:$A$1004,MATCH(657,Firms!$W$5:$W$1004,0)),"")</f>
        <v/>
      </c>
    </row>
    <row r="662">
      <c r="O662" s="116">
        <f>IFERROR(INDEX(Firms!$A$5:$A$1004,MATCH(658,Firms!$W$5:$W$1004,0)),"")</f>
        <v/>
      </c>
    </row>
    <row r="663">
      <c r="O663" s="116">
        <f>IFERROR(INDEX(Firms!$A$5:$A$1004,MATCH(659,Firms!$W$5:$W$1004,0)),"")</f>
        <v/>
      </c>
    </row>
    <row r="664">
      <c r="O664" s="116">
        <f>IFERROR(INDEX(Firms!$A$5:$A$1004,MATCH(660,Firms!$W$5:$W$1004,0)),"")</f>
        <v/>
      </c>
    </row>
    <row r="665">
      <c r="O665" s="116">
        <f>IFERROR(INDEX(Firms!$A$5:$A$1004,MATCH(661,Firms!$W$5:$W$1004,0)),"")</f>
        <v/>
      </c>
    </row>
    <row r="666">
      <c r="O666" s="116">
        <f>IFERROR(INDEX(Firms!$A$5:$A$1004,MATCH(662,Firms!$W$5:$W$1004,0)),"")</f>
        <v/>
      </c>
    </row>
    <row r="667">
      <c r="O667" s="116">
        <f>IFERROR(INDEX(Firms!$A$5:$A$1004,MATCH(663,Firms!$W$5:$W$1004,0)),"")</f>
        <v/>
      </c>
    </row>
    <row r="668">
      <c r="O668" s="116">
        <f>IFERROR(INDEX(Firms!$A$5:$A$1004,MATCH(664,Firms!$W$5:$W$1004,0)),"")</f>
        <v/>
      </c>
    </row>
    <row r="669">
      <c r="O669" s="116">
        <f>IFERROR(INDEX(Firms!$A$5:$A$1004,MATCH(665,Firms!$W$5:$W$1004,0)),"")</f>
        <v/>
      </c>
    </row>
    <row r="670">
      <c r="O670" s="116">
        <f>IFERROR(INDEX(Firms!$A$5:$A$1004,MATCH(666,Firms!$W$5:$W$1004,0)),"")</f>
        <v/>
      </c>
    </row>
    <row r="671">
      <c r="O671" s="116">
        <f>IFERROR(INDEX(Firms!$A$5:$A$1004,MATCH(667,Firms!$W$5:$W$1004,0)),"")</f>
        <v/>
      </c>
    </row>
    <row r="672">
      <c r="O672" s="116">
        <f>IFERROR(INDEX(Firms!$A$5:$A$1004,MATCH(668,Firms!$W$5:$W$1004,0)),"")</f>
        <v/>
      </c>
    </row>
    <row r="673">
      <c r="O673" s="116">
        <f>IFERROR(INDEX(Firms!$A$5:$A$1004,MATCH(669,Firms!$W$5:$W$1004,0)),"")</f>
        <v/>
      </c>
    </row>
    <row r="674">
      <c r="O674" s="116">
        <f>IFERROR(INDEX(Firms!$A$5:$A$1004,MATCH(670,Firms!$W$5:$W$1004,0)),"")</f>
        <v/>
      </c>
    </row>
    <row r="675">
      <c r="O675" s="116">
        <f>IFERROR(INDEX(Firms!$A$5:$A$1004,MATCH(671,Firms!$W$5:$W$1004,0)),"")</f>
        <v/>
      </c>
    </row>
    <row r="676">
      <c r="O676" s="116">
        <f>IFERROR(INDEX(Firms!$A$5:$A$1004,MATCH(672,Firms!$W$5:$W$1004,0)),"")</f>
        <v/>
      </c>
    </row>
    <row r="677">
      <c r="O677" s="116">
        <f>IFERROR(INDEX(Firms!$A$5:$A$1004,MATCH(673,Firms!$W$5:$W$1004,0)),"")</f>
        <v/>
      </c>
    </row>
    <row r="678">
      <c r="O678" s="116">
        <f>IFERROR(INDEX(Firms!$A$5:$A$1004,MATCH(674,Firms!$W$5:$W$1004,0)),"")</f>
        <v/>
      </c>
    </row>
    <row r="679">
      <c r="O679" s="116">
        <f>IFERROR(INDEX(Firms!$A$5:$A$1004,MATCH(675,Firms!$W$5:$W$1004,0)),"")</f>
        <v/>
      </c>
    </row>
    <row r="680">
      <c r="O680" s="116">
        <f>IFERROR(INDEX(Firms!$A$5:$A$1004,MATCH(676,Firms!$W$5:$W$1004,0)),"")</f>
        <v/>
      </c>
    </row>
    <row r="681">
      <c r="O681" s="116">
        <f>IFERROR(INDEX(Firms!$A$5:$A$1004,MATCH(677,Firms!$W$5:$W$1004,0)),"")</f>
        <v/>
      </c>
    </row>
    <row r="682">
      <c r="O682" s="116">
        <f>IFERROR(INDEX(Firms!$A$5:$A$1004,MATCH(678,Firms!$W$5:$W$1004,0)),"")</f>
        <v/>
      </c>
    </row>
    <row r="683">
      <c r="O683" s="116">
        <f>IFERROR(INDEX(Firms!$A$5:$A$1004,MATCH(679,Firms!$W$5:$W$1004,0)),"")</f>
        <v/>
      </c>
    </row>
    <row r="684">
      <c r="O684" s="116">
        <f>IFERROR(INDEX(Firms!$A$5:$A$1004,MATCH(680,Firms!$W$5:$W$1004,0)),"")</f>
        <v/>
      </c>
    </row>
    <row r="685">
      <c r="O685" s="116">
        <f>IFERROR(INDEX(Firms!$A$5:$A$1004,MATCH(681,Firms!$W$5:$W$1004,0)),"")</f>
        <v/>
      </c>
    </row>
    <row r="686">
      <c r="O686" s="116">
        <f>IFERROR(INDEX(Firms!$A$5:$A$1004,MATCH(682,Firms!$W$5:$W$1004,0)),"")</f>
        <v/>
      </c>
    </row>
    <row r="687">
      <c r="O687" s="116">
        <f>IFERROR(INDEX(Firms!$A$5:$A$1004,MATCH(683,Firms!$W$5:$W$1004,0)),"")</f>
        <v/>
      </c>
    </row>
    <row r="688">
      <c r="O688" s="116">
        <f>IFERROR(INDEX(Firms!$A$5:$A$1004,MATCH(684,Firms!$W$5:$W$1004,0)),"")</f>
        <v/>
      </c>
    </row>
    <row r="689">
      <c r="O689" s="116">
        <f>IFERROR(INDEX(Firms!$A$5:$A$1004,MATCH(685,Firms!$W$5:$W$1004,0)),"")</f>
        <v/>
      </c>
    </row>
    <row r="690">
      <c r="O690" s="116">
        <f>IFERROR(INDEX(Firms!$A$5:$A$1004,MATCH(686,Firms!$W$5:$W$1004,0)),"")</f>
        <v/>
      </c>
    </row>
    <row r="691">
      <c r="O691" s="116">
        <f>IFERROR(INDEX(Firms!$A$5:$A$1004,MATCH(687,Firms!$W$5:$W$1004,0)),"")</f>
        <v/>
      </c>
    </row>
    <row r="692">
      <c r="O692" s="116">
        <f>IFERROR(INDEX(Firms!$A$5:$A$1004,MATCH(688,Firms!$W$5:$W$1004,0)),"")</f>
        <v/>
      </c>
    </row>
    <row r="693">
      <c r="O693" s="116">
        <f>IFERROR(INDEX(Firms!$A$5:$A$1004,MATCH(689,Firms!$W$5:$W$1004,0)),"")</f>
        <v/>
      </c>
    </row>
    <row r="694">
      <c r="O694" s="116">
        <f>IFERROR(INDEX(Firms!$A$5:$A$1004,MATCH(690,Firms!$W$5:$W$1004,0)),"")</f>
        <v/>
      </c>
    </row>
    <row r="695">
      <c r="O695" s="116">
        <f>IFERROR(INDEX(Firms!$A$5:$A$1004,MATCH(691,Firms!$W$5:$W$1004,0)),"")</f>
        <v/>
      </c>
    </row>
    <row r="696">
      <c r="O696" s="116">
        <f>IFERROR(INDEX(Firms!$A$5:$A$1004,MATCH(692,Firms!$W$5:$W$1004,0)),"")</f>
        <v/>
      </c>
    </row>
    <row r="697">
      <c r="O697" s="116">
        <f>IFERROR(INDEX(Firms!$A$5:$A$1004,MATCH(693,Firms!$W$5:$W$1004,0)),"")</f>
        <v/>
      </c>
    </row>
    <row r="698">
      <c r="O698" s="116">
        <f>IFERROR(INDEX(Firms!$A$5:$A$1004,MATCH(694,Firms!$W$5:$W$1004,0)),"")</f>
        <v/>
      </c>
    </row>
    <row r="699">
      <c r="O699" s="116">
        <f>IFERROR(INDEX(Firms!$A$5:$A$1004,MATCH(695,Firms!$W$5:$W$1004,0)),"")</f>
        <v/>
      </c>
    </row>
    <row r="700">
      <c r="O700" s="116">
        <f>IFERROR(INDEX(Firms!$A$5:$A$1004,MATCH(696,Firms!$W$5:$W$1004,0)),"")</f>
        <v/>
      </c>
    </row>
    <row r="701">
      <c r="O701" s="116">
        <f>IFERROR(INDEX(Firms!$A$5:$A$1004,MATCH(697,Firms!$W$5:$W$1004,0)),"")</f>
        <v/>
      </c>
    </row>
    <row r="702">
      <c r="O702" s="116">
        <f>IFERROR(INDEX(Firms!$A$5:$A$1004,MATCH(698,Firms!$W$5:$W$1004,0)),"")</f>
        <v/>
      </c>
    </row>
    <row r="703">
      <c r="O703" s="116">
        <f>IFERROR(INDEX(Firms!$A$5:$A$1004,MATCH(699,Firms!$W$5:$W$1004,0)),"")</f>
        <v/>
      </c>
    </row>
    <row r="704">
      <c r="O704" s="116">
        <f>IFERROR(INDEX(Firms!$A$5:$A$1004,MATCH(700,Firms!$W$5:$W$1004,0)),"")</f>
        <v/>
      </c>
    </row>
    <row r="705">
      <c r="O705" s="116">
        <f>IFERROR(INDEX(Firms!$A$5:$A$1004,MATCH(701,Firms!$W$5:$W$1004,0)),"")</f>
        <v/>
      </c>
    </row>
    <row r="706">
      <c r="O706" s="116">
        <f>IFERROR(INDEX(Firms!$A$5:$A$1004,MATCH(702,Firms!$W$5:$W$1004,0)),"")</f>
        <v/>
      </c>
    </row>
    <row r="707">
      <c r="O707" s="116">
        <f>IFERROR(INDEX(Firms!$A$5:$A$1004,MATCH(703,Firms!$W$5:$W$1004,0)),"")</f>
        <v/>
      </c>
    </row>
    <row r="708">
      <c r="O708" s="116">
        <f>IFERROR(INDEX(Firms!$A$5:$A$1004,MATCH(704,Firms!$W$5:$W$1004,0)),"")</f>
        <v/>
      </c>
    </row>
    <row r="709">
      <c r="O709" s="116">
        <f>IFERROR(INDEX(Firms!$A$5:$A$1004,MATCH(705,Firms!$W$5:$W$1004,0)),"")</f>
        <v/>
      </c>
    </row>
    <row r="710">
      <c r="O710" s="116">
        <f>IFERROR(INDEX(Firms!$A$5:$A$1004,MATCH(706,Firms!$W$5:$W$1004,0)),"")</f>
        <v/>
      </c>
    </row>
    <row r="711">
      <c r="O711" s="116">
        <f>IFERROR(INDEX(Firms!$A$5:$A$1004,MATCH(707,Firms!$W$5:$W$1004,0)),"")</f>
        <v/>
      </c>
    </row>
    <row r="712">
      <c r="O712" s="116">
        <f>IFERROR(INDEX(Firms!$A$5:$A$1004,MATCH(708,Firms!$W$5:$W$1004,0)),"")</f>
        <v/>
      </c>
    </row>
    <row r="713">
      <c r="O713" s="116">
        <f>IFERROR(INDEX(Firms!$A$5:$A$1004,MATCH(709,Firms!$W$5:$W$1004,0)),"")</f>
        <v/>
      </c>
    </row>
    <row r="714">
      <c r="O714" s="116">
        <f>IFERROR(INDEX(Firms!$A$5:$A$1004,MATCH(710,Firms!$W$5:$W$1004,0)),"")</f>
        <v/>
      </c>
    </row>
    <row r="715">
      <c r="O715" s="116">
        <f>IFERROR(INDEX(Firms!$A$5:$A$1004,MATCH(711,Firms!$W$5:$W$1004,0)),"")</f>
        <v/>
      </c>
    </row>
    <row r="716">
      <c r="O716" s="116">
        <f>IFERROR(INDEX(Firms!$A$5:$A$1004,MATCH(712,Firms!$W$5:$W$1004,0)),"")</f>
        <v/>
      </c>
    </row>
    <row r="717">
      <c r="O717" s="116">
        <f>IFERROR(INDEX(Firms!$A$5:$A$1004,MATCH(713,Firms!$W$5:$W$1004,0)),"")</f>
        <v/>
      </c>
    </row>
    <row r="718">
      <c r="O718" s="116">
        <f>IFERROR(INDEX(Firms!$A$5:$A$1004,MATCH(714,Firms!$W$5:$W$1004,0)),"")</f>
        <v/>
      </c>
    </row>
    <row r="719">
      <c r="O719" s="116">
        <f>IFERROR(INDEX(Firms!$A$5:$A$1004,MATCH(715,Firms!$W$5:$W$1004,0)),"")</f>
        <v/>
      </c>
    </row>
    <row r="720">
      <c r="O720" s="116">
        <f>IFERROR(INDEX(Firms!$A$5:$A$1004,MATCH(716,Firms!$W$5:$W$1004,0)),"")</f>
        <v/>
      </c>
    </row>
    <row r="721">
      <c r="O721" s="116">
        <f>IFERROR(INDEX(Firms!$A$5:$A$1004,MATCH(717,Firms!$W$5:$W$1004,0)),"")</f>
        <v/>
      </c>
    </row>
    <row r="722">
      <c r="O722" s="116">
        <f>IFERROR(INDEX(Firms!$A$5:$A$1004,MATCH(718,Firms!$W$5:$W$1004,0)),"")</f>
        <v/>
      </c>
    </row>
    <row r="723">
      <c r="O723" s="116">
        <f>IFERROR(INDEX(Firms!$A$5:$A$1004,MATCH(719,Firms!$W$5:$W$1004,0)),"")</f>
        <v/>
      </c>
    </row>
    <row r="724">
      <c r="O724" s="116">
        <f>IFERROR(INDEX(Firms!$A$5:$A$1004,MATCH(720,Firms!$W$5:$W$1004,0)),"")</f>
        <v/>
      </c>
    </row>
    <row r="725">
      <c r="O725" s="116">
        <f>IFERROR(INDEX(Firms!$A$5:$A$1004,MATCH(721,Firms!$W$5:$W$1004,0)),"")</f>
        <v/>
      </c>
    </row>
    <row r="726">
      <c r="O726" s="116">
        <f>IFERROR(INDEX(Firms!$A$5:$A$1004,MATCH(722,Firms!$W$5:$W$1004,0)),"")</f>
        <v/>
      </c>
    </row>
    <row r="727">
      <c r="O727" s="116">
        <f>IFERROR(INDEX(Firms!$A$5:$A$1004,MATCH(723,Firms!$W$5:$W$1004,0)),"")</f>
        <v/>
      </c>
    </row>
    <row r="728">
      <c r="O728" s="116">
        <f>IFERROR(INDEX(Firms!$A$5:$A$1004,MATCH(724,Firms!$W$5:$W$1004,0)),"")</f>
        <v/>
      </c>
    </row>
    <row r="729">
      <c r="O729" s="116">
        <f>IFERROR(INDEX(Firms!$A$5:$A$1004,MATCH(725,Firms!$W$5:$W$1004,0)),"")</f>
        <v/>
      </c>
    </row>
    <row r="730">
      <c r="O730" s="116">
        <f>IFERROR(INDEX(Firms!$A$5:$A$1004,MATCH(726,Firms!$W$5:$W$1004,0)),"")</f>
        <v/>
      </c>
    </row>
    <row r="731">
      <c r="O731" s="116">
        <f>IFERROR(INDEX(Firms!$A$5:$A$1004,MATCH(727,Firms!$W$5:$W$1004,0)),"")</f>
        <v/>
      </c>
    </row>
    <row r="732">
      <c r="O732" s="116">
        <f>IFERROR(INDEX(Firms!$A$5:$A$1004,MATCH(728,Firms!$W$5:$W$1004,0)),"")</f>
        <v/>
      </c>
    </row>
    <row r="733">
      <c r="O733" s="116">
        <f>IFERROR(INDEX(Firms!$A$5:$A$1004,MATCH(729,Firms!$W$5:$W$1004,0)),"")</f>
        <v/>
      </c>
    </row>
    <row r="734">
      <c r="O734" s="116">
        <f>IFERROR(INDEX(Firms!$A$5:$A$1004,MATCH(730,Firms!$W$5:$W$1004,0)),"")</f>
        <v/>
      </c>
    </row>
    <row r="735">
      <c r="O735" s="116">
        <f>IFERROR(INDEX(Firms!$A$5:$A$1004,MATCH(731,Firms!$W$5:$W$1004,0)),"")</f>
        <v/>
      </c>
    </row>
    <row r="736">
      <c r="O736" s="116">
        <f>IFERROR(INDEX(Firms!$A$5:$A$1004,MATCH(732,Firms!$W$5:$W$1004,0)),"")</f>
        <v/>
      </c>
    </row>
    <row r="737">
      <c r="O737" s="116">
        <f>IFERROR(INDEX(Firms!$A$5:$A$1004,MATCH(733,Firms!$W$5:$W$1004,0)),"")</f>
        <v/>
      </c>
    </row>
    <row r="738">
      <c r="O738" s="116">
        <f>IFERROR(INDEX(Firms!$A$5:$A$1004,MATCH(734,Firms!$W$5:$W$1004,0)),"")</f>
        <v/>
      </c>
    </row>
    <row r="739">
      <c r="O739" s="116">
        <f>IFERROR(INDEX(Firms!$A$5:$A$1004,MATCH(735,Firms!$W$5:$W$1004,0)),"")</f>
        <v/>
      </c>
    </row>
    <row r="740">
      <c r="O740" s="116">
        <f>IFERROR(INDEX(Firms!$A$5:$A$1004,MATCH(736,Firms!$W$5:$W$1004,0)),"")</f>
        <v/>
      </c>
    </row>
    <row r="741">
      <c r="O741" s="116">
        <f>IFERROR(INDEX(Firms!$A$5:$A$1004,MATCH(737,Firms!$W$5:$W$1004,0)),"")</f>
        <v/>
      </c>
    </row>
    <row r="742">
      <c r="O742" s="116">
        <f>IFERROR(INDEX(Firms!$A$5:$A$1004,MATCH(738,Firms!$W$5:$W$1004,0)),"")</f>
        <v/>
      </c>
    </row>
    <row r="743">
      <c r="O743" s="116">
        <f>IFERROR(INDEX(Firms!$A$5:$A$1004,MATCH(739,Firms!$W$5:$W$1004,0)),"")</f>
        <v/>
      </c>
    </row>
    <row r="744">
      <c r="O744" s="116">
        <f>IFERROR(INDEX(Firms!$A$5:$A$1004,MATCH(740,Firms!$W$5:$W$1004,0)),"")</f>
        <v/>
      </c>
    </row>
    <row r="745">
      <c r="O745" s="116">
        <f>IFERROR(INDEX(Firms!$A$5:$A$1004,MATCH(741,Firms!$W$5:$W$1004,0)),"")</f>
        <v/>
      </c>
    </row>
    <row r="746">
      <c r="O746" s="116">
        <f>IFERROR(INDEX(Firms!$A$5:$A$1004,MATCH(742,Firms!$W$5:$W$1004,0)),"")</f>
        <v/>
      </c>
    </row>
    <row r="747">
      <c r="O747" s="116">
        <f>IFERROR(INDEX(Firms!$A$5:$A$1004,MATCH(743,Firms!$W$5:$W$1004,0)),"")</f>
        <v/>
      </c>
    </row>
    <row r="748">
      <c r="O748" s="116">
        <f>IFERROR(INDEX(Firms!$A$5:$A$1004,MATCH(744,Firms!$W$5:$W$1004,0)),"")</f>
        <v/>
      </c>
    </row>
    <row r="749">
      <c r="O749" s="116">
        <f>IFERROR(INDEX(Firms!$A$5:$A$1004,MATCH(745,Firms!$W$5:$W$1004,0)),"")</f>
        <v/>
      </c>
    </row>
    <row r="750">
      <c r="O750" s="116">
        <f>IFERROR(INDEX(Firms!$A$5:$A$1004,MATCH(746,Firms!$W$5:$W$1004,0)),"")</f>
        <v/>
      </c>
    </row>
    <row r="751">
      <c r="O751" s="116">
        <f>IFERROR(INDEX(Firms!$A$5:$A$1004,MATCH(747,Firms!$W$5:$W$1004,0)),"")</f>
        <v/>
      </c>
    </row>
    <row r="752">
      <c r="O752" s="116">
        <f>IFERROR(INDEX(Firms!$A$5:$A$1004,MATCH(748,Firms!$W$5:$W$1004,0)),"")</f>
        <v/>
      </c>
    </row>
    <row r="753">
      <c r="O753" s="116">
        <f>IFERROR(INDEX(Firms!$A$5:$A$1004,MATCH(749,Firms!$W$5:$W$1004,0)),"")</f>
        <v/>
      </c>
    </row>
    <row r="754">
      <c r="O754" s="116">
        <f>IFERROR(INDEX(Firms!$A$5:$A$1004,MATCH(750,Firms!$W$5:$W$1004,0)),"")</f>
        <v/>
      </c>
    </row>
    <row r="755">
      <c r="O755" s="116">
        <f>IFERROR(INDEX(Firms!$A$5:$A$1004,MATCH(751,Firms!$W$5:$W$1004,0)),"")</f>
        <v/>
      </c>
    </row>
    <row r="756">
      <c r="O756" s="116">
        <f>IFERROR(INDEX(Firms!$A$5:$A$1004,MATCH(752,Firms!$W$5:$W$1004,0)),"")</f>
        <v/>
      </c>
    </row>
    <row r="757">
      <c r="O757" s="116">
        <f>IFERROR(INDEX(Firms!$A$5:$A$1004,MATCH(753,Firms!$W$5:$W$1004,0)),"")</f>
        <v/>
      </c>
    </row>
    <row r="758">
      <c r="O758" s="116">
        <f>IFERROR(INDEX(Firms!$A$5:$A$1004,MATCH(754,Firms!$W$5:$W$1004,0)),"")</f>
        <v/>
      </c>
    </row>
    <row r="759">
      <c r="O759" s="116">
        <f>IFERROR(INDEX(Firms!$A$5:$A$1004,MATCH(755,Firms!$W$5:$W$1004,0)),"")</f>
        <v/>
      </c>
    </row>
    <row r="760">
      <c r="O760" s="116">
        <f>IFERROR(INDEX(Firms!$A$5:$A$1004,MATCH(756,Firms!$W$5:$W$1004,0)),"")</f>
        <v/>
      </c>
    </row>
    <row r="761">
      <c r="O761" s="116">
        <f>IFERROR(INDEX(Firms!$A$5:$A$1004,MATCH(757,Firms!$W$5:$W$1004,0)),"")</f>
        <v/>
      </c>
    </row>
    <row r="762">
      <c r="O762" s="116">
        <f>IFERROR(INDEX(Firms!$A$5:$A$1004,MATCH(758,Firms!$W$5:$W$1004,0)),"")</f>
        <v/>
      </c>
    </row>
    <row r="763">
      <c r="O763" s="116">
        <f>IFERROR(INDEX(Firms!$A$5:$A$1004,MATCH(759,Firms!$W$5:$W$1004,0)),"")</f>
        <v/>
      </c>
    </row>
    <row r="764">
      <c r="O764" s="116">
        <f>IFERROR(INDEX(Firms!$A$5:$A$1004,MATCH(760,Firms!$W$5:$W$1004,0)),"")</f>
        <v/>
      </c>
    </row>
    <row r="765">
      <c r="O765" s="116">
        <f>IFERROR(INDEX(Firms!$A$5:$A$1004,MATCH(761,Firms!$W$5:$W$1004,0)),"")</f>
        <v/>
      </c>
    </row>
    <row r="766">
      <c r="O766" s="116">
        <f>IFERROR(INDEX(Firms!$A$5:$A$1004,MATCH(762,Firms!$W$5:$W$1004,0)),"")</f>
        <v/>
      </c>
    </row>
    <row r="767">
      <c r="O767" s="116">
        <f>IFERROR(INDEX(Firms!$A$5:$A$1004,MATCH(763,Firms!$W$5:$W$1004,0)),"")</f>
        <v/>
      </c>
    </row>
    <row r="768">
      <c r="O768" s="116">
        <f>IFERROR(INDEX(Firms!$A$5:$A$1004,MATCH(764,Firms!$W$5:$W$1004,0)),"")</f>
        <v/>
      </c>
    </row>
    <row r="769">
      <c r="O769" s="116">
        <f>IFERROR(INDEX(Firms!$A$5:$A$1004,MATCH(765,Firms!$W$5:$W$1004,0)),"")</f>
        <v/>
      </c>
    </row>
    <row r="770">
      <c r="O770" s="116">
        <f>IFERROR(INDEX(Firms!$A$5:$A$1004,MATCH(766,Firms!$W$5:$W$1004,0)),"")</f>
        <v/>
      </c>
    </row>
    <row r="771">
      <c r="O771" s="116">
        <f>IFERROR(INDEX(Firms!$A$5:$A$1004,MATCH(767,Firms!$W$5:$W$1004,0)),"")</f>
        <v/>
      </c>
    </row>
    <row r="772">
      <c r="O772" s="116">
        <f>IFERROR(INDEX(Firms!$A$5:$A$1004,MATCH(768,Firms!$W$5:$W$1004,0)),"")</f>
        <v/>
      </c>
    </row>
    <row r="773">
      <c r="O773" s="116">
        <f>IFERROR(INDEX(Firms!$A$5:$A$1004,MATCH(769,Firms!$W$5:$W$1004,0)),"")</f>
        <v/>
      </c>
    </row>
    <row r="774">
      <c r="O774" s="116">
        <f>IFERROR(INDEX(Firms!$A$5:$A$1004,MATCH(770,Firms!$W$5:$W$1004,0)),"")</f>
        <v/>
      </c>
    </row>
    <row r="775">
      <c r="O775" s="116">
        <f>IFERROR(INDEX(Firms!$A$5:$A$1004,MATCH(771,Firms!$W$5:$W$1004,0)),"")</f>
        <v/>
      </c>
    </row>
    <row r="776">
      <c r="O776" s="116">
        <f>IFERROR(INDEX(Firms!$A$5:$A$1004,MATCH(772,Firms!$W$5:$W$1004,0)),"")</f>
        <v/>
      </c>
    </row>
    <row r="777">
      <c r="O777" s="116">
        <f>IFERROR(INDEX(Firms!$A$5:$A$1004,MATCH(773,Firms!$W$5:$W$1004,0)),"")</f>
        <v/>
      </c>
    </row>
    <row r="778">
      <c r="O778" s="116">
        <f>IFERROR(INDEX(Firms!$A$5:$A$1004,MATCH(774,Firms!$W$5:$W$1004,0)),"")</f>
        <v/>
      </c>
    </row>
    <row r="779">
      <c r="O779" s="116">
        <f>IFERROR(INDEX(Firms!$A$5:$A$1004,MATCH(775,Firms!$W$5:$W$1004,0)),"")</f>
        <v/>
      </c>
    </row>
    <row r="780">
      <c r="O780" s="116">
        <f>IFERROR(INDEX(Firms!$A$5:$A$1004,MATCH(776,Firms!$W$5:$W$1004,0)),"")</f>
        <v/>
      </c>
    </row>
    <row r="781">
      <c r="O781" s="116">
        <f>IFERROR(INDEX(Firms!$A$5:$A$1004,MATCH(777,Firms!$W$5:$W$1004,0)),"")</f>
        <v/>
      </c>
    </row>
    <row r="782">
      <c r="O782" s="116">
        <f>IFERROR(INDEX(Firms!$A$5:$A$1004,MATCH(778,Firms!$W$5:$W$1004,0)),"")</f>
        <v/>
      </c>
    </row>
    <row r="783">
      <c r="O783" s="116">
        <f>IFERROR(INDEX(Firms!$A$5:$A$1004,MATCH(779,Firms!$W$5:$W$1004,0)),"")</f>
        <v/>
      </c>
    </row>
    <row r="784">
      <c r="O784" s="116">
        <f>IFERROR(INDEX(Firms!$A$5:$A$1004,MATCH(780,Firms!$W$5:$W$1004,0)),"")</f>
        <v/>
      </c>
    </row>
    <row r="785">
      <c r="O785" s="116">
        <f>IFERROR(INDEX(Firms!$A$5:$A$1004,MATCH(781,Firms!$W$5:$W$1004,0)),"")</f>
        <v/>
      </c>
    </row>
    <row r="786">
      <c r="O786" s="116">
        <f>IFERROR(INDEX(Firms!$A$5:$A$1004,MATCH(782,Firms!$W$5:$W$1004,0)),"")</f>
        <v/>
      </c>
    </row>
    <row r="787">
      <c r="O787" s="116">
        <f>IFERROR(INDEX(Firms!$A$5:$A$1004,MATCH(783,Firms!$W$5:$W$1004,0)),"")</f>
        <v/>
      </c>
    </row>
    <row r="788">
      <c r="O788" s="116">
        <f>IFERROR(INDEX(Firms!$A$5:$A$1004,MATCH(784,Firms!$W$5:$W$1004,0)),"")</f>
        <v/>
      </c>
    </row>
    <row r="789">
      <c r="O789" s="116">
        <f>IFERROR(INDEX(Firms!$A$5:$A$1004,MATCH(785,Firms!$W$5:$W$1004,0)),"")</f>
        <v/>
      </c>
    </row>
    <row r="790">
      <c r="O790" s="116">
        <f>IFERROR(INDEX(Firms!$A$5:$A$1004,MATCH(786,Firms!$W$5:$W$1004,0)),"")</f>
        <v/>
      </c>
    </row>
    <row r="791">
      <c r="O791" s="116">
        <f>IFERROR(INDEX(Firms!$A$5:$A$1004,MATCH(787,Firms!$W$5:$W$1004,0)),"")</f>
        <v/>
      </c>
    </row>
    <row r="792">
      <c r="O792" s="116">
        <f>IFERROR(INDEX(Firms!$A$5:$A$1004,MATCH(788,Firms!$W$5:$W$1004,0)),"")</f>
        <v/>
      </c>
    </row>
    <row r="793">
      <c r="O793" s="116">
        <f>IFERROR(INDEX(Firms!$A$5:$A$1004,MATCH(789,Firms!$W$5:$W$1004,0)),"")</f>
        <v/>
      </c>
    </row>
    <row r="794">
      <c r="O794" s="116">
        <f>IFERROR(INDEX(Firms!$A$5:$A$1004,MATCH(790,Firms!$W$5:$W$1004,0)),"")</f>
        <v/>
      </c>
    </row>
    <row r="795">
      <c r="O795" s="116">
        <f>IFERROR(INDEX(Firms!$A$5:$A$1004,MATCH(791,Firms!$W$5:$W$1004,0)),"")</f>
        <v/>
      </c>
    </row>
    <row r="796">
      <c r="O796" s="116">
        <f>IFERROR(INDEX(Firms!$A$5:$A$1004,MATCH(792,Firms!$W$5:$W$1004,0)),"")</f>
        <v/>
      </c>
    </row>
    <row r="797">
      <c r="O797" s="116">
        <f>IFERROR(INDEX(Firms!$A$5:$A$1004,MATCH(793,Firms!$W$5:$W$1004,0)),"")</f>
        <v/>
      </c>
    </row>
    <row r="798">
      <c r="O798" s="116">
        <f>IFERROR(INDEX(Firms!$A$5:$A$1004,MATCH(794,Firms!$W$5:$W$1004,0)),"")</f>
        <v/>
      </c>
    </row>
    <row r="799">
      <c r="O799" s="116">
        <f>IFERROR(INDEX(Firms!$A$5:$A$1004,MATCH(795,Firms!$W$5:$W$1004,0)),"")</f>
        <v/>
      </c>
    </row>
    <row r="800">
      <c r="O800" s="116">
        <f>IFERROR(INDEX(Firms!$A$5:$A$1004,MATCH(796,Firms!$W$5:$W$1004,0)),"")</f>
        <v/>
      </c>
    </row>
    <row r="801">
      <c r="O801" s="116">
        <f>IFERROR(INDEX(Firms!$A$5:$A$1004,MATCH(797,Firms!$W$5:$W$1004,0)),"")</f>
        <v/>
      </c>
    </row>
    <row r="802">
      <c r="O802" s="116">
        <f>IFERROR(INDEX(Firms!$A$5:$A$1004,MATCH(798,Firms!$W$5:$W$1004,0)),"")</f>
        <v/>
      </c>
    </row>
    <row r="803">
      <c r="O803" s="116">
        <f>IFERROR(INDEX(Firms!$A$5:$A$1004,MATCH(799,Firms!$W$5:$W$1004,0)),"")</f>
        <v/>
      </c>
    </row>
    <row r="804">
      <c r="O804" s="116">
        <f>IFERROR(INDEX(Firms!$A$5:$A$1004,MATCH(800,Firms!$W$5:$W$1004,0)),"")</f>
        <v/>
      </c>
    </row>
    <row r="805">
      <c r="O805" s="116">
        <f>IFERROR(INDEX(Firms!$A$5:$A$1004,MATCH(801,Firms!$W$5:$W$1004,0)),"")</f>
        <v/>
      </c>
    </row>
    <row r="806">
      <c r="O806" s="116">
        <f>IFERROR(INDEX(Firms!$A$5:$A$1004,MATCH(802,Firms!$W$5:$W$1004,0)),"")</f>
        <v/>
      </c>
    </row>
    <row r="807">
      <c r="O807" s="116">
        <f>IFERROR(INDEX(Firms!$A$5:$A$1004,MATCH(803,Firms!$W$5:$W$1004,0)),"")</f>
        <v/>
      </c>
    </row>
    <row r="808">
      <c r="O808" s="116">
        <f>IFERROR(INDEX(Firms!$A$5:$A$1004,MATCH(804,Firms!$W$5:$W$1004,0)),"")</f>
        <v/>
      </c>
    </row>
    <row r="809">
      <c r="O809" s="116">
        <f>IFERROR(INDEX(Firms!$A$5:$A$1004,MATCH(805,Firms!$W$5:$W$1004,0)),"")</f>
        <v/>
      </c>
    </row>
    <row r="810">
      <c r="O810" s="116">
        <f>IFERROR(INDEX(Firms!$A$5:$A$1004,MATCH(806,Firms!$W$5:$W$1004,0)),"")</f>
        <v/>
      </c>
    </row>
    <row r="811">
      <c r="O811" s="116">
        <f>IFERROR(INDEX(Firms!$A$5:$A$1004,MATCH(807,Firms!$W$5:$W$1004,0)),"")</f>
        <v/>
      </c>
    </row>
    <row r="812">
      <c r="O812" s="116">
        <f>IFERROR(INDEX(Firms!$A$5:$A$1004,MATCH(808,Firms!$W$5:$W$1004,0)),"")</f>
        <v/>
      </c>
    </row>
    <row r="813">
      <c r="O813" s="116">
        <f>IFERROR(INDEX(Firms!$A$5:$A$1004,MATCH(809,Firms!$W$5:$W$1004,0)),"")</f>
        <v/>
      </c>
    </row>
    <row r="814">
      <c r="O814" s="116">
        <f>IFERROR(INDEX(Firms!$A$5:$A$1004,MATCH(810,Firms!$W$5:$W$1004,0)),"")</f>
        <v/>
      </c>
    </row>
    <row r="815">
      <c r="O815" s="116">
        <f>IFERROR(INDEX(Firms!$A$5:$A$1004,MATCH(811,Firms!$W$5:$W$1004,0)),"")</f>
        <v/>
      </c>
    </row>
    <row r="816">
      <c r="O816" s="116">
        <f>IFERROR(INDEX(Firms!$A$5:$A$1004,MATCH(812,Firms!$W$5:$W$1004,0)),"")</f>
        <v/>
      </c>
    </row>
    <row r="817">
      <c r="O817" s="116">
        <f>IFERROR(INDEX(Firms!$A$5:$A$1004,MATCH(813,Firms!$W$5:$W$1004,0)),"")</f>
        <v/>
      </c>
    </row>
    <row r="818">
      <c r="O818" s="116">
        <f>IFERROR(INDEX(Firms!$A$5:$A$1004,MATCH(814,Firms!$W$5:$W$1004,0)),"")</f>
        <v/>
      </c>
    </row>
    <row r="819">
      <c r="O819" s="116">
        <f>IFERROR(INDEX(Firms!$A$5:$A$1004,MATCH(815,Firms!$W$5:$W$1004,0)),"")</f>
        <v/>
      </c>
    </row>
    <row r="820">
      <c r="O820" s="116">
        <f>IFERROR(INDEX(Firms!$A$5:$A$1004,MATCH(816,Firms!$W$5:$W$1004,0)),"")</f>
        <v/>
      </c>
    </row>
    <row r="821">
      <c r="O821" s="116">
        <f>IFERROR(INDEX(Firms!$A$5:$A$1004,MATCH(817,Firms!$W$5:$W$1004,0)),"")</f>
        <v/>
      </c>
    </row>
    <row r="822">
      <c r="O822" s="116">
        <f>IFERROR(INDEX(Firms!$A$5:$A$1004,MATCH(818,Firms!$W$5:$W$1004,0)),"")</f>
        <v/>
      </c>
    </row>
    <row r="823">
      <c r="O823" s="116">
        <f>IFERROR(INDEX(Firms!$A$5:$A$1004,MATCH(819,Firms!$W$5:$W$1004,0)),"")</f>
        <v/>
      </c>
    </row>
    <row r="824">
      <c r="O824" s="116">
        <f>IFERROR(INDEX(Firms!$A$5:$A$1004,MATCH(820,Firms!$W$5:$W$1004,0)),"")</f>
        <v/>
      </c>
    </row>
    <row r="825">
      <c r="O825" s="116">
        <f>IFERROR(INDEX(Firms!$A$5:$A$1004,MATCH(821,Firms!$W$5:$W$1004,0)),"")</f>
        <v/>
      </c>
    </row>
    <row r="826">
      <c r="O826" s="116">
        <f>IFERROR(INDEX(Firms!$A$5:$A$1004,MATCH(822,Firms!$W$5:$W$1004,0)),"")</f>
        <v/>
      </c>
    </row>
    <row r="827">
      <c r="O827" s="116">
        <f>IFERROR(INDEX(Firms!$A$5:$A$1004,MATCH(823,Firms!$W$5:$W$1004,0)),"")</f>
        <v/>
      </c>
    </row>
    <row r="828">
      <c r="O828" s="116">
        <f>IFERROR(INDEX(Firms!$A$5:$A$1004,MATCH(824,Firms!$W$5:$W$1004,0)),"")</f>
        <v/>
      </c>
    </row>
    <row r="829">
      <c r="O829" s="116">
        <f>IFERROR(INDEX(Firms!$A$5:$A$1004,MATCH(825,Firms!$W$5:$W$1004,0)),"")</f>
        <v/>
      </c>
    </row>
    <row r="830">
      <c r="O830" s="116">
        <f>IFERROR(INDEX(Firms!$A$5:$A$1004,MATCH(826,Firms!$W$5:$W$1004,0)),"")</f>
        <v/>
      </c>
    </row>
    <row r="831">
      <c r="O831" s="116">
        <f>IFERROR(INDEX(Firms!$A$5:$A$1004,MATCH(827,Firms!$W$5:$W$1004,0)),"")</f>
        <v/>
      </c>
    </row>
    <row r="832">
      <c r="O832" s="116">
        <f>IFERROR(INDEX(Firms!$A$5:$A$1004,MATCH(828,Firms!$W$5:$W$1004,0)),"")</f>
        <v/>
      </c>
    </row>
    <row r="833">
      <c r="O833" s="116">
        <f>IFERROR(INDEX(Firms!$A$5:$A$1004,MATCH(829,Firms!$W$5:$W$1004,0)),"")</f>
        <v/>
      </c>
    </row>
    <row r="834">
      <c r="O834" s="116">
        <f>IFERROR(INDEX(Firms!$A$5:$A$1004,MATCH(830,Firms!$W$5:$W$1004,0)),"")</f>
        <v/>
      </c>
    </row>
    <row r="835">
      <c r="O835" s="116">
        <f>IFERROR(INDEX(Firms!$A$5:$A$1004,MATCH(831,Firms!$W$5:$W$1004,0)),"")</f>
        <v/>
      </c>
    </row>
    <row r="836">
      <c r="O836" s="116">
        <f>IFERROR(INDEX(Firms!$A$5:$A$1004,MATCH(832,Firms!$W$5:$W$1004,0)),"")</f>
        <v/>
      </c>
    </row>
    <row r="837">
      <c r="O837" s="116">
        <f>IFERROR(INDEX(Firms!$A$5:$A$1004,MATCH(833,Firms!$W$5:$W$1004,0)),"")</f>
        <v/>
      </c>
    </row>
    <row r="838">
      <c r="O838" s="116">
        <f>IFERROR(INDEX(Firms!$A$5:$A$1004,MATCH(834,Firms!$W$5:$W$1004,0)),"")</f>
        <v/>
      </c>
    </row>
    <row r="839">
      <c r="O839" s="116">
        <f>IFERROR(INDEX(Firms!$A$5:$A$1004,MATCH(835,Firms!$W$5:$W$1004,0)),"")</f>
        <v/>
      </c>
    </row>
    <row r="840">
      <c r="O840" s="116">
        <f>IFERROR(INDEX(Firms!$A$5:$A$1004,MATCH(836,Firms!$W$5:$W$1004,0)),"")</f>
        <v/>
      </c>
    </row>
    <row r="841">
      <c r="O841" s="116">
        <f>IFERROR(INDEX(Firms!$A$5:$A$1004,MATCH(837,Firms!$W$5:$W$1004,0)),"")</f>
        <v/>
      </c>
    </row>
    <row r="842">
      <c r="O842" s="116">
        <f>IFERROR(INDEX(Firms!$A$5:$A$1004,MATCH(838,Firms!$W$5:$W$1004,0)),"")</f>
        <v/>
      </c>
    </row>
    <row r="843">
      <c r="O843" s="116">
        <f>IFERROR(INDEX(Firms!$A$5:$A$1004,MATCH(839,Firms!$W$5:$W$1004,0)),"")</f>
        <v/>
      </c>
    </row>
    <row r="844">
      <c r="O844" s="116">
        <f>IFERROR(INDEX(Firms!$A$5:$A$1004,MATCH(840,Firms!$W$5:$W$1004,0)),"")</f>
        <v/>
      </c>
    </row>
    <row r="845">
      <c r="O845" s="116">
        <f>IFERROR(INDEX(Firms!$A$5:$A$1004,MATCH(841,Firms!$W$5:$W$1004,0)),"")</f>
        <v/>
      </c>
    </row>
    <row r="846">
      <c r="O846" s="116">
        <f>IFERROR(INDEX(Firms!$A$5:$A$1004,MATCH(842,Firms!$W$5:$W$1004,0)),"")</f>
        <v/>
      </c>
    </row>
    <row r="847">
      <c r="O847" s="116">
        <f>IFERROR(INDEX(Firms!$A$5:$A$1004,MATCH(843,Firms!$W$5:$W$1004,0)),"")</f>
        <v/>
      </c>
    </row>
    <row r="848">
      <c r="O848" s="116">
        <f>IFERROR(INDEX(Firms!$A$5:$A$1004,MATCH(844,Firms!$W$5:$W$1004,0)),"")</f>
        <v/>
      </c>
    </row>
    <row r="849">
      <c r="O849" s="116">
        <f>IFERROR(INDEX(Firms!$A$5:$A$1004,MATCH(845,Firms!$W$5:$W$1004,0)),"")</f>
        <v/>
      </c>
    </row>
    <row r="850">
      <c r="O850" s="116">
        <f>IFERROR(INDEX(Firms!$A$5:$A$1004,MATCH(846,Firms!$W$5:$W$1004,0)),"")</f>
        <v/>
      </c>
    </row>
    <row r="851">
      <c r="O851" s="116">
        <f>IFERROR(INDEX(Firms!$A$5:$A$1004,MATCH(847,Firms!$W$5:$W$1004,0)),"")</f>
        <v/>
      </c>
    </row>
    <row r="852">
      <c r="O852" s="116">
        <f>IFERROR(INDEX(Firms!$A$5:$A$1004,MATCH(848,Firms!$W$5:$W$1004,0)),"")</f>
        <v/>
      </c>
    </row>
    <row r="853">
      <c r="O853" s="116">
        <f>IFERROR(INDEX(Firms!$A$5:$A$1004,MATCH(849,Firms!$W$5:$W$1004,0)),"")</f>
        <v/>
      </c>
    </row>
    <row r="854">
      <c r="O854" s="116">
        <f>IFERROR(INDEX(Firms!$A$5:$A$1004,MATCH(850,Firms!$W$5:$W$1004,0)),"")</f>
        <v/>
      </c>
    </row>
    <row r="855">
      <c r="O855" s="116">
        <f>IFERROR(INDEX(Firms!$A$5:$A$1004,MATCH(851,Firms!$W$5:$W$1004,0)),"")</f>
        <v/>
      </c>
    </row>
    <row r="856">
      <c r="O856" s="116">
        <f>IFERROR(INDEX(Firms!$A$5:$A$1004,MATCH(852,Firms!$W$5:$W$1004,0)),"")</f>
        <v/>
      </c>
    </row>
    <row r="857">
      <c r="O857" s="116">
        <f>IFERROR(INDEX(Firms!$A$5:$A$1004,MATCH(853,Firms!$W$5:$W$1004,0)),"")</f>
        <v/>
      </c>
    </row>
    <row r="858">
      <c r="O858" s="116">
        <f>IFERROR(INDEX(Firms!$A$5:$A$1004,MATCH(854,Firms!$W$5:$W$1004,0)),"")</f>
        <v/>
      </c>
    </row>
    <row r="859">
      <c r="O859" s="116">
        <f>IFERROR(INDEX(Firms!$A$5:$A$1004,MATCH(855,Firms!$W$5:$W$1004,0)),"")</f>
        <v/>
      </c>
    </row>
    <row r="860">
      <c r="O860" s="116">
        <f>IFERROR(INDEX(Firms!$A$5:$A$1004,MATCH(856,Firms!$W$5:$W$1004,0)),"")</f>
        <v/>
      </c>
    </row>
    <row r="861">
      <c r="O861" s="116">
        <f>IFERROR(INDEX(Firms!$A$5:$A$1004,MATCH(857,Firms!$W$5:$W$1004,0)),"")</f>
        <v/>
      </c>
    </row>
    <row r="862">
      <c r="O862" s="116">
        <f>IFERROR(INDEX(Firms!$A$5:$A$1004,MATCH(858,Firms!$W$5:$W$1004,0)),"")</f>
        <v/>
      </c>
    </row>
    <row r="863">
      <c r="O863" s="116">
        <f>IFERROR(INDEX(Firms!$A$5:$A$1004,MATCH(859,Firms!$W$5:$W$1004,0)),"")</f>
        <v/>
      </c>
    </row>
    <row r="864">
      <c r="O864" s="116">
        <f>IFERROR(INDEX(Firms!$A$5:$A$1004,MATCH(860,Firms!$W$5:$W$1004,0)),"")</f>
        <v/>
      </c>
    </row>
    <row r="865">
      <c r="O865" s="116">
        <f>IFERROR(INDEX(Firms!$A$5:$A$1004,MATCH(861,Firms!$W$5:$W$1004,0)),"")</f>
        <v/>
      </c>
    </row>
    <row r="866">
      <c r="O866" s="116">
        <f>IFERROR(INDEX(Firms!$A$5:$A$1004,MATCH(862,Firms!$W$5:$W$1004,0)),"")</f>
        <v/>
      </c>
    </row>
    <row r="867">
      <c r="O867" s="116">
        <f>IFERROR(INDEX(Firms!$A$5:$A$1004,MATCH(863,Firms!$W$5:$W$1004,0)),"")</f>
        <v/>
      </c>
    </row>
    <row r="868">
      <c r="O868" s="116">
        <f>IFERROR(INDEX(Firms!$A$5:$A$1004,MATCH(864,Firms!$W$5:$W$1004,0)),"")</f>
        <v/>
      </c>
    </row>
    <row r="869">
      <c r="O869" s="116">
        <f>IFERROR(INDEX(Firms!$A$5:$A$1004,MATCH(865,Firms!$W$5:$W$1004,0)),"")</f>
        <v/>
      </c>
    </row>
    <row r="870">
      <c r="O870" s="116">
        <f>IFERROR(INDEX(Firms!$A$5:$A$1004,MATCH(866,Firms!$W$5:$W$1004,0)),"")</f>
        <v/>
      </c>
    </row>
    <row r="871">
      <c r="O871" s="116">
        <f>IFERROR(INDEX(Firms!$A$5:$A$1004,MATCH(867,Firms!$W$5:$W$1004,0)),"")</f>
        <v/>
      </c>
    </row>
    <row r="872">
      <c r="O872" s="116">
        <f>IFERROR(INDEX(Firms!$A$5:$A$1004,MATCH(868,Firms!$W$5:$W$1004,0)),"")</f>
        <v/>
      </c>
    </row>
    <row r="873">
      <c r="O873" s="116">
        <f>IFERROR(INDEX(Firms!$A$5:$A$1004,MATCH(869,Firms!$W$5:$W$1004,0)),"")</f>
        <v/>
      </c>
    </row>
    <row r="874">
      <c r="O874" s="116">
        <f>IFERROR(INDEX(Firms!$A$5:$A$1004,MATCH(870,Firms!$W$5:$W$1004,0)),"")</f>
        <v/>
      </c>
    </row>
    <row r="875">
      <c r="O875" s="116">
        <f>IFERROR(INDEX(Firms!$A$5:$A$1004,MATCH(871,Firms!$W$5:$W$1004,0)),"")</f>
        <v/>
      </c>
    </row>
    <row r="876">
      <c r="O876" s="116">
        <f>IFERROR(INDEX(Firms!$A$5:$A$1004,MATCH(872,Firms!$W$5:$W$1004,0)),"")</f>
        <v/>
      </c>
    </row>
    <row r="877">
      <c r="O877" s="116">
        <f>IFERROR(INDEX(Firms!$A$5:$A$1004,MATCH(873,Firms!$W$5:$W$1004,0)),"")</f>
        <v/>
      </c>
    </row>
    <row r="878">
      <c r="O878" s="116">
        <f>IFERROR(INDEX(Firms!$A$5:$A$1004,MATCH(874,Firms!$W$5:$W$1004,0)),"")</f>
        <v/>
      </c>
    </row>
    <row r="879">
      <c r="O879" s="116">
        <f>IFERROR(INDEX(Firms!$A$5:$A$1004,MATCH(875,Firms!$W$5:$W$1004,0)),"")</f>
        <v/>
      </c>
    </row>
    <row r="880">
      <c r="O880" s="116">
        <f>IFERROR(INDEX(Firms!$A$5:$A$1004,MATCH(876,Firms!$W$5:$W$1004,0)),"")</f>
        <v/>
      </c>
    </row>
    <row r="881">
      <c r="O881" s="116">
        <f>IFERROR(INDEX(Firms!$A$5:$A$1004,MATCH(877,Firms!$W$5:$W$1004,0)),"")</f>
        <v/>
      </c>
    </row>
    <row r="882">
      <c r="O882" s="116">
        <f>IFERROR(INDEX(Firms!$A$5:$A$1004,MATCH(878,Firms!$W$5:$W$1004,0)),"")</f>
        <v/>
      </c>
    </row>
    <row r="883">
      <c r="O883" s="116">
        <f>IFERROR(INDEX(Firms!$A$5:$A$1004,MATCH(879,Firms!$W$5:$W$1004,0)),"")</f>
        <v/>
      </c>
    </row>
    <row r="884">
      <c r="O884" s="116">
        <f>IFERROR(INDEX(Firms!$A$5:$A$1004,MATCH(880,Firms!$W$5:$W$1004,0)),"")</f>
        <v/>
      </c>
    </row>
    <row r="885">
      <c r="O885" s="116">
        <f>IFERROR(INDEX(Firms!$A$5:$A$1004,MATCH(881,Firms!$W$5:$W$1004,0)),"")</f>
        <v/>
      </c>
    </row>
    <row r="886">
      <c r="O886" s="116">
        <f>IFERROR(INDEX(Firms!$A$5:$A$1004,MATCH(882,Firms!$W$5:$W$1004,0)),"")</f>
        <v/>
      </c>
    </row>
    <row r="887">
      <c r="O887" s="116">
        <f>IFERROR(INDEX(Firms!$A$5:$A$1004,MATCH(883,Firms!$W$5:$W$1004,0)),"")</f>
        <v/>
      </c>
    </row>
    <row r="888">
      <c r="O888" s="116">
        <f>IFERROR(INDEX(Firms!$A$5:$A$1004,MATCH(884,Firms!$W$5:$W$1004,0)),"")</f>
        <v/>
      </c>
    </row>
    <row r="889">
      <c r="O889" s="116">
        <f>IFERROR(INDEX(Firms!$A$5:$A$1004,MATCH(885,Firms!$W$5:$W$1004,0)),"")</f>
        <v/>
      </c>
    </row>
    <row r="890">
      <c r="O890" s="116">
        <f>IFERROR(INDEX(Firms!$A$5:$A$1004,MATCH(886,Firms!$W$5:$W$1004,0)),"")</f>
        <v/>
      </c>
    </row>
    <row r="891">
      <c r="O891" s="116">
        <f>IFERROR(INDEX(Firms!$A$5:$A$1004,MATCH(887,Firms!$W$5:$W$1004,0)),"")</f>
        <v/>
      </c>
    </row>
    <row r="892">
      <c r="O892" s="116">
        <f>IFERROR(INDEX(Firms!$A$5:$A$1004,MATCH(888,Firms!$W$5:$W$1004,0)),"")</f>
        <v/>
      </c>
    </row>
    <row r="893">
      <c r="O893" s="116">
        <f>IFERROR(INDEX(Firms!$A$5:$A$1004,MATCH(889,Firms!$W$5:$W$1004,0)),"")</f>
        <v/>
      </c>
    </row>
    <row r="894">
      <c r="O894" s="116">
        <f>IFERROR(INDEX(Firms!$A$5:$A$1004,MATCH(890,Firms!$W$5:$W$1004,0)),"")</f>
        <v/>
      </c>
    </row>
    <row r="895">
      <c r="O895" s="116">
        <f>IFERROR(INDEX(Firms!$A$5:$A$1004,MATCH(891,Firms!$W$5:$W$1004,0)),"")</f>
        <v/>
      </c>
    </row>
    <row r="896">
      <c r="O896" s="116">
        <f>IFERROR(INDEX(Firms!$A$5:$A$1004,MATCH(892,Firms!$W$5:$W$1004,0)),"")</f>
        <v/>
      </c>
    </row>
    <row r="897">
      <c r="O897" s="116">
        <f>IFERROR(INDEX(Firms!$A$5:$A$1004,MATCH(893,Firms!$W$5:$W$1004,0)),"")</f>
        <v/>
      </c>
    </row>
    <row r="898">
      <c r="O898" s="116">
        <f>IFERROR(INDEX(Firms!$A$5:$A$1004,MATCH(894,Firms!$W$5:$W$1004,0)),"")</f>
        <v/>
      </c>
    </row>
    <row r="899">
      <c r="O899" s="116">
        <f>IFERROR(INDEX(Firms!$A$5:$A$1004,MATCH(895,Firms!$W$5:$W$1004,0)),"")</f>
        <v/>
      </c>
    </row>
    <row r="900">
      <c r="O900" s="116">
        <f>IFERROR(INDEX(Firms!$A$5:$A$1004,MATCH(896,Firms!$W$5:$W$1004,0)),"")</f>
        <v/>
      </c>
    </row>
    <row r="901">
      <c r="O901" s="116">
        <f>IFERROR(INDEX(Firms!$A$5:$A$1004,MATCH(897,Firms!$W$5:$W$1004,0)),"")</f>
        <v/>
      </c>
    </row>
    <row r="902">
      <c r="O902" s="116">
        <f>IFERROR(INDEX(Firms!$A$5:$A$1004,MATCH(898,Firms!$W$5:$W$1004,0)),"")</f>
        <v/>
      </c>
    </row>
    <row r="903">
      <c r="O903" s="116">
        <f>IFERROR(INDEX(Firms!$A$5:$A$1004,MATCH(899,Firms!$W$5:$W$1004,0)),"")</f>
        <v/>
      </c>
    </row>
    <row r="904">
      <c r="O904" s="116">
        <f>IFERROR(INDEX(Firms!$A$5:$A$1004,MATCH(900,Firms!$W$5:$W$1004,0)),"")</f>
        <v/>
      </c>
    </row>
    <row r="905">
      <c r="O905" s="116">
        <f>IFERROR(INDEX(Firms!$A$5:$A$1004,MATCH(901,Firms!$W$5:$W$1004,0)),"")</f>
        <v/>
      </c>
    </row>
    <row r="906">
      <c r="O906" s="116">
        <f>IFERROR(INDEX(Firms!$A$5:$A$1004,MATCH(902,Firms!$W$5:$W$1004,0)),"")</f>
        <v/>
      </c>
    </row>
    <row r="907">
      <c r="O907" s="116">
        <f>IFERROR(INDEX(Firms!$A$5:$A$1004,MATCH(903,Firms!$W$5:$W$1004,0)),"")</f>
        <v/>
      </c>
    </row>
    <row r="908">
      <c r="O908" s="116">
        <f>IFERROR(INDEX(Firms!$A$5:$A$1004,MATCH(904,Firms!$W$5:$W$1004,0)),"")</f>
        <v/>
      </c>
    </row>
    <row r="909">
      <c r="O909" s="116">
        <f>IFERROR(INDEX(Firms!$A$5:$A$1004,MATCH(905,Firms!$W$5:$W$1004,0)),"")</f>
        <v/>
      </c>
    </row>
    <row r="910">
      <c r="O910" s="116">
        <f>IFERROR(INDEX(Firms!$A$5:$A$1004,MATCH(906,Firms!$W$5:$W$1004,0)),"")</f>
        <v/>
      </c>
    </row>
    <row r="911">
      <c r="O911" s="116">
        <f>IFERROR(INDEX(Firms!$A$5:$A$1004,MATCH(907,Firms!$W$5:$W$1004,0)),"")</f>
        <v/>
      </c>
    </row>
    <row r="912">
      <c r="O912" s="116">
        <f>IFERROR(INDEX(Firms!$A$5:$A$1004,MATCH(908,Firms!$W$5:$W$1004,0)),"")</f>
        <v/>
      </c>
    </row>
    <row r="913">
      <c r="O913" s="116">
        <f>IFERROR(INDEX(Firms!$A$5:$A$1004,MATCH(909,Firms!$W$5:$W$1004,0)),"")</f>
        <v/>
      </c>
    </row>
    <row r="914">
      <c r="O914" s="116">
        <f>IFERROR(INDEX(Firms!$A$5:$A$1004,MATCH(910,Firms!$W$5:$W$1004,0)),"")</f>
        <v/>
      </c>
    </row>
    <row r="915">
      <c r="O915" s="116">
        <f>IFERROR(INDEX(Firms!$A$5:$A$1004,MATCH(911,Firms!$W$5:$W$1004,0)),"")</f>
        <v/>
      </c>
    </row>
    <row r="916">
      <c r="O916" s="116">
        <f>IFERROR(INDEX(Firms!$A$5:$A$1004,MATCH(912,Firms!$W$5:$W$1004,0)),"")</f>
        <v/>
      </c>
    </row>
    <row r="917">
      <c r="O917" s="116">
        <f>IFERROR(INDEX(Firms!$A$5:$A$1004,MATCH(913,Firms!$W$5:$W$1004,0)),"")</f>
        <v/>
      </c>
    </row>
    <row r="918">
      <c r="O918" s="116">
        <f>IFERROR(INDEX(Firms!$A$5:$A$1004,MATCH(914,Firms!$W$5:$W$1004,0)),"")</f>
        <v/>
      </c>
    </row>
    <row r="919">
      <c r="O919" s="116">
        <f>IFERROR(INDEX(Firms!$A$5:$A$1004,MATCH(915,Firms!$W$5:$W$1004,0)),"")</f>
        <v/>
      </c>
    </row>
    <row r="920">
      <c r="O920" s="116">
        <f>IFERROR(INDEX(Firms!$A$5:$A$1004,MATCH(916,Firms!$W$5:$W$1004,0)),"")</f>
        <v/>
      </c>
    </row>
    <row r="921">
      <c r="O921" s="116">
        <f>IFERROR(INDEX(Firms!$A$5:$A$1004,MATCH(917,Firms!$W$5:$W$1004,0)),"")</f>
        <v/>
      </c>
    </row>
    <row r="922">
      <c r="O922" s="116">
        <f>IFERROR(INDEX(Firms!$A$5:$A$1004,MATCH(918,Firms!$W$5:$W$1004,0)),"")</f>
        <v/>
      </c>
    </row>
    <row r="923">
      <c r="O923" s="116">
        <f>IFERROR(INDEX(Firms!$A$5:$A$1004,MATCH(919,Firms!$W$5:$W$1004,0)),"")</f>
        <v/>
      </c>
    </row>
    <row r="924">
      <c r="O924" s="116">
        <f>IFERROR(INDEX(Firms!$A$5:$A$1004,MATCH(920,Firms!$W$5:$W$1004,0)),"")</f>
        <v/>
      </c>
    </row>
    <row r="925">
      <c r="O925" s="116">
        <f>IFERROR(INDEX(Firms!$A$5:$A$1004,MATCH(921,Firms!$W$5:$W$1004,0)),"")</f>
        <v/>
      </c>
    </row>
    <row r="926">
      <c r="O926" s="116">
        <f>IFERROR(INDEX(Firms!$A$5:$A$1004,MATCH(922,Firms!$W$5:$W$1004,0)),"")</f>
        <v/>
      </c>
    </row>
    <row r="927">
      <c r="O927" s="116">
        <f>IFERROR(INDEX(Firms!$A$5:$A$1004,MATCH(923,Firms!$W$5:$W$1004,0)),"")</f>
        <v/>
      </c>
    </row>
    <row r="928">
      <c r="O928" s="116">
        <f>IFERROR(INDEX(Firms!$A$5:$A$1004,MATCH(924,Firms!$W$5:$W$1004,0)),"")</f>
        <v/>
      </c>
    </row>
    <row r="929">
      <c r="O929" s="116">
        <f>IFERROR(INDEX(Firms!$A$5:$A$1004,MATCH(925,Firms!$W$5:$W$1004,0)),"")</f>
        <v/>
      </c>
    </row>
    <row r="930">
      <c r="O930" s="116">
        <f>IFERROR(INDEX(Firms!$A$5:$A$1004,MATCH(926,Firms!$W$5:$W$1004,0)),"")</f>
        <v/>
      </c>
    </row>
    <row r="931">
      <c r="O931" s="116">
        <f>IFERROR(INDEX(Firms!$A$5:$A$1004,MATCH(927,Firms!$W$5:$W$1004,0)),"")</f>
        <v/>
      </c>
    </row>
    <row r="932">
      <c r="O932" s="116">
        <f>IFERROR(INDEX(Firms!$A$5:$A$1004,MATCH(928,Firms!$W$5:$W$1004,0)),"")</f>
        <v/>
      </c>
    </row>
    <row r="933">
      <c r="O933" s="116">
        <f>IFERROR(INDEX(Firms!$A$5:$A$1004,MATCH(929,Firms!$W$5:$W$1004,0)),"")</f>
        <v/>
      </c>
    </row>
    <row r="934">
      <c r="O934" s="116">
        <f>IFERROR(INDEX(Firms!$A$5:$A$1004,MATCH(930,Firms!$W$5:$W$1004,0)),"")</f>
        <v/>
      </c>
    </row>
    <row r="935">
      <c r="O935" s="116">
        <f>IFERROR(INDEX(Firms!$A$5:$A$1004,MATCH(931,Firms!$W$5:$W$1004,0)),"")</f>
        <v/>
      </c>
    </row>
    <row r="936">
      <c r="O936" s="116">
        <f>IFERROR(INDEX(Firms!$A$5:$A$1004,MATCH(932,Firms!$W$5:$W$1004,0)),"")</f>
        <v/>
      </c>
    </row>
    <row r="937">
      <c r="O937" s="116">
        <f>IFERROR(INDEX(Firms!$A$5:$A$1004,MATCH(933,Firms!$W$5:$W$1004,0)),"")</f>
        <v/>
      </c>
    </row>
    <row r="938">
      <c r="O938" s="116">
        <f>IFERROR(INDEX(Firms!$A$5:$A$1004,MATCH(934,Firms!$W$5:$W$1004,0)),"")</f>
        <v/>
      </c>
    </row>
    <row r="939">
      <c r="O939" s="116">
        <f>IFERROR(INDEX(Firms!$A$5:$A$1004,MATCH(935,Firms!$W$5:$W$1004,0)),"")</f>
        <v/>
      </c>
    </row>
    <row r="940">
      <c r="O940" s="116">
        <f>IFERROR(INDEX(Firms!$A$5:$A$1004,MATCH(936,Firms!$W$5:$W$1004,0)),"")</f>
        <v/>
      </c>
    </row>
    <row r="941">
      <c r="O941" s="116">
        <f>IFERROR(INDEX(Firms!$A$5:$A$1004,MATCH(937,Firms!$W$5:$W$1004,0)),"")</f>
        <v/>
      </c>
    </row>
    <row r="942">
      <c r="O942" s="116">
        <f>IFERROR(INDEX(Firms!$A$5:$A$1004,MATCH(938,Firms!$W$5:$W$1004,0)),"")</f>
        <v/>
      </c>
    </row>
    <row r="943">
      <c r="O943" s="116">
        <f>IFERROR(INDEX(Firms!$A$5:$A$1004,MATCH(939,Firms!$W$5:$W$1004,0)),"")</f>
        <v/>
      </c>
    </row>
    <row r="944">
      <c r="O944" s="116">
        <f>IFERROR(INDEX(Firms!$A$5:$A$1004,MATCH(940,Firms!$W$5:$W$1004,0)),"")</f>
        <v/>
      </c>
    </row>
    <row r="945">
      <c r="O945" s="116">
        <f>IFERROR(INDEX(Firms!$A$5:$A$1004,MATCH(941,Firms!$W$5:$W$1004,0)),"")</f>
        <v/>
      </c>
    </row>
    <row r="946">
      <c r="O946" s="116">
        <f>IFERROR(INDEX(Firms!$A$5:$A$1004,MATCH(942,Firms!$W$5:$W$1004,0)),"")</f>
        <v/>
      </c>
    </row>
    <row r="947">
      <c r="O947" s="116">
        <f>IFERROR(INDEX(Firms!$A$5:$A$1004,MATCH(943,Firms!$W$5:$W$1004,0)),"")</f>
        <v/>
      </c>
    </row>
    <row r="948">
      <c r="O948" s="116">
        <f>IFERROR(INDEX(Firms!$A$5:$A$1004,MATCH(944,Firms!$W$5:$W$1004,0)),"")</f>
        <v/>
      </c>
    </row>
    <row r="949">
      <c r="O949" s="116">
        <f>IFERROR(INDEX(Firms!$A$5:$A$1004,MATCH(945,Firms!$W$5:$W$1004,0)),"")</f>
        <v/>
      </c>
    </row>
    <row r="950">
      <c r="O950" s="116">
        <f>IFERROR(INDEX(Firms!$A$5:$A$1004,MATCH(946,Firms!$W$5:$W$1004,0)),"")</f>
        <v/>
      </c>
    </row>
    <row r="951">
      <c r="O951" s="116">
        <f>IFERROR(INDEX(Firms!$A$5:$A$1004,MATCH(947,Firms!$W$5:$W$1004,0)),"")</f>
        <v/>
      </c>
    </row>
    <row r="952">
      <c r="O952" s="116">
        <f>IFERROR(INDEX(Firms!$A$5:$A$1004,MATCH(948,Firms!$W$5:$W$1004,0)),"")</f>
        <v/>
      </c>
    </row>
    <row r="953">
      <c r="O953" s="116">
        <f>IFERROR(INDEX(Firms!$A$5:$A$1004,MATCH(949,Firms!$W$5:$W$1004,0)),"")</f>
        <v/>
      </c>
    </row>
    <row r="954">
      <c r="O954" s="116">
        <f>IFERROR(INDEX(Firms!$A$5:$A$1004,MATCH(950,Firms!$W$5:$W$1004,0)),"")</f>
        <v/>
      </c>
    </row>
    <row r="955">
      <c r="O955" s="116">
        <f>IFERROR(INDEX(Firms!$A$5:$A$1004,MATCH(951,Firms!$W$5:$W$1004,0)),"")</f>
        <v/>
      </c>
    </row>
    <row r="956">
      <c r="O956" s="116">
        <f>IFERROR(INDEX(Firms!$A$5:$A$1004,MATCH(952,Firms!$W$5:$W$1004,0)),"")</f>
        <v/>
      </c>
    </row>
    <row r="957">
      <c r="O957" s="116">
        <f>IFERROR(INDEX(Firms!$A$5:$A$1004,MATCH(953,Firms!$W$5:$W$1004,0)),"")</f>
        <v/>
      </c>
    </row>
    <row r="958">
      <c r="O958" s="116">
        <f>IFERROR(INDEX(Firms!$A$5:$A$1004,MATCH(954,Firms!$W$5:$W$1004,0)),"")</f>
        <v/>
      </c>
    </row>
    <row r="959">
      <c r="O959" s="116">
        <f>IFERROR(INDEX(Firms!$A$5:$A$1004,MATCH(955,Firms!$W$5:$W$1004,0)),"")</f>
        <v/>
      </c>
    </row>
    <row r="960">
      <c r="O960" s="116">
        <f>IFERROR(INDEX(Firms!$A$5:$A$1004,MATCH(956,Firms!$W$5:$W$1004,0)),"")</f>
        <v/>
      </c>
    </row>
    <row r="961">
      <c r="O961" s="116">
        <f>IFERROR(INDEX(Firms!$A$5:$A$1004,MATCH(957,Firms!$W$5:$W$1004,0)),"")</f>
        <v/>
      </c>
    </row>
    <row r="962">
      <c r="O962" s="116">
        <f>IFERROR(INDEX(Firms!$A$5:$A$1004,MATCH(958,Firms!$W$5:$W$1004,0)),"")</f>
        <v/>
      </c>
    </row>
    <row r="963">
      <c r="O963" s="116">
        <f>IFERROR(INDEX(Firms!$A$5:$A$1004,MATCH(959,Firms!$W$5:$W$1004,0)),"")</f>
        <v/>
      </c>
    </row>
    <row r="964">
      <c r="O964" s="116">
        <f>IFERROR(INDEX(Firms!$A$5:$A$1004,MATCH(960,Firms!$W$5:$W$1004,0)),"")</f>
        <v/>
      </c>
    </row>
    <row r="965">
      <c r="O965" s="116">
        <f>IFERROR(INDEX(Firms!$A$5:$A$1004,MATCH(961,Firms!$W$5:$W$1004,0)),"")</f>
        <v/>
      </c>
    </row>
    <row r="966">
      <c r="O966" s="116">
        <f>IFERROR(INDEX(Firms!$A$5:$A$1004,MATCH(962,Firms!$W$5:$W$1004,0)),"")</f>
        <v/>
      </c>
    </row>
    <row r="967">
      <c r="O967" s="116">
        <f>IFERROR(INDEX(Firms!$A$5:$A$1004,MATCH(963,Firms!$W$5:$W$1004,0)),"")</f>
        <v/>
      </c>
    </row>
    <row r="968">
      <c r="O968" s="116">
        <f>IFERROR(INDEX(Firms!$A$5:$A$1004,MATCH(964,Firms!$W$5:$W$1004,0)),"")</f>
        <v/>
      </c>
    </row>
    <row r="969">
      <c r="O969" s="116">
        <f>IFERROR(INDEX(Firms!$A$5:$A$1004,MATCH(965,Firms!$W$5:$W$1004,0)),"")</f>
        <v/>
      </c>
    </row>
    <row r="970">
      <c r="O970" s="116">
        <f>IFERROR(INDEX(Firms!$A$5:$A$1004,MATCH(966,Firms!$W$5:$W$1004,0)),"")</f>
        <v/>
      </c>
    </row>
    <row r="971">
      <c r="O971" s="116">
        <f>IFERROR(INDEX(Firms!$A$5:$A$1004,MATCH(967,Firms!$W$5:$W$1004,0)),"")</f>
        <v/>
      </c>
    </row>
    <row r="972">
      <c r="O972" s="116">
        <f>IFERROR(INDEX(Firms!$A$5:$A$1004,MATCH(968,Firms!$W$5:$W$1004,0)),"")</f>
        <v/>
      </c>
    </row>
    <row r="973">
      <c r="O973" s="116">
        <f>IFERROR(INDEX(Firms!$A$5:$A$1004,MATCH(969,Firms!$W$5:$W$1004,0)),"")</f>
        <v/>
      </c>
    </row>
    <row r="974">
      <c r="O974" s="116">
        <f>IFERROR(INDEX(Firms!$A$5:$A$1004,MATCH(970,Firms!$W$5:$W$1004,0)),"")</f>
        <v/>
      </c>
    </row>
    <row r="975">
      <c r="O975" s="116">
        <f>IFERROR(INDEX(Firms!$A$5:$A$1004,MATCH(971,Firms!$W$5:$W$1004,0)),"")</f>
        <v/>
      </c>
    </row>
    <row r="976">
      <c r="O976" s="116">
        <f>IFERROR(INDEX(Firms!$A$5:$A$1004,MATCH(972,Firms!$W$5:$W$1004,0)),"")</f>
        <v/>
      </c>
    </row>
    <row r="977">
      <c r="O977" s="116">
        <f>IFERROR(INDEX(Firms!$A$5:$A$1004,MATCH(973,Firms!$W$5:$W$1004,0)),"")</f>
        <v/>
      </c>
    </row>
    <row r="978">
      <c r="O978" s="116">
        <f>IFERROR(INDEX(Firms!$A$5:$A$1004,MATCH(974,Firms!$W$5:$W$1004,0)),"")</f>
        <v/>
      </c>
    </row>
    <row r="979">
      <c r="O979" s="116">
        <f>IFERROR(INDEX(Firms!$A$5:$A$1004,MATCH(975,Firms!$W$5:$W$1004,0)),"")</f>
        <v/>
      </c>
    </row>
    <row r="980">
      <c r="O980" s="116">
        <f>IFERROR(INDEX(Firms!$A$5:$A$1004,MATCH(976,Firms!$W$5:$W$1004,0)),"")</f>
        <v/>
      </c>
    </row>
    <row r="981">
      <c r="O981" s="116">
        <f>IFERROR(INDEX(Firms!$A$5:$A$1004,MATCH(977,Firms!$W$5:$W$1004,0)),"")</f>
        <v/>
      </c>
    </row>
    <row r="982">
      <c r="O982" s="116">
        <f>IFERROR(INDEX(Firms!$A$5:$A$1004,MATCH(978,Firms!$W$5:$W$1004,0)),"")</f>
        <v/>
      </c>
    </row>
    <row r="983">
      <c r="O983" s="116">
        <f>IFERROR(INDEX(Firms!$A$5:$A$1004,MATCH(979,Firms!$W$5:$W$1004,0)),"")</f>
        <v/>
      </c>
    </row>
    <row r="984">
      <c r="O984" s="116">
        <f>IFERROR(INDEX(Firms!$A$5:$A$1004,MATCH(980,Firms!$W$5:$W$1004,0)),"")</f>
        <v/>
      </c>
    </row>
    <row r="985">
      <c r="O985" s="116">
        <f>IFERROR(INDEX(Firms!$A$5:$A$1004,MATCH(981,Firms!$W$5:$W$1004,0)),"")</f>
        <v/>
      </c>
    </row>
    <row r="986">
      <c r="O986" s="116">
        <f>IFERROR(INDEX(Firms!$A$5:$A$1004,MATCH(982,Firms!$W$5:$W$1004,0)),"")</f>
        <v/>
      </c>
    </row>
    <row r="987">
      <c r="O987" s="116">
        <f>IFERROR(INDEX(Firms!$A$5:$A$1004,MATCH(983,Firms!$W$5:$W$1004,0)),"")</f>
        <v/>
      </c>
    </row>
    <row r="988">
      <c r="O988" s="116">
        <f>IFERROR(INDEX(Firms!$A$5:$A$1004,MATCH(984,Firms!$W$5:$W$1004,0)),"")</f>
        <v/>
      </c>
    </row>
    <row r="989">
      <c r="O989" s="116">
        <f>IFERROR(INDEX(Firms!$A$5:$A$1004,MATCH(985,Firms!$W$5:$W$1004,0)),"")</f>
        <v/>
      </c>
    </row>
    <row r="990">
      <c r="O990" s="116">
        <f>IFERROR(INDEX(Firms!$A$5:$A$1004,MATCH(986,Firms!$W$5:$W$1004,0)),"")</f>
        <v/>
      </c>
    </row>
    <row r="991">
      <c r="O991" s="116">
        <f>IFERROR(INDEX(Firms!$A$5:$A$1004,MATCH(987,Firms!$W$5:$W$1004,0)),"")</f>
        <v/>
      </c>
    </row>
    <row r="992">
      <c r="O992" s="116">
        <f>IFERROR(INDEX(Firms!$A$5:$A$1004,MATCH(988,Firms!$W$5:$W$1004,0)),"")</f>
        <v/>
      </c>
    </row>
    <row r="993">
      <c r="O993" s="116">
        <f>IFERROR(INDEX(Firms!$A$5:$A$1004,MATCH(989,Firms!$W$5:$W$1004,0)),"")</f>
        <v/>
      </c>
    </row>
    <row r="994">
      <c r="O994" s="116">
        <f>IFERROR(INDEX(Firms!$A$5:$A$1004,MATCH(990,Firms!$W$5:$W$1004,0)),"")</f>
        <v/>
      </c>
    </row>
    <row r="995">
      <c r="O995" s="116">
        <f>IFERROR(INDEX(Firms!$A$5:$A$1004,MATCH(991,Firms!$W$5:$W$1004,0)),"")</f>
        <v/>
      </c>
    </row>
    <row r="996">
      <c r="O996" s="116">
        <f>IFERROR(INDEX(Firms!$A$5:$A$1004,MATCH(992,Firms!$W$5:$W$1004,0)),"")</f>
        <v/>
      </c>
    </row>
    <row r="997">
      <c r="O997" s="116">
        <f>IFERROR(INDEX(Firms!$A$5:$A$1004,MATCH(993,Firms!$W$5:$W$1004,0)),"")</f>
        <v/>
      </c>
    </row>
    <row r="998">
      <c r="O998" s="116">
        <f>IFERROR(INDEX(Firms!$A$5:$A$1004,MATCH(994,Firms!$W$5:$W$1004,0)),"")</f>
        <v/>
      </c>
    </row>
    <row r="999">
      <c r="O999" s="116">
        <f>IFERROR(INDEX(Firms!$A$5:$A$1004,MATCH(995,Firms!$W$5:$W$1004,0)),"")</f>
        <v/>
      </c>
    </row>
    <row r="1000">
      <c r="O1000" s="116">
        <f>IFERROR(INDEX(Firms!$A$5:$A$1004,MATCH(996,Firms!$W$5:$W$1004,0)),"")</f>
        <v/>
      </c>
    </row>
    <row r="1001">
      <c r="O1001" s="116">
        <f>IFERROR(INDEX(Firms!$A$5:$A$1004,MATCH(997,Firms!$W$5:$W$1004,0)),"")</f>
        <v/>
      </c>
    </row>
    <row r="1002">
      <c r="O1002" s="116">
        <f>IFERROR(INDEX(Firms!$A$5:$A$1004,MATCH(998,Firms!$W$5:$W$1004,0)),"")</f>
        <v/>
      </c>
    </row>
    <row r="1003">
      <c r="O1003" s="116">
        <f>IFERROR(INDEX(Firms!$A$5:$A$1004,MATCH(999,Firms!$W$5:$W$1004,0)),"")</f>
        <v/>
      </c>
    </row>
    <row r="1004">
      <c r="O1004" s="116">
        <f>IFERROR(INDEX(Firms!$A$5:$A$1004,MATCH(1000,Firms!$W$5:$W$1004,0)),"")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">
    <mergeCell ref="Q6:R8"/>
  </mergeCells>
  <dataValidations count="1">
    <dataValidation sqref="R5" showDropDown="0" showInputMessage="0" showErrorMessage="0" allowBlank="0" errorTitle="Review period" error="Enter a number of months, e.g. 12." type="whole" operator="between">
      <formula1>1</formula1>
      <formula2>120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2026-10-12T16:46:48Z</dcterms:created>
  <dcterms:modified xmlns:dcterms="http://purl.org/dc/terms/" xmlns:xsi="http://www.w3.org/2001/XMLSchema-instance" xsi:type="dcterms:W3CDTF">2026-10-12T16:46:53Z</dcterms:modified>
</cp:coreProperties>
</file>